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jpe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ink/ink1.xml" ContentType="application/inkml+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3.xml" ContentType="application/vnd.openxmlformats-officedocument.drawing+xml"/>
  <Override PartName="/xl/comments9.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volatileDependencies.xml" ContentType="application/vnd.openxmlformats-officedocument.spreadsheetml.volatileDependenc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updateLinks="always" codeName="ThisWorkbook"/>
  <mc:AlternateContent xmlns:mc="http://schemas.openxmlformats.org/markup-compatibility/2006">
    <mc:Choice Requires="x15">
      <x15ac:absPath xmlns:x15ac="http://schemas.microsoft.com/office/spreadsheetml/2010/11/ac" url="V:\Internet\Models\Models (to send)\"/>
    </mc:Choice>
  </mc:AlternateContent>
  <xr:revisionPtr revIDLastSave="0" documentId="13_ncr:1_{2CB8D10B-D47C-4291-B85F-652E538E3149}" xr6:coauthVersionLast="47" xr6:coauthVersionMax="47" xr10:uidLastSave="{00000000-0000-0000-0000-000000000000}"/>
  <bookViews>
    <workbookView xWindow="-120" yWindow="480" windowWidth="57840" windowHeight="38040" tabRatio="958" xr2:uid="{00000000-000D-0000-FFFF-FFFF00000000}"/>
  </bookViews>
  <sheets>
    <sheet name="CoverSheet" sheetId="187" r:id="rId1"/>
    <sheet name="IS" sheetId="2" r:id="rId2"/>
    <sheet name="Revenue Drivers" sheetId="1" r:id="rId3"/>
    <sheet name="Segment As Reported" sheetId="82" r:id="rId4"/>
    <sheet name="CF" sheetId="3" r:id="rId5"/>
    <sheet name="BS" sheetId="7" r:id="rId6"/>
    <sheet name="FX" sheetId="39" r:id="rId7"/>
    <sheet name="Rel Val" sheetId="11" r:id="rId8"/>
    <sheet name="DCF" sheetId="15" r:id="rId9"/>
    <sheet name="Key Stats" sheetId="148" r:id="rId10"/>
    <sheet name="SOTP Summary" sheetId="112" r:id="rId11"/>
    <sheet name="Segment JPMe" sheetId="113"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_" hidden="1">#REF!</definedName>
    <definedName name="_____________new2" hidden="1">{#N/A,#N/A,FALSE,"Income";#N/A,#N/A,FALSE,"Cost of Goods Sold";#N/A,#N/A,FALSE,"Other Costs";#N/A,#N/A,FALSE,"Other Income";#N/A,#N/A,FALSE,"Taxes";#N/A,#N/A,FALSE,"Other Deductions";#N/A,#N/A,FALSE,"Compensation of Officers"}</definedName>
    <definedName name="_____________old2" hidden="1">{#N/A,#N/A,FALSE,"Income";#N/A,#N/A,FALSE,"Cost of Goods Sold";#N/A,#N/A,FALSE,"Other Costs";#N/A,#N/A,FALSE,"Other Income";#N/A,#N/A,FALSE,"Taxes";#N/A,#N/A,FALSE,"Other Deductions";#N/A,#N/A,FALSE,"Compensation of Officers"}</definedName>
    <definedName name="______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_____new2" hidden="1">{#N/A,#N/A,FALSE,"Income";#N/A,#N/A,FALSE,"Cost of Goods Sold";#N/A,#N/A,FALSE,"Other Costs";#N/A,#N/A,FALSE,"Other Income";#N/A,#N/A,FALSE,"Taxes";#N/A,#N/A,FALSE,"Other Deductions";#N/A,#N/A,FALSE,"Compensation of Officers"}</definedName>
    <definedName name="___________old2" hidden="1">{#N/A,#N/A,FALSE,"Income";#N/A,#N/A,FALSE,"Cost of Goods Sold";#N/A,#N/A,FALSE,"Other Costs";#N/A,#N/A,FALSE,"Other Income";#N/A,#N/A,FALSE,"Taxes";#N/A,#N/A,FALSE,"Other Deductions";#N/A,#N/A,FALSE,"Compensation of Officers"}</definedName>
    <definedName name="____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____new2" hidden="1">{#N/A,#N/A,FALSE,"Income";#N/A,#N/A,FALSE,"Cost of Goods Sold";#N/A,#N/A,FALSE,"Other Costs";#N/A,#N/A,FALSE,"Other Income";#N/A,#N/A,FALSE,"Taxes";#N/A,#N/A,FALSE,"Other Deductions";#N/A,#N/A,FALSE,"Compensation of Officers"}</definedName>
    <definedName name="__________old2" hidden="1">{#N/A,#N/A,FALSE,"Income";#N/A,#N/A,FALSE,"Cost of Goods Sold";#N/A,#N/A,FALSE,"Other Costs";#N/A,#N/A,FALSE,"Other Income";#N/A,#N/A,FALSE,"Taxes";#N/A,#N/A,FALSE,"Other Deductions";#N/A,#N/A,FALSE,"Compensation of Officers"}</definedName>
    <definedName name="___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rd2" hidden="1">{#N/A,#N/A,FALSE,"Australia";#N/A,#N/A,FALSE,"Austria";#N/A,#N/A,FALSE,"Belgium";#N/A,#N/A,FALSE,"Canada";#N/A,#N/A,FALSE,"France";#N/A,#N/A,FALSE,"Germany";#N/A,#N/A,FALSE,"Hong Kong";#N/A,#N/A,FALSE,"Italy";#N/A,#N/A,FALSE,"Japan";#N/A,#N/A,FALSE,"Korea";#N/A,#N/A,FALSE,"Mexico";#N/A,#N/A,FALSE,"Poland";#N/A,#N/A,FALSE,"Spain";#N/A,#N/A,FALSE,"Switzerland";#N/A,#N/A,FALSE,"UK"}</definedName>
    <definedName name="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new2" hidden="1">{#N/A,#N/A,FALSE,"Income";#N/A,#N/A,FALSE,"Cost of Goods Sold";#N/A,#N/A,FALSE,"Other Costs";#N/A,#N/A,FALSE,"Other Income";#N/A,#N/A,FALSE,"Taxes";#N/A,#N/A,FALSE,"Other Deductions";#N/A,#N/A,FALSE,"Compensation of Officers"}</definedName>
    <definedName name="_____old2" hidden="1">{#N/A,#N/A,FALSE,"Income";#N/A,#N/A,FALSE,"Cost of Goods Sold";#N/A,#N/A,FALSE,"Other Costs";#N/A,#N/A,FALSE,"Other Income";#N/A,#N/A,FALSE,"Taxes";#N/A,#N/A,FALSE,"Other Deductions";#N/A,#N/A,FALSE,"Compensation of Officers"}</definedName>
    <definedName name="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Z05" hidden="1">{#N/A,#N/A,FALSE,"Australia";#N/A,#N/A,FALSE,"Austria";#N/A,#N/A,FALSE,"Belgium";#N/A,#N/A,FALSE,"Canada";#N/A,#N/A,FALSE,"France";#N/A,#N/A,FALSE,"Germany";#N/A,#N/A,FALSE,"Hong Kong";#N/A,#N/A,FALSE,"Italy";#N/A,#N/A,FALSE,"Japan";#N/A,#N/A,FALSE,"Korea";#N/A,#N/A,FALSE,"Mexico";#N/A,#N/A,FALSE,"Poland";#N/A,#N/A,FALSE,"Spain";#N/A,#N/A,FALSE,"Switzerland";#N/A,#N/A,FALSE,"UK"}</definedName>
    <definedName name="____as1" hidden="1">{#N/A,#N/A,FALSE,"Qrt Fcst";#N/A,#N/A,FALSE,"Qrt Fcst vs Plan &amp; PY";#N/A,#N/A,FALSE,"FY Fcst vs Plan &amp; PY";#N/A,#N/A,FALSE,"EVA CAP";#N/A,#N/A,FALSE,"EVA NOPAT"}</definedName>
    <definedName name="____jkj1" hidden="1">{#N/A,#N/A,TRUE,"FY BCG";#N/A,#N/A,TRUE,"FY w|o Wireless";#N/A,#N/A,TRUE,"FY Wireless"}</definedName>
    <definedName name="____KEY1" hidden="1">#REF!</definedName>
    <definedName name="____KEY2" hidden="1">#REF!</definedName>
    <definedName name="____KEY3" hidden="1">#REF!</definedName>
    <definedName name="____new2" hidden="1">{#N/A,#N/A,FALSE,"Income";#N/A,#N/A,FALSE,"Cost of Goods Sold";#N/A,#N/A,FALSE,"Other Costs";#N/A,#N/A,FALSE,"Other Income";#N/A,#N/A,FALSE,"Taxes";#N/A,#N/A,FALSE,"Other Deductions";#N/A,#N/A,FALSE,"Compensation of Officers"}</definedName>
    <definedName name="____old2" hidden="1">{#N/A,#N/A,FALSE,"Income";#N/A,#N/A,FALSE,"Cost of Goods Sold";#N/A,#N/A,FALSE,"Other Costs";#N/A,#N/A,FALSE,"Other Income";#N/A,#N/A,FALSE,"Taxes";#N/A,#N/A,FALSE,"Other Deductions";#N/A,#N/A,FALSE,"Compensation of Officers"}</definedName>
    <definedName name="____rd2" hidden="1">{#N/A,#N/A,FALSE,"Australia";#N/A,#N/A,FALSE,"Austria";#N/A,#N/A,FALSE,"Belgium";#N/A,#N/A,FALSE,"Canada";#N/A,#N/A,FALSE,"France";#N/A,#N/A,FALSE,"Germany";#N/A,#N/A,FALSE,"Hong Kong";#N/A,#N/A,FALSE,"Italy";#N/A,#N/A,FALSE,"Japan";#N/A,#N/A,FALSE,"Korea";#N/A,#N/A,FALSE,"Mexico";#N/A,#N/A,FALSE,"Poland";#N/A,#N/A,FALSE,"Spain";#N/A,#N/A,FALSE,"Switzerland";#N/A,#N/A,FALSE,"UK"}</definedName>
    <definedName name="____vio1" hidden="1">{#N/A,#N/A,TRUE,"1Q BCG";#N/A,#N/A,TRUE,"1Q w|o Wireless";#N/A,#N/A,TRUE,"1Q Wireless"}</definedName>
    <definedName name="____wrn1" hidden="1">{#N/A,#N/A,TRUE,"Monthly Wireless";#N/A,#N/A,TRUE,"Qrt Wireless";#N/A,#N/A,TRUE,"FY Wireless";#N/A,#N/A,TRUE,"1Q Wireless";#N/A,#N/A,TRUE,"2Q Wireless";#N/A,#N/A,TRUE,"3Q Wireless";#N/A,#N/A,TRUE,"4Q Wireless"}</definedName>
    <definedName name="____Z04" hidden="1">{#N/A,#N/A,FALSE,"Australia";#N/A,#N/A,FALSE,"Austria";#N/A,#N/A,FALSE,"Belgium";#N/A,#N/A,FALSE,"Canada";#N/A,#N/A,FALSE,"France";#N/A,#N/A,FALSE,"Germany";#N/A,#N/A,FALSE,"Hong Kong";#N/A,#N/A,FALSE,"Italy";#N/A,#N/A,FALSE,"Japan";#N/A,#N/A,FALSE,"Korea";#N/A,#N/A,FALSE,"Mexico";#N/A,#N/A,FALSE,"Poland";#N/A,#N/A,FALSE,"Spain";#N/A,#N/A,FALSE,"Switzerland";#N/A,#N/A,FALSE,"UK"}</definedName>
    <definedName name="____Z05" hidden="1">{#N/A,#N/A,FALSE,"Australia";#N/A,#N/A,FALSE,"Austria";#N/A,#N/A,FALSE,"Belgium";#N/A,#N/A,FALSE,"Canada";#N/A,#N/A,FALSE,"France";#N/A,#N/A,FALSE,"Germany";#N/A,#N/A,FALSE,"Hong Kong";#N/A,#N/A,FALSE,"Italy";#N/A,#N/A,FALSE,"Japan";#N/A,#N/A,FALSE,"Korea";#N/A,#N/A,FALSE,"Mexico";#N/A,#N/A,FALSE,"Poland";#N/A,#N/A,FALSE,"Spain";#N/A,#N/A,FALSE,"Switzerland";#N/A,#N/A,FALSE,"UK"}</definedName>
    <definedName name="___KEY1" hidden="1">#REF!</definedName>
    <definedName name="___KEY2" hidden="1">#REF!</definedName>
    <definedName name="___KEY3" hidden="1">#REF!</definedName>
    <definedName name="___new2" hidden="1">{#N/A,#N/A,FALSE,"Income";#N/A,#N/A,FALSE,"Cost of Goods Sold";#N/A,#N/A,FALSE,"Other Costs";#N/A,#N/A,FALSE,"Other Income";#N/A,#N/A,FALSE,"Taxes";#N/A,#N/A,FALSE,"Other Deductions";#N/A,#N/A,FALSE,"Compensation of Officers"}</definedName>
    <definedName name="___old1"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___old2" hidden="1">{#N/A,#N/A,FALSE,"Income";#N/A,#N/A,FALSE,"Cost of Goods Sold";#N/A,#N/A,FALSE,"Other Costs";#N/A,#N/A,FALSE,"Other Income";#N/A,#N/A,FALSE,"Taxes";#N/A,#N/A,FALSE,"Other Deductions";#N/A,#N/A,FALSE,"Compensation of Officers"}</definedName>
    <definedName name="___rd2" hidden="1">{#N/A,#N/A,FALSE,"Australia";#N/A,#N/A,FALSE,"Austria";#N/A,#N/A,FALSE,"Belgium";#N/A,#N/A,FALSE,"Canada";#N/A,#N/A,FALSE,"France";#N/A,#N/A,FALSE,"Germany";#N/A,#N/A,FALSE,"Hong Kong";#N/A,#N/A,FALSE,"Italy";#N/A,#N/A,FALSE,"Japan";#N/A,#N/A,FALSE,"Korea";#N/A,#N/A,FALSE,"Mexico";#N/A,#N/A,FALSE,"Poland";#N/A,#N/A,FALSE,"Spain";#N/A,#N/A,FALSE,"Switzerland";#N/A,#N/A,FALSE,"UK"}</definedName>
    <definedName name="___scl1" hidden="1">{#N/A,#N/A,FALSE,"Aging Summary";#N/A,#N/A,FALSE,"Ratio Analysis";#N/A,#N/A,FALSE,"Test 120 Day Accts";#N/A,#N/A,FALSE,"Tickmarks"}</definedName>
    <definedName name="___x1" hidden="1">{"投資金額",#N/A,FALSE,"ｷｬｼｭﾌﾛｰ";"回収",#N/A,FALSE,"ｷｬｼｭﾌﾛｰ"}</definedName>
    <definedName name="___Z04" hidden="1">{#N/A,#N/A,FALSE,"Australia";#N/A,#N/A,FALSE,"Austria";#N/A,#N/A,FALSE,"Belgium";#N/A,#N/A,FALSE,"Canada";#N/A,#N/A,FALSE,"France";#N/A,#N/A,FALSE,"Germany";#N/A,#N/A,FALSE,"Hong Kong";#N/A,#N/A,FALSE,"Italy";#N/A,#N/A,FALSE,"Japan";#N/A,#N/A,FALSE,"Korea";#N/A,#N/A,FALSE,"Mexico";#N/A,#N/A,FALSE,"Poland";#N/A,#N/A,FALSE,"Spain";#N/A,#N/A,FALSE,"Switzerland";#N/A,#N/A,FALSE,"UK"}</definedName>
    <definedName name="___Z05" hidden="1">{#N/A,#N/A,FALSE,"Australia";#N/A,#N/A,FALSE,"Austria";#N/A,#N/A,FALSE,"Belgium";#N/A,#N/A,FALSE,"Canada";#N/A,#N/A,FALSE,"France";#N/A,#N/A,FALSE,"Germany";#N/A,#N/A,FALSE,"Hong Kong";#N/A,#N/A,FALSE,"Italy";#N/A,#N/A,FALSE,"Japan";#N/A,#N/A,FALSE,"Korea";#N/A,#N/A,FALSE,"Mexico";#N/A,#N/A,FALSE,"Poland";#N/A,#N/A,FALSE,"Spain";#N/A,#N/A,FALSE,"Switzerland";#N/A,#N/A,FALSE,"UK"}</definedName>
    <definedName name="__1_154.87" hidden="1">#NAME?</definedName>
    <definedName name="__123Graph_A" hidden="1">[1]Projections!#REF!</definedName>
    <definedName name="__123Graph_AGraph1" hidden="1">#REF!</definedName>
    <definedName name="__123Graph_AGraph2" hidden="1">#REF!</definedName>
    <definedName name="__123Graph_AGraph3" hidden="1">[2]DeptSummary!#REF!</definedName>
    <definedName name="__123Graph_AGraph4" hidden="1">[2]DeptSummary!#REF!</definedName>
    <definedName name="__123Graph_AGraph5" hidden="1">[2]DeptSummary!#REF!</definedName>
    <definedName name="__123Graph_APROCEEDS" hidden="1">[1]Projections!#REF!</definedName>
    <definedName name="__123Graph_B" hidden="1">'[3]Sheet1 (2)'!$H$15:$O$15</definedName>
    <definedName name="__123Graph_BGraph1" hidden="1">#REF!</definedName>
    <definedName name="__123Graph_BGraph2" hidden="1">#REF!</definedName>
    <definedName name="__123Graph_BGraph3" hidden="1">[2]DeptSummary!#REF!</definedName>
    <definedName name="__123Graph_BGraph5" hidden="1">[2]DeptSummary!#REF!</definedName>
    <definedName name="__123Graph_BPROCEEDS" hidden="1">[1]Projections!#REF!</definedName>
    <definedName name="__123Graph_C" hidden="1">'[4]Stock - Sch 5A-5C'!#REF!</definedName>
    <definedName name="__123Graph_CGraph1" hidden="1">[2]Headcount!#REF!</definedName>
    <definedName name="__123Graph_CGraph2" hidden="1">#REF!</definedName>
    <definedName name="__123Graph_CGraph3" hidden="1">[2]DeptSummary!#REF!</definedName>
    <definedName name="__123Graph_CPROCEEDS" hidden="1">[1]Projections!#REF!</definedName>
    <definedName name="__123Graph_D" hidden="1">'[5]Comp. Transaction'!#REF!</definedName>
    <definedName name="__123Graph_DGraph1" hidden="1">#REF!</definedName>
    <definedName name="__123Graph_DGraph2" hidden="1">[2]Headcount!#REF!</definedName>
    <definedName name="__123Graph_DGraph3" hidden="1">[2]DeptSummary!#REF!</definedName>
    <definedName name="__123Graph_E" hidden="1">'[4]Stock - Sch 5A-5C'!#REF!</definedName>
    <definedName name="__123Graph_EGraph1" hidden="1">#REF!</definedName>
    <definedName name="__123Graph_EGraph2" hidden="1">#REF!</definedName>
    <definedName name="__123Graph_EGraph3" hidden="1">[2]DeptSummary!#REF!</definedName>
    <definedName name="__123Graph_F" hidden="1">'[4]Stock - Sch 5A-5C'!#REF!</definedName>
    <definedName name="__123Graph_FGraph1" hidden="1">#REF!</definedName>
    <definedName name="__123Graph_FGraph2" hidden="1">#REF!</definedName>
    <definedName name="__123Graph_FGraph3" hidden="1">[2]DeptSummary!#REF!</definedName>
    <definedName name="__123Graph_X" hidden="1">[1]Projections!#REF!</definedName>
    <definedName name="__123Graph_XGraph1" hidden="1">#REF!</definedName>
    <definedName name="__123Graph_XGraph2" hidden="1">#REF!</definedName>
    <definedName name="__123Graph_XGraph4" hidden="1">[2]DeptSummary!#REF!</definedName>
    <definedName name="__123Graph_XGraph5" hidden="1">[2]DeptSummary!#REF!</definedName>
    <definedName name="__123Graph_XPROCEEDS" hidden="1">[1]Projections!#REF!</definedName>
    <definedName name="__aa2" hidden="1">{#N/A,#N/A,FALSE,"Hip.Bas";#N/A,#N/A,FALSE,"ventas";#N/A,#N/A,FALSE,"ingre-Año";#N/A,#N/A,FALSE,"ventas-Año";#N/A,#N/A,FALSE,"Costepro";#N/A,#N/A,FALSE,"inversion";#N/A,#N/A,FALSE,"personal";#N/A,#N/A,FALSE,"Gastos-V";#N/A,#N/A,FALSE,"Circulante";#N/A,#N/A,FALSE,"CONSOLI";#N/A,#N/A,FALSE,"Es-Fin";#N/A,#N/A,FALSE,"Margen-P"}</definedName>
    <definedName name="__aa3" hidden="1">{#N/A,#N/A,FALSE,"Hip.Bas";#N/A,#N/A,FALSE,"ventas";#N/A,#N/A,FALSE,"ingre-Año";#N/A,#N/A,FALSE,"ventas-Año";#N/A,#N/A,FALSE,"Costepro";#N/A,#N/A,FALSE,"inversion";#N/A,#N/A,FALSE,"personal";#N/A,#N/A,FALSE,"Gastos-V";#N/A,#N/A,FALSE,"Circulante";#N/A,#N/A,FALSE,"CONSOLI";#N/A,#N/A,FALSE,"Es-Fin";#N/A,#N/A,FALSE,"Margen-P"}</definedName>
    <definedName name="__as1" hidden="1">{#N/A,#N/A,FALSE,"Qrt Fcst";#N/A,#N/A,FALSE,"Qrt Fcst vs Plan &amp; PY";#N/A,#N/A,FALSE,"FY Fcst vs Plan &amp; PY";#N/A,#N/A,FALSE,"EVA CAP";#N/A,#N/A,FALSE,"EVA NOPAT"}</definedName>
    <definedName name="__bb2" hidden="1">{#N/A,#N/A,FALSE,"Hip.Bas";#N/A,#N/A,FALSE,"ventas";#N/A,#N/A,FALSE,"ingre-Año";#N/A,#N/A,FALSE,"ventas-Año";#N/A,#N/A,FALSE,"Costepro";#N/A,#N/A,FALSE,"inversion";#N/A,#N/A,FALSE,"personal";#N/A,#N/A,FALSE,"Gastos-V";#N/A,#N/A,FALSE,"Circulante";#N/A,#N/A,FALSE,"CONSOLI";#N/A,#N/A,FALSE,"Es-Fin";#N/A,#N/A,FALSE,"Margen-P"}</definedName>
    <definedName name="__bb3" hidden="1">{#N/A,#N/A,FALSE,"Hip.Bas";#N/A,#N/A,FALSE,"ventas";#N/A,#N/A,FALSE,"ingre-Año";#N/A,#N/A,FALSE,"ventas-Año";#N/A,#N/A,FALSE,"Costepro";#N/A,#N/A,FALSE,"inversion";#N/A,#N/A,FALSE,"personal";#N/A,#N/A,FALSE,"Gastos-V";#N/A,#N/A,FALSE,"Circulante";#N/A,#N/A,FALSE,"CONSOLI";#N/A,#N/A,FALSE,"Es-Fin";#N/A,#N/A,FALSE,"Margen-P"}</definedName>
    <definedName name="__cc2" hidden="1">{#N/A,#N/A,FALSE,"Hip.Bas";#N/A,#N/A,FALSE,"ventas";#N/A,#N/A,FALSE,"ingre-Año";#N/A,#N/A,FALSE,"ventas-Año";#N/A,#N/A,FALSE,"Costepro";#N/A,#N/A,FALSE,"inversion";#N/A,#N/A,FALSE,"personal";#N/A,#N/A,FALSE,"Gastos-V";#N/A,#N/A,FALSE,"Circulante";#N/A,#N/A,FALSE,"CONSOLI";#N/A,#N/A,FALSE,"Es-Fin";#N/A,#N/A,FALSE,"Margen-P"}</definedName>
    <definedName name="__cc3" hidden="1">{#N/A,#N/A,FALSE,"Hip.Bas";#N/A,#N/A,FALSE,"ventas";#N/A,#N/A,FALSE,"ingre-Año";#N/A,#N/A,FALSE,"ventas-Año";#N/A,#N/A,FALSE,"Costepro";#N/A,#N/A,FALSE,"inversion";#N/A,#N/A,FALSE,"personal";#N/A,#N/A,FALSE,"Gastos-V";#N/A,#N/A,FALSE,"Circulante";#N/A,#N/A,FALSE,"CONSOLI";#N/A,#N/A,FALSE,"Es-Fin";#N/A,#N/A,FALSE,"Margen-P"}</definedName>
    <definedName name="__cc4" hidden="1">{#N/A,#N/A,FALSE,"Hip.Bas";#N/A,#N/A,FALSE,"ventas";#N/A,#N/A,FALSE,"ingre-Año";#N/A,#N/A,FALSE,"ventas-Año";#N/A,#N/A,FALSE,"Costepro";#N/A,#N/A,FALSE,"inversion";#N/A,#N/A,FALSE,"personal";#N/A,#N/A,FALSE,"Gastos-V";#N/A,#N/A,FALSE,"Circulante";#N/A,#N/A,FALSE,"CONSOLI";#N/A,#N/A,FALSE,"Es-Fin";#N/A,#N/A,FALSE,"Margen-P"}</definedName>
    <definedName name="__FDS_HYPERLINK_TOGGLE_STATE__" hidden="1">"ON"</definedName>
    <definedName name="__FDS_UNIQUE_RANGE_ID_GENERATOR_COUNTER" hidden="1">5</definedName>
    <definedName name="__Feb06" hidden="1">{#N/A,#N/A,FALSE,"ES Cover";#N/A,#N/A,FALSE,"ES Index ";#N/A,#N/A,FALSE,"ES 2-1-1  Net Eff Mbrs 2001";#N/A,#N/A,FALSE,"ES 2-1-2  Net Eff  Mbrs 2000";#N/A,#N/A,FALSE,"ES 2-2 Mbr Sales Plan vs Proj";#N/A,#N/A,FALSE,"ES 3_Top 5 IFP States Carriers";#N/A,#N/A,FALSE,"ES 4 Top 5 SBG States Carriers";#N/A,#N/A,FALSE,"ES 5 New Top Bottom 5 Summary";#N/A,#N/A,FALSE,"ES 6 Daily Avg";#N/A,#N/A,FALSE,"ES 7  Vol Graph";#N/A,#N/A,FALSE,"ES 8  ClosRatio by Carr";#N/A,#N/A,FALSE,"ES 9  ClosRatio by State";#N/A,#N/A,FALSE,"ES 10  Apps Ret CA OofS";#N/A,#N/A,FALSE,"ES 11 CLosRatioStateCarr Mont";#N/A,#N/A,FALSE,"ES 12  CarrierPerStateNov";#N/A,#N/A,FALSE,"ES 13 CarrierPerStateYTD";#N/A,#N/A,FALSE,"ES 14 Analytics";#N/A,#N/A,FALSE,"ES 15 Total Calls Graph";#N/A,#N/A,FALSE,"ES 16 Within 30 Sec ";#N/A,#N/A,FALSE,"ES 17 Emails";#N/A,#N/A,FALSE,"ES 18 Chat Graph"}</definedName>
    <definedName name="__IntlFixup" hidden="1">TRUE</definedName>
    <definedName name="__IntlFixupTable" hidden="1">#REF!</definedName>
    <definedName name="__jan23" hidden="1">{#N/A,#N/A,FALSE,"ES Cover";#N/A,#N/A,FALSE,"ES Index ";#N/A,#N/A,FALSE,"ES 2-1-1  Net Eff Mbrs 2001";#N/A,#N/A,FALSE,"ES 2-1-2  Net Eff  Mbrs 2000";#N/A,#N/A,FALSE,"ES 2-2 Mbr Sales Plan vs Proj";#N/A,#N/A,FALSE,"ES 3_Top 5 IFP States Carriers";#N/A,#N/A,FALSE,"ES 4 Top 5 SBG States Carriers";#N/A,#N/A,FALSE,"ES 5 New Top Bottom 5 Summary";#N/A,#N/A,FALSE,"ES 6 Daily Avg";#N/A,#N/A,FALSE,"ES 7  Vol Graph";#N/A,#N/A,FALSE,"ES 8  ClosRatio by Carr";#N/A,#N/A,FALSE,"ES 9  ClosRatio by State";#N/A,#N/A,FALSE,"ES 10  Apps Ret CA OofS";#N/A,#N/A,FALSE,"ES 11 CLosRatioStateCarr Mont";#N/A,#N/A,FALSE,"ES 12  CarrierPerStateNov";#N/A,#N/A,FALSE,"ES 13 CarrierPerStateYTD";#N/A,#N/A,FALSE,"ES 14 Analytics";#N/A,#N/A,FALSE,"ES 15 Total Calls Graph";#N/A,#N/A,FALSE,"ES 16 Within 30 Sec ";#N/A,#N/A,FALSE,"ES 17 Emails";#N/A,#N/A,FALSE,"ES 18 Chat Graph"}</definedName>
    <definedName name="__jkj1" hidden="1">{#N/A,#N/A,TRUE,"FY BCG";#N/A,#N/A,TRUE,"FY w|o Wireless";#N/A,#N/A,TRUE,"FY Wireless"}</definedName>
    <definedName name="__KEY1" hidden="1">#REF!</definedName>
    <definedName name="__KEY2" hidden="1">#REF!</definedName>
    <definedName name="__KEY3" hidden="1">#REF!</definedName>
    <definedName name="__new2" hidden="1">{#N/A,#N/A,FALSE,"Income";#N/A,#N/A,FALSE,"Cost of Goods Sold";#N/A,#N/A,FALSE,"Other Costs";#N/A,#N/A,FALSE,"Other Income";#N/A,#N/A,FALSE,"Taxes";#N/A,#N/A,FALSE,"Other Deductions";#N/A,#N/A,FALSE,"Compensation of Officers"}</definedName>
    <definedName name="__old1"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__old2" hidden="1">{#N/A,#N/A,FALSE,"Income";#N/A,#N/A,FALSE,"Cost of Goods Sold";#N/A,#N/A,FALSE,"Other Costs";#N/A,#N/A,FALSE,"Other Income";#N/A,#N/A,FALSE,"Taxes";#N/A,#N/A,FALSE,"Other Deductions";#N/A,#N/A,FALSE,"Compensation of Officers"}</definedName>
    <definedName name="__rd2" hidden="1">{#N/A,#N/A,FALSE,"Australia";#N/A,#N/A,FALSE,"Austria";#N/A,#N/A,FALSE,"Belgium";#N/A,#N/A,FALSE,"Canada";#N/A,#N/A,FALSE,"France";#N/A,#N/A,FALSE,"Germany";#N/A,#N/A,FALSE,"Hong Kong";#N/A,#N/A,FALSE,"Italy";#N/A,#N/A,FALSE,"Japan";#N/A,#N/A,FALSE,"Korea";#N/A,#N/A,FALSE,"Mexico";#N/A,#N/A,FALSE,"Poland";#N/A,#N/A,FALSE,"Spain";#N/A,#N/A,FALSE,"Switzerland";#N/A,#N/A,FALSE,"UK"}</definedName>
    <definedName name="__scl1" hidden="1">{#N/A,#N/A,FALSE,"Aging Summary";#N/A,#N/A,FALSE,"Ratio Analysis";#N/A,#N/A,FALSE,"Test 120 Day Accts";#N/A,#N/A,FALSE,"Tickmarks"}</definedName>
    <definedName name="__vio1" hidden="1">{#N/A,#N/A,TRUE,"1Q BCG";#N/A,#N/A,TRUE,"1Q w|o Wireless";#N/A,#N/A,TRUE,"1Q Wireless"}</definedName>
    <definedName name="__wrn1" hidden="1">{#N/A,#N/A,TRUE,"Monthly Wireless";#N/A,#N/A,TRUE,"Qrt Wireless";#N/A,#N/A,TRUE,"FY Wireless";#N/A,#N/A,TRUE,"1Q Wireless";#N/A,#N/A,TRUE,"2Q Wireless";#N/A,#N/A,TRUE,"3Q Wireless";#N/A,#N/A,TRUE,"4Q Wireless"}</definedName>
    <definedName name="__xlfn.SUMIFS" hidden="1">#NAME?</definedName>
    <definedName name="__Z04" hidden="1">{#N/A,#N/A,FALSE,"Australia";#N/A,#N/A,FALSE,"Austria";#N/A,#N/A,FALSE,"Belgium";#N/A,#N/A,FALSE,"Canada";#N/A,#N/A,FALSE,"France";#N/A,#N/A,FALSE,"Germany";#N/A,#N/A,FALSE,"Hong Kong";#N/A,#N/A,FALSE,"Italy";#N/A,#N/A,FALSE,"Japan";#N/A,#N/A,FALSE,"Korea";#N/A,#N/A,FALSE,"Mexico";#N/A,#N/A,FALSE,"Poland";#N/A,#N/A,FALSE,"Spain";#N/A,#N/A,FALSE,"Switzerland";#N/A,#N/A,FALSE,"UK"}</definedName>
    <definedName name="__Z05" hidden="1">{#N/A,#N/A,FALSE,"Australia";#N/A,#N/A,FALSE,"Austria";#N/A,#N/A,FALSE,"Belgium";#N/A,#N/A,FALSE,"Canada";#N/A,#N/A,FALSE,"France";#N/A,#N/A,FALSE,"Germany";#N/A,#N/A,FALSE,"Hong Kong";#N/A,#N/A,FALSE,"Italy";#N/A,#N/A,FALSE,"Japan";#N/A,#N/A,FALSE,"Korea";#N/A,#N/A,FALSE,"Mexico";#N/A,#N/A,FALSE,"Poland";#N/A,#N/A,FALSE,"Spain";#N/A,#N/A,FALSE,"Switzerland";#N/A,#N/A,FALSE,"UK"}</definedName>
    <definedName name="_1__123Graph_AChart_17K" hidden="1">'[6]Process Tools-Owned'!#REF!</definedName>
    <definedName name="_1__FDSAUDITLINK__" hidden="1">{"fdsup://directions/FAT Viewer?action=UPDATE&amp;creator=factset&amp;DYN_ARGS=TRUE&amp;DOC_NAME=FAT:FQL_AUDITING_CLIENT_TEMPLATE.FAT&amp;display_string=Audit&amp;VAR:KEY=PODUBCZSXM&amp;VAR:QUERY=RkZfU0FMRVMoQ0FMLDEvMS8yMDA5LDEyLzMxLzIwMDkp&amp;WINDOW=FIRST_POPUP&amp;HEIGHT=450&amp;WIDTH=450&amp;","START_MAXIMIZED=FALSE&amp;VAR:CALENDAR=US&amp;VAR:SYMBOL=SIFY&amp;VAR:INDEX=0"}</definedName>
    <definedName name="_1_0__123Grap" hidden="1">'[7]Comp. Transaction'!#REF!</definedName>
    <definedName name="_1_154.87" hidden="1">#NAME?</definedName>
    <definedName name="_10__123Graph_AChart_32L" hidden="1">'[6]Process Tools-Owned'!#REF!</definedName>
    <definedName name="_10__123Graph_ATAX_CREDIT" hidden="1">#REF!</definedName>
    <definedName name="_10__123Graph_AWAGES_BY_B_U" hidden="1">#REF!</definedName>
    <definedName name="_10__123Graph_BCONTRACT_BY_B_U" hidden="1">#REF!</definedName>
    <definedName name="_10__123Graph_BQRE_S_BY_CO." hidden="1">#REF!</definedName>
    <definedName name="_11__123Graph_AChart_3I" hidden="1">'[6]Process Tools-Owned'!#REF!</definedName>
    <definedName name="_11__123Graph_ACONTRACT_BY_B_U" hidden="1">#REF!</definedName>
    <definedName name="_11__123Graph_AWAGES_BY_B_U" hidden="1">#REF!</definedName>
    <definedName name="_11__123Graph_BCHART_3" hidden="1">#N/A</definedName>
    <definedName name="_11__123Graph_BQRE_S_BY_CO." hidden="1">#REF!</definedName>
    <definedName name="_11__123Graph_BSENS_COMPARISON" hidden="1">#REF!</definedName>
    <definedName name="_12__123Graph_AChart_4I" hidden="1">'[6]Process Tools-Owned'!#REF!</definedName>
    <definedName name="_12__123Graph_AQRE_S_BY_CO." hidden="1">#REF!</definedName>
    <definedName name="_12__123Graph_BCHART_3" hidden="1">#N/A</definedName>
    <definedName name="_12__123Graph_BCONTRACT_BY_B_U" hidden="1">#REF!</definedName>
    <definedName name="_12__123Graph_BSENS_COMPARISON" hidden="1">#REF!</definedName>
    <definedName name="_12__123Graph_BSUPPLIES_BY_B_U" hidden="1">#REF!</definedName>
    <definedName name="_123" hidden="1">[2]DeptSummary!#REF!</definedName>
    <definedName name="_123Gra" hidden="1">[2]DeptSummary!#REF!</definedName>
    <definedName name="_123Graph" hidden="1">'[8]FV-Process Tools'!#REF!</definedName>
    <definedName name="_13__123Graph_AChart_5J" hidden="1">'[6]Process Tools-Owned'!#REF!</definedName>
    <definedName name="_13__123Graph_ASENS_COMPARISON" hidden="1">#REF!</definedName>
    <definedName name="_13__123Graph_BCONTRACT_BY_B_U" hidden="1">#REF!</definedName>
    <definedName name="_13__123Graph_BQRE_S_BY_CO." hidden="1">#REF!</definedName>
    <definedName name="_13__123Graph_BSUPPLIES_BY_B_U" hidden="1">#REF!</definedName>
    <definedName name="_13__123Graph_BTAX_CREDIT" hidden="1">#REF!</definedName>
    <definedName name="_14__123Graph_AChart_6J" hidden="1">'[6]Process Tools-Owned'!#REF!</definedName>
    <definedName name="_14__123Graph_ASUPPLIES_BY_B_U" hidden="1">#REF!</definedName>
    <definedName name="_14__123Graph_BQRE_S_BY_CO." hidden="1">#REF!</definedName>
    <definedName name="_14__123Graph_BSENS_COMPARISON" hidden="1">#REF!</definedName>
    <definedName name="_14__123Graph_BTAX_CREDIT" hidden="1">#REF!</definedName>
    <definedName name="_14__123Graph_BWAGES_BY_B_U" hidden="1">#REF!</definedName>
    <definedName name="_15" hidden="1">{#N/A,#N/A,TRUE,"Summary";#N/A,#N/A,TRUE,"Financials"}</definedName>
    <definedName name="_15__123Graph_AChart_7J" hidden="1">'[6]Process Tools-Owned'!#REF!</definedName>
    <definedName name="_15__123Graph_ATAX_CREDIT" hidden="1">#REF!</definedName>
    <definedName name="_15__123Graph_BSENS_COMPARISON" hidden="1">#REF!</definedName>
    <definedName name="_15__123Graph_BSUPPLIES_BY_B_U" hidden="1">#REF!</definedName>
    <definedName name="_15__123Graph_BWAGES_BY_B_U" hidden="1">#REF!</definedName>
    <definedName name="_15__123Graph_CCONTRACT_BY_B_U" hidden="1">#REF!</definedName>
    <definedName name="_16" hidden="1">{"Summary",#N/A,TRUE,"Sheet1";"Returns",#N/A,TRUE,"Sheet1";"IS",#N/A,TRUE,"Sheet1";"BS",#N/A,TRUE,"Sheet1";"CF",#N/A,TRUE,"Sheet1";"Cover6",#N/A,TRUE,"Sheet1";"WC7",#N/A,TRUE,"Sheet1";"Debt8",#N/A,TRUE,"Sheet1";"Tax9",#N/A,TRUE,"Sheet1"}</definedName>
    <definedName name="_16__123Graph_AChart_8J" hidden="1">'[6]Process Tools-Owned'!#REF!</definedName>
    <definedName name="_16__123Graph_AWAGES_BY_B_U" hidden="1">#REF!</definedName>
    <definedName name="_16__123Graph_BSUPPLIES_BY_B_U" hidden="1">#REF!</definedName>
    <definedName name="_16__123Graph_BTAX_CREDIT" hidden="1">#REF!</definedName>
    <definedName name="_16__123Graph_CCONTRACT_BY_B_U" hidden="1">#REF!</definedName>
    <definedName name="_16__123Graph_CQRE_S_BY_CO." hidden="1">#REF!</definedName>
    <definedName name="_17" hidden="1">{#N/A,#N/A,TRUE,"Summary";#N/A,#N/A,TRUE,"Financials";#N/A,#N/A,TRUE,"Assumptions";#N/A,#N/A,TRUE,"Pro Forma";#N/A,#N/A,TRUE,"Debt";#N/A,#N/A,TRUE,"Amortization";#N/A,#N/A,TRUE,"GG Returns"}</definedName>
    <definedName name="_17__123Graph_BChart_18K" hidden="1">'[6]Process Tools-Owned'!#REF!</definedName>
    <definedName name="_17__123Graph_BCONTRACT_BY_B_U" hidden="1">#REF!</definedName>
    <definedName name="_17__123Graph_BTAX_CREDIT" hidden="1">#REF!</definedName>
    <definedName name="_17__123Graph_BWAGES_BY_B_U" hidden="1">#REF!</definedName>
    <definedName name="_17__123Graph_CQRE_S_BY_CO." hidden="1">#REF!</definedName>
    <definedName name="_17__123Graph_CSENS_COMPARISON" hidden="1">#REF!</definedName>
    <definedName name="_18" hidden="1">{#N/A,#N/A,TRUE,"Summary";#N/A,#N/A,TRUE,"Assumptions";#N/A,#N/A,TRUE,"Comparison";#N/A,#N/A,TRUE,"Financials";#N/A,#N/A,TRUE,"Plan v. Act"}</definedName>
    <definedName name="_18__123Graph_BChart_19K" hidden="1">'[6]Process Tools-Owned'!#REF!</definedName>
    <definedName name="_18__123Graph_BQRE_S_BY_CO." hidden="1">#REF!</definedName>
    <definedName name="_18__123Graph_BWAGES_BY_B_U" hidden="1">#REF!</definedName>
    <definedName name="_18__123Graph_CCONTRACT_BY_B_U" hidden="1">#REF!</definedName>
    <definedName name="_18__123Graph_CSENS_COMPARISON" hidden="1">#REF!</definedName>
    <definedName name="_18__123Graph_CSUPPLIES_BY_B_U" hidden="1">#REF!</definedName>
    <definedName name="_19__123Graph_BChart_2I" hidden="1">'[6]Process Tools-Owned'!#REF!</definedName>
    <definedName name="_19__123Graph_BSENS_COMPARISON" hidden="1">#REF!</definedName>
    <definedName name="_19__123Graph_CCONTRACT_BY_B_U" hidden="1">#REF!</definedName>
    <definedName name="_19__123Graph_CQRE_S_BY_CO." hidden="1">#REF!</definedName>
    <definedName name="_19__123Graph_CSUPPLIES_BY_B_U" hidden="1">#REF!</definedName>
    <definedName name="_19__123Graph_CWAGES_BY_B_U" hidden="1">#REF!</definedName>
    <definedName name="_2__123Graph_AChart_18K" hidden="1">'[6]Process Tools-Owned'!#REF!</definedName>
    <definedName name="_2__FDSAUDITLINK__" hidden="1">{"fdsup://directions/FAT Viewer?action=UPDATE&amp;creator=factset&amp;DYN_ARGS=TRUE&amp;DOC_NAME=FAT:FQL_AUDITING_CLIENT_TEMPLATE.FAT&amp;display_string=Audit&amp;VAR:KEY=NYHSROVUVC&amp;VAR:QUERY=RkZfU0FMRVMoQ0FMLDEvMS8yMDA4LDEyLzMxLzIwMDgp&amp;WINDOW=FIRST_POPUP&amp;HEIGHT=450&amp;WIDTH=450&amp;","START_MAXIMIZED=FALSE&amp;VAR:CALENDAR=US&amp;VAR:SYMBOL=SIFY&amp;VAR:INDEX=0"}</definedName>
    <definedName name="_20__123Graph_BChart_30L" hidden="1">'[6]Process Tools-Owned'!#REF!</definedName>
    <definedName name="_20__123Graph_BSUPPLIES_BY_B_U" hidden="1">#REF!</definedName>
    <definedName name="_20__123Graph_CQRE_S_BY_CO." hidden="1">#REF!</definedName>
    <definedName name="_20__123Graph_CSENS_COMPARISON" hidden="1">#REF!</definedName>
    <definedName name="_20__123Graph_CWAGES_BY_B_U" hidden="1">#REF!</definedName>
    <definedName name="_20__123Graph_DCONTRACT_BY_B_U" hidden="1">#REF!</definedName>
    <definedName name="_21" hidden="1">{#N/A,#N/A,TRUE,"Summary";#N/A,#N/A,TRUE,"Financials"}</definedName>
    <definedName name="_21__123Graph_BChart_31L" hidden="1">'[6]Process Tools-Owned'!#REF!</definedName>
    <definedName name="_21__123Graph_BTAX_CREDIT" hidden="1">#REF!</definedName>
    <definedName name="_21__123Graph_CSENS_COMPARISON" hidden="1">#REF!</definedName>
    <definedName name="_21__123Graph_CSUPPLIES_BY_B_U" hidden="1">#REF!</definedName>
    <definedName name="_21__123Graph_DCONTRACT_BY_B_U" hidden="1">#REF!</definedName>
    <definedName name="_21__123Graph_DQRE_S_BY_CO." hidden="1">#REF!</definedName>
    <definedName name="_22" hidden="1">{"Summary",#N/A,TRUE,"Sheet1";"Returns",#N/A,TRUE,"Sheet1";"IS",#N/A,TRUE,"Sheet1";"BS",#N/A,TRUE,"Sheet1";"CF",#N/A,TRUE,"Sheet1";"Cover6",#N/A,TRUE,"Sheet1";"WC7",#N/A,TRUE,"Sheet1";"Debt8",#N/A,TRUE,"Sheet1";"Tax9",#N/A,TRUE,"Sheet1"}</definedName>
    <definedName name="_22__123Graph_BChart_3I" hidden="1">'[6]Process Tools-Owned'!#REF!</definedName>
    <definedName name="_22__123Graph_BWAGES_BY_B_U" hidden="1">#REF!</definedName>
    <definedName name="_22__123Graph_CSUPPLIES_BY_B_U" hidden="1">#REF!</definedName>
    <definedName name="_22__123Graph_CWAGES_BY_B_U" hidden="1">#REF!</definedName>
    <definedName name="_22__123Graph_DQRE_S_BY_CO." hidden="1">#REF!</definedName>
    <definedName name="_22__123Graph_DSUPPLIES_BY_B_U" hidden="1">#REF!</definedName>
    <definedName name="_23" hidden="1">{#N/A,#N/A,TRUE,"Summary";#N/A,#N/A,TRUE,"Financials";#N/A,#N/A,TRUE,"Assumptions";#N/A,#N/A,TRUE,"Pro Forma";#N/A,#N/A,TRUE,"Debt";#N/A,#N/A,TRUE,"Amortization";#N/A,#N/A,TRUE,"GG Returns"}</definedName>
    <definedName name="_23__123Graph_BChart_6J" hidden="1">'[6]Process Tools-Owned'!#REF!</definedName>
    <definedName name="_23__123Graph_CCONTRACT_BY_B_U" hidden="1">#REF!</definedName>
    <definedName name="_23__123Graph_CWAGES_BY_B_U" hidden="1">#REF!</definedName>
    <definedName name="_23__123Graph_DCONTRACT_BY_B_U" hidden="1">#REF!</definedName>
    <definedName name="_23__123Graph_DSUPPLIES_BY_B_U" hidden="1">#REF!</definedName>
    <definedName name="_23__123Graph_DWAGES_BY_B_U" hidden="1">#REF!</definedName>
    <definedName name="_235" hidden="1">{#N/A,#N/A,TRUE,"Summary";#N/A,#N/A,TRUE,"Financials";#N/A,#N/A,TRUE,"Assumptions";#N/A,#N/A,TRUE,"Pro Forma";#N/A,#N/A,TRUE,"Debt";#N/A,#N/A,TRUE,"Amortization";#N/A,#N/A,TRUE,"GG Returns"}</definedName>
    <definedName name="_24" hidden="1">{#N/A,#N/A,TRUE,"Summary";#N/A,#N/A,TRUE,"Assumptions";#N/A,#N/A,TRUE,"Comparison";#N/A,#N/A,TRUE,"Financials";#N/A,#N/A,TRUE,"Plan v. Act"}</definedName>
    <definedName name="_24__123Graph_BChart_7J" hidden="1">'[6]Process Tools-Owned'!#REF!</definedName>
    <definedName name="_24__123Graph_CQRE_S_BY_CO." hidden="1">#REF!</definedName>
    <definedName name="_24__123Graph_DCONTRACT_BY_B_U" hidden="1">#REF!</definedName>
    <definedName name="_24__123Graph_DQRE_S_BY_CO." hidden="1">#REF!</definedName>
    <definedName name="_24__123Graph_DWAGES_BY_B_U" hidden="1">#REF!</definedName>
    <definedName name="_24__123Graph_ECONTRACT_BY_B_U" hidden="1">#REF!</definedName>
    <definedName name="_25__123Graph_CChart_18K" hidden="1">'[6]Process Tools-Owned'!#REF!</definedName>
    <definedName name="_25__123Graph_CSENS_COMPARISON" hidden="1">#REF!</definedName>
    <definedName name="_25__123Graph_DQRE_S_BY_CO." hidden="1">#REF!</definedName>
    <definedName name="_25__123Graph_DSUPPLIES_BY_B_U" hidden="1">#REF!</definedName>
    <definedName name="_25__123Graph_ECONTRACT_BY_B_U" hidden="1">#REF!</definedName>
    <definedName name="_25__123Graph_EQRE_S_BY_CO." hidden="1">#REF!</definedName>
    <definedName name="_26__123Graph_CChart_19K" hidden="1">'[6]Process Tools-Owned'!#REF!</definedName>
    <definedName name="_26__123Graph_CSUPPLIES_BY_B_U" hidden="1">#REF!</definedName>
    <definedName name="_26__123Graph_DSUPPLIES_BY_B_U" hidden="1">#REF!</definedName>
    <definedName name="_26__123Graph_DWAGES_BY_B_U" hidden="1">#REF!</definedName>
    <definedName name="_26__123Graph_EQRE_S_BY_CO." hidden="1">#REF!</definedName>
    <definedName name="_26__123Graph_ESUPPLIES_BY_B_U" hidden="1">#REF!</definedName>
    <definedName name="_27__123Graph_CChart_2I" hidden="1">'[6]Process Tools-Owned'!#REF!</definedName>
    <definedName name="_27__123Graph_CWAGES_BY_B_U" hidden="1">#REF!</definedName>
    <definedName name="_27__123Graph_DWAGES_BY_B_U" hidden="1">#REF!</definedName>
    <definedName name="_27__123Graph_ECONTRACT_BY_B_U" hidden="1">#REF!</definedName>
    <definedName name="_27__123Graph_ESUPPLIES_BY_B_U" hidden="1">#REF!</definedName>
    <definedName name="_27__123Graph_EWAGES_BY_B_U" hidden="1">#REF!</definedName>
    <definedName name="_28__123Graph_CChart_30L" hidden="1">'[6]Process Tools-Owned'!#REF!</definedName>
    <definedName name="_28__123Graph_DCONTRACT_BY_B_U" hidden="1">#REF!</definedName>
    <definedName name="_28__123Graph_ECONTRACT_BY_B_U" hidden="1">#REF!</definedName>
    <definedName name="_28__123Graph_EQRE_S_BY_CO." hidden="1">#REF!</definedName>
    <definedName name="_28__123Graph_EWAGES_BY_B_U" hidden="1">#REF!</definedName>
    <definedName name="_28__123Graph_FCONTRACT_BY_B_U" hidden="1">#REF!</definedName>
    <definedName name="_29__123Graph_CChart_31L" hidden="1">'[6]Process Tools-Owned'!#REF!</definedName>
    <definedName name="_29__123Graph_DQRE_S_BY_CO." hidden="1">#REF!</definedName>
    <definedName name="_29__123Graph_EQRE_S_BY_CO." hidden="1">#REF!</definedName>
    <definedName name="_29__123Graph_ESUPPLIES_BY_B_U" hidden="1">#REF!</definedName>
    <definedName name="_29__123Graph_FCONTRACT_BY_B_U" hidden="1">#REF!</definedName>
    <definedName name="_29__123Graph_FQRE_S_BY_CO." hidden="1">#REF!</definedName>
    <definedName name="_3__123Graph_AChart_19K" hidden="1">'[6]Process Tools-Owned'!#REF!</definedName>
    <definedName name="_3__123Graph_ACONTRACT_BY_B_U" hidden="1">#REF!</definedName>
    <definedName name="_3__FDSAUDITLINK__" hidden="1">{"fdsup://directions/FAT Viewer?action=UPDATE&amp;creator=factset&amp;DYN_ARGS=TRUE&amp;DOC_NAME=FAT:FQL_AUDITING_CLIENT_TEMPLATE.FAT&amp;display_string=Audit&amp;VAR:KEY=VAZENUNOXM&amp;VAR:QUERY=RkZfRUJJVERBKENBTCwyMDA5LCwsLFVTRCk=&amp;WINDOW=FIRST_POPUP&amp;HEIGHT=450&amp;WIDTH=450&amp;START_MA","XIMIZED=FALSE&amp;VAR:CALENDAR=US&amp;VAR:SYMBOL=HSNI&amp;VAR:INDEX=0"}</definedName>
    <definedName name="_3_0__123Grap" hidden="1">'[7]Comp. Transaction'!#REF!</definedName>
    <definedName name="_30__123Graph_CChart_3I" hidden="1">'[6]Process Tools-Owned'!#REF!</definedName>
    <definedName name="_30__123Graph_DSUPPLIES_BY_B_U" hidden="1">#REF!</definedName>
    <definedName name="_30__123Graph_ESUPPLIES_BY_B_U" hidden="1">#REF!</definedName>
    <definedName name="_30__123Graph_EWAGES_BY_B_U" hidden="1">#REF!</definedName>
    <definedName name="_30__123Graph_FQRE_S_BY_CO." hidden="1">#REF!</definedName>
    <definedName name="_30__123Graph_FSUPPLIES_BY_B_U" hidden="1">#REF!</definedName>
    <definedName name="_31__123Graph_CChart_6J" hidden="1">'[6]Process Tools-Owned'!#REF!</definedName>
    <definedName name="_31__123Graph_DWAGES_BY_B_U" hidden="1">#REF!</definedName>
    <definedName name="_31__123Graph_EWAGES_BY_B_U" hidden="1">#REF!</definedName>
    <definedName name="_31__123Graph_FCONTRACT_BY_B_U" hidden="1">#REF!</definedName>
    <definedName name="_31__123Graph_FSUPPLIES_BY_B_U" hidden="1">#REF!</definedName>
    <definedName name="_31__123Graph_FWAGES_BY_B_U" hidden="1">#REF!</definedName>
    <definedName name="_32__123Graph_CChart_7J" hidden="1">'[6]Process Tools-Owned'!#REF!</definedName>
    <definedName name="_32__123Graph_ECONTRACT_BY_B_U" hidden="1">#REF!</definedName>
    <definedName name="_32__123Graph_FCONTRACT_BY_B_U" hidden="1">#REF!</definedName>
    <definedName name="_32__123Graph_FQRE_S_BY_CO." hidden="1">#REF!</definedName>
    <definedName name="_32__123Graph_FWAGES_BY_B_U" hidden="1">#REF!</definedName>
    <definedName name="_32__123Graph_XCONTRACT_BY_B_U" hidden="1">#REF!</definedName>
    <definedName name="_33__123Graph_EQRE_S_BY_CO." hidden="1">#REF!</definedName>
    <definedName name="_33__123Graph_FQRE_S_BY_CO." hidden="1">#REF!</definedName>
    <definedName name="_33__123Graph_FSUPPLIES_BY_B_U" hidden="1">#REF!</definedName>
    <definedName name="_33__123Graph_XChart_17K" hidden="1">'[6]Process Tools-Owned'!#REF!</definedName>
    <definedName name="_33__123Graph_XCONTRACT_BY_B_U" hidden="1">#REF!</definedName>
    <definedName name="_33__123Graph_XQRE_S_BY_CO." hidden="1">#REF!</definedName>
    <definedName name="_34__123Graph_ESUPPLIES_BY_B_U" hidden="1">#REF!</definedName>
    <definedName name="_34__123Graph_FSUPPLIES_BY_B_U" hidden="1">#REF!</definedName>
    <definedName name="_34__123Graph_FWAGES_BY_B_U" hidden="1">#REF!</definedName>
    <definedName name="_34__123Graph_XChart_18K" hidden="1">'[6]Process Tools-Owned'!#REF!</definedName>
    <definedName name="_34__123Graph_XQRE_S_BY_CO." hidden="1">#REF!</definedName>
    <definedName name="_34__123Graph_XQRE_S_BY_TYPE" hidden="1">#REF!</definedName>
    <definedName name="_35__123Graph_EWAGES_BY_B_U" hidden="1">#REF!</definedName>
    <definedName name="_35__123Graph_FWAGES_BY_B_U" hidden="1">#REF!</definedName>
    <definedName name="_35__123Graph_XChart_19K" hidden="1">'[6]Process Tools-Owned'!#REF!</definedName>
    <definedName name="_35__123Graph_XCONTRACT_BY_B_U" hidden="1">#REF!</definedName>
    <definedName name="_35__123Graph_XQRE_S_BY_TYPE" hidden="1">#REF!</definedName>
    <definedName name="_35__123Graph_XSUPPLIES_BY_B_U" hidden="1">#REF!</definedName>
    <definedName name="_36__123Graph_FCONTRACT_BY_B_U" hidden="1">#REF!</definedName>
    <definedName name="_36__123Graph_XChart_20K" hidden="1">'[6]Process Tools-Owned'!#REF!</definedName>
    <definedName name="_36__123Graph_XCONTRACT_BY_B_U" hidden="1">#REF!</definedName>
    <definedName name="_36__123Graph_XQRE_S_BY_CO." hidden="1">#REF!</definedName>
    <definedName name="_36__123Graph_XSUPPLIES_BY_B_U" hidden="1">#REF!</definedName>
    <definedName name="_36__123Graph_XTAX_CREDIT" hidden="1">#REF!</definedName>
    <definedName name="_37__123Graph_FQRE_S_BY_CO." hidden="1">#REF!</definedName>
    <definedName name="_37__123Graph_XChart_29L" hidden="1">'[6]Process Tools-Owned'!$J$74:$J$74</definedName>
    <definedName name="_37__123Graph_XQRE_S_BY_CO." hidden="1">#REF!</definedName>
    <definedName name="_37__123Graph_XQRE_S_BY_TYPE" hidden="1">#REF!</definedName>
    <definedName name="_37__123Graph_XTAX_CREDIT" hidden="1">#REF!</definedName>
    <definedName name="_38__123Graph_FSUPPLIES_BY_B_U" hidden="1">#REF!</definedName>
    <definedName name="_38__123Graph_XChart_2I" hidden="1">'[6]Process Tools-Owned'!$J$68:$J$73</definedName>
    <definedName name="_38__123Graph_XQRE_S_BY_TYPE" hidden="1">#REF!</definedName>
    <definedName name="_38__123Graph_XSUPPLIES_BY_B_U" hidden="1">#REF!</definedName>
    <definedName name="_39__123Graph_FWAGES_BY_B_U" hidden="1">#REF!</definedName>
    <definedName name="_39__123Graph_XChart_30L" hidden="1">'[6]Process Tools-Owned'!$J$74:$J$74</definedName>
    <definedName name="_39__123Graph_XSUPPLIES_BY_B_U" hidden="1">#REF!</definedName>
    <definedName name="_39__123Graph_XTAX_CREDIT" hidden="1">#REF!</definedName>
    <definedName name="_4__123Graph_AChart_1I" hidden="1">'[6]Process Tools-Owned'!#REF!</definedName>
    <definedName name="_4__123Graph_ACHART_3" hidden="1">#N/A</definedName>
    <definedName name="_4__123Graph_ACONTRACT_BY_B_U" hidden="1">#REF!</definedName>
    <definedName name="_4__123Graph_AQRE_S_BY_CO." hidden="1">#REF!</definedName>
    <definedName name="_4__FDSAUDITLINK__" hidden="1">{"fdsup://directions/FAT Viewer?action=UPDATE&amp;creator=factset&amp;DYN_ARGS=TRUE&amp;DOC_NAME=FAT:FQL_AUDITING_CLIENT_TEMPLATE.FAT&amp;display_string=Audit&amp;VAR:KEY=TUBYLARIHY&amp;VAR:QUERY=RkZfRUJJVERBKENBTCwyMDA4LCwsLFVTRCk=&amp;WINDOW=FIRST_POPUP&amp;HEIGHT=450&amp;WIDTH=450&amp;START_MA","XIMIZED=FALSE&amp;VAR:CALENDAR=US&amp;VAR:SYMBOL=HSNI&amp;VAR:INDEX=0"}</definedName>
    <definedName name="_40__123Graph_XChart_31L" hidden="1">'[6]Process Tools-Owned'!$J$74:$J$74</definedName>
    <definedName name="_40__123Graph_XCONTRACT_BY_B_U" hidden="1">#REF!</definedName>
    <definedName name="_40__123Graph_XTAX_CREDIT" hidden="1">#REF!</definedName>
    <definedName name="_41__123Graph_XChart_32L" hidden="1">'[6]Process Tools-Owned'!$J$74:$J$74</definedName>
    <definedName name="_41__123Graph_XQRE_S_BY_CO." hidden="1">#REF!</definedName>
    <definedName name="_42__123Graph_XChart_3I" hidden="1">'[6]Process Tools-Owned'!$J$68:$J$73</definedName>
    <definedName name="_42__123Graph_XQRE_S_BY_TYPE" hidden="1">#REF!</definedName>
    <definedName name="_43__123Graph_XChart_4I" hidden="1">'[6]Process Tools-Owned'!$J$68:$J$73</definedName>
    <definedName name="_43__123Graph_XSUPPLIES_BY_B_U" hidden="1">#REF!</definedName>
    <definedName name="_44__123Graph_XChart_5J" hidden="1">'[6]Process Tools-Owned'!#REF!</definedName>
    <definedName name="_44__123Graph_XTAX_CREDIT" hidden="1">#REF!</definedName>
    <definedName name="_45__123Graph_XChart_6J" hidden="1">'[6]Process Tools-Owned'!#REF!</definedName>
    <definedName name="_46__123Graph_XChart_7J" hidden="1">'[6]Process Tools-Owned'!#REF!</definedName>
    <definedName name="_47__123Graph_XChart_8J" hidden="1">'[6]Process Tools-Owned'!#REF!</definedName>
    <definedName name="_5__123Graph_AChart_20K" hidden="1">'[6]Process Tools-Owned'!#REF!</definedName>
    <definedName name="_5__123Graph_ACHART_3" hidden="1">#N/A</definedName>
    <definedName name="_5__123Graph_ACONTRACT_BY_B_U" hidden="1">#REF!</definedName>
    <definedName name="_5__123Graph_AQRE_S_BY_CO." hidden="1">#REF!</definedName>
    <definedName name="_5__123Graph_ASENS_COMPARISON" hidden="1">#REF!</definedName>
    <definedName name="_5__FDSAUDITLINK__" hidden="1">{"fdsup://directions/FAT Viewer?action=UPDATE&amp;creator=factset&amp;DYN_ARGS=TRUE&amp;DOC_NAME=FAT:FQL_AUDITING_CLIENT_TEMPLATE.FAT&amp;display_string=Audit&amp;VAR:KEY=PODUBCZSXM&amp;VAR:QUERY=RkZfU0FMRVMoQ0FMLDEvMS8yMDA5LDEyLzMxLzIwMDkp&amp;WINDOW=FIRST_POPUP&amp;HEIGHT=450&amp;WIDTH=450&amp;","START_MAXIMIZED=FALSE&amp;VAR:CALENDAR=US&amp;VAR:SYMBOL=SIFY&amp;VAR:INDEX=0"}</definedName>
    <definedName name="_6__123Graph_AChart_29L" hidden="1">'[6]Process Tools-Owned'!#REF!</definedName>
    <definedName name="_6__123Graph_ACONTRACT_BY_B_U" hidden="1">#REF!</definedName>
    <definedName name="_6__123Graph_AQRE_S_BY_CO." hidden="1">#REF!</definedName>
    <definedName name="_6__123Graph_ASENS_COMPARISON" hidden="1">#REF!</definedName>
    <definedName name="_6__123Graph_ASUPPLIES_BY_B_U" hidden="1">#REF!</definedName>
    <definedName name="_6__FDSAUDITLINK__" hidden="1">{"fdsup://directions/FAT Viewer?action=UPDATE&amp;creator=factset&amp;DYN_ARGS=TRUE&amp;DOC_NAME=FAT:FQL_AUDITING_CLIENT_TEMPLATE.FAT&amp;display_string=Audit&amp;VAR:KEY=NYHSROVUVC&amp;VAR:QUERY=RkZfU0FMRVMoQ0FMLDEvMS8yMDA4LDEyLzMxLzIwMDgp&amp;WINDOW=FIRST_POPUP&amp;HEIGHT=450&amp;WIDTH=450&amp;","START_MAXIMIZED=FALSE&amp;VAR:CALENDAR=US&amp;VAR:SYMBOL=SIFY&amp;VAR:INDEX=0"}</definedName>
    <definedName name="_7__123Graph_AChart_2I" hidden="1">'[6]Process Tools-Owned'!#REF!</definedName>
    <definedName name="_7__123Graph_AQRE_S_BY_CO." hidden="1">#REF!</definedName>
    <definedName name="_7__123Graph_ASENS_COMPARISON" hidden="1">#REF!</definedName>
    <definedName name="_7__123Graph_ASUPPLIES_BY_B_U" hidden="1">#REF!</definedName>
    <definedName name="_7__123Graph_ATAX_CREDIT" hidden="1">#REF!</definedName>
    <definedName name="_7__FDSAUDITLINK__" hidden="1">{"fdsup://directions/FAT Viewer?action=UPDATE&amp;creator=factset&amp;DYN_ARGS=TRUE&amp;DOC_NAME=FAT:FQL_AUDITING_CLIENT_TEMPLATE.FAT&amp;display_string=Audit&amp;VAR:KEY=VAZENUNOXM&amp;VAR:QUERY=RkZfRUJJVERBKENBTCwyMDA5LCwsLFVTRCk=&amp;WINDOW=FIRST_POPUP&amp;HEIGHT=450&amp;WIDTH=450&amp;START_MA","XIMIZED=FALSE&amp;VAR:CALENDAR=US&amp;VAR:SYMBOL=HSNI&amp;VAR:INDEX=0"}</definedName>
    <definedName name="_8__123Graph_AChart_30L" hidden="1">'[6]Process Tools-Owned'!#REF!</definedName>
    <definedName name="_8__123Graph_ASENS_COMPARISON" hidden="1">#REF!</definedName>
    <definedName name="_8__123Graph_ASUPPLIES_BY_B_U" hidden="1">#REF!</definedName>
    <definedName name="_8__123Graph_ATAX_CREDIT" hidden="1">#REF!</definedName>
    <definedName name="_8__123Graph_AWAGES_BY_B_U" hidden="1">#REF!</definedName>
    <definedName name="_8__FDSAUDITLINK__" hidden="1">{"fdsup://directions/FAT Viewer?action=UPDATE&amp;creator=factset&amp;DYN_ARGS=TRUE&amp;DOC_NAME=FAT:FQL_AUDITING_CLIENT_TEMPLATE.FAT&amp;display_string=Audit&amp;VAR:KEY=TUBYLARIHY&amp;VAR:QUERY=RkZfRUJJVERBKENBTCwyMDA4LCwsLFVTRCk=&amp;WINDOW=FIRST_POPUP&amp;HEIGHT=450&amp;WIDTH=450&amp;START_MA","XIMIZED=FALSE&amp;VAR:CALENDAR=US&amp;VAR:SYMBOL=HSNI&amp;VAR:INDEX=0"}</definedName>
    <definedName name="_8870__FDSAUDITLINK__" hidden="1">{"fdsup://directions/FAT Viewer?action=UPDATE&amp;creator=factset&amp;DYN_ARGS=TRUE&amp;DOC_NAME=FAT:FQL_AUDITING_CLIENT_TEMPLATE.FAT&amp;display_string=Audit&amp;VAR:KEY=NEBOBIHUHW&amp;VAR:QUERY=RkZfRVBTKENBTCwyMDA5LCwsLFVTRCk=&amp;WINDOW=FIRST_POPUP&amp;HEIGHT=450&amp;WIDTH=450&amp;START_MAXIMI","ZED=FALSE&amp;VAR:CALENDAR=US&amp;VAR:SYMBOL=CTCT&amp;VAR:INDEX=0"}</definedName>
    <definedName name="_9__123Graph_AChart_31L" hidden="1">'[6]Process Tools-Owned'!#REF!</definedName>
    <definedName name="_9__123Graph_ASUPPLIES_BY_B_U" hidden="1">#REF!</definedName>
    <definedName name="_9__123Graph_ATAX_CREDIT" hidden="1">#REF!</definedName>
    <definedName name="_9__123Graph_AWAGES_BY_B_U" hidden="1">#REF!</definedName>
    <definedName name="_9__123Graph_BCONTRACT_BY_B_U" hidden="1">#REF!</definedName>
    <definedName name="_9082__FDSAUDITLINK__" hidden="1">{"fdsup://Directions/FactSet Auditing Viewer?action=AUDIT_VALUE&amp;DB=129&amp;ID1=94733A10&amp;VALUEID=02001&amp;SDATE=2010&amp;PERIODTYPE=ANN_STD&amp;window=popup_no_bar&amp;width=385&amp;height=120&amp;START_MAXIMIZED=FALSE&amp;creator=factset&amp;display_string=Audit"}</definedName>
    <definedName name="_9083__FDSAUDITLINK__" hidden="1">{"fdsup://Directions/FactSet Auditing Viewer?action=AUDIT_VALUE&amp;DB=129&amp;ID1=44919P50&amp;VALUEID=02001&amp;SDATE=2010&amp;PERIODTYPE=ANN_STD&amp;SCFT=3&amp;window=popup_no_bar&amp;width=385&amp;height=120&amp;START_MAXIMIZED=FALSE&amp;creator=factset&amp;display_string=Audit"}</definedName>
    <definedName name="_9084__FDSAUDITLINK__" hidden="1">{"fdsup://Directions/FactSet Auditing Viewer?action=AUDIT_VALUE&amp;DB=129&amp;ID1=24802N10&amp;VALUEID=02001&amp;SDATE=2010&amp;PERIODTYPE=ANN_STD&amp;window=popup_no_bar&amp;width=385&amp;height=120&amp;START_MAXIMIZED=FALSE&amp;creator=factset&amp;display_string=Audit"}</definedName>
    <definedName name="_9206__FDSAUDITLINK__" hidden="1">{"fdsup://directions/FAT Viewer?action=UPDATE&amp;creator=factset&amp;DYN_ARGS=TRUE&amp;DOC_NAME=FAT:FQL_AUDITING_CLIENT_TEMPLATE.FAT&amp;display_string=Audit&amp;VAR:KEY=JUTCXUBEPA&amp;VAR:QUERY=RkZfRVBTKENBTCwyMDA5LCwsLFVTRCk=&amp;WINDOW=FIRST_POPUP&amp;HEIGHT=450&amp;WIDTH=450&amp;START_MAXIMI","ZED=FALSE&amp;VAR:CALENDAR=US&amp;VAR:SYMBOL=CRM&amp;VAR:INDEX=0"}</definedName>
    <definedName name="_9207__FDSAUDITLINK__" hidden="1">{"fdsup://Directions/FactSet Auditing Viewer?action=AUDIT_VALUE&amp;DB=129&amp;ID1=03280310&amp;VALUEID=02001&amp;SDATE=2010&amp;PERIODTYPE=ANN_STD&amp;SCFT=3&amp;window=popup_no_bar&amp;width=385&amp;height=120&amp;START_MAXIMIZED=FALSE&amp;creator=factset&amp;display_string=Audit"}</definedName>
    <definedName name="_as1" hidden="1">{#N/A,#N/A,FALSE,"Qrt Fcst";#N/A,#N/A,FALSE,"Qrt Fcst vs Plan &amp; PY";#N/A,#N/A,FALSE,"FY Fcst vs Plan &amp; PY";#N/A,#N/A,FALSE,"EVA CAP";#N/A,#N/A,FALSE,"EVA NOPAT"}</definedName>
    <definedName name="_bdm.0CF828A1AC8F4209AF9204D7C9E5A8B1.edm" hidden="1">#REF!</definedName>
    <definedName name="_bdm.0FE7C5DC676D4206AC1A6C3AC95FFA5A.edm" hidden="1">'[9]Mobile Music'!$A:$IV</definedName>
    <definedName name="_bdm.149EECDB265A4B439CA7F4074DEE7741.edm" hidden="1">'[10]Mobile search &amp; ads'!$A:$IV</definedName>
    <definedName name="_bdm.1CA3A5FC9C274BDC9037EFEBA80108E0.edm" hidden="1">#REF!</definedName>
    <definedName name="_bdm.1E55C224DB81434591BC84497AEE6DBC.edm" hidden="1">#REF!</definedName>
    <definedName name="_bdm.20C40B20A58A411BA99FA91235E9742A.edm" hidden="1">#REF!</definedName>
    <definedName name="_bdm.2FA18C54DC30470D82855A54FE40B4FE.edm" hidden="1">#REF!</definedName>
    <definedName name="_bdm.3466CC53D4F247A18D3F4EC288EA6EC8.edm" hidden="1">'[9]Operator share'!$A:$IV</definedName>
    <definedName name="_bdm.375BAE9D8E2644CC9117C57362792B7F.edm" hidden="1">#REF!</definedName>
    <definedName name="_bdm.46A2A83BCD254E11989A262F3F53C291.edm" hidden="1">'[9]Mobile TV &amp; Video'!$A:$IV</definedName>
    <definedName name="_bdm.504056D8D269498EA46C8B7688F487E5.edm" hidden="1">'[11]Football Field'!$1:$1048576</definedName>
    <definedName name="_bdm.55D035A2BF204907BDE3CFC6E0CC8FBA.edm" hidden="1">#REF!</definedName>
    <definedName name="_bdm.5939D4790AE74B9493505CD9980F4561.edm" hidden="1">'[9]Mobile SNS'!$A:$IV</definedName>
    <definedName name="_bdm.5BE4AE09F37349BDA9334813DCCCAB3C.edm" hidden="1">'[9]Mobile LBS'!$A:$IV</definedName>
    <definedName name="_bdm.5D3245D402EA4CD3BB3F4A2A403078B5.edm" hidden="1">#REF!</definedName>
    <definedName name="_bdm.5ED5F7B9993D4928B1CB0A02D6F49FA3.edm" hidden="1">#REF!</definedName>
    <definedName name="_bdm.5FCDBF288A93415ABCA2A8B79A09C88F.edm" hidden="1">#REF!</definedName>
    <definedName name="_bdm.682445BB091C47C796526ECEBE959CB3.edm" hidden="1">#REF!</definedName>
    <definedName name="_bdm.68464015892B4215AA87E0851EA5A99C.edm" hidden="1">#REF!</definedName>
    <definedName name="_bdm.6AACD128A9B44902ABDF1063A546C724.edm" hidden="1">#REF!</definedName>
    <definedName name="_bdm.6FEAF336E579459CAE7AC3A625AAB0A5.edm" hidden="1">#REF!</definedName>
    <definedName name="_bdm.7301403817A04ECFB5C59528FC085F5B.edm" hidden="1">'[9]Mobile data apps'!$A:$IV</definedName>
    <definedName name="_bdm.75A506C7D7734224BD1791136B3DB7CB.edm" hidden="1">#REF!</definedName>
    <definedName name="_bdm.7E482E3890A9461E9B82016C1EE19FCC.edm" hidden="1">'[9]Mobile enterprise'!$A:$IV</definedName>
    <definedName name="_bdm.84428503DD1947FB8FFE08CD59984351.edm" hidden="1">#REF!</definedName>
    <definedName name="_bdm.84F41A6864454937BB992EA1608FD350.edm" hidden="1">#REF!</definedName>
    <definedName name="_bdm.94348BAD6E434530BE25276A507603ED.edm" hidden="1">'[9]Mobile gaming'!$A:$IV</definedName>
    <definedName name="_bdm.9931A6EC2CD64620B716FDD91C7E1F0B.edm" hidden="1">'[9]Converged devices'!$A:$IV</definedName>
    <definedName name="_bdm.9BDFD1F6E2FE42A2AA89001579C225BD.edm" hidden="1">#REF!</definedName>
    <definedName name="_bdm.9EEBA27C152444379179E8EB5EABFA08.edm" hidden="1">#REF!</definedName>
    <definedName name="_bdm.A2512AA74A5A400B884FABD69947490E.edm" hidden="1">#REF!</definedName>
    <definedName name="_bdm.A57C9A75A79F4D929CA132D38F62391D.edm" hidden="1">#REF!</definedName>
    <definedName name="_bdm.AB2026446CF34894A83E47D408515D52.edm" hidden="1">#REF!</definedName>
    <definedName name="_bdm.B35E5D501A8F49D3AA60940AF8DDD258.edm" hidden="1">#REF!</definedName>
    <definedName name="_bdm.BB8CD8AF17DF419C81EB46AD68F7F790.edm" hidden="1">#REF!</definedName>
    <definedName name="_bdm.BF1A982DB8384470BAD6577AF19F9A5E.edm" hidden="1">#REF!</definedName>
    <definedName name="_bdm.C0862A09612C4F5A8BB4247A1EAA6B7A.edm" hidden="1">#REF!</definedName>
    <definedName name="_bdm.D97763A431BC47A188AB7C2F84C57D3E.edm" hidden="1">#REF!</definedName>
    <definedName name="_bdm.EAA5CB7C09994E378F937CFD7D118F1D.edm" hidden="1">#REF!</definedName>
    <definedName name="_bdm.EF6456083ED34D7987FD78091CD3CB1F.edm" hidden="1">#REF!</definedName>
    <definedName name="_dcf1" hidden="1">{#N/A,#N/A,FALSE,"Tar-Ass";#N/A,#N/A,FALSE,"Tar-IS";#N/A,#N/A,FALSE,"Tar-BS";#N/A,#N/A,FALSE,"Tar-Adg BS";#N/A,#N/A,FALSE,"Tar-CF"}</definedName>
    <definedName name="_Fill" hidden="1">#REF!</definedName>
    <definedName name="_filte23" hidden="1">#REF!</definedName>
    <definedName name="_filter" hidden="1">#REF!</definedName>
    <definedName name="_xlnm._FilterDatabase" hidden="1">#REF!</definedName>
    <definedName name="_jkj1" hidden="1">{#N/A,#N/A,TRUE,"FY BCG";#N/A,#N/A,TRUE,"FY w|o Wireless";#N/A,#N/A,TRUE,"FY Wireless"}</definedName>
    <definedName name="_Key1" hidden="1">#REF!</definedName>
    <definedName name="_Key10" hidden="1">#REF!</definedName>
    <definedName name="_Key2" hidden="1">#REF!</definedName>
    <definedName name="_Key20" hidden="1">#REF!</definedName>
    <definedName name="_Key3" hidden="1">#REF!</definedName>
    <definedName name="_Key4" hidden="1">#REF!</definedName>
    <definedName name="_key5" hidden="1">#REF!</definedName>
    <definedName name="_key6" hidden="1">#REF!</definedName>
    <definedName name="_MRG2" hidden="1">{"INCOME",#N/A,FALSE,"ProNet";"VALUE",#N/A,FALSE,"ProNet"}</definedName>
    <definedName name="_new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new2" hidden="1">{#N/A,#N/A,FALSE,"Income";#N/A,#N/A,FALSE,"Cost of Goods Sold";#N/A,#N/A,FALSE,"Other Costs";#N/A,#N/A,FALSE,"Other Income";#N/A,#N/A,FALSE,"Taxes";#N/A,#N/A,FALSE,"Other Deductions";#N/A,#N/A,FALSE,"Compensation of Officers"}</definedName>
    <definedName name="_old1"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_old2" hidden="1">{#N/A,#N/A,FALSE,"Income";#N/A,#N/A,FALSE,"Cost of Goods Sold";#N/A,#N/A,FALSE,"Other Costs";#N/A,#N/A,FALSE,"Other Income";#N/A,#N/A,FALSE,"Taxes";#N/A,#N/A,FALSE,"Other Deductions";#N/A,#N/A,FALSE,"Compensation of Officers"}</definedName>
    <definedName name="_Order1" hidden="1">255</definedName>
    <definedName name="_Order2" hidden="1">255</definedName>
    <definedName name="_Parse_In" hidden="1">[12]NRV0803!#REF!</definedName>
    <definedName name="_Parse_Out" hidden="1">[12]NRV0803!#REF!</definedName>
    <definedName name="_q1" hidden="1">{"inflated_pl",#N/A,FALSE,"P&amp;L"}</definedName>
    <definedName name="_q2" hidden="1">{"PL_no_inflated",#N/A,FALSE,"P&amp;L"}</definedName>
    <definedName name="_rd2" hidden="1">{#N/A,#N/A,FALSE,"Australia";#N/A,#N/A,FALSE,"Austria";#N/A,#N/A,FALSE,"Belgium";#N/A,#N/A,FALSE,"Canada";#N/A,#N/A,FALSE,"France";#N/A,#N/A,FALSE,"Germany";#N/A,#N/A,FALSE,"Hong Kong";#N/A,#N/A,FALSE,"Italy";#N/A,#N/A,FALSE,"Japan";#N/A,#N/A,FALSE,"Korea";#N/A,#N/A,FALSE,"Mexico";#N/A,#N/A,FALSE,"Poland";#N/A,#N/A,FALSE,"Spain";#N/A,#N/A,FALSE,"Switzerland";#N/A,#N/A,FALSE,"UK"}</definedName>
    <definedName name="_Regression_Int" hidden="1">1</definedName>
    <definedName name="_scl1" hidden="1">{#N/A,#N/A,FALSE,"Aging Summary";#N/A,#N/A,FALSE,"Ratio Analysis";#N/A,#N/A,FALSE,"Test 120 Day Accts";#N/A,#N/A,FALSE,"Tickmarks"}</definedName>
    <definedName name="_Sort" hidden="1">#REF!</definedName>
    <definedName name="_Sort1" hidden="1">#REF!</definedName>
    <definedName name="_Sort2" hidden="1">#REF!</definedName>
    <definedName name="_sort3" hidden="1">#REF!</definedName>
    <definedName name="_Table1_In1" hidden="1">#REF!</definedName>
    <definedName name="_Table1_Out" localSheetId="6" hidden="1">#REF!</definedName>
    <definedName name="_Table1_Out" hidden="1">#REF!</definedName>
    <definedName name="_Table2_In1" hidden="1">#REF!</definedName>
    <definedName name="_Table2_In2" hidden="1">#REF!</definedName>
    <definedName name="_Table2_Out" localSheetId="6" hidden="1">#REF!</definedName>
    <definedName name="_Table2_Out" hidden="1">#REF!</definedName>
    <definedName name="_table2_out1" hidden="1">'[13]#REF'!$C$11:$I$22</definedName>
    <definedName name="_vio1" hidden="1">{#N/A,#N/A,TRUE,"1Q BCG";#N/A,#N/A,TRUE,"1Q w|o Wireless";#N/A,#N/A,TRUE,"1Q Wireless"}</definedName>
    <definedName name="_wrn1" hidden="1">{#N/A,#N/A,TRUE,"Monthly Wireless";#N/A,#N/A,TRUE,"Qrt Wireless";#N/A,#N/A,TRUE,"FY Wireless";#N/A,#N/A,TRUE,"1Q Wireless";#N/A,#N/A,TRUE,"2Q Wireless";#N/A,#N/A,TRUE,"3Q Wireless";#N/A,#N/A,TRUE,"4Q Wireless"}</definedName>
    <definedName name="_x1" hidden="1">{"投資金額",#N/A,FALSE,"ｷｬｼｭﾌﾛｰ";"回収",#N/A,FALSE,"ｷｬｼｭﾌﾛｰ"}</definedName>
    <definedName name="_Z04" hidden="1">{#N/A,#N/A,FALSE,"Australia";#N/A,#N/A,FALSE,"Austria";#N/A,#N/A,FALSE,"Belgium";#N/A,#N/A,FALSE,"Canada";#N/A,#N/A,FALSE,"France";#N/A,#N/A,FALSE,"Germany";#N/A,#N/A,FALSE,"Hong Kong";#N/A,#N/A,FALSE,"Italy";#N/A,#N/A,FALSE,"Japan";#N/A,#N/A,FALSE,"Korea";#N/A,#N/A,FALSE,"Mexico";#N/A,#N/A,FALSE,"Poland";#N/A,#N/A,FALSE,"Spain";#N/A,#N/A,FALSE,"Switzerland";#N/A,#N/A,FALSE,"UK"}</definedName>
    <definedName name="_Z05" hidden="1">{#N/A,#N/A,FALSE,"Australia";#N/A,#N/A,FALSE,"Austria";#N/A,#N/A,FALSE,"Belgium";#N/A,#N/A,FALSE,"Canada";#N/A,#N/A,FALSE,"France";#N/A,#N/A,FALSE,"Germany";#N/A,#N/A,FALSE,"Hong Kong";#N/A,#N/A,FALSE,"Italy";#N/A,#N/A,FALSE,"Japan";#N/A,#N/A,FALSE,"Korea";#N/A,#N/A,FALSE,"Mexico";#N/A,#N/A,FALSE,"Poland";#N/A,#N/A,FALSE,"Spain";#N/A,#N/A,FALSE,"Switzerland";#N/A,#N/A,FALSE,"UK"}</definedName>
    <definedName name="a"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AAA_DOCTOPS" hidden="1">"AAA_SET"</definedName>
    <definedName name="AAA_duser" hidden="1">"OFF"</definedName>
    <definedName name="aaaa" hidden="1">{#N/A,#N/A,FALSE,"Index (2)";#N/A,#N/A,FALSE,"1-1 Vol Graph";#N/A,#N/A,FALSE,"1-2 Approve App Graph";#N/A,#N/A,FALSE,"6-1 Email Graph";#N/A,#N/A,FALSE,"6-2 Chat Graph";#N/A,#N/A,FALSE,"6-3 Total Calls_Abandoned";#N/A,#N/A,FALSE,"6-4 Abandoned Graph";#N/A,#N/A,FALSE,"6-5 Within 30 Sec"}</definedName>
    <definedName name="aaaaaa" hidden="1">{#N/A,#N/A,FALSE,"Title Page";#N/A,#N/A,FALSE,"Conclusions";#N/A,#N/A,FALSE,"Assum.";#N/A,#N/A,FALSE,"Sun  DCF-WC-Dep";#N/A,#N/A,FALSE,"MarketValue";#N/A,#N/A,FALSE,"BalSheet";#N/A,#N/A,FALSE,"WACC";#N/A,#N/A,FALSE,"PC+ Info.";#N/A,#N/A,FALSE,"PC+Info_2"}</definedName>
    <definedName name="AAB_Addin5" hidden="1">"AAB_Description for addin 5,Description for addin 5,Description for addin 5,Description for addin 5,Description for addin 5,Description for addin 5"</definedName>
    <definedName name="aadadsaSA" hidden="1">{#N/A,#N/A,FALSE,"Index (2)";#N/A,#N/A,FALSE,"1-1 Vol Graph";#N/A,#N/A,FALSE,"1-2 Approve App Graph";#N/A,#N/A,FALSE,"1-3  Sales Summary_Volume";#N/A,#N/A,FALSE,"1-4-1 Net Effective Member";#N/A,#N/A,FALSE,"1-4-2 Mbr Sales Actual vs Goal";#N/A,#N/A,FALSE,"1-5  Sales Summary_Lag";#N/A,#N/A,FALSE,"1-6-1 Mon Appr Chgs";#N/A,#N/A,FALSE,"1-6-3 4 Sent to Carrier";#N/A,#N/A,FALSE,"1-6-5 6 Submitted";#N/A,#N/A,FALSE,"1-7-1,2  ClosRatio by Carr";#N/A,#N/A,FALSE,"1-7-3,4 ClosRatio by State";#N/A,#N/A,FALSE,"1-7-5  Apps Ret CA OofS";#N/A,#N/A,FALSE,"2-1  CLosRatioStateCarr YTD";#N/A,#N/A,FALSE,"2-2 CLosRatioStateCarr Month";#N/A,#N/A,FALSE,"2-3 ClosRatioStatCarrier99";#N/A,#N/A,FALSE,"2-4 CarrierPerState00";#N/A,#N/A,FALSE,"2-5  CarrierPerStateOct";#N/A,#N/A,FALSE,"2-6 CarrierPerState99";#N/A,#N/A,FALSE,"3-1 Summary Lag Report";#N/A,#N/A,FALSE,"3-2  Lag Analysis";#N/A,#N/A,FALSE,"4 - 1  Email Graph";#N/A,#N/A,FALSE,"4-2 Chat Graph";#N/A,#N/A,FALSE,"4-3 Total Calls Graph";#N/A,#N/A,FALSE,"4-5 Within 30 Sec";#N/A,#N/A,FALSE,"4-6 IFP Follow-up Calls"}</definedName>
    <definedName name="AAFAFA" hidden="1">{#N/A,#N/A,FALSE,"Index (2)";#N/A,#N/A,FALSE,"1-1 Vol Graph";#N/A,#N/A,FALSE,"1-2 Approve App Graph";#N/A,#N/A,FALSE,"1-3  Sales Summary_Volume";#N/A,#N/A,FALSE,"1-4-1 Net Effective Member";#N/A,#N/A,FALSE,"1-4-2 Mbr Sales Actual vs Goal";#N/A,#N/A,FALSE,"1-5  Sales Summary_Lag";#N/A,#N/A,FALSE,"1-6-1 Mon Appr Chgs";#N/A,#N/A,FALSE,"1-6-3 4 Sent to Carrier";#N/A,#N/A,FALSE,"1-6-5 6 Submitted";#N/A,#N/A,FALSE,"1-7-1,2  ClosRatio by Carr";#N/A,#N/A,FALSE,"1-7-3,4 ClosRatio by State";#N/A,#N/A,FALSE,"1-7-5  Apps Ret CA OofS";#N/A,#N/A,FALSE,"2-1  CLosRatioStateCarr YTD";#N/A,#N/A,FALSE,"2-2 CLosRatioStateCarr Month";#N/A,#N/A,FALSE,"2-3 ClosRatioStatCarrier99";#N/A,#N/A,FALSE,"2-4 CarrierPerState00";#N/A,#N/A,FALSE,"2-5  CarrierPerStateOct";#N/A,#N/A,FALSE,"2-6 CarrierPerState99";#N/A,#N/A,FALSE,"3-1 Summary Lag Report";#N/A,#N/A,FALSE,"3-2  Lag Analysis";#N/A,#N/A,FALSE,"4 - 1  Email Graph";#N/A,#N/A,FALSE,"4-2 Chat Graph";#N/A,#N/A,FALSE,"4-3 Total Calls Graph";#N/A,#N/A,FALSE,"4-5 Within 30 Sec";#N/A,#N/A,FALSE,"4-6 IFP Follow-up Calls"}</definedName>
    <definedName name="aalla" hidden="1">{#N/A,#N/A,FALSE,"Index (2)";#N/A,#N/A,FALSE,"1-1 Vol Graph";#N/A,#N/A,FALSE,"1-2 Approve App Graph";#N/A,#N/A,FALSE,"1-3  Sales Summary_Volume";#N/A,#N/A,FALSE,"1-4-1 Net Effective Member";#N/A,#N/A,FALSE,"1-4-2 Mbr Sales Actual vs Goal";#N/A,#N/A,FALSE,"1-5  Sales Summary_Lag";#N/A,#N/A,FALSE,"1-6-1 Mon Appr Chgs";#N/A,#N/A,FALSE,"1-6-3 4 Sent to Carrier";#N/A,#N/A,FALSE,"1-6-5 6 Submitted";#N/A,#N/A,FALSE,"1-7-1,2  ClosRatio by Carr";#N/A,#N/A,FALSE,"1-7-3,4 ClosRatio by State";#N/A,#N/A,FALSE,"1-7-5  Apps Ret CA OofS";#N/A,#N/A,FALSE,"2-1  CLosRatioStateCarr YTD";#N/A,#N/A,FALSE,"2-2 CLosRatioStateCarr Month";#N/A,#N/A,FALSE,"2-3 ClosRatioStatCarrier99";#N/A,#N/A,FALSE,"2-4 CarrierPerState00";#N/A,#N/A,FALSE,"2-5  CarrierPerStateOct";#N/A,#N/A,FALSE,"2-6 CarrierPerState99";#N/A,#N/A,FALSE,"3-1 Summary Lag Report";#N/A,#N/A,FALSE,"3-2  Lag Analysis";#N/A,#N/A,FALSE,"4 - 1  Email Graph";#N/A,#N/A,FALSE,"4-2 Chat Graph";#N/A,#N/A,FALSE,"4-3 Total Calls Graph";#N/A,#N/A,FALSE,"4-5 Within 30 Sec";#N/A,#N/A,FALSE,"4-6 IFP Follow-up Calls"}</definedName>
    <definedName name="AB" hidden="1">{TRUE,TRUE,-1.25,-15.5,456.75,279.75,FALSE,FALSE,TRUE,TRUE,0,1,21,1,127,6,3,4,TRUE,TRUE,3,TRUE,1,TRUE,100,"Swvu.profits.","ACwvu.profits.",1,FALSE,FALSE,0.511811023622047,0.511811023622047,0.511811023622047,0.511811023622047,1,"","",FALSE,FALSE,FALSE,FALSE,1,#N/A,1,1,#DIV/0!,FALSE,"Rwvu.profits.",#N/A,FALSE,FALSE}</definedName>
    <definedName name="abc"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bcde" hidden="1">{#N/A,#N/A,FALSE,"Title Page";#N/A,#N/A,FALSE,"Conclusions";#N/A,#N/A,FALSE,"Assum.";#N/A,#N/A,FALSE,"Sun  DCF-WC-Dep";#N/A,#N/A,FALSE,"MarketValue";#N/A,#N/A,FALSE,"BalSheet";#N/A,#N/A,FALSE,"WACC";#N/A,#N/A,FALSE,"PC+ Info.";#N/A,#N/A,FALSE,"PC+Info_2"}</definedName>
    <definedName name="Access_Button1" hidden="1">"Headcount_Workbook_Schedules_List"</definedName>
    <definedName name="AccessDatabase" hidden="1">"P:\HR\SharonPlummer\Headcount Workbook.mdb"</definedName>
    <definedName name="Actual" hidden="1">{#N/A,#N/A,TRUE,"Historicals";#N/A,#N/A,TRUE,"Charts";#N/A,#N/A,TRUE,"Forecasts"}</definedName>
    <definedName name="ACwvu.All." hidden="1">[14]Inventory!#REF!</definedName>
    <definedName name="ACwvu.IMSD._.Only." hidden="1">[14]Inventory!#REF!</definedName>
    <definedName name="ad"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adadd" hidden="1">{#N/A,#N/A,FALSE,"Index";#N/A,#N/A,FALSE,"1-1 Vol Graph";#N/A,#N/A,FALSE,"1-2 Approve App Graph";#N/A,#N/A,FALSE,"1-3  Sales Summary_Volume";#N/A,#N/A,FALSE,"1-4  Net Effective Members"}</definedName>
    <definedName name="add" hidden="1">#REF!</definedName>
    <definedName name="addg" hidden="1">{#N/A,#N/A,FALSE,"CBE";#N/A,#N/A,FALSE,"SWK"}</definedName>
    <definedName name="adf" hidden="1">{"Page1",#N/A,FALSE,"CompCo";"Page2",#N/A,FALSE,"CompCo"}</definedName>
    <definedName name="adfa" hidden="1">{#N/A,#N/A,FALSE,"UCSD"}</definedName>
    <definedName name="adfa1" hidden="1">{#N/A,#N/A,FALSE,"UCSD"}</definedName>
    <definedName name="adfauui" hidden="1">{"Page1",#N/A,FALSE,"CompCo";"Page2",#N/A,FALSE,"CompCo"}</definedName>
    <definedName name="adfda" hidden="1">{#N/A,#N/A,FALSE,"Aging Summary";#N/A,#N/A,FALSE,"Ratio Analysis";#N/A,#N/A,FALSE,"Test 120 Day Accts";#N/A,#N/A,FALSE,"Tickmarks"}</definedName>
    <definedName name="adfda2" hidden="1">{#N/A,#N/A,FALSE,"Aging Summary";#N/A,#N/A,FALSE,"Ratio Analysis";#N/A,#N/A,FALSE,"Test 120 Day Accts";#N/A,#N/A,FALSE,"Tickmarks"}</definedName>
    <definedName name="adfg" hidden="1">{#N/A,#N/A,TRUE,"Monthly BCG";#N/A,#N/A,TRUE,"Monthly w|o Wireless";#N/A,#N/A,TRUE,"Monthly Wireless"}</definedName>
    <definedName name="adfg1" hidden="1">{#N/A,#N/A,TRUE,"Monthly BCG";#N/A,#N/A,TRUE,"Monthly w|o Wireless";#N/A,#N/A,TRUE,"Monthly Wireless"}</definedName>
    <definedName name="adsf" hidden="1">{TRUE,TRUE,-1.25,-15.5,456.75,279.75,FALSE,FALSE,TRUE,TRUE,0,1,21,1,127,6,3,4,TRUE,TRUE,3,TRUE,1,TRUE,100,"Swvu.profits.","ACwvu.profits.",1,FALSE,FALSE,0.511811023622047,0.511811023622047,0.511811023622047,0.511811023622047,1,"","",FALSE,FALSE,FALSE,FALSE,1,#N/A,1,1,#DIV/0!,FALSE,"Rwvu.profits.",#N/A,FALSE,FALSE}</definedName>
    <definedName name="adsf1" hidden="1">{#N/A,#N/A,FALSE,"Year To Date"}</definedName>
    <definedName name="adsf2" hidden="1">{#N/A,#N/A,FALSE,"Year To Date"}</definedName>
    <definedName name="aebtv" hidden="1">{"Full-model",#N/A,FALSE,"ProForma-ASPT"}</definedName>
    <definedName name="AETH" hidden="1">{"Full-model",#N/A,FALSE,"ProForma-ASPT"}</definedName>
    <definedName name="afjija" hidden="1">#REF!</definedName>
    <definedName name="afjjfa" hidden="1">{#N/A,#N/A,FALSE,"Index (2)";#N/A,#N/A,FALSE,"1-1 Vol Graph";#N/A,#N/A,FALSE,"1-2 Approve App Graph";#N/A,#N/A,FALSE,"6-1 Email Graph";#N/A,#N/A,FALSE,"6-2 Chat Graph";#N/A,#N/A,FALSE,"6-3 Total Calls_Abandoned";#N/A,#N/A,FALSE,"6-4 Abandoned Graph";#N/A,#N/A,FALSE,"6-5 Within 30 Sec"}</definedName>
    <definedName name="agag" hidden="1">{#N/A,#N/A,TRUE,"Outlook98";#N/A,#N/A,TRUE,"Reduction Model"}</definedName>
    <definedName name="ale" hidden="1">#REF!</definedName>
    <definedName name="alyson" hidden="1">{#N/A,#N/A,FALSE,"Australia";#N/A,#N/A,FALSE,"Austria";#N/A,#N/A,FALSE,"Belgium";#N/A,#N/A,FALSE,"Canada";#N/A,#N/A,FALSE,"France";#N/A,#N/A,FALSE,"Germany";#N/A,#N/A,FALSE,"Hong Kong";#N/A,#N/A,FALSE,"Italy";#N/A,#N/A,FALSE,"Japan";#N/A,#N/A,FALSE,"Korea";#N/A,#N/A,FALSE,"Mexico";#N/A,#N/A,FALSE,"Poland";#N/A,#N/A,FALSE,"Spain";#N/A,#N/A,FALSE,"Switzerland";#N/A,#N/A,FALSE,"UK"}</definedName>
    <definedName name="Americas" hidden="1">{#N/A,#N/A,FALSE,"UCSD"}</definedName>
    <definedName name="anscount" hidden="1">1</definedName>
    <definedName name="APAC_New" hidden="1">{"'SGI_Opex'!$A$1:$O$187"}</definedName>
    <definedName name="appendix4" hidden="1">{#N/A,#N/A,TRUE,"Cover sheet";#N/A,#N/A,TRUE,"Summary";#N/A,#N/A,TRUE,"Key Assumptions";#N/A,#N/A,TRUE,"Profit &amp; Loss";#N/A,#N/A,TRUE,"Balance Sheet";#N/A,#N/A,TRUE,"Cashflow";#N/A,#N/A,TRUE,"IRR";#N/A,#N/A,TRUE,"Ratios";#N/A,#N/A,TRUE,"Debt analysis"}</definedName>
    <definedName name="april" hidden="1">{#N/A,#N/A,FALSE,"Index";#N/A,#N/A,FALSE,"1-1 Vol Graph";#N/A,#N/A,FALSE,"1-2 Approve App Graph";#N/A,#N/A,FALSE,"1-3  Sales Summary_Volume";#N/A,#N/A,FALSE,"1-4  Net Effective Members"}</definedName>
    <definedName name="arstjj" hidden="1">{"Full-model",#N/A,FALSE,"ProForma-ASPT"}</definedName>
    <definedName name="as" hidden="1">{#N/A,#N/A,FALSE,"Qrt Fcst";#N/A,#N/A,FALSE,"Qrt Fcst vs Plan &amp; PY";#N/A,#N/A,FALSE,"FY Fcst vs Plan &amp; PY";#N/A,#N/A,FALSE,"EVA CAP";#N/A,#N/A,FALSE,"EVA NOPAT"}</definedName>
    <definedName name="AS2DocOpenMode" hidden="1">"AS2DocumentEdit"</definedName>
    <definedName name="AS2HasNoAutoHeaderFooter" hidden="1">" "</definedName>
    <definedName name="AS2LinkLS" hidden="1">[15]Links!A1</definedName>
    <definedName name="AS2NamedRange" hidden="1">10</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d" hidden="1">{#N/A,#N/A,TRUE,"4Q BCG";#N/A,#N/A,TRUE,"4Q w|o Wireless";#N/A,#N/A,TRUE,"4Q Wireless"}</definedName>
    <definedName name="asdf" hidden="1">{TRUE,TRUE,-1.25,-15.5,456.75,279.75,FALSE,FALSE,TRUE,TRUE,0,1,8,1,4,6,3,4,TRUE,TRUE,3,TRUE,1,TRUE,100,"Swvu.turnover.","ACwvu.turnover.",1,FALSE,FALSE,0.511811023622047,0.511811023622047,0.511811023622047,0.511811023622047,1,"","",FALSE,FALSE,FALSE,FALSE,1,#N/A,1,1,#DIV/0!,FALSE,"Rwvu.turnover.",#N/A,FALSE,FALSE}</definedName>
    <definedName name="asdfasdf" hidden="1">{"ATP Spending Report",#N/A,FALSE,"ATP";"Gestec spd rpt",#N/A,FALSE,"Gestec";"UCSD spending RPT",#N/A,FALSE,"UCSD";"Sapolsky Spending Rpt",#N/A,FALSE,"Sapolsky";"Oncogene Spnding Rpt",#N/A,FALSE,"Oncogene Ph. 2";"P450 spd rpt",#N/A,FALSE,"NIH P450";"hiv 2 SPD RPT",#N/A,FALSE,"HIV Phase 2";"Mito Spd Rpt",#N/A,FALSE,"Mitochondrial";"ORD Spd Rpt",#N/A,FALSE,"ORD"}</definedName>
    <definedName name="ASDFASDFASDF" hidden="1">#REF!</definedName>
    <definedName name="asdfasdfsa" hidden="1">{#N/A,#N/A,FALSE,"Oncogene"}</definedName>
    <definedName name="asdfsdfsadf" hidden="1">{#N/A,#N/A,FALSE,"Year To Date"}</definedName>
    <definedName name="asf" hidden="1">{#N/A,#N/A,TRUE,"Monthly BCG";#N/A,#N/A,TRUE,"Qrt BCG";#N/A,#N/A,TRUE,"FY BCG";#N/A,#N/A,TRUE,"1Q BCG";#N/A,#N/A,TRUE,"2Q BCG";#N/A,#N/A,TRUE,"3Q BCG";#N/A,#N/A,TRUE,"4Q BCG"}</definedName>
    <definedName name="asfa" hidden="1">{#N/A,#N/A,FALSE,"MKTSUM95";#N/A,#N/A,FALSE,"MKTADM95";#N/A,#N/A,FALSE,"MKTD&amp;C95";#N/A,#N/A,FALSE,"MKTPRD95";#N/A,#N/A,FALSE,"MKTCHL95"}</definedName>
    <definedName name="asfa1" hidden="1">{#N/A,#N/A,FALSE,"MKTSUM95";#N/A,#N/A,FALSE,"MKTADM95";#N/A,#N/A,FALSE,"MKTD&amp;C95";#N/A,#N/A,FALSE,"MKTPRD95";#N/A,#N/A,FALSE,"MKTCHL95"}</definedName>
    <definedName name="asrtrt" hidden="1">#REF!</definedName>
    <definedName name="at" hidden="1">{#N/A,#N/A,FALSE,"Index (2)";#N/A,#N/A,FALSE,"1-1 Vol Graph";#N/A,#N/A,FALSE,"1-2 Approve App Graph";#N/A,#N/A,FALSE,"1-3  Sales Summary_Volume";#N/A,#N/A,FALSE,"1-4-1 Net Effective Member";#N/A,#N/A,FALSE,"1-4-2 Mbr Sales Actual vs Goal";#N/A,#N/A,FALSE,"1-5  Sales Summary_Lag";#N/A,#N/A,FALSE,"1-6-1 Mon Appr Chgs";#N/A,#N/A,FALSE,"1-6-3 4 Sent to Carrier";#N/A,#N/A,FALSE,"1-6-5 6 Submitted";#N/A,#N/A,FALSE,"1-7-1,2  ClosRatio by Carr";#N/A,#N/A,FALSE,"1-7-3,4 ClosRatio by State";#N/A,#N/A,FALSE,"1-7-5  Apps Ret CA OofS";#N/A,#N/A,FALSE,"2-1  CLosRatioStateCarr YTD";#N/A,#N/A,FALSE,"2-2 CLosRatioStateCarr Month";#N/A,#N/A,FALSE,"2-3 ClosRatioStatCarrier99";#N/A,#N/A,FALSE,"2-4 CarrierPerState00";#N/A,#N/A,FALSE,"2-5  CarrierPerStateOct";#N/A,#N/A,FALSE,"2-6 CarrierPerState99";#N/A,#N/A,FALSE,"3-1 Summary Lag Report";#N/A,#N/A,FALSE,"3-2  Lag Analysis";#N/A,#N/A,FALSE,"4 - 1  Email Graph";#N/A,#N/A,FALSE,"4-2 Chat Graph";#N/A,#N/A,FALSE,"4-3 Total Calls Graph";#N/A,#N/A,FALSE,"4-5 Within 30 Sec";#N/A,#N/A,FALSE,"4-6 IFP Follow-up Calls"}</definedName>
    <definedName name="au" hidden="1">{#N/A,#N/A,FALSE,"Index (2)";#N/A,#N/A,FALSE,"1-1 Vol Graph";#N/A,#N/A,FALSE,"1-2 Approve App Graph";#N/A,#N/A,FALSE,"6-1 Email Graph";#N/A,#N/A,FALSE,"6-2 Chat Graph";#N/A,#N/A,FALSE,"6-3 Total Calls_Abandoned";#N/A,#N/A,FALSE,"6-4 Abandoned Graph";#N/A,#N/A,FALSE,"6-5 Within 30 Sec"}</definedName>
    <definedName name="aw"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awdfv" hidden="1">{"Full-model",#N/A,FALSE,"ProForma-ASPT"}</definedName>
    <definedName name="aweftg" hidden="1">{"Full-model",#N/A,FALSE,"ProForma-ASPT"}</definedName>
    <definedName name="awerg" hidden="1">{"Valuation",#N/A,FALSE,"ProForma-ASPT"}</definedName>
    <definedName name="awser" hidden="1">{#N/A,#N/A,FALSE,"Aging Summary";#N/A,#N/A,FALSE,"Ratio Analysis";#N/A,#N/A,FALSE,"Test 120 Day Accts";#N/A,#N/A,FALSE,"Tickmarks"}</definedName>
    <definedName name="ax" hidden="1">{#N/A,#N/A,FALSE,"RD2USA1";#N/A,#N/A,FALSE,"RD2USA2";#N/A,#N/A,FALSE,"RD2USA3";#N/A,#N/A,FALSE,"RD2USAT";#N/A,#N/A,FALSE,"RD3USA1";#N/A,#N/A,FALSE,"RD3USA2";#N/A,#N/A,FALSE,"RD3USA3";#N/A,#N/A,FALSE,"RD3USAT";#N/A,#N/A,FALSE,"RD4USA"}</definedName>
    <definedName name="B52.1" hidden="1">{"BookMem",#N/A,FALSE,"BookMemEquity";"TaxMem",#N/A,FALSE,"TaxMemEquity";"EqCalcs",#N/A,FALSE,"EQcalcs";"Distrib",#N/A,FALSE,"Distributions"}</definedName>
    <definedName name="bbb" hidden="1">{"CSN M Detail",#N/A,FALSE,"Sch M Detail"}</definedName>
    <definedName name="bbbb" hidden="1">{#N/A,#N/A,FALSE,"Title Page";#N/A,#N/A,FALSE,"Conclusions";#N/A,#N/A,FALSE,"Assum.";#N/A,#N/A,FALSE,"Sun  DCF-WC-Dep";#N/A,#N/A,FALSE,"MarketValue";#N/A,#N/A,FALSE,"BalSheet";#N/A,#N/A,FALSE,"WACC";#N/A,#N/A,FALSE,"PC+ Info.";#N/A,#N/A,FALSE,"PC+Info_2"}</definedName>
    <definedName name="bbbbb" hidden="1">{#N/A,#N/A,FALSE,"34";#N/A,#N/A,FALSE,"35"}</definedName>
    <definedName name="BBFS.Act.CurrentLiab.CorporationTax" hidden="1">[15]BBFS.Act!$K$561:$CD$561</definedName>
    <definedName name="BBFS.Act.Loan2.DeferredTax.CFLosses" hidden="1">[15]BBFS.Act!$K$614:$CD$614</definedName>
    <definedName name="BegOfYear5253week" hidden="1">'[16]C01-General'!$E$12</definedName>
    <definedName name="berry" hidden="1">{#N/A,#N/A,FALSE,"Taxblinc";#N/A,#N/A,FALSE,"Rsvsacls"}</definedName>
    <definedName name="beth" hidden="1">[17]BSMONTH!$A$3</definedName>
    <definedName name="beth.all" hidden="1">[17]BSMONTH!$A$34:$IV$34,[17]BSMONTH!$A$41:$IV$42</definedName>
    <definedName name="beth1" hidden="1">[17]BSMONTH!$G$3</definedName>
    <definedName name="betha" hidden="1">#REF!</definedName>
    <definedName name="BG_Del" hidden="1">15</definedName>
    <definedName name="BG_Ins" hidden="1">4</definedName>
    <definedName name="BG_Mod" hidden="1">6</definedName>
    <definedName name="Blah" hidden="1">#REF!</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[18]football_field!#REF!</definedName>
    <definedName name="BLPH2" hidden="1">#REF!</definedName>
    <definedName name="BLPH28" hidden="1">'[19]Bloomberg Input'!#REF!</definedName>
    <definedName name="BLPH29" hidden="1">'[19]Bloomberg Input'!#REF!</definedName>
    <definedName name="BLPH3" hidden="1">#REF!</definedName>
    <definedName name="BLPH30" hidden="1">'[19]Bloomberg Input'!#REF!</definedName>
    <definedName name="BLPH4" hidden="1">#REF!</definedName>
    <definedName name="BLPH5" hidden="1">#REF!</definedName>
    <definedName name="BLPH6" hidden="1">#REF!</definedName>
    <definedName name="BLPH8" hidden="1">#REF!</definedName>
    <definedName name="BLPH9" hidden="1">[20]Odwalla!#REF!</definedName>
    <definedName name="bn" hidden="1">'[21]Gross Receipts'!$B$49</definedName>
    <definedName name="BNE_MESSAGES_HIDDEN" hidden="1">#REF!</definedName>
    <definedName name="BookIncome" hidden="1">'[16]C02-Book to Tax - Net'!$F$7</definedName>
    <definedName name="boring" hidden="1">{"Page1",#N/A,FALSE,"CompCo";"Page2",#N/A,FALSE,"CompCo"}</definedName>
    <definedName name="bpd" hidden="1">{#N/A,#N/A,TRUE,"Condensed IS";#N/A,#N/A,TRUE,"Condensed BS";#N/A,#N/A,TRUE,"Outlook";#N/A,#N/A,TRUE,"Condensed CF";#N/A,#N/A,TRUE,"Condensed CF - qtr"}</definedName>
    <definedName name="BS2002vs2001" hidden="1">{"CF worksheet",#N/A,FALSE,"Consolidated"}</definedName>
    <definedName name="bspbc" hidden="1">{"CF worksheet",#N/A,FALSE,"Consolidated"}</definedName>
    <definedName name="buck"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Budget_2"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bull" hidden="1">{#N/A,#N/A,FALSE,"Combo-Ass ";#N/A,#N/A,FALSE,"Combo-AD sum";#N/A,#N/A,FALSE,"Combo-Syn Sens";#N/A,#N/A,FALSE,"Combo-Contr";#N/A,#N/A,FALSE,"Combo-Credit Sum";#N/A,#N/A,FALSE,"Combo-Credit";#N/A,#N/A,FALSE,"Combo-AD";#N/A,#N/A,FALSE,"Combo-AD CF"}</definedName>
    <definedName name="bullsf" hidden="1">{#N/A,#N/A,TRUE,"Tar-Ass";#N/A,#N/A,TRUE,"Tar-Ass LBO";#N/A,#N/A,TRUE,"LBO Ret";#N/A,#N/A,TRUE,"Tar-BS LBO";#N/A,#N/A,TRUE,"Tar-IS LBO";#N/A,#N/A,TRUE,"Tar-CF LBO";#N/A,#N/A,TRUE,"Tar-Debt LBO";#N/A,#N/A,TRUE,"Tar-Int LBO";#N/A,#N/A,TRUE,"Tar-Taxes LBO";#N/A,#N/A,TRUE,"Tar-Val LBO"}</definedName>
    <definedName name="bvcx" hidden="1">{"Valuation",#N/A,FALSE,"ProForma-ASPT"}</definedName>
    <definedName name="bvhl" hidden="1">{"Valuation",#N/A,FALSE,"ProForma-ASPT"}</definedName>
    <definedName name="capitalized" hidden="1">{#N/A,#N/A,FALSE,"Title Page";#N/A,#N/A,FALSE,"Conclusions";#N/A,#N/A,FALSE,"Assum.";#N/A,#N/A,FALSE,"Sun  DCF-WC-Dep";#N/A,#N/A,FALSE,"MarketValue";#N/A,#N/A,FALSE,"BalSheet";#N/A,#N/A,FALSE,"WACC";#N/A,#N/A,FALSE,"PC+ Info.";#N/A,#N/A,FALSE,"PC+Info_2"}</definedName>
    <definedName name="cat" hidden="1">{#N/A,#N/A,FALSE,"Taxblinc";#N/A,#N/A,FALSE,"Rsvsacls"}</definedName>
    <definedName name="cats" hidden="1">{#N/A,#N/A,FALSE,"Taxblinc";#N/A,#N/A,FALSE,"Rsvsacls"}</definedName>
    <definedName name="cb_sChart16EBA7BA_opts" hidden="1">"1, 1, 1, False, 2, True, False, , 0, False, True, 1, 2"</definedName>
    <definedName name="cb_sChart1AC0211C_opts" hidden="1">"1, 1, 1, False, 2, False, False, , 0, False, False, 2, 2"</definedName>
    <definedName name="cb_sChart1AC021B3_opts" hidden="1">"1, 1, 1, False, 2, False, False, , 0, False, False, 2, 2"</definedName>
    <definedName name="cb_sChart1AC02226_opts" hidden="1">"1, 1, 1, False, 2, False, False, , 0, False, False, 2, 2"</definedName>
    <definedName name="cb_sChart1AC02446_opts" hidden="1">"1, 1, 1, False, 2, True, False, , 0, False, True, 2, 2"</definedName>
    <definedName name="cb_sChart1AC02765_opts" hidden="1">"1, 1, 1, False, 2, True, False, , 0, False, True, 2, 2"</definedName>
    <definedName name="cb_sChart1AC027D9_opts" hidden="1">"1, 1, 1, False, 2, True, False, , 0, False, True, 2, 2"</definedName>
    <definedName name="CBWorkbookPriority" hidden="1">-1215586120</definedName>
    <definedName name="ccc" hidden="1">{"bs",#N/A,FALSE,"SCF"}</definedName>
    <definedName name="cccc" hidden="1">{#N/A,#N/A,FALSE,"Index (2)";#N/A,#N/A,FALSE,"1-1 Vol Graph";#N/A,#N/A,FALSE,"1-2 Approve App Graph";#N/A,#N/A,FALSE,"1-3  Sales Summary_Volume";#N/A,#N/A,FALSE,"1-4-1 Net Effective Member";#N/A,#N/A,FALSE,"1-4-2 Mbr Sales Actual vs Goal";#N/A,#N/A,FALSE,"1-5  Sales Summary_Lag";#N/A,#N/A,FALSE,"1-6-1 Mon Appr Chgs";#N/A,#N/A,FALSE,"1-6-3 4 Sent to Carrier";#N/A,#N/A,FALSE,"1-6-5 6 Submitted";#N/A,#N/A,FALSE,"1-7-1,2  ClosRatio by Carr";#N/A,#N/A,FALSE,"1-7-3,4 ClosRatio by State";#N/A,#N/A,FALSE,"1-7-5  Apps Ret CA OofS";#N/A,#N/A,FALSE,"2-1  CLosRatioStateCarr YTD";#N/A,#N/A,FALSE,"2-2 CLosRatioStateCarr Month";#N/A,#N/A,FALSE,"2-3 ClosRatioStatCarrier99";#N/A,#N/A,FALSE,"2-4 CarrierPerState00";#N/A,#N/A,FALSE,"2-5  CarrierPerStateOct";#N/A,#N/A,FALSE,"2-6 CarrierPerState99";#N/A,#N/A,FALSE,"3-1 Summary Lag Report";#N/A,#N/A,FALSE,"3-2  Lag Analysis";#N/A,#N/A,FALSE,"4 - 1  Email Graph";#N/A,#N/A,FALSE,"4-2 Chat Graph";#N/A,#N/A,FALSE,"4-3 Total Calls Graph";#N/A,#N/A,FALSE,"4-5 Within 30 Sec";#N/A,#N/A,FALSE,"4-6 IFP Follow-up Calls"}</definedName>
    <definedName name="CFE" hidden="1">{"表紙",#N/A,FALSE,"店別収支";"収支",#N/A,FALSE,"店別収支";"店舗別",#N/A,FALSE,"店別収支"}</definedName>
    <definedName name="cghj" hidden="1">{"ReportTop",#N/A,FALSE,"report top"}</definedName>
    <definedName name="CHAUdh"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hik" hidden="1">{#N/A,#N/A,FALSE,"Summary";#N/A,#N/A,FALSE,"1991";#N/A,#N/A,FALSE,"91 AMT";#N/A,#N/A,FALSE,"1992";#N/A,#N/A,FALSE,"92 AMT";#N/A,#N/A,FALSE,"1993";#N/A,#N/A,FALSE,"93 AMT"}</definedName>
    <definedName name="chris"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CIQWBGuid" hidden="1">"f1ffa430-b9fd-49aa-89a2-3f6afc8845d5"</definedName>
    <definedName name="ckckks" hidden="1">{#N/A,#N/A,FALSE,"Index";#N/A,#N/A,FALSE,"1-1 Vol Graph";#N/A,#N/A,FALSE,"1-2 Approve App Graph";#N/A,#N/A,FALSE,"1-3  Sales Summary_Volume";#N/A,#N/A,FALSE,"1-4  Net Effective Members"}</definedName>
    <definedName name="Clearingtest" hidden="1">{"CF",#N/A,FALSE,"Cash Flow"}</definedName>
    <definedName name="combined1" hidden="1">{"YTD-Total",#N/A,TRUE,"Provision";"YTD-Utility",#N/A,TRUE,"Prov Utility";"YTD-NonUtility",#N/A,TRUE,"Prov NonUtility"}</definedName>
    <definedName name="CompanyName" hidden="1">#REF!</definedName>
    <definedName name="Compco1" hidden="1">{"Page1",#N/A,FALSE,"CompCo";"Page2",#N/A,FALSE,"CompCo"}</definedName>
    <definedName name="Compco2" hidden="1">{"Page1",#N/A,FALSE,"CompCo";"Page2",#N/A,FALSE,"CompCo"}</definedName>
    <definedName name="CONSOLIDA" hidden="1">{"DOMETIC CONSOLIDATED",#N/A,FALSE,"M-1"}</definedName>
    <definedName name="cooper2" hidden="1">{#N/A,#N/A,TRUE,"Pro Forma";#N/A,#N/A,TRUE,"PF_Bal";#N/A,#N/A,TRUE,"PF_INC";#N/A,#N/A,TRUE,"CBE";#N/A,#N/A,TRUE,"SWK"}</definedName>
    <definedName name="cp" hidden="1">{TRUE,TRUE,-1.25,-15.5,964.5,699.75,FALSE,TRUE,TRUE,TRUE,0,1,2,19,#N/A,1,133,2,TRUE,FALSE,3,TRUE,1,TRUE,100,"Swvu.IMSD._.Only.","ACwvu.IMSD._.Only.",#N/A,FALSE,FALSE,0.75,0.75,0.75,0.75,2,"","&amp;LBy Steve Abel&amp;C&amp;F  &amp;A&amp;R&amp;D  &amp;T",TRUE,FALSE,FALSE,FALSE,1,61,#N/A,#N/A,"=R1C1:R206C15","=R1:R5",#N/A,"Cwvu.IMSD._.Only.",FALSE,FALSE,TRUE,1,300,300,FALSE,FALSE,TRUE,TRUE,TRUE}</definedName>
    <definedName name="crap" hidden="1">{#N/A,#N/A,FALSE,"Index";#N/A,#N/A,FALSE,"1-1 Vol Graph";#N/A,#N/A,FALSE,"1-2 Approve App Graph";#N/A,#N/A,FALSE,"1-3  Sales Summary_Volume";#N/A,#N/A,FALSE,"1-4  Net Effective Members"}</definedName>
    <definedName name="crfa" hidden="1">{#N/A,#N/A,FALSE,"Index (2)";#N/A,#N/A,FALSE,"1-1 Vol Graph";#N/A,#N/A,FALSE,"1-2 Approve App Graph";#N/A,#N/A,FALSE,"1-3  Sales Summary_Volume";#N/A,#N/A,FALSE,"1-4-1 Net Effective Member";#N/A,#N/A,FALSE,"1-4-2 Mbr Sales Actual vs Goal";#N/A,#N/A,FALSE,"1-5  Sales Summary_Lag";#N/A,#N/A,FALSE,"1-6-1 Mon Appr Chgs";#N/A,#N/A,FALSE,"1-6-3 4 Sent to Carrier";#N/A,#N/A,FALSE,"1-6-5 6 Submitted";#N/A,#N/A,FALSE,"1-7-1,2  ClosRatio by Carr";#N/A,#N/A,FALSE,"1-7-3,4 ClosRatio by State";#N/A,#N/A,FALSE,"1-7-5  Apps Ret CA OofS";#N/A,#N/A,FALSE,"2-1  CLosRatioStateCarr YTD";#N/A,#N/A,FALSE,"2-2 CLosRatioStateCarr Month";#N/A,#N/A,FALSE,"2-3 ClosRatioStatCarrier99";#N/A,#N/A,FALSE,"2-4 CarrierPerState00";#N/A,#N/A,FALSE,"2-5  CarrierPerStateOct";#N/A,#N/A,FALSE,"2-6 CarrierPerState99";#N/A,#N/A,FALSE,"3-1 Summary Lag Report";#N/A,#N/A,FALSE,"3-2  Lag Analysis";#N/A,#N/A,FALSE,"4 - 1  Email Graph";#N/A,#N/A,FALSE,"4-2 Chat Graph";#N/A,#N/A,FALSE,"4-3 Total Calls Graph";#N/A,#N/A,FALSE,"4-5 Within 30 Sec";#N/A,#N/A,FALSE,"4-6 IFP Follow-up Calls"}</definedName>
    <definedName name="cv" hidden="1">{"Valuation",#N/A,FALSE,"ProForma-ASPT"}</definedName>
    <definedName name="cvn" hidden="1">{"Full-model",#N/A,FALSE,"ProForma-ASPT"}</definedName>
    <definedName name="Cwvu.ALL." hidden="1">'[22]1. BS'!#REF!,'[22]1. BS'!$A$41:$IV$41</definedName>
    <definedName name="Cwvu.IMSD._.Only." hidden="1">[14]Inventory!#REF!,[14]Inventory!$A$37:$IV$39,[14]Inventory!#REF!,[14]Inventory!$A$40:$IV$57</definedName>
    <definedName name="Cwvu.PRT." hidden="1">'[22]1. BS'!$A$30:$IV$30,'[22]1. BS'!#REF!,'[22]1. BS'!$A$37:$IV$38,'[22]1. BS'!$A$41:$IV$41,'[22]1. BS'!#REF!</definedName>
    <definedName name="d"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dag" hidden="1">{"Total",#N/A,FALSE,"Six Fields";"PDP",#N/A,FALSE,"Six Fields";"PNP",#N/A,FALSE,"Six Fields";"PUD",#N/A,FALSE,"Six Fields";"Prob",#N/A,FALSE,"Six Fields"}</definedName>
    <definedName name="dana"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anielle" hidden="1">{#N/A,#N/A,FALSE,"RD2USA1";#N/A,#N/A,FALSE,"RD2USA2";#N/A,#N/A,FALSE,"RD2USA3";#N/A,#N/A,FALSE,"RD2USAT";#N/A,#N/A,FALSE,"RD3USA1";#N/A,#N/A,FALSE,"RD3USA2";#N/A,#N/A,FALSE,"RD3USA3";#N/A,#N/A,FALSE,"RD3USAT";#N/A,#N/A,FALSE,"RD4USA"}</definedName>
    <definedName name="DATA_01" hidden="1">#REF!</definedName>
    <definedName name="dd" hidden="1">{#N/A,#N/A,FALSE,"Comparison";#N/A,#N/A,FALSE,"Base Case";#N/A,#N/A,FALSE,"Alternative #1";#N/A,#N/A,FALSE,"Alternative #2"}</definedName>
    <definedName name="ddd" hidden="1">{"'AR at dunning level'!$S$96","'AR at dunning level'!$L$124","'AR at dunning level'!$K$124"}</definedName>
    <definedName name="dddddddafsga" hidden="1">{#N/A,#N/A,FALSE,"Index (2)";#N/A,#N/A,FALSE,"1-1 Vol Graph";#N/A,#N/A,FALSE,"1-2 Approve App Graph";#N/A,#N/A,FALSE,"1-3  Sales Summary_Volume";#N/A,#N/A,FALSE,"1-4-1 Net Effective Member";#N/A,#N/A,FALSE,"1-4-2 Mbr Sales Actual vs Goal";#N/A,#N/A,FALSE,"1-5  Sales Summary_Lag";#N/A,#N/A,FALSE,"1-6-1 Mon Appr Chgs";#N/A,#N/A,FALSE,"1-6-3 4 Sent to Carrier";#N/A,#N/A,FALSE,"1-6-5 6 Submitted";#N/A,#N/A,FALSE,"1-7-1,2  ClosRatio by Carr";#N/A,#N/A,FALSE,"1-7-3,4 ClosRatio by State";#N/A,#N/A,FALSE,"1-7-5  Apps Ret CA OofS";#N/A,#N/A,FALSE,"2-1  CLosRatioStateCarr YTD";#N/A,#N/A,FALSE,"2-2 CLosRatioStateCarr Month";#N/A,#N/A,FALSE,"2-3 ClosRatioStatCarrier99";#N/A,#N/A,FALSE,"2-4 CarrierPerState00";#N/A,#N/A,FALSE,"2-5  CarrierPerStateOct";#N/A,#N/A,FALSE,"2-6 CarrierPerState99";#N/A,#N/A,FALSE,"3-1 Summary Lag Report";#N/A,#N/A,FALSE,"3-2  Lag Analysis";#N/A,#N/A,FALSE,"4 - 1  Email Graph";#N/A,#N/A,FALSE,"4-2 Chat Graph";#N/A,#N/A,FALSE,"4-3 Total Calls Graph";#N/A,#N/A,FALSE,"4-5 Within 30 Sec";#N/A,#N/A,FALSE,"4-6 IFP Follow-up Calls"}</definedName>
    <definedName name="ddewee" hidden="1">{#N/A,#N/A,FALSE,"ES Cover";#N/A,#N/A,FALSE,"ES Index ";#N/A,#N/A,FALSE,"ES 2-1-1  Net Eff Mbrs 2001";#N/A,#N/A,FALSE,"ES 2-1-2  Net Eff  Mbrs 2000";#N/A,#N/A,FALSE,"ES 2-2 Mbr Sales Plan vs Proj";#N/A,#N/A,FALSE,"ES 3_Top 5 IFP States Carriers";#N/A,#N/A,FALSE,"ES 4 Top 5 SBG States Carriers";#N/A,#N/A,FALSE,"ES 5 New Top Bottom 5 Summary";#N/A,#N/A,FALSE,"ES 6 Daily Avg";#N/A,#N/A,FALSE,"ES 7  Vol Graph";#N/A,#N/A,FALSE,"ES 8  ClosRatio by Carr";#N/A,#N/A,FALSE,"ES 9  ClosRatio by State";#N/A,#N/A,FALSE,"ES 10  Apps Ret CA OofS";#N/A,#N/A,FALSE,"ES 11 CLosRatioStateCarr Mont";#N/A,#N/A,FALSE,"ES 12  CarrierPerStateNov";#N/A,#N/A,FALSE,"ES 13 CarrierPerStateYTD";#N/A,#N/A,FALSE,"ES 14 Analytics";#N/A,#N/A,FALSE,"ES 15 Total Calls Graph";#N/A,#N/A,FALSE,"ES 16 Within 30 Sec ";#N/A,#N/A,FALSE,"ES 17 Emails";#N/A,#N/A,FALSE,"ES 18 Chat Graph"}</definedName>
    <definedName name="ddffgggrijgtr" hidden="1">{#N/A,#N/A,FALSE,"Aging Summary";#N/A,#N/A,FALSE,"Ratio Analysis";#N/A,#N/A,FALSE,"Test 120 Day Accts";#N/A,#N/A,FALSE,"Tickmarks"}</definedName>
    <definedName name="dds" hidden="1">{"IS",#N/A,FALSE,"Income Statement";"ISR",#N/A,FALSE,"Income Statement Ratios";"BS",#N/A,FALSE,"Balance Sheet";"BSR",#N/A,FALSE,"Balance Sheet Ratios";"CF",#N/A,FALSE,"Cash Flow";"SALES",#N/A,FALSE,"Sales Analysis";"RR",#N/A,FALSE,"Recent Results"}</definedName>
    <definedName name="ddsdss" hidden="1">{#N/A,#N/A,FALSE,"Index";#N/A,#N/A,FALSE,"1-1 Vol Graph";#N/A,#N/A,FALSE,"1-2 Approve App Graph";#N/A,#N/A,FALSE,"1-3  Sales Summary_Volume";#N/A,#N/A,FALSE,"1-4  Net Effective Members"}</definedName>
    <definedName name="delete1" hidden="1">{"bs",#N/A,FALSE,"SCF"}</definedName>
    <definedName name="deleteme" hidden="1">{"schedule",#N/A,FALSE,"Sum Op's";"input area",#N/A,FALSE,"Sum Op's"}</definedName>
    <definedName name="deleteme1" hidden="1">{"schedule",#N/A,FALSE,"Sum Op's";"input area",#N/A,FALSE,"Sum Op's"}</definedName>
    <definedName name="dev_tech" hidden="1">[23]AACLIENT!#REF!</definedName>
    <definedName name="df" hidden="1">{#N/A,#N/A,TRUE,"FY BCG";#N/A,#N/A,TRUE,"FY w|o Wireless";#N/A,#N/A,TRUE,"FY Wireless"}</definedName>
    <definedName name="dfa" hidden="1">{"IS",#N/A,FALSE,"Income Statement";"ISR",#N/A,FALSE,"Income Statement Ratios";"BS",#N/A,FALSE,"Balance Sheet";"BSR",#N/A,FALSE,"Balance Sheet Ratios";"CF",#N/A,FALSE,"Cash Flow";"SALES",#N/A,FALSE,"Sales Analysis";"RR",#N/A,FALSE,"Recent Results"}</definedName>
    <definedName name="dfd" hidden="1">{"comp1",#N/A,FALSE,"COMPS";"footnotes",#N/A,FALSE,"COMPS"}</definedName>
    <definedName name="dfere" hidden="1">{"ReportTop",#N/A,FALSE,"report top"}</definedName>
    <definedName name="dfgnbdfn" hidden="1">{"Full-model",#N/A,FALSE,"ProForma-ASPT"}</definedName>
    <definedName name="dfnj" hidden="1">{"Valuation",#N/A,FALSE,"ProForma-ASPT"}</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fbdfyj" hidden="1">{"Full-model",#N/A,FALSE,"ProForma-ASPT"}</definedName>
    <definedName name="Did" hidden="1">{"Salesass",#N/A,FALSE,"assumpt"}</definedName>
    <definedName name="dillard" hidden="1">{#N/A,#N/A,FALSE,"VAS P&amp;L";#N/A,#N/A,FALSE,"MR P&amp;L";#N/A,#N/A,FALSE,"SVC";#N/A,#N/A,FALSE,"TOTAL";#N/A,#N/A,FALSE,"SUMMARY";#N/A,#N/A,FALSE,"SVCPL";#N/A,#N/A,FALSE,"SUMM+SVC"}</definedName>
    <definedName name="dog" hidden="1">{#N/A,#N/A,FALSE,"91NOLCB";#N/A,#N/A,FALSE,"92NOLCB";#N/A,#N/A,FALSE,"93NOLCB"}</definedName>
    <definedName name="Doug" hidden="1">{"graph",#N/A,FALSE,"WWJU";"graph",#N/A,FALSE,"WWSEM";"graph",#N/A,FALSE,"GOMJU";"graph",#N/A,FALSE,"GOMSEM";"graph",#N/A,FALSE,"NSJU";"graph",#N/A,FALSE,"NSSEM";"graph",#N/A,FALSE,"WAJU";"graph",#N/A,FALSE,"STOCKPRI";"graph",#N/A,FALSE,"CFTEV";"graph",#N/A,FALSE,"NAV-RCV";"graph",#N/A,FALSE,"CRUDEWW"}</definedName>
    <definedName name="ds" hidden="1">{"Valuation",#N/A,FALSE,"ProForma-ASPT"}</definedName>
    <definedName name="dsaf" hidden="1">{"ATP Spending Report",#N/A,FALSE,"ATP";"Gestec spd rpt",#N/A,FALSE,"Gestec";"UCSD spending RPT",#N/A,FALSE,"UCSD";"Sapolsky Spending Rpt",#N/A,FALSE,"Sapolsky";"Oncogene Spnding Rpt",#N/A,FALSE,"Oncogene Ph. 2";"P450 spd rpt",#N/A,FALSE,"NIH P450";"hiv 2 SPD RPT",#N/A,FALSE,"HIV Phase 2";"Mito Spd Rpt",#N/A,FALSE,"Mitochondrial";"ORD Spd Rpt",#N/A,FALSE,"ORD"}</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HiddenYear1" hidden="1">#REF!</definedName>
    <definedName name="DSHiddenYear2" hidden="1">#REF!</definedName>
    <definedName name="DSHiddenYear3" hidden="1">#REF!</definedName>
    <definedName name="DSHiddenYear4" hidden="1">#REF!</definedName>
    <definedName name="DSIndHiddenYear1" hidden="1">#REF!</definedName>
    <definedName name="DSIndHiddenYear2" hidden="1">#REF!</definedName>
    <definedName name="DSIndHiddenYear3" hidden="1">#REF!</definedName>
    <definedName name="DSIndHiddenYear4" hidden="1">#REF!</definedName>
    <definedName name="DSIndHistHiddenYear1" hidden="1">#REF!</definedName>
    <definedName name="DSIndHistHiddenYear2" hidden="1">#REF!</definedName>
    <definedName name="DSIndHistHiddenYear3" hidden="1">#REF!</definedName>
    <definedName name="DSIndHistHiddenYear4" hidden="1">#REF!</definedName>
    <definedName name="DSIndHistHiddenYear5" hidden="1">#REF!</definedName>
    <definedName name="dtuk" hidden="1">{"Valuation",#N/A,FALSE,"ProForma-ASPT"}</definedName>
    <definedName name="dtyk" hidden="1">{"Full-model",#N/A,FALSE,"ProForma-ASPT"}</definedName>
    <definedName name="dzbvx" hidden="1">{"Full-model",#N/A,FALSE,"ProForma-ASPT"}</definedName>
    <definedName name="e"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EAA" hidden="1">{"表紙",#N/A,FALSE,"中期計画";"店舗別",#N/A,FALSE,"中期計画"}</definedName>
    <definedName name="edp" hidden="1">{"assumption 50 50",#N/A,TRUE,"Merger";"has gets cash",#N/A,TRUE,"Merger";"accretion dilution",#N/A,TRUE,"Merger";"comparison credit stats",#N/A,TRUE,"Merger";"pf credit stats",#N/A,TRUE,"Merger";"pf sheets",#N/A,TRUE,"Merger"}</definedName>
    <definedName name="eee" hidden="1">{#N/A,#N/A,FALSE,"RD2USA1";#N/A,#N/A,FALSE,"RD2USA2";#N/A,#N/A,FALSE,"RD2USA3";#N/A,#N/A,FALSE,"RD2USAT";#N/A,#N/A,FALSE,"RD3USA1";#N/A,#N/A,FALSE,"RD3USA2";#N/A,#N/A,FALSE,"RD3USA3";#N/A,#N/A,FALSE,"RD3USAT";#N/A,#N/A,FALSE,"RD4USA"}</definedName>
    <definedName name="eee.ooo" hidden="1">{"CSN M Detail",#N/A,FALSE,"Sch M Detail"}</definedName>
    <definedName name="eee.ppp" hidden="1">{"CSN M Detail",#N/A,FALSE,"Sch M Detail"}</definedName>
    <definedName name="eeeeeeeeeeeeeeewwwwwwwwww" hidden="1">#REF!</definedName>
    <definedName name="efi" hidden="1">{#N/A,#N/A,FALSE,"91NOLCB";#N/A,#N/A,FALSE,"92NOLCB";#N/A,#N/A,FALSE,"93NOLCB"}</definedName>
    <definedName name="efis" hidden="1">{#N/A,#N/A,FALSE,"91NOLCB";#N/A,#N/A,FALSE,"92NOLCB";#N/A,#N/A,FALSE,"93NOLCB"}</definedName>
    <definedName name="egfh"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ight" hidden="1">[24]states!$A$65,[24]states!$AG$34</definedName>
    <definedName name="energy" hidden="1">{#N/A,#N/A,FALSE,"Bgt";#N/A,#N/A,FALSE,"Act";#N/A,#N/A,FALSE,"Chrt Data";#N/A,#N/A,FALSE,"Bus Result";#N/A,#N/A,FALSE,"Main Charts";#N/A,#N/A,FALSE,"P&amp;L Ttl";#N/A,#N/A,FALSE,"P&amp;L C_Ttl";#N/A,#N/A,FALSE,"P&amp;L C_Oct";#N/A,#N/A,FALSE,"P&amp;L C_Sep";#N/A,#N/A,FALSE,"1996";#N/A,#N/A,FALSE,"Data"}</definedName>
    <definedName name="enrgy" hidden="1">{#N/A,#N/A,FALSE,"Bgt";#N/A,#N/A,FALSE,"Act";#N/A,#N/A,FALSE,"Chrt Data";#N/A,#N/A,FALSE,"Bus Result";#N/A,#N/A,FALSE,"Main Charts";#N/A,#N/A,FALSE,"P&amp;L Ttl";#N/A,#N/A,FALSE,"P&amp;L C_Ttl";#N/A,#N/A,FALSE,"P&amp;L C_Oct";#N/A,#N/A,FALSE,"P&amp;L C_Sep";#N/A,#N/A,FALSE,"1996";#N/A,#N/A,FALSE,"Data"}</definedName>
    <definedName name="EPMWorkbookOptions_1" hidden="1">"tmkAAB|LCAAAAAAABADtvQdgHEmWJSYvbcp7f0r1StfgdKEIgGATJNiQQBDswYjN5pLsHWlHIymrKoHKZVZlXWYWQMztnbz33nvvvffee||997o7nU4n99//P1xmZAFs9s5K2smeIYCqyB8/fnwfPyIe/x7vFmV6mddNUS0/|2h3vPNRmi|n1axYXnz20bo939799KPf4|g3Th5/t6rfTqrq7Zerlpo2Kb23bB69a4rPPpq37erR3btXV1fjq3v"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"C1vv8/w9J7m|cKMdfvTr7/Pj/62T5f5FAfvWKiHvy9e0AuSCffnrv3nv4IPv/L5dHpUjIeE9/r9/r/|tM980S5PmP8ihBs1u1GhBCounZmw8QwfcOPu//v1sEhR4hv53|/2K16f89PPfs|Zff/SFy3Kf/7|Y4UKOT63j|8OGPuM1vdqtWA9x29uLN6auTL3|IDPfg/90MpwQJee7sRzruG|W6l6||fPrVyZsPznW8P/cd/L|b|zqECbnwix9x4T"</definedName>
    <definedName name="EPMWorkbookOptions_11" hidden="1">"fNhc/O3pycQuJ/iCz48P/1LGip0rG8Jz9iwCgD3thqgAFff/Xk1ennZ1|||CFy3|7O/7vZz9Ik5L3XP2K9b5T13px98fUzvV|D6/5fvr4FcoQMt7ezuzP|/wXTfaM0uff/D5r8v0cQvzg9fv3Vq9PXP0xh/H/5ip8hCXEc/e/3efOj1eX3ahRgE2/0|O7xalUW06wlOPbz4FPTnKBVyyUhTp89zdqMP/Y/fFN1B//4VX5e5838y|WXq3x5dJ6VT"</definedName>
    <definedName name="EPMWorkbookOptions_12" hidden="1">"f74bvghtzsp86wG0C|Xr7PL3LTsfsxtv1vVbydV9ZYYs2Uymtb9L8L2VzOeNdfwy5WM7/8B6FD0SrZpAAA="</definedName>
    <definedName name="EPMWorkbookOptions_2" hidden="1">"jqr64u7ezs3v39/7i|evpPF9k28WyabPlNP/IvjW7|a2PqNc0fXxSLZf5FH2|qU7WdZ0v258s8iv|Mvj6adZm|il9/iJb5NKb7anNF6t1XXBXXzV5/bLOz3OCN83HhNBHR7//s5df/P5PXp68|O7uzu//PX1p9nZnN9s5uD8GTsWyuszG02rx6GBnZ|duk63uTlbTu9///b938u3TL85efPmTx/T7y7qaraft07zNipL|Ps/KJv/|47tAySF4vF"</definedName>
    <definedName name="EPMWorkbookOptions_3" hidden="1">"qVxTTziHlrRA2MEIr3sY7/KMCkg4BQzxE0vTv41beL2SxfPi0W|bJhdIebOlSboA21ej2vriyMk6qs6qO2XueP70a|2PQqjyLyZm909KL9chiv27by2321LH7ROucOT47fnH7|5avf5/Hd2LebgMhISb7u7|zeO9j1AMRowO9|Wc/y|mjn8V35JQq9WZXZNU38Kq/b685MaaPnWdO|zksSm3z2Rb6YkPRHmoUTG21ATeR9b8jfMxT5/vh7L49fn"</definedName>
    <definedName name="EPMWorkbookOptions_4" hidden="1">"b548|1d|vX45M1Xx89JCnovDAD|dpHXWT2dX7umKWmbR8ui/OwjTP9H0cHxu5GpuN27j|/eNORvkib0KZHlRzTxafLkq6f/XyfI47u3ETBP3n/2lNOXL15/|frky5enX1897ezsk7G7vXba/X|5drIkCfnu8xdfvjj9/zrnfeNEOf7q1dnnxz8iS4csztv7/zhl/l|kqr56RfQ9|fp|1L179|/v7|/fXlHt/b9cUSlBQtZ7fvL/dZb7Zunx9Pf6"</definedName>
    <definedName name="EPMWorkbookOptions_5" hidden="1">"vX5EEJ8gp1|9|v86Qf7fo5SIqGdvvr5K|vTB7s7BwYPbq6R7/|9WSUKODr/tU9bm/|sc940S5N7BjwgSEOTNl29|/kb|UYp8/urLr14eP/3Oj4jiEeVHTvU3br/OXrw5fXXy5dc2YBT8f/rpvXvvEf3v/7/bgilBQs47|3mtoOIk|f1/PqdD4iSh39|8OH31|v/rVPl/j3p6|fT45OTLr168|foK6r0XT|7/v1tBWZKEzPdyl1Tx3s9bt3KQKvs"</definedName>
    <definedName name="EPMWorkbookOptions_6" hidden="1">"PHz78ebuAMkCV33t3b2f3tiEIg/5/JVX|X6Wmvnp69ubs6Q9RTX36/3o1JSQJWe/4|fPf33zx81coY5Q5e/Hyq5/PiirKLU|/8/t//url/9ep8v8mRfXs|Zff/SFqqQf/b9dSoEfHZ3j|8OH/1znum6XHj6jhJaFe/H/ecP2/SB29|vLpVyc/zODu4P/l|kgIErLcFz|vs09xkjz98sWXb756/f/5BNT/q2Tx2dmbk1Nktn6IAvnw//UCaanSMY"</definedName>
    <definedName name="EPMWorkbookOptions_7" hidden="1">"snP9/FcpAwlFv4|ZuI2kCXez|iS5Qu|z|iS5Que/8/oMv/ewzc66|evDr9/OzLFz9E67a78/9u82ZpErLe65/Xpm2IKP9/WPD8f484vjn74vSHKYm7/||WRJAj5Ddao7k3fnp68v91lvtGKbIz/nmtmga45MWXP/kjigQU|fLk5|1aSpQi||PvHL/4/zpF/t9jvL44PX791avT1z9MA7b3c2PAbst2hiTEb/S/3|fN/|fT5F9X/kJCvDx9dfbl0"</definedName>
    <definedName name="EPMWorkbookOptions_8" hidden="1">"7P/z1vxb1D2btEowCbe6PHd49WqLKZZS3Ds58GnpjlBq5ZLQpw|e5q1mfk4|il9LlRblMvms4/mbbt6dPdumy9W67oYV/XF3a|avHY4jd81s4|Ofv9nL7/4/Z|8PHnx3d2d3/97|tLs7c5utnNwfzyd54tiWV1m42m1eHRAYf3dJlvdnaymd7//|3/v5NunX5yRCT/G74R1VRYzxp/|Ps/KJifeCfjlsT/G90TUI2CMfnb8RwEmHQSEem6GOjzl"</definedName>
    <definedName name="EPMWorkbookOptions_9" hidden="1">"f/XtYjbLl3bCmw1NN3DM63l11VGUYObHdyNfbHqVRxF5MyKOt7MPt2s1YEWOT06|/OrFD3P56//l6QglSCcP9hDP/|fduW9QgX4o23319OzN2dOvz3Y7O/ukw27Pdf8vD72VHiHXHT9//vubL37EeV6zW7Ua4LyT4zenn3/56vf52qx37979|/v7|7dnvf|XO82GICHv0afH/9|PX/9fxHZfvnj95euTL19|/YTjpw92dw4OHtye8e79v5zxLEl"</definedName>
    <definedName name="e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re" hidden="1">{#N/A,#N/A,TRUE,"FR_HC";#N/A,#N/A,TRUE,"FR_REST";#N/A,#N/A,TRUE,"FR_RETA";#N/A,#N/A,TRUE,"FR_TECSOF";#N/A,#N/A,TRUE,"FR_NETTEC";#N/A,#N/A,TRUE,"FR_CLISER"}</definedName>
    <definedName name="erer" hidden="1">{"Total",#N/A,FALSE,"Six Fields";"PDP",#N/A,FALSE,"Six Fields";"PNP",#N/A,FALSE,"Six Fields";"PUD",#N/A,FALSE,"Six Fields";"Prob",#N/A,FALSE,"Six Fields"}</definedName>
    <definedName name="erghr" hidden="1">{"graph",#N/A,FALSE,"WWJU";"graph",#N/A,FALSE,"WWSEM";"graph",#N/A,FALSE,"GOMJU";"graph",#N/A,FALSE,"GOMSEM";"graph",#N/A,FALSE,"NSJU";"graph",#N/A,FALSE,"NSSEM";"graph",#N/A,FALSE,"WAJU";"graph",#N/A,FALSE,"STOCKPRI";"graph",#N/A,FALSE,"CFTEV";"graph",#N/A,FALSE,"NAV-RCV";"graph",#N/A,FALSE,"CRUDEWW"}</definedName>
    <definedName name="ertherj" hidden="1">{"Valuation",#N/A,FALSE,"ProForma-ASPT"}</definedName>
    <definedName name="erwq" hidden="1">{#N/A,#N/A,FALSE,"Oncogene"}</definedName>
    <definedName name="esrgsbg" hidden="1">{"Full-model",#N/A,FALSE,"ProForma-ASPT"}</definedName>
    <definedName name="ESSP" hidden="1">{"ALLGRANTS",#N/A,FALSE,"OPTIONS"}</definedName>
    <definedName name="ESTHB" hidden="1">{"Full-model",#N/A,FALSE,"ProForma-ASPT"}</definedName>
    <definedName name="etyjdtuk" hidden="1">{"Full-model",#N/A,FALSE,"ProForma-ASPT"}</definedName>
    <definedName name="EuroArrays" hidden="1">{#N/A,#N/A,FALSE,"UCSD"}</definedName>
    <definedName name="ev.Calculation" hidden="1">-4135</definedName>
    <definedName name="ev.Initialized" hidden="1">FALSE</definedName>
    <definedName name="EV__EXPOPTIONS__" hidden="1">0</definedName>
    <definedName name="EV__LASTREFTIME__" hidden="1">39085.7009027778</definedName>
    <definedName name="EV__MAXEXPCOLS__" hidden="1">100</definedName>
    <definedName name="EV__MAXEXPROWS__" hidden="1">1000</definedName>
    <definedName name="EV__MEMORYCVW__" hidden="1">0</definedName>
    <definedName name="EV__WBEVMODE__" hidden="1">0</definedName>
    <definedName name="EV__WBREFOPTIONS__" hidden="1">134217734</definedName>
    <definedName name="EV__WBVERSION__" hidden="1">0</definedName>
    <definedName name="evgfrtdtb" hidden="1">{"Valuation",#N/A,FALSE,"ProForma-ASPT"}</definedName>
    <definedName name="ewa" hidden="1">{"Full-model",#N/A,FALSE,"ProForma-ASPT"}</definedName>
    <definedName name="ewgf" hidden="1">{"Valuation",#N/A,FALSE,"ProForma-ASPT"}</definedName>
    <definedName name="ExactAddinReports" hidden="1">1</definedName>
    <definedName name="ExactlyOneYear" hidden="1">[24]Settings!$C$59</definedName>
    <definedName name="eynetn" hidden="1">{"Full-model",#N/A,FALSE,"ProForma-ASPT"}</definedName>
    <definedName name="f" hidden="1">{#N/A,#N/A,TRUE,"3Q BCG";#N/A,#N/A,TRUE,"3Q w|o Wireless";#N/A,#N/A,TRUE,"3Q Wireless"}</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f" hidden="1">{#N/A,#N/A,FALSE,"Income";#N/A,#N/A,FALSE,"Cost of Goods Sold";#N/A,#N/A,FALSE,"Other Costs";#N/A,#N/A,FALSE,"Other Income";#N/A,#N/A,FALSE,"Taxes";#N/A,#N/A,FALSE,"Other Deductions";#N/A,#N/A,FALSE,"Compensation of Officers"}</definedName>
    <definedName name="fdgn" hidden="1">{"Full-model",#N/A,FALSE,"ProForma-ASPT"}</definedName>
    <definedName name="FDP_1_1_aDrv" hidden="1">[18]football_field!#REF!</definedName>
    <definedName name="FDP_10_1_aUrv" hidden="1">[18]football_field!#REF!</definedName>
    <definedName name="FDP_12_1_aUrv" hidden="1">[18]football_field!#REF!</definedName>
    <definedName name="FDP_13_1_aUrv" hidden="1">[18]football_field!#REF!</definedName>
    <definedName name="FDP_2_1_aUrv" hidden="1">[18]football_field!#REF!</definedName>
    <definedName name="FDP_20_1_aUrv" hidden="1">[18]football_field!#REF!</definedName>
    <definedName name="FDP_21_1_aUrv" hidden="1">[18]football_field!#REF!</definedName>
    <definedName name="FDP_24_1_aSrv" hidden="1">[18]football_field!#REF!</definedName>
    <definedName name="FDP_25_1_aUrv" hidden="1">[18]football_field!#REF!</definedName>
    <definedName name="FDP_26_1_aUrv" hidden="1">[18]football_field!#REF!</definedName>
    <definedName name="FDP_274_1_aSrv" hidden="1">[18]football_field!#REF!</definedName>
    <definedName name="FDP_275_1_aSrv" hidden="1">[18]football_field!#REF!</definedName>
    <definedName name="FDP_276_1_aSrv" hidden="1">[18]football_field!#REF!</definedName>
    <definedName name="FDP_277_1_aSrv" hidden="1">[18]football_field!#REF!</definedName>
    <definedName name="FDP_278_1_aSrv" hidden="1">[18]football_field!#REF!</definedName>
    <definedName name="FDP_279_1_aSrv" hidden="1">[18]football_field!#REF!</definedName>
    <definedName name="FDP_28_1_aUrv" hidden="1">[18]football_field!#REF!</definedName>
    <definedName name="FDP_285_1_aSrv" hidden="1">[18]football_field!#REF!</definedName>
    <definedName name="FDP_286_1_aSrv" hidden="1">[18]football_field!#REF!</definedName>
    <definedName name="FDP_287_1_aSrv" hidden="1">[18]football_field!#REF!</definedName>
    <definedName name="FDP_29_1_aUrv" hidden="1">[18]football_field!#REF!</definedName>
    <definedName name="FDP_30_1_aSrv" hidden="1">[18]football_field!#REF!</definedName>
    <definedName name="FDP_31_1_aSrv" hidden="1">[18]football_field!#REF!</definedName>
    <definedName name="FDP_318_1_aUrv" hidden="1">[18]football_field!#REF!</definedName>
    <definedName name="FDP_319_1_aUrv" hidden="1">[18]football_field!#REF!</definedName>
    <definedName name="FDP_32_1_aUrv" hidden="1">[18]football_field!#REF!</definedName>
    <definedName name="FDP_320_1_aUrv" hidden="1">[18]football_field!#REF!</definedName>
    <definedName name="FDP_321_1_aUrv" hidden="1">[18]football_field!#REF!</definedName>
    <definedName name="FDP_322_1_aUrv" hidden="1">[18]football_field!#REF!</definedName>
    <definedName name="FDP_323_1_aUrv" hidden="1">[18]football_field!#REF!</definedName>
    <definedName name="FDP_324_1_aUrv" hidden="1">[18]football_field!#REF!</definedName>
    <definedName name="FDP_325_1_aUrv" hidden="1">[18]football_field!#REF!</definedName>
    <definedName name="FDP_326_1_aUrv" hidden="1">[18]football_field!#REF!</definedName>
    <definedName name="FDP_327_1_aUrv" hidden="1">[18]football_field!#REF!</definedName>
    <definedName name="FDP_328_1_aUrv" hidden="1">[18]football_field!#REF!</definedName>
    <definedName name="FDP_329_1_aUrv" hidden="1">[18]football_field!#REF!</definedName>
    <definedName name="FDP_330_1_aUrv" hidden="1">[18]football_field!#REF!</definedName>
    <definedName name="FDP_331_1_aUrv" hidden="1">[18]football_field!#REF!</definedName>
    <definedName name="FDP_332_1_aUrv" hidden="1">[18]football_field!#REF!</definedName>
    <definedName name="FDP_333_1_aUrv" hidden="1">[18]football_field!#REF!</definedName>
    <definedName name="FDP_334_1_aSrv" hidden="1">[18]football_field!#REF!</definedName>
    <definedName name="FDP_335_1_aSrv" hidden="1">[18]football_field!#REF!</definedName>
    <definedName name="FDP_336_1_aUrv" hidden="1">[18]football_field!#REF!</definedName>
    <definedName name="FDP_337_1_aUrv" hidden="1">[18]football_field!#REF!</definedName>
    <definedName name="FDP_338_1_aUrv" hidden="1">[18]football_field!#REF!</definedName>
    <definedName name="FDP_339_1_aSrv" hidden="1">[18]football_field!#REF!</definedName>
    <definedName name="FDP_34_1_aUrv" hidden="1">[18]football_field!#REF!</definedName>
    <definedName name="FDP_342_1_aUrv" hidden="1">[18]football_field!#REF!</definedName>
    <definedName name="FDP_343_1_aUrv" hidden="1">[18]football_field!#REF!</definedName>
    <definedName name="FDP_344_1_aUrv" hidden="1">[18]football_field!#REF!</definedName>
    <definedName name="FDP_345_1_aUrv" hidden="1">[18]football_field!#REF!</definedName>
    <definedName name="FDP_346_1_aUrv" hidden="1">[18]football_field!#REF!</definedName>
    <definedName name="FDP_347_1_aSrv" hidden="1">[18]football_field!#REF!</definedName>
    <definedName name="FDP_348_1_aUrv" hidden="1">[18]football_field!#REF!</definedName>
    <definedName name="FDP_349_1_aUrv" hidden="1">[18]football_field!#REF!</definedName>
    <definedName name="FDP_35_1_aUrv" hidden="1">[18]football_field!#REF!</definedName>
    <definedName name="FDP_350_1_aUrv" hidden="1">[18]football_field!#REF!</definedName>
    <definedName name="FDP_351_1_aUrv" hidden="1">[18]football_field!#REF!</definedName>
    <definedName name="FDP_352_1_aUrv" hidden="1">[18]football_field!#REF!</definedName>
    <definedName name="FDP_353_1_aSrv" hidden="1">[18]football_field!#REF!</definedName>
    <definedName name="FDP_354_1_aSrv" hidden="1">[18]football_field!#REF!</definedName>
    <definedName name="FDP_355_1_aUrv" hidden="1">[18]football_field!#REF!</definedName>
    <definedName name="FDP_356_1_aUrv" hidden="1">[18]football_field!#REF!</definedName>
    <definedName name="FDP_357_1_aUrv" hidden="1">[18]football_field!#REF!</definedName>
    <definedName name="FDP_358_1_aUrv" hidden="1">[18]football_field!#REF!</definedName>
    <definedName name="FDP_359_1_aUrv" hidden="1">[18]football_field!#REF!</definedName>
    <definedName name="FDP_36_1_aUrv" hidden="1">[18]football_field!#REF!</definedName>
    <definedName name="FDP_360_1_aSrv" hidden="1">[18]football_field!#REF!</definedName>
    <definedName name="FDP_361_1_aUrv" hidden="1">[18]football_field!#REF!</definedName>
    <definedName name="FDP_362_1_aUrv" hidden="1">[18]football_field!#REF!</definedName>
    <definedName name="FDP_363_1_aUrv" hidden="1">[18]football_field!#REF!</definedName>
    <definedName name="FDP_364_1_aUrv" hidden="1">[18]football_field!#REF!</definedName>
    <definedName name="FDP_365_1_aUrv" hidden="1">[18]football_field!#REF!</definedName>
    <definedName name="FDP_366_1_aUrv" hidden="1">[18]football_field!#REF!</definedName>
    <definedName name="FDP_367_1_aUrv" hidden="1">[18]football_field!#REF!</definedName>
    <definedName name="FDP_368_1_aUrv" hidden="1">[18]football_field!#REF!</definedName>
    <definedName name="FDP_369_1_aUrv" hidden="1">[18]football_field!#REF!</definedName>
    <definedName name="FDP_37_1_aSrv" hidden="1">[18]football_field!#REF!</definedName>
    <definedName name="FDP_370_1_aUrv" hidden="1">[18]football_field!#REF!</definedName>
    <definedName name="FDP_371_1_aUrv" hidden="1">[18]football_field!#REF!</definedName>
    <definedName name="FDP_372_1_aUrv" hidden="1">[18]football_field!#REF!</definedName>
    <definedName name="FDP_373_1_aSrv" hidden="1">[18]football_field!#REF!</definedName>
    <definedName name="FDP_374_1_aSrv" hidden="1">[18]football_field!#REF!</definedName>
    <definedName name="FDP_375_1_aSrv" hidden="1">[18]football_field!#REF!</definedName>
    <definedName name="FDP_376_1_aSrv" hidden="1">[18]football_field!#REF!</definedName>
    <definedName name="FDP_377_1_aUrv" hidden="1">[18]football_field!#REF!</definedName>
    <definedName name="FDP_378_1_aUrv" hidden="1">[18]football_field!#REF!</definedName>
    <definedName name="FDP_379_1_aSrv" hidden="1">[18]football_field!#REF!</definedName>
    <definedName name="FDP_38_1_aUrv" hidden="1">[18]football_field!#REF!</definedName>
    <definedName name="FDP_380_1_aUrv" hidden="1">[18]football_field!#REF!</definedName>
    <definedName name="FDP_381_1_aUrv" hidden="1">[18]football_field!#REF!</definedName>
    <definedName name="FDP_382_1_aSrv" hidden="1">[18]football_field!#REF!</definedName>
    <definedName name="FDP_383_1_aUrv" hidden="1">[18]football_field!#REF!</definedName>
    <definedName name="FDP_384_1_aUrv" hidden="1">[18]football_field!#REF!</definedName>
    <definedName name="FDP_385_1_aUrv" hidden="1">[18]football_field!#REF!</definedName>
    <definedName name="FDP_386_1_aUrv" hidden="1">[18]football_field!#REF!</definedName>
    <definedName name="FDP_387_1_aUrv" hidden="1">[18]football_field!#REF!</definedName>
    <definedName name="FDP_388_1_aSrv" hidden="1">[18]football_field!#REF!</definedName>
    <definedName name="FDP_389_1_aUrv" hidden="1">[18]football_field!#REF!</definedName>
    <definedName name="FDP_39_1_aUrv" hidden="1">[18]football_field!#REF!</definedName>
    <definedName name="FDP_390_1_aSrv" hidden="1">[18]football_field!#REF!</definedName>
    <definedName name="FDP_391_1_aUrv" hidden="1">[18]football_field!#REF!</definedName>
    <definedName name="FDP_392_1_aUrv" hidden="1">[18]football_field!#REF!</definedName>
    <definedName name="FDP_393_1_aUrv" hidden="1">[18]football_field!#REF!</definedName>
    <definedName name="FDP_394_1_aSrv" hidden="1">[18]football_field!#REF!</definedName>
    <definedName name="FDP_395_1_aSrv" hidden="1">[18]football_field!#REF!</definedName>
    <definedName name="FDP_396_1_aSrv" hidden="1">[18]football_field!#REF!</definedName>
    <definedName name="FDP_397_1_aUrv" hidden="1">[18]football_field!#REF!</definedName>
    <definedName name="FDP_398_1_aSrv" hidden="1">[18]football_field!#REF!</definedName>
    <definedName name="FDP_399_1_aUrv" hidden="1">[18]football_field!#REF!</definedName>
    <definedName name="FDP_4_1_aUrv" hidden="1">[18]football_field!#REF!</definedName>
    <definedName name="FDP_40_1_aUrv" hidden="1">[18]football_field!#REF!</definedName>
    <definedName name="FDP_400_1_aUrv" hidden="1">[18]football_field!#REF!</definedName>
    <definedName name="FDP_401_1_aUrv" hidden="1">[18]football_field!#REF!</definedName>
    <definedName name="FDP_407_1_aUrv" hidden="1">[18]football_field!#REF!</definedName>
    <definedName name="FDP_41_1_aUrv" hidden="1">[18]football_field!#REF!</definedName>
    <definedName name="FDP_413_1_aUrv" hidden="1">[18]football_field!#REF!</definedName>
    <definedName name="FDP_414_1_aUrv" hidden="1">[18]football_field!#REF!</definedName>
    <definedName name="FDP_415_1_aUrv" hidden="1">[18]football_field!#REF!</definedName>
    <definedName name="FDP_416_1_aUrv" hidden="1">[18]football_field!#REF!</definedName>
    <definedName name="FDP_417_1_aUrv" hidden="1">[18]football_field!#REF!</definedName>
    <definedName name="FDP_418_1_aUrv" hidden="1">[18]football_field!#REF!</definedName>
    <definedName name="FDP_419_1_aUrv" hidden="1">[18]football_field!#REF!</definedName>
    <definedName name="FDP_42_1_aUrv" hidden="1">[18]football_field!#REF!</definedName>
    <definedName name="FDP_420_1_aUrv" hidden="1">[18]football_field!#REF!</definedName>
    <definedName name="FDP_421_1_aUrv" hidden="1">[18]football_field!#REF!</definedName>
    <definedName name="FDP_422_1_aUrv" hidden="1">[18]football_field!#REF!</definedName>
    <definedName name="FDP_423_1_aUrv" hidden="1">[18]football_field!#REF!</definedName>
    <definedName name="FDP_424_1_aUrv" hidden="1">[18]football_field!#REF!</definedName>
    <definedName name="FDP_425_1_aUrv" hidden="1">[18]football_field!#REF!</definedName>
    <definedName name="FDP_426_1_aUrv" hidden="1">[18]football_field!#REF!</definedName>
    <definedName name="FDP_427_1_aUrv" hidden="1">[18]football_field!#REF!</definedName>
    <definedName name="FDP_428_1_aUrv" hidden="1">[18]football_field!#REF!</definedName>
    <definedName name="FDP_429_1_aUrv" hidden="1">[18]football_field!#REF!</definedName>
    <definedName name="FDP_43_1_aUrv" hidden="1">[18]football_field!#REF!</definedName>
    <definedName name="FDP_430_1_aUrv" hidden="1">[18]football_field!#REF!</definedName>
    <definedName name="FDP_431_1_aUrv" hidden="1">[18]football_field!#REF!</definedName>
    <definedName name="FDP_432_1_aUrv" hidden="1">[18]football_field!#REF!</definedName>
    <definedName name="FDP_433_1_aUrv" hidden="1">[18]football_field!#REF!</definedName>
    <definedName name="FDP_434_1_aUrv" hidden="1">[18]football_field!#REF!</definedName>
    <definedName name="FDP_435_1_aUrv" hidden="1">[18]football_field!#REF!</definedName>
    <definedName name="FDP_436_1_aUrv" hidden="1">[18]football_field!#REF!</definedName>
    <definedName name="FDP_437_1_aUrv" hidden="1">[18]football_field!#REF!</definedName>
    <definedName name="FDP_438_1_aUrv" hidden="1">[18]football_field!#REF!</definedName>
    <definedName name="FDP_439_1_aUrv" hidden="1">[18]football_field!#REF!</definedName>
    <definedName name="FDP_440_1_aSrv" hidden="1">[18]football_field!#REF!</definedName>
    <definedName name="FDP_441_1_aUrv" hidden="1">[18]football_field!#REF!</definedName>
    <definedName name="FDP_442_1_aUrv" hidden="1">[18]football_field!#REF!</definedName>
    <definedName name="FDP_443_1_aUrv" hidden="1">[18]football_field!#REF!</definedName>
    <definedName name="FDP_444_1_aSrv" hidden="1">[18]football_field!#REF!</definedName>
    <definedName name="FDP_448_1_aSrv" hidden="1">[18]football_field!#REF!</definedName>
    <definedName name="FDP_449_1_aUrv" hidden="1">[18]football_field!#REF!</definedName>
    <definedName name="FDP_450_1_aUrv" hidden="1">[18]football_field!#REF!</definedName>
    <definedName name="FDP_451_1_aUrv" hidden="1">[18]football_field!#REF!</definedName>
    <definedName name="FDP_452_1_aSrv" hidden="1">[18]football_field!#REF!</definedName>
    <definedName name="FDP_453_1_aSrv" hidden="1">[18]football_field!#REF!</definedName>
    <definedName name="FDP_454_1_aSrv" hidden="1">[18]football_field!#REF!</definedName>
    <definedName name="FDP_455_1_aSrv" hidden="1">[18]football_field!#REF!</definedName>
    <definedName name="FDP_457_1_aSrv" hidden="1">[18]football_field!#REF!</definedName>
    <definedName name="FDP_459_1_aSrv" hidden="1">[18]football_field!#REF!</definedName>
    <definedName name="FDP_460_1_aSrv" hidden="1">[18]football_field!#REF!</definedName>
    <definedName name="FDP_461_1_aSrv" hidden="1">[18]football_field!#REF!</definedName>
    <definedName name="FDP_462_1_aSrv" hidden="1">[18]football_field!#REF!</definedName>
    <definedName name="FDP_463_1_aSrv" hidden="1">[18]football_field!#REF!</definedName>
    <definedName name="FDP_464_1_aSrv" hidden="1">[18]football_field!#REF!</definedName>
    <definedName name="FDP_465_1_aSrv" hidden="1">[18]football_field!#REF!</definedName>
    <definedName name="FDP_466_1_aSrv" hidden="1">[18]football_field!#REF!</definedName>
    <definedName name="FDP_467_1_aSrv" hidden="1">[18]football_field!#REF!</definedName>
    <definedName name="FDP_473_1_aSrv" hidden="1">[18]football_field!#REF!</definedName>
    <definedName name="FDP_474_1_aSrv" hidden="1">[18]football_field!#REF!</definedName>
    <definedName name="FDP_475_1_aSrv" hidden="1">[18]football_field!#REF!</definedName>
    <definedName name="FDP_476_1_aSrv" hidden="1">[18]football_field!#REF!</definedName>
    <definedName name="FDP_5_1_aUrv" hidden="1">[18]football_field!#REF!</definedName>
    <definedName name="FDP_50_1_aSrv" hidden="1">[18]football_field!#REF!</definedName>
    <definedName name="FDP_51_1_aSrv" hidden="1">[18]football_field!#REF!</definedName>
    <definedName name="FDP_52_1_aUrv" hidden="1">[18]football_field!#REF!</definedName>
    <definedName name="FDP_53_1_aUrv" hidden="1">[18]football_field!#REF!</definedName>
    <definedName name="FDP_54_1_aUrv" hidden="1">[18]football_field!#REF!</definedName>
    <definedName name="FDP_55_1_aUrv" hidden="1">[18]football_field!#REF!</definedName>
    <definedName name="FDP_555_1_aUrv" hidden="1">[18]football_field!#REF!</definedName>
    <definedName name="FDP_556_1_aUrv" hidden="1">[18]football_field!#REF!</definedName>
    <definedName name="FDP_557_1_aSrv" hidden="1">[18]football_field!#REF!</definedName>
    <definedName name="FDP_558_1_aSrv" hidden="1">[18]football_field!#REF!</definedName>
    <definedName name="FDP_559_1_aSrv" hidden="1">[18]football_field!#REF!</definedName>
    <definedName name="FDP_560_1_aSrv" hidden="1">[18]football_field!#REF!</definedName>
    <definedName name="FDP_561_1_aSrv" hidden="1">[18]football_field!#REF!</definedName>
    <definedName name="FDP_562_1_aSrv" hidden="1">[18]football_field!#REF!</definedName>
    <definedName name="FDP_563_1_aSrv" hidden="1">[18]football_field!#REF!</definedName>
    <definedName name="FDP_564_1_aSrv" hidden="1">[18]football_field!#REF!</definedName>
    <definedName name="FDP_565_1_aSrv" hidden="1">[18]football_field!#REF!</definedName>
    <definedName name="FDP_566_1_aSrv" hidden="1">[18]football_field!#REF!</definedName>
    <definedName name="FDP_567_1_aSrv" hidden="1">[18]football_field!#REF!</definedName>
    <definedName name="FDP_568_1_aSrv" hidden="1">[18]football_field!#REF!</definedName>
    <definedName name="FDP_569_1_aSrv" hidden="1">[18]football_field!#REF!</definedName>
    <definedName name="FDP_570_1_aSrv" hidden="1">[18]football_field!#REF!</definedName>
    <definedName name="FDP_571_1_aSrv" hidden="1">[18]football_field!#REF!</definedName>
    <definedName name="FDP_572_1_aSrv" hidden="1">[18]football_field!#REF!</definedName>
    <definedName name="FDP_573_1_aSrv" hidden="1">[18]football_field!#REF!</definedName>
    <definedName name="FDP_574_1_aSrv" hidden="1">[18]football_field!#REF!</definedName>
    <definedName name="FDP_575_1_aSrv" hidden="1">[18]football_field!#REF!</definedName>
    <definedName name="FDP_576_1_aSrv" hidden="1">[18]football_field!#REF!</definedName>
    <definedName name="FDP_577_1_aSrv" hidden="1">[18]football_field!#REF!</definedName>
    <definedName name="FDP_578_1_aSrv" hidden="1">[18]football_field!#REF!</definedName>
    <definedName name="FDP_579_1_aSrv" hidden="1">[18]football_field!#REF!</definedName>
    <definedName name="FDP_580_1_aSrv" hidden="1">[18]football_field!#REF!</definedName>
    <definedName name="FDP_581_1_aSrv" hidden="1">[18]football_field!#REF!</definedName>
    <definedName name="FDP_582_1_aSrv" hidden="1">[18]football_field!#REF!</definedName>
    <definedName name="FDP_583_1_aSrv" hidden="1">[18]football_field!#REF!</definedName>
    <definedName name="FDP_584_1_aSrv" hidden="1">[18]football_field!#REF!</definedName>
    <definedName name="FDP_585_1_aUrv" hidden="1">[18]football_field!#REF!</definedName>
    <definedName name="FDP_586_1_aUrv" hidden="1">[18]football_field!#REF!</definedName>
    <definedName name="FDP_587_1_aUrv" hidden="1">[18]football_field!#REF!</definedName>
    <definedName name="FDP_588_1_aUdv" hidden="1">[18]football_field!#REF!</definedName>
    <definedName name="FDP_589_1_aUdv" hidden="1">[18]football_field!#REF!</definedName>
    <definedName name="FDP_590_1_aUdv" hidden="1">[18]football_field!#REF!</definedName>
    <definedName name="FDP_591_1_aUdv" hidden="1">[18]football_field!#REF!</definedName>
    <definedName name="FDP_592_1_aUdv" hidden="1">[18]football_field!#REF!</definedName>
    <definedName name="FDP_593_1_aUdv" hidden="1">[18]football_field!#REF!</definedName>
    <definedName name="FDP_594_1_aUdv" hidden="1">[18]football_field!#REF!</definedName>
    <definedName name="FDP_595_1_aUdv" hidden="1">[18]football_field!#REF!</definedName>
    <definedName name="FDP_596_1_aUdv" hidden="1">[18]football_field!#REF!</definedName>
    <definedName name="FDP_597_1_aUdv" hidden="1">[18]football_field!#REF!</definedName>
    <definedName name="FDP_598_1_aUdv" hidden="1">[18]football_field!#REF!</definedName>
    <definedName name="FDP_599_1_aUdv" hidden="1">[18]football_field!#REF!</definedName>
    <definedName name="FDP_6_1_aUrv" hidden="1">[18]football_field!#REF!</definedName>
    <definedName name="FDP_600_1_aUdv" hidden="1">[18]football_field!#REF!</definedName>
    <definedName name="FDP_601_1_aUdv" hidden="1">[18]football_field!#REF!</definedName>
    <definedName name="FDP_602_1_aUdv" hidden="1">[18]football_field!#REF!</definedName>
    <definedName name="FDP_603_1_aUdv" hidden="1">[18]football_field!#REF!</definedName>
    <definedName name="FDP_604_1_aUdv" hidden="1">[18]football_field!#REF!</definedName>
    <definedName name="FDP_605_1_aUdv" hidden="1">[18]football_field!#REF!</definedName>
    <definedName name="FDP_606_1_aUdv" hidden="1">[18]football_field!#REF!</definedName>
    <definedName name="FDP_607_1_aUdv" hidden="1">[18]football_field!#REF!</definedName>
    <definedName name="FDP_608_1_aUrv" hidden="1">[18]football_field!#REF!</definedName>
    <definedName name="FDP_611_1_aSrv" hidden="1">[18]football_field!#REF!</definedName>
    <definedName name="FDP_621_1_aUrv" hidden="1">[18]football_field!#REF!</definedName>
    <definedName name="FDP_622_1_aUrv" hidden="1">[18]football_field!#REF!</definedName>
    <definedName name="FDP_623_1_aSrv" hidden="1">[18]football_field!#REF!</definedName>
    <definedName name="FDP_8_1_aUrv" hidden="1">[18]football_field!#REF!</definedName>
    <definedName name="FDP_9_1_aUrv" hidden="1">[18]football_field!#REF!</definedName>
    <definedName name="fds" hidden="1">{"Full-model",#N/A,FALSE,"ProForma-ASPT"}</definedName>
    <definedName name="fdsfd" hidden="1">#REF!</definedName>
    <definedName name="Fed_New" hidden="1">{"'SGI_Opex'!$A$1:$O$187"}</definedName>
    <definedName name="FEDERAL" hidden="1">{"'SGI_Opex'!$A$1:$O$187"}</definedName>
    <definedName name="FEIN" hidden="1">'[16]C01-General'!$C$16</definedName>
    <definedName name="ff" hidden="1">{"'AR at dunning level'!$S$96","'AR at dunning level'!$L$124","'AR at dunning level'!$K$124"}</definedName>
    <definedName name="fff" hidden="1">{#N/A,#N/A,FALSE,"Aging Summary";#N/A,#N/A,FALSE,"Ratio Analysis";#N/A,#N/A,FALSE,"Test 120 Day Accts";#N/A,#N/A,FALSE,"Tickmarks"}</definedName>
    <definedName name="fffff" hidden="1">{#N/A,#N/A,FALSE,"Index (2)";#N/A,#N/A,FALSE,"1-1 Vol Graph";#N/A,#N/A,FALSE,"1-2 Approve App Graph";#N/A,#N/A,FALSE,"1-3  Sales Summary_Volume";#N/A,#N/A,FALSE,"1-4-1 Net Effective Member";#N/A,#N/A,FALSE,"1-4-2 Mbr Sales Actual vs Goal";#N/A,#N/A,FALSE,"1-5  Sales Summary_Lag";#N/A,#N/A,FALSE,"1-6-1 Mon Appr Chgs";#N/A,#N/A,FALSE,"1-6-3 4 Sent to Carrier";#N/A,#N/A,FALSE,"1-6-5 6 Submitted";#N/A,#N/A,FALSE,"1-7-1,2  ClosRatio by Carr";#N/A,#N/A,FALSE,"1-7-3,4 ClosRatio by State";#N/A,#N/A,FALSE,"1-7-5  Apps Ret CA OofS";#N/A,#N/A,FALSE,"2-1  CLosRatioStateCarr YTD";#N/A,#N/A,FALSE,"2-2 CLosRatioStateCarr Month";#N/A,#N/A,FALSE,"2-3 ClosRatioStatCarrier99";#N/A,#N/A,FALSE,"2-4 CarrierPerState00";#N/A,#N/A,FALSE,"2-5  CarrierPerStateOct";#N/A,#N/A,FALSE,"2-6 CarrierPerState99";#N/A,#N/A,FALSE,"3-1 Summary Lag Report";#N/A,#N/A,FALSE,"3-2  Lag Analysis";#N/A,#N/A,FALSE,"4 - 1  Email Graph";#N/A,#N/A,FALSE,"4-2 Chat Graph";#N/A,#N/A,FALSE,"4-3 Total Calls Graph";#N/A,#N/A,FALSE,"4-5 Within 30 Sec";#N/A,#N/A,FALSE,"4-6 IFP Follow-up Calls"}</definedName>
    <definedName name="fgh"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fgsssrewew" hidden="1">{#N/A,#N/A,FALSE,"Index (2)";#N/A,#N/A,FALSE,"1-1 Vol Graph";#N/A,#N/A,FALSE,"1-2 Approve App Graph";#N/A,#N/A,FALSE,"6-1 Email Graph";#N/A,#N/A,FALSE,"6-2 Chat Graph";#N/A,#N/A,FALSE,"6-3 Total Calls_Abandoned";#N/A,#N/A,FALSE,"6-4 Abandoned Graph";#N/A,#N/A,FALSE,"6-5 Within 30 Sec"}</definedName>
    <definedName name="FileChart" hidden="1">[25]DS_Industry_Specif!$G$1</definedName>
    <definedName name="five" hidden="1">[24]states!$A$85,[24]states!$G$32</definedName>
    <definedName name="Fixed.Assets" hidden="1">{#N/A,#N/A,FALSE,"Income";#N/A,#N/A,FALSE,"Cost of Goods Sold";#N/A,#N/A,FALSE,"Other Costs";#N/A,#N/A,FALSE,"Other Income";#N/A,#N/A,FALSE,"Taxes";#N/A,#N/A,FALSE,"Other Deductions";#N/A,#N/A,FALSE,"Compensation of Officers"}</definedName>
    <definedName name="foo" hidden="1">{#N/A,#N/A,FALSE,"Bgt";#N/A,#N/A,FALSE,"Act";#N/A,#N/A,FALSE,"Chrt Data";#N/A,#N/A,FALSE,"Bus Result";#N/A,#N/A,FALSE,"Main Charts";#N/A,#N/A,FALSE,"P&amp;L Ttl";#N/A,#N/A,FALSE,"P&amp;L C_Ttl";#N/A,#N/A,FALSE,"P&amp;L C_Oct";#N/A,#N/A,FALSE,"P&amp;L C_Sep";#N/A,#N/A,FALSE,"1996";#N/A,#N/A,FALSE,"Data"}</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ForecastPeriod" hidden="1">[26]Reference!$C$26:$F$40</definedName>
    <definedName name="Foreign" hidden="1">{#N/A,#N/A,FALSE,"Income";#N/A,#N/A,FALSE,"Cost of Goods Sold";#N/A,#N/A,FALSE,"Other Costs";#N/A,#N/A,FALSE,"Other Income";#N/A,#N/A,FALSE,"Taxes";#N/A,#N/A,FALSE,"Other Deductions";#N/A,#N/A,FALSE,"Compensation of Officers"}</definedName>
    <definedName name="Foreign.Info" hidden="1">{#N/A,#N/A,FALSE,"Income";#N/A,#N/A,FALSE,"Cost of Goods Sold";#N/A,#N/A,FALSE,"Other Costs";#N/A,#N/A,FALSE,"Other Income";#N/A,#N/A,FALSE,"Taxes";#N/A,#N/A,FALSE,"Other Deductions";#N/A,#N/A,FALSE,"Compensation of Officers"}</definedName>
    <definedName name="forget" hidden="1">{#N/A,#N/A,FALSE,"Australia";#N/A,#N/A,FALSE,"Austria";#N/A,#N/A,FALSE,"Belgium";#N/A,#N/A,FALSE,"Canada";#N/A,#N/A,FALSE,"France";#N/A,#N/A,FALSE,"Germany";#N/A,#N/A,FALSE,"Hong Kong";#N/A,#N/A,FALSE,"Italy";#N/A,#N/A,FALSE,"Japan";#N/A,#N/A,FALSE,"Korea";#N/A,#N/A,FALSE,"Mexico";#N/A,#N/A,FALSE,"Poland";#N/A,#N/A,FALSE,"Spain";#N/A,#N/A,FALSE,"Switzerland";#N/A,#N/A,FALSE,"UK"}</definedName>
    <definedName name="four" hidden="1">[24]states!$A$83,[24]states!$AG$25,[24]states!$B$80</definedName>
    <definedName name="fsdsfafd" hidden="1">{"CSheet",#N/A,FALSE,"C";"SmCap",#N/A,FALSE,"VAL1";"GulfCoast",#N/A,FALSE,"VAL1";"nav",#N/A,FALSE,"NAV";"Summary",#N/A,FALSE,"NAV"}</definedName>
    <definedName name="fvbgfchj" hidden="1">{"Valuation",#N/A,FALSE,"ProForma-ASPT"}</definedName>
    <definedName name="fxdghsfgh" hidden="1">{#N/A,#N/A,TRUE,"Monthly w|o Wireless";#N/A,#N/A,TRUE,"Qrt w|o Wireless";#N/A,#N/A,TRUE,"FY w|o Wireless";#N/A,#N/A,TRUE,"1Q w|o Wireless";#N/A,#N/A,TRUE,"2Q w|o Wireless";#N/A,#N/A,TRUE,"3Q w|o Wireless";#N/A,#N/A,TRUE,"4Q w|o Wireless"}</definedName>
    <definedName name="g" hidden="1">#REF!</definedName>
    <definedName name="gary" hidden="1">{#N/A,#N/A,TRUE,"Tar-Ass";#N/A,#N/A,TRUE,"Tar-Ass LBO";#N/A,#N/A,TRUE,"LBO Ret";#N/A,#N/A,TRUE,"Tar-BS LBO";#N/A,#N/A,TRUE,"Tar-IS LBO";#N/A,#N/A,TRUE,"Tar-CF LBO";#N/A,#N/A,TRUE,"Tar-Debt LBO";#N/A,#N/A,TRUE,"Tar-Int LBO";#N/A,#N/A,TRUE,"Tar-Taxes LBO";#N/A,#N/A,TRUE,"Tar-Val LBO"}</definedName>
    <definedName name="george" hidden="1">{#N/A,#N/A,FALSE,"VAS P&amp;L";#N/A,#N/A,FALSE,"MR P&amp;L";#N/A,#N/A,FALSE,"SVC";#N/A,#N/A,FALSE,"TOTAL";#N/A,#N/A,FALSE,"SUMMARY";#N/A,#N/A,FALSE,"SVCPL";#N/A,#N/A,FALSE,"SUMM+SVC"}</definedName>
    <definedName name="gffff" hidden="1">{#N/A,#N/A,FALSE,"Index";#N/A,#N/A,FALSE,"1-1 Vol Graph";#N/A,#N/A,FALSE,"1-2 Approve App Graph";#N/A,#N/A,FALSE,"1-3  Sales Summary_Volume";#N/A,#N/A,FALSE,"1-4  Net Effective Members"}</definedName>
    <definedName name="gfh" hidden="1">{"CSheet",#N/A,FALSE,"C";"SmCap",#N/A,FALSE,"VAL1";"GulfCoast",#N/A,FALSE,"VAL1";"nav",#N/A,FALSE,"NAV";"Summary",#N/A,FALSE,"NAV"}</definedName>
    <definedName name="ggg" hidden="1">{#N/A,#N/A,FALSE,"Table";#N/A,#N/A,FALSE,"Graph 1";#N/A,#N/A,FALSE,"Summary Report";#N/A,#N/A,FALSE,"Graph 2";#N/A,#N/A,FALSE,"Wkly_Mnthly_Activity";#N/A,#N/A,FALSE,"Lag Rept New Format"}</definedName>
    <definedName name="gggff" hidden="1">{#N/A,#N/A,FALSE,"1-3-0 Sales Summary_Volume";#N/A,#N/A,FALSE,"1-3-1 Mon Appr Chgs";#N/A,#N/A,FALSE,"1-3-3 4 Sent to Carrier";#N/A,#N/A,FALSE,"1-3-5 6 Submitted";#N/A,#N/A,FALSE,"1-3-7, 8  ClosRatio by Carr";#N/A,#N/A,FALSE,"1-3-9 % Sub Sent to Carrl";#N/A,#N/A,FALSE,"1-4 Sales Summary_Lag";#N/A,#N/A,FALSE,"1-4-1 Apps Ret CA OofS";#N/A,#N/A,FALSE,"2-1 ClosRatio by State";#N/A,#N/A,FALSE,"2-2 ClosRatio by Carrier";#N/A,#N/A,FALSE,"2-3-1 CLosRatioStateCarr YTD";#N/A,#N/A,FALSE,"2-3-2 CLosRatioStateCarr June";#N/A,#N/A,FALSE,"2-4 ClosRatioStatCarrier99";#N/A,#N/A,FALSE,"2-5#CarrierPerState00";#N/A,#N/A,FALSE,"2-6#CarrierPerState99";#N/A,#N/A,FALSE,"2-7 StateClosRatio";#N/A,#N/A,FALSE,"2-8 CarrierClosRatio";#N/A,#N/A,FALSE,"3  Sales and Persistency";#N/A,#N/A,FALSE,"4-1 Summary Lag Report";#N/A,#N/A,FALSE,"4-2 Detail Lag Report";#N/A,#N/A,FALSE,"4-3 Lag Analysis";#N/A,#N/A,FALSE,"5-1 SBG"}</definedName>
    <definedName name="ghh" hidden="1">{"cred comp",#N/A,FALSE,"Comparable Credit Analysis";"IS",#N/A,FALSE,"IS";"Sensitivity",#N/A,FALSE,"Sensitivity";"BS",#N/A,FALSE,"BS";"Bond Summary",#N/A,FALSE,"B Summary";"AD",#N/A,FALSE,"Accretion";"NAV",#N/A,FALSE,"NAV";"SU",#N/A,FALSE,"S&amp;U";"acq. study",#N/A,FALSE,"Acq. Study";"F Charges",#N/A,FALSE,"Fixed Charges"}</definedName>
    <definedName name="ghj" hidden="1">{"CSheet",#N/A,FALSE,"C";"SmCap",#N/A,FALSE,"VAL1";"GulfCoast",#N/A,FALSE,"VAL1";"nav",#N/A,FALSE,"NAV";"Summary",#N/A,FALSE,"NAV"}</definedName>
    <definedName name="ghu"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jio" hidden="1">{"cred comp",#N/A,FALSE,"Comparable Credit Analysis";"IS",#N/A,FALSE,"IS";"Sensitivity",#N/A,FALSE,"Sensitivity";"BS",#N/A,FALSE,"BS";"Bond Summary",#N/A,FALSE,"B Summary";"AD",#N/A,FALSE,"Accretion";"NAV",#N/A,FALSE,"NAV";"SU",#N/A,FALSE,"S&amp;U";"acq. study",#N/A,FALSE,"Acq. Study";"F Charges",#N/A,FALSE,"Fixed Charges"}</definedName>
    <definedName name="GOOGL_Drivers_01">'Revenue Drivers'!$A$6:$EP$136</definedName>
    <definedName name="GOOGL_Drivers_02">'Revenue Drivers'!$A$168:$EP$320</definedName>
    <definedName name="GOOGL_IS">IS!$A$6:$EP$182</definedName>
    <definedName name="GOOGL_JPMe_vs_Actual">#REF!</definedName>
    <definedName name="GOOGL_JPMe_vs_BBRG">#REF!</definedName>
    <definedName name="GOOGL_Old_New">#REF!</definedName>
    <definedName name="GOOGL_Segments">'Segment As Reported'!$A$6:$EP$37</definedName>
    <definedName name="gr" hidden="1">#REF!</definedName>
    <definedName name="grd" hidden="1">{"Valuation",#N/A,FALSE,"ProForma-ASPT"}</definedName>
    <definedName name="grtr" hidden="1">{"graph",#N/A,FALSE,"WWJU";"graph",#N/A,FALSE,"WWSEM";"graph",#N/A,FALSE,"GOMJU";"graph",#N/A,FALSE,"GOMSEM";"graph",#N/A,FALSE,"NSJU";"graph",#N/A,FALSE,"NSSEM";"graph",#N/A,FALSE,"WAJU";"graph",#N/A,FALSE,"STOCKPRI";"graph",#N/A,FALSE,"CFTEV";"graph",#N/A,FALSE,"NAV-RCV";"graph",#N/A,FALSE,"CRUDEWW"}</definedName>
    <definedName name="grwvfs" hidden="1">{"Valuation",#N/A,FALSE,"ProForma-ASPT"}</definedName>
    <definedName name="gus" hidden="1">{#N/A,#N/A,FALSE,"34";#N/A,#N/A,FALSE,"35"}</definedName>
    <definedName name="gyhui" hidden="1">{"CSheet",#N/A,FALSE,"C";"SmCap",#N/A,FALSE,"VAL1";"GulfCoast",#N/A,FALSE,"VAL1";"nav",#N/A,FALSE,"NAV";"Summary",#N/A,FALSE,"NAV"}</definedName>
    <definedName name="happy" hidden="1">{"Page1",#N/A,FALSE,"CompCo";"Page2",#N/A,FALSE,"CompCo"}</definedName>
    <definedName name="hdtm" hidden="1">{"Full-model",#N/A,FALSE,"ProForma-ASPT"}</definedName>
    <definedName name="hfdsdadsfgf" hidden="1">{#N/A,#N/A,FALSE,"1-3-0 Sales Summary_Volume";#N/A,#N/A,FALSE,"1-3-1 Mon Appr Chgs";#N/A,#N/A,FALSE,"1-3-3 4 Sent to Carrier";#N/A,#N/A,FALSE,"1-3-5 6 Submitted";#N/A,#N/A,FALSE,"1-3-7, 8  ClosRatio by Carr";#N/A,#N/A,FALSE,"1-3-9 % Sub Sent to Carrl";#N/A,#N/A,FALSE,"1-4 Sales Summary_Lag";#N/A,#N/A,FALSE,"1-4-1 Apps Ret CA OofS";#N/A,#N/A,FALSE,"2-1 ClosRatio by State";#N/A,#N/A,FALSE,"2-2 ClosRatio by Carrier";#N/A,#N/A,FALSE,"2-3-1 CLosRatioStateCarr YTD";#N/A,#N/A,FALSE,"2-3-2 CLosRatioStateCarr June";#N/A,#N/A,FALSE,"2-4 ClosRatioStatCarrier99";#N/A,#N/A,FALSE,"2-5#CarrierPerState00";#N/A,#N/A,FALSE,"2-6#CarrierPerState99";#N/A,#N/A,FALSE,"2-7 StateClosRatio";#N/A,#N/A,FALSE,"2-8 CarrierClosRatio";#N/A,#N/A,FALSE,"3  Sales and Persistency";#N/A,#N/A,FALSE,"4-1 Summary Lag Report";#N/A,#N/A,FALSE,"4-2 Detail Lag Report";#N/A,#N/A,FALSE,"4-3 Lag Analysis";#N/A,#N/A,FALSE,"5-1 SBG"}</definedName>
    <definedName name="hfjm" hidden="1">{"Full-model",#N/A,FALSE,"ProForma-ASPT"}</definedName>
    <definedName name="hghg"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hh" hidden="1">{"CF",#N/A,FALSE,"Cash Flow"}</definedName>
    <definedName name="hhh" hidden="1">{#N/A,#N/A,TRUE,"4Q BCG";#N/A,#N/A,TRUE,"4Q w|o Wireless";#N/A,#N/A,TRUE,"4Q Wireless"}</definedName>
    <definedName name="hhhsdf" hidden="1">{"up stand alones",#N/A,FALSE,"Acquiror"}</definedName>
    <definedName name="HHIhs" hidden="1">{"short1",#N/A,FALSE,"masmode";"short2",#N/A,FALSE,"masmode";"qtrres",#N/A,FALSE,"QTR. RES.";"sales",#N/A,FALSE,"Sales &amp; Market Share"}</definedName>
    <definedName name="hjhjhj" hidden="1">{#N/A,#N/A,FALSE,"Index";"Stmts_Qtrs",#N/A,FALSE,"Summary";"Stmts_24 mo",#N/A,FALSE,"Summary";"Summary_24",#N/A,FALSE,"Revenue";"Month_24",#N/A,FALSE,"Engineering";"Month_24",#N/A,FALSE,"Marketing";"Month_24",#N/A,FALSE,"G &amp; A";"Month_24",#N/A,FALSE,"Manufacturing"}</definedName>
    <definedName name="hjk" hidden="1">{"Full-model",#N/A,FALSE,"ProForma-ASPT"}</definedName>
    <definedName name="hkk" hidden="1">{#N/A,#N/A,FALSE,"Index (2)";#N/A,#N/A,FALSE,"1-1 Vol Graph";#N/A,#N/A,FALSE,"1-2 Approve App Graph";#N/A,#N/A,FALSE,"6-1 Email Graph";#N/A,#N/A,FALSE,"6-2 Chat Graph";#N/A,#N/A,FALSE,"6-3 Total Calls_Abandoned";#N/A,#N/A,FALSE,"6-4 Abandoned Graph";#N/A,#N/A,FALSE,"6-5 Within 30 Sec"}</definedName>
    <definedName name="hkli9" hidden="1">{"Page1",#N/A,FALSE,"CompCo";"Page2",#N/A,FALSE,"CompCo"}</definedName>
    <definedName name="hmngf" hidden="1">{"Full-model",#N/A,FALSE,"ProForma-ASPT"}</definedName>
    <definedName name="houeling" hidden="1">{#N/A,#N/A,FALSE,"Aging Summary";#N/A,#N/A,FALSE,"Ratio Analysis";#N/A,#N/A,FALSE,"Test 120 Day Accts";#N/A,#N/A,FALSE,"Tickmarks"}</definedName>
    <definedName name="HTML_CodePage" hidden="1">1252</definedName>
    <definedName name="HTML_Control" localSheetId="6" hidden="1">{"'Segment'!$A$1:$J$45"}</definedName>
    <definedName name="HTML_Control" hidden="1">{"'Asm'!$E$1:$AX$53"}</definedName>
    <definedName name="HTML_Control_2" hidden="1">{"'Trend_Total'!$A$7:$V$10","'Trend_Total'!$A$1:$V$4"}</definedName>
    <definedName name="HTML_Description" hidden="1">""</definedName>
    <definedName name="HTML_Email" hidden="1">""</definedName>
    <definedName name="HTML_Header" hidden="1">"Asm"</definedName>
    <definedName name="HTML_LastUpdate" hidden="1">"10/12/98"</definedName>
    <definedName name="HTML_LineAfter" hidden="1">FALSE</definedName>
    <definedName name="HTML_LineBefore" hidden="1">FALSE</definedName>
    <definedName name="HTML_Name" hidden="1">"Tom Stone"</definedName>
    <definedName name="HTML_OBDlg2" hidden="1">TRUE</definedName>
    <definedName name="HTML_OBDlg3" hidden="1">TRUE</definedName>
    <definedName name="HTML_OBDlg4" hidden="1">TRUE</definedName>
    <definedName name="HTML_OS" hidden="1">0</definedName>
    <definedName name="HTML_PathFile" hidden="1">"f:\Finance\MyHTML.htm"</definedName>
    <definedName name="HTML_PathFileMac" hidden="1">"Macintosh HD:HomePageStuff:New_Home_Page:datafile:ctryprem.html"</definedName>
    <definedName name="HTML_PathTemplate" hidden="1">"C:\My Documents\Excel\HTMLTemp.htm"</definedName>
    <definedName name="HTML_Title" hidden="1">"PlanRpts220"</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definedName>
    <definedName name="HTML1_4" hidden="1">""</definedName>
    <definedName name="HTML1_5" hidden="1">""</definedName>
    <definedName name="HTML1_6" hidden="1">-4146</definedName>
    <definedName name="HTML1_7" hidden="1">-4146</definedName>
    <definedName name="HTML1_8" hidden="1">"2/17/98"</definedName>
    <definedName name="HTML1_9" hidden="1">"BPH"</definedName>
    <definedName name="HTML2_10" hidden="1">""</definedName>
    <definedName name="HTML2_11" hidden="1">1</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"2/17/98"</definedName>
    <definedName name="HTML2_9" hidden="1">"BPH"</definedName>
    <definedName name="HTML3_10" hidden="1">""</definedName>
    <definedName name="HTML3_11" hidden="1">1</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"2/17/98"</definedName>
    <definedName name="HTML3_9" hidden="1">"BPH"</definedName>
    <definedName name="HTMLCount" hidden="1">3</definedName>
    <definedName name="hu" hidden="1">{"Total",#N/A,FALSE,"Six Fields";"PDP",#N/A,FALSE,"Six Fields";"PNP",#N/A,FALSE,"Six Fields";"PUD",#N/A,FALSE,"Six Fields";"Prob",#N/A,FALSE,"Six Fields"}</definedName>
    <definedName name="hui" hidden="1">{"Sum1",#N/A,FALSE,"Reserve Report";"Sum2",#N/A,FALSE,"Reserve Report";"Sum3",#N/A,FALSE,"Reserve Report";"Sum4",#N/A,FALSE,"Reserve Report"}</definedName>
    <definedName name="iklutilk" hidden="1">{"Valuation",#N/A,FALSE,"ProForma-ASPT"}</definedName>
    <definedName name="Index" hidden="1">{"YTD-Total",#N/A,TRUE,"Provision";"YTD-Utility",#N/A,TRUE,"Prov Utility";"YTD-NonUtility",#N/A,TRUE,"Prov NonUtility"}</definedName>
    <definedName name="Infgod" hidden="1">{"monthlyunits",#N/A,FALSE,"openings"}</definedName>
    <definedName name="Infosed" hidden="1">{"quartfin",#N/A,FALSE,"quartfin"}</definedName>
    <definedName name="Int_Ass" hidden="1">{#N/A,#N/A,TRUE,"Bal_Sht (TF-1)";#N/A,#N/A,TRUE,"Inc_Summ (TF-2)";#N/A,#N/A,TRUE,"COGS (TF-3)";#N/A,#N/A,TRUE,"ExpSumm (TF-4)";#N/A,#N/A,TRUE,"Other_Inc (TF-5)";#N/A,#N/A,TRUE,"Other_Exp (TF-6)";#N/A,#N/A,TRUE,"Bad_Debts (TF-7)";#N/A,#N/A,TRUE,"Contrib (TF-8)";#N/A,#N/A,TRUE,"Meal_Ent (TF-9)";#N/A,#N/A,TRUE,"Fines (TF-10)"}</definedName>
    <definedName name="IntroPrintArea" hidden="1">#REF!</definedName>
    <definedName name="io"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iouu" hidden="1">{"Total",#N/A,FALSE,"Total Proved + Probable";"PDP",#N/A,FALSE,"Total Proved + Probable";"PNP",#N/A,FALSE,"Total Proved + Probable";"PUD",#N/A,FALSE,"Total Proved + Probable";"Prob",#N/A,FALSE,"Total Proved + Probable"}</definedName>
    <definedName name="IPRD_mites" hidden="1">{"bs",#N/A,FALSE,"SCF"}</definedName>
    <definedName name="IPRD_Pollen" hidden="1">{"bs",#N/A,FALSE,"SCF"}</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FS_AMORT_COST_FFIEC" hidden="1">"c20499"</definedName>
    <definedName name="IQ_ABS_AFS_FAIR_VAL_FFIEC" hidden="1">"c20464"</definedName>
    <definedName name="IQ_ABS_AVAIL_SALE_FFIEC" hidden="1">"c12802"</definedName>
    <definedName name="IQ_ABS_FFIEC" hidden="1">"c12788"</definedName>
    <definedName name="IQ_ABS_HTM_AMORT_COST_FFIEC" hidden="1">"c20447"</definedName>
    <definedName name="IQ_ABS_HTM_FAIR_VAL_FFIEC" hidden="1">"c20482"</definedName>
    <definedName name="IQ_ABS_INVEST_SECURITIES_FFIEC" hidden="1">"c13461"</definedName>
    <definedName name="IQ_ABS_PERIOD" hidden="1">"c13823"</definedName>
    <definedName name="IQ_ABS_PERIOD_EST" hidden="1">"c16122"</definedName>
    <definedName name="IQ_ACCEPTANCES_OTHER_FOREIGN_BANKS_LL_REC_FFIEC" hidden="1">"c15293"</definedName>
    <definedName name="IQ_ACCEPTANCES_OTHER_US_BANKS_LL_REC_FFIEC" hidden="1">"c15292"</definedName>
    <definedName name="IQ_ACCOUNT_CHANGE" hidden="1">"c1449"</definedName>
    <definedName name="IQ_ACCOUNT_CODE_INTEREST_PENALTIES" hidden="1">"c15741"</definedName>
    <definedName name="IQ_ACCOUNTING_FFIEC" hidden="1">"c13054"</definedName>
    <definedName name="IQ_ACCOUNTING_STANDARD" hidden="1">"c4539"</definedName>
    <definedName name="IQ_ACCOUNTING_STANDARD_CIQ_COL" hidden="1">"c11739"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AMORT_GW" hidden="1">"c17749"</definedName>
    <definedName name="IQ_ACCUM_AMORT_INTAN_ASSETS" hidden="1">"c17747"</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 hidden="1">"c2125"</definedName>
    <definedName name="IQ_ACQ_COSTS_CAPITALIZED" hidden="1">"c5"</definedName>
    <definedName name="IQ_ACQUIRE_REAL_ESTATE_CF" hidden="1">"c6"</definedName>
    <definedName name="IQ_ACQUIRED_BY_REPORTING_BANK_FDIC" hidden="1">"c6535"</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_TAX_POSITIONS_CURRENT_YR" hidden="1">"c15733"</definedName>
    <definedName name="IQ_ADD_TAX_POSITIONS_PRIOR_YRS" hidden="1">"c15735"</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DET_EST" hidden="1">"c12043"</definedName>
    <definedName name="IQ_ANALYST_DET_EST_THOM" hidden="1">"c12071"</definedName>
    <definedName name="IQ_ANALYST_EMAIL" hidden="1">"c13738"</definedName>
    <definedName name="IQ_ANALYST_NAME" hidden="1">"c13736"</definedName>
    <definedName name="IQ_ANALYST_NON_PER_DET_EST" hidden="1">"c12755"</definedName>
    <definedName name="IQ_ANALYST_NON_PER_DET_EST_THOM" hidden="1">"c12759"</definedName>
    <definedName name="IQ_ANALYST_PHONE" hidden="1">"c13737"</definedName>
    <definedName name="IQ_ANALYST_START_DATE" hidden="1">"c13740"</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SET_BACKED_FDIC" hidden="1">"c6301"</definedName>
    <definedName name="IQ_ASSET_MANAGED_GROWTH_RATE" hidden="1">"c20434"</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ETS_UNDER_ADMINISTRATION" hidden="1">"c20432"</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ACQUISITIONS_TRANSFERS" hidden="1">"c20415"</definedName>
    <definedName name="IQ_AUM_AVERAGE" hidden="1">"c20418"</definedName>
    <definedName name="IQ_AUM_BOP" hidden="1">"c20409"</definedName>
    <definedName name="IQ_AUM_CASH_FLOWS_DIVIDENDS" hidden="1">"c20413"</definedName>
    <definedName name="IQ_AUM_DOMESTIC" hidden="1">"c20400"</definedName>
    <definedName name="IQ_AUM_EOP" hidden="1">"c20417"</definedName>
    <definedName name="IQ_AUM_EQUITY_FUNDS" hidden="1">"c10039"</definedName>
    <definedName name="IQ_AUM_FEE_EARNING" hidden="1">"c20402"</definedName>
    <definedName name="IQ_AUM_FIXED_INCOME_FUNDS" hidden="1">"c10040"</definedName>
    <definedName name="IQ_AUM_FOREIGN" hidden="1">"c20401"</definedName>
    <definedName name="IQ_AUM_HIGH_NET_WORTH" hidden="1">"c20398"</definedName>
    <definedName name="IQ_AUM_INFLOWS" hidden="1">"c20410"</definedName>
    <definedName name="IQ_AUM_INSTITUTIONAL" hidden="1">"c20396"</definedName>
    <definedName name="IQ_AUM_INSTITUTIONAL_CUSTOMERS" hidden="1">"c20405"</definedName>
    <definedName name="IQ_AUM_MARKET_APPRECIATION_DEPRECIATION" hidden="1">"c20414"</definedName>
    <definedName name="IQ_AUM_MONEY_MARKET_FUNDS" hidden="1">"c10041"</definedName>
    <definedName name="IQ_AUM_NET_CHANGE" hidden="1">"c20419"</definedName>
    <definedName name="IQ_AUM_NET_INFLOWS_OUTFLOWS" hidden="1">"c20412"</definedName>
    <definedName name="IQ_AUM_NON_FEE_EARNING" hidden="1">"c20403"</definedName>
    <definedName name="IQ_AUM_OTHER" hidden="1">"c10042"</definedName>
    <definedName name="IQ_AUM_OTHER_ADJUSTMENTS" hidden="1">"c20416"</definedName>
    <definedName name="IQ_AUM_OTHER_CLIENTS" hidden="1">"c20399"</definedName>
    <definedName name="IQ_AUM_OTHER_CUSTOMERS" hidden="1">"c20407"</definedName>
    <definedName name="IQ_AUM_OUTFLOWS" hidden="1">"c20411"</definedName>
    <definedName name="IQ_AUM_PRIVATE_EQUITY" hidden="1">"c20394"</definedName>
    <definedName name="IQ_AUM_REAL_ESTATE" hidden="1">"c20395"</definedName>
    <definedName name="IQ_AUM_RETAIL" hidden="1">"c20397"</definedName>
    <definedName name="IQ_AUM_RETAIL_CUSTOMERS" hidden="1">"c20404"</definedName>
    <definedName name="IQ_AUM_SME_CUSTOMERS" hidden="1">"c20406"</definedName>
    <definedName name="IQ_AUM_TOTAL_CUSTOMERS" hidden="1">"c20408"</definedName>
    <definedName name="IQ_AUTO_LOANS_TOTAL_LOANS" hidden="1">"c15713"</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CIQ_COL" hidden="1">"c11631"</definedName>
    <definedName name="IQ_AVG_INDUSTRY_REC_NO" hidden="1">"c4454"</definedName>
    <definedName name="IQ_AVG_INDUSTRY_REC_NO_CIQ_COL" hidden="1">"c11630"</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KTCAP" hidden="1">"c80"</definedName>
    <definedName name="IQ_AVG_PORTFOLIO_DURATION" hidden="1">"c17693"</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REV_PER_TRADE" hidden="1">"c20431"</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IC_EPS_EXCL" hidden="1">"c85"</definedName>
    <definedName name="IQ_BASIC_EPS_INCL" hidden="1">"c86"</definedName>
    <definedName name="IQ_BASIC_NAV_SHARES" hidden="1">"c16012"</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 hidden="1">"c15176"</definedName>
    <definedName name="IQ_BOARD_MEMBER_DIRECT_PHONE" hidden="1">"c15175"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 hidden="1">"c15177"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ID" hidden="1">"c13756"</definedName>
    <definedName name="IQ_BOARD_MEMBER_LT_INCENTIVE" hidden="1">"c18991"</definedName>
    <definedName name="IQ_BOARD_MEMBER_MAIN_FAX" hidden="1">"c15174"</definedName>
    <definedName name="IQ_BOARD_MEMBER_MAIN_PHONE" hidden="1">"c15173"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_ADDRESS" hidden="1">"c15172"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 hidden="1">"c2183"</definedName>
    <definedName name="IQ_BOND_COUPON_TYPE" hidden="1">"c2184"</definedName>
    <definedName name="IQ_BOND_LIST" hidden="1">"c13505"</definedName>
    <definedName name="IQ_BOND_PRICE" hidden="1">"c2162"</definedName>
    <definedName name="IQ_BONDRATING_FITCH" hidden="1">"IQ_BONDRATING_FITCH"</definedName>
    <definedName name="IQ_BONDRATING_SP" hidden="1">"IQ_BONDRATING_SP"</definedName>
    <definedName name="IQ_BOOK_VALUE" hidden="1">"IQ_BOOK_VALUE"</definedName>
    <definedName name="IQ_BORROWED_MONEY_QUARTERLY_AVG_FFIEC" hidden="1">"c13091"</definedName>
    <definedName name="IQ_BORROWINGS_LESS_1YR_ASSETS_TOT_FFIEC" hidden="1">"c13450"</definedName>
    <definedName name="IQ_BR_FILING_DATE" hidden="1">"c16223"</definedName>
    <definedName name="IQ_BR_FILING_TYPE" hidden="1">"c16224"</definedName>
    <definedName name="IQ_BR_PLAN_APPROVE_DATE" hidden="1">"c16226"</definedName>
    <definedName name="IQ_BR_PLAN_CONFIRM" hidden="1">"c16225"</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ACT_OR_EST_CIQ_COL" hidden="1">"c11715"</definedName>
    <definedName name="IQ_BV_ACT_OR_EST_REUT" hidden="1">"c5471"</definedName>
    <definedName name="IQ_BV_EST" hidden="1">"c5624"</definedName>
    <definedName name="IQ_BV_EST_REUT" hidden="1">"c5403"</definedName>
    <definedName name="IQ_BV_HIGH_EST" hidden="1">"c5626"</definedName>
    <definedName name="IQ_BV_HIGH_EST_REUT" hidden="1">"c5405"</definedName>
    <definedName name="IQ_BV_LOW_EST" hidden="1">"c5627"</definedName>
    <definedName name="IQ_BV_LOW_EST_REUT" hidden="1">"c5406"</definedName>
    <definedName name="IQ_BV_MEDIAN_EST" hidden="1">"c5625"</definedName>
    <definedName name="IQ_BV_MEDIAN_EST_REUT" hidden="1">"c5404"</definedName>
    <definedName name="IQ_BV_NUM_EST" hidden="1">"c5628"</definedName>
    <definedName name="IQ_BV_NUM_EST_REUT" hidden="1">"c5407"</definedName>
    <definedName name="IQ_BV_OVER_SHARES" hidden="1">"c1349"</definedName>
    <definedName name="IQ_BV_SHARE" hidden="1">"c100"</definedName>
    <definedName name="IQ_BV_SHARE_ACT_OR_EST" hidden="1">"c3587"</definedName>
    <definedName name="IQ_BV_SHARE_ACT_OR_EST_CIQ_COL" hidden="1">"c11719"</definedName>
    <definedName name="IQ_BV_SHARE_ACT_OR_EST_REUT" hidden="1">"c5477"</definedName>
    <definedName name="IQ_BV_SHARE_ACT_OR_EST_THOM" hidden="1">"c5312"</definedName>
    <definedName name="IQ_BV_SHARE_DET_EST" hidden="1">"c12047"</definedName>
    <definedName name="IQ_BV_SHARE_DET_EST_CURRENCY" hidden="1">"c12456"</definedName>
    <definedName name="IQ_BV_SHARE_DET_EST_CURRENCY_THOM" hidden="1">"c12476"</definedName>
    <definedName name="IQ_BV_SHARE_DET_EST_DATE" hidden="1">"c12200"</definedName>
    <definedName name="IQ_BV_SHARE_DET_EST_DATE_THOM" hidden="1">"c12225"</definedName>
    <definedName name="IQ_BV_SHARE_DET_EST_INCL" hidden="1">"c12339"</definedName>
    <definedName name="IQ_BV_SHARE_DET_EST_INCL_THOM" hidden="1">"c12359"</definedName>
    <definedName name="IQ_BV_SHARE_DET_EST_NOTE" hidden="1">"c17545"</definedName>
    <definedName name="IQ_BV_SHARE_DET_EST_NOTE_THOM" hidden="1">"c17593"</definedName>
    <definedName name="IQ_BV_SHARE_DET_EST_ORIGIN" hidden="1">"c12573"</definedName>
    <definedName name="IQ_BV_SHARE_DET_EST_ORIGIN_THOM" hidden="1">"c12595"</definedName>
    <definedName name="IQ_BV_SHARE_DET_EST_THOM" hidden="1">"c12075"</definedName>
    <definedName name="IQ_BV_SHARE_EST" hidden="1">"c3541"</definedName>
    <definedName name="IQ_BV_SHARE_EST_DOWN_2MONTH" hidden="1">"c16573"</definedName>
    <definedName name="IQ_BV_SHARE_EST_DOWN_2MONTH_THOM" hidden="1">"c17389"</definedName>
    <definedName name="IQ_BV_SHARE_EST_DOWN_3MONTH" hidden="1">"c16577"</definedName>
    <definedName name="IQ_BV_SHARE_EST_DOWN_3MONTH_THOM" hidden="1">"c17393"</definedName>
    <definedName name="IQ_BV_SHARE_EST_DOWN_MONTH" hidden="1">"c16569"</definedName>
    <definedName name="IQ_BV_SHARE_EST_DOWN_MONTH_THOM" hidden="1">"c17385"</definedName>
    <definedName name="IQ_BV_SHARE_EST_NUM_ANALYSTS_2MONTH" hidden="1">"c16571"</definedName>
    <definedName name="IQ_BV_SHARE_EST_NUM_ANALYSTS_2MONTH_THOM" hidden="1">"c17387"</definedName>
    <definedName name="IQ_BV_SHARE_EST_NUM_ANALYSTS_3MONTH" hidden="1">"c16575"</definedName>
    <definedName name="IQ_BV_SHARE_EST_NUM_ANALYSTS_3MONTH_THOM" hidden="1">"c17391"</definedName>
    <definedName name="IQ_BV_SHARE_EST_NUM_ANALYSTS_MONTH" hidden="1">"c16567"</definedName>
    <definedName name="IQ_BV_SHARE_EST_NUM_ANALYSTS_MONTH_THOM" hidden="1">"c17383"</definedName>
    <definedName name="IQ_BV_SHARE_EST_REUT" hidden="1">"c5439"</definedName>
    <definedName name="IQ_BV_SHARE_EST_THOM" hidden="1">"c4020"</definedName>
    <definedName name="IQ_BV_SHARE_EST_TOTAL_REVISED_2MONTH" hidden="1">"c16574"</definedName>
    <definedName name="IQ_BV_SHARE_EST_TOTAL_REVISED_2MONTH_THOM" hidden="1">"c17390"</definedName>
    <definedName name="IQ_BV_SHARE_EST_TOTAL_REVISED_3MONTH" hidden="1">"c16578"</definedName>
    <definedName name="IQ_BV_SHARE_EST_TOTAL_REVISED_3MONTH_THOM" hidden="1">"c17394"</definedName>
    <definedName name="IQ_BV_SHARE_EST_TOTAL_REVISED_MONTH" hidden="1">"c16570"</definedName>
    <definedName name="IQ_BV_SHARE_EST_TOTAL_REVISED_MONTH_THOM" hidden="1">"c17386"</definedName>
    <definedName name="IQ_BV_SHARE_EST_UP_2MONTH" hidden="1">"c16572"</definedName>
    <definedName name="IQ_BV_SHARE_EST_UP_2MONTH_THOM" hidden="1">"c17388"</definedName>
    <definedName name="IQ_BV_SHARE_EST_UP_3MONTH" hidden="1">"c16576"</definedName>
    <definedName name="IQ_BV_SHARE_EST_UP_3MONTH_THOM" hidden="1">"c17392"</definedName>
    <definedName name="IQ_BV_SHARE_EST_UP_MONTH" hidden="1">"c16568"</definedName>
    <definedName name="IQ_BV_SHARE_EST_UP_MONTH_THOM" hidden="1">"c17384"</definedName>
    <definedName name="IQ_BV_SHARE_HIGH_EST" hidden="1">"c3542"</definedName>
    <definedName name="IQ_BV_SHARE_HIGH_EST_REUT" hidden="1">"c5441"</definedName>
    <definedName name="IQ_BV_SHARE_HIGH_EST_THOM" hidden="1">"c4022"</definedName>
    <definedName name="IQ_BV_SHARE_LOW_EST" hidden="1">"c3543"</definedName>
    <definedName name="IQ_BV_SHARE_LOW_EST_REUT" hidden="1">"c5442"</definedName>
    <definedName name="IQ_BV_SHARE_LOW_EST_THOM" hidden="1">"c4023"</definedName>
    <definedName name="IQ_BV_SHARE_MEDIAN_EST" hidden="1">"c3544"</definedName>
    <definedName name="IQ_BV_SHARE_MEDIAN_EST_REUT" hidden="1">"c5440"</definedName>
    <definedName name="IQ_BV_SHARE_MEDIAN_EST_THOM" hidden="1">"c4021"</definedName>
    <definedName name="IQ_BV_SHARE_NUM_EST" hidden="1">"c3539"</definedName>
    <definedName name="IQ_BV_SHARE_NUM_EST_REUT" hidden="1">"c5443"</definedName>
    <definedName name="IQ_BV_SHARE_NUM_EST_THOM" hidden="1">"c4024"</definedName>
    <definedName name="IQ_BV_SHARE_STDDEV_EST" hidden="1">"c3540"</definedName>
    <definedName name="IQ_BV_SHARE_STDDEV_EST_REUT" hidden="1">"c5444"</definedName>
    <definedName name="IQ_BV_SHARE_STDDEV_EST_THOM" hidden="1">"c4025"</definedName>
    <definedName name="IQ_BV_STDDEV_EST" hidden="1">"c5629"</definedName>
    <definedName name="IQ_BV_STDDEV_EST_REUT" hidden="1">"c5408"</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 hidden="1">"c15773"</definedName>
    <definedName name="IQ_CABLE_SUBS_DIG" hidden="1">"c2856"</definedName>
    <definedName name="IQ_CABLE_SUBS_LONG_DIST_PHONE" hidden="1">"c15775"</definedName>
    <definedName name="IQ_CABLE_SUBS_NON_VIDEO" hidden="1">"c2860"</definedName>
    <definedName name="IQ_CABLE_SUBS_PHONE" hidden="1">"c2859"</definedName>
    <definedName name="IQ_CABLE_SUBS_RES_PHONE" hidden="1">"c15772"</definedName>
    <definedName name="IQ_CABLE_SUBS_SATELITE" hidden="1">"c15771"</definedName>
    <definedName name="IQ_CABLE_SUBS_TOTAL" hidden="1">"c2862"</definedName>
    <definedName name="IQ_CABLE_SUBS_WHOLE_PHONE" hidden="1">"c15774"</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CIQ_COL" hidden="1">"c11743"</definedName>
    <definedName name="IQ_CAL_Q_EST_THOM" hidden="1">"c6804"</definedName>
    <definedName name="IQ_CAL_Y" hidden="1">"c102"</definedName>
    <definedName name="IQ_CAL_Y_EST" hidden="1">"c6797"</definedName>
    <definedName name="IQ_CAL_Y_EST_CIQ" hidden="1">"c6809"</definedName>
    <definedName name="IQ_CAL_Y_EST_CIQ_COL" hidden="1">"c11744"</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_COL" hidden="1">"c11718"</definedName>
    <definedName name="IQ_CAPEX_ACT_OR_EST_REUT" hidden="1">"c5474"</definedName>
    <definedName name="IQ_CAPEX_ACT_OR_EST_THOM" hidden="1">"c5546"</definedName>
    <definedName name="IQ_CAPEX_BNK" hidden="1">"c110"</definedName>
    <definedName name="IQ_CAPEX_BR" hidden="1">"c111"</definedName>
    <definedName name="IQ_CAPEX_DET_EST" hidden="1">"c12048"</definedName>
    <definedName name="IQ_CAPEX_DET_EST_CURRENCY" hidden="1">"c12457"</definedName>
    <definedName name="IQ_CAPEX_DET_EST_CURRENCY_THOM" hidden="1">"c12477"</definedName>
    <definedName name="IQ_CAPEX_DET_EST_DATE" hidden="1">"c12201"</definedName>
    <definedName name="IQ_CAPEX_DET_EST_DATE_THOM" hidden="1">"c12226"</definedName>
    <definedName name="IQ_CAPEX_DET_EST_INCL" hidden="1">"c12340"</definedName>
    <definedName name="IQ_CAPEX_DET_EST_INCL_THOM" hidden="1">"c12360"</definedName>
    <definedName name="IQ_CAPEX_DET_EST_NOTE" hidden="1">"c17542"</definedName>
    <definedName name="IQ_CAPEX_DET_EST_NOTE_THOM" hidden="1">"c17590"</definedName>
    <definedName name="IQ_CAPEX_DET_EST_ORIGIN" hidden="1">"c12765"</definedName>
    <definedName name="IQ_CAPEX_DET_EST_ORIGIN_THOM" hidden="1">"c12596"</definedName>
    <definedName name="IQ_CAPEX_DET_EST_THOM" hidden="1">"c12076"</definedName>
    <definedName name="IQ_CAPEX_EST" hidden="1">"c3523"</definedName>
    <definedName name="IQ_CAPEX_EST_DOWN_2MONTH" hidden="1">"c16525"</definedName>
    <definedName name="IQ_CAPEX_EST_DOWN_2MONTH_THOM" hidden="1">"c17353"</definedName>
    <definedName name="IQ_CAPEX_EST_DOWN_3MONTH" hidden="1">"c16529"</definedName>
    <definedName name="IQ_CAPEX_EST_DOWN_3MONTH_THOM" hidden="1">"c17357"</definedName>
    <definedName name="IQ_CAPEX_EST_DOWN_MONTH" hidden="1">"c16521"</definedName>
    <definedName name="IQ_CAPEX_EST_DOWN_MONTH_THOM" hidden="1">"c17349"</definedName>
    <definedName name="IQ_CAPEX_EST_NUM_ANALYSTS_2MONTH" hidden="1">"c16523"</definedName>
    <definedName name="IQ_CAPEX_EST_NUM_ANALYSTS_2MONTH_THOM" hidden="1">"c17351"</definedName>
    <definedName name="IQ_CAPEX_EST_NUM_ANALYSTS_3MONTH" hidden="1">"c16527"</definedName>
    <definedName name="IQ_CAPEX_EST_NUM_ANALYSTS_3MONTH_THOM" hidden="1">"c17355"</definedName>
    <definedName name="IQ_CAPEX_EST_NUM_ANALYSTS_MONTH" hidden="1">"c16519"</definedName>
    <definedName name="IQ_CAPEX_EST_NUM_ANALYSTS_MONTH_THOM" hidden="1">"c17347"</definedName>
    <definedName name="IQ_CAPEX_EST_REUT" hidden="1">"c3969"</definedName>
    <definedName name="IQ_CAPEX_EST_THOM" hidden="1">"c5502"</definedName>
    <definedName name="IQ_CAPEX_EST_TOTAL_REVISED_2MONTH" hidden="1">"c16526"</definedName>
    <definedName name="IQ_CAPEX_EST_TOTAL_REVISED_2MONTH_THOM" hidden="1">"c17354"</definedName>
    <definedName name="IQ_CAPEX_EST_TOTAL_REVISED_3MONTH" hidden="1">"c16530"</definedName>
    <definedName name="IQ_CAPEX_EST_TOTAL_REVISED_3MONTH_THOM" hidden="1">"c17358"</definedName>
    <definedName name="IQ_CAPEX_EST_TOTAL_REVISED_MONTH" hidden="1">"c16522"</definedName>
    <definedName name="IQ_CAPEX_EST_TOTAL_REVISED_MONTH_THOM" hidden="1">"c17350"</definedName>
    <definedName name="IQ_CAPEX_EST_UP_2MONTH" hidden="1">"c16524"</definedName>
    <definedName name="IQ_CAPEX_EST_UP_2MONTH_THOM" hidden="1">"c17352"</definedName>
    <definedName name="IQ_CAPEX_EST_UP_3MONTH" hidden="1">"c16528"</definedName>
    <definedName name="IQ_CAPEX_EST_UP_3MONTH_THOM" hidden="1">"c17356"</definedName>
    <definedName name="IQ_CAPEX_EST_UP_MONTH" hidden="1">"c16520"</definedName>
    <definedName name="IQ_CAPEX_EST_UP_MONTH_THOM" hidden="1">"c17348"</definedName>
    <definedName name="IQ_CAPEX_FIN" hidden="1">"c112"</definedName>
    <definedName name="IQ_CAPEX_GUIDANCE_CIQ" hidden="1">"c4562"</definedName>
    <definedName name="IQ_CAPEX_GUIDANCE_CIQ_COL" hidden="1">"c11211"</definedName>
    <definedName name="IQ_CAPEX_HIGH_EST" hidden="1">"c3524"</definedName>
    <definedName name="IQ_CAPEX_HIGH_EST_REUT" hidden="1">"c3971"</definedName>
    <definedName name="IQ_CAPEX_HIGH_EST_THOM" hidden="1">"c5504"</definedName>
    <definedName name="IQ_CAPEX_HIGH_GUIDANCE_CIQ" hidden="1">"c4592"</definedName>
    <definedName name="IQ_CAPEX_HIGH_GUIDANCE_CIQ_COL" hidden="1">"c11241"</definedName>
    <definedName name="IQ_CAPEX_INS" hidden="1">"c113"</definedName>
    <definedName name="IQ_CAPEX_LOW_EST" hidden="1">"c3525"</definedName>
    <definedName name="IQ_CAPEX_LOW_EST_REUT" hidden="1">"c3972"</definedName>
    <definedName name="IQ_CAPEX_LOW_EST_THOM" hidden="1">"c5505"</definedName>
    <definedName name="IQ_CAPEX_LOW_GUIDANCE_CIQ" hidden="1">"c4632"</definedName>
    <definedName name="IQ_CAPEX_LOW_GUIDANCE_CIQ_COL" hidden="1">"c11281"</definedName>
    <definedName name="IQ_CAPEX_MEDIAN_EST" hidden="1">"c3526"</definedName>
    <definedName name="IQ_CAPEX_MEDIAN_EST_REUT" hidden="1">"c3970"</definedName>
    <definedName name="IQ_CAPEX_MEDIAN_EST_THOM" hidden="1">"c5503"</definedName>
    <definedName name="IQ_CAPEX_NUM_EST" hidden="1">"c3521"</definedName>
    <definedName name="IQ_CAPEX_NUM_EST_REUT" hidden="1">"c3973"</definedName>
    <definedName name="IQ_CAPEX_NUM_EST_THOM" hidden="1">"c5506"</definedName>
    <definedName name="IQ_CAPEX_PCT_REV" hidden="1">"c19144"</definedName>
    <definedName name="IQ_CAPEX_STDDEV_EST" hidden="1">"c3522"</definedName>
    <definedName name="IQ_CAPEX_STDDEV_EST_REUT" hidden="1">"c3974"</definedName>
    <definedName name="IQ_CAPEX_STDDEV_EST_THOM" hidden="1">"c5507"</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_UNDER_MANAGE" hidden="1">"c18929"</definedName>
    <definedName name="IQ_CAPITAL_UNDER_MANAGE_CURRENCY" hidden="1">"c19171"</definedName>
    <definedName name="IQ_CAPITAL_UNDER_MANAGE_DATE" hidden="1">"c18930"</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PS_ACT_OR_EST" hidden="1">"c5638"</definedName>
    <definedName name="IQ_CASH_EPS_ACT_OR_EST_THOM" hidden="1">"c5646"</definedName>
    <definedName name="IQ_CASH_EPS_DET_EST_CURRENCY_THOM" hidden="1">"c12478"</definedName>
    <definedName name="IQ_CASH_EPS_DET_EST_DATE_THOM" hidden="1">"c12227"</definedName>
    <definedName name="IQ_CASH_EPS_DET_EST_INCL_THOM" hidden="1">"c12361"</definedName>
    <definedName name="IQ_CASH_EPS_DET_EST_NOTE_THOM" hidden="1">"c17598"</definedName>
    <definedName name="IQ_CASH_EPS_DET_EST_ORIGIN_THOM" hidden="1">"c12597"</definedName>
    <definedName name="IQ_CASH_EPS_DET_EST_THOM" hidden="1">"c12077"</definedName>
    <definedName name="IQ_CASH_EPS_EST" hidden="1">"c5631"</definedName>
    <definedName name="IQ_CASH_EPS_EST_DOWN_2MONTH" hidden="1">"c16333"</definedName>
    <definedName name="IQ_CASH_EPS_EST_DOWN_2MONTH_THOM" hidden="1">"c17197"</definedName>
    <definedName name="IQ_CASH_EPS_EST_DOWN_3MONTH" hidden="1">"c16337"</definedName>
    <definedName name="IQ_CASH_EPS_EST_DOWN_3MONTH_THOM" hidden="1">"c17201"</definedName>
    <definedName name="IQ_CASH_EPS_EST_DOWN_MONTH" hidden="1">"c16329"</definedName>
    <definedName name="IQ_CASH_EPS_EST_DOWN_MONTH_THOM" hidden="1">"c17193"</definedName>
    <definedName name="IQ_CASH_EPS_EST_NUM_ANALYSTS_2MONTH" hidden="1">"c16331"</definedName>
    <definedName name="IQ_CASH_EPS_EST_NUM_ANALYSTS_2MONTH_THOM" hidden="1">"c17195"</definedName>
    <definedName name="IQ_CASH_EPS_EST_NUM_ANALYSTS_3MONTH" hidden="1">"c16335"</definedName>
    <definedName name="IQ_CASH_EPS_EST_NUM_ANALYSTS_3MONTH_THOM" hidden="1">"c17199"</definedName>
    <definedName name="IQ_CASH_EPS_EST_NUM_ANALYSTS_MONTH" hidden="1">"c16327"</definedName>
    <definedName name="IQ_CASH_EPS_EST_NUM_ANALYSTS_MONTH_THOM" hidden="1">"c17191"</definedName>
    <definedName name="IQ_CASH_EPS_EST_THOM" hidden="1">"c5639"</definedName>
    <definedName name="IQ_CASH_EPS_EST_TOTAL_REVISED_2MONTH" hidden="1">"c16334"</definedName>
    <definedName name="IQ_CASH_EPS_EST_TOTAL_REVISED_2MONTH_THOM" hidden="1">"c17198"</definedName>
    <definedName name="IQ_CASH_EPS_EST_TOTAL_REVISED_3MONTH" hidden="1">"c16338"</definedName>
    <definedName name="IQ_CASH_EPS_EST_TOTAL_REVISED_3MONTH_THOM" hidden="1">"c17202"</definedName>
    <definedName name="IQ_CASH_EPS_EST_TOTAL_REVISED_MONTH" hidden="1">"c16330"</definedName>
    <definedName name="IQ_CASH_EPS_EST_TOTAL_REVISED_MONTH_THOM" hidden="1">"c17194"</definedName>
    <definedName name="IQ_CASH_EPS_EST_UP_2MONTH" hidden="1">"c16332"</definedName>
    <definedName name="IQ_CASH_EPS_EST_UP_2MONTH_THOM" hidden="1">"c17196"</definedName>
    <definedName name="IQ_CASH_EPS_EST_UP_3MONTH" hidden="1">"c16336"</definedName>
    <definedName name="IQ_CASH_EPS_EST_UP_3MONTH_THOM" hidden="1">"c17200"</definedName>
    <definedName name="IQ_CASH_EPS_EST_UP_MONTH" hidden="1">"c16328"</definedName>
    <definedName name="IQ_CASH_EPS_EST_UP_MONTH_THOM" hidden="1">"c17192"</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ACT_OR_EST_CIQ_COL" hidden="1">"c11215"</definedName>
    <definedName name="IQ_CASH_FLOW_EST" hidden="1">"c4153"</definedName>
    <definedName name="IQ_CASH_FLOW_GUIDANCE" hidden="1">"c4155"</definedName>
    <definedName name="IQ_CASH_FLOW_GUIDANCE_CIQ" hidden="1">"c4567"</definedName>
    <definedName name="IQ_CASH_FLOW_GUIDANCE_CIQ_COL" hidden="1">"c11216"</definedName>
    <definedName name="IQ_CASH_FLOW_HIGH_EST" hidden="1">"c4156"</definedName>
    <definedName name="IQ_CASH_FLOW_HIGH_GUIDANCE" hidden="1">"c4201"</definedName>
    <definedName name="IQ_CASH_FLOW_HIGH_GUIDANCE_CIQ" hidden="1">"c4613"</definedName>
    <definedName name="IQ_CASH_FLOW_HIGH_GUIDANCE_CIQ_COL" hidden="1">"c11262"</definedName>
    <definedName name="IQ_CASH_FLOW_LOW_EST" hidden="1">"c4157"</definedName>
    <definedName name="IQ_CASH_FLOW_LOW_GUIDANCE" hidden="1">"c4241"</definedName>
    <definedName name="IQ_CASH_FLOW_LOW_GUIDANCE_CIQ" hidden="1">"c4653"</definedName>
    <definedName name="IQ_CASH_FLOW_LOW_GUIDANCE_CIQ_COL" hidden="1">"c11302"</definedName>
    <definedName name="IQ_CASH_FLOW_MEDIAN_EST" hidden="1">"c4158"</definedName>
    <definedName name="IQ_CASH_FLOW_NUM_EST" hidden="1">"c4159"</definedName>
    <definedName name="IQ_CASH_FLOW_STDDEV_EST" hidden="1">"c4160"</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CT_OR_EST_CIQ_COL" hidden="1">"c11225"</definedName>
    <definedName name="IQ_CASH_OPER_AP" hidden="1">"c8888"</definedName>
    <definedName name="IQ_CASH_OPER_AP_ABS" hidden="1">"c8907"</definedName>
    <definedName name="IQ_CASH_OPER_EST" hidden="1">"c4163"</definedName>
    <definedName name="IQ_CASH_OPER_GUIDANCE_CIQ" hidden="1">"c4577"</definedName>
    <definedName name="IQ_CASH_OPER_GUIDANCE_CIQ_COL" hidden="1">"c11226"</definedName>
    <definedName name="IQ_CASH_OPER_HIGH_EST" hidden="1">"c4166"</definedName>
    <definedName name="IQ_CASH_OPER_HIGH_GUIDANCE_CIQ" hidden="1">"c4597"</definedName>
    <definedName name="IQ_CASH_OPER_HIGH_GUIDANCE_CIQ_COL" hidden="1">"c11246"</definedName>
    <definedName name="IQ_CASH_OPER_LOW_EST" hidden="1">"c4244"</definedName>
    <definedName name="IQ_CASH_OPER_LOW_GUIDANCE_CIQ" hidden="1">"c4637"</definedName>
    <definedName name="IQ_CASH_OPER_LOW_GUIDANCE_CIQ_COL" hidden="1">"c11286"</definedName>
    <definedName name="IQ_CASH_OPER_MEDIAN_EST" hidden="1">"c4245"</definedName>
    <definedName name="IQ_CASH_OPER_NAME_AP" hidden="1">"c8926"</definedName>
    <definedName name="IQ_CASH_OPER_NAME_AP_ABS" hidden="1">"c8945"</definedName>
    <definedName name="IQ_CASH_OPER_NUM_EST" hidden="1">"c4246"</definedName>
    <definedName name="IQ_CASH_OPER_STDDEV_EST" hidden="1">"c4247"</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GUIDANCE_CIQ" hidden="1">"c4776"</definedName>
    <definedName name="IQ_CASH_ST_INVEST_GUIDANCE_CIQ_COL" hidden="1">"c11423"</definedName>
    <definedName name="IQ_CASH_ST_INVEST_HIGH_EST" hidden="1">"c4251"</definedName>
    <definedName name="IQ_CASH_ST_INVEST_HIGH_GUIDANCE" hidden="1">"c4195"</definedName>
    <definedName name="IQ_CASH_ST_INVEST_HIGH_GUIDANCE_CIQ" hidden="1">"c4607"</definedName>
    <definedName name="IQ_CASH_ST_INVEST_HIGH_GUIDANCE_CIQ_COL" hidden="1">"c11256"</definedName>
    <definedName name="IQ_CASH_ST_INVEST_LOW_EST" hidden="1">"c4252"</definedName>
    <definedName name="IQ_CASH_ST_INVEST_LOW_GUIDANCE" hidden="1">"c4235"</definedName>
    <definedName name="IQ_CASH_ST_INVEST_LOW_GUIDANCE_CIQ" hidden="1">"c4647"</definedName>
    <definedName name="IQ_CASH_ST_INVEST_LOW_GUIDANCE_CIQ_COL" hidden="1">"c11296"</definedName>
    <definedName name="IQ_CASH_ST_INVEST_MEDIAN_EST" hidden="1">"c4253"</definedName>
    <definedName name="IQ_CASH_ST_INVEST_NUM_EST" hidden="1">"c4254"</definedName>
    <definedName name="IQ_CASH_ST_INVEST_STDDEV_EST" hidden="1">"c4255"</definedName>
    <definedName name="IQ_CASH_STRUCTURED_PRODUCTS_AFS_AMORT_COST_FFIEC" hidden="1">"c20500"</definedName>
    <definedName name="IQ_CASH_STRUCTURED_PRODUCTS_AFS_FAIR_VAL_FFIEC" hidden="1">"c20465"</definedName>
    <definedName name="IQ_CASH_STRUCTURED_PRODUCTS_AVAIL_SALE_FFIEC" hidden="1">"c15263"</definedName>
    <definedName name="IQ_CASH_STRUCTURED_PRODUCTS_FFIEC" hidden="1">"c15260"</definedName>
    <definedName name="IQ_CASH_STRUCTURED_PRODUCTS_HTM_AMORT_COST_FFIEC" hidden="1">"c20448"</definedName>
    <definedName name="IQ_CASH_STRUCTURED_PRODUCTS_HTM_FAIR_VAL_FFIEC" hidden="1">"c20483"</definedName>
    <definedName name="IQ_CASH_TAXES" hidden="1">"c125"</definedName>
    <definedName name="IQ_CASH_TAXES_FINAN" hidden="1">"c6292"</definedName>
    <definedName name="IQ_CASH_TAXES_INVEST" hidden="1">"c6291"</definedName>
    <definedName name="IQ_CASH_TAXES_OPER" hidden="1">"c6290"</definedName>
    <definedName name="IQ_CATASTROPHIC_LOSS_RATIO" hidden="1">"c15881"</definedName>
    <definedName name="IQ_CATASTROPHIC_LOSSES" hidden="1">"c17694"</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CIQ_COL" hidden="1">"c11708"</definedName>
    <definedName name="IQ_CFPS_ACT_OR_EST_REUT" hidden="1">"c5463"</definedName>
    <definedName name="IQ_CFPS_ACT_OR_EST_THOM" hidden="1">"c5301"</definedName>
    <definedName name="IQ_CFPS_DET_EST" hidden="1">"c12049"</definedName>
    <definedName name="IQ_CFPS_DET_EST_CURRENCY" hidden="1">"c12458"</definedName>
    <definedName name="IQ_CFPS_DET_EST_CURRENCY_THOM" hidden="1">"c12479"</definedName>
    <definedName name="IQ_CFPS_DET_EST_DATE" hidden="1">"c12202"</definedName>
    <definedName name="IQ_CFPS_DET_EST_DATE_THOM" hidden="1">"c12228"</definedName>
    <definedName name="IQ_CFPS_DET_EST_INCL" hidden="1">"c12341"</definedName>
    <definedName name="IQ_CFPS_DET_EST_INCL_THOM" hidden="1">"c12362"</definedName>
    <definedName name="IQ_CFPS_DET_EST_NOTE" hidden="1">"c17529"</definedName>
    <definedName name="IQ_CFPS_DET_EST_NOTE_THOM" hidden="1">"c17581"</definedName>
    <definedName name="IQ_CFPS_DET_EST_ORIGIN" hidden="1">"c12575"</definedName>
    <definedName name="IQ_CFPS_DET_EST_ORIGIN_THOM" hidden="1">"c12598"</definedName>
    <definedName name="IQ_CFPS_DET_EST_THOM" hidden="1">"c12078"</definedName>
    <definedName name="IQ_CFPS_EST" hidden="1">"c1667"</definedName>
    <definedName name="IQ_CFPS_EST_DOWN_2MONTH" hidden="1">"c16321"</definedName>
    <definedName name="IQ_CFPS_EST_DOWN_2MONTH_THOM" hidden="1">"c17185"</definedName>
    <definedName name="IQ_CFPS_EST_DOWN_3MONTH" hidden="1">"c16325"</definedName>
    <definedName name="IQ_CFPS_EST_DOWN_3MONTH_THOM" hidden="1">"c17189"</definedName>
    <definedName name="IQ_CFPS_EST_DOWN_MONTH" hidden="1">"c16317"</definedName>
    <definedName name="IQ_CFPS_EST_DOWN_MONTH_THOM" hidden="1">"c17181"</definedName>
    <definedName name="IQ_CFPS_EST_NUM_ANALYSTS_2MONTH" hidden="1">"c16319"</definedName>
    <definedName name="IQ_CFPS_EST_NUM_ANALYSTS_2MONTH_THOM" hidden="1">"c17183"</definedName>
    <definedName name="IQ_CFPS_EST_NUM_ANALYSTS_3MONTH" hidden="1">"c16323"</definedName>
    <definedName name="IQ_CFPS_EST_NUM_ANALYSTS_3MONTH_THOM" hidden="1">"c17187"</definedName>
    <definedName name="IQ_CFPS_EST_NUM_ANALYSTS_MONTH" hidden="1">"c16315"</definedName>
    <definedName name="IQ_CFPS_EST_NUM_ANALYSTS_MONTH_THOM" hidden="1">"c17179"</definedName>
    <definedName name="IQ_CFPS_EST_REUT" hidden="1">"c3844"</definedName>
    <definedName name="IQ_CFPS_EST_THOM" hidden="1">"c4006"</definedName>
    <definedName name="IQ_CFPS_EST_TOTAL_REVISED_2MONTH" hidden="1">"c16322"</definedName>
    <definedName name="IQ_CFPS_EST_TOTAL_REVISED_2MONTH_THOM" hidden="1">"c17186"</definedName>
    <definedName name="IQ_CFPS_EST_TOTAL_REVISED_3MONTH" hidden="1">"c16326"</definedName>
    <definedName name="IQ_CFPS_EST_TOTAL_REVISED_3MONTH_THOM" hidden="1">"c17190"</definedName>
    <definedName name="IQ_CFPS_EST_TOTAL_REVISED_MONTH" hidden="1">"c16318"</definedName>
    <definedName name="IQ_CFPS_EST_TOTAL_REVISED_MONTH_THOM" hidden="1">"c17182"</definedName>
    <definedName name="IQ_CFPS_EST_UP_2MONTH" hidden="1">"c16320"</definedName>
    <definedName name="IQ_CFPS_EST_UP_2MONTH_THOM" hidden="1">"c17184"</definedName>
    <definedName name="IQ_CFPS_EST_UP_3MONTH" hidden="1">"c16324"</definedName>
    <definedName name="IQ_CFPS_EST_UP_3MONTH_THOM" hidden="1">"c17188"</definedName>
    <definedName name="IQ_CFPS_EST_UP_MONTH" hidden="1">"c16316"</definedName>
    <definedName name="IQ_CFPS_EST_UP_MONTH_THOM" hidden="1">"c17180"</definedName>
    <definedName name="IQ_CFPS_GUIDANCE_CIQ" hidden="1">"c4782"</definedName>
    <definedName name="IQ_CFPS_GUIDANCE_CIQ_COL" hidden="1">"c11429"</definedName>
    <definedName name="IQ_CFPS_HIGH_EST" hidden="1">"c1669"</definedName>
    <definedName name="IQ_CFPS_HIGH_EST_REUT" hidden="1">"c3846"</definedName>
    <definedName name="IQ_CFPS_HIGH_EST_THOM" hidden="1">"c4008"</definedName>
    <definedName name="IQ_CFPS_HIGH_GUIDANCE_CIQ" hidden="1">"c4579"</definedName>
    <definedName name="IQ_CFPS_HIGH_GUIDANCE_CIQ_COL" hidden="1">"c11228"</definedName>
    <definedName name="IQ_CFPS_LOW_EST" hidden="1">"c1670"</definedName>
    <definedName name="IQ_CFPS_LOW_EST_REUT" hidden="1">"c3847"</definedName>
    <definedName name="IQ_CFPS_LOW_EST_THOM" hidden="1">"c4009"</definedName>
    <definedName name="IQ_CFPS_LOW_GUIDANCE_CIQ" hidden="1">"c4619"</definedName>
    <definedName name="IQ_CFPS_LOW_GUIDANCE_CIQ_COL" hidden="1">"c11268"</definedName>
    <definedName name="IQ_CFPS_MEDIAN_EST" hidden="1">"c1668"</definedName>
    <definedName name="IQ_CFPS_MEDIAN_EST_REUT" hidden="1">"c3845"</definedName>
    <definedName name="IQ_CFPS_MEDIAN_EST_THOM" hidden="1">"c4007"</definedName>
    <definedName name="IQ_CFPS_NUM_EST" hidden="1">"c1671"</definedName>
    <definedName name="IQ_CFPS_NUM_EST_REUT" hidden="1">"c3848"</definedName>
    <definedName name="IQ_CFPS_NUM_EST_THOM" hidden="1">"c4010"</definedName>
    <definedName name="IQ_CFPS_STDDEV_EST" hidden="1">"c1672"</definedName>
    <definedName name="IQ_CFPS_STDDEV_EST_REUT" hidden="1">"c3849"</definedName>
    <definedName name="IQ_CFPS_STDDEV_EST_THOM" hidden="1">"c4011"</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K" hidden="1">"c20384"</definedName>
    <definedName name="IQ_CIP" hidden="1">"c17551"</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LOSEPRICE_RT" hidden="1">"CLOSE"</definedName>
    <definedName name="IQ_CMBS_ISSUED_AFS_AMORT_COST_FFIEC" hidden="1">"c20497"</definedName>
    <definedName name="IQ_CMBS_ISSUED_AFS_FAIR_VAL_FFIEC" hidden="1">"c20462"</definedName>
    <definedName name="IQ_CMBS_ISSUED_AVAIL_SALE_FFIEC" hidden="1">"c12800"</definedName>
    <definedName name="IQ_CMBS_ISSUED_FFIEC" hidden="1">"c12786"</definedName>
    <definedName name="IQ_CMBS_ISSUED_HTM_AMORT_COST_FFIEC" hidden="1">"c20445"</definedName>
    <definedName name="IQ_CMBS_ISSUED_HTM_FAIR_VAL_FFIEC" hidden="1">"c20480"</definedName>
    <definedName name="IQ_CMO_FDIC" hidden="1">"c6406"</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 hidden="1">"c15954"</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_TOTAL_LOANS" hidden="1">"c15709"</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LOANS_TOTAL_LOANS" hidden="1">"c15710"</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ID_QUICK_MATCH" hidden="1">"c16227"</definedName>
    <definedName name="IQ_COMPANY_NAME" hidden="1">"c215"</definedName>
    <definedName name="IQ_COMPANY_NAME_LONG" hidden="1">"c1585"</definedName>
    <definedName name="IQ_COMPANY_NAME_QUICK_MATCH" hidden="1">"c16228"</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ITUENTS" hidden="1">"c19169"</definedName>
    <definedName name="IQ_CONSTITUENTS_NAME" hidden="1">"c19192"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TOTAL_LOANS" hidden="1">"c15711"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LOANS_TOTAL_LOANS" hidden="1">"c15712"</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LIABILITIES" hidden="1">"c18873"</definedName>
    <definedName name="IQ_CONTINGENT_RENTAL" hidden="1">"c17746"</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S_OTHER_COMMODITIES_EQUITIES._FDIC" hidden="1">"c6522"</definedName>
    <definedName name="IQ_CONTRACTS_OTHER_COMMODITIES_EQUITIES_FDIC" hidden="1">"c6522"</definedName>
    <definedName name="IQ_CONTRIB_ID_DET_EST" hidden="1">"c12045"</definedName>
    <definedName name="IQ_CONTRIB_ID_DET_EST_THOM" hidden="1">"c12073"</definedName>
    <definedName name="IQ_CONTRIB_ID_NON_PER_DET_EST" hidden="1">"c13824"</definedName>
    <definedName name="IQ_CONTRIB_ID_NON_PER_DET_EST_THOM" hidden="1">"c13826"</definedName>
    <definedName name="IQ_CONTRIB_NAME_DET_EST" hidden="1">"c12046"</definedName>
    <definedName name="IQ_CONTRIB_NAME_DET_EST_THOM" hidden="1">"c12074"</definedName>
    <definedName name="IQ_CONTRIB_NAME_NON_PER_DET_EST" hidden="1">"c12760"</definedName>
    <definedName name="IQ_CONTRIB_NAME_NON_PER_DET_EST_THOM" hidden="1">"c12764"</definedName>
    <definedName name="IQ_CONTRIB_REC_DET_EST" hidden="1">"c12051"</definedName>
    <definedName name="IQ_CONTRIB_REC_DET_EST_DATE" hidden="1">"c12204"</definedName>
    <definedName name="IQ_CONTRIB_REC_DET_EST_DATE_THOM" hidden="1">"c12230"</definedName>
    <definedName name="IQ_CONTRIB_REC_DET_EST_ORIGIN" hidden="1">"c12577"</definedName>
    <definedName name="IQ_CONTRIB_REC_DET_EST_ORIGIN_THOM" hidden="1">"c12600"</definedName>
    <definedName name="IQ_CONTRIB_REC_DET_EST_THOM" hidden="1">"c12080"</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ARITY" hidden="1">"c16197"</definedName>
    <definedName name="IQ_CONV_PREMIUM" hidden="1">"c2195"</definedName>
    <definedName name="IQ_CONV_PRICE" hidden="1">"c2193"</definedName>
    <definedName name="IQ_CONV_PRICE_ISSUE" hidden="1">"c16195"</definedName>
    <definedName name="IQ_CONV_PRICE_PREM_ISSUE" hidden="1">"c16196"</definedName>
    <definedName name="IQ_CONV_PRICE_PREMIUM" hidden="1">"c16198"</definedName>
    <definedName name="IQ_CONV_PT_PREMIUM" hidden="1">"c16199"</definedName>
    <definedName name="IQ_CONV_PT_PREMIUM_PCT" hidden="1">"c16200"</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 hidden="1">"c15726"</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_TAXES" hidden="1">"c19141"</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DERIVATIVES" hidden="1">"c17742"</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_PREMISE_EQUIP_CABLE_INVEST" hidden="1">"c15801"</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RT" hidden="1">"c20427"</definedName>
    <definedName name="IQ_DATA_PROCESSING_EXP_FFIEC" hidden="1">"c13047"</definedName>
    <definedName name="IQ_DATA_SET" hidden="1">"c19244"</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AULT_DATE" hidden="1">"c16220"</definedName>
    <definedName name="IQ_DEFAULT_TYPE" hidden="1">"c16219"</definedName>
    <definedName name="IQ_DEFERRED_CONTINGENT_RENT" hidden="1">"c16181"</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"c1356"</definedName>
    <definedName name="IQ_DEFERRED_TAXES_TOTAL" hidden="1">"c19142"</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CURRENT" hidden="1">"c17744"</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ASSETS_LT" hidden="1">"c17745"</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EVELOPMENT_EXPENSE" hidden="1">"c16040"</definedName>
    <definedName name="IQ_DEVELOPMENT_REVENUE" hidden="1">"c16024"</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FF_LASTCLOSE_TARGET_PRICE_THOM" hidden="1">"c5278"</definedName>
    <definedName name="IQ_DIG_SUB_BASIC_SUB" hidden="1">"c16202"</definedName>
    <definedName name="IQ_DIG_SUB_VIDEO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CRETIONARY_CAPEX" hidden="1">"c16183"</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ACT_OR_EST_CIQ_COL" hidden="1">"c11450"</definedName>
    <definedName name="IQ_DISTRIBUTABLE_CASH_EST" hidden="1">"c4277"</definedName>
    <definedName name="IQ_DISTRIBUTABLE_CASH_EST_CIQ" hidden="1">"c4802"</definedName>
    <definedName name="IQ_DISTRIBUTABLE_CASH_GUIDANCE_CIQ" hidden="1">"c4804"</definedName>
    <definedName name="IQ_DISTRIBUTABLE_CASH_GUIDANCE_CIQ_COL" hidden="1">"c11451"</definedName>
    <definedName name="IQ_DISTRIBUTABLE_CASH_HIGH_EST" hidden="1">"c4280"</definedName>
    <definedName name="IQ_DISTRIBUTABLE_CASH_HIGH_EST_CIQ" hidden="1">"c4805"</definedName>
    <definedName name="IQ_DISTRIBUTABLE_CASH_HIGH_GUIDANCE_CIQ" hidden="1">"c4610"</definedName>
    <definedName name="IQ_DISTRIBUTABLE_CASH_HIGH_GUIDANCE_CIQ_COL" hidden="1">"c11259"</definedName>
    <definedName name="IQ_DISTRIBUTABLE_CASH_LOW_EST" hidden="1">"c4281"</definedName>
    <definedName name="IQ_DISTRIBUTABLE_CASH_LOW_EST_CIQ" hidden="1">"c4806"</definedName>
    <definedName name="IQ_DISTRIBUTABLE_CASH_LOW_GUIDANCE_CIQ" hidden="1">"c4650"</definedName>
    <definedName name="IQ_DISTRIBUTABLE_CASH_LOW_GUIDANCE_CIQ_COL" hidden="1">"c11299"</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ACT_OR_EST_CIQ_COL" hidden="1">"c11458"</definedName>
    <definedName name="IQ_DISTRIBUTABLE_CASH_SHARE_EST" hidden="1">"c4285"</definedName>
    <definedName name="IQ_DISTRIBUTABLE_CASH_SHARE_EST_CIQ" hidden="1">"c4810"</definedName>
    <definedName name="IQ_DISTRIBUTABLE_CASH_SHARE_GUIDANCE_CIQ" hidden="1">"c4812"</definedName>
    <definedName name="IQ_DISTRIBUTABLE_CASH_SHARE_GUIDANCE_CIQ_COL" hidden="1">"c11459"</definedName>
    <definedName name="IQ_DISTRIBUTABLE_CASH_SHARE_HIGH_EST" hidden="1">"c4288"</definedName>
    <definedName name="IQ_DISTRIBUTABLE_CASH_SHARE_HIGH_EST_CIQ" hidden="1">"c4813"</definedName>
    <definedName name="IQ_DISTRIBUTABLE_CASH_SHARE_HIGH_GUIDANCE_CIQ" hidden="1">"c4611"</definedName>
    <definedName name="IQ_DISTRIBUTABLE_CASH_SHARE_HIGH_GUIDANCE_CIQ_COL" hidden="1">"c11260"</definedName>
    <definedName name="IQ_DISTRIBUTABLE_CASH_SHARE_LOW_EST" hidden="1">"c4289"</definedName>
    <definedName name="IQ_DISTRIBUTABLE_CASH_SHARE_LOW_EST_CIQ" hidden="1">"c4814"</definedName>
    <definedName name="IQ_DISTRIBUTABLE_CASH_SHARE_LOW_GUIDANCE_CIQ" hidden="1">"c4651"</definedName>
    <definedName name="IQ_DISTRIBUTABLE_CASH_SHARE_LOW_GUIDANCE_CIQ_COL" hidden="1">"c11300"</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HARES_BASIC" hidden="1">"c16189"</definedName>
    <definedName name="IQ_DISTRIBUTABLE_CASH_SHARES_DILUTED" hidden="1">"c16190"</definedName>
    <definedName name="IQ_DISTRIBUTABLE_CASH_STANDARDIZED" hidden="1">"c20435"</definedName>
    <definedName name="IQ_DISTRIBUTABLE_CASH_STDDEV_EST" hidden="1">"c4294"</definedName>
    <definedName name="IQ_DISTRIBUTABLE_CASH_STDDEV_EST_CIQ" hidden="1">"c4819"</definedName>
    <definedName name="IQ_DIV_AMOUNT" hidden="1">"c3041"</definedName>
    <definedName name="IQ_DIV_AMOUNT_LIST" hidden="1">"c17417"</definedName>
    <definedName name="IQ_DIV_PAYMENT_DATE" hidden="1">"c2205"</definedName>
    <definedName name="IQ_DIV_PAYMENT_DATE_LIST" hidden="1">"c17418"</definedName>
    <definedName name="IQ_DIV_PAYMENT_TYPE" hidden="1">"c12752"</definedName>
    <definedName name="IQ_DIV_PAYMENT_TYPE_LIST" hidden="1">"c17419"</definedName>
    <definedName name="IQ_DIV_RECORD_DATE" hidden="1">"c2204"</definedName>
    <definedName name="IQ_DIV_RECORD_DATE_LIST" hidden="1">"c17420"</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_COL" hidden="1">"c11709"</definedName>
    <definedName name="IQ_DPS_ACT_OR_EST_REUT" hidden="1">"c5464"</definedName>
    <definedName name="IQ_DPS_ACT_OR_EST_THOM" hidden="1">"c5302"</definedName>
    <definedName name="IQ_DPS_DET_EST" hidden="1">"c12052"</definedName>
    <definedName name="IQ_DPS_DET_EST_CURRENCY" hidden="1">"c12459"</definedName>
    <definedName name="IQ_DPS_DET_EST_CURRENCY_THOM" hidden="1">"c12480"</definedName>
    <definedName name="IQ_DPS_DET_EST_DATE" hidden="1">"c12205"</definedName>
    <definedName name="IQ_DPS_DET_EST_DATE_THOM" hidden="1">"c12231"</definedName>
    <definedName name="IQ_DPS_DET_EST_INCL" hidden="1">"c12342"</definedName>
    <definedName name="IQ_DPS_DET_EST_INCL_THOM" hidden="1">"c12363"</definedName>
    <definedName name="IQ_DPS_DET_EST_NOTE" hidden="1">"c17530"</definedName>
    <definedName name="IQ_DPS_DET_EST_NOTE_THOM" hidden="1">"c17582"</definedName>
    <definedName name="IQ_DPS_DET_EST_ORIGIN" hidden="1">"c12578"</definedName>
    <definedName name="IQ_DPS_DET_EST_ORIGIN_THOM" hidden="1">"c12601"</definedName>
    <definedName name="IQ_DPS_DET_EST_THOM" hidden="1">"c12081"</definedName>
    <definedName name="IQ_DPS_EST" hidden="1">"c1674"</definedName>
    <definedName name="IQ_DPS_EST_BOTTOM_UP" hidden="1">"c5493"</definedName>
    <definedName name="IQ_DPS_EST_BOTTOM_UP_REUT" hidden="1">"c5501"</definedName>
    <definedName name="IQ_DPS_EST_DOWN_2MONTH" hidden="1">"c16345"</definedName>
    <definedName name="IQ_DPS_EST_DOWN_2MONTH_THOM" hidden="1">"c17209"</definedName>
    <definedName name="IQ_DPS_EST_DOWN_3MONTH" hidden="1">"c16349"</definedName>
    <definedName name="IQ_DPS_EST_DOWN_3MONTH_THOM" hidden="1">"c17213"</definedName>
    <definedName name="IQ_DPS_EST_DOWN_MONTH" hidden="1">"c16341"</definedName>
    <definedName name="IQ_DPS_EST_DOWN_MONTH_THOM" hidden="1">"c17205"</definedName>
    <definedName name="IQ_DPS_EST_NUM_ANALYSTS_2MONTH" hidden="1">"c16343"</definedName>
    <definedName name="IQ_DPS_EST_NUM_ANALYSTS_2MONTH_THOM" hidden="1">"c17207"</definedName>
    <definedName name="IQ_DPS_EST_NUM_ANALYSTS_3MONTH" hidden="1">"c16347"</definedName>
    <definedName name="IQ_DPS_EST_NUM_ANALYSTS_3MONTH_THOM" hidden="1">"c17211"</definedName>
    <definedName name="IQ_DPS_EST_NUM_ANALYSTS_MONTH" hidden="1">"c16339"</definedName>
    <definedName name="IQ_DPS_EST_NUM_ANALYSTS_MONTH_THOM" hidden="1">"c17203"</definedName>
    <definedName name="IQ_DPS_EST_REUT" hidden="1">"c3851"</definedName>
    <definedName name="IQ_DPS_EST_THOM" hidden="1">"c4013"</definedName>
    <definedName name="IQ_DPS_EST_TOTAL_REVISED_2MONTH" hidden="1">"c16346"</definedName>
    <definedName name="IQ_DPS_EST_TOTAL_REVISED_2MONTH_THOM" hidden="1">"c17210"</definedName>
    <definedName name="IQ_DPS_EST_TOTAL_REVISED_3MONTH" hidden="1">"c16350"</definedName>
    <definedName name="IQ_DPS_EST_TOTAL_REVISED_3MONTH_THOM" hidden="1">"c17214"</definedName>
    <definedName name="IQ_DPS_EST_TOTAL_REVISED_MONTH" hidden="1">"c16342"</definedName>
    <definedName name="IQ_DPS_EST_TOTAL_REVISED_MONTH_THOM" hidden="1">"c17206"</definedName>
    <definedName name="IQ_DPS_EST_UP_2MONTH" hidden="1">"c16344"</definedName>
    <definedName name="IQ_DPS_EST_UP_2MONTH_THOM" hidden="1">"c17208"</definedName>
    <definedName name="IQ_DPS_EST_UP_3MONTH" hidden="1">"c16348"</definedName>
    <definedName name="IQ_DPS_EST_UP_3MONTH_THOM" hidden="1">"c17212"</definedName>
    <definedName name="IQ_DPS_EST_UP_MONTH" hidden="1">"c16340"</definedName>
    <definedName name="IQ_DPS_EST_UP_MONTH_THOM" hidden="1">"c17204"</definedName>
    <definedName name="IQ_DPS_GUIDANCE_CIQ" hidden="1">"c4827"</definedName>
    <definedName name="IQ_DPS_GUIDANCE_CIQ_COL" hidden="1">"c11474"</definedName>
    <definedName name="IQ_DPS_HIGH_EST" hidden="1">"c1676"</definedName>
    <definedName name="IQ_DPS_HIGH_EST_REUT" hidden="1">"c3853"</definedName>
    <definedName name="IQ_DPS_HIGH_EST_THOM" hidden="1">"c4015"</definedName>
    <definedName name="IQ_DPS_HIGH_GUIDANCE_CIQ" hidden="1">"c4580"</definedName>
    <definedName name="IQ_DPS_HIGH_GUIDANCE_CIQ_COL" hidden="1">"c11229"</definedName>
    <definedName name="IQ_DPS_LOW_EST" hidden="1">"c1677"</definedName>
    <definedName name="IQ_DPS_LOW_EST_REUT" hidden="1">"c3854"</definedName>
    <definedName name="IQ_DPS_LOW_EST_THOM" hidden="1">"c4016"</definedName>
    <definedName name="IQ_DPS_LOW_GUIDANCE_CIQ" hidden="1">"c4620"</definedName>
    <definedName name="IQ_DPS_LOW_GUIDANCE_CIQ_COL" hidden="1">"c11269"</definedName>
    <definedName name="IQ_DPS_MEDIAN_EST" hidden="1">"c1675"</definedName>
    <definedName name="IQ_DPS_MEDIAN_EST_REUT" hidden="1">"c3852"</definedName>
    <definedName name="IQ_DPS_MEDIAN_EST_THOM" hidden="1">"c4014"</definedName>
    <definedName name="IQ_DPS_NUM_EST" hidden="1">"c1678"</definedName>
    <definedName name="IQ_DPS_NUM_EST_REUT" hidden="1">"c3855"</definedName>
    <definedName name="IQ_DPS_NUM_EST_THOM" hidden="1">"c4017"</definedName>
    <definedName name="IQ_DPS_STDDEV_EST" hidden="1">"c1679"</definedName>
    <definedName name="IQ_DPS_STDDEV_EST_REUT" hidden="1">"c3856"</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CO_FFIEC" hidden="1">"c13032"</definedName>
    <definedName name="IQ_EARNINGS_CONT_OPS_HOMEBUILDING_SALES" hidden="1">"c15817"</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_COL" hidden="1">"c11710"</definedName>
    <definedName name="IQ_EBIT_ACT_OR_EST_REUT" hidden="1">"c5465"</definedName>
    <definedName name="IQ_EBIT_ACT_OR_EST_THOM" hidden="1">"c5303"</definedName>
    <definedName name="IQ_EBIT_DET_EST" hidden="1">"c12053"</definedName>
    <definedName name="IQ_EBIT_DET_EST_CURRENCY" hidden="1">"c12460"</definedName>
    <definedName name="IQ_EBIT_DET_EST_CURRENCY_THOM" hidden="1">"c12481"</definedName>
    <definedName name="IQ_EBIT_DET_EST_DATE" hidden="1">"c12206"</definedName>
    <definedName name="IQ_EBIT_DET_EST_DATE_THOM" hidden="1">"c12232"</definedName>
    <definedName name="IQ_EBIT_DET_EST_INCL" hidden="1">"c12343"</definedName>
    <definedName name="IQ_EBIT_DET_EST_INCL_THOM" hidden="1">"c12364"</definedName>
    <definedName name="IQ_EBIT_DET_EST_NOTE" hidden="1">"c17531"</definedName>
    <definedName name="IQ_EBIT_DET_EST_NOTE_THOM" hidden="1">"c17583"</definedName>
    <definedName name="IQ_EBIT_DET_EST_ORIGIN" hidden="1">"c12579"</definedName>
    <definedName name="IQ_EBIT_DET_EST_ORIGIN_THOM" hidden="1">"c12602"</definedName>
    <definedName name="IQ_EBIT_DET_EST_THOM" hidden="1">"c12082"</definedName>
    <definedName name="IQ_EBIT_EQ_INC" hidden="1">"c3498"</definedName>
    <definedName name="IQ_EBIT_EQ_INC_EXCL_SBC" hidden="1">"c3502"</definedName>
    <definedName name="IQ_EBIT_EST" hidden="1">"c1681"</definedName>
    <definedName name="IQ_EBIT_EST_DOWN_2MONTH" hidden="1">"c16357"</definedName>
    <definedName name="IQ_EBIT_EST_DOWN_2MONTH_THOM" hidden="1">"c17221"</definedName>
    <definedName name="IQ_EBIT_EST_DOWN_3MONTH" hidden="1">"c16361"</definedName>
    <definedName name="IQ_EBIT_EST_DOWN_3MONTH_THOM" hidden="1">"c17225"</definedName>
    <definedName name="IQ_EBIT_EST_DOWN_MONTH" hidden="1">"c16353"</definedName>
    <definedName name="IQ_EBIT_EST_DOWN_MONTH_THOM" hidden="1">"c17217"</definedName>
    <definedName name="IQ_EBIT_EST_NUM_ANALYSTS_2MONTH" hidden="1">"c16355"</definedName>
    <definedName name="IQ_EBIT_EST_NUM_ANALYSTS_2MONTH_THOM" hidden="1">"c17219"</definedName>
    <definedName name="IQ_EBIT_EST_NUM_ANALYSTS_3MONTH" hidden="1">"c16359"</definedName>
    <definedName name="IQ_EBIT_EST_NUM_ANALYSTS_3MONTH_THOM" hidden="1">"c17223"</definedName>
    <definedName name="IQ_EBIT_EST_NUM_ANALYSTS_MONTH" hidden="1">"c16351"</definedName>
    <definedName name="IQ_EBIT_EST_NUM_ANALYSTS_MONTH_THOM" hidden="1">"c17215"</definedName>
    <definedName name="IQ_EBIT_EST_REUT" hidden="1">"c5333"</definedName>
    <definedName name="IQ_EBIT_EST_THOM" hidden="1">"c5105"</definedName>
    <definedName name="IQ_EBIT_EST_TOTAL_REVISED_2MONTH" hidden="1">"c16358"</definedName>
    <definedName name="IQ_EBIT_EST_TOTAL_REVISED_2MONTH_THOM" hidden="1">"c17222"</definedName>
    <definedName name="IQ_EBIT_EST_TOTAL_REVISED_3MONTH" hidden="1">"c16362"</definedName>
    <definedName name="IQ_EBIT_EST_TOTAL_REVISED_3MONTH_THOM" hidden="1">"c17226"</definedName>
    <definedName name="IQ_EBIT_EST_TOTAL_REVISED_MONTH" hidden="1">"c16354"</definedName>
    <definedName name="IQ_EBIT_EST_TOTAL_REVISED_MONTH_THOM" hidden="1">"c17218"</definedName>
    <definedName name="IQ_EBIT_EST_UP_2MONTH" hidden="1">"c16356"</definedName>
    <definedName name="IQ_EBIT_EST_UP_2MONTH_THOM" hidden="1">"c17220"</definedName>
    <definedName name="IQ_EBIT_EST_UP_3MONTH" hidden="1">"c16360"</definedName>
    <definedName name="IQ_EBIT_EST_UP_3MONTH_THOM" hidden="1">"c17224"</definedName>
    <definedName name="IQ_EBIT_EST_UP_MONTH" hidden="1">"c16352"</definedName>
    <definedName name="IQ_EBIT_EST_UP_MONTH_THOM" hidden="1">"c17216"</definedName>
    <definedName name="IQ_EBIT_EXCL_SBC" hidden="1">"c3082"</definedName>
    <definedName name="IQ_EBIT_GROWTH_1" hidden="1">"IQ_EBIT_GROWTH_1"</definedName>
    <definedName name="IQ_EBIT_GROWTH_2" hidden="1">"IQ_EBIT_GROWTH_2"</definedName>
    <definedName name="IQ_EBIT_GUIDANCE_CIQ" hidden="1">"c4828"</definedName>
    <definedName name="IQ_EBIT_GUIDANCE_CIQ_COL" hidden="1">"c11475"</definedName>
    <definedName name="IQ_EBIT_GW_ACT_OR_EST" hidden="1">"c4306"</definedName>
    <definedName name="IQ_EBIT_GW_ACT_OR_EST_CIQ_COL" hidden="1">"c11478"</definedName>
    <definedName name="IQ_EBIT_GW_EST" hidden="1">"c4305"</definedName>
    <definedName name="IQ_EBIT_GW_GUIDANCE" hidden="1">"c4307"</definedName>
    <definedName name="IQ_EBIT_GW_GUIDANCE_CIQ" hidden="1">"c4832"</definedName>
    <definedName name="IQ_EBIT_GW_GUIDANCE_CIQ_COL" hidden="1">"c11479"</definedName>
    <definedName name="IQ_EBIT_GW_HIGH_EST" hidden="1">"c4308"</definedName>
    <definedName name="IQ_EBIT_GW_HIGH_GUIDANCE" hidden="1">"c4171"</definedName>
    <definedName name="IQ_EBIT_GW_HIGH_GUIDANCE_CIQ" hidden="1">"c4583"</definedName>
    <definedName name="IQ_EBIT_GW_HIGH_GUIDANCE_CIQ_COL" hidden="1">"c11232"</definedName>
    <definedName name="IQ_EBIT_GW_LOW_EST" hidden="1">"c4309"</definedName>
    <definedName name="IQ_EBIT_GW_LOW_GUIDANCE" hidden="1">"c4211"</definedName>
    <definedName name="IQ_EBIT_GW_LOW_GUIDANCE_CIQ" hidden="1">"c4623"</definedName>
    <definedName name="IQ_EBIT_GW_LOW_GUIDANCE_CIQ_COL" hidden="1">"c11272"</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EST_THOM" hidden="1">"c5107"</definedName>
    <definedName name="IQ_EBIT_HIGH_GUIDANCE_CIQ" hidden="1">"c4584"</definedName>
    <definedName name="IQ_EBIT_HIGH_GUIDANCE_CIQ_COL" hidden="1">"c11233"</definedName>
    <definedName name="IQ_EBIT_HOMEBUILDING_SALES" hidden="1">"c15815"</definedName>
    <definedName name="IQ_EBIT_INT" hidden="1">"c360"</definedName>
    <definedName name="IQ_EBIT_LOW_EST" hidden="1">"c1684"</definedName>
    <definedName name="IQ_EBIT_LOW_EST_REUT" hidden="1">"c5336"</definedName>
    <definedName name="IQ_EBIT_LOW_EST_THOM" hidden="1">"c5108"</definedName>
    <definedName name="IQ_EBIT_LOW_GUIDANCE_CIQ" hidden="1">"c4624"</definedName>
    <definedName name="IQ_EBIT_LOW_GUIDANCE_CIQ_COL" hidden="1">"c11273"</definedName>
    <definedName name="IQ_EBIT_MARGIN" hidden="1">"c359"</definedName>
    <definedName name="IQ_EBIT_MEDIAN_EST" hidden="1">"c1682"</definedName>
    <definedName name="IQ_EBIT_MEDIAN_EST_REUT" hidden="1">"c5334"</definedName>
    <definedName name="IQ_EBIT_MEDIAN_EST_THOM" hidden="1">"c5106"</definedName>
    <definedName name="IQ_EBIT_NUM_EST" hidden="1">"c1685"</definedName>
    <definedName name="IQ_EBIT_NUM_EST_REUT" hidden="1">"c5337"</definedName>
    <definedName name="IQ_EBIT_NUM_EST_THOM" hidden="1">"c5109"</definedName>
    <definedName name="IQ_EBIT_OVER_IE" hidden="1">"c1369"</definedName>
    <definedName name="IQ_EBIT_SBC_ACT_OR_EST" hidden="1">"c4316"</definedName>
    <definedName name="IQ_EBIT_SBC_ACT_OR_EST_CIQ" hidden="1">"c4841"</definedName>
    <definedName name="IQ_EBIT_SBC_ACT_OR_EST_CIQ_COL" hidden="1">"c11488"</definedName>
    <definedName name="IQ_EBIT_SBC_EST" hidden="1">"c4315"</definedName>
    <definedName name="IQ_EBIT_SBC_GUIDANCE" hidden="1">"c4317"</definedName>
    <definedName name="IQ_EBIT_SBC_GUIDANCE_CIQ" hidden="1">"c4842"</definedName>
    <definedName name="IQ_EBIT_SBC_GUIDANCE_CIQ_COL" hidden="1">"c11489"</definedName>
    <definedName name="IQ_EBIT_SBC_GW_ACT_OR_EST" hidden="1">"c4320"</definedName>
    <definedName name="IQ_EBIT_SBC_GW_ACT_OR_EST_CIQ" hidden="1">"c4845"</definedName>
    <definedName name="IQ_EBIT_SBC_GW_ACT_OR_EST_CIQ_COL" hidden="1">"c11492"</definedName>
    <definedName name="IQ_EBIT_SBC_GW_EST" hidden="1">"c4319"</definedName>
    <definedName name="IQ_EBIT_SBC_GW_GUIDANCE" hidden="1">"c4321"</definedName>
    <definedName name="IQ_EBIT_SBC_GW_GUIDANCE_CIQ" hidden="1">"c4846"</definedName>
    <definedName name="IQ_EBIT_SBC_GW_GUIDANCE_CIQ_COL" hidden="1">"c11493"</definedName>
    <definedName name="IQ_EBIT_SBC_GW_HIGH_EST" hidden="1">"c4322"</definedName>
    <definedName name="IQ_EBIT_SBC_GW_HIGH_GUIDANCE" hidden="1">"c4193"</definedName>
    <definedName name="IQ_EBIT_SBC_GW_HIGH_GUIDANCE_CIQ" hidden="1">"c4605"</definedName>
    <definedName name="IQ_EBIT_SBC_GW_HIGH_GUIDANCE_CIQ_COL" hidden="1">"c11254"</definedName>
    <definedName name="IQ_EBIT_SBC_GW_LOW_EST" hidden="1">"c4323"</definedName>
    <definedName name="IQ_EBIT_SBC_GW_LOW_GUIDANCE" hidden="1">"c4233"</definedName>
    <definedName name="IQ_EBIT_SBC_GW_LOW_GUIDANCE_CIQ" hidden="1">"c4645"</definedName>
    <definedName name="IQ_EBIT_SBC_GW_LOW_GUIDANCE_CIQ_COL" hidden="1">"c11294"</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HIGH_GUIDANCE_CIQ" hidden="1">"c4604"</definedName>
    <definedName name="IQ_EBIT_SBC_HIGH_GUIDANCE_CIQ_COL" hidden="1">"c11253"</definedName>
    <definedName name="IQ_EBIT_SBC_LOW_EST" hidden="1">"c4329"</definedName>
    <definedName name="IQ_EBIT_SBC_LOW_GUIDANCE" hidden="1">"c4232"</definedName>
    <definedName name="IQ_EBIT_SBC_LOW_GUIDANCE_CIQ" hidden="1">"c4644"</definedName>
    <definedName name="IQ_EBIT_SBC_LOW_GUIDANCE_CIQ_COL" hidden="1">"c11293"</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CIQ_COL" hidden="1">"c11707"</definedName>
    <definedName name="IQ_EBITDA_ACT_OR_EST_REUT" hidden="1">"c5462"</definedName>
    <definedName name="IQ_EBITDA_ACT_OR_EST_THOM" hidden="1">"c5300"</definedName>
    <definedName name="IQ_EBITDA_CAPEX" hidden="1">"c19143"</definedName>
    <definedName name="IQ_EBITDA_CAPEX_INT" hidden="1">"c368"</definedName>
    <definedName name="IQ_EBITDA_CAPEX_OVER_TOTAL_IE" hidden="1">"c1370"</definedName>
    <definedName name="IQ_EBITDA_DET_EST" hidden="1">"c12054"</definedName>
    <definedName name="IQ_EBITDA_DET_EST_CURRENCY" hidden="1">"c12461"</definedName>
    <definedName name="IQ_EBITDA_DET_EST_CURRENCY_THOM" hidden="1">"c12482"</definedName>
    <definedName name="IQ_EBITDA_DET_EST_DATE" hidden="1">"c12207"</definedName>
    <definedName name="IQ_EBITDA_DET_EST_DATE_THOM" hidden="1">"c12233"</definedName>
    <definedName name="IQ_EBITDA_DET_EST_INCL" hidden="1">"c12344"</definedName>
    <definedName name="IQ_EBITDA_DET_EST_INCL_THOM" hidden="1">"c12365"</definedName>
    <definedName name="IQ_EBITDA_DET_EST_NOTE" hidden="1">"c17526"</definedName>
    <definedName name="IQ_EBITDA_DET_EST_NOTE_THOM" hidden="1">"c17579"</definedName>
    <definedName name="IQ_EBITDA_DET_EST_ORIGIN" hidden="1">"c12580"</definedName>
    <definedName name="IQ_EBITDA_DET_EST_ORIGIN_THOM" hidden="1">"c12603"</definedName>
    <definedName name="IQ_EBITDA_DET_EST_THOM" hidden="1">"c12083"</definedName>
    <definedName name="IQ_EBITDA_EQ_INC" hidden="1">"c3496"</definedName>
    <definedName name="IQ_EBITDA_EQ_INC_EXCL_SBC" hidden="1">"c3500"</definedName>
    <definedName name="IQ_EBITDA_EST" hidden="1">"c369"</definedName>
    <definedName name="IQ_EBITDA_EST_CIQ" hidden="1">"c3622"</definedName>
    <definedName name="IQ_EBITDA_EST_DOWN_2MONTH" hidden="1">"c16297"</definedName>
    <definedName name="IQ_EBITDA_EST_DOWN_2MONTH_CIQ" hidden="1">"c16621"</definedName>
    <definedName name="IQ_EBITDA_EST_DOWN_2MONTH_THOM" hidden="1">"c17161"</definedName>
    <definedName name="IQ_EBITDA_EST_DOWN_3MONTH" hidden="1">"c16301"</definedName>
    <definedName name="IQ_EBITDA_EST_DOWN_3MONTH_CIQ" hidden="1">"c16625"</definedName>
    <definedName name="IQ_EBITDA_EST_DOWN_3MONTH_THOM" hidden="1">"c17165"</definedName>
    <definedName name="IQ_EBITDA_EST_DOWN_MONTH" hidden="1">"c16293"</definedName>
    <definedName name="IQ_EBITDA_EST_DOWN_MONTH_CIQ" hidden="1">"c16617"</definedName>
    <definedName name="IQ_EBITDA_EST_DOWN_MONTH_THOM" hidden="1">"c17157"</definedName>
    <definedName name="IQ_EBITDA_EST_NOTE" hidden="1">"c17503"</definedName>
    <definedName name="IQ_EBITDA_EST_NOTE_CIQ" hidden="1">"c17456"</definedName>
    <definedName name="IQ_EBITDA_EST_NUM_ANALYSTS_2MONTH" hidden="1">"c16295"</definedName>
    <definedName name="IQ_EBITDA_EST_NUM_ANALYSTS_2MONTH_CIQ" hidden="1">"c16619"</definedName>
    <definedName name="IQ_EBITDA_EST_NUM_ANALYSTS_2MONTH_THOM" hidden="1">"c17159"</definedName>
    <definedName name="IQ_EBITDA_EST_NUM_ANALYSTS_3MONTH" hidden="1">"c16299"</definedName>
    <definedName name="IQ_EBITDA_EST_NUM_ANALYSTS_3MONTH_CIQ" hidden="1">"c16623"</definedName>
    <definedName name="IQ_EBITDA_EST_NUM_ANALYSTS_3MONTH_THOM" hidden="1">"c17163"</definedName>
    <definedName name="IQ_EBITDA_EST_NUM_ANALYSTS_MONTH" hidden="1">"c16291"</definedName>
    <definedName name="IQ_EBITDA_EST_NUM_ANALYSTS_MONTH_CIQ" hidden="1">"c16615"</definedName>
    <definedName name="IQ_EBITDA_EST_NUM_ANALYSTS_MONTH_THOM" hidden="1">"c17155"</definedName>
    <definedName name="IQ_EBITDA_EST_REUT" hidden="1">"c3640"</definedName>
    <definedName name="IQ_EBITDA_EST_THOM" hidden="1">"c3658"</definedName>
    <definedName name="IQ_EBITDA_EST_TOTAL_REVISED_2MONTH" hidden="1">"c16298"</definedName>
    <definedName name="IQ_EBITDA_EST_TOTAL_REVISED_2MONTH_CIQ" hidden="1">"c16622"</definedName>
    <definedName name="IQ_EBITDA_EST_TOTAL_REVISED_2MONTH_THOM" hidden="1">"c17162"</definedName>
    <definedName name="IQ_EBITDA_EST_TOTAL_REVISED_3MONTH" hidden="1">"c16302"</definedName>
    <definedName name="IQ_EBITDA_EST_TOTAL_REVISED_3MONTH_CIQ" hidden="1">"c16626"</definedName>
    <definedName name="IQ_EBITDA_EST_TOTAL_REVISED_3MONTH_THOM" hidden="1">"c17166"</definedName>
    <definedName name="IQ_EBITDA_EST_TOTAL_REVISED_MONTH" hidden="1">"c16294"</definedName>
    <definedName name="IQ_EBITDA_EST_TOTAL_REVISED_MONTH_CIQ" hidden="1">"c16618"</definedName>
    <definedName name="IQ_EBITDA_EST_TOTAL_REVISED_MONTH_THOM" hidden="1">"c17158"</definedName>
    <definedName name="IQ_EBITDA_EST_UP_2MONTH" hidden="1">"c16296"</definedName>
    <definedName name="IQ_EBITDA_EST_UP_2MONTH_CIQ" hidden="1">"c16620"</definedName>
    <definedName name="IQ_EBITDA_EST_UP_2MONTH_THOM" hidden="1">"c17160"</definedName>
    <definedName name="IQ_EBITDA_EST_UP_3MONTH" hidden="1">"c16300"</definedName>
    <definedName name="IQ_EBITDA_EST_UP_3MONTH_CIQ" hidden="1">"c16624"</definedName>
    <definedName name="IQ_EBITDA_EST_UP_3MONTH_THOM" hidden="1">"c17164"</definedName>
    <definedName name="IQ_EBITDA_EST_UP_MONTH" hidden="1">"c16292"</definedName>
    <definedName name="IQ_EBITDA_EST_UP_MONTH_CIQ" hidden="1">"c16616"</definedName>
    <definedName name="IQ_EBITDA_EST_UP_MONTH_THOM" hidden="1">"c17156"</definedName>
    <definedName name="IQ_EBITDA_EXCL_SBC" hidden="1">"c3081"</definedName>
    <definedName name="IQ_EBITDA_GROWTH_1" hidden="1">"IQ_EBITDA_GROWTH_1"</definedName>
    <definedName name="IQ_EBITDA_GROWTH_2" hidden="1">"IQ_EBITDA_GROWTH_2"</definedName>
    <definedName name="IQ_EBITDA_GUIDANCE_CIQ" hidden="1">"c4859"</definedName>
    <definedName name="IQ_EBITDA_GUIDANCE_CIQ_COL" hidden="1">"c11506"</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HIGH_GUIDANCE_CIQ" hidden="1">"c4582"</definedName>
    <definedName name="IQ_EBITDA_HIGH_GUIDANCE_CIQ_COL" hidden="1">"c11231"</definedName>
    <definedName name="IQ_EBITDA_HOMEBUILDING_SALES" hidden="1">"c15814"</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LOW_GUIDANCE_CIQ" hidden="1">"c4622"</definedName>
    <definedName name="IQ_EBITDA_LOW_GUIDANCE_CIQ_COL" hidden="1">"c11271"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SBC_ACT_OR_EST" hidden="1">"c4337"</definedName>
    <definedName name="IQ_EBITDA_SBC_ACT_OR_EST_CIQ" hidden="1">"c4862"</definedName>
    <definedName name="IQ_EBITDA_SBC_ACT_OR_EST_CIQ_COL" hidden="1">"c11509"</definedName>
    <definedName name="IQ_EBITDA_SBC_EST" hidden="1">"c4336"</definedName>
    <definedName name="IQ_EBITDA_SBC_GUIDANCE" hidden="1">"c4338"</definedName>
    <definedName name="IQ_EBITDA_SBC_GUIDANCE_CIQ" hidden="1">"c4863"</definedName>
    <definedName name="IQ_EBITDA_SBC_GUIDANCE_CIQ_COL" hidden="1">"c11510"</definedName>
    <definedName name="IQ_EBITDA_SBC_HIGH_EST" hidden="1">"c4339"</definedName>
    <definedName name="IQ_EBITDA_SBC_HIGH_GUIDANCE" hidden="1">"c4194"</definedName>
    <definedName name="IQ_EBITDA_SBC_HIGH_GUIDANCE_CIQ" hidden="1">"c4606"</definedName>
    <definedName name="IQ_EBITDA_SBC_HIGH_GUIDANCE_CIQ_COL" hidden="1">"c11255"</definedName>
    <definedName name="IQ_EBITDA_SBC_LOW_EST" hidden="1">"c4340"</definedName>
    <definedName name="IQ_EBITDA_SBC_LOW_GUIDANCE" hidden="1">"c4234"</definedName>
    <definedName name="IQ_EBITDA_SBC_LOW_GUIDANCE_CIQ" hidden="1">"c4646"</definedName>
    <definedName name="IQ_EBITDA_SBC_LOW_GUIDANCE_CIQ_COL" hidden="1">"c11295"</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_CIQ" hidden="1">"c4870"</definedName>
    <definedName name="IQ_EBT_GAAP_GUIDANCE_CIQ_COL" hidden="1">"c11517"</definedName>
    <definedName name="IQ_EBT_GAAP_HIGH_GUIDANCE_CIQ" hidden="1">"c4586"</definedName>
    <definedName name="IQ_EBT_GAAP_HIGH_GUIDANCE_CIQ_COL" hidden="1">"c11235"</definedName>
    <definedName name="IQ_EBT_GAAP_LOW_GUIDANCE_CIQ" hidden="1">"c4626"</definedName>
    <definedName name="IQ_EBT_GAAP_LOW_GUIDANCE_CIQ_COL" hidden="1">"c11275"</definedName>
    <definedName name="IQ_EBT_GUIDANCE_CIQ" hidden="1">"c4871"</definedName>
    <definedName name="IQ_EBT_GUIDANCE_CIQ_COL" hidden="1">"c11518"</definedName>
    <definedName name="IQ_EBT_GW_GUIDANCE_CIQ" hidden="1">"c4872"</definedName>
    <definedName name="IQ_EBT_GW_GUIDANCE_CIQ_COL" hidden="1">"c11519"</definedName>
    <definedName name="IQ_EBT_GW_HIGH_GUIDANCE_CIQ" hidden="1">"c4587"</definedName>
    <definedName name="IQ_EBT_GW_HIGH_GUIDANCE_CIQ_COL" hidden="1">"c11236"</definedName>
    <definedName name="IQ_EBT_GW_LOW_GUIDANCE_CIQ" hidden="1">"c4627"</definedName>
    <definedName name="IQ_EBT_GW_LOW_GUIDANCE_CIQ_COL" hidden="1">"c11276"</definedName>
    <definedName name="IQ_EBT_HIGH_GUIDANCE_CIQ" hidden="1">"c4585"</definedName>
    <definedName name="IQ_EBT_HIGH_GUIDANCE_CIQ_COL" hidden="1">"c11234"</definedName>
    <definedName name="IQ_EBT_HOMEBUILDING_SALES" hidden="1">"c15816"</definedName>
    <definedName name="IQ_EBT_INCL_MARGIN" hidden="1">"c387"</definedName>
    <definedName name="IQ_EBT_INS" hidden="1">"c388"</definedName>
    <definedName name="IQ_EBT_LOW_GUIDANCE_CIQ" hidden="1">"c4625"</definedName>
    <definedName name="IQ_EBT_LOW_GUIDANCE_CIQ_COL" hidden="1">"c11274"</definedName>
    <definedName name="IQ_EBT_RE" hidden="1">"c6215"</definedName>
    <definedName name="IQ_EBT_REIT" hidden="1">"c389"</definedName>
    <definedName name="IQ_EBT_SBC_ACT_OR_EST" hidden="1">"c4350"</definedName>
    <definedName name="IQ_EBT_SBC_ACT_OR_EST_CIQ" hidden="1">"c4875"</definedName>
    <definedName name="IQ_EBT_SBC_ACT_OR_EST_CIQ_COL" hidden="1">"c11522"</definedName>
    <definedName name="IQ_EBT_SBC_EST" hidden="1">"c4349"</definedName>
    <definedName name="IQ_EBT_SBC_GUIDANCE" hidden="1">"c4351"</definedName>
    <definedName name="IQ_EBT_SBC_GUIDANCE_CIQ" hidden="1">"c4876"</definedName>
    <definedName name="IQ_EBT_SBC_GUIDANCE_CIQ_COL" hidden="1">"c11523"</definedName>
    <definedName name="IQ_EBT_SBC_GW_ACT_OR_EST" hidden="1">"c4354"</definedName>
    <definedName name="IQ_EBT_SBC_GW_ACT_OR_EST_CIQ" hidden="1">"c4879"</definedName>
    <definedName name="IQ_EBT_SBC_GW_ACT_OR_EST_CIQ_COL" hidden="1">"c11526"</definedName>
    <definedName name="IQ_EBT_SBC_GW_EST" hidden="1">"c4353"</definedName>
    <definedName name="IQ_EBT_SBC_GW_GUIDANCE" hidden="1">"c4355"</definedName>
    <definedName name="IQ_EBT_SBC_GW_GUIDANCE_CIQ" hidden="1">"c4880"</definedName>
    <definedName name="IQ_EBT_SBC_GW_GUIDANCE_CIQ_COL" hidden="1">"c11527"</definedName>
    <definedName name="IQ_EBT_SBC_GW_HIGH_EST" hidden="1">"c4356"</definedName>
    <definedName name="IQ_EBT_SBC_GW_HIGH_GUIDANCE" hidden="1">"c4191"</definedName>
    <definedName name="IQ_EBT_SBC_GW_HIGH_GUIDANCE_CIQ" hidden="1">"c4603"</definedName>
    <definedName name="IQ_EBT_SBC_GW_HIGH_GUIDANCE_CIQ_COL" hidden="1">"c11252"</definedName>
    <definedName name="IQ_EBT_SBC_GW_LOW_EST" hidden="1">"c4357"</definedName>
    <definedName name="IQ_EBT_SBC_GW_LOW_GUIDANCE" hidden="1">"c4231"</definedName>
    <definedName name="IQ_EBT_SBC_GW_LOW_GUIDANCE_CIQ" hidden="1">"c4643"</definedName>
    <definedName name="IQ_EBT_SBC_GW_LOW_GUIDANCE_CIQ_COL" hidden="1">"c11292"</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HIGH_GUIDANCE_CIQ" hidden="1">"c4602"</definedName>
    <definedName name="IQ_EBT_SBC_HIGH_GUIDANCE_CIQ_COL" hidden="1">"c11251"</definedName>
    <definedName name="IQ_EBT_SBC_LOW_EST" hidden="1">"c4363"</definedName>
    <definedName name="IQ_EBT_SBC_LOW_GUIDANCE" hidden="1">"c4230"</definedName>
    <definedName name="IQ_EBT_SBC_LOW_GUIDANCE_CIQ" hidden="1">"c4642"</definedName>
    <definedName name="IQ_EBT_SBC_LOW_GUIDANCE_CIQ_COL" hidden="1">"c11291"</definedName>
    <definedName name="IQ_EBT_SBC_MEDIAN_EST" hidden="1">"c4364"</definedName>
    <definedName name="IQ_EBT_SBC_NUM_EST" hidden="1">"c4365"</definedName>
    <definedName name="IQ_EBT_SBC_STDDEV_EST" hidden="1">"c4366"</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"c16242"</definedName>
    <definedName name="IQ_ECS_NUM_SHAREHOLDERS_ABS" hidden="1">"c16243"</definedName>
    <definedName name="IQ_ECS_NUM_SHAREHOLDERS_BENEFICIAL_BS_DATE" hidden="1">"c16234"</definedName>
    <definedName name="IQ_ECS_NUM_SHAREHOLDERS_BENEFICIAL_BS_DATE_ABS" hidden="1">"c16235"</definedName>
    <definedName name="IQ_ECS_NUM_SHAREHOLDERS_BENEFICIAL_BS_DATE_OTHER" hidden="1">"c16236"</definedName>
    <definedName name="IQ_ECS_NUM_SHAREHOLDERS_BENEFICIAL_BS_DATE_OTHER_ABS" hidden="1">"c16237"</definedName>
    <definedName name="IQ_ECS_NUM_SHAREHOLDERS_BENEFICIAL_FILING_DATE" hidden="1">"c16230"</definedName>
    <definedName name="IQ_ECS_NUM_SHAREHOLDERS_BENEFICIAL_FILING_DATE_ABS" hidden="1">"c16231"</definedName>
    <definedName name="IQ_ECS_NUM_SHAREHOLDERS_BENEFICIAL_FILING_DATE_OTHER" hidden="1">"c16232"</definedName>
    <definedName name="IQ_ECS_NUM_SHAREHOLDERS_BENEFICIAL_FILING_DATE_OTHER_ABS" hidden="1">"c16233"</definedName>
    <definedName name="IQ_ECS_NUM_SHAREHOLDERS_BS_DATE" hidden="1">"c16238"</definedName>
    <definedName name="IQ_ECS_NUM_SHAREHOLDERS_BS_DATE_ABS" hidden="1">"c16239"</definedName>
    <definedName name="IQ_ECS_NUM_SHAREHOLDERS_BS_DATE_OTHER" hidden="1">"c16240"</definedName>
    <definedName name="IQ_ECS_NUM_SHAREHOLDERS_BS_DATE_OTHER_ABS" hidden="1">"c16241"</definedName>
    <definedName name="IQ_ECS_NUM_SHAREHOLDERS_FILING_DATE" hidden="1">"c5584"</definedName>
    <definedName name="IQ_ECS_NUM_SHAREHOLDERS_FILING_DATE_ABS" hidden="1">"c5598"</definedName>
    <definedName name="IQ_ECS_NUM_SHAREHOLDERS_FILING_DATE_OTHER" hidden="1">"c15615"</definedName>
    <definedName name="IQ_ECS_NUM_SHAREHOLDERS_FILING_DATE_OTHER_ABS" hidden="1">"c15632"</definedName>
    <definedName name="IQ_ECS_NUM_SHAREHOLDERS_OTHER" hidden="1">"c16244"</definedName>
    <definedName name="IQ_ECS_NUM_SHAREHOLDERS_OTHER_ABS" hidden="1">"c16245"</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NTERPRISE_VALUE" hidden="1">"c1348"</definedName>
    <definedName name="IQ_ENTITLEMENT_DET_EST" hidden="1">"c12044"</definedName>
    <definedName name="IQ_ENTITLEMENT_DET_EST_THOM" hidden="1">"c12072"</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CIQ_COL" hidden="1">"c11705"</definedName>
    <definedName name="IQ_EPS_ACT_OR_EST_REUT" hidden="1">"c5460"</definedName>
    <definedName name="IQ_EPS_ACT_OR_EST_THOM" hidden="1">"c5298"</definedName>
    <definedName name="IQ_EPS_AP" hidden="1">"c8880"</definedName>
    <definedName name="IQ_EPS_AP_ABS" hidden="1">"c8899"</definedName>
    <definedName name="IQ_EPS_DET_EST" hidden="1">"c13571"</definedName>
    <definedName name="IQ_EPS_DET_EST_CURRENCY" hidden="1">"c13583"</definedName>
    <definedName name="IQ_EPS_DET_EST_CURRENCY_THOM" hidden="1">"c12484"</definedName>
    <definedName name="IQ_EPS_DET_EST_DATE" hidden="1">"c13575"</definedName>
    <definedName name="IQ_EPS_DET_EST_DATE_THOM" hidden="1">"c12235"</definedName>
    <definedName name="IQ_EPS_DET_EST_INCL" hidden="1">"c13587"</definedName>
    <definedName name="IQ_EPS_DET_EST_INCL_THOM" hidden="1">"c12367"</definedName>
    <definedName name="IQ_EPS_DET_EST_NOTE" hidden="1">"c17527"</definedName>
    <definedName name="IQ_EPS_DET_EST_NOTE_THOM" hidden="1">"c17580"</definedName>
    <definedName name="IQ_EPS_DET_EST_ORIGIN" hidden="1">"c13579"</definedName>
    <definedName name="IQ_EPS_DET_EST_ORIGIN_THOM" hidden="1">"c12605"</definedName>
    <definedName name="IQ_EPS_DET_EST_THOM" hidden="1">"c12085"</definedName>
    <definedName name="IQ_EPS_EST" hidden="1">"c399"</definedName>
    <definedName name="IQ_EPS_EST_1" hidden="1">"IQ_EPS_EST_1"</definedName>
    <definedName name="IQ_EPS_EST_BOTTOM_UP" hidden="1">"c5489"</definedName>
    <definedName name="IQ_EPS_EST_BOTTOM_UP_CIQ" hidden="1">"c12026"</definedName>
    <definedName name="IQ_EPS_EST_BOTTOM_UP_REUT" hidden="1">"c5497"</definedName>
    <definedName name="IQ_EPS_EST_BOTTOM_UP_THOM" hidden="1">"c5647"</definedName>
    <definedName name="IQ_EPS_EST_CIQ" hidden="1">"c4994"</definedName>
    <definedName name="IQ_EPS_EST_DOWN_2MONTH" hidden="1">"c16309"</definedName>
    <definedName name="IQ_EPS_EST_DOWN_2MONTH_CIQ" hidden="1">"c16633"</definedName>
    <definedName name="IQ_EPS_EST_DOWN_2MONTH_THOM" hidden="1">"c17173"</definedName>
    <definedName name="IQ_EPS_EST_DOWN_3MONTH" hidden="1">"c16313"</definedName>
    <definedName name="IQ_EPS_EST_DOWN_3MONTH_CIQ" hidden="1">"c16637"</definedName>
    <definedName name="IQ_EPS_EST_DOWN_3MONTH_THOM" hidden="1">"c17177"</definedName>
    <definedName name="IQ_EPS_EST_DOWN_MONTH" hidden="1">"c16305"</definedName>
    <definedName name="IQ_EPS_EST_DOWN_MONTH_CIQ" hidden="1">"c16629"</definedName>
    <definedName name="IQ_EPS_EST_DOWN_MONTH_THOM" hidden="1">"c17169"</definedName>
    <definedName name="IQ_EPS_EST_NOTE" hidden="1">"c17504"</definedName>
    <definedName name="IQ_EPS_EST_NOTE_CIQ" hidden="1">"c17457"</definedName>
    <definedName name="IQ_EPS_EST_NUM_ANALYSTS_2MONTH" hidden="1">"c16307"</definedName>
    <definedName name="IQ_EPS_EST_NUM_ANALYSTS_2MONTH_CIQ" hidden="1">"c16631"</definedName>
    <definedName name="IQ_EPS_EST_NUM_ANALYSTS_2MONTH_THOM" hidden="1">"c17171"</definedName>
    <definedName name="IQ_EPS_EST_NUM_ANALYSTS_3MONTH" hidden="1">"c16311"</definedName>
    <definedName name="IQ_EPS_EST_NUM_ANALYSTS_3MONTH_CIQ" hidden="1">"c16635"</definedName>
    <definedName name="IQ_EPS_EST_NUM_ANALYSTS_3MONTH_THOM" hidden="1">"c17175"</definedName>
    <definedName name="IQ_EPS_EST_NUM_ANALYSTS_MONTH" hidden="1">"c16303"</definedName>
    <definedName name="IQ_EPS_EST_NUM_ANALYSTS_MONTH_CIQ" hidden="1">"c16627"</definedName>
    <definedName name="IQ_EPS_EST_NUM_ANALYSTS_MONTH_THOM" hidden="1">"c17167"</definedName>
    <definedName name="IQ_EPS_EST_REUT" hidden="1">"c5453"</definedName>
    <definedName name="IQ_EPS_EST_THOM" hidden="1">"c5290"</definedName>
    <definedName name="IQ_EPS_EST_TOTAL_REVISED_2MONTH" hidden="1">"c16310"</definedName>
    <definedName name="IQ_EPS_EST_TOTAL_REVISED_2MONTH_CIQ" hidden="1">"c16634"</definedName>
    <definedName name="IQ_EPS_EST_TOTAL_REVISED_2MONTH_THOM" hidden="1">"c17174"</definedName>
    <definedName name="IQ_EPS_EST_TOTAL_REVISED_3MONTH" hidden="1">"c16314"</definedName>
    <definedName name="IQ_EPS_EST_TOTAL_REVISED_3MONTH_CIQ" hidden="1">"c16638"</definedName>
    <definedName name="IQ_EPS_EST_TOTAL_REVISED_3MONTH_THOM" hidden="1">"c17178"</definedName>
    <definedName name="IQ_EPS_EST_TOTAL_REVISED_MONTH" hidden="1">"c16306"</definedName>
    <definedName name="IQ_EPS_EST_TOTAL_REVISED_MONTH_CIQ" hidden="1">"c16630"</definedName>
    <definedName name="IQ_EPS_EST_TOTAL_REVISED_MONTH_THOM" hidden="1">"c17170"</definedName>
    <definedName name="IQ_EPS_EST_UP_2MONTH" hidden="1">"c16308"</definedName>
    <definedName name="IQ_EPS_EST_UP_2MONTH_CIQ" hidden="1">"c16632"</definedName>
    <definedName name="IQ_EPS_EST_UP_2MONTH_THOM" hidden="1">"c17172"</definedName>
    <definedName name="IQ_EPS_EST_UP_3MONTH" hidden="1">"c16312"</definedName>
    <definedName name="IQ_EPS_EST_UP_3MONTH_CIQ" hidden="1">"c16636"</definedName>
    <definedName name="IQ_EPS_EST_UP_3MONTH_THOM" hidden="1">"c17176"</definedName>
    <definedName name="IQ_EPS_EST_UP_MONTH" hidden="1">"c16304"</definedName>
    <definedName name="IQ_EPS_EST_UP_MONTH_CIQ" hidden="1">"c16628"</definedName>
    <definedName name="IQ_EPS_EST_UP_MONTH_THOM" hidden="1">"c17168"</definedName>
    <definedName name="IQ_EPS_EXCL_GUIDANCE_CIQ" hidden="1">"c4893"</definedName>
    <definedName name="IQ_EPS_EXCL_GUIDANCE_CIQ_COL" hidden="1">"c11540"</definedName>
    <definedName name="IQ_EPS_EXCL_HIGH_GUIDANCE_CIQ" hidden="1">"c4894"</definedName>
    <definedName name="IQ_EPS_EXCL_HIGH_GUIDANCE_CIQ_COL" hidden="1">"c11541"</definedName>
    <definedName name="IQ_EPS_EXCL_LOW_GUIDANCE_CIQ" hidden="1">"c4616"</definedName>
    <definedName name="IQ_EPS_EXCL_LOW_GUIDANCE_CIQ_COL" hidden="1">"c11265"</definedName>
    <definedName name="IQ_EPS_GAAP_GUIDANCE_CIQ" hidden="1">"c4895"</definedName>
    <definedName name="IQ_EPS_GAAP_GUIDANCE_CIQ_COL" hidden="1">"c11542"</definedName>
    <definedName name="IQ_EPS_GAAP_HIGH_GUIDANCE_CIQ" hidden="1">"c4896"</definedName>
    <definedName name="IQ_EPS_GAAP_HIGH_GUIDANCE_CIQ_COL" hidden="1">"c11543"</definedName>
    <definedName name="IQ_EPS_GAAP_LOW_GUIDANCE_CIQ" hidden="1">"c4617"</definedName>
    <definedName name="IQ_EPS_GAAP_LOW_GUIDANCE_CIQ_COL" hidden="1">"c11266"</definedName>
    <definedName name="IQ_EPS_GROWTH_GUIDANCE_CIQ" hidden="1">"c32283"</definedName>
    <definedName name="IQ_EPS_GROWTH_GUIDANCE_CIQ_COL" hidden="1">"c32286"</definedName>
    <definedName name="IQ_EPS_GROWTH_HIGH_GUIDANCE_CIQ" hidden="1">"c32284"</definedName>
    <definedName name="IQ_EPS_GROWTH_HIGH_GUIDANCE_CIQ_COL" hidden="1">"c32287"</definedName>
    <definedName name="IQ_EPS_GROWTH_LOW_GUIDANCE_CIQ" hidden="1">"c32285"</definedName>
    <definedName name="IQ_EPS_GROWTH_LOW_GUIDANCE_CIQ_COL" hidden="1">"c32288"</definedName>
    <definedName name="IQ_EPS_GW_ACT_OR_EST" hidden="1">"c2223"</definedName>
    <definedName name="IQ_EPS_GW_ACT_OR_EST_CIQ" hidden="1">"c5066"</definedName>
    <definedName name="IQ_EPS_GW_ACT_OR_EST_REUT" hidden="1">"c5469"</definedName>
    <definedName name="IQ_EPS_GW_DET_EST" hidden="1">"c12056"</definedName>
    <definedName name="IQ_EPS_GW_DET_EST_CURRENCY" hidden="1">"c12463"</definedName>
    <definedName name="IQ_EPS_GW_DET_EST_CURRENCY_THOM" hidden="1">"c12485"</definedName>
    <definedName name="IQ_EPS_GW_DET_EST_DATE" hidden="1">"c12209"</definedName>
    <definedName name="IQ_EPS_GW_DET_EST_DATE_THOM" hidden="1">"c12236"</definedName>
    <definedName name="IQ_EPS_GW_DET_EST_INCL" hidden="1">"c12346"</definedName>
    <definedName name="IQ_EPS_GW_DET_EST_INCL_THOM" hidden="1">"c12368"</definedName>
    <definedName name="IQ_EPS_GW_DET_EST_NOTE" hidden="1">"c17538"</definedName>
    <definedName name="IQ_EPS_GW_DET_EST_NOTE_THOM" hidden="1">"c17587"</definedName>
    <definedName name="IQ_EPS_GW_DET_EST_ORIGIN" hidden="1">"c12582"</definedName>
    <definedName name="IQ_EPS_GW_DET_EST_ORIGIN_THOM" hidden="1">"c12606"</definedName>
    <definedName name="IQ_EPS_GW_DET_EST_THOM" hidden="1">"c12086"</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DOWN_2MONTH" hidden="1">"c16465"</definedName>
    <definedName name="IQ_EPS_GW_EST_DOWN_2MONTH_CIQ" hidden="1">"c16753"</definedName>
    <definedName name="IQ_EPS_GW_EST_DOWN_2MONTH_THOM" hidden="1">"c17293"</definedName>
    <definedName name="IQ_EPS_GW_EST_DOWN_3MONTH" hidden="1">"c16469"</definedName>
    <definedName name="IQ_EPS_GW_EST_DOWN_3MONTH_CIQ" hidden="1">"c16757"</definedName>
    <definedName name="IQ_EPS_GW_EST_DOWN_3MONTH_THOM" hidden="1">"c17297"</definedName>
    <definedName name="IQ_EPS_GW_EST_DOWN_MONTH" hidden="1">"c16461"</definedName>
    <definedName name="IQ_EPS_GW_EST_DOWN_MONTH_CIQ" hidden="1">"c16749"</definedName>
    <definedName name="IQ_EPS_GW_EST_DOWN_MONTH_THOM" hidden="1">"c17289"</definedName>
    <definedName name="IQ_EPS_GW_EST_NOTE" hidden="1">"c17524"</definedName>
    <definedName name="IQ_EPS_GW_EST_NOTE_CIQ" hidden="1">"c17477"</definedName>
    <definedName name="IQ_EPS_GW_EST_NUM_ANALYSTS_2MONTH" hidden="1">"c16463"</definedName>
    <definedName name="IQ_EPS_GW_EST_NUM_ANALYSTS_2MONTH_CIQ" hidden="1">"c16751"</definedName>
    <definedName name="IQ_EPS_GW_EST_NUM_ANALYSTS_2MONTH_THOM" hidden="1">"c17291"</definedName>
    <definedName name="IQ_EPS_GW_EST_NUM_ANALYSTS_3MONTH" hidden="1">"c16467"</definedName>
    <definedName name="IQ_EPS_GW_EST_NUM_ANALYSTS_3MONTH_CIQ" hidden="1">"c16755"</definedName>
    <definedName name="IQ_EPS_GW_EST_NUM_ANALYSTS_3MONTH_THOM" hidden="1">"c17295"</definedName>
    <definedName name="IQ_EPS_GW_EST_NUM_ANALYSTS_MONTH" hidden="1">"c16459"</definedName>
    <definedName name="IQ_EPS_GW_EST_NUM_ANALYSTS_MONTH_CIQ" hidden="1">"c16747"</definedName>
    <definedName name="IQ_EPS_GW_EST_NUM_ANALYSTS_MONTH_THOM" hidden="1">"c17287"</definedName>
    <definedName name="IQ_EPS_GW_EST_REUT" hidden="1">"c5389"</definedName>
    <definedName name="IQ_EPS_GW_EST_THOM" hidden="1">"c5133"</definedName>
    <definedName name="IQ_EPS_GW_EST_TOTAL_REVISED_2MONTH" hidden="1">"c16466"</definedName>
    <definedName name="IQ_EPS_GW_EST_TOTAL_REVISED_2MONTH_CIQ" hidden="1">"c16754"</definedName>
    <definedName name="IQ_EPS_GW_EST_TOTAL_REVISED_2MONTH_THOM" hidden="1">"c17294"</definedName>
    <definedName name="IQ_EPS_GW_EST_TOTAL_REVISED_3MONTH" hidden="1">"c16470"</definedName>
    <definedName name="IQ_EPS_GW_EST_TOTAL_REVISED_3MONTH_CIQ" hidden="1">"c16758"</definedName>
    <definedName name="IQ_EPS_GW_EST_TOTAL_REVISED_3MONTH_THOM" hidden="1">"c17298"</definedName>
    <definedName name="IQ_EPS_GW_EST_TOTAL_REVISED_MONTH" hidden="1">"c16462"</definedName>
    <definedName name="IQ_EPS_GW_EST_TOTAL_REVISED_MONTH_CIQ" hidden="1">"c16750"</definedName>
    <definedName name="IQ_EPS_GW_EST_TOTAL_REVISED_MONTH_THOM" hidden="1">"c17290"</definedName>
    <definedName name="IQ_EPS_GW_EST_UP_2MONTH" hidden="1">"c16464"</definedName>
    <definedName name="IQ_EPS_GW_EST_UP_2MONTH_CIQ" hidden="1">"c16752"</definedName>
    <definedName name="IQ_EPS_GW_EST_UP_2MONTH_THOM" hidden="1">"c17292"</definedName>
    <definedName name="IQ_EPS_GW_EST_UP_3MONTH" hidden="1">"c16468"</definedName>
    <definedName name="IQ_EPS_GW_EST_UP_3MONTH_CIQ" hidden="1">"c16756"</definedName>
    <definedName name="IQ_EPS_GW_EST_UP_3MONTH_THOM" hidden="1">"c17296"</definedName>
    <definedName name="IQ_EPS_GW_EST_UP_MONTH" hidden="1">"c16460"</definedName>
    <definedName name="IQ_EPS_GW_EST_UP_MONTH_CIQ" hidden="1">"c16748"</definedName>
    <definedName name="IQ_EPS_GW_EST_UP_MONTH_THOM" hidden="1">"c17288"</definedName>
    <definedName name="IQ_EPS_GW_GUIDANCE_CIQ" hidden="1">"c4897"</definedName>
    <definedName name="IQ_EPS_GW_GUIDANCE_CIQ_COL" hidden="1">"c11544"</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HIGH_GUIDANCE_CIQ" hidden="1">"c4898"</definedName>
    <definedName name="IQ_EPS_GW_HIGH_GUIDANCE_CIQ_COL" hidden="1">"c11545"</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LOW_GUIDANCE_CIQ" hidden="1">"c4618"</definedName>
    <definedName name="IQ_EPS_GW_LOW_GUIDANCE_CIQ_COL" hidden="1">"c11267"</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RM" hidden="1">"c1902"</definedName>
    <definedName name="IQ_EPS_NORM_DET_EST" hidden="1">"c12058"</definedName>
    <definedName name="IQ_EPS_NORM_DET_EST_CURRENCY" hidden="1">"c12465"</definedName>
    <definedName name="IQ_EPS_NORM_DET_EST_DATE" hidden="1">"c12211"</definedName>
    <definedName name="IQ_EPS_NORM_DET_EST_INCL" hidden="1">"c12348"</definedName>
    <definedName name="IQ_EPS_NORM_DET_EST_NOTE" hidden="1">"c17528"</definedName>
    <definedName name="IQ_EPS_NORM_DET_EST_ORIGIN" hidden="1">"c12583"</definedName>
    <definedName name="IQ_EPS_NORM_DET_EST_ORIGIN_THOM" hidden="1">"c12607"</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DOWN_2MONTH" hidden="1">"c16597"</definedName>
    <definedName name="IQ_EPS_NORM_EST_DOWN_2MONTH_CIQ" hidden="1">"c16861"</definedName>
    <definedName name="IQ_EPS_NORM_EST_DOWN_3MONTH" hidden="1">"c16601"</definedName>
    <definedName name="IQ_EPS_NORM_EST_DOWN_3MONTH_CIQ" hidden="1">"c16865"</definedName>
    <definedName name="IQ_EPS_NORM_EST_DOWN_MONTH" hidden="1">"c16593"</definedName>
    <definedName name="IQ_EPS_NORM_EST_DOWN_MONTH_CIQ" hidden="1">"c16857"</definedName>
    <definedName name="IQ_EPS_NORM_EST_NOTE" hidden="1">"c17505"</definedName>
    <definedName name="IQ_EPS_NORM_EST_NOTE_CIQ" hidden="1">"c17458"</definedName>
    <definedName name="IQ_EPS_NORM_EST_NUM_ANALYSTS_2MONTH" hidden="1">"c16595"</definedName>
    <definedName name="IQ_EPS_NORM_EST_NUM_ANALYSTS_2MONTH_CIQ" hidden="1">"c16859"</definedName>
    <definedName name="IQ_EPS_NORM_EST_NUM_ANALYSTS_3MONTH" hidden="1">"c16599"</definedName>
    <definedName name="IQ_EPS_NORM_EST_NUM_ANALYSTS_3MONTH_CIQ" hidden="1">"c16863"</definedName>
    <definedName name="IQ_EPS_NORM_EST_NUM_ANALYSTS_MONTH" hidden="1">"c16591"</definedName>
    <definedName name="IQ_EPS_NORM_EST_NUM_ANALYSTS_MONTH_CIQ" hidden="1">"c16855"</definedName>
    <definedName name="IQ_EPS_NORM_EST_REUT" hidden="1">"c5326"</definedName>
    <definedName name="IQ_EPS_NORM_EST_TOTAL_REVISED_2MONTH" hidden="1">"c16598"</definedName>
    <definedName name="IQ_EPS_NORM_EST_TOTAL_REVISED_2MONTH_CIQ" hidden="1">"c16862"</definedName>
    <definedName name="IQ_EPS_NORM_EST_TOTAL_REVISED_3MONTH" hidden="1">"c16602"</definedName>
    <definedName name="IQ_EPS_NORM_EST_TOTAL_REVISED_3MONTH_CIQ" hidden="1">"c16866"</definedName>
    <definedName name="IQ_EPS_NORM_EST_TOTAL_REVISED_MONTH" hidden="1">"c16594"</definedName>
    <definedName name="IQ_EPS_NORM_EST_TOTAL_REVISED_MONTH_CIQ" hidden="1">"c16858"</definedName>
    <definedName name="IQ_EPS_NORM_EST_UP_2MONTH" hidden="1">"c16596"</definedName>
    <definedName name="IQ_EPS_NORM_EST_UP_2MONTH_CIQ" hidden="1">"c16860"</definedName>
    <definedName name="IQ_EPS_NORM_EST_UP_3MONTH" hidden="1">"c16600"</definedName>
    <definedName name="IQ_EPS_NORM_EST_UP_3MONTH_CIQ" hidden="1">"c16864"</definedName>
    <definedName name="IQ_EPS_NORM_EST_UP_MONTH" hidden="1">"c16592"</definedName>
    <definedName name="IQ_EPS_NORM_EST_UP_MONTH_CIQ" hidden="1">"c16856"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_ACT_OR_EST_REUT" hidden="1">"c5470"</definedName>
    <definedName name="IQ_EPS_REPORT_ACT_OR_EST_THOM" hidden="1">"c5307"</definedName>
    <definedName name="IQ_EPS_REPORTED_DET_EST" hidden="1">"c12057"</definedName>
    <definedName name="IQ_EPS_REPORTED_DET_EST_CURRENCY" hidden="1">"c12464"</definedName>
    <definedName name="IQ_EPS_REPORTED_DET_EST_CURRENCY_THOM" hidden="1">"c12486"</definedName>
    <definedName name="IQ_EPS_REPORTED_DET_EST_DATE" hidden="1">"c12210"</definedName>
    <definedName name="IQ_EPS_REPORTED_DET_EST_DATE_THOM" hidden="1">"c12237"</definedName>
    <definedName name="IQ_EPS_REPORTED_DET_EST_INCL" hidden="1">"c12347"</definedName>
    <definedName name="IQ_EPS_REPORTED_DET_EST_INCL_THOM" hidden="1">"c12369"</definedName>
    <definedName name="IQ_EPS_REPORTED_DET_EST_NOTE" hidden="1">"c17539"</definedName>
    <definedName name="IQ_EPS_REPORTED_DET_EST_NOTE_THOM" hidden="1">"c17588"</definedName>
    <definedName name="IQ_EPS_REPORTED_DET_EST_ORIGIN" hidden="1">"c12772"</definedName>
    <definedName name="IQ_EPS_REPORTED_DET_EST_ORIGIN_THOM" hidden="1">"c13511"</definedName>
    <definedName name="IQ_EPS_REPORTED_DET_EST_THOM" hidden="1">"c12087"</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DOWN_2MONTH" hidden="1">"c16477"</definedName>
    <definedName name="IQ_EPS_REPORTED_EST_DOWN_2MONTH_CIQ" hidden="1">"c16765"</definedName>
    <definedName name="IQ_EPS_REPORTED_EST_DOWN_2MONTH_THOM" hidden="1">"c17305"</definedName>
    <definedName name="IQ_EPS_REPORTED_EST_DOWN_3MONTH" hidden="1">"c16481"</definedName>
    <definedName name="IQ_EPS_REPORTED_EST_DOWN_3MONTH_CIQ" hidden="1">"c16769"</definedName>
    <definedName name="IQ_EPS_REPORTED_EST_DOWN_3MONTH_THOM" hidden="1">"c17309"</definedName>
    <definedName name="IQ_EPS_REPORTED_EST_DOWN_MONTH" hidden="1">"c16473"</definedName>
    <definedName name="IQ_EPS_REPORTED_EST_DOWN_MONTH_CIQ" hidden="1">"c16761"</definedName>
    <definedName name="IQ_EPS_REPORTED_EST_DOWN_MONTH_THOM" hidden="1">"c17301"</definedName>
    <definedName name="IQ_EPS_REPORTED_EST_NOTE" hidden="1">"c17517"</definedName>
    <definedName name="IQ_EPS_REPORTED_EST_NOTE_CIQ" hidden="1">"c17470"</definedName>
    <definedName name="IQ_EPS_REPORTED_EST_NUM_ANALYSTS_2MONTH" hidden="1">"c16475"</definedName>
    <definedName name="IQ_EPS_REPORTED_EST_NUM_ANALYSTS_2MONTH_CIQ" hidden="1">"c16763"</definedName>
    <definedName name="IQ_EPS_REPORTED_EST_NUM_ANALYSTS_2MONTH_THOM" hidden="1">"c17303"</definedName>
    <definedName name="IQ_EPS_REPORTED_EST_NUM_ANALYSTS_3MONTH" hidden="1">"c16479"</definedName>
    <definedName name="IQ_EPS_REPORTED_EST_NUM_ANALYSTS_3MONTH_CIQ" hidden="1">"c16767"</definedName>
    <definedName name="IQ_EPS_REPORTED_EST_NUM_ANALYSTS_3MONTH_THOM" hidden="1">"c17307"</definedName>
    <definedName name="IQ_EPS_REPORTED_EST_NUM_ANALYSTS_MONTH" hidden="1">"c16471"</definedName>
    <definedName name="IQ_EPS_REPORTED_EST_NUM_ANALYSTS_MONTH_CIQ" hidden="1">"c16759"</definedName>
    <definedName name="IQ_EPS_REPORTED_EST_NUM_ANALYSTS_MONTH_THOM" hidden="1">"c17299"</definedName>
    <definedName name="IQ_EPS_REPORTED_EST_REUT" hidden="1">"c5396"</definedName>
    <definedName name="IQ_EPS_REPORTED_EST_THOM" hidden="1">"c5140"</definedName>
    <definedName name="IQ_EPS_REPORTED_EST_TOTAL_REVISED_2MONTH" hidden="1">"c16478"</definedName>
    <definedName name="IQ_EPS_REPORTED_EST_TOTAL_REVISED_2MONTH_CIQ" hidden="1">"c16766"</definedName>
    <definedName name="IQ_EPS_REPORTED_EST_TOTAL_REVISED_2MONTH_THOM" hidden="1">"c17306"</definedName>
    <definedName name="IQ_EPS_REPORTED_EST_TOTAL_REVISED_3MONTH" hidden="1">"c16482"</definedName>
    <definedName name="IQ_EPS_REPORTED_EST_TOTAL_REVISED_3MONTH_CIQ" hidden="1">"c16770"</definedName>
    <definedName name="IQ_EPS_REPORTED_EST_TOTAL_REVISED_3MONTH_THOM" hidden="1">"c17310"</definedName>
    <definedName name="IQ_EPS_REPORTED_EST_TOTAL_REVISED_MONTH" hidden="1">"c16474"</definedName>
    <definedName name="IQ_EPS_REPORTED_EST_TOTAL_REVISED_MONTH_CIQ" hidden="1">"c16762"</definedName>
    <definedName name="IQ_EPS_REPORTED_EST_TOTAL_REVISED_MONTH_THOM" hidden="1">"c17302"</definedName>
    <definedName name="IQ_EPS_REPORTED_EST_UP_2MONTH" hidden="1">"c16476"</definedName>
    <definedName name="IQ_EPS_REPORTED_EST_UP_2MONTH_CIQ" hidden="1">"c16764"</definedName>
    <definedName name="IQ_EPS_REPORTED_EST_UP_2MONTH_THOM" hidden="1">"c17304"</definedName>
    <definedName name="IQ_EPS_REPORTED_EST_UP_3MONTH" hidden="1">"c16480"</definedName>
    <definedName name="IQ_EPS_REPORTED_EST_UP_3MONTH_CIQ" hidden="1">"c16768"</definedName>
    <definedName name="IQ_EPS_REPORTED_EST_UP_3MONTH_THOM" hidden="1">"c17308"</definedName>
    <definedName name="IQ_EPS_REPORTED_EST_UP_MONTH" hidden="1">"c16472"</definedName>
    <definedName name="IQ_EPS_REPORTED_EST_UP_MONTH_CIQ" hidden="1">"c16760"</definedName>
    <definedName name="IQ_EPS_REPORTED_EST_UP_MONTH_THOM" hidden="1">"c17300"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ACT_OR_EST_CIQ_COL" hidden="1">"c11548"</definedName>
    <definedName name="IQ_EPS_SBC_EST" hidden="1">"c4375"</definedName>
    <definedName name="IQ_EPS_SBC_GUIDANCE" hidden="1">"c4377"</definedName>
    <definedName name="IQ_EPS_SBC_GUIDANCE_CIQ" hidden="1">"c4902"</definedName>
    <definedName name="IQ_EPS_SBC_GUIDANCE_CIQ_COL" hidden="1">"c11549"</definedName>
    <definedName name="IQ_EPS_SBC_GW_ACT_OR_EST" hidden="1">"c4380"</definedName>
    <definedName name="IQ_EPS_SBC_GW_ACT_OR_EST_CIQ" hidden="1">"c4905"</definedName>
    <definedName name="IQ_EPS_SBC_GW_ACT_OR_EST_CIQ_COL" hidden="1">"c11552"</definedName>
    <definedName name="IQ_EPS_SBC_GW_EST" hidden="1">"c4379"</definedName>
    <definedName name="IQ_EPS_SBC_GW_GUIDANCE" hidden="1">"c4381"</definedName>
    <definedName name="IQ_EPS_SBC_GW_GUIDANCE_CIQ" hidden="1">"c4906"</definedName>
    <definedName name="IQ_EPS_SBC_GW_GUIDANCE_CIQ_COL" hidden="1">"c11553"</definedName>
    <definedName name="IQ_EPS_SBC_GW_HIGH_EST" hidden="1">"c4382"</definedName>
    <definedName name="IQ_EPS_SBC_GW_HIGH_GUIDANCE" hidden="1">"c4189"</definedName>
    <definedName name="IQ_EPS_SBC_GW_HIGH_GUIDANCE_CIQ" hidden="1">"c4601"</definedName>
    <definedName name="IQ_EPS_SBC_GW_HIGH_GUIDANCE_CIQ_COL" hidden="1">"c11250"</definedName>
    <definedName name="IQ_EPS_SBC_GW_LOW_EST" hidden="1">"c4383"</definedName>
    <definedName name="IQ_EPS_SBC_GW_LOW_GUIDANCE" hidden="1">"c4229"</definedName>
    <definedName name="IQ_EPS_SBC_GW_LOW_GUIDANCE_CIQ" hidden="1">"c4641"</definedName>
    <definedName name="IQ_EPS_SBC_GW_LOW_GUIDANCE_CIQ_COL" hidden="1">"c11290"</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HIGH_GUIDANCE_CIQ" hidden="1">"c4600"</definedName>
    <definedName name="IQ_EPS_SBC_HIGH_GUIDANCE_CIQ_COL" hidden="1">"c11249"</definedName>
    <definedName name="IQ_EPS_SBC_LOW_EST" hidden="1">"c4389"</definedName>
    <definedName name="IQ_EPS_SBC_LOW_GUIDANCE" hidden="1">"c4228"</definedName>
    <definedName name="IQ_EPS_SBC_LOW_GUIDANCE_CIQ" hidden="1">"c4640"</definedName>
    <definedName name="IQ_EPS_SBC_LOW_GUIDANCE_CIQ_COL" hidden="1">"c11289"</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P" hidden="1">"c8887"</definedName>
    <definedName name="IQ_EQUITY_AP_ABS" hidden="1">"c8906"</definedName>
    <definedName name="IQ_EQUITY_ASKPRICE" hidden="1">"c17798"</definedName>
    <definedName name="IQ_EQUITY_ASSETS_TOT_FFIEC" hidden="1">"c13436"</definedName>
    <definedName name="IQ_EQUITY_BEG_EXCL_FFIEC" hidden="1">"c12957"</definedName>
    <definedName name="IQ_EQUITY_BEG_FFIEC" hidden="1">"c12959"</definedName>
    <definedName name="IQ_EQUITY_BIDPRICE" hidden="1">"c17797"</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MIDPRICE" hidden="1">"c17799"</definedName>
    <definedName name="IQ_EQUITY_NAME_AP" hidden="1">"c8925"</definedName>
    <definedName name="IQ_EQUITY_NAME_AP_ABS" hidden="1">"c8944"</definedName>
    <definedName name="IQ_EQUITY_SEC_FAIR_VALUE_AFS_AMORT_COST_FFIEC" hidden="1">"c20505"</definedName>
    <definedName name="IQ_EQUITY_SEC_FAIR_VALUE_AFS_FAIR_VAL_FFIEC" hidden="1">"c20470"</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OP_DEBT_GUARANTEED_FFIEC" hidden="1">"c12971"</definedName>
    <definedName name="IQ_ESOP_OVER_TOTAL" hidden="1">"c13768"</definedName>
    <definedName name="IQ_EST_ACT_BV" hidden="1">"c5630"</definedName>
    <definedName name="IQ_EST_ACT_BV_REUT" hidden="1">"c5409"</definedName>
    <definedName name="IQ_EST_ACT_BV_SHARE" hidden="1">"c3549"</definedName>
    <definedName name="IQ_EST_ACT_BV_SHARE_REUT" hidden="1">"c5445"</definedName>
    <definedName name="IQ_EST_ACT_BV_SHARE_THOM" hidden="1">"c4026"</definedName>
    <definedName name="IQ_EST_ACT_CAPEX" hidden="1">"c3546"</definedName>
    <definedName name="IQ_EST_ACT_CAPEX_REUT" hidden="1">"c3975"</definedName>
    <definedName name="IQ_EST_ACT_CAPEX_THOM" hidden="1">"c5508"</definedName>
    <definedName name="IQ_EST_ACT_CASH_EPS" hidden="1">"c5637"</definedName>
    <definedName name="IQ_EST_ACT_CASH_EPS_THOM" hidden="1">"c5645"</definedName>
    <definedName name="IQ_EST_ACT_CASH_FLOW" hidden="1">"c4394"</definedName>
    <definedName name="IQ_EST_ACT_CASH_OPER" hidden="1">"c4395"</definedName>
    <definedName name="IQ_EST_ACT_CFPS" hidden="1">"c1673"</definedName>
    <definedName name="IQ_EST_ACT_CFPS_REUT" hidden="1">"c3850"</definedName>
    <definedName name="IQ_EST_ACT_CFPS_THOM" hidden="1">"c4012"</definedName>
    <definedName name="IQ_EST_ACT_DISTRIBUTABLE_CASH" hidden="1">"c4396"</definedName>
    <definedName name="IQ_EST_ACT_DISTRIBUTABLE_CASH_CIQ_COL" hidden="1">"c11568"</definedName>
    <definedName name="IQ_EST_ACT_DISTRIBUTABLE_CASH_SHARE" hidden="1">"c4397"</definedName>
    <definedName name="IQ_EST_ACT_DPS" hidden="1">"c1680"</definedName>
    <definedName name="IQ_EST_ACT_DPS_REUT" hidden="1">"c3857"</definedName>
    <definedName name="IQ_EST_ACT_DPS_THOM" hidden="1">"c4019"</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_THOM" hidden="1">"c5111"</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ITDA_THOM" hidden="1">"c3998"</definedName>
    <definedName name="IQ_EST_ACT_EBT_SBC" hidden="1">"c4402"</definedName>
    <definedName name="IQ_EST_ACT_EBT_SBC_GW" hidden="1">"c4403"</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PRIMARY" hidden="1">"c2232"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REUT" hidden="1">"c5457"</definedName>
    <definedName name="IQ_EST_ACT_EPS_SBC" hidden="1">"c4404"</definedName>
    <definedName name="IQ_EST_ACT_EPS_SBC_GW" hidden="1">"c4405"</definedName>
    <definedName name="IQ_EST_ACT_EPS_THOM" hidden="1">"c5294"</definedName>
    <definedName name="IQ_EST_ACT_FFO" hidden="1">"c1666"</definedName>
    <definedName name="IQ_EST_ACT_FFO_ADJ" hidden="1">"c4406"</definedName>
    <definedName name="IQ_EST_ACT_FFO_CIQ_COL" hidden="1">"c11579"</definedName>
    <definedName name="IQ_EST_ACT_FFO_REUT" hidden="1">"c3843"</definedName>
    <definedName name="IQ_EST_ACT_FFO_SHARE" hidden="1">"c1666"</definedName>
    <definedName name="IQ_EST_ACT_FFO_SHARE_SHARE_THOM" hidden="1">"c4005"</definedName>
    <definedName name="IQ_EST_ACT_FFO_SHARE_THOM" hidden="1">"c4005"</definedName>
    <definedName name="IQ_EST_ACT_FFO_THOM" hidden="1">"c4005"</definedName>
    <definedName name="IQ_EST_ACT_GROSS_MARGIN" hidden="1">"c5553"</definedName>
    <definedName name="IQ_EST_ACT_GROSS_MARGIN_THOM" hidden="1">"c5561"</definedName>
    <definedName name="IQ_EST_ACT_MAINT_CAPEX" hidden="1">"c4408"</definedName>
    <definedName name="IQ_EST_ACT_NAV" hidden="1">"c1757"</definedName>
    <definedName name="IQ_EST_ACT_NAV_SHARE" hidden="1">"c5608"</definedName>
    <definedName name="IQ_EST_ACT_NAV_SHARE_REUT" hidden="1">"c5616"</definedName>
    <definedName name="IQ_EST_ACT_NAV_THOM" hidden="1">"c5600"</definedName>
    <definedName name="IQ_EST_ACT_NET_DEBT" hidden="1">"c3545"</definedName>
    <definedName name="IQ_EST_ACT_NET_DEBT_REUT" hidden="1">"c5446"</definedName>
    <definedName name="IQ_EST_ACT_NET_DEBT_THOM" hidden="1">"c4033"</definedName>
    <definedName name="IQ_EST_ACT_NI" hidden="1">"c1722"</definedName>
    <definedName name="IQ_EST_ACT_NI_GW" hidden="1">"c1729"</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NI_THOM" hidden="1">"c5132"</definedName>
    <definedName name="IQ_EST_ACT_OPER_INC" hidden="1">"c1694"</definedName>
    <definedName name="IQ_EST_ACT_OPER_INC_REUT" hidden="1">"c5346"</definedName>
    <definedName name="IQ_EST_ACT_OPER_INC_THOM" hidden="1">"c5118"</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INC_THOM" hidden="1">"c5125"</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ASSETS_THOM" hidden="1">"c4040"</definedName>
    <definedName name="IQ_EST_ACT_RETURN_EQUITY" hidden="1">"c3548"</definedName>
    <definedName name="IQ_EST_ACT_RETURN_EQUITY_REUT" hidden="1">"c3989"</definedName>
    <definedName name="IQ_EST_ACT_RETURN_EQUITY_THOM" hidden="1">"c5287"</definedName>
    <definedName name="IQ_EST_ACT_REV" hidden="1">"c2113"</definedName>
    <definedName name="IQ_EST_ACT_REV_CIQ" hidden="1">"c3666"</definedName>
    <definedName name="IQ_EST_ACT_REV_REUT" hidden="1">"c3835"</definedName>
    <definedName name="IQ_EST_ACT_REV_THOM" hidden="1">"c3997"</definedName>
    <definedName name="IQ_EST_BV_DIFF_REUT" hidden="1">"c5433"</definedName>
    <definedName name="IQ_EST_BV_SHARE_DIFF" hidden="1">"c4147"</definedName>
    <definedName name="IQ_EST_BV_SHARE_SURPRISE_PERCENT" hidden="1">"c4148"</definedName>
    <definedName name="IQ_EST_BV_SURPRISE_PERCENT_REUT" hidden="1">"c5434"</definedName>
    <definedName name="IQ_EST_CAPEX_DIFF" hidden="1">"c4149"</definedName>
    <definedName name="IQ_EST_CAPEX_GROWTH_1YR" hidden="1">"c3588"</definedName>
    <definedName name="IQ_EST_CAPEX_GROWTH_1YR_REUT" hidden="1">"c5447"</definedName>
    <definedName name="IQ_EST_CAPEX_GROWTH_1YR_THOM" hidden="1">"c5542"</definedName>
    <definedName name="IQ_EST_CAPEX_GROWTH_2YR" hidden="1">"c3589"</definedName>
    <definedName name="IQ_EST_CAPEX_GROWTH_2YR_REUT" hidden="1">"c5448"</definedName>
    <definedName name="IQ_EST_CAPEX_GROWTH_2YR_THOM" hidden="1">"c5543"</definedName>
    <definedName name="IQ_EST_CAPEX_GROWTH_Q_1YR" hidden="1">"c3590"</definedName>
    <definedName name="IQ_EST_CAPEX_GROWTH_Q_1YR_REUT" hidden="1">"c5449"</definedName>
    <definedName name="IQ_EST_CAPEX_GROWTH_Q_1YR_THOM" hidden="1">"c5544"</definedName>
    <definedName name="IQ_EST_CAPEX_SEQ_GROWTH_Q" hidden="1">"c3591"</definedName>
    <definedName name="IQ_EST_CAPEX_SEQ_GROWTH_Q_REUT" hidden="1">"c5450"</definedName>
    <definedName name="IQ_EST_CAPEX_SEQ_GROWTH_Q_THOM" hidden="1">"c5545"</definedName>
    <definedName name="IQ_EST_CAPEX_SURPRISE_PERCENT" hidden="1">"c4151"</definedName>
    <definedName name="IQ_EST_CASH_FLOW_DIFF" hidden="1">"c4152"</definedName>
    <definedName name="IQ_EST_CASH_FLOW_DIFF_CIQ_COL" hidden="1">"c11213"</definedName>
    <definedName name="IQ_EST_CASH_FLOW_SURPRISE_PERCENT" hidden="1">"c4161"</definedName>
    <definedName name="IQ_EST_CASH_FLOW_SURPRISE_PERCENT_CIQ_COL" hidden="1">"c11222"</definedName>
    <definedName name="IQ_EST_CASH_OPER_DIFF" hidden="1">"c4162"</definedName>
    <definedName name="IQ_EST_CASH_OPER_DIFF_CIQ_COL" hidden="1">"c11223"</definedName>
    <definedName name="IQ_EST_CASH_OPER_SURPRISE_PERCENT" hidden="1">"c4248"</definedName>
    <definedName name="IQ_EST_CASH_OPER_SURPRISE_PERCENT_CIQ_COL" hidden="1">"c11421"</definedName>
    <definedName name="IQ_EST_CFPS_DIFF" hidden="1">"c1871"</definedName>
    <definedName name="IQ_EST_CFPS_DIFF_REUT" hidden="1">"c3892"</definedName>
    <definedName name="IQ_EST_CFPS_DIFF_THOM" hidden="1">"c5188"</definedName>
    <definedName name="IQ_EST_CFPS_GROWTH_1YR" hidden="1">"c1774"</definedName>
    <definedName name="IQ_EST_CFPS_GROWTH_1YR_REUT" hidden="1">"c3878"</definedName>
    <definedName name="IQ_EST_CFPS_GROWTH_1YR_THOM" hidden="1">"c5174"</definedName>
    <definedName name="IQ_EST_CFPS_GROWTH_2YR" hidden="1">"c1775"</definedName>
    <definedName name="IQ_EST_CFPS_GROWTH_2YR_REUT" hidden="1">"c3879"</definedName>
    <definedName name="IQ_EST_CFPS_GROWTH_2YR_THOM" hidden="1">"c5175"</definedName>
    <definedName name="IQ_EST_CFPS_GROWTH_Q_1YR" hidden="1">"c1776"</definedName>
    <definedName name="IQ_EST_CFPS_GROWTH_Q_1YR_REUT" hidden="1">"c3880"</definedName>
    <definedName name="IQ_EST_CFPS_GROWTH_Q_1YR_THOM" hidden="1">"c5176"</definedName>
    <definedName name="IQ_EST_CFPS_SEQ_GROWTH_Q" hidden="1">"c1777"</definedName>
    <definedName name="IQ_EST_CFPS_SEQ_GROWTH_Q_REUT" hidden="1">"c3881"</definedName>
    <definedName name="IQ_EST_CFPS_SEQ_GROWTH_Q_THOM" hidden="1">"c5177"</definedName>
    <definedName name="IQ_EST_CFPS_SURPRISE_PERCENT" hidden="1">"c1872"</definedName>
    <definedName name="IQ_EST_CFPS_SURPRISE_PERCENT_REUT" hidden="1">"c3893"</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ISTRIBUTABLE_CASH_DIFF" hidden="1">"c4276"</definedName>
    <definedName name="IQ_EST_DISTRIBUTABLE_CASH_DIFF_CIQ_COL" hidden="1">"c11448"</definedName>
    <definedName name="IQ_EST_DISTRIBUTABLE_CASH_GROWTH_1YR" hidden="1">"c4413"</definedName>
    <definedName name="IQ_EST_DISTRIBUTABLE_CASH_GROWTH_1YR_CIQ_COL" hidden="1">"c11585"</definedName>
    <definedName name="IQ_EST_DISTRIBUTABLE_CASH_GROWTH_2YR" hidden="1">"c4414"</definedName>
    <definedName name="IQ_EST_DISTRIBUTABLE_CASH_GROWTH_2YR_CIQ_COL" hidden="1">"c11586"</definedName>
    <definedName name="IQ_EST_DISTRIBUTABLE_CASH_GROWTH_Q_1YR" hidden="1">"c4415"</definedName>
    <definedName name="IQ_EST_DISTRIBUTABLE_CASH_GROWTH_Q_1YR_CIQ_COL" hidden="1">"c11587"</definedName>
    <definedName name="IQ_EST_DISTRIBUTABLE_CASH_SEQ_GROWTH_Q" hidden="1">"c4416"</definedName>
    <definedName name="IQ_EST_DISTRIBUTABLE_CASH_SEQ_GROWTH_Q_CIQ_COL" hidden="1">"c11588"</definedName>
    <definedName name="IQ_EST_DISTRIBUTABLE_CASH_SHARE_DIFF" hidden="1">"c4284"</definedName>
    <definedName name="IQ_EST_DISTRIBUTABLE_CASH_SHARE_DIFF_CIQ_COL" hidden="1">"c11456"</definedName>
    <definedName name="IQ_EST_DISTRIBUTABLE_CASH_SHARE_GROWTH_1YR" hidden="1">"c4417"</definedName>
    <definedName name="IQ_EST_DISTRIBUTABLE_CASH_SHARE_GROWTH_1YR_CIQ_COL" hidden="1">"c11589"</definedName>
    <definedName name="IQ_EST_DISTRIBUTABLE_CASH_SHARE_GROWTH_2YR" hidden="1">"c4418"</definedName>
    <definedName name="IQ_EST_DISTRIBUTABLE_CASH_SHARE_GROWTH_2YR_CIQ_COL" hidden="1">"c11590"</definedName>
    <definedName name="IQ_EST_DISTRIBUTABLE_CASH_SHARE_GROWTH_Q_1YR" hidden="1">"c4419"</definedName>
    <definedName name="IQ_EST_DISTRIBUTABLE_CASH_SHARE_GROWTH_Q_1YR_CIQ_COL" hidden="1">"c11591"</definedName>
    <definedName name="IQ_EST_DISTRIBUTABLE_CASH_SHARE_SEQ_GROWTH_Q" hidden="1">"c4420"</definedName>
    <definedName name="IQ_EST_DISTRIBUTABLE_CASH_SHARE_SEQ_GROWTH_Q_CIQ_COL" hidden="1">"c11592"</definedName>
    <definedName name="IQ_EST_DISTRIBUTABLE_CASH_SHARE_SURPRISE_PERCENT" hidden="1">"c4293"</definedName>
    <definedName name="IQ_EST_DISTRIBUTABLE_CASH_SHARE_SURPRISE_PERCENT_CIQ_COL" hidden="1">"c11465"</definedName>
    <definedName name="IQ_EST_DISTRIBUTABLE_CASH_SURPRISE_PERCENT" hidden="1">"c4295"</definedName>
    <definedName name="IQ_EST_DISTRIBUTABLE_CASH_SURPRISE_PERCENT_CIQ_COL" hidden="1">"c11467"</definedName>
    <definedName name="IQ_EST_DPS_DIFF" hidden="1">"c1873"</definedName>
    <definedName name="IQ_EST_DPS_DIFF_REUT" hidden="1">"c3894"</definedName>
    <definedName name="IQ_EST_DPS_DIFF_THOM" hidden="1">"c5190"</definedName>
    <definedName name="IQ_EST_DPS_GROWTH_1YR" hidden="1">"c1778"</definedName>
    <definedName name="IQ_EST_DPS_GROWTH_1YR_REUT" hidden="1">"c3882"</definedName>
    <definedName name="IQ_EST_DPS_GROWTH_1YR_THOM" hidden="1">"c5178"</definedName>
    <definedName name="IQ_EST_DPS_GROWTH_2YR" hidden="1">"c1779"</definedName>
    <definedName name="IQ_EST_DPS_GROWTH_2YR_REUT" hidden="1">"c3883"</definedName>
    <definedName name="IQ_EST_DPS_GROWTH_2YR_THOM" hidden="1">"c5179"</definedName>
    <definedName name="IQ_EST_DPS_GROWTH_Q_1YR" hidden="1">"c1780"</definedName>
    <definedName name="IQ_EST_DPS_GROWTH_Q_1YR_REUT" hidden="1">"c3884"</definedName>
    <definedName name="IQ_EST_DPS_GROWTH_Q_1YR_THOM" hidden="1">"c5180"</definedName>
    <definedName name="IQ_EST_DPS_SEQ_GROWTH_Q" hidden="1">"c1781"</definedName>
    <definedName name="IQ_EST_DPS_SEQ_GROWTH_Q_REUT" hidden="1">"c3885"</definedName>
    <definedName name="IQ_EST_DPS_SEQ_GROWTH_Q_THOM" hidden="1">"c5181"</definedName>
    <definedName name="IQ_EST_DPS_SURPRISE_PERCENT" hidden="1">"c1874"</definedName>
    <definedName name="IQ_EST_DPS_SURPRISE_PERCENT_REUT" hidden="1">"c3895"</definedName>
    <definedName name="IQ_EST_DPS_SURPRISE_PERCENT_THOM" hidden="1">"c5191"</definedName>
    <definedName name="IQ_EST_EBIT_DIFF" hidden="1">"c1875"</definedName>
    <definedName name="IQ_EST_EBIT_DIFF_REUT" hidden="1">"c5413"</definedName>
    <definedName name="IQ_EST_EBIT_DIFF_THOM" hidden="1">"c5192"</definedName>
    <definedName name="IQ_EST_EBIT_GW_DIFF" hidden="1">"c4304"</definedName>
    <definedName name="IQ_EST_EBIT_GW_DIFF_CIQ_COL" hidden="1">"c11476"</definedName>
    <definedName name="IQ_EST_EBIT_GW_SURPRISE_PERCENT" hidden="1">"c4313"</definedName>
    <definedName name="IQ_EST_EBIT_GW_SURPRISE_PERCENT_CIQ_COL" hidden="1">"c11485"</definedName>
    <definedName name="IQ_EST_EBIT_SBC_DIFF" hidden="1">"c4314"</definedName>
    <definedName name="IQ_EST_EBIT_SBC_DIFF_CIQ_COL" hidden="1">"c11486"</definedName>
    <definedName name="IQ_EST_EBIT_SBC_GW_DIFF" hidden="1">"c4318"</definedName>
    <definedName name="IQ_EST_EBIT_SBC_GW_DIFF_CIQ_COL" hidden="1">"c11490"</definedName>
    <definedName name="IQ_EST_EBIT_SBC_GW_SURPRISE_PERCENT" hidden="1">"c4327"</definedName>
    <definedName name="IQ_EST_EBIT_SBC_GW_SURPRISE_PERCENT_CIQ_COL" hidden="1">"c11499"</definedName>
    <definedName name="IQ_EST_EBIT_SBC_SURPRISE_PERCENT" hidden="1">"c4333"</definedName>
    <definedName name="IQ_EST_EBIT_SBC_SURPRISE_PERCENT_CIQ_COL" hidden="1">"c11505"</definedName>
    <definedName name="IQ_EST_EBIT_SURPRISE_PERCENT" hidden="1">"c1876"</definedName>
    <definedName name="IQ_EST_EBIT_SURPRISE_PERCENT_REUT" hidden="1">"c5414"</definedName>
    <definedName name="IQ_EST_EBIT_SURPRISE_PERCENT_THOM" hidden="1">"c5193"</definedName>
    <definedName name="IQ_EST_EBITDA_DIFF" hidden="1">"c1867"</definedName>
    <definedName name="IQ_EST_EBITDA_DIFF_CIQ" hidden="1">"c3719"</definedName>
    <definedName name="IQ_EST_EBITDA_DIFF_REUT" hidden="1">"c3888"</definedName>
    <definedName name="IQ_EST_EBITDA_DIFF_THOM" hidden="1">"c5184"</definedName>
    <definedName name="IQ_EST_EBITDA_GROWTH_1YR" hidden="1">"c1766"</definedName>
    <definedName name="IQ_EST_EBITDA_GROWTH_1YR_CIQ" hidden="1">"c3695"</definedName>
    <definedName name="IQ_EST_EBITDA_GROWTH_1YR_REUT" hidden="1">"c3864"</definedName>
    <definedName name="IQ_EST_EBITDA_GROWTH_1YR_THOM" hidden="1">"c5161"</definedName>
    <definedName name="IQ_EST_EBITDA_GROWTH_2YR" hidden="1">"c1767"</definedName>
    <definedName name="IQ_EST_EBITDA_GROWTH_2YR_CIQ" hidden="1">"c3696"</definedName>
    <definedName name="IQ_EST_EBITDA_GROWTH_2YR_REUT" hidden="1">"c3865"</definedName>
    <definedName name="IQ_EST_EBITDA_GROWTH_2YR_THOM" hidden="1">"c5162"</definedName>
    <definedName name="IQ_EST_EBITDA_GROWTH_Q_1YR" hidden="1">"c1768"</definedName>
    <definedName name="IQ_EST_EBITDA_GROWTH_Q_1YR_CIQ" hidden="1">"c3697"</definedName>
    <definedName name="IQ_EST_EBITDA_GROWTH_Q_1YR_REUT" hidden="1">"c3866"</definedName>
    <definedName name="IQ_EST_EBITDA_GROWTH_Q_1YR_THOM" hidden="1">"c5163"</definedName>
    <definedName name="IQ_EST_EBITDA_SBC_DIFF" hidden="1">"c4335"</definedName>
    <definedName name="IQ_EST_EBITDA_SBC_DIFF_CIQ_COL" hidden="1">"c11507"</definedName>
    <definedName name="IQ_EST_EBITDA_SBC_SURPRISE_PERCENT" hidden="1">"c4344"</definedName>
    <definedName name="IQ_EST_EBITDA_SBC_SURPRISE_PERCENT_CIQ_COL" hidden="1">"c11516"</definedName>
    <definedName name="IQ_EST_EBITDA_SEQ_GROWTH_Q" hidden="1">"c1769"</definedName>
    <definedName name="IQ_EST_EBITDA_SEQ_GROWTH_Q_CIQ" hidden="1">"c3698"</definedName>
    <definedName name="IQ_EST_EBITDA_SEQ_GROWTH_Q_REUT" hidden="1">"c3867"</definedName>
    <definedName name="IQ_EST_EBITDA_SEQ_GROWTH_Q_THOM" hidden="1">"c5164"</definedName>
    <definedName name="IQ_EST_EBITDA_SURPRISE_PERCENT" hidden="1">"c1868"</definedName>
    <definedName name="IQ_EST_EBITDA_SURPRISE_PERCENT_CIQ" hidden="1">"c3720"</definedName>
    <definedName name="IQ_EST_EBITDA_SURPRISE_PERCENT_REUT" hidden="1">"c3889"</definedName>
    <definedName name="IQ_EST_EBITDA_SURPRISE_PERCENT_THOM" hidden="1">"c5185"</definedName>
    <definedName name="IQ_EST_EBT_SBC_DIFF" hidden="1">"c4348"</definedName>
    <definedName name="IQ_EST_EBT_SBC_DIFF_CIQ_COL" hidden="1">"c11520"</definedName>
    <definedName name="IQ_EST_EBT_SBC_GW_DIFF" hidden="1">"c4352"</definedName>
    <definedName name="IQ_EST_EBT_SBC_GW_DIFF_CIQ_COL" hidden="1">"c11524"</definedName>
    <definedName name="IQ_EST_EBT_SBC_GW_SURPRISE_PERCENT" hidden="1">"c4361"</definedName>
    <definedName name="IQ_EST_EBT_SBC_GW_SURPRISE_PERCENT_CIQ_COL" hidden="1">"c11533"</definedName>
    <definedName name="IQ_EST_EBT_SBC_SURPRISE_PERCENT" hidden="1">"c4367"</definedName>
    <definedName name="IQ_EST_EBT_SBC_SURPRISE_PERCENT_CIQ_COL" hidden="1">"c11539"</definedName>
    <definedName name="IQ_EST_EPS_DIFF" hidden="1">"c1864"</definedName>
    <definedName name="IQ_EST_EPS_DIFF_CIQ" hidden="1">"c4999"</definedName>
    <definedName name="IQ_EST_EPS_DIFF_REUT" hidden="1">"c5458"</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CIQ" hidden="1">"c3689"</definedName>
    <definedName name="IQ_EST_EPS_GROWTH_2YR_REUT" hidden="1">"c3858"</definedName>
    <definedName name="IQ_EST_EPS_GROWTH_2YR_THOM" hidden="1">"c5154"</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HIGH_THOM" hidden="1">"c5101"</definedName>
    <definedName name="IQ_EST_EPS_GROWTH_5YR_LOW" hidden="1">"c1658"</definedName>
    <definedName name="IQ_EST_EPS_GROWTH_5YR_LOW_CIQ" hidden="1">"c4664"</definedName>
    <definedName name="IQ_EST_EPS_GROWTH_5YR_LOW_REUT" hidden="1">"c5323"</definedName>
    <definedName name="IQ_EST_EPS_GROWTH_5YR_LOW_THOM" hidden="1">"c5102"</definedName>
    <definedName name="IQ_EST_EPS_GROWTH_5YR_MEDIAN" hidden="1">"c1656"</definedName>
    <definedName name="IQ_EST_EPS_GROWTH_5YR_MEDIAN_CIQ" hidden="1">"c5480"</definedName>
    <definedName name="IQ_EST_EPS_GROWTH_5YR_MEDIAN_REUT" hidden="1">"c5321"</definedName>
    <definedName name="IQ_EST_EPS_GROWTH_5YR_MEDIAN_THOM" hidden="1">"c5100"</definedName>
    <definedName name="IQ_EST_EPS_GROWTH_5YR_NUM" hidden="1">"c1659"</definedName>
    <definedName name="IQ_EST_EPS_GROWTH_5YR_NUM_CIQ" hidden="1">"c4665"</definedName>
    <definedName name="IQ_EST_EPS_GROWTH_5YR_NUM_REUT" hidden="1">"c5324"</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BC_DIFF" hidden="1">"c4374"</definedName>
    <definedName name="IQ_EST_EPS_SBC_DIFF_CIQ_COL" hidden="1">"c11546"</definedName>
    <definedName name="IQ_EST_EPS_SBC_GW_DIFF" hidden="1">"c4378"</definedName>
    <definedName name="IQ_EST_EPS_SBC_GW_DIFF_CIQ_COL" hidden="1">"c11550"</definedName>
    <definedName name="IQ_EST_EPS_SBC_GW_SURPRISE_PERCENT" hidden="1">"c4387"</definedName>
    <definedName name="IQ_EST_EPS_SBC_GW_SURPRISE_PERCENT_CIQ_COL" hidden="1">"c11559"</definedName>
    <definedName name="IQ_EST_EPS_SBC_SURPRISE_PERCENT" hidden="1">"c4393"</definedName>
    <definedName name="IQ_EST_EPS_SBC_SURPRISE_PERCENT_CIQ_COL" hidden="1">"c11565"</definedName>
    <definedName name="IQ_EST_EPS_SEQ_GROWTH_Q" hidden="1">"c1764"</definedName>
    <definedName name="IQ_EST_EPS_SEQ_GROWTH_Q_CIQ" hidden="1">"c3690"</definedName>
    <definedName name="IQ_EST_EPS_SEQ_GROWTH_Q_REUT" hidden="1">"c3859"</definedName>
    <definedName name="IQ_EST_EPS_SEQ_GROWTH_Q_THOM" hidden="1">"c5156"</definedName>
    <definedName name="IQ_EST_EPS_SURPRISE" hidden="1">"c1635"</definedName>
    <definedName name="IQ_EST_EPS_SURPRISE_PERCENT" hidden="1">"c1635"</definedName>
    <definedName name="IQ_EST_EPS_SURPRISE_PERCENT_CIQ" hidden="1">"c5000"</definedName>
    <definedName name="IQ_EST_EPS_SURPRISE_PERCENT_REUT" hidden="1">"c5459"</definedName>
    <definedName name="IQ_EST_EPS_SURPRISE_PERCENT_THOM" hidden="1">"c5296"</definedName>
    <definedName name="IQ_EST_FAIR_VALUE_MORT_SERVICING_ASSETS_FFIEC" hidden="1">"c12956"</definedName>
    <definedName name="IQ_EST_FFO_ADJ_DIFF" hidden="1">"c4433"</definedName>
    <definedName name="IQ_EST_FFO_ADJ_DIFF_CIQ_COL" hidden="1">"c11605"</definedName>
    <definedName name="IQ_EST_FFO_ADJ_GROWTH_1YR" hidden="1">"c4421"</definedName>
    <definedName name="IQ_EST_FFO_ADJ_GROWTH_1YR_CIQ_COL" hidden="1">"c11593"</definedName>
    <definedName name="IQ_EST_FFO_ADJ_GROWTH_2YR" hidden="1">"c4422"</definedName>
    <definedName name="IQ_EST_FFO_ADJ_GROWTH_2YR_CIQ_COL" hidden="1">"c11594"</definedName>
    <definedName name="IQ_EST_FFO_ADJ_GROWTH_Q_1YR" hidden="1">"c4423"</definedName>
    <definedName name="IQ_EST_FFO_ADJ_GROWTH_Q_1YR_CIQ_COL" hidden="1">"c11595"</definedName>
    <definedName name="IQ_EST_FFO_ADJ_SEQ_GROWTH_Q" hidden="1">"c4424"</definedName>
    <definedName name="IQ_EST_FFO_ADJ_SEQ_GROWTH_Q_CIQ_COL" hidden="1">"c11596"</definedName>
    <definedName name="IQ_EST_FFO_ADJ_SURPRISE_PERCENT" hidden="1">"c4442"</definedName>
    <definedName name="IQ_EST_FFO_ADJ_SURPRISE_PERCENT_CIQ_COL" hidden="1">"c11614"</definedName>
    <definedName name="IQ_EST_FFO_DIFF" hidden="1">"c1869"</definedName>
    <definedName name="IQ_EST_FFO_DIFF_CIQ_COL" hidden="1">"c11616"</definedName>
    <definedName name="IQ_EST_FFO_DIFF_REUT" hidden="1">"c3890"</definedName>
    <definedName name="IQ_EST_FFO_DIFF_THOM" hidden="1">"c5186"</definedName>
    <definedName name="IQ_EST_FFO_GROWTH_1YR" hidden="1">"c1770"</definedName>
    <definedName name="IQ_EST_FFO_GROWTH_1YR_CIQ_COL" hidden="1">"c11597"</definedName>
    <definedName name="IQ_EST_FFO_GROWTH_1YR_REUT" hidden="1">"c3874"</definedName>
    <definedName name="IQ_EST_FFO_GROWTH_1YR_THOM" hidden="1">"c5170"</definedName>
    <definedName name="IQ_EST_FFO_GROWTH_2YR" hidden="1">"c1771"</definedName>
    <definedName name="IQ_EST_FFO_GROWTH_2YR_CIQ_COL" hidden="1">"c11598"</definedName>
    <definedName name="IQ_EST_FFO_GROWTH_2YR_REUT" hidden="1">"c3875"</definedName>
    <definedName name="IQ_EST_FFO_GROWTH_2YR_THOM" hidden="1">"c5171"</definedName>
    <definedName name="IQ_EST_FFO_GROWTH_Q_1YR" hidden="1">"c1772"</definedName>
    <definedName name="IQ_EST_FFO_GROWTH_Q_1YR_CIQ_COL" hidden="1">"c11599"</definedName>
    <definedName name="IQ_EST_FFO_GROWTH_Q_1YR_REUT" hidden="1">"c3876"</definedName>
    <definedName name="IQ_EST_FFO_GROWTH_Q_1YR_THOM" hidden="1">"c5172"</definedName>
    <definedName name="IQ_EST_FFO_SEQ_GROWTH_Q" hidden="1">"c1773"</definedName>
    <definedName name="IQ_EST_FFO_SEQ_GROWTH_Q_CIQ_COL" hidden="1">"c11600"</definedName>
    <definedName name="IQ_EST_FFO_SEQ_GROWTH_Q_REUT" hidden="1">"c3877"</definedName>
    <definedName name="IQ_EST_FFO_SEQ_GROWTH_Q_THOM" hidden="1">"c5173"</definedName>
    <definedName name="IQ_EST_FFO_SHARE_DIFF" hidden="1">"c1869"</definedName>
    <definedName name="IQ_EST_FFO_SHARE_DIFF_THOM" hidden="1">"c5186"</definedName>
    <definedName name="IQ_EST_FFO_SHARE_GROWTH_1YR" hidden="1">"c1770"</definedName>
    <definedName name="IQ_EST_FFO_SHARE_GROWTH_2YR" hidden="1">"c1771"</definedName>
    <definedName name="IQ_EST_FFO_SHARE_GROWTH_Q_1YR" hidden="1">"c1772"</definedName>
    <definedName name="IQ_EST_FFO_SHARE_SEQ_GROWTH_Q" hidden="1">"c1773"</definedName>
    <definedName name="IQ_EST_FFO_SHARE_SHARE_DIFF_THOM" hidden="1">"c5186"</definedName>
    <definedName name="IQ_EST_FFO_SHARE_SHARE_SURPRISE_PERCENT_THOM" hidden="1">"c5187"</definedName>
    <definedName name="IQ_EST_FFO_SHARE_SURPRISE_PERCENT" hidden="1">"c1870"</definedName>
    <definedName name="IQ_EST_FFO_SHARE_SURPRISE_PERCENT_THOM" hidden="1">"c5187"</definedName>
    <definedName name="IQ_EST_FFO_SURPRISE_PERCENT" hidden="1">"c1870"</definedName>
    <definedName name="IQ_EST_FFO_SURPRISE_PERCENT_CIQ_COL" hidden="1">"c11629"</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FOOTNOTE_THOM" hidden="1">"c5313"</definedName>
    <definedName name="IQ_EST_MAINT_CAPEX_DIFF" hidden="1">"c4456"</definedName>
    <definedName name="IQ_EST_MAINT_CAPEX_DIFF_CIQ_COL" hidden="1">"c11632"</definedName>
    <definedName name="IQ_EST_MAINT_CAPEX_GROWTH_1YR" hidden="1">"c4429"</definedName>
    <definedName name="IQ_EST_MAINT_CAPEX_GROWTH_1YR_CIQ_COL" hidden="1">"c11601"</definedName>
    <definedName name="IQ_EST_MAINT_CAPEX_GROWTH_2YR" hidden="1">"c4430"</definedName>
    <definedName name="IQ_EST_MAINT_CAPEX_GROWTH_2YR_CIQ_COL" hidden="1">"c11602"</definedName>
    <definedName name="IQ_EST_MAINT_CAPEX_GROWTH_Q_1YR" hidden="1">"c4431"</definedName>
    <definedName name="IQ_EST_MAINT_CAPEX_GROWTH_Q_1YR_CIQ_COL" hidden="1">"c11603"</definedName>
    <definedName name="IQ_EST_MAINT_CAPEX_SEQ_GROWTH_Q" hidden="1">"c4432"</definedName>
    <definedName name="IQ_EST_MAINT_CAPEX_SEQ_GROWTH_Q_CIQ_COL" hidden="1">"c11604"</definedName>
    <definedName name="IQ_EST_MAINT_CAPEX_SURPRISE_PERCENT" hidden="1">"c4465"</definedName>
    <definedName name="IQ_EST_MAINT_CAPEX_SURPRISE_PERCENT_CIQ_COL" hidden="1">"c11650"</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SURPRISE_PERCENT" hidden="1">"c4468"</definedName>
    <definedName name="IQ_EST_NEXT_EARNINGS_DATE" hidden="1">"c13591"</definedName>
    <definedName name="IQ_EST_NI_DIFF" hidden="1">"c1885"</definedName>
    <definedName name="IQ_EST_NI_DIFF_REUT" hidden="1">"c5423"</definedName>
    <definedName name="IQ_EST_NI_DIFF_THOM" hidden="1">"c5198"</definedName>
    <definedName name="IQ_EST_NI_GW_DIFF" hidden="1">"c1887"</definedName>
    <definedName name="IQ_EST_NI_GW_DIFF_REUT" hidden="1">"c5425"</definedName>
    <definedName name="IQ_EST_NI_GW_SURPRISE_PERCENT" hidden="1">"c1888"</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DIFF_CIQ_COL" hidden="1">"c11657"</definedName>
    <definedName name="IQ_EST_NI_SBC_GW_DIFF" hidden="1">"c4476"</definedName>
    <definedName name="IQ_EST_NI_SBC_GW_DIFF_CIQ_COL" hidden="1">"c11661"</definedName>
    <definedName name="IQ_EST_NI_SBC_GW_SURPRISE_PERCENT" hidden="1">"c4485"</definedName>
    <definedName name="IQ_EST_NI_SBC_GW_SURPRISE_PERCENT_CIQ_COL" hidden="1">"c11670"</definedName>
    <definedName name="IQ_EST_NI_SBC_SURPRISE_PERCENT" hidden="1">"c4491"</definedName>
    <definedName name="IQ_EST_NI_SBC_SURPRISE_PERCENT_CIQ_COL" hidden="1">"c11676"</definedName>
    <definedName name="IQ_EST_NI_SURPRISE_PERCENT" hidden="1">"c1886"</definedName>
    <definedName name="IQ_EST_NI_SURPRISE_PERCENT_REUT" hidden="1">"c5424"</definedName>
    <definedName name="IQ_EST_NI_SURPRISE_PERCENT_THOM" hidden="1">"c5199"</definedName>
    <definedName name="IQ_EST_NUM_BUY" hidden="1">"c1759"</definedName>
    <definedName name="IQ_EST_NUM_BUY_REUT" hidden="1">"c3869"</definedName>
    <definedName name="IQ_EST_NUM_HIGH_REC" hidden="1">"c5649"</definedName>
    <definedName name="IQ_EST_NUM_HIGH_REC_CIQ" hidden="1">"c3701"</definedName>
    <definedName name="IQ_EST_NUM_HIGH_REC_REUT" hidden="1">"c3870"</definedName>
    <definedName name="IQ_EST_NUM_HIGH_REC_THOM" hidden="1">"c5166"</definedName>
    <definedName name="IQ_EST_NUM_HIGHEST_REC" hidden="1">"c5648"</definedName>
    <definedName name="IQ_EST_NUM_HIGHEST_REC_CIQ" hidden="1">"c3700"</definedName>
    <definedName name="IQ_EST_NUM_HIGHEST_REC_REUT" hidden="1">"c3869"</definedName>
    <definedName name="IQ_EST_NUM_HIGHEST_REC_THOM" hidden="1">"c5165"</definedName>
    <definedName name="IQ_EST_NUM_HOLD" hidden="1">"c1761"</definedName>
    <definedName name="IQ_EST_NUM_HOLD_REUT" hidden="1">"c3871"</definedName>
    <definedName name="IQ_EST_NUM_LOW_REC" hidden="1">"c5651"</definedName>
    <definedName name="IQ_EST_NUM_LOW_REC_CIQ" hidden="1">"c3703"</definedName>
    <definedName name="IQ_EST_NUM_LOW_REC_REUT" hidden="1">"c3872"</definedName>
    <definedName name="IQ_EST_NUM_LOW_REC_THOM" hidden="1">"c5168"</definedName>
    <definedName name="IQ_EST_NUM_LOWEST_REC" hidden="1">"c5652"</definedName>
    <definedName name="IQ_EST_NUM_LOWEST_REC_CIQ" hidden="1">"c3704"</definedName>
    <definedName name="IQ_EST_NUM_LOWEST_REC_REUT" hidden="1">"c3873"</definedName>
    <definedName name="IQ_EST_NUM_LOWEST_REC_THOM" hidden="1">"c5169"</definedName>
    <definedName name="IQ_EST_NUM_NEUTRAL_REC" hidden="1">"c5650"</definedName>
    <definedName name="IQ_EST_NUM_NEUTRAL_REC_CIQ" hidden="1">"c3702"</definedName>
    <definedName name="IQ_EST_NUM_NEUTRAL_REC_REUT" hidden="1">"c3871"</definedName>
    <definedName name="IQ_EST_NUM_NEUTRAL_REC_THOM" hidden="1">"c5167"</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OUTPERFORM_REUT" hidden="1">"c3870"</definedName>
    <definedName name="IQ_EST_NUM_SELL" hidden="1">"c1763"</definedName>
    <definedName name="IQ_EST_NUM_SELL_REUT" hidden="1">"c3873"</definedName>
    <definedName name="IQ_EST_NUM_UNDERPERFORM" hidden="1">"c1762"</definedName>
    <definedName name="IQ_EST_NUM_UNDERPERFORM_REUT" hidden="1">"c3872"</definedName>
    <definedName name="IQ_EST_OPER_INC_DIFF" hidden="1">"c1877"</definedName>
    <definedName name="IQ_EST_OPER_INC_DIFF_REUT" hidden="1">"c5415"</definedName>
    <definedName name="IQ_EST_OPER_INC_DIFF_THOM" hidden="1">"c5194"</definedName>
    <definedName name="IQ_EST_OPER_INC_SURPRISE_PERCENT" hidden="1">"c1878"</definedName>
    <definedName name="IQ_EST_OPER_INC_SURPRISE_PERCENT_REUT" hidden="1">"c5416"</definedName>
    <definedName name="IQ_EST_OPER_INC_SURPRISE_PERCENT_THOM" hidden="1">"c5195"</definedName>
    <definedName name="IQ_EST_PERIOD_ID" hidden="1">"c13923"</definedName>
    <definedName name="IQ_EST_PRE_TAX_DIFF" hidden="1">"c1879"</definedName>
    <definedName name="IQ_EST_PRE_TAX_DIFF_REUT" hidden="1">"c5417"</definedName>
    <definedName name="IQ_EST_PRE_TAX_DIFF_THOM" hidden="1">"c5196"</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PRE_TAX_SURPRISE_PERCENT_THOM" hidden="1">"c5197"</definedName>
    <definedName name="IQ_EST_RECURRING_PROFIT_SHARE_DIFF" hidden="1">"c4505"</definedName>
    <definedName name="IQ_EST_RECURRING_PROFIT_SHARE_DIFF_CIQ_COL" hidden="1">"c11690"</definedName>
    <definedName name="IQ_EST_RECURRING_PROFIT_SHARE_SURPRISE_PERCENT" hidden="1">"c4515"</definedName>
    <definedName name="IQ_EST_RECURRING_PROFIT_SHARE_SURPRISE_PERCENT_CIQ_COL" hidden="1">"c11700"</definedName>
    <definedName name="IQ_EST_REV_DIFF" hidden="1">"c1865"</definedName>
    <definedName name="IQ_EST_REV_DIFF_CIQ" hidden="1">"c3717"</definedName>
    <definedName name="IQ_EST_REV_DIFF_REUT" hidden="1">"c3886"</definedName>
    <definedName name="IQ_EST_REV_DIFF_THOM" hidden="1">"c5182"</definedName>
    <definedName name="IQ_EST_REV_GROWTH_1YR" hidden="1">"c1638"</definedName>
    <definedName name="IQ_EST_REV_GROWTH_1YR_CIQ" hidden="1">"c3691"</definedName>
    <definedName name="IQ_EST_REV_GROWTH_1YR_REUT" hidden="1">"c3860"</definedName>
    <definedName name="IQ_EST_REV_GROWTH_1YR_THOM" hidden="1">"c5157"</definedName>
    <definedName name="IQ_EST_REV_GROWTH_2YR" hidden="1">"c1639"</definedName>
    <definedName name="IQ_EST_REV_GROWTH_2YR_CIQ" hidden="1">"c3692"</definedName>
    <definedName name="IQ_EST_REV_GROWTH_2YR_REUT" hidden="1">"c3861"</definedName>
    <definedName name="IQ_EST_REV_GROWTH_2YR_THOM" hidden="1">"c5158"</definedName>
    <definedName name="IQ_EST_REV_GROWTH_Q_1YR" hidden="1">"c1640"</definedName>
    <definedName name="IQ_EST_REV_GROWTH_Q_1YR_CIQ" hidden="1">"c3693"</definedName>
    <definedName name="IQ_EST_REV_GROWTH_Q_1YR_REUT" hidden="1">"c3862"</definedName>
    <definedName name="IQ_EST_REV_GROWTH_Q_1YR_THOM" hidden="1">"c5159"</definedName>
    <definedName name="IQ_EST_REV_SEQ_GROWTH_Q" hidden="1">"c1765"</definedName>
    <definedName name="IQ_EST_REV_SEQ_GROWTH_Q_CIQ" hidden="1">"c3694"</definedName>
    <definedName name="IQ_EST_REV_SEQ_GROWTH_Q_REUT" hidden="1">"c3863"</definedName>
    <definedName name="IQ_EST_REV_SEQ_GROWTH_Q_THOM" hidden="1">"c5160"</definedName>
    <definedName name="IQ_EST_REV_SURPRISE_PERCENT" hidden="1">"c1866"</definedName>
    <definedName name="IQ_EST_REV_SURPRISE_PERCENT_CIQ" hidden="1">"c3718"</definedName>
    <definedName name="IQ_EST_REV_SURPRISE_PERCENT_REUT" hidden="1">"c3887"</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DATE" hidden="1">"c13819"</definedName>
    <definedName name="IQ_EVENT_EMAIL" hidden="1">"c19162"</definedName>
    <definedName name="IQ_EVENT_ID" hidden="1">"c13818"</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VENT_TIME" hidden="1">"c13820"</definedName>
    <definedName name="IQ_EVENT_TYPE" hidden="1">"c13821"</definedName>
    <definedName name="IQ_EXCEL_DATA_METHOD" hidden="1">"c16229"</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IMBURSE_RENTAL_REVENUE" hidden="1">"c16064"</definedName>
    <definedName name="IQ_EXP_RETURN_PENSION_DOMESTIC" hidden="1">"c407"</definedName>
    <definedName name="IQ_EXP_RETURN_PENSION_FOREIGN" hidden="1">"c408"</definedName>
    <definedName name="IQ_EXPENSE_CODE_" hidden="1">"PwC UK Website Access"</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DEBT" hidden="1">"c16007"</definedName>
    <definedName name="IQ_FAIR_VALUE_FDIC" hidden="1">"c6427"</definedName>
    <definedName name="IQ_FAIR_VALUE_FIN_INSTRUMENTS_NAV" hidden="1">"c16002"</definedName>
    <definedName name="IQ_FAIR_VALUE_FIN_INSTRUMENTS_NNAV" hidden="1">"c16006"</definedName>
    <definedName name="IQ_FAIR_VALUE_TRADING_PROP" hidden="1">"c16001"</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DIC_CERT_NUMBER_FFIEC" hidden="1">"c20507"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AVAIL" hidden="1">"c2523"</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PURCHASED_RELATED" hidden="1">"c19132"</definedName>
    <definedName name="IQ_FEDFUNDS_SOLD" hidden="1">"c2256"</definedName>
    <definedName name="IQ_FEDFUNDS_SOLD_RELATED" hidden="1">"c19130"</definedName>
    <definedName name="IQ_FEES_COMMISSIONS_BROKERAGE_FFIEC" hidden="1">"c13005"</definedName>
    <definedName name="IQ_FEES_OTHER_INCOME" hidden="1">"c15257"</definedName>
    <definedName name="IQ_FFO" hidden="1">"c1574"</definedName>
    <definedName name="IQ_FFO_ACT_OR_EST" hidden="1">"c2216"</definedName>
    <definedName name="IQ_FFO_ADJ_ACT_OR_EST" hidden="1">"c4435"</definedName>
    <definedName name="IQ_FFO_ADJ_ACT_OR_EST_CIQ" hidden="1">"c4960"</definedName>
    <definedName name="IQ_FFO_ADJ_ACT_OR_EST_CIQ_COL" hidden="1">"c11607"</definedName>
    <definedName name="IQ_FFO_ADJ_EST" hidden="1">"c4434"</definedName>
    <definedName name="IQ_FFO_ADJ_EST_CIQ" hidden="1">"c4959"</definedName>
    <definedName name="IQ_FFO_ADJ_GUIDANCE_CIQ" hidden="1">"c4961"</definedName>
    <definedName name="IQ_FFO_ADJ_GUIDANCE_CIQ_COL" hidden="1">"c11608"</definedName>
    <definedName name="IQ_FFO_ADJ_HIGH_EST" hidden="1">"c4437"</definedName>
    <definedName name="IQ_FFO_ADJ_HIGH_EST_CIQ" hidden="1">"c4962"</definedName>
    <definedName name="IQ_FFO_ADJ_HIGH_GUIDANCE_CIQ" hidden="1">"c4614"</definedName>
    <definedName name="IQ_FFO_ADJ_HIGH_GUIDANCE_CIQ_COL" hidden="1">"c11263"</definedName>
    <definedName name="IQ_FFO_ADJ_LOW_EST" hidden="1">"c4438"</definedName>
    <definedName name="IQ_FFO_ADJ_LOW_EST_CIQ" hidden="1">"c4963"</definedName>
    <definedName name="IQ_FFO_ADJ_LOW_GUIDANCE_CIQ" hidden="1">"c4654"</definedName>
    <definedName name="IQ_FFO_ADJ_LOW_GUIDANCE_CIQ_COL" hidden="1">"c11303"</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DILUTED" hidden="1">"c16186"</definedName>
    <definedName name="IQ_FFO_EST" hidden="1">"c418"</definedName>
    <definedName name="IQ_FFO_EST_CIQ" hidden="1">"c3668"</definedName>
    <definedName name="IQ_FFO_EST_CIQ_COL" hidden="1">"c11617"</definedName>
    <definedName name="IQ_FFO_EST_DET_EST" hidden="1">"c12059"</definedName>
    <definedName name="IQ_FFO_EST_DET_EST_CURRENCY" hidden="1">"c12466"</definedName>
    <definedName name="IQ_FFO_EST_DET_EST_CURRENCY_THOM" hidden="1">"c12487"</definedName>
    <definedName name="IQ_FFO_EST_DET_EST_DATE" hidden="1">"c12212"</definedName>
    <definedName name="IQ_FFO_EST_DET_EST_DATE_THOM" hidden="1">"c12238"</definedName>
    <definedName name="IQ_FFO_EST_DET_EST_INCL" hidden="1">"c12349"</definedName>
    <definedName name="IQ_FFO_EST_DET_EST_INCL_THOM" hidden="1">"c12370"</definedName>
    <definedName name="IQ_FFO_EST_DET_EST_ORIGIN" hidden="1">"c12722"</definedName>
    <definedName name="IQ_FFO_EST_DET_EST_ORIGIN_THOM" hidden="1">"c12608"</definedName>
    <definedName name="IQ_FFO_EST_DET_EST_THOM" hidden="1">"c12088"</definedName>
    <definedName name="IQ_FFO_EST_REUT" hidden="1">"c3837"</definedName>
    <definedName name="IQ_FFO_EST_THOM" hidden="1">"c3999"</definedName>
    <definedName name="IQ_FFO_GUIDANCE_CIQ" hidden="1">"c4968"</definedName>
    <definedName name="IQ_FFO_GUIDANCE_CIQ_COL" hidden="1">"c11615"</definedName>
    <definedName name="IQ_FFO_HIGH_EST" hidden="1">"c419"</definedName>
    <definedName name="IQ_FFO_HIGH_EST_CIQ" hidden="1">"c3670"</definedName>
    <definedName name="IQ_FFO_HIGH_EST_CIQ_COL" hidden="1">"c11624"</definedName>
    <definedName name="IQ_FFO_HIGH_EST_REUT" hidden="1">"c3839"</definedName>
    <definedName name="IQ_FFO_HIGH_EST_THOM" hidden="1">"c4001"</definedName>
    <definedName name="IQ_FFO_HIGH_GUIDANCE_CIQ" hidden="1">"c4596"</definedName>
    <definedName name="IQ_FFO_HIGH_GUIDANCE_CIQ_COL" hidden="1">"c11245"</definedName>
    <definedName name="IQ_FFO_LOW_EST" hidden="1">"c420"</definedName>
    <definedName name="IQ_FFO_LOW_EST_CIQ" hidden="1">"c3671"</definedName>
    <definedName name="IQ_FFO_LOW_EST_CIQ_COL" hidden="1">"c11625"</definedName>
    <definedName name="IQ_FFO_LOW_EST_REUT" hidden="1">"c3840"</definedName>
    <definedName name="IQ_FFO_LOW_EST_THOM" hidden="1">"c4002"</definedName>
    <definedName name="IQ_FFO_LOW_GUIDANCE_CIQ" hidden="1">"c4636"</definedName>
    <definedName name="IQ_FFO_LOW_GUIDANCE_CIQ_COL" hidden="1">"c11285"</definedName>
    <definedName name="IQ_FFO_MEDIAN_EST" hidden="1">"c1665"</definedName>
    <definedName name="IQ_FFO_MEDIAN_EST_CIQ" hidden="1">"c3669"</definedName>
    <definedName name="IQ_FFO_MEDIAN_EST_CIQ_COL" hidden="1">"c11626"</definedName>
    <definedName name="IQ_FFO_MEDIAN_EST_REUT" hidden="1">"c3838"</definedName>
    <definedName name="IQ_FFO_MEDIAN_EST_THOM" hidden="1">"c4000"</definedName>
    <definedName name="IQ_FFO_NUM_EST" hidden="1">"c421"</definedName>
    <definedName name="IQ_FFO_NUM_EST_CIQ" hidden="1">"c3672"</definedName>
    <definedName name="IQ_FFO_NUM_EST_CIQ_COL" hidden="1">"c11627"</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"c2216"</definedName>
    <definedName name="IQ_FFO_SHARE_ACT_OR_EST_CIQ" hidden="1">"c4971"</definedName>
    <definedName name="IQ_FFO_SHARE_ACT_OR_EST_CIQ_COL" hidden="1">"c11618"</definedName>
    <definedName name="IQ_FFO_SHARE_EST" hidden="1">"c418"</definedName>
    <definedName name="IQ_FFO_SHARE_EST_DET_EST" hidden="1">"c12059"</definedName>
    <definedName name="IQ_FFO_SHARE_EST_DET_EST_CURRENCY" hidden="1">"c12466"</definedName>
    <definedName name="IQ_FFO_SHARE_EST_DET_EST_CURRENCY_THOM" hidden="1">"c12487"</definedName>
    <definedName name="IQ_FFO_SHARE_EST_DET_EST_DATE" hidden="1">"c12212"</definedName>
    <definedName name="IQ_FFO_SHARE_EST_DET_EST_DATE_THOM" hidden="1">"c12238"</definedName>
    <definedName name="IQ_FFO_SHARE_EST_DET_EST_INCL" hidden="1">"c12349"</definedName>
    <definedName name="IQ_FFO_SHARE_EST_DET_EST_INCL_THOM" hidden="1">"c12370"</definedName>
    <definedName name="IQ_FFO_SHARE_EST_DET_EST_ORIGIN" hidden="1">"c12722"</definedName>
    <definedName name="IQ_FFO_SHARE_EST_DET_EST_ORIGIN_THOM" hidden="1">"c12608"</definedName>
    <definedName name="IQ_FFO_SHARE_EST_DET_EST_THOM" hidden="1">"c12088"</definedName>
    <definedName name="IQ_FFO_SHARE_EST_DOWN_2MONTH" hidden="1">"c16585"</definedName>
    <definedName name="IQ_FFO_SHARE_EST_DOWN_2MONTH_THOM" hidden="1">"c17401"</definedName>
    <definedName name="IQ_FFO_SHARE_EST_DOWN_3MONTH" hidden="1">"c16589"</definedName>
    <definedName name="IQ_FFO_SHARE_EST_DOWN_3MONTH_THOM" hidden="1">"c17405"</definedName>
    <definedName name="IQ_FFO_SHARE_EST_DOWN_MONTH" hidden="1">"c16581"</definedName>
    <definedName name="IQ_FFO_SHARE_EST_DOWN_MONTH_THOM" hidden="1">"c17397"</definedName>
    <definedName name="IQ_FFO_SHARE_EST_NUM_ANALYSTS_2MONTH" hidden="1">"c16583"</definedName>
    <definedName name="IQ_FFO_SHARE_EST_NUM_ANALYSTS_2MONTH_THOM" hidden="1">"c17399"</definedName>
    <definedName name="IQ_FFO_SHARE_EST_NUM_ANALYSTS_3MONTH" hidden="1">"c16587"</definedName>
    <definedName name="IQ_FFO_SHARE_EST_NUM_ANALYSTS_3MONTH_THOM" hidden="1">"c17403"</definedName>
    <definedName name="IQ_FFO_SHARE_EST_NUM_ANALYSTS_MONTH" hidden="1">"c16579"</definedName>
    <definedName name="IQ_FFO_SHARE_EST_NUM_ANALYSTS_MONTH_THOM" hidden="1">"c17395"</definedName>
    <definedName name="IQ_FFO_SHARE_EST_THOM" hidden="1">"c3999"</definedName>
    <definedName name="IQ_FFO_SHARE_EST_TOTAL_REVISED_2MONTH" hidden="1">"c16586"</definedName>
    <definedName name="IQ_FFO_SHARE_EST_TOTAL_REVISED_2MONTH_THOM" hidden="1">"c17402"</definedName>
    <definedName name="IQ_FFO_SHARE_EST_TOTAL_REVISED_3MONTH" hidden="1">"c16590"</definedName>
    <definedName name="IQ_FFO_SHARE_EST_TOTAL_REVISED_3MONTH_THOM" hidden="1">"c17406"</definedName>
    <definedName name="IQ_FFO_SHARE_EST_TOTAL_REVISED_MONTH" hidden="1">"c16582"</definedName>
    <definedName name="IQ_FFO_SHARE_EST_TOTAL_REVISED_MONTH_THOM" hidden="1">"c17398"</definedName>
    <definedName name="IQ_FFO_SHARE_EST_UP_2MONTH" hidden="1">"c16584"</definedName>
    <definedName name="IQ_FFO_SHARE_EST_UP_2MONTH_THOM" hidden="1">"c17400"</definedName>
    <definedName name="IQ_FFO_SHARE_EST_UP_3MONTH" hidden="1">"c16588"</definedName>
    <definedName name="IQ_FFO_SHARE_EST_UP_3MONTH_THOM" hidden="1">"c17404"</definedName>
    <definedName name="IQ_FFO_SHARE_EST_UP_MONTH" hidden="1">"c16580"</definedName>
    <definedName name="IQ_FFO_SHARE_EST_UP_MONTH_THOM" hidden="1">"c17396"</definedName>
    <definedName name="IQ_FFO_SHARE_GUIDANCE_CIQ" hidden="1">"c4976"</definedName>
    <definedName name="IQ_FFO_SHARE_GUIDANCE_CIQ_COL" hidden="1">"c11623"</definedName>
    <definedName name="IQ_FFO_SHARE_HIGH_EST" hidden="1">"c419"</definedName>
    <definedName name="IQ_FFO_SHARE_HIGH_EST_THOM" hidden="1">"c4001"</definedName>
    <definedName name="IQ_FFO_SHARE_HIGH_GUIDANCE_CIQ" hidden="1">"c4615"</definedName>
    <definedName name="IQ_FFO_SHARE_HIGH_GUIDANCE_CIQ_COL" hidden="1">"c11264"</definedName>
    <definedName name="IQ_FFO_SHARE_LOW_EST" hidden="1">"c420"</definedName>
    <definedName name="IQ_FFO_SHARE_LOW_EST_THOM" hidden="1">"c4002"</definedName>
    <definedName name="IQ_FFO_SHARE_LOW_GUIDANCE_CIQ" hidden="1">"c4655"</definedName>
    <definedName name="IQ_FFO_SHARE_LOW_GUIDANCE_CIQ_COL" hidden="1">"c11304"</definedName>
    <definedName name="IQ_FFO_SHARE_MEDIAN_EST" hidden="1">"c1665"</definedName>
    <definedName name="IQ_FFO_SHARE_MEDIAN_EST_THOM" hidden="1">"c4000"</definedName>
    <definedName name="IQ_FFO_SHARE_NUM_EST" hidden="1">"c421"</definedName>
    <definedName name="IQ_FFO_SHARE_NUM_EST_THOM" hidden="1">"c4003"</definedName>
    <definedName name="IQ_FFO_SHARE_SHARE_EST_DET_EST" hidden="1">"c12059"</definedName>
    <definedName name="IQ_FFO_SHARE_SHARE_EST_DET_EST_CURRENCY" hidden="1">"c12466"</definedName>
    <definedName name="IQ_FFO_SHARE_SHARE_EST_DET_EST_CURRENCY_THOM" hidden="1">"c12487"</definedName>
    <definedName name="IQ_FFO_SHARE_SHARE_EST_DET_EST_DATE" hidden="1">"c12212"</definedName>
    <definedName name="IQ_FFO_SHARE_SHARE_EST_DET_EST_DATE_THOM" hidden="1">"c12238"</definedName>
    <definedName name="IQ_FFO_SHARE_SHARE_EST_DET_EST_INCL" hidden="1">"c12349"</definedName>
    <definedName name="IQ_FFO_SHARE_SHARE_EST_DET_EST_INCL_THOM" hidden="1">"c12370"</definedName>
    <definedName name="IQ_FFO_SHARE_SHARE_EST_DET_EST_ORIGIN" hidden="1">"c12722"</definedName>
    <definedName name="IQ_FFO_SHARE_SHARE_EST_DET_EST_ORIGIN_THOM" hidden="1">"c12608"</definedName>
    <definedName name="IQ_FFO_SHARE_SHARE_EST_DET_EST_THOM" hidden="1">"c12088"</definedName>
    <definedName name="IQ_FFO_SHARE_SHARE_EST_THOM" hidden="1">"c3999"</definedName>
    <definedName name="IQ_FFO_SHARE_SHARE_HIGH_EST_THOM" hidden="1">"c4001"</definedName>
    <definedName name="IQ_FFO_SHARE_SHARE_LOW_EST_THOM" hidden="1">"c4002"</definedName>
    <definedName name="IQ_FFO_SHARE_SHARE_MEDIAN_EST_THOM" hidden="1">"c4000"</definedName>
    <definedName name="IQ_FFO_SHARE_SHARE_NUM_EST_THOM" hidden="1">"c4003"</definedName>
    <definedName name="IQ_FFO_SHARE_SHARE_STDDEV_EST_THOM" hidden="1">"c4004"</definedName>
    <definedName name="IQ_FFO_SHARE_STDDEV_EST" hidden="1">"c422"</definedName>
    <definedName name="IQ_FFO_SHARE_STDDEV_EST_THOM" hidden="1">"c4004"</definedName>
    <definedName name="IQ_FFO_SHARES_BASIC" hidden="1">"c16185"</definedName>
    <definedName name="IQ_FFO_SHARES_DILUTED" hidden="1">"c16187"</definedName>
    <definedName name="IQ_FFO_STDDEV_EST" hidden="1">"c422"</definedName>
    <definedName name="IQ_FFO_STDDEV_EST_CIQ" hidden="1">"c3673"</definedName>
    <definedName name="IQ_FFO_STDDEV_EST_CIQ_COL" hidden="1">"c11628"</definedName>
    <definedName name="IQ_FFO_STDDEV_EST_REUT" hidden="1">"c3842"</definedName>
    <definedName name="IQ_FFO_STDDEV_EST_THOM" hidden="1">"c4004"</definedName>
    <definedName name="IQ_FFO_TOTAL_REVENUE" hidden="1">"c16060"</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ARCHITECTURE" hidden="1">"c20386"</definedName>
    <definedName name="IQ_FIN_COLLECTION_ID" hidden="1">"c13922"</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_INSTANCE_ID" hidden="1">"c13921"</definedName>
    <definedName name="IQ_FIN_PERIOD_ID" hidden="1">"c13920"</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CIQ_COL" hidden="1">"c11741"</definedName>
    <definedName name="IQ_FISCAL_Q_EST_THOM" hidden="1">"c6802"</definedName>
    <definedName name="IQ_FISCAL_Y" hidden="1">"c441"</definedName>
    <definedName name="IQ_FISCAL_Y_EST" hidden="1">"c6795"</definedName>
    <definedName name="IQ_FISCAL_Y_EST_CIQ" hidden="1">"c6807"</definedName>
    <definedName name="IQ_FISCAL_Y_EST_CIQ_COL" hidden="1">"c11742"</definedName>
    <definedName name="IQ_FISCAL_Y_EST_THOM" hidden="1">"c6803"</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 hidden="1">"c17421"</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OTAL_DEPOSITS" hidden="1">"c15719"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REIGN_LOANS_TOTAL_LOANS" hidden="1">"c15714"</definedName>
    <definedName name="IQ_FOUNDATION_OVER_TOTAL" hidden="1">"c13769"</definedName>
    <definedName name="IQ_FQ" hidden="1">500</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ANALYSIS" hidden="1">"c19198"</definedName>
    <definedName name="IQ_FUND_AUTHORIZED_SALE" hidden="1">"c19199"</definedName>
    <definedName name="IQ_FUND_BENCHMARK" hidden="1">"c19200"</definedName>
    <definedName name="IQ_FUND_BENCHMARK_ID" hidden="1">"c19201"</definedName>
    <definedName name="IQ_FUND_DISCOUNT_OR_PREMIUM" hidden="1">"c19242"</definedName>
    <definedName name="IQ_FUND_FEE_INC_NON_INT_INC_FFIEC" hidden="1">"c13493"</definedName>
    <definedName name="IQ_FUND_GEOGRAPHIC_MANDATE" hidden="1">"c19195"</definedName>
    <definedName name="IQ_FUND_MARKET_CAP_EMPHASIS" hidden="1">"c19197"</definedName>
    <definedName name="IQ_FUND_NAV" hidden="1">"c15225"</definedName>
    <definedName name="IQ_FUND_PRIMARY_ADVISOR" hidden="1">"c19091"</definedName>
    <definedName name="IQ_FUND_SECTOR_EMPHASIS" hidden="1">"c19196"</definedName>
    <definedName name="IQ_FUND_VEHICLE_TYPE" hidden="1">"c19194"</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COMBINED_RATIO" hidden="1">"c2781"</definedName>
    <definedName name="IQ_GAAP_COMBINED_RATIO_EXCL_CL" hidden="1">"c2782"</definedName>
    <definedName name="IQ_GAAP_EST_CIQ" hidden="1">"c13924"</definedName>
    <definedName name="IQ_GAAP_EXPENSE_RATIO" hidden="1">"c2780"</definedName>
    <definedName name="IQ_GAAP_IS" hidden="1">"c6194"</definedName>
    <definedName name="IQ_GAAP_LOSS" hidden="1">"c2779"</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"c17750"</definedName>
    <definedName name="IQ_GROSS_INTAN_ASSETS" hidden="1">"c17748"</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MARGIN_ACT_OR_EST" hidden="1">"c5554"</definedName>
    <definedName name="IQ_GROSS_MARGIN_ACT_OR_EST_THOM" hidden="1">"c5562"</definedName>
    <definedName name="IQ_GROSS_MARGIN_DET_EST_DATE_THOM" hidden="1">"c12239"</definedName>
    <definedName name="IQ_GROSS_MARGIN_DET_EST_INCL_THOM" hidden="1">"c12371"</definedName>
    <definedName name="IQ_GROSS_MARGIN_DET_EST_NOTE_THOM" hidden="1">"c17595"</definedName>
    <definedName name="IQ_GROSS_MARGIN_DET_EST_ORIGIN_THOM" hidden="1">"c12609"</definedName>
    <definedName name="IQ_GROSS_MARGIN_DET_EST_THOM" hidden="1">"c12089"</definedName>
    <definedName name="IQ_GROSS_MARGIN_EST" hidden="1">"c5547"</definedName>
    <definedName name="IQ_GROSS_MARGIN_EST_DOWN_2MONTH" hidden="1">"c16381"</definedName>
    <definedName name="IQ_GROSS_MARGIN_EST_DOWN_2MONTH_THOM" hidden="1">"c17245"</definedName>
    <definedName name="IQ_GROSS_MARGIN_EST_DOWN_3MONTH" hidden="1">"c16385"</definedName>
    <definedName name="IQ_GROSS_MARGIN_EST_DOWN_3MONTH_THOM" hidden="1">"c17249"</definedName>
    <definedName name="IQ_GROSS_MARGIN_EST_DOWN_MONTH" hidden="1">"c16377"</definedName>
    <definedName name="IQ_GROSS_MARGIN_EST_DOWN_MONTH_THOM" hidden="1">"c17241"</definedName>
    <definedName name="IQ_GROSS_MARGIN_EST_NUM_ANALYSTS_2MONTH" hidden="1">"c16379"</definedName>
    <definedName name="IQ_GROSS_MARGIN_EST_NUM_ANALYSTS_2MONTH_THOM" hidden="1">"c17243"</definedName>
    <definedName name="IQ_GROSS_MARGIN_EST_NUM_ANALYSTS_3MONTH" hidden="1">"c16383"</definedName>
    <definedName name="IQ_GROSS_MARGIN_EST_NUM_ANALYSTS_3MONTH_THOM" hidden="1">"c17247"</definedName>
    <definedName name="IQ_GROSS_MARGIN_EST_NUM_ANALYSTS_MONTH" hidden="1">"c16375"</definedName>
    <definedName name="IQ_GROSS_MARGIN_EST_NUM_ANALYSTS_MONTH_THOM" hidden="1">"c17239"</definedName>
    <definedName name="IQ_GROSS_MARGIN_EST_THOM" hidden="1">"c5555"</definedName>
    <definedName name="IQ_GROSS_MARGIN_EST_TOTAL_REVISED_2MONTH" hidden="1">"c16382"</definedName>
    <definedName name="IQ_GROSS_MARGIN_EST_TOTAL_REVISED_2MONTH_THOM" hidden="1">"c17246"</definedName>
    <definedName name="IQ_GROSS_MARGIN_EST_TOTAL_REVISED_3MONTH" hidden="1">"c16386"</definedName>
    <definedName name="IQ_GROSS_MARGIN_EST_TOTAL_REVISED_3MONTH_THOM" hidden="1">"c17250"</definedName>
    <definedName name="IQ_GROSS_MARGIN_EST_TOTAL_REVISED_MONTH" hidden="1">"c16378"</definedName>
    <definedName name="IQ_GROSS_MARGIN_EST_TOTAL_REVISED_MONTH_THOM" hidden="1">"c17242"</definedName>
    <definedName name="IQ_GROSS_MARGIN_EST_UP_2MONTH" hidden="1">"c16380"</definedName>
    <definedName name="IQ_GROSS_MARGIN_EST_UP_2MONTH_THOM" hidden="1">"c17244"</definedName>
    <definedName name="IQ_GROSS_MARGIN_EST_UP_3MONTH" hidden="1">"c16384"</definedName>
    <definedName name="IQ_GROSS_MARGIN_EST_UP_3MONTH_THOM" hidden="1">"c17248"</definedName>
    <definedName name="IQ_GROSS_MARGIN_EST_UP_MONTH" hidden="1">"c16376"</definedName>
    <definedName name="IQ_GROSS_MARGIN_EST_UP_MONTH_THOM" hidden="1">"c17240"</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VKEY" hidden="1">"c15590"</definedName>
    <definedName name="IQ_GVKEY_OTHER" hidden="1">"c15633"</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"c16124"</definedName>
    <definedName name="IQ_HG_TABLE_GAMES_MANAGED" hidden="1">"c16125"</definedName>
    <definedName name="IQ_HG_TABLE_GAMES_OWNED" hidden="1">"c16123"</definedName>
    <definedName name="IQ_HG_TABLE_GAMES_TOTAL" hidden="1">"c16126"</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LDINGS_AFRICA_MIDEAST_PERCENT" hidden="1">"c19235"</definedName>
    <definedName name="IQ_HOLDINGS_AFRICA_MIDEAST_VALUE" hidden="1">"c19234"</definedName>
    <definedName name="IQ_HOLDINGS_ASIA_PERCENT" hidden="1">"c19233"</definedName>
    <definedName name="IQ_HOLDINGS_ASIA_VALUE" hidden="1">"c19232"</definedName>
    <definedName name="IQ_HOLDINGS_CONSUMER_DISCRETIONARY_PERCENT" hidden="1">"c19213"</definedName>
    <definedName name="IQ_HOLDINGS_CONSUMER_DISCRETIONARY_VALUE" hidden="1">"c19212"</definedName>
    <definedName name="IQ_HOLDINGS_CONSUMER_STAPLES_PERCENT" hidden="1">"c19219"</definedName>
    <definedName name="IQ_HOLDINGS_CONSUMER_STAPLES_VALUE" hidden="1">"c19218"</definedName>
    <definedName name="IQ_HOLDINGS_ENERGY_PERCENT" hidden="1">"c19215"</definedName>
    <definedName name="IQ_HOLDINGS_ENERGY_VALUE" hidden="1">"c19214"</definedName>
    <definedName name="IQ_HOLDINGS_EUROPE_PERCENT" hidden="1">"c19229"</definedName>
    <definedName name="IQ_HOLDINGS_EUROPE_VALUE" hidden="1">"c19228"</definedName>
    <definedName name="IQ_HOLDINGS_FINANCIALS_PERCENT" hidden="1">"c19209"</definedName>
    <definedName name="IQ_HOLDINGS_FINANCIALS_VALUE" hidden="1">"c19208"</definedName>
    <definedName name="IQ_HOLDINGS_HEALTHCARE_PERCENT" hidden="1">"c19211"</definedName>
    <definedName name="IQ_HOLDINGS_HEALTHCARE_VALUE" hidden="1">"c19210"</definedName>
    <definedName name="IQ_HOLDINGS_INDUSTRIALS_PERCENT" hidden="1">"c19217"</definedName>
    <definedName name="IQ_HOLDINGS_INDUSTRIALS_VALUE" hidden="1">"c19216"</definedName>
    <definedName name="IQ_HOLDINGS_IT_PERCENT" hidden="1">"c19207"</definedName>
    <definedName name="IQ_HOLDINGS_IT_VALUE" hidden="1">"c19206"</definedName>
    <definedName name="IQ_HOLDINGS_LATIN_CARIBBEAN_PERCENT" hidden="1">"c19231"</definedName>
    <definedName name="IQ_HOLDINGS_LATIN_CARIBBEAN_VALUE" hidden="1">"c19230"</definedName>
    <definedName name="IQ_HOLDINGS_MATERIALS_PERCENT" hidden="1">"c19223"</definedName>
    <definedName name="IQ_HOLDINGS_MATERIALS_VALUE" hidden="1">"c19222"</definedName>
    <definedName name="IQ_HOLDINGS_TELECOMM_PERCENT" hidden="1">"c19221"</definedName>
    <definedName name="IQ_HOLDINGS_TELECOMM_VALUE" hidden="1">"c19220"</definedName>
    <definedName name="IQ_HOLDINGS_US_CANADA_PERCENT" hidden="1">"c19227"</definedName>
    <definedName name="IQ_HOLDINGS_US_CANADA_VALUE" hidden="1">"c19226"</definedName>
    <definedName name="IQ_HOLDINGS_UTILITIES_PERCENT" hidden="1">"c19225"</definedName>
    <definedName name="IQ_HOLDINGS_UTILITIES_VALUE" hidden="1">"c19224"</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FS_AMORT_COST_FFIEC" hidden="1">"c20502"</definedName>
    <definedName name="IQ_HYBRID_STRUCTURED_PRODUCTS_AFS_FAIR_VAL_FFIEC" hidden="1">"c20467"</definedName>
    <definedName name="IQ_HYBRID_STRUCTURED_PRODUCTS_AVAIL_SALE_FFIEC" hidden="1">"c15265"</definedName>
    <definedName name="IQ_HYBRID_STRUCTURED_PRODUCTS_FFIEC" hidden="1">"c15262"</definedName>
    <definedName name="IQ_HYBRID_STRUCTURED_PRODUCTS_HTM_AMORT_COST_FFIEC" hidden="1">"c20450"</definedName>
    <definedName name="IQ_HYBRID_STRUCTURED_PRODUCTS_HTM_FAIR_VAL_FFIEC" hidden="1">"c20485"</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UNRECOG_TAX_BENEFIT_EFFECTIVE_TAX" hidden="1">"c15748"</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PROVIDED_DIVIDEND" hidden="1">"c19252"</definedName>
    <definedName name="IQ_INDEX_SHARES" hidden="1">"c19193"</definedName>
    <definedName name="IQ_INDEX_TYPE" hidden="1">"c15223"</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BONUS" hidden="1">"c19036"</definedName>
    <definedName name="IQ_INDIVIDUAL_CALCULATED_COMP" hidden="1">"c19043"</definedName>
    <definedName name="IQ_INDIVIDUAL_CHANGE_PENSION" hidden="1">"c19058"</definedName>
    <definedName name="IQ_INDIVIDUAL_DIRECT_FAX" hidden="1">"c15189"</definedName>
    <definedName name="IQ_INDIVIDUAL_DIRECT_PHONE" hidden="1">"c15188"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 hidden="1">"c15203"</definedName>
    <definedName name="IQ_INDIVIDUAL_EMAIL" hidden="1">"c15193"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LT_INCENTIVE" hidden="1">"c19039"</definedName>
    <definedName name="IQ_INDIVIDUAL_MAIN_FAX" hidden="1">"c15187"</definedName>
    <definedName name="IQ_INDIVIDUAL_MAIN_PHONE" hidden="1">"c15186"</definedName>
    <definedName name="IQ_INDIVIDUAL_MARKET_VALUE_SHARES_NOT_VESTED" hidden="1">"c19077"</definedName>
    <definedName name="IQ_INDIVIDUAL_MOBILE" hidden="1">"c15198"</definedName>
    <definedName name="IQ_INDIVIDUAL_NICKNAME" hidden="1">"c15192"</definedName>
    <definedName name="IQ_INDIVIDUAL_NON_EQUITY_INCENTIVE" hidden="1">"c19048"</definedName>
    <definedName name="IQ_INDIVIDUAL_NOTES" hidden="1">"c15204"</definedName>
    <definedName name="IQ_INDIVIDUAL_NUM_SHARED_NOT_VESTED" hidden="1">"c19076"</definedName>
    <definedName name="IQ_INDIVIDUAL_NUM_SHARES_ACQUIRED" hidden="1">"c19074"</definedName>
    <definedName name="IQ_INDIVIDUAL_OFFICE_ADDRESS" hidden="1">"c15185"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RESTRICTED_STOCK_COMP" hidden="1">"c19038"</definedName>
    <definedName name="IQ_INDIVIDUAL_SALARY" hidden="1">"c19035"</definedName>
    <definedName name="IQ_INDIVIDUAL_SPECIALTY" hidden="1">"c15190"</definedName>
    <definedName name="IQ_INDIVIDUAL_ST_COMP" hidden="1">"c19042"</definedName>
    <definedName name="IQ_INDIVIDUAL_TITLE" hidden="1">"c15183"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CIQID" hidden="1">"c19101"</definedName>
    <definedName name="IQ_INSIDER_DERIVATIVES" hidden="1">"c19102"</definedName>
    <definedName name="IQ_INSIDER_LOANS_FDIC" hidden="1">"c6365"</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 hidden="1">"c89"</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EXPENSE_AVG_ASSET" hidden="1">"c15705"</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AVG_ASSET" hidden="1">"c15704"</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GIBLES_NET" hidden="1">"c1407"</definedName>
    <definedName name="IQ_INTERBANK_RATIO" hidden="1">"c19134"</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BREAKUP_ASSET_MBS" hidden="1">"c17796"</definedName>
    <definedName name="IQ_INVEST_BREAKUP_COMMON" hidden="1">"c17687"</definedName>
    <definedName name="IQ_INVEST_BREAKUP_CORP_DEBT" hidden="1">"c17684"</definedName>
    <definedName name="IQ_INVEST_BREAKUP_CORP_EQUITY" hidden="1">"c17689"</definedName>
    <definedName name="IQ_INVEST_BREAKUP_NON_US_GOVT" hidden="1">"c17794"</definedName>
    <definedName name="IQ_INVEST_BREAKUP_NOT_CLASSIFIED" hidden="1">"c17690"</definedName>
    <definedName name="IQ_INVEST_BREAKUP_OTHER_FIXED" hidden="1">"c17685"</definedName>
    <definedName name="IQ_INVEST_BREAKUP_PREFERRED" hidden="1">"c17688"</definedName>
    <definedName name="IQ_INVEST_BREAKUP_PUBLIC_UTIL_DEBT" hidden="1">"c17683"</definedName>
    <definedName name="IQ_INVEST_BREAKUP_STATE_MUNI" hidden="1">"c17795"</definedName>
    <definedName name="IQ_INVEST_BREAKUP_TOTAL_FIXED" hidden="1">"c17686"</definedName>
    <definedName name="IQ_INVEST_BREAKUP_TOTAL_INVEST" hidden="1">"c17691"</definedName>
    <definedName name="IQ_INVEST_BREAKUP_US_GOVT" hidden="1">"c17793"</definedName>
    <definedName name="IQ_INVEST_CREDIT_QUAL_AMORT_TYPE_1" hidden="1">"c17785"</definedName>
    <definedName name="IQ_INVEST_CREDIT_QUAL_AMORT_TYPE_1_PCT" hidden="1">"c17844"</definedName>
    <definedName name="IQ_INVEST_CREDIT_QUAL_AMORT_TYPE_2" hidden="1">"c17786"</definedName>
    <definedName name="IQ_INVEST_CREDIT_QUAL_AMORT_TYPE_2_PCT" hidden="1">"c17845"</definedName>
    <definedName name="IQ_INVEST_CREDIT_QUAL_AMORT_TYPE_3" hidden="1">"c17787"</definedName>
    <definedName name="IQ_INVEST_CREDIT_QUAL_AMORT_TYPE_3_PCT" hidden="1">"c17846"</definedName>
    <definedName name="IQ_INVEST_CREDIT_QUAL_AMORT_TYPE_4" hidden="1">"c17788"</definedName>
    <definedName name="IQ_INVEST_CREDIT_QUAL_AMORT_TYPE_4_PCT" hidden="1">"c17847"</definedName>
    <definedName name="IQ_INVEST_CREDIT_QUAL_AMORT_TYPE_5" hidden="1">"c17789"</definedName>
    <definedName name="IQ_INVEST_CREDIT_QUAL_AMORT_TYPE_5_PCT" hidden="1">"c17848"</definedName>
    <definedName name="IQ_INVEST_CREDIT_QUAL_AMORT_TYPE_6" hidden="1">"c17790"</definedName>
    <definedName name="IQ_INVEST_CREDIT_QUAL_AMORT_TYPE_6_PCT" hidden="1">"c17849"</definedName>
    <definedName name="IQ_INVEST_CREDIT_QUAL_AMORT_TYPE_OTHER" hidden="1">"c17791"</definedName>
    <definedName name="IQ_INVEST_CREDIT_QUAL_AMORT_TYPE_OTHER_PCT" hidden="1">"c17850"</definedName>
    <definedName name="IQ_INVEST_CREDIT_QUAL_AMORT_TYPE_TOTAL_FIXED" hidden="1">"c17792"</definedName>
    <definedName name="IQ_INVEST_CREDIT_QUAL_CV_TYPE_1" hidden="1">"c17769"</definedName>
    <definedName name="IQ_INVEST_CREDIT_QUAL_CV_TYPE_1_PCT" hidden="1">"c17830"</definedName>
    <definedName name="IQ_INVEST_CREDIT_QUAL_CV_TYPE_2" hidden="1">"c17770"</definedName>
    <definedName name="IQ_INVEST_CREDIT_QUAL_CV_TYPE_2_PCT" hidden="1">"c17831"</definedName>
    <definedName name="IQ_INVEST_CREDIT_QUAL_CV_TYPE_3" hidden="1">"c17771"</definedName>
    <definedName name="IQ_INVEST_CREDIT_QUAL_CV_TYPE_3_PCT" hidden="1">"c17832"</definedName>
    <definedName name="IQ_INVEST_CREDIT_QUAL_CV_TYPE_4" hidden="1">"c17772"</definedName>
    <definedName name="IQ_INVEST_CREDIT_QUAL_CV_TYPE_4_PCT" hidden="1">"c17833"</definedName>
    <definedName name="IQ_INVEST_CREDIT_QUAL_CV_TYPE_5" hidden="1">"c17773"</definedName>
    <definedName name="IQ_INVEST_CREDIT_QUAL_CV_TYPE_5_PCT" hidden="1">"c17834"</definedName>
    <definedName name="IQ_INVEST_CREDIT_QUAL_CV_TYPE_6" hidden="1">"c17774"</definedName>
    <definedName name="IQ_INVEST_CREDIT_QUAL_CV_TYPE_6_PCT" hidden="1">"c17835"</definedName>
    <definedName name="IQ_INVEST_CREDIT_QUAL_CV_TYPE_OTHER" hidden="1">"c17775"</definedName>
    <definedName name="IQ_INVEST_CREDIT_QUAL_CV_TYPE_OTHER_PCT" hidden="1">"c17836"</definedName>
    <definedName name="IQ_INVEST_CREDIT_QUAL_CV_TYPE_TOTAL_FIXED" hidden="1">"c17776"</definedName>
    <definedName name="IQ_INVEST_CREDIT_QUAL_FV_TYPE_1" hidden="1">"c17777"</definedName>
    <definedName name="IQ_INVEST_CREDIT_QUAL_FV_TYPE_1_PCT" hidden="1">"c17837"</definedName>
    <definedName name="IQ_INVEST_CREDIT_QUAL_FV_TYPE_2" hidden="1">"c17778"</definedName>
    <definedName name="IQ_INVEST_CREDIT_QUAL_FV_TYPE_2_PCT" hidden="1">"c17838"</definedName>
    <definedName name="IQ_INVEST_CREDIT_QUAL_FV_TYPE_3" hidden="1">"c17779"</definedName>
    <definedName name="IQ_INVEST_CREDIT_QUAL_FV_TYPE_3_PCT" hidden="1">"c17839"</definedName>
    <definedName name="IQ_INVEST_CREDIT_QUAL_FV_TYPE_4" hidden="1">"c17780"</definedName>
    <definedName name="IQ_INVEST_CREDIT_QUAL_FV_TYPE_4_PCT" hidden="1">"c17840"</definedName>
    <definedName name="IQ_INVEST_CREDIT_QUAL_FV_TYPE_5" hidden="1">"c17781"</definedName>
    <definedName name="IQ_INVEST_CREDIT_QUAL_FV_TYPE_5_PCT" hidden="1">"c17841"</definedName>
    <definedName name="IQ_INVEST_CREDIT_QUAL_FV_TYPE_6" hidden="1">"c17782"</definedName>
    <definedName name="IQ_INVEST_CREDIT_QUAL_FV_TYPE_6_PCT" hidden="1">"c17842"</definedName>
    <definedName name="IQ_INVEST_CREDIT_QUAL_FV_TYPE_OTHER" hidden="1">"c17783"</definedName>
    <definedName name="IQ_INVEST_CREDIT_QUAL_FV_TYPE_OTHER_PCT" hidden="1">"c17843"</definedName>
    <definedName name="IQ_INVEST_CREDIT_QUAL_FV_TYPE_TOTAL_FIXED" hidden="1">"c17784"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DETAIL_AVAIL_SALE" hidden="1">"c17692"</definedName>
    <definedName name="IQ_INVEST_DETAIL_AVAIL_SALE_AMORT" hidden="1">"c17810"</definedName>
    <definedName name="IQ_INVEST_DETAIL_HELD_MATURITY" hidden="1">"c17807"</definedName>
    <definedName name="IQ_INVEST_DETAIL_OTHER" hidden="1">"c17809"</definedName>
    <definedName name="IQ_INVEST_DETAIL_TRADING" hidden="1">"c17808"</definedName>
    <definedName name="IQ_INVEST_DETAIL_TRADING_AMORT" hidden="1">"c17811"</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AT_AMORT_1_5_YR" hidden="1">"c17764"</definedName>
    <definedName name="IQ_INVEST_MAT_AMORT_1_5_YR_PCT" hidden="1">"c17825"</definedName>
    <definedName name="IQ_INVEST_MAT_AMORT_1_YR" hidden="1">"c17763"</definedName>
    <definedName name="IQ_INVEST_MAT_AMORT_1_YR_PCT" hidden="1">"c17824"</definedName>
    <definedName name="IQ_INVEST_MAT_AMORT_5_10_YR" hidden="1">"c17765"</definedName>
    <definedName name="IQ_INVEST_MAT_AMORT_5_10_YR_PCT" hidden="1">"c17826"</definedName>
    <definedName name="IQ_INVEST_MAT_AMORT_AFTER_10_YR" hidden="1">"c17766"</definedName>
    <definedName name="IQ_INVEST_MAT_AMORT_AFTER_10_YR_PCT" hidden="1">"c17827"</definedName>
    <definedName name="IQ_INVEST_MAT_AMORT_ASSET_MBS" hidden="1">"c17767"</definedName>
    <definedName name="IQ_INVEST_MAT_AMORT_ASSET_MBS_PCT" hidden="1">"c17828"</definedName>
    <definedName name="IQ_INVEST_MAT_AMORT_OTHER_FIXED" hidden="1">"c17768"</definedName>
    <definedName name="IQ_INVEST_MAT_AMORT_OTHER_FIXED_PCT" hidden="1">"c17829"</definedName>
    <definedName name="IQ_INVEST_MAT_CV_1_5_YR" hidden="1">"c17752"</definedName>
    <definedName name="IQ_INVEST_MAT_CV_1_5_YR_PCT" hidden="1">"c17813"</definedName>
    <definedName name="IQ_INVEST_MAT_CV_1_YR" hidden="1">"c17751"</definedName>
    <definedName name="IQ_INVEST_MAT_CV_1_YR_PCT" hidden="1">"c17812"</definedName>
    <definedName name="IQ_INVEST_MAT_CV_5_10_YR" hidden="1">"c17753"</definedName>
    <definedName name="IQ_INVEST_MAT_CV_5_10_YR_PCT" hidden="1">"c17814"</definedName>
    <definedName name="IQ_INVEST_MAT_CV_AFTER_10_YR" hidden="1">"c17754"</definedName>
    <definedName name="IQ_INVEST_MAT_CV_AFTER_10_YR_PCT" hidden="1">"c17815"</definedName>
    <definedName name="IQ_INVEST_MAT_CV_ASSET_MBS" hidden="1">"c17755"</definedName>
    <definedName name="IQ_INVEST_MAT_CV_ASSET_MBS_PCT" hidden="1">"c17816"</definedName>
    <definedName name="IQ_INVEST_MAT_CV_OTHER_FIXED" hidden="1">"c17756"</definedName>
    <definedName name="IQ_INVEST_MAT_CV_OTHER_FIXED_PCT" hidden="1">"c17817"</definedName>
    <definedName name="IQ_INVEST_MAT_FV_1_5_YR" hidden="1">"c17758"</definedName>
    <definedName name="IQ_INVEST_MAT_FV_1_5_YR_PCT" hidden="1">"c17819"</definedName>
    <definedName name="IQ_INVEST_MAT_FV_1_YR" hidden="1">"c17757"</definedName>
    <definedName name="IQ_INVEST_MAT_FV_1_YR_PCT" hidden="1">"c17818"</definedName>
    <definedName name="IQ_INVEST_MAT_FV_5_10_YR" hidden="1">"c17759"</definedName>
    <definedName name="IQ_INVEST_MAT_FV_5_10_YR_PCT" hidden="1">"c17820"</definedName>
    <definedName name="IQ_INVEST_MAT_FV_AFTER_10_YR" hidden="1">"c17760"</definedName>
    <definedName name="IQ_INVEST_MAT_FV_AFTER_10_YR_PCT" hidden="1">"c17821"</definedName>
    <definedName name="IQ_INVEST_MAT_FV_ASSET_MBS" hidden="1">"c17761"</definedName>
    <definedName name="IQ_INVEST_MAT_FV_ASSET_MBS_PCT" hidden="1">"c17822"</definedName>
    <definedName name="IQ_INVEST_MAT_FV_OTHER_FIXED" hidden="1">"c17762"</definedName>
    <definedName name="IQ_INVEST_MAT_FV_OTHER_FIXED_PCT" hidden="1">"c17823"</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ADVISOR" hidden="1">"c19236"</definedName>
    <definedName name="IQ_INVESTMENT_ADVISOR_ID" hidden="1">"c19237"</definedName>
    <definedName name="IQ_INVESTMENT_ADVISOR_PRIMARY" hidden="1">"c19239"</definedName>
    <definedName name="IQ_INVESTMENT_ADVISOR_PRIMARY_ID" hidden="1">"c19240"</definedName>
    <definedName name="IQ_INVESTMENT_ADVISOR_REL" hidden="1">"c19238"</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NVESTMENT_PARTNERSHIP" hidden="1">"c16072"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NVESTORS_ALL" hidden="1">"c20509"</definedName>
    <definedName name="IQ_INVESTORS_ALL_COVER" hidden="1">"c20510"</definedName>
    <definedName name="IQ_INVESTORS_ALL_ID" hidden="1">"C20508"</definedName>
    <definedName name="IQ_INVESTORS_ALL_REL" hidden="1">"c20511"</definedName>
    <definedName name="IQ_INVESTORS_ALL_STAKE" hidden="1">"c20512"</definedName>
    <definedName name="IQ_INVESTORS_CURR" hidden="1">"c20514"</definedName>
    <definedName name="IQ_INVESTORS_CURR_COVER" hidden="1">"c20515"</definedName>
    <definedName name="IQ_INVESTORS_CURR_ID" hidden="1">"c20513"</definedName>
    <definedName name="IQ_INVESTORS_CURR_RECENT_AMOUNT" hidden="1">"c20516"</definedName>
    <definedName name="IQ_INVESTORS_CURR_REL" hidden="1">"c20517"</definedName>
    <definedName name="IQ_INVESTORS_CURR_STAKE" hidden="1">"c20518"</definedName>
    <definedName name="IQ_INVESTORS_CURR_TRANSACTION_DATE" hidden="1">"c20519"</definedName>
    <definedName name="IQ_INVESTORS_CURR_TRANSACTION_ID" hidden="1">"c20520"</definedName>
    <definedName name="IQ_INVESTORS_PENDING" hidden="1">"c20522"</definedName>
    <definedName name="IQ_INVESTORS_PENDING_COVER" hidden="1">"c20523"</definedName>
    <definedName name="IQ_INVESTORS_PENDING_ID" hidden="1">"c20521"</definedName>
    <definedName name="IQ_INVESTORS_PENDING_REL" hidden="1">"c20524"</definedName>
    <definedName name="IQ_INVESTORS_PENDING_STAKE" hidden="1">"c20525"</definedName>
    <definedName name="IQ_INVESTORS_PRIOR" hidden="1">"c20526"</definedName>
    <definedName name="IQ_INVESTORS_PRIOR_ID" hidden="1">"c20527"</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ND_MINERAL_RIGHTS_TO_PPE_GROSS_COAL" hidden="1">"c15949"</definedName>
    <definedName name="IQ_LAND_MINERAL_RIGHTS_TO_PPE_NET_COAL" hidden="1">"c15950"</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_TRANSACTION" hidden="1">"c18886"</definedName>
    <definedName name="IQ_LATESTK" hidden="1">1000</definedName>
    <definedName name="IQ_LATESTKFR" hidden="1">"50"</definedName>
    <definedName name="IQ_LATESTQ" hidden="1">500</definedName>
    <definedName name="IQ_LATESTQFR" hidden="1">"100"</definedName>
    <definedName name="IQ_LEAD_UNDERWRITER" hidden="1">"c8957"</definedName>
    <definedName name="IQ_LEASE_EXPENSE" hidden="1">"c16039"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HOLD_IMPROVEMENT" hidden="1">"c17549"</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CENSED_WIRELESS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 hidden="1">"c15803"</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DERIVATIVES" hidden="1">"c17743"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GROWTH_DET_EST" hidden="1">"c12060"</definedName>
    <definedName name="IQ_LT_GROWTH_DET_EST_DATE" hidden="1">"c12213"</definedName>
    <definedName name="IQ_LT_GROWTH_DET_EST_DATE_THOM" hidden="1">"c12240"</definedName>
    <definedName name="IQ_LT_GROWTH_DET_EST_INCL" hidden="1">"c12350"</definedName>
    <definedName name="IQ_LT_GROWTH_DET_EST_INCL_THOM" hidden="1">"c12372"</definedName>
    <definedName name="IQ_LT_GROWTH_DET_EST_ORIGIN" hidden="1">"c12725"</definedName>
    <definedName name="IQ_LT_GROWTH_DET_EST_ORIGIN_THOM" hidden="1">"c12610"</definedName>
    <definedName name="IQ_LT_GROWTH_DET_EST_THOM" hidden="1">"c12090"</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CAPEX_ACT_OR_EST_CIQ_COL" hidden="1">"c11634"</definedName>
    <definedName name="IQ_MAINT_CAPEX_EST" hidden="1">"c4457"</definedName>
    <definedName name="IQ_MAINT_CAPEX_GUIDANCE_CIQ" hidden="1">"c4988"</definedName>
    <definedName name="IQ_MAINT_CAPEX_GUIDANCE_CIQ_COL" hidden="1">"c11635"</definedName>
    <definedName name="IQ_MAINT_CAPEX_HIGH_EST" hidden="1">"c4460"</definedName>
    <definedName name="IQ_MAINT_CAPEX_HIGH_GUIDANCE_CIQ" hidden="1">"c4609"</definedName>
    <definedName name="IQ_MAINT_CAPEX_HIGH_GUIDANCE_CIQ_COL" hidden="1">"c11258"</definedName>
    <definedName name="IQ_MAINT_CAPEX_LOW_EST" hidden="1">"c4461"</definedName>
    <definedName name="IQ_MAINT_CAPEX_LOW_GUIDANCE_CIQ" hidden="1">"c4649"</definedName>
    <definedName name="IQ_MAINT_CAPEX_LOW_GUIDANCE_CIQ_COL" hidden="1">"c11298"</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ETING_PROMOTION_EXPENSE" hidden="1">"c16035"</definedName>
    <definedName name="IQ_MATERIALS_SUPPLES_INVENTORY_COAL" hidden="1">"c15942"</definedName>
    <definedName name="IQ_MATURITY_DATE" hidden="1">"c2146"</definedName>
    <definedName name="IQ_MATURITY_ONE_YEAR_LESS_FDIC" hidden="1">"c6425"</definedName>
    <definedName name="IQ_MBS_INVEST_SECURITIES_FFIEC" hidden="1">"c13460"</definedName>
    <definedName name="IQ_MBS_OTHER_ISSUED_FNMA_HTM_AMORT_COST_FFIEC" hidden="1">"c20444"</definedName>
    <definedName name="IQ_MBS_OTHER_ISSUED_FNMA_HTM_FAIR_VAL_FFIEC" hidden="1">"c20479"</definedName>
    <definedName name="IQ_MBS_OTHER_ISSUED_FNMA_OTHERS_AFS_AMORT_COST_FFIEC" hidden="1">"c20496"</definedName>
    <definedName name="IQ_MBS_OTHER_ISSUED_FNMA_OTHERS_AFS_FAIR_VAL_FFIEC" hidden="1">"c20461"</definedName>
    <definedName name="IQ_MBS_OTHER_ISSUED_FNMA_OTHERS_AVAIL_SALE_FFIEC" hidden="1">"c12799"</definedName>
    <definedName name="IQ_MBS_OTHER_ISSUED_FNMA_OTHERS_FFIEC" hidden="1">"c12785"</definedName>
    <definedName name="IQ_MBS_PASS_THROUGH_FNMA_AFS_AMORT_COST_FFIEC" hidden="1">"c20494"</definedName>
    <definedName name="IQ_MBS_PASS_THROUGH_FNMA_AFS_FAIR_VAL_FFIEC" hidden="1">"c20459"</definedName>
    <definedName name="IQ_MBS_PASS_THROUGH_FNMA_AVAIL_SALE_FFIEC" hidden="1">"c12797"</definedName>
    <definedName name="IQ_MBS_PASS_THROUGH_FNMA_FFIEC" hidden="1">"c12783"</definedName>
    <definedName name="IQ_MBS_PASS_THROUGH_FNMA_HTM_AMORT_COST_FFIEC" hidden="1">"c20442"</definedName>
    <definedName name="IQ_MBS_PASS_THROUGH_FNMA_HTM_FAIR_VAL_FFIEC" hidden="1">"c20477"</definedName>
    <definedName name="IQ_MBS_PASS_THROUGH_GNMA_AFS_AMORT_COST_FFIEC" hidden="1">"c20493"</definedName>
    <definedName name="IQ_MBS_PASS_THROUGH_GNMA_AFS_FAIR_VAL_FFIEC" hidden="1">"c20458"</definedName>
    <definedName name="IQ_MBS_PASS_THROUGH_GNMA_AVAIL_SALE_FFIEC" hidden="1">"c12796"</definedName>
    <definedName name="IQ_MBS_PASS_THROUGH_GNMA_FFIEC" hidden="1">"c12782"</definedName>
    <definedName name="IQ_MBS_PASS_THROUGH_GNMA_HTM_AMORT_COST_FFIEC" hidden="1">"c20441"</definedName>
    <definedName name="IQ_MBS_PASS_THROUGH_GNMA_HTM_FAIR_VAL_FFIEC" hidden="1">"c20476"</definedName>
    <definedName name="IQ_MBS_PASS_THROUGH_ISSUED_FNMA_GNMA_TRADING_DOM_FFIEC" hidden="1">"c12921"</definedName>
    <definedName name="IQ_MBS_PASS_THROUGH_OTHER_AFS_AMORT_COST_FFIEC" hidden="1">"c20495"</definedName>
    <definedName name="IQ_MBS_PASS_THROUGH_OTHER_AFS_FAIR_VAL_FFIEC" hidden="1">"c20460"</definedName>
    <definedName name="IQ_MBS_PASS_THROUGH_OTHER_AVAIL_SALE_FFIEC" hidden="1">"c12798"</definedName>
    <definedName name="IQ_MBS_PASS_THROUGH_OTHER_FFIEC" hidden="1">"c12784"</definedName>
    <definedName name="IQ_MBS_PASS_THROUGH_OTHER_HTM_AMORT_COST_FFIEC" hidden="1">"c20443"</definedName>
    <definedName name="IQ_MBS_PASS_THROUGH_OTHER_HTM_FAIR_VAL_FFIEC" hidden="1">"c20478"</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DIUM_SULFUR_CONTENT_RESERVES_COAL" hidden="1">"c15926"</definedName>
    <definedName name="IQ_MEDIUM_SULFURE_RESERVES_TO_TOTAL_RESERVES_COAL" hidden="1">"c15962"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EY_MKT_DEPOSITS_TOTAL_DEPOSITS" hidden="1">"c15720"</definedName>
    <definedName name="IQ_MONEY_MKT_SAVINGS_ACCT_DEPOSITS_TOTAL_DEPOSITS" hidden="1">"c15722"</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TM_ADJ" hidden="1">"c16000"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MUTUAL_FUND_ACQUISITIONS_OTHER" hidden="1">"c20425"</definedName>
    <definedName name="IQ_MUTUAL_FUND_APPRECIATION_DEPRECIATION" hidden="1">"c20424"</definedName>
    <definedName name="IQ_MUTUAL_FUND_BOP" hidden="1">"c20420"</definedName>
    <definedName name="IQ_MUTUAL_FUND_EOP" hidden="1">"c20426"</definedName>
    <definedName name="IQ_MUTUAL_FUND_LIST" hidden="1">"c19092"</definedName>
    <definedName name="IQ_MUTUAL_FUND_NET_SALES" hidden="1">"c20423"</definedName>
    <definedName name="IQ_MUTUAL_FUND_REDEMPTIONS" hidden="1">"c20422"</definedName>
    <definedName name="IQ_MUTUAL_FUND_SALES" hidden="1">"c20421"</definedName>
    <definedName name="IQ_NAMES_REVISION_DATE_" hidden="1">40560.5004976852</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TURAL_RESOURCES_COST" hidden="1">"c17550"</definedName>
    <definedName name="IQ_NAV_ACT_OR_EST" hidden="1">"c2225"</definedName>
    <definedName name="IQ_NAV_ACT_OR_EST_THOM" hidden="1">"c5607"</definedName>
    <definedName name="IQ_NAV_DET_EST_CURRENCY_THOM" hidden="1">"c12490"</definedName>
    <definedName name="IQ_NAV_DET_EST_DATE_THOM" hidden="1">"c12241"</definedName>
    <definedName name="IQ_NAV_DET_EST_INCL_THOM" hidden="1">"c12373"</definedName>
    <definedName name="IQ_NAV_DET_EST_NOTE_THOM" hidden="1">"c17597"</definedName>
    <definedName name="IQ_NAV_DET_EST_ORIGIN_THOM" hidden="1">"c12707"</definedName>
    <definedName name="IQ_NAV_DET_EST_THOM" hidden="1">"c12091"</definedName>
    <definedName name="IQ_NAV_EST" hidden="1">"c1751"</definedName>
    <definedName name="IQ_NAV_EST_DOWN_2MONTH" hidden="1">"c16501"</definedName>
    <definedName name="IQ_NAV_EST_DOWN_2MONTH_THOM" hidden="1">"c17329"</definedName>
    <definedName name="IQ_NAV_EST_DOWN_3MONTH" hidden="1">"c16505"</definedName>
    <definedName name="IQ_NAV_EST_DOWN_3MONTH_THOM" hidden="1">"c17333"</definedName>
    <definedName name="IQ_NAV_EST_DOWN_MONTH" hidden="1">"c16497"</definedName>
    <definedName name="IQ_NAV_EST_DOWN_MONTH_THOM" hidden="1">"c17325"</definedName>
    <definedName name="IQ_NAV_EST_NUM_ANALYSTS_2MONTH" hidden="1">"c16499"</definedName>
    <definedName name="IQ_NAV_EST_NUM_ANALYSTS_2MONTH_THOM" hidden="1">"c17327"</definedName>
    <definedName name="IQ_NAV_EST_NUM_ANALYSTS_3MONTH" hidden="1">"c16503"</definedName>
    <definedName name="IQ_NAV_EST_NUM_ANALYSTS_3MONTH_THOM" hidden="1">"c17331"</definedName>
    <definedName name="IQ_NAV_EST_NUM_ANALYSTS_MONTH" hidden="1">"c16495"</definedName>
    <definedName name="IQ_NAV_EST_NUM_ANALYSTS_MONTH_THOM" hidden="1">"c17323"</definedName>
    <definedName name="IQ_NAV_EST_THOM" hidden="1">"c5601"</definedName>
    <definedName name="IQ_NAV_EST_TOTAL_REVISED_2MONTH" hidden="1">"c16502"</definedName>
    <definedName name="IQ_NAV_EST_TOTAL_REVISED_2MONTH_THOM" hidden="1">"c17330"</definedName>
    <definedName name="IQ_NAV_EST_TOTAL_REVISED_3MONTH" hidden="1">"c16506"</definedName>
    <definedName name="IQ_NAV_EST_TOTAL_REVISED_3MONTH_THOM" hidden="1">"c17334"</definedName>
    <definedName name="IQ_NAV_EST_TOTAL_REVISED_MONTH" hidden="1">"c16498"</definedName>
    <definedName name="IQ_NAV_EST_TOTAL_REVISED_MONTH_THOM" hidden="1">"c17326"</definedName>
    <definedName name="IQ_NAV_EST_UP_2MONTH" hidden="1">"c16500"</definedName>
    <definedName name="IQ_NAV_EST_UP_2MONTH_THOM" hidden="1">"c17328"</definedName>
    <definedName name="IQ_NAV_EST_UP_3MONTH" hidden="1">"c16504"</definedName>
    <definedName name="IQ_NAV_EST_UP_3MONTH_THOM" hidden="1">"c17332"</definedName>
    <definedName name="IQ_NAV_EST_UP_MONTH" hidden="1">"c16496"</definedName>
    <definedName name="IQ_NAV_EST_UP_MONTH_THOM" hidden="1">"c17324"</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RE" hidden="1">"c15996"</definedName>
    <definedName name="IQ_NAV_SHARE_ACT_OR_EST" hidden="1">"c2225"</definedName>
    <definedName name="IQ_NAV_SHARE_ACT_OR_EST_REUT" hidden="1">"c5623"</definedName>
    <definedName name="IQ_NAV_SHARE_DET_EST_NOTE" hidden="1">"c17540"</definedName>
    <definedName name="IQ_NAV_SHARE_DET_EST_ORIGIN" hidden="1">"c12585"</definedName>
    <definedName name="IQ_NAV_SHARE_DET_EST_ORIGIN_THOM" hidden="1">"c12611"</definedName>
    <definedName name="IQ_NAV_SHARE_EST" hidden="1">"c5609"</definedName>
    <definedName name="IQ_NAV_SHARE_EST_DOWN_2MONTH" hidden="1">"c16561"</definedName>
    <definedName name="IQ_NAV_SHARE_EST_DOWN_3MONTH" hidden="1">"c16565"</definedName>
    <definedName name="IQ_NAV_SHARE_EST_DOWN_MONTH" hidden="1">"c16557"</definedName>
    <definedName name="IQ_NAV_SHARE_EST_NOTE" hidden="1">"c17522"</definedName>
    <definedName name="IQ_NAV_SHARE_EST_NOTE_CIQ" hidden="1">"c17475"</definedName>
    <definedName name="IQ_NAV_SHARE_EST_NUM_ANALYSTS_2MONTH" hidden="1">"c16559"</definedName>
    <definedName name="IQ_NAV_SHARE_EST_NUM_ANALYSTS_3MONTH" hidden="1">"c16563"</definedName>
    <definedName name="IQ_NAV_SHARE_EST_NUM_ANALYSTS_MONTH" hidden="1">"c16555"</definedName>
    <definedName name="IQ_NAV_SHARE_EST_REUT" hidden="1">"c5617"</definedName>
    <definedName name="IQ_NAV_SHARE_EST_TOTAL_REVISED_2MONTH" hidden="1">"c16562"</definedName>
    <definedName name="IQ_NAV_SHARE_EST_TOTAL_REVISED_3MONTH" hidden="1">"c16566"</definedName>
    <definedName name="IQ_NAV_SHARE_EST_TOTAL_REVISED_MONTH" hidden="1">"c16558"</definedName>
    <definedName name="IQ_NAV_SHARE_EST_UP_2MONTH" hidden="1">"c16560"</definedName>
    <definedName name="IQ_NAV_SHARE_EST_UP_3MONTH" hidden="1">"c16564"</definedName>
    <definedName name="IQ_NAV_SHARE_EST_UP_MONTH" hidden="1">"c16556"</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RE" hidden="1">"c16011"</definedName>
    <definedName name="IQ_NAV_SHARE_STDDEV_EST" hidden="1">"c5611"</definedName>
    <definedName name="IQ_NAV_SHARE_STDDEV_EST_REUT" hidden="1">"c5619"</definedName>
    <definedName name="IQ_NAV_STDDEV_EST" hidden="1">"c1756"</definedName>
    <definedName name="IQ_NAV_STDDEV_EST_THOM" hidden="1">"c5603"</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_COL" hidden="1">"c11717"</definedName>
    <definedName name="IQ_NET_DEBT_ACT_OR_EST_REUT" hidden="1">"c5473"</definedName>
    <definedName name="IQ_NET_DEBT_ACT_OR_EST_THOM" hidden="1">"c5309"</definedName>
    <definedName name="IQ_NET_DEBT_DET_EST" hidden="1">"c12061"</definedName>
    <definedName name="IQ_NET_DEBT_DET_EST_CURRENCY" hidden="1">"c12468"</definedName>
    <definedName name="IQ_NET_DEBT_DET_EST_CURRENCY_THOM" hidden="1">"c12491"</definedName>
    <definedName name="IQ_NET_DEBT_DET_EST_DATE" hidden="1">"c12214"</definedName>
    <definedName name="IQ_NET_DEBT_DET_EST_DATE_THOM" hidden="1">"c12242"</definedName>
    <definedName name="IQ_NET_DEBT_DET_EST_INCL" hidden="1">"c12351"</definedName>
    <definedName name="IQ_NET_DEBT_DET_EST_INCL_THOM" hidden="1">"c12374"</definedName>
    <definedName name="IQ_NET_DEBT_DET_EST_NOTE" hidden="1">"c17541"</definedName>
    <definedName name="IQ_NET_DEBT_DET_EST_NOTE_THOM" hidden="1">"c17589"</definedName>
    <definedName name="IQ_NET_DEBT_DET_EST_ORIGIN" hidden="1">"c12586"</definedName>
    <definedName name="IQ_NET_DEBT_DET_EST_ORIGIN_THOM" hidden="1">"c12612"</definedName>
    <definedName name="IQ_NET_DEBT_DET_EST_THOM" hidden="1">"c12092"</definedName>
    <definedName name="IQ_NET_DEBT_EBITDA" hidden="1">"c750"</definedName>
    <definedName name="IQ_NET_DEBT_EBITDA_CAPEX" hidden="1">"c2949"</definedName>
    <definedName name="IQ_NET_DEBT_EST" hidden="1">"c3517"</definedName>
    <definedName name="IQ_NET_DEBT_EST_DOWN_2MONTH" hidden="1">"c16513"</definedName>
    <definedName name="IQ_NET_DEBT_EST_DOWN_2MONTH_THOM" hidden="1">"c17341"</definedName>
    <definedName name="IQ_NET_DEBT_EST_DOWN_3MONTH" hidden="1">"c16517"</definedName>
    <definedName name="IQ_NET_DEBT_EST_DOWN_3MONTH_THOM" hidden="1">"c17345"</definedName>
    <definedName name="IQ_NET_DEBT_EST_DOWN_MONTH" hidden="1">"c16509"</definedName>
    <definedName name="IQ_NET_DEBT_EST_DOWN_MONTH_THOM" hidden="1">"c17337"</definedName>
    <definedName name="IQ_NET_DEBT_EST_NUM_ANALYSTS_2MONTH" hidden="1">"c16511"</definedName>
    <definedName name="IQ_NET_DEBT_EST_NUM_ANALYSTS_2MONTH_THOM" hidden="1">"c17339"</definedName>
    <definedName name="IQ_NET_DEBT_EST_NUM_ANALYSTS_3MONTH" hidden="1">"c16515"</definedName>
    <definedName name="IQ_NET_DEBT_EST_NUM_ANALYSTS_3MONTH_THOM" hidden="1">"c17343"</definedName>
    <definedName name="IQ_NET_DEBT_EST_NUM_ANALYSTS_MONTH" hidden="1">"c16507"</definedName>
    <definedName name="IQ_NET_DEBT_EST_NUM_ANALYSTS_MONTH_THOM" hidden="1">"c17335"</definedName>
    <definedName name="IQ_NET_DEBT_EST_REUT" hidden="1">"c3976"</definedName>
    <definedName name="IQ_NET_DEBT_EST_THOM" hidden="1">"c4027"</definedName>
    <definedName name="IQ_NET_DEBT_EST_TOTAL_REVISED_2MONTH" hidden="1">"c16514"</definedName>
    <definedName name="IQ_NET_DEBT_EST_TOTAL_REVISED_2MONTH_THOM" hidden="1">"c17342"</definedName>
    <definedName name="IQ_NET_DEBT_EST_TOTAL_REVISED_3MONTH" hidden="1">"c16518"</definedName>
    <definedName name="IQ_NET_DEBT_EST_TOTAL_REVISED_3MONTH_THOM" hidden="1">"c17346"</definedName>
    <definedName name="IQ_NET_DEBT_EST_TOTAL_REVISED_MONTH" hidden="1">"c16510"</definedName>
    <definedName name="IQ_NET_DEBT_EST_TOTAL_REVISED_MONTH_THOM" hidden="1">"c17338"</definedName>
    <definedName name="IQ_NET_DEBT_EST_UP_2MONTH" hidden="1">"c16512"</definedName>
    <definedName name="IQ_NET_DEBT_EST_UP_2MONTH_THOM" hidden="1">"c17340"</definedName>
    <definedName name="IQ_NET_DEBT_EST_UP_3MONTH" hidden="1">"c16516"</definedName>
    <definedName name="IQ_NET_DEBT_EST_UP_3MONTH_THOM" hidden="1">"c17344"</definedName>
    <definedName name="IQ_NET_DEBT_EST_UP_MONTH" hidden="1">"c16508"</definedName>
    <definedName name="IQ_NET_DEBT_EST_UP_MONTH_THOM" hidden="1">"c17336"</definedName>
    <definedName name="IQ_NET_DEBT_GUIDANCE_CIQ" hidden="1">"c5005"</definedName>
    <definedName name="IQ_NET_DEBT_GUIDANCE_CIQ_COL" hidden="1">"c11652"</definedName>
    <definedName name="IQ_NET_DEBT_HIGH_EST" hidden="1">"c3518"</definedName>
    <definedName name="IQ_NET_DEBT_HIGH_EST_REUT" hidden="1">"c3978"</definedName>
    <definedName name="IQ_NET_DEBT_HIGH_EST_THOM" hidden="1">"c4029"</definedName>
    <definedName name="IQ_NET_DEBT_HIGH_GUIDANCE_CIQ" hidden="1">"c4593"</definedName>
    <definedName name="IQ_NET_DEBT_HIGH_GUIDANCE_CIQ_COL" hidden="1">"c11242"</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EST_THOM" hidden="1">"c4030"</definedName>
    <definedName name="IQ_NET_DEBT_LOW_GUIDANCE_CIQ" hidden="1">"c4633"</definedName>
    <definedName name="IQ_NET_DEBT_LOW_GUIDANCE_CIQ_COL" hidden="1">"c11282"</definedName>
    <definedName name="IQ_NET_DEBT_MEDIAN_EST" hidden="1">"c3520"</definedName>
    <definedName name="IQ_NET_DEBT_MEDIAN_EST_REUT" hidden="1">"c3977"</definedName>
    <definedName name="IQ_NET_DEBT_MEDIAN_EST_THOM" hidden="1">"c4028"</definedName>
    <definedName name="IQ_NET_DEBT_NUM_EST" hidden="1">"c3515"</definedName>
    <definedName name="IQ_NET_DEBT_NUM_EST_REUT" hidden="1">"c3980"</definedName>
    <definedName name="IQ_NET_DEBT_NUM_EST_THOM" hidden="1">"c4031"</definedName>
    <definedName name="IQ_NET_DEBT_STDDEV_EST" hidden="1">"c3516"</definedName>
    <definedName name="IQ_NET_DEBT_STDDEV_EST_REUT" hidden="1">"c3981"</definedName>
    <definedName name="IQ_NET_DEBT_STDDEV_EST_THOM" hidden="1">"c4032"</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COME_HOMEBUILDING_SALES" hidden="1">"c15818"</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AVG_ASSET" hidden="1">"c15706"</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LOSSES" hidden="1">"c15873"</definedName>
    <definedName name="IQ_NET_NEW_CLIENT_ASSETS" hidden="1">"c20430"</definedName>
    <definedName name="IQ_NET_NONINTEREST_INC_EXP_INTERNATIONAL_OPS_FFIEC" hidden="1">"c15387"</definedName>
    <definedName name="IQ_NET_OPERATING_INCOME_ASSETS_FDIC" hidden="1">"c6729"</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DIV_AMOUNT" hidden="1">"c17414"</definedName>
    <definedName name="IQ_NEXT_DIV_PAYMENT_DATE" hidden="1">"c17413"</definedName>
    <definedName name="IQ_NEXT_DIV_PAYMENT_TYPE" hidden="1">"c17415"</definedName>
    <definedName name="IQ_NEXT_DIV_RECORD_DATE" hidden="1">"c17412"</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XDIV_DATE" hidden="1">"c17411"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_COL" hidden="1">"c11712"</definedName>
    <definedName name="IQ_NI_ACT_OR_EST_REUT" hidden="1">"c5468"</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DET_EST" hidden="1">"c12062"</definedName>
    <definedName name="IQ_NI_DET_EST_CURRENCY" hidden="1">"c12469"</definedName>
    <definedName name="IQ_NI_DET_EST_CURRENCY_THOM" hidden="1">"c12492"</definedName>
    <definedName name="IQ_NI_DET_EST_DATE" hidden="1">"c12215"</definedName>
    <definedName name="IQ_NI_DET_EST_DATE_THOM" hidden="1">"c12243"</definedName>
    <definedName name="IQ_NI_DET_EST_INCL" hidden="1">"c12352"</definedName>
    <definedName name="IQ_NI_DET_EST_INCL_THOM" hidden="1">"c12375"</definedName>
    <definedName name="IQ_NI_DET_EST_NOTE" hidden="1">"c17533"</definedName>
    <definedName name="IQ_NI_DET_EST_NOTE_THOM" hidden="1">"c17585"</definedName>
    <definedName name="IQ_NI_DET_EST_ORIGIN" hidden="1">"c12587"</definedName>
    <definedName name="IQ_NI_DET_EST_ORIGIN_THOM" hidden="1">"c12613"</definedName>
    <definedName name="IQ_NI_DET_EST_THOM" hidden="1">"c12093"</definedName>
    <definedName name="IQ_NI_EST" hidden="1">"c1716"</definedName>
    <definedName name="IQ_NI_EST_DOWN_2MONTH" hidden="1">"c16429"</definedName>
    <definedName name="IQ_NI_EST_DOWN_2MONTH_THOM" hidden="1">"c17269"</definedName>
    <definedName name="IQ_NI_EST_DOWN_3MONTH" hidden="1">"c16433"</definedName>
    <definedName name="IQ_NI_EST_DOWN_3MONTH_THOM" hidden="1">"c17273"</definedName>
    <definedName name="IQ_NI_EST_DOWN_MONTH" hidden="1">"c16425"</definedName>
    <definedName name="IQ_NI_EST_DOWN_MONTH_THOM" hidden="1">"c17265"</definedName>
    <definedName name="IQ_NI_EST_NUM_ANALYSTS_2MONTH" hidden="1">"c16427"</definedName>
    <definedName name="IQ_NI_EST_NUM_ANALYSTS_2MONTH_THOM" hidden="1">"c17267"</definedName>
    <definedName name="IQ_NI_EST_NUM_ANALYSTS_3MONTH" hidden="1">"c16431"</definedName>
    <definedName name="IQ_NI_EST_NUM_ANALYSTS_3MONTH_THOM" hidden="1">"c17271"</definedName>
    <definedName name="IQ_NI_EST_NUM_ANALYSTS_MONTH" hidden="1">"c16423"</definedName>
    <definedName name="IQ_NI_EST_NUM_ANALYSTS_MONTH_THOM" hidden="1">"c17263"</definedName>
    <definedName name="IQ_NI_EST_REUT" hidden="1">"c5368"</definedName>
    <definedName name="IQ_NI_EST_THOM" hidden="1">"c5126"</definedName>
    <definedName name="IQ_NI_EST_TOTAL_REVISED_2MONTH" hidden="1">"c16430"</definedName>
    <definedName name="IQ_NI_EST_TOTAL_REVISED_2MONTH_THOM" hidden="1">"c17270"</definedName>
    <definedName name="IQ_NI_EST_TOTAL_REVISED_3MONTH" hidden="1">"c16434"</definedName>
    <definedName name="IQ_NI_EST_TOTAL_REVISED_3MONTH_THOM" hidden="1">"c17274"</definedName>
    <definedName name="IQ_NI_EST_TOTAL_REVISED_MONTH" hidden="1">"c16426"</definedName>
    <definedName name="IQ_NI_EST_TOTAL_REVISED_MONTH_THOM" hidden="1">"c17266"</definedName>
    <definedName name="IQ_NI_EST_UP_2MONTH" hidden="1">"c16428"</definedName>
    <definedName name="IQ_NI_EST_UP_2MONTH_THOM" hidden="1">"c17268"</definedName>
    <definedName name="IQ_NI_EST_UP_3MONTH" hidden="1">"c16432"</definedName>
    <definedName name="IQ_NI_EST_UP_3MONTH_THOM" hidden="1">"c17272"</definedName>
    <definedName name="IQ_NI_EST_UP_MONTH" hidden="1">"c16424"</definedName>
    <definedName name="IQ_NI_EST_UP_MONTH_THOM" hidden="1">"c17264"</definedName>
    <definedName name="IQ_NI_FFIEC" hidden="1">"c13034"</definedName>
    <definedName name="IQ_NI_GAAP_GUIDANCE_CIQ" hidden="1">"c5008"</definedName>
    <definedName name="IQ_NI_GAAP_GUIDANCE_CIQ_COL" hidden="1">"c11655"</definedName>
    <definedName name="IQ_NI_GAAP_HIGH_GUIDANCE_CIQ" hidden="1">"c4589"</definedName>
    <definedName name="IQ_NI_GAAP_HIGH_GUIDANCE_CIQ_COL" hidden="1">"c11238"</definedName>
    <definedName name="IQ_NI_GAAP_LOW_GUIDANCE_CIQ" hidden="1">"c4629"</definedName>
    <definedName name="IQ_NI_GAAP_LOW_GUIDANCE_CIQ_COL" hidden="1">"c11278"</definedName>
    <definedName name="IQ_NI_GUIDANCE_CIQ" hidden="1">"c5007"</definedName>
    <definedName name="IQ_NI_GUIDANCE_CIQ_COL" hidden="1">"c11654"</definedName>
    <definedName name="IQ_NI_GW_DET_EST" hidden="1">"c12063"</definedName>
    <definedName name="IQ_NI_GW_DET_EST_CURRENCY" hidden="1">"c12470"</definedName>
    <definedName name="IQ_NI_GW_DET_EST_DATE" hidden="1">"c12216"</definedName>
    <definedName name="IQ_NI_GW_DET_EST_INCL" hidden="1">"c12353"</definedName>
    <definedName name="IQ_NI_GW_DET_EST_INCL_THOM" hidden="1">"c17599"</definedName>
    <definedName name="IQ_NI_GW_DET_EST_NOTE" hidden="1">"c17532"</definedName>
    <definedName name="IQ_NI_GW_DET_EST_NOTE_THOM" hidden="1">"c17584"</definedName>
    <definedName name="IQ_NI_GW_EST" hidden="1">"c1723"</definedName>
    <definedName name="IQ_NI_GW_EST_DOWN_2MONTH" hidden="1">"c16453"</definedName>
    <definedName name="IQ_NI_GW_EST_DOWN_2MONTH_THOM" hidden="1">"c17281"</definedName>
    <definedName name="IQ_NI_GW_EST_DOWN_3MONTH" hidden="1">"c16457"</definedName>
    <definedName name="IQ_NI_GW_EST_DOWN_3MONTH_THOM" hidden="1">"c17285"</definedName>
    <definedName name="IQ_NI_GW_EST_DOWN_MONTH" hidden="1">"c16449"</definedName>
    <definedName name="IQ_NI_GW_EST_DOWN_MONTH_THOM" hidden="1">"c17277"</definedName>
    <definedName name="IQ_NI_GW_EST_NUM_ANALYSTS_2MONTH" hidden="1">"c16451"</definedName>
    <definedName name="IQ_NI_GW_EST_NUM_ANALYSTS_2MONTH_THOM" hidden="1">"c17279"</definedName>
    <definedName name="IQ_NI_GW_EST_NUM_ANALYSTS_3MONTH" hidden="1">"c16455"</definedName>
    <definedName name="IQ_NI_GW_EST_NUM_ANALYSTS_3MONTH_THOM" hidden="1">"c17283"</definedName>
    <definedName name="IQ_NI_GW_EST_NUM_ANALYSTS_MONTH" hidden="1">"c16447"</definedName>
    <definedName name="IQ_NI_GW_EST_NUM_ANALYSTS_MONTH_THOM" hidden="1">"c17275"</definedName>
    <definedName name="IQ_NI_GW_EST_REUT" hidden="1">"c5375"</definedName>
    <definedName name="IQ_NI_GW_EST_TOTAL_REVISED_2MONTH" hidden="1">"c16454"</definedName>
    <definedName name="IQ_NI_GW_EST_TOTAL_REVISED_2MONTH_THOM" hidden="1">"c17282"</definedName>
    <definedName name="IQ_NI_GW_EST_TOTAL_REVISED_3MONTH" hidden="1">"c16458"</definedName>
    <definedName name="IQ_NI_GW_EST_TOTAL_REVISED_3MONTH_THOM" hidden="1">"c17286"</definedName>
    <definedName name="IQ_NI_GW_EST_TOTAL_REVISED_MONTH" hidden="1">"c16450"</definedName>
    <definedName name="IQ_NI_GW_EST_TOTAL_REVISED_MONTH_THOM" hidden="1">"c17278"</definedName>
    <definedName name="IQ_NI_GW_EST_UP_2MONTH" hidden="1">"c16452"</definedName>
    <definedName name="IQ_NI_GW_EST_UP_2MONTH_THOM" hidden="1">"c17280"</definedName>
    <definedName name="IQ_NI_GW_EST_UP_3MONTH" hidden="1">"c16456"</definedName>
    <definedName name="IQ_NI_GW_EST_UP_3MONTH_THOM" hidden="1">"c17284"</definedName>
    <definedName name="IQ_NI_GW_EST_UP_MONTH" hidden="1">"c16448"</definedName>
    <definedName name="IQ_NI_GW_EST_UP_MONTH_THOM" hidden="1">"c17276"</definedName>
    <definedName name="IQ_NI_GW_GUIDANCE_CIQ" hidden="1">"c5009"</definedName>
    <definedName name="IQ_NI_GW_GUIDANCE_CIQ_COL" hidden="1">"c11656"</definedName>
    <definedName name="IQ_NI_GW_HIGH_EST" hidden="1">"c1725"</definedName>
    <definedName name="IQ_NI_GW_HIGH_EST_REUT" hidden="1">"c5377"</definedName>
    <definedName name="IQ_NI_GW_HIGH_GUIDANCE_CIQ" hidden="1">"c4590"</definedName>
    <definedName name="IQ_NI_GW_HIGH_GUIDANCE_CIQ_COL" hidden="1">"c11239"</definedName>
    <definedName name="IQ_NI_GW_LOW_EST" hidden="1">"c1726"</definedName>
    <definedName name="IQ_NI_GW_LOW_EST_REUT" hidden="1">"c5378"</definedName>
    <definedName name="IQ_NI_GW_LOW_GUIDANCE_CIQ" hidden="1">"c4630"</definedName>
    <definedName name="IQ_NI_GW_LOW_GUIDANCE_CIQ_COL" hidden="1">"c11279"</definedName>
    <definedName name="IQ_NI_GW_MEDIAN_EST" hidden="1">"c1724"</definedName>
    <definedName name="IQ_NI_GW_MEDIAN_EST_REUT" hidden="1">"c5376"</definedName>
    <definedName name="IQ_NI_GW_NUM_EST" hidden="1">"c1727"</definedName>
    <definedName name="IQ_NI_GW_NUM_EST_REUT" hidden="1">"c5379"</definedName>
    <definedName name="IQ_NI_GW_STDDEV_EST" hidden="1">"c1728"</definedName>
    <definedName name="IQ_NI_GW_STDDEV_EST_REUT" hidden="1">"c5380"</definedName>
    <definedName name="IQ_NI_HIGH_EST" hidden="1">"c1718"</definedName>
    <definedName name="IQ_NI_HIGH_EST_REUT" hidden="1">"c5370"</definedName>
    <definedName name="IQ_NI_HIGH_EST_THOM" hidden="1">"c5128"</definedName>
    <definedName name="IQ_NI_HIGH_GUIDANCE_CIQ" hidden="1">"c4588"</definedName>
    <definedName name="IQ_NI_HIGH_GUIDANCE_CIQ_COL" hidden="1">"c11237"</definedName>
    <definedName name="IQ_NI_LOW_EST" hidden="1">"c1719"</definedName>
    <definedName name="IQ_NI_LOW_EST_REUT" hidden="1">"c5371"</definedName>
    <definedName name="IQ_NI_LOW_EST_THOM" hidden="1">"c5129"</definedName>
    <definedName name="IQ_NI_LOW_GUIDANCE_CIQ" hidden="1">"c4628"</definedName>
    <definedName name="IQ_NI_LOW_GUIDANCE_CIQ_COL" hidden="1">"c11277"</definedName>
    <definedName name="IQ_NI_MARGIN" hidden="1">"c794"</definedName>
    <definedName name="IQ_NI_MEDIAN_EST" hidden="1">"c1717"</definedName>
    <definedName name="IQ_NI_MEDIAN_EST_REUT" hidden="1">"c5369"</definedName>
    <definedName name="IQ_NI_MEDIAN_EST_THOM" hidden="1">"c5127"</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NUM_EST_THOM" hidden="1">"c5130"</definedName>
    <definedName name="IQ_NI_REPORTED_DET_EST_NOTE" hidden="1">"c17537"</definedName>
    <definedName name="IQ_NI_REPORTED_DET_EST_ORIGIN" hidden="1">"c12588"</definedName>
    <definedName name="IQ_NI_REPORTED_EST" hidden="1">"c1730"</definedName>
    <definedName name="IQ_NI_REPORTED_EST_DOWN_2MONTH" hidden="1">"c16441"</definedName>
    <definedName name="IQ_NI_REPORTED_EST_DOWN_3MONTH" hidden="1">"c16445"</definedName>
    <definedName name="IQ_NI_REPORTED_EST_DOWN_MONTH" hidden="1">"c16437"</definedName>
    <definedName name="IQ_NI_REPORTED_EST_NUM_ANALYSTS_2MONTH" hidden="1">"c16439"</definedName>
    <definedName name="IQ_NI_REPORTED_EST_NUM_ANALYSTS_3MONTH" hidden="1">"c16443"</definedName>
    <definedName name="IQ_NI_REPORTED_EST_NUM_ANALYSTS_MONTH" hidden="1">"c16435"</definedName>
    <definedName name="IQ_NI_REPORTED_EST_REUT" hidden="1">"c5382"</definedName>
    <definedName name="IQ_NI_REPORTED_EST_TOTAL_REVISED_2MONTH" hidden="1">"c16442"</definedName>
    <definedName name="IQ_NI_REPORTED_EST_TOTAL_REVISED_3MONTH" hidden="1">"c16446"</definedName>
    <definedName name="IQ_NI_REPORTED_EST_TOTAL_REVISED_MONTH" hidden="1">"c16438"</definedName>
    <definedName name="IQ_NI_REPORTED_EST_UP_2MONTH" hidden="1">"c16440"</definedName>
    <definedName name="IQ_NI_REPORTED_EST_UP_3MONTH" hidden="1">"c16444"</definedName>
    <definedName name="IQ_NI_REPORTED_EST_UP_MONTH" hidden="1">"c16436"</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ACT_OR_EST_CIQ" hidden="1">"c5012"</definedName>
    <definedName name="IQ_NI_SBC_ACT_OR_EST_CIQ_COL" hidden="1">"c11659"</definedName>
    <definedName name="IQ_NI_SBC_EST" hidden="1">"c4473"</definedName>
    <definedName name="IQ_NI_SBC_GUIDANCE" hidden="1">"c4475"</definedName>
    <definedName name="IQ_NI_SBC_GUIDANCE_CIQ" hidden="1">"c5013"</definedName>
    <definedName name="IQ_NI_SBC_GUIDANCE_CIQ_COL" hidden="1">"c11660"</definedName>
    <definedName name="IQ_NI_SBC_GW_ACT_OR_EST" hidden="1">"c4478"</definedName>
    <definedName name="IQ_NI_SBC_GW_ACT_OR_EST_CIQ" hidden="1">"c5016"</definedName>
    <definedName name="IQ_NI_SBC_GW_ACT_OR_EST_CIQ_COL" hidden="1">"c11663"</definedName>
    <definedName name="IQ_NI_SBC_GW_EST" hidden="1">"c4477"</definedName>
    <definedName name="IQ_NI_SBC_GW_GUIDANCE" hidden="1">"c4479"</definedName>
    <definedName name="IQ_NI_SBC_GW_GUIDANCE_CIQ" hidden="1">"c5017"</definedName>
    <definedName name="IQ_NI_SBC_GW_GUIDANCE_CIQ_COL" hidden="1">"c11664"</definedName>
    <definedName name="IQ_NI_SBC_GW_HIGH_EST" hidden="1">"c4480"</definedName>
    <definedName name="IQ_NI_SBC_GW_HIGH_GUIDANCE" hidden="1">"c4187"</definedName>
    <definedName name="IQ_NI_SBC_GW_HIGH_GUIDANCE_CIQ" hidden="1">"c4599"</definedName>
    <definedName name="IQ_NI_SBC_GW_HIGH_GUIDANCE_CIQ_COL" hidden="1">"c11248"</definedName>
    <definedName name="IQ_NI_SBC_GW_LOW_EST" hidden="1">"c4481"</definedName>
    <definedName name="IQ_NI_SBC_GW_LOW_GUIDANCE" hidden="1">"c4227"</definedName>
    <definedName name="IQ_NI_SBC_GW_LOW_GUIDANCE_CIQ" hidden="1">"c4639"</definedName>
    <definedName name="IQ_NI_SBC_GW_LOW_GUIDANCE_CIQ_COL" hidden="1">"c11288"</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HIGH_GUIDANCE_CIQ" hidden="1">"c4598"</definedName>
    <definedName name="IQ_NI_SBC_HIGH_GUIDANCE_CIQ_COL" hidden="1">"c11247"</definedName>
    <definedName name="IQ_NI_SBC_LOW_EST" hidden="1">"c4487"</definedName>
    <definedName name="IQ_NI_SBC_LOW_GUIDANCE" hidden="1">"c4226"</definedName>
    <definedName name="IQ_NI_SBC_LOW_GUIDANCE_CIQ" hidden="1">"c4638"</definedName>
    <definedName name="IQ_NI_SBC_LOW_GUIDANCE_CIQ_COL" hidden="1">"c11287"</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CD_DEPOSITS" hidden="1">"c15718"</definedName>
    <definedName name="IQ_NON_CD_DEPOSITS_TOTAL_DEPOSITS" hidden="1">"c15725"</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VG_ASSETS_FFIEC" hidden="1">"c18878"</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AVG_ASSET" hidden="1">"c15707"</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 hidden="1">"c16179"</definedName>
    <definedName name="IQ_NON_RENTAL_NOI" hidden="1">"c16066"</definedName>
    <definedName name="IQ_NON_RENTAL_OPERATING_EXPENSE" hidden="1">"c16046"</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BER_ADRHOLDERS" hidden="1">"c1970"</definedName>
    <definedName name="IQ_NUMBER_CELL_SITES" hidden="1">"c15762"</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NUMBER_TRADES_EXECUTED" hidden="1">"c20428"</definedName>
    <definedName name="IQ_NUMBER_WIRELESS_TOWERS" hidden="1">"c15766"</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ITY_RESERVES_GAS" hidden="1">"c2050"</definedName>
    <definedName name="IQ_OG_EQUITY_RESERVES_NGL" hidden="1">"c2921"</definedName>
    <definedName name="IQ_OG_EQUITY_RESERVES_OIL" hidden="1">"c2038"</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ACT_OR_EST_THOM" hidden="1">"c5304"</definedName>
    <definedName name="IQ_OPER_INC_BR" hidden="1">"c850"</definedName>
    <definedName name="IQ_OPER_INC_DET_EST" hidden="1">"c12064"</definedName>
    <definedName name="IQ_OPER_INC_DET_EST_CURRENCY" hidden="1">"c12471"</definedName>
    <definedName name="IQ_OPER_INC_DET_EST_CURRENCY_THOM" hidden="1">"c12494"</definedName>
    <definedName name="IQ_OPER_INC_DET_EST_DATE" hidden="1">"c12217"</definedName>
    <definedName name="IQ_OPER_INC_DET_EST_DATE_THOM" hidden="1">"c12245"</definedName>
    <definedName name="IQ_OPER_INC_DET_EST_INCL" hidden="1">"c12354"</definedName>
    <definedName name="IQ_OPER_INC_DET_EST_INCL_THOM" hidden="1">"c12377"</definedName>
    <definedName name="IQ_OPER_INC_DET_EST_NOTE_THOM" hidden="1">"c17594"</definedName>
    <definedName name="IQ_OPER_INC_DET_EST_ORIGIN" hidden="1">"c12589"</definedName>
    <definedName name="IQ_OPER_INC_DET_EST_ORIGIN_THOM" hidden="1">"c12615"</definedName>
    <definedName name="IQ_OPER_INC_DET_EST_THOM" hidden="1">"c12095"</definedName>
    <definedName name="IQ_OPER_INC_EST" hidden="1">"c1688"</definedName>
    <definedName name="IQ_OPER_INC_EST_DOWN_2MONTH" hidden="1">"c16369"</definedName>
    <definedName name="IQ_OPER_INC_EST_DOWN_2MONTH_THOM" hidden="1">"c17233"</definedName>
    <definedName name="IQ_OPER_INC_EST_DOWN_3MONTH" hidden="1">"c16373"</definedName>
    <definedName name="IQ_OPER_INC_EST_DOWN_3MONTH_THOM" hidden="1">"c17237"</definedName>
    <definedName name="IQ_OPER_INC_EST_DOWN_MONTH" hidden="1">"c16365"</definedName>
    <definedName name="IQ_OPER_INC_EST_DOWN_MONTH_THOM" hidden="1">"c17229"</definedName>
    <definedName name="IQ_OPER_INC_EST_NUM_ANALYSTS_2MONTH" hidden="1">"c16367"</definedName>
    <definedName name="IQ_OPER_INC_EST_NUM_ANALYSTS_2MONTH_THOM" hidden="1">"c17231"</definedName>
    <definedName name="IQ_OPER_INC_EST_NUM_ANALYSTS_3MONTH" hidden="1">"c16371"</definedName>
    <definedName name="IQ_OPER_INC_EST_NUM_ANALYSTS_3MONTH_THOM" hidden="1">"c17235"</definedName>
    <definedName name="IQ_OPER_INC_EST_NUM_ANALYSTS_MONTH" hidden="1">"c16363"</definedName>
    <definedName name="IQ_OPER_INC_EST_NUM_ANALYSTS_MONTH_THOM" hidden="1">"c17227"</definedName>
    <definedName name="IQ_OPER_INC_EST_REUT" hidden="1">"c5340"</definedName>
    <definedName name="IQ_OPER_INC_EST_THOM" hidden="1">"c5112"</definedName>
    <definedName name="IQ_OPER_INC_EST_TOTAL_REVISED_2MONTH" hidden="1">"c16370"</definedName>
    <definedName name="IQ_OPER_INC_EST_TOTAL_REVISED_2MONTH_THOM" hidden="1">"c17234"</definedName>
    <definedName name="IQ_OPER_INC_EST_TOTAL_REVISED_3MONTH" hidden="1">"c16374"</definedName>
    <definedName name="IQ_OPER_INC_EST_TOTAL_REVISED_3MONTH_THOM" hidden="1">"c17238"</definedName>
    <definedName name="IQ_OPER_INC_EST_TOTAL_REVISED_MONTH" hidden="1">"c16366"</definedName>
    <definedName name="IQ_OPER_INC_EST_TOTAL_REVISED_MONTH_THOM" hidden="1">"c17230"</definedName>
    <definedName name="IQ_OPER_INC_EST_UP_2MONTH" hidden="1">"c16368"</definedName>
    <definedName name="IQ_OPER_INC_EST_UP_2MONTH_THOM" hidden="1">"c17232"</definedName>
    <definedName name="IQ_OPER_INC_EST_UP_3MONTH" hidden="1">"c16372"</definedName>
    <definedName name="IQ_OPER_INC_EST_UP_3MONTH_THOM" hidden="1">"c17236"</definedName>
    <definedName name="IQ_OPER_INC_EST_UP_MONTH" hidden="1">"c16364"</definedName>
    <definedName name="IQ_OPER_INC_EST_UP_MONTH_THOM" hidden="1">"c17228"</definedName>
    <definedName name="IQ_OPER_INC_FIN" hidden="1">"c851"</definedName>
    <definedName name="IQ_OPER_INC_HIGH_EST" hidden="1">"c1690"</definedName>
    <definedName name="IQ_OPER_INC_HIGH_EST_REUT" hidden="1">"c5342"</definedName>
    <definedName name="IQ_OPER_INC_HIGH_EST_THOM" hidden="1">"c5114"</definedName>
    <definedName name="IQ_OPER_INC_INS" hidden="1">"c852"</definedName>
    <definedName name="IQ_OPER_INC_LOW_EST" hidden="1">"c1691"</definedName>
    <definedName name="IQ_OPER_INC_LOW_EST_REUT" hidden="1">"c5343"</definedName>
    <definedName name="IQ_OPER_INC_LOW_EST_THOM" hidden="1">"c5115"</definedName>
    <definedName name="IQ_OPER_INC_MARGIN" hidden="1">"c1448"</definedName>
    <definedName name="IQ_OPER_INC_MEDIAN_EST" hidden="1">"c1689"</definedName>
    <definedName name="IQ_OPER_INC_MEDIAN_EST_REUT" hidden="1">"c5341"</definedName>
    <definedName name="IQ_OPER_INC_MEDIAN_EST_THOM" hidden="1">"c5113"</definedName>
    <definedName name="IQ_OPER_INC_NUM_EST" hidden="1">"c1692"</definedName>
    <definedName name="IQ_OPER_INC_NUM_EST_REUT" hidden="1">"c5344"</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STDDEV_EST_THOM" hidden="1">"c5117"</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NG_NOI_AVG_GROSS_PROP" hidden="1">"c16058"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RGANIC_GROWTH_RATE" hidden="1">"c20429"</definedName>
    <definedName name="IQ_OTHER_ADDITIONS_T1_FFIEC" hidden="1">"c13142"</definedName>
    <definedName name="IQ_OTHER_ADDITIONS_T2_FFIEC" hidden="1">"c13148"</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FFO" hidden="1">"c16180"</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FS_AMORT_COST_FFIEC" hidden="1">"c20503"</definedName>
    <definedName name="IQ_OTHER_DEBT_SEC_DOM_AFS_FAIR_VAL_FFIEC" hidden="1">"c20468"</definedName>
    <definedName name="IQ_OTHER_DEBT_SEC_DOM_AVAIL_SALE_FFIEC" hidden="1">"c12803"</definedName>
    <definedName name="IQ_OTHER_DEBT_SEC_FOREIGN_AFS_AMORT_COST_FFIEC" hidden="1">"c20504"</definedName>
    <definedName name="IQ_OTHER_DEBT_SEC_FOREIGN_AFS_FAIR_VAL_FFIEC" hidden="1">"c20469"</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DOM_HTM_AMORT_COST_FFIEC" hidden="1">"c20451"</definedName>
    <definedName name="IQ_OTHER_DEBT_SECURITIES_DOM_HTM_FAIR_VAL_FFIEC" hidden="1">"c20486"</definedName>
    <definedName name="IQ_OTHER_DEBT_SECURITIES_FOREIGN_FFIEC" hidden="1">"c12790"</definedName>
    <definedName name="IQ_OTHER_DEBT_SECURITIES_FOREIGN_HTM_AMORT_COST_FFIEC" hidden="1">"c20452"</definedName>
    <definedName name="IQ_OTHER_DEBT_SECURITIES_FOREIGN_HTM_FAIR_VAL_FFIEC" hidden="1">"c20487"</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DOMESTIC_DEBT_SECURITIES_FDIC" hidden="1">"c6302"</definedName>
    <definedName name="IQ_OTHER_EARNING" hidden="1">"c1609"</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OTAL_LOANS" hidden="1">"c15716"</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FS_AMORT_COST_FFIEC" hidden="1">"c20498"</definedName>
    <definedName name="IQ_OTHER_MBS_AFS_FAIR_VAL_FFIEC" hidden="1">"c20463"</definedName>
    <definedName name="IQ_OTHER_MBS_AVAIL_SALE_FFIEC" hidden="1">"c12801"</definedName>
    <definedName name="IQ_OTHER_MBS_FFIEC" hidden="1">"c12787"</definedName>
    <definedName name="IQ_OTHER_MBS_HTM_AMORT_COST_FFIEC" hidden="1">"c20446"</definedName>
    <definedName name="IQ_OTHER_MBS_HTM_FAIR_VAL_FFIEC" hidden="1">"c20481"</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MINING_REVENUE_COAL" hidden="1">"c15931"</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PROP_OPERATING_EXPENSE" hidden="1">"c16043"</definedName>
    <definedName name="IQ_OTHER_PROP_OPERATING_REVENUE" hidden="1">"c16027"</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BV_FWD_THOM" hidden="1">"c15237"</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EXCL_FWD_THOM" hidden="1">"c4056"</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G_FWD_THOM" hidden="1">"c4059"</definedName>
    <definedName name="IQ_PENETRATION_BASIC_CABLE" hidden="1">"c16204"</definedName>
    <definedName name="IQ_PENETRATION_BBAND" hidden="1">"c2852"</definedName>
    <definedName name="IQ_PENETRATION_BBAND_THP" hidden="1">"c2851"</definedName>
    <definedName name="IQ_PENETRATION_PHONE" hidden="1">"c2853"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5YR_GROWTH_RATE_WEEK_THOM" hidden="1">"c5277"</definedName>
    <definedName name="IQ_PERCENT_CHANGE_EST_CFPS_12MONTHS" hidden="1">"c1812"</definedName>
    <definedName name="IQ_PERCENT_CHANGE_EST_CFPS_12MONTHS_REUT" hidden="1">"c3924"</definedName>
    <definedName name="IQ_PERCENT_CHANGE_EST_CFPS_12MONTHS_THOM" hidden="1">"c5234"</definedName>
    <definedName name="IQ_PERCENT_CHANGE_EST_CFPS_18MONTHS" hidden="1">"c1813"</definedName>
    <definedName name="IQ_PERCENT_CHANGE_EST_CFPS_18MONTHS_REUT" hidden="1">"c3925"</definedName>
    <definedName name="IQ_PERCENT_CHANGE_EST_CFPS_18MONTHS_THOM" hidden="1">"c5235"</definedName>
    <definedName name="IQ_PERCENT_CHANGE_EST_CFPS_3MONTHS" hidden="1">"c1809"</definedName>
    <definedName name="IQ_PERCENT_CHANGE_EST_CFPS_3MONTHS_REUT" hidden="1">"c3921"</definedName>
    <definedName name="IQ_PERCENT_CHANGE_EST_CFPS_3MONTHS_THOM" hidden="1">"c5231"</definedName>
    <definedName name="IQ_PERCENT_CHANGE_EST_CFPS_6MONTHS" hidden="1">"c1810"</definedName>
    <definedName name="IQ_PERCENT_CHANGE_EST_CFPS_6MONTHS_REUT" hidden="1">"c3922"</definedName>
    <definedName name="IQ_PERCENT_CHANGE_EST_CFPS_6MONTHS_THOM" hidden="1">"c5232"</definedName>
    <definedName name="IQ_PERCENT_CHANGE_EST_CFPS_9MONTHS" hidden="1">"c1811"</definedName>
    <definedName name="IQ_PERCENT_CHANGE_EST_CFPS_9MONTHS_REUT" hidden="1">"c3923"</definedName>
    <definedName name="IQ_PERCENT_CHANGE_EST_CFPS_9MONTHS_THOM" hidden="1">"c5233"</definedName>
    <definedName name="IQ_PERCENT_CHANGE_EST_CFPS_DAY" hidden="1">"c1806"</definedName>
    <definedName name="IQ_PERCENT_CHANGE_EST_CFPS_DAY_REUT" hidden="1">"c3919"</definedName>
    <definedName name="IQ_PERCENT_CHANGE_EST_CFPS_DAY_THOM" hidden="1">"c5229"</definedName>
    <definedName name="IQ_PERCENT_CHANGE_EST_CFPS_MONTH" hidden="1">"c1808"</definedName>
    <definedName name="IQ_PERCENT_CHANGE_EST_CFPS_MONTH_REUT" hidden="1">"c3920"</definedName>
    <definedName name="IQ_PERCENT_CHANGE_EST_CFPS_MONTH_THOM" hidden="1">"c5230"</definedName>
    <definedName name="IQ_PERCENT_CHANGE_EST_CFPS_WEEK" hidden="1">"c1807"</definedName>
    <definedName name="IQ_PERCENT_CHANGE_EST_CFPS_WEEK_REUT" hidden="1">"c3962"</definedName>
    <definedName name="IQ_PERCENT_CHANGE_EST_CFPS_WEEK_THOM" hidden="1">"c5272"</definedName>
    <definedName name="IQ_PERCENT_CHANGE_EST_DPS_12MONTHS" hidden="1">"c1820"</definedName>
    <definedName name="IQ_PERCENT_CHANGE_EST_DPS_12MONTHS_REUT" hidden="1">"c3931"</definedName>
    <definedName name="IQ_PERCENT_CHANGE_EST_DPS_12MONTHS_THOM" hidden="1">"c5241"</definedName>
    <definedName name="IQ_PERCENT_CHANGE_EST_DPS_18MONTHS" hidden="1">"c1821"</definedName>
    <definedName name="IQ_PERCENT_CHANGE_EST_DPS_18MONTHS_REUT" hidden="1">"c3932"</definedName>
    <definedName name="IQ_PERCENT_CHANGE_EST_DPS_18MONTHS_THOM" hidden="1">"c5242"</definedName>
    <definedName name="IQ_PERCENT_CHANGE_EST_DPS_3MONTHS" hidden="1">"c1817"</definedName>
    <definedName name="IQ_PERCENT_CHANGE_EST_DPS_3MONTHS_REUT" hidden="1">"c3928"</definedName>
    <definedName name="IQ_PERCENT_CHANGE_EST_DPS_3MONTHS_THOM" hidden="1">"c5238"</definedName>
    <definedName name="IQ_PERCENT_CHANGE_EST_DPS_6MONTHS" hidden="1">"c1818"</definedName>
    <definedName name="IQ_PERCENT_CHANGE_EST_DPS_6MONTHS_REUT" hidden="1">"c3929"</definedName>
    <definedName name="IQ_PERCENT_CHANGE_EST_DPS_6MONTHS_THOM" hidden="1">"c5239"</definedName>
    <definedName name="IQ_PERCENT_CHANGE_EST_DPS_9MONTHS" hidden="1">"c1819"</definedName>
    <definedName name="IQ_PERCENT_CHANGE_EST_DPS_9MONTHS_REUT" hidden="1">"c3930"</definedName>
    <definedName name="IQ_PERCENT_CHANGE_EST_DPS_9MONTHS_THOM" hidden="1">"c5240"</definedName>
    <definedName name="IQ_PERCENT_CHANGE_EST_DPS_DAY" hidden="1">"c1814"</definedName>
    <definedName name="IQ_PERCENT_CHANGE_EST_DPS_DAY_REUT" hidden="1">"c3926"</definedName>
    <definedName name="IQ_PERCENT_CHANGE_EST_DPS_DAY_THOM" hidden="1">"c5236"</definedName>
    <definedName name="IQ_PERCENT_CHANGE_EST_DPS_MONTH" hidden="1">"c1816"</definedName>
    <definedName name="IQ_PERCENT_CHANGE_EST_DPS_MONTH_REUT" hidden="1">"c3927"</definedName>
    <definedName name="IQ_PERCENT_CHANGE_EST_DPS_MONTH_THOM" hidden="1">"c5237"</definedName>
    <definedName name="IQ_PERCENT_CHANGE_EST_DPS_WEEK" hidden="1">"c1815"</definedName>
    <definedName name="IQ_PERCENT_CHANGE_EST_DPS_WEEK_REUT" hidden="1">"c3963"</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REUT" hidden="1">"c3896"</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REUT" hidden="1">"c3897"</definedName>
    <definedName name="IQ_PERCENT_CHANGE_EST_EPS_WEEK_THOM" hidden="1">"c5207"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12MONTHS" hidden="1">"c1828"</definedName>
    <definedName name="IQ_PERCENT_CHANGE_EST_FFO_SHARE_12MONTHS_THOM" hidden="1">"c5248"</definedName>
    <definedName name="IQ_PERCENT_CHANGE_EST_FFO_SHARE_18MONTHS" hidden="1">"c1829"</definedName>
    <definedName name="IQ_PERCENT_CHANGE_EST_FFO_SHARE_18MONTHS_THOM" hidden="1">"c5249"</definedName>
    <definedName name="IQ_PERCENT_CHANGE_EST_FFO_SHARE_3MONTHS" hidden="1">"c1825"</definedName>
    <definedName name="IQ_PERCENT_CHANGE_EST_FFO_SHARE_3MONTHS_THOM" hidden="1">"c5245"</definedName>
    <definedName name="IQ_PERCENT_CHANGE_EST_FFO_SHARE_6MONTHS" hidden="1">"c1826"</definedName>
    <definedName name="IQ_PERCENT_CHANGE_EST_FFO_SHARE_6MONTHS_THOM" hidden="1">"c5246"</definedName>
    <definedName name="IQ_PERCENT_CHANGE_EST_FFO_SHARE_9MONTHS" hidden="1">"c1827"</definedName>
    <definedName name="IQ_PERCENT_CHANGE_EST_FFO_SHARE_9MONTHS_THOM" hidden="1">"c5247"</definedName>
    <definedName name="IQ_PERCENT_CHANGE_EST_FFO_SHARE_DAY" hidden="1">"c1822"</definedName>
    <definedName name="IQ_PERCENT_CHANGE_EST_FFO_SHARE_DAY_THOM" hidden="1">"c5243"</definedName>
    <definedName name="IQ_PERCENT_CHANGE_EST_FFO_SHARE_MONTH" hidden="1">"c1824"</definedName>
    <definedName name="IQ_PERCENT_CHANGE_EST_FFO_SHARE_MONTH_THOM" hidden="1">"c5244"</definedName>
    <definedName name="IQ_PERCENT_CHANGE_EST_FFO_SHARE_SHARE_12MONTHS" hidden="1">"c1828"</definedName>
    <definedName name="IQ_PERCENT_CHANGE_EST_FFO_SHARE_SHARE_12MONTHS_THOM" hidden="1">"c5248"</definedName>
    <definedName name="IQ_PERCENT_CHANGE_EST_FFO_SHARE_SHARE_18MONTHS" hidden="1">"c1829"</definedName>
    <definedName name="IQ_PERCENT_CHANGE_EST_FFO_SHARE_SHARE_18MONTHS_THOM" hidden="1">"c5249"</definedName>
    <definedName name="IQ_PERCENT_CHANGE_EST_FFO_SHARE_SHARE_3MONTHS" hidden="1">"c1825"</definedName>
    <definedName name="IQ_PERCENT_CHANGE_EST_FFO_SHARE_SHARE_3MONTHS_THOM" hidden="1">"c5245"</definedName>
    <definedName name="IQ_PERCENT_CHANGE_EST_FFO_SHARE_SHARE_6MONTHS" hidden="1">"c1826"</definedName>
    <definedName name="IQ_PERCENT_CHANGE_EST_FFO_SHARE_SHARE_6MONTHS_THOM" hidden="1">"c5246"</definedName>
    <definedName name="IQ_PERCENT_CHANGE_EST_FFO_SHARE_SHARE_9MONTHS" hidden="1">"c1827"</definedName>
    <definedName name="IQ_PERCENT_CHANGE_EST_FFO_SHARE_SHARE_9MONTHS_THOM" hidden="1">"c5247"</definedName>
    <definedName name="IQ_PERCENT_CHANGE_EST_FFO_SHARE_SHARE_DAY" hidden="1">"c1822"</definedName>
    <definedName name="IQ_PERCENT_CHANGE_EST_FFO_SHARE_SHARE_DAY_THOM" hidden="1">"c5243"</definedName>
    <definedName name="IQ_PERCENT_CHANGE_EST_FFO_SHARE_SHARE_MONTH" hidden="1">"c1824"</definedName>
    <definedName name="IQ_PERCENT_CHANGE_EST_FFO_SHARE_SHARE_MONTH_THOM" hidden="1">"c5244"</definedName>
    <definedName name="IQ_PERCENT_CHANGE_EST_FFO_SHARE_SHARE_WEEK" hidden="1">"c1823"</definedName>
    <definedName name="IQ_PERCENT_CHANGE_EST_FFO_SHARE_SHARE_WEEK_THOM" hidden="1">"c5274"</definedName>
    <definedName name="IQ_PERCENT_CHANGE_EST_FFO_SHARE_WEEK" hidden="1">"c1823"</definedName>
    <definedName name="IQ_PERCENT_CHANGE_EST_FFO_SHARE_WEEK_THOM" hidden="1">"c5274"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REUT" hidden="1">"c3940"</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REUT" hidden="1">"c3965"</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REUT" hidden="1">"c3904"</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REUT" hidden="1">"c3905"</definedName>
    <definedName name="IQ_PERCENT_CHANGE_EST_REV_WEEK_THOM" hidden="1">"c5215"</definedName>
    <definedName name="IQ_PERCENT_INSURED_FDIC" hidden="1">"c6374"</definedName>
    <definedName name="IQ_PERCENTAGE_RENT" hidden="1">"c16018"</definedName>
    <definedName name="IQ_PERCENTAGE_RENT_RENTAL_REVENUE" hidden="1">"c16063"</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RTFOLIO_SHARES" hidden="1">"c19116"</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CIQ_COL" hidden="1">"c11711"</definedName>
    <definedName name="IQ_PRE_TAX_ACT_OR_EST_REUT" hidden="1">"c5467"</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DET_EST_NOTE" hidden="1">"c17536"</definedName>
    <definedName name="IQ_PRETAX_GW_INC_EST" hidden="1">"c1702"</definedName>
    <definedName name="IQ_PRETAX_GW_INC_EST_DOWN_2MONTH" hidden="1">"c16417"</definedName>
    <definedName name="IQ_PRETAX_GW_INC_EST_DOWN_3MONTH" hidden="1">"c16421"</definedName>
    <definedName name="IQ_PRETAX_GW_INC_EST_DOWN_MONTH" hidden="1">"c16413"</definedName>
    <definedName name="IQ_PRETAX_GW_INC_EST_NUM_ANALYSTS_2MONTH" hidden="1">"c16415"</definedName>
    <definedName name="IQ_PRETAX_GW_INC_EST_NUM_ANALYSTS_3MONTH" hidden="1">"c16419"</definedName>
    <definedName name="IQ_PRETAX_GW_INC_EST_NUM_ANALYSTS_MONTH" hidden="1">"c16411"</definedName>
    <definedName name="IQ_PRETAX_GW_INC_EST_REUT" hidden="1">"c5354"</definedName>
    <definedName name="IQ_PRETAX_GW_INC_EST_TOTAL_REVISED_2MONTH" hidden="1">"c16418"</definedName>
    <definedName name="IQ_PRETAX_GW_INC_EST_TOTAL_REVISED_3MONTH" hidden="1">"c16422"</definedName>
    <definedName name="IQ_PRETAX_GW_INC_EST_TOTAL_REVISED_MONTH" hidden="1">"c16414"</definedName>
    <definedName name="IQ_PRETAX_GW_INC_EST_UP_2MONTH" hidden="1">"c16416"</definedName>
    <definedName name="IQ_PRETAX_GW_INC_EST_UP_3MONTH" hidden="1">"c16420"</definedName>
    <definedName name="IQ_PRETAX_GW_INC_EST_UP_MONTH" hidden="1">"c16412"</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DET_EST" hidden="1">"c12055"</definedName>
    <definedName name="IQ_PRETAX_INC_DET_EST_CURRENCY" hidden="1">"c12462"</definedName>
    <definedName name="IQ_PRETAX_INC_DET_EST_CURRENCY_THOM" hidden="1">"c12483"</definedName>
    <definedName name="IQ_PRETAX_INC_DET_EST_DATE" hidden="1">"c12208"</definedName>
    <definedName name="IQ_PRETAX_INC_DET_EST_DATE_THOM" hidden="1">"c12234"</definedName>
    <definedName name="IQ_PRETAX_INC_DET_EST_INCL" hidden="1">"c12345"</definedName>
    <definedName name="IQ_PRETAX_INC_DET_EST_INCL_THOM" hidden="1">"c12366"</definedName>
    <definedName name="IQ_PRETAX_INC_DET_EST_NOTE" hidden="1">"c17534"</definedName>
    <definedName name="IQ_PRETAX_INC_DET_EST_NOTE_THOM" hidden="1">"c17586"</definedName>
    <definedName name="IQ_PRETAX_INC_DET_EST_ORIGIN" hidden="1">"c12771"</definedName>
    <definedName name="IQ_PRETAX_INC_DET_EST_ORIGIN_THOM" hidden="1">"c12604"</definedName>
    <definedName name="IQ_PRETAX_INC_DET_EST_THOM" hidden="1">"c12084"</definedName>
    <definedName name="IQ_PRETAX_INC_EST" hidden="1">"c1695"</definedName>
    <definedName name="IQ_PRETAX_INC_EST_DOWN_2MONTH" hidden="1">"c16393"</definedName>
    <definedName name="IQ_PRETAX_INC_EST_DOWN_2MONTH_THOM" hidden="1">"c17257"</definedName>
    <definedName name="IQ_PRETAX_INC_EST_DOWN_3MONTH" hidden="1">"c16397"</definedName>
    <definedName name="IQ_PRETAX_INC_EST_DOWN_3MONTH_THOM" hidden="1">"c17261"</definedName>
    <definedName name="IQ_PRETAX_INC_EST_DOWN_MONTH" hidden="1">"c16389"</definedName>
    <definedName name="IQ_PRETAX_INC_EST_DOWN_MONTH_THOM" hidden="1">"c17253"</definedName>
    <definedName name="IQ_PRETAX_INC_EST_NUM_ANALYSTS_2MONTH" hidden="1">"c16391"</definedName>
    <definedName name="IQ_PRETAX_INC_EST_NUM_ANALYSTS_2MONTH_THOM" hidden="1">"c17255"</definedName>
    <definedName name="IQ_PRETAX_INC_EST_NUM_ANALYSTS_3MONTH" hidden="1">"c16395"</definedName>
    <definedName name="IQ_PRETAX_INC_EST_NUM_ANALYSTS_3MONTH_THOM" hidden="1">"c17259"</definedName>
    <definedName name="IQ_PRETAX_INC_EST_NUM_ANALYSTS_MONTH" hidden="1">"c16387"</definedName>
    <definedName name="IQ_PRETAX_INC_EST_NUM_ANALYSTS_MONTH_THOM" hidden="1">"c17251"</definedName>
    <definedName name="IQ_PRETAX_INC_EST_REUT" hidden="1">"c5347"</definedName>
    <definedName name="IQ_PRETAX_INC_EST_THOM" hidden="1">"c5119"</definedName>
    <definedName name="IQ_PRETAX_INC_EST_TOTAL_REVISED_2MONTH" hidden="1">"c16394"</definedName>
    <definedName name="IQ_PRETAX_INC_EST_TOTAL_REVISED_2MONTH_THOM" hidden="1">"c17258"</definedName>
    <definedName name="IQ_PRETAX_INC_EST_TOTAL_REVISED_3MONTH" hidden="1">"c16398"</definedName>
    <definedName name="IQ_PRETAX_INC_EST_TOTAL_REVISED_3MONTH_THOM" hidden="1">"c17262"</definedName>
    <definedName name="IQ_PRETAX_INC_EST_TOTAL_REVISED_MONTH" hidden="1">"c16390"</definedName>
    <definedName name="IQ_PRETAX_INC_EST_TOTAL_REVISED_MONTH_THOM" hidden="1">"c17254"</definedName>
    <definedName name="IQ_PRETAX_INC_EST_UP_2MONTH" hidden="1">"c16392"</definedName>
    <definedName name="IQ_PRETAX_INC_EST_UP_2MONTH_THOM" hidden="1">"c17256"</definedName>
    <definedName name="IQ_PRETAX_INC_EST_UP_3MONTH" hidden="1">"c16396"</definedName>
    <definedName name="IQ_PRETAX_INC_EST_UP_3MONTH_THOM" hidden="1">"c17260"</definedName>
    <definedName name="IQ_PRETAX_INC_EST_UP_MONTH" hidden="1">"c16388"</definedName>
    <definedName name="IQ_PRETAX_INC_EST_UP_MONTH_THOM" hidden="1">"c17252"</definedName>
    <definedName name="IQ_PRETAX_INC_HIGH_EST" hidden="1">"c1697"</definedName>
    <definedName name="IQ_PRETAX_INC_HIGH_EST_REUT" hidden="1">"c5349"</definedName>
    <definedName name="IQ_PRETAX_INC_HIGH_EST_THOM" hidden="1">"c5121"</definedName>
    <definedName name="IQ_PRETAX_INC_LOW_EST" hidden="1">"c1698"</definedName>
    <definedName name="IQ_PRETAX_INC_LOW_EST_REUT" hidden="1">"c5350"</definedName>
    <definedName name="IQ_PRETAX_INC_LOW_EST_THOM" hidden="1">"c5122"</definedName>
    <definedName name="IQ_PRETAX_INC_MEDIAN_EST" hidden="1">"c1696"</definedName>
    <definedName name="IQ_PRETAX_INC_MEDIAN_EST_REUT" hidden="1">"c5348"</definedName>
    <definedName name="IQ_PRETAX_INC_MEDIAN_EST_THOM" hidden="1">"c5120"</definedName>
    <definedName name="IQ_PRETAX_INC_NUM_EST" hidden="1">"c1699"</definedName>
    <definedName name="IQ_PRETAX_INC_NUM_EST_REUT" hidden="1">"c5351"</definedName>
    <definedName name="IQ_PRETAX_INC_NUM_EST_THOM" hidden="1">"c5123"</definedName>
    <definedName name="IQ_PRETAX_INC_STDDEV_EST" hidden="1">"c1700"</definedName>
    <definedName name="IQ_PRETAX_INC_STDDEV_EST_REUT" hidden="1">"c5352"</definedName>
    <definedName name="IQ_PRETAX_INC_STDDEV_EST_THOM" hidden="1">"c5124"</definedName>
    <definedName name="IQ_PRETAX_OPERATING_INC_AVG_ASSETS_FFIEC" hidden="1">"c13365"</definedName>
    <definedName name="IQ_PRETAX_REPORT_INC_DET_EST_NOTE" hidden="1">"c17535"</definedName>
    <definedName name="IQ_PRETAX_REPORT_INC_EST" hidden="1">"c1709"</definedName>
    <definedName name="IQ_PRETAX_REPORT_INC_EST_DOWN_2MONTH" hidden="1">"c16405"</definedName>
    <definedName name="IQ_PRETAX_REPORT_INC_EST_DOWN_3MONTH" hidden="1">"c16409"</definedName>
    <definedName name="IQ_PRETAX_REPORT_INC_EST_DOWN_MONTH" hidden="1">"c16401"</definedName>
    <definedName name="IQ_PRETAX_REPORT_INC_EST_NUM_ANALYSTS_2MONTH" hidden="1">"c16403"</definedName>
    <definedName name="IQ_PRETAX_REPORT_INC_EST_NUM_ANALYSTS_3MONTH" hidden="1">"c16407"</definedName>
    <definedName name="IQ_PRETAX_REPORT_INC_EST_NUM_ANALYSTS_MONTH" hidden="1">"c16399"</definedName>
    <definedName name="IQ_PRETAX_REPORT_INC_EST_REUT" hidden="1">"c5361"</definedName>
    <definedName name="IQ_PRETAX_REPORT_INC_EST_TOTAL_REVISED_2MONTH" hidden="1">"c16406"</definedName>
    <definedName name="IQ_PRETAX_REPORT_INC_EST_TOTAL_REVISED_3MONTH" hidden="1">"c16410"</definedName>
    <definedName name="IQ_PRETAX_REPORT_INC_EST_TOTAL_REVISED_MONTH" hidden="1">"c16402"</definedName>
    <definedName name="IQ_PRETAX_REPORT_INC_EST_UP_2MONTH" hidden="1">"c16404"</definedName>
    <definedName name="IQ_PRETAX_REPORT_INC_EST_UP_3MONTH" hidden="1">"c16408"</definedName>
    <definedName name="IQ_PRETAX_REPORT_INC_EST_UP_MONTH" hidden="1">"c16400"</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ETAX_RETURN_ASSETS_FDIC" hidden="1">"c6731"</definedName>
    <definedName name="IQ_PREV_MONTHLY_FACTOR" hidden="1">"c8973"</definedName>
    <definedName name="IQ_PREV_MONTHLY_FACTOR_DATE" hidden="1">"c8974"</definedName>
    <definedName name="IQ_PREVIOUS_TIME_RT" hidden="1">"PREVIOUSLASTTIME"</definedName>
    <definedName name="IQ_PRICE_CFPS_FWD" hidden="1">"c2237"</definedName>
    <definedName name="IQ_PRICE_CFPS_FWD_REUT" hidden="1">"c4053"</definedName>
    <definedName name="IQ_PRICE_CFPS_FWD_THOM" hidden="1">"c4060"</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SALES" hidden="1">"c17552"</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REUT" hidden="1">"c3631"</definedName>
    <definedName name="IQ_PRICE_TARGET_THOM" hidden="1">"c3649"</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_VOLATILITY_EST" hidden="1">"c4492"</definedName>
    <definedName name="IQ_PRICE_VOLATILITY_EST_CIQ_COL" hidden="1">"c11677"</definedName>
    <definedName name="IQ_PRICE_VOLATILITY_HIGH" hidden="1">"c4493"</definedName>
    <definedName name="IQ_PRICE_VOLATILITY_HIGH_CIQ_COL" hidden="1">"c11678"</definedName>
    <definedName name="IQ_PRICE_VOLATILITY_LOW" hidden="1">"c4494"</definedName>
    <definedName name="IQ_PRICE_VOLATILITY_LOW_CIQ_COL" hidden="1">"c11679"</definedName>
    <definedName name="IQ_PRICE_VOLATILITY_MEDIAN" hidden="1">"c4495"</definedName>
    <definedName name="IQ_PRICE_VOLATILITY_MEDIAN_CIQ_COL" hidden="1">"c11680"</definedName>
    <definedName name="IQ_PRICE_VOLATILITY_NUM" hidden="1">"c4496"</definedName>
    <definedName name="IQ_PRICE_VOLATILITY_NUM_CIQ_COL" hidden="1">"c11681"</definedName>
    <definedName name="IQ_PRICE_VOLATILITY_STDDEV" hidden="1">"c4497"</definedName>
    <definedName name="IQ_PRICE_VOLATILITY_STDDEV_CIQ_COL" hidden="1">"c11682"</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CIQ" hidden="1">"c5036"</definedName>
    <definedName name="IQ_PRIMARY_EPS_TYPE_REUT" hidden="1">"c5481"</definedName>
    <definedName name="IQ_PRIMARY_EST_CONSOLIDATION" hidden="1">"c16246"</definedName>
    <definedName name="IQ_PRIMARY_EST_CONSOLIDATION_CIQ" hidden="1">"c16247"</definedName>
    <definedName name="IQ_PRIMARY_EST_CONSOLIDATION_THOM" hidden="1">"c16248"</definedName>
    <definedName name="IQ_PRIMARY_INDUSTRY" hidden="1">"c1070"</definedName>
    <definedName name="IQ_PRIMARY_SIC_CODE" hidden="1">"c16218"</definedName>
    <definedName name="IQ_PRIMARY_SIC_INDUSTRY" hidden="1">"c16217"</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BABLE_RESERVES_TO_TOTAL_RESERVES_COAL" hidden="1">"c15953"</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DUCTION_TO_SOLD_COAL" hidden="1">"c15945"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BONUS" hidden="1">"c18940"</definedName>
    <definedName name="IQ_PROFESSIONAL_CALCULATED_COMP" hidden="1">"c18947"</definedName>
    <definedName name="IQ_PROFESSIONAL_CHANGE_PENSION" hidden="1">"c18962"</definedName>
    <definedName name="IQ_PROFESSIONAL_DIRECT_FAX" hidden="1">"c15166"</definedName>
    <definedName name="IQ_PROFESSIONAL_DIRECT_PHONE" hidden="1">"c15165"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 hidden="1">"c15167"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ID" hidden="1">"c13755"</definedName>
    <definedName name="IQ_PROFESSIONAL_LT_INCENTIVE" hidden="1">"c18943"</definedName>
    <definedName name="IQ_PROFESSIONAL_MAIN_FAX" hidden="1">"c15164"</definedName>
    <definedName name="IQ_PROFESSIONAL_MAIN_PHONE" hidden="1">"c15163"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 hidden="1">"c15162"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"c1379"</definedName>
    <definedName name="IQ_PROPERTY_MGMT_FEE" hidden="1">"c1074"</definedName>
    <definedName name="IQ_PROPERTY_NET" hidden="1">"c1402"</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FFIEC" hidden="1">"c13019"</definedName>
    <definedName name="IQ_PROVISION_LOAN_LOSS_AVG_ASSETS_FFIEC" hidden="1">"c18879"</definedName>
    <definedName name="IQ_PROVISION_LOSSES_AVG_ASSETS_FFIEC" hidden="1">"c13362"</definedName>
    <definedName name="IQ_PROVISION_LOSSES_AVG_LOANS_FFIEC" hidden="1">"c13470"</definedName>
    <definedName name="IQ_PROVISION_LOSSES_NET_LOSSES_FFIEC" hidden="1">"c13471"</definedName>
    <definedName name="IQ_PSGR_REV" hidden="1">"c19125"</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OAL" hidden="1">"c15934"</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TE_COUNTRY" hidden="1">"c19247"</definedName>
    <definedName name="IQ_RATE_LEVEL" hidden="1">"c19251"</definedName>
    <definedName name="IQ_RATE_NAME" hidden="1">"c19249"</definedName>
    <definedName name="IQ_RATE_TERM" hidden="1">"c19248"</definedName>
    <definedName name="IQ_RATE_TYPE" hidden="1">"c19246"</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DEPR_AMORT" hidden="1">"c8750"</definedName>
    <definedName name="IQ_RE_DEPRECIATION" hidden="1">"c16045"</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ENTAL_EXPENSE" hidden="1">"c16036"</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ENT_FUNDS" hidden="1">"c18908"</definedName>
    <definedName name="IQ_RECENT_FUNDS_ID" hidden="1">"c18909"</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ACT_OR_EST_CIQ_COL" hidden="1">"c11692"</definedName>
    <definedName name="IQ_RECURRING_PROFIT_EST" hidden="1">"c4499"</definedName>
    <definedName name="IQ_RECURRING_PROFIT_GUIDANCE" hidden="1">"c4500"</definedName>
    <definedName name="IQ_RECURRING_PROFIT_GUIDANCE_CIQ" hidden="1">"c5038"</definedName>
    <definedName name="IQ_RECURRING_PROFIT_GUIDANCE_CIQ_COL" hidden="1">"c11685"</definedName>
    <definedName name="IQ_RECURRING_PROFIT_HIGH_EST" hidden="1">"c4501"</definedName>
    <definedName name="IQ_RECURRING_PROFIT_HIGH_GUIDANCE" hidden="1">"c4179"</definedName>
    <definedName name="IQ_RECURRING_PROFIT_HIGH_GUIDANCE_CIQ" hidden="1">"c4591"</definedName>
    <definedName name="IQ_RECURRING_PROFIT_HIGH_GUIDANCE_CIQ_COL" hidden="1">"c11240"</definedName>
    <definedName name="IQ_RECURRING_PROFIT_LOW_EST" hidden="1">"c4502"</definedName>
    <definedName name="IQ_RECURRING_PROFIT_LOW_GUIDANCE" hidden="1">"c4219"</definedName>
    <definedName name="IQ_RECURRING_PROFIT_LOW_GUIDANCE_CIQ" hidden="1">"c4631"</definedName>
    <definedName name="IQ_RECURRING_PROFIT_LOW_GUIDANCE_CIQ_COL" hidden="1">"c11280"</definedName>
    <definedName name="IQ_RECURRING_PROFIT_MEDIAN_EST" hidden="1">"c4503"</definedName>
    <definedName name="IQ_RECURRING_PROFIT_NUM_EST" hidden="1">"c4504"</definedName>
    <definedName name="IQ_RECURRING_PROFIT_SHARE_ACT_OR_EST" hidden="1">"c4508"</definedName>
    <definedName name="IQ_RECURRING_PROFIT_SHARE_ACT_OR_EST_CIQ" hidden="1">"c5046"</definedName>
    <definedName name="IQ_RECURRING_PROFIT_SHARE_ACT_OR_EST_CIQ_COL" hidden="1">"c11693"</definedName>
    <definedName name="IQ_RECURRING_PROFIT_SHARE_EST" hidden="1">"c4506"</definedName>
    <definedName name="IQ_RECURRING_PROFIT_SHARE_GUIDANCE" hidden="1">"c4509"</definedName>
    <definedName name="IQ_RECURRING_PROFIT_SHARE_GUIDANCE_CIQ" hidden="1">"c5047"</definedName>
    <definedName name="IQ_RECURRING_PROFIT_SHARE_GUIDANCE_CIQ_COL" hidden="1">"c11694"</definedName>
    <definedName name="IQ_RECURRING_PROFIT_SHARE_HIGH_EST" hidden="1">"c4510"</definedName>
    <definedName name="IQ_RECURRING_PROFIT_SHARE_HIGH_GUIDANCE" hidden="1">"c4200"</definedName>
    <definedName name="IQ_RECURRING_PROFIT_SHARE_HIGH_GUIDANCE_CIQ" hidden="1">"c4612"</definedName>
    <definedName name="IQ_RECURRING_PROFIT_SHARE_HIGH_GUIDANCE_CIQ_COL" hidden="1">"c11261"</definedName>
    <definedName name="IQ_RECURRING_PROFIT_SHARE_LOW_EST" hidden="1">"c4511"</definedName>
    <definedName name="IQ_RECURRING_PROFIT_SHARE_LOW_GUIDANCE" hidden="1">"c4240"</definedName>
    <definedName name="IQ_RECURRING_PROFIT_SHARE_LOW_GUIDANCE_CIQ" hidden="1">"c4652"</definedName>
    <definedName name="IQ_RECURRING_PROFIT_SHARE_LOW_GUIDANCE_CIQ_COL" hidden="1">"c11301"</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TATED" hidden="1">"c16221"</definedName>
    <definedName name="IQ_REINSTATEMENT_DATE" hidden="1">"c16222"</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O" hidden="1">"c19133"</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"c2903"</definedName>
    <definedName name="IQ_RETAIL_ACQUIRED_OWNED_STORES" hidden="1">"c2895"</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CATALOG" hidden="1">"c16128"</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"c16129"</definedName>
    <definedName name="IQ_RETAIL_SALES_POP" hidden="1">"c7223"</definedName>
    <definedName name="IQ_RETAIL_SALES_POP_FC" hidden="1">"c8103"</definedName>
    <definedName name="IQ_RETAIL_SALES_RETAIL" hidden="1">"c16127"</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ACT_OR_EST" hidden="1">"c3585"</definedName>
    <definedName name="IQ_RETURN_ASSETS_ACT_OR_EST_REUT" hidden="1">"c5475"</definedName>
    <definedName name="IQ_RETURN_ASSETS_ACT_OR_EST_THOM" hidden="1">"c5310"</definedName>
    <definedName name="IQ_RETURN_ASSETS_BANK" hidden="1">"c1114"</definedName>
    <definedName name="IQ_RETURN_ASSETS_BROK" hidden="1">"c1115"</definedName>
    <definedName name="IQ_RETURN_ASSETS_DET_EST" hidden="1">"c12066"</definedName>
    <definedName name="IQ_RETURN_ASSETS_DET_EST_DATE" hidden="1">"c12219"</definedName>
    <definedName name="IQ_RETURN_ASSETS_DET_EST_DATE_THOM" hidden="1">"c12247"</definedName>
    <definedName name="IQ_RETURN_ASSETS_DET_EST_INCL" hidden="1">"c12356"</definedName>
    <definedName name="IQ_RETURN_ASSETS_DET_EST_INCL_THOM" hidden="1">"c12379"</definedName>
    <definedName name="IQ_RETURN_ASSETS_DET_EST_NOTE" hidden="1">"c17543"</definedName>
    <definedName name="IQ_RETURN_ASSETS_DET_EST_NOTE_THOM" hidden="1">"c17591"</definedName>
    <definedName name="IQ_RETURN_ASSETS_DET_EST_ORIGIN" hidden="1">"c12591"</definedName>
    <definedName name="IQ_RETURN_ASSETS_DET_EST_ORIGIN_THOM" hidden="1">"c12617"</definedName>
    <definedName name="IQ_RETURN_ASSETS_DET_EST_THOM" hidden="1">"c12097"</definedName>
    <definedName name="IQ_RETURN_ASSETS_EST" hidden="1">"c3529"</definedName>
    <definedName name="IQ_RETURN_ASSETS_EST_DOWN_2MONTH" hidden="1">"c16537"</definedName>
    <definedName name="IQ_RETURN_ASSETS_EST_DOWN_2MONTH_THOM" hidden="1">"c17365"</definedName>
    <definedName name="IQ_RETURN_ASSETS_EST_DOWN_3MONTH" hidden="1">"c16541"</definedName>
    <definedName name="IQ_RETURN_ASSETS_EST_DOWN_3MONTH_THOM" hidden="1">"c17369"</definedName>
    <definedName name="IQ_RETURN_ASSETS_EST_DOWN_MONTH" hidden="1">"c16533"</definedName>
    <definedName name="IQ_RETURN_ASSETS_EST_DOWN_MONTH_THOM" hidden="1">"c17361"</definedName>
    <definedName name="IQ_RETURN_ASSETS_EST_NUM_ANALYSTS_2MONTH" hidden="1">"c16535"</definedName>
    <definedName name="IQ_RETURN_ASSETS_EST_NUM_ANALYSTS_2MONTH_THOM" hidden="1">"c17363"</definedName>
    <definedName name="IQ_RETURN_ASSETS_EST_NUM_ANALYSTS_3MONTH" hidden="1">"c16539"</definedName>
    <definedName name="IQ_RETURN_ASSETS_EST_NUM_ANALYSTS_3MONTH_THOM" hidden="1">"c17367"</definedName>
    <definedName name="IQ_RETURN_ASSETS_EST_NUM_ANALYSTS_MONTH" hidden="1">"c16531"</definedName>
    <definedName name="IQ_RETURN_ASSETS_EST_NUM_ANALYSTS_MONTH_THOM" hidden="1">"c17359"</definedName>
    <definedName name="IQ_RETURN_ASSETS_EST_REUT" hidden="1">"c3990"</definedName>
    <definedName name="IQ_RETURN_ASSETS_EST_THOM" hidden="1">"c4034"</definedName>
    <definedName name="IQ_RETURN_ASSETS_EST_TOTAL_REVISED_2MONTH" hidden="1">"c16538"</definedName>
    <definedName name="IQ_RETURN_ASSETS_EST_TOTAL_REVISED_2MONTH_THOM" hidden="1">"c17366"</definedName>
    <definedName name="IQ_RETURN_ASSETS_EST_TOTAL_REVISED_3MONTH" hidden="1">"c16542"</definedName>
    <definedName name="IQ_RETURN_ASSETS_EST_TOTAL_REVISED_3MONTH_THOM" hidden="1">"c17370"</definedName>
    <definedName name="IQ_RETURN_ASSETS_EST_TOTAL_REVISED_MONTH" hidden="1">"c16534"</definedName>
    <definedName name="IQ_RETURN_ASSETS_EST_TOTAL_REVISED_MONTH_THOM" hidden="1">"c17362"</definedName>
    <definedName name="IQ_RETURN_ASSETS_EST_UP_2MONTH" hidden="1">"c16536"</definedName>
    <definedName name="IQ_RETURN_ASSETS_EST_UP_2MONTH_THOM" hidden="1">"c17364"</definedName>
    <definedName name="IQ_RETURN_ASSETS_EST_UP_3MONTH" hidden="1">"c16540"</definedName>
    <definedName name="IQ_RETURN_ASSETS_EST_UP_3MONTH_THOM" hidden="1">"c17368"</definedName>
    <definedName name="IQ_RETURN_ASSETS_EST_UP_MONTH" hidden="1">"c16532"</definedName>
    <definedName name="IQ_RETURN_ASSETS_EST_UP_MONTH_THOM" hidden="1">"c17360"</definedName>
    <definedName name="IQ_RETURN_ASSETS_FDIC" hidden="1">"c6730"</definedName>
    <definedName name="IQ_RETURN_ASSETS_FS" hidden="1">"c1116"</definedName>
    <definedName name="IQ_RETURN_ASSETS_GUIDANCE_CIQ" hidden="1">"c5055"</definedName>
    <definedName name="IQ_RETURN_ASSETS_GUIDANCE_CIQ_COL" hidden="1">"c11702"</definedName>
    <definedName name="IQ_RETURN_ASSETS_HIGH_EST" hidden="1">"c3530"</definedName>
    <definedName name="IQ_RETURN_ASSETS_HIGH_EST_REUT" hidden="1">"c3992"</definedName>
    <definedName name="IQ_RETURN_ASSETS_HIGH_EST_THOM" hidden="1">"c4036"</definedName>
    <definedName name="IQ_RETURN_ASSETS_HIGH_GUIDANCE_CIQ" hidden="1">"c4595"</definedName>
    <definedName name="IQ_RETURN_ASSETS_HIGH_GUIDANCE_CIQ_COL" hidden="1">"c11244"</definedName>
    <definedName name="IQ_RETURN_ASSETS_LOW_EST" hidden="1">"c3531"</definedName>
    <definedName name="IQ_RETURN_ASSETS_LOW_EST_REUT" hidden="1">"c3993"</definedName>
    <definedName name="IQ_RETURN_ASSETS_LOW_EST_THOM" hidden="1">"c4037"</definedName>
    <definedName name="IQ_RETURN_ASSETS_LOW_GUIDANCE_CIQ" hidden="1">"c4635"</definedName>
    <definedName name="IQ_RETURN_ASSETS_LOW_GUIDANCE_CIQ_COL" hidden="1">"c11284"</definedName>
    <definedName name="IQ_RETURN_ASSETS_MEDIAN_EST" hidden="1">"c3532"</definedName>
    <definedName name="IQ_RETURN_ASSETS_MEDIAN_EST_REUT" hidden="1">"c3991"</definedName>
    <definedName name="IQ_RETURN_ASSETS_MEDIAN_EST_THOM" hidden="1">"c4035"</definedName>
    <definedName name="IQ_RETURN_ASSETS_NUM_EST" hidden="1">"c3527"</definedName>
    <definedName name="IQ_RETURN_ASSETS_NUM_EST_REUT" hidden="1">"c3994"</definedName>
    <definedName name="IQ_RETURN_ASSETS_NUM_EST_THOM" hidden="1">"c4038"</definedName>
    <definedName name="IQ_RETURN_ASSETS_STDDEV_EST" hidden="1">"c3528"</definedName>
    <definedName name="IQ_RETURN_ASSETS_STDDEV_EST_REUT" hidden="1">"c3995"</definedName>
    <definedName name="IQ_RETURN_ASSETS_STDDEV_EST_THOM" hidden="1">"c4039"</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ACT_OR_EST_REUT" hidden="1">"c5476"</definedName>
    <definedName name="IQ_RETURN_EQUITY_ACT_OR_EST_THOM" hidden="1">"c5311"</definedName>
    <definedName name="IQ_RETURN_EQUITY_BANK" hidden="1">"c1119"</definedName>
    <definedName name="IQ_RETURN_EQUITY_BROK" hidden="1">"c1120"</definedName>
    <definedName name="IQ_RETURN_EQUITY_DET_EST" hidden="1">"c12067"</definedName>
    <definedName name="IQ_RETURN_EQUITY_DET_EST_DATE" hidden="1">"c12220"</definedName>
    <definedName name="IQ_RETURN_EQUITY_DET_EST_DATE_THOM" hidden="1">"c12248"</definedName>
    <definedName name="IQ_RETURN_EQUITY_DET_EST_INCL" hidden="1">"c12357"</definedName>
    <definedName name="IQ_RETURN_EQUITY_DET_EST_INCL_THOM" hidden="1">"c12380"</definedName>
    <definedName name="IQ_RETURN_EQUITY_DET_EST_NOTE" hidden="1">"c17544"</definedName>
    <definedName name="IQ_RETURN_EQUITY_DET_EST_NOTE_THOM" hidden="1">"c17592"</definedName>
    <definedName name="IQ_RETURN_EQUITY_DET_EST_ORIGIN" hidden="1">"c12592"</definedName>
    <definedName name="IQ_RETURN_EQUITY_DET_EST_ORIGIN_THOM" hidden="1">"c12618"</definedName>
    <definedName name="IQ_RETURN_EQUITY_DET_EST_THOM" hidden="1">"c12098"</definedName>
    <definedName name="IQ_RETURN_EQUITY_EST" hidden="1">"c3535"</definedName>
    <definedName name="IQ_RETURN_EQUITY_EST_DOWN_2MONTH" hidden="1">"c16549"</definedName>
    <definedName name="IQ_RETURN_EQUITY_EST_DOWN_2MONTH_THOM" hidden="1">"c17377"</definedName>
    <definedName name="IQ_RETURN_EQUITY_EST_DOWN_3MONTH" hidden="1">"c16553"</definedName>
    <definedName name="IQ_RETURN_EQUITY_EST_DOWN_3MONTH_THOM" hidden="1">"c17381"</definedName>
    <definedName name="IQ_RETURN_EQUITY_EST_DOWN_MONTH" hidden="1">"c16545"</definedName>
    <definedName name="IQ_RETURN_EQUITY_EST_DOWN_MONTH_THOM" hidden="1">"c17373"</definedName>
    <definedName name="IQ_RETURN_EQUITY_EST_NUM_ANALYSTS_2MONTH" hidden="1">"c16547"</definedName>
    <definedName name="IQ_RETURN_EQUITY_EST_NUM_ANALYSTS_2MONTH_THOM" hidden="1">"c17375"</definedName>
    <definedName name="IQ_RETURN_EQUITY_EST_NUM_ANALYSTS_3MONTH" hidden="1">"c16551"</definedName>
    <definedName name="IQ_RETURN_EQUITY_EST_NUM_ANALYSTS_3MONTH_THOM" hidden="1">"c17379"</definedName>
    <definedName name="IQ_RETURN_EQUITY_EST_NUM_ANALYSTS_MONTH" hidden="1">"c16543"</definedName>
    <definedName name="IQ_RETURN_EQUITY_EST_NUM_ANALYSTS_MONTH_THOM" hidden="1">"c17371"</definedName>
    <definedName name="IQ_RETURN_EQUITY_EST_REUT" hidden="1">"c3983"</definedName>
    <definedName name="IQ_RETURN_EQUITY_EST_THOM" hidden="1">"c5479"</definedName>
    <definedName name="IQ_RETURN_EQUITY_EST_TOTAL_REVISED_2MONTH" hidden="1">"c16550"</definedName>
    <definedName name="IQ_RETURN_EQUITY_EST_TOTAL_REVISED_2MONTH_THOM" hidden="1">"c17378"</definedName>
    <definedName name="IQ_RETURN_EQUITY_EST_TOTAL_REVISED_3MONTH" hidden="1">"c16554"</definedName>
    <definedName name="IQ_RETURN_EQUITY_EST_TOTAL_REVISED_3MONTH_THOM" hidden="1">"c17382"</definedName>
    <definedName name="IQ_RETURN_EQUITY_EST_TOTAL_REVISED_MONTH" hidden="1">"c16546"</definedName>
    <definedName name="IQ_RETURN_EQUITY_EST_TOTAL_REVISED_MONTH_THOM" hidden="1">"c17374"</definedName>
    <definedName name="IQ_RETURN_EQUITY_EST_UP_2MONTH" hidden="1">"c16548"</definedName>
    <definedName name="IQ_RETURN_EQUITY_EST_UP_2MONTH_THOM" hidden="1">"c17376"</definedName>
    <definedName name="IQ_RETURN_EQUITY_EST_UP_3MONTH" hidden="1">"c16552"</definedName>
    <definedName name="IQ_RETURN_EQUITY_EST_UP_3MONTH_THOM" hidden="1">"c17380"</definedName>
    <definedName name="IQ_RETURN_EQUITY_EST_UP_MONTH" hidden="1">"c16544"</definedName>
    <definedName name="IQ_RETURN_EQUITY_EST_UP_MONTH_THOM" hidden="1">"c17372"</definedName>
    <definedName name="IQ_RETURN_EQUITY_FDIC" hidden="1">"c6732"</definedName>
    <definedName name="IQ_RETURN_EQUITY_FS" hidden="1">"c1121"</definedName>
    <definedName name="IQ_RETURN_EQUITY_GUIDANCE_CIQ" hidden="1">"c5056"</definedName>
    <definedName name="IQ_RETURN_EQUITY_GUIDANCE_CIQ_COL" hidden="1">"c11703"</definedName>
    <definedName name="IQ_RETURN_EQUITY_HIGH_EST" hidden="1">"c3536"</definedName>
    <definedName name="IQ_RETURN_EQUITY_HIGH_EST_REUT" hidden="1">"c3985"</definedName>
    <definedName name="IQ_RETURN_EQUITY_HIGH_EST_THOM" hidden="1">"c5283"</definedName>
    <definedName name="IQ_RETURN_EQUITY_HIGH_GUIDANCE_CIQ" hidden="1">"c4594"</definedName>
    <definedName name="IQ_RETURN_EQUITY_HIGH_GUIDANCE_CIQ_COL" hidden="1">"c11243"</definedName>
    <definedName name="IQ_RETURN_EQUITY_LOW_EST" hidden="1">"c3537"</definedName>
    <definedName name="IQ_RETURN_EQUITY_LOW_EST_REUT" hidden="1">"c3986"</definedName>
    <definedName name="IQ_RETURN_EQUITY_LOW_EST_THOM" hidden="1">"c5284"</definedName>
    <definedName name="IQ_RETURN_EQUITY_LOW_GUIDANCE_CIQ" hidden="1">"c4634"</definedName>
    <definedName name="IQ_RETURN_EQUITY_LOW_GUIDANCE_CIQ_COL" hidden="1">"c11283"</definedName>
    <definedName name="IQ_RETURN_EQUITY_MEDIAN_EST" hidden="1">"c3538"</definedName>
    <definedName name="IQ_RETURN_EQUITY_MEDIAN_EST_REUT" hidden="1">"c3984"</definedName>
    <definedName name="IQ_RETURN_EQUITY_MEDIAN_EST_THOM" hidden="1">"c5282"</definedName>
    <definedName name="IQ_RETURN_EQUITY_NUM_EST" hidden="1">"c3533"</definedName>
    <definedName name="IQ_RETURN_EQUITY_NUM_EST_REUT" hidden="1">"c3987"</definedName>
    <definedName name="IQ_RETURN_EQUITY_NUM_EST_THOM" hidden="1">"c5285"</definedName>
    <definedName name="IQ_RETURN_EQUITY_STDDEV_EST" hidden="1">"c3534"</definedName>
    <definedName name="IQ_RETURN_EQUITY_STDDEV_EST_REUT" hidden="1">"c3988"</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DET_EST" hidden="1">"c12065"</definedName>
    <definedName name="IQ_REV_DET_EST_CURRENCY" hidden="1">"c12472"</definedName>
    <definedName name="IQ_REV_DET_EST_CURRENCY_THOM" hidden="1">"c12495"</definedName>
    <definedName name="IQ_REV_DET_EST_DATE" hidden="1">"c12218"</definedName>
    <definedName name="IQ_REV_DET_EST_DATE_THOM" hidden="1">"c12246"</definedName>
    <definedName name="IQ_REV_DET_EST_INCL" hidden="1">"c12355"</definedName>
    <definedName name="IQ_REV_DET_EST_INCL_THOM" hidden="1">"c12378"</definedName>
    <definedName name="IQ_REV_DET_EST_NOTE" hidden="1">"c17525"</definedName>
    <definedName name="IQ_REV_DET_EST_NOTE_THOM" hidden="1">"c17578"</definedName>
    <definedName name="IQ_REV_DET_EST_ORIGIN" hidden="1">"c12590"</definedName>
    <definedName name="IQ_REV_DET_EST_ORIGIN_THOM" hidden="1">"c12616"</definedName>
    <definedName name="IQ_REV_DET_EST_THOM" hidden="1">"c12096"</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ALUATION_NON_TRADING_PROP" hidden="1">"c15999"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CIQ_COL" hidden="1">"c11706"</definedName>
    <definedName name="IQ_REVENUE_ACT_OR_EST_REUT" hidden="1">"c5461"</definedName>
    <definedName name="IQ_REVENUE_ACT_OR_EST_THOM" hidden="1">"c5299"</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BEFORE_LL_FFIEC" hidden="1">"c13018"</definedName>
    <definedName name="IQ_REVENUE_COMMERCIAL" hidden="1">"c2881"</definedName>
    <definedName name="IQ_REVENUE_DIGITAL_CABLE" hidden="1">"c2876"</definedName>
    <definedName name="IQ_REVENUE_EST" hidden="1">"c1126"</definedName>
    <definedName name="IQ_REVENUE_EST_1" hidden="1">"IQ_REVENUE_EST_1"</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DOWN_2MONTH" hidden="1">"c16285"</definedName>
    <definedName name="IQ_REVENUE_EST_DOWN_2MONTH_CIQ" hidden="1">"c16609"</definedName>
    <definedName name="IQ_REVENUE_EST_DOWN_2MONTH_THOM" hidden="1">"c17149"</definedName>
    <definedName name="IQ_REVENUE_EST_DOWN_3MONTH" hidden="1">"c16289"</definedName>
    <definedName name="IQ_REVENUE_EST_DOWN_3MONTH_CIQ" hidden="1">"c16613"</definedName>
    <definedName name="IQ_REVENUE_EST_DOWN_3MONTH_THOM" hidden="1">"c17153"</definedName>
    <definedName name="IQ_REVENUE_EST_DOWN_MONTH" hidden="1">"c16281"</definedName>
    <definedName name="IQ_REVENUE_EST_DOWN_MONTH_CIQ" hidden="1">"c16605"</definedName>
    <definedName name="IQ_REVENUE_EST_DOWN_MONTH_THOM" hidden="1">"c17145"</definedName>
    <definedName name="IQ_REVENUE_EST_NOTE" hidden="1">"c17502"</definedName>
    <definedName name="IQ_REVENUE_EST_NOTE_CIQ" hidden="1">"c17455"</definedName>
    <definedName name="IQ_REVENUE_EST_NUM_ANALYSTS_2MONTH" hidden="1">"c16283"</definedName>
    <definedName name="IQ_REVENUE_EST_NUM_ANALYSTS_2MONTH_CIQ" hidden="1">"c16607"</definedName>
    <definedName name="IQ_REVENUE_EST_NUM_ANALYSTS_2MONTH_THOM" hidden="1">"c17147"</definedName>
    <definedName name="IQ_REVENUE_EST_NUM_ANALYSTS_3MONTH" hidden="1">"c16287"</definedName>
    <definedName name="IQ_REVENUE_EST_NUM_ANALYSTS_3MONTH_CIQ" hidden="1">"c16611"</definedName>
    <definedName name="IQ_REVENUE_EST_NUM_ANALYSTS_3MONTH_THOM" hidden="1">"c17151"</definedName>
    <definedName name="IQ_REVENUE_EST_NUM_ANALYSTS_MONTH" hidden="1">"c16279"</definedName>
    <definedName name="IQ_REVENUE_EST_NUM_ANALYSTS_MONTH_CIQ" hidden="1">"c16603"</definedName>
    <definedName name="IQ_REVENUE_EST_NUM_ANALYSTS_MONTH_THOM" hidden="1">"c17143"</definedName>
    <definedName name="IQ_REVENUE_EST_REUT" hidden="1">"c3634"</definedName>
    <definedName name="IQ_REVENUE_EST_THOM" hidden="1">"c3652"</definedName>
    <definedName name="IQ_REVENUE_EST_TOTAL_REVISED_2MONTH" hidden="1">"c16286"</definedName>
    <definedName name="IQ_REVENUE_EST_TOTAL_REVISED_2MONTH_CIQ" hidden="1">"c16610"</definedName>
    <definedName name="IQ_REVENUE_EST_TOTAL_REVISED_2MONTH_THOM" hidden="1">"c17150"</definedName>
    <definedName name="IQ_REVENUE_EST_TOTAL_REVISED_3MONTH" hidden="1">"c16290"</definedName>
    <definedName name="IQ_REVENUE_EST_TOTAL_REVISED_3MONTH_CIQ" hidden="1">"c16614"</definedName>
    <definedName name="IQ_REVENUE_EST_TOTAL_REVISED_3MONTH_THOM" hidden="1">"c17154"</definedName>
    <definedName name="IQ_REVENUE_EST_TOTAL_REVISED_MONTH" hidden="1">"c16282"</definedName>
    <definedName name="IQ_REVENUE_EST_TOTAL_REVISED_MONTH_CIQ" hidden="1">"c16606"</definedName>
    <definedName name="IQ_REVENUE_EST_TOTAL_REVISED_MONTH_THOM" hidden="1">"c17146"</definedName>
    <definedName name="IQ_REVENUE_EST_UP_2MONTH" hidden="1">"c16284"</definedName>
    <definedName name="IQ_REVENUE_EST_UP_2MONTH_CIQ" hidden="1">"c16608"</definedName>
    <definedName name="IQ_REVENUE_EST_UP_2MONTH_THOM" hidden="1">"c17148"</definedName>
    <definedName name="IQ_REVENUE_EST_UP_3MONTH" hidden="1">"c16288"</definedName>
    <definedName name="IQ_REVENUE_EST_UP_3MONTH_CIQ" hidden="1">"c16612"</definedName>
    <definedName name="IQ_REVENUE_EST_UP_3MONTH_THOM" hidden="1">"c17152"</definedName>
    <definedName name="IQ_REVENUE_EST_UP_MONTH" hidden="1">"c16280"</definedName>
    <definedName name="IQ_REVENUE_EST_UP_MONTH_CIQ" hidden="1">"c16604"</definedName>
    <definedName name="IQ_REVENUE_EST_UP_MONTH_THOM" hidden="1">"c17144"</definedName>
    <definedName name="IQ_REVENUE_GROWTH_1" hidden="1">"IQ_REVENUE_GROWTH_1"</definedName>
    <definedName name="IQ_REVENUE_GROWTH_2" hidden="1">"IQ_REVENUE_GROWTH_2"</definedName>
    <definedName name="IQ_REVENUE_GUIDANCE_CIQ" hidden="1">"c5057"</definedName>
    <definedName name="IQ_REVENUE_GUIDANCE_CIQ_COL" hidden="1">"c11704"</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HIGH_GUIDANCE_CIQ" hidden="1">"c4581"</definedName>
    <definedName name="IQ_REVENUE_HIGH_GUIDANCE_CIQ_COL" hidden="1">"c11230"</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LOW_GUIDANCE_CIQ" hidden="1">"c4621"</definedName>
    <definedName name="IQ_REVENUE_LOW_GUIDANCE_CIQ_COL" hidden="1">"c11270"</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ERSE_REPO" hidden="1">"c19131"</definedName>
    <definedName name="IQ_REVISION_DATE_" hidden="1">38999.6400925926</definedName>
    <definedName name="IQ_Revision_date_2" hidden="1">38784.4474652778</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ISK_WEIGHTED_ASSETS_FDIC" hidden="1">"c6370"</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RSSD_ID_FFIEC" hidden="1">"c20506"</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OTHER_BENEFITS" hidden="1">"c16176"</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MARKETING" hidden="1">"c2240"</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 hidden="1">"c15721"</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FS_AMORT_COST_FFIEC" hidden="1">"c20492"</definedName>
    <definedName name="IQ_SEC_ISSUED_US_AFS_FAIR_VAL_FFIEC" hidden="1">"c20457"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AFS_AMORT_COST_FFIEC" hidden="1">"c20488"</definedName>
    <definedName name="IQ_SECURITIES_AFS_FAIR_VAL_FFIEC" hidden="1">"c20453"</definedName>
    <definedName name="IQ_SECURITIES_GAINS_FDIC" hidden="1">"c6584"</definedName>
    <definedName name="IQ_SECURITIES_HELD_MATURITY_FFIEC" hidden="1">"c12777"</definedName>
    <definedName name="IQ_SECURITIES_HTM_AMORT_COST_FFIEC" hidden="1">"c20436"</definedName>
    <definedName name="IQ_SECURITIES_HTM_FAIR_VAL_FFIEC" hidden="1">"c20471"</definedName>
    <definedName name="IQ_SECURITIES_ISSUED_STATES_FDIC" hidden="1">"c6300"</definedName>
    <definedName name="IQ_SECURITIES_ISSUED_US_FFIEC" hidden="1">"c12781"</definedName>
    <definedName name="IQ_SECURITIES_ISSUED_US_HTM_AMORT_COST_FFIEC" hidden="1">"c20440"</definedName>
    <definedName name="IQ_SECURITIES_ISSUED_US_HTM_FAIR_VAL_FFIEC" hidden="1">"c20475"</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FEATURES" hidden="1">"c17681"</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 hidden="1">"c16071"</definedName>
    <definedName name="IQ_SHARE_PARTNERSHIP_CONSOL_JV_DEBT" hidden="1">"c19139"</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OVER_INST_OWNERSHIP" hidden="1">"c17422"</definedName>
    <definedName name="IQ_SHORT_INTEREST_PERCENT" hidden="1">"c1576"</definedName>
    <definedName name="IQ_SHORT_POSITIONS_FFIEC" hidden="1">"c12859"</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QUALITY_RANKING_DESCRIPTION" hidden="1">"c17410"</definedName>
    <definedName name="IQ_SP_QUALITY_RANKING_VALUE" hidden="1">"c17409"</definedName>
    <definedName name="IQ_SP_REASON" hidden="1">"c2174"</definedName>
    <definedName name="IQ_SP_STARS_DESCRIPTION" hidden="1">"c17408"</definedName>
    <definedName name="IQ_SP_STARS_VALUE" hidden="1">"c17407"</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TIES" hidden="1">"c18932"</definedName>
    <definedName name="IQ_SPECIFIC_ALLOWANCE" hidden="1">"c15247"</definedName>
    <definedName name="IQ_SPONSORS" hidden="1">"c18920"</definedName>
    <definedName name="IQ_SPONSORS_ID" hidden="1">"c18921"</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DERIVATIVES" hidden="1">"c17741"</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_REC_DET_EST" hidden="1">"c12069"</definedName>
    <definedName name="IQ_STAND_REC_DET_EST_DATE" hidden="1">"c12222"</definedName>
    <definedName name="IQ_STAND_REC_DET_EST_DATE_THOM" hidden="1">"c12250"</definedName>
    <definedName name="IQ_STAND_REC_DET_EST_ORIGIN" hidden="1">"c12594"</definedName>
    <definedName name="IQ_STAND_REC_DET_EST_ORIGIN_THOM" hidden="1">"c12620"</definedName>
    <definedName name="IQ_STAND_REC_DET_EST_THOM" hidden="1">"c12100"</definedName>
    <definedName name="IQ_STAND_REC_NUM_DET_EST" hidden="1">"c12068"</definedName>
    <definedName name="IQ_STAND_REC_NUM_DET_EST_DATE" hidden="1">"c12221"</definedName>
    <definedName name="IQ_STAND_REC_NUM_DET_EST_DATE_THOM" hidden="1">"c12249"</definedName>
    <definedName name="IQ_STAND_REC_NUM_DET_EST_ORIGIN" hidden="1">"c12593"</definedName>
    <definedName name="IQ_STAND_REC_NUM_DET_EST_ORIGIN_THOM" hidden="1">"c12619"</definedName>
    <definedName name="IQ_STAND_REC_NUM_DET_EST_THOM" hidden="1">"c12099"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XPLORE_DRILL" hidden="1">"c13851"</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TYLE_GROWTH_VALUE" hidden="1">"c19203"</definedName>
    <definedName name="IQ_STYLE_HIGH_YIELD" hidden="1">"c19204"</definedName>
    <definedName name="IQ_STYLE_MARKET_CAP" hidden="1">"c19202"</definedName>
    <definedName name="IQ_STYLE_REPORTED" hidden="1">"c19205"</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S_ANALOG_CABLE" hidden="1">"c2855"</definedName>
    <definedName name="IQ_SUBS_BASIC_CABLE" hidden="1">"c16205"</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BS_VIDEO" hidden="1">"c2857"</definedName>
    <definedName name="IQ_SUPPLIES_FFIEC" hidden="1">"c13050"</definedName>
    <definedName name="IQ_SUPPORT_INFRASTRUCTURE_CABLE_INVEST" hidden="1">"c15805"</definedName>
    <definedName name="IQ_SURFACE_RESERVES_COAL" hidden="1">"c15920"</definedName>
    <definedName name="IQ_SURFACE_RESERVES_TO_TOTAL_RESERVES_COAL" hidden="1">"c15959"</definedName>
    <definedName name="IQ_SURPLUS_FDIC" hidden="1">"c6351"</definedName>
    <definedName name="IQ_SURPLUS_FFIEC" hidden="1">"c12877"</definedName>
    <definedName name="IQ_SVA" hidden="1">"c1214"</definedName>
    <definedName name="IQ_SYMBOL_RT" hidden="1">"SYMBOL"</definedName>
    <definedName name="IQ_SYNTH_STRUCTURED_PRODUCTS_AFS_AMORT_COST_FFIEC" hidden="1">"c20501"</definedName>
    <definedName name="IQ_SYNTH_STRUCTURED_PRODUCTS_AFS_FAIR_VAL_FFIEC" hidden="1">"c20466"</definedName>
    <definedName name="IQ_SYNTH_STRUCTURED_PRODUCTS_HTM_AMORT_COST_FFIEC" hidden="1">"c20449"</definedName>
    <definedName name="IQ_SYNTH_STRUCTURED_PRODUCTS_HTM_FAIR_VAL_FFIEC" hidden="1">"c20484"</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DET_EST" hidden="1">"c12070"</definedName>
    <definedName name="IQ_TARGET_PRICE_DET_EST_CURRENCY" hidden="1">"c12475"</definedName>
    <definedName name="IQ_TARGET_PRICE_DET_EST_CURRENCY_THOM" hidden="1">"c12498"</definedName>
    <definedName name="IQ_TARGET_PRICE_DET_EST_DATE" hidden="1">"c12223"</definedName>
    <definedName name="IQ_TARGET_PRICE_DET_EST_DATE_THOM" hidden="1">"c12251"</definedName>
    <definedName name="IQ_TARGET_PRICE_DET_EST_INCL" hidden="1">"c12358"</definedName>
    <definedName name="IQ_TARGET_PRICE_DET_EST_INCL_THOM" hidden="1">"c12381"</definedName>
    <definedName name="IQ_TARGET_PRICE_DET_EST_ORIGIN" hidden="1">"c12729"</definedName>
    <definedName name="IQ_TARGET_PRICE_DET_EST_ORIGIN_THOM" hidden="1">"c12621"</definedName>
    <definedName name="IQ_TARGET_PRICE_DET_EST_THOM" hidden="1">"c12101"</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BV_SHARE_REPORTED" hidden="1">"c19140"</definedName>
    <definedName name="IQ_TELECOM_FFIEC" hidden="1">"c13057"</definedName>
    <definedName name="IQ_TEMPLATE" hidden="1">"c1521"</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DET_EST_CURRENCY_THOM" hidden="1">"c12499"</definedName>
    <definedName name="IQ_TEV_DET_EST_DATE_THOM" hidden="1">"c12252"</definedName>
    <definedName name="IQ_TEV_DET_EST_INCL_THOM" hidden="1">"c12382"</definedName>
    <definedName name="IQ_TEV_DET_EST_NOTE_THOM" hidden="1">"c17596"</definedName>
    <definedName name="IQ_TEV_DET_EST_ORIGIN_THOM" hidden="1">"c12709"</definedName>
    <definedName name="IQ_TEV_DET_EST_THOM" hidden="1">"c12102"</definedName>
    <definedName name="IQ_TEV_EBIT" hidden="1">"c1220"</definedName>
    <definedName name="IQ_TEV_EBIT_AVG" hidden="1">"c1221"</definedName>
    <definedName name="IQ_TEV_EBIT_FWD" hidden="1">"c2238"</definedName>
    <definedName name="IQ_TEV_EBIT_FWD_REUT" hidden="1">"c4054"</definedName>
    <definedName name="IQ_TEV_EBIT_FWD_THOM" hidden="1">"c4061"</definedName>
    <definedName name="IQ_TEV_EBITDA" hidden="1">"c1222"</definedName>
    <definedName name="IQ_TEV_EBITDA_AVG" hidden="1">"c1223"</definedName>
    <definedName name="IQ_TEV_EBITDA_CAPEX" hidden="1">"c17553"</definedName>
    <definedName name="IQ_TEV_EBITDA_FWD" hidden="1">"c1224"</definedName>
    <definedName name="IQ_TEV_EBITDA_FWD_CIQ" hidden="1">"c4043"</definedName>
    <definedName name="IQ_TEV_EBITDA_FWD_REUT" hidden="1">"c4050"</definedName>
    <definedName name="IQ_TEV_EBITDA_FWD_THOM" hidden="1">"c4057"</definedName>
    <definedName name="IQ_TEV_EMPLOYEE_AVG" hidden="1">"c1225"</definedName>
    <definedName name="IQ_TEV_EST" hidden="1">"c4526"</definedName>
    <definedName name="IQ_TEV_EST_DOWN_2MONTH" hidden="1">"c16489"</definedName>
    <definedName name="IQ_TEV_EST_DOWN_2MONTH_THOM" hidden="1">"c17317"</definedName>
    <definedName name="IQ_TEV_EST_DOWN_3MONTH" hidden="1">"c16493"</definedName>
    <definedName name="IQ_TEV_EST_DOWN_3MONTH_THOM" hidden="1">"c17321"</definedName>
    <definedName name="IQ_TEV_EST_DOWN_MONTH" hidden="1">"c16485"</definedName>
    <definedName name="IQ_TEV_EST_DOWN_MONTH_THOM" hidden="1">"c17313"</definedName>
    <definedName name="IQ_TEV_EST_NUM_ANALYSTS_2MONTH" hidden="1">"c16487"</definedName>
    <definedName name="IQ_TEV_EST_NUM_ANALYSTS_2MONTH_THOM" hidden="1">"c17315"</definedName>
    <definedName name="IQ_TEV_EST_NUM_ANALYSTS_3MONTH" hidden="1">"c16491"</definedName>
    <definedName name="IQ_TEV_EST_NUM_ANALYSTS_3MONTH_THOM" hidden="1">"c17319"</definedName>
    <definedName name="IQ_TEV_EST_NUM_ANALYSTS_MONTH" hidden="1">"c16483"</definedName>
    <definedName name="IQ_TEV_EST_NUM_ANALYSTS_MONTH_THOM" hidden="1">"c17311"</definedName>
    <definedName name="IQ_TEV_EST_THOM" hidden="1">"c5529"</definedName>
    <definedName name="IQ_TEV_EST_TOTAL_REVISED_2MONTH" hidden="1">"c16490"</definedName>
    <definedName name="IQ_TEV_EST_TOTAL_REVISED_2MONTH_THOM" hidden="1">"c17318"</definedName>
    <definedName name="IQ_TEV_EST_TOTAL_REVISED_3MONTH" hidden="1">"c16494"</definedName>
    <definedName name="IQ_TEV_EST_TOTAL_REVISED_3MONTH_THOM" hidden="1">"c17322"</definedName>
    <definedName name="IQ_TEV_EST_TOTAL_REVISED_MONTH" hidden="1">"c16486"</definedName>
    <definedName name="IQ_TEV_EST_TOTAL_REVISED_MONTH_THOM" hidden="1">"c17314"</definedName>
    <definedName name="IQ_TEV_EST_UP_2MONTH" hidden="1">"c16488"</definedName>
    <definedName name="IQ_TEV_EST_UP_2MONTH_THOM" hidden="1">"c17316"</definedName>
    <definedName name="IQ_TEV_EST_UP_3MONTH" hidden="1">"c16492"</definedName>
    <definedName name="IQ_TEV_EST_UP_3MONTH_THOM" hidden="1">"c17320"</definedName>
    <definedName name="IQ_TEV_EST_UP_MONTH" hidden="1">"c16484"</definedName>
    <definedName name="IQ_TEV_EST_UP_MONTH_THOM" hidden="1">"c17312"</definedName>
    <definedName name="IQ_TEV_HIGH_EST" hidden="1">"c4527"</definedName>
    <definedName name="IQ_TEV_HIGH_EST_THOM" hidden="1">"c5530"</definedName>
    <definedName name="IQ_TEV_LOW_EST" hidden="1">"c4528"</definedName>
    <definedName name="IQ_TEV_LOW_EST_THOM" hidden="1">"c5531"</definedName>
    <definedName name="IQ_TEV_MEDIAN_EST" hidden="1">"c4529"</definedName>
    <definedName name="IQ_TEV_MEDIAN_EST_THOM" hidden="1">"c5532"</definedName>
    <definedName name="IQ_TEV_NUM_EST" hidden="1">"c4530"</definedName>
    <definedName name="IQ_TEV_NUM_EST_THOM" hidden="1">"c5533"</definedName>
    <definedName name="IQ_TEV_STDDEV_EST" hidden="1">"c4531"</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IME_DEPOSITS_TOTAL_DEPOSITS" hidden="1">"c15723"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GUIDANCE_CIQ" hidden="1">"c5086"</definedName>
    <definedName name="IQ_TOTAL_DEBT_GUIDANCE_CIQ_COL" hidden="1">"c11733"</definedName>
    <definedName name="IQ_TOTAL_DEBT_HIGH_EST" hidden="1">"c4534"</definedName>
    <definedName name="IQ_TOTAL_DEBT_HIGH_GUIDANCE" hidden="1">"c4196"</definedName>
    <definedName name="IQ_TOTAL_DEBT_HIGH_GUIDANCE_CIQ" hidden="1">"c4608"</definedName>
    <definedName name="IQ_TOTAL_DEBT_HIGH_GUIDANCE_CIQ_COL" hidden="1">"c11257"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LOW_GUIDANCE_CIQ" hidden="1">"c4648"</definedName>
    <definedName name="IQ_TOTAL_DEBT_LOW_GUIDANCE_CIQ_COL" hidden="1">"c11297"</definedName>
    <definedName name="IQ_TOTAL_DEBT_MEDIAN_EST" hidden="1">"c4536"</definedName>
    <definedName name="IQ_TOTAL_DEBT_NON_CURRENT" hidden="1">"c6191"</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NTAL_REVENUE" hidden="1">"c16022"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DJ_SIZE_FINAL" hidden="1">"c16265"</definedName>
    <definedName name="IQ_TR_ANN_DATE" hidden="1">"c2395"</definedName>
    <definedName name="IQ_TR_ANN_DATE_BL" hidden="1">"c2394"</definedName>
    <definedName name="IQ_TR_BID_DATE" hidden="1">"c2357"</definedName>
    <definedName name="IQ_TR_BLUESKY_FEES" hidden="1">"c2277"</definedName>
    <definedName name="IQ_TR_BNKY_ADVISOR_CLIENT_NAME_LIST" hidden="1">"c17671"</definedName>
    <definedName name="IQ_TR_BNKY_ADVISOR_FEE_LIST" hidden="1">"c17673"</definedName>
    <definedName name="IQ_TR_BNKY_ADVISOR_FEE_PCT_LIST" hidden="1">"c17674"</definedName>
    <definedName name="IQ_TR_BNKY_ADVISOR_ID_LIST" hidden="1">"c17670"</definedName>
    <definedName name="IQ_TR_BNKY_ADVISOR_NAME_LIST" hidden="1">"c17669"</definedName>
    <definedName name="IQ_TR_BNKY_ADVISOR_ROLE_LIST" hidden="1">"c17672"</definedName>
    <definedName name="IQ_TR_BNKY_AFFILIATES_JOINT_ADMIN" hidden="1">"c17636"</definedName>
    <definedName name="IQ_TR_BNKY_AFFILIATES_JOINT_ADMIN_LIST" hidden="1">"c17656"</definedName>
    <definedName name="IQ_TR_BNKY_CASE_CONSOLIDATED_DATE" hidden="1">"c17632"</definedName>
    <definedName name="IQ_TR_BNKY_CASE_FILING_FEE_PAID" hidden="1">"c17634"</definedName>
    <definedName name="IQ_TR_BNKY_CASE_NUMBER" hidden="1">"c17627"</definedName>
    <definedName name="IQ_TR_BNKY_CASH_IN_HAND" hidden="1">"c17651"</definedName>
    <definedName name="IQ_TR_BNKY_COURT" hidden="1">"c17626"</definedName>
    <definedName name="IQ_TR_BNKY_CREDITOR_CLAIM_AMT_LIST" hidden="1">"c17660"</definedName>
    <definedName name="IQ_TR_BNKY_CREDITOR_ID_LIST" hidden="1">"c17658"</definedName>
    <definedName name="IQ_TR_BNKY_CREDITOR_NAME_LIST" hidden="1">"c17657"</definedName>
    <definedName name="IQ_TR_BNKY_CREDITOR_REL_LIST" hidden="1">"c17659"</definedName>
    <definedName name="IQ_TR_BNKY_CREDITORS" hidden="1">"c17635"</definedName>
    <definedName name="IQ_TR_BNKY_DIP_COMMITMENT_FEE_LIST" hidden="1">"c17667"</definedName>
    <definedName name="IQ_TR_BNKY_DIP_FIN_PROVIDED" hidden="1">"c17640"</definedName>
    <definedName name="IQ_TR_BNKY_DIP_FIN_PROVIDED_LIST" hidden="1">"c17665"</definedName>
    <definedName name="IQ_TR_BNKY_DIP_FIN_PROVIDERS" hidden="1">"c17639"</definedName>
    <definedName name="IQ_TR_BNKY_DIP_FIN_SECURITY_TYPES" hidden="1">"c17642"</definedName>
    <definedName name="IQ_TR_BNKY_DIP_FIN_UTILIZED" hidden="1">"c17641"</definedName>
    <definedName name="IQ_TR_BNKY_DIP_ID_LIST" hidden="1">"c17662"</definedName>
    <definedName name="IQ_TR_BNKY_DIP_LEAD_PROVIDER_LIST" hidden="1">"c17668"</definedName>
    <definedName name="IQ_TR_BNKY_DIP_LIBOR_SPREAD_LIST" hidden="1">"c17666"</definedName>
    <definedName name="IQ_TR_BNKY_DIP_MATURITY_DATE_LIST" hidden="1">"c17664"</definedName>
    <definedName name="IQ_TR_BNKY_DIP_NAME_LIST" hidden="1">"c17661"</definedName>
    <definedName name="IQ_TR_BNKY_DIP_SECURITY_LIST" hidden="1">"c17663"</definedName>
    <definedName name="IQ_TR_BNKY_DISMISSED_DATE" hidden="1">"c17633"</definedName>
    <definedName name="IQ_TR_BNKY_EMERGED_REORG_DATE" hidden="1">"c17630"</definedName>
    <definedName name="IQ_TR_BNKY_FEATURES_LIST" hidden="1">"c17655"</definedName>
    <definedName name="IQ_TR_BNKY_FILING_TYPE" hidden="1">"c17624"</definedName>
    <definedName name="IQ_TR_BNKY_INVOL_PETITION_FILED_DATE" hidden="1">"c17629"</definedName>
    <definedName name="IQ_TR_BNKY_ISSUANCE_DEBT" hidden="1">"c17648"</definedName>
    <definedName name="IQ_TR_BNKY_ISSUANCE_EQUITY" hidden="1">"c17649"</definedName>
    <definedName name="IQ_TR_BNKY_LEAD_ASSETS_INIT_FILING" hidden="1">"c17645"</definedName>
    <definedName name="IQ_TR_BNKY_LEAD_ASSETS_INIT_FILING_LIST" hidden="1">"c17678"</definedName>
    <definedName name="IQ_TR_BNKY_LEAD_DEBTOR" hidden="1">"c17643"</definedName>
    <definedName name="IQ_TR_BNKY_LEAD_DEBTOR_LIST" hidden="1">"c17675"</definedName>
    <definedName name="IQ_TR_BNKY_LEAD_LIAB_INIT_FILING" hidden="1">"c17644"</definedName>
    <definedName name="IQ_TR_BNKY_LEAD_LIAB_INIT_FILING_LIST" hidden="1">"c17677"</definedName>
    <definedName name="IQ_TR_BNKY_LEAD_REV_ANN" hidden="1">"c17646"</definedName>
    <definedName name="IQ_TR_BNKY_LEAD_REV_ANN_LIST" hidden="1">"c17679"</definedName>
    <definedName name="IQ_TR_BNKY_LEAD_STOCK_PRICE_ANN" hidden="1">"c17647"</definedName>
    <definedName name="IQ_TR_BNKY_LEAD_STOCK_PRICE_ANN_LIST" hidden="1">"c17680"</definedName>
    <definedName name="IQ_TR_BNKY_LEAD_TYPE_LIST" hidden="1">"c17676"</definedName>
    <definedName name="IQ_TR_BNKY_LIQUIDATED_DATE" hidden="1">"c17631"</definedName>
    <definedName name="IQ_TR_BNKY_PRE_BANKRUPTCY_SITUATION" hidden="1">"c17637"</definedName>
    <definedName name="IQ_TR_BNKY_RESOLUTION" hidden="1">"c17638"</definedName>
    <definedName name="IQ_TR_BNKY_RESTRUCTURING_WEBSITE" hidden="1">"c17625"</definedName>
    <definedName name="IQ_TR_BNKY_SALE_ASSETS" hidden="1">"c17650"</definedName>
    <definedName name="IQ_TR_BNKY_TOTAL_CLAIMANTS_AMT" hidden="1">"c17653"</definedName>
    <definedName name="IQ_TR_BNKY_TOTAL_FIN_PROVIDED" hidden="1">"c17652"</definedName>
    <definedName name="IQ_TR_BNKY_TOTAL_PAYMENTS_CLAIMANTS" hidden="1">"c17654"</definedName>
    <definedName name="IQ_TR_BNKY_VOL_PETITION_FILED_DATE" hidden="1">"c17628"</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CONSID_PCT_FINAL" hidden="1">"c16268"</definedName>
    <definedName name="IQ_TR_CASH_ST_INVEST" hidden="1">"c3025"</definedName>
    <definedName name="IQ_TR_CASH_ST_INVEST_FINAL" hidden="1">"c16266"</definedName>
    <definedName name="IQ_TR_CHANGE_CONTROL" hidden="1">"c2365"</definedName>
    <definedName name="IQ_TR_CLOSED_DATE" hidden="1">"c2283"</definedName>
    <definedName name="IQ_TR_CO_NET_PROCEEDS" hidden="1">"c2268"</definedName>
    <definedName name="IQ_TR_CO_NET_PROCEEDS_ISSUE" hidden="1">"c17571"</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BT_CONSID_PCT_FINAL" hidden="1">"c16274"</definedName>
    <definedName name="IQ_TR_DEF_AGRMT_DATE" hidden="1">"c2285"</definedName>
    <definedName name="IQ_TR_DISCLOSED_FEES_EXP" hidden="1">"c2288"</definedName>
    <definedName name="IQ_TR_EARNOUTS" hidden="1">"c3023"</definedName>
    <definedName name="IQ_TR_EARNOUTS_FINAL" hidden="1">"c16262"</definedName>
    <definedName name="IQ_TR_EX_OVER_SHARES_ISSUE" hidden="1">"c17566"</definedName>
    <definedName name="IQ_TR_EXPIRED_DATE" hidden="1">"c2412"</definedName>
    <definedName name="IQ_TR_GROSS_OFFERING_AMT" hidden="1">"c2262"</definedName>
    <definedName name="IQ_TR_GROSS_PROCEEDS_ISSUE" hidden="1">"c17568"</definedName>
    <definedName name="IQ_TR_HYBRID_CONSID_PCT" hidden="1">"c2300"</definedName>
    <definedName name="IQ_TR_HYBRID_CONSID_PCT_FINAL" hidden="1">"c16276"</definedName>
    <definedName name="IQ_TR_IMPLIED_EQ" hidden="1">"c3018"</definedName>
    <definedName name="IQ_TR_IMPLIED_EQ_BV" hidden="1">"c3019"</definedName>
    <definedName name="IQ_TR_IMPLIED_EQ_BV_FINAL" hidden="1">"c16255"</definedName>
    <definedName name="IQ_TR_IMPLIED_EQ_FINAL" hidden="1">"c16253"</definedName>
    <definedName name="IQ_TR_IMPLIED_EQ_NI_LTM" hidden="1">"c3020"</definedName>
    <definedName name="IQ_TR_IMPLIED_EQ_NI_LTM_FINAL" hidden="1">"c16254"</definedName>
    <definedName name="IQ_TR_IMPLIED_EV" hidden="1">"c2301"</definedName>
    <definedName name="IQ_TR_IMPLIED_EV_BV" hidden="1">"c2306"</definedName>
    <definedName name="IQ_TR_IMPLIED_EV_EBIT" hidden="1">"c2302"</definedName>
    <definedName name="IQ_TR_IMPLIED_EV_EBIT_FINAL" hidden="1">"c16252"</definedName>
    <definedName name="IQ_TR_IMPLIED_EV_EBITDA" hidden="1">"c2303"</definedName>
    <definedName name="IQ_TR_IMPLIED_EV_EBITDA_FINAL" hidden="1">"c16251"</definedName>
    <definedName name="IQ_TR_IMPLIED_EV_FINAL" hidden="1">"c16249"</definedName>
    <definedName name="IQ_TR_IMPLIED_EV_NI_LTM" hidden="1">"c2307"</definedName>
    <definedName name="IQ_TR_IMPLIED_EV_REV" hidden="1">"c2304"</definedName>
    <definedName name="IQ_TR_IMPLIED_EV_REV_FINAL" hidden="1">"c16250"</definedName>
    <definedName name="IQ_TR_INIT_FILED_DATE" hidden="1">"c3495"</definedName>
    <definedName name="IQ_TR_IPO_TRANSACTION_ID" hidden="1">"c17554"</definedName>
    <definedName name="IQ_TR_LEAD_UNDERWRITERS" hidden="1">"c17576"</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ASSUM_LIABILITIES_FINAL" hidden="1">"c16264"</definedName>
    <definedName name="IQ_TR_NET_PROCEEDS" hidden="1">"c2267"</definedName>
    <definedName name="IQ_TR_OFFER_DATE" hidden="1">"c2265"</definedName>
    <definedName name="IQ_TR_OFFER_DATE_MA" hidden="1">"c3035"</definedName>
    <definedName name="IQ_TR_OFFER_PER_SHARE" hidden="1">"c3017"</definedName>
    <definedName name="IQ_TR_OFFER_PER_SHARE_FINAL" hidden="1">"c16257"</definedName>
    <definedName name="IQ_TR_OPTIONS_CONSID_PCT" hidden="1">"c2311"</definedName>
    <definedName name="IQ_TR_OPTIONS_CONSID_PCT_FINAL" hidden="1">"c16278"</definedName>
    <definedName name="IQ_TR_OTHER_CONSID" hidden="1">"c3022"</definedName>
    <definedName name="IQ_TR_OTHER_CONSID_FINAL" hidden="1">"c16261"</definedName>
    <definedName name="IQ_TR_PCT_SOUGHT" hidden="1">"c2309"</definedName>
    <definedName name="IQ_TR_PCT_SOUGHT_ACQUIRED_FINAL" hidden="1">"c16256"</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_1D_PRICE" hidden="1">"c19180"</definedName>
    <definedName name="IQ_TR_PO_1D_RETURN" hidden="1">"c19179"</definedName>
    <definedName name="IQ_TR_PO_1M_PRICE" hidden="1">"c19184"</definedName>
    <definedName name="IQ_TR_PO_1M_RETURN" hidden="1">"c19183"</definedName>
    <definedName name="IQ_TR_PO_1W_PRICE" hidden="1">"c19182"</definedName>
    <definedName name="IQ_TR_PO_1W_RETURN" hidden="1">"c19181"</definedName>
    <definedName name="IQ_TR_PO_1Y_PRICE" hidden="1">"c19190"</definedName>
    <definedName name="IQ_TR_PO_1Y_RETURN" hidden="1">"c19189"</definedName>
    <definedName name="IQ_TR_PO_3M_PRICE" hidden="1">"c19186"</definedName>
    <definedName name="IQ_TR_PO_3M_RETURN" hidden="1">"c19185"</definedName>
    <definedName name="IQ_TR_PO_6M_PRICE" hidden="1">"c19188"</definedName>
    <definedName name="IQ_TR_PO_6M_RETURN" hidden="1">"c19187"</definedName>
    <definedName name="IQ_TR_PO_DISCOUNT_SHARE" hidden="1">"c17562"</definedName>
    <definedName name="IQ_TR_PO_ISSUE_CURRENCY" hidden="1">"c17557"</definedName>
    <definedName name="IQ_TR_PO_NET_PROCEEDS_SHARE" hidden="1">"c17563"</definedName>
    <definedName name="IQ_TR_PO_PRICE_RANGE" hidden="1">"c17559"</definedName>
    <definedName name="IQ_TR_PO_PRICE_RANGE_HIGH" hidden="1">"c17560"</definedName>
    <definedName name="IQ_TR_PO_PRICE_RANGE_LOW" hidden="1">"c17561"</definedName>
    <definedName name="IQ_TR_PO_PRICE_SHARE" hidden="1">"c17558"</definedName>
    <definedName name="IQ_TR_PO_SHARES_OFFERED" hidden="1">"c17564"</definedName>
    <definedName name="IQ_TR_PO_SHARES_OFFERED_EX_OVER" hidden="1">"c17567"</definedName>
    <definedName name="IQ_TR_PO_TICKER" hidden="1">"c17556"</definedName>
    <definedName name="IQ_TR_PO_TRADING_ITEM_CIQID" hidden="1">"c17555"</definedName>
    <definedName name="IQ_TR_POSTMONEY_VAL" hidden="1">"c2286"</definedName>
    <definedName name="IQ_TR_PREDEAL_SITUATION" hidden="1">"c2390"</definedName>
    <definedName name="IQ_TR_PREF_CONSID_PCT" hidden="1">"c2310"</definedName>
    <definedName name="IQ_TR_PREF_CONSID_PCT_FINAL" hidden="1">"c16272"</definedName>
    <definedName name="IQ_TR_PREMONEY_VAL" hidden="1">"c2287"</definedName>
    <definedName name="IQ_TR_PRINTING_FEES" hidden="1">"c2276"</definedName>
    <definedName name="IQ_TR_PROCEEDS_EX_OVER_ISSUE" hidden="1">"c17574"</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_OVER_SHARES_ISSUE" hidden="1">"c17565"</definedName>
    <definedName name="IQ_TR_REG_OVER_VALUE_ISSUE" hidden="1">"c17572"</definedName>
    <definedName name="IQ_TR_REGISTRATION_FEES" hidden="1">"c2274"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ISSUE" hidden="1">"c17570"</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TOCK_CONSID_PCT_FINAL" hidden="1">"c16270"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ASH_FINAL" hidden="1">"c16267"</definedName>
    <definedName name="IQ_TR_TOTAL_CONSID_SH" hidden="1">"c2316"</definedName>
    <definedName name="IQ_TR_TOTAL_CONSID_SH_FINAL" hidden="1">"c16260"</definedName>
    <definedName name="IQ_TR_TOTAL_DEBT" hidden="1">"c2317"</definedName>
    <definedName name="IQ_TR_TOTAL_DEBT_FINAL" hidden="1">"c16273"</definedName>
    <definedName name="IQ_TR_TOTAL_EX_OVER_VALUE_ISSUE" hidden="1">"c17573"</definedName>
    <definedName name="IQ_TR_TOTAL_GROSS_TV" hidden="1">"c2318"</definedName>
    <definedName name="IQ_TR_TOTAL_GROSS_TV_FINAL" hidden="1">"c16259"</definedName>
    <definedName name="IQ_TR_TOTAL_HYBRID" hidden="1">"c2319"</definedName>
    <definedName name="IQ_TR_TOTAL_HYBRID_FINAL" hidden="1">"c16275"</definedName>
    <definedName name="IQ_TR_TOTAL_LEGAL_FEES" hidden="1">"c2272"</definedName>
    <definedName name="IQ_TR_TOTAL_NET_TV" hidden="1">"c2320"</definedName>
    <definedName name="IQ_TR_TOTAL_NET_TV_FINAL" hidden="1">"c16258"</definedName>
    <definedName name="IQ_TR_TOTAL_NEWMONEY" hidden="1">"c2289"</definedName>
    <definedName name="IQ_TR_TOTAL_OPTIONS" hidden="1">"c2322"</definedName>
    <definedName name="IQ_TR_TOTAL_OPTIONS_BUYER" hidden="1">"c3026"</definedName>
    <definedName name="IQ_TR_TOTAL_OPTIONS_BUYER_FINAL" hidden="1">"c16277"</definedName>
    <definedName name="IQ_TR_TOTAL_OPTIONS_FINAL" hidden="1">"c16263"</definedName>
    <definedName name="IQ_TR_TOTAL_PREFERRED" hidden="1">"c2321"</definedName>
    <definedName name="IQ_TR_TOTAL_PREFERRED_FINAL" hidden="1">"c16271"</definedName>
    <definedName name="IQ_TR_TOTAL_REG_AMT" hidden="1">"c2261"</definedName>
    <definedName name="IQ_TR_TOTAL_STOCK" hidden="1">"c2323"</definedName>
    <definedName name="IQ_TR_TOTAL_STOCK_FINAL" hidden="1">"c16269"</definedName>
    <definedName name="IQ_TR_TOTAL_TAKEDOWNS" hidden="1">"c2278"</definedName>
    <definedName name="IQ_TR_TOTAL_UW_COMP" hidden="1">"c2280"</definedName>
    <definedName name="IQ_TR_TOTALVALUE" hidden="1">"c2400"</definedName>
    <definedName name="IQ_TR_TRANSACTION_TYPE" hidden="1">"c2398"</definedName>
    <definedName name="IQ_TR_UNDERWRITER_COMP_ISSUE" hidden="1">"c17569"</definedName>
    <definedName name="IQ_TR_UNDERWRITERS_OTHER" hidden="1">"c17577"</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FED_FUNDS" hidden="1">"c2524"</definedName>
    <definedName name="IQ_UNDRAWN_FHLB" hidden="1">"c2520"</definedName>
    <definedName name="IQ_UNDRAWN_LC" hidden="1">"c2521"</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COG_TAX_BENEFIT_BEG_PERIOD" hidden="1">"c15732"</definedName>
    <definedName name="IQ_UNRECOG_TAX_BENEFIT_END_PERIOD" hidden="1">"c15740"</definedName>
    <definedName name="IQ_UNRECOG_TAX_BENEFIT_OTHER_ADJ" hidden="1">"c15739"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PGRADE_REBUILD_CABLE_INVEST" hidden="1">"c15804"</definedName>
    <definedName name="IQ_US_ADDRESS_LEASE_FIN_REC_FFIEC" hidden="1">"c13624"</definedName>
    <definedName name="IQ_US_AGENCY_OBLIG_FFIEC" hidden="1">"c12779"</definedName>
    <definedName name="IQ_US_AGENCY_OBLIG_HTM_AMORT_COST_FFIEC" hidden="1">"c20438"</definedName>
    <definedName name="IQ_US_AGENCY_OBLIG_HTM_FAIR_VAL_FFIEC" hidden="1">"c20473"</definedName>
    <definedName name="IQ_US_AGENCY_OBLIG_TRADING_DOM_FFIEC" hidden="1">"c12919"</definedName>
    <definedName name="IQ_US_AGENCY_OBLIG_TRADING_FFIEC" hidden="1">"c12814"</definedName>
    <definedName name="IQ_US_AGENCY_OBLIGATIONS_AFS_AMORT_COST_FFIEC" hidden="1">"c20490"</definedName>
    <definedName name="IQ_US_AGENCY_OBLIGATIONS_AFS_FAIR_VAL_FFIEC" hidden="1">"c20455"</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FS_AMORT_COST_FFIEC" hidden="1">"c20491"</definedName>
    <definedName name="IQ_US_SPONSORED_AGENCY_OBLIG_AFS_FAIR_VAL_FFIEC" hidden="1">"c20456"</definedName>
    <definedName name="IQ_US_SPONSORED_AGENCY_OBLIG_AVAIL_SALE_FFIEC" hidden="1">"c12794"</definedName>
    <definedName name="IQ_US_SPONSORED_AGENCY_OBLIG_FFIEC" hidden="1">"c12780"</definedName>
    <definedName name="IQ_US_SPONSORED_AGENCY_OBLIG_HTM_AMORT_COST_FFIEC" hidden="1">"c20439"</definedName>
    <definedName name="IQ_US_SPONSORED_AGENCY_OBLIG_HTM_FAIR_VAL_FFIEC" hidden="1">"c20474"</definedName>
    <definedName name="IQ_US_TREASURY_SEC_AFS_AMORT_COST_FFIEC" hidden="1">"c20489"</definedName>
    <definedName name="IQ_US_TREASURY_SEC_AFS_FAIR_VAL_FFIEC" hidden="1">"c20454"</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_TREASURY_SECURITIES_HTM_AMORT_COST_FFIEC" hidden="1">"c20437"</definedName>
    <definedName name="IQ_US_TREASURY_SECURITIES_HTM_FAIR_VAL_FFIEC" hidden="1">"c20472"</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ATION_ALLOWANCES_FDIC" hidden="1">"c6400"</definedName>
    <definedName name="IQ_VALUE_CUSTOMER_ASSETS" hidden="1">"c20433"</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"c16203"</definedName>
    <definedName name="IQ_VOICE_SUB_TOTAL_HOMES_PASSED" hidden="1">"c15770"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"c2203"</definedName>
    <definedName name="IQ_XDIV_DATE_LIST" hidden="1">"c17416"</definedName>
    <definedName name="IQ_YEAR_FOUNDED" hidden="1">"c6793"</definedName>
    <definedName name="IQ_YEARHIGH" hidden="1">"c1337"</definedName>
    <definedName name="IQ_YEARHIGH_DATE" hidden="1">"c2250"</definedName>
    <definedName name="IQ_YEARHIGH_RT" hidden="1">"YEARHIGH"</definedName>
    <definedName name="IQ_YEARLOW" hidden="1">"c1338"</definedName>
    <definedName name="IQ_YEARLOW_DATE" hidden="1">"c2251"</definedName>
    <definedName name="IQ_YEARLOW_RT" hidden="1">"YEARLOW"</definedName>
    <definedName name="IQ_YIELD_CURVE_LIST" hidden="1">"c19250"</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0</definedName>
    <definedName name="iQShowHideColumns" hidden="1">"iQShowAnnual"</definedName>
    <definedName name="Ireland" hidden="1">{"view1",#N/A,FALSE,"MA11(UK)"}</definedName>
    <definedName name="j"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jane" hidden="1">{#N/A,#N/A,FALSE,"34";#N/A,#N/A,FALSE,"35"}</definedName>
    <definedName name="Japan" localSheetId="6" hidden="1">{"twx1",#N/A,FALSE,"twltm.xls";"twx2",#N/A,FALSE,"twltm.xls";"twx3",#N/A,FALSE,"twltm.xls"}</definedName>
    <definedName name="Japan" hidden="1">{"twx1",#N/A,FALSE,"twltm.xls";"twx2",#N/A,FALSE,"twltm.xls";"twx3",#N/A,FALSE,"twltm.xls"}</definedName>
    <definedName name="jdk" hidden="1">0</definedName>
    <definedName name="jeeeee" hidden="1">{#N/A,#N/A,FALSE,"1-3-0 Sales Summary_Volume";#N/A,#N/A,FALSE,"1-3-1 Mon Appr Chgs";#N/A,#N/A,FALSE,"1-3-3 4 Sent to Carrier";#N/A,#N/A,FALSE,"1-3-5 6 Submitted";#N/A,#N/A,FALSE,"1-3-7, 8  ClosRatio by Carr";#N/A,#N/A,FALSE,"1-3-9 % Sub Sent to Carrl";#N/A,#N/A,FALSE,"1-4 Sales Summary_Lag";#N/A,#N/A,FALSE,"1-4-1 Apps Ret CA OofS";#N/A,#N/A,FALSE,"2-1 ClosRatio by State";#N/A,#N/A,FALSE,"2-2 ClosRatio by Carrier";#N/A,#N/A,FALSE,"2-3-1 CLosRatioStateCarr YTD";#N/A,#N/A,FALSE,"2-3-2 CLosRatioStateCarr June";#N/A,#N/A,FALSE,"2-4 ClosRatioStatCarrier99";#N/A,#N/A,FALSE,"2-5#CarrierPerState00";#N/A,#N/A,FALSE,"2-6#CarrierPerState99";#N/A,#N/A,FALSE,"2-7 StateClosRatio";#N/A,#N/A,FALSE,"2-8 CarrierClosRatio";#N/A,#N/A,FALSE,"3  Sales and Persistency";#N/A,#N/A,FALSE,"4-1 Summary Lag Report";#N/A,#N/A,FALSE,"4-2 Detail Lag Report";#N/A,#N/A,FALSE,"4-3 Lag Analysis";#N/A,#N/A,FALSE,"5-1 SBG"}</definedName>
    <definedName name="jen" hidden="1">{TRUE,TRUE,-1.25,-15.5,456.75,279.75,FALSE,FALSE,TRUE,TRUE,0,1,8,1,4,6,3,4,TRUE,TRUE,3,TRUE,1,TRUE,100,"Swvu.turnover.","ACwvu.turnover.",1,FALSE,FALSE,0.511811023622047,0.511811023622047,0.511811023622047,0.511811023622047,1,"","",FALSE,FALSE,FALSE,FALSE,1,#N/A,1,1,#DIV/0!,FALSE,"Rwvu.turnover.",#N/A,FALSE,FALSE}</definedName>
    <definedName name="JHBGVC" hidden="1">{"Full-model",#N/A,FALSE,"ProForma-ASPT"}</definedName>
    <definedName name="jhfg" hidden="1">{"Full-model",#N/A,FALSE,"ProForma-ASPT"}</definedName>
    <definedName name="jjj" hidden="1">{#N/A,#N/A,TRUE,"4Q BCG";#N/A,#N/A,TRUE,"4Q w|o Wireless";#N/A,#N/A,TRUE,"4Q Wireless"}</definedName>
    <definedName name="jjjj" hidden="1">{"Page1",#N/A,FALSE,"CompCo";"Page2",#N/A,FALSE,"CompCo"}</definedName>
    <definedName name="jjjjj" hidden="1">{#N/A,#N/A,FALSE,"Index (2)";#N/A,#N/A,FALSE,"1-1 Vol Graph";#N/A,#N/A,FALSE,"1-2 Approve App Graph";#N/A,#N/A,FALSE,"6-1 Email Graph";#N/A,#N/A,FALSE,"6-2 Chat Graph";#N/A,#N/A,FALSE,"6-3 Total Calls_Abandoned";#N/A,#N/A,FALSE,"6-4 Abandoned Graph";#N/A,#N/A,FALSE,"6-5 Within 30 Sec"}</definedName>
    <definedName name="jkj" hidden="1">{#N/A,#N/A,TRUE,"FY BCG";#N/A,#N/A,TRUE,"FY w|o Wireless";#N/A,#N/A,TRUE,"FY Wireless"}</definedName>
    <definedName name="jkl" hidden="1">{"ReportTop",#N/A,FALSE,"report top"}</definedName>
    <definedName name="jklkj" hidden="1">{"Sum1",#N/A,FALSE,"Reserve Report";"Sum2",#N/A,FALSE,"Reserve Report";"Sum3",#N/A,FALSE,"Reserve Report";"Sum4",#N/A,FALSE,"Reserve Report"}</definedName>
    <definedName name="jkyuk" hidden="1">{"Valuation",#N/A,FALSE,"ProForma-ASPT"}</definedName>
    <definedName name="jl" hidden="1">{#N/A,#N/A,FALSE,"ES Cover";#N/A,#N/A,FALSE,"ES Index ";#N/A,#N/A,FALSE,"ES 2-1-1  Net Eff Mbrs 2001";#N/A,#N/A,FALSE,"ES 2-1-2  Net Eff  Mbrs 2000";#N/A,#N/A,FALSE,"ES 2-2 Mbr Sales Plan vs Proj";#N/A,#N/A,FALSE,"ES 3_Top 5 IFP States Carriers";#N/A,#N/A,FALSE,"ES 4 Top 5 SBG States Carriers";#N/A,#N/A,FALSE,"ES 5 New Top Bottom 5 Summary";#N/A,#N/A,FALSE,"ES 6 Daily Avg";#N/A,#N/A,FALSE,"ES 7  Vol Graph";#N/A,#N/A,FALSE,"ES 8  ClosRatio by Carr";#N/A,#N/A,FALSE,"ES 9  ClosRatio by State";#N/A,#N/A,FALSE,"ES 10  Apps Ret CA OofS";#N/A,#N/A,FALSE,"ES 11 CLosRatioStateCarr Mont";#N/A,#N/A,FALSE,"ES 12  CarrierPerStateNov";#N/A,#N/A,FALSE,"ES 13 CarrierPerStateYTD";#N/A,#N/A,FALSE,"ES 14 Analytics";#N/A,#N/A,FALSE,"ES 15 Total Calls Graph";#N/A,#N/A,FALSE,"ES 16 Within 30 Sec ";#N/A,#N/A,FALSE,"ES 17 Emails";#N/A,#N/A,FALSE,"ES 18 Chat Graph"}</definedName>
    <definedName name="jllk" hidden="1">{#N/A,#N/A,TRUE,"Monthly Wireless";#N/A,#N/A,TRUE,"Qrt Wireless";#N/A,#N/A,TRUE,"FY Wireless";#N/A,#N/A,TRUE,"1Q Wireless";#N/A,#N/A,TRUE,"2Q Wireless";#N/A,#N/A,TRUE,"3Q Wireless";#N/A,#N/A,TRUE,"4Q Wireless"}</definedName>
    <definedName name="JODMfind" hidden="1">{"graph",#N/A,FALSE,"WWJU";"graph",#N/A,FALSE,"WWSEM";"graph",#N/A,FALSE,"GOMJU";"graph",#N/A,FALSE,"GOMSEM";"graph",#N/A,FALSE,"NSJU";"graph",#N/A,FALSE,"NSSEM";"graph",#N/A,FALSE,"WAJU";"graph",#N/A,FALSE,"STOCKPRI";"graph",#N/A,FALSE,"CFTEV";"graph",#N/A,FALSE,"NAV-RCV";"graph",#N/A,FALSE,"CRUDEWW"}</definedName>
    <definedName name="jtdy" hidden="1">{"Valuation",#N/A,FALSE,"ProForma-ASPT"}</definedName>
    <definedName name="July" hidden="1">#REF!</definedName>
    <definedName name="June" hidden="1">{#N/A,#N/A,FALSE,"Index (2)";#N/A,#N/A,FALSE,"1-1 Vol Graph";#N/A,#N/A,FALSE,"1-2 Approve App Graph";#N/A,#N/A,FALSE,"6-1 Email Graph";#N/A,#N/A,FALSE,"6-2 Chat Graph";#N/A,#N/A,FALSE,"6-3 Total Calls_Abandoned";#N/A,#N/A,FALSE,"6-4 Abandoned Graph";#N/A,#N/A,FALSE,"6-5 Within 30 Sec"}</definedName>
    <definedName name="k"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kaminami" hidden="1">{#N/A,#N/A,FALSE,"Australia";#N/A,#N/A,FALSE,"Austria";#N/A,#N/A,FALSE,"Belgium";#N/A,#N/A,FALSE,"Canada";#N/A,#N/A,FALSE,"France";#N/A,#N/A,FALSE,"Germany";#N/A,#N/A,FALSE,"Hong Kong";#N/A,#N/A,FALSE,"Italy";#N/A,#N/A,FALSE,"Japan";#N/A,#N/A,FALSE,"Korea";#N/A,#N/A,FALSE,"Mexico";#N/A,#N/A,FALSE,"Poland";#N/A,#N/A,FALSE,"Spain";#N/A,#N/A,FALSE,"Switzerland";#N/A,#N/A,FALSE,"UK"}</definedName>
    <definedName name="kay"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KEY2s" hidden="1">#REF!</definedName>
    <definedName name="kim" hidden="1">{"'SGI_Opex'!$A$1:$O$187"}</definedName>
    <definedName name="kjh" hidden="1">{"Valuation",#N/A,FALSE,"ProForma-ASPT"}</definedName>
    <definedName name="KJHG" hidden="1">{"Full-model",#N/A,FALSE,"ProForma-ASPT"}</definedName>
    <definedName name="kjkk" hidden="1">{"Sum1",#N/A,FALSE,"Reserve Report";"Sum2",#N/A,FALSE,"Reserve Report";"Sum3",#N/A,FALSE,"Reserve Report";"Sum4",#N/A,FALSE,"Reserve Report"}</definedName>
    <definedName name="kk" hidden="1">{"inflated_pl",#N/A,FALSE,"P&amp;L"}</definedName>
    <definedName name="kkk" hidden="1">{"CSN M Detail",#N/A,FALSE,"Sch M Detail"}</definedName>
    <definedName name="kkk.pp" hidden="1">{"Ofcr Comp WP",#N/A,FALSE,"Ofcr Comp"}</definedName>
    <definedName name="kkkk" hidden="1">{#N/A,#N/A,FALSE,"BS";#N/A,#N/A,FALSE,"PL";#N/A,#N/A,FALSE,"처분";#N/A,#N/A,FALSE,"현금";#N/A,#N/A,FALSE,"매출";#N/A,#N/A,FALSE,"원가";#N/A,#N/A,FALSE,"경영"}</definedName>
    <definedName name="kl" hidden="1">{"'Sheet1'!$A$4:$M$36"}</definedName>
    <definedName name="kli" hidden="1">{"Total",#N/A,FALSE,"Total Proved";"PDP",#N/A,FALSE,"Total Proved";"PNP",#N/A,FALSE,"Total Proved";"PUD",#N/A,FALSE,"Total Proved"}</definedName>
    <definedName name="klk"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klklklkl" hidden="1">{#N/A,#N/A,FALSE,"Index";"Stmts_Qtrs",#N/A,FALSE,"Summary";"Stmts_24 mo",#N/A,FALSE,"Summary";"Summary_24",#N/A,FALSE,"Revenue";"Month_24",#N/A,FALSE,"Engineering";"Month_24",#N/A,FALSE,"Marketing";"Month_24",#N/A,FALSE,"G &amp; A";"Month_24",#N/A,FALSE,"Manufacturing"}</definedName>
    <definedName name="krutnh" hidden="1">{"Valuation",#N/A,FALSE,"ProForma-ASPT"}</definedName>
    <definedName name="kyd.ChngCell.01." hidden="1">#REF!</definedName>
    <definedName name="kyd.CounterLimitCell.01." hidden="1">"x"</definedName>
    <definedName name="kyd.Dim.01." hidden="1">"CLG:SUBS"</definedName>
    <definedName name="kyd.ElementList.01." hidden="1">"x"</definedName>
    <definedName name="kyd.ElementType.01." hidden="1">1</definedName>
    <definedName name="kyd.ItemType.01." hidden="1">1</definedName>
    <definedName name="kyd.MacroAtEnd." hidden="1">""</definedName>
    <definedName name="kyd.MacroEachCycle." hidden="1">""</definedName>
    <definedName name="kyd.MacroEndOfEachCycle." hidden="1">""</definedName>
    <definedName name="kyd.MemoSortHide." hidden="1">FALSE</definedName>
    <definedName name="kyd.NumLevels.01." hidden="1">999</definedName>
    <definedName name="kyd.PanicStop." hidden="1">FALSE</definedName>
    <definedName name="kyd.ParentName.01." hidden="1">"World Wide"</definedName>
    <definedName name="kyd.PreScreenData." hidden="1">FALSE</definedName>
    <definedName name="kyd.PrintMemo." hidden="1">FALSE</definedName>
    <definedName name="kyd.PrintParent.01." hidden="1">TRUE</definedName>
    <definedName name="kyd.PrintStdWhen." hidden="1">3</definedName>
    <definedName name="kyd.SaveAsFile." hidden="1">FALSE</definedName>
    <definedName name="kyd.SaveMemo." hidden="1">FALSE</definedName>
    <definedName name="kyd.SelectString.01." hidden="1">"*"</definedName>
    <definedName name="kyd.StdSortHide." hidden="1">FALSE</definedName>
    <definedName name="kyd.StopRow." hidden="1">65536</definedName>
    <definedName name="kyd.WriteMemWhenOptn." hidden="1">3</definedName>
    <definedName name="l"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larry" hidden="1">{#N/A,#N/A,FALSE,"34";#N/A,#N/A,FALSE,"35"}</definedName>
    <definedName name="LatinAm_New" hidden="1">{"'SGI_Opex'!$A$1:$O$187"}</definedName>
    <definedName name="lawrence"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lawrencee"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limcount" hidden="1">1</definedName>
    <definedName name="Linking_1">#REF!</definedName>
    <definedName name="Linking_2">'Segment As Reported'!$A$6:$EP$34</definedName>
    <definedName name="Linking_3">#REF!</definedName>
    <definedName name="Linking_4">#REF!</definedName>
    <definedName name="ListOffset" hidden="1">1</definedName>
    <definedName name="lkjlkh" hidden="1">{"Page1",#N/A,FALSE,"CompCo";"Page2",#N/A,FALSE,"CompCo"}</definedName>
    <definedName name="lkmn" hidden="1">{"Full-model",#N/A,FALSE,"ProForma-ASPT"}</definedName>
    <definedName name="ll" hidden="1">{#N/A,#N/A,FALSE,"מאזן בוחן";"כל_מאזן_בוחן",#N/A,FALSE,"מאזן בוחן"}</definedName>
    <definedName name="ll.pp" hidden="1">{"SchMpg1",#N/A,FALSE,"TR Sch M";"SchMpg2",#N/A,FALSE,"TR Sch M"}</definedName>
    <definedName name="llc.Info" hidden="1">{#N/A,#N/A,FALSE,"Income";#N/A,#N/A,FALSE,"Cost of Goods Sold";#N/A,#N/A,FALSE,"Other Costs";#N/A,#N/A,FALSE,"Other Income";#N/A,#N/A,FALSE,"Taxes";#N/A,#N/A,FALSE,"Other Deductions";#N/A,#N/A,FALSE,"Compensation of Officers"}</definedName>
    <definedName name="lll.ll" hidden="1">{"SchMpg1",#N/A,FALSE,"TR Sch M";"SchMpg2",#N/A,FALSE,"TR Sch M"}</definedName>
    <definedName name="lokm" hidden="1">{"Full-model",#N/A,FALSE,"ProForma-ASPT"}</definedName>
    <definedName name="LOV_oracle_apps_financials_generalLedger_journals_desktopEntry_di_FinGlDesktopMultibatchEntryPageDef_CurrencyCode" hidden="1">[27]_ADFDI_LOV!$C$18:$J$18</definedName>
    <definedName name="LOV_oracle_apps_financials_generalLedger_journals_desktopEntry_di_FinGlDesktopMultibatchEntryPageDef_LedgerId" hidden="1">[27]_ADFDI_LOV!$C$14:$H$14</definedName>
    <definedName name="LOV_oracle_apps_financials_generalLedger_journals_desktopEntry_di_FinGlDesktopMultibatchEntryPageDef_PeriodName" hidden="1">[27]_ADFDI_LOV!$C$22</definedName>
    <definedName name="LOV_oracle_apps_financials_generalLedger_journals_desktopEntry_di_FinGlDesktopMultibatchEntryPageDef_ReversalPeriodName" hidden="1">[27]_ADFDI_LOV!$C$24:$DU$24</definedName>
    <definedName name="LOV_oracle_apps_financials_generalLedger_journals_desktopEntry_di_FinGlDesktopMultibatchEntryPageDef_UserCurrencyConversionType" hidden="1">[27]_ADFDI_LOV!$C$20:$I$20</definedName>
    <definedName name="LOV_oracle_apps_financials_generalLedger_journals_desktopEntry_di_FinGlDesktopMultibatchEntryPageDef_UserJeCategoryName" hidden="1">[28]_ADFDI_LOV!$C$20:$CZ$20</definedName>
    <definedName name="LOV_oracle_apps_financials_generalLedger_journals_desktopEntry_di_FinGlDesktopMultibatchEntryPageDef_UserJeSourceName" hidden="1">[27]_ADFDI_LOV!$C$16:$D$16</definedName>
    <definedName name="Luxembourg" hidden="1">{"view1",#N/A,FALSE,"MA11(UK)"}</definedName>
    <definedName name="m"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ma" hidden="1">{"投資金額",#N/A,FALSE,"ｷｬｼｭﾌﾛｰ";"回収",#N/A,FALSE,"ｷｬｼｭﾌﾛｰ"}</definedName>
    <definedName name="Main_5" hidden="1">{#N/A,#N/A,FALSE,"Aging Summary";#N/A,#N/A,FALSE,"Ratio Analysis";#N/A,#N/A,FALSE,"Test 120 Day Accts";#N/A,#N/A,FALSE,"Tickmarks"}</definedName>
    <definedName name="mama" hidden="1">{#N/A,#N/A,FALSE,"VAS P&amp;L";#N/A,#N/A,FALSE,"MR P&amp;L";#N/A,#N/A,FALSE,"SVC";#N/A,#N/A,FALSE,"TOTAL";#N/A,#N/A,FALSE,"SUMMARY";#N/A,#N/A,FALSE,"SVCPL";#N/A,#N/A,FALSE,"SUMM+SVC"}</definedName>
    <definedName name="marg" hidden="1">{#N/A,#N/A,FALSE,"VAS P&amp;L";#N/A,#N/A,FALSE,"MR P&amp;L";#N/A,#N/A,FALSE,"SVC";#N/A,#N/A,FALSE,"TOTAL";#N/A,#N/A,FALSE,"SUMMARY";#N/A,#N/A,FALSE,"SVCPL";#N/A,#N/A,FALSE,"SUMM+SVC"}</definedName>
    <definedName name="marketing" hidden="1">{#N/A,#N/A,FALSE,"MKTSUM95";#N/A,#N/A,FALSE,"MKTADM95";#N/A,#N/A,FALSE,"MKTD&amp;C95";#N/A,#N/A,FALSE,"MKTPRD95";#N/A,#N/A,FALSE,"MKTCHL95"}</definedName>
    <definedName name="mary"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Master" hidden="1">{#N/A,#N/A,FALSE,"Actual";#N/A,#N/A,FALSE,"Normalized";#N/A,#N/A,FALSE,"Electric Actual";#N/A,#N/A,FALSE,"Electric Normalized"}</definedName>
    <definedName name="mayo" hidden="1">{#N/A,#N/A,FALSE,"Index";#N/A,#N/A,FALSE,"1-1 Vol Graph";#N/A,#N/A,FALSE,"1-2 Approve App Graph";#N/A,#N/A,FALSE,"1-3  Sales Summary_Volume";#N/A,#N/A,FALSE,"1-4  Net Effective Members"}</definedName>
    <definedName name="Metrics" hidden="1">{#N/A,#N/A,FALSE,"Index";#N/A,#N/A,FALSE,"1-1 Vol Graph";#N/A,#N/A,FALSE,"1-2 Approve App Graph";#N/A,#N/A,FALSE,"1-3  Sales Summary_Volume";#N/A,#N/A,FALSE,"1-4  Net Effective Members"}</definedName>
    <definedName name="mmmmm" hidden="1">{#N/A,#N/A,FALSE,"Cover";#N/A,#N/A,FALSE,"LUMI";#N/A,#N/A,FALSE,"COMD";#N/A,#N/A,FALSE,"Valuation";#N/A,#N/A,FALSE,"Assumptions";#N/A,#N/A,FALSE,"Pooling";#N/A,#N/A,FALSE,"BalanceSheet"}</definedName>
    <definedName name="mom" hidden="1">{#N/A,#N/A,FALSE,"VAS P&amp;L";#N/A,#N/A,FALSE,"MR P&amp;L";#N/A,#N/A,FALSE,"SVC";#N/A,#N/A,FALSE,"TOTAL";#N/A,#N/A,FALSE,"SUMMARY";#N/A,#N/A,FALSE,"SVCPL";#N/A,#N/A,FALSE,"SUMM+SVC"}</definedName>
    <definedName name="momma" hidden="1">{#N/A,#N/A,FALSE,"34";#N/A,#N/A,FALSE,"35"}</definedName>
    <definedName name="monthly" hidden="1">{"P450 Monthly Variance",#N/A,FALSE,"NIH P450"}</definedName>
    <definedName name="monthly1" hidden="1">{"P450 Monthly Variance",#N/A,FALSE,"NIH P450"}</definedName>
    <definedName name="MOO" hidden="1">{#N/A,#N/A,TRUE,"91AMTNOL";#N/A,#N/A,TRUE,"92AMTNOL";#N/A,#N/A,TRUE,"93AMTNOL"}</definedName>
    <definedName name="MOW" hidden="1">{#N/A,#N/A,FALSE,"91NOLCB";#N/A,#N/A,FALSE,"92NOLCB";#N/A,#N/A,FALSE,"93NOLCB"}</definedName>
    <definedName name="MP" hidden="1">{#N/A,#N/A,FALSE,"BS";#N/A,#N/A,FALSE,"PL";#N/A,#N/A,FALSE,"처분";#N/A,#N/A,FALSE,"현금";#N/A,#N/A,FALSE,"매출";#N/A,#N/A,FALSE,"원가";#N/A,#N/A,FALSE,"경영"}</definedName>
    <definedName name="MRG" hidden="1">{"INCOME",#N/A,FALSE,"ProNet";"VALUE",#N/A,FALSE,"ProNet"}</definedName>
    <definedName name="mrn.全体" hidden="1">{"表紙",#N/A,FALSE,"店別収支";"収支",#N/A,FALSE,"店別収支";"店舗別",#N/A,FALSE,"店別収支"}</definedName>
    <definedName name="MS.CreatedAt" hidden="1">"19.03.1999 14:28:19"</definedName>
    <definedName name="MS.CreatedBy" hidden="1">"TB"</definedName>
    <definedName name="MS.ModifiedAt" hidden="1">"25.06.1999 09:34:53"</definedName>
    <definedName name="MS.ModifiedBy" hidden="1">"TB"</definedName>
    <definedName name="MS.Version" hidden="1">"4.1"</definedName>
    <definedName name="muhsnr" hidden="1">{"Full-model",#N/A,FALSE,"ProForma-ASPT"}</definedName>
    <definedName name="n"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nada" hidden="1">{#N/A,#N/A,FALSE,"Australia";#N/A,#N/A,FALSE,"Austria";#N/A,#N/A,FALSE,"Belgium";#N/A,#N/A,FALSE,"Canada";#N/A,#N/A,FALSE,"France";#N/A,#N/A,FALSE,"Germany";#N/A,#N/A,FALSE,"Hong Kong";#N/A,#N/A,FALSE,"Italy";#N/A,#N/A,FALSE,"Japan";#N/A,#N/A,FALSE,"Korea";#N/A,#N/A,FALSE,"Mexico";#N/A,#N/A,FALSE,"Poland";#N/A,#N/A,FALSE,"Spain";#N/A,#N/A,FALSE,"Switzerland";#N/A,#N/A,FALSE,"UK"}</definedName>
    <definedName name="NBV" hidden="1">{"Valuation",#N/A,FALSE,"ProForma-ASPT"}</definedName>
    <definedName name="New" localSheetId="6" hidden="1">{"twx1",#N/A,FALSE,"twltm.xls";"twx2",#N/A,FALSE,"twltm.xls";"twx3",#N/A,FALSE,"twltm.xls"}</definedName>
    <definedName name="New" hidden="1">{"twx1",#N/A,FALSE,"twltm.xls";"twx2",#N/A,FALSE,"twltm.xls";"twx3",#N/A,FALSE,"twltm.xls"}</definedName>
    <definedName name="Newer" localSheetId="6" hidden="1">{"'Segment'!$A$1:$J$45"}</definedName>
    <definedName name="Newer" hidden="1">{"'Segment'!$A$1:$J$45"}</definedName>
    <definedName name="nice" hidden="1">{#N/A,#N/A,FALSE,"Index (2)";#N/A,#N/A,FALSE,"1-1 Vol Graph";#N/A,#N/A,FALSE,"1-2 Approve App Graph";#N/A,#N/A,FALSE,"1-3  Sales Summary_Volume";#N/A,#N/A,FALSE,"1-4-1 Net Effective Member";#N/A,#N/A,FALSE,"1-4-2 Mbr Sales Actual vs Goal";#N/A,#N/A,FALSE,"1-5  Sales Summary_Lag";#N/A,#N/A,FALSE,"1-6-1 Mon Appr Chgs";#N/A,#N/A,FALSE,"1-6-3 4 Sent to Carrier";#N/A,#N/A,FALSE,"1-6-5 6 Submitted";#N/A,#N/A,FALSE,"1-7-1,2  ClosRatio by Carr";#N/A,#N/A,FALSE,"1-7-3,4 ClosRatio by State";#N/A,#N/A,FALSE,"1-7-5  Apps Ret CA OofS";#N/A,#N/A,FALSE,"2-1  CLosRatioStateCarr YTD";#N/A,#N/A,FALSE,"2-2 CLosRatioStateCarr Month";#N/A,#N/A,FALSE,"2-3 ClosRatioStatCarrier99";#N/A,#N/A,FALSE,"2-4 CarrierPerState00";#N/A,#N/A,FALSE,"2-5  CarrierPerStateOct";#N/A,#N/A,FALSE,"2-6 CarrierPerState99";#N/A,#N/A,FALSE,"3-1 Summary Lag Report";#N/A,#N/A,FALSE,"3-2  Lag Analysis";#N/A,#N/A,FALSE,"4 - 1  Email Graph";#N/A,#N/A,FALSE,"4-2 Chat Graph";#N/A,#N/A,FALSE,"4-3 Total Calls Graph";#N/A,#N/A,FALSE,"4-5 Within 30 Sec";#N/A,#N/A,FALSE,"4-6 IFP Follow-up Calls"}</definedName>
    <definedName name="nj" hidden="1">'[21]Gross Receipts'!$B$49:$F$59</definedName>
    <definedName name="njhteg" hidden="1">{"Valuation",#N/A,FALSE,"ProForma-ASPT"}</definedName>
    <definedName name="nmbv" hidden="1">{"Full-model",#N/A,FALSE,"ProForma-ASPT"}</definedName>
    <definedName name="nmnmm" hidden="1">{#N/A,#N/A,FALSE,"Index";"Stmts_Qtrs",#N/A,FALSE,"Summary";"Stmts_24 mo",#N/A,FALSE,"Summary";"Summary_24",#N/A,FALSE,"Revenue";"Month_24",#N/A,FALSE,"Engineering";"Month_24",#N/A,FALSE,"Marketing";"Month_24",#N/A,FALSE,"G &amp; A";"Month_24",#N/A,FALSE,"Manufacturing"}</definedName>
    <definedName name="nn" hidden="1">{#N/A,#N/A,FALSE,"מאזן בוחן";"כל_מאזן_בוחן",#N/A,FALSE,"מאזן בוחן"}</definedName>
    <definedName name="noidea" hidden="1">{#N/A,#N/A,FALSE,"Calc";#N/A,#N/A,FALSE,"Sensitivity";#N/A,#N/A,FALSE,"LT Earn.Dil.";#N/A,#N/A,FALSE,"Dil. AVP"}</definedName>
    <definedName name="NOIDEA2" hidden="1">{#N/A,#N/A,FALSE,"Calc";#N/A,#N/A,FALSE,"Sensitivity";#N/A,#N/A,FALSE,"LT Earn.Dil.";#N/A,#N/A,FALSE,"Dil. AVP"}</definedName>
    <definedName name="nol" hidden="1">{#N/A,#N/A,FALSE,"91NOLCB";#N/A,#N/A,FALSE,"92NOLCB";#N/A,#N/A,FALSE,"93NOLCB"}</definedName>
    <definedName name="none" hidden="1">{#N/A,#N/A,FALSE,"Australia";#N/A,#N/A,FALSE,"Austria";#N/A,#N/A,FALSE,"Belgium";#N/A,#N/A,FALSE,"Canada";#N/A,#N/A,FALSE,"France";#N/A,#N/A,FALSE,"Germany";#N/A,#N/A,FALSE,"Hong Kong";#N/A,#N/A,FALSE,"Italy";#N/A,#N/A,FALSE,"Japan";#N/A,#N/A,FALSE,"Korea";#N/A,#N/A,FALSE,"Mexico";#N/A,#N/A,FALSE,"Poland";#N/A,#N/A,FALSE,"Spain";#N/A,#N/A,FALSE,"Switzerland";#N/A,#N/A,FALSE,"UK"}</definedName>
    <definedName name="ns" hidden="1">{"bs",#N/A,FALSE,"SCF"}</definedName>
    <definedName name="oc" hidden="1">{#N/A,#N/A,FALSE,"Index (2)";#N/A,#N/A,FALSE,"1-1 Vol Graph";#N/A,#N/A,FALSE,"1-2 Approve App Graph";#N/A,#N/A,FALSE,"6-1 Email Graph";#N/A,#N/A,FALSE,"6-2 Chat Graph";#N/A,#N/A,FALSE,"6-3 Total Calls_Abandoned";#N/A,#N/A,FALSE,"6-4 Abandoned Graph";#N/A,#N/A,FALSE,"6-5 Within 30 Sec"}</definedName>
    <definedName name="OEM" hidden="1">{#N/A,#N/A,TRUE,"Outlook98";#N/A,#N/A,TRUE,"Reduction Model"}</definedName>
    <definedName name="ohjn" hidden="1">{"Full-model",#N/A,FALSE,"ProForma-ASPT"}</definedName>
    <definedName name="OIUYT" hidden="1">{"Full-model",#N/A,FALSE,"ProForma-ASPT"}</definedName>
    <definedName name="OK" hidden="1">{#N/A,#N/A,FALSE,"Cover";#N/A,#N/A,FALSE,"LUMI";#N/A,#N/A,FALSE,"COMD";#N/A,#N/A,FALSE,"Valuation";#N/A,#N/A,FALSE,"Assumptions";#N/A,#N/A,FALSE,"Pooling";#N/A,#N/A,FALSE,"BalanceSheet"}</definedName>
    <definedName name="old" hidden="1">{"'AR at dunning level'!$S$96","'AR at dunning level'!$L$124","'AR at dunning level'!$K$124"}</definedName>
    <definedName name="oldname" hidden="1">{#N/A,#N/A,FALSE,"Index";#N/A,#N/A,FALSE,"IncStmt";#N/A,#N/A,FALSE,"Ratios";#N/A,#N/A,FALSE,"CashFlows";#N/A,#N/A,FALSE,"Ins1";#N/A,#N/A,FALSE,"Ins2";#N/A,#N/A,FALSE,"SelfFund";#N/A,#N/A,FALSE,"SGA";#N/A,#N/A,FALSE,"Recon";#N/A,#N/A,FALSE,"Earnings";#N/A,#N/A,FALSE,"Earnings (2)";#N/A,#N/A,FALSE,"Stock";#N/A,#N/A,FALSE,"Stock (2)";#N/A,#N/A,FALSE,"PeerRatios";#N/A,#N/A,FALSE,"PeerRanks"}</definedName>
    <definedName name="oncogene" hidden="1">{#N/A,#N/A,FALSE,"Oncogene"}</definedName>
    <definedName name="oncogene1" hidden="1">{#N/A,#N/A,FALSE,"Oncogene"}</definedName>
    <definedName name="one" hidden="1">#REF!,#REF!</definedName>
    <definedName name="oo" hidden="1">{"CF worksheet",#N/A,FALSE,"Consolidated"}</definedName>
    <definedName name="ool" hidden="1">{"Page1",#N/A,FALSE,"CompCo";"Page2",#N/A,FALSE,"CompCo"}</definedName>
    <definedName name="ooo" hidden="1">{"Consol BS",#N/A,FALSE,"BS&amp;ISvsBUD";"Consol IS",#N/A,FALSE,"BS&amp;ISvsBUD";#N/A,#N/A,FALSE,"ISvsPY"}</definedName>
    <definedName name="oooooi" hidden="1">{"Page1",#N/A,FALSE,"CompCo";"Page2",#N/A,FALSE,"CompCo"}</definedName>
    <definedName name="operating" hidden="1">{"CF worksheet",#N/A,FALSE,"Consolidated"}</definedName>
    <definedName name="OR2_RECE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others" hidden="1">{"Factors Pages 1-2",#N/A,FALSE,"Factors";"Factors Page 3",#N/A,FALSE,"Factors";"Factors Page 4",#N/A,FALSE,"Factors";"Factors Page 5",#N/A,FALSE,"Factors";"Factors Pages 8-27",#N/A,FALSE,"Factors"}</definedName>
    <definedName name="p" hidden="1">{#N/A,#N/A,TRUE,"Tabelle1";#N/A,#N/A,TRUE,"Tabelle1"}</definedName>
    <definedName name="Personnel" hidden="1">{#N/A,#N/A,TRUE,"Tabelle1";#N/A,#N/A,TRUE,"Tabelle1"}</definedName>
    <definedName name="pete" hidden="1">{#N/A,#N/A,FALSE,"Bgt";#N/A,#N/A,FALSE,"Act";#N/A,#N/A,FALSE,"Chrt Data";#N/A,#N/A,FALSE,"Bus Result";#N/A,#N/A,FALSE,"Main Charts";#N/A,#N/A,FALSE,"P&amp;L Ttl";#N/A,#N/A,FALSE,"P&amp;L C_Ttl";#N/A,#N/A,FALSE,"P&amp;L C_Oct";#N/A,#N/A,FALSE,"P&amp;L C_Sep";#N/A,#N/A,FALSE,"1996";#N/A,#N/A,FALSE,"Data"}</definedName>
    <definedName name="phil" hidden="1">{#N/A,#N/A,TRUE,"Summary";#N/A,#N/A,TRUE,"Assumptions";#N/A,#N/A,TRUE,"Comparison";#N/A,#N/A,TRUE,"Financials";#N/A,#N/A,TRUE,"Plan v. Act"}</definedName>
    <definedName name="PJAM3Yr" hidden="1">{"INCOME",#N/A,FALSE,"ProNet";"VALUE",#N/A,FALSE,"ProNet"}</definedName>
    <definedName name="po" hidden="1">{#N/A,#N/A,TRUE,"Monthly Wireless";#N/A,#N/A,TRUE,"Qrt Wireless";#N/A,#N/A,TRUE,"FY Wireless";#N/A,#N/A,TRUE,"1Q Wireless";#N/A,#N/A,TRUE,"2Q Wireless";#N/A,#N/A,TRUE,"3Q Wireless";#N/A,#N/A,TRUE,"4Q Wireless"}</definedName>
    <definedName name="poiu" hidden="1">{#N/A,#N/A,FALSE,"Actual";#N/A,#N/A,FALSE,"Normalized";#N/A,#N/A,FALSE,"Electric Actual";#N/A,#N/A,FALSE,"Electric Normalized"}</definedName>
    <definedName name="PopCache_FA_MASS_ADDITIONS_ASSET_TYPE" hidden="1">[28]PopCache!$A$1:$A$4</definedName>
    <definedName name="PopCache_FA_MASS_ADDITIONS_DEPRECIATE_FLAG" hidden="1">[28]PopCache!$B$1:$B$2</definedName>
    <definedName name="PopCache_GL_INTERFACE_REFERENCE7" hidden="1">[29]PopCache!$A$1:$A$2</definedName>
    <definedName name="pots" hidden="1">{"Ofcr Comp Stmt 4",#N/A,FALSE,"Ofcr Comp"}</definedName>
    <definedName name="pp"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Pres" hidden="1">{#N/A,#N/A,TRUE,"Cover sheet";#N/A,#N/A,TRUE,"Summary";#N/A,#N/A,TRUE,"Key Assumptions";#N/A,#N/A,TRUE,"Profit &amp; Loss";#N/A,#N/A,TRUE,"Balance Sheet";#N/A,#N/A,TRUE,"Cashflow";#N/A,#N/A,TRUE,"IRR";#N/A,#N/A,TRUE,"Ratios";#N/A,#N/A,TRUE,"Debt analysis"}</definedName>
    <definedName name="product_set" hidden="1">{"'Trend_Total'!$A$7:$V$10","'Trend_Total'!$A$1:$V$4"}</definedName>
    <definedName name="product_set2" hidden="1">{#N/A,#N/A,TRUE,"Outlook98";#N/A,#N/A,TRUE,"Reduction Model"}</definedName>
    <definedName name="prolinks_0c23b85430534d5996b277ea81e72cb3" hidden="1">#REF!</definedName>
    <definedName name="prolinks_18e1e18ec38646bba230f7e3928d11e0" hidden="1">#REF!</definedName>
    <definedName name="prolinks_510c6523d652477d85356591011a7b8c" hidden="1">#REF!</definedName>
    <definedName name="prolinks_9c58db8edd2942e3b53f0e99357069b4" hidden="1">#REF!</definedName>
    <definedName name="prolinks_9eda97dad5fa44a585bbe1601792221e" hidden="1">#REF!</definedName>
    <definedName name="prolinks_c50ebf65b4944f02ae9f8b650f6aee53" hidden="1">#REF!</definedName>
    <definedName name="prolinks_c75376443c874bb8a0b0ae5f163f060a" hidden="1">#REF!</definedName>
    <definedName name="prolinks_c85138e6a22a4cbeaf232ade7d856118" hidden="1">#REF!</definedName>
    <definedName name="prolinks_cff0569ac28e417da5339d2ce4cf3d1d" hidden="1">#REF!</definedName>
    <definedName name="prolinks_e8284260a7ff430bb68946ac637bd2db" hidden="1">#REF!</definedName>
    <definedName name="PUB_FileID" hidden="1">"L10003363.xls"</definedName>
    <definedName name="PUB_UserID" hidden="1">"MAYERX"</definedName>
    <definedName name="puui" hidden="1">{#N/A,#N/A,TRUE,"Qrt BCG";#N/A,#N/A,TRUE,"Qrt w|o Wireless";#N/A,#N/A,TRUE,"Qrt Wireless"}</definedName>
    <definedName name="q" hidden="1">'[30]Qtr Sales'!$EM$2:$FJ$127</definedName>
    <definedName name="qeeeeq" hidden="1">{#N/A,#N/A,FALSE,"Index (2)";#N/A,#N/A,FALSE,"1-1 Vol Graph";#N/A,#N/A,FALSE,"1-2 Approve App Graph";#N/A,#N/A,FALSE,"1-3  Sales Summary_Volume";#N/A,#N/A,FALSE,"1-4-1 Net Effective Member";#N/A,#N/A,FALSE,"1-4-2 Mbr Sales Actual vs Goal";#N/A,#N/A,FALSE,"1-5  Sales Summary_Lag";#N/A,#N/A,FALSE,"1-6-1 Mon Appr Chgs";#N/A,#N/A,FALSE,"1-6-3 4 Sent to Carrier";#N/A,#N/A,FALSE,"1-6-5 6 Submitted";#N/A,#N/A,FALSE,"1-7-1,2  ClosRatio by Carr";#N/A,#N/A,FALSE,"1-7-3,4 ClosRatio by State";#N/A,#N/A,FALSE,"1-7-5  Apps Ret CA OofS";#N/A,#N/A,FALSE,"2-1  CLosRatioStateCarr YTD";#N/A,#N/A,FALSE,"2-2 CLosRatioStateCarr Month";#N/A,#N/A,FALSE,"2-3 ClosRatioStatCarrier99";#N/A,#N/A,FALSE,"2-4 CarrierPerState00";#N/A,#N/A,FALSE,"2-5  CarrierPerStateOct";#N/A,#N/A,FALSE,"2-6 CarrierPerState99";#N/A,#N/A,FALSE,"3-1 Summary Lag Report";#N/A,#N/A,FALSE,"3-2  Lag Analysis";#N/A,#N/A,FALSE,"4 - 1  Email Graph";#N/A,#N/A,FALSE,"4-2 Chat Graph";#N/A,#N/A,FALSE,"4-3 Total Calls Graph";#N/A,#N/A,FALSE,"4-5 Within 30 Sec";#N/A,#N/A,FALSE,"4-6 IFP Follow-up Calls"}</definedName>
    <definedName name="qw" hidden="1">{"Total",#N/A,FALSE,"Total Proved + Probable";"PDP",#N/A,FALSE,"Total Proved + Probable";"PNP",#N/A,FALSE,"Total Proved + Probable";"PUD",#N/A,FALSE,"Total Proved + Probable";"Prob",#N/A,FALSE,"Total Proved + Probable"}</definedName>
    <definedName name="qwcww" hidden="1">{#N/A,#N/A,FALSE,"Australia";#N/A,#N/A,FALSE,"Austria";#N/A,#N/A,FALSE,"Belgium";#N/A,#N/A,FALSE,"Canada";#N/A,#N/A,FALSE,"France";#N/A,#N/A,FALSE,"Germany";#N/A,#N/A,FALSE,"Hong Kong";#N/A,#N/A,FALSE,"Italy";#N/A,#N/A,FALSE,"Japan";#N/A,#N/A,FALSE,"Korea";#N/A,#N/A,FALSE,"Mexico";#N/A,#N/A,FALSE,"Poland";#N/A,#N/A,FALSE,"Spain";#N/A,#N/A,FALSE,"Switzerland";#N/A,#N/A,FALSE,"UK"}</definedName>
    <definedName name="qwdqwd" hidden="1">{#N/A,#N/A,FALSE,"Summary";#N/A,#N/A,FALSE,"1991";#N/A,#N/A,FALSE,"91 AMT";#N/A,#N/A,FALSE,"1992";#N/A,#N/A,FALSE,"92 AMT";#N/A,#N/A,FALSE,"1993";#N/A,#N/A,FALSE,"93 AMT"}</definedName>
    <definedName name="qwdwdw" hidden="1">{#N/A,#N/A,FALSE,"Taxblinc";#N/A,#N/A,FALSE,"Rsvsacls"}</definedName>
    <definedName name="qwdwqd" hidden="1">{#N/A,#N/A,FALSE,"Taxblinc";#N/A,#N/A,FALSE,"Rsvsacls"}</definedName>
    <definedName name="qwerdngf" hidden="1">{"Full-model",#N/A,FALSE,"ProForma-ASPT"}</definedName>
    <definedName name="ray"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Recent_OR2"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redo" hidden="1">{#N/A,#N/A,FALSE,"ACQ_GRAPHS";#N/A,#N/A,FALSE,"T_1 GRAPHS";#N/A,#N/A,FALSE,"T_2 GRAPHS";#N/A,#N/A,FALSE,"COMB_GRAPHS"}</definedName>
    <definedName name="rep" hidden="1">{#N/A,#N/A,FALSE,"COVER";#N/A,#N/A,FALSE,"VALUATION";#N/A,#N/A,FALSE,"FORECAST";#N/A,#N/A,FALSE,"FY ANALYSIS ";#N/A,#N/A,FALSE," HY ANALYSIS"}</definedName>
    <definedName name="Report_DIM.01" hidden="1">"hr_emp"</definedName>
    <definedName name="Report_MemoSortHide" hidden="1">TRUE</definedName>
    <definedName name="Report_ParentName.01" hidden="1">"Total"</definedName>
    <definedName name="Report_WriteMemWhenOptn" hidden="1">2</definedName>
    <definedName name="reports" hidden="1">{"ATP Spending Report",#N/A,FALSE,"ATP";"Gestec spd rpt",#N/A,FALSE,"Gestec";"UCSD spending RPT",#N/A,FALSE,"UCSD";"Sapolsky Spending Rpt",#N/A,FALSE,"Sapolsky";"Oncogene Spnding Rpt",#N/A,FALSE,"Oncogene Ph. 2";"P450 spd rpt",#N/A,FALSE,"NIH P450";"hiv 2 SPD RPT",#N/A,FALSE,"HIV Phase 2";"Mito Spd Rpt",#N/A,FALSE,"Mitochondrial";"ORD Spd Rpt",#N/A,FALSE,"ORD"}</definedName>
    <definedName name="reports1" hidden="1">{"ATP Spending Report",#N/A,FALSE,"ATP";"Gestec spd rpt",#N/A,FALSE,"Gestec";"UCSD spending RPT",#N/A,FALSE,"UCSD";"Sapolsky Spending Rpt",#N/A,FALSE,"Sapolsky";"Oncogene Spnding Rpt",#N/A,FALSE,"Oncogene Ph. 2";"P450 spd rpt",#N/A,FALSE,"NIH P450";"hiv 2 SPD RPT",#N/A,FALSE,"HIV Phase 2";"Mito Spd Rpt",#N/A,FALSE,"Mitochondrial";"ORD Spd Rpt",#N/A,FALSE,"ORD"}</definedName>
    <definedName name="RESTATED197" hidden="1">#REF!</definedName>
    <definedName name="retail" hidden="1">{#N/A,#N/A,FALSE,"Loans";#N/A,#N/A,FALSE,"Program Costs";#N/A,#N/A,FALSE,"Measures";#N/A,#N/A,FALSE,"Net Lost Rev";#N/A,#N/A,FALSE,"Incentive"}</definedName>
    <definedName name="retail_CC" hidden="1">{#N/A,#N/A,FALSE,"Loans";#N/A,#N/A,FALSE,"Program Costs";#N/A,#N/A,FALSE,"Measures";#N/A,#N/A,FALSE,"Net Lost Rev";#N/A,#N/A,FALSE,"Incentive"}</definedName>
    <definedName name="retail_CC1" hidden="1">{#N/A,#N/A,FALSE,"Loans";#N/A,#N/A,FALSE,"Program Costs";#N/A,#N/A,FALSE,"Measures";#N/A,#N/A,FALSE,"Net Lost Rev";#N/A,#N/A,FALSE,"Incentive"}</definedName>
    <definedName name="reve" hidden="1">{"Tracking Revenue",#N/A,FALSE,"(NU)Tracking Summary"}</definedName>
    <definedName name="reve1" hidden="1">{"Tracking Revenue",#N/A,FALSE,"(NU)Tracking Summary"}</definedName>
    <definedName name="Revisedbudge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rewq" hidden="1">{"Valuation",#N/A,FALSE,"ProForma-ASPT"}</definedName>
    <definedName name="rf"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rfbn" hidden="1">{"Full-model",#N/A,FALSE,"ProForma-ASPT"}</definedName>
    <definedName name="rgr" hidden="1">{"ReportTop",#N/A,FALSE,"report top"}</definedName>
    <definedName name="ri7yk" hidden="1">{"Valuation",#N/A,FALSE,"ProForma-ASPT"}</definedName>
    <definedName name="rjhhhhhhhhhhpok" hidden="1">#REF!</definedName>
    <definedName name="rnarh" hidden="1">{"Valuation",#N/A,FALSE,"ProForma-ASPT"}</definedName>
    <definedName name="rtukytk" hidden="1">{"Full-model",#N/A,FALSE,"ProForma-ASPT"}</definedName>
    <definedName name="Rwvu.PRT." hidden="1">'[22]1. BS'!#REF!,'[22]1. BS'!$O$1:$R$65536</definedName>
    <definedName name="rydhn" hidden="1">{"Valuation",#N/A,FALSE,"ProForma-ASPT"}</definedName>
    <definedName name="ryik" hidden="1">{"Valuation",#N/A,FALSE,"ProForma-ASPT"}</definedName>
    <definedName name="ryjhn" hidden="1">{"Valuation",#N/A,FALSE,"ProForma-ASPT"}</definedName>
    <definedName name="ryjhtyj" hidden="1">{"Full-model",#N/A,FALSE,"ProForma-ASPT"}</definedName>
    <definedName name="ryjyj" hidden="1">{"Full-model",#N/A,FALSE,"ProForma-ASPT"}</definedName>
    <definedName name="s"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sam" hidden="1">{#N/A,#N/A,FALSE,"VAS P&amp;L";#N/A,#N/A,FALSE,"MR P&amp;L";#N/A,#N/A,FALSE,"SVC";#N/A,#N/A,FALSE,"TOTAL";#N/A,#N/A,FALSE,"SUMMARY";#N/A,#N/A,FALSE,"SVCPL";#N/A,#N/A,FALSE,"SUMM+SVC"}</definedName>
    <definedName name="SAPBEXdnldView" hidden="1">"41ZVSFKQYSNVTA241Y8GZ1P2S"</definedName>
    <definedName name="SAPBEXhrIndnt" hidden="1">"Wide"</definedName>
    <definedName name="SAPsysID" hidden="1">"708C5W7SBKP804JT78WJ0JNKI"</definedName>
    <definedName name="SAPwbID" hidden="1">"ARS"</definedName>
    <definedName name="sas" hidden="1">#REF!</definedName>
    <definedName name="SCLkey" hidden="1">#REF!</definedName>
    <definedName name="scott" hidden="1">{#N/A,#N/A,TRUE,"Val - sum";#N/A,#N/A,TRUE,"Val - Sum1";#N/A,#N/A,TRUE,"Val - sum2";#N/A,#N/A,TRUE,"Val - Sum3";#N/A,#N/A,TRUE,"Tar-DCF";#N/A,#N/A,TRUE,"Tar-Val LBO";#N/A,#N/A,TRUE,"Tar-Mult Val"}</definedName>
    <definedName name="sdas" hidden="1">{"Total",#N/A,FALSE,"Six Fields";"PDP",#N/A,FALSE,"Six Fields";"PNP",#N/A,FALSE,"Six Fields";"PUD",#N/A,FALSE,"Six Fields";"Prob",#N/A,FALSE,"Six Fields"}</definedName>
    <definedName name="sdf" hidden="1">{#N/A,#N/A,FALSE,"Calc";#N/A,#N/A,FALSE,"Sensitivity";#N/A,#N/A,FALSE,"LT Earn.Dil.";#N/A,#N/A,FALSE,"Dil. AVP"}</definedName>
    <definedName name="sdfg" hidden="1">{#N/A,#N/A,FALSE,"Nov 96";#N/A,#N/A,FALSE,"Dec 96";#N/A,#N/A,FALSE,"Jan 97";#N/A,#N/A,FALSE,"Feb 97";#N/A,#N/A,FALSE,"Mar 97";#N/A,#N/A,FALSE,"Apr 97";#N/A,#N/A,FALSE,"May 97";#N/A,#N/A,FALSE,"Jun 97";#N/A,#N/A,FALSE,"Jul 97";#N/A,#N/A,FALSE,"Aug 97";#N/A,#N/A,FALSE,"Sep 97";#N/A,#N/A,FALSE,"Oct 97"}</definedName>
    <definedName name="sdfv" hidden="1">{"Full-model",#N/A,FALSE,"ProForma-ASPT"}</definedName>
    <definedName name="sencount" hidden="1">1</definedName>
    <definedName name="sergse" hidden="1">{"Valuation",#N/A,FALSE,"ProForma-ASPT"}</definedName>
    <definedName name="serjhs" hidden="1">{"Valuation",#N/A,FALSE,"ProForma-ASPT"}</definedName>
    <definedName name="serthtj" hidden="1">{"Full-model",#N/A,FALSE,"ProForma-ASPT"}</definedName>
    <definedName name="sertxk" hidden="1">{"Full-model",#N/A,FALSE,"ProForma-ASPT"}</definedName>
    <definedName name="seven" hidden="1">#REF!</definedName>
    <definedName name="shaci" hidden="1">{#N/A,#N/A,FALSE,"Combo-Ass ";#N/A,#N/A,FALSE,"Combo-AD sum";#N/A,#N/A,FALSE,"Combo-Syn Sens";#N/A,#N/A,FALSE,"Combo-Contr";#N/A,#N/A,FALSE,"Combo-Credit Sum";#N/A,#N/A,FALSE,"Combo-Credit";#N/A,#N/A,FALSE,"Combo-AD";#N/A,#N/A,FALSE,"Combo-AD CF"}</definedName>
    <definedName name="shamrock" hidden="1">{#N/A,#N/A,TRUE,"Val - sum";#N/A,#N/A,TRUE,"Val - Sum1";#N/A,#N/A,TRUE,"Val - sum2";#N/A,#N/A,TRUE,"Val - Sum3";#N/A,#N/A,TRUE,"Tar-DCF";#N/A,#N/A,TRUE,"Tar-Val LBO";#N/A,#N/A,TRUE,"Tar-Mult Val"}</definedName>
    <definedName name="shirley" hidden="1">{#N/A,#N/A,FALSE,"MKTSUM95";#N/A,#N/A,FALSE,"MKTADM95";#N/A,#N/A,FALSE,"MKTD&amp;C95";#N/A,#N/A,FALSE,"MKTPRD95";#N/A,#N/A,FALSE,"MKTCHL95"}</definedName>
    <definedName name="sim"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six" hidden="1">#REF!</definedName>
    <definedName name="SNA_New" hidden="1">{"'SGI_Opex'!$A$1:$O$187"}</definedName>
    <definedName name="solver_adj" hidden="1">'[22]1. BS'!#REF!</definedName>
    <definedName name="solver_num" hidden="1">1</definedName>
    <definedName name="solver_oldobj" hidden="1">1543721.6579517</definedName>
    <definedName name="solver_rel1" hidden="1">2</definedName>
    <definedName name="solver_rhs1" hidden="1">1542801</definedName>
    <definedName name="solver_tmp" hidden="1">1542801</definedName>
    <definedName name="solver_typ" hidden="1">3</definedName>
    <definedName name="solver_val" hidden="1">1542801</definedName>
    <definedName name="SORT" hidden="1">#REF!</definedName>
    <definedName name="Sort2" hidden="1">#REF!</definedName>
    <definedName name="SORTs" hidden="1">#REF!</definedName>
    <definedName name="spectfdi" hidden="1">{"schedule",#N/A,FALSE,"Sum Op's";"input area",#N/A,FALSE,"Sum Op's"}</definedName>
    <definedName name="spending" hidden="1">{"P450 spd rpt",#N/A,FALSE,"NIH P450"}</definedName>
    <definedName name="spending1" hidden="1">{"P450 spd rpt",#N/A,FALSE,"NIH P450"}</definedName>
    <definedName name="spippw" hidden="1">{#N/A,#N/A,FALSE,"Actual";#N/A,#N/A,FALSE,"Normalized";#N/A,#N/A,FALSE,"Electric Actual";#N/A,#N/A,FALSE,"Electric Normalized"}</definedName>
    <definedName name="srthd" hidden="1">{"Full-model",#N/A,FALSE,"ProForma-ASPT"}</definedName>
    <definedName name="ss" hidden="1">{#N/A,#N/A,FALSE,"מאזן בוחן";"כל_מאזן_בוחן",#N/A,FALSE,"מאזן בוחן"}</definedName>
    <definedName name="sss" hidden="1">{#N/A,#N/A,FALSE,"Index (2)";#N/A,#N/A,FALSE,"1-1 Vol Graph";#N/A,#N/A,FALSE,"1-2 Approve App Graph";#N/A,#N/A,FALSE,"6-1 Email Graph";#N/A,#N/A,FALSE,"6-2 Chat Graph";#N/A,#N/A,FALSE,"6-3 Total Calls_Abandoned";#N/A,#N/A,FALSE,"6-4 Abandoned Graph";#N/A,#N/A,FALSE,"6-5 Within 30 Sec"}</definedName>
    <definedName name="sssa"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ssss" hidden="1">#REF!</definedName>
    <definedName name="SSSSS" hidden="1">{#N/A,#N/A,TRUE,"Cover sheet";#N/A,#N/A,TRUE,"Summary";#N/A,#N/A,TRUE,"Key Assumptions";#N/A,#N/A,TRUE,"Profit &amp; Loss";#N/A,#N/A,TRUE,"Balance Sheet";#N/A,#N/A,TRUE,"Cashflow";#N/A,#N/A,TRUE,"IRR";#N/A,#N/A,TRUE,"Ratios";#N/A,#N/A,TRUE,"Debt analysis"}</definedName>
    <definedName name="standard1" hidden="1">{"YTD-Total",#N/A,FALSE,"Provision"}</definedName>
    <definedName name="stef" hidden="1">{#N/A,#N/A,TRUE,"Cover sheet";#N/A,#N/A,TRUE,"Summary";#N/A,#N/A,TRUE,"Key Assumptions";#N/A,#N/A,TRUE,"Profit &amp; Loss";#N/A,#N/A,TRUE,"Balance Sheet";#N/A,#N/A,TRUE,"Cashflow";#N/A,#N/A,TRUE,"IRR";#N/A,#N/A,TRUE,"Ratios";#N/A,#N/A,TRUE,"Debt analysis"}</definedName>
    <definedName name="stuff" hidden="1">#REF!</definedName>
    <definedName name="subpart" hidden="1">{#N/A,#N/A,FALSE,"Summary";#N/A,#N/A,FALSE,"Fed.State Prov";#N/A,#N/A,FALSE,"Foreign Prov";#N/A,#N/A,FALSE,"Thera Fgrn";#N/A,#N/A,FALSE,"CCD Fgrn";#N/A,#N/A,FALSE,"Biocine Fgrn";#N/A,#N/A,FALSE,"Vision Fgrn";#N/A,#N/A,FALSE,"Frgn vs Dom"}</definedName>
    <definedName name="SubsGrowth" hidden="1">[25]DS_Industry_Specif!$H$1</definedName>
    <definedName name="Summary_I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wvu.All." hidden="1">[14]Inventory!#REF!</definedName>
    <definedName name="Swvu.IMSD._.Only." hidden="1">[14]Inventory!#REF!</definedName>
    <definedName name="t" hidden="1">{#N/A,#N/A,FALSE,"Aging Summary";#N/A,#N/A,FALSE,"Ratio Analysis";#N/A,#N/A,FALSE,"Test 120 Day Accts";#N/A,#N/A,FALSE,"Tickmarks"}</definedName>
    <definedName name="t6ujru" hidden="1">{"Full-model",#N/A,FALSE,"ProForma-ASPT"}</definedName>
    <definedName name="t6uky" hidden="1">{"Full-model",#N/A,FALSE,"ProForma-ASPT"}</definedName>
    <definedName name="tax" hidden="1">{#N/A,#N/A,FALSE,"Australia";#N/A,#N/A,FALSE,"Austria";#N/A,#N/A,FALSE,"Belgium";#N/A,#N/A,FALSE,"Canada";#N/A,#N/A,FALSE,"France";#N/A,#N/A,FALSE,"Germany";#N/A,#N/A,FALSE,"Hong Kong";#N/A,#N/A,FALSE,"Italy";#N/A,#N/A,FALSE,"Japan";#N/A,#N/A,FALSE,"Korea";#N/A,#N/A,FALSE,"Mexico";#N/A,#N/A,FALSE,"Poland";#N/A,#N/A,FALSE,"Spain";#N/A,#N/A,FALSE,"Switzerland";#N/A,#N/A,FALSE,"UK"}</definedName>
    <definedName name="TaxYearEnd" hidden="1">'[16]C01-General'!$C$12</definedName>
    <definedName name="tb_area" hidden="1">#REF!</definedName>
    <definedName name="Temp" hidden="1">{#N/A,#N/A,FALSE,"MKTSUM95";#N/A,#N/A,FALSE,"MKTADM95";#N/A,#N/A,FALSE,"MKTD&amp;C95";#N/A,#N/A,FALSE,"MKTPRD95";#N/A,#N/A,FALSE,"MKTCHL95"}</definedName>
    <definedName name="TemplateVersion" hidden="1">[26]Reference!$C$4</definedName>
    <definedName name="ten" hidden="1">'[31]A-5.2|CW_TB'!$D$49,'[31]A-5.2|CW_TB'!$D$36,'[31]A-5.2|CW_TB'!$D$28:$D$29</definedName>
    <definedName name="test" hidden="1">'[13]#REF'!$C$11:$I$22</definedName>
    <definedName name="TEST1" hidden="1">{#N/A,#N/A,TRUE,"Condensed IS";#N/A,#N/A,TRUE,"Condensed BS";#N/A,#N/A,TRUE,"Outlook";#N/A,#N/A,TRUE,"Condensed CF";#N/A,#N/A,TRUE,"Condensed CF - qtr"}</definedName>
    <definedName name="test2" hidden="1">{"Summary",#N/A,TRUE,"Sheet1";"Returns",#N/A,TRUE,"Sheet1";"IS",#N/A,TRUE,"Sheet1";"BS",#N/A,TRUE,"Sheet1";"CF",#N/A,TRUE,"Sheet1";"Cover6",#N/A,TRUE,"Sheet1";"WC7",#N/A,TRUE,"Sheet1";"Debt8",#N/A,TRUE,"Sheet1";"Tax9",#N/A,TRUE,"Sheet1"}</definedName>
    <definedName name="Test3" hidden="1">{"INCOME",#N/A,FALSE,"ProNet";"VALUE",#N/A,FALSE,"ProNet"}</definedName>
    <definedName name="test4" hidden="1">{#N/A,#N/A,TRUE,"Summary";#N/A,#N/A,TRUE,"Assumptions";#N/A,#N/A,TRUE,"Comparison";#N/A,#N/A,TRUE,"Financials";#N/A,#N/A,TRUE,"Plan v. Act"}</definedName>
    <definedName name="test5" hidden="1">{#N/A,#N/A,TRUE,"Condensed IS";#N/A,#N/A,TRUE,"Condensed BS";#N/A,#N/A,TRUE,"Outlook";#N/A,#N/A,TRUE,"Condensed CF";#N/A,#N/A,TRUE,"Condensed CF - qtr"}</definedName>
    <definedName name="testing" hidden="1">{"bs",#N/A,FALSE,"Balance Sheet"}</definedName>
    <definedName name="teujdtj" hidden="1">{"Full-model",#N/A,FALSE,"ProForma-ASPT"}</definedName>
    <definedName name="TextRefCopyRangeCount" hidden="1">1</definedName>
    <definedName name="teyjt" hidden="1">{"Valuation",#N/A,FALSE,"ProForma-ASPT"}</definedName>
    <definedName name="tfrdc" hidden="1">{"Valuation",#N/A,FALSE,"ProForma-ASPT"}</definedName>
    <definedName name="TheName" hidden="1">'[16]C01-General'!$C$4</definedName>
    <definedName name="three" hidden="1">[24]states!$A$81,[24]states!$Q$24:$Q$25</definedName>
    <definedName name="Threshold">0.01</definedName>
    <definedName name="tod"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tr" hidden="1">{#N/A,#N/A,FALSE,"Australia";#N/A,#N/A,FALSE,"Austria";#N/A,#N/A,FALSE,"Belgium";#N/A,#N/A,FALSE,"Canada";#N/A,#N/A,FALSE,"France";#N/A,#N/A,FALSE,"Germany";#N/A,#N/A,FALSE,"Hong Kong";#N/A,#N/A,FALSE,"Italy";#N/A,#N/A,FALSE,"Japan";#N/A,#N/A,FALSE,"Korea";#N/A,#N/A,FALSE,"Mexico";#N/A,#N/A,FALSE,"Poland";#N/A,#N/A,FALSE,"Spain";#N/A,#N/A,FALSE,"Switzerland";#N/A,#N/A,FALSE,"UK"}</definedName>
    <definedName name="tracking" hidden="1">{"sapolskytracking",#N/A,FALSE,"Sapolsky"}</definedName>
    <definedName name="tracking1" hidden="1">{"sapolskytracking",#N/A,FALSE,"Sapolsky"}</definedName>
    <definedName name="trtyr" hidden="1">{"graph",#N/A,FALSE,"WWJU";"graph",#N/A,FALSE,"WWSEM";"graph",#N/A,FALSE,"GOMJU";"graph",#N/A,FALSE,"GOMSEM";"graph",#N/A,FALSE,"NSJU";"graph",#N/A,FALSE,"NSSEM";"graph",#N/A,FALSE,"WAJU";"graph",#N/A,FALSE,"STOCKPRI";"graph",#N/A,FALSE,"CFTEV";"graph",#N/A,FALSE,"NAV-RCV";"graph",#N/A,FALSE,"CRUDEWW"}</definedName>
    <definedName name="tryu" hidden="1">{#N/A,#N/A,TRUE,"Monthly w|o Wireless";#N/A,#N/A,TRUE,"Qrt w|o Wireless";#N/A,#N/A,TRUE,"FY w|o Wireless";#N/A,#N/A,TRUE,"1Q w|o Wireless";#N/A,#N/A,TRUE,"2Q w|o Wireless";#N/A,#N/A,TRUE,"3Q w|o Wireless";#N/A,#N/A,TRUE,"4Q w|o Wireless"}</definedName>
    <definedName name="tt" hidden="1">{#N/A,#N/A,FALSE,"מאזן בוחן";"כל_מאזן_בוחן",#N/A,FALSE,"מאזן בוחן"}</definedName>
    <definedName name="ttt"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tttt" hidden="1">{#N/A,#N/A,FALSE,"מאזן בוחן";"כל_מאזן_בוחן",#N/A,FALSE,"מאזן בוחן"}</definedName>
    <definedName name="tttttttttttttttttttttttttttt" hidden="1">{#N/A,#N/A,FALSE,"Admin-Total";#N/A,#N/A,FALSE,"Admin_Comp";#N/A,#N/A,FALSE,"Admin";#N/A,#N/A,FALSE,"Services";#N/A,#N/A,FALSE,"Rent";#N/A,#N/A,FALSE,"Legal";#N/A,#N/A,FALSE,"Telephone"}</definedName>
    <definedName name="tuiol" hidden="1">{"Valuation",#N/A,FALSE,"ProForma-ASPT"}</definedName>
    <definedName name="TUYJ" hidden="1">{"Valuation",#N/A,FALSE,"ProForma-ASPT"}</definedName>
    <definedName name="two" hidden="1">'[32]S-6.1 State Taxes Paid'!$I$37,'[32]S-6.1 State Taxes Paid'!$I$35,'[32]S-6.1 State Taxes Paid'!$I$28,'[32]S-6.1 State Taxes Paid'!$I$24:$I$26,'[32]S-6.1 State Taxes Paid'!$I$19,'[32]S-6.1 State Taxes Paid'!$I$17,'[32]S-6.1 State Taxes Paid'!$I$12:$I$13</definedName>
    <definedName name="TYKJY" hidden="1">{"Valuation",#N/A,FALSE,"ProForma-ASPT"}</definedName>
    <definedName name="tyukm" hidden="1">{"Valuation",#N/A,FALSE,"ProForma-ASPT"}</definedName>
    <definedName name="ui" hidden="1">{"Total",#N/A,FALSE,"Total Proved";"PDP",#N/A,FALSE,"Total Proved";"PNP",#N/A,FALSE,"Total Proved";"PUD",#N/A,FALSE,"Total Proved"}</definedName>
    <definedName name="uilt" hidden="1">{"Full-model",#N/A,FALSE,"ProForma-ASPT"}</definedName>
    <definedName name="UJ" hidden="1">{"Full-model",#N/A,FALSE,"ProForma-ASPT"}</definedName>
    <definedName name="UK_Units" hidden="1">{"表紙",#N/A,FALSE,"店別収支";"収支",#N/A,FALSE,"店別収支";"店舗別",#N/A,FALSE,"店別収支"}</definedName>
    <definedName name="uksgkhshas" hidden="1">{#N/A,#N/A,FALSE,"Aging Summary";#N/A,#N/A,FALSE,"Ratio Analysis";#N/A,#N/A,FALSE,"Test 120 Day Accts";#N/A,#N/A,FALSE,"Tickmarks"}</definedName>
    <definedName name="updated"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uyhgv" hidden="1">{"Full-model",#N/A,FALSE,"ProForma-ASPT"}</definedName>
    <definedName name="uytr" hidden="1">{"Full-model",#N/A,FALSE,"ProForma-ASPT"}</definedName>
    <definedName name="UYTRE" hidden="1">{"Full-model",#N/A,FALSE,"ProForma-ASPT"}</definedName>
    <definedName name="v" hidden="1">{#N/A,#N/A,FALSE,"BS";#N/A,#N/A,FALSE,"PL";#N/A,#N/A,FALSE,"처분";#N/A,#N/A,FALSE,"현금";#N/A,#N/A,FALSE,"매출";#N/A,#N/A,FALSE,"원가";#N/A,#N/A,FALSE,"경영"}</definedName>
    <definedName name="Value3" hidden="1">{#N/A,#N/A,TRUE,"Qrt BCG";#N/A,#N/A,TRUE,"Qrt w|o Wireless";#N/A,#N/A,TRUE,"Qrt Wireless"}</definedName>
    <definedName name="Value4" hidden="1">{#N/A,#N/A,FALSE,"Nov 96";#N/A,#N/A,FALSE,"Dec 96";#N/A,#N/A,FALSE,"Jan 97";#N/A,#N/A,FALSE,"Feb 97";#N/A,#N/A,FALSE,"Mar 97";#N/A,#N/A,FALSE,"Apr 97";#N/A,#N/A,FALSE,"May 97";#N/A,#N/A,FALSE,"Jun 97";#N/A,#N/A,FALSE,"Jul 97";#N/A,#N/A,FALSE,"Aug 97";#N/A,#N/A,FALSE,"Sep 97";#N/A,#N/A,FALSE,"Oct 97"}</definedName>
    <definedName name="VarJ" hidden="1">{"投資金額",#N/A,FALSE,"ｷｬｼｭﾌﾛｰ";"回収",#N/A,FALSE,"ｷｬｼｭﾌﾛｰ"}</definedName>
    <definedName name="Vergleich" hidden="1">{#N/A,#N/A,FALSE,"RD2USA1";#N/A,#N/A,FALSE,"RD2USA2";#N/A,#N/A,FALSE,"RD2USA3";#N/A,#N/A,FALSE,"RD2USAT";#N/A,#N/A,FALSE,"RD3USA1";#N/A,#N/A,FALSE,"RD3USA2";#N/A,#N/A,FALSE,"RD3USA3";#N/A,#N/A,FALSE,"RD3USAT";#N/A,#N/A,FALSE,"RD4USA"}</definedName>
    <definedName name="VersionNumber" hidden="1">"4.5.5675"</definedName>
    <definedName name="vvv" hidden="1">{#N/A,#N/A,FALSE,"Aging Summary";#N/A,#N/A,FALSE,"Ratio Analysis";#N/A,#N/A,FALSE,"Test 120 Day Accts";#N/A,#N/A,FALSE,"Tickmarks"}</definedName>
    <definedName name="vvvv" hidden="1">{"'Trend_Total'!$A$7:$V$10","'Trend_Total'!$A$1:$V$4"}</definedName>
    <definedName name="w" hidden="1">{#N/A,#N/A,FALSE,"Tech_Total";#N/A,#N/A,FALSE,"Tech_Comp";#N/A,#N/A,FALSE,"Tech_Ops";#N/A,#N/A,FALSE,"Tech_Maint"}</definedName>
    <definedName name="we" hidden="1">{"P450 spd rpt",#N/A,FALSE,"NIH P450"}</definedName>
    <definedName name="web" hidden="1">{#N/A,#N/A,FALSE,"Taxblinc";#N/A,#N/A,FALSE,"Rsvsacls"}</definedName>
    <definedName name="WEF" hidden="1">{"Valuation",#N/A,FALSE,"ProForma-ASPT"}</definedName>
    <definedName name="wer" hidden="1">{"Total",#N/A,FALSE,"Six Fields";"PDP",#N/A,FALSE,"Six Fields";"PNP",#N/A,FALSE,"Six Fields";"PUD",#N/A,FALSE,"Six Fields";"Prob",#N/A,FALSE,"Six Fields"}</definedName>
    <definedName name="werg" hidden="1">{"Full-model",#N/A,FALSE,"ProForma-ASPT"}</definedName>
    <definedName name="wert" hidden="1">{#N/A,#N/A,TRUE,"1Q BCG";#N/A,#N/A,TRUE,"1Q w|o Wireless";#N/A,#N/A,TRUE,"1Q Wireless"}</definedName>
    <definedName name="wert1" hidden="1">{#N/A,#N/A,TRUE,"1Q BCG";#N/A,#N/A,TRUE,"1Q w|o Wireless";#N/A,#N/A,TRUE,"1Q Wireless"}</definedName>
    <definedName name="werth" hidden="1">{"Full-model",#N/A,FALSE,"ProForma-ASPT"}</definedName>
    <definedName name="wet" hidden="1">{"CSheet",#N/A,FALSE,"C";"SmCap",#N/A,FALSE,"VAL1";"GulfCoast",#N/A,FALSE,"VAL1";"nav",#N/A,FALSE,"NAV";"Summary",#N/A,FALSE,"NAV"}</definedName>
    <definedName name="weth" hidden="1">{"Valuation",#N/A,FALSE,"ProForma-ASPT"}</definedName>
    <definedName name="whatever" hidden="1">{#N/A,#N/A,FALSE,"Australia";#N/A,#N/A,FALSE,"Austria";#N/A,#N/A,FALSE,"Belgium";#N/A,#N/A,FALSE,"Canada";#N/A,#N/A,FALSE,"France";#N/A,#N/A,FALSE,"Germany";#N/A,#N/A,FALSE,"Hong Kong";#N/A,#N/A,FALSE,"Italy";#N/A,#N/A,FALSE,"Japan";#N/A,#N/A,FALSE,"Korea";#N/A,#N/A,FALSE,"Mexico";#N/A,#N/A,FALSE,"Poland";#N/A,#N/A,FALSE,"Spain";#N/A,#N/A,FALSE,"Switzerland";#N/A,#N/A,FALSE,"UK"}</definedName>
    <definedName name="whatsthis" hidden="1">{#N/A,#N/A,TRUE,"Outlook98";#N/A,#N/A,TRUE,"Reduction Model"}</definedName>
    <definedName name="whatthehell" hidden="1">{"'Trend_Total'!$A$7:$V$10","'Trend_Total'!$A$1:$V$4"}</definedName>
    <definedName name="wickley" hidden="1">{#N/A,#N/A,FALSE,"VAS P&amp;L";#N/A,#N/A,FALSE,"MR P&amp;L";#N/A,#N/A,FALSE,"SVC";#N/A,#N/A,FALSE,"TOTAL";#N/A,#N/A,FALSE,"SUMMARY";#N/A,#N/A,FALSE,"SVCPL";#N/A,#N/A,FALSE,"SUMM+SVC"}</definedName>
    <definedName name="wkgk" hidden="1">{#N/A,#N/A,FALSE,"BS";#N/A,#N/A,FALSE,"PL";#N/A,#N/A,FALSE,"처분";#N/A,#N/A,FALSE,"현금";#N/A,#N/A,FALSE,"매출";#N/A,#N/A,FALSE,"원가";#N/A,#N/A,FALSE,"경영"}</definedName>
    <definedName name="WMO_RD_New" hidden="1">{"'SGI_Opex'!$A$1:$O$187"}</definedName>
    <definedName name="wq" hidden="1">{#N/A,#N/A,FALSE,"4yr_Units";#N/A,#N/A,FALSE,"00yr_Units";#N/A,#N/A,FALSE,"99yr_Units";#N/A,#N/A,FALSE,"98yr_Units";#N/A,#N/A,FALSE,"97yr_Units"}</definedName>
    <definedName name="wqfges" hidden="1">{"Full-model",#N/A,FALSE,"ProForma-ASPT"}</definedName>
    <definedName name="wqqwq" hidden="1">{#N/A,#N/A,FALSE,"1-1 Vol Graph";#N/A,#N/A,FALSE,"1-2 Approve App Graph";#N/A,#N/A,FALSE,"6-1 Email Graph";#N/A,#N/A,FALSE,"6-2 Chat Graph";#N/A,#N/A,FALSE,"6-3 Abandoned Graph";#N/A,#N/A,FALSE,"6-4 30sec Graph";#N/A,#N/A,FALSE,"6_5TotalCalls"}</definedName>
    <definedName name="wrb" hidden="1">{#N/A,#N/A,TRUE,"2Q BCG";#N/A,#N/A,TRUE,"2Q w|o Wireless";#N/A,#N/A,TRUE,"2Q Wireless"}</definedName>
    <definedName name="wret" hidden="1">{"Full-model",#N/A,FALSE,"ProForma-ASPT"}</definedName>
    <definedName name="wrg" hidden="1">{"Valuation",#N/A,FALSE,"ProForma-ASPT"}</definedName>
    <definedName name="wrn.1." hidden="1">{#N/A,#N/A,FALSE,"Calc";#N/A,#N/A,FALSE,"Sensitivity";#N/A,#N/A,FALSE,"LT Earn.Dil.";#N/A,#N/A,FALSE,"Dil. AVP"}</definedName>
    <definedName name="wrn.101." hidden="1">{"101",#N/A,FALSE,"101"}</definedName>
    <definedName name="wrn.1996._.BUDGET." hidden="1">{"SUMMARY",#N/A,TRUE,"SUMMARY";"compare",#N/A,TRUE,"Vs. Bus Plan";"ratios",#N/A,TRUE,"Ratios";"REVENUE",#N/A,TRUE,"Revenue";"expenses",#N/A,TRUE,"1996 budget";"payroll",#N/A,TRUE,"Payroll"}</definedName>
    <definedName name="wrn.1996._.BUDGET.1" hidden="1">{"SUMMARY",#N/A,TRUE,"SUMMARY";"compare",#N/A,TRUE,"Vs. Bus Plan";"ratios",#N/A,TRUE,"Ratios";"REVENUE",#N/A,TRUE,"Revenue";"expenses",#N/A,TRUE,"1996 budget";"payroll",#N/A,TRUE,"Payroll"}</definedName>
    <definedName name="wrn.1996._.TO._.2004." hidden="1">{"ten year ratios",#N/A,TRUE,"PROFIT_LOSS";"ten year ratios",#N/A,TRUE,"Ratios";"ten yr opex and capex",#N/A,TRUE,"1996 budget";"ten year revenues",#N/A,TRUE,"Revenue_1996-2004";"ten year payroll",#N/A,TRUE,"Payroll"}</definedName>
    <definedName name="wrn.1st._.Quarter." hidden="1">{#N/A,#N/A,TRUE,"1Q BCG";#N/A,#N/A,TRUE,"1Q w|o Wireless";#N/A,#N/A,TRUE,"1Q Wireless"}</definedName>
    <definedName name="WRN.2." hidden="1">{#N/A,#N/A,FALSE,"Calc";#N/A,#N/A,FALSE,"Sensitivity";#N/A,#N/A,FALSE,"LT Earn.Dil.";#N/A,#N/A,FALSE,"Dil. AVP"}</definedName>
    <definedName name="wrn.2._.pagers." hidden="1">{"Cover",#N/A,FALSE,"Cover";"Summary",#N/A,FALSE,"Summarpage"}</definedName>
    <definedName name="wrn.2nd._.Quarter." hidden="1">{#N/A,#N/A,TRUE,"2Q BCG";#N/A,#N/A,TRUE,"2Q w|o Wireless";#N/A,#N/A,TRUE,"2Q Wireless"}</definedName>
    <definedName name="wrn.2xxcap." hidden="1">{#N/A,#N/A,FALSE,"2XX"}</definedName>
    <definedName name="wrn.2xxga." hidden="1">{#N/A,#N/A,FALSE,"2XX"}</definedName>
    <definedName name="wrn.3rd._.Quarter." hidden="1">{#N/A,#N/A,TRUE,"3Q BCG";#N/A,#N/A,TRUE,"3Q w|o Wireless";#N/A,#N/A,TRUE,"3Q Wireless"}</definedName>
    <definedName name="wrn.4th._.Quarter." hidden="1">{#N/A,#N/A,TRUE,"4Q BCG";#N/A,#N/A,TRUE,"4Q w|o Wireless";#N/A,#N/A,TRUE,"4Q Wireless"}</definedName>
    <definedName name="wrn.50._.50." hidden="1">{"assumption 50 50",#N/A,TRUE,"Merger";"has gets cash",#N/A,TRUE,"Merger";"accretion dilution",#N/A,TRUE,"Merger";"comparison credit stats",#N/A,TRUE,"Merger";"pf credit stats",#N/A,TRUE,"Merger";"pf sheets",#N/A,TRUE,"Merger"}</definedName>
    <definedName name="wrn.82603._.Rebound._.2002._.August._.MC._.Update." hidden="1">{"ERI 1a",#N/A,FALSE,"Overall";"ERI 2a",#N/A,FALSE,"Overall";"Local 1a",#N/A,FALSE,"Overall";"Global 1a",#N/A,FALSE,"Overall"}</definedName>
    <definedName name="wrn.95PROV." hidden="1">{#N/A,#N/A,FALSE,"Taxblinc";#N/A,#N/A,FALSE,"Rsvsacls"}</definedName>
    <definedName name="wrn.abc" hidden="1">{#N/A,#N/A,FALSE,"Index";#N/A,#N/A,FALSE,"IncStmt";#N/A,#N/A,FALSE,"Ratios";#N/A,#N/A,FALSE,"CashFlows";#N/A,#N/A,FALSE,"Ins1";#N/A,#N/A,FALSE,"Ins2";#N/A,#N/A,FALSE,"SelfFund";#N/A,#N/A,FALSE,"SGA";#N/A,#N/A,FALSE,"Recon";#N/A,#N/A,FALSE,"Earnings";#N/A,#N/A,FALSE,"Earnings (2)";#N/A,#N/A,FALSE,"Stock";#N/A,#N/A,FALSE,"Stock (2)";#N/A,#N/A,FALSE,"PeerRatios";#N/A,#N/A,FALSE,"PeerRanks"}</definedName>
    <definedName name="wrn.Accounts." localSheetId="6" hidden="1">{"turnover",#N/A,FALSE;"profits",#N/A,FALSE;"cash",#N/A,FALSE}</definedName>
    <definedName name="wrn.Accounts." hidden="1">{"turnover",#N/A,FALSE;"profits",#N/A,FALSE;"cash",#N/A,FALSE}</definedName>
    <definedName name="wrn.AcqState." hidden="1">{#N/A,#N/A,TRUE,"Acq-Ass";#N/A,#N/A,TRUE,"Acq-IS";#N/A,#N/A,TRUE,"Acq-BS";#N/A,#N/A,TRUE,"Acq-CF"}</definedName>
    <definedName name="wrn.Acquiror." hidden="1">{#N/A,#N/A,TRUE,"Acq-Ass";#N/A,#N/A,TRUE,"Acq-IS";#N/A,#N/A,TRUE,"Acq-BS";#N/A,#N/A,TRUE,"Acq-CF";#N/A,#N/A,TRUE,"Acq-Proj";#N/A,#N/A,TRUE,"Acq-CapEx";#N/A,#N/A,TRUE,"Acq-Debt";#N/A,#N/A,TRUE,"Acq-Int";#N/A,#N/A,TRUE,"Acq-BD";#N/A,#N/A,TRUE,"Acq-TD";#N/A,#N/A,TRUE,"Acq-Taxes";#N/A,#N/A,TRUE,"Acq-Credit";#N/A,#N/A,TRUE,"Acq-Val";#N/A,#N/A,TRUE,"Acq-Mult Val"}</definedName>
    <definedName name="wrn.AcqVal." hidden="1">{#N/A,#N/A,FALSE,"Acq-Val";#N/A,#N/A,FALSE,"Acq-Mult Val"}</definedName>
    <definedName name="wrn.adj95." hidden="1">{"adj95mult",#N/A,FALSE,"COMPCO";"adj95est",#N/A,FALSE,"COMPCO"}</definedName>
    <definedName name="wrn.Admin." hidden="1">{#N/A,#N/A,FALSE,"Admin-Total";#N/A,#N/A,FALSE,"Admin_Comp";#N/A,#N/A,FALSE,"Admin";#N/A,#N/A,FALSE,"Services";#N/A,#N/A,FALSE,"Rent";#N/A,#N/A,FALSE,"Legal";#N/A,#N/A,FALSE,"Telephone"}</definedName>
    <definedName name="wrn.admin._.budget._.1997."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wrn.Aging._.and._.Trend._.Analysis." hidden="1">{#N/A,#N/A,FALSE,"Aging Summary";#N/A,#N/A,FALSE,"Ratio Analysis";#N/A,#N/A,FALSE,"Test 120 Day Accts";#N/A,#N/A,FALSE,"Tickmarks"}</definedName>
    <definedName name="wrn.AGN._.MODELS." hidden="1">{"QTRINC1",#N/A,FALSE,"QTRINC";"QTRINC2",#N/A,FALSE,"QTRINC";"QTRSALES",#N/A,FALSE,"QTRSALES";"ANNSALES",#N/A,FALSE,"ANNSALES";"CASHFLOW",#N/A,FALSE,"CASHFLOW"}</definedName>
    <definedName name="wrn.AHP._.MODELS." hidden="1">{"QTRINC",#N/A,FALSE,"QTRINC";"MARGIN",#N/A,FALSE,"MARGIN";"CASHFLOW",#N/A,FALSE,"CASHFLOW"}</definedName>
    <definedName name="wrn.All." hidden="1">{"Matrix",#N/A,FALSE,"ACQMTRX";"Fees",#N/A,FALSE,"ACQMTRX"}</definedName>
    <definedName name="wrn.ALL._....original." hidden="1">{#N/A,#N/A,FALSE,"Qrt Fcst";#N/A,#N/A,FALSE,"Qrt Fcst vs Plan &amp; PY";#N/A,#N/A,FALSE,"FY Fcst vs Plan &amp; PY";#N/A,#N/A,FALSE,"EVA CAP";#N/A,#N/A,FALSE,"EVA NOPAT"}</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ll._.Countries." hidden="1">{#N/A,#N/A,FALSE,"Australia";#N/A,#N/A,FALSE,"Austria";#N/A,#N/A,FALSE,"Belgium";#N/A,#N/A,FALSE,"Canada";#N/A,#N/A,FALSE,"France";#N/A,#N/A,FALSE,"Germany";#N/A,#N/A,FALSE,"Hong Kong";#N/A,#N/A,FALSE,"Italy";#N/A,#N/A,FALSE,"Japan";#N/A,#N/A,FALSE,"Korea";#N/A,#N/A,FALSE,"Mexico";#N/A,#N/A,FALSE,"Poland";#N/A,#N/A,FALSE,"Spain";#N/A,#N/A,FALSE,"Switzerland";#N/A,#N/A,FALSE,"UK"}</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Scenario._.Report." hidden="1">{#N/A,#N/A,FALSE,"Comparison";#N/A,#N/A,FALSE,"Base Case";#N/A,#N/A,FALSE,"Alternative #1";#N/A,#N/A,FALSE,"Alternative #2"}</definedName>
    <definedName name="wrn.allpages." hidden="1">{#N/A,#N/A,TRUE,"Historicals";#N/A,#N/A,TRUE,"Charts";#N/A,#N/A,TRUE,"Forecasts"}</definedName>
    <definedName name="wrn.AMTNOL." hidden="1">{#N/A,#N/A,TRUE,"91AMTNOL";#N/A,#N/A,TRUE,"92AMTNOL";#N/A,#N/A,TRUE,"93AMTNOL"}</definedName>
    <definedName name="wrn.Annual._.Operating._.Earnings." hidden="1">{"Annual 1996",#N/A,FALSE,"Ann-Op (Mng)";"Annual 1996",#N/A,FALSE,"Ann-Op (Rep)";"Operating Vs. Reported Earnings",#N/A,FALSE,"Rpt-Op Inc"}</definedName>
    <definedName name="wrn.Annual._.Operating._.Earnings1." hidden="1">{"Annual 1996",#N/A,FALSE,"Ann-Op (Mng)";"Annual 1996",#N/A,FALSE,"Ann-Op (Rep)";"Operating Vs. Reported Earnings",#N/A,FALSE,"Rpt-Op Inc"}</definedName>
    <definedName name="wrn.ASN." hidden="1">{#N/A,#N/A,FALSE,"ASN YTD";#N/A,#N/A,FALSE,"122 DOS MD HP HMO";#N/A,#N/A,FALSE,"122 UR MD HP HMO";#N/A,#N/A,FALSE,"123 DOS MD HP TPA";#N/A,#N/A,FALSE,"123 UR MD HP TPA";#N/A,#N/A,FALSE,"124 DOS MD HP Medicaid";#N/A,#N/A,FALSE,"124 UR MD HP Medicaid";#N/A,#N/A,FALSE,"131 DOS MD HP HMO-OON";#N/A,#N/A,FALSE,"131 UR MD HP HMO-OON";#N/A,#N/A,FALSE,"133 DOS MD HP WC";#N/A,#N/A,FALSE,"133 UR MD HP WC";#N/A,#N/A,FALSE,"135 DOS MD HP TPA-OON";#N/A,#N/A,FALSE,"135 UR MD HP TPA-OON";#N/A,#N/A,FALSE,"136 DOS MD HP Medicaid-OON";#N/A,#N/A,FALSE,"136 UR MD HP Medicaid-OON";#N/A,#N/A,FALSE,"141 DOS MD HP POS OON";#N/A,#N/A,FALSE,"141 UR MD HP POS OON";#N/A,#N/A,FALSE,"142 DOS MD HP Indemnity";#N/A,#N/A,FALSE,"142 UR MD HP Indemnity"}</definedName>
    <definedName name="wrn.ASO." hidden="1">{"ASO 1996",#N/A,FALSE,"DOS YTD";#N/A,#N/A,FALSE,"19-20-21-39-47 DOS MetLife";#N/A,#N/A,FALSE,"19-20-21-39-47 UR MetLife";#N/A,#N/A,FALSE,"24 DOS PacifiCare of CA PPO";#N/A,#N/A,FALSE,"24 UR PacifiCare of CA PPO";#N/A,#N/A,FALSE,"25 DOS Lincoln Hospital";#N/A,#N/A,FALSE,"25 UR Lincoln Hospital";#N/A,#N/A,FALSE,"31 DOS Blue Cross Rural";#N/A,#N/A,FALSE,"31 UR Blue Cross Rural";#N/A,#N/A,FALSE,"40 DOS Intel";#N/A,#N/A,FALSE,"40 UR Intel";#N/A,#N/A,FALSE,"41 DOS Intel";#N/A,#N/A,FALSE,"41 UR Intel";#N/A,#N/A,FALSE,"43 DOS Blue Cross-Metro";#N/A,#N/A,FALSE,"43 UR Blue Cross-Metro";#N/A,#N/A,FALSE,"46 DOS E &amp; E Trust";#N/A,#N/A,FALSE,"46 UR E &amp; E Trust";#N/A,#N/A,FALSE,"64 DOS CIGNA of CA";#N/A,#N/A,FALSE,"64 UR CIGNA of CA";#N/A,#N/A,FALSE,"65 DOS CT General";#N/A,#N/A,FALSE,"65 UR CT General";#N/A,#N/A,FALSE,"72 DOS Misc Teamsters";#N/A,#N/A,FALSE,"72 UR Misc Teamsters";#N/A,#N/A,FALSE,"74 DOS Teamsters &amp; Food";#N/A,#N/A,FALSE,"74 UR Teamsters &amp; Food";#N/A,#N/A,FALSE,"85 DOS Nationwide";#N/A,#N/A,FALSE,"85 UR Nationwide";#N/A,#N/A,FALSE,"102 DOS CIGNA for Seniors";#N/A,#N/A,FALSE,"102 UR CIGNA for Seniors";#N/A,#N/A,FALSE,"111 DOS Prudential PG&amp;E";#N/A,#N/A,FALSE,"111 UR Prudential PG&amp;E";#N/A,#N/A,FALSE,"114 DOS CA Firefighters";#N/A,#N/A,FALSE,"114 UR CA Firefighters";#N/A,#N/A,FALSE,"121 DOS HPR Plus";#N/A,#N/A,FALSE,"121 UR HPR Plus";#N/A,#N/A,FALSE,"163 DOS Sceet-Blue Cross";#N/A,#N/A,FALSE,"163 UR Sceet-Blue Cross";#N/A,#N/A,FALSE,"164 DOS Prudential Healthcare";#N/A,#N/A,FALSE,"164 UR Prudential Healthcare"}</definedName>
    <definedName name="wrn.ASO1." hidden="1">{"ASO",#N/A,FALSE,"1995 YTD";#N/A,#N/A,FALSE,"20-39-47 DOS MetLife";#N/A,#N/A,FALSE,"20-39-47 UR MetLife";#N/A,#N/A,FALSE,"25 DOS Lincoln Hospital";#N/A,#N/A,FALSE,"25 UR Lincoln Hospital";#N/A,#N/A,FALSE,"31 DOS Blue Cross Rural";#N/A,#N/A,FALSE,"31 UR Blue Cross Rural";#N/A,#N/A,FALSE,"33 DOS Pacificare";#N/A,#N/A,FALSE,"33 UR PacifiCare";#N/A,#N/A,FALSE,"40 DOS Intel";#N/A,#N/A,FALSE,"40 UR Intel";#N/A,#N/A,FALSE,"41 DOS Intel";#N/A,#N/A,FALSE,"41 UR Intel";#N/A,#N/A,FALSE,"43 DOS Blue Cross-Metro";#N/A,#N/A,FALSE,"43 UR Blue Cross-Metro";#N/A,#N/A,FALSE,"46 DOS E &amp; E Trust";#N/A,#N/A,FALSE,"46 UR E &amp; E Trust";#N/A,#N/A,FALSE,"50 DOS CIGNA AZ Flex";#N/A,#N/A,FALSE,"50 UR CIGNA AZ Flex";#N/A,#N/A,FALSE,"51 DOS Mid Americare";#N/A,#N/A,FALSE,"51 UR Mid Americare";#N/A,#N/A,FALSE,"60 DOS Prudential";#N/A,#N/A,FALSE,"60 UR Prudential";#N/A,#N/A,FALSE,"62 DOS NWNL";#N/A,#N/A,FALSE,"62 UR NWNL";#N/A,#N/A,FALSE,"63 DOS Samaritan Plus";#N/A,#N/A,FALSE,"63 UR Samaritan Plus";#N/A,#N/A,FALSE,"64 DOS CIGNA of CA";#N/A,#N/A,FALSE,"64 UR CIGNA of CA";#N/A,#N/A,FALSE,"65 DOS CT General";#N/A,#N/A,FALSE,"65 UR CT General";#N/A,#N/A,FALSE,"72 DOS Misc Teamsters";#N/A,#N/A,FALSE,"72 UR Misc Teamsters";#N/A,#N/A,FALSE,"74 DOS Teamsters &amp; Food";#N/A,#N/A,FALSE,"74 UR Teamsters &amp; Food";#N/A,#N/A,FALSE,"85 DOS Nationwide";#N/A,#N/A,FALSE,"85 UR Nationwide";#N/A,#N/A,FALSE,"90 DOS Aetna PPO";#N/A,#N/A,FALSE,"90 UR Aetna PPO";#N/A,#N/A,FALSE,"91 DOS Aetna POS";#N/A,#N/A,FALSE,"91 UR Aetna POS";#N/A,#N/A,FALSE,"94 DOS Aetna Amdahl";#N/A,#N/A,FALSE,"94 UR Aetna Amdahl";#N/A,#N/A,FALSE,"102 DOS CIGNA for Seniors";#N/A,#N/A,FALSE,"102 UR CIGNA for Seniors";#N/A,#N/A,FALSE,"111 DOS Prudential PG&amp;E";#N/A,#N/A,FALSE,"111 UR Prudential PG&amp;E";#N/A,#N/A,FALSE,"114 DOS CA Firefighters";#N/A,#N/A,FALSE,"114 UR CA Firefighters"}</definedName>
    <definedName name="wrn.assumptions." hidden="1">{"casespecific",#N/A,FALSE,"Assumptions"}</definedName>
    <definedName name="wrn.ATP._.Actuals._.Report." hidden="1">{#N/A,#N/A,FALSE,"ATP";#N/A,#N/A,FALSE,"ATP";#N/A,#N/A,FALSE,"ATP"}</definedName>
    <definedName name="wrn.ATP._.Actuals._.Report.1" hidden="1">{#N/A,#N/A,FALSE,"ATP";#N/A,#N/A,FALSE,"ATP";#N/A,#N/A,FALSE,"ATP"}</definedName>
    <definedName name="wrn.ATP._.Tracking._.Report." hidden="1">{"atptracking",#N/A,FALSE,"ATP"}</definedName>
    <definedName name="wrn.audit._.adjustments." hidden="1">{#N/A,#N/A,TRUE,"Summary";#N/A,#N/A,TRUE,"Amort.";#N/A,#N/A,TRUE,"93TAX";#N/A,#N/A,TRUE,"93NOLCB";#N/A,#N/A,TRUE,"92TAX";#N/A,#N/A,TRUE,"92NOLCB";#N/A,#N/A,TRUE,"91TAX";#N/A,#N/A,TRUE,"91NOLCB";#N/A,#N/A,TRUE,"92AMTNOL";#N/A,#N/A,TRUE,"921120X"}</definedName>
    <definedName name="wrn.away." hidden="1">{"away stand alones",#N/A,FALSE,"Target"}</definedName>
    <definedName name="wrn.balance._.sheet." hidden="1">{"bs",#N/A,FALSE,"SCF"}</definedName>
    <definedName name="wrn.balance._.sheet2." hidden="1">{"bs",#N/A,FALSE,"SCF"}</definedName>
    <definedName name="wrn.balance._.sheet3." hidden="1">{"bs",#N/A,FALSE,"SCF"}</definedName>
    <definedName name="wrn.balance._.sheet4." hidden="1">{"bs",#N/A,FALSE,"SCF"}</definedName>
    <definedName name="wrn.balance._sheet2." hidden="1">{"bs",#N/A,FALSE,"SCF"}</definedName>
    <definedName name="wrn.Balance_Sheet." hidden="1">{"bs",#N/A,FALSE,"Balance Sheet"}</definedName>
    <definedName name="wrn.BalshtCshflw." hidden="1">{#N/A,#N/A,FALSE,"34";#N/A,#N/A,FALSE,"35"}</definedName>
    <definedName name="wrn.Basic._.Report." hidden="1">{#N/A,#N/A,FALSE,"New Depr Sch-150% DB";#N/A,#N/A,FALSE,"Cash Flows RLP";#N/A,#N/A,FALSE,"IRR";#N/A,#N/A,FALSE,"Proforma IS";#N/A,#N/A,FALSE,"Assumptions"}</definedName>
    <definedName name="wrn.BasicModel." hidden="1">{"MacroCo",#N/A,FALSE,"masmode";"IncomeS",#N/A,FALSE,"masmode";"BalanceS",#N/A,FALSE,"masmode";"CashF",#N/A,FALSE,"masmode";"Ratios",#N/A,FALSE,"masmode";"DebtFC",#N/A,FALSE,"masmode"}</definedName>
    <definedName name="wrn.BCG._.All._.Periods." hidden="1">{#N/A,#N/A,TRUE,"Monthly BCG";#N/A,#N/A,TRUE,"Qrt BCG";#N/A,#N/A,TRUE,"FY BCG";#N/A,#N/A,TRUE,"1Q BCG";#N/A,#N/A,TRUE,"2Q BCG";#N/A,#N/A,TRUE,"3Q BCG";#N/A,#N/A,TRUE,"4Q BCG"}</definedName>
    <definedName name="wrn.BEAVERTON." hidden="1">{"BEAVERTON",#N/A,FALSE,"M-1"}</definedName>
    <definedName name="wrn.BKK._.Assembly._.Capacity._.Statement." hidden="1">{#N/A,#N/A,TRUE,"Forcast Volumn";#N/A,#N/A,TRUE,"Principle mc";#N/A,#N/A,TRUE,"Common mc";#N/A,#N/A,TRUE,"SP Calculation";#N/A,#N/A,TRUE,"SP Assignment";#N/A,#N/A,TRUE,"Tablet Loader";#N/A,#N/A,TRUE,"Tablet Assignment";#N/A,#N/A,TRUE,"Accessories"}</definedName>
    <definedName name="wrn.Blue._.Book._.Dec." hidden="1">{#N/A,#N/A,FALSE,"Index (2)";#N/A,#N/A,FALSE,"1-1 Vol Graph";#N/A,#N/A,FALSE,"1-2 Approve App Graph";#N/A,#N/A,FALSE,"1-3  Sales Summary_Volume";#N/A,#N/A,FALSE,"1-4-1 Net Effective Member";#N/A,#N/A,FALSE,"1-4-2 Mbr Sales Actual vs Goal";#N/A,#N/A,FALSE,"1-5  Sales Summary_Lag";#N/A,#N/A,FALSE,"1-6-1 Mon Appr Chgs";#N/A,#N/A,FALSE,"1-6-3 4 Sent to Carrier";#N/A,#N/A,FALSE,"1-6-5 6 Submitted";#N/A,#N/A,FALSE,"1-7-1,2  ClosRatio by Carr";#N/A,#N/A,FALSE,"1-7-3,4 ClosRatio by State";#N/A,#N/A,FALSE,"1-7-5  Apps Ret CA OofS";#N/A,#N/A,FALSE,"2-1  CLosRatioStateCarr YTD";#N/A,#N/A,FALSE,"2-2 CLosRatioStateCarr Month";#N/A,#N/A,FALSE,"2-3 ClosRatioStatCarrier99";#N/A,#N/A,FALSE,"2-4 CarrierPerState00";#N/A,#N/A,FALSE,"2-5  CarrierPerStateOct";#N/A,#N/A,FALSE,"2-6 CarrierPerState99";#N/A,#N/A,FALSE,"3-1 Summary Lag Report";#N/A,#N/A,FALSE,"3-2  Lag Analysis";#N/A,#N/A,FALSE,"4 - 1  Email Graph";#N/A,#N/A,FALSE,"4-2 Chat Graph";#N/A,#N/A,FALSE,"4-3 Total Calls Graph";#N/A,#N/A,FALSE,"4-5 Within 30 Sec";#N/A,#N/A,FALSE,"4-6 IFP Follow-up Calls"}</definedName>
    <definedName name="wrn.Blue._.Book._.Feb._.01." hidden="1">{#N/A,#N/A,FALSE,"Index";#N/A,#N/A,FALSE,"1-1 Vol Graph";#N/A,#N/A,FALSE,"1-2 Approve App Graph";#N/A,#N/A,FALSE,"1-3  Sales Summary_Volume";#N/A,#N/A,FALSE,"1-4  Net Effective Members"}</definedName>
    <definedName name="wrn.brian." hidden="1">{#N/A,#N/A,FALSE,"output";#N/A,#N/A,FALSE,"contrib";#N/A,#N/A,FALSE,"profile";#N/A,#N/A,FALSE,"comps"}</definedName>
    <definedName name="wrn.bsandcashflow." hidden="1">{"valuation",#N/A,FALSE,"Valuation Matrix";"profitandloss",#N/A,FALSE,"GMS Proforma";"cashflow",#N/A,FALSE,"Balance Sheet and Cash Flow";"balancesheet",#N/A,FALSE,"Balance Sheet and Cash Flow";"bsassumptions",#N/A,FALSE,"Balance Sheet and Cash Flow"}</definedName>
    <definedName name="wrn.BT._.Sch._.M._.Detail." hidden="1">{"Sch M Detail",#N/A,FALSE,"Sch M Detail"}</definedName>
    <definedName name="wrn.BUS._.RPT." hidden="1">{#N/A,#N/A,FALSE,"P&amp;L Ttl";#N/A,#N/A,FALSE,"P&amp;L C_Ttl New";#N/A,#N/A,FALSE,"Bus Res";#N/A,#N/A,FALSE,"Chrts";#N/A,#N/A,FALSE,"pcf";#N/A,#N/A,FALSE,"pcr ";#N/A,#N/A,FALSE,"Exp Stmt ";#N/A,#N/A,FALSE,"Exp Stmt BU";#N/A,#N/A,FALSE,"Cap";#N/A,#N/A,FALSE,"IT Ytd"}</definedName>
    <definedName name="wrn.Capitated." hidden="1">{"HMO",#N/A,FALSE,"1995 YTD";#N/A,#N/A,FALSE,"1995 UR YTD";#N/A,#N/A,FALSE,"23 DOS PacifiCare HMO";#N/A,#N/A,FALSE,"23 UR PacifiCare HMO";#N/A,#N/A,FALSE,"32 DOS HealthNet";#N/A,#N/A,FALSE,"32 UR HealthNet";#N/A,#N/A,FALSE,"68 DOS HN Seniority Plus";#N/A,#N/A,FALSE,"68 UR HN Seniority Plus";#N/A,#N/A,FALSE,"71 DOS CA Care";#N/A,#N/A,FALSE,"71 UR CA Care";#N/A,#N/A,FALSE,"80 DOS Sharp";#N/A,#N/A,FALSE,"80 UR Sharp";#N/A,#N/A,FALSE,"88 DOS CIGNA VEBA";#N/A,#N/A,FALSE,"88 UR CIGNA VEBA";#N/A,#N/A,FALSE,"93 DOS Aetna HMO";#N/A,#N/A,FALSE,"93 UR Aetna HMO";#N/A,#N/A,FALSE,"100 DOS ACN Health Plan";#N/A,#N/A,FALSE,"100 UR ACN Health Plan";#N/A,#N/A,FALSE,"101 DOS Aetna Senior Choice";#N/A,#N/A,FALSE,"101 UR Aetna Senior Choice";#N/A,#N/A,FALSE,"112 DOS Prucare of CA HMO";#N/A,#N/A,FALSE,"112 UR Prucare of CA HMO"}</definedName>
    <definedName name="wrn.cash." hidden="1">{"assumption cash",#N/A,TRUE,"Merger";"has gets cash",#N/A,TRUE,"Merger";"accretion dilution",#N/A,TRUE,"Merger";"comparison credit stats",#N/A,TRUE,"Merger";"pf credit stats",#N/A,TRUE,"Merger";"pf sheets",#N/A,TRUE,"Merger"}</definedName>
    <definedName name="wrn.Cash_Flow." hidden="1">{"CF",#N/A,FALSE,"Cash Flow"}</definedName>
    <definedName name="wrn.cashbal." hidden="1">{"CONBUD",#N/A,FALSE,"Conbud";"conbud96",#N/A,FALSE,"Conbud";"qtrly",#N/A,FALSE,"Conbud";"FORECAST",#N/A,FALSE,"Res";"ninetysix",#N/A,FALSE,"Clinicals";"bud96",#N/A,FALSE,"G&amp;A"}</definedName>
    <definedName name="wrn.ccroll."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wrn.CF._.worksheet." hidden="1">{"CF worksheet",#N/A,FALSE,"Consolidated"}</definedName>
    <definedName name="wrn.CHART." hidden="1">{"CHART",#N/A,FALSE,"Arch Communications"}</definedName>
    <definedName name="wrn.Chip._.Model." hidden="1">{"Units",#N/A,FALSE,"Units";"Price",#N/A,FALSE,"Price";#N/A,#N/A,FALSE,"Revenue"}</definedName>
    <definedName name="wrn.Chiron._.IRS._.Audit." hidden="1">{#N/A,#N/A,FALSE,"Summary";#N/A,#N/A,FALSE,"1991";#N/A,#N/A,FALSE,"91 AMT";#N/A,#N/A,FALSE,"1992";#N/A,#N/A,FALSE,"92 AMT";#N/A,#N/A,FALSE,"1993";#N/A,#N/A,FALSE,"93 AMT"}</definedName>
    <definedName name="wrn.Client._.cfbs." hidden="1">{"client cfbs",#N/A,FALSE,"Client"}</definedName>
    <definedName name="wrn.Client._.is." hidden="1">{"Client is",#N/A,FALSE,"Client"}</definedName>
    <definedName name="wrn.Client._.stats." hidden="1">{"Client stats",#N/A,FALSE,"Client"}</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olor._.Printer." hidden="1">{#N/A,#N/A,FALSE,"Index (2)";#N/A,#N/A,FALSE,"1-1 Vol Graph";#N/A,#N/A,FALSE,"1-2 Approve App Graph";#N/A,#N/A,FALSE,"6-1 Email Graph";#N/A,#N/A,FALSE,"6-2 Chat Graph";#N/A,#N/A,FALSE,"6-3 Total Calls_Abandoned";#N/A,#N/A,FALSE,"6-4 Abandoned Graph";#N/A,#N/A,FALSE,"6-5 Within 30 Sec"}</definedName>
    <definedName name="wrn.Combination."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ED." hidden="1">{#N/A,#N/A,FALSE,"INPUTS";#N/A,#N/A,FALSE,"PROFORMA BSHEET";#N/A,#N/A,FALSE,"COMBINED";#N/A,#N/A,FALSE,"HIGH YIELD";#N/A,#N/A,FALSE,"COMB_GRAPHS"}</definedName>
    <definedName name="wrn.Combined._.YTD." hidden="1">{"YTD-Total",#N/A,TRUE,"Provision";"YTD-Utility",#N/A,TRUE,"Prov Utility";"YTD-NonUtility",#N/A,TRUE,"Prov NonUtility"}</definedName>
    <definedName name="wrn.ComboResults." hidden="1">{#N/A,#N/A,FALSE,"Combo-Ass ";#N/A,#N/A,FALSE,"Combo-AD sum";#N/A,#N/A,FALSE,"Combo-Syn Sens";#N/A,#N/A,FALSE,"Combo-Contr";#N/A,#N/A,FALSE,"Combo-Credit Sum";#N/A,#N/A,FALSE,"Combo-Credit";#N/A,#N/A,FALSE,"Combo-AD";#N/A,#N/A,FALSE,"Combo-AD CF"}</definedName>
    <definedName name="wrn.ComboState." hidden="1">{#N/A,#N/A,FALSE,"Combo-Ass ";#N/A,#N/A,FALSE,"Combo-IS";#N/A,#N/A,FALSE,"Combo-BS";#N/A,#N/A,FALSE,"Combo-CF"}</definedName>
    <definedName name="wrn.Comcast." hidden="1">{"EPS_one",#N/A,FALSE,"96-02 EPS";"EPS_two",#N/A,FALSE,"96-02 EPS";"Newrev_one",#N/A,FALSE,"New rev 97 - 02";"Newrev_two",#N/A,FALSE,"New rev 97 - 02";"cable_one",#N/A,FALSE,"cable 96-02";"cable_two",#N/A,FALSE,"cable 96-02";"data.page",#N/A,FALSE,"Data_page"}</definedName>
    <definedName name="wrn.COMPCO." hidden="1">{"Page1",#N/A,FALSE,"CompCo";"Page2",#N/A,FALSE,"CompCo"}</definedName>
    <definedName name="wrn.Compensation." hidden="1">{"WagesSum",#N/A,FALSE,"State";"MemberComp",#N/A,FALSE,"MemberComp";"Def&amp;SSSHcomp",#N/A,FALSE,"DefComp";"Apportion (state)",#N/A,FALSE,"State"}</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Report." hidden="1">{#N/A,#N/A,FALSE,"Assumptions";#N/A,#N/A,FALSE,"Proforma IS";#N/A,#N/A,FALSE,"Cash Flows RLP";#N/A,#N/A,FALSE,"IRR";#N/A,#N/A,FALSE,"New Depr Sch-150% DB";#N/A,#N/A,FALSE,"Comments"}</definedName>
    <definedName name="wrn.comps." hidden="1">{"comps",#N/A,FALSE,"comps";"notes",#N/A,FALSE,"comps"}</definedName>
    <definedName name="wrn.conbbuds." hidden="1">{"CONBUD",#N/A,FALSE,"Conbud";"conbud96",#N/A,FALSE,"Conbud";"qtrly",#N/A,FALSE,"Conbud"}</definedName>
    <definedName name="wrn.Consol._.ISBS." hidden="1">{"Consol BS",#N/A,FALSE,"BS&amp;ISvsBUD";"Consol IS",#N/A,FALSE,"BS&amp;ISvsBUD";#N/A,#N/A,FALSE,"ISvsPY"}</definedName>
    <definedName name="wrn.Consol._.Worksheet." hidden="1">{"consolwksheet",#N/A,FALSE,"Consolidated"}</definedName>
    <definedName name="wrn.ConsolGrossGrp." hidden="1">{"Conol gross povision grouped",#N/A,FALSE,"Consol Gross";"Consol Gross Grouped",#N/A,FALSE,"Consol Gross"}</definedName>
    <definedName name="wrn.CONSOLIDATED." hidden="1">{"DOMETIC CONSOLIDATED",#N/A,FALSE,"M-1"}</definedName>
    <definedName name="wrn.Consolidated._.Statements." hidden="1">{"view1",#N/A,FALSE,"EARN (US$)";"view1",#N/A,FALSE,"DASTBS (US$)";"view1",#N/A,FALSE,"DASTCF (US$)"}</definedName>
    <definedName name="wrn.cooper." hidden="1">{#N/A,#N/A,TRUE,"Pro Forma";#N/A,#N/A,TRUE,"PF_Bal";#N/A,#N/A,TRUE,"PF_INC";#N/A,#N/A,TRUE,"CBE";#N/A,#N/A,TRUE,"SWK"}</definedName>
    <definedName name="wrn.CORE._.KINETICS." hidden="1">{"COREKINETICS",#N/A,FALSE,"CORE KINETICS"}</definedName>
    <definedName name="wrn.COSA._.FS._.국문." hidden="1">{#N/A,#N/A,FALSE,"BS";#N/A,#N/A,FALSE,"PL";#N/A,#N/A,FALSE,"처분";#N/A,#N/A,FALSE,"현금";#N/A,#N/A,FALSE,"매출";#N/A,#N/A,FALSE,"원가";#N/A,#N/A,FALSE,"경영"}</definedName>
    <definedName name="wrn.cotop." hidden="1">{"ReportTop",#N/A,FALSE,"report top"}</definedName>
    <definedName name="wrn.Covers." hidden="1">{"view1",#N/A,FALSE,"MOTEARN";"view1",#N/A,FALSE,"Bal Sht";"view1",#N/A,FALSE,"Cash Flows"}</definedName>
    <definedName name="wrn.CSN._.M._.Detail." hidden="1">{"CSN M Detail",#N/A,FALSE,"Sch M Detail"}</definedName>
    <definedName name="wrn.Cumulative._.Tracking._.Summary." hidden="1">{#N/A,#N/A,FALSE,"Tracking Summary"}</definedName>
    <definedName name="wrn.CURRENT._.PROVISION." hidden="1">{#N/A,#N/A,FALSE,"CURRENT PROVISON"}</definedName>
    <definedName name="wrn.CY97PBPL." hidden="1">{#N/A,#N/A,FALSE,"VAS P&amp;L";#N/A,#N/A,FALSE,"MR P&amp;L";#N/A,#N/A,FALSE,"SVC";#N/A,#N/A,FALSE,"TOTAL";#N/A,#N/A,FALSE,"SUMMARY";#N/A,#N/A,FALSE,"SVCPL";#N/A,#N/A,FALSE,"SUMM+SVC"}</definedName>
    <definedName name="wrn.dcf"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CF." hidden="1">{"DCF1",#N/A,FALSE,"SIERRA DCF";"MATRIX1",#N/A,FALSE,"SIERRA DCF"}</definedName>
    <definedName name="wrn.DCF._.III._.Report." hidden="1">{#N/A,#N/A,FALSE,"Cover";#N/A,#N/A,FALSE,"Pres ";#N/A,#N/A,FALSE,"Outputs";#N/A,#N/A,FALSE,"DCF ";#N/A,#N/A,FALSE,"CFS";#N/A,#N/A,FALSE,"BS";#N/A,#N/A,FALSE,"PL";#N/A,#N/A,FALSE,"Control (In)";#N/A,#N/A,FALSE,"Broker (In)";#N/A,#N/A,FALSE,"In-House (In)";#N/A,#N/A,FALSE,"WACC";#N/A,#N/A,FALSE,"Ass";#N/A,#N/A,FALSE,"Check"}</definedName>
    <definedName name="wrn.dcfiii"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EFERRED._.ASSET._.DETAIL." hidden="1">{#N/A,#N/A,FALSE,"DEFERRED ASSET DETAIL"}</definedName>
    <definedName name="wrn.DEFERRED._.FOOTNOTE._.SUMMARY." hidden="1">{#N/A,#N/A,FALSE,"DEFERRED FOOTNOTE SUMMARY"}</definedName>
    <definedName name="wrn.Depreciation." hidden="1">{"DE_asfiled",#N/A,TRUE,"Amort.";"IRS_addl",#N/A,TRUE,"Amort."}</definedName>
    <definedName name="wrn.Dept._.Totals." hidden="1">{#N/A,#N/A,FALSE,"Sales_Total";#N/A,#N/A,FALSE,"Mktg_Total";#N/A,#N/A,FALSE,"Tech_Total";#N/A,#N/A,FALSE,"Dev_Total";#N/A,#N/A,FALSE,"Admin_Total"}</definedName>
    <definedName name="wrn.deptsal." hidden="1">{"G_A",#N/A,FALSE,"SALWS";"labops",#N/A,FALSE,"SALWS";"scidir",#N/A,FALSE,"SALWS";"dev",#N/A,FALSE,"SALWS";"clin",#N/A,FALSE,"SALWS";"reg",#N/A,FALSE,"SALWS";"bcdm",#N/A,FALSE,"SALWS";"np",#N/A,FALSE,"SALWS";"tb",#N/A,FALSE,"SALWS";"micro",#N/A,FALSE,"SALWS";"chem",#N/A,FALSE,"SALWS"}</definedName>
    <definedName name="wrn.Development." hidden="1">{#N/A,#N/A,FALSE,"Dev_Total";#N/A,#N/A,FALSE,"Dev_Comp";#N/A,#N/A,FALSE,"Dev_Equip"}</definedName>
    <definedName name="wrn.dil_anal." hidden="1">{"hiden",#N/A,FALSE,"14";"hidden",#N/A,FALSE,"16";"hidden",#N/A,FALSE,"18";"hidden",#N/A,FALSE,"20"}</definedName>
    <definedName name="wrn.DISTRIBUTION." hidden="1">{"NEALE",#N/A,FALSE,"NEALE";"DIST $",#N/A,FALSE,"DIST $";"STATS",#N/A,FALSE,"STATS";"DIST MKT",#N/A,FALSE,"DIST MKT";"Dist data",#N/A,FALSE,"Dist data";"Dist data Actuals",#N/A,FALSE,"Dist data"}</definedName>
    <definedName name="wrn.document." hidden="1">{"comp",#N/A,FALSE,"SPEC";"footnotes",#N/A,FALSE,"SPEC"}</definedName>
    <definedName name="wrn.documentaero." hidden="1">{"comps2",#N/A,FALSE,"AERO";"footnotes",#N/A,FALSE,"AERO"}</definedName>
    <definedName name="wrn.documenthand." hidden="1">{"comps",#N/A,FALSE,"HANDPACK";"footnotes",#N/A,FALSE,"HANDPACK"}</definedName>
    <definedName name="wrn.DPI._.Summary." hidden="1">{#N/A,#N/A,TRUE,"Summary";#N/A,#N/A,TRUE,"Financials"}</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2.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ara." hidden="1">{#N/A,#N/A,FALSE,"EIC";#N/A,#N/A,FALSE,"AIRVAC";#N/A,#N/A,FALSE,"EAC";#N/A,#N/A,FALSE,"ETI"}</definedName>
    <definedName name="wrn.Economic._.Value._.Added._.Analysis." hidden="1">{"EVA",#N/A,FALSE,"EVA";"WACC",#N/A,FALSE,"WACC"}</definedName>
    <definedName name="wrn.Equity." hidden="1">{"BookMem",#N/A,FALSE,"BookMemEquity";"TaxMem",#N/A,FALSE,"TaxMemEquity";"EqCalcs",#N/A,FALSE,"EQcalcs";"Distrib",#N/A,FALSE,"Distributions"}</definedName>
    <definedName name="wrn.equity._.comps." hidden="1">{"equity comps",#N/A,FALSE,"CS Comps";"equity comps",#N/A,FALSE,"PS Comps";"equity comps",#N/A,FALSE,"GIC_Comps";"equity comps",#N/A,FALSE,"GIC2_Comps"}</definedName>
    <definedName name="wrn.ESPP." hidden="1">{#N/A,#N/A,FALSE,"REPORT"}</definedName>
    <definedName name="wrn.Executive._.Summary." hidden="1">{#N/A,#N/A,FALSE,"ES Cover";#N/A,#N/A,FALSE,"ES Index ";#N/A,#N/A,FALSE,"ES 2-1-1  Net Eff Mbrs 2001";#N/A,#N/A,FALSE,"ES 2-1-2  Net Eff  Mbrs 2000";#N/A,#N/A,FALSE,"ES 2-2 Mbr Sales Plan vs Proj";#N/A,#N/A,FALSE,"ES 3_Top 5 IFP States Carriers";#N/A,#N/A,FALSE,"ES 4 Top 5 SBG States Carriers";#N/A,#N/A,FALSE,"ES 5 New Top Bottom 5 Summary";#N/A,#N/A,FALSE,"ES 6 Daily Avg";#N/A,#N/A,FALSE,"ES 7  Vol Graph";#N/A,#N/A,FALSE,"ES 8  ClosRatio by Carr";#N/A,#N/A,FALSE,"ES 9  ClosRatio by State";#N/A,#N/A,FALSE,"ES 10  Apps Ret CA OofS";#N/A,#N/A,FALSE,"ES 11 CLosRatioStateCarr Mont";#N/A,#N/A,FALSE,"ES 12  CarrierPerStateNov";#N/A,#N/A,FALSE,"ES 13 CarrierPerStateYTD";#N/A,#N/A,FALSE,"ES 14 Analytics";#N/A,#N/A,FALSE,"ES 15 Total Calls Graph";#N/A,#N/A,FALSE,"ES 16 Within 30 Sec ";#N/A,#N/A,FALSE,"ES 17 Emails";#N/A,#N/A,FALSE,"ES 18 Chat Graph"}</definedName>
    <definedName name="wrn.Factors._.Tab._.10." hidden="1">{"Factors Pages 1-2",#N/A,FALSE,"Factors";"Factors Page 3",#N/A,FALSE,"Factors";"Factors Page 4",#N/A,FALSE,"Factors";"Factors Page 5",#N/A,FALSE,"Factors";"Factors Pages 8-27",#N/A,FALSE,"Factors"}</definedName>
    <definedName name="wrn.Fed._.4797." hidden="1">{"Fed 4797",#N/A,FALSE,"4797"}</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stat." hidden="1">{"ass",#N/A,FALSE,"finstat";"inc",#N/A,FALSE,"finstat";"bs",#N/A,FALSE,"finstat";"cf",#N/A,FALSE,"finstat";"ratios",#N/A,FALSE,"finstat"}</definedName>
    <definedName name="wrn.Fiscal._.Year." hidden="1">{#N/A,#N/A,TRUE,"FY BCG";#N/A,#N/A,TRUE,"FY w|o Wireless";#N/A,#N/A,TRUE,"FY Wireless"}</definedName>
    <definedName name="wrn.FIVE._.YEAR._.PROJECTION." hidden="1">{"FIVEYEAR",#N/A,TRUE,"SUMMARY";"FIVEYEAR",#N/A,TRUE,"Ratios";"FIVEYEAR",#N/A,TRUE,"Revenue";"FIVEYEAR",#N/A,TRUE,"DETAIL";"FIVEYEAR",#N/A,TRUE,"Payroll"}</definedName>
    <definedName name="wrn.FIXED._.COSTS._.SUMMARY." hidden="1">{"NEALE",#N/A,FALSE,"NEALE";"MFG (1 PAGE)",#N/A,FALSE,"MFG"}</definedName>
    <definedName name="wrn.Forecast._.Q1." hidden="1">{"cover a","1q",FALSE,"Cover";"Op Earn Mgd Q1",#N/A,FALSE,"Op-Earn (Mng)";"Op Earn Rpt Q1",#N/A,FALSE,"Op-Earn (Rpt)";"Loans",#N/A,FALSE,"Loans";"Credit Costs",#N/A,FALSE,"CCosts";"Net Interest Margin",#N/A,FALSE,"Margin";"Nonint Income",#N/A,FALSE,"NonII";"Nonint Exp",#N/A,FALSE,"NonIE";"Valuation",#N/A,FALSE,"Valuation"}</definedName>
    <definedName name="wrn.Forecast._.Q2." hidden="1">{"cover a","2q",FALSE,"Cover";"Op Earn Mgd Q2",#N/A,FALSE,"Op-Earn (Mng)";"Op Earn Rpt Q2",#N/A,FALSE,"Op-Earn (Rpt)";"Loans",#N/A,FALSE,"Loans";"Credit Costs",#N/A,FALSE,"CCosts";"Net Interest Margin",#N/A,FALSE,"Margin";"Nonint Income",#N/A,FALSE,"NonII";"Nonint Exp",#N/A,FALSE,"NonIE";"Valuation",#N/A,FALSE,"Valuation"}</definedName>
    <definedName name="wrn.Forecast._.Q2a." hidden="1">{"cover a","2q",FALSE,"Cover";"Op Earn Mgd Q2",#N/A,FALSE,"Op-Earn (Mng)";"Op Earn Rpt Q2",#N/A,FALSE,"Op-Earn (Rpt)";"Loans",#N/A,FALSE,"Loans";"Credit Costs",#N/A,FALSE,"CCosts";"Net Interest Margin",#N/A,FALSE,"Margin";"Nonint Income",#N/A,FALSE,"NonII";"Nonint Exp",#N/A,FALSE,"NonIE";"Valuation",#N/A,FALSE,"Valuation"}</definedName>
    <definedName name="wrn.Forecast._.Q3." hidden="1">{"cover a","3q",FALSE,"Cover";"Op Earn Mgd Q3",#N/A,FALSE,"Op-Earn (Mng)";"Op Earn Rpt Q3",#N/A,FALSE,"Op-Earn (Rpt)";"Loans",#N/A,FALSE,"Loans";"Credit Costs",#N/A,FALSE,"CCosts";"Net Interest Margin",#N/A,FALSE,"Margin";"Nonint Income",#N/A,FALSE,"NonII";"Nonint Exp",#N/A,FALSE,"NonIE";"Valuation",#N/A,FALSE,"Valuation"}</definedName>
    <definedName name="wrn.Forecast._.Q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req_Res." hidden="1">{#N/A,#N/A,TRUE,"FR_HC";#N/A,#N/A,TRUE,"FR_REST";#N/A,#N/A,TRUE,"FR_RETA";#N/A,#N/A,TRUE,"FR_TECSOF";#N/A,#N/A,TRUE,"FR_NETTEC";#N/A,#N/A,TRUE,"FR_CLISER"}</definedName>
    <definedName name="wrn.Full." hidden="1">{"Summary",#N/A,TRUE,"Sheet1";"Returns",#N/A,TRUE,"Sheet1";"IS",#N/A,TRUE,"Sheet1";"BS",#N/A,TRUE,"Sheet1";"CF",#N/A,TRUE,"Sheet1";"Cover6",#N/A,TRUE,"Sheet1";"WC7",#N/A,TRUE,"Sheet1";"Debt8",#N/A,TRUE,"Sheet1";"Tax9",#N/A,TRUE,"Sheet1"}</definedName>
    <definedName name="wrn.Full._.Model."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rn.Full._.Model.1"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rn.Full._.Package."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View." hidden="1">{"FullView",#N/A,FALSE,"Consltd-For contngcy"}</definedName>
    <definedName name="wrn.gary" hidden="1">{#N/A,#N/A,TRUE,"Tar-Ass";#N/A,#N/A,TRUE,"Tar-Ass LBO";#N/A,#N/A,TRUE,"LBO Ret";#N/A,#N/A,TRUE,"Tar-BS LBO";#N/A,#N/A,TRUE,"Tar-IS LBO";#N/A,#N/A,TRUE,"Tar-CF LBO";#N/A,#N/A,TRUE,"Tar-Debt LBO";#N/A,#N/A,TRUE,"Tar-Int LBO";#N/A,#N/A,TRUE,"Tar-Taxes LBO";#N/A,#N/A,TRUE,"Tar-Val LBO"}</definedName>
    <definedName name="wrn.GEER_report." hidden="1">{#N/A,#N/A,FALSE,"Table_Ass.";#N/A,#N/A,FALSE,"# of cust";#N/A,#N/A,FALSE,"Res_Report";#N/A,#N/A,FALSE,"Income Statement";"Qtr Cust",#N/A,FALSE,"Qtrly Proj"}</definedName>
    <definedName name="wrn.GRAPHS." hidden="1">{#N/A,#N/A,FALSE,"ACQ_GRAPHS";#N/A,#N/A,FALSE,"T_1 GRAPHS";#N/A,#N/A,FALSE,"T_2 GRAPHS";#N/A,#N/A,FALSE,"COMB_GRAPHS"}</definedName>
    <definedName name="wrn.gth." hidden="1">{#N/A,#N/A,FALSE,"Title Page";#N/A,#N/A,FALSE,"Summary Sheet"}</definedName>
    <definedName name="wrn.gunsmoke." hidden="1">{#N/A,#N/A,TRUE,"SAFEWAY- 030125";#N/A,#N/A,TRUE,"FRED MEYER #260543 (2)";#N/A,#N/A,TRUE,"FOOD-4-LESS- 350001"}</definedName>
    <definedName name="wrn.HAYWARD." hidden="1">{"HAYWARD",#N/A,FALSE,"M-1"}</definedName>
    <definedName name="wrn.HMO." hidden="1">{#N/A,#N/A,FALSE,"DOS YTD";#N/A,#N/A,FALSE,"UR YTD";#N/A,#N/A,FALSE,"23 DOS PacifiCare HMO";#N/A,#N/A,FALSE,"23 UR PacifiCare HMO";#N/A,#N/A,FALSE,"32 DOS HealthNet";#N/A,#N/A,FALSE,"32 UR HealthNet";#N/A,#N/A,FALSE,"68 DOS HN Seniority Plus";#N/A,#N/A,FALSE,"68 UR HN Seniority Plus";#N/A,#N/A,FALSE,"71 DOS CA Care";#N/A,#N/A,FALSE,"71 UR CA Care";#N/A,#N/A,FALSE,"80 DOS Sharp";#N/A,#N/A,FALSE,"80 UR Sharp";#N/A,#N/A,FALSE,"88 DOS CIGNA VEBA";#N/A,#N/A,FALSE,"88 UR CIGNA VEBA";#N/A,#N/A,FALSE,"93 DOS Aetna HMO";#N/A,#N/A,FALSE,"93 UR Aetna HMO";#N/A,#N/A,FALSE,"100 DOS ACN Health Plan";#N/A,#N/A,FALSE,"100 UR ACN Health Plan";#N/A,#N/A,FALSE,"101 DOS Aetna Senior Choice";#N/A,#N/A,FALSE,"101 UR Aetna Senior Choice";#N/A,#N/A,FALSE,"112 DOS PruCare of CA HMO";#N/A,#N/A,FALSE,"112 UR PruCare of CA HMO";#N/A,#N/A,FALSE,"115 DOS Kaiser No CA";#N/A,#N/A,FALSE,"115 UR Kaiser No CA";#N/A,#N/A,FALSE,"116 DOS Kaiser So CA";#N/A,#N/A,FALSE,"116 UR Kaiser So CA";#N/A,#N/A,FALSE,"117 DOS Blue Shield";#N/A,#N/A,FALSE,"117 UR Blue Shield";#N/A,#N/A,FALSE,"118 DOS HP of the Redwoods";#N/A,#N/A,FALSE,"118 UR HP of the Redwoods";#N/A,#N/A,FALSE,"120 DOS HPR Medi Prime";#N/A,#N/A,FALSE,"120 UR HPR Medi Prime";#N/A,#N/A,FALSE,"126 DOS Pru Sr Plan No CA";#N/A,#N/A,FALSE,"126 UR Pru Sr Plan No CA";#N/A,#N/A,FALSE,"127 DOS Pru Sr Plan So CA";#N/A,#N/A,FALSE,"127 UR Pru Sr Plan So CA";#N/A,#N/A,FALSE,"137 DOS Aetna MC II";#N/A,#N/A,FALSE,"137 UR Aetna MC II"}</definedName>
    <definedName name="wrn.Ilijan._.Pri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MPACT." hidden="1">{"ALLGRANTS",#N/A,FALSE,"OPTIONS"}</definedName>
    <definedName name="wrn.IMS._.PANEL." hidden="1">{#N/A,#N/A,TRUE,"Tabelle1";#N/A,#N/A,TRUE,"Tabelle1"}</definedName>
    <definedName name="wrn.inc." hidden="1">{"inc",#N/A,FALSE,"finstat"}</definedName>
    <definedName name="wrn.Income._.Stmt." hidden="1">{"Income Stmt",#N/A,FALSE,"Model"}</definedName>
    <definedName name="wrn.Industry.xls." hidden="1">{#N/A,#N/A,FALSE,"Earnings";#N/A,#N/A,FALSE,"Overview";#N/A,#N/A,FALSE,"Summary";#N/A,#N/A,FALSE,"Summary II";#N/A,#N/A,FALSE,"R&amp;D";#N/A,#N/A,FALSE,"R&amp;D Forecast";#N/A,#N/A,FALSE,"Tax Adj";#N/A,#N/A,FALSE,"Goodwill";#N/A,#N/A,FALSE,"FX ";#N/A,#N/A,FALSE,"Consolidation";#N/A,#N/A,FALSE,"Provisions"}</definedName>
    <definedName name="wrn.Internal._.is." hidden="1">{"Internal is",#N/A,FALSE,"Model"}</definedName>
    <definedName name="wrn.INTL._.GROUP." hidden="1">{"INTLGROUP",#N/A,FALSE,"INTL GROUP"}</definedName>
    <definedName name="wrn.Investment._.Summary." hidden="1">{#N/A,#N/A,TRUE,"Summary";#N/A,#N/A,TRUE,"Financials";#N/A,#N/A,TRUE,"Assumptions";#N/A,#N/A,TRUE,"Pro Forma";#N/A,#N/A,TRUE,"Debt";#N/A,#N/A,TRUE,"Amortization";#N/A,#N/A,TRUE,"GG Returns"}</definedName>
    <definedName name="wrn.IVTI_Rep." hidden="1">{#N/A,#N/A,FALSE,"Title Page";#N/A,#N/A,FALSE,"Summary Sheet";#N/A,#N/A,FALSE,"Fiscal Year Income Statement";#N/A,#N/A,FALSE,"Valuation Summary";#N/A,#N/A,FALSE,"Comps with IVT";#N/A,#N/A,FALSE,"Comps without IVT"}</definedName>
    <definedName name="wrn.JODM._.Graphs." hidden="1">{"graph",#N/A,FALSE,"WWJU";"graph",#N/A,FALSE,"WWSEM";"graph",#N/A,FALSE,"GOMJU";"graph",#N/A,FALSE,"GOMSEM";"graph",#N/A,FALSE,"NSJU";"graph",#N/A,FALSE,"NSSEM";"graph",#N/A,FALSE,"WAJU";"graph",#N/A,FALSE,"STOCKPRI";"graph",#N/A,FALSE,"CFTEV";"graph",#N/A,FALSE,"NAV-RCV";"graph",#N/A,FALSE,"CRUDEWW"}</definedName>
    <definedName name="wrn.k1._.attachment." hidden="1">{"Christian",#N/A,FALSE,"K1 TAX";"evan",#N/A,FALSE,"K1 TAX";"Gail",#N/A,FALSE,"K1 TAX";"Gretchen",#N/A,FALSE,"K1 TAX";"Gun",#N/A,FALSE,"K1 TAX";"master k1",#N/A,FALSE,"K1 TAX";"Michael",#N/A,FALSE,"K1 TAX";"philip",#N/A,FALSE,"K1 TAX";"steve",#N/A,FALSE,"K1 TAX";"Thomas",#N/A,FALSE,"K1 TAX"}</definedName>
    <definedName name="wrn.KOREA." hidden="1">{"KOREA",#N/A,FALSE,"M-1"}</definedName>
    <definedName name="wrn.Lag._.Report." hidden="1">{#N/A,#N/A,FALSE,"Table";#N/A,#N/A,FALSE,"Graph 1";#N/A,#N/A,FALSE,"Summary Report";#N/A,#N/A,FALSE,"Graph 2";#N/A,#N/A,FALSE,"Wkly_Mnthly_Activity";#N/A,#N/A,FALSE,"Lag Rept New Format"}</definedName>
    <definedName name="wrn.Leases.xls." localSheetId="6" hidden="1">{#N/A,#N/A,FALSE,"Initial Year";#N/A,#N/A,FALSE,"Historical";#N/A,#N/A,FALSE,"balsheet";#N/A,#N/A,FALSE,"incstate";#N/A,#N/A,FALSE,"Fleet"}</definedName>
    <definedName name="wrn.Leases.xls." hidden="1">{#N/A,#N/A,FALSE,"Initial Year";#N/A,#N/A,FALSE,"Historical";#N/A,#N/A,FALSE,"balsheet";#N/A,#N/A,FALSE,"incstate";#N/A,#N/A,FALSE,"Fleet"}</definedName>
    <definedName name="wrn.Limited._.March." hidden="1">{#N/A,#N/A,TRUE,"Condensed IS";#N/A,#N/A,TRUE,"Condensed BS";#N/A,#N/A,TRUE,"Outlook";#N/A,#N/A,TRUE,"Condensed CF";#N/A,#N/A,TRUE,"Condensed CF - qtr"}</definedName>
    <definedName name="WRN.LIMITED._APR" hidden="1">{#N/A,#N/A,TRUE,"Condensed IS";#N/A,#N/A,TRUE,"Condensed BS";#N/A,#N/A,TRUE,"Outlook";#N/A,#N/A,TRUE,"Condensed CF";#N/A,#N/A,TRUE,"Condensed CF - qtr"}</definedName>
    <definedName name="wrn.ma11." hidden="1">{"view1",#N/A,FALSE,"MA11(UK)"}</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tenance." hidden="1">{#N/A,#N/A,FALSE,"97Maint";#N/A,#N/A,FALSE,"98Maint";#N/A,#N/A,FALSE,"99Maint";#N/A,#N/A,FALSE,"00_Maint"}</definedName>
    <definedName name="wrn.MANUFACTURING." hidden="1">{"MFG",#N/A,FALSE,"MFG";"MFG MKT",#N/A,FALSE,"MFG MKT";"Mfg data",#N/A,FALSE,"Mfg data";"Mfg data Actuals",#N/A,FALSE,"Mfg data"}</definedName>
    <definedName name="wrn.Marketing." hidden="1">{#N/A,#N/A,FALSE,"MKTSUM95";#N/A,#N/A,FALSE,"MKTADM95";#N/A,#N/A,FALSE,"MKTD&amp;C95";#N/A,#N/A,FALSE,"MKTPRD95";#N/A,#N/A,FALSE,"MKTCHL95"}</definedName>
    <definedName name="wrn.Marketing1" hidden="1">{#N/A,#N/A,FALSE,"MKTSUM95";#N/A,#N/A,FALSE,"MKTADM95";#N/A,#N/A,FALSE,"MKTD&amp;C95";#N/A,#N/A,FALSE,"MKTPRD95";#N/A,#N/A,FALSE,"MKTCHL95"}</definedName>
    <definedName name="wrn.memo." hidden="1">{#N/A,#N/A,TRUE,"financial";#N/A,#N/A,TRUE,"plants"}</definedName>
    <definedName name="wrn.merger."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OBIL." hidden="1">{"quarter",#N/A,FALSE,"MOB"}</definedName>
    <definedName name="wrn.MODEL." hidden="1">{"IS",#N/A,FALSE,"Income Statement";"ISR",#N/A,FALSE,"Income Statement Ratios";"BS",#N/A,FALSE,"Balance Sheet";"BSR",#N/A,FALSE,"Balance Sheet Ratios";"CF",#N/A,FALSE,"Cash Flow";"SALES",#N/A,FALSE,"Sales Analysis";"RR",#N/A,FALSE,"Recent Results"}</definedName>
    <definedName name="wrn.MODEL1" hidden="1">{"IS",#N/A,FALSE,"Income Statement";"ISR",#N/A,FALSE,"Income Statement Ratios";"BS",#N/A,FALSE,"Balance Sheet";"BSR",#N/A,FALSE,"Balance Sheet Ratios";"CF",#N/A,FALSE,"Cash Flow";"SALES",#N/A,FALSE,"Sales Analysis";"RR",#N/A,FALSE,"Recent Results"}</definedName>
    <definedName name="wrn.Modelprint."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dels." hidden="1">{"cable_one",#N/A,FALSE,"cable 96-02";"cable_two",#N/A,FALSE,"cable 96-02";"Newrev_one",#N/A,FALSE,"New rev 97 - 02";"Newrev_two",#N/A,FALSE,"New rev 97 - 02"}</definedName>
    <definedName name="wrn.Monthlys." hidden="1">{#N/A,#N/A,TRUE,"Monthly BCG";#N/A,#N/A,TRUE,"Monthly w|o Wireless";#N/A,#N/A,TRUE,"Monthly Wireless"}</definedName>
    <definedName name="wrn.monthlyunits." hidden="1">{"monthlyunits",#N/A,FALSE,"openings"}</definedName>
    <definedName name="wrn.Munsell." hidden="1">{#N/A,#N/A,FALSE,"Index";#N/A,#N/A,FALSE,"IncStmt";#N/A,#N/A,FALSE,"Ratios";#N/A,#N/A,FALSE,"CashFlows";#N/A,#N/A,FALSE,"Ins1";#N/A,#N/A,FALSE,"Ins2";#N/A,#N/A,FALSE,"SelfFund";#N/A,#N/A,FALSE,"SGA";#N/A,#N/A,FALSE,"Recon";#N/A,#N/A,FALSE,"Earnings";#N/A,#N/A,FALSE,"Earnings (2)";#N/A,#N/A,FALSE,"Stock";#N/A,#N/A,FALSE,"Stock (2)";#N/A,#N/A,FALSE,"PeerRatios";#N/A,#N/A,FALSE,"PeerRanks"}</definedName>
    <definedName name="wrn.N.O.L.." hidden="1">{#N/A,#N/A,FALSE,"91NOLCB";#N/A,#N/A,FALSE,"92NOLCB";#N/A,#N/A,FALSE,"93NOLCB"}</definedName>
    <definedName name="wrn.newdcf" hidden="1">{#N/A,#N/A,FALSE,"Combo-Ass ";#N/A,#N/A,FALSE,"Combo-AD sum";#N/A,#N/A,FALSE,"Combo-Syn Sens";#N/A,#N/A,FALSE,"Combo-Contr";#N/A,#N/A,FALSE,"Combo-Credit Sum";#N/A,#N/A,FALSE,"Combo-Credit";#N/A,#N/A,FALSE,"Combo-AD";#N/A,#N/A,FALSE,"Combo-AD CF"}</definedName>
    <definedName name="wrn.Nicholas._.Report." hidden="1">{#N/A,#N/A,FALSE,"Pre-Release";#N/A,#N/A,FALSE,"Greenlight"}</definedName>
    <definedName name="wrn.ntfinance." hidden="1">{"Rate",#N/A,TRUE,"SUMMARY";"Ratios",#N/A,TRUE,"Ratios";"BUDGETREVENUE",#N/A,TRUE,"Revenue";"TOTALS",#N/A,TRUE,"DETAIL"}</definedName>
    <definedName name="wrn.Ofcr._.Comp._.Stmt._.4." hidden="1">{"Ofcr Comp Stmt 4",#N/A,FALSE,"Ofcr Comp"}</definedName>
    <definedName name="wrn.Ofcr._.Comp._.WP." hidden="1">{"Ofcr Comp WP",#N/A,FALSE,"Ofcr Comp"}</definedName>
    <definedName name="wrn.Oncogene._.Tracking._.Report." hidden="1">{#N/A,#N/A,FALSE,"Oncogene"}</definedName>
    <definedName name="wrn.Only._.Distr.._.list." hidden="1">{#N/A,#N/A,FALSE,"1999"}</definedName>
    <definedName name="wrn.ONTK." hidden="1">{#N/A,#N/A,FALSE,"Title Page";#N/A,#N/A,FALSE,"Summary Sheet";#N/A,#N/A,FALSE,"Quarterly Income Statement";#N/A,#N/A,FALSE,"Proforma QTR Income Statement";#N/A,#N/A,FALSE,"Fiscal Year Income Statement";#N/A,#N/A,FALSE,"Valuation Summary";#N/A,#N/A,FALSE,"Comps Without";#N/A,#N/A,FALSE,"Comps With"}</definedName>
    <definedName name="wrn.Open._.Issues._.Only." hidden="1">{"Open issues Only",#N/A,FALSE,"TIMELINE"}</definedName>
    <definedName name="wrn.Opportunity._.Assessment." hidden="1">{#N/A,#N/A,TRUE,"Summary";#N/A,#N/A,TRUE,"Assumptions";#N/A,#N/A,TRUE,"Comparison";#N/A,#N/A,TRUE,"Financials";#N/A,#N/A,TRUE,"Plan v. Act"}</definedName>
    <definedName name="wrn.OR._.Carrying._.Charge._.JV." hidden="1">{#N/A,#N/A,FALSE,"Loans";#N/A,#N/A,FALSE,"Program Costs";#N/A,#N/A,FALSE,"Measures";#N/A,#N/A,FALSE,"Net Lost Rev";#N/A,#N/A,FALSE,"Incentive"}</definedName>
    <definedName name="wrn.OR._.Carrying._.Charge._.JV.1" hidden="1">{#N/A,#N/A,FALSE,"Loans";#N/A,#N/A,FALSE,"Program Costs";#N/A,#N/A,FALSE,"Measures";#N/A,#N/A,FALSE,"Net Lost Rev";#N/A,#N/A,FALSE,"Incentive"}</definedName>
    <definedName name="wrn.OUTPUT." hidden="1">{"DCF","UPSIDE CASE",FALSE,"Sheet1";"DCF","BASE CASE",FALSE,"Sheet1";"DCF","DOWNSIDE CASE",FALSE,"Sheet1"}</definedName>
    <definedName name="wrn.p._.450._.spending._.rpt." hidden="1">{"P450 spd rpt",#N/A,FALSE,"NIH P450"}</definedName>
    <definedName name="wrn.P450._.Monthly._.Variance." hidden="1">{"P450 Monthly Variance",#N/A,FALSE,"NIH P450"}</definedName>
    <definedName name="wrn.pages." hidden="1">{#N/A,#N/A,FALSE,"Bgt";#N/A,#N/A,FALSE,"Act";#N/A,#N/A,FALSE,"Chrt Data";#N/A,#N/A,FALSE,"Bus Result";#N/A,#N/A,FALSE,"Main Charts";#N/A,#N/A,FALSE,"P&amp;L Ttl";#N/A,#N/A,FALSE,"P&amp;L C_Ttl";#N/A,#N/A,FALSE,"P&amp;L C_Oct";#N/A,#N/A,FALSE,"P&amp;L C_Sep";#N/A,#N/A,FALSE,"1996";#N/A,#N/A,FALSE,"Data"}</definedName>
    <definedName name="wrn.Payment._.View." hidden="1">{#N/A,#N/A,FALSE,"Consltd-For contngcy";"PaymentView",#N/A,FALSE,"Consltd-For contngcy"}</definedName>
    <definedName name="wrn.PFSreconview." hidden="1">{"PFS recon view",#N/A,FALSE,"Hyperion Proof"}</definedName>
    <definedName name="wrn.PGHCreconview." hidden="1">{"PGHC recon view",#N/A,FALSE,"Hyperion Proof"}</definedName>
    <definedName name="wrn.PHBU." hidden="1">{"PHBU",#N/A,FALSE,"PHBU vs. BayInfo"}</definedName>
    <definedName name="wrn.PL_inflated." hidden="1">{"inflated_pl",#N/A,FALSE,"P&amp;L"}</definedName>
    <definedName name="wrn.PL_no_inflated." hidden="1">{"PL_no_inflated",#N/A,FALSE,"P&amp;L"}</definedName>
    <definedName name="wrn.Plan._.EVA." hidden="1">{#N/A,#N/A,FALSE,"Nov 96";#N/A,#N/A,FALSE,"Dec 96";#N/A,#N/A,FALSE,"Jan 97";#N/A,#N/A,FALSE,"Feb 97";#N/A,#N/A,FALSE,"Mar 97";#N/A,#N/A,FALSE,"Apr 97";#N/A,#N/A,FALSE,"May 97";#N/A,#N/A,FALSE,"Jun 97";#N/A,#N/A,FALSE,"Jul 97";#N/A,#N/A,FALSE,"Aug 97";#N/A,#N/A,FALSE,"Sep 97";#N/A,#N/A,FALSE,"Oct 97"}</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ortrait._.IS." hidden="1">{"Portrait letter is",#N/A,FALSE,"Model"}</definedName>
    <definedName name="wrn.Portrait._.letter._.is." hidden="1">{"Portrait letter is",#N/A,FALSE,"Model"}</definedName>
    <definedName name="wrn.PPMCoCodeView." hidden="1">{"PPM Co Code View",#N/A,FALSE,"Comp Codes"}</definedName>
    <definedName name="wrn.PPMreconview." hidden="1">{"PPM Recon View",#N/A,FALSE,"Hyperion Proof"}</definedName>
    <definedName name="wrn.Print." hidden="1">{"vi1",#N/A,FALSE,"Financial Statements";"vi2",#N/A,FALSE,"Financial Statements";#N/A,#N/A,FALSE,"DCF"}</definedName>
    <definedName name="wrn.Print._.24." hidden="1">{#N/A,#N/A,FALSE,"Index";"Stmts_Qtrs",#N/A,FALSE,"Summary";"Stmts_24 mo",#N/A,FALSE,"Summary";"Summary_24",#N/A,FALSE,"Revenue";"Month_24",#N/A,FALSE,"Engineering";"Month_24",#N/A,FALSE,"Marketing";"Month_24",#N/A,FALSE,"G &amp; A";"Month_24",#N/A,FALSE,"Manufacturing"}</definedName>
    <definedName name="wrn.Print._.All." hidden="1">{"Str Model",#N/A,TRUE,"Store Model";"RevProj By QTR",#N/A,TRUE,"Rev Proj";"RevProj By Yr",#N/A,TRUE,"Rev Proj";"Qtr Model",#N/A,TRUE,"Model";"Bal Sheet",#N/A,TRUE,"Bal Sheet";"Cash Flow",#N/A,TRUE,"Cash Flow";"Yrly Model",#N/A,TRUE,"Income Year"}</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Printout." hidden="1">{"page1",#N/A,FALSE,"Casual RLE";"page2",#N/A,FALSE,"Casual RLE"}</definedName>
    <definedName name="wrn.PRODUCT._.GROUP." hidden="1">{"PRODUCTGROUP",#N/A,FALSE,"PRODUCT GROUP"}</definedName>
    <definedName name="wrn.ProForma." hidden="1">{"Full-model",#N/A,FALSE,"ProForma-ASPT"}</definedName>
    <definedName name="wrn.ProofElectricOnly." hidden="1">{"Electric Only",#N/A,FALSE,"Hyperion Proof"}</definedName>
    <definedName name="wrn.ProofTotal." hidden="1">{"Proof Total",#N/A,FALSE,"Hyperion Proof"}</definedName>
    <definedName name="wrn.Publish." hidden="1">{"Contents",#N/A,FALSE,"Comparisons";"ShareInfo",#N/A,FALSE,"Comparisons";"Profitability",#N/A,FALSE,"Comparisons";"FirmValue",#N/A,FALSE,"Comparisons";"Labour",#N/A,FALSE,"Comparisons";"Capital",#N/A,FALSE,"Comparisons"}</definedName>
    <definedName name="wrn.Pulp." hidden="1">{"Pulp Production",#N/A,FALSE,"Pulp";"Pulp Earnings",#N/A,FALSE,"Pulp"}</definedName>
    <definedName name="wrn.qtr." hidden="1">{"byqtr",#N/A,FALSE,"Worksheet"}</definedName>
    <definedName name="wrn.Qtr._.Op._.Q1." hidden="1">{"Qtr Op Mgd Q1",#N/A,FALSE,"Qtr-Op (Mng)";"Qtr Op Rpt Q1",#N/A,FALSE,"Qtr-Op (Rpt)";"Operating Vs Reported",#N/A,FALSE,"Rpt-Op Inc"}</definedName>
    <definedName name="wrn.Qtr._.Op._.Q2." hidden="1">{"Qtr Op Mgd Q2",#N/A,FALSE,"Qtr-Op (Mng)";"Qtr Op Rpt Q2",#N/A,FALSE,"Qtr-Op (Rpt)";"Operating Vs Reported",#N/A,FALSE,"Rpt-Op Inc"}</definedName>
    <definedName name="wrn.Qtr._.Op._.Q3." hidden="1">{"Qtr Op Mgd Q3",#N/A,FALSE,"Qtr-Op (Mng)";"Qtr Op Rpt Q3",#N/A,FALSE,"Qtr-Op (Rpt)";"Operating Vs Reported",#N/A,FALSE,"Rpt-Op Inc"}</definedName>
    <definedName name="wrn.Qtr._.Op._.Q4." hidden="1">{"Qtr Op Mgd Q3",#N/A,FALSE,"Qtr-Op (Mng)";"Qtr Op Rpt Q4",#N/A,FALSE,"Qtr-Op (Rpt)";"Operating Vs Reported",#N/A,FALSE,"Rpt-Op Inc"}</definedName>
    <definedName name="wrn.Qtr._.Op._Q2a." hidden="1">{"Qtr Op Mgd Q2",#N/A,FALSE,"Qtr-Op (Mng)";"Qtr Op Rpt Q2",#N/A,FALSE,"Qtr-Op (Rpt)";"Operating Vs Reported",#N/A,FALSE,"Rpt-Op Inc"}</definedName>
    <definedName name="wrn.Qtr_.Op._.Q4." hidden="1">{"Qtr Op Mgd Q3",#N/A,FALSE,"Qtr-Op (Mng)";"Qtr Op Rpt Q4",#N/A,FALSE,"Qtr-Op (Rpt)";"Operating Vs Reported",#N/A,FALSE,"Rpt-Op Inc"}</definedName>
    <definedName name="wrn.quart." hidden="1">{"quart",#N/A,FALSE,"quartfin"}</definedName>
    <definedName name="wrn.Quarterlys." hidden="1">{#N/A,#N/A,TRUE,"Qrt BCG";#N/A,#N/A,TRUE,"Qrt w|o Wireless";#N/A,#N/A,TRUE,"Qrt Wireless"}</definedName>
    <definedName name="wrn.quartfin." hidden="1">{"quartfin",#N/A,FALSE,"quartfin"}</definedName>
    <definedName name="wrn.Rebound._.August._.2002._.MC." hidden="1">{"ERI a",#N/A,FALSE,"Overall";"ERI b",#N/A,FALSE,"Overall";"Local",#N/A,FALSE,"Overall";"Global",#N/A,FALSE,"Overall"}</definedName>
    <definedName name="wrn.Rebound._.September2002." hidden="1">{"Rbd9/2002_1",#N/A,FALSE,"Overall";"Rbd9/2002_2",#N/A,FALSE,"Overall";"Rbd9/2002_3",#N/A,FALSE,"Overall";"Rbd9/2002_4",#N/A,FALSE,"Overall"}</definedName>
    <definedName name="wrn.Reformat._.only." hidden="1">{#N/A,#N/A,FALSE,"Dec 1999 mapping"}</definedName>
    <definedName name="wrn.Reg._.Printer." hidden="1">{#N/A,#N/A,FALSE,"1-3-0 Sales Summary_Volume";#N/A,#N/A,FALSE,"1-3-1 Mon Appr Chgs";#N/A,#N/A,FALSE,"1-3-3 4 Sent to Carrier";#N/A,#N/A,FALSE,"1-3-5 6 Submitted";#N/A,#N/A,FALSE,"1-3-7, 8  ClosRatio by Carr";#N/A,#N/A,FALSE,"1-3-9 % Sub Sent to Carrl";#N/A,#N/A,FALSE,"1-4 Sales Summary_Lag";#N/A,#N/A,FALSE,"1-4-1 Apps Ret CA OofS";#N/A,#N/A,FALSE,"2-1 ClosRatio by State";#N/A,#N/A,FALSE,"2-2 ClosRatio by Carrier";#N/A,#N/A,FALSE,"2-3-1 CLosRatioStateCarr YTD";#N/A,#N/A,FALSE,"2-3-2 CLosRatioStateCarr June";#N/A,#N/A,FALSE,"2-4 ClosRatioStatCarrier99";#N/A,#N/A,FALSE,"2-5#CarrierPerState00";#N/A,#N/A,FALSE,"2-6#CarrierPerState99";#N/A,#N/A,FALSE,"2-7 StateClosRatio";#N/A,#N/A,FALSE,"2-8 CarrierClosRatio";#N/A,#N/A,FALSE,"3  Sales and Persistency";#N/A,#N/A,FALSE,"4-1 Summary Lag Report";#N/A,#N/A,FALSE,"4-2 Detail Lag Report";#N/A,#N/A,FALSE,"4-3 Lag Analysis";#N/A,#N/A,FALSE,"5-1 SBG"}</definedName>
    <definedName name="wrn.Relevant." hidden="1">{#N/A,#N/A,FALSE,"Title Page";#N/A,#N/A,FALSE,"Conclusions";#N/A,#N/A,FALSE,"Assum.";#N/A,#N/A,FALSE,"Sun  DCF-WC-Dep";#N/A,#N/A,FALSE,"MarketValue";#N/A,#N/A,FALSE,"BalSheet";#N/A,#N/A,FALSE,"WACC";#N/A,#N/A,FALSE,"PC+ Info.";#N/A,#N/A,FALSE,"PC+Info_2"}</definedName>
    <definedName name="wrn.Relevant1." hidden="1">{#N/A,#N/A,FALSE,"Title Page";#N/A,#N/A,FALSE,"Conclusions";#N/A,#N/A,FALSE,"Assum.";#N/A,#N/A,FALSE,"Sun  DCF-WC-Dep";#N/A,#N/A,FALSE,"MarketValue";#N/A,#N/A,FALSE,"BalSheet";#N/A,#N/A,FALSE,"WACC";#N/A,#N/A,FALSE,"PC+ Info.";#N/A,#N/A,FALSE,"PC+Info_2"}</definedName>
    <definedName name="wrn.Report." hidden="1">{#N/A,#N/A,FALSE,"COVER";#N/A,#N/A,FALSE,"FORECAST";#N/A,#N/A,FALSE,"VALUATION";#N/A,#N/A,FALSE,"FY ANALYSIS ";#N/A,#N/A,FALSE," HY ANALYSIS"}</definedName>
    <definedName name="wrn.reports." hidden="1">{#N/A,#N/A,FALSE,"yrtoyr";#N/A,#N/A,FALSE,"finstmtform";"conbud",#N/A,FALSE,"CONBUD"}</definedName>
    <definedName name="wrn.RevenueTracking._.Summary." hidden="1">{"Tracking Revenue",#N/A,FALSE,"(NU)Tracking Summary"}</definedName>
    <definedName name="wrn.Revs." hidden="1">{"Base_rev",#N/A,FALSE,"Proj_IS_Base";"Projrev",#N/A,FALSE,"Proj_IS_wOTLC";"Delta",#N/A,FALSE,"Delta Rev_PV"}</definedName>
    <definedName name="wrn.Roll._.Up._.Fields." hidden="1">{"Total",#N/A,FALSE,"Six Fields";"PDP",#N/A,FALSE,"Six Fields";"PNP",#N/A,FALSE,"Six Fields";"PUD",#N/A,FALSE,"Six Fields";"Prob",#N/A,FALSE,"Six Fields"}</definedName>
    <definedName name="wrn.Rollup." hidden="1">{"rollupcap",#N/A,TRUE,"ROLLUP";"rollupga",#N/A,TRUE,"ROLLUP"}</definedName>
    <definedName name="wrn.sales." hidden="1">{"sales",#N/A,FALSE,"Sales";"sales existing",#N/A,FALSE,"Sales";"sales rd1",#N/A,FALSE,"Sales";"sales rd2",#N/A,FALSE,"Sales"}</definedName>
    <definedName name="wrn.salesassum." hidden="1">{"Salesass",#N/A,FALSE,"assumpt"}</definedName>
    <definedName name="wrn.Sapolsky._.Tracking._.Report." hidden="1">{"sapolskytracking",#N/A,FALSE,"Sapolsky"}</definedName>
    <definedName name="wrn.SchM." hidden="1">{"SchMpg1",#N/A,FALSE,"TR Sch M";"SchMpg2",#N/A,FALSE,"TR Sch M"}</definedName>
    <definedName name="wrn.Segments." hidden="1">{"view1",#N/A,FALSE,"Consolidated";"view2",#N/A,FALSE,"Consolidated (sum)";"view1",#N/A,FALSE,"Gen Sys";"view1",#N/A,FALSE,"Semicon";"view1",#N/A,FALSE,"Mess|Med";"view1",#N/A,FALSE,"Land Mob";"view1",#N/A,FALSE,"Other Prod";"view1",#N/A,FALSE,"Adj|Elim"}</definedName>
    <definedName name="wrn.sensitivity._.analyses." hidden="1">{"general",#N/A,FALSE,"Assumptions"}</definedName>
    <definedName name="wrn.Sensitivity._.Analysis." hidden="1">{#N/A,#N/A,FALSE,"Fully Finance $65";#N/A,#N/A,FALSE,"Indian in the Cupboard $65";#N/A,#N/A,FALSE,"Fully Finance $70";#N/A,#N/A,FALSE,"Indian in the Cupboard $70";#N/A,#N/A,FALSE,"Summary"}</definedName>
    <definedName name="wrn.SGPMODELS." hidden="1">{"QTRINC1",#N/A,FALSE,"SGPNEW";"QTRINC2",#N/A,FALSE,"SGPNEW";"USSALES1",#N/A,FALSE,"SGPNEW";"USSALES2",#N/A,FALSE,"SGPNEW";"INTLSALES1",#N/A,FALSE,"SGPNEW";"INTLSALES2",#N/A,FALSE,"SGPNEW";"WWSALES1",#N/A,FALSE,"SGPNEW";"WWSALES2",#N/A,FALSE,"SGPNEW";"NEWPRODS",#N/A,FALSE,"SGPNEW";"CASHFLOW",#N/A,FALSE,"SGPNEW"}</definedName>
    <definedName name="wrn.shamrock" hidden="1">{#N/A,#N/A,TRUE,"Tar-Ass";#N/A,#N/A,TRUE,"Tar-Ass LBO";#N/A,#N/A,TRUE,"LBO Ret";#N/A,#N/A,TRUE,"Tar-BS LBO";#N/A,#N/A,TRUE,"Tar-IS LBO";#N/A,#N/A,TRUE,"Tar-CF LBO";#N/A,#N/A,TRUE,"Tar-Debt LBO";#N/A,#N/A,TRUE,"Tar-Int LBO";#N/A,#N/A,TRUE,"Tar-Taxes LBO";#N/A,#N/A,TRUE,"Tar-Val LBO"}</definedName>
    <definedName name="wrn.Short._.Report." hidden="1">{"short1",#N/A,FALSE,"masmode";"short2",#N/A,FALSE,"masmode";"qtrres",#N/A,FALSE,"QTR. RES.";"sales",#N/A,FALSE,"Sales &amp; Market Share"}</definedName>
    <definedName name="wrn.Spending._.Reports." hidden="1">{"ATP Spending Report",#N/A,FALSE,"ATP";"Gestec spd rpt",#N/A,FALSE,"Gestec";"UCSD spending RPT",#N/A,FALSE,"UCSD";"Sapolsky Spending Rpt",#N/A,FALSE,"Sapolsky";"Oncogene Spnding Rpt",#N/A,FALSE,"Oncogene Ph. 2";"P450 spd rpt",#N/A,FALSE,"NIH P450";"hiv 2 SPD RPT",#N/A,FALSE,"HIV Phase 2";"Mito Spd Rpt",#N/A,FALSE,"Mitochondrial";"ORD Spd Rpt",#N/A,FALSE,"ORD"}</definedName>
    <definedName name="wrn.stand_alone." hidden="1">{#N/A,#N/A,FALSE,"CBE";#N/A,#N/A,FALSE,"SWK"}</definedName>
    <definedName name="wrn.Standard." hidden="1">{"YTD-Total",#N/A,FALSE,"Provision"}</definedName>
    <definedName name="wrn.Standard._.NonUtility._.Only." hidden="1">{"YTD-NonUtility",#N/A,FALSE,"Prov NonUtility"}</definedName>
    <definedName name="wrn.Standard._.Utility._.Only." hidden="1">{"YTD-Utility",#N/A,FALSE,"Prov Utility"}</definedName>
    <definedName name="wrn.subs." hidden="1">{#N/A,#N/A,FALSE,"Comp - War";#N/A,#N/A,FALSE,"Comp - War"}</definedName>
    <definedName name="wrn.sum." hidden="1">{"Opsys",#N/A,FALSE,"NPV_OPsys";"NT",#N/A,FALSE,"NPV_NT";"DevP",#N/A,FALSE,"NPV_DevPdt";"Office",#N/A,FALSE,"NPV_Office"}</definedName>
    <definedName name="wrn.sum._.and._.detail." hidden="1">{#N/A,#N/A,FALSE,"Reported$ - Sum";#N/A,#N/A,FALSE,"Reported$ - Detail";#N/A,#N/A,FALSE,"Constant$ - Sum";#N/A,#N/A,FALSE,"Constant$ - Detail"}</definedName>
    <definedName name="wrn.sum._.ops." hidden="1">{"schedule",#N/A,FALSE,"Sum Op's";"input area",#N/A,FALSE,"Sum Op's"}</definedName>
    <definedName name="wrn.SumandMitems." hidden="1">{"TaxSum",#N/A,FALSE,"TaxSum";"Msum",#N/A,FALSE,"MSum";"IncStmnt",#N/A,FALSE,"IncStmnt";"Ccorps",#N/A,FALSE,"IncStmnt";"Meals",#N/A,FALSE,"Meals";"Other",#N/A,FALSE,"Other";"IntangSum",#N/A,FALSE,"IntangSummary";"AmortDetail",#N/A,FALSE,"AmortDetail";"Deprec",#N/A,FALSE,"Deprec"}</definedName>
    <definedName name="wrn.Summary." hidden="1">{#N/A,#N/A,FALSE,"Ann Inc Stmt";#N/A,#N/A,FALSE,"Qtry Inc Stmt";#N/A,#N/A,FALSE,"Inc Stmt";#N/A,#N/A,FALSE,"Mthly_Cash";#N/A,#N/A,FALSE,"Cash Dist";#N/A,#N/A,FALSE,"Hiring Plan"}</definedName>
    <definedName name="wrn.Summary._.View." hidden="1">{#N/A,#N/A,FALSE,"Consltd-For contngcy"}</definedName>
    <definedName name="wrn.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Tables." hidden="1">{"view1",#N/A,FALSE,"Tables";"view2",#N/A,FALSE,"Tables";"view3",#N/A,FALSE,"Tables"}</definedName>
    <definedName name="wrn.Target."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LBO." hidden="1">{#N/A,#N/A,TRUE,"Tar-Ass";#N/A,#N/A,TRUE,"Tar-Ass LBO";#N/A,#N/A,TRUE,"LBO Ret";#N/A,#N/A,TRUE,"Tar-BS LBO";#N/A,#N/A,TRUE,"Tar-IS LBO";#N/A,#N/A,TRUE,"Tar-CF LBO";#N/A,#N/A,TRUE,"Tar-Debt LBO";#N/A,#N/A,TRUE,"Tar-Int LBO";#N/A,#N/A,TRUE,"Tar-Taxes LBO";#N/A,#N/A,TRUE,"Tar-Val LBO"}</definedName>
    <definedName name="wrn.TargetState." hidden="1">{#N/A,#N/A,FALSE,"Tar-Ass";#N/A,#N/A,FALSE,"Tar-IS";#N/A,#N/A,FALSE,"Tar-BS";#N/A,#N/A,FALSE,"Tar-Adg BS";#N/A,#N/A,FALSE,"Tar-CF"}</definedName>
    <definedName name="wrn.TargetVal." hidden="1">{#N/A,#N/A,TRUE,"Val - sum";#N/A,#N/A,TRUE,"Val - Sum1";#N/A,#N/A,TRUE,"Val - sum2";#N/A,#N/A,TRUE,"Val - Sum3";#N/A,#N/A,TRUE,"Tar-DCF";#N/A,#N/A,TRUE,"Tar-Val LBO";#N/A,#N/A,TRUE,"Tar-Mult Val"}</definedName>
    <definedName name="wrn.Tax_Package." hidden="1">{#N/A,#N/A,TRUE,"Bal_Sht (TF-1)";#N/A,#N/A,TRUE,"Inc_Summ (TF-2)";#N/A,#N/A,TRUE,"COGS (TF-3)";#N/A,#N/A,TRUE,"ExpSumm (TF-4)";#N/A,#N/A,TRUE,"Other_Inc (TF-5)";#N/A,#N/A,TRUE,"Other_Exp (TF-6)";#N/A,#N/A,TRUE,"Bad_Debts (TF-7)";#N/A,#N/A,TRUE,"Contrib (TF-8)";#N/A,#N/A,TRUE,"Meal_Ent (TF-9)";#N/A,#N/A,TRUE,"Fines (TF-10)";#N/A,#N/A,TRUE,"Fix_Assts (TF-11)";#N/A,#N/A,TRUE,"Int_Assts (TF-12)";#N/A,#N/A,TRUE,"Land (TF-13)";#N/A,#N/A,TRUE,"Oth Cur Assts (TF-14)";#N/A,#N/A,TRUE,"Oth_Assts (TF-15)";#N/A,#N/A,TRUE,"Oth_Cur_Liabs (TF-16)";#N/A,#N/A,TRUE,"Oth_Liabs (TF-17)";#N/A,#N/A,TRUE,"Prof_Inv (TF-18)";#N/A,#N/A,TRUE,"Cont_Advs (TF-19)";#N/A,#N/A,TRUE,"PPL_Sick (TF-20)";#N/A,#N/A,TRUE,"Acc_Liabs (TF-21)";#N/A,#N/A,TRUE,"Def_Rev (TF-22)";#N/A,#N/A,TRUE,"Warranty (TF-23)]"}</definedName>
    <definedName name="wrn.Tech._.Support." hidden="1">{#N/A,#N/A,FALSE,"Tech_Total";#N/A,#N/A,FALSE,"Tech_Comp";#N/A,#N/A,FALSE,"Tech_Ops";#N/A,#N/A,FALSE,"Tech_Maint"}</definedName>
    <definedName name="wrn.TenQ." hidden="1">{"TenQ IS",#N/A,TRUE,"10Q Format IS";"TenQ BS",#N/A,TRUE,"10Q Format BS";"TenQ Csh Flo",#N/A,TRUE,"10Q Format Cash Flow";"TenQ Notes",#N/A,TRUE,"10Q Format Notes to Financials"}</definedName>
    <definedName name="wrn.test." hidden="1">{#N/A,#N/A,TRUE,"Outlook98";#N/A,#N/A,TRUE,"Reduction Model"}</definedName>
    <definedName name="wrn.Therasense." hidden="1">{#N/A,#N/A,FALSE,"Portfolio Summary";#N/A,#N/A,FALSE,"Performance ";#N/A,#N/A,FALSE,"Earnings";#N/A,#N/A,FALSE,"Earnings by Maturity";#N/A,#N/A,FALSE,"Credit Analysis";#N/A,#N/A,FALSE,"Reconciliation "}</definedName>
    <definedName name="wrn.TheWholeEnchilada." hidden="1">{"CSheet",#N/A,FALSE,"C";"SmCap",#N/A,FALSE,"VAL1";"GulfCoast",#N/A,FALSE,"VAL1";"nav",#N/A,FALSE,"NAV";"Summary",#N/A,FALSE,"NAV"}</definedName>
    <definedName name="wrn.Thomas_Case." hidden="1">{#N/A,#N/A,TRUE,"Thomas Case";#N/A,#N/A,TRUE,"Corporate Overhead";#N/A,#N/A,TRUE,"Arizona";#N/A,#N/A,TRUE,"Cal";#N/A,#N/A,TRUE,"Illinois";#N/A,#N/A,TRUE,"Indiana";#N/A,#N/A,TRUE,"Ohio";#N/A,#N/A,TRUE,"Pennsylvania";#N/A,#N/A,TRUE,"Growth";#N/A,#N/A,TRUE,"Anthem";#N/A,#N/A,TRUE,"Pipeline"}</definedName>
    <definedName name="wrn.Tobra." hidden="1">{"clinbud",#N/A,FALSE,"Tobra";"followon",#N/A,FALSE,"Tobra";"canada",#N/A,FALSE,"Tobra"}</definedName>
    <definedName name="wrn.Total._.Proved." hidden="1">{"Total",#N/A,FALSE,"Total Proved";"PDP",#N/A,FALSE,"Total Proved";"PNP",#N/A,FALSE,"Total Proved";"PUD",#N/A,FALSE,"Total Proved"}</definedName>
    <definedName name="wrn.Total._.Proved._.plus._.Probable." hidden="1">{"Total",#N/A,FALSE,"Total Proved + Probable";"PDP",#N/A,FALSE,"Total Proved + Probable";"PNP",#N/A,FALSE,"Total Proved + Probable";"PUD",#N/A,FALSE,"Total Proved + Probable";"Prob",#N/A,FALSE,"Total Proved + Probable"}</definedName>
    <definedName name="wrn.totalcomp." hidden="1">{"comp1",#N/A,FALSE,"COMPS";"footnotes",#N/A,FALSE,"COMPS"}</definedName>
    <definedName name="wrn.tox." hidden="1">{"tox95",#N/A,FALSE,"studydata";"tox96",#N/A,FALSE,"studydata";"tox97",#N/A,FALSE,"studydata";"tox98",#N/A,FALSE,"studydata"}</definedName>
    <definedName name="wrn.Trended._.BS." hidden="1">{"TrendLiab",#N/A,FALSE,"Balance Sheet";"TrendAssets",#N/A,FALSE,"Balance Sheet"}</definedName>
    <definedName name="wrn.twxmodel." localSheetId="6" hidden="1">{"twx1",#N/A,FALSE,"twltm.xls";"twx2",#N/A,FALSE,"twltm.xls";"twx3",#N/A,FALSE,"twltm.xls"}</definedName>
    <definedName name="wrn.twxmodel." hidden="1">{"twx1",#N/A,FALSE,"twltm.xls";"twx2",#N/A,FALSE,"twltm.xls";"twx3",#N/A,FALSE,"twltm.xls"}</definedName>
    <definedName name="wrn.UCSD._.Tracking._.Report." hidden="1">{#N/A,#N/A,FALSE,"UCSD"}</definedName>
    <definedName name="wrn.UK._.Conversion._.Only." hidden="1">{#N/A,#N/A,FALSE,"Dec 1999 UK Continuing Ops"}</definedName>
    <definedName name="wrn.Units." hidden="1">{#N/A,#N/A,FALSE,"4yr_Units";#N/A,#N/A,FALSE,"00yr_Units";#N/A,#N/A,FALSE,"99yr_Units";#N/A,#N/A,FALSE,"98yr_Units";#N/A,#N/A,FALSE,"97yr_Units"}</definedName>
    <definedName name="wrn.up." hidden="1">{"up stand alones",#N/A,FALSE,"Acquiror"}</definedName>
    <definedName name="wrn.USF._.GROUP." hidden="1">{"USFGROUP",#N/A,FALSE,"USF GROUP CONSOL"}</definedName>
    <definedName name="wrn.V96_USA." hidden="1">{#N/A,#N/A,FALSE,"RD2USA1";#N/A,#N/A,FALSE,"RD2USA2";#N/A,#N/A,FALSE,"RD2USA3";#N/A,#N/A,FALSE,"RD2USAT";#N/A,#N/A,FALSE,"RD3USA1";#N/A,#N/A,FALSE,"RD3USA2";#N/A,#N/A,FALSE,"RD3USA3";#N/A,#N/A,FALSE,"RD3USAT";#N/A,#N/A,FALSE,"RD4USA"}</definedName>
    <definedName name="wrn.VALUATION." hidden="1">{#N/A,#N/A,FALSE,"Valuation Assumptions";#N/A,#N/A,FALSE,"Summary";#N/A,#N/A,FALSE,"DCF";#N/A,#N/A,FALSE,"Valuation";#N/A,#N/A,FALSE,"WACC";#N/A,#N/A,FALSE,"UBVH";#N/A,#N/A,FALSE,"Free Cash Flow"}</definedName>
    <definedName name="wrn.Valuation._.Worksheets."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riance._.3." hidden="1">{"Variance Q3",#N/A,FALSE,"Var"}</definedName>
    <definedName name="wrn.Variance._.Q1." hidden="1">{"Variance Q1",#N/A,FALSE,"Var"}</definedName>
    <definedName name="wrn.Variance._.Q2." hidden="1">{"Variance Q2",#N/A,FALSE,"Var"}</definedName>
    <definedName name="wrn.Variance._.Q3." hidden="1">{"Variance Q3",#N/A,FALSE,"Var"}</definedName>
    <definedName name="wrn.Variance._.Q4" hidden="1">{"Variance Q4",#N/A,FALSE,"Var"}</definedName>
    <definedName name="wrn.Variance._.Q4." hidden="1">{"Variance Q4",#N/A,FALSE,"Var"}</definedName>
    <definedName name="wrn.Wireless." hidden="1">{#N/A,#N/A,TRUE,"Monthly Wireless";#N/A,#N/A,TRUE,"Qrt Wireless";#N/A,#N/A,TRUE,"FY Wireless";#N/A,#N/A,TRUE,"1Q Wireless";#N/A,#N/A,TRUE,"2Q Wireless";#N/A,#N/A,TRUE,"3Q Wireless";#N/A,#N/A,TRUE,"4Q Wireless"}</definedName>
    <definedName name="wrn.without._.Wireless._.All._.Periods." hidden="1">{#N/A,#N/A,TRUE,"Monthly w|o Wireless";#N/A,#N/A,TRUE,"Qrt w|o Wireless";#N/A,#N/A,TRUE,"FY w|o Wireless";#N/A,#N/A,TRUE,"1Q w|o Wireless";#N/A,#N/A,TRUE,"2Q w|o Wireless";#N/A,#N/A,TRUE,"3Q w|o Wireless";#N/A,#N/A,TRUE,"4Q w|o Wireless"}</definedName>
    <definedName name="wrn.WLAVARIANCEANALYSIS." hidden="1">{"INCOME STATEMENT",#N/A,FALSE,"IS";"WWSALES",#N/A,FALSE,"WWSALES";"USSALES",#N/A,FALSE,"USSALES";"INTLSALES",#N/A,FALSE,"INTLSALES"}</definedName>
    <definedName name="wrn.WP._.4797." hidden="1">{"WP 4797",#N/A,FALSE,"4797"}</definedName>
    <definedName name="wrn.WW._.M._.Detail." hidden="1">{"WW M Detail",#N/A,FALSE,"Sch M Detail"}</definedName>
    <definedName name="wrn.Year._.to._.Date._.Summary." hidden="1">{#N/A,#N/A,FALSE,"Year To Date"}</definedName>
    <definedName name="wrn.YearEnd." hidden="1">{"Factors Pages 1-2",#N/A,FALSE,"Variables";"Factors Page 3",#N/A,FALSE,"Variables";"Factors Page 4",#N/A,FALSE,"Variables";"Factors Page 5",#N/A,FALSE,"Variables";"YE Pages 7-26",#N/A,FALSE,"Variables"}</definedName>
    <definedName name="wrn.Yield._.Graph." hidden="1">{#N/A,#N/A,FALSE,"Yield Graph"}</definedName>
    <definedName name="wrn.Yield._.Graph._.plus._.Input." hidden="1">{#N/A,#N/A,FALSE,"Yield Graph";#N/A,#N/A,FALSE,"Rent Roll";#N/A,#N/A,FALSE,"OE Yr1";#N/A,#N/A,FALSE,"Repl.Cst.+Ins."}</definedName>
    <definedName name="wrn.ｷｬｼｭﾌﾛｰ." hidden="1">{"投資金額",#N/A,FALSE,"ｷｬｼｭﾌﾛｰ";"回収",#N/A,FALSE,"ｷｬｼｭﾌﾛｰ"}</definedName>
    <definedName name="wrn.מאזן_בוחן_כללי." hidden="1">{#N/A,#N/A,FALSE,"מאזן בוחן";"כל_מאזן_בוחן",#N/A,FALSE,"מאזן בוחן"}</definedName>
    <definedName name="wrn.סעיפי_מאזן_בוחן."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中期." hidden="1">{"中期損益",#N/A,FALSE,"中期計画";"中期収支",#N/A,FALSE,"中期計画"}</definedName>
    <definedName name="wrn.全体." hidden="1">{"表紙",#N/A,FALSE,"店別収支";"収支",#N/A,FALSE,"店別収支";"店舗別",#N/A,FALSE,"店別収支"}</definedName>
    <definedName name="wrn.収支" hidden="1">{"損益",#N/A,FALSE,"中期計画";"収支",#N/A,FALSE,"中期計画"}</definedName>
    <definedName name="wrn.収支." hidden="1">{"損益",#N/A,FALSE,"中期計画";"収支",#N/A,FALSE,"中期計画"}</definedName>
    <definedName name="wrn.営業報告." hidden="1">{"表紙",#N/A,TRUE,"表紙";"目次",#N/A,TRUE,"表紙";"001基本DATA",#N/A,TRUE,"表紙";"002売上対比",#N/A,TRUE,"表紙";"003売上推移",#N/A,TRUE,"表紙";"004ｼﾞｬﾝﾙ売上",#N/A,TRUE,"表紙";"005ｼﾞｬﾝﾙ累計",#N/A,TRUE,"表紙";"006台当売上",#N/A,TRUE,"表紙";"007来場客数",#N/A,TRUE,"表紙";"008景品原価",#N/A,TRUE,"表紙";"09棚卸",#N/A,TRUE,"表紙";"010機器投資",#N/A,TRUE,"表紙";"011機器リース",#N/A,TRUE,"表紙";"012機器計",#N/A,TRUE,"表紙";"013内装",#N/A,TRUE,"表紙";"014投資計",#N/A,TRUE,"表紙"}</definedName>
    <definedName name="wrn.店別." hidden="1">{"表紙",#N/A,FALSE,"中期計画";"店舗別",#N/A,FALSE,"中期計画"}</definedName>
    <definedName name="wrn.第一四半期." hidden="1">{#N/A,#N/A,FALSE,"倉庫";"上期倉庫",#N/A,FALSE,"倉庫";"下期倉庫",#N/A,FALSE,"倉庫"}</definedName>
    <definedName name="wrn.第三四半期." hidden="1">{"第三四半期倉庫",#N/A,FALSE,"倉庫";"上期倉庫",#N/A,FALSE,"倉庫";"下期倉庫",#N/A,FALSE,"倉庫"}</definedName>
    <definedName name="wrn.第二四半期." hidden="1">{"第二四半期倉庫",#N/A,FALSE,"倉庫";"上期倉庫",#N/A,FALSE,"倉庫";"下期倉庫",#N/A,FALSE,"倉庫"}</definedName>
    <definedName name="wrn.第四四半期." hidden="1">{"第四四半期倉庫",#N/A,FALSE,"倉庫";"上期倉庫",#N/A,FALSE,"倉庫";"下期倉庫",#N/A,FALSE,"倉庫"}</definedName>
    <definedName name="wrn1.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2.Document" hidden="1">{"consolidated",#N/A,FALSE,"Sheet1";"cms",#N/A,FALSE,"Sheet1";"fse",#N/A,FALSE,"Sheet1"}</definedName>
    <definedName name="wrth" hidden="1">{"Full-model",#N/A,FALSE,"ProForma-ASPT"}</definedName>
    <definedName name="wrtwyt" hidden="1">{"ERI 1a",#N/A,FALSE,"Overall";"ERI 2a",#N/A,FALSE,"Overall";"Local 1a",#N/A,FALSE,"Overall";"Global 1a",#N/A,FALSE,"Overall"}</definedName>
    <definedName name="WS" hidden="1">{"Full-model",#N/A,FALSE,"ProForma-ASPT"}</definedName>
    <definedName name="wvu.All." hidden="1">{TRUE,TRUE,-1.25,-15.5,964.5,699.75,FALSE,TRUE,TRUE,TRUE,0,1,2,168,#N/A,1,51,2,TRUE,FALSE,3,TRUE,1,TRUE,100,"Swvu.All.","ACwvu.All.",#N/A,FALSE,FALSE,0.75,0.75,0.75,0.75,2,"","&amp;LBy Steve Abel&amp;C&amp;F  &amp;A&amp;R&amp;D  &amp;T",TRUE,FALSE,FALSE,FALSE,1,61,#N/A,#N/A,"=R1C1:R206C15","=R1:R5",#N/A,#N/A,FALSE,FALSE,TRUE,1,300,300,FALSE,FALSE,TRUE,TRUE,TRUE}</definedName>
    <definedName name="wvu.cash." localSheetId="6" hidden="1">{TRUE,TRUE,-1.25,-15.5,456.75,279.75,FALSE,FALSE,TRUE,TRUE,0,1,18,1,199,6,3,4,TRUE,TRUE,3,TRUE,1,TRUE,100,"Swvu.cash.","ACwvu.cash.",1,FALSE,FALSE,0.511811023622047,0.511811023622047,0.511811023622047,0.511811023622047,1,"","",FALSE,FALSE,FALSE,FALSE,1,#N/A,1,1,#DIV/0!,FALSE,"Rwvu.cash.",#N/A,FALSE,FALS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IMSD._.Only." hidden="1">{TRUE,TRUE,-1.25,-15.5,964.5,699.75,FALSE,TRUE,TRUE,TRUE,0,1,2,19,#N/A,1,133,2,TRUE,FALSE,3,TRUE,1,TRUE,100,"Swvu.IMSD._.Only.","ACwvu.IMSD._.Only.",#N/A,FALSE,FALSE,0.75,0.75,0.75,0.75,2,"","&amp;LBy Steve Abel&amp;C&amp;F  &amp;A&amp;R&amp;D  &amp;T",TRUE,FALSE,FALSE,FALSE,1,61,#N/A,#N/A,"=R1C1:R206C15","=R1:R5",#N/A,"Cwvu.IMSD._.Only.",FALSE,FALSE,TRUE,1,300,300,FALSE,FALSE,TRUE,TRUE,TRUE}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profits." localSheetId="6" hidden="1">{TRUE,TRUE,-1.25,-15.5,456.75,279.75,FALSE,FALSE,TRUE,TRUE,0,1,21,1,127,6,3,4,TRUE,TRUE,3,TRUE,1,TRUE,100,"Swvu.profits.","ACwvu.profits.",1,FALSE,FALSE,0.511811023622047,0.511811023622047,0.511811023622047,0.511811023622047,1,"","",FALSE,FALSE,FALSE,FALSE,1,#N/A,1,1,#DIV/0!,FALSE,"Rwvu.profits.",#N/A,FALSE,FALS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PRT."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urnover." localSheetId="6" hidden="1">{TRUE,TRUE,-1.25,-15.5,456.75,279.75,FALSE,FALSE,TRUE,TRUE,0,1,8,1,4,6,3,4,TRUE,TRUE,3,TRUE,1,TRUE,100,"Swvu.turnover.","ACwvu.turnover.",1,FALSE,FALSE,0.511811023622047,0.511811023622047,0.511811023622047,0.511811023622047,1,"","",FALSE,FALSE,FALSE,FALSE,1,#N/A,1,1,#DIV/0!,FALSE,"Rwvu.turnover.",#N/A,FALSE,FALS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w.Rele" hidden="1">{#N/A,#N/A,FALSE,"Title Page";#N/A,#N/A,FALSE,"Conclusions";#N/A,#N/A,FALSE,"Assum.";#N/A,#N/A,FALSE,"Sun  DCF-WC-Dep";#N/A,#N/A,FALSE,"MarketValue";#N/A,#N/A,FALSE,"BalSheet";#N/A,#N/A,FALSE,"WACC";#N/A,#N/A,FALSE,"PC+ Info.";#N/A,#N/A,FALSE,"PC+Info_2"}</definedName>
    <definedName name="wwqety" hidden="1">{"Full-model",#N/A,FALSE,"ProForma-ASPT"}</definedName>
    <definedName name="www" hidden="1">{"ERI a",#N/A,FALSE,"Overall";"ERI b",#N/A,FALSE,"Overall";"Local",#N/A,FALSE,"Overall";"Global",#N/A,FALSE,"Overall"}</definedName>
    <definedName name="www.wki" hidden="1">{"CSN M Detail",#N/A,FALSE,"Sch M Detail"}</definedName>
    <definedName name="wwwwww" hidden="1">{"EPS_one",#N/A,FALSE,"96-02 EPS";"EPS_two",#N/A,FALSE,"96-02 EPS";"Newrev_one",#N/A,FALSE,"New rev 97 - 02";"Newrev_two",#N/A,FALSE,"New rev 97 - 02";"cable_one",#N/A,FALSE,"cable 96-02";"cable_two",#N/A,FALSE,"cable 96-02";"data.page",#N/A,FALSE,"Data_page"}</definedName>
    <definedName name="wyh" hidden="1">{#N/A,#N/A,FALSE,"Summary";#N/A,#N/A,FALSE,"Fed.State Prov";#N/A,#N/A,FALSE,"Foreign Prov";#N/A,#N/A,FALSE,"Thera Fgrn";#N/A,#N/A,FALSE,"CCD Fgrn";#N/A,#N/A,FALSE,"Biocine Fgrn";#N/A,#N/A,FALSE,"Vision Fgrn";#N/A,#N/A,FALSE,"Frgn vs Dom"}</definedName>
    <definedName name="xcgjgy" hidden="1">{"Full-model",#N/A,FALSE,"ProForma-ASPT"}</definedName>
    <definedName name="xcvbn" hidden="1">{"Full-model",#N/A,FALSE,"ProForma-ASPT"}</definedName>
    <definedName name="xcvm" hidden="1">{"Valuation",#N/A,FALSE,"ProForma-ASPT"}</definedName>
    <definedName name="xdif_ActivateOnOpen" hidden="1">TRUE</definedName>
    <definedName name="xdif_RefreshIncludeLists" hidden="1">FALSE</definedName>
    <definedName name="xdif_RefreshOnOpen" hidden="1">FALSE</definedName>
    <definedName name="xnvhlk" hidden="1">{"Full-model",#N/A,FALSE,"ProForma-ASPT"}</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1</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[32]XREF!#REF!</definedName>
    <definedName name="XRefCopy15" hidden="1">'[32]PG Valor Residual'!#REF!</definedName>
    <definedName name="XRefCopy15Row" hidden="1">#REF!</definedName>
    <definedName name="XRefCopy16Row" hidden="1">[32]XREF!#REF!</definedName>
    <definedName name="XRefCopy17" hidden="1">#REF!</definedName>
    <definedName name="XRefCopy17Row" hidden="1">[32]XREF!#REF!</definedName>
    <definedName name="XRefCopy18" hidden="1">#REF!</definedName>
    <definedName name="XRefCopy18Row" hidden="1">#REF!</definedName>
    <definedName name="XRefCopy19" hidden="1">#REF!</definedName>
    <definedName name="XRefCopy19Row" hidden="1">#REF!</definedName>
    <definedName name="XRefCopy1Row" hidden="1">[33]XREF!$A$2:$IV$2</definedName>
    <definedName name="XRefCopy2" hidden="1">#REF!</definedName>
    <definedName name="XRefCopy20" hidden="1">#REF!</definedName>
    <definedName name="XRefCopy20Row" hidden="1">#REF!</definedName>
    <definedName name="XRefCopy21"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[34]XREF!#REF!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5" hidden="1">#REF!</definedName>
    <definedName name="XRefCopy35Row" hidden="1">#REF!</definedName>
    <definedName name="XRefCopy36" hidden="1">#REF!</definedName>
    <definedName name="XRefCopy37" hidden="1">#REF!</definedName>
    <definedName name="XRefCopy37Row" hidden="1">#REF!</definedName>
    <definedName name="XRefCopy38" hidden="1">'[35]Prueba Global'!#REF!</definedName>
    <definedName name="XRefCopy38Row" hidden="1">#REF!</definedName>
    <definedName name="XRefCopy39Row" hidden="1">#REF!</definedName>
    <definedName name="XRefCopy3Row" hidden="1">[34]XREF!#REF!</definedName>
    <definedName name="XRefCopy4" hidden="1">#REF!</definedName>
    <definedName name="XRefCopy41" hidden="1">'[35]Prueba Global'!#REF!</definedName>
    <definedName name="XRefCopy41Row" hidden="1">#REF!</definedName>
    <definedName name="XRefCopy42Row" hidden="1">#REF!</definedName>
    <definedName name="XRefCopy43Row" hidden="1">#REF!</definedName>
    <definedName name="XRefCopy47Row" hidden="1">[35]XREF!#REF!</definedName>
    <definedName name="XRefCopy4Row" hidden="1">#REF!</definedName>
    <definedName name="XRefCopy5" hidden="1">'[32]PG Valor Residual'!#REF!</definedName>
    <definedName name="XRefCopy58" hidden="1">#REF!</definedName>
    <definedName name="XRefCopy5Row" hidden="1">#REF!</definedName>
    <definedName name="XRefCopy6" hidden="1">'[32]PG Valor Residual'!#REF!</definedName>
    <definedName name="XRefCopy62" hidden="1">#REF!</definedName>
    <definedName name="XRefCopy63" hidden="1">#REF!</definedName>
    <definedName name="XRefCopy68" hidden="1">#REF!</definedName>
    <definedName name="XRefCopy6Row" hidden="1">#REF!</definedName>
    <definedName name="XRefCopy7" hidden="1">#REF!</definedName>
    <definedName name="XRefCopy70" hidden="1">#REF!</definedName>
    <definedName name="XRefCopy71" hidden="1">#REF!</definedName>
    <definedName name="XRefCopy72" hidden="1">#REF!</definedName>
    <definedName name="XRefCopy73"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1</definedName>
    <definedName name="XRefCopyRangeCount2" hidden="1">6</definedName>
    <definedName name="XRefPaste1" hidden="1">#REF!</definedName>
    <definedName name="XRefPaste10" hidden="1">'[32]Diferencia amortizacion 2001'!#REF!</definedName>
    <definedName name="XRefPaste10Row" hidden="1">#REF!</definedName>
    <definedName name="XRefPaste11" hidden="1">#REF!</definedName>
    <definedName name="XRefPaste11Row" hidden="1">#REF!</definedName>
    <definedName name="XRefPaste12" hidden="1">#REF!</definedName>
    <definedName name="XRefPaste12Row" hidden="1">[32]XREF!#REF!</definedName>
    <definedName name="XRefPaste13" hidden="1">'[32]PG Valor Residual'!#REF!</definedName>
    <definedName name="XRefPaste13Row" hidden="1">[32]XREF!#REF!</definedName>
    <definedName name="XRefPaste14" hidden="1">'[32]PG Valor Residual'!#REF!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Row" hidden="1">#REF!</definedName>
    <definedName name="XRefPaste38Row" hidden="1">#REF!</definedName>
    <definedName name="XRefPaste39Row" hidden="1">[35]XREF!#REF!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Row" hidden="1">#REF!</definedName>
    <definedName name="XRefPaste5"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1</definedName>
    <definedName name="xrttd" hidden="1">{"Total",#N/A,FALSE,"Total Proved + Probable";"PDP",#N/A,FALSE,"Total Proved + Probable";"PNP",#N/A,FALSE,"Total Proved + Probable";"PUD",#N/A,FALSE,"Total Proved + Probable";"Prob",#N/A,FALSE,"Total Proved + Probable"}</definedName>
    <definedName name="xx" hidden="1">#REF!</definedName>
    <definedName name="xxx" hidden="1">"08dde5b4-2c98-489e-b78e-a5023e07a52a"</definedName>
    <definedName name="xxxx" hidden="1">{#N/A,#N/A,FALSE,"Aging Summary";#N/A,#N/A,FALSE,"Ratio Analysis";#N/A,#N/A,FALSE,"Test 120 Day Accts";#N/A,#N/A,FALSE,"Tickmarks"}</definedName>
    <definedName name="xysz" hidden="1">{TRUE,TRUE,-1.25,-15.5,456.75,279.75,FALSE,FALSE,TRUE,TRUE,0,1,21,1,127,6,3,4,TRUE,TRUE,3,TRUE,1,TRUE,100,"Swvu.profits.","ACwvu.profits.",1,FALSE,FALSE,0.511811023622047,0.511811023622047,0.511811023622047,0.511811023622047,1,"","",FALSE,FALSE,FALSE,FALSE,1,#N/A,1,1,#DIV/0!,FALSE,"Rwvu.profits.",#N/A,FALSE,FALSE}</definedName>
    <definedName name="xzcg" hidden="1">{"Valuation",#N/A,FALSE,"ProForma-ASPT"}</definedName>
    <definedName name="YG" hidden="1">{"Full-model",#N/A,FALSE,"ProForma-ASPT"}</definedName>
    <definedName name="yhgf" hidden="1">{"Full-model",#N/A,FALSE,"ProForma-ASPT"}</definedName>
    <definedName name="yhjhj" hidden="1">{"cred comp",#N/A,FALSE,"Comparable Credit Analysis";"IS",#N/A,FALSE,"IS";"Sensitivity",#N/A,FALSE,"Sensitivity";"BS",#N/A,FALSE,"BS";"Bond Summary",#N/A,FALSE,"B Summary";"AD",#N/A,FALSE,"Accretion";"NAV",#N/A,FALSE,"NAV";"SU",#N/A,FALSE,"S&amp;U";"acq. study",#N/A,FALSE,"Acq. Study";"F Charges",#N/A,FALSE,"Fixed Charges"}</definedName>
    <definedName name="yioyi" hidden="1">{#N/A,#N/A,TRUE,"1Q BCG";#N/A,#N/A,TRUE,"1Q w|o Wireless";#N/A,#N/A,TRUE,"1Q Wireless"}</definedName>
    <definedName name="yioyio" hidden="1">{"Page1",#N/A,FALSE,"CompCo";"Page2",#N/A,FALSE,"CompCo"}</definedName>
    <definedName name="yn" hidden="1">{#N/A,#N/A,FALSE,"RD2USA1";#N/A,#N/A,FALSE,"RD2USA2";#N/A,#N/A,FALSE,"RD2USA3";#N/A,#N/A,FALSE,"RD2USAT";#N/A,#N/A,FALSE,"RD3USA1";#N/A,#N/A,FALSE,"RD3USA2";#N/A,#N/A,FALSE,"RD3USA3";#N/A,#N/A,FALSE,"RD3USAT";#N/A,#N/A,FALSE,"RD4USA"}</definedName>
    <definedName name="you" hidden="1">{#N/A,#N/A,FALSE,"34";#N/A,#N/A,FALSE,"35"}</definedName>
    <definedName name="YTF" hidden="1">{"Full-model",#N/A,FALSE,"ProForma-ASPT"}</definedName>
    <definedName name="ytgf" hidden="1">{"Valuation",#N/A,FALSE,"ProForma-ASPT"}</definedName>
    <definedName name="ytuio" hidden="1">{"Valuation",#N/A,FALSE,"ProForma-ASPT"}</definedName>
    <definedName name="yui" hidden="1">{"Total",#N/A,FALSE,"Six Fields";"PDP",#N/A,FALSE,"Six Fields";"PNP",#N/A,FALSE,"Six Fields";"PUD",#N/A,FALSE,"Six Fields";"Prob",#N/A,FALSE,"Six Fields"}</definedName>
    <definedName name="yulkui" hidden="1">{"Full-model",#N/A,FALSE,"ProForma-ASPT"}</definedName>
    <definedName name="yy" hidden="1">"AS2DocumentEdit"</definedName>
    <definedName name="Z_01844156_6462_4A28_9785_1A86F4D0C834_.wvu.PrintTitles" hidden="1">#REF!</definedName>
    <definedName name="Z_0FDEF005_6C86_11D3_B9EF_00C04F680B2A_.wvu.FilterData" hidden="1">#REF!</definedName>
    <definedName name="Z_0FDEF005_6C86_11D3_B9EF_00C04F680B2A_.wvu.PrintTitles" hidden="1">#REF!,#REF!</definedName>
    <definedName name="Z_0FDEF007_6C86_11D3_B9EF_00C04F680B2A_.wvu.Cols" hidden="1">#REF!,#REF!</definedName>
    <definedName name="Z_0FDEF007_6C86_11D3_B9EF_00C04F680B2A_.wvu.FilterData" hidden="1">#REF!</definedName>
    <definedName name="Z_0FDEF007_6C86_11D3_B9EF_00C04F680B2A_.wvu.PrintTitles" hidden="1">#REF!,#REF!</definedName>
    <definedName name="Z_37B34331_6D13_11D3_A342_0050040526C4_.wvu.Cols" hidden="1">#REF!</definedName>
    <definedName name="Z_37B34331_6D13_11D3_A342_0050040526C4_.wvu.FilterData" hidden="1">#REF!</definedName>
    <definedName name="Z_37B34331_6D13_11D3_A342_0050040526C4_.wvu.PrintTitles" hidden="1">#REF!,#REF!</definedName>
    <definedName name="Z_57A5B6D1_774C_11D3_A34A_0050040526C4_.wvu.Cols" hidden="1">#REF!</definedName>
    <definedName name="Z_57A5B6D1_774C_11D3_A34A_0050040526C4_.wvu.FilterData" hidden="1">#REF!</definedName>
    <definedName name="Z_57A5B6D1_774C_11D3_A34A_0050040526C4_.wvu.PrintTitles" hidden="1">#REF!,#REF!</definedName>
    <definedName name="Z_6B0FE324_F74E_11D4_8755_0050DA581453_.wvu.Rows" hidden="1">#REF!,#REF!,#REF!,#REF!</definedName>
    <definedName name="Z_74348A01_6D24_11D3_A342_0050040526C4_.wvu.FilterData" hidden="1">#REF!</definedName>
    <definedName name="Z_74348A01_6D24_11D3_A342_0050040526C4_.wvu.PrintTitles" hidden="1">#REF!,#REF!</definedName>
    <definedName name="Z_74E6F881_9937_11D1_87C8_444553540000_.wvu.Rows" hidden="1">[14]Inventory!#REF!,[14]Inventory!$A$37:$IV$39,[14]Inventory!#REF!,[14]Inventory!$A$40:$IV$57</definedName>
    <definedName name="Z_8C4781CD_B133_11D1_87D1_444553540000_.wvu.Rows" hidden="1">[14]Inventory!#REF!,[14]Inventory!$A$37:$IV$39,[14]Inventory!#REF!,[14]Inventory!$A$40:$IV$57</definedName>
    <definedName name="Z_8ED412BE_494E_47E0_A7A3_62D56F893861_.wvu.Cols" hidden="1">#REF!</definedName>
    <definedName name="Z_8ED412BE_494E_47E0_A7A3_62D56F893861_.wvu.PrintArea" hidden="1">#REF!</definedName>
    <definedName name="Z_BA9C77CC_B925_11D1_87D2_444553540000_.wvu.Rows" hidden="1">[14]Inventory!#REF!,[14]Inventory!$A$37:$IV$39,[14]Inventory!#REF!,[14]Inventory!$A$40:$IV$57</definedName>
    <definedName name="zdfb" hidden="1">{"Full-model",#N/A,FALSE,"ProForma-ASPT"}</definedName>
    <definedName name="zdrjxm" hidden="1">{"Valuation",#N/A,FALSE,"ProForma-ASPT"}</definedName>
    <definedName name="zero" hidden="1">#REF!,#REF!,#REF!</definedName>
    <definedName name="zxgjfky" hidden="1">{"Full-model",#N/A,FALSE,"ProForma-ASPT"}</definedName>
    <definedName name="zxnxg" hidden="1">{"Full-model",#N/A,FALSE,"ProForma-ASPT"}</definedName>
    <definedName name="zzz.com" hidden="1">{#N/A,#N/A,FALSE,"Title Page";#N/A,#N/A,FALSE,"Conclusions";#N/A,#N/A,FALSE,"Assum.";#N/A,#N/A,FALSE,"Sun  DCF-WC-Dep";#N/A,#N/A,FALSE,"MarketValue";#N/A,#N/A,FALSE,"BalSheet";#N/A,#N/A,FALSE,"WACC";#N/A,#N/A,FALSE,"PC+ Info.";#N/A,#N/A,FALSE,"PC+Info_2"}</definedName>
    <definedName name="אאא" hidden="1">{#N/A,#N/A,FALSE,"מאזן בוחן";"כל_מאזן_בוחן",#N/A,FALSE,"מאזן בוחן"}</definedName>
    <definedName name="בככ"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חח" hidden="1">{#N/A,#N/A,FALSE,"מאזן בוחן";"כל_מאזן_בוחן",#N/A,FALSE,"מאזן בוחן"}</definedName>
    <definedName name="לל" hidden="1">{#N/A,#N/A,FALSE,"מאזן בוחן";"כל_מאזן_בוחן",#N/A,FALSE,"מאזן בוחן"}</definedName>
    <definedName name="מ"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ㄱ" hidden="1">{#N/A,#N/A,FALSE,"BS";#N/A,#N/A,FALSE,"PL";#N/A,#N/A,FALSE,"처분";#N/A,#N/A,FALSE,"현금";#N/A,#N/A,FALSE,"매출";#N/A,#N/A,FALSE,"원가";#N/A,#N/A,FALSE,"경영"}</definedName>
    <definedName name="기말중점검토" hidden="1">{#N/A,#N/A,FALSE,"BS";#N/A,#N/A,FALSE,"PL";#N/A,#N/A,FALSE,"처분";#N/A,#N/A,FALSE,"현금";#N/A,#N/A,FALSE,"매출";#N/A,#N/A,FALSE,"원가";#N/A,#N/A,FALSE,"경영"}</definedName>
    <definedName name="ㄴ" hidden="1">{#N/A,#N/A,FALSE,"BS";#N/A,#N/A,FALSE,"PL";#N/A,#N/A,FALSE,"처분";#N/A,#N/A,FALSE,"현금";#N/A,#N/A,FALSE,"매출";#N/A,#N/A,FALSE,"원가";#N/A,#N/A,FALSE,"경영"}</definedName>
    <definedName name="ㄷ" hidden="1">{#N/A,#N/A,FALSE,"BS";#N/A,#N/A,FALSE,"PL";#N/A,#N/A,FALSE,"처분";#N/A,#N/A,FALSE,"현금";#N/A,#N/A,FALSE,"매출";#N/A,#N/A,FALSE,"원가";#N/A,#N/A,FALSE,"경영"}</definedName>
    <definedName name="ㄷㄷ" hidden="1">{#N/A,#N/A,FALSE,"BS";#N/A,#N/A,FALSE,"PL";#N/A,#N/A,FALSE,"처분";#N/A,#N/A,FALSE,"현금";#N/A,#N/A,FALSE,"매출";#N/A,#N/A,FALSE,"원가";#N/A,#N/A,FALSE,"경영"}</definedName>
    <definedName name="ㄹ" hidden="1">{#N/A,#N/A,FALSE,"BS";#N/A,#N/A,FALSE,"PL";#N/A,#N/A,FALSE,"처분";#N/A,#N/A,FALSE,"현금";#N/A,#N/A,FALSE,"매출";#N/A,#N/A,FALSE,"원가";#N/A,#N/A,FALSE,"경영"}</definedName>
    <definedName name="ㄹㄹ" hidden="1">{#N/A,#N/A,FALSE,"BS";#N/A,#N/A,FALSE,"PL";#N/A,#N/A,FALSE,"처분";#N/A,#N/A,FALSE,"현금";#N/A,#N/A,FALSE,"매출";#N/A,#N/A,FALSE,"원가";#N/A,#N/A,FALSE,"경영"}</definedName>
    <definedName name="ㅁ" hidden="1">{#N/A,#N/A,FALSE,"BS";#N/A,#N/A,FALSE,"PL";#N/A,#N/A,FALSE,"처분";#N/A,#N/A,FALSE,"현금";#N/A,#N/A,FALSE,"매출";#N/A,#N/A,FALSE,"원가";#N/A,#N/A,FALSE,"경영"}</definedName>
    <definedName name="ㅁㅁㅁ" hidden="1">{#N/A,#N/A,FALSE,"BS";#N/A,#N/A,FALSE,"PL";#N/A,#N/A,FALSE,"처분";#N/A,#N/A,FALSE,"현금";#N/A,#N/A,FALSE,"매출";#N/A,#N/A,FALSE,"원가";#N/A,#N/A,FALSE,"경영"}</definedName>
    <definedName name="ㅂ" hidden="1">{#N/A,#N/A,FALSE,"BS";#N/A,#N/A,FALSE,"PL";#N/A,#N/A,FALSE,"처분";#N/A,#N/A,FALSE,"현금";#N/A,#N/A,FALSE,"매출";#N/A,#N/A,FALSE,"원가";#N/A,#N/A,FALSE,"경영"}</definedName>
    <definedName name="ㅅ" hidden="1">{#N/A,#N/A,FALSE,"BS";#N/A,#N/A,FALSE,"PL";#N/A,#N/A,FALSE,"처분";#N/A,#N/A,FALSE,"현금";#N/A,#N/A,FALSE,"매출";#N/A,#N/A,FALSE,"원가";#N/A,#N/A,FALSE,"경영"}</definedName>
    <definedName name="수정" hidden="1">{#N/A,#N/A,FALSE,"BS";#N/A,#N/A,FALSE,"PL";#N/A,#N/A,FALSE,"처분";#N/A,#N/A,FALSE,"현금";#N/A,#N/A,FALSE,"매출";#N/A,#N/A,FALSE,"원가";#N/A,#N/A,FALSE,"경영"}</definedName>
    <definedName name="ㅇ" hidden="1">{#N/A,#N/A,FALSE,"BS";#N/A,#N/A,FALSE,"PL";#N/A,#N/A,FALSE,"처분";#N/A,#N/A,FALSE,"현금";#N/A,#N/A,FALSE,"매출";#N/A,#N/A,FALSE,"원가";#N/A,#N/A,FALSE,"경영"}</definedName>
    <definedName name="ㅇㅇ" hidden="1">{#N/A,#N/A,FALSE,"BS";#N/A,#N/A,FALSE,"PL";#N/A,#N/A,FALSE,"처분";#N/A,#N/A,FALSE,"현금";#N/A,#N/A,FALSE,"매출";#N/A,#N/A,FALSE,"원가";#N/A,#N/A,FALSE,"경영"}</definedName>
    <definedName name="ㅇㅇㅇ" hidden="1">{#N/A,#N/A,FALSE,"BS";#N/A,#N/A,FALSE,"PL";#N/A,#N/A,FALSE,"처분";#N/A,#N/A,FALSE,"현금";#N/A,#N/A,FALSE,"매출";#N/A,#N/A,FALSE,"원가";#N/A,#N/A,FALSE,"경영"}</definedName>
    <definedName name="안건" hidden="1">{#N/A,#N/A,FALSE,"BS";#N/A,#N/A,FALSE,"PL";#N/A,#N/A,FALSE,"처분";#N/A,#N/A,FALSE,"현금";#N/A,#N/A,FALSE,"매출";#N/A,#N/A,FALSE,"원가";#N/A,#N/A,FALSE,"경영"}</definedName>
    <definedName name="영업외비용" hidden="1">{#N/A,#N/A,FALSE,"BS";#N/A,#N/A,FALSE,"PL";#N/A,#N/A,FALSE,"처분";#N/A,#N/A,FALSE,"현금";#N/A,#N/A,FALSE,"매출";#N/A,#N/A,FALSE,"원가";#N/A,#N/A,FALSE,"경영"}</definedName>
    <definedName name="유가" hidden="1">{#N/A,#N/A,FALSE,"BS";#N/A,#N/A,FALSE,"PL";#N/A,#N/A,FALSE,"처분";#N/A,#N/A,FALSE,"현금";#N/A,#N/A,FALSE,"매출";#N/A,#N/A,FALSE,"원가";#N/A,#N/A,FALSE,"경영"}</definedName>
    <definedName name="이근우" hidden="1">{#N/A,#N/A,FALSE,"BS";#N/A,#N/A,FALSE,"PL";#N/A,#N/A,FALSE,"처분";#N/A,#N/A,FALSE,"현금";#N/A,#N/A,FALSE,"매출";#N/A,#N/A,FALSE,"원가";#N/A,#N/A,FALSE,"경영"}</definedName>
    <definedName name="임대보증금" hidden="1">{#N/A,#N/A,FALSE,"BS";#N/A,#N/A,FALSE,"PL";#N/A,#N/A,FALSE,"처분";#N/A,#N/A,FALSE,"현금";#N/A,#N/A,FALSE,"매출";#N/A,#N/A,FALSE,"원가";#N/A,#N/A,FALSE,"경영"}</definedName>
    <definedName name="ㅈ" hidden="1">{#N/A,#N/A,FALSE,"BS";#N/A,#N/A,FALSE,"PL";#N/A,#N/A,FALSE,"처분";#N/A,#N/A,FALSE,"현금";#N/A,#N/A,FALSE,"매출";#N/A,#N/A,FALSE,"원가";#N/A,#N/A,FALSE,"경영"}</definedName>
    <definedName name="작성조서"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점검토" hidden="1">{#N/A,#N/A,FALSE,"BS";#N/A,#N/A,FALSE,"PL";#N/A,#N/A,FALSE,"처분";#N/A,#N/A,FALSE,"현금";#N/A,#N/A,FALSE,"매출";#N/A,#N/A,FALSE,"원가";#N/A,#N/A,FALSE,"경영"}</definedName>
    <definedName name="ㅊ" hidden="1">{#N/A,#N/A,FALSE,"BS";#N/A,#N/A,FALSE,"PL";#N/A,#N/A,FALSE,"처분";#N/A,#N/A,FALSE,"현금";#N/A,#N/A,FALSE,"매출";#N/A,#N/A,FALSE,"원가";#N/A,#N/A,FALSE,"경영"}</definedName>
    <definedName name="ㅋ" hidden="1">{#N/A,#N/A,FALSE,"BS";#N/A,#N/A,FALSE,"PL";#N/A,#N/A,FALSE,"처분";#N/A,#N/A,FALSE,"현금";#N/A,#N/A,FALSE,"매출";#N/A,#N/A,FALSE,"원가";#N/A,#N/A,FALSE,"경영"}</definedName>
    <definedName name="ㅌ" hidden="1">{#N/A,#N/A,FALSE,"BS";#N/A,#N/A,FALSE,"PL";#N/A,#N/A,FALSE,"처분";#N/A,#N/A,FALSE,"현금";#N/A,#N/A,FALSE,"매출";#N/A,#N/A,FALSE,"원가";#N/A,#N/A,FALSE,"경영"}</definedName>
    <definedName name="ㅎ" hidden="1">{#N/A,#N/A,FALSE,"BS";#N/A,#N/A,FALSE,"PL";#N/A,#N/A,FALSE,"처분";#N/A,#N/A,FALSE,"현금";#N/A,#N/A,FALSE,"매출";#N/A,#N/A,FALSE,"원가";#N/A,#N/A,FALSE,"경영"}</definedName>
    <definedName name="ㅎㅎ" hidden="1">{#N/A,#N/A,FALSE,"BS";#N/A,#N/A,FALSE,"PL";#N/A,#N/A,FALSE,"처분";#N/A,#N/A,FALSE,"현금";#N/A,#N/A,FALSE,"매출";#N/A,#N/A,FALSE,"원가";#N/A,#N/A,FALSE,"경영"}</definedName>
    <definedName name="ㅎㅎㅎㅎ" hidden="1">{#N/A,#N/A,FALSE,"BS";#N/A,#N/A,FALSE,"PL";#N/A,#N/A,FALSE,"처분";#N/A,#N/A,FALSE,"현금";#N/A,#N/A,FALSE,"매출";#N/A,#N/A,FALSE,"원가";#N/A,#N/A,FALSE,"경영"}</definedName>
    <definedName name="현작성조서" hidden="1">{#N/A,#N/A,FALSE,"BS";#N/A,#N/A,FALSE,"PL";#N/A,#N/A,FALSE,"처분";#N/A,#N/A,FALSE,"현금";#N/A,#N/A,FALSE,"매출";#N/A,#N/A,FALSE,"원가";#N/A,#N/A,FALSE,"경영"}</definedName>
    <definedName name="흐름" hidden="1">{#N/A,#N/A,FALSE,"BS";#N/A,#N/A,FALSE,"PL";#N/A,#N/A,FALSE,"처분";#N/A,#N/A,FALSE,"현금";#N/A,#N/A,FALSE,"매출";#N/A,#N/A,FALSE,"원가";#N/A,#N/A,FALSE,"경영"}</definedName>
    <definedName name="ㅏ" hidden="1">{#N/A,#N/A,FALSE,"BS";#N/A,#N/A,FALSE,"PL";#N/A,#N/A,FALSE,"처분";#N/A,#N/A,FALSE,"현금";#N/A,#N/A,FALSE,"매출";#N/A,#N/A,FALSE,"원가";#N/A,#N/A,FALSE,"경영"}</definedName>
    <definedName name="ㅓ" hidden="1">{#N/A,#N/A,FALSE,"BS";#N/A,#N/A,FALSE,"PL";#N/A,#N/A,FALSE,"처분";#N/A,#N/A,FALSE,"현금";#N/A,#N/A,FALSE,"매출";#N/A,#N/A,FALSE,"원가";#N/A,#N/A,FALSE,"경영"}</definedName>
    <definedName name="ㅕ" hidden="1">{#N/A,#N/A,FALSE,"BS";#N/A,#N/A,FALSE,"PL";#N/A,#N/A,FALSE,"처분";#N/A,#N/A,FALSE,"현금";#N/A,#N/A,FALSE,"매출";#N/A,#N/A,FALSE,"원가";#N/A,#N/A,FALSE,"경영"}</definedName>
    <definedName name="ㅗ" hidden="1">{#N/A,#N/A,FALSE,"BS";#N/A,#N/A,FALSE,"PL";#N/A,#N/A,FALSE,"처분";#N/A,#N/A,FALSE,"현금";#N/A,#N/A,FALSE,"매출";#N/A,#N/A,FALSE,"원가";#N/A,#N/A,FALSE,"경영"}</definedName>
    <definedName name="ㅛ" hidden="1">{#N/A,#N/A,FALSE,"BS";#N/A,#N/A,FALSE,"PL";#N/A,#N/A,FALSE,"처분";#N/A,#N/A,FALSE,"현금";#N/A,#N/A,FALSE,"매출";#N/A,#N/A,FALSE,"원가";#N/A,#N/A,FALSE,"경영"}</definedName>
    <definedName name="ㅣㅣㅣㅣ" hidden="1">{#N/A,#N/A,FALSE,"BS";#N/A,#N/A,FALSE,"PL";#N/A,#N/A,FALSE,"처분";#N/A,#N/A,FALSE,"현금";#N/A,#N/A,FALSE,"매출";#N/A,#N/A,FALSE,"원가";#N/A,#N/A,FALSE,"경영"}</definedName>
    <definedName name="本数" hidden="1">{"表紙",#N/A,FALSE,"店別収支";"収支",#N/A,FALSE,"店別収支";"店舗別",#N/A,FALSE,"店別収支"}</definedName>
  </definedNames>
  <calcPr calcId="191029" iterate="1"/>
  <customWorkbookViews>
    <customWorkbookView name="turnover (Metrics &amp; Stats)" guid="{A1DCBF65-CA11-4B05-9A5E-48F20BC7C067}" maximized="1" xWindow="2" yWindow="5" windowWidth="599" windowHeight="341" tabRatio="836" activeSheetId="19"/>
    <customWorkbookView name="profits (Metrics &amp; Stats)" guid="{C02E0C19-51CE-4390-9CE3-53BB4A1BDF48}" maximized="1" xWindow="2" yWindow="5" windowWidth="599" windowHeight="341" tabRatio="836" activeSheetId="19"/>
    <customWorkbookView name="cash (Metrics &amp; Stats)" guid="{D44F2585-A269-437B-8997-69E720A4CA1A}" maximized="1" xWindow="2" yWindow="5" windowWidth="599" windowHeight="341" tabRatio="836" activeSheetId="19"/>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N21" i="148" l="1"/>
  <c r="EN18" i="148"/>
  <c r="EN17" i="148"/>
  <c r="DP198" i="7"/>
  <c r="DP191" i="7"/>
  <c r="DP192" i="7" s="1"/>
  <c r="DP163" i="7"/>
  <c r="DP162" i="7"/>
  <c r="DP160" i="7"/>
  <c r="DP159" i="7"/>
  <c r="DP158" i="7"/>
  <c r="DO163" i="7"/>
  <c r="DO162" i="7"/>
  <c r="DO160" i="7"/>
  <c r="DO159" i="7"/>
  <c r="DO158" i="7"/>
  <c r="DN163" i="7"/>
  <c r="DN162" i="7"/>
  <c r="DN160" i="7"/>
  <c r="DN159" i="7"/>
  <c r="DN158" i="7"/>
  <c r="DP143" i="7"/>
  <c r="DP146" i="7" s="1"/>
  <c r="EN14" i="148"/>
  <c r="EN13" i="148"/>
  <c r="EU155" i="82" l="1"/>
  <c r="EU153" i="82"/>
  <c r="EU121" i="82"/>
  <c r="EU85" i="82"/>
  <c r="EU83" i="82"/>
  <c r="DV96" i="7"/>
  <c r="DV94" i="7"/>
  <c r="DW104" i="3"/>
  <c r="EN153" i="1"/>
  <c r="EI8" i="148"/>
  <c r="EI10" i="148" s="1"/>
  <c r="ET104" i="1"/>
  <c r="ES104" i="1"/>
  <c r="ER104" i="1"/>
  <c r="EQ104" i="1"/>
  <c r="ET98" i="1"/>
  <c r="ES98" i="1"/>
  <c r="ER98" i="1"/>
  <c r="EQ98" i="1"/>
  <c r="ET128" i="2"/>
  <c r="ES128" i="2"/>
  <c r="ER128" i="2"/>
  <c r="EQ128" i="2"/>
  <c r="ET125" i="2"/>
  <c r="ES125" i="2"/>
  <c r="ER125" i="2"/>
  <c r="EQ125" i="2"/>
  <c r="ET122" i="2"/>
  <c r="ES122" i="2"/>
  <c r="ER122" i="2"/>
  <c r="EQ122" i="2"/>
  <c r="ET119" i="2"/>
  <c r="ES119" i="2"/>
  <c r="ER119" i="2"/>
  <c r="EQ119" i="2"/>
  <c r="ET116" i="2"/>
  <c r="ES116" i="2"/>
  <c r="ER116" i="2"/>
  <c r="EQ116" i="2"/>
  <c r="EV34" i="2"/>
  <c r="DP17" i="3"/>
  <c r="EN264" i="2"/>
  <c r="EN10" i="148"/>
  <c r="EH8" i="148"/>
  <c r="EL8" i="148"/>
  <c r="EN23" i="2"/>
  <c r="DX101" i="3"/>
  <c r="DP236" i="7"/>
  <c r="DO236" i="7"/>
  <c r="DP171" i="7"/>
  <c r="DP169" i="7"/>
  <c r="DP101" i="7"/>
  <c r="DP99" i="7"/>
  <c r="DP97" i="7"/>
  <c r="DP95" i="7"/>
  <c r="DP93" i="7"/>
  <c r="DP90" i="7"/>
  <c r="DP86" i="7"/>
  <c r="DP84" i="7"/>
  <c r="DP81" i="7"/>
  <c r="DP72" i="7"/>
  <c r="DP60" i="7"/>
  <c r="DP38" i="7"/>
  <c r="DP106" i="3"/>
  <c r="DP98" i="3"/>
  <c r="DP73" i="3"/>
  <c r="DP168" i="7" s="1"/>
  <c r="DP66" i="3"/>
  <c r="DP18" i="3" s="1"/>
  <c r="DP105" i="7" s="1"/>
  <c r="DP46" i="3"/>
  <c r="DP32" i="3"/>
  <c r="EN119" i="82"/>
  <c r="EN45" i="82" s="1"/>
  <c r="EN118" i="82"/>
  <c r="EN82" i="82"/>
  <c r="EN47" i="82"/>
  <c r="EN44" i="82"/>
  <c r="EN12" i="82"/>
  <c r="EN149" i="82" s="1"/>
  <c r="EN11" i="82"/>
  <c r="EN115" i="82" s="1"/>
  <c r="EN10" i="82"/>
  <c r="EN80" i="82" s="1"/>
  <c r="EN330" i="1"/>
  <c r="EN320" i="1"/>
  <c r="EN319" i="1"/>
  <c r="EN318" i="1"/>
  <c r="EN288" i="1"/>
  <c r="EN306" i="1" s="1"/>
  <c r="EN264" i="1"/>
  <c r="EN268" i="1" s="1"/>
  <c r="EN240" i="1"/>
  <c r="EN258" i="1" s="1"/>
  <c r="EN214" i="1"/>
  <c r="EN201" i="1"/>
  <c r="EN290" i="1" s="1"/>
  <c r="EN199" i="1"/>
  <c r="EN289" i="1" s="1"/>
  <c r="EN195" i="1"/>
  <c r="EN266" i="1" s="1"/>
  <c r="EN193" i="1"/>
  <c r="EN265" i="1" s="1"/>
  <c r="EN189" i="1"/>
  <c r="EN242" i="1" s="1"/>
  <c r="EN187" i="1"/>
  <c r="EN241" i="1" s="1"/>
  <c r="EN184" i="1"/>
  <c r="EN179" i="1"/>
  <c r="EN196" i="1" s="1"/>
  <c r="EN124" i="1"/>
  <c r="EN110" i="1"/>
  <c r="EN106" i="1"/>
  <c r="EN98" i="1"/>
  <c r="EN97" i="1"/>
  <c r="EN90" i="1"/>
  <c r="EN99" i="1" s="1"/>
  <c r="EN66" i="1"/>
  <c r="EN65" i="1"/>
  <c r="EN62" i="1"/>
  <c r="EN58" i="1"/>
  <c r="EN48" i="1"/>
  <c r="EN44" i="1"/>
  <c r="EN34" i="1"/>
  <c r="EN30" i="1"/>
  <c r="EN22" i="1"/>
  <c r="EN36" i="1" s="1"/>
  <c r="EN107" i="1" s="1"/>
  <c r="EN20" i="1"/>
  <c r="EN16" i="1"/>
  <c r="EN101" i="1" s="1"/>
  <c r="EN13" i="1"/>
  <c r="EN9" i="1"/>
  <c r="EN92" i="1" s="1"/>
  <c r="EN198" i="2"/>
  <c r="EN199" i="2" s="1"/>
  <c r="EN187" i="2"/>
  <c r="EN92" i="2"/>
  <c r="EN90" i="2"/>
  <c r="EN89" i="2"/>
  <c r="EN75" i="2"/>
  <c r="EN67" i="2"/>
  <c r="EN66" i="2"/>
  <c r="EN59" i="2"/>
  <c r="EN56" i="2"/>
  <c r="EN209" i="2" s="1"/>
  <c r="EN52" i="2"/>
  <c r="EN47" i="2"/>
  <c r="EN46" i="2"/>
  <c r="EN41" i="2"/>
  <c r="EZ120" i="39"/>
  <c r="EZ78" i="39"/>
  <c r="EZ32" i="39"/>
  <c r="EY138" i="39"/>
  <c r="EX138" i="39"/>
  <c r="EW138" i="39"/>
  <c r="EV138" i="39"/>
  <c r="EY137" i="39"/>
  <c r="EX137" i="39"/>
  <c r="EW137" i="39"/>
  <c r="EV137" i="39"/>
  <c r="EY136" i="39"/>
  <c r="EX136" i="39"/>
  <c r="EW136" i="39"/>
  <c r="EV136" i="39"/>
  <c r="ET138" i="39"/>
  <c r="ES138" i="39"/>
  <c r="ER138" i="39"/>
  <c r="EQ138" i="39"/>
  <c r="ET137" i="39"/>
  <c r="ES137" i="39"/>
  <c r="ER137" i="39"/>
  <c r="EQ137" i="39"/>
  <c r="ET136" i="39"/>
  <c r="ES136" i="39"/>
  <c r="ER136" i="39"/>
  <c r="EQ136" i="39"/>
  <c r="ET6" i="39"/>
  <c r="ES6" i="39"/>
  <c r="ER6" i="39"/>
  <c r="EQ6" i="39"/>
  <c r="EN91" i="2" l="1"/>
  <c r="DP50" i="7"/>
  <c r="DP62" i="7" s="1"/>
  <c r="EN84" i="82"/>
  <c r="EN86" i="82" s="1"/>
  <c r="EN244" i="1"/>
  <c r="EN30" i="82"/>
  <c r="EN154" i="1"/>
  <c r="EN155" i="1" s="1"/>
  <c r="EN26" i="2"/>
  <c r="EN68" i="2"/>
  <c r="EN328" i="1"/>
  <c r="DP76" i="7"/>
  <c r="DP103" i="7"/>
  <c r="DP102" i="7" s="1"/>
  <c r="DP88" i="7"/>
  <c r="DP87" i="7" s="1"/>
  <c r="DP15" i="3"/>
  <c r="EN120" i="82"/>
  <c r="EN122" i="82" s="1"/>
  <c r="EN27" i="82"/>
  <c r="EN115" i="1"/>
  <c r="DP70" i="3"/>
  <c r="DP81" i="3"/>
  <c r="EN110" i="82"/>
  <c r="EN46" i="82"/>
  <c r="EN48" i="82" s="1"/>
  <c r="EN112" i="82"/>
  <c r="EN144" i="82"/>
  <c r="EN116" i="82"/>
  <c r="EN81" i="82"/>
  <c r="EN282" i="1"/>
  <c r="EN229" i="1" s="1"/>
  <c r="EN202" i="1"/>
  <c r="EN190" i="1"/>
  <c r="EN292" i="1"/>
  <c r="EN212" i="1" s="1"/>
  <c r="EN204" i="1"/>
  <c r="EN102" i="1"/>
  <c r="EN118" i="1"/>
  <c r="EN93" i="1"/>
  <c r="EN50" i="1"/>
  <c r="EN9" i="82" s="1"/>
  <c r="EN200" i="2"/>
  <c r="DP100" i="7" l="1"/>
  <c r="DU100" i="7" s="1"/>
  <c r="DP85" i="7"/>
  <c r="DU85" i="7" s="1"/>
  <c r="EN146" i="82"/>
  <c r="EN24" i="82"/>
  <c r="EN40" i="82"/>
  <c r="EN74" i="82" s="1"/>
  <c r="EN13" i="82"/>
  <c r="EN14" i="82" s="1"/>
  <c r="EN141" i="82"/>
  <c r="EN105" i="82"/>
  <c r="EN213" i="1"/>
  <c r="EN121" i="1"/>
  <c r="EN69" i="1"/>
  <c r="EN170" i="1" s="1"/>
  <c r="EN208" i="1" l="1"/>
  <c r="EN216" i="1" s="1"/>
  <c r="EN183" i="1"/>
  <c r="EN203" i="1"/>
  <c r="EN175" i="1"/>
  <c r="EN191" i="1"/>
  <c r="EN325" i="1"/>
  <c r="EN197" i="1"/>
  <c r="EN77" i="82"/>
  <c r="EN75" i="82"/>
  <c r="EN127" i="1"/>
  <c r="EN85" i="1"/>
  <c r="EN84" i="1"/>
  <c r="EN7" i="2"/>
  <c r="EN82" i="1"/>
  <c r="EN86" i="1"/>
  <c r="EN79" i="1"/>
  <c r="EN80" i="1"/>
  <c r="EN78" i="1"/>
  <c r="EN178" i="1" l="1"/>
  <c r="DP76" i="3"/>
  <c r="DP72" i="3"/>
  <c r="EN225" i="1"/>
  <c r="EN234" i="1"/>
  <c r="EN136" i="1"/>
  <c r="EN133" i="1"/>
  <c r="EN134" i="1"/>
  <c r="EN137" i="2"/>
  <c r="EN146" i="2"/>
  <c r="EN140" i="2"/>
  <c r="EN143" i="2"/>
  <c r="EN81" i="1"/>
  <c r="EN83" i="1" s="1"/>
  <c r="EN87" i="1" s="1"/>
  <c r="EN135" i="1" l="1"/>
  <c r="EN137" i="1" s="1"/>
  <c r="AF330" i="113" l="1"/>
  <c r="AF328" i="113"/>
  <c r="AF298" i="113"/>
  <c r="AF257" i="113"/>
  <c r="AF255" i="113"/>
  <c r="AF171" i="113"/>
  <c r="AF170" i="113"/>
  <c r="AF122" i="113"/>
  <c r="AF76" i="113"/>
  <c r="AF24" i="113"/>
  <c r="AF336" i="113" s="1"/>
  <c r="AF6" i="113"/>
  <c r="EA6" i="7"/>
  <c r="EA202" i="7" s="1"/>
  <c r="DW170" i="7"/>
  <c r="DW6" i="7"/>
  <c r="DW202" i="7" s="1"/>
  <c r="DU87" i="7"/>
  <c r="DV6" i="7"/>
  <c r="DV78" i="7" s="1"/>
  <c r="DU6" i="7"/>
  <c r="DU78" i="7" s="1"/>
  <c r="DT6" i="7"/>
  <c r="DT202" i="7" s="1"/>
  <c r="DS6" i="7"/>
  <c r="DS202" i="7" s="1"/>
  <c r="EA17" i="3"/>
  <c r="EA6" i="3"/>
  <c r="EA56" i="3" s="1"/>
  <c r="DW69" i="3"/>
  <c r="DW60" i="3"/>
  <c r="DW48" i="3"/>
  <c r="DW45" i="3"/>
  <c r="DW43" i="3"/>
  <c r="DW42" i="3"/>
  <c r="DW41" i="3"/>
  <c r="DW37" i="3"/>
  <c r="DW36" i="3"/>
  <c r="DW35" i="3"/>
  <c r="DW31" i="3"/>
  <c r="DW30" i="3"/>
  <c r="DW29" i="3"/>
  <c r="DW28" i="3"/>
  <c r="DW27" i="3"/>
  <c r="DW26" i="3"/>
  <c r="DW25" i="3"/>
  <c r="DW24" i="3"/>
  <c r="DW16" i="3"/>
  <c r="DW14" i="3"/>
  <c r="DW12" i="3"/>
  <c r="DW6" i="3"/>
  <c r="DW56" i="3" s="1"/>
  <c r="DV108" i="3"/>
  <c r="DU108" i="3"/>
  <c r="DT108" i="3"/>
  <c r="DV102" i="3"/>
  <c r="DU102" i="3"/>
  <c r="DT102" i="3"/>
  <c r="DS102" i="3"/>
  <c r="DV99" i="3"/>
  <c r="DU99" i="3"/>
  <c r="DV39" i="3"/>
  <c r="DU39" i="3"/>
  <c r="DT39" i="3"/>
  <c r="DS39" i="3"/>
  <c r="DV17" i="3"/>
  <c r="DU17" i="3"/>
  <c r="DT17" i="3"/>
  <c r="DS17" i="3"/>
  <c r="DV6" i="3"/>
  <c r="DV56" i="3" s="1"/>
  <c r="DU6" i="3"/>
  <c r="DU56" i="3" s="1"/>
  <c r="DT6" i="3"/>
  <c r="DT56" i="3" s="1"/>
  <c r="DS6" i="3"/>
  <c r="DS56" i="3" s="1"/>
  <c r="EY415" i="82"/>
  <c r="EY413" i="82"/>
  <c r="EY412" i="82"/>
  <c r="EY410" i="82"/>
  <c r="EY407" i="82"/>
  <c r="EY406" i="82"/>
  <c r="EY405" i="82"/>
  <c r="EY404" i="82"/>
  <c r="EY402" i="82"/>
  <c r="EY401" i="82"/>
  <c r="EY400" i="82"/>
  <c r="EY399" i="82"/>
  <c r="EY398" i="82"/>
  <c r="EY381" i="82"/>
  <c r="EY380" i="82"/>
  <c r="EY379" i="82"/>
  <c r="EY378" i="82"/>
  <c r="EY376" i="82"/>
  <c r="EY375" i="82"/>
  <c r="EY374" i="82"/>
  <c r="EY373" i="82"/>
  <c r="EY372" i="82"/>
  <c r="EY371" i="82"/>
  <c r="EY370" i="82"/>
  <c r="EY181" i="82"/>
  <c r="EY164" i="82"/>
  <c r="EY151" i="82"/>
  <c r="EY119" i="82"/>
  <c r="AF296" i="113" s="1"/>
  <c r="EY111" i="82"/>
  <c r="EY76" i="82"/>
  <c r="EY6" i="82"/>
  <c r="EU6" i="82"/>
  <c r="EU370" i="82"/>
  <c r="EU371" i="82"/>
  <c r="EU372" i="82"/>
  <c r="EU373" i="82"/>
  <c r="EU374" i="82"/>
  <c r="EU375" i="82"/>
  <c r="EU376" i="82"/>
  <c r="EU378" i="82"/>
  <c r="EU379" i="82"/>
  <c r="EU380" i="82"/>
  <c r="EU381" i="82"/>
  <c r="EU398" i="82"/>
  <c r="EU399" i="82"/>
  <c r="EU400" i="82"/>
  <c r="EU401" i="82"/>
  <c r="EU402" i="82"/>
  <c r="EU404" i="82"/>
  <c r="EU405" i="82"/>
  <c r="EU406" i="82"/>
  <c r="EU407" i="82"/>
  <c r="EU410" i="82"/>
  <c r="EU412" i="82"/>
  <c r="EU413" i="82"/>
  <c r="EU415" i="82"/>
  <c r="ET181" i="82"/>
  <c r="ES181" i="82"/>
  <c r="ER181" i="82"/>
  <c r="EQ181" i="82"/>
  <c r="ET164" i="82"/>
  <c r="ET151" i="82"/>
  <c r="ES151" i="82"/>
  <c r="ER151" i="82"/>
  <c r="EQ151" i="82"/>
  <c r="ET119" i="82"/>
  <c r="ES119" i="82"/>
  <c r="ER119" i="82"/>
  <c r="EQ119" i="82"/>
  <c r="ET111" i="82"/>
  <c r="ES111" i="82"/>
  <c r="ET76" i="82"/>
  <c r="ES76" i="82"/>
  <c r="ET6" i="82"/>
  <c r="ES6" i="82"/>
  <c r="ER6" i="82"/>
  <c r="EQ6" i="82"/>
  <c r="EY289" i="1"/>
  <c r="EY265" i="1"/>
  <c r="EY279" i="1" s="1"/>
  <c r="EY241" i="1"/>
  <c r="EY256" i="1" s="1"/>
  <c r="EY200" i="1"/>
  <c r="EY194" i="1"/>
  <c r="EY188" i="1"/>
  <c r="EY97" i="1"/>
  <c r="EY6" i="1"/>
  <c r="EY238" i="1" s="1"/>
  <c r="EU6" i="1"/>
  <c r="EU168" i="1" s="1"/>
  <c r="ET321" i="1"/>
  <c r="ES321" i="1"/>
  <c r="ET200" i="1"/>
  <c r="ES200" i="1"/>
  <c r="ER200" i="1"/>
  <c r="EQ200" i="1"/>
  <c r="ET194" i="1"/>
  <c r="ES194" i="1"/>
  <c r="ER194" i="1"/>
  <c r="EQ194" i="1"/>
  <c r="ET188" i="1"/>
  <c r="ES188" i="1"/>
  <c r="ER188" i="1"/>
  <c r="EQ188" i="1"/>
  <c r="ES175" i="1"/>
  <c r="ET103" i="1"/>
  <c r="ES103" i="1"/>
  <c r="ET97" i="1"/>
  <c r="ES97" i="1"/>
  <c r="ER97" i="1"/>
  <c r="EQ97" i="1"/>
  <c r="ER60" i="1"/>
  <c r="EQ60" i="1"/>
  <c r="ER46" i="1"/>
  <c r="EQ46" i="1"/>
  <c r="ER32" i="1"/>
  <c r="EQ32" i="1"/>
  <c r="ER18" i="1"/>
  <c r="EQ18" i="1"/>
  <c r="ER11" i="1"/>
  <c r="EQ11" i="1"/>
  <c r="ET6" i="1"/>
  <c r="ET312" i="1" s="1"/>
  <c r="ES6" i="1"/>
  <c r="ER6" i="1"/>
  <c r="EQ6" i="1"/>
  <c r="EQ312" i="1" s="1"/>
  <c r="EY336" i="2"/>
  <c r="EY320" i="2"/>
  <c r="EY316" i="2"/>
  <c r="EY258" i="2"/>
  <c r="EY319" i="2" s="1"/>
  <c r="EY251" i="2"/>
  <c r="EY318" i="2" s="1"/>
  <c r="EY225" i="2"/>
  <c r="EY127" i="2"/>
  <c r="EY124" i="2"/>
  <c r="EY121" i="2"/>
  <c r="EY118" i="2"/>
  <c r="EY115" i="2"/>
  <c r="EY59" i="2"/>
  <c r="EY41" i="2"/>
  <c r="EU336" i="2"/>
  <c r="EU272" i="2"/>
  <c r="EU271" i="2"/>
  <c r="EU270" i="2"/>
  <c r="EU269" i="2"/>
  <c r="EU266" i="2"/>
  <c r="EU265" i="2"/>
  <c r="EU261" i="2"/>
  <c r="EU316" i="2" s="1"/>
  <c r="EU257" i="2"/>
  <c r="EU256" i="2"/>
  <c r="EU255" i="2"/>
  <c r="EU254" i="2"/>
  <c r="EU250" i="2"/>
  <c r="EU249" i="2"/>
  <c r="EU248" i="2"/>
  <c r="EU247" i="2"/>
  <c r="EU246" i="2"/>
  <c r="EU231" i="2"/>
  <c r="EU197" i="2"/>
  <c r="EU196" i="2"/>
  <c r="EU195" i="2"/>
  <c r="EU194" i="2"/>
  <c r="EU193" i="2"/>
  <c r="EU192" i="2"/>
  <c r="EU59" i="2"/>
  <c r="EU31" i="2"/>
  <c r="EU25" i="2"/>
  <c r="ET316" i="2"/>
  <c r="ES316" i="2"/>
  <c r="ER316" i="2"/>
  <c r="EQ316" i="2"/>
  <c r="ES264" i="2"/>
  <c r="ES320" i="2" s="1"/>
  <c r="ET258" i="2"/>
  <c r="ET319" i="2" s="1"/>
  <c r="ES258" i="2"/>
  <c r="ES319" i="2" s="1"/>
  <c r="ER258" i="2"/>
  <c r="ER319" i="2" s="1"/>
  <c r="EQ258" i="2"/>
  <c r="EQ319" i="2" s="1"/>
  <c r="ET251" i="2"/>
  <c r="ET318" i="2" s="1"/>
  <c r="ES251" i="2"/>
  <c r="ES318" i="2" s="1"/>
  <c r="ER251" i="2"/>
  <c r="ER318" i="2" s="1"/>
  <c r="EQ251" i="2"/>
  <c r="EQ318" i="2" s="1"/>
  <c r="ET225" i="2"/>
  <c r="ES225" i="2"/>
  <c r="ER225" i="2"/>
  <c r="EQ225" i="2"/>
  <c r="ET127" i="2"/>
  <c r="ET124" i="2"/>
  <c r="ET121" i="2"/>
  <c r="ET118" i="2"/>
  <c r="ET115" i="2"/>
  <c r="ET59" i="2"/>
  <c r="ES59" i="2"/>
  <c r="ER59" i="2"/>
  <c r="EQ59" i="2"/>
  <c r="ET41" i="2"/>
  <c r="ET264" i="2"/>
  <c r="ET320" i="2" s="1"/>
  <c r="ER264" i="2"/>
  <c r="ER320" i="2" s="1"/>
  <c r="EQ264" i="2"/>
  <c r="EQ320" i="2" s="1"/>
  <c r="F94" i="112"/>
  <c r="W56" i="112" s="1"/>
  <c r="F88" i="112"/>
  <c r="W54" i="112" s="1"/>
  <c r="F80" i="112"/>
  <c r="W52" i="112" s="1"/>
  <c r="F74" i="112"/>
  <c r="F102" i="112" s="1"/>
  <c r="C74" i="112"/>
  <c r="C90" i="112" s="1"/>
  <c r="D74" i="112"/>
  <c r="D82" i="112" s="1"/>
  <c r="C80" i="112"/>
  <c r="D80" i="112"/>
  <c r="C88" i="112"/>
  <c r="D88" i="112"/>
  <c r="C94" i="112"/>
  <c r="D94" i="112"/>
  <c r="EU6" i="148"/>
  <c r="O6" i="15"/>
  <c r="FC120" i="39"/>
  <c r="FC121" i="39" s="1"/>
  <c r="FC78" i="39"/>
  <c r="FC79" i="39" s="1"/>
  <c r="FC32" i="39"/>
  <c r="FC33" i="39" s="1"/>
  <c r="FC6" i="39"/>
  <c r="EV9" i="39"/>
  <c r="EW9" i="39" s="1"/>
  <c r="FF64" i="39"/>
  <c r="FF63" i="39"/>
  <c r="FF108" i="39"/>
  <c r="FF18" i="39"/>
  <c r="FF62" i="39"/>
  <c r="FF61" i="39"/>
  <c r="FF20" i="39"/>
  <c r="FF59" i="39"/>
  <c r="FF17" i="39"/>
  <c r="FF105" i="39"/>
  <c r="FF107" i="39"/>
  <c r="FF60" i="39"/>
  <c r="FF106" i="39"/>
  <c r="FF19" i="39"/>
  <c r="EU238" i="1" l="1"/>
  <c r="D102" i="112"/>
  <c r="EU151" i="82"/>
  <c r="EU119" i="82"/>
  <c r="EU312" i="1"/>
  <c r="DS78" i="7"/>
  <c r="DT78" i="7"/>
  <c r="DW39" i="3"/>
  <c r="DW98" i="3" s="1"/>
  <c r="DW102" i="3"/>
  <c r="DW17" i="3"/>
  <c r="DW78" i="7"/>
  <c r="EU206" i="1"/>
  <c r="EU251" i="2"/>
  <c r="EU318" i="2" s="1"/>
  <c r="EU181" i="82"/>
  <c r="DU202" i="7"/>
  <c r="EA78" i="7"/>
  <c r="DV202" i="7"/>
  <c r="EU264" i="2"/>
  <c r="EU320" i="2" s="1"/>
  <c r="EU225" i="2"/>
  <c r="EU139" i="1"/>
  <c r="EY139" i="1"/>
  <c r="EY303" i="1"/>
  <c r="AF127" i="113"/>
  <c r="AF149" i="113" s="1"/>
  <c r="C102" i="112"/>
  <c r="C96" i="112"/>
  <c r="D108" i="112"/>
  <c r="C108" i="112"/>
  <c r="C82" i="112"/>
  <c r="EY168" i="1"/>
  <c r="EY304" i="1"/>
  <c r="EY312" i="1"/>
  <c r="EY280" i="1"/>
  <c r="EY206" i="1"/>
  <c r="EY255" i="1"/>
  <c r="ER238" i="1"/>
  <c r="ER168" i="1"/>
  <c r="ER312" i="1"/>
  <c r="ER206" i="1"/>
  <c r="ER139" i="1"/>
  <c r="ES238" i="1"/>
  <c r="ES168" i="1"/>
  <c r="ES312" i="1"/>
  <c r="ES206" i="1"/>
  <c r="ES139" i="1"/>
  <c r="ET139" i="1"/>
  <c r="ET206" i="1"/>
  <c r="EQ168" i="1"/>
  <c r="EQ238" i="1"/>
  <c r="ET238" i="1"/>
  <c r="ET168" i="1"/>
  <c r="EQ139" i="1"/>
  <c r="EQ206" i="1"/>
  <c r="EU258" i="2"/>
  <c r="EU319" i="2" s="1"/>
  <c r="ER41" i="2"/>
  <c r="ES41" i="2"/>
  <c r="EQ41" i="2"/>
  <c r="D90" i="112"/>
  <c r="D96" i="112"/>
  <c r="F96" i="112"/>
  <c r="F108" i="112"/>
  <c r="F90" i="112"/>
  <c r="F82" i="112"/>
  <c r="EX9" i="39"/>
  <c r="AF5" i="113"/>
  <c r="EU41" i="2" l="1"/>
  <c r="DW101" i="3"/>
  <c r="EY9" i="39"/>
  <c r="BX319" i="2" l="1"/>
  <c r="BX328" i="2" s="1"/>
  <c r="BW319" i="2"/>
  <c r="BV319" i="2"/>
  <c r="BU319" i="2"/>
  <c r="BT319" i="2"/>
  <c r="BX318" i="2"/>
  <c r="BX327" i="2" s="1"/>
  <c r="BW318" i="2"/>
  <c r="BV318" i="2"/>
  <c r="BU318" i="2"/>
  <c r="BT318" i="2"/>
  <c r="BX316" i="2"/>
  <c r="BX325" i="2" s="1"/>
  <c r="BW316" i="2"/>
  <c r="BV316" i="2"/>
  <c r="BU316" i="2"/>
  <c r="BT316" i="2"/>
  <c r="BX264" i="2"/>
  <c r="BX320" i="2" s="1"/>
  <c r="BX329" i="2" s="1"/>
  <c r="BW264" i="2"/>
  <c r="BW320" i="2" s="1"/>
  <c r="BV264" i="2"/>
  <c r="BV320" i="2" s="1"/>
  <c r="BU264" i="2"/>
  <c r="BU320" i="2" s="1"/>
  <c r="BT264" i="2"/>
  <c r="BT320" i="2" s="1"/>
  <c r="CQ264" i="2"/>
  <c r="CQ320" i="2" s="1"/>
  <c r="CP264" i="2"/>
  <c r="CP320" i="2" s="1"/>
  <c r="CO264" i="2"/>
  <c r="CO320" i="2" s="1"/>
  <c r="CN264" i="2"/>
  <c r="CN320" i="2" s="1"/>
  <c r="CJ264" i="2"/>
  <c r="CJ320" i="2" s="1"/>
  <c r="CI264" i="2"/>
  <c r="CI320" i="2" s="1"/>
  <c r="CH264" i="2"/>
  <c r="CH320" i="2" s="1"/>
  <c r="CG264" i="2"/>
  <c r="CG320" i="2" s="1"/>
  <c r="CF264" i="2"/>
  <c r="CF320" i="2" s="1"/>
  <c r="CE264" i="2"/>
  <c r="CE320" i="2" s="1"/>
  <c r="CD264" i="2"/>
  <c r="CD320" i="2" s="1"/>
  <c r="CH319" i="2"/>
  <c r="CG319" i="2"/>
  <c r="CF319" i="2"/>
  <c r="CE319" i="2"/>
  <c r="CD319" i="2"/>
  <c r="CH318" i="2"/>
  <c r="CG318" i="2"/>
  <c r="CF318" i="2"/>
  <c r="CE318" i="2"/>
  <c r="CD318" i="2"/>
  <c r="CH316" i="2"/>
  <c r="CG316" i="2"/>
  <c r="CF316" i="2"/>
  <c r="CE316" i="2"/>
  <c r="CD316" i="2"/>
  <c r="CM319" i="2"/>
  <c r="CL319" i="2"/>
  <c r="CK319" i="2"/>
  <c r="CJ319" i="2"/>
  <c r="CI319" i="2"/>
  <c r="CM318" i="2"/>
  <c r="CL318" i="2"/>
  <c r="CK318" i="2"/>
  <c r="CJ318" i="2"/>
  <c r="CI318" i="2"/>
  <c r="CM316" i="2"/>
  <c r="CL316" i="2"/>
  <c r="CK316" i="2"/>
  <c r="CJ316" i="2"/>
  <c r="CI316" i="2"/>
  <c r="CR319" i="2"/>
  <c r="CQ319" i="2"/>
  <c r="CP319" i="2"/>
  <c r="CO319" i="2"/>
  <c r="CN319" i="2"/>
  <c r="CR318" i="2"/>
  <c r="CQ318" i="2"/>
  <c r="CP318" i="2"/>
  <c r="CO318" i="2"/>
  <c r="CN318" i="2"/>
  <c r="CR316" i="2"/>
  <c r="CQ316" i="2"/>
  <c r="CP316" i="2"/>
  <c r="CO316" i="2"/>
  <c r="CN316" i="2"/>
  <c r="CW319" i="2"/>
  <c r="CV319" i="2"/>
  <c r="CU319" i="2"/>
  <c r="CT319" i="2"/>
  <c r="CS319" i="2"/>
  <c r="CW318" i="2"/>
  <c r="CV318" i="2"/>
  <c r="CU318" i="2"/>
  <c r="CT318" i="2"/>
  <c r="CS318" i="2"/>
  <c r="CW316" i="2"/>
  <c r="CV316" i="2"/>
  <c r="CU316" i="2"/>
  <c r="CT316" i="2"/>
  <c r="CS316" i="2"/>
  <c r="DB319" i="2"/>
  <c r="DA319" i="2"/>
  <c r="CZ319" i="2"/>
  <c r="CY319" i="2"/>
  <c r="CX319" i="2"/>
  <c r="DB318" i="2"/>
  <c r="DA318" i="2"/>
  <c r="CZ318" i="2"/>
  <c r="CY318" i="2"/>
  <c r="CX318" i="2"/>
  <c r="DB316" i="2"/>
  <c r="DA316" i="2"/>
  <c r="CZ316" i="2"/>
  <c r="CY316" i="2"/>
  <c r="CX316" i="2"/>
  <c r="DG319" i="2"/>
  <c r="DF319" i="2"/>
  <c r="DE319" i="2"/>
  <c r="DD319" i="2"/>
  <c r="DC319" i="2"/>
  <c r="DG318" i="2"/>
  <c r="DF318" i="2"/>
  <c r="DE318" i="2"/>
  <c r="DD318" i="2"/>
  <c r="DC318" i="2"/>
  <c r="DG316" i="2"/>
  <c r="DF316" i="2"/>
  <c r="DE316" i="2"/>
  <c r="DD316" i="2"/>
  <c r="DC316" i="2"/>
  <c r="EM264" i="2"/>
  <c r="EL264" i="2"/>
  <c r="EJ264" i="2"/>
  <c r="EI264" i="2"/>
  <c r="EH264" i="2"/>
  <c r="EG264" i="2"/>
  <c r="EE264" i="2"/>
  <c r="ED264" i="2"/>
  <c r="EC264" i="2"/>
  <c r="EB264" i="2"/>
  <c r="DZ264" i="2"/>
  <c r="DY264" i="2"/>
  <c r="DX264" i="2"/>
  <c r="DW264" i="2"/>
  <c r="DU264" i="2"/>
  <c r="DT264" i="2"/>
  <c r="DS264" i="2"/>
  <c r="DR264" i="2"/>
  <c r="DP264" i="2"/>
  <c r="DO264" i="2"/>
  <c r="DN264" i="2"/>
  <c r="DM264" i="2"/>
  <c r="DK264" i="2"/>
  <c r="DJ264" i="2"/>
  <c r="DI264" i="2"/>
  <c r="DE264" i="2"/>
  <c r="DE320" i="2" s="1"/>
  <c r="DF264" i="2"/>
  <c r="DF320" i="2" s="1"/>
  <c r="DC264" i="2"/>
  <c r="DC320" i="2" s="1"/>
  <c r="CV264" i="2"/>
  <c r="CV320" i="2" s="1"/>
  <c r="CU264" i="2"/>
  <c r="CU320" i="2" s="1"/>
  <c r="CT264" i="2"/>
  <c r="CT320" i="2" s="1"/>
  <c r="CS264" i="2"/>
  <c r="CS320" i="2" s="1"/>
  <c r="DA264" i="2"/>
  <c r="DA320" i="2" s="1"/>
  <c r="CZ264" i="2"/>
  <c r="CZ320" i="2" s="1"/>
  <c r="CY264" i="2"/>
  <c r="CY320" i="2" s="1"/>
  <c r="CX264" i="2"/>
  <c r="CX320" i="2" s="1"/>
  <c r="DL153" i="1" l="1"/>
  <c r="EL153" i="1"/>
  <c r="EK153" i="1"/>
  <c r="EI153" i="1"/>
  <c r="EH153" i="1"/>
  <c r="EG153" i="1"/>
  <c r="EF153" i="1"/>
  <c r="ED153" i="1"/>
  <c r="EC153" i="1"/>
  <c r="EB153" i="1"/>
  <c r="EA153" i="1"/>
  <c r="DY153" i="1"/>
  <c r="DX153" i="1"/>
  <c r="DW153" i="1"/>
  <c r="DV153" i="1"/>
  <c r="DT153" i="1"/>
  <c r="DS153" i="1"/>
  <c r="DR153" i="1"/>
  <c r="DQ153" i="1"/>
  <c r="EM153" i="1"/>
  <c r="DR150" i="1"/>
  <c r="DW150" i="1"/>
  <c r="EB150" i="1"/>
  <c r="DR144" i="1"/>
  <c r="DW144" i="1"/>
  <c r="EB144" i="1"/>
  <c r="EG144" i="1"/>
  <c r="EG150" i="1"/>
  <c r="EL150" i="1"/>
  <c r="EL144" i="1"/>
  <c r="DZ17" i="3" l="1"/>
  <c r="DY17" i="3"/>
  <c r="DX17" i="3"/>
  <c r="DQ17" i="3"/>
  <c r="FL22" i="2" l="1"/>
  <c r="FL21" i="2"/>
  <c r="FL19" i="2"/>
  <c r="FL18" i="2"/>
  <c r="FL11" i="2"/>
  <c r="FL10" i="2"/>
  <c r="FF22" i="2"/>
  <c r="FF21" i="2"/>
  <c r="FF19" i="2"/>
  <c r="FF18" i="2"/>
  <c r="FF11" i="2"/>
  <c r="FF10" i="2"/>
  <c r="EG90" i="1"/>
  <c r="EH90" i="1"/>
  <c r="EH99" i="1" s="1"/>
  <c r="EH102" i="1" s="1"/>
  <c r="EI90" i="1"/>
  <c r="EJ90" i="1"/>
  <c r="EL90" i="1"/>
  <c r="EM90" i="1"/>
  <c r="EG97" i="1"/>
  <c r="EH97" i="1"/>
  <c r="EI97" i="1"/>
  <c r="EJ97" i="1"/>
  <c r="EL97" i="1"/>
  <c r="EM97" i="1"/>
  <c r="EG98" i="1"/>
  <c r="EH98" i="1"/>
  <c r="EI98" i="1"/>
  <c r="EJ98" i="1"/>
  <c r="EL98" i="1"/>
  <c r="EM98" i="1"/>
  <c r="EG99" i="1"/>
  <c r="EI99" i="1" l="1"/>
  <c r="EN100" i="1" s="1"/>
  <c r="EN91" i="1"/>
  <c r="EL91" i="1"/>
  <c r="EL99" i="1"/>
  <c r="EL102" i="1" s="1"/>
  <c r="EQ103" i="1" s="1"/>
  <c r="EI102" i="1"/>
  <c r="EK99" i="1"/>
  <c r="EM99" i="1"/>
  <c r="EM91" i="1"/>
  <c r="EG102" i="1"/>
  <c r="EK90" i="1"/>
  <c r="EJ99" i="1"/>
  <c r="EI104" i="1" l="1"/>
  <c r="EN103" i="1"/>
  <c r="EL100" i="1"/>
  <c r="EL103" i="1"/>
  <c r="EJ102" i="1"/>
  <c r="EH104" i="1"/>
  <c r="EM102" i="1"/>
  <c r="EM100" i="1"/>
  <c r="EN104" i="1" l="1"/>
  <c r="ER103" i="1"/>
  <c r="EJ104" i="1"/>
  <c r="EL104" i="1"/>
  <c r="EM103" i="1"/>
  <c r="EM104" i="1"/>
  <c r="EM21" i="148" l="1"/>
  <c r="EM18" i="148"/>
  <c r="EM17" i="148"/>
  <c r="DO191" i="7"/>
  <c r="DO192" i="7" s="1"/>
  <c r="DO143" i="7"/>
  <c r="EM13" i="148"/>
  <c r="EM127" i="39"/>
  <c r="EM126" i="39"/>
  <c r="EM125" i="39"/>
  <c r="EM124" i="39"/>
  <c r="EM87" i="39"/>
  <c r="EM86" i="39"/>
  <c r="EM85" i="39"/>
  <c r="EM84" i="39"/>
  <c r="EM83" i="39"/>
  <c r="EM82" i="39"/>
  <c r="EM39" i="39"/>
  <c r="EM38" i="39"/>
  <c r="EM37" i="39"/>
  <c r="EM36" i="39"/>
  <c r="EK16" i="148"/>
  <c r="EK17" i="148" s="1"/>
  <c r="EK12" i="148"/>
  <c r="EM14" i="148" s="1"/>
  <c r="EK20" i="148"/>
  <c r="EK22" i="148"/>
  <c r="EF22" i="148"/>
  <c r="EF20" i="148"/>
  <c r="EF16" i="148"/>
  <c r="EF12" i="148"/>
  <c r="AA76" i="113"/>
  <c r="AB76" i="113"/>
  <c r="AC76" i="113"/>
  <c r="AE76" i="113"/>
  <c r="AD76" i="113"/>
  <c r="EM151" i="82"/>
  <c r="EL151" i="82"/>
  <c r="DO146" i="7" l="1"/>
  <c r="DP161" i="7"/>
  <c r="EK18" i="148"/>
  <c r="EK13" i="148"/>
  <c r="EM225" i="2"/>
  <c r="DO60" i="7"/>
  <c r="DO38" i="7"/>
  <c r="DO106" i="3"/>
  <c r="DN106" i="3"/>
  <c r="DL106" i="3"/>
  <c r="DK106" i="3"/>
  <c r="DJ106" i="3"/>
  <c r="DO17" i="3"/>
  <c r="J21" i="15"/>
  <c r="J20" i="15"/>
  <c r="K61" i="15"/>
  <c r="K43" i="15"/>
  <c r="X7" i="11"/>
  <c r="AA6" i="11"/>
  <c r="AA18" i="11" s="1"/>
  <c r="DO198" i="7"/>
  <c r="DP195" i="7" s="1"/>
  <c r="DO171" i="7"/>
  <c r="DP167" i="7" s="1"/>
  <c r="DO169" i="7"/>
  <c r="DO101" i="7"/>
  <c r="DO99" i="7"/>
  <c r="DO97" i="7"/>
  <c r="DO95" i="7"/>
  <c r="DO93" i="7"/>
  <c r="DO90" i="7"/>
  <c r="DO86" i="7"/>
  <c r="DO84" i="7"/>
  <c r="DO81" i="7"/>
  <c r="DO72" i="7"/>
  <c r="DO6" i="7"/>
  <c r="DO78" i="7" s="1"/>
  <c r="DO98" i="3"/>
  <c r="DT99" i="3" s="1"/>
  <c r="DO73" i="3"/>
  <c r="DO66" i="3"/>
  <c r="DO18" i="3" s="1"/>
  <c r="DO46" i="3"/>
  <c r="DO32" i="3"/>
  <c r="DO6" i="3"/>
  <c r="DO56" i="3" s="1"/>
  <c r="EM181" i="82"/>
  <c r="EM177" i="82"/>
  <c r="EM174" i="82"/>
  <c r="EM172" i="82"/>
  <c r="EM119" i="82"/>
  <c r="EM45" i="82" s="1"/>
  <c r="EM118" i="82"/>
  <c r="EM82" i="82"/>
  <c r="EM84" i="82" s="1"/>
  <c r="EM86" i="82" s="1"/>
  <c r="EM47" i="82"/>
  <c r="EM44" i="82"/>
  <c r="EM12" i="82"/>
  <c r="EM149" i="82" s="1"/>
  <c r="EM11" i="82"/>
  <c r="EM10" i="82"/>
  <c r="EM80" i="82" s="1"/>
  <c r="EM6" i="82"/>
  <c r="EM230" i="2"/>
  <c r="EM232" i="2" s="1"/>
  <c r="EM198" i="2"/>
  <c r="EM200" i="2" s="1"/>
  <c r="EM187" i="2"/>
  <c r="EM92" i="2"/>
  <c r="EM91" i="2"/>
  <c r="EM90" i="2"/>
  <c r="EM89" i="2"/>
  <c r="EM75" i="2"/>
  <c r="EM68" i="2"/>
  <c r="EM67" i="2"/>
  <c r="EM66" i="2"/>
  <c r="EM59" i="2"/>
  <c r="EM56" i="2"/>
  <c r="EM209" i="2" s="1"/>
  <c r="EN211" i="2" s="1"/>
  <c r="EM52" i="2"/>
  <c r="EM47" i="2"/>
  <c r="EM46" i="2"/>
  <c r="EM41" i="2"/>
  <c r="EM26" i="2"/>
  <c r="EM8" i="2"/>
  <c r="EM330" i="1"/>
  <c r="EN333" i="1" s="1"/>
  <c r="EM328" i="1"/>
  <c r="EM320" i="1"/>
  <c r="ER321" i="1" s="1"/>
  <c r="EM319" i="1"/>
  <c r="EM318" i="1"/>
  <c r="EM288" i="1"/>
  <c r="EM264" i="1"/>
  <c r="EM240" i="1"/>
  <c r="EM214" i="1"/>
  <c r="EM201" i="1"/>
  <c r="EM290" i="1" s="1"/>
  <c r="EM199" i="1"/>
  <c r="EM289" i="1" s="1"/>
  <c r="EM195" i="1"/>
  <c r="EM266" i="1" s="1"/>
  <c r="EM193" i="1"/>
  <c r="EM265" i="1" s="1"/>
  <c r="EM189" i="1"/>
  <c r="EM242" i="1" s="1"/>
  <c r="EM187" i="1"/>
  <c r="EM241" i="1" s="1"/>
  <c r="EM184" i="1"/>
  <c r="EM179" i="1"/>
  <c r="EM124" i="1"/>
  <c r="EN126" i="1" s="1"/>
  <c r="EM110" i="1"/>
  <c r="EN112" i="1" s="1"/>
  <c r="EM106" i="1"/>
  <c r="EM66" i="1"/>
  <c r="EM65" i="1"/>
  <c r="EM62" i="1"/>
  <c r="EM58" i="1"/>
  <c r="EM48" i="1"/>
  <c r="EM44" i="1"/>
  <c r="EM34" i="1"/>
  <c r="EM30" i="1"/>
  <c r="EM22" i="1"/>
  <c r="EM20" i="1"/>
  <c r="EM16" i="1"/>
  <c r="EM13" i="1"/>
  <c r="EM9" i="1"/>
  <c r="EM6" i="1"/>
  <c r="EM238" i="1" s="1"/>
  <c r="EN93" i="2" l="1"/>
  <c r="DP164" i="7"/>
  <c r="DP75" i="3"/>
  <c r="EM190" i="1"/>
  <c r="EN182" i="1"/>
  <c r="EM258" i="1"/>
  <c r="EN260" i="1"/>
  <c r="ER253" i="1"/>
  <c r="EM268" i="1"/>
  <c r="EN284" i="1"/>
  <c r="ER277" i="1"/>
  <c r="EM306" i="1"/>
  <c r="EN308" i="1"/>
  <c r="ER301" i="1"/>
  <c r="EM93" i="1"/>
  <c r="EN95" i="1" s="1"/>
  <c r="EN27" i="1"/>
  <c r="DP177" i="7"/>
  <c r="DP170" i="7"/>
  <c r="EM30" i="82"/>
  <c r="EN32" i="82" s="1"/>
  <c r="EM101" i="1"/>
  <c r="DO81" i="3"/>
  <c r="EM154" i="1"/>
  <c r="EM155" i="1" s="1"/>
  <c r="EM168" i="82"/>
  <c r="EM92" i="1"/>
  <c r="DO105" i="7"/>
  <c r="DO70" i="3"/>
  <c r="DO50" i="7"/>
  <c r="EM282" i="1"/>
  <c r="DO103" i="7"/>
  <c r="DO100" i="7" s="1"/>
  <c r="DT100" i="7" s="1"/>
  <c r="EM168" i="1"/>
  <c r="DO15" i="3"/>
  <c r="EM312" i="1"/>
  <c r="EM206" i="1"/>
  <c r="EM180" i="82"/>
  <c r="EM12" i="2"/>
  <c r="DO88" i="7"/>
  <c r="DO85" i="7" s="1"/>
  <c r="DO168" i="7"/>
  <c r="EM120" i="82"/>
  <c r="EM122" i="82" s="1"/>
  <c r="EM41" i="82"/>
  <c r="EM115" i="1"/>
  <c r="EN117" i="1" s="1"/>
  <c r="DO76" i="7"/>
  <c r="EM112" i="82"/>
  <c r="EM87" i="82"/>
  <c r="EM110" i="82"/>
  <c r="ER111" i="82" s="1"/>
  <c r="EM81" i="82"/>
  <c r="EM115" i="82"/>
  <c r="EM27" i="82"/>
  <c r="EM46" i="82"/>
  <c r="EM48" i="82" s="1"/>
  <c r="EM224" i="2"/>
  <c r="EM226" i="2" s="1"/>
  <c r="EM236" i="2"/>
  <c r="EM199" i="2"/>
  <c r="EM202" i="1"/>
  <c r="EM292" i="1"/>
  <c r="EM196" i="1"/>
  <c r="EM244" i="1"/>
  <c r="EM204" i="1"/>
  <c r="EM118" i="1"/>
  <c r="EN120" i="1" s="1"/>
  <c r="EM36" i="1"/>
  <c r="EM139" i="1"/>
  <c r="EM229" i="1" l="1"/>
  <c r="EN286" i="1"/>
  <c r="EN285" i="1"/>
  <c r="EN261" i="1"/>
  <c r="EN262" i="1"/>
  <c r="EN309" i="1"/>
  <c r="EN310" i="1"/>
  <c r="EN29" i="82"/>
  <c r="EM107" i="1"/>
  <c r="EN109" i="1" s="1"/>
  <c r="EN41" i="1"/>
  <c r="DT85" i="7"/>
  <c r="DT87" i="7" s="1"/>
  <c r="DP175" i="7"/>
  <c r="DO87" i="7"/>
  <c r="DO102" i="7"/>
  <c r="DO62" i="7"/>
  <c r="EM123" i="82"/>
  <c r="EM146" i="82"/>
  <c r="EM212" i="1"/>
  <c r="EM213" i="1" s="1"/>
  <c r="EM116" i="82"/>
  <c r="EM144" i="82"/>
  <c r="EM105" i="82"/>
  <c r="EM49" i="82"/>
  <c r="EM327" i="1"/>
  <c r="EM121" i="1"/>
  <c r="EN123" i="1" s="1"/>
  <c r="EM50" i="1"/>
  <c r="EN55" i="1" s="1"/>
  <c r="EM9" i="82" l="1"/>
  <c r="EM24" i="82" s="1"/>
  <c r="EM141" i="82"/>
  <c r="EM127" i="1"/>
  <c r="EN129" i="1" s="1"/>
  <c r="EM69" i="1"/>
  <c r="EN26" i="82" l="1"/>
  <c r="EN74" i="1"/>
  <c r="EM13" i="82"/>
  <c r="EM14" i="82" s="1"/>
  <c r="EM40" i="82"/>
  <c r="EM69" i="82" s="1"/>
  <c r="DO76" i="3"/>
  <c r="DO72" i="3"/>
  <c r="EM170" i="1"/>
  <c r="EN173" i="1" s="1"/>
  <c r="EN210" i="1" s="1"/>
  <c r="EM7" i="2"/>
  <c r="EM133" i="1"/>
  <c r="EM136" i="1"/>
  <c r="EM134" i="1"/>
  <c r="EM85" i="1"/>
  <c r="EM79" i="1"/>
  <c r="EM86" i="1"/>
  <c r="EM84" i="1"/>
  <c r="EM78" i="1"/>
  <c r="EM82" i="1"/>
  <c r="EM80" i="1"/>
  <c r="EN84" i="2" l="1"/>
  <c r="EM42" i="82"/>
  <c r="EM43" i="82" s="1"/>
  <c r="EM77" i="82"/>
  <c r="EM75" i="82"/>
  <c r="ER76" i="82" s="1"/>
  <c r="EM146" i="2"/>
  <c r="EN148" i="2" s="1"/>
  <c r="EM140" i="2"/>
  <c r="EN142" i="2" s="1"/>
  <c r="EM167" i="82"/>
  <c r="EM143" i="2"/>
  <c r="EN145" i="2" s="1"/>
  <c r="EM137" i="2"/>
  <c r="EN139" i="2" s="1"/>
  <c r="EM9" i="2"/>
  <c r="EM130" i="2"/>
  <c r="EM133" i="2"/>
  <c r="EM208" i="1"/>
  <c r="EM216" i="1" s="1"/>
  <c r="EN235" i="1" s="1"/>
  <c r="EN236" i="1" s="1"/>
  <c r="EM183" i="1"/>
  <c r="EM325" i="1"/>
  <c r="EM191" i="1"/>
  <c r="EM203" i="1"/>
  <c r="EM197" i="1"/>
  <c r="EM175" i="1"/>
  <c r="EM187" i="82"/>
  <c r="EM135" i="1"/>
  <c r="EM137" i="1" s="1"/>
  <c r="EM81" i="1"/>
  <c r="EM83" i="1" s="1"/>
  <c r="EM87" i="1" s="1"/>
  <c r="EN177" i="1" l="1"/>
  <c r="ER175" i="1"/>
  <c r="ES177" i="1" s="1"/>
  <c r="EM178" i="1"/>
  <c r="EM70" i="82"/>
  <c r="DO80" i="7"/>
  <c r="EM169" i="82"/>
  <c r="EM126" i="2"/>
  <c r="ER127" i="2" s="1"/>
  <c r="EM123" i="2"/>
  <c r="ER124" i="2" s="1"/>
  <c r="EM114" i="2"/>
  <c r="ER115" i="2" s="1"/>
  <c r="EM120" i="2"/>
  <c r="ER121" i="2" s="1"/>
  <c r="EM117" i="2"/>
  <c r="ER118" i="2" s="1"/>
  <c r="EM13" i="2"/>
  <c r="EM225" i="1"/>
  <c r="EM234" i="1"/>
  <c r="EM27" i="2" l="1"/>
  <c r="EM150" i="2"/>
  <c r="EM166" i="2"/>
  <c r="DO172" i="7"/>
  <c r="DO83" i="7"/>
  <c r="DT83" i="7" s="1"/>
  <c r="DO82" i="7"/>
  <c r="DO73" i="7" s="1"/>
  <c r="DO94" i="7"/>
  <c r="DT94" i="7" s="1"/>
  <c r="DO89" i="7"/>
  <c r="DT89" i="7" s="1"/>
  <c r="DO98" i="7"/>
  <c r="DT98" i="7" s="1"/>
  <c r="DO96" i="7"/>
  <c r="DT96" i="7" s="1"/>
  <c r="DO92" i="7"/>
  <c r="DT92" i="7" s="1"/>
  <c r="DO104" i="7"/>
  <c r="DT104" i="7" s="1"/>
  <c r="DO91" i="7"/>
  <c r="EM171" i="82" l="1"/>
  <c r="EM21" i="82"/>
  <c r="EM54" i="2"/>
  <c r="EM32" i="2"/>
  <c r="EM151" i="2"/>
  <c r="EM220" i="2"/>
  <c r="EM223" i="2" s="1"/>
  <c r="EM229" i="2" s="1"/>
  <c r="EM237" i="2" s="1"/>
  <c r="EM239" i="2" s="1"/>
  <c r="EM169" i="2"/>
  <c r="EM29" i="2"/>
  <c r="EM28" i="2"/>
  <c r="EM172" i="2" l="1"/>
  <c r="EM154" i="2"/>
  <c r="EM20" i="82"/>
  <c r="EM34" i="82"/>
  <c r="EM36" i="2"/>
  <c r="EM227" i="2"/>
  <c r="EM34" i="2"/>
  <c r="EM157" i="2"/>
  <c r="EM175" i="2"/>
  <c r="EM173" i="82"/>
  <c r="EM175" i="82" s="1"/>
  <c r="EM170" i="82"/>
  <c r="DO9" i="3" l="1"/>
  <c r="DO196" i="7"/>
  <c r="EM160" i="2"/>
  <c r="EM42" i="2"/>
  <c r="EM37" i="2"/>
  <c r="EM238" i="2"/>
  <c r="EM178" i="2"/>
  <c r="EM152" i="82"/>
  <c r="EM33" i="82"/>
  <c r="EM228" i="2"/>
  <c r="EM233" i="2"/>
  <c r="EM217" i="2"/>
  <c r="EM48" i="2"/>
  <c r="EM50" i="2" s="1"/>
  <c r="DO19" i="3" l="1"/>
  <c r="EM176" i="82"/>
  <c r="EM240" i="2"/>
  <c r="EM241" i="2"/>
  <c r="EM43" i="2"/>
  <c r="EM154" i="82"/>
  <c r="EM156" i="82" s="1"/>
  <c r="EM157" i="82" s="1"/>
  <c r="EM189" i="82" s="1"/>
  <c r="EM188" i="82"/>
  <c r="EM51" i="2"/>
  <c r="DO80" i="3" l="1"/>
  <c r="DO83" i="3" s="1"/>
  <c r="DO50" i="3"/>
  <c r="DO77" i="3"/>
  <c r="DO100" i="3" l="1"/>
  <c r="DO87" i="3"/>
  <c r="DO85" i="3"/>
  <c r="AW171" i="7"/>
  <c r="AX167" i="7" s="1"/>
  <c r="AY169" i="7"/>
  <c r="AW101" i="7"/>
  <c r="AW99" i="7"/>
  <c r="AW97" i="7"/>
  <c r="AW95" i="7"/>
  <c r="AW93" i="7"/>
  <c r="AW90" i="7"/>
  <c r="AW81" i="7"/>
  <c r="AW78" i="7"/>
  <c r="AW71" i="7"/>
  <c r="AW66" i="7"/>
  <c r="AW70" i="7" s="1"/>
  <c r="AW60" i="7"/>
  <c r="AW38" i="7"/>
  <c r="AW73" i="3"/>
  <c r="AY168" i="7" s="1"/>
  <c r="AW66" i="3"/>
  <c r="AW18" i="3" s="1"/>
  <c r="AW56" i="3"/>
  <c r="AW46" i="3"/>
  <c r="AW596" i="1"/>
  <c r="AW576" i="1"/>
  <c r="AW567" i="1"/>
  <c r="AW530" i="1"/>
  <c r="AX483" i="1"/>
  <c r="AW483" i="1"/>
  <c r="BB482" i="1"/>
  <c r="AW482" i="1"/>
  <c r="AW467" i="1"/>
  <c r="AW460" i="1"/>
  <c r="AW404" i="1"/>
  <c r="AW394" i="1"/>
  <c r="AW406" i="1" s="1"/>
  <c r="BB393" i="1"/>
  <c r="AW393" i="1"/>
  <c r="AW405" i="1" s="1"/>
  <c r="AX392" i="1"/>
  <c r="AX394" i="1" s="1"/>
  <c r="AX320" i="1"/>
  <c r="AW320" i="1"/>
  <c r="AX319" i="1"/>
  <c r="AW319" i="1"/>
  <c r="BB318" i="1"/>
  <c r="AW318" i="1"/>
  <c r="AW312" i="1"/>
  <c r="AW238" i="1"/>
  <c r="AW168" i="1"/>
  <c r="AW206" i="1" s="1"/>
  <c r="AW139" i="1"/>
  <c r="AW124" i="1"/>
  <c r="AW115" i="1"/>
  <c r="AW105" i="1"/>
  <c r="AW608" i="1" s="1"/>
  <c r="AW93" i="1"/>
  <c r="BB91" i="1"/>
  <c r="AW36" i="1"/>
  <c r="AW69" i="1" s="1"/>
  <c r="AX34" i="1"/>
  <c r="AW34" i="1"/>
  <c r="BB30" i="1"/>
  <c r="AW30" i="1"/>
  <c r="AX27" i="1"/>
  <c r="AW27" i="1"/>
  <c r="BB23" i="1"/>
  <c r="AW23" i="1"/>
  <c r="AW383" i="2"/>
  <c r="AX355" i="2"/>
  <c r="AW355" i="2"/>
  <c r="AW354" i="2"/>
  <c r="BB338" i="2"/>
  <c r="AW338" i="2"/>
  <c r="BB337" i="2"/>
  <c r="AW337" i="2"/>
  <c r="AW336" i="2"/>
  <c r="AX148" i="2"/>
  <c r="AW148" i="2"/>
  <c r="BB147" i="2"/>
  <c r="AW147" i="2"/>
  <c r="AX145" i="2"/>
  <c r="AW145" i="2"/>
  <c r="BB144" i="2"/>
  <c r="AW144" i="2"/>
  <c r="AX142" i="2"/>
  <c r="AW142" i="2"/>
  <c r="BB141" i="2"/>
  <c r="AW141" i="2"/>
  <c r="AX139" i="2"/>
  <c r="AW139" i="2"/>
  <c r="BB138" i="2"/>
  <c r="AW138" i="2"/>
  <c r="AX135" i="2"/>
  <c r="AW135" i="2"/>
  <c r="BB134" i="2"/>
  <c r="AW134" i="2"/>
  <c r="AX132" i="2"/>
  <c r="AW132" i="2"/>
  <c r="BB131" i="2"/>
  <c r="AW131" i="2"/>
  <c r="AX128" i="2"/>
  <c r="AW128" i="2"/>
  <c r="BB127" i="2"/>
  <c r="AW127" i="2"/>
  <c r="AX125" i="2"/>
  <c r="AW125" i="2"/>
  <c r="BB124" i="2"/>
  <c r="AW124" i="2"/>
  <c r="AX122" i="2"/>
  <c r="AW122" i="2"/>
  <c r="BB121" i="2"/>
  <c r="AW121" i="2"/>
  <c r="AX119" i="2"/>
  <c r="AW119" i="2"/>
  <c r="BB118" i="2"/>
  <c r="AW118" i="2"/>
  <c r="AX116" i="2"/>
  <c r="AW116" i="2"/>
  <c r="BB115" i="2"/>
  <c r="AW115" i="2"/>
  <c r="AX97" i="2"/>
  <c r="AW97" i="2"/>
  <c r="AX85" i="2"/>
  <c r="AW85" i="2"/>
  <c r="AW84" i="2"/>
  <c r="BB80" i="2"/>
  <c r="AW80" i="2"/>
  <c r="BB79" i="2"/>
  <c r="AW79" i="2"/>
  <c r="BB62" i="2"/>
  <c r="AW62" i="2"/>
  <c r="BB61" i="2"/>
  <c r="AW61" i="2"/>
  <c r="AW59" i="2"/>
  <c r="BK55" i="2"/>
  <c r="AW52" i="2"/>
  <c r="AW9" i="2"/>
  <c r="AW6" i="82"/>
  <c r="AW259" i="82" s="1"/>
  <c r="AW202" i="7"/>
  <c r="AW198" i="7"/>
  <c r="AX195" i="7" s="1"/>
  <c r="BB175" i="39"/>
  <c r="BB172" i="39"/>
  <c r="BB171" i="39"/>
  <c r="BB170" i="39"/>
  <c r="BB169" i="39"/>
  <c r="BB168" i="39"/>
  <c r="BB167" i="39"/>
  <c r="AW81" i="3" l="1"/>
  <c r="AW311" i="82"/>
  <c r="AW464" i="1"/>
  <c r="AX422" i="1"/>
  <c r="AW103" i="7"/>
  <c r="AW100" i="7" s="1"/>
  <c r="AW105" i="7"/>
  <c r="BB411" i="1"/>
  <c r="AW469" i="1"/>
  <c r="AW517" i="1"/>
  <c r="AW559" i="1" s="1"/>
  <c r="AW585" i="1"/>
  <c r="AW107" i="1"/>
  <c r="AW471" i="1"/>
  <c r="AW485" i="1"/>
  <c r="AW568" i="1"/>
  <c r="AW577" i="1"/>
  <c r="AW597" i="1"/>
  <c r="AN80" i="7"/>
  <c r="AW99" i="1"/>
  <c r="AW170" i="1"/>
  <c r="AW389" i="1"/>
  <c r="AW474" i="1"/>
  <c r="AW491" i="1"/>
  <c r="AW616" i="1"/>
  <c r="AW80" i="1"/>
  <c r="AW462" i="1"/>
  <c r="AW102" i="7" l="1"/>
  <c r="AW609" i="1"/>
  <c r="AW572" i="1"/>
  <c r="AW571" i="1"/>
  <c r="AW560" i="1"/>
  <c r="AW81" i="1"/>
  <c r="AW208" i="1"/>
  <c r="AW396" i="1"/>
  <c r="AW325" i="1"/>
  <c r="AW102" i="1"/>
  <c r="AW602" i="1"/>
  <c r="AW118" i="1"/>
  <c r="AW87" i="1" l="1"/>
  <c r="AW565" i="1" s="1"/>
  <c r="AW373" i="1"/>
  <c r="AW375" i="1" s="1"/>
  <c r="AW561" i="1"/>
  <c r="AW581" i="1"/>
  <c r="AW583" i="1" s="1"/>
  <c r="AW605" i="1" s="1"/>
  <c r="AW580" i="1"/>
  <c r="AW589" i="1" s="1"/>
  <c r="AW574" i="1"/>
  <c r="AW603" i="1"/>
  <c r="AW620" i="1"/>
  <c r="AW121" i="1"/>
  <c r="AW216" i="1"/>
  <c r="AW221" i="1"/>
  <c r="AW570" i="1"/>
  <c r="AW590" i="1" l="1"/>
  <c r="AW579" i="1"/>
  <c r="AW582" i="1" s="1"/>
  <c r="AW606" i="1" s="1"/>
  <c r="AW225" i="1"/>
  <c r="AW573" i="1"/>
  <c r="AW127" i="1"/>
  <c r="AW624" i="1"/>
  <c r="AW592" i="1"/>
  <c r="AW599" i="1"/>
  <c r="AW588" i="1" l="1"/>
  <c r="AW600" i="1"/>
  <c r="AW618" i="1" s="1"/>
  <c r="AW136" i="1"/>
  <c r="AW133" i="1"/>
  <c r="AW134" i="1"/>
  <c r="AW611" i="1"/>
  <c r="AW591" i="1"/>
  <c r="AW622" i="1"/>
  <c r="AW135" i="1" l="1"/>
  <c r="AW626" i="1"/>
  <c r="AW612" i="1"/>
  <c r="AW137" i="1" l="1"/>
  <c r="BR191" i="39" l="1"/>
  <c r="BQ191" i="39"/>
  <c r="BP191" i="39"/>
  <c r="BO191" i="39"/>
  <c r="BM191" i="39"/>
  <c r="BL191" i="39"/>
  <c r="BK191" i="39"/>
  <c r="BJ191" i="39"/>
  <c r="BH191" i="39"/>
  <c r="BG191" i="39"/>
  <c r="BF191" i="39"/>
  <c r="BE191" i="39"/>
  <c r="BC191" i="39"/>
  <c r="BB191" i="39"/>
  <c r="BA191" i="39"/>
  <c r="AZ191" i="39"/>
  <c r="CZ188" i="39"/>
  <c r="CY188" i="39"/>
  <c r="CX188" i="39"/>
  <c r="CV188" i="39"/>
  <c r="CU188" i="39"/>
  <c r="CT188" i="39"/>
  <c r="CS188" i="39"/>
  <c r="CQ188" i="39"/>
  <c r="CP188" i="39"/>
  <c r="CO188" i="39"/>
  <c r="CN188" i="39"/>
  <c r="CL188" i="39"/>
  <c r="CK188" i="39"/>
  <c r="CJ188" i="39"/>
  <c r="CI188" i="39"/>
  <c r="CG188" i="39"/>
  <c r="CF188" i="39"/>
  <c r="CE188" i="39"/>
  <c r="CD188" i="39"/>
  <c r="CB188" i="39"/>
  <c r="CA188" i="39"/>
  <c r="BZ188" i="39"/>
  <c r="BY188" i="39"/>
  <c r="BW188" i="39"/>
  <c r="BV188" i="39"/>
  <c r="BU188" i="39"/>
  <c r="BT188" i="39"/>
  <c r="BR188" i="39"/>
  <c r="BQ188" i="39"/>
  <c r="BP188" i="39"/>
  <c r="BO188" i="39"/>
  <c r="BM188" i="39"/>
  <c r="BL188" i="39"/>
  <c r="BK188" i="39"/>
  <c r="BJ188" i="39"/>
  <c r="BH188" i="39"/>
  <c r="BG188" i="39"/>
  <c r="BF188" i="39"/>
  <c r="BE188" i="39"/>
  <c r="BC188" i="39"/>
  <c r="BB188" i="39"/>
  <c r="BA188" i="39"/>
  <c r="AZ188" i="39"/>
  <c r="CZ187" i="39"/>
  <c r="CY187" i="39"/>
  <c r="CX187" i="39"/>
  <c r="CV187" i="39"/>
  <c r="CU187" i="39"/>
  <c r="CT187" i="39"/>
  <c r="CS187" i="39"/>
  <c r="CQ187" i="39"/>
  <c r="CP187" i="39"/>
  <c r="CO187" i="39"/>
  <c r="CN187" i="39"/>
  <c r="CL187" i="39"/>
  <c r="CK187" i="39"/>
  <c r="CJ187" i="39"/>
  <c r="CI187" i="39"/>
  <c r="CG187" i="39"/>
  <c r="CF187" i="39"/>
  <c r="CE187" i="39"/>
  <c r="CD187" i="39"/>
  <c r="CB187" i="39"/>
  <c r="CA187" i="39"/>
  <c r="BZ187" i="39"/>
  <c r="BY187" i="39"/>
  <c r="BW187" i="39"/>
  <c r="BV187" i="39"/>
  <c r="BU187" i="39"/>
  <c r="BT187" i="39"/>
  <c r="BR187" i="39"/>
  <c r="BQ187" i="39"/>
  <c r="BP187" i="39"/>
  <c r="BO187" i="39"/>
  <c r="BM187" i="39"/>
  <c r="BL187" i="39"/>
  <c r="BK187" i="39"/>
  <c r="BJ187" i="39"/>
  <c r="BH187" i="39"/>
  <c r="BG187" i="39"/>
  <c r="BF187" i="39"/>
  <c r="BE187" i="39"/>
  <c r="BC187" i="39"/>
  <c r="BB187" i="39"/>
  <c r="BA187" i="39"/>
  <c r="AZ187" i="39"/>
  <c r="CZ186" i="39"/>
  <c r="CY186" i="39"/>
  <c r="CX186" i="39"/>
  <c r="CV186" i="39"/>
  <c r="CU186" i="39"/>
  <c r="CT186" i="39"/>
  <c r="CS186" i="39"/>
  <c r="CQ186" i="39"/>
  <c r="CP186" i="39"/>
  <c r="CO186" i="39"/>
  <c r="CN186" i="39"/>
  <c r="CL186" i="39"/>
  <c r="CK186" i="39"/>
  <c r="CJ186" i="39"/>
  <c r="CI186" i="39"/>
  <c r="CG186" i="39"/>
  <c r="CF186" i="39"/>
  <c r="CE186" i="39"/>
  <c r="CD186" i="39"/>
  <c r="CB186" i="39"/>
  <c r="CA186" i="39"/>
  <c r="BZ186" i="39"/>
  <c r="BY186" i="39"/>
  <c r="BW186" i="39"/>
  <c r="BV186" i="39"/>
  <c r="BU186" i="39"/>
  <c r="BT186" i="39"/>
  <c r="BR186" i="39"/>
  <c r="BQ186" i="39"/>
  <c r="BP186" i="39"/>
  <c r="BO186" i="39"/>
  <c r="BM186" i="39"/>
  <c r="BL186" i="39"/>
  <c r="BK186" i="39"/>
  <c r="BJ186" i="39"/>
  <c r="BH186" i="39"/>
  <c r="BG186" i="39"/>
  <c r="BF186" i="39"/>
  <c r="BE186" i="39"/>
  <c r="BC186" i="39"/>
  <c r="BB186" i="39"/>
  <c r="BA186" i="39"/>
  <c r="AZ186" i="39"/>
  <c r="BR185" i="39"/>
  <c r="BQ185" i="39"/>
  <c r="BP185" i="39"/>
  <c r="BO185" i="39"/>
  <c r="BM185" i="39"/>
  <c r="BL185" i="39"/>
  <c r="BK185" i="39"/>
  <c r="BJ185" i="39"/>
  <c r="BH185" i="39"/>
  <c r="BG185" i="39"/>
  <c r="BF185" i="39"/>
  <c r="BE185" i="39"/>
  <c r="BC185" i="39"/>
  <c r="BB185" i="39"/>
  <c r="BA185" i="39"/>
  <c r="AZ185" i="39"/>
  <c r="CZ184" i="39"/>
  <c r="CY184" i="39"/>
  <c r="CX184" i="39"/>
  <c r="CV184" i="39"/>
  <c r="CU184" i="39"/>
  <c r="CT184" i="39"/>
  <c r="CS184" i="39"/>
  <c r="CQ184" i="39"/>
  <c r="CP184" i="39"/>
  <c r="CO184" i="39"/>
  <c r="CN184" i="39"/>
  <c r="CL184" i="39"/>
  <c r="CK184" i="39"/>
  <c r="CJ184" i="39"/>
  <c r="CI184" i="39"/>
  <c r="CG184" i="39"/>
  <c r="CF184" i="39"/>
  <c r="CE184" i="39"/>
  <c r="CD184" i="39"/>
  <c r="CB184" i="39"/>
  <c r="CA184" i="39"/>
  <c r="BZ184" i="39"/>
  <c r="BY184" i="39"/>
  <c r="BW184" i="39"/>
  <c r="BV184" i="39"/>
  <c r="BU184" i="39"/>
  <c r="BT184" i="39"/>
  <c r="BR184" i="39"/>
  <c r="BQ184" i="39"/>
  <c r="BP184" i="39"/>
  <c r="BO184" i="39"/>
  <c r="BM184" i="39"/>
  <c r="BL184" i="39"/>
  <c r="BK184" i="39"/>
  <c r="BJ184" i="39"/>
  <c r="BH184" i="39"/>
  <c r="BG184" i="39"/>
  <c r="BF184" i="39"/>
  <c r="BE184" i="39"/>
  <c r="BC184" i="39"/>
  <c r="BB184" i="39"/>
  <c r="BA184" i="39"/>
  <c r="AZ184" i="39"/>
  <c r="CZ183" i="39"/>
  <c r="CY183" i="39"/>
  <c r="CX183" i="39"/>
  <c r="CV183" i="39"/>
  <c r="CU183" i="39"/>
  <c r="CT183" i="39"/>
  <c r="CS183" i="39"/>
  <c r="CQ183" i="39"/>
  <c r="CP183" i="39"/>
  <c r="CO183" i="39"/>
  <c r="CN183" i="39"/>
  <c r="CL183" i="39"/>
  <c r="CK183" i="39"/>
  <c r="CJ183" i="39"/>
  <c r="CI183" i="39"/>
  <c r="CG183" i="39"/>
  <c r="CF183" i="39"/>
  <c r="CE183" i="39"/>
  <c r="CD183" i="39"/>
  <c r="CB183" i="39"/>
  <c r="CA183" i="39"/>
  <c r="BZ183" i="39"/>
  <c r="BY183" i="39"/>
  <c r="BW183" i="39"/>
  <c r="BV183" i="39"/>
  <c r="BU183" i="39"/>
  <c r="BT183" i="39"/>
  <c r="BR183" i="39"/>
  <c r="BQ183" i="39"/>
  <c r="BP183" i="39"/>
  <c r="BO183" i="39"/>
  <c r="BM183" i="39"/>
  <c r="BL183" i="39"/>
  <c r="BK183" i="39"/>
  <c r="BJ183" i="39"/>
  <c r="BH183" i="39"/>
  <c r="BG183" i="39"/>
  <c r="BF183" i="39"/>
  <c r="BE183" i="39"/>
  <c r="BC183" i="39"/>
  <c r="BB183" i="39"/>
  <c r="BA183" i="39"/>
  <c r="AZ183" i="39"/>
  <c r="DP179" i="39"/>
  <c r="DO179" i="39"/>
  <c r="DN179" i="39"/>
  <c r="DM179" i="39"/>
  <c r="DL179" i="39"/>
  <c r="DK179" i="39"/>
  <c r="DJ179" i="39"/>
  <c r="DI179" i="39"/>
  <c r="DH179" i="39"/>
  <c r="DG179" i="39"/>
  <c r="DF179" i="39"/>
  <c r="DE179" i="39"/>
  <c r="DD179" i="39"/>
  <c r="BR175" i="39"/>
  <c r="BQ175" i="39"/>
  <c r="BP175" i="39"/>
  <c r="BO175" i="39"/>
  <c r="BM175" i="39"/>
  <c r="BL175" i="39"/>
  <c r="BK175" i="39"/>
  <c r="BJ175" i="39"/>
  <c r="BH175" i="39"/>
  <c r="BG175" i="39"/>
  <c r="BF175" i="39"/>
  <c r="BE175" i="39"/>
  <c r="BC175" i="39"/>
  <c r="BA175" i="39"/>
  <c r="AZ175" i="39"/>
  <c r="CZ174" i="39"/>
  <c r="CY174" i="39"/>
  <c r="CX174" i="39"/>
  <c r="CV174" i="39"/>
  <c r="CU174" i="39"/>
  <c r="CT174" i="39"/>
  <c r="CS174" i="39"/>
  <c r="CQ174" i="39"/>
  <c r="CP174" i="39"/>
  <c r="CO174" i="39"/>
  <c r="CN174" i="39"/>
  <c r="CZ173" i="39"/>
  <c r="CY173" i="39"/>
  <c r="CX173" i="39"/>
  <c r="CV173" i="39"/>
  <c r="CU173" i="39"/>
  <c r="CT173" i="39"/>
  <c r="CS173" i="39"/>
  <c r="CQ173" i="39"/>
  <c r="CP173" i="39"/>
  <c r="CO173" i="39"/>
  <c r="CN173" i="39"/>
  <c r="CZ172" i="39"/>
  <c r="CY172" i="39"/>
  <c r="CX172" i="39"/>
  <c r="CV172" i="39"/>
  <c r="CU172" i="39"/>
  <c r="CT172" i="39"/>
  <c r="CS172" i="39"/>
  <c r="CQ172" i="39"/>
  <c r="CP172" i="39"/>
  <c r="CO172" i="39"/>
  <c r="CN172" i="39"/>
  <c r="CL172" i="39"/>
  <c r="CK172" i="39"/>
  <c r="CJ172" i="39"/>
  <c r="CI172" i="39"/>
  <c r="CG172" i="39"/>
  <c r="CF172" i="39"/>
  <c r="CE172" i="39"/>
  <c r="CD172" i="39"/>
  <c r="CB172" i="39"/>
  <c r="CA172" i="39"/>
  <c r="BZ172" i="39"/>
  <c r="BY172" i="39"/>
  <c r="BW172" i="39"/>
  <c r="BV172" i="39"/>
  <c r="BU172" i="39"/>
  <c r="BT172" i="39"/>
  <c r="BS172" i="39"/>
  <c r="BR172" i="39"/>
  <c r="BQ172" i="39"/>
  <c r="BP172" i="39"/>
  <c r="BO172" i="39"/>
  <c r="BM172" i="39"/>
  <c r="BL172" i="39"/>
  <c r="BK172" i="39"/>
  <c r="BJ172" i="39"/>
  <c r="BH172" i="39"/>
  <c r="BG172" i="39"/>
  <c r="BF172" i="39"/>
  <c r="BE172" i="39"/>
  <c r="BC172" i="39"/>
  <c r="BA172" i="39"/>
  <c r="AZ172" i="39"/>
  <c r="CZ171" i="39"/>
  <c r="CY171" i="39"/>
  <c r="CX171" i="39"/>
  <c r="CV171" i="39"/>
  <c r="CU171" i="39"/>
  <c r="CT171" i="39"/>
  <c r="CS171" i="39"/>
  <c r="CQ171" i="39"/>
  <c r="CP171" i="39"/>
  <c r="CO171" i="39"/>
  <c r="CN171" i="39"/>
  <c r="CL171" i="39"/>
  <c r="CK171" i="39"/>
  <c r="CJ171" i="39"/>
  <c r="CI171" i="39"/>
  <c r="CG171" i="39"/>
  <c r="CF171" i="39"/>
  <c r="CE171" i="39"/>
  <c r="CD171" i="39"/>
  <c r="CB171" i="39"/>
  <c r="CA171" i="39"/>
  <c r="BZ171" i="39"/>
  <c r="BY171" i="39"/>
  <c r="BW171" i="39"/>
  <c r="BV171" i="39"/>
  <c r="BU171" i="39"/>
  <c r="BT171" i="39"/>
  <c r="BR171" i="39"/>
  <c r="BQ171" i="39"/>
  <c r="BP171" i="39"/>
  <c r="BO171" i="39"/>
  <c r="BM171" i="39"/>
  <c r="BL171" i="39"/>
  <c r="BK171" i="39"/>
  <c r="BJ171" i="39"/>
  <c r="BH171" i="39"/>
  <c r="BG171" i="39"/>
  <c r="BF171" i="39"/>
  <c r="BE171" i="39"/>
  <c r="BC171" i="39"/>
  <c r="BA171" i="39"/>
  <c r="AZ171" i="39"/>
  <c r="CZ170" i="39"/>
  <c r="CY170" i="39"/>
  <c r="CX170" i="39"/>
  <c r="CV170" i="39"/>
  <c r="CU170" i="39"/>
  <c r="CT170" i="39"/>
  <c r="CS170" i="39"/>
  <c r="CQ170" i="39"/>
  <c r="CP170" i="39"/>
  <c r="CO170" i="39"/>
  <c r="CN170" i="39"/>
  <c r="CL170" i="39"/>
  <c r="CK170" i="39"/>
  <c r="CJ170" i="39"/>
  <c r="CI170" i="39"/>
  <c r="CG170" i="39"/>
  <c r="CF170" i="39"/>
  <c r="CE170" i="39"/>
  <c r="CD170" i="39"/>
  <c r="CB170" i="39"/>
  <c r="CA170" i="39"/>
  <c r="BZ170" i="39"/>
  <c r="BY170" i="39"/>
  <c r="BW170" i="39"/>
  <c r="BV170" i="39"/>
  <c r="BU170" i="39"/>
  <c r="BT170" i="39"/>
  <c r="BS170" i="39"/>
  <c r="BR170" i="39"/>
  <c r="BQ170" i="39"/>
  <c r="BP170" i="39"/>
  <c r="BO170" i="39"/>
  <c r="BM170" i="39"/>
  <c r="BL170" i="39"/>
  <c r="BK170" i="39"/>
  <c r="BJ170" i="39"/>
  <c r="BH170" i="39"/>
  <c r="BG170" i="39"/>
  <c r="BF170" i="39"/>
  <c r="BE170" i="39"/>
  <c r="BC170" i="39"/>
  <c r="BA170" i="39"/>
  <c r="AZ170" i="39"/>
  <c r="BR169" i="39"/>
  <c r="BQ169" i="39"/>
  <c r="BP169" i="39"/>
  <c r="BO169" i="39"/>
  <c r="BM169" i="39"/>
  <c r="BL169" i="39"/>
  <c r="BK169" i="39"/>
  <c r="BJ169" i="39"/>
  <c r="BH169" i="39"/>
  <c r="BG169" i="39"/>
  <c r="BF169" i="39"/>
  <c r="BE169" i="39"/>
  <c r="BC169" i="39"/>
  <c r="BA169" i="39"/>
  <c r="AZ169" i="39"/>
  <c r="CZ168" i="39"/>
  <c r="CY168" i="39"/>
  <c r="CX168" i="39"/>
  <c r="CV168" i="39"/>
  <c r="CU168" i="39"/>
  <c r="CT168" i="39"/>
  <c r="CS168" i="39"/>
  <c r="CQ168" i="39"/>
  <c r="CP168" i="39"/>
  <c r="CO168" i="39"/>
  <c r="CN168" i="39"/>
  <c r="CL168" i="39"/>
  <c r="CK168" i="39"/>
  <c r="CJ168" i="39"/>
  <c r="CI168" i="39"/>
  <c r="CG168" i="39"/>
  <c r="CF168" i="39"/>
  <c r="CE168" i="39"/>
  <c r="CD168" i="39"/>
  <c r="CB168" i="39"/>
  <c r="CA168" i="39"/>
  <c r="BZ168" i="39"/>
  <c r="BY168" i="39"/>
  <c r="BW168" i="39"/>
  <c r="BV168" i="39"/>
  <c r="BU168" i="39"/>
  <c r="BT168" i="39"/>
  <c r="BR168" i="39"/>
  <c r="BQ168" i="39"/>
  <c r="BP168" i="39"/>
  <c r="BO168" i="39"/>
  <c r="BM168" i="39"/>
  <c r="BL168" i="39"/>
  <c r="BK168" i="39"/>
  <c r="BJ168" i="39"/>
  <c r="BH168" i="39"/>
  <c r="BG168" i="39"/>
  <c r="BF168" i="39"/>
  <c r="BE168" i="39"/>
  <c r="BC168" i="39"/>
  <c r="BA168" i="39"/>
  <c r="AZ168" i="39"/>
  <c r="CZ167" i="39"/>
  <c r="CY167" i="39"/>
  <c r="CX167" i="39"/>
  <c r="CV167" i="39"/>
  <c r="CU167" i="39"/>
  <c r="CT167" i="39"/>
  <c r="CS167" i="39"/>
  <c r="CQ167" i="39"/>
  <c r="CP167" i="39"/>
  <c r="CO167" i="39"/>
  <c r="CN167" i="39"/>
  <c r="CL167" i="39"/>
  <c r="CK167" i="39"/>
  <c r="CJ167" i="39"/>
  <c r="CI167" i="39"/>
  <c r="CG167" i="39"/>
  <c r="CF167" i="39"/>
  <c r="CE167" i="39"/>
  <c r="CD167" i="39"/>
  <c r="CB167" i="39"/>
  <c r="CA167" i="39"/>
  <c r="BZ167" i="39"/>
  <c r="BY167" i="39"/>
  <c r="BW167" i="39"/>
  <c r="BV167" i="39"/>
  <c r="BU167" i="39"/>
  <c r="BT167" i="39"/>
  <c r="BR167" i="39"/>
  <c r="BQ167" i="39"/>
  <c r="BP167" i="39"/>
  <c r="BO167" i="39"/>
  <c r="BM167" i="39"/>
  <c r="BL167" i="39"/>
  <c r="BK167" i="39"/>
  <c r="BJ167" i="39"/>
  <c r="BH167" i="39"/>
  <c r="BG167" i="39"/>
  <c r="BF167" i="39"/>
  <c r="BE167" i="39"/>
  <c r="BC167" i="39"/>
  <c r="BA167" i="39"/>
  <c r="AZ167" i="39"/>
  <c r="CZ164" i="39"/>
  <c r="CY164" i="39"/>
  <c r="CX164" i="39"/>
  <c r="CV164" i="39"/>
  <c r="CU164" i="39"/>
  <c r="CT164" i="39"/>
  <c r="CS164" i="39"/>
  <c r="CQ164" i="39"/>
  <c r="CP164" i="39"/>
  <c r="CO164" i="39"/>
  <c r="CN164" i="39"/>
  <c r="CL164" i="39"/>
  <c r="DA163" i="39"/>
  <c r="DA174" i="39" s="1"/>
  <c r="CW163" i="39"/>
  <c r="CR163" i="39"/>
  <c r="DA162" i="39"/>
  <c r="CW162" i="39"/>
  <c r="CR162" i="39"/>
  <c r="DA161" i="39"/>
  <c r="DC161" i="39" s="1"/>
  <c r="CW161" i="39"/>
  <c r="CR161" i="39"/>
  <c r="DA160" i="39"/>
  <c r="CW160" i="39"/>
  <c r="CR160" i="39"/>
  <c r="DA159" i="39"/>
  <c r="CW159" i="39"/>
  <c r="CR159" i="39"/>
  <c r="CZ158" i="39"/>
  <c r="CY158" i="39"/>
  <c r="CX158" i="39"/>
  <c r="CV158" i="39"/>
  <c r="CU158" i="39"/>
  <c r="CT158" i="39"/>
  <c r="CS158" i="39"/>
  <c r="CQ158" i="39"/>
  <c r="CP158" i="39"/>
  <c r="CO158" i="39"/>
  <c r="CN158" i="39"/>
  <c r="CK158" i="39"/>
  <c r="CJ158" i="39"/>
  <c r="CI158" i="39"/>
  <c r="CG158" i="39"/>
  <c r="CG164" i="39" s="1"/>
  <c r="CF158" i="39"/>
  <c r="CF164" i="39" s="1"/>
  <c r="CE158" i="39"/>
  <c r="CD158" i="39"/>
  <c r="CB158" i="39"/>
  <c r="CB164" i="39" s="1"/>
  <c r="CA158" i="39"/>
  <c r="BZ158" i="39"/>
  <c r="BY158" i="39"/>
  <c r="BW158" i="39"/>
  <c r="BW164" i="39" s="1"/>
  <c r="BV158" i="39"/>
  <c r="BV164" i="39" s="1"/>
  <c r="BU158" i="39"/>
  <c r="BT158" i="39"/>
  <c r="BT185" i="39" s="1"/>
  <c r="BS158" i="39"/>
  <c r="BS164" i="39" s="1"/>
  <c r="DA157" i="39"/>
  <c r="DA184" i="39" s="1"/>
  <c r="CW157" i="39"/>
  <c r="CR157" i="39"/>
  <c r="DA156" i="39"/>
  <c r="DC156" i="39" s="1"/>
  <c r="CW156" i="39"/>
  <c r="CR156" i="39"/>
  <c r="BW153" i="39"/>
  <c r="BV153" i="39"/>
  <c r="BU153" i="39"/>
  <c r="BT153" i="39"/>
  <c r="DC152" i="39"/>
  <c r="DD152" i="39" s="1"/>
  <c r="DB152" i="39"/>
  <c r="CW152" i="39"/>
  <c r="CR152" i="39"/>
  <c r="DN151" i="39"/>
  <c r="DO151" i="39" s="1"/>
  <c r="DP151" i="39" s="1"/>
  <c r="DI151" i="39"/>
  <c r="DJ151" i="39" s="1"/>
  <c r="DK151" i="39" s="1"/>
  <c r="DD151" i="39"/>
  <c r="DE151" i="39" s="1"/>
  <c r="DF151" i="39" s="1"/>
  <c r="DB151" i="39"/>
  <c r="CW151" i="39"/>
  <c r="CR151" i="39"/>
  <c r="DN150" i="39"/>
  <c r="DO150" i="39" s="1"/>
  <c r="DP150" i="39" s="1"/>
  <c r="DI150" i="39"/>
  <c r="DJ150" i="39" s="1"/>
  <c r="DD150" i="39"/>
  <c r="DB150" i="39"/>
  <c r="CV150" i="39"/>
  <c r="BZ150" i="39"/>
  <c r="CA150" i="39" s="1"/>
  <c r="CB150" i="39" s="1"/>
  <c r="CD150" i="39" s="1"/>
  <c r="CE150" i="39" s="1"/>
  <c r="CF150" i="39" s="1"/>
  <c r="CG150" i="39" s="1"/>
  <c r="CI150" i="39" s="1"/>
  <c r="CJ150" i="39" s="1"/>
  <c r="CK150" i="39" s="1"/>
  <c r="CL150" i="39" s="1"/>
  <c r="CN150" i="39" s="1"/>
  <c r="CV149" i="39"/>
  <c r="CX149" i="39" s="1"/>
  <c r="CY149" i="39" s="1"/>
  <c r="CZ149" i="39" s="1"/>
  <c r="DA149" i="39" s="1"/>
  <c r="DC149" i="39" s="1"/>
  <c r="BY149" i="39"/>
  <c r="BZ149" i="39" s="1"/>
  <c r="CA149" i="39" s="1"/>
  <c r="CB149" i="39" s="1"/>
  <c r="CD149" i="39" s="1"/>
  <c r="CE149" i="39" s="1"/>
  <c r="CF149" i="39" s="1"/>
  <c r="CG149" i="39" s="1"/>
  <c r="CI149" i="39" s="1"/>
  <c r="CJ149" i="39" s="1"/>
  <c r="CK149" i="39" s="1"/>
  <c r="CL149" i="39" s="1"/>
  <c r="CN149" i="39" s="1"/>
  <c r="BY148" i="39"/>
  <c r="BZ148" i="39" s="1"/>
  <c r="CA148" i="39" s="1"/>
  <c r="CB148" i="39" s="1"/>
  <c r="CD148" i="39" s="1"/>
  <c r="CE148" i="39" s="1"/>
  <c r="CF148" i="39" s="1"/>
  <c r="CG148" i="39" s="1"/>
  <c r="CI148" i="39" s="1"/>
  <c r="CJ148" i="39" s="1"/>
  <c r="CK148" i="39" s="1"/>
  <c r="CL148" i="39" s="1"/>
  <c r="CN148" i="39" s="1"/>
  <c r="BY147" i="39"/>
  <c r="BZ147" i="39" s="1"/>
  <c r="CA147" i="39" s="1"/>
  <c r="CB147" i="39" s="1"/>
  <c r="CD147" i="39" s="1"/>
  <c r="CE147" i="39" s="1"/>
  <c r="CF147" i="39" s="1"/>
  <c r="CG147" i="39" s="1"/>
  <c r="CI147" i="39" s="1"/>
  <c r="CJ147" i="39" s="1"/>
  <c r="CK147" i="39" s="1"/>
  <c r="CL147" i="39" s="1"/>
  <c r="CN147" i="39" s="1"/>
  <c r="BY146" i="39"/>
  <c r="BZ146" i="39" s="1"/>
  <c r="CA146" i="39" s="1"/>
  <c r="CB146" i="39" s="1"/>
  <c r="CD146" i="39" s="1"/>
  <c r="CE146" i="39" s="1"/>
  <c r="CF146" i="39" s="1"/>
  <c r="CG146" i="39" s="1"/>
  <c r="CI146" i="39" s="1"/>
  <c r="CJ146" i="39" s="1"/>
  <c r="CK146" i="39" s="1"/>
  <c r="CL146" i="39" s="1"/>
  <c r="CN146" i="39" s="1"/>
  <c r="DM145" i="39"/>
  <c r="DN145" i="39" s="1"/>
  <c r="DH145" i="39"/>
  <c r="DC145" i="39"/>
  <c r="DD145" i="39" s="1"/>
  <c r="BY145" i="39"/>
  <c r="EO138" i="39"/>
  <c r="EN138" i="39"/>
  <c r="EM138" i="39"/>
  <c r="EL138" i="39"/>
  <c r="EJ138" i="39"/>
  <c r="EI138" i="39"/>
  <c r="EH138" i="39"/>
  <c r="EG138" i="39"/>
  <c r="EE138" i="39"/>
  <c r="ED138" i="39"/>
  <c r="EC138" i="39"/>
  <c r="EB138" i="39"/>
  <c r="DZ138" i="39"/>
  <c r="DY138" i="39"/>
  <c r="DX138" i="39"/>
  <c r="DW138" i="39"/>
  <c r="DU138" i="39"/>
  <c r="DT138" i="39"/>
  <c r="DS138" i="39"/>
  <c r="DR138" i="39"/>
  <c r="DP138" i="39"/>
  <c r="DO138" i="39"/>
  <c r="DN138" i="39"/>
  <c r="DM138" i="39"/>
  <c r="DK138" i="39"/>
  <c r="DJ138" i="39"/>
  <c r="DI138" i="39"/>
  <c r="DH138" i="39"/>
  <c r="DF138" i="39"/>
  <c r="DE138" i="39"/>
  <c r="DD138" i="39"/>
  <c r="DC138" i="39"/>
  <c r="DA138" i="39"/>
  <c r="CZ138" i="39"/>
  <c r="CY138" i="39"/>
  <c r="CX138" i="39"/>
  <c r="CV138" i="39"/>
  <c r="CU138" i="39"/>
  <c r="CT138" i="39"/>
  <c r="CS138" i="39"/>
  <c r="CQ138" i="39"/>
  <c r="CP138" i="39"/>
  <c r="CO138" i="39"/>
  <c r="CN138" i="39"/>
  <c r="EO137" i="39"/>
  <c r="EN137" i="39"/>
  <c r="EM137" i="39"/>
  <c r="EL137" i="39"/>
  <c r="EJ137" i="39"/>
  <c r="EI137" i="39"/>
  <c r="EH137" i="39"/>
  <c r="EG137" i="39"/>
  <c r="EE137" i="39"/>
  <c r="ED137" i="39"/>
  <c r="EC137" i="39"/>
  <c r="EB137" i="39"/>
  <c r="DZ137" i="39"/>
  <c r="DY137" i="39"/>
  <c r="DX137" i="39"/>
  <c r="DW137" i="39"/>
  <c r="DU137" i="39"/>
  <c r="DT137" i="39"/>
  <c r="DS137" i="39"/>
  <c r="DR137" i="39"/>
  <c r="DP137" i="39"/>
  <c r="DO137" i="39"/>
  <c r="DN137" i="39"/>
  <c r="DM137" i="39"/>
  <c r="DK137" i="39"/>
  <c r="DJ137" i="39"/>
  <c r="DI137" i="39"/>
  <c r="DH137" i="39"/>
  <c r="DF137" i="39"/>
  <c r="DE137" i="39"/>
  <c r="DD137" i="39"/>
  <c r="DC137" i="39"/>
  <c r="DA137" i="39"/>
  <c r="CZ137" i="39"/>
  <c r="CY137" i="39"/>
  <c r="CX137" i="39"/>
  <c r="CV137" i="39"/>
  <c r="CU137" i="39"/>
  <c r="CT137" i="39"/>
  <c r="CS137" i="39"/>
  <c r="CQ137" i="39"/>
  <c r="CP137" i="39"/>
  <c r="CO137" i="39"/>
  <c r="CN137" i="39"/>
  <c r="EO136" i="39"/>
  <c r="EN136" i="39"/>
  <c r="EM136" i="39"/>
  <c r="EL136" i="39"/>
  <c r="EJ136" i="39"/>
  <c r="EI136" i="39"/>
  <c r="EH136" i="39"/>
  <c r="EG136" i="39"/>
  <c r="EE136" i="39"/>
  <c r="ED136" i="39"/>
  <c r="EC136" i="39"/>
  <c r="EB136" i="39"/>
  <c r="DZ136" i="39"/>
  <c r="DY136" i="39"/>
  <c r="DX136" i="39"/>
  <c r="DW136" i="39"/>
  <c r="DU136" i="39"/>
  <c r="DT136" i="39"/>
  <c r="DS136" i="39"/>
  <c r="DR136" i="39"/>
  <c r="DP136" i="39"/>
  <c r="DO136" i="39"/>
  <c r="DN136" i="39"/>
  <c r="DM136" i="39"/>
  <c r="DK136" i="39"/>
  <c r="DJ136" i="39"/>
  <c r="DI136" i="39"/>
  <c r="DH136" i="39"/>
  <c r="DF136" i="39"/>
  <c r="DE136" i="39"/>
  <c r="DD136" i="39"/>
  <c r="DC136" i="39"/>
  <c r="DA136" i="39"/>
  <c r="CZ136" i="39"/>
  <c r="CY136" i="39"/>
  <c r="CX136" i="39"/>
  <c r="CV136" i="39"/>
  <c r="CU136" i="39"/>
  <c r="CT136" i="39"/>
  <c r="CS136" i="39"/>
  <c r="CQ136" i="39"/>
  <c r="CP136" i="39"/>
  <c r="CO136" i="39"/>
  <c r="CN136" i="39"/>
  <c r="EO131" i="39"/>
  <c r="EQ131" i="39" s="1"/>
  <c r="ER131" i="39" s="1"/>
  <c r="ES131" i="39" s="1"/>
  <c r="ET131" i="39" s="1"/>
  <c r="EV131" i="39" s="1"/>
  <c r="EW131" i="39" s="1"/>
  <c r="EX131" i="39" s="1"/>
  <c r="EY131" i="39" s="1"/>
  <c r="A128" i="39"/>
  <c r="EL127" i="39"/>
  <c r="EJ127" i="39"/>
  <c r="EI127" i="39"/>
  <c r="EH127" i="39"/>
  <c r="EG127" i="39"/>
  <c r="EE127" i="39"/>
  <c r="ED127" i="39"/>
  <c r="EC127" i="39"/>
  <c r="EB127" i="39"/>
  <c r="DZ127" i="39"/>
  <c r="DY127" i="39"/>
  <c r="DX127" i="39"/>
  <c r="DW127" i="39"/>
  <c r="DU127" i="39"/>
  <c r="DT127" i="39"/>
  <c r="DS127" i="39"/>
  <c r="DR127" i="39"/>
  <c r="DP127" i="39"/>
  <c r="DO127" i="39"/>
  <c r="DN127" i="39"/>
  <c r="DM127" i="39"/>
  <c r="DK127" i="39"/>
  <c r="DJ127" i="39"/>
  <c r="DI127" i="39"/>
  <c r="DH127" i="39"/>
  <c r="DF127" i="39"/>
  <c r="DE127" i="39"/>
  <c r="DD127" i="39"/>
  <c r="DC127" i="39"/>
  <c r="DA127" i="39"/>
  <c r="CZ127" i="39"/>
  <c r="CY127" i="39"/>
  <c r="CX127" i="39"/>
  <c r="CV127" i="39"/>
  <c r="CU127" i="39"/>
  <c r="CT127" i="39"/>
  <c r="CS127" i="39"/>
  <c r="A127" i="39"/>
  <c r="EL126" i="39"/>
  <c r="EJ126" i="39"/>
  <c r="EI126" i="39"/>
  <c r="EH126" i="39"/>
  <c r="EG126" i="39"/>
  <c r="EE126" i="39"/>
  <c r="ED126" i="39"/>
  <c r="EC126" i="39"/>
  <c r="EB126" i="39"/>
  <c r="DZ126" i="39"/>
  <c r="DY126" i="39"/>
  <c r="DX126" i="39"/>
  <c r="DW126" i="39"/>
  <c r="DU126" i="39"/>
  <c r="DT126" i="39"/>
  <c r="DS126" i="39"/>
  <c r="DR126" i="39"/>
  <c r="DP126" i="39"/>
  <c r="DO126" i="39"/>
  <c r="DN126" i="39"/>
  <c r="DM126" i="39"/>
  <c r="DK126" i="39"/>
  <c r="DJ126" i="39"/>
  <c r="DI126" i="39"/>
  <c r="DH126" i="39"/>
  <c r="DF126" i="39"/>
  <c r="DE126" i="39"/>
  <c r="DD126" i="39"/>
  <c r="DC126" i="39"/>
  <c r="DA126" i="39"/>
  <c r="CZ126" i="39"/>
  <c r="CY126" i="39"/>
  <c r="CX126" i="39"/>
  <c r="CV126" i="39"/>
  <c r="CU126" i="39"/>
  <c r="CT126" i="39"/>
  <c r="CS126" i="39"/>
  <c r="A126" i="39"/>
  <c r="EL125" i="39"/>
  <c r="EJ125" i="39"/>
  <c r="EI125" i="39"/>
  <c r="EH125" i="39"/>
  <c r="EG125" i="39"/>
  <c r="EE125" i="39"/>
  <c r="ED125" i="39"/>
  <c r="EC125" i="39"/>
  <c r="EB125" i="39"/>
  <c r="DZ125" i="39"/>
  <c r="DY125" i="39"/>
  <c r="DX125" i="39"/>
  <c r="DW125" i="39"/>
  <c r="DU125" i="39"/>
  <c r="DT125" i="39"/>
  <c r="DS125" i="39"/>
  <c r="DR125" i="39"/>
  <c r="DP125" i="39"/>
  <c r="DO125" i="39"/>
  <c r="DN125" i="39"/>
  <c r="DM125" i="39"/>
  <c r="DK125" i="39"/>
  <c r="DJ125" i="39"/>
  <c r="DI125" i="39"/>
  <c r="DH125" i="39"/>
  <c r="DF125" i="39"/>
  <c r="DE125" i="39"/>
  <c r="DD125" i="39"/>
  <c r="DC125" i="39"/>
  <c r="DA125" i="39"/>
  <c r="CZ125" i="39"/>
  <c r="CY125" i="39"/>
  <c r="CX125" i="39"/>
  <c r="CV125" i="39"/>
  <c r="CU125" i="39"/>
  <c r="CT125" i="39"/>
  <c r="CS125" i="39"/>
  <c r="A125" i="39"/>
  <c r="EL124" i="39"/>
  <c r="EJ124" i="39"/>
  <c r="EI124" i="39"/>
  <c r="EH124" i="39"/>
  <c r="EG124" i="39"/>
  <c r="EE124" i="39"/>
  <c r="ED124" i="39"/>
  <c r="EC124" i="39"/>
  <c r="EB124" i="39"/>
  <c r="DZ124" i="39"/>
  <c r="DY124" i="39"/>
  <c r="DX124" i="39"/>
  <c r="DW124" i="39"/>
  <c r="DU124" i="39"/>
  <c r="DT124" i="39"/>
  <c r="DS124" i="39"/>
  <c r="DR124" i="39"/>
  <c r="DP124" i="39"/>
  <c r="DO124" i="39"/>
  <c r="DN124" i="39"/>
  <c r="DM124" i="39"/>
  <c r="DK124" i="39"/>
  <c r="DJ124" i="39"/>
  <c r="DI124" i="39"/>
  <c r="DH124" i="39"/>
  <c r="DF124" i="39"/>
  <c r="DE124" i="39"/>
  <c r="DD124" i="39"/>
  <c r="DC124" i="39"/>
  <c r="DA124" i="39"/>
  <c r="CZ124" i="39"/>
  <c r="CY124" i="39"/>
  <c r="CX124" i="39"/>
  <c r="CV124" i="39"/>
  <c r="CU124" i="39"/>
  <c r="CT124" i="39"/>
  <c r="CS124" i="39"/>
  <c r="A124" i="39"/>
  <c r="EU120" i="39"/>
  <c r="EO119" i="39"/>
  <c r="EQ119" i="39" s="1"/>
  <c r="A116" i="39"/>
  <c r="EL115" i="39"/>
  <c r="EJ115" i="39"/>
  <c r="EI115" i="39"/>
  <c r="EH115" i="39"/>
  <c r="EG115" i="39"/>
  <c r="EE115" i="39"/>
  <c r="ED115" i="39"/>
  <c r="EC115" i="39"/>
  <c r="EB115" i="39"/>
  <c r="DZ115" i="39"/>
  <c r="DY115" i="39"/>
  <c r="DX115" i="39"/>
  <c r="DW115" i="39"/>
  <c r="DU115" i="39"/>
  <c r="DT115" i="39"/>
  <c r="DS115" i="39"/>
  <c r="DR115" i="39"/>
  <c r="DP115" i="39"/>
  <c r="DO115" i="39"/>
  <c r="DN115" i="39"/>
  <c r="DM115" i="39"/>
  <c r="DK115" i="39"/>
  <c r="DJ115" i="39"/>
  <c r="DI115" i="39"/>
  <c r="DH115" i="39"/>
  <c r="DF115" i="39"/>
  <c r="DE115" i="39"/>
  <c r="DD115" i="39"/>
  <c r="DC115" i="39"/>
  <c r="DA115" i="39"/>
  <c r="CZ115" i="39"/>
  <c r="CY115" i="39"/>
  <c r="CX115" i="39"/>
  <c r="CV115" i="39"/>
  <c r="CU115" i="39"/>
  <c r="CT115" i="39"/>
  <c r="CS115" i="39"/>
  <c r="A115" i="39"/>
  <c r="EL114" i="39"/>
  <c r="EJ114" i="39"/>
  <c r="EI114" i="39"/>
  <c r="EH114" i="39"/>
  <c r="EG114" i="39"/>
  <c r="EE114" i="39"/>
  <c r="ED114" i="39"/>
  <c r="EC114" i="39"/>
  <c r="EB114" i="39"/>
  <c r="DZ114" i="39"/>
  <c r="DY114" i="39"/>
  <c r="DX114" i="39"/>
  <c r="DW114" i="39"/>
  <c r="DU114" i="39"/>
  <c r="DT114" i="39"/>
  <c r="DS114" i="39"/>
  <c r="DR114" i="39"/>
  <c r="DP114" i="39"/>
  <c r="DO114" i="39"/>
  <c r="DN114" i="39"/>
  <c r="DM114" i="39"/>
  <c r="DK114" i="39"/>
  <c r="DJ114" i="39"/>
  <c r="DI114" i="39"/>
  <c r="DH114" i="39"/>
  <c r="DF114" i="39"/>
  <c r="DE114" i="39"/>
  <c r="DD114" i="39"/>
  <c r="DC114" i="39"/>
  <c r="DA114" i="39"/>
  <c r="CZ114" i="39"/>
  <c r="CY114" i="39"/>
  <c r="CX114" i="39"/>
  <c r="CV114" i="39"/>
  <c r="CU114" i="39"/>
  <c r="CT114" i="39"/>
  <c r="CS114" i="39"/>
  <c r="A114" i="39"/>
  <c r="EL113" i="39"/>
  <c r="EJ113" i="39"/>
  <c r="EI113" i="39"/>
  <c r="EH113" i="39"/>
  <c r="EG113" i="39"/>
  <c r="EE113" i="39"/>
  <c r="ED113" i="39"/>
  <c r="EC113" i="39"/>
  <c r="EB113" i="39"/>
  <c r="DZ113" i="39"/>
  <c r="DY113" i="39"/>
  <c r="DX113" i="39"/>
  <c r="DW113" i="39"/>
  <c r="DU113" i="39"/>
  <c r="DT113" i="39"/>
  <c r="DS113" i="39"/>
  <c r="DR113" i="39"/>
  <c r="DP113" i="39"/>
  <c r="DO113" i="39"/>
  <c r="DN113" i="39"/>
  <c r="DM113" i="39"/>
  <c r="DK113" i="39"/>
  <c r="DJ113" i="39"/>
  <c r="DI113" i="39"/>
  <c r="DH113" i="39"/>
  <c r="DF113" i="39"/>
  <c r="DE113" i="39"/>
  <c r="DD113" i="39"/>
  <c r="DC113" i="39"/>
  <c r="DA113" i="39"/>
  <c r="CZ113" i="39"/>
  <c r="CY113" i="39"/>
  <c r="CX113" i="39"/>
  <c r="CV113" i="39"/>
  <c r="CU113" i="39"/>
  <c r="CT113" i="39"/>
  <c r="CS113" i="39"/>
  <c r="A113" i="39"/>
  <c r="EL112" i="39"/>
  <c r="EJ112" i="39"/>
  <c r="EI112" i="39"/>
  <c r="EH112" i="39"/>
  <c r="EG112" i="39"/>
  <c r="EE112" i="39"/>
  <c r="ED112" i="39"/>
  <c r="EC112" i="39"/>
  <c r="EB112" i="39"/>
  <c r="DZ112" i="39"/>
  <c r="DY112" i="39"/>
  <c r="DX112" i="39"/>
  <c r="DW112" i="39"/>
  <c r="DU112" i="39"/>
  <c r="DT112" i="39"/>
  <c r="DS112" i="39"/>
  <c r="DR112" i="39"/>
  <c r="DP112" i="39"/>
  <c r="DO112" i="39"/>
  <c r="DN112" i="39"/>
  <c r="DM112" i="39"/>
  <c r="DK112" i="39"/>
  <c r="DJ112" i="39"/>
  <c r="DI112" i="39"/>
  <c r="DH112" i="39"/>
  <c r="DF112" i="39"/>
  <c r="DE112" i="39"/>
  <c r="DD112" i="39"/>
  <c r="DC112" i="39"/>
  <c r="DA112" i="39"/>
  <c r="CZ112" i="39"/>
  <c r="CY112" i="39"/>
  <c r="CX112" i="39"/>
  <c r="CV112" i="39"/>
  <c r="CU112" i="39"/>
  <c r="CT112" i="39"/>
  <c r="CS112" i="39"/>
  <c r="A112" i="39"/>
  <c r="EL109" i="39"/>
  <c r="EJ109" i="39"/>
  <c r="EI109" i="39"/>
  <c r="EH109" i="39"/>
  <c r="EG109" i="39"/>
  <c r="EE109" i="39"/>
  <c r="ED109" i="39"/>
  <c r="EC109" i="39"/>
  <c r="EB109" i="39"/>
  <c r="DZ109" i="39"/>
  <c r="DY109" i="39"/>
  <c r="DX109" i="39"/>
  <c r="DW109" i="39"/>
  <c r="DU109" i="39"/>
  <c r="DT109" i="39"/>
  <c r="DS109" i="39"/>
  <c r="DR109" i="39"/>
  <c r="DP109" i="39"/>
  <c r="DO109" i="39"/>
  <c r="DN109" i="39"/>
  <c r="DM109" i="39"/>
  <c r="DK109" i="39"/>
  <c r="DJ109" i="39"/>
  <c r="DI109" i="39"/>
  <c r="DH109" i="39"/>
  <c r="DF109" i="39"/>
  <c r="DE109" i="39"/>
  <c r="DD109" i="39"/>
  <c r="DC109" i="39"/>
  <c r="DA109" i="39"/>
  <c r="CZ109" i="39"/>
  <c r="CY109" i="39"/>
  <c r="CX109" i="39"/>
  <c r="CV109" i="39"/>
  <c r="CU109" i="39"/>
  <c r="CT109" i="39"/>
  <c r="CS109" i="39"/>
  <c r="CQ109" i="39"/>
  <c r="CP109" i="39"/>
  <c r="CO109" i="39"/>
  <c r="CN109" i="39"/>
  <c r="CU116" i="39" l="1"/>
  <c r="DO116" i="39"/>
  <c r="CT128" i="39"/>
  <c r="CU128" i="39"/>
  <c r="DE128" i="39"/>
  <c r="DO128" i="39"/>
  <c r="EC128" i="39"/>
  <c r="DA158" i="39"/>
  <c r="DA185" i="39" s="1"/>
  <c r="DQ109" i="39"/>
  <c r="DX128" i="39"/>
  <c r="CZ128" i="39"/>
  <c r="DA128" i="39"/>
  <c r="CS128" i="39"/>
  <c r="DP116" i="39"/>
  <c r="EI116" i="39"/>
  <c r="EH128" i="39"/>
  <c r="CZ116" i="39"/>
  <c r="BC176" i="39"/>
  <c r="BC178" i="39" s="1"/>
  <c r="BM176" i="39"/>
  <c r="BM178" i="39" s="1"/>
  <c r="CY128" i="39"/>
  <c r="EE116" i="39"/>
  <c r="EL128" i="39"/>
  <c r="BE176" i="39"/>
  <c r="BE178" i="39" s="1"/>
  <c r="DB156" i="39"/>
  <c r="DB167" i="39" s="1"/>
  <c r="BF176" i="39"/>
  <c r="BF178" i="39" s="1"/>
  <c r="BP176" i="39"/>
  <c r="BP178" i="39" s="1"/>
  <c r="BH192" i="39"/>
  <c r="BR192" i="39"/>
  <c r="DU116" i="39"/>
  <c r="DE116" i="39"/>
  <c r="DP128" i="39"/>
  <c r="DY128" i="39"/>
  <c r="EI128" i="39"/>
  <c r="BG176" i="39"/>
  <c r="BG178" i="39" s="1"/>
  <c r="EJ128" i="39"/>
  <c r="CY175" i="39"/>
  <c r="BH176" i="39"/>
  <c r="BH178" i="39" s="1"/>
  <c r="BA192" i="39"/>
  <c r="BK192" i="39"/>
  <c r="BB192" i="39"/>
  <c r="BK176" i="39"/>
  <c r="BK178" i="39" s="1"/>
  <c r="BA176" i="39"/>
  <c r="BA178" i="39" s="1"/>
  <c r="BE192" i="39"/>
  <c r="BO192" i="39"/>
  <c r="CU191" i="39"/>
  <c r="CT116" i="39"/>
  <c r="DX116" i="39"/>
  <c r="EF109" i="39"/>
  <c r="AZ192" i="39"/>
  <c r="BJ192" i="39"/>
  <c r="EE128" i="39"/>
  <c r="DH116" i="39"/>
  <c r="DM116" i="39"/>
  <c r="EG128" i="39"/>
  <c r="DL151" i="39"/>
  <c r="BT164" i="39"/>
  <c r="BT175" i="39" s="1"/>
  <c r="BQ176" i="39"/>
  <c r="BQ178" i="39" s="1"/>
  <c r="BT169" i="39"/>
  <c r="BL192" i="39"/>
  <c r="BR176" i="39"/>
  <c r="BR178" i="39" s="1"/>
  <c r="BC192" i="39"/>
  <c r="BM192" i="39"/>
  <c r="DT116" i="39"/>
  <c r="CX128" i="39"/>
  <c r="DK116" i="39"/>
  <c r="DR128" i="39"/>
  <c r="ED116" i="39"/>
  <c r="BF192" i="39"/>
  <c r="BP192" i="39"/>
  <c r="CV128" i="39"/>
  <c r="CR158" i="39"/>
  <c r="CT175" i="39"/>
  <c r="BB176" i="39"/>
  <c r="BB178" i="39" s="1"/>
  <c r="BL176" i="39"/>
  <c r="BL178" i="39" s="1"/>
  <c r="BG192" i="39"/>
  <c r="BQ192" i="39"/>
  <c r="CR109" i="39"/>
  <c r="DL109" i="39"/>
  <c r="DQ116" i="39" s="1"/>
  <c r="DI116" i="39"/>
  <c r="DW116" i="39"/>
  <c r="DK128" i="39"/>
  <c r="DG151" i="39"/>
  <c r="CW167" i="39"/>
  <c r="CD185" i="39"/>
  <c r="EN115" i="39"/>
  <c r="EN112" i="39"/>
  <c r="EN109" i="39"/>
  <c r="EN116" i="39" s="1"/>
  <c r="EN113" i="39"/>
  <c r="EN114" i="39"/>
  <c r="EM113" i="39"/>
  <c r="EN125" i="39"/>
  <c r="EM115" i="39"/>
  <c r="EN127" i="39"/>
  <c r="EM112" i="39"/>
  <c r="EM109" i="39"/>
  <c r="EM128" i="39" s="1"/>
  <c r="EN124" i="39"/>
  <c r="EM114" i="39"/>
  <c r="EN126" i="39"/>
  <c r="CO148" i="39"/>
  <c r="CP148" i="39" s="1"/>
  <c r="CQ148" i="39" s="1"/>
  <c r="CS148" i="39" s="1"/>
  <c r="ER119" i="39"/>
  <c r="ES119" i="39" s="1"/>
  <c r="ET119" i="39" s="1"/>
  <c r="EV119" i="39" s="1"/>
  <c r="CO149" i="39"/>
  <c r="CP149" i="39" s="1"/>
  <c r="CQ149" i="39" s="1"/>
  <c r="CS149" i="39" s="1"/>
  <c r="CW149" i="39" s="1"/>
  <c r="CO146" i="39"/>
  <c r="CP146" i="39" s="1"/>
  <c r="CQ146" i="39" s="1"/>
  <c r="CO147" i="39"/>
  <c r="CP147" i="39" s="1"/>
  <c r="CQ147" i="39" s="1"/>
  <c r="CS147" i="39" s="1"/>
  <c r="DB109" i="39"/>
  <c r="DJ116" i="39"/>
  <c r="DR116" i="39"/>
  <c r="DZ116" i="39"/>
  <c r="EH116" i="39"/>
  <c r="DH128" i="39"/>
  <c r="EB128" i="39"/>
  <c r="DA169" i="39"/>
  <c r="CV191" i="39"/>
  <c r="CV175" i="39"/>
  <c r="EG116" i="39"/>
  <c r="DZ128" i="39"/>
  <c r="DK150" i="39"/>
  <c r="DL150" i="39" s="1"/>
  <c r="DC188" i="39"/>
  <c r="DC172" i="39"/>
  <c r="DD161" i="39"/>
  <c r="DC116" i="39"/>
  <c r="DS116" i="39"/>
  <c r="DI128" i="39"/>
  <c r="DS128" i="39"/>
  <c r="CS185" i="39"/>
  <c r="CS169" i="39"/>
  <c r="CN191" i="39"/>
  <c r="CR164" i="39"/>
  <c r="DF128" i="39"/>
  <c r="EA109" i="39"/>
  <c r="CV116" i="39"/>
  <c r="DD116" i="39"/>
  <c r="EB116" i="39"/>
  <c r="EJ116" i="39"/>
  <c r="DJ128" i="39"/>
  <c r="DT128" i="39"/>
  <c r="ED128" i="39"/>
  <c r="CO150" i="39"/>
  <c r="CP150" i="39" s="1"/>
  <c r="CQ150" i="39" s="1"/>
  <c r="CS150" i="39" s="1"/>
  <c r="CW150" i="39" s="1"/>
  <c r="BY185" i="39"/>
  <c r="BY169" i="39"/>
  <c r="BY164" i="39"/>
  <c r="CI185" i="39"/>
  <c r="CI169" i="39"/>
  <c r="CI164" i="39"/>
  <c r="CN175" i="39" s="1"/>
  <c r="CS116" i="39"/>
  <c r="DY116" i="39"/>
  <c r="CW109" i="39"/>
  <c r="EK109" i="39"/>
  <c r="DU128" i="39"/>
  <c r="BY153" i="39"/>
  <c r="BZ145" i="39"/>
  <c r="DA173" i="39"/>
  <c r="DC162" i="39"/>
  <c r="DB162" i="39"/>
  <c r="DB173" i="39" s="1"/>
  <c r="DA116" i="39"/>
  <c r="DV109" i="39"/>
  <c r="CX116" i="39"/>
  <c r="DF116" i="39"/>
  <c r="DN116" i="39"/>
  <c r="EL116" i="39"/>
  <c r="DC128" i="39"/>
  <c r="DM128" i="39"/>
  <c r="DW128" i="39"/>
  <c r="DG109" i="39"/>
  <c r="CY116" i="39"/>
  <c r="DD128" i="39"/>
  <c r="DN128" i="39"/>
  <c r="DD149" i="39"/>
  <c r="DE149" i="39" s="1"/>
  <c r="DF149" i="39" s="1"/>
  <c r="DH149" i="39" s="1"/>
  <c r="CB175" i="39"/>
  <c r="EC116" i="39"/>
  <c r="DB149" i="39"/>
  <c r="DE152" i="39"/>
  <c r="DF152" i="39" s="1"/>
  <c r="DH152" i="39" s="1"/>
  <c r="DA167" i="39"/>
  <c r="DA183" i="39"/>
  <c r="BZ185" i="39"/>
  <c r="BZ169" i="39"/>
  <c r="CJ185" i="39"/>
  <c r="CJ169" i="39"/>
  <c r="CT185" i="39"/>
  <c r="CT169" i="39"/>
  <c r="CW170" i="39"/>
  <c r="CW174" i="39"/>
  <c r="CD164" i="39"/>
  <c r="CX175" i="39"/>
  <c r="BO176" i="39"/>
  <c r="BO178" i="39" s="1"/>
  <c r="CD169" i="39"/>
  <c r="CW168" i="39"/>
  <c r="CW164" i="39"/>
  <c r="CA185" i="39"/>
  <c r="CA169" i="39"/>
  <c r="CL185" i="39"/>
  <c r="CK185" i="39"/>
  <c r="CK169" i="39"/>
  <c r="CU185" i="39"/>
  <c r="CU169" i="39"/>
  <c r="DA186" i="39"/>
  <c r="DA170" i="39"/>
  <c r="CP191" i="39"/>
  <c r="CN169" i="39"/>
  <c r="DE145" i="39"/>
  <c r="DO145" i="39"/>
  <c r="DC167" i="39"/>
  <c r="DC183" i="39"/>
  <c r="CB185" i="39"/>
  <c r="CB169" i="39"/>
  <c r="CV185" i="39"/>
  <c r="CV169" i="39"/>
  <c r="DB159" i="39"/>
  <c r="DB170" i="39" s="1"/>
  <c r="CW171" i="39"/>
  <c r="DB163" i="39"/>
  <c r="DB174" i="39" s="1"/>
  <c r="BV175" i="39"/>
  <c r="CG175" i="39"/>
  <c r="CG191" i="39"/>
  <c r="CQ175" i="39"/>
  <c r="CQ191" i="39"/>
  <c r="CZ175" i="39"/>
  <c r="CZ191" i="39"/>
  <c r="CU175" i="39"/>
  <c r="DE150" i="39"/>
  <c r="DF150" i="39" s="1"/>
  <c r="DD156" i="39"/>
  <c r="DB157" i="39"/>
  <c r="CO185" i="39"/>
  <c r="CO169" i="39"/>
  <c r="CW158" i="39"/>
  <c r="CW169" i="39" s="1"/>
  <c r="DC159" i="39"/>
  <c r="DA171" i="39"/>
  <c r="DA187" i="39"/>
  <c r="DC163" i="39"/>
  <c r="BW175" i="39"/>
  <c r="BW191" i="39"/>
  <c r="DA164" i="39"/>
  <c r="DC157" i="39"/>
  <c r="BU164" i="39"/>
  <c r="BU185" i="39"/>
  <c r="BU169" i="39"/>
  <c r="CE164" i="39"/>
  <c r="CF191" i="39" s="1"/>
  <c r="CE185" i="39"/>
  <c r="CE169" i="39"/>
  <c r="CP185" i="39"/>
  <c r="CP169" i="39"/>
  <c r="CX169" i="39"/>
  <c r="DB160" i="39"/>
  <c r="DB171" i="39" s="1"/>
  <c r="CW172" i="39"/>
  <c r="CJ164" i="39"/>
  <c r="CO175" i="39" s="1"/>
  <c r="CS175" i="39"/>
  <c r="CS191" i="39"/>
  <c r="AZ176" i="39"/>
  <c r="AZ178" i="39" s="1"/>
  <c r="BJ176" i="39"/>
  <c r="BJ178" i="39" s="1"/>
  <c r="CN185" i="39"/>
  <c r="DI145" i="39"/>
  <c r="BV185" i="39"/>
  <c r="BV169" i="39"/>
  <c r="CF185" i="39"/>
  <c r="CF169" i="39"/>
  <c r="CQ185" i="39"/>
  <c r="CQ169" i="39"/>
  <c r="CY169" i="39"/>
  <c r="CY185" i="39"/>
  <c r="DC160" i="39"/>
  <c r="DA188" i="39"/>
  <c r="DA172" i="39"/>
  <c r="BZ164" i="39"/>
  <c r="CK164" i="39"/>
  <c r="CP175" i="39" s="1"/>
  <c r="DA168" i="39"/>
  <c r="CX185" i="39"/>
  <c r="BW185" i="39"/>
  <c r="BW169" i="39"/>
  <c r="CL169" i="39"/>
  <c r="CG185" i="39"/>
  <c r="CG169" i="39"/>
  <c r="CZ169" i="39"/>
  <c r="CZ185" i="39"/>
  <c r="DB161" i="39"/>
  <c r="DB172" i="39" s="1"/>
  <c r="CW173" i="39"/>
  <c r="CA164" i="39"/>
  <c r="CB191" i="39" s="1"/>
  <c r="CL175" i="39"/>
  <c r="CX191" i="39"/>
  <c r="CO191" i="39"/>
  <c r="CY191" i="39"/>
  <c r="CT191" i="39"/>
  <c r="EP108" i="39"/>
  <c r="EK108" i="39"/>
  <c r="EF108" i="39"/>
  <c r="EA108" i="39"/>
  <c r="DV108" i="39"/>
  <c r="DQ108" i="39"/>
  <c r="DL108" i="39"/>
  <c r="DG108" i="39"/>
  <c r="DB108" i="39"/>
  <c r="CW108" i="39"/>
  <c r="CR108" i="39"/>
  <c r="CR146" i="39" l="1"/>
  <c r="EW119" i="39"/>
  <c r="EX119" i="39" s="1"/>
  <c r="EY119" i="39" s="1"/>
  <c r="EZ119" i="39"/>
  <c r="DV115" i="39"/>
  <c r="DL116" i="39"/>
  <c r="BW176" i="39"/>
  <c r="BW177" i="39" s="1"/>
  <c r="BT176" i="39"/>
  <c r="BT177" i="39" s="1"/>
  <c r="BT191" i="39"/>
  <c r="BT192" i="39" s="1"/>
  <c r="EF116" i="39"/>
  <c r="DB115" i="39"/>
  <c r="EA116" i="39"/>
  <c r="DQ115" i="39"/>
  <c r="DB116" i="39"/>
  <c r="CR150" i="39"/>
  <c r="BV176" i="39"/>
  <c r="BV177" i="39" s="1"/>
  <c r="CW175" i="39"/>
  <c r="EU119" i="39"/>
  <c r="DG149" i="39"/>
  <c r="BW192" i="39"/>
  <c r="CR148" i="39"/>
  <c r="DL115" i="39"/>
  <c r="EN128" i="39"/>
  <c r="EM116" i="39"/>
  <c r="EP115" i="39"/>
  <c r="DC186" i="39"/>
  <c r="DC170" i="39"/>
  <c r="DD159" i="39"/>
  <c r="DD188" i="39"/>
  <c r="DD172" i="39"/>
  <c r="DE161" i="39"/>
  <c r="DG115" i="39"/>
  <c r="EO127" i="39"/>
  <c r="EQ127" i="39"/>
  <c r="EO115" i="39"/>
  <c r="BZ175" i="39"/>
  <c r="BZ191" i="39"/>
  <c r="DJ145" i="39"/>
  <c r="DI152" i="39"/>
  <c r="DJ152" i="39" s="1"/>
  <c r="DK152" i="39" s="1"/>
  <c r="DM152" i="39" s="1"/>
  <c r="DN152" i="39" s="1"/>
  <c r="DO152" i="39" s="1"/>
  <c r="DP152" i="39" s="1"/>
  <c r="CT147" i="39"/>
  <c r="CU147" i="39" s="1"/>
  <c r="CV147" i="39" s="1"/>
  <c r="CX147" i="39" s="1"/>
  <c r="EK116" i="39"/>
  <c r="CT148" i="39"/>
  <c r="CU148" i="39" s="1"/>
  <c r="CV148" i="39" s="1"/>
  <c r="CX148" i="39" s="1"/>
  <c r="BU175" i="39"/>
  <c r="BU176" i="39" s="1"/>
  <c r="BU191" i="39"/>
  <c r="BU192" i="39" s="1"/>
  <c r="DA175" i="39"/>
  <c r="DA191" i="39"/>
  <c r="DP145" i="39"/>
  <c r="DG152" i="39"/>
  <c r="CR147" i="39"/>
  <c r="CW116" i="39"/>
  <c r="DV116" i="39"/>
  <c r="CR149" i="39"/>
  <c r="DC184" i="39"/>
  <c r="DC168" i="39"/>
  <c r="DD157" i="39"/>
  <c r="DC164" i="39"/>
  <c r="DC158" i="39"/>
  <c r="DF145" i="39"/>
  <c r="DG150" i="39"/>
  <c r="BZ153" i="39"/>
  <c r="CA145" i="39"/>
  <c r="DB168" i="39"/>
  <c r="DB164" i="39"/>
  <c r="DB175" i="39" s="1"/>
  <c r="DB158" i="39"/>
  <c r="DB169" i="39" s="1"/>
  <c r="DI149" i="39"/>
  <c r="DJ149" i="39" s="1"/>
  <c r="DK149" i="39" s="1"/>
  <c r="DM149" i="39" s="1"/>
  <c r="DN149" i="39" s="1"/>
  <c r="DO149" i="39" s="1"/>
  <c r="DP149" i="39" s="1"/>
  <c r="CI175" i="39"/>
  <c r="CI191" i="39"/>
  <c r="CS146" i="39"/>
  <c r="EQ115" i="39"/>
  <c r="ER108" i="39"/>
  <c r="DC171" i="39"/>
  <c r="DC187" i="39"/>
  <c r="DD160" i="39"/>
  <c r="EA115" i="39"/>
  <c r="DC174" i="39"/>
  <c r="DD163" i="39"/>
  <c r="DD167" i="39"/>
  <c r="DD183" i="39"/>
  <c r="DE156" i="39"/>
  <c r="BV191" i="39"/>
  <c r="BV192" i="39" s="1"/>
  <c r="CK191" i="39"/>
  <c r="CK175" i="39"/>
  <c r="CL191" i="39"/>
  <c r="CA191" i="39"/>
  <c r="CA175" i="39"/>
  <c r="EF115" i="39"/>
  <c r="CF175" i="39"/>
  <c r="CD175" i="39"/>
  <c r="CD191" i="39"/>
  <c r="DD162" i="39"/>
  <c r="DC173" i="39"/>
  <c r="DG116" i="39"/>
  <c r="CW115" i="39"/>
  <c r="EK115" i="39"/>
  <c r="CJ175" i="39"/>
  <c r="CJ191" i="39"/>
  <c r="CE175" i="39"/>
  <c r="CE191" i="39"/>
  <c r="BY175" i="39"/>
  <c r="BY176" i="39" s="1"/>
  <c r="BY191" i="39"/>
  <c r="BY192" i="39" s="1"/>
  <c r="EK107" i="39"/>
  <c r="EF107" i="39"/>
  <c r="EA107" i="39"/>
  <c r="DV107" i="39"/>
  <c r="DQ107" i="39"/>
  <c r="DL107" i="39"/>
  <c r="DG107" i="39"/>
  <c r="DB107" i="39"/>
  <c r="CW107" i="39"/>
  <c r="CR107" i="39"/>
  <c r="DV114" i="39" l="1"/>
  <c r="DL149" i="39"/>
  <c r="EA114" i="39"/>
  <c r="DB114" i="39"/>
  <c r="DL152" i="39"/>
  <c r="DG114" i="39"/>
  <c r="DL114" i="39"/>
  <c r="BZ192" i="39"/>
  <c r="EF114" i="39"/>
  <c r="BY177" i="39"/>
  <c r="DD173" i="39"/>
  <c r="DE162" i="39"/>
  <c r="EO114" i="39"/>
  <c r="EO126" i="39"/>
  <c r="BZ176" i="39"/>
  <c r="DC169" i="39"/>
  <c r="DC185" i="39"/>
  <c r="CY147" i="39"/>
  <c r="CZ147" i="39" s="1"/>
  <c r="DA147" i="39" s="1"/>
  <c r="DC147" i="39" s="1"/>
  <c r="DK145" i="39"/>
  <c r="ER115" i="39"/>
  <c r="ES108" i="39"/>
  <c r="DC191" i="39"/>
  <c r="DC175" i="39"/>
  <c r="CW147" i="39"/>
  <c r="DQ114" i="39"/>
  <c r="DD174" i="39"/>
  <c r="DE163" i="39"/>
  <c r="ER127" i="39"/>
  <c r="DD184" i="39"/>
  <c r="DD168" i="39"/>
  <c r="DE157" i="39"/>
  <c r="DD164" i="39"/>
  <c r="DD158" i="39"/>
  <c r="BU177" i="39"/>
  <c r="DD186" i="39"/>
  <c r="DD170" i="39"/>
  <c r="DE159" i="39"/>
  <c r="EP107" i="39"/>
  <c r="CT146" i="39"/>
  <c r="CY148" i="39"/>
  <c r="CZ148" i="39" s="1"/>
  <c r="DA148" i="39" s="1"/>
  <c r="DC148" i="39" s="1"/>
  <c r="CW114" i="39"/>
  <c r="EK114" i="39"/>
  <c r="DE183" i="39"/>
  <c r="DF156" i="39"/>
  <c r="DG156" i="39" s="1"/>
  <c r="DG167" i="39" s="1"/>
  <c r="DE167" i="39"/>
  <c r="DD187" i="39"/>
  <c r="DD171" i="39"/>
  <c r="DE160" i="39"/>
  <c r="CA153" i="39"/>
  <c r="CA192" i="39" s="1"/>
  <c r="CB145" i="39"/>
  <c r="CW148" i="39"/>
  <c r="DE188" i="39"/>
  <c r="DE172" i="39"/>
  <c r="DF161" i="39"/>
  <c r="EK106" i="39"/>
  <c r="EF106" i="39"/>
  <c r="EA106" i="39"/>
  <c r="DV106" i="39"/>
  <c r="DQ106" i="39"/>
  <c r="DL106" i="39"/>
  <c r="DG106" i="39"/>
  <c r="DB106" i="39"/>
  <c r="CW106" i="39"/>
  <c r="CR106" i="39"/>
  <c r="EA113" i="39" l="1"/>
  <c r="DQ113" i="39"/>
  <c r="EQ126" i="39"/>
  <c r="DB113" i="39"/>
  <c r="EF113" i="39"/>
  <c r="DB147" i="39"/>
  <c r="DV113" i="39"/>
  <c r="CW113" i="39"/>
  <c r="EK113" i="39"/>
  <c r="DG113" i="39"/>
  <c r="DB148" i="39"/>
  <c r="DE184" i="39"/>
  <c r="DE168" i="39"/>
  <c r="DE164" i="39"/>
  <c r="DE158" i="39"/>
  <c r="DF157" i="39"/>
  <c r="DG157" i="39" s="1"/>
  <c r="BZ177" i="39"/>
  <c r="DD148" i="39"/>
  <c r="DE148" i="39" s="1"/>
  <c r="DF148" i="39" s="1"/>
  <c r="DH148" i="39" s="1"/>
  <c r="CU146" i="39"/>
  <c r="ER106" i="39"/>
  <c r="DF183" i="39"/>
  <c r="DF167" i="39"/>
  <c r="DH156" i="39"/>
  <c r="DE174" i="39"/>
  <c r="DF163" i="39"/>
  <c r="DG163" i="39" s="1"/>
  <c r="DG174" i="39" s="1"/>
  <c r="ES115" i="39"/>
  <c r="ET108" i="39"/>
  <c r="DF188" i="39"/>
  <c r="DF172" i="39"/>
  <c r="DH161" i="39"/>
  <c r="DG161" i="39"/>
  <c r="DG172" i="39" s="1"/>
  <c r="DE187" i="39"/>
  <c r="DE171" i="39"/>
  <c r="DF160" i="39"/>
  <c r="DG160" i="39" s="1"/>
  <c r="DG171" i="39" s="1"/>
  <c r="ES127" i="39"/>
  <c r="DD147" i="39"/>
  <c r="DE147" i="39" s="1"/>
  <c r="DF147" i="39" s="1"/>
  <c r="DH147" i="39" s="1"/>
  <c r="DE173" i="39"/>
  <c r="DF162" i="39"/>
  <c r="EQ125" i="39"/>
  <c r="EO125" i="39"/>
  <c r="EO113" i="39"/>
  <c r="DD169" i="39"/>
  <c r="DD185" i="39"/>
  <c r="EQ114" i="39"/>
  <c r="ER107" i="39"/>
  <c r="EQ113" i="39"/>
  <c r="CB153" i="39"/>
  <c r="CB192" i="39" s="1"/>
  <c r="CD145" i="39"/>
  <c r="CA176" i="39"/>
  <c r="DL113" i="39"/>
  <c r="EP106" i="39"/>
  <c r="DE186" i="39"/>
  <c r="DE170" i="39"/>
  <c r="DF159" i="39"/>
  <c r="DG159" i="39" s="1"/>
  <c r="DG170" i="39" s="1"/>
  <c r="DD191" i="39"/>
  <c r="DD175" i="39"/>
  <c r="EP114" i="39"/>
  <c r="EK105" i="39"/>
  <c r="EF105" i="39"/>
  <c r="EA105" i="39"/>
  <c r="DV105" i="39"/>
  <c r="DQ105" i="39"/>
  <c r="DL105" i="39"/>
  <c r="DG105" i="39"/>
  <c r="DB105" i="39"/>
  <c r="CW105" i="39"/>
  <c r="CR105" i="39"/>
  <c r="CY101" i="39"/>
  <c r="CV101" i="39"/>
  <c r="CU101" i="39" s="1"/>
  <c r="CT101" i="39" s="1"/>
  <c r="CS101" i="39" s="1"/>
  <c r="CW101" i="39" s="1"/>
  <c r="EE100" i="39"/>
  <c r="EG100" i="39" s="1"/>
  <c r="EH100" i="39" s="1"/>
  <c r="DZ100" i="39"/>
  <c r="EB100" i="39" s="1"/>
  <c r="DT100" i="39"/>
  <c r="DU100" i="39" s="1"/>
  <c r="DW100" i="39" s="1"/>
  <c r="DX100" i="39" s="1"/>
  <c r="DH100" i="39"/>
  <c r="DG100" i="39"/>
  <c r="CY100" i="39"/>
  <c r="CZ100" i="39" s="1"/>
  <c r="DB100" i="39" s="1"/>
  <c r="CV100" i="39"/>
  <c r="CU100" i="39" s="1"/>
  <c r="CT100" i="39" s="1"/>
  <c r="CS100" i="39" s="1"/>
  <c r="CW100" i="39" s="1"/>
  <c r="EE99" i="39"/>
  <c r="EG99" i="39" s="1"/>
  <c r="DZ99" i="39"/>
  <c r="EB99" i="39" s="1"/>
  <c r="DX99" i="39"/>
  <c r="DT99" i="39"/>
  <c r="DK99" i="39"/>
  <c r="DM99" i="39" s="1"/>
  <c r="DH99" i="39"/>
  <c r="DI99" i="39" s="1"/>
  <c r="DG99" i="39"/>
  <c r="CY99" i="39"/>
  <c r="CV99" i="39"/>
  <c r="CU99" i="39" s="1"/>
  <c r="CT99" i="39" s="1"/>
  <c r="CS99" i="39" s="1"/>
  <c r="CW99" i="39" s="1"/>
  <c r="CX98" i="39"/>
  <c r="CX102" i="39" s="1"/>
  <c r="EE97" i="39"/>
  <c r="EG97" i="39" s="1"/>
  <c r="DZ97" i="39"/>
  <c r="EB97" i="39" s="1"/>
  <c r="DT97" i="39"/>
  <c r="DU97" i="39" s="1"/>
  <c r="DW97" i="39" s="1"/>
  <c r="DH97" i="39"/>
  <c r="DI97" i="39" s="1"/>
  <c r="DG97" i="39"/>
  <c r="CY97" i="39"/>
  <c r="CV97" i="39"/>
  <c r="CU97" i="39" s="1"/>
  <c r="CT97" i="39" s="1"/>
  <c r="EO91" i="39"/>
  <c r="EQ91" i="39" s="1"/>
  <c r="ER91" i="39" s="1"/>
  <c r="ES91" i="39" s="1"/>
  <c r="ET91" i="39" s="1"/>
  <c r="EV91" i="39" s="1"/>
  <c r="EW91" i="39" s="1"/>
  <c r="EX91" i="39" s="1"/>
  <c r="EY91" i="39" s="1"/>
  <c r="A88" i="39"/>
  <c r="EN87" i="39"/>
  <c r="EL87" i="39"/>
  <c r="EJ87" i="39"/>
  <c r="EI87" i="39"/>
  <c r="EH87" i="39"/>
  <c r="EG87" i="39"/>
  <c r="EE87" i="39"/>
  <c r="ED87" i="39"/>
  <c r="EC87" i="39"/>
  <c r="EB87" i="39"/>
  <c r="DZ87" i="39"/>
  <c r="DY87" i="39"/>
  <c r="DX87" i="39"/>
  <c r="DW87" i="39"/>
  <c r="DU87" i="39"/>
  <c r="DT87" i="39"/>
  <c r="DS87" i="39"/>
  <c r="DR87" i="39"/>
  <c r="DP87" i="39"/>
  <c r="DO87" i="39"/>
  <c r="DN87" i="39"/>
  <c r="DM87" i="39"/>
  <c r="DK87" i="39"/>
  <c r="DJ87" i="39"/>
  <c r="DI87" i="39"/>
  <c r="DH87" i="39"/>
  <c r="DF87" i="39"/>
  <c r="DE87" i="39"/>
  <c r="DD87" i="39"/>
  <c r="DC87" i="39"/>
  <c r="DA87" i="39"/>
  <c r="CZ87" i="39"/>
  <c r="CY87" i="39"/>
  <c r="CX87" i="39"/>
  <c r="CV87" i="39"/>
  <c r="CU87" i="39"/>
  <c r="CT87" i="39"/>
  <c r="CS87" i="39"/>
  <c r="A87" i="39"/>
  <c r="EN86" i="39"/>
  <c r="EL86" i="39"/>
  <c r="EJ86" i="39"/>
  <c r="EI86" i="39"/>
  <c r="EH86" i="39"/>
  <c r="EG86" i="39"/>
  <c r="EE86" i="39"/>
  <c r="ED86" i="39"/>
  <c r="EC86" i="39"/>
  <c r="EB86" i="39"/>
  <c r="DZ86" i="39"/>
  <c r="DY86" i="39"/>
  <c r="DX86" i="39"/>
  <c r="DW86" i="39"/>
  <c r="DU86" i="39"/>
  <c r="DT86" i="39"/>
  <c r="DS86" i="39"/>
  <c r="DR86" i="39"/>
  <c r="DP86" i="39"/>
  <c r="DO86" i="39"/>
  <c r="DN86" i="39"/>
  <c r="DM86" i="39"/>
  <c r="DK86" i="39"/>
  <c r="DJ86" i="39"/>
  <c r="DI86" i="39"/>
  <c r="DH86" i="39"/>
  <c r="DF86" i="39"/>
  <c r="DE86" i="39"/>
  <c r="DD86" i="39"/>
  <c r="DC86" i="39"/>
  <c r="DA86" i="39"/>
  <c r="CZ86" i="39"/>
  <c r="CY86" i="39"/>
  <c r="CX86" i="39"/>
  <c r="CV86" i="39"/>
  <c r="CU86" i="39"/>
  <c r="CT86" i="39"/>
  <c r="CS86" i="39"/>
  <c r="A86" i="39"/>
  <c r="EN85" i="39"/>
  <c r="EL85" i="39"/>
  <c r="EJ85" i="39"/>
  <c r="EI85" i="39"/>
  <c r="EH85" i="39"/>
  <c r="EG85" i="39"/>
  <c r="EE85" i="39"/>
  <c r="ED85" i="39"/>
  <c r="EC85" i="39"/>
  <c r="EB85" i="39"/>
  <c r="DZ85" i="39"/>
  <c r="DY85" i="39"/>
  <c r="DX85" i="39"/>
  <c r="DW85" i="39"/>
  <c r="DU85" i="39"/>
  <c r="DT85" i="39"/>
  <c r="DS85" i="39"/>
  <c r="DR85" i="39"/>
  <c r="DP85" i="39"/>
  <c r="DO85" i="39"/>
  <c r="DN85" i="39"/>
  <c r="DM85" i="39"/>
  <c r="DK85" i="39"/>
  <c r="DJ85" i="39"/>
  <c r="DI85" i="39"/>
  <c r="DH85" i="39"/>
  <c r="DF85" i="39"/>
  <c r="DE85" i="39"/>
  <c r="DD85" i="39"/>
  <c r="DC85" i="39"/>
  <c r="DA85" i="39"/>
  <c r="CZ85" i="39"/>
  <c r="CY85" i="39"/>
  <c r="CX85" i="39"/>
  <c r="CV85" i="39"/>
  <c r="CU85" i="39"/>
  <c r="CT85" i="39"/>
  <c r="CS85" i="39"/>
  <c r="A85" i="39"/>
  <c r="EN84" i="39"/>
  <c r="EL84" i="39"/>
  <c r="EJ84" i="39"/>
  <c r="EI84" i="39"/>
  <c r="EH84" i="39"/>
  <c r="EG84" i="39"/>
  <c r="EE84" i="39"/>
  <c r="ED84" i="39"/>
  <c r="EC84" i="39"/>
  <c r="EB84" i="39"/>
  <c r="DZ84" i="39"/>
  <c r="DY84" i="39"/>
  <c r="DX84" i="39"/>
  <c r="DW84" i="39"/>
  <c r="DU84" i="39"/>
  <c r="DT84" i="39"/>
  <c r="DS84" i="39"/>
  <c r="DR84" i="39"/>
  <c r="DP84" i="39"/>
  <c r="DO84" i="39"/>
  <c r="DN84" i="39"/>
  <c r="DM84" i="39"/>
  <c r="DK84" i="39"/>
  <c r="DJ84" i="39"/>
  <c r="DI84" i="39"/>
  <c r="DH84" i="39"/>
  <c r="DF84" i="39"/>
  <c r="DE84" i="39"/>
  <c r="DD84" i="39"/>
  <c r="DC84" i="39"/>
  <c r="DA84" i="39"/>
  <c r="CZ84" i="39"/>
  <c r="CY84" i="39"/>
  <c r="CX84" i="39"/>
  <c r="CV84" i="39"/>
  <c r="CU84" i="39"/>
  <c r="CT84" i="39"/>
  <c r="CS84" i="39"/>
  <c r="A84" i="39"/>
  <c r="EN83" i="39"/>
  <c r="EL83" i="39"/>
  <c r="EJ83" i="39"/>
  <c r="EI83" i="39"/>
  <c r="EH83" i="39"/>
  <c r="EG83" i="39"/>
  <c r="EE83" i="39"/>
  <c r="ED83" i="39"/>
  <c r="EC83" i="39"/>
  <c r="EB83" i="39"/>
  <c r="DZ83" i="39"/>
  <c r="DY83" i="39"/>
  <c r="DX83" i="39"/>
  <c r="DW83" i="39"/>
  <c r="DU83" i="39"/>
  <c r="DT83" i="39"/>
  <c r="DS83" i="39"/>
  <c r="DR83" i="39"/>
  <c r="DP83" i="39"/>
  <c r="DO83" i="39"/>
  <c r="DN83" i="39"/>
  <c r="DM83" i="39"/>
  <c r="DK83" i="39"/>
  <c r="DJ83" i="39"/>
  <c r="DI83" i="39"/>
  <c r="DH83" i="39"/>
  <c r="DF83" i="39"/>
  <c r="DE83" i="39"/>
  <c r="DD83" i="39"/>
  <c r="DC83" i="39"/>
  <c r="DA83" i="39"/>
  <c r="CZ83" i="39"/>
  <c r="CY83" i="39"/>
  <c r="CX83" i="39"/>
  <c r="CV83" i="39"/>
  <c r="CU83" i="39"/>
  <c r="CT83" i="39"/>
  <c r="CS83" i="39"/>
  <c r="A83" i="39"/>
  <c r="EN82" i="39"/>
  <c r="EL82" i="39"/>
  <c r="EJ82" i="39"/>
  <c r="EI82" i="39"/>
  <c r="EH82" i="39"/>
  <c r="EG82" i="39"/>
  <c r="EE82" i="39"/>
  <c r="ED82" i="39"/>
  <c r="EC82" i="39"/>
  <c r="EB82" i="39"/>
  <c r="DZ82" i="39"/>
  <c r="DY82" i="39"/>
  <c r="DX82" i="39"/>
  <c r="DW82" i="39"/>
  <c r="DU82" i="39"/>
  <c r="DT82" i="39"/>
  <c r="DS82" i="39"/>
  <c r="DR82" i="39"/>
  <c r="DP82" i="39"/>
  <c r="DO82" i="39"/>
  <c r="DN82" i="39"/>
  <c r="DM82" i="39"/>
  <c r="DK82" i="39"/>
  <c r="DJ82" i="39"/>
  <c r="DI82" i="39"/>
  <c r="DH82" i="39"/>
  <c r="DF82" i="39"/>
  <c r="DE82" i="39"/>
  <c r="DD82" i="39"/>
  <c r="DC82" i="39"/>
  <c r="DA82" i="39"/>
  <c r="CZ82" i="39"/>
  <c r="CY82" i="39"/>
  <c r="CX82" i="39"/>
  <c r="CV82" i="39"/>
  <c r="CU82" i="39"/>
  <c r="CT82" i="39"/>
  <c r="CS82" i="39"/>
  <c r="A82" i="39"/>
  <c r="EU78" i="39"/>
  <c r="EO77" i="39"/>
  <c r="EQ77" i="39" s="1"/>
  <c r="A74" i="39"/>
  <c r="EN73" i="39"/>
  <c r="EM73" i="39"/>
  <c r="EL73" i="39"/>
  <c r="EJ73" i="39"/>
  <c r="EI73" i="39"/>
  <c r="EH73" i="39"/>
  <c r="EG73" i="39"/>
  <c r="EE73" i="39"/>
  <c r="ED73" i="39"/>
  <c r="EC73" i="39"/>
  <c r="EB73" i="39"/>
  <c r="DZ73" i="39"/>
  <c r="DY73" i="39"/>
  <c r="DX73" i="39"/>
  <c r="DW73" i="39"/>
  <c r="DU73" i="39"/>
  <c r="DT73" i="39"/>
  <c r="DS73" i="39"/>
  <c r="DR73" i="39"/>
  <c r="DP73" i="39"/>
  <c r="DO73" i="39"/>
  <c r="DN73" i="39"/>
  <c r="DM73" i="39"/>
  <c r="DK73" i="39"/>
  <c r="DJ73" i="39"/>
  <c r="DI73" i="39"/>
  <c r="DH73" i="39"/>
  <c r="DF73" i="39"/>
  <c r="DE73" i="39"/>
  <c r="DD73" i="39"/>
  <c r="DC73" i="39"/>
  <c r="DA73" i="39"/>
  <c r="CZ73" i="39"/>
  <c r="CY73" i="39"/>
  <c r="CX73" i="39"/>
  <c r="CV73" i="39"/>
  <c r="CU73" i="39"/>
  <c r="CT73" i="39"/>
  <c r="CS73" i="39"/>
  <c r="A73" i="39"/>
  <c r="EN72" i="39"/>
  <c r="EM72" i="39"/>
  <c r="EL72" i="39"/>
  <c r="EJ72" i="39"/>
  <c r="EI72" i="39"/>
  <c r="EH72" i="39"/>
  <c r="EG72" i="39"/>
  <c r="EE72" i="39"/>
  <c r="ED72" i="39"/>
  <c r="EC72" i="39"/>
  <c r="EB72" i="39"/>
  <c r="DZ72" i="39"/>
  <c r="DY72" i="39"/>
  <c r="DX72" i="39"/>
  <c r="DW72" i="39"/>
  <c r="DU72" i="39"/>
  <c r="DT72" i="39"/>
  <c r="DS72" i="39"/>
  <c r="DR72" i="39"/>
  <c r="DP72" i="39"/>
  <c r="DO72" i="39"/>
  <c r="DN72" i="39"/>
  <c r="DM72" i="39"/>
  <c r="DK72" i="39"/>
  <c r="DJ72" i="39"/>
  <c r="DI72" i="39"/>
  <c r="DH72" i="39"/>
  <c r="DF72" i="39"/>
  <c r="DE72" i="39"/>
  <c r="DD72" i="39"/>
  <c r="DC72" i="39"/>
  <c r="DA72" i="39"/>
  <c r="CZ72" i="39"/>
  <c r="CY72" i="39"/>
  <c r="CX72" i="39"/>
  <c r="CV72" i="39"/>
  <c r="CU72" i="39"/>
  <c r="CT72" i="39"/>
  <c r="CS72" i="39"/>
  <c r="A72" i="39"/>
  <c r="EN71" i="39"/>
  <c r="EM71" i="39"/>
  <c r="EL71" i="39"/>
  <c r="EJ71" i="39"/>
  <c r="EI71" i="39"/>
  <c r="EH71" i="39"/>
  <c r="EG71" i="39"/>
  <c r="EE71" i="39"/>
  <c r="ED71" i="39"/>
  <c r="EC71" i="39"/>
  <c r="EB71" i="39"/>
  <c r="DZ71" i="39"/>
  <c r="DY71" i="39"/>
  <c r="DX71" i="39"/>
  <c r="DW71" i="39"/>
  <c r="DU71" i="39"/>
  <c r="DT71" i="39"/>
  <c r="DS71" i="39"/>
  <c r="DR71" i="39"/>
  <c r="DP71" i="39"/>
  <c r="DO71" i="39"/>
  <c r="DN71" i="39"/>
  <c r="DM71" i="39"/>
  <c r="DK71" i="39"/>
  <c r="DJ71" i="39"/>
  <c r="DI71" i="39"/>
  <c r="DH71" i="39"/>
  <c r="DF71" i="39"/>
  <c r="DE71" i="39"/>
  <c r="DD71" i="39"/>
  <c r="DC71" i="39"/>
  <c r="DA71" i="39"/>
  <c r="CZ71" i="39"/>
  <c r="CY71" i="39"/>
  <c r="CX71" i="39"/>
  <c r="CV71" i="39"/>
  <c r="CU71" i="39"/>
  <c r="CT71" i="39"/>
  <c r="CS71" i="39"/>
  <c r="A71" i="39"/>
  <c r="EN70" i="39"/>
  <c r="EM70" i="39"/>
  <c r="EL70" i="39"/>
  <c r="EJ70" i="39"/>
  <c r="EI70" i="39"/>
  <c r="EH70" i="39"/>
  <c r="EG70" i="39"/>
  <c r="EE70" i="39"/>
  <c r="ED70" i="39"/>
  <c r="EC70" i="39"/>
  <c r="EB70" i="39"/>
  <c r="DZ70" i="39"/>
  <c r="DY70" i="39"/>
  <c r="DX70" i="39"/>
  <c r="DW70" i="39"/>
  <c r="DU70" i="39"/>
  <c r="DT70" i="39"/>
  <c r="DS70" i="39"/>
  <c r="DR70" i="39"/>
  <c r="DP70" i="39"/>
  <c r="DO70" i="39"/>
  <c r="DN70" i="39"/>
  <c r="DM70" i="39"/>
  <c r="DK70" i="39"/>
  <c r="DJ70" i="39"/>
  <c r="DI70" i="39"/>
  <c r="DH70" i="39"/>
  <c r="DF70" i="39"/>
  <c r="DE70" i="39"/>
  <c r="DD70" i="39"/>
  <c r="DC70" i="39"/>
  <c r="DA70" i="39"/>
  <c r="CZ70" i="39"/>
  <c r="CY70" i="39"/>
  <c r="CX70" i="39"/>
  <c r="CV70" i="39"/>
  <c r="CU70" i="39"/>
  <c r="CT70" i="39"/>
  <c r="CS70" i="39"/>
  <c r="A70" i="39"/>
  <c r="EN69" i="39"/>
  <c r="EM69" i="39"/>
  <c r="EL69" i="39"/>
  <c r="EJ69" i="39"/>
  <c r="EI69" i="39"/>
  <c r="EH69" i="39"/>
  <c r="EG69" i="39"/>
  <c r="EE69" i="39"/>
  <c r="ED69" i="39"/>
  <c r="EC69" i="39"/>
  <c r="EB69" i="39"/>
  <c r="DZ69" i="39"/>
  <c r="DY69" i="39"/>
  <c r="DX69" i="39"/>
  <c r="DW69" i="39"/>
  <c r="DU69" i="39"/>
  <c r="DT69" i="39"/>
  <c r="DS69" i="39"/>
  <c r="DR69" i="39"/>
  <c r="DP69" i="39"/>
  <c r="DO69" i="39"/>
  <c r="DN69" i="39"/>
  <c r="DM69" i="39"/>
  <c r="DK69" i="39"/>
  <c r="DJ69" i="39"/>
  <c r="DI69" i="39"/>
  <c r="DH69" i="39"/>
  <c r="DF69" i="39"/>
  <c r="DE69" i="39"/>
  <c r="DD69" i="39"/>
  <c r="DC69" i="39"/>
  <c r="DA69" i="39"/>
  <c r="CZ69" i="39"/>
  <c r="CY69" i="39"/>
  <c r="CX69" i="39"/>
  <c r="CV69" i="39"/>
  <c r="CU69" i="39"/>
  <c r="CT69" i="39"/>
  <c r="CS69" i="39"/>
  <c r="A69" i="39"/>
  <c r="EN68" i="39"/>
  <c r="EM68" i="39"/>
  <c r="EL68" i="39"/>
  <c r="EJ68" i="39"/>
  <c r="EI68" i="39"/>
  <c r="EH68" i="39"/>
  <c r="EG68" i="39"/>
  <c r="EE68" i="39"/>
  <c r="ED68" i="39"/>
  <c r="EC68" i="39"/>
  <c r="EB68" i="39"/>
  <c r="DZ68" i="39"/>
  <c r="DY68" i="39"/>
  <c r="DX68" i="39"/>
  <c r="DW68" i="39"/>
  <c r="DU68" i="39"/>
  <c r="DT68" i="39"/>
  <c r="DS68" i="39"/>
  <c r="DR68" i="39"/>
  <c r="DP68" i="39"/>
  <c r="DO68" i="39"/>
  <c r="DN68" i="39"/>
  <c r="DM68" i="39"/>
  <c r="DK68" i="39"/>
  <c r="DJ68" i="39"/>
  <c r="DI68" i="39"/>
  <c r="DH68" i="39"/>
  <c r="DF68" i="39"/>
  <c r="DE68" i="39"/>
  <c r="DD68" i="39"/>
  <c r="DC68" i="39"/>
  <c r="DA68" i="39"/>
  <c r="CZ68" i="39"/>
  <c r="CY68" i="39"/>
  <c r="CX68" i="39"/>
  <c r="CV68" i="39"/>
  <c r="CU68" i="39"/>
  <c r="CT68" i="39"/>
  <c r="CS68" i="39"/>
  <c r="A68" i="39"/>
  <c r="EN65" i="39"/>
  <c r="EM65" i="39"/>
  <c r="EL65" i="39"/>
  <c r="EJ65" i="39"/>
  <c r="EI65" i="39"/>
  <c r="EH65" i="39"/>
  <c r="EG65" i="39"/>
  <c r="EE65" i="39"/>
  <c r="ED65" i="39"/>
  <c r="EC65" i="39"/>
  <c r="EB65" i="39"/>
  <c r="DZ65" i="39"/>
  <c r="DY65" i="39"/>
  <c r="DX65" i="39"/>
  <c r="DW65" i="39"/>
  <c r="DU65" i="39"/>
  <c r="DT65" i="39"/>
  <c r="DS65" i="39"/>
  <c r="DR65" i="39"/>
  <c r="DP65" i="39"/>
  <c r="DO65" i="39"/>
  <c r="DN65" i="39"/>
  <c r="DM65" i="39"/>
  <c r="DK65" i="39"/>
  <c r="DJ65" i="39"/>
  <c r="DI65" i="39"/>
  <c r="DH65" i="39"/>
  <c r="DF65" i="39"/>
  <c r="DE65" i="39"/>
  <c r="DD65" i="39"/>
  <c r="DC65" i="39"/>
  <c r="DA65" i="39"/>
  <c r="CZ65" i="39"/>
  <c r="CY65" i="39"/>
  <c r="CX65" i="39"/>
  <c r="CV65" i="39"/>
  <c r="CU65" i="39"/>
  <c r="CT65" i="39"/>
  <c r="CS65" i="39"/>
  <c r="CQ65" i="39"/>
  <c r="CP65" i="39"/>
  <c r="CO65" i="39"/>
  <c r="CN65" i="39"/>
  <c r="DC88" i="39" l="1"/>
  <c r="DF88" i="39"/>
  <c r="DZ88" i="39"/>
  <c r="DN88" i="39"/>
  <c r="EH88" i="39"/>
  <c r="ET115" i="39"/>
  <c r="EV108" i="39"/>
  <c r="CT74" i="39"/>
  <c r="DD74" i="39"/>
  <c r="DQ112" i="39"/>
  <c r="CU74" i="39"/>
  <c r="DA88" i="39"/>
  <c r="DO74" i="39"/>
  <c r="DU88" i="39"/>
  <c r="EI74" i="39"/>
  <c r="CB176" i="39"/>
  <c r="CB177" i="39" s="1"/>
  <c r="EC88" i="39"/>
  <c r="EM88" i="39"/>
  <c r="CX88" i="39"/>
  <c r="CV74" i="39"/>
  <c r="DE88" i="39"/>
  <c r="DY88" i="39"/>
  <c r="EA99" i="39"/>
  <c r="DG112" i="39"/>
  <c r="DW74" i="39"/>
  <c r="DJ88" i="39"/>
  <c r="DL99" i="39"/>
  <c r="EJ74" i="39"/>
  <c r="EH99" i="39"/>
  <c r="EI99" i="39" s="1"/>
  <c r="EJ99" i="39" s="1"/>
  <c r="EL99" i="39" s="1"/>
  <c r="CW112" i="39"/>
  <c r="EK112" i="39"/>
  <c r="ED88" i="39"/>
  <c r="EA100" i="39"/>
  <c r="CT88" i="39"/>
  <c r="DL65" i="39"/>
  <c r="DW88" i="39"/>
  <c r="EB74" i="39"/>
  <c r="CV98" i="39"/>
  <c r="CV102" i="39" s="1"/>
  <c r="DG147" i="39"/>
  <c r="DG148" i="39"/>
  <c r="DK74" i="39"/>
  <c r="CY98" i="39"/>
  <c r="CY130" i="39" s="1"/>
  <c r="DI100" i="39"/>
  <c r="DJ100" i="39" s="1"/>
  <c r="DK100" i="39" s="1"/>
  <c r="DM100" i="39" s="1"/>
  <c r="DN100" i="39" s="1"/>
  <c r="DO100" i="39" s="1"/>
  <c r="DP100" i="39" s="1"/>
  <c r="DR100" i="39" s="1"/>
  <c r="DV100" i="39" s="1"/>
  <c r="CY74" i="39"/>
  <c r="DS74" i="39"/>
  <c r="DT74" i="39"/>
  <c r="CS74" i="39"/>
  <c r="DC74" i="39"/>
  <c r="DI88" i="39"/>
  <c r="DR88" i="39"/>
  <c r="EE74" i="39"/>
  <c r="EL88" i="39"/>
  <c r="EF112" i="39"/>
  <c r="EM74" i="39"/>
  <c r="EU108" i="39"/>
  <c r="ET127" i="39"/>
  <c r="CV88" i="39"/>
  <c r="DD88" i="39"/>
  <c r="DM88" i="39"/>
  <c r="DT88" i="39"/>
  <c r="EA65" i="39"/>
  <c r="EJ88" i="39"/>
  <c r="DE74" i="39"/>
  <c r="DM74" i="39"/>
  <c r="DU74" i="39"/>
  <c r="EC74" i="39"/>
  <c r="CW65" i="39"/>
  <c r="CY88" i="39"/>
  <c r="DH88" i="39"/>
  <c r="DO88" i="39"/>
  <c r="DV65" i="39"/>
  <c r="EE88" i="39"/>
  <c r="CX74" i="39"/>
  <c r="DF74" i="39"/>
  <c r="DN74" i="39"/>
  <c r="ED74" i="39"/>
  <c r="EL74" i="39"/>
  <c r="ER77" i="39"/>
  <c r="ES77" i="39" s="1"/>
  <c r="ET77" i="39" s="1"/>
  <c r="EV77" i="39" s="1"/>
  <c r="CS97" i="39"/>
  <c r="CT98" i="39"/>
  <c r="CT102" i="39" s="1"/>
  <c r="DG168" i="39"/>
  <c r="DG164" i="39"/>
  <c r="DG175" i="39" s="1"/>
  <c r="DG158" i="39"/>
  <c r="DG169" i="39" s="1"/>
  <c r="EK65" i="39"/>
  <c r="CS88" i="39"/>
  <c r="CZ88" i="39"/>
  <c r="DG65" i="39"/>
  <c r="DP88" i="39"/>
  <c r="DX88" i="39"/>
  <c r="EG88" i="39"/>
  <c r="EN88" i="39"/>
  <c r="EC99" i="39"/>
  <c r="EF99" i="39" s="1"/>
  <c r="EI100" i="39"/>
  <c r="EJ100" i="39" s="1"/>
  <c r="EL100" i="39" s="1"/>
  <c r="CZ74" i="39"/>
  <c r="DH74" i="39"/>
  <c r="DP74" i="39"/>
  <c r="DX74" i="39"/>
  <c r="EN74" i="39"/>
  <c r="CR65" i="39"/>
  <c r="DA74" i="39"/>
  <c r="DI74" i="39"/>
  <c r="DY74" i="39"/>
  <c r="EG74" i="39"/>
  <c r="EF65" i="39"/>
  <c r="DQ65" i="39"/>
  <c r="CU88" i="39"/>
  <c r="DB65" i="39"/>
  <c r="DK88" i="39"/>
  <c r="DS88" i="39"/>
  <c r="EB88" i="39"/>
  <c r="EI88" i="39"/>
  <c r="DJ74" i="39"/>
  <c r="DR74" i="39"/>
  <c r="DZ74" i="39"/>
  <c r="EH74" i="39"/>
  <c r="EM99" i="39"/>
  <c r="EN99" i="39" s="1"/>
  <c r="EO99" i="39" s="1"/>
  <c r="EQ99" i="39" s="1"/>
  <c r="EA112" i="39"/>
  <c r="DI147" i="39"/>
  <c r="DJ147" i="39" s="1"/>
  <c r="DK147" i="39" s="1"/>
  <c r="DM147" i="39" s="1"/>
  <c r="DN147" i="39" s="1"/>
  <c r="DO147" i="39" s="1"/>
  <c r="DP147" i="39" s="1"/>
  <c r="ER113" i="39"/>
  <c r="ES106" i="39"/>
  <c r="DF184" i="39"/>
  <c r="DF168" i="39"/>
  <c r="DF164" i="39"/>
  <c r="DF158" i="39"/>
  <c r="DH157" i="39"/>
  <c r="CV130" i="39"/>
  <c r="CV118" i="39"/>
  <c r="DJ97" i="39"/>
  <c r="CX118" i="39"/>
  <c r="CX130" i="39"/>
  <c r="CZ99" i="39"/>
  <c r="DB99" i="39" s="1"/>
  <c r="DN99" i="39"/>
  <c r="DO99" i="39" s="1"/>
  <c r="DP99" i="39" s="1"/>
  <c r="DR99" i="39" s="1"/>
  <c r="DV99" i="39" s="1"/>
  <c r="DH172" i="39"/>
  <c r="DI161" i="39"/>
  <c r="DH188" i="39"/>
  <c r="DE185" i="39"/>
  <c r="DE169" i="39"/>
  <c r="EC97" i="39"/>
  <c r="EF97" i="39" s="1"/>
  <c r="EC100" i="39"/>
  <c r="EF100" i="39" s="1"/>
  <c r="CZ101" i="39"/>
  <c r="DA101" i="39" s="1"/>
  <c r="DB112" i="39"/>
  <c r="ER125" i="39"/>
  <c r="DF174" i="39"/>
  <c r="DH163" i="39"/>
  <c r="DE191" i="39"/>
  <c r="DE175" i="39"/>
  <c r="EO112" i="39"/>
  <c r="EO124" i="39"/>
  <c r="EQ124" i="39"/>
  <c r="EO109" i="39"/>
  <c r="ER114" i="39"/>
  <c r="ES107" i="39"/>
  <c r="CZ97" i="39"/>
  <c r="DL112" i="39"/>
  <c r="EP105" i="39"/>
  <c r="EP112" i="39" s="1"/>
  <c r="CA177" i="39"/>
  <c r="EP113" i="39"/>
  <c r="DH167" i="39"/>
  <c r="DH183" i="39"/>
  <c r="DI156" i="39"/>
  <c r="EQ109" i="39"/>
  <c r="EQ112" i="39"/>
  <c r="CD153" i="39"/>
  <c r="CD176" i="39" s="1"/>
  <c r="CE145" i="39"/>
  <c r="DF173" i="39"/>
  <c r="DH162" i="39"/>
  <c r="DG162" i="39"/>
  <c r="DG173" i="39" s="1"/>
  <c r="DF187" i="39"/>
  <c r="DF171" i="39"/>
  <c r="DH160" i="39"/>
  <c r="CV146" i="39"/>
  <c r="CW146" i="39" s="1"/>
  <c r="DX97" i="39"/>
  <c r="EH97" i="39"/>
  <c r="CU98" i="39"/>
  <c r="CU118" i="39" s="1"/>
  <c r="DV112" i="39"/>
  <c r="ER105" i="39"/>
  <c r="DF186" i="39"/>
  <c r="DF170" i="39"/>
  <c r="DH159" i="39"/>
  <c r="ER126" i="39"/>
  <c r="DI148" i="39"/>
  <c r="DJ148" i="39" s="1"/>
  <c r="DK148" i="39" s="1"/>
  <c r="DM148" i="39" s="1"/>
  <c r="DN148" i="39" s="1"/>
  <c r="DO148" i="39" s="1"/>
  <c r="DP148" i="39" s="1"/>
  <c r="EP64" i="39"/>
  <c r="EK64" i="39"/>
  <c r="EF64" i="39"/>
  <c r="EA64" i="39"/>
  <c r="DV64" i="39"/>
  <c r="DQ64" i="39"/>
  <c r="DL64" i="39"/>
  <c r="DG64" i="39"/>
  <c r="DB64" i="39"/>
  <c r="CW64" i="39"/>
  <c r="CR64" i="39"/>
  <c r="DL73" i="39" l="1"/>
  <c r="EU115" i="39"/>
  <c r="EV127" i="39"/>
  <c r="EW77" i="39"/>
  <c r="EX77" i="39" s="1"/>
  <c r="EY77" i="39" s="1"/>
  <c r="EF73" i="39"/>
  <c r="CT118" i="39"/>
  <c r="EA73" i="39"/>
  <c r="ES126" i="39"/>
  <c r="ER124" i="39"/>
  <c r="EW108" i="39"/>
  <c r="EV115" i="39"/>
  <c r="DG73" i="39"/>
  <c r="DL100" i="39"/>
  <c r="CD192" i="39"/>
  <c r="CY102" i="39"/>
  <c r="CY118" i="39"/>
  <c r="DB73" i="39"/>
  <c r="CT130" i="39"/>
  <c r="DG74" i="39"/>
  <c r="DV74" i="39"/>
  <c r="DL147" i="39"/>
  <c r="EK74" i="39"/>
  <c r="DV73" i="39"/>
  <c r="DL74" i="39"/>
  <c r="EK99" i="39"/>
  <c r="DH186" i="39"/>
  <c r="DH170" i="39"/>
  <c r="DI159" i="39"/>
  <c r="EA97" i="39"/>
  <c r="CD177" i="39"/>
  <c r="DK97" i="39"/>
  <c r="CU130" i="39"/>
  <c r="ER99" i="39"/>
  <c r="ES99" i="39" s="1"/>
  <c r="ET99" i="39" s="1"/>
  <c r="EV99" i="39" s="1"/>
  <c r="DQ100" i="39"/>
  <c r="CS98" i="39"/>
  <c r="CS118" i="39" s="1"/>
  <c r="CW97" i="39"/>
  <c r="ES113" i="39"/>
  <c r="ET106" i="39"/>
  <c r="DQ74" i="39"/>
  <c r="DB97" i="39"/>
  <c r="CZ98" i="39"/>
  <c r="CZ130" i="39" s="1"/>
  <c r="CW73" i="39"/>
  <c r="EK73" i="39"/>
  <c r="ER112" i="39"/>
  <c r="ER109" i="39"/>
  <c r="ES105" i="39"/>
  <c r="DH173" i="39"/>
  <c r="DI162" i="39"/>
  <c r="EQ116" i="39"/>
  <c r="ES114" i="39"/>
  <c r="ET107" i="39"/>
  <c r="ES125" i="39"/>
  <c r="DQ99" i="39"/>
  <c r="EF74" i="39"/>
  <c r="DI167" i="39"/>
  <c r="DI183" i="39"/>
  <c r="DJ156" i="39"/>
  <c r="DI172" i="39"/>
  <c r="DI188" i="39"/>
  <c r="DJ161" i="39"/>
  <c r="DH168" i="39"/>
  <c r="DH158" i="39"/>
  <c r="DI157" i="39"/>
  <c r="DH184" i="39"/>
  <c r="DH164" i="39"/>
  <c r="DB74" i="39"/>
  <c r="DF185" i="39"/>
  <c r="DF169" i="39"/>
  <c r="DB101" i="39"/>
  <c r="EM100" i="39"/>
  <c r="EN100" i="39" s="1"/>
  <c r="EO100" i="39" s="1"/>
  <c r="EQ100" i="39" s="1"/>
  <c r="CX146" i="39"/>
  <c r="CE153" i="39"/>
  <c r="CE176" i="39" s="1"/>
  <c r="CF145" i="39"/>
  <c r="EO116" i="39"/>
  <c r="EQ128" i="39"/>
  <c r="EO128" i="39"/>
  <c r="EP109" i="39"/>
  <c r="DH174" i="39"/>
  <c r="DI163" i="39"/>
  <c r="DC101" i="39"/>
  <c r="DA98" i="39"/>
  <c r="DF191" i="39"/>
  <c r="DF175" i="39"/>
  <c r="EK100" i="39"/>
  <c r="EU77" i="39"/>
  <c r="EP73" i="39"/>
  <c r="EO87" i="39"/>
  <c r="EO73" i="39"/>
  <c r="DL148" i="39"/>
  <c r="DQ73" i="39"/>
  <c r="EI97" i="39"/>
  <c r="DH171" i="39"/>
  <c r="DH187" i="39"/>
  <c r="DI160" i="39"/>
  <c r="CU102" i="39"/>
  <c r="EP99" i="39"/>
  <c r="CW74" i="39"/>
  <c r="EA74" i="39"/>
  <c r="EP63" i="39"/>
  <c r="EK63" i="39"/>
  <c r="EF63" i="39"/>
  <c r="EA63" i="39"/>
  <c r="DV63" i="39"/>
  <c r="DQ63" i="39"/>
  <c r="DL63" i="39"/>
  <c r="DG63" i="39"/>
  <c r="DB63" i="39"/>
  <c r="CW63" i="39"/>
  <c r="CR63" i="39"/>
  <c r="EZ77" i="39" l="1"/>
  <c r="EW99" i="39"/>
  <c r="EX99" i="39" s="1"/>
  <c r="EY99" i="39" s="1"/>
  <c r="EZ99" i="39"/>
  <c r="EA72" i="39"/>
  <c r="EV107" i="39"/>
  <c r="EW127" i="39"/>
  <c r="EX108" i="39"/>
  <c r="EW115" i="39"/>
  <c r="EF72" i="39"/>
  <c r="EQ87" i="39"/>
  <c r="EV106" i="39"/>
  <c r="EU99" i="39"/>
  <c r="CW72" i="39"/>
  <c r="EK72" i="39"/>
  <c r="DG72" i="39"/>
  <c r="DL72" i="39"/>
  <c r="DQ72" i="39"/>
  <c r="CS102" i="39"/>
  <c r="DV72" i="39"/>
  <c r="CE177" i="39"/>
  <c r="EJ97" i="39"/>
  <c r="DJ167" i="39"/>
  <c r="DJ183" i="39"/>
  <c r="DK156" i="39"/>
  <c r="DL156" i="39" s="1"/>
  <c r="DL167" i="39" s="1"/>
  <c r="CZ102" i="39"/>
  <c r="CW98" i="39"/>
  <c r="CW118" i="39" s="1"/>
  <c r="DH169" i="39"/>
  <c r="DH185" i="39"/>
  <c r="ET114" i="39"/>
  <c r="EU107" i="39"/>
  <c r="ES109" i="39"/>
  <c r="ES112" i="39"/>
  <c r="ET105" i="39"/>
  <c r="DB98" i="39"/>
  <c r="DB118" i="39" s="1"/>
  <c r="ET113" i="39"/>
  <c r="EU106" i="39"/>
  <c r="DM97" i="39"/>
  <c r="DL97" i="39"/>
  <c r="DD101" i="39"/>
  <c r="DC98" i="39"/>
  <c r="ET126" i="39"/>
  <c r="ER116" i="39"/>
  <c r="CZ118" i="39"/>
  <c r="ET125" i="39"/>
  <c r="CS130" i="39"/>
  <c r="DI186" i="39"/>
  <c r="DI170" i="39"/>
  <c r="DJ159" i="39"/>
  <c r="ER100" i="39"/>
  <c r="ES100" i="39" s="1"/>
  <c r="ET100" i="39" s="1"/>
  <c r="EV100" i="39" s="1"/>
  <c r="EO86" i="39"/>
  <c r="EO72" i="39"/>
  <c r="EP100" i="39"/>
  <c r="DH175" i="39"/>
  <c r="DH191" i="39"/>
  <c r="DJ172" i="39"/>
  <c r="DJ188" i="39"/>
  <c r="DK161" i="39"/>
  <c r="DL161" i="39" s="1"/>
  <c r="DL172" i="39" s="1"/>
  <c r="ES124" i="39"/>
  <c r="CY146" i="39"/>
  <c r="DI171" i="39"/>
  <c r="DI187" i="39"/>
  <c r="DJ160" i="39"/>
  <c r="DI174" i="39"/>
  <c r="DJ163" i="39"/>
  <c r="EQ73" i="39"/>
  <c r="ER64" i="39"/>
  <c r="CE192" i="39"/>
  <c r="ER128" i="39"/>
  <c r="DA130" i="39"/>
  <c r="DA118" i="39"/>
  <c r="DA102" i="39"/>
  <c r="CF153" i="39"/>
  <c r="CF176" i="39" s="1"/>
  <c r="CG145" i="39"/>
  <c r="DB72" i="39"/>
  <c r="EP72" i="39"/>
  <c r="EP116" i="39"/>
  <c r="DI184" i="39"/>
  <c r="DI168" i="39"/>
  <c r="DJ157" i="39"/>
  <c r="DI164" i="39"/>
  <c r="DI158" i="39"/>
  <c r="DI173" i="39"/>
  <c r="DJ162" i="39"/>
  <c r="EK62" i="39"/>
  <c r="EF62" i="39"/>
  <c r="EA62" i="39"/>
  <c r="EF71" i="39" s="1"/>
  <c r="DV62" i="39"/>
  <c r="DQ62" i="39"/>
  <c r="DL62" i="39"/>
  <c r="DG62" i="39"/>
  <c r="DB62" i="39"/>
  <c r="CW62" i="39"/>
  <c r="CR62" i="39"/>
  <c r="EU114" i="39" l="1"/>
  <c r="EU113" i="39"/>
  <c r="EV125" i="39"/>
  <c r="EW100" i="39"/>
  <c r="EX100" i="39" s="1"/>
  <c r="EY100" i="39" s="1"/>
  <c r="EW107" i="39"/>
  <c r="EW126" i="39"/>
  <c r="EV114" i="39"/>
  <c r="EX127" i="39"/>
  <c r="EY108" i="39"/>
  <c r="EY115" i="39" s="1"/>
  <c r="EX115" i="39"/>
  <c r="DV71" i="39"/>
  <c r="EU105" i="39"/>
  <c r="EV105" i="39"/>
  <c r="EV124" i="39"/>
  <c r="EW106" i="39"/>
  <c r="EV113" i="39"/>
  <c r="EV126" i="39"/>
  <c r="DL71" i="39"/>
  <c r="CW71" i="39"/>
  <c r="EK71" i="39"/>
  <c r="DQ71" i="39"/>
  <c r="DB71" i="39"/>
  <c r="DG71" i="39"/>
  <c r="CF177" i="39"/>
  <c r="EQ72" i="39"/>
  <c r="ER63" i="39"/>
  <c r="DJ186" i="39"/>
  <c r="DJ170" i="39"/>
  <c r="DK159" i="39"/>
  <c r="DL159" i="39" s="1"/>
  <c r="DL170" i="39" s="1"/>
  <c r="ET109" i="39"/>
  <c r="ET112" i="39"/>
  <c r="DJ171" i="39"/>
  <c r="DJ187" i="39"/>
  <c r="DK160" i="39"/>
  <c r="DL160" i="39" s="1"/>
  <c r="DL171" i="39" s="1"/>
  <c r="ES116" i="39"/>
  <c r="CW102" i="39"/>
  <c r="EL97" i="39"/>
  <c r="EK97" i="39"/>
  <c r="CF192" i="39"/>
  <c r="EO85" i="39"/>
  <c r="EO65" i="39"/>
  <c r="EO71" i="39"/>
  <c r="ER73" i="39"/>
  <c r="ES64" i="39"/>
  <c r="DC130" i="39"/>
  <c r="DC118" i="39"/>
  <c r="DC102" i="39"/>
  <c r="ET124" i="39"/>
  <c r="DE101" i="39"/>
  <c r="DD98" i="39"/>
  <c r="DJ173" i="39"/>
  <c r="DK162" i="39"/>
  <c r="DL162" i="39"/>
  <c r="DL173" i="39" s="1"/>
  <c r="DI175" i="39"/>
  <c r="DI191" i="39"/>
  <c r="EQ86" i="39"/>
  <c r="DB102" i="39"/>
  <c r="DJ184" i="39"/>
  <c r="DJ168" i="39"/>
  <c r="DJ164" i="39"/>
  <c r="DK157" i="39"/>
  <c r="DJ158" i="39"/>
  <c r="CZ146" i="39"/>
  <c r="DN97" i="39"/>
  <c r="DK167" i="39"/>
  <c r="DK183" i="39"/>
  <c r="DM156" i="39"/>
  <c r="EP62" i="39"/>
  <c r="DI169" i="39"/>
  <c r="DI185" i="39"/>
  <c r="DK172" i="39"/>
  <c r="DK188" i="39"/>
  <c r="DM161" i="39"/>
  <c r="ER87" i="39"/>
  <c r="EA71" i="39"/>
  <c r="CG153" i="39"/>
  <c r="CG192" i="39" s="1"/>
  <c r="CI145" i="39"/>
  <c r="DK163" i="39"/>
  <c r="DJ174" i="39"/>
  <c r="EU100" i="39"/>
  <c r="ES128" i="39"/>
  <c r="EP61" i="39"/>
  <c r="EK61" i="39"/>
  <c r="EF61" i="39"/>
  <c r="EA61" i="39"/>
  <c r="DV61" i="39"/>
  <c r="DQ61" i="39"/>
  <c r="DL61" i="39"/>
  <c r="DG61" i="39"/>
  <c r="DB61" i="39"/>
  <c r="CW61" i="39"/>
  <c r="CR61" i="39"/>
  <c r="EU112" i="39" l="1"/>
  <c r="EZ100" i="39"/>
  <c r="DB70" i="39"/>
  <c r="EZ108" i="39"/>
  <c r="EZ115" i="39" s="1"/>
  <c r="EY127" i="39"/>
  <c r="DL70" i="39"/>
  <c r="EW105" i="39"/>
  <c r="EW124" i="39" s="1"/>
  <c r="EV109" i="39"/>
  <c r="EV112" i="39"/>
  <c r="EX106" i="39"/>
  <c r="EW113" i="39"/>
  <c r="CW70" i="39"/>
  <c r="ET128" i="39"/>
  <c r="EW125" i="39"/>
  <c r="EX107" i="39"/>
  <c r="EW114" i="39"/>
  <c r="EA70" i="39"/>
  <c r="DQ70" i="39"/>
  <c r="EF70" i="39"/>
  <c r="EK70" i="39"/>
  <c r="DV70" i="39"/>
  <c r="DJ169" i="39"/>
  <c r="DJ185" i="39"/>
  <c r="EM97" i="39"/>
  <c r="DK186" i="39"/>
  <c r="DK170" i="39"/>
  <c r="DM159" i="39"/>
  <c r="DK184" i="39"/>
  <c r="DK168" i="39"/>
  <c r="DM157" i="39"/>
  <c r="DK164" i="39"/>
  <c r="DK158" i="39"/>
  <c r="EO88" i="39"/>
  <c r="EP65" i="39"/>
  <c r="EO74" i="39"/>
  <c r="EQ70" i="39"/>
  <c r="DJ175" i="39"/>
  <c r="DJ191" i="39"/>
  <c r="DM162" i="39"/>
  <c r="DK173" i="39"/>
  <c r="ES73" i="39"/>
  <c r="ET64" i="39"/>
  <c r="DK171" i="39"/>
  <c r="DK187" i="39"/>
  <c r="DM160" i="39"/>
  <c r="ER61" i="39"/>
  <c r="CI153" i="39"/>
  <c r="CI192" i="39" s="1"/>
  <c r="CJ145" i="39"/>
  <c r="EQ71" i="39"/>
  <c r="EQ65" i="39"/>
  <c r="ER62" i="39"/>
  <c r="EQ85" i="39"/>
  <c r="ER72" i="39"/>
  <c r="ES63" i="39"/>
  <c r="DD130" i="39"/>
  <c r="DD118" i="39"/>
  <c r="DD102" i="39"/>
  <c r="ES87" i="39"/>
  <c r="EP71" i="39"/>
  <c r="DM183" i="39"/>
  <c r="DN156" i="39"/>
  <c r="DM167" i="39"/>
  <c r="CG176" i="39"/>
  <c r="DF101" i="39"/>
  <c r="DG101" i="39" s="1"/>
  <c r="DG98" i="39" s="1"/>
  <c r="DE98" i="39"/>
  <c r="DK174" i="39"/>
  <c r="DM163" i="39"/>
  <c r="DL163" i="39"/>
  <c r="DL174" i="39" s="1"/>
  <c r="DM172" i="39"/>
  <c r="DM188" i="39"/>
  <c r="DN161" i="39"/>
  <c r="ER86" i="39"/>
  <c r="EP70" i="39"/>
  <c r="DA146" i="39"/>
  <c r="CZ153" i="39"/>
  <c r="DG70" i="39"/>
  <c r="EO84" i="39"/>
  <c r="EQ84" i="39"/>
  <c r="EO70" i="39"/>
  <c r="DO97" i="39"/>
  <c r="DL157" i="39"/>
  <c r="ET116" i="39"/>
  <c r="EU109" i="39"/>
  <c r="EK60" i="39"/>
  <c r="EF60" i="39"/>
  <c r="EA60" i="39"/>
  <c r="DV60" i="39"/>
  <c r="DQ60" i="39"/>
  <c r="DL60" i="39"/>
  <c r="DG60" i="39"/>
  <c r="DB60" i="39"/>
  <c r="CW60" i="39"/>
  <c r="CR60" i="39"/>
  <c r="EX125" i="39" l="1"/>
  <c r="EU116" i="39"/>
  <c r="EV128" i="39"/>
  <c r="EZ107" i="39"/>
  <c r="EZ114" i="39" s="1"/>
  <c r="EX105" i="39"/>
  <c r="EW109" i="39"/>
  <c r="EW116" i="39" s="1"/>
  <c r="EX124" i="39"/>
  <c r="EW112" i="39"/>
  <c r="EY107" i="39"/>
  <c r="EY114" i="39" s="1"/>
  <c r="EX114" i="39"/>
  <c r="ER85" i="39"/>
  <c r="EQ88" i="39"/>
  <c r="ET73" i="39"/>
  <c r="EV64" i="39"/>
  <c r="EV116" i="39"/>
  <c r="ES86" i="39"/>
  <c r="ER84" i="39"/>
  <c r="EX126" i="39"/>
  <c r="EY106" i="39"/>
  <c r="EY113" i="39" s="1"/>
  <c r="EX113" i="39"/>
  <c r="DL69" i="39"/>
  <c r="EF69" i="39"/>
  <c r="CI176" i="39"/>
  <c r="CI177" i="39" s="1"/>
  <c r="DN183" i="39"/>
  <c r="DN167" i="39"/>
  <c r="DO156" i="39"/>
  <c r="DM187" i="39"/>
  <c r="DM171" i="39"/>
  <c r="DN160" i="39"/>
  <c r="DM173" i="39"/>
  <c r="DN162" i="39"/>
  <c r="DQ69" i="39"/>
  <c r="DM170" i="39"/>
  <c r="DM186" i="39"/>
  <c r="DN159" i="39"/>
  <c r="ER60" i="39"/>
  <c r="DV69" i="39"/>
  <c r="DM174" i="39"/>
  <c r="DN163" i="39"/>
  <c r="CJ153" i="39"/>
  <c r="CJ192" i="39" s="1"/>
  <c r="DL168" i="39"/>
  <c r="DL164" i="39"/>
  <c r="DL175" i="39" s="1"/>
  <c r="DL158" i="39"/>
  <c r="DL169" i="39" s="1"/>
  <c r="EA69" i="39"/>
  <c r="DP97" i="39"/>
  <c r="DQ97" i="39"/>
  <c r="CZ176" i="39"/>
  <c r="EU64" i="39"/>
  <c r="EU73" i="39" s="1"/>
  <c r="DK169" i="39"/>
  <c r="DK185" i="39"/>
  <c r="DE130" i="39"/>
  <c r="DE118" i="39"/>
  <c r="DE102" i="39"/>
  <c r="DA153" i="39"/>
  <c r="DC146" i="39"/>
  <c r="DB146" i="39"/>
  <c r="DH101" i="39"/>
  <c r="DF98" i="39"/>
  <c r="DK191" i="39"/>
  <c r="DK175" i="39"/>
  <c r="DG102" i="39"/>
  <c r="DG118" i="39"/>
  <c r="CZ192" i="39"/>
  <c r="CG177" i="39"/>
  <c r="ER71" i="39"/>
  <c r="ER65" i="39"/>
  <c r="ES62" i="39"/>
  <c r="ER70" i="39"/>
  <c r="ES61" i="39"/>
  <c r="ET87" i="39"/>
  <c r="EP74" i="39"/>
  <c r="DM184" i="39"/>
  <c r="DM168" i="39"/>
  <c r="DM164" i="39"/>
  <c r="DM158" i="39"/>
  <c r="DN157" i="39"/>
  <c r="EN97" i="39"/>
  <c r="EQ83" i="39"/>
  <c r="EQ69" i="39"/>
  <c r="CW69" i="39"/>
  <c r="EK69" i="39"/>
  <c r="DB69" i="39"/>
  <c r="EO83" i="39"/>
  <c r="EO69" i="39"/>
  <c r="DN172" i="39"/>
  <c r="DN188" i="39"/>
  <c r="DO161" i="39"/>
  <c r="DG69" i="39"/>
  <c r="EP60" i="39"/>
  <c r="EP69" i="39" s="1"/>
  <c r="ES72" i="39"/>
  <c r="ET63" i="39"/>
  <c r="EQ74" i="39"/>
  <c r="EP59" i="39"/>
  <c r="EK59" i="39"/>
  <c r="EF59" i="39"/>
  <c r="EA59" i="39"/>
  <c r="DV59" i="39"/>
  <c r="DQ59" i="39"/>
  <c r="DL59" i="39"/>
  <c r="DG59" i="39"/>
  <c r="DB59" i="39"/>
  <c r="CW59" i="39"/>
  <c r="CR59" i="39"/>
  <c r="CY55" i="39"/>
  <c r="CZ55" i="39" s="1"/>
  <c r="CV55" i="39"/>
  <c r="CU55" i="39" s="1"/>
  <c r="CT55" i="39" s="1"/>
  <c r="CS55" i="39" s="1"/>
  <c r="CW55" i="39" s="1"/>
  <c r="DH54" i="39"/>
  <c r="DI54" i="39" s="1"/>
  <c r="DJ54" i="39" s="1"/>
  <c r="CY54" i="39"/>
  <c r="CV54" i="39"/>
  <c r="CU54" i="39" s="1"/>
  <c r="CT54" i="39" s="1"/>
  <c r="CS54" i="39" s="1"/>
  <c r="CW54" i="39" s="1"/>
  <c r="EE53" i="39"/>
  <c r="EG53" i="39" s="1"/>
  <c r="DZ53" i="39"/>
  <c r="EB53" i="39" s="1"/>
  <c r="DO53" i="39"/>
  <c r="DP53" i="39" s="1"/>
  <c r="DR53" i="39" s="1"/>
  <c r="DK53" i="39"/>
  <c r="DM53" i="39" s="1"/>
  <c r="DH53" i="39"/>
  <c r="DI53" i="39" s="1"/>
  <c r="DG53" i="39"/>
  <c r="CY53" i="39"/>
  <c r="CZ53" i="39" s="1"/>
  <c r="DB53" i="39" s="1"/>
  <c r="CV53" i="39"/>
  <c r="CU53" i="39" s="1"/>
  <c r="CT53" i="39" s="1"/>
  <c r="CS53" i="39" s="1"/>
  <c r="CW53" i="39" s="1"/>
  <c r="DZ52" i="39"/>
  <c r="EB52" i="39" s="1"/>
  <c r="EC52" i="39" s="1"/>
  <c r="ED52" i="39" s="1"/>
  <c r="EE52" i="39" s="1"/>
  <c r="EG52" i="39" s="1"/>
  <c r="DW52" i="39"/>
  <c r="DO52" i="39"/>
  <c r="DP52" i="39" s="1"/>
  <c r="DR52" i="39" s="1"/>
  <c r="DS52" i="39" s="1"/>
  <c r="DT52" i="39" s="1"/>
  <c r="DK52" i="39"/>
  <c r="DL52" i="39" s="1"/>
  <c r="DG52" i="39"/>
  <c r="CY52" i="39"/>
  <c r="CZ52" i="39" s="1"/>
  <c r="DB52" i="39" s="1"/>
  <c r="CV52" i="39"/>
  <c r="CU52" i="39" s="1"/>
  <c r="CT52" i="39" s="1"/>
  <c r="CS52" i="39" s="1"/>
  <c r="CW52" i="39" s="1"/>
  <c r="EE51" i="39"/>
  <c r="EG51" i="39" s="1"/>
  <c r="DZ51" i="39"/>
  <c r="EB51" i="39" s="1"/>
  <c r="DK51" i="39"/>
  <c r="DL51" i="39" s="1"/>
  <c r="DG51" i="39"/>
  <c r="CY51" i="39"/>
  <c r="CZ51" i="39" s="1"/>
  <c r="DA51" i="39" s="1"/>
  <c r="DB51" i="39" s="1"/>
  <c r="CV51" i="39"/>
  <c r="CU51" i="39" s="1"/>
  <c r="CT51" i="39" s="1"/>
  <c r="CS51" i="39" s="1"/>
  <c r="CW51" i="39" s="1"/>
  <c r="CX50" i="39"/>
  <c r="DK49" i="39"/>
  <c r="DF49" i="39"/>
  <c r="CY49" i="39"/>
  <c r="CV49" i="39"/>
  <c r="EO43" i="39"/>
  <c r="EQ43" i="39" s="1"/>
  <c r="ER43" i="39" s="1"/>
  <c r="ES43" i="39" s="1"/>
  <c r="ET43" i="39" s="1"/>
  <c r="EV43" i="39" s="1"/>
  <c r="EW43" i="39" s="1"/>
  <c r="EX43" i="39" s="1"/>
  <c r="EY43" i="39" s="1"/>
  <c r="A40" i="39"/>
  <c r="EL39" i="39"/>
  <c r="EJ39" i="39"/>
  <c r="EI39" i="39"/>
  <c r="EH39" i="39"/>
  <c r="EG39" i="39"/>
  <c r="EE39" i="39"/>
  <c r="ED39" i="39"/>
  <c r="EC39" i="39"/>
  <c r="EB39" i="39"/>
  <c r="DZ39" i="39"/>
  <c r="DY39" i="39"/>
  <c r="DX39" i="39"/>
  <c r="DW39" i="39"/>
  <c r="DU39" i="39"/>
  <c r="DT39" i="39"/>
  <c r="DS39" i="39"/>
  <c r="DR39" i="39"/>
  <c r="DP39" i="39"/>
  <c r="DO39" i="39"/>
  <c r="DN39" i="39"/>
  <c r="DM39" i="39"/>
  <c r="DK39" i="39"/>
  <c r="DJ39" i="39"/>
  <c r="DI39" i="39"/>
  <c r="DH39" i="39"/>
  <c r="DF39" i="39"/>
  <c r="DE39" i="39"/>
  <c r="DD39" i="39"/>
  <c r="DC39" i="39"/>
  <c r="DA39" i="39"/>
  <c r="CZ39" i="39"/>
  <c r="CY39" i="39"/>
  <c r="CX39" i="39"/>
  <c r="CV39" i="39"/>
  <c r="CU39" i="39"/>
  <c r="CT39" i="39"/>
  <c r="CS39" i="39"/>
  <c r="A39" i="39"/>
  <c r="EL38" i="39"/>
  <c r="EJ38" i="39"/>
  <c r="EI38" i="39"/>
  <c r="EH38" i="39"/>
  <c r="EG38" i="39"/>
  <c r="EE38" i="39"/>
  <c r="ED38" i="39"/>
  <c r="EC38" i="39"/>
  <c r="EB38" i="39"/>
  <c r="DZ38" i="39"/>
  <c r="DY38" i="39"/>
  <c r="DX38" i="39"/>
  <c r="DW38" i="39"/>
  <c r="DU38" i="39"/>
  <c r="DT38" i="39"/>
  <c r="DS38" i="39"/>
  <c r="DR38" i="39"/>
  <c r="DP38" i="39"/>
  <c r="DO38" i="39"/>
  <c r="DN38" i="39"/>
  <c r="DM38" i="39"/>
  <c r="DK38" i="39"/>
  <c r="DJ38" i="39"/>
  <c r="DI38" i="39"/>
  <c r="DH38" i="39"/>
  <c r="DF38" i="39"/>
  <c r="DE38" i="39"/>
  <c r="DD38" i="39"/>
  <c r="DC38" i="39"/>
  <c r="DA38" i="39"/>
  <c r="CZ38" i="39"/>
  <c r="CY38" i="39"/>
  <c r="CX38" i="39"/>
  <c r="CV38" i="39"/>
  <c r="CU38" i="39"/>
  <c r="CT38" i="39"/>
  <c r="CS38" i="39"/>
  <c r="A38" i="39"/>
  <c r="EL37" i="39"/>
  <c r="EJ37" i="39"/>
  <c r="EI37" i="39"/>
  <c r="EH37" i="39"/>
  <c r="EG37" i="39"/>
  <c r="EE37" i="39"/>
  <c r="ED37" i="39"/>
  <c r="EC37" i="39"/>
  <c r="EB37" i="39"/>
  <c r="DZ37" i="39"/>
  <c r="DY37" i="39"/>
  <c r="DX37" i="39"/>
  <c r="DW37" i="39"/>
  <c r="DU37" i="39"/>
  <c r="DT37" i="39"/>
  <c r="DS37" i="39"/>
  <c r="DR37" i="39"/>
  <c r="DP37" i="39"/>
  <c r="DO37" i="39"/>
  <c r="DN37" i="39"/>
  <c r="DM37" i="39"/>
  <c r="DK37" i="39"/>
  <c r="DJ37" i="39"/>
  <c r="DI37" i="39"/>
  <c r="DH37" i="39"/>
  <c r="DF37" i="39"/>
  <c r="DE37" i="39"/>
  <c r="DD37" i="39"/>
  <c r="DC37" i="39"/>
  <c r="DA37" i="39"/>
  <c r="CZ37" i="39"/>
  <c r="CY37" i="39"/>
  <c r="CX37" i="39"/>
  <c r="CV37" i="39"/>
  <c r="CU37" i="39"/>
  <c r="CT37" i="39"/>
  <c r="CS37" i="39"/>
  <c r="A37" i="39"/>
  <c r="EL36" i="39"/>
  <c r="EJ36" i="39"/>
  <c r="EI36" i="39"/>
  <c r="EH36" i="39"/>
  <c r="EG36" i="39"/>
  <c r="EE36" i="39"/>
  <c r="ED36" i="39"/>
  <c r="EC36" i="39"/>
  <c r="EB36" i="39"/>
  <c r="DZ36" i="39"/>
  <c r="DY36" i="39"/>
  <c r="DX36" i="39"/>
  <c r="DW36" i="39"/>
  <c r="DU36" i="39"/>
  <c r="DT36" i="39"/>
  <c r="DS36" i="39"/>
  <c r="DR36" i="39"/>
  <c r="DP36" i="39"/>
  <c r="DO36" i="39"/>
  <c r="DN36" i="39"/>
  <c r="DM36" i="39"/>
  <c r="DK36" i="39"/>
  <c r="DJ36" i="39"/>
  <c r="DI36" i="39"/>
  <c r="DH36" i="39"/>
  <c r="DF36" i="39"/>
  <c r="DE36" i="39"/>
  <c r="DD36" i="39"/>
  <c r="DC36" i="39"/>
  <c r="DA36" i="39"/>
  <c r="CZ36" i="39"/>
  <c r="CY36" i="39"/>
  <c r="CX36" i="39"/>
  <c r="CV36" i="39"/>
  <c r="CU36" i="39"/>
  <c r="CT36" i="39"/>
  <c r="CS36" i="39"/>
  <c r="A36" i="39"/>
  <c r="EU32" i="39"/>
  <c r="EO31" i="39"/>
  <c r="EQ31" i="39" s="1"/>
  <c r="A28" i="39"/>
  <c r="EL27" i="39"/>
  <c r="EJ27" i="39"/>
  <c r="EI27" i="39"/>
  <c r="EH27" i="39"/>
  <c r="EG27" i="39"/>
  <c r="EE27" i="39"/>
  <c r="ED27" i="39"/>
  <c r="EC27" i="39"/>
  <c r="EB27" i="39"/>
  <c r="DZ27" i="39"/>
  <c r="DY27" i="39"/>
  <c r="DX27" i="39"/>
  <c r="DW27" i="39"/>
  <c r="DU27" i="39"/>
  <c r="DT27" i="39"/>
  <c r="DS27" i="39"/>
  <c r="DR27" i="39"/>
  <c r="DP27" i="39"/>
  <c r="DO27" i="39"/>
  <c r="DN27" i="39"/>
  <c r="DM27" i="39"/>
  <c r="DK27" i="39"/>
  <c r="DJ27" i="39"/>
  <c r="DI27" i="39"/>
  <c r="DH27" i="39"/>
  <c r="DF27" i="39"/>
  <c r="DE27" i="39"/>
  <c r="DD27" i="39"/>
  <c r="DC27" i="39"/>
  <c r="DA27" i="39"/>
  <c r="CZ27" i="39"/>
  <c r="CY27" i="39"/>
  <c r="CX27" i="39"/>
  <c r="CV27" i="39"/>
  <c r="CU27" i="39"/>
  <c r="CT27" i="39"/>
  <c r="CS27" i="39"/>
  <c r="A27" i="39"/>
  <c r="EL26" i="39"/>
  <c r="EJ26" i="39"/>
  <c r="EI26" i="39"/>
  <c r="EH26" i="39"/>
  <c r="EG26" i="39"/>
  <c r="EE26" i="39"/>
  <c r="ED26" i="39"/>
  <c r="EC26" i="39"/>
  <c r="EB26" i="39"/>
  <c r="DZ26" i="39"/>
  <c r="DY26" i="39"/>
  <c r="DX26" i="39"/>
  <c r="DW26" i="39"/>
  <c r="DU26" i="39"/>
  <c r="DT26" i="39"/>
  <c r="DS26" i="39"/>
  <c r="DR26" i="39"/>
  <c r="DP26" i="39"/>
  <c r="DO26" i="39"/>
  <c r="DN26" i="39"/>
  <c r="DM26" i="39"/>
  <c r="DK26" i="39"/>
  <c r="DJ26" i="39"/>
  <c r="DI26" i="39"/>
  <c r="DH26" i="39"/>
  <c r="DF26" i="39"/>
  <c r="DE26" i="39"/>
  <c r="DD26" i="39"/>
  <c r="DC26" i="39"/>
  <c r="DA26" i="39"/>
  <c r="CZ26" i="39"/>
  <c r="CY26" i="39"/>
  <c r="CX26" i="39"/>
  <c r="CV26" i="39"/>
  <c r="CU26" i="39"/>
  <c r="CT26" i="39"/>
  <c r="CS26" i="39"/>
  <c r="A26" i="39"/>
  <c r="EL25" i="39"/>
  <c r="EJ25" i="39"/>
  <c r="EI25" i="39"/>
  <c r="EH25" i="39"/>
  <c r="EG25" i="39"/>
  <c r="EE25" i="39"/>
  <c r="ED25" i="39"/>
  <c r="EC25" i="39"/>
  <c r="EB25" i="39"/>
  <c r="DZ25" i="39"/>
  <c r="DY25" i="39"/>
  <c r="DX25" i="39"/>
  <c r="DW25" i="39"/>
  <c r="DU25" i="39"/>
  <c r="DT25" i="39"/>
  <c r="DS25" i="39"/>
  <c r="DR25" i="39"/>
  <c r="DP25" i="39"/>
  <c r="DO25" i="39"/>
  <c r="DN25" i="39"/>
  <c r="DM25" i="39"/>
  <c r="DK25" i="39"/>
  <c r="DJ25" i="39"/>
  <c r="DI25" i="39"/>
  <c r="DH25" i="39"/>
  <c r="DF25" i="39"/>
  <c r="DE25" i="39"/>
  <c r="DD25" i="39"/>
  <c r="DC25" i="39"/>
  <c r="DA25" i="39"/>
  <c r="CZ25" i="39"/>
  <c r="CY25" i="39"/>
  <c r="CX25" i="39"/>
  <c r="CV25" i="39"/>
  <c r="CU25" i="39"/>
  <c r="CT25" i="39"/>
  <c r="CS25" i="39"/>
  <c r="A25" i="39"/>
  <c r="EL24" i="39"/>
  <c r="EJ24" i="39"/>
  <c r="EI24" i="39"/>
  <c r="EH24" i="39"/>
  <c r="EG24" i="39"/>
  <c r="EE24" i="39"/>
  <c r="ED24" i="39"/>
  <c r="EC24" i="39"/>
  <c r="EB24" i="39"/>
  <c r="DZ24" i="39"/>
  <c r="DY24" i="39"/>
  <c r="DX24" i="39"/>
  <c r="DW24" i="39"/>
  <c r="DU24" i="39"/>
  <c r="DT24" i="39"/>
  <c r="DS24" i="39"/>
  <c r="DR24" i="39"/>
  <c r="DP24" i="39"/>
  <c r="DO24" i="39"/>
  <c r="DN24" i="39"/>
  <c r="DM24" i="39"/>
  <c r="DK24" i="39"/>
  <c r="DJ24" i="39"/>
  <c r="DI24" i="39"/>
  <c r="DH24" i="39"/>
  <c r="DF24" i="39"/>
  <c r="DE24" i="39"/>
  <c r="DD24" i="39"/>
  <c r="DC24" i="39"/>
  <c r="DA24" i="39"/>
  <c r="CZ24" i="39"/>
  <c r="CY24" i="39"/>
  <c r="CX24" i="39"/>
  <c r="CV24" i="39"/>
  <c r="CU24" i="39"/>
  <c r="CT24" i="39"/>
  <c r="CS24" i="39"/>
  <c r="A24" i="39"/>
  <c r="EL21" i="39"/>
  <c r="EJ21" i="39"/>
  <c r="EI21" i="39"/>
  <c r="EH21" i="39"/>
  <c r="EG21" i="39"/>
  <c r="EE21" i="39"/>
  <c r="ED21" i="39"/>
  <c r="EC21" i="39"/>
  <c r="EB21" i="39"/>
  <c r="DZ21" i="39"/>
  <c r="DY21" i="39"/>
  <c r="DX21" i="39"/>
  <c r="DW21" i="39"/>
  <c r="DU21" i="39"/>
  <c r="DT21" i="39"/>
  <c r="DS21" i="39"/>
  <c r="DR21" i="39"/>
  <c r="DP21" i="39"/>
  <c r="DO21" i="39"/>
  <c r="DN21" i="39"/>
  <c r="DM21" i="39"/>
  <c r="DK21" i="39"/>
  <c r="DJ21" i="39"/>
  <c r="DI21" i="39"/>
  <c r="DH21" i="39"/>
  <c r="DF21" i="39"/>
  <c r="DE21" i="39"/>
  <c r="DD21" i="39"/>
  <c r="DC21" i="39"/>
  <c r="DA21" i="39"/>
  <c r="CZ21" i="39"/>
  <c r="CY21" i="39"/>
  <c r="CX21" i="39"/>
  <c r="CV21" i="39"/>
  <c r="CU21" i="39"/>
  <c r="CT21" i="39"/>
  <c r="CS21" i="39"/>
  <c r="CQ21" i="39"/>
  <c r="CP21" i="39"/>
  <c r="CO21" i="39"/>
  <c r="CN21" i="39"/>
  <c r="DV68" i="39" l="1"/>
  <c r="EZ106" i="39"/>
  <c r="EZ113" i="39" s="1"/>
  <c r="EV87" i="39"/>
  <c r="EW128" i="39"/>
  <c r="EY125" i="39"/>
  <c r="EY126" i="39"/>
  <c r="ET72" i="39"/>
  <c r="EV63" i="39"/>
  <c r="ES85" i="39"/>
  <c r="EW64" i="39"/>
  <c r="EV73" i="39"/>
  <c r="ES84" i="39"/>
  <c r="EY105" i="39"/>
  <c r="EZ105" i="39" s="1"/>
  <c r="EZ112" i="39" s="1"/>
  <c r="EX109" i="39"/>
  <c r="EX112" i="39"/>
  <c r="DL53" i="39"/>
  <c r="EB40" i="39"/>
  <c r="DR40" i="39"/>
  <c r="EH40" i="39"/>
  <c r="CU40" i="39"/>
  <c r="CY40" i="39"/>
  <c r="DL21" i="39"/>
  <c r="DL68" i="39"/>
  <c r="CV40" i="39"/>
  <c r="EI40" i="39"/>
  <c r="DM52" i="39"/>
  <c r="DQ52" i="39" s="1"/>
  <c r="DO40" i="39"/>
  <c r="CR21" i="39"/>
  <c r="DH40" i="39"/>
  <c r="DP28" i="39"/>
  <c r="DZ40" i="39"/>
  <c r="EJ40" i="39"/>
  <c r="DM51" i="39"/>
  <c r="DN51" i="39" s="1"/>
  <c r="DO51" i="39" s="1"/>
  <c r="DP51" i="39" s="1"/>
  <c r="DR51" i="39" s="1"/>
  <c r="EF68" i="39"/>
  <c r="DB68" i="39"/>
  <c r="DJ40" i="39"/>
  <c r="DT40" i="39"/>
  <c r="CJ176" i="39"/>
  <c r="CJ177" i="39" s="1"/>
  <c r="CZ28" i="39"/>
  <c r="EE40" i="39"/>
  <c r="DS40" i="39"/>
  <c r="DK40" i="39"/>
  <c r="DC40" i="39"/>
  <c r="CT40" i="39"/>
  <c r="DD40" i="39"/>
  <c r="DW40" i="39"/>
  <c r="DQ53" i="39"/>
  <c r="EU63" i="39"/>
  <c r="EU72" i="39" s="1"/>
  <c r="ET86" i="39"/>
  <c r="DB21" i="39"/>
  <c r="CT28" i="39"/>
  <c r="DJ28" i="39"/>
  <c r="DR28" i="39"/>
  <c r="DZ28" i="39"/>
  <c r="EH28" i="39"/>
  <c r="EC53" i="39"/>
  <c r="EF53" i="39" s="1"/>
  <c r="EA21" i="39"/>
  <c r="CU28" i="39"/>
  <c r="DC28" i="39"/>
  <c r="DK28" i="39"/>
  <c r="DS28" i="39"/>
  <c r="EI28" i="39"/>
  <c r="EC51" i="39"/>
  <c r="EF51" i="39" s="1"/>
  <c r="EH53" i="39"/>
  <c r="EI53" i="39" s="1"/>
  <c r="EJ53" i="39" s="1"/>
  <c r="EL53" i="39" s="1"/>
  <c r="CV28" i="39"/>
  <c r="DD28" i="39"/>
  <c r="DT28" i="39"/>
  <c r="EB28" i="39"/>
  <c r="EJ28" i="39"/>
  <c r="EH51" i="39"/>
  <c r="EI51" i="39" s="1"/>
  <c r="EJ51" i="39" s="1"/>
  <c r="EL51" i="39" s="1"/>
  <c r="CW21" i="39"/>
  <c r="DE40" i="39"/>
  <c r="DM40" i="39"/>
  <c r="DU40" i="39"/>
  <c r="EC40" i="39"/>
  <c r="EK21" i="39"/>
  <c r="DE28" i="39"/>
  <c r="DM28" i="39"/>
  <c r="DU28" i="39"/>
  <c r="EC28" i="39"/>
  <c r="ER31" i="39"/>
  <c r="ES31" i="39" s="1"/>
  <c r="ET31" i="39" s="1"/>
  <c r="EV31" i="39" s="1"/>
  <c r="CX40" i="39"/>
  <c r="DF40" i="39"/>
  <c r="DN40" i="39"/>
  <c r="DV21" i="39"/>
  <c r="ED40" i="39"/>
  <c r="EL40" i="39"/>
  <c r="CX28" i="39"/>
  <c r="DF28" i="39"/>
  <c r="DN28" i="39"/>
  <c r="ED28" i="39"/>
  <c r="EL28" i="39"/>
  <c r="DK54" i="39"/>
  <c r="DM54" i="39" s="1"/>
  <c r="DG21" i="39"/>
  <c r="CY28" i="39"/>
  <c r="DO28" i="39"/>
  <c r="DW28" i="39"/>
  <c r="EE28" i="39"/>
  <c r="EH52" i="39"/>
  <c r="EI52" i="39" s="1"/>
  <c r="EJ52" i="39" s="1"/>
  <c r="EL52" i="39" s="1"/>
  <c r="DX40" i="39"/>
  <c r="EF21" i="39"/>
  <c r="DH28" i="39"/>
  <c r="DX28" i="39"/>
  <c r="CZ40" i="39"/>
  <c r="DP40" i="39"/>
  <c r="CS40" i="39"/>
  <c r="DA40" i="39"/>
  <c r="DI40" i="39"/>
  <c r="DQ21" i="39"/>
  <c r="DY40" i="39"/>
  <c r="EG40" i="39"/>
  <c r="CS28" i="39"/>
  <c r="DA28" i="39"/>
  <c r="DI28" i="39"/>
  <c r="DY28" i="39"/>
  <c r="EG28" i="39"/>
  <c r="DS53" i="39"/>
  <c r="DT53" i="39" s="1"/>
  <c r="DU53" i="39" s="1"/>
  <c r="DW53" i="39" s="1"/>
  <c r="DM49" i="39"/>
  <c r="CX76" i="39"/>
  <c r="CX90" i="39"/>
  <c r="ER74" i="39"/>
  <c r="DI101" i="39"/>
  <c r="DH98" i="39"/>
  <c r="DN187" i="39"/>
  <c r="DN171" i="39"/>
  <c r="DO160" i="39"/>
  <c r="CZ49" i="39"/>
  <c r="CY50" i="39"/>
  <c r="CY56" i="39" s="1"/>
  <c r="DV52" i="39"/>
  <c r="CW68" i="39"/>
  <c r="EK68" i="39"/>
  <c r="EO97" i="39"/>
  <c r="DR97" i="39"/>
  <c r="ER83" i="39"/>
  <c r="ER69" i="39"/>
  <c r="ES60" i="39"/>
  <c r="EF52" i="39"/>
  <c r="EP68" i="39"/>
  <c r="DA176" i="39"/>
  <c r="DN170" i="39"/>
  <c r="DN186" i="39"/>
  <c r="DO159" i="39"/>
  <c r="DX52" i="39"/>
  <c r="EA52" i="39" s="1"/>
  <c r="DA55" i="39"/>
  <c r="DC55" i="39" s="1"/>
  <c r="DG68" i="39"/>
  <c r="EO82" i="39"/>
  <c r="EO68" i="39"/>
  <c r="DD146" i="39"/>
  <c r="DC153" i="39"/>
  <c r="DC192" i="39" s="1"/>
  <c r="DO183" i="39"/>
  <c r="DO167" i="39"/>
  <c r="DP156" i="39"/>
  <c r="DN184" i="39"/>
  <c r="DN168" i="39"/>
  <c r="DN158" i="39"/>
  <c r="DN164" i="39"/>
  <c r="DO157" i="39"/>
  <c r="ES70" i="39"/>
  <c r="ET61" i="39"/>
  <c r="CU49" i="39"/>
  <c r="DG49" i="39"/>
  <c r="CZ54" i="39"/>
  <c r="DA54" i="39" s="1"/>
  <c r="DC54" i="39" s="1"/>
  <c r="DQ68" i="39"/>
  <c r="ER88" i="39"/>
  <c r="DO188" i="39"/>
  <c r="DO172" i="39"/>
  <c r="DP161" i="39"/>
  <c r="DM185" i="39"/>
  <c r="DM169" i="39"/>
  <c r="DA192" i="39"/>
  <c r="CV50" i="39"/>
  <c r="CV56" i="39" s="1"/>
  <c r="DM191" i="39"/>
  <c r="DM175" i="39"/>
  <c r="DN174" i="39"/>
  <c r="DO163" i="39"/>
  <c r="DN173" i="39"/>
  <c r="DO162" i="39"/>
  <c r="DL49" i="39"/>
  <c r="CX56" i="39"/>
  <c r="EA68" i="39"/>
  <c r="ES65" i="39"/>
  <c r="ES71" i="39"/>
  <c r="ET62" i="39"/>
  <c r="DF118" i="39"/>
  <c r="DF130" i="39"/>
  <c r="DF102" i="39"/>
  <c r="EW31" i="39" l="1"/>
  <c r="EX31" i="39" s="1"/>
  <c r="EY31" i="39" s="1"/>
  <c r="EZ31" i="39"/>
  <c r="EV86" i="39"/>
  <c r="CW28" i="39"/>
  <c r="EX128" i="39"/>
  <c r="EX116" i="39"/>
  <c r="EQ82" i="39"/>
  <c r="ET70" i="39"/>
  <c r="EV61" i="39"/>
  <c r="EX64" i="39"/>
  <c r="EW73" i="39"/>
  <c r="ES88" i="39"/>
  <c r="EY124" i="39"/>
  <c r="EY109" i="39"/>
  <c r="EY116" i="39" s="1"/>
  <c r="EY112" i="39"/>
  <c r="EW63" i="39"/>
  <c r="EW86" i="39" s="1"/>
  <c r="EV72" i="39"/>
  <c r="EU62" i="39"/>
  <c r="EV62" i="39"/>
  <c r="EW87" i="39"/>
  <c r="DQ28" i="39"/>
  <c r="DL54" i="39"/>
  <c r="DS51" i="39"/>
  <c r="DT51" i="39" s="1"/>
  <c r="DU51" i="39" s="1"/>
  <c r="DW51" i="39" s="1"/>
  <c r="DG28" i="39"/>
  <c r="DQ51" i="39"/>
  <c r="EU61" i="39"/>
  <c r="EU70" i="39" s="1"/>
  <c r="ET85" i="39"/>
  <c r="CV76" i="39"/>
  <c r="CV90" i="39"/>
  <c r="DV53" i="39"/>
  <c r="EF28" i="39"/>
  <c r="DV28" i="39"/>
  <c r="ET84" i="39"/>
  <c r="EN39" i="39"/>
  <c r="EM27" i="39"/>
  <c r="EP20" i="39"/>
  <c r="EO39" i="39"/>
  <c r="EN27" i="39"/>
  <c r="EO27" i="39"/>
  <c r="DJ101" i="39"/>
  <c r="DI98" i="39"/>
  <c r="DN49" i="39"/>
  <c r="EA28" i="39"/>
  <c r="CY76" i="39"/>
  <c r="DC176" i="39"/>
  <c r="ES83" i="39"/>
  <c r="ES69" i="39"/>
  <c r="ET60" i="39"/>
  <c r="EV60" i="39" s="1"/>
  <c r="CY90" i="39"/>
  <c r="EM51" i="39"/>
  <c r="EN51" i="39" s="1"/>
  <c r="EO51" i="39" s="1"/>
  <c r="EQ51" i="39" s="1"/>
  <c r="DB55" i="39"/>
  <c r="DB28" i="39"/>
  <c r="DO174" i="39"/>
  <c r="DP163" i="39"/>
  <c r="DP174" i="39" s="1"/>
  <c r="DC50" i="39"/>
  <c r="DD54" i="39"/>
  <c r="EK51" i="39"/>
  <c r="DN185" i="39"/>
  <c r="DN169" i="39"/>
  <c r="DD55" i="39"/>
  <c r="DE55" i="39" s="1"/>
  <c r="DF55" i="39" s="1"/>
  <c r="EM52" i="39"/>
  <c r="EN52" i="39" s="1"/>
  <c r="EO52" i="39" s="1"/>
  <c r="EQ52" i="39" s="1"/>
  <c r="DB54" i="39"/>
  <c r="EK28" i="39"/>
  <c r="EM53" i="39"/>
  <c r="EN53" i="39" s="1"/>
  <c r="EO53" i="39" s="1"/>
  <c r="EQ53" i="39" s="1"/>
  <c r="DL28" i="39"/>
  <c r="DP188" i="39"/>
  <c r="DP172" i="39"/>
  <c r="CU50" i="39"/>
  <c r="CU56" i="39" s="1"/>
  <c r="CT49" i="39"/>
  <c r="DE146" i="39"/>
  <c r="DD153" i="39"/>
  <c r="DD192" i="39" s="1"/>
  <c r="DV97" i="39"/>
  <c r="CZ50" i="39"/>
  <c r="CZ76" i="39" s="1"/>
  <c r="DA49" i="39"/>
  <c r="EK52" i="39"/>
  <c r="EK53" i="39"/>
  <c r="DX51" i="39"/>
  <c r="EA51" i="39" s="1"/>
  <c r="EQ68" i="39"/>
  <c r="ER59" i="39"/>
  <c r="DO184" i="39"/>
  <c r="DO168" i="39"/>
  <c r="DO164" i="39"/>
  <c r="DO158" i="39"/>
  <c r="DP157" i="39"/>
  <c r="EQ97" i="39"/>
  <c r="EP97" i="39"/>
  <c r="EU31" i="39"/>
  <c r="ES74" i="39"/>
  <c r="ET65" i="39"/>
  <c r="ET71" i="39"/>
  <c r="DO173" i="39"/>
  <c r="DP162" i="39"/>
  <c r="DP173" i="39" s="1"/>
  <c r="DN191" i="39"/>
  <c r="DN175" i="39"/>
  <c r="DP183" i="39"/>
  <c r="DP167" i="39"/>
  <c r="DO170" i="39"/>
  <c r="DO186" i="39"/>
  <c r="DP159" i="39"/>
  <c r="DO187" i="39"/>
  <c r="DO171" i="39"/>
  <c r="DP160" i="39"/>
  <c r="DH118" i="39"/>
  <c r="DH130" i="39"/>
  <c r="DH102" i="39"/>
  <c r="DX53" i="39"/>
  <c r="EA53" i="39" s="1"/>
  <c r="DN54" i="39"/>
  <c r="DO54" i="39" s="1"/>
  <c r="DP54" i="39" s="1"/>
  <c r="DR54" i="39" s="1"/>
  <c r="EK20" i="39"/>
  <c r="EF20" i="39"/>
  <c r="EA20" i="39"/>
  <c r="DV20" i="39"/>
  <c r="DQ20" i="39"/>
  <c r="DL20" i="39"/>
  <c r="DG20" i="39"/>
  <c r="DB20" i="39"/>
  <c r="CW20" i="39"/>
  <c r="CR20" i="39"/>
  <c r="DD176" i="39" l="1"/>
  <c r="EV85" i="39"/>
  <c r="EU71" i="39"/>
  <c r="EZ109" i="39"/>
  <c r="EZ116" i="39" s="1"/>
  <c r="CW27" i="39"/>
  <c r="EW61" i="39"/>
  <c r="EV70" i="39"/>
  <c r="EW60" i="39"/>
  <c r="EV69" i="39"/>
  <c r="EV83" i="39"/>
  <c r="EW62" i="39"/>
  <c r="EV65" i="39"/>
  <c r="EV71" i="39"/>
  <c r="EY128" i="39"/>
  <c r="CU76" i="39"/>
  <c r="EX87" i="39"/>
  <c r="EY64" i="39"/>
  <c r="EY73" i="39" s="1"/>
  <c r="EX73" i="39"/>
  <c r="ET74" i="39"/>
  <c r="CU90" i="39"/>
  <c r="EX63" i="39"/>
  <c r="EW72" i="39"/>
  <c r="EV84" i="39"/>
  <c r="EK27" i="39"/>
  <c r="DV27" i="39"/>
  <c r="CZ90" i="39"/>
  <c r="DL27" i="39"/>
  <c r="DV51" i="39"/>
  <c r="EA27" i="39"/>
  <c r="EU65" i="39"/>
  <c r="EU74" i="39" s="1"/>
  <c r="DS54" i="39"/>
  <c r="DT54" i="39" s="1"/>
  <c r="DU54" i="39" s="1"/>
  <c r="DW54" i="39" s="1"/>
  <c r="DO185" i="39"/>
  <c r="DO169" i="39"/>
  <c r="DH55" i="39"/>
  <c r="DF50" i="39"/>
  <c r="DD50" i="39"/>
  <c r="DE54" i="39"/>
  <c r="DE50" i="39" s="1"/>
  <c r="ER51" i="39"/>
  <c r="ES51" i="39" s="1"/>
  <c r="ET51" i="39" s="1"/>
  <c r="EV51" i="39" s="1"/>
  <c r="DI118" i="39"/>
  <c r="DI130" i="39"/>
  <c r="DI102" i="39"/>
  <c r="DQ27" i="39"/>
  <c r="DQ54" i="39"/>
  <c r="DP187" i="39"/>
  <c r="DP171" i="39"/>
  <c r="ER97" i="39"/>
  <c r="DO191" i="39"/>
  <c r="DO175" i="39"/>
  <c r="DF146" i="39"/>
  <c r="DE153" i="39"/>
  <c r="DE176" i="39" s="1"/>
  <c r="EP53" i="39"/>
  <c r="DK101" i="39"/>
  <c r="DJ98" i="39"/>
  <c r="CT50" i="39"/>
  <c r="CT90" i="39" s="1"/>
  <c r="CS49" i="39"/>
  <c r="ER53" i="39"/>
  <c r="ES53" i="39" s="1"/>
  <c r="ET53" i="39" s="1"/>
  <c r="EV53" i="39" s="1"/>
  <c r="ET83" i="39"/>
  <c r="ET69" i="39"/>
  <c r="EU60" i="39"/>
  <c r="EU69" i="39" s="1"/>
  <c r="DO49" i="39"/>
  <c r="EF27" i="39"/>
  <c r="DP186" i="39"/>
  <c r="DP170" i="39"/>
  <c r="ET88" i="39"/>
  <c r="CZ56" i="39"/>
  <c r="EQ27" i="39"/>
  <c r="ER20" i="39"/>
  <c r="ER68" i="39"/>
  <c r="ES59" i="39"/>
  <c r="DA50" i="39"/>
  <c r="DA90" i="39" s="1"/>
  <c r="DB49" i="39"/>
  <c r="ER52" i="39"/>
  <c r="ES52" i="39" s="1"/>
  <c r="ET52" i="39" s="1"/>
  <c r="EV52" i="39" s="1"/>
  <c r="DB27" i="39"/>
  <c r="EP27" i="39"/>
  <c r="DD180" i="39"/>
  <c r="EP52" i="39"/>
  <c r="DC76" i="39"/>
  <c r="DC90" i="39"/>
  <c r="DC56" i="39"/>
  <c r="DG27" i="39"/>
  <c r="DP184" i="39"/>
  <c r="DP168" i="39"/>
  <c r="DP164" i="39"/>
  <c r="DP158" i="39"/>
  <c r="ER82" i="39"/>
  <c r="DG55" i="39"/>
  <c r="EP51" i="39"/>
  <c r="DC177" i="39"/>
  <c r="EQ39" i="39"/>
  <c r="EZ64" i="39" l="1"/>
  <c r="EZ73" i="39" s="1"/>
  <c r="EW52" i="39"/>
  <c r="EX52" i="39" s="1"/>
  <c r="EY52" i="39" s="1"/>
  <c r="EZ52" i="39"/>
  <c r="EW53" i="39"/>
  <c r="EX53" i="39" s="1"/>
  <c r="EY53" i="39" s="1"/>
  <c r="EZ53" i="39"/>
  <c r="EV88" i="39"/>
  <c r="EW51" i="39"/>
  <c r="EX51" i="39" s="1"/>
  <c r="EY51" i="39" s="1"/>
  <c r="EX86" i="39"/>
  <c r="DE192" i="39"/>
  <c r="EY87" i="39"/>
  <c r="EX62" i="39"/>
  <c r="EX85" i="39" s="1"/>
  <c r="EW65" i="39"/>
  <c r="EW74" i="39" s="1"/>
  <c r="EW71" i="39"/>
  <c r="EW83" i="39"/>
  <c r="EW69" i="39"/>
  <c r="EX60" i="39"/>
  <c r="ER39" i="39"/>
  <c r="EY63" i="39"/>
  <c r="EY72" i="39" s="1"/>
  <c r="EX72" i="39"/>
  <c r="EV74" i="39"/>
  <c r="EX61" i="39"/>
  <c r="EW70" i="39"/>
  <c r="ES82" i="39"/>
  <c r="EW85" i="39"/>
  <c r="EW84" i="39"/>
  <c r="EU52" i="39"/>
  <c r="DG54" i="39"/>
  <c r="DG50" i="39" s="1"/>
  <c r="EN38" i="39"/>
  <c r="EM26" i="39"/>
  <c r="EP19" i="39"/>
  <c r="EO38" i="39"/>
  <c r="EN26" i="39"/>
  <c r="EO26" i="39"/>
  <c r="DJ118" i="39"/>
  <c r="DJ130" i="39"/>
  <c r="DJ102" i="39"/>
  <c r="DI55" i="39"/>
  <c r="DH50" i="39"/>
  <c r="DP191" i="39"/>
  <c r="DP175" i="39"/>
  <c r="DP49" i="39"/>
  <c r="DQ49" i="39" s="1"/>
  <c r="EU53" i="39"/>
  <c r="DM101" i="39"/>
  <c r="DK98" i="39"/>
  <c r="DH146" i="39"/>
  <c r="DF153" i="39"/>
  <c r="DF192" i="39" s="1"/>
  <c r="DG146" i="39"/>
  <c r="DB50" i="39"/>
  <c r="DB76" i="39" s="1"/>
  <c r="CW49" i="39"/>
  <c r="CS50" i="39"/>
  <c r="CS56" i="39" s="1"/>
  <c r="DV54" i="39"/>
  <c r="DP185" i="39"/>
  <c r="DP169" i="39"/>
  <c r="DA56" i="39"/>
  <c r="CT56" i="39"/>
  <c r="DX54" i="39"/>
  <c r="DY54" i="39" s="1"/>
  <c r="DZ54" i="39" s="1"/>
  <c r="EB54" i="39" s="1"/>
  <c r="ES97" i="39"/>
  <c r="EU51" i="39"/>
  <c r="DA76" i="39"/>
  <c r="ES20" i="39"/>
  <c r="ER27" i="39"/>
  <c r="CT76" i="39"/>
  <c r="DE90" i="39"/>
  <c r="DE76" i="39"/>
  <c r="DE56" i="39"/>
  <c r="DE180" i="39"/>
  <c r="DD76" i="39"/>
  <c r="DD90" i="39"/>
  <c r="DD56" i="39"/>
  <c r="ES68" i="39"/>
  <c r="ET59" i="39"/>
  <c r="EU59" i="39" s="1"/>
  <c r="EU68" i="39" s="1"/>
  <c r="DL101" i="39"/>
  <c r="DL98" i="39" s="1"/>
  <c r="DF56" i="39"/>
  <c r="DF90" i="39"/>
  <c r="DF76" i="39"/>
  <c r="EK19" i="39"/>
  <c r="EF19" i="39"/>
  <c r="EA19" i="39"/>
  <c r="DV19" i="39"/>
  <c r="DQ19" i="39"/>
  <c r="DL19" i="39"/>
  <c r="DG19" i="39"/>
  <c r="DB19" i="39"/>
  <c r="CW19" i="39"/>
  <c r="CR19" i="39"/>
  <c r="EZ51" i="39" l="1"/>
  <c r="DQ26" i="39"/>
  <c r="EZ63" i="39"/>
  <c r="EZ72" i="39" s="1"/>
  <c r="EX84" i="39"/>
  <c r="EZ62" i="39"/>
  <c r="EZ71" i="39" s="1"/>
  <c r="EY86" i="39"/>
  <c r="EW88" i="39"/>
  <c r="ES39" i="39"/>
  <c r="ET68" i="39"/>
  <c r="EV59" i="39"/>
  <c r="EY62" i="39"/>
  <c r="EX65" i="39"/>
  <c r="EX71" i="39"/>
  <c r="EY61" i="39"/>
  <c r="EY70" i="39" s="1"/>
  <c r="EX70" i="39"/>
  <c r="EY60" i="39"/>
  <c r="EZ60" i="39" s="1"/>
  <c r="EZ69" i="39" s="1"/>
  <c r="EX83" i="39"/>
  <c r="EX69" i="39"/>
  <c r="DG26" i="39"/>
  <c r="DF176" i="39"/>
  <c r="DF180" i="39" s="1"/>
  <c r="CW26" i="39"/>
  <c r="EK26" i="39"/>
  <c r="EA26" i="39"/>
  <c r="DG153" i="39"/>
  <c r="DG176" i="39" s="1"/>
  <c r="DB26" i="39"/>
  <c r="ET82" i="39"/>
  <c r="EP26" i="39"/>
  <c r="DV26" i="39"/>
  <c r="ET97" i="39"/>
  <c r="EV97" i="39" s="1"/>
  <c r="CW50" i="39"/>
  <c r="CW76" i="39" s="1"/>
  <c r="DK102" i="39"/>
  <c r="DK130" i="39"/>
  <c r="DK118" i="39"/>
  <c r="CS76" i="39"/>
  <c r="DN101" i="39"/>
  <c r="DM98" i="39"/>
  <c r="CS90" i="39"/>
  <c r="DH76" i="39"/>
  <c r="DH90" i="39"/>
  <c r="DH56" i="39"/>
  <c r="DB56" i="39"/>
  <c r="DJ55" i="39"/>
  <c r="DI50" i="39"/>
  <c r="EQ26" i="39"/>
  <c r="ER19" i="39"/>
  <c r="DL102" i="39"/>
  <c r="DL118" i="39"/>
  <c r="DG76" i="39"/>
  <c r="DG56" i="39"/>
  <c r="EQ38" i="39"/>
  <c r="DI146" i="39"/>
  <c r="DH153" i="39"/>
  <c r="DH192" i="39" s="1"/>
  <c r="EC54" i="39"/>
  <c r="ED54" i="39" s="1"/>
  <c r="EE54" i="39" s="1"/>
  <c r="EG54" i="39" s="1"/>
  <c r="DR49" i="39"/>
  <c r="EF26" i="39"/>
  <c r="ET20" i="39"/>
  <c r="ES27" i="39"/>
  <c r="DL26" i="39"/>
  <c r="EA54" i="39"/>
  <c r="EZ61" i="39" l="1"/>
  <c r="EZ70" i="39" s="1"/>
  <c r="EV82" i="39"/>
  <c r="EY84" i="39"/>
  <c r="DH176" i="39"/>
  <c r="DH177" i="39" s="1"/>
  <c r="EY83" i="39"/>
  <c r="EY69" i="39"/>
  <c r="EX88" i="39"/>
  <c r="EX74" i="39"/>
  <c r="EY85" i="39"/>
  <c r="EY65" i="39"/>
  <c r="EY74" i="39" s="1"/>
  <c r="EY71" i="39"/>
  <c r="EW97" i="39"/>
  <c r="EW59" i="39"/>
  <c r="EW82" i="39" s="1"/>
  <c r="EV68" i="39"/>
  <c r="ET27" i="39"/>
  <c r="EV20" i="39"/>
  <c r="DG154" i="39"/>
  <c r="CW56" i="39"/>
  <c r="EU20" i="39"/>
  <c r="EM25" i="39"/>
  <c r="EM21" i="39"/>
  <c r="EM40" i="39" s="1"/>
  <c r="EP18" i="39"/>
  <c r="EN37" i="39"/>
  <c r="EN25" i="39"/>
  <c r="EN21" i="39"/>
  <c r="EO37" i="39"/>
  <c r="EO25" i="39"/>
  <c r="EO21" i="39"/>
  <c r="ES19" i="39"/>
  <c r="ER26" i="39"/>
  <c r="DO101" i="39"/>
  <c r="DN98" i="39"/>
  <c r="ER38" i="39"/>
  <c r="EF54" i="39"/>
  <c r="DI90" i="39"/>
  <c r="DI76" i="39"/>
  <c r="DI56" i="39"/>
  <c r="ET39" i="39"/>
  <c r="DG177" i="39"/>
  <c r="DG180" i="39"/>
  <c r="DS49" i="39"/>
  <c r="EU97" i="39"/>
  <c r="EH54" i="39"/>
  <c r="EI54" i="39" s="1"/>
  <c r="EJ54" i="39" s="1"/>
  <c r="EL54" i="39" s="1"/>
  <c r="DJ146" i="39"/>
  <c r="DI153" i="39"/>
  <c r="DI192" i="39" s="1"/>
  <c r="DK55" i="39"/>
  <c r="DJ50" i="39"/>
  <c r="DM118" i="39"/>
  <c r="DM130" i="39"/>
  <c r="DM102" i="39"/>
  <c r="EK18" i="39"/>
  <c r="EF18" i="39"/>
  <c r="EA18" i="39"/>
  <c r="DV18" i="39"/>
  <c r="DQ18" i="39"/>
  <c r="DL18" i="39"/>
  <c r="DG18" i="39"/>
  <c r="DB18" i="39"/>
  <c r="CW18" i="39"/>
  <c r="CR18" i="39"/>
  <c r="EU27" i="39" l="1"/>
  <c r="DH180" i="39"/>
  <c r="EV39" i="39"/>
  <c r="EZ65" i="39"/>
  <c r="EZ74" i="39" s="1"/>
  <c r="EK54" i="39"/>
  <c r="EY88" i="39"/>
  <c r="EW20" i="39"/>
  <c r="EV27" i="39"/>
  <c r="EX59" i="39"/>
  <c r="EX82" i="39" s="1"/>
  <c r="EW68" i="39"/>
  <c r="EX97" i="39"/>
  <c r="CW25" i="39"/>
  <c r="EA25" i="39"/>
  <c r="DI176" i="39"/>
  <c r="DI180" i="39" s="1"/>
  <c r="ES38" i="39"/>
  <c r="EF25" i="39"/>
  <c r="ET19" i="39"/>
  <c r="ES26" i="39"/>
  <c r="EN40" i="39"/>
  <c r="EN28" i="39"/>
  <c r="EK25" i="39"/>
  <c r="DG25" i="39"/>
  <c r="EP25" i="39"/>
  <c r="DK146" i="39"/>
  <c r="DJ153" i="39"/>
  <c r="DJ192" i="39" s="1"/>
  <c r="EQ37" i="39"/>
  <c r="EQ25" i="39"/>
  <c r="EQ21" i="39"/>
  <c r="ER18" i="39"/>
  <c r="DJ76" i="39"/>
  <c r="DJ90" i="39"/>
  <c r="DJ56" i="39"/>
  <c r="DB25" i="39"/>
  <c r="DN130" i="39"/>
  <c r="DN118" i="39"/>
  <c r="DN102" i="39"/>
  <c r="EO40" i="39"/>
  <c r="EO28" i="39"/>
  <c r="EM28" i="39"/>
  <c r="EP21" i="39"/>
  <c r="EP28" i="39" s="1"/>
  <c r="DT49" i="39"/>
  <c r="DM55" i="39"/>
  <c r="DK50" i="39"/>
  <c r="DL55" i="39"/>
  <c r="DL50" i="39" s="1"/>
  <c r="DL25" i="39"/>
  <c r="DQ25" i="39"/>
  <c r="DV25" i="39"/>
  <c r="EM54" i="39"/>
  <c r="EN54" i="39" s="1"/>
  <c r="EO54" i="39" s="1"/>
  <c r="EQ54" i="39" s="1"/>
  <c r="DP101" i="39"/>
  <c r="DQ101" i="39" s="1"/>
  <c r="DQ98" i="39" s="1"/>
  <c r="DO98" i="39"/>
  <c r="ET26" i="39" l="1"/>
  <c r="EV19" i="39"/>
  <c r="EY97" i="39"/>
  <c r="EZ97" i="39" s="1"/>
  <c r="EX20" i="39"/>
  <c r="EW27" i="39"/>
  <c r="EY59" i="39"/>
  <c r="EY68" i="39" s="1"/>
  <c r="EX68" i="39"/>
  <c r="EW39" i="39"/>
  <c r="DJ176" i="39"/>
  <c r="DJ180" i="39" s="1"/>
  <c r="EU19" i="39"/>
  <c r="EU26" i="39" s="1"/>
  <c r="EM24" i="39"/>
  <c r="EP17" i="39"/>
  <c r="EN24" i="39"/>
  <c r="EN36" i="39"/>
  <c r="EO36" i="39"/>
  <c r="EO24" i="39"/>
  <c r="DQ118" i="39"/>
  <c r="DQ102" i="39"/>
  <c r="DU49" i="39"/>
  <c r="DL56" i="39"/>
  <c r="DL76" i="39"/>
  <c r="ER37" i="39"/>
  <c r="ER25" i="39"/>
  <c r="ER21" i="39"/>
  <c r="ES18" i="39"/>
  <c r="DM146" i="39"/>
  <c r="DK153" i="39"/>
  <c r="DL153" i="39" s="1"/>
  <c r="DL146" i="39"/>
  <c r="DV49" i="39"/>
  <c r="EP54" i="39"/>
  <c r="ET38" i="39"/>
  <c r="DO118" i="39"/>
  <c r="DO130" i="39"/>
  <c r="DO102" i="39"/>
  <c r="DR101" i="39"/>
  <c r="DP98" i="39"/>
  <c r="ER54" i="39"/>
  <c r="ES54" i="39" s="1"/>
  <c r="ET54" i="39" s="1"/>
  <c r="EV54" i="39" s="1"/>
  <c r="DK90" i="39"/>
  <c r="DK76" i="39"/>
  <c r="DK56" i="39"/>
  <c r="DN55" i="39"/>
  <c r="DM50" i="39"/>
  <c r="EQ40" i="39"/>
  <c r="EQ28" i="39"/>
  <c r="EK17" i="39"/>
  <c r="EF17" i="39"/>
  <c r="EA17" i="39"/>
  <c r="DV17" i="39"/>
  <c r="DQ17" i="39"/>
  <c r="DL17" i="39"/>
  <c r="DG17" i="39"/>
  <c r="DB17" i="39"/>
  <c r="CW17" i="39"/>
  <c r="CR17" i="39"/>
  <c r="CY13" i="39"/>
  <c r="CZ13" i="39" s="1"/>
  <c r="CV13" i="39"/>
  <c r="CU13" i="39" s="1"/>
  <c r="CT13" i="39" s="1"/>
  <c r="CS13" i="39" s="1"/>
  <c r="CW13" i="39" s="1"/>
  <c r="EE12" i="39"/>
  <c r="EG12" i="39" s="1"/>
  <c r="EH12" i="39" s="1"/>
  <c r="DY12" i="39"/>
  <c r="DZ12" i="39" s="1"/>
  <c r="DW12" i="39"/>
  <c r="DH12" i="39"/>
  <c r="DI12" i="39" s="1"/>
  <c r="DJ12" i="39" s="1"/>
  <c r="DK12" i="39" s="1"/>
  <c r="DM12" i="39" s="1"/>
  <c r="DG12" i="39"/>
  <c r="CY12" i="39"/>
  <c r="CV12" i="39"/>
  <c r="CU12" i="39" s="1"/>
  <c r="CT12" i="39" s="1"/>
  <c r="CS12" i="39" s="1"/>
  <c r="CW12" i="39" s="1"/>
  <c r="DY11" i="39"/>
  <c r="DZ11" i="39" s="1"/>
  <c r="EB11" i="39" s="1"/>
  <c r="DH11" i="39"/>
  <c r="DI11" i="39" s="1"/>
  <c r="DJ11" i="39" s="1"/>
  <c r="DK11" i="39" s="1"/>
  <c r="DM11" i="39" s="1"/>
  <c r="DG11" i="39"/>
  <c r="CY11" i="39"/>
  <c r="CV11" i="39"/>
  <c r="CU11" i="39" s="1"/>
  <c r="CT11" i="39" s="1"/>
  <c r="CS11" i="39" s="1"/>
  <c r="CW11" i="39" s="1"/>
  <c r="EQ9" i="39"/>
  <c r="EL9" i="39"/>
  <c r="EG9" i="39"/>
  <c r="EE9" i="39"/>
  <c r="EB9" i="39"/>
  <c r="DW9" i="39"/>
  <c r="DR9" i="39"/>
  <c r="DM9" i="39"/>
  <c r="DH9" i="39"/>
  <c r="DC9" i="39"/>
  <c r="DD9" i="39" s="1"/>
  <c r="DE9" i="39" s="1"/>
  <c r="CX9" i="39"/>
  <c r="CV9" i="39"/>
  <c r="CU9" i="39"/>
  <c r="CT9" i="39"/>
  <c r="CS9" i="39"/>
  <c r="FB6" i="39"/>
  <c r="FA6" i="39"/>
  <c r="EZ6" i="39"/>
  <c r="EU6" i="39"/>
  <c r="EP6" i="39"/>
  <c r="EO6" i="39"/>
  <c r="EN6" i="39"/>
  <c r="EM6" i="39"/>
  <c r="EL6" i="39"/>
  <c r="EK6" i="39"/>
  <c r="EJ6" i="39"/>
  <c r="EI6" i="39"/>
  <c r="EH6" i="39"/>
  <c r="EG6" i="39"/>
  <c r="EF6" i="39"/>
  <c r="EE6" i="39"/>
  <c r="ED6" i="39"/>
  <c r="EC6" i="39"/>
  <c r="EB6" i="39"/>
  <c r="EA6" i="39"/>
  <c r="DZ6" i="39"/>
  <c r="DY6" i="39"/>
  <c r="DX6" i="39"/>
  <c r="DW6" i="39"/>
  <c r="DV6" i="39"/>
  <c r="DU6" i="39"/>
  <c r="DT6" i="39"/>
  <c r="DS6" i="39"/>
  <c r="DR6" i="39"/>
  <c r="DQ6" i="39"/>
  <c r="DP6" i="39"/>
  <c r="DO6" i="39"/>
  <c r="DN6" i="39"/>
  <c r="DM6" i="39"/>
  <c r="DL6" i="39"/>
  <c r="DK6" i="39"/>
  <c r="DJ6" i="39"/>
  <c r="DI6" i="39"/>
  <c r="DH6" i="39"/>
  <c r="DG6" i="39"/>
  <c r="DF6" i="39"/>
  <c r="DE6" i="39"/>
  <c r="DD6" i="39"/>
  <c r="DC6" i="39"/>
  <c r="DB6" i="39"/>
  <c r="DA6" i="39"/>
  <c r="CZ6" i="39"/>
  <c r="CY6" i="39"/>
  <c r="CX6" i="39"/>
  <c r="CW6" i="39"/>
  <c r="CV6" i="39"/>
  <c r="CU6" i="39"/>
  <c r="CT6" i="39"/>
  <c r="CS6" i="39"/>
  <c r="CR6" i="39"/>
  <c r="CQ6" i="39"/>
  <c r="CP6" i="39"/>
  <c r="CO6" i="39"/>
  <c r="CN6" i="39"/>
  <c r="A2" i="39"/>
  <c r="EW54" i="39" l="1"/>
  <c r="EX54" i="39" s="1"/>
  <c r="EY54" i="39" s="1"/>
  <c r="EV38" i="39"/>
  <c r="EZ59" i="39"/>
  <c r="EZ68" i="39" s="1"/>
  <c r="EY82" i="39"/>
  <c r="EW19" i="39"/>
  <c r="EW38" i="39" s="1"/>
  <c r="EV26" i="39"/>
  <c r="EX39" i="39"/>
  <c r="EY20" i="39"/>
  <c r="EY27" i="39" s="1"/>
  <c r="EX27" i="39"/>
  <c r="DG24" i="39"/>
  <c r="EA24" i="39"/>
  <c r="CW9" i="39"/>
  <c r="CW10" i="39" s="1"/>
  <c r="CW14" i="39" s="1"/>
  <c r="CV10" i="39"/>
  <c r="CV14" i="39" s="1"/>
  <c r="EF12" i="39"/>
  <c r="EA12" i="39"/>
  <c r="EF24" i="39"/>
  <c r="EI12" i="39"/>
  <c r="EJ12" i="39" s="1"/>
  <c r="EL12" i="39" s="1"/>
  <c r="DN12" i="39"/>
  <c r="DO12" i="39" s="1"/>
  <c r="DP12" i="39" s="1"/>
  <c r="DR12" i="39" s="1"/>
  <c r="DN11" i="39"/>
  <c r="DO11" i="39" s="1"/>
  <c r="DP11" i="39" s="1"/>
  <c r="DR11" i="39" s="1"/>
  <c r="DA13" i="39"/>
  <c r="EC11" i="39"/>
  <c r="ED11" i="39" s="1"/>
  <c r="DL11" i="39"/>
  <c r="DL12" i="39"/>
  <c r="DL24" i="39"/>
  <c r="EU54" i="39"/>
  <c r="DK192" i="39"/>
  <c r="DB9" i="39"/>
  <c r="EH9" i="39"/>
  <c r="ER9" i="39"/>
  <c r="CX10" i="39"/>
  <c r="CX30" i="39" s="1"/>
  <c r="CZ11" i="39"/>
  <c r="CZ12" i="39"/>
  <c r="DB12" i="39" s="1"/>
  <c r="DQ24" i="39"/>
  <c r="DM90" i="39"/>
  <c r="DM76" i="39"/>
  <c r="DM56" i="39"/>
  <c r="DN146" i="39"/>
  <c r="DM153" i="39"/>
  <c r="DM192" i="39" s="1"/>
  <c r="DW49" i="39"/>
  <c r="EQ36" i="39"/>
  <c r="EQ24" i="39"/>
  <c r="ER17" i="39"/>
  <c r="DN9" i="39"/>
  <c r="DX9" i="39"/>
  <c r="CY10" i="39"/>
  <c r="DV24" i="39"/>
  <c r="DO55" i="39"/>
  <c r="DN50" i="39"/>
  <c r="ES37" i="39"/>
  <c r="ES25" i="39"/>
  <c r="ES21" i="39"/>
  <c r="ET18" i="39"/>
  <c r="DP102" i="39"/>
  <c r="DP118" i="39"/>
  <c r="DP130" i="39"/>
  <c r="ER40" i="39"/>
  <c r="ER28" i="39"/>
  <c r="CS10" i="39"/>
  <c r="CS42" i="39" s="1"/>
  <c r="DS101" i="39"/>
  <c r="DR98" i="39"/>
  <c r="EP24" i="39"/>
  <c r="EM9" i="39"/>
  <c r="CT10" i="39"/>
  <c r="CT42" i="39" s="1"/>
  <c r="CW24" i="39"/>
  <c r="EK24" i="39"/>
  <c r="DL154" i="39"/>
  <c r="DL176" i="39"/>
  <c r="DI9" i="39"/>
  <c r="DS9" i="39"/>
  <c r="EC9" i="39"/>
  <c r="CU10" i="39"/>
  <c r="CU14" i="39" s="1"/>
  <c r="DB24" i="39"/>
  <c r="DK176" i="39"/>
  <c r="CV42" i="39" l="1"/>
  <c r="CV30" i="39"/>
  <c r="EZ54" i="39"/>
  <c r="EZ20" i="39"/>
  <c r="EZ27" i="39" s="1"/>
  <c r="EX19" i="39"/>
  <c r="EW26" i="39"/>
  <c r="EU18" i="39"/>
  <c r="EU25" i="39" s="1"/>
  <c r="EV18" i="39"/>
  <c r="EY39" i="39"/>
  <c r="CW30" i="39"/>
  <c r="CX14" i="39"/>
  <c r="DM176" i="39"/>
  <c r="DM177" i="39" s="1"/>
  <c r="CT14" i="39"/>
  <c r="CU30" i="39"/>
  <c r="CZ10" i="39"/>
  <c r="CZ14" i="39" s="1"/>
  <c r="CS14" i="39"/>
  <c r="DL177" i="39"/>
  <c r="DL180" i="39"/>
  <c r="DY9" i="39"/>
  <c r="DX49" i="39"/>
  <c r="DO146" i="39"/>
  <c r="DN153" i="39"/>
  <c r="DN192" i="39" s="1"/>
  <c r="CZ42" i="39"/>
  <c r="CX42" i="39"/>
  <c r="DA10" i="39"/>
  <c r="DC13" i="39"/>
  <c r="DT9" i="39"/>
  <c r="DT101" i="39"/>
  <c r="DS98" i="39"/>
  <c r="DN76" i="39"/>
  <c r="DN90" i="39"/>
  <c r="DN56" i="39"/>
  <c r="DO9" i="39"/>
  <c r="DS12" i="39"/>
  <c r="DT12" i="39" s="1"/>
  <c r="DJ9" i="39"/>
  <c r="DP55" i="39"/>
  <c r="DQ55" i="39" s="1"/>
  <c r="DQ50" i="39" s="1"/>
  <c r="DO50" i="39"/>
  <c r="EE11" i="39"/>
  <c r="EF11" i="39" s="1"/>
  <c r="DQ12" i="39"/>
  <c r="CS30" i="39"/>
  <c r="ES9" i="39"/>
  <c r="DB11" i="39"/>
  <c r="EI9" i="39"/>
  <c r="ET37" i="39"/>
  <c r="ET25" i="39"/>
  <c r="ET21" i="39"/>
  <c r="EU21" i="39" s="1"/>
  <c r="EU28" i="39" s="1"/>
  <c r="ER36" i="39"/>
  <c r="ER24" i="39"/>
  <c r="ES17" i="39"/>
  <c r="DS11" i="39"/>
  <c r="DT11" i="39" s="1"/>
  <c r="DU11" i="39" s="1"/>
  <c r="DW11" i="39" s="1"/>
  <c r="EM12" i="39"/>
  <c r="EN12" i="39" s="1"/>
  <c r="EO12" i="39" s="1"/>
  <c r="EQ12" i="39" s="1"/>
  <c r="DK180" i="39"/>
  <c r="CT30" i="39"/>
  <c r="ES40" i="39"/>
  <c r="ES28" i="39"/>
  <c r="DQ11" i="39"/>
  <c r="EK12" i="39"/>
  <c r="EN9" i="39"/>
  <c r="CU42" i="39"/>
  <c r="DR130" i="39"/>
  <c r="DR118" i="39"/>
  <c r="DR102" i="39"/>
  <c r="CY30" i="39"/>
  <c r="CY42" i="39"/>
  <c r="CY14" i="39"/>
  <c r="DB13" i="39"/>
  <c r="EV37" i="39" l="1"/>
  <c r="EV21" i="39"/>
  <c r="EW18" i="39"/>
  <c r="EV25" i="39"/>
  <c r="DM180" i="39"/>
  <c r="EX38" i="39"/>
  <c r="EY19" i="39"/>
  <c r="EY26" i="39" s="1"/>
  <c r="EX26" i="39"/>
  <c r="CZ30" i="39"/>
  <c r="DB10" i="39"/>
  <c r="DB14" i="39" s="1"/>
  <c r="EP12" i="39"/>
  <c r="DB30" i="39"/>
  <c r="DQ76" i="39"/>
  <c r="DQ56" i="39"/>
  <c r="ES36" i="39"/>
  <c r="ES24" i="39"/>
  <c r="ET17" i="39"/>
  <c r="EG11" i="39"/>
  <c r="DS130" i="39"/>
  <c r="DS118" i="39"/>
  <c r="DS102" i="39"/>
  <c r="DA42" i="39"/>
  <c r="DA30" i="39"/>
  <c r="DA14" i="39"/>
  <c r="DZ9" i="39"/>
  <c r="EJ9" i="39"/>
  <c r="DU101" i="39"/>
  <c r="DT98" i="39"/>
  <c r="DP146" i="39"/>
  <c r="DO153" i="39"/>
  <c r="DO176" i="39" s="1"/>
  <c r="ER12" i="39"/>
  <c r="ES12" i="39" s="1"/>
  <c r="ET12" i="39" s="1"/>
  <c r="EV12" i="39" s="1"/>
  <c r="DP9" i="39"/>
  <c r="DU9" i="39"/>
  <c r="DV11" i="39"/>
  <c r="ET40" i="39"/>
  <c r="ET28" i="39"/>
  <c r="DO76" i="39"/>
  <c r="DO56" i="39"/>
  <c r="DO90" i="39"/>
  <c r="DV12" i="39"/>
  <c r="DR55" i="39"/>
  <c r="DP50" i="39"/>
  <c r="DY49" i="39"/>
  <c r="DK9" i="39"/>
  <c r="EA11" i="39"/>
  <c r="EO9" i="39"/>
  <c r="ET9" i="39"/>
  <c r="DN176" i="39"/>
  <c r="DD13" i="39"/>
  <c r="DC10" i="39"/>
  <c r="DV101" i="39"/>
  <c r="DV98" i="39" s="1"/>
  <c r="EZ19" i="39" l="1"/>
  <c r="EZ26" i="39" s="1"/>
  <c r="EW12" i="39"/>
  <c r="EX12" i="39" s="1"/>
  <c r="EY12" i="39" s="1"/>
  <c r="EZ12" i="39"/>
  <c r="EY38" i="39"/>
  <c r="EV40" i="39"/>
  <c r="EV28" i="39"/>
  <c r="EU17" i="39"/>
  <c r="EU24" i="39" s="1"/>
  <c r="EV17" i="39"/>
  <c r="EW37" i="39"/>
  <c r="EX18" i="39"/>
  <c r="EW21" i="39"/>
  <c r="EW25" i="39"/>
  <c r="DO192" i="39"/>
  <c r="EU12" i="39"/>
  <c r="DP153" i="39"/>
  <c r="DP176" i="39" s="1"/>
  <c r="ET36" i="39"/>
  <c r="ET24" i="39"/>
  <c r="DC14" i="39"/>
  <c r="DC30" i="39"/>
  <c r="DC42" i="39"/>
  <c r="DT102" i="39"/>
  <c r="DT130" i="39"/>
  <c r="DT118" i="39"/>
  <c r="DE13" i="39"/>
  <c r="DD10" i="39"/>
  <c r="DW101" i="39"/>
  <c r="DU98" i="39"/>
  <c r="DN180" i="39"/>
  <c r="DP76" i="39"/>
  <c r="DP56" i="39"/>
  <c r="DP90" i="39"/>
  <c r="DO180" i="39"/>
  <c r="DV118" i="39"/>
  <c r="DV102" i="39"/>
  <c r="DS55" i="39"/>
  <c r="DR50" i="39"/>
  <c r="DZ49" i="39"/>
  <c r="EH11" i="39"/>
  <c r="DP192" i="39" l="1"/>
  <c r="EW40" i="39"/>
  <c r="EW28" i="39"/>
  <c r="EX37" i="39"/>
  <c r="EX21" i="39"/>
  <c r="EY18" i="39"/>
  <c r="EZ18" i="39" s="1"/>
  <c r="EZ25" i="39" s="1"/>
  <c r="EX25" i="39"/>
  <c r="EW17" i="39"/>
  <c r="EV24" i="39"/>
  <c r="EV36" i="39"/>
  <c r="DD14" i="39"/>
  <c r="DD30" i="39"/>
  <c r="DD42" i="39"/>
  <c r="DF13" i="39"/>
  <c r="DE10" i="39"/>
  <c r="DP180" i="39"/>
  <c r="DU118" i="39"/>
  <c r="DU102" i="39"/>
  <c r="DU130" i="39"/>
  <c r="DX101" i="39"/>
  <c r="DW98" i="39"/>
  <c r="DR56" i="39"/>
  <c r="DR90" i="39"/>
  <c r="DR76" i="39"/>
  <c r="EI11" i="39"/>
  <c r="DT55" i="39"/>
  <c r="DS50" i="39"/>
  <c r="EB49" i="39"/>
  <c r="EA49" i="39"/>
  <c r="EW24" i="39" l="1"/>
  <c r="EX17" i="39"/>
  <c r="EW36" i="39"/>
  <c r="EY37" i="39"/>
  <c r="EY25" i="39"/>
  <c r="EY21" i="39"/>
  <c r="EZ21" i="39" s="1"/>
  <c r="EZ28" i="39" s="1"/>
  <c r="EX28" i="39"/>
  <c r="EX40" i="39"/>
  <c r="DE14" i="39"/>
  <c r="DE42" i="39"/>
  <c r="DE30" i="39"/>
  <c r="EJ11" i="39"/>
  <c r="EK11" i="39"/>
  <c r="DH13" i="39"/>
  <c r="DF10" i="39"/>
  <c r="EC49" i="39"/>
  <c r="DW130" i="39"/>
  <c r="DW118" i="39"/>
  <c r="DW102" i="39"/>
  <c r="DY101" i="39"/>
  <c r="DX98" i="39"/>
  <c r="DS76" i="39"/>
  <c r="DS90" i="39"/>
  <c r="DS56" i="39"/>
  <c r="DU55" i="39"/>
  <c r="DV55" i="39" s="1"/>
  <c r="DV50" i="39" s="1"/>
  <c r="DT50" i="39"/>
  <c r="DG13" i="39"/>
  <c r="DG10" i="39" s="1"/>
  <c r="EY40" i="39" l="1"/>
  <c r="EY28" i="39"/>
  <c r="EY17" i="39"/>
  <c r="EZ17" i="39" s="1"/>
  <c r="EZ24" i="39" s="1"/>
  <c r="EX24" i="39"/>
  <c r="EX36" i="39"/>
  <c r="DI13" i="39"/>
  <c r="DH10" i="39"/>
  <c r="DV76" i="39"/>
  <c r="DV56" i="39"/>
  <c r="DZ101" i="39"/>
  <c r="EA101" i="39" s="1"/>
  <c r="EA98" i="39" s="1"/>
  <c r="DY98" i="39"/>
  <c r="DX102" i="39"/>
  <c r="DX118" i="39"/>
  <c r="DX130" i="39"/>
  <c r="EL11" i="39"/>
  <c r="DW55" i="39"/>
  <c r="DU50" i="39"/>
  <c r="DT76" i="39"/>
  <c r="DT90" i="39"/>
  <c r="DT56" i="39"/>
  <c r="DG14" i="39"/>
  <c r="DG30" i="39"/>
  <c r="ED49" i="39"/>
  <c r="DF42" i="39"/>
  <c r="DF30" i="39"/>
  <c r="DF14" i="39"/>
  <c r="EY36" i="39" l="1"/>
  <c r="EY24" i="39"/>
  <c r="DU90" i="39"/>
  <c r="DU76" i="39"/>
  <c r="DU56" i="39"/>
  <c r="DH42" i="39"/>
  <c r="DH30" i="39"/>
  <c r="DH14" i="39"/>
  <c r="EM11" i="39"/>
  <c r="EE49" i="39"/>
  <c r="DJ13" i="39"/>
  <c r="DI10" i="39"/>
  <c r="DY130" i="39"/>
  <c r="DY118" i="39"/>
  <c r="DY102" i="39"/>
  <c r="DX55" i="39"/>
  <c r="DW50" i="39"/>
  <c r="EA102" i="39"/>
  <c r="EA118" i="39"/>
  <c r="EB101" i="39"/>
  <c r="DZ98" i="39"/>
  <c r="DW90" i="39" l="1"/>
  <c r="DW76" i="39"/>
  <c r="DW56" i="39"/>
  <c r="EG49" i="39"/>
  <c r="DI14" i="39"/>
  <c r="DI42" i="39"/>
  <c r="DI30" i="39"/>
  <c r="DK13" i="39"/>
  <c r="DL13" i="39" s="1"/>
  <c r="DL10" i="39" s="1"/>
  <c r="DJ10" i="39"/>
  <c r="EN11" i="39"/>
  <c r="DY55" i="39"/>
  <c r="DX50" i="39"/>
  <c r="DZ130" i="39"/>
  <c r="DZ102" i="39"/>
  <c r="DZ118" i="39"/>
  <c r="EF49" i="39"/>
  <c r="EC101" i="39"/>
  <c r="EB98" i="39"/>
  <c r="EO11" i="39" l="1"/>
  <c r="EB130" i="39"/>
  <c r="EB118" i="39"/>
  <c r="EB102" i="39"/>
  <c r="DX56" i="39"/>
  <c r="DX76" i="39"/>
  <c r="DX90" i="39"/>
  <c r="DL14" i="39"/>
  <c r="DL30" i="39"/>
  <c r="ED101" i="39"/>
  <c r="EC98" i="39"/>
  <c r="DZ55" i="39"/>
  <c r="EA55" i="39" s="1"/>
  <c r="EA50" i="39" s="1"/>
  <c r="DY50" i="39"/>
  <c r="DJ42" i="39"/>
  <c r="DJ30" i="39"/>
  <c r="DJ14" i="39"/>
  <c r="DM13" i="39"/>
  <c r="DK10" i="39"/>
  <c r="EH49" i="39"/>
  <c r="EQ11" i="39" l="1"/>
  <c r="DY90" i="39"/>
  <c r="DY56" i="39"/>
  <c r="DY76" i="39"/>
  <c r="EI49" i="39"/>
  <c r="EA76" i="39"/>
  <c r="EA56" i="39"/>
  <c r="DN13" i="39"/>
  <c r="DM10" i="39"/>
  <c r="EB55" i="39"/>
  <c r="DZ50" i="39"/>
  <c r="EP11" i="39"/>
  <c r="EC130" i="39"/>
  <c r="EC118" i="39"/>
  <c r="EC102" i="39"/>
  <c r="DK30" i="39"/>
  <c r="DK14" i="39"/>
  <c r="DK42" i="39"/>
  <c r="EE101" i="39"/>
  <c r="EF101" i="39" s="1"/>
  <c r="EF98" i="39" s="1"/>
  <c r="ED98" i="39"/>
  <c r="EF118" i="39" l="1"/>
  <c r="EF102" i="39"/>
  <c r="ED118" i="39"/>
  <c r="ED130" i="39"/>
  <c r="ED102" i="39"/>
  <c r="EG101" i="39"/>
  <c r="EE98" i="39"/>
  <c r="EC55" i="39"/>
  <c r="EB50" i="39"/>
  <c r="EJ49" i="39"/>
  <c r="DZ90" i="39"/>
  <c r="DZ76" i="39"/>
  <c r="DZ56" i="39"/>
  <c r="DM30" i="39"/>
  <c r="DM14" i="39"/>
  <c r="DM42" i="39"/>
  <c r="DO13" i="39"/>
  <c r="DN10" i="39"/>
  <c r="ER11" i="39"/>
  <c r="DN42" i="39" l="1"/>
  <c r="DN30" i="39"/>
  <c r="DN14" i="39"/>
  <c r="EH101" i="39"/>
  <c r="EG98" i="39"/>
  <c r="DP13" i="39"/>
  <c r="DQ13" i="39" s="1"/>
  <c r="DQ10" i="39" s="1"/>
  <c r="DO10" i="39"/>
  <c r="ED55" i="39"/>
  <c r="EC50" i="39"/>
  <c r="EL49" i="39"/>
  <c r="EK49" i="39"/>
  <c r="ES11" i="39"/>
  <c r="EB56" i="39"/>
  <c r="EB76" i="39"/>
  <c r="EB90" i="39"/>
  <c r="EE130" i="39"/>
  <c r="EE118" i="39"/>
  <c r="EE102" i="39"/>
  <c r="DQ14" i="39" l="1"/>
  <c r="DQ30" i="39"/>
  <c r="ET11" i="39"/>
  <c r="EV11" i="39" s="1"/>
  <c r="EC90" i="39"/>
  <c r="EC76" i="39"/>
  <c r="EC56" i="39"/>
  <c r="EI101" i="39"/>
  <c r="EH98" i="39"/>
  <c r="EE55" i="39"/>
  <c r="EF55" i="39" s="1"/>
  <c r="EF50" i="39" s="1"/>
  <c r="ED50" i="39"/>
  <c r="EM49" i="39"/>
  <c r="DO42" i="39"/>
  <c r="DO30" i="39"/>
  <c r="DO14" i="39"/>
  <c r="DR13" i="39"/>
  <c r="DP10" i="39"/>
  <c r="EG102" i="39"/>
  <c r="EG130" i="39"/>
  <c r="EG118" i="39"/>
  <c r="EU11" i="39" l="1"/>
  <c r="EW11" i="39"/>
  <c r="DP42" i="39"/>
  <c r="DP30" i="39"/>
  <c r="DP14" i="39"/>
  <c r="DS13" i="39"/>
  <c r="DR10" i="39"/>
  <c r="ED76" i="39"/>
  <c r="ED90" i="39"/>
  <c r="ED56" i="39"/>
  <c r="EN49" i="39"/>
  <c r="EG55" i="39"/>
  <c r="EE50" i="39"/>
  <c r="EH118" i="39"/>
  <c r="EH130" i="39"/>
  <c r="EH102" i="39"/>
  <c r="EF76" i="39"/>
  <c r="EF56" i="39"/>
  <c r="EJ101" i="39"/>
  <c r="EI98" i="39"/>
  <c r="EK101" i="39"/>
  <c r="EK98" i="39" s="1"/>
  <c r="EJ18" i="148"/>
  <c r="EJ17" i="148"/>
  <c r="DL189" i="7"/>
  <c r="DN191" i="7"/>
  <c r="DN192" i="7" s="1"/>
  <c r="DN143" i="7"/>
  <c r="EL21" i="148"/>
  <c r="EL18" i="148"/>
  <c r="EL17" i="148"/>
  <c r="EL14" i="148"/>
  <c r="EL13" i="148"/>
  <c r="EL6" i="148"/>
  <c r="DN101" i="7"/>
  <c r="DN146" i="7" l="1"/>
  <c r="DO161" i="7"/>
  <c r="EX11" i="39"/>
  <c r="EH55" i="39"/>
  <c r="EG50" i="39"/>
  <c r="EE56" i="39"/>
  <c r="EE90" i="39"/>
  <c r="EE76" i="39"/>
  <c r="DR14" i="39"/>
  <c r="DR42" i="39"/>
  <c r="DR30" i="39"/>
  <c r="DT13" i="39"/>
  <c r="DS10" i="39"/>
  <c r="EK118" i="39"/>
  <c r="EK102" i="39"/>
  <c r="EI130" i="39"/>
  <c r="EI118" i="39"/>
  <c r="EI102" i="39"/>
  <c r="EO49" i="39"/>
  <c r="EL101" i="39"/>
  <c r="EJ98" i="39"/>
  <c r="DN98" i="3"/>
  <c r="DS99" i="3" s="1"/>
  <c r="DO164" i="7" l="1"/>
  <c r="EY11" i="39"/>
  <c r="EZ11" i="39" s="1"/>
  <c r="EJ118" i="39"/>
  <c r="EJ130" i="39"/>
  <c r="EJ102" i="39"/>
  <c r="EM101" i="39"/>
  <c r="EL98" i="39"/>
  <c r="EG76" i="39"/>
  <c r="EG56" i="39"/>
  <c r="EG90" i="39"/>
  <c r="EI55" i="39"/>
  <c r="EH50" i="39"/>
  <c r="EQ49" i="39"/>
  <c r="DS42" i="39"/>
  <c r="DS30" i="39"/>
  <c r="DS14" i="39"/>
  <c r="DU13" i="39"/>
  <c r="DT10" i="39"/>
  <c r="EP49" i="39"/>
  <c r="DO108" i="3"/>
  <c r="DN108" i="3"/>
  <c r="DL108" i="3"/>
  <c r="DK108" i="3"/>
  <c r="DN17" i="3"/>
  <c r="EL230" i="2"/>
  <c r="EL232" i="2" s="1"/>
  <c r="EL236" i="2" s="1"/>
  <c r="EL225" i="2"/>
  <c r="EL198" i="2"/>
  <c r="EL200" i="2" s="1"/>
  <c r="EL187" i="2"/>
  <c r="EL92" i="2"/>
  <c r="EL91" i="2"/>
  <c r="EL90" i="2"/>
  <c r="EL89" i="2"/>
  <c r="EL75" i="2"/>
  <c r="EL68" i="2"/>
  <c r="EL67" i="2"/>
  <c r="EL66" i="2"/>
  <c r="EL59" i="2"/>
  <c r="EL56" i="2"/>
  <c r="EL209" i="2" s="1"/>
  <c r="EM211" i="2" s="1"/>
  <c r="EL55" i="2"/>
  <c r="EL52" i="2"/>
  <c r="EL47" i="2"/>
  <c r="EL46" i="2"/>
  <c r="EL41" i="2"/>
  <c r="EL26" i="2"/>
  <c r="EL8" i="2"/>
  <c r="EL320" i="1"/>
  <c r="EQ321" i="1" s="1"/>
  <c r="EL318" i="1"/>
  <c r="EL288" i="1"/>
  <c r="EQ301" i="1" s="1"/>
  <c r="EL264" i="1"/>
  <c r="EQ277" i="1" s="1"/>
  <c r="EL240" i="1"/>
  <c r="EQ253" i="1" s="1"/>
  <c r="EL214" i="1"/>
  <c r="EL201" i="1"/>
  <c r="EL290" i="1" s="1"/>
  <c r="EL199" i="1"/>
  <c r="EL289" i="1" s="1"/>
  <c r="EL195" i="1"/>
  <c r="EL266" i="1" s="1"/>
  <c r="EL193" i="1"/>
  <c r="EL265" i="1" s="1"/>
  <c r="EL189" i="1"/>
  <c r="EL242" i="1" s="1"/>
  <c r="EL187" i="1"/>
  <c r="EL241" i="1" s="1"/>
  <c r="EL184" i="1"/>
  <c r="EL179" i="1"/>
  <c r="EL124" i="1"/>
  <c r="EM126" i="1" s="1"/>
  <c r="EL110" i="1"/>
  <c r="EM112" i="1" s="1"/>
  <c r="EL106" i="1"/>
  <c r="EL66" i="1"/>
  <c r="EL65" i="1"/>
  <c r="EL62" i="1"/>
  <c r="EL58" i="1"/>
  <c r="EL48" i="1"/>
  <c r="EL44" i="1"/>
  <c r="EL34" i="1"/>
  <c r="EL30" i="1"/>
  <c r="EL22" i="1"/>
  <c r="EL20" i="1"/>
  <c r="EL16" i="1"/>
  <c r="EL13" i="1"/>
  <c r="EL9" i="1"/>
  <c r="EL181" i="82"/>
  <c r="EL177" i="82"/>
  <c r="EL119" i="82"/>
  <c r="EL118" i="82"/>
  <c r="EL82" i="82"/>
  <c r="EL84" i="82" s="1"/>
  <c r="EL86" i="82" s="1"/>
  <c r="EL44" i="82"/>
  <c r="EL12" i="82"/>
  <c r="EL149" i="82" s="1"/>
  <c r="EL11" i="82"/>
  <c r="EL10" i="82"/>
  <c r="DN198" i="7"/>
  <c r="DO195" i="7" s="1"/>
  <c r="DO197" i="7" s="1"/>
  <c r="DN171" i="7"/>
  <c r="DO167" i="7" s="1"/>
  <c r="DO170" i="7" s="1"/>
  <c r="DN169" i="7"/>
  <c r="DN99" i="7"/>
  <c r="DN97" i="7"/>
  <c r="DN95" i="7"/>
  <c r="DN93" i="7"/>
  <c r="DN90" i="7"/>
  <c r="DN86" i="7"/>
  <c r="DN84" i="7"/>
  <c r="DN81" i="7"/>
  <c r="DN72" i="7"/>
  <c r="DN60" i="7"/>
  <c r="DN38" i="7"/>
  <c r="DN73" i="3"/>
  <c r="DN66" i="3"/>
  <c r="DN18" i="3" s="1"/>
  <c r="DN46" i="3"/>
  <c r="DN32" i="3"/>
  <c r="DN6" i="3"/>
  <c r="DN56" i="3" s="1"/>
  <c r="DO75" i="3" l="1"/>
  <c r="DO177" i="7"/>
  <c r="EL154" i="1"/>
  <c r="EL155" i="1" s="1"/>
  <c r="EL101" i="1"/>
  <c r="EM27" i="1"/>
  <c r="EL93" i="1"/>
  <c r="EL92" i="1"/>
  <c r="EM93" i="2"/>
  <c r="EL258" i="1"/>
  <c r="EM260" i="1"/>
  <c r="EM44" i="39" s="1"/>
  <c r="EL268" i="1"/>
  <c r="EM284" i="1"/>
  <c r="EM92" i="39" s="1"/>
  <c r="EL306" i="1"/>
  <c r="EM308" i="1"/>
  <c r="EM132" i="39" s="1"/>
  <c r="EL12" i="2"/>
  <c r="EM85" i="2"/>
  <c r="EL196" i="1"/>
  <c r="EM182" i="1"/>
  <c r="EL30" i="82"/>
  <c r="EM32" i="82" s="1"/>
  <c r="DN105" i="7"/>
  <c r="DN81" i="3"/>
  <c r="DN76" i="7"/>
  <c r="DN50" i="7"/>
  <c r="EH90" i="39"/>
  <c r="EH76" i="39"/>
  <c r="EH56" i="39"/>
  <c r="EJ55" i="39"/>
  <c r="EI50" i="39"/>
  <c r="ER49" i="39"/>
  <c r="DT14" i="39"/>
  <c r="DT42" i="39"/>
  <c r="DT30" i="39"/>
  <c r="DW13" i="39"/>
  <c r="DU10" i="39"/>
  <c r="EL102" i="39"/>
  <c r="EL118" i="39"/>
  <c r="EL130" i="39"/>
  <c r="EN101" i="39"/>
  <c r="EM98" i="39"/>
  <c r="EM130" i="39" s="1"/>
  <c r="DV13" i="39"/>
  <c r="DV10" i="39" s="1"/>
  <c r="DN88" i="7"/>
  <c r="DN87" i="7" s="1"/>
  <c r="DN103" i="7"/>
  <c r="DN102" i="7" s="1"/>
  <c r="DN168" i="7"/>
  <c r="EL224" i="2"/>
  <c r="EL226" i="2" s="1"/>
  <c r="EL120" i="82"/>
  <c r="EL122" i="82" s="1"/>
  <c r="EL123" i="82" s="1"/>
  <c r="EL206" i="2"/>
  <c r="EL179" i="82"/>
  <c r="EL199" i="2"/>
  <c r="EL190" i="1"/>
  <c r="EL292" i="1"/>
  <c r="EL244" i="1"/>
  <c r="EL204" i="1"/>
  <c r="EL202" i="1"/>
  <c r="EL282" i="1"/>
  <c r="EL115" i="1"/>
  <c r="EM117" i="1" s="1"/>
  <c r="EL118" i="1"/>
  <c r="EM120" i="1" s="1"/>
  <c r="EL36" i="1"/>
  <c r="EM41" i="1" s="1"/>
  <c r="EL87" i="82"/>
  <c r="EL115" i="82"/>
  <c r="EL27" i="82"/>
  <c r="EL80" i="82"/>
  <c r="DN70" i="3"/>
  <c r="DO175" i="7" l="1"/>
  <c r="EM95" i="1"/>
  <c r="DN100" i="7"/>
  <c r="DS100" i="7" s="1"/>
  <c r="EL229" i="1"/>
  <c r="EM87" i="2"/>
  <c r="DN85" i="7"/>
  <c r="DN62" i="7"/>
  <c r="EM133" i="39"/>
  <c r="EM131" i="39"/>
  <c r="EM310" i="1"/>
  <c r="EM309" i="1"/>
  <c r="EM285" i="1"/>
  <c r="EM286" i="1"/>
  <c r="EM262" i="1"/>
  <c r="EM261" i="1"/>
  <c r="EM29" i="82"/>
  <c r="EI76" i="39"/>
  <c r="EI90" i="39"/>
  <c r="EI56" i="39"/>
  <c r="DU14" i="39"/>
  <c r="DU42" i="39"/>
  <c r="DU30" i="39"/>
  <c r="EL55" i="39"/>
  <c r="EJ50" i="39"/>
  <c r="DX13" i="39"/>
  <c r="DW10" i="39"/>
  <c r="DV14" i="39"/>
  <c r="DV30" i="39"/>
  <c r="EK55" i="39"/>
  <c r="EK50" i="39" s="1"/>
  <c r="EM102" i="39"/>
  <c r="EM118" i="39"/>
  <c r="ES49" i="39"/>
  <c r="EO101" i="39"/>
  <c r="EN98" i="39"/>
  <c r="EL212" i="1"/>
  <c r="EL213" i="1" s="1"/>
  <c r="EL146" i="82"/>
  <c r="EL121" i="1"/>
  <c r="EM123" i="1" s="1"/>
  <c r="EL136" i="2"/>
  <c r="EL107" i="1"/>
  <c r="EM109" i="1" s="1"/>
  <c r="EL50" i="1"/>
  <c r="EL81" i="82"/>
  <c r="EL110" i="82"/>
  <c r="EQ111" i="82" s="1"/>
  <c r="EL144" i="82"/>
  <c r="EL116" i="82"/>
  <c r="EL112" i="82"/>
  <c r="DS85" i="7" l="1"/>
  <c r="DS87" i="7" s="1"/>
  <c r="EM55" i="1"/>
  <c r="DY13" i="39"/>
  <c r="DX10" i="39"/>
  <c r="ET49" i="39"/>
  <c r="DW42" i="39"/>
  <c r="DW30" i="39"/>
  <c r="DW14" i="39"/>
  <c r="EK76" i="39"/>
  <c r="EK56" i="39"/>
  <c r="EN130" i="39"/>
  <c r="EN102" i="39"/>
  <c r="EN118" i="39"/>
  <c r="EJ56" i="39"/>
  <c r="EJ76" i="39"/>
  <c r="EJ90" i="39"/>
  <c r="EQ101" i="39"/>
  <c r="EO98" i="39"/>
  <c r="EP101" i="39"/>
  <c r="EP98" i="39" s="1"/>
  <c r="EM55" i="39"/>
  <c r="EL50" i="39"/>
  <c r="EL127" i="1"/>
  <c r="EM129" i="1" s="1"/>
  <c r="EL69" i="1"/>
  <c r="EL9" i="82"/>
  <c r="EL141" i="82"/>
  <c r="EL105" i="82"/>
  <c r="EU49" i="39" l="1"/>
  <c r="EV49" i="39"/>
  <c r="EM74" i="1"/>
  <c r="EL134" i="1"/>
  <c r="DN72" i="3"/>
  <c r="EP118" i="39"/>
  <c r="EP102" i="39"/>
  <c r="EN55" i="39"/>
  <c r="EM50" i="39"/>
  <c r="EM90" i="39" s="1"/>
  <c r="EO130" i="39"/>
  <c r="EO118" i="39"/>
  <c r="EO102" i="39"/>
  <c r="DZ13" i="39"/>
  <c r="EA13" i="39" s="1"/>
  <c r="EA10" i="39" s="1"/>
  <c r="DY10" i="39"/>
  <c r="DX42" i="39"/>
  <c r="DX30" i="39"/>
  <c r="DX14" i="39"/>
  <c r="ER101" i="39"/>
  <c r="EQ98" i="39"/>
  <c r="EL76" i="39"/>
  <c r="EL56" i="39"/>
  <c r="EL90" i="39"/>
  <c r="EL133" i="1"/>
  <c r="DN76" i="3"/>
  <c r="EL136" i="1"/>
  <c r="EL170" i="1"/>
  <c r="EM173" i="1" s="1"/>
  <c r="EM210" i="1" s="1"/>
  <c r="EL7" i="2"/>
  <c r="EL80" i="1"/>
  <c r="EL85" i="1"/>
  <c r="EL79" i="1"/>
  <c r="EL86" i="1"/>
  <c r="EL78" i="1"/>
  <c r="EL84" i="1"/>
  <c r="EL82" i="1"/>
  <c r="EL24" i="82"/>
  <c r="EL40" i="82"/>
  <c r="EL13" i="82"/>
  <c r="EL14" i="82" s="1"/>
  <c r="EW49" i="39" l="1"/>
  <c r="EM84" i="2"/>
  <c r="EM93" i="39"/>
  <c r="EM91" i="39"/>
  <c r="EM26" i="82"/>
  <c r="EL135" i="1"/>
  <c r="EL137" i="1" s="1"/>
  <c r="EO55" i="39"/>
  <c r="EN50" i="39"/>
  <c r="EQ102" i="39"/>
  <c r="EQ118" i="39"/>
  <c r="EQ130" i="39"/>
  <c r="DY42" i="39"/>
  <c r="DY30" i="39"/>
  <c r="DY14" i="39"/>
  <c r="EB13" i="39"/>
  <c r="DZ10" i="39"/>
  <c r="ES101" i="39"/>
  <c r="ER98" i="39"/>
  <c r="EA14" i="39"/>
  <c r="EA30" i="39"/>
  <c r="EM76" i="39"/>
  <c r="EM56" i="39"/>
  <c r="EP55" i="39"/>
  <c r="EP50" i="39" s="1"/>
  <c r="EL146" i="2"/>
  <c r="EL143" i="2"/>
  <c r="EL140" i="2"/>
  <c r="EL9" i="2"/>
  <c r="EL137" i="2"/>
  <c r="EL130" i="2"/>
  <c r="EL133" i="2"/>
  <c r="EL203" i="1"/>
  <c r="EL191" i="1"/>
  <c r="EL197" i="1"/>
  <c r="EL183" i="1"/>
  <c r="EL208" i="1"/>
  <c r="EL216" i="1" s="1"/>
  <c r="EL175" i="1"/>
  <c r="EL81" i="1"/>
  <c r="EL83" i="1" s="1"/>
  <c r="EL87" i="1" s="1"/>
  <c r="EL75" i="82"/>
  <c r="EQ76" i="82" s="1"/>
  <c r="EM177" i="1" l="1"/>
  <c r="EQ175" i="1"/>
  <c r="ER177" i="1" s="1"/>
  <c r="EM235" i="1"/>
  <c r="EM236" i="1" s="1"/>
  <c r="EN218" i="1"/>
  <c r="EQ289" i="1"/>
  <c r="EQ120" i="39" s="1"/>
  <c r="EQ121" i="39" s="1"/>
  <c r="EM139" i="2"/>
  <c r="EM148" i="2"/>
  <c r="EM142" i="2"/>
  <c r="EM145" i="2"/>
  <c r="EM135" i="2"/>
  <c r="EM132" i="2"/>
  <c r="EX49" i="39"/>
  <c r="EM86" i="2"/>
  <c r="DZ14" i="39"/>
  <c r="DZ42" i="39"/>
  <c r="DZ30" i="39"/>
  <c r="EP76" i="39"/>
  <c r="EP56" i="39"/>
  <c r="EN56" i="39"/>
  <c r="EN76" i="39"/>
  <c r="EN90" i="39"/>
  <c r="EC13" i="39"/>
  <c r="EB10" i="39"/>
  <c r="ER130" i="39"/>
  <c r="ER118" i="39"/>
  <c r="ER102" i="39"/>
  <c r="ET101" i="39"/>
  <c r="ES98" i="39"/>
  <c r="EU101" i="39"/>
  <c r="EU98" i="39" s="1"/>
  <c r="EQ55" i="39"/>
  <c r="EO50" i="39"/>
  <c r="EL123" i="2"/>
  <c r="EL126" i="2"/>
  <c r="EL117" i="2"/>
  <c r="EL120" i="2"/>
  <c r="EL114" i="2"/>
  <c r="EL13" i="2"/>
  <c r="EL178" i="1"/>
  <c r="EL225" i="1"/>
  <c r="EL234" i="1"/>
  <c r="EQ303" i="1" l="1"/>
  <c r="EQ304" i="1"/>
  <c r="EQ288" i="1"/>
  <c r="ER289" i="1"/>
  <c r="ER120" i="39" s="1"/>
  <c r="ER121" i="39" s="1"/>
  <c r="EM125" i="2"/>
  <c r="EQ124" i="2"/>
  <c r="EM116" i="2"/>
  <c r="EQ115" i="2"/>
  <c r="EM122" i="2"/>
  <c r="EQ121" i="2"/>
  <c r="EM119" i="2"/>
  <c r="EQ118" i="2"/>
  <c r="EM128" i="2"/>
  <c r="EQ127" i="2"/>
  <c r="ET98" i="39"/>
  <c r="ET130" i="39" s="1"/>
  <c r="EV101" i="39"/>
  <c r="EY49" i="39"/>
  <c r="EZ49" i="39" s="1"/>
  <c r="EM88" i="2"/>
  <c r="ER55" i="39"/>
  <c r="EQ50" i="39"/>
  <c r="EU102" i="39"/>
  <c r="EU118" i="39"/>
  <c r="EU121" i="39" s="1"/>
  <c r="ES102" i="39"/>
  <c r="ES130" i="39"/>
  <c r="ES118" i="39"/>
  <c r="ET118" i="39"/>
  <c r="EB42" i="39"/>
  <c r="EB14" i="39"/>
  <c r="EB30" i="39"/>
  <c r="ED13" i="39"/>
  <c r="EC10" i="39"/>
  <c r="EO90" i="39"/>
  <c r="EO76" i="39"/>
  <c r="EO56" i="39"/>
  <c r="EL150" i="2"/>
  <c r="EL27" i="2"/>
  <c r="EL166" i="2"/>
  <c r="ET102" i="39" l="1"/>
  <c r="ER303" i="1"/>
  <c r="ER288" i="1"/>
  <c r="ER304" i="1"/>
  <c r="ET289" i="1"/>
  <c r="ET120" i="39" s="1"/>
  <c r="ET121" i="39" s="1"/>
  <c r="ES289" i="1"/>
  <c r="ES120" i="39" s="1"/>
  <c r="ES121" i="39" s="1"/>
  <c r="EQ292" i="1"/>
  <c r="EQ198" i="1"/>
  <c r="EM168" i="2"/>
  <c r="EW101" i="39"/>
  <c r="EV98" i="39"/>
  <c r="EM94" i="2"/>
  <c r="EQ76" i="39"/>
  <c r="EQ90" i="39"/>
  <c r="EQ56" i="39"/>
  <c r="EC42" i="39"/>
  <c r="EC14" i="39"/>
  <c r="EC30" i="39"/>
  <c r="EE13" i="39"/>
  <c r="EF13" i="39" s="1"/>
  <c r="EF10" i="39" s="1"/>
  <c r="ED10" i="39"/>
  <c r="ES55" i="39"/>
  <c r="ER50" i="39"/>
  <c r="EL32" i="2"/>
  <c r="EL29" i="2"/>
  <c r="EL54" i="2"/>
  <c r="EL57" i="2" s="1"/>
  <c r="EL220" i="2"/>
  <c r="EL223" i="2" s="1"/>
  <c r="EL229" i="2" s="1"/>
  <c r="EL237" i="2" s="1"/>
  <c r="EL239" i="2" s="1"/>
  <c r="EL151" i="2"/>
  <c r="EL169" i="2"/>
  <c r="EL28" i="2"/>
  <c r="EQ265" i="1" l="1"/>
  <c r="EQ78" i="39" s="1"/>
  <c r="EQ79" i="39" s="1"/>
  <c r="ET303" i="1"/>
  <c r="ET304" i="1"/>
  <c r="ES303" i="1"/>
  <c r="ES304" i="1"/>
  <c r="ER198" i="1"/>
  <c r="ER292" i="1"/>
  <c r="EQ199" i="1"/>
  <c r="EX101" i="39"/>
  <c r="EW98" i="39"/>
  <c r="EV102" i="39"/>
  <c r="EV118" i="39"/>
  <c r="EV121" i="39" s="1"/>
  <c r="EV130" i="39"/>
  <c r="EV133" i="39" s="1"/>
  <c r="EM171" i="2"/>
  <c r="EM153" i="2"/>
  <c r="ER56" i="39"/>
  <c r="ER76" i="39"/>
  <c r="ER90" i="39"/>
  <c r="ET55" i="39"/>
  <c r="ES50" i="39"/>
  <c r="ED42" i="39"/>
  <c r="ED30" i="39"/>
  <c r="ED14" i="39"/>
  <c r="EF14" i="39"/>
  <c r="EF30" i="39"/>
  <c r="EG13" i="39"/>
  <c r="EE10" i="39"/>
  <c r="EL157" i="2"/>
  <c r="EL175" i="2"/>
  <c r="EL179" i="2"/>
  <c r="EL161" i="2"/>
  <c r="EL172" i="2"/>
  <c r="EL154" i="2"/>
  <c r="EL34" i="2"/>
  <c r="EL227" i="2"/>
  <c r="EL36" i="2"/>
  <c r="ER199" i="1" l="1"/>
  <c r="ER201" i="1"/>
  <c r="ER290" i="1" s="1"/>
  <c r="ER306" i="1" s="1"/>
  <c r="EQ280" i="1"/>
  <c r="EQ279" i="1"/>
  <c r="EQ264" i="1"/>
  <c r="ER265" i="1"/>
  <c r="ER78" i="39" s="1"/>
  <c r="ER79" i="39" s="1"/>
  <c r="EM174" i="2"/>
  <c r="EM177" i="2"/>
  <c r="EM156" i="2"/>
  <c r="EM159" i="2"/>
  <c r="ET50" i="39"/>
  <c r="ET90" i="39" s="1"/>
  <c r="EV55" i="39"/>
  <c r="EW102" i="39"/>
  <c r="EW118" i="39"/>
  <c r="EW121" i="39" s="1"/>
  <c r="EW130" i="39"/>
  <c r="EW133" i="39" s="1"/>
  <c r="EY101" i="39"/>
  <c r="EY98" i="39" s="1"/>
  <c r="EX98" i="39"/>
  <c r="EH13" i="39"/>
  <c r="EG10" i="39"/>
  <c r="EU55" i="39"/>
  <c r="EU50" i="39" s="1"/>
  <c r="EE14" i="39"/>
  <c r="EE42" i="39"/>
  <c r="EE30" i="39"/>
  <c r="ES56" i="39"/>
  <c r="ES90" i="39"/>
  <c r="ES76" i="39"/>
  <c r="EL178" i="2"/>
  <c r="EL37" i="2"/>
  <c r="EL238" i="2"/>
  <c r="EL160" i="2"/>
  <c r="EL42" i="2"/>
  <c r="EL228" i="2"/>
  <c r="EL233" i="2"/>
  <c r="EL217" i="2"/>
  <c r="EL48" i="2"/>
  <c r="EL50" i="2" s="1"/>
  <c r="ET56" i="39" l="1"/>
  <c r="ET76" i="39"/>
  <c r="EZ101" i="39"/>
  <c r="EZ98" i="39" s="1"/>
  <c r="EQ192" i="1"/>
  <c r="EQ268" i="1"/>
  <c r="ER279" i="1"/>
  <c r="ER280" i="1"/>
  <c r="ER264" i="1"/>
  <c r="ES265" i="1"/>
  <c r="ES78" i="39" s="1"/>
  <c r="ES79" i="39" s="1"/>
  <c r="ER307" i="1"/>
  <c r="ET265" i="1"/>
  <c r="ET78" i="39" s="1"/>
  <c r="ET79" i="39" s="1"/>
  <c r="EY118" i="39"/>
  <c r="EY121" i="39" s="1"/>
  <c r="EY102" i="39"/>
  <c r="EY130" i="39"/>
  <c r="EY133" i="39" s="1"/>
  <c r="EX130" i="39"/>
  <c r="EX133" i="39" s="1"/>
  <c r="EX118" i="39"/>
  <c r="EX121" i="39" s="1"/>
  <c r="EX102" i="39"/>
  <c r="EW55" i="39"/>
  <c r="EV50" i="39"/>
  <c r="EM96" i="2"/>
  <c r="EI13" i="39"/>
  <c r="EH10" i="39"/>
  <c r="EU76" i="39"/>
  <c r="EU79" i="39" s="1"/>
  <c r="EU56" i="39"/>
  <c r="EG42" i="39"/>
  <c r="EG30" i="39"/>
  <c r="EG14" i="39"/>
  <c r="EL51" i="2"/>
  <c r="EL43" i="2"/>
  <c r="EM97" i="2" s="1"/>
  <c r="EL241" i="2"/>
  <c r="ER308" i="1" l="1"/>
  <c r="ER310" i="1" s="1"/>
  <c r="EZ102" i="39"/>
  <c r="EZ118" i="39"/>
  <c r="EZ121" i="39" s="1"/>
  <c r="ES279" i="1"/>
  <c r="ES280" i="1"/>
  <c r="ER192" i="1"/>
  <c r="ER268" i="1"/>
  <c r="ET279" i="1"/>
  <c r="ET280" i="1"/>
  <c r="EQ193" i="1"/>
  <c r="EX55" i="39"/>
  <c r="EW50" i="39"/>
  <c r="EV56" i="39"/>
  <c r="EV90" i="39"/>
  <c r="EV93" i="39" s="1"/>
  <c r="EV76" i="39"/>
  <c r="EV79" i="39" s="1"/>
  <c r="EM98" i="2"/>
  <c r="EH42" i="39"/>
  <c r="EH30" i="39"/>
  <c r="EH14" i="39"/>
  <c r="EJ13" i="39"/>
  <c r="EK13" i="39" s="1"/>
  <c r="EK10" i="39" s="1"/>
  <c r="EI10" i="39"/>
  <c r="ER132" i="39" l="1"/>
  <c r="ER133" i="39" s="1"/>
  <c r="ER195" i="1"/>
  <c r="ER266" i="1" s="1"/>
  <c r="ER282" i="1" s="1"/>
  <c r="ER309" i="1"/>
  <c r="ER193" i="1"/>
  <c r="EW56" i="39"/>
  <c r="EW90" i="39"/>
  <c r="EW93" i="39" s="1"/>
  <c r="EW76" i="39"/>
  <c r="EW79" i="39" s="1"/>
  <c r="EY55" i="39"/>
  <c r="EY50" i="39" s="1"/>
  <c r="EX50" i="39"/>
  <c r="EK14" i="39"/>
  <c r="EK30" i="39"/>
  <c r="EI14" i="39"/>
  <c r="EI42" i="39"/>
  <c r="EI30" i="39"/>
  <c r="EL13" i="39"/>
  <c r="EJ10" i="39"/>
  <c r="EZ55" i="39" l="1"/>
  <c r="EZ50" i="39" s="1"/>
  <c r="EY56" i="39"/>
  <c r="EY76" i="39"/>
  <c r="EY79" i="39" s="1"/>
  <c r="EY90" i="39"/>
  <c r="EY93" i="39" s="1"/>
  <c r="EX56" i="39"/>
  <c r="EX90" i="39"/>
  <c r="EX93" i="39" s="1"/>
  <c r="EX76" i="39"/>
  <c r="EX79" i="39" s="1"/>
  <c r="EM13" i="39"/>
  <c r="EL10" i="39"/>
  <c r="EJ42" i="39"/>
  <c r="EJ14" i="39"/>
  <c r="EJ30" i="39"/>
  <c r="EZ76" i="39" l="1"/>
  <c r="EZ79" i="39" s="1"/>
  <c r="EZ56" i="39"/>
  <c r="EL14" i="39"/>
  <c r="EL42" i="39"/>
  <c r="EL30" i="39"/>
  <c r="EN13" i="39"/>
  <c r="EM10" i="39"/>
  <c r="EM42" i="39" s="1"/>
  <c r="DL191" i="7"/>
  <c r="DL192" i="7" s="1"/>
  <c r="DM190" i="7"/>
  <c r="DM189" i="7"/>
  <c r="DM188" i="7"/>
  <c r="DM187" i="7"/>
  <c r="DM186" i="7"/>
  <c r="DM185" i="7"/>
  <c r="DM184" i="7"/>
  <c r="DL154" i="7"/>
  <c r="DL153" i="7"/>
  <c r="DL151" i="7"/>
  <c r="DL150" i="7"/>
  <c r="DL149" i="7"/>
  <c r="A164" i="7"/>
  <c r="A163" i="7"/>
  <c r="A162" i="7"/>
  <c r="A161" i="7"/>
  <c r="A160" i="7"/>
  <c r="A159" i="7"/>
  <c r="A158" i="7"/>
  <c r="A155" i="7"/>
  <c r="A154" i="7"/>
  <c r="A153" i="7"/>
  <c r="A152" i="7"/>
  <c r="A151" i="7"/>
  <c r="A150" i="7"/>
  <c r="A149" i="7"/>
  <c r="DL143" i="7"/>
  <c r="DM145" i="7"/>
  <c r="DM144" i="7"/>
  <c r="DM142" i="7"/>
  <c r="DM160" i="7" s="1"/>
  <c r="DM141" i="7"/>
  <c r="DM159" i="7" s="1"/>
  <c r="DM140" i="7"/>
  <c r="DM158" i="7" s="1"/>
  <c r="DH145" i="7"/>
  <c r="DH144" i="7"/>
  <c r="DH142" i="7"/>
  <c r="DH141" i="7"/>
  <c r="DH140" i="7"/>
  <c r="DG143" i="7"/>
  <c r="DH143" i="7" s="1"/>
  <c r="DM162" i="7" l="1"/>
  <c r="DM163" i="7"/>
  <c r="DM143" i="7"/>
  <c r="DM161" i="7" s="1"/>
  <c r="DN161" i="7"/>
  <c r="DM153" i="7"/>
  <c r="EM45" i="39"/>
  <c r="EM43" i="39"/>
  <c r="DM149" i="7"/>
  <c r="DM150" i="7"/>
  <c r="EO13" i="39"/>
  <c r="EP13" i="39" s="1"/>
  <c r="EP10" i="39" s="1"/>
  <c r="EN10" i="39"/>
  <c r="EM30" i="39"/>
  <c r="EM14" i="39"/>
  <c r="DM154" i="7"/>
  <c r="DM152" i="7"/>
  <c r="DM151" i="7"/>
  <c r="DL152" i="7"/>
  <c r="DL146" i="7"/>
  <c r="DN164" i="7" s="1"/>
  <c r="DG146" i="7"/>
  <c r="DH146" i="7" s="1"/>
  <c r="DM191" i="7"/>
  <c r="EP14" i="39" l="1"/>
  <c r="EP30" i="39"/>
  <c r="EN42" i="39"/>
  <c r="EN30" i="39"/>
  <c r="EN14" i="39"/>
  <c r="EQ13" i="39"/>
  <c r="EO10" i="39"/>
  <c r="DM146" i="7"/>
  <c r="DL155" i="7"/>
  <c r="EJ14" i="148"/>
  <c r="EJ13" i="148"/>
  <c r="EJ21" i="148"/>
  <c r="EK21" i="148" s="1"/>
  <c r="DM155" i="7" l="1"/>
  <c r="DM164" i="7"/>
  <c r="EO30" i="39"/>
  <c r="EO14" i="39"/>
  <c r="EO42" i="39"/>
  <c r="ER13" i="39"/>
  <c r="EQ10" i="39"/>
  <c r="EJ225" i="2"/>
  <c r="DL17" i="3"/>
  <c r="EQ14" i="39" l="1"/>
  <c r="EQ42" i="39"/>
  <c r="EQ30" i="39"/>
  <c r="ES13" i="39"/>
  <c r="ER10" i="39"/>
  <c r="DK191" i="7"/>
  <c r="DK192" i="7" s="1"/>
  <c r="DK114" i="7"/>
  <c r="DK116" i="7" s="1"/>
  <c r="DK198" i="7"/>
  <c r="DK171" i="7"/>
  <c r="DK169" i="7"/>
  <c r="DK135" i="7"/>
  <c r="DK133" i="7"/>
  <c r="DK132" i="7"/>
  <c r="DK131" i="7"/>
  <c r="DK130" i="7"/>
  <c r="DK129" i="7"/>
  <c r="DK125" i="7"/>
  <c r="DK123" i="7"/>
  <c r="DK122" i="7"/>
  <c r="DK121" i="7"/>
  <c r="DK120" i="7"/>
  <c r="DK119" i="7"/>
  <c r="DP176" i="7" l="1"/>
  <c r="EQ241" i="1"/>
  <c r="EQ32" i="39" s="1"/>
  <c r="EQ33" i="39" s="1"/>
  <c r="ET13" i="39"/>
  <c r="EV13" i="39" s="1"/>
  <c r="ES10" i="39"/>
  <c r="ER30" i="39"/>
  <c r="ER14" i="39"/>
  <c r="ER42" i="39"/>
  <c r="DL236" i="7"/>
  <c r="DL198" i="7"/>
  <c r="DL195" i="7"/>
  <c r="DL171" i="7"/>
  <c r="DL169" i="7"/>
  <c r="DL167" i="7"/>
  <c r="DL101" i="7"/>
  <c r="DL99" i="7"/>
  <c r="DL97" i="7"/>
  <c r="DL95" i="7"/>
  <c r="DL93" i="7"/>
  <c r="DL90" i="7"/>
  <c r="DL86" i="7"/>
  <c r="DL84" i="7"/>
  <c r="DL81" i="7"/>
  <c r="DL72" i="7"/>
  <c r="DL60" i="7"/>
  <c r="DL38" i="7"/>
  <c r="DL98" i="3"/>
  <c r="DL73" i="3"/>
  <c r="DL66" i="3"/>
  <c r="DL18" i="3" s="1"/>
  <c r="DL46" i="3"/>
  <c r="DL32" i="3"/>
  <c r="DL6" i="3"/>
  <c r="DL56" i="3" s="1"/>
  <c r="EJ181" i="82"/>
  <c r="EJ177" i="82"/>
  <c r="EJ174" i="82"/>
  <c r="EJ172" i="82"/>
  <c r="EJ119" i="82"/>
  <c r="EJ45" i="82" s="1"/>
  <c r="EJ118" i="82"/>
  <c r="EJ82" i="82"/>
  <c r="EJ47" i="82"/>
  <c r="EJ44" i="82"/>
  <c r="EJ12" i="82"/>
  <c r="EJ149" i="82" s="1"/>
  <c r="EJ11" i="82"/>
  <c r="EJ10" i="82"/>
  <c r="EJ80" i="82" s="1"/>
  <c r="EJ320" i="1"/>
  <c r="EJ319" i="1"/>
  <c r="EJ318" i="1"/>
  <c r="EJ288" i="1"/>
  <c r="EJ264" i="1"/>
  <c r="EJ240" i="1"/>
  <c r="EJ214" i="1"/>
  <c r="EJ201" i="1"/>
  <c r="EJ290" i="1" s="1"/>
  <c r="EJ199" i="1"/>
  <c r="EJ289" i="1" s="1"/>
  <c r="EJ195" i="1"/>
  <c r="EJ266" i="1" s="1"/>
  <c r="EJ193" i="1"/>
  <c r="EJ265" i="1" s="1"/>
  <c r="EJ189" i="1"/>
  <c r="EJ242" i="1" s="1"/>
  <c r="EJ187" i="1"/>
  <c r="EJ241" i="1" s="1"/>
  <c r="EJ184" i="1"/>
  <c r="EJ179" i="1"/>
  <c r="EJ124" i="1"/>
  <c r="EL126" i="1" s="1"/>
  <c r="EJ110" i="1"/>
  <c r="EL112" i="1" s="1"/>
  <c r="EJ106" i="1"/>
  <c r="EJ66" i="1"/>
  <c r="EJ65" i="1"/>
  <c r="EJ62" i="1"/>
  <c r="EJ58" i="1"/>
  <c r="EJ48" i="1"/>
  <c r="EJ44" i="1"/>
  <c r="EJ34" i="1"/>
  <c r="EJ30" i="1"/>
  <c r="EJ22" i="1"/>
  <c r="EJ93" i="1" s="1"/>
  <c r="EJ20" i="1"/>
  <c r="EJ16" i="1"/>
  <c r="EJ13" i="1"/>
  <c r="EJ9" i="1"/>
  <c r="EJ230" i="2"/>
  <c r="EJ232" i="2" s="1"/>
  <c r="EJ198" i="2"/>
  <c r="EJ200" i="2" s="1"/>
  <c r="EJ187" i="2"/>
  <c r="EJ92" i="2"/>
  <c r="EJ91" i="2"/>
  <c r="EJ90" i="2"/>
  <c r="EJ89" i="2"/>
  <c r="EJ75" i="2"/>
  <c r="EJ68" i="2"/>
  <c r="EJ67" i="2"/>
  <c r="EJ66" i="2"/>
  <c r="EJ59" i="2"/>
  <c r="EJ56" i="2"/>
  <c r="EJ209" i="2" s="1"/>
  <c r="EL211" i="2" s="1"/>
  <c r="EJ52" i="2"/>
  <c r="EJ47" i="2"/>
  <c r="EJ46" i="2"/>
  <c r="EJ41" i="2"/>
  <c r="EJ26" i="2"/>
  <c r="DN75" i="3" l="1"/>
  <c r="ER241" i="1"/>
  <c r="ER32" i="39" s="1"/>
  <c r="ER33" i="39" s="1"/>
  <c r="EQ256" i="1"/>
  <c r="EQ255" i="1"/>
  <c r="EQ240" i="1"/>
  <c r="EW13" i="39"/>
  <c r="EV10" i="39"/>
  <c r="EJ154" i="1"/>
  <c r="EJ101" i="1"/>
  <c r="EJ92" i="1"/>
  <c r="EL95" i="1"/>
  <c r="EJ115" i="82"/>
  <c r="EJ116" i="82" s="1"/>
  <c r="DL105" i="7"/>
  <c r="DL81" i="3"/>
  <c r="DP92" i="3" s="1"/>
  <c r="DL50" i="7"/>
  <c r="EL93" i="2"/>
  <c r="ES42" i="39"/>
  <c r="ES14" i="39"/>
  <c r="ES30" i="39"/>
  <c r="ET10" i="39"/>
  <c r="EU13" i="39"/>
  <c r="EU10" i="39" s="1"/>
  <c r="EJ306" i="1"/>
  <c r="EL308" i="1"/>
  <c r="EL132" i="39" s="1"/>
  <c r="EJ196" i="1"/>
  <c r="EL182" i="1"/>
  <c r="EJ244" i="1"/>
  <c r="EL260" i="1"/>
  <c r="EL44" i="39" s="1"/>
  <c r="EJ36" i="1"/>
  <c r="EL27" i="1"/>
  <c r="EJ282" i="1"/>
  <c r="EL284" i="1"/>
  <c r="EL92" i="39" s="1"/>
  <c r="DL177" i="7"/>
  <c r="DN177" i="7"/>
  <c r="DL103" i="7"/>
  <c r="DL102" i="7" s="1"/>
  <c r="DL15" i="3"/>
  <c r="DL76" i="7"/>
  <c r="DL88" i="7"/>
  <c r="DL87" i="7" s="1"/>
  <c r="DL168" i="7"/>
  <c r="EJ292" i="1"/>
  <c r="EJ180" i="82"/>
  <c r="EJ30" i="82"/>
  <c r="EL32" i="82" s="1"/>
  <c r="DL70" i="3"/>
  <c r="EJ81" i="82"/>
  <c r="EJ110" i="82"/>
  <c r="EJ120" i="82"/>
  <c r="EJ122" i="82" s="1"/>
  <c r="EJ84" i="82"/>
  <c r="EJ86" i="82" s="1"/>
  <c r="EJ27" i="82"/>
  <c r="EJ46" i="82"/>
  <c r="EJ48" i="82" s="1"/>
  <c r="EJ258" i="1"/>
  <c r="EJ268" i="1"/>
  <c r="EJ190" i="1"/>
  <c r="EJ202" i="1"/>
  <c r="EJ204" i="1"/>
  <c r="EJ236" i="2"/>
  <c r="EJ224" i="2"/>
  <c r="EJ226" i="2" s="1"/>
  <c r="EJ199" i="2"/>
  <c r="DN175" i="7" l="1"/>
  <c r="EQ244" i="1"/>
  <c r="EQ186" i="1"/>
  <c r="ES241" i="1"/>
  <c r="ES32" i="39" s="1"/>
  <c r="ES33" i="39" s="1"/>
  <c r="ER255" i="1"/>
  <c r="ER240" i="1"/>
  <c r="ER256" i="1"/>
  <c r="EV14" i="39"/>
  <c r="EV30" i="39"/>
  <c r="EV33" i="39" s="1"/>
  <c r="EV42" i="39"/>
  <c r="EV45" i="39" s="1"/>
  <c r="EX13" i="39"/>
  <c r="EW10" i="39"/>
  <c r="DL62" i="7"/>
  <c r="EJ144" i="82"/>
  <c r="EJ212" i="1"/>
  <c r="EJ213" i="1" s="1"/>
  <c r="EL91" i="39"/>
  <c r="EL93" i="39"/>
  <c r="EJ229" i="1"/>
  <c r="EL131" i="39"/>
  <c r="EL133" i="39"/>
  <c r="EL43" i="39"/>
  <c r="EL45" i="39"/>
  <c r="EL29" i="82"/>
  <c r="EU14" i="39"/>
  <c r="EU30" i="39"/>
  <c r="EU33" i="39" s="1"/>
  <c r="ET14" i="39"/>
  <c r="ET42" i="39"/>
  <c r="ET30" i="39"/>
  <c r="EJ50" i="1"/>
  <c r="EL41" i="1"/>
  <c r="EJ107" i="1"/>
  <c r="EL109" i="1" s="1"/>
  <c r="EL262" i="1"/>
  <c r="EL261" i="1"/>
  <c r="EL286" i="1"/>
  <c r="EL285" i="1"/>
  <c r="EL310" i="1"/>
  <c r="EL309" i="1"/>
  <c r="DL85" i="7"/>
  <c r="DL100" i="7"/>
  <c r="DL170" i="7"/>
  <c r="EJ146" i="82"/>
  <c r="EJ123" i="82"/>
  <c r="EJ105" i="82"/>
  <c r="EJ141" i="82"/>
  <c r="EJ49" i="82"/>
  <c r="EJ112" i="82"/>
  <c r="EJ87" i="82"/>
  <c r="ES255" i="1" l="1"/>
  <c r="ES256" i="1"/>
  <c r="ER186" i="1"/>
  <c r="ER244" i="1"/>
  <c r="ER212" i="1" s="1"/>
  <c r="ER214" i="1" s="1"/>
  <c r="ET241" i="1"/>
  <c r="ET32" i="39" s="1"/>
  <c r="ET33" i="39" s="1"/>
  <c r="EQ187" i="1"/>
  <c r="EQ179" i="1"/>
  <c r="EQ212" i="1"/>
  <c r="EW14" i="39"/>
  <c r="EW42" i="39"/>
  <c r="EW45" i="39" s="1"/>
  <c r="EW30" i="39"/>
  <c r="EW33" i="39" s="1"/>
  <c r="EY13" i="39"/>
  <c r="EY10" i="39" s="1"/>
  <c r="EX10" i="39"/>
  <c r="EJ9" i="82"/>
  <c r="EL55" i="1"/>
  <c r="EJ69" i="1"/>
  <c r="ER189" i="1" l="1"/>
  <c r="ER242" i="1" s="1"/>
  <c r="ER258" i="1" s="1"/>
  <c r="EQ190" i="1"/>
  <c r="EZ13" i="39"/>
  <c r="EZ10" i="39" s="1"/>
  <c r="EQ204" i="1"/>
  <c r="ET255" i="1"/>
  <c r="ET256" i="1"/>
  <c r="ER184" i="1"/>
  <c r="ER68" i="1"/>
  <c r="ER179" i="1"/>
  <c r="ER182" i="1" s="1"/>
  <c r="ER187" i="1"/>
  <c r="EQ214" i="1"/>
  <c r="EQ196" i="1"/>
  <c r="EQ181" i="1"/>
  <c r="EQ180" i="1"/>
  <c r="EQ202" i="1"/>
  <c r="EX30" i="39"/>
  <c r="EX33" i="39" s="1"/>
  <c r="EX14" i="39"/>
  <c r="EX42" i="39"/>
  <c r="EX45" i="39" s="1"/>
  <c r="EY14" i="39"/>
  <c r="EY30" i="39"/>
  <c r="EY33" i="39" s="1"/>
  <c r="EY42" i="39"/>
  <c r="EY45" i="39" s="1"/>
  <c r="EJ170" i="1"/>
  <c r="EL74" i="1"/>
  <c r="EJ7" i="2"/>
  <c r="EJ80" i="1"/>
  <c r="EJ86" i="1"/>
  <c r="EJ79" i="1"/>
  <c r="EJ82" i="1"/>
  <c r="EJ85" i="1"/>
  <c r="EJ78" i="1"/>
  <c r="EJ84" i="1"/>
  <c r="EJ13" i="82"/>
  <c r="EJ14" i="82" s="1"/>
  <c r="EJ24" i="82"/>
  <c r="EJ40" i="82"/>
  <c r="ER204" i="1" l="1"/>
  <c r="EZ14" i="39"/>
  <c r="EZ30" i="39"/>
  <c r="EZ33" i="39" s="1"/>
  <c r="ER202" i="1"/>
  <c r="ER196" i="1"/>
  <c r="ER181" i="1"/>
  <c r="ER180" i="1"/>
  <c r="ER170" i="1"/>
  <c r="ER12" i="82"/>
  <c r="EQ68" i="1"/>
  <c r="EQ184" i="1"/>
  <c r="EQ170" i="1" s="1"/>
  <c r="ER190" i="1"/>
  <c r="EL26" i="82"/>
  <c r="EJ75" i="82"/>
  <c r="EJ77" i="82"/>
  <c r="EJ187" i="82"/>
  <c r="EL84" i="2"/>
  <c r="EJ140" i="2"/>
  <c r="EL142" i="2" s="1"/>
  <c r="EJ146" i="2"/>
  <c r="EL148" i="2" s="1"/>
  <c r="EJ137" i="2"/>
  <c r="EL139" i="2" s="1"/>
  <c r="EJ143" i="2"/>
  <c r="EL145" i="2" s="1"/>
  <c r="EJ167" i="82"/>
  <c r="EJ81" i="1"/>
  <c r="EJ83" i="1" s="1"/>
  <c r="EJ87" i="1" s="1"/>
  <c r="EJ203" i="1"/>
  <c r="EL173" i="1"/>
  <c r="EL210" i="1" s="1"/>
  <c r="EJ197" i="1"/>
  <c r="EJ208" i="1"/>
  <c r="EJ216" i="1" s="1"/>
  <c r="EJ175" i="1"/>
  <c r="EJ183" i="1"/>
  <c r="EJ191" i="1"/>
  <c r="EQ197" i="1" l="1"/>
  <c r="ER173" i="1"/>
  <c r="ER210" i="1" s="1"/>
  <c r="EQ171" i="1"/>
  <c r="EQ209" i="1" s="1"/>
  <c r="EQ191" i="1"/>
  <c r="EQ183" i="1"/>
  <c r="EQ69" i="1"/>
  <c r="EQ208" i="1"/>
  <c r="EQ203" i="1"/>
  <c r="EQ178" i="1"/>
  <c r="EQ12" i="82"/>
  <c r="ER183" i="1"/>
  <c r="ER203" i="1"/>
  <c r="ER171" i="1"/>
  <c r="ER209" i="1" s="1"/>
  <c r="ER208" i="1"/>
  <c r="ER69" i="1"/>
  <c r="ER178" i="1"/>
  <c r="ER197" i="1"/>
  <c r="ER191" i="1"/>
  <c r="ER149" i="82"/>
  <c r="EJ178" i="1"/>
  <c r="EL177" i="1"/>
  <c r="EL218" i="1"/>
  <c r="EL235" i="1"/>
  <c r="EL236" i="1" s="1"/>
  <c r="EJ225" i="1"/>
  <c r="EJ234" i="1"/>
  <c r="EQ86" i="1" l="1"/>
  <c r="ER74" i="1"/>
  <c r="EQ7" i="2"/>
  <c r="EQ70" i="1"/>
  <c r="EQ216" i="1"/>
  <c r="ER70" i="1"/>
  <c r="ER7" i="2"/>
  <c r="ER86" i="1"/>
  <c r="ER216" i="1"/>
  <c r="EQ149" i="82"/>
  <c r="EI21" i="148"/>
  <c r="EI18" i="148"/>
  <c r="EI17" i="148"/>
  <c r="EI14" i="148"/>
  <c r="EI13" i="148"/>
  <c r="ER84" i="2" l="1"/>
  <c r="EQ167" i="82"/>
  <c r="EQ328" i="2"/>
  <c r="EQ325" i="2"/>
  <c r="EQ61" i="2"/>
  <c r="EQ217" i="1"/>
  <c r="EQ219" i="1" s="1"/>
  <c r="EQ327" i="2"/>
  <c r="EQ329" i="2"/>
  <c r="EQ225" i="1"/>
  <c r="EQ226" i="1" s="1"/>
  <c r="ER225" i="1"/>
  <c r="ER226" i="1" s="1"/>
  <c r="ER217" i="1"/>
  <c r="ER219" i="1" s="1"/>
  <c r="ER167" i="82"/>
  <c r="ER328" i="2"/>
  <c r="ER329" i="2"/>
  <c r="ER325" i="2"/>
  <c r="ER327" i="2"/>
  <c r="ER61" i="2"/>
  <c r="EI251" i="2"/>
  <c r="DK17" i="3"/>
  <c r="EQ73" i="1" l="1"/>
  <c r="EQ72" i="1" s="1"/>
  <c r="EQ71" i="1" s="1"/>
  <c r="EQ59" i="1" s="1"/>
  <c r="EQ172" i="1"/>
  <c r="EQ60" i="2"/>
  <c r="EQ227" i="1"/>
  <c r="ER73" i="1"/>
  <c r="ER72" i="1" s="1"/>
  <c r="ER71" i="1" s="1"/>
  <c r="ER60" i="2"/>
  <c r="ER172" i="1"/>
  <c r="ER227" i="1"/>
  <c r="EQ10" i="1"/>
  <c r="EQ17" i="1"/>
  <c r="EQ15" i="1" s="1"/>
  <c r="DK236" i="7"/>
  <c r="DK101" i="7"/>
  <c r="DK99" i="7"/>
  <c r="DK97" i="7"/>
  <c r="DK95" i="7"/>
  <c r="DK93" i="7"/>
  <c r="DK90" i="7"/>
  <c r="DK86" i="7"/>
  <c r="DK84" i="7"/>
  <c r="DK81" i="7"/>
  <c r="DK72" i="7"/>
  <c r="DK60" i="7"/>
  <c r="DK38" i="7"/>
  <c r="DK98" i="3"/>
  <c r="DP99" i="3" s="1"/>
  <c r="DK73" i="3"/>
  <c r="DK66" i="3"/>
  <c r="DK18" i="3" s="1"/>
  <c r="DK46" i="3"/>
  <c r="DK32" i="3"/>
  <c r="EI181" i="82"/>
  <c r="EI177" i="82"/>
  <c r="EI174" i="82"/>
  <c r="EI172" i="82"/>
  <c r="EI119" i="82"/>
  <c r="EI45" i="82" s="1"/>
  <c r="EI118" i="82"/>
  <c r="EN133" i="82" s="1"/>
  <c r="EI82" i="82"/>
  <c r="EI47" i="82"/>
  <c r="EI44" i="82"/>
  <c r="EN61" i="82" s="1"/>
  <c r="EI12" i="82"/>
  <c r="EI149" i="82" s="1"/>
  <c r="EI11" i="82"/>
  <c r="EI10" i="82"/>
  <c r="EI80" i="82" s="1"/>
  <c r="EN94" i="82" s="1"/>
  <c r="EI320" i="1"/>
  <c r="EN321" i="1" s="1"/>
  <c r="EI319" i="1"/>
  <c r="EI318" i="1"/>
  <c r="EI288" i="1"/>
  <c r="EN302" i="1" s="1"/>
  <c r="EI264" i="1"/>
  <c r="EN278" i="1" s="1"/>
  <c r="EI240" i="1"/>
  <c r="EN254" i="1" s="1"/>
  <c r="EI214" i="1"/>
  <c r="EI201" i="1"/>
  <c r="EI290" i="1" s="1"/>
  <c r="EI199" i="1"/>
  <c r="EI289" i="1" s="1"/>
  <c r="EI195" i="1"/>
  <c r="EI266" i="1" s="1"/>
  <c r="EI193" i="1"/>
  <c r="EI265" i="1" s="1"/>
  <c r="EI189" i="1"/>
  <c r="EI242" i="1" s="1"/>
  <c r="EI187" i="1"/>
  <c r="EI241" i="1" s="1"/>
  <c r="EI184" i="1"/>
  <c r="EI179" i="1"/>
  <c r="EI124" i="1"/>
  <c r="EI110" i="1"/>
  <c r="EI106" i="1"/>
  <c r="EI66" i="1"/>
  <c r="EI65" i="1"/>
  <c r="EI62" i="1"/>
  <c r="EI58" i="1"/>
  <c r="EI48" i="1"/>
  <c r="EI44" i="1"/>
  <c r="EI34" i="1"/>
  <c r="EI30" i="1"/>
  <c r="EI22" i="1"/>
  <c r="EN23" i="1" s="1"/>
  <c r="EI20" i="1"/>
  <c r="EI16" i="1"/>
  <c r="EI13" i="1"/>
  <c r="EI9" i="1"/>
  <c r="EI230" i="2"/>
  <c r="EI232" i="2" s="1"/>
  <c r="EI225" i="2"/>
  <c r="EI198" i="2"/>
  <c r="EI200" i="2" s="1"/>
  <c r="EI187" i="2"/>
  <c r="EI92" i="2"/>
  <c r="EI91" i="2"/>
  <c r="EI90" i="2"/>
  <c r="EI89" i="2"/>
  <c r="EI75" i="2"/>
  <c r="EI68" i="2"/>
  <c r="EI67" i="2"/>
  <c r="EI66" i="2"/>
  <c r="EI59" i="2"/>
  <c r="EI56" i="2"/>
  <c r="EI209" i="2" s="1"/>
  <c r="EI52" i="2"/>
  <c r="EI47" i="2"/>
  <c r="EI46" i="2"/>
  <c r="EI41" i="2"/>
  <c r="EI26" i="2"/>
  <c r="EQ45" i="1" l="1"/>
  <c r="EQ31" i="1"/>
  <c r="EN69" i="2"/>
  <c r="DL75" i="3"/>
  <c r="EI84" i="82"/>
  <c r="EI86" i="82" s="1"/>
  <c r="EN98" i="82" s="1"/>
  <c r="EN97" i="82"/>
  <c r="EJ126" i="1"/>
  <c r="EN125" i="1"/>
  <c r="EN194" i="1"/>
  <c r="EN280" i="1"/>
  <c r="EN279" i="1"/>
  <c r="EN200" i="1"/>
  <c r="EN303" i="1"/>
  <c r="EJ112" i="1"/>
  <c r="EN111" i="1"/>
  <c r="EN180" i="1"/>
  <c r="EN181" i="1"/>
  <c r="EN188" i="1"/>
  <c r="EN256" i="1"/>
  <c r="EN255" i="1"/>
  <c r="EJ211" i="2"/>
  <c r="EN210" i="2"/>
  <c r="DP74" i="3"/>
  <c r="EQ24" i="1"/>
  <c r="EQ8" i="1"/>
  <c r="EQ16" i="1"/>
  <c r="EQ79" i="1"/>
  <c r="ER10" i="1"/>
  <c r="ER45" i="1"/>
  <c r="ER43" i="1" s="1"/>
  <c r="ER59" i="1"/>
  <c r="ER57" i="1" s="1"/>
  <c r="ER31" i="1"/>
  <c r="ER29" i="1" s="1"/>
  <c r="ER17" i="1"/>
  <c r="ER15" i="1" s="1"/>
  <c r="EQ43" i="1"/>
  <c r="EQ29" i="1"/>
  <c r="EQ57" i="1"/>
  <c r="EI154" i="1"/>
  <c r="EI155" i="1" s="1"/>
  <c r="EI92" i="1"/>
  <c r="EI101" i="1"/>
  <c r="EJ27" i="1"/>
  <c r="EI93" i="1"/>
  <c r="EN94" i="1" s="1"/>
  <c r="DK105" i="7"/>
  <c r="DK168" i="7"/>
  <c r="DK50" i="7"/>
  <c r="EJ93" i="2"/>
  <c r="EI306" i="1"/>
  <c r="EJ308" i="1"/>
  <c r="EJ132" i="39" s="1"/>
  <c r="EI196" i="1"/>
  <c r="EJ182" i="1"/>
  <c r="EI258" i="1"/>
  <c r="EJ260" i="1"/>
  <c r="EJ44" i="39" s="1"/>
  <c r="EI268" i="1"/>
  <c r="EJ284" i="1"/>
  <c r="EJ92" i="39" s="1"/>
  <c r="DK81" i="3"/>
  <c r="DO92" i="3" s="1"/>
  <c r="EI115" i="82"/>
  <c r="EI180" i="82"/>
  <c r="DK15" i="3"/>
  <c r="EI120" i="82"/>
  <c r="EI122" i="82" s="1"/>
  <c r="EN134" i="82" s="1"/>
  <c r="EI199" i="2"/>
  <c r="DK88" i="7"/>
  <c r="DK85" i="7" s="1"/>
  <c r="DK103" i="7"/>
  <c r="DK102" i="7" s="1"/>
  <c r="DK76" i="7"/>
  <c r="EI30" i="82"/>
  <c r="DK70" i="3"/>
  <c r="DP71" i="3" s="1"/>
  <c r="EI112" i="82"/>
  <c r="EI87" i="82"/>
  <c r="EI81" i="82"/>
  <c r="EN95" i="82" s="1"/>
  <c r="EI110" i="82"/>
  <c r="EN111" i="82" s="1"/>
  <c r="EI27" i="82"/>
  <c r="EI46" i="82"/>
  <c r="EI48" i="82" s="1"/>
  <c r="EN62" i="82" s="1"/>
  <c r="EI282" i="1"/>
  <c r="EI202" i="1"/>
  <c r="EI244" i="1"/>
  <c r="EI292" i="1"/>
  <c r="EI190" i="1"/>
  <c r="EI204" i="1"/>
  <c r="EI36" i="1"/>
  <c r="EN37" i="1" s="1"/>
  <c r="EI224" i="2"/>
  <c r="EI226" i="2" s="1"/>
  <c r="EI236" i="2"/>
  <c r="EJ32" i="82" l="1"/>
  <c r="EN31" i="82"/>
  <c r="EI116" i="82"/>
  <c r="EN131" i="82" s="1"/>
  <c r="EN130" i="82"/>
  <c r="EN28" i="82"/>
  <c r="DK182" i="7"/>
  <c r="DP174" i="7"/>
  <c r="ER20" i="1"/>
  <c r="ER62" i="1"/>
  <c r="ER34" i="1"/>
  <c r="ER48" i="1"/>
  <c r="EQ30" i="1"/>
  <c r="EQ99" i="1"/>
  <c r="EQ80" i="1"/>
  <c r="EQ101" i="1"/>
  <c r="ER30" i="1"/>
  <c r="ER80" i="1"/>
  <c r="ER99" i="1"/>
  <c r="ER10" i="82"/>
  <c r="ER80" i="82" s="1"/>
  <c r="ER58" i="1"/>
  <c r="ER84" i="1"/>
  <c r="EQ22" i="1"/>
  <c r="EQ78" i="1"/>
  <c r="EQ9" i="1"/>
  <c r="EQ90" i="1"/>
  <c r="ER24" i="1"/>
  <c r="ER38" i="1" s="1"/>
  <c r="ER52" i="1" s="1"/>
  <c r="ER8" i="1"/>
  <c r="EQ82" i="1"/>
  <c r="EQ44" i="1"/>
  <c r="ER16" i="1"/>
  <c r="ER79" i="1"/>
  <c r="EQ10" i="82"/>
  <c r="EQ80" i="82" s="1"/>
  <c r="EQ58" i="1"/>
  <c r="EQ84" i="1"/>
  <c r="ER44" i="1"/>
  <c r="ER82" i="1"/>
  <c r="EQ38" i="1"/>
  <c r="EQ52" i="1" s="1"/>
  <c r="EJ95" i="1"/>
  <c r="DL175" i="7"/>
  <c r="DK62" i="7"/>
  <c r="EJ43" i="39"/>
  <c r="EJ45" i="39"/>
  <c r="EJ93" i="39"/>
  <c r="EJ91" i="39"/>
  <c r="EJ133" i="39"/>
  <c r="EJ131" i="39"/>
  <c r="DK87" i="7"/>
  <c r="EI229" i="1"/>
  <c r="EJ285" i="1"/>
  <c r="EJ286" i="1"/>
  <c r="EJ261" i="1"/>
  <c r="EJ262" i="1"/>
  <c r="EI107" i="1"/>
  <c r="EJ41" i="1"/>
  <c r="EJ310" i="1"/>
  <c r="EJ309" i="1"/>
  <c r="EJ29" i="82"/>
  <c r="EI144" i="82"/>
  <c r="EN145" i="82" s="1"/>
  <c r="EI146" i="82"/>
  <c r="EI212" i="1"/>
  <c r="EI213" i="1" s="1"/>
  <c r="EI123" i="82"/>
  <c r="DK100" i="7"/>
  <c r="EI105" i="82"/>
  <c r="EI141" i="82"/>
  <c r="EI49" i="82"/>
  <c r="EI50" i="1"/>
  <c r="EN51" i="1" l="1"/>
  <c r="EJ109" i="1"/>
  <c r="EN108" i="1"/>
  <c r="ER13" i="1"/>
  <c r="EQ81" i="1"/>
  <c r="EQ83" i="1" s="1"/>
  <c r="EQ105" i="1"/>
  <c r="EQ93" i="1"/>
  <c r="EQ91" i="1"/>
  <c r="EQ82" i="82"/>
  <c r="EQ81" i="82" s="1"/>
  <c r="EQ94" i="82"/>
  <c r="EQ92" i="1"/>
  <c r="ER118" i="1"/>
  <c r="ER100" i="1"/>
  <c r="EQ100" i="1"/>
  <c r="ER82" i="82"/>
  <c r="ER94" i="82"/>
  <c r="ER101" i="1"/>
  <c r="EQ118" i="1"/>
  <c r="EQ25" i="1"/>
  <c r="EQ26" i="1" s="1"/>
  <c r="EQ115" i="1"/>
  <c r="EQ36" i="1"/>
  <c r="EQ23" i="1"/>
  <c r="ER22" i="1"/>
  <c r="ER78" i="1"/>
  <c r="ER81" i="1" s="1"/>
  <c r="ER83" i="1" s="1"/>
  <c r="ER9" i="1"/>
  <c r="ER90" i="1"/>
  <c r="EJ55" i="1"/>
  <c r="EI9" i="82"/>
  <c r="EI40" i="82" s="1"/>
  <c r="EN56" i="82" s="1"/>
  <c r="EI69" i="1"/>
  <c r="AE330" i="113"/>
  <c r="AE328" i="113"/>
  <c r="AE298" i="113"/>
  <c r="AE257" i="113"/>
  <c r="AE255" i="113"/>
  <c r="AE24" i="113"/>
  <c r="AE336" i="113" s="1"/>
  <c r="AE6" i="113"/>
  <c r="ET6" i="148"/>
  <c r="EO6" i="148"/>
  <c r="EN6" i="148"/>
  <c r="EM6" i="148"/>
  <c r="DQ85" i="7"/>
  <c r="DR104" i="3"/>
  <c r="DR69" i="3"/>
  <c r="DR60" i="3"/>
  <c r="DR48" i="3"/>
  <c r="DR45" i="3"/>
  <c r="DR43" i="3"/>
  <c r="DR42" i="3"/>
  <c r="DR41" i="3"/>
  <c r="DR37" i="3"/>
  <c r="DR36" i="3"/>
  <c r="DR35" i="3"/>
  <c r="DR31" i="3"/>
  <c r="DR30" i="3"/>
  <c r="DR29" i="3"/>
  <c r="DR28" i="3"/>
  <c r="DR27" i="3"/>
  <c r="DR26" i="3"/>
  <c r="DR25" i="3"/>
  <c r="DR24" i="3"/>
  <c r="DR17" i="3"/>
  <c r="DR16" i="3"/>
  <c r="DR14" i="3"/>
  <c r="DR12" i="3"/>
  <c r="DR6" i="3"/>
  <c r="DR56" i="3" s="1"/>
  <c r="EN70" i="1" l="1"/>
  <c r="DV85" i="7"/>
  <c r="DV87" i="7" s="1"/>
  <c r="ER27" i="1"/>
  <c r="ER120" i="1"/>
  <c r="EQ94" i="1"/>
  <c r="ER93" i="1"/>
  <c r="ER91" i="1"/>
  <c r="EQ116" i="1"/>
  <c r="EQ121" i="1"/>
  <c r="ER92" i="1"/>
  <c r="EQ84" i="82"/>
  <c r="EQ86" i="82" s="1"/>
  <c r="EQ18" i="82"/>
  <c r="EQ97" i="82"/>
  <c r="EQ95" i="82"/>
  <c r="EQ105" i="82"/>
  <c r="EQ119" i="1"/>
  <c r="ER119" i="1"/>
  <c r="ER36" i="1"/>
  <c r="ER23" i="1"/>
  <c r="ER115" i="1"/>
  <c r="ER25" i="1"/>
  <c r="ER26" i="1" s="1"/>
  <c r="EQ110" i="1"/>
  <c r="EQ8" i="2"/>
  <c r="EQ106" i="1"/>
  <c r="EQ107" i="1"/>
  <c r="ER81" i="82"/>
  <c r="ER84" i="82"/>
  <c r="ER86" i="82" s="1"/>
  <c r="ER97" i="82"/>
  <c r="ER18" i="82"/>
  <c r="ER105" i="1"/>
  <c r="EQ39" i="1"/>
  <c r="EQ40" i="1" s="1"/>
  <c r="EQ37" i="1"/>
  <c r="EQ50" i="1"/>
  <c r="EJ74" i="1"/>
  <c r="EI13" i="82"/>
  <c r="EI14" i="82" s="1"/>
  <c r="EI24" i="82"/>
  <c r="EI170" i="1"/>
  <c r="EI75" i="82"/>
  <c r="EI77" i="82"/>
  <c r="EI79" i="1"/>
  <c r="EI7" i="2"/>
  <c r="EI86" i="1"/>
  <c r="EI78" i="1"/>
  <c r="EI85" i="1"/>
  <c r="EI84" i="1"/>
  <c r="EI80" i="1"/>
  <c r="EI82" i="1"/>
  <c r="EN76" i="82" l="1"/>
  <c r="EN73" i="82"/>
  <c r="EJ173" i="1"/>
  <c r="EJ210" i="1" s="1"/>
  <c r="EN171" i="1"/>
  <c r="EN209" i="1" s="1"/>
  <c r="EN61" i="2"/>
  <c r="EN25" i="82"/>
  <c r="ER41" i="1"/>
  <c r="ER117" i="1"/>
  <c r="ER95" i="1"/>
  <c r="EQ111" i="1"/>
  <c r="ER8" i="2"/>
  <c r="ER85" i="2" s="1"/>
  <c r="ER107" i="1"/>
  <c r="ER109" i="1" s="1"/>
  <c r="ER110" i="1"/>
  <c r="ER106" i="1"/>
  <c r="ER27" i="82"/>
  <c r="EQ108" i="1"/>
  <c r="ER50" i="1"/>
  <c r="ER37" i="1"/>
  <c r="ER39" i="1"/>
  <c r="ER40" i="1" s="1"/>
  <c r="EQ98" i="82"/>
  <c r="EQ112" i="82"/>
  <c r="EQ27" i="82"/>
  <c r="EQ168" i="82"/>
  <c r="EQ41" i="82"/>
  <c r="EQ130" i="2"/>
  <c r="EQ62" i="2"/>
  <c r="EQ9" i="2"/>
  <c r="EQ122" i="1"/>
  <c r="ER112" i="82"/>
  <c r="ER98" i="82"/>
  <c r="EQ9" i="82"/>
  <c r="EQ53" i="1"/>
  <c r="EQ54" i="1" s="1"/>
  <c r="EQ51" i="1"/>
  <c r="EQ64" i="1"/>
  <c r="ER95" i="82"/>
  <c r="ER105" i="82"/>
  <c r="ER121" i="1"/>
  <c r="ER116" i="1"/>
  <c r="ER94" i="1"/>
  <c r="EJ84" i="2"/>
  <c r="EJ26" i="82"/>
  <c r="EI197" i="1"/>
  <c r="EI175" i="1"/>
  <c r="EI203" i="1"/>
  <c r="EI183" i="1"/>
  <c r="EI191" i="1"/>
  <c r="EI208" i="1"/>
  <c r="EJ235" i="1" s="1"/>
  <c r="EJ236" i="1" s="1"/>
  <c r="EI167" i="82"/>
  <c r="EI187" i="82"/>
  <c r="EI81" i="1"/>
  <c r="EI83" i="1" s="1"/>
  <c r="EI87" i="1" s="1"/>
  <c r="EI137" i="2"/>
  <c r="EI146" i="2"/>
  <c r="EI140" i="2"/>
  <c r="EI143" i="2"/>
  <c r="AE5" i="113"/>
  <c r="ER55" i="1" l="1"/>
  <c r="EJ177" i="1"/>
  <c r="EN176" i="1"/>
  <c r="EJ145" i="2"/>
  <c r="EN144" i="2"/>
  <c r="EJ142" i="2"/>
  <c r="EN141" i="2"/>
  <c r="EJ139" i="2"/>
  <c r="EN138" i="2"/>
  <c r="EJ148" i="2"/>
  <c r="EN147" i="2"/>
  <c r="EQ124" i="1"/>
  <c r="EQ127" i="1" s="1"/>
  <c r="EQ134" i="1" s="1"/>
  <c r="ER112" i="1"/>
  <c r="ER123" i="1"/>
  <c r="EQ131" i="2"/>
  <c r="ER29" i="82"/>
  <c r="ER28" i="82"/>
  <c r="EQ28" i="82"/>
  <c r="ER9" i="82"/>
  <c r="ER51" i="1"/>
  <c r="ER53" i="1"/>
  <c r="ER54" i="1" s="1"/>
  <c r="ER64" i="1"/>
  <c r="ER111" i="1"/>
  <c r="EQ40" i="82"/>
  <c r="EQ69" i="82" s="1"/>
  <c r="ER108" i="1"/>
  <c r="DS80" i="7"/>
  <c r="EQ169" i="82"/>
  <c r="EQ23" i="2"/>
  <c r="EQ17" i="2"/>
  <c r="EQ12" i="2"/>
  <c r="EQ20" i="2"/>
  <c r="EQ24" i="2"/>
  <c r="EQ63" i="2"/>
  <c r="ER122" i="1"/>
  <c r="EQ11" i="82"/>
  <c r="EQ65" i="1"/>
  <c r="EQ85" i="1"/>
  <c r="EQ87" i="1" s="1"/>
  <c r="ER168" i="82"/>
  <c r="ER41" i="82"/>
  <c r="ER130" i="2"/>
  <c r="ER62" i="2"/>
  <c r="ER9" i="2"/>
  <c r="EI178" i="1"/>
  <c r="EI216" i="1"/>
  <c r="EO104" i="1"/>
  <c r="EO98" i="1"/>
  <c r="EO97" i="1"/>
  <c r="DR6" i="7"/>
  <c r="DR78" i="7" s="1"/>
  <c r="DQ87" i="7"/>
  <c r="DQ6" i="7"/>
  <c r="DQ202" i="7" s="1"/>
  <c r="DP6" i="7"/>
  <c r="DO202" i="7"/>
  <c r="DN6" i="7"/>
  <c r="DQ99" i="3"/>
  <c r="DQ39" i="3"/>
  <c r="DQ6" i="3"/>
  <c r="DQ56" i="3" s="1"/>
  <c r="DP6" i="3"/>
  <c r="DP56" i="3" s="1"/>
  <c r="EP415" i="82"/>
  <c r="EP413" i="82"/>
  <c r="EP412" i="82"/>
  <c r="EP410" i="82"/>
  <c r="EP407" i="82"/>
  <c r="EP406" i="82"/>
  <c r="EP405" i="82"/>
  <c r="EP404" i="82"/>
  <c r="EP402" i="82"/>
  <c r="EP401" i="82"/>
  <c r="EP400" i="82"/>
  <c r="EP399" i="82"/>
  <c r="EP398" i="82"/>
  <c r="EP381" i="82"/>
  <c r="EP380" i="82"/>
  <c r="EP379" i="82"/>
  <c r="EP378" i="82"/>
  <c r="EP376" i="82"/>
  <c r="EP375" i="82"/>
  <c r="EP374" i="82"/>
  <c r="EP373" i="82"/>
  <c r="EP372" i="82"/>
  <c r="EP371" i="82"/>
  <c r="EP370" i="82"/>
  <c r="EP155" i="82"/>
  <c r="EP153" i="82"/>
  <c r="EP121" i="82"/>
  <c r="EP85" i="82"/>
  <c r="EP83" i="82"/>
  <c r="EP6" i="82"/>
  <c r="EP6" i="1"/>
  <c r="EP206" i="1" s="1"/>
  <c r="EP336" i="2"/>
  <c r="EP272" i="2"/>
  <c r="EP271" i="2"/>
  <c r="EP270" i="2"/>
  <c r="EP269" i="2"/>
  <c r="EP266" i="2"/>
  <c r="EP265" i="2"/>
  <c r="EP264" i="2"/>
  <c r="EP261" i="2"/>
  <c r="EP316" i="2" s="1"/>
  <c r="EP257" i="2"/>
  <c r="EP256" i="2"/>
  <c r="EP255" i="2"/>
  <c r="EP254" i="2"/>
  <c r="EP250" i="2"/>
  <c r="EP249" i="2"/>
  <c r="EP248" i="2"/>
  <c r="EP247" i="2"/>
  <c r="EP246" i="2"/>
  <c r="EP231" i="2"/>
  <c r="EP197" i="2"/>
  <c r="EP196" i="2"/>
  <c r="EP195" i="2"/>
  <c r="EP194" i="2"/>
  <c r="EP193" i="2"/>
  <c r="EP192" i="2"/>
  <c r="EP59" i="2"/>
  <c r="EP31" i="2"/>
  <c r="EP25" i="2"/>
  <c r="EP181" i="82" s="1"/>
  <c r="DZ6" i="7"/>
  <c r="DZ78" i="7" s="1"/>
  <c r="DZ6" i="3"/>
  <c r="DZ56" i="3" s="1"/>
  <c r="EX415" i="82"/>
  <c r="EX413" i="82"/>
  <c r="EX412" i="82"/>
  <c r="EX410" i="82"/>
  <c r="EX407" i="82"/>
  <c r="EX406" i="82"/>
  <c r="EX405" i="82"/>
  <c r="EX404" i="82"/>
  <c r="EX402" i="82"/>
  <c r="EX401" i="82"/>
  <c r="EX400" i="82"/>
  <c r="EX399" i="82"/>
  <c r="EX398" i="82"/>
  <c r="EX381" i="82"/>
  <c r="EX380" i="82"/>
  <c r="EX379" i="82"/>
  <c r="EX378" i="82"/>
  <c r="EX376" i="82"/>
  <c r="EX375" i="82"/>
  <c r="EX374" i="82"/>
  <c r="EX373" i="82"/>
  <c r="EX372" i="82"/>
  <c r="EX371" i="82"/>
  <c r="EX370" i="82"/>
  <c r="EX181" i="82"/>
  <c r="EX164" i="82"/>
  <c r="EX151" i="82"/>
  <c r="EX119" i="82"/>
  <c r="AE296" i="113" s="1"/>
  <c r="EX111" i="82"/>
  <c r="EX76" i="82"/>
  <c r="EX6" i="82"/>
  <c r="EX289" i="1"/>
  <c r="FB120" i="39" s="1"/>
  <c r="FB121" i="39" s="1"/>
  <c r="EX265" i="1"/>
  <c r="FB78" i="39" s="1"/>
  <c r="FB79" i="39" s="1"/>
  <c r="EX241" i="1"/>
  <c r="FB32" i="39" s="1"/>
  <c r="FB33" i="39" s="1"/>
  <c r="EX200" i="1"/>
  <c r="EX194" i="1"/>
  <c r="EX188" i="1"/>
  <c r="EX97" i="1"/>
  <c r="EX6" i="1"/>
  <c r="EX238" i="1" s="1"/>
  <c r="EX336" i="2"/>
  <c r="EX320" i="2"/>
  <c r="EX316" i="2"/>
  <c r="EX258" i="2"/>
  <c r="EX319" i="2" s="1"/>
  <c r="EX251" i="2"/>
  <c r="EX318" i="2" s="1"/>
  <c r="EX225" i="2"/>
  <c r="EX127" i="2"/>
  <c r="EX124" i="2"/>
  <c r="EX121" i="2"/>
  <c r="EX118" i="2"/>
  <c r="EX115" i="2"/>
  <c r="EX59" i="2"/>
  <c r="EX41" i="2"/>
  <c r="N6" i="15"/>
  <c r="EO181" i="82"/>
  <c r="EN181" i="82"/>
  <c r="EO151" i="82"/>
  <c r="EO119" i="82"/>
  <c r="EO111" i="82"/>
  <c r="EO76" i="82"/>
  <c r="EO6" i="82"/>
  <c r="EN6" i="82"/>
  <c r="EL6" i="82"/>
  <c r="EO321" i="1"/>
  <c r="EO200" i="1"/>
  <c r="EO194" i="1"/>
  <c r="EO188" i="1"/>
  <c r="EO6" i="1"/>
  <c r="EO312" i="1" s="1"/>
  <c r="EN6" i="1"/>
  <c r="EL6" i="1"/>
  <c r="EO320" i="2"/>
  <c r="EN320" i="2"/>
  <c r="EM320" i="2"/>
  <c r="EL320" i="2"/>
  <c r="EO316" i="2"/>
  <c r="EN316" i="2"/>
  <c r="EM316" i="2"/>
  <c r="EL316" i="2"/>
  <c r="EO258" i="2"/>
  <c r="EO319" i="2" s="1"/>
  <c r="EN258" i="2"/>
  <c r="EN319" i="2" s="1"/>
  <c r="EM258" i="2"/>
  <c r="EL258" i="2"/>
  <c r="EO251" i="2"/>
  <c r="EO318" i="2" s="1"/>
  <c r="EN251" i="2"/>
  <c r="EN318" i="2" s="1"/>
  <c r="EM251" i="2"/>
  <c r="EL251" i="2"/>
  <c r="EO225" i="2"/>
  <c r="EN225" i="2"/>
  <c r="EO217" i="2"/>
  <c r="EO59" i="2"/>
  <c r="EO41" i="2"/>
  <c r="EL319" i="2" l="1"/>
  <c r="EL203" i="2"/>
  <c r="EL212" i="2" s="1"/>
  <c r="EM319" i="2"/>
  <c r="EM203" i="2"/>
  <c r="EI225" i="1"/>
  <c r="EN217" i="1"/>
  <c r="EN219" i="1" s="1"/>
  <c r="EN226" i="1"/>
  <c r="ER86" i="2"/>
  <c r="EQ115" i="82"/>
  <c r="EQ187" i="82" s="1"/>
  <c r="EN312" i="1"/>
  <c r="EN139" i="1"/>
  <c r="EN238" i="1"/>
  <c r="EN206" i="1"/>
  <c r="EN168" i="1"/>
  <c r="DP202" i="7"/>
  <c r="DP78" i="7"/>
  <c r="ER124" i="1"/>
  <c r="ER125" i="1" s="1"/>
  <c r="ER66" i="1"/>
  <c r="EQ125" i="1"/>
  <c r="ER132" i="2"/>
  <c r="EQ128" i="1"/>
  <c r="EQ136" i="1"/>
  <c r="DS73" i="3"/>
  <c r="EQ133" i="1"/>
  <c r="EQ135" i="1" s="1"/>
  <c r="EQ203" i="2"/>
  <c r="EQ13" i="82"/>
  <c r="EQ14" i="82" s="1"/>
  <c r="EQ150" i="82" s="1"/>
  <c r="EQ56" i="2"/>
  <c r="EQ280" i="2"/>
  <c r="EQ46" i="2"/>
  <c r="EQ75" i="2"/>
  <c r="EQ146" i="2"/>
  <c r="EQ67" i="2"/>
  <c r="EQ277" i="2"/>
  <c r="EQ140" i="2"/>
  <c r="ER40" i="82"/>
  <c r="ER69" i="82" s="1"/>
  <c r="EQ137" i="2"/>
  <c r="EQ26" i="2"/>
  <c r="EQ276" i="2"/>
  <c r="EQ66" i="2"/>
  <c r="EQ143" i="2"/>
  <c r="EQ68" i="2"/>
  <c r="EQ278" i="2"/>
  <c r="ER57" i="82"/>
  <c r="ER11" i="82"/>
  <c r="ER85" i="1"/>
  <c r="ER87" i="1" s="1"/>
  <c r="ER65" i="1"/>
  <c r="DS169" i="7"/>
  <c r="EQ44" i="82"/>
  <c r="EQ42" i="82"/>
  <c r="EQ56" i="82"/>
  <c r="DT80" i="7"/>
  <c r="ER169" i="82"/>
  <c r="ER17" i="2"/>
  <c r="ER24" i="2"/>
  <c r="ER23" i="2"/>
  <c r="ER20" i="2"/>
  <c r="ER12" i="2"/>
  <c r="ER63" i="2"/>
  <c r="EQ133" i="2"/>
  <c r="EQ275" i="2"/>
  <c r="EQ70" i="2"/>
  <c r="EQ64" i="2"/>
  <c r="ER131" i="2"/>
  <c r="EQ13" i="2"/>
  <c r="EM318" i="2"/>
  <c r="EM150" i="82"/>
  <c r="EM163" i="82" s="1"/>
  <c r="ER164" i="82" s="1"/>
  <c r="DN202" i="7"/>
  <c r="DN78" i="7"/>
  <c r="EL238" i="1"/>
  <c r="EL206" i="1"/>
  <c r="EL312" i="1"/>
  <c r="EL318" i="2"/>
  <c r="EP151" i="82"/>
  <c r="EJ218" i="1"/>
  <c r="EI234" i="1"/>
  <c r="EX303" i="1"/>
  <c r="EX279" i="1"/>
  <c r="EP258" i="2"/>
  <c r="EP319" i="2" s="1"/>
  <c r="DR39" i="3"/>
  <c r="EP41" i="2"/>
  <c r="EP119" i="82"/>
  <c r="EP320" i="2"/>
  <c r="EP251" i="2"/>
  <c r="EP318" i="2" s="1"/>
  <c r="EP225" i="2"/>
  <c r="EO206" i="1"/>
  <c r="EP238" i="1"/>
  <c r="EO139" i="1"/>
  <c r="EP168" i="1"/>
  <c r="DR202" i="7"/>
  <c r="DQ78" i="7"/>
  <c r="EP312" i="1"/>
  <c r="EP139" i="1"/>
  <c r="EX139" i="1"/>
  <c r="EX280" i="1"/>
  <c r="EX304" i="1"/>
  <c r="DZ202" i="7"/>
  <c r="EX168" i="1"/>
  <c r="EX312" i="1"/>
  <c r="EX206" i="1"/>
  <c r="EX255" i="1"/>
  <c r="EX256" i="1"/>
  <c r="EO238" i="1"/>
  <c r="EO168" i="1"/>
  <c r="EL168" i="1"/>
  <c r="EL139" i="1"/>
  <c r="EQ130" i="82" l="1"/>
  <c r="EM205" i="2"/>
  <c r="ER87" i="2"/>
  <c r="EN73" i="1"/>
  <c r="EN72" i="1" s="1"/>
  <c r="EN71" i="1" s="1"/>
  <c r="EN60" i="2"/>
  <c r="EN172" i="1"/>
  <c r="EN227" i="1"/>
  <c r="ER115" i="82"/>
  <c r="EQ299" i="2"/>
  <c r="DS70" i="3"/>
  <c r="DS71" i="3" s="1"/>
  <c r="ER126" i="1"/>
  <c r="DS23" i="3"/>
  <c r="ER127" i="1"/>
  <c r="DS168" i="7"/>
  <c r="DS81" i="3"/>
  <c r="EQ137" i="1"/>
  <c r="DS74" i="3"/>
  <c r="EQ138" i="2"/>
  <c r="EQ147" i="2"/>
  <c r="EQ134" i="2"/>
  <c r="EQ144" i="2"/>
  <c r="EQ141" i="2"/>
  <c r="EQ204" i="2"/>
  <c r="ER92" i="2"/>
  <c r="ER91" i="2"/>
  <c r="ER90" i="2"/>
  <c r="ER89" i="2"/>
  <c r="EQ69" i="2"/>
  <c r="EQ152" i="82"/>
  <c r="ER13" i="2"/>
  <c r="ER203" i="2"/>
  <c r="ER205" i="2" s="1"/>
  <c r="ER13" i="82"/>
  <c r="ER14" i="82" s="1"/>
  <c r="ER150" i="82" s="1"/>
  <c r="ER152" i="82" s="1"/>
  <c r="DS72" i="3"/>
  <c r="ER44" i="82"/>
  <c r="ER42" i="82"/>
  <c r="ER187" i="82"/>
  <c r="ER56" i="82"/>
  <c r="ER146" i="2"/>
  <c r="ER280" i="2"/>
  <c r="ER296" i="2" s="1"/>
  <c r="ER75" i="2"/>
  <c r="ER56" i="2"/>
  <c r="ER46" i="2"/>
  <c r="EQ17" i="82"/>
  <c r="EQ61" i="82"/>
  <c r="EQ305" i="2"/>
  <c r="EQ303" i="2"/>
  <c r="ER66" i="2"/>
  <c r="ER26" i="2"/>
  <c r="ER276" i="2"/>
  <c r="ER293" i="2" s="1"/>
  <c r="ER137" i="2"/>
  <c r="EQ43" i="82"/>
  <c r="EQ150" i="2"/>
  <c r="EQ27" i="2"/>
  <c r="EQ166" i="2"/>
  <c r="EQ65" i="2"/>
  <c r="ER130" i="82"/>
  <c r="ER133" i="2"/>
  <c r="ER275" i="2"/>
  <c r="ER292" i="2" s="1"/>
  <c r="ER70" i="2"/>
  <c r="ER64" i="2"/>
  <c r="DT95" i="7"/>
  <c r="DT31" i="7" s="1"/>
  <c r="DT93" i="7"/>
  <c r="DT30" i="7" s="1"/>
  <c r="DT90" i="7"/>
  <c r="DT88" i="7"/>
  <c r="DT97" i="7"/>
  <c r="DT32" i="7" s="1"/>
  <c r="DT103" i="7"/>
  <c r="DT81" i="7"/>
  <c r="DT169" i="7"/>
  <c r="EQ308" i="2"/>
  <c r="ER143" i="2"/>
  <c r="ER68" i="2"/>
  <c r="ER278" i="2"/>
  <c r="DS176" i="7"/>
  <c r="DS11" i="3"/>
  <c r="EQ301" i="2"/>
  <c r="ER140" i="2"/>
  <c r="ER277" i="2"/>
  <c r="ER294" i="2" s="1"/>
  <c r="ER67" i="2"/>
  <c r="EQ180" i="82"/>
  <c r="DS15" i="3"/>
  <c r="EQ209" i="2"/>
  <c r="DR98" i="3"/>
  <c r="DW99" i="3" s="1"/>
  <c r="DS32" i="3" l="1"/>
  <c r="ER166" i="2"/>
  <c r="ER168" i="2" s="1"/>
  <c r="EN31" i="1"/>
  <c r="EN32" i="1" s="1"/>
  <c r="EN33" i="1" s="1"/>
  <c r="EN10" i="1"/>
  <c r="EN17" i="1"/>
  <c r="EN18" i="1" s="1"/>
  <c r="EN19" i="1" s="1"/>
  <c r="EN59" i="1"/>
  <c r="EN60" i="1" s="1"/>
  <c r="EN61" i="1" s="1"/>
  <c r="EN45" i="1"/>
  <c r="EN46" i="1" s="1"/>
  <c r="EN47" i="1" s="1"/>
  <c r="EQ154" i="82"/>
  <c r="ER295" i="2"/>
  <c r="DS174" i="7"/>
  <c r="ER129" i="1"/>
  <c r="ER136" i="1"/>
  <c r="DT73" i="3"/>
  <c r="ER128" i="1"/>
  <c r="ER134" i="1"/>
  <c r="ER133" i="1"/>
  <c r="ER142" i="2"/>
  <c r="ER148" i="2"/>
  <c r="ER145" i="2"/>
  <c r="ER135" i="2"/>
  <c r="ER139" i="2"/>
  <c r="EQ167" i="2"/>
  <c r="EQ210" i="2"/>
  <c r="EQ20" i="82"/>
  <c r="ER93" i="2"/>
  <c r="ER88" i="2"/>
  <c r="ER160" i="82"/>
  <c r="ER150" i="2"/>
  <c r="ER65" i="2"/>
  <c r="ER204" i="2"/>
  <c r="EQ24" i="82"/>
  <c r="DT101" i="7"/>
  <c r="DT42" i="7" s="1"/>
  <c r="DT99" i="7"/>
  <c r="DT33" i="7" s="1"/>
  <c r="ER299" i="2"/>
  <c r="ER138" i="2"/>
  <c r="ER209" i="2"/>
  <c r="ER211" i="2" s="1"/>
  <c r="DT15" i="3"/>
  <c r="ER180" i="82"/>
  <c r="ER301" i="2"/>
  <c r="EQ55" i="2"/>
  <c r="DT91" i="7"/>
  <c r="DT29" i="7"/>
  <c r="ER69" i="2"/>
  <c r="ER308" i="2"/>
  <c r="ER27" i="2"/>
  <c r="ER20" i="82"/>
  <c r="ER154" i="82"/>
  <c r="ER156" i="82" s="1"/>
  <c r="ER134" i="2"/>
  <c r="DT84" i="7"/>
  <c r="DT15" i="7" s="1"/>
  <c r="DT86" i="7"/>
  <c r="DT25" i="7" s="1"/>
  <c r="EQ70" i="82"/>
  <c r="ER303" i="2"/>
  <c r="ER147" i="2"/>
  <c r="ER43" i="82"/>
  <c r="ER58" i="82"/>
  <c r="ER167" i="2"/>
  <c r="DT10" i="7"/>
  <c r="DT82" i="7"/>
  <c r="DT73" i="7" s="1"/>
  <c r="ER144" i="2"/>
  <c r="EQ21" i="82"/>
  <c r="EQ171" i="82"/>
  <c r="EQ151" i="2"/>
  <c r="EQ29" i="2"/>
  <c r="EQ169" i="2"/>
  <c r="EQ317" i="2"/>
  <c r="EQ28" i="2"/>
  <c r="EQ54" i="2"/>
  <c r="EQ220" i="2"/>
  <c r="EQ223" i="2" s="1"/>
  <c r="EQ71" i="2"/>
  <c r="ER141" i="2"/>
  <c r="ER305" i="2"/>
  <c r="DT176" i="7"/>
  <c r="DT11" i="3"/>
  <c r="DT177" i="7"/>
  <c r="ER61" i="82"/>
  <c r="ER17" i="82"/>
  <c r="Z170" i="113"/>
  <c r="AA170" i="113" s="1"/>
  <c r="A193" i="113"/>
  <c r="X192" i="113"/>
  <c r="W192" i="113"/>
  <c r="A192" i="113"/>
  <c r="Y191" i="113"/>
  <c r="X191" i="113"/>
  <c r="W191" i="113"/>
  <c r="V191" i="113"/>
  <c r="U191" i="113"/>
  <c r="A191" i="113"/>
  <c r="ER55" i="2" l="1"/>
  <c r="ER179" i="82" s="1"/>
  <c r="EN11" i="1"/>
  <c r="EN12" i="1" s="1"/>
  <c r="EN24" i="1"/>
  <c r="ER94" i="2"/>
  <c r="EQ156" i="82"/>
  <c r="DT75" i="3"/>
  <c r="ER135" i="1"/>
  <c r="ER137" i="1" s="1"/>
  <c r="EQ33" i="82"/>
  <c r="DT74" i="3"/>
  <c r="DT168" i="7"/>
  <c r="DT23" i="3"/>
  <c r="DT70" i="3"/>
  <c r="DT81" i="3"/>
  <c r="ER210" i="2"/>
  <c r="EQ152" i="2"/>
  <c r="EQ57" i="2"/>
  <c r="EQ179" i="82"/>
  <c r="EQ182" i="82" s="1"/>
  <c r="EQ281" i="2"/>
  <c r="EQ310" i="2" s="1"/>
  <c r="EQ206" i="2"/>
  <c r="EQ136" i="2"/>
  <c r="EQ74" i="2"/>
  <c r="EQ170" i="82"/>
  <c r="ER24" i="82"/>
  <c r="EQ34" i="82"/>
  <c r="EQ19" i="82"/>
  <c r="ER70" i="82"/>
  <c r="ER59" i="82"/>
  <c r="EQ321" i="2"/>
  <c r="EQ330" i="2" s="1"/>
  <c r="EQ326" i="2"/>
  <c r="EQ315" i="2"/>
  <c r="EQ324" i="2" s="1"/>
  <c r="EQ175" i="2"/>
  <c r="EQ157" i="2"/>
  <c r="EQ73" i="2"/>
  <c r="ER33" i="82"/>
  <c r="EQ25" i="82"/>
  <c r="EQ172" i="2"/>
  <c r="EQ154" i="2"/>
  <c r="EQ72" i="2"/>
  <c r="EQ170" i="2"/>
  <c r="ER21" i="82"/>
  <c r="ER171" i="82"/>
  <c r="ER220" i="2"/>
  <c r="ER223" i="2" s="1"/>
  <c r="ER151" i="2"/>
  <c r="ER29" i="2"/>
  <c r="ER317" i="2"/>
  <c r="ER54" i="2"/>
  <c r="ER169" i="2"/>
  <c r="ER28" i="2"/>
  <c r="ER71" i="2"/>
  <c r="AB170" i="113"/>
  <c r="ER136" i="2" l="1"/>
  <c r="DT32" i="3"/>
  <c r="ER57" i="2"/>
  <c r="ER161" i="2" s="1"/>
  <c r="ER206" i="2"/>
  <c r="ER208" i="2" s="1"/>
  <c r="ER281" i="2"/>
  <c r="ER310" i="2" s="1"/>
  <c r="ER153" i="2"/>
  <c r="EN25" i="1"/>
  <c r="EN26" i="1" s="1"/>
  <c r="EN38" i="1"/>
  <c r="DT71" i="3"/>
  <c r="DT72" i="3"/>
  <c r="DT174" i="7"/>
  <c r="DT175" i="7"/>
  <c r="ER171" i="2"/>
  <c r="EQ158" i="2"/>
  <c r="EQ155" i="2"/>
  <c r="EQ176" i="2"/>
  <c r="EQ173" i="2"/>
  <c r="EQ182" i="2"/>
  <c r="ER95" i="2"/>
  <c r="EQ164" i="2"/>
  <c r="EQ76" i="2"/>
  <c r="EQ179" i="2"/>
  <c r="EQ161" i="2"/>
  <c r="EQ184" i="82"/>
  <c r="ER170" i="2"/>
  <c r="ER34" i="82"/>
  <c r="ER35" i="82" s="1"/>
  <c r="ER19" i="82"/>
  <c r="ER182" i="82"/>
  <c r="ER170" i="82"/>
  <c r="ER326" i="2"/>
  <c r="ER321" i="2"/>
  <c r="ER330" i="2" s="1"/>
  <c r="ER315" i="2"/>
  <c r="ER324" i="2" s="1"/>
  <c r="ER212" i="2"/>
  <c r="EQ118" i="82"/>
  <c r="EQ30" i="82"/>
  <c r="EQ207" i="2"/>
  <c r="EQ212" i="2"/>
  <c r="ER172" i="2"/>
  <c r="ER154" i="2"/>
  <c r="ER156" i="2" s="1"/>
  <c r="ER72" i="2"/>
  <c r="ER175" i="2"/>
  <c r="ER157" i="2"/>
  <c r="ER73" i="2"/>
  <c r="ER26" i="82"/>
  <c r="ER25" i="82"/>
  <c r="ER152" i="2"/>
  <c r="AC170" i="113"/>
  <c r="ER179" i="2" l="1"/>
  <c r="ER184" i="82"/>
  <c r="ER214" i="2"/>
  <c r="EN39" i="1"/>
  <c r="EN40" i="1" s="1"/>
  <c r="EN52" i="1"/>
  <c r="EN53" i="1" s="1"/>
  <c r="EN54" i="1" s="1"/>
  <c r="EQ188" i="82"/>
  <c r="ER174" i="2"/>
  <c r="ER159" i="2"/>
  <c r="ER177" i="2"/>
  <c r="EQ162" i="2"/>
  <c r="ER163" i="2"/>
  <c r="EQ180" i="2"/>
  <c r="ER181" i="2"/>
  <c r="EQ213" i="2"/>
  <c r="ER36" i="82"/>
  <c r="ER30" i="82"/>
  <c r="ER118" i="82"/>
  <c r="ER188" i="82" s="1"/>
  <c r="ER158" i="2"/>
  <c r="EQ144" i="82"/>
  <c r="EQ145" i="82" s="1"/>
  <c r="EQ120" i="82"/>
  <c r="EQ133" i="82"/>
  <c r="EQ116" i="82"/>
  <c r="ER176" i="2"/>
  <c r="ER155" i="2"/>
  <c r="ER173" i="2"/>
  <c r="EQ31" i="82"/>
  <c r="AD170" i="113"/>
  <c r="AE170" i="113" s="1"/>
  <c r="EQ122" i="82" l="1"/>
  <c r="ER120" i="82"/>
  <c r="ER122" i="82" s="1"/>
  <c r="ER144" i="82"/>
  <c r="ER145" i="82" s="1"/>
  <c r="ER133" i="82"/>
  <c r="ER116" i="82"/>
  <c r="ER31" i="82"/>
  <c r="ER32" i="82"/>
  <c r="EQ131" i="82"/>
  <c r="EQ141" i="82"/>
  <c r="EQ146" i="82" l="1"/>
  <c r="EQ134" i="82"/>
  <c r="ER134" i="82"/>
  <c r="ER146" i="82"/>
  <c r="ER141" i="82"/>
  <c r="ER131" i="82"/>
  <c r="EH21" i="148" l="1"/>
  <c r="EH18" i="148"/>
  <c r="EH17" i="148"/>
  <c r="DJ191" i="7"/>
  <c r="DJ192" i="7" s="1"/>
  <c r="DJ135" i="7"/>
  <c r="DJ133" i="7"/>
  <c r="DJ132" i="7"/>
  <c r="DJ131" i="7"/>
  <c r="DJ130" i="7"/>
  <c r="DJ129" i="7"/>
  <c r="DJ125" i="7"/>
  <c r="DJ123" i="7"/>
  <c r="DJ122" i="7"/>
  <c r="DJ121" i="7"/>
  <c r="DJ120" i="7"/>
  <c r="DJ119" i="7"/>
  <c r="DJ114" i="7"/>
  <c r="DK134" i="7" s="1"/>
  <c r="DK180" i="7" s="1"/>
  <c r="DK181" i="7" s="1"/>
  <c r="EH14" i="148"/>
  <c r="EH13" i="148"/>
  <c r="DJ116" i="7" l="1"/>
  <c r="DK136" i="7" s="1"/>
  <c r="Z6" i="11" l="1"/>
  <c r="Z18" i="11" s="1"/>
  <c r="W7" i="11"/>
  <c r="DJ236" i="7" l="1"/>
  <c r="DJ198" i="7"/>
  <c r="DK195" i="7" s="1"/>
  <c r="DJ171" i="7"/>
  <c r="DK167" i="7" s="1"/>
  <c r="DK170" i="7" s="1"/>
  <c r="DJ169" i="7"/>
  <c r="DJ101" i="7"/>
  <c r="DJ99" i="7"/>
  <c r="DJ97" i="7"/>
  <c r="DJ95" i="7"/>
  <c r="DJ93" i="7"/>
  <c r="DJ90" i="7"/>
  <c r="DJ86" i="7"/>
  <c r="DJ84" i="7"/>
  <c r="DJ81" i="7"/>
  <c r="DJ72" i="7"/>
  <c r="DJ60" i="7"/>
  <c r="DJ38" i="7"/>
  <c r="DJ17" i="3"/>
  <c r="DJ98" i="3"/>
  <c r="DO99" i="3" s="1"/>
  <c r="DJ73" i="3"/>
  <c r="DJ66" i="3"/>
  <c r="DJ18" i="3" s="1"/>
  <c r="DJ46" i="3"/>
  <c r="DJ32" i="3"/>
  <c r="EH225" i="2"/>
  <c r="EH119" i="82"/>
  <c r="EH45" i="82" s="1"/>
  <c r="EH118" i="82"/>
  <c r="EM133" i="82" s="1"/>
  <c r="EH82" i="82"/>
  <c r="EM97" i="82" s="1"/>
  <c r="EH47" i="82"/>
  <c r="EH44" i="82"/>
  <c r="EM61" i="82" s="1"/>
  <c r="EH12" i="82"/>
  <c r="EH149" i="82" s="1"/>
  <c r="EH11" i="82"/>
  <c r="EH10" i="82"/>
  <c r="EH80" i="82" s="1"/>
  <c r="EM94" i="82" s="1"/>
  <c r="EH56" i="2"/>
  <c r="DJ15" i="3" s="1"/>
  <c r="EH52" i="2"/>
  <c r="EH47" i="2"/>
  <c r="EH46" i="2"/>
  <c r="EH41" i="2"/>
  <c r="EH26" i="2"/>
  <c r="EH8" i="2"/>
  <c r="EH230" i="2"/>
  <c r="EH232" i="2" s="1"/>
  <c r="EH198" i="2"/>
  <c r="EH200" i="2" s="1"/>
  <c r="EH187" i="2"/>
  <c r="EH92" i="2"/>
  <c r="EH91" i="2"/>
  <c r="EH90" i="2"/>
  <c r="EH89" i="2"/>
  <c r="EH75" i="2"/>
  <c r="EH68" i="2"/>
  <c r="EH67" i="2"/>
  <c r="EH66" i="2"/>
  <c r="EH59" i="2"/>
  <c r="EH320" i="1"/>
  <c r="EM321" i="1" s="1"/>
  <c r="EH319" i="1"/>
  <c r="EH318" i="1"/>
  <c r="EH288" i="1"/>
  <c r="EH264" i="1"/>
  <c r="EH240" i="1"/>
  <c r="EH214" i="1"/>
  <c r="EH201" i="1"/>
  <c r="EH290" i="1" s="1"/>
  <c r="EH199" i="1"/>
  <c r="EH289" i="1" s="1"/>
  <c r="EH195" i="1"/>
  <c r="EH266" i="1" s="1"/>
  <c r="EH193" i="1"/>
  <c r="EH265" i="1" s="1"/>
  <c r="EH189" i="1"/>
  <c r="EH242" i="1" s="1"/>
  <c r="EH187" i="1"/>
  <c r="EH241" i="1" s="1"/>
  <c r="EH184" i="1"/>
  <c r="EH179" i="1"/>
  <c r="EH110" i="1"/>
  <c r="EH106" i="1"/>
  <c r="EH66" i="1"/>
  <c r="EH65" i="1"/>
  <c r="EH62" i="1"/>
  <c r="EH58" i="1"/>
  <c r="EH48" i="1"/>
  <c r="EH44" i="1"/>
  <c r="EH34" i="1"/>
  <c r="EH30" i="1"/>
  <c r="EH22" i="1"/>
  <c r="EH93" i="1" s="1"/>
  <c r="EH20" i="1"/>
  <c r="EH16" i="1"/>
  <c r="EH13" i="1"/>
  <c r="EH9" i="1"/>
  <c r="DK75" i="3" l="1"/>
  <c r="EH154" i="1"/>
  <c r="EH155" i="1" s="1"/>
  <c r="EM94" i="1"/>
  <c r="EI95" i="1"/>
  <c r="EH92" i="1"/>
  <c r="EH101" i="1"/>
  <c r="EM62" i="2"/>
  <c r="EM69" i="2"/>
  <c r="DO74" i="3"/>
  <c r="DK177" i="7"/>
  <c r="DO176" i="7"/>
  <c r="DO75" i="7"/>
  <c r="DO74" i="7"/>
  <c r="EM180" i="1"/>
  <c r="EM181" i="1"/>
  <c r="EI260" i="1"/>
  <c r="EI44" i="39" s="1"/>
  <c r="EI45" i="39" s="1"/>
  <c r="EM254" i="1"/>
  <c r="EM32" i="39" s="1"/>
  <c r="EI27" i="1"/>
  <c r="EM23" i="1"/>
  <c r="EI308" i="1"/>
  <c r="EI132" i="39" s="1"/>
  <c r="EI131" i="39" s="1"/>
  <c r="EM302" i="1"/>
  <c r="EM120" i="39" s="1"/>
  <c r="EI284" i="1"/>
  <c r="EI92" i="39" s="1"/>
  <c r="EI91" i="39" s="1"/>
  <c r="EM278" i="1"/>
  <c r="EM78" i="39" s="1"/>
  <c r="EI112" i="1"/>
  <c r="EM111" i="1"/>
  <c r="DJ105" i="7"/>
  <c r="DJ50" i="7"/>
  <c r="EI93" i="2"/>
  <c r="DJ168" i="7"/>
  <c r="EH115" i="82"/>
  <c r="EH202" i="1"/>
  <c r="EI182" i="1"/>
  <c r="EH258" i="1"/>
  <c r="EH268" i="1"/>
  <c r="EH306" i="1"/>
  <c r="EH12" i="2"/>
  <c r="EH244" i="1"/>
  <c r="DJ76" i="7"/>
  <c r="EH292" i="1"/>
  <c r="EH41" i="82"/>
  <c r="EM57" i="82" s="1"/>
  <c r="DJ88" i="7"/>
  <c r="DJ87" i="7" s="1"/>
  <c r="DJ103" i="7"/>
  <c r="DJ70" i="3"/>
  <c r="DO71" i="3" s="1"/>
  <c r="DJ81" i="3"/>
  <c r="DN92" i="3" s="1"/>
  <c r="EH224" i="2"/>
  <c r="EH226" i="2" s="1"/>
  <c r="EH81" i="82"/>
  <c r="EM95" i="82" s="1"/>
  <c r="EH30" i="82"/>
  <c r="EH84" i="82"/>
  <c r="EH86" i="82" s="1"/>
  <c r="EM98" i="82" s="1"/>
  <c r="EH120" i="82"/>
  <c r="EH122" i="82" s="1"/>
  <c r="EM134" i="82" s="1"/>
  <c r="EH110" i="82"/>
  <c r="EM111" i="82" s="1"/>
  <c r="EH27" i="82"/>
  <c r="EH46" i="82"/>
  <c r="EH48" i="82" s="1"/>
  <c r="EM62" i="82" s="1"/>
  <c r="EH236" i="2"/>
  <c r="EH199" i="2"/>
  <c r="EH282" i="1"/>
  <c r="EH196" i="1"/>
  <c r="EH190" i="1"/>
  <c r="EH36" i="1"/>
  <c r="EM37" i="1" s="1"/>
  <c r="DJ62" i="7" l="1"/>
  <c r="EI262" i="1"/>
  <c r="EI261" i="1"/>
  <c r="EI285" i="1"/>
  <c r="EM119" i="39"/>
  <c r="EM121" i="39"/>
  <c r="EM77" i="39"/>
  <c r="EM79" i="39"/>
  <c r="EM33" i="39"/>
  <c r="EM31" i="39"/>
  <c r="EI133" i="39"/>
  <c r="DK175" i="7"/>
  <c r="DO174" i="7"/>
  <c r="EI286" i="1"/>
  <c r="EI309" i="1"/>
  <c r="EI93" i="39"/>
  <c r="EI43" i="39"/>
  <c r="EI310" i="1"/>
  <c r="EM200" i="1"/>
  <c r="EM304" i="1"/>
  <c r="EM303" i="1"/>
  <c r="EI32" i="82"/>
  <c r="EM31" i="82"/>
  <c r="EM70" i="2"/>
  <c r="EM64" i="2"/>
  <c r="EM194" i="1"/>
  <c r="EM279" i="1"/>
  <c r="EM280" i="1"/>
  <c r="EM188" i="1"/>
  <c r="EM255" i="1"/>
  <c r="EM256" i="1"/>
  <c r="EM28" i="82"/>
  <c r="EH144" i="82"/>
  <c r="EM145" i="82" s="1"/>
  <c r="EM130" i="82"/>
  <c r="DJ182" i="7"/>
  <c r="EH116" i="82"/>
  <c r="EI29" i="82"/>
  <c r="EH107" i="1"/>
  <c r="EI41" i="1"/>
  <c r="EH229" i="1"/>
  <c r="EH212" i="1"/>
  <c r="EH213" i="1" s="1"/>
  <c r="DJ85" i="7"/>
  <c r="DJ100" i="7"/>
  <c r="DJ102" i="7"/>
  <c r="EH146" i="82"/>
  <c r="EH112" i="82"/>
  <c r="EH105" i="82"/>
  <c r="EH50" i="1"/>
  <c r="EG21" i="148"/>
  <c r="EG18" i="148"/>
  <c r="EG17" i="148"/>
  <c r="DI191" i="7"/>
  <c r="DI192" i="7" s="1"/>
  <c r="DI125" i="7"/>
  <c r="DI123" i="7"/>
  <c r="DI122" i="7"/>
  <c r="DI121" i="7"/>
  <c r="DI120" i="7"/>
  <c r="DI119" i="7"/>
  <c r="DI114" i="7"/>
  <c r="EG14" i="148"/>
  <c r="EG13" i="148"/>
  <c r="EH141" i="82" l="1"/>
  <c r="EM131" i="82"/>
  <c r="EI109" i="1"/>
  <c r="EM108" i="1"/>
  <c r="EM51" i="1"/>
  <c r="EH9" i="82"/>
  <c r="EH24" i="82" s="1"/>
  <c r="EI55" i="1"/>
  <c r="DI116" i="7"/>
  <c r="DJ136" i="7" s="1"/>
  <c r="DJ134" i="7"/>
  <c r="DJ180" i="7" s="1"/>
  <c r="DJ181" i="7" s="1"/>
  <c r="EH69" i="1"/>
  <c r="EM25" i="82" l="1"/>
  <c r="EM70" i="1"/>
  <c r="EI74" i="1"/>
  <c r="EI26" i="82"/>
  <c r="EH13" i="82"/>
  <c r="EH14" i="82" s="1"/>
  <c r="EH40" i="82"/>
  <c r="EH170" i="1"/>
  <c r="EM171" i="1" s="1"/>
  <c r="EM209" i="1" s="1"/>
  <c r="EH7" i="2"/>
  <c r="EH77" i="82" l="1"/>
  <c r="EM56" i="82"/>
  <c r="EI84" i="2"/>
  <c r="EM61" i="2"/>
  <c r="EH75" i="82"/>
  <c r="EM76" i="82" s="1"/>
  <c r="EH42" i="82"/>
  <c r="EH69" i="82"/>
  <c r="EH183" i="1"/>
  <c r="EI173" i="1"/>
  <c r="EI210" i="1" s="1"/>
  <c r="EH9" i="2"/>
  <c r="EH175" i="1"/>
  <c r="EM176" i="1" s="1"/>
  <c r="EH208" i="1"/>
  <c r="EH216" i="1" s="1"/>
  <c r="EH203" i="1"/>
  <c r="EH197" i="1"/>
  <c r="EH191" i="1"/>
  <c r="EM217" i="1" l="1"/>
  <c r="EM219" i="1" s="1"/>
  <c r="EM226" i="1"/>
  <c r="EM63" i="2"/>
  <c r="EH43" i="82"/>
  <c r="EM58" i="82"/>
  <c r="EH13" i="2"/>
  <c r="EI177" i="1"/>
  <c r="EH225" i="1"/>
  <c r="EI235" i="1"/>
  <c r="EI236" i="1" s="1"/>
  <c r="DJ80" i="7"/>
  <c r="DJ98" i="7" s="1"/>
  <c r="EH178" i="1"/>
  <c r="EH234" i="1"/>
  <c r="EG272" i="2"/>
  <c r="EK272" i="2" s="1"/>
  <c r="EG271" i="2"/>
  <c r="EK271" i="2" s="1"/>
  <c r="EG270" i="2"/>
  <c r="EK270" i="2" s="1"/>
  <c r="EG269" i="2"/>
  <c r="EK269" i="2" s="1"/>
  <c r="EG251" i="2"/>
  <c r="DI198" i="7"/>
  <c r="DJ195" i="7" s="1"/>
  <c r="DI60" i="7"/>
  <c r="DI38" i="7"/>
  <c r="DI17" i="3"/>
  <c r="EM65" i="2" l="1"/>
  <c r="EH70" i="82"/>
  <c r="EM59" i="82"/>
  <c r="EM227" i="1"/>
  <c r="EM60" i="2"/>
  <c r="EM172" i="1"/>
  <c r="EM73" i="1"/>
  <c r="DI50" i="7"/>
  <c r="EH27" i="2"/>
  <c r="DJ172" i="7"/>
  <c r="DJ82" i="7"/>
  <c r="DJ73" i="7" s="1"/>
  <c r="DJ83" i="7"/>
  <c r="DJ91" i="7"/>
  <c r="DJ96" i="7"/>
  <c r="DJ104" i="7"/>
  <c r="DJ92" i="7"/>
  <c r="DJ94" i="7"/>
  <c r="DJ89" i="7"/>
  <c r="DI236" i="7"/>
  <c r="DI171" i="7"/>
  <c r="DJ167" i="7" s="1"/>
  <c r="DJ170" i="7" s="1"/>
  <c r="DI169" i="7"/>
  <c r="DI101" i="7"/>
  <c r="DI99" i="7"/>
  <c r="DI97" i="7"/>
  <c r="DI95" i="7"/>
  <c r="DI93" i="7"/>
  <c r="DI90" i="7"/>
  <c r="DI86" i="7"/>
  <c r="DI84" i="7"/>
  <c r="DI81" i="7"/>
  <c r="DI72" i="7"/>
  <c r="DI6" i="7"/>
  <c r="DI78" i="7" s="1"/>
  <c r="DI98" i="3"/>
  <c r="DN99" i="3" s="1"/>
  <c r="DI73" i="3"/>
  <c r="DI66" i="3"/>
  <c r="DI18" i="3" s="1"/>
  <c r="DI46" i="3"/>
  <c r="DI32" i="3"/>
  <c r="DI6" i="3"/>
  <c r="DI56" i="3" s="1"/>
  <c r="EG181" i="82"/>
  <c r="EG177" i="82"/>
  <c r="EG174" i="82"/>
  <c r="EG172" i="82"/>
  <c r="EG119" i="82"/>
  <c r="EG45" i="82" s="1"/>
  <c r="EG118" i="82"/>
  <c r="EL133" i="82" s="1"/>
  <c r="EG82" i="82"/>
  <c r="EG47" i="82"/>
  <c r="EG44" i="82"/>
  <c r="EL61" i="82" s="1"/>
  <c r="EG12" i="82"/>
  <c r="EG149" i="82" s="1"/>
  <c r="EG11" i="82"/>
  <c r="EG10" i="82"/>
  <c r="EG230" i="2"/>
  <c r="EG232" i="2" s="1"/>
  <c r="EG225" i="2"/>
  <c r="EG198" i="2"/>
  <c r="EG200" i="2" s="1"/>
  <c r="EG187" i="2"/>
  <c r="EG92" i="2"/>
  <c r="EG90" i="2"/>
  <c r="EG89" i="2"/>
  <c r="EG75" i="2"/>
  <c r="EG59" i="2"/>
  <c r="EG56" i="2"/>
  <c r="EG209" i="2" s="1"/>
  <c r="EL210" i="2" s="1"/>
  <c r="EG52" i="2"/>
  <c r="EG47" i="2"/>
  <c r="EG46" i="2"/>
  <c r="EG41" i="2"/>
  <c r="EG8" i="2"/>
  <c r="EG320" i="1"/>
  <c r="EL321" i="1" s="1"/>
  <c r="EG318" i="1"/>
  <c r="EG288" i="1"/>
  <c r="EL302" i="1" s="1"/>
  <c r="EL120" i="39" s="1"/>
  <c r="EG264" i="1"/>
  <c r="EG240" i="1"/>
  <c r="EL254" i="1" s="1"/>
  <c r="EL32" i="39" s="1"/>
  <c r="EG214" i="1"/>
  <c r="EG201" i="1"/>
  <c r="EG290" i="1" s="1"/>
  <c r="EG199" i="1"/>
  <c r="EG289" i="1" s="1"/>
  <c r="EG195" i="1"/>
  <c r="EG266" i="1" s="1"/>
  <c r="EG193" i="1"/>
  <c r="EG265" i="1" s="1"/>
  <c r="EG189" i="1"/>
  <c r="EG242" i="1" s="1"/>
  <c r="EG187" i="1"/>
  <c r="EG241" i="1" s="1"/>
  <c r="EG184" i="1"/>
  <c r="EG179" i="1"/>
  <c r="EG124" i="1"/>
  <c r="EL125" i="1" s="1"/>
  <c r="EG110" i="1"/>
  <c r="EG106" i="1"/>
  <c r="EG66" i="1"/>
  <c r="EG65" i="1"/>
  <c r="EG62" i="1"/>
  <c r="EG58" i="1"/>
  <c r="EG48" i="1"/>
  <c r="EG44" i="1"/>
  <c r="EG34" i="1"/>
  <c r="EG30" i="1"/>
  <c r="EG22" i="1"/>
  <c r="EG20" i="1"/>
  <c r="EG16" i="1"/>
  <c r="EG13" i="1"/>
  <c r="EG9" i="1"/>
  <c r="DJ75" i="3" l="1"/>
  <c r="DN176" i="7"/>
  <c r="DI62" i="7"/>
  <c r="EG154" i="1"/>
  <c r="EG155" i="1" s="1"/>
  <c r="EM72" i="1"/>
  <c r="EM71" i="1" s="1"/>
  <c r="EM17" i="1" s="1"/>
  <c r="EM18" i="1" s="1"/>
  <c r="EM19" i="1" s="1"/>
  <c r="EG92" i="1"/>
  <c r="EG101" i="1"/>
  <c r="EL23" i="1"/>
  <c r="EG93" i="1"/>
  <c r="EL62" i="2"/>
  <c r="EM71" i="2"/>
  <c r="EH29" i="2"/>
  <c r="EL31" i="39"/>
  <c r="EP31" i="39" s="1"/>
  <c r="EL33" i="39"/>
  <c r="EL121" i="39"/>
  <c r="EL119" i="39"/>
  <c r="EP119" i="39" s="1"/>
  <c r="EH54" i="2"/>
  <c r="DI105" i="7"/>
  <c r="DN74" i="3"/>
  <c r="EH21" i="82"/>
  <c r="EH28" i="2"/>
  <c r="EM72" i="2" s="1"/>
  <c r="EH32" i="2"/>
  <c r="EG84" i="82"/>
  <c r="EG86" i="82" s="1"/>
  <c r="EL98" i="82" s="1"/>
  <c r="EL97" i="82"/>
  <c r="EH284" i="1"/>
  <c r="EH92" i="39" s="1"/>
  <c r="EL278" i="1"/>
  <c r="EL78" i="39" s="1"/>
  <c r="EL200" i="1"/>
  <c r="EL304" i="1"/>
  <c r="EL303" i="1"/>
  <c r="EH112" i="1"/>
  <c r="EL111" i="1"/>
  <c r="EL180" i="1"/>
  <c r="EL181" i="1"/>
  <c r="EL188" i="1"/>
  <c r="EL255" i="1"/>
  <c r="EL256" i="1"/>
  <c r="DJ177" i="7"/>
  <c r="DM169" i="7"/>
  <c r="EG30" i="82"/>
  <c r="EG12" i="2"/>
  <c r="EG306" i="1"/>
  <c r="EH308" i="1"/>
  <c r="EH132" i="39" s="1"/>
  <c r="EG268" i="1"/>
  <c r="EG190" i="1"/>
  <c r="EH182" i="1"/>
  <c r="EG36" i="1"/>
  <c r="EH27" i="1"/>
  <c r="EG258" i="1"/>
  <c r="EH260" i="1"/>
  <c r="EH44" i="39" s="1"/>
  <c r="DI168" i="7"/>
  <c r="EG180" i="82"/>
  <c r="DI88" i="7"/>
  <c r="DI85" i="7" s="1"/>
  <c r="EG120" i="82"/>
  <c r="EG122" i="82" s="1"/>
  <c r="DI15" i="3"/>
  <c r="EG41" i="82"/>
  <c r="EG168" i="82"/>
  <c r="EG115" i="1"/>
  <c r="EL116" i="1" s="1"/>
  <c r="DI76" i="7"/>
  <c r="DI103" i="7"/>
  <c r="DI70" i="3"/>
  <c r="DN71" i="3" s="1"/>
  <c r="DI81" i="3"/>
  <c r="EG115" i="82"/>
  <c r="EL130" i="82" s="1"/>
  <c r="EG27" i="82"/>
  <c r="EG46" i="82"/>
  <c r="EG48" i="82" s="1"/>
  <c r="EG80" i="82"/>
  <c r="EL94" i="82" s="1"/>
  <c r="EG224" i="2"/>
  <c r="EG226" i="2" s="1"/>
  <c r="EG236" i="2"/>
  <c r="EG91" i="2"/>
  <c r="EG26" i="2"/>
  <c r="EG199" i="2"/>
  <c r="EG292" i="1"/>
  <c r="EG244" i="1"/>
  <c r="EG202" i="1"/>
  <c r="EG282" i="1"/>
  <c r="EG204" i="1"/>
  <c r="EG196" i="1"/>
  <c r="DN174" i="7" l="1"/>
  <c r="EM10" i="1"/>
  <c r="EM11" i="1" s="1"/>
  <c r="EM12" i="1" s="1"/>
  <c r="EM59" i="1"/>
  <c r="EM60" i="1" s="1"/>
  <c r="EM61" i="1" s="1"/>
  <c r="EM45" i="1"/>
  <c r="EM46" i="1" s="1"/>
  <c r="EM47" i="1" s="1"/>
  <c r="EM31" i="1"/>
  <c r="EM32" i="1" s="1"/>
  <c r="EM33" i="1" s="1"/>
  <c r="EL94" i="1"/>
  <c r="EH95" i="1"/>
  <c r="EH20" i="82"/>
  <c r="EM73" i="2"/>
  <c r="EH34" i="82"/>
  <c r="EM35" i="82" s="1"/>
  <c r="EG118" i="1"/>
  <c r="EL119" i="1" s="1"/>
  <c r="EH91" i="39"/>
  <c r="EH93" i="39"/>
  <c r="EH43" i="39"/>
  <c r="EH45" i="39"/>
  <c r="EL77" i="39"/>
  <c r="EP77" i="39" s="1"/>
  <c r="EL79" i="39"/>
  <c r="EH133" i="39"/>
  <c r="EH131" i="39"/>
  <c r="EG87" i="82"/>
  <c r="EL99" i="82" s="1"/>
  <c r="DP108" i="3"/>
  <c r="EL28" i="82"/>
  <c r="EL69" i="2"/>
  <c r="EH36" i="2"/>
  <c r="EH34" i="2"/>
  <c r="EH48" i="2" s="1"/>
  <c r="EG123" i="82"/>
  <c r="EL135" i="82" s="1"/>
  <c r="EL134" i="82"/>
  <c r="EG50" i="1"/>
  <c r="EL37" i="1"/>
  <c r="EL194" i="1"/>
  <c r="EL279" i="1"/>
  <c r="EL280" i="1"/>
  <c r="EL70" i="2"/>
  <c r="EL64" i="2"/>
  <c r="EH32" i="82"/>
  <c r="EL31" i="82"/>
  <c r="DM92" i="3"/>
  <c r="DL92" i="3"/>
  <c r="DJ175" i="7"/>
  <c r="DM168" i="7"/>
  <c r="DM178" i="7" s="1"/>
  <c r="EH29" i="82"/>
  <c r="EG229" i="1"/>
  <c r="DI182" i="7"/>
  <c r="EG212" i="1"/>
  <c r="EG213" i="1" s="1"/>
  <c r="EH93" i="2"/>
  <c r="EG107" i="1"/>
  <c r="EH41" i="1"/>
  <c r="EH285" i="1"/>
  <c r="EH286" i="1"/>
  <c r="EH261" i="1"/>
  <c r="EH262" i="1"/>
  <c r="EH310" i="1"/>
  <c r="EH309" i="1"/>
  <c r="EG146" i="82"/>
  <c r="DI87" i="7"/>
  <c r="DI102" i="7"/>
  <c r="DI100" i="7"/>
  <c r="EG81" i="82"/>
  <c r="EL95" i="82" s="1"/>
  <c r="EG110" i="82"/>
  <c r="EL111" i="82" s="1"/>
  <c r="EG49" i="82"/>
  <c r="EG116" i="82"/>
  <c r="EL131" i="82" s="1"/>
  <c r="EG144" i="82"/>
  <c r="EL145" i="82" s="1"/>
  <c r="EG112" i="82"/>
  <c r="EM24" i="1" l="1"/>
  <c r="EM25" i="1" s="1"/>
  <c r="EM26" i="1" s="1"/>
  <c r="EH152" i="82"/>
  <c r="EH154" i="82" s="1"/>
  <c r="EH156" i="82" s="1"/>
  <c r="EH33" i="82"/>
  <c r="EG121" i="1"/>
  <c r="EL122" i="1" s="1"/>
  <c r="EM77" i="2"/>
  <c r="EG69" i="1"/>
  <c r="EH55" i="1"/>
  <c r="EG9" i="82"/>
  <c r="EG40" i="82" s="1"/>
  <c r="EG69" i="82" s="1"/>
  <c r="DQ108" i="3"/>
  <c r="EH50" i="2"/>
  <c r="EH42" i="2"/>
  <c r="EH37" i="2"/>
  <c r="DJ196" i="7"/>
  <c r="DJ197" i="7" s="1"/>
  <c r="DJ9" i="3"/>
  <c r="EH109" i="1"/>
  <c r="EL108" i="1"/>
  <c r="EL51" i="1"/>
  <c r="EG105" i="82"/>
  <c r="EG141" i="82"/>
  <c r="EM38" i="1" l="1"/>
  <c r="EH74" i="1"/>
  <c r="EG127" i="1"/>
  <c r="EL128" i="1" s="1"/>
  <c r="EL70" i="1"/>
  <c r="EG24" i="82"/>
  <c r="EG78" i="1"/>
  <c r="EG86" i="1"/>
  <c r="EG80" i="1"/>
  <c r="EG85" i="1"/>
  <c r="EG84" i="1"/>
  <c r="EG13" i="82"/>
  <c r="EG14" i="82" s="1"/>
  <c r="EG79" i="1"/>
  <c r="EG170" i="1"/>
  <c r="EL171" i="1" s="1"/>
  <c r="EL209" i="1" s="1"/>
  <c r="EG82" i="1"/>
  <c r="EG7" i="2"/>
  <c r="EH43" i="2"/>
  <c r="EM80" i="2" s="1"/>
  <c r="EM79" i="2"/>
  <c r="EM39" i="1"/>
  <c r="EM40" i="1" s="1"/>
  <c r="EM52" i="1"/>
  <c r="EM53" i="1" s="1"/>
  <c r="EM54" i="1" s="1"/>
  <c r="EH51" i="2"/>
  <c r="EM81" i="2"/>
  <c r="EM78" i="2"/>
  <c r="EG75" i="82"/>
  <c r="EL76" i="82" s="1"/>
  <c r="EL56" i="82"/>
  <c r="EG77" i="82"/>
  <c r="EG42" i="82"/>
  <c r="EG43" i="82" s="1"/>
  <c r="EG70" i="82" s="1"/>
  <c r="DJ19" i="3"/>
  <c r="EG134" i="1"/>
  <c r="EH173" i="1" l="1"/>
  <c r="EH210" i="1" s="1"/>
  <c r="EG136" i="1"/>
  <c r="DI72" i="3"/>
  <c r="DI76" i="3"/>
  <c r="EG133" i="1"/>
  <c r="EH26" i="82"/>
  <c r="EG9" i="2"/>
  <c r="EL25" i="82"/>
  <c r="EG183" i="1"/>
  <c r="EG208" i="1"/>
  <c r="EG216" i="1" s="1"/>
  <c r="EG225" i="1" s="1"/>
  <c r="EG137" i="2"/>
  <c r="EL138" i="2" s="1"/>
  <c r="EG143" i="2"/>
  <c r="EL144" i="2" s="1"/>
  <c r="EG81" i="1"/>
  <c r="EG83" i="1" s="1"/>
  <c r="EG87" i="1" s="1"/>
  <c r="EG130" i="2"/>
  <c r="EL131" i="2" s="1"/>
  <c r="EG133" i="2"/>
  <c r="EL134" i="2" s="1"/>
  <c r="EG140" i="2"/>
  <c r="EL141" i="2" s="1"/>
  <c r="EG203" i="1"/>
  <c r="EG191" i="1"/>
  <c r="EG197" i="1"/>
  <c r="EG175" i="1"/>
  <c r="EL176" i="1" s="1"/>
  <c r="EL61" i="2"/>
  <c r="DO20" i="3"/>
  <c r="EM82" i="2"/>
  <c r="EG167" i="82"/>
  <c r="EG187" i="82"/>
  <c r="EG146" i="2"/>
  <c r="EL147" i="2" s="1"/>
  <c r="DJ50" i="3"/>
  <c r="DJ77" i="3"/>
  <c r="DJ80" i="3"/>
  <c r="EG135" i="1"/>
  <c r="EG137" i="1" s="1"/>
  <c r="EG234" i="1" l="1"/>
  <c r="EH235" i="1"/>
  <c r="EH236" i="1" s="1"/>
  <c r="EG120" i="2"/>
  <c r="EL121" i="2" s="1"/>
  <c r="EG123" i="2"/>
  <c r="EL124" i="2" s="1"/>
  <c r="EG169" i="82"/>
  <c r="EG114" i="2"/>
  <c r="EL115" i="2" s="1"/>
  <c r="EG13" i="2"/>
  <c r="EL63" i="2"/>
  <c r="DI80" i="7"/>
  <c r="DI96" i="7" s="1"/>
  <c r="EG117" i="2"/>
  <c r="EL118" i="2" s="1"/>
  <c r="EG126" i="2"/>
  <c r="EL127" i="2" s="1"/>
  <c r="EL226" i="1"/>
  <c r="EL217" i="1"/>
  <c r="EL219" i="1" s="1"/>
  <c r="EI218" i="1"/>
  <c r="EG178" i="1"/>
  <c r="EH177" i="1"/>
  <c r="DJ83" i="3"/>
  <c r="DO88" i="3"/>
  <c r="EG150" i="2" l="1"/>
  <c r="EG166" i="2"/>
  <c r="EL167" i="2" s="1"/>
  <c r="EG27" i="2"/>
  <c r="EG32" i="2" s="1"/>
  <c r="DI104" i="7"/>
  <c r="EL65" i="2"/>
  <c r="DI92" i="7"/>
  <c r="DI172" i="7"/>
  <c r="DI82" i="7"/>
  <c r="DI73" i="7" s="1"/>
  <c r="DI83" i="7"/>
  <c r="DI98" i="7"/>
  <c r="DI89" i="7"/>
  <c r="DI91" i="7"/>
  <c r="DJ85" i="3"/>
  <c r="DI94" i="7"/>
  <c r="EL73" i="1"/>
  <c r="EL72" i="1" s="1"/>
  <c r="EL71" i="1" s="1"/>
  <c r="EL10" i="1" s="1"/>
  <c r="EL172" i="1"/>
  <c r="EL60" i="2"/>
  <c r="EL227" i="1"/>
  <c r="DJ100" i="3"/>
  <c r="DJ87" i="3"/>
  <c r="DO84" i="3"/>
  <c r="EL71" i="2"/>
  <c r="EG171" i="82"/>
  <c r="EG21" i="82"/>
  <c r="EG151" i="2"/>
  <c r="EG54" i="2"/>
  <c r="EG29" i="2"/>
  <c r="E94" i="112"/>
  <c r="V56" i="112" s="1"/>
  <c r="E74" i="112"/>
  <c r="E102" i="112" s="1"/>
  <c r="EG28" i="2" l="1"/>
  <c r="EL72" i="2" s="1"/>
  <c r="EG220" i="2"/>
  <c r="EG223" i="2" s="1"/>
  <c r="EG229" i="2" s="1"/>
  <c r="EG237" i="2" s="1"/>
  <c r="EG239" i="2" s="1"/>
  <c r="EG169" i="2"/>
  <c r="EL45" i="1"/>
  <c r="EL46" i="1" s="1"/>
  <c r="EL47" i="1" s="1"/>
  <c r="EL59" i="1"/>
  <c r="EL60" i="1" s="1"/>
  <c r="EL61" i="1" s="1"/>
  <c r="EL17" i="1"/>
  <c r="EL18" i="1" s="1"/>
  <c r="EL19" i="1" s="1"/>
  <c r="EL31" i="1"/>
  <c r="EL32" i="1" s="1"/>
  <c r="EL33" i="1" s="1"/>
  <c r="EL73" i="2"/>
  <c r="EL11" i="1"/>
  <c r="EL12" i="1" s="1"/>
  <c r="EL152" i="2"/>
  <c r="EG20" i="82"/>
  <c r="EG34" i="82"/>
  <c r="EH36" i="82" s="1"/>
  <c r="EG157" i="2"/>
  <c r="EL158" i="2" s="1"/>
  <c r="EG175" i="2"/>
  <c r="EL176" i="2" s="1"/>
  <c r="EG173" i="82"/>
  <c r="EG175" i="82" s="1"/>
  <c r="EG170" i="82"/>
  <c r="EG34" i="2"/>
  <c r="EG227" i="2"/>
  <c r="EG36" i="2"/>
  <c r="E96" i="112"/>
  <c r="E108" i="112"/>
  <c r="E90" i="112"/>
  <c r="E82" i="112"/>
  <c r="EE251" i="2"/>
  <c r="DG191" i="7"/>
  <c r="DG192" i="7" s="1"/>
  <c r="DH190" i="7"/>
  <c r="DH189" i="7"/>
  <c r="DH188" i="7"/>
  <c r="DH187" i="7"/>
  <c r="DH186" i="7"/>
  <c r="DH185" i="7"/>
  <c r="DH184" i="7"/>
  <c r="DG135" i="7"/>
  <c r="DG133" i="7"/>
  <c r="DG132" i="7"/>
  <c r="DG131" i="7"/>
  <c r="DG130" i="7"/>
  <c r="DG129" i="7"/>
  <c r="DG125" i="7"/>
  <c r="DG123" i="7"/>
  <c r="DG122" i="7"/>
  <c r="DG121" i="7"/>
  <c r="DG120" i="7"/>
  <c r="DG119" i="7"/>
  <c r="DH115" i="7"/>
  <c r="DI135" i="7" s="1"/>
  <c r="DG114" i="7"/>
  <c r="DG116" i="7" s="1"/>
  <c r="DH113" i="7"/>
  <c r="DI133" i="7" s="1"/>
  <c r="DH112" i="7"/>
  <c r="DI132" i="7" s="1"/>
  <c r="DH111" i="7"/>
  <c r="DI131" i="7" s="1"/>
  <c r="DH110" i="7"/>
  <c r="DI130" i="7" s="1"/>
  <c r="DH109" i="7"/>
  <c r="DI129" i="7" s="1"/>
  <c r="EE18" i="148"/>
  <c r="EE17" i="148"/>
  <c r="DZ21" i="148"/>
  <c r="EE21" i="148"/>
  <c r="EF21" i="148" s="1"/>
  <c r="EE14" i="148"/>
  <c r="EE13" i="148"/>
  <c r="EL170" i="2" l="1"/>
  <c r="EG154" i="2"/>
  <c r="EL155" i="2" s="1"/>
  <c r="EG172" i="2"/>
  <c r="EL173" i="2" s="1"/>
  <c r="EL24" i="1"/>
  <c r="EL25" i="1" s="1"/>
  <c r="EL26" i="1" s="1"/>
  <c r="DI196" i="7"/>
  <c r="EL77" i="2"/>
  <c r="DI9" i="3"/>
  <c r="EG160" i="2"/>
  <c r="EG42" i="2"/>
  <c r="EL79" i="2" s="1"/>
  <c r="EG37" i="2"/>
  <c r="EG178" i="2"/>
  <c r="EG238" i="2"/>
  <c r="EG233" i="2"/>
  <c r="EG228" i="2"/>
  <c r="EG217" i="2"/>
  <c r="EG48" i="2"/>
  <c r="EG50" i="2" s="1"/>
  <c r="EG152" i="82"/>
  <c r="EG33" i="82"/>
  <c r="DH191" i="7"/>
  <c r="DH114" i="7"/>
  <c r="DI134" i="7" s="1"/>
  <c r="DI180" i="7" s="1"/>
  <c r="DI181" i="7" s="1"/>
  <c r="EL38" i="1" l="1"/>
  <c r="EL52" i="1" s="1"/>
  <c r="EL53" i="1" s="1"/>
  <c r="EL54" i="1" s="1"/>
  <c r="EL81" i="2"/>
  <c r="DI19" i="3"/>
  <c r="EL39" i="1"/>
  <c r="EL40" i="1" s="1"/>
  <c r="EL78" i="2"/>
  <c r="DH116" i="7"/>
  <c r="DI136" i="7" s="1"/>
  <c r="EG51" i="2"/>
  <c r="EG176" i="82"/>
  <c r="EG240" i="2"/>
  <c r="EG241" i="2"/>
  <c r="EL242" i="2" s="1"/>
  <c r="EG43" i="2"/>
  <c r="EL80" i="2" s="1"/>
  <c r="EG154" i="82"/>
  <c r="EG156" i="82" s="1"/>
  <c r="EG157" i="82" s="1"/>
  <c r="EG189" i="82" s="1"/>
  <c r="EG188" i="82"/>
  <c r="DI50" i="3" l="1"/>
  <c r="DI80" i="3"/>
  <c r="DI83" i="3" s="1"/>
  <c r="DI77" i="3"/>
  <c r="EL82" i="2"/>
  <c r="AQ168" i="1"/>
  <c r="AQ206" i="1" s="1"/>
  <c r="AR168" i="1"/>
  <c r="AR206" i="1" s="1"/>
  <c r="AS168" i="1"/>
  <c r="AS206" i="1" s="1"/>
  <c r="AT168" i="1"/>
  <c r="AT206" i="1" s="1"/>
  <c r="AU168" i="1"/>
  <c r="AU206" i="1" s="1"/>
  <c r="AV168" i="1"/>
  <c r="AV206" i="1" s="1"/>
  <c r="AX168" i="1"/>
  <c r="AX206" i="1" s="1"/>
  <c r="AY168" i="1"/>
  <c r="AY206" i="1" s="1"/>
  <c r="AZ168" i="1"/>
  <c r="AZ206" i="1" s="1"/>
  <c r="BA168" i="1"/>
  <c r="BA206" i="1" s="1"/>
  <c r="BB168" i="1"/>
  <c r="BB206" i="1" s="1"/>
  <c r="BC168" i="1"/>
  <c r="BC206" i="1" s="1"/>
  <c r="BD168" i="1"/>
  <c r="BD206" i="1" s="1"/>
  <c r="BE168" i="1"/>
  <c r="BE206" i="1" s="1"/>
  <c r="BF168" i="1"/>
  <c r="BF206" i="1" s="1"/>
  <c r="BG168" i="1"/>
  <c r="BG206" i="1" s="1"/>
  <c r="BH168" i="1"/>
  <c r="BH206" i="1" s="1"/>
  <c r="BI168" i="1"/>
  <c r="BI206" i="1" s="1"/>
  <c r="BJ168" i="1"/>
  <c r="BJ206" i="1" s="1"/>
  <c r="BK168" i="1"/>
  <c r="BK206" i="1" s="1"/>
  <c r="BL168" i="1"/>
  <c r="BL206" i="1" s="1"/>
  <c r="BM168" i="1"/>
  <c r="BM206" i="1" s="1"/>
  <c r="BN168" i="1"/>
  <c r="BN206" i="1" s="1"/>
  <c r="BT168" i="1"/>
  <c r="BU168" i="1"/>
  <c r="BV168" i="1"/>
  <c r="BW168" i="1"/>
  <c r="BX168" i="1"/>
  <c r="CD168" i="1"/>
  <c r="CE168" i="1"/>
  <c r="CF168" i="1"/>
  <c r="CG168" i="1"/>
  <c r="CH168" i="1"/>
  <c r="CI168" i="1"/>
  <c r="CJ168" i="1"/>
  <c r="CK168" i="1"/>
  <c r="CL168" i="1"/>
  <c r="CM168" i="1"/>
  <c r="CN168" i="1"/>
  <c r="CO168" i="1"/>
  <c r="CP168" i="1"/>
  <c r="CQ168" i="1"/>
  <c r="CR168" i="1"/>
  <c r="A170" i="1"/>
  <c r="A172" i="1"/>
  <c r="BO172" i="1"/>
  <c r="BP172" i="1"/>
  <c r="BQ172" i="1"/>
  <c r="BR172" i="1"/>
  <c r="BS172" i="1"/>
  <c r="BY172" i="1"/>
  <c r="BZ172" i="1"/>
  <c r="CA172" i="1"/>
  <c r="CB172" i="1"/>
  <c r="CC172" i="1"/>
  <c r="AD175" i="1"/>
  <c r="BF175" i="1"/>
  <c r="BF177" i="1" s="1"/>
  <c r="CM175" i="1"/>
  <c r="AC176" i="1"/>
  <c r="AF176" i="1"/>
  <c r="AG176" i="1"/>
  <c r="AH176" i="1"/>
  <c r="BD176" i="1"/>
  <c r="AB177" i="1"/>
  <c r="AC177" i="1"/>
  <c r="AG177" i="1"/>
  <c r="AH177" i="1"/>
  <c r="CJ177" i="1"/>
  <c r="CK177" i="1"/>
  <c r="CL177" i="1"/>
  <c r="AA179" i="1"/>
  <c r="AB179" i="1"/>
  <c r="AC182" i="1" s="1"/>
  <c r="AF179" i="1"/>
  <c r="AG179" i="1"/>
  <c r="AH179" i="1"/>
  <c r="AJ179" i="1"/>
  <c r="AK179" i="1"/>
  <c r="AL179" i="1"/>
  <c r="AM179" i="1"/>
  <c r="AO179" i="1"/>
  <c r="AP179" i="1"/>
  <c r="AQ179" i="1"/>
  <c r="AR179" i="1"/>
  <c r="AT179" i="1"/>
  <c r="AU179" i="1"/>
  <c r="AV179" i="1"/>
  <c r="AW179" i="1"/>
  <c r="AY179" i="1"/>
  <c r="AZ179" i="1"/>
  <c r="BA179" i="1"/>
  <c r="BB179" i="1"/>
  <c r="BD179" i="1"/>
  <c r="BE179" i="1"/>
  <c r="BF179" i="1"/>
  <c r="BG179" i="1"/>
  <c r="BH179" i="1"/>
  <c r="BJ179" i="1"/>
  <c r="BK179" i="1"/>
  <c r="BL179" i="1"/>
  <c r="BM179" i="1"/>
  <c r="BT179" i="1"/>
  <c r="BU179" i="1"/>
  <c r="BV179" i="1"/>
  <c r="BW179" i="1"/>
  <c r="CD179" i="1"/>
  <c r="CE179" i="1"/>
  <c r="CF179" i="1"/>
  <c r="CG179" i="1"/>
  <c r="CN179" i="1"/>
  <c r="CO179" i="1"/>
  <c r="CP179" i="1"/>
  <c r="CQ179" i="1"/>
  <c r="CS179" i="1"/>
  <c r="CS196" i="1" s="1"/>
  <c r="CT179" i="1"/>
  <c r="CT190" i="1" s="1"/>
  <c r="CU179" i="1"/>
  <c r="CU190" i="1" s="1"/>
  <c r="CV179" i="1"/>
  <c r="CV196" i="1" s="1"/>
  <c r="CX179" i="1"/>
  <c r="CX190" i="1" s="1"/>
  <c r="CY179" i="1"/>
  <c r="CZ179" i="1"/>
  <c r="CZ204" i="1" s="1"/>
  <c r="DA179" i="1"/>
  <c r="DF179" i="1"/>
  <c r="DF204" i="1" s="1"/>
  <c r="DH179" i="1"/>
  <c r="DH190" i="1" s="1"/>
  <c r="DI179" i="1"/>
  <c r="DI202" i="1" s="1"/>
  <c r="DJ179" i="1"/>
  <c r="DJ196" i="1" s="1"/>
  <c r="DK179" i="1"/>
  <c r="DK196" i="1" s="1"/>
  <c r="DM179" i="1"/>
  <c r="DM196" i="1" s="1"/>
  <c r="DN179" i="1"/>
  <c r="DO179" i="1"/>
  <c r="DO202" i="1" s="1"/>
  <c r="DP179" i="1"/>
  <c r="DP196" i="1" s="1"/>
  <c r="DR179" i="1"/>
  <c r="DR190" i="1" s="1"/>
  <c r="DS179" i="1"/>
  <c r="DS190" i="1" s="1"/>
  <c r="DT179" i="1"/>
  <c r="DU179" i="1"/>
  <c r="DU202" i="1" s="1"/>
  <c r="DW179" i="1"/>
  <c r="DX179" i="1"/>
  <c r="DX204" i="1" s="1"/>
  <c r="DY179" i="1"/>
  <c r="DZ179" i="1"/>
  <c r="DZ190" i="1" s="1"/>
  <c r="EB179" i="1"/>
  <c r="EB196" i="1" s="1"/>
  <c r="EC179" i="1"/>
  <c r="EC204" i="1" s="1"/>
  <c r="ED179" i="1"/>
  <c r="EE179" i="1"/>
  <c r="AC180" i="1"/>
  <c r="Q183" i="1"/>
  <c r="R183" i="1"/>
  <c r="S183" i="1"/>
  <c r="T183" i="1"/>
  <c r="V183" i="1"/>
  <c r="W183" i="1"/>
  <c r="Y183" i="1"/>
  <c r="BC183" i="1"/>
  <c r="CM184" i="1"/>
  <c r="CN184" i="1"/>
  <c r="CO184" i="1"/>
  <c r="CP184" i="1"/>
  <c r="CQ184" i="1"/>
  <c r="DB184" i="1"/>
  <c r="DG184" i="1"/>
  <c r="DH184" i="1"/>
  <c r="DK184" i="1"/>
  <c r="DL184" i="1"/>
  <c r="DM184" i="1"/>
  <c r="DN184" i="1"/>
  <c r="DO184" i="1"/>
  <c r="DP184" i="1"/>
  <c r="DR184" i="1"/>
  <c r="DS184" i="1"/>
  <c r="DT184" i="1"/>
  <c r="DU184" i="1"/>
  <c r="DW184" i="1"/>
  <c r="DX184" i="1"/>
  <c r="DY184" i="1"/>
  <c r="DZ184" i="1"/>
  <c r="EB184" i="1"/>
  <c r="EC184" i="1"/>
  <c r="ED184" i="1"/>
  <c r="EE184" i="1"/>
  <c r="CW186" i="1"/>
  <c r="CW240" i="1" s="1"/>
  <c r="DB186" i="1"/>
  <c r="DB240" i="1" s="1"/>
  <c r="DG186" i="1"/>
  <c r="DL186" i="1"/>
  <c r="DL240" i="1" s="1"/>
  <c r="DQ186" i="1"/>
  <c r="DV186" i="1"/>
  <c r="DV240" i="1" s="1"/>
  <c r="EA186" i="1"/>
  <c r="EA240" i="1" s="1"/>
  <c r="EF186" i="1"/>
  <c r="EF240" i="1" s="1"/>
  <c r="CX187" i="1"/>
  <c r="CX241" i="1" s="1"/>
  <c r="CY187" i="1"/>
  <c r="CY241" i="1" s="1"/>
  <c r="CZ187" i="1"/>
  <c r="CZ241" i="1" s="1"/>
  <c r="DA187" i="1"/>
  <c r="DA241" i="1" s="1"/>
  <c r="DC187" i="1"/>
  <c r="DC241" i="1" s="1"/>
  <c r="DD187" i="1"/>
  <c r="DD241" i="1" s="1"/>
  <c r="DE187" i="1"/>
  <c r="DE241" i="1" s="1"/>
  <c r="DF187" i="1"/>
  <c r="DF241" i="1" s="1"/>
  <c r="DH187" i="1"/>
  <c r="DH241" i="1" s="1"/>
  <c r="DI187" i="1"/>
  <c r="DI241" i="1" s="1"/>
  <c r="DJ187" i="1"/>
  <c r="DJ241" i="1" s="1"/>
  <c r="DK187" i="1"/>
  <c r="DK241" i="1" s="1"/>
  <c r="DM187" i="1"/>
  <c r="DM241" i="1" s="1"/>
  <c r="DN187" i="1"/>
  <c r="DN241" i="1" s="1"/>
  <c r="DO187" i="1"/>
  <c r="DO241" i="1" s="1"/>
  <c r="DP187" i="1"/>
  <c r="DP241" i="1" s="1"/>
  <c r="DR187" i="1"/>
  <c r="DR241" i="1" s="1"/>
  <c r="DS187" i="1"/>
  <c r="DS241" i="1" s="1"/>
  <c r="DT187" i="1"/>
  <c r="DT241" i="1" s="1"/>
  <c r="DU187" i="1"/>
  <c r="DU241" i="1" s="1"/>
  <c r="DW187" i="1"/>
  <c r="DW241" i="1" s="1"/>
  <c r="DX187" i="1"/>
  <c r="DX241" i="1" s="1"/>
  <c r="DY187" i="1"/>
  <c r="DY241" i="1" s="1"/>
  <c r="DZ187" i="1"/>
  <c r="DZ241" i="1" s="1"/>
  <c r="EB187" i="1"/>
  <c r="EB241" i="1" s="1"/>
  <c r="EC187" i="1"/>
  <c r="EC241" i="1" s="1"/>
  <c r="ED187" i="1"/>
  <c r="ED241" i="1" s="1"/>
  <c r="EE187" i="1"/>
  <c r="EE241" i="1" s="1"/>
  <c r="CT189" i="1"/>
  <c r="CT242" i="1" s="1"/>
  <c r="CU189" i="1"/>
  <c r="CU242" i="1" s="1"/>
  <c r="CV189" i="1"/>
  <c r="CV242" i="1" s="1"/>
  <c r="CX189" i="1"/>
  <c r="CX242" i="1" s="1"/>
  <c r="CY189" i="1"/>
  <c r="CY242" i="1" s="1"/>
  <c r="CZ189" i="1"/>
  <c r="CZ242" i="1" s="1"/>
  <c r="DA189" i="1"/>
  <c r="DA242" i="1" s="1"/>
  <c r="DC189" i="1"/>
  <c r="DC242" i="1" s="1"/>
  <c r="DD189" i="1"/>
  <c r="DD242" i="1" s="1"/>
  <c r="DE189" i="1"/>
  <c r="DE242" i="1" s="1"/>
  <c r="DF189" i="1"/>
  <c r="DF242" i="1" s="1"/>
  <c r="DH189" i="1"/>
  <c r="DH242" i="1" s="1"/>
  <c r="DI189" i="1"/>
  <c r="DI242" i="1" s="1"/>
  <c r="DJ189" i="1"/>
  <c r="DJ242" i="1" s="1"/>
  <c r="DK189" i="1"/>
  <c r="DK242" i="1" s="1"/>
  <c r="DM189" i="1"/>
  <c r="DM242" i="1" s="1"/>
  <c r="DN189" i="1"/>
  <c r="DN242" i="1" s="1"/>
  <c r="DO189" i="1"/>
  <c r="DO242" i="1" s="1"/>
  <c r="DP189" i="1"/>
  <c r="DP242" i="1" s="1"/>
  <c r="DR189" i="1"/>
  <c r="DR242" i="1" s="1"/>
  <c r="DS189" i="1"/>
  <c r="DS242" i="1" s="1"/>
  <c r="DT189" i="1"/>
  <c r="DT242" i="1" s="1"/>
  <c r="DU189" i="1"/>
  <c r="DU242" i="1" s="1"/>
  <c r="DW189" i="1"/>
  <c r="DW242" i="1" s="1"/>
  <c r="DX189" i="1"/>
  <c r="DX242" i="1" s="1"/>
  <c r="DY189" i="1"/>
  <c r="DY242" i="1" s="1"/>
  <c r="DZ189" i="1"/>
  <c r="DZ242" i="1" s="1"/>
  <c r="EB189" i="1"/>
  <c r="EB242" i="1" s="1"/>
  <c r="EC189" i="1"/>
  <c r="EC242" i="1" s="1"/>
  <c r="ED189" i="1"/>
  <c r="ED242" i="1" s="1"/>
  <c r="EE189" i="1"/>
  <c r="EE242" i="1" s="1"/>
  <c r="CW192" i="1"/>
  <c r="CW264" i="1" s="1"/>
  <c r="DB192" i="1"/>
  <c r="DB264" i="1" s="1"/>
  <c r="DG192" i="1"/>
  <c r="DG264" i="1" s="1"/>
  <c r="DL192" i="1"/>
  <c r="DL264" i="1" s="1"/>
  <c r="DQ192" i="1"/>
  <c r="DQ264" i="1" s="1"/>
  <c r="DV192" i="1"/>
  <c r="DV264" i="1" s="1"/>
  <c r="EA192" i="1"/>
  <c r="EA264" i="1" s="1"/>
  <c r="EF192" i="1"/>
  <c r="EF264" i="1" s="1"/>
  <c r="CX193" i="1"/>
  <c r="CX265" i="1" s="1"/>
  <c r="CY193" i="1"/>
  <c r="CY265" i="1" s="1"/>
  <c r="CZ193" i="1"/>
  <c r="CZ265" i="1" s="1"/>
  <c r="DA193" i="1"/>
  <c r="DA265" i="1" s="1"/>
  <c r="DC193" i="1"/>
  <c r="DC265" i="1" s="1"/>
  <c r="DD193" i="1"/>
  <c r="DD265" i="1" s="1"/>
  <c r="DE193" i="1"/>
  <c r="DE265" i="1" s="1"/>
  <c r="DF193" i="1"/>
  <c r="DF265" i="1" s="1"/>
  <c r="DH193" i="1"/>
  <c r="DH265" i="1" s="1"/>
  <c r="DI193" i="1"/>
  <c r="DI265" i="1" s="1"/>
  <c r="DJ193" i="1"/>
  <c r="DJ265" i="1" s="1"/>
  <c r="DK193" i="1"/>
  <c r="DK265" i="1" s="1"/>
  <c r="DM193" i="1"/>
  <c r="DM265" i="1" s="1"/>
  <c r="DN193" i="1"/>
  <c r="DN265" i="1" s="1"/>
  <c r="DO193" i="1"/>
  <c r="DO265" i="1" s="1"/>
  <c r="DP193" i="1"/>
  <c r="DP265" i="1" s="1"/>
  <c r="DR193" i="1"/>
  <c r="DR265" i="1" s="1"/>
  <c r="DS193" i="1"/>
  <c r="DS265" i="1" s="1"/>
  <c r="DT193" i="1"/>
  <c r="DT265" i="1" s="1"/>
  <c r="DU193" i="1"/>
  <c r="DU265" i="1" s="1"/>
  <c r="DW193" i="1"/>
  <c r="DW265" i="1" s="1"/>
  <c r="DX193" i="1"/>
  <c r="DX265" i="1" s="1"/>
  <c r="DY193" i="1"/>
  <c r="DY265" i="1" s="1"/>
  <c r="DZ193" i="1"/>
  <c r="DZ265" i="1" s="1"/>
  <c r="EB193" i="1"/>
  <c r="EB265" i="1" s="1"/>
  <c r="EC193" i="1"/>
  <c r="EC265" i="1" s="1"/>
  <c r="ED193" i="1"/>
  <c r="ED265" i="1" s="1"/>
  <c r="EE193" i="1"/>
  <c r="EE265" i="1" s="1"/>
  <c r="CT195" i="1"/>
  <c r="CT266" i="1" s="1"/>
  <c r="CU195" i="1"/>
  <c r="CU266" i="1" s="1"/>
  <c r="CV195" i="1"/>
  <c r="CV266" i="1" s="1"/>
  <c r="CX195" i="1"/>
  <c r="CX266" i="1" s="1"/>
  <c r="CY195" i="1"/>
  <c r="CY266" i="1" s="1"/>
  <c r="CZ195" i="1"/>
  <c r="CZ266" i="1" s="1"/>
  <c r="DA195" i="1"/>
  <c r="DA266" i="1" s="1"/>
  <c r="DC195" i="1"/>
  <c r="DC266" i="1" s="1"/>
  <c r="DD195" i="1"/>
  <c r="DD266" i="1" s="1"/>
  <c r="DE195" i="1"/>
  <c r="DE266" i="1" s="1"/>
  <c r="DF195" i="1"/>
  <c r="DF266" i="1" s="1"/>
  <c r="DH195" i="1"/>
  <c r="DH266" i="1" s="1"/>
  <c r="DI195" i="1"/>
  <c r="DI266" i="1" s="1"/>
  <c r="DJ195" i="1"/>
  <c r="DJ266" i="1" s="1"/>
  <c r="DK195" i="1"/>
  <c r="DK266" i="1" s="1"/>
  <c r="DM195" i="1"/>
  <c r="DM266" i="1" s="1"/>
  <c r="DN195" i="1"/>
  <c r="DN266" i="1" s="1"/>
  <c r="DO195" i="1"/>
  <c r="DO266" i="1" s="1"/>
  <c r="DP195" i="1"/>
  <c r="DP266" i="1" s="1"/>
  <c r="DR195" i="1"/>
  <c r="DR266" i="1" s="1"/>
  <c r="DS195" i="1"/>
  <c r="DS266" i="1" s="1"/>
  <c r="DT195" i="1"/>
  <c r="DT266" i="1" s="1"/>
  <c r="DU195" i="1"/>
  <c r="DU266" i="1" s="1"/>
  <c r="DW195" i="1"/>
  <c r="DW266" i="1" s="1"/>
  <c r="DX195" i="1"/>
  <c r="DX266" i="1" s="1"/>
  <c r="DY195" i="1"/>
  <c r="DY266" i="1" s="1"/>
  <c r="DZ195" i="1"/>
  <c r="DZ266" i="1" s="1"/>
  <c r="EB195" i="1"/>
  <c r="EB266" i="1" s="1"/>
  <c r="EC195" i="1"/>
  <c r="EC266" i="1" s="1"/>
  <c r="ED195" i="1"/>
  <c r="ED266" i="1" s="1"/>
  <c r="EE195" i="1"/>
  <c r="EE266" i="1" s="1"/>
  <c r="CW198" i="1"/>
  <c r="CW288" i="1" s="1"/>
  <c r="DB198" i="1"/>
  <c r="DB288" i="1" s="1"/>
  <c r="DG198" i="1"/>
  <c r="DG288" i="1" s="1"/>
  <c r="DL198" i="1"/>
  <c r="DL288" i="1" s="1"/>
  <c r="DQ198" i="1"/>
  <c r="DQ288" i="1" s="1"/>
  <c r="DV198" i="1"/>
  <c r="DV288" i="1" s="1"/>
  <c r="EA198" i="1"/>
  <c r="EA288" i="1" s="1"/>
  <c r="EF198" i="1"/>
  <c r="EF288" i="1" s="1"/>
  <c r="CX199" i="1"/>
  <c r="CX289" i="1" s="1"/>
  <c r="CY199" i="1"/>
  <c r="CY289" i="1" s="1"/>
  <c r="CZ199" i="1"/>
  <c r="CZ289" i="1" s="1"/>
  <c r="DA199" i="1"/>
  <c r="DA289" i="1" s="1"/>
  <c r="DC199" i="1"/>
  <c r="DC289" i="1" s="1"/>
  <c r="DD199" i="1"/>
  <c r="DD289" i="1" s="1"/>
  <c r="DE199" i="1"/>
  <c r="DE289" i="1" s="1"/>
  <c r="DF199" i="1"/>
  <c r="DF289" i="1" s="1"/>
  <c r="DH199" i="1"/>
  <c r="DH289" i="1" s="1"/>
  <c r="DI199" i="1"/>
  <c r="DI289" i="1" s="1"/>
  <c r="DJ199" i="1"/>
  <c r="DJ289" i="1" s="1"/>
  <c r="DK199" i="1"/>
  <c r="DK289" i="1" s="1"/>
  <c r="DM199" i="1"/>
  <c r="DM289" i="1" s="1"/>
  <c r="DN199" i="1"/>
  <c r="DN289" i="1" s="1"/>
  <c r="DO199" i="1"/>
  <c r="DO289" i="1" s="1"/>
  <c r="DP199" i="1"/>
  <c r="DP289" i="1" s="1"/>
  <c r="DR199" i="1"/>
  <c r="DR289" i="1" s="1"/>
  <c r="DS199" i="1"/>
  <c r="DS289" i="1" s="1"/>
  <c r="DT199" i="1"/>
  <c r="DT289" i="1" s="1"/>
  <c r="DU199" i="1"/>
  <c r="DU289" i="1" s="1"/>
  <c r="DW199" i="1"/>
  <c r="DW289" i="1" s="1"/>
  <c r="DX199" i="1"/>
  <c r="DX289" i="1" s="1"/>
  <c r="DY199" i="1"/>
  <c r="DY289" i="1" s="1"/>
  <c r="DZ199" i="1"/>
  <c r="DZ289" i="1" s="1"/>
  <c r="EB199" i="1"/>
  <c r="EB289" i="1" s="1"/>
  <c r="EC199" i="1"/>
  <c r="EC289" i="1" s="1"/>
  <c r="ED199" i="1"/>
  <c r="ED289" i="1" s="1"/>
  <c r="EE199" i="1"/>
  <c r="EE289" i="1" s="1"/>
  <c r="CT201" i="1"/>
  <c r="CT290" i="1" s="1"/>
  <c r="CU201" i="1"/>
  <c r="CU290" i="1" s="1"/>
  <c r="CV201" i="1"/>
  <c r="CV290" i="1" s="1"/>
  <c r="CX201" i="1"/>
  <c r="CX290" i="1" s="1"/>
  <c r="CY201" i="1"/>
  <c r="CY290" i="1" s="1"/>
  <c r="CZ201" i="1"/>
  <c r="CZ290" i="1" s="1"/>
  <c r="DA201" i="1"/>
  <c r="DA290" i="1" s="1"/>
  <c r="DC201" i="1"/>
  <c r="DC290" i="1" s="1"/>
  <c r="DD201" i="1"/>
  <c r="DD290" i="1" s="1"/>
  <c r="DE201" i="1"/>
  <c r="DE290" i="1" s="1"/>
  <c r="DF201" i="1"/>
  <c r="DF290" i="1" s="1"/>
  <c r="DH201" i="1"/>
  <c r="DH290" i="1" s="1"/>
  <c r="DI201" i="1"/>
  <c r="DI290" i="1" s="1"/>
  <c r="DJ201" i="1"/>
  <c r="DJ290" i="1" s="1"/>
  <c r="DK201" i="1"/>
  <c r="DK290" i="1" s="1"/>
  <c r="DM201" i="1"/>
  <c r="DM290" i="1" s="1"/>
  <c r="DN201" i="1"/>
  <c r="DN290" i="1" s="1"/>
  <c r="DO201" i="1"/>
  <c r="DO290" i="1" s="1"/>
  <c r="DP201" i="1"/>
  <c r="DP290" i="1" s="1"/>
  <c r="DR201" i="1"/>
  <c r="DR290" i="1" s="1"/>
  <c r="DS201" i="1"/>
  <c r="DS290" i="1" s="1"/>
  <c r="DT201" i="1"/>
  <c r="DT290" i="1" s="1"/>
  <c r="DU201" i="1"/>
  <c r="DU290" i="1" s="1"/>
  <c r="DW201" i="1"/>
  <c r="DW290" i="1" s="1"/>
  <c r="DX201" i="1"/>
  <c r="DX290" i="1" s="1"/>
  <c r="DY201" i="1"/>
  <c r="DY290" i="1" s="1"/>
  <c r="DZ201" i="1"/>
  <c r="DZ290" i="1" s="1"/>
  <c r="EB201" i="1"/>
  <c r="EB290" i="1" s="1"/>
  <c r="EC201" i="1"/>
  <c r="EC290" i="1" s="1"/>
  <c r="ED201" i="1"/>
  <c r="ED290" i="1" s="1"/>
  <c r="EE201" i="1"/>
  <c r="EE290" i="1" s="1"/>
  <c r="AF206" i="1"/>
  <c r="AG206" i="1"/>
  <c r="AH206" i="1"/>
  <c r="AI206" i="1"/>
  <c r="AJ206" i="1"/>
  <c r="AK206" i="1"/>
  <c r="AL206" i="1"/>
  <c r="AM206" i="1"/>
  <c r="AN206" i="1"/>
  <c r="AO206" i="1"/>
  <c r="AP206" i="1"/>
  <c r="BT206" i="1"/>
  <c r="BU206" i="1"/>
  <c r="BV206" i="1"/>
  <c r="BW206" i="1"/>
  <c r="BX206" i="1"/>
  <c r="CD206" i="1"/>
  <c r="CE206" i="1"/>
  <c r="CF206" i="1"/>
  <c r="CG206" i="1"/>
  <c r="CH206" i="1"/>
  <c r="CI206" i="1"/>
  <c r="CJ206" i="1"/>
  <c r="CK206" i="1"/>
  <c r="CL206" i="1"/>
  <c r="CM206" i="1"/>
  <c r="CN206" i="1"/>
  <c r="CO206" i="1"/>
  <c r="CP206" i="1"/>
  <c r="CQ206" i="1"/>
  <c r="CR206" i="1"/>
  <c r="AO212" i="1"/>
  <c r="AS212" i="1"/>
  <c r="AY212" i="1"/>
  <c r="AZ212" i="1"/>
  <c r="BI212" i="1"/>
  <c r="BL212" i="1"/>
  <c r="BN212" i="1" s="1"/>
  <c r="BX212" i="1"/>
  <c r="CH212" i="1"/>
  <c r="CJ212" i="1"/>
  <c r="CK212" i="1"/>
  <c r="CL212" i="1"/>
  <c r="CN212" i="1"/>
  <c r="CO212" i="1"/>
  <c r="CP212" i="1"/>
  <c r="CQ212" i="1"/>
  <c r="CS212" i="1"/>
  <c r="CT212" i="1"/>
  <c r="CU212" i="1"/>
  <c r="CV212" i="1"/>
  <c r="CX212" i="1"/>
  <c r="CY212" i="1"/>
  <c r="CZ212" i="1"/>
  <c r="DA212" i="1"/>
  <c r="DC212" i="1"/>
  <c r="DD212" i="1"/>
  <c r="DE212" i="1"/>
  <c r="DF212" i="1"/>
  <c r="DH212" i="1"/>
  <c r="DI212" i="1"/>
  <c r="DJ212" i="1"/>
  <c r="DK212" i="1"/>
  <c r="DM212" i="1"/>
  <c r="DN212" i="1"/>
  <c r="DO212" i="1"/>
  <c r="DP212" i="1"/>
  <c r="DR212" i="1"/>
  <c r="DS212" i="1"/>
  <c r="DT212" i="1"/>
  <c r="AY214" i="1"/>
  <c r="BD214" i="1"/>
  <c r="BI214" i="1"/>
  <c r="BN214" i="1"/>
  <c r="BX214" i="1"/>
  <c r="CH214" i="1"/>
  <c r="CK214" i="1"/>
  <c r="CL214" i="1"/>
  <c r="CN214" i="1"/>
  <c r="CO214" i="1"/>
  <c r="CP214" i="1"/>
  <c r="CQ214" i="1"/>
  <c r="CS214" i="1"/>
  <c r="CT214" i="1"/>
  <c r="CU214" i="1"/>
  <c r="CV214" i="1"/>
  <c r="CX214" i="1"/>
  <c r="CY214" i="1"/>
  <c r="CZ214" i="1"/>
  <c r="DA214" i="1"/>
  <c r="DC214" i="1"/>
  <c r="DD214" i="1"/>
  <c r="DE214" i="1"/>
  <c r="DF214" i="1"/>
  <c r="DH214" i="1"/>
  <c r="DI214" i="1"/>
  <c r="DJ214" i="1"/>
  <c r="DK214" i="1"/>
  <c r="DM214" i="1"/>
  <c r="DN214" i="1"/>
  <c r="DO214" i="1"/>
  <c r="DP214" i="1"/>
  <c r="DR214" i="1"/>
  <c r="DS214" i="1"/>
  <c r="DT214" i="1"/>
  <c r="DU214" i="1"/>
  <c r="DW214" i="1"/>
  <c r="DX214" i="1"/>
  <c r="DY214" i="1"/>
  <c r="DZ214" i="1"/>
  <c r="EB214" i="1"/>
  <c r="EC214" i="1"/>
  <c r="ED214" i="1"/>
  <c r="EE214" i="1"/>
  <c r="AX215" i="1"/>
  <c r="BA215" i="1"/>
  <c r="BB215" i="1"/>
  <c r="AW229" i="1"/>
  <c r="AZ229" i="1"/>
  <c r="BL229" i="1"/>
  <c r="CJ229" i="1"/>
  <c r="CK229" i="1"/>
  <c r="CL229" i="1"/>
  <c r="CN229" i="1"/>
  <c r="CO229" i="1"/>
  <c r="CP229" i="1"/>
  <c r="CQ229" i="1"/>
  <c r="CS229" i="1"/>
  <c r="CT229" i="1"/>
  <c r="CU229" i="1"/>
  <c r="CV229" i="1"/>
  <c r="CX229" i="1"/>
  <c r="CY229" i="1"/>
  <c r="CZ229" i="1"/>
  <c r="DA229" i="1"/>
  <c r="DC229" i="1"/>
  <c r="DD229" i="1"/>
  <c r="DE229" i="1"/>
  <c r="DF229" i="1"/>
  <c r="DH229" i="1"/>
  <c r="DI229" i="1"/>
  <c r="DJ229" i="1"/>
  <c r="DK229" i="1"/>
  <c r="DM229" i="1"/>
  <c r="DN229" i="1"/>
  <c r="DO229" i="1"/>
  <c r="DP229" i="1"/>
  <c r="DR229" i="1"/>
  <c r="DS229" i="1"/>
  <c r="DT229" i="1"/>
  <c r="A238" i="1"/>
  <c r="B238" i="1"/>
  <c r="C238" i="1"/>
  <c r="D238" i="1"/>
  <c r="E238" i="1"/>
  <c r="F238" i="1"/>
  <c r="G238" i="1"/>
  <c r="H238" i="1"/>
  <c r="I238" i="1"/>
  <c r="J238" i="1"/>
  <c r="K238" i="1"/>
  <c r="L238" i="1"/>
  <c r="M238" i="1"/>
  <c r="N238" i="1"/>
  <c r="O238" i="1"/>
  <c r="P238" i="1"/>
  <c r="Q238" i="1"/>
  <c r="R238" i="1"/>
  <c r="S238" i="1"/>
  <c r="T238" i="1"/>
  <c r="U238" i="1"/>
  <c r="V238" i="1"/>
  <c r="W238" i="1"/>
  <c r="X238" i="1"/>
  <c r="Y238" i="1"/>
  <c r="Z238" i="1"/>
  <c r="AA238" i="1"/>
  <c r="AB238" i="1"/>
  <c r="AC238" i="1"/>
  <c r="AD238" i="1"/>
  <c r="AE238" i="1"/>
  <c r="AF238" i="1"/>
  <c r="AG238" i="1"/>
  <c r="AH238" i="1"/>
  <c r="AI238" i="1"/>
  <c r="AJ238" i="1"/>
  <c r="AK238" i="1"/>
  <c r="AL238" i="1"/>
  <c r="AM238" i="1"/>
  <c r="AN238" i="1"/>
  <c r="AO238" i="1"/>
  <c r="AP238" i="1"/>
  <c r="AQ238" i="1"/>
  <c r="AR238" i="1"/>
  <c r="AS238" i="1"/>
  <c r="AT238" i="1"/>
  <c r="AU238" i="1"/>
  <c r="AV238" i="1"/>
  <c r="AX238" i="1"/>
  <c r="AY238" i="1"/>
  <c r="AZ238" i="1"/>
  <c r="BA238" i="1"/>
  <c r="BB238" i="1"/>
  <c r="BC238" i="1"/>
  <c r="BD238" i="1"/>
  <c r="BE238" i="1"/>
  <c r="BF238" i="1"/>
  <c r="BG238" i="1"/>
  <c r="BH238" i="1"/>
  <c r="BI238" i="1"/>
  <c r="BJ238" i="1"/>
  <c r="BK238" i="1"/>
  <c r="BL238" i="1"/>
  <c r="BM238" i="1"/>
  <c r="BN238" i="1"/>
  <c r="BO238" i="1"/>
  <c r="BP238" i="1"/>
  <c r="BQ238" i="1"/>
  <c r="BR238" i="1"/>
  <c r="BS238" i="1"/>
  <c r="BT238" i="1"/>
  <c r="BU238" i="1"/>
  <c r="BV238" i="1"/>
  <c r="BW238" i="1"/>
  <c r="BX238" i="1"/>
  <c r="BY238" i="1"/>
  <c r="BZ238" i="1"/>
  <c r="CA238" i="1"/>
  <c r="CB238" i="1"/>
  <c r="CC238" i="1"/>
  <c r="CD238" i="1"/>
  <c r="CE238" i="1"/>
  <c r="CF238" i="1"/>
  <c r="CG238" i="1"/>
  <c r="CH238" i="1"/>
  <c r="CI238" i="1"/>
  <c r="CJ238" i="1"/>
  <c r="CK238" i="1"/>
  <c r="CL238" i="1"/>
  <c r="CM238" i="1"/>
  <c r="CN238" i="1"/>
  <c r="CO238" i="1"/>
  <c r="CP238" i="1"/>
  <c r="CQ238" i="1"/>
  <c r="CR238" i="1"/>
  <c r="CR240" i="1"/>
  <c r="CR248" i="1" s="1"/>
  <c r="CR253" i="1" s="1"/>
  <c r="CR254" i="1" s="1"/>
  <c r="CR188" i="1" s="1"/>
  <c r="CS240" i="1"/>
  <c r="CS246" i="1" s="1"/>
  <c r="CS245" i="1" s="1"/>
  <c r="CT240" i="1"/>
  <c r="CU240" i="1"/>
  <c r="CU246" i="1" s="1"/>
  <c r="CU248" i="1" s="1"/>
  <c r="CV240" i="1"/>
  <c r="CV246" i="1" s="1"/>
  <c r="CV245" i="1" s="1"/>
  <c r="CX240" i="1"/>
  <c r="CX248" i="1" s="1"/>
  <c r="CX259" i="1" s="1"/>
  <c r="CY240" i="1"/>
  <c r="CY248" i="1" s="1"/>
  <c r="CZ240" i="1"/>
  <c r="CZ248" i="1" s="1"/>
  <c r="CZ259" i="1" s="1"/>
  <c r="DA240" i="1"/>
  <c r="DA248" i="1" s="1"/>
  <c r="DA253" i="1" s="1"/>
  <c r="DC240" i="1"/>
  <c r="DC248" i="1" s="1"/>
  <c r="DC253" i="1" s="1"/>
  <c r="DD240" i="1"/>
  <c r="DD248" i="1" s="1"/>
  <c r="DE240" i="1"/>
  <c r="DE248" i="1" s="1"/>
  <c r="DE259" i="1" s="1"/>
  <c r="DF240" i="1"/>
  <c r="DF253" i="1" s="1"/>
  <c r="DH240" i="1"/>
  <c r="DH253" i="1" s="1"/>
  <c r="DI240" i="1"/>
  <c r="DI259" i="1" s="1"/>
  <c r="DJ240" i="1"/>
  <c r="DK240" i="1"/>
  <c r="DK253" i="1" s="1"/>
  <c r="DM240" i="1"/>
  <c r="DM253" i="1" s="1"/>
  <c r="DN240" i="1"/>
  <c r="DN259" i="1" s="1"/>
  <c r="DO240" i="1"/>
  <c r="DO253" i="1" s="1"/>
  <c r="DP240" i="1"/>
  <c r="DP253" i="1" s="1"/>
  <c r="DR240" i="1"/>
  <c r="DR259" i="1" s="1"/>
  <c r="DS240" i="1"/>
  <c r="DS259" i="1" s="1"/>
  <c r="DT240" i="1"/>
  <c r="DU240" i="1"/>
  <c r="DU244" i="1" s="1"/>
  <c r="DV244" i="1" s="1"/>
  <c r="DW240" i="1"/>
  <c r="DW244" i="1" s="1"/>
  <c r="DX240" i="1"/>
  <c r="DX244" i="1" s="1"/>
  <c r="DY240" i="1"/>
  <c r="DY244" i="1" s="1"/>
  <c r="DZ240" i="1"/>
  <c r="DZ258" i="1" s="1"/>
  <c r="EB240" i="1"/>
  <c r="EG254" i="1" s="1"/>
  <c r="EG32" i="39" s="1"/>
  <c r="EC240" i="1"/>
  <c r="EH254" i="1" s="1"/>
  <c r="EH32" i="39" s="1"/>
  <c r="ED240" i="1"/>
  <c r="EE240" i="1"/>
  <c r="DB244" i="1"/>
  <c r="DG244" i="1"/>
  <c r="DL244" i="1"/>
  <c r="DQ244" i="1"/>
  <c r="CR245" i="1"/>
  <c r="CX245" i="1"/>
  <c r="CY245" i="1"/>
  <c r="CZ245" i="1"/>
  <c r="DA245" i="1"/>
  <c r="DC245" i="1"/>
  <c r="DD245" i="1"/>
  <c r="DE245" i="1"/>
  <c r="DF245" i="1"/>
  <c r="DH245" i="1"/>
  <c r="DI245" i="1"/>
  <c r="DJ245" i="1"/>
  <c r="DB246" i="1"/>
  <c r="DG246" i="1"/>
  <c r="DG245" i="1" s="1"/>
  <c r="DL246" i="1"/>
  <c r="CR264" i="1"/>
  <c r="CR272" i="1" s="1"/>
  <c r="CR277" i="1" s="1"/>
  <c r="CR278" i="1" s="1"/>
  <c r="CR194" i="1" s="1"/>
  <c r="CS264" i="1"/>
  <c r="CS270" i="1" s="1"/>
  <c r="CT264" i="1"/>
  <c r="CT270" i="1" s="1"/>
  <c r="CU264" i="1"/>
  <c r="CU270" i="1" s="1"/>
  <c r="CV264" i="1"/>
  <c r="CX264" i="1"/>
  <c r="CX272" i="1" s="1"/>
  <c r="CX277" i="1" s="1"/>
  <c r="CY264" i="1"/>
  <c r="CY272" i="1" s="1"/>
  <c r="CZ264" i="1"/>
  <c r="CZ272" i="1" s="1"/>
  <c r="DA264" i="1"/>
  <c r="DA272" i="1" s="1"/>
  <c r="DC264" i="1"/>
  <c r="DC272" i="1" s="1"/>
  <c r="DD264" i="1"/>
  <c r="DD272" i="1" s="1"/>
  <c r="DD277" i="1" s="1"/>
  <c r="DE264" i="1"/>
  <c r="DE272" i="1" s="1"/>
  <c r="DF264" i="1"/>
  <c r="DF283" i="1" s="1"/>
  <c r="DH264" i="1"/>
  <c r="DH277" i="1" s="1"/>
  <c r="DI264" i="1"/>
  <c r="DI277" i="1" s="1"/>
  <c r="DJ264" i="1"/>
  <c r="DJ283" i="1" s="1"/>
  <c r="DK264" i="1"/>
  <c r="DK283" i="1" s="1"/>
  <c r="DM264" i="1"/>
  <c r="DM277" i="1" s="1"/>
  <c r="DN264" i="1"/>
  <c r="DN283" i="1" s="1"/>
  <c r="DO264" i="1"/>
  <c r="DP264" i="1"/>
  <c r="DP283" i="1" s="1"/>
  <c r="DR264" i="1"/>
  <c r="DW278" i="1" s="1"/>
  <c r="DS264" i="1"/>
  <c r="DX278" i="1" s="1"/>
  <c r="DT264" i="1"/>
  <c r="DT277" i="1" s="1"/>
  <c r="DU264" i="1"/>
  <c r="DZ278" i="1" s="1"/>
  <c r="DW264" i="1"/>
  <c r="DW268" i="1" s="1"/>
  <c r="DX264" i="1"/>
  <c r="DY284" i="1" s="1"/>
  <c r="DY264" i="1"/>
  <c r="DY268" i="1" s="1"/>
  <c r="DZ264" i="1"/>
  <c r="DZ282" i="1" s="1"/>
  <c r="EB264" i="1"/>
  <c r="EG278" i="1" s="1"/>
  <c r="EG78" i="39" s="1"/>
  <c r="EC264" i="1"/>
  <c r="EH278" i="1" s="1"/>
  <c r="EH78" i="39" s="1"/>
  <c r="ED264" i="1"/>
  <c r="EE264" i="1"/>
  <c r="DB268" i="1"/>
  <c r="DG268" i="1"/>
  <c r="DL268" i="1"/>
  <c r="DQ268" i="1"/>
  <c r="CR269" i="1"/>
  <c r="CX269" i="1"/>
  <c r="CY269" i="1"/>
  <c r="CZ269" i="1"/>
  <c r="DA269" i="1"/>
  <c r="DC269" i="1"/>
  <c r="DD269" i="1"/>
  <c r="DE269" i="1"/>
  <c r="DF269" i="1"/>
  <c r="DH269" i="1"/>
  <c r="DI269" i="1"/>
  <c r="DJ269" i="1"/>
  <c r="DB270" i="1"/>
  <c r="DG270" i="1"/>
  <c r="DL270" i="1"/>
  <c r="CR288" i="1"/>
  <c r="CR296" i="1" s="1"/>
  <c r="CS288" i="1"/>
  <c r="CS294" i="1" s="1"/>
  <c r="CS293" i="1" s="1"/>
  <c r="CT288" i="1"/>
  <c r="CT294" i="1" s="1"/>
  <c r="CT293" i="1" s="1"/>
  <c r="CU288" i="1"/>
  <c r="CU294" i="1" s="1"/>
  <c r="CU293" i="1" s="1"/>
  <c r="CV288" i="1"/>
  <c r="CV294" i="1" s="1"/>
  <c r="CV293" i="1" s="1"/>
  <c r="CX288" i="1"/>
  <c r="CX296" i="1" s="1"/>
  <c r="CY288" i="1"/>
  <c r="CY296" i="1" s="1"/>
  <c r="CZ288" i="1"/>
  <c r="CZ296" i="1" s="1"/>
  <c r="DA288" i="1"/>
  <c r="DA296" i="1" s="1"/>
  <c r="DC288" i="1"/>
  <c r="DC296" i="1" s="1"/>
  <c r="DD288" i="1"/>
  <c r="DD296" i="1" s="1"/>
  <c r="DE288" i="1"/>
  <c r="DE296" i="1" s="1"/>
  <c r="DF288" i="1"/>
  <c r="DF296" i="1" s="1"/>
  <c r="DH288" i="1"/>
  <c r="DI288" i="1"/>
  <c r="DJ288" i="1"/>
  <c r="DK288" i="1"/>
  <c r="DM288" i="1"/>
  <c r="DN288" i="1"/>
  <c r="DO288" i="1"/>
  <c r="DP288" i="1"/>
  <c r="DR288" i="1"/>
  <c r="DS288" i="1"/>
  <c r="DT288" i="1"/>
  <c r="DU288" i="1"/>
  <c r="DU292" i="1" s="1"/>
  <c r="DV292" i="1" s="1"/>
  <c r="DW288" i="1"/>
  <c r="DW292" i="1" s="1"/>
  <c r="DX288" i="1"/>
  <c r="DX292" i="1" s="1"/>
  <c r="DY288" i="1"/>
  <c r="DY292" i="1" s="1"/>
  <c r="DZ288" i="1"/>
  <c r="DZ292" i="1" s="1"/>
  <c r="EB288" i="1"/>
  <c r="EG302" i="1" s="1"/>
  <c r="EG120" i="39" s="1"/>
  <c r="EC288" i="1"/>
  <c r="ED288" i="1"/>
  <c r="EI302" i="1" s="1"/>
  <c r="EI120" i="39" s="1"/>
  <c r="EE288" i="1"/>
  <c r="DB292" i="1"/>
  <c r="DG292" i="1"/>
  <c r="DL292" i="1"/>
  <c r="DQ292" i="1"/>
  <c r="CR293" i="1"/>
  <c r="CX293" i="1"/>
  <c r="CY293" i="1"/>
  <c r="CZ293" i="1"/>
  <c r="DA293" i="1"/>
  <c r="DC293" i="1"/>
  <c r="DD293" i="1"/>
  <c r="DE293" i="1"/>
  <c r="DF293" i="1"/>
  <c r="DH293" i="1"/>
  <c r="DI293" i="1"/>
  <c r="DJ293" i="1"/>
  <c r="DB294" i="1"/>
  <c r="DG294" i="1"/>
  <c r="DL294" i="1"/>
  <c r="DL296" i="1"/>
  <c r="DB269" i="1" l="1"/>
  <c r="BB180" i="1"/>
  <c r="AX179" i="1"/>
  <c r="AX182" i="1" s="1"/>
  <c r="AW547" i="1"/>
  <c r="AW378" i="1"/>
  <c r="AW380" i="1" s="1"/>
  <c r="AW230" i="1"/>
  <c r="AW234" i="1"/>
  <c r="AW182" i="1"/>
  <c r="AW528" i="1" s="1"/>
  <c r="AW180" i="1"/>
  <c r="AW527" i="1" s="1"/>
  <c r="AW526" i="1"/>
  <c r="AW397" i="1"/>
  <c r="AW395" i="1"/>
  <c r="AW175" i="1"/>
  <c r="AW178" i="1" s="1"/>
  <c r="AW183" i="1" s="1"/>
  <c r="CU213" i="1"/>
  <c r="CM214" i="1"/>
  <c r="EG79" i="39"/>
  <c r="EG77" i="39"/>
  <c r="DW78" i="39"/>
  <c r="EI121" i="39"/>
  <c r="EI119" i="39"/>
  <c r="EH33" i="39"/>
  <c r="EH31" i="39"/>
  <c r="EG121" i="39"/>
  <c r="EG119" i="39"/>
  <c r="DZ78" i="39"/>
  <c r="EG33" i="39"/>
  <c r="EG31" i="39"/>
  <c r="EH79" i="39"/>
  <c r="EH77" i="39"/>
  <c r="DY92" i="39"/>
  <c r="DX78" i="39"/>
  <c r="DI85" i="3"/>
  <c r="DF196" i="1"/>
  <c r="CX204" i="1"/>
  <c r="EE258" i="1"/>
  <c r="EJ254" i="1"/>
  <c r="EJ32" i="39" s="1"/>
  <c r="DK181" i="1"/>
  <c r="DU196" i="1"/>
  <c r="EG182" i="1"/>
  <c r="EJ180" i="1"/>
  <c r="EJ181" i="1"/>
  <c r="EG284" i="1"/>
  <c r="EG92" i="39" s="1"/>
  <c r="EJ278" i="1"/>
  <c r="EJ78" i="39" s="1"/>
  <c r="EG308" i="1"/>
  <c r="EG132" i="39" s="1"/>
  <c r="EJ302" i="1"/>
  <c r="EJ120" i="39" s="1"/>
  <c r="DO213" i="1"/>
  <c r="CX196" i="1"/>
  <c r="CX202" i="1"/>
  <c r="EE204" i="1"/>
  <c r="DK204" i="1"/>
  <c r="EE196" i="1"/>
  <c r="DK190" i="1"/>
  <c r="DP202" i="1"/>
  <c r="DF202" i="1"/>
  <c r="EI200" i="1"/>
  <c r="EI303" i="1"/>
  <c r="ED244" i="1"/>
  <c r="EI254" i="1"/>
  <c r="EI32" i="39" s="1"/>
  <c r="ED268" i="1"/>
  <c r="EI278" i="1"/>
  <c r="EI78" i="39" s="1"/>
  <c r="ED204" i="1"/>
  <c r="EI180" i="1"/>
  <c r="EI181" i="1"/>
  <c r="DJ213" i="1"/>
  <c r="CZ213" i="1"/>
  <c r="AT180" i="1"/>
  <c r="AV182" i="1"/>
  <c r="CT202" i="1"/>
  <c r="DR196" i="1"/>
  <c r="CT204" i="1"/>
  <c r="ED282" i="1"/>
  <c r="DS260" i="1"/>
  <c r="DS261" i="1" s="1"/>
  <c r="EB202" i="1"/>
  <c r="DR202" i="1"/>
  <c r="EB204" i="1"/>
  <c r="DN277" i="1"/>
  <c r="DN278" i="1" s="1"/>
  <c r="DN194" i="1" s="1"/>
  <c r="EE190" i="1"/>
  <c r="AB182" i="1"/>
  <c r="AM182" i="1"/>
  <c r="AM180" i="1"/>
  <c r="EB254" i="1"/>
  <c r="EB188" i="1" s="1"/>
  <c r="DS213" i="1"/>
  <c r="DI213" i="1"/>
  <c r="CY213" i="1"/>
  <c r="CW212" i="1"/>
  <c r="AL182" i="1"/>
  <c r="DR213" i="1"/>
  <c r="DH213" i="1"/>
  <c r="CX213" i="1"/>
  <c r="DP180" i="1"/>
  <c r="AF180" i="1"/>
  <c r="DP213" i="1"/>
  <c r="CV213" i="1"/>
  <c r="AO180" i="1"/>
  <c r="DK259" i="1"/>
  <c r="DK260" i="1" s="1"/>
  <c r="DK261" i="1" s="1"/>
  <c r="CT213" i="1"/>
  <c r="DH202" i="1"/>
  <c r="CT196" i="1"/>
  <c r="EE254" i="1"/>
  <c r="EE188" i="1" s="1"/>
  <c r="CW214" i="1"/>
  <c r="DA213" i="1"/>
  <c r="CV204" i="1"/>
  <c r="CS213" i="1"/>
  <c r="CS190" i="1"/>
  <c r="CS204" i="1"/>
  <c r="AR180" i="1"/>
  <c r="CR214" i="1"/>
  <c r="DZ204" i="1"/>
  <c r="DZ202" i="1"/>
  <c r="CS202" i="1"/>
  <c r="DZ196" i="1"/>
  <c r="DP190" i="1"/>
  <c r="DP204" i="1"/>
  <c r="CM212" i="1"/>
  <c r="DF190" i="1"/>
  <c r="EB182" i="1"/>
  <c r="BJ182" i="1"/>
  <c r="CY180" i="1"/>
  <c r="DS202" i="1"/>
  <c r="CU196" i="1"/>
  <c r="CE182" i="1"/>
  <c r="CU204" i="1"/>
  <c r="DS196" i="1"/>
  <c r="EC268" i="1"/>
  <c r="DS204" i="1"/>
  <c r="DU180" i="1"/>
  <c r="DK180" i="1"/>
  <c r="CU202" i="1"/>
  <c r="DT182" i="1"/>
  <c r="CG182" i="1"/>
  <c r="BM182" i="1"/>
  <c r="EE244" i="1"/>
  <c r="EA179" i="1"/>
  <c r="EA196" i="1" s="1"/>
  <c r="EH188" i="1"/>
  <c r="EH256" i="1"/>
  <c r="EH255" i="1"/>
  <c r="DF297" i="1"/>
  <c r="DY182" i="1"/>
  <c r="EC202" i="1"/>
  <c r="EH180" i="1"/>
  <c r="EH181" i="1"/>
  <c r="EH194" i="1"/>
  <c r="EH280" i="1"/>
  <c r="EH279" i="1"/>
  <c r="DM283" i="1"/>
  <c r="DM284" i="1" s="1"/>
  <c r="DM92" i="39" s="1"/>
  <c r="DF254" i="1"/>
  <c r="DF188" i="1" s="1"/>
  <c r="DK213" i="1"/>
  <c r="ED284" i="1"/>
  <c r="ED285" i="1" s="1"/>
  <c r="EC292" i="1"/>
  <c r="EH302" i="1"/>
  <c r="EH120" i="39" s="1"/>
  <c r="DN284" i="1"/>
  <c r="DN286" i="1" s="1"/>
  <c r="DZ260" i="1"/>
  <c r="DZ261" i="1" s="1"/>
  <c r="ED254" i="1"/>
  <c r="ED255" i="1" s="1"/>
  <c r="EE278" i="1"/>
  <c r="EE194" i="1" s="1"/>
  <c r="DF284" i="1"/>
  <c r="DF285" i="1" s="1"/>
  <c r="DP259" i="1"/>
  <c r="DP260" i="1" s="1"/>
  <c r="DP44" i="39" s="1"/>
  <c r="DU254" i="1"/>
  <c r="DU188" i="1" s="1"/>
  <c r="DM254" i="1"/>
  <c r="DM188" i="1" s="1"/>
  <c r="EF193" i="1"/>
  <c r="EF265" i="1" s="1"/>
  <c r="DH259" i="1"/>
  <c r="DH260" i="1" s="1"/>
  <c r="DH44" i="39" s="1"/>
  <c r="EB284" i="1"/>
  <c r="EB285" i="1" s="1"/>
  <c r="DZ268" i="1"/>
  <c r="DY258" i="1"/>
  <c r="DR260" i="1"/>
  <c r="DR261" i="1" s="1"/>
  <c r="CY204" i="1"/>
  <c r="CU180" i="1"/>
  <c r="DH283" i="1"/>
  <c r="DH284" i="1" s="1"/>
  <c r="DH285" i="1" s="1"/>
  <c r="DN181" i="1"/>
  <c r="DR204" i="1"/>
  <c r="CE180" i="1"/>
  <c r="CT296" i="1"/>
  <c r="CY297" i="1" s="1"/>
  <c r="DV253" i="1"/>
  <c r="DI204" i="1"/>
  <c r="DS182" i="1"/>
  <c r="BK180" i="1"/>
  <c r="DR283" i="1"/>
  <c r="DR284" i="1" s="1"/>
  <c r="DR285" i="1" s="1"/>
  <c r="DJ277" i="1"/>
  <c r="DJ278" i="1" s="1"/>
  <c r="DJ194" i="1" s="1"/>
  <c r="EB258" i="1"/>
  <c r="DR181" i="1"/>
  <c r="EE202" i="1"/>
  <c r="DK202" i="1"/>
  <c r="EC196" i="1"/>
  <c r="DI196" i="1"/>
  <c r="EB190" i="1"/>
  <c r="CU182" i="1"/>
  <c r="EA187" i="1"/>
  <c r="EA241" i="1" s="1"/>
  <c r="DP254" i="1"/>
  <c r="DP188" i="1" s="1"/>
  <c r="DI190" i="1"/>
  <c r="EC260" i="1"/>
  <c r="EC261" i="1" s="1"/>
  <c r="DH204" i="1"/>
  <c r="EC190" i="1"/>
  <c r="DH182" i="1"/>
  <c r="DC298" i="1"/>
  <c r="DF277" i="1"/>
  <c r="DF278" i="1" s="1"/>
  <c r="DF194" i="1" s="1"/>
  <c r="DX260" i="1"/>
  <c r="DX262" i="1" s="1"/>
  <c r="CZ253" i="1"/>
  <c r="CZ254" i="1" s="1"/>
  <c r="CZ188" i="1" s="1"/>
  <c r="DP181" i="1"/>
  <c r="DU204" i="1"/>
  <c r="DH196" i="1"/>
  <c r="DK277" i="1"/>
  <c r="EG188" i="1"/>
  <c r="EG256" i="1"/>
  <c r="EG255" i="1"/>
  <c r="EE292" i="1"/>
  <c r="DI260" i="1"/>
  <c r="DI262" i="1" s="1"/>
  <c r="EB292" i="1"/>
  <c r="EG194" i="1"/>
  <c r="EG279" i="1"/>
  <c r="EG280" i="1"/>
  <c r="DT278" i="1"/>
  <c r="DT194" i="1" s="1"/>
  <c r="DL277" i="1"/>
  <c r="DD278" i="1"/>
  <c r="DD194" i="1" s="1"/>
  <c r="DY260" i="1"/>
  <c r="DY261" i="1" s="1"/>
  <c r="EC254" i="1"/>
  <c r="EC255" i="1" s="1"/>
  <c r="CZ260" i="1"/>
  <c r="CZ261" i="1" s="1"/>
  <c r="EC182" i="1"/>
  <c r="EG180" i="1"/>
  <c r="EG181" i="1"/>
  <c r="DL187" i="1"/>
  <c r="DL241" i="1" s="1"/>
  <c r="EG260" i="1"/>
  <c r="EG44" i="39" s="1"/>
  <c r="DS277" i="1"/>
  <c r="DS278" i="1" s="1"/>
  <c r="DS78" i="39" s="1"/>
  <c r="DG269" i="1"/>
  <c r="DX258" i="1"/>
  <c r="DQ212" i="1"/>
  <c r="EG200" i="1"/>
  <c r="EG304" i="1"/>
  <c r="EG303" i="1"/>
  <c r="DO259" i="1"/>
  <c r="DO260" i="1" s="1"/>
  <c r="DO44" i="39" s="1"/>
  <c r="DL253" i="1"/>
  <c r="BU182" i="1"/>
  <c r="BF182" i="1"/>
  <c r="DI87" i="3"/>
  <c r="DI100" i="3"/>
  <c r="DA298" i="1"/>
  <c r="DF272" i="1"/>
  <c r="DC259" i="1"/>
  <c r="DC260" i="1" s="1"/>
  <c r="DC261" i="1" s="1"/>
  <c r="DW258" i="1"/>
  <c r="DI253" i="1"/>
  <c r="DI254" i="1" s="1"/>
  <c r="DI32" i="39" s="1"/>
  <c r="DG240" i="1"/>
  <c r="ED202" i="1"/>
  <c r="CY202" i="1"/>
  <c r="ED196" i="1"/>
  <c r="CY196" i="1"/>
  <c r="ED190" i="1"/>
  <c r="CV190" i="1"/>
  <c r="EE182" i="1"/>
  <c r="DR182" i="1"/>
  <c r="DQ277" i="1"/>
  <c r="DQ278" i="1" s="1"/>
  <c r="DQ194" i="1" s="1"/>
  <c r="DA259" i="1"/>
  <c r="DA260" i="1" s="1"/>
  <c r="DA261" i="1" s="1"/>
  <c r="ED182" i="1"/>
  <c r="DK182" i="1"/>
  <c r="DF298" i="1"/>
  <c r="DD298" i="1"/>
  <c r="CY298" i="1"/>
  <c r="EE284" i="1"/>
  <c r="EE285" i="1" s="1"/>
  <c r="DL269" i="1"/>
  <c r="DZ254" i="1"/>
  <c r="DZ188" i="1" s="1"/>
  <c r="DL245" i="1"/>
  <c r="DM204" i="1"/>
  <c r="DM202" i="1"/>
  <c r="CV202" i="1"/>
  <c r="DL199" i="1"/>
  <c r="DL289" i="1" s="1"/>
  <c r="DJ190" i="1"/>
  <c r="DI182" i="1"/>
  <c r="BL182" i="1"/>
  <c r="EC284" i="1"/>
  <c r="EC285" i="1" s="1"/>
  <c r="DK284" i="1"/>
  <c r="DK285" i="1" s="1"/>
  <c r="DF248" i="1"/>
  <c r="DF259" i="1" s="1"/>
  <c r="DF260" i="1" s="1"/>
  <c r="DF261" i="1" s="1"/>
  <c r="DW204" i="1"/>
  <c r="DJ204" i="1"/>
  <c r="DW202" i="1"/>
  <c r="DJ202" i="1"/>
  <c r="DG199" i="1"/>
  <c r="DG289" i="1" s="1"/>
  <c r="DW196" i="1"/>
  <c r="DG193" i="1"/>
  <c r="DG265" i="1" s="1"/>
  <c r="DW190" i="1"/>
  <c r="CY182" i="1"/>
  <c r="BG182" i="1"/>
  <c r="CF182" i="1"/>
  <c r="DL293" i="1"/>
  <c r="CX283" i="1"/>
  <c r="DJ284" i="1"/>
  <c r="DJ286" i="1" s="1"/>
  <c r="DC254" i="1"/>
  <c r="DC188" i="1" s="1"/>
  <c r="DT190" i="1"/>
  <c r="DU182" i="1"/>
  <c r="DT204" i="1"/>
  <c r="DT202" i="1"/>
  <c r="DT196" i="1"/>
  <c r="CY190" i="1"/>
  <c r="EF187" i="1"/>
  <c r="EF241" i="1" s="1"/>
  <c r="BE180" i="1"/>
  <c r="DI278" i="1"/>
  <c r="DI280" i="1" s="1"/>
  <c r="EA292" i="1"/>
  <c r="BM180" i="1"/>
  <c r="DW194" i="1"/>
  <c r="DW279" i="1"/>
  <c r="DA277" i="1"/>
  <c r="CT272" i="1"/>
  <c r="CT269" i="1"/>
  <c r="DC277" i="1"/>
  <c r="DC278" i="1" s="1"/>
  <c r="DC194" i="1" s="1"/>
  <c r="DC283" i="1"/>
  <c r="DC284" i="1" s="1"/>
  <c r="DC285" i="1" s="1"/>
  <c r="CU269" i="1"/>
  <c r="CU272" i="1"/>
  <c r="EC258" i="1"/>
  <c r="DI283" i="1"/>
  <c r="DI284" i="1" s="1"/>
  <c r="DI92" i="39" s="1"/>
  <c r="EB260" i="1"/>
  <c r="EB44" i="39" s="1"/>
  <c r="DZ244" i="1"/>
  <c r="DR253" i="1"/>
  <c r="DR254" i="1" s="1"/>
  <c r="DR188" i="1" s="1"/>
  <c r="DW254" i="1"/>
  <c r="DW32" i="39" s="1"/>
  <c r="DB296" i="1"/>
  <c r="DS283" i="1"/>
  <c r="DS284" i="1" s="1"/>
  <c r="DS286" i="1" s="1"/>
  <c r="DD274" i="1"/>
  <c r="DM278" i="1"/>
  <c r="DM194" i="1" s="1"/>
  <c r="DG296" i="1"/>
  <c r="CV248" i="1"/>
  <c r="DA249" i="1" s="1"/>
  <c r="DV214" i="1"/>
  <c r="DV184" i="1" s="1"/>
  <c r="DL214" i="1"/>
  <c r="DC213" i="1"/>
  <c r="EA199" i="1"/>
  <c r="EA289" i="1" s="1"/>
  <c r="BT180" i="1"/>
  <c r="BN179" i="1"/>
  <c r="DV187" i="1"/>
  <c r="DV241" i="1" s="1"/>
  <c r="DQ240" i="1"/>
  <c r="DQ253" i="1" s="1"/>
  <c r="DQ254" i="1" s="1"/>
  <c r="DQ188" i="1" s="1"/>
  <c r="DY180" i="1"/>
  <c r="ED180" i="1"/>
  <c r="DY190" i="1"/>
  <c r="DY196" i="1"/>
  <c r="DY202" i="1"/>
  <c r="DA204" i="1"/>
  <c r="DA180" i="1"/>
  <c r="DA196" i="1"/>
  <c r="DA202" i="1"/>
  <c r="DA182" i="1"/>
  <c r="DA190" i="1"/>
  <c r="CQ182" i="1"/>
  <c r="BW180" i="1"/>
  <c r="BW182" i="1"/>
  <c r="CD182" i="1"/>
  <c r="DB293" i="1"/>
  <c r="DG293" i="1"/>
  <c r="CS272" i="1"/>
  <c r="CX273" i="1" s="1"/>
  <c r="DW260" i="1"/>
  <c r="DW262" i="1" s="1"/>
  <c r="DU258" i="1"/>
  <c r="DM259" i="1"/>
  <c r="DM260" i="1" s="1"/>
  <c r="DM262" i="1" s="1"/>
  <c r="DN260" i="1"/>
  <c r="DN262" i="1" s="1"/>
  <c r="DZ182" i="1"/>
  <c r="BK182" i="1"/>
  <c r="EC180" i="1"/>
  <c r="DX190" i="1"/>
  <c r="DX196" i="1"/>
  <c r="DX202" i="1"/>
  <c r="DX182" i="1"/>
  <c r="DN182" i="1"/>
  <c r="DN196" i="1"/>
  <c r="DN202" i="1"/>
  <c r="DN180" i="1"/>
  <c r="DN190" i="1"/>
  <c r="DS180" i="1"/>
  <c r="CZ180" i="1"/>
  <c r="CZ196" i="1"/>
  <c r="CZ202" i="1"/>
  <c r="CZ182" i="1"/>
  <c r="CZ190" i="1"/>
  <c r="BV180" i="1"/>
  <c r="BV182" i="1"/>
  <c r="CF180" i="1"/>
  <c r="DR277" i="1"/>
  <c r="DR278" i="1" s="1"/>
  <c r="DR194" i="1" s="1"/>
  <c r="DT253" i="1"/>
  <c r="DT254" i="1" s="1"/>
  <c r="DT255" i="1" s="1"/>
  <c r="DY254" i="1"/>
  <c r="DY255" i="1" s="1"/>
  <c r="EA193" i="1"/>
  <c r="EA265" i="1" s="1"/>
  <c r="DX180" i="1"/>
  <c r="BJ180" i="1"/>
  <c r="CV296" i="1"/>
  <c r="CX298" i="1" s="1"/>
  <c r="DX282" i="1"/>
  <c r="DS253" i="1"/>
  <c r="DS254" i="1" s="1"/>
  <c r="DS256" i="1" s="1"/>
  <c r="DX254" i="1"/>
  <c r="DX188" i="1" s="1"/>
  <c r="DB248" i="1"/>
  <c r="DY204" i="1"/>
  <c r="DN204" i="1"/>
  <c r="DA250" i="1"/>
  <c r="DT181" i="1"/>
  <c r="DB245" i="1"/>
  <c r="DS181" i="1"/>
  <c r="DH254" i="1"/>
  <c r="DH255" i="1" s="1"/>
  <c r="DO254" i="1"/>
  <c r="DO255" i="1" s="1"/>
  <c r="EA214" i="1"/>
  <c r="EA184" i="1" s="1"/>
  <c r="DC249" i="1"/>
  <c r="DD213" i="1"/>
  <c r="BA182" i="1"/>
  <c r="BB182" i="1"/>
  <c r="BA180" i="1"/>
  <c r="CM176" i="1"/>
  <c r="DG187" i="1"/>
  <c r="DG241" i="1" s="1"/>
  <c r="DL193" i="1"/>
  <c r="DL265" i="1" s="1"/>
  <c r="AZ180" i="1"/>
  <c r="DF181" i="1"/>
  <c r="EF199" i="1"/>
  <c r="EF289" i="1" s="1"/>
  <c r="DZ194" i="1"/>
  <c r="DZ279" i="1"/>
  <c r="DD259" i="1"/>
  <c r="DD260" i="1" s="1"/>
  <c r="DD261" i="1" s="1"/>
  <c r="DD250" i="1"/>
  <c r="DE250" i="1"/>
  <c r="DD253" i="1"/>
  <c r="DD254" i="1" s="1"/>
  <c r="DD249" i="1"/>
  <c r="CZ249" i="1"/>
  <c r="DY286" i="1"/>
  <c r="DY285" i="1"/>
  <c r="CY277" i="1"/>
  <c r="CY274" i="1"/>
  <c r="DB272" i="1"/>
  <c r="DD273" i="1"/>
  <c r="DD78" i="39" s="1"/>
  <c r="CY283" i="1"/>
  <c r="CY284" i="1" s="1"/>
  <c r="CY285" i="1" s="1"/>
  <c r="DE260" i="1"/>
  <c r="DE261" i="1" s="1"/>
  <c r="CW294" i="1"/>
  <c r="CW293" i="1" s="1"/>
  <c r="DP284" i="1"/>
  <c r="DP92" i="39" s="1"/>
  <c r="DD283" i="1"/>
  <c r="DD284" i="1" s="1"/>
  <c r="EC282" i="1"/>
  <c r="EB268" i="1"/>
  <c r="CZ250" i="1"/>
  <c r="CZ44" i="39" s="1"/>
  <c r="CY259" i="1"/>
  <c r="CY260" i="1" s="1"/>
  <c r="CY261" i="1" s="1"/>
  <c r="CY253" i="1"/>
  <c r="CU245" i="1"/>
  <c r="DJ253" i="1"/>
  <c r="DJ254" i="1" s="1"/>
  <c r="DJ32" i="39" s="1"/>
  <c r="DJ259" i="1"/>
  <c r="DJ260" i="1" s="1"/>
  <c r="DJ261" i="1" s="1"/>
  <c r="CT246" i="1"/>
  <c r="CT245" i="1" s="1"/>
  <c r="EE268" i="1"/>
  <c r="EE282" i="1"/>
  <c r="EB282" i="1"/>
  <c r="DX194" i="1"/>
  <c r="DX279" i="1"/>
  <c r="DW280" i="1"/>
  <c r="DU282" i="1"/>
  <c r="DW284" i="1"/>
  <c r="DW285" i="1" s="1"/>
  <c r="DE273" i="1"/>
  <c r="DE283" i="1"/>
  <c r="DE284" i="1" s="1"/>
  <c r="DE285" i="1" s="1"/>
  <c r="DE274" i="1"/>
  <c r="CX253" i="1"/>
  <c r="DY212" i="1"/>
  <c r="DE297" i="1"/>
  <c r="DE298" i="1"/>
  <c r="BD212" i="1"/>
  <c r="AZ215" i="1"/>
  <c r="DC297" i="1"/>
  <c r="ED292" i="1"/>
  <c r="DH278" i="1"/>
  <c r="DH78" i="39" s="1"/>
  <c r="DC274" i="1"/>
  <c r="DC273" i="1"/>
  <c r="DA283" i="1"/>
  <c r="DA284" i="1" s="1"/>
  <c r="DA285" i="1" s="1"/>
  <c r="CY250" i="1"/>
  <c r="DW212" i="1"/>
  <c r="DO283" i="1"/>
  <c r="DO284" i="1" s="1"/>
  <c r="DO92" i="39" s="1"/>
  <c r="DO277" i="1"/>
  <c r="DO278" i="1" s="1"/>
  <c r="DO78" i="39" s="1"/>
  <c r="DD297" i="1"/>
  <c r="DY278" i="1"/>
  <c r="DY78" i="39" s="1"/>
  <c r="DT283" i="1"/>
  <c r="DT284" i="1" s="1"/>
  <c r="DT92" i="39" s="1"/>
  <c r="DU284" i="1"/>
  <c r="DU285" i="1" s="1"/>
  <c r="CZ298" i="1"/>
  <c r="DW282" i="1"/>
  <c r="DE277" i="1"/>
  <c r="DE278" i="1" s="1"/>
  <c r="DE194" i="1" s="1"/>
  <c r="DA274" i="1"/>
  <c r="CV270" i="1"/>
  <c r="CV269" i="1" s="1"/>
  <c r="DU268" i="1"/>
  <c r="DV268" i="1" s="1"/>
  <c r="DV277" i="1" s="1"/>
  <c r="DV278" i="1" s="1"/>
  <c r="DV194" i="1" s="1"/>
  <c r="CU296" i="1"/>
  <c r="DG212" i="1"/>
  <c r="CS296" i="1"/>
  <c r="DX284" i="1"/>
  <c r="DX286" i="1" s="1"/>
  <c r="DY282" i="1"/>
  <c r="DZ284" i="1"/>
  <c r="DZ92" i="39" s="1"/>
  <c r="ED278" i="1"/>
  <c r="ED194" i="1" s="1"/>
  <c r="CS269" i="1"/>
  <c r="DE249" i="1"/>
  <c r="DE253" i="1"/>
  <c r="DE254" i="1" s="1"/>
  <c r="DX280" i="1"/>
  <c r="EB278" i="1"/>
  <c r="EB78" i="39" s="1"/>
  <c r="DZ280" i="1"/>
  <c r="EC278" i="1"/>
  <c r="EC78" i="39" s="1"/>
  <c r="DX268" i="1"/>
  <c r="DU278" i="1"/>
  <c r="DU279" i="1" s="1"/>
  <c r="DP277" i="1"/>
  <c r="DP278" i="1" s="1"/>
  <c r="DP78" i="39" s="1"/>
  <c r="CZ274" i="1"/>
  <c r="CZ283" i="1"/>
  <c r="CZ284" i="1" s="1"/>
  <c r="CZ285" i="1" s="1"/>
  <c r="CZ277" i="1"/>
  <c r="DC250" i="1"/>
  <c r="DC44" i="39" s="1"/>
  <c r="EB244" i="1"/>
  <c r="DT259" i="1"/>
  <c r="DT260" i="1" s="1"/>
  <c r="DT261" i="1" s="1"/>
  <c r="DU260" i="1"/>
  <c r="DU261" i="1" s="1"/>
  <c r="EE260" i="1"/>
  <c r="EE261" i="1" s="1"/>
  <c r="ED258" i="1"/>
  <c r="EC244" i="1"/>
  <c r="ED260" i="1"/>
  <c r="ED261" i="1" s="1"/>
  <c r="DN253" i="1"/>
  <c r="DN254" i="1" s="1"/>
  <c r="DN32" i="39" s="1"/>
  <c r="CS248" i="1"/>
  <c r="CX249" i="1" s="1"/>
  <c r="DM213" i="1"/>
  <c r="DQ214" i="1"/>
  <c r="DF213" i="1"/>
  <c r="DE213" i="1"/>
  <c r="DB199" i="1"/>
  <c r="DB289" i="1" s="1"/>
  <c r="CW199" i="1"/>
  <c r="CW289" i="1" s="1"/>
  <c r="CW187" i="1"/>
  <c r="CW241" i="1" s="1"/>
  <c r="DN213" i="1"/>
  <c r="DB214" i="1"/>
  <c r="DO180" i="1"/>
  <c r="DP182" i="1"/>
  <c r="DO196" i="1"/>
  <c r="DO204" i="1"/>
  <c r="DO181" i="1"/>
  <c r="DO190" i="1"/>
  <c r="AV180" i="1"/>
  <c r="AR182" i="1"/>
  <c r="AQ180" i="1"/>
  <c r="AS179" i="1"/>
  <c r="AQ182" i="1"/>
  <c r="AL180" i="1"/>
  <c r="AG180" i="1"/>
  <c r="AG182" i="1"/>
  <c r="DV199" i="1"/>
  <c r="DV289" i="1" s="1"/>
  <c r="DV193" i="1"/>
  <c r="DV265" i="1" s="1"/>
  <c r="DQ193" i="1"/>
  <c r="DQ265" i="1" s="1"/>
  <c r="DT213" i="1"/>
  <c r="DQ199" i="1"/>
  <c r="DQ289" i="1" s="1"/>
  <c r="DQ187" i="1"/>
  <c r="DQ241" i="1" s="1"/>
  <c r="DO182" i="1"/>
  <c r="CT180" i="1"/>
  <c r="CP182" i="1"/>
  <c r="CO182" i="1"/>
  <c r="EF214" i="1"/>
  <c r="DG214" i="1"/>
  <c r="DB212" i="1"/>
  <c r="CR212" i="1"/>
  <c r="CW193" i="1"/>
  <c r="CW265" i="1" s="1"/>
  <c r="DB193" i="1"/>
  <c r="DB265" i="1" s="1"/>
  <c r="DW182" i="1"/>
  <c r="CX180" i="1"/>
  <c r="CW179" i="1"/>
  <c r="CW196" i="1" s="1"/>
  <c r="CS182" i="1"/>
  <c r="AK180" i="1"/>
  <c r="DZ180" i="1"/>
  <c r="DU190" i="1"/>
  <c r="DR180" i="1"/>
  <c r="DM181" i="1"/>
  <c r="DM182" i="1"/>
  <c r="DM190" i="1"/>
  <c r="DF180" i="1"/>
  <c r="DB187" i="1"/>
  <c r="DB241" i="1" s="1"/>
  <c r="AH180" i="1"/>
  <c r="AH182" i="1"/>
  <c r="AI179" i="1"/>
  <c r="AK182" i="1" s="1"/>
  <c r="DL212" i="1"/>
  <c r="DJ182" i="1"/>
  <c r="DL179" i="1"/>
  <c r="BL180" i="1"/>
  <c r="BH182" i="1"/>
  <c r="BG180" i="1"/>
  <c r="BD180" i="1"/>
  <c r="AY180" i="1"/>
  <c r="AU180" i="1"/>
  <c r="DM180" i="1"/>
  <c r="AP180" i="1"/>
  <c r="DQ179" i="1"/>
  <c r="DQ196" i="1" s="1"/>
  <c r="CV180" i="1"/>
  <c r="CV182" i="1"/>
  <c r="CX182" i="1"/>
  <c r="CD180" i="1"/>
  <c r="BX179" i="1"/>
  <c r="BT182" i="1"/>
  <c r="BF180" i="1"/>
  <c r="BI179" i="1"/>
  <c r="AF177" i="1"/>
  <c r="AE175" i="1"/>
  <c r="AD177" i="1"/>
  <c r="CT182" i="1"/>
  <c r="CS180" i="1"/>
  <c r="CG180" i="1"/>
  <c r="EE180" i="1"/>
  <c r="DW180" i="1"/>
  <c r="EF179" i="1"/>
  <c r="DV179" i="1"/>
  <c r="DV204" i="1" s="1"/>
  <c r="EB180" i="1"/>
  <c r="DT180" i="1"/>
  <c r="CH179" i="1"/>
  <c r="AN179" i="1"/>
  <c r="CR179" i="1"/>
  <c r="BU180" i="1"/>
  <c r="AD179" i="1"/>
  <c r="DB179" i="1"/>
  <c r="DB204" i="1" s="1"/>
  <c r="EW289" i="1"/>
  <c r="FA120" i="39" s="1"/>
  <c r="FA121" i="39" s="1"/>
  <c r="EV289" i="1"/>
  <c r="EW265" i="1"/>
  <c r="FA78" i="39" s="1"/>
  <c r="FA79" i="39" s="1"/>
  <c r="EV265" i="1"/>
  <c r="EW241" i="1"/>
  <c r="FA32" i="39" s="1"/>
  <c r="FA33" i="39" s="1"/>
  <c r="EV241" i="1"/>
  <c r="ES6" i="148"/>
  <c r="ER6" i="148"/>
  <c r="EQ6" i="148"/>
  <c r="EP6" i="148"/>
  <c r="EK6" i="148"/>
  <c r="EJ6" i="148"/>
  <c r="EI6" i="148"/>
  <c r="EH6" i="148"/>
  <c r="EG6" i="148"/>
  <c r="EF6" i="148"/>
  <c r="EE6" i="148"/>
  <c r="ED6" i="148"/>
  <c r="EC6" i="148"/>
  <c r="EB6" i="148"/>
  <c r="EA6" i="148"/>
  <c r="DG236" i="7"/>
  <c r="DF236" i="7"/>
  <c r="FK11" i="2"/>
  <c r="FK10" i="2"/>
  <c r="FK22" i="2"/>
  <c r="FK21" i="2"/>
  <c r="FK19" i="2"/>
  <c r="FK18" i="2"/>
  <c r="FE22" i="2"/>
  <c r="FE21" i="2"/>
  <c r="FE19" i="2"/>
  <c r="FE18" i="2"/>
  <c r="FE11" i="2"/>
  <c r="FE10" i="2"/>
  <c r="EK266" i="2"/>
  <c r="EK265" i="2"/>
  <c r="EK264" i="2"/>
  <c r="EK261" i="2"/>
  <c r="A34" i="82"/>
  <c r="EK250" i="2"/>
  <c r="DJ285" i="1" l="1"/>
  <c r="EG286" i="1"/>
  <c r="BB398" i="1"/>
  <c r="AW400" i="1"/>
  <c r="AW401" i="1"/>
  <c r="AW533" i="1"/>
  <c r="AW432" i="1"/>
  <c r="AW435" i="1" s="1"/>
  <c r="AW542" i="1"/>
  <c r="AW552" i="1"/>
  <c r="AW548" i="1"/>
  <c r="AW538" i="1"/>
  <c r="AW402" i="1"/>
  <c r="DC32" i="39"/>
  <c r="DC33" i="39" s="1"/>
  <c r="DC78" i="39"/>
  <c r="DC79" i="39" s="1"/>
  <c r="DE32" i="39"/>
  <c r="DE31" i="39" s="1"/>
  <c r="CZ32" i="39"/>
  <c r="CZ33" i="39" s="1"/>
  <c r="DA44" i="39"/>
  <c r="DA45" i="39" s="1"/>
  <c r="DQ78" i="39"/>
  <c r="DQ79" i="39" s="1"/>
  <c r="DQ32" i="39"/>
  <c r="DQ33" i="39" s="1"/>
  <c r="CY44" i="39"/>
  <c r="CY43" i="39" s="1"/>
  <c r="DD44" i="39"/>
  <c r="DD43" i="39" s="1"/>
  <c r="DC92" i="39"/>
  <c r="DC91" i="39" s="1"/>
  <c r="DS32" i="39"/>
  <c r="DS31" i="39" s="1"/>
  <c r="DU32" i="39"/>
  <c r="DU31" i="39" s="1"/>
  <c r="DS92" i="39"/>
  <c r="DS93" i="39" s="1"/>
  <c r="DA92" i="39"/>
  <c r="DA91" i="39" s="1"/>
  <c r="DS44" i="39"/>
  <c r="DS45" i="39" s="1"/>
  <c r="ED92" i="39"/>
  <c r="ED91" i="39" s="1"/>
  <c r="DE44" i="39"/>
  <c r="DE43" i="39" s="1"/>
  <c r="DK44" i="39"/>
  <c r="DK45" i="39" s="1"/>
  <c r="DZ44" i="39"/>
  <c r="DZ45" i="39" s="1"/>
  <c r="DI93" i="39"/>
  <c r="DI91" i="39"/>
  <c r="DP79" i="39"/>
  <c r="DP77" i="39"/>
  <c r="DT91" i="39"/>
  <c r="DT93" i="39"/>
  <c r="DJ31" i="39"/>
  <c r="DJ33" i="39"/>
  <c r="DP93" i="39"/>
  <c r="DP91" i="39"/>
  <c r="DM91" i="39"/>
  <c r="DM93" i="39"/>
  <c r="DH43" i="39"/>
  <c r="DH45" i="39"/>
  <c r="DI31" i="39"/>
  <c r="DI33" i="39"/>
  <c r="DY79" i="39"/>
  <c r="DY77" i="39"/>
  <c r="DO77" i="39"/>
  <c r="DO79" i="39"/>
  <c r="DS79" i="39"/>
  <c r="DS77" i="39"/>
  <c r="DN31" i="39"/>
  <c r="DN33" i="39"/>
  <c r="DO91" i="39"/>
  <c r="DO93" i="39"/>
  <c r="DH77" i="39"/>
  <c r="DH79" i="39"/>
  <c r="EC79" i="39"/>
  <c r="EC77" i="39"/>
  <c r="EB79" i="39"/>
  <c r="EB77" i="39"/>
  <c r="EB45" i="39"/>
  <c r="EB43" i="39"/>
  <c r="DP43" i="39"/>
  <c r="DP45" i="39"/>
  <c r="EI79" i="39"/>
  <c r="EI77" i="39"/>
  <c r="DV78" i="39"/>
  <c r="EJ77" i="39"/>
  <c r="EJ79" i="39"/>
  <c r="EC44" i="39"/>
  <c r="EC32" i="39"/>
  <c r="DX92" i="39"/>
  <c r="DU44" i="39"/>
  <c r="EE32" i="39"/>
  <c r="EC92" i="39"/>
  <c r="DN44" i="39"/>
  <c r="DW77" i="39"/>
  <c r="DW79" i="39"/>
  <c r="DY44" i="39"/>
  <c r="DW33" i="39"/>
  <c r="DW31" i="39"/>
  <c r="DO43" i="39"/>
  <c r="DO45" i="39"/>
  <c r="DE92" i="39"/>
  <c r="DD32" i="39"/>
  <c r="EI33" i="39"/>
  <c r="EI31" i="39"/>
  <c r="EG91" i="39"/>
  <c r="EG93" i="39"/>
  <c r="DN78" i="39"/>
  <c r="DJ44" i="39"/>
  <c r="EE44" i="39"/>
  <c r="DM44" i="39"/>
  <c r="DX44" i="39"/>
  <c r="DJ78" i="39"/>
  <c r="DU78" i="39"/>
  <c r="DZ93" i="39"/>
  <c r="DZ91" i="39"/>
  <c r="EH121" i="39"/>
  <c r="EH119" i="39"/>
  <c r="DX77" i="39"/>
  <c r="DX79" i="39"/>
  <c r="DT44" i="39"/>
  <c r="DW44" i="39"/>
  <c r="DI78" i="39"/>
  <c r="DT78" i="39"/>
  <c r="EE78" i="39"/>
  <c r="DC45" i="39"/>
  <c r="DC43" i="39"/>
  <c r="DD77" i="39"/>
  <c r="DD79" i="39"/>
  <c r="DE78" i="39"/>
  <c r="EG43" i="39"/>
  <c r="EG45" i="39"/>
  <c r="DH32" i="39"/>
  <c r="ED44" i="39"/>
  <c r="DZ79" i="39"/>
  <c r="DZ77" i="39"/>
  <c r="ED78" i="39"/>
  <c r="DP32" i="39"/>
  <c r="DR32" i="39"/>
  <c r="DY91" i="39"/>
  <c r="DY93" i="39"/>
  <c r="DH92" i="39"/>
  <c r="DR78" i="39"/>
  <c r="DM78" i="39"/>
  <c r="DK92" i="39"/>
  <c r="DO32" i="39"/>
  <c r="DW92" i="39"/>
  <c r="DZ32" i="39"/>
  <c r="EG133" i="39"/>
  <c r="EG131" i="39"/>
  <c r="CY45" i="39"/>
  <c r="CY92" i="39"/>
  <c r="CZ92" i="39"/>
  <c r="DD92" i="39"/>
  <c r="EB32" i="39"/>
  <c r="DT32" i="39"/>
  <c r="DR92" i="39"/>
  <c r="DN92" i="39"/>
  <c r="DJ92" i="39"/>
  <c r="DU92" i="39"/>
  <c r="DY32" i="39"/>
  <c r="EJ33" i="39"/>
  <c r="EJ31" i="39"/>
  <c r="CZ43" i="39"/>
  <c r="CZ45" i="39"/>
  <c r="EG309" i="1"/>
  <c r="EJ119" i="39"/>
  <c r="EJ121" i="39"/>
  <c r="DI44" i="39"/>
  <c r="ED32" i="39"/>
  <c r="EB92" i="39"/>
  <c r="DM32" i="39"/>
  <c r="DX32" i="39"/>
  <c r="EE92" i="39"/>
  <c r="DR44" i="39"/>
  <c r="EA268" i="1"/>
  <c r="EA277" i="1" s="1"/>
  <c r="EA278" i="1" s="1"/>
  <c r="EA78" i="39" s="1"/>
  <c r="EG310" i="1"/>
  <c r="EJ200" i="1"/>
  <c r="EJ304" i="1"/>
  <c r="EJ303" i="1"/>
  <c r="EJ188" i="1"/>
  <c r="EJ255" i="1"/>
  <c r="EJ256" i="1"/>
  <c r="EG285" i="1"/>
  <c r="EJ194" i="1"/>
  <c r="EJ279" i="1"/>
  <c r="EJ280" i="1"/>
  <c r="DR262" i="1"/>
  <c r="EE212" i="1"/>
  <c r="EE181" i="1" s="1"/>
  <c r="CW213" i="1"/>
  <c r="DF299" i="1"/>
  <c r="DE299" i="1"/>
  <c r="DD299" i="1"/>
  <c r="DC262" i="1"/>
  <c r="DC299" i="1"/>
  <c r="CX275" i="1"/>
  <c r="DD251" i="1"/>
  <c r="CY299" i="1"/>
  <c r="DA251" i="1"/>
  <c r="EB256" i="1"/>
  <c r="EB255" i="1"/>
  <c r="EC286" i="1"/>
  <c r="CR213" i="1"/>
  <c r="ED286" i="1"/>
  <c r="EE286" i="1"/>
  <c r="DP256" i="1"/>
  <c r="EI194" i="1"/>
  <c r="EI280" i="1"/>
  <c r="EI279" i="1"/>
  <c r="EI188" i="1"/>
  <c r="EI255" i="1"/>
  <c r="EI256" i="1"/>
  <c r="DP255" i="1"/>
  <c r="CU298" i="1"/>
  <c r="EE255" i="1"/>
  <c r="DZ212" i="1"/>
  <c r="DZ213" i="1" s="1"/>
  <c r="DF255" i="1"/>
  <c r="EC212" i="1"/>
  <c r="EC213" i="1" s="1"/>
  <c r="EE280" i="1"/>
  <c r="DS262" i="1"/>
  <c r="DJ280" i="1"/>
  <c r="DC286" i="1"/>
  <c r="EE256" i="1"/>
  <c r="EE279" i="1"/>
  <c r="DJ279" i="1"/>
  <c r="DP261" i="1"/>
  <c r="DP262" i="1"/>
  <c r="DU256" i="1"/>
  <c r="DY262" i="1"/>
  <c r="DR286" i="1"/>
  <c r="EB286" i="1"/>
  <c r="DM280" i="1"/>
  <c r="DA262" i="1"/>
  <c r="DU255" i="1"/>
  <c r="DS255" i="1"/>
  <c r="CZ278" i="1"/>
  <c r="CZ194" i="1" s="1"/>
  <c r="EF292" i="1"/>
  <c r="DC279" i="1"/>
  <c r="EA190" i="1"/>
  <c r="EA202" i="1" s="1"/>
  <c r="EA204" i="1"/>
  <c r="DC280" i="1"/>
  <c r="DW261" i="1"/>
  <c r="DS285" i="1"/>
  <c r="EA244" i="1"/>
  <c r="EA253" i="1" s="1"/>
  <c r="EA254" i="1" s="1"/>
  <c r="EA255" i="1" s="1"/>
  <c r="DC275" i="1"/>
  <c r="DC256" i="1"/>
  <c r="EC262" i="1"/>
  <c r="DG248" i="1"/>
  <c r="DL254" i="1" s="1"/>
  <c r="DL188" i="1" s="1"/>
  <c r="DM255" i="1"/>
  <c r="DM256" i="1"/>
  <c r="DN285" i="1"/>
  <c r="DJ262" i="1"/>
  <c r="DF249" i="1"/>
  <c r="DF32" i="39" s="1"/>
  <c r="DF250" i="1"/>
  <c r="DF44" i="39" s="1"/>
  <c r="DL213" i="1"/>
  <c r="DY256" i="1"/>
  <c r="DC251" i="1"/>
  <c r="DY188" i="1"/>
  <c r="DC255" i="1"/>
  <c r="CZ262" i="1"/>
  <c r="DM285" i="1"/>
  <c r="DM286" i="1"/>
  <c r="DH262" i="1"/>
  <c r="DH261" i="1"/>
  <c r="DI261" i="1"/>
  <c r="DH286" i="1"/>
  <c r="DD279" i="1"/>
  <c r="DK286" i="1"/>
  <c r="DD280" i="1"/>
  <c r="EH200" i="1"/>
  <c r="EH304" i="1"/>
  <c r="EH303" i="1"/>
  <c r="ED256" i="1"/>
  <c r="ED188" i="1"/>
  <c r="DZ262" i="1"/>
  <c r="CY262" i="1"/>
  <c r="DX261" i="1"/>
  <c r="DS280" i="1"/>
  <c r="DS194" i="1"/>
  <c r="DS188" i="1"/>
  <c r="DK278" i="1"/>
  <c r="DK78" i="39" s="1"/>
  <c r="DO261" i="1"/>
  <c r="DO262" i="1"/>
  <c r="CU274" i="1"/>
  <c r="DI279" i="1"/>
  <c r="DZ255" i="1"/>
  <c r="DG272" i="1"/>
  <c r="DG273" i="1" s="1"/>
  <c r="DI194" i="1"/>
  <c r="DF279" i="1"/>
  <c r="DF273" i="1"/>
  <c r="DF78" i="39" s="1"/>
  <c r="DF274" i="1"/>
  <c r="DF92" i="39" s="1"/>
  <c r="DT280" i="1"/>
  <c r="DX212" i="1"/>
  <c r="DX213" i="1" s="1"/>
  <c r="DT279" i="1"/>
  <c r="DZ256" i="1"/>
  <c r="DG297" i="1"/>
  <c r="EC188" i="1"/>
  <c r="EC256" i="1"/>
  <c r="DE286" i="1"/>
  <c r="DM279" i="1"/>
  <c r="EG261" i="1"/>
  <c r="EG262" i="1"/>
  <c r="DK262" i="1"/>
  <c r="DR280" i="1"/>
  <c r="DO256" i="1"/>
  <c r="CH180" i="1"/>
  <c r="DR279" i="1"/>
  <c r="DO188" i="1"/>
  <c r="DR256" i="1"/>
  <c r="DG213" i="1"/>
  <c r="DS279" i="1"/>
  <c r="DE280" i="1"/>
  <c r="DL297" i="1"/>
  <c r="DL299" i="1" s="1"/>
  <c r="CT274" i="1"/>
  <c r="DK254" i="1"/>
  <c r="DK32" i="39" s="1"/>
  <c r="DM261" i="1"/>
  <c r="CZ256" i="1"/>
  <c r="CZ273" i="1"/>
  <c r="DA254" i="1"/>
  <c r="DA32" i="39" s="1"/>
  <c r="CZ286" i="1"/>
  <c r="DA297" i="1"/>
  <c r="BX180" i="1"/>
  <c r="DT262" i="1"/>
  <c r="DD275" i="1"/>
  <c r="CY286" i="1"/>
  <c r="DD256" i="1"/>
  <c r="DX256" i="1"/>
  <c r="EB261" i="1"/>
  <c r="EB262" i="1"/>
  <c r="DN261" i="1"/>
  <c r="DW188" i="1"/>
  <c r="DW256" i="1"/>
  <c r="CV298" i="1"/>
  <c r="ED262" i="1"/>
  <c r="CX250" i="1"/>
  <c r="DW286" i="1"/>
  <c r="CY273" i="1"/>
  <c r="DH188" i="1"/>
  <c r="DH256" i="1"/>
  <c r="DX255" i="1"/>
  <c r="DN280" i="1"/>
  <c r="CX260" i="1"/>
  <c r="CX261" i="1" s="1"/>
  <c r="DW255" i="1"/>
  <c r="DN279" i="1"/>
  <c r="DX285" i="1"/>
  <c r="CY278" i="1"/>
  <c r="CY194" i="1" s="1"/>
  <c r="DU262" i="1"/>
  <c r="ED279" i="1"/>
  <c r="DT188" i="1"/>
  <c r="DT256" i="1"/>
  <c r="CX278" i="1"/>
  <c r="CX78" i="39" s="1"/>
  <c r="DV254" i="1"/>
  <c r="DV32" i="39" s="1"/>
  <c r="CZ255" i="1"/>
  <c r="CV250" i="1"/>
  <c r="EF268" i="1"/>
  <c r="EF277" i="1" s="1"/>
  <c r="EF278" i="1" s="1"/>
  <c r="EF279" i="1" s="1"/>
  <c r="DR255" i="1"/>
  <c r="CX251" i="1"/>
  <c r="EF180" i="1"/>
  <c r="EF196" i="1"/>
  <c r="EF190" i="1"/>
  <c r="EF204" i="1"/>
  <c r="CW180" i="1"/>
  <c r="CW190" i="1"/>
  <c r="DE188" i="1"/>
  <c r="DE255" i="1"/>
  <c r="DB277" i="1"/>
  <c r="AE179" i="1"/>
  <c r="AD182" i="1"/>
  <c r="AF182" i="1"/>
  <c r="CW202" i="1"/>
  <c r="EE262" i="1"/>
  <c r="DU212" i="1"/>
  <c r="CW270" i="1"/>
  <c r="CW269" i="1" s="1"/>
  <c r="DO194" i="1"/>
  <c r="DO279" i="1"/>
  <c r="CT248" i="1"/>
  <c r="ED212" i="1"/>
  <c r="CZ297" i="1"/>
  <c r="AU182" i="1"/>
  <c r="AS180" i="1"/>
  <c r="AS182" i="1"/>
  <c r="DB213" i="1"/>
  <c r="DN188" i="1"/>
  <c r="DN256" i="1"/>
  <c r="DN255" i="1"/>
  <c r="CV272" i="1"/>
  <c r="DO285" i="1"/>
  <c r="DO286" i="1"/>
  <c r="CW246" i="1"/>
  <c r="DI188" i="1"/>
  <c r="DI256" i="1"/>
  <c r="DI255" i="1"/>
  <c r="AN180" i="1"/>
  <c r="AN182" i="1"/>
  <c r="DB180" i="1"/>
  <c r="DB196" i="1"/>
  <c r="DB202" i="1"/>
  <c r="BI180" i="1"/>
  <c r="BN180" i="1"/>
  <c r="DB190" i="1"/>
  <c r="DP194" i="1"/>
  <c r="DP279" i="1"/>
  <c r="DP280" i="1"/>
  <c r="DZ285" i="1"/>
  <c r="DZ286" i="1"/>
  <c r="DI285" i="1"/>
  <c r="DI286" i="1"/>
  <c r="DA286" i="1"/>
  <c r="DY181" i="1"/>
  <c r="DY213" i="1"/>
  <c r="DE279" i="1"/>
  <c r="DD188" i="1"/>
  <c r="DD255" i="1"/>
  <c r="AZ182" i="1"/>
  <c r="AX180" i="1"/>
  <c r="AP182" i="1"/>
  <c r="EF184" i="1"/>
  <c r="CR190" i="1"/>
  <c r="CR196" i="1"/>
  <c r="CR202" i="1"/>
  <c r="CR204" i="1"/>
  <c r="DQ279" i="1"/>
  <c r="DQ280" i="1"/>
  <c r="DQ184" i="1"/>
  <c r="DQ213" i="1"/>
  <c r="DU194" i="1"/>
  <c r="DU280" i="1"/>
  <c r="CZ251" i="1"/>
  <c r="DE275" i="1"/>
  <c r="DT286" i="1"/>
  <c r="DT285" i="1"/>
  <c r="DB253" i="1"/>
  <c r="CX254" i="1"/>
  <c r="CX256" i="1" s="1"/>
  <c r="DE262" i="1"/>
  <c r="AI180" i="1"/>
  <c r="AI182" i="1"/>
  <c r="DQ256" i="1"/>
  <c r="DQ255" i="1"/>
  <c r="CW204" i="1"/>
  <c r="EB194" i="1"/>
  <c r="EB279" i="1"/>
  <c r="EB280" i="1"/>
  <c r="CT298" i="1"/>
  <c r="CX297" i="1"/>
  <c r="CW296" i="1"/>
  <c r="ED280" i="1"/>
  <c r="DY194" i="1"/>
  <c r="DY279" i="1"/>
  <c r="DY280" i="1"/>
  <c r="DW181" i="1"/>
  <c r="DW213" i="1"/>
  <c r="DU286" i="1"/>
  <c r="DJ188" i="1"/>
  <c r="DJ255" i="1"/>
  <c r="DJ256" i="1"/>
  <c r="DD286" i="1"/>
  <c r="DD285" i="1"/>
  <c r="DE256" i="1"/>
  <c r="DE251" i="1"/>
  <c r="EA180" i="1"/>
  <c r="DV180" i="1"/>
  <c r="DV190" i="1"/>
  <c r="DV196" i="1"/>
  <c r="DQ181" i="1"/>
  <c r="DQ180" i="1"/>
  <c r="DQ190" i="1"/>
  <c r="DQ202" i="1" s="1"/>
  <c r="DQ204" i="1"/>
  <c r="DL196" i="1"/>
  <c r="DL190" i="1"/>
  <c r="DL204" i="1"/>
  <c r="DV280" i="1"/>
  <c r="DV279" i="1"/>
  <c r="EB212" i="1"/>
  <c r="EF244" i="1"/>
  <c r="EF253" i="1" s="1"/>
  <c r="EF254" i="1" s="1"/>
  <c r="EF32" i="39" s="1"/>
  <c r="EC194" i="1"/>
  <c r="EC280" i="1"/>
  <c r="EC279" i="1"/>
  <c r="DH194" i="1"/>
  <c r="DH279" i="1"/>
  <c r="DH280" i="1"/>
  <c r="DO280" i="1"/>
  <c r="DP285" i="1"/>
  <c r="DP286" i="1"/>
  <c r="DD262" i="1"/>
  <c r="DU33" i="39" l="1"/>
  <c r="DC31" i="39"/>
  <c r="DS33" i="39"/>
  <c r="CZ31" i="39"/>
  <c r="DE33" i="39"/>
  <c r="DC93" i="39"/>
  <c r="DK43" i="39"/>
  <c r="DC77" i="39"/>
  <c r="ED93" i="39"/>
  <c r="EA279" i="1"/>
  <c r="EA280" i="1"/>
  <c r="EA194" i="1"/>
  <c r="DZ43" i="39"/>
  <c r="DA43" i="39"/>
  <c r="DE45" i="39"/>
  <c r="DD45" i="39"/>
  <c r="DS91" i="39"/>
  <c r="CY78" i="39"/>
  <c r="CY79" i="39" s="1"/>
  <c r="CZ78" i="39"/>
  <c r="CZ77" i="39" s="1"/>
  <c r="DA93" i="39"/>
  <c r="DS43" i="39"/>
  <c r="EA79" i="39"/>
  <c r="EA77" i="39"/>
  <c r="DV31" i="39"/>
  <c r="DV33" i="39"/>
  <c r="CX79" i="39"/>
  <c r="CX77" i="39"/>
  <c r="DA33" i="39"/>
  <c r="DA31" i="39"/>
  <c r="EF33" i="39"/>
  <c r="EF31" i="39"/>
  <c r="DR91" i="39"/>
  <c r="DR93" i="39"/>
  <c r="DH93" i="39"/>
  <c r="DH91" i="39"/>
  <c r="DT43" i="39"/>
  <c r="DT45" i="39"/>
  <c r="DM43" i="39"/>
  <c r="DM45" i="39"/>
  <c r="EF78" i="39"/>
  <c r="CX32" i="39"/>
  <c r="EE33" i="39"/>
  <c r="EE31" i="39"/>
  <c r="CX44" i="39"/>
  <c r="DR43" i="39"/>
  <c r="DR45" i="39"/>
  <c r="DT31" i="39"/>
  <c r="DT33" i="39"/>
  <c r="EE45" i="39"/>
  <c r="EE43" i="39"/>
  <c r="DU43" i="39"/>
  <c r="DU45" i="39"/>
  <c r="DK77" i="39"/>
  <c r="DK79" i="39"/>
  <c r="EC93" i="39"/>
  <c r="EC91" i="39"/>
  <c r="DF43" i="39"/>
  <c r="DF45" i="39"/>
  <c r="EE93" i="39"/>
  <c r="EE91" i="39"/>
  <c r="EA32" i="39"/>
  <c r="EB33" i="39"/>
  <c r="EB31" i="39"/>
  <c r="CY93" i="39"/>
  <c r="CY91" i="39"/>
  <c r="DZ33" i="39"/>
  <c r="DZ31" i="39"/>
  <c r="DP31" i="39"/>
  <c r="DP33" i="39"/>
  <c r="DJ45" i="39"/>
  <c r="DJ43" i="39"/>
  <c r="DX91" i="39"/>
  <c r="DX93" i="39"/>
  <c r="DF33" i="39"/>
  <c r="DF31" i="39"/>
  <c r="DX31" i="39"/>
  <c r="DX33" i="39"/>
  <c r="DW93" i="39"/>
  <c r="DW91" i="39"/>
  <c r="DR33" i="39"/>
  <c r="DR31" i="39"/>
  <c r="ED77" i="39"/>
  <c r="ED79" i="39"/>
  <c r="DN77" i="39"/>
  <c r="DN79" i="39"/>
  <c r="DY45" i="39"/>
  <c r="DY43" i="39"/>
  <c r="EC31" i="39"/>
  <c r="EC33" i="39"/>
  <c r="DM31" i="39"/>
  <c r="DM33" i="39"/>
  <c r="DY33" i="39"/>
  <c r="DY31" i="39"/>
  <c r="DD93" i="39"/>
  <c r="DD91" i="39"/>
  <c r="DO31" i="39"/>
  <c r="DO33" i="39"/>
  <c r="DL32" i="39"/>
  <c r="DL33" i="39" s="1"/>
  <c r="EE77" i="39"/>
  <c r="EE79" i="39"/>
  <c r="DD31" i="39"/>
  <c r="DD33" i="39"/>
  <c r="EC45" i="39"/>
  <c r="EC43" i="39"/>
  <c r="DI45" i="39"/>
  <c r="DI43" i="39"/>
  <c r="DN91" i="39"/>
  <c r="DN93" i="39"/>
  <c r="DH33" i="39"/>
  <c r="DH31" i="39"/>
  <c r="DW45" i="39"/>
  <c r="DW43" i="39"/>
  <c r="DV77" i="39"/>
  <c r="DV79" i="39"/>
  <c r="DK33" i="39"/>
  <c r="DK31" i="39"/>
  <c r="DF93" i="39"/>
  <c r="DF91" i="39"/>
  <c r="EB93" i="39"/>
  <c r="EB91" i="39"/>
  <c r="DU93" i="39"/>
  <c r="DU91" i="39"/>
  <c r="DK93" i="39"/>
  <c r="DK91" i="39"/>
  <c r="DT79" i="39"/>
  <c r="DT77" i="39"/>
  <c r="DU77" i="39"/>
  <c r="DU79" i="39"/>
  <c r="DE91" i="39"/>
  <c r="DE93" i="39"/>
  <c r="DR79" i="39"/>
  <c r="DR77" i="39"/>
  <c r="DE77" i="39"/>
  <c r="DE79" i="39"/>
  <c r="DX45" i="39"/>
  <c r="DX43" i="39"/>
  <c r="DF79" i="39"/>
  <c r="DF77" i="39"/>
  <c r="ED31" i="39"/>
  <c r="ED33" i="39"/>
  <c r="DJ91" i="39"/>
  <c r="DJ93" i="39"/>
  <c r="CZ93" i="39"/>
  <c r="CZ91" i="39"/>
  <c r="DM79" i="39"/>
  <c r="DM77" i="39"/>
  <c r="ED45" i="39"/>
  <c r="ED43" i="39"/>
  <c r="DI77" i="39"/>
  <c r="DI79" i="39"/>
  <c r="DJ77" i="39"/>
  <c r="DJ79" i="39"/>
  <c r="DN43" i="39"/>
  <c r="DN45" i="39"/>
  <c r="EE213" i="1"/>
  <c r="CZ275" i="1"/>
  <c r="DF262" i="1"/>
  <c r="CZ299" i="1"/>
  <c r="DF256" i="1"/>
  <c r="DF286" i="1"/>
  <c r="CX299" i="1"/>
  <c r="CY275" i="1"/>
  <c r="DA299" i="1"/>
  <c r="DK280" i="1"/>
  <c r="DG299" i="1"/>
  <c r="DZ181" i="1"/>
  <c r="DL255" i="1"/>
  <c r="DG249" i="1"/>
  <c r="DL256" i="1"/>
  <c r="CZ279" i="1"/>
  <c r="DK194" i="1"/>
  <c r="EC181" i="1"/>
  <c r="DG253" i="1"/>
  <c r="DG254" i="1" s="1"/>
  <c r="DG188" i="1" s="1"/>
  <c r="EA256" i="1"/>
  <c r="EA188" i="1"/>
  <c r="DK279" i="1"/>
  <c r="CY279" i="1"/>
  <c r="EF202" i="1"/>
  <c r="EF194" i="1"/>
  <c r="DX181" i="1"/>
  <c r="EA212" i="1"/>
  <c r="EA181" i="1" s="1"/>
  <c r="EF280" i="1"/>
  <c r="CZ280" i="1"/>
  <c r="CY280" i="1"/>
  <c r="DG277" i="1"/>
  <c r="DG278" i="1" s="1"/>
  <c r="DG194" i="1" s="1"/>
  <c r="DL278" i="1"/>
  <c r="DL78" i="39" s="1"/>
  <c r="DL79" i="39" s="1"/>
  <c r="DF280" i="1"/>
  <c r="DF275" i="1"/>
  <c r="DK255" i="1"/>
  <c r="DK188" i="1"/>
  <c r="DK256" i="1"/>
  <c r="DL202" i="1"/>
  <c r="CX194" i="1"/>
  <c r="CX279" i="1"/>
  <c r="CX280" i="1"/>
  <c r="CX262" i="1"/>
  <c r="DA188" i="1"/>
  <c r="DA255" i="1"/>
  <c r="DV188" i="1"/>
  <c r="DV256" i="1"/>
  <c r="DV255" i="1"/>
  <c r="DA256" i="1"/>
  <c r="CW245" i="1"/>
  <c r="CW248" i="1"/>
  <c r="DB254" i="1" s="1"/>
  <c r="CW297" i="1"/>
  <c r="DB297" i="1"/>
  <c r="AJ180" i="1"/>
  <c r="EF188" i="1"/>
  <c r="EF256" i="1"/>
  <c r="EF255" i="1"/>
  <c r="CV274" i="1"/>
  <c r="CX274" i="1"/>
  <c r="DA278" i="1"/>
  <c r="CX284" i="1"/>
  <c r="CX285" i="1" s="1"/>
  <c r="DA273" i="1"/>
  <c r="CW272" i="1"/>
  <c r="DB278" i="1" s="1"/>
  <c r="ED181" i="1"/>
  <c r="ED213" i="1"/>
  <c r="DV212" i="1"/>
  <c r="DU181" i="1"/>
  <c r="DU213" i="1"/>
  <c r="CT250" i="1"/>
  <c r="CU250" i="1"/>
  <c r="CY249" i="1"/>
  <c r="DV202" i="1"/>
  <c r="CY254" i="1"/>
  <c r="EB181" i="1"/>
  <c r="EF212" i="1"/>
  <c r="EB213" i="1"/>
  <c r="CX188" i="1"/>
  <c r="CX255" i="1"/>
  <c r="DG275" i="1"/>
  <c r="EE119" i="82"/>
  <c r="EE45" i="82" s="1"/>
  <c r="EE118" i="82"/>
  <c r="EJ133" i="82" s="1"/>
  <c r="EE82" i="82"/>
  <c r="EJ97" i="82" s="1"/>
  <c r="EE47" i="82"/>
  <c r="EE44" i="82"/>
  <c r="EJ61" i="82" s="1"/>
  <c r="EE225" i="2"/>
  <c r="DH11" i="7"/>
  <c r="DM11" i="7" s="1"/>
  <c r="DH12" i="7"/>
  <c r="DH22" i="7"/>
  <c r="DH43" i="7"/>
  <c r="DM43" i="7" s="1"/>
  <c r="DH48" i="7"/>
  <c r="DM48" i="7" s="1"/>
  <c r="DH49" i="7"/>
  <c r="DM49" i="7" s="1"/>
  <c r="DH34" i="7"/>
  <c r="DM34" i="7" s="1"/>
  <c r="DH35" i="7"/>
  <c r="DH36" i="7"/>
  <c r="DM36" i="7" s="1"/>
  <c r="DH37" i="7"/>
  <c r="DM37" i="7" s="1"/>
  <c r="DH40" i="7"/>
  <c r="DM40" i="7" s="1"/>
  <c r="DH53" i="7"/>
  <c r="DM53" i="7" s="1"/>
  <c r="DH54" i="7"/>
  <c r="DM54" i="7" s="1"/>
  <c r="DH56" i="7"/>
  <c r="DM56" i="7" s="1"/>
  <c r="DH57" i="7"/>
  <c r="DM57" i="7" s="1"/>
  <c r="EE12" i="82"/>
  <c r="EE149" i="82" s="1"/>
  <c r="EE11" i="82"/>
  <c r="EE10" i="82"/>
  <c r="EE80" i="82" s="1"/>
  <c r="EJ94" i="82" s="1"/>
  <c r="EE98" i="1"/>
  <c r="ED98" i="1"/>
  <c r="EC98" i="1"/>
  <c r="EB98" i="1"/>
  <c r="EE97" i="1"/>
  <c r="ED97" i="1"/>
  <c r="EC97" i="1"/>
  <c r="EB97" i="1"/>
  <c r="AD330" i="113"/>
  <c r="AD328" i="113"/>
  <c r="AD298" i="113"/>
  <c r="AD257" i="113"/>
  <c r="AD255" i="113"/>
  <c r="AD24" i="113"/>
  <c r="AD336" i="113" s="1"/>
  <c r="AD6" i="113"/>
  <c r="EE320" i="1"/>
  <c r="EJ321" i="1" s="1"/>
  <c r="EE319" i="1"/>
  <c r="EE318" i="1"/>
  <c r="EF317" i="1"/>
  <c r="DG198" i="7"/>
  <c r="DG171" i="7"/>
  <c r="DG169" i="7"/>
  <c r="DG101" i="7"/>
  <c r="DG99" i="7"/>
  <c r="DG97" i="7"/>
  <c r="DG95" i="7"/>
  <c r="DG93" i="7"/>
  <c r="DG90" i="7"/>
  <c r="DG86" i="7"/>
  <c r="DG84" i="7"/>
  <c r="DG81" i="7"/>
  <c r="DG72" i="7"/>
  <c r="DG60" i="7"/>
  <c r="DG38" i="7"/>
  <c r="DG17" i="3"/>
  <c r="DG98" i="3"/>
  <c r="DL99" i="3" s="1"/>
  <c r="DG73" i="3"/>
  <c r="DG66" i="3"/>
  <c r="DG18" i="3" s="1"/>
  <c r="DG46" i="3"/>
  <c r="DG32" i="3"/>
  <c r="EE198" i="2"/>
  <c r="EE199" i="2" s="1"/>
  <c r="EE187" i="2"/>
  <c r="AD5" i="113"/>
  <c r="DI75" i="3" l="1"/>
  <c r="CY77" i="39"/>
  <c r="CZ79" i="39"/>
  <c r="DQ77" i="39"/>
  <c r="DG77" i="39"/>
  <c r="DG31" i="39"/>
  <c r="DG32" i="39"/>
  <c r="DG33" i="39" s="1"/>
  <c r="DA78" i="39"/>
  <c r="DA77" i="39" s="1"/>
  <c r="EA31" i="39"/>
  <c r="EA33" i="39"/>
  <c r="CX31" i="39"/>
  <c r="CX33" i="39"/>
  <c r="DQ31" i="39"/>
  <c r="EF77" i="39"/>
  <c r="EF79" i="39"/>
  <c r="DL77" i="39"/>
  <c r="CX92" i="39"/>
  <c r="DL31" i="39"/>
  <c r="DG78" i="39"/>
  <c r="DG79" i="39" s="1"/>
  <c r="CY32" i="39"/>
  <c r="CX45" i="39"/>
  <c r="CX43" i="39"/>
  <c r="DG105" i="7"/>
  <c r="DM22" i="7"/>
  <c r="DM12" i="7"/>
  <c r="DM35" i="7"/>
  <c r="DG50" i="7"/>
  <c r="EG319" i="1"/>
  <c r="DG103" i="7"/>
  <c r="DG102" i="7" s="1"/>
  <c r="DI177" i="7"/>
  <c r="DL176" i="7"/>
  <c r="DL74" i="3"/>
  <c r="DB299" i="1"/>
  <c r="CW299" i="1"/>
  <c r="DG256" i="1"/>
  <c r="DG255" i="1"/>
  <c r="DQ36" i="7"/>
  <c r="DR36" i="7" s="1"/>
  <c r="DQ11" i="7"/>
  <c r="DR11" i="7" s="1"/>
  <c r="DQ57" i="7"/>
  <c r="DR57" i="7" s="1"/>
  <c r="DQ56" i="7"/>
  <c r="DR56" i="7" s="1"/>
  <c r="DQ49" i="7"/>
  <c r="DR49" i="7" s="1"/>
  <c r="DQ54" i="7"/>
  <c r="DR54" i="7" s="1"/>
  <c r="DQ48" i="7"/>
  <c r="DR48" i="7" s="1"/>
  <c r="DQ53" i="7"/>
  <c r="DR53" i="7" s="1"/>
  <c r="DQ43" i="7"/>
  <c r="DR43" i="7" s="1"/>
  <c r="DQ40" i="7"/>
  <c r="DR40" i="7" s="1"/>
  <c r="DQ37" i="7"/>
  <c r="DR37" i="7" s="1"/>
  <c r="EA213" i="1"/>
  <c r="DG279" i="1"/>
  <c r="DG280" i="1"/>
  <c r="DL194" i="1"/>
  <c r="DL279" i="1"/>
  <c r="DL280" i="1"/>
  <c r="EE115" i="82"/>
  <c r="DG81" i="3"/>
  <c r="DK92" i="3" s="1"/>
  <c r="DB194" i="1"/>
  <c r="DB279" i="1"/>
  <c r="CW249" i="1"/>
  <c r="CW253" i="1"/>
  <c r="CW254" i="1" s="1"/>
  <c r="DB249" i="1"/>
  <c r="DB32" i="39" s="1"/>
  <c r="CY251" i="1"/>
  <c r="CY256" i="1"/>
  <c r="CW273" i="1"/>
  <c r="CW277" i="1"/>
  <c r="CW278" i="1" s="1"/>
  <c r="DB273" i="1"/>
  <c r="DB78" i="39" s="1"/>
  <c r="DA275" i="1"/>
  <c r="DA280" i="1"/>
  <c r="DA194" i="1"/>
  <c r="DA279" i="1"/>
  <c r="EF181" i="1"/>
  <c r="EF213" i="1"/>
  <c r="CY188" i="1"/>
  <c r="CY255" i="1"/>
  <c r="CX286" i="1"/>
  <c r="DV213" i="1"/>
  <c r="DV181" i="1"/>
  <c r="DB188" i="1"/>
  <c r="DB255" i="1"/>
  <c r="DG88" i="7"/>
  <c r="DG87" i="7" s="1"/>
  <c r="DG168" i="7"/>
  <c r="EE46" i="82"/>
  <c r="EE48" i="82" s="1"/>
  <c r="EJ62" i="82" s="1"/>
  <c r="EE81" i="82"/>
  <c r="EE110" i="82"/>
  <c r="EJ111" i="82" s="1"/>
  <c r="EE84" i="82"/>
  <c r="EE86" i="82" s="1"/>
  <c r="EJ98" i="82" s="1"/>
  <c r="EE120" i="82"/>
  <c r="EE122" i="82" s="1"/>
  <c r="EJ134" i="82" s="1"/>
  <c r="DG70" i="3"/>
  <c r="DL71" i="3" s="1"/>
  <c r="EE200" i="2"/>
  <c r="DS56" i="7" l="1"/>
  <c r="DT56" i="7" s="1"/>
  <c r="DU56" i="7" s="1"/>
  <c r="DV56" i="7" s="1"/>
  <c r="DW56" i="7" s="1"/>
  <c r="DX56" i="7" s="1"/>
  <c r="DY56" i="7" s="1"/>
  <c r="DZ56" i="7" s="1"/>
  <c r="EA56" i="7" s="1"/>
  <c r="DS43" i="7"/>
  <c r="DT43" i="7" s="1"/>
  <c r="DU43" i="7" s="1"/>
  <c r="DV43" i="7" s="1"/>
  <c r="DW43" i="7" s="1"/>
  <c r="DX43" i="7" s="1"/>
  <c r="DY43" i="7" s="1"/>
  <c r="DZ43" i="7" s="1"/>
  <c r="EA43" i="7" s="1"/>
  <c r="DS37" i="7"/>
  <c r="DT37" i="7" s="1"/>
  <c r="DU37" i="7" s="1"/>
  <c r="DV37" i="7" s="1"/>
  <c r="DW37" i="7" s="1"/>
  <c r="DX37" i="7" s="1"/>
  <c r="DY37" i="7" s="1"/>
  <c r="DZ37" i="7" s="1"/>
  <c r="EA37" i="7" s="1"/>
  <c r="DS57" i="7"/>
  <c r="DT57" i="7" s="1"/>
  <c r="DU57" i="7" s="1"/>
  <c r="DV57" i="7" s="1"/>
  <c r="DW57" i="7" s="1"/>
  <c r="DX57" i="7" s="1"/>
  <c r="DY57" i="7" s="1"/>
  <c r="DZ57" i="7" s="1"/>
  <c r="EA57" i="7" s="1"/>
  <c r="DS11" i="7"/>
  <c r="DT11" i="7" s="1"/>
  <c r="DU11" i="7" s="1"/>
  <c r="DV11" i="7" s="1"/>
  <c r="DW11" i="7" s="1"/>
  <c r="DX11" i="7" s="1"/>
  <c r="DY11" i="7" s="1"/>
  <c r="DZ11" i="7" s="1"/>
  <c r="EA11" i="7" s="1"/>
  <c r="DS53" i="7"/>
  <c r="DT53" i="7" s="1"/>
  <c r="DU53" i="7" s="1"/>
  <c r="DV53" i="7" s="1"/>
  <c r="DW53" i="7" s="1"/>
  <c r="DX53" i="7" s="1"/>
  <c r="DY53" i="7" s="1"/>
  <c r="DZ53" i="7" s="1"/>
  <c r="EA53" i="7" s="1"/>
  <c r="DS48" i="7"/>
  <c r="DT48" i="7" s="1"/>
  <c r="DU48" i="7" s="1"/>
  <c r="DV48" i="7" s="1"/>
  <c r="DW48" i="7" s="1"/>
  <c r="DX48" i="7" s="1"/>
  <c r="DY48" i="7" s="1"/>
  <c r="DZ48" i="7" s="1"/>
  <c r="EA48" i="7" s="1"/>
  <c r="DS36" i="7"/>
  <c r="DT36" i="7" s="1"/>
  <c r="DU36" i="7" s="1"/>
  <c r="DV36" i="7" s="1"/>
  <c r="DW36" i="7" s="1"/>
  <c r="DX36" i="7" s="1"/>
  <c r="DY36" i="7" s="1"/>
  <c r="DZ36" i="7" s="1"/>
  <c r="EA36" i="7" s="1"/>
  <c r="DS54" i="7"/>
  <c r="DT54" i="7" s="1"/>
  <c r="DU54" i="7" s="1"/>
  <c r="DV54" i="7" s="1"/>
  <c r="DW54" i="7" s="1"/>
  <c r="DX54" i="7" s="1"/>
  <c r="DY54" i="7" s="1"/>
  <c r="DZ54" i="7" s="1"/>
  <c r="EA54" i="7" s="1"/>
  <c r="DS40" i="7"/>
  <c r="DT40" i="7" s="1"/>
  <c r="DU40" i="7" s="1"/>
  <c r="DV40" i="7" s="1"/>
  <c r="DW40" i="7" s="1"/>
  <c r="DX40" i="7" s="1"/>
  <c r="DY40" i="7" s="1"/>
  <c r="DZ40" i="7" s="1"/>
  <c r="EA40" i="7" s="1"/>
  <c r="DS49" i="7"/>
  <c r="DT49" i="7" s="1"/>
  <c r="DU49" i="7" s="1"/>
  <c r="DV49" i="7" s="1"/>
  <c r="DW49" i="7" s="1"/>
  <c r="DX49" i="7" s="1"/>
  <c r="DY49" i="7" s="1"/>
  <c r="DZ49" i="7" s="1"/>
  <c r="EA49" i="7" s="1"/>
  <c r="CW78" i="39"/>
  <c r="CW77" i="39" s="1"/>
  <c r="CW32" i="39"/>
  <c r="CW33" i="39" s="1"/>
  <c r="DA79" i="39"/>
  <c r="CY33" i="39"/>
  <c r="CY31" i="39"/>
  <c r="DB79" i="39"/>
  <c r="DB77" i="39"/>
  <c r="CX91" i="39"/>
  <c r="CX93" i="39"/>
  <c r="DB31" i="39"/>
  <c r="DB33" i="39"/>
  <c r="DG62" i="7"/>
  <c r="DG100" i="7"/>
  <c r="EE116" i="82"/>
  <c r="EJ131" i="82" s="1"/>
  <c r="EJ130" i="82"/>
  <c r="EE105" i="82"/>
  <c r="EJ95" i="82"/>
  <c r="DI175" i="7"/>
  <c r="DL174" i="7"/>
  <c r="DN204" i="7"/>
  <c r="DG85" i="7"/>
  <c r="EE144" i="82"/>
  <c r="EJ145" i="82" s="1"/>
  <c r="DB280" i="1"/>
  <c r="DB275" i="1"/>
  <c r="CW194" i="1"/>
  <c r="CW279" i="1"/>
  <c r="CW280" i="1"/>
  <c r="CW275" i="1"/>
  <c r="DB256" i="1"/>
  <c r="DB251" i="1"/>
  <c r="CW188" i="1"/>
  <c r="CW255" i="1"/>
  <c r="CW256" i="1"/>
  <c r="CW251" i="1"/>
  <c r="DG182" i="7"/>
  <c r="EE146" i="82"/>
  <c r="EE112" i="82"/>
  <c r="EE306" i="1"/>
  <c r="EE229" i="1" s="1"/>
  <c r="EE90" i="1"/>
  <c r="EJ91" i="1" s="1"/>
  <c r="EE56" i="2"/>
  <c r="DG15" i="3" s="1"/>
  <c r="EE52" i="2"/>
  <c r="DG76" i="7" s="1"/>
  <c r="EE47" i="2"/>
  <c r="EE46" i="2"/>
  <c r="EE41" i="2"/>
  <c r="EE26" i="2"/>
  <c r="EE8" i="2"/>
  <c r="EE66" i="1"/>
  <c r="EE65" i="1"/>
  <c r="EE62" i="1"/>
  <c r="EE58" i="1"/>
  <c r="EE48" i="1"/>
  <c r="EE44" i="1"/>
  <c r="EE34" i="1"/>
  <c r="EE30" i="1"/>
  <c r="EE22" i="1"/>
  <c r="EE20" i="1"/>
  <c r="EE16" i="1"/>
  <c r="EE13" i="1"/>
  <c r="EE9" i="1"/>
  <c r="EE154" i="1" l="1"/>
  <c r="EG85" i="2"/>
  <c r="CW31" i="39"/>
  <c r="CW79" i="39"/>
  <c r="EE141" i="82"/>
  <c r="EG27" i="1"/>
  <c r="EJ23" i="1"/>
  <c r="EG93" i="2"/>
  <c r="EJ69" i="2"/>
  <c r="DO204" i="7"/>
  <c r="EE92" i="1"/>
  <c r="EE101" i="1"/>
  <c r="EE12" i="2"/>
  <c r="EE41" i="82"/>
  <c r="EE99" i="1"/>
  <c r="EJ100" i="1" s="1"/>
  <c r="EE93" i="1"/>
  <c r="EE36" i="1"/>
  <c r="EJ94" i="1" l="1"/>
  <c r="EG95" i="1"/>
  <c r="EG87" i="2"/>
  <c r="EG41" i="1"/>
  <c r="EJ37" i="1"/>
  <c r="DQ22" i="7"/>
  <c r="DQ12" i="7"/>
  <c r="DQ34" i="7"/>
  <c r="DP204" i="7"/>
  <c r="DQ35" i="7"/>
  <c r="EE102" i="1"/>
  <c r="EE50" i="1"/>
  <c r="EG104" i="1" l="1"/>
  <c r="EJ103" i="1"/>
  <c r="EJ51" i="1"/>
  <c r="DR12" i="7"/>
  <c r="DR22" i="7"/>
  <c r="DR35" i="7"/>
  <c r="DQ204" i="7"/>
  <c r="DR34" i="7"/>
  <c r="EE9" i="82"/>
  <c r="EE40" i="82" s="1"/>
  <c r="EJ56" i="82" s="1"/>
  <c r="EG55" i="1"/>
  <c r="EE69" i="1"/>
  <c r="DS35" i="7" l="1"/>
  <c r="DS22" i="7"/>
  <c r="DS12" i="7"/>
  <c r="DT35" i="7"/>
  <c r="DS34" i="7"/>
  <c r="EJ70" i="1"/>
  <c r="DR204" i="7"/>
  <c r="EE13" i="82"/>
  <c r="EE14" i="82" s="1"/>
  <c r="EE170" i="1"/>
  <c r="EG74" i="1"/>
  <c r="EE77" i="82"/>
  <c r="EE75" i="82"/>
  <c r="EJ76" i="82" s="1"/>
  <c r="EE42" i="82"/>
  <c r="EE69" i="82"/>
  <c r="EE7" i="2"/>
  <c r="DH26" i="2"/>
  <c r="DM26" i="2"/>
  <c r="DK26" i="2"/>
  <c r="DJ23" i="2"/>
  <c r="ED278" i="2"/>
  <c r="EC278" i="2"/>
  <c r="DZ278" i="2"/>
  <c r="DY278" i="2"/>
  <c r="DX278" i="2"/>
  <c r="DW278" i="2"/>
  <c r="DT278" i="2"/>
  <c r="DS278" i="2"/>
  <c r="DR278" i="2"/>
  <c r="DP278" i="2"/>
  <c r="DO278" i="2"/>
  <c r="DN278" i="2"/>
  <c r="DM278" i="2"/>
  <c r="DK278" i="2"/>
  <c r="DI278" i="2"/>
  <c r="DH278" i="2"/>
  <c r="ED277" i="2"/>
  <c r="EC277" i="2"/>
  <c r="DZ277" i="2"/>
  <c r="DY277" i="2"/>
  <c r="DX277" i="2"/>
  <c r="DW277" i="2"/>
  <c r="DU277" i="2"/>
  <c r="DT277" i="2"/>
  <c r="DS277" i="2"/>
  <c r="DR277" i="2"/>
  <c r="DP277" i="2"/>
  <c r="DO277" i="2"/>
  <c r="DN277" i="2"/>
  <c r="DM277" i="2"/>
  <c r="DK277" i="2"/>
  <c r="DJ277" i="2"/>
  <c r="DI277" i="2"/>
  <c r="DH277" i="2"/>
  <c r="ED276" i="2"/>
  <c r="EC276" i="2"/>
  <c r="DZ276" i="2"/>
  <c r="DY276" i="2"/>
  <c r="DX276" i="2"/>
  <c r="DW276" i="2"/>
  <c r="DU276" i="2"/>
  <c r="DT276" i="2"/>
  <c r="DS276" i="2"/>
  <c r="DR276" i="2"/>
  <c r="DP276" i="2"/>
  <c r="DO276" i="2"/>
  <c r="DN276" i="2"/>
  <c r="DM276" i="2"/>
  <c r="DK276" i="2"/>
  <c r="DJ276" i="2"/>
  <c r="DI276" i="2"/>
  <c r="DH276" i="2"/>
  <c r="DN266" i="2"/>
  <c r="DQ266" i="2" s="1"/>
  <c r="DU265" i="2"/>
  <c r="DU278" i="2" s="1"/>
  <c r="CK25" i="2"/>
  <c r="CK264" i="2" s="1"/>
  <c r="CK320" i="2" s="1"/>
  <c r="DL261" i="2"/>
  <c r="DL316" i="2" s="1"/>
  <c r="DQ261" i="2"/>
  <c r="DQ316" i="2" s="1"/>
  <c r="EK316" i="2"/>
  <c r="EA261" i="2"/>
  <c r="EA316" i="2" s="1"/>
  <c r="EA257" i="2"/>
  <c r="EA256" i="2"/>
  <c r="EA255" i="2"/>
  <c r="EA254" i="2"/>
  <c r="DV257" i="2"/>
  <c r="DV256" i="2"/>
  <c r="DV255" i="2"/>
  <c r="DV254" i="2"/>
  <c r="DQ257" i="2"/>
  <c r="DQ256" i="2"/>
  <c r="DQ255" i="2"/>
  <c r="DQ254" i="2"/>
  <c r="DL257" i="2"/>
  <c r="DL256" i="2"/>
  <c r="DL255" i="2"/>
  <c r="DL254" i="2"/>
  <c r="DL249" i="2"/>
  <c r="DL248" i="2"/>
  <c r="DL247" i="2"/>
  <c r="DL246" i="2"/>
  <c r="DQ249" i="2"/>
  <c r="DQ248" i="2"/>
  <c r="DQ247" i="2"/>
  <c r="DQ246" i="2"/>
  <c r="DV249" i="2"/>
  <c r="DV248" i="2"/>
  <c r="DV247" i="2"/>
  <c r="DV246" i="2"/>
  <c r="EA249" i="2"/>
  <c r="EA248" i="2"/>
  <c r="EA247" i="2"/>
  <c r="EA246" i="2"/>
  <c r="DL266" i="2"/>
  <c r="DL265" i="2"/>
  <c r="DL264" i="2"/>
  <c r="DQ265" i="2"/>
  <c r="DQ264" i="2"/>
  <c r="DV266" i="2"/>
  <c r="DV264" i="2"/>
  <c r="EA266" i="2"/>
  <c r="EA265" i="2"/>
  <c r="EA264" i="2"/>
  <c r="EF266" i="2"/>
  <c r="EF265" i="2"/>
  <c r="EF264" i="2"/>
  <c r="A330" i="2"/>
  <c r="A329" i="2"/>
  <c r="DU261" i="2"/>
  <c r="DU316" i="2" s="1"/>
  <c r="A310" i="2"/>
  <c r="A325" i="2"/>
  <c r="A324" i="2"/>
  <c r="EW316" i="2"/>
  <c r="EV316" i="2"/>
  <c r="EJ316" i="2"/>
  <c r="EI316" i="2"/>
  <c r="EH316" i="2"/>
  <c r="EG316" i="2"/>
  <c r="ED316" i="2"/>
  <c r="EC316" i="2"/>
  <c r="DZ316" i="2"/>
  <c r="DY316" i="2"/>
  <c r="DX316" i="2"/>
  <c r="DW316" i="2"/>
  <c r="DV316" i="2"/>
  <c r="DT316" i="2"/>
  <c r="DS316" i="2"/>
  <c r="DR316" i="2"/>
  <c r="DP316" i="2"/>
  <c r="DO316" i="2"/>
  <c r="DN316" i="2"/>
  <c r="DM316" i="2"/>
  <c r="DK316" i="2"/>
  <c r="DJ316" i="2"/>
  <c r="DI316" i="2"/>
  <c r="DH316" i="2"/>
  <c r="EB316" i="2"/>
  <c r="A326" i="2"/>
  <c r="EW320" i="2"/>
  <c r="EV320" i="2"/>
  <c r="EJ320" i="2"/>
  <c r="EI320" i="2"/>
  <c r="EH320" i="2"/>
  <c r="EG320" i="2"/>
  <c r="EE320" i="2"/>
  <c r="ED320" i="2"/>
  <c r="EC320" i="2"/>
  <c r="DZ320" i="2"/>
  <c r="DY320" i="2"/>
  <c r="DX320" i="2"/>
  <c r="DW320" i="2"/>
  <c r="DT320" i="2"/>
  <c r="DS320" i="2"/>
  <c r="DR320" i="2"/>
  <c r="DP320" i="2"/>
  <c r="DO320" i="2"/>
  <c r="DM320" i="2"/>
  <c r="DK320" i="2"/>
  <c r="DJ320" i="2"/>
  <c r="DI320" i="2"/>
  <c r="DH320" i="2"/>
  <c r="EB320" i="2"/>
  <c r="A251" i="2"/>
  <c r="A258" i="2"/>
  <c r="EW258" i="2"/>
  <c r="EW319" i="2" s="1"/>
  <c r="EV258" i="2"/>
  <c r="EV319" i="2" s="1"/>
  <c r="EI319" i="2"/>
  <c r="EH258" i="2"/>
  <c r="EG258" i="2"/>
  <c r="EG203" i="2" s="1"/>
  <c r="EL204" i="2" s="1"/>
  <c r="EE258" i="2"/>
  <c r="EE319" i="2" s="1"/>
  <c r="ED258" i="2"/>
  <c r="ED319" i="2" s="1"/>
  <c r="EC258" i="2"/>
  <c r="EC319" i="2" s="1"/>
  <c r="EB258" i="2"/>
  <c r="EB319" i="2" s="1"/>
  <c r="DZ258" i="2"/>
  <c r="DZ319" i="2" s="1"/>
  <c r="DY258" i="2"/>
  <c r="DY319" i="2" s="1"/>
  <c r="DX258" i="2"/>
  <c r="DX319" i="2" s="1"/>
  <c r="DW258" i="2"/>
  <c r="DW319" i="2" s="1"/>
  <c r="DU258" i="2"/>
  <c r="DU319" i="2" s="1"/>
  <c r="DT258" i="2"/>
  <c r="DT319" i="2" s="1"/>
  <c r="DS258" i="2"/>
  <c r="DS319" i="2" s="1"/>
  <c r="DR258" i="2"/>
  <c r="DR319" i="2" s="1"/>
  <c r="DP258" i="2"/>
  <c r="DP319" i="2" s="1"/>
  <c r="DO258" i="2"/>
  <c r="DO319" i="2" s="1"/>
  <c r="DN258" i="2"/>
  <c r="DN319" i="2" s="1"/>
  <c r="DM258" i="2"/>
  <c r="DM319" i="2" s="1"/>
  <c r="DK258" i="2"/>
  <c r="DK319" i="2" s="1"/>
  <c r="DJ258" i="2"/>
  <c r="DJ319" i="2" s="1"/>
  <c r="DI258" i="2"/>
  <c r="DI319" i="2" s="1"/>
  <c r="DH258" i="2"/>
  <c r="DH319" i="2" s="1"/>
  <c r="EW251" i="2"/>
  <c r="EW318" i="2" s="1"/>
  <c r="EV251" i="2"/>
  <c r="EV318" i="2" s="1"/>
  <c r="EI318" i="2"/>
  <c r="EH251" i="2"/>
  <c r="ED251" i="2"/>
  <c r="EC251" i="2"/>
  <c r="EB251" i="2"/>
  <c r="DZ251" i="2"/>
  <c r="DZ318" i="2" s="1"/>
  <c r="DY251" i="2"/>
  <c r="DY318" i="2" s="1"/>
  <c r="DX251" i="2"/>
  <c r="DX318" i="2" s="1"/>
  <c r="DW251" i="2"/>
  <c r="DW318" i="2" s="1"/>
  <c r="DU251" i="2"/>
  <c r="DU318" i="2" s="1"/>
  <c r="DT251" i="2"/>
  <c r="DT318" i="2" s="1"/>
  <c r="DS251" i="2"/>
  <c r="DS318" i="2" s="1"/>
  <c r="DR251" i="2"/>
  <c r="DR318" i="2" s="1"/>
  <c r="DP251" i="2"/>
  <c r="DP318" i="2" s="1"/>
  <c r="DO251" i="2"/>
  <c r="DO318" i="2" s="1"/>
  <c r="DN251" i="2"/>
  <c r="DN318" i="2" s="1"/>
  <c r="DM251" i="2"/>
  <c r="DM318" i="2" s="1"/>
  <c r="DK251" i="2"/>
  <c r="DK318" i="2" s="1"/>
  <c r="DJ251" i="2"/>
  <c r="DJ318" i="2" s="1"/>
  <c r="DI251" i="2"/>
  <c r="DI318" i="2" s="1"/>
  <c r="DH251" i="2"/>
  <c r="DH318" i="2" s="1"/>
  <c r="A319" i="2"/>
  <c r="A328" i="2" s="1"/>
  <c r="A318" i="2"/>
  <c r="A327" i="2" s="1"/>
  <c r="EF261" i="2"/>
  <c r="EF316" i="2" s="1"/>
  <c r="ED272" i="2"/>
  <c r="EC272" i="2"/>
  <c r="EB272" i="2"/>
  <c r="ED271" i="2"/>
  <c r="EC271" i="2"/>
  <c r="EB271" i="2"/>
  <c r="ED270" i="2"/>
  <c r="EC270" i="2"/>
  <c r="EB270" i="2"/>
  <c r="ED269" i="2"/>
  <c r="EC269" i="2"/>
  <c r="EB269" i="2"/>
  <c r="EF257" i="2"/>
  <c r="EF254" i="2"/>
  <c r="EF249" i="2"/>
  <c r="EF248" i="2"/>
  <c r="EF246" i="2"/>
  <c r="DT22" i="7" l="1"/>
  <c r="DT12" i="7"/>
  <c r="DS204" i="7"/>
  <c r="EH319" i="2"/>
  <c r="EH203" i="2"/>
  <c r="DT34" i="7"/>
  <c r="DT204" i="7"/>
  <c r="DU35" i="7"/>
  <c r="DJ26" i="2"/>
  <c r="EG319" i="2"/>
  <c r="EJ258" i="2"/>
  <c r="EJ151" i="82" s="1"/>
  <c r="EG173" i="1"/>
  <c r="EG210" i="1" s="1"/>
  <c r="EJ171" i="1"/>
  <c r="EJ209" i="1" s="1"/>
  <c r="EJ318" i="2"/>
  <c r="EG84" i="2"/>
  <c r="EJ61" i="2"/>
  <c r="EE208" i="1"/>
  <c r="EE216" i="1" s="1"/>
  <c r="EE225" i="1" s="1"/>
  <c r="EE175" i="1"/>
  <c r="EE203" i="1"/>
  <c r="EE197" i="1"/>
  <c r="EE191" i="1"/>
  <c r="EE183" i="1"/>
  <c r="EH318" i="2"/>
  <c r="EH151" i="82"/>
  <c r="EH150" i="82" s="1"/>
  <c r="EM160" i="82" s="1"/>
  <c r="EC289" i="2"/>
  <c r="ED289" i="2"/>
  <c r="DU320" i="2"/>
  <c r="ED294" i="2"/>
  <c r="ED295" i="2"/>
  <c r="DN320" i="2"/>
  <c r="EE318" i="2"/>
  <c r="EE151" i="82"/>
  <c r="ED293" i="2"/>
  <c r="DQ251" i="2"/>
  <c r="DQ318" i="2" s="1"/>
  <c r="EK320" i="2"/>
  <c r="ED318" i="2"/>
  <c r="ED151" i="82"/>
  <c r="EB318" i="2"/>
  <c r="EB151" i="82"/>
  <c r="EC318" i="2"/>
  <c r="EC151" i="82"/>
  <c r="EA258" i="2"/>
  <c r="EA319" i="2" s="1"/>
  <c r="EE43" i="82"/>
  <c r="EE9" i="2"/>
  <c r="EE140" i="2"/>
  <c r="EE146" i="2"/>
  <c r="EE137" i="2"/>
  <c r="EE143" i="2"/>
  <c r="EE130" i="2"/>
  <c r="EG132" i="2" s="1"/>
  <c r="EE133" i="2"/>
  <c r="EG135" i="2" s="1"/>
  <c r="DL251" i="2"/>
  <c r="DL318" i="2" s="1"/>
  <c r="DQ258" i="2"/>
  <c r="DQ319" i="2" s="1"/>
  <c r="DJ278" i="2"/>
  <c r="DO287" i="2" s="1"/>
  <c r="DV320" i="2"/>
  <c r="EA251" i="2"/>
  <c r="EA318" i="2" s="1"/>
  <c r="DV251" i="2"/>
  <c r="DV318" i="2" s="1"/>
  <c r="DQ320" i="2"/>
  <c r="EF320" i="2"/>
  <c r="DL258" i="2"/>
  <c r="DL319" i="2" s="1"/>
  <c r="DV258" i="2"/>
  <c r="DV319" i="2" s="1"/>
  <c r="EA320" i="2"/>
  <c r="DL320" i="2"/>
  <c r="EE316" i="2"/>
  <c r="EF256" i="2"/>
  <c r="EI256" i="2" s="1"/>
  <c r="EF255" i="2"/>
  <c r="EK255" i="2" s="1"/>
  <c r="EJ255" i="2" s="1"/>
  <c r="EF247" i="2"/>
  <c r="EK247" i="2" s="1"/>
  <c r="EJ247" i="2" s="1"/>
  <c r="DU22" i="7" l="1"/>
  <c r="DU12" i="7"/>
  <c r="DV35" i="7"/>
  <c r="DU204" i="7"/>
  <c r="DU34" i="7"/>
  <c r="DT38" i="7"/>
  <c r="EJ249" i="2"/>
  <c r="EJ248" i="2"/>
  <c r="EJ246" i="2"/>
  <c r="EJ257" i="2"/>
  <c r="EJ256" i="2"/>
  <c r="EJ254" i="2"/>
  <c r="EJ319" i="2"/>
  <c r="EE234" i="1"/>
  <c r="EG177" i="1"/>
  <c r="EJ176" i="1"/>
  <c r="EG235" i="1"/>
  <c r="EG236" i="1" s="1"/>
  <c r="EJ217" i="1"/>
  <c r="EJ219" i="1" s="1"/>
  <c r="EJ226" i="1"/>
  <c r="EG218" i="1"/>
  <c r="EG142" i="2"/>
  <c r="EJ141" i="2"/>
  <c r="EG148" i="2"/>
  <c r="EJ147" i="2"/>
  <c r="EG139" i="2"/>
  <c r="EJ138" i="2"/>
  <c r="EG145" i="2"/>
  <c r="EJ144" i="2"/>
  <c r="EI254" i="2"/>
  <c r="EI257" i="2"/>
  <c r="EE178" i="1"/>
  <c r="EH163" i="82"/>
  <c r="EM164" i="82" s="1"/>
  <c r="EG86" i="2"/>
  <c r="EF251" i="2"/>
  <c r="EE13" i="2"/>
  <c r="EE126" i="2"/>
  <c r="EG128" i="2" s="1"/>
  <c r="EE123" i="2"/>
  <c r="EG125" i="2" s="1"/>
  <c r="EE120" i="2"/>
  <c r="EG122" i="2" s="1"/>
  <c r="DG80" i="7"/>
  <c r="EE117" i="2"/>
  <c r="EG119" i="2" s="1"/>
  <c r="EE114" i="2"/>
  <c r="EG116" i="2" s="1"/>
  <c r="EE70" i="82"/>
  <c r="EF258" i="2"/>
  <c r="DK280" i="2"/>
  <c r="DJ280" i="2"/>
  <c r="DI280" i="2"/>
  <c r="DH280" i="2"/>
  <c r="DP280" i="2"/>
  <c r="DO280" i="2"/>
  <c r="DN280" i="2"/>
  <c r="DM280" i="2"/>
  <c r="DU280" i="2"/>
  <c r="DT280" i="2"/>
  <c r="DS280" i="2"/>
  <c r="DR280" i="2"/>
  <c r="DT285" i="2"/>
  <c r="DS285" i="2"/>
  <c r="DZ280" i="2"/>
  <c r="DY280" i="2"/>
  <c r="DX280" i="2"/>
  <c r="DW280" i="2"/>
  <c r="ED280" i="2"/>
  <c r="EC250" i="2"/>
  <c r="EC280" i="2" s="1"/>
  <c r="EB250" i="2"/>
  <c r="EF269" i="2"/>
  <c r="DV12" i="7" l="1"/>
  <c r="DV22" i="7"/>
  <c r="DV34" i="7"/>
  <c r="DW35" i="7"/>
  <c r="DV204" i="7"/>
  <c r="EJ227" i="1"/>
  <c r="EG88" i="2"/>
  <c r="EK256" i="2"/>
  <c r="EJ172" i="1"/>
  <c r="EJ73" i="1"/>
  <c r="EJ60" i="2"/>
  <c r="EO175" i="1"/>
  <c r="EF319" i="2"/>
  <c r="EK254" i="2"/>
  <c r="EK257" i="2"/>
  <c r="ED296" i="2"/>
  <c r="EF318" i="2"/>
  <c r="DG98" i="7"/>
  <c r="DG82" i="7"/>
  <c r="DG73" i="7" s="1"/>
  <c r="DG83" i="7"/>
  <c r="DG172" i="7"/>
  <c r="DG91" i="7"/>
  <c r="DG94" i="7"/>
  <c r="DG89" i="7"/>
  <c r="DG92" i="7"/>
  <c r="DG104" i="7"/>
  <c r="DG96" i="7"/>
  <c r="EE27" i="2"/>
  <c r="EE166" i="2"/>
  <c r="EG168" i="2" s="1"/>
  <c r="EE150" i="2"/>
  <c r="DT288" i="2"/>
  <c r="DY288" i="2"/>
  <c r="DX285" i="2"/>
  <c r="DT286" i="2"/>
  <c r="DS293" i="2"/>
  <c r="DN285" i="2"/>
  <c r="DW285" i="2"/>
  <c r="DU294" i="2"/>
  <c r="DU296" i="2"/>
  <c r="DN286" i="2"/>
  <c r="DN296" i="2"/>
  <c r="DJ294" i="2"/>
  <c r="DZ296" i="2"/>
  <c r="DR293" i="2"/>
  <c r="EF270" i="2"/>
  <c r="DX286" i="2"/>
  <c r="DX288" i="2"/>
  <c r="DR296" i="2"/>
  <c r="DJ296" i="2"/>
  <c r="DZ294" i="2"/>
  <c r="EF271" i="2"/>
  <c r="EF272" i="2"/>
  <c r="DP293" i="2"/>
  <c r="EF250" i="2"/>
  <c r="DS289" i="2"/>
  <c r="DV280" i="2"/>
  <c r="DK296" i="2"/>
  <c r="EB280" i="2"/>
  <c r="EB296" i="2" s="1"/>
  <c r="DM296" i="2"/>
  <c r="DL280" i="2"/>
  <c r="DK294" i="2"/>
  <c r="DT289" i="2"/>
  <c r="DI293" i="2"/>
  <c r="DZ286" i="2"/>
  <c r="DZ295" i="2"/>
  <c r="DZ293" i="2"/>
  <c r="DR287" i="2"/>
  <c r="DO294" i="2"/>
  <c r="DO296" i="2"/>
  <c r="DO288" i="2"/>
  <c r="DW296" i="2"/>
  <c r="DR288" i="2"/>
  <c r="DP294" i="2"/>
  <c r="DP296" i="2"/>
  <c r="EA280" i="2"/>
  <c r="DX296" i="2"/>
  <c r="DS286" i="2"/>
  <c r="DS296" i="2"/>
  <c r="DQ280" i="2"/>
  <c r="DY294" i="2"/>
  <c r="DY296" i="2"/>
  <c r="DT294" i="2"/>
  <c r="DT296" i="2"/>
  <c r="DU288" i="2"/>
  <c r="DN289" i="2"/>
  <c r="DN287" i="2"/>
  <c r="DI296" i="2"/>
  <c r="DI295" i="2"/>
  <c r="DJ293" i="2"/>
  <c r="DM286" i="2"/>
  <c r="DI294" i="2"/>
  <c r="DK293" i="2"/>
  <c r="DP287" i="2"/>
  <c r="DM293" i="2"/>
  <c r="DM295" i="2"/>
  <c r="DR286" i="2"/>
  <c r="DO286" i="2"/>
  <c r="DM288" i="2"/>
  <c r="DP289" i="2"/>
  <c r="DN293" i="2"/>
  <c r="DN295" i="2"/>
  <c r="DM285" i="2"/>
  <c r="DP286" i="2"/>
  <c r="DN288" i="2"/>
  <c r="DO293" i="2"/>
  <c r="DO295" i="2"/>
  <c r="DP295" i="2"/>
  <c r="DO285" i="2"/>
  <c r="DM287" i="2"/>
  <c r="DP288" i="2"/>
  <c r="DM294" i="2"/>
  <c r="DR295" i="2"/>
  <c r="DP285" i="2"/>
  <c r="DN294" i="2"/>
  <c r="DM289" i="2"/>
  <c r="DT287" i="2"/>
  <c r="DU287" i="2"/>
  <c r="DU289" i="2"/>
  <c r="DS295" i="2"/>
  <c r="DR285" i="2"/>
  <c r="DU286" i="2"/>
  <c r="DS288" i="2"/>
  <c r="DT293" i="2"/>
  <c r="DT295" i="2"/>
  <c r="DW293" i="2"/>
  <c r="DX289" i="2"/>
  <c r="DY289" i="2"/>
  <c r="DX287" i="2"/>
  <c r="DU285" i="2"/>
  <c r="DS287" i="2"/>
  <c r="DS294" i="2"/>
  <c r="DU295" i="2"/>
  <c r="DR289" i="2"/>
  <c r="DU293" i="2"/>
  <c r="DW295" i="2"/>
  <c r="DR294" i="2"/>
  <c r="DW286" i="2"/>
  <c r="DY286" i="2"/>
  <c r="DW288" i="2"/>
  <c r="DZ289" i="2"/>
  <c r="DX293" i="2"/>
  <c r="DX295" i="2"/>
  <c r="DY293" i="2"/>
  <c r="DY295" i="2"/>
  <c r="DY285" i="2"/>
  <c r="DW287" i="2"/>
  <c r="DZ288" i="2"/>
  <c r="DW294" i="2"/>
  <c r="DZ285" i="2"/>
  <c r="DX294" i="2"/>
  <c r="DY287" i="2"/>
  <c r="DW289" i="2"/>
  <c r="DZ287" i="2"/>
  <c r="DW12" i="7" l="1"/>
  <c r="DW22" i="7"/>
  <c r="ET175" i="1"/>
  <c r="ET177" i="1" s="1"/>
  <c r="EQ177" i="1"/>
  <c r="DW204" i="7"/>
  <c r="DX35" i="7"/>
  <c r="DW34" i="7"/>
  <c r="DX34" i="7" s="1"/>
  <c r="DY34" i="7" s="1"/>
  <c r="DZ34" i="7" s="1"/>
  <c r="EA34" i="7" s="1"/>
  <c r="EJ72" i="1"/>
  <c r="EJ71" i="1" s="1"/>
  <c r="EJ59" i="1" s="1"/>
  <c r="EJ60" i="1" s="1"/>
  <c r="EJ61" i="1" s="1"/>
  <c r="EK258" i="2"/>
  <c r="EK319" i="2" s="1"/>
  <c r="EG94" i="2"/>
  <c r="EG151" i="82"/>
  <c r="EG150" i="82" s="1"/>
  <c r="EC296" i="2"/>
  <c r="EE151" i="2"/>
  <c r="EE169" i="2"/>
  <c r="EE32" i="2"/>
  <c r="EE21" i="82"/>
  <c r="EE28" i="2"/>
  <c r="EE29" i="2"/>
  <c r="EE54" i="2"/>
  <c r="DQ288" i="2"/>
  <c r="DV288" i="2"/>
  <c r="EA288" i="2"/>
  <c r="EU175" i="1" l="1"/>
  <c r="DX12" i="7"/>
  <c r="DX22" i="7"/>
  <c r="DY35" i="7"/>
  <c r="DZ35" i="7" s="1"/>
  <c r="EJ17" i="1"/>
  <c r="EJ18" i="1" s="1"/>
  <c r="EJ19" i="1" s="1"/>
  <c r="EJ10" i="1"/>
  <c r="EJ11" i="1" s="1"/>
  <c r="EJ12" i="1" s="1"/>
  <c r="EJ31" i="1"/>
  <c r="EJ32" i="1" s="1"/>
  <c r="EJ33" i="1" s="1"/>
  <c r="EJ45" i="1"/>
  <c r="EJ46" i="1" s="1"/>
  <c r="EJ47" i="1" s="1"/>
  <c r="EE20" i="82"/>
  <c r="EG153" i="2"/>
  <c r="EG171" i="2"/>
  <c r="EG163" i="82"/>
  <c r="EG318" i="2"/>
  <c r="EE172" i="2"/>
  <c r="EE154" i="2"/>
  <c r="EG156" i="2" s="1"/>
  <c r="EE34" i="2"/>
  <c r="EE36" i="2"/>
  <c r="EE175" i="2"/>
  <c r="EG177" i="2" s="1"/>
  <c r="EE157" i="2"/>
  <c r="EG159" i="2" s="1"/>
  <c r="DY22" i="7" l="1"/>
  <c r="DZ22" i="7" s="1"/>
  <c r="EA22" i="7" s="1"/>
  <c r="DY12" i="7"/>
  <c r="DZ12" i="7" s="1"/>
  <c r="EA12" i="7" s="1"/>
  <c r="DZ204" i="7"/>
  <c r="EA35" i="7"/>
  <c r="EA204" i="7" s="1"/>
  <c r="EJ24" i="1"/>
  <c r="EJ38" i="1" s="1"/>
  <c r="EE152" i="82"/>
  <c r="EE154" i="82" s="1"/>
  <c r="EE156" i="82" s="1"/>
  <c r="EE178" i="2"/>
  <c r="EE160" i="2"/>
  <c r="DG9" i="3"/>
  <c r="DG196" i="7"/>
  <c r="EE42" i="2"/>
  <c r="EE43" i="2" s="1"/>
  <c r="EG97" i="2" s="1"/>
  <c r="EE37" i="2"/>
  <c r="EE48" i="2"/>
  <c r="EE50" i="2" s="1"/>
  <c r="EJ25" i="1" l="1"/>
  <c r="EJ26" i="1" s="1"/>
  <c r="EE51" i="2"/>
  <c r="DG19" i="3"/>
  <c r="EJ39" i="1"/>
  <c r="EJ40" i="1" s="1"/>
  <c r="EJ52" i="1"/>
  <c r="EJ53" i="1" s="1"/>
  <c r="EJ54" i="1" s="1"/>
  <c r="EG96" i="2"/>
  <c r="EC21" i="148"/>
  <c r="ED21" i="148"/>
  <c r="DF191" i="7"/>
  <c r="DF192" i="7" s="1"/>
  <c r="DF135" i="7"/>
  <c r="DF133" i="7"/>
  <c r="DF132" i="7"/>
  <c r="DF131" i="7"/>
  <c r="DF130" i="7"/>
  <c r="DF129" i="7"/>
  <c r="DF125" i="7"/>
  <c r="DF123" i="7"/>
  <c r="DF122" i="7"/>
  <c r="DF121" i="7"/>
  <c r="DF120" i="7"/>
  <c r="DF119" i="7"/>
  <c r="DF114" i="7"/>
  <c r="DG50" i="3" l="1"/>
  <c r="DG80" i="3"/>
  <c r="DG83" i="3" s="1"/>
  <c r="DG77" i="3"/>
  <c r="EG98" i="2"/>
  <c r="DG134" i="7"/>
  <c r="DG180" i="7" s="1"/>
  <c r="DG181" i="7" s="1"/>
  <c r="DK124" i="7"/>
  <c r="DF116" i="7"/>
  <c r="DG136" i="7" l="1"/>
  <c r="DK126" i="7"/>
  <c r="DG100" i="3"/>
  <c r="DG87" i="3"/>
  <c r="EA16" i="148" l="1"/>
  <c r="ED17" i="148"/>
  <c r="EC17" i="148"/>
  <c r="EB17" i="148"/>
  <c r="ED18" i="148"/>
  <c r="EC18" i="148"/>
  <c r="EB18" i="148"/>
  <c r="ED14" i="148"/>
  <c r="EC14" i="148"/>
  <c r="EB14" i="148"/>
  <c r="DZ14" i="148"/>
  <c r="DY14" i="148"/>
  <c r="DX14" i="148"/>
  <c r="DW14" i="148"/>
  <c r="DU14" i="148"/>
  <c r="DT14" i="148"/>
  <c r="DS14" i="148"/>
  <c r="DR14" i="148"/>
  <c r="DP14" i="148"/>
  <c r="DO14" i="148"/>
  <c r="DN14" i="148"/>
  <c r="DM14" i="148"/>
  <c r="ED13" i="148"/>
  <c r="EC13" i="148"/>
  <c r="EB13" i="148"/>
  <c r="DZ13" i="148"/>
  <c r="DY13" i="148"/>
  <c r="DX13" i="148"/>
  <c r="DW13" i="148"/>
  <c r="DU13" i="148"/>
  <c r="DT13" i="148"/>
  <c r="DS13" i="148"/>
  <c r="DR13" i="148"/>
  <c r="DP13" i="148"/>
  <c r="EA12" i="148"/>
  <c r="EF13" i="148" s="1"/>
  <c r="DV12" i="148"/>
  <c r="DQ12" i="148"/>
  <c r="DL12" i="148"/>
  <c r="EF17" i="148" l="1"/>
  <c r="EF18" i="148"/>
  <c r="DQ13" i="148"/>
  <c r="DV13" i="148"/>
  <c r="EA13" i="148"/>
  <c r="DF101" i="7" l="1"/>
  <c r="DF99" i="7"/>
  <c r="DF97" i="7"/>
  <c r="DF95" i="7"/>
  <c r="DF93" i="7"/>
  <c r="DF90" i="7"/>
  <c r="DF86" i="7"/>
  <c r="DF84" i="7"/>
  <c r="DF81" i="7"/>
  <c r="DF88" i="7" l="1"/>
  <c r="DF85" i="7" s="1"/>
  <c r="DF103" i="7"/>
  <c r="DF102" i="7" s="1"/>
  <c r="DF87" i="7" l="1"/>
  <c r="DF100" i="7"/>
  <c r="DF198" i="7"/>
  <c r="DG195" i="7" s="1"/>
  <c r="DG197" i="7" s="1"/>
  <c r="DF171" i="7"/>
  <c r="DG167" i="7" s="1"/>
  <c r="DG170" i="7" s="1"/>
  <c r="DF169" i="7"/>
  <c r="DK176" i="7" s="1"/>
  <c r="DF72" i="7"/>
  <c r="DF60" i="7"/>
  <c r="DF38" i="7"/>
  <c r="DF17" i="3"/>
  <c r="DF98" i="3"/>
  <c r="DK99" i="3" s="1"/>
  <c r="DF73" i="3"/>
  <c r="DF66" i="3"/>
  <c r="DF18" i="3" s="1"/>
  <c r="DF46" i="3"/>
  <c r="DF32" i="3"/>
  <c r="ED230" i="2"/>
  <c r="ED225" i="2"/>
  <c r="ED198" i="2"/>
  <c r="ED187" i="2"/>
  <c r="ED92" i="2"/>
  <c r="ED91" i="2"/>
  <c r="ED90" i="2"/>
  <c r="ED89" i="2"/>
  <c r="ED75" i="2"/>
  <c r="ED68" i="2"/>
  <c r="ED67" i="2"/>
  <c r="ED66" i="2"/>
  <c r="ED56" i="2"/>
  <c r="ED52" i="2"/>
  <c r="ED47" i="2"/>
  <c r="ED46" i="2"/>
  <c r="ED41" i="2"/>
  <c r="ED26" i="2"/>
  <c r="ED8" i="2"/>
  <c r="ED90" i="1"/>
  <c r="EI91" i="1" s="1"/>
  <c r="ED119" i="82"/>
  <c r="ED118" i="82"/>
  <c r="EI133" i="82" s="1"/>
  <c r="ED82" i="82"/>
  <c r="EI97" i="82" s="1"/>
  <c r="ED44" i="82"/>
  <c r="EI61" i="82" s="1"/>
  <c r="ED12" i="82"/>
  <c r="ED149" i="82" s="1"/>
  <c r="ED11" i="82"/>
  <c r="ED10" i="82"/>
  <c r="ED27" i="82" s="1"/>
  <c r="ED320" i="1"/>
  <c r="EI321" i="1" s="1"/>
  <c r="ED319" i="1"/>
  <c r="ED318" i="1"/>
  <c r="ED110" i="1"/>
  <c r="EI111" i="1" s="1"/>
  <c r="ED106" i="1"/>
  <c r="ED66" i="1"/>
  <c r="ED65" i="1"/>
  <c r="ED62" i="1"/>
  <c r="ED58" i="1"/>
  <c r="ED48" i="1"/>
  <c r="ED44" i="1"/>
  <c r="ED34" i="1"/>
  <c r="ED30" i="1"/>
  <c r="ED22" i="1"/>
  <c r="EI23" i="1" s="1"/>
  <c r="ED20" i="1"/>
  <c r="ED16" i="1"/>
  <c r="ED13" i="1"/>
  <c r="ED9" i="1"/>
  <c r="ED154" i="1" l="1"/>
  <c r="ED155" i="1" s="1"/>
  <c r="DF50" i="7"/>
  <c r="EI69" i="2"/>
  <c r="EI28" i="82"/>
  <c r="DK74" i="3"/>
  <c r="ED99" i="1"/>
  <c r="DG177" i="7"/>
  <c r="ED30" i="82"/>
  <c r="EI31" i="82" s="1"/>
  <c r="ED101" i="1"/>
  <c r="ED92" i="1"/>
  <c r="EE308" i="1"/>
  <c r="EE132" i="39" s="1"/>
  <c r="ED36" i="1"/>
  <c r="EI37" i="1" s="1"/>
  <c r="EE27" i="1"/>
  <c r="ED41" i="82"/>
  <c r="ED199" i="2"/>
  <c r="ED232" i="2"/>
  <c r="ED236" i="2" s="1"/>
  <c r="DF15" i="3"/>
  <c r="ED80" i="82"/>
  <c r="DF76" i="7"/>
  <c r="ED209" i="2"/>
  <c r="EI210" i="2" s="1"/>
  <c r="ED115" i="82"/>
  <c r="ED12" i="2"/>
  <c r="DF105" i="7"/>
  <c r="DF168" i="7"/>
  <c r="DK174" i="7" s="1"/>
  <c r="DF70" i="3"/>
  <c r="DK71" i="3" s="1"/>
  <c r="DF81" i="3"/>
  <c r="DJ92" i="3" s="1"/>
  <c r="ED200" i="2"/>
  <c r="ED93" i="1"/>
  <c r="EI94" i="1" s="1"/>
  <c r="ED120" i="82"/>
  <c r="ED122" i="82" s="1"/>
  <c r="EI134" i="82" s="1"/>
  <c r="ED84" i="82"/>
  <c r="ED86" i="82" s="1"/>
  <c r="EI98" i="82" s="1"/>
  <c r="ED306" i="1"/>
  <c r="ED229" i="1" s="1"/>
  <c r="DF62" i="7" l="1"/>
  <c r="ED102" i="1"/>
  <c r="EI103" i="1" s="1"/>
  <c r="EI100" i="1"/>
  <c r="EE133" i="39"/>
  <c r="EE131" i="39"/>
  <c r="ED275" i="2"/>
  <c r="EE95" i="1"/>
  <c r="ED81" i="82"/>
  <c r="EI95" i="82" s="1"/>
  <c r="EI94" i="82"/>
  <c r="ED116" i="82"/>
  <c r="EI130" i="82"/>
  <c r="DG175" i="7"/>
  <c r="ED50" i="1"/>
  <c r="EE41" i="1"/>
  <c r="EE309" i="1"/>
  <c r="EE310" i="1"/>
  <c r="ED107" i="1"/>
  <c r="EI108" i="1" s="1"/>
  <c r="ED110" i="82"/>
  <c r="EI111" i="82" s="1"/>
  <c r="ED144" i="82"/>
  <c r="EI145" i="82" s="1"/>
  <c r="ED203" i="2"/>
  <c r="DF182" i="7"/>
  <c r="ED112" i="82"/>
  <c r="ED146" i="82"/>
  <c r="EE104" i="1" l="1"/>
  <c r="ED105" i="82"/>
  <c r="EI51" i="1"/>
  <c r="ED141" i="82"/>
  <c r="EI131" i="82"/>
  <c r="ED9" i="82"/>
  <c r="EE55" i="1"/>
  <c r="ED69" i="1"/>
  <c r="EI70" i="1" l="1"/>
  <c r="ED170" i="1"/>
  <c r="EI171" i="1" s="1"/>
  <c r="EI209" i="1" s="1"/>
  <c r="EE74" i="1"/>
  <c r="ED7" i="2"/>
  <c r="ED40" i="82"/>
  <c r="EI56" i="82" s="1"/>
  <c r="ED24" i="82"/>
  <c r="ED13" i="82"/>
  <c r="ED14" i="82" s="1"/>
  <c r="EI61" i="2" l="1"/>
  <c r="ED197" i="1"/>
  <c r="ED208" i="1"/>
  <c r="EE235" i="1" s="1"/>
  <c r="ED203" i="1"/>
  <c r="ED191" i="1"/>
  <c r="ED183" i="1"/>
  <c r="EI25" i="82"/>
  <c r="EE173" i="1"/>
  <c r="EE210" i="1" s="1"/>
  <c r="ED175" i="1"/>
  <c r="EI176" i="1" s="1"/>
  <c r="ED42" i="82"/>
  <c r="ED43" i="82" s="1"/>
  <c r="ED70" i="82" s="1"/>
  <c r="ED69" i="82"/>
  <c r="ED75" i="82"/>
  <c r="EI76" i="82" s="1"/>
  <c r="ED133" i="2"/>
  <c r="EE135" i="2" s="1"/>
  <c r="ED140" i="2"/>
  <c r="ED143" i="2"/>
  <c r="ED137" i="2"/>
  <c r="ED130" i="2"/>
  <c r="EE132" i="2" s="1"/>
  <c r="ED325" i="2"/>
  <c r="ED329" i="2"/>
  <c r="ED327" i="2"/>
  <c r="ED9" i="2"/>
  <c r="ED328" i="2"/>
  <c r="ED146" i="2"/>
  <c r="ED216" i="1" l="1"/>
  <c r="ED234" i="1" s="1"/>
  <c r="EE236" i="1"/>
  <c r="EE177" i="1"/>
  <c r="ED178" i="1"/>
  <c r="EE139" i="2"/>
  <c r="EI138" i="2"/>
  <c r="EE145" i="2"/>
  <c r="EI144" i="2"/>
  <c r="EE148" i="2"/>
  <c r="EI147" i="2"/>
  <c r="EE142" i="2"/>
  <c r="EI141" i="2"/>
  <c r="EO177" i="1"/>
  <c r="EP175" i="1"/>
  <c r="ED126" i="2"/>
  <c r="EE128" i="2" s="1"/>
  <c r="ED120" i="2"/>
  <c r="EE122" i="2" s="1"/>
  <c r="ED13" i="2"/>
  <c r="ED114" i="2"/>
  <c r="EE116" i="2" s="1"/>
  <c r="ED123" i="2"/>
  <c r="EE125" i="2" s="1"/>
  <c r="DF80" i="7"/>
  <c r="ED117" i="2"/>
  <c r="EE119" i="2" s="1"/>
  <c r="EU176" i="1" l="1"/>
  <c r="EE218" i="1"/>
  <c r="ED225" i="1"/>
  <c r="EI217" i="1"/>
  <c r="EI219" i="1" s="1"/>
  <c r="EI226" i="1"/>
  <c r="DF92" i="7"/>
  <c r="DF83" i="7"/>
  <c r="DF172" i="7"/>
  <c r="DF94" i="7"/>
  <c r="DF91" i="7"/>
  <c r="DF96" i="7"/>
  <c r="DF89" i="7"/>
  <c r="DF82" i="7"/>
  <c r="DF73" i="7" s="1"/>
  <c r="DF98" i="7"/>
  <c r="DF104" i="7"/>
  <c r="ED27" i="2"/>
  <c r="ED150" i="2"/>
  <c r="ED166" i="2"/>
  <c r="EE168" i="2" s="1"/>
  <c r="EI73" i="1" l="1"/>
  <c r="EI172" i="1"/>
  <c r="EI227" i="1"/>
  <c r="EI60" i="2"/>
  <c r="ED317" i="2"/>
  <c r="ED54" i="2"/>
  <c r="ED151" i="2"/>
  <c r="ED169" i="2"/>
  <c r="ED29" i="2"/>
  <c r="ED32" i="2"/>
  <c r="ED21" i="82"/>
  <c r="ED28" i="2"/>
  <c r="EI72" i="1" l="1"/>
  <c r="EI71" i="1" s="1"/>
  <c r="EI31" i="1" s="1"/>
  <c r="EI32" i="1" s="1"/>
  <c r="EI33" i="1" s="1"/>
  <c r="EE171" i="2"/>
  <c r="EE153" i="2"/>
  <c r="ED20" i="82"/>
  <c r="ED34" i="82"/>
  <c r="ED172" i="2"/>
  <c r="EE174" i="2" s="1"/>
  <c r="ED154" i="2"/>
  <c r="EE156" i="2" s="1"/>
  <c r="ED175" i="2"/>
  <c r="EE177" i="2" s="1"/>
  <c r="ED157" i="2"/>
  <c r="EE159" i="2" s="1"/>
  <c r="ED36" i="2"/>
  <c r="ED227" i="2"/>
  <c r="ED233" i="2" s="1"/>
  <c r="ED34" i="2"/>
  <c r="ED315" i="2"/>
  <c r="ED324" i="2" s="1"/>
  <c r="ED326" i="2"/>
  <c r="ED321" i="2"/>
  <c r="ED330" i="2" s="1"/>
  <c r="EI10" i="1" l="1"/>
  <c r="EI17" i="1"/>
  <c r="EI18" i="1" s="1"/>
  <c r="EI19" i="1" s="1"/>
  <c r="EI59" i="1"/>
  <c r="EI60" i="1" s="1"/>
  <c r="EI61" i="1" s="1"/>
  <c r="EI45" i="1"/>
  <c r="EI46" i="1" s="1"/>
  <c r="EI47" i="1" s="1"/>
  <c r="EI24" i="1"/>
  <c r="EI38" i="1" s="1"/>
  <c r="EI11" i="1"/>
  <c r="EI12" i="1" s="1"/>
  <c r="ED42" i="2"/>
  <c r="ED43" i="2" s="1"/>
  <c r="ED37" i="2"/>
  <c r="ED160" i="2"/>
  <c r="DF196" i="7"/>
  <c r="ED178" i="2"/>
  <c r="DF9" i="3"/>
  <c r="ED48" i="2"/>
  <c r="ED50" i="2" s="1"/>
  <c r="ED217" i="2"/>
  <c r="ED152" i="82"/>
  <c r="ED33" i="82"/>
  <c r="EI25" i="1" l="1"/>
  <c r="EI26" i="1" s="1"/>
  <c r="ED51" i="2"/>
  <c r="DF19" i="3"/>
  <c r="EI52" i="1"/>
  <c r="EI53" i="1" s="1"/>
  <c r="EI54" i="1" s="1"/>
  <c r="EI39" i="1"/>
  <c r="EI40" i="1" s="1"/>
  <c r="ED154" i="82"/>
  <c r="ED156" i="82" s="1"/>
  <c r="ED150" i="82"/>
  <c r="DF50" i="3" l="1"/>
  <c r="DF77" i="3"/>
  <c r="DF80" i="3"/>
  <c r="DF83" i="3" s="1"/>
  <c r="ED163" i="82"/>
  <c r="DF85" i="3" l="1"/>
  <c r="DJ93" i="3"/>
  <c r="DJ95" i="3" s="1"/>
  <c r="DJ91" i="3"/>
  <c r="DF100" i="3"/>
  <c r="DF87" i="3"/>
  <c r="DQ100" i="7" l="1"/>
  <c r="DV100" i="7" s="1"/>
  <c r="DQ102" i="7" l="1"/>
  <c r="EK155" i="82"/>
  <c r="EK153" i="82"/>
  <c r="EK121" i="82"/>
  <c r="EK85" i="82"/>
  <c r="EK83" i="82"/>
  <c r="DW47" i="2" l="1"/>
  <c r="M6" i="15" l="1"/>
  <c r="DM6" i="7"/>
  <c r="DM78" i="7" s="1"/>
  <c r="DM104" i="3"/>
  <c r="DM69" i="3"/>
  <c r="DM60" i="3"/>
  <c r="DM48" i="3"/>
  <c r="DM45" i="3"/>
  <c r="DM43" i="3"/>
  <c r="DM42" i="3"/>
  <c r="DM41" i="3"/>
  <c r="DM37" i="3"/>
  <c r="DM36" i="3"/>
  <c r="DM35" i="3"/>
  <c r="DM31" i="3"/>
  <c r="DM30" i="3"/>
  <c r="DM29" i="3"/>
  <c r="DM28" i="3"/>
  <c r="DM27" i="3"/>
  <c r="DM26" i="3"/>
  <c r="DM25" i="3"/>
  <c r="DM24" i="3"/>
  <c r="DM17" i="3"/>
  <c r="DM16" i="3"/>
  <c r="DM14" i="3"/>
  <c r="DM12" i="3"/>
  <c r="DM6" i="3"/>
  <c r="DM56" i="3" s="1"/>
  <c r="EK231" i="2"/>
  <c r="EK197" i="2"/>
  <c r="EK196" i="2"/>
  <c r="EK195" i="2"/>
  <c r="EK194" i="2"/>
  <c r="EK193" i="2"/>
  <c r="EK192" i="2"/>
  <c r="EK31" i="2"/>
  <c r="EK25" i="2"/>
  <c r="EK181" i="82" l="1"/>
  <c r="EK225" i="2"/>
  <c r="DM202" i="7"/>
  <c r="DY6" i="7"/>
  <c r="DY202" i="7" s="1"/>
  <c r="DY6" i="3"/>
  <c r="DY56" i="3" s="1"/>
  <c r="EW415" i="82"/>
  <c r="EW413" i="82"/>
  <c r="EW412" i="82"/>
  <c r="EW410" i="82"/>
  <c r="EW407" i="82"/>
  <c r="EW406" i="82"/>
  <c r="EW405" i="82"/>
  <c r="EW404" i="82"/>
  <c r="EW402" i="82"/>
  <c r="EW401" i="82"/>
  <c r="EW400" i="82"/>
  <c r="EW399" i="82"/>
  <c r="EW398" i="82"/>
  <c r="EW381" i="82"/>
  <c r="EW380" i="82"/>
  <c r="EW379" i="82"/>
  <c r="EW378" i="82"/>
  <c r="EW376" i="82"/>
  <c r="EW375" i="82"/>
  <c r="EW374" i="82"/>
  <c r="EW373" i="82"/>
  <c r="EW372" i="82"/>
  <c r="EW371" i="82"/>
  <c r="EW370" i="82"/>
  <c r="EW181" i="82"/>
  <c r="EW164" i="82"/>
  <c r="EW151" i="82"/>
  <c r="EW119" i="82"/>
  <c r="AD296" i="113" s="1"/>
  <c r="EW111" i="82"/>
  <c r="EW76" i="82"/>
  <c r="EW6" i="82"/>
  <c r="EW200" i="1"/>
  <c r="EW194" i="1"/>
  <c r="EW188" i="1"/>
  <c r="EW97" i="1"/>
  <c r="EW6" i="1"/>
  <c r="EW238" i="1" s="1"/>
  <c r="EW336" i="2"/>
  <c r="EW225" i="2"/>
  <c r="EW127" i="2"/>
  <c r="EW124" i="2"/>
  <c r="EW121" i="2"/>
  <c r="EW118" i="2"/>
  <c r="EW115" i="2"/>
  <c r="EW59" i="2"/>
  <c r="EW41" i="2"/>
  <c r="DL6" i="7"/>
  <c r="DK6" i="7"/>
  <c r="DJ6" i="7"/>
  <c r="DI202" i="7"/>
  <c r="DK6" i="3"/>
  <c r="DK56" i="3" s="1"/>
  <c r="DJ6" i="3"/>
  <c r="DJ56" i="3" s="1"/>
  <c r="EH181" i="82"/>
  <c r="EJ6" i="82"/>
  <c r="EI6" i="82"/>
  <c r="EH6" i="82"/>
  <c r="EG6" i="82"/>
  <c r="EJ6" i="1"/>
  <c r="EI6" i="1"/>
  <c r="EH6" i="1"/>
  <c r="EH238" i="1" s="1"/>
  <c r="EG6" i="1"/>
  <c r="DL202" i="7" l="1"/>
  <c r="DL78" i="7"/>
  <c r="EJ139" i="1"/>
  <c r="EJ312" i="1"/>
  <c r="EJ238" i="1"/>
  <c r="EJ206" i="1"/>
  <c r="EJ168" i="1"/>
  <c r="EI238" i="1"/>
  <c r="EI206" i="1"/>
  <c r="DK202" i="7"/>
  <c r="DK78" i="7"/>
  <c r="DJ202" i="7"/>
  <c r="DJ78" i="7"/>
  <c r="EG238" i="1"/>
  <c r="EG206" i="1"/>
  <c r="EG139" i="1"/>
  <c r="EG168" i="1"/>
  <c r="EH206" i="1"/>
  <c r="EH168" i="1"/>
  <c r="EI168" i="1"/>
  <c r="EK119" i="82"/>
  <c r="EK151" i="82"/>
  <c r="DM39" i="3"/>
  <c r="EW304" i="1"/>
  <c r="EW256" i="1"/>
  <c r="EK41" i="2"/>
  <c r="DY78" i="7"/>
  <c r="EW303" i="1"/>
  <c r="EW279" i="1"/>
  <c r="EW280" i="1"/>
  <c r="EW312" i="1"/>
  <c r="EW206" i="1"/>
  <c r="EW255" i="1"/>
  <c r="EW168" i="1"/>
  <c r="EW139" i="1"/>
  <c r="EH312" i="1"/>
  <c r="EH139" i="1"/>
  <c r="EI312" i="1"/>
  <c r="EI139" i="1"/>
  <c r="EG312" i="1"/>
  <c r="DM98" i="3" l="1"/>
  <c r="DR99" i="3" s="1"/>
  <c r="DE191" i="7" l="1"/>
  <c r="DE192" i="7" s="1"/>
  <c r="DE114" i="7"/>
  <c r="DJ124" i="7" s="1"/>
  <c r="DE135" i="7"/>
  <c r="DE133" i="7"/>
  <c r="DE132" i="7"/>
  <c r="DE131" i="7"/>
  <c r="DE130" i="7"/>
  <c r="DE129" i="7"/>
  <c r="DE125" i="7"/>
  <c r="DE123" i="7"/>
  <c r="DE122" i="7"/>
  <c r="DE121" i="7"/>
  <c r="DE120" i="7"/>
  <c r="DE119" i="7"/>
  <c r="DE116" i="7" l="1"/>
  <c r="DF134" i="7"/>
  <c r="DF180" i="7" s="1"/>
  <c r="DF181" i="7" s="1"/>
  <c r="EC285" i="2"/>
  <c r="EC287" i="2"/>
  <c r="EC288" i="2"/>
  <c r="EC286" i="2"/>
  <c r="EB288" i="2"/>
  <c r="DF136" i="7" l="1"/>
  <c r="DJ126" i="7"/>
  <c r="DE60" i="7" l="1"/>
  <c r="DE38" i="7"/>
  <c r="DE17" i="3"/>
  <c r="DE50" i="7" l="1"/>
  <c r="DJ75" i="7"/>
  <c r="DJ74" i="7"/>
  <c r="DE62" i="7" l="1"/>
  <c r="EC230" i="2"/>
  <c r="EC225" i="2"/>
  <c r="EC198" i="2"/>
  <c r="EC187" i="2"/>
  <c r="EC92" i="2"/>
  <c r="EC75" i="2"/>
  <c r="EC68" i="2"/>
  <c r="EC67" i="2"/>
  <c r="EC66" i="2"/>
  <c r="EC59" i="2"/>
  <c r="EC56" i="2"/>
  <c r="EC55" i="2"/>
  <c r="EC52" i="2"/>
  <c r="EC47" i="2"/>
  <c r="EC46" i="2"/>
  <c r="EC41" i="2"/>
  <c r="EC26" i="2"/>
  <c r="EC8" i="2"/>
  <c r="EC320" i="1"/>
  <c r="EH321" i="1" s="1"/>
  <c r="EC319" i="1"/>
  <c r="EC318" i="1"/>
  <c r="ED308" i="1"/>
  <c r="ED132" i="39" s="1"/>
  <c r="EC124" i="1"/>
  <c r="EC110" i="1"/>
  <c r="EC106" i="1"/>
  <c r="EC90" i="1"/>
  <c r="EH91" i="1" s="1"/>
  <c r="EC66" i="1"/>
  <c r="EC65" i="1"/>
  <c r="EC62" i="1"/>
  <c r="EC58" i="1"/>
  <c r="EC48" i="1"/>
  <c r="EC44" i="1"/>
  <c r="EC34" i="1"/>
  <c r="EC30" i="1"/>
  <c r="EC22" i="1"/>
  <c r="EC20" i="1"/>
  <c r="EC16" i="1"/>
  <c r="EC13" i="1"/>
  <c r="EC9" i="1"/>
  <c r="EC6" i="1"/>
  <c r="EC119" i="82"/>
  <c r="EC118" i="82"/>
  <c r="EH133" i="82" s="1"/>
  <c r="EC82" i="82"/>
  <c r="EH97" i="82" s="1"/>
  <c r="EC44" i="82"/>
  <c r="EH61" i="82" s="1"/>
  <c r="EC12" i="82"/>
  <c r="EC149" i="82" s="1"/>
  <c r="EC11" i="82"/>
  <c r="EC10" i="82"/>
  <c r="EC80" i="82" s="1"/>
  <c r="EH94" i="82" s="1"/>
  <c r="DE204" i="7"/>
  <c r="DE198" i="7"/>
  <c r="DF195" i="7" s="1"/>
  <c r="DF197" i="7" s="1"/>
  <c r="DE171" i="7"/>
  <c r="DF167" i="7" s="1"/>
  <c r="DF170" i="7" s="1"/>
  <c r="DE169" i="7"/>
  <c r="DE101" i="7"/>
  <c r="DE99" i="7"/>
  <c r="DE97" i="7"/>
  <c r="DE95" i="7"/>
  <c r="DE93" i="7"/>
  <c r="DE90" i="7"/>
  <c r="DE86" i="7"/>
  <c r="DE84" i="7"/>
  <c r="DE81" i="7"/>
  <c r="DE72" i="7"/>
  <c r="DE6" i="7"/>
  <c r="DE202" i="7" s="1"/>
  <c r="DE98" i="3"/>
  <c r="DJ99" i="3" s="1"/>
  <c r="DE73" i="3"/>
  <c r="DE66" i="3"/>
  <c r="DE18" i="3" s="1"/>
  <c r="DE46" i="3"/>
  <c r="DE32" i="3"/>
  <c r="DE6" i="3"/>
  <c r="DE56" i="3" s="1"/>
  <c r="V7" i="11"/>
  <c r="Y6" i="11"/>
  <c r="Y18" i="11" s="1"/>
  <c r="EC154" i="1" l="1"/>
  <c r="EC155" i="1" s="1"/>
  <c r="ED131" i="39"/>
  <c r="ED133" i="39"/>
  <c r="DE105" i="7"/>
  <c r="EH69" i="2"/>
  <c r="ED112" i="1"/>
  <c r="EH111" i="1"/>
  <c r="ED27" i="1"/>
  <c r="EH23" i="1"/>
  <c r="EC99" i="1"/>
  <c r="EH100" i="1" s="1"/>
  <c r="DF177" i="7"/>
  <c r="DJ176" i="7"/>
  <c r="DJ74" i="3"/>
  <c r="EC101" i="1"/>
  <c r="EC206" i="1"/>
  <c r="EC238" i="1"/>
  <c r="EC168" i="1"/>
  <c r="EC281" i="2"/>
  <c r="EC200" i="2"/>
  <c r="ED93" i="2"/>
  <c r="EC232" i="2"/>
  <c r="EC236" i="2" s="1"/>
  <c r="EC209" i="2"/>
  <c r="EC12" i="2"/>
  <c r="ED85" i="2"/>
  <c r="ED310" i="1"/>
  <c r="ED309" i="1"/>
  <c r="DE81" i="3"/>
  <c r="DI92" i="3" s="1"/>
  <c r="EC115" i="82"/>
  <c r="EC306" i="1"/>
  <c r="EC229" i="1" s="1"/>
  <c r="EC92" i="1"/>
  <c r="EC27" i="82"/>
  <c r="EC115" i="1"/>
  <c r="DE168" i="7"/>
  <c r="DJ174" i="7" s="1"/>
  <c r="DE103" i="7"/>
  <c r="DE102" i="7" s="1"/>
  <c r="EC93" i="1"/>
  <c r="EH94" i="1" s="1"/>
  <c r="DE78" i="7"/>
  <c r="EC139" i="1"/>
  <c r="EC224" i="2"/>
  <c r="EC206" i="2"/>
  <c r="EC199" i="2"/>
  <c r="EC312" i="1"/>
  <c r="EC36" i="1"/>
  <c r="EC81" i="82"/>
  <c r="EH95" i="82" s="1"/>
  <c r="EC30" i="82"/>
  <c r="EC110" i="82"/>
  <c r="EH111" i="82" s="1"/>
  <c r="EC120" i="82"/>
  <c r="EC122" i="82" s="1"/>
  <c r="EH134" i="82" s="1"/>
  <c r="EC84" i="82"/>
  <c r="EC86" i="82" s="1"/>
  <c r="EH98" i="82" s="1"/>
  <c r="DE76" i="7"/>
  <c r="DE88" i="7"/>
  <c r="DE70" i="3"/>
  <c r="DJ71" i="3" s="1"/>
  <c r="DC185" i="7"/>
  <c r="DD191" i="7"/>
  <c r="DD192" i="7" s="1"/>
  <c r="DD125" i="7"/>
  <c r="DD123" i="7"/>
  <c r="DD122" i="7"/>
  <c r="DD121" i="7"/>
  <c r="DD120" i="7"/>
  <c r="DD119" i="7"/>
  <c r="DD114" i="7"/>
  <c r="DI124" i="7" s="1"/>
  <c r="AD26" i="2"/>
  <c r="AC26" i="2"/>
  <c r="AB26" i="2"/>
  <c r="AA26" i="2"/>
  <c r="AI26" i="2"/>
  <c r="AG26" i="2"/>
  <c r="AF26" i="2"/>
  <c r="EC102" i="1" l="1"/>
  <c r="EH103" i="1" s="1"/>
  <c r="ED211" i="2"/>
  <c r="ED41" i="1"/>
  <c r="EH37" i="1"/>
  <c r="ED95" i="1"/>
  <c r="EH28" i="82"/>
  <c r="EC116" i="82"/>
  <c r="EH131" i="82" s="1"/>
  <c r="EH130" i="82"/>
  <c r="ED32" i="82"/>
  <c r="EH31" i="82"/>
  <c r="ED87" i="2"/>
  <c r="EC275" i="2"/>
  <c r="EC203" i="2"/>
  <c r="EC226" i="2"/>
  <c r="EC144" i="82"/>
  <c r="EH145" i="82" s="1"/>
  <c r="DE182" i="7"/>
  <c r="DF175" i="7"/>
  <c r="ED29" i="82"/>
  <c r="DD116" i="7"/>
  <c r="DE134" i="7"/>
  <c r="DE180" i="7" s="1"/>
  <c r="DE100" i="7"/>
  <c r="EC118" i="1"/>
  <c r="EC121" i="1" s="1"/>
  <c r="EC127" i="1" s="1"/>
  <c r="EC134" i="1" s="1"/>
  <c r="EC136" i="2"/>
  <c r="EC50" i="1"/>
  <c r="EC107" i="1"/>
  <c r="EC146" i="82"/>
  <c r="EC112" i="82"/>
  <c r="EC105" i="82"/>
  <c r="DE85" i="7"/>
  <c r="DE87" i="7"/>
  <c r="ED104" i="1" l="1"/>
  <c r="ED205" i="2"/>
  <c r="ED109" i="1"/>
  <c r="EH108" i="1"/>
  <c r="EH51" i="1"/>
  <c r="EC141" i="82"/>
  <c r="DE136" i="7"/>
  <c r="DI126" i="7"/>
  <c r="EC212" i="2"/>
  <c r="ED292" i="2"/>
  <c r="DE181" i="7"/>
  <c r="ED55" i="1"/>
  <c r="EC9" i="82"/>
  <c r="EC69" i="1"/>
  <c r="EC136" i="1"/>
  <c r="EC133" i="1"/>
  <c r="EC135" i="1" s="1"/>
  <c r="DE76" i="3"/>
  <c r="DE72" i="3"/>
  <c r="A278" i="2"/>
  <c r="A272" i="2" s="1"/>
  <c r="A277" i="2"/>
  <c r="A271" i="2" s="1"/>
  <c r="A276" i="2"/>
  <c r="A270" i="2" s="1"/>
  <c r="A275" i="2"/>
  <c r="A269" i="2" s="1"/>
  <c r="A280" i="2"/>
  <c r="A250" i="2" s="1"/>
  <c r="EB47" i="82"/>
  <c r="EB44" i="82"/>
  <c r="EG61" i="82" s="1"/>
  <c r="EB82" i="82"/>
  <c r="EB119" i="82"/>
  <c r="EB45" i="82" s="1"/>
  <c r="EB118" i="82"/>
  <c r="EG133" i="82" s="1"/>
  <c r="EB23" i="2"/>
  <c r="EB20" i="2"/>
  <c r="EB17" i="2"/>
  <c r="EB276" i="2" l="1"/>
  <c r="EB293" i="2" s="1"/>
  <c r="EG66" i="2"/>
  <c r="EB277" i="2"/>
  <c r="EB294" i="2" s="1"/>
  <c r="EG67" i="2"/>
  <c r="EB278" i="2"/>
  <c r="EB295" i="2" s="1"/>
  <c r="EG68" i="2"/>
  <c r="EH70" i="1"/>
  <c r="EB84" i="82"/>
  <c r="EB86" i="82" s="1"/>
  <c r="EG98" i="82" s="1"/>
  <c r="EG97" i="82"/>
  <c r="ED74" i="1"/>
  <c r="EC170" i="1"/>
  <c r="EH171" i="1" s="1"/>
  <c r="EH209" i="1" s="1"/>
  <c r="A247" i="2"/>
  <c r="A255" i="2"/>
  <c r="A248" i="2"/>
  <c r="A256" i="2"/>
  <c r="A246" i="2"/>
  <c r="A254" i="2"/>
  <c r="A249" i="2"/>
  <c r="A257" i="2"/>
  <c r="EC7" i="2"/>
  <c r="A284" i="2"/>
  <c r="A292" i="2" s="1"/>
  <c r="A299" i="2"/>
  <c r="A288" i="2"/>
  <c r="A296" i="2" s="1"/>
  <c r="A308" i="2"/>
  <c r="A285" i="2"/>
  <c r="A293" i="2" s="1"/>
  <c r="A301" i="2"/>
  <c r="A287" i="2"/>
  <c r="A295" i="2" s="1"/>
  <c r="A305" i="2"/>
  <c r="A286" i="2"/>
  <c r="A294" i="2" s="1"/>
  <c r="A303" i="2"/>
  <c r="EC89" i="2"/>
  <c r="EC90" i="2"/>
  <c r="EC91" i="2"/>
  <c r="EC137" i="1"/>
  <c r="EC82" i="1"/>
  <c r="EC80" i="1"/>
  <c r="EC86" i="1"/>
  <c r="EC78" i="1"/>
  <c r="EC85" i="1"/>
  <c r="EC84" i="1"/>
  <c r="EC79" i="1"/>
  <c r="EC24" i="82"/>
  <c r="EC40" i="82"/>
  <c r="EH56" i="82" s="1"/>
  <c r="EC13" i="82"/>
  <c r="EC14" i="82" s="1"/>
  <c r="EB46" i="82"/>
  <c r="EB48" i="82" s="1"/>
  <c r="EG62" i="82" s="1"/>
  <c r="EB120" i="82"/>
  <c r="EB122" i="82" s="1"/>
  <c r="EG134" i="82" s="1"/>
  <c r="EB289" i="2" l="1"/>
  <c r="EC293" i="2"/>
  <c r="EC294" i="2"/>
  <c r="EC295" i="2"/>
  <c r="EH25" i="82"/>
  <c r="EC191" i="1"/>
  <c r="EC197" i="1"/>
  <c r="EC203" i="1"/>
  <c r="EC208" i="1"/>
  <c r="EC216" i="1" s="1"/>
  <c r="EC183" i="1"/>
  <c r="EC175" i="1"/>
  <c r="EH176" i="1" s="1"/>
  <c r="ED173" i="1"/>
  <c r="ED210" i="1" s="1"/>
  <c r="EC325" i="2"/>
  <c r="EC310" i="2"/>
  <c r="EC329" i="2"/>
  <c r="EC328" i="2"/>
  <c r="EC327" i="2"/>
  <c r="EC143" i="2"/>
  <c r="EC9" i="2"/>
  <c r="EC137" i="2"/>
  <c r="ED139" i="2" s="1"/>
  <c r="EC130" i="2"/>
  <c r="ED132" i="2" s="1"/>
  <c r="EC303" i="2"/>
  <c r="ED84" i="2"/>
  <c r="ED26" i="82"/>
  <c r="EC140" i="2"/>
  <c r="EC299" i="2"/>
  <c r="EC308" i="2"/>
  <c r="EC305" i="2"/>
  <c r="EC133" i="2"/>
  <c r="EC301" i="2"/>
  <c r="EC146" i="2"/>
  <c r="EB287" i="2"/>
  <c r="EB286" i="2"/>
  <c r="EB285" i="2"/>
  <c r="EC81" i="1"/>
  <c r="EC83" i="1" s="1"/>
  <c r="EC87" i="1" s="1"/>
  <c r="EC75" i="82"/>
  <c r="EH76" i="82" s="1"/>
  <c r="EC325" i="1"/>
  <c r="DD236" i="7"/>
  <c r="DD198" i="7"/>
  <c r="DE195" i="7" s="1"/>
  <c r="DD171" i="7"/>
  <c r="DE167" i="7" s="1"/>
  <c r="DE170" i="7" s="1"/>
  <c r="DD169" i="7"/>
  <c r="DD101" i="7"/>
  <c r="DD99" i="7"/>
  <c r="DD97" i="7"/>
  <c r="DD95" i="7"/>
  <c r="DD93" i="7"/>
  <c r="DD90" i="7"/>
  <c r="DD86" i="7"/>
  <c r="DD84" i="7"/>
  <c r="DD81" i="7"/>
  <c r="DD60" i="7"/>
  <c r="DD38" i="7"/>
  <c r="DD6" i="7"/>
  <c r="EB66" i="2"/>
  <c r="DD98" i="3"/>
  <c r="DI99" i="3" s="1"/>
  <c r="DD73" i="3"/>
  <c r="DD17" i="3"/>
  <c r="DD66" i="3"/>
  <c r="DD18" i="3" s="1"/>
  <c r="DD46" i="3"/>
  <c r="DD32" i="3"/>
  <c r="DD6" i="3"/>
  <c r="DD56" i="3" s="1"/>
  <c r="EB230" i="2"/>
  <c r="EB225" i="2"/>
  <c r="EB198" i="2"/>
  <c r="EB187" i="2"/>
  <c r="EB92" i="2"/>
  <c r="EB91" i="2"/>
  <c r="EB90" i="2"/>
  <c r="EB89" i="2"/>
  <c r="EB75" i="2"/>
  <c r="EB68" i="2"/>
  <c r="EB67" i="2"/>
  <c r="EB59" i="2"/>
  <c r="EB56" i="2"/>
  <c r="EB52" i="2"/>
  <c r="EB47" i="2"/>
  <c r="EB46" i="2"/>
  <c r="EB41" i="2"/>
  <c r="EB26" i="2"/>
  <c r="EB8" i="2"/>
  <c r="EB12" i="82"/>
  <c r="EB149" i="82" s="1"/>
  <c r="EB11" i="82"/>
  <c r="EB10" i="82"/>
  <c r="EB320" i="1"/>
  <c r="EG321" i="1" s="1"/>
  <c r="EB318" i="1"/>
  <c r="EB124" i="1"/>
  <c r="EB110" i="1"/>
  <c r="EB106" i="1"/>
  <c r="EB90" i="1"/>
  <c r="EG91" i="1" s="1"/>
  <c r="EB66" i="1"/>
  <c r="EB65" i="1"/>
  <c r="EB62" i="1"/>
  <c r="EB58" i="1"/>
  <c r="EB48" i="1"/>
  <c r="EB44" i="1"/>
  <c r="EB34" i="1"/>
  <c r="EB30" i="1"/>
  <c r="EB22" i="1"/>
  <c r="EG23" i="1" s="1"/>
  <c r="EB20" i="1"/>
  <c r="EB16" i="1"/>
  <c r="EB13" i="1"/>
  <c r="EB9" i="1"/>
  <c r="EB154" i="1" l="1"/>
  <c r="EB155" i="1" s="1"/>
  <c r="EG62" i="2"/>
  <c r="DD105" i="7"/>
  <c r="DD50" i="7"/>
  <c r="EG69" i="2"/>
  <c r="EO277" i="1"/>
  <c r="EH217" i="1"/>
  <c r="EH219" i="1" s="1"/>
  <c r="EH226" i="1"/>
  <c r="EB101" i="1"/>
  <c r="EC112" i="1"/>
  <c r="EG111" i="1"/>
  <c r="EC126" i="1"/>
  <c r="EG125" i="1"/>
  <c r="EB99" i="1"/>
  <c r="EG100" i="1" s="1"/>
  <c r="DI74" i="7"/>
  <c r="DI75" i="7"/>
  <c r="DI74" i="3"/>
  <c r="DE177" i="7"/>
  <c r="DI176" i="7"/>
  <c r="EC13" i="2"/>
  <c r="EK268" i="1"/>
  <c r="EC178" i="1"/>
  <c r="ED177" i="1"/>
  <c r="EC225" i="1"/>
  <c r="ED235" i="1"/>
  <c r="ED236" i="1" s="1"/>
  <c r="EC234" i="1"/>
  <c r="ED145" i="2"/>
  <c r="EC123" i="2"/>
  <c r="EC120" i="2"/>
  <c r="ED122" i="2" s="1"/>
  <c r="ED86" i="2"/>
  <c r="EC126" i="2"/>
  <c r="EC117" i="2"/>
  <c r="EC114" i="2"/>
  <c r="EC85" i="2"/>
  <c r="ED142" i="2"/>
  <c r="DD15" i="3"/>
  <c r="EB200" i="2"/>
  <c r="ED148" i="2"/>
  <c r="EC93" i="2"/>
  <c r="EB232" i="2"/>
  <c r="ED135" i="2"/>
  <c r="DD168" i="7"/>
  <c r="EB92" i="1"/>
  <c r="EB36" i="1"/>
  <c r="EG37" i="1" s="1"/>
  <c r="EC27" i="1"/>
  <c r="EC308" i="1"/>
  <c r="EC132" i="39" s="1"/>
  <c r="EB306" i="1"/>
  <c r="EB229" i="1" s="1"/>
  <c r="EB115" i="1"/>
  <c r="EB80" i="82"/>
  <c r="EG94" i="82" s="1"/>
  <c r="EB27" i="82"/>
  <c r="EB30" i="82"/>
  <c r="EG31" i="82" s="1"/>
  <c r="EB115" i="82"/>
  <c r="EB224" i="2"/>
  <c r="EB41" i="82"/>
  <c r="EG57" i="82" s="1"/>
  <c r="EB12" i="2"/>
  <c r="DD88" i="7"/>
  <c r="DD85" i="7" s="1"/>
  <c r="DD103" i="7"/>
  <c r="DD100" i="7" s="1"/>
  <c r="DD70" i="3"/>
  <c r="DI71" i="3" s="1"/>
  <c r="DD81" i="3"/>
  <c r="EB199" i="2"/>
  <c r="EB93" i="1"/>
  <c r="EG94" i="1" s="1"/>
  <c r="DD62" i="7" l="1"/>
  <c r="EC133" i="39"/>
  <c r="EC131" i="39"/>
  <c r="EC166" i="2"/>
  <c r="ED168" i="2" s="1"/>
  <c r="DG92" i="3"/>
  <c r="DH92" i="3"/>
  <c r="EN78" i="39"/>
  <c r="EN79" i="39" s="1"/>
  <c r="EO265" i="1"/>
  <c r="EO78" i="39" s="1"/>
  <c r="EO79" i="39" s="1"/>
  <c r="EK192" i="1"/>
  <c r="EK264" i="1" s="1"/>
  <c r="EH60" i="2"/>
  <c r="EH227" i="1"/>
  <c r="EB102" i="1"/>
  <c r="EG103" i="1" s="1"/>
  <c r="EB116" i="82"/>
  <c r="EG131" i="82" s="1"/>
  <c r="EG130" i="82"/>
  <c r="EG28" i="82"/>
  <c r="EC150" i="2"/>
  <c r="EC117" i="1"/>
  <c r="EG116" i="1"/>
  <c r="EC95" i="1"/>
  <c r="EC27" i="2"/>
  <c r="EB275" i="2"/>
  <c r="EC292" i="2" s="1"/>
  <c r="EG64" i="2"/>
  <c r="EG70" i="2"/>
  <c r="ED88" i="2"/>
  <c r="DD182" i="7"/>
  <c r="DI174" i="7"/>
  <c r="ED125" i="2"/>
  <c r="ED128" i="2"/>
  <c r="ED119" i="2"/>
  <c r="ED116" i="2"/>
  <c r="EB236" i="2"/>
  <c r="EB226" i="2"/>
  <c r="DE175" i="7"/>
  <c r="EB107" i="1"/>
  <c r="EC41" i="1"/>
  <c r="EB50" i="1"/>
  <c r="EC310" i="1"/>
  <c r="EC309" i="1"/>
  <c r="EC32" i="82"/>
  <c r="EC87" i="2"/>
  <c r="EC29" i="82"/>
  <c r="EB112" i="82"/>
  <c r="EB81" i="82"/>
  <c r="EB110" i="82"/>
  <c r="EG111" i="82" s="1"/>
  <c r="EB118" i="1"/>
  <c r="DD102" i="7"/>
  <c r="DD87" i="7"/>
  <c r="ED94" i="2" l="1"/>
  <c r="EK193" i="1"/>
  <c r="EK265" i="1" s="1"/>
  <c r="EO279" i="1"/>
  <c r="EO280" i="1"/>
  <c r="EO264" i="1"/>
  <c r="EC104" i="1"/>
  <c r="EC28" i="2"/>
  <c r="EC172" i="2" s="1"/>
  <c r="EC220" i="2"/>
  <c r="EC223" i="2" s="1"/>
  <c r="EG51" i="1"/>
  <c r="EC109" i="1"/>
  <c r="EG108" i="1"/>
  <c r="EB105" i="82"/>
  <c r="EG95" i="82"/>
  <c r="EC54" i="2"/>
  <c r="EC57" i="2" s="1"/>
  <c r="EC169" i="2"/>
  <c r="EC32" i="2"/>
  <c r="EC317" i="2"/>
  <c r="EC315" i="2" s="1"/>
  <c r="EC324" i="2" s="1"/>
  <c r="EC29" i="2"/>
  <c r="EC151" i="2"/>
  <c r="EC120" i="1"/>
  <c r="EG119" i="1"/>
  <c r="EK277" i="1"/>
  <c r="EK278" i="1" s="1"/>
  <c r="EK194" i="1" s="1"/>
  <c r="EB69" i="1"/>
  <c r="EB9" i="82"/>
  <c r="EB13" i="82" s="1"/>
  <c r="EB14" i="82" s="1"/>
  <c r="EC55" i="1"/>
  <c r="EB121" i="1"/>
  <c r="ET277" i="1" l="1"/>
  <c r="ET264" i="1"/>
  <c r="ES277" i="1"/>
  <c r="ES264" i="1"/>
  <c r="EK78" i="39"/>
  <c r="EK77" i="39" s="1"/>
  <c r="EC175" i="2"/>
  <c r="ED177" i="2" s="1"/>
  <c r="EC34" i="2"/>
  <c r="EC48" i="2" s="1"/>
  <c r="EC154" i="2"/>
  <c r="ED156" i="2" s="1"/>
  <c r="EO268" i="1"/>
  <c r="EO192" i="1"/>
  <c r="EQ195" i="1" s="1"/>
  <c r="EQ266" i="1" s="1"/>
  <c r="EO301" i="1"/>
  <c r="EC326" i="2"/>
  <c r="EC227" i="2"/>
  <c r="EC233" i="2" s="1"/>
  <c r="EC321" i="2"/>
  <c r="EC330" i="2" s="1"/>
  <c r="EC157" i="2"/>
  <c r="ED159" i="2" s="1"/>
  <c r="EG70" i="1"/>
  <c r="EC36" i="2"/>
  <c r="ED171" i="2"/>
  <c r="ED153" i="2"/>
  <c r="EC123" i="1"/>
  <c r="EG122" i="1"/>
  <c r="EC179" i="2"/>
  <c r="EK279" i="1"/>
  <c r="EK280" i="1"/>
  <c r="EB7" i="2"/>
  <c r="EB170" i="1"/>
  <c r="EG171" i="1" s="1"/>
  <c r="EG209" i="1" s="1"/>
  <c r="EC161" i="2"/>
  <c r="ED174" i="2"/>
  <c r="EC229" i="2"/>
  <c r="EC74" i="1"/>
  <c r="EB40" i="82"/>
  <c r="EB24" i="82"/>
  <c r="EB127" i="1"/>
  <c r="EQ282" i="1" l="1"/>
  <c r="ES192" i="1"/>
  <c r="ES195" i="1" s="1"/>
  <c r="ES266" i="1" s="1"/>
  <c r="ES282" i="1" s="1"/>
  <c r="ES268" i="1"/>
  <c r="ET268" i="1"/>
  <c r="ET192" i="1"/>
  <c r="ET195" i="1" s="1"/>
  <c r="ET266" i="1" s="1"/>
  <c r="ET282" i="1" s="1"/>
  <c r="EK79" i="39"/>
  <c r="EB329" i="2"/>
  <c r="EC217" i="2"/>
  <c r="EC178" i="2"/>
  <c r="EP192" i="1"/>
  <c r="EN120" i="39"/>
  <c r="EN121" i="39" s="1"/>
  <c r="EO289" i="1"/>
  <c r="EO120" i="39" s="1"/>
  <c r="EO121" i="39" s="1"/>
  <c r="EP268" i="1"/>
  <c r="EO195" i="1"/>
  <c r="EO266" i="1" s="1"/>
  <c r="EO193" i="1"/>
  <c r="EK198" i="1"/>
  <c r="EK199" i="1" s="1"/>
  <c r="EK289" i="1" s="1"/>
  <c r="EC42" i="2"/>
  <c r="EC43" i="2" s="1"/>
  <c r="EC160" i="2"/>
  <c r="EC37" i="2"/>
  <c r="EB143" i="2"/>
  <c r="EG144" i="2" s="1"/>
  <c r="EB130" i="2"/>
  <c r="EG131" i="2" s="1"/>
  <c r="EB140" i="2"/>
  <c r="EG141" i="2" s="1"/>
  <c r="EB308" i="2"/>
  <c r="EC84" i="2"/>
  <c r="EB133" i="2"/>
  <c r="EG134" i="2" s="1"/>
  <c r="EB325" i="2"/>
  <c r="EG61" i="2"/>
  <c r="EB299" i="2"/>
  <c r="EB327" i="2"/>
  <c r="EB146" i="2"/>
  <c r="EG147" i="2" s="1"/>
  <c r="EB305" i="2"/>
  <c r="EB137" i="2"/>
  <c r="EG138" i="2" s="1"/>
  <c r="EB303" i="2"/>
  <c r="EB9" i="2"/>
  <c r="EB301" i="2"/>
  <c r="EB328" i="2"/>
  <c r="EG25" i="82"/>
  <c r="EB42" i="82"/>
  <c r="EB43" i="82" s="1"/>
  <c r="EG59" i="82" s="1"/>
  <c r="EG56" i="82"/>
  <c r="EC129" i="1"/>
  <c r="EG128" i="1"/>
  <c r="EB208" i="1"/>
  <c r="EB216" i="1" s="1"/>
  <c r="EB191" i="1"/>
  <c r="EB197" i="1"/>
  <c r="EB203" i="1"/>
  <c r="EB183" i="1"/>
  <c r="EB175" i="1"/>
  <c r="EG176" i="1" s="1"/>
  <c r="EC173" i="1"/>
  <c r="EC210" i="1" s="1"/>
  <c r="EC50" i="2"/>
  <c r="EC237" i="2"/>
  <c r="EC228" i="2"/>
  <c r="EB69" i="82"/>
  <c r="EC26" i="82"/>
  <c r="EB133" i="1"/>
  <c r="EB136" i="1"/>
  <c r="DD76" i="3"/>
  <c r="DD72" i="3"/>
  <c r="EB134" i="1"/>
  <c r="ET193" i="1" l="1"/>
  <c r="EP264" i="1"/>
  <c r="EP277" i="1" s="1"/>
  <c r="EP278" i="1" s="1"/>
  <c r="EU268" i="1"/>
  <c r="ES193" i="1"/>
  <c r="EU192" i="1"/>
  <c r="EC51" i="2"/>
  <c r="EO282" i="1"/>
  <c r="EO283" i="1" s="1"/>
  <c r="EO284" i="1" s="1"/>
  <c r="EO286" i="1" s="1"/>
  <c r="EP193" i="1"/>
  <c r="EP265" i="1" s="1"/>
  <c r="EK288" i="1"/>
  <c r="EO303" i="1"/>
  <c r="EO304" i="1"/>
  <c r="EO288" i="1"/>
  <c r="EC145" i="2"/>
  <c r="EC148" i="2"/>
  <c r="EC135" i="2"/>
  <c r="ED96" i="2"/>
  <c r="EC142" i="2"/>
  <c r="EC132" i="2"/>
  <c r="EG58" i="82"/>
  <c r="EB114" i="2"/>
  <c r="EG115" i="2" s="1"/>
  <c r="EC139" i="2"/>
  <c r="EB13" i="2"/>
  <c r="EG217" i="1"/>
  <c r="EG219" i="1" s="1"/>
  <c r="EG226" i="1"/>
  <c r="EB126" i="2"/>
  <c r="EG127" i="2" s="1"/>
  <c r="EB120" i="2"/>
  <c r="EG121" i="2" s="1"/>
  <c r="EB117" i="2"/>
  <c r="EG118" i="2" s="1"/>
  <c r="DD80" i="7"/>
  <c r="DD91" i="7" s="1"/>
  <c r="EC86" i="2"/>
  <c r="EG63" i="2"/>
  <c r="EB123" i="2"/>
  <c r="EG124" i="2" s="1"/>
  <c r="EB178" i="1"/>
  <c r="EF175" i="1"/>
  <c r="EC177" i="1"/>
  <c r="EB225" i="1"/>
  <c r="ED218" i="1"/>
  <c r="EB234" i="1"/>
  <c r="EC235" i="1"/>
  <c r="EC236" i="1" s="1"/>
  <c r="EC239" i="2"/>
  <c r="EC238" i="2"/>
  <c r="ED97" i="2"/>
  <c r="EB135" i="1"/>
  <c r="EB137" i="1" s="1"/>
  <c r="EU193" i="1" l="1"/>
  <c r="EU265" i="1" s="1"/>
  <c r="EU264" i="1"/>
  <c r="EU277" i="1" s="1"/>
  <c r="EU278" i="1" s="1"/>
  <c r="EU194" i="1" s="1"/>
  <c r="ET301" i="1"/>
  <c r="ET288" i="1"/>
  <c r="ES301" i="1"/>
  <c r="ES288" i="1"/>
  <c r="ET283" i="1"/>
  <c r="ET284" i="1" s="1"/>
  <c r="ET286" i="1" s="1"/>
  <c r="ED98" i="2"/>
  <c r="EP78" i="39"/>
  <c r="EP79" i="39" s="1"/>
  <c r="EO92" i="39"/>
  <c r="EO93" i="39" s="1"/>
  <c r="EN92" i="39"/>
  <c r="EN93" i="39" s="1"/>
  <c r="EG65" i="2"/>
  <c r="EO285" i="1"/>
  <c r="EO198" i="1"/>
  <c r="EQ201" i="1" s="1"/>
  <c r="EQ290" i="1" s="1"/>
  <c r="EO292" i="1"/>
  <c r="EP194" i="1"/>
  <c r="EP279" i="1"/>
  <c r="EP280" i="1"/>
  <c r="EC116" i="2"/>
  <c r="EC88" i="2"/>
  <c r="EC125" i="2"/>
  <c r="DD83" i="7"/>
  <c r="EB150" i="2"/>
  <c r="EC128" i="2"/>
  <c r="EB166" i="2"/>
  <c r="EG167" i="2" s="1"/>
  <c r="EB27" i="2"/>
  <c r="DD82" i="7"/>
  <c r="DD92" i="7"/>
  <c r="EG73" i="1"/>
  <c r="EG172" i="1"/>
  <c r="EG60" i="2"/>
  <c r="EG227" i="1"/>
  <c r="DD94" i="7"/>
  <c r="DD104" i="7"/>
  <c r="DD98" i="7"/>
  <c r="EC122" i="2"/>
  <c r="DD172" i="7"/>
  <c r="DD89" i="7"/>
  <c r="EC119" i="2"/>
  <c r="DD96" i="7"/>
  <c r="EK175" i="1"/>
  <c r="EC241" i="2"/>
  <c r="EC240" i="2"/>
  <c r="EQ306" i="1" l="1"/>
  <c r="ET92" i="39"/>
  <c r="ET93" i="39" s="1"/>
  <c r="ET198" i="1"/>
  <c r="ET292" i="1"/>
  <c r="ET285" i="1"/>
  <c r="ES292" i="1"/>
  <c r="ES198" i="1"/>
  <c r="ES201" i="1" s="1"/>
  <c r="ES290" i="1" s="1"/>
  <c r="ES306" i="1" s="1"/>
  <c r="EU280" i="1"/>
  <c r="EU279" i="1"/>
  <c r="EG72" i="1"/>
  <c r="EG71" i="1" s="1"/>
  <c r="EG31" i="1" s="1"/>
  <c r="EG32" i="1" s="1"/>
  <c r="EG33" i="1" s="1"/>
  <c r="EG71" i="2"/>
  <c r="EP292" i="1"/>
  <c r="EP198" i="1"/>
  <c r="EO201" i="1"/>
  <c r="EO290" i="1" s="1"/>
  <c r="EO199" i="1"/>
  <c r="EP176" i="1"/>
  <c r="EC168" i="2"/>
  <c r="EB169" i="2"/>
  <c r="EC94" i="2"/>
  <c r="EB29" i="2"/>
  <c r="EB220" i="2"/>
  <c r="EB223" i="2" s="1"/>
  <c r="EB32" i="2"/>
  <c r="EB54" i="2"/>
  <c r="EB317" i="2"/>
  <c r="EB315" i="2" s="1"/>
  <c r="EB324" i="2" s="1"/>
  <c r="EB151" i="2"/>
  <c r="EB28" i="2"/>
  <c r="EB154" i="2" s="1"/>
  <c r="EG155" i="2" s="1"/>
  <c r="EG17" i="1"/>
  <c r="EG18" i="1" s="1"/>
  <c r="EG19" i="1" s="1"/>
  <c r="EG10" i="1"/>
  <c r="EH204" i="1"/>
  <c r="EK176" i="1"/>
  <c r="ET201" i="1" l="1"/>
  <c r="ET290" i="1" s="1"/>
  <c r="ET306" i="1" s="1"/>
  <c r="EU292" i="1"/>
  <c r="ES199" i="1"/>
  <c r="EU198" i="1"/>
  <c r="EQ307" i="1"/>
  <c r="ET199" i="1"/>
  <c r="EG59" i="1"/>
  <c r="EG60" i="1" s="1"/>
  <c r="EG61" i="1" s="1"/>
  <c r="EG45" i="1"/>
  <c r="EG46" i="1" s="1"/>
  <c r="EG47" i="1" s="1"/>
  <c r="EB36" i="2"/>
  <c r="EG73" i="2"/>
  <c r="EC153" i="2"/>
  <c r="EO306" i="1"/>
  <c r="EO307" i="1" s="1"/>
  <c r="EO308" i="1" s="1"/>
  <c r="EO132" i="39" s="1"/>
  <c r="EO133" i="39" s="1"/>
  <c r="EP288" i="1"/>
  <c r="EP301" i="1" s="1"/>
  <c r="EP302" i="1" s="1"/>
  <c r="EP200" i="1" s="1"/>
  <c r="EP199" i="1"/>
  <c r="EP289" i="1" s="1"/>
  <c r="EB326" i="2"/>
  <c r="EO253" i="1"/>
  <c r="EC171" i="2"/>
  <c r="EG170" i="2"/>
  <c r="EG152" i="2"/>
  <c r="EB175" i="2"/>
  <c r="EG176" i="2" s="1"/>
  <c r="EB157" i="2"/>
  <c r="EG158" i="2" s="1"/>
  <c r="EB227" i="2"/>
  <c r="EB233" i="2" s="1"/>
  <c r="EB34" i="2"/>
  <c r="EB48" i="2" s="1"/>
  <c r="EB321" i="2"/>
  <c r="EB330" i="2" s="1"/>
  <c r="EB172" i="2"/>
  <c r="EG173" i="2" s="1"/>
  <c r="EF28" i="2"/>
  <c r="EG72" i="2"/>
  <c r="EG11" i="1"/>
  <c r="EG12" i="1" s="1"/>
  <c r="EG24" i="1"/>
  <c r="EK244" i="1"/>
  <c r="EC156" i="2"/>
  <c r="EB229" i="2"/>
  <c r="EQ308" i="1" l="1"/>
  <c r="EQ310" i="1" s="1"/>
  <c r="ET307" i="1"/>
  <c r="EU199" i="1"/>
  <c r="EU289" i="1" s="1"/>
  <c r="EU288" i="1"/>
  <c r="EU301" i="1" s="1"/>
  <c r="EU302" i="1" s="1"/>
  <c r="EU200" i="1" s="1"/>
  <c r="ES307" i="1"/>
  <c r="ES308" i="1" s="1"/>
  <c r="ES310" i="1" s="1"/>
  <c r="DD196" i="7"/>
  <c r="EB178" i="2"/>
  <c r="EB37" i="2"/>
  <c r="EB42" i="2"/>
  <c r="EG79" i="2" s="1"/>
  <c r="DD9" i="3"/>
  <c r="EB160" i="2"/>
  <c r="EP120" i="39"/>
  <c r="EP121" i="39" s="1"/>
  <c r="EN132" i="39"/>
  <c r="EN133" i="39" s="1"/>
  <c r="EG77" i="2"/>
  <c r="EB228" i="2"/>
  <c r="EO310" i="1"/>
  <c r="EO309" i="1"/>
  <c r="EC159" i="2"/>
  <c r="EP304" i="1"/>
  <c r="EP303" i="1"/>
  <c r="EN32" i="39"/>
  <c r="EN33" i="39" s="1"/>
  <c r="EO241" i="1"/>
  <c r="EO32" i="39" s="1"/>
  <c r="EO33" i="39" s="1"/>
  <c r="EC177" i="2"/>
  <c r="EC174" i="2"/>
  <c r="EG25" i="1"/>
  <c r="EG26" i="1" s="1"/>
  <c r="EG38" i="1"/>
  <c r="EK186" i="1"/>
  <c r="EB237" i="2"/>
  <c r="EB50" i="2"/>
  <c r="EQ132" i="39" l="1"/>
  <c r="EQ133" i="39" s="1"/>
  <c r="EQ309" i="1"/>
  <c r="ET308" i="1"/>
  <c r="ET310" i="1" s="1"/>
  <c r="ES132" i="39"/>
  <c r="ES133" i="39" s="1"/>
  <c r="ES309" i="1"/>
  <c r="EU304" i="1"/>
  <c r="EU303" i="1"/>
  <c r="EC96" i="2"/>
  <c r="EG78" i="2"/>
  <c r="EB43" i="2"/>
  <c r="EG80" i="2" s="1"/>
  <c r="DD19" i="3"/>
  <c r="EG81" i="2"/>
  <c r="EO255" i="1"/>
  <c r="EO256" i="1"/>
  <c r="EO240" i="1"/>
  <c r="EK179" i="1"/>
  <c r="EK196" i="1" s="1"/>
  <c r="EG52" i="1"/>
  <c r="EG53" i="1" s="1"/>
  <c r="EG54" i="1" s="1"/>
  <c r="EG39" i="1"/>
  <c r="EK240" i="1"/>
  <c r="EK187" i="1"/>
  <c r="EK241" i="1" s="1"/>
  <c r="EB51" i="2"/>
  <c r="EB239" i="2"/>
  <c r="EB238" i="2"/>
  <c r="ET132" i="39" l="1"/>
  <c r="ET133" i="39" s="1"/>
  <c r="ET309" i="1"/>
  <c r="ES253" i="1"/>
  <c r="ES240" i="1"/>
  <c r="ET240" i="1"/>
  <c r="ET253" i="1"/>
  <c r="DD80" i="3"/>
  <c r="DI88" i="3" s="1"/>
  <c r="DI20" i="3"/>
  <c r="DD50" i="3"/>
  <c r="EC97" i="2"/>
  <c r="DD77" i="3"/>
  <c r="EG82" i="2"/>
  <c r="EK204" i="1"/>
  <c r="EK190" i="1"/>
  <c r="EK202" i="1" s="1"/>
  <c r="EO244" i="1"/>
  <c r="EO212" i="1" s="1"/>
  <c r="EO214" i="1" s="1"/>
  <c r="EO186" i="1"/>
  <c r="EQ189" i="1" s="1"/>
  <c r="EQ242" i="1" s="1"/>
  <c r="EQ258" i="1" s="1"/>
  <c r="EK180" i="1"/>
  <c r="EH172" i="1"/>
  <c r="EH73" i="1"/>
  <c r="EG40" i="1"/>
  <c r="EK253" i="1"/>
  <c r="EK254" i="1" s="1"/>
  <c r="EK188" i="1" s="1"/>
  <c r="EB240" i="2"/>
  <c r="EB241" i="2"/>
  <c r="EG242" i="2" s="1"/>
  <c r="EC98" i="2"/>
  <c r="CR312" i="1"/>
  <c r="CQ312" i="1"/>
  <c r="CP312" i="1"/>
  <c r="CO312" i="1"/>
  <c r="CN312" i="1"/>
  <c r="CM312" i="1"/>
  <c r="CL312" i="1"/>
  <c r="CK312" i="1"/>
  <c r="CJ312" i="1"/>
  <c r="CI312" i="1"/>
  <c r="CH312" i="1"/>
  <c r="CG312" i="1"/>
  <c r="CF312" i="1"/>
  <c r="CE312" i="1"/>
  <c r="CD312" i="1"/>
  <c r="CC312" i="1"/>
  <c r="CB312" i="1"/>
  <c r="CA312" i="1"/>
  <c r="BZ312" i="1"/>
  <c r="BY312" i="1"/>
  <c r="BX312" i="1"/>
  <c r="BW312" i="1"/>
  <c r="BV312" i="1"/>
  <c r="BU312" i="1"/>
  <c r="BT312" i="1"/>
  <c r="BS312" i="1"/>
  <c r="BR312" i="1"/>
  <c r="BQ312" i="1"/>
  <c r="BP312" i="1"/>
  <c r="BO312" i="1"/>
  <c r="BN312" i="1"/>
  <c r="BM312" i="1"/>
  <c r="BL312" i="1"/>
  <c r="BK312" i="1"/>
  <c r="BJ312" i="1"/>
  <c r="BI312" i="1"/>
  <c r="BH312" i="1"/>
  <c r="BG312" i="1"/>
  <c r="BF312" i="1"/>
  <c r="BE312" i="1"/>
  <c r="BD312" i="1"/>
  <c r="BC312" i="1"/>
  <c r="BB312" i="1"/>
  <c r="BA312" i="1"/>
  <c r="AZ312" i="1"/>
  <c r="AY312" i="1"/>
  <c r="AX312" i="1"/>
  <c r="AV312" i="1"/>
  <c r="AU312" i="1"/>
  <c r="AT312" i="1"/>
  <c r="AS312" i="1"/>
  <c r="AR312" i="1"/>
  <c r="AQ312" i="1"/>
  <c r="AP312" i="1"/>
  <c r="AO312" i="1"/>
  <c r="AN312" i="1"/>
  <c r="AM312" i="1"/>
  <c r="AL312" i="1"/>
  <c r="AK312" i="1"/>
  <c r="AJ312" i="1"/>
  <c r="AI312" i="1"/>
  <c r="AH312" i="1"/>
  <c r="AG312" i="1"/>
  <c r="AF312" i="1"/>
  <c r="AE312" i="1"/>
  <c r="AD312" i="1"/>
  <c r="AC312" i="1"/>
  <c r="AB312" i="1"/>
  <c r="AA312" i="1"/>
  <c r="Z312" i="1"/>
  <c r="Y312" i="1"/>
  <c r="X312" i="1"/>
  <c r="W312" i="1"/>
  <c r="V312" i="1"/>
  <c r="U312" i="1"/>
  <c r="T312" i="1"/>
  <c r="S312" i="1"/>
  <c r="R312" i="1"/>
  <c r="Q312" i="1"/>
  <c r="P312" i="1"/>
  <c r="O312" i="1"/>
  <c r="N312" i="1"/>
  <c r="M312" i="1"/>
  <c r="L312" i="1"/>
  <c r="K312" i="1"/>
  <c r="J312" i="1"/>
  <c r="I312" i="1"/>
  <c r="H312" i="1"/>
  <c r="G312" i="1"/>
  <c r="F312" i="1"/>
  <c r="E312" i="1"/>
  <c r="D312" i="1"/>
  <c r="C312" i="1"/>
  <c r="B312" i="1"/>
  <c r="A312" i="1"/>
  <c r="BX26" i="2"/>
  <c r="BX9" i="2"/>
  <c r="BN19" i="2"/>
  <c r="BN22" i="2"/>
  <c r="BI22" i="2"/>
  <c r="BI19" i="2"/>
  <c r="BD19" i="2"/>
  <c r="BD22" i="2"/>
  <c r="AY22" i="2"/>
  <c r="AY19" i="2"/>
  <c r="AT19" i="2"/>
  <c r="AT22" i="2"/>
  <c r="CM16" i="2"/>
  <c r="BN16" i="2"/>
  <c r="BI16" i="2"/>
  <c r="BD16" i="2"/>
  <c r="AY16" i="2"/>
  <c r="AT16" i="2"/>
  <c r="BN11" i="2"/>
  <c r="BI11" i="2"/>
  <c r="BD11" i="2"/>
  <c r="AY11" i="2"/>
  <c r="AT11" i="2"/>
  <c r="AO11" i="2"/>
  <c r="AS10" i="2"/>
  <c r="AR10" i="2"/>
  <c r="AQ10" i="2"/>
  <c r="AP10" i="2"/>
  <c r="AK18" i="2"/>
  <c r="AL18" i="2"/>
  <c r="AM18" i="2"/>
  <c r="AN18" i="2"/>
  <c r="AN17" i="2"/>
  <c r="AN20" i="2"/>
  <c r="AN23" i="2"/>
  <c r="AM23" i="2"/>
  <c r="AM20" i="2"/>
  <c r="AM17" i="2"/>
  <c r="AL17" i="2"/>
  <c r="AL20" i="2"/>
  <c r="AL23" i="2"/>
  <c r="AK23" i="2"/>
  <c r="AK20" i="2"/>
  <c r="AK17" i="2"/>
  <c r="F26" i="2"/>
  <c r="K26" i="2"/>
  <c r="P26" i="2"/>
  <c r="ET244" i="1" l="1"/>
  <c r="ET212" i="1" s="1"/>
  <c r="ET214" i="1" s="1"/>
  <c r="ET186" i="1"/>
  <c r="ES186" i="1"/>
  <c r="ES189" i="1" s="1"/>
  <c r="ES242" i="1" s="1"/>
  <c r="ES258" i="1" s="1"/>
  <c r="ES244" i="1"/>
  <c r="DD83" i="3"/>
  <c r="EH72" i="1"/>
  <c r="EH71" i="1" s="1"/>
  <c r="AS12" i="2"/>
  <c r="AP12" i="2"/>
  <c r="AQ12" i="2"/>
  <c r="EK32" i="39"/>
  <c r="EP186" i="1"/>
  <c r="EP244" i="1"/>
  <c r="EO189" i="1"/>
  <c r="EO242" i="1" s="1"/>
  <c r="EO179" i="1"/>
  <c r="EQ182" i="1" s="1"/>
  <c r="EO187" i="1"/>
  <c r="EO68" i="1"/>
  <c r="EO12" i="82" s="1"/>
  <c r="EO149" i="82" s="1"/>
  <c r="EO184" i="1"/>
  <c r="EK255" i="1"/>
  <c r="EK256" i="1"/>
  <c r="AR12" i="2"/>
  <c r="BX13" i="2"/>
  <c r="AL19" i="2"/>
  <c r="AN19" i="2"/>
  <c r="AK19" i="2"/>
  <c r="AM19" i="2"/>
  <c r="DB191" i="7"/>
  <c r="DB192" i="7" s="1"/>
  <c r="DA191" i="7"/>
  <c r="DA192" i="7" s="1"/>
  <c r="CZ191" i="7"/>
  <c r="CZ192" i="7" s="1"/>
  <c r="CY191" i="7"/>
  <c r="CY192" i="7" s="1"/>
  <c r="CW191" i="7"/>
  <c r="CW192" i="7" s="1"/>
  <c r="CV191" i="7"/>
  <c r="CV192" i="7" s="1"/>
  <c r="CU191" i="7"/>
  <c r="CU192" i="7" s="1"/>
  <c r="CT191" i="7"/>
  <c r="CT192" i="7" s="1"/>
  <c r="CR191" i="7"/>
  <c r="CR192" i="7" s="1"/>
  <c r="CQ191" i="7"/>
  <c r="CQ192" i="7" s="1"/>
  <c r="CP191" i="7"/>
  <c r="CP192" i="7" s="1"/>
  <c r="CO191" i="7"/>
  <c r="CO192" i="7" s="1"/>
  <c r="CM191" i="7"/>
  <c r="CM192" i="7" s="1"/>
  <c r="CL191" i="7"/>
  <c r="CL192" i="7" s="1"/>
  <c r="CK191" i="7"/>
  <c r="CK192" i="7" s="1"/>
  <c r="CJ191" i="7"/>
  <c r="CJ192" i="7" s="1"/>
  <c r="CH191" i="7"/>
  <c r="CH192" i="7" s="1"/>
  <c r="CG191" i="7"/>
  <c r="CG192" i="7" s="1"/>
  <c r="CF191" i="7"/>
  <c r="CF192" i="7" s="1"/>
  <c r="CE191" i="7"/>
  <c r="CE192" i="7" s="1"/>
  <c r="CC191" i="7"/>
  <c r="CC192" i="7" s="1"/>
  <c r="CB191" i="7"/>
  <c r="CB192" i="7" s="1"/>
  <c r="CA191" i="7"/>
  <c r="CA192" i="7" s="1"/>
  <c r="BZ191" i="7"/>
  <c r="BZ192" i="7" s="1"/>
  <c r="CD190" i="7"/>
  <c r="CI190" i="7"/>
  <c r="CN190" i="7"/>
  <c r="CS190" i="7"/>
  <c r="CX190" i="7"/>
  <c r="DC190" i="7"/>
  <c r="A191" i="7"/>
  <c r="CD189" i="7"/>
  <c r="CD188" i="7"/>
  <c r="CD187" i="7"/>
  <c r="CD186" i="7"/>
  <c r="CD184" i="7"/>
  <c r="CI189" i="7"/>
  <c r="CI188" i="7"/>
  <c r="CI187" i="7"/>
  <c r="CI186" i="7"/>
  <c r="CI184" i="7"/>
  <c r="CN189" i="7"/>
  <c r="CN188" i="7"/>
  <c r="CN187" i="7"/>
  <c r="CN186" i="7"/>
  <c r="CN184" i="7"/>
  <c r="CS189" i="7"/>
  <c r="CS188" i="7"/>
  <c r="CS187" i="7"/>
  <c r="CS186" i="7"/>
  <c r="CS184" i="7"/>
  <c r="CX189" i="7"/>
  <c r="CX188" i="7"/>
  <c r="CX187" i="7"/>
  <c r="CX186" i="7"/>
  <c r="CX184" i="7"/>
  <c r="DC189" i="7"/>
  <c r="DC188" i="7"/>
  <c r="DC187" i="7"/>
  <c r="DC186" i="7"/>
  <c r="DC184" i="7"/>
  <c r="CM129" i="7"/>
  <c r="CM130" i="7"/>
  <c r="CM131" i="7"/>
  <c r="CM132" i="7"/>
  <c r="CM133" i="7"/>
  <c r="CM135" i="7"/>
  <c r="DB125" i="7"/>
  <c r="DA125" i="7"/>
  <c r="CZ125" i="7"/>
  <c r="CY125" i="7"/>
  <c r="DB123" i="7"/>
  <c r="DA123" i="7"/>
  <c r="CZ123" i="7"/>
  <c r="CY123" i="7"/>
  <c r="DB122" i="7"/>
  <c r="DA122" i="7"/>
  <c r="CZ122" i="7"/>
  <c r="CY122" i="7"/>
  <c r="DB121" i="7"/>
  <c r="DA121" i="7"/>
  <c r="CZ121" i="7"/>
  <c r="CY121" i="7"/>
  <c r="DB120" i="7"/>
  <c r="DA120" i="7"/>
  <c r="CZ120" i="7"/>
  <c r="CY120" i="7"/>
  <c r="DB119" i="7"/>
  <c r="DA119" i="7"/>
  <c r="CZ119" i="7"/>
  <c r="CY119" i="7"/>
  <c r="CW125" i="7"/>
  <c r="CV125" i="7"/>
  <c r="CU125" i="7"/>
  <c r="CT125" i="7"/>
  <c r="CW123" i="7"/>
  <c r="CV123" i="7"/>
  <c r="CU123" i="7"/>
  <c r="CT123" i="7"/>
  <c r="CW122" i="7"/>
  <c r="CV122" i="7"/>
  <c r="CU122" i="7"/>
  <c r="CT122" i="7"/>
  <c r="CW121" i="7"/>
  <c r="CV121" i="7"/>
  <c r="CU121" i="7"/>
  <c r="CT121" i="7"/>
  <c r="CW120" i="7"/>
  <c r="CV120" i="7"/>
  <c r="CU120" i="7"/>
  <c r="CT120" i="7"/>
  <c r="CW119" i="7"/>
  <c r="CV119" i="7"/>
  <c r="CU119" i="7"/>
  <c r="CT119" i="7"/>
  <c r="CR125" i="7"/>
  <c r="CQ125" i="7"/>
  <c r="CP125" i="7"/>
  <c r="CO125" i="7"/>
  <c r="CR123" i="7"/>
  <c r="CQ123" i="7"/>
  <c r="CP123" i="7"/>
  <c r="CO123" i="7"/>
  <c r="CR122" i="7"/>
  <c r="CQ122" i="7"/>
  <c r="CP122" i="7"/>
  <c r="CO122" i="7"/>
  <c r="CR121" i="7"/>
  <c r="CQ121" i="7"/>
  <c r="CP121" i="7"/>
  <c r="CO121" i="7"/>
  <c r="CR120" i="7"/>
  <c r="CQ120" i="7"/>
  <c r="CP120" i="7"/>
  <c r="CO120" i="7"/>
  <c r="CR119" i="7"/>
  <c r="CQ119" i="7"/>
  <c r="CP119" i="7"/>
  <c r="CO119" i="7"/>
  <c r="CM125" i="7"/>
  <c r="CL125" i="7"/>
  <c r="CK125" i="7"/>
  <c r="CJ125" i="7"/>
  <c r="CM123" i="7"/>
  <c r="CL123" i="7"/>
  <c r="CK123" i="7"/>
  <c r="CJ123" i="7"/>
  <c r="CM122" i="7"/>
  <c r="CL122" i="7"/>
  <c r="CK122" i="7"/>
  <c r="CJ122" i="7"/>
  <c r="CM121" i="7"/>
  <c r="CL121" i="7"/>
  <c r="CK121" i="7"/>
  <c r="CJ121" i="7"/>
  <c r="CM120" i="7"/>
  <c r="CL120" i="7"/>
  <c r="CK120" i="7"/>
  <c r="CJ120" i="7"/>
  <c r="CM119" i="7"/>
  <c r="CL119" i="7"/>
  <c r="CK119" i="7"/>
  <c r="CJ119" i="7"/>
  <c r="CH125" i="7"/>
  <c r="CG125" i="7"/>
  <c r="CF125" i="7"/>
  <c r="CE125" i="7"/>
  <c r="CH123" i="7"/>
  <c r="CG123" i="7"/>
  <c r="CF123" i="7"/>
  <c r="CE123" i="7"/>
  <c r="CH122" i="7"/>
  <c r="CG122" i="7"/>
  <c r="CF122" i="7"/>
  <c r="CE122" i="7"/>
  <c r="CH121" i="7"/>
  <c r="CG121" i="7"/>
  <c r="CF121" i="7"/>
  <c r="CE121" i="7"/>
  <c r="CH120" i="7"/>
  <c r="CG120" i="7"/>
  <c r="CF120" i="7"/>
  <c r="CE120" i="7"/>
  <c r="CH119" i="7"/>
  <c r="CG119" i="7"/>
  <c r="CF119" i="7"/>
  <c r="CE119" i="7"/>
  <c r="CC125" i="7"/>
  <c r="CB125" i="7"/>
  <c r="CA125" i="7"/>
  <c r="BZ125" i="7"/>
  <c r="CC123" i="7"/>
  <c r="CB123" i="7"/>
  <c r="CA123" i="7"/>
  <c r="BZ123" i="7"/>
  <c r="CC122" i="7"/>
  <c r="CB122" i="7"/>
  <c r="CA122" i="7"/>
  <c r="BZ122" i="7"/>
  <c r="CC121" i="7"/>
  <c r="CB121" i="7"/>
  <c r="CA121" i="7"/>
  <c r="BZ121" i="7"/>
  <c r="CC120" i="7"/>
  <c r="CB120" i="7"/>
  <c r="CA120" i="7"/>
  <c r="BZ120" i="7"/>
  <c r="CC119" i="7"/>
  <c r="CB119" i="7"/>
  <c r="CA119" i="7"/>
  <c r="BZ119" i="7"/>
  <c r="BX125" i="7"/>
  <c r="BW125" i="7"/>
  <c r="BV125" i="7"/>
  <c r="BU125" i="7"/>
  <c r="BX123" i="7"/>
  <c r="BW123" i="7"/>
  <c r="BV123" i="7"/>
  <c r="BU123" i="7"/>
  <c r="BX122" i="7"/>
  <c r="BW122" i="7"/>
  <c r="BV122" i="7"/>
  <c r="BU122" i="7"/>
  <c r="BX121" i="7"/>
  <c r="BW121" i="7"/>
  <c r="BV121" i="7"/>
  <c r="BU121" i="7"/>
  <c r="BX120" i="7"/>
  <c r="BW120" i="7"/>
  <c r="BV120" i="7"/>
  <c r="BU120" i="7"/>
  <c r="BX119" i="7"/>
  <c r="BW119" i="7"/>
  <c r="BV119" i="7"/>
  <c r="BU119" i="7"/>
  <c r="BS125" i="7"/>
  <c r="BR125" i="7"/>
  <c r="BQ125" i="7"/>
  <c r="BP125" i="7"/>
  <c r="BS123" i="7"/>
  <c r="BR123" i="7"/>
  <c r="BQ123" i="7"/>
  <c r="BP123" i="7"/>
  <c r="BS122" i="7"/>
  <c r="BR122" i="7"/>
  <c r="BQ122" i="7"/>
  <c r="BP122" i="7"/>
  <c r="BS121" i="7"/>
  <c r="BR121" i="7"/>
  <c r="BQ121" i="7"/>
  <c r="BP121" i="7"/>
  <c r="BS120" i="7"/>
  <c r="BR120" i="7"/>
  <c r="BQ120" i="7"/>
  <c r="BP120" i="7"/>
  <c r="BS119" i="7"/>
  <c r="BR119" i="7"/>
  <c r="BQ119" i="7"/>
  <c r="BP119" i="7"/>
  <c r="BN125" i="7"/>
  <c r="BM125" i="7"/>
  <c r="BL125" i="7"/>
  <c r="BK125" i="7"/>
  <c r="BN123" i="7"/>
  <c r="BM123" i="7"/>
  <c r="BL123" i="7"/>
  <c r="BK123" i="7"/>
  <c r="BN122" i="7"/>
  <c r="BM122" i="7"/>
  <c r="BL122" i="7"/>
  <c r="BK122" i="7"/>
  <c r="BN121" i="7"/>
  <c r="BM121" i="7"/>
  <c r="BL121" i="7"/>
  <c r="BK121" i="7"/>
  <c r="BN120" i="7"/>
  <c r="BM120" i="7"/>
  <c r="BL120" i="7"/>
  <c r="BK120" i="7"/>
  <c r="BN119" i="7"/>
  <c r="BM119" i="7"/>
  <c r="BL119" i="7"/>
  <c r="BK119" i="7"/>
  <c r="DB135" i="7"/>
  <c r="DA135" i="7"/>
  <c r="CZ135" i="7"/>
  <c r="CY135" i="7"/>
  <c r="DB133" i="7"/>
  <c r="DA133" i="7"/>
  <c r="CZ133" i="7"/>
  <c r="CY133" i="7"/>
  <c r="DB132" i="7"/>
  <c r="DA132" i="7"/>
  <c r="CZ132" i="7"/>
  <c r="CY132" i="7"/>
  <c r="DB131" i="7"/>
  <c r="DA131" i="7"/>
  <c r="CZ131" i="7"/>
  <c r="CY131" i="7"/>
  <c r="DB130" i="7"/>
  <c r="DA130" i="7"/>
  <c r="CZ130" i="7"/>
  <c r="CY130" i="7"/>
  <c r="DB129" i="7"/>
  <c r="DA129" i="7"/>
  <c r="CZ129" i="7"/>
  <c r="CY129" i="7"/>
  <c r="CW135" i="7"/>
  <c r="CV135" i="7"/>
  <c r="CU135" i="7"/>
  <c r="CT135" i="7"/>
  <c r="CW133" i="7"/>
  <c r="CV133" i="7"/>
  <c r="CU133" i="7"/>
  <c r="CT133" i="7"/>
  <c r="CW132" i="7"/>
  <c r="CV132" i="7"/>
  <c r="CU132" i="7"/>
  <c r="CT132" i="7"/>
  <c r="CW131" i="7"/>
  <c r="CV131" i="7"/>
  <c r="CU131" i="7"/>
  <c r="CT131" i="7"/>
  <c r="CW130" i="7"/>
  <c r="CV130" i="7"/>
  <c r="CU130" i="7"/>
  <c r="CT130" i="7"/>
  <c r="CW129" i="7"/>
  <c r="CV129" i="7"/>
  <c r="CU129" i="7"/>
  <c r="CT129" i="7"/>
  <c r="CR135" i="7"/>
  <c r="CQ135" i="7"/>
  <c r="CP135" i="7"/>
  <c r="CO135" i="7"/>
  <c r="CR133" i="7"/>
  <c r="CQ133" i="7"/>
  <c r="CP133" i="7"/>
  <c r="CO133" i="7"/>
  <c r="CR132" i="7"/>
  <c r="CQ132" i="7"/>
  <c r="CP132" i="7"/>
  <c r="CO132" i="7"/>
  <c r="CR131" i="7"/>
  <c r="CQ131" i="7"/>
  <c r="CP131" i="7"/>
  <c r="CO131" i="7"/>
  <c r="CR130" i="7"/>
  <c r="CQ130" i="7"/>
  <c r="CP130" i="7"/>
  <c r="CO130" i="7"/>
  <c r="CR129" i="7"/>
  <c r="CQ129" i="7"/>
  <c r="CP129" i="7"/>
  <c r="CO129" i="7"/>
  <c r="CL135" i="7"/>
  <c r="CK135" i="7"/>
  <c r="CJ135" i="7"/>
  <c r="CL133" i="7"/>
  <c r="CK133" i="7"/>
  <c r="CJ133" i="7"/>
  <c r="CL132" i="7"/>
  <c r="CK132" i="7"/>
  <c r="CJ132" i="7"/>
  <c r="CL131" i="7"/>
  <c r="CK131" i="7"/>
  <c r="CJ131" i="7"/>
  <c r="CL130" i="7"/>
  <c r="CK130" i="7"/>
  <c r="CJ130" i="7"/>
  <c r="CL129" i="7"/>
  <c r="CK129" i="7"/>
  <c r="CJ129" i="7"/>
  <c r="CH135" i="7"/>
  <c r="CG135" i="7"/>
  <c r="CF135" i="7"/>
  <c r="CE135" i="7"/>
  <c r="CH133" i="7"/>
  <c r="CG133" i="7"/>
  <c r="CF133" i="7"/>
  <c r="CE133" i="7"/>
  <c r="CH132" i="7"/>
  <c r="CG132" i="7"/>
  <c r="CF132" i="7"/>
  <c r="CE132" i="7"/>
  <c r="CH131" i="7"/>
  <c r="CG131" i="7"/>
  <c r="CF131" i="7"/>
  <c r="CE131" i="7"/>
  <c r="CH130" i="7"/>
  <c r="CG130" i="7"/>
  <c r="CF130" i="7"/>
  <c r="CE130" i="7"/>
  <c r="CH129" i="7"/>
  <c r="CG129" i="7"/>
  <c r="CF129" i="7"/>
  <c r="CE129" i="7"/>
  <c r="CC135" i="7"/>
  <c r="CB135" i="7"/>
  <c r="CA135" i="7"/>
  <c r="BZ135" i="7"/>
  <c r="CC133" i="7"/>
  <c r="CB133" i="7"/>
  <c r="CA133" i="7"/>
  <c r="BZ133" i="7"/>
  <c r="CC132" i="7"/>
  <c r="CB132" i="7"/>
  <c r="CA132" i="7"/>
  <c r="BZ132" i="7"/>
  <c r="CC131" i="7"/>
  <c r="CB131" i="7"/>
  <c r="CA131" i="7"/>
  <c r="BZ131" i="7"/>
  <c r="CC130" i="7"/>
  <c r="CB130" i="7"/>
  <c r="CA130" i="7"/>
  <c r="BZ130" i="7"/>
  <c r="CC129" i="7"/>
  <c r="CB129" i="7"/>
  <c r="CA129" i="7"/>
  <c r="BZ129" i="7"/>
  <c r="BX135" i="7"/>
  <c r="BW135" i="7"/>
  <c r="BV135" i="7"/>
  <c r="BU135" i="7"/>
  <c r="BX133" i="7"/>
  <c r="BW133" i="7"/>
  <c r="BV133" i="7"/>
  <c r="BU133" i="7"/>
  <c r="BX132" i="7"/>
  <c r="BW132" i="7"/>
  <c r="BV132" i="7"/>
  <c r="BU132" i="7"/>
  <c r="BX131" i="7"/>
  <c r="BW131" i="7"/>
  <c r="BV131" i="7"/>
  <c r="BU131" i="7"/>
  <c r="BX130" i="7"/>
  <c r="BW130" i="7"/>
  <c r="BV130" i="7"/>
  <c r="BU130" i="7"/>
  <c r="BX129" i="7"/>
  <c r="BW129" i="7"/>
  <c r="BV129" i="7"/>
  <c r="BU129" i="7"/>
  <c r="BS135" i="7"/>
  <c r="BR135" i="7"/>
  <c r="BQ135" i="7"/>
  <c r="BP135" i="7"/>
  <c r="BS133" i="7"/>
  <c r="BR133" i="7"/>
  <c r="BQ133" i="7"/>
  <c r="BP133" i="7"/>
  <c r="BS132" i="7"/>
  <c r="BR132" i="7"/>
  <c r="BQ132" i="7"/>
  <c r="BP132" i="7"/>
  <c r="BS131" i="7"/>
  <c r="BR131" i="7"/>
  <c r="BQ131" i="7"/>
  <c r="BP131" i="7"/>
  <c r="BS130" i="7"/>
  <c r="BR130" i="7"/>
  <c r="BQ130" i="7"/>
  <c r="BP130" i="7"/>
  <c r="BS129" i="7"/>
  <c r="BR129" i="7"/>
  <c r="BQ129" i="7"/>
  <c r="BP129" i="7"/>
  <c r="BI135" i="7"/>
  <c r="BH135" i="7"/>
  <c r="BG135" i="7"/>
  <c r="BI133" i="7"/>
  <c r="BH133" i="7"/>
  <c r="BG133" i="7"/>
  <c r="BI132" i="7"/>
  <c r="BH132" i="7"/>
  <c r="BG132" i="7"/>
  <c r="BI131" i="7"/>
  <c r="BH131" i="7"/>
  <c r="BG131" i="7"/>
  <c r="BI130" i="7"/>
  <c r="BH130" i="7"/>
  <c r="BG130" i="7"/>
  <c r="BI129" i="7"/>
  <c r="BH129" i="7"/>
  <c r="BG129" i="7"/>
  <c r="BN135" i="7"/>
  <c r="BM135" i="7"/>
  <c r="BL135" i="7"/>
  <c r="BK135" i="7"/>
  <c r="BN133" i="7"/>
  <c r="BM133" i="7"/>
  <c r="BL133" i="7"/>
  <c r="BK133" i="7"/>
  <c r="BN132" i="7"/>
  <c r="BM132" i="7"/>
  <c r="BL132" i="7"/>
  <c r="BK132" i="7"/>
  <c r="BN131" i="7"/>
  <c r="BM131" i="7"/>
  <c r="BL131" i="7"/>
  <c r="BK131" i="7"/>
  <c r="BN130" i="7"/>
  <c r="BM130" i="7"/>
  <c r="BL130" i="7"/>
  <c r="BK130" i="7"/>
  <c r="BN129" i="7"/>
  <c r="BM129" i="7"/>
  <c r="BL129" i="7"/>
  <c r="BK129" i="7"/>
  <c r="BJ115" i="7"/>
  <c r="BJ113" i="7"/>
  <c r="BJ112" i="7"/>
  <c r="BJ111" i="7"/>
  <c r="BJ110" i="7"/>
  <c r="BJ109" i="7"/>
  <c r="DB114" i="7"/>
  <c r="DA114" i="7"/>
  <c r="DF124" i="7" s="1"/>
  <c r="CZ114" i="7"/>
  <c r="CY114" i="7"/>
  <c r="DD124" i="7" s="1"/>
  <c r="CW114" i="7"/>
  <c r="CV114" i="7"/>
  <c r="CU114" i="7"/>
  <c r="CU116" i="7" s="1"/>
  <c r="CT114" i="7"/>
  <c r="CT116" i="7" s="1"/>
  <c r="CR114" i="7"/>
  <c r="CR116" i="7" s="1"/>
  <c r="CQ114" i="7"/>
  <c r="CP114" i="7"/>
  <c r="CP116" i="7" s="1"/>
  <c r="CO114" i="7"/>
  <c r="CM114" i="7"/>
  <c r="CM116" i="7" s="1"/>
  <c r="CL114" i="7"/>
  <c r="CL116" i="7" s="1"/>
  <c r="CK114" i="7"/>
  <c r="CK116" i="7" s="1"/>
  <c r="CJ114" i="7"/>
  <c r="CJ116" i="7" s="1"/>
  <c r="CH114" i="7"/>
  <c r="CG114" i="7"/>
  <c r="CG116" i="7" s="1"/>
  <c r="CF114" i="7"/>
  <c r="CF116" i="7" s="1"/>
  <c r="CE114" i="7"/>
  <c r="CE116" i="7" s="1"/>
  <c r="CC114" i="7"/>
  <c r="CC116" i="7" s="1"/>
  <c r="CB114" i="7"/>
  <c r="CB116" i="7" s="1"/>
  <c r="CA114" i="7"/>
  <c r="CA116" i="7" s="1"/>
  <c r="BZ114" i="7"/>
  <c r="BZ116" i="7" s="1"/>
  <c r="BX114" i="7"/>
  <c r="BW114" i="7"/>
  <c r="BW116" i="7" s="1"/>
  <c r="BV114" i="7"/>
  <c r="BV116" i="7" s="1"/>
  <c r="BU114" i="7"/>
  <c r="BU116" i="7" s="1"/>
  <c r="BS114" i="7"/>
  <c r="BS116" i="7" s="1"/>
  <c r="BR114" i="7"/>
  <c r="BR116" i="7" s="1"/>
  <c r="BQ114" i="7"/>
  <c r="BQ116" i="7" s="1"/>
  <c r="BP114" i="7"/>
  <c r="BP116" i="7" s="1"/>
  <c r="BN114" i="7"/>
  <c r="BM114" i="7"/>
  <c r="BM116" i="7" s="1"/>
  <c r="BL114" i="7"/>
  <c r="BL116" i="7" s="1"/>
  <c r="BK114" i="7"/>
  <c r="BK116" i="7" s="1"/>
  <c r="BI114" i="7"/>
  <c r="BI116" i="7" s="1"/>
  <c r="BH114" i="7"/>
  <c r="BH116" i="7" s="1"/>
  <c r="BG114" i="7"/>
  <c r="BG116" i="7" s="1"/>
  <c r="BF114" i="7"/>
  <c r="BF116" i="7" s="1"/>
  <c r="DC115" i="7"/>
  <c r="DC113" i="7"/>
  <c r="DC112" i="7"/>
  <c r="DC111" i="7"/>
  <c r="DC110" i="7"/>
  <c r="DC109" i="7"/>
  <c r="CX115" i="7"/>
  <c r="CX113" i="7"/>
  <c r="CX112" i="7"/>
  <c r="CX111" i="7"/>
  <c r="CX110" i="7"/>
  <c r="CX109" i="7"/>
  <c r="CS115" i="7"/>
  <c r="CS113" i="7"/>
  <c r="CS112" i="7"/>
  <c r="CS111" i="7"/>
  <c r="CS110" i="7"/>
  <c r="CS109" i="7"/>
  <c r="CN115" i="7"/>
  <c r="CN113" i="7"/>
  <c r="CN112" i="7"/>
  <c r="CN111" i="7"/>
  <c r="CN110" i="7"/>
  <c r="CN109" i="7"/>
  <c r="CI115" i="7"/>
  <c r="CI113" i="7"/>
  <c r="CI112" i="7"/>
  <c r="CI111" i="7"/>
  <c r="CI110" i="7"/>
  <c r="CI109" i="7"/>
  <c r="ET189" i="1" l="1"/>
  <c r="ET242" i="1" s="1"/>
  <c r="ET258" i="1" s="1"/>
  <c r="EU186" i="1"/>
  <c r="EU240" i="1" s="1"/>
  <c r="ES212" i="1"/>
  <c r="EU244" i="1"/>
  <c r="EP240" i="1"/>
  <c r="EP253" i="1" s="1"/>
  <c r="EP254" i="1" s="1"/>
  <c r="ES179" i="1"/>
  <c r="ES182" i="1" s="1"/>
  <c r="ES187" i="1"/>
  <c r="ET179" i="1"/>
  <c r="ET187" i="1"/>
  <c r="ET68" i="1"/>
  <c r="ET12" i="82" s="1"/>
  <c r="ET184" i="1"/>
  <c r="DD100" i="3"/>
  <c r="DD87" i="3"/>
  <c r="DI84" i="3"/>
  <c r="DD85" i="3"/>
  <c r="EK31" i="39"/>
  <c r="EK33" i="39"/>
  <c r="EO258" i="1"/>
  <c r="EO229" i="1" s="1"/>
  <c r="EP187" i="1"/>
  <c r="EP241" i="1" s="1"/>
  <c r="EP179" i="1"/>
  <c r="EP212" i="1"/>
  <c r="EO181" i="1"/>
  <c r="EO180" i="1"/>
  <c r="EO170" i="1"/>
  <c r="EQ173" i="1" s="1"/>
  <c r="EQ210" i="1" s="1"/>
  <c r="EO182" i="1"/>
  <c r="EO196" i="1"/>
  <c r="EO190" i="1"/>
  <c r="EO204" i="1"/>
  <c r="EO202" i="1"/>
  <c r="DD135" i="7"/>
  <c r="DH135" i="7"/>
  <c r="DH125" i="7"/>
  <c r="DB116" i="7"/>
  <c r="DG126" i="7" s="1"/>
  <c r="DG124" i="7"/>
  <c r="DD129" i="7"/>
  <c r="DH129" i="7"/>
  <c r="DH119" i="7"/>
  <c r="DD130" i="7"/>
  <c r="DH130" i="7"/>
  <c r="DH120" i="7"/>
  <c r="DD131" i="7"/>
  <c r="DH121" i="7"/>
  <c r="DH131" i="7"/>
  <c r="DD132" i="7"/>
  <c r="DH132" i="7"/>
  <c r="DH122" i="7"/>
  <c r="DD133" i="7"/>
  <c r="DH133" i="7"/>
  <c r="DH123" i="7"/>
  <c r="BX27" i="2"/>
  <c r="AO19" i="2"/>
  <c r="CZ116" i="7"/>
  <c r="DE126" i="7" s="1"/>
  <c r="DE124" i="7"/>
  <c r="CS191" i="7"/>
  <c r="DC191" i="7"/>
  <c r="CD191" i="7"/>
  <c r="CI191" i="7"/>
  <c r="CX191" i="7"/>
  <c r="CN191" i="7"/>
  <c r="BI136" i="7"/>
  <c r="CM136" i="7"/>
  <c r="CW134" i="7"/>
  <c r="CW180" i="7" s="1"/>
  <c r="BG136" i="7"/>
  <c r="BQ136" i="7"/>
  <c r="CA136" i="7"/>
  <c r="CS119" i="7"/>
  <c r="CN122" i="7"/>
  <c r="CS125" i="7"/>
  <c r="DC120" i="7"/>
  <c r="BW136" i="7"/>
  <c r="CG136" i="7"/>
  <c r="CN130" i="7"/>
  <c r="CS130" i="7"/>
  <c r="CX132" i="7"/>
  <c r="DC135" i="7"/>
  <c r="CN121" i="7"/>
  <c r="DC129" i="7"/>
  <c r="BU134" i="7"/>
  <c r="BU180" i="7" s="1"/>
  <c r="CN123" i="7"/>
  <c r="CX119" i="7"/>
  <c r="DC131" i="7"/>
  <c r="BR126" i="7"/>
  <c r="CB126" i="7"/>
  <c r="CL126" i="7"/>
  <c r="CV134" i="7"/>
  <c r="CV180" i="7" s="1"/>
  <c r="BU136" i="7"/>
  <c r="CE136" i="7"/>
  <c r="CN129" i="7"/>
  <c r="CS131" i="7"/>
  <c r="BW134" i="7"/>
  <c r="BW180" i="7" s="1"/>
  <c r="CE134" i="7"/>
  <c r="CE180" i="7" s="1"/>
  <c r="CK136" i="7"/>
  <c r="CU136" i="7"/>
  <c r="CG134" i="7"/>
  <c r="CG180" i="7" s="1"/>
  <c r="BH136" i="7"/>
  <c r="CN125" i="7"/>
  <c r="CX120" i="7"/>
  <c r="DC122" i="7"/>
  <c r="CS129" i="7"/>
  <c r="CX131" i="7"/>
  <c r="DC123" i="7"/>
  <c r="CS121" i="7"/>
  <c r="CN135" i="7"/>
  <c r="CS135" i="7"/>
  <c r="CX135" i="7"/>
  <c r="BK126" i="7"/>
  <c r="BU126" i="7"/>
  <c r="CE126" i="7"/>
  <c r="CO134" i="7"/>
  <c r="CO180" i="7" s="1"/>
  <c r="CY134" i="7"/>
  <c r="CY180" i="7" s="1"/>
  <c r="BR136" i="7"/>
  <c r="CB136" i="7"/>
  <c r="CX121" i="7"/>
  <c r="CX129" i="7"/>
  <c r="BQ126" i="7"/>
  <c r="BV136" i="7"/>
  <c r="CF136" i="7"/>
  <c r="BS136" i="7"/>
  <c r="CC136" i="7"/>
  <c r="CL136" i="7"/>
  <c r="DC121" i="7"/>
  <c r="CX130" i="7"/>
  <c r="DC130" i="7"/>
  <c r="CN114" i="7"/>
  <c r="CN116" i="7" s="1"/>
  <c r="CX123" i="7"/>
  <c r="BW126" i="7"/>
  <c r="CG126" i="7"/>
  <c r="BR134" i="7"/>
  <c r="BR180" i="7" s="1"/>
  <c r="CB134" i="7"/>
  <c r="CB180" i="7" s="1"/>
  <c r="CM134" i="7"/>
  <c r="CM180" i="7" s="1"/>
  <c r="CN131" i="7"/>
  <c r="CN120" i="7"/>
  <c r="CS122" i="7"/>
  <c r="CX125" i="7"/>
  <c r="CT136" i="7"/>
  <c r="BS134" i="7"/>
  <c r="BS180" i="7" s="1"/>
  <c r="CC134" i="7"/>
  <c r="CC180" i="7" s="1"/>
  <c r="CR126" i="7"/>
  <c r="CN132" i="7"/>
  <c r="CS132" i="7"/>
  <c r="DC132" i="7"/>
  <c r="CL134" i="7"/>
  <c r="CL180" i="7" s="1"/>
  <c r="CI114" i="7"/>
  <c r="CI116" i="7" s="1"/>
  <c r="CS123" i="7"/>
  <c r="DC114" i="7"/>
  <c r="CN133" i="7"/>
  <c r="CS133" i="7"/>
  <c r="CX133" i="7"/>
  <c r="DC133" i="7"/>
  <c r="BX116" i="7"/>
  <c r="BZ136" i="7" s="1"/>
  <c r="CC124" i="7"/>
  <c r="BX124" i="7"/>
  <c r="BX134" i="7"/>
  <c r="BX180" i="7" s="1"/>
  <c r="DA116" i="7"/>
  <c r="DF126" i="7" s="1"/>
  <c r="DA124" i="7"/>
  <c r="DA134" i="7"/>
  <c r="DA180" i="7" s="1"/>
  <c r="CH116" i="7"/>
  <c r="CJ136" i="7" s="1"/>
  <c r="CM124" i="7"/>
  <c r="CH124" i="7"/>
  <c r="CH134" i="7"/>
  <c r="CH180" i="7" s="1"/>
  <c r="CS120" i="7"/>
  <c r="CX122" i="7"/>
  <c r="DC125" i="7"/>
  <c r="CQ116" i="7"/>
  <c r="CQ124" i="7"/>
  <c r="BN116" i="7"/>
  <c r="BP136" i="7" s="1"/>
  <c r="BS124" i="7"/>
  <c r="BN124" i="7"/>
  <c r="CV124" i="7"/>
  <c r="CQ134" i="7"/>
  <c r="CQ180" i="7" s="1"/>
  <c r="CY116" i="7"/>
  <c r="DD126" i="7" s="1"/>
  <c r="BH134" i="7"/>
  <c r="CR134" i="7"/>
  <c r="CR180" i="7" s="1"/>
  <c r="DB134" i="7"/>
  <c r="DB180" i="7" s="1"/>
  <c r="BI134" i="7"/>
  <c r="BK124" i="7"/>
  <c r="BP124" i="7"/>
  <c r="BU124" i="7"/>
  <c r="BZ124" i="7"/>
  <c r="CE124" i="7"/>
  <c r="CJ124" i="7"/>
  <c r="CO124" i="7"/>
  <c r="CT124" i="7"/>
  <c r="CY124" i="7"/>
  <c r="BL124" i="7"/>
  <c r="BQ124" i="7"/>
  <c r="BV124" i="7"/>
  <c r="CA124" i="7"/>
  <c r="CF124" i="7"/>
  <c r="CK124" i="7"/>
  <c r="CP124" i="7"/>
  <c r="CU124" i="7"/>
  <c r="CZ124" i="7"/>
  <c r="BG134" i="7"/>
  <c r="CS114" i="7"/>
  <c r="BM134" i="7"/>
  <c r="BM180" i="7" s="1"/>
  <c r="BM124" i="7"/>
  <c r="BR124" i="7"/>
  <c r="BP126" i="7"/>
  <c r="BW124" i="7"/>
  <c r="CB124" i="7"/>
  <c r="BZ126" i="7"/>
  <c r="CG124" i="7"/>
  <c r="CL124" i="7"/>
  <c r="CJ126" i="7"/>
  <c r="BP134" i="7"/>
  <c r="BP180" i="7" s="1"/>
  <c r="BZ134" i="7"/>
  <c r="BZ180" i="7" s="1"/>
  <c r="CJ134" i="7"/>
  <c r="CJ180" i="7" s="1"/>
  <c r="CT134" i="7"/>
  <c r="CT180" i="7" s="1"/>
  <c r="BL126" i="7"/>
  <c r="BV126" i="7"/>
  <c r="CA126" i="7"/>
  <c r="CF126" i="7"/>
  <c r="CN119" i="7"/>
  <c r="CK126" i="7"/>
  <c r="CR124" i="7"/>
  <c r="CP126" i="7"/>
  <c r="CW124" i="7"/>
  <c r="CU126" i="7"/>
  <c r="DC119" i="7"/>
  <c r="DB124" i="7"/>
  <c r="BQ134" i="7"/>
  <c r="BQ180" i="7" s="1"/>
  <c r="BV134" i="7"/>
  <c r="BV180" i="7" s="1"/>
  <c r="CA134" i="7"/>
  <c r="CA180" i="7" s="1"/>
  <c r="CF134" i="7"/>
  <c r="CF180" i="7" s="1"/>
  <c r="CK134" i="7"/>
  <c r="CK180" i="7" s="1"/>
  <c r="CP134" i="7"/>
  <c r="CP180" i="7" s="1"/>
  <c r="CU134" i="7"/>
  <c r="CU180" i="7" s="1"/>
  <c r="CZ134" i="7"/>
  <c r="CZ180" i="7" s="1"/>
  <c r="BM126" i="7"/>
  <c r="CO116" i="7"/>
  <c r="CT126" i="7" s="1"/>
  <c r="CW116" i="7"/>
  <c r="BN134" i="7"/>
  <c r="BN180" i="7" s="1"/>
  <c r="BK134" i="7"/>
  <c r="BK180" i="7" s="1"/>
  <c r="CV116" i="7"/>
  <c r="CX114" i="7"/>
  <c r="BJ114" i="7"/>
  <c r="BJ116" i="7" s="1"/>
  <c r="BL134" i="7"/>
  <c r="BL180" i="7" s="1"/>
  <c r="BM136" i="7"/>
  <c r="BL136" i="7"/>
  <c r="BK136" i="7"/>
  <c r="EU187" i="1" l="1"/>
  <c r="EU241" i="1" s="1"/>
  <c r="ET190" i="1"/>
  <c r="ET182" i="1"/>
  <c r="ES214" i="1"/>
  <c r="EU212" i="1"/>
  <c r="ET170" i="1"/>
  <c r="EU179" i="1"/>
  <c r="ET204" i="1"/>
  <c r="EU253" i="1"/>
  <c r="EU254" i="1" s="1"/>
  <c r="ET229" i="1"/>
  <c r="ES202" i="1"/>
  <c r="ES196" i="1"/>
  <c r="ES180" i="1"/>
  <c r="ES181" i="1"/>
  <c r="ET202" i="1"/>
  <c r="ET196" i="1"/>
  <c r="ET181" i="1"/>
  <c r="ET180" i="1"/>
  <c r="EP196" i="1"/>
  <c r="ET149" i="82"/>
  <c r="ES190" i="1"/>
  <c r="ES204" i="1"/>
  <c r="BX317" i="2"/>
  <c r="EP32" i="39"/>
  <c r="EP33" i="39" s="1"/>
  <c r="EN44" i="39"/>
  <c r="EN45" i="39" s="1"/>
  <c r="EL167" i="82"/>
  <c r="EL187" i="82"/>
  <c r="EO259" i="1"/>
  <c r="EO260" i="1" s="1"/>
  <c r="EP180" i="1"/>
  <c r="EP204" i="1"/>
  <c r="EP181" i="1"/>
  <c r="EP190" i="1"/>
  <c r="EP214" i="1"/>
  <c r="EP188" i="1"/>
  <c r="EP256" i="1"/>
  <c r="EP255" i="1"/>
  <c r="EO203" i="1"/>
  <c r="EO191" i="1"/>
  <c r="EO183" i="1"/>
  <c r="EO208" i="1"/>
  <c r="EO69" i="1"/>
  <c r="EO178" i="1"/>
  <c r="EO197" i="1"/>
  <c r="EL325" i="2"/>
  <c r="EL329" i="2"/>
  <c r="EL328" i="2"/>
  <c r="EL327" i="2"/>
  <c r="DD134" i="7"/>
  <c r="DD180" i="7" s="1"/>
  <c r="DD181" i="7" s="1"/>
  <c r="DH134" i="7"/>
  <c r="DH180" i="7" s="1"/>
  <c r="DH124" i="7"/>
  <c r="BX32" i="2"/>
  <c r="CZ126" i="7"/>
  <c r="CN124" i="7"/>
  <c r="CS134" i="7"/>
  <c r="CS180" i="7" s="1"/>
  <c r="BN136" i="7"/>
  <c r="CP136" i="7"/>
  <c r="CN134" i="7"/>
  <c r="CN180" i="7" s="1"/>
  <c r="CN126" i="7"/>
  <c r="CN136" i="7"/>
  <c r="DC134" i="7"/>
  <c r="DC180" i="7" s="1"/>
  <c r="DC116" i="7"/>
  <c r="CX124" i="7"/>
  <c r="CX134" i="7"/>
  <c r="CX180" i="7" s="1"/>
  <c r="CQ126" i="7"/>
  <c r="CQ136" i="7"/>
  <c r="DA126" i="7"/>
  <c r="DA136" i="7"/>
  <c r="CV126" i="7"/>
  <c r="CV136" i="7"/>
  <c r="CY136" i="7"/>
  <c r="CY126" i="7"/>
  <c r="CZ136" i="7"/>
  <c r="CO136" i="7"/>
  <c r="CO126" i="7"/>
  <c r="CR136" i="7"/>
  <c r="CS116" i="7"/>
  <c r="CS124" i="7"/>
  <c r="BS126" i="7"/>
  <c r="BN126" i="7"/>
  <c r="CW136" i="7"/>
  <c r="DB126" i="7"/>
  <c r="CW126" i="7"/>
  <c r="DB136" i="7"/>
  <c r="CM126" i="7"/>
  <c r="CH136" i="7"/>
  <c r="CH126" i="7"/>
  <c r="DC124" i="7"/>
  <c r="BX136" i="7"/>
  <c r="CC126" i="7"/>
  <c r="BX126" i="7"/>
  <c r="CX116" i="7"/>
  <c r="ET69" i="1" l="1"/>
  <c r="EQ74" i="1"/>
  <c r="ET208" i="1"/>
  <c r="ET171" i="1"/>
  <c r="ET209" i="1" s="1"/>
  <c r="ET203" i="1"/>
  <c r="ET197" i="1"/>
  <c r="ET183" i="1"/>
  <c r="EU188" i="1"/>
  <c r="EU255" i="1"/>
  <c r="EU256" i="1"/>
  <c r="EU190" i="1"/>
  <c r="EU196" i="1"/>
  <c r="EU204" i="1"/>
  <c r="ET178" i="1"/>
  <c r="EU181" i="1"/>
  <c r="EU214" i="1"/>
  <c r="ES184" i="1"/>
  <c r="ES170" i="1" s="1"/>
  <c r="ET173" i="1" s="1"/>
  <c r="ET210" i="1" s="1"/>
  <c r="ES68" i="1"/>
  <c r="ET191" i="1"/>
  <c r="EU180" i="1"/>
  <c r="EP202" i="1"/>
  <c r="ET70" i="1"/>
  <c r="ET7" i="2"/>
  <c r="ET259" i="1"/>
  <c r="BX315" i="2"/>
  <c r="BX324" i="2" s="1"/>
  <c r="BX326" i="2"/>
  <c r="BX321" i="2"/>
  <c r="BX330" i="2" s="1"/>
  <c r="EO261" i="1"/>
  <c r="EO44" i="39"/>
  <c r="EO45" i="39" s="1"/>
  <c r="EO262" i="1"/>
  <c r="EO173" i="1"/>
  <c r="EO210" i="1" s="1"/>
  <c r="EP184" i="1"/>
  <c r="EP213" i="1"/>
  <c r="EP68" i="1"/>
  <c r="EM328" i="2"/>
  <c r="EM325" i="2"/>
  <c r="EM329" i="2"/>
  <c r="EM327" i="2"/>
  <c r="EO7" i="2"/>
  <c r="EO86" i="1"/>
  <c r="EO216" i="1"/>
  <c r="EQ218" i="1" s="1"/>
  <c r="EO234" i="1"/>
  <c r="DD136" i="7"/>
  <c r="DH136" i="7"/>
  <c r="DH126" i="7"/>
  <c r="BX36" i="2"/>
  <c r="CX126" i="7"/>
  <c r="CX136" i="7"/>
  <c r="DC136" i="7"/>
  <c r="CS126" i="7"/>
  <c r="CS136" i="7"/>
  <c r="DC126" i="7"/>
  <c r="ET86" i="1" l="1"/>
  <c r="EQ84" i="2"/>
  <c r="ES178" i="1"/>
  <c r="ES173" i="1"/>
  <c r="ES210" i="1" s="1"/>
  <c r="ET216" i="1"/>
  <c r="ET225" i="1" s="1"/>
  <c r="ET226" i="1" s="1"/>
  <c r="ET234" i="1"/>
  <c r="ET260" i="1"/>
  <c r="ET44" i="39" s="1"/>
  <c r="ET45" i="39" s="1"/>
  <c r="ES69" i="1"/>
  <c r="ES171" i="1"/>
  <c r="ES209" i="1" s="1"/>
  <c r="EU202" i="1"/>
  <c r="ES208" i="1"/>
  <c r="EU68" i="1"/>
  <c r="EU12" i="82" s="1"/>
  <c r="ES12" i="82"/>
  <c r="ES183" i="1"/>
  <c r="ES191" i="1"/>
  <c r="ES203" i="1"/>
  <c r="EU213" i="1"/>
  <c r="EU184" i="1"/>
  <c r="ES197" i="1"/>
  <c r="ET167" i="82"/>
  <c r="ET329" i="2"/>
  <c r="ET325" i="2"/>
  <c r="ET328" i="2"/>
  <c r="ET327" i="2"/>
  <c r="ET61" i="2"/>
  <c r="EO74" i="1"/>
  <c r="EP69" i="1"/>
  <c r="EN75" i="1" s="1"/>
  <c r="EP12" i="82"/>
  <c r="EP149" i="82"/>
  <c r="EO167" i="82"/>
  <c r="EO328" i="2"/>
  <c r="EO329" i="2"/>
  <c r="EO325" i="2"/>
  <c r="EO327" i="2"/>
  <c r="EO235" i="1"/>
  <c r="EO236" i="1" s="1"/>
  <c r="EO225" i="1"/>
  <c r="EO218" i="1"/>
  <c r="DZ151" i="82"/>
  <c r="DZ119" i="82"/>
  <c r="DZ45" i="82" s="1"/>
  <c r="DZ118" i="82"/>
  <c r="EE133" i="82" s="1"/>
  <c r="DZ82" i="82"/>
  <c r="DZ47" i="82"/>
  <c r="DZ44" i="82"/>
  <c r="EE61" i="82" s="1"/>
  <c r="DB236" i="7"/>
  <c r="DB198" i="7"/>
  <c r="DB171" i="7"/>
  <c r="DB169" i="7"/>
  <c r="DG176" i="7" s="1"/>
  <c r="DB101" i="7"/>
  <c r="DB99" i="7"/>
  <c r="DB97" i="7"/>
  <c r="DB95" i="7"/>
  <c r="DB93" i="7"/>
  <c r="DB90" i="7"/>
  <c r="DB86" i="7"/>
  <c r="DB84" i="7"/>
  <c r="DB81" i="7"/>
  <c r="DB60" i="7"/>
  <c r="DB38" i="7"/>
  <c r="DB98" i="3"/>
  <c r="DG99" i="3" s="1"/>
  <c r="DB73" i="3"/>
  <c r="DB17" i="3"/>
  <c r="DB66" i="3"/>
  <c r="DB18" i="3" s="1"/>
  <c r="DB46" i="3"/>
  <c r="DB32" i="3"/>
  <c r="DB6" i="3"/>
  <c r="DB56" i="3" s="1"/>
  <c r="DZ225" i="2"/>
  <c r="DZ230" i="2"/>
  <c r="DZ198" i="2"/>
  <c r="DZ187" i="2"/>
  <c r="DZ92" i="2"/>
  <c r="DZ91" i="2"/>
  <c r="DZ90" i="2"/>
  <c r="DZ89" i="2"/>
  <c r="DZ75" i="2"/>
  <c r="DZ68" i="2"/>
  <c r="DZ67" i="2"/>
  <c r="DZ66" i="2"/>
  <c r="DZ59" i="2"/>
  <c r="DZ56" i="2"/>
  <c r="DZ52" i="2"/>
  <c r="DZ47" i="2"/>
  <c r="DZ46" i="2"/>
  <c r="DZ41" i="2"/>
  <c r="DZ26" i="2"/>
  <c r="DZ8" i="2"/>
  <c r="DZ12" i="82"/>
  <c r="DZ149" i="82" s="1"/>
  <c r="DZ11" i="82"/>
  <c r="DZ10" i="82"/>
  <c r="DZ80" i="82" s="1"/>
  <c r="EE94" i="82" s="1"/>
  <c r="DZ330" i="1"/>
  <c r="DZ328" i="1"/>
  <c r="DZ320" i="1"/>
  <c r="EE321" i="1" s="1"/>
  <c r="DZ319" i="1"/>
  <c r="DZ318" i="1"/>
  <c r="EE302" i="1"/>
  <c r="EE120" i="39" s="1"/>
  <c r="DZ124" i="1"/>
  <c r="EB126" i="1" s="1"/>
  <c r="DZ98" i="1"/>
  <c r="DZ97" i="1"/>
  <c r="DZ90" i="1"/>
  <c r="DZ110" i="1"/>
  <c r="EB112" i="1" s="1"/>
  <c r="DZ106" i="1"/>
  <c r="DZ66" i="1"/>
  <c r="DZ65" i="1"/>
  <c r="DZ62" i="1"/>
  <c r="DZ58" i="1"/>
  <c r="DZ48" i="1"/>
  <c r="DZ44" i="1"/>
  <c r="DZ34" i="1"/>
  <c r="DZ30" i="1"/>
  <c r="DZ22" i="1"/>
  <c r="DZ20" i="1"/>
  <c r="DZ16" i="1"/>
  <c r="DZ13" i="1"/>
  <c r="DZ9" i="1"/>
  <c r="ES86" i="1" l="1"/>
  <c r="ET217" i="1"/>
  <c r="ET219" i="1" s="1"/>
  <c r="ET262" i="1"/>
  <c r="ET261" i="1"/>
  <c r="EU69" i="1"/>
  <c r="EQ75" i="1" s="1"/>
  <c r="ES74" i="1"/>
  <c r="ET74" i="1"/>
  <c r="ES70" i="1"/>
  <c r="ES7" i="2"/>
  <c r="ES216" i="1"/>
  <c r="ES218" i="1" s="1"/>
  <c r="ES149" i="82"/>
  <c r="EU149" i="82" s="1"/>
  <c r="ET172" i="1"/>
  <c r="ET60" i="2"/>
  <c r="ET73" i="1"/>
  <c r="ET72" i="1" s="1"/>
  <c r="ET71" i="1" s="1"/>
  <c r="ET227" i="1"/>
  <c r="DZ154" i="1"/>
  <c r="EM75" i="1"/>
  <c r="EE119" i="39"/>
  <c r="EE121" i="39"/>
  <c r="DB105" i="7"/>
  <c r="DB50" i="7"/>
  <c r="EL75" i="1"/>
  <c r="EN327" i="2"/>
  <c r="EE200" i="1"/>
  <c r="EN325" i="2"/>
  <c r="EO84" i="2"/>
  <c r="EN328" i="2"/>
  <c r="EN329" i="2"/>
  <c r="EN167" i="82"/>
  <c r="EP170" i="1"/>
  <c r="EP7" i="2"/>
  <c r="EP86" i="1"/>
  <c r="EO75" i="1"/>
  <c r="DG74" i="7"/>
  <c r="DG75" i="7"/>
  <c r="DG74" i="3"/>
  <c r="DZ84" i="82"/>
  <c r="DZ86" i="82" s="1"/>
  <c r="EE98" i="82" s="1"/>
  <c r="EE97" i="82"/>
  <c r="DZ99" i="1"/>
  <c r="DZ102" i="1" s="1"/>
  <c r="EE91" i="1"/>
  <c r="EB27" i="1"/>
  <c r="EE23" i="1"/>
  <c r="EE304" i="1"/>
  <c r="EE303" i="1"/>
  <c r="DZ232" i="2"/>
  <c r="DZ236" i="2" s="1"/>
  <c r="EB93" i="2"/>
  <c r="DZ199" i="2"/>
  <c r="DZ209" i="2"/>
  <c r="DZ92" i="1"/>
  <c r="DZ101" i="1"/>
  <c r="DZ306" i="1"/>
  <c r="DZ229" i="1" s="1"/>
  <c r="EB308" i="1"/>
  <c r="EB132" i="39" s="1"/>
  <c r="DZ41" i="82"/>
  <c r="EE57" i="82" s="1"/>
  <c r="EB85" i="2"/>
  <c r="DB81" i="3"/>
  <c r="DF92" i="3" s="1"/>
  <c r="DZ115" i="82"/>
  <c r="DZ36" i="1"/>
  <c r="DZ30" i="82"/>
  <c r="EB32" i="82" s="1"/>
  <c r="DB168" i="7"/>
  <c r="DG174" i="7" s="1"/>
  <c r="DZ27" i="82"/>
  <c r="DB88" i="7"/>
  <c r="DB87" i="7" s="1"/>
  <c r="DB103" i="7"/>
  <c r="DB102" i="7" s="1"/>
  <c r="DZ224" i="2"/>
  <c r="DB15" i="3"/>
  <c r="DZ115" i="1"/>
  <c r="DZ120" i="82"/>
  <c r="DZ122" i="82" s="1"/>
  <c r="EE134" i="82" s="1"/>
  <c r="DZ12" i="2"/>
  <c r="DZ81" i="82"/>
  <c r="DZ110" i="82"/>
  <c r="EE111" i="82" s="1"/>
  <c r="DZ46" i="82"/>
  <c r="DZ48" i="82" s="1"/>
  <c r="EE62" i="82" s="1"/>
  <c r="DB70" i="3"/>
  <c r="DG71" i="3" s="1"/>
  <c r="DZ200" i="2"/>
  <c r="DZ93" i="1"/>
  <c r="EN100" i="2" l="1"/>
  <c r="ES75" i="1"/>
  <c r="EU170" i="1"/>
  <c r="EU178" i="1" s="1"/>
  <c r="ER75" i="1"/>
  <c r="EU70" i="1"/>
  <c r="ET75" i="1"/>
  <c r="EU86" i="1"/>
  <c r="ET218" i="1"/>
  <c r="ET235" i="1"/>
  <c r="ET236" i="1" s="1"/>
  <c r="ES84" i="2"/>
  <c r="ET84" i="2"/>
  <c r="ES225" i="1"/>
  <c r="ES226" i="1" s="1"/>
  <c r="ES325" i="2"/>
  <c r="ES61" i="2"/>
  <c r="ES327" i="2"/>
  <c r="ES329" i="2"/>
  <c r="ES328" i="2"/>
  <c r="ES167" i="82"/>
  <c r="ES217" i="1"/>
  <c r="ES219" i="1" s="1"/>
  <c r="EP208" i="1"/>
  <c r="EP216" i="1" s="1"/>
  <c r="ER218" i="1" s="1"/>
  <c r="EU171" i="1"/>
  <c r="EU209" i="1" s="1"/>
  <c r="DB62" i="7"/>
  <c r="EL100" i="2"/>
  <c r="EM100" i="2"/>
  <c r="EB133" i="39"/>
  <c r="EB131" i="39"/>
  <c r="DZ275" i="2"/>
  <c r="EB292" i="2" s="1"/>
  <c r="EP327" i="2"/>
  <c r="EP203" i="1"/>
  <c r="EP197" i="1"/>
  <c r="EP178" i="1"/>
  <c r="EP183" i="1"/>
  <c r="EP191" i="1"/>
  <c r="EP328" i="2"/>
  <c r="EP167" i="82"/>
  <c r="EP325" i="2"/>
  <c r="EP329" i="2"/>
  <c r="DZ112" i="82"/>
  <c r="EB41" i="1"/>
  <c r="EE37" i="1"/>
  <c r="DZ105" i="82"/>
  <c r="EE95" i="82"/>
  <c r="DZ116" i="82"/>
  <c r="EE131" i="82" s="1"/>
  <c r="EE130" i="82"/>
  <c r="EB95" i="1"/>
  <c r="EE94" i="1"/>
  <c r="EE103" i="1"/>
  <c r="EB104" i="1"/>
  <c r="DZ118" i="1"/>
  <c r="EB120" i="1" s="1"/>
  <c r="EE100" i="1"/>
  <c r="DZ327" i="1"/>
  <c r="DZ226" i="2"/>
  <c r="EB29" i="82"/>
  <c r="EB117" i="1"/>
  <c r="DZ50" i="1"/>
  <c r="DZ146" i="82"/>
  <c r="EB310" i="1"/>
  <c r="EB309" i="1"/>
  <c r="DZ144" i="82"/>
  <c r="EE145" i="82" s="1"/>
  <c r="DD175" i="7"/>
  <c r="DB182" i="7"/>
  <c r="DB181" i="7" s="1"/>
  <c r="EB87" i="2"/>
  <c r="DB85" i="7"/>
  <c r="DZ107" i="1"/>
  <c r="EB109" i="1" s="1"/>
  <c r="DB100" i="7"/>
  <c r="DZ203" i="2"/>
  <c r="EU191" i="1" l="1"/>
  <c r="EU203" i="1"/>
  <c r="EU197" i="1"/>
  <c r="EU208" i="1"/>
  <c r="EU216" i="1" s="1"/>
  <c r="EU225" i="1" s="1"/>
  <c r="EU226" i="1" s="1"/>
  <c r="EU183" i="1"/>
  <c r="ES227" i="1"/>
  <c r="ES60" i="2"/>
  <c r="ES73" i="1"/>
  <c r="ES72" i="1" s="1"/>
  <c r="ES71" i="1" s="1"/>
  <c r="ES172" i="1"/>
  <c r="EP225" i="1"/>
  <c r="EE51" i="1"/>
  <c r="DZ121" i="1"/>
  <c r="EB123" i="1" s="1"/>
  <c r="DZ141" i="82"/>
  <c r="DZ9" i="82"/>
  <c r="DZ40" i="82" s="1"/>
  <c r="DZ77" i="82" s="1"/>
  <c r="DZ69" i="1"/>
  <c r="EB55" i="1"/>
  <c r="EU217" i="1" l="1"/>
  <c r="EU219" i="1" s="1"/>
  <c r="EU172" i="1"/>
  <c r="EU73" i="1"/>
  <c r="EU72" i="1" s="1"/>
  <c r="EU71" i="1" s="1"/>
  <c r="EU227" i="1"/>
  <c r="EL168" i="82"/>
  <c r="EL41" i="82"/>
  <c r="EQ57" i="82" s="1"/>
  <c r="DZ127" i="1"/>
  <c r="DB72" i="3" s="1"/>
  <c r="DZ13" i="82"/>
  <c r="DZ14" i="82" s="1"/>
  <c r="DZ170" i="1"/>
  <c r="DZ208" i="1" s="1"/>
  <c r="DZ216" i="1" s="1"/>
  <c r="DZ24" i="82"/>
  <c r="EE70" i="1"/>
  <c r="DZ42" i="82"/>
  <c r="EE56" i="82"/>
  <c r="DZ75" i="82"/>
  <c r="EE76" i="82" s="1"/>
  <c r="DZ80" i="1"/>
  <c r="DZ7" i="2"/>
  <c r="EB74" i="1"/>
  <c r="DZ86" i="1"/>
  <c r="DZ79" i="1"/>
  <c r="DZ82" i="1"/>
  <c r="DZ84" i="1"/>
  <c r="DZ69" i="82"/>
  <c r="DZ78" i="1"/>
  <c r="DZ85" i="1"/>
  <c r="DZ325" i="2" l="1"/>
  <c r="DB76" i="3"/>
  <c r="DZ133" i="1"/>
  <c r="DZ134" i="1"/>
  <c r="DZ136" i="1"/>
  <c r="EB129" i="1"/>
  <c r="DN80" i="7"/>
  <c r="EL169" i="82"/>
  <c r="EL69" i="82"/>
  <c r="EL57" i="82"/>
  <c r="EL42" i="82"/>
  <c r="EQ58" i="82" s="1"/>
  <c r="DZ175" i="1"/>
  <c r="DZ178" i="1" s="1"/>
  <c r="DZ183" i="1"/>
  <c r="DZ203" i="1"/>
  <c r="DZ197" i="1"/>
  <c r="DZ191" i="1"/>
  <c r="EE171" i="1"/>
  <c r="EE209" i="1" s="1"/>
  <c r="EB173" i="1"/>
  <c r="EB210" i="1" s="1"/>
  <c r="EB26" i="82"/>
  <c r="DZ225" i="1"/>
  <c r="EE217" i="1"/>
  <c r="EE226" i="1"/>
  <c r="EB218" i="1"/>
  <c r="EB235" i="1"/>
  <c r="DZ234" i="1"/>
  <c r="DZ325" i="1"/>
  <c r="DZ43" i="82"/>
  <c r="EE58" i="82"/>
  <c r="DZ140" i="2"/>
  <c r="EE141" i="2" s="1"/>
  <c r="DZ327" i="2"/>
  <c r="DZ328" i="2"/>
  <c r="DZ329" i="2"/>
  <c r="DZ133" i="2"/>
  <c r="DZ143" i="2"/>
  <c r="EE144" i="2" s="1"/>
  <c r="DZ9" i="2"/>
  <c r="DZ146" i="2"/>
  <c r="EE147" i="2" s="1"/>
  <c r="DZ137" i="2"/>
  <c r="DZ305" i="2"/>
  <c r="DZ308" i="2"/>
  <c r="DZ303" i="2"/>
  <c r="DZ301" i="2"/>
  <c r="DZ299" i="2"/>
  <c r="DZ130" i="2"/>
  <c r="EB84" i="2"/>
  <c r="DZ81" i="1"/>
  <c r="DZ83" i="1" s="1"/>
  <c r="DZ87" i="1" s="1"/>
  <c r="DZ135" i="1" l="1"/>
  <c r="DZ137" i="1" s="1"/>
  <c r="EL58" i="82"/>
  <c r="EL43" i="82"/>
  <c r="EQ59" i="82" s="1"/>
  <c r="DN83" i="7"/>
  <c r="DN91" i="7"/>
  <c r="DN82" i="7"/>
  <c r="DN73" i="7" s="1"/>
  <c r="DN104" i="7"/>
  <c r="DN96" i="7"/>
  <c r="DS96" i="7" s="1"/>
  <c r="DS95" i="7" s="1"/>
  <c r="DS31" i="7" s="1"/>
  <c r="DN172" i="7"/>
  <c r="DN92" i="7"/>
  <c r="DN94" i="7"/>
  <c r="DN98" i="7"/>
  <c r="DN89" i="7"/>
  <c r="EB177" i="1"/>
  <c r="EE176" i="1"/>
  <c r="EL280" i="2"/>
  <c r="EL278" i="2"/>
  <c r="EL276" i="2"/>
  <c r="EL277" i="2"/>
  <c r="EL275" i="2"/>
  <c r="EB236" i="1"/>
  <c r="EE219" i="1"/>
  <c r="EE172" i="1"/>
  <c r="EB86" i="2"/>
  <c r="EE227" i="1"/>
  <c r="EB142" i="2"/>
  <c r="EB139" i="2"/>
  <c r="EE138" i="2"/>
  <c r="EB132" i="2"/>
  <c r="EE131" i="2"/>
  <c r="DZ70" i="82"/>
  <c r="EE59" i="82"/>
  <c r="EB135" i="2"/>
  <c r="EE134" i="2"/>
  <c r="DZ120" i="2"/>
  <c r="EB145" i="2"/>
  <c r="DZ114" i="2"/>
  <c r="DZ123" i="2"/>
  <c r="DZ117" i="2"/>
  <c r="DZ13" i="2"/>
  <c r="DZ126" i="2"/>
  <c r="EB148" i="2"/>
  <c r="DB80" i="7"/>
  <c r="DB96" i="7" s="1"/>
  <c r="CY73" i="3"/>
  <c r="DS89" i="7" l="1"/>
  <c r="DS88" i="7" s="1"/>
  <c r="DS98" i="7"/>
  <c r="DS97" i="7" s="1"/>
  <c r="DS32" i="7" s="1"/>
  <c r="DT64" i="3" s="1"/>
  <c r="DS94" i="7"/>
  <c r="DS93" i="7" s="1"/>
  <c r="DS30" i="7" s="1"/>
  <c r="DT63" i="3" s="1"/>
  <c r="DS92" i="7"/>
  <c r="DS90" i="7" s="1"/>
  <c r="DS91" i="7" s="1"/>
  <c r="DS83" i="7"/>
  <c r="DS81" i="7" s="1"/>
  <c r="DS104" i="7"/>
  <c r="DS103" i="7" s="1"/>
  <c r="EL303" i="2"/>
  <c r="EQ304" i="2" s="1"/>
  <c r="EQ286" i="2"/>
  <c r="EL301" i="2"/>
  <c r="EQ302" i="2" s="1"/>
  <c r="EQ289" i="2"/>
  <c r="EQ285" i="2"/>
  <c r="EL308" i="2"/>
  <c r="EQ309" i="2" s="1"/>
  <c r="EQ288" i="2"/>
  <c r="EL305" i="2"/>
  <c r="EQ306" i="2" s="1"/>
  <c r="EQ287" i="2"/>
  <c r="EL299" i="2"/>
  <c r="EQ300" i="2" s="1"/>
  <c r="EQ284" i="2"/>
  <c r="EQ290" i="2"/>
  <c r="DN15" i="3"/>
  <c r="EL180" i="82"/>
  <c r="EL59" i="82"/>
  <c r="EL70" i="82"/>
  <c r="EB122" i="2"/>
  <c r="EE121" i="2"/>
  <c r="EB128" i="2"/>
  <c r="EE127" i="2"/>
  <c r="EB119" i="2"/>
  <c r="EE118" i="2"/>
  <c r="EB125" i="2"/>
  <c r="EE124" i="2"/>
  <c r="EB116" i="2"/>
  <c r="EE115" i="2"/>
  <c r="EB88" i="2"/>
  <c r="DZ27" i="2"/>
  <c r="DZ150" i="2"/>
  <c r="DZ166" i="2"/>
  <c r="EE167" i="2" s="1"/>
  <c r="DB98" i="7"/>
  <c r="DB104" i="7"/>
  <c r="DB89" i="7"/>
  <c r="DB82" i="7"/>
  <c r="DB94" i="7"/>
  <c r="DB172" i="7"/>
  <c r="DB83" i="7"/>
  <c r="DB91" i="7"/>
  <c r="DB92" i="7"/>
  <c r="DD74" i="3"/>
  <c r="DA236" i="7"/>
  <c r="DA198" i="7"/>
  <c r="DB195" i="7" s="1"/>
  <c r="DA171" i="7"/>
  <c r="DB167" i="7" s="1"/>
  <c r="DB170" i="7" s="1"/>
  <c r="DA169" i="7"/>
  <c r="DA101" i="7"/>
  <c r="DA99" i="7"/>
  <c r="DA97" i="7"/>
  <c r="DA95" i="7"/>
  <c r="DA93" i="7"/>
  <c r="DA90" i="7"/>
  <c r="DA86" i="7"/>
  <c r="DA84" i="7"/>
  <c r="DA81" i="7"/>
  <c r="DA72" i="7"/>
  <c r="DA60" i="7"/>
  <c r="DA38" i="7"/>
  <c r="DA98" i="3"/>
  <c r="DF99" i="3" s="1"/>
  <c r="DA73" i="3"/>
  <c r="DA65" i="3"/>
  <c r="DA66" i="3" s="1"/>
  <c r="DA18" i="3" s="1"/>
  <c r="DA17" i="3"/>
  <c r="DA46" i="3"/>
  <c r="DA32" i="3"/>
  <c r="DY225" i="2"/>
  <c r="DY230" i="2"/>
  <c r="DY26" i="2"/>
  <c r="DY8" i="2"/>
  <c r="DY198" i="2"/>
  <c r="DY187" i="2"/>
  <c r="ED302" i="1"/>
  <c r="ED120" i="39" s="1"/>
  <c r="DY181" i="82"/>
  <c r="DY151" i="82"/>
  <c r="DY119" i="82"/>
  <c r="DY118" i="82"/>
  <c r="ED133" i="82" s="1"/>
  <c r="DY82" i="82"/>
  <c r="DY44" i="82"/>
  <c r="ED61" i="82" s="1"/>
  <c r="DY12" i="82"/>
  <c r="DY149" i="82" s="1"/>
  <c r="DY11" i="82"/>
  <c r="DY10" i="82"/>
  <c r="DY80" i="82" s="1"/>
  <c r="ED94" i="82" s="1"/>
  <c r="DY98" i="1"/>
  <c r="DY97" i="1"/>
  <c r="DY90" i="1"/>
  <c r="ED91" i="1" s="1"/>
  <c r="DY110" i="1"/>
  <c r="DY106" i="1"/>
  <c r="DY320" i="1"/>
  <c r="ED321" i="1" s="1"/>
  <c r="DY319" i="1"/>
  <c r="DY318" i="1"/>
  <c r="DY66" i="1"/>
  <c r="DY65" i="1"/>
  <c r="DY62" i="1"/>
  <c r="DY58" i="1"/>
  <c r="DY48" i="1"/>
  <c r="DY44" i="1"/>
  <c r="DY34" i="1"/>
  <c r="DY30" i="1"/>
  <c r="DY22" i="1"/>
  <c r="ED23" i="1" s="1"/>
  <c r="DY20" i="1"/>
  <c r="DY16" i="1"/>
  <c r="DY13" i="1"/>
  <c r="DY9" i="1"/>
  <c r="DS101" i="7" l="1"/>
  <c r="DS42" i="7" s="1"/>
  <c r="DS99" i="7"/>
  <c r="DS33" i="7" s="1"/>
  <c r="DS82" i="7"/>
  <c r="DS73" i="7" s="1"/>
  <c r="DS10" i="7"/>
  <c r="DS86" i="7"/>
  <c r="DS25" i="7" s="1"/>
  <c r="DS84" i="7"/>
  <c r="DS15" i="7" s="1"/>
  <c r="DS29" i="7"/>
  <c r="DY154" i="1"/>
  <c r="DY155" i="1" s="1"/>
  <c r="ED121" i="39"/>
  <c r="ED119" i="39"/>
  <c r="DA105" i="7"/>
  <c r="DA50" i="7"/>
  <c r="EL21" i="82"/>
  <c r="EL171" i="82"/>
  <c r="DN74" i="7"/>
  <c r="ED200" i="1"/>
  <c r="EM280" i="2"/>
  <c r="ER288" i="2" s="1"/>
  <c r="EM278" i="2"/>
  <c r="ER287" i="2" s="1"/>
  <c r="EM276" i="2"/>
  <c r="EM277" i="2"/>
  <c r="ER286" i="2" s="1"/>
  <c r="EL317" i="2"/>
  <c r="EM275" i="2"/>
  <c r="DZ317" i="2"/>
  <c r="DZ315" i="2" s="1"/>
  <c r="DZ324" i="2" s="1"/>
  <c r="DZ29" i="2"/>
  <c r="DZ151" i="2"/>
  <c r="EB168" i="2"/>
  <c r="DZ32" i="2"/>
  <c r="EB94" i="2"/>
  <c r="DZ169" i="2"/>
  <c r="DZ21" i="82"/>
  <c r="DZ220" i="2"/>
  <c r="DZ223" i="2" s="1"/>
  <c r="DZ54" i="2"/>
  <c r="DZ28" i="2"/>
  <c r="DZ154" i="2" s="1"/>
  <c r="EE155" i="2" s="1"/>
  <c r="ED62" i="2"/>
  <c r="DY224" i="2"/>
  <c r="DY226" i="2" s="1"/>
  <c r="DY232" i="2"/>
  <c r="DY236" i="2" s="1"/>
  <c r="ED303" i="1"/>
  <c r="DZ112" i="1"/>
  <c r="ED111" i="1"/>
  <c r="DB177" i="7"/>
  <c r="DF176" i="7"/>
  <c r="DF74" i="3"/>
  <c r="DY84" i="82"/>
  <c r="DY86" i="82" s="1"/>
  <c r="ED98" i="82" s="1"/>
  <c r="ED97" i="82"/>
  <c r="DF74" i="7"/>
  <c r="DF75" i="7"/>
  <c r="DZ93" i="2"/>
  <c r="ED69" i="2"/>
  <c r="DY92" i="1"/>
  <c r="DY101" i="1"/>
  <c r="DA81" i="3"/>
  <c r="DE92" i="3" s="1"/>
  <c r="DY115" i="82"/>
  <c r="DY36" i="1"/>
  <c r="ED37" i="1" s="1"/>
  <c r="DZ27" i="1"/>
  <c r="DY306" i="1"/>
  <c r="DY229" i="1" s="1"/>
  <c r="DZ308" i="1"/>
  <c r="DZ132" i="39" s="1"/>
  <c r="DY12" i="2"/>
  <c r="DZ85" i="2"/>
  <c r="DA168" i="7"/>
  <c r="DF174" i="7" s="1"/>
  <c r="DY168" i="82"/>
  <c r="DY99" i="1"/>
  <c r="ED100" i="1" s="1"/>
  <c r="DA88" i="7"/>
  <c r="DA87" i="7" s="1"/>
  <c r="DA103" i="7"/>
  <c r="DA70" i="3"/>
  <c r="DF71" i="3" s="1"/>
  <c r="DY41" i="82"/>
  <c r="ED57" i="82" s="1"/>
  <c r="DY199" i="2"/>
  <c r="DY120" i="82"/>
  <c r="DY122" i="82" s="1"/>
  <c r="ED134" i="82" s="1"/>
  <c r="DY81" i="82"/>
  <c r="ED95" i="82" s="1"/>
  <c r="DY110" i="82"/>
  <c r="ED111" i="82" s="1"/>
  <c r="DY93" i="1"/>
  <c r="DT65" i="3" l="1"/>
  <c r="DT61" i="3"/>
  <c r="DT58" i="3"/>
  <c r="DS38" i="7"/>
  <c r="DT62" i="3"/>
  <c r="ER289" i="2"/>
  <c r="ER285" i="2"/>
  <c r="ER290" i="2"/>
  <c r="ER284" i="2"/>
  <c r="DA62" i="7"/>
  <c r="DZ34" i="82"/>
  <c r="DZ131" i="39"/>
  <c r="DZ133" i="39"/>
  <c r="DY275" i="2"/>
  <c r="ED290" i="2" s="1"/>
  <c r="DZ157" i="2"/>
  <c r="EE158" i="2" s="1"/>
  <c r="EL182" i="82"/>
  <c r="EL170" i="82"/>
  <c r="EL20" i="82"/>
  <c r="EL34" i="82"/>
  <c r="EL315" i="2"/>
  <c r="EL324" i="2" s="1"/>
  <c r="EL326" i="2"/>
  <c r="EL321" i="2"/>
  <c r="EL330" i="2" s="1"/>
  <c r="EQ331" i="2" s="1"/>
  <c r="EM55" i="2"/>
  <c r="EM308" i="2"/>
  <c r="ER309" i="2" s="1"/>
  <c r="EM296" i="2"/>
  <c r="EM303" i="2"/>
  <c r="ER304" i="2" s="1"/>
  <c r="EM294" i="2"/>
  <c r="EM305" i="2"/>
  <c r="ER306" i="2" s="1"/>
  <c r="EM295" i="2"/>
  <c r="EL281" i="2"/>
  <c r="EL310" i="2" s="1"/>
  <c r="EQ311" i="2" s="1"/>
  <c r="EM299" i="2"/>
  <c r="ER300" i="2" s="1"/>
  <c r="EM292" i="2"/>
  <c r="EM301" i="2"/>
  <c r="ER302" i="2" s="1"/>
  <c r="EM293" i="2"/>
  <c r="DZ326" i="2"/>
  <c r="DZ321" i="2"/>
  <c r="DZ330" i="2" s="1"/>
  <c r="EB153" i="2"/>
  <c r="EE170" i="2"/>
  <c r="DZ175" i="2"/>
  <c r="EE176" i="2" s="1"/>
  <c r="EE152" i="2"/>
  <c r="DZ20" i="82"/>
  <c r="DZ34" i="2"/>
  <c r="DZ217" i="2" s="1"/>
  <c r="DZ36" i="2"/>
  <c r="DZ227" i="2"/>
  <c r="DZ233" i="2" s="1"/>
  <c r="DZ172" i="2"/>
  <c r="EE173" i="2" s="1"/>
  <c r="EB171" i="2"/>
  <c r="DZ229" i="2"/>
  <c r="EB156" i="2"/>
  <c r="DZ95" i="1"/>
  <c r="ED94" i="1"/>
  <c r="DY102" i="1"/>
  <c r="ED103" i="1" s="1"/>
  <c r="DY112" i="82"/>
  <c r="DY116" i="82"/>
  <c r="ED131" i="82" s="1"/>
  <c r="ED130" i="82"/>
  <c r="DZ87" i="2"/>
  <c r="ED64" i="2"/>
  <c r="ED70" i="2"/>
  <c r="DY146" i="82"/>
  <c r="DB175" i="7"/>
  <c r="DA182" i="7"/>
  <c r="DA181" i="7" s="1"/>
  <c r="DY327" i="1"/>
  <c r="DY144" i="82"/>
  <c r="ED145" i="82" s="1"/>
  <c r="DY50" i="1"/>
  <c r="DA85" i="7"/>
  <c r="DY107" i="1"/>
  <c r="DZ41" i="1"/>
  <c r="DZ310" i="1"/>
  <c r="DZ309" i="1"/>
  <c r="DA102" i="7"/>
  <c r="DA100" i="7"/>
  <c r="DY105" i="82"/>
  <c r="ER74" i="2" l="1"/>
  <c r="EM36" i="82"/>
  <c r="EQ35" i="82"/>
  <c r="DZ152" i="82"/>
  <c r="DZ150" i="82" s="1"/>
  <c r="DZ163" i="82" s="1"/>
  <c r="EM179" i="82"/>
  <c r="EM182" i="82" s="1"/>
  <c r="EB159" i="2"/>
  <c r="EM136" i="2"/>
  <c r="EM206" i="2"/>
  <c r="ER207" i="2" s="1"/>
  <c r="EM57" i="2"/>
  <c r="DB196" i="7"/>
  <c r="DB197" i="7" s="1"/>
  <c r="EL35" i="82"/>
  <c r="EL152" i="82"/>
  <c r="EL33" i="82"/>
  <c r="EL184" i="82"/>
  <c r="EM317" i="2"/>
  <c r="EM315" i="2" s="1"/>
  <c r="EM324" i="2" s="1"/>
  <c r="EB177" i="2"/>
  <c r="DZ48" i="2"/>
  <c r="DZ50" i="2" s="1"/>
  <c r="DZ104" i="1"/>
  <c r="DZ178" i="2"/>
  <c r="DZ37" i="2"/>
  <c r="DZ33" i="82"/>
  <c r="DZ42" i="2"/>
  <c r="DZ43" i="2" s="1"/>
  <c r="DB9" i="3"/>
  <c r="DZ160" i="2"/>
  <c r="DZ228" i="2"/>
  <c r="DZ292" i="2"/>
  <c r="DZ237" i="2"/>
  <c r="ED51" i="1"/>
  <c r="DZ109" i="1"/>
  <c r="ED108" i="1"/>
  <c r="DY141" i="82"/>
  <c r="DY69" i="1"/>
  <c r="DY9" i="82"/>
  <c r="DY13" i="82" s="1"/>
  <c r="DY14" i="82" s="1"/>
  <c r="DZ55" i="1"/>
  <c r="ER164" i="2" l="1"/>
  <c r="ER182" i="2"/>
  <c r="ER76" i="2"/>
  <c r="DZ154" i="82"/>
  <c r="DZ156" i="82" s="1"/>
  <c r="EM184" i="82"/>
  <c r="DO89" i="3"/>
  <c r="EM95" i="2"/>
  <c r="EM179" i="2"/>
  <c r="ER180" i="2" s="1"/>
  <c r="EM161" i="2"/>
  <c r="ER162" i="2" s="1"/>
  <c r="EM334" i="1"/>
  <c r="EM208" i="2"/>
  <c r="EM212" i="2"/>
  <c r="ER213" i="2" s="1"/>
  <c r="DB19" i="3"/>
  <c r="EL154" i="82"/>
  <c r="EL156" i="82" s="1"/>
  <c r="EL157" i="82" s="1"/>
  <c r="EL150" i="82"/>
  <c r="EQ160" i="82" s="1"/>
  <c r="EL188" i="82"/>
  <c r="EM321" i="2"/>
  <c r="EM330" i="2" s="1"/>
  <c r="ER331" i="2" s="1"/>
  <c r="EM326" i="2"/>
  <c r="EM281" i="2"/>
  <c r="EM310" i="2" s="1"/>
  <c r="ER311" i="2" s="1"/>
  <c r="DY170" i="1"/>
  <c r="DY175" i="1" s="1"/>
  <c r="EB96" i="2"/>
  <c r="DZ239" i="2"/>
  <c r="DZ238" i="2"/>
  <c r="EB97" i="2"/>
  <c r="DZ51" i="2"/>
  <c r="ED70" i="1"/>
  <c r="DY7" i="2"/>
  <c r="DZ74" i="1"/>
  <c r="DY40" i="82"/>
  <c r="DY75" i="82" s="1"/>
  <c r="ED76" i="82" s="1"/>
  <c r="DY325" i="2" l="1"/>
  <c r="DB80" i="3"/>
  <c r="DG88" i="3" s="1"/>
  <c r="DB77" i="3"/>
  <c r="EM163" i="2"/>
  <c r="EM214" i="2"/>
  <c r="EM181" i="2"/>
  <c r="DG20" i="3"/>
  <c r="DB50" i="3"/>
  <c r="EL160" i="82"/>
  <c r="EL163" i="82"/>
  <c r="DY203" i="1"/>
  <c r="DY191" i="1"/>
  <c r="ED171" i="1"/>
  <c r="ED209" i="1" s="1"/>
  <c r="DY208" i="1"/>
  <c r="DZ235" i="1" s="1"/>
  <c r="DY197" i="1"/>
  <c r="DY183" i="1"/>
  <c r="DZ173" i="1"/>
  <c r="DZ210" i="1" s="1"/>
  <c r="DY178" i="1"/>
  <c r="ED176" i="1"/>
  <c r="DZ177" i="1"/>
  <c r="DY329" i="2"/>
  <c r="DY327" i="2"/>
  <c r="DY328" i="2"/>
  <c r="DY133" i="2"/>
  <c r="DY303" i="2"/>
  <c r="DY305" i="2"/>
  <c r="DY301" i="2"/>
  <c r="DY308" i="2"/>
  <c r="DY299" i="2"/>
  <c r="DY137" i="2"/>
  <c r="DY9" i="2"/>
  <c r="DY130" i="2"/>
  <c r="DY143" i="2"/>
  <c r="DY146" i="2"/>
  <c r="DY167" i="82"/>
  <c r="EB98" i="2"/>
  <c r="DZ241" i="2"/>
  <c r="DZ240" i="2"/>
  <c r="DZ84" i="2"/>
  <c r="ED61" i="2"/>
  <c r="DY140" i="2"/>
  <c r="DY69" i="82"/>
  <c r="ED56" i="82"/>
  <c r="DY42" i="82"/>
  <c r="EL164" i="82" l="1"/>
  <c r="EQ164" i="82"/>
  <c r="DB83" i="3"/>
  <c r="DY216" i="1"/>
  <c r="ED217" i="1" s="1"/>
  <c r="ED219" i="1" s="1"/>
  <c r="DZ236" i="1"/>
  <c r="DZ135" i="2"/>
  <c r="DZ139" i="2"/>
  <c r="ED131" i="2"/>
  <c r="DZ132" i="2"/>
  <c r="ED134" i="2"/>
  <c r="DA80" i="7"/>
  <c r="DA92" i="7" s="1"/>
  <c r="DY123" i="2"/>
  <c r="DZ125" i="2" s="1"/>
  <c r="DZ86" i="2"/>
  <c r="DY13" i="2"/>
  <c r="DY114" i="2"/>
  <c r="ED115" i="2" s="1"/>
  <c r="DY126" i="2"/>
  <c r="ED127" i="2" s="1"/>
  <c r="ED63" i="2"/>
  <c r="DY117" i="2"/>
  <c r="DZ119" i="2" s="1"/>
  <c r="DY120" i="2"/>
  <c r="DZ122" i="2" s="1"/>
  <c r="ED138" i="2"/>
  <c r="ED141" i="2"/>
  <c r="ED147" i="2"/>
  <c r="DZ142" i="2"/>
  <c r="DZ148" i="2"/>
  <c r="ED144" i="2"/>
  <c r="DZ145" i="2"/>
  <c r="DY43" i="82"/>
  <c r="ED58" i="82"/>
  <c r="DH6" i="7"/>
  <c r="DH78" i="7" s="1"/>
  <c r="DH104" i="3"/>
  <c r="DH69" i="3"/>
  <c r="DH60" i="3"/>
  <c r="DH48" i="3"/>
  <c r="DH45" i="3"/>
  <c r="DH43" i="3"/>
  <c r="DH42" i="3"/>
  <c r="DH41" i="3"/>
  <c r="DH37" i="3"/>
  <c r="DH36" i="3"/>
  <c r="DH35" i="3"/>
  <c r="DH31" i="3"/>
  <c r="DH30" i="3"/>
  <c r="DH29" i="3"/>
  <c r="DH28" i="3"/>
  <c r="DH27" i="3"/>
  <c r="DH26" i="3"/>
  <c r="DH25" i="3"/>
  <c r="DH24" i="3"/>
  <c r="DH17" i="3"/>
  <c r="DH16" i="3"/>
  <c r="DH14" i="3"/>
  <c r="DH12" i="3"/>
  <c r="DH6" i="3"/>
  <c r="DH56" i="3" s="1"/>
  <c r="EF155" i="82"/>
  <c r="EF153" i="82"/>
  <c r="EF121" i="82"/>
  <c r="EF85" i="82"/>
  <c r="EF83" i="82"/>
  <c r="EF6" i="82"/>
  <c r="EF370" i="82"/>
  <c r="EF371" i="82"/>
  <c r="EF372" i="82"/>
  <c r="EF373" i="82"/>
  <c r="EF374" i="82"/>
  <c r="EF375" i="82"/>
  <c r="EF376" i="82"/>
  <c r="EF378" i="82"/>
  <c r="EF379" i="82"/>
  <c r="EF380" i="82"/>
  <c r="EF381" i="82"/>
  <c r="EF398" i="82"/>
  <c r="EF399" i="82"/>
  <c r="EF400" i="82"/>
  <c r="EF401" i="82"/>
  <c r="EF402" i="82"/>
  <c r="EF404" i="82"/>
  <c r="EF405" i="82"/>
  <c r="EF406" i="82"/>
  <c r="EF407" i="82"/>
  <c r="EF410" i="82"/>
  <c r="EF412" i="82"/>
  <c r="EF413" i="82"/>
  <c r="EF415" i="82"/>
  <c r="EF6" i="1"/>
  <c r="EF336" i="2"/>
  <c r="EF231" i="2"/>
  <c r="EF197" i="2"/>
  <c r="EF196" i="2"/>
  <c r="EF195" i="2"/>
  <c r="EF194" i="2"/>
  <c r="EF193" i="2"/>
  <c r="EF192" i="2"/>
  <c r="EF59" i="2"/>
  <c r="EF31" i="2"/>
  <c r="EF25" i="2"/>
  <c r="DX48" i="1"/>
  <c r="DW48" i="1"/>
  <c r="DX34" i="1"/>
  <c r="DW34" i="1"/>
  <c r="DX20" i="1"/>
  <c r="DW20" i="1"/>
  <c r="DX13" i="1"/>
  <c r="DW13" i="1"/>
  <c r="DB85" i="3" l="1"/>
  <c r="DB100" i="3"/>
  <c r="DG84" i="3"/>
  <c r="DB87" i="3"/>
  <c r="DY234" i="1"/>
  <c r="DZ218" i="1"/>
  <c r="ED226" i="1"/>
  <c r="DY225" i="1"/>
  <c r="EF312" i="1"/>
  <c r="EF206" i="1"/>
  <c r="EF168" i="1"/>
  <c r="EF238" i="1"/>
  <c r="DY166" i="2"/>
  <c r="DZ116" i="2"/>
  <c r="DA94" i="7"/>
  <c r="DA83" i="7"/>
  <c r="DA82" i="7"/>
  <c r="DA73" i="7" s="1"/>
  <c r="DA96" i="7"/>
  <c r="DA98" i="7"/>
  <c r="DA89" i="7"/>
  <c r="DA91" i="7"/>
  <c r="DA172" i="7"/>
  <c r="DA104" i="7"/>
  <c r="ED124" i="2"/>
  <c r="ED118" i="2"/>
  <c r="DZ128" i="2"/>
  <c r="DY150" i="2"/>
  <c r="ED121" i="2"/>
  <c r="ED65" i="2"/>
  <c r="DZ88" i="2"/>
  <c r="DY27" i="2"/>
  <c r="EF181" i="82"/>
  <c r="DY70" i="82"/>
  <c r="ED59" i="82"/>
  <c r="EF225" i="2"/>
  <c r="DH202" i="7"/>
  <c r="EF139" i="1"/>
  <c r="DG6" i="7"/>
  <c r="DG78" i="7" s="1"/>
  <c r="DF6" i="7"/>
  <c r="DF78" i="7" s="1"/>
  <c r="DG6" i="3"/>
  <c r="DG56" i="3" s="1"/>
  <c r="DF6" i="3"/>
  <c r="DF56" i="3" s="1"/>
  <c r="EE181" i="82"/>
  <c r="ED181" i="82"/>
  <c r="EC181" i="82"/>
  <c r="EB181" i="82"/>
  <c r="EE6" i="82"/>
  <c r="ED6" i="82"/>
  <c r="EC6" i="82"/>
  <c r="EB6" i="82"/>
  <c r="EE6" i="1"/>
  <c r="ED6" i="1"/>
  <c r="EB6" i="1"/>
  <c r="EE217" i="2"/>
  <c r="EB217" i="2"/>
  <c r="EE59" i="2"/>
  <c r="ED59" i="2"/>
  <c r="ED172" i="1" l="1"/>
  <c r="ED227" i="1"/>
  <c r="ED60" i="2"/>
  <c r="ED73" i="1"/>
  <c r="ED168" i="1"/>
  <c r="ED206" i="1"/>
  <c r="ED238" i="1"/>
  <c r="EB312" i="1"/>
  <c r="EB206" i="1"/>
  <c r="EB238" i="1"/>
  <c r="EB168" i="1"/>
  <c r="EE168" i="1"/>
  <c r="EE238" i="1"/>
  <c r="EE206" i="1"/>
  <c r="EE312" i="1"/>
  <c r="ED167" i="2"/>
  <c r="DZ168" i="2"/>
  <c r="DY317" i="2"/>
  <c r="DY315" i="2" s="1"/>
  <c r="DY324" i="2" s="1"/>
  <c r="DY28" i="2"/>
  <c r="DY154" i="2" s="1"/>
  <c r="DY32" i="2"/>
  <c r="DY169" i="2"/>
  <c r="DY220" i="2"/>
  <c r="DY223" i="2" s="1"/>
  <c r="ED71" i="2"/>
  <c r="DY151" i="2"/>
  <c r="DZ94" i="2"/>
  <c r="DY29" i="2"/>
  <c r="ED312" i="1"/>
  <c r="EF119" i="82"/>
  <c r="EF41" i="2"/>
  <c r="EF151" i="82"/>
  <c r="DH39" i="3"/>
  <c r="DD78" i="7"/>
  <c r="DD202" i="7"/>
  <c r="DF202" i="7"/>
  <c r="DG202" i="7"/>
  <c r="EB139" i="1"/>
  <c r="EE139" i="1"/>
  <c r="ED139" i="1"/>
  <c r="ED72" i="1" l="1"/>
  <c r="ED71" i="1" s="1"/>
  <c r="DY175" i="2"/>
  <c r="ED176" i="2" s="1"/>
  <c r="DY172" i="2"/>
  <c r="DZ174" i="2" s="1"/>
  <c r="ED72" i="2"/>
  <c r="DY321" i="2"/>
  <c r="DY326" i="2"/>
  <c r="DY227" i="2"/>
  <c r="DY233" i="2" s="1"/>
  <c r="DY36" i="2"/>
  <c r="DY34" i="2"/>
  <c r="ED170" i="2"/>
  <c r="DZ153" i="2"/>
  <c r="DZ171" i="2"/>
  <c r="ED152" i="2"/>
  <c r="DY157" i="2"/>
  <c r="DZ159" i="2" s="1"/>
  <c r="ED73" i="2"/>
  <c r="DY229" i="2"/>
  <c r="DZ156" i="2"/>
  <c r="ED155" i="2"/>
  <c r="DH98" i="3"/>
  <c r="U7" i="11"/>
  <c r="CZ98" i="3"/>
  <c r="DE99" i="3" s="1"/>
  <c r="DZ177" i="2" l="1"/>
  <c r="DY178" i="2"/>
  <c r="DQ102" i="3"/>
  <c r="DY228" i="2"/>
  <c r="ED173" i="2"/>
  <c r="DM99" i="3"/>
  <c r="DY37" i="2"/>
  <c r="DY330" i="2"/>
  <c r="DZ395" i="2"/>
  <c r="ED77" i="2"/>
  <c r="DY160" i="2"/>
  <c r="DA9" i="3"/>
  <c r="DA196" i="7"/>
  <c r="ED158" i="2"/>
  <c r="DY237" i="2"/>
  <c r="CZ236" i="7"/>
  <c r="CZ198" i="7"/>
  <c r="DA195" i="7" s="1"/>
  <c r="CZ171" i="7"/>
  <c r="DA167" i="7" s="1"/>
  <c r="DA170" i="7" s="1"/>
  <c r="CZ169" i="7"/>
  <c r="CZ101" i="7"/>
  <c r="CZ99" i="7"/>
  <c r="CZ97" i="7"/>
  <c r="CZ95" i="7"/>
  <c r="CZ93" i="7"/>
  <c r="CZ90" i="7"/>
  <c r="CZ86" i="7"/>
  <c r="CZ84" i="7"/>
  <c r="CZ81" i="7"/>
  <c r="CZ60" i="7"/>
  <c r="CZ38" i="7"/>
  <c r="CZ24" i="7"/>
  <c r="DA24" i="7" s="1"/>
  <c r="DB24" i="7" s="1"/>
  <c r="CZ17" i="3"/>
  <c r="CZ73" i="3"/>
  <c r="CZ66" i="3"/>
  <c r="CZ18" i="3" s="1"/>
  <c r="CZ46" i="3"/>
  <c r="CZ32" i="3"/>
  <c r="DX181" i="82"/>
  <c r="DX177" i="82"/>
  <c r="DX174" i="82"/>
  <c r="DX172" i="82"/>
  <c r="DX151" i="82"/>
  <c r="DX119" i="82"/>
  <c r="DX45" i="82" s="1"/>
  <c r="DX118" i="82"/>
  <c r="EC133" i="82" s="1"/>
  <c r="DX82" i="82"/>
  <c r="DX47" i="82"/>
  <c r="DX44" i="82"/>
  <c r="EC61" i="82" s="1"/>
  <c r="DX230" i="2"/>
  <c r="DX225" i="2"/>
  <c r="DX198" i="2"/>
  <c r="DX187" i="2"/>
  <c r="DX26" i="2"/>
  <c r="DX8" i="2"/>
  <c r="DX9" i="1"/>
  <c r="DX22" i="1"/>
  <c r="EC23" i="1" s="1"/>
  <c r="DX16" i="1"/>
  <c r="DX30" i="1"/>
  <c r="DX44" i="1"/>
  <c r="DX62" i="1"/>
  <c r="DX58" i="1"/>
  <c r="DX66" i="1"/>
  <c r="DX65" i="1"/>
  <c r="DX110" i="1"/>
  <c r="DX106" i="1"/>
  <c r="DX90" i="1"/>
  <c r="DX154" i="1" l="1"/>
  <c r="DX155" i="1" s="1"/>
  <c r="ED331" i="2"/>
  <c r="CZ105" i="7"/>
  <c r="CZ50" i="7"/>
  <c r="DZ96" i="2"/>
  <c r="ED78" i="2"/>
  <c r="DA197" i="7"/>
  <c r="EC62" i="2"/>
  <c r="EC69" i="2"/>
  <c r="DX232" i="2"/>
  <c r="DX200" i="2"/>
  <c r="DY239" i="2"/>
  <c r="DY238" i="2"/>
  <c r="DE74" i="3"/>
  <c r="DX92" i="1"/>
  <c r="DX101" i="1"/>
  <c r="DX84" i="82"/>
  <c r="DX86" i="82" s="1"/>
  <c r="EC98" i="82" s="1"/>
  <c r="EC97" i="82"/>
  <c r="DY308" i="1"/>
  <c r="DY132" i="39" s="1"/>
  <c r="EC302" i="1"/>
  <c r="EC120" i="39" s="1"/>
  <c r="DY112" i="1"/>
  <c r="EC111" i="1"/>
  <c r="DX99" i="1"/>
  <c r="EC100" i="1" s="1"/>
  <c r="EC91" i="1"/>
  <c r="DA177" i="7"/>
  <c r="DE176" i="7"/>
  <c r="DX12" i="2"/>
  <c r="CZ81" i="3"/>
  <c r="DD92" i="3" s="1"/>
  <c r="DY27" i="1"/>
  <c r="CZ103" i="7"/>
  <c r="CZ100" i="7" s="1"/>
  <c r="DX306" i="1"/>
  <c r="DX229" i="1" s="1"/>
  <c r="DX120" i="82"/>
  <c r="DX122" i="82" s="1"/>
  <c r="CZ70" i="3"/>
  <c r="DE71" i="3" s="1"/>
  <c r="CZ168" i="7"/>
  <c r="DE174" i="7" s="1"/>
  <c r="DX41" i="82"/>
  <c r="DX168" i="82"/>
  <c r="CZ88" i="7"/>
  <c r="CZ87" i="7" s="1"/>
  <c r="DX46" i="82"/>
  <c r="DX48" i="82" s="1"/>
  <c r="DX199" i="2"/>
  <c r="DX36" i="1"/>
  <c r="EC37" i="1" s="1"/>
  <c r="DX320" i="1"/>
  <c r="EC321" i="1" s="1"/>
  <c r="DX319" i="1"/>
  <c r="DX318" i="1"/>
  <c r="DX12" i="82"/>
  <c r="DX149" i="82" s="1"/>
  <c r="DX11" i="82"/>
  <c r="DX10" i="82"/>
  <c r="CZ62" i="7" l="1"/>
  <c r="EC119" i="39"/>
  <c r="EC121" i="39"/>
  <c r="DY131" i="39"/>
  <c r="DY133" i="39"/>
  <c r="DX275" i="2"/>
  <c r="EC290" i="2" s="1"/>
  <c r="EC200" i="1"/>
  <c r="DY240" i="2"/>
  <c r="EC284" i="2"/>
  <c r="DY309" i="1"/>
  <c r="DX102" i="1"/>
  <c r="EC103" i="1" s="1"/>
  <c r="DX87" i="82"/>
  <c r="DY310" i="1"/>
  <c r="DX123" i="82"/>
  <c r="EC134" i="82"/>
  <c r="EC304" i="1"/>
  <c r="EC303" i="1"/>
  <c r="DX327" i="1"/>
  <c r="EC70" i="2"/>
  <c r="EC64" i="2"/>
  <c r="DA175" i="7"/>
  <c r="CZ182" i="7"/>
  <c r="CZ181" i="7" s="1"/>
  <c r="DY41" i="1"/>
  <c r="CZ102" i="7"/>
  <c r="DX107" i="1"/>
  <c r="DX50" i="1"/>
  <c r="CZ85" i="7"/>
  <c r="DX27" i="82"/>
  <c r="DX80" i="82"/>
  <c r="EC94" i="82" s="1"/>
  <c r="DX115" i="82"/>
  <c r="EC130" i="82" s="1"/>
  <c r="DX30" i="82"/>
  <c r="EC31" i="82" s="1"/>
  <c r="DX49" i="82"/>
  <c r="DY292" i="2" l="1"/>
  <c r="EC28" i="82"/>
  <c r="DY104" i="1"/>
  <c r="DY109" i="1"/>
  <c r="EC108" i="1"/>
  <c r="EC51" i="1"/>
  <c r="DX69" i="1"/>
  <c r="DY55" i="1"/>
  <c r="DX110" i="82"/>
  <c r="EC111" i="82" s="1"/>
  <c r="DX81" i="82"/>
  <c r="EC95" i="82" s="1"/>
  <c r="DX112" i="82"/>
  <c r="DX116" i="82"/>
  <c r="DX144" i="82"/>
  <c r="EC145" i="82" s="1"/>
  <c r="DX146" i="82"/>
  <c r="DX170" i="1" l="1"/>
  <c r="DX208" i="1" s="1"/>
  <c r="DX216" i="1" s="1"/>
  <c r="DX85" i="1"/>
  <c r="EC70" i="1"/>
  <c r="EC131" i="82"/>
  <c r="DX82" i="1"/>
  <c r="DX84" i="1"/>
  <c r="DX86" i="1"/>
  <c r="DX80" i="1"/>
  <c r="DY74" i="1"/>
  <c r="DX79" i="1"/>
  <c r="DX78" i="1"/>
  <c r="DX7" i="2"/>
  <c r="DX141" i="82"/>
  <c r="DX105" i="82"/>
  <c r="DX325" i="2" l="1"/>
  <c r="DX175" i="1"/>
  <c r="DX178" i="1" s="1"/>
  <c r="DX197" i="1"/>
  <c r="DX191" i="1"/>
  <c r="DX203" i="1"/>
  <c r="DY173" i="1"/>
  <c r="DY210" i="1" s="1"/>
  <c r="EC171" i="1"/>
  <c r="EC209" i="1" s="1"/>
  <c r="DX183" i="1"/>
  <c r="DX225" i="1"/>
  <c r="EC217" i="1"/>
  <c r="EC226" i="1"/>
  <c r="DY235" i="1"/>
  <c r="DX234" i="1"/>
  <c r="DX329" i="2"/>
  <c r="DX328" i="2"/>
  <c r="DX327" i="2"/>
  <c r="DX305" i="2"/>
  <c r="DX303" i="2"/>
  <c r="DX301" i="2"/>
  <c r="DX308" i="2"/>
  <c r="EC309" i="2" s="1"/>
  <c r="DX299" i="2"/>
  <c r="EC300" i="2" s="1"/>
  <c r="DX9" i="2"/>
  <c r="EC61" i="2"/>
  <c r="DX81" i="1"/>
  <c r="DX83" i="1" s="1"/>
  <c r="DX87" i="1" s="1"/>
  <c r="DX167" i="82"/>
  <c r="EC176" i="1" l="1"/>
  <c r="DY177" i="1"/>
  <c r="DY236" i="1"/>
  <c r="EC219" i="1"/>
  <c r="EC172" i="1"/>
  <c r="EC227" i="1"/>
  <c r="EC302" i="2"/>
  <c r="EC304" i="2"/>
  <c r="EC306" i="2"/>
  <c r="DX123" i="2"/>
  <c r="DX117" i="2"/>
  <c r="DX169" i="82"/>
  <c r="DX126" i="2"/>
  <c r="CZ80" i="7"/>
  <c r="CZ82" i="7" s="1"/>
  <c r="DX13" i="2"/>
  <c r="DX114" i="2"/>
  <c r="DX120" i="2"/>
  <c r="EC63" i="2"/>
  <c r="DX27" i="2" l="1"/>
  <c r="EC127" i="2"/>
  <c r="EC121" i="2"/>
  <c r="EC115" i="2"/>
  <c r="EC118" i="2"/>
  <c r="EC124" i="2"/>
  <c r="DY128" i="2"/>
  <c r="DY119" i="2"/>
  <c r="DY125" i="2"/>
  <c r="CZ94" i="7"/>
  <c r="DY116" i="2"/>
  <c r="EC65" i="2"/>
  <c r="CZ92" i="7"/>
  <c r="CZ83" i="7"/>
  <c r="CZ91" i="7"/>
  <c r="CZ104" i="7"/>
  <c r="CZ98" i="7"/>
  <c r="CZ89" i="7"/>
  <c r="CZ172" i="7"/>
  <c r="CZ96" i="7"/>
  <c r="DY122" i="2"/>
  <c r="EC60" i="2"/>
  <c r="EC73" i="1"/>
  <c r="EC72" i="1" l="1"/>
  <c r="EC71" i="1" s="1"/>
  <c r="EC45" i="1" s="1"/>
  <c r="EC46" i="1" s="1"/>
  <c r="EC47" i="1" s="1"/>
  <c r="DX317" i="2"/>
  <c r="DX315" i="2" s="1"/>
  <c r="DX324" i="2" s="1"/>
  <c r="EC71" i="2"/>
  <c r="DX28" i="2"/>
  <c r="EC72" i="2" s="1"/>
  <c r="DX32" i="2"/>
  <c r="DX171" i="82"/>
  <c r="DX173" i="82" s="1"/>
  <c r="DX175" i="82" s="1"/>
  <c r="DX29" i="2"/>
  <c r="EC17" i="1" l="1"/>
  <c r="EC18" i="1" s="1"/>
  <c r="EC19" i="1" s="1"/>
  <c r="EC59" i="1"/>
  <c r="EC60" i="1" s="1"/>
  <c r="EC61" i="1" s="1"/>
  <c r="EC10" i="1"/>
  <c r="EC31" i="1"/>
  <c r="EC32" i="1" s="1"/>
  <c r="EC33" i="1" s="1"/>
  <c r="EC73" i="2"/>
  <c r="DX34" i="2"/>
  <c r="DX326" i="2"/>
  <c r="DX321" i="2"/>
  <c r="DX330" i="2" s="1"/>
  <c r="DX36" i="2"/>
  <c r="DX227" i="2"/>
  <c r="DX233" i="2" s="1"/>
  <c r="DX170" i="82"/>
  <c r="EC11" i="1"/>
  <c r="EC24" i="1"/>
  <c r="EC331" i="2" l="1"/>
  <c r="EC77" i="2"/>
  <c r="DX37" i="2"/>
  <c r="CZ9" i="3"/>
  <c r="CZ196" i="7"/>
  <c r="EC12" i="1"/>
  <c r="EC38" i="1"/>
  <c r="EC25" i="1"/>
  <c r="EC26" i="1" s="1"/>
  <c r="DX176" i="82" l="1"/>
  <c r="EC78" i="2"/>
  <c r="EC52" i="1"/>
  <c r="EC53" i="1" s="1"/>
  <c r="EC54" i="1" s="1"/>
  <c r="EC39" i="1"/>
  <c r="EC40" i="1" s="1"/>
  <c r="CY98" i="3" l="1"/>
  <c r="DD99" i="3" s="1"/>
  <c r="DW124" i="1" l="1"/>
  <c r="EB125" i="1" s="1"/>
  <c r="DW110" i="1"/>
  <c r="DW106" i="1"/>
  <c r="DW66" i="1"/>
  <c r="DW65" i="1"/>
  <c r="DW62" i="1"/>
  <c r="DW58" i="1"/>
  <c r="DW44" i="1"/>
  <c r="DW30" i="1"/>
  <c r="DW22" i="1"/>
  <c r="EB23" i="1" s="1"/>
  <c r="DW16" i="1"/>
  <c r="DW9" i="1"/>
  <c r="CY236" i="7"/>
  <c r="CW236" i="7"/>
  <c r="CY198" i="7"/>
  <c r="CZ195" i="7" s="1"/>
  <c r="CZ197" i="7" s="1"/>
  <c r="CY171" i="7"/>
  <c r="CZ167" i="7" s="1"/>
  <c r="CZ170" i="7" s="1"/>
  <c r="CY169" i="7"/>
  <c r="CZ177" i="7" s="1"/>
  <c r="CY101" i="7"/>
  <c r="CY99" i="7"/>
  <c r="CY97" i="7"/>
  <c r="CY95" i="7"/>
  <c r="CY93" i="7"/>
  <c r="CY90" i="7"/>
  <c r="CY86" i="7"/>
  <c r="CY84" i="7"/>
  <c r="CY81" i="7"/>
  <c r="CY60" i="7"/>
  <c r="CY38" i="7"/>
  <c r="CY46" i="3"/>
  <c r="CY32" i="3"/>
  <c r="CY17" i="3"/>
  <c r="DW151" i="82"/>
  <c r="DW119" i="82"/>
  <c r="DW45" i="82" s="1"/>
  <c r="DW118" i="82"/>
  <c r="DW82" i="82"/>
  <c r="DW47" i="82"/>
  <c r="DW44" i="82"/>
  <c r="DW12" i="82"/>
  <c r="DW149" i="82" s="1"/>
  <c r="DW11" i="82"/>
  <c r="DW10" i="82"/>
  <c r="DW27" i="82" s="1"/>
  <c r="DW230" i="2"/>
  <c r="DW225" i="2"/>
  <c r="DW187" i="2"/>
  <c r="DW26" i="2"/>
  <c r="DW8" i="2"/>
  <c r="EB302" i="1"/>
  <c r="EB120" i="39" s="1"/>
  <c r="DW98" i="1"/>
  <c r="DW97" i="1"/>
  <c r="DW90" i="1"/>
  <c r="DW320" i="1"/>
  <c r="EB321" i="1" s="1"/>
  <c r="DW154" i="1" l="1"/>
  <c r="DW155" i="1" s="1"/>
  <c r="EB119" i="39"/>
  <c r="EB121" i="39"/>
  <c r="EB200" i="1"/>
  <c r="DW232" i="2"/>
  <c r="DW236" i="2" s="1"/>
  <c r="EB69" i="2"/>
  <c r="DW92" i="1"/>
  <c r="DW101" i="1"/>
  <c r="DX29" i="82"/>
  <c r="EB28" i="82"/>
  <c r="DX112" i="1"/>
  <c r="EB111" i="1"/>
  <c r="EB304" i="1"/>
  <c r="EB303" i="1"/>
  <c r="DW99" i="1"/>
  <c r="EB100" i="1" s="1"/>
  <c r="EB91" i="1"/>
  <c r="DW84" i="82"/>
  <c r="DW86" i="82" s="1"/>
  <c r="EB98" i="82" s="1"/>
  <c r="EB97" i="82"/>
  <c r="EB62" i="2"/>
  <c r="DX27" i="1"/>
  <c r="DX308" i="1"/>
  <c r="DX132" i="39" s="1"/>
  <c r="CY50" i="7"/>
  <c r="DW41" i="82"/>
  <c r="EB57" i="82" s="1"/>
  <c r="DW30" i="82"/>
  <c r="CY88" i="7"/>
  <c r="CY87" i="7" s="1"/>
  <c r="DW115" i="1"/>
  <c r="EB116" i="1" s="1"/>
  <c r="CY103" i="7"/>
  <c r="DW306" i="1"/>
  <c r="DW229" i="1" s="1"/>
  <c r="DW12" i="2"/>
  <c r="DW36" i="1"/>
  <c r="EB37" i="1" s="1"/>
  <c r="DW80" i="82"/>
  <c r="DW115" i="82"/>
  <c r="DW144" i="82" s="1"/>
  <c r="DW93" i="1"/>
  <c r="EB94" i="1" s="1"/>
  <c r="DW120" i="82"/>
  <c r="DW122" i="82" s="1"/>
  <c r="DW46" i="82"/>
  <c r="DW48" i="82" s="1"/>
  <c r="DX131" i="39" l="1"/>
  <c r="DX133" i="39"/>
  <c r="CY62" i="7"/>
  <c r="DW275" i="2"/>
  <c r="EB290" i="2" s="1"/>
  <c r="EB284" i="2"/>
  <c r="DW102" i="1"/>
  <c r="EB103" i="1" s="1"/>
  <c r="DW118" i="1"/>
  <c r="EB119" i="1" s="1"/>
  <c r="DX32" i="82"/>
  <c r="EB31" i="82"/>
  <c r="DW110" i="82"/>
  <c r="EB111" i="82" s="1"/>
  <c r="EB94" i="82"/>
  <c r="EB70" i="2"/>
  <c r="EB64" i="2"/>
  <c r="CY102" i="7"/>
  <c r="DX41" i="1"/>
  <c r="CY100" i="7"/>
  <c r="CY85" i="7"/>
  <c r="DW50" i="1"/>
  <c r="DW107" i="1"/>
  <c r="DW112" i="82"/>
  <c r="DW81" i="82"/>
  <c r="DW116" i="82"/>
  <c r="DW146" i="82"/>
  <c r="DX292" i="2" l="1"/>
  <c r="DW121" i="1"/>
  <c r="DW127" i="1" s="1"/>
  <c r="DX104" i="1"/>
  <c r="DX109" i="1"/>
  <c r="EB108" i="1"/>
  <c r="EB51" i="1"/>
  <c r="DW105" i="82"/>
  <c r="EB95" i="82"/>
  <c r="DX55" i="1"/>
  <c r="DW69" i="1"/>
  <c r="DW141" i="82"/>
  <c r="DW170" i="1" l="1"/>
  <c r="DW136" i="1"/>
  <c r="DW134" i="1"/>
  <c r="EB122" i="1"/>
  <c r="EB70" i="1"/>
  <c r="DW133" i="1"/>
  <c r="EB128" i="1"/>
  <c r="DW80" i="1"/>
  <c r="DX74" i="1"/>
  <c r="DW84" i="1"/>
  <c r="DW79" i="1"/>
  <c r="DW86" i="1"/>
  <c r="DW82" i="1"/>
  <c r="DW78" i="1"/>
  <c r="DW85" i="1"/>
  <c r="DW183" i="1" l="1"/>
  <c r="DW208" i="1"/>
  <c r="DW216" i="1" s="1"/>
  <c r="DW191" i="1"/>
  <c r="DW203" i="1"/>
  <c r="DW197" i="1"/>
  <c r="DW175" i="1"/>
  <c r="EB171" i="1"/>
  <c r="EB209" i="1" s="1"/>
  <c r="DX173" i="1"/>
  <c r="DX210" i="1" s="1"/>
  <c r="DW135" i="1"/>
  <c r="DW137" i="1" s="1"/>
  <c r="DW81" i="1"/>
  <c r="DW83" i="1" s="1"/>
  <c r="DW87" i="1" s="1"/>
  <c r="EA175" i="1" l="1"/>
  <c r="DW178" i="1"/>
  <c r="EB176" i="1"/>
  <c r="DX177" i="1"/>
  <c r="DW225" i="1"/>
  <c r="EB217" i="1"/>
  <c r="EB219" i="1" s="1"/>
  <c r="EB226" i="1"/>
  <c r="DY218" i="1"/>
  <c r="DX235" i="1"/>
  <c r="DX236" i="1" s="1"/>
  <c r="DW234" i="1"/>
  <c r="EB172" i="1" l="1"/>
  <c r="EF176" i="1"/>
  <c r="EB227" i="1"/>
  <c r="EB60" i="2"/>
  <c r="AC330" i="113"/>
  <c r="AC328" i="113"/>
  <c r="AC298" i="113"/>
  <c r="AC257" i="113"/>
  <c r="AC255" i="113"/>
  <c r="AC24" i="113"/>
  <c r="AC336" i="113" s="1"/>
  <c r="AC6" i="113"/>
  <c r="CW198" i="7"/>
  <c r="CW171" i="7"/>
  <c r="CW169" i="7"/>
  <c r="CW101" i="7"/>
  <c r="CW99" i="7"/>
  <c r="CW97" i="7"/>
  <c r="CW95" i="7"/>
  <c r="CW93" i="7"/>
  <c r="CW90" i="7"/>
  <c r="CW86" i="7"/>
  <c r="CW84" i="7"/>
  <c r="CW81" i="7"/>
  <c r="DV83" i="82"/>
  <c r="DV85" i="82"/>
  <c r="CW73" i="3"/>
  <c r="CW98" i="3"/>
  <c r="DB99" i="3" s="1"/>
  <c r="CW17" i="3"/>
  <c r="DU152" i="82"/>
  <c r="DU154" i="82" s="1"/>
  <c r="DU156" i="82" s="1"/>
  <c r="DU151" i="82"/>
  <c r="DU119" i="82"/>
  <c r="DU45" i="82" s="1"/>
  <c r="DU118" i="82"/>
  <c r="DU82" i="82"/>
  <c r="DU84" i="82" s="1"/>
  <c r="DU86" i="82" s="1"/>
  <c r="DU47" i="82"/>
  <c r="DU44" i="82"/>
  <c r="DU12" i="82"/>
  <c r="DU149" i="82" s="1"/>
  <c r="DU11" i="82"/>
  <c r="DU10" i="82"/>
  <c r="DU80" i="82" s="1"/>
  <c r="DU225" i="2"/>
  <c r="DT225" i="2"/>
  <c r="DU8" i="2"/>
  <c r="DU320" i="1"/>
  <c r="DU319" i="1"/>
  <c r="DU318" i="1"/>
  <c r="DZ302" i="1"/>
  <c r="DZ120" i="39" s="1"/>
  <c r="DU90" i="1"/>
  <c r="DU98" i="1"/>
  <c r="DU97" i="1"/>
  <c r="DU66" i="1"/>
  <c r="DU65" i="1"/>
  <c r="DU62" i="1"/>
  <c r="DU58" i="1"/>
  <c r="DU48" i="1"/>
  <c r="DU44" i="1"/>
  <c r="DU34" i="1"/>
  <c r="DU30" i="1"/>
  <c r="DU22" i="1"/>
  <c r="DU20" i="1"/>
  <c r="DU16" i="1"/>
  <c r="DU13" i="1"/>
  <c r="DU9" i="1"/>
  <c r="AC5" i="113"/>
  <c r="DU154" i="1" l="1"/>
  <c r="DZ119" i="39"/>
  <c r="DZ121" i="39"/>
  <c r="DZ200" i="1"/>
  <c r="DU92" i="1"/>
  <c r="DU101" i="1"/>
  <c r="DZ62" i="2"/>
  <c r="DB74" i="3"/>
  <c r="DZ321" i="1"/>
  <c r="CY177" i="7"/>
  <c r="DB176" i="7"/>
  <c r="DU99" i="1"/>
  <c r="DZ91" i="1"/>
  <c r="DW27" i="1"/>
  <c r="DZ23" i="1"/>
  <c r="DZ304" i="1"/>
  <c r="DZ303" i="1"/>
  <c r="DU41" i="82"/>
  <c r="CW168" i="7"/>
  <c r="DU115" i="82"/>
  <c r="DU144" i="82" s="1"/>
  <c r="DZ145" i="82" s="1"/>
  <c r="DU36" i="1"/>
  <c r="DU306" i="1"/>
  <c r="DU229" i="1" s="1"/>
  <c r="DW308" i="1"/>
  <c r="DW132" i="39" s="1"/>
  <c r="DU150" i="82"/>
  <c r="DZ160" i="82" s="1"/>
  <c r="DU81" i="82"/>
  <c r="DU105" i="82" s="1"/>
  <c r="DU93" i="1"/>
  <c r="DU12" i="2"/>
  <c r="DU46" i="82"/>
  <c r="DU48" i="82" s="1"/>
  <c r="CW103" i="7"/>
  <c r="CW88" i="7"/>
  <c r="DU112" i="82"/>
  <c r="DU120" i="82"/>
  <c r="DU122" i="82" s="1"/>
  <c r="DU110" i="82"/>
  <c r="DZ111" i="82" s="1"/>
  <c r="DW133" i="39" l="1"/>
  <c r="DW131" i="39"/>
  <c r="DU275" i="2"/>
  <c r="DW292" i="2" s="1"/>
  <c r="DU327" i="1"/>
  <c r="CW182" i="7"/>
  <c r="CW181" i="7" s="1"/>
  <c r="DB174" i="7"/>
  <c r="CW100" i="7"/>
  <c r="DW95" i="1"/>
  <c r="DZ94" i="1"/>
  <c r="DW41" i="1"/>
  <c r="DZ37" i="1"/>
  <c r="DU102" i="1"/>
  <c r="DZ100" i="1"/>
  <c r="DZ64" i="2"/>
  <c r="DZ70" i="2"/>
  <c r="DU116" i="82"/>
  <c r="DU50" i="1"/>
  <c r="DW310" i="1"/>
  <c r="DW309" i="1"/>
  <c r="CW102" i="7"/>
  <c r="CW87" i="7"/>
  <c r="CW85" i="7"/>
  <c r="DU146" i="82"/>
  <c r="DZ284" i="2" l="1"/>
  <c r="DU141" i="82"/>
  <c r="DZ51" i="1"/>
  <c r="DW104" i="1"/>
  <c r="DZ103" i="1"/>
  <c r="DW55" i="1"/>
  <c r="EA155" i="82" l="1"/>
  <c r="EA153" i="82"/>
  <c r="EA121" i="82"/>
  <c r="EA85" i="82"/>
  <c r="EA83" i="82"/>
  <c r="EA231" i="2" l="1"/>
  <c r="EA197" i="2"/>
  <c r="EA196" i="2"/>
  <c r="EA195" i="2"/>
  <c r="EA194" i="2"/>
  <c r="EA193" i="2"/>
  <c r="EA192" i="2"/>
  <c r="EA59" i="2"/>
  <c r="EA31" i="2"/>
  <c r="EA25" i="2"/>
  <c r="DC104" i="3"/>
  <c r="DC69" i="3"/>
  <c r="DC60" i="3"/>
  <c r="DC48" i="3"/>
  <c r="DC45" i="3"/>
  <c r="DC43" i="3"/>
  <c r="DC42" i="3"/>
  <c r="DC41" i="3"/>
  <c r="DC37" i="3"/>
  <c r="DC36" i="3"/>
  <c r="DC35" i="3"/>
  <c r="DC31" i="3"/>
  <c r="DC30" i="3"/>
  <c r="DC29" i="3"/>
  <c r="DC28" i="3"/>
  <c r="DC27" i="3"/>
  <c r="DC26" i="3"/>
  <c r="DC25" i="3"/>
  <c r="DC24" i="3"/>
  <c r="DC17" i="3"/>
  <c r="DC16" i="3"/>
  <c r="DC14" i="3"/>
  <c r="DC12" i="3"/>
  <c r="DV231" i="2"/>
  <c r="DX98" i="1"/>
  <c r="DT98" i="1"/>
  <c r="DS98" i="1"/>
  <c r="DR98" i="1"/>
  <c r="DC6" i="3"/>
  <c r="DC56" i="3" s="1"/>
  <c r="DA6" i="3"/>
  <c r="DA56" i="3" s="1"/>
  <c r="CZ6" i="3"/>
  <c r="CZ56" i="3" s="1"/>
  <c r="CY6" i="3"/>
  <c r="CY56" i="3" s="1"/>
  <c r="EV6" i="82"/>
  <c r="EK6" i="82"/>
  <c r="EA6" i="82"/>
  <c r="DZ6" i="82"/>
  <c r="DY6" i="82"/>
  <c r="DX6" i="82"/>
  <c r="DW6" i="82"/>
  <c r="DZ181" i="82"/>
  <c r="DW181" i="82"/>
  <c r="DX97" i="1"/>
  <c r="EA6" i="1"/>
  <c r="DZ6" i="1"/>
  <c r="DY6" i="1"/>
  <c r="DX6" i="1"/>
  <c r="DW6" i="1"/>
  <c r="DY59" i="2"/>
  <c r="DX59" i="2"/>
  <c r="DW59" i="2"/>
  <c r="DY41" i="2"/>
  <c r="DX41" i="2"/>
  <c r="DW41" i="2"/>
  <c r="L6" i="15"/>
  <c r="X6" i="11"/>
  <c r="X18" i="11" s="1"/>
  <c r="EV336" i="2"/>
  <c r="EV225" i="2"/>
  <c r="EV59" i="2"/>
  <c r="EV41" i="2"/>
  <c r="EV200" i="1"/>
  <c r="EV194" i="1"/>
  <c r="EV188" i="1"/>
  <c r="EV6" i="1"/>
  <c r="EV312" i="1" s="1"/>
  <c r="EV415" i="82"/>
  <c r="EV413" i="82"/>
  <c r="EV412" i="82"/>
  <c r="EV410" i="82"/>
  <c r="EV407" i="82"/>
  <c r="EV406" i="82"/>
  <c r="EV405" i="82"/>
  <c r="EV404" i="82"/>
  <c r="EV402" i="82"/>
  <c r="EV401" i="82"/>
  <c r="EV400" i="82"/>
  <c r="EV399" i="82"/>
  <c r="EV398" i="82"/>
  <c r="EV381" i="82"/>
  <c r="EV380" i="82"/>
  <c r="EV379" i="82"/>
  <c r="EV378" i="82"/>
  <c r="EV376" i="82"/>
  <c r="EV375" i="82"/>
  <c r="EV374" i="82"/>
  <c r="EV373" i="82"/>
  <c r="EV372" i="82"/>
  <c r="EV371" i="82"/>
  <c r="EV370" i="82"/>
  <c r="EV181" i="82"/>
  <c r="EV151" i="82"/>
  <c r="EV119" i="82"/>
  <c r="AC296" i="113" s="1"/>
  <c r="DX6" i="7"/>
  <c r="DX202" i="7" s="1"/>
  <c r="DX6" i="3"/>
  <c r="DX56" i="3" s="1"/>
  <c r="DZ312" i="1" l="1"/>
  <c r="DZ206" i="1"/>
  <c r="DZ238" i="1"/>
  <c r="DZ168" i="1"/>
  <c r="EA312" i="1"/>
  <c r="EA238" i="1"/>
  <c r="EA206" i="1"/>
  <c r="EA168" i="1"/>
  <c r="DW312" i="1"/>
  <c r="DW168" i="1"/>
  <c r="DW238" i="1"/>
  <c r="DW206" i="1"/>
  <c r="DX312" i="1"/>
  <c r="DX238" i="1"/>
  <c r="DX168" i="1"/>
  <c r="DX206" i="1"/>
  <c r="DY312" i="1"/>
  <c r="DY206" i="1"/>
  <c r="DY238" i="1"/>
  <c r="DY168" i="1"/>
  <c r="EA181" i="82"/>
  <c r="EV238" i="1"/>
  <c r="DZ139" i="1"/>
  <c r="DW139" i="1"/>
  <c r="EV168" i="1"/>
  <c r="EA225" i="2"/>
  <c r="EA41" i="2"/>
  <c r="EV256" i="1"/>
  <c r="EV304" i="1"/>
  <c r="EV280" i="1"/>
  <c r="EA119" i="82"/>
  <c r="EA151" i="82"/>
  <c r="EA139" i="1"/>
  <c r="DY139" i="1"/>
  <c r="DX139" i="1"/>
  <c r="EV279" i="1"/>
  <c r="DC38" i="3"/>
  <c r="EV303" i="1"/>
  <c r="EV206" i="1"/>
  <c r="EV139" i="1"/>
  <c r="EV255" i="1"/>
  <c r="DX78" i="7"/>
  <c r="DC13" i="3" l="1"/>
  <c r="DC6" i="7"/>
  <c r="DB6" i="7"/>
  <c r="DA6" i="7"/>
  <c r="DA78" i="7" s="1"/>
  <c r="CZ6" i="7"/>
  <c r="CY6" i="7"/>
  <c r="CX6" i="7"/>
  <c r="DC78" i="7" l="1"/>
  <c r="DC202" i="7"/>
  <c r="CY202" i="7"/>
  <c r="CY78" i="7"/>
  <c r="CZ202" i="7"/>
  <c r="CZ78" i="7"/>
  <c r="DA202" i="7"/>
  <c r="DB202" i="7"/>
  <c r="DB78" i="7"/>
  <c r="CV98" i="3"/>
  <c r="DA99" i="3" s="1"/>
  <c r="DT55" i="2" l="1"/>
  <c r="DS55" i="2"/>
  <c r="DR55" i="2"/>
  <c r="DR281" i="2" l="1"/>
  <c r="DS281" i="2"/>
  <c r="DT281" i="2"/>
  <c r="DH38" i="3"/>
  <c r="DH13" i="3"/>
  <c r="CV73" i="3"/>
  <c r="CV17" i="3"/>
  <c r="DA74" i="3" l="1"/>
  <c r="CV236" i="7"/>
  <c r="CV198" i="7"/>
  <c r="CW195" i="7" s="1"/>
  <c r="CV171" i="7"/>
  <c r="CW167" i="7" s="1"/>
  <c r="CW170" i="7" s="1"/>
  <c r="CV101" i="7"/>
  <c r="CV99" i="7"/>
  <c r="CV97" i="7"/>
  <c r="CV95" i="7"/>
  <c r="CV93" i="7"/>
  <c r="CV90" i="7"/>
  <c r="CV86" i="7"/>
  <c r="CV84" i="7"/>
  <c r="CV81" i="7"/>
  <c r="DT187" i="2"/>
  <c r="DT8" i="2"/>
  <c r="DT181" i="82"/>
  <c r="DT177" i="82"/>
  <c r="DT152" i="82"/>
  <c r="DT154" i="82" s="1"/>
  <c r="DT156" i="82" s="1"/>
  <c r="DT151" i="82"/>
  <c r="DT119" i="82"/>
  <c r="DT118" i="82"/>
  <c r="DY133" i="82" s="1"/>
  <c r="DT82" i="82"/>
  <c r="DT44" i="82"/>
  <c r="DY61" i="82" s="1"/>
  <c r="DT12" i="82"/>
  <c r="DT149" i="82" s="1"/>
  <c r="DT11" i="82"/>
  <c r="DT10" i="82"/>
  <c r="DT80" i="82" s="1"/>
  <c r="DY94" i="82" s="1"/>
  <c r="DT320" i="1"/>
  <c r="DT319" i="1"/>
  <c r="DT318" i="1"/>
  <c r="DY302" i="1"/>
  <c r="DY120" i="39" s="1"/>
  <c r="DT110" i="1"/>
  <c r="DY111" i="1" s="1"/>
  <c r="DT106" i="1"/>
  <c r="DT97" i="1"/>
  <c r="DT90" i="1"/>
  <c r="DY91" i="1" s="1"/>
  <c r="DT66" i="1"/>
  <c r="DT65" i="1"/>
  <c r="DT62" i="1"/>
  <c r="DT58" i="1"/>
  <c r="DT48" i="1"/>
  <c r="DT44" i="1"/>
  <c r="DT34" i="1"/>
  <c r="DT30" i="1"/>
  <c r="DT22" i="1"/>
  <c r="DT20" i="1"/>
  <c r="DT16" i="1"/>
  <c r="DT13" i="1"/>
  <c r="DT9" i="1"/>
  <c r="DT154" i="1" l="1"/>
  <c r="DT155" i="1" s="1"/>
  <c r="DY121" i="39"/>
  <c r="DY119" i="39"/>
  <c r="DY200" i="1"/>
  <c r="DT92" i="1"/>
  <c r="DT101" i="1"/>
  <c r="DY321" i="1"/>
  <c r="CV88" i="7"/>
  <c r="CV85" i="7" s="1"/>
  <c r="DT84" i="82"/>
  <c r="DT86" i="82" s="1"/>
  <c r="DY98" i="82" s="1"/>
  <c r="DY97" i="82"/>
  <c r="DY303" i="1"/>
  <c r="DU27" i="1"/>
  <c r="DY23" i="1"/>
  <c r="DT115" i="82"/>
  <c r="DU308" i="1"/>
  <c r="DU132" i="39" s="1"/>
  <c r="DT12" i="2"/>
  <c r="DT150" i="82"/>
  <c r="CV103" i="7"/>
  <c r="DT301" i="1"/>
  <c r="DT120" i="82"/>
  <c r="DT122" i="82" s="1"/>
  <c r="DY134" i="82" s="1"/>
  <c r="DT41" i="82"/>
  <c r="DY57" i="82" s="1"/>
  <c r="DT168" i="82"/>
  <c r="DT81" i="82"/>
  <c r="DY95" i="82" s="1"/>
  <c r="DT110" i="82"/>
  <c r="DY111" i="82" s="1"/>
  <c r="DT99" i="1"/>
  <c r="DT157" i="82"/>
  <c r="DT93" i="1"/>
  <c r="DT36" i="1"/>
  <c r="CU236" i="7"/>
  <c r="DU133" i="39" l="1"/>
  <c r="DU131" i="39"/>
  <c r="DT275" i="2"/>
  <c r="DY284" i="2" s="1"/>
  <c r="DT327" i="1"/>
  <c r="DT87" i="82"/>
  <c r="DY37" i="1"/>
  <c r="CV87" i="7"/>
  <c r="CV102" i="7"/>
  <c r="DU95" i="1"/>
  <c r="DY94" i="1"/>
  <c r="DT102" i="1"/>
  <c r="DY100" i="1"/>
  <c r="DT116" i="82"/>
  <c r="DY130" i="82"/>
  <c r="CV100" i="7"/>
  <c r="DT144" i="82"/>
  <c r="DY145" i="82" s="1"/>
  <c r="DT107" i="1"/>
  <c r="DY108" i="1" s="1"/>
  <c r="DU41" i="1"/>
  <c r="DT123" i="82"/>
  <c r="DT50" i="1"/>
  <c r="A517" i="1"/>
  <c r="A83" i="1"/>
  <c r="CU198" i="7"/>
  <c r="CV195" i="7" s="1"/>
  <c r="CU171" i="7"/>
  <c r="CV167" i="7" s="1"/>
  <c r="CU169" i="7"/>
  <c r="CZ176" i="7" s="1"/>
  <c r="CU101" i="7"/>
  <c r="CU99" i="7"/>
  <c r="CU97" i="7"/>
  <c r="CU95" i="7"/>
  <c r="CU93" i="7"/>
  <c r="CU90" i="7"/>
  <c r="CU86" i="7"/>
  <c r="CU84" i="7"/>
  <c r="CU81" i="7"/>
  <c r="CU98" i="3"/>
  <c r="CZ99" i="3" s="1"/>
  <c r="CU73" i="3"/>
  <c r="CU17" i="3"/>
  <c r="DS225" i="2"/>
  <c r="DS181" i="82"/>
  <c r="DS177" i="82"/>
  <c r="DS174" i="82"/>
  <c r="DS172" i="82"/>
  <c r="DS152" i="82"/>
  <c r="DS154" i="82" s="1"/>
  <c r="DS156" i="82" s="1"/>
  <c r="DS151" i="82"/>
  <c r="DS119" i="82"/>
  <c r="DS118" i="82"/>
  <c r="DX133" i="82" s="1"/>
  <c r="DS82" i="82"/>
  <c r="DX97" i="82" s="1"/>
  <c r="DS47" i="82"/>
  <c r="DS44" i="82"/>
  <c r="DX61" i="82" s="1"/>
  <c r="DS12" i="82"/>
  <c r="DS149" i="82" s="1"/>
  <c r="DS11" i="82"/>
  <c r="DS10" i="82"/>
  <c r="DS80" i="82" s="1"/>
  <c r="DX94" i="82" s="1"/>
  <c r="DS187" i="2"/>
  <c r="DS8" i="2"/>
  <c r="DS124" i="1"/>
  <c r="DS66" i="1"/>
  <c r="DS65" i="1"/>
  <c r="DS62" i="1"/>
  <c r="DS58" i="1"/>
  <c r="DS48" i="1"/>
  <c r="DS44" i="1"/>
  <c r="DS34" i="1"/>
  <c r="DS30" i="1"/>
  <c r="DS22" i="1"/>
  <c r="DS20" i="1"/>
  <c r="DS16" i="1"/>
  <c r="DS13" i="1"/>
  <c r="DS9" i="1"/>
  <c r="DS90" i="1"/>
  <c r="DS97" i="1"/>
  <c r="DX302" i="1"/>
  <c r="DX120" i="39" s="1"/>
  <c r="DS320" i="1"/>
  <c r="DS319" i="1"/>
  <c r="DS318" i="1"/>
  <c r="DS154" i="1" l="1"/>
  <c r="DS155" i="1" s="1"/>
  <c r="DU292" i="2"/>
  <c r="DX119" i="39"/>
  <c r="DX121" i="39"/>
  <c r="DX200" i="1"/>
  <c r="DM38" i="3"/>
  <c r="DS92" i="1"/>
  <c r="DS101" i="1"/>
  <c r="DY131" i="82"/>
  <c r="DX321" i="1"/>
  <c r="DU104" i="1"/>
  <c r="DY103" i="1"/>
  <c r="DY51" i="1"/>
  <c r="CZ74" i="3"/>
  <c r="DT27" i="1"/>
  <c r="DX23" i="1"/>
  <c r="DS84" i="82"/>
  <c r="DS86" i="82" s="1"/>
  <c r="DX98" i="82" s="1"/>
  <c r="DS115" i="82"/>
  <c r="DX130" i="82" s="1"/>
  <c r="DT69" i="1"/>
  <c r="DU55" i="1"/>
  <c r="DS301" i="1"/>
  <c r="CU168" i="7"/>
  <c r="DS12" i="2"/>
  <c r="DS120" i="82"/>
  <c r="DS122" i="82" s="1"/>
  <c r="DX134" i="82" s="1"/>
  <c r="DS150" i="82"/>
  <c r="DS157" i="82"/>
  <c r="CU103" i="7"/>
  <c r="CU88" i="7"/>
  <c r="CU87" i="7" s="1"/>
  <c r="DS307" i="1"/>
  <c r="DS41" i="82"/>
  <c r="DX57" i="82" s="1"/>
  <c r="DS81" i="82"/>
  <c r="DX95" i="82" s="1"/>
  <c r="DS110" i="82"/>
  <c r="DX111" i="82" s="1"/>
  <c r="DS168" i="82"/>
  <c r="CU70" i="3"/>
  <c r="CZ71" i="3" s="1"/>
  <c r="DS45" i="82"/>
  <c r="DS46" i="82" s="1"/>
  <c r="DS48" i="82" s="1"/>
  <c r="DX62" i="82" s="1"/>
  <c r="DS115" i="1"/>
  <c r="DS36" i="1"/>
  <c r="DS99" i="1"/>
  <c r="DS93" i="1"/>
  <c r="T7" i="11"/>
  <c r="DS275" i="2" l="1"/>
  <c r="DT292" i="2" s="1"/>
  <c r="DT170" i="1"/>
  <c r="DS327" i="1"/>
  <c r="CU182" i="7"/>
  <c r="CU181" i="7" s="1"/>
  <c r="CZ174" i="7"/>
  <c r="DX37" i="1"/>
  <c r="DY70" i="1"/>
  <c r="CU100" i="7"/>
  <c r="DS87" i="82"/>
  <c r="DX99" i="82" s="1"/>
  <c r="DS116" i="82"/>
  <c r="DS102" i="1"/>
  <c r="DX103" i="1" s="1"/>
  <c r="DX100" i="1"/>
  <c r="DS144" i="82"/>
  <c r="DX145" i="82" s="1"/>
  <c r="DS49" i="82"/>
  <c r="DX63" i="82" s="1"/>
  <c r="DT7" i="2"/>
  <c r="DT95" i="1"/>
  <c r="DS123" i="82"/>
  <c r="DX135" i="82" s="1"/>
  <c r="CU102" i="7"/>
  <c r="DS50" i="1"/>
  <c r="DT41" i="1"/>
  <c r="DS146" i="82"/>
  <c r="CU85" i="7"/>
  <c r="DS118" i="1"/>
  <c r="DX284" i="2" l="1"/>
  <c r="DT208" i="1"/>
  <c r="DT216" i="1" s="1"/>
  <c r="DT191" i="1"/>
  <c r="DT197" i="1"/>
  <c r="DT203" i="1"/>
  <c r="DT183" i="1"/>
  <c r="DT175" i="1"/>
  <c r="DY171" i="1"/>
  <c r="DY209" i="1" s="1"/>
  <c r="DT325" i="2"/>
  <c r="DT310" i="2"/>
  <c r="DT328" i="2"/>
  <c r="DT327" i="2"/>
  <c r="DT329" i="2"/>
  <c r="DT303" i="2"/>
  <c r="DT305" i="2"/>
  <c r="DT308" i="2"/>
  <c r="DT301" i="2"/>
  <c r="DT299" i="2"/>
  <c r="DT9" i="2"/>
  <c r="DX131" i="82"/>
  <c r="DX51" i="1"/>
  <c r="DT104" i="1"/>
  <c r="DS141" i="82"/>
  <c r="DT325" i="1"/>
  <c r="DT55" i="1"/>
  <c r="DT167" i="82"/>
  <c r="DS9" i="82"/>
  <c r="DS40" i="82" s="1"/>
  <c r="DS69" i="1"/>
  <c r="DS121" i="1"/>
  <c r="CS104" i="3"/>
  <c r="CX104" i="3"/>
  <c r="CT73" i="3"/>
  <c r="CT17" i="3"/>
  <c r="DR225" i="2"/>
  <c r="DR66" i="1"/>
  <c r="DR65" i="1"/>
  <c r="DR62" i="1"/>
  <c r="DR58" i="1"/>
  <c r="DR48" i="1"/>
  <c r="DR44" i="1"/>
  <c r="DR34" i="1"/>
  <c r="DR30" i="1"/>
  <c r="DR22" i="1"/>
  <c r="DR20" i="1"/>
  <c r="DR16" i="1"/>
  <c r="DR13" i="1"/>
  <c r="DR9" i="1"/>
  <c r="DR320" i="1"/>
  <c r="DR318" i="1"/>
  <c r="DW302" i="1"/>
  <c r="DW120" i="39" s="1"/>
  <c r="DR97" i="1"/>
  <c r="DR90" i="1"/>
  <c r="DR152" i="82"/>
  <c r="DR151" i="82"/>
  <c r="DR119" i="82"/>
  <c r="DR118" i="82"/>
  <c r="DW133" i="82" s="1"/>
  <c r="DR82" i="82"/>
  <c r="DW97" i="82" s="1"/>
  <c r="DR47" i="82"/>
  <c r="DR44" i="82"/>
  <c r="DW61" i="82" s="1"/>
  <c r="DR187" i="2"/>
  <c r="CT236" i="7"/>
  <c r="CT198" i="7"/>
  <c r="CU195" i="7" s="1"/>
  <c r="CT171" i="7"/>
  <c r="CU167" i="7" s="1"/>
  <c r="CU170" i="7" s="1"/>
  <c r="CT169" i="7"/>
  <c r="CT101" i="7"/>
  <c r="CT99" i="7"/>
  <c r="CT97" i="7"/>
  <c r="CT95" i="7"/>
  <c r="CT93" i="7"/>
  <c r="CT90" i="7"/>
  <c r="CT86" i="7"/>
  <c r="CT84" i="7"/>
  <c r="CT81" i="7"/>
  <c r="CT98" i="3"/>
  <c r="CY99" i="3" s="1"/>
  <c r="DR154" i="1" l="1"/>
  <c r="DR155" i="1" s="1"/>
  <c r="DW121" i="39"/>
  <c r="DW119" i="39"/>
  <c r="DQ38" i="3"/>
  <c r="DS38" i="3" s="1"/>
  <c r="DT178" i="1"/>
  <c r="DY176" i="1"/>
  <c r="DS170" i="1"/>
  <c r="DT225" i="1"/>
  <c r="DT234" i="1"/>
  <c r="DY217" i="1"/>
  <c r="DY219" i="1" s="1"/>
  <c r="DY226" i="1"/>
  <c r="DW200" i="1"/>
  <c r="DY302" i="2"/>
  <c r="DY306" i="2"/>
  <c r="DY304" i="2"/>
  <c r="DT126" i="2"/>
  <c r="DY127" i="2" s="1"/>
  <c r="DT123" i="2"/>
  <c r="DY124" i="2" s="1"/>
  <c r="DT114" i="2"/>
  <c r="DY115" i="2" s="1"/>
  <c r="DY300" i="2"/>
  <c r="DY309" i="2"/>
  <c r="DT117" i="2"/>
  <c r="DY118" i="2" s="1"/>
  <c r="CV80" i="7"/>
  <c r="CV89" i="7" s="1"/>
  <c r="DT120" i="2"/>
  <c r="DY121" i="2" s="1"/>
  <c r="DT169" i="82"/>
  <c r="DR92" i="1"/>
  <c r="DR101" i="1"/>
  <c r="DW23" i="1"/>
  <c r="DX70" i="1"/>
  <c r="DW321" i="1"/>
  <c r="CY176" i="7"/>
  <c r="DS7" i="2"/>
  <c r="DW304" i="1"/>
  <c r="DW303" i="1"/>
  <c r="DR99" i="1"/>
  <c r="DW91" i="1"/>
  <c r="DS13" i="82"/>
  <c r="DS14" i="82" s="1"/>
  <c r="DS163" i="82" s="1"/>
  <c r="CU177" i="7"/>
  <c r="DR84" i="82"/>
  <c r="DV82" i="82"/>
  <c r="DS517" i="1"/>
  <c r="DT74" i="1"/>
  <c r="DR36" i="1"/>
  <c r="DS27" i="1"/>
  <c r="DR307" i="1"/>
  <c r="DS308" i="1"/>
  <c r="DS132" i="39" s="1"/>
  <c r="DS42" i="82"/>
  <c r="DS127" i="1"/>
  <c r="DR120" i="82"/>
  <c r="DR122" i="82" s="1"/>
  <c r="DW134" i="82" s="1"/>
  <c r="DR45" i="82"/>
  <c r="DR46" i="82" s="1"/>
  <c r="DR48" i="82" s="1"/>
  <c r="DW62" i="82" s="1"/>
  <c r="CT70" i="3"/>
  <c r="DR301" i="1"/>
  <c r="DR93" i="1"/>
  <c r="DW94" i="1" s="1"/>
  <c r="DR154" i="82"/>
  <c r="DR156" i="82" s="1"/>
  <c r="CT88" i="7"/>
  <c r="CT103" i="7"/>
  <c r="DS131" i="39" l="1"/>
  <c r="DS133" i="39"/>
  <c r="DR38" i="3"/>
  <c r="DY172" i="1"/>
  <c r="DY227" i="1"/>
  <c r="DS208" i="1"/>
  <c r="DS216" i="1" s="1"/>
  <c r="DS191" i="1"/>
  <c r="DS197" i="1"/>
  <c r="DS203" i="1"/>
  <c r="DS183" i="1"/>
  <c r="DS175" i="1"/>
  <c r="DX171" i="1"/>
  <c r="DX209" i="1" s="1"/>
  <c r="DT173" i="1"/>
  <c r="DT210" i="1" s="1"/>
  <c r="DS325" i="2"/>
  <c r="DS310" i="2"/>
  <c r="DS328" i="2"/>
  <c r="DS329" i="2"/>
  <c r="DS327" i="2"/>
  <c r="CV96" i="7"/>
  <c r="CV91" i="7"/>
  <c r="CV92" i="7"/>
  <c r="CV104" i="7"/>
  <c r="CV94" i="7"/>
  <c r="CV82" i="7"/>
  <c r="CV98" i="7"/>
  <c r="CV83" i="7"/>
  <c r="DS308" i="2"/>
  <c r="DS303" i="2"/>
  <c r="DS305" i="2"/>
  <c r="DS301" i="2"/>
  <c r="DS299" i="2"/>
  <c r="DS167" i="82"/>
  <c r="DS9" i="2"/>
  <c r="DS187" i="82"/>
  <c r="DW37" i="1"/>
  <c r="DR102" i="1"/>
  <c r="DW100" i="1"/>
  <c r="DR86" i="82"/>
  <c r="DV84" i="82"/>
  <c r="DS95" i="1"/>
  <c r="DS43" i="82"/>
  <c r="CU76" i="3"/>
  <c r="CU72" i="3"/>
  <c r="DR50" i="1"/>
  <c r="DS41" i="1"/>
  <c r="CT85" i="7"/>
  <c r="CT87" i="7"/>
  <c r="CT100" i="7"/>
  <c r="CT102" i="7"/>
  <c r="DT38" i="3" l="1"/>
  <c r="DU38" i="3" s="1"/>
  <c r="DV38" i="3" s="1"/>
  <c r="DW38" i="3"/>
  <c r="DT235" i="1"/>
  <c r="DT236" i="1" s="1"/>
  <c r="DS225" i="1"/>
  <c r="DS234" i="1"/>
  <c r="DX217" i="1"/>
  <c r="DX219" i="1" s="1"/>
  <c r="DX226" i="1"/>
  <c r="DT218" i="1"/>
  <c r="DX176" i="1"/>
  <c r="DS178" i="1"/>
  <c r="DT177" i="1"/>
  <c r="DX302" i="2"/>
  <c r="DX306" i="2"/>
  <c r="DX304" i="2"/>
  <c r="DX309" i="2"/>
  <c r="DX300" i="2"/>
  <c r="CU80" i="7"/>
  <c r="CU83" i="7" s="1"/>
  <c r="DS123" i="2"/>
  <c r="DS117" i="2"/>
  <c r="DS114" i="2"/>
  <c r="DS169" i="82"/>
  <c r="DS126" i="2"/>
  <c r="DS120" i="2"/>
  <c r="DW51" i="1"/>
  <c r="DW103" i="1"/>
  <c r="DS104" i="1"/>
  <c r="DV86" i="82"/>
  <c r="DW98" i="82"/>
  <c r="DS55" i="1"/>
  <c r="DR69" i="1"/>
  <c r="P63" i="112"/>
  <c r="X55" i="112"/>
  <c r="X59" i="112"/>
  <c r="DX172" i="1" l="1"/>
  <c r="DX227" i="1"/>
  <c r="DR170" i="1"/>
  <c r="DX124" i="2"/>
  <c r="CU89" i="7"/>
  <c r="CU104" i="7"/>
  <c r="CU98" i="7"/>
  <c r="CU94" i="7"/>
  <c r="CU82" i="7"/>
  <c r="CU91" i="7"/>
  <c r="CU96" i="7"/>
  <c r="CU172" i="7"/>
  <c r="CU92" i="7"/>
  <c r="EB86" i="1"/>
  <c r="EB167" i="82"/>
  <c r="DT125" i="2"/>
  <c r="DT119" i="2"/>
  <c r="DX118" i="2"/>
  <c r="DT122" i="2"/>
  <c r="DX121" i="2"/>
  <c r="DT116" i="2"/>
  <c r="DX115" i="2"/>
  <c r="DT128" i="2"/>
  <c r="DX127" i="2"/>
  <c r="DR517" i="1"/>
  <c r="DW70" i="1"/>
  <c r="DS74" i="1"/>
  <c r="DW171" i="1" l="1"/>
  <c r="DW209" i="1" s="1"/>
  <c r="DR191" i="1"/>
  <c r="DR197" i="1"/>
  <c r="DR203" i="1"/>
  <c r="DR183" i="1"/>
  <c r="DR208" i="1"/>
  <c r="DR175" i="1"/>
  <c r="DS173" i="1"/>
  <c r="DS210" i="1" s="1"/>
  <c r="X57" i="112"/>
  <c r="X53" i="112"/>
  <c r="X51" i="112"/>
  <c r="DR178" i="1" l="1"/>
  <c r="DW176" i="1"/>
  <c r="DS177" i="1"/>
  <c r="DR216" i="1"/>
  <c r="DS235" i="1"/>
  <c r="DS236" i="1" s="1"/>
  <c r="EB73" i="1"/>
  <c r="EB72" i="1" l="1"/>
  <c r="EB71" i="1" s="1"/>
  <c r="DR225" i="1"/>
  <c r="DR234" i="1"/>
  <c r="DW217" i="1"/>
  <c r="DW219" i="1" s="1"/>
  <c r="DW226" i="1"/>
  <c r="DS218" i="1"/>
  <c r="DW172" i="1" l="1"/>
  <c r="DW227" i="1"/>
  <c r="EB79" i="1" l="1"/>
  <c r="EB84" i="1"/>
  <c r="EB78" i="1"/>
  <c r="EB80" i="1"/>
  <c r="EB81" i="1" l="1"/>
  <c r="EB168" i="82" l="1"/>
  <c r="EB169" i="82" l="1"/>
  <c r="EB85" i="1"/>
  <c r="W6" i="11"/>
  <c r="W18" i="11" s="1"/>
  <c r="EB203" i="2" l="1"/>
  <c r="EB55" i="2"/>
  <c r="DD176" i="7"/>
  <c r="EG204" i="2" l="1"/>
  <c r="EB205" i="2"/>
  <c r="EC205" i="2"/>
  <c r="EB281" i="2"/>
  <c r="EB310" i="2" s="1"/>
  <c r="EB136" i="2"/>
  <c r="EB57" i="2"/>
  <c r="EB180" i="82"/>
  <c r="EB209" i="2"/>
  <c r="EB130" i="82"/>
  <c r="EG210" i="2" l="1"/>
  <c r="EB211" i="2"/>
  <c r="EC211" i="2"/>
  <c r="DD89" i="3"/>
  <c r="EC95" i="2"/>
  <c r="EB179" i="2"/>
  <c r="EB161" i="2"/>
  <c r="EB171" i="82"/>
  <c r="EB170" i="82" s="1"/>
  <c r="EB21" i="82"/>
  <c r="EB179" i="82"/>
  <c r="EB206" i="2"/>
  <c r="EC208" i="2" l="1"/>
  <c r="EC163" i="2"/>
  <c r="EC181" i="2"/>
  <c r="EB212" i="2"/>
  <c r="EB20" i="82"/>
  <c r="EB34" i="82"/>
  <c r="EG35" i="82" s="1"/>
  <c r="EB182" i="82"/>
  <c r="EB184" i="82" s="1"/>
  <c r="EB152" i="82" l="1"/>
  <c r="EB150" i="82" s="1"/>
  <c r="EG160" i="82" s="1"/>
  <c r="EC214" i="2"/>
  <c r="EB36" i="82"/>
  <c r="EB33" i="82"/>
  <c r="EB154" i="82" l="1"/>
  <c r="EB156" i="82" s="1"/>
  <c r="EB163" i="82"/>
  <c r="EG164" i="82" s="1"/>
  <c r="DG44" i="82" l="1"/>
  <c r="AB298" i="113"/>
  <c r="AA298" i="113"/>
  <c r="Z298" i="113"/>
  <c r="Y298" i="113"/>
  <c r="X298" i="113"/>
  <c r="U298" i="113"/>
  <c r="T298" i="113"/>
  <c r="AB296" i="113"/>
  <c r="AA296" i="113"/>
  <c r="Z296" i="113"/>
  <c r="Y296" i="113"/>
  <c r="X296" i="113"/>
  <c r="DP119" i="82"/>
  <c r="DO119" i="82"/>
  <c r="DN119" i="82"/>
  <c r="DM119" i="82"/>
  <c r="DK119" i="82"/>
  <c r="AB330" i="113"/>
  <c r="AA330" i="113"/>
  <c r="Z330" i="113"/>
  <c r="Y330" i="113"/>
  <c r="X330" i="113"/>
  <c r="U330" i="113"/>
  <c r="T330" i="113"/>
  <c r="AB328" i="113"/>
  <c r="AA328" i="113"/>
  <c r="Z328" i="113"/>
  <c r="Y328" i="113"/>
  <c r="X328" i="113"/>
  <c r="U328" i="113"/>
  <c r="T328" i="113"/>
  <c r="U327" i="113"/>
  <c r="T327" i="113"/>
  <c r="AB257" i="113"/>
  <c r="AA257" i="113"/>
  <c r="Z257" i="113"/>
  <c r="Y257" i="113"/>
  <c r="X257" i="113"/>
  <c r="U257" i="113"/>
  <c r="T257" i="113"/>
  <c r="AB255" i="113"/>
  <c r="AA255" i="113"/>
  <c r="Z255" i="113"/>
  <c r="Y255" i="113"/>
  <c r="X255" i="113"/>
  <c r="U255" i="113"/>
  <c r="T255" i="113"/>
  <c r="A255" i="113"/>
  <c r="A66" i="82"/>
  <c r="A65" i="82"/>
  <c r="A64" i="82"/>
  <c r="A69" i="82"/>
  <c r="A70" i="82"/>
  <c r="A71" i="82"/>
  <c r="A72" i="82"/>
  <c r="A107" i="82"/>
  <c r="A106" i="82"/>
  <c r="A102" i="82"/>
  <c r="A101" i="82"/>
  <c r="A100" i="82"/>
  <c r="A138" i="82"/>
  <c r="A137" i="82"/>
  <c r="A136" i="82"/>
  <c r="DU181" i="82" l="1"/>
  <c r="DR181" i="82"/>
  <c r="DP181" i="82"/>
  <c r="DO181" i="82"/>
  <c r="DN181" i="82"/>
  <c r="DM181" i="82"/>
  <c r="DK181" i="82"/>
  <c r="DP177" i="82"/>
  <c r="DO177" i="82"/>
  <c r="DN177" i="82"/>
  <c r="DM177" i="82"/>
  <c r="DK177" i="82"/>
  <c r="DP174" i="82"/>
  <c r="DO174" i="82"/>
  <c r="DN174" i="82"/>
  <c r="DM174" i="82"/>
  <c r="DK174" i="82"/>
  <c r="DP172" i="82"/>
  <c r="DO172" i="82"/>
  <c r="DN172" i="82"/>
  <c r="DM172" i="82"/>
  <c r="DK172" i="82"/>
  <c r="A212" i="113"/>
  <c r="A230" i="113" s="1"/>
  <c r="A213" i="113"/>
  <c r="A214" i="113"/>
  <c r="A215" i="113"/>
  <c r="A232" i="113" s="1"/>
  <c r="A216" i="113"/>
  <c r="A217" i="113"/>
  <c r="A234" i="113" s="1"/>
  <c r="A218" i="113"/>
  <c r="A219" i="113"/>
  <c r="A220" i="113"/>
  <c r="A221" i="113"/>
  <c r="A222" i="113"/>
  <c r="A245" i="113" s="1"/>
  <c r="A223" i="113"/>
  <c r="A236" i="113" s="1"/>
  <c r="A225" i="113"/>
  <c r="A237" i="113" s="1"/>
  <c r="A226" i="113"/>
  <c r="A238" i="113" s="1"/>
  <c r="A227" i="113"/>
  <c r="A242" i="113" l="1"/>
  <c r="A233" i="113"/>
  <c r="A231" i="113"/>
  <c r="A241" i="113"/>
  <c r="A243" i="113"/>
  <c r="A239" i="113"/>
  <c r="A235" i="113"/>
  <c r="A244" i="113"/>
  <c r="DV121" i="82"/>
  <c r="W298" i="113" s="1"/>
  <c r="DQ121" i="82"/>
  <c r="V298" i="113" s="1"/>
  <c r="DP45" i="82"/>
  <c r="DO45" i="82"/>
  <c r="DN45" i="82"/>
  <c r="DM45" i="82"/>
  <c r="DK45" i="82"/>
  <c r="DV119" i="82" l="1"/>
  <c r="W296" i="113" s="1"/>
  <c r="DQ119" i="82"/>
  <c r="V296" i="113" s="1"/>
  <c r="DV155" i="82" l="1"/>
  <c r="W330" i="113" s="1"/>
  <c r="DV153" i="82"/>
  <c r="W328" i="113" s="1"/>
  <c r="DQ155" i="82"/>
  <c r="V330" i="113" s="1"/>
  <c r="DQ153" i="82"/>
  <c r="V328" i="113" s="1"/>
  <c r="DP152" i="82"/>
  <c r="DO152" i="82"/>
  <c r="DN152" i="82"/>
  <c r="DM152" i="82"/>
  <c r="DL152" i="82"/>
  <c r="DK152" i="82"/>
  <c r="DP151" i="82"/>
  <c r="DO151" i="82"/>
  <c r="DN151" i="82"/>
  <c r="DM151" i="82"/>
  <c r="DK151" i="82"/>
  <c r="DG152" i="82"/>
  <c r="A150" i="82"/>
  <c r="A160" i="82" s="1"/>
  <c r="A149" i="82"/>
  <c r="DL118" i="82"/>
  <c r="DP118" i="82"/>
  <c r="DP120" i="82" s="1"/>
  <c r="DP122" i="82" s="1"/>
  <c r="DO118" i="82"/>
  <c r="DN118" i="82"/>
  <c r="DS133" i="82" s="1"/>
  <c r="DM118" i="82"/>
  <c r="DK118" i="82"/>
  <c r="DG118" i="82"/>
  <c r="T295" i="113" s="1"/>
  <c r="A146" i="82"/>
  <c r="A144" i="82"/>
  <c r="A141" i="82"/>
  <c r="A135" i="82"/>
  <c r="A134" i="82"/>
  <c r="A133" i="82"/>
  <c r="A131" i="82"/>
  <c r="A130" i="82"/>
  <c r="W257" i="113"/>
  <c r="W255" i="113"/>
  <c r="DQ85" i="82"/>
  <c r="V257" i="113" s="1"/>
  <c r="DQ83" i="82"/>
  <c r="V255" i="113" s="1"/>
  <c r="DP82" i="82"/>
  <c r="DU97" i="82" s="1"/>
  <c r="DO82" i="82"/>
  <c r="DN82" i="82"/>
  <c r="DM82" i="82"/>
  <c r="DL82" i="82"/>
  <c r="DK82" i="82"/>
  <c r="DG82" i="82"/>
  <c r="A112" i="82"/>
  <c r="A110" i="82"/>
  <c r="A105" i="82"/>
  <c r="A99" i="82"/>
  <c r="A98" i="82"/>
  <c r="A97" i="82"/>
  <c r="A95" i="82"/>
  <c r="A94" i="82"/>
  <c r="DP47" i="82"/>
  <c r="DO47" i="82"/>
  <c r="DN47" i="82"/>
  <c r="DM47" i="82"/>
  <c r="DK47" i="82"/>
  <c r="DP44" i="82"/>
  <c r="DO44" i="82"/>
  <c r="DN44" i="82"/>
  <c r="DM44" i="82"/>
  <c r="DL44" i="82"/>
  <c r="DK44" i="82"/>
  <c r="T218" i="113"/>
  <c r="A177" i="82"/>
  <c r="A77" i="82"/>
  <c r="A75" i="82"/>
  <c r="A57" i="82"/>
  <c r="A58" i="82"/>
  <c r="A59" i="82"/>
  <c r="A61" i="82"/>
  <c r="A62" i="82"/>
  <c r="A63" i="82"/>
  <c r="A56" i="82"/>
  <c r="U218" i="113" l="1"/>
  <c r="DL61" i="82"/>
  <c r="DL133" i="82"/>
  <c r="DL97" i="82"/>
  <c r="DL84" i="82"/>
  <c r="DL86" i="82" s="1"/>
  <c r="DO120" i="82"/>
  <c r="DO122" i="82" s="1"/>
  <c r="DO123" i="82" s="1"/>
  <c r="DM84" i="82"/>
  <c r="DM86" i="82" s="1"/>
  <c r="DM87" i="82" s="1"/>
  <c r="DO84" i="82"/>
  <c r="DO86" i="82" s="1"/>
  <c r="DO87" i="82" s="1"/>
  <c r="DM120" i="82"/>
  <c r="DM122" i="82" s="1"/>
  <c r="DK120" i="82"/>
  <c r="DK122" i="82" s="1"/>
  <c r="DK123" i="82" s="1"/>
  <c r="DP84" i="82"/>
  <c r="DP86" i="82" s="1"/>
  <c r="DN120" i="82"/>
  <c r="DN122" i="82" s="1"/>
  <c r="DL154" i="82"/>
  <c r="DL156" i="82" s="1"/>
  <c r="U295" i="113"/>
  <c r="DQ152" i="82"/>
  <c r="DQ151" i="82"/>
  <c r="DP123" i="82"/>
  <c r="DV151" i="82"/>
  <c r="DN154" i="82"/>
  <c r="DN156" i="82" s="1"/>
  <c r="DN157" i="82" s="1"/>
  <c r="DK154" i="82"/>
  <c r="DK156" i="82" s="1"/>
  <c r="DK157" i="82" s="1"/>
  <c r="DM154" i="82"/>
  <c r="DP154" i="82"/>
  <c r="DP156" i="82" s="1"/>
  <c r="DP157" i="82" s="1"/>
  <c r="A163" i="82"/>
  <c r="DO154" i="82"/>
  <c r="DO156" i="82" s="1"/>
  <c r="DG154" i="82"/>
  <c r="DG156" i="82" s="1"/>
  <c r="DN84" i="82"/>
  <c r="DN86" i="82" s="1"/>
  <c r="DK84" i="82"/>
  <c r="DK86" i="82" s="1"/>
  <c r="DK87" i="82" s="1"/>
  <c r="DQ82" i="82"/>
  <c r="DQ97" i="82" s="1"/>
  <c r="DG84" i="82"/>
  <c r="DG86" i="82" s="1"/>
  <c r="DP46" i="82"/>
  <c r="DK46" i="82"/>
  <c r="DM46" i="82"/>
  <c r="DN46" i="82"/>
  <c r="DO46" i="82"/>
  <c r="U235" i="113" l="1"/>
  <c r="DP87" i="82"/>
  <c r="DU98" i="82"/>
  <c r="DN123" i="82"/>
  <c r="DS135" i="82" s="1"/>
  <c r="DS134" i="82"/>
  <c r="DL98" i="82"/>
  <c r="DQ122" i="82"/>
  <c r="V299" i="113" s="1"/>
  <c r="DQ120" i="82"/>
  <c r="DM123" i="82"/>
  <c r="DQ154" i="82"/>
  <c r="DM156" i="82"/>
  <c r="DQ156" i="82" s="1"/>
  <c r="DQ84" i="82"/>
  <c r="DN87" i="82"/>
  <c r="DQ86" i="82"/>
  <c r="DQ98" i="82" s="1"/>
  <c r="DO157" i="82"/>
  <c r="DO48" i="82"/>
  <c r="DO49" i="82" s="1"/>
  <c r="DP48" i="82"/>
  <c r="DP49" i="82" s="1"/>
  <c r="DK48" i="82"/>
  <c r="DK49" i="82" s="1"/>
  <c r="DM48" i="82"/>
  <c r="DM49" i="82" s="1"/>
  <c r="DN48" i="82"/>
  <c r="DN49" i="82" s="1"/>
  <c r="DM157" i="82" l="1"/>
  <c r="DQ118" i="82"/>
  <c r="DQ133" i="82" l="1"/>
  <c r="V295" i="113"/>
  <c r="DG199" i="82" l="1"/>
  <c r="DL199" i="82"/>
  <c r="DG304" i="82"/>
  <c r="DL304" i="82"/>
  <c r="DO304" i="82"/>
  <c r="DN304" i="82"/>
  <c r="DM304" i="82"/>
  <c r="DP304" i="82"/>
  <c r="DO199" i="82"/>
  <c r="DN199" i="82"/>
  <c r="DM199" i="82"/>
  <c r="U254" i="113" l="1"/>
  <c r="T254" i="113"/>
  <c r="DP267" i="82"/>
  <c r="DP199" i="82"/>
  <c r="CR236" i="7"/>
  <c r="CQ236" i="7"/>
  <c r="CR198" i="7"/>
  <c r="CR171" i="7"/>
  <c r="CR169" i="7"/>
  <c r="CR101" i="7"/>
  <c r="CR99" i="7"/>
  <c r="CR97" i="7"/>
  <c r="CR95" i="7"/>
  <c r="CR93" i="7"/>
  <c r="CR90" i="7"/>
  <c r="CR86" i="7"/>
  <c r="CR84" i="7"/>
  <c r="CR81" i="7"/>
  <c r="CR98" i="3"/>
  <c r="CW99" i="3" s="1"/>
  <c r="CR17" i="3"/>
  <c r="DP225" i="2"/>
  <c r="DP491" i="1"/>
  <c r="DP48" i="1"/>
  <c r="DP44" i="1"/>
  <c r="DP62" i="1"/>
  <c r="DP58" i="1"/>
  <c r="DP34" i="1"/>
  <c r="DP30" i="1"/>
  <c r="DP20" i="1"/>
  <c r="DP16" i="1"/>
  <c r="DP13" i="1"/>
  <c r="DP9" i="1"/>
  <c r="DP187" i="2"/>
  <c r="DP92" i="1" l="1"/>
  <c r="DP101" i="1"/>
  <c r="CW176" i="7"/>
  <c r="CT177" i="7"/>
  <c r="CR88" i="7"/>
  <c r="CR85" i="7" s="1"/>
  <c r="CR103" i="7"/>
  <c r="CR102" i="7" l="1"/>
  <c r="CR87" i="7"/>
  <c r="CR100" i="7"/>
  <c r="DP320" i="1" l="1"/>
  <c r="DP319" i="1"/>
  <c r="DP318" i="1"/>
  <c r="DU302" i="1"/>
  <c r="DU120" i="39" s="1"/>
  <c r="DU119" i="39" l="1"/>
  <c r="DU121" i="39"/>
  <c r="DU200" i="1"/>
  <c r="DU321" i="1"/>
  <c r="DP301" i="1"/>
  <c r="DR308" i="1"/>
  <c r="DR132" i="39" s="1"/>
  <c r="CM284" i="82"/>
  <c r="DQ20" i="82"/>
  <c r="DQ19" i="82"/>
  <c r="DQ18" i="82"/>
  <c r="DQ17" i="82"/>
  <c r="DO12" i="82"/>
  <c r="DO149" i="82" s="1"/>
  <c r="DO150" i="82" s="1"/>
  <c r="DN12" i="82"/>
  <c r="DN149" i="82" s="1"/>
  <c r="DN150" i="82" s="1"/>
  <c r="DS160" i="82" s="1"/>
  <c r="DM12" i="82"/>
  <c r="DM149" i="82" s="1"/>
  <c r="DL12" i="82"/>
  <c r="DK12" i="82"/>
  <c r="DK149" i="82" s="1"/>
  <c r="DK150" i="82" s="1"/>
  <c r="DH12" i="82"/>
  <c r="DO11" i="82"/>
  <c r="DN11" i="82"/>
  <c r="DM11" i="82"/>
  <c r="DK11" i="82"/>
  <c r="DG12" i="82"/>
  <c r="DO10" i="82"/>
  <c r="DO80" i="82" s="1"/>
  <c r="DN10" i="82"/>
  <c r="DN80" i="82" s="1"/>
  <c r="DM10" i="82"/>
  <c r="DM80" i="82" s="1"/>
  <c r="DK10" i="82"/>
  <c r="DJ10" i="82"/>
  <c r="DI10" i="82"/>
  <c r="DH10" i="82"/>
  <c r="DG10" i="82"/>
  <c r="DG80" i="82" s="1"/>
  <c r="DR133" i="39" l="1"/>
  <c r="DR131" i="39"/>
  <c r="DM115" i="82"/>
  <c r="DM144" i="82" s="1"/>
  <c r="DG149" i="82"/>
  <c r="T321" i="113"/>
  <c r="DL149" i="82"/>
  <c r="U321" i="113"/>
  <c r="V327" i="113"/>
  <c r="T248" i="113"/>
  <c r="DG89" i="82"/>
  <c r="T261" i="113" s="1"/>
  <c r="DM150" i="82"/>
  <c r="DO30" i="82"/>
  <c r="DO115" i="82"/>
  <c r="DO81" i="82"/>
  <c r="DO105" i="82" s="1"/>
  <c r="DO112" i="82"/>
  <c r="DO110" i="82"/>
  <c r="DG112" i="82"/>
  <c r="DG110" i="82"/>
  <c r="DM112" i="82"/>
  <c r="DM110" i="82"/>
  <c r="DN81" i="82"/>
  <c r="DN105" i="82" s="1"/>
  <c r="DN110" i="82"/>
  <c r="DN112" i="82"/>
  <c r="DK30" i="82"/>
  <c r="DK115" i="82"/>
  <c r="DN30" i="82"/>
  <c r="DN115" i="82"/>
  <c r="DS130" i="82" s="1"/>
  <c r="DK27" i="82"/>
  <c r="DK80" i="82"/>
  <c r="DM81" i="82"/>
  <c r="DM105" i="82" s="1"/>
  <c r="DG81" i="82"/>
  <c r="DQ44" i="82"/>
  <c r="DQ61" i="82" s="1"/>
  <c r="V254" i="113"/>
  <c r="DM27" i="82"/>
  <c r="DO27" i="82"/>
  <c r="DN27" i="82"/>
  <c r="DG27" i="82"/>
  <c r="DM30" i="82"/>
  <c r="DM29" i="82" l="1"/>
  <c r="DO31" i="82"/>
  <c r="DO32" i="82"/>
  <c r="DM31" i="82"/>
  <c r="DM32" i="82"/>
  <c r="DN31" i="82"/>
  <c r="DN32" i="82"/>
  <c r="DN29" i="82"/>
  <c r="DO29" i="82"/>
  <c r="DN28" i="82"/>
  <c r="DO28" i="82"/>
  <c r="DM28" i="82"/>
  <c r="DM116" i="82"/>
  <c r="DM146" i="82"/>
  <c r="T278" i="113"/>
  <c r="DG105" i="82"/>
  <c r="V218" i="113"/>
  <c r="DK81" i="82"/>
  <c r="DK105" i="82" s="1"/>
  <c r="DK110" i="82"/>
  <c r="DK112" i="82"/>
  <c r="DN116" i="82"/>
  <c r="DN144" i="82"/>
  <c r="DS145" i="82" s="1"/>
  <c r="DN146" i="82"/>
  <c r="DK116" i="82"/>
  <c r="DK141" i="82" s="1"/>
  <c r="DK146" i="82"/>
  <c r="DK144" i="82"/>
  <c r="DO116" i="82"/>
  <c r="DO146" i="82"/>
  <c r="DO144" i="82"/>
  <c r="V235" i="113" l="1"/>
  <c r="DM141" i="82"/>
  <c r="DO141" i="82"/>
  <c r="DN141" i="82"/>
  <c r="DS131" i="82"/>
  <c r="A29" i="113"/>
  <c r="A31" i="113"/>
  <c r="A36" i="113"/>
  <c r="A37" i="113"/>
  <c r="A33" i="113"/>
  <c r="A150" i="113" l="1"/>
  <c r="U127" i="113"/>
  <c r="T127" i="113"/>
  <c r="A129" i="113"/>
  <c r="A151" i="113" s="1"/>
  <c r="A337" i="113"/>
  <c r="A336" i="113"/>
  <c r="A335" i="113"/>
  <c r="A334" i="113"/>
  <c r="A332" i="113"/>
  <c r="A331" i="113"/>
  <c r="A330" i="113"/>
  <c r="A329" i="113"/>
  <c r="A328" i="113"/>
  <c r="A327" i="113"/>
  <c r="A326" i="113"/>
  <c r="A325" i="113"/>
  <c r="A324" i="113"/>
  <c r="A323" i="113"/>
  <c r="A322" i="113"/>
  <c r="A321" i="113"/>
  <c r="A304" i="113"/>
  <c r="A303" i="113"/>
  <c r="A302" i="113"/>
  <c r="A300" i="113"/>
  <c r="A299" i="113"/>
  <c r="A298" i="113"/>
  <c r="A297" i="113"/>
  <c r="A296" i="113"/>
  <c r="A295" i="113"/>
  <c r="A294" i="113"/>
  <c r="A293" i="113"/>
  <c r="A292" i="113"/>
  <c r="A291" i="113"/>
  <c r="A290" i="113"/>
  <c r="A289" i="113"/>
  <c r="A484" i="113"/>
  <c r="A483" i="113"/>
  <c r="A495" i="113" s="1"/>
  <c r="A482" i="113"/>
  <c r="A494" i="113" s="1"/>
  <c r="A480" i="113"/>
  <c r="A479" i="113"/>
  <c r="A478" i="113"/>
  <c r="A477" i="113"/>
  <c r="A476" i="113"/>
  <c r="A475" i="113"/>
  <c r="A474" i="113"/>
  <c r="A491" i="113" s="1"/>
  <c r="A473" i="113"/>
  <c r="A472" i="113"/>
  <c r="A489" i="113" s="1"/>
  <c r="A471" i="113"/>
  <c r="A470" i="113"/>
  <c r="A469" i="113"/>
  <c r="A188" i="113"/>
  <c r="A187" i="113"/>
  <c r="A202" i="113" s="1"/>
  <c r="A186" i="113"/>
  <c r="A201" i="113" s="1"/>
  <c r="A184" i="113"/>
  <c r="A183" i="113"/>
  <c r="A182" i="113"/>
  <c r="A181" i="113"/>
  <c r="A180" i="113"/>
  <c r="A179" i="113"/>
  <c r="A178" i="113"/>
  <c r="A198" i="113" s="1"/>
  <c r="A177" i="113"/>
  <c r="A176" i="113"/>
  <c r="A196" i="113" s="1"/>
  <c r="A175" i="113"/>
  <c r="A174" i="113"/>
  <c r="A173" i="113"/>
  <c r="A263" i="113"/>
  <c r="A262" i="113"/>
  <c r="A274" i="113" s="1"/>
  <c r="A261" i="113"/>
  <c r="A273" i="113" s="1"/>
  <c r="A259" i="113"/>
  <c r="A258" i="113"/>
  <c r="A257" i="113"/>
  <c r="A256" i="113"/>
  <c r="A254" i="113"/>
  <c r="A253" i="113"/>
  <c r="A270" i="113" s="1"/>
  <c r="A252" i="113"/>
  <c r="A251" i="113"/>
  <c r="A268" i="113" s="1"/>
  <c r="A250" i="113"/>
  <c r="A249" i="113"/>
  <c r="A248" i="113"/>
  <c r="A99" i="113"/>
  <c r="A98" i="113"/>
  <c r="A111" i="113" s="1"/>
  <c r="A97" i="113"/>
  <c r="A110" i="113" s="1"/>
  <c r="A95" i="113"/>
  <c r="A94" i="113"/>
  <c r="A93" i="113"/>
  <c r="A92" i="113"/>
  <c r="A91" i="113"/>
  <c r="A90" i="113"/>
  <c r="A89" i="113"/>
  <c r="A107" i="113" s="1"/>
  <c r="A88" i="113"/>
  <c r="A87" i="113"/>
  <c r="A105" i="113" s="1"/>
  <c r="A86" i="113"/>
  <c r="A85" i="113"/>
  <c r="A103" i="113" s="1"/>
  <c r="A84" i="113"/>
  <c r="A62" i="113"/>
  <c r="A61" i="113"/>
  <c r="A74" i="113" s="1"/>
  <c r="A60" i="113"/>
  <c r="A73" i="113" s="1"/>
  <c r="A58" i="113"/>
  <c r="A57" i="113"/>
  <c r="A56" i="113"/>
  <c r="A55" i="113"/>
  <c r="A54" i="113"/>
  <c r="A53" i="113"/>
  <c r="A71" i="113" s="1"/>
  <c r="A52" i="113"/>
  <c r="A70" i="113" s="1"/>
  <c r="A51" i="113"/>
  <c r="A69" i="113" s="1"/>
  <c r="A50" i="113"/>
  <c r="A68" i="113" s="1"/>
  <c r="A49" i="113"/>
  <c r="A67" i="113" s="1"/>
  <c r="A48" i="113"/>
  <c r="A66" i="113" s="1"/>
  <c r="A47" i="113"/>
  <c r="A65" i="113" s="1"/>
  <c r="A141" i="113"/>
  <c r="A140" i="113"/>
  <c r="A157" i="113" s="1"/>
  <c r="A139" i="113"/>
  <c r="A156" i="113" s="1"/>
  <c r="A137" i="113"/>
  <c r="A136" i="113"/>
  <c r="A135" i="113"/>
  <c r="A134" i="113"/>
  <c r="A133" i="113"/>
  <c r="A132" i="113"/>
  <c r="A131" i="113"/>
  <c r="A153" i="113" s="1"/>
  <c r="A130" i="113"/>
  <c r="A125" i="113"/>
  <c r="A124" i="113"/>
  <c r="A123" i="113"/>
  <c r="A127" i="113"/>
  <c r="A149" i="113" s="1"/>
  <c r="A126" i="113"/>
  <c r="A148" i="113" s="1"/>
  <c r="U149" i="113" l="1"/>
  <c r="T277" i="113" l="1"/>
  <c r="DC491" i="1"/>
  <c r="DD491" i="1"/>
  <c r="DD43" i="1" s="1"/>
  <c r="DE491" i="1"/>
  <c r="DE43" i="1" s="1"/>
  <c r="A279" i="113"/>
  <c r="A280" i="113"/>
  <c r="A277" i="113"/>
  <c r="A278" i="113"/>
  <c r="DV31" i="2" l="1"/>
  <c r="DQ31" i="2"/>
  <c r="DL31" i="2"/>
  <c r="CR232" i="7"/>
  <c r="CS232" i="7" s="1"/>
  <c r="CT232" i="7" s="1"/>
  <c r="CU232" i="7" s="1"/>
  <c r="CV232" i="7" s="1"/>
  <c r="CW232" i="7" s="1"/>
  <c r="CR231" i="7"/>
  <c r="CS231" i="7" s="1"/>
  <c r="CT231" i="7" s="1"/>
  <c r="CU231" i="7" s="1"/>
  <c r="CV231" i="7" s="1"/>
  <c r="CW231" i="7" s="1"/>
  <c r="CR230" i="7"/>
  <c r="CS230" i="7" s="1"/>
  <c r="CT230" i="7" s="1"/>
  <c r="CU230" i="7" s="1"/>
  <c r="CV230" i="7" s="1"/>
  <c r="CW230" i="7" s="1"/>
  <c r="CR229" i="7"/>
  <c r="CS229" i="7" s="1"/>
  <c r="CT229" i="7" s="1"/>
  <c r="CU229" i="7" s="1"/>
  <c r="CV229" i="7" s="1"/>
  <c r="CW229" i="7" s="1"/>
  <c r="CR228" i="7"/>
  <c r="CS228" i="7" s="1"/>
  <c r="CT228" i="7" s="1"/>
  <c r="CU228" i="7" s="1"/>
  <c r="CV228" i="7" s="1"/>
  <c r="CW228" i="7" s="1"/>
  <c r="CR226" i="7"/>
  <c r="CS226" i="7" s="1"/>
  <c r="CT226" i="7" s="1"/>
  <c r="CU226" i="7" s="1"/>
  <c r="CV226" i="7" s="1"/>
  <c r="CW226" i="7" s="1"/>
  <c r="A232" i="7"/>
  <c r="A231" i="7"/>
  <c r="A230" i="7"/>
  <c r="A229" i="7"/>
  <c r="CR216" i="7"/>
  <c r="CS216" i="7" s="1"/>
  <c r="CT216" i="7" s="1"/>
  <c r="CU216" i="7" s="1"/>
  <c r="CV216" i="7" s="1"/>
  <c r="CW216" i="7" s="1"/>
  <c r="CX216" i="7" s="1"/>
  <c r="CR215" i="7"/>
  <c r="CS215" i="7" s="1"/>
  <c r="CT215" i="7" s="1"/>
  <c r="CU215" i="7" s="1"/>
  <c r="CV215" i="7" s="1"/>
  <c r="CW215" i="7" s="1"/>
  <c r="CX215" i="7" s="1"/>
  <c r="CR214" i="7"/>
  <c r="CS214" i="7" s="1"/>
  <c r="CR213" i="7"/>
  <c r="CS213" i="7" s="1"/>
  <c r="CR212" i="7"/>
  <c r="CS212" i="7" s="1"/>
  <c r="CT212" i="7" s="1"/>
  <c r="CU212" i="7" s="1"/>
  <c r="CV212" i="7" s="1"/>
  <c r="CW212" i="7" s="1"/>
  <c r="CX212" i="7" s="1"/>
  <c r="CY212" i="7" s="1"/>
  <c r="CZ212" i="7" s="1"/>
  <c r="DA212" i="7" s="1"/>
  <c r="DB212" i="7" s="1"/>
  <c r="DC212" i="7" s="1"/>
  <c r="DD212" i="7" s="1"/>
  <c r="CR210" i="7"/>
  <c r="CS210" i="7" s="1"/>
  <c r="CT210" i="7" s="1"/>
  <c r="CU210" i="7" s="1"/>
  <c r="CV210" i="7" s="1"/>
  <c r="CW210" i="7" s="1"/>
  <c r="CX210" i="7" s="1"/>
  <c r="DL43" i="1"/>
  <c r="DL57" i="1"/>
  <c r="DK491" i="1"/>
  <c r="DP492" i="1" s="1"/>
  <c r="DJ491" i="1"/>
  <c r="DI491" i="1"/>
  <c r="DH491" i="1"/>
  <c r="DL29" i="1"/>
  <c r="DL15" i="1"/>
  <c r="DL8" i="1"/>
  <c r="DJ22" i="1"/>
  <c r="DV25" i="2"/>
  <c r="CQ198" i="7"/>
  <c r="CR195" i="7" s="1"/>
  <c r="CQ171" i="7"/>
  <c r="CR167" i="7" s="1"/>
  <c r="CQ169" i="7"/>
  <c r="CQ101" i="7"/>
  <c r="CQ99" i="7"/>
  <c r="CQ97" i="7"/>
  <c r="CQ95" i="7"/>
  <c r="CQ93" i="7"/>
  <c r="CQ90" i="7"/>
  <c r="CQ86" i="7"/>
  <c r="CQ84" i="7"/>
  <c r="CQ81" i="7"/>
  <c r="CQ73" i="3"/>
  <c r="CQ98" i="3"/>
  <c r="CV99" i="3" s="1"/>
  <c r="CQ17" i="3"/>
  <c r="DO225" i="2"/>
  <c r="DV197" i="2"/>
  <c r="DV196" i="2"/>
  <c r="DV195" i="2"/>
  <c r="DV194" i="2"/>
  <c r="DV193" i="2"/>
  <c r="DO187" i="2"/>
  <c r="DO8" i="2"/>
  <c r="DO66" i="1"/>
  <c r="DO48" i="1"/>
  <c r="DO62" i="1"/>
  <c r="DO58" i="1"/>
  <c r="DO30" i="1"/>
  <c r="DO20" i="1"/>
  <c r="DO16" i="1"/>
  <c r="DO13" i="1"/>
  <c r="DO9" i="1"/>
  <c r="DO278" i="82"/>
  <c r="DO284" i="82"/>
  <c r="DO280" i="82"/>
  <c r="DO279" i="82"/>
  <c r="DO269" i="82"/>
  <c r="DO261" i="82"/>
  <c r="DO200" i="82"/>
  <c r="DO320" i="1"/>
  <c r="DO319" i="1"/>
  <c r="DO318" i="1"/>
  <c r="CX60" i="3"/>
  <c r="CX31" i="3"/>
  <c r="CX29" i="3"/>
  <c r="CX28" i="3"/>
  <c r="CX27" i="3"/>
  <c r="CX26" i="3"/>
  <c r="CX25" i="3"/>
  <c r="CX24" i="3"/>
  <c r="CX30" i="3"/>
  <c r="CX17" i="3"/>
  <c r="CX16" i="3"/>
  <c r="CX14" i="3"/>
  <c r="CX13" i="3"/>
  <c r="CX12" i="3"/>
  <c r="CX69" i="3"/>
  <c r="DV181" i="82" l="1"/>
  <c r="DO92" i="1"/>
  <c r="DE212" i="7"/>
  <c r="DF212" i="7" s="1"/>
  <c r="DG212" i="7" s="1"/>
  <c r="DH212" i="7" s="1"/>
  <c r="DO101" i="1"/>
  <c r="DT321" i="1"/>
  <c r="CX229" i="7"/>
  <c r="CY229" i="7"/>
  <c r="CX226" i="7"/>
  <c r="CY226" i="7"/>
  <c r="CZ226" i="7" s="1"/>
  <c r="DA226" i="7" s="1"/>
  <c r="DB226" i="7" s="1"/>
  <c r="CX231" i="7"/>
  <c r="CY231" i="7"/>
  <c r="CX232" i="7"/>
  <c r="CY232" i="7"/>
  <c r="CZ232" i="7" s="1"/>
  <c r="DA232" i="7" s="1"/>
  <c r="DB232" i="7" s="1"/>
  <c r="CX228" i="7"/>
  <c r="CY228" i="7"/>
  <c r="CZ228" i="7" s="1"/>
  <c r="DA228" i="7" s="1"/>
  <c r="DB228" i="7" s="1"/>
  <c r="CX230" i="7"/>
  <c r="CY230" i="7"/>
  <c r="CZ230" i="7" s="1"/>
  <c r="DA230" i="7" s="1"/>
  <c r="DB230" i="7" s="1"/>
  <c r="CY216" i="7"/>
  <c r="CZ216" i="7" s="1"/>
  <c r="DA216" i="7" s="1"/>
  <c r="DB216" i="7" s="1"/>
  <c r="DC216" i="7" s="1"/>
  <c r="CY215" i="7"/>
  <c r="CZ215" i="7" s="1"/>
  <c r="DA215" i="7" s="1"/>
  <c r="DB215" i="7" s="1"/>
  <c r="DC215" i="7" s="1"/>
  <c r="CY210" i="7"/>
  <c r="CZ210" i="7" s="1"/>
  <c r="DA210" i="7" s="1"/>
  <c r="DB210" i="7" s="1"/>
  <c r="DC210" i="7" s="1"/>
  <c r="CR177" i="7"/>
  <c r="DO301" i="1"/>
  <c r="DT302" i="1"/>
  <c r="DT120" i="39" s="1"/>
  <c r="CQ168" i="7"/>
  <c r="CV74" i="3"/>
  <c r="DO12" i="2"/>
  <c r="DO168" i="82"/>
  <c r="DO41" i="82"/>
  <c r="DJ36" i="1"/>
  <c r="DL10" i="82"/>
  <c r="CQ70" i="3"/>
  <c r="DL9" i="1"/>
  <c r="DL58" i="1"/>
  <c r="DL30" i="1"/>
  <c r="DL44" i="1"/>
  <c r="DO263" i="82"/>
  <c r="DO307" i="1"/>
  <c r="DL491" i="1"/>
  <c r="DI497" i="1" s="1"/>
  <c r="DL22" i="1"/>
  <c r="CT213" i="7"/>
  <c r="CU213" i="7" s="1"/>
  <c r="CV213" i="7" s="1"/>
  <c r="CW213" i="7" s="1"/>
  <c r="CX213" i="7" s="1"/>
  <c r="CT214" i="7"/>
  <c r="CU214" i="7" s="1"/>
  <c r="CV214" i="7" s="1"/>
  <c r="CW214" i="7" s="1"/>
  <c r="CX214" i="7" s="1"/>
  <c r="CQ103" i="7"/>
  <c r="CQ88" i="7"/>
  <c r="DK496" i="1"/>
  <c r="DJ496" i="1"/>
  <c r="DI496" i="1"/>
  <c r="DL16" i="1"/>
  <c r="DL154" i="1" l="1"/>
  <c r="DL155" i="1" s="1"/>
  <c r="DT119" i="39"/>
  <c r="DT121" i="39"/>
  <c r="DO275" i="2"/>
  <c r="DT284" i="2" s="1"/>
  <c r="DT200" i="1"/>
  <c r="DO327" i="1"/>
  <c r="DL92" i="1"/>
  <c r="DI212" i="7"/>
  <c r="DJ212" i="7" s="1"/>
  <c r="DK212" i="7" s="1"/>
  <c r="DL212" i="7" s="1"/>
  <c r="DM212" i="7" s="1"/>
  <c r="DL101" i="1"/>
  <c r="CQ182" i="7"/>
  <c r="CQ181" i="7" s="1"/>
  <c r="CZ231" i="7"/>
  <c r="DA231" i="7" s="1"/>
  <c r="DB231" i="7" s="1"/>
  <c r="CZ229" i="7"/>
  <c r="DA229" i="7" s="1"/>
  <c r="DB229" i="7" s="1"/>
  <c r="DC226" i="7"/>
  <c r="DD226" i="7"/>
  <c r="DC230" i="7"/>
  <c r="DD230" i="7"/>
  <c r="DC228" i="7"/>
  <c r="DD228" i="7"/>
  <c r="DC232" i="7"/>
  <c r="DD232" i="7"/>
  <c r="DD216" i="7"/>
  <c r="DD210" i="7"/>
  <c r="DD215" i="7"/>
  <c r="DJ50" i="1"/>
  <c r="CY213" i="7"/>
  <c r="CZ213" i="7" s="1"/>
  <c r="DA213" i="7" s="1"/>
  <c r="DB213" i="7" s="1"/>
  <c r="DC213" i="7" s="1"/>
  <c r="CY214" i="7"/>
  <c r="CZ214" i="7" s="1"/>
  <c r="DA214" i="7" s="1"/>
  <c r="DB214" i="7" s="1"/>
  <c r="DC214" i="7" s="1"/>
  <c r="DT304" i="1"/>
  <c r="DT303" i="1"/>
  <c r="DL27" i="82"/>
  <c r="DL80" i="82"/>
  <c r="DL94" i="82" s="1"/>
  <c r="DO266" i="82"/>
  <c r="DO309" i="82"/>
  <c r="DK497" i="1"/>
  <c r="CQ85" i="7"/>
  <c r="CQ87" i="7"/>
  <c r="CQ100" i="7"/>
  <c r="CQ102" i="7"/>
  <c r="DJ497" i="1"/>
  <c r="DH497" i="1"/>
  <c r="DN212" i="7" l="1"/>
  <c r="DO212" i="7" s="1"/>
  <c r="DP212" i="7" s="1"/>
  <c r="DQ212" i="7" s="1"/>
  <c r="DR212" i="7" s="1"/>
  <c r="DS212" i="7" s="1"/>
  <c r="DT212" i="7" s="1"/>
  <c r="DU212" i="7" s="1"/>
  <c r="DV212" i="7" s="1"/>
  <c r="DW212" i="7" s="1"/>
  <c r="DE216" i="7"/>
  <c r="DF216" i="7" s="1"/>
  <c r="DG216" i="7" s="1"/>
  <c r="DH216" i="7" s="1"/>
  <c r="DE230" i="7"/>
  <c r="DF230" i="7" s="1"/>
  <c r="DG230" i="7" s="1"/>
  <c r="DH230" i="7" s="1"/>
  <c r="DE215" i="7"/>
  <c r="DF215" i="7" s="1"/>
  <c r="DG215" i="7" s="1"/>
  <c r="DH215" i="7" s="1"/>
  <c r="DE232" i="7"/>
  <c r="DF232" i="7" s="1"/>
  <c r="DG232" i="7" s="1"/>
  <c r="DH232" i="7" s="1"/>
  <c r="DE228" i="7"/>
  <c r="DF228" i="7" s="1"/>
  <c r="DG228" i="7" s="1"/>
  <c r="DH228" i="7" s="1"/>
  <c r="DE210" i="7"/>
  <c r="DF210" i="7" s="1"/>
  <c r="DG210" i="7" s="1"/>
  <c r="DH210" i="7" s="1"/>
  <c r="DI210" i="7" s="1"/>
  <c r="DJ210" i="7" s="1"/>
  <c r="DK210" i="7" s="1"/>
  <c r="DL210" i="7" s="1"/>
  <c r="DM210" i="7" s="1"/>
  <c r="DN210" i="7" s="1"/>
  <c r="DE226" i="7"/>
  <c r="DF226" i="7" s="1"/>
  <c r="DG226" i="7" s="1"/>
  <c r="DH226" i="7" s="1"/>
  <c r="DI226" i="7" s="1"/>
  <c r="DJ226" i="7" s="1"/>
  <c r="DK226" i="7" s="1"/>
  <c r="DL226" i="7" s="1"/>
  <c r="DM226" i="7" s="1"/>
  <c r="DN226" i="7" s="1"/>
  <c r="DO226" i="7" s="1"/>
  <c r="DL28" i="82"/>
  <c r="DC229" i="7"/>
  <c r="DD229" i="7"/>
  <c r="DC231" i="7"/>
  <c r="DD231" i="7"/>
  <c r="DD214" i="7"/>
  <c r="DD213" i="7"/>
  <c r="U248" i="113"/>
  <c r="DL89" i="82"/>
  <c r="DL112" i="82"/>
  <c r="DL110" i="82"/>
  <c r="DL81" i="82"/>
  <c r="DL95" i="82" s="1"/>
  <c r="CX48" i="3"/>
  <c r="CX45" i="3"/>
  <c r="CX43" i="3"/>
  <c r="CX42" i="3"/>
  <c r="CX41" i="3"/>
  <c r="CX37" i="3"/>
  <c r="CX36" i="3"/>
  <c r="CX35" i="3"/>
  <c r="DO210" i="7" l="1"/>
  <c r="DI215" i="7"/>
  <c r="DJ215" i="7" s="1"/>
  <c r="DK215" i="7" s="1"/>
  <c r="DL215" i="7" s="1"/>
  <c r="DM215" i="7" s="1"/>
  <c r="DI230" i="7"/>
  <c r="DJ230" i="7" s="1"/>
  <c r="DK230" i="7" s="1"/>
  <c r="DL230" i="7" s="1"/>
  <c r="DM230" i="7" s="1"/>
  <c r="DI232" i="7"/>
  <c r="DJ232" i="7" s="1"/>
  <c r="DK232" i="7" s="1"/>
  <c r="DL232" i="7" s="1"/>
  <c r="DM232" i="7" s="1"/>
  <c r="DI216" i="7"/>
  <c r="DJ216" i="7" s="1"/>
  <c r="DK216" i="7" s="1"/>
  <c r="DL216" i="7" s="1"/>
  <c r="DM216" i="7" s="1"/>
  <c r="DI228" i="7"/>
  <c r="DJ228" i="7" s="1"/>
  <c r="DK228" i="7" s="1"/>
  <c r="DL228" i="7" s="1"/>
  <c r="DM228" i="7" s="1"/>
  <c r="DE229" i="7"/>
  <c r="DF229" i="7" s="1"/>
  <c r="DG229" i="7" s="1"/>
  <c r="DH229" i="7" s="1"/>
  <c r="DE213" i="7"/>
  <c r="DF213" i="7" s="1"/>
  <c r="DG213" i="7" s="1"/>
  <c r="DH213" i="7" s="1"/>
  <c r="DE231" i="7"/>
  <c r="DF231" i="7" s="1"/>
  <c r="DG231" i="7" s="1"/>
  <c r="DH231" i="7" s="1"/>
  <c r="DE214" i="7"/>
  <c r="DF214" i="7" s="1"/>
  <c r="DG214" i="7" s="1"/>
  <c r="DH214" i="7" s="1"/>
  <c r="DL100" i="82"/>
  <c r="U261" i="113"/>
  <c r="U278" i="113" s="1"/>
  <c r="U277" i="113" s="1"/>
  <c r="DL105" i="82"/>
  <c r="DN216" i="7" l="1"/>
  <c r="DO216" i="7" s="1"/>
  <c r="DP216" i="7" s="1"/>
  <c r="DQ216" i="7" s="1"/>
  <c r="DR216" i="7" s="1"/>
  <c r="DN230" i="7"/>
  <c r="DO230" i="7" s="1"/>
  <c r="DP230" i="7" s="1"/>
  <c r="DQ230" i="7" s="1"/>
  <c r="DR230" i="7" s="1"/>
  <c r="DN228" i="7"/>
  <c r="DO228" i="7" s="1"/>
  <c r="DP228" i="7" s="1"/>
  <c r="DQ228" i="7" s="1"/>
  <c r="DR228" i="7" s="1"/>
  <c r="DS228" i="7" s="1"/>
  <c r="DT228" i="7" s="1"/>
  <c r="DU228" i="7" s="1"/>
  <c r="DV228" i="7" s="1"/>
  <c r="DW228" i="7" s="1"/>
  <c r="DN215" i="7"/>
  <c r="DO215" i="7" s="1"/>
  <c r="DP215" i="7" s="1"/>
  <c r="DQ215" i="7" s="1"/>
  <c r="DR215" i="7" s="1"/>
  <c r="DN232" i="7"/>
  <c r="DO232" i="7" s="1"/>
  <c r="DP232" i="7" s="1"/>
  <c r="DQ232" i="7" s="1"/>
  <c r="DR232" i="7" s="1"/>
  <c r="DI214" i="7"/>
  <c r="DJ214" i="7" s="1"/>
  <c r="DK214" i="7" s="1"/>
  <c r="DL214" i="7" s="1"/>
  <c r="DM214" i="7" s="1"/>
  <c r="DI229" i="7"/>
  <c r="DJ229" i="7" s="1"/>
  <c r="DK229" i="7" s="1"/>
  <c r="DL229" i="7" s="1"/>
  <c r="DM229" i="7" s="1"/>
  <c r="DI231" i="7"/>
  <c r="DJ231" i="7" s="1"/>
  <c r="DK231" i="7" s="1"/>
  <c r="DL231" i="7" s="1"/>
  <c r="DM231" i="7" s="1"/>
  <c r="DI213" i="7"/>
  <c r="DJ213" i="7" s="1"/>
  <c r="DK213" i="7" s="1"/>
  <c r="DL213" i="7" s="1"/>
  <c r="DM213" i="7" s="1"/>
  <c r="DS232" i="7" l="1"/>
  <c r="DT232" i="7" s="1"/>
  <c r="DU232" i="7" s="1"/>
  <c r="DV232" i="7" s="1"/>
  <c r="DW232" i="7" s="1"/>
  <c r="DX232" i="7" s="1"/>
  <c r="DY232" i="7" s="1"/>
  <c r="DZ232" i="7" s="1"/>
  <c r="EA232" i="7" s="1"/>
  <c r="DS215" i="7"/>
  <c r="DT215" i="7" s="1"/>
  <c r="DU215" i="7" s="1"/>
  <c r="DV215" i="7" s="1"/>
  <c r="DW215" i="7" s="1"/>
  <c r="DX215" i="7" s="1"/>
  <c r="DY215" i="7" s="1"/>
  <c r="DZ215" i="7" s="1"/>
  <c r="EA215" i="7" s="1"/>
  <c r="DS230" i="7"/>
  <c r="DT230" i="7" s="1"/>
  <c r="DU230" i="7" s="1"/>
  <c r="DV230" i="7" s="1"/>
  <c r="DW230" i="7" s="1"/>
  <c r="DX230" i="7" s="1"/>
  <c r="DY230" i="7" s="1"/>
  <c r="DZ230" i="7" s="1"/>
  <c r="EA230" i="7" s="1"/>
  <c r="DS216" i="7"/>
  <c r="DT216" i="7" s="1"/>
  <c r="DU216" i="7" s="1"/>
  <c r="DV216" i="7" s="1"/>
  <c r="DW216" i="7" s="1"/>
  <c r="DX216" i="7" s="1"/>
  <c r="DY216" i="7" s="1"/>
  <c r="DZ216" i="7" s="1"/>
  <c r="EA216" i="7" s="1"/>
  <c r="DN231" i="7"/>
  <c r="DO231" i="7" s="1"/>
  <c r="DP231" i="7" s="1"/>
  <c r="DQ231" i="7" s="1"/>
  <c r="DR231" i="7" s="1"/>
  <c r="DN213" i="7"/>
  <c r="DO213" i="7" s="1"/>
  <c r="DP213" i="7" s="1"/>
  <c r="DQ213" i="7" s="1"/>
  <c r="DR213" i="7" s="1"/>
  <c r="DN214" i="7"/>
  <c r="DO214" i="7" s="1"/>
  <c r="DP214" i="7" s="1"/>
  <c r="DQ214" i="7" s="1"/>
  <c r="DR214" i="7" s="1"/>
  <c r="DN229" i="7"/>
  <c r="DO229" i="7" s="1"/>
  <c r="DP229" i="7" s="1"/>
  <c r="DQ229" i="7" s="1"/>
  <c r="DR229" i="7" s="1"/>
  <c r="CX39" i="3"/>
  <c r="DS214" i="7" l="1"/>
  <c r="DT214" i="7" s="1"/>
  <c r="DU214" i="7" s="1"/>
  <c r="DV214" i="7" s="1"/>
  <c r="DW214" i="7" s="1"/>
  <c r="DX214" i="7" s="1"/>
  <c r="DY214" i="7" s="1"/>
  <c r="DZ214" i="7" s="1"/>
  <c r="EA214" i="7" s="1"/>
  <c r="DS229" i="7"/>
  <c r="DT229" i="7" s="1"/>
  <c r="DU229" i="7" s="1"/>
  <c r="DV229" i="7" s="1"/>
  <c r="DW229" i="7" s="1"/>
  <c r="DX229" i="7" s="1"/>
  <c r="DY229" i="7" s="1"/>
  <c r="DZ229" i="7" s="1"/>
  <c r="EA229" i="7" s="1"/>
  <c r="DS213" i="7"/>
  <c r="DT213" i="7" s="1"/>
  <c r="DU213" i="7" s="1"/>
  <c r="DV213" i="7" s="1"/>
  <c r="DW213" i="7" s="1"/>
  <c r="DX213" i="7" s="1"/>
  <c r="DY213" i="7" s="1"/>
  <c r="DZ213" i="7" s="1"/>
  <c r="DS231" i="7"/>
  <c r="DT231" i="7" s="1"/>
  <c r="DU231" i="7" s="1"/>
  <c r="DV231" i="7" s="1"/>
  <c r="DW231" i="7" s="1"/>
  <c r="DX231" i="7" s="1"/>
  <c r="DY231" i="7" s="1"/>
  <c r="DZ231" i="7" s="1"/>
  <c r="EA231" i="7" s="1"/>
  <c r="DU59" i="2"/>
  <c r="DT59" i="2"/>
  <c r="DS59" i="2"/>
  <c r="DR59" i="2"/>
  <c r="DU41" i="2"/>
  <c r="DT41" i="2"/>
  <c r="DS41" i="2"/>
  <c r="DR41" i="2"/>
  <c r="CX202" i="7"/>
  <c r="CW6" i="7"/>
  <c r="CV6" i="7"/>
  <c r="CU6" i="7"/>
  <c r="CT6" i="7"/>
  <c r="CX6" i="3"/>
  <c r="CW6" i="3"/>
  <c r="CW56" i="3" s="1"/>
  <c r="CV6" i="3"/>
  <c r="CV56" i="3" s="1"/>
  <c r="CU6" i="3"/>
  <c r="CU56" i="3" s="1"/>
  <c r="CT6" i="3"/>
  <c r="CT56" i="3" s="1"/>
  <c r="DU6" i="82"/>
  <c r="DT6" i="82"/>
  <c r="DS6" i="82"/>
  <c r="DR6" i="82"/>
  <c r="DV6" i="82"/>
  <c r="DQ6" i="82"/>
  <c r="DP6" i="82"/>
  <c r="DO6" i="82"/>
  <c r="DN6" i="82"/>
  <c r="DM6" i="82"/>
  <c r="DL6" i="82"/>
  <c r="DK6" i="82"/>
  <c r="DJ6" i="82"/>
  <c r="DI6" i="82"/>
  <c r="DH6" i="82"/>
  <c r="DG6" i="82"/>
  <c r="DV6" i="1"/>
  <c r="DU6" i="1"/>
  <c r="DT6" i="1"/>
  <c r="DS6" i="1"/>
  <c r="DR6" i="1"/>
  <c r="EA213" i="7" l="1"/>
  <c r="DZ218" i="7"/>
  <c r="DR312" i="1"/>
  <c r="DR206" i="1"/>
  <c r="DR238" i="1"/>
  <c r="DR168" i="1"/>
  <c r="DU312" i="1"/>
  <c r="DU168" i="1"/>
  <c r="DU206" i="1"/>
  <c r="DU238" i="1"/>
  <c r="DV312" i="1"/>
  <c r="DV168" i="1"/>
  <c r="DV206" i="1"/>
  <c r="DV238" i="1"/>
  <c r="DS312" i="1"/>
  <c r="DS238" i="1"/>
  <c r="DS206" i="1"/>
  <c r="DS168" i="1"/>
  <c r="DT312" i="1"/>
  <c r="DT206" i="1"/>
  <c r="DT238" i="1"/>
  <c r="DT168" i="1"/>
  <c r="DS139" i="1"/>
  <c r="DQ191" i="82"/>
  <c r="DH191" i="82"/>
  <c r="DP191" i="82"/>
  <c r="DL191" i="82"/>
  <c r="DI191" i="82"/>
  <c r="DK191" i="82"/>
  <c r="DM191" i="82"/>
  <c r="DN191" i="82"/>
  <c r="DJ191" i="82"/>
  <c r="DG191" i="82"/>
  <c r="DO191" i="82"/>
  <c r="DU139" i="1"/>
  <c r="DV41" i="2"/>
  <c r="CT78" i="7"/>
  <c r="CT202" i="7"/>
  <c r="CV78" i="7"/>
  <c r="CV202" i="7"/>
  <c r="CU78" i="7"/>
  <c r="CU202" i="7"/>
  <c r="CW78" i="7"/>
  <c r="CW202" i="7"/>
  <c r="DR139" i="1"/>
  <c r="DT139" i="1"/>
  <c r="EA218" i="7" l="1"/>
  <c r="EA44" i="3" s="1"/>
  <c r="DS302" i="1" l="1"/>
  <c r="DS120" i="39" s="1"/>
  <c r="CP236" i="7"/>
  <c r="CP198" i="7"/>
  <c r="CQ195" i="7" s="1"/>
  <c r="CO171" i="7"/>
  <c r="CP167" i="7" s="1"/>
  <c r="CO169" i="7"/>
  <c r="CP171" i="7"/>
  <c r="CQ167" i="7" s="1"/>
  <c r="CQ170" i="7" s="1"/>
  <c r="CP169" i="7"/>
  <c r="CP101" i="7"/>
  <c r="CP99" i="7"/>
  <c r="CP97" i="7"/>
  <c r="CP95" i="7"/>
  <c r="CP93" i="7"/>
  <c r="CP90" i="7"/>
  <c r="CP86" i="7"/>
  <c r="CP84" i="7"/>
  <c r="CP81" i="7"/>
  <c r="DS119" i="39" l="1"/>
  <c r="DS121" i="39"/>
  <c r="DS200" i="1"/>
  <c r="CS169" i="7"/>
  <c r="CT176" i="7"/>
  <c r="CU176" i="7"/>
  <c r="CP177" i="7"/>
  <c r="CQ177" i="7"/>
  <c r="DO308" i="1"/>
  <c r="DO132" i="39" s="1"/>
  <c r="CP103" i="7"/>
  <c r="CP88" i="7"/>
  <c r="CP98" i="3"/>
  <c r="CU99" i="3" s="1"/>
  <c r="CP73" i="3"/>
  <c r="CP66" i="3"/>
  <c r="CO66" i="3"/>
  <c r="CP17" i="3"/>
  <c r="DN278" i="82"/>
  <c r="DN284" i="82"/>
  <c r="DN280" i="82"/>
  <c r="DN279" i="82"/>
  <c r="DN268" i="82"/>
  <c r="DO131" i="39" l="1"/>
  <c r="DO133" i="39"/>
  <c r="CP102" i="7"/>
  <c r="CU74" i="3"/>
  <c r="CP100" i="7"/>
  <c r="CP103" i="3"/>
  <c r="CQ103" i="3" s="1"/>
  <c r="CP168" i="7"/>
  <c r="CP87" i="7"/>
  <c r="CP85" i="7"/>
  <c r="CQ175" i="7" l="1"/>
  <c r="CU174" i="7"/>
  <c r="CP170" i="7"/>
  <c r="CP182" i="7"/>
  <c r="DK41" i="2"/>
  <c r="CP181" i="7" l="1"/>
  <c r="DN8" i="2"/>
  <c r="DN44" i="1"/>
  <c r="DN58" i="1"/>
  <c r="DN30" i="1"/>
  <c r="DN16" i="1"/>
  <c r="DN9" i="1"/>
  <c r="DN320" i="1"/>
  <c r="DN301" i="1"/>
  <c r="DI22" i="1"/>
  <c r="DN92" i="1" l="1"/>
  <c r="DN101" i="1"/>
  <c r="DS321" i="1"/>
  <c r="DN168" i="82"/>
  <c r="DN41" i="82"/>
  <c r="DI36" i="1"/>
  <c r="DN12" i="2"/>
  <c r="DN275" i="2" l="1"/>
  <c r="DS284" i="2" s="1"/>
  <c r="DN327" i="1"/>
  <c r="DI50" i="1"/>
  <c r="DO292" i="2" l="1"/>
  <c r="DJ55" i="1"/>
  <c r="P335" i="113" l="1"/>
  <c r="O335" i="113"/>
  <c r="P334" i="113"/>
  <c r="O334" i="113"/>
  <c r="P327" i="113"/>
  <c r="P329" i="113" s="1"/>
  <c r="P331" i="113" s="1"/>
  <c r="O327" i="113"/>
  <c r="R321" i="113"/>
  <c r="R323" i="113" s="1"/>
  <c r="R325" i="113" s="1"/>
  <c r="Q321" i="113"/>
  <c r="Q323" i="113" s="1"/>
  <c r="Q325" i="113" s="1"/>
  <c r="P321" i="113"/>
  <c r="P323" i="113" s="1"/>
  <c r="P325" i="113" s="1"/>
  <c r="O321" i="113"/>
  <c r="O323" i="113" s="1"/>
  <c r="O325" i="113" s="1"/>
  <c r="A318" i="113"/>
  <c r="A317" i="113"/>
  <c r="A316" i="113"/>
  <c r="A315" i="113"/>
  <c r="A314" i="113"/>
  <c r="A312" i="113"/>
  <c r="A311" i="113"/>
  <c r="A310" i="113"/>
  <c r="A309" i="113"/>
  <c r="A308" i="113"/>
  <c r="A307" i="113"/>
  <c r="P303" i="113"/>
  <c r="O303" i="113"/>
  <c r="P295" i="113"/>
  <c r="O295" i="113"/>
  <c r="P289" i="113"/>
  <c r="P293" i="113" s="1"/>
  <c r="O289" i="113"/>
  <c r="O293" i="113" s="1"/>
  <c r="A502" i="113"/>
  <c r="A501" i="113"/>
  <c r="A500" i="113"/>
  <c r="A499" i="113"/>
  <c r="A498" i="113"/>
  <c r="A493" i="113"/>
  <c r="A492" i="113"/>
  <c r="A496" i="113"/>
  <c r="A490" i="113"/>
  <c r="A488" i="113"/>
  <c r="A487" i="113"/>
  <c r="P475" i="113"/>
  <c r="O475" i="113"/>
  <c r="P469" i="113"/>
  <c r="O469" i="113"/>
  <c r="A209" i="113"/>
  <c r="A208" i="113"/>
  <c r="A207" i="113"/>
  <c r="A206" i="113"/>
  <c r="A205" i="113"/>
  <c r="A200" i="113"/>
  <c r="A199" i="113"/>
  <c r="A203" i="113"/>
  <c r="A197" i="113"/>
  <c r="A195" i="113"/>
  <c r="A194" i="113"/>
  <c r="U173" i="113"/>
  <c r="T173" i="113"/>
  <c r="T172" i="113" s="1"/>
  <c r="A286" i="113"/>
  <c r="A285" i="113"/>
  <c r="A284" i="113"/>
  <c r="A283" i="113"/>
  <c r="A282" i="113"/>
  <c r="A272" i="113"/>
  <c r="A271" i="113"/>
  <c r="A275" i="113"/>
  <c r="A269" i="113"/>
  <c r="A267" i="113"/>
  <c r="A266" i="113"/>
  <c r="A118" i="113"/>
  <c r="A117" i="113"/>
  <c r="A116" i="113"/>
  <c r="A115" i="113"/>
  <c r="A114" i="113"/>
  <c r="A109" i="113"/>
  <c r="A108" i="113"/>
  <c r="A112" i="113"/>
  <c r="A106" i="113"/>
  <c r="A104" i="113"/>
  <c r="A102" i="113"/>
  <c r="U84" i="113"/>
  <c r="T84" i="113"/>
  <c r="A167" i="113"/>
  <c r="A166" i="113"/>
  <c r="A165" i="113"/>
  <c r="A164" i="113"/>
  <c r="A160" i="113"/>
  <c r="A155" i="113"/>
  <c r="A154" i="113"/>
  <c r="A158" i="113"/>
  <c r="A152" i="113"/>
  <c r="A147" i="113"/>
  <c r="A146" i="113"/>
  <c r="U145" i="113"/>
  <c r="A145" i="113"/>
  <c r="A144" i="113"/>
  <c r="V122" i="113"/>
  <c r="U121" i="113"/>
  <c r="U126" i="113" s="1"/>
  <c r="T121" i="113"/>
  <c r="A81" i="113"/>
  <c r="A80" i="113"/>
  <c r="A79" i="113"/>
  <c r="A78" i="113"/>
  <c r="A77" i="113"/>
  <c r="A72" i="113"/>
  <c r="A75" i="113"/>
  <c r="U47" i="113"/>
  <c r="T47" i="113"/>
  <c r="A44" i="113"/>
  <c r="A43" i="113"/>
  <c r="A42" i="113"/>
  <c r="A41" i="113"/>
  <c r="A40" i="113"/>
  <c r="A35" i="113"/>
  <c r="A34" i="113"/>
  <c r="A38" i="113"/>
  <c r="A32" i="113"/>
  <c r="A30" i="113"/>
  <c r="A28" i="113"/>
  <c r="AB24" i="113"/>
  <c r="AA24" i="113"/>
  <c r="Z24" i="113"/>
  <c r="Y24" i="113"/>
  <c r="X24" i="113"/>
  <c r="W24" i="113"/>
  <c r="O24" i="113"/>
  <c r="N24" i="113"/>
  <c r="M24" i="113"/>
  <c r="L24" i="113"/>
  <c r="K24" i="113"/>
  <c r="J24" i="113"/>
  <c r="I24" i="113"/>
  <c r="H24" i="113"/>
  <c r="G24" i="113"/>
  <c r="F24" i="113"/>
  <c r="E24" i="113"/>
  <c r="D24" i="113"/>
  <c r="C24" i="113"/>
  <c r="B24" i="113"/>
  <c r="B23" i="113"/>
  <c r="B22" i="113"/>
  <c r="P20" i="113"/>
  <c r="O20" i="113"/>
  <c r="E20" i="113"/>
  <c r="D20" i="113"/>
  <c r="C20" i="113"/>
  <c r="B20" i="113"/>
  <c r="C17" i="113"/>
  <c r="B17" i="113"/>
  <c r="O15" i="113"/>
  <c r="C15" i="113"/>
  <c r="B15" i="113"/>
  <c r="B11" i="113"/>
  <c r="D9" i="113"/>
  <c r="C9" i="113"/>
  <c r="B9" i="113"/>
  <c r="C8" i="113"/>
  <c r="B8" i="113"/>
  <c r="AB6" i="113"/>
  <c r="AA6" i="113"/>
  <c r="Z6" i="113"/>
  <c r="Y6" i="113"/>
  <c r="X6" i="113"/>
  <c r="W6" i="113"/>
  <c r="V6" i="113"/>
  <c r="U6" i="113"/>
  <c r="T6" i="113"/>
  <c r="S6" i="113"/>
  <c r="R6" i="113"/>
  <c r="Q6" i="113"/>
  <c r="P6" i="113"/>
  <c r="O6" i="113"/>
  <c r="N6" i="113"/>
  <c r="M6" i="113"/>
  <c r="L6" i="113"/>
  <c r="K6" i="113"/>
  <c r="J6" i="113"/>
  <c r="I6" i="113"/>
  <c r="H6" i="113"/>
  <c r="G6" i="113"/>
  <c r="F6" i="113"/>
  <c r="E6" i="113"/>
  <c r="D6" i="113"/>
  <c r="C6" i="113"/>
  <c r="B6" i="113"/>
  <c r="N5" i="113"/>
  <c r="F5" i="113"/>
  <c r="H5" i="113"/>
  <c r="W5" i="113"/>
  <c r="B5" i="113"/>
  <c r="C5" i="113"/>
  <c r="O5" i="113"/>
  <c r="U5" i="113"/>
  <c r="L5" i="113"/>
  <c r="AB5" i="113"/>
  <c r="R5" i="113"/>
  <c r="X5" i="113"/>
  <c r="I5" i="113"/>
  <c r="E5" i="113"/>
  <c r="Q5" i="113"/>
  <c r="S5" i="113"/>
  <c r="M5" i="113"/>
  <c r="T5" i="113"/>
  <c r="P5" i="113"/>
  <c r="AA5" i="113"/>
  <c r="J5" i="113"/>
  <c r="V5" i="113"/>
  <c r="G5" i="113"/>
  <c r="D5" i="113"/>
  <c r="Z5" i="113"/>
  <c r="Y5" i="113"/>
  <c r="K5" i="113"/>
  <c r="D29" i="113" l="1"/>
  <c r="O336" i="113"/>
  <c r="O337" i="113" s="1"/>
  <c r="Z336" i="113"/>
  <c r="AA336" i="113"/>
  <c r="X336" i="113"/>
  <c r="Y336" i="113"/>
  <c r="AB336" i="113"/>
  <c r="W336" i="113"/>
  <c r="P326" i="113"/>
  <c r="W122" i="113"/>
  <c r="V127" i="113"/>
  <c r="T123" i="113"/>
  <c r="T126" i="113"/>
  <c r="T251" i="113"/>
  <c r="O326" i="113"/>
  <c r="U251" i="113"/>
  <c r="O294" i="113"/>
  <c r="U144" i="113"/>
  <c r="B10" i="113"/>
  <c r="B40" i="113" s="1"/>
  <c r="U194" i="113"/>
  <c r="O291" i="113"/>
  <c r="O292" i="113" s="1"/>
  <c r="P487" i="113"/>
  <c r="P501" i="113"/>
  <c r="O317" i="113"/>
  <c r="P317" i="113"/>
  <c r="C28" i="113"/>
  <c r="P332" i="113"/>
  <c r="P309" i="113"/>
  <c r="P294" i="113"/>
  <c r="U123" i="113"/>
  <c r="U266" i="113"/>
  <c r="O329" i="113"/>
  <c r="O331" i="113" s="1"/>
  <c r="O332" i="113" s="1"/>
  <c r="C10" i="113"/>
  <c r="T65" i="113"/>
  <c r="P291" i="113"/>
  <c r="P307" i="113"/>
  <c r="P311" i="113"/>
  <c r="U65" i="113"/>
  <c r="T250" i="113"/>
  <c r="U250" i="113"/>
  <c r="P492" i="113"/>
  <c r="O501" i="113"/>
  <c r="U102" i="113"/>
  <c r="U148" i="113" l="1"/>
  <c r="T125" i="113"/>
  <c r="T124" i="113" s="1"/>
  <c r="U273" i="113"/>
  <c r="U268" i="113"/>
  <c r="V149" i="113"/>
  <c r="X122" i="113"/>
  <c r="W127" i="113"/>
  <c r="T252" i="113"/>
  <c r="U249" i="113"/>
  <c r="U252" i="113"/>
  <c r="B12" i="113"/>
  <c r="B41" i="113" s="1"/>
  <c r="O314" i="113"/>
  <c r="U125" i="113"/>
  <c r="U146" i="113"/>
  <c r="U267" i="113"/>
  <c r="P314" i="113"/>
  <c r="P308" i="113"/>
  <c r="P292" i="113"/>
  <c r="T249" i="113"/>
  <c r="C40" i="113"/>
  <c r="X127" i="113" l="1"/>
  <c r="X149" i="113" s="1"/>
  <c r="U253" i="113"/>
  <c r="T283" i="113"/>
  <c r="T253" i="113"/>
  <c r="W149" i="113"/>
  <c r="Y122" i="113"/>
  <c r="U124" i="113"/>
  <c r="U283" i="113"/>
  <c r="U269" i="113"/>
  <c r="U147" i="113"/>
  <c r="Y171" i="113" l="1"/>
  <c r="Z171" i="113" s="1"/>
  <c r="AA171" i="113" s="1"/>
  <c r="AB171" i="113" s="1"/>
  <c r="AC171" i="113" s="1"/>
  <c r="AD171" i="113" s="1"/>
  <c r="AE171" i="113" s="1"/>
  <c r="T280" i="113"/>
  <c r="U280" i="113"/>
  <c r="U270" i="113"/>
  <c r="Z122" i="113"/>
  <c r="Y127" i="113"/>
  <c r="Y149" i="113" s="1"/>
  <c r="Y192" i="113" l="1"/>
  <c r="U171" i="113"/>
  <c r="U172" i="113" s="1"/>
  <c r="U193" i="113" s="1"/>
  <c r="AA122" i="113"/>
  <c r="Z127" i="113"/>
  <c r="Z149" i="113" s="1"/>
  <c r="V192" i="113" l="1"/>
  <c r="U192" i="113"/>
  <c r="AB122" i="113"/>
  <c r="AA127" i="113"/>
  <c r="AA149" i="113" s="1"/>
  <c r="AB127" i="113" l="1"/>
  <c r="AB149" i="113" s="1"/>
  <c r="AC122" i="113"/>
  <c r="AD122" i="113" l="1"/>
  <c r="AH122" i="113"/>
  <c r="AD127" i="113"/>
  <c r="AE122" i="113"/>
  <c r="AE127" i="113" s="1"/>
  <c r="AC127" i="113"/>
  <c r="AD149" i="113" l="1"/>
  <c r="AE149" i="113"/>
  <c r="AC149" i="113"/>
  <c r="A108" i="112" l="1"/>
  <c r="A102" i="112"/>
  <c r="A96" i="112"/>
  <c r="A90" i="112"/>
  <c r="A82" i="112"/>
  <c r="A74" i="112"/>
  <c r="F15" i="112"/>
  <c r="A2" i="112"/>
  <c r="N33" i="15"/>
  <c r="N34" i="15" s="1"/>
  <c r="N35" i="15" s="1"/>
  <c r="N31" i="15"/>
  <c r="N30" i="15" s="1"/>
  <c r="N29" i="15" s="1"/>
  <c r="R28" i="15"/>
  <c r="S28" i="15" s="1"/>
  <c r="P28" i="15"/>
  <c r="O28" i="15" s="1"/>
  <c r="K6" i="15"/>
  <c r="J6" i="15"/>
  <c r="I6" i="15"/>
  <c r="H6" i="15"/>
  <c r="G6" i="15"/>
  <c r="F6" i="15"/>
  <c r="E6" i="15"/>
  <c r="D6" i="15"/>
  <c r="C6" i="15"/>
  <c r="A2" i="15"/>
  <c r="O18" i="11"/>
  <c r="N18" i="11"/>
  <c r="M18" i="11"/>
  <c r="L18" i="11"/>
  <c r="K18" i="11"/>
  <c r="J18" i="11"/>
  <c r="O12" i="11"/>
  <c r="N12" i="11"/>
  <c r="M12" i="11"/>
  <c r="I12" i="11"/>
  <c r="O10" i="11"/>
  <c r="N10" i="11"/>
  <c r="M10" i="11"/>
  <c r="L10" i="11"/>
  <c r="K10" i="11"/>
  <c r="J10" i="11"/>
  <c r="M8" i="11"/>
  <c r="L8" i="11"/>
  <c r="I8" i="11"/>
  <c r="F8" i="11"/>
  <c r="E8" i="11"/>
  <c r="D8" i="11"/>
  <c r="C8" i="11"/>
  <c r="Z7" i="11"/>
  <c r="AA7" i="11" s="1"/>
  <c r="S7" i="11"/>
  <c r="D7" i="11"/>
  <c r="V6" i="11"/>
  <c r="V18" i="11" s="1"/>
  <c r="U6" i="11"/>
  <c r="U18" i="11" s="1"/>
  <c r="T6" i="11"/>
  <c r="T18" i="11" s="1"/>
  <c r="S6" i="11"/>
  <c r="S18" i="11" s="1"/>
  <c r="R6" i="11"/>
  <c r="R18" i="11" s="1"/>
  <c r="Q6" i="11"/>
  <c r="Q18" i="11" s="1"/>
  <c r="P6" i="11"/>
  <c r="P18" i="11" s="1"/>
  <c r="A2" i="11"/>
  <c r="CU420" i="1"/>
  <c r="CT420" i="1"/>
  <c r="CS420" i="1"/>
  <c r="CQ420" i="1"/>
  <c r="CP420" i="1"/>
  <c r="CO420" i="1"/>
  <c r="CN420" i="1"/>
  <c r="CL420" i="1"/>
  <c r="CK420" i="1"/>
  <c r="CJ420" i="1"/>
  <c r="CI420" i="1"/>
  <c r="CX408" i="1"/>
  <c r="CV408" i="1"/>
  <c r="CT408" i="1"/>
  <c r="CS408" i="1"/>
  <c r="CP408" i="1"/>
  <c r="CO408" i="1"/>
  <c r="CJ408" i="1"/>
  <c r="CI408" i="1"/>
  <c r="CG408" i="1"/>
  <c r="CH270" i="7"/>
  <c r="CG270" i="7"/>
  <c r="CF270" i="7"/>
  <c r="CE270" i="7"/>
  <c r="CC270" i="7"/>
  <c r="CB270" i="7"/>
  <c r="CA270" i="7"/>
  <c r="BZ270" i="7"/>
  <c r="A270" i="7"/>
  <c r="CH269" i="7"/>
  <c r="CG269" i="7"/>
  <c r="CF269" i="7"/>
  <c r="CC269" i="7"/>
  <c r="CB269" i="7"/>
  <c r="CA269" i="7"/>
  <c r="BZ269" i="7"/>
  <c r="A269" i="7"/>
  <c r="CG268" i="7"/>
  <c r="CF268" i="7"/>
  <c r="CE268" i="7"/>
  <c r="CE262" i="7"/>
  <c r="CN261" i="7"/>
  <c r="CS261" i="7" s="1"/>
  <c r="CF260" i="7"/>
  <c r="CF262" i="7" s="1"/>
  <c r="CN259" i="7"/>
  <c r="CS259" i="7" s="1"/>
  <c r="CG256" i="7"/>
  <c r="CF256" i="7"/>
  <c r="CE256" i="7"/>
  <c r="CC256" i="7"/>
  <c r="CG253" i="7"/>
  <c r="CG252" i="7" s="1"/>
  <c r="CG257" i="7" s="1"/>
  <c r="CF253" i="7"/>
  <c r="CF252" i="7" s="1"/>
  <c r="CF257" i="7" s="1"/>
  <c r="CE253" i="7"/>
  <c r="CC253" i="7"/>
  <c r="A253" i="7"/>
  <c r="CD250" i="7"/>
  <c r="CG246" i="7"/>
  <c r="CF246" i="7"/>
  <c r="CE246" i="7"/>
  <c r="CC246" i="7"/>
  <c r="CB246" i="7"/>
  <c r="CA246" i="7"/>
  <c r="BZ246" i="7"/>
  <c r="A246" i="7"/>
  <c r="CG245" i="7"/>
  <c r="CF245" i="7"/>
  <c r="CE245" i="7"/>
  <c r="CC245" i="7"/>
  <c r="CB245" i="7"/>
  <c r="CA245" i="7"/>
  <c r="BZ245" i="7"/>
  <c r="BZ247" i="7" s="1"/>
  <c r="A245" i="7"/>
  <c r="CG242" i="7"/>
  <c r="CG239" i="7" s="1"/>
  <c r="CF242" i="7"/>
  <c r="CF239" i="7" s="1"/>
  <c r="CE242" i="7"/>
  <c r="CE239" i="7" s="1"/>
  <c r="CC242" i="7"/>
  <c r="CD242" i="7" s="1"/>
  <c r="A242" i="7"/>
  <c r="CD241" i="7"/>
  <c r="CD240" i="7"/>
  <c r="CO236" i="7"/>
  <c r="CM236" i="7"/>
  <c r="CL236" i="7"/>
  <c r="CK236" i="7"/>
  <c r="CJ236" i="7"/>
  <c r="CH236" i="7"/>
  <c r="CG236" i="7"/>
  <c r="CF236" i="7"/>
  <c r="CE236" i="7"/>
  <c r="CC236" i="7"/>
  <c r="CB236" i="7"/>
  <c r="CA236" i="7"/>
  <c r="BZ236" i="7"/>
  <c r="BX236" i="7"/>
  <c r="BW236" i="7"/>
  <c r="BV236" i="7"/>
  <c r="BU236" i="7"/>
  <c r="BS236" i="7"/>
  <c r="BR236" i="7"/>
  <c r="BP236" i="7"/>
  <c r="BN236" i="7"/>
  <c r="BM236" i="7"/>
  <c r="BL236" i="7"/>
  <c r="BK236" i="7"/>
  <c r="A233" i="7"/>
  <c r="A228" i="7"/>
  <c r="A226" i="7"/>
  <c r="BX227" i="7"/>
  <c r="BZ227" i="7" s="1"/>
  <c r="CA227" i="7" s="1"/>
  <c r="CB227" i="7" s="1"/>
  <c r="CC227" i="7" s="1"/>
  <c r="CE227" i="7" s="1"/>
  <c r="CF227" i="7" s="1"/>
  <c r="CG227" i="7" s="1"/>
  <c r="CH227" i="7" s="1"/>
  <c r="CJ227" i="7" s="1"/>
  <c r="A227" i="7"/>
  <c r="BW225" i="7"/>
  <c r="BX225" i="7" s="1"/>
  <c r="BZ225" i="7" s="1"/>
  <c r="CA225" i="7" s="1"/>
  <c r="CB225" i="7" s="1"/>
  <c r="CC225" i="7" s="1"/>
  <c r="CE225" i="7" s="1"/>
  <c r="CF225" i="7" s="1"/>
  <c r="CG225" i="7" s="1"/>
  <c r="CH225" i="7" s="1"/>
  <c r="CJ225" i="7" s="1"/>
  <c r="A225" i="7"/>
  <c r="BW224" i="7"/>
  <c r="BX224" i="7" s="1"/>
  <c r="BZ224" i="7" s="1"/>
  <c r="CA224" i="7" s="1"/>
  <c r="CB224" i="7" s="1"/>
  <c r="CC224" i="7" s="1"/>
  <c r="CE224" i="7" s="1"/>
  <c r="CF224" i="7" s="1"/>
  <c r="CG224" i="7" s="1"/>
  <c r="CH224" i="7" s="1"/>
  <c r="CJ224" i="7" s="1"/>
  <c r="A224" i="7"/>
  <c r="A223" i="7"/>
  <c r="A222" i="7"/>
  <c r="A221" i="7"/>
  <c r="BW220" i="7"/>
  <c r="BX220" i="7" s="1"/>
  <c r="BZ220" i="7" s="1"/>
  <c r="CA220" i="7" s="1"/>
  <c r="CB220" i="7" s="1"/>
  <c r="CC220" i="7" s="1"/>
  <c r="CE220" i="7" s="1"/>
  <c r="CF220" i="7" s="1"/>
  <c r="CG220" i="7" s="1"/>
  <c r="CH220" i="7" s="1"/>
  <c r="CJ220" i="7" s="1"/>
  <c r="BU220" i="7"/>
  <c r="A220" i="7"/>
  <c r="BS218" i="7"/>
  <c r="BR218" i="7"/>
  <c r="BQ218" i="7"/>
  <c r="BQ234" i="7" s="1"/>
  <c r="BP218" i="7"/>
  <c r="BP234" i="7" s="1"/>
  <c r="BP235" i="7" s="1"/>
  <c r="BN218" i="7"/>
  <c r="BN234" i="7" s="1"/>
  <c r="BM218" i="7"/>
  <c r="BM234" i="7" s="1"/>
  <c r="BM235" i="7" s="1"/>
  <c r="BL218" i="7"/>
  <c r="BK218" i="7"/>
  <c r="BK234" i="7" s="1"/>
  <c r="BK235" i="7" s="1"/>
  <c r="CN211" i="7"/>
  <c r="CH211" i="7"/>
  <c r="CJ211" i="7" s="1"/>
  <c r="CK211" i="7" s="1"/>
  <c r="CL211" i="7" s="1"/>
  <c r="BX211" i="7"/>
  <c r="BZ211" i="7" s="1"/>
  <c r="CA211" i="7" s="1"/>
  <c r="CB211" i="7" s="1"/>
  <c r="CC211" i="7" s="1"/>
  <c r="CN209" i="7"/>
  <c r="CH209" i="7"/>
  <c r="CJ209" i="7" s="1"/>
  <c r="CK209" i="7" s="1"/>
  <c r="CL209" i="7" s="1"/>
  <c r="BW209" i="7"/>
  <c r="BX209" i="7" s="1"/>
  <c r="BZ209" i="7" s="1"/>
  <c r="CA209" i="7" s="1"/>
  <c r="CB209" i="7" s="1"/>
  <c r="CC209" i="7" s="1"/>
  <c r="CN208" i="7"/>
  <c r="CO208" i="7" s="1"/>
  <c r="CH208" i="7"/>
  <c r="CJ208" i="7" s="1"/>
  <c r="CK208" i="7" s="1"/>
  <c r="BW208" i="7"/>
  <c r="BX208" i="7" s="1"/>
  <c r="CO204" i="7"/>
  <c r="CM204" i="7"/>
  <c r="CM218" i="7" s="1"/>
  <c r="CL204" i="7"/>
  <c r="CK204" i="7"/>
  <c r="CJ204" i="7"/>
  <c r="CH204" i="7"/>
  <c r="CG204" i="7"/>
  <c r="CG218" i="7" s="1"/>
  <c r="CF204" i="7"/>
  <c r="CE204" i="7"/>
  <c r="CC204" i="7"/>
  <c r="CB204" i="7"/>
  <c r="CA204" i="7"/>
  <c r="BZ204" i="7"/>
  <c r="BX204" i="7"/>
  <c r="BW204" i="7"/>
  <c r="BV204" i="7"/>
  <c r="BV218" i="7" s="1"/>
  <c r="BU204" i="7"/>
  <c r="BU218" i="7" s="1"/>
  <c r="BS202" i="7"/>
  <c r="BR202" i="7"/>
  <c r="BQ202" i="7"/>
  <c r="BP202" i="7"/>
  <c r="BN202" i="7"/>
  <c r="BM202" i="7"/>
  <c r="BL202" i="7"/>
  <c r="BK202" i="7"/>
  <c r="BI202" i="7"/>
  <c r="BH202" i="7"/>
  <c r="BG202" i="7"/>
  <c r="BF202" i="7"/>
  <c r="BE202" i="7"/>
  <c r="BD202" i="7"/>
  <c r="BC202" i="7"/>
  <c r="BB202" i="7"/>
  <c r="BA202" i="7"/>
  <c r="AZ202" i="7"/>
  <c r="AY202" i="7"/>
  <c r="AX202" i="7"/>
  <c r="AV202" i="7"/>
  <c r="AU202" i="7"/>
  <c r="AT202" i="7"/>
  <c r="AS202" i="7"/>
  <c r="AR202" i="7"/>
  <c r="AQ202" i="7"/>
  <c r="AP202" i="7"/>
  <c r="AO202" i="7"/>
  <c r="AN202" i="7"/>
  <c r="AM202" i="7"/>
  <c r="AL202" i="7"/>
  <c r="AK202" i="7"/>
  <c r="AJ202" i="7"/>
  <c r="AI202" i="7"/>
  <c r="AH202" i="7"/>
  <c r="AG202" i="7"/>
  <c r="AF202" i="7"/>
  <c r="AE202" i="7"/>
  <c r="AD202" i="7"/>
  <c r="AC202" i="7"/>
  <c r="AB202" i="7"/>
  <c r="AA202" i="7"/>
  <c r="Z202" i="7"/>
  <c r="Y202" i="7"/>
  <c r="X202" i="7"/>
  <c r="W202" i="7"/>
  <c r="V202" i="7"/>
  <c r="U202" i="7"/>
  <c r="T202" i="7"/>
  <c r="S202" i="7"/>
  <c r="R202" i="7"/>
  <c r="Q202" i="7"/>
  <c r="P202" i="7"/>
  <c r="O202" i="7"/>
  <c r="N202" i="7"/>
  <c r="M202" i="7"/>
  <c r="L202" i="7"/>
  <c r="K202" i="7"/>
  <c r="J202" i="7"/>
  <c r="I202" i="7"/>
  <c r="H202" i="7"/>
  <c r="G202" i="7"/>
  <c r="F202" i="7"/>
  <c r="E202" i="7"/>
  <c r="CO198" i="7"/>
  <c r="CP195" i="7" s="1"/>
  <c r="CM198" i="7"/>
  <c r="CL198" i="7"/>
  <c r="CM195" i="7" s="1"/>
  <c r="CK198" i="7"/>
  <c r="CL195" i="7" s="1"/>
  <c r="CJ198" i="7"/>
  <c r="CK195" i="7" s="1"/>
  <c r="CH198" i="7"/>
  <c r="CG198" i="7"/>
  <c r="CH195" i="7" s="1"/>
  <c r="CF198" i="7"/>
  <c r="CG195" i="7" s="1"/>
  <c r="CE198" i="7"/>
  <c r="CC198" i="7"/>
  <c r="CB198" i="7"/>
  <c r="CC195" i="7" s="1"/>
  <c r="CA198" i="7"/>
  <c r="CB195" i="7" s="1"/>
  <c r="BZ198" i="7"/>
  <c r="CA195" i="7" s="1"/>
  <c r="BX198" i="7"/>
  <c r="BW198" i="7"/>
  <c r="BV198" i="7"/>
  <c r="BW195" i="7" s="1"/>
  <c r="BU198" i="7"/>
  <c r="BV195" i="7" s="1"/>
  <c r="BS198" i="7"/>
  <c r="BU195" i="7" s="1"/>
  <c r="BY195" i="7" s="1"/>
  <c r="BR198" i="7"/>
  <c r="BS195" i="7" s="1"/>
  <c r="BQ198" i="7"/>
  <c r="BR195" i="7" s="1"/>
  <c r="BP198" i="7"/>
  <c r="BQ195" i="7" s="1"/>
  <c r="BN198" i="7"/>
  <c r="BP195" i="7" s="1"/>
  <c r="BT195" i="7" s="1"/>
  <c r="BM198" i="7"/>
  <c r="BN195" i="7" s="1"/>
  <c r="BL198" i="7"/>
  <c r="BM195" i="7" s="1"/>
  <c r="BK198" i="7"/>
  <c r="BL195" i="7" s="1"/>
  <c r="BI198" i="7"/>
  <c r="BK195" i="7" s="1"/>
  <c r="BO195" i="7" s="1"/>
  <c r="BH198" i="7"/>
  <c r="BI195" i="7" s="1"/>
  <c r="BG198" i="7"/>
  <c r="BF198" i="7"/>
  <c r="BG195" i="7" s="1"/>
  <c r="BE198" i="7"/>
  <c r="BF195" i="7" s="1"/>
  <c r="BJ195" i="7" s="1"/>
  <c r="BD198" i="7"/>
  <c r="BE195" i="7" s="1"/>
  <c r="BC198" i="7"/>
  <c r="BD195" i="7" s="1"/>
  <c r="BB198" i="7"/>
  <c r="BC195" i="7" s="1"/>
  <c r="BA198" i="7"/>
  <c r="BB195" i="7" s="1"/>
  <c r="AZ198" i="7"/>
  <c r="BA195" i="7" s="1"/>
  <c r="AY198" i="7"/>
  <c r="AX198" i="7"/>
  <c r="AY195" i="7" s="1"/>
  <c r="AV198" i="7"/>
  <c r="AW195" i="7" s="1"/>
  <c r="AU198" i="7"/>
  <c r="AV195" i="7" s="1"/>
  <c r="AT198" i="7"/>
  <c r="AU195" i="7" s="1"/>
  <c r="AS198" i="7"/>
  <c r="AT195" i="7" s="1"/>
  <c r="AR198" i="7"/>
  <c r="AS195" i="7" s="1"/>
  <c r="AQ198" i="7"/>
  <c r="AP198" i="7"/>
  <c r="AQ195" i="7" s="1"/>
  <c r="AO198" i="7"/>
  <c r="AP195" i="7" s="1"/>
  <c r="AN198" i="7"/>
  <c r="AO195" i="7" s="1"/>
  <c r="AM198" i="7"/>
  <c r="AN195" i="7" s="1"/>
  <c r="AL198" i="7"/>
  <c r="AM195" i="7" s="1"/>
  <c r="AK198" i="7"/>
  <c r="AL195" i="7" s="1"/>
  <c r="AJ198" i="7"/>
  <c r="AK195" i="7" s="1"/>
  <c r="AI198" i="7"/>
  <c r="AH198" i="7"/>
  <c r="AI195" i="7" s="1"/>
  <c r="AG198" i="7"/>
  <c r="AH195" i="7" s="1"/>
  <c r="AF198" i="7"/>
  <c r="AG195" i="7" s="1"/>
  <c r="AE198" i="7"/>
  <c r="AF195" i="7" s="1"/>
  <c r="AD198" i="7"/>
  <c r="AE195" i="7" s="1"/>
  <c r="AC198" i="7"/>
  <c r="AD195" i="7" s="1"/>
  <c r="AB198" i="7"/>
  <c r="AC195" i="7" s="1"/>
  <c r="AA198" i="7"/>
  <c r="Z198" i="7"/>
  <c r="AA195" i="7" s="1"/>
  <c r="Y198" i="7"/>
  <c r="Z195" i="7" s="1"/>
  <c r="X198" i="7"/>
  <c r="Y195" i="7" s="1"/>
  <c r="W198" i="7"/>
  <c r="X195" i="7" s="1"/>
  <c r="V198" i="7"/>
  <c r="W195" i="7" s="1"/>
  <c r="U198" i="7"/>
  <c r="V195" i="7" s="1"/>
  <c r="R198" i="7"/>
  <c r="S195" i="7" s="1"/>
  <c r="R195" i="7"/>
  <c r="CM171" i="7"/>
  <c r="CL171" i="7"/>
  <c r="CM167" i="7" s="1"/>
  <c r="CK171" i="7"/>
  <c r="CL167" i="7" s="1"/>
  <c r="CJ171" i="7"/>
  <c r="CK167" i="7" s="1"/>
  <c r="CH171" i="7"/>
  <c r="CG171" i="7"/>
  <c r="CH167" i="7" s="1"/>
  <c r="CF171" i="7"/>
  <c r="CG167" i="7" s="1"/>
  <c r="CE171" i="7"/>
  <c r="CF167" i="7" s="1"/>
  <c r="CC171" i="7"/>
  <c r="CB171" i="7"/>
  <c r="CC167" i="7" s="1"/>
  <c r="CA171" i="7"/>
  <c r="CB167" i="7" s="1"/>
  <c r="BZ171" i="7"/>
  <c r="CA167" i="7" s="1"/>
  <c r="BX171" i="7"/>
  <c r="BW171" i="7"/>
  <c r="BX167" i="7" s="1"/>
  <c r="BV171" i="7"/>
  <c r="BW167" i="7" s="1"/>
  <c r="BU171" i="7"/>
  <c r="BV167" i="7" s="1"/>
  <c r="BS171" i="7"/>
  <c r="BU167" i="7" s="1"/>
  <c r="BY167" i="7" s="1"/>
  <c r="BR171" i="7"/>
  <c r="BS167" i="7" s="1"/>
  <c r="BQ171" i="7"/>
  <c r="BR167" i="7" s="1"/>
  <c r="BP171" i="7"/>
  <c r="BQ167" i="7" s="1"/>
  <c r="BN171" i="7"/>
  <c r="BP167" i="7" s="1"/>
  <c r="BM171" i="7"/>
  <c r="BN167" i="7" s="1"/>
  <c r="BL171" i="7"/>
  <c r="BM167" i="7" s="1"/>
  <c r="BK171" i="7"/>
  <c r="BL167" i="7" s="1"/>
  <c r="BI171" i="7"/>
  <c r="BK167" i="7" s="1"/>
  <c r="BO167" i="7" s="1"/>
  <c r="BH171" i="7"/>
  <c r="BI167" i="7" s="1"/>
  <c r="BG171" i="7"/>
  <c r="BH167" i="7" s="1"/>
  <c r="BF171" i="7"/>
  <c r="BG167" i="7" s="1"/>
  <c r="BE171" i="7"/>
  <c r="BF167" i="7" s="1"/>
  <c r="BJ167" i="7" s="1"/>
  <c r="BD171" i="7"/>
  <c r="BE167" i="7" s="1"/>
  <c r="BC171" i="7"/>
  <c r="BD167" i="7" s="1"/>
  <c r="BB171" i="7"/>
  <c r="BC167" i="7" s="1"/>
  <c r="BA171" i="7"/>
  <c r="BB167" i="7" s="1"/>
  <c r="AZ171" i="7"/>
  <c r="BA167" i="7" s="1"/>
  <c r="AY171" i="7"/>
  <c r="AZ167" i="7" s="1"/>
  <c r="AX171" i="7"/>
  <c r="AY167" i="7" s="1"/>
  <c r="AV171" i="7"/>
  <c r="AW167" i="7" s="1"/>
  <c r="AU171" i="7"/>
  <c r="AV167" i="7" s="1"/>
  <c r="AT171" i="7"/>
  <c r="AU167" i="7" s="1"/>
  <c r="AS171" i="7"/>
  <c r="AT167" i="7" s="1"/>
  <c r="AR171" i="7"/>
  <c r="AS167" i="7" s="1"/>
  <c r="AQ171" i="7"/>
  <c r="AR167" i="7" s="1"/>
  <c r="AP171" i="7"/>
  <c r="AQ167" i="7" s="1"/>
  <c r="AO171" i="7"/>
  <c r="AP167" i="7" s="1"/>
  <c r="AN171" i="7"/>
  <c r="AO167" i="7" s="1"/>
  <c r="AM171" i="7"/>
  <c r="AN167" i="7" s="1"/>
  <c r="AL171" i="7"/>
  <c r="AM167" i="7" s="1"/>
  <c r="AK171" i="7"/>
  <c r="AL167" i="7" s="1"/>
  <c r="AJ171" i="7"/>
  <c r="AK167" i="7" s="1"/>
  <c r="AI171" i="7"/>
  <c r="AJ167" i="7" s="1"/>
  <c r="AH171" i="7"/>
  <c r="AI167" i="7" s="1"/>
  <c r="AG171" i="7"/>
  <c r="AH167" i="7" s="1"/>
  <c r="AF171" i="7"/>
  <c r="AG167" i="7" s="1"/>
  <c r="AE171" i="7"/>
  <c r="AF167" i="7" s="1"/>
  <c r="AD171" i="7"/>
  <c r="AE167" i="7" s="1"/>
  <c r="AC171" i="7"/>
  <c r="AD167" i="7" s="1"/>
  <c r="AB171" i="7"/>
  <c r="AC167" i="7" s="1"/>
  <c r="AA171" i="7"/>
  <c r="AB167" i="7" s="1"/>
  <c r="Z171" i="7"/>
  <c r="AA167" i="7" s="1"/>
  <c r="Y171" i="7"/>
  <c r="Z167" i="7" s="1"/>
  <c r="X171" i="7"/>
  <c r="Y167" i="7" s="1"/>
  <c r="W171" i="7"/>
  <c r="X167" i="7" s="1"/>
  <c r="V171" i="7"/>
  <c r="W167" i="7" s="1"/>
  <c r="U171" i="7"/>
  <c r="V167" i="7" s="1"/>
  <c r="T171" i="7"/>
  <c r="U167" i="7" s="1"/>
  <c r="S171" i="7"/>
  <c r="T167" i="7" s="1"/>
  <c r="R171" i="7"/>
  <c r="S167" i="7" s="1"/>
  <c r="Q171" i="7"/>
  <c r="R167" i="7" s="1"/>
  <c r="CM169" i="7"/>
  <c r="CL169" i="7"/>
  <c r="CQ176" i="7" s="1"/>
  <c r="CK169" i="7"/>
  <c r="CP176" i="7" s="1"/>
  <c r="CJ169" i="7"/>
  <c r="CH169" i="7"/>
  <c r="CG169" i="7"/>
  <c r="CF169" i="7"/>
  <c r="CE169" i="7"/>
  <c r="CC169" i="7"/>
  <c r="CB169" i="7"/>
  <c r="CA169" i="7"/>
  <c r="BZ169" i="7"/>
  <c r="BX169" i="7"/>
  <c r="BW169" i="7"/>
  <c r="BV169" i="7"/>
  <c r="BU169" i="7"/>
  <c r="BS169" i="7"/>
  <c r="BR169" i="7"/>
  <c r="BQ169" i="7"/>
  <c r="BP169" i="7"/>
  <c r="BN169" i="7"/>
  <c r="BM169" i="7"/>
  <c r="BL169" i="7"/>
  <c r="BK169" i="7"/>
  <c r="BI169" i="7"/>
  <c r="BH169" i="7"/>
  <c r="BG169" i="7"/>
  <c r="BF169" i="7"/>
  <c r="BE169" i="7"/>
  <c r="BD169" i="7"/>
  <c r="BC169" i="7"/>
  <c r="BB169" i="7"/>
  <c r="BA169" i="7"/>
  <c r="AZ169" i="7"/>
  <c r="AX169" i="7"/>
  <c r="AW169" i="7"/>
  <c r="AV169" i="7"/>
  <c r="AU169" i="7"/>
  <c r="AT169" i="7"/>
  <c r="AS169" i="7"/>
  <c r="AR169" i="7"/>
  <c r="AP169" i="7"/>
  <c r="AO169" i="7"/>
  <c r="AM169" i="7"/>
  <c r="AL169" i="7"/>
  <c r="AH169" i="7"/>
  <c r="AD169" i="7"/>
  <c r="Z169" i="7"/>
  <c r="V169" i="7"/>
  <c r="R169" i="7"/>
  <c r="Q169" i="7"/>
  <c r="CB168" i="7"/>
  <c r="CB182" i="7" s="1"/>
  <c r="CA168" i="7"/>
  <c r="CA182" i="7" s="1"/>
  <c r="BW168" i="7"/>
  <c r="BW182" i="7" s="1"/>
  <c r="BV168" i="7"/>
  <c r="BV182" i="7" s="1"/>
  <c r="Z168" i="7"/>
  <c r="V168" i="7"/>
  <c r="R168" i="7"/>
  <c r="Q167" i="7"/>
  <c r="CD115" i="7"/>
  <c r="BY115" i="7"/>
  <c r="BT115" i="7"/>
  <c r="BO115" i="7"/>
  <c r="CD113" i="7"/>
  <c r="BY113" i="7"/>
  <c r="BT113" i="7"/>
  <c r="BO113" i="7"/>
  <c r="CD112" i="7"/>
  <c r="BY112" i="7"/>
  <c r="BT112" i="7"/>
  <c r="BO112" i="7"/>
  <c r="CD111" i="7"/>
  <c r="BY111" i="7"/>
  <c r="BT111" i="7"/>
  <c r="BO111" i="7"/>
  <c r="CD110" i="7"/>
  <c r="BY110" i="7"/>
  <c r="BT110" i="7"/>
  <c r="BO110" i="7"/>
  <c r="CD109" i="7"/>
  <c r="BY109" i="7"/>
  <c r="BT109" i="7"/>
  <c r="BO109" i="7"/>
  <c r="T103" i="7"/>
  <c r="S103" i="7"/>
  <c r="R103" i="7"/>
  <c r="CO101" i="7"/>
  <c r="CM101" i="7"/>
  <c r="CL101" i="7"/>
  <c r="CK101" i="7"/>
  <c r="CJ101" i="7"/>
  <c r="CH101" i="7"/>
  <c r="CG101" i="7"/>
  <c r="CF101" i="7"/>
  <c r="CE101" i="7"/>
  <c r="CC101" i="7"/>
  <c r="CB101" i="7"/>
  <c r="CA101" i="7"/>
  <c r="BZ101" i="7"/>
  <c r="BX101" i="7"/>
  <c r="BW101" i="7"/>
  <c r="BV101" i="7"/>
  <c r="BU101" i="7"/>
  <c r="BS101" i="7"/>
  <c r="BR101" i="7"/>
  <c r="BQ101" i="7"/>
  <c r="BP101" i="7"/>
  <c r="BN101" i="7"/>
  <c r="BM101" i="7"/>
  <c r="BL101" i="7"/>
  <c r="BK101" i="7"/>
  <c r="BI101" i="7"/>
  <c r="BH101" i="7"/>
  <c r="BG101" i="7"/>
  <c r="BF101" i="7"/>
  <c r="BE101" i="7"/>
  <c r="BD101" i="7"/>
  <c r="BC101" i="7"/>
  <c r="BB101" i="7"/>
  <c r="BA101" i="7"/>
  <c r="AZ101" i="7"/>
  <c r="AY101" i="7"/>
  <c r="AX101" i="7"/>
  <c r="AV101" i="7"/>
  <c r="AU101" i="7"/>
  <c r="AT101" i="7"/>
  <c r="AS101" i="7"/>
  <c r="AR101" i="7"/>
  <c r="AQ101" i="7"/>
  <c r="AP101" i="7"/>
  <c r="AO101" i="7"/>
  <c r="AN101" i="7"/>
  <c r="AM101" i="7"/>
  <c r="AL101" i="7"/>
  <c r="AK101" i="7"/>
  <c r="AJ101" i="7"/>
  <c r="AI101" i="7"/>
  <c r="AH101" i="7"/>
  <c r="AG101" i="7"/>
  <c r="AF101" i="7"/>
  <c r="AE101" i="7"/>
  <c r="AD101" i="7"/>
  <c r="AC101" i="7"/>
  <c r="AB101" i="7"/>
  <c r="AA101" i="7"/>
  <c r="Z101" i="7"/>
  <c r="Y101" i="7"/>
  <c r="X101" i="7"/>
  <c r="W101" i="7"/>
  <c r="V101" i="7"/>
  <c r="U101" i="7"/>
  <c r="Q101" i="7"/>
  <c r="CO99" i="7"/>
  <c r="CM99" i="7"/>
  <c r="CL99" i="7"/>
  <c r="CK99" i="7"/>
  <c r="CJ99" i="7"/>
  <c r="CH99" i="7"/>
  <c r="CG99" i="7"/>
  <c r="CF99" i="7"/>
  <c r="CE99" i="7"/>
  <c r="CC99" i="7"/>
  <c r="CB99" i="7"/>
  <c r="CA99" i="7"/>
  <c r="BZ99" i="7"/>
  <c r="BX99" i="7"/>
  <c r="BW99" i="7"/>
  <c r="BV99" i="7"/>
  <c r="BU99" i="7"/>
  <c r="BS99" i="7"/>
  <c r="BR99" i="7"/>
  <c r="BQ99" i="7"/>
  <c r="BP99" i="7"/>
  <c r="BN99" i="7"/>
  <c r="BM99" i="7"/>
  <c r="BL99" i="7"/>
  <c r="BK99" i="7"/>
  <c r="BI99" i="7"/>
  <c r="BH99" i="7"/>
  <c r="BG99" i="7"/>
  <c r="BF99" i="7"/>
  <c r="BE99" i="7"/>
  <c r="BD99" i="7"/>
  <c r="BC99" i="7"/>
  <c r="BB99" i="7"/>
  <c r="BA99" i="7"/>
  <c r="AZ99" i="7"/>
  <c r="AY99" i="7"/>
  <c r="AX99" i="7"/>
  <c r="AV99" i="7"/>
  <c r="AU99" i="7"/>
  <c r="AT99" i="7"/>
  <c r="AS99" i="7"/>
  <c r="AR99" i="7"/>
  <c r="AQ99" i="7"/>
  <c r="AP99" i="7"/>
  <c r="AO99" i="7"/>
  <c r="AN99" i="7"/>
  <c r="AM99" i="7"/>
  <c r="AL99" i="7"/>
  <c r="AK99" i="7"/>
  <c r="AJ99" i="7"/>
  <c r="AI99" i="7"/>
  <c r="AH99" i="7"/>
  <c r="AG99" i="7"/>
  <c r="AF99" i="7"/>
  <c r="AE99" i="7"/>
  <c r="AD99" i="7"/>
  <c r="AC99" i="7"/>
  <c r="AB99" i="7"/>
  <c r="AA99" i="7"/>
  <c r="Z99" i="7"/>
  <c r="Y99" i="7"/>
  <c r="X99" i="7"/>
  <c r="W99" i="7"/>
  <c r="V99" i="7"/>
  <c r="U99" i="7"/>
  <c r="Q99" i="7"/>
  <c r="CO97" i="7"/>
  <c r="CM97" i="7"/>
  <c r="CL97" i="7"/>
  <c r="CK97" i="7"/>
  <c r="CJ97" i="7"/>
  <c r="CH97" i="7"/>
  <c r="CG97" i="7"/>
  <c r="CF97" i="7"/>
  <c r="CE97" i="7"/>
  <c r="CC97" i="7"/>
  <c r="CB97" i="7"/>
  <c r="CA97" i="7"/>
  <c r="BZ97" i="7"/>
  <c r="BX97" i="7"/>
  <c r="BW97" i="7"/>
  <c r="BV97" i="7"/>
  <c r="BU97" i="7"/>
  <c r="BS97" i="7"/>
  <c r="BR97" i="7"/>
  <c r="BQ97" i="7"/>
  <c r="BP97" i="7"/>
  <c r="BN97" i="7"/>
  <c r="BM97" i="7"/>
  <c r="BL97" i="7"/>
  <c r="BK97" i="7"/>
  <c r="BI97" i="7"/>
  <c r="BH97" i="7"/>
  <c r="BG97" i="7"/>
  <c r="BF97" i="7"/>
  <c r="BE97" i="7"/>
  <c r="BD97" i="7"/>
  <c r="BC97" i="7"/>
  <c r="BB97" i="7"/>
  <c r="BA97" i="7"/>
  <c r="AZ97" i="7"/>
  <c r="AY97" i="7"/>
  <c r="AX97" i="7"/>
  <c r="AV97" i="7"/>
  <c r="AU97" i="7"/>
  <c r="AT97" i="7"/>
  <c r="AS97" i="7"/>
  <c r="AR97" i="7"/>
  <c r="AQ97" i="7"/>
  <c r="AP97" i="7"/>
  <c r="AO97" i="7"/>
  <c r="AN97" i="7"/>
  <c r="AM97" i="7"/>
  <c r="AL97" i="7"/>
  <c r="AK97" i="7"/>
  <c r="AJ97" i="7"/>
  <c r="AI97" i="7"/>
  <c r="AH97" i="7"/>
  <c r="AG97" i="7"/>
  <c r="AF97" i="7"/>
  <c r="AE97" i="7"/>
  <c r="AD97" i="7"/>
  <c r="AC97" i="7"/>
  <c r="AB97" i="7"/>
  <c r="AA97" i="7"/>
  <c r="Z97" i="7"/>
  <c r="Y97" i="7"/>
  <c r="X97" i="7"/>
  <c r="W97" i="7"/>
  <c r="V97" i="7"/>
  <c r="U97" i="7"/>
  <c r="T97" i="7"/>
  <c r="S97" i="7"/>
  <c r="R97" i="7"/>
  <c r="Q97" i="7"/>
  <c r="CO95" i="7"/>
  <c r="CM95" i="7"/>
  <c r="CL95" i="7"/>
  <c r="CK95" i="7"/>
  <c r="CJ95" i="7"/>
  <c r="CH95" i="7"/>
  <c r="CG95" i="7"/>
  <c r="CF95" i="7"/>
  <c r="CE95" i="7"/>
  <c r="CC95" i="7"/>
  <c r="CB95" i="7"/>
  <c r="CA95" i="7"/>
  <c r="BZ95" i="7"/>
  <c r="BX95" i="7"/>
  <c r="BW95" i="7"/>
  <c r="BV95" i="7"/>
  <c r="BU95" i="7"/>
  <c r="BS95" i="7"/>
  <c r="BR95" i="7"/>
  <c r="BQ95" i="7"/>
  <c r="BP95" i="7"/>
  <c r="BN95" i="7"/>
  <c r="BM95" i="7"/>
  <c r="BL95" i="7"/>
  <c r="BK95" i="7"/>
  <c r="BI95" i="7"/>
  <c r="BH95" i="7"/>
  <c r="BG95" i="7"/>
  <c r="BF95" i="7"/>
  <c r="BE95" i="7"/>
  <c r="BD95" i="7"/>
  <c r="BC95" i="7"/>
  <c r="BB95" i="7"/>
  <c r="BA95" i="7"/>
  <c r="AZ95" i="7"/>
  <c r="AY95" i="7"/>
  <c r="AX95" i="7"/>
  <c r="AV95" i="7"/>
  <c r="AU95" i="7"/>
  <c r="AT95" i="7"/>
  <c r="AS95" i="7"/>
  <c r="AR95" i="7"/>
  <c r="AQ95" i="7"/>
  <c r="AP95" i="7"/>
  <c r="AO95" i="7"/>
  <c r="AN95" i="7"/>
  <c r="AM95" i="7"/>
  <c r="AL95" i="7"/>
  <c r="AK95" i="7"/>
  <c r="AJ95" i="7"/>
  <c r="AI95" i="7"/>
  <c r="AH95" i="7"/>
  <c r="AG95" i="7"/>
  <c r="AF95" i="7"/>
  <c r="AE95" i="7"/>
  <c r="AD95" i="7"/>
  <c r="AC95" i="7"/>
  <c r="AB95" i="7"/>
  <c r="AA95" i="7"/>
  <c r="Z95" i="7"/>
  <c r="Y95" i="7"/>
  <c r="X95" i="7"/>
  <c r="W95" i="7"/>
  <c r="V95" i="7"/>
  <c r="U95" i="7"/>
  <c r="T95" i="7"/>
  <c r="S95" i="7"/>
  <c r="R95" i="7"/>
  <c r="Q95" i="7"/>
  <c r="CO93" i="7"/>
  <c r="CM93" i="7"/>
  <c r="CL93" i="7"/>
  <c r="CK93" i="7"/>
  <c r="CJ93" i="7"/>
  <c r="CH93" i="7"/>
  <c r="CG93" i="7"/>
  <c r="CF93" i="7"/>
  <c r="CE93" i="7"/>
  <c r="CC93" i="7"/>
  <c r="CB93" i="7"/>
  <c r="CA93" i="7"/>
  <c r="BZ93" i="7"/>
  <c r="BX93" i="7"/>
  <c r="BW93" i="7"/>
  <c r="BV93" i="7"/>
  <c r="BU93" i="7"/>
  <c r="BS93" i="7"/>
  <c r="BR93" i="7"/>
  <c r="BQ93" i="7"/>
  <c r="BP93" i="7"/>
  <c r="BN93" i="7"/>
  <c r="BM93" i="7"/>
  <c r="BL93" i="7"/>
  <c r="BK93" i="7"/>
  <c r="BI93" i="7"/>
  <c r="BH93" i="7"/>
  <c r="BG93" i="7"/>
  <c r="BF93" i="7"/>
  <c r="BE93" i="7"/>
  <c r="BD93" i="7"/>
  <c r="BC93" i="7"/>
  <c r="BB93" i="7"/>
  <c r="BA93" i="7"/>
  <c r="AZ93" i="7"/>
  <c r="AY93" i="7"/>
  <c r="AX93" i="7"/>
  <c r="AV93" i="7"/>
  <c r="AU93" i="7"/>
  <c r="AT93" i="7"/>
  <c r="AS93" i="7"/>
  <c r="AR93" i="7"/>
  <c r="AQ93" i="7"/>
  <c r="AP93" i="7"/>
  <c r="AO93" i="7"/>
  <c r="AN93" i="7"/>
  <c r="AM93" i="7"/>
  <c r="AL93" i="7"/>
  <c r="AK93" i="7"/>
  <c r="AJ93" i="7"/>
  <c r="AI93" i="7"/>
  <c r="AH93" i="7"/>
  <c r="AG93" i="7"/>
  <c r="AF93" i="7"/>
  <c r="AE93" i="7"/>
  <c r="AD93" i="7"/>
  <c r="AC93" i="7"/>
  <c r="AB93" i="7"/>
  <c r="AA93" i="7"/>
  <c r="Z93" i="7"/>
  <c r="Y93" i="7"/>
  <c r="X93" i="7"/>
  <c r="W93" i="7"/>
  <c r="V93" i="7"/>
  <c r="U93" i="7"/>
  <c r="T93" i="7"/>
  <c r="S93" i="7"/>
  <c r="R93" i="7"/>
  <c r="Q93" i="7"/>
  <c r="CO90" i="7"/>
  <c r="CM90" i="7"/>
  <c r="CL90" i="7"/>
  <c r="CK90" i="7"/>
  <c r="CJ90" i="7"/>
  <c r="CH90" i="7"/>
  <c r="CG90" i="7"/>
  <c r="CF90" i="7"/>
  <c r="CE90" i="7"/>
  <c r="CC90" i="7"/>
  <c r="CB90" i="7"/>
  <c r="CA90" i="7"/>
  <c r="BZ90" i="7"/>
  <c r="BX90" i="7"/>
  <c r="BW90" i="7"/>
  <c r="BV90" i="7"/>
  <c r="BU90" i="7"/>
  <c r="BS90" i="7"/>
  <c r="BR90" i="7"/>
  <c r="BQ90" i="7"/>
  <c r="BP90" i="7"/>
  <c r="BN90" i="7"/>
  <c r="BM90" i="7"/>
  <c r="BL90" i="7"/>
  <c r="BK90" i="7"/>
  <c r="BI90" i="7"/>
  <c r="BH90" i="7"/>
  <c r="BG90" i="7"/>
  <c r="BF90" i="7"/>
  <c r="BE90" i="7"/>
  <c r="BD90" i="7"/>
  <c r="BC90" i="7"/>
  <c r="BB90" i="7"/>
  <c r="BA90" i="7"/>
  <c r="AZ90" i="7"/>
  <c r="AY90" i="7"/>
  <c r="AX90" i="7"/>
  <c r="AV90" i="7"/>
  <c r="AU90" i="7"/>
  <c r="AT90" i="7"/>
  <c r="AS90" i="7"/>
  <c r="AR90" i="7"/>
  <c r="AQ90" i="7"/>
  <c r="AP90" i="7"/>
  <c r="AO90" i="7"/>
  <c r="AN90" i="7"/>
  <c r="AM90" i="7"/>
  <c r="AL90" i="7"/>
  <c r="AK90" i="7"/>
  <c r="AJ90" i="7"/>
  <c r="AI90" i="7"/>
  <c r="AH90" i="7"/>
  <c r="AG90" i="7"/>
  <c r="AF90" i="7"/>
  <c r="AE90" i="7"/>
  <c r="AD90" i="7"/>
  <c r="AC90" i="7"/>
  <c r="AB90" i="7"/>
  <c r="AA90" i="7"/>
  <c r="Z90" i="7"/>
  <c r="Y90" i="7"/>
  <c r="X90" i="7"/>
  <c r="W90" i="7"/>
  <c r="V90" i="7"/>
  <c r="U90" i="7"/>
  <c r="T90" i="7"/>
  <c r="S90" i="7"/>
  <c r="R90" i="7"/>
  <c r="Q90" i="7"/>
  <c r="CO86" i="7"/>
  <c r="CM86" i="7"/>
  <c r="CL86" i="7"/>
  <c r="CK86" i="7"/>
  <c r="CJ86" i="7"/>
  <c r="CH86" i="7"/>
  <c r="CG86" i="7"/>
  <c r="CF86" i="7"/>
  <c r="CE86" i="7"/>
  <c r="CC86" i="7"/>
  <c r="CB86" i="7"/>
  <c r="CA86" i="7"/>
  <c r="BZ86" i="7"/>
  <c r="BS86" i="7"/>
  <c r="BR86" i="7"/>
  <c r="BQ86" i="7"/>
  <c r="BP86" i="7"/>
  <c r="BN86" i="7"/>
  <c r="BM86" i="7"/>
  <c r="BL86" i="7"/>
  <c r="BK86" i="7"/>
  <c r="BI86" i="7"/>
  <c r="BH86" i="7"/>
  <c r="BG86" i="7"/>
  <c r="BF86" i="7"/>
  <c r="BE86" i="7"/>
  <c r="BD86" i="7"/>
  <c r="BC86" i="7"/>
  <c r="BB86" i="7"/>
  <c r="BA86" i="7"/>
  <c r="AZ86" i="7"/>
  <c r="AY86" i="7"/>
  <c r="AO86" i="7"/>
  <c r="AH86" i="7"/>
  <c r="AG86" i="7"/>
  <c r="AD86" i="7"/>
  <c r="AC86" i="7"/>
  <c r="AB86" i="7"/>
  <c r="AA86" i="7"/>
  <c r="Z86" i="7"/>
  <c r="Y86" i="7"/>
  <c r="X86" i="7"/>
  <c r="W86" i="7"/>
  <c r="V86" i="7"/>
  <c r="U86" i="7"/>
  <c r="Q86" i="7"/>
  <c r="CO84" i="7"/>
  <c r="CM84" i="7"/>
  <c r="CL84" i="7"/>
  <c r="CK84" i="7"/>
  <c r="CJ84" i="7"/>
  <c r="CH84" i="7"/>
  <c r="CG84" i="7"/>
  <c r="CF84" i="7"/>
  <c r="CE84" i="7"/>
  <c r="CC84" i="7"/>
  <c r="CB84" i="7"/>
  <c r="CA84" i="7"/>
  <c r="BZ84" i="7"/>
  <c r="BX84" i="7"/>
  <c r="BW84" i="7"/>
  <c r="BV84" i="7"/>
  <c r="BU84" i="7"/>
  <c r="BS84" i="7"/>
  <c r="BR84" i="7"/>
  <c r="BQ84" i="7"/>
  <c r="BP84" i="7"/>
  <c r="BN84" i="7"/>
  <c r="BI84" i="7"/>
  <c r="BH84" i="7"/>
  <c r="BG84" i="7"/>
  <c r="BE84" i="7"/>
  <c r="BD84" i="7"/>
  <c r="BC84" i="7"/>
  <c r="AU84" i="7"/>
  <c r="AT84" i="7"/>
  <c r="AS84" i="7"/>
  <c r="AR84" i="7"/>
  <c r="AQ84" i="7"/>
  <c r="AP84" i="7"/>
  <c r="AO84" i="7"/>
  <c r="AO88" i="7" s="1"/>
  <c r="AN84" i="7"/>
  <c r="AM84" i="7"/>
  <c r="AL84" i="7"/>
  <c r="AK84" i="7"/>
  <c r="AJ84" i="7"/>
  <c r="AI84" i="7"/>
  <c r="AH84" i="7"/>
  <c r="AG84" i="7"/>
  <c r="AF84" i="7"/>
  <c r="AE84" i="7"/>
  <c r="AD84" i="7"/>
  <c r="AC84" i="7"/>
  <c r="AB84" i="7"/>
  <c r="AB88" i="7" s="1"/>
  <c r="AA84" i="7"/>
  <c r="Z84" i="7"/>
  <c r="Z88" i="7" s="1"/>
  <c r="Y84" i="7"/>
  <c r="Y88" i="7" s="1"/>
  <c r="X84" i="7"/>
  <c r="X88" i="7" s="1"/>
  <c r="W84" i="7"/>
  <c r="W88" i="7" s="1"/>
  <c r="V84" i="7"/>
  <c r="U84" i="7"/>
  <c r="Q84" i="7"/>
  <c r="Q88" i="7" s="1"/>
  <c r="CO81" i="7"/>
  <c r="CM81" i="7"/>
  <c r="CL81" i="7"/>
  <c r="CK81" i="7"/>
  <c r="CJ81" i="7"/>
  <c r="CH81" i="7"/>
  <c r="CI81" i="7" s="1"/>
  <c r="CG81" i="7"/>
  <c r="CF81" i="7"/>
  <c r="CE81" i="7"/>
  <c r="CC81" i="7"/>
  <c r="CD81" i="7" s="1"/>
  <c r="CB81" i="7"/>
  <c r="CA81" i="7"/>
  <c r="BZ81" i="7"/>
  <c r="BX81" i="7"/>
  <c r="BY81" i="7" s="1"/>
  <c r="BW81" i="7"/>
  <c r="BV81" i="7"/>
  <c r="BU81" i="7"/>
  <c r="BS81" i="7"/>
  <c r="BT81" i="7" s="1"/>
  <c r="BR81" i="7"/>
  <c r="BQ81" i="7"/>
  <c r="BP81" i="7"/>
  <c r="BN81" i="7"/>
  <c r="BO81" i="7" s="1"/>
  <c r="BM81" i="7"/>
  <c r="BL81" i="7"/>
  <c r="BK81" i="7"/>
  <c r="BI81" i="7"/>
  <c r="BJ81" i="7" s="1"/>
  <c r="BH81" i="7"/>
  <c r="BG81" i="7"/>
  <c r="BF81" i="7"/>
  <c r="BE81" i="7"/>
  <c r="BD81" i="7"/>
  <c r="BC81" i="7"/>
  <c r="BB81" i="7"/>
  <c r="BA81" i="7"/>
  <c r="AZ81" i="7"/>
  <c r="AY81" i="7"/>
  <c r="AX81" i="7"/>
  <c r="AV81" i="7"/>
  <c r="AU81" i="7"/>
  <c r="AT81" i="7"/>
  <c r="AS81" i="7"/>
  <c r="AR81" i="7"/>
  <c r="AQ81" i="7"/>
  <c r="AP81" i="7"/>
  <c r="AO81" i="7"/>
  <c r="AN81" i="7"/>
  <c r="AM81" i="7"/>
  <c r="AL81" i="7"/>
  <c r="AK81" i="7"/>
  <c r="AJ81" i="7"/>
  <c r="AI81" i="7"/>
  <c r="AH81" i="7"/>
  <c r="AG81" i="7"/>
  <c r="AF81" i="7"/>
  <c r="AE81" i="7"/>
  <c r="AD81" i="7"/>
  <c r="AC81" i="7"/>
  <c r="AB81" i="7"/>
  <c r="AA81" i="7"/>
  <c r="Z81" i="7"/>
  <c r="Y81" i="7"/>
  <c r="X81" i="7"/>
  <c r="W81" i="7"/>
  <c r="V81" i="7"/>
  <c r="U81" i="7"/>
  <c r="T81" i="7"/>
  <c r="S81" i="7"/>
  <c r="R81" i="7"/>
  <c r="Q81" i="7"/>
  <c r="BS78" i="7"/>
  <c r="BR78" i="7"/>
  <c r="BQ78" i="7"/>
  <c r="BP78" i="7"/>
  <c r="BN78" i="7"/>
  <c r="BM78" i="7"/>
  <c r="BL78" i="7"/>
  <c r="BK78" i="7"/>
  <c r="BI78" i="7"/>
  <c r="BH78" i="7"/>
  <c r="BG78" i="7"/>
  <c r="BF78" i="7"/>
  <c r="BE78" i="7"/>
  <c r="BD78" i="7"/>
  <c r="BC78" i="7"/>
  <c r="BB78" i="7"/>
  <c r="BA78" i="7"/>
  <c r="AZ78" i="7"/>
  <c r="AY78" i="7"/>
  <c r="AX78" i="7"/>
  <c r="AV78" i="7"/>
  <c r="AU78" i="7"/>
  <c r="AT78" i="7"/>
  <c r="AS78" i="7"/>
  <c r="AR78" i="7"/>
  <c r="AQ78" i="7"/>
  <c r="AP78" i="7"/>
  <c r="AO78" i="7"/>
  <c r="AN78" i="7"/>
  <c r="AM78" i="7"/>
  <c r="AL78" i="7"/>
  <c r="AK78" i="7"/>
  <c r="AJ78" i="7"/>
  <c r="AI78" i="7"/>
  <c r="CO72" i="7"/>
  <c r="CM72" i="7"/>
  <c r="CL72" i="7"/>
  <c r="CK72" i="7"/>
  <c r="CJ72" i="7"/>
  <c r="CH72" i="7"/>
  <c r="CG72" i="7"/>
  <c r="CF72" i="7"/>
  <c r="CE72" i="7"/>
  <c r="CC72" i="7"/>
  <c r="CB72" i="7"/>
  <c r="CA72" i="7"/>
  <c r="BZ72" i="7"/>
  <c r="BX72" i="7"/>
  <c r="BW72" i="7"/>
  <c r="BV72" i="7"/>
  <c r="BU72" i="7"/>
  <c r="BS72" i="7"/>
  <c r="BR72" i="7"/>
  <c r="BQ72" i="7"/>
  <c r="BP72" i="7"/>
  <c r="BN72" i="7"/>
  <c r="BK72" i="7"/>
  <c r="BX71" i="7"/>
  <c r="BW71" i="7"/>
  <c r="BV71" i="7"/>
  <c r="BU71" i="7"/>
  <c r="BS71" i="7"/>
  <c r="BR71" i="7"/>
  <c r="BQ71" i="7"/>
  <c r="BP71" i="7"/>
  <c r="BN71" i="7"/>
  <c r="BM71" i="7"/>
  <c r="BL71" i="7"/>
  <c r="BK71" i="7"/>
  <c r="BI71" i="7"/>
  <c r="BH71" i="7"/>
  <c r="BG71" i="7"/>
  <c r="BF71" i="7"/>
  <c r="BE71" i="7"/>
  <c r="BD71" i="7"/>
  <c r="BC71" i="7"/>
  <c r="BB71" i="7"/>
  <c r="BA71" i="7"/>
  <c r="AZ71" i="7"/>
  <c r="AY71" i="7"/>
  <c r="AX71" i="7"/>
  <c r="AV71" i="7"/>
  <c r="CO66" i="7"/>
  <c r="CM66" i="7"/>
  <c r="CM71" i="7" s="1"/>
  <c r="CL66" i="7"/>
  <c r="CL71" i="7" s="1"/>
  <c r="CK66" i="7"/>
  <c r="CJ66" i="7"/>
  <c r="CJ71" i="7" s="1"/>
  <c r="CH66" i="7"/>
  <c r="CG66" i="7"/>
  <c r="CG71" i="7" s="1"/>
  <c r="CF66" i="7"/>
  <c r="CE66" i="7"/>
  <c r="CE71" i="7" s="1"/>
  <c r="CC66" i="7"/>
  <c r="CB66" i="7"/>
  <c r="CB71" i="7" s="1"/>
  <c r="CA66" i="7"/>
  <c r="BZ66" i="7"/>
  <c r="BZ69" i="7" s="1"/>
  <c r="BX66" i="7"/>
  <c r="O11" i="11" s="1"/>
  <c r="BW66" i="7"/>
  <c r="BV66" i="7"/>
  <c r="BU66" i="7"/>
  <c r="BS66" i="7"/>
  <c r="BR66" i="7"/>
  <c r="BQ66" i="7"/>
  <c r="BP66" i="7"/>
  <c r="BN66" i="7"/>
  <c r="M11" i="11" s="1"/>
  <c r="BM66" i="7"/>
  <c r="BL66" i="7"/>
  <c r="BL70" i="7" s="1"/>
  <c r="BK66" i="7"/>
  <c r="BK70" i="7" s="1"/>
  <c r="BI66" i="7"/>
  <c r="L11" i="11" s="1"/>
  <c r="BH66" i="7"/>
  <c r="BG66" i="7"/>
  <c r="BF66" i="7"/>
  <c r="BE66" i="7"/>
  <c r="K11" i="11" s="1"/>
  <c r="BD66" i="7"/>
  <c r="BD70" i="7" s="1"/>
  <c r="BC66" i="7"/>
  <c r="BC70" i="7" s="1"/>
  <c r="BB66" i="7"/>
  <c r="BB70" i="7" s="1"/>
  <c r="BA66" i="7"/>
  <c r="J11" i="11" s="1"/>
  <c r="AZ66" i="7"/>
  <c r="AZ70" i="7" s="1"/>
  <c r="AY66" i="7"/>
  <c r="AY70" i="7" s="1"/>
  <c r="AX66" i="7"/>
  <c r="AX70" i="7" s="1"/>
  <c r="AV66" i="7"/>
  <c r="AV70" i="7" s="1"/>
  <c r="AU66" i="7"/>
  <c r="AU70" i="7" s="1"/>
  <c r="AT66" i="7"/>
  <c r="AT70" i="7" s="1"/>
  <c r="AQ66" i="7"/>
  <c r="AQ70" i="7" s="1"/>
  <c r="AP66" i="7"/>
  <c r="AP70" i="7" s="1"/>
  <c r="AO66" i="7"/>
  <c r="H11" i="11" s="1"/>
  <c r="AN66" i="7"/>
  <c r="AN70" i="7" s="1"/>
  <c r="AL66" i="7"/>
  <c r="AL70" i="7" s="1"/>
  <c r="AK66" i="7"/>
  <c r="G11" i="11" s="1"/>
  <c r="AJ66" i="7"/>
  <c r="AJ70" i="7" s="1"/>
  <c r="AI66" i="7"/>
  <c r="AI70" i="7" s="1"/>
  <c r="AH66" i="7"/>
  <c r="AH70" i="7" s="1"/>
  <c r="AG66" i="7"/>
  <c r="F11" i="11" s="1"/>
  <c r="AF66" i="7"/>
  <c r="AF70" i="7" s="1"/>
  <c r="AE66" i="7"/>
  <c r="AE70" i="7" s="1"/>
  <c r="AD66" i="7"/>
  <c r="AD70" i="7" s="1"/>
  <c r="AC66" i="7"/>
  <c r="E11" i="11" s="1"/>
  <c r="AB66" i="7"/>
  <c r="AB70" i="7" s="1"/>
  <c r="AA66" i="7"/>
  <c r="AA70" i="7" s="1"/>
  <c r="Z66" i="7"/>
  <c r="Z70" i="7" s="1"/>
  <c r="Y66" i="7"/>
  <c r="D11" i="11" s="1"/>
  <c r="X66" i="7"/>
  <c r="X70" i="7" s="1"/>
  <c r="W66" i="7"/>
  <c r="W70" i="7" s="1"/>
  <c r="V66" i="7"/>
  <c r="V70" i="7" s="1"/>
  <c r="U66" i="7"/>
  <c r="C11" i="11" s="1"/>
  <c r="T66" i="7"/>
  <c r="S66" i="7"/>
  <c r="R66" i="7"/>
  <c r="Q66" i="7"/>
  <c r="Q70" i="7" s="1"/>
  <c r="CO60" i="7"/>
  <c r="CM60" i="7"/>
  <c r="CL60" i="7"/>
  <c r="CK60" i="7"/>
  <c r="CJ60" i="7"/>
  <c r="CH60" i="7"/>
  <c r="CG60" i="7"/>
  <c r="CF60" i="7"/>
  <c r="CE60" i="7"/>
  <c r="CC60" i="7"/>
  <c r="CB60" i="7"/>
  <c r="CA60" i="7"/>
  <c r="BZ60" i="7"/>
  <c r="BX60" i="7"/>
  <c r="BW60" i="7"/>
  <c r="BV60" i="7"/>
  <c r="BU60" i="7"/>
  <c r="BS60" i="7"/>
  <c r="BR60" i="7"/>
  <c r="BQ60" i="7"/>
  <c r="BP60" i="7"/>
  <c r="BN60" i="7"/>
  <c r="BM60" i="7"/>
  <c r="BL60" i="7"/>
  <c r="BK60" i="7"/>
  <c r="BI60" i="7"/>
  <c r="BH60" i="7"/>
  <c r="BG60" i="7"/>
  <c r="BF60" i="7"/>
  <c r="BE60" i="7"/>
  <c r="BD60" i="7"/>
  <c r="BC60" i="7"/>
  <c r="BB60" i="7"/>
  <c r="BA60" i="7"/>
  <c r="AZ60" i="7"/>
  <c r="AY60" i="7"/>
  <c r="AX60" i="7"/>
  <c r="AV60" i="7"/>
  <c r="AU60" i="7"/>
  <c r="AT60" i="7"/>
  <c r="AM60" i="7"/>
  <c r="AI60" i="7"/>
  <c r="AG60" i="7"/>
  <c r="AF60" i="7"/>
  <c r="AE60" i="7"/>
  <c r="AD60" i="7"/>
  <c r="AC60" i="7"/>
  <c r="AB60" i="7"/>
  <c r="AA60" i="7"/>
  <c r="Z60" i="7"/>
  <c r="Y60" i="7"/>
  <c r="X60" i="7"/>
  <c r="W60" i="7"/>
  <c r="V60" i="7"/>
  <c r="U60" i="7"/>
  <c r="T60" i="7"/>
  <c r="S60" i="7"/>
  <c r="R60" i="7"/>
  <c r="Q60" i="7"/>
  <c r="P60" i="7"/>
  <c r="O60" i="7"/>
  <c r="N60" i="7"/>
  <c r="CN59" i="7"/>
  <c r="CI59" i="7"/>
  <c r="CD59" i="7"/>
  <c r="CD198" i="7" s="1"/>
  <c r="BY59" i="7"/>
  <c r="BY198" i="7" s="1"/>
  <c r="BT59" i="7"/>
  <c r="BT198" i="7" s="1"/>
  <c r="BO59" i="7"/>
  <c r="BO198" i="7" s="1"/>
  <c r="BJ59" i="7"/>
  <c r="BJ198" i="7" s="1"/>
  <c r="CS58" i="7"/>
  <c r="CN58" i="7"/>
  <c r="CI58" i="7"/>
  <c r="CD58" i="7"/>
  <c r="BY58" i="7"/>
  <c r="BT58" i="7"/>
  <c r="BO58" i="7"/>
  <c r="BJ58" i="7"/>
  <c r="CS57" i="7"/>
  <c r="CN57" i="7"/>
  <c r="CI57" i="7"/>
  <c r="CD57" i="7"/>
  <c r="BY57" i="7"/>
  <c r="BT57" i="7"/>
  <c r="BO57" i="7"/>
  <c r="BJ57" i="7"/>
  <c r="AN57" i="7"/>
  <c r="AO57" i="7" s="1"/>
  <c r="AP57" i="7" s="1"/>
  <c r="AQ57" i="7" s="1"/>
  <c r="AR57" i="7" s="1"/>
  <c r="AS57" i="7" s="1"/>
  <c r="AJ57" i="7"/>
  <c r="AK57" i="7" s="1"/>
  <c r="AL57" i="7" s="1"/>
  <c r="AH57" i="7"/>
  <c r="CS56" i="7"/>
  <c r="CN56" i="7"/>
  <c r="CI56" i="7"/>
  <c r="CD56" i="7"/>
  <c r="BY56" i="7"/>
  <c r="BT56" i="7"/>
  <c r="BO56" i="7"/>
  <c r="BJ56" i="7"/>
  <c r="AQ56" i="7"/>
  <c r="AR56" i="7" s="1"/>
  <c r="AS56" i="7" s="1"/>
  <c r="AN56" i="7"/>
  <c r="AJ56" i="7"/>
  <c r="AK56" i="7" s="1"/>
  <c r="AL56" i="7" s="1"/>
  <c r="AH56" i="7"/>
  <c r="CN55" i="7"/>
  <c r="CI55" i="7"/>
  <c r="CD55" i="7"/>
  <c r="BY55" i="7"/>
  <c r="BT55" i="7"/>
  <c r="BO55" i="7"/>
  <c r="BJ55" i="7"/>
  <c r="CS54" i="7"/>
  <c r="CN54" i="7"/>
  <c r="CI54" i="7"/>
  <c r="CD54" i="7"/>
  <c r="BY54" i="7"/>
  <c r="BT54" i="7"/>
  <c r="BO54" i="7"/>
  <c r="BJ54" i="7"/>
  <c r="AL54" i="7"/>
  <c r="CN53" i="7"/>
  <c r="CI53" i="7"/>
  <c r="CD53" i="7"/>
  <c r="BY53" i="7"/>
  <c r="BT53" i="7"/>
  <c r="BO53" i="7"/>
  <c r="BJ53" i="7"/>
  <c r="AO53" i="7"/>
  <c r="AP53" i="7" s="1"/>
  <c r="AJ53" i="7"/>
  <c r="AK53" i="7" s="1"/>
  <c r="AH53" i="7"/>
  <c r="CS49" i="7"/>
  <c r="CN49" i="7"/>
  <c r="CI49" i="7"/>
  <c r="CD49" i="7"/>
  <c r="BY49" i="7"/>
  <c r="BT49" i="7"/>
  <c r="BO49" i="7"/>
  <c r="BJ49" i="7"/>
  <c r="AJ49" i="7"/>
  <c r="AK49" i="7" s="1"/>
  <c r="AL49" i="7" s="1"/>
  <c r="AM49" i="7" s="1"/>
  <c r="AN49" i="7" s="1"/>
  <c r="AO49" i="7" s="1"/>
  <c r="AP49" i="7" s="1"/>
  <c r="AQ49" i="7" s="1"/>
  <c r="AR49" i="7" s="1"/>
  <c r="AS49" i="7" s="1"/>
  <c r="AH49" i="7"/>
  <c r="X49" i="7"/>
  <c r="Y49" i="7" s="1"/>
  <c r="CS48" i="7"/>
  <c r="CN48" i="7"/>
  <c r="CI48" i="7"/>
  <c r="CD48" i="7"/>
  <c r="BY48" i="7"/>
  <c r="BT48" i="7"/>
  <c r="BO48" i="7"/>
  <c r="BJ48" i="7"/>
  <c r="AJ48" i="7"/>
  <c r="AK48" i="7" s="1"/>
  <c r="AL48" i="7" s="1"/>
  <c r="AM48" i="7" s="1"/>
  <c r="AN48" i="7" s="1"/>
  <c r="AO48" i="7" s="1"/>
  <c r="AP48" i="7" s="1"/>
  <c r="AQ48" i="7" s="1"/>
  <c r="AR48" i="7" s="1"/>
  <c r="AS48" i="7" s="1"/>
  <c r="AH48" i="7"/>
  <c r="W48" i="7"/>
  <c r="X48" i="7" s="1"/>
  <c r="Y48" i="7" s="1"/>
  <c r="CS46" i="7"/>
  <c r="CN46" i="7"/>
  <c r="CI46" i="7"/>
  <c r="CS47" i="7"/>
  <c r="CN47" i="7"/>
  <c r="CI47" i="7"/>
  <c r="CD47" i="7"/>
  <c r="BY47" i="7"/>
  <c r="BT47" i="7"/>
  <c r="BO47" i="7"/>
  <c r="BJ47" i="7"/>
  <c r="CS45" i="7"/>
  <c r="CN45" i="7"/>
  <c r="CI45" i="7"/>
  <c r="CD45" i="7"/>
  <c r="BY45" i="7"/>
  <c r="BT45" i="7"/>
  <c r="CS44" i="7"/>
  <c r="CN44" i="7"/>
  <c r="CK44" i="7"/>
  <c r="CJ44" i="7"/>
  <c r="CH44" i="7"/>
  <c r="CI44" i="7" s="1"/>
  <c r="CG44" i="7"/>
  <c r="CF44" i="7"/>
  <c r="CE44" i="7"/>
  <c r="CC44" i="7"/>
  <c r="CD44" i="7" s="1"/>
  <c r="CB44" i="7"/>
  <c r="CA44" i="7"/>
  <c r="BZ44" i="7"/>
  <c r="BX44" i="7"/>
  <c r="BY44" i="7" s="1"/>
  <c r="BW44" i="7"/>
  <c r="BV44" i="7"/>
  <c r="BU44" i="7"/>
  <c r="BS44" i="7"/>
  <c r="BT44" i="7" s="1"/>
  <c r="BR44" i="7"/>
  <c r="BQ44" i="7"/>
  <c r="BP44" i="7"/>
  <c r="BN44" i="7"/>
  <c r="BO44" i="7" s="1"/>
  <c r="BM44" i="7"/>
  <c r="BL44" i="7"/>
  <c r="BK44" i="7"/>
  <c r="BI44" i="7"/>
  <c r="BJ44" i="7" s="1"/>
  <c r="BH44" i="7"/>
  <c r="BG44" i="7"/>
  <c r="BF44" i="7"/>
  <c r="BE44" i="7"/>
  <c r="BD44" i="7"/>
  <c r="BC44" i="7"/>
  <c r="BB44" i="7"/>
  <c r="BA44" i="7"/>
  <c r="AZ44" i="7"/>
  <c r="AY44" i="7"/>
  <c r="AR44" i="7"/>
  <c r="AO44" i="7"/>
  <c r="AN44" i="7"/>
  <c r="AM44" i="7"/>
  <c r="AH44" i="7"/>
  <c r="CS43" i="7"/>
  <c r="CN43" i="7"/>
  <c r="CI43" i="7"/>
  <c r="CD43" i="7"/>
  <c r="BY43" i="7"/>
  <c r="BW43" i="7"/>
  <c r="BT43" i="7"/>
  <c r="BO43" i="7"/>
  <c r="BJ43" i="7"/>
  <c r="AJ43" i="7"/>
  <c r="AK43" i="7" s="1"/>
  <c r="AL43" i="7" s="1"/>
  <c r="AM43" i="7" s="1"/>
  <c r="AN43" i="7" s="1"/>
  <c r="AO43" i="7" s="1"/>
  <c r="AP43" i="7" s="1"/>
  <c r="AQ43" i="7" s="1"/>
  <c r="AR43" i="7" s="1"/>
  <c r="AS43" i="7" s="1"/>
  <c r="AH43" i="7"/>
  <c r="CN42" i="7"/>
  <c r="CN101" i="7" s="1"/>
  <c r="CI42" i="7"/>
  <c r="CI101" i="7" s="1"/>
  <c r="CD42" i="7"/>
  <c r="CD101" i="7" s="1"/>
  <c r="BY42" i="7"/>
  <c r="BY101" i="7" s="1"/>
  <c r="BT42" i="7"/>
  <c r="BT101" i="7" s="1"/>
  <c r="BO42" i="7"/>
  <c r="BO101" i="7" s="1"/>
  <c r="BJ42" i="7"/>
  <c r="BJ101" i="7" s="1"/>
  <c r="CN41" i="7"/>
  <c r="CI41" i="7"/>
  <c r="CD41" i="7"/>
  <c r="BY41" i="7"/>
  <c r="BT41" i="7"/>
  <c r="BO41" i="7"/>
  <c r="BJ41" i="7"/>
  <c r="AT41" i="7"/>
  <c r="CS40" i="7"/>
  <c r="CN40" i="7"/>
  <c r="CI40" i="7"/>
  <c r="CD40" i="7"/>
  <c r="BW40" i="7"/>
  <c r="BX40" i="7" s="1"/>
  <c r="BY40" i="7" s="1"/>
  <c r="BT40" i="7"/>
  <c r="BO40" i="7"/>
  <c r="BA40" i="7"/>
  <c r="BB40" i="7" s="1"/>
  <c r="BC40" i="7" s="1"/>
  <c r="BD40" i="7" s="1"/>
  <c r="BE40" i="7" s="1"/>
  <c r="BF40" i="7" s="1"/>
  <c r="BG40" i="7" s="1"/>
  <c r="BH40" i="7" s="1"/>
  <c r="BI40" i="7" s="1"/>
  <c r="BJ40" i="7" s="1"/>
  <c r="AO40" i="7"/>
  <c r="AP40" i="7" s="1"/>
  <c r="AQ40" i="7" s="1"/>
  <c r="AR40" i="7" s="1"/>
  <c r="AS40" i="7" s="1"/>
  <c r="AT40" i="7" s="1"/>
  <c r="AX40" i="7" s="1"/>
  <c r="AJ40" i="7"/>
  <c r="AK40" i="7" s="1"/>
  <c r="AH40" i="7"/>
  <c r="CO38" i="7"/>
  <c r="CM38" i="7"/>
  <c r="CL38" i="7"/>
  <c r="CK38" i="7"/>
  <c r="CJ38" i="7"/>
  <c r="CH38" i="7"/>
  <c r="CG38" i="7"/>
  <c r="CF38" i="7"/>
  <c r="CE38" i="7"/>
  <c r="CC38" i="7"/>
  <c r="CB38" i="7"/>
  <c r="CA38" i="7"/>
  <c r="BZ38" i="7"/>
  <c r="BX38" i="7"/>
  <c r="BV38" i="7"/>
  <c r="BU38" i="7"/>
  <c r="BS38" i="7"/>
  <c r="BR38" i="7"/>
  <c r="BQ38" i="7"/>
  <c r="BP38" i="7"/>
  <c r="BN38" i="7"/>
  <c r="BK38" i="7"/>
  <c r="BI38" i="7"/>
  <c r="BH38" i="7"/>
  <c r="BG38" i="7"/>
  <c r="BF38" i="7"/>
  <c r="BE38" i="7"/>
  <c r="BD38" i="7"/>
  <c r="BC38" i="7"/>
  <c r="BB38" i="7"/>
  <c r="BA38" i="7"/>
  <c r="AZ38" i="7"/>
  <c r="AY38" i="7"/>
  <c r="AU38" i="7"/>
  <c r="AT38" i="7"/>
  <c r="AQ38" i="7"/>
  <c r="AP38" i="7"/>
  <c r="AI38" i="7"/>
  <c r="AG38" i="7"/>
  <c r="AF38" i="7"/>
  <c r="AE38" i="7"/>
  <c r="AD38" i="7"/>
  <c r="AC38" i="7"/>
  <c r="AB38" i="7"/>
  <c r="Z38" i="7"/>
  <c r="Y38" i="7"/>
  <c r="X38" i="7"/>
  <c r="W38" i="7"/>
  <c r="V38" i="7"/>
  <c r="U38" i="7"/>
  <c r="U50" i="7" s="1"/>
  <c r="T38" i="7"/>
  <c r="T50" i="7" s="1"/>
  <c r="S38" i="7"/>
  <c r="S50" i="7" s="1"/>
  <c r="R38" i="7"/>
  <c r="R50" i="7" s="1"/>
  <c r="Q38" i="7"/>
  <c r="Q50" i="7" s="1"/>
  <c r="P38" i="7"/>
  <c r="P50" i="7" s="1"/>
  <c r="O38" i="7"/>
  <c r="O50" i="7" s="1"/>
  <c r="N38" i="7"/>
  <c r="N50" i="7" s="1"/>
  <c r="CS37" i="7"/>
  <c r="CN37" i="7"/>
  <c r="CI37" i="7"/>
  <c r="CD37" i="7"/>
  <c r="BY37" i="7"/>
  <c r="BW37" i="7"/>
  <c r="BW38" i="7" s="1"/>
  <c r="BT37" i="7"/>
  <c r="BO37" i="7"/>
  <c r="BJ37" i="7"/>
  <c r="AX37" i="7"/>
  <c r="AX38" i="7" s="1"/>
  <c r="AJ37" i="7"/>
  <c r="AK37" i="7" s="1"/>
  <c r="AL37" i="7" s="1"/>
  <c r="AH37" i="7"/>
  <c r="AH38" i="7" s="1"/>
  <c r="CS36" i="7"/>
  <c r="CN36" i="7"/>
  <c r="CI36" i="7"/>
  <c r="CD36" i="7"/>
  <c r="BY36" i="7"/>
  <c r="BT36" i="7"/>
  <c r="BO36" i="7"/>
  <c r="BJ36" i="7"/>
  <c r="CN35" i="7"/>
  <c r="CI35" i="7"/>
  <c r="CD35" i="7"/>
  <c r="BY35" i="7"/>
  <c r="BT35" i="7"/>
  <c r="BO35" i="7"/>
  <c r="BM35" i="7"/>
  <c r="BL35" i="7"/>
  <c r="BJ35" i="7"/>
  <c r="CN34" i="7"/>
  <c r="CI34" i="7"/>
  <c r="CD34" i="7"/>
  <c r="BY34" i="7"/>
  <c r="BT34" i="7"/>
  <c r="BO34" i="7"/>
  <c r="BJ34" i="7"/>
  <c r="AV34" i="7"/>
  <c r="AV38" i="7" s="1"/>
  <c r="AR34" i="7"/>
  <c r="AR38" i="7" s="1"/>
  <c r="AJ34" i="7"/>
  <c r="AK34" i="7" s="1"/>
  <c r="AA34" i="7"/>
  <c r="AA38" i="7" s="1"/>
  <c r="CN33" i="7"/>
  <c r="CN99" i="7" s="1"/>
  <c r="CI33" i="7"/>
  <c r="CI99" i="7" s="1"/>
  <c r="CD33" i="7"/>
  <c r="CD99" i="7" s="1"/>
  <c r="BY33" i="7"/>
  <c r="BY99" i="7" s="1"/>
  <c r="BT33" i="7"/>
  <c r="BT99" i="7" s="1"/>
  <c r="BO33" i="7"/>
  <c r="BO99" i="7" s="1"/>
  <c r="BJ33" i="7"/>
  <c r="BJ99" i="7" s="1"/>
  <c r="CN32" i="7"/>
  <c r="CN97" i="7" s="1"/>
  <c r="CI32" i="7"/>
  <c r="CI97" i="7" s="1"/>
  <c r="CD32" i="7"/>
  <c r="CD97" i="7" s="1"/>
  <c r="BY32" i="7"/>
  <c r="BY97" i="7" s="1"/>
  <c r="BT32" i="7"/>
  <c r="BT97" i="7" s="1"/>
  <c r="BO32" i="7"/>
  <c r="BO97" i="7" s="1"/>
  <c r="BJ32" i="7"/>
  <c r="BJ97" i="7" s="1"/>
  <c r="CN31" i="7"/>
  <c r="CI31" i="7"/>
  <c r="CD31" i="7"/>
  <c r="BY31" i="7"/>
  <c r="BY95" i="7" s="1"/>
  <c r="BT31" i="7"/>
  <c r="BT95" i="7" s="1"/>
  <c r="BO31" i="7"/>
  <c r="BO95" i="7" s="1"/>
  <c r="BJ31" i="7"/>
  <c r="BJ95" i="7" s="1"/>
  <c r="CN30" i="7"/>
  <c r="CN93" i="7" s="1"/>
  <c r="CI30" i="7"/>
  <c r="CI93" i="7" s="1"/>
  <c r="CD30" i="7"/>
  <c r="CD93" i="7" s="1"/>
  <c r="BY30" i="7"/>
  <c r="BY93" i="7" s="1"/>
  <c r="BT30" i="7"/>
  <c r="BT93" i="7" s="1"/>
  <c r="BO30" i="7"/>
  <c r="BO93" i="7" s="1"/>
  <c r="BJ30" i="7"/>
  <c r="BJ93" i="7" s="1"/>
  <c r="CN29" i="7"/>
  <c r="CI29" i="7"/>
  <c r="CD29" i="7"/>
  <c r="BY29" i="7"/>
  <c r="BY90" i="7" s="1"/>
  <c r="BT29" i="7"/>
  <c r="BT90" i="7" s="1"/>
  <c r="BO29" i="7"/>
  <c r="BO90" i="7" s="1"/>
  <c r="BJ29" i="7"/>
  <c r="BJ90" i="7" s="1"/>
  <c r="CN25" i="7"/>
  <c r="CN86" i="7" s="1"/>
  <c r="CI25" i="7"/>
  <c r="CI86" i="7" s="1"/>
  <c r="CD25" i="7"/>
  <c r="CD86" i="7" s="1"/>
  <c r="BX25" i="7"/>
  <c r="BX86" i="7" s="1"/>
  <c r="BW25" i="7"/>
  <c r="BW86" i="7" s="1"/>
  <c r="BV25" i="7"/>
  <c r="BV86" i="7" s="1"/>
  <c r="BU25" i="7"/>
  <c r="BU86" i="7" s="1"/>
  <c r="BT25" i="7"/>
  <c r="BT86" i="7" s="1"/>
  <c r="BO25" i="7"/>
  <c r="BO86" i="7" s="1"/>
  <c r="BJ25" i="7"/>
  <c r="BJ86" i="7" s="1"/>
  <c r="AX25" i="7"/>
  <c r="AX86" i="7" s="1"/>
  <c r="AW25" i="7"/>
  <c r="AW86" i="7" s="1"/>
  <c r="AV25" i="7"/>
  <c r="AV86" i="7" s="1"/>
  <c r="AU25" i="7"/>
  <c r="AU86" i="7" s="1"/>
  <c r="AT25" i="7"/>
  <c r="AT86" i="7" s="1"/>
  <c r="AS25" i="7"/>
  <c r="AS86" i="7" s="1"/>
  <c r="AR25" i="7"/>
  <c r="AR86" i="7" s="1"/>
  <c r="AQ25" i="7"/>
  <c r="AQ86" i="7" s="1"/>
  <c r="AP25" i="7"/>
  <c r="AP86" i="7" s="1"/>
  <c r="AN25" i="7"/>
  <c r="AN86" i="7" s="1"/>
  <c r="AM25" i="7"/>
  <c r="AM86" i="7" s="1"/>
  <c r="AL25" i="7"/>
  <c r="AL86" i="7" s="1"/>
  <c r="AK25" i="7"/>
  <c r="AK86" i="7" s="1"/>
  <c r="AJ25" i="7"/>
  <c r="AJ86" i="7" s="1"/>
  <c r="AI25" i="7"/>
  <c r="AI86" i="7" s="1"/>
  <c r="AF25" i="7"/>
  <c r="AF86" i="7" s="1"/>
  <c r="AE25" i="7"/>
  <c r="AE86" i="7" s="1"/>
  <c r="CP24" i="7"/>
  <c r="CS24" i="7" s="1"/>
  <c r="CN24" i="7"/>
  <c r="CI24" i="7"/>
  <c r="CD24" i="7"/>
  <c r="BY24" i="7"/>
  <c r="BT24" i="7"/>
  <c r="BO24" i="7"/>
  <c r="BJ24" i="7"/>
  <c r="AJ24" i="7"/>
  <c r="AK24" i="7" s="1"/>
  <c r="AG24" i="7"/>
  <c r="AH24" i="7" s="1"/>
  <c r="CS21" i="7"/>
  <c r="CN21" i="7"/>
  <c r="CI21" i="7"/>
  <c r="CN22" i="7"/>
  <c r="CI22" i="7"/>
  <c r="CD22" i="7"/>
  <c r="BY22" i="7"/>
  <c r="BT22" i="7"/>
  <c r="BO22" i="7"/>
  <c r="BJ22" i="7"/>
  <c r="CN23" i="7"/>
  <c r="CI23" i="7"/>
  <c r="CD23" i="7"/>
  <c r="BY23" i="7"/>
  <c r="BT23" i="7"/>
  <c r="BO23" i="7"/>
  <c r="BJ23" i="7"/>
  <c r="CN20" i="7"/>
  <c r="CI20" i="7"/>
  <c r="CD20" i="7"/>
  <c r="BY20" i="7"/>
  <c r="BY171" i="7" s="1"/>
  <c r="BZ167" i="7" s="1"/>
  <c r="BT20" i="7"/>
  <c r="BT171" i="7" s="1"/>
  <c r="BO20" i="7"/>
  <c r="BO171" i="7" s="1"/>
  <c r="BJ20" i="7"/>
  <c r="BJ171" i="7" s="1"/>
  <c r="CS19" i="7"/>
  <c r="CN19" i="7"/>
  <c r="CI19" i="7"/>
  <c r="CD19" i="7"/>
  <c r="BY19" i="7"/>
  <c r="BT19" i="7"/>
  <c r="CS18" i="7"/>
  <c r="CX18" i="7" s="1"/>
  <c r="DC18" i="7" s="1"/>
  <c r="DH18" i="7" s="1"/>
  <c r="DM18" i="7" s="1"/>
  <c r="DQ18" i="7" s="1"/>
  <c r="DR18" i="7" s="1"/>
  <c r="DS18" i="7" s="1"/>
  <c r="DT18" i="7" s="1"/>
  <c r="DU18" i="7" s="1"/>
  <c r="DV18" i="7" s="1"/>
  <c r="DW18" i="7" s="1"/>
  <c r="CN18" i="7"/>
  <c r="R12" i="11" s="1"/>
  <c r="CI18" i="7"/>
  <c r="Q12" i="11" s="1"/>
  <c r="CD18" i="7"/>
  <c r="P12" i="11" s="1"/>
  <c r="BY18" i="7"/>
  <c r="BT18" i="7"/>
  <c r="BO18" i="7"/>
  <c r="BJ18" i="7"/>
  <c r="CO16" i="7"/>
  <c r="CM16" i="7"/>
  <c r="CL16" i="7"/>
  <c r="CK16" i="7"/>
  <c r="CJ16" i="7"/>
  <c r="CH16" i="7"/>
  <c r="CG16" i="7"/>
  <c r="CF16" i="7"/>
  <c r="CE16" i="7"/>
  <c r="CC16" i="7"/>
  <c r="CB16" i="7"/>
  <c r="CA16" i="7"/>
  <c r="BZ16" i="7"/>
  <c r="BX16" i="7"/>
  <c r="BV16" i="7"/>
  <c r="BU16" i="7"/>
  <c r="BS16" i="7"/>
  <c r="BR16" i="7"/>
  <c r="BQ16" i="7"/>
  <c r="BP16" i="7"/>
  <c r="BN16" i="7"/>
  <c r="BI16" i="7"/>
  <c r="BH16" i="7"/>
  <c r="BG16" i="7"/>
  <c r="BE16" i="7"/>
  <c r="BD16" i="7"/>
  <c r="BC16" i="7"/>
  <c r="AU16" i="7"/>
  <c r="AT16" i="7"/>
  <c r="AO16" i="7"/>
  <c r="AN16" i="7"/>
  <c r="AL16" i="7"/>
  <c r="AK16" i="7"/>
  <c r="AH16" i="7"/>
  <c r="AG16" i="7"/>
  <c r="AF16" i="7"/>
  <c r="AE16" i="7"/>
  <c r="AD16" i="7"/>
  <c r="AC16" i="7"/>
  <c r="AB16" i="7"/>
  <c r="AA16" i="7"/>
  <c r="X16" i="7"/>
  <c r="W16" i="7"/>
  <c r="V16" i="7"/>
  <c r="U16" i="7"/>
  <c r="U26" i="7" s="1"/>
  <c r="T16" i="7"/>
  <c r="T26" i="7" s="1"/>
  <c r="S16" i="7"/>
  <c r="S26" i="7" s="1"/>
  <c r="R16" i="7"/>
  <c r="R26" i="7" s="1"/>
  <c r="Q16" i="7"/>
  <c r="Q26" i="7" s="1"/>
  <c r="P16" i="7"/>
  <c r="P26" i="7" s="1"/>
  <c r="O16" i="7"/>
  <c r="O26" i="7" s="1"/>
  <c r="N16" i="7"/>
  <c r="N26" i="7" s="1"/>
  <c r="CN15" i="7"/>
  <c r="CN84" i="7" s="1"/>
  <c r="CI15" i="7"/>
  <c r="CI84" i="7" s="1"/>
  <c r="CD15" i="7"/>
  <c r="CD84" i="7" s="1"/>
  <c r="BY15" i="7"/>
  <c r="BY84" i="7" s="1"/>
  <c r="BT15" i="7"/>
  <c r="BT84" i="7" s="1"/>
  <c r="BO15" i="7"/>
  <c r="BO84" i="7" s="1"/>
  <c r="BM15" i="7"/>
  <c r="BM84" i="7" s="1"/>
  <c r="BL15" i="7"/>
  <c r="BL84" i="7" s="1"/>
  <c r="BK15" i="7"/>
  <c r="BK84" i="7" s="1"/>
  <c r="BJ15" i="7"/>
  <c r="BJ84" i="7" s="1"/>
  <c r="BF15" i="7"/>
  <c r="BF84" i="7" s="1"/>
  <c r="BB15" i="7"/>
  <c r="BB84" i="7" s="1"/>
  <c r="BA15" i="7"/>
  <c r="AZ15" i="7"/>
  <c r="AZ84" i="7" s="1"/>
  <c r="AY15" i="7"/>
  <c r="AY84" i="7" s="1"/>
  <c r="AX15" i="7"/>
  <c r="AX84" i="7" s="1"/>
  <c r="AW15" i="7"/>
  <c r="AV15" i="7"/>
  <c r="AV84" i="7" s="1"/>
  <c r="CP14" i="7"/>
  <c r="CS14" i="7" s="1"/>
  <c r="CN14" i="7"/>
  <c r="CI14" i="7"/>
  <c r="CD14" i="7"/>
  <c r="BY14" i="7"/>
  <c r="BW14" i="7"/>
  <c r="BW16" i="7" s="1"/>
  <c r="BT14" i="7"/>
  <c r="BO14" i="7"/>
  <c r="BJ14" i="7"/>
  <c r="AI14" i="7"/>
  <c r="AI16" i="7" s="1"/>
  <c r="Z14" i="7"/>
  <c r="Z16" i="7" s="1"/>
  <c r="Y14" i="7"/>
  <c r="Y16" i="7" s="1"/>
  <c r="CS11" i="7"/>
  <c r="CN11" i="7"/>
  <c r="CI11" i="7"/>
  <c r="CD11" i="7"/>
  <c r="BY11" i="7"/>
  <c r="BT11" i="7"/>
  <c r="BO11" i="7"/>
  <c r="BJ11" i="7"/>
  <c r="AQ11" i="7"/>
  <c r="AQ16" i="7" s="1"/>
  <c r="AP11" i="7"/>
  <c r="AP16" i="7" s="1"/>
  <c r="AJ11" i="7"/>
  <c r="AJ16" i="7" s="1"/>
  <c r="CP13" i="7"/>
  <c r="CS13" i="7" s="1"/>
  <c r="CN13" i="7"/>
  <c r="CI13" i="7"/>
  <c r="CD13" i="7"/>
  <c r="BY13" i="7"/>
  <c r="BT13" i="7"/>
  <c r="BO13" i="7"/>
  <c r="BJ13" i="7"/>
  <c r="CN12" i="7"/>
  <c r="CI12" i="7"/>
  <c r="CD12" i="7"/>
  <c r="BY12" i="7"/>
  <c r="BT12" i="7"/>
  <c r="BO12" i="7"/>
  <c r="BJ12" i="7"/>
  <c r="CN10" i="7"/>
  <c r="CI10" i="7"/>
  <c r="CD10" i="7"/>
  <c r="BY10" i="7"/>
  <c r="BT10" i="7"/>
  <c r="BO10" i="7"/>
  <c r="BJ10" i="7"/>
  <c r="CN9" i="7"/>
  <c r="CI9" i="7"/>
  <c r="CD9" i="7"/>
  <c r="BY9" i="7"/>
  <c r="BT9" i="7"/>
  <c r="BO9" i="7"/>
  <c r="BJ9" i="7"/>
  <c r="CN8" i="7"/>
  <c r="CI8" i="7"/>
  <c r="CD8" i="7"/>
  <c r="BY8" i="7"/>
  <c r="BT8" i="7"/>
  <c r="BO8" i="7"/>
  <c r="BJ8" i="7"/>
  <c r="CS6" i="7"/>
  <c r="CR6" i="7"/>
  <c r="CQ6" i="7"/>
  <c r="CP6" i="7"/>
  <c r="CO6" i="7"/>
  <c r="CN6" i="7"/>
  <c r="CM6" i="7"/>
  <c r="CL6" i="7"/>
  <c r="CK6" i="7"/>
  <c r="CJ6" i="7"/>
  <c r="CI6" i="7"/>
  <c r="CH6" i="7"/>
  <c r="CG6" i="7"/>
  <c r="CF6" i="7"/>
  <c r="CE6" i="7"/>
  <c r="CD6" i="7"/>
  <c r="CC6" i="7"/>
  <c r="CB6" i="7"/>
  <c r="CA6" i="7"/>
  <c r="BZ6" i="7"/>
  <c r="BY6" i="7"/>
  <c r="BX6" i="7"/>
  <c r="BW6" i="7"/>
  <c r="BV6" i="7"/>
  <c r="BU6" i="7"/>
  <c r="BT6" i="7"/>
  <c r="BO6" i="7"/>
  <c r="BJ6" i="7"/>
  <c r="A2" i="7"/>
  <c r="F116" i="3"/>
  <c r="E116" i="3"/>
  <c r="D116" i="3"/>
  <c r="C116" i="3"/>
  <c r="AF113" i="3"/>
  <c r="Y113" i="3"/>
  <c r="X113" i="3"/>
  <c r="W113" i="3"/>
  <c r="R113" i="3"/>
  <c r="P113" i="3"/>
  <c r="O113" i="3"/>
  <c r="N113" i="3"/>
  <c r="M113" i="3"/>
  <c r="K113" i="3"/>
  <c r="J113" i="3"/>
  <c r="I113" i="3"/>
  <c r="H113" i="3"/>
  <c r="G113" i="3"/>
  <c r="CO98" i="3"/>
  <c r="CT99" i="3" s="1"/>
  <c r="CM98" i="3"/>
  <c r="CR99" i="3" s="1"/>
  <c r="CL98" i="3"/>
  <c r="CQ99" i="3" s="1"/>
  <c r="CK98" i="3"/>
  <c r="CJ98" i="3"/>
  <c r="CH98" i="3"/>
  <c r="CG98" i="3"/>
  <c r="CF98" i="3"/>
  <c r="CE98" i="3"/>
  <c r="CC98" i="3"/>
  <c r="CB98" i="3"/>
  <c r="CA98" i="3"/>
  <c r="BZ98" i="3"/>
  <c r="BX98" i="3"/>
  <c r="BW98" i="3"/>
  <c r="BV98" i="3"/>
  <c r="BU98" i="3"/>
  <c r="AU82" i="3"/>
  <c r="AP82" i="3"/>
  <c r="AK82" i="3"/>
  <c r="AF82" i="3"/>
  <c r="AA82" i="3"/>
  <c r="V82" i="3"/>
  <c r="Q82" i="3"/>
  <c r="L82" i="3"/>
  <c r="CB81" i="3"/>
  <c r="CA81" i="3"/>
  <c r="BW81" i="3"/>
  <c r="BV81" i="3"/>
  <c r="R81" i="3"/>
  <c r="M81" i="3"/>
  <c r="L81" i="3"/>
  <c r="H81" i="3"/>
  <c r="G81" i="3"/>
  <c r="B81" i="3"/>
  <c r="CB74" i="3"/>
  <c r="CA74" i="3"/>
  <c r="CO73" i="3"/>
  <c r="CM73" i="3"/>
  <c r="CL73" i="3"/>
  <c r="CK73" i="3"/>
  <c r="CJ73" i="3"/>
  <c r="CH73" i="3"/>
  <c r="CG73" i="3"/>
  <c r="CE73" i="3"/>
  <c r="CC73" i="3"/>
  <c r="BZ73" i="3"/>
  <c r="BX73" i="3"/>
  <c r="BU73" i="3"/>
  <c r="BS73" i="3"/>
  <c r="BR73" i="3"/>
  <c r="BQ73" i="3"/>
  <c r="BP73" i="3"/>
  <c r="BN73" i="3"/>
  <c r="BM73" i="3"/>
  <c r="BL73" i="3"/>
  <c r="BK73" i="3"/>
  <c r="CI325" i="82" s="1"/>
  <c r="BI73" i="3"/>
  <c r="BH73" i="3"/>
  <c r="BG73" i="3"/>
  <c r="BF73" i="3"/>
  <c r="BD73" i="3"/>
  <c r="BC73" i="3"/>
  <c r="BB73" i="3"/>
  <c r="BB74" i="3" s="1"/>
  <c r="BA73" i="3"/>
  <c r="AY73" i="3"/>
  <c r="AX73" i="3"/>
  <c r="AV73" i="3"/>
  <c r="AT73" i="3"/>
  <c r="AS73" i="3"/>
  <c r="AR73" i="3"/>
  <c r="AW74" i="3" s="1"/>
  <c r="AQ73" i="3"/>
  <c r="AO73" i="3"/>
  <c r="AN73" i="3"/>
  <c r="AM73" i="3"/>
  <c r="AL73" i="3"/>
  <c r="AH73" i="3"/>
  <c r="AG73" i="3"/>
  <c r="AB73" i="3"/>
  <c r="W73" i="3"/>
  <c r="R73" i="3"/>
  <c r="M73" i="3"/>
  <c r="L73" i="3"/>
  <c r="H73" i="3"/>
  <c r="G73" i="3"/>
  <c r="B73" i="3"/>
  <c r="CB70" i="3"/>
  <c r="CA70" i="3"/>
  <c r="BW70" i="3"/>
  <c r="BV70" i="3"/>
  <c r="CS69" i="3"/>
  <c r="CN69" i="3"/>
  <c r="CI69" i="3"/>
  <c r="CD69" i="3"/>
  <c r="CM66" i="3"/>
  <c r="CM18" i="3" s="1"/>
  <c r="CL66" i="3"/>
  <c r="CL18" i="3" s="1"/>
  <c r="CK66" i="3"/>
  <c r="CK18" i="3" s="1"/>
  <c r="CJ66" i="3"/>
  <c r="CJ18" i="3" s="1"/>
  <c r="CH66" i="3"/>
  <c r="CH18" i="3" s="1"/>
  <c r="CG66" i="3"/>
  <c r="CF66" i="3"/>
  <c r="CF18" i="3" s="1"/>
  <c r="CE66" i="3"/>
  <c r="CE18" i="3" s="1"/>
  <c r="CC66" i="3"/>
  <c r="CC18" i="3" s="1"/>
  <c r="CB66" i="3"/>
  <c r="CB18" i="3" s="1"/>
  <c r="CA66" i="3"/>
  <c r="CA18" i="3" s="1"/>
  <c r="BZ66" i="3"/>
  <c r="BZ18" i="3" s="1"/>
  <c r="BX66" i="3"/>
  <c r="BX18" i="3" s="1"/>
  <c r="BW66" i="3"/>
  <c r="BW18" i="3" s="1"/>
  <c r="BV66" i="3"/>
  <c r="BV18" i="3" s="1"/>
  <c r="BU66" i="3"/>
  <c r="BU18" i="3" s="1"/>
  <c r="BS66" i="3"/>
  <c r="BS18" i="3" s="1"/>
  <c r="BR66" i="3"/>
  <c r="BR18" i="3" s="1"/>
  <c r="BP66" i="3"/>
  <c r="BP18" i="3" s="1"/>
  <c r="BN66" i="3"/>
  <c r="BN18" i="3" s="1"/>
  <c r="BM66" i="3"/>
  <c r="BM18" i="3" s="1"/>
  <c r="BL66" i="3"/>
  <c r="BL18" i="3" s="1"/>
  <c r="BK66" i="3"/>
  <c r="BK18" i="3" s="1"/>
  <c r="BI66" i="3"/>
  <c r="BI18" i="3" s="1"/>
  <c r="BH66" i="3"/>
  <c r="BH18" i="3" s="1"/>
  <c r="BG66" i="3"/>
  <c r="BG18" i="3" s="1"/>
  <c r="BF66" i="3"/>
  <c r="BF18" i="3" s="1"/>
  <c r="BD66" i="3"/>
  <c r="BD18" i="3" s="1"/>
  <c r="BC66" i="3"/>
  <c r="BC18" i="3" s="1"/>
  <c r="BB66" i="3"/>
  <c r="BB18" i="3" s="1"/>
  <c r="BA66" i="3"/>
  <c r="BA18" i="3" s="1"/>
  <c r="AY66" i="3"/>
  <c r="AY18" i="3" s="1"/>
  <c r="AX66" i="3"/>
  <c r="AX18" i="3" s="1"/>
  <c r="AV66" i="3"/>
  <c r="AV18" i="3" s="1"/>
  <c r="AT66" i="3"/>
  <c r="AT18" i="3" s="1"/>
  <c r="AS66" i="3"/>
  <c r="AS18" i="3" s="1"/>
  <c r="AR66" i="3"/>
  <c r="AR18" i="3" s="1"/>
  <c r="AQ66" i="3"/>
  <c r="AQ18" i="3" s="1"/>
  <c r="AO66" i="3"/>
  <c r="AO18" i="3" s="1"/>
  <c r="AN66" i="3"/>
  <c r="AN18" i="3" s="1"/>
  <c r="AL66" i="3"/>
  <c r="AL18" i="3" s="1"/>
  <c r="AJ66" i="3"/>
  <c r="AJ18" i="3" s="1"/>
  <c r="AH66" i="3"/>
  <c r="AH18" i="3" s="1"/>
  <c r="AG66" i="3"/>
  <c r="AG18" i="3" s="1"/>
  <c r="AB66" i="3"/>
  <c r="AB18" i="3" s="1"/>
  <c r="AA66" i="3"/>
  <c r="W66" i="3"/>
  <c r="W18" i="3" s="1"/>
  <c r="V66" i="3"/>
  <c r="R66" i="3"/>
  <c r="R18" i="3" s="1"/>
  <c r="Q66" i="3"/>
  <c r="M66" i="3"/>
  <c r="M18" i="3" s="1"/>
  <c r="L66" i="3"/>
  <c r="L18" i="3" s="1"/>
  <c r="H66" i="3"/>
  <c r="H18" i="3" s="1"/>
  <c r="G66" i="3"/>
  <c r="G18" i="3" s="1"/>
  <c r="C66" i="3"/>
  <c r="C18" i="3" s="1"/>
  <c r="B66" i="3"/>
  <c r="B18" i="3" s="1"/>
  <c r="CN65" i="3"/>
  <c r="CI65" i="3"/>
  <c r="CD65" i="3"/>
  <c r="BY65" i="3"/>
  <c r="BT65" i="3"/>
  <c r="BO65" i="3"/>
  <c r="BJ65" i="3"/>
  <c r="BE65" i="3"/>
  <c r="AZ65" i="3"/>
  <c r="AU65" i="3"/>
  <c r="AP65" i="3"/>
  <c r="AI65" i="3"/>
  <c r="AK65" i="3" s="1"/>
  <c r="AC65" i="3"/>
  <c r="AD65" i="3" s="1"/>
  <c r="AE65" i="3" s="1"/>
  <c r="X65" i="3"/>
  <c r="Y65" i="3" s="1"/>
  <c r="Z65" i="3" s="1"/>
  <c r="S65" i="3"/>
  <c r="T65" i="3" s="1"/>
  <c r="U65" i="3" s="1"/>
  <c r="N65" i="3"/>
  <c r="I65" i="3"/>
  <c r="J65" i="3" s="1"/>
  <c r="D65" i="3"/>
  <c r="CN64" i="3"/>
  <c r="CI64" i="3"/>
  <c r="CD64" i="3"/>
  <c r="BY64" i="3"/>
  <c r="BT64" i="3"/>
  <c r="BO64" i="3"/>
  <c r="BJ64" i="3"/>
  <c r="BE64" i="3"/>
  <c r="AZ64" i="3"/>
  <c r="AU64" i="3"/>
  <c r="AP64" i="3"/>
  <c r="AI64" i="3"/>
  <c r="AK64" i="3" s="1"/>
  <c r="AC64" i="3"/>
  <c r="AD64" i="3" s="1"/>
  <c r="AE64" i="3" s="1"/>
  <c r="X64" i="3"/>
  <c r="Y64" i="3" s="1"/>
  <c r="Z64" i="3" s="1"/>
  <c r="S64" i="3"/>
  <c r="N64" i="3"/>
  <c r="O64" i="3" s="1"/>
  <c r="P64" i="3" s="1"/>
  <c r="I64" i="3"/>
  <c r="J64" i="3" s="1"/>
  <c r="D64" i="3"/>
  <c r="CN63" i="3"/>
  <c r="CI63" i="3"/>
  <c r="CD63" i="3"/>
  <c r="BY63" i="3"/>
  <c r="BT63" i="3"/>
  <c r="BO63" i="3"/>
  <c r="BJ63" i="3"/>
  <c r="BE63" i="3"/>
  <c r="AZ63" i="3"/>
  <c r="AU63" i="3"/>
  <c r="AP63" i="3"/>
  <c r="AI63" i="3"/>
  <c r="AK63" i="3" s="1"/>
  <c r="AC63" i="3"/>
  <c r="AD63" i="3" s="1"/>
  <c r="AE63" i="3" s="1"/>
  <c r="X63" i="3"/>
  <c r="Y63" i="3" s="1"/>
  <c r="Z63" i="3" s="1"/>
  <c r="S63" i="3"/>
  <c r="T63" i="3" s="1"/>
  <c r="U63" i="3" s="1"/>
  <c r="N63" i="3"/>
  <c r="I63" i="3"/>
  <c r="D63" i="3"/>
  <c r="CN62" i="3"/>
  <c r="CI62" i="3"/>
  <c r="CD62" i="3"/>
  <c r="BY62" i="3"/>
  <c r="BT62" i="3"/>
  <c r="BO62" i="3"/>
  <c r="BJ62" i="3"/>
  <c r="BE62" i="3"/>
  <c r="AZ62" i="3"/>
  <c r="AU62" i="3"/>
  <c r="AP62" i="3"/>
  <c r="AI62" i="3"/>
  <c r="AK62" i="3" s="1"/>
  <c r="AC62" i="3"/>
  <c r="AD62" i="3" s="1"/>
  <c r="AE62" i="3" s="1"/>
  <c r="X62" i="3"/>
  <c r="Y62" i="3" s="1"/>
  <c r="Z62" i="3" s="1"/>
  <c r="S62" i="3"/>
  <c r="N62" i="3"/>
  <c r="O62" i="3" s="1"/>
  <c r="I62" i="3"/>
  <c r="D62" i="3"/>
  <c r="E62" i="3" s="1"/>
  <c r="F62" i="3" s="1"/>
  <c r="CN61" i="3"/>
  <c r="CI61" i="3"/>
  <c r="CD61" i="3"/>
  <c r="BY61" i="3"/>
  <c r="BT61" i="3"/>
  <c r="BO61" i="3"/>
  <c r="BJ61" i="3"/>
  <c r="BE61" i="3"/>
  <c r="AZ61" i="3"/>
  <c r="AU61" i="3"/>
  <c r="AP61" i="3"/>
  <c r="AI61" i="3"/>
  <c r="AK61" i="3" s="1"/>
  <c r="AC61" i="3"/>
  <c r="AD61" i="3" s="1"/>
  <c r="AE61" i="3" s="1"/>
  <c r="X61" i="3"/>
  <c r="Y61" i="3" s="1"/>
  <c r="Z61" i="3" s="1"/>
  <c r="S61" i="3"/>
  <c r="T61" i="3" s="1"/>
  <c r="U61" i="3" s="1"/>
  <c r="N61" i="3"/>
  <c r="O61" i="3" s="1"/>
  <c r="P61" i="3" s="1"/>
  <c r="I61" i="3"/>
  <c r="D61" i="3"/>
  <c r="CS60" i="3"/>
  <c r="CN60" i="3"/>
  <c r="CI60" i="3"/>
  <c r="CD60" i="3"/>
  <c r="BY60" i="3"/>
  <c r="BT60" i="3"/>
  <c r="BO60" i="3"/>
  <c r="BJ60" i="3"/>
  <c r="BE60" i="3"/>
  <c r="CN59" i="3"/>
  <c r="CI59" i="3"/>
  <c r="CD59" i="3"/>
  <c r="BY59" i="3"/>
  <c r="BQ59" i="3"/>
  <c r="BT59" i="3" s="1"/>
  <c r="BO59" i="3"/>
  <c r="BJ59" i="3"/>
  <c r="BE59" i="3"/>
  <c r="AZ59" i="3"/>
  <c r="AU59" i="3"/>
  <c r="AP59" i="3"/>
  <c r="AI59" i="3"/>
  <c r="AK59" i="3" s="1"/>
  <c r="AC59" i="3"/>
  <c r="AD59" i="3" s="1"/>
  <c r="X59" i="3"/>
  <c r="Y59" i="3" s="1"/>
  <c r="Z59" i="3" s="1"/>
  <c r="S59" i="3"/>
  <c r="N59" i="3"/>
  <c r="I59" i="3"/>
  <c r="D59" i="3"/>
  <c r="CN58" i="3"/>
  <c r="CI58" i="3"/>
  <c r="CD58" i="3"/>
  <c r="BY58" i="3"/>
  <c r="BT58" i="3"/>
  <c r="BO58" i="3"/>
  <c r="BJ58" i="3"/>
  <c r="BE58" i="3"/>
  <c r="AZ58" i="3"/>
  <c r="AU58" i="3"/>
  <c r="AM58" i="3"/>
  <c r="AP58" i="3" s="1"/>
  <c r="AI58" i="3"/>
  <c r="AC58" i="3"/>
  <c r="AD58" i="3" s="1"/>
  <c r="AE58" i="3" s="1"/>
  <c r="X58" i="3"/>
  <c r="S58" i="3"/>
  <c r="T58" i="3" s="1"/>
  <c r="N58" i="3"/>
  <c r="I58" i="3"/>
  <c r="D58" i="3"/>
  <c r="BT56" i="3"/>
  <c r="BS56" i="3"/>
  <c r="BR56" i="3"/>
  <c r="BQ56" i="3"/>
  <c r="BP56" i="3"/>
  <c r="BO56" i="3"/>
  <c r="BN56" i="3"/>
  <c r="BM56" i="3"/>
  <c r="BL56" i="3"/>
  <c r="BK56" i="3"/>
  <c r="BJ56" i="3"/>
  <c r="BI56" i="3"/>
  <c r="BH56" i="3"/>
  <c r="BG56" i="3"/>
  <c r="BF56" i="3"/>
  <c r="BE56" i="3"/>
  <c r="BD56" i="3"/>
  <c r="BC56" i="3"/>
  <c r="BB56" i="3"/>
  <c r="BA56" i="3"/>
  <c r="AZ56" i="3"/>
  <c r="AY56" i="3"/>
  <c r="AX56" i="3"/>
  <c r="AV56" i="3"/>
  <c r="AU56" i="3"/>
  <c r="AT56" i="3"/>
  <c r="AS56" i="3"/>
  <c r="AR56" i="3"/>
  <c r="AQ56" i="3"/>
  <c r="AP56" i="3"/>
  <c r="AO56" i="3"/>
  <c r="AN56" i="3"/>
  <c r="AM56" i="3"/>
  <c r="AL56" i="3"/>
  <c r="AK56" i="3"/>
  <c r="AJ56" i="3"/>
  <c r="AI56" i="3"/>
  <c r="AH56" i="3"/>
  <c r="AG56" i="3"/>
  <c r="AF56" i="3"/>
  <c r="AE56" i="3"/>
  <c r="AC56" i="3"/>
  <c r="CJ51" i="3"/>
  <c r="BT51" i="3"/>
  <c r="CS48" i="3"/>
  <c r="CN48" i="3"/>
  <c r="CI48" i="3"/>
  <c r="CD48" i="3"/>
  <c r="BY48" i="3"/>
  <c r="BR48" i="3"/>
  <c r="BP48" i="3"/>
  <c r="BK48" i="3"/>
  <c r="BJ48" i="3"/>
  <c r="BE48" i="3"/>
  <c r="AZ48" i="3"/>
  <c r="AU48" i="3"/>
  <c r="AL48" i="3"/>
  <c r="AI48" i="3"/>
  <c r="AC48" i="3"/>
  <c r="X48" i="3"/>
  <c r="S48" i="3"/>
  <c r="N48" i="3"/>
  <c r="I48" i="3"/>
  <c r="J48" i="3" s="1"/>
  <c r="K48" i="3" s="1"/>
  <c r="D48" i="3"/>
  <c r="E48" i="3" s="1"/>
  <c r="F48" i="3" s="1"/>
  <c r="CO46" i="3"/>
  <c r="CM46" i="3"/>
  <c r="CL46" i="3"/>
  <c r="CK46" i="3"/>
  <c r="CJ46" i="3"/>
  <c r="CH46" i="3"/>
  <c r="CG46" i="3"/>
  <c r="CF46" i="3"/>
  <c r="CE46" i="3"/>
  <c r="CC46" i="3"/>
  <c r="CB46" i="3"/>
  <c r="BZ46" i="3"/>
  <c r="BW46" i="3"/>
  <c r="BV46" i="3"/>
  <c r="BS46" i="3"/>
  <c r="BP46" i="3"/>
  <c r="BN46" i="3"/>
  <c r="BL46" i="3"/>
  <c r="BK46" i="3"/>
  <c r="BI46" i="3"/>
  <c r="BG46" i="3"/>
  <c r="BF46" i="3"/>
  <c r="BD46" i="3"/>
  <c r="BB46" i="3"/>
  <c r="BA46" i="3"/>
  <c r="AX46" i="3"/>
  <c r="AV46" i="3"/>
  <c r="AH46" i="3"/>
  <c r="AG46" i="3"/>
  <c r="AF46" i="3"/>
  <c r="AB46" i="3"/>
  <c r="AA46" i="3"/>
  <c r="W46" i="3"/>
  <c r="V46" i="3"/>
  <c r="R46" i="3"/>
  <c r="Q46" i="3"/>
  <c r="M46" i="3"/>
  <c r="L46" i="3"/>
  <c r="H46" i="3"/>
  <c r="G46" i="3"/>
  <c r="C46" i="3"/>
  <c r="B46" i="3"/>
  <c r="CS45" i="3"/>
  <c r="CN45" i="3"/>
  <c r="CI45" i="3"/>
  <c r="CD45" i="3"/>
  <c r="BY45" i="3"/>
  <c r="CS44" i="3"/>
  <c r="CN44" i="3"/>
  <c r="CI44" i="3"/>
  <c r="CD44" i="3"/>
  <c r="BY44" i="3"/>
  <c r="BQ44" i="3"/>
  <c r="BO44" i="3"/>
  <c r="BJ44" i="3"/>
  <c r="BE44" i="3"/>
  <c r="AZ44" i="3"/>
  <c r="AU44" i="3"/>
  <c r="AP44" i="3"/>
  <c r="AK44" i="3"/>
  <c r="AE44" i="3"/>
  <c r="Z44" i="3"/>
  <c r="S44" i="3"/>
  <c r="N44" i="3"/>
  <c r="I44" i="3"/>
  <c r="J44" i="3" s="1"/>
  <c r="K44" i="3" s="1"/>
  <c r="D44" i="3"/>
  <c r="E44" i="3" s="1"/>
  <c r="F44" i="3" s="1"/>
  <c r="CS43" i="3"/>
  <c r="CN43" i="3"/>
  <c r="CI43" i="3"/>
  <c r="CD43" i="3"/>
  <c r="BX43" i="3"/>
  <c r="BU43" i="3"/>
  <c r="BT43" i="3"/>
  <c r="BO43" i="3"/>
  <c r="BJ43" i="3"/>
  <c r="BE43" i="3"/>
  <c r="AZ43" i="3"/>
  <c r="AU43" i="3"/>
  <c r="AP43" i="3"/>
  <c r="AK43" i="3"/>
  <c r="AE43" i="3"/>
  <c r="Z43" i="3"/>
  <c r="S43" i="3"/>
  <c r="U43" i="3" s="1"/>
  <c r="N43" i="3"/>
  <c r="O43" i="3" s="1"/>
  <c r="P43" i="3" s="1"/>
  <c r="I43" i="3"/>
  <c r="J43" i="3" s="1"/>
  <c r="K43" i="3" s="1"/>
  <c r="D43" i="3"/>
  <c r="E43" i="3" s="1"/>
  <c r="F43" i="3" s="1"/>
  <c r="CS42" i="3"/>
  <c r="CN42" i="3"/>
  <c r="CI42" i="3"/>
  <c r="CD42" i="3"/>
  <c r="BX42" i="3"/>
  <c r="BU42" i="3"/>
  <c r="BT42" i="3"/>
  <c r="BO42" i="3"/>
  <c r="BJ42" i="3"/>
  <c r="BE42" i="3"/>
  <c r="AZ42" i="3"/>
  <c r="AU42" i="3"/>
  <c r="AP42" i="3"/>
  <c r="AK42" i="3"/>
  <c r="AE42" i="3"/>
  <c r="Z42" i="3"/>
  <c r="S42" i="3"/>
  <c r="U42" i="3" s="1"/>
  <c r="N42" i="3"/>
  <c r="O42" i="3" s="1"/>
  <c r="P42" i="3" s="1"/>
  <c r="CS41" i="3"/>
  <c r="CN41" i="3"/>
  <c r="CI41" i="3"/>
  <c r="CD41" i="3"/>
  <c r="BX41" i="3"/>
  <c r="BY41" i="3" s="1"/>
  <c r="BR41" i="3"/>
  <c r="BR46" i="3" s="1"/>
  <c r="BM41" i="3"/>
  <c r="BM46" i="3" s="1"/>
  <c r="BH41" i="3"/>
  <c r="BC41" i="3"/>
  <c r="BE41" i="3" s="1"/>
  <c r="AY41" i="3"/>
  <c r="AY46" i="3" s="1"/>
  <c r="AT41" i="3"/>
  <c r="AT46" i="3" s="1"/>
  <c r="AS41" i="3"/>
  <c r="AR41" i="3"/>
  <c r="AQ41" i="3"/>
  <c r="AQ46" i="3" s="1"/>
  <c r="AN41" i="3"/>
  <c r="AN46" i="3" s="1"/>
  <c r="AM41" i="3"/>
  <c r="AM46" i="3" s="1"/>
  <c r="AL41" i="3"/>
  <c r="AL46" i="3" s="1"/>
  <c r="AJ41" i="3"/>
  <c r="AI41" i="3"/>
  <c r="AC41" i="3"/>
  <c r="AD41" i="3" s="1"/>
  <c r="AE41" i="3" s="1"/>
  <c r="X41" i="3"/>
  <c r="Y41" i="3" s="1"/>
  <c r="Z41" i="3" s="1"/>
  <c r="CN38" i="3"/>
  <c r="CI38" i="3"/>
  <c r="CA38" i="3"/>
  <c r="BY38" i="3"/>
  <c r="BT38" i="3"/>
  <c r="BO38" i="3"/>
  <c r="BJ38" i="3"/>
  <c r="BE38" i="3"/>
  <c r="AZ38" i="3"/>
  <c r="AU38" i="3"/>
  <c r="AO38" i="3"/>
  <c r="AI38" i="3"/>
  <c r="AC38" i="3"/>
  <c r="X38" i="3"/>
  <c r="S38" i="3"/>
  <c r="T38" i="3" s="1"/>
  <c r="U38" i="3" s="1"/>
  <c r="N38" i="3"/>
  <c r="I38" i="3"/>
  <c r="J38" i="3" s="1"/>
  <c r="K38" i="3" s="1"/>
  <c r="D38" i="3"/>
  <c r="E38" i="3" s="1"/>
  <c r="F38" i="3" s="1"/>
  <c r="CN39" i="3"/>
  <c r="CI39" i="3"/>
  <c r="CD39" i="3"/>
  <c r="BY39" i="3"/>
  <c r="BT39" i="3"/>
  <c r="BO39" i="3"/>
  <c r="BJ39" i="3"/>
  <c r="BE39" i="3"/>
  <c r="AZ39" i="3"/>
  <c r="AU39" i="3"/>
  <c r="AO39" i="3"/>
  <c r="AJ39" i="3"/>
  <c r="AE39" i="3"/>
  <c r="Z39" i="3"/>
  <c r="CS37" i="3"/>
  <c r="CN37" i="3"/>
  <c r="CI37" i="3"/>
  <c r="CD37" i="3"/>
  <c r="BY37" i="3"/>
  <c r="BT37" i="3"/>
  <c r="BO37" i="3"/>
  <c r="BJ37" i="3"/>
  <c r="BE37" i="3"/>
  <c r="AZ37" i="3"/>
  <c r="AS37" i="3"/>
  <c r="AP37" i="3"/>
  <c r="AK37" i="3"/>
  <c r="AE37" i="3"/>
  <c r="CS36" i="3"/>
  <c r="CN36" i="3"/>
  <c r="CI36" i="3"/>
  <c r="CD36" i="3"/>
  <c r="BY36" i="3"/>
  <c r="BT36" i="3"/>
  <c r="BO36" i="3"/>
  <c r="BJ36" i="3"/>
  <c r="BE36" i="3"/>
  <c r="AZ36" i="3"/>
  <c r="AU36" i="3"/>
  <c r="AP36" i="3"/>
  <c r="AK36" i="3"/>
  <c r="AE36" i="3"/>
  <c r="Z36" i="3"/>
  <c r="S36" i="3"/>
  <c r="N36" i="3"/>
  <c r="I36" i="3"/>
  <c r="D36" i="3"/>
  <c r="CS35" i="3"/>
  <c r="CN35" i="3"/>
  <c r="CI35" i="3"/>
  <c r="CD35" i="3"/>
  <c r="BY35" i="3"/>
  <c r="BT35" i="3"/>
  <c r="BO35" i="3"/>
  <c r="BJ35" i="3"/>
  <c r="BE35" i="3"/>
  <c r="AZ35" i="3"/>
  <c r="AU35" i="3"/>
  <c r="AP35" i="3"/>
  <c r="AK35" i="3"/>
  <c r="AE35" i="3"/>
  <c r="Y35" i="3"/>
  <c r="S35" i="3"/>
  <c r="O35" i="3"/>
  <c r="CO32" i="3"/>
  <c r="CL32" i="3"/>
  <c r="CK32" i="3"/>
  <c r="CJ32" i="3"/>
  <c r="CH32" i="3"/>
  <c r="CG32" i="3"/>
  <c r="CE32" i="3"/>
  <c r="CC32" i="3"/>
  <c r="BZ32" i="3"/>
  <c r="AQ32" i="3"/>
  <c r="AO32" i="3"/>
  <c r="AL32" i="3"/>
  <c r="AG32" i="3"/>
  <c r="AF32" i="3"/>
  <c r="AB32" i="3"/>
  <c r="W32" i="3"/>
  <c r="V32" i="3"/>
  <c r="R32" i="3"/>
  <c r="Q32" i="3"/>
  <c r="M32" i="3"/>
  <c r="L32" i="3"/>
  <c r="H32" i="3"/>
  <c r="G32" i="3"/>
  <c r="C32" i="3"/>
  <c r="B32" i="3"/>
  <c r="CS31" i="3"/>
  <c r="CN31" i="3"/>
  <c r="CI31" i="3"/>
  <c r="CD31" i="3"/>
  <c r="CS29" i="3"/>
  <c r="CN29" i="3"/>
  <c r="CF29" i="3"/>
  <c r="CI29" i="3" s="1"/>
  <c r="CD29" i="3"/>
  <c r="BX29" i="3"/>
  <c r="BX32" i="3" s="1"/>
  <c r="BW29" i="3"/>
  <c r="BV29" i="3"/>
  <c r="BV32" i="3" s="1"/>
  <c r="BU29" i="3"/>
  <c r="BU32" i="3" s="1"/>
  <c r="BS29" i="3"/>
  <c r="BS32" i="3" s="1"/>
  <c r="BR29" i="3"/>
  <c r="BR32" i="3" s="1"/>
  <c r="BQ29" i="3"/>
  <c r="BN29" i="3"/>
  <c r="BN32" i="3" s="1"/>
  <c r="BM29" i="3"/>
  <c r="BM32" i="3" s="1"/>
  <c r="BL29" i="3"/>
  <c r="BI29" i="3"/>
  <c r="BI32" i="3" s="1"/>
  <c r="BH29" i="3"/>
  <c r="BH32" i="3" s="1"/>
  <c r="BG29" i="3"/>
  <c r="BG32" i="3" s="1"/>
  <c r="BF29" i="3"/>
  <c r="BD29" i="3"/>
  <c r="BD32" i="3" s="1"/>
  <c r="BC29" i="3"/>
  <c r="BC32" i="3" s="1"/>
  <c r="BB29" i="3"/>
  <c r="BB32" i="3" s="1"/>
  <c r="BA29" i="3"/>
  <c r="AY29" i="3"/>
  <c r="AY32" i="3" s="1"/>
  <c r="AX29" i="3"/>
  <c r="AX32" i="3" s="1"/>
  <c r="AW29" i="3"/>
  <c r="AW32" i="3" s="1"/>
  <c r="AV29" i="3"/>
  <c r="AV32" i="3" s="1"/>
  <c r="AT29" i="3"/>
  <c r="AT32" i="3" s="1"/>
  <c r="AS29" i="3"/>
  <c r="AR29" i="3"/>
  <c r="AR32" i="3" s="1"/>
  <c r="AP29" i="3"/>
  <c r="AI29" i="3"/>
  <c r="AK29" i="3" s="1"/>
  <c r="AD29" i="3"/>
  <c r="AE29" i="3" s="1"/>
  <c r="Z29" i="3"/>
  <c r="S29" i="3"/>
  <c r="T29" i="3" s="1"/>
  <c r="U29" i="3" s="1"/>
  <c r="N29" i="3"/>
  <c r="O29" i="3" s="1"/>
  <c r="P29" i="3" s="1"/>
  <c r="I29" i="3"/>
  <c r="J29" i="3" s="1"/>
  <c r="K29" i="3" s="1"/>
  <c r="D29" i="3"/>
  <c r="E29" i="3" s="1"/>
  <c r="F29" i="3" s="1"/>
  <c r="CS28" i="3"/>
  <c r="CN28" i="3"/>
  <c r="CF28" i="3"/>
  <c r="CD28" i="3"/>
  <c r="BY28" i="3"/>
  <c r="BT28" i="3"/>
  <c r="BO28" i="3"/>
  <c r="BJ28" i="3"/>
  <c r="BE28" i="3"/>
  <c r="AZ28" i="3"/>
  <c r="AU28" i="3"/>
  <c r="AP28" i="3"/>
  <c r="AI28" i="3"/>
  <c r="AC28" i="3"/>
  <c r="AA28" i="3"/>
  <c r="X28" i="3"/>
  <c r="S28" i="3"/>
  <c r="N28" i="3"/>
  <c r="I28" i="3"/>
  <c r="J28" i="3" s="1"/>
  <c r="K28" i="3" s="1"/>
  <c r="D28" i="3"/>
  <c r="E28" i="3" s="1"/>
  <c r="F28" i="3" s="1"/>
  <c r="CS27" i="3"/>
  <c r="CN27" i="3"/>
  <c r="CF27" i="3"/>
  <c r="CI27" i="3" s="1"/>
  <c r="CD27" i="3"/>
  <c r="CS26" i="3"/>
  <c r="CN26" i="3"/>
  <c r="CF26" i="3"/>
  <c r="CI26" i="3" s="1"/>
  <c r="CA26" i="3"/>
  <c r="CD26" i="3" s="1"/>
  <c r="CS25" i="3"/>
  <c r="CN25" i="3"/>
  <c r="CI25" i="3"/>
  <c r="CD25" i="3"/>
  <c r="CD246" i="7" s="1"/>
  <c r="BY25" i="3"/>
  <c r="BP25" i="3"/>
  <c r="BK25" i="3"/>
  <c r="BK32" i="3" s="1"/>
  <c r="BJ25" i="3"/>
  <c r="BE25" i="3"/>
  <c r="AZ25" i="3"/>
  <c r="AU25" i="3"/>
  <c r="AP25" i="3"/>
  <c r="AH25" i="3"/>
  <c r="AH32" i="3" s="1"/>
  <c r="AC25" i="3"/>
  <c r="AD25" i="3" s="1"/>
  <c r="AE25" i="3" s="1"/>
  <c r="X25" i="3"/>
  <c r="Y25" i="3" s="1"/>
  <c r="Z25" i="3" s="1"/>
  <c r="S25" i="3"/>
  <c r="T25" i="3" s="1"/>
  <c r="U25" i="3" s="1"/>
  <c r="N25" i="3"/>
  <c r="O25" i="3" s="1"/>
  <c r="P25" i="3" s="1"/>
  <c r="I25" i="3"/>
  <c r="J25" i="3" s="1"/>
  <c r="K25" i="3" s="1"/>
  <c r="D25" i="3"/>
  <c r="E25" i="3" s="1"/>
  <c r="F25" i="3" s="1"/>
  <c r="CS24" i="3"/>
  <c r="CM24" i="3"/>
  <c r="CM32" i="3" s="1"/>
  <c r="CI24" i="3"/>
  <c r="CD24" i="3"/>
  <c r="CD245" i="7" s="1"/>
  <c r="BY24" i="3"/>
  <c r="BT24" i="3"/>
  <c r="BO24" i="3"/>
  <c r="BJ24" i="3"/>
  <c r="BE24" i="3"/>
  <c r="AZ24" i="3"/>
  <c r="AS24" i="3"/>
  <c r="AU24" i="3" s="1"/>
  <c r="AN24" i="3"/>
  <c r="AM24" i="3"/>
  <c r="AM32" i="3" s="1"/>
  <c r="AI24" i="3"/>
  <c r="AK24" i="3" s="1"/>
  <c r="AC24" i="3"/>
  <c r="AD24" i="3" s="1"/>
  <c r="AE24" i="3" s="1"/>
  <c r="X24" i="3"/>
  <c r="Y24" i="3" s="1"/>
  <c r="Z24" i="3" s="1"/>
  <c r="S24" i="3"/>
  <c r="T24" i="3" s="1"/>
  <c r="U24" i="3" s="1"/>
  <c r="N24" i="3"/>
  <c r="O24" i="3" s="1"/>
  <c r="P24" i="3" s="1"/>
  <c r="I24" i="3"/>
  <c r="J24" i="3" s="1"/>
  <c r="D24" i="3"/>
  <c r="E24" i="3" s="1"/>
  <c r="F24" i="3" s="1"/>
  <c r="CS30" i="3"/>
  <c r="CN30" i="3"/>
  <c r="CI30" i="3"/>
  <c r="CD30" i="3"/>
  <c r="CN23" i="3"/>
  <c r="CF23" i="3"/>
  <c r="CB23" i="3"/>
  <c r="CA23" i="3"/>
  <c r="BW23" i="3"/>
  <c r="BT23" i="3"/>
  <c r="BO23" i="3"/>
  <c r="BJ23" i="3"/>
  <c r="BE23" i="3"/>
  <c r="AZ23" i="3"/>
  <c r="AU23" i="3"/>
  <c r="AP23" i="3"/>
  <c r="AJ23" i="3"/>
  <c r="AI23" i="3"/>
  <c r="AC23" i="3"/>
  <c r="X23" i="3"/>
  <c r="S23" i="3"/>
  <c r="N23" i="3"/>
  <c r="I23" i="3"/>
  <c r="S168" i="7" s="1"/>
  <c r="D23" i="3"/>
  <c r="E23" i="3" s="1"/>
  <c r="F23" i="3" s="1"/>
  <c r="AA21" i="3"/>
  <c r="V21" i="3"/>
  <c r="R21" i="3"/>
  <c r="Q21" i="3"/>
  <c r="M21" i="3"/>
  <c r="L21" i="3"/>
  <c r="CO17" i="3"/>
  <c r="CS17" i="3" s="1"/>
  <c r="CM17" i="3"/>
  <c r="CL17" i="3"/>
  <c r="CK17" i="3"/>
  <c r="CJ17" i="3"/>
  <c r="CH17" i="3"/>
  <c r="CG17" i="3"/>
  <c r="CF17" i="3"/>
  <c r="CE17" i="3"/>
  <c r="CC17" i="3"/>
  <c r="CB17" i="3"/>
  <c r="CA17" i="3"/>
  <c r="BZ17" i="3"/>
  <c r="BX17" i="3"/>
  <c r="BW17" i="3"/>
  <c r="BV17" i="3"/>
  <c r="BU17" i="3"/>
  <c r="BS17" i="3"/>
  <c r="BR17" i="3"/>
  <c r="BQ17" i="3"/>
  <c r="BP17" i="3"/>
  <c r="BN17" i="3"/>
  <c r="BM17" i="3"/>
  <c r="BL17" i="3"/>
  <c r="BK17" i="3"/>
  <c r="BI17" i="3"/>
  <c r="BH17" i="3"/>
  <c r="BG17" i="3"/>
  <c r="BF17" i="3"/>
  <c r="BD17" i="3"/>
  <c r="BC17" i="3"/>
  <c r="BB17" i="3"/>
  <c r="BA17" i="3"/>
  <c r="AY17" i="3"/>
  <c r="AX17" i="3"/>
  <c r="AW17" i="3"/>
  <c r="AV17" i="3"/>
  <c r="AT17" i="3"/>
  <c r="AS17" i="3"/>
  <c r="AR17" i="3"/>
  <c r="AQ17" i="3"/>
  <c r="AO17" i="3"/>
  <c r="AN17" i="3"/>
  <c r="AM17" i="3"/>
  <c r="AL17" i="3"/>
  <c r="AJ17" i="3"/>
  <c r="AH17" i="3"/>
  <c r="AG17" i="3"/>
  <c r="AF17" i="3"/>
  <c r="AC17" i="3"/>
  <c r="AD17" i="3" s="1"/>
  <c r="Z17" i="3"/>
  <c r="U17" i="3"/>
  <c r="Q17" i="3"/>
  <c r="O17" i="3"/>
  <c r="K17" i="3"/>
  <c r="CS16" i="3"/>
  <c r="CN16" i="3"/>
  <c r="CI16" i="3"/>
  <c r="CD16" i="3"/>
  <c r="BY16" i="3"/>
  <c r="BY113" i="3" s="1"/>
  <c r="BT16" i="3"/>
  <c r="BT113" i="3" s="1"/>
  <c r="BO16" i="3"/>
  <c r="BO113" i="3" s="1"/>
  <c r="BJ16" i="3"/>
  <c r="BJ113" i="3" s="1"/>
  <c r="BE16" i="3"/>
  <c r="BE113" i="3" s="1"/>
  <c r="AZ16" i="3"/>
  <c r="AZ113" i="3" s="1"/>
  <c r="AU16" i="3"/>
  <c r="AU113" i="3" s="1"/>
  <c r="AO16" i="3"/>
  <c r="AO41" i="3" s="1"/>
  <c r="AI16" i="3"/>
  <c r="AK16" i="3" s="1"/>
  <c r="AK113" i="3" s="1"/>
  <c r="AC16" i="3"/>
  <c r="AD16" i="3" s="1"/>
  <c r="AE16" i="3" s="1"/>
  <c r="Z16" i="3"/>
  <c r="Z113" i="3" s="1"/>
  <c r="S16" i="3"/>
  <c r="S113" i="3" s="1"/>
  <c r="BT15" i="3"/>
  <c r="BO15" i="3"/>
  <c r="AJ15" i="3"/>
  <c r="AC15" i="3"/>
  <c r="AD15" i="3" s="1"/>
  <c r="AE15" i="3" s="1"/>
  <c r="X15" i="3"/>
  <c r="Y15" i="3" s="1"/>
  <c r="Z15" i="3" s="1"/>
  <c r="S15" i="3"/>
  <c r="T15" i="3" s="1"/>
  <c r="U15" i="3" s="1"/>
  <c r="N15" i="3"/>
  <c r="O15" i="3" s="1"/>
  <c r="I15" i="3"/>
  <c r="J15" i="3" s="1"/>
  <c r="K15" i="3" s="1"/>
  <c r="D15" i="3"/>
  <c r="E15" i="3" s="1"/>
  <c r="F15" i="3" s="1"/>
  <c r="CS14" i="3"/>
  <c r="CN14" i="3"/>
  <c r="CI14" i="3"/>
  <c r="CD14" i="3"/>
  <c r="BY14" i="3"/>
  <c r="BT14" i="3"/>
  <c r="BO14" i="3"/>
  <c r="BJ14" i="3"/>
  <c r="BE14" i="3"/>
  <c r="AZ14" i="3"/>
  <c r="AU14" i="3"/>
  <c r="AP14" i="3"/>
  <c r="AK14" i="3"/>
  <c r="AC14" i="3"/>
  <c r="AD14" i="3" s="1"/>
  <c r="AF14" i="3" s="1"/>
  <c r="X14" i="3"/>
  <c r="Y14" i="3" s="1"/>
  <c r="Z14" i="3" s="1"/>
  <c r="T14" i="3"/>
  <c r="U14" i="3" s="1"/>
  <c r="N14" i="3"/>
  <c r="O14" i="3" s="1"/>
  <c r="P14" i="3" s="1"/>
  <c r="I14" i="3"/>
  <c r="J14" i="3" s="1"/>
  <c r="K14" i="3" s="1"/>
  <c r="D14" i="3"/>
  <c r="E14" i="3" s="1"/>
  <c r="F14" i="3" s="1"/>
  <c r="CS13" i="3"/>
  <c r="CN13" i="3"/>
  <c r="CI13" i="3"/>
  <c r="CD13" i="3"/>
  <c r="BY13" i="3"/>
  <c r="BT13" i="3"/>
  <c r="BO13" i="3"/>
  <c r="BJ13" i="3"/>
  <c r="BE13" i="3"/>
  <c r="AZ13" i="3"/>
  <c r="AU13" i="3"/>
  <c r="AM13" i="3"/>
  <c r="AP13" i="3" s="1"/>
  <c r="AI13" i="3"/>
  <c r="AK13" i="3" s="1"/>
  <c r="AC13" i="3"/>
  <c r="AD13" i="3" s="1"/>
  <c r="AE13" i="3" s="1"/>
  <c r="X13" i="3"/>
  <c r="Y13" i="3" s="1"/>
  <c r="Z13" i="3" s="1"/>
  <c r="S13" i="3"/>
  <c r="T13" i="3" s="1"/>
  <c r="U13" i="3" s="1"/>
  <c r="N13" i="3"/>
  <c r="I13" i="3"/>
  <c r="D13" i="3"/>
  <c r="E13" i="3" s="1"/>
  <c r="F13" i="3" s="1"/>
  <c r="CS12" i="3"/>
  <c r="CN12" i="3"/>
  <c r="CI12" i="3"/>
  <c r="CD12" i="3"/>
  <c r="BY12" i="3"/>
  <c r="BO12" i="3"/>
  <c r="BJ12" i="3"/>
  <c r="BE12" i="3"/>
  <c r="AZ12" i="3"/>
  <c r="AU12" i="3"/>
  <c r="AP12" i="3"/>
  <c r="AK12" i="3"/>
  <c r="AE12" i="3"/>
  <c r="Z12" i="3"/>
  <c r="S12" i="3"/>
  <c r="U12" i="3" s="1"/>
  <c r="N12" i="3"/>
  <c r="P12" i="3" s="1"/>
  <c r="I12" i="3"/>
  <c r="J12" i="3" s="1"/>
  <c r="D12" i="3"/>
  <c r="E12" i="3" s="1"/>
  <c r="F12" i="3" s="1"/>
  <c r="CN11" i="3"/>
  <c r="CI11" i="3"/>
  <c r="CD11" i="3"/>
  <c r="BY11" i="3"/>
  <c r="BT11" i="3"/>
  <c r="BO11" i="3"/>
  <c r="BJ11" i="3"/>
  <c r="BE11" i="3"/>
  <c r="AZ11" i="3"/>
  <c r="AU11" i="3"/>
  <c r="AM11" i="3"/>
  <c r="AI11" i="3"/>
  <c r="AC11" i="3"/>
  <c r="X11" i="3"/>
  <c r="S11" i="3"/>
  <c r="N11" i="3"/>
  <c r="I11" i="3"/>
  <c r="S169" i="7" s="1"/>
  <c r="D11" i="3"/>
  <c r="E11" i="3" s="1"/>
  <c r="F11" i="3" s="1"/>
  <c r="AC9" i="3"/>
  <c r="CX56" i="3"/>
  <c r="CS6" i="3"/>
  <c r="CS56" i="3" s="1"/>
  <c r="CR6" i="3"/>
  <c r="CR56" i="3" s="1"/>
  <c r="CQ6" i="3"/>
  <c r="CQ56" i="3" s="1"/>
  <c r="CP6" i="3"/>
  <c r="CP56" i="3" s="1"/>
  <c r="CO6" i="3"/>
  <c r="CO56" i="3" s="1"/>
  <c r="CN6" i="3"/>
  <c r="CN56" i="3" s="1"/>
  <c r="CM6" i="3"/>
  <c r="CM56" i="3" s="1"/>
  <c r="CL6" i="3"/>
  <c r="CL56" i="3" s="1"/>
  <c r="CK6" i="3"/>
  <c r="CK56" i="3" s="1"/>
  <c r="CJ6" i="3"/>
  <c r="CJ56" i="3" s="1"/>
  <c r="CI6" i="3"/>
  <c r="CI56" i="3" s="1"/>
  <c r="CH6" i="3"/>
  <c r="CH56" i="3" s="1"/>
  <c r="CG6" i="3"/>
  <c r="CG56" i="3" s="1"/>
  <c r="CF6" i="3"/>
  <c r="CF56" i="3" s="1"/>
  <c r="CE6" i="3"/>
  <c r="CE56" i="3" s="1"/>
  <c r="CD6" i="3"/>
  <c r="CD56" i="3" s="1"/>
  <c r="CC6" i="3"/>
  <c r="CC56" i="3" s="1"/>
  <c r="CB6" i="3"/>
  <c r="CB56" i="3" s="1"/>
  <c r="CA6" i="3"/>
  <c r="CA56" i="3" s="1"/>
  <c r="BZ6" i="3"/>
  <c r="BZ56" i="3" s="1"/>
  <c r="BY6" i="3"/>
  <c r="BY56" i="3" s="1"/>
  <c r="BX6" i="3"/>
  <c r="BX56" i="3" s="1"/>
  <c r="BW6" i="3"/>
  <c r="BW56" i="3" s="1"/>
  <c r="BV6" i="3"/>
  <c r="BV56" i="3" s="1"/>
  <c r="BU6" i="3"/>
  <c r="BU56" i="3" s="1"/>
  <c r="A2" i="3"/>
  <c r="CK403" i="82"/>
  <c r="CJ403" i="82"/>
  <c r="CI403" i="82"/>
  <c r="EK402" i="82"/>
  <c r="EA402" i="82"/>
  <c r="DV402" i="82"/>
  <c r="DQ402" i="82"/>
  <c r="DL402" i="82"/>
  <c r="DG402" i="82"/>
  <c r="DB402" i="82"/>
  <c r="DA402" i="82"/>
  <c r="CZ402" i="82"/>
  <c r="CY402" i="82"/>
  <c r="CX402" i="82"/>
  <c r="CW402" i="82"/>
  <c r="CV402" i="82"/>
  <c r="CU402" i="82"/>
  <c r="CT402" i="82"/>
  <c r="CS402" i="82"/>
  <c r="CR402" i="82"/>
  <c r="CQ402" i="82"/>
  <c r="CP402" i="82"/>
  <c r="CO402" i="82"/>
  <c r="CN402" i="82"/>
  <c r="CM402" i="82"/>
  <c r="CL402" i="82"/>
  <c r="CK402" i="82"/>
  <c r="CJ402" i="82"/>
  <c r="CI402" i="82"/>
  <c r="CH402" i="82"/>
  <c r="EK401" i="82"/>
  <c r="EA401" i="82"/>
  <c r="DV401" i="82"/>
  <c r="DQ401" i="82"/>
  <c r="DL401" i="82"/>
  <c r="DG401" i="82"/>
  <c r="DB401" i="82"/>
  <c r="DA401" i="82"/>
  <c r="CZ401" i="82"/>
  <c r="CY401" i="82"/>
  <c r="CX401" i="82"/>
  <c r="CW401" i="82"/>
  <c r="CV401" i="82"/>
  <c r="CU401" i="82"/>
  <c r="CT401" i="82"/>
  <c r="CS401" i="82"/>
  <c r="CR401" i="82"/>
  <c r="CQ401" i="82"/>
  <c r="CP401" i="82"/>
  <c r="CO401" i="82"/>
  <c r="CN401" i="82"/>
  <c r="CM401" i="82"/>
  <c r="CL401" i="82"/>
  <c r="CK401" i="82"/>
  <c r="CJ401" i="82"/>
  <c r="CI401" i="82"/>
  <c r="CH401" i="82"/>
  <c r="EK400" i="82"/>
  <c r="EA400" i="82"/>
  <c r="DV400" i="82"/>
  <c r="DQ400" i="82"/>
  <c r="DL400" i="82"/>
  <c r="DG400" i="82"/>
  <c r="DB400" i="82"/>
  <c r="DA400" i="82"/>
  <c r="CZ400" i="82"/>
  <c r="CY400" i="82"/>
  <c r="CX400" i="82"/>
  <c r="CW400" i="82"/>
  <c r="CV400" i="82"/>
  <c r="CU400" i="82"/>
  <c r="CT400" i="82"/>
  <c r="CS400" i="82"/>
  <c r="CR400" i="82"/>
  <c r="CQ400" i="82"/>
  <c r="CP400" i="82"/>
  <c r="CO400" i="82"/>
  <c r="CN400" i="82"/>
  <c r="CM400" i="82"/>
  <c r="CL400" i="82"/>
  <c r="CK400" i="82"/>
  <c r="CJ400" i="82"/>
  <c r="CI400" i="82"/>
  <c r="CH400" i="82"/>
  <c r="EK399" i="82"/>
  <c r="EA399" i="82"/>
  <c r="DV399" i="82"/>
  <c r="DQ399" i="82"/>
  <c r="DL399" i="82"/>
  <c r="DG399" i="82"/>
  <c r="DB399" i="82"/>
  <c r="DA399" i="82"/>
  <c r="CZ399" i="82"/>
  <c r="CY399" i="82"/>
  <c r="CX399" i="82"/>
  <c r="CW399" i="82"/>
  <c r="CV399" i="82"/>
  <c r="CU399" i="82"/>
  <c r="CT399" i="82"/>
  <c r="CS399" i="82"/>
  <c r="CR399" i="82"/>
  <c r="CQ399" i="82"/>
  <c r="CP399" i="82"/>
  <c r="CO399" i="82"/>
  <c r="CN399" i="82"/>
  <c r="CM399" i="82"/>
  <c r="CL399" i="82"/>
  <c r="CK399" i="82"/>
  <c r="CJ399" i="82"/>
  <c r="CI399" i="82"/>
  <c r="CH399" i="82"/>
  <c r="DA390" i="82"/>
  <c r="CZ390" i="82"/>
  <c r="CY390" i="82"/>
  <c r="CX390" i="82"/>
  <c r="CV390" i="82"/>
  <c r="CU390" i="82"/>
  <c r="CT390" i="82"/>
  <c r="CS390" i="82"/>
  <c r="CQ390" i="82"/>
  <c r="CP390" i="82"/>
  <c r="CO390" i="82"/>
  <c r="CN390" i="82"/>
  <c r="DA389" i="82"/>
  <c r="CZ389" i="82"/>
  <c r="CY389" i="82"/>
  <c r="CX389" i="82"/>
  <c r="CV389" i="82"/>
  <c r="CU389" i="82"/>
  <c r="CT389" i="82"/>
  <c r="CS389" i="82"/>
  <c r="CQ389" i="82"/>
  <c r="CP389" i="82"/>
  <c r="CO389" i="82"/>
  <c r="CN389" i="82"/>
  <c r="DA388" i="82"/>
  <c r="CZ388" i="82"/>
  <c r="CY388" i="82"/>
  <c r="CX388" i="82"/>
  <c r="CV388" i="82"/>
  <c r="CU388" i="82"/>
  <c r="CT388" i="82"/>
  <c r="CS388" i="82"/>
  <c r="CQ388" i="82"/>
  <c r="CP388" i="82"/>
  <c r="CO388" i="82"/>
  <c r="CN388" i="82"/>
  <c r="DA387" i="82"/>
  <c r="CZ387" i="82"/>
  <c r="CY387" i="82"/>
  <c r="CX387" i="82"/>
  <c r="CV387" i="82"/>
  <c r="CU387" i="82"/>
  <c r="CT387" i="82"/>
  <c r="CS387" i="82"/>
  <c r="CQ387" i="82"/>
  <c r="CP387" i="82"/>
  <c r="CO387" i="82"/>
  <c r="CN387" i="82"/>
  <c r="DA386" i="82"/>
  <c r="CZ386" i="82"/>
  <c r="CY386" i="82"/>
  <c r="CX386" i="82"/>
  <c r="CV386" i="82"/>
  <c r="CU386" i="82"/>
  <c r="CT386" i="82"/>
  <c r="CS386" i="82"/>
  <c r="CQ386" i="82"/>
  <c r="CP386" i="82"/>
  <c r="CO386" i="82"/>
  <c r="CN386" i="82"/>
  <c r="DA385" i="82"/>
  <c r="CZ385" i="82"/>
  <c r="CY385" i="82"/>
  <c r="CX385" i="82"/>
  <c r="CV385" i="82"/>
  <c r="CU385" i="82"/>
  <c r="CT385" i="82"/>
  <c r="CS385" i="82"/>
  <c r="CQ385" i="82"/>
  <c r="CP385" i="82"/>
  <c r="CO385" i="82"/>
  <c r="CN385" i="82"/>
  <c r="EK376" i="82"/>
  <c r="EA376" i="82"/>
  <c r="DV376" i="82"/>
  <c r="DQ376" i="82"/>
  <c r="DL376" i="82"/>
  <c r="DG376" i="82"/>
  <c r="DB376" i="82"/>
  <c r="DA376" i="82"/>
  <c r="CZ376" i="82"/>
  <c r="CY376" i="82"/>
  <c r="CX376" i="82"/>
  <c r="CW376" i="82"/>
  <c r="CV376" i="82"/>
  <c r="CU376" i="82"/>
  <c r="CT376" i="82"/>
  <c r="CS376" i="82"/>
  <c r="CR376" i="82"/>
  <c r="CQ376" i="82"/>
  <c r="CP376" i="82"/>
  <c r="CO376" i="82"/>
  <c r="CN376" i="82"/>
  <c r="CM376" i="82"/>
  <c r="EK375" i="82"/>
  <c r="EA375" i="82"/>
  <c r="DV375" i="82"/>
  <c r="DQ375" i="82"/>
  <c r="DL375" i="82"/>
  <c r="DG375" i="82"/>
  <c r="DB375" i="82"/>
  <c r="DA375" i="82"/>
  <c r="CZ375" i="82"/>
  <c r="CY375" i="82"/>
  <c r="CX375" i="82"/>
  <c r="CW375" i="82"/>
  <c r="CV375" i="82"/>
  <c r="CU375" i="82"/>
  <c r="CT375" i="82"/>
  <c r="CS375" i="82"/>
  <c r="CR375" i="82"/>
  <c r="CQ375" i="82"/>
  <c r="CP375" i="82"/>
  <c r="CO375" i="82"/>
  <c r="CN375" i="82"/>
  <c r="CM375" i="82"/>
  <c r="EK374" i="82"/>
  <c r="EA374" i="82"/>
  <c r="DV374" i="82"/>
  <c r="DQ374" i="82"/>
  <c r="DL374" i="82"/>
  <c r="DG374" i="82"/>
  <c r="DB374" i="82"/>
  <c r="DA374" i="82"/>
  <c r="CZ374" i="82"/>
  <c r="CY374" i="82"/>
  <c r="CX374" i="82"/>
  <c r="CW374" i="82"/>
  <c r="CV374" i="82"/>
  <c r="CU374" i="82"/>
  <c r="CT374" i="82"/>
  <c r="CS374" i="82"/>
  <c r="CR374" i="82"/>
  <c r="CQ374" i="82"/>
  <c r="CP374" i="82"/>
  <c r="CO374" i="82"/>
  <c r="CN374" i="82"/>
  <c r="CM374" i="82"/>
  <c r="EK373" i="82"/>
  <c r="EA373" i="82"/>
  <c r="DV373" i="82"/>
  <c r="DQ373" i="82"/>
  <c r="DL373" i="82"/>
  <c r="DG373" i="82"/>
  <c r="DB373" i="82"/>
  <c r="DA373" i="82"/>
  <c r="CZ373" i="82"/>
  <c r="CY373" i="82"/>
  <c r="CX373" i="82"/>
  <c r="CW373" i="82"/>
  <c r="CV373" i="82"/>
  <c r="CU373" i="82"/>
  <c r="CT373" i="82"/>
  <c r="CS373" i="82"/>
  <c r="CR373" i="82"/>
  <c r="CQ373" i="82"/>
  <c r="CP373" i="82"/>
  <c r="CO373" i="82"/>
  <c r="CN373" i="82"/>
  <c r="CM373" i="82"/>
  <c r="EK372" i="82"/>
  <c r="EA372" i="82"/>
  <c r="DV372" i="82"/>
  <c r="DQ372" i="82"/>
  <c r="DL372" i="82"/>
  <c r="DG372" i="82"/>
  <c r="DB372" i="82"/>
  <c r="DA372" i="82"/>
  <c r="CZ372" i="82"/>
  <c r="CY372" i="82"/>
  <c r="CX372" i="82"/>
  <c r="CW372" i="82"/>
  <c r="CV372" i="82"/>
  <c r="CU372" i="82"/>
  <c r="CT372" i="82"/>
  <c r="CS372" i="82"/>
  <c r="CR372" i="82"/>
  <c r="CQ372" i="82"/>
  <c r="CP372" i="82"/>
  <c r="CO372" i="82"/>
  <c r="CN372" i="82"/>
  <c r="CM372" i="82"/>
  <c r="EK371" i="82"/>
  <c r="EA371" i="82"/>
  <c r="DV371" i="82"/>
  <c r="DQ371" i="82"/>
  <c r="DL371" i="82"/>
  <c r="DG371" i="82"/>
  <c r="DB371" i="82"/>
  <c r="DA371" i="82"/>
  <c r="CZ371" i="82"/>
  <c r="CY371" i="82"/>
  <c r="CX371" i="82"/>
  <c r="CW371" i="82"/>
  <c r="CV371" i="82"/>
  <c r="CU371" i="82"/>
  <c r="CT371" i="82"/>
  <c r="CS371" i="82"/>
  <c r="CR371" i="82"/>
  <c r="CQ371" i="82"/>
  <c r="CP371" i="82"/>
  <c r="CO371" i="82"/>
  <c r="CN371" i="82"/>
  <c r="CM371" i="82"/>
  <c r="CM358" i="82"/>
  <c r="CM356" i="82"/>
  <c r="CL356" i="82"/>
  <c r="CK356" i="82"/>
  <c r="CJ356" i="82"/>
  <c r="CI356" i="82"/>
  <c r="CH356" i="82"/>
  <c r="A335" i="82"/>
  <c r="CK326" i="82"/>
  <c r="CK407" i="82" s="1"/>
  <c r="CJ326" i="82"/>
  <c r="CJ415" i="82" s="1"/>
  <c r="CI326" i="82"/>
  <c r="CI415" i="82" s="1"/>
  <c r="CZ325" i="82"/>
  <c r="CZ406" i="82" s="1"/>
  <c r="CY325" i="82"/>
  <c r="CY272" i="82" s="1"/>
  <c r="CY414" i="82" s="1"/>
  <c r="CU325" i="82"/>
  <c r="CU272" i="82" s="1"/>
  <c r="CU414" i="82" s="1"/>
  <c r="CT325" i="82"/>
  <c r="DA324" i="82"/>
  <c r="DA206" i="82" s="1"/>
  <c r="DQ321" i="82"/>
  <c r="DQ203" i="82" s="1"/>
  <c r="DP321" i="82"/>
  <c r="DP203" i="82" s="1"/>
  <c r="DO321" i="82"/>
  <c r="DO203" i="82" s="1"/>
  <c r="DN321" i="82"/>
  <c r="DN203" i="82" s="1"/>
  <c r="DM321" i="82"/>
  <c r="DM203" i="82" s="1"/>
  <c r="DL321" i="82"/>
  <c r="DL203" i="82" s="1"/>
  <c r="DK321" i="82"/>
  <c r="DK203" i="82" s="1"/>
  <c r="DJ321" i="82"/>
  <c r="DJ203" i="82" s="1"/>
  <c r="DI321" i="82"/>
  <c r="DI203" i="82" s="1"/>
  <c r="DH321" i="82"/>
  <c r="DH203" i="82" s="1"/>
  <c r="DG321" i="82"/>
  <c r="DG203" i="82" s="1"/>
  <c r="DF321" i="82"/>
  <c r="DF203" i="82" s="1"/>
  <c r="DE321" i="82"/>
  <c r="DE203" i="82" s="1"/>
  <c r="DD321" i="82"/>
  <c r="DD203" i="82" s="1"/>
  <c r="DC321" i="82"/>
  <c r="DC203" i="82" s="1"/>
  <c r="DA321" i="82"/>
  <c r="DA203" i="82" s="1"/>
  <c r="CZ321" i="82"/>
  <c r="CZ203" i="82" s="1"/>
  <c r="CY321" i="82"/>
  <c r="CY203" i="82" s="1"/>
  <c r="CX321" i="82"/>
  <c r="CX203" i="82" s="1"/>
  <c r="CV321" i="82"/>
  <c r="CV203" i="82" s="1"/>
  <c r="DM320" i="82"/>
  <c r="DM202" i="82" s="1"/>
  <c r="DK320" i="82"/>
  <c r="DK202" i="82" s="1"/>
  <c r="DJ320" i="82"/>
  <c r="DJ202" i="82" s="1"/>
  <c r="DI320" i="82"/>
  <c r="DI202" i="82" s="1"/>
  <c r="DH320" i="82"/>
  <c r="DH202" i="82" s="1"/>
  <c r="DF320" i="82"/>
  <c r="DF202" i="82" s="1"/>
  <c r="DE320" i="82"/>
  <c r="DE202" i="82" s="1"/>
  <c r="DD320" i="82"/>
  <c r="DD202" i="82" s="1"/>
  <c r="DC320" i="82"/>
  <c r="DC202" i="82" s="1"/>
  <c r="DA320" i="82"/>
  <c r="DA202" i="82" s="1"/>
  <c r="CZ320" i="82"/>
  <c r="CZ202" i="82" s="1"/>
  <c r="CY320" i="82"/>
  <c r="CY202" i="82" s="1"/>
  <c r="CX320" i="82"/>
  <c r="CX202" i="82" s="1"/>
  <c r="CV320" i="82"/>
  <c r="CV202" i="82" s="1"/>
  <c r="CU320" i="82"/>
  <c r="CU202" i="82" s="1"/>
  <c r="CT320" i="82"/>
  <c r="CT202" i="82" s="1"/>
  <c r="CS320" i="82"/>
  <c r="CS202" i="82" s="1"/>
  <c r="CQ320" i="82"/>
  <c r="CQ202" i="82" s="1"/>
  <c r="CP320" i="82"/>
  <c r="CP202" i="82" s="1"/>
  <c r="CO320" i="82"/>
  <c r="CO202" i="82" s="1"/>
  <c r="DM319" i="82"/>
  <c r="DM201" i="82" s="1"/>
  <c r="DK319" i="82"/>
  <c r="DK201" i="82" s="1"/>
  <c r="DJ319" i="82"/>
  <c r="DJ201" i="82" s="1"/>
  <c r="DI319" i="82"/>
  <c r="DI201" i="82" s="1"/>
  <c r="DH319" i="82"/>
  <c r="DH201" i="82" s="1"/>
  <c r="DC319" i="82"/>
  <c r="DC201" i="82" s="1"/>
  <c r="DA319" i="82"/>
  <c r="DA201" i="82" s="1"/>
  <c r="CZ319" i="82"/>
  <c r="CZ201" i="82" s="1"/>
  <c r="CY319" i="82"/>
  <c r="CY201" i="82" s="1"/>
  <c r="CX319" i="82"/>
  <c r="CX201" i="82" s="1"/>
  <c r="CV319" i="82"/>
  <c r="CV201" i="82" s="1"/>
  <c r="CU319" i="82"/>
  <c r="CU201" i="82" s="1"/>
  <c r="CT319" i="82"/>
  <c r="CT201" i="82" s="1"/>
  <c r="CS319" i="82"/>
  <c r="CS201" i="82" s="1"/>
  <c r="CQ319" i="82"/>
  <c r="CQ201" i="82" s="1"/>
  <c r="CP319" i="82"/>
  <c r="CP201" i="82" s="1"/>
  <c r="CO319" i="82"/>
  <c r="CO201" i="82" s="1"/>
  <c r="CN319" i="82"/>
  <c r="CN201" i="82" s="1"/>
  <c r="CL319" i="82"/>
  <c r="CL201" i="82" s="1"/>
  <c r="CK319" i="82"/>
  <c r="CK201" i="82" s="1"/>
  <c r="CJ319" i="82"/>
  <c r="CJ201" i="82" s="1"/>
  <c r="CI319" i="82"/>
  <c r="CI201" i="82" s="1"/>
  <c r="CH319" i="82"/>
  <c r="CH201" i="82" s="1"/>
  <c r="DP317" i="82"/>
  <c r="DO317" i="82"/>
  <c r="DN317" i="82"/>
  <c r="DM317" i="82"/>
  <c r="DK317" i="82"/>
  <c r="DJ317" i="82"/>
  <c r="DI317" i="82"/>
  <c r="DH317" i="82"/>
  <c r="DF317" i="82"/>
  <c r="DE317" i="82"/>
  <c r="DA317" i="82"/>
  <c r="CZ317" i="82"/>
  <c r="CY317" i="82"/>
  <c r="CX317" i="82"/>
  <c r="CV317" i="82"/>
  <c r="CU317" i="82"/>
  <c r="CT317" i="82"/>
  <c r="CS317" i="82"/>
  <c r="CQ317" i="82"/>
  <c r="CP317" i="82"/>
  <c r="CO317" i="82"/>
  <c r="CN317" i="82"/>
  <c r="CJ317" i="82"/>
  <c r="CI317" i="82"/>
  <c r="DM315" i="82"/>
  <c r="DM303" i="82" s="1"/>
  <c r="DK315" i="82"/>
  <c r="DJ315" i="82"/>
  <c r="DI315" i="82"/>
  <c r="DH315" i="82"/>
  <c r="DF315" i="82"/>
  <c r="DF265" i="82" s="1"/>
  <c r="DD315" i="82"/>
  <c r="DD265" i="82" s="1"/>
  <c r="DC315" i="82"/>
  <c r="DC265" i="82" s="1"/>
  <c r="DA315" i="82"/>
  <c r="DA265" i="82" s="1"/>
  <c r="DA412" i="82" s="1"/>
  <c r="CZ315" i="82"/>
  <c r="CY315" i="82"/>
  <c r="CY265" i="82" s="1"/>
  <c r="CX315" i="82"/>
  <c r="CX265" i="82" s="1"/>
  <c r="CX412" i="82" s="1"/>
  <c r="DG306" i="82"/>
  <c r="DB306" i="82"/>
  <c r="S334" i="113" s="1"/>
  <c r="CW306" i="82"/>
  <c r="R334" i="113" s="1"/>
  <c r="CR306" i="82"/>
  <c r="Q334" i="113" s="1"/>
  <c r="DG305" i="82"/>
  <c r="DB305" i="82"/>
  <c r="CW305" i="82"/>
  <c r="CR305" i="82"/>
  <c r="DE304" i="82"/>
  <c r="DD304" i="82"/>
  <c r="DB304" i="82"/>
  <c r="S327" i="113" s="1"/>
  <c r="CW304" i="82"/>
  <c r="R327" i="113" s="1"/>
  <c r="R326" i="113" s="1"/>
  <c r="CR304" i="82"/>
  <c r="Q327" i="113" s="1"/>
  <c r="Q326" i="113" s="1"/>
  <c r="DL303" i="82"/>
  <c r="DG303" i="82"/>
  <c r="DB303" i="82"/>
  <c r="S335" i="113" s="1"/>
  <c r="CW303" i="82"/>
  <c r="R335" i="113" s="1"/>
  <c r="CR303" i="82"/>
  <c r="Q335" i="113" s="1"/>
  <c r="CW302" i="82"/>
  <c r="CR302" i="82"/>
  <c r="CK298" i="82"/>
  <c r="CJ298" i="82"/>
  <c r="CI298" i="82"/>
  <c r="CM297" i="82"/>
  <c r="CL297" i="82"/>
  <c r="CK297" i="82"/>
  <c r="CJ297" i="82"/>
  <c r="CI297" i="82"/>
  <c r="CH297" i="82"/>
  <c r="CM296" i="82"/>
  <c r="CL296" i="82"/>
  <c r="CK296" i="82"/>
  <c r="CJ296" i="82"/>
  <c r="CI296" i="82"/>
  <c r="CH296" i="82"/>
  <c r="CM295" i="82"/>
  <c r="CL295" i="82"/>
  <c r="CK295" i="82"/>
  <c r="CJ295" i="82"/>
  <c r="CI295" i="82"/>
  <c r="CH295" i="82"/>
  <c r="DM292" i="82"/>
  <c r="DK292" i="82"/>
  <c r="DJ292" i="82"/>
  <c r="DI292" i="82"/>
  <c r="DM291" i="82"/>
  <c r="DK291" i="82"/>
  <c r="DJ291" i="82"/>
  <c r="DI291" i="82"/>
  <c r="DM290" i="82"/>
  <c r="DK290" i="82"/>
  <c r="DJ290" i="82"/>
  <c r="DI290" i="82"/>
  <c r="DH290" i="82"/>
  <c r="DF290" i="82"/>
  <c r="DE290" i="82"/>
  <c r="DD290" i="82"/>
  <c r="DC290" i="82"/>
  <c r="DA290" i="82"/>
  <c r="CZ290" i="82"/>
  <c r="CY290" i="82"/>
  <c r="DM289" i="82"/>
  <c r="DK289" i="82"/>
  <c r="DJ289" i="82"/>
  <c r="DM278" i="82"/>
  <c r="DM284" i="82"/>
  <c r="A283" i="82"/>
  <c r="A282" i="82"/>
  <c r="A281" i="82"/>
  <c r="DM280" i="82"/>
  <c r="DK280" i="82"/>
  <c r="DJ280" i="82"/>
  <c r="DI280" i="82"/>
  <c r="DH280" i="82"/>
  <c r="DF280" i="82"/>
  <c r="DE280" i="82"/>
  <c r="DD280" i="82"/>
  <c r="DC280" i="82"/>
  <c r="CM280" i="82"/>
  <c r="A280" i="82"/>
  <c r="CM279" i="82"/>
  <c r="A277" i="82"/>
  <c r="A288" i="82" s="1"/>
  <c r="A276" i="82"/>
  <c r="CM275" i="82"/>
  <c r="A275" i="82"/>
  <c r="DL264" i="82"/>
  <c r="DL125" i="82" s="1"/>
  <c r="U302" i="113" s="1"/>
  <c r="DP272" i="82"/>
  <c r="DN291" i="82"/>
  <c r="DL272" i="82"/>
  <c r="DM269" i="82"/>
  <c r="DK269" i="82"/>
  <c r="DJ269" i="82"/>
  <c r="DI269" i="82"/>
  <c r="DM268" i="82"/>
  <c r="DK268" i="82"/>
  <c r="DJ268" i="82"/>
  <c r="DI268" i="82"/>
  <c r="DN281" i="82" s="1"/>
  <c r="DH268" i="82"/>
  <c r="DF268" i="82"/>
  <c r="DE268" i="82"/>
  <c r="DD268" i="82"/>
  <c r="DC268" i="82"/>
  <c r="DA268" i="82"/>
  <c r="DL267" i="82"/>
  <c r="DG267" i="82"/>
  <c r="DB267" i="82"/>
  <c r="DM261" i="82"/>
  <c r="DK261" i="82"/>
  <c r="DJ261" i="82"/>
  <c r="DI261" i="82"/>
  <c r="DH261" i="82"/>
  <c r="DF261" i="82"/>
  <c r="DE261" i="82"/>
  <c r="DD261" i="82"/>
  <c r="DC261" i="82"/>
  <c r="DA261" i="82"/>
  <c r="CZ261" i="82"/>
  <c r="CY261" i="82"/>
  <c r="CX261" i="82"/>
  <c r="CQ257" i="82"/>
  <c r="CP257" i="82"/>
  <c r="CO257" i="82"/>
  <c r="CN257" i="82"/>
  <c r="CM257" i="82"/>
  <c r="CL257" i="82"/>
  <c r="CK257" i="82"/>
  <c r="CJ257" i="82"/>
  <c r="CI257" i="82"/>
  <c r="CH257" i="82"/>
  <c r="CQ256" i="82"/>
  <c r="CP256" i="82"/>
  <c r="CO256" i="82"/>
  <c r="CN256" i="82"/>
  <c r="CM256" i="82"/>
  <c r="CL256" i="82"/>
  <c r="CK256" i="82"/>
  <c r="CJ256" i="82"/>
  <c r="CI256" i="82"/>
  <c r="CH256" i="82"/>
  <c r="CQ250" i="82"/>
  <c r="CP250" i="82"/>
  <c r="CO250" i="82"/>
  <c r="CN250" i="82"/>
  <c r="CM250" i="82"/>
  <c r="CL250" i="82"/>
  <c r="CK250" i="82"/>
  <c r="CJ250" i="82"/>
  <c r="CI250" i="82"/>
  <c r="CH250" i="82"/>
  <c r="CK247" i="82"/>
  <c r="CJ247" i="82"/>
  <c r="CI247" i="82"/>
  <c r="CQ244" i="82"/>
  <c r="CP244" i="82"/>
  <c r="CO244" i="82"/>
  <c r="CN244" i="82"/>
  <c r="CM244" i="82"/>
  <c r="CL244" i="82"/>
  <c r="CK244" i="82"/>
  <c r="CJ244" i="82"/>
  <c r="CI244" i="82"/>
  <c r="CH244" i="82"/>
  <c r="A243" i="82"/>
  <c r="CQ242" i="82"/>
  <c r="CP242" i="82"/>
  <c r="CO242" i="82"/>
  <c r="CN242" i="82"/>
  <c r="CM242" i="82"/>
  <c r="CL242" i="82"/>
  <c r="CK242" i="82"/>
  <c r="CJ242" i="82"/>
  <c r="CI242" i="82"/>
  <c r="CH242" i="82"/>
  <c r="A242" i="82"/>
  <c r="CK241" i="82"/>
  <c r="CJ241" i="82"/>
  <c r="CI241" i="82"/>
  <c r="A241" i="82"/>
  <c r="CK240" i="82"/>
  <c r="CJ240" i="82"/>
  <c r="CI240" i="82"/>
  <c r="A240" i="82"/>
  <c r="DM236" i="82"/>
  <c r="DK236" i="82"/>
  <c r="DJ236" i="82"/>
  <c r="DI236" i="82"/>
  <c r="DH236" i="82"/>
  <c r="DF236" i="82"/>
  <c r="DE236" i="82"/>
  <c r="DD236" i="82"/>
  <c r="DC236" i="82"/>
  <c r="DA236" i="82"/>
  <c r="CZ236" i="82"/>
  <c r="CY236" i="82"/>
  <c r="CX236" i="82"/>
  <c r="CV236" i="82"/>
  <c r="CU236" i="82"/>
  <c r="CT236" i="82"/>
  <c r="CS236" i="82"/>
  <c r="CQ236" i="82"/>
  <c r="CP236" i="82"/>
  <c r="CO236" i="82"/>
  <c r="CN236" i="82"/>
  <c r="A236" i="82"/>
  <c r="DM235" i="82"/>
  <c r="DK235" i="82"/>
  <c r="DJ235" i="82"/>
  <c r="DI235" i="82"/>
  <c r="DH235" i="82"/>
  <c r="DF235" i="82"/>
  <c r="DE235" i="82"/>
  <c r="DD235" i="82"/>
  <c r="DC235" i="82"/>
  <c r="DA235" i="82"/>
  <c r="CZ235" i="82"/>
  <c r="CY235" i="82"/>
  <c r="CX235" i="82"/>
  <c r="CV235" i="82"/>
  <c r="CU235" i="82"/>
  <c r="CT235" i="82"/>
  <c r="CS235" i="82"/>
  <c r="CQ235" i="82"/>
  <c r="CP235" i="82"/>
  <c r="CO235" i="82"/>
  <c r="CN235" i="82"/>
  <c r="A235" i="82"/>
  <c r="A234" i="82"/>
  <c r="A233" i="82"/>
  <c r="CV232" i="82"/>
  <c r="CU232" i="82"/>
  <c r="CQ232" i="82"/>
  <c r="CP232" i="82"/>
  <c r="CO232" i="82"/>
  <c r="CN232" i="82"/>
  <c r="DM231" i="82"/>
  <c r="DF231" i="82"/>
  <c r="DE231" i="82"/>
  <c r="DD231" i="82"/>
  <c r="DC231" i="82"/>
  <c r="DA231" i="82"/>
  <c r="CZ231" i="82"/>
  <c r="CY231" i="82"/>
  <c r="CX231" i="82"/>
  <c r="CV231" i="82"/>
  <c r="CU231" i="82"/>
  <c r="CT231" i="82"/>
  <c r="CS231" i="82"/>
  <c r="CQ231" i="82"/>
  <c r="CP231" i="82"/>
  <c r="CO231" i="82"/>
  <c r="CN231" i="82"/>
  <c r="DM229" i="82"/>
  <c r="DK229" i="82"/>
  <c r="DJ229" i="82"/>
  <c r="DI229" i="82"/>
  <c r="DH229" i="82"/>
  <c r="DF229" i="82"/>
  <c r="DE229" i="82"/>
  <c r="DD229" i="82"/>
  <c r="DC229" i="82"/>
  <c r="DA229" i="82"/>
  <c r="CZ229" i="82"/>
  <c r="CY229" i="82"/>
  <c r="CX229" i="82"/>
  <c r="CV229" i="82"/>
  <c r="CU229" i="82"/>
  <c r="CT229" i="82"/>
  <c r="CS229" i="82"/>
  <c r="CQ229" i="82"/>
  <c r="CP229" i="82"/>
  <c r="CO229" i="82"/>
  <c r="CN229" i="82"/>
  <c r="CQ225" i="82"/>
  <c r="CP225" i="82"/>
  <c r="CO225" i="82"/>
  <c r="CN225" i="82"/>
  <c r="DM222" i="82"/>
  <c r="DK222" i="82"/>
  <c r="DJ222" i="82"/>
  <c r="DI222" i="82"/>
  <c r="DH222" i="82"/>
  <c r="DF222" i="82"/>
  <c r="DE222" i="82"/>
  <c r="DD222" i="82"/>
  <c r="DC222" i="82"/>
  <c r="DA222" i="82"/>
  <c r="CZ222" i="82"/>
  <c r="CY222" i="82"/>
  <c r="CX222" i="82"/>
  <c r="CV222" i="82"/>
  <c r="CU222" i="82"/>
  <c r="CT222" i="82"/>
  <c r="CS222" i="82"/>
  <c r="CQ222" i="82"/>
  <c r="CP222" i="82"/>
  <c r="CO222" i="82"/>
  <c r="CN222" i="82"/>
  <c r="CM222" i="82"/>
  <c r="DM221" i="82"/>
  <c r="DK221" i="82"/>
  <c r="DJ221" i="82"/>
  <c r="DI221" i="82"/>
  <c r="DH221" i="82"/>
  <c r="DF221" i="82"/>
  <c r="DE221" i="82"/>
  <c r="DD221" i="82"/>
  <c r="DC221" i="82"/>
  <c r="DA221" i="82"/>
  <c r="CZ221" i="82"/>
  <c r="CY221" i="82"/>
  <c r="CX221" i="82"/>
  <c r="CV221" i="82"/>
  <c r="CU221" i="82"/>
  <c r="CT221" i="82"/>
  <c r="CS221" i="82"/>
  <c r="CQ221" i="82"/>
  <c r="CP221" i="82"/>
  <c r="CO221" i="82"/>
  <c r="CN221" i="82"/>
  <c r="CM221" i="82"/>
  <c r="CV218" i="82"/>
  <c r="CU218" i="82"/>
  <c r="CT218" i="82"/>
  <c r="CQ218" i="82"/>
  <c r="CP218" i="82"/>
  <c r="CO218" i="82"/>
  <c r="CN218" i="82"/>
  <c r="CM218" i="82"/>
  <c r="A218" i="82"/>
  <c r="A232" i="82" s="1"/>
  <c r="DK217" i="82"/>
  <c r="DF217" i="82"/>
  <c r="DE217" i="82"/>
  <c r="DD217" i="82"/>
  <c r="DC217" i="82"/>
  <c r="DA217" i="82"/>
  <c r="CZ217" i="82"/>
  <c r="CY217" i="82"/>
  <c r="CX217" i="82"/>
  <c r="CV217" i="82"/>
  <c r="CU217" i="82"/>
  <c r="CT217" i="82"/>
  <c r="CS217" i="82"/>
  <c r="CQ217" i="82"/>
  <c r="CP217" i="82"/>
  <c r="CO217" i="82"/>
  <c r="CN217" i="82"/>
  <c r="CM217" i="82"/>
  <c r="A217" i="82"/>
  <c r="A231" i="82" s="1"/>
  <c r="A216" i="82"/>
  <c r="A230" i="82" s="1"/>
  <c r="DM215" i="82"/>
  <c r="DK215" i="82"/>
  <c r="DJ215" i="82"/>
  <c r="DI215" i="82"/>
  <c r="DH215" i="82"/>
  <c r="DF215" i="82"/>
  <c r="DE215" i="82"/>
  <c r="DD215" i="82"/>
  <c r="DC215" i="82"/>
  <c r="DA215" i="82"/>
  <c r="CZ215" i="82"/>
  <c r="CY215" i="82"/>
  <c r="CX215" i="82"/>
  <c r="CV215" i="82"/>
  <c r="CU215" i="82"/>
  <c r="CT215" i="82"/>
  <c r="CS215" i="82"/>
  <c r="CQ215" i="82"/>
  <c r="CP215" i="82"/>
  <c r="CO215" i="82"/>
  <c r="CN215" i="82"/>
  <c r="CM215" i="82"/>
  <c r="A215" i="82"/>
  <c r="A229" i="82" s="1"/>
  <c r="A214" i="82"/>
  <c r="A228" i="82" s="1"/>
  <c r="A213" i="82"/>
  <c r="A227" i="82" s="1"/>
  <c r="A212" i="82"/>
  <c r="A226" i="82" s="1"/>
  <c r="CQ211" i="82"/>
  <c r="CP211" i="82"/>
  <c r="CO211" i="82"/>
  <c r="CN211" i="82"/>
  <c r="CM211" i="82"/>
  <c r="A211" i="82"/>
  <c r="A225" i="82" s="1"/>
  <c r="DL208" i="82"/>
  <c r="DG208" i="82"/>
  <c r="DB208" i="82"/>
  <c r="CW208" i="82"/>
  <c r="CR208" i="82"/>
  <c r="DL207" i="82"/>
  <c r="DG207" i="82"/>
  <c r="DB207" i="82"/>
  <c r="CW207" i="82"/>
  <c r="CR207" i="82"/>
  <c r="A206" i="82"/>
  <c r="A203" i="82"/>
  <c r="A202" i="82"/>
  <c r="A201" i="82"/>
  <c r="DM200" i="82"/>
  <c r="DK200" i="82"/>
  <c r="DF200" i="82"/>
  <c r="DE200" i="82"/>
  <c r="DD200" i="82"/>
  <c r="DC200" i="82"/>
  <c r="DA200" i="82"/>
  <c r="CZ200" i="82"/>
  <c r="CY200" i="82"/>
  <c r="CX200" i="82"/>
  <c r="CS200" i="82"/>
  <c r="CW200" i="82" s="1"/>
  <c r="CR200" i="82"/>
  <c r="DH199" i="82"/>
  <c r="DB199" i="82"/>
  <c r="CW199" i="82"/>
  <c r="CR199" i="82"/>
  <c r="DL197" i="82"/>
  <c r="DG197" i="82"/>
  <c r="DB197" i="82"/>
  <c r="CW197" i="82"/>
  <c r="CR197" i="82"/>
  <c r="CQ195" i="82"/>
  <c r="CP195" i="82"/>
  <c r="CP196" i="82" s="1"/>
  <c r="CO195" i="82"/>
  <c r="CO213" i="82" s="1"/>
  <c r="CN195" i="82"/>
  <c r="CN240" i="82" s="1"/>
  <c r="CL195" i="82"/>
  <c r="CL253" i="82" s="1"/>
  <c r="CR193" i="82"/>
  <c r="Q469" i="113" s="1"/>
  <c r="CR6" i="82"/>
  <c r="CQ6" i="82"/>
  <c r="CP6" i="82"/>
  <c r="CO6" i="82"/>
  <c r="CN6" i="82"/>
  <c r="CM6" i="82"/>
  <c r="CL6" i="82"/>
  <c r="CL311" i="82" s="1"/>
  <c r="CK6" i="82"/>
  <c r="CK311" i="82" s="1"/>
  <c r="CJ6" i="82"/>
  <c r="CJ311" i="82" s="1"/>
  <c r="CI6" i="82"/>
  <c r="CI311" i="82" s="1"/>
  <c r="CH6" i="82"/>
  <c r="CG6" i="82"/>
  <c r="CG311" i="82" s="1"/>
  <c r="CF6" i="82"/>
  <c r="CF311" i="82" s="1"/>
  <c r="CE6" i="82"/>
  <c r="CD6" i="82"/>
  <c r="CD311" i="82" s="1"/>
  <c r="BS6" i="82"/>
  <c r="BS311" i="82" s="1"/>
  <c r="BR6" i="82"/>
  <c r="BR259" i="82" s="1"/>
  <c r="BQ6" i="82"/>
  <c r="BQ311" i="82" s="1"/>
  <c r="BP6" i="82"/>
  <c r="BP311" i="82" s="1"/>
  <c r="BO6" i="82"/>
  <c r="BO311" i="82" s="1"/>
  <c r="BN6" i="82"/>
  <c r="BN311" i="82" s="1"/>
  <c r="BM6" i="82"/>
  <c r="BL6" i="82"/>
  <c r="BL311" i="82" s="1"/>
  <c r="BK6" i="82"/>
  <c r="BK311" i="82" s="1"/>
  <c r="BJ6" i="82"/>
  <c r="BJ259" i="82" s="1"/>
  <c r="BI6" i="82"/>
  <c r="BI311" i="82" s="1"/>
  <c r="BH6" i="82"/>
  <c r="BH311" i="82" s="1"/>
  <c r="BG6" i="82"/>
  <c r="BG311" i="82" s="1"/>
  <c r="BF6" i="82"/>
  <c r="BF311" i="82" s="1"/>
  <c r="BE6" i="82"/>
  <c r="BD6" i="82"/>
  <c r="BD311" i="82" s="1"/>
  <c r="BC6" i="82"/>
  <c r="BC311" i="82" s="1"/>
  <c r="BB6" i="82"/>
  <c r="BB259" i="82" s="1"/>
  <c r="BA6" i="82"/>
  <c r="BA311" i="82" s="1"/>
  <c r="AZ6" i="82"/>
  <c r="AZ311" i="82" s="1"/>
  <c r="AY6" i="82"/>
  <c r="AY311" i="82" s="1"/>
  <c r="AX6" i="82"/>
  <c r="AX311" i="82" s="1"/>
  <c r="AV6" i="82"/>
  <c r="AV311" i="82" s="1"/>
  <c r="AU6" i="82"/>
  <c r="AU311" i="82" s="1"/>
  <c r="AT6" i="82"/>
  <c r="AT311" i="82" s="1"/>
  <c r="AS6" i="82"/>
  <c r="AS311" i="82" s="1"/>
  <c r="AR6" i="82"/>
  <c r="AR311" i="82" s="1"/>
  <c r="AQ6" i="82"/>
  <c r="AQ311" i="82" s="1"/>
  <c r="AP6" i="82"/>
  <c r="AP311" i="82" s="1"/>
  <c r="AO6" i="82"/>
  <c r="AN6" i="82"/>
  <c r="AN311" i="82" s="1"/>
  <c r="AM6" i="82"/>
  <c r="AM311" i="82" s="1"/>
  <c r="AL6" i="82"/>
  <c r="AL311" i="82" s="1"/>
  <c r="AK6" i="82"/>
  <c r="AK311" i="82" s="1"/>
  <c r="AJ6" i="82"/>
  <c r="AJ311" i="82" s="1"/>
  <c r="AI6" i="82"/>
  <c r="AI311" i="82" s="1"/>
  <c r="AH6" i="82"/>
  <c r="AH311" i="82" s="1"/>
  <c r="AG6" i="82"/>
  <c r="AF6" i="82"/>
  <c r="AF311" i="82" s="1"/>
  <c r="AE6" i="82"/>
  <c r="AE311" i="82" s="1"/>
  <c r="AD6" i="82"/>
  <c r="AD311" i="82" s="1"/>
  <c r="AC6" i="82"/>
  <c r="AC311" i="82" s="1"/>
  <c r="AB6" i="82"/>
  <c r="AB311" i="82" s="1"/>
  <c r="AA6" i="82"/>
  <c r="AA311" i="82" s="1"/>
  <c r="Z6" i="82"/>
  <c r="Z311" i="82" s="1"/>
  <c r="Y6" i="82"/>
  <c r="X6" i="82"/>
  <c r="X311" i="82" s="1"/>
  <c r="W6" i="82"/>
  <c r="W311" i="82" s="1"/>
  <c r="V6" i="82"/>
  <c r="V311" i="82" s="1"/>
  <c r="U6" i="82"/>
  <c r="U311" i="82" s="1"/>
  <c r="T6" i="82"/>
  <c r="T311" i="82" s="1"/>
  <c r="S6" i="82"/>
  <c r="S311" i="82" s="1"/>
  <c r="R6" i="82"/>
  <c r="R311" i="82" s="1"/>
  <c r="Q6" i="82"/>
  <c r="P6" i="82"/>
  <c r="P311" i="82" s="1"/>
  <c r="O6" i="82"/>
  <c r="O311" i="82" s="1"/>
  <c r="N6" i="82"/>
  <c r="N311" i="82" s="1"/>
  <c r="M6" i="82"/>
  <c r="M311" i="82" s="1"/>
  <c r="L6" i="82"/>
  <c r="L311" i="82" s="1"/>
  <c r="K6" i="82"/>
  <c r="K311" i="82" s="1"/>
  <c r="J6" i="82"/>
  <c r="J311" i="82" s="1"/>
  <c r="I6" i="82"/>
  <c r="H6" i="82"/>
  <c r="H311" i="82" s="1"/>
  <c r="G6" i="82"/>
  <c r="G311" i="82" s="1"/>
  <c r="F6" i="82"/>
  <c r="F259" i="82" s="1"/>
  <c r="E6" i="82"/>
  <c r="E311" i="82" s="1"/>
  <c r="D6" i="82"/>
  <c r="D311" i="82" s="1"/>
  <c r="C6" i="82"/>
  <c r="C311" i="82" s="1"/>
  <c r="B6" i="82"/>
  <c r="B311" i="82" s="1"/>
  <c r="A2" i="82"/>
  <c r="CC625" i="1"/>
  <c r="CB625" i="1"/>
  <c r="CA625" i="1"/>
  <c r="BZ625" i="1"/>
  <c r="BY625" i="1"/>
  <c r="BS625" i="1"/>
  <c r="BR625" i="1"/>
  <c r="BQ625" i="1"/>
  <c r="BP625" i="1"/>
  <c r="BO625" i="1"/>
  <c r="A625" i="1"/>
  <c r="CC624" i="1"/>
  <c r="CB624" i="1"/>
  <c r="CA624" i="1"/>
  <c r="BZ624" i="1"/>
  <c r="BY624" i="1"/>
  <c r="BS624" i="1"/>
  <c r="BR624" i="1"/>
  <c r="BQ624" i="1"/>
  <c r="BP624" i="1"/>
  <c r="BO624" i="1"/>
  <c r="A624" i="1"/>
  <c r="CC621" i="1"/>
  <c r="CB621" i="1"/>
  <c r="CA621" i="1"/>
  <c r="BZ621" i="1"/>
  <c r="BY621" i="1"/>
  <c r="BS621" i="1"/>
  <c r="BR621" i="1"/>
  <c r="BQ621" i="1"/>
  <c r="BP621" i="1"/>
  <c r="BO621" i="1"/>
  <c r="A621" i="1"/>
  <c r="CC620" i="1"/>
  <c r="CB620" i="1"/>
  <c r="CA620" i="1"/>
  <c r="BZ620" i="1"/>
  <c r="BY620" i="1"/>
  <c r="BS620" i="1"/>
  <c r="BR620" i="1"/>
  <c r="BQ620" i="1"/>
  <c r="BP620" i="1"/>
  <c r="BO620" i="1"/>
  <c r="A620" i="1"/>
  <c r="CC617" i="1"/>
  <c r="CB617" i="1"/>
  <c r="CA617" i="1"/>
  <c r="BZ617" i="1"/>
  <c r="BY617" i="1"/>
  <c r="BS617" i="1"/>
  <c r="BR617" i="1"/>
  <c r="BQ617" i="1"/>
  <c r="BP617" i="1"/>
  <c r="BO617" i="1"/>
  <c r="A617" i="1"/>
  <c r="CC616" i="1"/>
  <c r="CB616" i="1"/>
  <c r="CA616" i="1"/>
  <c r="BZ616" i="1"/>
  <c r="BY616" i="1"/>
  <c r="BS616" i="1"/>
  <c r="BR616" i="1"/>
  <c r="BQ616" i="1"/>
  <c r="BP616" i="1"/>
  <c r="BO616" i="1"/>
  <c r="A616" i="1"/>
  <c r="CC610" i="1"/>
  <c r="CB610" i="1"/>
  <c r="CA610" i="1"/>
  <c r="BZ610" i="1"/>
  <c r="BY610" i="1"/>
  <c r="BS610" i="1"/>
  <c r="BR610" i="1"/>
  <c r="BQ610" i="1"/>
  <c r="BP610" i="1"/>
  <c r="BO610" i="1"/>
  <c r="A610" i="1"/>
  <c r="CC609" i="1"/>
  <c r="CB609" i="1"/>
  <c r="CA609" i="1"/>
  <c r="BZ609" i="1"/>
  <c r="BY609" i="1"/>
  <c r="BS609" i="1"/>
  <c r="BR609" i="1"/>
  <c r="BQ609" i="1"/>
  <c r="BP609" i="1"/>
  <c r="BO609" i="1"/>
  <c r="A609" i="1"/>
  <c r="DK608" i="1"/>
  <c r="DJ608" i="1"/>
  <c r="DI608" i="1"/>
  <c r="DH608" i="1"/>
  <c r="DF608" i="1"/>
  <c r="DE608" i="1"/>
  <c r="DD608" i="1"/>
  <c r="DC608" i="1"/>
  <c r="DA608" i="1"/>
  <c r="CZ608" i="1"/>
  <c r="CY608" i="1"/>
  <c r="CX608" i="1"/>
  <c r="CV608" i="1"/>
  <c r="CU608" i="1"/>
  <c r="CT608" i="1"/>
  <c r="CS608" i="1"/>
  <c r="CQ608" i="1"/>
  <c r="CP608" i="1"/>
  <c r="CO608" i="1"/>
  <c r="CN608" i="1"/>
  <c r="CL608" i="1"/>
  <c r="CK608" i="1"/>
  <c r="CJ608" i="1"/>
  <c r="CI608" i="1"/>
  <c r="CG608" i="1"/>
  <c r="CF608" i="1"/>
  <c r="CE608" i="1"/>
  <c r="CD608" i="1"/>
  <c r="CC608" i="1"/>
  <c r="CC611" i="1" s="1"/>
  <c r="CC612" i="1" s="1"/>
  <c r="CB608" i="1"/>
  <c r="CB611" i="1" s="1"/>
  <c r="CB612" i="1" s="1"/>
  <c r="CA608" i="1"/>
  <c r="CA611" i="1" s="1"/>
  <c r="CA612" i="1" s="1"/>
  <c r="BZ608" i="1"/>
  <c r="BZ611" i="1" s="1"/>
  <c r="BZ612" i="1" s="1"/>
  <c r="BY608" i="1"/>
  <c r="BY611" i="1" s="1"/>
  <c r="BY612" i="1" s="1"/>
  <c r="BW608" i="1"/>
  <c r="BV608" i="1"/>
  <c r="BU608" i="1"/>
  <c r="BT608" i="1"/>
  <c r="BS608" i="1"/>
  <c r="BS611" i="1" s="1"/>
  <c r="BS612" i="1" s="1"/>
  <c r="BR608" i="1"/>
  <c r="BR611" i="1" s="1"/>
  <c r="BR612" i="1" s="1"/>
  <c r="BQ608" i="1"/>
  <c r="BQ611" i="1" s="1"/>
  <c r="BQ612" i="1" s="1"/>
  <c r="BP608" i="1"/>
  <c r="BP611" i="1" s="1"/>
  <c r="BP612" i="1" s="1"/>
  <c r="BO608" i="1"/>
  <c r="BO611" i="1" s="1"/>
  <c r="BO612" i="1" s="1"/>
  <c r="BM608" i="1"/>
  <c r="BL608" i="1"/>
  <c r="BK608" i="1"/>
  <c r="BJ608" i="1"/>
  <c r="BH608" i="1"/>
  <c r="A608" i="1"/>
  <c r="CC604" i="1"/>
  <c r="CB604" i="1"/>
  <c r="CA604" i="1"/>
  <c r="BZ604" i="1"/>
  <c r="BY604" i="1"/>
  <c r="BS604" i="1"/>
  <c r="BR604" i="1"/>
  <c r="BQ604" i="1"/>
  <c r="BP604" i="1"/>
  <c r="BO604" i="1"/>
  <c r="A604" i="1"/>
  <c r="CC603" i="1"/>
  <c r="CB603" i="1"/>
  <c r="CA603" i="1"/>
  <c r="BZ603" i="1"/>
  <c r="BY603" i="1"/>
  <c r="BS603" i="1"/>
  <c r="BR603" i="1"/>
  <c r="BQ603" i="1"/>
  <c r="BP603" i="1"/>
  <c r="BO603" i="1"/>
  <c r="A603" i="1"/>
  <c r="CC602" i="1"/>
  <c r="CC605" i="1" s="1"/>
  <c r="CB602" i="1"/>
  <c r="CB605" i="1" s="1"/>
  <c r="CA602" i="1"/>
  <c r="CA605" i="1" s="1"/>
  <c r="BZ602" i="1"/>
  <c r="BZ605" i="1" s="1"/>
  <c r="BY602" i="1"/>
  <c r="BY605" i="1" s="1"/>
  <c r="BS602" i="1"/>
  <c r="BS605" i="1" s="1"/>
  <c r="BR602" i="1"/>
  <c r="BR605" i="1" s="1"/>
  <c r="BQ602" i="1"/>
  <c r="BQ605" i="1" s="1"/>
  <c r="BP602" i="1"/>
  <c r="BP605" i="1" s="1"/>
  <c r="BO602" i="1"/>
  <c r="BO605" i="1" s="1"/>
  <c r="BD602" i="1"/>
  <c r="A602" i="1"/>
  <c r="CC598" i="1"/>
  <c r="CB598" i="1"/>
  <c r="CA598" i="1"/>
  <c r="BZ598" i="1"/>
  <c r="BY598" i="1"/>
  <c r="BS598" i="1"/>
  <c r="BR598" i="1"/>
  <c r="BQ598" i="1"/>
  <c r="BP598" i="1"/>
  <c r="BO598" i="1"/>
  <c r="A598" i="1"/>
  <c r="CC597" i="1"/>
  <c r="CB597" i="1"/>
  <c r="CA597" i="1"/>
  <c r="BZ597" i="1"/>
  <c r="BY597" i="1"/>
  <c r="BS597" i="1"/>
  <c r="BR597" i="1"/>
  <c r="BQ597" i="1"/>
  <c r="BP597" i="1"/>
  <c r="BO597" i="1"/>
  <c r="A597" i="1"/>
  <c r="DJ596" i="1"/>
  <c r="DI596" i="1"/>
  <c r="DH596" i="1"/>
  <c r="DF596" i="1"/>
  <c r="DE596" i="1"/>
  <c r="DD596" i="1"/>
  <c r="DC596" i="1"/>
  <c r="DA596" i="1"/>
  <c r="CZ596" i="1"/>
  <c r="CY596" i="1"/>
  <c r="CX596" i="1"/>
  <c r="CV596" i="1"/>
  <c r="CU596" i="1"/>
  <c r="CT596" i="1"/>
  <c r="CS596" i="1"/>
  <c r="CQ596" i="1"/>
  <c r="CP596" i="1"/>
  <c r="CO596" i="1"/>
  <c r="CN596" i="1"/>
  <c r="CL596" i="1"/>
  <c r="CK596" i="1"/>
  <c r="CJ596" i="1"/>
  <c r="CI596" i="1"/>
  <c r="CG596" i="1"/>
  <c r="CF596" i="1"/>
  <c r="CE596" i="1"/>
  <c r="CD596" i="1"/>
  <c r="CC596" i="1"/>
  <c r="CC599" i="1" s="1"/>
  <c r="CB596" i="1"/>
  <c r="CB599" i="1" s="1"/>
  <c r="CA596" i="1"/>
  <c r="CA599" i="1" s="1"/>
  <c r="BZ596" i="1"/>
  <c r="BZ599" i="1" s="1"/>
  <c r="BY596" i="1"/>
  <c r="BY599" i="1" s="1"/>
  <c r="BW596" i="1"/>
  <c r="BV596" i="1"/>
  <c r="BU596" i="1"/>
  <c r="BT596" i="1"/>
  <c r="BS596" i="1"/>
  <c r="BS599" i="1" s="1"/>
  <c r="BR596" i="1"/>
  <c r="BR599" i="1" s="1"/>
  <c r="BQ596" i="1"/>
  <c r="BQ599" i="1" s="1"/>
  <c r="BP596" i="1"/>
  <c r="BP599" i="1" s="1"/>
  <c r="BO596" i="1"/>
  <c r="BO599" i="1" s="1"/>
  <c r="BM596" i="1"/>
  <c r="BL596" i="1"/>
  <c r="BK596" i="1"/>
  <c r="BJ596" i="1"/>
  <c r="BH596" i="1"/>
  <c r="BG596" i="1"/>
  <c r="BF596" i="1"/>
  <c r="BE596" i="1"/>
  <c r="BD596" i="1"/>
  <c r="BB596" i="1"/>
  <c r="BA596" i="1"/>
  <c r="AZ596" i="1"/>
  <c r="AX596" i="1"/>
  <c r="A596" i="1"/>
  <c r="DJ586" i="1"/>
  <c r="DI586" i="1"/>
  <c r="DH586" i="1"/>
  <c r="A586" i="1"/>
  <c r="A585" i="1"/>
  <c r="DJ577" i="1"/>
  <c r="DI577" i="1"/>
  <c r="DH577" i="1"/>
  <c r="A577" i="1"/>
  <c r="DL576" i="1"/>
  <c r="DK576" i="1"/>
  <c r="DH576" i="1"/>
  <c r="DG576" i="1"/>
  <c r="DF576" i="1"/>
  <c r="DB576" i="1"/>
  <c r="CV576" i="1"/>
  <c r="CU576" i="1"/>
  <c r="CT576" i="1"/>
  <c r="CS576" i="1"/>
  <c r="CQ576" i="1"/>
  <c r="CP576" i="1"/>
  <c r="CO576" i="1"/>
  <c r="CN576" i="1"/>
  <c r="CL576" i="1"/>
  <c r="CK576" i="1"/>
  <c r="CJ576" i="1"/>
  <c r="CI576" i="1"/>
  <c r="CG576" i="1"/>
  <c r="CF576" i="1"/>
  <c r="CE576" i="1"/>
  <c r="CD576" i="1"/>
  <c r="BW576" i="1"/>
  <c r="BV576" i="1"/>
  <c r="BU576" i="1"/>
  <c r="BT576" i="1"/>
  <c r="BM576" i="1"/>
  <c r="BL576" i="1"/>
  <c r="BK576" i="1"/>
  <c r="BJ576" i="1"/>
  <c r="BH576" i="1"/>
  <c r="BG576" i="1"/>
  <c r="BF576" i="1"/>
  <c r="BC576" i="1"/>
  <c r="BB576" i="1"/>
  <c r="BA576" i="1"/>
  <c r="AX576" i="1"/>
  <c r="AV576" i="1"/>
  <c r="AU576" i="1"/>
  <c r="A576" i="1"/>
  <c r="DJ568" i="1"/>
  <c r="DI568" i="1"/>
  <c r="DH568" i="1"/>
  <c r="A568" i="1"/>
  <c r="CV567" i="1"/>
  <c r="CU567" i="1"/>
  <c r="CT567" i="1"/>
  <c r="CS567" i="1"/>
  <c r="CQ567" i="1"/>
  <c r="CP567" i="1"/>
  <c r="CO567" i="1"/>
  <c r="CN567" i="1"/>
  <c r="CL567" i="1"/>
  <c r="CK567" i="1"/>
  <c r="CJ567" i="1"/>
  <c r="CI567" i="1"/>
  <c r="CG567" i="1"/>
  <c r="CF567" i="1"/>
  <c r="CE567" i="1"/>
  <c r="CD567" i="1"/>
  <c r="BW567" i="1"/>
  <c r="BV567" i="1"/>
  <c r="BU567" i="1"/>
  <c r="BT567" i="1"/>
  <c r="BM567" i="1"/>
  <c r="BL567" i="1"/>
  <c r="BK567" i="1"/>
  <c r="BJ567" i="1"/>
  <c r="BH567" i="1"/>
  <c r="BG567" i="1"/>
  <c r="BF567" i="1"/>
  <c r="BE567" i="1"/>
  <c r="BC567" i="1"/>
  <c r="BB567" i="1"/>
  <c r="AX567" i="1"/>
  <c r="AV567" i="1"/>
  <c r="AU567" i="1"/>
  <c r="A567" i="1"/>
  <c r="A558" i="1"/>
  <c r="CI547" i="1"/>
  <c r="CG547" i="1"/>
  <c r="CF547" i="1"/>
  <c r="CE547" i="1"/>
  <c r="CD547" i="1"/>
  <c r="BW547" i="1"/>
  <c r="BV547" i="1"/>
  <c r="BU547" i="1"/>
  <c r="BT547" i="1"/>
  <c r="BM547" i="1"/>
  <c r="BK547" i="1"/>
  <c r="BJ547" i="1"/>
  <c r="BH547" i="1"/>
  <c r="BG547" i="1"/>
  <c r="BF547" i="1"/>
  <c r="BE547" i="1"/>
  <c r="BC547" i="1"/>
  <c r="BB547" i="1"/>
  <c r="BA547" i="1"/>
  <c r="AX547" i="1"/>
  <c r="AV547" i="1"/>
  <c r="AU547" i="1"/>
  <c r="AS547" i="1"/>
  <c r="AR547" i="1"/>
  <c r="AQ547" i="1"/>
  <c r="AP547" i="1"/>
  <c r="AN547" i="1"/>
  <c r="AM547" i="1"/>
  <c r="AL547" i="1"/>
  <c r="AK547" i="1"/>
  <c r="CJ531" i="1"/>
  <c r="CI531" i="1"/>
  <c r="CG531" i="1"/>
  <c r="CF531" i="1"/>
  <c r="CE531" i="1"/>
  <c r="CD531" i="1"/>
  <c r="CI530" i="1"/>
  <c r="CG530" i="1"/>
  <c r="CF530" i="1"/>
  <c r="CE530" i="1"/>
  <c r="CD530" i="1"/>
  <c r="BW530" i="1"/>
  <c r="BV530" i="1"/>
  <c r="BU530" i="1"/>
  <c r="BT530" i="1"/>
  <c r="BM530" i="1"/>
  <c r="BK530" i="1"/>
  <c r="BJ530" i="1"/>
  <c r="BH530" i="1"/>
  <c r="BG530" i="1"/>
  <c r="BF530" i="1"/>
  <c r="BE530" i="1"/>
  <c r="BC530" i="1"/>
  <c r="BB530" i="1"/>
  <c r="BA530" i="1"/>
  <c r="AX530" i="1"/>
  <c r="AV530" i="1"/>
  <c r="AU530" i="1"/>
  <c r="AR530" i="1"/>
  <c r="AQ530" i="1"/>
  <c r="AP530" i="1"/>
  <c r="AN530" i="1"/>
  <c r="AM530" i="1"/>
  <c r="AL530" i="1"/>
  <c r="AK530" i="1"/>
  <c r="V528" i="1"/>
  <c r="Y527" i="1"/>
  <c r="X527" i="1"/>
  <c r="W527" i="1"/>
  <c r="V527" i="1"/>
  <c r="AC526" i="1"/>
  <c r="X526" i="1"/>
  <c r="A523" i="1"/>
  <c r="A522" i="1"/>
  <c r="A521" i="1"/>
  <c r="A520" i="1"/>
  <c r="CL514" i="1"/>
  <c r="CK514" i="1"/>
  <c r="CJ514" i="1"/>
  <c r="DF512" i="1"/>
  <c r="DE512" i="1"/>
  <c r="DD512" i="1"/>
  <c r="DC512" i="1"/>
  <c r="CV512" i="1"/>
  <c r="CU512" i="1"/>
  <c r="CT512" i="1"/>
  <c r="CS512" i="1"/>
  <c r="CQ512" i="1"/>
  <c r="CP512" i="1"/>
  <c r="CO512" i="1"/>
  <c r="CN512" i="1"/>
  <c r="CM512" i="1"/>
  <c r="DJ510" i="1"/>
  <c r="DI510" i="1"/>
  <c r="DH510" i="1"/>
  <c r="DF510" i="1"/>
  <c r="DE510" i="1"/>
  <c r="DD510" i="1"/>
  <c r="DC510" i="1"/>
  <c r="DA510" i="1"/>
  <c r="CV510" i="1"/>
  <c r="CU510" i="1"/>
  <c r="CT510" i="1"/>
  <c r="CS510" i="1"/>
  <c r="CQ510" i="1"/>
  <c r="DJ509" i="1"/>
  <c r="DI509" i="1"/>
  <c r="DH509" i="1"/>
  <c r="DF509" i="1"/>
  <c r="DE509" i="1"/>
  <c r="DD509" i="1"/>
  <c r="DC509" i="1"/>
  <c r="DA509" i="1"/>
  <c r="CZ509" i="1"/>
  <c r="CY509" i="1"/>
  <c r="CV509" i="1"/>
  <c r="CU509" i="1"/>
  <c r="CT509" i="1"/>
  <c r="CS509" i="1"/>
  <c r="CQ509" i="1"/>
  <c r="CP509" i="1"/>
  <c r="CO509" i="1"/>
  <c r="DJ508" i="1"/>
  <c r="DI508" i="1"/>
  <c r="DH508" i="1"/>
  <c r="DF508" i="1"/>
  <c r="DE508" i="1"/>
  <c r="DD508" i="1"/>
  <c r="DC508" i="1"/>
  <c r="CV508" i="1"/>
  <c r="CU508" i="1"/>
  <c r="CT508" i="1"/>
  <c r="CS508" i="1"/>
  <c r="DG507" i="1"/>
  <c r="DB507" i="1"/>
  <c r="CM507" i="1"/>
  <c r="CL507" i="1"/>
  <c r="DJ505" i="1"/>
  <c r="DI505" i="1"/>
  <c r="DH505" i="1"/>
  <c r="DF505" i="1"/>
  <c r="DE505" i="1"/>
  <c r="DD505" i="1"/>
  <c r="CV505" i="1"/>
  <c r="CU505" i="1"/>
  <c r="CT505" i="1"/>
  <c r="CS505" i="1"/>
  <c r="CQ505" i="1"/>
  <c r="CP505" i="1"/>
  <c r="CO505" i="1"/>
  <c r="DJ504" i="1"/>
  <c r="DI504" i="1"/>
  <c r="DH504" i="1"/>
  <c r="CV504" i="1"/>
  <c r="CU504" i="1"/>
  <c r="CT504" i="1"/>
  <c r="CS504" i="1"/>
  <c r="DG503" i="1"/>
  <c r="DA503" i="1"/>
  <c r="CZ503" i="1"/>
  <c r="CZ491" i="1" s="1"/>
  <c r="CY503" i="1"/>
  <c r="CX503" i="1"/>
  <c r="CW503" i="1"/>
  <c r="CR503" i="1"/>
  <c r="CK489" i="1"/>
  <c r="CJ489" i="1"/>
  <c r="CG489" i="1"/>
  <c r="CF489" i="1"/>
  <c r="CE489" i="1"/>
  <c r="CD489" i="1"/>
  <c r="BW489" i="1"/>
  <c r="BV489" i="1"/>
  <c r="CK488" i="1"/>
  <c r="CJ488" i="1"/>
  <c r="CI488" i="1"/>
  <c r="CG488" i="1"/>
  <c r="CH487" i="1"/>
  <c r="CL483" i="1"/>
  <c r="CK483" i="1"/>
  <c r="CJ483" i="1"/>
  <c r="CI483" i="1"/>
  <c r="CG483" i="1"/>
  <c r="CF483" i="1"/>
  <c r="CE483" i="1"/>
  <c r="CD483" i="1"/>
  <c r="BW483" i="1"/>
  <c r="BV483" i="1"/>
  <c r="BU483" i="1"/>
  <c r="BT483" i="1"/>
  <c r="BM483" i="1"/>
  <c r="BL483" i="1"/>
  <c r="BK483" i="1"/>
  <c r="BJ483" i="1"/>
  <c r="BH483" i="1"/>
  <c r="BC483" i="1"/>
  <c r="BB483" i="1"/>
  <c r="BA483" i="1"/>
  <c r="AZ483" i="1"/>
  <c r="AV483" i="1"/>
  <c r="AR483" i="1"/>
  <c r="AQ483" i="1"/>
  <c r="AP483" i="1"/>
  <c r="AN483" i="1"/>
  <c r="AM483" i="1"/>
  <c r="AL483" i="1"/>
  <c r="AK483" i="1"/>
  <c r="AI483" i="1"/>
  <c r="AH483" i="1"/>
  <c r="AG483" i="1"/>
  <c r="AF483" i="1"/>
  <c r="AB483" i="1"/>
  <c r="AA483" i="1"/>
  <c r="Y483" i="1"/>
  <c r="X483" i="1"/>
  <c r="W483" i="1"/>
  <c r="CL482" i="1"/>
  <c r="CK482" i="1"/>
  <c r="CJ482" i="1"/>
  <c r="CI482" i="1"/>
  <c r="CG482" i="1"/>
  <c r="CF482" i="1"/>
  <c r="CE482" i="1"/>
  <c r="CD482" i="1"/>
  <c r="BW482" i="1"/>
  <c r="BV482" i="1"/>
  <c r="BU482" i="1"/>
  <c r="BT482" i="1"/>
  <c r="BM482" i="1"/>
  <c r="BL482" i="1"/>
  <c r="BH482" i="1"/>
  <c r="BG482" i="1"/>
  <c r="BC482" i="1"/>
  <c r="BA482" i="1"/>
  <c r="AZ482" i="1"/>
  <c r="AV482" i="1"/>
  <c r="AU482" i="1"/>
  <c r="AR482" i="1"/>
  <c r="AQ482" i="1"/>
  <c r="AP482" i="1"/>
  <c r="AN482" i="1"/>
  <c r="AM482" i="1"/>
  <c r="AL482" i="1"/>
  <c r="AK482" i="1"/>
  <c r="AI482" i="1"/>
  <c r="AG482" i="1"/>
  <c r="AF482" i="1"/>
  <c r="AD482" i="1"/>
  <c r="AB482" i="1"/>
  <c r="AA482" i="1"/>
  <c r="Z482" i="1"/>
  <c r="U482" i="1"/>
  <c r="CM481" i="1"/>
  <c r="CL484" i="1" s="1"/>
  <c r="CH481" i="1"/>
  <c r="CD484" i="1" s="1"/>
  <c r="BX481" i="1"/>
  <c r="BW484" i="1" s="1"/>
  <c r="BN481" i="1"/>
  <c r="BF481" i="1"/>
  <c r="BG483" i="1" s="1"/>
  <c r="BE481" i="1"/>
  <c r="BD481" i="1"/>
  <c r="BD124" i="1" s="1"/>
  <c r="AY481" i="1"/>
  <c r="AY124" i="1" s="1"/>
  <c r="AS481" i="1"/>
  <c r="AS124" i="1" s="1"/>
  <c r="AO481" i="1"/>
  <c r="AO124" i="1" s="1"/>
  <c r="AJ481" i="1"/>
  <c r="AT478" i="1"/>
  <c r="AO478" i="1"/>
  <c r="AJ478" i="1"/>
  <c r="AE478" i="1"/>
  <c r="Q478" i="1"/>
  <c r="O478" i="1"/>
  <c r="N478" i="1"/>
  <c r="M478" i="1"/>
  <c r="L478" i="1"/>
  <c r="K478" i="1"/>
  <c r="J478" i="1"/>
  <c r="I478" i="1"/>
  <c r="H478" i="1"/>
  <c r="G478" i="1"/>
  <c r="F478" i="1"/>
  <c r="E478" i="1"/>
  <c r="D478" i="1"/>
  <c r="C478" i="1"/>
  <c r="B478" i="1"/>
  <c r="A478" i="1"/>
  <c r="T476" i="1"/>
  <c r="S476" i="1"/>
  <c r="R476" i="1"/>
  <c r="Q476" i="1"/>
  <c r="P476" i="1"/>
  <c r="O476" i="1"/>
  <c r="N476" i="1"/>
  <c r="M476" i="1"/>
  <c r="L476" i="1"/>
  <c r="K476" i="1"/>
  <c r="J476" i="1"/>
  <c r="I476" i="1"/>
  <c r="H476" i="1"/>
  <c r="G476" i="1"/>
  <c r="F476" i="1"/>
  <c r="E476" i="1"/>
  <c r="D476" i="1"/>
  <c r="C476" i="1"/>
  <c r="B476" i="1"/>
  <c r="A476" i="1"/>
  <c r="DC475" i="1"/>
  <c r="DA475" i="1"/>
  <c r="CZ475" i="1"/>
  <c r="CY475" i="1"/>
  <c r="CX475" i="1"/>
  <c r="CV475" i="1"/>
  <c r="CU475" i="1"/>
  <c r="CT475" i="1"/>
  <c r="CS475" i="1"/>
  <c r="CQ475" i="1"/>
  <c r="CP475" i="1"/>
  <c r="CO475" i="1"/>
  <c r="CN475" i="1"/>
  <c r="CL475" i="1"/>
  <c r="CK475" i="1"/>
  <c r="CJ475" i="1"/>
  <c r="CI475" i="1"/>
  <c r="CG475" i="1"/>
  <c r="CF475" i="1"/>
  <c r="CE475" i="1"/>
  <c r="CD475" i="1"/>
  <c r="DC474" i="1"/>
  <c r="DA474" i="1"/>
  <c r="CZ474" i="1"/>
  <c r="CY474" i="1"/>
  <c r="CX474" i="1"/>
  <c r="O474" i="1"/>
  <c r="N474" i="1"/>
  <c r="M474" i="1"/>
  <c r="L474" i="1"/>
  <c r="K474" i="1"/>
  <c r="J474" i="1"/>
  <c r="I474" i="1"/>
  <c r="H474" i="1"/>
  <c r="G474" i="1"/>
  <c r="F474" i="1"/>
  <c r="E474" i="1"/>
  <c r="D474" i="1"/>
  <c r="C474" i="1"/>
  <c r="B474" i="1"/>
  <c r="A474" i="1"/>
  <c r="DJ471" i="1"/>
  <c r="DI471" i="1"/>
  <c r="DH471" i="1"/>
  <c r="DF471" i="1"/>
  <c r="DE471" i="1"/>
  <c r="DD471" i="1"/>
  <c r="DC471" i="1"/>
  <c r="DA471" i="1"/>
  <c r="CZ471" i="1"/>
  <c r="CY471" i="1"/>
  <c r="CH471" i="1"/>
  <c r="BX471" i="1"/>
  <c r="BN471" i="1"/>
  <c r="BI471" i="1"/>
  <c r="BD471" i="1"/>
  <c r="AY471" i="1"/>
  <c r="AT471" i="1"/>
  <c r="AO471" i="1"/>
  <c r="AJ471" i="1"/>
  <c r="AE471" i="1"/>
  <c r="Z471" i="1"/>
  <c r="U471" i="1"/>
  <c r="R471" i="1"/>
  <c r="Q471" i="1"/>
  <c r="P471" i="1"/>
  <c r="O471" i="1"/>
  <c r="N471" i="1"/>
  <c r="M471" i="1"/>
  <c r="L471" i="1"/>
  <c r="K471" i="1"/>
  <c r="J471" i="1"/>
  <c r="I471" i="1"/>
  <c r="H471" i="1"/>
  <c r="G471" i="1"/>
  <c r="F471" i="1"/>
  <c r="E471" i="1"/>
  <c r="D471" i="1"/>
  <c r="C471" i="1"/>
  <c r="B471" i="1"/>
  <c r="DJ469" i="1"/>
  <c r="DI469" i="1"/>
  <c r="DH469" i="1"/>
  <c r="DF469" i="1"/>
  <c r="DE469" i="1"/>
  <c r="DD469" i="1"/>
  <c r="DC469" i="1"/>
  <c r="V469" i="1"/>
  <c r="U469" i="1"/>
  <c r="T469" i="1"/>
  <c r="S469" i="1"/>
  <c r="R469" i="1"/>
  <c r="Q469" i="1"/>
  <c r="P469" i="1"/>
  <c r="O469" i="1"/>
  <c r="N469" i="1"/>
  <c r="M469" i="1"/>
  <c r="L469" i="1"/>
  <c r="K469" i="1"/>
  <c r="J469" i="1"/>
  <c r="I469" i="1"/>
  <c r="H469" i="1"/>
  <c r="G469" i="1"/>
  <c r="F469" i="1"/>
  <c r="E469" i="1"/>
  <c r="D469" i="1"/>
  <c r="C469" i="1"/>
  <c r="B469" i="1"/>
  <c r="DJ468" i="1"/>
  <c r="DI468" i="1"/>
  <c r="DH468" i="1"/>
  <c r="DG468" i="1"/>
  <c r="DF468" i="1"/>
  <c r="DE468" i="1"/>
  <c r="DD468" i="1"/>
  <c r="DC468" i="1"/>
  <c r="DA468" i="1"/>
  <c r="CZ468" i="1"/>
  <c r="CY468" i="1"/>
  <c r="CX468" i="1"/>
  <c r="CV468" i="1"/>
  <c r="CU468" i="1"/>
  <c r="CT468" i="1"/>
  <c r="CS468" i="1"/>
  <c r="CQ468" i="1"/>
  <c r="CP468" i="1"/>
  <c r="CO468" i="1"/>
  <c r="CN468" i="1"/>
  <c r="CL468" i="1"/>
  <c r="CK468" i="1"/>
  <c r="CJ468" i="1"/>
  <c r="CI468" i="1"/>
  <c r="CG468" i="1"/>
  <c r="CF468" i="1"/>
  <c r="CE468" i="1"/>
  <c r="CD468" i="1"/>
  <c r="DG467" i="1"/>
  <c r="DC472" i="1" s="1"/>
  <c r="DB467" i="1"/>
  <c r="CV467" i="1"/>
  <c r="CU467" i="1"/>
  <c r="CT467" i="1"/>
  <c r="CS467" i="1"/>
  <c r="CQ467" i="1"/>
  <c r="CP467" i="1"/>
  <c r="CO467" i="1"/>
  <c r="CN467" i="1"/>
  <c r="CL467" i="1"/>
  <c r="CK467" i="1"/>
  <c r="CJ467" i="1"/>
  <c r="CI467" i="1"/>
  <c r="CG467" i="1"/>
  <c r="CF467" i="1"/>
  <c r="CE467" i="1"/>
  <c r="CD467" i="1"/>
  <c r="BW467" i="1"/>
  <c r="BV467" i="1"/>
  <c r="BU467" i="1"/>
  <c r="BT467" i="1"/>
  <c r="BM467" i="1"/>
  <c r="BL467" i="1"/>
  <c r="BK467" i="1"/>
  <c r="BJ467" i="1"/>
  <c r="BH467" i="1"/>
  <c r="BG467" i="1"/>
  <c r="BF467" i="1"/>
  <c r="BC467" i="1"/>
  <c r="BB467" i="1"/>
  <c r="BA467" i="1"/>
  <c r="AX467" i="1"/>
  <c r="AV467" i="1"/>
  <c r="AU467" i="1"/>
  <c r="AR467" i="1"/>
  <c r="AQ467" i="1"/>
  <c r="AP467" i="1"/>
  <c r="AN467" i="1"/>
  <c r="AM467" i="1"/>
  <c r="AL467" i="1"/>
  <c r="AK467" i="1"/>
  <c r="AI467" i="1"/>
  <c r="AH467" i="1"/>
  <c r="AG467" i="1"/>
  <c r="AF467" i="1"/>
  <c r="AD467" i="1"/>
  <c r="AC467" i="1"/>
  <c r="AB467" i="1"/>
  <c r="AA467" i="1"/>
  <c r="Z467" i="1"/>
  <c r="Y467" i="1"/>
  <c r="X467" i="1"/>
  <c r="W467" i="1"/>
  <c r="V467" i="1"/>
  <c r="U467" i="1"/>
  <c r="P467" i="1"/>
  <c r="O467" i="1"/>
  <c r="N467" i="1"/>
  <c r="M467" i="1"/>
  <c r="L467" i="1"/>
  <c r="K467" i="1"/>
  <c r="J467" i="1"/>
  <c r="I467" i="1"/>
  <c r="H467" i="1"/>
  <c r="G467" i="1"/>
  <c r="F467" i="1"/>
  <c r="E467" i="1"/>
  <c r="D467" i="1"/>
  <c r="C467" i="1"/>
  <c r="B467" i="1"/>
  <c r="A467" i="1"/>
  <c r="DJ464" i="1"/>
  <c r="DI464" i="1"/>
  <c r="DH464" i="1"/>
  <c r="DF464" i="1"/>
  <c r="DE464" i="1"/>
  <c r="DD464" i="1"/>
  <c r="DC464" i="1"/>
  <c r="DA464" i="1"/>
  <c r="CZ464" i="1"/>
  <c r="CY464" i="1"/>
  <c r="BN464" i="1"/>
  <c r="BI464" i="1"/>
  <c r="BD464" i="1"/>
  <c r="AY464" i="1"/>
  <c r="AT464" i="1"/>
  <c r="AO464" i="1"/>
  <c r="AJ464" i="1"/>
  <c r="AE464" i="1"/>
  <c r="Z464" i="1"/>
  <c r="U464" i="1"/>
  <c r="Q464" i="1"/>
  <c r="P464" i="1"/>
  <c r="O464" i="1"/>
  <c r="N464" i="1"/>
  <c r="M464" i="1"/>
  <c r="L464" i="1"/>
  <c r="K464" i="1"/>
  <c r="J464" i="1"/>
  <c r="I464" i="1"/>
  <c r="H464" i="1"/>
  <c r="G464" i="1"/>
  <c r="F464" i="1"/>
  <c r="E464" i="1"/>
  <c r="D464" i="1"/>
  <c r="C464" i="1"/>
  <c r="B464" i="1"/>
  <c r="DJ462" i="1"/>
  <c r="DI462" i="1"/>
  <c r="DH462" i="1"/>
  <c r="DF462" i="1"/>
  <c r="DE462" i="1"/>
  <c r="DD462" i="1"/>
  <c r="DC462" i="1"/>
  <c r="T462" i="1"/>
  <c r="S462" i="1"/>
  <c r="R462" i="1"/>
  <c r="Q462" i="1"/>
  <c r="P462" i="1"/>
  <c r="O462" i="1"/>
  <c r="N462" i="1"/>
  <c r="M462" i="1"/>
  <c r="L462" i="1"/>
  <c r="K462" i="1"/>
  <c r="J462" i="1"/>
  <c r="I462" i="1"/>
  <c r="H462" i="1"/>
  <c r="G462" i="1"/>
  <c r="F462" i="1"/>
  <c r="E462" i="1"/>
  <c r="D462" i="1"/>
  <c r="C462" i="1"/>
  <c r="B462" i="1"/>
  <c r="DJ461" i="1"/>
  <c r="DI461" i="1"/>
  <c r="DH461" i="1"/>
  <c r="DG461" i="1"/>
  <c r="DF461" i="1"/>
  <c r="DE461" i="1"/>
  <c r="DD461" i="1"/>
  <c r="DC461" i="1"/>
  <c r="DA461" i="1"/>
  <c r="CZ461" i="1"/>
  <c r="CY461" i="1"/>
  <c r="CX461" i="1"/>
  <c r="CV461" i="1"/>
  <c r="CU461" i="1"/>
  <c r="CT461" i="1"/>
  <c r="CS461" i="1"/>
  <c r="CQ461" i="1"/>
  <c r="CP461" i="1"/>
  <c r="CO461" i="1"/>
  <c r="CN461" i="1"/>
  <c r="CL461" i="1"/>
  <c r="CK461" i="1"/>
  <c r="CJ461" i="1"/>
  <c r="CI461" i="1"/>
  <c r="CG461" i="1"/>
  <c r="CF461" i="1"/>
  <c r="CE461" i="1"/>
  <c r="CD461" i="1"/>
  <c r="DG460" i="1"/>
  <c r="DB460" i="1"/>
  <c r="CV460" i="1"/>
  <c r="CU460" i="1"/>
  <c r="CT460" i="1"/>
  <c r="CS460" i="1"/>
  <c r="CQ460" i="1"/>
  <c r="CP460" i="1"/>
  <c r="CO460" i="1"/>
  <c r="CN460" i="1"/>
  <c r="CL460" i="1"/>
  <c r="CK460" i="1"/>
  <c r="CJ460" i="1"/>
  <c r="CI460" i="1"/>
  <c r="CG460" i="1"/>
  <c r="CF460" i="1"/>
  <c r="CE460" i="1"/>
  <c r="CD460" i="1"/>
  <c r="BW460" i="1"/>
  <c r="BV460" i="1"/>
  <c r="BU460" i="1"/>
  <c r="BT460" i="1"/>
  <c r="BM460" i="1"/>
  <c r="BL460" i="1"/>
  <c r="BK460" i="1"/>
  <c r="BJ460" i="1"/>
  <c r="BH460" i="1"/>
  <c r="BG460" i="1"/>
  <c r="BF460" i="1"/>
  <c r="BE460" i="1"/>
  <c r="BC460" i="1"/>
  <c r="BB460" i="1"/>
  <c r="AX460" i="1"/>
  <c r="AV460" i="1"/>
  <c r="AU460" i="1"/>
  <c r="AR460" i="1"/>
  <c r="AQ460" i="1"/>
  <c r="AP460" i="1"/>
  <c r="AN460" i="1"/>
  <c r="AM460" i="1"/>
  <c r="AL460" i="1"/>
  <c r="AK460" i="1"/>
  <c r="AI460" i="1"/>
  <c r="AH460" i="1"/>
  <c r="AG460" i="1"/>
  <c r="AF460" i="1"/>
  <c r="AD460" i="1"/>
  <c r="AC460" i="1"/>
  <c r="AB460" i="1"/>
  <c r="AA460" i="1"/>
  <c r="Z460" i="1"/>
  <c r="Y460" i="1"/>
  <c r="X460" i="1"/>
  <c r="W460" i="1"/>
  <c r="V460" i="1"/>
  <c r="U460" i="1"/>
  <c r="P460" i="1"/>
  <c r="O460" i="1"/>
  <c r="N460" i="1"/>
  <c r="M460" i="1"/>
  <c r="L460" i="1"/>
  <c r="K460" i="1"/>
  <c r="J460" i="1"/>
  <c r="I460" i="1"/>
  <c r="H460" i="1"/>
  <c r="G460" i="1"/>
  <c r="F460" i="1"/>
  <c r="E460" i="1"/>
  <c r="D460" i="1"/>
  <c r="C460" i="1"/>
  <c r="B460" i="1"/>
  <c r="A460" i="1"/>
  <c r="CR452" i="1"/>
  <c r="CM452" i="1"/>
  <c r="CH452" i="1"/>
  <c r="BX452" i="1"/>
  <c r="BN452" i="1"/>
  <c r="BI452" i="1"/>
  <c r="BD452" i="1"/>
  <c r="AT452" i="1"/>
  <c r="DB446" i="1"/>
  <c r="CW446" i="1"/>
  <c r="CR446" i="1"/>
  <c r="CM446" i="1"/>
  <c r="DB442" i="1"/>
  <c r="CW442" i="1"/>
  <c r="CR442" i="1"/>
  <c r="CM442" i="1"/>
  <c r="CH442" i="1"/>
  <c r="CJ434" i="1"/>
  <c r="CI434" i="1"/>
  <c r="CG434" i="1"/>
  <c r="CF434" i="1"/>
  <c r="CE434" i="1"/>
  <c r="CD434" i="1"/>
  <c r="BW434" i="1"/>
  <c r="BV434" i="1"/>
  <c r="BU434" i="1"/>
  <c r="BT434" i="1"/>
  <c r="BM434" i="1"/>
  <c r="BL434" i="1"/>
  <c r="BK434" i="1"/>
  <c r="BJ434" i="1"/>
  <c r="BH434" i="1"/>
  <c r="BG434" i="1"/>
  <c r="BF434" i="1"/>
  <c r="BE434" i="1"/>
  <c r="BC434" i="1"/>
  <c r="BB434" i="1"/>
  <c r="BA434" i="1"/>
  <c r="AZ434" i="1"/>
  <c r="AX434" i="1"/>
  <c r="AU434" i="1"/>
  <c r="AS434" i="1"/>
  <c r="AR434" i="1"/>
  <c r="AQ434" i="1"/>
  <c r="AP434" i="1"/>
  <c r="CV422" i="1"/>
  <c r="CT422" i="1"/>
  <c r="BW422" i="1"/>
  <c r="BV422" i="1"/>
  <c r="BU422" i="1"/>
  <c r="BT422" i="1"/>
  <c r="BM422" i="1"/>
  <c r="CV420" i="1"/>
  <c r="CG420" i="1"/>
  <c r="CX415" i="1"/>
  <c r="CV415" i="1"/>
  <c r="CU415" i="1"/>
  <c r="CT415" i="1"/>
  <c r="CR415" i="1"/>
  <c r="CM415" i="1"/>
  <c r="CH415" i="1"/>
  <c r="BX415" i="1"/>
  <c r="BN415" i="1"/>
  <c r="BI415" i="1"/>
  <c r="BD415" i="1"/>
  <c r="AY415" i="1"/>
  <c r="CX411" i="1"/>
  <c r="CV411" i="1"/>
  <c r="CT411" i="1"/>
  <c r="CS411" i="1"/>
  <c r="CR411" i="1"/>
  <c r="CM411" i="1"/>
  <c r="CH411" i="1"/>
  <c r="BX411" i="1"/>
  <c r="BN411" i="1"/>
  <c r="BI411" i="1"/>
  <c r="CU408" i="1"/>
  <c r="CQ408" i="1"/>
  <c r="CN408" i="1"/>
  <c r="CL408" i="1"/>
  <c r="CK408" i="1"/>
  <c r="AE406" i="1"/>
  <c r="AA406" i="1"/>
  <c r="AI405" i="1"/>
  <c r="AH405" i="1"/>
  <c r="AD405" i="1"/>
  <c r="AC405" i="1"/>
  <c r="AB405" i="1"/>
  <c r="AA405" i="1"/>
  <c r="CX404" i="1"/>
  <c r="CX423" i="1" s="1"/>
  <c r="CV404" i="1"/>
  <c r="CU404" i="1"/>
  <c r="CT404" i="1"/>
  <c r="CS404" i="1"/>
  <c r="CS427" i="1" s="1"/>
  <c r="CQ404" i="1"/>
  <c r="CQ410" i="1" s="1"/>
  <c r="CP404" i="1"/>
  <c r="CP410" i="1" s="1"/>
  <c r="CO404" i="1"/>
  <c r="CO410" i="1" s="1"/>
  <c r="CN404" i="1"/>
  <c r="CN423" i="1" s="1"/>
  <c r="CG404" i="1"/>
  <c r="CG416" i="1" s="1"/>
  <c r="CF404" i="1"/>
  <c r="CF416" i="1" s="1"/>
  <c r="CE404" i="1"/>
  <c r="CD404" i="1"/>
  <c r="CD423" i="1" s="1"/>
  <c r="BW404" i="1"/>
  <c r="BW416" i="1" s="1"/>
  <c r="BV404" i="1"/>
  <c r="BV410" i="1" s="1"/>
  <c r="BU404" i="1"/>
  <c r="BT404" i="1"/>
  <c r="BT416" i="1" s="1"/>
  <c r="BM404" i="1"/>
  <c r="BL404" i="1"/>
  <c r="BL427" i="1" s="1"/>
  <c r="BK404" i="1"/>
  <c r="BK423" i="1" s="1"/>
  <c r="BJ404" i="1"/>
  <c r="BJ423" i="1" s="1"/>
  <c r="BH404" i="1"/>
  <c r="BH410" i="1" s="1"/>
  <c r="BG404" i="1"/>
  <c r="BF404" i="1"/>
  <c r="BF427" i="1" s="1"/>
  <c r="BE404" i="1"/>
  <c r="BD404" i="1"/>
  <c r="BB404" i="1"/>
  <c r="BC422" i="1" s="1"/>
  <c r="BA404" i="1"/>
  <c r="AZ404" i="1"/>
  <c r="AY404" i="1"/>
  <c r="AV404" i="1"/>
  <c r="AW422" i="1" s="1"/>
  <c r="AW423" i="1" s="1"/>
  <c r="AW424" i="1" s="1"/>
  <c r="AW425" i="1" s="1"/>
  <c r="AU404" i="1"/>
  <c r="AZ411" i="1" s="1"/>
  <c r="AT404" i="1"/>
  <c r="AR404" i="1"/>
  <c r="AQ404" i="1"/>
  <c r="AR422" i="1" s="1"/>
  <c r="AP404" i="1"/>
  <c r="AN404" i="1"/>
  <c r="AP422" i="1" s="1"/>
  <c r="AM404" i="1"/>
  <c r="AR411" i="1" s="1"/>
  <c r="AL404" i="1"/>
  <c r="AQ411" i="1" s="1"/>
  <c r="AK404" i="1"/>
  <c r="AP411" i="1" s="1"/>
  <c r="AJ404" i="1"/>
  <c r="AH404" i="1"/>
  <c r="AG404" i="1"/>
  <c r="AF404" i="1"/>
  <c r="AE404" i="1"/>
  <c r="AB404" i="1"/>
  <c r="AA404" i="1"/>
  <c r="Z404" i="1"/>
  <c r="CV399" i="1"/>
  <c r="CU399" i="1"/>
  <c r="CT399" i="1"/>
  <c r="CS399" i="1"/>
  <c r="CQ399" i="1"/>
  <c r="CP399" i="1"/>
  <c r="CO399" i="1"/>
  <c r="CN399" i="1"/>
  <c r="CL399" i="1"/>
  <c r="CK399" i="1"/>
  <c r="CJ399" i="1"/>
  <c r="CI399" i="1"/>
  <c r="CG399" i="1"/>
  <c r="CF399" i="1"/>
  <c r="CE399" i="1"/>
  <c r="CD399" i="1"/>
  <c r="BW399" i="1"/>
  <c r="BV399" i="1"/>
  <c r="BU399" i="1"/>
  <c r="BT399" i="1"/>
  <c r="BM399" i="1"/>
  <c r="BL399" i="1"/>
  <c r="BK399" i="1"/>
  <c r="BJ399" i="1"/>
  <c r="BH399" i="1"/>
  <c r="BG399" i="1"/>
  <c r="BF399" i="1"/>
  <c r="BB399" i="1"/>
  <c r="BA399" i="1"/>
  <c r="CV398" i="1"/>
  <c r="CU398" i="1"/>
  <c r="CT398" i="1"/>
  <c r="CS398" i="1"/>
  <c r="CQ398" i="1"/>
  <c r="CP398" i="1"/>
  <c r="CO398" i="1"/>
  <c r="CN398" i="1"/>
  <c r="CL398" i="1"/>
  <c r="CK398" i="1"/>
  <c r="CJ398" i="1"/>
  <c r="CI398" i="1"/>
  <c r="CG398" i="1"/>
  <c r="CF398" i="1"/>
  <c r="CE398" i="1"/>
  <c r="CD398" i="1"/>
  <c r="BW398" i="1"/>
  <c r="BV398" i="1"/>
  <c r="BU398" i="1"/>
  <c r="BT398" i="1"/>
  <c r="BM398" i="1"/>
  <c r="BL398" i="1"/>
  <c r="BK398" i="1"/>
  <c r="BJ398" i="1"/>
  <c r="BG398" i="1"/>
  <c r="BF398" i="1"/>
  <c r="BE398" i="1"/>
  <c r="CW397" i="1"/>
  <c r="CR397" i="1"/>
  <c r="BC397" i="1"/>
  <c r="BH398" i="1" s="1"/>
  <c r="CX394" i="1"/>
  <c r="CV394" i="1"/>
  <c r="CU394" i="1"/>
  <c r="CT394" i="1"/>
  <c r="CS394" i="1"/>
  <c r="CQ394" i="1"/>
  <c r="CP394" i="1"/>
  <c r="CO394" i="1"/>
  <c r="CG394" i="1"/>
  <c r="CG406" i="1" s="1"/>
  <c r="CF394" i="1"/>
  <c r="CF406" i="1" s="1"/>
  <c r="CE394" i="1"/>
  <c r="CE406" i="1" s="1"/>
  <c r="CD394" i="1"/>
  <c r="CD406" i="1" s="1"/>
  <c r="BW394" i="1"/>
  <c r="BW406" i="1" s="1"/>
  <c r="BV394" i="1"/>
  <c r="BV406" i="1" s="1"/>
  <c r="BU394" i="1"/>
  <c r="BU406" i="1" s="1"/>
  <c r="BT394" i="1"/>
  <c r="BT406" i="1" s="1"/>
  <c r="BM394" i="1"/>
  <c r="BM406" i="1" s="1"/>
  <c r="BL394" i="1"/>
  <c r="BL406" i="1" s="1"/>
  <c r="BK394" i="1"/>
  <c r="BK406" i="1" s="1"/>
  <c r="BJ394" i="1"/>
  <c r="BJ406" i="1" s="1"/>
  <c r="BH394" i="1"/>
  <c r="BH406" i="1" s="1"/>
  <c r="BG394" i="1"/>
  <c r="BG406" i="1" s="1"/>
  <c r="BF394" i="1"/>
  <c r="BF406" i="1" s="1"/>
  <c r="BB394" i="1"/>
  <c r="BB406" i="1" s="1"/>
  <c r="BA394" i="1"/>
  <c r="BA406" i="1" s="1"/>
  <c r="AV394" i="1"/>
  <c r="AV406" i="1" s="1"/>
  <c r="AR394" i="1"/>
  <c r="AR406" i="1" s="1"/>
  <c r="AQ394" i="1"/>
  <c r="AQ406" i="1" s="1"/>
  <c r="AP394" i="1"/>
  <c r="AP406" i="1" s="1"/>
  <c r="AN394" i="1"/>
  <c r="AN406" i="1" s="1"/>
  <c r="AM394" i="1"/>
  <c r="AM406" i="1" s="1"/>
  <c r="AL394" i="1"/>
  <c r="AL406" i="1" s="1"/>
  <c r="AH394" i="1"/>
  <c r="AH406" i="1" s="1"/>
  <c r="AG394" i="1"/>
  <c r="AG406" i="1" s="1"/>
  <c r="AB394" i="1"/>
  <c r="AB406" i="1" s="1"/>
  <c r="CX393" i="1"/>
  <c r="CX405" i="1" s="1"/>
  <c r="CV393" i="1"/>
  <c r="CV405" i="1" s="1"/>
  <c r="CU393" i="1"/>
  <c r="CU405" i="1" s="1"/>
  <c r="CT393" i="1"/>
  <c r="CT405" i="1" s="1"/>
  <c r="CS393" i="1"/>
  <c r="CS405" i="1" s="1"/>
  <c r="CG393" i="1"/>
  <c r="CG405" i="1" s="1"/>
  <c r="CF393" i="1"/>
  <c r="CF405" i="1" s="1"/>
  <c r="CE393" i="1"/>
  <c r="CE405" i="1" s="1"/>
  <c r="CD393" i="1"/>
  <c r="CD405" i="1" s="1"/>
  <c r="BW393" i="1"/>
  <c r="BW405" i="1" s="1"/>
  <c r="BV393" i="1"/>
  <c r="BV405" i="1" s="1"/>
  <c r="BU393" i="1"/>
  <c r="BU405" i="1" s="1"/>
  <c r="BT393" i="1"/>
  <c r="BT405" i="1" s="1"/>
  <c r="BM393" i="1"/>
  <c r="BM405" i="1" s="1"/>
  <c r="BL393" i="1"/>
  <c r="BL405" i="1" s="1"/>
  <c r="BK393" i="1"/>
  <c r="BK405" i="1" s="1"/>
  <c r="BJ393" i="1"/>
  <c r="BJ405" i="1" s="1"/>
  <c r="BG393" i="1"/>
  <c r="BG405" i="1" s="1"/>
  <c r="BF393" i="1"/>
  <c r="BF405" i="1" s="1"/>
  <c r="BE393" i="1"/>
  <c r="BE405" i="1" s="1"/>
  <c r="BD393" i="1"/>
  <c r="BD405" i="1" s="1"/>
  <c r="BB405" i="1"/>
  <c r="BA393" i="1"/>
  <c r="BA405" i="1" s="1"/>
  <c r="AZ393" i="1"/>
  <c r="AZ405" i="1" s="1"/>
  <c r="AY393" i="1"/>
  <c r="AY405" i="1" s="1"/>
  <c r="AV393" i="1"/>
  <c r="AV405" i="1" s="1"/>
  <c r="AU393" i="1"/>
  <c r="AU405" i="1" s="1"/>
  <c r="AR393" i="1"/>
  <c r="AR405" i="1" s="1"/>
  <c r="AQ393" i="1"/>
  <c r="AQ405" i="1" s="1"/>
  <c r="AP393" i="1"/>
  <c r="AP405" i="1" s="1"/>
  <c r="AM393" i="1"/>
  <c r="AM405" i="1" s="1"/>
  <c r="AL393" i="1"/>
  <c r="AL405" i="1" s="1"/>
  <c r="AK393" i="1"/>
  <c r="AK405" i="1" s="1"/>
  <c r="AJ393" i="1"/>
  <c r="AJ405" i="1" s="1"/>
  <c r="AG393" i="1"/>
  <c r="AG405" i="1" s="1"/>
  <c r="AF393" i="1"/>
  <c r="AF405" i="1" s="1"/>
  <c r="AE393" i="1"/>
  <c r="AE405" i="1" s="1"/>
  <c r="CW392" i="1"/>
  <c r="CR392" i="1"/>
  <c r="CR404" i="1" s="1"/>
  <c r="BX392" i="1"/>
  <c r="BN392" i="1"/>
  <c r="BN404" i="1" s="1"/>
  <c r="BI392" i="1"/>
  <c r="BC392" i="1"/>
  <c r="AZ394" i="1"/>
  <c r="AZ406" i="1" s="1"/>
  <c r="AS392" i="1"/>
  <c r="AS394" i="1" s="1"/>
  <c r="AS406" i="1" s="1"/>
  <c r="AO392" i="1"/>
  <c r="AT393" i="1" s="1"/>
  <c r="AT405" i="1" s="1"/>
  <c r="AI392" i="1"/>
  <c r="AK394" i="1" s="1"/>
  <c r="AK406" i="1" s="1"/>
  <c r="AC392" i="1"/>
  <c r="AC394" i="1" s="1"/>
  <c r="AC406" i="1" s="1"/>
  <c r="CF384" i="1"/>
  <c r="CE384" i="1"/>
  <c r="CE387" i="1" s="1"/>
  <c r="CD384" i="1"/>
  <c r="CD387" i="1" s="1"/>
  <c r="BW384" i="1"/>
  <c r="BW387" i="1" s="1"/>
  <c r="BT384" i="1"/>
  <c r="AI384" i="1"/>
  <c r="AG384" i="1"/>
  <c r="AG387" i="1" s="1"/>
  <c r="AF384" i="1"/>
  <c r="AF387" i="1" s="1"/>
  <c r="AD384" i="1"/>
  <c r="AD387" i="1" s="1"/>
  <c r="AC384" i="1"/>
  <c r="AC387" i="1" s="1"/>
  <c r="AB384" i="1"/>
  <c r="AA384" i="1"/>
  <c r="Y384" i="1"/>
  <c r="X384" i="1"/>
  <c r="W384" i="1"/>
  <c r="V384" i="1"/>
  <c r="T384" i="1"/>
  <c r="S384" i="1"/>
  <c r="R384" i="1"/>
  <c r="Q384" i="1"/>
  <c r="CF383" i="1"/>
  <c r="CE383" i="1"/>
  <c r="AI383" i="1"/>
  <c r="AG383" i="1"/>
  <c r="AF383" i="1"/>
  <c r="AD383" i="1"/>
  <c r="AC383" i="1"/>
  <c r="AB383" i="1"/>
  <c r="AA383" i="1"/>
  <c r="Y383" i="1"/>
  <c r="X383" i="1"/>
  <c r="W383" i="1"/>
  <c r="T383" i="1"/>
  <c r="S383" i="1"/>
  <c r="R383" i="1"/>
  <c r="Q383" i="1"/>
  <c r="P381" i="1"/>
  <c r="O381" i="1"/>
  <c r="N381" i="1"/>
  <c r="M381" i="1"/>
  <c r="L381" i="1"/>
  <c r="K381" i="1"/>
  <c r="J381" i="1"/>
  <c r="I381" i="1"/>
  <c r="H381" i="1"/>
  <c r="G381" i="1"/>
  <c r="F381" i="1"/>
  <c r="E381" i="1"/>
  <c r="D381" i="1"/>
  <c r="C381" i="1"/>
  <c r="B381" i="1"/>
  <c r="P376" i="1"/>
  <c r="O376" i="1"/>
  <c r="N376" i="1"/>
  <c r="M376" i="1"/>
  <c r="L376" i="1"/>
  <c r="K376" i="1"/>
  <c r="J376" i="1"/>
  <c r="I376" i="1"/>
  <c r="H376" i="1"/>
  <c r="G376" i="1"/>
  <c r="F376" i="1"/>
  <c r="E376" i="1"/>
  <c r="D376" i="1"/>
  <c r="C376" i="1"/>
  <c r="B376" i="1"/>
  <c r="O375" i="1"/>
  <c r="N375" i="1"/>
  <c r="M375" i="1"/>
  <c r="L375" i="1"/>
  <c r="K375" i="1"/>
  <c r="J375" i="1"/>
  <c r="I375" i="1"/>
  <c r="H375" i="1"/>
  <c r="G375" i="1"/>
  <c r="F375" i="1"/>
  <c r="E375" i="1"/>
  <c r="D375" i="1"/>
  <c r="C375" i="1"/>
  <c r="B375" i="1"/>
  <c r="CX367" i="1"/>
  <c r="CV367" i="1"/>
  <c r="CU367" i="1"/>
  <c r="CT367" i="1"/>
  <c r="CS367" i="1"/>
  <c r="CQ367" i="1"/>
  <c r="CP367" i="1"/>
  <c r="CO367" i="1"/>
  <c r="CN367" i="1"/>
  <c r="CL367" i="1"/>
  <c r="CK367" i="1"/>
  <c r="CJ367" i="1"/>
  <c r="CI367" i="1"/>
  <c r="CG367" i="1"/>
  <c r="CF367" i="1"/>
  <c r="CE367" i="1"/>
  <c r="CD367" i="1"/>
  <c r="BW367" i="1"/>
  <c r="BV367" i="1"/>
  <c r="BU367" i="1"/>
  <c r="BT367" i="1"/>
  <c r="BM367" i="1"/>
  <c r="BL367" i="1"/>
  <c r="BK367" i="1"/>
  <c r="BJ367" i="1"/>
  <c r="BH367" i="1"/>
  <c r="BG367" i="1"/>
  <c r="BF367" i="1"/>
  <c r="BE367" i="1"/>
  <c r="BC367" i="1"/>
  <c r="BB367" i="1"/>
  <c r="BA367" i="1"/>
  <c r="AZ367" i="1"/>
  <c r="DA366" i="1"/>
  <c r="CZ366" i="1"/>
  <c r="CY366" i="1"/>
  <c r="CX366" i="1"/>
  <c r="CV366" i="1"/>
  <c r="CU366" i="1"/>
  <c r="CT366" i="1"/>
  <c r="CS366" i="1"/>
  <c r="CQ366" i="1"/>
  <c r="CP366" i="1"/>
  <c r="CO366" i="1"/>
  <c r="CN366" i="1"/>
  <c r="CL366" i="1"/>
  <c r="CK366" i="1"/>
  <c r="CJ366" i="1"/>
  <c r="CI366" i="1"/>
  <c r="CG366" i="1"/>
  <c r="CF366" i="1"/>
  <c r="CE366" i="1"/>
  <c r="CD366" i="1"/>
  <c r="BW366" i="1"/>
  <c r="BV366" i="1"/>
  <c r="BU366" i="1"/>
  <c r="BT366" i="1"/>
  <c r="BM366" i="1"/>
  <c r="BL366" i="1"/>
  <c r="BK366" i="1"/>
  <c r="BJ366" i="1"/>
  <c r="BH366" i="1"/>
  <c r="BG366" i="1"/>
  <c r="BF366" i="1"/>
  <c r="BE366" i="1"/>
  <c r="BC366" i="1"/>
  <c r="BB366" i="1"/>
  <c r="BA366" i="1"/>
  <c r="AZ366" i="1"/>
  <c r="AY366" i="1"/>
  <c r="AT366" i="1"/>
  <c r="AT361" i="1"/>
  <c r="AT360" i="1"/>
  <c r="DK330" i="1"/>
  <c r="DJ330" i="1"/>
  <c r="DI330" i="1"/>
  <c r="DF330" i="1"/>
  <c r="DD330" i="1"/>
  <c r="DA330" i="1"/>
  <c r="CZ330" i="1"/>
  <c r="CY330" i="1"/>
  <c r="CF330" i="1"/>
  <c r="CE330" i="1"/>
  <c r="BM330" i="1"/>
  <c r="BL330" i="1"/>
  <c r="BK330" i="1"/>
  <c r="BH330" i="1"/>
  <c r="BG330" i="1"/>
  <c r="BF330" i="1"/>
  <c r="BB330" i="1"/>
  <c r="BA330" i="1"/>
  <c r="Y330" i="1"/>
  <c r="X330" i="1"/>
  <c r="W330" i="1"/>
  <c r="T330" i="1"/>
  <c r="S330" i="1"/>
  <c r="R330" i="1"/>
  <c r="Q330" i="1"/>
  <c r="DK328" i="1"/>
  <c r="DI328" i="1"/>
  <c r="DA328" i="1"/>
  <c r="CZ328" i="1"/>
  <c r="CY328" i="1"/>
  <c r="CF328" i="1"/>
  <c r="CE328" i="1"/>
  <c r="DM320" i="1"/>
  <c r="DK320" i="1"/>
  <c r="DJ320" i="1"/>
  <c r="DI320" i="1"/>
  <c r="DH320" i="1"/>
  <c r="DF320" i="1"/>
  <c r="DE320" i="1"/>
  <c r="DD320" i="1"/>
  <c r="DC320" i="1"/>
  <c r="DA320" i="1"/>
  <c r="CZ320" i="1"/>
  <c r="CY320" i="1"/>
  <c r="CX320" i="1"/>
  <c r="CV320" i="1"/>
  <c r="CU320" i="1"/>
  <c r="CT320" i="1"/>
  <c r="CS320" i="1"/>
  <c r="CQ320" i="1"/>
  <c r="CP320" i="1"/>
  <c r="CO320" i="1"/>
  <c r="CN320" i="1"/>
  <c r="CG320" i="1"/>
  <c r="CF320" i="1"/>
  <c r="CE320" i="1"/>
  <c r="CD320" i="1"/>
  <c r="BT320" i="1"/>
  <c r="BM320" i="1"/>
  <c r="BL320" i="1"/>
  <c r="BK320" i="1"/>
  <c r="BJ320" i="1"/>
  <c r="BH320" i="1"/>
  <c r="BG320" i="1"/>
  <c r="BF320" i="1"/>
  <c r="BE320" i="1"/>
  <c r="BC320" i="1"/>
  <c r="BB320" i="1"/>
  <c r="BB321" i="1" s="1"/>
  <c r="BA320" i="1"/>
  <c r="AZ320" i="1"/>
  <c r="AV320" i="1"/>
  <c r="AU320" i="1"/>
  <c r="AS320" i="1"/>
  <c r="AR320" i="1"/>
  <c r="AW321" i="1" s="1"/>
  <c r="AQ320" i="1"/>
  <c r="AP320" i="1"/>
  <c r="AN320" i="1"/>
  <c r="AM320" i="1"/>
  <c r="AL320" i="1"/>
  <c r="AK320" i="1"/>
  <c r="AI320" i="1"/>
  <c r="AH320" i="1"/>
  <c r="AG320" i="1"/>
  <c r="AF320" i="1"/>
  <c r="AE320" i="1"/>
  <c r="AD320" i="1"/>
  <c r="AC320" i="1"/>
  <c r="AB320" i="1"/>
  <c r="AA320" i="1"/>
  <c r="Y320" i="1"/>
  <c r="X320" i="1"/>
  <c r="W320" i="1"/>
  <c r="V320" i="1"/>
  <c r="T320" i="1"/>
  <c r="S320" i="1"/>
  <c r="R320" i="1"/>
  <c r="DK319" i="1"/>
  <c r="DJ319" i="1"/>
  <c r="DI319" i="1"/>
  <c r="DF319" i="1"/>
  <c r="DE319" i="1"/>
  <c r="DD319" i="1"/>
  <c r="DA319" i="1"/>
  <c r="CZ319" i="1"/>
  <c r="CY319" i="1"/>
  <c r="CV319" i="1"/>
  <c r="CU319" i="1"/>
  <c r="CT319" i="1"/>
  <c r="CQ319" i="1"/>
  <c r="CP319" i="1"/>
  <c r="CO319" i="1"/>
  <c r="CG319" i="1"/>
  <c r="CF319" i="1"/>
  <c r="CE319" i="1"/>
  <c r="BT319" i="1"/>
  <c r="BM319" i="1"/>
  <c r="BL319" i="1"/>
  <c r="BK319" i="1"/>
  <c r="BJ319" i="1"/>
  <c r="BH319" i="1"/>
  <c r="BG319" i="1"/>
  <c r="BF319" i="1"/>
  <c r="BE319" i="1"/>
  <c r="BC319" i="1"/>
  <c r="BB319" i="1"/>
  <c r="BA319" i="1"/>
  <c r="AV319" i="1"/>
  <c r="AS319" i="1"/>
  <c r="AR319" i="1"/>
  <c r="AQ319" i="1"/>
  <c r="AP319" i="1"/>
  <c r="AN319" i="1"/>
  <c r="AM319" i="1"/>
  <c r="AL319" i="1"/>
  <c r="AK319" i="1"/>
  <c r="AI319" i="1"/>
  <c r="AH319" i="1"/>
  <c r="AG319" i="1"/>
  <c r="AF319" i="1"/>
  <c r="AD319" i="1"/>
  <c r="AC319" i="1"/>
  <c r="AB319" i="1"/>
  <c r="AA319" i="1"/>
  <c r="Y319" i="1"/>
  <c r="X319" i="1"/>
  <c r="W319" i="1"/>
  <c r="V319" i="1"/>
  <c r="T319" i="1"/>
  <c r="S319" i="1"/>
  <c r="R319" i="1"/>
  <c r="DM318" i="1"/>
  <c r="DK318" i="1"/>
  <c r="DJ318" i="1"/>
  <c r="DI318" i="1"/>
  <c r="DH318" i="1"/>
  <c r="DF318" i="1"/>
  <c r="DE318" i="1"/>
  <c r="DD318" i="1"/>
  <c r="DC318" i="1"/>
  <c r="DA318" i="1"/>
  <c r="CZ318" i="1"/>
  <c r="CY318" i="1"/>
  <c r="CX318" i="1"/>
  <c r="CV318" i="1"/>
  <c r="CU318" i="1"/>
  <c r="CT318" i="1"/>
  <c r="CS318" i="1"/>
  <c r="CQ318" i="1"/>
  <c r="CL318" i="1"/>
  <c r="CG318" i="1"/>
  <c r="CD318" i="1"/>
  <c r="BW318" i="1"/>
  <c r="BT318" i="1"/>
  <c r="BM318" i="1"/>
  <c r="BL318" i="1"/>
  <c r="BK318" i="1"/>
  <c r="BJ318" i="1"/>
  <c r="BH318" i="1"/>
  <c r="BG318" i="1"/>
  <c r="BF318" i="1"/>
  <c r="BE318" i="1"/>
  <c r="BC318" i="1"/>
  <c r="BA318" i="1"/>
  <c r="AZ318" i="1"/>
  <c r="AX318" i="1"/>
  <c r="AV318" i="1"/>
  <c r="AU318" i="1"/>
  <c r="AS318" i="1"/>
  <c r="AR318" i="1"/>
  <c r="AQ318" i="1"/>
  <c r="AP318" i="1"/>
  <c r="AN318" i="1"/>
  <c r="AM318" i="1"/>
  <c r="AL318" i="1"/>
  <c r="AK318" i="1"/>
  <c r="AI318" i="1"/>
  <c r="AH318" i="1"/>
  <c r="AG318" i="1"/>
  <c r="AF318" i="1"/>
  <c r="AE318" i="1"/>
  <c r="AD318" i="1"/>
  <c r="AC318" i="1"/>
  <c r="AB318" i="1"/>
  <c r="AA318" i="1"/>
  <c r="Y318" i="1"/>
  <c r="X318" i="1"/>
  <c r="W318" i="1"/>
  <c r="V318" i="1"/>
  <c r="DL317" i="1"/>
  <c r="DG317" i="1"/>
  <c r="DB317" i="1"/>
  <c r="CW317" i="1"/>
  <c r="CR317" i="1"/>
  <c r="CM317" i="1"/>
  <c r="CK317" i="1"/>
  <c r="CJ317" i="1"/>
  <c r="CI317" i="1"/>
  <c r="CH317" i="1"/>
  <c r="BX317" i="1"/>
  <c r="BV317" i="1"/>
  <c r="BU317" i="1"/>
  <c r="BN317" i="1"/>
  <c r="BI317" i="1"/>
  <c r="BD317" i="1"/>
  <c r="AY317" i="1"/>
  <c r="AT317" i="1"/>
  <c r="AO317" i="1"/>
  <c r="AJ317" i="1"/>
  <c r="U317" i="1"/>
  <c r="DR302" i="1"/>
  <c r="DR120" i="39" s="1"/>
  <c r="DN302" i="1"/>
  <c r="DN120" i="39" s="1"/>
  <c r="DH307" i="1"/>
  <c r="CR301" i="1"/>
  <c r="CR302" i="1" s="1"/>
  <c r="CR200" i="1" s="1"/>
  <c r="DM547" i="1"/>
  <c r="DK547" i="1"/>
  <c r="DJ547" i="1"/>
  <c r="DI547" i="1"/>
  <c r="DH547" i="1"/>
  <c r="DF547" i="1"/>
  <c r="DE547" i="1"/>
  <c r="DD547" i="1"/>
  <c r="DC547" i="1"/>
  <c r="DA547" i="1"/>
  <c r="CZ547" i="1"/>
  <c r="CY547" i="1"/>
  <c r="CX547" i="1"/>
  <c r="CV547" i="1"/>
  <c r="CU547" i="1"/>
  <c r="CT547" i="1"/>
  <c r="CS547" i="1"/>
  <c r="CQ547" i="1"/>
  <c r="CP547" i="1"/>
  <c r="CO547" i="1"/>
  <c r="CN547" i="1"/>
  <c r="CL547" i="1"/>
  <c r="CK547" i="1"/>
  <c r="CJ547" i="1"/>
  <c r="BL547" i="1"/>
  <c r="AZ547" i="1"/>
  <c r="DF531" i="1"/>
  <c r="DE531" i="1"/>
  <c r="DD531" i="1"/>
  <c r="DC531" i="1"/>
  <c r="DA531" i="1"/>
  <c r="CZ68" i="1"/>
  <c r="CZ184" i="1" s="1"/>
  <c r="CY531" i="1"/>
  <c r="CX531" i="1"/>
  <c r="CV68" i="1"/>
  <c r="CV184" i="1" s="1"/>
  <c r="DA181" i="1" s="1"/>
  <c r="CU531" i="1"/>
  <c r="CT68" i="1"/>
  <c r="CT184" i="1" s="1"/>
  <c r="CY181" i="1" s="1"/>
  <c r="CS531" i="1"/>
  <c r="CQ531" i="1"/>
  <c r="CO531" i="1"/>
  <c r="CL531" i="1"/>
  <c r="DM530" i="1"/>
  <c r="DK530" i="1"/>
  <c r="DH530" i="1"/>
  <c r="DF530" i="1"/>
  <c r="CZ530" i="1"/>
  <c r="CX530" i="1"/>
  <c r="CV530" i="1"/>
  <c r="CU530" i="1"/>
  <c r="CQ530" i="1"/>
  <c r="CP530" i="1"/>
  <c r="CO530" i="1"/>
  <c r="CN530" i="1"/>
  <c r="CL530" i="1"/>
  <c r="CK530" i="1"/>
  <c r="AZ530" i="1"/>
  <c r="AS530" i="1"/>
  <c r="AC527" i="1"/>
  <c r="CV400" i="1"/>
  <c r="CP402" i="1"/>
  <c r="CN400" i="1"/>
  <c r="CF400" i="1"/>
  <c r="BU402" i="1"/>
  <c r="BM395" i="1"/>
  <c r="BH402" i="1"/>
  <c r="BF400" i="1"/>
  <c r="BE395" i="1"/>
  <c r="AY397" i="1"/>
  <c r="AM526" i="1"/>
  <c r="DB163" i="1"/>
  <c r="DB159" i="1"/>
  <c r="DB148" i="1"/>
  <c r="CW148" i="1"/>
  <c r="CR148" i="1"/>
  <c r="CM148" i="1"/>
  <c r="DB143" i="1"/>
  <c r="CW143" i="1"/>
  <c r="CR143" i="1"/>
  <c r="CM143" i="1"/>
  <c r="CH143" i="1"/>
  <c r="CR139" i="1"/>
  <c r="CQ139" i="1"/>
  <c r="CP139" i="1"/>
  <c r="CO139" i="1"/>
  <c r="CN139" i="1"/>
  <c r="CM139" i="1"/>
  <c r="CL139" i="1"/>
  <c r="CK139" i="1"/>
  <c r="CJ139" i="1"/>
  <c r="CI139" i="1"/>
  <c r="CH139" i="1"/>
  <c r="CG139" i="1"/>
  <c r="CF139" i="1"/>
  <c r="CE139" i="1"/>
  <c r="CD139" i="1"/>
  <c r="BX139" i="1"/>
  <c r="BW139" i="1"/>
  <c r="BV139" i="1"/>
  <c r="BU139" i="1"/>
  <c r="BT139" i="1"/>
  <c r="BN139" i="1"/>
  <c r="BM139" i="1"/>
  <c r="BL139" i="1"/>
  <c r="BK139" i="1"/>
  <c r="BJ139" i="1"/>
  <c r="BI139" i="1"/>
  <c r="BH139" i="1"/>
  <c r="BG139" i="1"/>
  <c r="BF139" i="1"/>
  <c r="BE139" i="1"/>
  <c r="BD139" i="1"/>
  <c r="BC139" i="1"/>
  <c r="BB139" i="1"/>
  <c r="BA139" i="1"/>
  <c r="AZ139" i="1"/>
  <c r="AY139" i="1"/>
  <c r="AX139" i="1"/>
  <c r="AV139" i="1"/>
  <c r="AU139" i="1"/>
  <c r="AT139" i="1"/>
  <c r="AS139" i="1"/>
  <c r="AR139" i="1"/>
  <c r="AQ139" i="1"/>
  <c r="DM124" i="1"/>
  <c r="DK124" i="1"/>
  <c r="CL124" i="1"/>
  <c r="CK124" i="1"/>
  <c r="CJ124" i="1"/>
  <c r="CI124" i="1"/>
  <c r="CG124" i="1"/>
  <c r="CF124" i="1"/>
  <c r="CE124" i="1"/>
  <c r="CD124" i="1"/>
  <c r="BW124" i="1"/>
  <c r="BV124" i="1"/>
  <c r="BU124" i="1"/>
  <c r="BT124" i="1"/>
  <c r="BM124" i="1"/>
  <c r="BL124" i="1"/>
  <c r="BK124" i="1"/>
  <c r="BJ124" i="1"/>
  <c r="BH124" i="1"/>
  <c r="BG124" i="1"/>
  <c r="BC124" i="1"/>
  <c r="BB124" i="1"/>
  <c r="BA124" i="1"/>
  <c r="AZ124" i="1"/>
  <c r="AX124" i="1"/>
  <c r="AV124" i="1"/>
  <c r="AU124" i="1"/>
  <c r="AR124" i="1"/>
  <c r="AQ124" i="1"/>
  <c r="AP124" i="1"/>
  <c r="AN124" i="1"/>
  <c r="AM124" i="1"/>
  <c r="AL124" i="1"/>
  <c r="AK124" i="1"/>
  <c r="AI124" i="1"/>
  <c r="AH124" i="1"/>
  <c r="AG124" i="1"/>
  <c r="AF124" i="1"/>
  <c r="AD124" i="1"/>
  <c r="AB124" i="1"/>
  <c r="AA124" i="1"/>
  <c r="Y124" i="1"/>
  <c r="X124" i="1"/>
  <c r="W124" i="1"/>
  <c r="V124" i="1"/>
  <c r="P121" i="1"/>
  <c r="AN118" i="1"/>
  <c r="AM118" i="1"/>
  <c r="AL118" i="1"/>
  <c r="AK118" i="1"/>
  <c r="AD118" i="1"/>
  <c r="AC118" i="1"/>
  <c r="AB118" i="1"/>
  <c r="AA118" i="1"/>
  <c r="Y118" i="1"/>
  <c r="X118" i="1"/>
  <c r="W118" i="1"/>
  <c r="V118" i="1"/>
  <c r="CV115" i="1"/>
  <c r="CU115" i="1"/>
  <c r="CT115" i="1"/>
  <c r="CS115" i="1"/>
  <c r="CQ115" i="1"/>
  <c r="CP115" i="1"/>
  <c r="CO115" i="1"/>
  <c r="CN115" i="1"/>
  <c r="CL115" i="1"/>
  <c r="CK115" i="1"/>
  <c r="CJ115" i="1"/>
  <c r="CI115" i="1"/>
  <c r="CG115" i="1"/>
  <c r="CF115" i="1"/>
  <c r="CE115" i="1"/>
  <c r="CD115" i="1"/>
  <c r="BW115" i="1"/>
  <c r="BV115" i="1"/>
  <c r="BU115" i="1"/>
  <c r="BT115" i="1"/>
  <c r="BM115" i="1"/>
  <c r="BL115" i="1"/>
  <c r="BK115" i="1"/>
  <c r="BJ115" i="1"/>
  <c r="BH115" i="1"/>
  <c r="BG115" i="1"/>
  <c r="BF115" i="1"/>
  <c r="BE115" i="1"/>
  <c r="BB115" i="1"/>
  <c r="BB116" i="1" s="1"/>
  <c r="AX115" i="1"/>
  <c r="AX117" i="1" s="1"/>
  <c r="AM115" i="1"/>
  <c r="AG115" i="1"/>
  <c r="AF115" i="1"/>
  <c r="AD115" i="1"/>
  <c r="AC115" i="1"/>
  <c r="AB115" i="1"/>
  <c r="AA115" i="1"/>
  <c r="Z115" i="1"/>
  <c r="Y115" i="1"/>
  <c r="X115" i="1"/>
  <c r="W115" i="1"/>
  <c r="V115" i="1"/>
  <c r="U115" i="1"/>
  <c r="DM110" i="1"/>
  <c r="DK110" i="1"/>
  <c r="DH110" i="1"/>
  <c r="DF110" i="1"/>
  <c r="DM106" i="1"/>
  <c r="DK106" i="1"/>
  <c r="DK610" i="1" s="1"/>
  <c r="DJ106" i="1"/>
  <c r="DJ610" i="1" s="1"/>
  <c r="DI106" i="1"/>
  <c r="DI610" i="1" s="1"/>
  <c r="DH106" i="1"/>
  <c r="DH610" i="1" s="1"/>
  <c r="DF106" i="1"/>
  <c r="DE106" i="1"/>
  <c r="DD106" i="1"/>
  <c r="DC106" i="1"/>
  <c r="DA106" i="1"/>
  <c r="CZ106" i="1"/>
  <c r="CY106" i="1"/>
  <c r="CX106" i="1"/>
  <c r="CV106" i="1"/>
  <c r="CU106" i="1"/>
  <c r="CT106" i="1"/>
  <c r="CS106" i="1"/>
  <c r="CQ106" i="1"/>
  <c r="CP106" i="1"/>
  <c r="CO106" i="1"/>
  <c r="CN106" i="1"/>
  <c r="CL106" i="1"/>
  <c r="CK106" i="1"/>
  <c r="CJ106" i="1"/>
  <c r="CI106" i="1"/>
  <c r="CG106" i="1"/>
  <c r="CF106" i="1"/>
  <c r="CE106" i="1"/>
  <c r="CD106" i="1"/>
  <c r="BW106" i="1"/>
  <c r="BV106" i="1"/>
  <c r="BU106" i="1"/>
  <c r="BT106" i="1"/>
  <c r="BM106" i="1"/>
  <c r="CR105" i="1"/>
  <c r="CR8" i="2" s="1"/>
  <c r="BG105" i="1"/>
  <c r="BF105" i="1"/>
  <c r="BE105" i="1"/>
  <c r="BE99" i="1" s="1"/>
  <c r="BD105" i="1"/>
  <c r="BC105" i="1"/>
  <c r="BH106" i="1" s="1"/>
  <c r="BB105" i="1"/>
  <c r="BB106" i="1" s="1"/>
  <c r="BA105" i="1"/>
  <c r="BA99" i="1" s="1"/>
  <c r="BA102" i="1" s="1"/>
  <c r="AZ105" i="1"/>
  <c r="AZ99" i="1" s="1"/>
  <c r="AX105" i="1"/>
  <c r="AX99" i="1" s="1"/>
  <c r="AV105" i="1"/>
  <c r="AM105" i="1"/>
  <c r="AD105" i="1"/>
  <c r="AC105" i="1"/>
  <c r="AB105" i="1"/>
  <c r="AA105" i="1"/>
  <c r="Y105" i="1"/>
  <c r="X105" i="1"/>
  <c r="W105" i="1"/>
  <c r="V105" i="1"/>
  <c r="S105" i="1"/>
  <c r="R105" i="1"/>
  <c r="Q105" i="1"/>
  <c r="AN102" i="1"/>
  <c r="AM102" i="1"/>
  <c r="AL102" i="1"/>
  <c r="AK102" i="1"/>
  <c r="AD102" i="1"/>
  <c r="AC102" i="1"/>
  <c r="AB102" i="1"/>
  <c r="AA102" i="1"/>
  <c r="Y102" i="1"/>
  <c r="X102" i="1"/>
  <c r="W102" i="1"/>
  <c r="V102" i="1"/>
  <c r="AD100" i="1"/>
  <c r="AC100" i="1"/>
  <c r="AB100" i="1"/>
  <c r="AA100" i="1"/>
  <c r="X100" i="1"/>
  <c r="W100" i="1"/>
  <c r="DJ99" i="1"/>
  <c r="DJ602" i="1" s="1"/>
  <c r="DI99" i="1"/>
  <c r="DI602" i="1" s="1"/>
  <c r="DH99" i="1"/>
  <c r="DH602" i="1" s="1"/>
  <c r="DF99" i="1"/>
  <c r="DF102" i="1" s="1"/>
  <c r="DE99" i="1"/>
  <c r="DD99" i="1"/>
  <c r="DC99" i="1"/>
  <c r="DA99" i="1"/>
  <c r="CZ99" i="1"/>
  <c r="CY99" i="1"/>
  <c r="CX99" i="1"/>
  <c r="CV99" i="1"/>
  <c r="CV102" i="1" s="1"/>
  <c r="CU99" i="1"/>
  <c r="CU102" i="1" s="1"/>
  <c r="CT99" i="1"/>
  <c r="CT102" i="1" s="1"/>
  <c r="CS99" i="1"/>
  <c r="CS102" i="1" s="1"/>
  <c r="CQ99" i="1"/>
  <c r="CP99" i="1"/>
  <c r="CP102" i="1" s="1"/>
  <c r="CO99" i="1"/>
  <c r="CO102" i="1" s="1"/>
  <c r="CN99" i="1"/>
  <c r="CN102" i="1" s="1"/>
  <c r="CL99" i="1"/>
  <c r="CL102" i="1" s="1"/>
  <c r="CK99" i="1"/>
  <c r="CJ99" i="1"/>
  <c r="CJ118" i="1" s="1"/>
  <c r="CI99" i="1"/>
  <c r="CG99" i="1"/>
  <c r="CG102" i="1" s="1"/>
  <c r="CF99" i="1"/>
  <c r="CF102" i="1" s="1"/>
  <c r="CE99" i="1"/>
  <c r="CE118" i="1" s="1"/>
  <c r="CD99" i="1"/>
  <c r="CD102" i="1" s="1"/>
  <c r="BW99" i="1"/>
  <c r="BW118" i="1" s="1"/>
  <c r="BV99" i="1"/>
  <c r="BU99" i="1"/>
  <c r="BU102" i="1" s="1"/>
  <c r="BT99" i="1"/>
  <c r="BT102" i="1" s="1"/>
  <c r="BM99" i="1"/>
  <c r="BM118" i="1" s="1"/>
  <c r="BL99" i="1"/>
  <c r="BL102" i="1" s="1"/>
  <c r="BK99" i="1"/>
  <c r="BK102" i="1" s="1"/>
  <c r="BJ99" i="1"/>
  <c r="BJ118" i="1" s="1"/>
  <c r="BH99" i="1"/>
  <c r="BH102" i="1" s="1"/>
  <c r="AP99" i="1"/>
  <c r="AO99" i="1"/>
  <c r="AG99" i="1"/>
  <c r="AF99" i="1"/>
  <c r="AE99" i="1"/>
  <c r="U99" i="1"/>
  <c r="DP98" i="1"/>
  <c r="DO98" i="1"/>
  <c r="DN98" i="1"/>
  <c r="DM98" i="1"/>
  <c r="DP97" i="1"/>
  <c r="DI96" i="1"/>
  <c r="DN97" i="1" s="1"/>
  <c r="DH96" i="1"/>
  <c r="DM97" i="1" s="1"/>
  <c r="DF96" i="1"/>
  <c r="DK97" i="1" s="1"/>
  <c r="CV93" i="1"/>
  <c r="CU93" i="1"/>
  <c r="CT93" i="1"/>
  <c r="CS93" i="1"/>
  <c r="CQ93" i="1"/>
  <c r="CP93" i="1"/>
  <c r="CO93" i="1"/>
  <c r="CN93" i="1"/>
  <c r="CL93" i="1"/>
  <c r="CK93" i="1"/>
  <c r="CJ93" i="1"/>
  <c r="CI93" i="1"/>
  <c r="CG93" i="1"/>
  <c r="CF93" i="1"/>
  <c r="CE93" i="1"/>
  <c r="CD93" i="1"/>
  <c r="BW93" i="1"/>
  <c r="BV93" i="1"/>
  <c r="BU93" i="1"/>
  <c r="BT93" i="1"/>
  <c r="BM93" i="1"/>
  <c r="BL93" i="1"/>
  <c r="BK93" i="1"/>
  <c r="BJ93" i="1"/>
  <c r="BH93" i="1"/>
  <c r="BG93" i="1"/>
  <c r="BF93" i="1"/>
  <c r="BE93" i="1"/>
  <c r="BB93" i="1"/>
  <c r="AX93" i="1"/>
  <c r="AM93" i="1"/>
  <c r="AG93" i="1"/>
  <c r="AF93" i="1"/>
  <c r="DJ91" i="1"/>
  <c r="DJ598" i="1" s="1"/>
  <c r="DI91" i="1"/>
  <c r="DI598" i="1" s="1"/>
  <c r="DH91" i="1"/>
  <c r="DH598" i="1" s="1"/>
  <c r="DF91" i="1"/>
  <c r="DE91" i="1"/>
  <c r="DD91" i="1"/>
  <c r="DC91" i="1"/>
  <c r="DA91" i="1"/>
  <c r="CZ91" i="1"/>
  <c r="CY91" i="1"/>
  <c r="CX91" i="1"/>
  <c r="CV91" i="1"/>
  <c r="CU91" i="1"/>
  <c r="CT91" i="1"/>
  <c r="CS91" i="1"/>
  <c r="CQ91" i="1"/>
  <c r="CP91" i="1"/>
  <c r="CO91" i="1"/>
  <c r="CN91" i="1"/>
  <c r="CL91" i="1"/>
  <c r="CK91" i="1"/>
  <c r="CJ91" i="1"/>
  <c r="CI91" i="1"/>
  <c r="CG91" i="1"/>
  <c r="CF91" i="1"/>
  <c r="CE91" i="1"/>
  <c r="CD91" i="1"/>
  <c r="BW91" i="1"/>
  <c r="BV91" i="1"/>
  <c r="BU91" i="1"/>
  <c r="BT91" i="1"/>
  <c r="BM91" i="1"/>
  <c r="BL91" i="1"/>
  <c r="BK91" i="1"/>
  <c r="BJ91" i="1"/>
  <c r="BG91" i="1"/>
  <c r="BF91" i="1"/>
  <c r="BE91" i="1"/>
  <c r="DM90" i="1"/>
  <c r="DK90" i="1"/>
  <c r="DK596" i="1" s="1"/>
  <c r="DG90" i="1"/>
  <c r="DB90" i="1"/>
  <c r="DB96" i="1" s="1"/>
  <c r="CW90" i="1"/>
  <c r="CR90" i="1"/>
  <c r="CM90" i="1"/>
  <c r="CH90" i="1"/>
  <c r="BX90" i="1"/>
  <c r="BN90" i="1"/>
  <c r="BI90" i="1"/>
  <c r="BC90" i="1"/>
  <c r="BC115" i="1" s="1"/>
  <c r="AN90" i="1"/>
  <c r="AH90" i="1"/>
  <c r="AE90" i="1"/>
  <c r="A87" i="1"/>
  <c r="A565" i="1" s="1"/>
  <c r="A86" i="1"/>
  <c r="A85" i="1"/>
  <c r="A564" i="1" s="1"/>
  <c r="A563" i="1"/>
  <c r="A562" i="1"/>
  <c r="A82" i="1"/>
  <c r="A84" i="1"/>
  <c r="A81" i="1"/>
  <c r="A561" i="1" s="1"/>
  <c r="S80" i="1"/>
  <c r="R80" i="1"/>
  <c r="Q80" i="1"/>
  <c r="A80" i="1"/>
  <c r="A559" i="1"/>
  <c r="A79" i="1"/>
  <c r="A78" i="1"/>
  <c r="CC73" i="1"/>
  <c r="CB73" i="1"/>
  <c r="CA73" i="1"/>
  <c r="BZ73" i="1"/>
  <c r="BY73" i="1"/>
  <c r="BS73" i="1"/>
  <c r="BR73" i="1"/>
  <c r="BQ73" i="1"/>
  <c r="BP73" i="1"/>
  <c r="BO73" i="1"/>
  <c r="AT73" i="1"/>
  <c r="AS73" i="1"/>
  <c r="AR73" i="1"/>
  <c r="AQ73" i="1"/>
  <c r="AP73" i="1"/>
  <c r="AO73" i="1"/>
  <c r="AN73" i="1"/>
  <c r="AM73" i="1"/>
  <c r="AL73" i="1"/>
  <c r="AK73" i="1"/>
  <c r="AC69" i="1"/>
  <c r="AC170" i="1" s="1"/>
  <c r="AB69" i="1"/>
  <c r="AB170" i="1" s="1"/>
  <c r="AA69" i="1"/>
  <c r="AA170" i="1" s="1"/>
  <c r="Y69" i="1"/>
  <c r="Y170" i="1" s="1"/>
  <c r="X69" i="1"/>
  <c r="X170" i="1" s="1"/>
  <c r="W69" i="1"/>
  <c r="W170" i="1" s="1"/>
  <c r="V69" i="1"/>
  <c r="V170" i="1" s="1"/>
  <c r="T69" i="1"/>
  <c r="T170" i="1" s="1"/>
  <c r="S69" i="1"/>
  <c r="S170" i="1" s="1"/>
  <c r="R69" i="1"/>
  <c r="R170" i="1" s="1"/>
  <c r="Q69" i="1"/>
  <c r="Q170" i="1" s="1"/>
  <c r="K69" i="1"/>
  <c r="K170" i="1" s="1"/>
  <c r="DM66" i="1"/>
  <c r="DJ64" i="1"/>
  <c r="DI64" i="1"/>
  <c r="DH64" i="1"/>
  <c r="DF64" i="1"/>
  <c r="DE64" i="1"/>
  <c r="DD64" i="1"/>
  <c r="DC64" i="1"/>
  <c r="DA64" i="1"/>
  <c r="CZ64" i="1"/>
  <c r="CY64" i="1"/>
  <c r="CX64" i="1"/>
  <c r="CV64" i="1"/>
  <c r="CU64" i="1"/>
  <c r="CT64" i="1"/>
  <c r="CS64" i="1"/>
  <c r="CQ64" i="1"/>
  <c r="CP64" i="1"/>
  <c r="CO64" i="1"/>
  <c r="CN64" i="1"/>
  <c r="DM491" i="1"/>
  <c r="DG491" i="1"/>
  <c r="DF491" i="1"/>
  <c r="DH492" i="1"/>
  <c r="DB491" i="1"/>
  <c r="CV491" i="1"/>
  <c r="CU491" i="1"/>
  <c r="CT491" i="1"/>
  <c r="CS491" i="1"/>
  <c r="CQ491" i="1"/>
  <c r="CP491" i="1"/>
  <c r="CO491" i="1"/>
  <c r="CN491" i="1"/>
  <c r="CC491" i="1"/>
  <c r="CB491" i="1"/>
  <c r="CA491" i="1"/>
  <c r="BZ491" i="1"/>
  <c r="BY491" i="1"/>
  <c r="BS491" i="1"/>
  <c r="BR491" i="1"/>
  <c r="BQ491" i="1"/>
  <c r="BP491" i="1"/>
  <c r="BO491" i="1"/>
  <c r="DK49" i="1"/>
  <c r="DH49" i="1"/>
  <c r="DM48" i="1"/>
  <c r="DH48" i="1"/>
  <c r="DM44" i="1"/>
  <c r="DK44" i="1"/>
  <c r="DG44" i="1"/>
  <c r="DF44" i="1"/>
  <c r="DB44" i="1"/>
  <c r="DI49" i="1"/>
  <c r="DK63" i="1"/>
  <c r="DI63" i="1"/>
  <c r="DH63" i="1"/>
  <c r="DF63" i="1"/>
  <c r="DE63" i="1"/>
  <c r="DD63" i="1"/>
  <c r="DM62" i="1"/>
  <c r="DI62" i="1"/>
  <c r="DH62" i="1"/>
  <c r="DF62" i="1"/>
  <c r="DE62" i="1"/>
  <c r="DM58" i="1"/>
  <c r="DK58" i="1"/>
  <c r="DI58" i="1"/>
  <c r="DG58" i="1"/>
  <c r="DF58" i="1"/>
  <c r="DB58" i="1"/>
  <c r="DK62" i="1"/>
  <c r="DC57" i="1"/>
  <c r="CV36" i="1"/>
  <c r="CU36" i="1"/>
  <c r="CT36" i="1"/>
  <c r="CS36" i="1"/>
  <c r="CQ36" i="1"/>
  <c r="CP36" i="1"/>
  <c r="CO36" i="1"/>
  <c r="CN36" i="1"/>
  <c r="CL36" i="1"/>
  <c r="CK36" i="1"/>
  <c r="CJ36" i="1"/>
  <c r="CI36" i="1"/>
  <c r="CG36" i="1"/>
  <c r="CF36" i="1"/>
  <c r="CE36" i="1"/>
  <c r="CD36" i="1"/>
  <c r="BW36" i="1"/>
  <c r="BV36" i="1"/>
  <c r="BU36" i="1"/>
  <c r="BT36" i="1"/>
  <c r="BM36" i="1"/>
  <c r="BL36" i="1"/>
  <c r="BK36" i="1"/>
  <c r="BJ36" i="1"/>
  <c r="BH36" i="1"/>
  <c r="BG36" i="1"/>
  <c r="BF36" i="1"/>
  <c r="BC36" i="1"/>
  <c r="BB36" i="1"/>
  <c r="BB37" i="1" s="1"/>
  <c r="AX36" i="1"/>
  <c r="AX41" i="1" s="1"/>
  <c r="AV36" i="1"/>
  <c r="AW41" i="1" s="1"/>
  <c r="AU36" i="1"/>
  <c r="AR36" i="1"/>
  <c r="AW37" i="1" s="1"/>
  <c r="AQ36" i="1"/>
  <c r="AP36" i="1"/>
  <c r="AN36" i="1"/>
  <c r="AM36" i="1"/>
  <c r="AL36" i="1"/>
  <c r="AK36" i="1"/>
  <c r="AI36" i="1"/>
  <c r="AH36" i="1"/>
  <c r="AG36" i="1"/>
  <c r="AF36" i="1"/>
  <c r="AD36" i="1"/>
  <c r="AC36" i="1"/>
  <c r="AB36" i="1"/>
  <c r="AA36" i="1"/>
  <c r="Z36" i="1"/>
  <c r="Y36" i="1"/>
  <c r="X36" i="1"/>
  <c r="W36" i="1"/>
  <c r="V36" i="1"/>
  <c r="U36" i="1"/>
  <c r="P36" i="1"/>
  <c r="DK35" i="1"/>
  <c r="DI35" i="1"/>
  <c r="DH35" i="1"/>
  <c r="DF35" i="1"/>
  <c r="Y35" i="1"/>
  <c r="X35" i="1"/>
  <c r="W35" i="1"/>
  <c r="V35" i="1"/>
  <c r="DM34" i="1"/>
  <c r="DI34" i="1"/>
  <c r="DH34" i="1"/>
  <c r="CV34" i="1"/>
  <c r="CU34" i="1"/>
  <c r="CT34" i="1"/>
  <c r="CS34" i="1"/>
  <c r="CQ34" i="1"/>
  <c r="CP34" i="1"/>
  <c r="CO34" i="1"/>
  <c r="CN34" i="1"/>
  <c r="CL34" i="1"/>
  <c r="CK34" i="1"/>
  <c r="CJ34" i="1"/>
  <c r="CI34" i="1"/>
  <c r="CG34" i="1"/>
  <c r="CF34" i="1"/>
  <c r="CE34" i="1"/>
  <c r="CD34" i="1"/>
  <c r="BW34" i="1"/>
  <c r="BV34" i="1"/>
  <c r="BU34" i="1"/>
  <c r="BT34" i="1"/>
  <c r="BM34" i="1"/>
  <c r="BL34" i="1"/>
  <c r="BK34" i="1"/>
  <c r="BJ34" i="1"/>
  <c r="BH34" i="1"/>
  <c r="BG34" i="1"/>
  <c r="BC34" i="1"/>
  <c r="BB34" i="1"/>
  <c r="AV34" i="1"/>
  <c r="AR34" i="1"/>
  <c r="AQ34" i="1"/>
  <c r="AP34" i="1"/>
  <c r="AN34" i="1"/>
  <c r="AM34" i="1"/>
  <c r="AL34" i="1"/>
  <c r="AK34" i="1"/>
  <c r="AI34" i="1"/>
  <c r="AH34" i="1"/>
  <c r="AG34" i="1"/>
  <c r="AF34" i="1"/>
  <c r="AD34" i="1"/>
  <c r="AC34" i="1"/>
  <c r="AB34" i="1"/>
  <c r="AA34" i="1"/>
  <c r="Y34" i="1"/>
  <c r="X34" i="1"/>
  <c r="W34" i="1"/>
  <c r="DM30" i="1"/>
  <c r="DK30" i="1"/>
  <c r="DG30" i="1"/>
  <c r="CV30" i="1"/>
  <c r="CU30" i="1"/>
  <c r="CT30" i="1"/>
  <c r="CS30" i="1"/>
  <c r="CQ30" i="1"/>
  <c r="CP30" i="1"/>
  <c r="CO30" i="1"/>
  <c r="CN30" i="1"/>
  <c r="CL30" i="1"/>
  <c r="CK30" i="1"/>
  <c r="CJ30" i="1"/>
  <c r="CI30" i="1"/>
  <c r="CG30" i="1"/>
  <c r="CF30" i="1"/>
  <c r="CE30" i="1"/>
  <c r="CD30" i="1"/>
  <c r="BW30" i="1"/>
  <c r="BV30" i="1"/>
  <c r="BU30" i="1"/>
  <c r="BT30" i="1"/>
  <c r="BM30" i="1"/>
  <c r="BL30" i="1"/>
  <c r="BK30" i="1"/>
  <c r="BH30" i="1"/>
  <c r="BG30" i="1"/>
  <c r="BF30" i="1"/>
  <c r="BC30" i="1"/>
  <c r="BA30" i="1"/>
  <c r="AV30" i="1"/>
  <c r="AU30" i="1"/>
  <c r="AR30" i="1"/>
  <c r="AQ30" i="1"/>
  <c r="AP30" i="1"/>
  <c r="AN30" i="1"/>
  <c r="AM30" i="1"/>
  <c r="AL30" i="1"/>
  <c r="AK30" i="1"/>
  <c r="AI30" i="1"/>
  <c r="AH30" i="1"/>
  <c r="AG30" i="1"/>
  <c r="AF30" i="1"/>
  <c r="AD30" i="1"/>
  <c r="AC30" i="1"/>
  <c r="AB30" i="1"/>
  <c r="AA30" i="1"/>
  <c r="Z30" i="1"/>
  <c r="DE29" i="1"/>
  <c r="DD29" i="1"/>
  <c r="DC29" i="1"/>
  <c r="DA29" i="1"/>
  <c r="CZ29" i="1"/>
  <c r="CY29" i="1"/>
  <c r="CX29" i="1"/>
  <c r="CW29" i="1"/>
  <c r="CR29" i="1"/>
  <c r="CM29" i="1"/>
  <c r="CH29" i="1"/>
  <c r="BX29" i="1"/>
  <c r="BN29" i="1"/>
  <c r="BE29" i="1"/>
  <c r="AZ29" i="1"/>
  <c r="AY29" i="1"/>
  <c r="AW35" i="1" s="1"/>
  <c r="AS29" i="1"/>
  <c r="AO29" i="1"/>
  <c r="AJ29" i="1"/>
  <c r="AE29" i="1"/>
  <c r="Y28" i="1"/>
  <c r="X28" i="1"/>
  <c r="W28" i="1"/>
  <c r="V28" i="1"/>
  <c r="CV27" i="1"/>
  <c r="CU27" i="1"/>
  <c r="CT27" i="1"/>
  <c r="CS27" i="1"/>
  <c r="CQ27" i="1"/>
  <c r="CP27" i="1"/>
  <c r="CO27" i="1"/>
  <c r="CN27" i="1"/>
  <c r="CL27" i="1"/>
  <c r="CK27" i="1"/>
  <c r="CJ27" i="1"/>
  <c r="CI27" i="1"/>
  <c r="CG27" i="1"/>
  <c r="CF27" i="1"/>
  <c r="CE27" i="1"/>
  <c r="CD27" i="1"/>
  <c r="BW27" i="1"/>
  <c r="BV27" i="1"/>
  <c r="BU27" i="1"/>
  <c r="BT27" i="1"/>
  <c r="BM27" i="1"/>
  <c r="BL27" i="1"/>
  <c r="BK27" i="1"/>
  <c r="BJ27" i="1"/>
  <c r="BH27" i="1"/>
  <c r="BG27" i="1"/>
  <c r="BF27" i="1"/>
  <c r="BE27" i="1"/>
  <c r="BC27" i="1"/>
  <c r="AV27" i="1"/>
  <c r="AR27" i="1"/>
  <c r="AQ27" i="1"/>
  <c r="AP27" i="1"/>
  <c r="AN27" i="1"/>
  <c r="AM27" i="1"/>
  <c r="AL27" i="1"/>
  <c r="AK27" i="1"/>
  <c r="AI27" i="1"/>
  <c r="AH27" i="1"/>
  <c r="AG27" i="1"/>
  <c r="AF27" i="1"/>
  <c r="AD27" i="1"/>
  <c r="AC27" i="1"/>
  <c r="AB27" i="1"/>
  <c r="AA27" i="1"/>
  <c r="Y27" i="1"/>
  <c r="X27" i="1"/>
  <c r="W27" i="1"/>
  <c r="CV23" i="1"/>
  <c r="CU23" i="1"/>
  <c r="CT23" i="1"/>
  <c r="CS23" i="1"/>
  <c r="CQ23" i="1"/>
  <c r="CP23" i="1"/>
  <c r="CO23" i="1"/>
  <c r="CN23" i="1"/>
  <c r="CL23" i="1"/>
  <c r="CK23" i="1"/>
  <c r="CJ23" i="1"/>
  <c r="CI23" i="1"/>
  <c r="CG23" i="1"/>
  <c r="CF23" i="1"/>
  <c r="CE23" i="1"/>
  <c r="CD23" i="1"/>
  <c r="BW23" i="1"/>
  <c r="BV23" i="1"/>
  <c r="BU23" i="1"/>
  <c r="BT23" i="1"/>
  <c r="BM23" i="1"/>
  <c r="BL23" i="1"/>
  <c r="BK23" i="1"/>
  <c r="BJ23" i="1"/>
  <c r="BH23" i="1"/>
  <c r="BG23" i="1"/>
  <c r="BC23" i="1"/>
  <c r="AV23" i="1"/>
  <c r="AU23" i="1"/>
  <c r="AR23" i="1"/>
  <c r="AQ23" i="1"/>
  <c r="AP23" i="1"/>
  <c r="AN23" i="1"/>
  <c r="AM23" i="1"/>
  <c r="AL23" i="1"/>
  <c r="AK23" i="1"/>
  <c r="AI23" i="1"/>
  <c r="AH23" i="1"/>
  <c r="AG23" i="1"/>
  <c r="AF23" i="1"/>
  <c r="AD23" i="1"/>
  <c r="AC23" i="1"/>
  <c r="AB23" i="1"/>
  <c r="AA23" i="1"/>
  <c r="Z23" i="1"/>
  <c r="U23" i="1"/>
  <c r="DM22" i="1"/>
  <c r="DK22" i="1"/>
  <c r="DH22" i="1"/>
  <c r="DG22" i="1"/>
  <c r="DF22" i="1"/>
  <c r="DE22" i="1"/>
  <c r="DD22" i="1"/>
  <c r="DC22" i="1"/>
  <c r="DB22" i="1"/>
  <c r="DA22" i="1"/>
  <c r="CZ22" i="1"/>
  <c r="CY22" i="1"/>
  <c r="CX22" i="1"/>
  <c r="CR22" i="1"/>
  <c r="CM22" i="1"/>
  <c r="CH22" i="1"/>
  <c r="BX22" i="1"/>
  <c r="BN22" i="1"/>
  <c r="BI22" i="1"/>
  <c r="BA22" i="1"/>
  <c r="AZ22" i="1"/>
  <c r="AY22" i="1"/>
  <c r="AW28" i="1" s="1"/>
  <c r="AS22" i="1"/>
  <c r="AO22" i="1"/>
  <c r="AJ22" i="1"/>
  <c r="AE22" i="1"/>
  <c r="DK21" i="1"/>
  <c r="DH21" i="1"/>
  <c r="DM20" i="1"/>
  <c r="DH20" i="1"/>
  <c r="DM16" i="1"/>
  <c r="DK16" i="1"/>
  <c r="DG16" i="1"/>
  <c r="DF16" i="1"/>
  <c r="DE16" i="1"/>
  <c r="DD16" i="1"/>
  <c r="DC16" i="1"/>
  <c r="DB16" i="1"/>
  <c r="DI20" i="1"/>
  <c r="DK14" i="1"/>
  <c r="DI14" i="1"/>
  <c r="DH14" i="1"/>
  <c r="DM13" i="1"/>
  <c r="DI13" i="1"/>
  <c r="DH13" i="1"/>
  <c r="DM9" i="1"/>
  <c r="DK9" i="1"/>
  <c r="DG9" i="1"/>
  <c r="DF9" i="1"/>
  <c r="DE9" i="1"/>
  <c r="DD9" i="1"/>
  <c r="DC9" i="1"/>
  <c r="DB9" i="1"/>
  <c r="DK13" i="1"/>
  <c r="EK6" i="1"/>
  <c r="DQ6" i="1"/>
  <c r="DP6" i="1"/>
  <c r="DO6" i="1"/>
  <c r="DN6" i="1"/>
  <c r="DM6" i="1"/>
  <c r="DL6" i="1"/>
  <c r="DK6" i="1"/>
  <c r="DJ6" i="1"/>
  <c r="DI6" i="1"/>
  <c r="DH6" i="1"/>
  <c r="DG6" i="1"/>
  <c r="DF6" i="1"/>
  <c r="DE6" i="1"/>
  <c r="DD6" i="1"/>
  <c r="DC6" i="1"/>
  <c r="DB6" i="1"/>
  <c r="DA6" i="1"/>
  <c r="CZ6" i="1"/>
  <c r="CY6" i="1"/>
  <c r="CX6" i="1"/>
  <c r="CW6" i="1"/>
  <c r="CV6" i="1"/>
  <c r="CU6" i="1"/>
  <c r="CT6" i="1"/>
  <c r="CS6" i="1"/>
  <c r="A2" i="1"/>
  <c r="CB390" i="2"/>
  <c r="CA390" i="2"/>
  <c r="BZ390" i="2"/>
  <c r="BY390" i="2"/>
  <c r="BW390" i="2"/>
  <c r="BV390" i="2"/>
  <c r="BU390" i="2"/>
  <c r="BT390" i="2"/>
  <c r="BL388" i="2"/>
  <c r="BK388" i="2"/>
  <c r="AI388" i="2"/>
  <c r="AH388" i="2"/>
  <c r="AG388" i="2"/>
  <c r="AF388" i="2"/>
  <c r="AD388" i="2"/>
  <c r="AC388" i="2"/>
  <c r="AB388" i="2"/>
  <c r="AA388" i="2"/>
  <c r="Y388" i="2"/>
  <c r="X388" i="2"/>
  <c r="W388" i="2"/>
  <c r="V388" i="2"/>
  <c r="T388" i="2"/>
  <c r="S388" i="2"/>
  <c r="R388" i="2"/>
  <c r="Q388" i="2"/>
  <c r="P388" i="2"/>
  <c r="K388" i="2"/>
  <c r="F388" i="2"/>
  <c r="AI387" i="2"/>
  <c r="AH387" i="2"/>
  <c r="AG387" i="2"/>
  <c r="AF387" i="2"/>
  <c r="AD387" i="2"/>
  <c r="AC387" i="2"/>
  <c r="AB387" i="2"/>
  <c r="AA387" i="2"/>
  <c r="Y387" i="2"/>
  <c r="X387" i="2"/>
  <c r="W387" i="2"/>
  <c r="V387" i="2"/>
  <c r="T387" i="2"/>
  <c r="S387" i="2"/>
  <c r="R387" i="2"/>
  <c r="Q387" i="2"/>
  <c r="P387" i="2"/>
  <c r="K387" i="2"/>
  <c r="F387" i="2"/>
  <c r="AI386" i="2"/>
  <c r="AH386" i="2"/>
  <c r="AG386" i="2"/>
  <c r="AF386" i="2"/>
  <c r="AD386" i="2"/>
  <c r="AC386" i="2"/>
  <c r="AB386" i="2"/>
  <c r="AA386" i="2"/>
  <c r="Y386" i="2"/>
  <c r="X386" i="2"/>
  <c r="W386" i="2"/>
  <c r="V386" i="2"/>
  <c r="T386" i="2"/>
  <c r="S386" i="2"/>
  <c r="R386" i="2"/>
  <c r="Q386" i="2"/>
  <c r="P386" i="2"/>
  <c r="K386" i="2"/>
  <c r="F386" i="2"/>
  <c r="AI385" i="2"/>
  <c r="AG385" i="2"/>
  <c r="AF385" i="2"/>
  <c r="AD385" i="2"/>
  <c r="AC385" i="2"/>
  <c r="AB385" i="2"/>
  <c r="AA385" i="2"/>
  <c r="Y385" i="2"/>
  <c r="X385" i="2"/>
  <c r="W385" i="2"/>
  <c r="V385" i="2"/>
  <c r="T385" i="2"/>
  <c r="S385" i="2"/>
  <c r="R385" i="2"/>
  <c r="Q385" i="2"/>
  <c r="P385" i="2"/>
  <c r="K385" i="2"/>
  <c r="F385" i="2"/>
  <c r="AI384" i="2"/>
  <c r="AF384" i="2"/>
  <c r="BM383" i="2"/>
  <c r="BL383" i="2"/>
  <c r="BK383" i="2"/>
  <c r="BJ383" i="2"/>
  <c r="BG383" i="2"/>
  <c r="BF383" i="2"/>
  <c r="BE383" i="2"/>
  <c r="BB383" i="2"/>
  <c r="BA383" i="2"/>
  <c r="AZ383" i="2"/>
  <c r="AV383" i="2"/>
  <c r="AR383" i="2"/>
  <c r="AQ383" i="2"/>
  <c r="AP383" i="2"/>
  <c r="AN383" i="2"/>
  <c r="AM383" i="2"/>
  <c r="AL383" i="2"/>
  <c r="AK383" i="2"/>
  <c r="AI383" i="2"/>
  <c r="AH383" i="2"/>
  <c r="AG383" i="2"/>
  <c r="AF383" i="2"/>
  <c r="P383" i="2"/>
  <c r="K383" i="2"/>
  <c r="F383" i="2"/>
  <c r="CB375" i="2"/>
  <c r="CA375" i="2"/>
  <c r="BZ375" i="2"/>
  <c r="BY375" i="2"/>
  <c r="BR375" i="2"/>
  <c r="BQ375" i="2"/>
  <c r="BP375" i="2"/>
  <c r="BO375" i="2"/>
  <c r="CB374" i="2"/>
  <c r="CA374" i="2"/>
  <c r="BZ374" i="2"/>
  <c r="BY374" i="2"/>
  <c r="BR374" i="2"/>
  <c r="BQ374" i="2"/>
  <c r="BP374" i="2"/>
  <c r="BO374" i="2"/>
  <c r="CB373" i="2"/>
  <c r="CA373" i="2"/>
  <c r="BZ373" i="2"/>
  <c r="BY373" i="2"/>
  <c r="BR373" i="2"/>
  <c r="BQ373" i="2"/>
  <c r="BP373" i="2"/>
  <c r="BO373" i="2"/>
  <c r="CB372" i="2"/>
  <c r="CA372" i="2"/>
  <c r="BZ372" i="2"/>
  <c r="BY372" i="2"/>
  <c r="BR372" i="2"/>
  <c r="BQ372" i="2"/>
  <c r="BP372" i="2"/>
  <c r="BO372" i="2"/>
  <c r="CB371" i="2"/>
  <c r="CA371" i="2"/>
  <c r="BZ371" i="2"/>
  <c r="BY371" i="2"/>
  <c r="BR371" i="2"/>
  <c r="BQ371" i="2"/>
  <c r="BP371" i="2"/>
  <c r="BO371" i="2"/>
  <c r="CB370" i="2"/>
  <c r="CA370" i="2"/>
  <c r="BZ370" i="2"/>
  <c r="BY370" i="2"/>
  <c r="BR370" i="2"/>
  <c r="BQ370" i="2"/>
  <c r="BP370" i="2"/>
  <c r="BO370" i="2"/>
  <c r="CB369" i="2"/>
  <c r="CA369" i="2"/>
  <c r="BZ369" i="2"/>
  <c r="BY369" i="2"/>
  <c r="BR369" i="2"/>
  <c r="BQ369" i="2"/>
  <c r="BP369" i="2"/>
  <c r="BO369" i="2"/>
  <c r="CB368" i="2"/>
  <c r="CA368" i="2"/>
  <c r="BZ368" i="2"/>
  <c r="BY368" i="2"/>
  <c r="BR368" i="2"/>
  <c r="BQ368" i="2"/>
  <c r="BP368" i="2"/>
  <c r="BO368" i="2"/>
  <c r="CB367" i="2"/>
  <c r="CA367" i="2"/>
  <c r="BZ367" i="2"/>
  <c r="BY367" i="2"/>
  <c r="BR367" i="2"/>
  <c r="BQ367" i="2"/>
  <c r="BP367" i="2"/>
  <c r="BO367" i="2"/>
  <c r="CB366" i="2"/>
  <c r="CA366" i="2"/>
  <c r="BZ366" i="2"/>
  <c r="BY366" i="2"/>
  <c r="BR366" i="2"/>
  <c r="BQ366" i="2"/>
  <c r="BP366" i="2"/>
  <c r="BO366" i="2"/>
  <c r="CB365" i="2"/>
  <c r="CA365" i="2"/>
  <c r="BZ365" i="2"/>
  <c r="BY365" i="2"/>
  <c r="BR365" i="2"/>
  <c r="BQ365" i="2"/>
  <c r="BP365" i="2"/>
  <c r="BO365" i="2"/>
  <c r="BR364" i="2"/>
  <c r="BQ364" i="2"/>
  <c r="BP364" i="2"/>
  <c r="BO364" i="2"/>
  <c r="CF361" i="2"/>
  <c r="CE361" i="2"/>
  <c r="CD361" i="2"/>
  <c r="CB361" i="2"/>
  <c r="CA361" i="2"/>
  <c r="BZ361" i="2"/>
  <c r="BY361" i="2"/>
  <c r="BW361" i="2"/>
  <c r="BV361" i="2"/>
  <c r="BU361" i="2"/>
  <c r="CF360" i="2"/>
  <c r="CE360" i="2"/>
  <c r="CD360" i="2"/>
  <c r="CB360" i="2"/>
  <c r="CA360" i="2"/>
  <c r="BZ360" i="2"/>
  <c r="BY360" i="2"/>
  <c r="BW360" i="2"/>
  <c r="BV360" i="2"/>
  <c r="BU360" i="2"/>
  <c r="CF359" i="2"/>
  <c r="CE359" i="2"/>
  <c r="CD359" i="2"/>
  <c r="CB359" i="2"/>
  <c r="CA359" i="2"/>
  <c r="BZ359" i="2"/>
  <c r="BY359" i="2"/>
  <c r="BW359" i="2"/>
  <c r="BV359" i="2"/>
  <c r="BU359" i="2"/>
  <c r="CF357" i="2"/>
  <c r="CE357" i="2"/>
  <c r="CD357" i="2"/>
  <c r="BW357" i="2"/>
  <c r="BV357" i="2"/>
  <c r="BU357" i="2"/>
  <c r="BM355" i="2"/>
  <c r="BL355" i="2"/>
  <c r="BK355" i="2"/>
  <c r="BG355" i="2"/>
  <c r="BF355" i="2"/>
  <c r="BE355" i="2"/>
  <c r="BC355" i="2"/>
  <c r="BB355" i="2"/>
  <c r="BA355" i="2"/>
  <c r="AZ355" i="2"/>
  <c r="AR355" i="2"/>
  <c r="AQ355" i="2"/>
  <c r="AP355" i="2"/>
  <c r="AN355" i="2"/>
  <c r="AM355" i="2"/>
  <c r="AL355" i="2"/>
  <c r="AK355" i="2"/>
  <c r="AI355" i="2"/>
  <c r="AH355" i="2"/>
  <c r="AG355" i="2"/>
  <c r="BM354" i="2"/>
  <c r="BL354" i="2"/>
  <c r="BK354" i="2"/>
  <c r="BG354" i="2"/>
  <c r="BF354" i="2"/>
  <c r="BB354" i="2"/>
  <c r="BA354" i="2"/>
  <c r="AV354" i="2"/>
  <c r="AU354" i="2"/>
  <c r="AS354" i="2"/>
  <c r="AR354" i="2"/>
  <c r="AQ354" i="2"/>
  <c r="AP354" i="2"/>
  <c r="AN354" i="2"/>
  <c r="AM354" i="2"/>
  <c r="AL354" i="2"/>
  <c r="AK354" i="2"/>
  <c r="AI354" i="2"/>
  <c r="AH354" i="2"/>
  <c r="AG354" i="2"/>
  <c r="AF354" i="2"/>
  <c r="AD354" i="2"/>
  <c r="AC354" i="2"/>
  <c r="AB354" i="2"/>
  <c r="AA354" i="2"/>
  <c r="Y354" i="2"/>
  <c r="X354" i="2"/>
  <c r="W354" i="2"/>
  <c r="V354" i="2"/>
  <c r="T354" i="2"/>
  <c r="S354" i="2"/>
  <c r="R354" i="2"/>
  <c r="CF345" i="2"/>
  <c r="CE345" i="2"/>
  <c r="BV345" i="2"/>
  <c r="BU345" i="2"/>
  <c r="AI345" i="2"/>
  <c r="AH345" i="2"/>
  <c r="AG345" i="2"/>
  <c r="AF345" i="2"/>
  <c r="AD345" i="2"/>
  <c r="AC345" i="2"/>
  <c r="AB345" i="2"/>
  <c r="AA345" i="2"/>
  <c r="Y345" i="2"/>
  <c r="X345" i="2"/>
  <c r="W345" i="2"/>
  <c r="V345" i="2"/>
  <c r="P345" i="2"/>
  <c r="K345" i="2"/>
  <c r="CF344" i="2"/>
  <c r="CE344" i="2"/>
  <c r="CD344" i="2"/>
  <c r="AI344" i="2"/>
  <c r="AH344" i="2"/>
  <c r="AG344" i="2"/>
  <c r="AF344" i="2"/>
  <c r="AD344" i="2"/>
  <c r="AC344" i="2"/>
  <c r="AB344" i="2"/>
  <c r="AA344" i="2"/>
  <c r="Y344" i="2"/>
  <c r="X344" i="2"/>
  <c r="W344" i="2"/>
  <c r="V344" i="2"/>
  <c r="P344" i="2"/>
  <c r="K344" i="2"/>
  <c r="CF343" i="2"/>
  <c r="CE343" i="2"/>
  <c r="CD343" i="2"/>
  <c r="AI343" i="2"/>
  <c r="AH343" i="2"/>
  <c r="AG343" i="2"/>
  <c r="AF343" i="2"/>
  <c r="AD343" i="2"/>
  <c r="AC343" i="2"/>
  <c r="AB343" i="2"/>
  <c r="AA343" i="2"/>
  <c r="Y343" i="2"/>
  <c r="X343" i="2"/>
  <c r="W343" i="2"/>
  <c r="V343" i="2"/>
  <c r="P343" i="2"/>
  <c r="K343" i="2"/>
  <c r="CF342" i="2"/>
  <c r="CE342" i="2"/>
  <c r="CD342" i="2"/>
  <c r="AI342" i="2"/>
  <c r="AG342" i="2"/>
  <c r="AF342" i="2"/>
  <c r="AD342" i="2"/>
  <c r="AC342" i="2"/>
  <c r="AB342" i="2"/>
  <c r="AA342" i="2"/>
  <c r="Y342" i="2"/>
  <c r="X342" i="2"/>
  <c r="W342" i="2"/>
  <c r="V342" i="2"/>
  <c r="P342" i="2"/>
  <c r="K342" i="2"/>
  <c r="CF340" i="2"/>
  <c r="CE340" i="2"/>
  <c r="CD340" i="2"/>
  <c r="CB340" i="2"/>
  <c r="CA340" i="2"/>
  <c r="BZ340" i="2"/>
  <c r="BY340" i="2"/>
  <c r="BW340" i="2"/>
  <c r="BV340" i="2"/>
  <c r="BU340" i="2"/>
  <c r="BT340" i="2"/>
  <c r="CN338" i="2"/>
  <c r="BL338" i="2"/>
  <c r="BK338" i="2"/>
  <c r="BJ338" i="2"/>
  <c r="BG338" i="2"/>
  <c r="BF338" i="2"/>
  <c r="BE338" i="2"/>
  <c r="BC338" i="2"/>
  <c r="BA338" i="2"/>
  <c r="AV338" i="2"/>
  <c r="AR338" i="2"/>
  <c r="AQ338" i="2"/>
  <c r="AP338" i="2"/>
  <c r="AN338" i="2"/>
  <c r="AM338" i="2"/>
  <c r="AL338" i="2"/>
  <c r="AK338" i="2"/>
  <c r="BL337" i="2"/>
  <c r="BK337" i="2"/>
  <c r="BJ337" i="2"/>
  <c r="BG337" i="2"/>
  <c r="BF337" i="2"/>
  <c r="BE337" i="2"/>
  <c r="BA337" i="2"/>
  <c r="AZ337" i="2"/>
  <c r="AV337" i="2"/>
  <c r="AU337" i="2"/>
  <c r="AS337" i="2"/>
  <c r="AR337" i="2"/>
  <c r="AQ337" i="2"/>
  <c r="AP337" i="2"/>
  <c r="AN337" i="2"/>
  <c r="AM337" i="2"/>
  <c r="AL337" i="2"/>
  <c r="AK337" i="2"/>
  <c r="AI337" i="2"/>
  <c r="AH337" i="2"/>
  <c r="AG337" i="2"/>
  <c r="AF337" i="2"/>
  <c r="AD337" i="2"/>
  <c r="AC337" i="2"/>
  <c r="AB337" i="2"/>
  <c r="AA337" i="2"/>
  <c r="Y337" i="2"/>
  <c r="X337" i="2"/>
  <c r="W337" i="2"/>
  <c r="V337" i="2"/>
  <c r="P337" i="2"/>
  <c r="K337" i="2"/>
  <c r="EK336" i="2"/>
  <c r="EA336" i="2"/>
  <c r="DV336" i="2"/>
  <c r="DQ336" i="2"/>
  <c r="DL336" i="2"/>
  <c r="DG336" i="2"/>
  <c r="DB336" i="2"/>
  <c r="DA336" i="2"/>
  <c r="CZ336" i="2"/>
  <c r="CY336" i="2"/>
  <c r="CX336" i="2"/>
  <c r="CW336" i="2"/>
  <c r="CV336" i="2"/>
  <c r="CU336" i="2"/>
  <c r="CT336" i="2"/>
  <c r="CS336" i="2"/>
  <c r="CR336" i="2"/>
  <c r="CQ336" i="2"/>
  <c r="CP336" i="2"/>
  <c r="CO336" i="2"/>
  <c r="CN336" i="2"/>
  <c r="CM336" i="2"/>
  <c r="CL336" i="2"/>
  <c r="CK336" i="2"/>
  <c r="CJ336" i="2"/>
  <c r="CI336" i="2"/>
  <c r="CH336" i="2"/>
  <c r="CG336" i="2"/>
  <c r="CF336" i="2"/>
  <c r="CE336" i="2"/>
  <c r="CD336" i="2"/>
  <c r="CC336" i="2"/>
  <c r="CB336" i="2"/>
  <c r="CA336" i="2"/>
  <c r="BZ336" i="2"/>
  <c r="BY336" i="2"/>
  <c r="BX336" i="2"/>
  <c r="BW336" i="2"/>
  <c r="BV336" i="2"/>
  <c r="BU336" i="2"/>
  <c r="BT336" i="2"/>
  <c r="BS336" i="2"/>
  <c r="BR336" i="2"/>
  <c r="BQ336" i="2"/>
  <c r="BP336" i="2"/>
  <c r="BO336" i="2"/>
  <c r="BN336" i="2"/>
  <c r="BM336" i="2"/>
  <c r="BL336" i="2"/>
  <c r="BK336" i="2"/>
  <c r="BJ336" i="2"/>
  <c r="BI336" i="2"/>
  <c r="BH336" i="2"/>
  <c r="BG336" i="2"/>
  <c r="BF336" i="2"/>
  <c r="BE336" i="2"/>
  <c r="BD336" i="2"/>
  <c r="BC336" i="2"/>
  <c r="BB336" i="2"/>
  <c r="BA336" i="2"/>
  <c r="AZ336" i="2"/>
  <c r="AY336" i="2"/>
  <c r="AX336" i="2"/>
  <c r="AV336" i="2"/>
  <c r="AU336" i="2"/>
  <c r="AT336" i="2"/>
  <c r="AS336" i="2"/>
  <c r="AR336" i="2"/>
  <c r="AQ336" i="2"/>
  <c r="AP336" i="2"/>
  <c r="AO336" i="2"/>
  <c r="AN336" i="2"/>
  <c r="AM336" i="2"/>
  <c r="AL336" i="2"/>
  <c r="AK336" i="2"/>
  <c r="AJ336" i="2"/>
  <c r="AI336" i="2"/>
  <c r="AH336" i="2"/>
  <c r="AG336" i="2"/>
  <c r="AF336" i="2"/>
  <c r="AE336" i="2"/>
  <c r="AD336" i="2"/>
  <c r="AC336" i="2"/>
  <c r="AB336" i="2"/>
  <c r="AA336" i="2"/>
  <c r="Z336" i="2"/>
  <c r="Y336" i="2"/>
  <c r="X336" i="2"/>
  <c r="W336" i="2"/>
  <c r="V336" i="2"/>
  <c r="U336" i="2"/>
  <c r="T336" i="2"/>
  <c r="S336" i="2"/>
  <c r="R336" i="2"/>
  <c r="Q336" i="2"/>
  <c r="P336" i="2"/>
  <c r="O336" i="2"/>
  <c r="N336" i="2"/>
  <c r="M336" i="2"/>
  <c r="L336" i="2"/>
  <c r="K336" i="2"/>
  <c r="J336" i="2"/>
  <c r="I336" i="2"/>
  <c r="H336" i="2"/>
  <c r="G336" i="2"/>
  <c r="F336" i="2"/>
  <c r="E336" i="2"/>
  <c r="D336" i="2"/>
  <c r="C336" i="2"/>
  <c r="B336" i="2"/>
  <c r="DQ235" i="2"/>
  <c r="DL235" i="2"/>
  <c r="DD235" i="2"/>
  <c r="DC235" i="2"/>
  <c r="DB235" i="2"/>
  <c r="DQ231" i="2"/>
  <c r="DL231" i="2"/>
  <c r="DG231" i="2"/>
  <c r="DB231" i="2"/>
  <c r="DM230" i="2"/>
  <c r="DK230" i="2"/>
  <c r="DJ230" i="2"/>
  <c r="DI230" i="2"/>
  <c r="DH230" i="2"/>
  <c r="DF230" i="2"/>
  <c r="DE230" i="2"/>
  <c r="DD230" i="2"/>
  <c r="DC230" i="2"/>
  <c r="DV225" i="2"/>
  <c r="DN225" i="2"/>
  <c r="DM225" i="2"/>
  <c r="DK225" i="2"/>
  <c r="DJ225" i="2"/>
  <c r="DI225" i="2"/>
  <c r="DH225" i="2"/>
  <c r="DG225" i="2"/>
  <c r="DB225" i="2"/>
  <c r="DF222" i="2"/>
  <c r="DE222" i="2"/>
  <c r="DD222" i="2"/>
  <c r="DC222" i="2"/>
  <c r="DQ221" i="2"/>
  <c r="DL221" i="2"/>
  <c r="DG221" i="2"/>
  <c r="DB221" i="2"/>
  <c r="DM198" i="2"/>
  <c r="DK198" i="2"/>
  <c r="DJ198" i="2"/>
  <c r="DI198" i="2"/>
  <c r="DH198" i="2"/>
  <c r="DF198" i="2"/>
  <c r="DE198" i="2"/>
  <c r="DD198" i="2"/>
  <c r="DA198" i="2"/>
  <c r="CZ198" i="2"/>
  <c r="CY198" i="2"/>
  <c r="CX198" i="2"/>
  <c r="CV198" i="2"/>
  <c r="CU198" i="2"/>
  <c r="CT198" i="2"/>
  <c r="CS198" i="2"/>
  <c r="CQ198" i="2"/>
  <c r="CP198" i="2"/>
  <c r="CN198" i="2"/>
  <c r="CL198" i="2"/>
  <c r="CK198" i="2"/>
  <c r="CJ198" i="2"/>
  <c r="CF198" i="2"/>
  <c r="CE198" i="2"/>
  <c r="CD198" i="2"/>
  <c r="DQ197" i="2"/>
  <c r="DL197" i="2"/>
  <c r="DG197" i="2"/>
  <c r="DB197" i="2"/>
  <c r="CW197" i="2"/>
  <c r="CR197" i="2"/>
  <c r="CI197" i="2"/>
  <c r="CG197" i="2"/>
  <c r="BX197" i="2"/>
  <c r="DQ196" i="2"/>
  <c r="DL196" i="2"/>
  <c r="DG196" i="2"/>
  <c r="DB196" i="2"/>
  <c r="CW196" i="2"/>
  <c r="CR196" i="2"/>
  <c r="CM196" i="2"/>
  <c r="CH196" i="2"/>
  <c r="DQ195" i="2"/>
  <c r="DL195" i="2"/>
  <c r="DG195" i="2"/>
  <c r="DQ194" i="2"/>
  <c r="DL194" i="2"/>
  <c r="DC194" i="2"/>
  <c r="DB194" i="2"/>
  <c r="CW194" i="2"/>
  <c r="CR194" i="2"/>
  <c r="CM194" i="2"/>
  <c r="CG194" i="2"/>
  <c r="DQ193" i="2"/>
  <c r="DL193" i="2"/>
  <c r="DG193" i="2"/>
  <c r="DB193" i="2"/>
  <c r="CW193" i="2"/>
  <c r="CR193" i="2"/>
  <c r="DL192" i="2"/>
  <c r="DG192" i="2"/>
  <c r="DB192" i="2"/>
  <c r="CW192" i="2"/>
  <c r="CR192" i="2"/>
  <c r="CM192" i="2"/>
  <c r="CG192" i="2"/>
  <c r="DL191" i="2"/>
  <c r="DG191" i="2"/>
  <c r="DB191" i="2"/>
  <c r="CW191" i="2"/>
  <c r="CO191" i="2"/>
  <c r="CM191" i="2"/>
  <c r="CG191" i="2"/>
  <c r="DK188" i="2"/>
  <c r="DJ188" i="2"/>
  <c r="DI188" i="2"/>
  <c r="DF188" i="2"/>
  <c r="DE188" i="2"/>
  <c r="DD188" i="2"/>
  <c r="DA188" i="2"/>
  <c r="CZ188" i="2"/>
  <c r="CY188" i="2"/>
  <c r="CW188" i="2"/>
  <c r="CV188" i="2"/>
  <c r="CU188" i="2"/>
  <c r="CT188" i="2"/>
  <c r="CS188" i="2"/>
  <c r="CR188" i="2"/>
  <c r="CQ188" i="2"/>
  <c r="CP188" i="2"/>
  <c r="CO188" i="2"/>
  <c r="CN188" i="2"/>
  <c r="CM188" i="2"/>
  <c r="CL188" i="2"/>
  <c r="CK188" i="2"/>
  <c r="CJ188" i="2"/>
  <c r="CI188" i="2"/>
  <c r="CH188" i="2"/>
  <c r="CG188" i="2"/>
  <c r="CF188" i="2"/>
  <c r="CF190" i="2" s="1"/>
  <c r="CE188" i="2"/>
  <c r="CE190" i="2" s="1"/>
  <c r="CD188" i="2"/>
  <c r="CD190" i="2" s="1"/>
  <c r="BX188" i="2"/>
  <c r="DM187" i="2"/>
  <c r="DK187" i="2"/>
  <c r="DJ187" i="2"/>
  <c r="DI187" i="2"/>
  <c r="DH187" i="2"/>
  <c r="DF187" i="2"/>
  <c r="DE187" i="2"/>
  <c r="DD187" i="2"/>
  <c r="DC187" i="2"/>
  <c r="DA187" i="2"/>
  <c r="CZ187" i="2"/>
  <c r="CY187" i="2"/>
  <c r="CX187" i="2"/>
  <c r="CV187" i="2"/>
  <c r="CU187" i="2"/>
  <c r="CT187" i="2"/>
  <c r="CS187" i="2"/>
  <c r="CQ187" i="2"/>
  <c r="CP187" i="2"/>
  <c r="CO187" i="2"/>
  <c r="CN187" i="2"/>
  <c r="CK187" i="2"/>
  <c r="CJ187" i="2"/>
  <c r="CI187" i="2"/>
  <c r="DL186" i="2"/>
  <c r="DG186" i="2"/>
  <c r="DB186" i="2"/>
  <c r="CW186" i="2"/>
  <c r="CR186" i="2"/>
  <c r="CM186" i="2"/>
  <c r="CG186" i="2"/>
  <c r="CF148" i="2"/>
  <c r="CE148" i="2"/>
  <c r="CD148" i="2"/>
  <c r="BW148" i="2"/>
  <c r="BV148" i="2"/>
  <c r="BU148" i="2"/>
  <c r="BT148" i="2"/>
  <c r="BM148" i="2"/>
  <c r="BL148" i="2"/>
  <c r="BK148" i="2"/>
  <c r="BJ148" i="2"/>
  <c r="BH148" i="2"/>
  <c r="BG148" i="2"/>
  <c r="BF148" i="2"/>
  <c r="BE148" i="2"/>
  <c r="BC148" i="2"/>
  <c r="BB148" i="2"/>
  <c r="BA148" i="2"/>
  <c r="AZ148" i="2"/>
  <c r="AV148" i="2"/>
  <c r="AU148" i="2"/>
  <c r="AS148" i="2"/>
  <c r="AR148" i="2"/>
  <c r="AQ148" i="2"/>
  <c r="AP148" i="2"/>
  <c r="AN148" i="2"/>
  <c r="AM148" i="2"/>
  <c r="AL148" i="2"/>
  <c r="AK148" i="2"/>
  <c r="AI148" i="2"/>
  <c r="AH148" i="2"/>
  <c r="AG148" i="2"/>
  <c r="AF148" i="2"/>
  <c r="AD148" i="2"/>
  <c r="AC148" i="2"/>
  <c r="AB148" i="2"/>
  <c r="AA148" i="2"/>
  <c r="Y148" i="2"/>
  <c r="X148" i="2"/>
  <c r="W148" i="2"/>
  <c r="V148" i="2"/>
  <c r="T148" i="2"/>
  <c r="S148" i="2"/>
  <c r="R148" i="2"/>
  <c r="CH147" i="2"/>
  <c r="CF147" i="2"/>
  <c r="CE147" i="2"/>
  <c r="CD147" i="2"/>
  <c r="BX147" i="2"/>
  <c r="BW147" i="2"/>
  <c r="BV147" i="2"/>
  <c r="BU147" i="2"/>
  <c r="BT147" i="2"/>
  <c r="BN147" i="2"/>
  <c r="BM147" i="2"/>
  <c r="BL147" i="2"/>
  <c r="BK147" i="2"/>
  <c r="BJ147" i="2"/>
  <c r="BI147" i="2"/>
  <c r="BH147" i="2"/>
  <c r="BG147" i="2"/>
  <c r="BF147" i="2"/>
  <c r="BE147" i="2"/>
  <c r="BD147" i="2"/>
  <c r="BC147" i="2"/>
  <c r="BA147" i="2"/>
  <c r="AZ147" i="2"/>
  <c r="AY147" i="2"/>
  <c r="AX147" i="2"/>
  <c r="AV147" i="2"/>
  <c r="AU147" i="2"/>
  <c r="AT147" i="2"/>
  <c r="AS147" i="2"/>
  <c r="AR147" i="2"/>
  <c r="AQ147" i="2"/>
  <c r="AP147" i="2"/>
  <c r="AO147" i="2"/>
  <c r="AN147" i="2"/>
  <c r="AM147" i="2"/>
  <c r="AL147" i="2"/>
  <c r="AK147" i="2"/>
  <c r="AJ147" i="2"/>
  <c r="AI147" i="2"/>
  <c r="AH147" i="2"/>
  <c r="AG147" i="2"/>
  <c r="AF147" i="2"/>
  <c r="AE147" i="2"/>
  <c r="AD147" i="2"/>
  <c r="AC147" i="2"/>
  <c r="AB147" i="2"/>
  <c r="AA147" i="2"/>
  <c r="Z147" i="2"/>
  <c r="Y147" i="2"/>
  <c r="X147" i="2"/>
  <c r="W147" i="2"/>
  <c r="V147" i="2"/>
  <c r="U147" i="2"/>
  <c r="CF145" i="2"/>
  <c r="CE145" i="2"/>
  <c r="CD145" i="2"/>
  <c r="BW145" i="2"/>
  <c r="BV145" i="2"/>
  <c r="BU145" i="2"/>
  <c r="BT145" i="2"/>
  <c r="BM145" i="2"/>
  <c r="BL145" i="2"/>
  <c r="BK145" i="2"/>
  <c r="BJ145" i="2"/>
  <c r="BH145" i="2"/>
  <c r="BG145" i="2"/>
  <c r="BF145" i="2"/>
  <c r="BE145" i="2"/>
  <c r="BC145" i="2"/>
  <c r="BB145" i="2"/>
  <c r="BA145" i="2"/>
  <c r="AZ145" i="2"/>
  <c r="AV145" i="2"/>
  <c r="AU145" i="2"/>
  <c r="AS145" i="2"/>
  <c r="AR145" i="2"/>
  <c r="AQ145" i="2"/>
  <c r="AP145" i="2"/>
  <c r="AN145" i="2"/>
  <c r="AM145" i="2"/>
  <c r="AL145" i="2"/>
  <c r="AK145" i="2"/>
  <c r="AI145" i="2"/>
  <c r="AH145" i="2"/>
  <c r="AG145" i="2"/>
  <c r="AF145" i="2"/>
  <c r="AD145" i="2"/>
  <c r="AC145" i="2"/>
  <c r="AB145" i="2"/>
  <c r="AA145" i="2"/>
  <c r="Y145" i="2"/>
  <c r="X145" i="2"/>
  <c r="W145" i="2"/>
  <c r="V145" i="2"/>
  <c r="T145" i="2"/>
  <c r="S145" i="2"/>
  <c r="R145" i="2"/>
  <c r="CH144" i="2"/>
  <c r="CF144" i="2"/>
  <c r="CE144" i="2"/>
  <c r="CD144" i="2"/>
  <c r="BX144" i="2"/>
  <c r="BW144" i="2"/>
  <c r="BV144" i="2"/>
  <c r="BU144" i="2"/>
  <c r="BT144" i="2"/>
  <c r="BN144" i="2"/>
  <c r="BM144" i="2"/>
  <c r="BL144" i="2"/>
  <c r="BK144" i="2"/>
  <c r="BJ144" i="2"/>
  <c r="BI144" i="2"/>
  <c r="BH144" i="2"/>
  <c r="BG144" i="2"/>
  <c r="BF144" i="2"/>
  <c r="BE144" i="2"/>
  <c r="BD144" i="2"/>
  <c r="BC144" i="2"/>
  <c r="BA144" i="2"/>
  <c r="AZ144" i="2"/>
  <c r="AY144" i="2"/>
  <c r="AX144" i="2"/>
  <c r="AV144" i="2"/>
  <c r="AU144" i="2"/>
  <c r="AT144" i="2"/>
  <c r="AS144" i="2"/>
  <c r="AR144" i="2"/>
  <c r="AQ144" i="2"/>
  <c r="AP144" i="2"/>
  <c r="AO144" i="2"/>
  <c r="AN144" i="2"/>
  <c r="AM144" i="2"/>
  <c r="AL144" i="2"/>
  <c r="AK144" i="2"/>
  <c r="AJ144" i="2"/>
  <c r="AI144" i="2"/>
  <c r="AH144" i="2"/>
  <c r="AG144" i="2"/>
  <c r="AF144" i="2"/>
  <c r="AE144" i="2"/>
  <c r="AD144" i="2"/>
  <c r="AC144" i="2"/>
  <c r="AB144" i="2"/>
  <c r="AA144" i="2"/>
  <c r="Z144" i="2"/>
  <c r="Y144" i="2"/>
  <c r="X144" i="2"/>
  <c r="W144" i="2"/>
  <c r="V144" i="2"/>
  <c r="U144" i="2"/>
  <c r="CF142" i="2"/>
  <c r="CE142" i="2"/>
  <c r="CD142" i="2"/>
  <c r="BW142" i="2"/>
  <c r="BV142" i="2"/>
  <c r="BU142" i="2"/>
  <c r="BT142" i="2"/>
  <c r="BM142" i="2"/>
  <c r="BL142" i="2"/>
  <c r="BK142" i="2"/>
  <c r="BJ142" i="2"/>
  <c r="BH142" i="2"/>
  <c r="BG142" i="2"/>
  <c r="BF142" i="2"/>
  <c r="BE142" i="2"/>
  <c r="BC142" i="2"/>
  <c r="BB142" i="2"/>
  <c r="BA142" i="2"/>
  <c r="AZ142" i="2"/>
  <c r="AV142" i="2"/>
  <c r="AU142" i="2"/>
  <c r="AS142" i="2"/>
  <c r="AR142" i="2"/>
  <c r="AQ142" i="2"/>
  <c r="AP142" i="2"/>
  <c r="AN142" i="2"/>
  <c r="AM142" i="2"/>
  <c r="AL142" i="2"/>
  <c r="AK142" i="2"/>
  <c r="AI142" i="2"/>
  <c r="AH142" i="2"/>
  <c r="AG142" i="2"/>
  <c r="AF142" i="2"/>
  <c r="AD142" i="2"/>
  <c r="AC142" i="2"/>
  <c r="AB142" i="2"/>
  <c r="AA142" i="2"/>
  <c r="Y142" i="2"/>
  <c r="X142" i="2"/>
  <c r="W142" i="2"/>
  <c r="V142" i="2"/>
  <c r="T142" i="2"/>
  <c r="S142" i="2"/>
  <c r="R142" i="2"/>
  <c r="CH141" i="2"/>
  <c r="CF141" i="2"/>
  <c r="CE141" i="2"/>
  <c r="CD141" i="2"/>
  <c r="BX141" i="2"/>
  <c r="BW141" i="2"/>
  <c r="BV141" i="2"/>
  <c r="BU141" i="2"/>
  <c r="BT141" i="2"/>
  <c r="BN141" i="2"/>
  <c r="BM141" i="2"/>
  <c r="BL141" i="2"/>
  <c r="BK141" i="2"/>
  <c r="BJ141" i="2"/>
  <c r="BI141" i="2"/>
  <c r="BH141" i="2"/>
  <c r="BG141" i="2"/>
  <c r="BF141" i="2"/>
  <c r="BE141" i="2"/>
  <c r="BD141" i="2"/>
  <c r="BC141" i="2"/>
  <c r="BA141" i="2"/>
  <c r="AZ141" i="2"/>
  <c r="AY141" i="2"/>
  <c r="AX141" i="2"/>
  <c r="AV141" i="2"/>
  <c r="AU141" i="2"/>
  <c r="AT141" i="2"/>
  <c r="AS141" i="2"/>
  <c r="AR141" i="2"/>
  <c r="AQ141" i="2"/>
  <c r="AP141" i="2"/>
  <c r="AO141" i="2"/>
  <c r="AN141" i="2"/>
  <c r="AM141" i="2"/>
  <c r="AL141" i="2"/>
  <c r="AK141" i="2"/>
  <c r="AJ141" i="2"/>
  <c r="AI141" i="2"/>
  <c r="AH141" i="2"/>
  <c r="AG141" i="2"/>
  <c r="AF141" i="2"/>
  <c r="AE141" i="2"/>
  <c r="AD141" i="2"/>
  <c r="AC141" i="2"/>
  <c r="AB141" i="2"/>
  <c r="AA141" i="2"/>
  <c r="Z141" i="2"/>
  <c r="Y141" i="2"/>
  <c r="X141" i="2"/>
  <c r="W141" i="2"/>
  <c r="V141" i="2"/>
  <c r="U141" i="2"/>
  <c r="CF139" i="2"/>
  <c r="CE139" i="2"/>
  <c r="CD139" i="2"/>
  <c r="BW139" i="2"/>
  <c r="BV139" i="2"/>
  <c r="BU139" i="2"/>
  <c r="BT139" i="2"/>
  <c r="BM139" i="2"/>
  <c r="BL139" i="2"/>
  <c r="BK139" i="2"/>
  <c r="BJ139" i="2"/>
  <c r="BH139" i="2"/>
  <c r="BG139" i="2"/>
  <c r="BF139" i="2"/>
  <c r="BE139" i="2"/>
  <c r="BC139" i="2"/>
  <c r="BB139" i="2"/>
  <c r="BA139" i="2"/>
  <c r="AZ139" i="2"/>
  <c r="AV139" i="2"/>
  <c r="AU139" i="2"/>
  <c r="AS139" i="2"/>
  <c r="AR139" i="2"/>
  <c r="AQ139" i="2"/>
  <c r="AP139" i="2"/>
  <c r="AN139" i="2"/>
  <c r="AM139" i="2"/>
  <c r="AL139" i="2"/>
  <c r="AK139" i="2"/>
  <c r="AI139" i="2"/>
  <c r="AH139" i="2"/>
  <c r="AG139" i="2"/>
  <c r="AF139" i="2"/>
  <c r="AD139" i="2"/>
  <c r="AC139" i="2"/>
  <c r="AB139" i="2"/>
  <c r="AA139" i="2"/>
  <c r="Y139" i="2"/>
  <c r="X139" i="2"/>
  <c r="W139" i="2"/>
  <c r="V139" i="2"/>
  <c r="T139" i="2"/>
  <c r="S139" i="2"/>
  <c r="R139" i="2"/>
  <c r="CH138" i="2"/>
  <c r="CF138" i="2"/>
  <c r="CE138" i="2"/>
  <c r="CD138" i="2"/>
  <c r="BX138" i="2"/>
  <c r="BW138" i="2"/>
  <c r="BV138" i="2"/>
  <c r="BU138" i="2"/>
  <c r="BT138" i="2"/>
  <c r="BN138" i="2"/>
  <c r="BM138" i="2"/>
  <c r="BL138" i="2"/>
  <c r="BK138" i="2"/>
  <c r="BJ138" i="2"/>
  <c r="BI138" i="2"/>
  <c r="BH138" i="2"/>
  <c r="BG138" i="2"/>
  <c r="BF138" i="2"/>
  <c r="BE138" i="2"/>
  <c r="BD138" i="2"/>
  <c r="BC138" i="2"/>
  <c r="BA138" i="2"/>
  <c r="AZ138" i="2"/>
  <c r="AY138" i="2"/>
  <c r="AX138" i="2"/>
  <c r="AV138" i="2"/>
  <c r="AU138" i="2"/>
  <c r="AT138" i="2"/>
  <c r="AS138" i="2"/>
  <c r="AR138" i="2"/>
  <c r="AQ138" i="2"/>
  <c r="AP138" i="2"/>
  <c r="AO138" i="2"/>
  <c r="AN138" i="2"/>
  <c r="AM138" i="2"/>
  <c r="AL138" i="2"/>
  <c r="AK138" i="2"/>
  <c r="AJ138" i="2"/>
  <c r="AI138" i="2"/>
  <c r="AH138" i="2"/>
  <c r="AG138" i="2"/>
  <c r="AF138" i="2"/>
  <c r="AE138" i="2"/>
  <c r="AD138" i="2"/>
  <c r="AC138" i="2"/>
  <c r="AB138" i="2"/>
  <c r="AA138" i="2"/>
  <c r="Z138" i="2"/>
  <c r="Y138" i="2"/>
  <c r="X138" i="2"/>
  <c r="W138" i="2"/>
  <c r="V138" i="2"/>
  <c r="U138" i="2"/>
  <c r="CF135" i="2"/>
  <c r="CE135" i="2"/>
  <c r="CD135" i="2"/>
  <c r="BW135" i="2"/>
  <c r="BV135" i="2"/>
  <c r="BU135" i="2"/>
  <c r="BT135" i="2"/>
  <c r="BM135" i="2"/>
  <c r="BL135" i="2"/>
  <c r="BK135" i="2"/>
  <c r="BJ135" i="2"/>
  <c r="BH135" i="2"/>
  <c r="BG135" i="2"/>
  <c r="BF135" i="2"/>
  <c r="BE135" i="2"/>
  <c r="BC135" i="2"/>
  <c r="BB135" i="2"/>
  <c r="BA135" i="2"/>
  <c r="AZ135" i="2"/>
  <c r="AV135" i="2"/>
  <c r="AU135" i="2"/>
  <c r="AS135" i="2"/>
  <c r="AR135" i="2"/>
  <c r="AQ135" i="2"/>
  <c r="AP135" i="2"/>
  <c r="AN135" i="2"/>
  <c r="AM135" i="2"/>
  <c r="AL135" i="2"/>
  <c r="AK135" i="2"/>
  <c r="AI135" i="2"/>
  <c r="AH135" i="2"/>
  <c r="AG135" i="2"/>
  <c r="AF135" i="2"/>
  <c r="AD135" i="2"/>
  <c r="AC135" i="2"/>
  <c r="AB135" i="2"/>
  <c r="AA135" i="2"/>
  <c r="Y135" i="2"/>
  <c r="X135" i="2"/>
  <c r="W135" i="2"/>
  <c r="V135" i="2"/>
  <c r="T135" i="2"/>
  <c r="S135" i="2"/>
  <c r="R135" i="2"/>
  <c r="CH134" i="2"/>
  <c r="CF134" i="2"/>
  <c r="CE134" i="2"/>
  <c r="CD134" i="2"/>
  <c r="BX134" i="2"/>
  <c r="BW134" i="2"/>
  <c r="BV134" i="2"/>
  <c r="BU134" i="2"/>
  <c r="BT134" i="2"/>
  <c r="BN134" i="2"/>
  <c r="BM134" i="2"/>
  <c r="BL134" i="2"/>
  <c r="BK134" i="2"/>
  <c r="BJ134" i="2"/>
  <c r="BI134" i="2"/>
  <c r="BH134" i="2"/>
  <c r="BG134" i="2"/>
  <c r="BF134" i="2"/>
  <c r="BE134" i="2"/>
  <c r="BD134" i="2"/>
  <c r="BC134" i="2"/>
  <c r="BA134" i="2"/>
  <c r="AZ134" i="2"/>
  <c r="AY134" i="2"/>
  <c r="AX134" i="2"/>
  <c r="AV134" i="2"/>
  <c r="AU134" i="2"/>
  <c r="AT134" i="2"/>
  <c r="AS134" i="2"/>
  <c r="AR134" i="2"/>
  <c r="AQ134" i="2"/>
  <c r="AP134" i="2"/>
  <c r="AO134" i="2"/>
  <c r="AN134" i="2"/>
  <c r="AM134" i="2"/>
  <c r="AL134" i="2"/>
  <c r="AK134" i="2"/>
  <c r="AJ134" i="2"/>
  <c r="AI134" i="2"/>
  <c r="AH134" i="2"/>
  <c r="AG134" i="2"/>
  <c r="AF134" i="2"/>
  <c r="AE134" i="2"/>
  <c r="AD134" i="2"/>
  <c r="AC134" i="2"/>
  <c r="AB134" i="2"/>
  <c r="AA134" i="2"/>
  <c r="Z134" i="2"/>
  <c r="Y134" i="2"/>
  <c r="X134" i="2"/>
  <c r="W134" i="2"/>
  <c r="V134" i="2"/>
  <c r="U134" i="2"/>
  <c r="CF132" i="2"/>
  <c r="CE132" i="2"/>
  <c r="CD132" i="2"/>
  <c r="BW132" i="2"/>
  <c r="BV132" i="2"/>
  <c r="BU132" i="2"/>
  <c r="BT132" i="2"/>
  <c r="BM132" i="2"/>
  <c r="BL132" i="2"/>
  <c r="BK132" i="2"/>
  <c r="BJ132" i="2"/>
  <c r="BH132" i="2"/>
  <c r="BG132" i="2"/>
  <c r="BF132" i="2"/>
  <c r="BE132" i="2"/>
  <c r="BC132" i="2"/>
  <c r="BB132" i="2"/>
  <c r="BA132" i="2"/>
  <c r="AZ132" i="2"/>
  <c r="AV132" i="2"/>
  <c r="AU132" i="2"/>
  <c r="AS132" i="2"/>
  <c r="AR132" i="2"/>
  <c r="AQ132" i="2"/>
  <c r="AP132" i="2"/>
  <c r="AN132" i="2"/>
  <c r="AM132" i="2"/>
  <c r="AL132" i="2"/>
  <c r="AK132" i="2"/>
  <c r="AI132" i="2"/>
  <c r="AH132" i="2"/>
  <c r="AG132" i="2"/>
  <c r="AF132" i="2"/>
  <c r="AD132" i="2"/>
  <c r="AC132" i="2"/>
  <c r="AB132" i="2"/>
  <c r="AA132" i="2"/>
  <c r="Y132" i="2"/>
  <c r="X132" i="2"/>
  <c r="W132" i="2"/>
  <c r="V132" i="2"/>
  <c r="T132" i="2"/>
  <c r="S132" i="2"/>
  <c r="R132" i="2"/>
  <c r="CH131" i="2"/>
  <c r="CF131" i="2"/>
  <c r="CE131" i="2"/>
  <c r="CD131" i="2"/>
  <c r="BX131" i="2"/>
  <c r="BW131" i="2"/>
  <c r="BV131" i="2"/>
  <c r="BU131" i="2"/>
  <c r="BT131" i="2"/>
  <c r="BN131" i="2"/>
  <c r="BM131" i="2"/>
  <c r="BL131" i="2"/>
  <c r="BK131" i="2"/>
  <c r="BJ131" i="2"/>
  <c r="BI131" i="2"/>
  <c r="BH131" i="2"/>
  <c r="BG131" i="2"/>
  <c r="BF131" i="2"/>
  <c r="BE131" i="2"/>
  <c r="BD131" i="2"/>
  <c r="BC131" i="2"/>
  <c r="BA131" i="2"/>
  <c r="AZ131" i="2"/>
  <c r="AY131" i="2"/>
  <c r="AX131" i="2"/>
  <c r="AV131" i="2"/>
  <c r="AU131" i="2"/>
  <c r="AT131" i="2"/>
  <c r="AS131" i="2"/>
  <c r="AR131" i="2"/>
  <c r="AQ131" i="2"/>
  <c r="AP131" i="2"/>
  <c r="AO131" i="2"/>
  <c r="AN131" i="2"/>
  <c r="AM131" i="2"/>
  <c r="AL131" i="2"/>
  <c r="AK131" i="2"/>
  <c r="AJ131" i="2"/>
  <c r="AI131" i="2"/>
  <c r="AH131" i="2"/>
  <c r="AG131" i="2"/>
  <c r="AF131" i="2"/>
  <c r="AE131" i="2"/>
  <c r="AD131" i="2"/>
  <c r="AC131" i="2"/>
  <c r="AB131" i="2"/>
  <c r="AA131" i="2"/>
  <c r="Z131" i="2"/>
  <c r="Y131" i="2"/>
  <c r="X131" i="2"/>
  <c r="W131" i="2"/>
  <c r="V131" i="2"/>
  <c r="U131" i="2"/>
  <c r="CF128" i="2"/>
  <c r="CE128" i="2"/>
  <c r="CD128" i="2"/>
  <c r="BW128" i="2"/>
  <c r="BV128" i="2"/>
  <c r="BU128" i="2"/>
  <c r="BT128" i="2"/>
  <c r="BM128" i="2"/>
  <c r="BL128" i="2"/>
  <c r="BK128" i="2"/>
  <c r="BJ128" i="2"/>
  <c r="BH128" i="2"/>
  <c r="BG128" i="2"/>
  <c r="BF128" i="2"/>
  <c r="BE128" i="2"/>
  <c r="BC128" i="2"/>
  <c r="BB128" i="2"/>
  <c r="BA128" i="2"/>
  <c r="AZ128" i="2"/>
  <c r="AV128" i="2"/>
  <c r="AU128" i="2"/>
  <c r="AS128" i="2"/>
  <c r="AR128" i="2"/>
  <c r="AQ128" i="2"/>
  <c r="AP128" i="2"/>
  <c r="AN128" i="2"/>
  <c r="AM128" i="2"/>
  <c r="AL128" i="2"/>
  <c r="AK128" i="2"/>
  <c r="AI128" i="2"/>
  <c r="AH128" i="2"/>
  <c r="AG128" i="2"/>
  <c r="AF128" i="2"/>
  <c r="AD128" i="2"/>
  <c r="AC128" i="2"/>
  <c r="AB128" i="2"/>
  <c r="AA128" i="2"/>
  <c r="Y128" i="2"/>
  <c r="X128" i="2"/>
  <c r="W128" i="2"/>
  <c r="V128" i="2"/>
  <c r="T128" i="2"/>
  <c r="S128" i="2"/>
  <c r="R128" i="2"/>
  <c r="CH127" i="2"/>
  <c r="CF127" i="2"/>
  <c r="CE127" i="2"/>
  <c r="CD127" i="2"/>
  <c r="BX127" i="2"/>
  <c r="BW127" i="2"/>
  <c r="BV127" i="2"/>
  <c r="BU127" i="2"/>
  <c r="BT127" i="2"/>
  <c r="BN127" i="2"/>
  <c r="BM127" i="2"/>
  <c r="BL127" i="2"/>
  <c r="BK127" i="2"/>
  <c r="BJ127" i="2"/>
  <c r="BI127" i="2"/>
  <c r="BH127" i="2"/>
  <c r="BG127" i="2"/>
  <c r="BF127" i="2"/>
  <c r="BE127" i="2"/>
  <c r="BD127" i="2"/>
  <c r="BC127" i="2"/>
  <c r="BA127" i="2"/>
  <c r="AZ127" i="2"/>
  <c r="AY127" i="2"/>
  <c r="AX127" i="2"/>
  <c r="AV127" i="2"/>
  <c r="AU127" i="2"/>
  <c r="AT127" i="2"/>
  <c r="AS127" i="2"/>
  <c r="AR127" i="2"/>
  <c r="AQ127" i="2"/>
  <c r="AP127" i="2"/>
  <c r="AO127" i="2"/>
  <c r="AN127" i="2"/>
  <c r="AM127" i="2"/>
  <c r="AL127" i="2"/>
  <c r="AK127" i="2"/>
  <c r="AJ127" i="2"/>
  <c r="AI127" i="2"/>
  <c r="AH127" i="2"/>
  <c r="AG127" i="2"/>
  <c r="AF127" i="2"/>
  <c r="AE127" i="2"/>
  <c r="AD127" i="2"/>
  <c r="AC127" i="2"/>
  <c r="AB127" i="2"/>
  <c r="AA127" i="2"/>
  <c r="Z127" i="2"/>
  <c r="Y127" i="2"/>
  <c r="X127" i="2"/>
  <c r="W127" i="2"/>
  <c r="V127" i="2"/>
  <c r="U127" i="2"/>
  <c r="CF125" i="2"/>
  <c r="CE125" i="2"/>
  <c r="CD125" i="2"/>
  <c r="BW125" i="2"/>
  <c r="BV125" i="2"/>
  <c r="BU125" i="2"/>
  <c r="BT125" i="2"/>
  <c r="BM125" i="2"/>
  <c r="BL125" i="2"/>
  <c r="BK125" i="2"/>
  <c r="BJ125" i="2"/>
  <c r="BH125" i="2"/>
  <c r="BG125" i="2"/>
  <c r="BF125" i="2"/>
  <c r="BE125" i="2"/>
  <c r="BC125" i="2"/>
  <c r="BB125" i="2"/>
  <c r="BA125" i="2"/>
  <c r="AZ125" i="2"/>
  <c r="AV125" i="2"/>
  <c r="AU125" i="2"/>
  <c r="AS125" i="2"/>
  <c r="AR125" i="2"/>
  <c r="AQ125" i="2"/>
  <c r="AP125" i="2"/>
  <c r="AN125" i="2"/>
  <c r="AM125" i="2"/>
  <c r="AL125" i="2"/>
  <c r="AK125" i="2"/>
  <c r="AI125" i="2"/>
  <c r="AH125" i="2"/>
  <c r="AG125" i="2"/>
  <c r="AF125" i="2"/>
  <c r="AD125" i="2"/>
  <c r="AC125" i="2"/>
  <c r="AB125" i="2"/>
  <c r="AA125" i="2"/>
  <c r="Y125" i="2"/>
  <c r="X125" i="2"/>
  <c r="W125" i="2"/>
  <c r="V125" i="2"/>
  <c r="T125" i="2"/>
  <c r="S125" i="2"/>
  <c r="R125" i="2"/>
  <c r="CH124" i="2"/>
  <c r="CF124" i="2"/>
  <c r="CE124" i="2"/>
  <c r="CD124" i="2"/>
  <c r="BX124" i="2"/>
  <c r="BW124" i="2"/>
  <c r="BV124" i="2"/>
  <c r="BU124" i="2"/>
  <c r="BT124" i="2"/>
  <c r="BN124" i="2"/>
  <c r="BM124" i="2"/>
  <c r="BL124" i="2"/>
  <c r="BK124" i="2"/>
  <c r="BJ124" i="2"/>
  <c r="BI124" i="2"/>
  <c r="BH124" i="2"/>
  <c r="BG124" i="2"/>
  <c r="BF124" i="2"/>
  <c r="BE124" i="2"/>
  <c r="BD124" i="2"/>
  <c r="BC124" i="2"/>
  <c r="BA124" i="2"/>
  <c r="AZ124" i="2"/>
  <c r="AY124" i="2"/>
  <c r="AX124" i="2"/>
  <c r="AV124" i="2"/>
  <c r="AU124" i="2"/>
  <c r="AT124" i="2"/>
  <c r="AS124" i="2"/>
  <c r="AR124" i="2"/>
  <c r="AQ124" i="2"/>
  <c r="AP124" i="2"/>
  <c r="AO124" i="2"/>
  <c r="AN124" i="2"/>
  <c r="AM124" i="2"/>
  <c r="AL124" i="2"/>
  <c r="AK124" i="2"/>
  <c r="AJ124" i="2"/>
  <c r="AI124" i="2"/>
  <c r="AH124" i="2"/>
  <c r="AG124" i="2"/>
  <c r="AF124" i="2"/>
  <c r="AE124" i="2"/>
  <c r="AD124" i="2"/>
  <c r="AC124" i="2"/>
  <c r="AB124" i="2"/>
  <c r="AA124" i="2"/>
  <c r="Z124" i="2"/>
  <c r="Y124" i="2"/>
  <c r="X124" i="2"/>
  <c r="W124" i="2"/>
  <c r="V124" i="2"/>
  <c r="U124" i="2"/>
  <c r="CF122" i="2"/>
  <c r="CE122" i="2"/>
  <c r="CD122" i="2"/>
  <c r="BW122" i="2"/>
  <c r="BV122" i="2"/>
  <c r="BU122" i="2"/>
  <c r="BT122" i="2"/>
  <c r="BM122" i="2"/>
  <c r="BL122" i="2"/>
  <c r="BK122" i="2"/>
  <c r="BJ122" i="2"/>
  <c r="BH122" i="2"/>
  <c r="BG122" i="2"/>
  <c r="BF122" i="2"/>
  <c r="BE122" i="2"/>
  <c r="BC122" i="2"/>
  <c r="BB122" i="2"/>
  <c r="BA122" i="2"/>
  <c r="AZ122" i="2"/>
  <c r="AV122" i="2"/>
  <c r="AU122" i="2"/>
  <c r="AS122" i="2"/>
  <c r="AR122" i="2"/>
  <c r="AQ122" i="2"/>
  <c r="AP122" i="2"/>
  <c r="AN122" i="2"/>
  <c r="AM122" i="2"/>
  <c r="AL122" i="2"/>
  <c r="AK122" i="2"/>
  <c r="AI122" i="2"/>
  <c r="AH122" i="2"/>
  <c r="AG122" i="2"/>
  <c r="AF122" i="2"/>
  <c r="AD122" i="2"/>
  <c r="AC122" i="2"/>
  <c r="AB122" i="2"/>
  <c r="AA122" i="2"/>
  <c r="Y122" i="2"/>
  <c r="X122" i="2"/>
  <c r="W122" i="2"/>
  <c r="V122" i="2"/>
  <c r="T122" i="2"/>
  <c r="S122" i="2"/>
  <c r="R122" i="2"/>
  <c r="CH121" i="2"/>
  <c r="CF121" i="2"/>
  <c r="CE121" i="2"/>
  <c r="CD121" i="2"/>
  <c r="BX121" i="2"/>
  <c r="BW121" i="2"/>
  <c r="BV121" i="2"/>
  <c r="BU121" i="2"/>
  <c r="BT121" i="2"/>
  <c r="BN121" i="2"/>
  <c r="BM121" i="2"/>
  <c r="BL121" i="2"/>
  <c r="BK121" i="2"/>
  <c r="BJ121" i="2"/>
  <c r="BI121" i="2"/>
  <c r="BH121" i="2"/>
  <c r="BG121" i="2"/>
  <c r="BF121" i="2"/>
  <c r="BE121" i="2"/>
  <c r="BD121" i="2"/>
  <c r="BC121" i="2"/>
  <c r="BA121" i="2"/>
  <c r="AZ121" i="2"/>
  <c r="AY121" i="2"/>
  <c r="AX121" i="2"/>
  <c r="AV121" i="2"/>
  <c r="AU121" i="2"/>
  <c r="AT121" i="2"/>
  <c r="AS121" i="2"/>
  <c r="AR121" i="2"/>
  <c r="AQ121" i="2"/>
  <c r="AP121" i="2"/>
  <c r="AO121" i="2"/>
  <c r="AN121" i="2"/>
  <c r="AM121" i="2"/>
  <c r="AL121" i="2"/>
  <c r="AK121" i="2"/>
  <c r="AJ121" i="2"/>
  <c r="AI121" i="2"/>
  <c r="AH121" i="2"/>
  <c r="AG121" i="2"/>
  <c r="AF121" i="2"/>
  <c r="AE121" i="2"/>
  <c r="AD121" i="2"/>
  <c r="AC121" i="2"/>
  <c r="AB121" i="2"/>
  <c r="AA121" i="2"/>
  <c r="Z121" i="2"/>
  <c r="Y121" i="2"/>
  <c r="X121" i="2"/>
  <c r="W121" i="2"/>
  <c r="V121" i="2"/>
  <c r="U121" i="2"/>
  <c r="CF119" i="2"/>
  <c r="CE119" i="2"/>
  <c r="CD119" i="2"/>
  <c r="BW119" i="2"/>
  <c r="BV119" i="2"/>
  <c r="BU119" i="2"/>
  <c r="BT119" i="2"/>
  <c r="BM119" i="2"/>
  <c r="BL119" i="2"/>
  <c r="BK119" i="2"/>
  <c r="BJ119" i="2"/>
  <c r="BH119" i="2"/>
  <c r="BG119" i="2"/>
  <c r="BF119" i="2"/>
  <c r="BE119" i="2"/>
  <c r="BC119" i="2"/>
  <c r="BB119" i="2"/>
  <c r="BA119" i="2"/>
  <c r="AZ119" i="2"/>
  <c r="AV119" i="2"/>
  <c r="AU119" i="2"/>
  <c r="AS119" i="2"/>
  <c r="AR119" i="2"/>
  <c r="AQ119" i="2"/>
  <c r="AP119" i="2"/>
  <c r="AN119" i="2"/>
  <c r="AM119" i="2"/>
  <c r="AL119" i="2"/>
  <c r="AK119" i="2"/>
  <c r="AI119" i="2"/>
  <c r="AH119" i="2"/>
  <c r="AG119" i="2"/>
  <c r="AF119" i="2"/>
  <c r="AD119" i="2"/>
  <c r="AC119" i="2"/>
  <c r="AB119" i="2"/>
  <c r="AA119" i="2"/>
  <c r="Y119" i="2"/>
  <c r="X119" i="2"/>
  <c r="W119" i="2"/>
  <c r="V119" i="2"/>
  <c r="T119" i="2"/>
  <c r="S119" i="2"/>
  <c r="R119" i="2"/>
  <c r="CH118" i="2"/>
  <c r="CF118" i="2"/>
  <c r="CE118" i="2"/>
  <c r="CD118" i="2"/>
  <c r="BX118" i="2"/>
  <c r="BW118" i="2"/>
  <c r="BV118" i="2"/>
  <c r="BU118" i="2"/>
  <c r="BT118" i="2"/>
  <c r="BN118" i="2"/>
  <c r="BM118" i="2"/>
  <c r="BL118" i="2"/>
  <c r="BK118" i="2"/>
  <c r="BJ118" i="2"/>
  <c r="BI118" i="2"/>
  <c r="BH118" i="2"/>
  <c r="BG118" i="2"/>
  <c r="BF118" i="2"/>
  <c r="BE118" i="2"/>
  <c r="BD118" i="2"/>
  <c r="BC118" i="2"/>
  <c r="BA118" i="2"/>
  <c r="AZ118" i="2"/>
  <c r="AY118" i="2"/>
  <c r="AX118" i="2"/>
  <c r="AV118" i="2"/>
  <c r="AU118" i="2"/>
  <c r="AT118" i="2"/>
  <c r="AS118" i="2"/>
  <c r="AR118" i="2"/>
  <c r="AQ118" i="2"/>
  <c r="AP118" i="2"/>
  <c r="AO118" i="2"/>
  <c r="AN118" i="2"/>
  <c r="AM118" i="2"/>
  <c r="AL118" i="2"/>
  <c r="AK118" i="2"/>
  <c r="AJ118" i="2"/>
  <c r="AI118" i="2"/>
  <c r="AH118" i="2"/>
  <c r="AG118" i="2"/>
  <c r="AF118" i="2"/>
  <c r="AE118" i="2"/>
  <c r="AD118" i="2"/>
  <c r="AC118" i="2"/>
  <c r="AB118" i="2"/>
  <c r="AA118" i="2"/>
  <c r="Z118" i="2"/>
  <c r="Y118" i="2"/>
  <c r="X118" i="2"/>
  <c r="W118" i="2"/>
  <c r="V118" i="2"/>
  <c r="U118" i="2"/>
  <c r="CF116" i="2"/>
  <c r="CE116" i="2"/>
  <c r="CD116" i="2"/>
  <c r="BW116" i="2"/>
  <c r="BV116" i="2"/>
  <c r="BU116" i="2"/>
  <c r="BT116" i="2"/>
  <c r="BM116" i="2"/>
  <c r="BL116" i="2"/>
  <c r="BK116" i="2"/>
  <c r="BJ116" i="2"/>
  <c r="BH116" i="2"/>
  <c r="BG116" i="2"/>
  <c r="BF116" i="2"/>
  <c r="BE116" i="2"/>
  <c r="BC116" i="2"/>
  <c r="BB116" i="2"/>
  <c r="BA116" i="2"/>
  <c r="AZ116" i="2"/>
  <c r="AV116" i="2"/>
  <c r="AU116" i="2"/>
  <c r="AS116" i="2"/>
  <c r="AR116" i="2"/>
  <c r="AQ116" i="2"/>
  <c r="AP116" i="2"/>
  <c r="AN116" i="2"/>
  <c r="AM116" i="2"/>
  <c r="AL116" i="2"/>
  <c r="AK116" i="2"/>
  <c r="AI116" i="2"/>
  <c r="AH116" i="2"/>
  <c r="AG116" i="2"/>
  <c r="AF116" i="2"/>
  <c r="AD116" i="2"/>
  <c r="AC116" i="2"/>
  <c r="AB116" i="2"/>
  <c r="AA116" i="2"/>
  <c r="Y116" i="2"/>
  <c r="X116" i="2"/>
  <c r="W116" i="2"/>
  <c r="V116" i="2"/>
  <c r="T116" i="2"/>
  <c r="S116" i="2"/>
  <c r="R116" i="2"/>
  <c r="CH115" i="2"/>
  <c r="CF115" i="2"/>
  <c r="CE115" i="2"/>
  <c r="CD115" i="2"/>
  <c r="BX115" i="2"/>
  <c r="BW115" i="2"/>
  <c r="BV115" i="2"/>
  <c r="BU115" i="2"/>
  <c r="BT115" i="2"/>
  <c r="BN115" i="2"/>
  <c r="BM115" i="2"/>
  <c r="BL115" i="2"/>
  <c r="BK115" i="2"/>
  <c r="BJ115" i="2"/>
  <c r="BI115" i="2"/>
  <c r="BH115" i="2"/>
  <c r="BG115" i="2"/>
  <c r="BF115" i="2"/>
  <c r="BE115" i="2"/>
  <c r="BD115" i="2"/>
  <c r="BC115" i="2"/>
  <c r="BA115" i="2"/>
  <c r="AZ115" i="2"/>
  <c r="AY115" i="2"/>
  <c r="AX115" i="2"/>
  <c r="AV115" i="2"/>
  <c r="AU115" i="2"/>
  <c r="AT115" i="2"/>
  <c r="AS115" i="2"/>
  <c r="AR115" i="2"/>
  <c r="AQ115" i="2"/>
  <c r="AP115" i="2"/>
  <c r="AO115" i="2"/>
  <c r="AN115" i="2"/>
  <c r="AM115" i="2"/>
  <c r="AL115" i="2"/>
  <c r="AK115" i="2"/>
  <c r="AJ115" i="2"/>
  <c r="AI115" i="2"/>
  <c r="AH115" i="2"/>
  <c r="AG115" i="2"/>
  <c r="AF115" i="2"/>
  <c r="AE115" i="2"/>
  <c r="AD115" i="2"/>
  <c r="AC115" i="2"/>
  <c r="AB115" i="2"/>
  <c r="AA115" i="2"/>
  <c r="Z115" i="2"/>
  <c r="Y115" i="2"/>
  <c r="X115" i="2"/>
  <c r="W115" i="2"/>
  <c r="V115" i="2"/>
  <c r="U115" i="2"/>
  <c r="A111" i="2"/>
  <c r="BW97" i="2"/>
  <c r="BV97" i="2"/>
  <c r="BU97" i="2"/>
  <c r="BT97" i="2"/>
  <c r="BM97" i="2"/>
  <c r="BL97" i="2"/>
  <c r="BK97" i="2"/>
  <c r="BJ97" i="2"/>
  <c r="BH97" i="2"/>
  <c r="BG97" i="2"/>
  <c r="BF97" i="2"/>
  <c r="BE97" i="2"/>
  <c r="BC97" i="2"/>
  <c r="BB97" i="2"/>
  <c r="BA97" i="2"/>
  <c r="AZ97" i="2"/>
  <c r="AV97" i="2"/>
  <c r="AU97" i="2"/>
  <c r="AS97" i="2"/>
  <c r="AR97" i="2"/>
  <c r="AQ97" i="2"/>
  <c r="AP97" i="2"/>
  <c r="AN97" i="2"/>
  <c r="AM97" i="2"/>
  <c r="AL97" i="2"/>
  <c r="AK97" i="2"/>
  <c r="AI97" i="2"/>
  <c r="AH97" i="2"/>
  <c r="AG97" i="2"/>
  <c r="AF97" i="2"/>
  <c r="AD97" i="2"/>
  <c r="AC97" i="2"/>
  <c r="AB97" i="2"/>
  <c r="AA97" i="2"/>
  <c r="Y97" i="2"/>
  <c r="X97" i="2"/>
  <c r="W97" i="2"/>
  <c r="V97" i="2"/>
  <c r="DM92" i="2"/>
  <c r="DK92" i="2"/>
  <c r="DJ92" i="2"/>
  <c r="DI92" i="2"/>
  <c r="DH92" i="2"/>
  <c r="DD92" i="2"/>
  <c r="DC92" i="2"/>
  <c r="DA92" i="2"/>
  <c r="CZ92" i="2"/>
  <c r="CY92" i="2"/>
  <c r="CF92" i="2"/>
  <c r="CB92" i="2"/>
  <c r="CA92" i="2"/>
  <c r="BZ92" i="2"/>
  <c r="BY92" i="2"/>
  <c r="BW92" i="2"/>
  <c r="BV92" i="2"/>
  <c r="BU92" i="2"/>
  <c r="BL92" i="2"/>
  <c r="AI92" i="2"/>
  <c r="AH92" i="2"/>
  <c r="AG92" i="2"/>
  <c r="AF92" i="2"/>
  <c r="AD92" i="2"/>
  <c r="AC92" i="2"/>
  <c r="AB92" i="2"/>
  <c r="AA92" i="2"/>
  <c r="Y92" i="2"/>
  <c r="X92" i="2"/>
  <c r="W92" i="2"/>
  <c r="V92" i="2"/>
  <c r="T92" i="2"/>
  <c r="S92" i="2"/>
  <c r="R92" i="2"/>
  <c r="DM91" i="2"/>
  <c r="DI91" i="2"/>
  <c r="DA91" i="2"/>
  <c r="CZ91" i="2"/>
  <c r="CY91" i="2"/>
  <c r="CF91" i="2"/>
  <c r="CE91" i="2"/>
  <c r="DM90" i="2"/>
  <c r="DK90" i="2"/>
  <c r="DJ90" i="2"/>
  <c r="DI90" i="2"/>
  <c r="DH90" i="2"/>
  <c r="DF90" i="2"/>
  <c r="DE90" i="2"/>
  <c r="DD90" i="2"/>
  <c r="DC90" i="2"/>
  <c r="DA90" i="2"/>
  <c r="CZ90" i="2"/>
  <c r="CY90" i="2"/>
  <c r="CF90" i="2"/>
  <c r="CE90" i="2"/>
  <c r="DM89" i="2"/>
  <c r="DK89" i="2"/>
  <c r="DJ89" i="2"/>
  <c r="DI89" i="2"/>
  <c r="DH89" i="2"/>
  <c r="DF89" i="2"/>
  <c r="DE89" i="2"/>
  <c r="DD89" i="2"/>
  <c r="DC89" i="2"/>
  <c r="DA89" i="2"/>
  <c r="CZ89" i="2"/>
  <c r="CY89" i="2"/>
  <c r="CF89" i="2"/>
  <c r="BM85" i="2"/>
  <c r="BL85" i="2"/>
  <c r="BK85" i="2"/>
  <c r="BG85" i="2"/>
  <c r="BF85" i="2"/>
  <c r="BE85" i="2"/>
  <c r="BC85" i="2"/>
  <c r="BB85" i="2"/>
  <c r="BA85" i="2"/>
  <c r="AZ85" i="2"/>
  <c r="AR85" i="2"/>
  <c r="AQ85" i="2"/>
  <c r="AP85" i="2"/>
  <c r="AN85" i="2"/>
  <c r="AM85" i="2"/>
  <c r="AL85" i="2"/>
  <c r="AK85" i="2"/>
  <c r="AI85" i="2"/>
  <c r="AH85" i="2"/>
  <c r="AG85" i="2"/>
  <c r="BM84" i="2"/>
  <c r="BL84" i="2"/>
  <c r="BK84" i="2"/>
  <c r="BG84" i="2"/>
  <c r="BF84" i="2"/>
  <c r="BB84" i="2"/>
  <c r="BA84" i="2"/>
  <c r="AV84" i="2"/>
  <c r="AU84" i="2"/>
  <c r="AS84" i="2"/>
  <c r="AR84" i="2"/>
  <c r="AQ84" i="2"/>
  <c r="AP84" i="2"/>
  <c r="AN84" i="2"/>
  <c r="AM84" i="2"/>
  <c r="AL84" i="2"/>
  <c r="AK84" i="2"/>
  <c r="AI84" i="2"/>
  <c r="AH84" i="2"/>
  <c r="AG84" i="2"/>
  <c r="AF84" i="2"/>
  <c r="AD84" i="2"/>
  <c r="AC84" i="2"/>
  <c r="AB84" i="2"/>
  <c r="AA84" i="2"/>
  <c r="Y84" i="2"/>
  <c r="X84" i="2"/>
  <c r="W84" i="2"/>
  <c r="V84" i="2"/>
  <c r="T84" i="2"/>
  <c r="S84" i="2"/>
  <c r="R84" i="2"/>
  <c r="BX80" i="2"/>
  <c r="BW80" i="2"/>
  <c r="BV80" i="2"/>
  <c r="BU80" i="2"/>
  <c r="BT80" i="2"/>
  <c r="BN80" i="2"/>
  <c r="BM80" i="2"/>
  <c r="BL80" i="2"/>
  <c r="BK80" i="2"/>
  <c r="BJ80" i="2"/>
  <c r="BI80" i="2"/>
  <c r="BH80" i="2"/>
  <c r="BG80" i="2"/>
  <c r="BF80" i="2"/>
  <c r="BE80" i="2"/>
  <c r="BD80" i="2"/>
  <c r="BC80" i="2"/>
  <c r="BA80" i="2"/>
  <c r="AZ80" i="2"/>
  <c r="AY80" i="2"/>
  <c r="AX80" i="2"/>
  <c r="AV80" i="2"/>
  <c r="AU80" i="2"/>
  <c r="AT80" i="2"/>
  <c r="AS80" i="2"/>
  <c r="AR80" i="2"/>
  <c r="AQ80" i="2"/>
  <c r="AP80" i="2"/>
  <c r="AO80" i="2"/>
  <c r="AN80" i="2"/>
  <c r="AM80" i="2"/>
  <c r="AL80" i="2"/>
  <c r="AK80" i="2"/>
  <c r="AJ80" i="2"/>
  <c r="AI80" i="2"/>
  <c r="AH80" i="2"/>
  <c r="AG80" i="2"/>
  <c r="AF80" i="2"/>
  <c r="AE80" i="2"/>
  <c r="AD80" i="2"/>
  <c r="AC80" i="2"/>
  <c r="AB80" i="2"/>
  <c r="AA80" i="2"/>
  <c r="Z80" i="2"/>
  <c r="Y80" i="2"/>
  <c r="X80" i="2"/>
  <c r="W80" i="2"/>
  <c r="V80" i="2"/>
  <c r="U80" i="2"/>
  <c r="P80" i="2"/>
  <c r="K80" i="2"/>
  <c r="BX79" i="2"/>
  <c r="BW79" i="2"/>
  <c r="BV79" i="2"/>
  <c r="BU79" i="2"/>
  <c r="BT79" i="2"/>
  <c r="BN79" i="2"/>
  <c r="BM79" i="2"/>
  <c r="BL79" i="2"/>
  <c r="BK79" i="2"/>
  <c r="BJ79" i="2"/>
  <c r="BI79" i="2"/>
  <c r="BH79" i="2"/>
  <c r="BG79" i="2"/>
  <c r="BF79" i="2"/>
  <c r="BE79" i="2"/>
  <c r="BD79" i="2"/>
  <c r="BC79" i="2"/>
  <c r="BA79" i="2"/>
  <c r="AZ79" i="2"/>
  <c r="AY79" i="2"/>
  <c r="AX79" i="2"/>
  <c r="AV79" i="2"/>
  <c r="AU79" i="2"/>
  <c r="AT79" i="2"/>
  <c r="AS79" i="2"/>
  <c r="AR79" i="2"/>
  <c r="AQ79" i="2"/>
  <c r="AP79" i="2"/>
  <c r="AO79" i="2"/>
  <c r="AN79" i="2"/>
  <c r="AM79" i="2"/>
  <c r="AL79" i="2"/>
  <c r="AK79" i="2"/>
  <c r="AJ79" i="2"/>
  <c r="AI79" i="2"/>
  <c r="AH79" i="2"/>
  <c r="AG79" i="2"/>
  <c r="AF79" i="2"/>
  <c r="AE79" i="2"/>
  <c r="AD79" i="2"/>
  <c r="AC79" i="2"/>
  <c r="AB79" i="2"/>
  <c r="AA79" i="2"/>
  <c r="Z79" i="2"/>
  <c r="Y79" i="2"/>
  <c r="X79" i="2"/>
  <c r="W79" i="2"/>
  <c r="V79" i="2"/>
  <c r="U79" i="2"/>
  <c r="P79" i="2"/>
  <c r="K79" i="2"/>
  <c r="A74" i="2"/>
  <c r="A73" i="2"/>
  <c r="DM75" i="2"/>
  <c r="DK75" i="2"/>
  <c r="DI75" i="2"/>
  <c r="DH75" i="2"/>
  <c r="DF75" i="2"/>
  <c r="DD75" i="2"/>
  <c r="DC75" i="2"/>
  <c r="CF75" i="2"/>
  <c r="CE75" i="2"/>
  <c r="BV75" i="2"/>
  <c r="BU75" i="2"/>
  <c r="AI75" i="2"/>
  <c r="AH75" i="2"/>
  <c r="AG75" i="2"/>
  <c r="AF75" i="2"/>
  <c r="AD75" i="2"/>
  <c r="AC75" i="2"/>
  <c r="AB75" i="2"/>
  <c r="AA75" i="2"/>
  <c r="Y75" i="2"/>
  <c r="X75" i="2"/>
  <c r="W75" i="2"/>
  <c r="V75" i="2"/>
  <c r="DM68" i="2"/>
  <c r="DM67" i="2"/>
  <c r="DK67" i="2"/>
  <c r="DJ67" i="2"/>
  <c r="DI67" i="2"/>
  <c r="DH67" i="2"/>
  <c r="DF67" i="2"/>
  <c r="DE67" i="2"/>
  <c r="DD67" i="2"/>
  <c r="DC67" i="2"/>
  <c r="DM66" i="2"/>
  <c r="DK66" i="2"/>
  <c r="DJ66" i="2"/>
  <c r="DI66" i="2"/>
  <c r="DH66" i="2"/>
  <c r="DF66" i="2"/>
  <c r="DE66" i="2"/>
  <c r="DD66" i="2"/>
  <c r="DC66" i="2"/>
  <c r="CC64" i="2"/>
  <c r="CB64" i="2"/>
  <c r="CA64" i="2"/>
  <c r="BZ64" i="2"/>
  <c r="BY64" i="2"/>
  <c r="CN62" i="2"/>
  <c r="BL62" i="2"/>
  <c r="BK62" i="2"/>
  <c r="BJ62" i="2"/>
  <c r="BG62" i="2"/>
  <c r="BF62" i="2"/>
  <c r="BE62" i="2"/>
  <c r="BC62" i="2"/>
  <c r="BA62" i="2"/>
  <c r="AV62" i="2"/>
  <c r="AR62" i="2"/>
  <c r="AQ62" i="2"/>
  <c r="AP62" i="2"/>
  <c r="AN62" i="2"/>
  <c r="AM62" i="2"/>
  <c r="AL62" i="2"/>
  <c r="AK62" i="2"/>
  <c r="BL61" i="2"/>
  <c r="BK61" i="2"/>
  <c r="BJ61" i="2"/>
  <c r="BG61" i="2"/>
  <c r="BF61" i="2"/>
  <c r="BE61" i="2"/>
  <c r="BA61" i="2"/>
  <c r="AZ61" i="2"/>
  <c r="AV61" i="2"/>
  <c r="AU61" i="2"/>
  <c r="AS61" i="2"/>
  <c r="AR61" i="2"/>
  <c r="AQ61" i="2"/>
  <c r="AP61" i="2"/>
  <c r="AN61" i="2"/>
  <c r="AM61" i="2"/>
  <c r="AL61" i="2"/>
  <c r="AK61" i="2"/>
  <c r="AI61" i="2"/>
  <c r="AH61" i="2"/>
  <c r="AG61" i="2"/>
  <c r="AF61" i="2"/>
  <c r="AD61" i="2"/>
  <c r="AC61" i="2"/>
  <c r="AB61" i="2"/>
  <c r="AA61" i="2"/>
  <c r="Y61" i="2"/>
  <c r="X61" i="2"/>
  <c r="W61" i="2"/>
  <c r="V61" i="2"/>
  <c r="P61" i="2"/>
  <c r="K61" i="2"/>
  <c r="EK59" i="2"/>
  <c r="DV59" i="2"/>
  <c r="DQ59" i="2"/>
  <c r="DP59" i="2"/>
  <c r="DO59" i="2"/>
  <c r="DN59" i="2"/>
  <c r="DM59" i="2"/>
  <c r="DL59" i="2"/>
  <c r="DK59" i="2"/>
  <c r="DJ59" i="2"/>
  <c r="DI59" i="2"/>
  <c r="DH59" i="2"/>
  <c r="DG59" i="2"/>
  <c r="DF59" i="2"/>
  <c r="DE59" i="2"/>
  <c r="DD59" i="2"/>
  <c r="DC59" i="2"/>
  <c r="DB59" i="2"/>
  <c r="DA59" i="2"/>
  <c r="CZ59" i="2"/>
  <c r="CY59" i="2"/>
  <c r="CX59" i="2"/>
  <c r="CW59" i="2"/>
  <c r="CV59" i="2"/>
  <c r="CU59" i="2"/>
  <c r="CT59" i="2"/>
  <c r="CS59" i="2"/>
  <c r="CR59" i="2"/>
  <c r="CQ59" i="2"/>
  <c r="CP59" i="2"/>
  <c r="CO59" i="2"/>
  <c r="CN59" i="2"/>
  <c r="CM59" i="2"/>
  <c r="CL59" i="2"/>
  <c r="CK59" i="2"/>
  <c r="CJ59" i="2"/>
  <c r="CI59" i="2"/>
  <c r="CH59" i="2"/>
  <c r="CG59" i="2"/>
  <c r="CF59" i="2"/>
  <c r="CE59" i="2"/>
  <c r="CD59" i="2"/>
  <c r="CC59" i="2"/>
  <c r="CB59" i="2"/>
  <c r="CA59" i="2"/>
  <c r="BZ59" i="2"/>
  <c r="BY59" i="2"/>
  <c r="BX59" i="2"/>
  <c r="BW59" i="2"/>
  <c r="BV59" i="2"/>
  <c r="BU59" i="2"/>
  <c r="BT59" i="2"/>
  <c r="BS59" i="2"/>
  <c r="BR59" i="2"/>
  <c r="BQ59" i="2"/>
  <c r="BP59" i="2"/>
  <c r="BO59" i="2"/>
  <c r="BN59" i="2"/>
  <c r="BM59" i="2"/>
  <c r="BL59" i="2"/>
  <c r="BK59" i="2"/>
  <c r="BJ59" i="2"/>
  <c r="BI59" i="2"/>
  <c r="BH59" i="2"/>
  <c r="BG59" i="2"/>
  <c r="BF59" i="2"/>
  <c r="BE59" i="2"/>
  <c r="BD59" i="2"/>
  <c r="BC59" i="2"/>
  <c r="BB59" i="2"/>
  <c r="BA59" i="2"/>
  <c r="AZ59" i="2"/>
  <c r="AY59" i="2"/>
  <c r="AX59" i="2"/>
  <c r="AV59" i="2"/>
  <c r="AU59" i="2"/>
  <c r="AT59" i="2"/>
  <c r="AS59" i="2"/>
  <c r="AR59" i="2"/>
  <c r="AQ59" i="2"/>
  <c r="AP59" i="2"/>
  <c r="AO59" i="2"/>
  <c r="AN59" i="2"/>
  <c r="AM59" i="2"/>
  <c r="AL59" i="2"/>
  <c r="AK59" i="2"/>
  <c r="AJ59" i="2"/>
  <c r="AI59" i="2"/>
  <c r="AH59" i="2"/>
  <c r="AG59" i="2"/>
  <c r="AF59" i="2"/>
  <c r="AE59" i="2"/>
  <c r="AD59" i="2"/>
  <c r="AC59" i="2"/>
  <c r="AB59" i="2"/>
  <c r="AA59" i="2"/>
  <c r="Z59" i="2"/>
  <c r="Y59" i="2"/>
  <c r="X59" i="2"/>
  <c r="W59" i="2"/>
  <c r="V59" i="2"/>
  <c r="U59" i="2"/>
  <c r="T59" i="2"/>
  <c r="S59" i="2"/>
  <c r="R59" i="2"/>
  <c r="Q59" i="2"/>
  <c r="P59" i="2"/>
  <c r="O59" i="2"/>
  <c r="N59" i="2"/>
  <c r="M59" i="2"/>
  <c r="L59" i="2"/>
  <c r="K59" i="2"/>
  <c r="J59" i="2"/>
  <c r="I59" i="2"/>
  <c r="H59" i="2"/>
  <c r="G59" i="2"/>
  <c r="F59" i="2"/>
  <c r="E59" i="2"/>
  <c r="D59" i="2"/>
  <c r="C59" i="2"/>
  <c r="B59" i="2"/>
  <c r="DM56" i="2"/>
  <c r="DK56" i="2"/>
  <c r="DJ56" i="2"/>
  <c r="DI56" i="2"/>
  <c r="DH56" i="2"/>
  <c r="DF56" i="2"/>
  <c r="DD56" i="2"/>
  <c r="DC56" i="2"/>
  <c r="DA56" i="2"/>
  <c r="CZ56" i="2"/>
  <c r="CY56" i="2"/>
  <c r="CX56" i="2"/>
  <c r="CF56" i="2"/>
  <c r="CE56" i="2"/>
  <c r="BW56" i="2"/>
  <c r="BV56" i="2"/>
  <c r="BU56" i="2"/>
  <c r="BT56" i="2"/>
  <c r="BL56" i="2"/>
  <c r="BK56" i="2"/>
  <c r="AI56" i="2"/>
  <c r="AH56" i="2"/>
  <c r="AG56" i="2"/>
  <c r="AF56" i="2"/>
  <c r="AD56" i="2"/>
  <c r="AC56" i="2"/>
  <c r="AB56" i="2"/>
  <c r="AA56" i="2"/>
  <c r="Y56" i="2"/>
  <c r="X56" i="2"/>
  <c r="W56" i="2"/>
  <c r="V56" i="2"/>
  <c r="T56" i="2"/>
  <c r="S56" i="2"/>
  <c r="R56" i="2"/>
  <c r="Q56" i="2"/>
  <c r="P56" i="2"/>
  <c r="DM55" i="2"/>
  <c r="DK55" i="2"/>
  <c r="DJ55" i="2"/>
  <c r="DI55" i="2"/>
  <c r="DH55" i="2"/>
  <c r="DF55" i="2"/>
  <c r="DE55" i="2"/>
  <c r="DD55" i="2"/>
  <c r="DC55" i="2"/>
  <c r="DA55" i="2"/>
  <c r="CZ55" i="2"/>
  <c r="CY55" i="2"/>
  <c r="CX55" i="2"/>
  <c r="CV55" i="2"/>
  <c r="CU55" i="2"/>
  <c r="CT55" i="2"/>
  <c r="CS55" i="2"/>
  <c r="CQ55" i="2"/>
  <c r="CP55" i="2"/>
  <c r="CO55" i="2"/>
  <c r="CN55" i="2"/>
  <c r="CL55" i="2"/>
  <c r="CK55" i="2"/>
  <c r="CJ55" i="2"/>
  <c r="CI55" i="2"/>
  <c r="CG55" i="2"/>
  <c r="CF55" i="2"/>
  <c r="CE55" i="2"/>
  <c r="CD55" i="2"/>
  <c r="BW55" i="2"/>
  <c r="BV55" i="2"/>
  <c r="BU55" i="2"/>
  <c r="BT55" i="2"/>
  <c r="BM55" i="2"/>
  <c r="BL55" i="2"/>
  <c r="BJ55" i="2"/>
  <c r="BH55" i="2"/>
  <c r="BG55" i="2"/>
  <c r="BF55" i="2"/>
  <c r="BE55" i="2"/>
  <c r="BC55" i="2"/>
  <c r="BB55" i="2"/>
  <c r="BA55" i="2"/>
  <c r="AZ55" i="2"/>
  <c r="AX55" i="2"/>
  <c r="AW55" i="2"/>
  <c r="AV55" i="2"/>
  <c r="AU55" i="2"/>
  <c r="AP55" i="2"/>
  <c r="AK55" i="2"/>
  <c r="AF55" i="2"/>
  <c r="AA55" i="2"/>
  <c r="Z55" i="2"/>
  <c r="E22" i="113" s="1"/>
  <c r="V55" i="2"/>
  <c r="U55" i="2"/>
  <c r="D22" i="113" s="1"/>
  <c r="P55" i="2"/>
  <c r="C22" i="113" s="1"/>
  <c r="C36" i="113" s="1"/>
  <c r="DM52" i="2"/>
  <c r="DK52" i="2"/>
  <c r="DJ52" i="2"/>
  <c r="DI52" i="2"/>
  <c r="DH52" i="2"/>
  <c r="DF52" i="2"/>
  <c r="DE52" i="2"/>
  <c r="DD52" i="2"/>
  <c r="DC52" i="2"/>
  <c r="CZ52" i="2"/>
  <c r="CY52" i="2"/>
  <c r="CX52" i="2"/>
  <c r="CV52" i="2"/>
  <c r="CU52" i="2"/>
  <c r="CT52" i="2"/>
  <c r="CS52" i="2"/>
  <c r="CQ52" i="2"/>
  <c r="CP52" i="2"/>
  <c r="CO52" i="2"/>
  <c r="CN52" i="2"/>
  <c r="CM52" i="2"/>
  <c r="CL52" i="2"/>
  <c r="CK52" i="2"/>
  <c r="CJ52" i="2"/>
  <c r="CI52" i="2"/>
  <c r="CH52" i="2"/>
  <c r="CG52" i="2"/>
  <c r="CF52" i="2"/>
  <c r="CE52" i="2"/>
  <c r="CD52" i="2"/>
  <c r="BW52" i="2"/>
  <c r="BV52" i="2"/>
  <c r="BU52" i="2"/>
  <c r="BT52" i="2"/>
  <c r="BM52" i="2"/>
  <c r="BL52" i="2"/>
  <c r="BK52" i="2"/>
  <c r="BJ52" i="2"/>
  <c r="BH52" i="2"/>
  <c r="AW76" i="7" s="1"/>
  <c r="BG52" i="2"/>
  <c r="BF52" i="2"/>
  <c r="BE52" i="2"/>
  <c r="BC52" i="2"/>
  <c r="BB52" i="2"/>
  <c r="BA52" i="2"/>
  <c r="AZ52" i="2"/>
  <c r="AX52" i="2"/>
  <c r="AV52" i="2"/>
  <c r="AU52" i="2"/>
  <c r="AS52" i="2"/>
  <c r="AR52" i="2"/>
  <c r="AQ52" i="2"/>
  <c r="AP52" i="2"/>
  <c r="AN52" i="2"/>
  <c r="AM52" i="2"/>
  <c r="AL52" i="2"/>
  <c r="AK52" i="2"/>
  <c r="AI52" i="2"/>
  <c r="AH52" i="2"/>
  <c r="AG52" i="2"/>
  <c r="AF52" i="2"/>
  <c r="AD52" i="2"/>
  <c r="AC52" i="2"/>
  <c r="AB52" i="2"/>
  <c r="AA52" i="2"/>
  <c r="Z52" i="2"/>
  <c r="Y52" i="2"/>
  <c r="X52" i="2"/>
  <c r="W52" i="2"/>
  <c r="V52" i="2"/>
  <c r="U52" i="2"/>
  <c r="T52" i="2"/>
  <c r="S52" i="2"/>
  <c r="R52" i="2"/>
  <c r="Q52" i="2"/>
  <c r="P52" i="2"/>
  <c r="K52" i="2"/>
  <c r="F52" i="2"/>
  <c r="A52" i="2"/>
  <c r="CU49" i="2"/>
  <c r="CT49" i="2"/>
  <c r="CS49" i="2"/>
  <c r="CQ49" i="2"/>
  <c r="CP49" i="2"/>
  <c r="CO49" i="2"/>
  <c r="CN49" i="2"/>
  <c r="CL49" i="2"/>
  <c r="CK49" i="2"/>
  <c r="CJ49" i="2"/>
  <c r="CI49" i="2"/>
  <c r="CG49" i="2"/>
  <c r="CF49" i="2"/>
  <c r="CE49" i="2"/>
  <c r="CD49" i="2"/>
  <c r="BW49" i="2"/>
  <c r="BV49" i="2"/>
  <c r="BU49" i="2"/>
  <c r="CU48" i="2"/>
  <c r="CW48" i="2" s="1"/>
  <c r="CR48" i="2"/>
  <c r="CM48" i="2"/>
  <c r="CG48" i="2"/>
  <c r="CF48" i="2"/>
  <c r="BW48" i="2"/>
  <c r="BV48" i="2"/>
  <c r="BU48" i="2"/>
  <c r="BN48" i="2"/>
  <c r="BI48" i="2"/>
  <c r="BD48" i="2"/>
  <c r="AX48" i="2"/>
  <c r="AW48" i="2"/>
  <c r="AV48" i="2"/>
  <c r="AT48" i="2"/>
  <c r="AN48" i="2"/>
  <c r="AL48" i="2"/>
  <c r="AK48" i="2"/>
  <c r="AI48" i="2"/>
  <c r="Z48" i="2"/>
  <c r="U48" i="2"/>
  <c r="DM47" i="2"/>
  <c r="DK47" i="2"/>
  <c r="DJ47" i="2"/>
  <c r="DI47" i="2"/>
  <c r="DH47" i="2"/>
  <c r="DF47" i="2"/>
  <c r="DE47" i="2"/>
  <c r="CY47" i="2"/>
  <c r="CW47" i="2"/>
  <c r="CR47" i="2"/>
  <c r="CM47" i="2"/>
  <c r="BM47" i="2"/>
  <c r="BL47" i="2"/>
  <c r="BK47" i="2"/>
  <c r="BJ47" i="2"/>
  <c r="BH47" i="2"/>
  <c r="BG47" i="2"/>
  <c r="BF47" i="2"/>
  <c r="BE47" i="2"/>
  <c r="BC47" i="2"/>
  <c r="BB47" i="2"/>
  <c r="BA47" i="2"/>
  <c r="AZ47" i="2"/>
  <c r="AX47" i="2"/>
  <c r="AT47" i="2"/>
  <c r="AN47" i="2"/>
  <c r="AK47" i="2"/>
  <c r="AI47" i="2"/>
  <c r="AD47" i="2"/>
  <c r="AC47" i="2"/>
  <c r="Z47" i="2"/>
  <c r="U47" i="2"/>
  <c r="DM46" i="2"/>
  <c r="DK46" i="2"/>
  <c r="DJ46" i="2"/>
  <c r="DI46" i="2"/>
  <c r="DH46" i="2"/>
  <c r="DF46" i="2"/>
  <c r="DD46" i="2"/>
  <c r="DC46" i="2"/>
  <c r="DA46" i="2"/>
  <c r="CZ46" i="2"/>
  <c r="CY46" i="2"/>
  <c r="CX46" i="2"/>
  <c r="BW46" i="2"/>
  <c r="BV46" i="2"/>
  <c r="BU46" i="2"/>
  <c r="BT46" i="2"/>
  <c r="BL46" i="2"/>
  <c r="BK46" i="2"/>
  <c r="AI46" i="2"/>
  <c r="AH46" i="2"/>
  <c r="AG46" i="2"/>
  <c r="AF46" i="2"/>
  <c r="AD46" i="2"/>
  <c r="AC46" i="2"/>
  <c r="AB46" i="2"/>
  <c r="AA46" i="2"/>
  <c r="Y46" i="2"/>
  <c r="X46" i="2"/>
  <c r="W46" i="2"/>
  <c r="V46" i="2"/>
  <c r="T46" i="2"/>
  <c r="S46" i="2"/>
  <c r="R46" i="2"/>
  <c r="Q46" i="2"/>
  <c r="P46" i="2"/>
  <c r="K46" i="2"/>
  <c r="F46" i="2"/>
  <c r="DP41" i="2"/>
  <c r="DO41" i="2"/>
  <c r="DN41" i="2"/>
  <c r="DM41" i="2"/>
  <c r="DI41" i="2"/>
  <c r="CX41" i="2"/>
  <c r="CV41" i="2"/>
  <c r="CU41" i="2"/>
  <c r="CT41" i="2"/>
  <c r="CS41" i="2"/>
  <c r="CQ41" i="2"/>
  <c r="CP41" i="2"/>
  <c r="CO41" i="2"/>
  <c r="CN41" i="2"/>
  <c r="CJ41" i="2"/>
  <c r="CI41" i="2"/>
  <c r="CG41" i="2"/>
  <c r="CF41" i="2"/>
  <c r="CE41" i="2"/>
  <c r="CD41" i="2"/>
  <c r="DL38" i="2"/>
  <c r="DG38" i="2"/>
  <c r="CR38" i="2"/>
  <c r="BX38" i="2"/>
  <c r="BN38" i="2"/>
  <c r="BI38" i="2"/>
  <c r="BD38" i="2"/>
  <c r="AY38" i="2"/>
  <c r="AT38" i="2"/>
  <c r="AO38" i="2"/>
  <c r="AJ38" i="2"/>
  <c r="AE38" i="2"/>
  <c r="DB35" i="2"/>
  <c r="CW35" i="2"/>
  <c r="CR35" i="2"/>
  <c r="DL33" i="2"/>
  <c r="DG33" i="2"/>
  <c r="DB33" i="2"/>
  <c r="CW33" i="2"/>
  <c r="BN33" i="2"/>
  <c r="BI33" i="2"/>
  <c r="BA33" i="2"/>
  <c r="AX33" i="2"/>
  <c r="AW33" i="2"/>
  <c r="AT33" i="2"/>
  <c r="AO33" i="2"/>
  <c r="AJ33" i="2"/>
  <c r="AD33" i="2"/>
  <c r="AC33" i="2"/>
  <c r="Z33" i="2"/>
  <c r="U33" i="2"/>
  <c r="DG31" i="2"/>
  <c r="DB31" i="2"/>
  <c r="CW31" i="2"/>
  <c r="CQ31" i="2"/>
  <c r="CP31" i="2"/>
  <c r="CL31" i="2"/>
  <c r="CK31" i="2"/>
  <c r="BI31" i="2"/>
  <c r="BD31" i="2"/>
  <c r="AY31" i="2"/>
  <c r="AT31" i="2"/>
  <c r="AO31" i="2"/>
  <c r="AJ31" i="2"/>
  <c r="AE31" i="2"/>
  <c r="Z31" i="2"/>
  <c r="U31" i="2"/>
  <c r="DL30" i="2"/>
  <c r="DF30" i="2"/>
  <c r="DE30" i="2"/>
  <c r="DD30" i="2"/>
  <c r="DB30" i="2"/>
  <c r="CW30" i="2"/>
  <c r="CR30" i="2"/>
  <c r="CM30" i="2"/>
  <c r="BN30" i="2"/>
  <c r="BI30" i="2"/>
  <c r="BD30" i="2"/>
  <c r="AX30" i="2"/>
  <c r="AT30" i="2"/>
  <c r="AL30" i="2"/>
  <c r="AJ30" i="2"/>
  <c r="AE30" i="2"/>
  <c r="Z30" i="2"/>
  <c r="U30" i="2"/>
  <c r="DI26" i="2"/>
  <c r="DA26" i="2"/>
  <c r="CZ26" i="2"/>
  <c r="CY26" i="2"/>
  <c r="CX26" i="2"/>
  <c r="CF26" i="2"/>
  <c r="CE26" i="2"/>
  <c r="BW26" i="2"/>
  <c r="BV26" i="2"/>
  <c r="BU26" i="2"/>
  <c r="BT26" i="2"/>
  <c r="BS26" i="2"/>
  <c r="BR26" i="2"/>
  <c r="BQ26" i="2"/>
  <c r="BP26" i="2"/>
  <c r="BO26" i="2"/>
  <c r="Y26" i="2"/>
  <c r="X26" i="2"/>
  <c r="W26" i="2"/>
  <c r="V26" i="2"/>
  <c r="T26" i="2"/>
  <c r="S26" i="2"/>
  <c r="R26" i="2"/>
  <c r="Q26" i="2"/>
  <c r="DQ25" i="2"/>
  <c r="DL25" i="2"/>
  <c r="DD25" i="2"/>
  <c r="DB25" i="2"/>
  <c r="DB264" i="2" s="1"/>
  <c r="DB320" i="2" s="1"/>
  <c r="CW25" i="2"/>
  <c r="CW264" i="2" s="1"/>
  <c r="CW320" i="2" s="1"/>
  <c r="CR25" i="2"/>
  <c r="CR264" i="2" s="1"/>
  <c r="CR320" i="2" s="1"/>
  <c r="CL25" i="2"/>
  <c r="CL264" i="2" s="1"/>
  <c r="CL320" i="2" s="1"/>
  <c r="DL24" i="2"/>
  <c r="DE24" i="2"/>
  <c r="DB24" i="2"/>
  <c r="CV24" i="2"/>
  <c r="CU24" i="2"/>
  <c r="CT24" i="2"/>
  <c r="CS24" i="2"/>
  <c r="CQ24" i="2"/>
  <c r="CP24" i="2"/>
  <c r="CO24" i="2"/>
  <c r="CN24" i="2"/>
  <c r="CL24" i="2"/>
  <c r="CK24" i="2"/>
  <c r="CJ24" i="2"/>
  <c r="CI24" i="2"/>
  <c r="CH24" i="2"/>
  <c r="CH330" i="1" s="1"/>
  <c r="CG24" i="2"/>
  <c r="BX24" i="2"/>
  <c r="BM24" i="2"/>
  <c r="BJ24" i="2"/>
  <c r="BH24" i="2"/>
  <c r="BG24" i="2"/>
  <c r="BF24" i="2"/>
  <c r="BE24" i="2"/>
  <c r="BC24" i="2"/>
  <c r="BB24" i="2"/>
  <c r="BA24" i="2"/>
  <c r="AZ24" i="2"/>
  <c r="AX24" i="2"/>
  <c r="AW24" i="2"/>
  <c r="AV24" i="2"/>
  <c r="AU24" i="2"/>
  <c r="AS24" i="2"/>
  <c r="AR24" i="2"/>
  <c r="AQ24" i="2"/>
  <c r="AP24" i="2"/>
  <c r="AN24" i="2"/>
  <c r="AM24" i="2"/>
  <c r="AL24" i="2"/>
  <c r="AK24" i="2"/>
  <c r="AJ24" i="2"/>
  <c r="AE24" i="2"/>
  <c r="Z24" i="2"/>
  <c r="U24" i="2"/>
  <c r="DF23" i="2"/>
  <c r="DE23" i="2"/>
  <c r="DD23" i="2"/>
  <c r="DC23" i="2"/>
  <c r="DB23" i="2"/>
  <c r="CW22" i="2"/>
  <c r="CR22" i="2"/>
  <c r="CM22" i="2"/>
  <c r="CF22" i="2"/>
  <c r="CE22" i="2"/>
  <c r="CD22" i="2"/>
  <c r="A22" i="2"/>
  <c r="CV21" i="2"/>
  <c r="CV23" i="2" s="1"/>
  <c r="CU21" i="2"/>
  <c r="CU23" i="2" s="1"/>
  <c r="CT21" i="2"/>
  <c r="CT23" i="2" s="1"/>
  <c r="CS21" i="2"/>
  <c r="CQ21" i="2"/>
  <c r="CQ23" i="2" s="1"/>
  <c r="CP21" i="2"/>
  <c r="CP23" i="2" s="1"/>
  <c r="CO21" i="2"/>
  <c r="CO23" i="2" s="1"/>
  <c r="CN21" i="2"/>
  <c r="CN23" i="2" s="1"/>
  <c r="CL21" i="2"/>
  <c r="CL23" i="2" s="1"/>
  <c r="CK21" i="2"/>
  <c r="CJ21" i="2"/>
  <c r="CJ23" i="2" s="1"/>
  <c r="CI21" i="2"/>
  <c r="CI23" i="2" s="1"/>
  <c r="CH21" i="2"/>
  <c r="CG21" i="2"/>
  <c r="CG23" i="2" s="1"/>
  <c r="BX21" i="2"/>
  <c r="BM21" i="2"/>
  <c r="BM23" i="2" s="1"/>
  <c r="BL21" i="2"/>
  <c r="BL23" i="2" s="1"/>
  <c r="BK21" i="2"/>
  <c r="BK23" i="2" s="1"/>
  <c r="BJ21" i="2"/>
  <c r="BJ23" i="2" s="1"/>
  <c r="BH21" i="2"/>
  <c r="BH23" i="2" s="1"/>
  <c r="BG21" i="2"/>
  <c r="BG23" i="2" s="1"/>
  <c r="BF21" i="2"/>
  <c r="BF23" i="2" s="1"/>
  <c r="BE21" i="2"/>
  <c r="BE23" i="2" s="1"/>
  <c r="BC21" i="2"/>
  <c r="BC23" i="2" s="1"/>
  <c r="BB21" i="2"/>
  <c r="BA21" i="2"/>
  <c r="BA23" i="2" s="1"/>
  <c r="AZ21" i="2"/>
  <c r="AZ23" i="2" s="1"/>
  <c r="AX21" i="2"/>
  <c r="AX23" i="2" s="1"/>
  <c r="AW21" i="2"/>
  <c r="AV21" i="2"/>
  <c r="AV23" i="2" s="1"/>
  <c r="AU21" i="2"/>
  <c r="AU23" i="2" s="1"/>
  <c r="AS21" i="2"/>
  <c r="AS23" i="2" s="1"/>
  <c r="AR21" i="2"/>
  <c r="AR23" i="2" s="1"/>
  <c r="AQ21" i="2"/>
  <c r="AQ23" i="2" s="1"/>
  <c r="AP21" i="2"/>
  <c r="AP23" i="2" s="1"/>
  <c r="AN21" i="2"/>
  <c r="AM21" i="2"/>
  <c r="AL21" i="2"/>
  <c r="AK21" i="2"/>
  <c r="AJ21" i="2"/>
  <c r="AE21" i="2"/>
  <c r="Z21" i="2"/>
  <c r="U21" i="2"/>
  <c r="DL20" i="2"/>
  <c r="DG20" i="2"/>
  <c r="DB20" i="2"/>
  <c r="CW19" i="2"/>
  <c r="CR19" i="2"/>
  <c r="CM19" i="2"/>
  <c r="CF19" i="2"/>
  <c r="CE19" i="2"/>
  <c r="CD19" i="2"/>
  <c r="A19" i="2"/>
  <c r="CV18" i="2"/>
  <c r="CU18" i="2"/>
  <c r="CU20" i="2" s="1"/>
  <c r="CT18" i="2"/>
  <c r="CS18" i="2"/>
  <c r="CS20" i="2" s="1"/>
  <c r="CQ18" i="2"/>
  <c r="CP18" i="2"/>
  <c r="CP20" i="2" s="1"/>
  <c r="CO18" i="2"/>
  <c r="CN18" i="2"/>
  <c r="CL18" i="2"/>
  <c r="CK18" i="2"/>
  <c r="CK20" i="2" s="1"/>
  <c r="CJ18" i="2"/>
  <c r="CJ20" i="2" s="1"/>
  <c r="CI18" i="2"/>
  <c r="CI20" i="2" s="1"/>
  <c r="CH18" i="2"/>
  <c r="CG18" i="2"/>
  <c r="BX18" i="2"/>
  <c r="BM18" i="2"/>
  <c r="BL18" i="2"/>
  <c r="BK18" i="2"/>
  <c r="BJ18" i="2"/>
  <c r="BH18" i="2"/>
  <c r="BG18" i="2"/>
  <c r="BF18" i="2"/>
  <c r="BE18" i="2"/>
  <c r="BC18" i="2"/>
  <c r="BB18" i="2"/>
  <c r="BA18" i="2"/>
  <c r="AZ18" i="2"/>
  <c r="AX18" i="2"/>
  <c r="AW18" i="2"/>
  <c r="AV18" i="2"/>
  <c r="AU18" i="2"/>
  <c r="AS18" i="2"/>
  <c r="AR18" i="2"/>
  <c r="AQ18" i="2"/>
  <c r="AP18" i="2"/>
  <c r="AJ18" i="2"/>
  <c r="AE18" i="2"/>
  <c r="Z18" i="2"/>
  <c r="U18" i="2"/>
  <c r="DL17" i="2"/>
  <c r="DG17" i="2"/>
  <c r="DB17" i="2"/>
  <c r="CD17" i="2"/>
  <c r="CW16" i="2"/>
  <c r="CR16" i="2"/>
  <c r="CF16" i="2"/>
  <c r="CE16" i="2"/>
  <c r="A16" i="2"/>
  <c r="CV15" i="2"/>
  <c r="CV17" i="2" s="1"/>
  <c r="CU15" i="2"/>
  <c r="CT15" i="2"/>
  <c r="CT17" i="2" s="1"/>
  <c r="CS15" i="2"/>
  <c r="CS17" i="2" s="1"/>
  <c r="CQ15" i="2"/>
  <c r="CQ17" i="2" s="1"/>
  <c r="CP15" i="2"/>
  <c r="CP17" i="2" s="1"/>
  <c r="CO15" i="2"/>
  <c r="CO17" i="2" s="1"/>
  <c r="CN15" i="2"/>
  <c r="CN17" i="2" s="1"/>
  <c r="CL15" i="2"/>
  <c r="CL17" i="2" s="1"/>
  <c r="CK15" i="2"/>
  <c r="CK17" i="2" s="1"/>
  <c r="CJ15" i="2"/>
  <c r="CJ17" i="2" s="1"/>
  <c r="CI15" i="2"/>
  <c r="CI17" i="2" s="1"/>
  <c r="CH15" i="2"/>
  <c r="CG15" i="2"/>
  <c r="CG17" i="2" s="1"/>
  <c r="BX15" i="2"/>
  <c r="BM15" i="2"/>
  <c r="BL15" i="2"/>
  <c r="BK15" i="2"/>
  <c r="BJ15" i="2"/>
  <c r="BH15" i="2"/>
  <c r="BG15" i="2"/>
  <c r="BF15" i="2"/>
  <c r="BE15" i="2"/>
  <c r="BC15" i="2"/>
  <c r="BB15" i="2"/>
  <c r="BA15" i="2"/>
  <c r="AZ15" i="2"/>
  <c r="AX15" i="2"/>
  <c r="AW15" i="2"/>
  <c r="AV15" i="2"/>
  <c r="AU15" i="2"/>
  <c r="AS15" i="2"/>
  <c r="AR15" i="2"/>
  <c r="AQ15" i="2"/>
  <c r="AP15" i="2"/>
  <c r="AN15" i="2"/>
  <c r="AM15" i="2"/>
  <c r="AL15" i="2"/>
  <c r="AK15" i="2"/>
  <c r="AH15" i="2"/>
  <c r="AE15" i="2"/>
  <c r="Z15" i="2"/>
  <c r="U15" i="2"/>
  <c r="CB12" i="2"/>
  <c r="CA12" i="2"/>
  <c r="BZ12" i="2"/>
  <c r="BY12" i="2"/>
  <c r="N11" i="113"/>
  <c r="CW11" i="2"/>
  <c r="CR11" i="2"/>
  <c r="A11" i="2"/>
  <c r="CN10" i="2"/>
  <c r="CI10" i="2"/>
  <c r="BX10" i="2"/>
  <c r="BM10" i="2"/>
  <c r="BL10" i="2"/>
  <c r="BK10" i="2"/>
  <c r="BJ10" i="2"/>
  <c r="BG10" i="2"/>
  <c r="BF10" i="2"/>
  <c r="BE10" i="2"/>
  <c r="BC10" i="2"/>
  <c r="BB10" i="2"/>
  <c r="BA10" i="2"/>
  <c r="AZ10" i="2"/>
  <c r="AX10" i="2"/>
  <c r="AW10" i="2"/>
  <c r="AV10" i="2"/>
  <c r="AU10" i="2"/>
  <c r="AN10" i="2"/>
  <c r="AM10" i="2"/>
  <c r="AL10" i="2"/>
  <c r="AK10" i="2"/>
  <c r="AH10" i="2"/>
  <c r="AG10" i="2"/>
  <c r="P10" i="2"/>
  <c r="K10" i="2"/>
  <c r="F10" i="2"/>
  <c r="BM9" i="2"/>
  <c r="BL9" i="2"/>
  <c r="BK9" i="2"/>
  <c r="BJ9" i="2"/>
  <c r="BG9" i="2"/>
  <c r="BF9" i="2"/>
  <c r="BE9" i="2"/>
  <c r="BB9" i="2"/>
  <c r="BA9" i="2"/>
  <c r="AZ9" i="2"/>
  <c r="AV9" i="2"/>
  <c r="AR9" i="2"/>
  <c r="AQ9" i="2"/>
  <c r="AP9" i="2"/>
  <c r="AN9" i="2"/>
  <c r="AM9" i="2"/>
  <c r="AL9" i="2"/>
  <c r="AK9" i="2"/>
  <c r="AI9" i="2"/>
  <c r="AH9" i="2"/>
  <c r="AG9" i="2"/>
  <c r="AF9" i="2"/>
  <c r="P9" i="2"/>
  <c r="K9" i="2"/>
  <c r="F9" i="2"/>
  <c r="DM8" i="2"/>
  <c r="DK8" i="2"/>
  <c r="DJ8" i="2"/>
  <c r="DI8" i="2"/>
  <c r="DH8" i="2"/>
  <c r="DF8" i="2"/>
  <c r="DE8" i="2"/>
  <c r="DD8" i="2"/>
  <c r="DC8" i="2"/>
  <c r="DA8" i="2"/>
  <c r="CZ8" i="2"/>
  <c r="CY8" i="2"/>
  <c r="CX8" i="2"/>
  <c r="CV8" i="2"/>
  <c r="CU8" i="2"/>
  <c r="CT8" i="2"/>
  <c r="CS8" i="2"/>
  <c r="CQ8" i="2"/>
  <c r="CP8" i="2"/>
  <c r="CO8" i="2"/>
  <c r="CL8" i="2"/>
  <c r="CK8" i="2"/>
  <c r="CJ8" i="2"/>
  <c r="CG8" i="2"/>
  <c r="CF8" i="2"/>
  <c r="CE8" i="2"/>
  <c r="CD8" i="2"/>
  <c r="BW8" i="2"/>
  <c r="BV8" i="2"/>
  <c r="BU8" i="2"/>
  <c r="BT8" i="2"/>
  <c r="BN8" i="2"/>
  <c r="BH8" i="2"/>
  <c r="BD8" i="2"/>
  <c r="AU8" i="2"/>
  <c r="AS8" i="2"/>
  <c r="AO8" i="2"/>
  <c r="AJ8" i="2"/>
  <c r="CC7" i="2"/>
  <c r="CB7" i="2"/>
  <c r="CA7" i="2"/>
  <c r="BZ7" i="2"/>
  <c r="BY7" i="2"/>
  <c r="BN7" i="2"/>
  <c r="BH7" i="2"/>
  <c r="BI7" i="2" s="1"/>
  <c r="BC7" i="2"/>
  <c r="BD7" i="2" s="1"/>
  <c r="AX7" i="2"/>
  <c r="AT7" i="2"/>
  <c r="AO7" i="2"/>
  <c r="AJ7" i="2"/>
  <c r="AE7" i="2"/>
  <c r="U7" i="2"/>
  <c r="AW16" i="7" l="1"/>
  <c r="AW84" i="7"/>
  <c r="AW88" i="7" s="1"/>
  <c r="AW85" i="7" s="1"/>
  <c r="DD317" i="82"/>
  <c r="DD264" i="2"/>
  <c r="DD320" i="2" s="1"/>
  <c r="CH148" i="1"/>
  <c r="BB125" i="1"/>
  <c r="AW476" i="1"/>
  <c r="AW586" i="1"/>
  <c r="AW125" i="1"/>
  <c r="AS422" i="1"/>
  <c r="AW411" i="1"/>
  <c r="AW478" i="1"/>
  <c r="AW126" i="1"/>
  <c r="AX126" i="1"/>
  <c r="BB12" i="2"/>
  <c r="BB340" i="2"/>
  <c r="BE17" i="2"/>
  <c r="AU20" i="2"/>
  <c r="BE20" i="2"/>
  <c r="AN22" i="2"/>
  <c r="AL12" i="2"/>
  <c r="AX330" i="1"/>
  <c r="BF17" i="2"/>
  <c r="AV20" i="2"/>
  <c r="BF20" i="2"/>
  <c r="AH26" i="2"/>
  <c r="AS20" i="2"/>
  <c r="BB339" i="2"/>
  <c r="BB63" i="2"/>
  <c r="AU12" i="2"/>
  <c r="BE12" i="2"/>
  <c r="AW385" i="2"/>
  <c r="AW342" i="2"/>
  <c r="AW17" i="2"/>
  <c r="AW26" i="2"/>
  <c r="AW378" i="2"/>
  <c r="BG17" i="2"/>
  <c r="AW343" i="2"/>
  <c r="AW20" i="2"/>
  <c r="AW386" i="2"/>
  <c r="AW379" i="2"/>
  <c r="BG20" i="2"/>
  <c r="BB345" i="2"/>
  <c r="BB75" i="2"/>
  <c r="BM17" i="2"/>
  <c r="BC20" i="2"/>
  <c r="AM22" i="2"/>
  <c r="AX92" i="2"/>
  <c r="AV12" i="2"/>
  <c r="BF12" i="2"/>
  <c r="BH17" i="2"/>
  <c r="AX20" i="2"/>
  <c r="BH20" i="2"/>
  <c r="BB23" i="2"/>
  <c r="BB344" i="2"/>
  <c r="BM20" i="2"/>
  <c r="AW387" i="2"/>
  <c r="AW344" i="2"/>
  <c r="AW23" i="2"/>
  <c r="AW380" i="2"/>
  <c r="AW384" i="2"/>
  <c r="AW13" i="2"/>
  <c r="AW340" i="2"/>
  <c r="AW12" i="2"/>
  <c r="AW357" i="2"/>
  <c r="AW377" i="2"/>
  <c r="BG12" i="2"/>
  <c r="BJ17" i="2"/>
  <c r="AP20" i="2"/>
  <c r="AZ20" i="2"/>
  <c r="BJ20" i="2"/>
  <c r="BA12" i="2"/>
  <c r="AW339" i="2"/>
  <c r="AW63" i="2"/>
  <c r="AX12" i="2"/>
  <c r="AX357" i="2"/>
  <c r="BK17" i="2"/>
  <c r="AQ20" i="2"/>
  <c r="BA20" i="2"/>
  <c r="BK20" i="2"/>
  <c r="AK22" i="2"/>
  <c r="AX84" i="2"/>
  <c r="AX354" i="2"/>
  <c r="AW356" i="2"/>
  <c r="AW86" i="2"/>
  <c r="AK12" i="2"/>
  <c r="AZ12" i="2"/>
  <c r="BB342" i="2"/>
  <c r="BL17" i="2"/>
  <c r="AR20" i="2"/>
  <c r="BB20" i="2"/>
  <c r="BB343" i="2"/>
  <c r="BL20" i="2"/>
  <c r="AL22" i="2"/>
  <c r="AM330" i="1"/>
  <c r="AW92" i="2"/>
  <c r="AW56" i="2"/>
  <c r="AI15" i="3" s="1"/>
  <c r="AW345" i="2"/>
  <c r="AW75" i="2"/>
  <c r="AW46" i="2"/>
  <c r="AW388" i="2"/>
  <c r="AW381" i="2"/>
  <c r="AW330" i="1"/>
  <c r="DR119" i="39"/>
  <c r="DR121" i="39"/>
  <c r="DN119" i="39"/>
  <c r="DN121" i="39"/>
  <c r="DL276" i="2"/>
  <c r="DL277" i="2"/>
  <c r="DG85" i="3"/>
  <c r="BX11" i="2"/>
  <c r="DN200" i="1"/>
  <c r="DR200" i="1"/>
  <c r="CF247" i="7"/>
  <c r="BC404" i="1"/>
  <c r="BC410" i="1" s="1"/>
  <c r="BC179" i="1"/>
  <c r="BC402" i="1" s="1"/>
  <c r="CZ312" i="1"/>
  <c r="CZ168" i="1"/>
  <c r="CZ238" i="1"/>
  <c r="CZ206" i="1"/>
  <c r="DH312" i="1"/>
  <c r="DH168" i="1"/>
  <c r="DH206" i="1"/>
  <c r="DH238" i="1"/>
  <c r="DP312" i="1"/>
  <c r="DP206" i="1"/>
  <c r="DP238" i="1"/>
  <c r="DP168" i="1"/>
  <c r="T175" i="1"/>
  <c r="T173" i="1"/>
  <c r="T179" i="1"/>
  <c r="CS312" i="1"/>
  <c r="CS206" i="1"/>
  <c r="CS238" i="1"/>
  <c r="CS168" i="1"/>
  <c r="DA312" i="1"/>
  <c r="DA206" i="1"/>
  <c r="DA238" i="1"/>
  <c r="DA168" i="1"/>
  <c r="DI312" i="1"/>
  <c r="DI206" i="1"/>
  <c r="DI238" i="1"/>
  <c r="DI168" i="1"/>
  <c r="DQ312" i="1"/>
  <c r="DQ206" i="1"/>
  <c r="DQ238" i="1"/>
  <c r="DQ168" i="1"/>
  <c r="V175" i="1"/>
  <c r="V171" i="1"/>
  <c r="V209" i="1" s="1"/>
  <c r="V173" i="1"/>
  <c r="V210" i="1" s="1"/>
  <c r="V208" i="1"/>
  <c r="V179" i="1"/>
  <c r="CT312" i="1"/>
  <c r="CT206" i="1"/>
  <c r="CT238" i="1"/>
  <c r="CT168" i="1"/>
  <c r="DB312" i="1"/>
  <c r="DB206" i="1"/>
  <c r="DB238" i="1"/>
  <c r="DB168" i="1"/>
  <c r="DJ312" i="1"/>
  <c r="DJ206" i="1"/>
  <c r="DJ238" i="1"/>
  <c r="DJ168" i="1"/>
  <c r="EK206" i="1"/>
  <c r="EK238" i="1"/>
  <c r="EK168" i="1"/>
  <c r="W173" i="1"/>
  <c r="W210" i="1" s="1"/>
  <c r="W175" i="1"/>
  <c r="W179" i="1"/>
  <c r="W208" i="1"/>
  <c r="W171" i="1"/>
  <c r="W209" i="1" s="1"/>
  <c r="CU312" i="1"/>
  <c r="CU238" i="1"/>
  <c r="CU206" i="1"/>
  <c r="CU168" i="1"/>
  <c r="DC312" i="1"/>
  <c r="DC238" i="1"/>
  <c r="DC206" i="1"/>
  <c r="DC168" i="1"/>
  <c r="DK312" i="1"/>
  <c r="DK238" i="1"/>
  <c r="DK206" i="1"/>
  <c r="DK168" i="1"/>
  <c r="AC171" i="1"/>
  <c r="AC209" i="1" s="1"/>
  <c r="X208" i="1"/>
  <c r="X173" i="1"/>
  <c r="X210" i="1" s="1"/>
  <c r="X183" i="1"/>
  <c r="X171" i="1"/>
  <c r="X209" i="1" s="1"/>
  <c r="X178" i="1"/>
  <c r="CV312" i="1"/>
  <c r="CV206" i="1"/>
  <c r="CV238" i="1"/>
  <c r="CV168" i="1"/>
  <c r="DD312" i="1"/>
  <c r="DD206" i="1"/>
  <c r="DD238" i="1"/>
  <c r="DD168" i="1"/>
  <c r="DL312" i="1"/>
  <c r="DL206" i="1"/>
  <c r="DL238" i="1"/>
  <c r="DL168" i="1"/>
  <c r="Y208" i="1"/>
  <c r="Y173" i="1"/>
  <c r="Y210" i="1" s="1"/>
  <c r="Y175" i="1"/>
  <c r="Y171" i="1"/>
  <c r="Y209" i="1" s="1"/>
  <c r="Y179" i="1"/>
  <c r="CW312" i="1"/>
  <c r="CW206" i="1"/>
  <c r="CW238" i="1"/>
  <c r="CW168" i="1"/>
  <c r="DE312" i="1"/>
  <c r="DE168" i="1"/>
  <c r="DE206" i="1"/>
  <c r="DE238" i="1"/>
  <c r="DM312" i="1"/>
  <c r="DM168" i="1"/>
  <c r="DM206" i="1"/>
  <c r="DM238" i="1"/>
  <c r="Q175" i="1"/>
  <c r="Q179" i="1"/>
  <c r="AA208" i="1"/>
  <c r="AA173" i="1"/>
  <c r="AA210" i="1" s="1"/>
  <c r="AA183" i="1"/>
  <c r="AA171" i="1"/>
  <c r="AA209" i="1" s="1"/>
  <c r="AA178" i="1"/>
  <c r="CX312" i="1"/>
  <c r="CX168" i="1"/>
  <c r="CX206" i="1"/>
  <c r="CX238" i="1"/>
  <c r="DF312" i="1"/>
  <c r="DF168" i="1"/>
  <c r="DF206" i="1"/>
  <c r="DF238" i="1"/>
  <c r="DN312" i="1"/>
  <c r="DN168" i="1"/>
  <c r="DN206" i="1"/>
  <c r="DN238" i="1"/>
  <c r="R179" i="1"/>
  <c r="R175" i="1"/>
  <c r="R173" i="1"/>
  <c r="AB208" i="1"/>
  <c r="AB178" i="1"/>
  <c r="AB173" i="1"/>
  <c r="AB210" i="1" s="1"/>
  <c r="AB183" i="1"/>
  <c r="AB171" i="1"/>
  <c r="AB209" i="1" s="1"/>
  <c r="CY312" i="1"/>
  <c r="CY168" i="1"/>
  <c r="CY238" i="1"/>
  <c r="CY206" i="1"/>
  <c r="DG312" i="1"/>
  <c r="DG168" i="1"/>
  <c r="DG206" i="1"/>
  <c r="DG238" i="1"/>
  <c r="DO312" i="1"/>
  <c r="DO168" i="1"/>
  <c r="DO238" i="1"/>
  <c r="DO206" i="1"/>
  <c r="S175" i="1"/>
  <c r="S173" i="1"/>
  <c r="S179" i="1"/>
  <c r="AC178" i="1"/>
  <c r="AC208" i="1"/>
  <c r="AC173" i="1"/>
  <c r="AC210" i="1" s="1"/>
  <c r="AC183" i="1"/>
  <c r="DJ281" i="2"/>
  <c r="DM281" i="2"/>
  <c r="DK281" i="2"/>
  <c r="DH281" i="2"/>
  <c r="DI281" i="2"/>
  <c r="BX190" i="2"/>
  <c r="BQ236" i="7"/>
  <c r="CU190" i="2"/>
  <c r="DF190" i="2"/>
  <c r="CP190" i="2"/>
  <c r="DK190" i="2"/>
  <c r="BX198" i="2"/>
  <c r="CE269" i="7"/>
  <c r="CM197" i="2"/>
  <c r="BC12" i="2"/>
  <c r="CY68" i="2"/>
  <c r="CX16" i="2"/>
  <c r="CX15" i="2" s="1"/>
  <c r="CJ321" i="82"/>
  <c r="CJ203" i="82" s="1"/>
  <c r="CZ324" i="82"/>
  <c r="CZ206" i="82" s="1"/>
  <c r="CN270" i="7"/>
  <c r="CT200" i="2"/>
  <c r="DE199" i="2"/>
  <c r="DJ232" i="2"/>
  <c r="DJ236" i="2" s="1"/>
  <c r="CJ46" i="2"/>
  <c r="AN12" i="2"/>
  <c r="U23" i="2"/>
  <c r="U330" i="1"/>
  <c r="S24" i="113"/>
  <c r="S336" i="113" s="1"/>
  <c r="E15" i="113"/>
  <c r="CT321" i="82"/>
  <c r="CT203" i="82" s="1"/>
  <c r="CT345" i="82" s="1"/>
  <c r="CH324" i="82"/>
  <c r="CH206" i="82" s="1"/>
  <c r="DK324" i="82"/>
  <c r="DK206" i="82" s="1"/>
  <c r="CE15" i="3"/>
  <c r="AE20" i="2"/>
  <c r="Z23" i="2"/>
  <c r="DB330" i="1"/>
  <c r="D17" i="113"/>
  <c r="CK321" i="82"/>
  <c r="CK203" i="82" s="1"/>
  <c r="CU321" i="82"/>
  <c r="CU203" i="82" s="1"/>
  <c r="CU204" i="82" s="1"/>
  <c r="CI324" i="82"/>
  <c r="CI206" i="82" s="1"/>
  <c r="CQ324" i="82"/>
  <c r="CQ206" i="82" s="1"/>
  <c r="DC324" i="82"/>
  <c r="DC206" i="82" s="1"/>
  <c r="DM324" i="82"/>
  <c r="DM206" i="82" s="1"/>
  <c r="CS270" i="7"/>
  <c r="CU200" i="2"/>
  <c r="DF224" i="2"/>
  <c r="DK232" i="2"/>
  <c r="DI324" i="82"/>
  <c r="DI206" i="82" s="1"/>
  <c r="BA15" i="3"/>
  <c r="CP324" i="82"/>
  <c r="CP206" i="82" s="1"/>
  <c r="BC15" i="3"/>
  <c r="AJ20" i="2"/>
  <c r="AE23" i="2"/>
  <c r="AE330" i="1"/>
  <c r="E17" i="113"/>
  <c r="DA48" i="2"/>
  <c r="CL321" i="82"/>
  <c r="CL203" i="82" s="1"/>
  <c r="CJ324" i="82"/>
  <c r="CJ206" i="82" s="1"/>
  <c r="CS324" i="82"/>
  <c r="CS206" i="82" s="1"/>
  <c r="DD324" i="82"/>
  <c r="DD206" i="82" s="1"/>
  <c r="CE209" i="2"/>
  <c r="CH15" i="3"/>
  <c r="CH194" i="2"/>
  <c r="CV200" i="2"/>
  <c r="DH200" i="2"/>
  <c r="DC232" i="2"/>
  <c r="DC236" i="2" s="1"/>
  <c r="DM232" i="2"/>
  <c r="DM236" i="2" s="1"/>
  <c r="CX324" i="82"/>
  <c r="CX206" i="82" s="1"/>
  <c r="AJ330" i="1"/>
  <c r="CP46" i="2"/>
  <c r="AY47" i="2"/>
  <c r="DB47" i="2"/>
  <c r="DE324" i="82"/>
  <c r="DE206" i="82" s="1"/>
  <c r="C23" i="113"/>
  <c r="C37" i="113" s="1"/>
  <c r="P296" i="113"/>
  <c r="P297" i="113" s="1"/>
  <c r="P299" i="113" s="1"/>
  <c r="P318" i="113" s="1"/>
  <c r="CX200" i="2"/>
  <c r="DI224" i="2"/>
  <c r="DI226" i="2" s="1"/>
  <c r="DD232" i="2"/>
  <c r="DD236" i="2" s="1"/>
  <c r="CQ321" i="82"/>
  <c r="CQ203" i="82" s="1"/>
  <c r="CQ345" i="82" s="1"/>
  <c r="CN324" i="82"/>
  <c r="CN206" i="82" s="1"/>
  <c r="AJ23" i="2"/>
  <c r="DL330" i="1"/>
  <c r="AC48" i="2"/>
  <c r="CJ15" i="3"/>
  <c r="BX22" i="2"/>
  <c r="CK317" i="82"/>
  <c r="AD48" i="2"/>
  <c r="CO321" i="82"/>
  <c r="CO203" i="82" s="1"/>
  <c r="CO345" i="82" s="1"/>
  <c r="CL324" i="82"/>
  <c r="CL206" i="82" s="1"/>
  <c r="DF324" i="82"/>
  <c r="DF206" i="82" s="1"/>
  <c r="AW15" i="3"/>
  <c r="BZ15" i="3"/>
  <c r="CK15" i="3"/>
  <c r="Q296" i="113"/>
  <c r="CN200" i="2"/>
  <c r="CY199" i="2"/>
  <c r="DJ224" i="2"/>
  <c r="DJ226" i="2" s="1"/>
  <c r="DE232" i="2"/>
  <c r="DE236" i="2" s="1"/>
  <c r="BL12" i="2"/>
  <c r="CN321" i="82"/>
  <c r="CN203" i="82" s="1"/>
  <c r="CT324" i="82"/>
  <c r="CT206" i="82" s="1"/>
  <c r="BJ12" i="2"/>
  <c r="BK12" i="2"/>
  <c r="CL317" i="82"/>
  <c r="AF48" i="2"/>
  <c r="CP321" i="82"/>
  <c r="CP203" i="82" s="1"/>
  <c r="CP204" i="82" s="1"/>
  <c r="CM324" i="82"/>
  <c r="CM206" i="82" s="1"/>
  <c r="CV324" i="82"/>
  <c r="CV206" i="82" s="1"/>
  <c r="DH324" i="82"/>
  <c r="DH206" i="82" s="1"/>
  <c r="AX15" i="3"/>
  <c r="CA15" i="3"/>
  <c r="CL15" i="3"/>
  <c r="CH192" i="2"/>
  <c r="R296" i="113"/>
  <c r="CP200" i="2"/>
  <c r="CZ200" i="2"/>
  <c r="DK224" i="2"/>
  <c r="DK226" i="2" s="1"/>
  <c r="DF232" i="2"/>
  <c r="DF236" i="2" s="1"/>
  <c r="Q24" i="113"/>
  <c r="Q336" i="113" s="1"/>
  <c r="DB41" i="2"/>
  <c r="CB15" i="3"/>
  <c r="CH191" i="2"/>
  <c r="CD270" i="7"/>
  <c r="CH197" i="2"/>
  <c r="CQ200" i="2"/>
  <c r="DA199" i="2"/>
  <c r="DM199" i="2"/>
  <c r="DH232" i="2"/>
  <c r="DH236" i="2" s="1"/>
  <c r="AM12" i="2"/>
  <c r="BM12" i="2"/>
  <c r="BX16" i="2"/>
  <c r="U20" i="2"/>
  <c r="BX19" i="2"/>
  <c r="R24" i="113"/>
  <c r="R336" i="113" s="1"/>
  <c r="D15" i="113"/>
  <c r="AJ47" i="2"/>
  <c r="CI321" i="82"/>
  <c r="CI203" i="82" s="1"/>
  <c r="CS321" i="82"/>
  <c r="CS203" i="82" s="1"/>
  <c r="CS345" i="82" s="1"/>
  <c r="CO324" i="82"/>
  <c r="CO206" i="82" s="1"/>
  <c r="CY324" i="82"/>
  <c r="CY206" i="82" s="1"/>
  <c r="DJ324" i="82"/>
  <c r="DJ206" i="82" s="1"/>
  <c r="P15" i="3"/>
  <c r="BB15" i="3"/>
  <c r="CC15" i="3"/>
  <c r="CI270" i="7"/>
  <c r="CS200" i="2"/>
  <c r="DD224" i="2"/>
  <c r="DI232" i="2"/>
  <c r="DM92" i="1"/>
  <c r="EK139" i="1"/>
  <c r="EK312" i="1"/>
  <c r="AX17" i="2"/>
  <c r="AX26" i="2"/>
  <c r="AP17" i="2"/>
  <c r="AP26" i="2"/>
  <c r="AL16" i="2"/>
  <c r="AL26" i="2"/>
  <c r="AV17" i="2"/>
  <c r="AV26" i="2"/>
  <c r="AM16" i="2"/>
  <c r="AM26" i="2"/>
  <c r="AZ17" i="2"/>
  <c r="AZ26" i="2"/>
  <c r="AQ17" i="2"/>
  <c r="AQ26" i="2"/>
  <c r="AR17" i="2"/>
  <c r="AR26" i="2"/>
  <c r="BB17" i="2"/>
  <c r="BB26" i="2"/>
  <c r="BA17" i="2"/>
  <c r="BA26" i="2"/>
  <c r="AN16" i="2"/>
  <c r="AN26" i="2"/>
  <c r="AS17" i="2"/>
  <c r="AS26" i="2"/>
  <c r="BC17" i="2"/>
  <c r="BC26" i="2"/>
  <c r="AK16" i="2"/>
  <c r="AK26" i="2"/>
  <c r="AU17" i="2"/>
  <c r="AU26" i="2"/>
  <c r="DM101" i="1"/>
  <c r="BX327" i="1"/>
  <c r="BX328" i="1"/>
  <c r="Z26" i="2"/>
  <c r="Z46" i="2"/>
  <c r="Z330" i="1"/>
  <c r="DB328" i="1"/>
  <c r="U17" i="2"/>
  <c r="U26" i="2"/>
  <c r="AE26" i="2"/>
  <c r="AE17" i="2"/>
  <c r="AP69" i="1"/>
  <c r="BK35" i="1"/>
  <c r="BU69" i="1"/>
  <c r="V517" i="1"/>
  <c r="R81" i="1"/>
  <c r="R87" i="1" s="1"/>
  <c r="BU35" i="1"/>
  <c r="AH69" i="1"/>
  <c r="AR69" i="1"/>
  <c r="AW70" i="1" s="1"/>
  <c r="W517" i="1"/>
  <c r="S81" i="1"/>
  <c r="S87" i="1" s="1"/>
  <c r="Z69" i="1"/>
  <c r="BH69" i="1"/>
  <c r="CL69" i="1"/>
  <c r="X517" i="1"/>
  <c r="BE36" i="1"/>
  <c r="Q81" i="1"/>
  <c r="Q87" i="1" s="1"/>
  <c r="CF28" i="1"/>
  <c r="CL35" i="1"/>
  <c r="AV69" i="1"/>
  <c r="AW74" i="1" s="1"/>
  <c r="DC43" i="1"/>
  <c r="DH44" i="1" s="1"/>
  <c r="Y517" i="1"/>
  <c r="CI474" i="1"/>
  <c r="CQ35" i="1"/>
  <c r="P69" i="1"/>
  <c r="Q22" i="1"/>
  <c r="V23" i="1" s="1"/>
  <c r="AA517" i="1"/>
  <c r="AY576" i="1"/>
  <c r="CV35" i="1"/>
  <c r="AX69" i="1"/>
  <c r="AX74" i="1" s="1"/>
  <c r="BL69" i="1"/>
  <c r="CF69" i="1"/>
  <c r="R22" i="1"/>
  <c r="R28" i="1" s="1"/>
  <c r="AB517" i="1"/>
  <c r="AN69" i="1"/>
  <c r="AC517" i="1"/>
  <c r="A560" i="1"/>
  <c r="BX330" i="1"/>
  <c r="BN343" i="1"/>
  <c r="V383" i="1"/>
  <c r="DO321" i="1"/>
  <c r="DP321" i="1"/>
  <c r="V321" i="1"/>
  <c r="CA181" i="7"/>
  <c r="CB181" i="7"/>
  <c r="BV181" i="7"/>
  <c r="BW181" i="7"/>
  <c r="CI95" i="7"/>
  <c r="CI192" i="7"/>
  <c r="CN95" i="7"/>
  <c r="CN192" i="7"/>
  <c r="CD95" i="7"/>
  <c r="CD192" i="7"/>
  <c r="BT129" i="7"/>
  <c r="BY129" i="7"/>
  <c r="BT130" i="7"/>
  <c r="BY120" i="7"/>
  <c r="BY130" i="7"/>
  <c r="BY122" i="7"/>
  <c r="BY132" i="7"/>
  <c r="BY125" i="7"/>
  <c r="BY135" i="7"/>
  <c r="CD130" i="7"/>
  <c r="CI130" i="7"/>
  <c r="CD132" i="7"/>
  <c r="CI132" i="7"/>
  <c r="CI135" i="7"/>
  <c r="CD135" i="7"/>
  <c r="BO119" i="7"/>
  <c r="BO129" i="7"/>
  <c r="BO121" i="7"/>
  <c r="BO131" i="7"/>
  <c r="BO123" i="7"/>
  <c r="BO133" i="7"/>
  <c r="BT121" i="7"/>
  <c r="BT131" i="7"/>
  <c r="BT123" i="7"/>
  <c r="BT133" i="7"/>
  <c r="BY121" i="7"/>
  <c r="BY131" i="7"/>
  <c r="BY123" i="7"/>
  <c r="BY133" i="7"/>
  <c r="CD129" i="7"/>
  <c r="CI129" i="7"/>
  <c r="CD131" i="7"/>
  <c r="CI131" i="7"/>
  <c r="CD133" i="7"/>
  <c r="CI133" i="7"/>
  <c r="BO120" i="7"/>
  <c r="BO130" i="7"/>
  <c r="BO122" i="7"/>
  <c r="BO132" i="7"/>
  <c r="BO125" i="7"/>
  <c r="BO135" i="7"/>
  <c r="BT122" i="7"/>
  <c r="BT132" i="7"/>
  <c r="BT125" i="7"/>
  <c r="BT135" i="7"/>
  <c r="CD120" i="7"/>
  <c r="CI120" i="7"/>
  <c r="CD122" i="7"/>
  <c r="CI122" i="7"/>
  <c r="CD125" i="7"/>
  <c r="CI125" i="7"/>
  <c r="BT114" i="7"/>
  <c r="BT119" i="7"/>
  <c r="BY114" i="7"/>
  <c r="BY119" i="7"/>
  <c r="CD119" i="7"/>
  <c r="CI119" i="7"/>
  <c r="CI121" i="7"/>
  <c r="CD121" i="7"/>
  <c r="CD123" i="7"/>
  <c r="CI123" i="7"/>
  <c r="BT120" i="7"/>
  <c r="BO114" i="7"/>
  <c r="CO176" i="7"/>
  <c r="CN169" i="7"/>
  <c r="CD114" i="7"/>
  <c r="CI169" i="7"/>
  <c r="CX491" i="1"/>
  <c r="CX492" i="1" s="1"/>
  <c r="DC26" i="2"/>
  <c r="AY8" i="2"/>
  <c r="AW365" i="2" s="1"/>
  <c r="BH10" i="2"/>
  <c r="BL38" i="7"/>
  <c r="DE26" i="2"/>
  <c r="CD26" i="2"/>
  <c r="DF26" i="2"/>
  <c r="AP11" i="3"/>
  <c r="CI28" i="3"/>
  <c r="AS46" i="2"/>
  <c r="BM38" i="7"/>
  <c r="BM46" i="2"/>
  <c r="DM179" i="82"/>
  <c r="T11" i="3"/>
  <c r="AB169" i="7" s="1"/>
  <c r="CI98" i="3"/>
  <c r="Y11" i="3"/>
  <c r="AD11" i="3"/>
  <c r="DK179" i="82"/>
  <c r="O11" i="3"/>
  <c r="N73" i="3"/>
  <c r="N81" i="3" s="1"/>
  <c r="AJ46" i="2"/>
  <c r="DL177" i="82"/>
  <c r="DL87" i="82" s="1"/>
  <c r="AP13" i="2"/>
  <c r="DL172" i="82"/>
  <c r="CZ67" i="2"/>
  <c r="AK13" i="2"/>
  <c r="DG177" i="82"/>
  <c r="DG87" i="82" s="1"/>
  <c r="DA66" i="2"/>
  <c r="BN52" i="2"/>
  <c r="CV10" i="2"/>
  <c r="CF12" i="2"/>
  <c r="CS10" i="2"/>
  <c r="DC12" i="2"/>
  <c r="DH12" i="2"/>
  <c r="DD12" i="2"/>
  <c r="DE12" i="2"/>
  <c r="CO10" i="2"/>
  <c r="CY12" i="2"/>
  <c r="CG10" i="2"/>
  <c r="CK10" i="2"/>
  <c r="CZ12" i="2"/>
  <c r="CN319" i="1"/>
  <c r="CQ10" i="2"/>
  <c r="DI139" i="1"/>
  <c r="CU139" i="1"/>
  <c r="DC139" i="1"/>
  <c r="DK139" i="1"/>
  <c r="CS139" i="1"/>
  <c r="CV139" i="1"/>
  <c r="DD139" i="1"/>
  <c r="DL139" i="1"/>
  <c r="CY139" i="1"/>
  <c r="DG139" i="1"/>
  <c r="DO139" i="1"/>
  <c r="DA139" i="1"/>
  <c r="CR176" i="7"/>
  <c r="CO177" i="7"/>
  <c r="AT18" i="2"/>
  <c r="AY7" i="2"/>
  <c r="AW364" i="2" s="1"/>
  <c r="BJ17" i="3"/>
  <c r="CB247" i="7"/>
  <c r="CY526" i="1"/>
  <c r="CY533" i="1" s="1"/>
  <c r="BX48" i="2"/>
  <c r="BD15" i="2"/>
  <c r="CW18" i="2"/>
  <c r="BN15" i="2"/>
  <c r="BN21" i="2"/>
  <c r="BA75" i="2"/>
  <c r="AJ15" i="2"/>
  <c r="DD26" i="2"/>
  <c r="BH9" i="2"/>
  <c r="BA13" i="2"/>
  <c r="BI24" i="2"/>
  <c r="AY24" i="2"/>
  <c r="AY21" i="2"/>
  <c r="AW371" i="2" s="1"/>
  <c r="BI21" i="2"/>
  <c r="AL55" i="2"/>
  <c r="AT10" i="2"/>
  <c r="BJ92" i="2"/>
  <c r="AQ55" i="2"/>
  <c r="BU28" i="1"/>
  <c r="DR23" i="1"/>
  <c r="AL28" i="1"/>
  <c r="BL28" i="1"/>
  <c r="AS27" i="1"/>
  <c r="AZ115" i="1"/>
  <c r="DK65" i="1"/>
  <c r="DM99" i="1"/>
  <c r="DM100" i="1" s="1"/>
  <c r="DR91" i="1"/>
  <c r="CT74" i="3"/>
  <c r="DL119" i="82"/>
  <c r="U296" i="113" s="1"/>
  <c r="X63" i="112"/>
  <c r="DM12" i="2"/>
  <c r="DM168" i="82"/>
  <c r="DM41" i="82"/>
  <c r="DD35" i="1"/>
  <c r="CY30" i="1"/>
  <c r="CZ23" i="1"/>
  <c r="CZ35" i="1"/>
  <c r="DA23" i="1"/>
  <c r="DA35" i="1"/>
  <c r="CX115" i="1"/>
  <c r="DK12" i="2"/>
  <c r="DK168" i="82"/>
  <c r="DK41" i="82"/>
  <c r="DC35" i="1"/>
  <c r="DG174" i="82"/>
  <c r="DG47" i="82"/>
  <c r="T221" i="113" s="1"/>
  <c r="DL174" i="82"/>
  <c r="DL47" i="82"/>
  <c r="U221" i="113" s="1"/>
  <c r="CM15" i="3"/>
  <c r="DK180" i="82"/>
  <c r="CO15" i="3"/>
  <c r="DM180" i="82"/>
  <c r="U24" i="113"/>
  <c r="U336" i="113" s="1"/>
  <c r="DL181" i="82"/>
  <c r="DL151" i="82"/>
  <c r="DL150" i="82" s="1"/>
  <c r="V24" i="113"/>
  <c r="V336" i="113" s="1"/>
  <c r="DQ181" i="82"/>
  <c r="DB268" i="82"/>
  <c r="CY491" i="1"/>
  <c r="CY124" i="1" s="1"/>
  <c r="CP498" i="1"/>
  <c r="DI11" i="82"/>
  <c r="DI263" i="82"/>
  <c r="BF69" i="1"/>
  <c r="BF170" i="1" s="1"/>
  <c r="CT498" i="1"/>
  <c r="CU498" i="1"/>
  <c r="CN498" i="1"/>
  <c r="CO498" i="1"/>
  <c r="CV498" i="1"/>
  <c r="CQ474" i="1"/>
  <c r="CQ498" i="1"/>
  <c r="CS498" i="1"/>
  <c r="BF124" i="1"/>
  <c r="AL528" i="1"/>
  <c r="CX68" i="1"/>
  <c r="CX184" i="1" s="1"/>
  <c r="BV318" i="1"/>
  <c r="DK307" i="1"/>
  <c r="DK308" i="1" s="1"/>
  <c r="DK132" i="39" s="1"/>
  <c r="DP302" i="1"/>
  <c r="DP120" i="39" s="1"/>
  <c r="BU383" i="1"/>
  <c r="BU427" i="1"/>
  <c r="BU428" i="1" s="1"/>
  <c r="BU429" i="1" s="1"/>
  <c r="AU527" i="1"/>
  <c r="AZ27" i="1"/>
  <c r="CT427" i="1"/>
  <c r="CT428" i="1" s="1"/>
  <c r="DM65" i="1"/>
  <c r="DH11" i="82"/>
  <c r="DO65" i="1"/>
  <c r="DJ11" i="82"/>
  <c r="DM263" i="82"/>
  <c r="DM309" i="82" s="1"/>
  <c r="DK263" i="82"/>
  <c r="DK309" i="82" s="1"/>
  <c r="L9" i="11"/>
  <c r="L14" i="11" s="1"/>
  <c r="C9" i="11"/>
  <c r="C14" i="11" s="1"/>
  <c r="I9" i="11"/>
  <c r="E9" i="11"/>
  <c r="F9" i="11"/>
  <c r="CK70" i="3"/>
  <c r="CQ74" i="3"/>
  <c r="D36" i="113"/>
  <c r="E36" i="113"/>
  <c r="DG222" i="2"/>
  <c r="CZ296" i="82"/>
  <c r="DJ263" i="82"/>
  <c r="DJ309" i="82" s="1"/>
  <c r="DA296" i="82"/>
  <c r="CW221" i="82"/>
  <c r="DH200" i="82"/>
  <c r="DH232" i="82" s="1"/>
  <c r="DI298" i="82"/>
  <c r="DK295" i="82"/>
  <c r="DM298" i="82"/>
  <c r="DG261" i="82"/>
  <c r="DH298" i="82"/>
  <c r="CM31" i="2"/>
  <c r="DB222" i="2"/>
  <c r="DL492" i="1"/>
  <c r="DL23" i="1"/>
  <c r="DH36" i="1"/>
  <c r="DI492" i="1"/>
  <c r="DK36" i="1"/>
  <c r="DJ492" i="1"/>
  <c r="DO302" i="1"/>
  <c r="DO120" i="39" s="1"/>
  <c r="DJ298" i="82"/>
  <c r="DO275" i="82"/>
  <c r="DM36" i="1"/>
  <c r="DM107" i="1" s="1"/>
  <c r="DH496" i="1"/>
  <c r="DK492" i="1"/>
  <c r="DO268" i="82"/>
  <c r="DO281" i="82" s="1"/>
  <c r="BP88" i="7"/>
  <c r="BP87" i="7" s="1"/>
  <c r="CF88" i="7"/>
  <c r="CF85" i="7" s="1"/>
  <c r="Q62" i="7"/>
  <c r="Q63" i="7" s="1"/>
  <c r="CR191" i="2"/>
  <c r="CJ189" i="2"/>
  <c r="CR189" i="2"/>
  <c r="BS50" i="7"/>
  <c r="DB188" i="2"/>
  <c r="AP24" i="3"/>
  <c r="BY29" i="3"/>
  <c r="CJ99" i="3"/>
  <c r="BJ29" i="3"/>
  <c r="BD168" i="7"/>
  <c r="BD170" i="7" s="1"/>
  <c r="BQ46" i="3"/>
  <c r="AD168" i="7"/>
  <c r="AD170" i="7" s="1"/>
  <c r="AT168" i="7"/>
  <c r="AT170" i="7" s="1"/>
  <c r="BB168" i="7"/>
  <c r="BB170" i="7" s="1"/>
  <c r="BK168" i="7"/>
  <c r="BU81" i="3"/>
  <c r="CJ70" i="3"/>
  <c r="AI17" i="3"/>
  <c r="AK17" i="3" s="1"/>
  <c r="BT44" i="3"/>
  <c r="AH168" i="7"/>
  <c r="AH170" i="7" s="1"/>
  <c r="AU168" i="7"/>
  <c r="AU170" i="7" s="1"/>
  <c r="BC168" i="7"/>
  <c r="BC170" i="7" s="1"/>
  <c r="CJ325" i="82"/>
  <c r="CJ406" i="82" s="1"/>
  <c r="CV325" i="82"/>
  <c r="CV406" i="82" s="1"/>
  <c r="DI325" i="82"/>
  <c r="DI305" i="82" s="1"/>
  <c r="AL168" i="7"/>
  <c r="AL170" i="7" s="1"/>
  <c r="CE81" i="3"/>
  <c r="CN24" i="3"/>
  <c r="CN32" i="3" s="1"/>
  <c r="AQ168" i="7"/>
  <c r="BG168" i="7"/>
  <c r="BG170" i="7" s="1"/>
  <c r="AZ168" i="7"/>
  <c r="AZ170" i="7" s="1"/>
  <c r="BH168" i="7"/>
  <c r="BH170" i="7" s="1"/>
  <c r="BW74" i="3"/>
  <c r="CG74" i="3"/>
  <c r="AV168" i="7"/>
  <c r="AV170" i="7" s="1"/>
  <c r="BM168" i="7"/>
  <c r="AM168" i="7"/>
  <c r="AM170" i="7" s="1"/>
  <c r="AW168" i="7"/>
  <c r="AW170" i="7" s="1"/>
  <c r="BN168" i="7"/>
  <c r="CC81" i="3"/>
  <c r="BO25" i="3"/>
  <c r="AP168" i="7"/>
  <c r="AP170" i="7" s="1"/>
  <c r="BF168" i="7"/>
  <c r="BF170" i="7" s="1"/>
  <c r="CN325" i="82"/>
  <c r="CN406" i="82" s="1"/>
  <c r="AP16" i="3"/>
  <c r="AP113" i="3" s="1"/>
  <c r="AY170" i="7"/>
  <c r="BV74" i="3"/>
  <c r="CF73" i="3"/>
  <c r="CF168" i="7" s="1"/>
  <c r="DH325" i="82"/>
  <c r="DH305" i="82" s="1"/>
  <c r="AS168" i="7"/>
  <c r="AS170" i="7" s="1"/>
  <c r="BA168" i="7"/>
  <c r="BA170" i="7" s="1"/>
  <c r="BI168" i="7"/>
  <c r="BI170" i="7" s="1"/>
  <c r="BS81" i="3"/>
  <c r="CH70" i="3"/>
  <c r="BJ482" i="1"/>
  <c r="BE124" i="1"/>
  <c r="BI481" i="1"/>
  <c r="BI124" i="1" s="1"/>
  <c r="CW14" i="7"/>
  <c r="CX14" i="7" s="1"/>
  <c r="CY14" i="7" s="1"/>
  <c r="CZ14" i="7" s="1"/>
  <c r="DA14" i="7" s="1"/>
  <c r="DB14" i="7" s="1"/>
  <c r="AS9" i="2"/>
  <c r="AT8" i="2"/>
  <c r="CX44" i="7"/>
  <c r="CX36" i="7"/>
  <c r="BD10" i="2"/>
  <c r="CM15" i="2"/>
  <c r="CW13" i="7"/>
  <c r="CX13" i="7" s="1"/>
  <c r="CY13" i="7" s="1"/>
  <c r="CZ13" i="7" s="1"/>
  <c r="DA13" i="7" s="1"/>
  <c r="DB13" i="7" s="1"/>
  <c r="AP48" i="3"/>
  <c r="CP531" i="1"/>
  <c r="CR68" i="1"/>
  <c r="CR184" i="1" s="1"/>
  <c r="CW181" i="1" s="1"/>
  <c r="DR321" i="1"/>
  <c r="AA397" i="1"/>
  <c r="AA402" i="1" s="1"/>
  <c r="AF528" i="1"/>
  <c r="CX57" i="7"/>
  <c r="CA46" i="3"/>
  <c r="CD38" i="3"/>
  <c r="CX49" i="7"/>
  <c r="AO30" i="2"/>
  <c r="CX58" i="7"/>
  <c r="BD21" i="2"/>
  <c r="DA491" i="1"/>
  <c r="DA481" i="1" s="1"/>
  <c r="AI25" i="3"/>
  <c r="BP32" i="3"/>
  <c r="BT25" i="3"/>
  <c r="CD253" i="7"/>
  <c r="CC252" i="7"/>
  <c r="CC257" i="7" s="1"/>
  <c r="CD257" i="7" s="1"/>
  <c r="BF29" i="2"/>
  <c r="AO48" i="2"/>
  <c r="AZ23" i="1"/>
  <c r="AN395" i="1"/>
  <c r="AP17" i="3"/>
  <c r="AZ17" i="3"/>
  <c r="AS46" i="3"/>
  <c r="BC46" i="3"/>
  <c r="AY16" i="7"/>
  <c r="BM16" i="7"/>
  <c r="CX45" i="7"/>
  <c r="CX47" i="7"/>
  <c r="V103" i="7"/>
  <c r="V100" i="7" s="1"/>
  <c r="AD103" i="7"/>
  <c r="AD100" i="7" s="1"/>
  <c r="AT103" i="7"/>
  <c r="AT100" i="7" s="1"/>
  <c r="BU103" i="7"/>
  <c r="CE103" i="7"/>
  <c r="BF26" i="2"/>
  <c r="CR15" i="2"/>
  <c r="AO18" i="2"/>
  <c r="AY18" i="2"/>
  <c r="AO24" i="2"/>
  <c r="AO47" i="2"/>
  <c r="CT531" i="1"/>
  <c r="BT17" i="3"/>
  <c r="CX19" i="7"/>
  <c r="CX46" i="7"/>
  <c r="AY10" i="2"/>
  <c r="AO21" i="2"/>
  <c r="AY48" i="2"/>
  <c r="CV416" i="1"/>
  <c r="CV417" i="1" s="1"/>
  <c r="CV418" i="1" s="1"/>
  <c r="BE17" i="3"/>
  <c r="AM66" i="3"/>
  <c r="AM18" i="3" s="1"/>
  <c r="CX40" i="7"/>
  <c r="CX54" i="7"/>
  <c r="AT15" i="2"/>
  <c r="AG527" i="1"/>
  <c r="CW415" i="1"/>
  <c r="AU17" i="3"/>
  <c r="BO17" i="3"/>
  <c r="CX11" i="7"/>
  <c r="CX21" i="7"/>
  <c r="AM527" i="1"/>
  <c r="CL434" i="1"/>
  <c r="BF32" i="3"/>
  <c r="CX37" i="7"/>
  <c r="CX48" i="7"/>
  <c r="BR103" i="7"/>
  <c r="BE29" i="2"/>
  <c r="BN18" i="2"/>
  <c r="AE47" i="2"/>
  <c r="CH48" i="2"/>
  <c r="CT434" i="1"/>
  <c r="BE29" i="3"/>
  <c r="BO29" i="3"/>
  <c r="BL32" i="3"/>
  <c r="AX16" i="7"/>
  <c r="BK16" i="7"/>
  <c r="CW24" i="7"/>
  <c r="CX24" i="7" s="1"/>
  <c r="CX43" i="7"/>
  <c r="CX56" i="7"/>
  <c r="DF325" i="82"/>
  <c r="DF272" i="82" s="1"/>
  <c r="DK284" i="82" s="1"/>
  <c r="CK67" i="7"/>
  <c r="BJ72" i="7"/>
  <c r="BH67" i="7"/>
  <c r="BR67" i="7"/>
  <c r="DM188" i="2"/>
  <c r="S62" i="7"/>
  <c r="S63" i="7" s="1"/>
  <c r="BW103" i="7"/>
  <c r="T62" i="7"/>
  <c r="T63" i="7" s="1"/>
  <c r="BZ70" i="7"/>
  <c r="CF254" i="7"/>
  <c r="CF263" i="7"/>
  <c r="CF264" i="7" s="1"/>
  <c r="CA67" i="7"/>
  <c r="BM103" i="7"/>
  <c r="BT72" i="7"/>
  <c r="W55" i="2"/>
  <c r="BR70" i="3"/>
  <c r="AB55" i="2"/>
  <c r="BS70" i="3"/>
  <c r="CM99" i="3"/>
  <c r="CQ325" i="82"/>
  <c r="CQ272" i="82" s="1"/>
  <c r="CQ414" i="82" s="1"/>
  <c r="AK41" i="3"/>
  <c r="BH88" i="7"/>
  <c r="BH87" i="7" s="1"/>
  <c r="CD247" i="7"/>
  <c r="CP99" i="3"/>
  <c r="CK99" i="3"/>
  <c r="CL99" i="3"/>
  <c r="CO99" i="3"/>
  <c r="DL215" i="82"/>
  <c r="DH58" i="1"/>
  <c r="CM36" i="1"/>
  <c r="CN95" i="1"/>
  <c r="CM189" i="2"/>
  <c r="X8" i="2"/>
  <c r="X10" i="2" s="1"/>
  <c r="R93" i="2"/>
  <c r="AG13" i="2"/>
  <c r="CG417" i="1"/>
  <c r="CG418" i="1" s="1"/>
  <c r="CF417" i="1"/>
  <c r="CF418" i="1" s="1"/>
  <c r="BU70" i="3"/>
  <c r="DE325" i="82"/>
  <c r="DE272" i="82" s="1"/>
  <c r="DJ284" i="82" s="1"/>
  <c r="CW408" i="1"/>
  <c r="AU40" i="7"/>
  <c r="AV40" i="7" s="1"/>
  <c r="AW40" i="7" s="1"/>
  <c r="BC88" i="7"/>
  <c r="BC87" i="7" s="1"/>
  <c r="Y103" i="7"/>
  <c r="Y102" i="7" s="1"/>
  <c r="AG103" i="7"/>
  <c r="AG100" i="7" s="1"/>
  <c r="AO103" i="7"/>
  <c r="AO102" i="7" s="1"/>
  <c r="BE103" i="7"/>
  <c r="BE102" i="7" s="1"/>
  <c r="BX103" i="7"/>
  <c r="AK60" i="7"/>
  <c r="CJ88" i="7"/>
  <c r="CJ87" i="7" s="1"/>
  <c r="CA88" i="7"/>
  <c r="CA87" i="7" s="1"/>
  <c r="DG188" i="2"/>
  <c r="CX188" i="2"/>
  <c r="O62" i="7"/>
  <c r="O63" i="7" s="1"/>
  <c r="AN60" i="7"/>
  <c r="Z103" i="7"/>
  <c r="Z102" i="7" s="1"/>
  <c r="AH103" i="7"/>
  <c r="AH102" i="7" s="1"/>
  <c r="AX103" i="7"/>
  <c r="AX100" i="7" s="1"/>
  <c r="BP103" i="7"/>
  <c r="BZ103" i="7"/>
  <c r="CK88" i="7"/>
  <c r="CK85" i="7" s="1"/>
  <c r="CH189" i="2"/>
  <c r="DH188" i="2"/>
  <c r="AB103" i="7"/>
  <c r="AB102" i="7" s="1"/>
  <c r="AJ103" i="7"/>
  <c r="AJ102" i="7" s="1"/>
  <c r="AR103" i="7"/>
  <c r="AR102" i="7" s="1"/>
  <c r="AZ103" i="7"/>
  <c r="AZ100" i="7" s="1"/>
  <c r="BH103" i="7"/>
  <c r="BH100" i="7" s="1"/>
  <c r="AC66" i="3"/>
  <c r="AC18" i="3" s="1"/>
  <c r="DM325" i="82"/>
  <c r="DM305" i="82" s="1"/>
  <c r="AO81" i="3"/>
  <c r="DD232" i="82"/>
  <c r="BH393" i="1"/>
  <c r="BH405" i="1" s="1"/>
  <c r="V8" i="2"/>
  <c r="AE115" i="1"/>
  <c r="BC116" i="1"/>
  <c r="W8" i="2"/>
  <c r="CH41" i="2"/>
  <c r="F13" i="2"/>
  <c r="CR103" i="3"/>
  <c r="CI17" i="3"/>
  <c r="CD17" i="3"/>
  <c r="CN17" i="3"/>
  <c r="CZ272" i="82"/>
  <c r="CZ297" i="82" s="1"/>
  <c r="CS325" i="82"/>
  <c r="CS406" i="82" s="1"/>
  <c r="CM74" i="3"/>
  <c r="AR528" i="1"/>
  <c r="CW411" i="1"/>
  <c r="AX30" i="1"/>
  <c r="CS68" i="1"/>
  <c r="CS184" i="1" s="1"/>
  <c r="CX181" i="1" s="1"/>
  <c r="BW320" i="1"/>
  <c r="CT492" i="1"/>
  <c r="CS95" i="1"/>
  <c r="BA527" i="1"/>
  <c r="CE318" i="1"/>
  <c r="AQ528" i="1"/>
  <c r="CJ320" i="1"/>
  <c r="CW68" i="1"/>
  <c r="CW184" i="1" s="1"/>
  <c r="DB181" i="1" s="1"/>
  <c r="CN100" i="1"/>
  <c r="AH528" i="1"/>
  <c r="AS483" i="1"/>
  <c r="DD504" i="1"/>
  <c r="AS397" i="1"/>
  <c r="AS402" i="1" s="1"/>
  <c r="DM492" i="1"/>
  <c r="CU68" i="1"/>
  <c r="CU184" i="1" s="1"/>
  <c r="CZ181" i="1" s="1"/>
  <c r="BT35" i="1"/>
  <c r="AG528" i="1"/>
  <c r="AB528" i="1"/>
  <c r="CI318" i="1"/>
  <c r="BN366" i="1"/>
  <c r="BJ424" i="1"/>
  <c r="BJ425" i="1" s="1"/>
  <c r="CD424" i="1"/>
  <c r="CD425" i="1" s="1"/>
  <c r="CS428" i="1"/>
  <c r="BZ74" i="3"/>
  <c r="CG70" i="3"/>
  <c r="BU85" i="2"/>
  <c r="DE68" i="1"/>
  <c r="DE184" i="1" s="1"/>
  <c r="DE179" i="1" s="1"/>
  <c r="CJ95" i="1"/>
  <c r="CT95" i="1"/>
  <c r="CE102" i="1"/>
  <c r="DI118" i="1"/>
  <c r="DI620" i="1" s="1"/>
  <c r="CZ492" i="1"/>
  <c r="DF68" i="1"/>
  <c r="DF184" i="1" s="1"/>
  <c r="CP117" i="1"/>
  <c r="AO102" i="1"/>
  <c r="BK37" i="1"/>
  <c r="BK528" i="1"/>
  <c r="X321" i="1"/>
  <c r="AQ321" i="1"/>
  <c r="BA321" i="1"/>
  <c r="BK321" i="1"/>
  <c r="CU321" i="1"/>
  <c r="AY434" i="1"/>
  <c r="CE70" i="3"/>
  <c r="CO74" i="3"/>
  <c r="CO168" i="7"/>
  <c r="DK325" i="82"/>
  <c r="DK305" i="82" s="1"/>
  <c r="DC325" i="82"/>
  <c r="DC272" i="82" s="1"/>
  <c r="DH284" i="82" s="1"/>
  <c r="CO70" i="3"/>
  <c r="CT71" i="3" s="1"/>
  <c r="CK81" i="3"/>
  <c r="CP74" i="3"/>
  <c r="CN73" i="3"/>
  <c r="DD514" i="1"/>
  <c r="Y8" i="2"/>
  <c r="DE27" i="1"/>
  <c r="BV41" i="1"/>
  <c r="BA528" i="1"/>
  <c r="CM366" i="1"/>
  <c r="BJ41" i="1"/>
  <c r="BL528" i="1"/>
  <c r="AN321" i="1"/>
  <c r="AX321" i="1"/>
  <c r="BH321" i="1"/>
  <c r="CS321" i="1"/>
  <c r="AL37" i="1"/>
  <c r="CY68" i="1"/>
  <c r="CY184" i="1" s="1"/>
  <c r="AF321" i="1"/>
  <c r="AP321" i="1"/>
  <c r="AZ321" i="1"/>
  <c r="BJ321" i="1"/>
  <c r="CT321" i="1"/>
  <c r="DD321" i="1"/>
  <c r="BI366" i="1"/>
  <c r="BW116" i="1"/>
  <c r="BW617" i="1" s="1"/>
  <c r="S8" i="2"/>
  <c r="S9" i="2" s="1"/>
  <c r="DD68" i="1"/>
  <c r="DD184" i="1" s="1"/>
  <c r="DD179" i="1" s="1"/>
  <c r="DC74" i="2"/>
  <c r="BW170" i="7"/>
  <c r="BL333" i="1"/>
  <c r="X333" i="1"/>
  <c r="BL29" i="2"/>
  <c r="DQ41" i="2"/>
  <c r="CH49" i="2"/>
  <c r="CF69" i="2"/>
  <c r="BO72" i="7"/>
  <c r="CD60" i="7"/>
  <c r="AO56" i="7"/>
  <c r="AO60" i="7" s="1"/>
  <c r="BM67" i="7"/>
  <c r="BW67" i="7"/>
  <c r="CF67" i="7"/>
  <c r="AG88" i="7"/>
  <c r="AG87" i="7" s="1"/>
  <c r="BD88" i="7"/>
  <c r="BD85" i="7" s="1"/>
  <c r="CB88" i="7"/>
  <c r="CB87" i="7" s="1"/>
  <c r="CL88" i="7"/>
  <c r="CL87" i="7" s="1"/>
  <c r="BO71" i="7"/>
  <c r="BF67" i="7"/>
  <c r="BY66" i="7"/>
  <c r="BZ67" i="7" s="1"/>
  <c r="CH67" i="7"/>
  <c r="BW218" i="7"/>
  <c r="BW234" i="7" s="1"/>
  <c r="BW235" i="7" s="1"/>
  <c r="CI211" i="7"/>
  <c r="U62" i="7"/>
  <c r="U63" i="7" s="1"/>
  <c r="CT189" i="2"/>
  <c r="DJ189" i="2"/>
  <c r="AH60" i="7"/>
  <c r="Z170" i="7"/>
  <c r="CK26" i="7"/>
  <c r="CL189" i="2"/>
  <c r="DC188" i="2"/>
  <c r="CN189" i="2"/>
  <c r="CV189" i="2"/>
  <c r="DD189" i="2"/>
  <c r="DL188" i="2"/>
  <c r="P62" i="7"/>
  <c r="P63" i="7" s="1"/>
  <c r="CC67" i="7"/>
  <c r="CL70" i="7"/>
  <c r="CC103" i="7"/>
  <c r="CM103" i="7"/>
  <c r="CK325" i="82"/>
  <c r="CK406" i="82" s="1"/>
  <c r="CI46" i="3"/>
  <c r="CA170" i="7"/>
  <c r="CN46" i="3"/>
  <c r="CO325" i="82"/>
  <c r="BE46" i="3"/>
  <c r="CP46" i="3"/>
  <c r="AU66" i="3"/>
  <c r="CA247" i="7"/>
  <c r="CP325" i="82"/>
  <c r="CP272" i="82" s="1"/>
  <c r="CP414" i="82" s="1"/>
  <c r="DA325" i="82"/>
  <c r="AU18" i="3"/>
  <c r="O28" i="3"/>
  <c r="D46" i="3"/>
  <c r="BQ70" i="3"/>
  <c r="CC70" i="3"/>
  <c r="BT73" i="3"/>
  <c r="CM81" i="3"/>
  <c r="K64" i="3"/>
  <c r="CY380" i="82"/>
  <c r="P17" i="3"/>
  <c r="BY169" i="7"/>
  <c r="CU74" i="2"/>
  <c r="BE18" i="3"/>
  <c r="CM70" i="3"/>
  <c r="L113" i="3"/>
  <c r="CW218" i="82"/>
  <c r="DF232" i="82"/>
  <c r="DJ281" i="82"/>
  <c r="DK281" i="82"/>
  <c r="DA262" i="82"/>
  <c r="CS94" i="1"/>
  <c r="CV100" i="1"/>
  <c r="CN117" i="1"/>
  <c r="CL126" i="1"/>
  <c r="CD117" i="1"/>
  <c r="DH308" i="1"/>
  <c r="DH132" i="39" s="1"/>
  <c r="DF27" i="1"/>
  <c r="AM37" i="1"/>
  <c r="CP37" i="1"/>
  <c r="CO496" i="1"/>
  <c r="CF100" i="1"/>
  <c r="CF604" i="1" s="1"/>
  <c r="DM111" i="1"/>
  <c r="CG117" i="1"/>
  <c r="CQ117" i="1"/>
  <c r="AT530" i="1"/>
  <c r="AH321" i="1"/>
  <c r="CR366" i="1"/>
  <c r="BF428" i="1"/>
  <c r="BF429" i="1" s="1"/>
  <c r="BK41" i="1"/>
  <c r="T376" i="1"/>
  <c r="Q381" i="1"/>
  <c r="CX424" i="1"/>
  <c r="AD8" i="2"/>
  <c r="S29" i="1"/>
  <c r="CI35" i="1"/>
  <c r="AF41" i="1"/>
  <c r="BT116" i="1"/>
  <c r="CS527" i="1"/>
  <c r="AY36" i="1"/>
  <c r="AW42" i="1" s="1"/>
  <c r="AN393" i="1"/>
  <c r="AN405" i="1" s="1"/>
  <c r="DH27" i="1"/>
  <c r="CM30" i="1"/>
  <c r="CY35" i="1"/>
  <c r="CW36" i="1"/>
  <c r="AI90" i="1"/>
  <c r="CN104" i="1"/>
  <c r="CX100" i="1"/>
  <c r="BD530" i="1"/>
  <c r="CX66" i="1"/>
  <c r="R29" i="1"/>
  <c r="CG95" i="1"/>
  <c r="BL116" i="1"/>
  <c r="BV116" i="1"/>
  <c r="CK116" i="1"/>
  <c r="CK617" i="1" s="1"/>
  <c r="CU116" i="1"/>
  <c r="CU617" i="1" s="1"/>
  <c r="DJ511" i="1"/>
  <c r="AU259" i="82"/>
  <c r="AE56" i="2"/>
  <c r="BS365" i="2"/>
  <c r="CC370" i="2"/>
  <c r="BY391" i="2"/>
  <c r="BB99" i="1"/>
  <c r="CF386" i="1"/>
  <c r="DB26" i="2"/>
  <c r="CH22" i="2"/>
  <c r="DL187" i="2"/>
  <c r="X70" i="1"/>
  <c r="BG106" i="1"/>
  <c r="AP60" i="7"/>
  <c r="AQ53" i="7"/>
  <c r="AQ60" i="7" s="1"/>
  <c r="CK189" i="2"/>
  <c r="CS189" i="2"/>
  <c r="DA189" i="2"/>
  <c r="DI189" i="2"/>
  <c r="DK189" i="2"/>
  <c r="AO26" i="7"/>
  <c r="CE26" i="7"/>
  <c r="CN60" i="7"/>
  <c r="BL67" i="7"/>
  <c r="BV67" i="7"/>
  <c r="BF70" i="7"/>
  <c r="CJ70" i="7"/>
  <c r="V170" i="7"/>
  <c r="CC239" i="7"/>
  <c r="CD239" i="7" s="1"/>
  <c r="CF243" i="7"/>
  <c r="CN190" i="2"/>
  <c r="BJ71" i="7"/>
  <c r="CM26" i="7"/>
  <c r="AS34" i="7"/>
  <c r="AS38" i="7" s="1"/>
  <c r="AI50" i="7"/>
  <c r="BO60" i="7"/>
  <c r="BN70" i="7"/>
  <c r="BV103" i="7"/>
  <c r="BV170" i="7"/>
  <c r="CH218" i="7"/>
  <c r="CH234" i="7" s="1"/>
  <c r="CH235" i="7" s="1"/>
  <c r="CI208" i="7"/>
  <c r="CV190" i="2"/>
  <c r="CI16" i="7"/>
  <c r="BE26" i="7"/>
  <c r="CA50" i="7"/>
  <c r="BR70" i="7"/>
  <c r="AH88" i="7"/>
  <c r="AH87" i="7" s="1"/>
  <c r="AP88" i="7"/>
  <c r="AP87" i="7" s="1"/>
  <c r="BE88" i="7"/>
  <c r="BS88" i="7"/>
  <c r="CC88" i="7"/>
  <c r="CC87" i="7" s="1"/>
  <c r="CG254" i="7"/>
  <c r="CO189" i="2"/>
  <c r="CW189" i="2"/>
  <c r="DE189" i="2"/>
  <c r="DD190" i="2"/>
  <c r="BT16" i="7"/>
  <c r="BT26" i="7" s="1"/>
  <c r="BG26" i="7"/>
  <c r="BT60" i="7"/>
  <c r="BG67" i="7"/>
  <c r="BQ67" i="7"/>
  <c r="BV70" i="7"/>
  <c r="BZ71" i="7"/>
  <c r="BB103" i="7"/>
  <c r="BB102" i="7" s="1"/>
  <c r="Y26" i="7"/>
  <c r="BF103" i="7"/>
  <c r="BF100" i="7" s="1"/>
  <c r="CF103" i="7"/>
  <c r="CB170" i="7"/>
  <c r="CI189" i="2"/>
  <c r="CQ189" i="2"/>
  <c r="CY189" i="2"/>
  <c r="CU189" i="2"/>
  <c r="AA26" i="7"/>
  <c r="BU26" i="7"/>
  <c r="N62" i="7"/>
  <c r="N63" i="7" s="1"/>
  <c r="BS67" i="7"/>
  <c r="CB67" i="7"/>
  <c r="CB70" i="7"/>
  <c r="CF71" i="7"/>
  <c r="AA103" i="7"/>
  <c r="AA102" i="7" s="1"/>
  <c r="AI103" i="7"/>
  <c r="AI102" i="7" s="1"/>
  <c r="AQ103" i="7"/>
  <c r="AQ100" i="7" s="1"/>
  <c r="AY103" i="7"/>
  <c r="AY100" i="7" s="1"/>
  <c r="BG103" i="7"/>
  <c r="BG102" i="7" s="1"/>
  <c r="CK103" i="7"/>
  <c r="AL103" i="7"/>
  <c r="AL100" i="7" s="1"/>
  <c r="CH103" i="7"/>
  <c r="CI209" i="7"/>
  <c r="BR234" i="7"/>
  <c r="BR235" i="7" s="1"/>
  <c r="CZ189" i="2"/>
  <c r="AG26" i="7"/>
  <c r="CC26" i="7"/>
  <c r="AJ38" i="7"/>
  <c r="CH70" i="7"/>
  <c r="CH71" i="7"/>
  <c r="BN88" i="7"/>
  <c r="BN85" i="7" s="1"/>
  <c r="AP103" i="7"/>
  <c r="AP102" i="7" s="1"/>
  <c r="BN103" i="7"/>
  <c r="CL103" i="7"/>
  <c r="R170" i="7"/>
  <c r="CT272" i="82"/>
  <c r="CT414" i="82" s="1"/>
  <c r="R74" i="3"/>
  <c r="BC81" i="3"/>
  <c r="CE247" i="7"/>
  <c r="CX325" i="82"/>
  <c r="CX272" i="82" s="1"/>
  <c r="CX414" i="82" s="1"/>
  <c r="T16" i="3"/>
  <c r="T113" i="3" s="1"/>
  <c r="I66" i="3"/>
  <c r="I18" i="3" s="1"/>
  <c r="AI66" i="3"/>
  <c r="AI18" i="3" s="1"/>
  <c r="J61" i="3"/>
  <c r="K61" i="3" s="1"/>
  <c r="BY66" i="3"/>
  <c r="AL74" i="3"/>
  <c r="CH74" i="3"/>
  <c r="BG81" i="3"/>
  <c r="DJ325" i="82"/>
  <c r="DJ305" i="82" s="1"/>
  <c r="AE17" i="3"/>
  <c r="J23" i="3"/>
  <c r="T168" i="7" s="1"/>
  <c r="AK23" i="3"/>
  <c r="AD28" i="3"/>
  <c r="T44" i="3"/>
  <c r="Y48" i="3"/>
  <c r="J58" i="3"/>
  <c r="K58" i="3" s="1"/>
  <c r="T59" i="3"/>
  <c r="U59" i="3" s="1"/>
  <c r="BQ66" i="3"/>
  <c r="BQ18" i="3" s="1"/>
  <c r="CD66" i="3"/>
  <c r="CD18" i="3" s="1"/>
  <c r="CN66" i="3"/>
  <c r="CN18" i="3" s="1"/>
  <c r="X73" i="3"/>
  <c r="AT74" i="3"/>
  <c r="CJ74" i="3"/>
  <c r="W81" i="3"/>
  <c r="BK81" i="3"/>
  <c r="CG247" i="7"/>
  <c r="O13" i="3"/>
  <c r="CL74" i="3"/>
  <c r="AG81" i="3"/>
  <c r="BM81" i="3"/>
  <c r="Q113" i="3"/>
  <c r="AG55" i="2"/>
  <c r="O23" i="3"/>
  <c r="AC46" i="3"/>
  <c r="S66" i="3"/>
  <c r="S18" i="3" s="1"/>
  <c r="AZ66" i="3"/>
  <c r="BR74" i="3"/>
  <c r="AM81" i="3"/>
  <c r="BX55" i="2"/>
  <c r="CM55" i="2"/>
  <c r="CL325" i="82"/>
  <c r="D32" i="3"/>
  <c r="Y28" i="3"/>
  <c r="X32" i="3"/>
  <c r="O48" i="3"/>
  <c r="BO66" i="3"/>
  <c r="J59" i="3"/>
  <c r="K59" i="3" s="1"/>
  <c r="P62" i="3"/>
  <c r="E64" i="3"/>
  <c r="F64" i="3" s="1"/>
  <c r="CL70" i="3"/>
  <c r="CQ71" i="3" s="1"/>
  <c r="CE74" i="3"/>
  <c r="AY81" i="3"/>
  <c r="CC247" i="7"/>
  <c r="CX218" i="82"/>
  <c r="CL503" i="1"/>
  <c r="CQ508" i="1"/>
  <c r="CQ227" i="82"/>
  <c r="DB217" i="82"/>
  <c r="CT232" i="82"/>
  <c r="DM281" i="82"/>
  <c r="DG200" i="82"/>
  <c r="CM251" i="82"/>
  <c r="DM232" i="82"/>
  <c r="DO291" i="82"/>
  <c r="DP291" i="82"/>
  <c r="CQ194" i="82"/>
  <c r="DB215" i="82"/>
  <c r="DE232" i="82"/>
  <c r="CR257" i="82"/>
  <c r="CP253" i="82"/>
  <c r="BC41" i="1"/>
  <c r="CQ95" i="1"/>
  <c r="CR23" i="1"/>
  <c r="DI27" i="1"/>
  <c r="CP28" i="1"/>
  <c r="AU35" i="1"/>
  <c r="AR37" i="1"/>
  <c r="CI94" i="1"/>
  <c r="CN94" i="1"/>
  <c r="CF95" i="1"/>
  <c r="CE125" i="1"/>
  <c r="BF321" i="1"/>
  <c r="BX366" i="1"/>
  <c r="AO404" i="1"/>
  <c r="O259" i="82"/>
  <c r="CJ117" i="1"/>
  <c r="W41" i="1"/>
  <c r="AA8" i="2"/>
  <c r="DG64" i="1"/>
  <c r="BN91" i="1"/>
  <c r="CI95" i="1"/>
  <c r="AH99" i="1"/>
  <c r="AM100" i="1" s="1"/>
  <c r="CL117" i="1"/>
  <c r="CM318" i="1"/>
  <c r="DE321" i="1"/>
  <c r="AU394" i="1"/>
  <c r="AU406" i="1" s="1"/>
  <c r="BW423" i="1"/>
  <c r="BW424" i="1" s="1"/>
  <c r="BW425" i="1" s="1"/>
  <c r="BD434" i="1"/>
  <c r="CT117" i="1"/>
  <c r="W491" i="1"/>
  <c r="AB386" i="1"/>
  <c r="AB8" i="2"/>
  <c r="CE62" i="2"/>
  <c r="AJ36" i="1"/>
  <c r="CH23" i="1"/>
  <c r="AH28" i="1"/>
  <c r="CK37" i="1"/>
  <c r="DC63" i="1"/>
  <c r="BJ116" i="1"/>
  <c r="DA527" i="1"/>
  <c r="BE527" i="1"/>
  <c r="Y321" i="1"/>
  <c r="AR321" i="1"/>
  <c r="BL321" i="1"/>
  <c r="CV321" i="1"/>
  <c r="DF321" i="1"/>
  <c r="CH366" i="1"/>
  <c r="AS393" i="1"/>
  <c r="AS405" i="1" s="1"/>
  <c r="AQ410" i="1"/>
  <c r="AQ412" i="1" s="1"/>
  <c r="AQ413" i="1" s="1"/>
  <c r="BD482" i="1"/>
  <c r="CT514" i="1"/>
  <c r="BB311" i="82"/>
  <c r="BG117" i="1"/>
  <c r="Q8" i="2"/>
  <c r="Q10" i="2" s="1"/>
  <c r="DC28" i="1"/>
  <c r="AU37" i="1"/>
  <c r="CV37" i="1"/>
  <c r="DF496" i="1"/>
  <c r="CQ496" i="1"/>
  <c r="DA68" i="1"/>
  <c r="DA184" i="1" s="1"/>
  <c r="CH91" i="1"/>
  <c r="CH598" i="1" s="1"/>
  <c r="CK95" i="1"/>
  <c r="CU95" i="1"/>
  <c r="CE117" i="1"/>
  <c r="CO117" i="1"/>
  <c r="CL116" i="1"/>
  <c r="DJ307" i="1"/>
  <c r="DJ308" i="1" s="1"/>
  <c r="DJ132" i="39" s="1"/>
  <c r="U318" i="1"/>
  <c r="AI321" i="1"/>
  <c r="DH321" i="1"/>
  <c r="Q376" i="1"/>
  <c r="CV506" i="1"/>
  <c r="CK259" i="82"/>
  <c r="BL428" i="1"/>
  <c r="BL429" i="1" s="1"/>
  <c r="BT28" i="1"/>
  <c r="CD41" i="1"/>
  <c r="CN41" i="1"/>
  <c r="DC68" i="1"/>
  <c r="DC184" i="1" s="1"/>
  <c r="DC179" i="1" s="1"/>
  <c r="AH93" i="1"/>
  <c r="DH102" i="1"/>
  <c r="DH603" i="1" s="1"/>
  <c r="AG125" i="1"/>
  <c r="CY527" i="1"/>
  <c r="AB321" i="1"/>
  <c r="BD366" i="1"/>
  <c r="S376" i="1"/>
  <c r="AD392" i="1"/>
  <c r="AF394" i="1" s="1"/>
  <c r="AF406" i="1" s="1"/>
  <c r="CQ416" i="1"/>
  <c r="AT434" i="1"/>
  <c r="CH531" i="1"/>
  <c r="DK296" i="82"/>
  <c r="BV392" i="2"/>
  <c r="AH13" i="2"/>
  <c r="AJ10" i="2"/>
  <c r="DL23" i="2"/>
  <c r="DL278" i="2" s="1"/>
  <c r="CZ199" i="2"/>
  <c r="DQ225" i="2"/>
  <c r="CC371" i="2"/>
  <c r="CC372" i="2"/>
  <c r="BY393" i="2"/>
  <c r="CF333" i="1"/>
  <c r="DK333" i="1"/>
  <c r="CI236" i="7"/>
  <c r="DB46" i="2"/>
  <c r="DG235" i="2"/>
  <c r="BZ392" i="2"/>
  <c r="Y70" i="1"/>
  <c r="BG332" i="1"/>
  <c r="DF279" i="82"/>
  <c r="CA391" i="2"/>
  <c r="U69" i="1"/>
  <c r="U170" i="1" s="1"/>
  <c r="CX204" i="82"/>
  <c r="DK204" i="82"/>
  <c r="DL47" i="2"/>
  <c r="BX49" i="2"/>
  <c r="BS373" i="2"/>
  <c r="DQ317" i="82"/>
  <c r="DM224" i="2"/>
  <c r="BM29" i="2"/>
  <c r="P13" i="2"/>
  <c r="CR41" i="2"/>
  <c r="DL41" i="2"/>
  <c r="CD236" i="7"/>
  <c r="R7" i="11"/>
  <c r="Q7" i="11" s="1"/>
  <c r="CY297" i="82"/>
  <c r="DG222" i="82"/>
  <c r="CX232" i="82"/>
  <c r="CM245" i="82"/>
  <c r="DD218" i="82"/>
  <c r="CR221" i="82"/>
  <c r="CR222" i="82"/>
  <c r="DF281" i="82"/>
  <c r="CQ213" i="82"/>
  <c r="DI281" i="82"/>
  <c r="CK415" i="82"/>
  <c r="DH281" i="82"/>
  <c r="DA204" i="82"/>
  <c r="DA205" i="82" s="1"/>
  <c r="CL194" i="82"/>
  <c r="CQ251" i="82"/>
  <c r="CB364" i="2"/>
  <c r="AM28" i="1"/>
  <c r="AO36" i="1"/>
  <c r="AK28" i="1"/>
  <c r="CX23" i="1"/>
  <c r="X41" i="1"/>
  <c r="X42" i="1"/>
  <c r="CP95" i="1"/>
  <c r="AD125" i="1"/>
  <c r="AN126" i="1"/>
  <c r="BM125" i="1"/>
  <c r="BG416" i="1"/>
  <c r="BG417" i="1" s="1"/>
  <c r="BG418" i="1" s="1"/>
  <c r="BG410" i="1"/>
  <c r="BG412" i="1" s="1"/>
  <c r="BG413" i="1" s="1"/>
  <c r="BW464" i="1"/>
  <c r="CM503" i="1"/>
  <c r="CJ515" i="1"/>
  <c r="DI21" i="1"/>
  <c r="CK102" i="1"/>
  <c r="CK118" i="1"/>
  <c r="DF23" i="1"/>
  <c r="Y386" i="1"/>
  <c r="Y385" i="1"/>
  <c r="AB41" i="1"/>
  <c r="AB37" i="1"/>
  <c r="BF28" i="1"/>
  <c r="BE28" i="1"/>
  <c r="CY27" i="1"/>
  <c r="DD28" i="1"/>
  <c r="AJ23" i="1"/>
  <c r="BX23" i="1"/>
  <c r="AD385" i="1"/>
  <c r="CV462" i="1"/>
  <c r="CV464" i="1"/>
  <c r="DA478" i="1"/>
  <c r="BZ364" i="2"/>
  <c r="R8" i="2"/>
  <c r="R9" i="2" s="1"/>
  <c r="AC8" i="2"/>
  <c r="CZ28" i="1"/>
  <c r="CU118" i="1"/>
  <c r="CU121" i="1" s="1"/>
  <c r="BN320" i="1"/>
  <c r="BT330" i="1"/>
  <c r="BI393" i="1"/>
  <c r="BI405" i="1" s="1"/>
  <c r="BI404" i="1"/>
  <c r="BI412" i="1" s="1"/>
  <c r="BW28" i="1"/>
  <c r="BV28" i="1"/>
  <c r="DA27" i="1"/>
  <c r="CX27" i="1"/>
  <c r="AA28" i="1"/>
  <c r="AH35" i="1"/>
  <c r="AI35" i="1"/>
  <c r="AG35" i="1"/>
  <c r="CG35" i="1"/>
  <c r="CE35" i="1"/>
  <c r="CS37" i="1"/>
  <c r="DM496" i="1"/>
  <c r="CE395" i="1"/>
  <c r="CE527" i="1"/>
  <c r="CO423" i="1"/>
  <c r="CO424" i="1" s="1"/>
  <c r="CO406" i="1"/>
  <c r="BM35" i="1"/>
  <c r="CT35" i="1"/>
  <c r="BH37" i="1"/>
  <c r="AC41" i="1"/>
  <c r="DC65" i="1"/>
  <c r="CI69" i="1"/>
  <c r="CI170" i="1" s="1"/>
  <c r="AM91" i="1"/>
  <c r="CE95" i="1"/>
  <c r="CP100" i="1"/>
  <c r="CP604" i="1" s="1"/>
  <c r="BJ102" i="1"/>
  <c r="BJ603" i="1" s="1"/>
  <c r="DH112" i="1"/>
  <c r="CG116" i="1"/>
  <c r="BJ117" i="1"/>
  <c r="CS118" i="1"/>
  <c r="CS121" i="1" s="1"/>
  <c r="AD121" i="1"/>
  <c r="BW125" i="1"/>
  <c r="CJ126" i="1"/>
  <c r="CR530" i="1"/>
  <c r="CZ307" i="1"/>
  <c r="CZ308" i="1" s="1"/>
  <c r="CZ132" i="39" s="1"/>
  <c r="DC321" i="1"/>
  <c r="DL320" i="1"/>
  <c r="DM330" i="1"/>
  <c r="AI385" i="1"/>
  <c r="AD386" i="1"/>
  <c r="CG410" i="1"/>
  <c r="CG412" i="1" s="1"/>
  <c r="CG413" i="1" s="1"/>
  <c r="BV416" i="1"/>
  <c r="BV417" i="1" s="1"/>
  <c r="BV418" i="1" s="1"/>
  <c r="BH423" i="1"/>
  <c r="BH424" i="1" s="1"/>
  <c r="BH425" i="1" s="1"/>
  <c r="CV427" i="1"/>
  <c r="CV428" i="1" s="1"/>
  <c r="DC465" i="1"/>
  <c r="CH482" i="1"/>
  <c r="CH488" i="1"/>
  <c r="DB510" i="1"/>
  <c r="CV511" i="1"/>
  <c r="CH530" i="1"/>
  <c r="CP194" i="82"/>
  <c r="CO253" i="82"/>
  <c r="N259" i="82"/>
  <c r="AT259" i="82"/>
  <c r="CJ259" i="82"/>
  <c r="DE287" i="82"/>
  <c r="DI296" i="82"/>
  <c r="BU37" i="1"/>
  <c r="AM41" i="1"/>
  <c r="CK41" i="1"/>
  <c r="DF497" i="1"/>
  <c r="CZ65" i="1"/>
  <c r="BC91" i="1"/>
  <c r="BC598" i="1" s="1"/>
  <c r="DB91" i="1"/>
  <c r="DK91" i="1"/>
  <c r="DK598" i="1" s="1"/>
  <c r="DF100" i="1"/>
  <c r="DF604" i="1" s="1"/>
  <c r="BM102" i="1"/>
  <c r="AF106" i="1"/>
  <c r="CH115" i="1"/>
  <c r="AA116" i="1"/>
  <c r="CO116" i="1"/>
  <c r="CK117" i="1"/>
  <c r="AA120" i="1"/>
  <c r="AL125" i="1"/>
  <c r="CJ125" i="1"/>
  <c r="BK527" i="1"/>
  <c r="AG321" i="1"/>
  <c r="CW398" i="1"/>
  <c r="BV412" i="1"/>
  <c r="BV413" i="1" s="1"/>
  <c r="CS410" i="1"/>
  <c r="CS412" i="1" s="1"/>
  <c r="CS413" i="1" s="1"/>
  <c r="CG423" i="1"/>
  <c r="CG424" i="1" s="1"/>
  <c r="CG425" i="1" s="1"/>
  <c r="BN434" i="1"/>
  <c r="CH434" i="1"/>
  <c r="CW460" i="1"/>
  <c r="CW22" i="1" s="1"/>
  <c r="CQ464" i="1"/>
  <c r="CW468" i="1"/>
  <c r="V259" i="82"/>
  <c r="CR259" i="82"/>
  <c r="DK262" i="82"/>
  <c r="DI297" i="82"/>
  <c r="BJ311" i="82"/>
  <c r="CZ30" i="1"/>
  <c r="DD34" i="1"/>
  <c r="AP41" i="1"/>
  <c r="DD62" i="1"/>
  <c r="CU492" i="1"/>
  <c r="DH65" i="1"/>
  <c r="CW99" i="1"/>
  <c r="CW102" i="1" s="1"/>
  <c r="BW102" i="1"/>
  <c r="AM106" i="1"/>
  <c r="BK116" i="1"/>
  <c r="AF116" i="1"/>
  <c r="CT116" i="1"/>
  <c r="CT617" i="1" s="1"/>
  <c r="AC120" i="1"/>
  <c r="AL126" i="1"/>
  <c r="BM527" i="1"/>
  <c r="AO318" i="1"/>
  <c r="CD319" i="1"/>
  <c r="CS319" i="1"/>
  <c r="DC319" i="1"/>
  <c r="DM319" i="1"/>
  <c r="Z320" i="1"/>
  <c r="DD331" i="1"/>
  <c r="BW417" i="1"/>
  <c r="BW418" i="1" s="1"/>
  <c r="CQ423" i="1"/>
  <c r="CQ424" i="1" s="1"/>
  <c r="W259" i="82"/>
  <c r="BC259" i="82"/>
  <c r="DC295" i="82"/>
  <c r="F311" i="82"/>
  <c r="BR311" i="82"/>
  <c r="DB30" i="1"/>
  <c r="BW37" i="1"/>
  <c r="DJ58" i="1"/>
  <c r="DI48" i="1"/>
  <c r="DE496" i="1"/>
  <c r="DG93" i="1"/>
  <c r="AN105" i="1"/>
  <c r="DM112" i="1"/>
  <c r="BB617" i="1"/>
  <c r="BG116" i="1"/>
  <c r="BK118" i="1"/>
  <c r="BK620" i="1" s="1"/>
  <c r="AD120" i="1"/>
  <c r="BI318" i="1"/>
  <c r="AA321" i="1"/>
  <c r="AS321" i="1"/>
  <c r="BC321" i="1"/>
  <c r="BM321" i="1"/>
  <c r="CX321" i="1"/>
  <c r="Y331" i="1"/>
  <c r="BM331" i="1"/>
  <c r="DF331" i="1"/>
  <c r="AV411" i="1"/>
  <c r="CJ462" i="1"/>
  <c r="CP469" i="1"/>
  <c r="CQ506" i="1"/>
  <c r="BX530" i="1"/>
  <c r="CO247" i="82"/>
  <c r="AD259" i="82"/>
  <c r="DD100" i="1"/>
  <c r="BM116" i="1"/>
  <c r="AV126" i="1"/>
  <c r="AK321" i="1"/>
  <c r="BE321" i="1"/>
  <c r="BT321" i="1"/>
  <c r="AS404" i="1"/>
  <c r="AU422" i="1" s="1"/>
  <c r="AU423" i="1" s="1"/>
  <c r="AU424" i="1" s="1"/>
  <c r="BK424" i="1"/>
  <c r="BK425" i="1" s="1"/>
  <c r="CT406" i="1"/>
  <c r="BH427" i="1"/>
  <c r="BH428" i="1" s="1"/>
  <c r="BH429" i="1" s="1"/>
  <c r="CN462" i="1"/>
  <c r="CT469" i="1"/>
  <c r="CX472" i="1"/>
  <c r="DH511" i="1"/>
  <c r="CP240" i="82"/>
  <c r="CP247" i="82"/>
  <c r="AE259" i="82"/>
  <c r="BK259" i="82"/>
  <c r="CR311" i="82"/>
  <c r="CR30" i="1"/>
  <c r="AV35" i="1"/>
  <c r="CJ35" i="1"/>
  <c r="CZ66" i="1"/>
  <c r="AK69" i="1"/>
  <c r="AK170" i="1" s="1"/>
  <c r="BX93" i="1"/>
  <c r="DL90" i="1"/>
  <c r="DL96" i="1" s="1"/>
  <c r="CV95" i="1"/>
  <c r="CI117" i="1"/>
  <c r="CS116" i="1"/>
  <c r="AF117" i="1"/>
  <c r="CU117" i="1"/>
  <c r="V121" i="1"/>
  <c r="CU527" i="1"/>
  <c r="DI526" i="1"/>
  <c r="DI552" i="1" s="1"/>
  <c r="AZ319" i="1"/>
  <c r="AC321" i="1"/>
  <c r="AL321" i="1"/>
  <c r="AV321" i="1"/>
  <c r="DJ321" i="1"/>
  <c r="DJ333" i="1"/>
  <c r="BK410" i="1"/>
  <c r="BK412" i="1" s="1"/>
  <c r="BK413" i="1" s="1"/>
  <c r="BW427" i="1"/>
  <c r="BW428" i="1" s="1"/>
  <c r="BW429" i="1" s="1"/>
  <c r="BI434" i="1"/>
  <c r="BX434" i="1"/>
  <c r="CX469" i="1"/>
  <c r="BV484" i="1"/>
  <c r="DD506" i="1"/>
  <c r="CW510" i="1"/>
  <c r="BI530" i="1"/>
  <c r="CQ240" i="82"/>
  <c r="AL259" i="82"/>
  <c r="DC275" i="82"/>
  <c r="CS35" i="1"/>
  <c r="BG41" i="1"/>
  <c r="BV37" i="1"/>
  <c r="BC37" i="1"/>
  <c r="BL41" i="1"/>
  <c r="CZ497" i="1"/>
  <c r="DH66" i="1"/>
  <c r="BV69" i="1"/>
  <c r="BV170" i="1" s="1"/>
  <c r="AN93" i="1"/>
  <c r="CK94" i="1"/>
  <c r="DA102" i="1"/>
  <c r="BU100" i="1"/>
  <c r="CJ102" i="1"/>
  <c r="CD116" i="1"/>
  <c r="AG118" i="1"/>
  <c r="AB121" i="1"/>
  <c r="BJ528" i="1"/>
  <c r="BX395" i="1"/>
  <c r="DF526" i="1"/>
  <c r="DF533" i="1" s="1"/>
  <c r="CX319" i="1"/>
  <c r="DH319" i="1"/>
  <c r="AD321" i="1"/>
  <c r="BG321" i="1"/>
  <c r="CD321" i="1"/>
  <c r="DK321" i="1"/>
  <c r="BF331" i="1"/>
  <c r="CD383" i="1"/>
  <c r="BE394" i="1"/>
  <c r="BE406" i="1" s="1"/>
  <c r="AC395" i="1"/>
  <c r="AC404" i="1"/>
  <c r="BT410" i="1"/>
  <c r="BT412" i="1" s="1"/>
  <c r="BT413" i="1" s="1"/>
  <c r="CV423" i="1"/>
  <c r="CV424" i="1" s="1"/>
  <c r="CG427" i="1"/>
  <c r="CG428" i="1" s="1"/>
  <c r="CG429" i="1" s="1"/>
  <c r="CZ462" i="1"/>
  <c r="CX465" i="1"/>
  <c r="CF484" i="1"/>
  <c r="DF506" i="1"/>
  <c r="AO530" i="1"/>
  <c r="AY530" i="1"/>
  <c r="CO194" i="82"/>
  <c r="CO212" i="82" s="1"/>
  <c r="G259" i="82"/>
  <c r="AM259" i="82"/>
  <c r="BS259" i="82"/>
  <c r="DL261" i="82"/>
  <c r="DK275" i="82"/>
  <c r="DC296" i="82"/>
  <c r="DD279" i="82"/>
  <c r="DD269" i="82"/>
  <c r="DI279" i="82"/>
  <c r="DM204" i="82"/>
  <c r="DH204" i="82"/>
  <c r="CY412" i="82"/>
  <c r="CY269" i="82"/>
  <c r="BS367" i="2"/>
  <c r="CZ204" i="82"/>
  <c r="BJ29" i="2"/>
  <c r="CC12" i="2"/>
  <c r="CE390" i="2"/>
  <c r="U56" i="2"/>
  <c r="DL198" i="2"/>
  <c r="DH199" i="2"/>
  <c r="BS374" i="2"/>
  <c r="BE106" i="1"/>
  <c r="CZ333" i="1"/>
  <c r="AI387" i="1"/>
  <c r="CR317" i="82"/>
  <c r="DE224" i="2"/>
  <c r="Y80" i="1"/>
  <c r="CY204" i="82"/>
  <c r="AO61" i="2"/>
  <c r="AR86" i="2"/>
  <c r="BF13" i="2"/>
  <c r="CW24" i="2"/>
  <c r="CW41" i="2"/>
  <c r="CG198" i="2"/>
  <c r="DF199" i="2"/>
  <c r="DB317" i="82"/>
  <c r="K13" i="2"/>
  <c r="BK29" i="2"/>
  <c r="CX11" i="2"/>
  <c r="CF390" i="2"/>
  <c r="CX22" i="2"/>
  <c r="BD47" i="2"/>
  <c r="BS364" i="2"/>
  <c r="CC366" i="2"/>
  <c r="CC369" i="2"/>
  <c r="BS375" i="2"/>
  <c r="BY392" i="2"/>
  <c r="BJ106" i="1"/>
  <c r="W332" i="1"/>
  <c r="BK331" i="1"/>
  <c r="DA333" i="1"/>
  <c r="AE384" i="1"/>
  <c r="CW319" i="82"/>
  <c r="CW201" i="82" s="1"/>
  <c r="AL63" i="2"/>
  <c r="DB198" i="2"/>
  <c r="CY200" i="2"/>
  <c r="CC374" i="2"/>
  <c r="CW317" i="82"/>
  <c r="BB86" i="2"/>
  <c r="CP26" i="2"/>
  <c r="T93" i="2"/>
  <c r="BI47" i="2"/>
  <c r="DA200" i="2"/>
  <c r="DI331" i="1"/>
  <c r="BY17" i="3"/>
  <c r="CW198" i="2"/>
  <c r="DK331" i="1"/>
  <c r="W385" i="1"/>
  <c r="AM13" i="2"/>
  <c r="CX19" i="2"/>
  <c r="CM24" i="2"/>
  <c r="CS92" i="2"/>
  <c r="CC365" i="2"/>
  <c r="CC375" i="2"/>
  <c r="BG99" i="1"/>
  <c r="BG102" i="1" s="1"/>
  <c r="Y333" i="1"/>
  <c r="BM333" i="1"/>
  <c r="Y332" i="1"/>
  <c r="X386" i="1"/>
  <c r="CZ392" i="82"/>
  <c r="CN236" i="7"/>
  <c r="CH19" i="2"/>
  <c r="DG30" i="2"/>
  <c r="Z56" i="2"/>
  <c r="AJ56" i="2"/>
  <c r="DB56" i="2"/>
  <c r="DL56" i="2"/>
  <c r="CX199" i="2"/>
  <c r="DI200" i="2"/>
  <c r="DL225" i="2"/>
  <c r="BS366" i="2"/>
  <c r="BS368" i="2"/>
  <c r="BS369" i="2"/>
  <c r="BS371" i="2"/>
  <c r="CC373" i="2"/>
  <c r="V70" i="1"/>
  <c r="W80" i="1"/>
  <c r="BB333" i="1"/>
  <c r="AA386" i="1"/>
  <c r="DL317" i="82"/>
  <c r="D9" i="11"/>
  <c r="CG89" i="2"/>
  <c r="CO66" i="2"/>
  <c r="CO89" i="2"/>
  <c r="CQ91" i="2"/>
  <c r="CQ68" i="2"/>
  <c r="CI91" i="2"/>
  <c r="CI68" i="2"/>
  <c r="CI328" i="1"/>
  <c r="CI66" i="2"/>
  <c r="CI89" i="2"/>
  <c r="CI26" i="2"/>
  <c r="CQ89" i="2"/>
  <c r="CQ66" i="2"/>
  <c r="CP67" i="2"/>
  <c r="CJ328" i="1"/>
  <c r="CJ66" i="2"/>
  <c r="CJ89" i="2"/>
  <c r="CJ26" i="2"/>
  <c r="CX66" i="2"/>
  <c r="CS89" i="2"/>
  <c r="CS66" i="2"/>
  <c r="CZ68" i="2"/>
  <c r="CU68" i="2"/>
  <c r="CU91" i="2"/>
  <c r="CK89" i="2"/>
  <c r="CK66" i="2"/>
  <c r="CI67" i="2"/>
  <c r="DA68" i="2"/>
  <c r="CX91" i="2"/>
  <c r="CV68" i="2"/>
  <c r="CV91" i="2"/>
  <c r="CJ90" i="2"/>
  <c r="CJ67" i="2"/>
  <c r="CN91" i="2"/>
  <c r="CN68" i="2"/>
  <c r="CR23" i="2"/>
  <c r="CO91" i="2"/>
  <c r="CO68" i="2"/>
  <c r="CG91" i="2"/>
  <c r="CP91" i="2"/>
  <c r="H9" i="113"/>
  <c r="AN365" i="2"/>
  <c r="AO383" i="2"/>
  <c r="AL365" i="2"/>
  <c r="AK365" i="2"/>
  <c r="AM365" i="2"/>
  <c r="AO338" i="2"/>
  <c r="DF85" i="2"/>
  <c r="DF62" i="2"/>
  <c r="Z80" i="7"/>
  <c r="Z172" i="7" s="1"/>
  <c r="AF389" i="1"/>
  <c r="AF377" i="2"/>
  <c r="AF379" i="2"/>
  <c r="AF381" i="2"/>
  <c r="AF378" i="2"/>
  <c r="AF380" i="2"/>
  <c r="AX385" i="2"/>
  <c r="AX342" i="2"/>
  <c r="CQ360" i="2"/>
  <c r="CQ343" i="2"/>
  <c r="Q9" i="113"/>
  <c r="CN365" i="2"/>
  <c r="CN101" i="2"/>
  <c r="D8" i="113"/>
  <c r="U383" i="2"/>
  <c r="S364" i="2"/>
  <c r="R364" i="2"/>
  <c r="Q364" i="2"/>
  <c r="U337" i="2"/>
  <c r="T364" i="2"/>
  <c r="U61" i="2"/>
  <c r="BC383" i="2"/>
  <c r="BC364" i="2"/>
  <c r="BE354" i="2"/>
  <c r="BC354" i="2"/>
  <c r="BC61" i="2"/>
  <c r="BE84" i="2"/>
  <c r="BC84" i="2"/>
  <c r="BC337" i="2"/>
  <c r="AU105" i="1"/>
  <c r="AU383" i="2"/>
  <c r="AU338" i="2"/>
  <c r="AU85" i="2"/>
  <c r="AZ338" i="2"/>
  <c r="AU62" i="2"/>
  <c r="AV355" i="2"/>
  <c r="AU355" i="2"/>
  <c r="AZ62" i="2"/>
  <c r="BV85" i="2"/>
  <c r="BV338" i="2"/>
  <c r="BV355" i="2"/>
  <c r="BV62" i="2"/>
  <c r="CJ338" i="2"/>
  <c r="CJ62" i="2"/>
  <c r="CJ355" i="2"/>
  <c r="CS338" i="2"/>
  <c r="CS85" i="2"/>
  <c r="CS62" i="2"/>
  <c r="CS355" i="2"/>
  <c r="DA85" i="2"/>
  <c r="DA62" i="2"/>
  <c r="DI62" i="2"/>
  <c r="DI85" i="2"/>
  <c r="AC80" i="7"/>
  <c r="AC83" i="7" s="1"/>
  <c r="AI379" i="2"/>
  <c r="AI380" i="2"/>
  <c r="AI389" i="1"/>
  <c r="AI377" i="2"/>
  <c r="AI378" i="2"/>
  <c r="AI381" i="2"/>
  <c r="AI86" i="2"/>
  <c r="AI356" i="2"/>
  <c r="AI80" i="7"/>
  <c r="AI94" i="7" s="1"/>
  <c r="AQ356" i="2"/>
  <c r="AQ339" i="2"/>
  <c r="AQ86" i="2"/>
  <c r="AQ63" i="2"/>
  <c r="AV80" i="7"/>
  <c r="AV92" i="7" s="1"/>
  <c r="BG339" i="2"/>
  <c r="BG356" i="2"/>
  <c r="BG63" i="2"/>
  <c r="BG86" i="2"/>
  <c r="AH384" i="2"/>
  <c r="AH377" i="2"/>
  <c r="AI357" i="2"/>
  <c r="AH357" i="2"/>
  <c r="AQ377" i="2"/>
  <c r="AQ384" i="2"/>
  <c r="AQ340" i="2"/>
  <c r="AQ357" i="2"/>
  <c r="BG377" i="2"/>
  <c r="BG340" i="2"/>
  <c r="BG384" i="2"/>
  <c r="BG357" i="2"/>
  <c r="BU367" i="2"/>
  <c r="BT367" i="2"/>
  <c r="BW367" i="2"/>
  <c r="BV367" i="2"/>
  <c r="BX340" i="2"/>
  <c r="CC340" i="2"/>
  <c r="CN340" i="2"/>
  <c r="CE12" i="2"/>
  <c r="AK385" i="2"/>
  <c r="AK378" i="2"/>
  <c r="AK342" i="2"/>
  <c r="AS385" i="2"/>
  <c r="AS342" i="2"/>
  <c r="BA385" i="2"/>
  <c r="BA378" i="2"/>
  <c r="BA342" i="2"/>
  <c r="BI15" i="2"/>
  <c r="CH384" i="1"/>
  <c r="CF369" i="2"/>
  <c r="CD369" i="2"/>
  <c r="CE369" i="2"/>
  <c r="CH342" i="2"/>
  <c r="CP384" i="1"/>
  <c r="CP383" i="1"/>
  <c r="CP390" i="2"/>
  <c r="CP359" i="2"/>
  <c r="CP342" i="2"/>
  <c r="DG390" i="2"/>
  <c r="DF105" i="2"/>
  <c r="DE105" i="2"/>
  <c r="DD105" i="2"/>
  <c r="DG66" i="2"/>
  <c r="DC105" i="2"/>
  <c r="R370" i="2"/>
  <c r="Q370" i="2"/>
  <c r="T370" i="2"/>
  <c r="S370" i="2"/>
  <c r="U343" i="2"/>
  <c r="U386" i="2"/>
  <c r="BE386" i="2"/>
  <c r="BE360" i="2"/>
  <c r="BE379" i="2"/>
  <c r="BE343" i="2"/>
  <c r="BM386" i="2"/>
  <c r="BT360" i="2"/>
  <c r="BM360" i="2"/>
  <c r="BM379" i="2"/>
  <c r="BW343" i="2"/>
  <c r="BM343" i="2"/>
  <c r="CL360" i="2"/>
  <c r="CL343" i="2"/>
  <c r="CT360" i="2"/>
  <c r="CT343" i="2"/>
  <c r="DA106" i="2"/>
  <c r="CZ106" i="2"/>
  <c r="CY106" i="2"/>
  <c r="CX106" i="2"/>
  <c r="AN380" i="2"/>
  <c r="AN387" i="2"/>
  <c r="AN344" i="2"/>
  <c r="AV380" i="2"/>
  <c r="AV387" i="2"/>
  <c r="AV344" i="2"/>
  <c r="BL361" i="2"/>
  <c r="BV344" i="2"/>
  <c r="BL380" i="2"/>
  <c r="BL344" i="2"/>
  <c r="BL387" i="2"/>
  <c r="CK361" i="2"/>
  <c r="CK344" i="2"/>
  <c r="CS361" i="2"/>
  <c r="CS344" i="2"/>
  <c r="DG23" i="2"/>
  <c r="AD330" i="1"/>
  <c r="AN388" i="2"/>
  <c r="AN381" i="2"/>
  <c r="AN345" i="2"/>
  <c r="AN92" i="2"/>
  <c r="AN56" i="2"/>
  <c r="AN75" i="2"/>
  <c r="AL330" i="1"/>
  <c r="AV388" i="2"/>
  <c r="AV381" i="2"/>
  <c r="AV345" i="2"/>
  <c r="AV56" i="2"/>
  <c r="AV92" i="2"/>
  <c r="AV75" i="2"/>
  <c r="BD24" i="2"/>
  <c r="BN24" i="2"/>
  <c r="CL315" i="82"/>
  <c r="CL330" i="1"/>
  <c r="CL345" i="2"/>
  <c r="CL56" i="2"/>
  <c r="CL92" i="2"/>
  <c r="CL75" i="2"/>
  <c r="CT315" i="82"/>
  <c r="CY378" i="82" s="1"/>
  <c r="CT330" i="1"/>
  <c r="CT92" i="2"/>
  <c r="CT345" i="2"/>
  <c r="CT56" i="2"/>
  <c r="CT75" i="2"/>
  <c r="CM25" i="2"/>
  <c r="CM264" i="2" s="1"/>
  <c r="CM320" i="2" s="1"/>
  <c r="AC346" i="2"/>
  <c r="AC93" i="2"/>
  <c r="AC69" i="2"/>
  <c r="N15" i="113"/>
  <c r="R17" i="113"/>
  <c r="R478" i="113" s="1"/>
  <c r="CW320" i="82"/>
  <c r="CW202" i="82" s="1"/>
  <c r="I20" i="113"/>
  <c r="G8" i="11"/>
  <c r="AT52" i="2"/>
  <c r="S20" i="113"/>
  <c r="P8" i="11"/>
  <c r="DB52" i="2"/>
  <c r="AO62" i="2"/>
  <c r="CY75" i="2"/>
  <c r="BH84" i="2"/>
  <c r="CP365" i="2"/>
  <c r="CP355" i="2"/>
  <c r="CP338" i="2"/>
  <c r="CP85" i="2"/>
  <c r="CP101" i="2"/>
  <c r="CP62" i="2"/>
  <c r="AM80" i="7"/>
  <c r="AM83" i="7" s="1"/>
  <c r="AV63" i="2"/>
  <c r="AV339" i="2"/>
  <c r="BL377" i="2"/>
  <c r="BL384" i="2"/>
  <c r="BQ340" i="2"/>
  <c r="BL357" i="2"/>
  <c r="BL340" i="2"/>
  <c r="AE385" i="2"/>
  <c r="AD369" i="2"/>
  <c r="AB369" i="2"/>
  <c r="AA369" i="2"/>
  <c r="AE342" i="2"/>
  <c r="AC369" i="2"/>
  <c r="CU384" i="1"/>
  <c r="CU383" i="1"/>
  <c r="CU342" i="2"/>
  <c r="CU359" i="2"/>
  <c r="AS388" i="2"/>
  <c r="AI330" i="1"/>
  <c r="AS345" i="2"/>
  <c r="AS56" i="2"/>
  <c r="AS92" i="2"/>
  <c r="K8" i="113"/>
  <c r="BA364" i="2"/>
  <c r="BB364" i="2"/>
  <c r="AZ364" i="2"/>
  <c r="BW85" i="2"/>
  <c r="BW338" i="2"/>
  <c r="BW355" i="2"/>
  <c r="BW62" i="2"/>
  <c r="CK338" i="2"/>
  <c r="CK85" i="2"/>
  <c r="CK62" i="2"/>
  <c r="CK355" i="2"/>
  <c r="CT338" i="2"/>
  <c r="CT62" i="2"/>
  <c r="CT355" i="2"/>
  <c r="DJ62" i="2"/>
  <c r="DJ85" i="2"/>
  <c r="AJ9" i="2"/>
  <c r="AJ80" i="7"/>
  <c r="AJ92" i="7" s="1"/>
  <c r="AR339" i="2"/>
  <c r="AR63" i="2"/>
  <c r="AR356" i="2"/>
  <c r="AP80" i="7"/>
  <c r="AP83" i="7" s="1"/>
  <c r="AR384" i="2"/>
  <c r="AR377" i="2"/>
  <c r="AR340" i="2"/>
  <c r="AR357" i="2"/>
  <c r="AZ384" i="2"/>
  <c r="AZ377" i="2"/>
  <c r="AZ357" i="2"/>
  <c r="AZ340" i="2"/>
  <c r="CN12" i="2"/>
  <c r="AL13" i="2"/>
  <c r="BB13" i="2"/>
  <c r="BJ13" i="2"/>
  <c r="AL385" i="2"/>
  <c r="AL378" i="2"/>
  <c r="AL342" i="2"/>
  <c r="BB385" i="2"/>
  <c r="BB378" i="2"/>
  <c r="BJ359" i="2"/>
  <c r="BJ385" i="2"/>
  <c r="BJ342" i="2"/>
  <c r="BJ378" i="2"/>
  <c r="BT342" i="2"/>
  <c r="CI384" i="1"/>
  <c r="CI383" i="1"/>
  <c r="CI359" i="2"/>
  <c r="CI342" i="2"/>
  <c r="CI390" i="2"/>
  <c r="CQ384" i="1"/>
  <c r="CQ383" i="1"/>
  <c r="CQ359" i="2"/>
  <c r="CQ342" i="2"/>
  <c r="CR17" i="2"/>
  <c r="DL390" i="2"/>
  <c r="DH105" i="2"/>
  <c r="DK105" i="2"/>
  <c r="DJ105" i="2"/>
  <c r="DI105" i="2"/>
  <c r="DL66" i="2"/>
  <c r="Y370" i="2"/>
  <c r="W370" i="2"/>
  <c r="Z343" i="2"/>
  <c r="X370" i="2"/>
  <c r="V370" i="2"/>
  <c r="AP379" i="2"/>
  <c r="AP386" i="2"/>
  <c r="AP343" i="2"/>
  <c r="AX386" i="2"/>
  <c r="AX343" i="2"/>
  <c r="BF379" i="2"/>
  <c r="BF386" i="2"/>
  <c r="BF360" i="2"/>
  <c r="BF343" i="2"/>
  <c r="CM18" i="2"/>
  <c r="CU360" i="2"/>
  <c r="CU343" i="2"/>
  <c r="CQ20" i="2"/>
  <c r="DE106" i="2"/>
  <c r="DD106" i="2"/>
  <c r="DC106" i="2"/>
  <c r="DG67" i="2"/>
  <c r="DF106" i="2"/>
  <c r="T371" i="2"/>
  <c r="R371" i="2"/>
  <c r="U387" i="2"/>
  <c r="U344" i="2"/>
  <c r="S371" i="2"/>
  <c r="Q371" i="2"/>
  <c r="BE387" i="2"/>
  <c r="BE380" i="2"/>
  <c r="BE344" i="2"/>
  <c r="BE361" i="2"/>
  <c r="BM387" i="2"/>
  <c r="BM380" i="2"/>
  <c r="BM361" i="2"/>
  <c r="BT361" i="2"/>
  <c r="BM344" i="2"/>
  <c r="BW344" i="2"/>
  <c r="CL361" i="2"/>
  <c r="CL344" i="2"/>
  <c r="CT361" i="2"/>
  <c r="CT344" i="2"/>
  <c r="DJ328" i="1"/>
  <c r="DJ91" i="2"/>
  <c r="DJ68" i="2"/>
  <c r="S372" i="2"/>
  <c r="U388" i="2"/>
  <c r="R372" i="2"/>
  <c r="Q372" i="2"/>
  <c r="T372" i="2"/>
  <c r="U345" i="2"/>
  <c r="AU330" i="1"/>
  <c r="BE345" i="2"/>
  <c r="BE381" i="2"/>
  <c r="BE56" i="2"/>
  <c r="BE388" i="2"/>
  <c r="BE92" i="2"/>
  <c r="BE75" i="2"/>
  <c r="BT372" i="2"/>
  <c r="BW372" i="2"/>
  <c r="BV372" i="2"/>
  <c r="BU372" i="2"/>
  <c r="BX46" i="2"/>
  <c r="CU315" i="82"/>
  <c r="CZ378" i="82" s="1"/>
  <c r="CU330" i="1"/>
  <c r="CU92" i="2"/>
  <c r="CZ75" i="2"/>
  <c r="CU345" i="2"/>
  <c r="CU56" i="2"/>
  <c r="CU75" i="2"/>
  <c r="CU46" i="2"/>
  <c r="V346" i="2"/>
  <c r="V93" i="2"/>
  <c r="V69" i="2"/>
  <c r="AD346" i="2"/>
  <c r="AD93" i="2"/>
  <c r="AD69" i="2"/>
  <c r="BJ26" i="2"/>
  <c r="CE346" i="2"/>
  <c r="CE69" i="2"/>
  <c r="CE347" i="2"/>
  <c r="P15" i="113"/>
  <c r="CM319" i="82"/>
  <c r="CM201" i="82" s="1"/>
  <c r="U15" i="113"/>
  <c r="U406" i="113" s="1"/>
  <c r="DL319" i="82"/>
  <c r="DL201" i="82" s="1"/>
  <c r="S17" i="113"/>
  <c r="S478" i="113" s="1"/>
  <c r="DB320" i="82"/>
  <c r="DB202" i="82" s="1"/>
  <c r="DB230" i="2"/>
  <c r="J20" i="113"/>
  <c r="H8" i="11"/>
  <c r="AY52" i="2"/>
  <c r="T20" i="113"/>
  <c r="Q8" i="11"/>
  <c r="DG52" i="2"/>
  <c r="AV46" i="2"/>
  <c r="CE206" i="2"/>
  <c r="CX355" i="2"/>
  <c r="CX338" i="2"/>
  <c r="CX85" i="2"/>
  <c r="CX62" i="2"/>
  <c r="AG80" i="7"/>
  <c r="AG92" i="7" s="1"/>
  <c r="AN356" i="2"/>
  <c r="AN63" i="2"/>
  <c r="AN86" i="2"/>
  <c r="AN339" i="2"/>
  <c r="F384" i="2"/>
  <c r="F377" i="2"/>
  <c r="AS387" i="2"/>
  <c r="AS344" i="2"/>
  <c r="AA330" i="1"/>
  <c r="AK381" i="2"/>
  <c r="AK388" i="2"/>
  <c r="AK345" i="2"/>
  <c r="AK92" i="2"/>
  <c r="AK56" i="2"/>
  <c r="F8" i="113"/>
  <c r="AC364" i="2"/>
  <c r="AA364" i="2"/>
  <c r="AD364" i="2"/>
  <c r="AB364" i="2"/>
  <c r="BJ84" i="2"/>
  <c r="BH337" i="2"/>
  <c r="BM337" i="2"/>
  <c r="BH364" i="2"/>
  <c r="BJ354" i="2"/>
  <c r="BH354" i="2"/>
  <c r="BH61" i="2"/>
  <c r="BY364" i="2"/>
  <c r="CC364" i="2" s="1"/>
  <c r="K9" i="113"/>
  <c r="BB365" i="2"/>
  <c r="BD383" i="2"/>
  <c r="BA365" i="2"/>
  <c r="AZ365" i="2"/>
  <c r="BC365" i="2"/>
  <c r="CL338" i="2"/>
  <c r="CL85" i="2"/>
  <c r="CN355" i="2"/>
  <c r="CL62" i="2"/>
  <c r="CL355" i="2"/>
  <c r="CN85" i="2"/>
  <c r="CU85" i="2"/>
  <c r="CU355" i="2"/>
  <c r="CU338" i="2"/>
  <c r="DC85" i="2"/>
  <c r="DK85" i="2"/>
  <c r="U9" i="2"/>
  <c r="AD80" i="7"/>
  <c r="AD98" i="7" s="1"/>
  <c r="AK86" i="2"/>
  <c r="AK339" i="2"/>
  <c r="AK63" i="2"/>
  <c r="AK356" i="2"/>
  <c r="AR80" i="7"/>
  <c r="AR92" i="7" s="1"/>
  <c r="AQ80" i="7"/>
  <c r="BA356" i="2"/>
  <c r="BA339" i="2"/>
  <c r="BA86" i="2"/>
  <c r="BA63" i="2"/>
  <c r="AK357" i="2"/>
  <c r="AK340" i="2"/>
  <c r="AK384" i="2"/>
  <c r="AK377" i="2"/>
  <c r="AS357" i="2"/>
  <c r="AS384" i="2"/>
  <c r="AS340" i="2"/>
  <c r="BA357" i="2"/>
  <c r="BA340" i="2"/>
  <c r="BA377" i="2"/>
  <c r="BA384" i="2"/>
  <c r="CP10" i="2"/>
  <c r="BK13" i="2"/>
  <c r="AM385" i="2"/>
  <c r="AM378" i="2"/>
  <c r="AM342" i="2"/>
  <c r="AU385" i="2"/>
  <c r="AU342" i="2"/>
  <c r="BC385" i="2"/>
  <c r="BC342" i="2"/>
  <c r="BK385" i="2"/>
  <c r="BK378" i="2"/>
  <c r="BK342" i="2"/>
  <c r="BU342" i="2"/>
  <c r="BK359" i="2"/>
  <c r="CJ383" i="1"/>
  <c r="CJ384" i="1"/>
  <c r="CJ390" i="2"/>
  <c r="CJ359" i="2"/>
  <c r="CJ342" i="2"/>
  <c r="AC370" i="2"/>
  <c r="AB370" i="2"/>
  <c r="AA370" i="2"/>
  <c r="AE343" i="2"/>
  <c r="AE386" i="2"/>
  <c r="AD370" i="2"/>
  <c r="AQ379" i="2"/>
  <c r="AQ386" i="2"/>
  <c r="AQ343" i="2"/>
  <c r="BG379" i="2"/>
  <c r="BG360" i="2"/>
  <c r="BG386" i="2"/>
  <c r="BG343" i="2"/>
  <c r="BV370" i="2"/>
  <c r="BU370" i="2"/>
  <c r="BW370" i="2"/>
  <c r="BT370" i="2"/>
  <c r="CN360" i="2"/>
  <c r="CN343" i="2"/>
  <c r="CV360" i="2"/>
  <c r="CV343" i="2"/>
  <c r="DK106" i="2"/>
  <c r="DJ106" i="2"/>
  <c r="DI106" i="2"/>
  <c r="DH106" i="2"/>
  <c r="DL67" i="2"/>
  <c r="X371" i="2"/>
  <c r="W371" i="2"/>
  <c r="V371" i="2"/>
  <c r="Z344" i="2"/>
  <c r="Y371" i="2"/>
  <c r="AP387" i="2"/>
  <c r="AP380" i="2"/>
  <c r="AP344" i="2"/>
  <c r="AX387" i="2"/>
  <c r="AX344" i="2"/>
  <c r="BF387" i="2"/>
  <c r="BF361" i="2"/>
  <c r="BF344" i="2"/>
  <c r="BF380" i="2"/>
  <c r="CM21" i="2"/>
  <c r="CU361" i="2"/>
  <c r="CU344" i="2"/>
  <c r="X372" i="2"/>
  <c r="W372" i="2"/>
  <c r="Y372" i="2"/>
  <c r="V372" i="2"/>
  <c r="Z345" i="2"/>
  <c r="Z75" i="2"/>
  <c r="AF330" i="1"/>
  <c r="AP388" i="2"/>
  <c r="AP381" i="2"/>
  <c r="AP345" i="2"/>
  <c r="AP56" i="2"/>
  <c r="AP75" i="2"/>
  <c r="AN330" i="1"/>
  <c r="AX388" i="2"/>
  <c r="AX345" i="2"/>
  <c r="AX75" i="2"/>
  <c r="AV330" i="1"/>
  <c r="BF388" i="2"/>
  <c r="BF381" i="2"/>
  <c r="BK75" i="2"/>
  <c r="BF345" i="2"/>
  <c r="BF46" i="2"/>
  <c r="BK345" i="2"/>
  <c r="BF92" i="2"/>
  <c r="BF75" i="2"/>
  <c r="CN315" i="82"/>
  <c r="CN330" i="1"/>
  <c r="CN345" i="2"/>
  <c r="CN75" i="2"/>
  <c r="CN92" i="2"/>
  <c r="CN46" i="2"/>
  <c r="CV315" i="82"/>
  <c r="DA378" i="82" s="1"/>
  <c r="CV330" i="1"/>
  <c r="DA75" i="2"/>
  <c r="CV345" i="2"/>
  <c r="CV75" i="2"/>
  <c r="CX92" i="2"/>
  <c r="CV46" i="2"/>
  <c r="CV92" i="2"/>
  <c r="K69" i="2"/>
  <c r="K347" i="2"/>
  <c r="K346" i="2"/>
  <c r="W346" i="2"/>
  <c r="W69" i="2"/>
  <c r="BK26" i="2"/>
  <c r="CF93" i="2"/>
  <c r="CF347" i="2"/>
  <c r="CF346" i="2"/>
  <c r="I15" i="113"/>
  <c r="Q15" i="113"/>
  <c r="CR319" i="82"/>
  <c r="CR201" i="82" s="1"/>
  <c r="AY33" i="2"/>
  <c r="T17" i="113"/>
  <c r="C14" i="15"/>
  <c r="DG320" i="82"/>
  <c r="DG202" i="82" s="1"/>
  <c r="DG230" i="2"/>
  <c r="K20" i="113"/>
  <c r="U20" i="113"/>
  <c r="R8" i="11"/>
  <c r="DL52" i="2"/>
  <c r="AX46" i="2"/>
  <c r="CL46" i="2"/>
  <c r="BM61" i="2"/>
  <c r="CJ85" i="2"/>
  <c r="BL86" i="2"/>
  <c r="DK91" i="2"/>
  <c r="CD328" i="1"/>
  <c r="G8" i="113"/>
  <c r="AI364" i="2"/>
  <c r="AH364" i="2"/>
  <c r="AG364" i="2"/>
  <c r="AJ337" i="2"/>
  <c r="AF364" i="2"/>
  <c r="AJ61" i="2"/>
  <c r="L8" i="113"/>
  <c r="BG364" i="2"/>
  <c r="BF364" i="2"/>
  <c r="BE364" i="2"/>
  <c r="BI337" i="2"/>
  <c r="BI61" i="2"/>
  <c r="DD62" i="2"/>
  <c r="AE80" i="7"/>
  <c r="AE82" i="7" s="1"/>
  <c r="AE73" i="7" s="1"/>
  <c r="AL339" i="2"/>
  <c r="AL356" i="2"/>
  <c r="AL86" i="2"/>
  <c r="BB356" i="2"/>
  <c r="BB384" i="2"/>
  <c r="BB377" i="2"/>
  <c r="BB357" i="2"/>
  <c r="BJ384" i="2"/>
  <c r="BJ377" i="2"/>
  <c r="BJ340" i="2"/>
  <c r="BO340" i="2"/>
  <c r="CI340" i="2"/>
  <c r="CX12" i="2"/>
  <c r="DF12" i="2"/>
  <c r="AF13" i="2"/>
  <c r="AN13" i="2"/>
  <c r="AV13" i="2"/>
  <c r="BL13" i="2"/>
  <c r="U385" i="2"/>
  <c r="T369" i="2"/>
  <c r="R369" i="2"/>
  <c r="Q369" i="2"/>
  <c r="S369" i="2"/>
  <c r="U342" i="2"/>
  <c r="AN385" i="2"/>
  <c r="AN342" i="2"/>
  <c r="AN378" i="2"/>
  <c r="AV385" i="2"/>
  <c r="AV378" i="2"/>
  <c r="AV342" i="2"/>
  <c r="BL385" i="2"/>
  <c r="BL342" i="2"/>
  <c r="BL378" i="2"/>
  <c r="BV342" i="2"/>
  <c r="BL359" i="2"/>
  <c r="CK383" i="1"/>
  <c r="CK384" i="1"/>
  <c r="CK359" i="2"/>
  <c r="CK342" i="2"/>
  <c r="CK390" i="2"/>
  <c r="CS383" i="1"/>
  <c r="CS384" i="1"/>
  <c r="CS342" i="2"/>
  <c r="CS390" i="2"/>
  <c r="CS359" i="2"/>
  <c r="CL66" i="2"/>
  <c r="CL89" i="2"/>
  <c r="CT66" i="2"/>
  <c r="CY66" i="2"/>
  <c r="CT89" i="2"/>
  <c r="AH370" i="2"/>
  <c r="AG370" i="2"/>
  <c r="AJ386" i="2"/>
  <c r="AI370" i="2"/>
  <c r="AJ343" i="2"/>
  <c r="AF370" i="2"/>
  <c r="AR386" i="2"/>
  <c r="AR379" i="2"/>
  <c r="AR343" i="2"/>
  <c r="AZ386" i="2"/>
  <c r="AZ379" i="2"/>
  <c r="AZ343" i="2"/>
  <c r="BH386" i="2"/>
  <c r="BH360" i="2"/>
  <c r="BH343" i="2"/>
  <c r="CG370" i="2"/>
  <c r="CG343" i="2"/>
  <c r="CG360" i="2"/>
  <c r="CO360" i="2"/>
  <c r="CO343" i="2"/>
  <c r="CK67" i="2"/>
  <c r="CK90" i="2"/>
  <c r="CX67" i="2"/>
  <c r="AC371" i="2"/>
  <c r="AB371" i="2"/>
  <c r="AE387" i="2"/>
  <c r="AD371" i="2"/>
  <c r="AA371" i="2"/>
  <c r="AE344" i="2"/>
  <c r="AQ380" i="2"/>
  <c r="AQ387" i="2"/>
  <c r="AQ344" i="2"/>
  <c r="BG380" i="2"/>
  <c r="BG387" i="2"/>
  <c r="BG344" i="2"/>
  <c r="BG361" i="2"/>
  <c r="BV371" i="2"/>
  <c r="BT371" i="2"/>
  <c r="BW371" i="2"/>
  <c r="BU371" i="2"/>
  <c r="CN344" i="2"/>
  <c r="CN361" i="2"/>
  <c r="CV361" i="2"/>
  <c r="CV344" i="2"/>
  <c r="DA107" i="2"/>
  <c r="CZ107" i="2"/>
  <c r="CY107" i="2"/>
  <c r="CX107" i="2"/>
  <c r="AC372" i="2"/>
  <c r="AA372" i="2"/>
  <c r="AE388" i="2"/>
  <c r="AE75" i="2"/>
  <c r="AE345" i="2"/>
  <c r="AE46" i="2"/>
  <c r="AD372" i="2"/>
  <c r="AB372" i="2"/>
  <c r="AG330" i="1"/>
  <c r="AQ388" i="2"/>
  <c r="AQ345" i="2"/>
  <c r="AQ56" i="2"/>
  <c r="AQ92" i="2"/>
  <c r="AQ75" i="2"/>
  <c r="AQ381" i="2"/>
  <c r="BG388" i="2"/>
  <c r="BG345" i="2"/>
  <c r="BG56" i="2"/>
  <c r="BG381" i="2"/>
  <c r="BL345" i="2"/>
  <c r="BG92" i="2"/>
  <c r="BG75" i="2"/>
  <c r="BL75" i="2"/>
  <c r="CG330" i="1"/>
  <c r="CG372" i="2"/>
  <c r="CG345" i="2"/>
  <c r="CG56" i="2"/>
  <c r="CG92" i="2"/>
  <c r="CG75" i="2"/>
  <c r="CO315" i="82"/>
  <c r="CO330" i="1"/>
  <c r="CO345" i="2"/>
  <c r="CO56" i="2"/>
  <c r="CO75" i="2"/>
  <c r="CO92" i="2"/>
  <c r="CO46" i="2"/>
  <c r="P69" i="2"/>
  <c r="P347" i="2"/>
  <c r="P346" i="2"/>
  <c r="X346" i="2"/>
  <c r="X93" i="2"/>
  <c r="X69" i="2"/>
  <c r="AF346" i="2"/>
  <c r="AF93" i="2"/>
  <c r="AF69" i="2"/>
  <c r="BL26" i="2"/>
  <c r="DM69" i="2"/>
  <c r="DM93" i="2"/>
  <c r="R15" i="113"/>
  <c r="U17" i="113"/>
  <c r="D14" i="15"/>
  <c r="DL320" i="82"/>
  <c r="DL202" i="82" s="1"/>
  <c r="DL230" i="2"/>
  <c r="L20" i="113"/>
  <c r="BI52" i="2"/>
  <c r="DN52" i="2"/>
  <c r="AK46" i="2"/>
  <c r="BN47" i="2"/>
  <c r="DD47" i="2"/>
  <c r="BI55" i="2"/>
  <c r="BF56" i="2"/>
  <c r="CU62" i="2"/>
  <c r="CT85" i="2"/>
  <c r="AP92" i="2"/>
  <c r="W93" i="2"/>
  <c r="I8" i="113"/>
  <c r="AS364" i="2"/>
  <c r="AQ364" i="2"/>
  <c r="AP364" i="2"/>
  <c r="AT337" i="2"/>
  <c r="AT61" i="2"/>
  <c r="AR364" i="2"/>
  <c r="CF355" i="2"/>
  <c r="CF62" i="2"/>
  <c r="CF85" i="2"/>
  <c r="CF338" i="2"/>
  <c r="AN377" i="2"/>
  <c r="AN357" i="2"/>
  <c r="AN384" i="2"/>
  <c r="AN340" i="2"/>
  <c r="AP378" i="2"/>
  <c r="AP385" i="2"/>
  <c r="AP342" i="2"/>
  <c r="BH85" i="2"/>
  <c r="BJ355" i="2"/>
  <c r="BH355" i="2"/>
  <c r="BH338" i="2"/>
  <c r="BH383" i="2"/>
  <c r="BM338" i="2"/>
  <c r="BJ85" i="2"/>
  <c r="BH62" i="2"/>
  <c r="CD338" i="2"/>
  <c r="CD355" i="2"/>
  <c r="CI338" i="2"/>
  <c r="CD62" i="2"/>
  <c r="CI62" i="2"/>
  <c r="CD85" i="2"/>
  <c r="CV85" i="2"/>
  <c r="CV62" i="2"/>
  <c r="CV355" i="2"/>
  <c r="CV338" i="2"/>
  <c r="F379" i="2"/>
  <c r="F380" i="2"/>
  <c r="F381" i="2"/>
  <c r="F378" i="2"/>
  <c r="AX80" i="7"/>
  <c r="AX92" i="7" s="1"/>
  <c r="BJ339" i="2"/>
  <c r="AL384" i="2"/>
  <c r="AL377" i="2"/>
  <c r="AL357" i="2"/>
  <c r="AL340" i="2"/>
  <c r="H8" i="113"/>
  <c r="AK364" i="2"/>
  <c r="AM364" i="2"/>
  <c r="AL364" i="2"/>
  <c r="AO337" i="2"/>
  <c r="AN364" i="2"/>
  <c r="M8" i="113"/>
  <c r="BM364" i="2"/>
  <c r="BN61" i="2"/>
  <c r="BL364" i="2"/>
  <c r="BK364" i="2"/>
  <c r="BN337" i="2"/>
  <c r="BJ364" i="2"/>
  <c r="CA364" i="2"/>
  <c r="G9" i="113"/>
  <c r="AF365" i="2"/>
  <c r="AI365" i="2"/>
  <c r="AJ383" i="2"/>
  <c r="AH365" i="2"/>
  <c r="AG365" i="2"/>
  <c r="BI8" i="2"/>
  <c r="CE355" i="2"/>
  <c r="CE85" i="2"/>
  <c r="CE338" i="2"/>
  <c r="CO365" i="2"/>
  <c r="CO62" i="2"/>
  <c r="CO355" i="2"/>
  <c r="CO338" i="2"/>
  <c r="CO85" i="2"/>
  <c r="CO101" i="2"/>
  <c r="DE62" i="2"/>
  <c r="DE85" i="2"/>
  <c r="DM62" i="2"/>
  <c r="DM85" i="2"/>
  <c r="K378" i="2"/>
  <c r="K380" i="2"/>
  <c r="K381" i="2"/>
  <c r="K339" i="2"/>
  <c r="K379" i="2"/>
  <c r="K63" i="2"/>
  <c r="AF80" i="7"/>
  <c r="AF96" i="7" s="1"/>
  <c r="AM63" i="2"/>
  <c r="AM356" i="2"/>
  <c r="AM86" i="2"/>
  <c r="AM339" i="2"/>
  <c r="AU9" i="2"/>
  <c r="BC9" i="2"/>
  <c r="AY80" i="7"/>
  <c r="AY94" i="7" s="1"/>
  <c r="BK381" i="2"/>
  <c r="BK63" i="2"/>
  <c r="BK356" i="2"/>
  <c r="BK86" i="2"/>
  <c r="BK339" i="2"/>
  <c r="AM384" i="2"/>
  <c r="AM377" i="2"/>
  <c r="AM357" i="2"/>
  <c r="AM340" i="2"/>
  <c r="AU384" i="2"/>
  <c r="AU357" i="2"/>
  <c r="AU340" i="2"/>
  <c r="BC384" i="2"/>
  <c r="BC357" i="2"/>
  <c r="BC340" i="2"/>
  <c r="BK384" i="2"/>
  <c r="BK377" i="2"/>
  <c r="BP340" i="2"/>
  <c r="BK357" i="2"/>
  <c r="BK340" i="2"/>
  <c r="CJ10" i="2"/>
  <c r="CI12" i="2"/>
  <c r="BE13" i="2"/>
  <c r="BM13" i="2"/>
  <c r="W369" i="2"/>
  <c r="V369" i="2"/>
  <c r="Y369" i="2"/>
  <c r="X369" i="2"/>
  <c r="Z342" i="2"/>
  <c r="AO15" i="2"/>
  <c r="BE378" i="2"/>
  <c r="BE359" i="2"/>
  <c r="BE385" i="2"/>
  <c r="BE342" i="2"/>
  <c r="BM378" i="2"/>
  <c r="BT359" i="2"/>
  <c r="BM385" i="2"/>
  <c r="BM359" i="2"/>
  <c r="BM342" i="2"/>
  <c r="BW342" i="2"/>
  <c r="CL384" i="1"/>
  <c r="CL383" i="1"/>
  <c r="CL359" i="2"/>
  <c r="CL342" i="2"/>
  <c r="CT384" i="1"/>
  <c r="CT383" i="1"/>
  <c r="CT342" i="2"/>
  <c r="CT359" i="2"/>
  <c r="CU17" i="2"/>
  <c r="AK379" i="2"/>
  <c r="AK343" i="2"/>
  <c r="AK386" i="2"/>
  <c r="AS343" i="2"/>
  <c r="AS386" i="2"/>
  <c r="BA379" i="2"/>
  <c r="BA386" i="2"/>
  <c r="BA343" i="2"/>
  <c r="BI18" i="2"/>
  <c r="CD370" i="2"/>
  <c r="CF370" i="2"/>
  <c r="CE370" i="2"/>
  <c r="CH343" i="2"/>
  <c r="CP360" i="2"/>
  <c r="CP343" i="2"/>
  <c r="CL20" i="2"/>
  <c r="CT20" i="2"/>
  <c r="AH371" i="2"/>
  <c r="AF371" i="2"/>
  <c r="AJ387" i="2"/>
  <c r="AI371" i="2"/>
  <c r="AJ344" i="2"/>
  <c r="AG371" i="2"/>
  <c r="AR380" i="2"/>
  <c r="AR387" i="2"/>
  <c r="AR344" i="2"/>
  <c r="AZ380" i="2"/>
  <c r="AZ387" i="2"/>
  <c r="AZ344" i="2"/>
  <c r="BH387" i="2"/>
  <c r="BH344" i="2"/>
  <c r="BH361" i="2"/>
  <c r="CG371" i="2"/>
  <c r="CG361" i="2"/>
  <c r="CG344" i="2"/>
  <c r="CO361" i="2"/>
  <c r="CO344" i="2"/>
  <c r="CW21" i="2"/>
  <c r="DC328" i="1"/>
  <c r="DC91" i="2"/>
  <c r="DH68" i="2"/>
  <c r="DC68" i="2"/>
  <c r="AF372" i="2"/>
  <c r="AI372" i="2"/>
  <c r="AH372" i="2"/>
  <c r="AJ388" i="2"/>
  <c r="AG372" i="2"/>
  <c r="AJ75" i="2"/>
  <c r="AJ345" i="2"/>
  <c r="AH330" i="1"/>
  <c r="AR381" i="2"/>
  <c r="AR388" i="2"/>
  <c r="AR92" i="2"/>
  <c r="AR75" i="2"/>
  <c r="AR345" i="2"/>
  <c r="AR56" i="2"/>
  <c r="AP330" i="1"/>
  <c r="AZ381" i="2"/>
  <c r="AZ388" i="2"/>
  <c r="AZ56" i="2"/>
  <c r="AZ75" i="2"/>
  <c r="AZ345" i="2"/>
  <c r="BH388" i="2"/>
  <c r="BH56" i="2"/>
  <c r="BH46" i="2"/>
  <c r="BH92" i="2"/>
  <c r="BH75" i="2"/>
  <c r="BH345" i="2"/>
  <c r="CH315" i="82"/>
  <c r="CE372" i="2"/>
  <c r="CH75" i="2"/>
  <c r="CF372" i="2"/>
  <c r="CH345" i="2"/>
  <c r="CP315" i="82"/>
  <c r="CP330" i="1"/>
  <c r="CP56" i="2"/>
  <c r="CP75" i="2"/>
  <c r="CP92" i="2"/>
  <c r="CP345" i="2"/>
  <c r="DB315" i="82"/>
  <c r="DB404" i="82" s="1"/>
  <c r="CY108" i="2"/>
  <c r="CX108" i="2"/>
  <c r="DA108" i="2"/>
  <c r="CZ108" i="2"/>
  <c r="DC317" i="82"/>
  <c r="DG317" i="82" s="1"/>
  <c r="DC47" i="2"/>
  <c r="Y346" i="2"/>
  <c r="Y93" i="2"/>
  <c r="Y69" i="2"/>
  <c r="AG346" i="2"/>
  <c r="AG69" i="2"/>
  <c r="BE26" i="2"/>
  <c r="BM26" i="2"/>
  <c r="BU93" i="2"/>
  <c r="AY30" i="2"/>
  <c r="S15" i="113"/>
  <c r="DB319" i="82"/>
  <c r="DB201" i="82" s="1"/>
  <c r="CR31" i="2"/>
  <c r="AE33" i="2"/>
  <c r="BD33" i="2"/>
  <c r="CR321" i="82"/>
  <c r="CR203" i="82" s="1"/>
  <c r="M20" i="113"/>
  <c r="J8" i="11"/>
  <c r="U46" i="2"/>
  <c r="AN46" i="2"/>
  <c r="AZ46" i="2"/>
  <c r="BD52" i="2"/>
  <c r="DK326" i="82"/>
  <c r="DK206" i="2"/>
  <c r="BH15" i="3"/>
  <c r="BJ15" i="3" s="1"/>
  <c r="CF209" i="2"/>
  <c r="DC62" i="2"/>
  <c r="BJ63" i="2"/>
  <c r="AV85" i="2"/>
  <c r="DD85" i="2"/>
  <c r="CE89" i="2"/>
  <c r="AZ92" i="2"/>
  <c r="AG93" i="2"/>
  <c r="M9" i="113"/>
  <c r="BL365" i="2"/>
  <c r="BJ365" i="2"/>
  <c r="BN383" i="2"/>
  <c r="BK365" i="2"/>
  <c r="BM365" i="2"/>
  <c r="AZ80" i="7"/>
  <c r="AZ172" i="7" s="1"/>
  <c r="BL381" i="2"/>
  <c r="BL63" i="2"/>
  <c r="BL356" i="2"/>
  <c r="BL339" i="2"/>
  <c r="AV377" i="2"/>
  <c r="AV357" i="2"/>
  <c r="AV384" i="2"/>
  <c r="AV340" i="2"/>
  <c r="CX89" i="2"/>
  <c r="CV66" i="2"/>
  <c r="BA387" i="2"/>
  <c r="BA380" i="2"/>
  <c r="BA344" i="2"/>
  <c r="CJ91" i="2"/>
  <c r="CJ68" i="2"/>
  <c r="BA381" i="2"/>
  <c r="AQ330" i="1"/>
  <c r="BA388" i="2"/>
  <c r="BA92" i="2"/>
  <c r="BA345" i="2"/>
  <c r="BA56" i="2"/>
  <c r="CI315" i="82"/>
  <c r="CI330" i="1"/>
  <c r="CI46" i="2"/>
  <c r="CI56" i="2"/>
  <c r="CQ315" i="82"/>
  <c r="CQ330" i="1"/>
  <c r="CQ92" i="2"/>
  <c r="CQ46" i="2"/>
  <c r="CQ345" i="2"/>
  <c r="CQ56" i="2"/>
  <c r="DE315" i="82"/>
  <c r="DE330" i="1"/>
  <c r="DE92" i="2"/>
  <c r="DE56" i="2"/>
  <c r="DE75" i="2"/>
  <c r="DE46" i="2"/>
  <c r="DF92" i="2"/>
  <c r="DJ75" i="2"/>
  <c r="BV93" i="2"/>
  <c r="CY93" i="2"/>
  <c r="K15" i="113"/>
  <c r="DD319" i="82"/>
  <c r="DD201" i="82" s="1"/>
  <c r="DD204" i="82" s="1"/>
  <c r="G17" i="113"/>
  <c r="L17" i="113"/>
  <c r="F20" i="113"/>
  <c r="AE52" i="2"/>
  <c r="N20" i="113"/>
  <c r="K8" i="11"/>
  <c r="BX52" i="2"/>
  <c r="DD41" i="2"/>
  <c r="AP46" i="2"/>
  <c r="BA46" i="2"/>
  <c r="CT46" i="2"/>
  <c r="DC326" i="82"/>
  <c r="DC206" i="2"/>
  <c r="DG55" i="2"/>
  <c r="CN56" i="2"/>
  <c r="CF15" i="3"/>
  <c r="DD209" i="2"/>
  <c r="DK62" i="2"/>
  <c r="DK74" i="2"/>
  <c r="CI343" i="2"/>
  <c r="CI360" i="2"/>
  <c r="CU67" i="2"/>
  <c r="CP344" i="2"/>
  <c r="CP361" i="2"/>
  <c r="AZ84" i="2"/>
  <c r="AX61" i="2"/>
  <c r="AX383" i="2"/>
  <c r="AX337" i="2"/>
  <c r="AZ354" i="2"/>
  <c r="AS383" i="2"/>
  <c r="AS105" i="1"/>
  <c r="AX106" i="1" s="1"/>
  <c r="AS355" i="2"/>
  <c r="AX62" i="2"/>
  <c r="AS338" i="2"/>
  <c r="AS85" i="2"/>
  <c r="AX338" i="2"/>
  <c r="AS62" i="2"/>
  <c r="BT62" i="2"/>
  <c r="BT85" i="2"/>
  <c r="BT338" i="2"/>
  <c r="BT355" i="2"/>
  <c r="CG355" i="2"/>
  <c r="CG62" i="2"/>
  <c r="CI85" i="2"/>
  <c r="CG85" i="2"/>
  <c r="CG338" i="2"/>
  <c r="CI355" i="2"/>
  <c r="CQ355" i="2"/>
  <c r="CQ338" i="2"/>
  <c r="CQ85" i="2"/>
  <c r="CQ101" i="2"/>
  <c r="CQ62" i="2"/>
  <c r="CQ365" i="2"/>
  <c r="CY85" i="2"/>
  <c r="CY62" i="2"/>
  <c r="AA80" i="7"/>
  <c r="AA96" i="7" s="1"/>
  <c r="AG389" i="1"/>
  <c r="AG378" i="2"/>
  <c r="AG380" i="2"/>
  <c r="AG379" i="2"/>
  <c r="AG381" i="2"/>
  <c r="AG86" i="2"/>
  <c r="AG356" i="2"/>
  <c r="AO9" i="2"/>
  <c r="AT80" i="7"/>
  <c r="AT82" i="7" s="1"/>
  <c r="AT73" i="7" s="1"/>
  <c r="BE339" i="2"/>
  <c r="BE63" i="2"/>
  <c r="BA80" i="7"/>
  <c r="BA83" i="7" s="1"/>
  <c r="BM356" i="2"/>
  <c r="BM86" i="2"/>
  <c r="K384" i="2"/>
  <c r="K377" i="2"/>
  <c r="AO10" i="2"/>
  <c r="BE377" i="2"/>
  <c r="BE384" i="2"/>
  <c r="BE357" i="2"/>
  <c r="BE340" i="2"/>
  <c r="BM377" i="2"/>
  <c r="BM384" i="2"/>
  <c r="BT357" i="2"/>
  <c r="BM357" i="2"/>
  <c r="BR340" i="2"/>
  <c r="CL10" i="2"/>
  <c r="CT10" i="2"/>
  <c r="DA12" i="2"/>
  <c r="DI12" i="2"/>
  <c r="AI13" i="2"/>
  <c r="AQ13" i="2"/>
  <c r="BG13" i="2"/>
  <c r="AH384" i="1"/>
  <c r="AI386" i="1" s="1"/>
  <c r="AH383" i="1"/>
  <c r="AH378" i="2"/>
  <c r="AH385" i="2"/>
  <c r="AH342" i="2"/>
  <c r="AQ385" i="2"/>
  <c r="AQ378" i="2"/>
  <c r="AQ342" i="2"/>
  <c r="AY15" i="2"/>
  <c r="BG385" i="2"/>
  <c r="BG378" i="2"/>
  <c r="BG359" i="2"/>
  <c r="BG342" i="2"/>
  <c r="BV369" i="2"/>
  <c r="BU369" i="2"/>
  <c r="BT369" i="2"/>
  <c r="BW369" i="2"/>
  <c r="CN384" i="1"/>
  <c r="CN383" i="1"/>
  <c r="CN359" i="2"/>
  <c r="CN342" i="2"/>
  <c r="CV384" i="1"/>
  <c r="CV383" i="1"/>
  <c r="CV359" i="2"/>
  <c r="CV342" i="2"/>
  <c r="CD16" i="2"/>
  <c r="AM343" i="2"/>
  <c r="AM386" i="2"/>
  <c r="AM379" i="2"/>
  <c r="AU343" i="2"/>
  <c r="AU386" i="2"/>
  <c r="BC343" i="2"/>
  <c r="BC386" i="2"/>
  <c r="BK343" i="2"/>
  <c r="BK379" i="2"/>
  <c r="BK360" i="2"/>
  <c r="BU343" i="2"/>
  <c r="BK386" i="2"/>
  <c r="CJ343" i="2"/>
  <c r="CJ360" i="2"/>
  <c r="CR18" i="2"/>
  <c r="CN20" i="2"/>
  <c r="CV20" i="2"/>
  <c r="AL380" i="2"/>
  <c r="AL387" i="2"/>
  <c r="AL344" i="2"/>
  <c r="AT21" i="2"/>
  <c r="BB380" i="2"/>
  <c r="BB387" i="2"/>
  <c r="BJ380" i="2"/>
  <c r="BT344" i="2"/>
  <c r="BJ361" i="2"/>
  <c r="BJ387" i="2"/>
  <c r="BJ344" i="2"/>
  <c r="CI344" i="2"/>
  <c r="CI361" i="2"/>
  <c r="CQ344" i="2"/>
  <c r="CQ361" i="2"/>
  <c r="CK23" i="2"/>
  <c r="CS23" i="2"/>
  <c r="DE328" i="1"/>
  <c r="DE68" i="2"/>
  <c r="DE91" i="2"/>
  <c r="AB330" i="1"/>
  <c r="AL388" i="2"/>
  <c r="AL381" i="2"/>
  <c r="AL75" i="2"/>
  <c r="AL345" i="2"/>
  <c r="AL92" i="2"/>
  <c r="AL56" i="2"/>
  <c r="AL46" i="2"/>
  <c r="AT24" i="2"/>
  <c r="AR330" i="1"/>
  <c r="BB388" i="2"/>
  <c r="BB381" i="2"/>
  <c r="BB92" i="2"/>
  <c r="BB56" i="2"/>
  <c r="BB46" i="2"/>
  <c r="AZ330" i="1"/>
  <c r="BJ388" i="2"/>
  <c r="BJ381" i="2"/>
  <c r="BT345" i="2"/>
  <c r="BK92" i="2"/>
  <c r="BJ75" i="2"/>
  <c r="BT75" i="2"/>
  <c r="BJ345" i="2"/>
  <c r="BJ56" i="2"/>
  <c r="BJ46" i="2"/>
  <c r="CJ330" i="1"/>
  <c r="CJ315" i="82"/>
  <c r="CJ92" i="2"/>
  <c r="CJ75" i="2"/>
  <c r="CJ345" i="2"/>
  <c r="CJ56" i="2"/>
  <c r="CR24" i="2"/>
  <c r="DG24" i="2"/>
  <c r="DG25" i="2"/>
  <c r="DG264" i="2" s="1"/>
  <c r="DG320" i="2" s="1"/>
  <c r="S93" i="2"/>
  <c r="AA69" i="2"/>
  <c r="AA346" i="2"/>
  <c r="AA93" i="2"/>
  <c r="AI69" i="2"/>
  <c r="AI346" i="2"/>
  <c r="BG26" i="2"/>
  <c r="BW93" i="2"/>
  <c r="CZ93" i="2"/>
  <c r="F15" i="113"/>
  <c r="L15" i="113"/>
  <c r="DE319" i="82"/>
  <c r="DE201" i="82" s="1"/>
  <c r="DE204" i="82" s="1"/>
  <c r="H17" i="113"/>
  <c r="M17" i="113"/>
  <c r="DB321" i="82"/>
  <c r="DB203" i="82" s="1"/>
  <c r="G20" i="113"/>
  <c r="AJ52" i="2"/>
  <c r="Q20" i="113"/>
  <c r="N8" i="11"/>
  <c r="CR52" i="2"/>
  <c r="CK41" i="2"/>
  <c r="AQ46" i="2"/>
  <c r="DL46" i="2"/>
  <c r="CV56" i="2"/>
  <c r="AK75" i="2"/>
  <c r="P389" i="1"/>
  <c r="P379" i="2"/>
  <c r="P381" i="2"/>
  <c r="P378" i="2"/>
  <c r="P380" i="2"/>
  <c r="P339" i="2"/>
  <c r="P63" i="2"/>
  <c r="BF378" i="2"/>
  <c r="BF359" i="2"/>
  <c r="BF385" i="2"/>
  <c r="BF342" i="2"/>
  <c r="CN89" i="2"/>
  <c r="CN66" i="2"/>
  <c r="AL386" i="2"/>
  <c r="AL379" i="2"/>
  <c r="AL343" i="2"/>
  <c r="BB386" i="2"/>
  <c r="BB379" i="2"/>
  <c r="BJ386" i="2"/>
  <c r="BJ379" i="2"/>
  <c r="BJ343" i="2"/>
  <c r="BJ360" i="2"/>
  <c r="BT343" i="2"/>
  <c r="AK387" i="2"/>
  <c r="AK380" i="2"/>
  <c r="AK344" i="2"/>
  <c r="CF371" i="2"/>
  <c r="CD371" i="2"/>
  <c r="CH344" i="2"/>
  <c r="CE371" i="2"/>
  <c r="DD328" i="1"/>
  <c r="DD91" i="2"/>
  <c r="DI68" i="2"/>
  <c r="DD68" i="2"/>
  <c r="BU338" i="2"/>
  <c r="BU355" i="2"/>
  <c r="BU62" i="2"/>
  <c r="CZ85" i="2"/>
  <c r="CZ62" i="2"/>
  <c r="DH62" i="2"/>
  <c r="DH85" i="2"/>
  <c r="AB80" i="7"/>
  <c r="AB92" i="7" s="1"/>
  <c r="AH389" i="1"/>
  <c r="AH379" i="2"/>
  <c r="AH381" i="2"/>
  <c r="AH380" i="2"/>
  <c r="AH356" i="2"/>
  <c r="AH80" i="7"/>
  <c r="AH83" i="7" s="1"/>
  <c r="AP356" i="2"/>
  <c r="AP339" i="2"/>
  <c r="AP86" i="2"/>
  <c r="AP63" i="2"/>
  <c r="AX9" i="2"/>
  <c r="AU80" i="7"/>
  <c r="AU94" i="7" s="1"/>
  <c r="BF339" i="2"/>
  <c r="BF356" i="2"/>
  <c r="BF63" i="2"/>
  <c r="BF86" i="2"/>
  <c r="BN9" i="2"/>
  <c r="P377" i="2"/>
  <c r="P384" i="2"/>
  <c r="AG377" i="2"/>
  <c r="AG384" i="2"/>
  <c r="AG357" i="2"/>
  <c r="AP384" i="2"/>
  <c r="AP377" i="2"/>
  <c r="AP340" i="2"/>
  <c r="AP357" i="2"/>
  <c r="AX384" i="2"/>
  <c r="AX340" i="2"/>
  <c r="BF384" i="2"/>
  <c r="BF357" i="2"/>
  <c r="BF377" i="2"/>
  <c r="BF340" i="2"/>
  <c r="BN10" i="2"/>
  <c r="CU10" i="2"/>
  <c r="CD12" i="2"/>
  <c r="DJ12" i="2"/>
  <c r="AR13" i="2"/>
  <c r="AZ13" i="2"/>
  <c r="AR378" i="2"/>
  <c r="AR385" i="2"/>
  <c r="AR342" i="2"/>
  <c r="AZ378" i="2"/>
  <c r="AZ342" i="2"/>
  <c r="AZ385" i="2"/>
  <c r="BH359" i="2"/>
  <c r="BH385" i="2"/>
  <c r="BH342" i="2"/>
  <c r="CG384" i="1"/>
  <c r="CG383" i="1"/>
  <c r="CG359" i="2"/>
  <c r="CG369" i="2"/>
  <c r="CG342" i="2"/>
  <c r="CO384" i="1"/>
  <c r="CO383" i="1"/>
  <c r="CO359" i="2"/>
  <c r="CO342" i="2"/>
  <c r="CW15" i="2"/>
  <c r="CP328" i="1"/>
  <c r="CP89" i="2"/>
  <c r="CP66" i="2"/>
  <c r="CZ105" i="2"/>
  <c r="CY105" i="2"/>
  <c r="CX105" i="2"/>
  <c r="DA105" i="2"/>
  <c r="AN386" i="2"/>
  <c r="AN379" i="2"/>
  <c r="AN343" i="2"/>
  <c r="AV386" i="2"/>
  <c r="AV379" i="2"/>
  <c r="AV343" i="2"/>
  <c r="BD18" i="2"/>
  <c r="BL386" i="2"/>
  <c r="BL379" i="2"/>
  <c r="BL360" i="2"/>
  <c r="BV343" i="2"/>
  <c r="BL343" i="2"/>
  <c r="CK360" i="2"/>
  <c r="CK343" i="2"/>
  <c r="CS343" i="2"/>
  <c r="CS360" i="2"/>
  <c r="CG20" i="2"/>
  <c r="CO20" i="2"/>
  <c r="AM387" i="2"/>
  <c r="AM380" i="2"/>
  <c r="AM344" i="2"/>
  <c r="AU387" i="2"/>
  <c r="AU344" i="2"/>
  <c r="BC387" i="2"/>
  <c r="BC344" i="2"/>
  <c r="BK387" i="2"/>
  <c r="BK380" i="2"/>
  <c r="BK361" i="2"/>
  <c r="BU344" i="2"/>
  <c r="BK344" i="2"/>
  <c r="CJ361" i="2"/>
  <c r="CJ344" i="2"/>
  <c r="CR21" i="2"/>
  <c r="CL68" i="2"/>
  <c r="CT68" i="2"/>
  <c r="DF328" i="1"/>
  <c r="DF68" i="2"/>
  <c r="DH91" i="2"/>
  <c r="DF91" i="2"/>
  <c r="DK68" i="2"/>
  <c r="AC330" i="1"/>
  <c r="AM381" i="2"/>
  <c r="AM75" i="2"/>
  <c r="AM388" i="2"/>
  <c r="AM345" i="2"/>
  <c r="AM92" i="2"/>
  <c r="AM56" i="2"/>
  <c r="AM46" i="2"/>
  <c r="AK330" i="1"/>
  <c r="AU75" i="2"/>
  <c r="AU388" i="2"/>
  <c r="AU345" i="2"/>
  <c r="AU56" i="2"/>
  <c r="AU46" i="2"/>
  <c r="AU92" i="2"/>
  <c r="AS330" i="1"/>
  <c r="BC75" i="2"/>
  <c r="BC345" i="2"/>
  <c r="BC56" i="2"/>
  <c r="BC46" i="2"/>
  <c r="BC388" i="2"/>
  <c r="BC92" i="2"/>
  <c r="BC330" i="1"/>
  <c r="BM381" i="2"/>
  <c r="BW75" i="2"/>
  <c r="BM345" i="2"/>
  <c r="BM388" i="2"/>
  <c r="BM56" i="2"/>
  <c r="BW345" i="2"/>
  <c r="BT92" i="2"/>
  <c r="BM75" i="2"/>
  <c r="BM92" i="2"/>
  <c r="CK315" i="82"/>
  <c r="CK330" i="1"/>
  <c r="CK92" i="2"/>
  <c r="CK75" i="2"/>
  <c r="CK46" i="2"/>
  <c r="CK345" i="2"/>
  <c r="CK56" i="2"/>
  <c r="CS315" i="82"/>
  <c r="CX378" i="82" s="1"/>
  <c r="CS330" i="1"/>
  <c r="CS75" i="2"/>
  <c r="CS46" i="2"/>
  <c r="CX75" i="2"/>
  <c r="CS345" i="2"/>
  <c r="CS56" i="2"/>
  <c r="CX345" i="2"/>
  <c r="DL315" i="82"/>
  <c r="DL404" i="82" s="1"/>
  <c r="DK108" i="2"/>
  <c r="DJ108" i="2"/>
  <c r="DI108" i="2"/>
  <c r="DH108" i="2"/>
  <c r="AB69" i="2"/>
  <c r="AB346" i="2"/>
  <c r="AB93" i="2"/>
  <c r="BH26" i="2"/>
  <c r="DA93" i="2"/>
  <c r="DI93" i="2"/>
  <c r="BG29" i="2"/>
  <c r="G15" i="113"/>
  <c r="M15" i="113"/>
  <c r="DF319" i="82"/>
  <c r="DF201" i="82" s="1"/>
  <c r="DF204" i="82" s="1"/>
  <c r="I17" i="113"/>
  <c r="N17" i="113"/>
  <c r="H20" i="113"/>
  <c r="AO52" i="2"/>
  <c r="R20" i="113"/>
  <c r="O8" i="11"/>
  <c r="CW52" i="2"/>
  <c r="CL41" i="2"/>
  <c r="AR46" i="2"/>
  <c r="BG46" i="2"/>
  <c r="CU326" i="82"/>
  <c r="CU206" i="2"/>
  <c r="BM62" i="2"/>
  <c r="AS75" i="2"/>
  <c r="CQ75" i="2"/>
  <c r="AH86" i="2"/>
  <c r="CI92" i="2"/>
  <c r="CH55" i="2"/>
  <c r="CP326" i="82"/>
  <c r="CX326" i="82"/>
  <c r="DF326" i="82"/>
  <c r="CP74" i="2"/>
  <c r="CX74" i="2"/>
  <c r="DF74" i="2"/>
  <c r="DG187" i="2"/>
  <c r="CP189" i="2"/>
  <c r="DF189" i="2"/>
  <c r="CI190" i="2"/>
  <c r="CQ190" i="2"/>
  <c r="CY190" i="2"/>
  <c r="CI198" i="2"/>
  <c r="DI199" i="2"/>
  <c r="DJ200" i="2"/>
  <c r="CP206" i="2"/>
  <c r="CX206" i="2"/>
  <c r="DF206" i="2"/>
  <c r="CX209" i="2"/>
  <c r="DF209" i="2"/>
  <c r="DH224" i="2"/>
  <c r="CC367" i="2"/>
  <c r="BX390" i="2"/>
  <c r="CC390" i="2"/>
  <c r="DE567" i="1"/>
  <c r="DE28" i="1"/>
  <c r="DE23" i="1"/>
  <c r="DE115" i="1"/>
  <c r="DE93" i="1"/>
  <c r="AL462" i="1"/>
  <c r="BJ464" i="1"/>
  <c r="AU28" i="1"/>
  <c r="CI28" i="1"/>
  <c r="AD469" i="1"/>
  <c r="AN469" i="1"/>
  <c r="BJ30" i="1"/>
  <c r="CD577" i="1"/>
  <c r="CD469" i="1"/>
  <c r="CL560" i="1"/>
  <c r="CU474" i="1"/>
  <c r="CU585" i="1"/>
  <c r="CU107" i="1"/>
  <c r="CU37" i="1"/>
  <c r="BA603" i="1"/>
  <c r="CG603" i="1"/>
  <c r="CG104" i="1"/>
  <c r="CL103" i="1"/>
  <c r="CQ326" i="82"/>
  <c r="CY326" i="82"/>
  <c r="CI74" i="2"/>
  <c r="CQ74" i="2"/>
  <c r="CY74" i="2"/>
  <c r="CR187" i="2"/>
  <c r="CJ190" i="2"/>
  <c r="CR190" i="2"/>
  <c r="CZ190" i="2"/>
  <c r="DG194" i="2"/>
  <c r="DJ199" i="2"/>
  <c r="DK200" i="2"/>
  <c r="CI206" i="2"/>
  <c r="CQ206" i="2"/>
  <c r="CY206" i="2"/>
  <c r="CY209" i="2"/>
  <c r="BU393" i="2"/>
  <c r="BU392" i="2"/>
  <c r="CT6" i="82"/>
  <c r="CT139" i="1"/>
  <c r="DB6" i="82"/>
  <c r="DB139" i="1"/>
  <c r="DJ139" i="1"/>
  <c r="DV139" i="1"/>
  <c r="BA567" i="1"/>
  <c r="BA460" i="1"/>
  <c r="BA36" i="1"/>
  <c r="BB27" i="1"/>
  <c r="BA27" i="1"/>
  <c r="BD22" i="1"/>
  <c r="BA23" i="1"/>
  <c r="BA115" i="1"/>
  <c r="BA93" i="1"/>
  <c r="BF23" i="1"/>
  <c r="AD462" i="1"/>
  <c r="AE467" i="1"/>
  <c r="AB35" i="1"/>
  <c r="AA35" i="1"/>
  <c r="AE30" i="1"/>
  <c r="AE118" i="1"/>
  <c r="AD35" i="1"/>
  <c r="AC35" i="1"/>
  <c r="AF469" i="1"/>
  <c r="AD471" i="1"/>
  <c r="AN471" i="1"/>
  <c r="CO35" i="1"/>
  <c r="CM93" i="1"/>
  <c r="BT603" i="1"/>
  <c r="CS603" i="1"/>
  <c r="CS103" i="1"/>
  <c r="AM538" i="1"/>
  <c r="AM548" i="1"/>
  <c r="AM533" i="1"/>
  <c r="BM76" i="7"/>
  <c r="CK324" i="82"/>
  <c r="CK206" i="82" s="1"/>
  <c r="CR55" i="2"/>
  <c r="CZ326" i="82"/>
  <c r="DH326" i="82"/>
  <c r="BX56" i="2"/>
  <c r="CJ74" i="2"/>
  <c r="CZ74" i="2"/>
  <c r="DH74" i="2"/>
  <c r="CK190" i="2"/>
  <c r="CS190" i="2"/>
  <c r="DA190" i="2"/>
  <c r="DI190" i="2"/>
  <c r="CN269" i="7"/>
  <c r="DK199" i="2"/>
  <c r="DD200" i="2"/>
  <c r="CJ206" i="2"/>
  <c r="CZ206" i="2"/>
  <c r="DH206" i="2"/>
  <c r="CZ209" i="2"/>
  <c r="DH209" i="2"/>
  <c r="CA392" i="2"/>
  <c r="BV393" i="2"/>
  <c r="AC464" i="1"/>
  <c r="AM464" i="1"/>
  <c r="BB577" i="1"/>
  <c r="BB469" i="1"/>
  <c r="BL577" i="1"/>
  <c r="BL469" i="1"/>
  <c r="BF34" i="1"/>
  <c r="BU471" i="1"/>
  <c r="CE474" i="1"/>
  <c r="CE585" i="1"/>
  <c r="CF41" i="1"/>
  <c r="CE41" i="1"/>
  <c r="CE107" i="1"/>
  <c r="CE69" i="1"/>
  <c r="CE170" i="1" s="1"/>
  <c r="CE37" i="1"/>
  <c r="BU603" i="1"/>
  <c r="CJ620" i="1"/>
  <c r="CJ121" i="1"/>
  <c r="CJ119" i="1"/>
  <c r="CS326" i="82"/>
  <c r="DA326" i="82"/>
  <c r="DI326" i="82"/>
  <c r="CK74" i="2"/>
  <c r="CS74" i="2"/>
  <c r="DA74" i="2"/>
  <c r="DI74" i="2"/>
  <c r="CL187" i="2"/>
  <c r="DB187" i="2"/>
  <c r="CL190" i="2"/>
  <c r="CT190" i="2"/>
  <c r="DJ190" i="2"/>
  <c r="CS269" i="7"/>
  <c r="DD199" i="2"/>
  <c r="DE200" i="2"/>
  <c r="DM200" i="2"/>
  <c r="CK206" i="2"/>
  <c r="CS206" i="2"/>
  <c r="DA206" i="2"/>
  <c r="DI206" i="2"/>
  <c r="DA209" i="2"/>
  <c r="DI209" i="2"/>
  <c r="BS372" i="2"/>
  <c r="BB568" i="1"/>
  <c r="BB462" i="1"/>
  <c r="CP568" i="1"/>
  <c r="AG474" i="1"/>
  <c r="AH41" i="1"/>
  <c r="AG41" i="1"/>
  <c r="AG107" i="1"/>
  <c r="AG69" i="1"/>
  <c r="AG170" i="1" s="1"/>
  <c r="AG171" i="1" s="1"/>
  <c r="AG209" i="1" s="1"/>
  <c r="AG37" i="1"/>
  <c r="CF560" i="1"/>
  <c r="CO474" i="1"/>
  <c r="CO585" i="1"/>
  <c r="CO107" i="1"/>
  <c r="CT37" i="1"/>
  <c r="CO41" i="1"/>
  <c r="CO37" i="1"/>
  <c r="DC36" i="1"/>
  <c r="CU41" i="1"/>
  <c r="AY400" i="1"/>
  <c r="BD398" i="1"/>
  <c r="CM49" i="2"/>
  <c r="BW76" i="7"/>
  <c r="CU324" i="82"/>
  <c r="CU206" i="82" s="1"/>
  <c r="BD55" i="2"/>
  <c r="CL326" i="82"/>
  <c r="CT326" i="82"/>
  <c r="DB55" i="2"/>
  <c r="DJ326" i="82"/>
  <c r="CL74" i="2"/>
  <c r="CT74" i="2"/>
  <c r="DJ74" i="2"/>
  <c r="CH186" i="2"/>
  <c r="CM190" i="2"/>
  <c r="DC198" i="2"/>
  <c r="DF200" i="2"/>
  <c r="CD206" i="2"/>
  <c r="CL206" i="2"/>
  <c r="CT206" i="2"/>
  <c r="DJ206" i="2"/>
  <c r="DJ209" i="2"/>
  <c r="CC368" i="2"/>
  <c r="BS370" i="2"/>
  <c r="BU462" i="1"/>
  <c r="BU568" i="1"/>
  <c r="AF464" i="1"/>
  <c r="AP464" i="1"/>
  <c r="CR576" i="1"/>
  <c r="CP35" i="1"/>
  <c r="CN35" i="1"/>
  <c r="DE576" i="1"/>
  <c r="DE118" i="1"/>
  <c r="DE34" i="1"/>
  <c r="DE35" i="1"/>
  <c r="DE30" i="1"/>
  <c r="BH471" i="1"/>
  <c r="BW471" i="1"/>
  <c r="CL471" i="1"/>
  <c r="Y474" i="1"/>
  <c r="Y107" i="1"/>
  <c r="Y42" i="1"/>
  <c r="Y41" i="1"/>
  <c r="AQ474" i="1"/>
  <c r="AV37" i="1"/>
  <c r="AQ41" i="1"/>
  <c r="AQ69" i="1"/>
  <c r="AQ170" i="1" s="1"/>
  <c r="AQ37" i="1"/>
  <c r="BM474" i="1"/>
  <c r="BM585" i="1"/>
  <c r="BM107" i="1"/>
  <c r="BM69" i="1"/>
  <c r="BM170" i="1" s="1"/>
  <c r="BM41" i="1"/>
  <c r="BM37" i="1"/>
  <c r="CG474" i="1"/>
  <c r="CG585" i="1"/>
  <c r="CG107" i="1"/>
  <c r="CL37" i="1"/>
  <c r="CG69" i="1"/>
  <c r="CG170" i="1" s="1"/>
  <c r="CG37" i="1"/>
  <c r="CG41" i="1"/>
  <c r="DE36" i="1"/>
  <c r="AD37" i="1"/>
  <c r="CJ37" i="1"/>
  <c r="DI44" i="1"/>
  <c r="BH603" i="1"/>
  <c r="BW620" i="1"/>
  <c r="BW121" i="1"/>
  <c r="BW119" i="1"/>
  <c r="DE102" i="1"/>
  <c r="DF104" i="1" s="1"/>
  <c r="DC209" i="2"/>
  <c r="DK209" i="2"/>
  <c r="DK567" i="1"/>
  <c r="DK115" i="1"/>
  <c r="DK93" i="1"/>
  <c r="DK28" i="1"/>
  <c r="DK27" i="1"/>
  <c r="AR462" i="1"/>
  <c r="CJ577" i="1"/>
  <c r="DK577" i="1"/>
  <c r="AV471" i="1"/>
  <c r="AI474" i="1"/>
  <c r="AI107" i="1"/>
  <c r="AN37" i="1"/>
  <c r="AI69" i="1"/>
  <c r="AI170" i="1" s="1"/>
  <c r="AI37" i="1"/>
  <c r="AI41" i="1"/>
  <c r="BT474" i="1"/>
  <c r="BT585" i="1"/>
  <c r="BT107" i="1"/>
  <c r="CD37" i="1"/>
  <c r="BT69" i="1"/>
  <c r="BT170" i="1" s="1"/>
  <c r="BT37" i="1"/>
  <c r="BT41" i="1"/>
  <c r="CS481" i="1"/>
  <c r="CS496" i="1"/>
  <c r="CS492" i="1"/>
  <c r="CW491" i="1"/>
  <c r="CS497" i="1" s="1"/>
  <c r="BJ620" i="1"/>
  <c r="BJ121" i="1"/>
  <c r="DF603" i="1"/>
  <c r="BN55" i="2"/>
  <c r="CN326" i="82"/>
  <c r="CV326" i="82"/>
  <c r="DD326" i="82"/>
  <c r="DL55" i="2"/>
  <c r="CN74" i="2"/>
  <c r="CV74" i="2"/>
  <c r="DD74" i="2"/>
  <c r="CW187" i="2"/>
  <c r="CG190" i="2"/>
  <c r="CO190" i="2"/>
  <c r="CW190" i="2"/>
  <c r="DE190" i="2"/>
  <c r="CO198" i="2"/>
  <c r="CF206" i="2"/>
  <c r="CN206" i="2"/>
  <c r="CV206" i="2"/>
  <c r="DD206" i="2"/>
  <c r="CB392" i="2"/>
  <c r="CA393" i="2"/>
  <c r="CM567" i="1"/>
  <c r="CK28" i="1"/>
  <c r="CJ28" i="1"/>
  <c r="CL28" i="1"/>
  <c r="CM23" i="1"/>
  <c r="DC567" i="1"/>
  <c r="DC115" i="1"/>
  <c r="DC93" i="1"/>
  <c r="DC27" i="1"/>
  <c r="DC23" i="1"/>
  <c r="BH462" i="1"/>
  <c r="BH568" i="1"/>
  <c r="BW568" i="1"/>
  <c r="BW462" i="1"/>
  <c r="CJ568" i="1"/>
  <c r="DK23" i="1"/>
  <c r="BG464" i="1"/>
  <c r="AZ576" i="1"/>
  <c r="AZ467" i="1"/>
  <c r="BA34" i="1"/>
  <c r="AZ34" i="1"/>
  <c r="BD29" i="1"/>
  <c r="AZ30" i="1"/>
  <c r="AZ118" i="1"/>
  <c r="CX576" i="1"/>
  <c r="CX34" i="1"/>
  <c r="DC30" i="1"/>
  <c r="CX35" i="1"/>
  <c r="CX30" i="1"/>
  <c r="CX118" i="1"/>
  <c r="DJ576" i="1"/>
  <c r="DJ102" i="1"/>
  <c r="DJ118" i="1"/>
  <c r="DJ35" i="1"/>
  <c r="DK34" i="1"/>
  <c r="DJ34" i="1"/>
  <c r="AL469" i="1"/>
  <c r="AV577" i="1"/>
  <c r="AV469" i="1"/>
  <c r="DF34" i="1"/>
  <c r="AA474" i="1"/>
  <c r="AA107" i="1"/>
  <c r="AF37" i="1"/>
  <c r="AA37" i="1"/>
  <c r="AA41" i="1"/>
  <c r="Y491" i="1"/>
  <c r="BK603" i="1"/>
  <c r="CO603" i="1"/>
  <c r="CT103" i="1"/>
  <c r="CO104" i="1"/>
  <c r="CX102" i="1"/>
  <c r="CU103" i="1"/>
  <c r="CO326" i="82"/>
  <c r="CW55" i="2"/>
  <c r="DE326" i="82"/>
  <c r="DM326" i="82"/>
  <c r="CO74" i="2"/>
  <c r="DE74" i="2"/>
  <c r="DM74" i="2"/>
  <c r="S296" i="113"/>
  <c r="CD269" i="7"/>
  <c r="CG206" i="2"/>
  <c r="CO206" i="2"/>
  <c r="DE206" i="2"/>
  <c r="DM206" i="2"/>
  <c r="DM209" i="2"/>
  <c r="CB393" i="2"/>
  <c r="CZ6" i="82"/>
  <c r="CZ139" i="1"/>
  <c r="DH139" i="1"/>
  <c r="DP139" i="1"/>
  <c r="DJ14" i="1"/>
  <c r="DJ13" i="1"/>
  <c r="DJ110" i="1"/>
  <c r="DJ96" i="1"/>
  <c r="AY567" i="1"/>
  <c r="AV28" i="1"/>
  <c r="AY460" i="1"/>
  <c r="AX28" i="1"/>
  <c r="CR462" i="1"/>
  <c r="DD27" i="1"/>
  <c r="DM23" i="1"/>
  <c r="DM115" i="1"/>
  <c r="DM27" i="1"/>
  <c r="AB462" i="1"/>
  <c r="BJ568" i="1"/>
  <c r="BJ462" i="1"/>
  <c r="BE576" i="1"/>
  <c r="BE467" i="1"/>
  <c r="BE102" i="1"/>
  <c r="BE30" i="1"/>
  <c r="BI29" i="1"/>
  <c r="BE118" i="1"/>
  <c r="BE121" i="1" s="1"/>
  <c r="BE34" i="1"/>
  <c r="BW577" i="1"/>
  <c r="BW469" i="1"/>
  <c r="CL577" i="1"/>
  <c r="CL469" i="1"/>
  <c r="CT577" i="1"/>
  <c r="AB471" i="1"/>
  <c r="AL471" i="1"/>
  <c r="AX471" i="1"/>
  <c r="BG474" i="1"/>
  <c r="BG585" i="1"/>
  <c r="BL37" i="1"/>
  <c r="BG69" i="1"/>
  <c r="BG170" i="1" s="1"/>
  <c r="BG37" i="1"/>
  <c r="AZ102" i="1"/>
  <c r="CP603" i="1"/>
  <c r="CP104" i="1"/>
  <c r="BZ393" i="2"/>
  <c r="CW6" i="82"/>
  <c r="DE6" i="82"/>
  <c r="AO460" i="1"/>
  <c r="BN567" i="1"/>
  <c r="BN460" i="1"/>
  <c r="CZ567" i="1"/>
  <c r="DH567" i="1"/>
  <c r="AG462" i="1"/>
  <c r="AO23" i="1"/>
  <c r="BE23" i="1"/>
  <c r="BM462" i="1"/>
  <c r="BM568" i="1"/>
  <c r="CE462" i="1"/>
  <c r="CE568" i="1"/>
  <c r="CU568" i="1"/>
  <c r="Y464" i="1"/>
  <c r="AI464" i="1"/>
  <c r="BC464" i="1"/>
  <c r="BM464" i="1"/>
  <c r="AD28" i="1"/>
  <c r="AN28" i="1"/>
  <c r="BH28" i="1"/>
  <c r="DF28" i="1"/>
  <c r="BX576" i="1"/>
  <c r="BX467" i="1"/>
  <c r="BV472" i="1" s="1"/>
  <c r="DA576" i="1"/>
  <c r="AA469" i="1"/>
  <c r="AI469" i="1"/>
  <c r="AQ469" i="1"/>
  <c r="BG469" i="1"/>
  <c r="BG577" i="1"/>
  <c r="BT469" i="1"/>
  <c r="BT577" i="1"/>
  <c r="CG577" i="1"/>
  <c r="CG469" i="1"/>
  <c r="CO577" i="1"/>
  <c r="CW30" i="1"/>
  <c r="X471" i="1"/>
  <c r="AH471" i="1"/>
  <c r="BB471" i="1"/>
  <c r="BL471" i="1"/>
  <c r="CF471" i="1"/>
  <c r="CZ34" i="1"/>
  <c r="AM35" i="1"/>
  <c r="BV35" i="1"/>
  <c r="CK35" i="1"/>
  <c r="CU35" i="1"/>
  <c r="V474" i="1"/>
  <c r="AD474" i="1"/>
  <c r="AL474" i="1"/>
  <c r="BB585" i="1"/>
  <c r="BB474" i="1"/>
  <c r="BJ585" i="1"/>
  <c r="BJ474" i="1"/>
  <c r="BW585" i="1"/>
  <c r="BW474" i="1"/>
  <c r="CJ585" i="1"/>
  <c r="CJ474" i="1"/>
  <c r="CR36" i="1"/>
  <c r="CZ36" i="1"/>
  <c r="CQ41" i="1"/>
  <c r="DJ62" i="1"/>
  <c r="AB491" i="1"/>
  <c r="CN481" i="1"/>
  <c r="CN69" i="1" s="1"/>
  <c r="CN170" i="1" s="1"/>
  <c r="CV481" i="1"/>
  <c r="DE492" i="1"/>
  <c r="CU496" i="1"/>
  <c r="CU65" i="1"/>
  <c r="CT66" i="1"/>
  <c r="DD66" i="1"/>
  <c r="AF69" i="1"/>
  <c r="AF170" i="1" s="1"/>
  <c r="CD69" i="1"/>
  <c r="CD170" i="1" s="1"/>
  <c r="AA70" i="1"/>
  <c r="W74" i="1"/>
  <c r="AB80" i="1"/>
  <c r="CR596" i="1"/>
  <c r="BF598" i="1"/>
  <c r="CF598" i="1"/>
  <c r="CN598" i="1"/>
  <c r="CV598" i="1"/>
  <c r="DD598" i="1"/>
  <c r="BG597" i="1"/>
  <c r="BT597" i="1"/>
  <c r="CG597" i="1"/>
  <c r="CO597" i="1"/>
  <c r="DM93" i="1"/>
  <c r="DR94" i="1" s="1"/>
  <c r="CV94" i="1"/>
  <c r="BL602" i="1"/>
  <c r="CD602" i="1"/>
  <c r="CL602" i="1"/>
  <c r="CT602" i="1"/>
  <c r="DB99" i="1"/>
  <c r="CK100" i="1"/>
  <c r="CS100" i="1"/>
  <c r="DA100" i="1"/>
  <c r="DI100" i="1"/>
  <c r="DI604" i="1" s="1"/>
  <c r="BA608" i="1"/>
  <c r="AG106" i="1"/>
  <c r="BM610" i="1"/>
  <c r="CE610" i="1"/>
  <c r="CU610" i="1"/>
  <c r="DC610" i="1"/>
  <c r="AB107" i="1"/>
  <c r="BH107" i="1"/>
  <c r="BU107" i="1"/>
  <c r="CP107" i="1"/>
  <c r="DI110" i="1"/>
  <c r="DI112" i="1" s="1"/>
  <c r="AH115" i="1"/>
  <c r="AM116" i="1" s="1"/>
  <c r="AX616" i="1"/>
  <c r="BF616" i="1"/>
  <c r="BN115" i="1"/>
  <c r="CF616" i="1"/>
  <c r="CN616" i="1"/>
  <c r="CV616" i="1"/>
  <c r="DD115" i="1"/>
  <c r="U116" i="1"/>
  <c r="AC116" i="1"/>
  <c r="CI116" i="1"/>
  <c r="CQ116" i="1"/>
  <c r="Y117" i="1"/>
  <c r="BC117" i="1"/>
  <c r="BM117" i="1"/>
  <c r="BH118" i="1"/>
  <c r="BJ120" i="1" s="1"/>
  <c r="BU118" i="1"/>
  <c r="CP118" i="1"/>
  <c r="DF118" i="1"/>
  <c r="W120" i="1"/>
  <c r="Y121" i="1"/>
  <c r="BM121" i="1"/>
  <c r="CE121" i="1"/>
  <c r="AA125" i="1"/>
  <c r="AI125" i="1"/>
  <c r="AQ125" i="1"/>
  <c r="BG125" i="1"/>
  <c r="BT125" i="1"/>
  <c r="CG125" i="1"/>
  <c r="X126" i="1"/>
  <c r="AH126" i="1"/>
  <c r="AR126" i="1"/>
  <c r="BB126" i="1"/>
  <c r="BL126" i="1"/>
  <c r="CF126" i="1"/>
  <c r="AB526" i="1"/>
  <c r="AB395" i="1"/>
  <c r="AB397" i="1"/>
  <c r="AB402" i="1" s="1"/>
  <c r="AK526" i="1"/>
  <c r="AK395" i="1"/>
  <c r="AK397" i="1"/>
  <c r="AK402" i="1" s="1"/>
  <c r="BA526" i="1"/>
  <c r="BA395" i="1"/>
  <c r="BA400" i="1"/>
  <c r="BA402" i="1"/>
  <c r="BV526" i="1"/>
  <c r="BV395" i="1"/>
  <c r="BV400" i="1"/>
  <c r="BV402" i="1"/>
  <c r="CQ526" i="1"/>
  <c r="CQ395" i="1"/>
  <c r="CQ145" i="39" s="1"/>
  <c r="CQ400" i="1"/>
  <c r="CQ402" i="1"/>
  <c r="AR527" i="1"/>
  <c r="AZ527" i="1"/>
  <c r="BU527" i="1"/>
  <c r="CX527" i="1"/>
  <c r="DF527" i="1"/>
  <c r="DL301" i="1"/>
  <c r="DH526" i="1"/>
  <c r="DC307" i="1"/>
  <c r="DC308" i="1" s="1"/>
  <c r="DC132" i="39" s="1"/>
  <c r="DM307" i="1"/>
  <c r="DM308" i="1" s="1"/>
  <c r="DM132" i="39" s="1"/>
  <c r="DM301" i="1"/>
  <c r="AM321" i="1"/>
  <c r="CW393" i="1"/>
  <c r="CW405" i="1" s="1"/>
  <c r="CW404" i="1"/>
  <c r="AQ397" i="1"/>
  <c r="AQ402" i="1" s="1"/>
  <c r="AZ402" i="1"/>
  <c r="DE504" i="1"/>
  <c r="CZ512" i="1"/>
  <c r="DE513" i="1" s="1"/>
  <c r="CZ505" i="1"/>
  <c r="DB503" i="1"/>
  <c r="CZ506" i="1" s="1"/>
  <c r="CV513" i="1"/>
  <c r="CV514" i="1"/>
  <c r="DA526" i="1"/>
  <c r="CP597" i="1"/>
  <c r="CX6" i="82"/>
  <c r="DF6" i="82"/>
  <c r="AS460" i="1"/>
  <c r="BX460" i="1"/>
  <c r="Z462" i="1"/>
  <c r="AH462" i="1"/>
  <c r="AP462" i="1"/>
  <c r="AX23" i="1"/>
  <c r="BN23" i="1"/>
  <c r="CF462" i="1"/>
  <c r="DD23" i="1"/>
  <c r="AA464" i="1"/>
  <c r="AK464" i="1"/>
  <c r="AU27" i="1"/>
  <c r="BE464" i="1"/>
  <c r="AF28" i="1"/>
  <c r="BJ28" i="1"/>
  <c r="CD28" i="1"/>
  <c r="CN28" i="1"/>
  <c r="CX28" i="1"/>
  <c r="DH28" i="1"/>
  <c r="Q29" i="1"/>
  <c r="AT29" i="1"/>
  <c r="CH576" i="1"/>
  <c r="CH467" i="1"/>
  <c r="CF472" i="1" s="1"/>
  <c r="DC576" i="1"/>
  <c r="AB469" i="1"/>
  <c r="AJ30" i="1"/>
  <c r="AR469" i="1"/>
  <c r="BH469" i="1"/>
  <c r="BH577" i="1"/>
  <c r="BU469" i="1"/>
  <c r="CH30" i="1"/>
  <c r="CP577" i="1"/>
  <c r="DF30" i="1"/>
  <c r="Y471" i="1"/>
  <c r="AI471" i="1"/>
  <c r="AS34" i="1"/>
  <c r="BC471" i="1"/>
  <c r="BM471" i="1"/>
  <c r="CG471" i="1"/>
  <c r="DA34" i="1"/>
  <c r="AN35" i="1"/>
  <c r="AX35" i="1"/>
  <c r="BW35" i="1"/>
  <c r="W474" i="1"/>
  <c r="AE36" i="1"/>
  <c r="AM474" i="1"/>
  <c r="AU585" i="1"/>
  <c r="AU474" i="1"/>
  <c r="BC585" i="1"/>
  <c r="BC474" i="1"/>
  <c r="BK585" i="1"/>
  <c r="BK474" i="1"/>
  <c r="BX36" i="1"/>
  <c r="CK585" i="1"/>
  <c r="CK474" i="1"/>
  <c r="CS585" i="1"/>
  <c r="CS474" i="1"/>
  <c r="CX476" i="1" s="1"/>
  <c r="DA36" i="1"/>
  <c r="Z37" i="1"/>
  <c r="AH37" i="1"/>
  <c r="AP37" i="1"/>
  <c r="CF37" i="1"/>
  <c r="CN37" i="1"/>
  <c r="AK41" i="1"/>
  <c r="CI41" i="1"/>
  <c r="CS41" i="1"/>
  <c r="V42" i="1"/>
  <c r="AC491" i="1"/>
  <c r="CO481" i="1"/>
  <c r="CO69" i="1" s="1"/>
  <c r="CO170" i="1" s="1"/>
  <c r="CV496" i="1"/>
  <c r="CW64" i="1"/>
  <c r="CV65" i="1"/>
  <c r="DD65" i="1"/>
  <c r="CU66" i="1"/>
  <c r="DE66" i="1"/>
  <c r="Q481" i="1"/>
  <c r="Y485" i="1"/>
  <c r="AB70" i="1"/>
  <c r="X74" i="1"/>
  <c r="AC80" i="1"/>
  <c r="CW596" i="1"/>
  <c r="BG598" i="1"/>
  <c r="BT598" i="1"/>
  <c r="CG598" i="1"/>
  <c r="CO598" i="1"/>
  <c r="CW91" i="1"/>
  <c r="DE598" i="1"/>
  <c r="DM91" i="1"/>
  <c r="AJ93" i="1"/>
  <c r="AZ93" i="1"/>
  <c r="BH597" i="1"/>
  <c r="BU597" i="1"/>
  <c r="CH93" i="1"/>
  <c r="CX93" i="1"/>
  <c r="DF93" i="1"/>
  <c r="CO94" i="1"/>
  <c r="DH98" i="1"/>
  <c r="T99" i="1"/>
  <c r="BE602" i="1"/>
  <c r="BM602" i="1"/>
  <c r="CE602" i="1"/>
  <c r="CM99" i="1"/>
  <c r="CU602" i="1"/>
  <c r="DC602" i="1"/>
  <c r="DK99" i="1"/>
  <c r="DL99" i="1" s="1"/>
  <c r="AF100" i="1"/>
  <c r="CD100" i="1"/>
  <c r="CL100" i="1"/>
  <c r="CT100" i="1"/>
  <c r="DJ100" i="1"/>
  <c r="DJ604" i="1" s="1"/>
  <c r="BB608" i="1"/>
  <c r="AH106" i="1"/>
  <c r="BF106" i="1"/>
  <c r="CN610" i="1"/>
  <c r="CV610" i="1"/>
  <c r="DD610" i="1"/>
  <c r="AC107" i="1"/>
  <c r="BV107" i="1"/>
  <c r="CI107" i="1"/>
  <c r="CQ107" i="1"/>
  <c r="BG616" i="1"/>
  <c r="BT616" i="1"/>
  <c r="CG616" i="1"/>
  <c r="CO616" i="1"/>
  <c r="CW115" i="1"/>
  <c r="AD116" i="1"/>
  <c r="CJ116" i="1"/>
  <c r="AA117" i="1"/>
  <c r="BE117" i="1"/>
  <c r="BT117" i="1"/>
  <c r="CS117" i="1"/>
  <c r="U118" i="1"/>
  <c r="BA118" i="1"/>
  <c r="BV118" i="1"/>
  <c r="BW120" i="1" s="1"/>
  <c r="CI118" i="1"/>
  <c r="CI121" i="1" s="1"/>
  <c r="CQ118" i="1"/>
  <c r="CQ121" i="1" s="1"/>
  <c r="CY118" i="1"/>
  <c r="X120" i="1"/>
  <c r="CM124" i="1"/>
  <c r="DC124" i="1"/>
  <c r="AB125" i="1"/>
  <c r="AR125" i="1"/>
  <c r="AZ125" i="1"/>
  <c r="BH125" i="1"/>
  <c r="BU125" i="1"/>
  <c r="Y126" i="1"/>
  <c r="AI126" i="1"/>
  <c r="AS126" i="1"/>
  <c r="BC126" i="1"/>
  <c r="BM126" i="1"/>
  <c r="CG126" i="1"/>
  <c r="CH461" i="1"/>
  <c r="AL395" i="1"/>
  <c r="AL397" i="1"/>
  <c r="AL402" i="1" s="1"/>
  <c r="AL526" i="1"/>
  <c r="AT395" i="1"/>
  <c r="AT397" i="1"/>
  <c r="AY398" i="1" s="1"/>
  <c r="BB395" i="1"/>
  <c r="BB400" i="1"/>
  <c r="BB402" i="1"/>
  <c r="BB526" i="1"/>
  <c r="BJ395" i="1"/>
  <c r="BJ400" i="1"/>
  <c r="BJ402" i="1"/>
  <c r="BJ526" i="1"/>
  <c r="BW395" i="1"/>
  <c r="BW400" i="1"/>
  <c r="BW402" i="1"/>
  <c r="BW526" i="1"/>
  <c r="AK527" i="1"/>
  <c r="BV527" i="1"/>
  <c r="DL530" i="1"/>
  <c r="CZ531" i="1"/>
  <c r="DD307" i="1"/>
  <c r="DD308" i="1" s="1"/>
  <c r="DD132" i="39" s="1"/>
  <c r="W321" i="1"/>
  <c r="DA321" i="1"/>
  <c r="BE427" i="1"/>
  <c r="BE416" i="1"/>
  <c r="BE410" i="1"/>
  <c r="BE423" i="1"/>
  <c r="BM427" i="1"/>
  <c r="BM428" i="1" s="1"/>
  <c r="BM429" i="1" s="1"/>
  <c r="BM416" i="1"/>
  <c r="BM417" i="1" s="1"/>
  <c r="BM418" i="1" s="1"/>
  <c r="BM410" i="1"/>
  <c r="BM412" i="1" s="1"/>
  <c r="BM413" i="1" s="1"/>
  <c r="CU416" i="1"/>
  <c r="CU417" i="1" s="1"/>
  <c r="CU418" i="1" s="1"/>
  <c r="CU423" i="1"/>
  <c r="CU424" i="1" s="1"/>
  <c r="CU410" i="1"/>
  <c r="CU412" i="1" s="1"/>
  <c r="CU413" i="1" s="1"/>
  <c r="CU406" i="1"/>
  <c r="CU427" i="1"/>
  <c r="CU428" i="1" s="1"/>
  <c r="CO464" i="1"/>
  <c r="CO462" i="1"/>
  <c r="CQ469" i="1"/>
  <c r="CO514" i="1"/>
  <c r="CN513" i="1"/>
  <c r="CR512" i="1"/>
  <c r="CN515" i="1" s="1"/>
  <c r="CN514" i="1"/>
  <c r="BU577" i="1"/>
  <c r="BW598" i="1"/>
  <c r="AL38" i="7"/>
  <c r="AM37" i="7"/>
  <c r="AY50" i="7"/>
  <c r="BG50" i="7"/>
  <c r="BW392" i="2"/>
  <c r="CY6" i="82"/>
  <c r="AT22" i="1"/>
  <c r="CH567" i="1"/>
  <c r="CH460" i="1"/>
  <c r="CF465" i="1" s="1"/>
  <c r="DB567" i="1"/>
  <c r="AA462" i="1"/>
  <c r="AI462" i="1"/>
  <c r="AQ462" i="1"/>
  <c r="BG462" i="1"/>
  <c r="BG568" i="1"/>
  <c r="BT462" i="1"/>
  <c r="BT568" i="1"/>
  <c r="CG462" i="1"/>
  <c r="CG568" i="1"/>
  <c r="CO568" i="1"/>
  <c r="AB464" i="1"/>
  <c r="AL464" i="1"/>
  <c r="AV464" i="1"/>
  <c r="AG28" i="1"/>
  <c r="BK28" i="1"/>
  <c r="CE28" i="1"/>
  <c r="CO28" i="1"/>
  <c r="CY28" i="1"/>
  <c r="DI28" i="1"/>
  <c r="AY467" i="1"/>
  <c r="CM576" i="1"/>
  <c r="DD576" i="1"/>
  <c r="AC469" i="1"/>
  <c r="AK469" i="1"/>
  <c r="AS30" i="1"/>
  <c r="BA577" i="1"/>
  <c r="BA469" i="1"/>
  <c r="BV577" i="1"/>
  <c r="BV469" i="1"/>
  <c r="CI577" i="1"/>
  <c r="CQ577" i="1"/>
  <c r="DG577" i="1"/>
  <c r="AA471" i="1"/>
  <c r="AK471" i="1"/>
  <c r="AU34" i="1"/>
  <c r="BT471" i="1"/>
  <c r="DC34" i="1"/>
  <c r="AF35" i="1"/>
  <c r="BJ35" i="1"/>
  <c r="CD35" i="1"/>
  <c r="P474" i="1"/>
  <c r="X474" i="1"/>
  <c r="AF474" i="1"/>
  <c r="AN474" i="1"/>
  <c r="AV585" i="1"/>
  <c r="AV474" i="1"/>
  <c r="AW381" i="1" s="1"/>
  <c r="AW371" i="1" s="1"/>
  <c r="BL585" i="1"/>
  <c r="BL474" i="1"/>
  <c r="CD585" i="1"/>
  <c r="CD474" i="1"/>
  <c r="CL585" i="1"/>
  <c r="CL474" i="1"/>
  <c r="CT585" i="1"/>
  <c r="CT474" i="1"/>
  <c r="CY476" i="1" s="1"/>
  <c r="DB36" i="1"/>
  <c r="AL41" i="1"/>
  <c r="AV41" i="1"/>
  <c r="BU41" i="1"/>
  <c r="CJ41" i="1"/>
  <c r="CT41" i="1"/>
  <c r="W42" i="1"/>
  <c r="DC62" i="1"/>
  <c r="V491" i="1"/>
  <c r="CP481" i="1"/>
  <c r="DG492" i="1"/>
  <c r="DC497" i="1"/>
  <c r="DE65" i="1"/>
  <c r="CV66" i="1"/>
  <c r="DF66" i="1"/>
  <c r="R481" i="1"/>
  <c r="AC70" i="1"/>
  <c r="Y74" i="1"/>
  <c r="V80" i="1"/>
  <c r="AP90" i="1"/>
  <c r="BC596" i="1"/>
  <c r="DB596" i="1"/>
  <c r="BH91" i="1"/>
  <c r="BU598" i="1"/>
  <c r="CP598" i="1"/>
  <c r="CX598" i="1"/>
  <c r="DF598" i="1"/>
  <c r="BI93" i="1"/>
  <c r="BV597" i="1"/>
  <c r="CI597" i="1"/>
  <c r="CQ597" i="1"/>
  <c r="CY93" i="1"/>
  <c r="CP94" i="1"/>
  <c r="CL95" i="1"/>
  <c r="DI98" i="1"/>
  <c r="BF99" i="1"/>
  <c r="BK100" i="1" s="1"/>
  <c r="BN99" i="1"/>
  <c r="CF602" i="1"/>
  <c r="CN602" i="1"/>
  <c r="CV602" i="1"/>
  <c r="DD602" i="1"/>
  <c r="AG100" i="1"/>
  <c r="BE100" i="1"/>
  <c r="BM100" i="1"/>
  <c r="CE100" i="1"/>
  <c r="CU100" i="1"/>
  <c r="DC100" i="1"/>
  <c r="U102" i="1"/>
  <c r="BV102" i="1"/>
  <c r="CI102" i="1"/>
  <c r="CQ102" i="1"/>
  <c r="CY102" i="1"/>
  <c r="BC608" i="1"/>
  <c r="AI106" i="1"/>
  <c r="BT610" i="1"/>
  <c r="CG610" i="1"/>
  <c r="CO610" i="1"/>
  <c r="DE610" i="1"/>
  <c r="V107" i="1"/>
  <c r="AD107" i="1"/>
  <c r="BB107" i="1"/>
  <c r="BJ107" i="1"/>
  <c r="BW107" i="1"/>
  <c r="CJ107" i="1"/>
  <c r="DK111" i="1"/>
  <c r="AJ115" i="1"/>
  <c r="BH616" i="1"/>
  <c r="BU616" i="1"/>
  <c r="CP616" i="1"/>
  <c r="DF115" i="1"/>
  <c r="AB117" i="1"/>
  <c r="BF117" i="1"/>
  <c r="BU117" i="1"/>
  <c r="CZ118" i="1"/>
  <c r="DH118" i="1"/>
  <c r="AA119" i="1"/>
  <c r="Y120" i="1"/>
  <c r="AA121" i="1"/>
  <c r="Z124" i="1"/>
  <c r="BN124" i="1"/>
  <c r="DD124" i="1"/>
  <c r="AK125" i="1"/>
  <c r="AS125" i="1"/>
  <c r="BA125" i="1"/>
  <c r="BV125" i="1"/>
  <c r="CI125" i="1"/>
  <c r="AA126" i="1"/>
  <c r="AK126" i="1"/>
  <c r="AU126" i="1"/>
  <c r="BT126" i="1"/>
  <c r="CI126" i="1"/>
  <c r="DM126" i="1"/>
  <c r="DQ139" i="1"/>
  <c r="CM461" i="1"/>
  <c r="AM395" i="1"/>
  <c r="AM397" i="1"/>
  <c r="AM402" i="1" s="1"/>
  <c r="AU395" i="1"/>
  <c r="AU397" i="1"/>
  <c r="AU402" i="1" s="1"/>
  <c r="BK395" i="1"/>
  <c r="BK400" i="1"/>
  <c r="BK402" i="1"/>
  <c r="CS395" i="1"/>
  <c r="CS145" i="39" s="1"/>
  <c r="CS400" i="1"/>
  <c r="CS402" i="1"/>
  <c r="AL527" i="1"/>
  <c r="BB527" i="1"/>
  <c r="BJ527" i="1"/>
  <c r="BW527" i="1"/>
  <c r="CZ527" i="1"/>
  <c r="BB528" i="1"/>
  <c r="CZ526" i="1"/>
  <c r="DE307" i="1"/>
  <c r="DE308" i="1" s="1"/>
  <c r="DE132" i="39" s="1"/>
  <c r="BT417" i="1"/>
  <c r="BT418" i="1" s="1"/>
  <c r="AS467" i="1"/>
  <c r="CI469" i="1"/>
  <c r="CM467" i="1"/>
  <c r="CI472" i="1" s="1"/>
  <c r="CI471" i="1"/>
  <c r="R376" i="1"/>
  <c r="AU526" i="1"/>
  <c r="CJ530" i="1"/>
  <c r="CM530" i="1" s="1"/>
  <c r="CF568" i="1"/>
  <c r="CN577" i="1"/>
  <c r="DD497" i="1"/>
  <c r="CX65" i="1"/>
  <c r="DF65" i="1"/>
  <c r="S481" i="1"/>
  <c r="AA485" i="1"/>
  <c r="AA74" i="1"/>
  <c r="T48" i="113"/>
  <c r="DG596" i="1"/>
  <c r="BI91" i="1"/>
  <c r="BV598" i="1"/>
  <c r="CI598" i="1"/>
  <c r="CQ598" i="1"/>
  <c r="CY598" i="1"/>
  <c r="DG91" i="1"/>
  <c r="BB597" i="1"/>
  <c r="BJ597" i="1"/>
  <c r="BW597" i="1"/>
  <c r="CJ597" i="1"/>
  <c r="CR93" i="1"/>
  <c r="CZ93" i="1"/>
  <c r="DH93" i="1"/>
  <c r="CQ94" i="1"/>
  <c r="AX602" i="1"/>
  <c r="BT602" i="1"/>
  <c r="CG602" i="1"/>
  <c r="CO602" i="1"/>
  <c r="DE602" i="1"/>
  <c r="AP100" i="1"/>
  <c r="CZ102" i="1"/>
  <c r="AV608" i="1"/>
  <c r="BD608" i="1"/>
  <c r="BH610" i="1"/>
  <c r="BU610" i="1"/>
  <c r="CP610" i="1"/>
  <c r="CX610" i="1"/>
  <c r="DF610" i="1"/>
  <c r="W107" i="1"/>
  <c r="AM107" i="1"/>
  <c r="BC107" i="1"/>
  <c r="BK107" i="1"/>
  <c r="CK107" i="1"/>
  <c r="CS107" i="1"/>
  <c r="BI115" i="1"/>
  <c r="BV616" i="1"/>
  <c r="CI616" i="1"/>
  <c r="CQ616" i="1"/>
  <c r="CY115" i="1"/>
  <c r="DG115" i="1"/>
  <c r="AC117" i="1"/>
  <c r="BV117" i="1"/>
  <c r="DA118" i="1"/>
  <c r="AB119" i="1"/>
  <c r="DE124" i="1"/>
  <c r="AB126" i="1"/>
  <c r="BU126" i="1"/>
  <c r="CR461" i="1"/>
  <c r="AF397" i="1"/>
  <c r="AF402" i="1" s="1"/>
  <c r="AF526" i="1"/>
  <c r="AF395" i="1"/>
  <c r="AV397" i="1"/>
  <c r="AV526" i="1"/>
  <c r="AV395" i="1"/>
  <c r="BD400" i="1"/>
  <c r="BD402" i="1"/>
  <c r="BD395" i="1"/>
  <c r="BL400" i="1"/>
  <c r="BL402" i="1"/>
  <c r="BL526" i="1"/>
  <c r="BL395" i="1"/>
  <c r="CD400" i="1"/>
  <c r="CD402" i="1"/>
  <c r="CD526" i="1"/>
  <c r="CD395" i="1"/>
  <c r="CT400" i="1"/>
  <c r="CT402" i="1"/>
  <c r="CT526" i="1"/>
  <c r="CT395" i="1"/>
  <c r="CT145" i="39" s="1"/>
  <c r="CT153" i="39" s="1"/>
  <c r="CT192" i="39" s="1"/>
  <c r="BM528" i="1"/>
  <c r="BB410" i="1"/>
  <c r="BB412" i="1" s="1"/>
  <c r="CG464" i="1"/>
  <c r="AR471" i="1"/>
  <c r="BV474" i="1"/>
  <c r="X485" i="1"/>
  <c r="BX567" i="1"/>
  <c r="CN568" i="1"/>
  <c r="BK598" i="1"/>
  <c r="DH265" i="82"/>
  <c r="BZ391" i="2"/>
  <c r="CS6" i="82"/>
  <c r="DA6" i="82"/>
  <c r="S22" i="1"/>
  <c r="AZ567" i="1"/>
  <c r="AZ460" i="1"/>
  <c r="CR567" i="1"/>
  <c r="DD567" i="1"/>
  <c r="DL567" i="1"/>
  <c r="U462" i="1"/>
  <c r="AC462" i="1"/>
  <c r="AK462" i="1"/>
  <c r="AS23" i="1"/>
  <c r="BV568" i="1"/>
  <c r="BV462" i="1"/>
  <c r="CI568" i="1"/>
  <c r="CQ568" i="1"/>
  <c r="CY23" i="1"/>
  <c r="DG23" i="1"/>
  <c r="AD464" i="1"/>
  <c r="AN464" i="1"/>
  <c r="BH464" i="1"/>
  <c r="AI28" i="1"/>
  <c r="BM28" i="1"/>
  <c r="CG28" i="1"/>
  <c r="CQ28" i="1"/>
  <c r="DA28" i="1"/>
  <c r="CW576" i="1"/>
  <c r="DI576" i="1"/>
  <c r="AM469" i="1"/>
  <c r="AU577" i="1"/>
  <c r="AU469" i="1"/>
  <c r="BC577" i="1"/>
  <c r="BC469" i="1"/>
  <c r="BK577" i="1"/>
  <c r="BK469" i="1"/>
  <c r="BX30" i="1"/>
  <c r="CK577" i="1"/>
  <c r="CS577" i="1"/>
  <c r="DA30" i="1"/>
  <c r="DL577" i="1"/>
  <c r="AC471" i="1"/>
  <c r="AM471" i="1"/>
  <c r="BG471" i="1"/>
  <c r="BV471" i="1"/>
  <c r="BL35" i="1"/>
  <c r="CF35" i="1"/>
  <c r="Z474" i="1"/>
  <c r="AH474" i="1"/>
  <c r="AP474" i="1"/>
  <c r="AX474" i="1"/>
  <c r="BF474" i="1"/>
  <c r="BF585" i="1"/>
  <c r="BN36" i="1"/>
  <c r="CF474" i="1"/>
  <c r="CF585" i="1"/>
  <c r="CN474" i="1"/>
  <c r="CV474" i="1"/>
  <c r="DA476" i="1" s="1"/>
  <c r="CV585" i="1"/>
  <c r="DD36" i="1"/>
  <c r="U37" i="1"/>
  <c r="AC37" i="1"/>
  <c r="AK37" i="1"/>
  <c r="CI37" i="1"/>
  <c r="CQ37" i="1"/>
  <c r="AD41" i="1"/>
  <c r="AN41" i="1"/>
  <c r="BH41" i="1"/>
  <c r="BW41" i="1"/>
  <c r="CL41" i="1"/>
  <c r="CV41" i="1"/>
  <c r="DJ63" i="1"/>
  <c r="X491" i="1"/>
  <c r="CR491" i="1"/>
  <c r="CZ481" i="1"/>
  <c r="CP496" i="1"/>
  <c r="DE497" i="1"/>
  <c r="CR64" i="1"/>
  <c r="CY65" i="1"/>
  <c r="CY66" i="1"/>
  <c r="DI66" i="1"/>
  <c r="AB485" i="1"/>
  <c r="W70" i="1"/>
  <c r="R74" i="1"/>
  <c r="AB74" i="1"/>
  <c r="X80" i="1"/>
  <c r="BN596" i="1"/>
  <c r="BB598" i="1"/>
  <c r="BJ598" i="1"/>
  <c r="CR91" i="1"/>
  <c r="CZ598" i="1"/>
  <c r="AE93" i="1"/>
  <c r="BC93" i="1"/>
  <c r="BK597" i="1"/>
  <c r="CK597" i="1"/>
  <c r="CS597" i="1"/>
  <c r="DA93" i="1"/>
  <c r="DI93" i="1"/>
  <c r="CJ94" i="1"/>
  <c r="CO95" i="1"/>
  <c r="AQ99" i="1"/>
  <c r="BH602" i="1"/>
  <c r="BU602" i="1"/>
  <c r="CH99" i="1"/>
  <c r="CP602" i="1"/>
  <c r="CX602" i="1"/>
  <c r="DF602" i="1"/>
  <c r="BT100" i="1"/>
  <c r="CG100" i="1"/>
  <c r="CO100" i="1"/>
  <c r="DE100" i="1"/>
  <c r="AE102" i="1"/>
  <c r="DI102" i="1"/>
  <c r="U105" i="1"/>
  <c r="BE608" i="1"/>
  <c r="CR608" i="1"/>
  <c r="BA106" i="1"/>
  <c r="BV610" i="1"/>
  <c r="CI610" i="1"/>
  <c r="CQ610" i="1"/>
  <c r="CY610" i="1"/>
  <c r="X107" i="1"/>
  <c r="AF107" i="1"/>
  <c r="AV107" i="1"/>
  <c r="BL107" i="1"/>
  <c r="CD107" i="1"/>
  <c r="CL107" i="1"/>
  <c r="CT107" i="1"/>
  <c r="BB616" i="1"/>
  <c r="BJ616" i="1"/>
  <c r="BW616" i="1"/>
  <c r="CJ616" i="1"/>
  <c r="CR115" i="1"/>
  <c r="CZ115" i="1"/>
  <c r="DH115" i="1"/>
  <c r="AG116" i="1"/>
  <c r="CE116" i="1"/>
  <c r="AD117" i="1"/>
  <c r="BH117" i="1"/>
  <c r="BW117" i="1"/>
  <c r="CV117" i="1"/>
  <c r="AF118" i="1"/>
  <c r="AF121" i="1" s="1"/>
  <c r="BL118" i="1"/>
  <c r="BL121" i="1" s="1"/>
  <c r="CD118" i="1"/>
  <c r="CD121" i="1" s="1"/>
  <c r="CL118" i="1"/>
  <c r="CL121" i="1" s="1"/>
  <c r="CT118" i="1"/>
  <c r="AC119" i="1"/>
  <c r="AB120" i="1"/>
  <c r="AL120" i="1"/>
  <c r="AC121" i="1"/>
  <c r="AJ124" i="1"/>
  <c r="CH124" i="1"/>
  <c r="AM125" i="1"/>
  <c r="AU125" i="1"/>
  <c r="BC125" i="1"/>
  <c r="CK125" i="1"/>
  <c r="AM126" i="1"/>
  <c r="BV126" i="1"/>
  <c r="CK126" i="1"/>
  <c r="CW461" i="1"/>
  <c r="DB468" i="1"/>
  <c r="AG397" i="1"/>
  <c r="AG402" i="1" s="1"/>
  <c r="AG526" i="1"/>
  <c r="AO397" i="1"/>
  <c r="AO402" i="1" s="1"/>
  <c r="BE402" i="1"/>
  <c r="BE526" i="1"/>
  <c r="BE400" i="1"/>
  <c r="BM402" i="1"/>
  <c r="BM526" i="1"/>
  <c r="BM400" i="1"/>
  <c r="CE402" i="1"/>
  <c r="CE526" i="1"/>
  <c r="CE400" i="1"/>
  <c r="CU402" i="1"/>
  <c r="CU526" i="1"/>
  <c r="CU400" i="1"/>
  <c r="AF527" i="1"/>
  <c r="AV527" i="1"/>
  <c r="BL527" i="1"/>
  <c r="CD527" i="1"/>
  <c r="CT527" i="1"/>
  <c r="DC526" i="1"/>
  <c r="AP423" i="1"/>
  <c r="AP424" i="1" s="1"/>
  <c r="AP425" i="1" s="1"/>
  <c r="BT464" i="1"/>
  <c r="AX464" i="1"/>
  <c r="BK526" i="1"/>
  <c r="DA567" i="1"/>
  <c r="CV568" i="1"/>
  <c r="CZ602" i="1"/>
  <c r="BF608" i="1"/>
  <c r="R329" i="113"/>
  <c r="R331" i="113" s="1"/>
  <c r="BJ41" i="3"/>
  <c r="BJ46" i="3" s="1"/>
  <c r="BH46" i="3"/>
  <c r="DJ66" i="1"/>
  <c r="AC481" i="1"/>
  <c r="S74" i="1"/>
  <c r="AC74" i="1"/>
  <c r="BX596" i="1"/>
  <c r="BX91" i="1"/>
  <c r="CK598" i="1"/>
  <c r="CS598" i="1"/>
  <c r="DA598" i="1"/>
  <c r="BL597" i="1"/>
  <c r="CD597" i="1"/>
  <c r="CL597" i="1"/>
  <c r="CT597" i="1"/>
  <c r="DB93" i="1"/>
  <c r="DG96" i="1"/>
  <c r="DG97" i="1" s="1"/>
  <c r="AZ602" i="1"/>
  <c r="BV602" i="1"/>
  <c r="CI602" i="1"/>
  <c r="CQ602" i="1"/>
  <c r="CY602" i="1"/>
  <c r="DG99" i="1"/>
  <c r="AF102" i="1"/>
  <c r="CD603" i="1"/>
  <c r="CL603" i="1"/>
  <c r="CT603" i="1"/>
  <c r="CT104" i="1"/>
  <c r="AX608" i="1"/>
  <c r="CJ610" i="1"/>
  <c r="CZ610" i="1"/>
  <c r="BC616" i="1"/>
  <c r="BK616" i="1"/>
  <c r="BX115" i="1"/>
  <c r="CK616" i="1"/>
  <c r="CS616" i="1"/>
  <c r="DA115" i="1"/>
  <c r="DI115" i="1"/>
  <c r="Z116" i="1"/>
  <c r="CF116" i="1"/>
  <c r="CN116" i="1"/>
  <c r="CV116" i="1"/>
  <c r="AO118" i="1"/>
  <c r="BM620" i="1"/>
  <c r="CE620" i="1"/>
  <c r="DC118" i="1"/>
  <c r="AD119" i="1"/>
  <c r="AM120" i="1"/>
  <c r="AF125" i="1"/>
  <c r="AN125" i="1"/>
  <c r="AV125" i="1"/>
  <c r="BD125" i="1"/>
  <c r="BL125" i="1"/>
  <c r="CD125" i="1"/>
  <c r="CL125" i="1"/>
  <c r="BH126" i="1"/>
  <c r="BW126" i="1"/>
  <c r="DB461" i="1"/>
  <c r="AC396" i="1"/>
  <c r="AH526" i="1"/>
  <c r="AH395" i="1"/>
  <c r="AH397" i="1"/>
  <c r="AP526" i="1"/>
  <c r="AP395" i="1"/>
  <c r="AP397" i="1"/>
  <c r="AP402" i="1" s="1"/>
  <c r="AZ528" i="1"/>
  <c r="BF402" i="1"/>
  <c r="BF526" i="1"/>
  <c r="BF395" i="1"/>
  <c r="BN395" i="1"/>
  <c r="CF402" i="1"/>
  <c r="CF526" i="1"/>
  <c r="CF395" i="1"/>
  <c r="CN402" i="1"/>
  <c r="CN526" i="1"/>
  <c r="CN395" i="1"/>
  <c r="CN145" i="39" s="1"/>
  <c r="CV402" i="1"/>
  <c r="CV526" i="1"/>
  <c r="CV395" i="1"/>
  <c r="CV145" i="39" s="1"/>
  <c r="AV528" i="1"/>
  <c r="BF528" i="1"/>
  <c r="DD526" i="1"/>
  <c r="CY307" i="1"/>
  <c r="CY308" i="1" s="1"/>
  <c r="CY132" i="39" s="1"/>
  <c r="DI307" i="1"/>
  <c r="DI308" i="1" s="1"/>
  <c r="DI132" i="39" s="1"/>
  <c r="CX307" i="1"/>
  <c r="CU395" i="1"/>
  <c r="CU145" i="39" s="1"/>
  <c r="CU153" i="39" s="1"/>
  <c r="CU192" i="39" s="1"/>
  <c r="CX397" i="1"/>
  <c r="CX402" i="1" s="1"/>
  <c r="U474" i="1"/>
  <c r="DI511" i="1"/>
  <c r="DI567" i="1"/>
  <c r="AX585" i="1"/>
  <c r="CF610" i="1"/>
  <c r="CB391" i="2"/>
  <c r="BW393" i="2"/>
  <c r="CU6" i="82"/>
  <c r="DC6" i="82"/>
  <c r="AE460" i="1"/>
  <c r="CX567" i="1"/>
  <c r="DF567" i="1"/>
  <c r="AE23" i="1"/>
  <c r="AM462" i="1"/>
  <c r="AU568" i="1"/>
  <c r="AU462" i="1"/>
  <c r="BC568" i="1"/>
  <c r="BC462" i="1"/>
  <c r="BK568" i="1"/>
  <c r="BK462" i="1"/>
  <c r="CK568" i="1"/>
  <c r="CS568" i="1"/>
  <c r="W464" i="1"/>
  <c r="AG464" i="1"/>
  <c r="AQ464" i="1"/>
  <c r="BK464" i="1"/>
  <c r="AB28" i="1"/>
  <c r="AJ467" i="1"/>
  <c r="CY576" i="1"/>
  <c r="AG469" i="1"/>
  <c r="AO30" i="1"/>
  <c r="BM577" i="1"/>
  <c r="BM469" i="1"/>
  <c r="CE577" i="1"/>
  <c r="CE469" i="1"/>
  <c r="CU577" i="1"/>
  <c r="AF471" i="1"/>
  <c r="AP471" i="1"/>
  <c r="BJ471" i="1"/>
  <c r="CD471" i="1"/>
  <c r="AK35" i="1"/>
  <c r="AB474" i="1"/>
  <c r="AR474" i="1"/>
  <c r="AW376" i="1" s="1"/>
  <c r="AW370" i="1" s="1"/>
  <c r="AZ36" i="1"/>
  <c r="BH585" i="1"/>
  <c r="BH474" i="1"/>
  <c r="BU585" i="1"/>
  <c r="BU474" i="1"/>
  <c r="CH36" i="1"/>
  <c r="CP585" i="1"/>
  <c r="CP474" i="1"/>
  <c r="CX36" i="1"/>
  <c r="DF36" i="1"/>
  <c r="CT481" i="1"/>
  <c r="DB64" i="1"/>
  <c r="CS65" i="1"/>
  <c r="DA65" i="1"/>
  <c r="DI65" i="1"/>
  <c r="DA66" i="1"/>
  <c r="DK66" i="1"/>
  <c r="AD69" i="1"/>
  <c r="AD170" i="1" s="1"/>
  <c r="AD171" i="1" s="1"/>
  <c r="AD209" i="1" s="1"/>
  <c r="AL69" i="1"/>
  <c r="AL170" i="1" s="1"/>
  <c r="BB69" i="1"/>
  <c r="BJ69" i="1"/>
  <c r="BJ170" i="1" s="1"/>
  <c r="BW69" i="1"/>
  <c r="BW170" i="1" s="1"/>
  <c r="CJ69" i="1"/>
  <c r="CJ170" i="1" s="1"/>
  <c r="T74" i="1"/>
  <c r="CH596" i="1"/>
  <c r="BL598" i="1"/>
  <c r="CD598" i="1"/>
  <c r="CL598" i="1"/>
  <c r="CT598" i="1"/>
  <c r="BE597" i="1"/>
  <c r="BM597" i="1"/>
  <c r="CE597" i="1"/>
  <c r="CU597" i="1"/>
  <c r="CL94" i="1"/>
  <c r="CT94" i="1"/>
  <c r="BA602" i="1"/>
  <c r="BJ602" i="1"/>
  <c r="BW602" i="1"/>
  <c r="CJ602" i="1"/>
  <c r="CR99" i="1"/>
  <c r="AK100" i="1"/>
  <c r="BV100" i="1"/>
  <c r="CI100" i="1"/>
  <c r="CQ100" i="1"/>
  <c r="CY100" i="1"/>
  <c r="AG102" i="1"/>
  <c r="CU603" i="1"/>
  <c r="DC102" i="1"/>
  <c r="CU104" i="1"/>
  <c r="AE105" i="1"/>
  <c r="BG608" i="1"/>
  <c r="BC106" i="1"/>
  <c r="BK106" i="1"/>
  <c r="CK610" i="1"/>
  <c r="CS610" i="1"/>
  <c r="DA610" i="1"/>
  <c r="AH107" i="1"/>
  <c r="AX107" i="1"/>
  <c r="BF107" i="1"/>
  <c r="CF107" i="1"/>
  <c r="CN107" i="1"/>
  <c r="CV107" i="1"/>
  <c r="AN115" i="1"/>
  <c r="BL616" i="1"/>
  <c r="CD616" i="1"/>
  <c r="CL616" i="1"/>
  <c r="CT616" i="1"/>
  <c r="DB115" i="1"/>
  <c r="W117" i="1"/>
  <c r="AG117" i="1"/>
  <c r="BK117" i="1"/>
  <c r="AP118" i="1"/>
  <c r="AX118" i="1"/>
  <c r="AX120" i="1" s="1"/>
  <c r="CF118" i="1"/>
  <c r="CF121" i="1" s="1"/>
  <c r="CN118" i="1"/>
  <c r="CN121" i="1" s="1"/>
  <c r="CV118" i="1"/>
  <c r="CV121" i="1" s="1"/>
  <c r="DD118" i="1"/>
  <c r="AN120" i="1"/>
  <c r="W121" i="1"/>
  <c r="AM121" i="1"/>
  <c r="CZ124" i="1"/>
  <c r="DH124" i="1"/>
  <c r="DM125" i="1" s="1"/>
  <c r="AF126" i="1"/>
  <c r="AP126" i="1"/>
  <c r="AZ126" i="1"/>
  <c r="BJ126" i="1"/>
  <c r="CD126" i="1"/>
  <c r="P127" i="1"/>
  <c r="B76" i="3" s="1"/>
  <c r="CW139" i="1"/>
  <c r="DE139" i="1"/>
  <c r="DM139" i="1"/>
  <c r="AK528" i="1"/>
  <c r="AQ526" i="1"/>
  <c r="AQ395" i="1"/>
  <c r="AY395" i="1"/>
  <c r="AY402" i="1"/>
  <c r="BG526" i="1"/>
  <c r="BG395" i="1"/>
  <c r="BG400" i="1"/>
  <c r="BG402" i="1"/>
  <c r="BT526" i="1"/>
  <c r="BT395" i="1"/>
  <c r="BT400" i="1"/>
  <c r="BT402" i="1"/>
  <c r="CG526" i="1"/>
  <c r="CG395" i="1"/>
  <c r="CG400" i="1"/>
  <c r="CG402" i="1"/>
  <c r="CO526" i="1"/>
  <c r="CO395" i="1"/>
  <c r="CO145" i="39" s="1"/>
  <c r="CO400" i="1"/>
  <c r="CO402" i="1"/>
  <c r="AH527" i="1"/>
  <c r="AP527" i="1"/>
  <c r="BF527" i="1"/>
  <c r="CF527" i="1"/>
  <c r="CV527" i="1"/>
  <c r="AC528" i="1"/>
  <c r="AM528" i="1"/>
  <c r="BG528" i="1"/>
  <c r="BL530" i="1"/>
  <c r="BN530" i="1" s="1"/>
  <c r="CN531" i="1"/>
  <c r="CN434" i="1"/>
  <c r="CV531" i="1"/>
  <c r="CV434" i="1"/>
  <c r="DE526" i="1"/>
  <c r="AU321" i="1"/>
  <c r="BG331" i="1"/>
  <c r="BG333" i="1"/>
  <c r="V385" i="1"/>
  <c r="V386" i="1"/>
  <c r="BX404" i="1"/>
  <c r="BX412" i="1" s="1"/>
  <c r="BX393" i="1"/>
  <c r="BX405" i="1" s="1"/>
  <c r="AG395" i="1"/>
  <c r="CQ471" i="1"/>
  <c r="AC474" i="1"/>
  <c r="BI596" i="1"/>
  <c r="BL603" i="1"/>
  <c r="CV6" i="82"/>
  <c r="DD6" i="82"/>
  <c r="AJ460" i="1"/>
  <c r="BI567" i="1"/>
  <c r="BI460" i="1"/>
  <c r="CY567" i="1"/>
  <c r="DG567" i="1"/>
  <c r="AF462" i="1"/>
  <c r="AN462" i="1"/>
  <c r="AV568" i="1"/>
  <c r="AV462" i="1"/>
  <c r="BL568" i="1"/>
  <c r="BL462" i="1"/>
  <c r="CD568" i="1"/>
  <c r="CD462" i="1"/>
  <c r="CL568" i="1"/>
  <c r="CL462" i="1"/>
  <c r="CT568" i="1"/>
  <c r="X464" i="1"/>
  <c r="AR464" i="1"/>
  <c r="BL464" i="1"/>
  <c r="CZ27" i="1"/>
  <c r="AC28" i="1"/>
  <c r="BG28" i="1"/>
  <c r="AO467" i="1"/>
  <c r="BN576" i="1"/>
  <c r="BN467" i="1"/>
  <c r="CZ576" i="1"/>
  <c r="Z469" i="1"/>
  <c r="AH469" i="1"/>
  <c r="AP469" i="1"/>
  <c r="BF469" i="1"/>
  <c r="BF577" i="1"/>
  <c r="CF577" i="1"/>
  <c r="CF469" i="1"/>
  <c r="CV577" i="1"/>
  <c r="DD30" i="1"/>
  <c r="W471" i="1"/>
  <c r="AG471" i="1"/>
  <c r="AQ471" i="1"/>
  <c r="BK471" i="1"/>
  <c r="CE471" i="1"/>
  <c r="CY34" i="1"/>
  <c r="AL35" i="1"/>
  <c r="AS36" i="1"/>
  <c r="BV585" i="1"/>
  <c r="CI585" i="1"/>
  <c r="CQ585" i="1"/>
  <c r="CY36" i="1"/>
  <c r="DG36" i="1"/>
  <c r="AR41" i="1"/>
  <c r="CP41" i="1"/>
  <c r="AA491" i="1"/>
  <c r="CU481" i="1"/>
  <c r="DC481" i="1"/>
  <c r="CV492" i="1"/>
  <c r="CT496" i="1"/>
  <c r="DD496" i="1"/>
  <c r="DL64" i="1"/>
  <c r="CT65" i="1"/>
  <c r="DJ65" i="1"/>
  <c r="CS66" i="1"/>
  <c r="DC66" i="1"/>
  <c r="W485" i="1"/>
  <c r="AM69" i="1"/>
  <c r="AM170" i="1" s="1"/>
  <c r="AU69" i="1"/>
  <c r="AU170" i="1" s="1"/>
  <c r="BC69" i="1"/>
  <c r="BC170" i="1" s="1"/>
  <c r="BK69" i="1"/>
  <c r="BK170" i="1" s="1"/>
  <c r="CK69" i="1"/>
  <c r="CK170" i="1" s="1"/>
  <c r="V74" i="1"/>
  <c r="AA80" i="1"/>
  <c r="CM596" i="1"/>
  <c r="BE598" i="1"/>
  <c r="BM598" i="1"/>
  <c r="CE598" i="1"/>
  <c r="CM91" i="1"/>
  <c r="CU598" i="1"/>
  <c r="DC598" i="1"/>
  <c r="AX597" i="1"/>
  <c r="BF597" i="1"/>
  <c r="BN93" i="1"/>
  <c r="CF597" i="1"/>
  <c r="CN597" i="1"/>
  <c r="CV597" i="1"/>
  <c r="DD93" i="1"/>
  <c r="CU94" i="1"/>
  <c r="BK602" i="1"/>
  <c r="BX99" i="1"/>
  <c r="CK602" i="1"/>
  <c r="CS602" i="1"/>
  <c r="DA602" i="1"/>
  <c r="AL100" i="1"/>
  <c r="BJ100" i="1"/>
  <c r="BW100" i="1"/>
  <c r="CJ100" i="1"/>
  <c r="CZ100" i="1"/>
  <c r="DH100" i="1"/>
  <c r="DH604" i="1" s="1"/>
  <c r="AP102" i="1"/>
  <c r="AX102" i="1"/>
  <c r="CF603" i="1"/>
  <c r="CN603" i="1"/>
  <c r="CV603" i="1"/>
  <c r="DD102" i="1"/>
  <c r="CV104" i="1"/>
  <c r="AZ608" i="1"/>
  <c r="BL106" i="1"/>
  <c r="CD610" i="1"/>
  <c r="CL610" i="1"/>
  <c r="CT610" i="1"/>
  <c r="BG107" i="1"/>
  <c r="BE616" i="1"/>
  <c r="BM616" i="1"/>
  <c r="CE616" i="1"/>
  <c r="CM115" i="1"/>
  <c r="CU616" i="1"/>
  <c r="AB116" i="1"/>
  <c r="BH116" i="1"/>
  <c r="BU116" i="1"/>
  <c r="CP116" i="1"/>
  <c r="X117" i="1"/>
  <c r="BL117" i="1"/>
  <c r="CF117" i="1"/>
  <c r="BT118" i="1"/>
  <c r="CG118" i="1"/>
  <c r="CO118" i="1"/>
  <c r="CO121" i="1" s="1"/>
  <c r="X121" i="1"/>
  <c r="BX124" i="1"/>
  <c r="AP125" i="1"/>
  <c r="AX125" i="1"/>
  <c r="CF125" i="1"/>
  <c r="W126" i="1"/>
  <c r="AG126" i="1"/>
  <c r="AQ126" i="1"/>
  <c r="BA126" i="1"/>
  <c r="BK126" i="1"/>
  <c r="CE126" i="1"/>
  <c r="CX139" i="1"/>
  <c r="DF139" i="1"/>
  <c r="DN139" i="1"/>
  <c r="AA526" i="1"/>
  <c r="AA395" i="1"/>
  <c r="AJ395" i="1"/>
  <c r="AJ397" i="1"/>
  <c r="AR526" i="1"/>
  <c r="AR395" i="1"/>
  <c r="AR397" i="1"/>
  <c r="AZ526" i="1"/>
  <c r="AZ395" i="1"/>
  <c r="AZ400" i="1"/>
  <c r="BH526" i="1"/>
  <c r="BH395" i="1"/>
  <c r="BH400" i="1"/>
  <c r="BU526" i="1"/>
  <c r="BU395" i="1"/>
  <c r="BU400" i="1"/>
  <c r="CP526" i="1"/>
  <c r="CP395" i="1"/>
  <c r="CP145" i="39" s="1"/>
  <c r="CP400" i="1"/>
  <c r="CX526" i="1"/>
  <c r="CX395" i="1"/>
  <c r="CX145" i="39" s="1"/>
  <c r="AQ527" i="1"/>
  <c r="BG527" i="1"/>
  <c r="BT527" i="1"/>
  <c r="CG527" i="1"/>
  <c r="BH528" i="1"/>
  <c r="DA307" i="1"/>
  <c r="DA308" i="1" s="1"/>
  <c r="DA132" i="39" s="1"/>
  <c r="DF307" i="1"/>
  <c r="DF308" i="1" s="1"/>
  <c r="DF132" i="39" s="1"/>
  <c r="BT383" i="1"/>
  <c r="BN318" i="1"/>
  <c r="CR320" i="1"/>
  <c r="CM320" i="1"/>
  <c r="DI321" i="1"/>
  <c r="AO395" i="1"/>
  <c r="CE423" i="1"/>
  <c r="CE424" i="1" s="1"/>
  <c r="CE425" i="1" s="1"/>
  <c r="CE416" i="1"/>
  <c r="CE417" i="1" s="1"/>
  <c r="CE418" i="1" s="1"/>
  <c r="CE427" i="1"/>
  <c r="CE428" i="1" s="1"/>
  <c r="CE429" i="1" s="1"/>
  <c r="CE410" i="1"/>
  <c r="CE412" i="1" s="1"/>
  <c r="CE413" i="1" s="1"/>
  <c r="BM423" i="1"/>
  <c r="BM424" i="1" s="1"/>
  <c r="BM425" i="1" s="1"/>
  <c r="AH464" i="1"/>
  <c r="BF464" i="1"/>
  <c r="DG469" i="1"/>
  <c r="DF472" i="1"/>
  <c r="DE472" i="1"/>
  <c r="DD472" i="1"/>
  <c r="AK474" i="1"/>
  <c r="CY478" i="1"/>
  <c r="CQ481" i="1"/>
  <c r="CS526" i="1"/>
  <c r="CN585" i="1"/>
  <c r="CJ598" i="1"/>
  <c r="BW610" i="1"/>
  <c r="DK301" i="1"/>
  <c r="DK302" i="1" s="1"/>
  <c r="DK120" i="39" s="1"/>
  <c r="BD318" i="1"/>
  <c r="DB318" i="1"/>
  <c r="BW319" i="1"/>
  <c r="CL319" i="1"/>
  <c r="AO320" i="1"/>
  <c r="X331" i="1"/>
  <c r="BL331" i="1"/>
  <c r="X332" i="1"/>
  <c r="BF332" i="1"/>
  <c r="DD332" i="1"/>
  <c r="X385" i="1"/>
  <c r="AC386" i="1"/>
  <c r="CF387" i="1"/>
  <c r="BC393" i="1"/>
  <c r="BC405" i="1" s="1"/>
  <c r="AX406" i="1"/>
  <c r="CS406" i="1"/>
  <c r="BJ410" i="1"/>
  <c r="BW410" i="1"/>
  <c r="BW412" i="1" s="1"/>
  <c r="BW413" i="1" s="1"/>
  <c r="AZ416" i="1"/>
  <c r="BH416" i="1"/>
  <c r="BU416" i="1"/>
  <c r="BU417" i="1" s="1"/>
  <c r="BU418" i="1" s="1"/>
  <c r="CP416" i="1"/>
  <c r="CX416" i="1"/>
  <c r="CX417" i="1" s="1"/>
  <c r="CX418" i="1" s="1"/>
  <c r="AV422" i="1"/>
  <c r="AV423" i="1" s="1"/>
  <c r="AV424" i="1" s="1"/>
  <c r="AV425" i="1" s="1"/>
  <c r="AR423" i="1"/>
  <c r="AR424" i="1" s="1"/>
  <c r="AR425" i="1" s="1"/>
  <c r="BL423" i="1"/>
  <c r="BL424" i="1" s="1"/>
  <c r="BL425" i="1" s="1"/>
  <c r="CF423" i="1"/>
  <c r="CF424" i="1" s="1"/>
  <c r="CF425" i="1" s="1"/>
  <c r="CP423" i="1"/>
  <c r="CP424" i="1" s="1"/>
  <c r="BG427" i="1"/>
  <c r="BG428" i="1" s="1"/>
  <c r="BG429" i="1" s="1"/>
  <c r="BV427" i="1"/>
  <c r="BV428" i="1" s="1"/>
  <c r="BV429" i="1" s="1"/>
  <c r="CK434" i="1"/>
  <c r="CS434" i="1"/>
  <c r="CH446" i="1"/>
  <c r="CI462" i="1"/>
  <c r="CQ462" i="1"/>
  <c r="CY462" i="1"/>
  <c r="DG462" i="1"/>
  <c r="CF464" i="1"/>
  <c r="CP464" i="1"/>
  <c r="DA465" i="1"/>
  <c r="CR468" i="1"/>
  <c r="CK469" i="1"/>
  <c r="CS469" i="1"/>
  <c r="DA469" i="1"/>
  <c r="CP471" i="1"/>
  <c r="DA472" i="1"/>
  <c r="DC476" i="1"/>
  <c r="CZ478" i="1"/>
  <c r="BK482" i="1"/>
  <c r="BX482" i="1"/>
  <c r="CE484" i="1"/>
  <c r="CI489" i="1"/>
  <c r="CP506" i="1"/>
  <c r="DG508" i="1"/>
  <c r="CR510" i="1"/>
  <c r="CQ513" i="1"/>
  <c r="CS514" i="1"/>
  <c r="CY530" i="1"/>
  <c r="CK531" i="1"/>
  <c r="CM531" i="1" s="1"/>
  <c r="CV345" i="82"/>
  <c r="DB222" i="82"/>
  <c r="DC279" i="82"/>
  <c r="DC289" i="82"/>
  <c r="DC269" i="82"/>
  <c r="Z318" i="1"/>
  <c r="CF318" i="1"/>
  <c r="CN318" i="1"/>
  <c r="DL318" i="1"/>
  <c r="AY320" i="1"/>
  <c r="CW320" i="1"/>
  <c r="DM321" i="1"/>
  <c r="DM328" i="1"/>
  <c r="BU330" i="1"/>
  <c r="CX330" i="1"/>
  <c r="DF332" i="1"/>
  <c r="AA385" i="1"/>
  <c r="AF386" i="1"/>
  <c r="AA387" i="1"/>
  <c r="BT387" i="1"/>
  <c r="AO393" i="1"/>
  <c r="AO405" i="1" s="1"/>
  <c r="AX404" i="1"/>
  <c r="BL410" i="1"/>
  <c r="BL412" i="1" s="1"/>
  <c r="BL413" i="1" s="1"/>
  <c r="CD410" i="1"/>
  <c r="CT410" i="1"/>
  <c r="CT412" i="1" s="1"/>
  <c r="CT413" i="1" s="1"/>
  <c r="AS411" i="1"/>
  <c r="BA411" i="1"/>
  <c r="BA416" i="1" s="1"/>
  <c r="BA417" i="1" s="1"/>
  <c r="BA418" i="1" s="1"/>
  <c r="BJ416" i="1"/>
  <c r="BT423" i="1"/>
  <c r="BT424" i="1" s="1"/>
  <c r="BT425" i="1" s="1"/>
  <c r="CS423" i="1"/>
  <c r="CS424" i="1" s="1"/>
  <c r="BJ427" i="1"/>
  <c r="BJ428" i="1" s="1"/>
  <c r="BJ429" i="1" s="1"/>
  <c r="CD427" i="1"/>
  <c r="CD428" i="1" s="1"/>
  <c r="CD429" i="1" s="1"/>
  <c r="CN427" i="1"/>
  <c r="CX427" i="1"/>
  <c r="CX428" i="1" s="1"/>
  <c r="CU434" i="1"/>
  <c r="CK462" i="1"/>
  <c r="CS462" i="1"/>
  <c r="DA462" i="1"/>
  <c r="CI464" i="1"/>
  <c r="CS464" i="1"/>
  <c r="DD465" i="1"/>
  <c r="CR467" i="1"/>
  <c r="CU469" i="1"/>
  <c r="CS471" i="1"/>
  <c r="DC478" i="1"/>
  <c r="AO482" i="1"/>
  <c r="BE482" i="1"/>
  <c r="CM482" i="1"/>
  <c r="AU483" i="1"/>
  <c r="BE483" i="1"/>
  <c r="CG484" i="1"/>
  <c r="CS506" i="1"/>
  <c r="DC506" i="1"/>
  <c r="CW512" i="1"/>
  <c r="CS515" i="1" s="1"/>
  <c r="CS513" i="1"/>
  <c r="CU514" i="1"/>
  <c r="DE514" i="1"/>
  <c r="DJ526" i="1"/>
  <c r="CS530" i="1"/>
  <c r="DA530" i="1"/>
  <c r="DI530" i="1"/>
  <c r="CR215" i="82"/>
  <c r="DD296" i="82"/>
  <c r="DD275" i="82"/>
  <c r="DD287" i="82"/>
  <c r="DG280" i="82"/>
  <c r="DG268" i="82"/>
  <c r="CA26" i="7"/>
  <c r="AY318" i="1"/>
  <c r="CO318" i="1"/>
  <c r="CW318" i="1"/>
  <c r="AJ320" i="1"/>
  <c r="BU320" i="1"/>
  <c r="CH320" i="1"/>
  <c r="DN321" i="1"/>
  <c r="CX328" i="1"/>
  <c r="BV330" i="1"/>
  <c r="BH333" i="1"/>
  <c r="AB385" i="1"/>
  <c r="W386" i="1"/>
  <c r="AG386" i="1"/>
  <c r="CE386" i="1"/>
  <c r="AB387" i="1"/>
  <c r="AX393" i="1"/>
  <c r="AX405" i="1" s="1"/>
  <c r="BN393" i="1"/>
  <c r="BN405" i="1" s="1"/>
  <c r="AC397" i="1"/>
  <c r="AC402" i="1" s="1"/>
  <c r="BC399" i="1"/>
  <c r="AI404" i="1"/>
  <c r="CV406" i="1"/>
  <c r="BK416" i="1"/>
  <c r="BK417" i="1" s="1"/>
  <c r="BK418" i="1" s="1"/>
  <c r="CS416" i="1"/>
  <c r="BF423" i="1"/>
  <c r="BF424" i="1" s="1"/>
  <c r="BF425" i="1" s="1"/>
  <c r="BU423" i="1"/>
  <c r="BU424" i="1" s="1"/>
  <c r="BU425" i="1" s="1"/>
  <c r="CT423" i="1"/>
  <c r="CT424" i="1" s="1"/>
  <c r="BK427" i="1"/>
  <c r="BK428" i="1" s="1"/>
  <c r="BK429" i="1" s="1"/>
  <c r="CO427" i="1"/>
  <c r="CO428" i="1" s="1"/>
  <c r="CT462" i="1"/>
  <c r="BU464" i="1"/>
  <c r="CJ464" i="1"/>
  <c r="CT464" i="1"/>
  <c r="DE465" i="1"/>
  <c r="CM468" i="1"/>
  <c r="CN469" i="1"/>
  <c r="CV469" i="1"/>
  <c r="CJ471" i="1"/>
  <c r="CT471" i="1"/>
  <c r="AX482" i="1"/>
  <c r="BF482" i="1"/>
  <c r="BF483" i="1"/>
  <c r="BT484" i="1"/>
  <c r="CI484" i="1"/>
  <c r="CE488" i="1"/>
  <c r="CW504" i="1"/>
  <c r="CT506" i="1"/>
  <c r="DF511" i="1"/>
  <c r="CX512" i="1"/>
  <c r="CT513" i="1"/>
  <c r="DF514" i="1"/>
  <c r="DK526" i="1"/>
  <c r="CT530" i="1"/>
  <c r="DJ530" i="1"/>
  <c r="DG221" i="82"/>
  <c r="AJ318" i="1"/>
  <c r="BU318" i="1"/>
  <c r="CH318" i="1"/>
  <c r="CP318" i="1"/>
  <c r="DN318" i="1"/>
  <c r="U320" i="1"/>
  <c r="BI320" i="1"/>
  <c r="BV320" i="1"/>
  <c r="CI320" i="1"/>
  <c r="DG320" i="1"/>
  <c r="CY321" i="1"/>
  <c r="V330" i="1"/>
  <c r="BJ330" i="1"/>
  <c r="BW330" i="1"/>
  <c r="DH330" i="1"/>
  <c r="AC385" i="1"/>
  <c r="AI394" i="1"/>
  <c r="AI406" i="1" s="1"/>
  <c r="BC394" i="1"/>
  <c r="BC406" i="1" s="1"/>
  <c r="BE399" i="1"/>
  <c r="CX406" i="1"/>
  <c r="AP410" i="1"/>
  <c r="BF410" i="1"/>
  <c r="BF412" i="1" s="1"/>
  <c r="BF413" i="1" s="1"/>
  <c r="CF410" i="1"/>
  <c r="CF412" i="1" s="1"/>
  <c r="CF413" i="1" s="1"/>
  <c r="CN410" i="1"/>
  <c r="CV410" i="1"/>
  <c r="CV412" i="1" s="1"/>
  <c r="CV413" i="1" s="1"/>
  <c r="AU411" i="1"/>
  <c r="AU416" i="1" s="1"/>
  <c r="BL416" i="1"/>
  <c r="BL417" i="1" s="1"/>
  <c r="BL418" i="1" s="1"/>
  <c r="CD416" i="1"/>
  <c r="CT416" i="1"/>
  <c r="CT417" i="1" s="1"/>
  <c r="CT418" i="1" s="1"/>
  <c r="AQ422" i="1"/>
  <c r="AQ423" i="1" s="1"/>
  <c r="AQ424" i="1" s="1"/>
  <c r="AQ425" i="1" s="1"/>
  <c r="BA422" i="1"/>
  <c r="BA423" i="1" s="1"/>
  <c r="BA424" i="1" s="1"/>
  <c r="BA425" i="1" s="1"/>
  <c r="BG423" i="1"/>
  <c r="BG424" i="1" s="1"/>
  <c r="BG425" i="1" s="1"/>
  <c r="BV423" i="1"/>
  <c r="BV424" i="1" s="1"/>
  <c r="BV425" i="1" s="1"/>
  <c r="CF427" i="1"/>
  <c r="CF428" i="1" s="1"/>
  <c r="CF429" i="1" s="1"/>
  <c r="CP427" i="1"/>
  <c r="CP428" i="1" s="1"/>
  <c r="CO434" i="1"/>
  <c r="CR460" i="1"/>
  <c r="CQ465" i="1" s="1"/>
  <c r="CU462" i="1"/>
  <c r="BV464" i="1"/>
  <c r="CK464" i="1"/>
  <c r="CU464" i="1"/>
  <c r="DF465" i="1"/>
  <c r="CO469" i="1"/>
  <c r="CK471" i="1"/>
  <c r="CU471" i="1"/>
  <c r="DB474" i="1"/>
  <c r="CY479" i="1" s="1"/>
  <c r="AT481" i="1"/>
  <c r="AY482" i="1" s="1"/>
  <c r="BU484" i="1"/>
  <c r="CJ484" i="1"/>
  <c r="CF488" i="1"/>
  <c r="DC504" i="1"/>
  <c r="CY505" i="1"/>
  <c r="CU506" i="1"/>
  <c r="DE506" i="1"/>
  <c r="CN509" i="1"/>
  <c r="DG510" i="1"/>
  <c r="CY512" i="1"/>
  <c r="DG512" i="1"/>
  <c r="DF515" i="1" s="1"/>
  <c r="CU513" i="1"/>
  <c r="CI515" i="1"/>
  <c r="I311" i="82"/>
  <c r="I259" i="82"/>
  <c r="Q311" i="82"/>
  <c r="Q259" i="82"/>
  <c r="Y311" i="82"/>
  <c r="Y259" i="82"/>
  <c r="AG311" i="82"/>
  <c r="AG259" i="82"/>
  <c r="AO311" i="82"/>
  <c r="AO259" i="82"/>
  <c r="BE311" i="82"/>
  <c r="BE259" i="82"/>
  <c r="BM311" i="82"/>
  <c r="BM259" i="82"/>
  <c r="CE311" i="82"/>
  <c r="CE259" i="82"/>
  <c r="CM311" i="82"/>
  <c r="CM259" i="82"/>
  <c r="Q475" i="113"/>
  <c r="CR217" i="82"/>
  <c r="CR244" i="82"/>
  <c r="CR242" i="82"/>
  <c r="CZ404" i="82"/>
  <c r="CZ265" i="82"/>
  <c r="DB265" i="82" s="1"/>
  <c r="DG318" i="1"/>
  <c r="AU319" i="1"/>
  <c r="CI319" i="1"/>
  <c r="AT320" i="1"/>
  <c r="CZ321" i="1"/>
  <c r="DH328" i="1"/>
  <c r="BK332" i="1"/>
  <c r="DI332" i="1"/>
  <c r="CH383" i="1"/>
  <c r="BB422" i="1"/>
  <c r="BB427" i="1" s="1"/>
  <c r="BB428" i="1" s="1"/>
  <c r="BB429" i="1" s="1"/>
  <c r="CQ427" i="1"/>
  <c r="CQ428" i="1" s="1"/>
  <c r="CP434" i="1"/>
  <c r="CX434" i="1"/>
  <c r="CL464" i="1"/>
  <c r="CV471" i="1"/>
  <c r="CK484" i="1"/>
  <c r="DM526" i="1"/>
  <c r="AZ32" i="3"/>
  <c r="AT318" i="1"/>
  <c r="CJ318" i="1"/>
  <c r="CR318" i="1"/>
  <c r="BU319" i="1"/>
  <c r="CJ319" i="1"/>
  <c r="DN319" i="1"/>
  <c r="BX320" i="1"/>
  <c r="CK320" i="1"/>
  <c r="BL332" i="1"/>
  <c r="BV383" i="1"/>
  <c r="BU384" i="1"/>
  <c r="CE385" i="1" s="1"/>
  <c r="AF385" i="1"/>
  <c r="CD385" i="1"/>
  <c r="CP406" i="1"/>
  <c r="AR410" i="1"/>
  <c r="AR412" i="1" s="1"/>
  <c r="AR413" i="1" s="1"/>
  <c r="AZ410" i="1"/>
  <c r="BU410" i="1"/>
  <c r="CX410" i="1"/>
  <c r="CX412" i="1" s="1"/>
  <c r="CX413" i="1" s="1"/>
  <c r="BF416" i="1"/>
  <c r="BF417" i="1" s="1"/>
  <c r="BF418" i="1" s="1"/>
  <c r="CN416" i="1"/>
  <c r="BT427" i="1"/>
  <c r="BT428" i="1" s="1"/>
  <c r="BT429" i="1" s="1"/>
  <c r="CQ434" i="1"/>
  <c r="CD464" i="1"/>
  <c r="CN464" i="1"/>
  <c r="CX464" i="1"/>
  <c r="CY465" i="1"/>
  <c r="CY469" i="1"/>
  <c r="CN471" i="1"/>
  <c r="CX471" i="1"/>
  <c r="CY472" i="1"/>
  <c r="AS482" i="1"/>
  <c r="DA505" i="1"/>
  <c r="CN506" i="1"/>
  <c r="CP510" i="1"/>
  <c r="DA512" i="1"/>
  <c r="CO513" i="1"/>
  <c r="CP514" i="1"/>
  <c r="CK515" i="1"/>
  <c r="DC204" i="82"/>
  <c r="BT48" i="3"/>
  <c r="DB530" i="1"/>
  <c r="BX318" i="1"/>
  <c r="CK318" i="1"/>
  <c r="BV319" i="1"/>
  <c r="CK319" i="1"/>
  <c r="BD320" i="1"/>
  <c r="CL320" i="1"/>
  <c r="DB320" i="1"/>
  <c r="BE330" i="1"/>
  <c r="DC330" i="1"/>
  <c r="W331" i="1"/>
  <c r="BM332" i="1"/>
  <c r="DK332" i="1"/>
  <c r="BW383" i="1"/>
  <c r="BV384" i="1"/>
  <c r="AG385" i="1"/>
  <c r="CQ406" i="1"/>
  <c r="CO416" i="1"/>
  <c r="CM460" i="1"/>
  <c r="CL465" i="1" s="1"/>
  <c r="CP462" i="1"/>
  <c r="CX462" i="1"/>
  <c r="CE464" i="1"/>
  <c r="CZ465" i="1"/>
  <c r="CW467" i="1"/>
  <c r="CJ469" i="1"/>
  <c r="CZ469" i="1"/>
  <c r="CO471" i="1"/>
  <c r="CZ472" i="1"/>
  <c r="DF504" i="1"/>
  <c r="DC505" i="1"/>
  <c r="CO506" i="1"/>
  <c r="CP513" i="1"/>
  <c r="CQ514" i="1"/>
  <c r="CL515" i="1"/>
  <c r="CP214" i="82"/>
  <c r="CP241" i="82"/>
  <c r="CY232" i="82"/>
  <c r="CY218" i="82"/>
  <c r="DB200" i="82"/>
  <c r="DH262" i="82"/>
  <c r="DD289" i="82"/>
  <c r="CR195" i="82"/>
  <c r="CR253" i="82" s="1"/>
  <c r="CQ196" i="82"/>
  <c r="CV204" i="82"/>
  <c r="CP213" i="82"/>
  <c r="DC218" i="82"/>
  <c r="DK218" i="82"/>
  <c r="DL221" i="82"/>
  <c r="CS232" i="82"/>
  <c r="DC232" i="82"/>
  <c r="CO240" i="82"/>
  <c r="CN247" i="82"/>
  <c r="CN253" i="82"/>
  <c r="E259" i="82"/>
  <c r="M259" i="82"/>
  <c r="U259" i="82"/>
  <c r="AC259" i="82"/>
  <c r="AK259" i="82"/>
  <c r="AS259" i="82"/>
  <c r="BA259" i="82"/>
  <c r="BI259" i="82"/>
  <c r="BQ259" i="82"/>
  <c r="CI259" i="82"/>
  <c r="CQ259" i="82"/>
  <c r="S295" i="113"/>
  <c r="DQ272" i="82"/>
  <c r="DJ275" i="82"/>
  <c r="DJ295" i="82"/>
  <c r="DH296" i="82"/>
  <c r="Q329" i="113"/>
  <c r="Q331" i="113" s="1"/>
  <c r="CQ311" i="82"/>
  <c r="CY404" i="82"/>
  <c r="CY392" i="82"/>
  <c r="CD23" i="3"/>
  <c r="AJ46" i="3"/>
  <c r="BY98" i="3"/>
  <c r="CQ46" i="3"/>
  <c r="BJ66" i="3"/>
  <c r="K65" i="3"/>
  <c r="AX168" i="7"/>
  <c r="AX170" i="7" s="1"/>
  <c r="AZ73" i="3"/>
  <c r="AV74" i="3"/>
  <c r="AV81" i="3"/>
  <c r="BV202" i="7"/>
  <c r="BV78" i="7"/>
  <c r="CD202" i="7"/>
  <c r="CD78" i="7"/>
  <c r="CL202" i="7"/>
  <c r="CL78" i="7"/>
  <c r="CX78" i="7"/>
  <c r="BC26" i="7"/>
  <c r="R475" i="113"/>
  <c r="DE218" i="82"/>
  <c r="DI262" i="82"/>
  <c r="DF287" i="82"/>
  <c r="DD295" i="82"/>
  <c r="DJ296" i="82"/>
  <c r="DH297" i="82"/>
  <c r="S329" i="113"/>
  <c r="S331" i="113" s="1"/>
  <c r="DA392" i="82"/>
  <c r="DA404" i="82"/>
  <c r="CZ380" i="82"/>
  <c r="BJ18" i="3"/>
  <c r="CC105" i="7"/>
  <c r="CB32" i="3"/>
  <c r="AK38" i="3"/>
  <c r="AI46" i="3"/>
  <c r="AR168" i="7"/>
  <c r="AR170" i="7" s="1"/>
  <c r="AP73" i="3"/>
  <c r="AN81" i="3"/>
  <c r="AA113" i="3"/>
  <c r="BY16" i="7"/>
  <c r="Z26" i="7"/>
  <c r="AE26" i="7"/>
  <c r="BE50" i="7"/>
  <c r="CN194" i="82"/>
  <c r="CL196" i="82"/>
  <c r="CL241" i="82" s="1"/>
  <c r="S475" i="113"/>
  <c r="CW215" i="82"/>
  <c r="DF218" i="82"/>
  <c r="DH231" i="82"/>
  <c r="CQ247" i="82"/>
  <c r="CQ253" i="82"/>
  <c r="CQ254" i="82" s="1"/>
  <c r="H259" i="82"/>
  <c r="P259" i="82"/>
  <c r="X259" i="82"/>
  <c r="AF259" i="82"/>
  <c r="AN259" i="82"/>
  <c r="AV259" i="82"/>
  <c r="BD259" i="82"/>
  <c r="BL259" i="82"/>
  <c r="CD259" i="82"/>
  <c r="CL259" i="82"/>
  <c r="DJ262" i="82"/>
  <c r="CX269" i="82"/>
  <c r="DF269" i="82"/>
  <c r="DE275" i="82"/>
  <c r="DM275" i="82"/>
  <c r="DK279" i="82"/>
  <c r="DH287" i="82"/>
  <c r="DM295" i="82"/>
  <c r="BU105" i="7"/>
  <c r="BY18" i="3"/>
  <c r="AD23" i="3"/>
  <c r="AC73" i="3"/>
  <c r="AC32" i="3"/>
  <c r="AK28" i="3"/>
  <c r="AU41" i="3"/>
  <c r="AR46" i="3"/>
  <c r="E61" i="3"/>
  <c r="F61" i="3" s="1"/>
  <c r="BI105" i="7"/>
  <c r="AI26" i="7"/>
  <c r="W26" i="7"/>
  <c r="AA50" i="7"/>
  <c r="CM50" i="7"/>
  <c r="Z87" i="7"/>
  <c r="Z85" i="7"/>
  <c r="CK227" i="7"/>
  <c r="CL227" i="7" s="1"/>
  <c r="CM227" i="7" s="1"/>
  <c r="T475" i="113"/>
  <c r="CW217" i="82"/>
  <c r="DM217" i="82"/>
  <c r="CN227" i="82"/>
  <c r="CR250" i="82"/>
  <c r="CR251" i="82" s="1"/>
  <c r="CR256" i="82"/>
  <c r="DC262" i="82"/>
  <c r="DF275" i="82"/>
  <c r="CY287" i="82"/>
  <c r="DI287" i="82"/>
  <c r="CX295" i="82"/>
  <c r="DF295" i="82"/>
  <c r="DJ297" i="82"/>
  <c r="Q168" i="7"/>
  <c r="Q170" i="7" s="1"/>
  <c r="F32" i="3"/>
  <c r="K24" i="3"/>
  <c r="P35" i="3"/>
  <c r="BX46" i="3"/>
  <c r="BY43" i="3"/>
  <c r="N66" i="3"/>
  <c r="N18" i="3" s="1"/>
  <c r="O58" i="3"/>
  <c r="AP66" i="3"/>
  <c r="O63" i="3"/>
  <c r="P63" i="3" s="1"/>
  <c r="BA105" i="7"/>
  <c r="BA84" i="7"/>
  <c r="BA16" i="7"/>
  <c r="BT88" i="7"/>
  <c r="BT87" i="7" s="1"/>
  <c r="AU26" i="7"/>
  <c r="BS26" i="7"/>
  <c r="CE50" i="7"/>
  <c r="AX41" i="7"/>
  <c r="AU41" i="7"/>
  <c r="CB76" i="7"/>
  <c r="CN196" i="82"/>
  <c r="DG215" i="82"/>
  <c r="CR218" i="82"/>
  <c r="CZ218" i="82"/>
  <c r="DL222" i="82"/>
  <c r="CO227" i="82"/>
  <c r="CL240" i="82"/>
  <c r="CQ245" i="82"/>
  <c r="B259" i="82"/>
  <c r="J259" i="82"/>
  <c r="R259" i="82"/>
  <c r="Z259" i="82"/>
  <c r="AH259" i="82"/>
  <c r="AP259" i="82"/>
  <c r="AX259" i="82"/>
  <c r="BF259" i="82"/>
  <c r="BN259" i="82"/>
  <c r="CF259" i="82"/>
  <c r="CN259" i="82"/>
  <c r="DD262" i="82"/>
  <c r="DL268" i="82"/>
  <c r="DL280" i="82"/>
  <c r="CZ287" i="82"/>
  <c r="DJ287" i="82"/>
  <c r="CY289" i="82"/>
  <c r="CY295" i="82"/>
  <c r="DE296" i="82"/>
  <c r="DM296" i="82"/>
  <c r="DK297" i="82"/>
  <c r="CN311" i="82"/>
  <c r="CT406" i="82"/>
  <c r="CZ394" i="82"/>
  <c r="K12" i="3"/>
  <c r="J13" i="3"/>
  <c r="K13" i="3" s="1"/>
  <c r="AO105" i="7"/>
  <c r="BT29" i="3"/>
  <c r="BQ32" i="3"/>
  <c r="CO18" i="3"/>
  <c r="BL168" i="7"/>
  <c r="BL74" i="3"/>
  <c r="BL81" i="3"/>
  <c r="CN16" i="7"/>
  <c r="AJ26" i="7"/>
  <c r="AK38" i="7"/>
  <c r="AQ50" i="7"/>
  <c r="Q487" i="113"/>
  <c r="CO196" i="82"/>
  <c r="CR211" i="82"/>
  <c r="CN213" i="82"/>
  <c r="DG217" i="82"/>
  <c r="CS218" i="82"/>
  <c r="DA218" i="82"/>
  <c r="DB221" i="82"/>
  <c r="CW222" i="82"/>
  <c r="CP227" i="82"/>
  <c r="CZ232" i="82"/>
  <c r="CL247" i="82"/>
  <c r="C259" i="82"/>
  <c r="K259" i="82"/>
  <c r="S259" i="82"/>
  <c r="AA259" i="82"/>
  <c r="AI259" i="82"/>
  <c r="AQ259" i="82"/>
  <c r="AY259" i="82"/>
  <c r="BG259" i="82"/>
  <c r="BO259" i="82"/>
  <c r="CG259" i="82"/>
  <c r="CO259" i="82"/>
  <c r="DE262" i="82"/>
  <c r="DA269" i="82"/>
  <c r="DH275" i="82"/>
  <c r="DA287" i="82"/>
  <c r="DK287" i="82"/>
  <c r="CX296" i="82"/>
  <c r="DF296" i="82"/>
  <c r="CO311" i="82"/>
  <c r="CU394" i="82"/>
  <c r="BM105" i="7"/>
  <c r="BO18" i="3"/>
  <c r="AN32" i="3"/>
  <c r="I46" i="3"/>
  <c r="J36" i="3"/>
  <c r="CN51" i="3"/>
  <c r="AS105" i="7"/>
  <c r="AP26" i="7"/>
  <c r="BY103" i="7"/>
  <c r="AR50" i="7"/>
  <c r="BW50" i="7"/>
  <c r="DH217" i="82"/>
  <c r="DA232" i="82"/>
  <c r="D259" i="82"/>
  <c r="L259" i="82"/>
  <c r="T259" i="82"/>
  <c r="AB259" i="82"/>
  <c r="AJ259" i="82"/>
  <c r="AR259" i="82"/>
  <c r="AZ259" i="82"/>
  <c r="BH259" i="82"/>
  <c r="BP259" i="82"/>
  <c r="CH259" i="82"/>
  <c r="CP259" i="82"/>
  <c r="DB261" i="82"/>
  <c r="DF262" i="82"/>
  <c r="DI275" i="82"/>
  <c r="DC287" i="82"/>
  <c r="DM287" i="82"/>
  <c r="DA295" i="82"/>
  <c r="DI295" i="82"/>
  <c r="CY296" i="82"/>
  <c r="DM297" i="82"/>
  <c r="DK298" i="82"/>
  <c r="CH311" i="82"/>
  <c r="CP311" i="82"/>
  <c r="CX404" i="82"/>
  <c r="AG105" i="7"/>
  <c r="CK105" i="7"/>
  <c r="X66" i="3"/>
  <c r="X18" i="3" s="1"/>
  <c r="BE66" i="3"/>
  <c r="CG18" i="3"/>
  <c r="CI66" i="3"/>
  <c r="CI18" i="3" s="1"/>
  <c r="BE168" i="7"/>
  <c r="BE170" i="7" s="1"/>
  <c r="BD74" i="3"/>
  <c r="BD81" i="3"/>
  <c r="AQ26" i="7"/>
  <c r="BW26" i="7"/>
  <c r="S12" i="11"/>
  <c r="BO38" i="7"/>
  <c r="BO50" i="7" s="1"/>
  <c r="CI407" i="82"/>
  <c r="AD9" i="3"/>
  <c r="AL105" i="7"/>
  <c r="AT105" i="7"/>
  <c r="BB105" i="7"/>
  <c r="BR105" i="7"/>
  <c r="BZ105" i="7"/>
  <c r="CH105" i="7"/>
  <c r="E32" i="3"/>
  <c r="AS32" i="3"/>
  <c r="BA32" i="3"/>
  <c r="O38" i="3"/>
  <c r="P38" i="3" s="1"/>
  <c r="AZ41" i="3"/>
  <c r="AZ46" i="3" s="1"/>
  <c r="BT41" i="3"/>
  <c r="BY42" i="3"/>
  <c r="O44" i="3"/>
  <c r="T48" i="3"/>
  <c r="U58" i="3"/>
  <c r="AK58" i="3"/>
  <c r="AK66" i="3" s="1"/>
  <c r="E59" i="3"/>
  <c r="F59" i="3" s="1"/>
  <c r="AE59" i="3"/>
  <c r="AE66" i="3" s="1"/>
  <c r="AE18" i="3" s="1"/>
  <c r="J62" i="3"/>
  <c r="T64" i="3"/>
  <c r="U64" i="3" s="1"/>
  <c r="E65" i="3"/>
  <c r="F65" i="3" s="1"/>
  <c r="CA71" i="3"/>
  <c r="BQ168" i="7"/>
  <c r="CC168" i="7"/>
  <c r="CK168" i="7"/>
  <c r="CP174" i="7" s="1"/>
  <c r="AQ74" i="3"/>
  <c r="AY74" i="3"/>
  <c r="BG74" i="3"/>
  <c r="AB81" i="3"/>
  <c r="AR81" i="3"/>
  <c r="BH81" i="3"/>
  <c r="BP81" i="3"/>
  <c r="BX81" i="3"/>
  <c r="BO202" i="7"/>
  <c r="BO78" i="7"/>
  <c r="CA78" i="7"/>
  <c r="CA202" i="7"/>
  <c r="CI78" i="7"/>
  <c r="CI202" i="7"/>
  <c r="CQ78" i="7"/>
  <c r="CQ202" i="7"/>
  <c r="CD66" i="7"/>
  <c r="CE67" i="7" s="1"/>
  <c r="AX88" i="7"/>
  <c r="BL88" i="7"/>
  <c r="BL85" i="7" s="1"/>
  <c r="AZ16" i="7"/>
  <c r="V26" i="7"/>
  <c r="AD26" i="7"/>
  <c r="AL26" i="7"/>
  <c r="AT26" i="7"/>
  <c r="BR26" i="7"/>
  <c r="BZ26" i="7"/>
  <c r="CH26" i="7"/>
  <c r="CD90" i="7"/>
  <c r="BJ103" i="7"/>
  <c r="BJ100" i="7" s="1"/>
  <c r="R10" i="11"/>
  <c r="CN204" i="7"/>
  <c r="CN218" i="7" s="1"/>
  <c r="X50" i="7"/>
  <c r="AF50" i="7"/>
  <c r="BD50" i="7"/>
  <c r="BT38" i="7"/>
  <c r="BT50" i="7" s="1"/>
  <c r="CB50" i="7"/>
  <c r="CJ50" i="7"/>
  <c r="AX76" i="7"/>
  <c r="BX76" i="7"/>
  <c r="CA69" i="7"/>
  <c r="CA71" i="7"/>
  <c r="CA70" i="7"/>
  <c r="CN72" i="7"/>
  <c r="AE88" i="7"/>
  <c r="AE85" i="7" s="1"/>
  <c r="AM88" i="7"/>
  <c r="AM85" i="7" s="1"/>
  <c r="AU88" i="7"/>
  <c r="AU87" i="7" s="1"/>
  <c r="W87" i="7"/>
  <c r="BT167" i="7"/>
  <c r="CJ218" i="7"/>
  <c r="CP208" i="7"/>
  <c r="CQ208" i="7" s="1"/>
  <c r="CR208" i="7" s="1"/>
  <c r="CS208" i="7" s="1"/>
  <c r="CT208" i="7" s="1"/>
  <c r="CJ407" i="82"/>
  <c r="W169" i="7"/>
  <c r="BC105" i="7"/>
  <c r="BK105" i="7"/>
  <c r="BS105" i="7"/>
  <c r="CA105" i="7"/>
  <c r="Y23" i="3"/>
  <c r="BY23" i="3"/>
  <c r="N32" i="3"/>
  <c r="Z35" i="3"/>
  <c r="E36" i="3"/>
  <c r="T36" i="3"/>
  <c r="AD38" i="3"/>
  <c r="AP41" i="3"/>
  <c r="S46" i="3"/>
  <c r="AK48" i="3"/>
  <c r="BO48" i="3"/>
  <c r="J63" i="3"/>
  <c r="K63" i="3" s="1"/>
  <c r="CB71" i="3"/>
  <c r="BJ73" i="3"/>
  <c r="BR168" i="7"/>
  <c r="CD73" i="3"/>
  <c r="CL168" i="7"/>
  <c r="CQ174" i="7" s="1"/>
  <c r="L74" i="3"/>
  <c r="AB74" i="3"/>
  <c r="AR74" i="3"/>
  <c r="BH74" i="3"/>
  <c r="BP74" i="3"/>
  <c r="BX74" i="3"/>
  <c r="AS81" i="3"/>
  <c r="BA81" i="3"/>
  <c r="BI81" i="3"/>
  <c r="BQ81" i="3"/>
  <c r="CG81" i="3"/>
  <c r="CO81" i="3"/>
  <c r="BT78" i="7"/>
  <c r="BT202" i="7"/>
  <c r="CB78" i="7"/>
  <c r="CB202" i="7"/>
  <c r="CJ78" i="7"/>
  <c r="CJ202" i="7"/>
  <c r="CR78" i="7"/>
  <c r="CR202" i="7"/>
  <c r="AY88" i="7"/>
  <c r="BM88" i="7"/>
  <c r="BM85" i="7" s="1"/>
  <c r="CD167" i="7"/>
  <c r="CI90" i="7"/>
  <c r="BO103" i="7"/>
  <c r="BL72" i="7"/>
  <c r="CP72" i="7"/>
  <c r="CP204" i="7"/>
  <c r="AE50" i="7"/>
  <c r="BU50" i="7"/>
  <c r="CI60" i="7"/>
  <c r="BZ195" i="7"/>
  <c r="CD195" i="7" s="1"/>
  <c r="N11" i="11"/>
  <c r="BT66" i="7"/>
  <c r="BS70" i="7"/>
  <c r="AF88" i="7"/>
  <c r="AN88" i="7"/>
  <c r="X87" i="7"/>
  <c r="CE209" i="7"/>
  <c r="CF209" i="7" s="1"/>
  <c r="CD209" i="7"/>
  <c r="CK220" i="7"/>
  <c r="CL220" i="7" s="1"/>
  <c r="CM220" i="7" s="1"/>
  <c r="CK225" i="7"/>
  <c r="CL225" i="7" s="1"/>
  <c r="CM225" i="7" s="1"/>
  <c r="CI406" i="82"/>
  <c r="CY406" i="82"/>
  <c r="AI169" i="7"/>
  <c r="AN105" i="7"/>
  <c r="AV105" i="7"/>
  <c r="BD105" i="7"/>
  <c r="BL105" i="7"/>
  <c r="CB105" i="7"/>
  <c r="CJ105" i="7"/>
  <c r="W168" i="7"/>
  <c r="T28" i="3"/>
  <c r="CA32" i="3"/>
  <c r="Y58" i="3"/>
  <c r="D66" i="3"/>
  <c r="D18" i="3" s="1"/>
  <c r="BP70" i="3"/>
  <c r="BX70" i="3"/>
  <c r="AU73" i="3"/>
  <c r="BS168" i="7"/>
  <c r="CE168" i="7"/>
  <c r="CE182" i="7" s="1"/>
  <c r="CM168" i="7"/>
  <c r="M74" i="3"/>
  <c r="AS74" i="3"/>
  <c r="BA74" i="3"/>
  <c r="BI74" i="3"/>
  <c r="BQ74" i="3"/>
  <c r="AL81" i="3"/>
  <c r="AT81" i="3"/>
  <c r="BB81" i="3"/>
  <c r="BR81" i="3"/>
  <c r="BZ81" i="3"/>
  <c r="CH81" i="3"/>
  <c r="BT98" i="3"/>
  <c r="BU78" i="7"/>
  <c r="BU202" i="7"/>
  <c r="CC78" i="7"/>
  <c r="CC202" i="7"/>
  <c r="CK78" i="7"/>
  <c r="CK202" i="7"/>
  <c r="CS78" i="7"/>
  <c r="CS202" i="7"/>
  <c r="CN66" i="7"/>
  <c r="CO67" i="7" s="1"/>
  <c r="AZ88" i="7"/>
  <c r="AZ85" i="7" s="1"/>
  <c r="BO88" i="7"/>
  <c r="BO85" i="7" s="1"/>
  <c r="BB16" i="7"/>
  <c r="BJ16" i="7"/>
  <c r="BJ26" i="7" s="1"/>
  <c r="CD171" i="7"/>
  <c r="CE167" i="7" s="1"/>
  <c r="CI167" i="7" s="1"/>
  <c r="BY25" i="7"/>
  <c r="BY86" i="7" s="1"/>
  <c r="BY88" i="7" s="1"/>
  <c r="BY85" i="7" s="1"/>
  <c r="X26" i="7"/>
  <c r="AF26" i="7"/>
  <c r="AN26" i="7"/>
  <c r="BD26" i="7"/>
  <c r="CB26" i="7"/>
  <c r="CJ26" i="7"/>
  <c r="CN90" i="7"/>
  <c r="BT103" i="7"/>
  <c r="BM72" i="7"/>
  <c r="R62" i="7"/>
  <c r="R63" i="7" s="1"/>
  <c r="Z50" i="7"/>
  <c r="AH50" i="7"/>
  <c r="AP50" i="7"/>
  <c r="BF50" i="7"/>
  <c r="BN50" i="7"/>
  <c r="BV50" i="7"/>
  <c r="CD38" i="7"/>
  <c r="CL50" i="7"/>
  <c r="AG50" i="7"/>
  <c r="BC50" i="7"/>
  <c r="CE195" i="7"/>
  <c r="CI195" i="7"/>
  <c r="CJ76" i="7"/>
  <c r="Y87" i="7"/>
  <c r="AO87" i="7"/>
  <c r="AA169" i="7"/>
  <c r="AH105" i="7"/>
  <c r="AX105" i="7"/>
  <c r="BF105" i="7"/>
  <c r="BN105" i="7"/>
  <c r="BV105" i="7"/>
  <c r="CL105" i="7"/>
  <c r="AZ29" i="3"/>
  <c r="I32" i="3"/>
  <c r="N46" i="3"/>
  <c r="AD66" i="3"/>
  <c r="AD18" i="3" s="1"/>
  <c r="BZ70" i="3"/>
  <c r="I73" i="3"/>
  <c r="BE73" i="3"/>
  <c r="BU168" i="7"/>
  <c r="BU182" i="7" s="1"/>
  <c r="CG168" i="7"/>
  <c r="W74" i="3"/>
  <c r="AM74" i="3"/>
  <c r="BC74" i="3"/>
  <c r="BK74" i="3"/>
  <c r="BS74" i="3"/>
  <c r="CJ81" i="3"/>
  <c r="CD98" i="3"/>
  <c r="BW202" i="7"/>
  <c r="BW78" i="7"/>
  <c r="CE202" i="7"/>
  <c r="CE78" i="7"/>
  <c r="CM202" i="7"/>
  <c r="CM78" i="7"/>
  <c r="BB88" i="7"/>
  <c r="BB87" i="7" s="1"/>
  <c r="AV16" i="7"/>
  <c r="BL16" i="7"/>
  <c r="AH26" i="7"/>
  <c r="BN26" i="7"/>
  <c r="BV26" i="7"/>
  <c r="CL26" i="7"/>
  <c r="CD103" i="7"/>
  <c r="AB50" i="7"/>
  <c r="AZ50" i="7"/>
  <c r="BH50" i="7"/>
  <c r="BP50" i="7"/>
  <c r="BX50" i="7"/>
  <c r="CF50" i="7"/>
  <c r="CN38" i="7"/>
  <c r="CC50" i="7"/>
  <c r="BJ60" i="7"/>
  <c r="CL76" i="7"/>
  <c r="BU88" i="7"/>
  <c r="BU87" i="7" s="1"/>
  <c r="BU234" i="7"/>
  <c r="BU235" i="7" s="1"/>
  <c r="AN169" i="7"/>
  <c r="AQ105" i="7"/>
  <c r="AY105" i="7"/>
  <c r="BG105" i="7"/>
  <c r="BW105" i="7"/>
  <c r="CE105" i="7"/>
  <c r="CM105" i="7"/>
  <c r="AA168" i="7"/>
  <c r="BX168" i="7"/>
  <c r="CH168" i="7"/>
  <c r="I81" i="3"/>
  <c r="BX202" i="7"/>
  <c r="BX78" i="7"/>
  <c r="CF202" i="7"/>
  <c r="CF78" i="7"/>
  <c r="CN202" i="7"/>
  <c r="CN78" i="7"/>
  <c r="BF88" i="7"/>
  <c r="BF85" i="7" s="1"/>
  <c r="CD88" i="7"/>
  <c r="CD87" i="7" s="1"/>
  <c r="CI103" i="7"/>
  <c r="BY72" i="7"/>
  <c r="AC50" i="7"/>
  <c r="BA50" i="7"/>
  <c r="BI50" i="7"/>
  <c r="BQ50" i="7"/>
  <c r="BY38" i="7"/>
  <c r="BY50" i="7" s="1"/>
  <c r="CG50" i="7"/>
  <c r="CO50" i="7"/>
  <c r="BK50" i="7"/>
  <c r="BL76" i="7"/>
  <c r="Q87" i="7"/>
  <c r="Q85" i="7"/>
  <c r="AB87" i="7"/>
  <c r="AB85" i="7"/>
  <c r="AJ88" i="7"/>
  <c r="AR88" i="7"/>
  <c r="AR87" i="7" s="1"/>
  <c r="BV88" i="7"/>
  <c r="BV87" i="7" s="1"/>
  <c r="S170" i="7"/>
  <c r="BX218" i="7"/>
  <c r="BZ208" i="7"/>
  <c r="CA208" i="7" s="1"/>
  <c r="CU406" i="82"/>
  <c r="CI414" i="82"/>
  <c r="AK11" i="3"/>
  <c r="AJ105" i="7"/>
  <c r="AR105" i="7"/>
  <c r="AZ18" i="3"/>
  <c r="BH105" i="7"/>
  <c r="BP105" i="7"/>
  <c r="BX105" i="7"/>
  <c r="CF105" i="7"/>
  <c r="AB19" i="3"/>
  <c r="T23" i="3"/>
  <c r="CI23" i="3"/>
  <c r="S32" i="3"/>
  <c r="AA32" i="3"/>
  <c r="BW32" i="3"/>
  <c r="T35" i="3"/>
  <c r="AU37" i="3"/>
  <c r="Y38" i="3"/>
  <c r="Z38" i="3" s="1"/>
  <c r="AP38" i="3"/>
  <c r="BO41" i="3"/>
  <c r="BO46" i="3" s="1"/>
  <c r="X46" i="3"/>
  <c r="AD48" i="3"/>
  <c r="E58" i="3"/>
  <c r="F58" i="3" s="1"/>
  <c r="O59" i="3"/>
  <c r="P59" i="3" s="1"/>
  <c r="T62" i="3"/>
  <c r="E63" i="3"/>
  <c r="F63" i="3" s="1"/>
  <c r="O65" i="3"/>
  <c r="P65" i="3" s="1"/>
  <c r="S73" i="3"/>
  <c r="AI73" i="3"/>
  <c r="AI76" i="3" s="1"/>
  <c r="BO73" i="3"/>
  <c r="BY73" i="3"/>
  <c r="AG74" i="3"/>
  <c r="BM74" i="3"/>
  <c r="BU74" i="3"/>
  <c r="CC74" i="3"/>
  <c r="AH81" i="3"/>
  <c r="AX81" i="3"/>
  <c r="BF81" i="3"/>
  <c r="BN81" i="3"/>
  <c r="CL81" i="3"/>
  <c r="CN98" i="3"/>
  <c r="BY78" i="7"/>
  <c r="BY202" i="7"/>
  <c r="CG78" i="7"/>
  <c r="CG202" i="7"/>
  <c r="CO78" i="7"/>
  <c r="CO202" i="7"/>
  <c r="BT71" i="7"/>
  <c r="AV88" i="7"/>
  <c r="BJ88" i="7"/>
  <c r="BJ87" i="7" s="1"/>
  <c r="CI88" i="7"/>
  <c r="CI85" i="7" s="1"/>
  <c r="BF16" i="7"/>
  <c r="CD16" i="7"/>
  <c r="AB26" i="7"/>
  <c r="BH26" i="7"/>
  <c r="BP26" i="7"/>
  <c r="BX26" i="7"/>
  <c r="CF26" i="7"/>
  <c r="CN103" i="7"/>
  <c r="P10" i="11"/>
  <c r="CD72" i="7"/>
  <c r="V50" i="7"/>
  <c r="AD50" i="7"/>
  <c r="AT50" i="7"/>
  <c r="BB50" i="7"/>
  <c r="BJ38" i="7"/>
  <c r="BJ50" i="7" s="1"/>
  <c r="BR50" i="7"/>
  <c r="BZ50" i="7"/>
  <c r="CH50" i="7"/>
  <c r="W50" i="7"/>
  <c r="AV76" i="7"/>
  <c r="BD76" i="7"/>
  <c r="BV76" i="7"/>
  <c r="CG234" i="7"/>
  <c r="CG235" i="7" s="1"/>
  <c r="CL208" i="7"/>
  <c r="CL218" i="7" s="1"/>
  <c r="CK218" i="7"/>
  <c r="CD211" i="7"/>
  <c r="CE211" i="7"/>
  <c r="CF211" i="7" s="1"/>
  <c r="J11" i="3"/>
  <c r="AE169" i="7"/>
  <c r="AQ169" i="7"/>
  <c r="S21" i="3"/>
  <c r="D15" i="15"/>
  <c r="AU29" i="3"/>
  <c r="AJ32" i="3"/>
  <c r="CF32" i="3"/>
  <c r="P36" i="3"/>
  <c r="AO46" i="3"/>
  <c r="BU46" i="3"/>
  <c r="AJ73" i="3"/>
  <c r="BP168" i="7"/>
  <c r="BP182" i="7" s="1"/>
  <c r="BZ168" i="7"/>
  <c r="BZ182" i="7" s="1"/>
  <c r="CJ168" i="7"/>
  <c r="CJ182" i="7" s="1"/>
  <c r="AX74" i="3"/>
  <c r="BF74" i="3"/>
  <c r="BN74" i="3"/>
  <c r="AQ81" i="3"/>
  <c r="BJ78" i="7"/>
  <c r="BJ202" i="7"/>
  <c r="BZ78" i="7"/>
  <c r="BZ202" i="7"/>
  <c r="CH78" i="7"/>
  <c r="CH202" i="7"/>
  <c r="CP78" i="7"/>
  <c r="CP202" i="7"/>
  <c r="BY71" i="7"/>
  <c r="BK88" i="7"/>
  <c r="CN88" i="7"/>
  <c r="BO16" i="7"/>
  <c r="BO26" i="7" s="1"/>
  <c r="AC26" i="7"/>
  <c r="AK26" i="7"/>
  <c r="BI26" i="7"/>
  <c r="BQ26" i="7"/>
  <c r="CG26" i="7"/>
  <c r="CO26" i="7"/>
  <c r="Q10" i="11"/>
  <c r="CI72" i="7"/>
  <c r="CI38" i="7"/>
  <c r="Y50" i="7"/>
  <c r="CK50" i="7"/>
  <c r="BY60" i="7"/>
  <c r="AL60" i="7"/>
  <c r="AJ60" i="7"/>
  <c r="BN76" i="7"/>
  <c r="CI66" i="7"/>
  <c r="BX88" i="7"/>
  <c r="CK224" i="7"/>
  <c r="CL224" i="7" s="1"/>
  <c r="CM224" i="7" s="1"/>
  <c r="BN67" i="7"/>
  <c r="CL67" i="7"/>
  <c r="CB69" i="7"/>
  <c r="BG70" i="7"/>
  <c r="BW70" i="7"/>
  <c r="CE70" i="7"/>
  <c r="CM70" i="7"/>
  <c r="CC71" i="7"/>
  <c r="CK71" i="7"/>
  <c r="AI76" i="7"/>
  <c r="AY76" i="7"/>
  <c r="BG76" i="7"/>
  <c r="BQ76" i="7"/>
  <c r="CA76" i="7"/>
  <c r="CN81" i="7"/>
  <c r="W85" i="7"/>
  <c r="AA88" i="7"/>
  <c r="AI88" i="7"/>
  <c r="AQ88" i="7"/>
  <c r="BG88" i="7"/>
  <c r="BW88" i="7"/>
  <c r="BW85" i="7" s="1"/>
  <c r="CE88" i="7"/>
  <c r="CM88" i="7"/>
  <c r="CM87" i="7" s="1"/>
  <c r="W103" i="7"/>
  <c r="W100" i="7" s="1"/>
  <c r="AE103" i="7"/>
  <c r="AM103" i="7"/>
  <c r="AU103" i="7"/>
  <c r="BC103" i="7"/>
  <c r="BC100" i="7" s="1"/>
  <c r="BK103" i="7"/>
  <c r="BS103" i="7"/>
  <c r="CA103" i="7"/>
  <c r="CD169" i="7"/>
  <c r="AB195" i="7"/>
  <c r="AJ195" i="7"/>
  <c r="AR195" i="7"/>
  <c r="AZ195" i="7"/>
  <c r="BH195" i="7"/>
  <c r="BX195" i="7"/>
  <c r="CF195" i="7"/>
  <c r="CO211" i="7"/>
  <c r="CP211" i="7" s="1"/>
  <c r="CQ211" i="7" s="1"/>
  <c r="CR211" i="7" s="1"/>
  <c r="CS211" i="7" s="1"/>
  <c r="CT211" i="7" s="1"/>
  <c r="CU211" i="7" s="1"/>
  <c r="CV211" i="7" s="1"/>
  <c r="CW211" i="7" s="1"/>
  <c r="CX211" i="7" s="1"/>
  <c r="BS234" i="7"/>
  <c r="BS235" i="7" s="1"/>
  <c r="BN235" i="7"/>
  <c r="BO66" i="7"/>
  <c r="BP67" i="7" s="1"/>
  <c r="CM67" i="7"/>
  <c r="BH70" i="7"/>
  <c r="BP70" i="7"/>
  <c r="BX70" i="7"/>
  <c r="CF70" i="7"/>
  <c r="AZ76" i="7"/>
  <c r="BH76" i="7"/>
  <c r="BR76" i="7"/>
  <c r="X85" i="7"/>
  <c r="X103" i="7"/>
  <c r="X102" i="7" s="1"/>
  <c r="AF103" i="7"/>
  <c r="AF100" i="7" s="1"/>
  <c r="AN103" i="7"/>
  <c r="AV103" i="7"/>
  <c r="AV102" i="7" s="1"/>
  <c r="BD103" i="7"/>
  <c r="BL103" i="7"/>
  <c r="CB103" i="7"/>
  <c r="CJ103" i="7"/>
  <c r="BO169" i="7"/>
  <c r="BX67" i="7"/>
  <c r="U70" i="7"/>
  <c r="AC70" i="7"/>
  <c r="AK70" i="7"/>
  <c r="BA70" i="7"/>
  <c r="BI70" i="7"/>
  <c r="BQ70" i="7"/>
  <c r="CG70" i="7"/>
  <c r="CO70" i="7"/>
  <c r="BI76" i="7"/>
  <c r="BS76" i="7"/>
  <c r="CC76" i="7"/>
  <c r="CK76" i="7"/>
  <c r="Y85" i="7"/>
  <c r="AO85" i="7"/>
  <c r="U88" i="7"/>
  <c r="U87" i="7" s="1"/>
  <c r="AC88" i="7"/>
  <c r="AC85" i="7" s="1"/>
  <c r="AK88" i="7"/>
  <c r="AK87" i="7" s="1"/>
  <c r="AS88" i="7"/>
  <c r="BI88" i="7"/>
  <c r="BQ88" i="7"/>
  <c r="BQ85" i="7" s="1"/>
  <c r="CG88" i="7"/>
  <c r="CG87" i="7" s="1"/>
  <c r="CO88" i="7"/>
  <c r="Q103" i="7"/>
  <c r="Q102" i="7" s="1"/>
  <c r="CO209" i="7"/>
  <c r="CP209" i="7" s="1"/>
  <c r="CQ209" i="7" s="1"/>
  <c r="CR209" i="7" s="1"/>
  <c r="CS209" i="7" s="1"/>
  <c r="CT209" i="7" s="1"/>
  <c r="CU209" i="7" s="1"/>
  <c r="CV209" i="7" s="1"/>
  <c r="CW209" i="7" s="1"/>
  <c r="CX209" i="7" s="1"/>
  <c r="BL234" i="7"/>
  <c r="BL235" i="7" s="1"/>
  <c r="BV234" i="7"/>
  <c r="BV235" i="7" s="1"/>
  <c r="BQ235" i="7"/>
  <c r="BI67" i="7"/>
  <c r="CG67" i="7"/>
  <c r="AT76" i="7"/>
  <c r="BB76" i="7"/>
  <c r="BK76" i="7"/>
  <c r="BU76" i="7"/>
  <c r="V88" i="7"/>
  <c r="V85" i="7" s="1"/>
  <c r="AD88" i="7"/>
  <c r="AL88" i="7"/>
  <c r="AT88" i="7"/>
  <c r="AT85" i="7" s="1"/>
  <c r="BR88" i="7"/>
  <c r="BR85" i="7" s="1"/>
  <c r="BZ88" i="7"/>
  <c r="CH88" i="7"/>
  <c r="CH85" i="7" s="1"/>
  <c r="BJ66" i="7"/>
  <c r="CO71" i="7"/>
  <c r="AM76" i="7"/>
  <c r="AU76" i="7"/>
  <c r="BC76" i="7"/>
  <c r="CE76" i="7"/>
  <c r="CM76" i="7"/>
  <c r="BJ169" i="7"/>
  <c r="CG260" i="7"/>
  <c r="CF76" i="7"/>
  <c r="CE252" i="7"/>
  <c r="CE257" i="7" s="1"/>
  <c r="Y70" i="7"/>
  <c r="AG70" i="7"/>
  <c r="AO70" i="7"/>
  <c r="BE70" i="7"/>
  <c r="BM70" i="7"/>
  <c r="BU70" i="7"/>
  <c r="CC70" i="7"/>
  <c r="CK70" i="7"/>
  <c r="AG76" i="7"/>
  <c r="BE76" i="7"/>
  <c r="CG76" i="7"/>
  <c r="CO76" i="7"/>
  <c r="U103" i="7"/>
  <c r="AC103" i="7"/>
  <c r="AK103" i="7"/>
  <c r="AS103" i="7"/>
  <c r="AS100" i="7" s="1"/>
  <c r="BA103" i="7"/>
  <c r="BI103" i="7"/>
  <c r="BI102" i="7" s="1"/>
  <c r="BQ103" i="7"/>
  <c r="CG103" i="7"/>
  <c r="CO103" i="7"/>
  <c r="BT169" i="7"/>
  <c r="CE243" i="7"/>
  <c r="CE254" i="7"/>
  <c r="BP76" i="7"/>
  <c r="BZ76" i="7"/>
  <c r="CH76" i="7"/>
  <c r="AW87" i="7" l="1"/>
  <c r="BM383" i="1"/>
  <c r="AW26" i="7"/>
  <c r="BF384" i="1"/>
  <c r="BF387" i="1" s="1"/>
  <c r="BH412" i="1"/>
  <c r="BH413" i="1" s="1"/>
  <c r="BC423" i="1"/>
  <c r="BC424" i="1" s="1"/>
  <c r="BH417" i="1"/>
  <c r="BK384" i="1"/>
  <c r="BK387" i="1" s="1"/>
  <c r="BM390" i="2"/>
  <c r="BW391" i="2" s="1"/>
  <c r="AZ383" i="1"/>
  <c r="BM384" i="1"/>
  <c r="BW385" i="1" s="1"/>
  <c r="BK390" i="2"/>
  <c r="BU391" i="2" s="1"/>
  <c r="AX383" i="1"/>
  <c r="BL384" i="1"/>
  <c r="BE390" i="2"/>
  <c r="BG384" i="1"/>
  <c r="BJ390" i="2"/>
  <c r="BK383" i="1"/>
  <c r="BH384" i="1"/>
  <c r="AW370" i="2"/>
  <c r="AW367" i="2"/>
  <c r="AW372" i="2"/>
  <c r="AW369" i="2"/>
  <c r="AN76" i="7"/>
  <c r="AO22" i="2"/>
  <c r="BH390" i="2"/>
  <c r="BF390" i="2"/>
  <c r="BL390" i="2"/>
  <c r="BV391" i="2" s="1"/>
  <c r="BE383" i="1"/>
  <c r="BL383" i="1"/>
  <c r="BH383" i="1"/>
  <c r="BE384" i="1"/>
  <c r="BB170" i="1"/>
  <c r="BB171" i="1" s="1"/>
  <c r="BB209" i="1" s="1"/>
  <c r="BB70" i="1"/>
  <c r="AR402" i="1"/>
  <c r="AW398" i="1"/>
  <c r="AW458" i="1"/>
  <c r="AW456" i="1"/>
  <c r="AW539" i="1"/>
  <c r="AW540" i="1" s="1"/>
  <c r="AW543" i="1"/>
  <c r="AW544" i="1" s="1"/>
  <c r="AW553" i="1"/>
  <c r="AW554" i="1" s="1"/>
  <c r="AW549" i="1"/>
  <c r="AW550" i="1" s="1"/>
  <c r="AV402" i="1"/>
  <c r="AW399" i="1"/>
  <c r="AW410" i="1"/>
  <c r="AW412" i="1" s="1"/>
  <c r="AW413" i="1" s="1"/>
  <c r="AW416" i="1"/>
  <c r="AW436" i="1" s="1"/>
  <c r="BF383" i="1"/>
  <c r="BG383" i="1"/>
  <c r="BB341" i="2"/>
  <c r="AW333" i="1"/>
  <c r="AW331" i="1"/>
  <c r="AW332" i="1"/>
  <c r="BB118" i="1"/>
  <c r="BB119" i="1" s="1"/>
  <c r="BB100" i="1"/>
  <c r="BJ384" i="1"/>
  <c r="BJ387" i="1" s="1"/>
  <c r="BB65" i="2"/>
  <c r="AW150" i="2"/>
  <c r="AW65" i="2"/>
  <c r="AW27" i="2"/>
  <c r="AW166" i="2"/>
  <c r="AW341" i="2"/>
  <c r="AW88" i="2"/>
  <c r="AW358" i="2"/>
  <c r="AW29" i="2"/>
  <c r="AW384" i="1"/>
  <c r="AX333" i="1"/>
  <c r="BJ383" i="1"/>
  <c r="BB347" i="2"/>
  <c r="BB346" i="2"/>
  <c r="BB69" i="2"/>
  <c r="AX93" i="2"/>
  <c r="AW93" i="2"/>
  <c r="AW346" i="2"/>
  <c r="AW69" i="2"/>
  <c r="BB332" i="1"/>
  <c r="AX356" i="2"/>
  <c r="AX86" i="2"/>
  <c r="BG390" i="2"/>
  <c r="AW390" i="2"/>
  <c r="BB331" i="1"/>
  <c r="AW383" i="1"/>
  <c r="BB413" i="1"/>
  <c r="DH133" i="39"/>
  <c r="DH131" i="39"/>
  <c r="DO121" i="39"/>
  <c r="DO119" i="39"/>
  <c r="CP153" i="39"/>
  <c r="CU176" i="39" s="1"/>
  <c r="CU177" i="39" s="1"/>
  <c r="CW145" i="39"/>
  <c r="CS153" i="39"/>
  <c r="CS192" i="39" s="1"/>
  <c r="DJ131" i="39"/>
  <c r="DJ133" i="39"/>
  <c r="DP119" i="39"/>
  <c r="DP121" i="39"/>
  <c r="DI131" i="39"/>
  <c r="DI133" i="39"/>
  <c r="CR145" i="39"/>
  <c r="CN153" i="39"/>
  <c r="DK131" i="39"/>
  <c r="DK133" i="39"/>
  <c r="CY133" i="39"/>
  <c r="CY131" i="39"/>
  <c r="CZ133" i="39"/>
  <c r="CZ131" i="39"/>
  <c r="DA131" i="39"/>
  <c r="DA133" i="39"/>
  <c r="DK121" i="39"/>
  <c r="DK119" i="39"/>
  <c r="CO153" i="39"/>
  <c r="CT176" i="39" s="1"/>
  <c r="CT177" i="39" s="1"/>
  <c r="DD131" i="39"/>
  <c r="DD133" i="39"/>
  <c r="DM133" i="39"/>
  <c r="DM131" i="39"/>
  <c r="CQ153" i="39"/>
  <c r="CQ192" i="39" s="1"/>
  <c r="CY145" i="39"/>
  <c r="DB145" i="39" s="1"/>
  <c r="CX153" i="39"/>
  <c r="DC131" i="39"/>
  <c r="DC133" i="39"/>
  <c r="DF131" i="39"/>
  <c r="DF133" i="39"/>
  <c r="CV153" i="39"/>
  <c r="DE131" i="39"/>
  <c r="DE133" i="39"/>
  <c r="AF169" i="7"/>
  <c r="AF172" i="7" s="1"/>
  <c r="AH55" i="2"/>
  <c r="X169" i="7"/>
  <c r="DJ275" i="2"/>
  <c r="DK275" i="2"/>
  <c r="BE428" i="1"/>
  <c r="BE429" i="1" s="1"/>
  <c r="DI275" i="2"/>
  <c r="DN284" i="2" s="1"/>
  <c r="DH275" i="2"/>
  <c r="DM275" i="2"/>
  <c r="DN292" i="2" s="1"/>
  <c r="BC416" i="1"/>
  <c r="BC417" i="1" s="1"/>
  <c r="BC418" i="1" s="1"/>
  <c r="BC427" i="1"/>
  <c r="BC428" i="1" s="1"/>
  <c r="BE424" i="1"/>
  <c r="CK92" i="3"/>
  <c r="CL92" i="3"/>
  <c r="CM92" i="3"/>
  <c r="CN92" i="3"/>
  <c r="CO92" i="3"/>
  <c r="DK310" i="1"/>
  <c r="CZ309" i="1"/>
  <c r="DK200" i="1"/>
  <c r="DF309" i="1"/>
  <c r="DA309" i="1"/>
  <c r="DD309" i="1"/>
  <c r="DM310" i="1"/>
  <c r="DC309" i="1"/>
  <c r="DE309" i="1"/>
  <c r="DO200" i="1"/>
  <c r="CY309" i="1"/>
  <c r="DP200" i="1"/>
  <c r="CD176" i="7"/>
  <c r="S182" i="1"/>
  <c r="CI176" i="7"/>
  <c r="BT176" i="7"/>
  <c r="BY176" i="7"/>
  <c r="S177" i="1"/>
  <c r="CJ173" i="1"/>
  <c r="CJ171" i="1"/>
  <c r="CJ209" i="1" s="1"/>
  <c r="CJ208" i="1"/>
  <c r="CJ178" i="1"/>
  <c r="CJ183" i="1" s="1"/>
  <c r="CI171" i="1"/>
  <c r="CI209" i="1" s="1"/>
  <c r="CD171" i="1"/>
  <c r="CD209" i="1" s="1"/>
  <c r="CD208" i="1"/>
  <c r="CD175" i="1"/>
  <c r="CD173" i="1"/>
  <c r="CD210" i="1" s="1"/>
  <c r="P170" i="1"/>
  <c r="U171" i="1" s="1"/>
  <c r="BW208" i="1"/>
  <c r="BW171" i="1"/>
  <c r="BW209" i="1" s="1"/>
  <c r="BW173" i="1"/>
  <c r="BW210" i="1" s="1"/>
  <c r="BW175" i="1"/>
  <c r="CO208" i="1"/>
  <c r="CO171" i="1"/>
  <c r="CO209" i="1" s="1"/>
  <c r="CO173" i="1"/>
  <c r="CO175" i="1"/>
  <c r="AK171" i="1"/>
  <c r="AK209" i="1" s="1"/>
  <c r="AF178" i="1"/>
  <c r="AF183" i="1"/>
  <c r="AF208" i="1"/>
  <c r="AF173" i="1"/>
  <c r="AF210" i="1" s="1"/>
  <c r="CG171" i="1"/>
  <c r="CG209" i="1" s="1"/>
  <c r="CG208" i="1"/>
  <c r="CG175" i="1"/>
  <c r="BM208" i="1"/>
  <c r="BM175" i="1"/>
  <c r="CI208" i="1"/>
  <c r="CI173" i="1"/>
  <c r="CI178" i="1"/>
  <c r="CI183" i="1" s="1"/>
  <c r="BF208" i="1"/>
  <c r="BF178" i="1"/>
  <c r="BF183" i="1" s="1"/>
  <c r="AV491" i="1"/>
  <c r="AV170" i="1"/>
  <c r="AD173" i="1"/>
  <c r="AD210" i="1" s="1"/>
  <c r="BJ175" i="1"/>
  <c r="BJ208" i="1"/>
  <c r="CN208" i="1"/>
  <c r="CN175" i="1"/>
  <c r="CN171" i="1"/>
  <c r="CN209" i="1" s="1"/>
  <c r="BV208" i="1"/>
  <c r="BV175" i="1"/>
  <c r="CK178" i="1"/>
  <c r="CK183" i="1" s="1"/>
  <c r="CK173" i="1"/>
  <c r="CK208" i="1"/>
  <c r="BG208" i="1"/>
  <c r="BG173" i="1"/>
  <c r="BG210" i="1" s="1"/>
  <c r="BG175" i="1"/>
  <c r="CF491" i="1"/>
  <c r="CF170" i="1"/>
  <c r="CG173" i="1" s="1"/>
  <c r="CG210" i="1" s="1"/>
  <c r="BK208" i="1"/>
  <c r="BK173" i="1"/>
  <c r="BK210" i="1" s="1"/>
  <c r="BK171" i="1"/>
  <c r="BK209" i="1" s="1"/>
  <c r="BK175" i="1"/>
  <c r="AL171" i="1"/>
  <c r="AL209" i="1" s="1"/>
  <c r="AL173" i="1"/>
  <c r="AL210" i="1" s="1"/>
  <c r="AL208" i="1"/>
  <c r="AL175" i="1"/>
  <c r="BL80" i="1"/>
  <c r="BL560" i="1" s="1"/>
  <c r="BL581" i="1" s="1"/>
  <c r="BL583" i="1" s="1"/>
  <c r="BL605" i="1" s="1"/>
  <c r="BL170" i="1"/>
  <c r="BL396" i="1" s="1"/>
  <c r="CL485" i="1"/>
  <c r="CL170" i="1"/>
  <c r="CN173" i="1" s="1"/>
  <c r="AR170" i="1"/>
  <c r="BT208" i="1"/>
  <c r="BT173" i="1"/>
  <c r="BT210" i="1" s="1"/>
  <c r="BT171" i="1"/>
  <c r="BT209" i="1" s="1"/>
  <c r="BT175" i="1"/>
  <c r="AI208" i="1"/>
  <c r="AI171" i="1"/>
  <c r="AI209" i="1" s="1"/>
  <c r="AI175" i="1"/>
  <c r="AG173" i="1"/>
  <c r="AG210" i="1" s="1"/>
  <c r="AG178" i="1"/>
  <c r="AG183" i="1" s="1"/>
  <c r="AG208" i="1"/>
  <c r="AX389" i="1"/>
  <c r="AX170" i="1"/>
  <c r="BH170" i="1"/>
  <c r="BH396" i="1" s="1"/>
  <c r="AH170" i="1"/>
  <c r="AI173" i="1" s="1"/>
  <c r="AI210" i="1" s="1"/>
  <c r="BC173" i="1"/>
  <c r="BC210" i="1" s="1"/>
  <c r="BC208" i="1"/>
  <c r="AD208" i="1"/>
  <c r="AE208" i="1" s="1"/>
  <c r="AD178" i="1"/>
  <c r="AD183" i="1"/>
  <c r="AU208" i="1"/>
  <c r="AU175" i="1"/>
  <c r="CE173" i="1"/>
  <c r="CE210" i="1" s="1"/>
  <c r="CE208" i="1"/>
  <c r="CE175" i="1"/>
  <c r="AN80" i="1"/>
  <c r="AN81" i="1" s="1"/>
  <c r="AN170" i="1"/>
  <c r="AN325" i="1" s="1"/>
  <c r="Z517" i="1"/>
  <c r="Z170" i="1"/>
  <c r="Z171" i="1" s="1"/>
  <c r="BU491" i="1"/>
  <c r="BU170" i="1"/>
  <c r="BU396" i="1" s="1"/>
  <c r="BH180" i="1"/>
  <c r="BH527" i="1" s="1"/>
  <c r="BC182" i="1"/>
  <c r="BC528" i="1" s="1"/>
  <c r="BE182" i="1"/>
  <c r="BE528" i="1" s="1"/>
  <c r="BC180" i="1"/>
  <c r="BC527" i="1" s="1"/>
  <c r="AM173" i="1"/>
  <c r="AM210" i="1" s="1"/>
  <c r="AM208" i="1"/>
  <c r="AM175" i="1"/>
  <c r="AM171" i="1"/>
  <c r="AM209" i="1" s="1"/>
  <c r="AQ208" i="1"/>
  <c r="AQ171" i="1"/>
  <c r="AQ209" i="1" s="1"/>
  <c r="AQ175" i="1"/>
  <c r="AK173" i="1"/>
  <c r="AK210" i="1" s="1"/>
  <c r="AK208" i="1"/>
  <c r="AK175" i="1"/>
  <c r="AP485" i="1"/>
  <c r="AP170" i="1"/>
  <c r="AQ173" i="1" s="1"/>
  <c r="AQ210" i="1" s="1"/>
  <c r="AF171" i="1"/>
  <c r="AF209" i="1" s="1"/>
  <c r="T182" i="1"/>
  <c r="AA182" i="1"/>
  <c r="Y182" i="1"/>
  <c r="AD180" i="1"/>
  <c r="U179" i="1"/>
  <c r="Y177" i="1"/>
  <c r="AA177" i="1"/>
  <c r="AD176" i="1"/>
  <c r="W182" i="1"/>
  <c r="AB180" i="1"/>
  <c r="X182" i="1"/>
  <c r="U175" i="1"/>
  <c r="W177" i="1"/>
  <c r="X177" i="1"/>
  <c r="AB176" i="1"/>
  <c r="T177" i="1"/>
  <c r="AA176" i="1"/>
  <c r="Z175" i="1"/>
  <c r="Z179" i="1"/>
  <c r="AA180" i="1"/>
  <c r="Z208" i="1"/>
  <c r="R177" i="1"/>
  <c r="R182" i="1"/>
  <c r="DD202" i="1"/>
  <c r="DD190" i="1"/>
  <c r="DD180" i="1"/>
  <c r="DD182" i="1"/>
  <c r="DD196" i="1"/>
  <c r="DD181" i="1"/>
  <c r="DI180" i="1"/>
  <c r="DD204" i="1"/>
  <c r="DI181" i="1"/>
  <c r="DJ180" i="1"/>
  <c r="DE181" i="1"/>
  <c r="DE190" i="1"/>
  <c r="DF182" i="1"/>
  <c r="DE204" i="1"/>
  <c r="DE202" i="1"/>
  <c r="DE180" i="1"/>
  <c r="DE182" i="1"/>
  <c r="DE196" i="1"/>
  <c r="DJ181" i="1"/>
  <c r="DC181" i="1"/>
  <c r="DC180" i="1"/>
  <c r="DC182" i="1"/>
  <c r="DH180" i="1"/>
  <c r="DG179" i="1"/>
  <c r="DC202" i="1"/>
  <c r="DC196" i="1"/>
  <c r="DC204" i="1"/>
  <c r="DC190" i="1"/>
  <c r="DH181" i="1"/>
  <c r="CT204" i="82"/>
  <c r="CY219" i="82" s="1"/>
  <c r="CU345" i="82"/>
  <c r="CU346" i="82" s="1"/>
  <c r="P300" i="113"/>
  <c r="P476" i="113"/>
  <c r="P477" i="113" s="1"/>
  <c r="CP205" i="82"/>
  <c r="CP220" i="82" s="1"/>
  <c r="CN15" i="3"/>
  <c r="BX383" i="1"/>
  <c r="DL281" i="2"/>
  <c r="CD15" i="3"/>
  <c r="AE48" i="2"/>
  <c r="CZ205" i="82"/>
  <c r="CW321" i="82"/>
  <c r="CW203" i="82" s="1"/>
  <c r="CW204" i="82" s="1"/>
  <c r="DK205" i="82"/>
  <c r="R476" i="113"/>
  <c r="R477" i="113" s="1"/>
  <c r="R479" i="113" s="1"/>
  <c r="CP345" i="82"/>
  <c r="CP348" i="82" s="1"/>
  <c r="CM198" i="2"/>
  <c r="CM200" i="2" s="1"/>
  <c r="Q476" i="113"/>
  <c r="Q477" i="113" s="1"/>
  <c r="BE15" i="3"/>
  <c r="CQ204" i="82"/>
  <c r="CQ205" i="82" s="1"/>
  <c r="CO204" i="82"/>
  <c r="CO219" i="82" s="1"/>
  <c r="CX205" i="82"/>
  <c r="DJ295" i="2"/>
  <c r="DK295" i="2"/>
  <c r="DO289" i="2"/>
  <c r="CM317" i="82"/>
  <c r="CX190" i="2"/>
  <c r="DC190" i="2"/>
  <c r="DM190" i="2"/>
  <c r="DB190" i="2"/>
  <c r="AT15" i="3"/>
  <c r="CL209" i="2"/>
  <c r="DF69" i="2"/>
  <c r="BC390" i="2"/>
  <c r="CR324" i="82"/>
  <c r="CR206" i="82" s="1"/>
  <c r="CJ209" i="2"/>
  <c r="CI327" i="1"/>
  <c r="CY11" i="2"/>
  <c r="CY10" i="2" s="1"/>
  <c r="CO369" i="2"/>
  <c r="BI330" i="1"/>
  <c r="CV370" i="2"/>
  <c r="BD337" i="2"/>
  <c r="CK12" i="2"/>
  <c r="AK150" i="2"/>
  <c r="AK384" i="1"/>
  <c r="AK386" i="1" s="1"/>
  <c r="BA384" i="1"/>
  <c r="BA387" i="1" s="1"/>
  <c r="AZ390" i="2"/>
  <c r="AL383" i="1"/>
  <c r="CM321" i="82"/>
  <c r="CM203" i="82" s="1"/>
  <c r="CH16" i="2"/>
  <c r="AH15" i="3"/>
  <c r="K166" i="2"/>
  <c r="R379" i="2"/>
  <c r="N23" i="113"/>
  <c r="AO15" i="3"/>
  <c r="BN12" i="2"/>
  <c r="AT330" i="1"/>
  <c r="DL324" i="82"/>
  <c r="DL206" i="82" s="1"/>
  <c r="CL371" i="2"/>
  <c r="CI370" i="2"/>
  <c r="P24" i="113"/>
  <c r="P336" i="113" s="1"/>
  <c r="P337" i="113" s="1"/>
  <c r="CH20" i="2"/>
  <c r="CW199" i="2"/>
  <c r="BJ157" i="2"/>
  <c r="P150" i="2"/>
  <c r="BD12" i="2"/>
  <c r="DK327" i="1"/>
  <c r="AT20" i="2"/>
  <c r="CF327" i="1"/>
  <c r="BA76" i="7"/>
  <c r="CE93" i="2"/>
  <c r="AE383" i="1"/>
  <c r="DF226" i="2"/>
  <c r="DI327" i="1"/>
  <c r="CF211" i="2"/>
  <c r="BB390" i="2"/>
  <c r="CO200" i="2"/>
  <c r="CO371" i="2"/>
  <c r="DA327" i="1"/>
  <c r="AS15" i="3"/>
  <c r="DB232" i="2"/>
  <c r="DB236" i="2" s="1"/>
  <c r="DM226" i="2"/>
  <c r="AJ12" i="2"/>
  <c r="F23" i="113"/>
  <c r="CH321" i="82"/>
  <c r="CH203" i="82" s="1"/>
  <c r="AT12" i="2"/>
  <c r="CQ12" i="2"/>
  <c r="CO357" i="2"/>
  <c r="U69" i="2"/>
  <c r="AJ48" i="2"/>
  <c r="CY16" i="2"/>
  <c r="CK209" i="2"/>
  <c r="AT23" i="2"/>
  <c r="AM15" i="3"/>
  <c r="DN324" i="82"/>
  <c r="DN206" i="82" s="1"/>
  <c r="CO209" i="2"/>
  <c r="BI17" i="2"/>
  <c r="CL372" i="2"/>
  <c r="DL199" i="2"/>
  <c r="Q384" i="2"/>
  <c r="CH23" i="2"/>
  <c r="DE136" i="2"/>
  <c r="AS384" i="1"/>
  <c r="AR384" i="1"/>
  <c r="AR387" i="1" s="1"/>
  <c r="AM383" i="1"/>
  <c r="AX384" i="1"/>
  <c r="CQ209" i="2"/>
  <c r="BI20" i="2"/>
  <c r="CT369" i="2"/>
  <c r="CT91" i="2"/>
  <c r="CN357" i="2"/>
  <c r="AO12" i="2"/>
  <c r="CT371" i="2"/>
  <c r="DG232" i="2"/>
  <c r="DG236" i="2" s="1"/>
  <c r="DG324" i="82"/>
  <c r="DG206" i="82" s="1"/>
  <c r="DB324" i="82"/>
  <c r="DB206" i="82" s="1"/>
  <c r="CE327" i="1"/>
  <c r="S23" i="113"/>
  <c r="CY19" i="2"/>
  <c r="CY18" i="2" s="1"/>
  <c r="DB224" i="2"/>
  <c r="DE226" i="2"/>
  <c r="BN20" i="2"/>
  <c r="AO330" i="1"/>
  <c r="DI236" i="2"/>
  <c r="DH327" i="1"/>
  <c r="DC93" i="2"/>
  <c r="AP384" i="1"/>
  <c r="DH226" i="2"/>
  <c r="CW324" i="82"/>
  <c r="CW206" i="82" s="1"/>
  <c r="DJ327" i="1"/>
  <c r="DG330" i="1"/>
  <c r="CP68" i="2"/>
  <c r="DG41" i="2"/>
  <c r="DG56" i="2"/>
  <c r="CP209" i="2"/>
  <c r="DF327" i="1"/>
  <c r="BN330" i="1"/>
  <c r="BX332" i="1" s="1"/>
  <c r="G23" i="113"/>
  <c r="D23" i="113"/>
  <c r="D37" i="113" s="1"/>
  <c r="BE157" i="2"/>
  <c r="AY20" i="2"/>
  <c r="DM327" i="1"/>
  <c r="BN23" i="2"/>
  <c r="AU384" i="1"/>
  <c r="AU387" i="1" s="1"/>
  <c r="AQ384" i="1"/>
  <c r="AV384" i="1"/>
  <c r="AV387" i="1" s="1"/>
  <c r="AN15" i="3"/>
  <c r="CG209" i="2"/>
  <c r="CG211" i="2" s="1"/>
  <c r="F29" i="2"/>
  <c r="CY327" i="1"/>
  <c r="CM187" i="2"/>
  <c r="AY15" i="3"/>
  <c r="AG15" i="3"/>
  <c r="BD20" i="2"/>
  <c r="CD327" i="1"/>
  <c r="BF76" i="7"/>
  <c r="AR15" i="3"/>
  <c r="DL232" i="2"/>
  <c r="DL236" i="2" s="1"/>
  <c r="CX327" i="1"/>
  <c r="BD330" i="1"/>
  <c r="CP107" i="2"/>
  <c r="E23" i="113"/>
  <c r="CW330" i="1"/>
  <c r="S378" i="2"/>
  <c r="AY12" i="2"/>
  <c r="AO20" i="2"/>
  <c r="CR198" i="2"/>
  <c r="CR199" i="2" s="1"/>
  <c r="AY330" i="1"/>
  <c r="BN17" i="2"/>
  <c r="CZ327" i="1"/>
  <c r="CG12" i="2"/>
  <c r="DD327" i="1"/>
  <c r="DC136" i="2"/>
  <c r="AP166" i="2"/>
  <c r="DD226" i="2"/>
  <c r="O296" i="113"/>
  <c r="DK236" i="2"/>
  <c r="CX497" i="1"/>
  <c r="CX496" i="1"/>
  <c r="CX124" i="1"/>
  <c r="DC125" i="1" s="1"/>
  <c r="BU389" i="1"/>
  <c r="P491" i="1"/>
  <c r="BU80" i="1"/>
  <c r="BU560" i="1" s="1"/>
  <c r="BU581" i="1" s="1"/>
  <c r="BU583" i="1" s="1"/>
  <c r="BU605" i="1" s="1"/>
  <c r="P81" i="1"/>
  <c r="BU485" i="1"/>
  <c r="P80" i="1"/>
  <c r="P485" i="1"/>
  <c r="U11" i="3"/>
  <c r="AZ384" i="1"/>
  <c r="AL384" i="1"/>
  <c r="BA390" i="2"/>
  <c r="AK383" i="1"/>
  <c r="AX390" i="2"/>
  <c r="BA383" i="1"/>
  <c r="AM384" i="1"/>
  <c r="AM385" i="1" s="1"/>
  <c r="AV80" i="1"/>
  <c r="AV81" i="1" s="1"/>
  <c r="CF485" i="1"/>
  <c r="BU7" i="2"/>
  <c r="BB384" i="1"/>
  <c r="BC384" i="1"/>
  <c r="AR383" i="1"/>
  <c r="AO16" i="2"/>
  <c r="AS383" i="1"/>
  <c r="BB383" i="1"/>
  <c r="Z491" i="1"/>
  <c r="BC383" i="1"/>
  <c r="Z80" i="1"/>
  <c r="Z81" i="1" s="1"/>
  <c r="Z485" i="1"/>
  <c r="AP383" i="1"/>
  <c r="BL389" i="1"/>
  <c r="CI478" i="1"/>
  <c r="BL485" i="1"/>
  <c r="BL491" i="1"/>
  <c r="AN383" i="1"/>
  <c r="AU383" i="1"/>
  <c r="AV383" i="1"/>
  <c r="AN384" i="1"/>
  <c r="AN387" i="1" s="1"/>
  <c r="AV390" i="2"/>
  <c r="DH93" i="2"/>
  <c r="AQ383" i="1"/>
  <c r="AU390" i="2"/>
  <c r="AU392" i="2" s="1"/>
  <c r="CL389" i="1"/>
  <c r="Q460" i="1"/>
  <c r="CL491" i="1"/>
  <c r="CN496" i="1" s="1"/>
  <c r="AR491" i="1"/>
  <c r="AR80" i="1"/>
  <c r="AR81" i="1" s="1"/>
  <c r="AR485" i="1"/>
  <c r="AX485" i="1"/>
  <c r="AX491" i="1"/>
  <c r="AX80" i="1"/>
  <c r="AX560" i="1" s="1"/>
  <c r="AN485" i="1"/>
  <c r="AN491" i="1"/>
  <c r="AV485" i="1"/>
  <c r="AV389" i="1"/>
  <c r="CF389" i="1"/>
  <c r="DC492" i="1"/>
  <c r="CX481" i="1"/>
  <c r="CX483" i="1" s="1"/>
  <c r="AP491" i="1"/>
  <c r="AP80" i="1"/>
  <c r="AP81" i="1" s="1"/>
  <c r="AP74" i="1"/>
  <c r="BH80" i="1"/>
  <c r="BH560" i="1" s="1"/>
  <c r="AX365" i="2"/>
  <c r="J9" i="113"/>
  <c r="K29" i="113" s="1"/>
  <c r="Z11" i="3"/>
  <c r="BE41" i="1"/>
  <c r="BF41" i="1"/>
  <c r="BH491" i="1"/>
  <c r="BJ37" i="1"/>
  <c r="BJ476" i="1" s="1"/>
  <c r="AH491" i="1"/>
  <c r="R460" i="1"/>
  <c r="BE69" i="1"/>
  <c r="BE485" i="1" s="1"/>
  <c r="AH80" i="1"/>
  <c r="AH81" i="1" s="1"/>
  <c r="BH389" i="1"/>
  <c r="BE107" i="1"/>
  <c r="BE609" i="1" s="1"/>
  <c r="BE495" i="1" s="1"/>
  <c r="AH70" i="1"/>
  <c r="BH485" i="1"/>
  <c r="BE585" i="1"/>
  <c r="AH485" i="1"/>
  <c r="BE474" i="1"/>
  <c r="CD69" i="2"/>
  <c r="CD93" i="2"/>
  <c r="R115" i="1"/>
  <c r="W116" i="1" s="1"/>
  <c r="W23" i="1"/>
  <c r="CO175" i="7"/>
  <c r="CP175" i="7"/>
  <c r="CO182" i="7"/>
  <c r="CO181" i="7" s="1"/>
  <c r="CO174" i="7"/>
  <c r="DF93" i="2"/>
  <c r="CD346" i="2"/>
  <c r="AP29" i="2"/>
  <c r="AV365" i="2"/>
  <c r="AU365" i="2"/>
  <c r="AP150" i="2"/>
  <c r="BD62" i="2"/>
  <c r="DK69" i="2"/>
  <c r="BD338" i="2"/>
  <c r="Q115" i="1"/>
  <c r="V116" i="1" s="1"/>
  <c r="R27" i="1"/>
  <c r="DL328" i="1"/>
  <c r="DG328" i="1"/>
  <c r="BM340" i="2"/>
  <c r="BH12" i="2"/>
  <c r="DC327" i="1"/>
  <c r="U339" i="1"/>
  <c r="CN327" i="1"/>
  <c r="DE327" i="1"/>
  <c r="BY134" i="7"/>
  <c r="BY180" i="7" s="1"/>
  <c r="AL371" i="2"/>
  <c r="AO23" i="2"/>
  <c r="BE371" i="2"/>
  <c r="BI23" i="2"/>
  <c r="AV371" i="2"/>
  <c r="AY23" i="2"/>
  <c r="BA371" i="2"/>
  <c r="BD23" i="2"/>
  <c r="AT26" i="2"/>
  <c r="AT17" i="2"/>
  <c r="AJ17" i="2"/>
  <c r="AJ26" i="2"/>
  <c r="CK369" i="2"/>
  <c r="CM17" i="2"/>
  <c r="AE328" i="1"/>
  <c r="AY26" i="2"/>
  <c r="AY17" i="2"/>
  <c r="CP108" i="2"/>
  <c r="CR330" i="1"/>
  <c r="BD26" i="2"/>
  <c r="BD17" i="2"/>
  <c r="CM330" i="1"/>
  <c r="U328" i="1"/>
  <c r="AU517" i="1"/>
  <c r="AC81" i="1"/>
  <c r="AI517" i="1"/>
  <c r="CL70" i="1"/>
  <c r="BM517" i="1"/>
  <c r="CM577" i="1"/>
  <c r="Q28" i="1"/>
  <c r="AM517" i="1"/>
  <c r="BI36" i="1"/>
  <c r="BI474" i="1" s="1"/>
  <c r="BL517" i="1"/>
  <c r="BL559" i="1" s="1"/>
  <c r="BW517" i="1"/>
  <c r="CO67" i="1"/>
  <c r="AF517" i="1"/>
  <c r="AZ35" i="1"/>
  <c r="AK517" i="1"/>
  <c r="AM42" i="1"/>
  <c r="U517" i="1"/>
  <c r="CP586" i="1"/>
  <c r="CL7" i="2"/>
  <c r="AA81" i="1"/>
  <c r="AA87" i="1" s="1"/>
  <c r="BJ517" i="1"/>
  <c r="BT517" i="1"/>
  <c r="BC476" i="1"/>
  <c r="CI560" i="1"/>
  <c r="CI581" i="1" s="1"/>
  <c r="CR568" i="1"/>
  <c r="BV478" i="1"/>
  <c r="AX517" i="1"/>
  <c r="AX559" i="1" s="1"/>
  <c r="AP517" i="1"/>
  <c r="BB517" i="1"/>
  <c r="W81" i="1"/>
  <c r="W87" i="1" s="1"/>
  <c r="AB476" i="1"/>
  <c r="CH568" i="1"/>
  <c r="AZ464" i="1"/>
  <c r="BH517" i="1"/>
  <c r="BH559" i="1" s="1"/>
  <c r="AR517" i="1"/>
  <c r="BU517" i="1"/>
  <c r="BU559" i="1" s="1"/>
  <c r="CL74" i="1"/>
  <c r="AU41" i="1"/>
  <c r="AL517" i="1"/>
  <c r="AZ107" i="1"/>
  <c r="CS67" i="1"/>
  <c r="AG517" i="1"/>
  <c r="AH42" i="1"/>
  <c r="AN517" i="1"/>
  <c r="AV517" i="1"/>
  <c r="AV559" i="1" s="1"/>
  <c r="BK517" i="1"/>
  <c r="AD517" i="1"/>
  <c r="AC42" i="1"/>
  <c r="AB81" i="1"/>
  <c r="AB87" i="1" s="1"/>
  <c r="BG517" i="1"/>
  <c r="AQ517" i="1"/>
  <c r="CF74" i="1"/>
  <c r="BX462" i="1"/>
  <c r="R35" i="1"/>
  <c r="AH517" i="1"/>
  <c r="BC517" i="1"/>
  <c r="BF37" i="1"/>
  <c r="BF586" i="1" s="1"/>
  <c r="V462" i="1"/>
  <c r="BV517" i="1"/>
  <c r="BV559" i="1" s="1"/>
  <c r="BV571" i="1" s="1"/>
  <c r="CR577" i="1"/>
  <c r="BH586" i="1"/>
  <c r="X478" i="1"/>
  <c r="BF517" i="1"/>
  <c r="BF559" i="1" s="1"/>
  <c r="CF7" i="2"/>
  <c r="P517" i="1"/>
  <c r="V9" i="2"/>
  <c r="Z8" i="2"/>
  <c r="AO26" i="2"/>
  <c r="CJ329" i="1"/>
  <c r="CY322" i="1"/>
  <c r="CI321" i="1"/>
  <c r="BU321" i="1"/>
  <c r="CI329" i="1"/>
  <c r="CL321" i="1"/>
  <c r="BV321" i="1"/>
  <c r="AJ321" i="1"/>
  <c r="DF329" i="1"/>
  <c r="DD329" i="1"/>
  <c r="DI329" i="1"/>
  <c r="DM329" i="1"/>
  <c r="DE329" i="1"/>
  <c r="DC329" i="1"/>
  <c r="DA331" i="1"/>
  <c r="CG321" i="1"/>
  <c r="CK321" i="1"/>
  <c r="DH329" i="1"/>
  <c r="BH332" i="1"/>
  <c r="AE321" i="1"/>
  <c r="CJ321" i="1"/>
  <c r="DK329" i="1"/>
  <c r="DJ329" i="1"/>
  <c r="DJ331" i="1"/>
  <c r="DM333" i="1"/>
  <c r="BA332" i="1"/>
  <c r="CE332" i="1"/>
  <c r="CF332" i="1"/>
  <c r="CY332" i="1"/>
  <c r="W333" i="1"/>
  <c r="CZ332" i="1"/>
  <c r="BP181" i="7"/>
  <c r="CE181" i="7"/>
  <c r="BU181" i="7"/>
  <c r="CJ181" i="7"/>
  <c r="BZ181" i="7"/>
  <c r="CH170" i="7"/>
  <c r="CH182" i="7"/>
  <c r="CK170" i="7"/>
  <c r="CK182" i="7"/>
  <c r="CL170" i="7"/>
  <c r="CL182" i="7"/>
  <c r="BM170" i="7"/>
  <c r="BM182" i="7"/>
  <c r="CD134" i="7"/>
  <c r="CD180" i="7" s="1"/>
  <c r="CI134" i="7"/>
  <c r="CI180" i="7" s="1"/>
  <c r="BX170" i="7"/>
  <c r="BX182" i="7"/>
  <c r="CC170" i="7"/>
  <c r="CC182" i="7"/>
  <c r="BL170" i="7"/>
  <c r="BL182" i="7"/>
  <c r="BS170" i="7"/>
  <c r="BS182" i="7"/>
  <c r="BO124" i="7"/>
  <c r="BO134" i="7"/>
  <c r="BO180" i="7" s="1"/>
  <c r="BR170" i="7"/>
  <c r="BR182" i="7"/>
  <c r="CF170" i="7"/>
  <c r="CF182" i="7"/>
  <c r="CM170" i="7"/>
  <c r="CM182" i="7"/>
  <c r="BQ170" i="7"/>
  <c r="BQ182" i="7"/>
  <c r="BN170" i="7"/>
  <c r="BN182" i="7"/>
  <c r="BK170" i="7"/>
  <c r="BK182" i="7"/>
  <c r="CG170" i="7"/>
  <c r="CG182" i="7"/>
  <c r="BT134" i="7"/>
  <c r="BT180" i="7" s="1"/>
  <c r="BT116" i="7"/>
  <c r="BT124" i="7"/>
  <c r="CD116" i="7"/>
  <c r="CD124" i="7"/>
  <c r="CI124" i="7"/>
  <c r="CN168" i="7"/>
  <c r="BL50" i="7"/>
  <c r="BY116" i="7"/>
  <c r="BY124" i="7"/>
  <c r="CI168" i="7"/>
  <c r="CM100" i="7"/>
  <c r="BO116" i="7"/>
  <c r="CN100" i="7"/>
  <c r="CD102" i="7"/>
  <c r="CH100" i="7"/>
  <c r="CC102" i="7"/>
  <c r="BR102" i="7"/>
  <c r="BY102" i="7"/>
  <c r="BV100" i="7"/>
  <c r="BX100" i="7"/>
  <c r="CL102" i="7"/>
  <c r="CK100" i="7"/>
  <c r="BW100" i="7"/>
  <c r="BN100" i="7"/>
  <c r="BM102" i="7"/>
  <c r="CG100" i="7"/>
  <c r="CB100" i="7"/>
  <c r="CI102" i="7"/>
  <c r="BZ100" i="7"/>
  <c r="BL102" i="7"/>
  <c r="BS100" i="7"/>
  <c r="CF100" i="7"/>
  <c r="BP102" i="7"/>
  <c r="CE100" i="7"/>
  <c r="BO102" i="7"/>
  <c r="BU102" i="7"/>
  <c r="BI10" i="2"/>
  <c r="BM50" i="7"/>
  <c r="DC69" i="2"/>
  <c r="BH340" i="2"/>
  <c r="BH357" i="2"/>
  <c r="BH384" i="2"/>
  <c r="DH69" i="2"/>
  <c r="AI93" i="2"/>
  <c r="BJ357" i="2"/>
  <c r="AH69" i="2"/>
  <c r="AH346" i="2"/>
  <c r="AH93" i="2"/>
  <c r="BD61" i="2"/>
  <c r="DE69" i="2"/>
  <c r="DC203" i="2"/>
  <c r="AK29" i="2"/>
  <c r="AP65" i="2"/>
  <c r="AK166" i="2"/>
  <c r="DG157" i="82"/>
  <c r="DE203" i="2"/>
  <c r="AP341" i="2"/>
  <c r="DE70" i="2"/>
  <c r="DH70" i="2"/>
  <c r="CI99" i="3"/>
  <c r="CN99" i="3"/>
  <c r="DE87" i="2"/>
  <c r="CG357" i="2"/>
  <c r="CV340" i="2"/>
  <c r="CG340" i="2"/>
  <c r="DD203" i="2"/>
  <c r="CS357" i="2"/>
  <c r="DD136" i="2"/>
  <c r="DD64" i="2"/>
  <c r="CV12" i="2"/>
  <c r="DD87" i="2"/>
  <c r="CI357" i="2"/>
  <c r="CY203" i="2"/>
  <c r="BS62" i="7"/>
  <c r="BK26" i="7"/>
  <c r="CI26" i="7"/>
  <c r="AH76" i="7"/>
  <c r="AB77" i="3"/>
  <c r="BT18" i="3"/>
  <c r="AU105" i="7"/>
  <c r="P11" i="3"/>
  <c r="U44" i="3"/>
  <c r="AE11" i="3"/>
  <c r="AP18" i="3"/>
  <c r="AJ169" i="7"/>
  <c r="AJ172" i="7" s="1"/>
  <c r="DK93" i="2"/>
  <c r="AP370" i="2"/>
  <c r="CS12" i="2"/>
  <c r="BV69" i="2"/>
  <c r="AK65" i="2"/>
  <c r="CQ390" i="2"/>
  <c r="CS393" i="2" s="1"/>
  <c r="CO105" i="2"/>
  <c r="AY337" i="2"/>
  <c r="AS369" i="2"/>
  <c r="DI69" i="2"/>
  <c r="AK358" i="2"/>
  <c r="AS367" i="2"/>
  <c r="CD111" i="2"/>
  <c r="AP88" i="2"/>
  <c r="AJ380" i="2"/>
  <c r="AU364" i="2"/>
  <c r="CX111" i="2"/>
  <c r="CY136" i="2"/>
  <c r="AZ370" i="2"/>
  <c r="CV357" i="2"/>
  <c r="AV86" i="2"/>
  <c r="AV364" i="2"/>
  <c r="DD70" i="2"/>
  <c r="AG367" i="2"/>
  <c r="AY338" i="2"/>
  <c r="BH372" i="2"/>
  <c r="AZ369" i="2"/>
  <c r="CU390" i="2"/>
  <c r="CU391" i="2" s="1"/>
  <c r="AX381" i="2"/>
  <c r="AL366" i="2"/>
  <c r="BW346" i="2"/>
  <c r="AY61" i="2"/>
  <c r="AN370" i="2"/>
  <c r="AS63" i="2"/>
  <c r="BA166" i="2"/>
  <c r="CZ136" i="2"/>
  <c r="AN367" i="2"/>
  <c r="BN62" i="2"/>
  <c r="BU69" i="2"/>
  <c r="BE369" i="2"/>
  <c r="J8" i="113"/>
  <c r="K28" i="113" s="1"/>
  <c r="CS340" i="2"/>
  <c r="BF175" i="2"/>
  <c r="DL157" i="82"/>
  <c r="BH377" i="2"/>
  <c r="CL26" i="2"/>
  <c r="AY46" i="2"/>
  <c r="CO111" i="2"/>
  <c r="CZ203" i="2"/>
  <c r="AR372" i="2"/>
  <c r="BT69" i="2"/>
  <c r="CL111" i="2"/>
  <c r="CT111" i="2"/>
  <c r="BM366" i="2"/>
  <c r="BE370" i="2"/>
  <c r="BJ372" i="2"/>
  <c r="CO12" i="2"/>
  <c r="CX109" i="2"/>
  <c r="AY384" i="2"/>
  <c r="CD203" i="2"/>
  <c r="DH203" i="2"/>
  <c r="CK340" i="2"/>
  <c r="DF203" i="2"/>
  <c r="DH64" i="2"/>
  <c r="CF203" i="2"/>
  <c r="CY87" i="2"/>
  <c r="DE64" i="2"/>
  <c r="AB10" i="2"/>
  <c r="DH136" i="2"/>
  <c r="DA136" i="2"/>
  <c r="CE203" i="2"/>
  <c r="CZ87" i="2"/>
  <c r="AH338" i="2"/>
  <c r="AD9" i="2"/>
  <c r="AA10" i="2"/>
  <c r="CO340" i="2"/>
  <c r="CR10" i="2"/>
  <c r="CF11" i="2"/>
  <c r="AX364" i="2"/>
  <c r="AY383" i="2"/>
  <c r="BT42" i="1"/>
  <c r="BK42" i="1"/>
  <c r="CD42" i="1"/>
  <c r="CZ498" i="1"/>
  <c r="DB50" i="1"/>
  <c r="CX498" i="1"/>
  <c r="DK50" i="1"/>
  <c r="DH50" i="1"/>
  <c r="DF50" i="1"/>
  <c r="DG50" i="1"/>
  <c r="DD50" i="1"/>
  <c r="DE50" i="1"/>
  <c r="DC50" i="1"/>
  <c r="AP367" i="2"/>
  <c r="AS370" i="2"/>
  <c r="AQ370" i="2"/>
  <c r="AT386" i="2"/>
  <c r="AR370" i="2"/>
  <c r="BD342" i="2"/>
  <c r="AY388" i="2"/>
  <c r="CY211" i="7"/>
  <c r="CZ211" i="7" s="1"/>
  <c r="DA211" i="7" s="1"/>
  <c r="DB211" i="7" s="1"/>
  <c r="DC211" i="7" s="1"/>
  <c r="CY209" i="7"/>
  <c r="CZ209" i="7" s="1"/>
  <c r="DA209" i="7" s="1"/>
  <c r="DB209" i="7" s="1"/>
  <c r="DC209" i="7" s="1"/>
  <c r="BP85" i="7"/>
  <c r="CN176" i="7"/>
  <c r="BA369" i="2"/>
  <c r="BD385" i="2"/>
  <c r="BC369" i="2"/>
  <c r="BH371" i="2"/>
  <c r="BG371" i="2"/>
  <c r="BF371" i="2"/>
  <c r="BB369" i="2"/>
  <c r="BI387" i="2"/>
  <c r="DC40" i="7"/>
  <c r="DC43" i="7"/>
  <c r="DC49" i="7"/>
  <c r="DC48" i="7"/>
  <c r="DC47" i="7"/>
  <c r="DC46" i="7"/>
  <c r="DC11" i="7"/>
  <c r="DC13" i="7"/>
  <c r="DD13" i="7" s="1"/>
  <c r="DE13" i="7" s="1"/>
  <c r="DF13" i="7" s="1"/>
  <c r="DG13" i="7" s="1"/>
  <c r="DH13" i="7" s="1"/>
  <c r="DC36" i="7"/>
  <c r="DC24" i="7"/>
  <c r="DD24" i="7" s="1"/>
  <c r="DE24" i="7" s="1"/>
  <c r="DF24" i="7" s="1"/>
  <c r="DG24" i="7" s="1"/>
  <c r="DH24" i="7" s="1"/>
  <c r="DC45" i="7"/>
  <c r="DC14" i="7"/>
  <c r="DD14" i="7" s="1"/>
  <c r="DE14" i="7" s="1"/>
  <c r="DF14" i="7" s="1"/>
  <c r="DG14" i="7" s="1"/>
  <c r="DH14" i="7" s="1"/>
  <c r="DC57" i="7"/>
  <c r="DC58" i="7"/>
  <c r="DC21" i="7"/>
  <c r="DC56" i="7"/>
  <c r="DC37" i="7"/>
  <c r="DC54" i="7"/>
  <c r="DC19" i="7"/>
  <c r="BH339" i="2"/>
  <c r="AW80" i="7"/>
  <c r="BI388" i="2"/>
  <c r="DL75" i="2"/>
  <c r="AI369" i="2"/>
  <c r="CU370" i="2"/>
  <c r="CT370" i="2"/>
  <c r="DE93" i="2"/>
  <c r="CS370" i="2"/>
  <c r="DD69" i="2"/>
  <c r="CY538" i="1"/>
  <c r="CY539" i="1" s="1"/>
  <c r="CY540" i="1" s="1"/>
  <c r="CY179" i="39" s="1"/>
  <c r="CR395" i="1"/>
  <c r="BH381" i="2"/>
  <c r="BN344" i="2"/>
  <c r="BJ86" i="2"/>
  <c r="BH379" i="2"/>
  <c r="BI9" i="2"/>
  <c r="BM63" i="2"/>
  <c r="BJ356" i="2"/>
  <c r="BH86" i="2"/>
  <c r="AR55" i="2"/>
  <c r="BH378" i="2"/>
  <c r="BM339" i="2"/>
  <c r="BH356" i="2"/>
  <c r="BL371" i="2"/>
  <c r="BK369" i="2"/>
  <c r="BA29" i="2"/>
  <c r="BN387" i="2"/>
  <c r="BN385" i="2"/>
  <c r="BH29" i="2"/>
  <c r="BA341" i="2"/>
  <c r="BH380" i="2"/>
  <c r="BJ369" i="2"/>
  <c r="BH13" i="2"/>
  <c r="AM55" i="2"/>
  <c r="AX372" i="2"/>
  <c r="AR367" i="2"/>
  <c r="AU372" i="2"/>
  <c r="BX342" i="2"/>
  <c r="BL369" i="2"/>
  <c r="AX371" i="2"/>
  <c r="AV372" i="2"/>
  <c r="BM369" i="2"/>
  <c r="BX344" i="2"/>
  <c r="BM371" i="2"/>
  <c r="DD93" i="2"/>
  <c r="AU371" i="2"/>
  <c r="AY56" i="2"/>
  <c r="AY387" i="2"/>
  <c r="BA150" i="2"/>
  <c r="BJ371" i="2"/>
  <c r="AQ367" i="2"/>
  <c r="AT384" i="2"/>
  <c r="BK371" i="2"/>
  <c r="CM102" i="7"/>
  <c r="BG372" i="2"/>
  <c r="BF372" i="2"/>
  <c r="AJ342" i="2"/>
  <c r="AJ385" i="2"/>
  <c r="AH369" i="2"/>
  <c r="BI46" i="2"/>
  <c r="AF369" i="2"/>
  <c r="AG369" i="2"/>
  <c r="BE372" i="2"/>
  <c r="BI75" i="2"/>
  <c r="AS464" i="1"/>
  <c r="BE116" i="1"/>
  <c r="AZ117" i="1"/>
  <c r="AZ616" i="1"/>
  <c r="AY23" i="1"/>
  <c r="BU74" i="1"/>
  <c r="BI23" i="1"/>
  <c r="BL74" i="1"/>
  <c r="AV70" i="1"/>
  <c r="AV74" i="1"/>
  <c r="AK491" i="1"/>
  <c r="DM102" i="1"/>
  <c r="DR103" i="1" s="1"/>
  <c r="DG11" i="82"/>
  <c r="DK203" i="2"/>
  <c r="DM64" i="2"/>
  <c r="DM203" i="2"/>
  <c r="CY492" i="1"/>
  <c r="CY481" i="1"/>
  <c r="DM136" i="2"/>
  <c r="DM70" i="2"/>
  <c r="DA568" i="1"/>
  <c r="CX121" i="1"/>
  <c r="CX117" i="1"/>
  <c r="DR37" i="1"/>
  <c r="DM118" i="1"/>
  <c r="DM119" i="1" s="1"/>
  <c r="DR100" i="1"/>
  <c r="CZ496" i="1"/>
  <c r="CY497" i="1"/>
  <c r="CZ568" i="1"/>
  <c r="DM87" i="2"/>
  <c r="AR100" i="7"/>
  <c r="BP100" i="7"/>
  <c r="CY577" i="1"/>
  <c r="DK136" i="2"/>
  <c r="DL99" i="82"/>
  <c r="DG281" i="82"/>
  <c r="CY498" i="1"/>
  <c r="CY496" i="1"/>
  <c r="CX116" i="1"/>
  <c r="CX616" i="1"/>
  <c r="DD492" i="1"/>
  <c r="DG119" i="82"/>
  <c r="T296" i="113" s="1"/>
  <c r="T24" i="113"/>
  <c r="T336" i="113" s="1"/>
  <c r="DG181" i="82"/>
  <c r="DG151" i="82"/>
  <c r="DG150" i="82" s="1"/>
  <c r="DL160" i="82" s="1"/>
  <c r="U408" i="113"/>
  <c r="U410" i="113"/>
  <c r="DJ111" i="2"/>
  <c r="DL179" i="82"/>
  <c r="DL51" i="82" s="1"/>
  <c r="U23" i="113"/>
  <c r="U455" i="113" s="1"/>
  <c r="DL180" i="82"/>
  <c r="DL45" i="82"/>
  <c r="DL120" i="82"/>
  <c r="DL122" i="82" s="1"/>
  <c r="U299" i="113" s="1"/>
  <c r="DG172" i="82"/>
  <c r="U409" i="113"/>
  <c r="DD111" i="2"/>
  <c r="DG179" i="82"/>
  <c r="U478" i="113"/>
  <c r="U428" i="113"/>
  <c r="U426" i="113"/>
  <c r="U427" i="113"/>
  <c r="T427" i="113"/>
  <c r="T426" i="113"/>
  <c r="T428" i="113"/>
  <c r="T478" i="113"/>
  <c r="BF389" i="1"/>
  <c r="DM498" i="1"/>
  <c r="CA85" i="7"/>
  <c r="AO100" i="7"/>
  <c r="AJ100" i="7"/>
  <c r="BM26" i="7"/>
  <c r="BF485" i="1"/>
  <c r="BF491" i="1"/>
  <c r="BF80" i="1"/>
  <c r="DM41" i="1"/>
  <c r="DM50" i="1"/>
  <c r="DD325" i="82"/>
  <c r="DD272" i="82" s="1"/>
  <c r="BI125" i="1"/>
  <c r="BK125" i="1"/>
  <c r="BG126" i="1"/>
  <c r="BF126" i="1"/>
  <c r="DA498" i="1"/>
  <c r="CS42" i="1"/>
  <c r="CW498" i="1"/>
  <c r="BF125" i="1"/>
  <c r="CO42" i="1"/>
  <c r="CR498" i="1"/>
  <c r="CQ478" i="1"/>
  <c r="CQ476" i="1"/>
  <c r="AZ568" i="1"/>
  <c r="CF70" i="3"/>
  <c r="CK71" i="3" s="1"/>
  <c r="BE126" i="1"/>
  <c r="DC496" i="1"/>
  <c r="CI73" i="3"/>
  <c r="DA492" i="1"/>
  <c r="DF492" i="1"/>
  <c r="DA497" i="1"/>
  <c r="DA496" i="1"/>
  <c r="DA124" i="1"/>
  <c r="DC126" i="1" s="1"/>
  <c r="CR531" i="1"/>
  <c r="AN397" i="1"/>
  <c r="AN402" i="1" s="1"/>
  <c r="H29" i="113"/>
  <c r="DL11" i="82"/>
  <c r="DF124" i="1"/>
  <c r="AT102" i="7"/>
  <c r="BU100" i="7"/>
  <c r="AD102" i="7"/>
  <c r="E14" i="11"/>
  <c r="F14" i="11"/>
  <c r="D14" i="11"/>
  <c r="H9" i="11"/>
  <c r="G9" i="11"/>
  <c r="K9" i="11"/>
  <c r="J9" i="11"/>
  <c r="BN482" i="1"/>
  <c r="CM434" i="1"/>
  <c r="AN528" i="1"/>
  <c r="AN526" i="1"/>
  <c r="AN538" i="1" s="1"/>
  <c r="BJ125" i="1"/>
  <c r="AZ462" i="1"/>
  <c r="BE125" i="1"/>
  <c r="AP528" i="1"/>
  <c r="DA603" i="1"/>
  <c r="BT46" i="3"/>
  <c r="Q470" i="113"/>
  <c r="Q471" i="113" s="1"/>
  <c r="Q498" i="113" s="1"/>
  <c r="AG29" i="2"/>
  <c r="DL36" i="1"/>
  <c r="DD67" i="1"/>
  <c r="DJ69" i="2"/>
  <c r="DJ93" i="2"/>
  <c r="BF27" i="2"/>
  <c r="DB296" i="82"/>
  <c r="DH218" i="82"/>
  <c r="DM218" i="82"/>
  <c r="DI266" i="82"/>
  <c r="DI309" i="82"/>
  <c r="CI369" i="2"/>
  <c r="H15" i="113"/>
  <c r="AV367" i="2"/>
  <c r="BX343" i="2"/>
  <c r="CJ369" i="2"/>
  <c r="AQ369" i="2"/>
  <c r="AP369" i="2"/>
  <c r="AS381" i="2"/>
  <c r="AT385" i="2"/>
  <c r="AK80" i="7"/>
  <c r="AK83" i="7" s="1"/>
  <c r="AT9" i="2"/>
  <c r="AR369" i="2"/>
  <c r="AS377" i="2"/>
  <c r="BE175" i="2"/>
  <c r="AS13" i="2"/>
  <c r="BI344" i="2"/>
  <c r="AS86" i="2"/>
  <c r="AS379" i="2"/>
  <c r="AS380" i="2"/>
  <c r="AS378" i="2"/>
  <c r="AS339" i="2"/>
  <c r="AA401" i="1"/>
  <c r="AA400" i="1"/>
  <c r="CW531" i="1"/>
  <c r="BI482" i="1"/>
  <c r="DC67" i="1"/>
  <c r="DJ266" i="82"/>
  <c r="DO277" i="82"/>
  <c r="DL298" i="82"/>
  <c r="BZ102" i="7"/>
  <c r="BW102" i="7"/>
  <c r="AX102" i="7"/>
  <c r="CF87" i="7"/>
  <c r="AQ102" i="7"/>
  <c r="CE102" i="7"/>
  <c r="DM189" i="2"/>
  <c r="DB189" i="2"/>
  <c r="DG189" i="2"/>
  <c r="AJ50" i="7"/>
  <c r="BR100" i="7"/>
  <c r="AX26" i="7"/>
  <c r="BD87" i="7"/>
  <c r="V102" i="7"/>
  <c r="BJ168" i="7"/>
  <c r="BJ170" i="7" s="1"/>
  <c r="AY26" i="7"/>
  <c r="BM100" i="7"/>
  <c r="CL85" i="7"/>
  <c r="CD252" i="7"/>
  <c r="CD256" i="7" s="1"/>
  <c r="AA100" i="7"/>
  <c r="AG102" i="7"/>
  <c r="Y100" i="7"/>
  <c r="CJ85" i="7"/>
  <c r="Z100" i="7"/>
  <c r="CS39" i="3"/>
  <c r="CO380" i="82"/>
  <c r="BE105" i="7"/>
  <c r="CQ284" i="82"/>
  <c r="CJ414" i="82"/>
  <c r="CN380" i="82"/>
  <c r="DF297" i="82"/>
  <c r="CV394" i="82"/>
  <c r="CS38" i="3"/>
  <c r="CF81" i="3"/>
  <c r="CJ92" i="3" s="1"/>
  <c r="CV272" i="82"/>
  <c r="CV414" i="82" s="1"/>
  <c r="CF74" i="3"/>
  <c r="AE168" i="7"/>
  <c r="AE170" i="7" s="1"/>
  <c r="AQ170" i="7"/>
  <c r="N74" i="3"/>
  <c r="AO74" i="3"/>
  <c r="AH74" i="3"/>
  <c r="CG71" i="3"/>
  <c r="CJ71" i="3"/>
  <c r="CS103" i="3"/>
  <c r="CT103" i="3"/>
  <c r="CU103" i="3" s="1"/>
  <c r="CV103" i="3" s="1"/>
  <c r="CW103" i="3" s="1"/>
  <c r="CK74" i="3"/>
  <c r="BO32" i="3"/>
  <c r="Y46" i="3"/>
  <c r="AN74" i="3"/>
  <c r="AM105" i="7"/>
  <c r="DH291" i="82"/>
  <c r="CQ380" i="82"/>
  <c r="CH71" i="3"/>
  <c r="CN272" i="82"/>
  <c r="CN284" i="82" s="1"/>
  <c r="AV370" i="2"/>
  <c r="BJ370" i="2"/>
  <c r="AZ371" i="2"/>
  <c r="AX370" i="2"/>
  <c r="BD387" i="2"/>
  <c r="AY386" i="2"/>
  <c r="BN386" i="2"/>
  <c r="BL370" i="2"/>
  <c r="AU370" i="2"/>
  <c r="BM370" i="2"/>
  <c r="BD344" i="2"/>
  <c r="AY343" i="2"/>
  <c r="CL369" i="2"/>
  <c r="AY62" i="2"/>
  <c r="AT62" i="2"/>
  <c r="AS356" i="2"/>
  <c r="CM342" i="2"/>
  <c r="BC371" i="2"/>
  <c r="BB371" i="2"/>
  <c r="BK370" i="2"/>
  <c r="AT383" i="2"/>
  <c r="BF346" i="2"/>
  <c r="BW476" i="1"/>
  <c r="CL104" i="1"/>
  <c r="X168" i="7"/>
  <c r="P23" i="3"/>
  <c r="O73" i="3"/>
  <c r="O21" i="3"/>
  <c r="BE85" i="7"/>
  <c r="BE87" i="7"/>
  <c r="BD384" i="2"/>
  <c r="AZ367" i="2"/>
  <c r="BD340" i="2"/>
  <c r="BA367" i="2"/>
  <c r="BC367" i="2"/>
  <c r="BB367" i="2"/>
  <c r="CV108" i="2"/>
  <c r="CU108" i="2"/>
  <c r="BS85" i="7"/>
  <c r="BS87" i="7"/>
  <c r="BJ32" i="3"/>
  <c r="DI136" i="2"/>
  <c r="AU367" i="2"/>
  <c r="AX367" i="2"/>
  <c r="AY340" i="2"/>
  <c r="AR365" i="2"/>
  <c r="AQ365" i="2"/>
  <c r="AS365" i="2"/>
  <c r="AP365" i="2"/>
  <c r="AT338" i="2"/>
  <c r="I9" i="113"/>
  <c r="DJ136" i="2"/>
  <c r="BF157" i="2"/>
  <c r="AO388" i="2"/>
  <c r="AO345" i="2"/>
  <c r="AK372" i="2"/>
  <c r="AO46" i="2"/>
  <c r="AO75" i="2"/>
  <c r="AL372" i="2"/>
  <c r="AN372" i="2"/>
  <c r="AM372" i="2"/>
  <c r="AV416" i="1"/>
  <c r="AV410" i="1"/>
  <c r="AV412" i="1" s="1"/>
  <c r="AV413" i="1" s="1"/>
  <c r="AO387" i="2"/>
  <c r="AN371" i="2"/>
  <c r="AM371" i="2"/>
  <c r="AO344" i="2"/>
  <c r="AK371" i="2"/>
  <c r="AO386" i="2"/>
  <c r="AK370" i="2"/>
  <c r="AO343" i="2"/>
  <c r="AM370" i="2"/>
  <c r="AT343" i="2"/>
  <c r="AL370" i="2"/>
  <c r="AI32" i="3"/>
  <c r="AK25" i="3"/>
  <c r="AK32" i="3" s="1"/>
  <c r="AD528" i="1"/>
  <c r="AD526" i="1"/>
  <c r="AE526" i="1" s="1"/>
  <c r="CD46" i="3"/>
  <c r="BV485" i="1"/>
  <c r="BV80" i="1"/>
  <c r="CP369" i="2"/>
  <c r="CQ369" i="2"/>
  <c r="CN369" i="2"/>
  <c r="CR342" i="2"/>
  <c r="BO87" i="7"/>
  <c r="BK349" i="2"/>
  <c r="AU85" i="7"/>
  <c r="CO71" i="3"/>
  <c r="AE87" i="7"/>
  <c r="CC85" i="7"/>
  <c r="BN87" i="7"/>
  <c r="AB100" i="7"/>
  <c r="BB100" i="7"/>
  <c r="AK76" i="7"/>
  <c r="CC100" i="7"/>
  <c r="BH85" i="7"/>
  <c r="AP85" i="7"/>
  <c r="CK87" i="7"/>
  <c r="BC85" i="7"/>
  <c r="BY67" i="7"/>
  <c r="AQ104" i="7"/>
  <c r="BT32" i="3"/>
  <c r="CQ406" i="82"/>
  <c r="CV380" i="82"/>
  <c r="BT70" i="3"/>
  <c r="AH166" i="2"/>
  <c r="CS372" i="2"/>
  <c r="BC380" i="2"/>
  <c r="CN328" i="1"/>
  <c r="CS108" i="2"/>
  <c r="CT108" i="2"/>
  <c r="BH102" i="7"/>
  <c r="AL102" i="7"/>
  <c r="BX102" i="7"/>
  <c r="AP76" i="7"/>
  <c r="AH85" i="7"/>
  <c r="AC19" i="3"/>
  <c r="AK18" i="3"/>
  <c r="CN105" i="7"/>
  <c r="DG65" i="1"/>
  <c r="CI42" i="1"/>
  <c r="BC478" i="1"/>
  <c r="X9" i="2"/>
  <c r="CJ42" i="1"/>
  <c r="X383" i="2"/>
  <c r="CK586" i="1"/>
  <c r="CL42" i="1"/>
  <c r="CK42" i="1"/>
  <c r="CY506" i="1"/>
  <c r="CM585" i="1"/>
  <c r="CE465" i="1"/>
  <c r="CO617" i="1"/>
  <c r="BX597" i="1"/>
  <c r="CN604" i="1"/>
  <c r="DE297" i="82"/>
  <c r="AK485" i="1"/>
  <c r="Y355" i="2"/>
  <c r="CS476" i="1"/>
  <c r="CK476" i="1"/>
  <c r="DF291" i="82"/>
  <c r="BK476" i="1"/>
  <c r="BC400" i="1"/>
  <c r="DG526" i="1"/>
  <c r="BC395" i="1"/>
  <c r="AK80" i="1"/>
  <c r="BF88" i="2"/>
  <c r="AG27" i="2"/>
  <c r="P166" i="2"/>
  <c r="CL414" i="82"/>
  <c r="DG190" i="2"/>
  <c r="BF166" i="2"/>
  <c r="AG150" i="2"/>
  <c r="DL189" i="2"/>
  <c r="BF341" i="2"/>
  <c r="AG166" i="2"/>
  <c r="AH88" i="2"/>
  <c r="BF150" i="2"/>
  <c r="CN394" i="82"/>
  <c r="BF65" i="2"/>
  <c r="DL224" i="2"/>
  <c r="DH104" i="1"/>
  <c r="F27" i="2"/>
  <c r="AU381" i="2"/>
  <c r="AQ89" i="7"/>
  <c r="AJ384" i="2"/>
  <c r="AU379" i="2"/>
  <c r="CO321" i="1"/>
  <c r="AM476" i="1"/>
  <c r="CI559" i="1"/>
  <c r="CG465" i="1"/>
  <c r="BL100" i="1"/>
  <c r="BL604" i="1" s="1"/>
  <c r="V10" i="2"/>
  <c r="CJ103" i="1"/>
  <c r="CP476" i="1"/>
  <c r="BH418" i="1"/>
  <c r="CS586" i="1"/>
  <c r="BV586" i="1"/>
  <c r="AL476" i="1"/>
  <c r="CW603" i="1"/>
  <c r="BJ478" i="1"/>
  <c r="AE116" i="1"/>
  <c r="V383" i="2"/>
  <c r="CU620" i="1"/>
  <c r="BK586" i="1"/>
  <c r="CH468" i="1"/>
  <c r="BU472" i="1"/>
  <c r="BL617" i="1"/>
  <c r="AS395" i="1"/>
  <c r="W383" i="2"/>
  <c r="CE71" i="3"/>
  <c r="W355" i="2"/>
  <c r="W9" i="2"/>
  <c r="X85" i="2"/>
  <c r="W85" i="2"/>
  <c r="X355" i="2"/>
  <c r="W10" i="2"/>
  <c r="Q383" i="2"/>
  <c r="CQ394" i="82"/>
  <c r="CP406" i="82"/>
  <c r="AG85" i="7"/>
  <c r="BY70" i="7"/>
  <c r="CB85" i="7"/>
  <c r="AU50" i="7"/>
  <c r="AI100" i="7"/>
  <c r="DH190" i="2"/>
  <c r="DH189" i="2"/>
  <c r="AZ102" i="7"/>
  <c r="CX189" i="2"/>
  <c r="CS34" i="7"/>
  <c r="BE100" i="7"/>
  <c r="AY102" i="7"/>
  <c r="AH100" i="7"/>
  <c r="CI218" i="7"/>
  <c r="J73" i="3"/>
  <c r="W170" i="7"/>
  <c r="K23" i="3"/>
  <c r="CP284" i="82"/>
  <c r="DE284" i="82"/>
  <c r="AS526" i="1"/>
  <c r="AS538" i="1" s="1"/>
  <c r="CS120" i="1"/>
  <c r="CW412" i="1"/>
  <c r="CW413" i="1" s="1"/>
  <c r="Y10" i="2"/>
  <c r="V127" i="1"/>
  <c r="CU497" i="1"/>
  <c r="AD397" i="1"/>
  <c r="AD402" i="1" s="1"/>
  <c r="DD604" i="1"/>
  <c r="BW586" i="1"/>
  <c r="AH62" i="2"/>
  <c r="BU465" i="1"/>
  <c r="AU528" i="1"/>
  <c r="AS527" i="1"/>
  <c r="BC617" i="1"/>
  <c r="Y9" i="2"/>
  <c r="AC383" i="2"/>
  <c r="CT425" i="1"/>
  <c r="AD395" i="1"/>
  <c r="CX604" i="1"/>
  <c r="BC526" i="1"/>
  <c r="BC552" i="1" s="1"/>
  <c r="AB127" i="1"/>
  <c r="AS528" i="1"/>
  <c r="AY69" i="1"/>
  <c r="AY170" i="1" s="1"/>
  <c r="AU425" i="1"/>
  <c r="BN30" i="1"/>
  <c r="CP465" i="1"/>
  <c r="CX506" i="1"/>
  <c r="AD404" i="1"/>
  <c r="AZ28" i="1"/>
  <c r="AV42" i="1"/>
  <c r="BK157" i="2"/>
  <c r="AM341" i="2"/>
  <c r="BC377" i="2"/>
  <c r="U346" i="2"/>
  <c r="CG111" i="2"/>
  <c r="AH150" i="2"/>
  <c r="BJ73" i="2"/>
  <c r="Z346" i="2"/>
  <c r="R9" i="11"/>
  <c r="AP89" i="7"/>
  <c r="Z83" i="7"/>
  <c r="AU82" i="7"/>
  <c r="AU73" i="7" s="1"/>
  <c r="AM104" i="7"/>
  <c r="AA172" i="7"/>
  <c r="CZ219" i="82"/>
  <c r="AM94" i="7"/>
  <c r="AM98" i="7"/>
  <c r="AM82" i="7"/>
  <c r="AM73" i="7" s="1"/>
  <c r="CS380" i="82"/>
  <c r="AM92" i="7"/>
  <c r="AM172" i="7"/>
  <c r="AM91" i="7"/>
  <c r="AM89" i="7"/>
  <c r="S337" i="113"/>
  <c r="BG602" i="1"/>
  <c r="AM96" i="7"/>
  <c r="BG118" i="1"/>
  <c r="BG620" i="1" s="1"/>
  <c r="CS394" i="82"/>
  <c r="Q332" i="113"/>
  <c r="BA82" i="7"/>
  <c r="BA73" i="7" s="1"/>
  <c r="Z331" i="1"/>
  <c r="CZ291" i="82"/>
  <c r="AX89" i="7"/>
  <c r="AY82" i="7"/>
  <c r="AY73" i="7" s="1"/>
  <c r="W496" i="1"/>
  <c r="AX83" i="7"/>
  <c r="CT394" i="82"/>
  <c r="BT332" i="1"/>
  <c r="AE98" i="7"/>
  <c r="AI89" i="7"/>
  <c r="AE91" i="7"/>
  <c r="AP104" i="7"/>
  <c r="AZ83" i="7"/>
  <c r="CL406" i="82"/>
  <c r="BH331" i="1"/>
  <c r="CS272" i="82"/>
  <c r="CS414" i="82" s="1"/>
  <c r="AV96" i="7"/>
  <c r="CW325" i="82"/>
  <c r="CW406" i="82" s="1"/>
  <c r="S118" i="1"/>
  <c r="BG610" i="1"/>
  <c r="AE172" i="7"/>
  <c r="AE96" i="7"/>
  <c r="AD172" i="7"/>
  <c r="AD82" i="7"/>
  <c r="AD73" i="7" s="1"/>
  <c r="R332" i="113"/>
  <c r="Y383" i="2"/>
  <c r="CN81" i="3"/>
  <c r="CL71" i="3"/>
  <c r="DL325" i="82"/>
  <c r="DL406" i="82" s="1"/>
  <c r="AC9" i="2"/>
  <c r="CC71" i="3"/>
  <c r="Y85" i="2"/>
  <c r="DL305" i="82"/>
  <c r="CX380" i="82"/>
  <c r="AD355" i="2"/>
  <c r="CY394" i="82"/>
  <c r="CX297" i="82"/>
  <c r="AI338" i="2"/>
  <c r="AI62" i="2"/>
  <c r="CX394" i="82"/>
  <c r="AX411" i="1"/>
  <c r="AY411" i="1" s="1"/>
  <c r="AG42" i="1"/>
  <c r="CE104" i="1"/>
  <c r="BV42" i="1"/>
  <c r="CG472" i="1"/>
  <c r="BC586" i="1"/>
  <c r="CW118" i="1"/>
  <c r="CS620" i="1"/>
  <c r="CT42" i="1"/>
  <c r="CV476" i="1"/>
  <c r="CF104" i="1"/>
  <c r="CE472" i="1"/>
  <c r="CI389" i="1"/>
  <c r="AF42" i="1"/>
  <c r="CV586" i="1"/>
  <c r="CI401" i="1"/>
  <c r="AX469" i="1"/>
  <c r="CE603" i="1"/>
  <c r="CZ331" i="1"/>
  <c r="CV465" i="1"/>
  <c r="AX577" i="1"/>
  <c r="CW105" i="1"/>
  <c r="CW8" i="2" s="1"/>
  <c r="CV42" i="1"/>
  <c r="AJ69" i="1"/>
  <c r="AJ170" i="1" s="1"/>
  <c r="BW321" i="1"/>
  <c r="AI42" i="1"/>
  <c r="AJ474" i="1"/>
  <c r="AJ375" i="1" s="1"/>
  <c r="CV28" i="1"/>
  <c r="DC297" i="82"/>
  <c r="DF103" i="1"/>
  <c r="AU42" i="1"/>
  <c r="AD62" i="2"/>
  <c r="AC338" i="2"/>
  <c r="AD10" i="2"/>
  <c r="DA104" i="1"/>
  <c r="DA103" i="1"/>
  <c r="CG617" i="1"/>
  <c r="AN91" i="1"/>
  <c r="BW603" i="1"/>
  <c r="DK309" i="1"/>
  <c r="S35" i="1"/>
  <c r="AY585" i="1"/>
  <c r="AF355" i="2"/>
  <c r="DL93" i="1"/>
  <c r="CW400" i="1"/>
  <c r="AH118" i="1"/>
  <c r="AM119" i="1" s="1"/>
  <c r="AI99" i="1"/>
  <c r="AN100" i="1" s="1"/>
  <c r="BJ617" i="1"/>
  <c r="BU586" i="1"/>
  <c r="S102" i="1"/>
  <c r="AY474" i="1"/>
  <c r="AD338" i="2"/>
  <c r="AI115" i="1"/>
  <c r="CK603" i="1"/>
  <c r="CN505" i="1"/>
  <c r="BM603" i="1"/>
  <c r="W478" i="1"/>
  <c r="V81" i="1"/>
  <c r="V485" i="1" s="1"/>
  <c r="V87" i="1" s="1"/>
  <c r="AX42" i="1"/>
  <c r="BV617" i="1"/>
  <c r="CX568" i="1"/>
  <c r="CV604" i="1"/>
  <c r="S467" i="1"/>
  <c r="AD85" i="2"/>
  <c r="AC62" i="2"/>
  <c r="CQ504" i="1"/>
  <c r="CJ104" i="1"/>
  <c r="DF67" i="1"/>
  <c r="AI93" i="1"/>
  <c r="X30" i="1"/>
  <c r="CD478" i="1"/>
  <c r="AC10" i="2"/>
  <c r="AF85" i="2"/>
  <c r="AD383" i="2"/>
  <c r="CN70" i="3"/>
  <c r="DC284" i="82"/>
  <c r="CX136" i="2"/>
  <c r="BT74" i="3"/>
  <c r="S389" i="1"/>
  <c r="CO429" i="1"/>
  <c r="AX395" i="1"/>
  <c r="DB527" i="1"/>
  <c r="DE67" i="1"/>
  <c r="BN598" i="1"/>
  <c r="S383" i="2"/>
  <c r="S379" i="2"/>
  <c r="CT429" i="1"/>
  <c r="DH103" i="1"/>
  <c r="S365" i="2"/>
  <c r="S380" i="2"/>
  <c r="AS410" i="1"/>
  <c r="AS412" i="1" s="1"/>
  <c r="AS413" i="1" s="1"/>
  <c r="X62" i="2"/>
  <c r="CK104" i="1"/>
  <c r="CT121" i="1"/>
  <c r="CU123" i="1" s="1"/>
  <c r="Z321" i="1"/>
  <c r="DF538" i="1"/>
  <c r="DF539" i="1" s="1"/>
  <c r="DF540" i="1" s="1"/>
  <c r="AN107" i="1"/>
  <c r="CI74" i="1"/>
  <c r="CX478" i="1"/>
  <c r="DF542" i="1"/>
  <c r="AN106" i="1"/>
  <c r="DG124" i="1"/>
  <c r="CI485" i="1"/>
  <c r="BV476" i="1"/>
  <c r="AB478" i="1"/>
  <c r="AN389" i="1"/>
  <c r="AP478" i="1"/>
  <c r="X338" i="2"/>
  <c r="S381" i="2"/>
  <c r="BI413" i="1"/>
  <c r="Y81" i="1"/>
  <c r="Y87" i="1" s="1"/>
  <c r="AR476" i="1"/>
  <c r="S10" i="2"/>
  <c r="S366" i="2"/>
  <c r="AC85" i="2"/>
  <c r="S356" i="2"/>
  <c r="CO226" i="82"/>
  <c r="BL478" i="1"/>
  <c r="CU120" i="1"/>
  <c r="CW602" i="1"/>
  <c r="AK70" i="1"/>
  <c r="CS59" i="3"/>
  <c r="CP380" i="82"/>
  <c r="CY291" i="82"/>
  <c r="D16" i="15"/>
  <c r="AA170" i="7"/>
  <c r="CK414" i="82"/>
  <c r="CD168" i="7"/>
  <c r="CX406" i="82"/>
  <c r="CF111" i="2"/>
  <c r="BX75" i="2"/>
  <c r="AC104" i="7"/>
  <c r="BA94" i="7"/>
  <c r="BX345" i="2"/>
  <c r="AE83" i="7"/>
  <c r="AE94" i="7"/>
  <c r="AY91" i="7"/>
  <c r="AY98" i="7"/>
  <c r="AF104" i="7"/>
  <c r="BA91" i="7"/>
  <c r="AX172" i="7"/>
  <c r="AX94" i="7"/>
  <c r="AF83" i="7"/>
  <c r="AF89" i="7"/>
  <c r="AY96" i="7"/>
  <c r="BL73" i="2"/>
  <c r="Z69" i="2"/>
  <c r="AE104" i="7"/>
  <c r="U70" i="1"/>
  <c r="AM65" i="2"/>
  <c r="BL175" i="2"/>
  <c r="AC96" i="7"/>
  <c r="AX104" i="7"/>
  <c r="BA372" i="2"/>
  <c r="BA104" i="7"/>
  <c r="AC98" i="7"/>
  <c r="AF92" i="7"/>
  <c r="AG94" i="7"/>
  <c r="AY89" i="7"/>
  <c r="AZ372" i="2"/>
  <c r="BL157" i="2"/>
  <c r="BK73" i="2"/>
  <c r="AE92" i="7"/>
  <c r="AC89" i="7"/>
  <c r="AE89" i="7"/>
  <c r="AI367" i="2"/>
  <c r="BK175" i="2"/>
  <c r="BU85" i="7"/>
  <c r="CK102" i="7"/>
  <c r="AR53" i="7"/>
  <c r="AR60" i="7" s="1"/>
  <c r="BZ218" i="7"/>
  <c r="BZ234" i="7" s="1"/>
  <c r="BZ235" i="7" s="1"/>
  <c r="CA62" i="7"/>
  <c r="AI62" i="7"/>
  <c r="BV102" i="7"/>
  <c r="BL87" i="7"/>
  <c r="BG100" i="7"/>
  <c r="BU67" i="7"/>
  <c r="BO62" i="7"/>
  <c r="BO63" i="7" s="1"/>
  <c r="BW87" i="7"/>
  <c r="AS50" i="7"/>
  <c r="AP100" i="7"/>
  <c r="BT62" i="7"/>
  <c r="BT63" i="7" s="1"/>
  <c r="DC189" i="2"/>
  <c r="BF102" i="7"/>
  <c r="DL190" i="2"/>
  <c r="P48" i="3"/>
  <c r="DA406" i="82"/>
  <c r="DA272" i="82"/>
  <c r="J32" i="3"/>
  <c r="CU380" i="82"/>
  <c r="T66" i="3"/>
  <c r="T18" i="3" s="1"/>
  <c r="J66" i="3"/>
  <c r="J18" i="3" s="1"/>
  <c r="K18" i="3" s="1"/>
  <c r="CQ291" i="82"/>
  <c r="Z48" i="3"/>
  <c r="CU284" i="82"/>
  <c r="CU291" i="82"/>
  <c r="BQ105" i="7"/>
  <c r="DA380" i="82"/>
  <c r="CK111" i="2"/>
  <c r="J81" i="3"/>
  <c r="CM71" i="3"/>
  <c r="BT81" i="3"/>
  <c r="CM326" i="82"/>
  <c r="CM407" i="82" s="1"/>
  <c r="BT66" i="3"/>
  <c r="O32" i="3"/>
  <c r="DH111" i="2"/>
  <c r="AI105" i="7"/>
  <c r="CD105" i="7"/>
  <c r="CJ111" i="2"/>
  <c r="CP394" i="82"/>
  <c r="CO272" i="82"/>
  <c r="CT284" i="82" s="1"/>
  <c r="Z28" i="3"/>
  <c r="AU32" i="3"/>
  <c r="CO406" i="82"/>
  <c r="CT380" i="82"/>
  <c r="CI111" i="2"/>
  <c r="P28" i="3"/>
  <c r="DA394" i="82"/>
  <c r="CR325" i="82"/>
  <c r="CR406" i="82" s="1"/>
  <c r="CO394" i="82"/>
  <c r="DB204" i="82"/>
  <c r="DL281" i="82"/>
  <c r="DF276" i="82"/>
  <c r="DG218" i="82"/>
  <c r="DJ288" i="82"/>
  <c r="CW585" i="1"/>
  <c r="BW472" i="1"/>
  <c r="CW321" i="1"/>
  <c r="DJ309" i="1"/>
  <c r="R118" i="1"/>
  <c r="W119" i="1" s="1"/>
  <c r="BT617" i="1"/>
  <c r="AB42" i="1"/>
  <c r="BX526" i="1"/>
  <c r="BX533" i="1" s="1"/>
  <c r="BX542" i="1" s="1"/>
  <c r="CK120" i="1"/>
  <c r="AD127" i="1"/>
  <c r="AD133" i="1" s="1"/>
  <c r="BX397" i="1"/>
  <c r="BX402" i="1" s="1"/>
  <c r="AD122" i="1"/>
  <c r="DL91" i="1"/>
  <c r="BU476" i="1"/>
  <c r="CU42" i="1"/>
  <c r="AB9" i="2"/>
  <c r="AB62" i="2"/>
  <c r="BB102" i="1"/>
  <c r="BB603" i="1" s="1"/>
  <c r="AH100" i="1"/>
  <c r="DA67" i="1"/>
  <c r="BK478" i="1"/>
  <c r="AU476" i="1"/>
  <c r="DH309" i="1"/>
  <c r="AG338" i="2"/>
  <c r="BG617" i="1"/>
  <c r="DB598" i="1"/>
  <c r="AU586" i="1"/>
  <c r="BX568" i="1"/>
  <c r="BV121" i="1"/>
  <c r="DH310" i="1"/>
  <c r="R467" i="1"/>
  <c r="CU119" i="1"/>
  <c r="CO103" i="1"/>
  <c r="AP70" i="1"/>
  <c r="BK120" i="1"/>
  <c r="BK617" i="1"/>
  <c r="AB338" i="2"/>
  <c r="BN412" i="1"/>
  <c r="BN413" i="1" s="1"/>
  <c r="DJ310" i="1"/>
  <c r="DI542" i="1"/>
  <c r="R102" i="1"/>
  <c r="BB602" i="1"/>
  <c r="CK121" i="1"/>
  <c r="BU604" i="1"/>
  <c r="DL596" i="1"/>
  <c r="U485" i="1"/>
  <c r="CK620" i="1"/>
  <c r="CD617" i="1"/>
  <c r="CI70" i="1"/>
  <c r="CP103" i="1"/>
  <c r="AM478" i="1"/>
  <c r="AJ462" i="1"/>
  <c r="R36" i="1"/>
  <c r="S34" i="1"/>
  <c r="V62" i="2"/>
  <c r="AB383" i="2"/>
  <c r="AI395" i="1"/>
  <c r="AH391" i="1" s="1"/>
  <c r="AH102" i="1"/>
  <c r="AD394" i="1"/>
  <c r="AD406" i="1" s="1"/>
  <c r="BK121" i="1"/>
  <c r="BN121" i="1" s="1"/>
  <c r="U48" i="113"/>
  <c r="DL115" i="1"/>
  <c r="AF478" i="1"/>
  <c r="CK103" i="1"/>
  <c r="BE610" i="1"/>
  <c r="AC355" i="2"/>
  <c r="BE425" i="1"/>
  <c r="W30" i="1"/>
  <c r="CJ603" i="1"/>
  <c r="AK74" i="1"/>
  <c r="Q9" i="2"/>
  <c r="DH87" i="2"/>
  <c r="AG62" i="2"/>
  <c r="Q365" i="2"/>
  <c r="Z94" i="7"/>
  <c r="Q337" i="113"/>
  <c r="CK372" i="2"/>
  <c r="CZ109" i="2"/>
  <c r="CJ372" i="2"/>
  <c r="AH27" i="2"/>
  <c r="DJ107" i="2"/>
  <c r="BD364" i="2"/>
  <c r="CM75" i="2"/>
  <c r="AR172" i="7"/>
  <c r="CJ370" i="2"/>
  <c r="CY109" i="2"/>
  <c r="DK107" i="2"/>
  <c r="DL391" i="2"/>
  <c r="AF367" i="2"/>
  <c r="AR83" i="7"/>
  <c r="BC99" i="1"/>
  <c r="CZ111" i="2"/>
  <c r="CC391" i="2"/>
  <c r="DA109" i="2"/>
  <c r="CK370" i="2"/>
  <c r="AH29" i="2"/>
  <c r="DH107" i="2"/>
  <c r="AJ377" i="2"/>
  <c r="P22" i="113"/>
  <c r="AH367" i="2"/>
  <c r="AH358" i="2"/>
  <c r="AB104" i="7"/>
  <c r="Z104" i="7"/>
  <c r="CL91" i="2"/>
  <c r="DB200" i="2"/>
  <c r="DI107" i="2"/>
  <c r="CK108" i="2"/>
  <c r="Z92" i="7"/>
  <c r="Z89" i="7"/>
  <c r="CG208" i="2"/>
  <c r="CQ111" i="2"/>
  <c r="DE111" i="2"/>
  <c r="DB199" i="2"/>
  <c r="DL26" i="2"/>
  <c r="AU104" i="7"/>
  <c r="CK357" i="2"/>
  <c r="BV346" i="2"/>
  <c r="CI108" i="2"/>
  <c r="CX18" i="2"/>
  <c r="AN85" i="7"/>
  <c r="CI100" i="7"/>
  <c r="CD100" i="7"/>
  <c r="AY87" i="7"/>
  <c r="CF102" i="7"/>
  <c r="AF85" i="7"/>
  <c r="BJ62" i="7"/>
  <c r="BJ63" i="7" s="1"/>
  <c r="CH102" i="7"/>
  <c r="CM234" i="7"/>
  <c r="CM235" i="7" s="1"/>
  <c r="CG85" i="7"/>
  <c r="BY62" i="7"/>
  <c r="BN102" i="7"/>
  <c r="CL100" i="7"/>
  <c r="BT168" i="7"/>
  <c r="AE28" i="3"/>
  <c r="P13" i="3"/>
  <c r="AC55" i="2"/>
  <c r="O66" i="3"/>
  <c r="O18" i="3" s="1"/>
  <c r="X81" i="3"/>
  <c r="N22" i="113"/>
  <c r="F66" i="3"/>
  <c r="BY168" i="7"/>
  <c r="U16" i="3"/>
  <c r="U113" i="3" s="1"/>
  <c r="V113" i="3" s="1"/>
  <c r="CF208" i="2"/>
  <c r="CZ233" i="82"/>
  <c r="CS204" i="82"/>
  <c r="CX219" i="82" s="1"/>
  <c r="CR504" i="1"/>
  <c r="DL297" i="82"/>
  <c r="CQ212" i="82"/>
  <c r="DM219" i="82"/>
  <c r="BX321" i="1"/>
  <c r="AB123" i="1"/>
  <c r="DM262" i="82"/>
  <c r="DM276" i="82" s="1"/>
  <c r="BU42" i="1"/>
  <c r="BV74" i="1"/>
  <c r="AT402" i="1"/>
  <c r="AN42" i="1"/>
  <c r="CH462" i="1"/>
  <c r="AO474" i="1"/>
  <c r="CS28" i="1"/>
  <c r="AA383" i="2"/>
  <c r="S355" i="2"/>
  <c r="AE8" i="2"/>
  <c r="DL296" i="82"/>
  <c r="CS617" i="1"/>
  <c r="CW23" i="1"/>
  <c r="AA355" i="2"/>
  <c r="S85" i="2"/>
  <c r="DB462" i="1"/>
  <c r="CW511" i="1"/>
  <c r="CT465" i="1"/>
  <c r="BB416" i="1"/>
  <c r="BB417" i="1" s="1"/>
  <c r="DG597" i="1"/>
  <c r="CW93" i="1"/>
  <c r="DB94" i="1" s="1"/>
  <c r="BM617" i="1"/>
  <c r="CT28" i="1"/>
  <c r="AA338" i="2"/>
  <c r="W62" i="2"/>
  <c r="R365" i="2"/>
  <c r="BD321" i="1"/>
  <c r="AT411" i="1"/>
  <c r="AT412" i="1" s="1"/>
  <c r="AT413" i="1" s="1"/>
  <c r="CK119" i="1"/>
  <c r="CL617" i="1"/>
  <c r="BH476" i="1"/>
  <c r="AC478" i="1"/>
  <c r="AO37" i="1"/>
  <c r="DB23" i="1"/>
  <c r="R378" i="2"/>
  <c r="AF62" i="2"/>
  <c r="R10" i="2"/>
  <c r="R383" i="2"/>
  <c r="AO69" i="1"/>
  <c r="AO170" i="1" s="1"/>
  <c r="CU28" i="1"/>
  <c r="AA85" i="2"/>
  <c r="AB85" i="2"/>
  <c r="AA9" i="2"/>
  <c r="CQ67" i="1"/>
  <c r="BV491" i="1"/>
  <c r="AL119" i="1"/>
  <c r="BV389" i="1"/>
  <c r="BV70" i="1"/>
  <c r="AG119" i="1"/>
  <c r="CH616" i="1"/>
  <c r="AK42" i="1"/>
  <c r="AL42" i="1"/>
  <c r="CZ577" i="1"/>
  <c r="CW567" i="1"/>
  <c r="AA62" i="2"/>
  <c r="W338" i="2"/>
  <c r="BG478" i="1"/>
  <c r="CS465" i="1"/>
  <c r="CW462" i="1"/>
  <c r="CU465" i="1"/>
  <c r="CM321" i="1"/>
  <c r="BV401" i="1"/>
  <c r="AS28" i="1"/>
  <c r="DL262" i="82"/>
  <c r="AF338" i="2"/>
  <c r="AB355" i="2"/>
  <c r="AZ92" i="7"/>
  <c r="AQ172" i="7"/>
  <c r="AI104" i="7"/>
  <c r="AZ91" i="7"/>
  <c r="AI172" i="7"/>
  <c r="AQ96" i="7"/>
  <c r="BW69" i="2"/>
  <c r="CI371" i="2"/>
  <c r="BV347" i="2"/>
  <c r="DG47" i="2"/>
  <c r="DC107" i="2"/>
  <c r="CW20" i="2"/>
  <c r="CV372" i="2"/>
  <c r="CL108" i="2"/>
  <c r="CM345" i="2"/>
  <c r="BJ175" i="2"/>
  <c r="AR91" i="7"/>
  <c r="AZ104" i="7"/>
  <c r="AE364" i="2"/>
  <c r="AY104" i="7"/>
  <c r="AI91" i="7"/>
  <c r="AI82" i="7"/>
  <c r="AI73" i="7" s="1"/>
  <c r="AQ98" i="7"/>
  <c r="AR104" i="7"/>
  <c r="AT92" i="7"/>
  <c r="DM332" i="1"/>
  <c r="R337" i="113"/>
  <c r="U491" i="1"/>
  <c r="DB105" i="2"/>
  <c r="BF358" i="2"/>
  <c r="CI372" i="2"/>
  <c r="BU346" i="2"/>
  <c r="DB75" i="2"/>
  <c r="BI364" i="2"/>
  <c r="DB106" i="2"/>
  <c r="CM315" i="82"/>
  <c r="CM412" i="82" s="1"/>
  <c r="BJ349" i="2"/>
  <c r="AP172" i="7"/>
  <c r="AA104" i="7"/>
  <c r="AT98" i="7"/>
  <c r="AA91" i="7"/>
  <c r="AA82" i="7"/>
  <c r="AA73" i="7" s="1"/>
  <c r="AI98" i="7"/>
  <c r="BA172" i="7"/>
  <c r="AT104" i="7"/>
  <c r="AQ94" i="7"/>
  <c r="DA332" i="1"/>
  <c r="U80" i="1"/>
  <c r="DF111" i="2"/>
  <c r="CJ371" i="2"/>
  <c r="R380" i="2"/>
  <c r="CR384" i="1"/>
  <c r="BN338" i="2"/>
  <c r="BU347" i="2"/>
  <c r="CW200" i="2"/>
  <c r="CU372" i="2"/>
  <c r="CT372" i="2"/>
  <c r="BM175" i="2"/>
  <c r="P27" i="2"/>
  <c r="CY233" i="82"/>
  <c r="AT89" i="7"/>
  <c r="AT172" i="7"/>
  <c r="CM384" i="1"/>
  <c r="CM385" i="1" s="1"/>
  <c r="AT83" i="7"/>
  <c r="AQ91" i="7"/>
  <c r="AQ82" i="7"/>
  <c r="AQ73" i="7" s="1"/>
  <c r="AI96" i="7"/>
  <c r="R366" i="2"/>
  <c r="DL68" i="2"/>
  <c r="BA96" i="7"/>
  <c r="CD76" i="7"/>
  <c r="BA98" i="7"/>
  <c r="U325" i="1"/>
  <c r="CY111" i="2"/>
  <c r="R381" i="2"/>
  <c r="CJ108" i="2"/>
  <c r="U378" i="2"/>
  <c r="Z372" i="2"/>
  <c r="DL200" i="2"/>
  <c r="S86" i="2"/>
  <c r="BM157" i="2"/>
  <c r="R389" i="1"/>
  <c r="CM41" i="2"/>
  <c r="BA92" i="7"/>
  <c r="AP94" i="7"/>
  <c r="AV83" i="7"/>
  <c r="CN76" i="7"/>
  <c r="CM383" i="1"/>
  <c r="U81" i="1"/>
  <c r="Z70" i="1"/>
  <c r="DK219" i="82"/>
  <c r="DF107" i="2"/>
  <c r="DD107" i="2"/>
  <c r="DE107" i="2"/>
  <c r="DM233" i="82"/>
  <c r="DA233" i="82"/>
  <c r="DH205" i="82"/>
  <c r="DM205" i="82"/>
  <c r="CR247" i="82"/>
  <c r="DH233" i="82"/>
  <c r="DH219" i="82"/>
  <c r="DL275" i="82"/>
  <c r="CR194" i="82"/>
  <c r="CR239" i="82" s="1"/>
  <c r="DI333" i="1"/>
  <c r="DG296" i="82"/>
  <c r="BM119" i="1"/>
  <c r="BM621" i="1" s="1"/>
  <c r="BV7" i="2"/>
  <c r="CP226" i="82"/>
  <c r="CP212" i="82"/>
  <c r="CX479" i="1"/>
  <c r="BA410" i="1"/>
  <c r="BA412" i="1" s="1"/>
  <c r="BA413" i="1" s="1"/>
  <c r="DA479" i="1"/>
  <c r="CS119" i="1"/>
  <c r="CQ42" i="1"/>
  <c r="DF568" i="1"/>
  <c r="CF70" i="1"/>
  <c r="CQ226" i="82"/>
  <c r="CP515" i="1"/>
  <c r="CV67" i="1"/>
  <c r="DK288" i="82"/>
  <c r="DK266" i="82"/>
  <c r="CJ472" i="1"/>
  <c r="BB423" i="1"/>
  <c r="BB424" i="1" s="1"/>
  <c r="BB425" i="1" s="1"/>
  <c r="CI491" i="1"/>
  <c r="CI7" i="2"/>
  <c r="CO425" i="1"/>
  <c r="CW434" i="1"/>
  <c r="AN527" i="1"/>
  <c r="AG121" i="1"/>
  <c r="AG122" i="1" s="1"/>
  <c r="BC412" i="1"/>
  <c r="BC413" i="1" s="1"/>
  <c r="DM309" i="1"/>
  <c r="BA107" i="1"/>
  <c r="DB577" i="1"/>
  <c r="CL472" i="1"/>
  <c r="BW465" i="1"/>
  <c r="CQ515" i="1"/>
  <c r="CK472" i="1"/>
  <c r="BV465" i="1"/>
  <c r="CM69" i="1"/>
  <c r="CN42" i="1"/>
  <c r="AS423" i="1"/>
  <c r="AS424" i="1" s="1"/>
  <c r="AS425" i="1" s="1"/>
  <c r="AV172" i="7"/>
  <c r="CX392" i="82"/>
  <c r="AG82" i="7"/>
  <c r="AG73" i="7" s="1"/>
  <c r="BJ119" i="1"/>
  <c r="BJ621" i="1" s="1"/>
  <c r="U364" i="2"/>
  <c r="K27" i="2"/>
  <c r="AH104" i="7"/>
  <c r="AU172" i="7"/>
  <c r="AA94" i="7"/>
  <c r="CY205" i="82"/>
  <c r="CP219" i="82"/>
  <c r="CS90" i="2"/>
  <c r="CO107" i="2"/>
  <c r="DG319" i="82"/>
  <c r="DG201" i="82" s="1"/>
  <c r="DG204" i="82" s="1"/>
  <c r="K29" i="2"/>
  <c r="AU92" i="7"/>
  <c r="AD89" i="7"/>
  <c r="AC91" i="7"/>
  <c r="AV89" i="7"/>
  <c r="AB89" i="7"/>
  <c r="AU91" i="7"/>
  <c r="AU89" i="7"/>
  <c r="AH172" i="7"/>
  <c r="BG100" i="1"/>
  <c r="CW46" i="2"/>
  <c r="BM372" i="2"/>
  <c r="BH369" i="2"/>
  <c r="AJ378" i="2"/>
  <c r="CM10" i="2"/>
  <c r="CN105" i="2"/>
  <c r="BC379" i="2"/>
  <c r="BG369" i="2"/>
  <c r="BN26" i="2"/>
  <c r="CL390" i="2"/>
  <c r="CL393" i="2" s="1"/>
  <c r="BT346" i="2"/>
  <c r="AJ379" i="2"/>
  <c r="Z370" i="2"/>
  <c r="T15" i="113"/>
  <c r="AM29" i="2"/>
  <c r="P341" i="2"/>
  <c r="K150" i="2"/>
  <c r="CX21" i="2"/>
  <c r="CY22" i="2"/>
  <c r="CV89" i="2"/>
  <c r="AC92" i="7"/>
  <c r="AJ91" i="7"/>
  <c r="AJ83" i="7"/>
  <c r="AC94" i="7"/>
  <c r="AP92" i="7"/>
  <c r="AG89" i="7"/>
  <c r="AG96" i="7"/>
  <c r="AG98" i="7"/>
  <c r="AD92" i="7"/>
  <c r="AH89" i="7"/>
  <c r="BJ610" i="1"/>
  <c r="BG603" i="1"/>
  <c r="AU380" i="2"/>
  <c r="BF369" i="2"/>
  <c r="BE86" i="2"/>
  <c r="DB108" i="2"/>
  <c r="AJ381" i="2"/>
  <c r="CT390" i="2"/>
  <c r="CT393" i="2" s="1"/>
  <c r="AT364" i="2"/>
  <c r="BD365" i="2"/>
  <c r="BN342" i="2"/>
  <c r="AM150" i="2"/>
  <c r="AH94" i="7"/>
  <c r="AJ104" i="7"/>
  <c r="AU96" i="7"/>
  <c r="AB172" i="7"/>
  <c r="AG104" i="7"/>
  <c r="AJ384" i="1"/>
  <c r="AJ385" i="1" s="1"/>
  <c r="CW383" i="1"/>
  <c r="DF333" i="1"/>
  <c r="CR383" i="1"/>
  <c r="CU90" i="2"/>
  <c r="DC111" i="2"/>
  <c r="AE370" i="2"/>
  <c r="AM358" i="2"/>
  <c r="AU83" i="7"/>
  <c r="AA89" i="7"/>
  <c r="AC82" i="7"/>
  <c r="AC73" i="7" s="1"/>
  <c r="AU98" i="7"/>
  <c r="AB91" i="7"/>
  <c r="AB83" i="7"/>
  <c r="AH92" i="7"/>
  <c r="AA98" i="7"/>
  <c r="AD104" i="7"/>
  <c r="AG91" i="7"/>
  <c r="DJ332" i="1"/>
  <c r="X81" i="1"/>
  <c r="X87" i="1" s="1"/>
  <c r="BC381" i="2"/>
  <c r="AX377" i="2"/>
  <c r="AH366" i="2"/>
  <c r="AG366" i="2"/>
  <c r="AJ372" i="2"/>
  <c r="AU377" i="2"/>
  <c r="AM166" i="2"/>
  <c r="S332" i="113"/>
  <c r="CP111" i="2"/>
  <c r="BE356" i="2"/>
  <c r="BI345" i="2"/>
  <c r="AG83" i="7"/>
  <c r="AV104" i="7"/>
  <c r="AD83" i="7"/>
  <c r="DF136" i="2"/>
  <c r="DL108" i="2"/>
  <c r="BC372" i="2"/>
  <c r="CP105" i="2"/>
  <c r="BB372" i="2"/>
  <c r="CN70" i="2"/>
  <c r="Z369" i="2"/>
  <c r="CO624" i="1"/>
  <c r="CO122" i="1"/>
  <c r="CO123" i="1"/>
  <c r="AE105" i="7"/>
  <c r="CV624" i="1"/>
  <c r="CV122" i="1"/>
  <c r="CV123" i="1"/>
  <c r="CN624" i="1"/>
  <c r="CN122" i="1"/>
  <c r="CN123" i="1"/>
  <c r="BK604" i="1"/>
  <c r="CF624" i="1"/>
  <c r="CF123" i="1"/>
  <c r="CF127" i="1"/>
  <c r="CN389" i="1"/>
  <c r="CN74" i="1"/>
  <c r="CN70" i="1"/>
  <c r="CN560" i="1"/>
  <c r="CN7" i="2"/>
  <c r="CN564" i="1"/>
  <c r="CN562" i="1"/>
  <c r="CO560" i="1"/>
  <c r="CO564" i="1"/>
  <c r="CO562" i="1"/>
  <c r="CO389" i="1"/>
  <c r="CO74" i="1"/>
  <c r="CO70" i="1"/>
  <c r="CO7" i="2"/>
  <c r="CL234" i="7"/>
  <c r="CL235" i="7" s="1"/>
  <c r="S303" i="113"/>
  <c r="DB412" i="82"/>
  <c r="DB295" i="82"/>
  <c r="AL76" i="7"/>
  <c r="V87" i="7"/>
  <c r="AD85" i="7"/>
  <c r="CI50" i="7"/>
  <c r="BY46" i="3"/>
  <c r="AF102" i="7"/>
  <c r="AT62" i="7"/>
  <c r="AV85" i="7"/>
  <c r="S81" i="3"/>
  <c r="S74" i="3"/>
  <c r="CR46" i="3"/>
  <c r="AU102" i="7"/>
  <c r="BV85" i="7"/>
  <c r="AC62" i="7"/>
  <c r="BG85" i="7"/>
  <c r="BX62" i="7"/>
  <c r="AM100" i="7"/>
  <c r="AP62" i="7"/>
  <c r="AX87" i="7"/>
  <c r="F36" i="3"/>
  <c r="F46" i="3" s="1"/>
  <c r="E46" i="3"/>
  <c r="AC100" i="7"/>
  <c r="AM87" i="7"/>
  <c r="AX85" i="7"/>
  <c r="CS346" i="82"/>
  <c r="CN26" i="7"/>
  <c r="K62" i="3"/>
  <c r="K66" i="3" s="1"/>
  <c r="CN227" i="7"/>
  <c r="AV100" i="7"/>
  <c r="BQ87" i="7"/>
  <c r="DJ276" i="82"/>
  <c r="S492" i="113"/>
  <c r="AX50" i="7"/>
  <c r="R492" i="113"/>
  <c r="DQ284" i="82"/>
  <c r="DH276" i="82"/>
  <c r="DG506" i="1"/>
  <c r="CM462" i="1"/>
  <c r="CI465" i="1"/>
  <c r="DC332" i="1"/>
  <c r="DC333" i="1"/>
  <c r="DC331" i="1"/>
  <c r="DD333" i="1"/>
  <c r="CP425" i="1"/>
  <c r="CP429" i="1"/>
  <c r="DB375" i="1"/>
  <c r="CZ479" i="1"/>
  <c r="CR410" i="1"/>
  <c r="BC425" i="1"/>
  <c r="BC429" i="1"/>
  <c r="BW331" i="1"/>
  <c r="BW332" i="1"/>
  <c r="BW333" i="1"/>
  <c r="BI321" i="1"/>
  <c r="CH321" i="1"/>
  <c r="T311" i="113"/>
  <c r="CW530" i="1"/>
  <c r="AZ417" i="1"/>
  <c r="AZ418" i="1" s="1"/>
  <c r="CX533" i="1"/>
  <c r="CY535" i="1" s="1"/>
  <c r="CX548" i="1"/>
  <c r="CX549" i="1" s="1"/>
  <c r="CX538" i="1"/>
  <c r="CX539" i="1" s="1"/>
  <c r="CX540" i="1" s="1"/>
  <c r="CX528" i="1"/>
  <c r="CX432" i="1"/>
  <c r="AR533" i="1"/>
  <c r="AW534" i="1" s="1"/>
  <c r="AW536" i="1" s="1"/>
  <c r="AR548" i="1"/>
  <c r="AR549" i="1" s="1"/>
  <c r="AR550" i="1" s="1"/>
  <c r="AR538" i="1"/>
  <c r="AR432" i="1"/>
  <c r="AR435" i="1" s="1"/>
  <c r="CD624" i="1"/>
  <c r="CD127" i="1"/>
  <c r="CD123" i="1"/>
  <c r="CG620" i="1"/>
  <c r="CG120" i="1"/>
  <c r="CG119" i="1"/>
  <c r="BU617" i="1"/>
  <c r="BG609" i="1"/>
  <c r="BG495" i="1" s="1"/>
  <c r="BC389" i="1"/>
  <c r="BC485" i="1"/>
  <c r="BC70" i="1"/>
  <c r="BC80" i="1"/>
  <c r="BC491" i="1"/>
  <c r="BC74" i="1"/>
  <c r="DL311" i="82"/>
  <c r="DL259" i="82"/>
  <c r="CV311" i="82"/>
  <c r="CV259" i="82"/>
  <c r="CV609" i="1"/>
  <c r="CV495" i="1" s="1"/>
  <c r="CV109" i="1"/>
  <c r="CV108" i="1"/>
  <c r="AE107" i="1"/>
  <c r="BJ485" i="1"/>
  <c r="BJ389" i="1"/>
  <c r="BJ74" i="1"/>
  <c r="BJ80" i="1"/>
  <c r="BJ491" i="1"/>
  <c r="AB380" i="1"/>
  <c r="AB381" i="1" s="1"/>
  <c r="AB375" i="1"/>
  <c r="DC311" i="82"/>
  <c r="DC259" i="82"/>
  <c r="AP432" i="1"/>
  <c r="AP533" i="1"/>
  <c r="AP548" i="1"/>
  <c r="AP538" i="1"/>
  <c r="CF617" i="1"/>
  <c r="BX616" i="1"/>
  <c r="BX116" i="1"/>
  <c r="BK538" i="1"/>
  <c r="BK539" i="1" s="1"/>
  <c r="BK540" i="1" s="1"/>
  <c r="BU179" i="39" s="1"/>
  <c r="BK548" i="1"/>
  <c r="BK549" i="1" s="1"/>
  <c r="BK550" i="1" s="1"/>
  <c r="BK432" i="1"/>
  <c r="BK435" i="1" s="1"/>
  <c r="BK552" i="1"/>
  <c r="BK533" i="1"/>
  <c r="CU538" i="1"/>
  <c r="CU539" i="1" s="1"/>
  <c r="CU179" i="39" s="1"/>
  <c r="CU528" i="1"/>
  <c r="CU432" i="1"/>
  <c r="CU533" i="1"/>
  <c r="CU548" i="1"/>
  <c r="CU549" i="1" s="1"/>
  <c r="CD620" i="1"/>
  <c r="CD120" i="1"/>
  <c r="CD119" i="1"/>
  <c r="CH118" i="1"/>
  <c r="CE617" i="1"/>
  <c r="CD609" i="1"/>
  <c r="CD495" i="1" s="1"/>
  <c r="U107" i="1"/>
  <c r="BT604" i="1"/>
  <c r="CH602" i="1"/>
  <c r="CH100" i="1"/>
  <c r="CH105" i="1"/>
  <c r="CH102" i="1"/>
  <c r="DI597" i="1"/>
  <c r="DI94" i="1"/>
  <c r="DI95" i="1"/>
  <c r="BC597" i="1"/>
  <c r="CO497" i="1"/>
  <c r="CN497" i="1"/>
  <c r="BW478" i="1"/>
  <c r="AC476" i="1"/>
  <c r="AS462" i="1"/>
  <c r="S460" i="1"/>
  <c r="S28" i="1"/>
  <c r="X23" i="1"/>
  <c r="S115" i="1"/>
  <c r="S36" i="1"/>
  <c r="S27" i="1"/>
  <c r="T22" i="1"/>
  <c r="S325" i="1"/>
  <c r="CK609" i="1"/>
  <c r="CK495" i="1" s="1"/>
  <c r="CK108" i="1"/>
  <c r="CK109" i="1"/>
  <c r="CR597" i="1"/>
  <c r="CR94" i="1"/>
  <c r="DM331" i="1"/>
  <c r="CZ620" i="1"/>
  <c r="CZ119" i="1"/>
  <c r="CZ120" i="1"/>
  <c r="BW609" i="1"/>
  <c r="BW495" i="1" s="1"/>
  <c r="CY603" i="1"/>
  <c r="CY104" i="1"/>
  <c r="CY103" i="1"/>
  <c r="BM604" i="1"/>
  <c r="R483" i="1"/>
  <c r="W482" i="1"/>
  <c r="R124" i="1"/>
  <c r="AL478" i="1"/>
  <c r="BD411" i="1"/>
  <c r="BD412" i="1" s="1"/>
  <c r="BD413" i="1" s="1"/>
  <c r="CQ321" i="1"/>
  <c r="CR400" i="1"/>
  <c r="CR402" i="1"/>
  <c r="CR526" i="1"/>
  <c r="AL538" i="1"/>
  <c r="AL539" i="1" s="1"/>
  <c r="AL540" i="1" s="1"/>
  <c r="AL548" i="1"/>
  <c r="AL549" i="1" s="1"/>
  <c r="AL550" i="1" s="1"/>
  <c r="AL533" i="1"/>
  <c r="AM535" i="1" s="1"/>
  <c r="Y325" i="1"/>
  <c r="CM125" i="1"/>
  <c r="DK602" i="1"/>
  <c r="DK102" i="1"/>
  <c r="DK118" i="1"/>
  <c r="DK121" i="1" s="1"/>
  <c r="DK100" i="1"/>
  <c r="DK604" i="1" s="1"/>
  <c r="DF597" i="1"/>
  <c r="DF95" i="1"/>
  <c r="DF94" i="1"/>
  <c r="DH548" i="1"/>
  <c r="DH549" i="1" s="1"/>
  <c r="DH542" i="1"/>
  <c r="DH528" i="1"/>
  <c r="DH552" i="1"/>
  <c r="DH553" i="1" s="1"/>
  <c r="CY542" i="1"/>
  <c r="CY552" i="1"/>
  <c r="BV552" i="1"/>
  <c r="BV533" i="1"/>
  <c r="BV538" i="1"/>
  <c r="BV539" i="1" s="1"/>
  <c r="BV540" i="1" s="1"/>
  <c r="CA179" i="39" s="1"/>
  <c r="BV432" i="1"/>
  <c r="BV548" i="1"/>
  <c r="BV549" i="1" s="1"/>
  <c r="BV550" i="1" s="1"/>
  <c r="BM624" i="1"/>
  <c r="BM127" i="1"/>
  <c r="AY76" i="3" s="1"/>
  <c r="BM123" i="1"/>
  <c r="DD616" i="1"/>
  <c r="DD116" i="1"/>
  <c r="DD117" i="1"/>
  <c r="DD121" i="1"/>
  <c r="BH609" i="1"/>
  <c r="BH495" i="1" s="1"/>
  <c r="DB602" i="1"/>
  <c r="DB105" i="1"/>
  <c r="DB102" i="1"/>
  <c r="DB118" i="1"/>
  <c r="DB121" i="1" s="1"/>
  <c r="DB100" i="1"/>
  <c r="CW577" i="1"/>
  <c r="BG485" i="1"/>
  <c r="BG80" i="1"/>
  <c r="BG491" i="1"/>
  <c r="BG389" i="1"/>
  <c r="BG74" i="1"/>
  <c r="BG70" i="1"/>
  <c r="BE620" i="1"/>
  <c r="BE119" i="1"/>
  <c r="CZ311" i="82"/>
  <c r="CZ259" i="82"/>
  <c r="BU70" i="1"/>
  <c r="AA476" i="1"/>
  <c r="DJ603" i="1"/>
  <c r="DJ103" i="1"/>
  <c r="DJ104" i="1"/>
  <c r="CX577" i="1"/>
  <c r="CV407" i="82"/>
  <c r="CV395" i="82"/>
  <c r="CV381" i="82"/>
  <c r="CV264" i="82"/>
  <c r="CW481" i="1"/>
  <c r="CS484" i="1" s="1"/>
  <c r="CS483" i="1"/>
  <c r="CS482" i="1"/>
  <c r="CS124" i="1"/>
  <c r="CS127" i="1" s="1"/>
  <c r="BU76" i="3" s="1"/>
  <c r="AI375" i="1"/>
  <c r="AI380" i="1"/>
  <c r="AI381" i="1" s="1"/>
  <c r="DC211" i="2"/>
  <c r="DC210" i="2"/>
  <c r="BB476" i="1"/>
  <c r="BB586" i="1"/>
  <c r="CL586" i="1"/>
  <c r="CL476" i="1"/>
  <c r="BM42" i="1"/>
  <c r="CT207" i="2"/>
  <c r="CT208" i="2"/>
  <c r="DJ306" i="82"/>
  <c r="CF581" i="1"/>
  <c r="CF583" i="1" s="1"/>
  <c r="CF605" i="1" s="1"/>
  <c r="CF580" i="1"/>
  <c r="AG476" i="1"/>
  <c r="DI210" i="2"/>
  <c r="DI211" i="2"/>
  <c r="CE478" i="1"/>
  <c r="DL206" i="2"/>
  <c r="DH207" i="2"/>
  <c r="DH208" i="2"/>
  <c r="BA568" i="1"/>
  <c r="BA462" i="1"/>
  <c r="CQ381" i="82"/>
  <c r="CQ407" i="82"/>
  <c r="CQ395" i="82"/>
  <c r="CQ264" i="82"/>
  <c r="CU586" i="1"/>
  <c r="CU476" i="1"/>
  <c r="DB209" i="2"/>
  <c r="CX407" i="82"/>
  <c r="CX395" i="82"/>
  <c r="CX264" i="82"/>
  <c r="CX263" i="82" s="1"/>
  <c r="CX266" i="82" s="1"/>
  <c r="CX381" i="82"/>
  <c r="CS331" i="1"/>
  <c r="CS332" i="1"/>
  <c r="CS333" i="1"/>
  <c r="AC331" i="1"/>
  <c r="AC332" i="1"/>
  <c r="AC333" i="1"/>
  <c r="CO90" i="2"/>
  <c r="CO67" i="2"/>
  <c r="BN384" i="2"/>
  <c r="BN377" i="2"/>
  <c r="BS340" i="2"/>
  <c r="CH371" i="2"/>
  <c r="BW347" i="2"/>
  <c r="AV15" i="3"/>
  <c r="BN56" i="2"/>
  <c r="AT387" i="2"/>
  <c r="AT344" i="2"/>
  <c r="BC370" i="2"/>
  <c r="DI70" i="2"/>
  <c r="DI64" i="2"/>
  <c r="DI87" i="2"/>
  <c r="AA92" i="7"/>
  <c r="AA83" i="7"/>
  <c r="T22" i="113"/>
  <c r="DG326" i="82"/>
  <c r="DG74" i="2"/>
  <c r="DD205" i="82"/>
  <c r="DD219" i="82"/>
  <c r="DD233" i="82"/>
  <c r="CI333" i="1"/>
  <c r="DK306" i="82"/>
  <c r="DO52" i="2"/>
  <c r="K17" i="113"/>
  <c r="AX331" i="1"/>
  <c r="AX332" i="1"/>
  <c r="AP333" i="1"/>
  <c r="AP331" i="1"/>
  <c r="AP332" i="1"/>
  <c r="AJ365" i="2"/>
  <c r="H10" i="113"/>
  <c r="H28" i="113"/>
  <c r="BT347" i="2"/>
  <c r="AY75" i="2"/>
  <c r="AY344" i="2"/>
  <c r="AE371" i="2"/>
  <c r="AJ370" i="2"/>
  <c r="BL358" i="2"/>
  <c r="BL88" i="2"/>
  <c r="BL341" i="2"/>
  <c r="BL166" i="2"/>
  <c r="BL150" i="2"/>
  <c r="BL65" i="2"/>
  <c r="BL27" i="2"/>
  <c r="AJ364" i="2"/>
  <c r="DI111" i="2"/>
  <c r="CU371" i="2"/>
  <c r="AP371" i="2"/>
  <c r="CN370" i="2"/>
  <c r="BK358" i="2"/>
  <c r="BK88" i="2"/>
  <c r="BK65" i="2"/>
  <c r="BK341" i="2"/>
  <c r="BK166" i="2"/>
  <c r="BK150" i="2"/>
  <c r="BK27" i="2"/>
  <c r="CE208" i="2"/>
  <c r="U476" i="113"/>
  <c r="BB93" i="2"/>
  <c r="AM331" i="1"/>
  <c r="AM332" i="1"/>
  <c r="AM333" i="1"/>
  <c r="U381" i="2"/>
  <c r="DL105" i="2"/>
  <c r="AZ339" i="2"/>
  <c r="AJ98" i="7"/>
  <c r="AJ82" i="7"/>
  <c r="AJ73" i="7" s="1"/>
  <c r="AJ96" i="7"/>
  <c r="AJ94" i="7"/>
  <c r="K10" i="113"/>
  <c r="CV111" i="2"/>
  <c r="AS93" i="2"/>
  <c r="AS346" i="2"/>
  <c r="AS69" i="2"/>
  <c r="AU608" i="1"/>
  <c r="AU107" i="1"/>
  <c r="AZ106" i="1"/>
  <c r="AX378" i="2"/>
  <c r="Z91" i="7"/>
  <c r="Z98" i="7"/>
  <c r="Z82" i="7"/>
  <c r="Z73" i="7" s="1"/>
  <c r="Z96" i="7"/>
  <c r="BF347" i="2"/>
  <c r="DG12" i="2"/>
  <c r="DK70" i="2"/>
  <c r="BN379" i="2"/>
  <c r="BN380" i="2"/>
  <c r="CI346" i="2"/>
  <c r="CI69" i="2"/>
  <c r="AK88" i="2"/>
  <c r="T169" i="7"/>
  <c r="K11" i="3"/>
  <c r="X55" i="2"/>
  <c r="BZ62" i="7"/>
  <c r="CD26" i="7"/>
  <c r="AM102" i="7"/>
  <c r="CH87" i="7"/>
  <c r="BK62" i="7"/>
  <c r="AQ85" i="7"/>
  <c r="CC62" i="7"/>
  <c r="AB62" i="7"/>
  <c r="BZ71" i="3"/>
  <c r="CD70" i="3"/>
  <c r="AE100" i="7"/>
  <c r="CD50" i="7"/>
  <c r="BY70" i="3"/>
  <c r="CP218" i="7"/>
  <c r="BZ170" i="7"/>
  <c r="BJ81" i="3"/>
  <c r="CH325" i="82"/>
  <c r="BJ74" i="3"/>
  <c r="Z46" i="3"/>
  <c r="CJ234" i="7"/>
  <c r="CJ235" i="7" s="1"/>
  <c r="U100" i="7"/>
  <c r="AF62" i="7"/>
  <c r="CN228" i="82"/>
  <c r="CN214" i="82"/>
  <c r="CN241" i="82"/>
  <c r="CR196" i="82"/>
  <c r="BA26" i="7"/>
  <c r="BS102" i="7"/>
  <c r="AN100" i="7"/>
  <c r="BG87" i="7"/>
  <c r="S297" i="113"/>
  <c r="S299" i="113" s="1"/>
  <c r="CW469" i="1"/>
  <c r="DB469" i="1"/>
  <c r="CS472" i="1"/>
  <c r="BV387" i="1"/>
  <c r="BV386" i="1"/>
  <c r="BW386" i="1"/>
  <c r="BE332" i="1"/>
  <c r="BE333" i="1"/>
  <c r="BF333" i="1"/>
  <c r="BE331" i="1"/>
  <c r="CR416" i="1"/>
  <c r="CV472" i="1"/>
  <c r="CD417" i="1"/>
  <c r="CD418" i="1" s="1"/>
  <c r="CH416" i="1"/>
  <c r="CH417" i="1" s="1"/>
  <c r="BJ331" i="1"/>
  <c r="BJ333" i="1"/>
  <c r="BJ332" i="1"/>
  <c r="DJ542" i="1"/>
  <c r="DJ552" i="1"/>
  <c r="DJ553" i="1" s="1"/>
  <c r="DJ528" i="1"/>
  <c r="AK46" i="3"/>
  <c r="DK276" i="82"/>
  <c r="DA322" i="1"/>
  <c r="DG531" i="1"/>
  <c r="AJ400" i="1"/>
  <c r="BL624" i="1"/>
  <c r="BL127" i="1"/>
  <c r="BT620" i="1"/>
  <c r="BT120" i="1"/>
  <c r="BX118" i="1"/>
  <c r="BT119" i="1"/>
  <c r="BH617" i="1"/>
  <c r="BN597" i="1"/>
  <c r="AU389" i="1"/>
  <c r="AU485" i="1"/>
  <c r="AU70" i="1"/>
  <c r="AU80" i="1"/>
  <c r="AU491" i="1"/>
  <c r="DE528" i="1"/>
  <c r="DE533" i="1"/>
  <c r="DF535" i="1" s="1"/>
  <c r="CN609" i="1"/>
  <c r="CN495" i="1" s="1"/>
  <c r="CN109" i="1"/>
  <c r="CN108" i="1"/>
  <c r="BB485" i="1"/>
  <c r="BB389" i="1"/>
  <c r="BB80" i="1"/>
  <c r="BB491" i="1"/>
  <c r="DF585" i="1"/>
  <c r="DF41" i="1"/>
  <c r="DF107" i="1"/>
  <c r="DF498" i="1"/>
  <c r="DF42" i="1"/>
  <c r="DF37" i="1"/>
  <c r="AO469" i="1"/>
  <c r="U375" i="1"/>
  <c r="BN526" i="1"/>
  <c r="BN533" i="1" s="1"/>
  <c r="BN397" i="1"/>
  <c r="BN402" i="1" s="1"/>
  <c r="BN527" i="1"/>
  <c r="BX527" i="1"/>
  <c r="AC325" i="1"/>
  <c r="BE548" i="1"/>
  <c r="BE538" i="1"/>
  <c r="BI526" i="1"/>
  <c r="BE432" i="1"/>
  <c r="BE552" i="1"/>
  <c r="BE533" i="1"/>
  <c r="AC123" i="1"/>
  <c r="AC122" i="1"/>
  <c r="BL620" i="1"/>
  <c r="BL120" i="1"/>
  <c r="BL609" i="1"/>
  <c r="BL495" i="1" s="1"/>
  <c r="DI603" i="1"/>
  <c r="DI103" i="1"/>
  <c r="DI104" i="1"/>
  <c r="DA597" i="1"/>
  <c r="DA95" i="1"/>
  <c r="DA94" i="1"/>
  <c r="X496" i="1"/>
  <c r="BH478" i="1"/>
  <c r="U476" i="1"/>
  <c r="CT538" i="1"/>
  <c r="CT539" i="1" s="1"/>
  <c r="CT179" i="39" s="1"/>
  <c r="CT528" i="1"/>
  <c r="CT432" i="1"/>
  <c r="CT533" i="1"/>
  <c r="CY534" i="1" s="1"/>
  <c r="CT548" i="1"/>
  <c r="CT549" i="1" s="1"/>
  <c r="CD538" i="1"/>
  <c r="CD432" i="1"/>
  <c r="CD548" i="1"/>
  <c r="CD549" i="1" s="1"/>
  <c r="CD550" i="1" s="1"/>
  <c r="CD533" i="1"/>
  <c r="CD552" i="1"/>
  <c r="DE126" i="1"/>
  <c r="DE125" i="1"/>
  <c r="BK609" i="1"/>
  <c r="BK495" i="1" s="1"/>
  <c r="DG598" i="1"/>
  <c r="BX416" i="1"/>
  <c r="BX417" i="1" s="1"/>
  <c r="BX418" i="1" s="1"/>
  <c r="CE321" i="1"/>
  <c r="AU400" i="1"/>
  <c r="AZ398" i="1"/>
  <c r="AU399" i="1"/>
  <c r="AU398" i="1"/>
  <c r="CG121" i="1"/>
  <c r="CH121" i="1" s="1"/>
  <c r="BJ609" i="1"/>
  <c r="BJ495" i="1" s="1"/>
  <c r="CQ603" i="1"/>
  <c r="CV103" i="1"/>
  <c r="CQ104" i="1"/>
  <c r="CQ103" i="1"/>
  <c r="BE604" i="1"/>
  <c r="CP482" i="1"/>
  <c r="CP483" i="1"/>
  <c r="CP124" i="1"/>
  <c r="DB585" i="1"/>
  <c r="DB37" i="1"/>
  <c r="DB498" i="1"/>
  <c r="DB193" i="82" s="1"/>
  <c r="AM38" i="7"/>
  <c r="AN37" i="7"/>
  <c r="BW538" i="1"/>
  <c r="BW539" i="1" s="1"/>
  <c r="BW540" i="1" s="1"/>
  <c r="CB179" i="39" s="1"/>
  <c r="BW432" i="1"/>
  <c r="BW548" i="1"/>
  <c r="BW549" i="1" s="1"/>
  <c r="BW550" i="1" s="1"/>
  <c r="BW552" i="1"/>
  <c r="BW533" i="1"/>
  <c r="BB548" i="1"/>
  <c r="BB549" i="1" s="1"/>
  <c r="BB550" i="1" s="1"/>
  <c r="BB538" i="1"/>
  <c r="BB539" i="1" s="1"/>
  <c r="BB552" i="1"/>
  <c r="BB432" i="1"/>
  <c r="BB435" i="1" s="1"/>
  <c r="BB533" i="1"/>
  <c r="BB534" i="1" s="1"/>
  <c r="Q325" i="1"/>
  <c r="CY620" i="1"/>
  <c r="CY119" i="1"/>
  <c r="CY120" i="1"/>
  <c r="CQ609" i="1"/>
  <c r="CQ495" i="1" s="1"/>
  <c r="CQ109" i="1"/>
  <c r="CQ108" i="1"/>
  <c r="CX597" i="1"/>
  <c r="CX95" i="1"/>
  <c r="CX94" i="1"/>
  <c r="CQ497" i="1"/>
  <c r="AX37" i="1"/>
  <c r="AE474" i="1"/>
  <c r="AE37" i="1"/>
  <c r="DF311" i="82"/>
  <c r="DF259" i="82"/>
  <c r="BI395" i="1"/>
  <c r="BI397" i="1"/>
  <c r="BI402" i="1" s="1"/>
  <c r="AK533" i="1"/>
  <c r="AK538" i="1"/>
  <c r="X325" i="1"/>
  <c r="BE624" i="1"/>
  <c r="BE127" i="1"/>
  <c r="AQ76" i="3" s="1"/>
  <c r="DA604" i="1"/>
  <c r="AB496" i="1"/>
  <c r="AB492" i="1"/>
  <c r="AD42" i="1"/>
  <c r="BT472" i="1"/>
  <c r="AZ603" i="1"/>
  <c r="BL586" i="1"/>
  <c r="BL476" i="1"/>
  <c r="BI576" i="1"/>
  <c r="BF35" i="1"/>
  <c r="BI467" i="1"/>
  <c r="BI30" i="1"/>
  <c r="BH35" i="1"/>
  <c r="BG35" i="1"/>
  <c r="AF476" i="1"/>
  <c r="DD208" i="2"/>
  <c r="DD207" i="2"/>
  <c r="M22" i="113"/>
  <c r="BT478" i="1"/>
  <c r="BW621" i="1"/>
  <c r="AD476" i="1"/>
  <c r="CG609" i="1"/>
  <c r="CG495" i="1" s="1"/>
  <c r="CG109" i="1"/>
  <c r="BM609" i="1"/>
  <c r="BM495" i="1" s="1"/>
  <c r="AQ485" i="1"/>
  <c r="AQ80" i="1"/>
  <c r="AQ491" i="1"/>
  <c r="AQ401" i="1"/>
  <c r="AQ74" i="1"/>
  <c r="AQ70" i="1"/>
  <c r="CL207" i="2"/>
  <c r="CL208" i="2"/>
  <c r="CH198" i="2"/>
  <c r="CH190" i="2"/>
  <c r="CH187" i="2"/>
  <c r="K22" i="113"/>
  <c r="CO609" i="1"/>
  <c r="CO495" i="1" s="1"/>
  <c r="CO109" i="1"/>
  <c r="CO108" i="1"/>
  <c r="AG485" i="1"/>
  <c r="AG70" i="1"/>
  <c r="AG80" i="1"/>
  <c r="AG74" i="1"/>
  <c r="AG491" i="1"/>
  <c r="DA211" i="2"/>
  <c r="DI306" i="82"/>
  <c r="CF478" i="1"/>
  <c r="CZ208" i="2"/>
  <c r="CZ207" i="2"/>
  <c r="AN70" i="1"/>
  <c r="BD460" i="1"/>
  <c r="BD567" i="1"/>
  <c r="BD23" i="1"/>
  <c r="BD115" i="1"/>
  <c r="BI116" i="1" s="1"/>
  <c r="BD93" i="1"/>
  <c r="BC28" i="1"/>
  <c r="BD36" i="1"/>
  <c r="BB28" i="1"/>
  <c r="CU193" i="82"/>
  <c r="CU500" i="1"/>
  <c r="CU69" i="1"/>
  <c r="CU170" i="1" s="1"/>
  <c r="CU499" i="1"/>
  <c r="CL581" i="1"/>
  <c r="CL583" i="1" s="1"/>
  <c r="CL605" i="1" s="1"/>
  <c r="CL580" i="1"/>
  <c r="DF208" i="2"/>
  <c r="DF207" i="2"/>
  <c r="CS392" i="82"/>
  <c r="CS404" i="82"/>
  <c r="CS265" i="82"/>
  <c r="CW315" i="82"/>
  <c r="DB378" i="82" s="1"/>
  <c r="CS378" i="82"/>
  <c r="BC333" i="1"/>
  <c r="BC331" i="1"/>
  <c r="BC332" i="1"/>
  <c r="CG90" i="2"/>
  <c r="CW384" i="1"/>
  <c r="CW342" i="2"/>
  <c r="CO387" i="1"/>
  <c r="CO386" i="1"/>
  <c r="CO385" i="1"/>
  <c r="CG386" i="1"/>
  <c r="CG387" i="1"/>
  <c r="CG385" i="1"/>
  <c r="BH387" i="1"/>
  <c r="X384" i="2"/>
  <c r="DG315" i="82"/>
  <c r="DF108" i="2"/>
  <c r="DD108" i="2"/>
  <c r="DC108" i="2"/>
  <c r="DG75" i="2"/>
  <c r="BA333" i="1"/>
  <c r="AZ333" i="1"/>
  <c r="AZ331" i="1"/>
  <c r="AZ332" i="1"/>
  <c r="CS68" i="2"/>
  <c r="CS91" i="2"/>
  <c r="CX68" i="2"/>
  <c r="CW23" i="2"/>
  <c r="CV369" i="2"/>
  <c r="DA87" i="2"/>
  <c r="DE331" i="1"/>
  <c r="DE333" i="1"/>
  <c r="DE332" i="1"/>
  <c r="CQ108" i="2"/>
  <c r="CI404" i="82"/>
  <c r="CI412" i="82"/>
  <c r="CV328" i="1"/>
  <c r="F17" i="113"/>
  <c r="AH333" i="1"/>
  <c r="AH331" i="1"/>
  <c r="AH332" i="1"/>
  <c r="CP370" i="2"/>
  <c r="AO378" i="2"/>
  <c r="AO385" i="2"/>
  <c r="AO342" i="2"/>
  <c r="BM166" i="2"/>
  <c r="BM150" i="2"/>
  <c r="BM358" i="2"/>
  <c r="BM88" i="2"/>
  <c r="BM27" i="2"/>
  <c r="BK367" i="2"/>
  <c r="AY92" i="7"/>
  <c r="AY172" i="7"/>
  <c r="AY83" i="7"/>
  <c r="L9" i="113"/>
  <c r="M29" i="113" s="1"/>
  <c r="BI383" i="2"/>
  <c r="BG365" i="2"/>
  <c r="BF365" i="2"/>
  <c r="BE365" i="2"/>
  <c r="BI338" i="2"/>
  <c r="BI62" i="2"/>
  <c r="M10" i="113"/>
  <c r="M28" i="113"/>
  <c r="BH365" i="2"/>
  <c r="CO333" i="1"/>
  <c r="CO331" i="1"/>
  <c r="CO332" i="1"/>
  <c r="CO370" i="2"/>
  <c r="CK392" i="2"/>
  <c r="CK391" i="2"/>
  <c r="CK393" i="2"/>
  <c r="AV341" i="2"/>
  <c r="AV166" i="2"/>
  <c r="AV150" i="2"/>
  <c r="AV29" i="2"/>
  <c r="AV27" i="2"/>
  <c r="AV65" i="2"/>
  <c r="J17" i="113"/>
  <c r="CR46" i="2"/>
  <c r="AT56" i="2"/>
  <c r="CP340" i="2"/>
  <c r="CP357" i="2"/>
  <c r="CP12" i="2"/>
  <c r="AA331" i="1"/>
  <c r="AA332" i="1"/>
  <c r="AA333" i="1"/>
  <c r="AN366" i="2"/>
  <c r="AL347" i="2"/>
  <c r="AL346" i="2"/>
  <c r="AL93" i="2"/>
  <c r="AL69" i="2"/>
  <c r="BJ65" i="2"/>
  <c r="BJ341" i="2"/>
  <c r="BJ166" i="2"/>
  <c r="BJ150" i="2"/>
  <c r="BJ27" i="2"/>
  <c r="AZ356" i="2"/>
  <c r="AK347" i="2"/>
  <c r="AK346" i="2"/>
  <c r="AK93" i="2"/>
  <c r="AK69" i="2"/>
  <c r="CL332" i="1"/>
  <c r="CL333" i="1"/>
  <c r="CL331" i="1"/>
  <c r="AI92" i="7"/>
  <c r="AI83" i="7"/>
  <c r="DC70" i="2"/>
  <c r="CQ340" i="2"/>
  <c r="CN26" i="2"/>
  <c r="BA65" i="2"/>
  <c r="BL349" i="2"/>
  <c r="AT342" i="2"/>
  <c r="AO379" i="2"/>
  <c r="AK341" i="2"/>
  <c r="AD62" i="7"/>
  <c r="AE102" i="7"/>
  <c r="BQ62" i="7"/>
  <c r="BF87" i="7"/>
  <c r="AI85" i="7"/>
  <c r="AI87" i="7"/>
  <c r="AV26" i="7"/>
  <c r="AD105" i="7"/>
  <c r="BV62" i="7"/>
  <c r="AH62" i="7"/>
  <c r="BT67" i="7"/>
  <c r="BT70" i="7"/>
  <c r="CI76" i="7"/>
  <c r="Y73" i="3"/>
  <c r="Y32" i="3"/>
  <c r="Z23" i="3"/>
  <c r="CJ62" i="7"/>
  <c r="AK73" i="3"/>
  <c r="BE32" i="3"/>
  <c r="AE9" i="3"/>
  <c r="AD19" i="3"/>
  <c r="S289" i="113"/>
  <c r="S317" i="113" s="1"/>
  <c r="DB262" i="82"/>
  <c r="CO228" i="82"/>
  <c r="CO214" i="82"/>
  <c r="CO241" i="82"/>
  <c r="BA88" i="7"/>
  <c r="BA85" i="7" s="1"/>
  <c r="AA62" i="7"/>
  <c r="U311" i="113"/>
  <c r="U297" i="113"/>
  <c r="U62" i="3"/>
  <c r="U66" i="3" s="1"/>
  <c r="U18" i="3" s="1"/>
  <c r="CV205" i="82"/>
  <c r="DA220" i="82" s="1"/>
  <c r="CV233" i="82"/>
  <c r="DA219" i="82"/>
  <c r="DB321" i="1"/>
  <c r="CX322" i="1"/>
  <c r="DA514" i="1"/>
  <c r="DA513" i="1"/>
  <c r="Q501" i="113"/>
  <c r="Q492" i="113"/>
  <c r="CY514" i="1"/>
  <c r="CY513" i="1"/>
  <c r="V332" i="1"/>
  <c r="V331" i="1"/>
  <c r="V333" i="1"/>
  <c r="DK552" i="1"/>
  <c r="DK553" i="1" s="1"/>
  <c r="DK528" i="1"/>
  <c r="DK542" i="1"/>
  <c r="CW416" i="1"/>
  <c r="CW417" i="1" s="1"/>
  <c r="CW418" i="1" s="1"/>
  <c r="CS417" i="1"/>
  <c r="CS418" i="1" s="1"/>
  <c r="CR469" i="1"/>
  <c r="CN472" i="1"/>
  <c r="CD412" i="1"/>
  <c r="CD413" i="1" s="1"/>
  <c r="CH410" i="1"/>
  <c r="BJ412" i="1"/>
  <c r="BJ413" i="1" s="1"/>
  <c r="BN410" i="1"/>
  <c r="AO321" i="1"/>
  <c r="AK380" i="1"/>
  <c r="AK381" i="1" s="1"/>
  <c r="BH533" i="1"/>
  <c r="BH548" i="1"/>
  <c r="BH549" i="1" s="1"/>
  <c r="BH550" i="1" s="1"/>
  <c r="BH538" i="1"/>
  <c r="BH552" i="1"/>
  <c r="BH432" i="1"/>
  <c r="BH435" i="1" s="1"/>
  <c r="AF127" i="1"/>
  <c r="R76" i="3" s="1"/>
  <c r="AF122" i="1"/>
  <c r="AF123" i="1"/>
  <c r="BX602" i="1"/>
  <c r="BX102" i="1"/>
  <c r="BX105" i="1"/>
  <c r="BX100" i="1"/>
  <c r="DD597" i="1"/>
  <c r="DD95" i="1"/>
  <c r="DD94" i="1"/>
  <c r="CM598" i="1"/>
  <c r="AM389" i="1"/>
  <c r="AM485" i="1"/>
  <c r="AM74" i="1"/>
  <c r="AM70" i="1"/>
  <c r="AM80" i="1"/>
  <c r="AM491" i="1"/>
  <c r="CU483" i="1"/>
  <c r="CU482" i="1"/>
  <c r="CU124" i="1"/>
  <c r="CZ125" i="1" s="1"/>
  <c r="AM127" i="1"/>
  <c r="DD620" i="1"/>
  <c r="DD120" i="1"/>
  <c r="DD119" i="1"/>
  <c r="CF609" i="1"/>
  <c r="CF495" i="1" s="1"/>
  <c r="CF109" i="1"/>
  <c r="DC603" i="1"/>
  <c r="DC104" i="1"/>
  <c r="DC103" i="1"/>
  <c r="AL485" i="1"/>
  <c r="AL401" i="1"/>
  <c r="AL74" i="1"/>
  <c r="AL70" i="1"/>
  <c r="AL80" i="1"/>
  <c r="AL491" i="1"/>
  <c r="DO44" i="1"/>
  <c r="CX585" i="1"/>
  <c r="CX42" i="1"/>
  <c r="CX107" i="1"/>
  <c r="CX41" i="1"/>
  <c r="CX37" i="1"/>
  <c r="DD528" i="1"/>
  <c r="DD533" i="1"/>
  <c r="AH399" i="1"/>
  <c r="AH400" i="1"/>
  <c r="DI616" i="1"/>
  <c r="DI121" i="1"/>
  <c r="DI117" i="1"/>
  <c r="DI116" i="1"/>
  <c r="DI617" i="1" s="1"/>
  <c r="DB526" i="1"/>
  <c r="AG398" i="1"/>
  <c r="AG400" i="1"/>
  <c r="AG399" i="1"/>
  <c r="AF120" i="1"/>
  <c r="AF119" i="1"/>
  <c r="AX478" i="1"/>
  <c r="DA577" i="1"/>
  <c r="DQ311" i="82"/>
  <c r="DQ259" i="82"/>
  <c r="CS311" i="82"/>
  <c r="CS259" i="82"/>
  <c r="BC609" i="1"/>
  <c r="BC495" i="1" s="1"/>
  <c r="BI598" i="1"/>
  <c r="T481" i="1"/>
  <c r="S483" i="1"/>
  <c r="S124" i="1"/>
  <c r="X482" i="1"/>
  <c r="CZ538" i="1"/>
  <c r="CZ539" i="1" s="1"/>
  <c r="CZ540" i="1" s="1"/>
  <c r="CZ179" i="39" s="1"/>
  <c r="CZ180" i="39" s="1"/>
  <c r="CZ528" i="1"/>
  <c r="CZ533" i="1"/>
  <c r="DK303" i="1"/>
  <c r="R325" i="1"/>
  <c r="BT121" i="1"/>
  <c r="BB609" i="1"/>
  <c r="BB495" i="1" s="1"/>
  <c r="CI603" i="1"/>
  <c r="CN103" i="1"/>
  <c r="CI104" i="1"/>
  <c r="CI103" i="1"/>
  <c r="CT478" i="1"/>
  <c r="CY311" i="82"/>
  <c r="CY259" i="82"/>
  <c r="AL50" i="7"/>
  <c r="CO515" i="1"/>
  <c r="CR513" i="1"/>
  <c r="CO465" i="1"/>
  <c r="AL398" i="1"/>
  <c r="AL400" i="1"/>
  <c r="AL399" i="1"/>
  <c r="CQ620" i="1"/>
  <c r="CQ119" i="1"/>
  <c r="CQ120" i="1"/>
  <c r="CI609" i="1"/>
  <c r="CI495" i="1" s="1"/>
  <c r="CI108" i="1"/>
  <c r="CI109" i="1"/>
  <c r="CH597" i="1"/>
  <c r="AC492" i="1"/>
  <c r="AC496" i="1"/>
  <c r="AP476" i="1"/>
  <c r="CK478" i="1"/>
  <c r="W375" i="1"/>
  <c r="W380" i="1"/>
  <c r="W381" i="1" s="1"/>
  <c r="AT467" i="1"/>
  <c r="AR35" i="1"/>
  <c r="AP35" i="1"/>
  <c r="AS35" i="1"/>
  <c r="AT30" i="1"/>
  <c r="AQ35" i="1"/>
  <c r="CV515" i="1"/>
  <c r="DM302" i="1"/>
  <c r="DM120" i="39" s="1"/>
  <c r="DL302" i="1"/>
  <c r="DL120" i="39" s="1"/>
  <c r="DL121" i="39" s="1"/>
  <c r="AB401" i="1"/>
  <c r="AB399" i="1"/>
  <c r="AB400" i="1"/>
  <c r="CS604" i="1"/>
  <c r="CD389" i="1"/>
  <c r="CD74" i="1"/>
  <c r="CD491" i="1"/>
  <c r="CD70" i="1"/>
  <c r="CD560" i="1"/>
  <c r="CD485" i="1"/>
  <c r="CD7" i="2"/>
  <c r="BE462" i="1"/>
  <c r="BE568" i="1"/>
  <c r="DM311" i="82"/>
  <c r="DM259" i="82"/>
  <c r="CF321" i="1"/>
  <c r="DL97" i="1"/>
  <c r="BE469" i="1"/>
  <c r="BE577" i="1"/>
  <c r="DM116" i="1"/>
  <c r="DM117" i="1"/>
  <c r="DM306" i="82"/>
  <c r="AJ402" i="1"/>
  <c r="DC577" i="1"/>
  <c r="AZ620" i="1"/>
  <c r="AZ120" i="1"/>
  <c r="CV208" i="2"/>
  <c r="CV207" i="2"/>
  <c r="CR326" i="82"/>
  <c r="CN407" i="82"/>
  <c r="CN395" i="82"/>
  <c r="CN381" i="82"/>
  <c r="CN264" i="82"/>
  <c r="BJ624" i="1"/>
  <c r="BJ127" i="1"/>
  <c r="AV76" i="3" s="1"/>
  <c r="BJ122" i="1"/>
  <c r="CV497" i="1"/>
  <c r="CT497" i="1"/>
  <c r="CW492" i="1"/>
  <c r="DB492" i="1"/>
  <c r="BT586" i="1"/>
  <c r="BT476" i="1"/>
  <c r="AI478" i="1"/>
  <c r="BW624" i="1"/>
  <c r="BW127" i="1"/>
  <c r="BD76" i="3" s="1"/>
  <c r="BW122" i="1"/>
  <c r="DE585" i="1"/>
  <c r="DE107" i="1"/>
  <c r="DE498" i="1"/>
  <c r="DE42" i="1"/>
  <c r="DE37" i="1"/>
  <c r="DE41" i="1"/>
  <c r="AQ478" i="1"/>
  <c r="Y375" i="1"/>
  <c r="Y380" i="1"/>
  <c r="Y381" i="1" s="1"/>
  <c r="DE577" i="1"/>
  <c r="CH206" i="2"/>
  <c r="S22" i="113"/>
  <c r="DB326" i="82"/>
  <c r="DB74" i="2"/>
  <c r="DC585" i="1"/>
  <c r="DC107" i="1"/>
  <c r="DC498" i="1"/>
  <c r="DC41" i="1"/>
  <c r="DC37" i="1"/>
  <c r="DC42" i="1"/>
  <c r="CF559" i="1"/>
  <c r="DI207" i="2"/>
  <c r="DI208" i="2"/>
  <c r="AX610" i="1"/>
  <c r="CJ207" i="2"/>
  <c r="CJ208" i="2"/>
  <c r="DH306" i="82"/>
  <c r="CM597" i="1"/>
  <c r="CM94" i="1"/>
  <c r="AE469" i="1"/>
  <c r="BA464" i="1"/>
  <c r="DJ311" i="82"/>
  <c r="DJ259" i="82"/>
  <c r="CI269" i="7"/>
  <c r="CU609" i="1"/>
  <c r="CU495" i="1" s="1"/>
  <c r="CU109" i="1"/>
  <c r="CU108" i="1"/>
  <c r="BH70" i="1"/>
  <c r="CX208" i="2"/>
  <c r="DB206" i="2"/>
  <c r="CX207" i="2"/>
  <c r="CP407" i="82"/>
  <c r="CP395" i="82"/>
  <c r="CP381" i="82"/>
  <c r="CP264" i="82"/>
  <c r="AZ166" i="2"/>
  <c r="AZ150" i="2"/>
  <c r="AZ27" i="2"/>
  <c r="AZ29" i="2"/>
  <c r="BF392" i="2"/>
  <c r="BF393" i="2"/>
  <c r="BG69" i="2"/>
  <c r="BG347" i="2"/>
  <c r="BG93" i="2"/>
  <c r="BG346" i="2"/>
  <c r="CR75" i="2"/>
  <c r="CR345" i="2"/>
  <c r="CK68" i="2"/>
  <c r="CK91" i="2"/>
  <c r="BM367" i="2"/>
  <c r="DE265" i="82"/>
  <c r="BL366" i="2"/>
  <c r="DG198" i="2"/>
  <c r="DA111" i="2"/>
  <c r="CP372" i="2"/>
  <c r="AJ371" i="2"/>
  <c r="CH370" i="2"/>
  <c r="BT392" i="2"/>
  <c r="BM391" i="2"/>
  <c r="BT393" i="2"/>
  <c r="BE65" i="2"/>
  <c r="BE341" i="2"/>
  <c r="BE166" i="2"/>
  <c r="BE150" i="2"/>
  <c r="BE27" i="2"/>
  <c r="AM366" i="2"/>
  <c r="BJ366" i="2"/>
  <c r="CW345" i="2"/>
  <c r="CO378" i="82"/>
  <c r="CO404" i="82"/>
  <c r="CO392" i="82"/>
  <c r="CO265" i="82"/>
  <c r="CN371" i="2"/>
  <c r="CS67" i="2"/>
  <c r="U369" i="2"/>
  <c r="AN341" i="2"/>
  <c r="AN88" i="2"/>
  <c r="AN166" i="2"/>
  <c r="AN150" i="2"/>
  <c r="AN358" i="2"/>
  <c r="AN65" i="2"/>
  <c r="AN29" i="2"/>
  <c r="AN27" i="2"/>
  <c r="AP358" i="2"/>
  <c r="AK366" i="2"/>
  <c r="BW15" i="3"/>
  <c r="CU209" i="2"/>
  <c r="CM343" i="2"/>
  <c r="BB358" i="2"/>
  <c r="BB88" i="2"/>
  <c r="BB166" i="2"/>
  <c r="BB150" i="2"/>
  <c r="BB29" i="2"/>
  <c r="BB27" i="2"/>
  <c r="AP91" i="7"/>
  <c r="AP98" i="7"/>
  <c r="AP82" i="7"/>
  <c r="AP73" i="7" s="1"/>
  <c r="AP96" i="7"/>
  <c r="E40" i="11"/>
  <c r="AJ389" i="1"/>
  <c r="AJ13" i="2"/>
  <c r="CL412" i="82"/>
  <c r="CL404" i="82"/>
  <c r="CX359" i="2"/>
  <c r="CX342" i="2"/>
  <c r="CP386" i="1"/>
  <c r="CP385" i="1"/>
  <c r="CP387" i="1"/>
  <c r="CE87" i="2"/>
  <c r="CE11" i="2"/>
  <c r="AV94" i="7"/>
  <c r="AV91" i="7"/>
  <c r="AV98" i="7"/>
  <c r="AV82" i="7"/>
  <c r="AV73" i="7" s="1"/>
  <c r="DA203" i="2"/>
  <c r="D28" i="113"/>
  <c r="D10" i="113"/>
  <c r="AO365" i="2"/>
  <c r="CN107" i="2"/>
  <c r="BH63" i="2"/>
  <c r="CK328" i="1"/>
  <c r="CS328" i="1"/>
  <c r="BA88" i="2"/>
  <c r="CQ105" i="2"/>
  <c r="BO67" i="7"/>
  <c r="BO70" i="7"/>
  <c r="U35" i="3"/>
  <c r="T46" i="3"/>
  <c r="Q11" i="11"/>
  <c r="CI71" i="7"/>
  <c r="CI70" i="7"/>
  <c r="CI67" i="7"/>
  <c r="AO168" i="7"/>
  <c r="AO170" i="7" s="1"/>
  <c r="AJ81" i="3"/>
  <c r="CK234" i="7"/>
  <c r="CK235" i="7" s="1"/>
  <c r="BI85" i="7"/>
  <c r="W62" i="7"/>
  <c r="BR62" i="7"/>
  <c r="CA218" i="7"/>
  <c r="CB208" i="7"/>
  <c r="W102" i="7"/>
  <c r="BI87" i="7"/>
  <c r="BR87" i="7"/>
  <c r="AA85" i="7"/>
  <c r="BP62" i="7"/>
  <c r="BU170" i="7"/>
  <c r="CB102" i="7"/>
  <c r="CO87" i="7"/>
  <c r="AQ76" i="7"/>
  <c r="BT100" i="7"/>
  <c r="CE170" i="7"/>
  <c r="R11" i="11"/>
  <c r="CN71" i="7"/>
  <c r="CN67" i="7"/>
  <c r="CN70" i="7"/>
  <c r="BU62" i="7"/>
  <c r="AD46" i="3"/>
  <c r="AE38" i="3"/>
  <c r="BZ85" i="7"/>
  <c r="X62" i="7"/>
  <c r="AZ26" i="7"/>
  <c r="P11" i="11"/>
  <c r="CD70" i="7"/>
  <c r="CD71" i="7"/>
  <c r="CD67" i="7"/>
  <c r="U48" i="3"/>
  <c r="P44" i="3"/>
  <c r="BY100" i="7"/>
  <c r="DM266" i="82"/>
  <c r="DM288" i="82"/>
  <c r="T492" i="113"/>
  <c r="BA102" i="7"/>
  <c r="X100" i="7"/>
  <c r="CM85" i="7"/>
  <c r="CM62" i="7"/>
  <c r="AF18" i="3"/>
  <c r="CS12" i="7"/>
  <c r="AP81" i="3"/>
  <c r="BT102" i="7"/>
  <c r="AF59" i="3"/>
  <c r="AF66" i="3" s="1"/>
  <c r="DF513" i="1"/>
  <c r="DG511" i="1"/>
  <c r="AP412" i="1"/>
  <c r="AP413" i="1" s="1"/>
  <c r="CU472" i="1"/>
  <c r="BV331" i="1"/>
  <c r="BV332" i="1"/>
  <c r="BV333" i="1"/>
  <c r="CR321" i="1"/>
  <c r="CP533" i="1"/>
  <c r="CP548" i="1"/>
  <c r="CP549" i="1" s="1"/>
  <c r="CP552" i="1"/>
  <c r="CP538" i="1"/>
  <c r="CP528" i="1"/>
  <c r="CP432" i="1"/>
  <c r="X127" i="1"/>
  <c r="X123" i="1"/>
  <c r="DK67" i="1"/>
  <c r="DJ67" i="1"/>
  <c r="DH67" i="1"/>
  <c r="DL124" i="1"/>
  <c r="DL65" i="1"/>
  <c r="AR478" i="1"/>
  <c r="BX413" i="1"/>
  <c r="DB301" i="1"/>
  <c r="CO533" i="1"/>
  <c r="CO548" i="1"/>
  <c r="CO549" i="1" s="1"/>
  <c r="CO552" i="1"/>
  <c r="CO432" i="1"/>
  <c r="CO538" i="1"/>
  <c r="CO528" i="1"/>
  <c r="BT548" i="1"/>
  <c r="BT549" i="1" s="1"/>
  <c r="BT550" i="1" s="1"/>
  <c r="BT552" i="1"/>
  <c r="BT533" i="1"/>
  <c r="BT432" i="1"/>
  <c r="BT538" i="1"/>
  <c r="DH125" i="1"/>
  <c r="W127" i="1"/>
  <c r="I76" i="3" s="1"/>
  <c r="W123" i="1"/>
  <c r="CV620" i="1"/>
  <c r="CV120" i="1"/>
  <c r="CV119" i="1"/>
  <c r="BF609" i="1"/>
  <c r="BF495" i="1" s="1"/>
  <c r="CR602" i="1"/>
  <c r="CR100" i="1"/>
  <c r="CR102" i="1"/>
  <c r="AD485" i="1"/>
  <c r="AD74" i="1"/>
  <c r="AD70" i="1"/>
  <c r="AD80" i="1"/>
  <c r="AD491" i="1"/>
  <c r="CP478" i="1"/>
  <c r="AE462" i="1"/>
  <c r="CU311" i="82"/>
  <c r="CU259" i="82"/>
  <c r="CX398" i="1"/>
  <c r="CX400" i="1"/>
  <c r="CX399" i="1"/>
  <c r="BF432" i="1"/>
  <c r="BF435" i="1" s="1"/>
  <c r="BF552" i="1"/>
  <c r="BF533" i="1"/>
  <c r="BF548" i="1"/>
  <c r="BF549" i="1" s="1"/>
  <c r="BF550" i="1" s="1"/>
  <c r="BF538" i="1"/>
  <c r="BF539" i="1" s="1"/>
  <c r="BF540" i="1" s="1"/>
  <c r="DA616" i="1"/>
  <c r="DA121" i="1"/>
  <c r="DA116" i="1"/>
  <c r="DA117" i="1"/>
  <c r="T85" i="113"/>
  <c r="DG602" i="1"/>
  <c r="DG105" i="1"/>
  <c r="DG100" i="1"/>
  <c r="DG102" i="1"/>
  <c r="DG118" i="1"/>
  <c r="DG121" i="1" s="1"/>
  <c r="CE538" i="1"/>
  <c r="CE539" i="1" s="1"/>
  <c r="CE540" i="1" s="1"/>
  <c r="CE179" i="39" s="1"/>
  <c r="CE432" i="1"/>
  <c r="CE548" i="1"/>
  <c r="CE549" i="1" s="1"/>
  <c r="CE550" i="1" s="1"/>
  <c r="CE533" i="1"/>
  <c r="CE552" i="1"/>
  <c r="AB396" i="1"/>
  <c r="AB325" i="1"/>
  <c r="DH616" i="1"/>
  <c r="DH121" i="1"/>
  <c r="DH117" i="1"/>
  <c r="DH116" i="1"/>
  <c r="DH617" i="1" s="1"/>
  <c r="AV609" i="1"/>
  <c r="DI67" i="1"/>
  <c r="AN478" i="1"/>
  <c r="DD107" i="1"/>
  <c r="DD498" i="1"/>
  <c r="DD42" i="1"/>
  <c r="DD41" i="1"/>
  <c r="DD37" i="1"/>
  <c r="DD585" i="1"/>
  <c r="DI309" i="1"/>
  <c r="CZ603" i="1"/>
  <c r="CZ104" i="1"/>
  <c r="CZ103" i="1"/>
  <c r="DK304" i="1"/>
  <c r="DD125" i="1"/>
  <c r="DD126" i="1"/>
  <c r="BV603" i="1"/>
  <c r="AP93" i="1"/>
  <c r="AU90" i="1"/>
  <c r="AU99" i="1" s="1"/>
  <c r="AK90" i="1"/>
  <c r="AP91" i="1" s="1"/>
  <c r="AP105" i="1"/>
  <c r="AQ90" i="1"/>
  <c r="AP115" i="1"/>
  <c r="AF380" i="1"/>
  <c r="AF381" i="1" s="1"/>
  <c r="AF375" i="1"/>
  <c r="CI620" i="1"/>
  <c r="CM118" i="1"/>
  <c r="CI119" i="1"/>
  <c r="CI120" i="1"/>
  <c r="BV609" i="1"/>
  <c r="BV495" i="1" s="1"/>
  <c r="CT604" i="1"/>
  <c r="AH476" i="1"/>
  <c r="DF577" i="1"/>
  <c r="Q467" i="1"/>
  <c r="Q35" i="1"/>
  <c r="Q118" i="1"/>
  <c r="Q36" i="1"/>
  <c r="DD568" i="1"/>
  <c r="AQ398" i="1"/>
  <c r="AQ400" i="1"/>
  <c r="AQ399" i="1"/>
  <c r="DF620" i="1"/>
  <c r="DF120" i="1"/>
  <c r="DF119" i="1"/>
  <c r="CQ617" i="1"/>
  <c r="CK604" i="1"/>
  <c r="AF74" i="1"/>
  <c r="AF70" i="1"/>
  <c r="AF485" i="1"/>
  <c r="AF80" i="1"/>
  <c r="AF491" i="1"/>
  <c r="AF401" i="1"/>
  <c r="DH585" i="1"/>
  <c r="DH107" i="1"/>
  <c r="DH498" i="1"/>
  <c r="DH41" i="1"/>
  <c r="BN321" i="1"/>
  <c r="BE35" i="1"/>
  <c r="DK98" i="1"/>
  <c r="DJ98" i="1"/>
  <c r="DO97" i="1"/>
  <c r="DH311" i="82"/>
  <c r="DH259" i="82"/>
  <c r="DM210" i="2"/>
  <c r="DM211" i="2"/>
  <c r="Y496" i="1"/>
  <c r="AA375" i="1"/>
  <c r="AA380" i="1"/>
  <c r="AA381" i="1" s="1"/>
  <c r="AZ577" i="1"/>
  <c r="AZ469" i="1"/>
  <c r="DC568" i="1"/>
  <c r="CN208" i="2"/>
  <c r="CR206" i="2"/>
  <c r="CN207" i="2"/>
  <c r="BN118" i="1"/>
  <c r="BT485" i="1"/>
  <c r="BT80" i="1"/>
  <c r="BT389" i="1"/>
  <c r="BT491" i="1"/>
  <c r="BT74" i="1"/>
  <c r="BT70" i="1"/>
  <c r="BT7" i="2"/>
  <c r="AR70" i="1"/>
  <c r="AI476" i="1"/>
  <c r="DJ567" i="1"/>
  <c r="DJ27" i="1"/>
  <c r="DJ115" i="1"/>
  <c r="DK117" i="1" s="1"/>
  <c r="DJ93" i="1"/>
  <c r="DK95" i="1" s="1"/>
  <c r="DJ28" i="1"/>
  <c r="CP69" i="1"/>
  <c r="CP170" i="1" s="1"/>
  <c r="AV586" i="1"/>
  <c r="AV476" i="1"/>
  <c r="CT381" i="82"/>
  <c r="CT395" i="82"/>
  <c r="CT407" i="82"/>
  <c r="CT264" i="82"/>
  <c r="BM120" i="1"/>
  <c r="CO586" i="1"/>
  <c r="CO476" i="1"/>
  <c r="CO478" i="1"/>
  <c r="BL70" i="1"/>
  <c r="DA208" i="2"/>
  <c r="DA207" i="2"/>
  <c r="DA381" i="82"/>
  <c r="DA407" i="82"/>
  <c r="DA395" i="82"/>
  <c r="DA264" i="82"/>
  <c r="CJ120" i="1"/>
  <c r="BF462" i="1"/>
  <c r="BF568" i="1"/>
  <c r="BB464" i="1"/>
  <c r="CY211" i="2"/>
  <c r="CL559" i="1"/>
  <c r="BJ577" i="1"/>
  <c r="BJ469" i="1"/>
  <c r="T29" i="1"/>
  <c r="CP208" i="2"/>
  <c r="CP207" i="2"/>
  <c r="BG175" i="2"/>
  <c r="BG157" i="2"/>
  <c r="AR358" i="2"/>
  <c r="AR166" i="2"/>
  <c r="AR150" i="2"/>
  <c r="AR88" i="2"/>
  <c r="AR65" i="2"/>
  <c r="AR341" i="2"/>
  <c r="AR27" i="2"/>
  <c r="AR29" i="2"/>
  <c r="AH91" i="7"/>
  <c r="AH98" i="7"/>
  <c r="AH82" i="7"/>
  <c r="AH73" i="7" s="1"/>
  <c r="AH96" i="7"/>
  <c r="BX15" i="3"/>
  <c r="CV209" i="2"/>
  <c r="AQ69" i="2"/>
  <c r="AQ347" i="2"/>
  <c r="AQ346" i="2"/>
  <c r="AQ93" i="2"/>
  <c r="AH386" i="1"/>
  <c r="AH387" i="1"/>
  <c r="AH385" i="1"/>
  <c r="CT357" i="2"/>
  <c r="CT340" i="2"/>
  <c r="CT12" i="2"/>
  <c r="AO377" i="2"/>
  <c r="AO384" i="2"/>
  <c r="AO340" i="2"/>
  <c r="DG206" i="2"/>
  <c r="DC208" i="2"/>
  <c r="DC207" i="2"/>
  <c r="CQ372" i="2"/>
  <c r="CM46" i="2"/>
  <c r="BI386" i="2"/>
  <c r="BI343" i="2"/>
  <c r="CU328" i="1"/>
  <c r="CU66" i="2"/>
  <c r="CZ66" i="2"/>
  <c r="CU89" i="2"/>
  <c r="CU26" i="2"/>
  <c r="CT386" i="1"/>
  <c r="CT385" i="1"/>
  <c r="CT387" i="1"/>
  <c r="CL385" i="1"/>
  <c r="CL387" i="1"/>
  <c r="CL386" i="1"/>
  <c r="CI64" i="2"/>
  <c r="CI203" i="2"/>
  <c r="AF94" i="7"/>
  <c r="AF91" i="7"/>
  <c r="AF98" i="7"/>
  <c r="AF82" i="7"/>
  <c r="AF73" i="7" s="1"/>
  <c r="BN364" i="2"/>
  <c r="AL367" i="2"/>
  <c r="AX91" i="7"/>
  <c r="AX98" i="7"/>
  <c r="AX82" i="7"/>
  <c r="AX73" i="7" s="1"/>
  <c r="AX96" i="7"/>
  <c r="DG46" i="2"/>
  <c r="BL346" i="2"/>
  <c r="BL93" i="2"/>
  <c r="BL69" i="2"/>
  <c r="BL347" i="2"/>
  <c r="CO108" i="2"/>
  <c r="CG333" i="1"/>
  <c r="CG331" i="1"/>
  <c r="CG332" i="1"/>
  <c r="AY345" i="2"/>
  <c r="AQ371" i="2"/>
  <c r="CW343" i="2"/>
  <c r="BH370" i="2"/>
  <c r="AV369" i="2"/>
  <c r="AN369" i="2"/>
  <c r="AF166" i="2"/>
  <c r="AF150" i="2"/>
  <c r="AF29" i="2"/>
  <c r="AF27" i="2"/>
  <c r="AT340" i="2"/>
  <c r="BK347" i="2"/>
  <c r="BK346" i="2"/>
  <c r="BK69" i="2"/>
  <c r="BK93" i="2"/>
  <c r="CN333" i="1"/>
  <c r="CN331" i="1"/>
  <c r="CN332" i="1"/>
  <c r="AP372" i="2"/>
  <c r="AX380" i="2"/>
  <c r="BX370" i="2"/>
  <c r="CJ393" i="2"/>
  <c r="CJ391" i="2"/>
  <c r="CJ392" i="2"/>
  <c r="BC378" i="2"/>
  <c r="AQ92" i="7"/>
  <c r="AQ83" i="7"/>
  <c r="AD96" i="7"/>
  <c r="AD94" i="7"/>
  <c r="AD91" i="7"/>
  <c r="AO56" i="2"/>
  <c r="CU332" i="1"/>
  <c r="CU333" i="1"/>
  <c r="CU331" i="1"/>
  <c r="AQ15" i="3"/>
  <c r="BI56" i="2"/>
  <c r="CQ90" i="2"/>
  <c r="CQ67" i="2"/>
  <c r="AX379" i="2"/>
  <c r="AL358" i="2"/>
  <c r="AL65" i="2"/>
  <c r="AL341" i="2"/>
  <c r="AL88" i="2"/>
  <c r="AL166" i="2"/>
  <c r="AL150" i="2"/>
  <c r="AL29" i="2"/>
  <c r="AL27" i="2"/>
  <c r="CU385" i="1"/>
  <c r="CU387" i="1"/>
  <c r="CU386" i="1"/>
  <c r="BL372" i="2"/>
  <c r="BN388" i="2"/>
  <c r="BK372" i="2"/>
  <c r="BN381" i="2"/>
  <c r="BN345" i="2"/>
  <c r="BN46" i="2"/>
  <c r="BN75" i="2"/>
  <c r="CS371" i="2"/>
  <c r="CL370" i="2"/>
  <c r="BI385" i="2"/>
  <c r="BI342" i="2"/>
  <c r="BI26" i="2"/>
  <c r="AK369" i="2"/>
  <c r="AI366" i="2"/>
  <c r="CQ370" i="2"/>
  <c r="AF366" i="2"/>
  <c r="AG88" i="2"/>
  <c r="CW17" i="2"/>
  <c r="AM88" i="2"/>
  <c r="CG328" i="1"/>
  <c r="BJ67" i="7"/>
  <c r="BJ70" i="7"/>
  <c r="BK67" i="7"/>
  <c r="CH260" i="7"/>
  <c r="CG262" i="7"/>
  <c r="CG263" i="7" s="1"/>
  <c r="CG264" i="7" s="1"/>
  <c r="Y62" i="7"/>
  <c r="CN85" i="7"/>
  <c r="CG102" i="7"/>
  <c r="BZ87" i="7"/>
  <c r="AS85" i="7"/>
  <c r="V62" i="7"/>
  <c r="BY74" i="3"/>
  <c r="BY81" i="3"/>
  <c r="BX234" i="7"/>
  <c r="BX235" i="7" s="1"/>
  <c r="CJ100" i="7"/>
  <c r="AR89" i="7"/>
  <c r="AR85" i="7"/>
  <c r="BI62" i="7"/>
  <c r="CN87" i="7"/>
  <c r="AA87" i="7"/>
  <c r="BB85" i="7"/>
  <c r="BE74" i="3"/>
  <c r="BE81" i="3"/>
  <c r="CE87" i="7"/>
  <c r="BC62" i="7"/>
  <c r="BN62" i="7"/>
  <c r="Z62" i="7"/>
  <c r="BB26" i="7"/>
  <c r="Y66" i="3"/>
  <c r="Y18" i="3" s="1"/>
  <c r="Z58" i="3"/>
  <c r="Z66" i="3" s="1"/>
  <c r="Z18" i="3" s="1"/>
  <c r="U28" i="3"/>
  <c r="CN225" i="7"/>
  <c r="CA102" i="7"/>
  <c r="AE62" i="7"/>
  <c r="AY85" i="7"/>
  <c r="CJ102" i="7"/>
  <c r="BI100" i="7"/>
  <c r="CB62" i="7"/>
  <c r="C16" i="15"/>
  <c r="CI105" i="7"/>
  <c r="AQ87" i="7"/>
  <c r="AP32" i="3"/>
  <c r="AV41" i="7"/>
  <c r="P58" i="3"/>
  <c r="P66" i="3" s="1"/>
  <c r="P18" i="3" s="1"/>
  <c r="AS102" i="7"/>
  <c r="AI168" i="7"/>
  <c r="AI170" i="7" s="1"/>
  <c r="AC74" i="3"/>
  <c r="AC81" i="3"/>
  <c r="CN226" i="82"/>
  <c r="CN212" i="82"/>
  <c r="AZ74" i="3"/>
  <c r="AZ81" i="3"/>
  <c r="CP472" i="1"/>
  <c r="DE515" i="1"/>
  <c r="CO472" i="1"/>
  <c r="BU386" i="1"/>
  <c r="BU387" i="1"/>
  <c r="BX384" i="1"/>
  <c r="DC515" i="1"/>
  <c r="CX429" i="1"/>
  <c r="CX425" i="1"/>
  <c r="CK465" i="1"/>
  <c r="CV425" i="1"/>
  <c r="CV429" i="1"/>
  <c r="AP46" i="3"/>
  <c r="DC514" i="1"/>
  <c r="CS425" i="1"/>
  <c r="CS429" i="1"/>
  <c r="CS548" i="1"/>
  <c r="CS549" i="1" s="1"/>
  <c r="CS538" i="1"/>
  <c r="CS528" i="1"/>
  <c r="CS432" i="1"/>
  <c r="CS533" i="1"/>
  <c r="DF552" i="1"/>
  <c r="CH526" i="1"/>
  <c r="CH533" i="1" s="1"/>
  <c r="CH400" i="1"/>
  <c r="CH527" i="1"/>
  <c r="BX125" i="1"/>
  <c r="CZ604" i="1"/>
  <c r="AA496" i="1"/>
  <c r="AA492" i="1"/>
  <c r="DD577" i="1"/>
  <c r="DD311" i="82"/>
  <c r="DD259" i="82"/>
  <c r="AQ533" i="1"/>
  <c r="AQ548" i="1"/>
  <c r="AQ549" i="1" s="1"/>
  <c r="AQ550" i="1" s="1"/>
  <c r="AQ432" i="1"/>
  <c r="AQ435" i="1" s="1"/>
  <c r="AQ538" i="1"/>
  <c r="P134" i="1"/>
  <c r="P136" i="1"/>
  <c r="P133" i="1"/>
  <c r="CZ126" i="1"/>
  <c r="CN620" i="1"/>
  <c r="CN120" i="1"/>
  <c r="CR118" i="1"/>
  <c r="CN119" i="1"/>
  <c r="AX609" i="1"/>
  <c r="BK610" i="1"/>
  <c r="CY604" i="1"/>
  <c r="DB65" i="1"/>
  <c r="CZ67" i="1"/>
  <c r="CX67" i="1"/>
  <c r="DB124" i="1"/>
  <c r="DL568" i="1"/>
  <c r="CN432" i="1"/>
  <c r="CN533" i="1"/>
  <c r="CN548" i="1"/>
  <c r="CN538" i="1"/>
  <c r="CN552" i="1"/>
  <c r="DC620" i="1"/>
  <c r="DC120" i="1"/>
  <c r="DC119" i="1"/>
  <c r="T325" i="1"/>
  <c r="CH125" i="1"/>
  <c r="AK119" i="1"/>
  <c r="CZ616" i="1"/>
  <c r="CZ117" i="1"/>
  <c r="CZ121" i="1"/>
  <c r="CZ116" i="1"/>
  <c r="DE604" i="1"/>
  <c r="CR598" i="1"/>
  <c r="CY67" i="1"/>
  <c r="CP67" i="1"/>
  <c r="CN67" i="1"/>
  <c r="AD478" i="1"/>
  <c r="BN474" i="1"/>
  <c r="BN585" i="1"/>
  <c r="BN69" i="1"/>
  <c r="BN170" i="1" s="1"/>
  <c r="BL42" i="1"/>
  <c r="AH375" i="1"/>
  <c r="AH380" i="1"/>
  <c r="AH381" i="1" s="1"/>
  <c r="DI310" i="1"/>
  <c r="AV542" i="1"/>
  <c r="AV552" i="1"/>
  <c r="AV553" i="1" s="1"/>
  <c r="AV554" i="1" s="1"/>
  <c r="AV538" i="1"/>
  <c r="AV539" i="1" s="1"/>
  <c r="AV540" i="1" s="1"/>
  <c r="AV432" i="1"/>
  <c r="AV435" i="1" s="1"/>
  <c r="AV533" i="1"/>
  <c r="AW535" i="1" s="1"/>
  <c r="AV548" i="1"/>
  <c r="AV549" i="1" s="1"/>
  <c r="AV550" i="1" s="1"/>
  <c r="DA620" i="1"/>
  <c r="DA119" i="1"/>
  <c r="DA120" i="1"/>
  <c r="T49" i="113"/>
  <c r="T66" i="113"/>
  <c r="AM400" i="1"/>
  <c r="AM399" i="1"/>
  <c r="AM398" i="1"/>
  <c r="BN125" i="1"/>
  <c r="AA122" i="1"/>
  <c r="AA123" i="1"/>
  <c r="AA127" i="1"/>
  <c r="BI597" i="1"/>
  <c r="AS469" i="1"/>
  <c r="CD465" i="1"/>
  <c r="DB531" i="1"/>
  <c r="BV620" i="1"/>
  <c r="BV120" i="1"/>
  <c r="BV119" i="1"/>
  <c r="CJ617" i="1"/>
  <c r="BF610" i="1"/>
  <c r="CL604" i="1"/>
  <c r="CW598" i="1"/>
  <c r="V482" i="1"/>
  <c r="Q124" i="1"/>
  <c r="Z476" i="1"/>
  <c r="CQ533" i="1"/>
  <c r="CQ548" i="1"/>
  <c r="CQ549" i="1" s="1"/>
  <c r="CQ552" i="1"/>
  <c r="CQ538" i="1"/>
  <c r="CQ528" i="1"/>
  <c r="CQ432" i="1"/>
  <c r="AD123" i="1"/>
  <c r="Y127" i="1"/>
  <c r="Y123" i="1"/>
  <c r="CP620" i="1"/>
  <c r="CP121" i="1"/>
  <c r="CR121" i="1" s="1"/>
  <c r="CP119" i="1"/>
  <c r="CP120" i="1"/>
  <c r="CI617" i="1"/>
  <c r="AH117" i="1"/>
  <c r="AH116" i="1"/>
  <c r="DM95" i="1"/>
  <c r="DM94" i="1"/>
  <c r="CZ585" i="1"/>
  <c r="CZ41" i="1"/>
  <c r="CZ107" i="1"/>
  <c r="CZ42" i="1"/>
  <c r="CZ37" i="1"/>
  <c r="AD380" i="1"/>
  <c r="AD381" i="1" s="1"/>
  <c r="AD375" i="1"/>
  <c r="AY30" i="1"/>
  <c r="DE311" i="82"/>
  <c r="DE259" i="82"/>
  <c r="BE603" i="1"/>
  <c r="DJ112" i="1"/>
  <c r="DM207" i="2"/>
  <c r="DM208" i="2"/>
  <c r="DE264" i="82"/>
  <c r="CS193" i="82"/>
  <c r="CS69" i="1"/>
  <c r="CS170" i="1" s="1"/>
  <c r="CS499" i="1"/>
  <c r="CS500" i="1"/>
  <c r="CD476" i="1"/>
  <c r="CD586" i="1"/>
  <c r="AR74" i="1"/>
  <c r="AI485" i="1"/>
  <c r="AI80" i="1"/>
  <c r="AI491" i="1"/>
  <c r="AI74" i="1"/>
  <c r="AI70" i="1"/>
  <c r="DI528" i="1"/>
  <c r="DA482" i="1"/>
  <c r="DA483" i="1"/>
  <c r="CG478" i="1"/>
  <c r="DC224" i="2"/>
  <c r="DC199" i="2"/>
  <c r="DC200" i="2"/>
  <c r="BL81" i="1"/>
  <c r="AG478" i="1"/>
  <c r="CW206" i="2"/>
  <c r="CS207" i="2"/>
  <c r="CS208" i="2"/>
  <c r="CN321" i="1"/>
  <c r="CE586" i="1"/>
  <c r="CE476" i="1"/>
  <c r="CZ395" i="82"/>
  <c r="CZ407" i="82"/>
  <c r="CZ264" i="82"/>
  <c r="CZ381" i="82"/>
  <c r="AN74" i="1"/>
  <c r="BA28" i="1"/>
  <c r="BA585" i="1"/>
  <c r="BB41" i="1"/>
  <c r="BA41" i="1"/>
  <c r="BA69" i="1"/>
  <c r="BA170" i="1" s="1"/>
  <c r="BF171" i="1" s="1"/>
  <c r="BF209" i="1" s="1"/>
  <c r="BA37" i="1"/>
  <c r="BA474" i="1"/>
  <c r="CY208" i="2"/>
  <c r="CY207" i="2"/>
  <c r="DE597" i="1"/>
  <c r="DE95" i="1"/>
  <c r="DE94" i="1"/>
  <c r="O22" i="113"/>
  <c r="CH326" i="82"/>
  <c r="AS333" i="1"/>
  <c r="AS331" i="1"/>
  <c r="AS332" i="1"/>
  <c r="BD386" i="2"/>
  <c r="BD343" i="2"/>
  <c r="DJ87" i="2"/>
  <c r="DJ64" i="2"/>
  <c r="AR333" i="1"/>
  <c r="AR331" i="1"/>
  <c r="AR332" i="1"/>
  <c r="CD390" i="2"/>
  <c r="CI391" i="2" s="1"/>
  <c r="CV387" i="1"/>
  <c r="CV385" i="1"/>
  <c r="CV386" i="1"/>
  <c r="CN387" i="1"/>
  <c r="CN386" i="1"/>
  <c r="CN385" i="1"/>
  <c r="CL357" i="2"/>
  <c r="CL340" i="2"/>
  <c r="CL12" i="2"/>
  <c r="AT96" i="7"/>
  <c r="AT94" i="7"/>
  <c r="AT91" i="7"/>
  <c r="DD211" i="2"/>
  <c r="DD210" i="2"/>
  <c r="DC264" i="82"/>
  <c r="DC263" i="82" s="1"/>
  <c r="AZ98" i="7"/>
  <c r="AZ82" i="7"/>
  <c r="AZ73" i="7" s="1"/>
  <c r="AZ96" i="7"/>
  <c r="AZ94" i="7"/>
  <c r="BN365" i="2"/>
  <c r="S476" i="113"/>
  <c r="S477" i="113" s="1"/>
  <c r="S479" i="113" s="1"/>
  <c r="BM346" i="2"/>
  <c r="BM93" i="2"/>
  <c r="BM69" i="2"/>
  <c r="BM347" i="2"/>
  <c r="AR371" i="2"/>
  <c r="AS80" i="7"/>
  <c r="AS104" i="7" s="1"/>
  <c r="BC86" i="2"/>
  <c r="BC63" i="2"/>
  <c r="BC356" i="2"/>
  <c r="BC339" i="2"/>
  <c r="BC13" i="2"/>
  <c r="BD9" i="2"/>
  <c r="I28" i="113"/>
  <c r="L22" i="113"/>
  <c r="AQ372" i="2"/>
  <c r="DB107" i="2"/>
  <c r="CS369" i="2"/>
  <c r="DF70" i="2"/>
  <c r="DF87" i="2"/>
  <c r="DF64" i="2"/>
  <c r="BC347" i="2"/>
  <c r="BC93" i="2"/>
  <c r="BC346" i="2"/>
  <c r="BC69" i="2"/>
  <c r="CN378" i="82"/>
  <c r="CN392" i="82"/>
  <c r="CN404" i="82"/>
  <c r="CN265" i="82"/>
  <c r="CR315" i="82"/>
  <c r="CM344" i="2"/>
  <c r="DL106" i="2"/>
  <c r="BG370" i="2"/>
  <c r="CJ386" i="1"/>
  <c r="CJ385" i="1"/>
  <c r="CJ387" i="1"/>
  <c r="AU378" i="2"/>
  <c r="AR98" i="7"/>
  <c r="AR82" i="7"/>
  <c r="AR73" i="7" s="1"/>
  <c r="AR96" i="7"/>
  <c r="AR94" i="7"/>
  <c r="CU392" i="82"/>
  <c r="CU404" i="82"/>
  <c r="CU378" i="82"/>
  <c r="CU265" i="82"/>
  <c r="U372" i="2"/>
  <c r="U371" i="2"/>
  <c r="CN64" i="2"/>
  <c r="CN203" i="2"/>
  <c r="AI333" i="1"/>
  <c r="AI331" i="1"/>
  <c r="AI332" i="1"/>
  <c r="AE369" i="2"/>
  <c r="BD388" i="2"/>
  <c r="BD345" i="2"/>
  <c r="BD75" i="2"/>
  <c r="BD46" i="2"/>
  <c r="AL331" i="1"/>
  <c r="AL332" i="1"/>
  <c r="AL333" i="1"/>
  <c r="U379" i="2"/>
  <c r="DI203" i="2"/>
  <c r="AG358" i="2"/>
  <c r="DK64" i="2"/>
  <c r="CI90" i="2"/>
  <c r="CS26" i="2"/>
  <c r="BA358" i="2"/>
  <c r="CQ328" i="1"/>
  <c r="CO328" i="1"/>
  <c r="Q9" i="11"/>
  <c r="P7" i="11"/>
  <c r="BX85" i="7"/>
  <c r="CK62" i="7"/>
  <c r="Q100" i="7"/>
  <c r="CN102" i="7"/>
  <c r="BK85" i="7"/>
  <c r="BD102" i="7"/>
  <c r="CA100" i="7"/>
  <c r="BK87" i="7"/>
  <c r="AK85" i="7"/>
  <c r="AT87" i="7"/>
  <c r="BO81" i="3"/>
  <c r="CM325" i="82"/>
  <c r="BO74" i="3"/>
  <c r="E66" i="3"/>
  <c r="E18" i="3" s="1"/>
  <c r="F18" i="3" s="1"/>
  <c r="AB168" i="7"/>
  <c r="AB170" i="7" s="1"/>
  <c r="T73" i="3"/>
  <c r="T32" i="3"/>
  <c r="U23" i="3"/>
  <c r="AJ89" i="7"/>
  <c r="AJ85" i="7"/>
  <c r="CO62" i="7"/>
  <c r="AU46" i="3"/>
  <c r="CO102" i="7"/>
  <c r="CO85" i="7"/>
  <c r="CN50" i="7"/>
  <c r="BH62" i="7"/>
  <c r="BL100" i="7"/>
  <c r="AG62" i="7"/>
  <c r="BO168" i="7"/>
  <c r="CN220" i="7"/>
  <c r="BQ102" i="7"/>
  <c r="BK100" i="7"/>
  <c r="BJ102" i="7"/>
  <c r="BX87" i="7"/>
  <c r="BP170" i="7"/>
  <c r="BA100" i="7"/>
  <c r="CJ67" i="7"/>
  <c r="T12" i="11"/>
  <c r="CG105" i="7"/>
  <c r="AQ62" i="7"/>
  <c r="AF87" i="7"/>
  <c r="O46" i="3"/>
  <c r="AK102" i="7"/>
  <c r="X74" i="3"/>
  <c r="AE23" i="3"/>
  <c r="AD73" i="3"/>
  <c r="AD32" i="3"/>
  <c r="BY26" i="7"/>
  <c r="DI276" i="82"/>
  <c r="CQ425" i="1"/>
  <c r="CQ429" i="1"/>
  <c r="CU515" i="1"/>
  <c r="BU412" i="1"/>
  <c r="BU413" i="1" s="1"/>
  <c r="BX410" i="1"/>
  <c r="DM548" i="1"/>
  <c r="DM549" i="1" s="1"/>
  <c r="DM552" i="1"/>
  <c r="DM553" i="1" s="1"/>
  <c r="DM528" i="1"/>
  <c r="DM542" i="1"/>
  <c r="DG321" i="1"/>
  <c r="BA427" i="1"/>
  <c r="BA428" i="1" s="1"/>
  <c r="BA429" i="1" s="1"/>
  <c r="CT472" i="1"/>
  <c r="CJ465" i="1"/>
  <c r="BN416" i="1"/>
  <c r="BN417" i="1" s="1"/>
  <c r="BN418" i="1" s="1"/>
  <c r="BJ417" i="1"/>
  <c r="BJ418" i="1" s="1"/>
  <c r="AX423" i="1"/>
  <c r="AX424" i="1" s="1"/>
  <c r="AZ422" i="1"/>
  <c r="AX427" i="1"/>
  <c r="AX428" i="1" s="1"/>
  <c r="CF331" i="1"/>
  <c r="AY321" i="1"/>
  <c r="CX233" i="82"/>
  <c r="T21" i="3"/>
  <c r="CQ482" i="1"/>
  <c r="CQ483" i="1"/>
  <c r="CQ124" i="1"/>
  <c r="CQ127" i="1" s="1"/>
  <c r="DF310" i="1"/>
  <c r="DF528" i="1"/>
  <c r="AZ533" i="1"/>
  <c r="AZ548" i="1"/>
  <c r="AZ538" i="1"/>
  <c r="AZ432" i="1"/>
  <c r="AZ552" i="1"/>
  <c r="CM616" i="1"/>
  <c r="CM116" i="1"/>
  <c r="CJ604" i="1"/>
  <c r="AC380" i="1"/>
  <c r="AC381" i="1" s="1"/>
  <c r="AC375" i="1"/>
  <c r="CR434" i="1"/>
  <c r="AI526" i="1"/>
  <c r="AJ526" i="1" s="1"/>
  <c r="AI397" i="1"/>
  <c r="AI527" i="1"/>
  <c r="AI528" i="1"/>
  <c r="CF620" i="1"/>
  <c r="CF120" i="1"/>
  <c r="CF119" i="1"/>
  <c r="BC610" i="1"/>
  <c r="CQ604" i="1"/>
  <c r="CV193" i="82"/>
  <c r="CV500" i="1"/>
  <c r="CV69" i="1"/>
  <c r="CV170" i="1" s="1"/>
  <c r="CV499" i="1"/>
  <c r="AZ585" i="1"/>
  <c r="AZ474" i="1"/>
  <c r="AZ69" i="1"/>
  <c r="AZ170" i="1" s="1"/>
  <c r="AZ37" i="1"/>
  <c r="AZ41" i="1"/>
  <c r="DK311" i="82"/>
  <c r="DK259" i="82"/>
  <c r="CV528" i="1"/>
  <c r="CV432" i="1"/>
  <c r="CV533" i="1"/>
  <c r="CV548" i="1"/>
  <c r="CV549" i="1" s="1"/>
  <c r="CV538" i="1"/>
  <c r="CV539" i="1" s="1"/>
  <c r="CV179" i="39" s="1"/>
  <c r="AX526" i="1"/>
  <c r="AY526" i="1" s="1"/>
  <c r="AX397" i="1"/>
  <c r="AX399" i="1" s="1"/>
  <c r="AX528" i="1"/>
  <c r="AX527" i="1"/>
  <c r="AH402" i="1"/>
  <c r="DC548" i="1"/>
  <c r="DC549" i="1" s="1"/>
  <c r="DC528" i="1"/>
  <c r="DC533" i="1"/>
  <c r="AO125" i="1"/>
  <c r="CR616" i="1"/>
  <c r="CR116" i="1"/>
  <c r="CW100" i="1"/>
  <c r="AQ118" i="1"/>
  <c r="AQ100" i="1"/>
  <c r="AQ102" i="1"/>
  <c r="CT193" i="82"/>
  <c r="CT499" i="1"/>
  <c r="CT500" i="1"/>
  <c r="CT69" i="1"/>
  <c r="CT170" i="1" s="1"/>
  <c r="CQ586" i="1"/>
  <c r="CV478" i="1"/>
  <c r="DI311" i="82"/>
  <c r="DI259" i="82"/>
  <c r="DL265" i="82"/>
  <c r="DL126" i="82" s="1"/>
  <c r="U303" i="113" s="1"/>
  <c r="DH295" i="82"/>
  <c r="DI289" i="82"/>
  <c r="DM279" i="82"/>
  <c r="DH269" i="82"/>
  <c r="DH289" i="82"/>
  <c r="DH279" i="82"/>
  <c r="BL538" i="1"/>
  <c r="BL539" i="1" s="1"/>
  <c r="BL540" i="1" s="1"/>
  <c r="BV179" i="39" s="1"/>
  <c r="BL548" i="1"/>
  <c r="BL549" i="1" s="1"/>
  <c r="BL550" i="1" s="1"/>
  <c r="BL432" i="1"/>
  <c r="BL435" i="1" s="1"/>
  <c r="BL552" i="1"/>
  <c r="BL533" i="1"/>
  <c r="DG616" i="1"/>
  <c r="DG116" i="1"/>
  <c r="BI616" i="1"/>
  <c r="AU548" i="1"/>
  <c r="AU542" i="1"/>
  <c r="AU552" i="1"/>
  <c r="AU538" i="1"/>
  <c r="AU432" i="1"/>
  <c r="AU533" i="1"/>
  <c r="AM391" i="1"/>
  <c r="AJ116" i="1"/>
  <c r="DC604" i="1"/>
  <c r="U85" i="113"/>
  <c r="DL602" i="1"/>
  <c r="DL102" i="1"/>
  <c r="DL118" i="1"/>
  <c r="DL100" i="1"/>
  <c r="DL105" i="1"/>
  <c r="CY597" i="1"/>
  <c r="CY95" i="1"/>
  <c r="CY94" i="1"/>
  <c r="BH598" i="1"/>
  <c r="BU478" i="1"/>
  <c r="X375" i="1"/>
  <c r="X380" i="1"/>
  <c r="X381" i="1" s="1"/>
  <c r="DO311" i="82"/>
  <c r="DO259" i="82"/>
  <c r="BG62" i="7"/>
  <c r="CT346" i="82"/>
  <c r="CT348" i="82"/>
  <c r="BJ538" i="1"/>
  <c r="BJ548" i="1"/>
  <c r="BJ549" i="1" s="1"/>
  <c r="BJ550" i="1" s="1"/>
  <c r="BJ432" i="1"/>
  <c r="BJ533" i="1"/>
  <c r="BJ552" i="1"/>
  <c r="BA620" i="1"/>
  <c r="BA120" i="1"/>
  <c r="CD604" i="1"/>
  <c r="CM602" i="1"/>
  <c r="CM102" i="1"/>
  <c r="CM105" i="1"/>
  <c r="CM100" i="1"/>
  <c r="T105" i="1"/>
  <c r="Y100" i="1"/>
  <c r="AK478" i="1"/>
  <c r="DI585" i="1"/>
  <c r="DI41" i="1"/>
  <c r="DI107" i="1"/>
  <c r="DI498" i="1"/>
  <c r="DI9" i="82" s="1"/>
  <c r="BX585" i="1"/>
  <c r="BX474" i="1"/>
  <c r="BX69" i="1"/>
  <c r="BX170" i="1" s="1"/>
  <c r="BX208" i="1" s="1"/>
  <c r="BX216" i="1" s="1"/>
  <c r="BX37" i="1"/>
  <c r="AU464" i="1"/>
  <c r="CX311" i="82"/>
  <c r="CX259" i="82"/>
  <c r="DB512" i="1"/>
  <c r="DA515" i="1" s="1"/>
  <c r="DG504" i="1"/>
  <c r="DA506" i="1"/>
  <c r="CZ322" i="1"/>
  <c r="DG301" i="1"/>
  <c r="DG302" i="1" s="1"/>
  <c r="DG120" i="39" s="1"/>
  <c r="DG121" i="39" s="1"/>
  <c r="BA533" i="1"/>
  <c r="BA548" i="1"/>
  <c r="BA549" i="1" s="1"/>
  <c r="BA550" i="1" s="1"/>
  <c r="BA538" i="1"/>
  <c r="BA539" i="1" s="1"/>
  <c r="BA540" i="1" s="1"/>
  <c r="BA552" i="1"/>
  <c r="BA432" i="1"/>
  <c r="BA435" i="1" s="1"/>
  <c r="AB122" i="1"/>
  <c r="AG120" i="1"/>
  <c r="BU620" i="1"/>
  <c r="BU120" i="1"/>
  <c r="BU121" i="1"/>
  <c r="CE122" i="1" s="1"/>
  <c r="BU119" i="1"/>
  <c r="CV483" i="1"/>
  <c r="CV482" i="1"/>
  <c r="CV124" i="1"/>
  <c r="BW42" i="1"/>
  <c r="CR585" i="1"/>
  <c r="CR37" i="1"/>
  <c r="CP42" i="1"/>
  <c r="CH116" i="1"/>
  <c r="DE208" i="2"/>
  <c r="DE207" i="2"/>
  <c r="DK112" i="1"/>
  <c r="BD576" i="1"/>
  <c r="BD467" i="1"/>
  <c r="BD102" i="1"/>
  <c r="BD118" i="1"/>
  <c r="BB35" i="1"/>
  <c r="BA35" i="1"/>
  <c r="BD30" i="1"/>
  <c r="BC35" i="1"/>
  <c r="CM568" i="1"/>
  <c r="U22" i="113"/>
  <c r="DL326" i="82"/>
  <c r="DL74" i="2"/>
  <c r="AJ37" i="1"/>
  <c r="BT609" i="1"/>
  <c r="BT495" i="1" s="1"/>
  <c r="DI120" i="1"/>
  <c r="DI553" i="1"/>
  <c r="CG586" i="1"/>
  <c r="CG476" i="1"/>
  <c r="BM586" i="1"/>
  <c r="BM476" i="1"/>
  <c r="CL407" i="82"/>
  <c r="CL264" i="82"/>
  <c r="CL263" i="82" s="1"/>
  <c r="AH478" i="1"/>
  <c r="CK207" i="2"/>
  <c r="CK208" i="2"/>
  <c r="CS381" i="82"/>
  <c r="CW326" i="82"/>
  <c r="CS407" i="82"/>
  <c r="CS395" i="82"/>
  <c r="CS264" i="82"/>
  <c r="CJ621" i="1"/>
  <c r="CW37" i="1"/>
  <c r="CE389" i="1"/>
  <c r="CE485" i="1"/>
  <c r="CE491" i="1"/>
  <c r="CE70" i="1"/>
  <c r="CE560" i="1"/>
  <c r="CE74" i="1"/>
  <c r="CE7" i="2"/>
  <c r="AM549" i="1"/>
  <c r="AM550" i="1" s="1"/>
  <c r="CS104" i="1"/>
  <c r="CT311" i="82"/>
  <c r="CT259" i="82"/>
  <c r="CQ208" i="2"/>
  <c r="CQ207" i="2"/>
  <c r="DL526" i="1"/>
  <c r="DL542" i="1" s="1"/>
  <c r="CZ476" i="1"/>
  <c r="CU478" i="1"/>
  <c r="BH74" i="1"/>
  <c r="DE616" i="1"/>
  <c r="DE116" i="1"/>
  <c r="DE117" i="1"/>
  <c r="DE121" i="1"/>
  <c r="AZ121" i="1"/>
  <c r="CU111" i="2"/>
  <c r="DF233" i="82"/>
  <c r="DF219" i="82"/>
  <c r="DF205" i="82"/>
  <c r="BH69" i="2"/>
  <c r="BH347" i="2"/>
  <c r="BH93" i="2"/>
  <c r="BH346" i="2"/>
  <c r="CW56" i="2"/>
  <c r="CS209" i="2"/>
  <c r="CK331" i="1"/>
  <c r="CK332" i="1"/>
  <c r="CK333" i="1"/>
  <c r="CO390" i="2"/>
  <c r="CP393" i="2" s="1"/>
  <c r="CG390" i="2"/>
  <c r="CI392" i="2" s="1"/>
  <c r="CD11" i="2"/>
  <c r="J40" i="11"/>
  <c r="BN13" i="2"/>
  <c r="BN29" i="2"/>
  <c r="AO80" i="7"/>
  <c r="AX339" i="2"/>
  <c r="AX63" i="2"/>
  <c r="AX13" i="2"/>
  <c r="AB98" i="7"/>
  <c r="AB82" i="7"/>
  <c r="AB73" i="7" s="1"/>
  <c r="AB96" i="7"/>
  <c r="AB94" i="7"/>
  <c r="DE219" i="82"/>
  <c r="DE233" i="82"/>
  <c r="DE205" i="82"/>
  <c r="CJ404" i="82"/>
  <c r="CJ412" i="82"/>
  <c r="DA67" i="2"/>
  <c r="CX90" i="2"/>
  <c r="CV90" i="2"/>
  <c r="CV67" i="2"/>
  <c r="BG341" i="2"/>
  <c r="BG166" i="2"/>
  <c r="BG150" i="2"/>
  <c r="BG88" i="2"/>
  <c r="BG358" i="2"/>
  <c r="BG65" i="2"/>
  <c r="BG27" i="2"/>
  <c r="F40" i="11"/>
  <c r="AO339" i="2"/>
  <c r="AO63" i="2"/>
  <c r="AO13" i="2"/>
  <c r="AS106" i="1"/>
  <c r="AS107" i="1"/>
  <c r="DE108" i="2"/>
  <c r="CQ333" i="1"/>
  <c r="CQ331" i="1"/>
  <c r="CQ332" i="1"/>
  <c r="DK111" i="2"/>
  <c r="BE346" i="2"/>
  <c r="BE69" i="2"/>
  <c r="BE347" i="2"/>
  <c r="BE93" i="2"/>
  <c r="AL15" i="3"/>
  <c r="BD56" i="2"/>
  <c r="CT67" i="2"/>
  <c r="CY67" i="2"/>
  <c r="CT90" i="2"/>
  <c r="BM385" i="1"/>
  <c r="BM387" i="1"/>
  <c r="AL80" i="7"/>
  <c r="AL89" i="7" s="1"/>
  <c r="AU86" i="2"/>
  <c r="AU63" i="2"/>
  <c r="AU356" i="2"/>
  <c r="AU339" i="2"/>
  <c r="AU13" i="2"/>
  <c r="AY9" i="2"/>
  <c r="AA42" i="1"/>
  <c r="AV346" i="2"/>
  <c r="AV69" i="2"/>
  <c r="AV93" i="2"/>
  <c r="AV347" i="2"/>
  <c r="CV371" i="2"/>
  <c r="DB12" i="2"/>
  <c r="CX10" i="2"/>
  <c r="G10" i="113"/>
  <c r="G28" i="113"/>
  <c r="CM74" i="2"/>
  <c r="AU347" i="2"/>
  <c r="AU346" i="2"/>
  <c r="AU69" i="2"/>
  <c r="AU93" i="2"/>
  <c r="CN108" i="2"/>
  <c r="Z371" i="2"/>
  <c r="AM369" i="2"/>
  <c r="BX372" i="2"/>
  <c r="BJ393" i="2"/>
  <c r="BT391" i="2"/>
  <c r="BJ391" i="2"/>
  <c r="BJ392" i="2"/>
  <c r="AL369" i="2"/>
  <c r="AZ63" i="2"/>
  <c r="CU369" i="2"/>
  <c r="BV15" i="3"/>
  <c r="CT209" i="2"/>
  <c r="CT332" i="1"/>
  <c r="CY331" i="1"/>
  <c r="CT331" i="1"/>
  <c r="CT333" i="1"/>
  <c r="AD331" i="1"/>
  <c r="AD332" i="1"/>
  <c r="AD333" i="1"/>
  <c r="U370" i="2"/>
  <c r="BX367" i="2"/>
  <c r="BF69" i="2"/>
  <c r="DC64" i="2"/>
  <c r="AO380" i="2"/>
  <c r="CK26" i="2"/>
  <c r="DL12" i="2"/>
  <c r="CQ357" i="2"/>
  <c r="CJ347" i="2"/>
  <c r="CJ346" i="2"/>
  <c r="CJ93" i="2"/>
  <c r="CJ69" i="2"/>
  <c r="BA27" i="2"/>
  <c r="AK27" i="2"/>
  <c r="CQ107" i="2"/>
  <c r="AJ76" i="7"/>
  <c r="BQ100" i="7"/>
  <c r="BB62" i="7"/>
  <c r="AN168" i="7"/>
  <c r="AN170" i="7" s="1"/>
  <c r="AI81" i="3"/>
  <c r="AE48" i="3"/>
  <c r="C15" i="15"/>
  <c r="CI32" i="3"/>
  <c r="AB80" i="3"/>
  <c r="AB50" i="3"/>
  <c r="AY55" i="2"/>
  <c r="BA62" i="7"/>
  <c r="AS87" i="7"/>
  <c r="BK102" i="7"/>
  <c r="CE85" i="7"/>
  <c r="CF62" i="7"/>
  <c r="BF62" i="7"/>
  <c r="AU74" i="3"/>
  <c r="AU81" i="3"/>
  <c r="CO100" i="7"/>
  <c r="CD74" i="3"/>
  <c r="CD81" i="3"/>
  <c r="DB325" i="82"/>
  <c r="BY32" i="3"/>
  <c r="BM87" i="7"/>
  <c r="CU205" i="82"/>
  <c r="CU219" i="82"/>
  <c r="BW62" i="7"/>
  <c r="K36" i="3"/>
  <c r="K46" i="3" s="1"/>
  <c r="J46" i="3"/>
  <c r="CO105" i="7"/>
  <c r="AC102" i="7"/>
  <c r="CD32" i="3"/>
  <c r="CQ214" i="82"/>
  <c r="CQ241" i="82"/>
  <c r="CQ228" i="82"/>
  <c r="CP228" i="82"/>
  <c r="DC205" i="82"/>
  <c r="DC219" i="82"/>
  <c r="DC233" i="82"/>
  <c r="AZ412" i="1"/>
  <c r="AZ413" i="1" s="1"/>
  <c r="CZ295" i="82"/>
  <c r="CZ289" i="82"/>
  <c r="CZ269" i="82"/>
  <c r="CZ412" i="82"/>
  <c r="AT482" i="1"/>
  <c r="AT124" i="1"/>
  <c r="AU410" i="1"/>
  <c r="CX513" i="1"/>
  <c r="CX514" i="1"/>
  <c r="DG275" i="82"/>
  <c r="DG262" i="82"/>
  <c r="CW513" i="1"/>
  <c r="CT515" i="1"/>
  <c r="CY333" i="1"/>
  <c r="CX333" i="1"/>
  <c r="CX331" i="1"/>
  <c r="CX332" i="1"/>
  <c r="CF385" i="1"/>
  <c r="AR398" i="1"/>
  <c r="AR400" i="1"/>
  <c r="AR399" i="1"/>
  <c r="AX603" i="1"/>
  <c r="BW604" i="1"/>
  <c r="CK389" i="1"/>
  <c r="CK485" i="1"/>
  <c r="CK74" i="1"/>
  <c r="CK70" i="1"/>
  <c r="CK560" i="1"/>
  <c r="CK491" i="1"/>
  <c r="CK7" i="2"/>
  <c r="DG585" i="1"/>
  <c r="DG37" i="1"/>
  <c r="DG498" i="1"/>
  <c r="DG9" i="82" s="1"/>
  <c r="V325" i="1"/>
  <c r="CS624" i="1"/>
  <c r="CS123" i="1"/>
  <c r="CS122" i="1"/>
  <c r="AX620" i="1"/>
  <c r="DB616" i="1"/>
  <c r="DB116" i="1"/>
  <c r="CI604" i="1"/>
  <c r="CJ485" i="1"/>
  <c r="CJ389" i="1"/>
  <c r="CJ74" i="1"/>
  <c r="CJ491" i="1"/>
  <c r="CJ70" i="1"/>
  <c r="CJ560" i="1"/>
  <c r="CJ7" i="2"/>
  <c r="CT483" i="1"/>
  <c r="CT482" i="1"/>
  <c r="CT124" i="1"/>
  <c r="CH585" i="1"/>
  <c r="CH474" i="1"/>
  <c r="CH69" i="1"/>
  <c r="CF42" i="1"/>
  <c r="CH37" i="1"/>
  <c r="AP398" i="1"/>
  <c r="AP400" i="1"/>
  <c r="CV617" i="1"/>
  <c r="BX598" i="1"/>
  <c r="AC485" i="1"/>
  <c r="AC482" i="1"/>
  <c r="AD483" i="1"/>
  <c r="AC483" i="1"/>
  <c r="AH482" i="1"/>
  <c r="AE481" i="1"/>
  <c r="AC124" i="1"/>
  <c r="BM538" i="1"/>
  <c r="BM539" i="1" s="1"/>
  <c r="BM540" i="1" s="1"/>
  <c r="BW179" i="39" s="1"/>
  <c r="BM548" i="1"/>
  <c r="BM549" i="1" s="1"/>
  <c r="BM550" i="1" s="1"/>
  <c r="BM432" i="1"/>
  <c r="BM435" i="1" s="1"/>
  <c r="BM552" i="1"/>
  <c r="BM533" i="1"/>
  <c r="CQ624" i="1"/>
  <c r="CQ122" i="1"/>
  <c r="CT620" i="1"/>
  <c r="CT119" i="1"/>
  <c r="CT120" i="1"/>
  <c r="CT609" i="1"/>
  <c r="CT495" i="1" s="1"/>
  <c r="CT108" i="1"/>
  <c r="CT109" i="1"/>
  <c r="CO604" i="1"/>
  <c r="CZ482" i="1"/>
  <c r="CI586" i="1"/>
  <c r="CI476" i="1"/>
  <c r="Z375" i="1"/>
  <c r="DG568" i="1"/>
  <c r="AV400" i="1"/>
  <c r="BA398" i="1"/>
  <c r="AV399" i="1"/>
  <c r="AV398" i="1"/>
  <c r="AF400" i="1"/>
  <c r="AF398" i="1"/>
  <c r="CY616" i="1"/>
  <c r="CY117" i="1"/>
  <c r="CY121" i="1"/>
  <c r="CY116" i="1"/>
  <c r="DH597" i="1"/>
  <c r="DH94" i="1"/>
  <c r="DH95" i="1"/>
  <c r="DD513" i="1"/>
  <c r="DF616" i="1"/>
  <c r="DF116" i="1"/>
  <c r="DF117" i="1"/>
  <c r="DF121" i="1"/>
  <c r="CU604" i="1"/>
  <c r="BN602" i="1"/>
  <c r="BN102" i="1"/>
  <c r="BN105" i="1"/>
  <c r="CQ472" i="1"/>
  <c r="CU425" i="1"/>
  <c r="CU429" i="1"/>
  <c r="BE412" i="1"/>
  <c r="BE413" i="1" s="1"/>
  <c r="BI410" i="1"/>
  <c r="DL321" i="1"/>
  <c r="AT398" i="1"/>
  <c r="AT400" i="1"/>
  <c r="AX121" i="1"/>
  <c r="AX123" i="1" s="1"/>
  <c r="CW65" i="1"/>
  <c r="CN586" i="1"/>
  <c r="CN476" i="1"/>
  <c r="DA585" i="1"/>
  <c r="DA37" i="1"/>
  <c r="DA42" i="1"/>
  <c r="DA107" i="1"/>
  <c r="DA41" i="1"/>
  <c r="AS471" i="1"/>
  <c r="CH577" i="1"/>
  <c r="CH469" i="1"/>
  <c r="AJ469" i="1"/>
  <c r="BN462" i="1"/>
  <c r="BN568" i="1"/>
  <c r="DN311" i="82"/>
  <c r="DN259" i="82"/>
  <c r="CP321" i="1"/>
  <c r="CU624" i="1"/>
  <c r="BH620" i="1"/>
  <c r="BH121" i="1"/>
  <c r="CP609" i="1"/>
  <c r="CP495" i="1" s="1"/>
  <c r="CP109" i="1"/>
  <c r="CP108" i="1"/>
  <c r="CT67" i="1"/>
  <c r="CP497" i="1"/>
  <c r="CJ478" i="1"/>
  <c r="V380" i="1"/>
  <c r="V375" i="1"/>
  <c r="AO462" i="1"/>
  <c r="AS400" i="1"/>
  <c r="AS399" i="1"/>
  <c r="BE471" i="1"/>
  <c r="DP311" i="82"/>
  <c r="DP259" i="82"/>
  <c r="CO208" i="2"/>
  <c r="CO207" i="2"/>
  <c r="R22" i="113"/>
  <c r="CW74" i="2"/>
  <c r="AZ471" i="1"/>
  <c r="DC597" i="1"/>
  <c r="DC95" i="1"/>
  <c r="DC94" i="1"/>
  <c r="DD264" i="82"/>
  <c r="DD263" i="82" s="1"/>
  <c r="DK585" i="1"/>
  <c r="DK107" i="1"/>
  <c r="DK498" i="1"/>
  <c r="DK37" i="1"/>
  <c r="AN476" i="1"/>
  <c r="DK597" i="1"/>
  <c r="DK94" i="1"/>
  <c r="CE120" i="1"/>
  <c r="CG485" i="1"/>
  <c r="CG389" i="1"/>
  <c r="CG560" i="1"/>
  <c r="CG74" i="1"/>
  <c r="CG491" i="1"/>
  <c r="CG70" i="1"/>
  <c r="CG7" i="2"/>
  <c r="BM478" i="1"/>
  <c r="AH74" i="1"/>
  <c r="DE620" i="1"/>
  <c r="DE120" i="1"/>
  <c r="DE119" i="1"/>
  <c r="DJ211" i="2"/>
  <c r="AG375" i="1"/>
  <c r="AG380" i="1"/>
  <c r="AG381" i="1" s="1"/>
  <c r="CJ624" i="1"/>
  <c r="CJ123" i="1"/>
  <c r="CJ127" i="1"/>
  <c r="BL76" i="3" s="1"/>
  <c r="CJ122" i="1"/>
  <c r="CE42" i="1"/>
  <c r="BF471" i="1"/>
  <c r="DL209" i="2"/>
  <c r="DH210" i="2"/>
  <c r="DH211" i="2"/>
  <c r="Q22" i="113"/>
  <c r="CR74" i="2"/>
  <c r="AM539" i="1"/>
  <c r="AM540" i="1" s="1"/>
  <c r="BA597" i="1"/>
  <c r="CM206" i="2"/>
  <c r="CI207" i="2"/>
  <c r="CI208" i="2"/>
  <c r="CY395" i="82"/>
  <c r="CY381" i="82"/>
  <c r="CY407" i="82"/>
  <c r="CY264" i="82"/>
  <c r="DE568" i="1"/>
  <c r="DF264" i="82"/>
  <c r="CU208" i="2"/>
  <c r="CU207" i="2"/>
  <c r="AZ69" i="2"/>
  <c r="AZ347" i="2"/>
  <c r="AZ93" i="2"/>
  <c r="AZ346" i="2"/>
  <c r="CK412" i="82"/>
  <c r="CK404" i="82"/>
  <c r="AK331" i="1"/>
  <c r="AK332" i="1"/>
  <c r="AK333" i="1"/>
  <c r="CR344" i="2"/>
  <c r="CU357" i="2"/>
  <c r="CU340" i="2"/>
  <c r="CU12" i="2"/>
  <c r="CJ331" i="1"/>
  <c r="CJ332" i="1"/>
  <c r="CJ333" i="1"/>
  <c r="AT388" i="2"/>
  <c r="AT75" i="2"/>
  <c r="AT345" i="2"/>
  <c r="AT46" i="2"/>
  <c r="CQ371" i="2"/>
  <c r="CN90" i="2"/>
  <c r="CN67" i="2"/>
  <c r="CR20" i="2"/>
  <c r="CN390" i="2"/>
  <c r="AY385" i="2"/>
  <c r="AY342" i="2"/>
  <c r="AQ358" i="2"/>
  <c r="AQ341" i="2"/>
  <c r="AQ166" i="2"/>
  <c r="AQ150" i="2"/>
  <c r="AQ88" i="2"/>
  <c r="AQ65" i="2"/>
  <c r="AQ29" i="2"/>
  <c r="AQ27" i="2"/>
  <c r="CP371" i="2"/>
  <c r="CN209" i="2"/>
  <c r="CR56" i="2"/>
  <c r="CS111" i="2"/>
  <c r="AX346" i="2"/>
  <c r="AX69" i="2"/>
  <c r="CG15" i="3"/>
  <c r="CI15" i="3" s="1"/>
  <c r="DE209" i="2"/>
  <c r="CQ404" i="82"/>
  <c r="CQ392" i="82"/>
  <c r="CQ378" i="82"/>
  <c r="CQ265" i="82"/>
  <c r="AQ333" i="1"/>
  <c r="AQ331" i="1"/>
  <c r="AQ332" i="1"/>
  <c r="DM37" i="1"/>
  <c r="J15" i="113"/>
  <c r="CP333" i="1"/>
  <c r="CP331" i="1"/>
  <c r="CP332" i="1"/>
  <c r="CH331" i="1"/>
  <c r="CH332" i="1"/>
  <c r="CW344" i="2"/>
  <c r="CL67" i="2"/>
  <c r="CL90" i="2"/>
  <c r="CJ357" i="2"/>
  <c r="CJ340" i="2"/>
  <c r="CJ12" i="2"/>
  <c r="BT93" i="2"/>
  <c r="AN346" i="2"/>
  <c r="AN93" i="2"/>
  <c r="AN69" i="2"/>
  <c r="CW75" i="2"/>
  <c r="AG332" i="1"/>
  <c r="AG333" i="1"/>
  <c r="AG331" i="1"/>
  <c r="CT328" i="1"/>
  <c r="CL328" i="1"/>
  <c r="CS386" i="1"/>
  <c r="CS385" i="1"/>
  <c r="CS387" i="1"/>
  <c r="CK385" i="1"/>
  <c r="CK387" i="1"/>
  <c r="CK386" i="1"/>
  <c r="L28" i="113"/>
  <c r="CV26" i="2"/>
  <c r="AM346" i="2"/>
  <c r="AM93" i="2"/>
  <c r="AM69" i="2"/>
  <c r="CV333" i="1"/>
  <c r="CV331" i="1"/>
  <c r="CV332" i="1"/>
  <c r="CN372" i="2"/>
  <c r="AV332" i="1"/>
  <c r="BA331" i="1"/>
  <c r="AV331" i="1"/>
  <c r="AV333" i="1"/>
  <c r="AN332" i="1"/>
  <c r="AN333" i="1"/>
  <c r="AN331" i="1"/>
  <c r="AF332" i="1"/>
  <c r="AF333" i="1"/>
  <c r="AF331" i="1"/>
  <c r="AU369" i="2"/>
  <c r="U389" i="1"/>
  <c r="U339" i="2"/>
  <c r="U63" i="2"/>
  <c r="AS371" i="2"/>
  <c r="CX203" i="2"/>
  <c r="CN111" i="2"/>
  <c r="CQ386" i="1"/>
  <c r="CQ385" i="1"/>
  <c r="CQ387" i="1"/>
  <c r="CI386" i="1"/>
  <c r="CI385" i="1"/>
  <c r="CI387" i="1"/>
  <c r="CW10" i="2"/>
  <c r="AZ86" i="2"/>
  <c r="AS372" i="2"/>
  <c r="BN378" i="2"/>
  <c r="AV356" i="2"/>
  <c r="BE37" i="1"/>
  <c r="CT392" i="82"/>
  <c r="CT378" i="82"/>
  <c r="CT404" i="82"/>
  <c r="CT265" i="82"/>
  <c r="CR101" i="2"/>
  <c r="AX369" i="2"/>
  <c r="DC87" i="2"/>
  <c r="CT26" i="2"/>
  <c r="BN343" i="2"/>
  <c r="AM27" i="2"/>
  <c r="CQ26" i="2"/>
  <c r="CF87" i="2"/>
  <c r="CM23" i="2"/>
  <c r="AO381" i="2"/>
  <c r="CO26" i="2"/>
  <c r="CN224" i="7"/>
  <c r="AD87" i="7"/>
  <c r="AL85" i="7"/>
  <c r="AL87" i="7"/>
  <c r="AN102" i="7"/>
  <c r="AC87" i="7"/>
  <c r="U85" i="7"/>
  <c r="CH62" i="7"/>
  <c r="BF26" i="7"/>
  <c r="BJ85" i="7"/>
  <c r="AZ105" i="7"/>
  <c r="BC102" i="7"/>
  <c r="CG62" i="7"/>
  <c r="AJ87" i="7"/>
  <c r="CD85" i="7"/>
  <c r="AZ62" i="7"/>
  <c r="CI87" i="7"/>
  <c r="BL26" i="7"/>
  <c r="AU100" i="7"/>
  <c r="CL62" i="7"/>
  <c r="CQ204" i="7"/>
  <c r="CQ218" i="7" s="1"/>
  <c r="CQ72" i="7"/>
  <c r="BY87" i="7"/>
  <c r="AZ89" i="7"/>
  <c r="AZ87" i="7"/>
  <c r="BO100" i="7"/>
  <c r="AN87" i="7"/>
  <c r="U36" i="3"/>
  <c r="CO218" i="7"/>
  <c r="AK100" i="7"/>
  <c r="AO76" i="7"/>
  <c r="BD62" i="7"/>
  <c r="AV87" i="7"/>
  <c r="DA289" i="82"/>
  <c r="BO105" i="7"/>
  <c r="CQ346" i="82"/>
  <c r="AK50" i="7"/>
  <c r="CE62" i="7"/>
  <c r="BT85" i="7"/>
  <c r="U102" i="7"/>
  <c r="BD100" i="7"/>
  <c r="BY105" i="7"/>
  <c r="CQ248" i="82"/>
  <c r="BE62" i="7"/>
  <c r="BJ105" i="7"/>
  <c r="CR240" i="82"/>
  <c r="DB218" i="82"/>
  <c r="BK333" i="1"/>
  <c r="AT321" i="1"/>
  <c r="CR245" i="82"/>
  <c r="DC513" i="1"/>
  <c r="CN465" i="1"/>
  <c r="DH331" i="1"/>
  <c r="DH333" i="1"/>
  <c r="DH332" i="1"/>
  <c r="DG530" i="1"/>
  <c r="AC401" i="1"/>
  <c r="AC399" i="1"/>
  <c r="AC400" i="1"/>
  <c r="BU331" i="1"/>
  <c r="BU332" i="1"/>
  <c r="CE331" i="1"/>
  <c r="BU333" i="1"/>
  <c r="CV346" i="82"/>
  <c r="CV348" i="82"/>
  <c r="CU511" i="1"/>
  <c r="CO348" i="82"/>
  <c r="CO346" i="82"/>
  <c r="CO349" i="82" s="1"/>
  <c r="BU552" i="1"/>
  <c r="BU533" i="1"/>
  <c r="BU538" i="1"/>
  <c r="BU539" i="1" s="1"/>
  <c r="BU540" i="1" s="1"/>
  <c r="BZ179" i="39" s="1"/>
  <c r="BU548" i="1"/>
  <c r="BU549" i="1" s="1"/>
  <c r="BU550" i="1" s="1"/>
  <c r="BU432" i="1"/>
  <c r="W325" i="1"/>
  <c r="CL624" i="1"/>
  <c r="CL127" i="1"/>
  <c r="BN76" i="3" s="1"/>
  <c r="CO620" i="1"/>
  <c r="CO119" i="1"/>
  <c r="CO120" i="1"/>
  <c r="CP617" i="1"/>
  <c r="BL610" i="1"/>
  <c r="DD603" i="1"/>
  <c r="DD104" i="1"/>
  <c r="DD103" i="1"/>
  <c r="BJ604" i="1"/>
  <c r="BK389" i="1"/>
  <c r="BK485" i="1"/>
  <c r="BK70" i="1"/>
  <c r="BK80" i="1"/>
  <c r="BK491" i="1"/>
  <c r="BK74" i="1"/>
  <c r="DC484" i="1"/>
  <c r="DC483" i="1"/>
  <c r="CY585" i="1"/>
  <c r="CY41" i="1"/>
  <c r="CY37" i="1"/>
  <c r="CY42" i="1"/>
  <c r="CY107" i="1"/>
  <c r="AS69" i="1"/>
  <c r="AS170" i="1" s="1"/>
  <c r="AU173" i="1" s="1"/>
  <c r="AU210" i="1" s="1"/>
  <c r="AS37" i="1"/>
  <c r="AS474" i="1"/>
  <c r="AS41" i="1"/>
  <c r="CW410" i="1"/>
  <c r="CW526" i="1"/>
  <c r="CW402" i="1"/>
  <c r="CW527" i="1"/>
  <c r="CG548" i="1"/>
  <c r="CG549" i="1" s="1"/>
  <c r="CG550" i="1" s="1"/>
  <c r="CG533" i="1"/>
  <c r="CG552" i="1"/>
  <c r="CG432" i="1"/>
  <c r="CG538" i="1"/>
  <c r="CG539" i="1" s="1"/>
  <c r="CG540" i="1" s="1"/>
  <c r="CG179" i="39" s="1"/>
  <c r="BG552" i="1"/>
  <c r="BG533" i="1"/>
  <c r="BG432" i="1"/>
  <c r="BG435" i="1" s="1"/>
  <c r="BG548" i="1"/>
  <c r="BG549" i="1" s="1"/>
  <c r="BG550" i="1" s="1"/>
  <c r="BG538" i="1"/>
  <c r="BG539" i="1" s="1"/>
  <c r="BG540" i="1" s="1"/>
  <c r="AP120" i="1"/>
  <c r="AP119" i="1"/>
  <c r="AN121" i="1"/>
  <c r="AN117" i="1"/>
  <c r="BV604" i="1"/>
  <c r="BW485" i="1"/>
  <c r="BW389" i="1"/>
  <c r="BW491" i="1"/>
  <c r="BW74" i="1"/>
  <c r="BW70" i="1"/>
  <c r="BW80" i="1"/>
  <c r="BW7" i="2"/>
  <c r="CF432" i="1"/>
  <c r="CF548" i="1"/>
  <c r="CF549" i="1" s="1"/>
  <c r="CF550" i="1" s="1"/>
  <c r="CF533" i="1"/>
  <c r="CF552" i="1"/>
  <c r="CF538" i="1"/>
  <c r="CF539" i="1" s="1"/>
  <c r="CF540" i="1" s="1"/>
  <c r="CF179" i="39" s="1"/>
  <c r="DB452" i="1"/>
  <c r="CN617" i="1"/>
  <c r="DB597" i="1"/>
  <c r="AO398" i="1"/>
  <c r="AO400" i="1"/>
  <c r="CI624" i="1"/>
  <c r="CI127" i="1"/>
  <c r="BK76" i="3" s="1"/>
  <c r="CI122" i="1"/>
  <c r="CL620" i="1"/>
  <c r="CL119" i="1"/>
  <c r="CL120" i="1"/>
  <c r="CL609" i="1"/>
  <c r="CL495" i="1" s="1"/>
  <c r="CL108" i="1"/>
  <c r="CL109" i="1"/>
  <c r="BA610" i="1"/>
  <c r="CG604" i="1"/>
  <c r="CL478" i="1"/>
  <c r="AK476" i="1"/>
  <c r="CN478" i="1"/>
  <c r="CR474" i="1"/>
  <c r="CO479" i="1" s="1"/>
  <c r="BX577" i="1"/>
  <c r="BX469" i="1"/>
  <c r="CY568" i="1"/>
  <c r="DA311" i="82"/>
  <c r="DA259" i="82"/>
  <c r="BT331" i="1"/>
  <c r="AA396" i="1"/>
  <c r="AA325" i="1"/>
  <c r="CS609" i="1"/>
  <c r="CS495" i="1" s="1"/>
  <c r="CS108" i="1"/>
  <c r="CS109" i="1"/>
  <c r="CZ597" i="1"/>
  <c r="CZ95" i="1"/>
  <c r="CZ94" i="1"/>
  <c r="DD515" i="1"/>
  <c r="CM469" i="1"/>
  <c r="DH620" i="1"/>
  <c r="DH120" i="1"/>
  <c r="DH119" i="1"/>
  <c r="DH621" i="1" s="1"/>
  <c r="CJ609" i="1"/>
  <c r="CJ495" i="1" s="1"/>
  <c r="CJ108" i="1"/>
  <c r="CJ109" i="1"/>
  <c r="CE604" i="1"/>
  <c r="BF602" i="1"/>
  <c r="BF102" i="1"/>
  <c r="BF118" i="1"/>
  <c r="BI99" i="1"/>
  <c r="BF100" i="1"/>
  <c r="AV478" i="1"/>
  <c r="P375" i="1"/>
  <c r="AU471" i="1"/>
  <c r="AT460" i="1"/>
  <c r="AQ28" i="1"/>
  <c r="AP28" i="1"/>
  <c r="AT36" i="1"/>
  <c r="AR28" i="1"/>
  <c r="AT23" i="1"/>
  <c r="DG311" i="82"/>
  <c r="DG259" i="82"/>
  <c r="AY62" i="7"/>
  <c r="CY528" i="1"/>
  <c r="BE417" i="1"/>
  <c r="BE418" i="1" s="1"/>
  <c r="BI416" i="1"/>
  <c r="BI417" i="1" s="1"/>
  <c r="BI418" i="1" s="1"/>
  <c r="CW616" i="1"/>
  <c r="CW116" i="1"/>
  <c r="AZ597" i="1"/>
  <c r="CU67" i="1"/>
  <c r="CQ69" i="1"/>
  <c r="CQ170" i="1" s="1"/>
  <c r="CO483" i="1"/>
  <c r="CO485" i="1"/>
  <c r="CO482" i="1"/>
  <c r="CO124" i="1"/>
  <c r="BJ42" i="1"/>
  <c r="CF586" i="1"/>
  <c r="CF476" i="1"/>
  <c r="CW474" i="1"/>
  <c r="CS478" i="1"/>
  <c r="CD472" i="1"/>
  <c r="AX462" i="1"/>
  <c r="AX568" i="1"/>
  <c r="DA538" i="1"/>
  <c r="DA539" i="1" s="1"/>
  <c r="DA540" i="1" s="1"/>
  <c r="DA179" i="39" s="1"/>
  <c r="DA180" i="39" s="1"/>
  <c r="DA528" i="1"/>
  <c r="DA533" i="1"/>
  <c r="CZ514" i="1"/>
  <c r="CZ513" i="1"/>
  <c r="CW395" i="1"/>
  <c r="AK398" i="1"/>
  <c r="AK400" i="1"/>
  <c r="CE624" i="1"/>
  <c r="CE127" i="1"/>
  <c r="BG76" i="3" s="1"/>
  <c r="CE123" i="1"/>
  <c r="CE119" i="1"/>
  <c r="BN616" i="1"/>
  <c r="BN116" i="1"/>
  <c r="BU609" i="1"/>
  <c r="BU495" i="1" s="1"/>
  <c r="CN483" i="1"/>
  <c r="CN485" i="1"/>
  <c r="CN482" i="1"/>
  <c r="CR481" i="1"/>
  <c r="CN484" i="1" s="1"/>
  <c r="CN124" i="1"/>
  <c r="CN127" i="1" s="1"/>
  <c r="BP76" i="3" s="1"/>
  <c r="CW311" i="82"/>
  <c r="CW259" i="82"/>
  <c r="BG586" i="1"/>
  <c r="BG476" i="1"/>
  <c r="CO407" i="82"/>
  <c r="CO395" i="82"/>
  <c r="CO381" i="82"/>
  <c r="CO264" i="82"/>
  <c r="BT465" i="1"/>
  <c r="CX603" i="1"/>
  <c r="CX103" i="1"/>
  <c r="CX104" i="1"/>
  <c r="AA478" i="1"/>
  <c r="DJ620" i="1"/>
  <c r="DJ119" i="1"/>
  <c r="DJ621" i="1" s="1"/>
  <c r="DJ120" i="1"/>
  <c r="CX620" i="1"/>
  <c r="CX120" i="1"/>
  <c r="CX119" i="1"/>
  <c r="BA471" i="1"/>
  <c r="DK568" i="1"/>
  <c r="DC616" i="1"/>
  <c r="DC116" i="1"/>
  <c r="DC117" i="1"/>
  <c r="DC121" i="1"/>
  <c r="DG94" i="1"/>
  <c r="CM474" i="1"/>
  <c r="DI119" i="1"/>
  <c r="DI621" i="1" s="1"/>
  <c r="DK616" i="1"/>
  <c r="DK116" i="1"/>
  <c r="DK617" i="1" s="1"/>
  <c r="DK211" i="2"/>
  <c r="DK210" i="2"/>
  <c r="DE603" i="1"/>
  <c r="DE104" i="1"/>
  <c r="DE103" i="1"/>
  <c r="CJ586" i="1"/>
  <c r="CJ476" i="1"/>
  <c r="CG42" i="1"/>
  <c r="BM389" i="1"/>
  <c r="BM485" i="1"/>
  <c r="BM70" i="1"/>
  <c r="BM80" i="1"/>
  <c r="BM74" i="1"/>
  <c r="BM491" i="1"/>
  <c r="AQ476" i="1"/>
  <c r="Y478" i="1"/>
  <c r="DJ207" i="2"/>
  <c r="DJ208" i="2"/>
  <c r="CR107" i="1"/>
  <c r="CT476" i="1"/>
  <c r="CT586" i="1"/>
  <c r="AE121" i="1"/>
  <c r="CE609" i="1"/>
  <c r="CE495" i="1" s="1"/>
  <c r="CE109" i="1"/>
  <c r="CZ211" i="2"/>
  <c r="BA616" i="1"/>
  <c r="BB117" i="1"/>
  <c r="BA117" i="1"/>
  <c r="BF116" i="1"/>
  <c r="BA121" i="1"/>
  <c r="DB311" i="82"/>
  <c r="DB259" i="82"/>
  <c r="DF210" i="2"/>
  <c r="CU407" i="82"/>
  <c r="CU381" i="82"/>
  <c r="CU395" i="82"/>
  <c r="CU264" i="82"/>
  <c r="AR69" i="2"/>
  <c r="AR93" i="2"/>
  <c r="AR346" i="2"/>
  <c r="BB370" i="2"/>
  <c r="AB331" i="1"/>
  <c r="AB332" i="1"/>
  <c r="AB333" i="1"/>
  <c r="CR343" i="2"/>
  <c r="CV390" i="2"/>
  <c r="BX369" i="2"/>
  <c r="AI358" i="2"/>
  <c r="AI166" i="2"/>
  <c r="AI150" i="2"/>
  <c r="AI88" i="2"/>
  <c r="AI29" i="2"/>
  <c r="AI27" i="2"/>
  <c r="AP93" i="2"/>
  <c r="AP347" i="2"/>
  <c r="AP346" i="2"/>
  <c r="AP69" i="2"/>
  <c r="DJ70" i="2"/>
  <c r="CM56" i="2"/>
  <c r="CI209" i="2"/>
  <c r="DK208" i="2"/>
  <c r="DK207" i="2"/>
  <c r="AP27" i="2"/>
  <c r="CP404" i="82"/>
  <c r="CP378" i="82"/>
  <c r="CP265" i="82"/>
  <c r="CP392" i="82"/>
  <c r="CH404" i="82"/>
  <c r="CH412" i="82"/>
  <c r="BA370" i="2"/>
  <c r="AM367" i="2"/>
  <c r="BK366" i="2"/>
  <c r="AO364" i="2"/>
  <c r="CM37" i="1"/>
  <c r="CO372" i="2"/>
  <c r="AE372" i="2"/>
  <c r="BX371" i="2"/>
  <c r="BJ367" i="2"/>
  <c r="AE346" i="2"/>
  <c r="AE69" i="2"/>
  <c r="CV378" i="82"/>
  <c r="CV392" i="82"/>
  <c r="CV404" i="82"/>
  <c r="CV265" i="82"/>
  <c r="AK367" i="2"/>
  <c r="CE111" i="2"/>
  <c r="BJ347" i="2"/>
  <c r="BJ346" i="2"/>
  <c r="BJ93" i="2"/>
  <c r="BJ69" i="2"/>
  <c r="AU331" i="1"/>
  <c r="AU332" i="1"/>
  <c r="AU333" i="1"/>
  <c r="U380" i="2"/>
  <c r="DG106" i="2"/>
  <c r="BF370" i="2"/>
  <c r="DJ203" i="2"/>
  <c r="BL367" i="2"/>
  <c r="BA347" i="2"/>
  <c r="BA346" i="2"/>
  <c r="BA69" i="2"/>
  <c r="BA93" i="2"/>
  <c r="DG68" i="2"/>
  <c r="DG26" i="2"/>
  <c r="CK371" i="2"/>
  <c r="DG105" i="2"/>
  <c r="CP391" i="2"/>
  <c r="CH369" i="2"/>
  <c r="CR365" i="2"/>
  <c r="BF93" i="2"/>
  <c r="DK87" i="2"/>
  <c r="CM20" i="2"/>
  <c r="CP90" i="2"/>
  <c r="CG26" i="2"/>
  <c r="BM386" i="1" l="1"/>
  <c r="BV385" i="1"/>
  <c r="BL387" i="1"/>
  <c r="BE392" i="2"/>
  <c r="CH170" i="1"/>
  <c r="CE328" i="2"/>
  <c r="CE329" i="2"/>
  <c r="CE327" i="2"/>
  <c r="CE325" i="2"/>
  <c r="CI329" i="2"/>
  <c r="CI328" i="2"/>
  <c r="CI325" i="2"/>
  <c r="CI327" i="2"/>
  <c r="BW327" i="2"/>
  <c r="BW325" i="2"/>
  <c r="BW329" i="2"/>
  <c r="BW328" i="2"/>
  <c r="CM170" i="1"/>
  <c r="BU384" i="2"/>
  <c r="BU327" i="2"/>
  <c r="BU329" i="2"/>
  <c r="BU325" i="2"/>
  <c r="BU328" i="2"/>
  <c r="CO325" i="2"/>
  <c r="CO329" i="2"/>
  <c r="CO328" i="2"/>
  <c r="CO327" i="2"/>
  <c r="BV329" i="2"/>
  <c r="BV325" i="2"/>
  <c r="BV328" i="2"/>
  <c r="BV327" i="2"/>
  <c r="CF328" i="2"/>
  <c r="CF327" i="2"/>
  <c r="CF329" i="2"/>
  <c r="CF325" i="2"/>
  <c r="CD325" i="2"/>
  <c r="CD328" i="2"/>
  <c r="CD329" i="2"/>
  <c r="CD327" i="2"/>
  <c r="CN325" i="2"/>
  <c r="CN327" i="2"/>
  <c r="CN329" i="2"/>
  <c r="CN328" i="2"/>
  <c r="CG140" i="2"/>
  <c r="CG327" i="2"/>
  <c r="CG329" i="2"/>
  <c r="CG328" i="2"/>
  <c r="CG325" i="2"/>
  <c r="CJ329" i="2"/>
  <c r="CJ327" i="2"/>
  <c r="CJ325" i="2"/>
  <c r="CJ328" i="2"/>
  <c r="CK327" i="2"/>
  <c r="CK325" i="2"/>
  <c r="CK328" i="2"/>
  <c r="CK329" i="2"/>
  <c r="BT328" i="2"/>
  <c r="BT329" i="2"/>
  <c r="BT327" i="2"/>
  <c r="BT325" i="2"/>
  <c r="CL327" i="2"/>
  <c r="CL325" i="2"/>
  <c r="CL328" i="2"/>
  <c r="CL329" i="2"/>
  <c r="BK393" i="2"/>
  <c r="BL392" i="2"/>
  <c r="BK391" i="2"/>
  <c r="BK392" i="2"/>
  <c r="BF386" i="1"/>
  <c r="BN384" i="1"/>
  <c r="BL386" i="1"/>
  <c r="BB183" i="1"/>
  <c r="BT385" i="1"/>
  <c r="BK386" i="1"/>
  <c r="BJ386" i="1"/>
  <c r="BK385" i="1"/>
  <c r="BG171" i="1"/>
  <c r="BG209" i="1" s="1"/>
  <c r="BU385" i="1"/>
  <c r="BB175" i="1"/>
  <c r="BB176" i="1" s="1"/>
  <c r="BB208" i="1"/>
  <c r="BH386" i="1"/>
  <c r="BG386" i="1"/>
  <c r="BL385" i="1"/>
  <c r="BG387" i="1"/>
  <c r="BF478" i="1"/>
  <c r="BG392" i="2"/>
  <c r="BM393" i="2"/>
  <c r="BN390" i="2"/>
  <c r="BM392" i="2"/>
  <c r="BL393" i="2"/>
  <c r="CW153" i="39"/>
  <c r="CW154" i="39" s="1"/>
  <c r="AW347" i="2"/>
  <c r="BE387" i="1"/>
  <c r="BJ385" i="1"/>
  <c r="BI384" i="1"/>
  <c r="AW366" i="2"/>
  <c r="BB620" i="1"/>
  <c r="BB120" i="1"/>
  <c r="BB121" i="1"/>
  <c r="BB122" i="1" s="1"/>
  <c r="DM292" i="2"/>
  <c r="BL391" i="2"/>
  <c r="AX392" i="2"/>
  <c r="BH392" i="2"/>
  <c r="BH393" i="2"/>
  <c r="BI390" i="2"/>
  <c r="BG393" i="2"/>
  <c r="CX176" i="39"/>
  <c r="CX177" i="39" s="1"/>
  <c r="AW437" i="1"/>
  <c r="AR396" i="1"/>
  <c r="AW171" i="1"/>
  <c r="AW209" i="1" s="1"/>
  <c r="BB492" i="1"/>
  <c r="AX496" i="1"/>
  <c r="AW492" i="1"/>
  <c r="AV396" i="1"/>
  <c r="AW173" i="1"/>
  <c r="AW210" i="1" s="1"/>
  <c r="AX396" i="1"/>
  <c r="AX325" i="1"/>
  <c r="AX173" i="1"/>
  <c r="AX210" i="1" s="1"/>
  <c r="AW496" i="1"/>
  <c r="X170" i="7"/>
  <c r="AW385" i="1"/>
  <c r="AW387" i="1"/>
  <c r="AW386" i="1"/>
  <c r="BB167" i="2"/>
  <c r="AW54" i="2"/>
  <c r="AW57" i="2" s="1"/>
  <c r="AW32" i="2"/>
  <c r="AW348" i="2"/>
  <c r="AW71" i="2"/>
  <c r="AW94" i="2"/>
  <c r="AW169" i="2"/>
  <c r="AW151" i="2"/>
  <c r="BG385" i="1"/>
  <c r="BB385" i="1"/>
  <c r="AX386" i="1"/>
  <c r="BB624" i="1"/>
  <c r="AW392" i="2"/>
  <c r="AW175" i="2"/>
  <c r="AW349" i="2"/>
  <c r="AW157" i="2"/>
  <c r="AW73" i="2"/>
  <c r="AX358" i="2"/>
  <c r="AX88" i="2"/>
  <c r="BB348" i="2"/>
  <c r="BB71" i="2"/>
  <c r="AW172" i="7"/>
  <c r="AW91" i="7"/>
  <c r="AW98" i="7"/>
  <c r="AW83" i="7"/>
  <c r="AW89" i="7"/>
  <c r="AW82" i="7"/>
  <c r="AW73" i="7" s="1"/>
  <c r="AW104" i="7"/>
  <c r="AW94" i="7"/>
  <c r="AW92" i="7"/>
  <c r="AW96" i="7"/>
  <c r="AW168" i="2"/>
  <c r="AW167" i="2"/>
  <c r="BB349" i="2"/>
  <c r="BB73" i="2"/>
  <c r="BB540" i="1"/>
  <c r="BB418" i="1"/>
  <c r="AY412" i="1"/>
  <c r="AX429" i="1"/>
  <c r="AX425" i="1"/>
  <c r="CT178" i="39"/>
  <c r="CT180" i="39"/>
  <c r="CU178" i="39"/>
  <c r="CU180" i="39"/>
  <c r="CS176" i="39"/>
  <c r="CS177" i="39" s="1"/>
  <c r="CR153" i="39"/>
  <c r="CR154" i="39" s="1"/>
  <c r="CB180" i="39"/>
  <c r="CB178" i="39"/>
  <c r="CQ176" i="39"/>
  <c r="CQ177" i="39" s="1"/>
  <c r="CP176" i="39"/>
  <c r="CP177" i="39" s="1"/>
  <c r="CV192" i="39"/>
  <c r="CX192" i="39"/>
  <c r="CP192" i="39"/>
  <c r="CO176" i="39"/>
  <c r="CG178" i="39"/>
  <c r="CG180" i="39"/>
  <c r="DM119" i="39"/>
  <c r="DQ119" i="39" s="1"/>
  <c r="DM121" i="39"/>
  <c r="CA180" i="39"/>
  <c r="CA178" i="39"/>
  <c r="CY153" i="39"/>
  <c r="DB153" i="39" s="1"/>
  <c r="CO192" i="39"/>
  <c r="CX179" i="39"/>
  <c r="BW178" i="39"/>
  <c r="BW180" i="39"/>
  <c r="BU178" i="39"/>
  <c r="BU180" i="39"/>
  <c r="CV176" i="39"/>
  <c r="CV178" i="39" s="1"/>
  <c r="CV177" i="39" s="1"/>
  <c r="CN176" i="39"/>
  <c r="CN177" i="39" s="1"/>
  <c r="BZ178" i="39"/>
  <c r="BZ180" i="39"/>
  <c r="CF180" i="39"/>
  <c r="CF178" i="39"/>
  <c r="BV180" i="39"/>
  <c r="BV178" i="39"/>
  <c r="CE180" i="39"/>
  <c r="CE178" i="39"/>
  <c r="CN192" i="39"/>
  <c r="AP105" i="7"/>
  <c r="AK169" i="7"/>
  <c r="AK172" i="7" s="1"/>
  <c r="AC169" i="7"/>
  <c r="AC172" i="7" s="1"/>
  <c r="BT105" i="7"/>
  <c r="BL62" i="7"/>
  <c r="DI292" i="2"/>
  <c r="DK292" i="2"/>
  <c r="DL275" i="2"/>
  <c r="DM284" i="2"/>
  <c r="CK203" i="2"/>
  <c r="CK204" i="2" s="1"/>
  <c r="CQ327" i="1"/>
  <c r="DO284" i="2"/>
  <c r="DJ292" i="2"/>
  <c r="CF325" i="1"/>
  <c r="CY126" i="1"/>
  <c r="DG200" i="1"/>
  <c r="AP401" i="1"/>
  <c r="AV560" i="1"/>
  <c r="AV581" i="1" s="1"/>
  <c r="AV583" i="1" s="1"/>
  <c r="CF396" i="1"/>
  <c r="CF401" i="1"/>
  <c r="BE389" i="1"/>
  <c r="BJ70" i="1"/>
  <c r="BE80" i="1"/>
  <c r="BE560" i="1" s="1"/>
  <c r="BE581" i="1" s="1"/>
  <c r="BE583" i="1" s="1"/>
  <c r="Z325" i="1"/>
  <c r="Z326" i="1" s="1"/>
  <c r="BE491" i="1"/>
  <c r="BF496" i="1" s="1"/>
  <c r="BE74" i="1"/>
  <c r="BY174" i="7"/>
  <c r="DI13" i="7"/>
  <c r="BT174" i="7"/>
  <c r="DI14" i="7"/>
  <c r="CD174" i="7"/>
  <c r="DI24" i="7"/>
  <c r="DJ24" i="7" s="1"/>
  <c r="CI182" i="7"/>
  <c r="CI181" i="7" s="1"/>
  <c r="CI174" i="7"/>
  <c r="CT205" i="82"/>
  <c r="CY220" i="82" s="1"/>
  <c r="CU233" i="82"/>
  <c r="AE209" i="1"/>
  <c r="BM173" i="1"/>
  <c r="BM210" i="1" s="1"/>
  <c r="CR170" i="1"/>
  <c r="CR183" i="1" s="1"/>
  <c r="CK171" i="1"/>
  <c r="CK209" i="1" s="1"/>
  <c r="BX171" i="1"/>
  <c r="BX209" i="1" s="1"/>
  <c r="BN208" i="1"/>
  <c r="BN216" i="1" s="1"/>
  <c r="BX217" i="1" s="1"/>
  <c r="AS171" i="1"/>
  <c r="AS209" i="1" s="1"/>
  <c r="AN171" i="1"/>
  <c r="AN209" i="1" s="1"/>
  <c r="AN173" i="1"/>
  <c r="AN210" i="1" s="1"/>
  <c r="AN208" i="1"/>
  <c r="AN175" i="1"/>
  <c r="AO175" i="1" s="1"/>
  <c r="AH208" i="1"/>
  <c r="AH173" i="1"/>
  <c r="AH210" i="1" s="1"/>
  <c r="AH178" i="1"/>
  <c r="AH183" i="1" s="1"/>
  <c r="AH171" i="1"/>
  <c r="AH209" i="1" s="1"/>
  <c r="BT221" i="1"/>
  <c r="BT230" i="1"/>
  <c r="BT231" i="1" s="1"/>
  <c r="BT232" i="1" s="1"/>
  <c r="BT234" i="1"/>
  <c r="BT235" i="1" s="1"/>
  <c r="BT236" i="1" s="1"/>
  <c r="BT216" i="1"/>
  <c r="AL230" i="1"/>
  <c r="AL231" i="1" s="1"/>
  <c r="AL232" i="1" s="1"/>
  <c r="AL216" i="1"/>
  <c r="AL221" i="1"/>
  <c r="AL222" i="1" s="1"/>
  <c r="AL223" i="1" s="1"/>
  <c r="BB173" i="1"/>
  <c r="BB210" i="1" s="1"/>
  <c r="BV216" i="1"/>
  <c r="BV221" i="1"/>
  <c r="BV230" i="1"/>
  <c r="BV234" i="1"/>
  <c r="BJ216" i="1"/>
  <c r="BJ221" i="1"/>
  <c r="BJ230" i="1"/>
  <c r="BJ234" i="1"/>
  <c r="BF216" i="1"/>
  <c r="BF221" i="1"/>
  <c r="BF230" i="1"/>
  <c r="BF234" i="1"/>
  <c r="BM178" i="1"/>
  <c r="BM183" i="1" s="1"/>
  <c r="CO230" i="1"/>
  <c r="CO231" i="1" s="1"/>
  <c r="CO234" i="1"/>
  <c r="CO221" i="1"/>
  <c r="CO222" i="1" s="1"/>
  <c r="CO223" i="1" s="1"/>
  <c r="CO216" i="1"/>
  <c r="CO210" i="1"/>
  <c r="CD176" i="1"/>
  <c r="CD177" i="1"/>
  <c r="CI176" i="1"/>
  <c r="CD178" i="1"/>
  <c r="CD183" i="1" s="1"/>
  <c r="AJ208" i="1"/>
  <c r="AJ183" i="1"/>
  <c r="AU221" i="1"/>
  <c r="AU230" i="1"/>
  <c r="AU234" i="1"/>
  <c r="AU216" i="1"/>
  <c r="AI177" i="1"/>
  <c r="AI176" i="1"/>
  <c r="AJ175" i="1"/>
  <c r="AI178" i="1"/>
  <c r="AI183" i="1" s="1"/>
  <c r="AR208" i="1"/>
  <c r="AW222" i="1" s="1"/>
  <c r="AR171" i="1"/>
  <c r="AR209" i="1" s="1"/>
  <c r="AR173" i="1"/>
  <c r="AR210" i="1" s="1"/>
  <c r="AR175" i="1"/>
  <c r="AW176" i="1" s="1"/>
  <c r="BG178" i="1"/>
  <c r="BG183" i="1" s="1"/>
  <c r="BG176" i="1"/>
  <c r="BG177" i="1"/>
  <c r="BJ178" i="1"/>
  <c r="BJ183" i="1" s="1"/>
  <c r="BJ176" i="1"/>
  <c r="BM234" i="1"/>
  <c r="BM221" i="1"/>
  <c r="BM230" i="1"/>
  <c r="BM216" i="1"/>
  <c r="BW178" i="1"/>
  <c r="BW183" i="1" s="1"/>
  <c r="BW176" i="1"/>
  <c r="BW177" i="1"/>
  <c r="CD216" i="1"/>
  <c r="CD221" i="1"/>
  <c r="CD234" i="1"/>
  <c r="CD235" i="1" s="1"/>
  <c r="CD236" i="1" s="1"/>
  <c r="CD230" i="1"/>
  <c r="CD231" i="1" s="1"/>
  <c r="CD232" i="1" s="1"/>
  <c r="AZ175" i="1"/>
  <c r="AZ171" i="1"/>
  <c r="AZ209" i="1" s="1"/>
  <c r="AZ208" i="1"/>
  <c r="AZ173" i="1"/>
  <c r="AZ210" i="1" s="1"/>
  <c r="CS191" i="1"/>
  <c r="CS197" i="1"/>
  <c r="CS203" i="1"/>
  <c r="CS208" i="1"/>
  <c r="CS173" i="1"/>
  <c r="CS171" i="1"/>
  <c r="CS209" i="1" s="1"/>
  <c r="CS175" i="1"/>
  <c r="CS183" i="1"/>
  <c r="CW170" i="1"/>
  <c r="CM171" i="1"/>
  <c r="CM209" i="1" s="1"/>
  <c r="CM208" i="1"/>
  <c r="CM216" i="1" s="1"/>
  <c r="CM178" i="1"/>
  <c r="CM183" i="1" s="1"/>
  <c r="AP208" i="1"/>
  <c r="AP175" i="1"/>
  <c r="AU176" i="1" s="1"/>
  <c r="AP173" i="1"/>
  <c r="AP210" i="1" s="1"/>
  <c r="AP171" i="1"/>
  <c r="AP209" i="1" s="1"/>
  <c r="AQ216" i="1"/>
  <c r="AQ230" i="1"/>
  <c r="AQ221" i="1"/>
  <c r="AQ222" i="1" s="1"/>
  <c r="AQ223" i="1" s="1"/>
  <c r="CE177" i="1"/>
  <c r="CE178" i="1"/>
  <c r="CE183" i="1" s="1"/>
  <c r="CJ176" i="1"/>
  <c r="BH175" i="1"/>
  <c r="BH208" i="1"/>
  <c r="BH173" i="1"/>
  <c r="BH210" i="1" s="1"/>
  <c r="BH171" i="1"/>
  <c r="BH209" i="1" s="1"/>
  <c r="BX225" i="1"/>
  <c r="BF74" i="1"/>
  <c r="BE170" i="1"/>
  <c r="BE325" i="1" s="1"/>
  <c r="CE216" i="1"/>
  <c r="CE230" i="1"/>
  <c r="CE231" i="1" s="1"/>
  <c r="CE232" i="1" s="1"/>
  <c r="CE234" i="1"/>
  <c r="CE221" i="1"/>
  <c r="CQ171" i="1"/>
  <c r="CQ209" i="1" s="1"/>
  <c r="CL178" i="1"/>
  <c r="CL183" i="1" s="1"/>
  <c r="CL173" i="1"/>
  <c r="CL210" i="1" s="1"/>
  <c r="CL171" i="1"/>
  <c r="CL209" i="1" s="1"/>
  <c r="CL208" i="1"/>
  <c r="CN210" i="1" s="1"/>
  <c r="BK178" i="1"/>
  <c r="BK183" i="1" s="1"/>
  <c r="BK176" i="1"/>
  <c r="BK177" i="1"/>
  <c r="CK216" i="1"/>
  <c r="CK221" i="1"/>
  <c r="CK234" i="1"/>
  <c r="CK210" i="1"/>
  <c r="CK230" i="1"/>
  <c r="CK231" i="1" s="1"/>
  <c r="BA171" i="1"/>
  <c r="BA209" i="1" s="1"/>
  <c r="AV208" i="1"/>
  <c r="AW231" i="1" s="1"/>
  <c r="AV171" i="1"/>
  <c r="AV209" i="1" s="1"/>
  <c r="AV175" i="1"/>
  <c r="AV173" i="1"/>
  <c r="AV210" i="1" s="1"/>
  <c r="CI216" i="1"/>
  <c r="CI230" i="1"/>
  <c r="CI231" i="1" s="1"/>
  <c r="CI221" i="1"/>
  <c r="CI234" i="1"/>
  <c r="BM171" i="1"/>
  <c r="BM209" i="1" s="1"/>
  <c r="CH171" i="1"/>
  <c r="CH209" i="1" s="1"/>
  <c r="CH208" i="1"/>
  <c r="CH216" i="1" s="1"/>
  <c r="CH178" i="1"/>
  <c r="CH183" i="1" s="1"/>
  <c r="CU171" i="1"/>
  <c r="CU209" i="1" s="1"/>
  <c r="CU183" i="1"/>
  <c r="CU191" i="1"/>
  <c r="CU197" i="1"/>
  <c r="CU203" i="1"/>
  <c r="CU208" i="1"/>
  <c r="CU173" i="1"/>
  <c r="CU210" i="1" s="1"/>
  <c r="CU175" i="1"/>
  <c r="AY208" i="1"/>
  <c r="AY216" i="1" s="1"/>
  <c r="AY178" i="1"/>
  <c r="AY183" i="1" s="1"/>
  <c r="AK178" i="1"/>
  <c r="AK183" i="1" s="1"/>
  <c r="AK176" i="1"/>
  <c r="AK177" i="1"/>
  <c r="AM177" i="1"/>
  <c r="AM178" i="1"/>
  <c r="AM183" i="1" s="1"/>
  <c r="AM176" i="1"/>
  <c r="BU208" i="1"/>
  <c r="BU173" i="1"/>
  <c r="BU210" i="1" s="1"/>
  <c r="BU171" i="1"/>
  <c r="BU209" i="1" s="1"/>
  <c r="BU175" i="1"/>
  <c r="CE176" i="1" s="1"/>
  <c r="AX208" i="1"/>
  <c r="AX171" i="1"/>
  <c r="AX209" i="1" s="1"/>
  <c r="BG216" i="1"/>
  <c r="BG221" i="1"/>
  <c r="BG222" i="1" s="1"/>
  <c r="BG223" i="1" s="1"/>
  <c r="BG230" i="1"/>
  <c r="BG231" i="1" s="1"/>
  <c r="BG232" i="1" s="1"/>
  <c r="BG234" i="1"/>
  <c r="CN176" i="1"/>
  <c r="CN177" i="1"/>
  <c r="CN178" i="1"/>
  <c r="CN183" i="1" s="1"/>
  <c r="BW216" i="1"/>
  <c r="BW221" i="1"/>
  <c r="BW222" i="1" s="1"/>
  <c r="BW223" i="1" s="1"/>
  <c r="BW230" i="1"/>
  <c r="BW231" i="1" s="1"/>
  <c r="BW232" i="1" s="1"/>
  <c r="BW234" i="1"/>
  <c r="CQ208" i="1"/>
  <c r="CQ173" i="1"/>
  <c r="CQ175" i="1"/>
  <c r="CT183" i="1"/>
  <c r="CT191" i="1"/>
  <c r="CT197" i="1"/>
  <c r="CT203" i="1"/>
  <c r="CT208" i="1"/>
  <c r="CT171" i="1"/>
  <c r="CT209" i="1" s="1"/>
  <c r="CT175" i="1"/>
  <c r="CT173" i="1"/>
  <c r="AK216" i="1"/>
  <c r="AK221" i="1"/>
  <c r="AM221" i="1"/>
  <c r="AM230" i="1"/>
  <c r="AM231" i="1" s="1"/>
  <c r="AM232" i="1" s="1"/>
  <c r="AM216" i="1"/>
  <c r="CE171" i="1"/>
  <c r="CE209" i="1" s="1"/>
  <c r="BC171" i="1"/>
  <c r="BC209" i="1" s="1"/>
  <c r="BT177" i="1"/>
  <c r="BT176" i="1"/>
  <c r="BT178" i="1"/>
  <c r="BT183" i="1" s="1"/>
  <c r="BV171" i="1"/>
  <c r="BV209" i="1" s="1"/>
  <c r="BL171" i="1"/>
  <c r="BL209" i="1" s="1"/>
  <c r="BL173" i="1"/>
  <c r="BL210" i="1" s="1"/>
  <c r="BL208" i="1"/>
  <c r="BL175" i="1"/>
  <c r="BM177" i="1" s="1"/>
  <c r="BB178" i="1"/>
  <c r="CN221" i="1"/>
  <c r="CN222" i="1" s="1"/>
  <c r="CN223" i="1" s="1"/>
  <c r="CN230" i="1"/>
  <c r="CN234" i="1"/>
  <c r="CN216" i="1"/>
  <c r="CI177" i="1"/>
  <c r="CG178" i="1"/>
  <c r="CG183" i="1" s="1"/>
  <c r="CL176" i="1"/>
  <c r="CG176" i="1"/>
  <c r="CO178" i="1"/>
  <c r="CO183" i="1" s="1"/>
  <c r="CO176" i="1"/>
  <c r="CO177" i="1"/>
  <c r="P178" i="1"/>
  <c r="P183" i="1"/>
  <c r="CJ216" i="1"/>
  <c r="CJ221" i="1"/>
  <c r="CJ222" i="1" s="1"/>
  <c r="CJ223" i="1" s="1"/>
  <c r="CJ234" i="1"/>
  <c r="CJ230" i="1"/>
  <c r="CJ231" i="1" s="1"/>
  <c r="CJ210" i="1"/>
  <c r="CP208" i="1"/>
  <c r="CP173" i="1"/>
  <c r="CP171" i="1"/>
  <c r="CP209" i="1" s="1"/>
  <c r="CP175" i="1"/>
  <c r="AO171" i="1"/>
  <c r="AO209" i="1" s="1"/>
  <c r="AO183" i="1"/>
  <c r="AO208" i="1"/>
  <c r="AO216" i="1" s="1"/>
  <c r="AU178" i="1"/>
  <c r="AU183" i="1" s="1"/>
  <c r="BC234" i="1"/>
  <c r="BC221" i="1"/>
  <c r="BC230" i="1"/>
  <c r="BC231" i="1" s="1"/>
  <c r="BC232" i="1" s="1"/>
  <c r="BC216" i="1"/>
  <c r="BK234" i="1"/>
  <c r="BK216" i="1"/>
  <c r="BK221" i="1"/>
  <c r="BK222" i="1" s="1"/>
  <c r="BK223" i="1" s="1"/>
  <c r="BK230" i="1"/>
  <c r="BK231" i="1" s="1"/>
  <c r="BK232" i="1" s="1"/>
  <c r="BB221" i="1"/>
  <c r="BB216" i="1"/>
  <c r="BB217" i="1" s="1"/>
  <c r="BB230" i="1"/>
  <c r="BB234" i="1"/>
  <c r="BV178" i="1"/>
  <c r="BV183" i="1" s="1"/>
  <c r="BJ173" i="1"/>
  <c r="BJ210" i="1" s="1"/>
  <c r="CI210" i="1"/>
  <c r="CG234" i="1"/>
  <c r="CG216" i="1"/>
  <c r="CG221" i="1"/>
  <c r="CG222" i="1" s="1"/>
  <c r="CG223" i="1" s="1"/>
  <c r="CG230" i="1"/>
  <c r="AS208" i="1"/>
  <c r="AS173" i="1"/>
  <c r="AS210" i="1" s="1"/>
  <c r="AS175" i="1"/>
  <c r="AU177" i="1" s="1"/>
  <c r="CV191" i="1"/>
  <c r="CV197" i="1"/>
  <c r="CV203" i="1"/>
  <c r="CV173" i="1"/>
  <c r="CV210" i="1" s="1"/>
  <c r="CV208" i="1"/>
  <c r="CV171" i="1"/>
  <c r="CV209" i="1" s="1"/>
  <c r="CV183" i="1"/>
  <c r="CV175" i="1"/>
  <c r="BA173" i="1"/>
  <c r="BA210" i="1" s="1"/>
  <c r="BA208" i="1"/>
  <c r="BA183" i="1"/>
  <c r="BA175" i="1"/>
  <c r="AQ178" i="1"/>
  <c r="AQ183" i="1" s="1"/>
  <c r="AQ176" i="1"/>
  <c r="AU171" i="1"/>
  <c r="AU209" i="1" s="1"/>
  <c r="AL176" i="1"/>
  <c r="AL178" i="1"/>
  <c r="AL183" i="1" s="1"/>
  <c r="AL177" i="1"/>
  <c r="CF208" i="1"/>
  <c r="CF173" i="1"/>
  <c r="CF210" i="1" s="1"/>
  <c r="CF171" i="1"/>
  <c r="CF209" i="1" s="1"/>
  <c r="CF175" i="1"/>
  <c r="CG177" i="1" s="1"/>
  <c r="BV173" i="1"/>
  <c r="BV210" i="1" s="1"/>
  <c r="Z176" i="1"/>
  <c r="Z178" i="1"/>
  <c r="AE176" i="1"/>
  <c r="Z183" i="1"/>
  <c r="Z180" i="1"/>
  <c r="AE180" i="1"/>
  <c r="U180" i="1"/>
  <c r="U183" i="1"/>
  <c r="U176" i="1"/>
  <c r="U178" i="1"/>
  <c r="DL200" i="1"/>
  <c r="DM200" i="1"/>
  <c r="DG180" i="1"/>
  <c r="DG181" i="1"/>
  <c r="DG204" i="1"/>
  <c r="DG190" i="1"/>
  <c r="DG196" i="1"/>
  <c r="DL180" i="1"/>
  <c r="DL181" i="1"/>
  <c r="BL401" i="1"/>
  <c r="DC482" i="1"/>
  <c r="CY483" i="1"/>
  <c r="CX482" i="1"/>
  <c r="BU81" i="1"/>
  <c r="BU561" i="1" s="1"/>
  <c r="BC392" i="2"/>
  <c r="AU478" i="1"/>
  <c r="AU458" i="1" s="1"/>
  <c r="DA234" i="82"/>
  <c r="CW345" i="82"/>
  <c r="CW346" i="82" s="1"/>
  <c r="CK327" i="1"/>
  <c r="CT219" i="82"/>
  <c r="CP233" i="82"/>
  <c r="CO205" i="82"/>
  <c r="CO220" i="82" s="1"/>
  <c r="CO210" i="2"/>
  <c r="CQ233" i="82"/>
  <c r="CV219" i="82"/>
  <c r="DB205" i="82"/>
  <c r="BI383" i="1"/>
  <c r="BC393" i="2"/>
  <c r="BE393" i="2"/>
  <c r="AK387" i="1"/>
  <c r="BF385" i="1"/>
  <c r="BA386" i="1"/>
  <c r="CI87" i="2"/>
  <c r="CG203" i="2"/>
  <c r="CH203" i="2" s="1"/>
  <c r="CU348" i="82"/>
  <c r="CG327" i="1"/>
  <c r="CP346" i="82"/>
  <c r="CP349" i="82" s="1"/>
  <c r="CG87" i="2"/>
  <c r="AU385" i="1"/>
  <c r="AZ15" i="3"/>
  <c r="DG205" i="82"/>
  <c r="CQ203" i="2"/>
  <c r="CQ212" i="2" s="1"/>
  <c r="CP211" i="2"/>
  <c r="AK385" i="1"/>
  <c r="AP385" i="1"/>
  <c r="CP210" i="2"/>
  <c r="BN328" i="1"/>
  <c r="AX385" i="1"/>
  <c r="CK210" i="2"/>
  <c r="AS386" i="1"/>
  <c r="BN383" i="1"/>
  <c r="AZ392" i="2"/>
  <c r="AR386" i="1"/>
  <c r="S483" i="113"/>
  <c r="DG180" i="82"/>
  <c r="T23" i="113"/>
  <c r="T37" i="113" s="1"/>
  <c r="AU386" i="1"/>
  <c r="AK15" i="3"/>
  <c r="CL210" i="2"/>
  <c r="AP387" i="1"/>
  <c r="CQ210" i="2"/>
  <c r="AX387" i="1"/>
  <c r="AS387" i="1"/>
  <c r="BX331" i="1"/>
  <c r="CQ211" i="2"/>
  <c r="AQ386" i="1"/>
  <c r="CL211" i="2"/>
  <c r="BT333" i="1"/>
  <c r="CK64" i="2"/>
  <c r="AQ387" i="1"/>
  <c r="AT384" i="1"/>
  <c r="AL386" i="1"/>
  <c r="AZ393" i="2"/>
  <c r="BU61" i="2"/>
  <c r="E37" i="113"/>
  <c r="BA385" i="1"/>
  <c r="AV385" i="1"/>
  <c r="AV386" i="1"/>
  <c r="AP15" i="3"/>
  <c r="CN140" i="2"/>
  <c r="CL140" i="2"/>
  <c r="BN331" i="1"/>
  <c r="CJ384" i="2"/>
  <c r="CO140" i="2"/>
  <c r="CI133" i="2"/>
  <c r="F37" i="113"/>
  <c r="BN327" i="1"/>
  <c r="CQ367" i="2"/>
  <c r="CY212" i="2"/>
  <c r="BE385" i="1"/>
  <c r="DJ210" i="2"/>
  <c r="CR328" i="1"/>
  <c r="K23" i="113"/>
  <c r="CX360" i="2"/>
  <c r="AG340" i="2"/>
  <c r="O476" i="113"/>
  <c r="O477" i="113" s="1"/>
  <c r="O297" i="113"/>
  <c r="O299" i="113" s="1"/>
  <c r="DB226" i="2"/>
  <c r="H11" i="113"/>
  <c r="H12" i="113" s="1"/>
  <c r="AK175" i="2"/>
  <c r="BN332" i="1"/>
  <c r="CD24" i="2"/>
  <c r="CD330" i="1" s="1"/>
  <c r="CX210" i="2"/>
  <c r="CT327" i="1"/>
  <c r="CK211" i="2"/>
  <c r="AZ385" i="1"/>
  <c r="F32" i="2"/>
  <c r="F34" i="2" s="1"/>
  <c r="G37" i="113"/>
  <c r="AF340" i="2"/>
  <c r="CE212" i="2"/>
  <c r="AP167" i="2"/>
  <c r="BD383" i="1"/>
  <c r="BD390" i="2"/>
  <c r="V380" i="2"/>
  <c r="BI328" i="1"/>
  <c r="P23" i="113"/>
  <c r="P483" i="113" s="1"/>
  <c r="R23" i="113"/>
  <c r="S37" i="113" s="1"/>
  <c r="CL327" i="1"/>
  <c r="H23" i="113"/>
  <c r="H37" i="113" s="1"/>
  <c r="AP168" i="2"/>
  <c r="AZ386" i="1"/>
  <c r="C14" i="113"/>
  <c r="C25" i="113" s="1"/>
  <c r="BK159" i="2"/>
  <c r="DD212" i="2"/>
  <c r="X365" i="2"/>
  <c r="CR200" i="2"/>
  <c r="CZ19" i="2"/>
  <c r="X377" i="2"/>
  <c r="CJ210" i="2"/>
  <c r="I23" i="113"/>
  <c r="AD380" i="2"/>
  <c r="DC212" i="2"/>
  <c r="BI12" i="2"/>
  <c r="BI327" i="1" s="1"/>
  <c r="AJ69" i="2"/>
  <c r="CZ16" i="2"/>
  <c r="CY15" i="2"/>
  <c r="M11" i="113"/>
  <c r="N31" i="113" s="1"/>
  <c r="CU327" i="1"/>
  <c r="CT367" i="2"/>
  <c r="CJ327" i="1"/>
  <c r="L23" i="113"/>
  <c r="DO324" i="82"/>
  <c r="DO206" i="82" s="1"/>
  <c r="K32" i="2"/>
  <c r="K34" i="2" s="1"/>
  <c r="W380" i="2"/>
  <c r="CF212" i="2"/>
  <c r="AY383" i="1"/>
  <c r="AJ383" i="1"/>
  <c r="AO17" i="2"/>
  <c r="AO328" i="1" s="1"/>
  <c r="G11" i="113"/>
  <c r="G12" i="113" s="1"/>
  <c r="R86" i="2"/>
  <c r="DL226" i="2"/>
  <c r="DC226" i="2"/>
  <c r="Q23" i="113"/>
  <c r="AU15" i="3"/>
  <c r="BJ158" i="2"/>
  <c r="CP327" i="1"/>
  <c r="AG157" i="2"/>
  <c r="AT383" i="1"/>
  <c r="AP157" i="2"/>
  <c r="J11" i="113"/>
  <c r="K157" i="2"/>
  <c r="CZ210" i="2"/>
  <c r="M23" i="113"/>
  <c r="N37" i="113" s="1"/>
  <c r="X340" i="2"/>
  <c r="BF159" i="2"/>
  <c r="J23" i="113"/>
  <c r="I11" i="113"/>
  <c r="K11" i="113"/>
  <c r="CH17" i="2"/>
  <c r="CZ11" i="2"/>
  <c r="CX126" i="1"/>
  <c r="BI69" i="1"/>
  <c r="AI55" i="2"/>
  <c r="BB393" i="2"/>
  <c r="BB392" i="2"/>
  <c r="BU386" i="2"/>
  <c r="BU383" i="2"/>
  <c r="Y497" i="1"/>
  <c r="AZ387" i="1"/>
  <c r="AQ385" i="1"/>
  <c r="AL387" i="1"/>
  <c r="AL385" i="1"/>
  <c r="BI384" i="2"/>
  <c r="CL325" i="1"/>
  <c r="P87" i="1"/>
  <c r="AV325" i="1"/>
  <c r="CL401" i="1"/>
  <c r="CL392" i="1"/>
  <c r="CQ393" i="1" s="1"/>
  <c r="CQ405" i="1" s="1"/>
  <c r="AV401" i="1"/>
  <c r="BV492" i="1"/>
  <c r="BU325" i="1"/>
  <c r="BU401" i="1"/>
  <c r="BA392" i="2"/>
  <c r="BA393" i="2"/>
  <c r="BB386" i="1"/>
  <c r="AP396" i="1"/>
  <c r="AP325" i="1"/>
  <c r="AG169" i="7"/>
  <c r="AG172" i="7" s="1"/>
  <c r="AM386" i="1"/>
  <c r="AR385" i="1"/>
  <c r="AN386" i="1"/>
  <c r="AS385" i="1"/>
  <c r="BC386" i="1"/>
  <c r="AP386" i="1"/>
  <c r="AM387" i="1"/>
  <c r="AO384" i="1"/>
  <c r="AN385" i="1"/>
  <c r="BB387" i="1"/>
  <c r="AN396" i="1"/>
  <c r="BH81" i="1"/>
  <c r="BH373" i="1" s="1"/>
  <c r="BH375" i="1" s="1"/>
  <c r="BH376" i="1" s="1"/>
  <c r="BH370" i="1" s="1"/>
  <c r="BU387" i="2"/>
  <c r="X497" i="1"/>
  <c r="CL496" i="1"/>
  <c r="BC387" i="1"/>
  <c r="BD384" i="1"/>
  <c r="BH385" i="1"/>
  <c r="BC385" i="1"/>
  <c r="V497" i="1"/>
  <c r="BU385" i="2"/>
  <c r="BU9" i="2"/>
  <c r="BU388" i="2"/>
  <c r="BE386" i="1"/>
  <c r="W497" i="1"/>
  <c r="BU337" i="2"/>
  <c r="BI340" i="2"/>
  <c r="AY384" i="1"/>
  <c r="Z396" i="1"/>
  <c r="BG367" i="2"/>
  <c r="BF367" i="2"/>
  <c r="Z87" i="1"/>
  <c r="BU580" i="1"/>
  <c r="BU579" i="1" s="1"/>
  <c r="BU582" i="1" s="1"/>
  <c r="BL325" i="1"/>
  <c r="BL496" i="1"/>
  <c r="AP496" i="1"/>
  <c r="AH492" i="1"/>
  <c r="AV392" i="2"/>
  <c r="AR87" i="1"/>
  <c r="BE478" i="1"/>
  <c r="BF476" i="1"/>
  <c r="CQ492" i="1"/>
  <c r="BN340" i="2"/>
  <c r="BE367" i="2"/>
  <c r="BH367" i="2"/>
  <c r="BF42" i="1"/>
  <c r="CI580" i="1"/>
  <c r="CI579" i="1" s="1"/>
  <c r="BI585" i="1"/>
  <c r="AH87" i="1"/>
  <c r="BH42" i="1"/>
  <c r="BH325" i="1"/>
  <c r="BH401" i="1"/>
  <c r="BN37" i="1"/>
  <c r="BG42" i="1"/>
  <c r="AZ609" i="1"/>
  <c r="AZ495" i="1" s="1"/>
  <c r="AX581" i="1"/>
  <c r="AX583" i="1" s="1"/>
  <c r="AX605" i="1" s="1"/>
  <c r="AX580" i="1"/>
  <c r="AH325" i="1"/>
  <c r="AH326" i="1" s="1"/>
  <c r="AR401" i="1"/>
  <c r="AX81" i="1"/>
  <c r="AX378" i="1" s="1"/>
  <c r="AX380" i="1" s="1"/>
  <c r="CL384" i="2"/>
  <c r="AH396" i="1"/>
  <c r="BL580" i="1"/>
  <c r="BL579" i="1" s="1"/>
  <c r="BL582" i="1" s="1"/>
  <c r="AH401" i="1"/>
  <c r="AR325" i="1"/>
  <c r="AW326" i="1" s="1"/>
  <c r="J29" i="113"/>
  <c r="BH581" i="1"/>
  <c r="BH583" i="1" s="1"/>
  <c r="BH605" i="1" s="1"/>
  <c r="BH580" i="1"/>
  <c r="BE517" i="1"/>
  <c r="BE559" i="1" s="1"/>
  <c r="AP175" i="2"/>
  <c r="AC87" i="1"/>
  <c r="BM62" i="7"/>
  <c r="BJ586" i="1"/>
  <c r="CL105" i="2"/>
  <c r="CI105" i="2"/>
  <c r="V379" i="2"/>
  <c r="W462" i="1"/>
  <c r="Q121" i="1"/>
  <c r="AY365" i="2"/>
  <c r="R80" i="7"/>
  <c r="R104" i="7" s="1"/>
  <c r="V389" i="1"/>
  <c r="V378" i="2"/>
  <c r="V381" i="2"/>
  <c r="R117" i="1"/>
  <c r="V13" i="2"/>
  <c r="Y365" i="2"/>
  <c r="V365" i="2"/>
  <c r="CN182" i="7"/>
  <c r="CN181" i="7" s="1"/>
  <c r="CN174" i="7"/>
  <c r="R464" i="1"/>
  <c r="CJ105" i="2"/>
  <c r="CK105" i="2"/>
  <c r="CR66" i="2"/>
  <c r="CV327" i="1"/>
  <c r="CS327" i="1"/>
  <c r="CO87" i="2"/>
  <c r="CO327" i="1"/>
  <c r="CW328" i="1"/>
  <c r="AJ328" i="1"/>
  <c r="AJ329" i="1" s="1"/>
  <c r="AJ327" i="1"/>
  <c r="BD328" i="1"/>
  <c r="BD327" i="1"/>
  <c r="AT328" i="1"/>
  <c r="AT327" i="1"/>
  <c r="CM327" i="1"/>
  <c r="CM328" i="1"/>
  <c r="AY328" i="1"/>
  <c r="AY327" i="1"/>
  <c r="BW560" i="1"/>
  <c r="BW580" i="1" s="1"/>
  <c r="AS517" i="1"/>
  <c r="AS42" i="1"/>
  <c r="BX339" i="1"/>
  <c r="T102" i="1"/>
  <c r="CU485" i="1"/>
  <c r="AY462" i="1"/>
  <c r="BE42" i="1"/>
  <c r="CV485" i="1"/>
  <c r="AU560" i="1"/>
  <c r="AU580" i="1" s="1"/>
  <c r="BC560" i="1"/>
  <c r="BC580" i="1" s="1"/>
  <c r="CH339" i="1"/>
  <c r="DF53" i="1"/>
  <c r="DB53" i="1"/>
  <c r="BI37" i="1"/>
  <c r="BI586" i="1" s="1"/>
  <c r="BG560" i="1"/>
  <c r="BG581" i="1" s="1"/>
  <c r="BG583" i="1" s="1"/>
  <c r="BG605" i="1" s="1"/>
  <c r="BB560" i="1"/>
  <c r="BB580" i="1" s="1"/>
  <c r="DE53" i="1"/>
  <c r="CL313" i="82"/>
  <c r="CL387" i="2"/>
  <c r="CL386" i="2"/>
  <c r="CL143" i="2"/>
  <c r="CL137" i="2"/>
  <c r="CL385" i="2"/>
  <c r="CL388" i="2"/>
  <c r="CL130" i="2"/>
  <c r="CL146" i="2"/>
  <c r="CL9" i="2"/>
  <c r="CL383" i="2"/>
  <c r="BM560" i="1"/>
  <c r="BM580" i="1" s="1"/>
  <c r="BK560" i="1"/>
  <c r="BK580" i="1" s="1"/>
  <c r="AZ517" i="1"/>
  <c r="BA517" i="1"/>
  <c r="CS485" i="1"/>
  <c r="BV560" i="1"/>
  <c r="BV581" i="1" s="1"/>
  <c r="BV583" i="1" s="1"/>
  <c r="BV605" i="1" s="1"/>
  <c r="BJ560" i="1"/>
  <c r="BJ581" i="1" s="1"/>
  <c r="CW568" i="1"/>
  <c r="BF560" i="1"/>
  <c r="BF581" i="1" s="1"/>
  <c r="BF583" i="1" s="1"/>
  <c r="BF605" i="1" s="1"/>
  <c r="DD53" i="1"/>
  <c r="CF387" i="2"/>
  <c r="CF388" i="2"/>
  <c r="CF384" i="2"/>
  <c r="CF383" i="2"/>
  <c r="CF385" i="2"/>
  <c r="CF386" i="2"/>
  <c r="CF9" i="2"/>
  <c r="BN339" i="1"/>
  <c r="CT485" i="1"/>
  <c r="BT560" i="1"/>
  <c r="BT581" i="1" s="1"/>
  <c r="W37" i="1"/>
  <c r="T517" i="1"/>
  <c r="AJ517" i="1"/>
  <c r="AE339" i="1"/>
  <c r="BN517" i="1"/>
  <c r="BI339" i="1"/>
  <c r="AO517" i="1"/>
  <c r="AJ339" i="1"/>
  <c r="AY517" i="1"/>
  <c r="AY559" i="1" s="1"/>
  <c r="AT339" i="1"/>
  <c r="DD527" i="1"/>
  <c r="CK367" i="2"/>
  <c r="CM11" i="2"/>
  <c r="E9" i="113"/>
  <c r="E29" i="113" s="1"/>
  <c r="Z62" i="2"/>
  <c r="Z99" i="1"/>
  <c r="Z338" i="2"/>
  <c r="W365" i="2"/>
  <c r="AP349" i="2"/>
  <c r="AP73" i="2"/>
  <c r="CX329" i="1"/>
  <c r="AK157" i="2"/>
  <c r="CP329" i="1"/>
  <c r="CQ392" i="2"/>
  <c r="DC527" i="1"/>
  <c r="CL329" i="1"/>
  <c r="CQ329" i="1"/>
  <c r="CT329" i="1"/>
  <c r="CY329" i="1"/>
  <c r="BX517" i="1"/>
  <c r="CN329" i="1"/>
  <c r="CV329" i="1"/>
  <c r="DA329" i="1"/>
  <c r="CO329" i="1"/>
  <c r="DL329" i="1"/>
  <c r="CS329" i="1"/>
  <c r="DG329" i="1"/>
  <c r="CU329" i="1"/>
  <c r="CZ329" i="1"/>
  <c r="CK329" i="1"/>
  <c r="CM485" i="1"/>
  <c r="BI331" i="1"/>
  <c r="DL331" i="1"/>
  <c r="AE331" i="1"/>
  <c r="DB332" i="1"/>
  <c r="DE527" i="1"/>
  <c r="CM331" i="1"/>
  <c r="CG181" i="7"/>
  <c r="CM181" i="7"/>
  <c r="BS181" i="7"/>
  <c r="CH181" i="7"/>
  <c r="BK181" i="7"/>
  <c r="CF181" i="7"/>
  <c r="BL181" i="7"/>
  <c r="BM181" i="7"/>
  <c r="BN181" i="7"/>
  <c r="BR181" i="7"/>
  <c r="CC181" i="7"/>
  <c r="CL181" i="7"/>
  <c r="BQ181" i="7"/>
  <c r="BX181" i="7"/>
  <c r="CK181" i="7"/>
  <c r="CI170" i="7"/>
  <c r="CI171" i="7" s="1"/>
  <c r="CJ167" i="7" s="1"/>
  <c r="CN167" i="7" s="1"/>
  <c r="BO126" i="7"/>
  <c r="BO136" i="7"/>
  <c r="CD136" i="7"/>
  <c r="CI136" i="7"/>
  <c r="CD170" i="7"/>
  <c r="CD182" i="7"/>
  <c r="BT136" i="7"/>
  <c r="BY126" i="7"/>
  <c r="BY136" i="7"/>
  <c r="BO170" i="7"/>
  <c r="BO182" i="7"/>
  <c r="BY170" i="7"/>
  <c r="BY182" i="7"/>
  <c r="BT170" i="7"/>
  <c r="BT182" i="7"/>
  <c r="CD126" i="7"/>
  <c r="CI126" i="7"/>
  <c r="BT126" i="7"/>
  <c r="AK168" i="2"/>
  <c r="DC204" i="2"/>
  <c r="DH204" i="2"/>
  <c r="CO203" i="2"/>
  <c r="CQ393" i="2"/>
  <c r="DH212" i="2"/>
  <c r="DH46" i="7"/>
  <c r="DD209" i="7"/>
  <c r="DH19" i="7"/>
  <c r="DH45" i="7"/>
  <c r="DH47" i="7"/>
  <c r="DD211" i="7"/>
  <c r="DH21" i="7"/>
  <c r="DH58" i="7"/>
  <c r="CX87" i="2"/>
  <c r="CS392" i="2"/>
  <c r="DF205" i="2"/>
  <c r="CV64" i="2"/>
  <c r="J28" i="113"/>
  <c r="BA168" i="2"/>
  <c r="BF167" i="2"/>
  <c r="CV70" i="2"/>
  <c r="DM204" i="2"/>
  <c r="AY364" i="2"/>
  <c r="DA70" i="2"/>
  <c r="CV203" i="2"/>
  <c r="DA64" i="2"/>
  <c r="CS203" i="2"/>
  <c r="CS70" i="2"/>
  <c r="CS87" i="2"/>
  <c r="CX64" i="2"/>
  <c r="CS64" i="2"/>
  <c r="CO367" i="2"/>
  <c r="CX70" i="2"/>
  <c r="CZ205" i="2"/>
  <c r="DE205" i="2"/>
  <c r="CF205" i="2"/>
  <c r="DD204" i="2"/>
  <c r="CP367" i="2"/>
  <c r="DD205" i="2"/>
  <c r="CN367" i="2"/>
  <c r="AA384" i="2"/>
  <c r="CE205" i="2"/>
  <c r="AR62" i="7"/>
  <c r="BS63" i="7"/>
  <c r="AU62" i="7"/>
  <c r="Y169" i="7"/>
  <c r="AK105" i="7"/>
  <c r="CS98" i="3"/>
  <c r="CS99" i="3" s="1"/>
  <c r="U21" i="3"/>
  <c r="AC50" i="3"/>
  <c r="AU366" i="2"/>
  <c r="J10" i="113"/>
  <c r="J40" i="113" s="1"/>
  <c r="BE88" i="2"/>
  <c r="AF368" i="2"/>
  <c r="BG73" i="2"/>
  <c r="CU106" i="2"/>
  <c r="DJ109" i="2"/>
  <c r="AQ366" i="2"/>
  <c r="AK349" i="2"/>
  <c r="BH175" i="2"/>
  <c r="BX69" i="2"/>
  <c r="AH175" i="2"/>
  <c r="AN55" i="2"/>
  <c r="DE204" i="2"/>
  <c r="AL368" i="2"/>
  <c r="BK176" i="2"/>
  <c r="AA357" i="2"/>
  <c r="BH27" i="2"/>
  <c r="BF73" i="2"/>
  <c r="AH169" i="2"/>
  <c r="CL69" i="2"/>
  <c r="BC366" i="2"/>
  <c r="CQ106" i="2"/>
  <c r="CZ212" i="2"/>
  <c r="AS358" i="2"/>
  <c r="BH366" i="2"/>
  <c r="AM175" i="2"/>
  <c r="BF177" i="2"/>
  <c r="CV87" i="2"/>
  <c r="AB379" i="2"/>
  <c r="AI63" i="2"/>
  <c r="Y80" i="7"/>
  <c r="Y92" i="7" s="1"/>
  <c r="AF347" i="2"/>
  <c r="CQ87" i="2"/>
  <c r="AB384" i="2"/>
  <c r="DK204" i="2"/>
  <c r="AF86" i="2"/>
  <c r="AB357" i="2"/>
  <c r="AD379" i="2"/>
  <c r="DH205" i="2"/>
  <c r="DG136" i="2"/>
  <c r="V80" i="7"/>
  <c r="V89" i="7" s="1"/>
  <c r="AD378" i="2"/>
  <c r="DG203" i="2"/>
  <c r="CQ64" i="2"/>
  <c r="DF212" i="2"/>
  <c r="AJ62" i="2"/>
  <c r="AD389" i="1"/>
  <c r="AD381" i="2"/>
  <c r="DF204" i="2"/>
  <c r="DB136" i="2"/>
  <c r="AD13" i="2"/>
  <c r="AG347" i="2"/>
  <c r="AF356" i="2"/>
  <c r="AI339" i="2"/>
  <c r="AC380" i="2"/>
  <c r="DE56" i="1"/>
  <c r="DI55" i="1"/>
  <c r="DC56" i="1"/>
  <c r="DF55" i="1"/>
  <c r="DH55" i="1"/>
  <c r="DC55" i="1"/>
  <c r="DK586" i="1"/>
  <c r="DH69" i="1"/>
  <c r="DF56" i="1"/>
  <c r="DK55" i="1"/>
  <c r="DC53" i="1"/>
  <c r="DG51" i="1"/>
  <c r="DD56" i="1"/>
  <c r="DK69" i="1"/>
  <c r="DE55" i="1"/>
  <c r="DD55" i="1"/>
  <c r="AT370" i="2"/>
  <c r="BN339" i="2"/>
  <c r="BI378" i="2"/>
  <c r="DC44" i="7"/>
  <c r="AO332" i="1"/>
  <c r="AS55" i="2"/>
  <c r="BD369" i="2"/>
  <c r="BI371" i="2"/>
  <c r="BF349" i="2"/>
  <c r="DM543" i="1"/>
  <c r="CW370" i="2"/>
  <c r="BI29" i="2"/>
  <c r="AT367" i="2"/>
  <c r="BH88" i="2"/>
  <c r="BH150" i="2"/>
  <c r="BM341" i="2"/>
  <c r="AK91" i="7"/>
  <c r="AJ346" i="2"/>
  <c r="BM65" i="2"/>
  <c r="BM349" i="2"/>
  <c r="AR347" i="2"/>
  <c r="AM347" i="2"/>
  <c r="BI13" i="2"/>
  <c r="BN63" i="2"/>
  <c r="BH358" i="2"/>
  <c r="AJ369" i="2"/>
  <c r="BI377" i="2"/>
  <c r="BI381" i="2"/>
  <c r="BI380" i="2"/>
  <c r="BE366" i="2"/>
  <c r="BF366" i="2"/>
  <c r="BH157" i="2"/>
  <c r="BH166" i="2"/>
  <c r="BM73" i="2"/>
  <c r="BI379" i="2"/>
  <c r="BJ358" i="2"/>
  <c r="BG366" i="2"/>
  <c r="BJ88" i="2"/>
  <c r="BN371" i="2"/>
  <c r="BA157" i="2"/>
  <c r="BA175" i="2"/>
  <c r="AY371" i="2"/>
  <c r="BN369" i="2"/>
  <c r="BA73" i="2"/>
  <c r="AY372" i="2"/>
  <c r="DK543" i="1"/>
  <c r="BI372" i="2"/>
  <c r="BE617" i="1"/>
  <c r="BI462" i="1"/>
  <c r="AP492" i="1"/>
  <c r="AY568" i="1"/>
  <c r="AY485" i="1"/>
  <c r="BI568" i="1"/>
  <c r="DM104" i="1"/>
  <c r="AU74" i="1"/>
  <c r="AJ485" i="1"/>
  <c r="BE70" i="1"/>
  <c r="DM103" i="1"/>
  <c r="CX122" i="1"/>
  <c r="CX625" i="1" s="1"/>
  <c r="DG115" i="82"/>
  <c r="T289" i="113" s="1"/>
  <c r="T307" i="113" s="1"/>
  <c r="DK212" i="2"/>
  <c r="DB481" i="1"/>
  <c r="DA484" i="1" s="1"/>
  <c r="CZ483" i="1"/>
  <c r="DG30" i="82"/>
  <c r="CY482" i="1"/>
  <c r="DM205" i="2"/>
  <c r="CX624" i="1"/>
  <c r="DM121" i="1"/>
  <c r="DM212" i="2"/>
  <c r="CX123" i="1"/>
  <c r="CX127" i="1"/>
  <c r="BZ72" i="3" s="1"/>
  <c r="DR51" i="1"/>
  <c r="CX617" i="1"/>
  <c r="DG45" i="82"/>
  <c r="T219" i="113" s="1"/>
  <c r="DM9" i="82"/>
  <c r="DM24" i="82" s="1"/>
  <c r="BF325" i="1"/>
  <c r="BF401" i="1"/>
  <c r="BF396" i="1"/>
  <c r="DG120" i="82"/>
  <c r="DG122" i="82" s="1"/>
  <c r="T406" i="113"/>
  <c r="T409" i="113"/>
  <c r="U446" i="113"/>
  <c r="U445" i="113"/>
  <c r="U444" i="113"/>
  <c r="U225" i="113"/>
  <c r="DL123" i="82"/>
  <c r="DQ134" i="82"/>
  <c r="U219" i="113"/>
  <c r="DL46" i="82"/>
  <c r="T410" i="113"/>
  <c r="T408" i="113"/>
  <c r="T446" i="113"/>
  <c r="T444" i="113"/>
  <c r="T86" i="113"/>
  <c r="T114" i="113" s="1"/>
  <c r="U49" i="113"/>
  <c r="U77" i="113" s="1"/>
  <c r="DL127" i="82"/>
  <c r="CZ234" i="82"/>
  <c r="DG40" i="82"/>
  <c r="DL30" i="82"/>
  <c r="DL115" i="82"/>
  <c r="DM193" i="82"/>
  <c r="DM257" i="82" s="1"/>
  <c r="CS46" i="3"/>
  <c r="AT369" i="2"/>
  <c r="BF81" i="1"/>
  <c r="BF87" i="1" s="1"/>
  <c r="BF565" i="1" s="1"/>
  <c r="DM55" i="1"/>
  <c r="DM51" i="1"/>
  <c r="DM69" i="1"/>
  <c r="DL585" i="1"/>
  <c r="DL50" i="1"/>
  <c r="AM167" i="2"/>
  <c r="AH168" i="2"/>
  <c r="AP399" i="1"/>
  <c r="CR533" i="1"/>
  <c r="CR542" i="1" s="1"/>
  <c r="CI70" i="3"/>
  <c r="CN71" i="3" s="1"/>
  <c r="CN74" i="3"/>
  <c r="CF71" i="3"/>
  <c r="CI81" i="3"/>
  <c r="CI392" i="1"/>
  <c r="DG325" i="82"/>
  <c r="DG380" i="82" s="1"/>
  <c r="CI74" i="3"/>
  <c r="AN398" i="1"/>
  <c r="DF125" i="1"/>
  <c r="CT624" i="1"/>
  <c r="AN401" i="1"/>
  <c r="CW533" i="1"/>
  <c r="AN399" i="1"/>
  <c r="DA126" i="1"/>
  <c r="AS398" i="1"/>
  <c r="AN400" i="1"/>
  <c r="AO526" i="1"/>
  <c r="AO527" i="1" s="1"/>
  <c r="DH126" i="1"/>
  <c r="DF126" i="1"/>
  <c r="AN548" i="1"/>
  <c r="AN549" i="1" s="1"/>
  <c r="AN550" i="1" s="1"/>
  <c r="DK125" i="1"/>
  <c r="AK401" i="1"/>
  <c r="CI561" i="1"/>
  <c r="Y76" i="3"/>
  <c r="AT378" i="2"/>
  <c r="AP366" i="2"/>
  <c r="AS65" i="2"/>
  <c r="AT381" i="2"/>
  <c r="BF169" i="2"/>
  <c r="O36" i="113"/>
  <c r="DL37" i="1"/>
  <c r="CW121" i="1"/>
  <c r="DB122" i="1" s="1"/>
  <c r="DI42" i="1"/>
  <c r="DM499" i="1"/>
  <c r="DH9" i="82"/>
  <c r="DG13" i="82"/>
  <c r="DG14" i="82" s="1"/>
  <c r="DG163" i="82" s="1"/>
  <c r="DG24" i="82"/>
  <c r="DM500" i="1"/>
  <c r="DK9" i="82"/>
  <c r="DK40" i="82" s="1"/>
  <c r="DH42" i="1"/>
  <c r="DK42" i="1"/>
  <c r="H14" i="11"/>
  <c r="J14" i="11"/>
  <c r="J41" i="11" s="1"/>
  <c r="F41" i="11"/>
  <c r="K14" i="11"/>
  <c r="E41" i="11"/>
  <c r="G14" i="11"/>
  <c r="AK96" i="7"/>
  <c r="AG175" i="2"/>
  <c r="AN533" i="1"/>
  <c r="AN535" i="1" s="1"/>
  <c r="AR456" i="1"/>
  <c r="AP549" i="1"/>
  <c r="AP550" i="1" s="1"/>
  <c r="U86" i="113"/>
  <c r="U103" i="113"/>
  <c r="Q36" i="113"/>
  <c r="I10" i="113"/>
  <c r="I30" i="113" s="1"/>
  <c r="I29" i="113"/>
  <c r="L10" i="113"/>
  <c r="M30" i="113" s="1"/>
  <c r="L29" i="113"/>
  <c r="S36" i="113"/>
  <c r="M36" i="113"/>
  <c r="P36" i="113"/>
  <c r="T36" i="113"/>
  <c r="U36" i="113"/>
  <c r="N36" i="113"/>
  <c r="L36" i="113"/>
  <c r="R36" i="113"/>
  <c r="AS341" i="2"/>
  <c r="AS88" i="2"/>
  <c r="BA167" i="2"/>
  <c r="AS29" i="2"/>
  <c r="CM369" i="2"/>
  <c r="AS27" i="2"/>
  <c r="AS150" i="2"/>
  <c r="AS166" i="2"/>
  <c r="CT123" i="1"/>
  <c r="AN492" i="1"/>
  <c r="AY325" i="1"/>
  <c r="AI118" i="1"/>
  <c r="AI119" i="1" s="1"/>
  <c r="AR496" i="1"/>
  <c r="BH492" i="1"/>
  <c r="DG193" i="82"/>
  <c r="AR492" i="1"/>
  <c r="AK492" i="1"/>
  <c r="CT122" i="1"/>
  <c r="BL492" i="1"/>
  <c r="AV496" i="1"/>
  <c r="BH496" i="1"/>
  <c r="CX343" i="2"/>
  <c r="BF151" i="2"/>
  <c r="AO371" i="2"/>
  <c r="U492" i="1"/>
  <c r="BF54" i="2"/>
  <c r="BF32" i="2"/>
  <c r="DI277" i="82"/>
  <c r="DD288" i="82"/>
  <c r="DC266" i="82"/>
  <c r="DC277" i="82"/>
  <c r="CZ263" i="82"/>
  <c r="DL269" i="82"/>
  <c r="DL263" i="82" s="1"/>
  <c r="DL309" i="82" s="1"/>
  <c r="DH263" i="82"/>
  <c r="CN291" i="82"/>
  <c r="DD266" i="82"/>
  <c r="CY263" i="82"/>
  <c r="CY288" i="82" s="1"/>
  <c r="DF263" i="82"/>
  <c r="DA263" i="82"/>
  <c r="DA266" i="82" s="1"/>
  <c r="CX291" i="82"/>
  <c r="AT377" i="2"/>
  <c r="AT13" i="2"/>
  <c r="AT379" i="2"/>
  <c r="BN370" i="2"/>
  <c r="BD371" i="2"/>
  <c r="AT63" i="2"/>
  <c r="G40" i="11"/>
  <c r="AT380" i="2"/>
  <c r="BJ176" i="2"/>
  <c r="AK94" i="7"/>
  <c r="AK104" i="7"/>
  <c r="BL159" i="2"/>
  <c r="AK89" i="7"/>
  <c r="AK82" i="7"/>
  <c r="AK73" i="7" s="1"/>
  <c r="AK92" i="7"/>
  <c r="AS366" i="2"/>
  <c r="AT339" i="2"/>
  <c r="AK98" i="7"/>
  <c r="AR366" i="2"/>
  <c r="CR369" i="2"/>
  <c r="AO370" i="2"/>
  <c r="AO372" i="2"/>
  <c r="AT365" i="2"/>
  <c r="AY370" i="2"/>
  <c r="CQ134" i="1"/>
  <c r="BS76" i="3"/>
  <c r="AY491" i="1"/>
  <c r="AW497" i="1" s="1"/>
  <c r="BL134" i="1"/>
  <c r="AX76" i="3"/>
  <c r="AB133" i="1"/>
  <c r="N76" i="3"/>
  <c r="AS432" i="1"/>
  <c r="AS435" i="1" s="1"/>
  <c r="CD134" i="1"/>
  <c r="BF76" i="3"/>
  <c r="J76" i="3"/>
  <c r="CF134" i="1"/>
  <c r="BH76" i="3"/>
  <c r="AY80" i="1"/>
  <c r="CW106" i="1"/>
  <c r="AU553" i="1"/>
  <c r="AU554" i="1" s="1"/>
  <c r="V134" i="1"/>
  <c r="H76" i="3"/>
  <c r="CW107" i="1"/>
  <c r="AB129" i="1"/>
  <c r="M76" i="3"/>
  <c r="BU72" i="3"/>
  <c r="CS9" i="7"/>
  <c r="CA63" i="7"/>
  <c r="DK41" i="1"/>
  <c r="AJ62" i="7"/>
  <c r="CV284" i="82"/>
  <c r="CV291" i="82"/>
  <c r="AC77" i="3"/>
  <c r="AC80" i="3"/>
  <c r="AC83" i="3" s="1"/>
  <c r="AC85" i="3" s="1"/>
  <c r="O81" i="3"/>
  <c r="AP74" i="3"/>
  <c r="AI74" i="3"/>
  <c r="CN414" i="82"/>
  <c r="AG168" i="2"/>
  <c r="BK158" i="2"/>
  <c r="AH32" i="2"/>
  <c r="AH157" i="2"/>
  <c r="BD367" i="2"/>
  <c r="AK167" i="2"/>
  <c r="P21" i="3"/>
  <c r="Y168" i="7"/>
  <c r="P32" i="3"/>
  <c r="P73" i="3"/>
  <c r="P76" i="3" s="1"/>
  <c r="CS23" i="7"/>
  <c r="K81" i="3"/>
  <c r="K73" i="3"/>
  <c r="K76" i="3" s="1"/>
  <c r="K32" i="3"/>
  <c r="U168" i="7"/>
  <c r="CN501" i="1"/>
  <c r="AE397" i="1"/>
  <c r="AE395" i="1"/>
  <c r="AY367" i="2"/>
  <c r="BY63" i="7"/>
  <c r="CW108" i="2"/>
  <c r="BL158" i="2"/>
  <c r="O74" i="3"/>
  <c r="BF168" i="2"/>
  <c r="AG54" i="2"/>
  <c r="Q14" i="11"/>
  <c r="BX347" i="2"/>
  <c r="AI63" i="7"/>
  <c r="CK127" i="1"/>
  <c r="BM76" i="3" s="1"/>
  <c r="X13" i="2"/>
  <c r="T80" i="7"/>
  <c r="T104" i="7" s="1"/>
  <c r="X381" i="2"/>
  <c r="X389" i="1"/>
  <c r="DG538" i="1"/>
  <c r="DG539" i="1" s="1"/>
  <c r="X380" i="2"/>
  <c r="AK396" i="1"/>
  <c r="AJ491" i="1"/>
  <c r="X378" i="2"/>
  <c r="Y356" i="2"/>
  <c r="X379" i="2"/>
  <c r="X339" i="2"/>
  <c r="X63" i="2"/>
  <c r="AU549" i="1"/>
  <c r="AU550" i="1" s="1"/>
  <c r="AS548" i="1"/>
  <c r="AS549" i="1" s="1"/>
  <c r="AS550" i="1" s="1"/>
  <c r="AS533" i="1"/>
  <c r="AU535" i="1" s="1"/>
  <c r="AT526" i="1"/>
  <c r="AT533" i="1" s="1"/>
  <c r="CM7" i="2"/>
  <c r="AP458" i="1"/>
  <c r="AA347" i="2"/>
  <c r="AK81" i="1"/>
  <c r="AK373" i="1" s="1"/>
  <c r="AK375" i="1" s="1"/>
  <c r="AK376" i="1" s="1"/>
  <c r="AX410" i="1"/>
  <c r="AX412" i="1" s="1"/>
  <c r="AX413" i="1" s="1"/>
  <c r="CM560" i="1"/>
  <c r="AG32" i="2"/>
  <c r="AG94" i="2"/>
  <c r="AH151" i="2"/>
  <c r="AG169" i="2"/>
  <c r="AG151" i="2"/>
  <c r="AH94" i="2"/>
  <c r="AH121" i="1"/>
  <c r="AM122" i="1" s="1"/>
  <c r="AH120" i="1"/>
  <c r="AN116" i="1"/>
  <c r="AA340" i="2"/>
  <c r="V347" i="2"/>
  <c r="AJ367" i="2"/>
  <c r="AM157" i="2"/>
  <c r="DB109" i="2"/>
  <c r="BK127" i="1"/>
  <c r="AD399" i="1"/>
  <c r="CM389" i="1"/>
  <c r="BV572" i="1"/>
  <c r="BV570" i="1" s="1"/>
  <c r="AG401" i="1"/>
  <c r="BN577" i="1"/>
  <c r="BK624" i="1"/>
  <c r="CM491" i="1"/>
  <c r="CR492" i="1" s="1"/>
  <c r="BN469" i="1"/>
  <c r="V340" i="2"/>
  <c r="V136" i="1"/>
  <c r="AD400" i="1"/>
  <c r="AX416" i="1"/>
  <c r="AX417" i="1" s="1"/>
  <c r="AX418" i="1" s="1"/>
  <c r="BH539" i="1"/>
  <c r="BH540" i="1" s="1"/>
  <c r="BE549" i="1"/>
  <c r="BE550" i="1" s="1"/>
  <c r="AJ80" i="1"/>
  <c r="CM559" i="1"/>
  <c r="V133" i="1"/>
  <c r="V377" i="2"/>
  <c r="BC548" i="1"/>
  <c r="BC549" i="1" s="1"/>
  <c r="BC550" i="1" s="1"/>
  <c r="V384" i="2"/>
  <c r="AH119" i="1"/>
  <c r="W378" i="2"/>
  <c r="W379" i="2"/>
  <c r="W377" i="2"/>
  <c r="Y357" i="2"/>
  <c r="X86" i="2"/>
  <c r="W339" i="2"/>
  <c r="W356" i="2"/>
  <c r="S80" i="7"/>
  <c r="S94" i="7" s="1"/>
  <c r="W389" i="1"/>
  <c r="W86" i="2"/>
  <c r="W381" i="2"/>
  <c r="Y384" i="2"/>
  <c r="X356" i="2"/>
  <c r="W63" i="2"/>
  <c r="AB340" i="2"/>
  <c r="W384" i="2"/>
  <c r="W13" i="2"/>
  <c r="W357" i="2"/>
  <c r="X357" i="2"/>
  <c r="AB347" i="2"/>
  <c r="W340" i="2"/>
  <c r="Z10" i="2"/>
  <c r="Y379" i="2"/>
  <c r="CH111" i="2"/>
  <c r="AS53" i="7"/>
  <c r="AS60" i="7" s="1"/>
  <c r="Y13" i="2"/>
  <c r="AI102" i="1"/>
  <c r="BC432" i="1"/>
  <c r="BC435" i="1" s="1"/>
  <c r="AB134" i="1"/>
  <c r="CW620" i="1"/>
  <c r="BD526" i="1"/>
  <c r="BD527" i="1" s="1"/>
  <c r="Y381" i="2"/>
  <c r="AI100" i="1"/>
  <c r="BC538" i="1"/>
  <c r="BD538" i="1" s="1"/>
  <c r="BD539" i="1" s="1"/>
  <c r="BK123" i="1"/>
  <c r="AD339" i="2"/>
  <c r="Y86" i="2"/>
  <c r="DL116" i="1"/>
  <c r="DL617" i="1" s="1"/>
  <c r="DL121" i="1"/>
  <c r="DL122" i="1" s="1"/>
  <c r="Y380" i="2"/>
  <c r="CF492" i="1"/>
  <c r="DL616" i="1"/>
  <c r="AD63" i="2"/>
  <c r="AO476" i="1"/>
  <c r="Y378" i="2"/>
  <c r="BX534" i="1"/>
  <c r="BX536" i="1" s="1"/>
  <c r="CK123" i="1"/>
  <c r="CI325" i="1"/>
  <c r="CT127" i="1"/>
  <c r="CT133" i="1" s="1"/>
  <c r="CW119" i="1"/>
  <c r="AB128" i="1"/>
  <c r="Y389" i="1"/>
  <c r="BC533" i="1"/>
  <c r="BC542" i="1" s="1"/>
  <c r="AK325" i="1"/>
  <c r="AJ99" i="1"/>
  <c r="AO100" i="1" s="1"/>
  <c r="CM332" i="1"/>
  <c r="Y377" i="2"/>
  <c r="U80" i="7"/>
  <c r="U104" i="7" s="1"/>
  <c r="Z9" i="2"/>
  <c r="AB136" i="1"/>
  <c r="AD401" i="1"/>
  <c r="AD377" i="2"/>
  <c r="CM378" i="82"/>
  <c r="AK73" i="2"/>
  <c r="BG121" i="1"/>
  <c r="BL122" i="1" s="1"/>
  <c r="BI369" i="2"/>
  <c r="BG349" i="2"/>
  <c r="BL177" i="2"/>
  <c r="CM108" i="2"/>
  <c r="BG119" i="1"/>
  <c r="R14" i="11"/>
  <c r="CI393" i="2"/>
  <c r="BN347" i="2"/>
  <c r="BX346" i="2"/>
  <c r="BN346" i="2"/>
  <c r="BH120" i="1"/>
  <c r="BL119" i="1"/>
  <c r="BL621" i="1" s="1"/>
  <c r="BG120" i="1"/>
  <c r="CS291" i="82"/>
  <c r="CW272" i="82"/>
  <c r="CW414" i="82" s="1"/>
  <c r="CS284" i="82"/>
  <c r="CT291" i="82"/>
  <c r="CM264" i="82"/>
  <c r="CM404" i="82"/>
  <c r="R474" i="1"/>
  <c r="X119" i="1"/>
  <c r="CS233" i="82"/>
  <c r="Z492" i="1"/>
  <c r="CT233" i="82"/>
  <c r="Q378" i="2"/>
  <c r="AC378" i="2"/>
  <c r="AC381" i="2"/>
  <c r="AC379" i="2"/>
  <c r="AC389" i="1"/>
  <c r="AD86" i="2"/>
  <c r="X80" i="7"/>
  <c r="X104" i="7" s="1"/>
  <c r="AH339" i="2"/>
  <c r="AH63" i="2"/>
  <c r="AD356" i="2"/>
  <c r="AC63" i="2"/>
  <c r="AC339" i="2"/>
  <c r="S384" i="2"/>
  <c r="S377" i="2"/>
  <c r="S13" i="2"/>
  <c r="CW608" i="1"/>
  <c r="X469" i="1"/>
  <c r="AT410" i="1"/>
  <c r="BV81" i="1"/>
  <c r="BV561" i="1" s="1"/>
  <c r="CW94" i="1"/>
  <c r="DL94" i="1"/>
  <c r="CS621" i="1"/>
  <c r="CW597" i="1"/>
  <c r="R41" i="1"/>
  <c r="CU621" i="1"/>
  <c r="AO80" i="1"/>
  <c r="AO70" i="1"/>
  <c r="R491" i="1"/>
  <c r="AE338" i="2"/>
  <c r="DG276" i="82"/>
  <c r="AD340" i="2"/>
  <c r="AD357" i="2"/>
  <c r="AE10" i="2"/>
  <c r="AK399" i="1"/>
  <c r="AH340" i="2"/>
  <c r="AC357" i="2"/>
  <c r="DL597" i="1"/>
  <c r="AI117" i="1"/>
  <c r="CX125" i="1"/>
  <c r="AC384" i="2"/>
  <c r="AC13" i="2"/>
  <c r="AC340" i="2"/>
  <c r="CF579" i="1"/>
  <c r="CF582" i="1" s="1"/>
  <c r="AI116" i="1"/>
  <c r="AF357" i="2"/>
  <c r="BD410" i="1"/>
  <c r="AC377" i="2"/>
  <c r="BD416" i="1"/>
  <c r="BD417" i="1" s="1"/>
  <c r="BD418" i="1" s="1"/>
  <c r="AI340" i="2"/>
  <c r="CT540" i="1"/>
  <c r="CX308" i="1"/>
  <c r="CX132" i="39" s="1"/>
  <c r="AD384" i="2"/>
  <c r="AM401" i="1"/>
  <c r="V339" i="2"/>
  <c r="S357" i="2"/>
  <c r="R356" i="2"/>
  <c r="R13" i="2"/>
  <c r="R377" i="2"/>
  <c r="Q380" i="2"/>
  <c r="BA42" i="1"/>
  <c r="AU401" i="1"/>
  <c r="CK624" i="1"/>
  <c r="DF553" i="1"/>
  <c r="DF554" i="1" s="1"/>
  <c r="BV496" i="1"/>
  <c r="DL598" i="1"/>
  <c r="W469" i="1"/>
  <c r="R121" i="1"/>
  <c r="W122" i="1" s="1"/>
  <c r="CT484" i="1"/>
  <c r="CO133" i="2"/>
  <c r="AB378" i="2"/>
  <c r="AZ42" i="1"/>
  <c r="BT479" i="1"/>
  <c r="BU479" i="1"/>
  <c r="CF122" i="1"/>
  <c r="BC100" i="1"/>
  <c r="BC604" i="1" s="1"/>
  <c r="AN496" i="1"/>
  <c r="BW123" i="1"/>
  <c r="CL579" i="1"/>
  <c r="CL582" i="1" s="1"/>
  <c r="BC602" i="1"/>
  <c r="DB111" i="2"/>
  <c r="P46" i="3"/>
  <c r="CW372" i="2"/>
  <c r="DL107" i="2"/>
  <c r="AX366" i="2"/>
  <c r="AH54" i="2"/>
  <c r="AY378" i="2"/>
  <c r="Q389" i="1"/>
  <c r="Q377" i="2"/>
  <c r="DB219" i="82"/>
  <c r="DG219" i="82"/>
  <c r="Q13" i="2"/>
  <c r="BM159" i="2"/>
  <c r="BM177" i="2"/>
  <c r="AI368" i="2"/>
  <c r="Q379" i="2"/>
  <c r="BC118" i="1"/>
  <c r="BE120" i="1" s="1"/>
  <c r="U87" i="1"/>
  <c r="CM372" i="2"/>
  <c r="CM111" i="2"/>
  <c r="Q381" i="2"/>
  <c r="BA349" i="2"/>
  <c r="CS205" i="82"/>
  <c r="CX220" i="82" s="1"/>
  <c r="V63" i="2"/>
  <c r="Q366" i="2"/>
  <c r="BL176" i="2"/>
  <c r="R107" i="1"/>
  <c r="DM234" i="82"/>
  <c r="BH100" i="1"/>
  <c r="CN234" i="7"/>
  <c r="DF284" i="82"/>
  <c r="DC291" i="82"/>
  <c r="DA297" i="82"/>
  <c r="DA291" i="82"/>
  <c r="DB272" i="82"/>
  <c r="DB297" i="82" s="1"/>
  <c r="CO284" i="82"/>
  <c r="CR272" i="82"/>
  <c r="CP291" i="82"/>
  <c r="CO291" i="82"/>
  <c r="CO414" i="82"/>
  <c r="AC347" i="2"/>
  <c r="CW111" i="2"/>
  <c r="CW380" i="82"/>
  <c r="AD134" i="1"/>
  <c r="CK122" i="1"/>
  <c r="CU127" i="1"/>
  <c r="AD136" i="1"/>
  <c r="R42" i="1"/>
  <c r="AG127" i="1"/>
  <c r="U66" i="113"/>
  <c r="CW385" i="1"/>
  <c r="BL123" i="1"/>
  <c r="AE62" i="2"/>
  <c r="AG63" i="2"/>
  <c r="AG339" i="2"/>
  <c r="AB381" i="2"/>
  <c r="AU456" i="1"/>
  <c r="AF81" i="1"/>
  <c r="AF87" i="1" s="1"/>
  <c r="AC365" i="2"/>
  <c r="BV325" i="1"/>
  <c r="AC356" i="2"/>
  <c r="AR378" i="1"/>
  <c r="AR380" i="1" s="1"/>
  <c r="AR381" i="1" s="1"/>
  <c r="AR371" i="1" s="1"/>
  <c r="S471" i="1"/>
  <c r="AD376" i="1"/>
  <c r="CH398" i="1"/>
  <c r="AB13" i="2"/>
  <c r="W80" i="7"/>
  <c r="W172" i="7" s="1"/>
  <c r="W347" i="2"/>
  <c r="DB331" i="1"/>
  <c r="CY553" i="1"/>
  <c r="CY554" i="1" s="1"/>
  <c r="BV127" i="1"/>
  <c r="BV133" i="1" s="1"/>
  <c r="AD365" i="2"/>
  <c r="AB377" i="2"/>
  <c r="R384" i="2"/>
  <c r="AB389" i="1"/>
  <c r="BV122" i="1"/>
  <c r="BV625" i="1" s="1"/>
  <c r="AB365" i="2"/>
  <c r="CM121" i="1"/>
  <c r="CR122" i="1" s="1"/>
  <c r="CL123" i="1"/>
  <c r="CQ123" i="1"/>
  <c r="AR373" i="1"/>
  <c r="AR375" i="1" s="1"/>
  <c r="AR376" i="1" s="1"/>
  <c r="AR370" i="1" s="1"/>
  <c r="AD128" i="1"/>
  <c r="BX400" i="1"/>
  <c r="AB63" i="2"/>
  <c r="CW331" i="1"/>
  <c r="AA356" i="2"/>
  <c r="BV624" i="1"/>
  <c r="AA365" i="2"/>
  <c r="AC86" i="2"/>
  <c r="AE383" i="2"/>
  <c r="S120" i="1"/>
  <c r="AB380" i="2"/>
  <c r="AJ338" i="2"/>
  <c r="F9" i="113"/>
  <c r="AV492" i="1"/>
  <c r="BV396" i="1"/>
  <c r="BX398" i="1"/>
  <c r="AJ527" i="1"/>
  <c r="AB339" i="2"/>
  <c r="CP392" i="2"/>
  <c r="CX234" i="82"/>
  <c r="AA381" i="2"/>
  <c r="CM26" i="2"/>
  <c r="CS106" i="2"/>
  <c r="BD370" i="2"/>
  <c r="CV106" i="2"/>
  <c r="BC102" i="1"/>
  <c r="BC603" i="1" s="1"/>
  <c r="AA86" i="2"/>
  <c r="DB67" i="2"/>
  <c r="DI109" i="2"/>
  <c r="DG107" i="2"/>
  <c r="DG111" i="2"/>
  <c r="DH220" i="82"/>
  <c r="CT106" i="2"/>
  <c r="P32" i="2"/>
  <c r="AE9" i="2"/>
  <c r="AA389" i="1"/>
  <c r="AA378" i="2"/>
  <c r="AA377" i="2"/>
  <c r="AM349" i="2"/>
  <c r="BA609" i="1"/>
  <c r="BA495" i="1" s="1"/>
  <c r="AF63" i="2"/>
  <c r="AA13" i="2"/>
  <c r="AA380" i="2"/>
  <c r="AM73" i="2"/>
  <c r="CR111" i="2"/>
  <c r="CW390" i="2"/>
  <c r="AB356" i="2"/>
  <c r="AA63" i="2"/>
  <c r="AA379" i="2"/>
  <c r="AB86" i="2"/>
  <c r="AF339" i="2"/>
  <c r="CM370" i="2"/>
  <c r="X326" i="1"/>
  <c r="AA339" i="2"/>
  <c r="DK109" i="2"/>
  <c r="DH109" i="2"/>
  <c r="DL111" i="2"/>
  <c r="X347" i="2"/>
  <c r="AD55" i="2"/>
  <c r="AH347" i="2"/>
  <c r="DM220" i="82"/>
  <c r="AA326" i="1"/>
  <c r="CI123" i="1"/>
  <c r="BX543" i="1"/>
  <c r="BX544" i="1" s="1"/>
  <c r="CV484" i="1"/>
  <c r="CZ515" i="1"/>
  <c r="V326" i="1"/>
  <c r="DB568" i="1"/>
  <c r="AO485" i="1"/>
  <c r="CQ501" i="1"/>
  <c r="CL122" i="1"/>
  <c r="CW332" i="1"/>
  <c r="CN479" i="1"/>
  <c r="Z376" i="1"/>
  <c r="CN133" i="2"/>
  <c r="CX515" i="1"/>
  <c r="BV479" i="1"/>
  <c r="AO491" i="1"/>
  <c r="AG376" i="1"/>
  <c r="CK621" i="1"/>
  <c r="AG123" i="1"/>
  <c r="CU484" i="1"/>
  <c r="CU122" i="1"/>
  <c r="DG303" i="1"/>
  <c r="AG81" i="1"/>
  <c r="AG87" i="1" s="1"/>
  <c r="CU393" i="2"/>
  <c r="DE212" i="2"/>
  <c r="CR12" i="2"/>
  <c r="AO29" i="2"/>
  <c r="CU105" i="2"/>
  <c r="T476" i="113"/>
  <c r="T477" i="113" s="1"/>
  <c r="T479" i="113" s="1"/>
  <c r="CU392" i="2"/>
  <c r="AM168" i="2"/>
  <c r="AO366" i="2"/>
  <c r="P54" i="2"/>
  <c r="W326" i="1"/>
  <c r="BK177" i="2"/>
  <c r="CT392" i="2"/>
  <c r="P169" i="2"/>
  <c r="CM371" i="2"/>
  <c r="P151" i="2"/>
  <c r="BD372" i="2"/>
  <c r="CR385" i="1"/>
  <c r="CW67" i="2"/>
  <c r="DF211" i="2"/>
  <c r="CJ367" i="2"/>
  <c r="DG207" i="2"/>
  <c r="CR105" i="2"/>
  <c r="CY234" i="82"/>
  <c r="CY125" i="1"/>
  <c r="AM81" i="1"/>
  <c r="AM378" i="1" s="1"/>
  <c r="AM380" i="1" s="1"/>
  <c r="AM381" i="1" s="1"/>
  <c r="AL81" i="1"/>
  <c r="AL378" i="1" s="1"/>
  <c r="AL380" i="1" s="1"/>
  <c r="AL381" i="1" s="1"/>
  <c r="AQ81" i="1"/>
  <c r="AQ378" i="1" s="1"/>
  <c r="AQ380" i="1" s="1"/>
  <c r="AQ381" i="1" s="1"/>
  <c r="AQ371" i="1" s="1"/>
  <c r="DJ543" i="1"/>
  <c r="CI9" i="2"/>
  <c r="CI387" i="2"/>
  <c r="CI143" i="2"/>
  <c r="CI313" i="82"/>
  <c r="CI388" i="2"/>
  <c r="CI140" i="2"/>
  <c r="CI383" i="2"/>
  <c r="CI130" i="2"/>
  <c r="CI137" i="2"/>
  <c r="CI385" i="2"/>
  <c r="CI146" i="2"/>
  <c r="CI384" i="2"/>
  <c r="CI386" i="2"/>
  <c r="BV9" i="2"/>
  <c r="BV388" i="2"/>
  <c r="BV354" i="2"/>
  <c r="BV383" i="2"/>
  <c r="BV337" i="2"/>
  <c r="BV384" i="2"/>
  <c r="BV84" i="2"/>
  <c r="CF61" i="2"/>
  <c r="BV386" i="2"/>
  <c r="CF337" i="2"/>
  <c r="BV385" i="2"/>
  <c r="BV61" i="2"/>
  <c r="BV387" i="2"/>
  <c r="DL303" i="1"/>
  <c r="CN492" i="1"/>
  <c r="CR69" i="1"/>
  <c r="AD81" i="1"/>
  <c r="AD87" i="1" s="1"/>
  <c r="DL203" i="2"/>
  <c r="K151" i="2"/>
  <c r="CX344" i="2"/>
  <c r="CX361" i="2"/>
  <c r="CQ391" i="2"/>
  <c r="CU367" i="2"/>
  <c r="CR108" i="2"/>
  <c r="CR340" i="2"/>
  <c r="K71" i="2"/>
  <c r="CX390" i="2"/>
  <c r="CX391" i="2" s="1"/>
  <c r="CS107" i="2"/>
  <c r="CY21" i="2"/>
  <c r="CZ22" i="2"/>
  <c r="CL391" i="2"/>
  <c r="K348" i="2"/>
  <c r="BN367" i="2"/>
  <c r="DC205" i="2"/>
  <c r="K73" i="2"/>
  <c r="CL367" i="2"/>
  <c r="K169" i="2"/>
  <c r="CW12" i="2"/>
  <c r="CL392" i="2"/>
  <c r="P71" i="2"/>
  <c r="BY15" i="3"/>
  <c r="DF103" i="2"/>
  <c r="BI370" i="2"/>
  <c r="CM207" i="2"/>
  <c r="CW207" i="2"/>
  <c r="CY205" i="2"/>
  <c r="K175" i="2"/>
  <c r="CN87" i="2"/>
  <c r="BI332" i="1"/>
  <c r="B14" i="113"/>
  <c r="B16" i="113" s="1"/>
  <c r="B18" i="113" s="1"/>
  <c r="BN372" i="2"/>
  <c r="BG604" i="1"/>
  <c r="BN69" i="2"/>
  <c r="CI367" i="2"/>
  <c r="AY533" i="1"/>
  <c r="CN128" i="1"/>
  <c r="CN129" i="1"/>
  <c r="CN133" i="1"/>
  <c r="CN134" i="1"/>
  <c r="AU602" i="1"/>
  <c r="AU102" i="1"/>
  <c r="AU118" i="1"/>
  <c r="AU100" i="1"/>
  <c r="AZ100" i="1"/>
  <c r="CY536" i="1"/>
  <c r="CG142" i="2"/>
  <c r="CG141" i="2"/>
  <c r="V18" i="3"/>
  <c r="S480" i="113"/>
  <c r="CR624" i="1"/>
  <c r="CN235" i="7"/>
  <c r="CG435" i="1"/>
  <c r="CG433" i="1"/>
  <c r="BU535" i="1"/>
  <c r="BU542" i="1"/>
  <c r="BU534" i="1"/>
  <c r="BU536" i="1" s="1"/>
  <c r="CV393" i="2"/>
  <c r="CV391" i="2"/>
  <c r="CV392" i="2"/>
  <c r="BM396" i="1"/>
  <c r="BM401" i="1"/>
  <c r="BM325" i="1"/>
  <c r="CI479" i="1"/>
  <c r="DC624" i="1"/>
  <c r="DC127" i="1"/>
  <c r="DC123" i="1"/>
  <c r="DC122" i="1"/>
  <c r="CO415" i="82"/>
  <c r="CO292" i="82"/>
  <c r="CO278" i="82"/>
  <c r="CR482" i="1"/>
  <c r="CE625" i="1"/>
  <c r="DA542" i="1"/>
  <c r="DA543" i="1" s="1"/>
  <c r="DA534" i="1"/>
  <c r="DA552" i="1"/>
  <c r="DA553" i="1" s="1"/>
  <c r="DA554" i="1" s="1"/>
  <c r="DA535" i="1"/>
  <c r="CW375" i="1"/>
  <c r="CW376" i="1" s="1"/>
  <c r="CW452" i="1"/>
  <c r="BI602" i="1"/>
  <c r="BI105" i="1"/>
  <c r="BN106" i="1" s="1"/>
  <c r="BI100" i="1"/>
  <c r="BI102" i="1"/>
  <c r="CI128" i="1"/>
  <c r="CI133" i="1"/>
  <c r="CI136" i="1"/>
  <c r="CY193" i="82"/>
  <c r="CY69" i="1"/>
  <c r="CY170" i="1" s="1"/>
  <c r="CY499" i="1"/>
  <c r="CY501" i="1"/>
  <c r="CY500" i="1"/>
  <c r="CL136" i="1"/>
  <c r="CL133" i="1"/>
  <c r="DB269" i="82"/>
  <c r="CE63" i="7"/>
  <c r="AZ63" i="7"/>
  <c r="CM68" i="2"/>
  <c r="CL107" i="2"/>
  <c r="CJ107" i="2"/>
  <c r="CI107" i="2"/>
  <c r="CQ93" i="2"/>
  <c r="CQ347" i="2"/>
  <c r="CQ346" i="2"/>
  <c r="CQ69" i="2"/>
  <c r="CN211" i="2"/>
  <c r="CR209" i="2"/>
  <c r="CN210" i="2"/>
  <c r="CN393" i="2"/>
  <c r="CN391" i="2"/>
  <c r="CN392" i="2"/>
  <c r="CG396" i="1"/>
  <c r="CG401" i="1"/>
  <c r="CG325" i="1"/>
  <c r="DK609" i="1"/>
  <c r="DK108" i="1"/>
  <c r="DA609" i="1"/>
  <c r="DA495" i="1" s="1"/>
  <c r="DA109" i="1"/>
  <c r="DA108" i="1"/>
  <c r="CI572" i="1"/>
  <c r="CI571" i="1"/>
  <c r="BM438" i="1"/>
  <c r="BM553" i="1"/>
  <c r="BM554" i="1" s="1"/>
  <c r="CH586" i="1"/>
  <c r="CH476" i="1"/>
  <c r="V526" i="1"/>
  <c r="AA527" i="1"/>
  <c r="CK580" i="1"/>
  <c r="CK581" i="1"/>
  <c r="CK583" i="1" s="1"/>
  <c r="CK605" i="1" s="1"/>
  <c r="U11" i="113"/>
  <c r="DL64" i="2"/>
  <c r="DK103" i="2"/>
  <c r="DH103" i="2"/>
  <c r="AU358" i="2"/>
  <c r="AU65" i="2"/>
  <c r="AU341" i="2"/>
  <c r="AU166" i="2"/>
  <c r="AU150" i="2"/>
  <c r="AU88" i="2"/>
  <c r="AU29" i="2"/>
  <c r="AU27" i="2"/>
  <c r="BG168" i="2"/>
  <c r="BG167" i="2"/>
  <c r="DE234" i="82"/>
  <c r="DE220" i="82"/>
  <c r="CO391" i="2"/>
  <c r="CO392" i="2"/>
  <c r="CO393" i="2"/>
  <c r="DE617" i="1"/>
  <c r="AJ476" i="1"/>
  <c r="BU624" i="1"/>
  <c r="BU123" i="1"/>
  <c r="BU127" i="1"/>
  <c r="BB76" i="3" s="1"/>
  <c r="BU122" i="1"/>
  <c r="BA553" i="1"/>
  <c r="BA554" i="1" s="1"/>
  <c r="BA438" i="1"/>
  <c r="DL276" i="82"/>
  <c r="BJ553" i="1"/>
  <c r="BJ554" i="1" s="1"/>
  <c r="BJ438" i="1"/>
  <c r="BG63" i="7"/>
  <c r="BI617" i="1"/>
  <c r="AZ539" i="1"/>
  <c r="AZ540" i="1" s="1"/>
  <c r="DM554" i="1"/>
  <c r="DM550" i="1"/>
  <c r="DM555" i="1"/>
  <c r="DJ103" i="2"/>
  <c r="BD379" i="2"/>
  <c r="DL70" i="2"/>
  <c r="BA485" i="1"/>
  <c r="BA389" i="1"/>
  <c r="BA70" i="1"/>
  <c r="BA80" i="1"/>
  <c r="BA491" i="1"/>
  <c r="BA74" i="1"/>
  <c r="BF70" i="1"/>
  <c r="AI81" i="1"/>
  <c r="AI87" i="1" s="1"/>
  <c r="CQ550" i="1"/>
  <c r="AA128" i="1"/>
  <c r="AA133" i="1"/>
  <c r="AA129" i="1"/>
  <c r="AA134" i="1"/>
  <c r="AA136" i="1"/>
  <c r="CR119" i="1"/>
  <c r="CR620" i="1"/>
  <c r="P135" i="1"/>
  <c r="AQ535" i="1"/>
  <c r="AQ534" i="1"/>
  <c r="AQ536" i="1" s="1"/>
  <c r="AO369" i="2"/>
  <c r="BH572" i="1"/>
  <c r="BH571" i="1"/>
  <c r="DA125" i="1"/>
  <c r="DJ94" i="1"/>
  <c r="DJ95" i="1"/>
  <c r="DJ597" i="1"/>
  <c r="DH609" i="1"/>
  <c r="DH108" i="1"/>
  <c r="DH109" i="1"/>
  <c r="DH624" i="1"/>
  <c r="DH127" i="1"/>
  <c r="DH122" i="1"/>
  <c r="DH625" i="1" s="1"/>
  <c r="DH123" i="1"/>
  <c r="BX538" i="1"/>
  <c r="BX539" i="1" s="1"/>
  <c r="BX540" i="1" s="1"/>
  <c r="BT539" i="1"/>
  <c r="BT540" i="1" s="1"/>
  <c r="BY179" i="39" s="1"/>
  <c r="CO553" i="1"/>
  <c r="CO554" i="1" s="1"/>
  <c r="CO438" i="1"/>
  <c r="AF105" i="7"/>
  <c r="AF19" i="3"/>
  <c r="BB168" i="2"/>
  <c r="AN168" i="2"/>
  <c r="AN167" i="2"/>
  <c r="BE358" i="2"/>
  <c r="DG224" i="2"/>
  <c r="DG199" i="2"/>
  <c r="DG200" i="2"/>
  <c r="AZ341" i="2"/>
  <c r="DB207" i="2"/>
  <c r="BH553" i="1"/>
  <c r="BH554" i="1" s="1"/>
  <c r="BH438" i="1"/>
  <c r="CV234" i="82"/>
  <c r="CV220" i="82"/>
  <c r="BV63" i="7"/>
  <c r="CG133" i="2"/>
  <c r="BJ167" i="2"/>
  <c r="AV167" i="2"/>
  <c r="BM168" i="2"/>
  <c r="CW68" i="2"/>
  <c r="CV107" i="2"/>
  <c r="DB68" i="2"/>
  <c r="CU107" i="2"/>
  <c r="CT107" i="2"/>
  <c r="BD616" i="1"/>
  <c r="BD121" i="1"/>
  <c r="AG492" i="1"/>
  <c r="AG496" i="1"/>
  <c r="BE136" i="1"/>
  <c r="BE133" i="1"/>
  <c r="DB586" i="1"/>
  <c r="CP485" i="1"/>
  <c r="CD542" i="1"/>
  <c r="CD535" i="1"/>
  <c r="CD534" i="1"/>
  <c r="CD536" i="1" s="1"/>
  <c r="BN542" i="1"/>
  <c r="BN543" i="1" s="1"/>
  <c r="BN544" i="1" s="1"/>
  <c r="BB559" i="1"/>
  <c r="BB81" i="1"/>
  <c r="U169" i="7"/>
  <c r="Y55" i="2"/>
  <c r="CR68" i="2"/>
  <c r="BK169" i="2"/>
  <c r="BK54" i="2"/>
  <c r="BK151" i="2"/>
  <c r="BK71" i="2"/>
  <c r="BK348" i="2"/>
  <c r="BK94" i="2"/>
  <c r="BK32" i="2"/>
  <c r="CR370" i="2"/>
  <c r="CS125" i="1"/>
  <c r="CW124" i="1"/>
  <c r="DB125" i="1" s="1"/>
  <c r="CS126" i="1"/>
  <c r="CS136" i="1"/>
  <c r="BE621" i="1"/>
  <c r="BG396" i="1"/>
  <c r="BG401" i="1"/>
  <c r="BG325" i="1"/>
  <c r="AS539" i="1"/>
  <c r="AS540" i="1" s="1"/>
  <c r="AS436" i="1"/>
  <c r="DH555" i="1"/>
  <c r="DH550" i="1"/>
  <c r="DH554" i="1"/>
  <c r="AL535" i="1"/>
  <c r="CD479" i="1"/>
  <c r="S474" i="1"/>
  <c r="S107" i="1"/>
  <c r="S42" i="1"/>
  <c r="X37" i="1"/>
  <c r="S41" i="1"/>
  <c r="S491" i="1"/>
  <c r="CH620" i="1"/>
  <c r="CH119" i="1"/>
  <c r="BV123" i="1"/>
  <c r="AP534" i="1"/>
  <c r="AP536" i="1" s="1"/>
  <c r="CL346" i="2"/>
  <c r="CO559" i="1"/>
  <c r="CF129" i="1"/>
  <c r="CF133" i="1"/>
  <c r="CF136" i="1"/>
  <c r="CW499" i="1"/>
  <c r="DK624" i="1"/>
  <c r="DK127" i="1"/>
  <c r="DK122" i="1"/>
  <c r="DK625" i="1" s="1"/>
  <c r="CQ389" i="1"/>
  <c r="CQ74" i="1"/>
  <c r="CQ70" i="1"/>
  <c r="CQ560" i="1"/>
  <c r="CQ7" i="2"/>
  <c r="CQ564" i="1"/>
  <c r="CQ562" i="1"/>
  <c r="AS476" i="1"/>
  <c r="CH63" i="7"/>
  <c r="BE586" i="1"/>
  <c r="BE476" i="1"/>
  <c r="CJ325" i="1"/>
  <c r="CJ392" i="1"/>
  <c r="CJ179" i="1" s="1"/>
  <c r="CJ401" i="1"/>
  <c r="BW63" i="7"/>
  <c r="CU415" i="82"/>
  <c r="CU278" i="82"/>
  <c r="CU292" i="82"/>
  <c r="AO367" i="2"/>
  <c r="AP94" i="2"/>
  <c r="AP151" i="2"/>
  <c r="AP348" i="2"/>
  <c r="AP169" i="2"/>
  <c r="AP54" i="2"/>
  <c r="AP71" i="2"/>
  <c r="AP32" i="2"/>
  <c r="CM209" i="2"/>
  <c r="CI211" i="2"/>
  <c r="CE129" i="1"/>
  <c r="CE136" i="1"/>
  <c r="CE134" i="1"/>
  <c r="CE133" i="1"/>
  <c r="BF620" i="1"/>
  <c r="BF120" i="1"/>
  <c r="BF119" i="1"/>
  <c r="BK119" i="1"/>
  <c r="BF121" i="1"/>
  <c r="DB366" i="1"/>
  <c r="BW325" i="1"/>
  <c r="BW401" i="1"/>
  <c r="BW396" i="1"/>
  <c r="BG535" i="1"/>
  <c r="BG542" i="1"/>
  <c r="BG534" i="1"/>
  <c r="BG536" i="1" s="1"/>
  <c r="CY609" i="1"/>
  <c r="CY495" i="1" s="1"/>
  <c r="CY109" i="1"/>
  <c r="CY108" i="1"/>
  <c r="BU433" i="1"/>
  <c r="BU435" i="1"/>
  <c r="AQ151" i="2"/>
  <c r="AQ71" i="2"/>
  <c r="AQ348" i="2"/>
  <c r="AQ169" i="2"/>
  <c r="AQ54" i="2"/>
  <c r="AQ94" i="2"/>
  <c r="AQ32" i="2"/>
  <c r="CR67" i="2"/>
  <c r="CP106" i="2"/>
  <c r="CU64" i="2"/>
  <c r="CU87" i="2"/>
  <c r="CZ70" i="2"/>
  <c r="CU70" i="2"/>
  <c r="CZ64" i="2"/>
  <c r="CU203" i="2"/>
  <c r="CJ625" i="1"/>
  <c r="CG581" i="1"/>
  <c r="CG583" i="1" s="1"/>
  <c r="CG605" i="1" s="1"/>
  <c r="CG580" i="1"/>
  <c r="AH125" i="1"/>
  <c r="AD126" i="1"/>
  <c r="AC126" i="1"/>
  <c r="AC125" i="1"/>
  <c r="AE124" i="1"/>
  <c r="CJ559" i="1"/>
  <c r="CS625" i="1"/>
  <c r="DG499" i="1"/>
  <c r="BA63" i="7"/>
  <c r="CK347" i="2"/>
  <c r="CK346" i="2"/>
  <c r="CK93" i="2"/>
  <c r="CK69" i="2"/>
  <c r="CP346" i="2"/>
  <c r="CP69" i="2"/>
  <c r="AO331" i="1"/>
  <c r="AX65" i="2"/>
  <c r="AX341" i="2"/>
  <c r="AX166" i="2"/>
  <c r="AX168" i="2" s="1"/>
  <c r="AX150" i="2"/>
  <c r="AX29" i="2"/>
  <c r="AX27" i="2"/>
  <c r="BN157" i="2"/>
  <c r="BN175" i="2"/>
  <c r="BL374" i="2"/>
  <c r="BJ374" i="2"/>
  <c r="BM374" i="2"/>
  <c r="BK374" i="2"/>
  <c r="O11" i="113"/>
  <c r="CE396" i="1"/>
  <c r="CE401" i="1"/>
  <c r="CE325" i="1"/>
  <c r="CW586" i="1"/>
  <c r="CW476" i="1"/>
  <c r="CW264" i="82"/>
  <c r="CS415" i="82"/>
  <c r="CS292" i="82"/>
  <c r="CS278" i="82"/>
  <c r="BD620" i="1"/>
  <c r="DG304" i="1"/>
  <c r="BJ535" i="1"/>
  <c r="BJ542" i="1"/>
  <c r="BJ534" i="1"/>
  <c r="BJ536" i="1" s="1"/>
  <c r="DL608" i="1"/>
  <c r="DL107" i="1"/>
  <c r="DL110" i="1"/>
  <c r="DL106" i="1"/>
  <c r="DL8" i="2"/>
  <c r="AU534" i="1"/>
  <c r="AU536" i="1" s="1"/>
  <c r="CT501" i="1"/>
  <c r="CW604" i="1"/>
  <c r="CV535" i="1"/>
  <c r="CV552" i="1"/>
  <c r="CV534" i="1"/>
  <c r="CV542" i="1"/>
  <c r="CM617" i="1"/>
  <c r="AZ549" i="1"/>
  <c r="AZ550" i="1" s="1"/>
  <c r="CQ485" i="1"/>
  <c r="BD381" i="2"/>
  <c r="CO211" i="2"/>
  <c r="CJ211" i="2"/>
  <c r="BA478" i="1"/>
  <c r="DA621" i="1"/>
  <c r="BN389" i="1"/>
  <c r="BN491" i="1"/>
  <c r="BM497" i="1" s="1"/>
  <c r="BN485" i="1"/>
  <c r="BN80" i="1"/>
  <c r="CN542" i="1"/>
  <c r="CR390" i="2"/>
  <c r="CU346" i="2"/>
  <c r="CU69" i="2"/>
  <c r="CU93" i="2"/>
  <c r="CU347" i="2"/>
  <c r="CZ69" i="2"/>
  <c r="AR167" i="2"/>
  <c r="AR168" i="2"/>
  <c r="T467" i="1"/>
  <c r="V34" i="1"/>
  <c r="Y30" i="1"/>
  <c r="T35" i="1"/>
  <c r="T118" i="1"/>
  <c r="T80" i="1"/>
  <c r="T34" i="1"/>
  <c r="CL373" i="1"/>
  <c r="CL375" i="1" s="1"/>
  <c r="CL376" i="1" s="1"/>
  <c r="CL370" i="1" s="1"/>
  <c r="CL561" i="1"/>
  <c r="CL565" i="1"/>
  <c r="CT415" i="82"/>
  <c r="CT278" i="82"/>
  <c r="CT292" i="82"/>
  <c r="DJ616" i="1"/>
  <c r="DJ121" i="1"/>
  <c r="DK123" i="1" s="1"/>
  <c r="DJ117" i="1"/>
  <c r="DJ116" i="1"/>
  <c r="DJ617" i="1" s="1"/>
  <c r="BT396" i="1"/>
  <c r="BT401" i="1"/>
  <c r="BT325" i="1"/>
  <c r="CR207" i="2"/>
  <c r="DD586" i="1"/>
  <c r="W129" i="1"/>
  <c r="W134" i="1"/>
  <c r="W136" i="1"/>
  <c r="W133" i="1"/>
  <c r="BT435" i="1"/>
  <c r="BX432" i="1"/>
  <c r="BT433" i="1"/>
  <c r="DL125" i="1"/>
  <c r="CP553" i="1"/>
  <c r="CP554" i="1" s="1"/>
  <c r="CP438" i="1"/>
  <c r="DF543" i="1"/>
  <c r="CR107" i="2"/>
  <c r="CO412" i="82"/>
  <c r="CO289" i="82"/>
  <c r="CO279" i="82"/>
  <c r="AZ65" i="2"/>
  <c r="CF561" i="1"/>
  <c r="CF565" i="1"/>
  <c r="CF378" i="1"/>
  <c r="CF380" i="1" s="1"/>
  <c r="CF381" i="1" s="1"/>
  <c r="CF373" i="1"/>
  <c r="CF375" i="1" s="1"/>
  <c r="CF376" i="1" s="1"/>
  <c r="CF370" i="1" s="1"/>
  <c r="AQ458" i="1"/>
  <c r="CD385" i="2"/>
  <c r="CD386" i="2"/>
  <c r="CD384" i="2"/>
  <c r="CD84" i="2"/>
  <c r="CD61" i="2"/>
  <c r="CD387" i="2"/>
  <c r="CD354" i="2"/>
  <c r="CD337" i="2"/>
  <c r="CD9" i="2"/>
  <c r="CD383" i="2"/>
  <c r="CI337" i="2"/>
  <c r="CI61" i="2"/>
  <c r="BT624" i="1"/>
  <c r="BT122" i="1"/>
  <c r="BX121" i="1"/>
  <c r="CH122" i="1" s="1"/>
  <c r="BT123" i="1"/>
  <c r="BT127" i="1"/>
  <c r="X125" i="1"/>
  <c r="S126" i="1"/>
  <c r="BC438" i="1"/>
  <c r="BC553" i="1"/>
  <c r="BC554" i="1" s="1"/>
  <c r="CF479" i="1"/>
  <c r="DI624" i="1"/>
  <c r="DI122" i="1"/>
  <c r="DI625" i="1" s="1"/>
  <c r="DI123" i="1"/>
  <c r="BX604" i="1"/>
  <c r="AF168" i="7"/>
  <c r="AF170" i="7" s="1"/>
  <c r="Y74" i="3"/>
  <c r="Y81" i="3"/>
  <c r="AV358" i="2"/>
  <c r="CW378" i="82"/>
  <c r="CW404" i="82"/>
  <c r="CU389" i="1"/>
  <c r="CU70" i="1"/>
  <c r="CU560" i="1"/>
  <c r="CU74" i="1"/>
  <c r="CU564" i="1"/>
  <c r="CU7" i="2"/>
  <c r="CU562" i="1"/>
  <c r="BD568" i="1"/>
  <c r="BD462" i="1"/>
  <c r="BI118" i="1"/>
  <c r="BN119" i="1" s="1"/>
  <c r="BW479" i="1"/>
  <c r="BW535" i="1"/>
  <c r="BW542" i="1"/>
  <c r="BW534" i="1"/>
  <c r="BW536" i="1" s="1"/>
  <c r="AO37" i="7"/>
  <c r="AO38" i="7" s="1"/>
  <c r="AN38" i="7"/>
  <c r="BE534" i="1"/>
  <c r="BE536" i="1" s="1"/>
  <c r="BE542" i="1"/>
  <c r="U376" i="1"/>
  <c r="BB325" i="1"/>
  <c r="BB326" i="1" s="1"/>
  <c r="BB401" i="1"/>
  <c r="BB396" i="1"/>
  <c r="T170" i="7"/>
  <c r="AT371" i="2"/>
  <c r="BL167" i="2"/>
  <c r="BL168" i="2"/>
  <c r="DP52" i="2"/>
  <c r="DQ38" i="2"/>
  <c r="DM108" i="1"/>
  <c r="CX415" i="82"/>
  <c r="CX292" i="82"/>
  <c r="CX298" i="82"/>
  <c r="DB264" i="82"/>
  <c r="DB604" i="1"/>
  <c r="CY543" i="1"/>
  <c r="DH543" i="1"/>
  <c r="S117" i="1"/>
  <c r="X116" i="1"/>
  <c r="S121" i="1"/>
  <c r="BX617" i="1"/>
  <c r="AP435" i="1"/>
  <c r="BJ559" i="1"/>
  <c r="BJ81" i="1"/>
  <c r="CX535" i="1"/>
  <c r="CX542" i="1"/>
  <c r="CX534" i="1"/>
  <c r="CX552" i="1"/>
  <c r="CX553" i="1" s="1"/>
  <c r="CX554" i="1" s="1"/>
  <c r="AT63" i="7"/>
  <c r="CI62" i="7"/>
  <c r="CN581" i="1"/>
  <c r="CN580" i="1"/>
  <c r="CO625" i="1"/>
  <c r="BM81" i="1"/>
  <c r="BM559" i="1"/>
  <c r="DE621" i="1"/>
  <c r="BF617" i="1"/>
  <c r="CX621" i="1"/>
  <c r="AT346" i="2"/>
  <c r="AT69" i="2"/>
  <c r="CV412" i="82"/>
  <c r="CV289" i="82"/>
  <c r="CV279" i="82"/>
  <c r="CX289" i="82"/>
  <c r="AI168" i="2"/>
  <c r="CR609" i="1"/>
  <c r="CR495" i="1" s="1"/>
  <c r="AT462" i="1"/>
  <c r="AV458" i="1"/>
  <c r="BF603" i="1"/>
  <c r="CL134" i="1"/>
  <c r="CF553" i="1"/>
  <c r="CF554" i="1" s="1"/>
  <c r="CF438" i="1"/>
  <c r="BW492" i="1"/>
  <c r="BW496" i="1"/>
  <c r="BG553" i="1"/>
  <c r="BG554" i="1" s="1"/>
  <c r="BG438" i="1"/>
  <c r="AS478" i="1"/>
  <c r="CV349" i="82"/>
  <c r="BD63" i="7"/>
  <c r="CL63" i="7"/>
  <c r="CG63" i="7"/>
  <c r="CW340" i="2"/>
  <c r="CS367" i="2"/>
  <c r="CV367" i="2"/>
  <c r="AY369" i="2"/>
  <c r="CQ412" i="82"/>
  <c r="CQ289" i="82"/>
  <c r="CQ279" i="82"/>
  <c r="AQ175" i="2"/>
  <c r="AQ349" i="2"/>
  <c r="AQ157" i="2"/>
  <c r="AQ73" i="2"/>
  <c r="CJ129" i="1"/>
  <c r="CJ128" i="1"/>
  <c r="CJ133" i="1"/>
  <c r="CJ134" i="1"/>
  <c r="CJ136" i="1"/>
  <c r="DA586" i="1"/>
  <c r="AX624" i="1"/>
  <c r="AX127" i="1"/>
  <c r="BN608" i="1"/>
  <c r="BN107" i="1"/>
  <c r="CY617" i="1"/>
  <c r="AE482" i="1"/>
  <c r="AJ482" i="1"/>
  <c r="CH485" i="1"/>
  <c r="CH389" i="1"/>
  <c r="CH325" i="1"/>
  <c r="CH491" i="1"/>
  <c r="CD497" i="1" s="1"/>
  <c r="CH70" i="1"/>
  <c r="CH7" i="2"/>
  <c r="CH560" i="1"/>
  <c r="CJ496" i="1"/>
  <c r="CJ492" i="1"/>
  <c r="CO492" i="1"/>
  <c r="DG586" i="1"/>
  <c r="CK559" i="1"/>
  <c r="CU220" i="82"/>
  <c r="CX103" i="2"/>
  <c r="BN166" i="2"/>
  <c r="BN150" i="2"/>
  <c r="BN27" i="2"/>
  <c r="CE581" i="1"/>
  <c r="CE583" i="1" s="1"/>
  <c r="CE605" i="1" s="1"/>
  <c r="CE580" i="1"/>
  <c r="CL415" i="82"/>
  <c r="CL298" i="82"/>
  <c r="BD603" i="1"/>
  <c r="CP501" i="1"/>
  <c r="T8" i="2"/>
  <c r="BN432" i="1"/>
  <c r="BJ435" i="1"/>
  <c r="BN435" i="1" s="1"/>
  <c r="DL604" i="1"/>
  <c r="AU435" i="1"/>
  <c r="BL542" i="1"/>
  <c r="BL534" i="1"/>
  <c r="BL536" i="1" s="1"/>
  <c r="BL535" i="1"/>
  <c r="DC534" i="1"/>
  <c r="DG533" i="1"/>
  <c r="DL543" i="1" s="1"/>
  <c r="DC552" i="1"/>
  <c r="DC553" i="1" s="1"/>
  <c r="DC554" i="1" s="1"/>
  <c r="DC535" i="1"/>
  <c r="CV435" i="1"/>
  <c r="CV433" i="1"/>
  <c r="AZ542" i="1"/>
  <c r="AZ534" i="1"/>
  <c r="AZ536" i="1" s="1"/>
  <c r="DB302" i="1"/>
  <c r="DB120" i="39" s="1"/>
  <c r="BH63" i="7"/>
  <c r="CN212" i="2"/>
  <c r="CN204" i="2"/>
  <c r="CW369" i="2"/>
  <c r="BB478" i="1"/>
  <c r="AI325" i="1"/>
  <c r="AI396" i="1"/>
  <c r="BF572" i="1"/>
  <c r="BF571" i="1"/>
  <c r="CQ438" i="1"/>
  <c r="CQ553" i="1"/>
  <c r="CQ554" i="1" s="1"/>
  <c r="AV436" i="1"/>
  <c r="AV437" i="1" s="1"/>
  <c r="AV543" i="1"/>
  <c r="AV544" i="1" s="1"/>
  <c r="DG125" i="1"/>
  <c r="CN435" i="1"/>
  <c r="CR432" i="1"/>
  <c r="Z63" i="7"/>
  <c r="V63" i="7"/>
  <c r="AJ366" i="2"/>
  <c r="AT372" i="2"/>
  <c r="AF151" i="2"/>
  <c r="AF169" i="2"/>
  <c r="AF54" i="2"/>
  <c r="AF32" i="2"/>
  <c r="BG159" i="2"/>
  <c r="CL571" i="1"/>
  <c r="CL572" i="1"/>
  <c r="DA292" i="82"/>
  <c r="DA298" i="82"/>
  <c r="DA415" i="82"/>
  <c r="CG479" i="1"/>
  <c r="DJ21" i="1"/>
  <c r="DJ20" i="1"/>
  <c r="DK20" i="1"/>
  <c r="BT496" i="1"/>
  <c r="BT492" i="1"/>
  <c r="BU496" i="1"/>
  <c r="DF621" i="1"/>
  <c r="AP117" i="1"/>
  <c r="AP121" i="1"/>
  <c r="AB326" i="1"/>
  <c r="DG620" i="1"/>
  <c r="DG119" i="1"/>
  <c r="CP479" i="1"/>
  <c r="AD492" i="1"/>
  <c r="AD496" i="1"/>
  <c r="BT535" i="1"/>
  <c r="BT542" i="1"/>
  <c r="BT534" i="1"/>
  <c r="BT536" i="1" s="1"/>
  <c r="CO542" i="1"/>
  <c r="CO535" i="1"/>
  <c r="D40" i="113"/>
  <c r="D30" i="113"/>
  <c r="CS391" i="2"/>
  <c r="BE151" i="2"/>
  <c r="BE71" i="2"/>
  <c r="BE348" i="2"/>
  <c r="BE169" i="2"/>
  <c r="BE54" i="2"/>
  <c r="BE32" i="2"/>
  <c r="BF94" i="2"/>
  <c r="CR331" i="1"/>
  <c r="CR332" i="1"/>
  <c r="CP415" i="82"/>
  <c r="CP292" i="82"/>
  <c r="CP278" i="82"/>
  <c r="CF572" i="1"/>
  <c r="CF571" i="1"/>
  <c r="CN415" i="82"/>
  <c r="CN292" i="82"/>
  <c r="CN278" i="82"/>
  <c r="CR264" i="82"/>
  <c r="CD396" i="1"/>
  <c r="CD401" i="1"/>
  <c r="CD325" i="1"/>
  <c r="CK479" i="1"/>
  <c r="DD552" i="1"/>
  <c r="DD553" i="1" s="1"/>
  <c r="DD554" i="1" s="1"/>
  <c r="DD535" i="1"/>
  <c r="DD534" i="1"/>
  <c r="AL496" i="1"/>
  <c r="AL492" i="1"/>
  <c r="AM492" i="1"/>
  <c r="AM496" i="1"/>
  <c r="BX608" i="1"/>
  <c r="BX106" i="1"/>
  <c r="BX107" i="1"/>
  <c r="DK554" i="1"/>
  <c r="DK555" i="1"/>
  <c r="AD50" i="3"/>
  <c r="AD80" i="3"/>
  <c r="AK81" i="3"/>
  <c r="M40" i="113"/>
  <c r="BI365" i="2"/>
  <c r="CS412" i="82"/>
  <c r="CS279" i="82"/>
  <c r="CW265" i="82"/>
  <c r="CS289" i="82"/>
  <c r="AG396" i="1"/>
  <c r="AG325" i="1"/>
  <c r="BI577" i="1"/>
  <c r="BI469" i="1"/>
  <c r="AO538" i="1"/>
  <c r="AO539" i="1" s="1"/>
  <c r="AK539" i="1"/>
  <c r="AK540" i="1" s="1"/>
  <c r="AX586" i="1"/>
  <c r="AX476" i="1"/>
  <c r="BW553" i="1"/>
  <c r="BW554" i="1" s="1"/>
  <c r="BW438" i="1"/>
  <c r="AM50" i="7"/>
  <c r="CD435" i="1"/>
  <c r="CD433" i="1"/>
  <c r="CH432" i="1"/>
  <c r="BE438" i="1"/>
  <c r="BE553" i="1"/>
  <c r="BE554" i="1" s="1"/>
  <c r="DF586" i="1"/>
  <c r="AU492" i="1"/>
  <c r="DJ555" i="1"/>
  <c r="DJ554" i="1"/>
  <c r="CR241" i="82"/>
  <c r="T11" i="113"/>
  <c r="DG64" i="2"/>
  <c r="DE103" i="2"/>
  <c r="DC103" i="2"/>
  <c r="DD103" i="2"/>
  <c r="BK167" i="2"/>
  <c r="BK168" i="2"/>
  <c r="DD234" i="82"/>
  <c r="DD220" i="82"/>
  <c r="BE134" i="1"/>
  <c r="DB620" i="1"/>
  <c r="DB119" i="1"/>
  <c r="DD624" i="1"/>
  <c r="DD123" i="1"/>
  <c r="DD122" i="1"/>
  <c r="DD127" i="1"/>
  <c r="BV433" i="1"/>
  <c r="BV435" i="1"/>
  <c r="CZ621" i="1"/>
  <c r="AN539" i="1"/>
  <c r="AN540" i="1" s="1"/>
  <c r="X462" i="1"/>
  <c r="CH603" i="1"/>
  <c r="CD621" i="1"/>
  <c r="BJ325" i="1"/>
  <c r="BJ401" i="1"/>
  <c r="BJ396" i="1"/>
  <c r="BC559" i="1"/>
  <c r="BC81" i="1"/>
  <c r="AR539" i="1"/>
  <c r="AR540" i="1" s="1"/>
  <c r="AR436" i="1"/>
  <c r="CO227" i="7"/>
  <c r="CP227" i="7" s="1"/>
  <c r="CQ227" i="7" s="1"/>
  <c r="CR227" i="7" s="1"/>
  <c r="CS227" i="7" s="1"/>
  <c r="BX63" i="7"/>
  <c r="CM70" i="1"/>
  <c r="BE63" i="7"/>
  <c r="R9" i="113"/>
  <c r="CW62" i="2"/>
  <c r="CW338" i="2"/>
  <c r="CS365" i="2"/>
  <c r="CT101" i="2"/>
  <c r="CU101" i="2"/>
  <c r="CV365" i="2"/>
  <c r="CV101" i="2"/>
  <c r="CS101" i="2"/>
  <c r="CT365" i="2"/>
  <c r="CU365" i="2"/>
  <c r="DG69" i="2"/>
  <c r="DC109" i="2"/>
  <c r="DF109" i="2"/>
  <c r="DE109" i="2"/>
  <c r="DD109" i="2"/>
  <c r="AI151" i="2"/>
  <c r="AI169" i="2"/>
  <c r="AI54" i="2"/>
  <c r="AI94" i="2"/>
  <c r="AI32" i="2"/>
  <c r="CM67" i="2"/>
  <c r="CM390" i="2"/>
  <c r="CK106" i="2"/>
  <c r="CJ106" i="2"/>
  <c r="CI106" i="2"/>
  <c r="DJ204" i="2"/>
  <c r="DJ205" i="2"/>
  <c r="DJ212" i="2"/>
  <c r="CM586" i="1"/>
  <c r="CM476" i="1"/>
  <c r="DC617" i="1"/>
  <c r="CL621" i="1"/>
  <c r="CF534" i="1"/>
  <c r="CF536" i="1" s="1"/>
  <c r="CF535" i="1"/>
  <c r="CF542" i="1"/>
  <c r="AN127" i="1"/>
  <c r="AN123" i="1"/>
  <c r="CY586" i="1"/>
  <c r="BK492" i="1"/>
  <c r="BK496" i="1"/>
  <c r="BU492" i="1"/>
  <c r="CO621" i="1"/>
  <c r="AY69" i="2"/>
  <c r="AY346" i="2"/>
  <c r="CG61" i="2"/>
  <c r="CG354" i="2"/>
  <c r="CG337" i="2"/>
  <c r="CG84" i="2"/>
  <c r="CG9" i="2"/>
  <c r="CL61" i="2"/>
  <c r="CG387" i="2"/>
  <c r="CG385" i="2"/>
  <c r="CG143" i="2"/>
  <c r="CG386" i="2"/>
  <c r="CG146" i="2"/>
  <c r="CI354" i="2"/>
  <c r="CG383" i="2"/>
  <c r="CG384" i="2"/>
  <c r="CL337" i="2"/>
  <c r="CG388" i="2"/>
  <c r="CI84" i="2"/>
  <c r="CG130" i="2"/>
  <c r="CG137" i="2"/>
  <c r="AN456" i="1"/>
  <c r="BH624" i="1"/>
  <c r="BH127" i="1"/>
  <c r="BN100" i="1"/>
  <c r="DF624" i="1"/>
  <c r="DF127" i="1"/>
  <c r="DF123" i="1"/>
  <c r="DF122" i="1"/>
  <c r="CY624" i="1"/>
  <c r="CY127" i="1"/>
  <c r="CY123" i="1"/>
  <c r="CY122" i="1"/>
  <c r="CT621" i="1"/>
  <c r="CS128" i="1"/>
  <c r="CS129" i="1"/>
  <c r="CS133" i="1"/>
  <c r="CS134" i="1"/>
  <c r="CQ234" i="82"/>
  <c r="J22" i="113"/>
  <c r="BG151" i="2"/>
  <c r="BG71" i="2"/>
  <c r="BG94" i="2"/>
  <c r="BG348" i="2"/>
  <c r="BG169" i="2"/>
  <c r="BG54" i="2"/>
  <c r="BG32" i="2"/>
  <c r="CU479" i="1"/>
  <c r="BA542" i="1"/>
  <c r="BA534" i="1"/>
  <c r="BA536" i="1" s="1"/>
  <c r="BA535" i="1"/>
  <c r="DL620" i="1"/>
  <c r="DL119" i="1"/>
  <c r="BL553" i="1"/>
  <c r="BL554" i="1" s="1"/>
  <c r="BL438" i="1"/>
  <c r="CV479" i="1"/>
  <c r="CT244" i="82"/>
  <c r="CT225" i="82"/>
  <c r="CT256" i="82"/>
  <c r="CT250" i="82"/>
  <c r="CT242" i="82"/>
  <c r="CT195" i="82"/>
  <c r="CT194" i="82" s="1"/>
  <c r="CT257" i="82"/>
  <c r="CT211" i="82"/>
  <c r="CR617" i="1"/>
  <c r="DC550" i="1"/>
  <c r="CV550" i="1"/>
  <c r="AZ478" i="1"/>
  <c r="CV389" i="1"/>
  <c r="CV70" i="1"/>
  <c r="CV560" i="1"/>
  <c r="CV74" i="1"/>
  <c r="CV7" i="2"/>
  <c r="CV564" i="1"/>
  <c r="CV562" i="1"/>
  <c r="AZ427" i="1"/>
  <c r="AZ428" i="1" s="1"/>
  <c r="AZ429" i="1" s="1"/>
  <c r="AZ423" i="1"/>
  <c r="AZ424" i="1" s="1"/>
  <c r="AZ425" i="1" s="1"/>
  <c r="DD297" i="82"/>
  <c r="DI284" i="82"/>
  <c r="DG272" i="82"/>
  <c r="DD284" i="82"/>
  <c r="DD291" i="82"/>
  <c r="DE291" i="82"/>
  <c r="AJ168" i="7"/>
  <c r="AJ170" i="7" s="1"/>
  <c r="AD77" i="3"/>
  <c r="AD81" i="3"/>
  <c r="AD74" i="3"/>
  <c r="CS220" i="7"/>
  <c r="CO220" i="7"/>
  <c r="CP220" i="7" s="1"/>
  <c r="CQ220" i="7" s="1"/>
  <c r="CR220" i="7" s="1"/>
  <c r="CM380" i="82"/>
  <c r="CM406" i="82"/>
  <c r="CM414" i="82"/>
  <c r="CR380" i="82"/>
  <c r="CS347" i="2"/>
  <c r="CS346" i="2"/>
  <c r="CS69" i="2"/>
  <c r="CS93" i="2"/>
  <c r="CX69" i="2"/>
  <c r="CX346" i="2"/>
  <c r="AT331" i="1"/>
  <c r="AT332" i="1"/>
  <c r="BD346" i="2"/>
  <c r="BD69" i="2"/>
  <c r="BD347" i="2"/>
  <c r="AS83" i="7"/>
  <c r="AS82" i="7"/>
  <c r="AS73" i="7" s="1"/>
  <c r="AS92" i="7"/>
  <c r="AS94" i="7"/>
  <c r="AS91" i="7"/>
  <c r="AS98" i="7"/>
  <c r="AS96" i="7"/>
  <c r="AS172" i="7"/>
  <c r="CL133" i="2"/>
  <c r="CL87" i="2"/>
  <c r="CL64" i="2"/>
  <c r="CL203" i="2"/>
  <c r="CQ70" i="2"/>
  <c r="CH407" i="82"/>
  <c r="CH264" i="82"/>
  <c r="CH263" i="82" s="1"/>
  <c r="CZ415" i="82"/>
  <c r="CZ292" i="82"/>
  <c r="CZ298" i="82"/>
  <c r="AI492" i="1"/>
  <c r="AI496" i="1"/>
  <c r="DJ278" i="82"/>
  <c r="DE292" i="82"/>
  <c r="DE278" i="82"/>
  <c r="DE298" i="82"/>
  <c r="AY577" i="1"/>
  <c r="AY469" i="1"/>
  <c r="CZ586" i="1"/>
  <c r="V125" i="1"/>
  <c r="CZ617" i="1"/>
  <c r="CS542" i="1"/>
  <c r="CS552" i="1"/>
  <c r="CS534" i="1"/>
  <c r="CS535" i="1"/>
  <c r="CZ220" i="82"/>
  <c r="AE63" i="7"/>
  <c r="CN260" i="7"/>
  <c r="CH262" i="7"/>
  <c r="CH263" i="7" s="1"/>
  <c r="CH264" i="7" s="1"/>
  <c r="CW371" i="2"/>
  <c r="BD332" i="1"/>
  <c r="BD331" i="1"/>
  <c r="AF157" i="2"/>
  <c r="AF175" i="2"/>
  <c r="AJ29" i="2"/>
  <c r="AR175" i="2"/>
  <c r="AR73" i="2"/>
  <c r="AR349" i="2"/>
  <c r="AR157" i="2"/>
  <c r="AV456" i="1"/>
  <c r="CI134" i="1"/>
  <c r="AL90" i="1"/>
  <c r="AQ91" i="1" s="1"/>
  <c r="AQ105" i="1"/>
  <c r="AR90" i="1"/>
  <c r="AW91" i="1" s="1"/>
  <c r="AQ115" i="1"/>
  <c r="AQ93" i="1"/>
  <c r="AV90" i="1"/>
  <c r="AY90" i="1" s="1"/>
  <c r="CE553" i="1"/>
  <c r="CE554" i="1" s="1"/>
  <c r="CE438" i="1"/>
  <c r="DG603" i="1"/>
  <c r="DG103" i="1"/>
  <c r="DA617" i="1"/>
  <c r="BF535" i="1"/>
  <c r="BF534" i="1"/>
  <c r="BF536" i="1" s="1"/>
  <c r="BF542" i="1"/>
  <c r="CV621" i="1"/>
  <c r="BT438" i="1"/>
  <c r="BT553" i="1"/>
  <c r="BT554" i="1" s="1"/>
  <c r="AR458" i="1"/>
  <c r="CP542" i="1"/>
  <c r="CP535" i="1"/>
  <c r="CM63" i="7"/>
  <c r="X63" i="7"/>
  <c r="BR63" i="7"/>
  <c r="CW205" i="82"/>
  <c r="CU211" i="2"/>
  <c r="CU210" i="2"/>
  <c r="AN94" i="2"/>
  <c r="AN151" i="2"/>
  <c r="AN71" i="2"/>
  <c r="AN348" i="2"/>
  <c r="AN169" i="2"/>
  <c r="AN54" i="2"/>
  <c r="AN32" i="2"/>
  <c r="AN368" i="2"/>
  <c r="AL62" i="7"/>
  <c r="V483" i="1"/>
  <c r="T485" i="1"/>
  <c r="T483" i="1"/>
  <c r="Y482" i="1"/>
  <c r="T124" i="1"/>
  <c r="CX586" i="1"/>
  <c r="AM134" i="1"/>
  <c r="AM136" i="1"/>
  <c r="AM133" i="1"/>
  <c r="CU125" i="1"/>
  <c r="CU126" i="1"/>
  <c r="BX603" i="1"/>
  <c r="BH535" i="1"/>
  <c r="BH542" i="1"/>
  <c r="BA89" i="7"/>
  <c r="BA87" i="7"/>
  <c r="AE19" i="3"/>
  <c r="CJ63" i="7"/>
  <c r="AR76" i="7"/>
  <c r="AV151" i="2"/>
  <c r="AV71" i="2"/>
  <c r="AV348" i="2"/>
  <c r="AV169" i="2"/>
  <c r="AV54" i="2"/>
  <c r="AV32" i="2"/>
  <c r="BM368" i="2"/>
  <c r="DG331" i="1"/>
  <c r="DG332" i="1"/>
  <c r="CU501" i="1"/>
  <c r="AE476" i="1"/>
  <c r="CD539" i="1"/>
  <c r="CD540" i="1" s="1"/>
  <c r="CD179" i="39" s="1"/>
  <c r="CH538" i="1"/>
  <c r="CH539" i="1" s="1"/>
  <c r="CH540" i="1" s="1"/>
  <c r="BE435" i="1"/>
  <c r="BI435" i="1" s="1"/>
  <c r="BI432" i="1"/>
  <c r="AC326" i="1"/>
  <c r="DE552" i="1"/>
  <c r="DE553" i="1" s="1"/>
  <c r="DE554" i="1" s="1"/>
  <c r="DE535" i="1"/>
  <c r="DE534" i="1"/>
  <c r="CD71" i="3"/>
  <c r="CC63" i="7"/>
  <c r="AZ610" i="1"/>
  <c r="BL368" i="2"/>
  <c r="CO106" i="2"/>
  <c r="DL332" i="1"/>
  <c r="AH496" i="1"/>
  <c r="BG496" i="1"/>
  <c r="BG492" i="1"/>
  <c r="DB603" i="1"/>
  <c r="DB103" i="1"/>
  <c r="BM122" i="1"/>
  <c r="R126" i="1"/>
  <c r="W125" i="1"/>
  <c r="CH608" i="1"/>
  <c r="CH195" i="82"/>
  <c r="CH106" i="1"/>
  <c r="CH107" i="1"/>
  <c r="BK542" i="1"/>
  <c r="BK534" i="1"/>
  <c r="BK536" i="1" s="1"/>
  <c r="BK535" i="1"/>
  <c r="BC325" i="1"/>
  <c r="BC401" i="1"/>
  <c r="BC396" i="1"/>
  <c r="T297" i="113"/>
  <c r="CO396" i="1"/>
  <c r="CO401" i="1"/>
  <c r="CO325" i="1"/>
  <c r="DQ317" i="1"/>
  <c r="CR204" i="7"/>
  <c r="CR218" i="7" s="1"/>
  <c r="CR72" i="7"/>
  <c r="CS35" i="7"/>
  <c r="BF63" i="7"/>
  <c r="BA348" i="2"/>
  <c r="BA169" i="2"/>
  <c r="BA151" i="2"/>
  <c r="BA94" i="2"/>
  <c r="BA71" i="2"/>
  <c r="BA32" i="2"/>
  <c r="BA54" i="2"/>
  <c r="BF348" i="2"/>
  <c r="BF71" i="2"/>
  <c r="G40" i="113"/>
  <c r="AZ624" i="1"/>
  <c r="AZ127" i="1"/>
  <c r="AL76" i="3" s="1"/>
  <c r="AZ123" i="1"/>
  <c r="CE559" i="1"/>
  <c r="CM604" i="1"/>
  <c r="BJ539" i="1"/>
  <c r="BJ540" i="1" s="1"/>
  <c r="BT179" i="39" s="1"/>
  <c r="BN538" i="1"/>
  <c r="BN539" i="1" s="1"/>
  <c r="BN540" i="1" s="1"/>
  <c r="DL603" i="1"/>
  <c r="DL103" i="1"/>
  <c r="AU539" i="1"/>
  <c r="AU540" i="1" s="1"/>
  <c r="AX401" i="1"/>
  <c r="AX398" i="1"/>
  <c r="AZ399" i="1"/>
  <c r="AX400" i="1"/>
  <c r="BC398" i="1"/>
  <c r="AZ476" i="1"/>
  <c r="AZ586" i="1"/>
  <c r="AE73" i="3"/>
  <c r="AE32" i="3"/>
  <c r="AQ63" i="7"/>
  <c r="U12" i="11"/>
  <c r="CN62" i="7"/>
  <c r="AC168" i="7"/>
  <c r="U73" i="3"/>
  <c r="U32" i="3"/>
  <c r="CU412" i="82"/>
  <c r="CU289" i="82"/>
  <c r="CU279" i="82"/>
  <c r="CR378" i="82"/>
  <c r="CR404" i="82"/>
  <c r="I40" i="11"/>
  <c r="BD63" i="2"/>
  <c r="BD339" i="2"/>
  <c r="BD13" i="2"/>
  <c r="AZ366" i="2"/>
  <c r="BB366" i="2"/>
  <c r="BD380" i="2"/>
  <c r="BD378" i="2"/>
  <c r="BA366" i="2"/>
  <c r="BD377" i="2"/>
  <c r="AP378" i="1"/>
  <c r="AP380" i="1" s="1"/>
  <c r="AP381" i="1" s="1"/>
  <c r="AP371" i="1" s="1"/>
  <c r="AP373" i="1"/>
  <c r="AP87" i="1"/>
  <c r="CS501" i="1"/>
  <c r="Y129" i="1"/>
  <c r="Y136" i="1"/>
  <c r="Y133" i="1"/>
  <c r="Y134" i="1"/>
  <c r="CQ542" i="1"/>
  <c r="CQ535" i="1"/>
  <c r="BV621" i="1"/>
  <c r="CZ624" i="1"/>
  <c r="CZ127" i="1"/>
  <c r="CZ123" i="1"/>
  <c r="CZ122" i="1"/>
  <c r="CH542" i="1"/>
  <c r="CH543" i="1" s="1"/>
  <c r="CH544" i="1" s="1"/>
  <c r="CH534" i="1"/>
  <c r="CH536" i="1" s="1"/>
  <c r="CS433" i="1"/>
  <c r="CS435" i="1"/>
  <c r="CW432" i="1"/>
  <c r="CD386" i="1"/>
  <c r="CB63" i="7"/>
  <c r="BN63" i="7"/>
  <c r="BI63" i="7"/>
  <c r="Y63" i="7"/>
  <c r="BI347" i="2"/>
  <c r="BI346" i="2"/>
  <c r="BI69" i="2"/>
  <c r="AL348" i="2"/>
  <c r="AL169" i="2"/>
  <c r="AL54" i="2"/>
  <c r="AL94" i="2"/>
  <c r="AL151" i="2"/>
  <c r="AL71" i="2"/>
  <c r="AL32" i="2"/>
  <c r="AR71" i="2"/>
  <c r="AR348" i="2"/>
  <c r="AR169" i="2"/>
  <c r="AR54" i="2"/>
  <c r="AR94" i="2"/>
  <c r="AR151" i="2"/>
  <c r="AR32" i="2"/>
  <c r="BG177" i="2"/>
  <c r="AV373" i="1"/>
  <c r="AV375" i="1" s="1"/>
  <c r="AV376" i="1" s="1"/>
  <c r="AV370" i="1" s="1"/>
  <c r="AV378" i="1"/>
  <c r="AV380" i="1" s="1"/>
  <c r="AV381" i="1" s="1"/>
  <c r="AV371" i="1" s="1"/>
  <c r="AV561" i="1"/>
  <c r="AV87" i="1"/>
  <c r="AV565" i="1" s="1"/>
  <c r="AF396" i="1"/>
  <c r="AF325" i="1"/>
  <c r="CI621" i="1"/>
  <c r="AP107" i="1"/>
  <c r="AP389" i="1"/>
  <c r="DD193" i="82"/>
  <c r="DD501" i="1"/>
  <c r="DD500" i="1"/>
  <c r="DD69" i="1"/>
  <c r="DD170" i="1" s="1"/>
  <c r="DD499" i="1"/>
  <c r="CE534" i="1"/>
  <c r="CE536" i="1" s="1"/>
  <c r="CE542" i="1"/>
  <c r="CE535" i="1"/>
  <c r="DG604" i="1"/>
  <c r="DA624" i="1"/>
  <c r="DA127" i="1"/>
  <c r="DA123" i="1"/>
  <c r="DA122" i="1"/>
  <c r="BF553" i="1"/>
  <c r="BF554" i="1" s="1"/>
  <c r="BF438" i="1"/>
  <c r="CR603" i="1"/>
  <c r="CR103" i="1"/>
  <c r="CW103" i="1"/>
  <c r="X129" i="1"/>
  <c r="X136" i="1"/>
  <c r="X134" i="1"/>
  <c r="X133" i="1"/>
  <c r="AE46" i="3"/>
  <c r="DA205" i="2"/>
  <c r="DA212" i="2"/>
  <c r="CH385" i="1"/>
  <c r="AN157" i="2"/>
  <c r="AN175" i="2"/>
  <c r="AN73" i="2"/>
  <c r="AN349" i="2"/>
  <c r="BN366" i="2"/>
  <c r="AZ358" i="2"/>
  <c r="DC586" i="1"/>
  <c r="DE586" i="1"/>
  <c r="BN624" i="1"/>
  <c r="BN127" i="1"/>
  <c r="BI341" i="1" s="1"/>
  <c r="CD581" i="1"/>
  <c r="CD580" i="1"/>
  <c r="AP456" i="1"/>
  <c r="AX458" i="1"/>
  <c r="S293" i="113"/>
  <c r="S291" i="113"/>
  <c r="BJ368" i="2"/>
  <c r="AV157" i="2"/>
  <c r="AV175" i="2"/>
  <c r="AV73" i="2"/>
  <c r="AV349" i="2"/>
  <c r="BM151" i="2"/>
  <c r="BM94" i="2"/>
  <c r="BM169" i="2"/>
  <c r="BM54" i="2"/>
  <c r="BM32" i="2"/>
  <c r="DG70" i="2"/>
  <c r="DG378" i="82"/>
  <c r="DG404" i="82"/>
  <c r="CU256" i="82"/>
  <c r="CU250" i="82"/>
  <c r="CU242" i="82"/>
  <c r="CU195" i="82"/>
  <c r="CU194" i="82" s="1"/>
  <c r="CU244" i="82"/>
  <c r="CU225" i="82"/>
  <c r="CU211" i="82"/>
  <c r="CU257" i="82"/>
  <c r="BD585" i="1"/>
  <c r="BD474" i="1"/>
  <c r="BD37" i="1"/>
  <c r="BD69" i="1"/>
  <c r="BD170" i="1" s="1"/>
  <c r="BB42" i="1"/>
  <c r="BC42" i="1"/>
  <c r="BD107" i="1"/>
  <c r="BU572" i="1"/>
  <c r="BU571" i="1"/>
  <c r="AE69" i="1"/>
  <c r="AE170" i="1" s="1"/>
  <c r="BB542" i="1"/>
  <c r="BB543" i="1" s="1"/>
  <c r="BB535" i="1"/>
  <c r="BW433" i="1"/>
  <c r="BW435" i="1"/>
  <c r="CP484" i="1"/>
  <c r="BI533" i="1"/>
  <c r="BN534" i="1" s="1"/>
  <c r="BN536" i="1" s="1"/>
  <c r="DF193" i="82"/>
  <c r="DF501" i="1"/>
  <c r="DF500" i="1"/>
  <c r="DF69" i="1"/>
  <c r="DF170" i="1" s="1"/>
  <c r="DF499" i="1"/>
  <c r="BB74" i="1"/>
  <c r="CV540" i="1"/>
  <c r="BL133" i="1"/>
  <c r="BL136" i="1"/>
  <c r="S300" i="113"/>
  <c r="S318" i="113"/>
  <c r="AF63" i="7"/>
  <c r="BY71" i="3"/>
  <c r="BK63" i="7"/>
  <c r="AU609" i="1"/>
  <c r="K40" i="113"/>
  <c r="DI103" i="2"/>
  <c r="CO501" i="1"/>
  <c r="CV415" i="82"/>
  <c r="CV278" i="82"/>
  <c r="CV292" i="82"/>
  <c r="DB608" i="1"/>
  <c r="DB106" i="1"/>
  <c r="DB110" i="1"/>
  <c r="DB107" i="1"/>
  <c r="DB8" i="2"/>
  <c r="BM129" i="1"/>
  <c r="BM136" i="1"/>
  <c r="BM133" i="1"/>
  <c r="BM134" i="1"/>
  <c r="BV535" i="1"/>
  <c r="BV542" i="1"/>
  <c r="BV534" i="1"/>
  <c r="BV536" i="1" s="1"/>
  <c r="CH604" i="1"/>
  <c r="CU552" i="1"/>
  <c r="CU534" i="1"/>
  <c r="CU535" i="1"/>
  <c r="CU542" i="1"/>
  <c r="BK553" i="1"/>
  <c r="BK554" i="1" s="1"/>
  <c r="BK438" i="1"/>
  <c r="CH624" i="1"/>
  <c r="CH127" i="1"/>
  <c r="AR534" i="1"/>
  <c r="AR536" i="1" s="1"/>
  <c r="AR535" i="1"/>
  <c r="DB376" i="1"/>
  <c r="AA18" i="3"/>
  <c r="CL347" i="2"/>
  <c r="CO313" i="82"/>
  <c r="CO84" i="2"/>
  <c r="CO61" i="2"/>
  <c r="CO337" i="2"/>
  <c r="CO354" i="2"/>
  <c r="CO9" i="2"/>
  <c r="CO385" i="2"/>
  <c r="CO384" i="2"/>
  <c r="CO146" i="2"/>
  <c r="CO130" i="2"/>
  <c r="CO143" i="2"/>
  <c r="CO137" i="2"/>
  <c r="CO386" i="2"/>
  <c r="CO388" i="2"/>
  <c r="CO383" i="2"/>
  <c r="CO387" i="2"/>
  <c r="DI543" i="1"/>
  <c r="BN617" i="1"/>
  <c r="BW384" i="2"/>
  <c r="BW386" i="2"/>
  <c r="BW388" i="2"/>
  <c r="BW337" i="2"/>
  <c r="BW385" i="2"/>
  <c r="BW387" i="2"/>
  <c r="BW61" i="2"/>
  <c r="BW354" i="2"/>
  <c r="BW84" i="2"/>
  <c r="BW9" i="2"/>
  <c r="BW383" i="2"/>
  <c r="CJ87" i="2"/>
  <c r="CJ64" i="2"/>
  <c r="CJ133" i="2"/>
  <c r="CJ203" i="2"/>
  <c r="CK87" i="2"/>
  <c r="CT346" i="2"/>
  <c r="CT69" i="2"/>
  <c r="CT93" i="2"/>
  <c r="CT347" i="2"/>
  <c r="CY69" i="2"/>
  <c r="CR372" i="2"/>
  <c r="CG559" i="1"/>
  <c r="DD278" i="82"/>
  <c r="DI278" i="82"/>
  <c r="DD298" i="82"/>
  <c r="DD292" i="82"/>
  <c r="DB617" i="1"/>
  <c r="AU412" i="1"/>
  <c r="AU413" i="1" s="1"/>
  <c r="DC234" i="82"/>
  <c r="DC220" i="82"/>
  <c r="AK348" i="2"/>
  <c r="AK169" i="2"/>
  <c r="AK94" i="2"/>
  <c r="AK151" i="2"/>
  <c r="AK71" i="2"/>
  <c r="AK32" i="2"/>
  <c r="AK54" i="2"/>
  <c r="BI63" i="2"/>
  <c r="DL69" i="2"/>
  <c r="CX357" i="2"/>
  <c r="CX340" i="2"/>
  <c r="CX347" i="2"/>
  <c r="DF234" i="82"/>
  <c r="DF220" i="82"/>
  <c r="DE624" i="1"/>
  <c r="DE123" i="1"/>
  <c r="DE122" i="1"/>
  <c r="DE127" i="1"/>
  <c r="CE492" i="1"/>
  <c r="CE496" i="1"/>
  <c r="CW381" i="82"/>
  <c r="CW407" i="82"/>
  <c r="DL136" i="2"/>
  <c r="BD577" i="1"/>
  <c r="BD469" i="1"/>
  <c r="CV125" i="1"/>
  <c r="CV126" i="1"/>
  <c r="DI193" i="82"/>
  <c r="DI500" i="1"/>
  <c r="CM195" i="82"/>
  <c r="CM608" i="1"/>
  <c r="CM107" i="1"/>
  <c r="CR106" i="1"/>
  <c r="CM106" i="1"/>
  <c r="DG617" i="1"/>
  <c r="AX432" i="1"/>
  <c r="AX435" i="1" s="1"/>
  <c r="AX533" i="1"/>
  <c r="AX535" i="1" s="1"/>
  <c r="AX548" i="1"/>
  <c r="AX549" i="1" s="1"/>
  <c r="AX552" i="1"/>
  <c r="AX538" i="1"/>
  <c r="AX539" i="1" s="1"/>
  <c r="AX540" i="1" s="1"/>
  <c r="AX542" i="1"/>
  <c r="CV501" i="1"/>
  <c r="CF621" i="1"/>
  <c r="AI401" i="1"/>
  <c r="AI399" i="1"/>
  <c r="AI400" i="1"/>
  <c r="AZ553" i="1"/>
  <c r="AZ554" i="1" s="1"/>
  <c r="CQ136" i="1"/>
  <c r="CQ125" i="1"/>
  <c r="CQ126" i="1"/>
  <c r="AG63" i="7"/>
  <c r="CK63" i="7"/>
  <c r="CN412" i="82"/>
  <c r="CR265" i="82"/>
  <c r="CN289" i="82"/>
  <c r="CN279" i="82"/>
  <c r="BC358" i="2"/>
  <c r="BC65" i="2"/>
  <c r="BC341" i="2"/>
  <c r="BC166" i="2"/>
  <c r="BC150" i="2"/>
  <c r="BC88" i="2"/>
  <c r="BC29" i="2"/>
  <c r="BC27" i="2"/>
  <c r="BL373" i="1"/>
  <c r="BL375" i="1" s="1"/>
  <c r="BL376" i="1" s="1"/>
  <c r="BL370" i="1" s="1"/>
  <c r="BL561" i="1"/>
  <c r="BL87" i="1"/>
  <c r="BL565" i="1" s="1"/>
  <c r="BL378" i="1"/>
  <c r="BL380" i="1" s="1"/>
  <c r="BL381" i="1" s="1"/>
  <c r="BL371" i="1" s="1"/>
  <c r="DI555" i="1"/>
  <c r="DI554" i="1"/>
  <c r="CZ193" i="82"/>
  <c r="CZ69" i="1"/>
  <c r="CZ170" i="1" s="1"/>
  <c r="CZ499" i="1"/>
  <c r="CZ501" i="1"/>
  <c r="CZ500" i="1"/>
  <c r="AH376" i="1"/>
  <c r="DC621" i="1"/>
  <c r="AQ539" i="1"/>
  <c r="AQ540" i="1" s="1"/>
  <c r="AQ436" i="1"/>
  <c r="CS550" i="1"/>
  <c r="AL349" i="2"/>
  <c r="AL157" i="2"/>
  <c r="AL175" i="2"/>
  <c r="AL73" i="2"/>
  <c r="CI204" i="2"/>
  <c r="CI212" i="2"/>
  <c r="CV211" i="2"/>
  <c r="CV210" i="2"/>
  <c r="CP389" i="1"/>
  <c r="CP74" i="1"/>
  <c r="CP70" i="1"/>
  <c r="CP560" i="1"/>
  <c r="CP7" i="2"/>
  <c r="CP562" i="1"/>
  <c r="CP564" i="1"/>
  <c r="BT388" i="2"/>
  <c r="BT385" i="2"/>
  <c r="BT386" i="2"/>
  <c r="BT387" i="2"/>
  <c r="BT61" i="2"/>
  <c r="BT354" i="2"/>
  <c r="BT384" i="2"/>
  <c r="BT337" i="2"/>
  <c r="BT84" i="2"/>
  <c r="BT9" i="2"/>
  <c r="BU84" i="2"/>
  <c r="BT383" i="2"/>
  <c r="BU354" i="2"/>
  <c r="AA376" i="1"/>
  <c r="AV571" i="1"/>
  <c r="AV572" i="1"/>
  <c r="AF496" i="1"/>
  <c r="AF492" i="1"/>
  <c r="CM620" i="1"/>
  <c r="CM119" i="1"/>
  <c r="AK115" i="1"/>
  <c r="AK91" i="1"/>
  <c r="AK93" i="1"/>
  <c r="AK105" i="1"/>
  <c r="DD609" i="1"/>
  <c r="DD495" i="1" s="1"/>
  <c r="DD109" i="1"/>
  <c r="DD108" i="1"/>
  <c r="DG608" i="1"/>
  <c r="DG110" i="1"/>
  <c r="DG106" i="1"/>
  <c r="DG107" i="1"/>
  <c r="DG8" i="2"/>
  <c r="CR604" i="1"/>
  <c r="CO550" i="1"/>
  <c r="BU63" i="7"/>
  <c r="W63" i="7"/>
  <c r="BB169" i="2"/>
  <c r="BB170" i="2" s="1"/>
  <c r="BB54" i="2"/>
  <c r="BB151" i="2"/>
  <c r="BB152" i="2" s="1"/>
  <c r="BB94" i="2"/>
  <c r="BB32" i="2"/>
  <c r="BE167" i="2"/>
  <c r="DE279" i="82"/>
  <c r="DE295" i="82"/>
  <c r="DE289" i="82"/>
  <c r="DJ279" i="82"/>
  <c r="DE269" i="82"/>
  <c r="DG265" i="82"/>
  <c r="DG126" i="82" s="1"/>
  <c r="DF289" i="82"/>
  <c r="AZ175" i="2"/>
  <c r="AZ157" i="2"/>
  <c r="BE73" i="2"/>
  <c r="BE349" i="2"/>
  <c r="AN373" i="1"/>
  <c r="AN375" i="1" s="1"/>
  <c r="AN376" i="1" s="1"/>
  <c r="AN370" i="1" s="1"/>
  <c r="AN378" i="1"/>
  <c r="AN380" i="1" s="1"/>
  <c r="AN381" i="1" s="1"/>
  <c r="AN371" i="1" s="1"/>
  <c r="AN87" i="1"/>
  <c r="BJ123" i="1"/>
  <c r="AT469" i="1"/>
  <c r="CQ621" i="1"/>
  <c r="CT479" i="1"/>
  <c r="CX193" i="82"/>
  <c r="CX69" i="1"/>
  <c r="CX170" i="1" s="1"/>
  <c r="CX499" i="1"/>
  <c r="CX501" i="1"/>
  <c r="CX500" i="1"/>
  <c r="AF129" i="1"/>
  <c r="AF128" i="1"/>
  <c r="AF136" i="1"/>
  <c r="AF133" i="1"/>
  <c r="BQ63" i="7"/>
  <c r="CN93" i="2"/>
  <c r="CN347" i="2"/>
  <c r="CN346" i="2"/>
  <c r="CN69" i="2"/>
  <c r="CM381" i="82"/>
  <c r="BJ348" i="2"/>
  <c r="BJ169" i="2"/>
  <c r="BJ54" i="2"/>
  <c r="BJ151" i="2"/>
  <c r="BJ71" i="2"/>
  <c r="BJ32" i="2"/>
  <c r="AO346" i="2"/>
  <c r="AO69" i="2"/>
  <c r="AY332" i="1"/>
  <c r="DA210" i="2"/>
  <c r="AQ396" i="1"/>
  <c r="AQ325" i="1"/>
  <c r="AE375" i="1"/>
  <c r="AE376" i="1" s="1"/>
  <c r="AK496" i="1"/>
  <c r="CP125" i="1"/>
  <c r="CP126" i="1"/>
  <c r="CG624" i="1"/>
  <c r="CG122" i="1"/>
  <c r="CG123" i="1"/>
  <c r="CG127" i="1"/>
  <c r="CT542" i="1"/>
  <c r="CT552" i="1"/>
  <c r="CT534" i="1"/>
  <c r="CT535" i="1"/>
  <c r="BI538" i="1"/>
  <c r="BE539" i="1"/>
  <c r="BE540" i="1" s="1"/>
  <c r="DF609" i="1"/>
  <c r="DF495" i="1" s="1"/>
  <c r="DF109" i="1"/>
  <c r="DF108" i="1"/>
  <c r="BT621" i="1"/>
  <c r="BZ63" i="7"/>
  <c r="BH341" i="2"/>
  <c r="AU106" i="1"/>
  <c r="DG381" i="82"/>
  <c r="DG407" i="82"/>
  <c r="CW482" i="1"/>
  <c r="DD617" i="1"/>
  <c r="BV553" i="1"/>
  <c r="BV554" i="1" s="1"/>
  <c r="BV438" i="1"/>
  <c r="DK620" i="1"/>
  <c r="DK120" i="1"/>
  <c r="DK119" i="1"/>
  <c r="DK621" i="1" s="1"/>
  <c r="DM120" i="1"/>
  <c r="Y526" i="1"/>
  <c r="Y528" i="1"/>
  <c r="AA528" i="1"/>
  <c r="AD527" i="1"/>
  <c r="CU435" i="1"/>
  <c r="CU433" i="1"/>
  <c r="CD122" i="1"/>
  <c r="CX433" i="1"/>
  <c r="CX435" i="1"/>
  <c r="DB476" i="1"/>
  <c r="AX62" i="7"/>
  <c r="CO581" i="1"/>
  <c r="CO583" i="1" s="1"/>
  <c r="CO605" i="1" s="1"/>
  <c r="CO580" i="1"/>
  <c r="CN559" i="1"/>
  <c r="CV127" i="1"/>
  <c r="BA624" i="1"/>
  <c r="BA127" i="1"/>
  <c r="AM76" i="3" s="1"/>
  <c r="BA123" i="1"/>
  <c r="BN603" i="1"/>
  <c r="AQ456" i="1"/>
  <c r="AY63" i="7"/>
  <c r="CG438" i="1"/>
  <c r="CG553" i="1"/>
  <c r="CG554" i="1" s="1"/>
  <c r="W526" i="1"/>
  <c r="X528" i="1"/>
  <c r="W528" i="1"/>
  <c r="AB527" i="1"/>
  <c r="CG93" i="2"/>
  <c r="CG69" i="2"/>
  <c r="CG347" i="2"/>
  <c r="CG346" i="2"/>
  <c r="CP412" i="82"/>
  <c r="CP289" i="82"/>
  <c r="CP279" i="82"/>
  <c r="AI175" i="2"/>
  <c r="AI157" i="2"/>
  <c r="CE621" i="1"/>
  <c r="CO126" i="1"/>
  <c r="CO125" i="1"/>
  <c r="CW617" i="1"/>
  <c r="CR476" i="1"/>
  <c r="CQ479" i="1"/>
  <c r="CG542" i="1"/>
  <c r="CG535" i="1"/>
  <c r="CG534" i="1"/>
  <c r="CG536" i="1" s="1"/>
  <c r="AS389" i="1"/>
  <c r="AS74" i="1"/>
  <c r="AS70" i="1"/>
  <c r="AS491" i="1"/>
  <c r="AS80" i="1"/>
  <c r="AX70" i="1"/>
  <c r="AS485" i="1"/>
  <c r="BK559" i="1"/>
  <c r="BK81" i="1"/>
  <c r="AK62" i="7"/>
  <c r="CO69" i="2"/>
  <c r="CO93" i="2"/>
  <c r="CO347" i="2"/>
  <c r="CO346" i="2"/>
  <c r="CP93" i="2"/>
  <c r="AM169" i="2"/>
  <c r="AM54" i="2"/>
  <c r="AM94" i="2"/>
  <c r="AM151" i="2"/>
  <c r="AM71" i="2"/>
  <c r="AM348" i="2"/>
  <c r="AM32" i="2"/>
  <c r="CT412" i="82"/>
  <c r="CT279" i="82"/>
  <c r="CT289" i="82"/>
  <c r="DB203" i="2"/>
  <c r="CX212" i="2"/>
  <c r="CV93" i="2"/>
  <c r="CV347" i="2"/>
  <c r="CV346" i="2"/>
  <c r="CV69" i="2"/>
  <c r="CX93" i="2"/>
  <c r="DA69" i="2"/>
  <c r="AQ167" i="2"/>
  <c r="AQ168" i="2"/>
  <c r="CN106" i="2"/>
  <c r="AJ331" i="1"/>
  <c r="AJ332" i="1"/>
  <c r="DK278" i="82"/>
  <c r="DH292" i="82"/>
  <c r="DF292" i="82"/>
  <c r="DF298" i="82"/>
  <c r="DF278" i="82"/>
  <c r="CY415" i="82"/>
  <c r="CY292" i="82"/>
  <c r="CY298" i="82"/>
  <c r="CG492" i="1"/>
  <c r="CG496" i="1"/>
  <c r="CI496" i="1"/>
  <c r="CJ479" i="1"/>
  <c r="DF617" i="1"/>
  <c r="CQ625" i="1"/>
  <c r="CJ313" i="82"/>
  <c r="CJ337" i="2"/>
  <c r="CJ354" i="2"/>
  <c r="CJ84" i="2"/>
  <c r="CJ61" i="2"/>
  <c r="CJ9" i="2"/>
  <c r="CJ130" i="2"/>
  <c r="CJ146" i="2"/>
  <c r="CJ383" i="2"/>
  <c r="CJ385" i="2"/>
  <c r="CJ140" i="2"/>
  <c r="CJ386" i="2"/>
  <c r="CJ143" i="2"/>
  <c r="CJ388" i="2"/>
  <c r="CJ137" i="2"/>
  <c r="CJ387" i="2"/>
  <c r="DB624" i="1"/>
  <c r="DB127" i="1"/>
  <c r="CK313" i="82"/>
  <c r="CK354" i="2"/>
  <c r="CK84" i="2"/>
  <c r="CK61" i="2"/>
  <c r="CK337" i="2"/>
  <c r="CK9" i="2"/>
  <c r="CK385" i="2"/>
  <c r="CK384" i="2"/>
  <c r="CK146" i="2"/>
  <c r="CK133" i="2"/>
  <c r="CL354" i="2"/>
  <c r="CK383" i="2"/>
  <c r="CK130" i="2"/>
  <c r="CK387" i="2"/>
  <c r="CK388" i="2"/>
  <c r="CL84" i="2"/>
  <c r="CK137" i="2"/>
  <c r="CK140" i="2"/>
  <c r="CK386" i="2"/>
  <c r="CS53" i="7"/>
  <c r="CX53" i="7" s="1"/>
  <c r="DC53" i="7" s="1"/>
  <c r="DB380" i="82"/>
  <c r="DB406" i="82"/>
  <c r="CF63" i="7"/>
  <c r="BB63" i="7"/>
  <c r="CT210" i="2"/>
  <c r="CT211" i="2"/>
  <c r="CR26" i="2"/>
  <c r="BI339" i="2"/>
  <c r="S11" i="113"/>
  <c r="CZ103" i="2"/>
  <c r="CY103" i="2"/>
  <c r="AL96" i="7"/>
  <c r="AL94" i="7"/>
  <c r="AL91" i="7"/>
  <c r="AL172" i="7"/>
  <c r="AL98" i="7"/>
  <c r="AL104" i="7"/>
  <c r="AL92" i="7"/>
  <c r="AL82" i="7"/>
  <c r="AL73" i="7" s="1"/>
  <c r="AL83" i="7"/>
  <c r="CW209" i="2"/>
  <c r="CS210" i="2"/>
  <c r="CS211" i="2"/>
  <c r="DL381" i="82"/>
  <c r="DL415" i="82"/>
  <c r="DL407" i="82"/>
  <c r="DB513" i="1"/>
  <c r="BX586" i="1"/>
  <c r="BX476" i="1"/>
  <c r="DI609" i="1"/>
  <c r="DI108" i="1"/>
  <c r="DI109" i="1"/>
  <c r="CI583" i="1"/>
  <c r="CM603" i="1"/>
  <c r="CM103" i="1"/>
  <c r="CL479" i="1"/>
  <c r="AU543" i="1"/>
  <c r="AU436" i="1"/>
  <c r="DG624" i="1"/>
  <c r="DG127" i="1"/>
  <c r="DB341" i="1" s="1"/>
  <c r="DG122" i="1"/>
  <c r="AX402" i="1"/>
  <c r="AZ485" i="1"/>
  <c r="AZ389" i="1"/>
  <c r="AZ74" i="1"/>
  <c r="AZ70" i="1"/>
  <c r="AZ491" i="1"/>
  <c r="AZ80" i="1"/>
  <c r="CV242" i="82"/>
  <c r="CV195" i="82"/>
  <c r="CV194" i="82" s="1"/>
  <c r="CV257" i="82"/>
  <c r="CV211" i="82"/>
  <c r="CV256" i="82"/>
  <c r="CV250" i="82"/>
  <c r="CV244" i="82"/>
  <c r="CV225" i="82"/>
  <c r="AI402" i="1"/>
  <c r="AZ435" i="1"/>
  <c r="CO63" i="7"/>
  <c r="T74" i="3"/>
  <c r="T81" i="3"/>
  <c r="DC298" i="82"/>
  <c r="DG264" i="82"/>
  <c r="DG125" i="82" s="1"/>
  <c r="T302" i="113" s="1"/>
  <c r="DC278" i="82"/>
  <c r="DH278" i="82"/>
  <c r="DC292" i="82"/>
  <c r="BX391" i="2"/>
  <c r="BL571" i="1"/>
  <c r="BL572" i="1"/>
  <c r="CS389" i="1"/>
  <c r="CS70" i="1"/>
  <c r="CS560" i="1"/>
  <c r="CS74" i="1"/>
  <c r="CW69" i="1"/>
  <c r="CS7" i="2"/>
  <c r="CS562" i="1"/>
  <c r="CS564" i="1"/>
  <c r="CZ609" i="1"/>
  <c r="CZ495" i="1" s="1"/>
  <c r="CZ109" i="1"/>
  <c r="CZ108" i="1"/>
  <c r="CP621" i="1"/>
  <c r="T67" i="113"/>
  <c r="T77" i="113"/>
  <c r="AV534" i="1"/>
  <c r="AV536" i="1" s="1"/>
  <c r="AV535" i="1"/>
  <c r="CS539" i="1"/>
  <c r="CS179" i="39" s="1"/>
  <c r="CW538" i="1"/>
  <c r="CW539" i="1" s="1"/>
  <c r="CW540" i="1" s="1"/>
  <c r="CW179" i="39" s="1"/>
  <c r="AW41" i="7"/>
  <c r="AV50" i="7"/>
  <c r="CO225" i="7"/>
  <c r="CP225" i="7" s="1"/>
  <c r="CQ225" i="7" s="1"/>
  <c r="CR225" i="7" s="1"/>
  <c r="CS225" i="7" s="1"/>
  <c r="BC63" i="7"/>
  <c r="CT87" i="2"/>
  <c r="CT64" i="2"/>
  <c r="CT203" i="2"/>
  <c r="CY70" i="2"/>
  <c r="CY64" i="2"/>
  <c r="CT70" i="2"/>
  <c r="CE479" i="1"/>
  <c r="DJ585" i="1"/>
  <c r="DJ41" i="1"/>
  <c r="DJ107" i="1"/>
  <c r="DK109" i="1" s="1"/>
  <c r="DJ42" i="1"/>
  <c r="Q474" i="1"/>
  <c r="Q107" i="1"/>
  <c r="Q491" i="1"/>
  <c r="V37" i="1"/>
  <c r="Q42" i="1"/>
  <c r="AF376" i="1"/>
  <c r="CE435" i="1"/>
  <c r="CE433" i="1"/>
  <c r="CP435" i="1"/>
  <c r="BP63" i="7"/>
  <c r="CC208" i="7"/>
  <c r="CB218" i="7"/>
  <c r="BB157" i="2"/>
  <c r="BB158" i="2" s="1"/>
  <c r="BB175" i="2"/>
  <c r="CR371" i="2"/>
  <c r="CK143" i="2"/>
  <c r="AZ169" i="2"/>
  <c r="AZ54" i="2"/>
  <c r="AZ151" i="2"/>
  <c r="AZ32" i="2"/>
  <c r="DC193" i="82"/>
  <c r="DC501" i="1"/>
  <c r="DC500" i="1"/>
  <c r="DC69" i="1"/>
  <c r="DC170" i="1" s="1"/>
  <c r="DC499" i="1"/>
  <c r="DB381" i="82"/>
  <c r="DB407" i="82"/>
  <c r="DE193" i="82"/>
  <c r="DE501" i="1"/>
  <c r="DE500" i="1"/>
  <c r="DE69" i="1"/>
  <c r="DE170" i="1" s="1"/>
  <c r="DE499" i="1"/>
  <c r="BW625" i="1"/>
  <c r="BJ625" i="1"/>
  <c r="CD559" i="1"/>
  <c r="DM303" i="1"/>
  <c r="DM304" i="1"/>
  <c r="CZ542" i="1"/>
  <c r="CZ543" i="1" s="1"/>
  <c r="CZ534" i="1"/>
  <c r="CZ552" i="1"/>
  <c r="CZ553" i="1" s="1"/>
  <c r="CZ554" i="1" s="1"/>
  <c r="CZ535" i="1"/>
  <c r="DB538" i="1"/>
  <c r="DB539" i="1" s="1"/>
  <c r="DB540" i="1" s="1"/>
  <c r="DB179" i="39" s="1"/>
  <c r="DB533" i="1"/>
  <c r="CX609" i="1"/>
  <c r="CX495" i="1" s="1"/>
  <c r="CX109" i="1"/>
  <c r="CX108" i="1"/>
  <c r="DD621" i="1"/>
  <c r="Q18" i="3"/>
  <c r="AH63" i="7"/>
  <c r="AD63" i="7"/>
  <c r="DK205" i="2"/>
  <c r="AV88" i="2"/>
  <c r="CO70" i="2"/>
  <c r="CT391" i="2"/>
  <c r="AY331" i="1"/>
  <c r="BE122" i="1"/>
  <c r="BI398" i="1"/>
  <c r="BI400" i="1"/>
  <c r="DL304" i="1"/>
  <c r="CY621" i="1"/>
  <c r="BB553" i="1"/>
  <c r="BB554" i="1" s="1"/>
  <c r="BB438" i="1"/>
  <c r="CT435" i="1"/>
  <c r="CT433" i="1"/>
  <c r="AC127" i="1"/>
  <c r="O76" i="3" s="1"/>
  <c r="AU559" i="1"/>
  <c r="AU81" i="1"/>
  <c r="BX620" i="1"/>
  <c r="BX119" i="1"/>
  <c r="CS41" i="7"/>
  <c r="CD62" i="7"/>
  <c r="CI93" i="2"/>
  <c r="BH65" i="2"/>
  <c r="BL151" i="2"/>
  <c r="BL71" i="2"/>
  <c r="BL348" i="2"/>
  <c r="BL94" i="2"/>
  <c r="BL169" i="2"/>
  <c r="BL54" i="2"/>
  <c r="BL32" i="2"/>
  <c r="H40" i="113"/>
  <c r="H30" i="113"/>
  <c r="CQ415" i="82"/>
  <c r="CQ292" i="82"/>
  <c r="CQ278" i="82"/>
  <c r="AI376" i="1"/>
  <c r="DK603" i="1"/>
  <c r="DK103" i="1"/>
  <c r="DK104" i="1"/>
  <c r="Y326" i="1"/>
  <c r="T460" i="1"/>
  <c r="T36" i="1"/>
  <c r="T27" i="1"/>
  <c r="T115" i="1"/>
  <c r="T28" i="1"/>
  <c r="Y23" i="1"/>
  <c r="V27" i="1"/>
  <c r="CU550" i="1"/>
  <c r="AT538" i="1"/>
  <c r="AP539" i="1"/>
  <c r="AP540" i="1" s="1"/>
  <c r="AP436" i="1"/>
  <c r="BJ496" i="1"/>
  <c r="CD129" i="1"/>
  <c r="CD136" i="1"/>
  <c r="CD133" i="1"/>
  <c r="CX550" i="1"/>
  <c r="R480" i="113"/>
  <c r="AC63" i="7"/>
  <c r="CP347" i="2"/>
  <c r="CL93" i="2"/>
  <c r="CN313" i="82"/>
  <c r="CN84" i="2"/>
  <c r="CN61" i="2"/>
  <c r="CN130" i="2"/>
  <c r="CN383" i="2"/>
  <c r="CN337" i="2"/>
  <c r="CN354" i="2"/>
  <c r="CN9" i="2"/>
  <c r="CN384" i="2"/>
  <c r="CN386" i="2"/>
  <c r="CN387" i="2"/>
  <c r="CN388" i="2"/>
  <c r="CN137" i="2"/>
  <c r="CN143" i="2"/>
  <c r="CN146" i="2"/>
  <c r="CN385" i="2"/>
  <c r="CN625" i="1"/>
  <c r="CV625" i="1"/>
  <c r="AT474" i="1"/>
  <c r="AT69" i="1"/>
  <c r="AT170" i="1" s="1"/>
  <c r="AY171" i="1" s="1"/>
  <c r="AY209" i="1" s="1"/>
  <c r="AR42" i="1"/>
  <c r="AT37" i="1"/>
  <c r="AY37" i="1"/>
  <c r="AQ42" i="1"/>
  <c r="AP42" i="1"/>
  <c r="CK392" i="1"/>
  <c r="CK325" i="1"/>
  <c r="CK401" i="1"/>
  <c r="CF435" i="1"/>
  <c r="CF433" i="1"/>
  <c r="BU553" i="1"/>
  <c r="BU554" i="1" s="1"/>
  <c r="BU438" i="1"/>
  <c r="BM492" i="1"/>
  <c r="BM496" i="1"/>
  <c r="CN125" i="1"/>
  <c r="CN126" i="1"/>
  <c r="CR124" i="1"/>
  <c r="CN136" i="1"/>
  <c r="CS479" i="1"/>
  <c r="CO484" i="1"/>
  <c r="BF604" i="1"/>
  <c r="CI625" i="1"/>
  <c r="BW559" i="1"/>
  <c r="BW81" i="1"/>
  <c r="BK396" i="1"/>
  <c r="BK325" i="1"/>
  <c r="BK401" i="1"/>
  <c r="CO224" i="7"/>
  <c r="CP224" i="7" s="1"/>
  <c r="CQ224" i="7" s="1"/>
  <c r="CR224" i="7" s="1"/>
  <c r="CS224" i="7" s="1"/>
  <c r="CT224" i="7" s="1"/>
  <c r="CL106" i="2"/>
  <c r="DE211" i="2"/>
  <c r="DE210" i="2"/>
  <c r="DK193" i="82"/>
  <c r="DK499" i="1"/>
  <c r="DA193" i="82"/>
  <c r="DA69" i="1"/>
  <c r="DA170" i="1" s="1"/>
  <c r="DA499" i="1"/>
  <c r="DA501" i="1"/>
  <c r="DA500" i="1"/>
  <c r="CQ128" i="1"/>
  <c r="CQ133" i="1"/>
  <c r="BM534" i="1"/>
  <c r="BM536" i="1" s="1"/>
  <c r="BM535" i="1"/>
  <c r="BM542" i="1"/>
  <c r="CT125" i="1"/>
  <c r="CT126" i="1"/>
  <c r="CJ580" i="1"/>
  <c r="CJ581" i="1"/>
  <c r="CJ583" i="1" s="1"/>
  <c r="CJ605" i="1" s="1"/>
  <c r="CK492" i="1"/>
  <c r="CK496" i="1"/>
  <c r="CP492" i="1"/>
  <c r="DK220" i="82"/>
  <c r="AT125" i="1"/>
  <c r="AY125" i="1"/>
  <c r="AB83" i="3"/>
  <c r="AB85" i="3" s="1"/>
  <c r="CO64" i="2"/>
  <c r="H40" i="11"/>
  <c r="AY339" i="2"/>
  <c r="AY63" i="2"/>
  <c r="AY13" i="2"/>
  <c r="AY379" i="2"/>
  <c r="AY377" i="2"/>
  <c r="AY380" i="2"/>
  <c r="AY381" i="2"/>
  <c r="AV366" i="2"/>
  <c r="AO65" i="2"/>
  <c r="AO341" i="2"/>
  <c r="AO166" i="2"/>
  <c r="AO150" i="2"/>
  <c r="AO27" i="2"/>
  <c r="AM368" i="2"/>
  <c r="AK368" i="2"/>
  <c r="AO92" i="7"/>
  <c r="AO172" i="7"/>
  <c r="AO82" i="7"/>
  <c r="AO73" i="7" s="1"/>
  <c r="AO98" i="7"/>
  <c r="AO89" i="7"/>
  <c r="AO104" i="7"/>
  <c r="AO83" i="7"/>
  <c r="AO91" i="7"/>
  <c r="AO96" i="7"/>
  <c r="AO94" i="7"/>
  <c r="CE386" i="2"/>
  <c r="CE387" i="2"/>
  <c r="CE384" i="2"/>
  <c r="CE385" i="2"/>
  <c r="CE84" i="2"/>
  <c r="CE388" i="2"/>
  <c r="CE354" i="2"/>
  <c r="CE337" i="2"/>
  <c r="CE9" i="2"/>
  <c r="CE61" i="2"/>
  <c r="CE383" i="2"/>
  <c r="CF354" i="2"/>
  <c r="CF84" i="2"/>
  <c r="CF496" i="1"/>
  <c r="CH617" i="1"/>
  <c r="CR586" i="1"/>
  <c r="BU621" i="1"/>
  <c r="BX389" i="1"/>
  <c r="BX325" i="1"/>
  <c r="BX70" i="1"/>
  <c r="BX80" i="1"/>
  <c r="BX491" i="1"/>
  <c r="BX485" i="1"/>
  <c r="CT349" i="82"/>
  <c r="U454" i="113"/>
  <c r="DL412" i="82"/>
  <c r="DL295" i="82"/>
  <c r="CT389" i="1"/>
  <c r="CT70" i="1"/>
  <c r="CT560" i="1"/>
  <c r="CT74" i="1"/>
  <c r="CT7" i="2"/>
  <c r="CT564" i="1"/>
  <c r="CT562" i="1"/>
  <c r="AQ119" i="1"/>
  <c r="AQ120" i="1"/>
  <c r="AC376" i="1"/>
  <c r="CQ484" i="1"/>
  <c r="O7" i="11"/>
  <c r="P9" i="11"/>
  <c r="DI204" i="2"/>
  <c r="DI205" i="2"/>
  <c r="DI212" i="2"/>
  <c r="CL492" i="1"/>
  <c r="BA476" i="1"/>
  <c r="BA586" i="1"/>
  <c r="CS257" i="82"/>
  <c r="CS211" i="82"/>
  <c r="CS244" i="82"/>
  <c r="CS225" i="82"/>
  <c r="CS256" i="82"/>
  <c r="CW193" i="82"/>
  <c r="CS242" i="82"/>
  <c r="CS195" i="82"/>
  <c r="CS250" i="82"/>
  <c r="CP624" i="1"/>
  <c r="CP123" i="1"/>
  <c r="CP127" i="1"/>
  <c r="CP122" i="1"/>
  <c r="CQ435" i="1"/>
  <c r="CR538" i="1"/>
  <c r="CN621" i="1"/>
  <c r="DF534" i="1"/>
  <c r="AS89" i="7"/>
  <c r="CW66" i="2"/>
  <c r="CW26" i="2"/>
  <c r="CV105" i="2"/>
  <c r="CS105" i="2"/>
  <c r="CT105" i="2"/>
  <c r="DB66" i="2"/>
  <c r="AL168" i="2"/>
  <c r="AL167" i="2"/>
  <c r="CY210" i="2"/>
  <c r="BT559" i="1"/>
  <c r="BT81" i="1"/>
  <c r="BN620" i="1"/>
  <c r="DH193" i="82"/>
  <c r="DH500" i="1"/>
  <c r="AU596" i="1"/>
  <c r="AU115" i="1"/>
  <c r="AU91" i="1"/>
  <c r="AU93" i="1"/>
  <c r="AZ91" i="1"/>
  <c r="AN458" i="1"/>
  <c r="AD325" i="1"/>
  <c r="AD396" i="1"/>
  <c r="CO435" i="1"/>
  <c r="CP550" i="1"/>
  <c r="CA234" i="7"/>
  <c r="CA235" i="7" s="1"/>
  <c r="U46" i="3"/>
  <c r="AJ166" i="2"/>
  <c r="AJ150" i="2"/>
  <c r="AJ27" i="2"/>
  <c r="AH368" i="2"/>
  <c r="AG368" i="2"/>
  <c r="CK107" i="2"/>
  <c r="AZ88" i="2"/>
  <c r="AX572" i="1"/>
  <c r="AX571" i="1"/>
  <c r="DL306" i="82"/>
  <c r="U482" i="113" s="1"/>
  <c r="DC609" i="1"/>
  <c r="DC495" i="1" s="1"/>
  <c r="DC109" i="1"/>
  <c r="DC108" i="1"/>
  <c r="DE609" i="1"/>
  <c r="DE495" i="1" s="1"/>
  <c r="DE109" i="1"/>
  <c r="DE108" i="1"/>
  <c r="BW128" i="1"/>
  <c r="BW133" i="1"/>
  <c r="BW136" i="1"/>
  <c r="BW134" i="1"/>
  <c r="BJ128" i="1"/>
  <c r="BJ136" i="1"/>
  <c r="BJ134" i="1"/>
  <c r="BJ133" i="1"/>
  <c r="CR381" i="82"/>
  <c r="CR407" i="82"/>
  <c r="CD496" i="1"/>
  <c r="CD492" i="1"/>
  <c r="CI492" i="1"/>
  <c r="AF134" i="1"/>
  <c r="DK48" i="1"/>
  <c r="DJ49" i="1"/>
  <c r="DJ48" i="1"/>
  <c r="DJ44" i="1"/>
  <c r="AL325" i="1"/>
  <c r="AL396" i="1"/>
  <c r="AM396" i="1"/>
  <c r="AM325" i="1"/>
  <c r="CY515" i="1"/>
  <c r="DH234" i="82"/>
  <c r="AA63" i="7"/>
  <c r="Z73" i="3"/>
  <c r="Z32" i="3"/>
  <c r="CP87" i="2"/>
  <c r="CP64" i="2"/>
  <c r="CP203" i="2"/>
  <c r="CP70" i="2"/>
  <c r="DA103" i="2"/>
  <c r="DG108" i="2"/>
  <c r="DL378" i="82"/>
  <c r="BD597" i="1"/>
  <c r="AQ496" i="1"/>
  <c r="AQ492" i="1"/>
  <c r="DB499" i="1"/>
  <c r="CD553" i="1"/>
  <c r="CD554" i="1" s="1"/>
  <c r="CD438" i="1"/>
  <c r="CT550" i="1"/>
  <c r="BN398" i="1"/>
  <c r="BN400" i="1"/>
  <c r="AU396" i="1"/>
  <c r="AU325" i="1"/>
  <c r="DG513" i="1"/>
  <c r="CS22" i="7"/>
  <c r="CH414" i="82"/>
  <c r="CH406" i="82"/>
  <c r="AB63" i="7"/>
  <c r="BK368" i="2"/>
  <c r="DM109" i="1"/>
  <c r="CX211" i="2"/>
  <c r="DL207" i="2"/>
  <c r="DG209" i="2"/>
  <c r="BG559" i="1"/>
  <c r="BG81" i="1"/>
  <c r="S464" i="1"/>
  <c r="CU540" i="1"/>
  <c r="AB376" i="1"/>
  <c r="BC492" i="1"/>
  <c r="BC496" i="1"/>
  <c r="CG621" i="1"/>
  <c r="AP63" i="7"/>
  <c r="CN396" i="1"/>
  <c r="CN401" i="1"/>
  <c r="CN325" i="1"/>
  <c r="CO127" i="1"/>
  <c r="BL63" i="7" l="1"/>
  <c r="BN391" i="2"/>
  <c r="AC170" i="7"/>
  <c r="CW176" i="39"/>
  <c r="CW177" i="39" s="1"/>
  <c r="BN385" i="1"/>
  <c r="CU328" i="2"/>
  <c r="CU325" i="2"/>
  <c r="CU329" i="2"/>
  <c r="CU327" i="2"/>
  <c r="CT325" i="2"/>
  <c r="CT328" i="2"/>
  <c r="CT327" i="2"/>
  <c r="CT329" i="2"/>
  <c r="CV328" i="2"/>
  <c r="CV325" i="2"/>
  <c r="CV327" i="2"/>
  <c r="CV329" i="2"/>
  <c r="CM327" i="2"/>
  <c r="CM325" i="2"/>
  <c r="CM328" i="2"/>
  <c r="CM329" i="2"/>
  <c r="CQ327" i="2"/>
  <c r="CQ329" i="2"/>
  <c r="CQ325" i="2"/>
  <c r="CQ328" i="2"/>
  <c r="CS327" i="2"/>
  <c r="CS328" i="2"/>
  <c r="CS329" i="2"/>
  <c r="CS325" i="2"/>
  <c r="CH329" i="2"/>
  <c r="CH325" i="2"/>
  <c r="CH327" i="2"/>
  <c r="CH328" i="2"/>
  <c r="CP327" i="2"/>
  <c r="CP325" i="2"/>
  <c r="CP328" i="2"/>
  <c r="CP329" i="2"/>
  <c r="BX385" i="1"/>
  <c r="BT386" i="1"/>
  <c r="BJ492" i="1"/>
  <c r="BE496" i="1"/>
  <c r="AX94" i="2"/>
  <c r="AW368" i="2"/>
  <c r="BI391" i="2"/>
  <c r="BB123" i="1"/>
  <c r="BB127" i="1"/>
  <c r="BB128" i="1" s="1"/>
  <c r="AW50" i="7"/>
  <c r="AW232" i="1"/>
  <c r="BN476" i="1"/>
  <c r="BB222" i="1"/>
  <c r="BB223" i="1" s="1"/>
  <c r="AW76" i="3"/>
  <c r="AX175" i="1"/>
  <c r="AX177" i="1" s="1"/>
  <c r="AW177" i="1"/>
  <c r="AW598" i="1"/>
  <c r="AX381" i="1"/>
  <c r="AX371" i="1" s="1"/>
  <c r="AW223" i="1"/>
  <c r="AW177" i="2"/>
  <c r="AW176" i="2"/>
  <c r="CK212" i="2"/>
  <c r="CK213" i="2" s="1"/>
  <c r="AW153" i="2"/>
  <c r="AW152" i="2"/>
  <c r="AW170" i="2"/>
  <c r="AW171" i="2"/>
  <c r="AW161" i="2"/>
  <c r="AW179" i="2"/>
  <c r="AW334" i="1"/>
  <c r="AW158" i="2"/>
  <c r="AW159" i="2"/>
  <c r="BB176" i="2"/>
  <c r="AJ76" i="3"/>
  <c r="AX129" i="1"/>
  <c r="AW36" i="2"/>
  <c r="AW34" i="2"/>
  <c r="AX553" i="1"/>
  <c r="AX438" i="1"/>
  <c r="AN96" i="7"/>
  <c r="AN172" i="7"/>
  <c r="AN104" i="7"/>
  <c r="AN94" i="7"/>
  <c r="AN91" i="7"/>
  <c r="AN98" i="7"/>
  <c r="AN92" i="7"/>
  <c r="AN83" i="7"/>
  <c r="AN89" i="7"/>
  <c r="AN82" i="7"/>
  <c r="AN73" i="7" s="1"/>
  <c r="BB536" i="1"/>
  <c r="AX550" i="1"/>
  <c r="AY413" i="1"/>
  <c r="AZ535" i="1"/>
  <c r="DB154" i="39"/>
  <c r="DB176" i="39"/>
  <c r="DB177" i="39" s="1"/>
  <c r="CX178" i="39"/>
  <c r="CY178" i="39" s="1"/>
  <c r="CZ178" i="39" s="1"/>
  <c r="CX180" i="39"/>
  <c r="CY176" i="39"/>
  <c r="CV180" i="39"/>
  <c r="CY192" i="39"/>
  <c r="CO177" i="39"/>
  <c r="CS178" i="39"/>
  <c r="CS180" i="39"/>
  <c r="CX131" i="39"/>
  <c r="CX133" i="39"/>
  <c r="CD178" i="39"/>
  <c r="CD180" i="39"/>
  <c r="BT178" i="39"/>
  <c r="BT180" i="39"/>
  <c r="DB119" i="39"/>
  <c r="DB121" i="39"/>
  <c r="BY178" i="39"/>
  <c r="BY180" i="39"/>
  <c r="AU63" i="7"/>
  <c r="DG220" i="82"/>
  <c r="CX309" i="1"/>
  <c r="DB200" i="1"/>
  <c r="CU234" i="82"/>
  <c r="BE81" i="1"/>
  <c r="BE378" i="1" s="1"/>
  <c r="BE380" i="1" s="1"/>
  <c r="BE381" i="1" s="1"/>
  <c r="BE371" i="1" s="1"/>
  <c r="BU87" i="1"/>
  <c r="BU565" i="1" s="1"/>
  <c r="AV580" i="1"/>
  <c r="AV579" i="1" s="1"/>
  <c r="AV582" i="1" s="1"/>
  <c r="BU373" i="1"/>
  <c r="BU375" i="1" s="1"/>
  <c r="BU376" i="1" s="1"/>
  <c r="BU370" i="1" s="1"/>
  <c r="BK235" i="1"/>
  <c r="BK236" i="1" s="1"/>
  <c r="AM222" i="1"/>
  <c r="AM223" i="1" s="1"/>
  <c r="BU378" i="1"/>
  <c r="BU380" i="1" s="1"/>
  <c r="BU381" i="1" s="1"/>
  <c r="BU371" i="1" s="1"/>
  <c r="BE401" i="1"/>
  <c r="BC175" i="1"/>
  <c r="BE177" i="1" s="1"/>
  <c r="BE396" i="1"/>
  <c r="DK24" i="7"/>
  <c r="BM63" i="7"/>
  <c r="BC222" i="1"/>
  <c r="BC223" i="1" s="1"/>
  <c r="BW235" i="1"/>
  <c r="BW236" i="1" s="1"/>
  <c r="BG235" i="1"/>
  <c r="BG236" i="1" s="1"/>
  <c r="BH378" i="1"/>
  <c r="BH380" i="1" s="1"/>
  <c r="BH381" i="1" s="1"/>
  <c r="BH371" i="1" s="1"/>
  <c r="BV177" i="1"/>
  <c r="BX175" i="1"/>
  <c r="CH176" i="1" s="1"/>
  <c r="CR208" i="1"/>
  <c r="CR216" i="1" s="1"/>
  <c r="CR217" i="1" s="1"/>
  <c r="CR191" i="1"/>
  <c r="CR203" i="1"/>
  <c r="AX579" i="1"/>
  <c r="AX582" i="1" s="1"/>
  <c r="AX606" i="1" s="1"/>
  <c r="AX622" i="1" s="1"/>
  <c r="CR197" i="1"/>
  <c r="CR171" i="1"/>
  <c r="CR209" i="1" s="1"/>
  <c r="CJ235" i="1"/>
  <c r="CJ236" i="1" s="1"/>
  <c r="DJ14" i="7"/>
  <c r="DJ13" i="7"/>
  <c r="CL396" i="1"/>
  <c r="BV176" i="1"/>
  <c r="BJ231" i="1"/>
  <c r="BJ232" i="1" s="1"/>
  <c r="BX226" i="1"/>
  <c r="BX172" i="1" s="1"/>
  <c r="AQ177" i="1"/>
  <c r="AQ231" i="1"/>
  <c r="AQ232" i="1" s="1"/>
  <c r="BG580" i="1"/>
  <c r="BG579" i="1" s="1"/>
  <c r="BG582" i="1" s="1"/>
  <c r="CN231" i="1"/>
  <c r="CN232" i="1" s="1"/>
  <c r="AM218" i="1"/>
  <c r="AQ217" i="1"/>
  <c r="AQ219" i="1" s="1"/>
  <c r="DE191" i="1"/>
  <c r="DE197" i="1"/>
  <c r="DE203" i="1"/>
  <c r="DE171" i="1"/>
  <c r="DE209" i="1" s="1"/>
  <c r="DE208" i="1"/>
  <c r="DE173" i="1"/>
  <c r="DE210" i="1" s="1"/>
  <c r="DE183" i="1"/>
  <c r="DE175" i="1"/>
  <c r="DC191" i="1"/>
  <c r="DC197" i="1"/>
  <c r="DC173" i="1"/>
  <c r="DC210" i="1" s="1"/>
  <c r="DC203" i="1"/>
  <c r="DC171" i="1"/>
  <c r="DC209" i="1" s="1"/>
  <c r="DC208" i="1"/>
  <c r="DC175" i="1"/>
  <c r="DC183" i="1"/>
  <c r="BD178" i="1"/>
  <c r="BD183" i="1" s="1"/>
  <c r="BD171" i="1"/>
  <c r="BD209" i="1" s="1"/>
  <c r="BD208" i="1"/>
  <c r="BD216" i="1" s="1"/>
  <c r="CG231" i="1"/>
  <c r="CG232" i="1" s="1"/>
  <c r="BK225" i="1"/>
  <c r="BK226" i="1" s="1"/>
  <c r="BK217" i="1"/>
  <c r="BK219" i="1" s="1"/>
  <c r="BK218" i="1"/>
  <c r="BG225" i="1"/>
  <c r="BG226" i="1" s="1"/>
  <c r="BG217" i="1"/>
  <c r="BG219" i="1" s="1"/>
  <c r="CI218" i="1"/>
  <c r="CI225" i="1"/>
  <c r="CI226" i="1" s="1"/>
  <c r="CI217" i="1"/>
  <c r="CI219" i="1" s="1"/>
  <c r="CK235" i="1"/>
  <c r="CK236" i="1" s="1"/>
  <c r="CD222" i="1"/>
  <c r="CD223" i="1" s="1"/>
  <c r="AJ178" i="1"/>
  <c r="AJ176" i="1"/>
  <c r="CO235" i="1"/>
  <c r="CO236" i="1" s="1"/>
  <c r="BG218" i="1"/>
  <c r="BF225" i="1"/>
  <c r="BV225" i="1"/>
  <c r="BT222" i="1"/>
  <c r="BT223" i="1" s="1"/>
  <c r="DD191" i="1"/>
  <c r="DD197" i="1"/>
  <c r="DD203" i="1"/>
  <c r="DD171" i="1"/>
  <c r="DD209" i="1" s="1"/>
  <c r="DD208" i="1"/>
  <c r="DD173" i="1"/>
  <c r="DD210" i="1" s="1"/>
  <c r="DD175" i="1"/>
  <c r="DD183" i="1"/>
  <c r="DM170" i="1"/>
  <c r="DM630" i="1" s="1"/>
  <c r="DG202" i="1"/>
  <c r="BA216" i="1"/>
  <c r="BB235" i="1" s="1"/>
  <c r="BB236" i="1" s="1"/>
  <c r="BA221" i="1"/>
  <c r="BA222" i="1" s="1"/>
  <c r="BA223" i="1" s="1"/>
  <c r="BA230" i="1"/>
  <c r="BA231" i="1" s="1"/>
  <c r="BA232" i="1" s="1"/>
  <c r="BA234" i="1"/>
  <c r="CP230" i="1"/>
  <c r="CP231" i="1" s="1"/>
  <c r="CP221" i="1"/>
  <c r="CP234" i="1"/>
  <c r="CP235" i="1" s="1"/>
  <c r="CP210" i="1"/>
  <c r="CP216" i="1"/>
  <c r="AK222" i="1"/>
  <c r="AK223" i="1" s="1"/>
  <c r="CK222" i="1"/>
  <c r="CK223" i="1" s="1"/>
  <c r="BE178" i="1"/>
  <c r="BE183" i="1" s="1"/>
  <c r="BE171" i="1"/>
  <c r="BE209" i="1" s="1"/>
  <c r="BE173" i="1"/>
  <c r="BE210" i="1" s="1"/>
  <c r="BE208" i="1"/>
  <c r="BF231" i="1" s="1"/>
  <c r="BJ171" i="1"/>
  <c r="BJ209" i="1" s="1"/>
  <c r="BF173" i="1"/>
  <c r="BF210" i="1" s="1"/>
  <c r="BH216" i="1"/>
  <c r="BJ218" i="1" s="1"/>
  <c r="BH221" i="1"/>
  <c r="BH222" i="1" s="1"/>
  <c r="BH223" i="1" s="1"/>
  <c r="BH230" i="1"/>
  <c r="BH231" i="1" s="1"/>
  <c r="BH232" i="1" s="1"/>
  <c r="BH234" i="1"/>
  <c r="BH235" i="1" s="1"/>
  <c r="BH236" i="1" s="1"/>
  <c r="CW203" i="1"/>
  <c r="CW191" i="1"/>
  <c r="CW171" i="1"/>
  <c r="CW209" i="1" s="1"/>
  <c r="CW183" i="1"/>
  <c r="CW208" i="1"/>
  <c r="CW216" i="1" s="1"/>
  <c r="CW197" i="1"/>
  <c r="CD225" i="1"/>
  <c r="CD226" i="1" s="1"/>
  <c r="CD217" i="1"/>
  <c r="CD219" i="1" s="1"/>
  <c r="CD218" i="1"/>
  <c r="BN175" i="1"/>
  <c r="CY208" i="1"/>
  <c r="CY183" i="1"/>
  <c r="CY191" i="1"/>
  <c r="CY197" i="1"/>
  <c r="CY203" i="1"/>
  <c r="CY173" i="1"/>
  <c r="CY210" i="1" s="1"/>
  <c r="CY175" i="1"/>
  <c r="CY176" i="1" s="1"/>
  <c r="CK176" i="1"/>
  <c r="CF176" i="1"/>
  <c r="CF177" i="1"/>
  <c r="CF178" i="1"/>
  <c r="CF183" i="1" s="1"/>
  <c r="CG217" i="1"/>
  <c r="CG219" i="1" s="1"/>
  <c r="CG225" i="1"/>
  <c r="CG226" i="1" s="1"/>
  <c r="CJ232" i="1"/>
  <c r="CN217" i="1"/>
  <c r="CN219" i="1" s="1"/>
  <c r="CN225" i="1"/>
  <c r="CN226" i="1" s="1"/>
  <c r="BW217" i="1"/>
  <c r="BW219" i="1" s="1"/>
  <c r="BW225" i="1"/>
  <c r="BW226" i="1" s="1"/>
  <c r="BW218" i="1"/>
  <c r="BU216" i="1"/>
  <c r="CE217" i="1" s="1"/>
  <c r="CE219" i="1" s="1"/>
  <c r="BU221" i="1"/>
  <c r="BU222" i="1" s="1"/>
  <c r="BU223" i="1" s="1"/>
  <c r="BU230" i="1"/>
  <c r="BU231" i="1" s="1"/>
  <c r="BU232" i="1" s="1"/>
  <c r="BU234" i="1"/>
  <c r="BU235" i="1" s="1"/>
  <c r="BU236" i="1" s="1"/>
  <c r="AV178" i="1"/>
  <c r="AV183" i="1" s="1"/>
  <c r="AV177" i="1"/>
  <c r="AV176" i="1"/>
  <c r="CK225" i="1"/>
  <c r="CK218" i="1"/>
  <c r="BH178" i="1"/>
  <c r="BH183" i="1" s="1"/>
  <c r="BH177" i="1"/>
  <c r="BJ177" i="1"/>
  <c r="BI175" i="1"/>
  <c r="DK170" i="1"/>
  <c r="DK171" i="1" s="1"/>
  <c r="DK209" i="1" s="1"/>
  <c r="CV176" i="1"/>
  <c r="CV178" i="1"/>
  <c r="CV177" i="1"/>
  <c r="AS176" i="1"/>
  <c r="AS178" i="1"/>
  <c r="AS183" i="1" s="1"/>
  <c r="AS177" i="1"/>
  <c r="BB231" i="1"/>
  <c r="BB232" i="1" s="1"/>
  <c r="BL176" i="1"/>
  <c r="BL178" i="1"/>
  <c r="BL183" i="1" s="1"/>
  <c r="BL177" i="1"/>
  <c r="CY171" i="1"/>
  <c r="CY209" i="1" s="1"/>
  <c r="AY225" i="1"/>
  <c r="CW175" i="1"/>
  <c r="CS176" i="1"/>
  <c r="CS178" i="1"/>
  <c r="CS177" i="1"/>
  <c r="AZ216" i="1"/>
  <c r="AZ234" i="1"/>
  <c r="AZ230" i="1"/>
  <c r="AZ231" i="1" s="1"/>
  <c r="AZ232" i="1" s="1"/>
  <c r="AZ221" i="1"/>
  <c r="AR178" i="1"/>
  <c r="AR183" i="1" s="1"/>
  <c r="AR177" i="1"/>
  <c r="AR176" i="1"/>
  <c r="AU225" i="1"/>
  <c r="AL218" i="1"/>
  <c r="BN225" i="1"/>
  <c r="CZ173" i="1"/>
  <c r="CZ210" i="1" s="1"/>
  <c r="CZ171" i="1"/>
  <c r="CZ209" i="1" s="1"/>
  <c r="CZ208" i="1"/>
  <c r="CZ191" i="1"/>
  <c r="CZ197" i="1"/>
  <c r="CZ203" i="1"/>
  <c r="CZ183" i="1"/>
  <c r="CZ175" i="1"/>
  <c r="BB219" i="1"/>
  <c r="BB225" i="1"/>
  <c r="BB226" i="1" s="1"/>
  <c r="BC218" i="1"/>
  <c r="BC225" i="1"/>
  <c r="BL230" i="1"/>
  <c r="BL231" i="1" s="1"/>
  <c r="BL232" i="1" s="1"/>
  <c r="BL234" i="1"/>
  <c r="BL235" i="1" s="1"/>
  <c r="BL236" i="1" s="1"/>
  <c r="BL216" i="1"/>
  <c r="BM218" i="1" s="1"/>
  <c r="BL221" i="1"/>
  <c r="BL222" i="1" s="1"/>
  <c r="BL223" i="1" s="1"/>
  <c r="CT176" i="1"/>
  <c r="CT178" i="1"/>
  <c r="CT177" i="1"/>
  <c r="CQ178" i="1"/>
  <c r="CQ183" i="1" s="1"/>
  <c r="CQ176" i="1"/>
  <c r="CQ177" i="1"/>
  <c r="CR175" i="1"/>
  <c r="AV221" i="1"/>
  <c r="AV222" i="1" s="1"/>
  <c r="AV223" i="1" s="1"/>
  <c r="AV230" i="1"/>
  <c r="AV231" i="1" s="1"/>
  <c r="AV232" i="1" s="1"/>
  <c r="AV234" i="1"/>
  <c r="AV235" i="1" s="1"/>
  <c r="AV236" i="1" s="1"/>
  <c r="AV216" i="1"/>
  <c r="CE222" i="1"/>
  <c r="CE223" i="1" s="1"/>
  <c r="AP178" i="1"/>
  <c r="AP183" i="1" s="1"/>
  <c r="AT175" i="1"/>
  <c r="AP176" i="1"/>
  <c r="AP177" i="1"/>
  <c r="BM176" i="1"/>
  <c r="BJ225" i="1"/>
  <c r="BX219" i="1"/>
  <c r="CX208" i="1"/>
  <c r="CX171" i="1"/>
  <c r="CX209" i="1" s="1"/>
  <c r="CX183" i="1"/>
  <c r="CX191" i="1"/>
  <c r="CX197" i="1"/>
  <c r="CX203" i="1"/>
  <c r="CX175" i="1"/>
  <c r="CX173" i="1"/>
  <c r="CX210" i="1" s="1"/>
  <c r="BN70" i="1"/>
  <c r="BI170" i="1"/>
  <c r="BI171" i="1" s="1"/>
  <c r="BI209" i="1" s="1"/>
  <c r="CF216" i="1"/>
  <c r="CF221" i="1"/>
  <c r="CF222" i="1" s="1"/>
  <c r="CF223" i="1" s="1"/>
  <c r="CF230" i="1"/>
  <c r="CF231" i="1" s="1"/>
  <c r="CF232" i="1" s="1"/>
  <c r="CF234" i="1"/>
  <c r="CF235" i="1" s="1"/>
  <c r="CF236" i="1" s="1"/>
  <c r="AS230" i="1"/>
  <c r="AS231" i="1" s="1"/>
  <c r="AS232" i="1" s="1"/>
  <c r="AS216" i="1"/>
  <c r="AU218" i="1" s="1"/>
  <c r="AS221" i="1"/>
  <c r="AS222" i="1" s="1"/>
  <c r="AS223" i="1" s="1"/>
  <c r="AX216" i="1"/>
  <c r="AX218" i="1" s="1"/>
  <c r="AX221" i="1"/>
  <c r="AX222" i="1" s="1"/>
  <c r="AX223" i="1" s="1"/>
  <c r="AX230" i="1"/>
  <c r="AX234" i="1"/>
  <c r="CU176" i="1"/>
  <c r="CU178" i="1"/>
  <c r="CU177" i="1"/>
  <c r="CI235" i="1"/>
  <c r="CI236" i="1" s="1"/>
  <c r="CE235" i="1"/>
  <c r="CE236" i="1" s="1"/>
  <c r="AP216" i="1"/>
  <c r="AP221" i="1"/>
  <c r="AP230" i="1"/>
  <c r="AP231" i="1" s="1"/>
  <c r="AP232" i="1" s="1"/>
  <c r="BE176" i="1"/>
  <c r="AZ178" i="1"/>
  <c r="AZ183" i="1" s="1"/>
  <c r="AZ176" i="1"/>
  <c r="BM225" i="1"/>
  <c r="AU231" i="1"/>
  <c r="AU232" i="1" s="1"/>
  <c r="CO232" i="1"/>
  <c r="BT225" i="1"/>
  <c r="BT226" i="1" s="1"/>
  <c r="BT218" i="1"/>
  <c r="BT217" i="1"/>
  <c r="BT219" i="1" s="1"/>
  <c r="AN176" i="1"/>
  <c r="AN177" i="1"/>
  <c r="AN178" i="1"/>
  <c r="AN183" i="1" s="1"/>
  <c r="DA191" i="1"/>
  <c r="DA197" i="1"/>
  <c r="DA203" i="1"/>
  <c r="DA173" i="1"/>
  <c r="DA210" i="1" s="1"/>
  <c r="DA208" i="1"/>
  <c r="DA171" i="1"/>
  <c r="DA209" i="1" s="1"/>
  <c r="DA183" i="1"/>
  <c r="DA175" i="1"/>
  <c r="CV221" i="1"/>
  <c r="CV222" i="1" s="1"/>
  <c r="CV223" i="1" s="1"/>
  <c r="CV230" i="1"/>
  <c r="CV231" i="1" s="1"/>
  <c r="CV232" i="1" s="1"/>
  <c r="CV216" i="1"/>
  <c r="CP178" i="1"/>
  <c r="CP183" i="1" s="1"/>
  <c r="CP176" i="1"/>
  <c r="CP177" i="1"/>
  <c r="CJ217" i="1"/>
  <c r="CJ219" i="1" s="1"/>
  <c r="CJ218" i="1"/>
  <c r="CJ225" i="1"/>
  <c r="CJ226" i="1" s="1"/>
  <c r="CT221" i="1"/>
  <c r="CT222" i="1" s="1"/>
  <c r="CT223" i="1" s="1"/>
  <c r="CT210" i="1"/>
  <c r="CT216" i="1"/>
  <c r="CT230" i="1"/>
  <c r="CT231" i="1" s="1"/>
  <c r="CQ210" i="1"/>
  <c r="CQ221" i="1"/>
  <c r="CQ222" i="1" s="1"/>
  <c r="CQ223" i="1" s="1"/>
  <c r="CQ230" i="1"/>
  <c r="CQ231" i="1" s="1"/>
  <c r="CQ234" i="1"/>
  <c r="CQ216" i="1"/>
  <c r="CH217" i="1"/>
  <c r="CH219" i="1" s="1"/>
  <c r="CH225" i="1"/>
  <c r="CH226" i="1" s="1"/>
  <c r="CH172" i="1" s="1"/>
  <c r="CI222" i="1"/>
  <c r="CI223" i="1" s="1"/>
  <c r="CS210" i="1"/>
  <c r="CS221" i="1"/>
  <c r="CS216" i="1"/>
  <c r="CS230" i="1"/>
  <c r="CS231" i="1" s="1"/>
  <c r="BM231" i="1"/>
  <c r="BM232" i="1" s="1"/>
  <c r="AR216" i="1"/>
  <c r="AR230" i="1"/>
  <c r="AR231" i="1" s="1"/>
  <c r="AR232" i="1" s="1"/>
  <c r="AR221" i="1"/>
  <c r="AR222" i="1" s="1"/>
  <c r="AR223" i="1" s="1"/>
  <c r="AU222" i="1"/>
  <c r="AU223" i="1" s="1"/>
  <c r="CO217" i="1"/>
  <c r="CO219" i="1" s="1"/>
  <c r="CO225" i="1"/>
  <c r="CO226" i="1" s="1"/>
  <c r="CO218" i="1"/>
  <c r="BV231" i="1"/>
  <c r="BV232" i="1" s="1"/>
  <c r="AN221" i="1"/>
  <c r="AN222" i="1" s="1"/>
  <c r="AN223" i="1" s="1"/>
  <c r="AN216" i="1"/>
  <c r="AN218" i="1" s="1"/>
  <c r="AN230" i="1"/>
  <c r="AN231" i="1" s="1"/>
  <c r="AN232" i="1" s="1"/>
  <c r="AT183" i="1"/>
  <c r="AT208" i="1"/>
  <c r="AT216" i="1" s="1"/>
  <c r="AT217" i="1" s="1"/>
  <c r="AT171" i="1"/>
  <c r="AT209" i="1" s="1"/>
  <c r="DH170" i="1"/>
  <c r="DH173" i="1" s="1"/>
  <c r="DH210" i="1" s="1"/>
  <c r="BA178" i="1"/>
  <c r="BA177" i="1"/>
  <c r="BA176" i="1"/>
  <c r="BF176" i="1"/>
  <c r="BC235" i="1"/>
  <c r="BC236" i="1" s="1"/>
  <c r="BB177" i="1"/>
  <c r="BU178" i="1"/>
  <c r="BU183" i="1" s="1"/>
  <c r="BU176" i="1"/>
  <c r="BU177" i="1"/>
  <c r="AO178" i="1"/>
  <c r="AO176" i="1"/>
  <c r="CU221" i="1"/>
  <c r="CU222" i="1" s="1"/>
  <c r="CU223" i="1" s="1"/>
  <c r="CU216" i="1"/>
  <c r="CU230" i="1"/>
  <c r="CU231" i="1" s="1"/>
  <c r="CU232" i="1" s="1"/>
  <c r="CI232" i="1"/>
  <c r="CK232" i="1"/>
  <c r="CL216" i="1"/>
  <c r="CN218" i="1" s="1"/>
  <c r="CL234" i="1"/>
  <c r="CL235" i="1" s="1"/>
  <c r="CL236" i="1" s="1"/>
  <c r="CL221" i="1"/>
  <c r="CL222" i="1" s="1"/>
  <c r="CL223" i="1" s="1"/>
  <c r="CL230" i="1"/>
  <c r="CL231" i="1" s="1"/>
  <c r="CL232" i="1" s="1"/>
  <c r="CE225" i="1"/>
  <c r="CE218" i="1"/>
  <c r="CM225" i="1"/>
  <c r="CM226" i="1" s="1"/>
  <c r="CM172" i="1" s="1"/>
  <c r="CM217" i="1"/>
  <c r="CM219" i="1" s="1"/>
  <c r="BM222" i="1"/>
  <c r="BM223" i="1" s="1"/>
  <c r="BF222" i="1"/>
  <c r="BF223" i="1" s="1"/>
  <c r="BV222" i="1"/>
  <c r="BV223" i="1" s="1"/>
  <c r="AJ171" i="1"/>
  <c r="AJ209" i="1" s="1"/>
  <c r="AE171" i="1"/>
  <c r="AE178" i="1"/>
  <c r="AE183" i="1"/>
  <c r="CI393" i="1"/>
  <c r="CI405" i="1" s="1"/>
  <c r="CI179" i="1"/>
  <c r="CJ182" i="1" s="1"/>
  <c r="DF171" i="1"/>
  <c r="DF209" i="1" s="1"/>
  <c r="DF175" i="1"/>
  <c r="DF173" i="1"/>
  <c r="DF210" i="1" s="1"/>
  <c r="DF183" i="1"/>
  <c r="DF191" i="1"/>
  <c r="DF203" i="1"/>
  <c r="DF208" i="1"/>
  <c r="DF197" i="1"/>
  <c r="CL394" i="1"/>
  <c r="CL406" i="1" s="1"/>
  <c r="CK179" i="1"/>
  <c r="CJ180" i="1"/>
  <c r="CO180" i="1"/>
  <c r="CL404" i="1"/>
  <c r="CQ417" i="1" s="1"/>
  <c r="CQ418" i="1" s="1"/>
  <c r="CL179" i="1"/>
  <c r="CL400" i="1" s="1"/>
  <c r="CN394" i="1"/>
  <c r="CL393" i="1"/>
  <c r="CL405" i="1" s="1"/>
  <c r="CT220" i="82"/>
  <c r="BI485" i="1"/>
  <c r="BI491" i="1"/>
  <c r="BG497" i="1" s="1"/>
  <c r="BD339" i="1"/>
  <c r="BI340" i="1" s="1"/>
  <c r="BI517" i="1"/>
  <c r="BI559" i="1" s="1"/>
  <c r="BI80" i="1"/>
  <c r="BI560" i="1" s="1"/>
  <c r="DB220" i="82"/>
  <c r="CG212" i="2"/>
  <c r="CG214" i="2" s="1"/>
  <c r="CP234" i="82"/>
  <c r="CF214" i="2"/>
  <c r="J37" i="113"/>
  <c r="T455" i="113"/>
  <c r="M12" i="113"/>
  <c r="M41" i="113" s="1"/>
  <c r="P23" i="11"/>
  <c r="P24" i="11" s="1"/>
  <c r="U37" i="113"/>
  <c r="Q23" i="11"/>
  <c r="Q24" i="11" s="1"/>
  <c r="CG205" i="2"/>
  <c r="CI205" i="2"/>
  <c r="CU349" i="82"/>
  <c r="BN329" i="1"/>
  <c r="AJ55" i="2"/>
  <c r="BX329" i="1"/>
  <c r="C43" i="113"/>
  <c r="M37" i="113"/>
  <c r="K36" i="2"/>
  <c r="K37" i="2" s="1"/>
  <c r="R37" i="113"/>
  <c r="DD214" i="2"/>
  <c r="K31" i="113"/>
  <c r="AY385" i="1"/>
  <c r="CL141" i="2"/>
  <c r="AT385" i="1"/>
  <c r="Q37" i="113"/>
  <c r="DD213" i="2"/>
  <c r="CI134" i="2"/>
  <c r="CI135" i="2"/>
  <c r="I31" i="113"/>
  <c r="BI392" i="2"/>
  <c r="I37" i="113"/>
  <c r="C16" i="113"/>
  <c r="C18" i="113" s="1"/>
  <c r="C19" i="113" s="1"/>
  <c r="AO327" i="1"/>
  <c r="CO142" i="2"/>
  <c r="CI345" i="2"/>
  <c r="CD75" i="2"/>
  <c r="CD92" i="2"/>
  <c r="CD56" i="2"/>
  <c r="CD347" i="2" s="1"/>
  <c r="CD388" i="2"/>
  <c r="K12" i="113"/>
  <c r="K41" i="113" s="1"/>
  <c r="CP133" i="2"/>
  <c r="K37" i="113"/>
  <c r="DG327" i="1"/>
  <c r="DL327" i="1"/>
  <c r="DB327" i="1"/>
  <c r="BB57" i="2"/>
  <c r="BA57" i="2"/>
  <c r="AQ57" i="2"/>
  <c r="AM374" i="2"/>
  <c r="CN109" i="2"/>
  <c r="CD46" i="2"/>
  <c r="CR327" i="1"/>
  <c r="CN134" i="2"/>
  <c r="AH57" i="2"/>
  <c r="Z7" i="2"/>
  <c r="W364" i="2" s="1"/>
  <c r="AP176" i="2"/>
  <c r="AO383" i="1"/>
  <c r="BG158" i="2"/>
  <c r="AM57" i="2"/>
  <c r="BG57" i="2"/>
  <c r="BK57" i="2"/>
  <c r="CE92" i="2"/>
  <c r="P57" i="2"/>
  <c r="P164" i="2" s="1"/>
  <c r="X150" i="2"/>
  <c r="BH94" i="2"/>
  <c r="BM176" i="2"/>
  <c r="CL114" i="2"/>
  <c r="AL57" i="2"/>
  <c r="AZ167" i="2"/>
  <c r="BF57" i="2"/>
  <c r="AJ343" i="1"/>
  <c r="P34" i="2"/>
  <c r="W166" i="2"/>
  <c r="F48" i="2"/>
  <c r="BF176" i="2"/>
  <c r="BM167" i="2"/>
  <c r="AD166" i="2"/>
  <c r="AF168" i="2" s="1"/>
  <c r="CZ214" i="2"/>
  <c r="CZ10" i="2"/>
  <c r="DA11" i="2"/>
  <c r="J31" i="113"/>
  <c r="CK205" i="2"/>
  <c r="BM57" i="2"/>
  <c r="DG226" i="2"/>
  <c r="CD345" i="2"/>
  <c r="AH159" i="2"/>
  <c r="L37" i="113"/>
  <c r="BF158" i="2"/>
  <c r="BH159" i="2"/>
  <c r="CS204" i="2"/>
  <c r="CO205" i="2"/>
  <c r="CZ18" i="2"/>
  <c r="DA19" i="2"/>
  <c r="AP159" i="2"/>
  <c r="AV57" i="2"/>
  <c r="AS167" i="2"/>
  <c r="AE343" i="1"/>
  <c r="CU109" i="2"/>
  <c r="DG210" i="2"/>
  <c r="BL57" i="2"/>
  <c r="AK177" i="2"/>
  <c r="AR57" i="2"/>
  <c r="AI57" i="2"/>
  <c r="BI343" i="1"/>
  <c r="BN344" i="1" s="1"/>
  <c r="AZ168" i="2"/>
  <c r="CI75" i="2"/>
  <c r="CD372" i="2"/>
  <c r="CH372" i="2" s="1"/>
  <c r="CW327" i="1"/>
  <c r="AE12" i="2"/>
  <c r="F11" i="113" s="1"/>
  <c r="G31" i="113" s="1"/>
  <c r="DH213" i="2"/>
  <c r="CH328" i="1"/>
  <c r="CM329" i="1" s="1"/>
  <c r="CH327" i="1"/>
  <c r="L11" i="113"/>
  <c r="L12" i="113" s="1"/>
  <c r="H31" i="113"/>
  <c r="K48" i="2"/>
  <c r="DP324" i="82"/>
  <c r="DP206" i="82" s="1"/>
  <c r="S166" i="2"/>
  <c r="X367" i="2"/>
  <c r="AN347" i="2"/>
  <c r="V166" i="2"/>
  <c r="F36" i="2"/>
  <c r="CY390" i="2"/>
  <c r="CY392" i="2" s="1"/>
  <c r="CN141" i="2"/>
  <c r="AG57" i="2"/>
  <c r="CV212" i="2"/>
  <c r="DA213" i="2" s="1"/>
  <c r="DA16" i="2"/>
  <c r="CZ15" i="2"/>
  <c r="AP158" i="2"/>
  <c r="O318" i="113"/>
  <c r="O300" i="113"/>
  <c r="P312" i="113" s="1"/>
  <c r="AX87" i="1"/>
  <c r="AX565" i="1" s="1"/>
  <c r="BH561" i="1"/>
  <c r="BH87" i="1"/>
  <c r="BH565" i="1" s="1"/>
  <c r="BK581" i="1"/>
  <c r="BK583" i="1" s="1"/>
  <c r="BK605" i="1" s="1"/>
  <c r="BU378" i="2"/>
  <c r="BU380" i="2"/>
  <c r="BU339" i="2"/>
  <c r="BC80" i="7"/>
  <c r="BC82" i="7" s="1"/>
  <c r="BC73" i="7" s="1"/>
  <c r="BU379" i="2"/>
  <c r="BU63" i="2"/>
  <c r="BU29" i="2"/>
  <c r="BU13" i="2"/>
  <c r="BU381" i="2"/>
  <c r="BU377" i="2"/>
  <c r="BD385" i="1"/>
  <c r="BI385" i="1"/>
  <c r="BI367" i="2"/>
  <c r="AO385" i="1"/>
  <c r="AX373" i="1"/>
  <c r="AX375" i="1" s="1"/>
  <c r="AX376" i="1" s="1"/>
  <c r="AX370" i="1" s="1"/>
  <c r="AT329" i="1"/>
  <c r="DM47" i="7"/>
  <c r="DM58" i="7"/>
  <c r="DM19" i="7"/>
  <c r="DM21" i="7"/>
  <c r="DM46" i="7"/>
  <c r="DM45" i="7"/>
  <c r="AU581" i="1"/>
  <c r="AP177" i="2"/>
  <c r="V122" i="1"/>
  <c r="Q127" i="1"/>
  <c r="Q134" i="1" s="1"/>
  <c r="BM581" i="1"/>
  <c r="BM583" i="1" s="1"/>
  <c r="BM605" i="1" s="1"/>
  <c r="BB581" i="1"/>
  <c r="BB583" i="1" s="1"/>
  <c r="BB605" i="1" s="1"/>
  <c r="BJ580" i="1"/>
  <c r="BJ579" i="1" s="1"/>
  <c r="BT580" i="1"/>
  <c r="BT579" i="1" s="1"/>
  <c r="BV580" i="1"/>
  <c r="BV579" i="1" s="1"/>
  <c r="BV582" i="1" s="1"/>
  <c r="BV578" i="1" s="1"/>
  <c r="BV33" i="1" s="1"/>
  <c r="AX561" i="1"/>
  <c r="BN586" i="1"/>
  <c r="BI476" i="1"/>
  <c r="CF578" i="1"/>
  <c r="CF470" i="1" s="1"/>
  <c r="BH579" i="1"/>
  <c r="BH582" i="1" s="1"/>
  <c r="BH606" i="1" s="1"/>
  <c r="BH607" i="1" s="1"/>
  <c r="DE211" i="7"/>
  <c r="DF211" i="7" s="1"/>
  <c r="DG211" i="7" s="1"/>
  <c r="DH211" i="7" s="1"/>
  <c r="DE209" i="7"/>
  <c r="BW581" i="1"/>
  <c r="BW583" i="1" s="1"/>
  <c r="BW605" i="1" s="1"/>
  <c r="R94" i="7"/>
  <c r="BE580" i="1"/>
  <c r="BE579" i="1" s="1"/>
  <c r="BE582" i="1" s="1"/>
  <c r="AN57" i="2"/>
  <c r="R83" i="7"/>
  <c r="R91" i="7"/>
  <c r="R172" i="7"/>
  <c r="R96" i="7"/>
  <c r="R82" i="7"/>
  <c r="R73" i="7" s="1"/>
  <c r="R92" i="7"/>
  <c r="R98" i="7"/>
  <c r="CH340" i="1"/>
  <c r="BF580" i="1"/>
  <c r="BF579" i="1" s="1"/>
  <c r="BF582" i="1" s="1"/>
  <c r="BF606" i="1" s="1"/>
  <c r="BF607" i="1" s="1"/>
  <c r="V27" i="2"/>
  <c r="V65" i="2"/>
  <c r="V150" i="2"/>
  <c r="V29" i="2"/>
  <c r="CM105" i="2"/>
  <c r="DL31" i="82"/>
  <c r="Z365" i="2"/>
  <c r="W476" i="1"/>
  <c r="BD329" i="1"/>
  <c r="CL13" i="2"/>
  <c r="BI329" i="1"/>
  <c r="AY329" i="1"/>
  <c r="AO329" i="1"/>
  <c r="DM25" i="82"/>
  <c r="AZ560" i="1"/>
  <c r="AZ581" i="1" s="1"/>
  <c r="BC581" i="1"/>
  <c r="BC583" i="1" s="1"/>
  <c r="BC605" i="1" s="1"/>
  <c r="DH79" i="1"/>
  <c r="CL379" i="2"/>
  <c r="CL126" i="2"/>
  <c r="CL381" i="2"/>
  <c r="CL377" i="2"/>
  <c r="CL120" i="2"/>
  <c r="BN80" i="7"/>
  <c r="CL378" i="2"/>
  <c r="CL123" i="2"/>
  <c r="CL380" i="2"/>
  <c r="CL117" i="2"/>
  <c r="CL410" i="82"/>
  <c r="CL330" i="82"/>
  <c r="CL338" i="82"/>
  <c r="CL339" i="82"/>
  <c r="CL398" i="82"/>
  <c r="CR339" i="1"/>
  <c r="CM339" i="1"/>
  <c r="CM340" i="1" s="1"/>
  <c r="DK85" i="1"/>
  <c r="DK564" i="1" s="1"/>
  <c r="BX560" i="1"/>
  <c r="AY560" i="1"/>
  <c r="BX340" i="1"/>
  <c r="BA560" i="1"/>
  <c r="BA580" i="1" s="1"/>
  <c r="R478" i="1"/>
  <c r="CF380" i="2"/>
  <c r="CF13" i="2"/>
  <c r="BH80" i="7"/>
  <c r="CF378" i="2"/>
  <c r="CF379" i="2"/>
  <c r="CF381" i="2"/>
  <c r="CF377" i="2"/>
  <c r="DF517" i="1"/>
  <c r="BN560" i="1"/>
  <c r="AJ340" i="1"/>
  <c r="BN340" i="1"/>
  <c r="BD517" i="1"/>
  <c r="AY339" i="1"/>
  <c r="BX341" i="1"/>
  <c r="AE517" i="1"/>
  <c r="Z339" i="1"/>
  <c r="AT517" i="1"/>
  <c r="AO339" i="1"/>
  <c r="CH326" i="1"/>
  <c r="Z118" i="1"/>
  <c r="Z102" i="1"/>
  <c r="Z105" i="1"/>
  <c r="Z100" i="1"/>
  <c r="AE100" i="1"/>
  <c r="CD72" i="3"/>
  <c r="CW341" i="1"/>
  <c r="CD364" i="2"/>
  <c r="CH9" i="2"/>
  <c r="CM387" i="2"/>
  <c r="CM9" i="2"/>
  <c r="AG326" i="1"/>
  <c r="AN326" i="1"/>
  <c r="BN401" i="1"/>
  <c r="BN325" i="1"/>
  <c r="AP326" i="1"/>
  <c r="AU326" i="1"/>
  <c r="AO401" i="1"/>
  <c r="AO325" i="1"/>
  <c r="CM325" i="1"/>
  <c r="CE326" i="1"/>
  <c r="AJ396" i="1"/>
  <c r="AJ325" i="1"/>
  <c r="AD326" i="1"/>
  <c r="CR329" i="1"/>
  <c r="CW329" i="1"/>
  <c r="DB329" i="1"/>
  <c r="BL326" i="1"/>
  <c r="BM326" i="1"/>
  <c r="AF326" i="1"/>
  <c r="AM326" i="1"/>
  <c r="CK326" i="1"/>
  <c r="CW485" i="1"/>
  <c r="BC326" i="1"/>
  <c r="CL326" i="1"/>
  <c r="CF326" i="1"/>
  <c r="CD181" i="7"/>
  <c r="BY181" i="7"/>
  <c r="BO181" i="7"/>
  <c r="BT181" i="7"/>
  <c r="AO55" i="2"/>
  <c r="CO212" i="2"/>
  <c r="Y170" i="7"/>
  <c r="DH214" i="2"/>
  <c r="BM348" i="2"/>
  <c r="BM71" i="2"/>
  <c r="AS347" i="2"/>
  <c r="AH171" i="2"/>
  <c r="CX204" i="2"/>
  <c r="BH32" i="2"/>
  <c r="BH151" i="2"/>
  <c r="CV204" i="2"/>
  <c r="BH54" i="2"/>
  <c r="BJ94" i="2"/>
  <c r="BH169" i="2"/>
  <c r="CS212" i="2"/>
  <c r="BH177" i="2"/>
  <c r="DA204" i="2"/>
  <c r="CS205" i="2"/>
  <c r="J12" i="113"/>
  <c r="AH177" i="2"/>
  <c r="K30" i="113"/>
  <c r="CX205" i="2"/>
  <c r="AM176" i="2"/>
  <c r="DK213" i="2"/>
  <c r="Y172" i="7"/>
  <c r="CR367" i="2"/>
  <c r="AF358" i="2"/>
  <c r="V92" i="7"/>
  <c r="V98" i="7"/>
  <c r="AD27" i="2"/>
  <c r="AD150" i="2"/>
  <c r="AI65" i="2"/>
  <c r="AI341" i="2"/>
  <c r="AF88" i="2"/>
  <c r="Y98" i="7"/>
  <c r="Y82" i="7"/>
  <c r="Y73" i="7" s="1"/>
  <c r="Y91" i="7"/>
  <c r="Y104" i="7"/>
  <c r="Y89" i="7"/>
  <c r="Y94" i="7"/>
  <c r="Y96" i="7"/>
  <c r="Y83" i="7"/>
  <c r="AS62" i="7"/>
  <c r="AJ63" i="7"/>
  <c r="CH390" i="2"/>
  <c r="CH391" i="2" s="1"/>
  <c r="AL373" i="2"/>
  <c r="BM373" i="2"/>
  <c r="CJ109" i="2"/>
  <c r="AZ94" i="2"/>
  <c r="AI373" i="2"/>
  <c r="AS169" i="2"/>
  <c r="AU368" i="2"/>
  <c r="AZ71" i="2"/>
  <c r="AS349" i="2"/>
  <c r="BG368" i="2"/>
  <c r="AX347" i="2"/>
  <c r="DE213" i="2"/>
  <c r="BI157" i="2"/>
  <c r="AH34" i="2"/>
  <c r="AZ73" i="2"/>
  <c r="DL204" i="2"/>
  <c r="BC368" i="2"/>
  <c r="DQ177" i="82"/>
  <c r="DQ87" i="82" s="1"/>
  <c r="DQ99" i="82" s="1"/>
  <c r="AQ368" i="2"/>
  <c r="BF34" i="2"/>
  <c r="AE381" i="2"/>
  <c r="V94" i="7"/>
  <c r="CP103" i="2"/>
  <c r="V172" i="7"/>
  <c r="AJ340" i="2"/>
  <c r="V83" i="7"/>
  <c r="V96" i="7"/>
  <c r="DF213" i="2"/>
  <c r="AA341" i="2"/>
  <c r="V104" i="7"/>
  <c r="DH80" i="1"/>
  <c r="V91" i="7"/>
  <c r="V82" i="7"/>
  <c r="V73" i="7" s="1"/>
  <c r="CD381" i="2"/>
  <c r="CM64" i="2"/>
  <c r="AD29" i="2"/>
  <c r="DK84" i="1"/>
  <c r="DK78" i="1"/>
  <c r="DK82" i="1"/>
  <c r="DK80" i="1"/>
  <c r="DK79" i="1"/>
  <c r="DK86" i="1"/>
  <c r="DM517" i="1"/>
  <c r="DK517" i="1"/>
  <c r="DH517" i="1"/>
  <c r="DH78" i="1"/>
  <c r="DH84" i="1"/>
  <c r="DH86" i="1"/>
  <c r="DH85" i="1"/>
  <c r="DH564" i="1" s="1"/>
  <c r="DH82" i="1"/>
  <c r="AT55" i="2"/>
  <c r="BI366" i="2"/>
  <c r="BI175" i="2"/>
  <c r="BN349" i="2"/>
  <c r="BH374" i="2"/>
  <c r="BF374" i="2"/>
  <c r="BE374" i="2"/>
  <c r="BN73" i="2"/>
  <c r="BG374" i="2"/>
  <c r="BH168" i="2"/>
  <c r="BH167" i="2"/>
  <c r="BI166" i="2"/>
  <c r="BM158" i="2"/>
  <c r="BF368" i="2"/>
  <c r="BI27" i="2"/>
  <c r="BN341" i="2"/>
  <c r="BE368" i="2"/>
  <c r="BA177" i="2"/>
  <c r="BH368" i="2"/>
  <c r="BI150" i="2"/>
  <c r="BN65" i="2"/>
  <c r="DG144" i="82"/>
  <c r="T317" i="113"/>
  <c r="CX136" i="1"/>
  <c r="CZ484" i="1"/>
  <c r="T293" i="113"/>
  <c r="T309" i="113" s="1"/>
  <c r="DG146" i="82"/>
  <c r="DM214" i="2"/>
  <c r="T291" i="113"/>
  <c r="DK214" i="2"/>
  <c r="DG116" i="82"/>
  <c r="DG141" i="82" s="1"/>
  <c r="DB482" i="1"/>
  <c r="CX484" i="1"/>
  <c r="CY484" i="1"/>
  <c r="DM127" i="1"/>
  <c r="DM129" i="1" s="1"/>
  <c r="DM122" i="1"/>
  <c r="DF84" i="1"/>
  <c r="DF78" i="1"/>
  <c r="DF82" i="1"/>
  <c r="DF80" i="1"/>
  <c r="DF79" i="1"/>
  <c r="DF85" i="1"/>
  <c r="DF564" i="1" s="1"/>
  <c r="DF86" i="1"/>
  <c r="CX134" i="1"/>
  <c r="BZ76" i="3"/>
  <c r="DM213" i="2"/>
  <c r="DM123" i="1"/>
  <c r="CX128" i="1"/>
  <c r="CX133" i="1"/>
  <c r="DG46" i="82"/>
  <c r="DG48" i="82" s="1"/>
  <c r="DG77" i="82" s="1"/>
  <c r="BK326" i="1"/>
  <c r="DM80" i="1"/>
  <c r="DR70" i="1"/>
  <c r="DR319" i="1"/>
  <c r="DM40" i="82"/>
  <c r="DM42" i="82" s="1"/>
  <c r="DM43" i="82" s="1"/>
  <c r="DM70" i="82" s="1"/>
  <c r="DM13" i="82"/>
  <c r="DM14" i="82" s="1"/>
  <c r="DM163" i="82" s="1"/>
  <c r="AS54" i="2"/>
  <c r="DL134" i="82"/>
  <c r="T115" i="113"/>
  <c r="T116" i="113"/>
  <c r="T99" i="113" s="1"/>
  <c r="DG168" i="82"/>
  <c r="DG41" i="82"/>
  <c r="DG69" i="82" s="1"/>
  <c r="DL168" i="82"/>
  <c r="DL41" i="82"/>
  <c r="DG123" i="82"/>
  <c r="T300" i="113" s="1"/>
  <c r="T299" i="113"/>
  <c r="DL138" i="82"/>
  <c r="T303" i="113"/>
  <c r="T454" i="113" s="1"/>
  <c r="U300" i="113"/>
  <c r="U67" i="113"/>
  <c r="T54" i="113"/>
  <c r="T180" i="113" s="1"/>
  <c r="U54" i="113"/>
  <c r="U180" i="113" s="1"/>
  <c r="U220" i="113"/>
  <c r="DL48" i="82"/>
  <c r="U374" i="113"/>
  <c r="U372" i="113"/>
  <c r="T374" i="113"/>
  <c r="T372" i="113"/>
  <c r="U114" i="113"/>
  <c r="DG75" i="82"/>
  <c r="DK69" i="82"/>
  <c r="DL136" i="82"/>
  <c r="DG51" i="82"/>
  <c r="DL137" i="82"/>
  <c r="DG127" i="82"/>
  <c r="U289" i="113"/>
  <c r="DL279" i="82"/>
  <c r="T212" i="113"/>
  <c r="T244" i="113" s="1"/>
  <c r="DD244" i="82"/>
  <c r="DE244" i="82"/>
  <c r="DG33" i="82"/>
  <c r="DL116" i="82"/>
  <c r="DL117" i="82" s="1"/>
  <c r="DL130" i="82"/>
  <c r="DL146" i="82"/>
  <c r="DL144" i="82"/>
  <c r="DK42" i="82"/>
  <c r="DK43" i="82" s="1"/>
  <c r="DK70" i="82" s="1"/>
  <c r="DK75" i="82"/>
  <c r="DK77" i="82"/>
  <c r="DM195" i="82"/>
  <c r="DM194" i="82" s="1"/>
  <c r="DM239" i="82" s="1"/>
  <c r="DM242" i="82"/>
  <c r="BF378" i="1"/>
  <c r="BF380" i="1" s="1"/>
  <c r="BF381" i="1" s="1"/>
  <c r="BF371" i="1" s="1"/>
  <c r="BF561" i="1"/>
  <c r="DM85" i="1"/>
  <c r="DM84" i="1"/>
  <c r="DM244" i="82"/>
  <c r="BF373" i="1"/>
  <c r="BF375" i="1" s="1"/>
  <c r="BF376" i="1" s="1"/>
  <c r="BF370" i="1" s="1"/>
  <c r="DM256" i="82"/>
  <c r="DM250" i="82"/>
  <c r="CT204" i="7"/>
  <c r="CT218" i="7" s="1"/>
  <c r="AT166" i="2"/>
  <c r="H41" i="11"/>
  <c r="DM389" i="1"/>
  <c r="DL51" i="1"/>
  <c r="DJ56" i="1"/>
  <c r="DI56" i="1"/>
  <c r="DK56" i="1"/>
  <c r="DH56" i="1"/>
  <c r="DM79" i="1"/>
  <c r="CW122" i="1"/>
  <c r="DM82" i="1"/>
  <c r="DM78" i="1"/>
  <c r="DM7" i="2"/>
  <c r="DM86" i="1"/>
  <c r="BF36" i="2"/>
  <c r="AS32" i="2"/>
  <c r="AS168" i="2"/>
  <c r="CI71" i="3"/>
  <c r="CW624" i="1"/>
  <c r="CW534" i="1"/>
  <c r="CW536" i="1" s="1"/>
  <c r="CI396" i="1"/>
  <c r="CI72" i="3"/>
  <c r="AI120" i="1"/>
  <c r="AK120" i="1"/>
  <c r="DL380" i="82"/>
  <c r="AY396" i="1"/>
  <c r="AN119" i="1"/>
  <c r="AI121" i="1"/>
  <c r="AI123" i="1" s="1"/>
  <c r="DL217" i="82"/>
  <c r="CN393" i="1"/>
  <c r="CN405" i="1" s="1"/>
  <c r="DL204" i="82"/>
  <c r="DL219" i="82" s="1"/>
  <c r="U475" i="113"/>
  <c r="U492" i="113" s="1"/>
  <c r="CK497" i="1"/>
  <c r="CI394" i="1"/>
  <c r="CI404" i="1"/>
  <c r="CI427" i="1" s="1"/>
  <c r="CI428" i="1" s="1"/>
  <c r="AO533" i="1"/>
  <c r="AT534" i="1" s="1"/>
  <c r="DG406" i="82"/>
  <c r="CI565" i="1"/>
  <c r="CI373" i="1"/>
  <c r="CI375" i="1" s="1"/>
  <c r="CT625" i="1"/>
  <c r="DL586" i="1"/>
  <c r="AP535" i="1"/>
  <c r="CW542" i="1"/>
  <c r="CW543" i="1" s="1"/>
  <c r="AT539" i="1"/>
  <c r="CM122" i="1"/>
  <c r="AY81" i="1"/>
  <c r="AY87" i="1" s="1"/>
  <c r="AY565" i="1" s="1"/>
  <c r="AG177" i="2"/>
  <c r="AH36" i="2"/>
  <c r="DR177" i="82"/>
  <c r="I12" i="113"/>
  <c r="AS175" i="2"/>
  <c r="DH13" i="82"/>
  <c r="DH14" i="82" s="1"/>
  <c r="DK24" i="82"/>
  <c r="DK13" i="82"/>
  <c r="DK14" i="82" s="1"/>
  <c r="DK163" i="82" s="1"/>
  <c r="CL497" i="1"/>
  <c r="CI497" i="1"/>
  <c r="AY401" i="1"/>
  <c r="CJ497" i="1"/>
  <c r="G41" i="11"/>
  <c r="P14" i="11"/>
  <c r="U104" i="113"/>
  <c r="AT341" i="2"/>
  <c r="AS368" i="2"/>
  <c r="AS348" i="2"/>
  <c r="AT29" i="2"/>
  <c r="AS71" i="2"/>
  <c r="AS151" i="2"/>
  <c r="AT65" i="2"/>
  <c r="AS94" i="2"/>
  <c r="Z76" i="3"/>
  <c r="CJ100" i="2"/>
  <c r="AS535" i="1"/>
  <c r="CM384" i="2"/>
  <c r="AS534" i="1"/>
  <c r="AS536" i="1" s="1"/>
  <c r="CZ288" i="82"/>
  <c r="L40" i="113"/>
  <c r="I40" i="113"/>
  <c r="J30" i="113"/>
  <c r="L30" i="113"/>
  <c r="R470" i="113"/>
  <c r="R29" i="113"/>
  <c r="F10" i="113"/>
  <c r="F29" i="113"/>
  <c r="G29" i="113"/>
  <c r="T31" i="113"/>
  <c r="U31" i="113"/>
  <c r="O472" i="113"/>
  <c r="O31" i="113"/>
  <c r="K36" i="113"/>
  <c r="AS73" i="2"/>
  <c r="DA288" i="82"/>
  <c r="AS157" i="2"/>
  <c r="CZ266" i="82"/>
  <c r="BE492" i="1"/>
  <c r="AU496" i="1"/>
  <c r="AY410" i="1"/>
  <c r="U78" i="113"/>
  <c r="AY527" i="1"/>
  <c r="T78" i="113"/>
  <c r="AN497" i="1"/>
  <c r="AT527" i="1"/>
  <c r="BI527" i="1"/>
  <c r="AK497" i="1"/>
  <c r="CM561" i="1"/>
  <c r="DM74" i="1"/>
  <c r="AV497" i="1"/>
  <c r="BD533" i="1"/>
  <c r="BI534" i="1" s="1"/>
  <c r="AM497" i="1"/>
  <c r="DC288" i="82"/>
  <c r="BB496" i="1"/>
  <c r="AU497" i="1"/>
  <c r="AH497" i="1"/>
  <c r="AT366" i="2"/>
  <c r="CY266" i="82"/>
  <c r="DF277" i="82"/>
  <c r="DK277" i="82"/>
  <c r="DF266" i="82"/>
  <c r="DG269" i="82"/>
  <c r="DG263" i="82" s="1"/>
  <c r="DG309" i="82" s="1"/>
  <c r="DE263" i="82"/>
  <c r="DF288" i="82" s="1"/>
  <c r="DB263" i="82"/>
  <c r="DB266" i="82" s="1"/>
  <c r="DH266" i="82"/>
  <c r="DI288" i="82"/>
  <c r="DM277" i="82"/>
  <c r="DH288" i="82"/>
  <c r="DH309" i="82"/>
  <c r="DH277" i="82"/>
  <c r="DD277" i="82"/>
  <c r="CM298" i="82"/>
  <c r="CM263" i="82"/>
  <c r="CM277" i="82" s="1"/>
  <c r="AP368" i="2"/>
  <c r="AR368" i="2"/>
  <c r="AT27" i="2"/>
  <c r="AT150" i="2"/>
  <c r="CT134" i="1"/>
  <c r="AM159" i="2"/>
  <c r="AK374" i="2"/>
  <c r="AG34" i="2"/>
  <c r="AL374" i="2"/>
  <c r="AM158" i="2"/>
  <c r="CX130" i="1"/>
  <c r="CD76" i="3"/>
  <c r="CK129" i="1"/>
  <c r="BE535" i="1"/>
  <c r="CT136" i="1"/>
  <c r="BV76" i="3"/>
  <c r="BV72" i="3"/>
  <c r="CG76" i="3"/>
  <c r="CG72" i="3"/>
  <c r="CX129" i="1"/>
  <c r="BX76" i="3"/>
  <c r="BX72" i="3"/>
  <c r="BN134" i="1"/>
  <c r="AZ76" i="3"/>
  <c r="CI129" i="1"/>
  <c r="BI76" i="3"/>
  <c r="AT432" i="1"/>
  <c r="CD128" i="1"/>
  <c r="BA76" i="3"/>
  <c r="DK134" i="1"/>
  <c r="CM76" i="3"/>
  <c r="CM72" i="3"/>
  <c r="AX497" i="1"/>
  <c r="CA76" i="3"/>
  <c r="CA72" i="3"/>
  <c r="CF72" i="3"/>
  <c r="CF76" i="3"/>
  <c r="CJ76" i="3"/>
  <c r="CJ72" i="3"/>
  <c r="S76" i="3"/>
  <c r="DG134" i="1"/>
  <c r="CI76" i="3"/>
  <c r="CW108" i="1"/>
  <c r="CW610" i="1"/>
  <c r="AT435" i="1"/>
  <c r="BV134" i="1"/>
  <c r="BC76" i="3"/>
  <c r="AK87" i="1"/>
  <c r="CF130" i="1"/>
  <c r="BJ76" i="3"/>
  <c r="CP136" i="1"/>
  <c r="BR76" i="3"/>
  <c r="CO136" i="1"/>
  <c r="BQ76" i="3"/>
  <c r="CW609" i="1"/>
  <c r="CW495" i="1" s="1"/>
  <c r="CC76" i="3"/>
  <c r="CC72" i="3"/>
  <c r="BH123" i="1"/>
  <c r="CE76" i="3"/>
  <c r="CE72" i="3"/>
  <c r="BK136" i="1"/>
  <c r="CB76" i="3"/>
  <c r="CB72" i="3"/>
  <c r="CH76" i="3"/>
  <c r="CH72" i="3"/>
  <c r="BJ129" i="1"/>
  <c r="AT76" i="3"/>
  <c r="CK128" i="1"/>
  <c r="BW76" i="3"/>
  <c r="BW72" i="3"/>
  <c r="P81" i="3"/>
  <c r="Q81" i="3" s="1"/>
  <c r="CX220" i="7"/>
  <c r="CT220" i="7"/>
  <c r="CU220" i="7" s="1"/>
  <c r="CV220" i="7" s="1"/>
  <c r="CW220" i="7" s="1"/>
  <c r="CT225" i="7"/>
  <c r="CU225" i="7" s="1"/>
  <c r="CV225" i="7" s="1"/>
  <c r="CW225" i="7" s="1"/>
  <c r="CT227" i="7"/>
  <c r="CU227" i="7" s="1"/>
  <c r="CV227" i="7" s="1"/>
  <c r="CW227" i="7" s="1"/>
  <c r="Q73" i="3"/>
  <c r="Q74" i="3" s="1"/>
  <c r="P74" i="3"/>
  <c r="V73" i="3"/>
  <c r="X27" i="2"/>
  <c r="P36" i="2"/>
  <c r="CK136" i="1"/>
  <c r="CK133" i="1"/>
  <c r="CL129" i="1"/>
  <c r="CK134" i="1"/>
  <c r="BI539" i="1"/>
  <c r="AE402" i="1"/>
  <c r="AJ398" i="1"/>
  <c r="AE400" i="1"/>
  <c r="AH153" i="2"/>
  <c r="CW210" i="2"/>
  <c r="BG122" i="1"/>
  <c r="BG625" i="1" s="1"/>
  <c r="T92" i="7"/>
  <c r="AG36" i="2"/>
  <c r="CK100" i="2"/>
  <c r="CJ364" i="2"/>
  <c r="CM385" i="2"/>
  <c r="CL100" i="2"/>
  <c r="CM146" i="2"/>
  <c r="CI100" i="2"/>
  <c r="CL364" i="2"/>
  <c r="CM137" i="2"/>
  <c r="T91" i="7"/>
  <c r="X166" i="2"/>
  <c r="T96" i="7"/>
  <c r="X29" i="2"/>
  <c r="CW106" i="2"/>
  <c r="AG153" i="2"/>
  <c r="T94" i="7"/>
  <c r="T82" i="7"/>
  <c r="T73" i="7" s="1"/>
  <c r="T98" i="7"/>
  <c r="T83" i="7"/>
  <c r="T172" i="7"/>
  <c r="AC341" i="2"/>
  <c r="Y88" i="2"/>
  <c r="BV574" i="1"/>
  <c r="BV592" i="1" s="1"/>
  <c r="BV611" i="1" s="1"/>
  <c r="CM388" i="2"/>
  <c r="CM313" i="82"/>
  <c r="CM398" i="82" s="1"/>
  <c r="BC535" i="1"/>
  <c r="AF497" i="1"/>
  <c r="AJ401" i="1"/>
  <c r="CM386" i="2"/>
  <c r="CK364" i="2"/>
  <c r="BV590" i="1"/>
  <c r="CM140" i="2"/>
  <c r="CR70" i="1"/>
  <c r="CI364" i="2"/>
  <c r="P8" i="113"/>
  <c r="AI497" i="1"/>
  <c r="CM143" i="2"/>
  <c r="AG497" i="1"/>
  <c r="BD435" i="1"/>
  <c r="AJ81" i="1"/>
  <c r="AJ87" i="1" s="1"/>
  <c r="CU625" i="1"/>
  <c r="DL624" i="1"/>
  <c r="AG171" i="2"/>
  <c r="BG621" i="1"/>
  <c r="CW621" i="1"/>
  <c r="BK129" i="1"/>
  <c r="BL129" i="1"/>
  <c r="AJ102" i="1"/>
  <c r="CT129" i="1"/>
  <c r="AH127" i="1"/>
  <c r="BK134" i="1"/>
  <c r="CU133" i="1"/>
  <c r="DG111" i="1"/>
  <c r="AH123" i="1"/>
  <c r="BK133" i="1"/>
  <c r="BL625" i="1"/>
  <c r="AH122" i="1"/>
  <c r="CL109" i="2"/>
  <c r="CI109" i="2"/>
  <c r="CK109" i="2"/>
  <c r="CY555" i="1"/>
  <c r="V135" i="1"/>
  <c r="CT75" i="1"/>
  <c r="BD432" i="1"/>
  <c r="BH534" i="1"/>
  <c r="BH536" i="1" s="1"/>
  <c r="DL127" i="1"/>
  <c r="DG341" i="1" s="1"/>
  <c r="AY416" i="1"/>
  <c r="AY417" i="1" s="1"/>
  <c r="W367" i="2"/>
  <c r="S104" i="7"/>
  <c r="X65" i="2"/>
  <c r="S83" i="7"/>
  <c r="S172" i="7"/>
  <c r="S92" i="7"/>
  <c r="S98" i="7"/>
  <c r="S82" i="7"/>
  <c r="S73" i="7" s="1"/>
  <c r="S91" i="7"/>
  <c r="S96" i="7"/>
  <c r="V367" i="2"/>
  <c r="Y367" i="2"/>
  <c r="W88" i="2"/>
  <c r="W358" i="2"/>
  <c r="Y29" i="2"/>
  <c r="U96" i="7"/>
  <c r="U83" i="7"/>
  <c r="Y166" i="2"/>
  <c r="X88" i="2"/>
  <c r="U98" i="7"/>
  <c r="U94" i="7"/>
  <c r="W27" i="2"/>
  <c r="X358" i="2"/>
  <c r="U89" i="7"/>
  <c r="W341" i="2"/>
  <c r="U92" i="7"/>
  <c r="W29" i="2"/>
  <c r="U82" i="7"/>
  <c r="U73" i="7" s="1"/>
  <c r="W150" i="2"/>
  <c r="U172" i="7"/>
  <c r="U91" i="7"/>
  <c r="Z13" i="2"/>
  <c r="Y358" i="2"/>
  <c r="Y150" i="2"/>
  <c r="AD341" i="2"/>
  <c r="AD65" i="2"/>
  <c r="Z389" i="1"/>
  <c r="Y27" i="2"/>
  <c r="V366" i="2"/>
  <c r="AS76" i="7"/>
  <c r="BG123" i="1"/>
  <c r="AM87" i="1"/>
  <c r="Y366" i="2"/>
  <c r="Z379" i="2"/>
  <c r="AJ100" i="1"/>
  <c r="BG624" i="1"/>
  <c r="Z63" i="2"/>
  <c r="BC539" i="1"/>
  <c r="BC540" i="1" s="1"/>
  <c r="DA555" i="1"/>
  <c r="AJ118" i="1"/>
  <c r="AO119" i="1" s="1"/>
  <c r="CN326" i="1"/>
  <c r="CG497" i="1"/>
  <c r="Z381" i="2"/>
  <c r="X366" i="2"/>
  <c r="C40" i="11"/>
  <c r="C41" i="11" s="1"/>
  <c r="Z339" i="2"/>
  <c r="AB135" i="1"/>
  <c r="BG127" i="1"/>
  <c r="W366" i="2"/>
  <c r="Z377" i="2"/>
  <c r="Z380" i="2"/>
  <c r="Z378" i="2"/>
  <c r="AJ105" i="1"/>
  <c r="AJ107" i="1" s="1"/>
  <c r="BN374" i="2"/>
  <c r="AO349" i="2"/>
  <c r="CX393" i="2"/>
  <c r="CM278" i="82"/>
  <c r="R380" i="1"/>
  <c r="R381" i="1" s="1"/>
  <c r="R375" i="1"/>
  <c r="W376" i="1" s="1"/>
  <c r="R123" i="1"/>
  <c r="CM415" i="82"/>
  <c r="P302" i="113"/>
  <c r="P482" i="113" s="1"/>
  <c r="X96" i="7"/>
  <c r="W492" i="1"/>
  <c r="X82" i="7"/>
  <c r="X73" i="7" s="1"/>
  <c r="R497" i="1"/>
  <c r="CT234" i="82"/>
  <c r="CS234" i="82"/>
  <c r="R127" i="1"/>
  <c r="BC119" i="1"/>
  <c r="BC621" i="1" s="1"/>
  <c r="X91" i="7"/>
  <c r="X98" i="7"/>
  <c r="X94" i="7"/>
  <c r="X83" i="7"/>
  <c r="X92" i="7"/>
  <c r="X172" i="7"/>
  <c r="X89" i="7"/>
  <c r="AA358" i="2"/>
  <c r="AA27" i="2"/>
  <c r="AA29" i="2"/>
  <c r="AA88" i="2"/>
  <c r="X341" i="2"/>
  <c r="S27" i="2"/>
  <c r="S29" i="2"/>
  <c r="AD88" i="2"/>
  <c r="S150" i="2"/>
  <c r="AC65" i="2"/>
  <c r="W83" i="7"/>
  <c r="W82" i="7"/>
  <c r="W73" i="7" s="1"/>
  <c r="W98" i="7"/>
  <c r="W104" i="7"/>
  <c r="W89" i="7"/>
  <c r="BJ497" i="1"/>
  <c r="AZ438" i="1"/>
  <c r="CR559" i="1"/>
  <c r="BV326" i="1"/>
  <c r="AO81" i="1"/>
  <c r="AO87" i="1" s="1"/>
  <c r="BK497" i="1"/>
  <c r="CF625" i="1"/>
  <c r="AO90" i="1"/>
  <c r="R492" i="1"/>
  <c r="BV373" i="1"/>
  <c r="BV375" i="1" s="1"/>
  <c r="BV376" i="1" s="1"/>
  <c r="BV370" i="1" s="1"/>
  <c r="CF606" i="1"/>
  <c r="CF607" i="1" s="1"/>
  <c r="BV378" i="1"/>
  <c r="BV380" i="1" s="1"/>
  <c r="BV381" i="1" s="1"/>
  <c r="BV371" i="1" s="1"/>
  <c r="BV87" i="1"/>
  <c r="BV565" i="1" s="1"/>
  <c r="AD367" i="2"/>
  <c r="AE340" i="2"/>
  <c r="AB367" i="2"/>
  <c r="AA367" i="2"/>
  <c r="AD135" i="1"/>
  <c r="AD358" i="2"/>
  <c r="AM373" i="1"/>
  <c r="AM375" i="1" s="1"/>
  <c r="AM376" i="1" s="1"/>
  <c r="AH341" i="2"/>
  <c r="CR389" i="1"/>
  <c r="BV128" i="1"/>
  <c r="CM624" i="1"/>
  <c r="CP75" i="1"/>
  <c r="CU136" i="1"/>
  <c r="AC29" i="2"/>
  <c r="AA65" i="2"/>
  <c r="CG579" i="1"/>
  <c r="CG582" i="1" s="1"/>
  <c r="AE389" i="1"/>
  <c r="BV129" i="1"/>
  <c r="CR564" i="1"/>
  <c r="CL578" i="1"/>
  <c r="CL470" i="1" s="1"/>
  <c r="CO135" i="2"/>
  <c r="BV136" i="1"/>
  <c r="CM127" i="1"/>
  <c r="CH341" i="1" s="1"/>
  <c r="AC27" i="2"/>
  <c r="CN75" i="1"/>
  <c r="CE497" i="1"/>
  <c r="CM492" i="1"/>
  <c r="DE555" i="1"/>
  <c r="W65" i="2"/>
  <c r="AC150" i="2"/>
  <c r="AA150" i="2"/>
  <c r="CU134" i="1"/>
  <c r="CO75" i="1"/>
  <c r="CF128" i="1"/>
  <c r="D40" i="11"/>
  <c r="D41" i="11" s="1"/>
  <c r="CL625" i="1"/>
  <c r="CW433" i="1"/>
  <c r="AC166" i="2"/>
  <c r="AA166" i="2"/>
  <c r="CU129" i="1"/>
  <c r="CQ75" i="1"/>
  <c r="CR560" i="1"/>
  <c r="AC367" i="2"/>
  <c r="AE384" i="2"/>
  <c r="DF555" i="1"/>
  <c r="AL326" i="1"/>
  <c r="BW129" i="1"/>
  <c r="CZ555" i="1"/>
  <c r="DB370" i="1"/>
  <c r="AH65" i="2"/>
  <c r="CR485" i="1"/>
  <c r="CR7" i="2"/>
  <c r="AE365" i="2"/>
  <c r="R27" i="2"/>
  <c r="Q29" i="2"/>
  <c r="R29" i="2"/>
  <c r="S358" i="2"/>
  <c r="Q150" i="2"/>
  <c r="R150" i="2"/>
  <c r="S88" i="2"/>
  <c r="Q166" i="2"/>
  <c r="R166" i="2"/>
  <c r="AJ376" i="1"/>
  <c r="W91" i="7"/>
  <c r="W94" i="7"/>
  <c r="V341" i="2"/>
  <c r="CG364" i="2"/>
  <c r="DC555" i="1"/>
  <c r="AG133" i="1"/>
  <c r="CE364" i="2"/>
  <c r="CL606" i="1"/>
  <c r="CL607" i="1" s="1"/>
  <c r="W92" i="7"/>
  <c r="W96" i="7"/>
  <c r="CM580" i="1"/>
  <c r="Q27" i="2"/>
  <c r="R88" i="2"/>
  <c r="CO326" i="1"/>
  <c r="AI347" i="2"/>
  <c r="DB414" i="82"/>
  <c r="BL373" i="2"/>
  <c r="AG341" i="2"/>
  <c r="AC88" i="2"/>
  <c r="BH604" i="1"/>
  <c r="BH119" i="1"/>
  <c r="BC620" i="1"/>
  <c r="AB65" i="2"/>
  <c r="DE214" i="2"/>
  <c r="DF214" i="2"/>
  <c r="AE379" i="2"/>
  <c r="AB341" i="2"/>
  <c r="BC121" i="1"/>
  <c r="BC127" i="1" s="1"/>
  <c r="AB150" i="2"/>
  <c r="AE380" i="2"/>
  <c r="BC120" i="1"/>
  <c r="DG212" i="2"/>
  <c r="U170" i="7"/>
  <c r="AE55" i="2"/>
  <c r="CR414" i="82"/>
  <c r="CR284" i="82"/>
  <c r="CW284" i="82"/>
  <c r="AL373" i="1"/>
  <c r="AL375" i="1" s="1"/>
  <c r="AL376" i="1" s="1"/>
  <c r="CR64" i="2"/>
  <c r="AQ373" i="1"/>
  <c r="AQ375" i="1" s="1"/>
  <c r="AQ376" i="1" s="1"/>
  <c r="AQ370" i="1" s="1"/>
  <c r="AB27" i="2"/>
  <c r="DD555" i="1"/>
  <c r="CD326" i="1"/>
  <c r="AG134" i="1"/>
  <c r="CR562" i="1"/>
  <c r="AB88" i="2"/>
  <c r="AC358" i="2"/>
  <c r="AG128" i="1"/>
  <c r="AB358" i="2"/>
  <c r="CK625" i="1"/>
  <c r="AG129" i="1"/>
  <c r="AG136" i="1"/>
  <c r="BC534" i="1"/>
  <c r="BC536" i="1" s="1"/>
  <c r="AG65" i="2"/>
  <c r="AB166" i="2"/>
  <c r="AO396" i="1"/>
  <c r="AT436" i="1"/>
  <c r="AQ87" i="1"/>
  <c r="T81" i="1"/>
  <c r="T87" i="1" s="1"/>
  <c r="AB29" i="2"/>
  <c r="AB366" i="2"/>
  <c r="AC366" i="2"/>
  <c r="AJ63" i="2"/>
  <c r="AJ339" i="2"/>
  <c r="AD366" i="2"/>
  <c r="AF65" i="2"/>
  <c r="AF341" i="2"/>
  <c r="AJ368" i="2"/>
  <c r="AO175" i="2"/>
  <c r="AE378" i="2"/>
  <c r="AV168" i="2"/>
  <c r="AO157" i="2"/>
  <c r="AE13" i="2"/>
  <c r="DL109" i="2"/>
  <c r="AA366" i="2"/>
  <c r="AE339" i="2"/>
  <c r="AN374" i="2"/>
  <c r="AE63" i="2"/>
  <c r="AE377" i="2"/>
  <c r="DB64" i="2"/>
  <c r="CU103" i="2"/>
  <c r="BW326" i="1"/>
  <c r="CM367" i="2"/>
  <c r="AL497" i="1"/>
  <c r="CE579" i="1"/>
  <c r="CE582" i="1" s="1"/>
  <c r="CE578" i="1" s="1"/>
  <c r="CV103" i="2"/>
  <c r="BU606" i="1"/>
  <c r="BU607" i="1" s="1"/>
  <c r="BM128" i="1"/>
  <c r="CH433" i="1"/>
  <c r="CE128" i="1"/>
  <c r="CM337" i="2"/>
  <c r="CD130" i="1"/>
  <c r="AL87" i="1"/>
  <c r="CM61" i="2"/>
  <c r="AO492" i="1"/>
  <c r="CN103" i="2"/>
  <c r="CO103" i="2"/>
  <c r="CR106" i="2"/>
  <c r="CX392" i="2"/>
  <c r="AV94" i="2"/>
  <c r="BI389" i="1"/>
  <c r="CW107" i="2"/>
  <c r="BJ373" i="2"/>
  <c r="C34" i="113"/>
  <c r="Q11" i="113"/>
  <c r="P11" i="113"/>
  <c r="B25" i="113"/>
  <c r="B42" i="113" s="1"/>
  <c r="DB210" i="2"/>
  <c r="AK176" i="2"/>
  <c r="B43" i="113"/>
  <c r="CQ103" i="2"/>
  <c r="CJ103" i="2"/>
  <c r="CS103" i="2"/>
  <c r="CI139" i="2"/>
  <c r="CI138" i="2"/>
  <c r="CI381" i="2"/>
  <c r="CI380" i="2"/>
  <c r="CI123" i="2"/>
  <c r="CI117" i="2"/>
  <c r="CI120" i="2"/>
  <c r="CI379" i="2"/>
  <c r="CI378" i="2"/>
  <c r="CI126" i="2"/>
  <c r="BK80" i="7"/>
  <c r="CI377" i="2"/>
  <c r="CI13" i="2"/>
  <c r="CI114" i="2"/>
  <c r="BV339" i="2"/>
  <c r="BV63" i="2"/>
  <c r="BV356" i="2"/>
  <c r="BD80" i="7"/>
  <c r="BV86" i="2"/>
  <c r="BV381" i="2"/>
  <c r="BV377" i="2"/>
  <c r="BV378" i="2"/>
  <c r="BV29" i="2"/>
  <c r="BV379" i="2"/>
  <c r="BV13" i="2"/>
  <c r="BV380" i="2"/>
  <c r="CF339" i="2"/>
  <c r="CF63" i="2"/>
  <c r="CI132" i="2"/>
  <c r="CI131" i="2"/>
  <c r="CI142" i="2"/>
  <c r="CI141" i="2"/>
  <c r="CI338" i="82"/>
  <c r="CI339" i="82"/>
  <c r="CI398" i="82"/>
  <c r="CI330" i="82"/>
  <c r="CI410" i="82"/>
  <c r="CI148" i="2"/>
  <c r="CI147" i="2"/>
  <c r="CI145" i="2"/>
  <c r="CI144" i="2"/>
  <c r="CW70" i="2"/>
  <c r="AY366" i="2"/>
  <c r="CT103" i="2"/>
  <c r="AZ349" i="2"/>
  <c r="CW367" i="2"/>
  <c r="CW136" i="2"/>
  <c r="CI103" i="2"/>
  <c r="AZ348" i="2"/>
  <c r="CZ21" i="2"/>
  <c r="DA22" i="2"/>
  <c r="AO368" i="2"/>
  <c r="CO204" i="2"/>
  <c r="DC214" i="2"/>
  <c r="CW64" i="2"/>
  <c r="CK103" i="2"/>
  <c r="DB70" i="2"/>
  <c r="CM203" i="2"/>
  <c r="CM70" i="2"/>
  <c r="R11" i="113"/>
  <c r="CM133" i="2"/>
  <c r="CL103" i="2"/>
  <c r="CR70" i="2"/>
  <c r="AI374" i="2"/>
  <c r="AF374" i="2"/>
  <c r="DB303" i="1"/>
  <c r="CV239" i="82"/>
  <c r="CV226" i="82"/>
  <c r="CV212" i="82"/>
  <c r="AX589" i="1"/>
  <c r="AX570" i="1"/>
  <c r="DH389" i="1"/>
  <c r="DH74" i="1"/>
  <c r="DH70" i="1"/>
  <c r="DH7" i="2"/>
  <c r="CT313" i="82"/>
  <c r="CT354" i="2"/>
  <c r="CT61" i="2"/>
  <c r="CT84" i="2"/>
  <c r="CT337" i="2"/>
  <c r="CT9" i="2"/>
  <c r="CT143" i="2"/>
  <c r="CT386" i="2"/>
  <c r="CT388" i="2"/>
  <c r="CT137" i="2"/>
  <c r="CT130" i="2"/>
  <c r="CT387" i="2"/>
  <c r="CT385" i="2"/>
  <c r="CT146" i="2"/>
  <c r="CT383" i="2"/>
  <c r="CT140" i="2"/>
  <c r="CT384" i="2"/>
  <c r="N8" i="113"/>
  <c r="BX61" i="2"/>
  <c r="BX337" i="2"/>
  <c r="BX384" i="2"/>
  <c r="BX388" i="2"/>
  <c r="BX386" i="2"/>
  <c r="BU364" i="2"/>
  <c r="BX385" i="2"/>
  <c r="BX387" i="2"/>
  <c r="BV364" i="2"/>
  <c r="DK256" i="82"/>
  <c r="DK242" i="82"/>
  <c r="DK195" i="82"/>
  <c r="DK194" i="82" s="1"/>
  <c r="DK244" i="82"/>
  <c r="DK211" i="82"/>
  <c r="DK257" i="82"/>
  <c r="DK250" i="82"/>
  <c r="AT476" i="1"/>
  <c r="CN131" i="2"/>
  <c r="V464" i="1"/>
  <c r="CD63" i="7"/>
  <c r="AU571" i="1"/>
  <c r="AU572" i="1"/>
  <c r="AC134" i="1"/>
  <c r="AC129" i="1"/>
  <c r="AC128" i="1"/>
  <c r="AC133" i="1"/>
  <c r="AD129" i="1"/>
  <c r="CS313" i="82"/>
  <c r="CS354" i="2"/>
  <c r="CS61" i="2"/>
  <c r="CS84" i="2"/>
  <c r="CS337" i="2"/>
  <c r="CS9" i="2"/>
  <c r="CS384" i="2"/>
  <c r="CS130" i="2"/>
  <c r="CS385" i="2"/>
  <c r="CS383" i="2"/>
  <c r="CS387" i="2"/>
  <c r="CS386" i="2"/>
  <c r="CS388" i="2"/>
  <c r="CS146" i="2"/>
  <c r="CS140" i="2"/>
  <c r="CS137" i="2"/>
  <c r="CS133" i="2"/>
  <c r="CS143" i="2"/>
  <c r="CW389" i="1"/>
  <c r="BL589" i="1"/>
  <c r="BL570" i="1"/>
  <c r="AZ559" i="1"/>
  <c r="AZ81" i="1"/>
  <c r="AU437" i="1"/>
  <c r="CJ142" i="2"/>
  <c r="CJ141" i="2"/>
  <c r="AM36" i="2"/>
  <c r="AM34" i="2"/>
  <c r="BK373" i="1"/>
  <c r="BK375" i="1" s="1"/>
  <c r="BK376" i="1" s="1"/>
  <c r="BK370" i="1" s="1"/>
  <c r="BK378" i="1"/>
  <c r="BK380" i="1" s="1"/>
  <c r="BK381" i="1" s="1"/>
  <c r="BK371" i="1" s="1"/>
  <c r="BK87" i="1"/>
  <c r="BK565" i="1" s="1"/>
  <c r="BK561" i="1"/>
  <c r="CG543" i="1"/>
  <c r="CG544" i="1" s="1"/>
  <c r="CG436" i="1"/>
  <c r="CG437" i="1" s="1"/>
  <c r="CR456" i="1"/>
  <c r="CN572" i="1"/>
  <c r="CN571" i="1"/>
  <c r="CG625" i="1"/>
  <c r="BJ36" i="2"/>
  <c r="BJ34" i="2"/>
  <c r="BN32" i="2"/>
  <c r="BB153" i="2"/>
  <c r="T9" i="113"/>
  <c r="DG62" i="2"/>
  <c r="DC101" i="2"/>
  <c r="DF101" i="2"/>
  <c r="DD101" i="2"/>
  <c r="DE101" i="2"/>
  <c r="AK121" i="1"/>
  <c r="AP122" i="1" s="1"/>
  <c r="AK117" i="1"/>
  <c r="AK116" i="1"/>
  <c r="BB80" i="7"/>
  <c r="BT379" i="2"/>
  <c r="BT380" i="2"/>
  <c r="BT377" i="2"/>
  <c r="BT378" i="2"/>
  <c r="BT381" i="2"/>
  <c r="BT86" i="2"/>
  <c r="BT339" i="2"/>
  <c r="BT63" i="2"/>
  <c r="BT356" i="2"/>
  <c r="BT29" i="2"/>
  <c r="BT13" i="2"/>
  <c r="BU356" i="2"/>
  <c r="BU86" i="2"/>
  <c r="AL177" i="2"/>
  <c r="AL176" i="2"/>
  <c r="AX554" i="1"/>
  <c r="P9" i="113"/>
  <c r="CM383" i="2"/>
  <c r="CI365" i="2"/>
  <c r="CM130" i="2"/>
  <c r="CI101" i="2"/>
  <c r="CM338" i="2"/>
  <c r="CM62" i="2"/>
  <c r="CK101" i="2"/>
  <c r="CR338" i="2"/>
  <c r="CJ365" i="2"/>
  <c r="CR62" i="2"/>
  <c r="CL365" i="2"/>
  <c r="CJ101" i="2"/>
  <c r="CK365" i="2"/>
  <c r="CL101" i="2"/>
  <c r="CI582" i="1"/>
  <c r="DE130" i="1"/>
  <c r="DE128" i="1"/>
  <c r="DE129" i="1"/>
  <c r="DE133" i="1"/>
  <c r="DE136" i="1"/>
  <c r="DE134" i="1"/>
  <c r="CG561" i="1"/>
  <c r="CG378" i="1"/>
  <c r="CG380" i="1" s="1"/>
  <c r="CG381" i="1" s="1"/>
  <c r="CG371" i="1" s="1"/>
  <c r="CG373" i="1"/>
  <c r="CG375" i="1" s="1"/>
  <c r="CG376" i="1" s="1"/>
  <c r="CG370" i="1" s="1"/>
  <c r="CG565" i="1"/>
  <c r="CO370" i="82"/>
  <c r="CO384" i="82"/>
  <c r="CO398" i="82"/>
  <c r="CO338" i="82"/>
  <c r="CO261" i="82"/>
  <c r="CO339" i="82"/>
  <c r="CO330" i="82"/>
  <c r="S9" i="113"/>
  <c r="DB62" i="2"/>
  <c r="CX101" i="2"/>
  <c r="DA101" i="2"/>
  <c r="CZ101" i="2"/>
  <c r="CY101" i="2"/>
  <c r="DF242" i="82"/>
  <c r="DF195" i="82"/>
  <c r="DF194" i="82" s="1"/>
  <c r="DF257" i="82"/>
  <c r="DF211" i="82"/>
  <c r="DF244" i="82"/>
  <c r="DF256" i="82"/>
  <c r="DF250" i="82"/>
  <c r="DF225" i="82"/>
  <c r="BU589" i="1"/>
  <c r="BU570" i="1"/>
  <c r="BD389" i="1"/>
  <c r="BD485" i="1"/>
  <c r="BD70" i="1"/>
  <c r="BD491" i="1"/>
  <c r="BD80" i="1"/>
  <c r="CU246" i="82"/>
  <c r="CU245" i="82"/>
  <c r="AV176" i="2"/>
  <c r="BN368" i="2"/>
  <c r="CH580" i="1"/>
  <c r="CD579" i="1"/>
  <c r="CQ436" i="1"/>
  <c r="BD366" i="2"/>
  <c r="CE561" i="1"/>
  <c r="CE378" i="1"/>
  <c r="CE380" i="1" s="1"/>
  <c r="CE381" i="1" s="1"/>
  <c r="CE373" i="1"/>
  <c r="CE375" i="1" s="1"/>
  <c r="CE376" i="1" s="1"/>
  <c r="CE370" i="1" s="1"/>
  <c r="CE565" i="1"/>
  <c r="O9" i="113"/>
  <c r="CH338" i="2"/>
  <c r="CH383" i="2"/>
  <c r="CH62" i="2"/>
  <c r="CH10" i="2"/>
  <c r="CD365" i="2"/>
  <c r="CE365" i="2"/>
  <c r="CF365" i="2"/>
  <c r="CG365" i="2"/>
  <c r="AN36" i="2"/>
  <c r="AN34" i="2"/>
  <c r="AV596" i="1"/>
  <c r="AV115" i="1"/>
  <c r="AW117" i="1" s="1"/>
  <c r="AV91" i="1"/>
  <c r="AV93" i="1"/>
  <c r="BA91" i="1"/>
  <c r="AV99" i="1"/>
  <c r="BH326" i="1"/>
  <c r="CV396" i="1"/>
  <c r="CV401" i="1"/>
  <c r="CV325" i="1"/>
  <c r="CT252" i="82"/>
  <c r="CT251" i="82"/>
  <c r="BA543" i="1"/>
  <c r="BA544" i="1" s="1"/>
  <c r="BA436" i="1"/>
  <c r="BA437" i="1" s="1"/>
  <c r="CS135" i="1"/>
  <c r="BH133" i="1"/>
  <c r="BH136" i="1"/>
  <c r="BH134" i="1"/>
  <c r="CG132" i="2"/>
  <c r="CG131" i="2"/>
  <c r="CL131" i="2"/>
  <c r="AM177" i="2"/>
  <c r="CM106" i="2"/>
  <c r="BE571" i="1"/>
  <c r="BE572" i="1"/>
  <c r="AM62" i="7"/>
  <c r="BX609" i="1"/>
  <c r="BX495" i="1" s="1"/>
  <c r="AP116" i="1"/>
  <c r="AZ543" i="1"/>
  <c r="AZ544" i="1" s="1"/>
  <c r="AZ436" i="1"/>
  <c r="M14" i="113"/>
  <c r="BN151" i="2"/>
  <c r="BN169" i="2"/>
  <c r="CH492" i="1"/>
  <c r="CF497" i="1"/>
  <c r="CN583" i="1"/>
  <c r="CI63" i="7"/>
  <c r="CX543" i="1"/>
  <c r="CX545" i="1" s="1"/>
  <c r="CX436" i="1"/>
  <c r="CX437" i="1" s="1"/>
  <c r="CU559" i="1"/>
  <c r="Y469" i="1"/>
  <c r="CR391" i="2"/>
  <c r="CV536" i="1"/>
  <c r="U9" i="113"/>
  <c r="DL62" i="2"/>
  <c r="DI101" i="2"/>
  <c r="DH101" i="2"/>
  <c r="DK101" i="2"/>
  <c r="DJ101" i="2"/>
  <c r="AE125" i="1"/>
  <c r="AJ125" i="1"/>
  <c r="CU128" i="1"/>
  <c r="AQ170" i="2"/>
  <c r="AQ171" i="2"/>
  <c r="BF621" i="1"/>
  <c r="DM225" i="82"/>
  <c r="BI70" i="1"/>
  <c r="BE135" i="1"/>
  <c r="BU128" i="1"/>
  <c r="BU129" i="1"/>
  <c r="BU136" i="1"/>
  <c r="BU133" i="1"/>
  <c r="BU134" i="1"/>
  <c r="DL103" i="2"/>
  <c r="CI590" i="1"/>
  <c r="CI574" i="1"/>
  <c r="CY195" i="82"/>
  <c r="CY194" i="82" s="1"/>
  <c r="CY257" i="82"/>
  <c r="CY211" i="82"/>
  <c r="CY244" i="82"/>
  <c r="CY256" i="82"/>
  <c r="CY225" i="82"/>
  <c r="CY242" i="82"/>
  <c r="CY250" i="82"/>
  <c r="CI135" i="1"/>
  <c r="BI604" i="1"/>
  <c r="T480" i="113"/>
  <c r="T493" i="113" s="1"/>
  <c r="AU604" i="1"/>
  <c r="AU598" i="1"/>
  <c r="AG168" i="7"/>
  <c r="AG170" i="7" s="1"/>
  <c r="Z74" i="3"/>
  <c r="Z81" i="3"/>
  <c r="BW135" i="1"/>
  <c r="DH257" i="82"/>
  <c r="DH211" i="82"/>
  <c r="DH256" i="82"/>
  <c r="DH225" i="82"/>
  <c r="DH195" i="82"/>
  <c r="DH194" i="82" s="1"/>
  <c r="DH242" i="82"/>
  <c r="DH244" i="82"/>
  <c r="DH250" i="82"/>
  <c r="CW105" i="2"/>
  <c r="CS245" i="82"/>
  <c r="CS246" i="82"/>
  <c r="CT396" i="1"/>
  <c r="CT401" i="1"/>
  <c r="CT325" i="1"/>
  <c r="BX492" i="1"/>
  <c r="BU497" i="1"/>
  <c r="BV497" i="1"/>
  <c r="Y462" i="1"/>
  <c r="BL171" i="2"/>
  <c r="BL170" i="2"/>
  <c r="V476" i="1"/>
  <c r="CW70" i="1"/>
  <c r="CW7" i="2"/>
  <c r="CW560" i="1"/>
  <c r="CW562" i="1"/>
  <c r="CW564" i="1"/>
  <c r="AZ496" i="1"/>
  <c r="AZ492" i="1"/>
  <c r="BX456" i="1"/>
  <c r="CK142" i="2"/>
  <c r="CK141" i="2"/>
  <c r="CK135" i="2"/>
  <c r="CK134" i="2"/>
  <c r="BK571" i="1"/>
  <c r="BK572" i="1"/>
  <c r="AS325" i="1"/>
  <c r="AS396" i="1"/>
  <c r="AS401" i="1"/>
  <c r="CT536" i="1"/>
  <c r="DG609" i="1"/>
  <c r="DG108" i="1"/>
  <c r="AL159" i="2"/>
  <c r="AL158" i="2"/>
  <c r="BC169" i="2"/>
  <c r="BC54" i="2"/>
  <c r="BC151" i="2"/>
  <c r="BC94" i="2"/>
  <c r="BC71" i="2"/>
  <c r="BC348" i="2"/>
  <c r="BC32" i="2"/>
  <c r="CM610" i="1"/>
  <c r="DE625" i="1"/>
  <c r="AK373" i="2"/>
  <c r="CG572" i="1"/>
  <c r="CG571" i="1"/>
  <c r="CJ204" i="2"/>
  <c r="CJ212" i="2"/>
  <c r="CJ205" i="2"/>
  <c r="BQ80" i="7"/>
  <c r="CO339" i="2"/>
  <c r="CO86" i="2"/>
  <c r="CO356" i="2"/>
  <c r="CO63" i="2"/>
  <c r="CO13" i="2"/>
  <c r="CO126" i="2"/>
  <c r="CO378" i="2"/>
  <c r="CO117" i="2"/>
  <c r="CO377" i="2"/>
  <c r="CO123" i="2"/>
  <c r="CO379" i="2"/>
  <c r="CO381" i="2"/>
  <c r="CO380" i="2"/>
  <c r="CO120" i="2"/>
  <c r="CO114" i="2"/>
  <c r="CU436" i="1"/>
  <c r="CU437" i="1" s="1"/>
  <c r="CU543" i="1"/>
  <c r="CU181" i="1" s="1"/>
  <c r="BM135" i="1"/>
  <c r="DB609" i="1"/>
  <c r="DB495" i="1" s="1"/>
  <c r="DB108" i="1"/>
  <c r="BH71" i="2"/>
  <c r="BU590" i="1"/>
  <c r="BU574" i="1"/>
  <c r="BD476" i="1"/>
  <c r="BD586" i="1"/>
  <c r="CU212" i="82"/>
  <c r="CU239" i="82"/>
  <c r="CU226" i="82"/>
  <c r="AV158" i="2"/>
  <c r="S294" i="113"/>
  <c r="CH581" i="1"/>
  <c r="CD583" i="1"/>
  <c r="DA625" i="1"/>
  <c r="CE436" i="1"/>
  <c r="CE437" i="1" s="1"/>
  <c r="CE543" i="1"/>
  <c r="CE544" i="1" s="1"/>
  <c r="BD341" i="2"/>
  <c r="BD166" i="2"/>
  <c r="BD150" i="2"/>
  <c r="BD29" i="2"/>
  <c r="BD27" i="2"/>
  <c r="BD65" i="2"/>
  <c r="BA368" i="2"/>
  <c r="AZ368" i="2"/>
  <c r="BB368" i="2"/>
  <c r="CH609" i="1"/>
  <c r="CH495" i="1" s="1"/>
  <c r="Y125" i="1"/>
  <c r="T126" i="1"/>
  <c r="V126" i="1"/>
  <c r="O302" i="113"/>
  <c r="CH415" i="82"/>
  <c r="CH298" i="82"/>
  <c r="CL135" i="2"/>
  <c r="CL134" i="2"/>
  <c r="CG145" i="2"/>
  <c r="CG144" i="2"/>
  <c r="CL144" i="2"/>
  <c r="BX610" i="1"/>
  <c r="DD536" i="1"/>
  <c r="BE94" i="2"/>
  <c r="BT543" i="1"/>
  <c r="BT544" i="1" s="1"/>
  <c r="BT436" i="1"/>
  <c r="DG621" i="1"/>
  <c r="DB103" i="2"/>
  <c r="CH401" i="1"/>
  <c r="CH392" i="1"/>
  <c r="AX133" i="1"/>
  <c r="AX136" i="1"/>
  <c r="AX134" i="1"/>
  <c r="BM571" i="1"/>
  <c r="BM572" i="1"/>
  <c r="CX555" i="1"/>
  <c r="BW543" i="1"/>
  <c r="BW544" i="1" s="1"/>
  <c r="BW436" i="1"/>
  <c r="BW437" i="1" s="1"/>
  <c r="AO540" i="1"/>
  <c r="CU313" i="82"/>
  <c r="CU354" i="2"/>
  <c r="CU84" i="2"/>
  <c r="CU337" i="2"/>
  <c r="CU9" i="2"/>
  <c r="CU61" i="2"/>
  <c r="CU385" i="2"/>
  <c r="CU383" i="2"/>
  <c r="CU143" i="2"/>
  <c r="CU140" i="2"/>
  <c r="CU130" i="2"/>
  <c r="CU387" i="2"/>
  <c r="CU386" i="2"/>
  <c r="CU146" i="2"/>
  <c r="CU388" i="2"/>
  <c r="CU137" i="2"/>
  <c r="CU384" i="2"/>
  <c r="BF80" i="7"/>
  <c r="CD377" i="2"/>
  <c r="CD379" i="2"/>
  <c r="CD63" i="2"/>
  <c r="CD378" i="2"/>
  <c r="CD380" i="2"/>
  <c r="CD356" i="2"/>
  <c r="CD86" i="2"/>
  <c r="CD339" i="2"/>
  <c r="CD13" i="2"/>
  <c r="CI339" i="2"/>
  <c r="CI63" i="2"/>
  <c r="DF544" i="1"/>
  <c r="BX433" i="1"/>
  <c r="V471" i="1"/>
  <c r="BN396" i="1"/>
  <c r="CV553" i="1"/>
  <c r="CV554" i="1" s="1"/>
  <c r="CV438" i="1"/>
  <c r="DL610" i="1"/>
  <c r="R302" i="113"/>
  <c r="R482" i="113" s="1"/>
  <c r="CW415" i="82"/>
  <c r="CW278" i="82"/>
  <c r="BG543" i="1"/>
  <c r="BG544" i="1" s="1"/>
  <c r="BG436" i="1"/>
  <c r="BG437" i="1" s="1"/>
  <c r="BI581" i="1"/>
  <c r="AP152" i="2"/>
  <c r="AP153" i="2"/>
  <c r="CJ393" i="1"/>
  <c r="CJ405" i="1" s="1"/>
  <c r="CJ404" i="1"/>
  <c r="CJ394" i="1"/>
  <c r="CO393" i="1"/>
  <c r="CO405" i="1" s="1"/>
  <c r="CJ396" i="1"/>
  <c r="CJ395" i="1"/>
  <c r="CQ313" i="82"/>
  <c r="CQ337" i="2"/>
  <c r="CQ354" i="2"/>
  <c r="CQ84" i="2"/>
  <c r="CQ61" i="2"/>
  <c r="CQ9" i="2"/>
  <c r="CQ387" i="2"/>
  <c r="CQ146" i="2"/>
  <c r="CQ143" i="2"/>
  <c r="CQ385" i="2"/>
  <c r="CQ384" i="2"/>
  <c r="CQ388" i="2"/>
  <c r="CQ383" i="2"/>
  <c r="CQ130" i="2"/>
  <c r="CQ386" i="2"/>
  <c r="CQ137" i="2"/>
  <c r="CQ133" i="2"/>
  <c r="CQ140" i="2"/>
  <c r="BK152" i="2"/>
  <c r="BK153" i="2"/>
  <c r="CG135" i="2"/>
  <c r="CG134" i="2"/>
  <c r="BH589" i="1"/>
  <c r="BH570" i="1"/>
  <c r="DB136" i="1"/>
  <c r="BA559" i="1"/>
  <c r="BA81" i="1"/>
  <c r="AU169" i="2"/>
  <c r="AU54" i="2"/>
  <c r="AU151" i="2"/>
  <c r="AU94" i="2"/>
  <c r="AU71" i="2"/>
  <c r="AU348" i="2"/>
  <c r="AU32" i="2"/>
  <c r="CK579" i="1"/>
  <c r="CK582" i="1" s="1"/>
  <c r="CK606" i="1" s="1"/>
  <c r="CK607" i="1" s="1"/>
  <c r="CH456" i="1"/>
  <c r="CM107" i="2"/>
  <c r="BI608" i="1"/>
  <c r="BI106" i="1"/>
  <c r="BI107" i="1"/>
  <c r="DA545" i="1"/>
  <c r="DA536" i="1"/>
  <c r="AG159" i="2"/>
  <c r="S493" i="113"/>
  <c r="AU620" i="1"/>
  <c r="AU119" i="1"/>
  <c r="AZ119" i="1"/>
  <c r="CN135" i="1"/>
  <c r="CP205" i="2"/>
  <c r="CP204" i="2"/>
  <c r="CP212" i="2"/>
  <c r="CQ205" i="2"/>
  <c r="BJ583" i="1"/>
  <c r="BL578" i="1"/>
  <c r="AY596" i="1"/>
  <c r="BD91" i="1"/>
  <c r="AY93" i="1"/>
  <c r="AY115" i="1"/>
  <c r="CS251" i="82"/>
  <c r="CS252" i="82"/>
  <c r="O9" i="11"/>
  <c r="N7" i="11"/>
  <c r="H14" i="113"/>
  <c r="H13" i="113" s="1"/>
  <c r="AO151" i="2"/>
  <c r="AO71" i="2"/>
  <c r="AO348" i="2"/>
  <c r="AO169" i="2"/>
  <c r="CM392" i="1"/>
  <c r="CQ129" i="1"/>
  <c r="AT325" i="1"/>
  <c r="AT70" i="1"/>
  <c r="AT491" i="1"/>
  <c r="AY70" i="1"/>
  <c r="AT485" i="1"/>
  <c r="AT80" i="1"/>
  <c r="BP80" i="7"/>
  <c r="CN339" i="2"/>
  <c r="CN86" i="2"/>
  <c r="CN356" i="2"/>
  <c r="CN63" i="2"/>
  <c r="CN13" i="2"/>
  <c r="CN126" i="2"/>
  <c r="CN123" i="2"/>
  <c r="CN377" i="2"/>
  <c r="CN117" i="2"/>
  <c r="CN379" i="2"/>
  <c r="CN378" i="2"/>
  <c r="CN381" i="2"/>
  <c r="CN380" i="2"/>
  <c r="CN114" i="2"/>
  <c r="CN120" i="2"/>
  <c r="BX621" i="1"/>
  <c r="DB542" i="1"/>
  <c r="DB543" i="1" s="1"/>
  <c r="DB534" i="1"/>
  <c r="Q496" i="1"/>
  <c r="Q492" i="1"/>
  <c r="Q497" i="1"/>
  <c r="V492" i="1"/>
  <c r="AV62" i="7"/>
  <c r="CS540" i="1"/>
  <c r="CK139" i="2"/>
  <c r="CK138" i="2"/>
  <c r="CL139" i="2"/>
  <c r="CK148" i="2"/>
  <c r="CK147" i="2"/>
  <c r="CL148" i="2"/>
  <c r="BI583" i="1"/>
  <c r="BI605" i="1" s="1"/>
  <c r="BE605" i="1"/>
  <c r="AI159" i="2"/>
  <c r="CD625" i="1"/>
  <c r="AU610" i="1"/>
  <c r="CT553" i="1"/>
  <c r="CT554" i="1" s="1"/>
  <c r="CT438" i="1"/>
  <c r="AQ326" i="1"/>
  <c r="BJ152" i="2"/>
  <c r="CX389" i="1"/>
  <c r="CX74" i="1"/>
  <c r="CX70" i="1"/>
  <c r="DB69" i="1"/>
  <c r="CX7" i="2"/>
  <c r="CX562" i="1"/>
  <c r="CX564" i="1"/>
  <c r="CX560" i="1"/>
  <c r="CX485" i="1"/>
  <c r="BB171" i="2"/>
  <c r="DG610" i="1"/>
  <c r="CM621" i="1"/>
  <c r="AV590" i="1"/>
  <c r="AV574" i="1"/>
  <c r="AV592" i="1" s="1"/>
  <c r="AV611" i="1" s="1"/>
  <c r="BT364" i="2"/>
  <c r="BC157" i="2"/>
  <c r="BC175" i="2"/>
  <c r="BC73" i="2"/>
  <c r="BC349" i="2"/>
  <c r="BH73" i="2"/>
  <c r="BH349" i="2"/>
  <c r="AX534" i="1"/>
  <c r="AX536" i="1" s="1"/>
  <c r="CR610" i="1"/>
  <c r="AO54" i="2"/>
  <c r="AK57" i="2"/>
  <c r="AA19" i="3"/>
  <c r="CH625" i="1"/>
  <c r="CU253" i="82"/>
  <c r="CU247" i="82"/>
  <c r="CU240" i="82"/>
  <c r="CU213" i="82"/>
  <c r="CU196" i="82"/>
  <c r="CU227" i="82"/>
  <c r="BM153" i="2"/>
  <c r="DA214" i="2"/>
  <c r="AR36" i="2"/>
  <c r="AR34" i="2"/>
  <c r="AL36" i="2"/>
  <c r="AL34" i="2"/>
  <c r="Y135" i="1"/>
  <c r="AP375" i="1"/>
  <c r="AK168" i="7"/>
  <c r="AK170" i="7" s="1"/>
  <c r="AE77" i="3"/>
  <c r="AE74" i="3"/>
  <c r="AE81" i="3"/>
  <c r="AJ74" i="3"/>
  <c r="G41" i="113"/>
  <c r="BA36" i="2"/>
  <c r="BA34" i="2"/>
  <c r="CH610" i="1"/>
  <c r="AN171" i="2"/>
  <c r="AN170" i="2"/>
  <c r="BF543" i="1"/>
  <c r="BF544" i="1" s="1"/>
  <c r="BF436" i="1"/>
  <c r="BF437" i="1" s="1"/>
  <c r="BA176" i="2"/>
  <c r="CV75" i="1"/>
  <c r="BG153" i="2"/>
  <c r="BG152" i="2"/>
  <c r="CW127" i="1"/>
  <c r="CR341" i="1" s="1"/>
  <c r="DF625" i="1"/>
  <c r="AI171" i="2"/>
  <c r="DB134" i="1"/>
  <c r="CR203" i="2"/>
  <c r="DG542" i="1"/>
  <c r="DG543" i="1" s="1"/>
  <c r="DG534" i="1"/>
  <c r="CK373" i="1"/>
  <c r="CK375" i="1" s="1"/>
  <c r="CK376" i="1" s="1"/>
  <c r="CK370" i="1" s="1"/>
  <c r="CK565" i="1"/>
  <c r="CK561" i="1"/>
  <c r="BM561" i="1"/>
  <c r="BM378" i="1"/>
  <c r="BM380" i="1" s="1"/>
  <c r="BM381" i="1" s="1"/>
  <c r="BM371" i="1" s="1"/>
  <c r="BM373" i="1"/>
  <c r="BM375" i="1" s="1"/>
  <c r="BM376" i="1" s="1"/>
  <c r="BM370" i="1" s="1"/>
  <c r="BM87" i="1"/>
  <c r="BM565" i="1" s="1"/>
  <c r="BJ378" i="1"/>
  <c r="BJ380" i="1" s="1"/>
  <c r="BJ381" i="1" s="1"/>
  <c r="BJ371" i="1" s="1"/>
  <c r="BJ373" i="1"/>
  <c r="BJ561" i="1"/>
  <c r="BJ87" i="1"/>
  <c r="BJ565" i="1" s="1"/>
  <c r="CY544" i="1"/>
  <c r="BE436" i="1"/>
  <c r="BE543" i="1"/>
  <c r="BE544" i="1" s="1"/>
  <c r="CU396" i="1"/>
  <c r="CU401" i="1"/>
  <c r="CU325" i="1"/>
  <c r="BX435" i="1"/>
  <c r="BL497" i="1"/>
  <c r="DL111" i="1"/>
  <c r="BJ543" i="1"/>
  <c r="BJ544" i="1" s="1"/>
  <c r="BJ436" i="1"/>
  <c r="AX167" i="2"/>
  <c r="CJ326" i="1"/>
  <c r="CQ581" i="1"/>
  <c r="CQ583" i="1" s="1"/>
  <c r="CQ605" i="1" s="1"/>
  <c r="CQ580" i="1"/>
  <c r="S497" i="1"/>
  <c r="S496" i="1"/>
  <c r="S492" i="1"/>
  <c r="X492" i="1"/>
  <c r="BK373" i="2"/>
  <c r="BD624" i="1"/>
  <c r="BD127" i="1"/>
  <c r="AY341" i="1" s="1"/>
  <c r="BH590" i="1"/>
  <c r="BH574" i="1"/>
  <c r="CD332" i="1"/>
  <c r="CE333" i="1"/>
  <c r="CD333" i="1"/>
  <c r="CD331" i="1"/>
  <c r="CI331" i="1"/>
  <c r="CI332" i="1"/>
  <c r="AU157" i="2"/>
  <c r="AU175" i="2"/>
  <c r="AU73" i="2"/>
  <c r="AU349" i="2"/>
  <c r="CG326" i="1"/>
  <c r="DA544" i="1"/>
  <c r="AY542" i="1"/>
  <c r="AY534" i="1"/>
  <c r="CO128" i="1"/>
  <c r="CO129" i="1"/>
  <c r="CO133" i="1"/>
  <c r="CO134" i="1"/>
  <c r="BC543" i="1"/>
  <c r="BC544" i="1" s="1"/>
  <c r="BC436" i="1"/>
  <c r="BC437" i="1" s="1"/>
  <c r="AZ598" i="1"/>
  <c r="BN621" i="1"/>
  <c r="CW69" i="2"/>
  <c r="CW347" i="2"/>
  <c r="CW346" i="2"/>
  <c r="DB69" i="2"/>
  <c r="DF545" i="1"/>
  <c r="DF536" i="1"/>
  <c r="CS247" i="82"/>
  <c r="CS240" i="82"/>
  <c r="CS213" i="82"/>
  <c r="CS196" i="82"/>
  <c r="CS227" i="82"/>
  <c r="CS253" i="82"/>
  <c r="BD540" i="1"/>
  <c r="DA389" i="1"/>
  <c r="DA70" i="1"/>
  <c r="DA560" i="1"/>
  <c r="DA74" i="1"/>
  <c r="DA7" i="2"/>
  <c r="DA562" i="1"/>
  <c r="DA564" i="1"/>
  <c r="DA485" i="1"/>
  <c r="CN147" i="2"/>
  <c r="CN398" i="82"/>
  <c r="CN370" i="82"/>
  <c r="CN384" i="82"/>
  <c r="CN261" i="82"/>
  <c r="CN338" i="82"/>
  <c r="CN330" i="82"/>
  <c r="CN339" i="82"/>
  <c r="H41" i="113"/>
  <c r="H32" i="113"/>
  <c r="CZ545" i="1"/>
  <c r="CZ536" i="1"/>
  <c r="DE564" i="1"/>
  <c r="DE74" i="1"/>
  <c r="DE562" i="1"/>
  <c r="DE389" i="1"/>
  <c r="DE70" i="1"/>
  <c r="DE7" i="2"/>
  <c r="DE560" i="1"/>
  <c r="CB234" i="7"/>
  <c r="CB235" i="7" s="1"/>
  <c r="CT133" i="2"/>
  <c r="CS75" i="1"/>
  <c r="AZ396" i="1"/>
  <c r="AZ401" i="1"/>
  <c r="AZ325" i="1"/>
  <c r="DG625" i="1"/>
  <c r="CJ148" i="2"/>
  <c r="CJ147" i="2"/>
  <c r="CV109" i="2"/>
  <c r="AM153" i="2"/>
  <c r="AM152" i="2"/>
  <c r="AK63" i="7"/>
  <c r="AS81" i="1"/>
  <c r="CT436" i="1"/>
  <c r="CT437" i="1" s="1"/>
  <c r="CT543" i="1"/>
  <c r="BN54" i="2"/>
  <c r="BJ57" i="2"/>
  <c r="AF135" i="1"/>
  <c r="CX242" i="82"/>
  <c r="CX195" i="82"/>
  <c r="CX194" i="82" s="1"/>
  <c r="CX257" i="82"/>
  <c r="CX211" i="82"/>
  <c r="CX244" i="82"/>
  <c r="CX256" i="82"/>
  <c r="CX250" i="82"/>
  <c r="CX225" i="82"/>
  <c r="BE158" i="2"/>
  <c r="DG412" i="82"/>
  <c r="DG279" i="82"/>
  <c r="DG295" i="82"/>
  <c r="AV570" i="1"/>
  <c r="CP559" i="1"/>
  <c r="Q303" i="113"/>
  <c r="Q483" i="113" s="1"/>
  <c r="Q495" i="113" s="1"/>
  <c r="CR279" i="82"/>
  <c r="CR412" i="82"/>
  <c r="CM609" i="1"/>
  <c r="CM495" i="1" s="1"/>
  <c r="CM108" i="1"/>
  <c r="AK36" i="2"/>
  <c r="AK34" i="2"/>
  <c r="AO32" i="2"/>
  <c r="CJ135" i="2"/>
  <c r="CJ134" i="2"/>
  <c r="CO138" i="2"/>
  <c r="CO139" i="2"/>
  <c r="CH133" i="1"/>
  <c r="CH136" i="1"/>
  <c r="CU536" i="1"/>
  <c r="DB610" i="1"/>
  <c r="BM36" i="2"/>
  <c r="BM34" i="2"/>
  <c r="DA129" i="1"/>
  <c r="DA130" i="1"/>
  <c r="DA128" i="1"/>
  <c r="DA136" i="1"/>
  <c r="DA133" i="1"/>
  <c r="DA134" i="1"/>
  <c r="BT583" i="1"/>
  <c r="AR152" i="2"/>
  <c r="AR153" i="2"/>
  <c r="CZ625" i="1"/>
  <c r="AY538" i="1"/>
  <c r="AZ129" i="1"/>
  <c r="AZ133" i="1"/>
  <c r="AZ136" i="1"/>
  <c r="AZ134" i="1"/>
  <c r="DQ318" i="1"/>
  <c r="DQ320" i="1"/>
  <c r="CH253" i="82"/>
  <c r="CH247" i="82"/>
  <c r="CH196" i="82"/>
  <c r="CH241" i="82" s="1"/>
  <c r="CH194" i="82"/>
  <c r="CH240" i="82"/>
  <c r="DE536" i="1"/>
  <c r="AV152" i="2"/>
  <c r="CP436" i="1"/>
  <c r="AQ117" i="1"/>
  <c r="AQ121" i="1"/>
  <c r="AR176" i="2"/>
  <c r="AR177" i="2"/>
  <c r="CL204" i="2"/>
  <c r="CL212" i="2"/>
  <c r="CL205" i="2"/>
  <c r="CQ204" i="2"/>
  <c r="CV581" i="1"/>
  <c r="CV583" i="1" s="1"/>
  <c r="CV605" i="1" s="1"/>
  <c r="CV580" i="1"/>
  <c r="CT212" i="82"/>
  <c r="CT239" i="82"/>
  <c r="CT246" i="82"/>
  <c r="CT245" i="82"/>
  <c r="CY625" i="1"/>
  <c r="AV326" i="1"/>
  <c r="DG109" i="2"/>
  <c r="CW365" i="2"/>
  <c r="BC373" i="1"/>
  <c r="BC375" i="1" s="1"/>
  <c r="BC376" i="1" s="1"/>
  <c r="BC370" i="1" s="1"/>
  <c r="BC378" i="1"/>
  <c r="BC380" i="1" s="1"/>
  <c r="BC381" i="1" s="1"/>
  <c r="BC371" i="1" s="1"/>
  <c r="BC87" i="1"/>
  <c r="BC565" i="1" s="1"/>
  <c r="BC561" i="1"/>
  <c r="BJ326" i="1"/>
  <c r="DB621" i="1"/>
  <c r="BE152" i="2"/>
  <c r="BF153" i="2"/>
  <c r="BU326" i="1"/>
  <c r="AF373" i="2"/>
  <c r="CN205" i="2"/>
  <c r="DC536" i="1"/>
  <c r="CK571" i="1"/>
  <c r="CK572" i="1"/>
  <c r="BN610" i="1"/>
  <c r="BJ571" i="1"/>
  <c r="BJ572" i="1"/>
  <c r="W135" i="1"/>
  <c r="CN436" i="1"/>
  <c r="DL609" i="1"/>
  <c r="DL108" i="1"/>
  <c r="CW456" i="1"/>
  <c r="AQ152" i="2"/>
  <c r="AQ153" i="2"/>
  <c r="S478" i="1"/>
  <c r="CW125" i="1"/>
  <c r="BE128" i="1"/>
  <c r="P137" i="1"/>
  <c r="BA496" i="1"/>
  <c r="BA492" i="1"/>
  <c r="BF492" i="1"/>
  <c r="BA159" i="2"/>
  <c r="Z395" i="1"/>
  <c r="Z397" i="1"/>
  <c r="Z402" i="1" s="1"/>
  <c r="CR210" i="2"/>
  <c r="CW391" i="2"/>
  <c r="AU603" i="1"/>
  <c r="CR127" i="1"/>
  <c r="CM341" i="1" s="1"/>
  <c r="CP625" i="1"/>
  <c r="AU597" i="1"/>
  <c r="B44" i="113"/>
  <c r="B19" i="113"/>
  <c r="CS194" i="82"/>
  <c r="DI213" i="2"/>
  <c r="DI214" i="2"/>
  <c r="CT581" i="1"/>
  <c r="CT583" i="1" s="1"/>
  <c r="CT605" i="1" s="1"/>
  <c r="CT580" i="1"/>
  <c r="BX396" i="1"/>
  <c r="BX401" i="1"/>
  <c r="AO167" i="2"/>
  <c r="BM436" i="1"/>
  <c r="BM437" i="1" s="1"/>
  <c r="BM543" i="1"/>
  <c r="BM544" i="1" s="1"/>
  <c r="DA257" i="82"/>
  <c r="DA211" i="82"/>
  <c r="DA244" i="82"/>
  <c r="DA256" i="82"/>
  <c r="DA225" i="82"/>
  <c r="DA242" i="82"/>
  <c r="DA195" i="82"/>
  <c r="DA250" i="82"/>
  <c r="DK389" i="1"/>
  <c r="DK70" i="1"/>
  <c r="DK7" i="2"/>
  <c r="DL210" i="2"/>
  <c r="CR125" i="1"/>
  <c r="CN144" i="2"/>
  <c r="V117" i="1"/>
  <c r="T117" i="1"/>
  <c r="T121" i="1"/>
  <c r="Y116" i="1"/>
  <c r="CZ544" i="1"/>
  <c r="CD378" i="1"/>
  <c r="CD380" i="1" s="1"/>
  <c r="CD381" i="1" s="1"/>
  <c r="CD373" i="1"/>
  <c r="CD561" i="1"/>
  <c r="CD565" i="1"/>
  <c r="DC389" i="1"/>
  <c r="DC70" i="1"/>
  <c r="DC560" i="1"/>
  <c r="DG69" i="1"/>
  <c r="DC564" i="1"/>
  <c r="DC74" i="1"/>
  <c r="DC7" i="2"/>
  <c r="DC562" i="1"/>
  <c r="AZ36" i="2"/>
  <c r="AZ34" i="2"/>
  <c r="CE208" i="7"/>
  <c r="CD208" i="7"/>
  <c r="CD218" i="7" s="1"/>
  <c r="CC218" i="7"/>
  <c r="Q375" i="1"/>
  <c r="V376" i="1" s="1"/>
  <c r="Q380" i="1"/>
  <c r="DJ609" i="1"/>
  <c r="DJ108" i="1"/>
  <c r="DJ109" i="1"/>
  <c r="CS580" i="1"/>
  <c r="CS581" i="1"/>
  <c r="CV240" i="82"/>
  <c r="CV213" i="82"/>
  <c r="CV196" i="82"/>
  <c r="CV227" i="82"/>
  <c r="CV253" i="82"/>
  <c r="CV247" i="82"/>
  <c r="DG128" i="1"/>
  <c r="DG133" i="1"/>
  <c r="DG136" i="1"/>
  <c r="CM581" i="1"/>
  <c r="CR347" i="2"/>
  <c r="CR346" i="2"/>
  <c r="CR69" i="2"/>
  <c r="CP109" i="2"/>
  <c r="CK398" i="82"/>
  <c r="CK410" i="82"/>
  <c r="CK339" i="82"/>
  <c r="CK338" i="82"/>
  <c r="CK330" i="82"/>
  <c r="CJ139" i="2"/>
  <c r="CJ138" i="2"/>
  <c r="CJ132" i="2"/>
  <c r="CJ131" i="2"/>
  <c r="CJ410" i="82"/>
  <c r="CJ398" i="82"/>
  <c r="CJ338" i="82"/>
  <c r="CJ339" i="82"/>
  <c r="CJ330" i="82"/>
  <c r="CO109" i="2"/>
  <c r="CQ234" i="7"/>
  <c r="CQ235" i="7" s="1"/>
  <c r="AI177" i="2"/>
  <c r="BA129" i="1"/>
  <c r="BA136" i="1"/>
  <c r="BA133" i="1"/>
  <c r="BA134" i="1"/>
  <c r="BJ170" i="2"/>
  <c r="DL212" i="2"/>
  <c r="AK106" i="1"/>
  <c r="AK107" i="1"/>
  <c r="AK389" i="1"/>
  <c r="CP396" i="1"/>
  <c r="CP401" i="1"/>
  <c r="CP325" i="1"/>
  <c r="CZ389" i="1"/>
  <c r="CZ70" i="1"/>
  <c r="CZ74" i="1"/>
  <c r="CZ7" i="2"/>
  <c r="CZ564" i="1"/>
  <c r="CZ560" i="1"/>
  <c r="CZ562" i="1"/>
  <c r="CZ485" i="1"/>
  <c r="CO144" i="2"/>
  <c r="CO145" i="2"/>
  <c r="CU553" i="1"/>
  <c r="CU554" i="1" s="1"/>
  <c r="CU438" i="1"/>
  <c r="CU252" i="82"/>
  <c r="CU251" i="82"/>
  <c r="X135" i="1"/>
  <c r="DD389" i="1"/>
  <c r="DD70" i="1"/>
  <c r="DD74" i="1"/>
  <c r="DD7" i="2"/>
  <c r="DD562" i="1"/>
  <c r="DD564" i="1"/>
  <c r="DD560" i="1"/>
  <c r="R496" i="1"/>
  <c r="AL153" i="2"/>
  <c r="AL152" i="2"/>
  <c r="CN63" i="7"/>
  <c r="AK326" i="1"/>
  <c r="BM625" i="1"/>
  <c r="AE50" i="3"/>
  <c r="AE80" i="3"/>
  <c r="AR99" i="1"/>
  <c r="AS90" i="1"/>
  <c r="AR115" i="1"/>
  <c r="AW116" i="1" s="1"/>
  <c r="AR91" i="1"/>
  <c r="AR93" i="1"/>
  <c r="BV573" i="1"/>
  <c r="AJ175" i="2"/>
  <c r="AJ157" i="2"/>
  <c r="AG374" i="2"/>
  <c r="AH374" i="2"/>
  <c r="CS536" i="1"/>
  <c r="U124" i="1"/>
  <c r="AK158" i="2"/>
  <c r="DG284" i="82"/>
  <c r="DG297" i="82"/>
  <c r="DL284" i="82"/>
  <c r="BG36" i="2"/>
  <c r="BG34" i="2"/>
  <c r="DF130" i="1"/>
  <c r="DF128" i="1"/>
  <c r="DF129" i="1"/>
  <c r="DF136" i="1"/>
  <c r="DF133" i="1"/>
  <c r="DF134" i="1"/>
  <c r="CM456" i="1"/>
  <c r="DJ213" i="2"/>
  <c r="DJ214" i="2"/>
  <c r="BC571" i="1"/>
  <c r="BC572" i="1"/>
  <c r="DG103" i="2"/>
  <c r="Q302" i="113"/>
  <c r="Q482" i="113" s="1"/>
  <c r="CR415" i="82"/>
  <c r="CR278" i="82"/>
  <c r="BE36" i="2"/>
  <c r="BE34" i="2"/>
  <c r="AJ32" i="2"/>
  <c r="AF36" i="2"/>
  <c r="AF34" i="2"/>
  <c r="CR435" i="1"/>
  <c r="BF570" i="1"/>
  <c r="CN213" i="2"/>
  <c r="AO73" i="2"/>
  <c r="BN609" i="1"/>
  <c r="BN495" i="1" s="1"/>
  <c r="AQ158" i="2"/>
  <c r="AQ159" i="2"/>
  <c r="CR108" i="1"/>
  <c r="S123" i="1"/>
  <c r="S127" i="1"/>
  <c r="X122" i="1"/>
  <c r="V20" i="113"/>
  <c r="S8" i="11"/>
  <c r="DQ52" i="2"/>
  <c r="BI620" i="1"/>
  <c r="BI119" i="1"/>
  <c r="BI121" i="1"/>
  <c r="AA73" i="3"/>
  <c r="BT128" i="1"/>
  <c r="BT133" i="1"/>
  <c r="BT129" i="1"/>
  <c r="BT136" i="1"/>
  <c r="BT134" i="1"/>
  <c r="T471" i="1"/>
  <c r="AC87" i="3"/>
  <c r="DM211" i="82"/>
  <c r="AP36" i="2"/>
  <c r="AP34" i="2"/>
  <c r="DK128" i="1"/>
  <c r="DK136" i="1"/>
  <c r="DK133" i="1"/>
  <c r="X476" i="1"/>
  <c r="BG326" i="1"/>
  <c r="BK171" i="2"/>
  <c r="BK170" i="2"/>
  <c r="CD436" i="1"/>
  <c r="CD543" i="1"/>
  <c r="CD544" i="1" s="1"/>
  <c r="AF80" i="3"/>
  <c r="AF50" i="3"/>
  <c r="AA135" i="1"/>
  <c r="BA158" i="2"/>
  <c r="Z526" i="1"/>
  <c r="AE527" i="1" s="1"/>
  <c r="CI326" i="1"/>
  <c r="CQ109" i="2"/>
  <c r="CL135" i="1"/>
  <c r="CW366" i="1"/>
  <c r="CW370" i="1" s="1"/>
  <c r="CO141" i="2"/>
  <c r="CK404" i="1"/>
  <c r="CK394" i="1"/>
  <c r="CP393" i="1"/>
  <c r="CP405" i="1" s="1"/>
  <c r="CK396" i="1"/>
  <c r="CK393" i="1"/>
  <c r="CK405" i="1" s="1"/>
  <c r="CN138" i="2"/>
  <c r="T464" i="1"/>
  <c r="BL152" i="2"/>
  <c r="BL153" i="2"/>
  <c r="BE625" i="1"/>
  <c r="CD571" i="1"/>
  <c r="CD572" i="1"/>
  <c r="CK145" i="2"/>
  <c r="CK144" i="2"/>
  <c r="CL145" i="2"/>
  <c r="T445" i="113"/>
  <c r="DG415" i="82"/>
  <c r="DG298" i="82"/>
  <c r="DG278" i="82"/>
  <c r="DL278" i="82"/>
  <c r="CM583" i="1"/>
  <c r="CM605" i="1" s="1"/>
  <c r="CI605" i="1"/>
  <c r="BM80" i="7"/>
  <c r="CK63" i="2"/>
  <c r="CK356" i="2"/>
  <c r="CK86" i="2"/>
  <c r="CK339" i="2"/>
  <c r="CK13" i="2"/>
  <c r="CK120" i="2"/>
  <c r="CK379" i="2"/>
  <c r="CL86" i="2"/>
  <c r="CK114" i="2"/>
  <c r="CK378" i="2"/>
  <c r="CK377" i="2"/>
  <c r="CK381" i="2"/>
  <c r="CK126" i="2"/>
  <c r="CK117" i="2"/>
  <c r="CK380" i="2"/>
  <c r="CL356" i="2"/>
  <c r="CK123" i="2"/>
  <c r="BL80" i="7"/>
  <c r="CJ339" i="2"/>
  <c r="CJ356" i="2"/>
  <c r="CJ86" i="2"/>
  <c r="CJ63" i="2"/>
  <c r="CJ13" i="2"/>
  <c r="CJ126" i="2"/>
  <c r="CJ120" i="2"/>
  <c r="CJ379" i="2"/>
  <c r="CJ123" i="2"/>
  <c r="CJ381" i="2"/>
  <c r="CJ380" i="2"/>
  <c r="CJ117" i="2"/>
  <c r="CJ378" i="2"/>
  <c r="CJ377" i="2"/>
  <c r="DB212" i="2"/>
  <c r="AM373" i="2"/>
  <c r="CV128" i="1"/>
  <c r="CV129" i="1"/>
  <c r="CV133" i="1"/>
  <c r="CV134" i="1"/>
  <c r="AX63" i="7"/>
  <c r="BB36" i="2"/>
  <c r="BB34" i="2"/>
  <c r="CZ257" i="82"/>
  <c r="CZ211" i="82"/>
  <c r="CZ244" i="82"/>
  <c r="CZ256" i="82"/>
  <c r="CZ225" i="82"/>
  <c r="CZ195" i="82"/>
  <c r="CZ194" i="82" s="1"/>
  <c r="CZ242" i="82"/>
  <c r="CZ250" i="82"/>
  <c r="BC167" i="2"/>
  <c r="BC168" i="2"/>
  <c r="CM253" i="82"/>
  <c r="CM247" i="82"/>
  <c r="CM240" i="82"/>
  <c r="CM213" i="82"/>
  <c r="CM196" i="82"/>
  <c r="CM194" i="82"/>
  <c r="CR213" i="82"/>
  <c r="DI257" i="82"/>
  <c r="DI211" i="82"/>
  <c r="DI256" i="82"/>
  <c r="DI225" i="82"/>
  <c r="DI242" i="82"/>
  <c r="DI195" i="82"/>
  <c r="AK153" i="2"/>
  <c r="AK152" i="2"/>
  <c r="DC213" i="2"/>
  <c r="CJ114" i="2"/>
  <c r="BW364" i="2"/>
  <c r="CO131" i="2"/>
  <c r="CO132" i="2"/>
  <c r="DF389" i="1"/>
  <c r="DF74" i="1"/>
  <c r="DF70" i="1"/>
  <c r="DF7" i="2"/>
  <c r="BB544" i="1"/>
  <c r="BB436" i="1"/>
  <c r="BB437" i="1" s="1"/>
  <c r="BD609" i="1"/>
  <c r="BD495" i="1" s="1"/>
  <c r="BM171" i="2"/>
  <c r="CZ129" i="1"/>
  <c r="CZ130" i="1"/>
  <c r="CZ128" i="1"/>
  <c r="CZ136" i="1"/>
  <c r="CZ133" i="1"/>
  <c r="CZ134" i="1"/>
  <c r="V12" i="11"/>
  <c r="BA152" i="2"/>
  <c r="BA153" i="2"/>
  <c r="BF152" i="2"/>
  <c r="CS72" i="7"/>
  <c r="S10" i="11"/>
  <c r="CS204" i="7"/>
  <c r="CS218" i="7" s="1"/>
  <c r="AV36" i="2"/>
  <c r="AV34" i="2"/>
  <c r="AN153" i="2"/>
  <c r="AN152" i="2"/>
  <c r="AQ107" i="1"/>
  <c r="AV106" i="1"/>
  <c r="AQ389" i="1"/>
  <c r="CS438" i="1"/>
  <c r="CS553" i="1"/>
  <c r="CS554" i="1" s="1"/>
  <c r="AK159" i="2"/>
  <c r="CV559" i="1"/>
  <c r="DL621" i="1"/>
  <c r="BI341" i="2"/>
  <c r="CY129" i="1"/>
  <c r="CY130" i="1"/>
  <c r="CY128" i="1"/>
  <c r="CY136" i="1"/>
  <c r="CY134" i="1"/>
  <c r="CY133" i="1"/>
  <c r="BI80" i="7"/>
  <c r="CG356" i="2"/>
  <c r="CG86" i="2"/>
  <c r="CG339" i="2"/>
  <c r="CG63" i="2"/>
  <c r="CG13" i="2"/>
  <c r="CI356" i="2"/>
  <c r="CG379" i="2"/>
  <c r="CG380" i="2"/>
  <c r="CI86" i="2"/>
  <c r="CG377" i="2"/>
  <c r="CL339" i="2"/>
  <c r="CG123" i="2"/>
  <c r="CG381" i="2"/>
  <c r="CG378" i="2"/>
  <c r="CG126" i="2"/>
  <c r="CG117" i="2"/>
  <c r="CL63" i="2"/>
  <c r="CG120" i="2"/>
  <c r="CG114" i="2"/>
  <c r="AN129" i="1"/>
  <c r="AN134" i="1"/>
  <c r="AN136" i="1"/>
  <c r="AN133" i="1"/>
  <c r="AI153" i="2"/>
  <c r="DM70" i="1"/>
  <c r="DD130" i="1"/>
  <c r="DD128" i="1"/>
  <c r="DD129" i="1"/>
  <c r="DD136" i="1"/>
  <c r="DD134" i="1"/>
  <c r="DD133" i="1"/>
  <c r="AX456" i="1"/>
  <c r="AD83" i="3"/>
  <c r="AD85" i="3" s="1"/>
  <c r="BE57" i="2"/>
  <c r="AJ54" i="2"/>
  <c r="AF57" i="2"/>
  <c r="BF590" i="1"/>
  <c r="BF574" i="1"/>
  <c r="AI326" i="1"/>
  <c r="BN433" i="1"/>
  <c r="CH559" i="1"/>
  <c r="BW497" i="1"/>
  <c r="S302" i="113"/>
  <c r="DB415" i="82"/>
  <c r="DB298" i="82"/>
  <c r="C42" i="113"/>
  <c r="CU75" i="1"/>
  <c r="AX151" i="2"/>
  <c r="AX153" i="2" s="1"/>
  <c r="AX348" i="2"/>
  <c r="AX169" i="2"/>
  <c r="AX171" i="2" s="1"/>
  <c r="AX54" i="2"/>
  <c r="AX71" i="2"/>
  <c r="AX32" i="2"/>
  <c r="CJ373" i="1"/>
  <c r="CJ375" i="1" s="1"/>
  <c r="CJ376" i="1" s="1"/>
  <c r="CJ370" i="1" s="1"/>
  <c r="CJ561" i="1"/>
  <c r="CJ565" i="1"/>
  <c r="AC136" i="1"/>
  <c r="CU133" i="2"/>
  <c r="AQ36" i="2"/>
  <c r="AQ34" i="2"/>
  <c r="BF624" i="1"/>
  <c r="BF123" i="1"/>
  <c r="BF122" i="1"/>
  <c r="BF127" i="1"/>
  <c r="AR76" i="3" s="1"/>
  <c r="BK122" i="1"/>
  <c r="CE135" i="1"/>
  <c r="AS456" i="1"/>
  <c r="CO561" i="1"/>
  <c r="CO373" i="1"/>
  <c r="CO375" i="1" s="1"/>
  <c r="CO376" i="1" s="1"/>
  <c r="CO370" i="1" s="1"/>
  <c r="BK36" i="2"/>
  <c r="BK34" i="2"/>
  <c r="DH129" i="1"/>
  <c r="DH128" i="1"/>
  <c r="DH136" i="1"/>
  <c r="DH134" i="1"/>
  <c r="DH133" i="1"/>
  <c r="AU167" i="2"/>
  <c r="AU168" i="2"/>
  <c r="AR326" i="1"/>
  <c r="DC625" i="1"/>
  <c r="AY341" i="2"/>
  <c r="AY166" i="2"/>
  <c r="AY150" i="2"/>
  <c r="AY65" i="2"/>
  <c r="AY29" i="2"/>
  <c r="AY27" i="2"/>
  <c r="AV368" i="2"/>
  <c r="BG561" i="1"/>
  <c r="BG378" i="1"/>
  <c r="BG380" i="1" s="1"/>
  <c r="BG381" i="1" s="1"/>
  <c r="BG371" i="1" s="1"/>
  <c r="BG373" i="1"/>
  <c r="BG375" i="1" s="1"/>
  <c r="BG376" i="1" s="1"/>
  <c r="BG370" i="1" s="1"/>
  <c r="BG87" i="1"/>
  <c r="BG565" i="1" s="1"/>
  <c r="AX590" i="1"/>
  <c r="AX574" i="1"/>
  <c r="AU616" i="1"/>
  <c r="AU121" i="1"/>
  <c r="AU116" i="1"/>
  <c r="AZ116" i="1"/>
  <c r="BT561" i="1"/>
  <c r="BT378" i="1"/>
  <c r="BT380" i="1" s="1"/>
  <c r="BT381" i="1" s="1"/>
  <c r="BT371" i="1" s="1"/>
  <c r="BT373" i="1"/>
  <c r="BT87" i="1"/>
  <c r="BT565" i="1" s="1"/>
  <c r="CP128" i="1"/>
  <c r="CP129" i="1"/>
  <c r="CP133" i="1"/>
  <c r="CP134" i="1"/>
  <c r="R469" i="113"/>
  <c r="CW195" i="82"/>
  <c r="CW211" i="82"/>
  <c r="CW256" i="82"/>
  <c r="CW250" i="82"/>
  <c r="CW251" i="82" s="1"/>
  <c r="CW257" i="82"/>
  <c r="CW242" i="82"/>
  <c r="CW244" i="82"/>
  <c r="CT559" i="1"/>
  <c r="BG80" i="7"/>
  <c r="CE377" i="2"/>
  <c r="CE378" i="2"/>
  <c r="CE380" i="2"/>
  <c r="CE356" i="2"/>
  <c r="CE86" i="2"/>
  <c r="CE339" i="2"/>
  <c r="CE379" i="2"/>
  <c r="CE381" i="2"/>
  <c r="CE63" i="2"/>
  <c r="CE13" i="2"/>
  <c r="CF86" i="2"/>
  <c r="CF356" i="2"/>
  <c r="CJ579" i="1"/>
  <c r="CJ582" i="1" s="1"/>
  <c r="CJ606" i="1" s="1"/>
  <c r="CJ607" i="1" s="1"/>
  <c r="CO234" i="7"/>
  <c r="CO235" i="7" s="1"/>
  <c r="BW378" i="1"/>
  <c r="BW380" i="1" s="1"/>
  <c r="BW381" i="1" s="1"/>
  <c r="BW371" i="1" s="1"/>
  <c r="BW373" i="1"/>
  <c r="BW375" i="1" s="1"/>
  <c r="BW376" i="1" s="1"/>
  <c r="BW370" i="1" s="1"/>
  <c r="BW561" i="1"/>
  <c r="BW87" i="1"/>
  <c r="BW565" i="1" s="1"/>
  <c r="DL625" i="1"/>
  <c r="T474" i="1"/>
  <c r="T41" i="1"/>
  <c r="T491" i="1"/>
  <c r="T42" i="1"/>
  <c r="V41" i="1"/>
  <c r="Y37" i="1"/>
  <c r="DE242" i="82"/>
  <c r="DE195" i="82"/>
  <c r="DE194" i="82" s="1"/>
  <c r="DE257" i="82"/>
  <c r="DE211" i="82"/>
  <c r="DE225" i="82"/>
  <c r="DE256" i="82"/>
  <c r="DE250" i="82"/>
  <c r="AZ57" i="2"/>
  <c r="BB177" i="2"/>
  <c r="CT204" i="2"/>
  <c r="CT212" i="2"/>
  <c r="CT205" i="2"/>
  <c r="CY204" i="2"/>
  <c r="CW203" i="2"/>
  <c r="CS559" i="1"/>
  <c r="CV245" i="82"/>
  <c r="CV246" i="82"/>
  <c r="CK132" i="2"/>
  <c r="CK131" i="2"/>
  <c r="CL132" i="2"/>
  <c r="DB625" i="1"/>
  <c r="CJ145" i="2"/>
  <c r="CJ144" i="2"/>
  <c r="AS492" i="1"/>
  <c r="AS496" i="1"/>
  <c r="AX492" i="1"/>
  <c r="CG129" i="1"/>
  <c r="CG128" i="1"/>
  <c r="CG133" i="1"/>
  <c r="CG130" i="1"/>
  <c r="CG136" i="1"/>
  <c r="CG134" i="1"/>
  <c r="CP313" i="82"/>
  <c r="CP337" i="2"/>
  <c r="CP354" i="2"/>
  <c r="CP84" i="2"/>
  <c r="CP61" i="2"/>
  <c r="CP9" i="2"/>
  <c r="CP143" i="2"/>
  <c r="CP387" i="2"/>
  <c r="CP146" i="2"/>
  <c r="CP388" i="2"/>
  <c r="CP385" i="2"/>
  <c r="CP386" i="2"/>
  <c r="CP140" i="2"/>
  <c r="CP130" i="2"/>
  <c r="CP137" i="2"/>
  <c r="CP383" i="2"/>
  <c r="CP384" i="2"/>
  <c r="AX543" i="1"/>
  <c r="AX544" i="1" s="1"/>
  <c r="AX436" i="1"/>
  <c r="AX437" i="1" s="1"/>
  <c r="CV136" i="1"/>
  <c r="CT109" i="2"/>
  <c r="BE80" i="7"/>
  <c r="BW377" i="2"/>
  <c r="BW379" i="2"/>
  <c r="BW380" i="2"/>
  <c r="BW356" i="2"/>
  <c r="BW381" i="2"/>
  <c r="BW339" i="2"/>
  <c r="BW378" i="2"/>
  <c r="BW86" i="2"/>
  <c r="BW63" i="2"/>
  <c r="BW29" i="2"/>
  <c r="BW13" i="2"/>
  <c r="CO147" i="2"/>
  <c r="CO148" i="2"/>
  <c r="BV543" i="1"/>
  <c r="BV544" i="1" s="1"/>
  <c r="BV436" i="1"/>
  <c r="BV437" i="1" s="1"/>
  <c r="AN177" i="2"/>
  <c r="AN176" i="2"/>
  <c r="BG176" i="2"/>
  <c r="AR170" i="2"/>
  <c r="AR171" i="2"/>
  <c r="CW435" i="1"/>
  <c r="CH26" i="2"/>
  <c r="CM66" i="2"/>
  <c r="BA171" i="2"/>
  <c r="BA170" i="2"/>
  <c r="BF170" i="2"/>
  <c r="CP234" i="7"/>
  <c r="CP235" i="7" s="1"/>
  <c r="BH543" i="1"/>
  <c r="BH544" i="1" s="1"/>
  <c r="BH436" i="1"/>
  <c r="BH437" i="1" s="1"/>
  <c r="AL63" i="7"/>
  <c r="AL115" i="1"/>
  <c r="AQ116" i="1" s="1"/>
  <c r="AL91" i="1"/>
  <c r="AL93" i="1"/>
  <c r="AL105" i="1"/>
  <c r="AQ106" i="1" s="1"/>
  <c r="CS260" i="7"/>
  <c r="CN262" i="7"/>
  <c r="CN263" i="7" s="1"/>
  <c r="CN264" i="7" s="1"/>
  <c r="AF73" i="3"/>
  <c r="CS543" i="1"/>
  <c r="CS181" i="1" s="1"/>
  <c r="CS436" i="1"/>
  <c r="CS109" i="2"/>
  <c r="CT253" i="82"/>
  <c r="CT247" i="82"/>
  <c r="CT240" i="82"/>
  <c r="CT213" i="82"/>
  <c r="CT196" i="82"/>
  <c r="CT227" i="82"/>
  <c r="DL266" i="82"/>
  <c r="BG170" i="2"/>
  <c r="BG171" i="2"/>
  <c r="BI65" i="2"/>
  <c r="CO134" i="2"/>
  <c r="BL606" i="1"/>
  <c r="BL607" i="1" s="1"/>
  <c r="CW101" i="2"/>
  <c r="DD625" i="1"/>
  <c r="CH435" i="1"/>
  <c r="CF589" i="1"/>
  <c r="CF570" i="1"/>
  <c r="BE170" i="2"/>
  <c r="BF171" i="2"/>
  <c r="AP123" i="1"/>
  <c r="AP127" i="1"/>
  <c r="AB76" i="3" s="1"/>
  <c r="BT497" i="1"/>
  <c r="CL590" i="1"/>
  <c r="CL574" i="1"/>
  <c r="CW301" i="1"/>
  <c r="CW302" i="1" s="1"/>
  <c r="CW120" i="39" s="1"/>
  <c r="BL436" i="1"/>
  <c r="BL437" i="1" s="1"/>
  <c r="BL543" i="1"/>
  <c r="BL544" i="1" s="1"/>
  <c r="T365" i="2"/>
  <c r="U365" i="2" s="1"/>
  <c r="T85" i="2"/>
  <c r="T355" i="2"/>
  <c r="T383" i="2"/>
  <c r="T10" i="2"/>
  <c r="T9" i="2"/>
  <c r="V355" i="2"/>
  <c r="V85" i="2"/>
  <c r="Y338" i="2"/>
  <c r="Y62" i="2"/>
  <c r="O8" i="113"/>
  <c r="CH313" i="82"/>
  <c r="CH337" i="2"/>
  <c r="CH61" i="2"/>
  <c r="CH387" i="2"/>
  <c r="CH385" i="2"/>
  <c r="CF364" i="2"/>
  <c r="CH388" i="2"/>
  <c r="CH386" i="2"/>
  <c r="AQ177" i="2"/>
  <c r="AQ176" i="2"/>
  <c r="AS458" i="1"/>
  <c r="AN50" i="7"/>
  <c r="CU581" i="1"/>
  <c r="CU583" i="1" s="1"/>
  <c r="CU605" i="1" s="1"/>
  <c r="CU580" i="1"/>
  <c r="BX624" i="1"/>
  <c r="BX127" i="1"/>
  <c r="BX122" i="1"/>
  <c r="BT326" i="1"/>
  <c r="DJ624" i="1"/>
  <c r="DJ122" i="1"/>
  <c r="DJ625" i="1" s="1"/>
  <c r="DJ123" i="1"/>
  <c r="V120" i="1"/>
  <c r="T120" i="1"/>
  <c r="Y119" i="1"/>
  <c r="AX157" i="2"/>
  <c r="AX159" i="2" s="1"/>
  <c r="AX175" i="2"/>
  <c r="AX177" i="2" s="1"/>
  <c r="AX73" i="2"/>
  <c r="AX349" i="2"/>
  <c r="CJ571" i="1"/>
  <c r="CJ572" i="1"/>
  <c r="CU212" i="2"/>
  <c r="CU205" i="2"/>
  <c r="CU204" i="2"/>
  <c r="CV205" i="2"/>
  <c r="CZ204" i="2"/>
  <c r="BK621" i="1"/>
  <c r="AP57" i="2"/>
  <c r="CQ559" i="1"/>
  <c r="CO572" i="1"/>
  <c r="CO571" i="1"/>
  <c r="CH134" i="1"/>
  <c r="AD347" i="2"/>
  <c r="BB373" i="1"/>
  <c r="BB375" i="1" s="1"/>
  <c r="BB561" i="1"/>
  <c r="BB378" i="1"/>
  <c r="BB380" i="1" s="1"/>
  <c r="BB381" i="1" s="1"/>
  <c r="BB371" i="1" s="1"/>
  <c r="BB87" i="1"/>
  <c r="BB565" i="1" s="1"/>
  <c r="BN456" i="1"/>
  <c r="BA401" i="1"/>
  <c r="BA325" i="1"/>
  <c r="BA396" i="1"/>
  <c r="CL128" i="1"/>
  <c r="AE127" i="1"/>
  <c r="Z341" i="1" s="1"/>
  <c r="BU543" i="1"/>
  <c r="BU544" i="1" s="1"/>
  <c r="BU436" i="1"/>
  <c r="BU437" i="1" s="1"/>
  <c r="CY545" i="1"/>
  <c r="U483" i="113"/>
  <c r="U304" i="113"/>
  <c r="BG572" i="1"/>
  <c r="BG571" i="1"/>
  <c r="BJ135" i="1"/>
  <c r="G14" i="113"/>
  <c r="G13" i="113" s="1"/>
  <c r="AJ169" i="2"/>
  <c r="AJ151" i="2"/>
  <c r="AG373" i="2"/>
  <c r="AH373" i="2"/>
  <c r="BT572" i="1"/>
  <c r="BT571" i="1"/>
  <c r="BX559" i="1"/>
  <c r="BX81" i="1"/>
  <c r="AB87" i="3"/>
  <c r="CQ135" i="1"/>
  <c r="BW571" i="1"/>
  <c r="BW572" i="1"/>
  <c r="AY586" i="1"/>
  <c r="AY476" i="1"/>
  <c r="CD135" i="1"/>
  <c r="BL36" i="2"/>
  <c r="BL34" i="2"/>
  <c r="AU373" i="1"/>
  <c r="AU378" i="1"/>
  <c r="AU380" i="1" s="1"/>
  <c r="AU381" i="1" s="1"/>
  <c r="AU371" i="1" s="1"/>
  <c r="AU561" i="1"/>
  <c r="AU87" i="1"/>
  <c r="AU565" i="1" s="1"/>
  <c r="DC256" i="82"/>
  <c r="DC225" i="82"/>
  <c r="DC242" i="82"/>
  <c r="DC195" i="82"/>
  <c r="DC194" i="82" s="1"/>
  <c r="DC244" i="82"/>
  <c r="DC211" i="82"/>
  <c r="DC257" i="82"/>
  <c r="DC250" i="82"/>
  <c r="BB159" i="2"/>
  <c r="CJ170" i="7"/>
  <c r="CN170" i="7" s="1"/>
  <c r="CN171" i="7" s="1"/>
  <c r="CS396" i="1"/>
  <c r="CS325" i="1"/>
  <c r="CS401" i="1"/>
  <c r="CW325" i="1"/>
  <c r="BL590" i="1"/>
  <c r="BL574" i="1"/>
  <c r="CV251" i="82"/>
  <c r="CV252" i="82"/>
  <c r="DB133" i="1"/>
  <c r="AM171" i="2"/>
  <c r="AM170" i="2"/>
  <c r="CN561" i="1"/>
  <c r="CN373" i="1"/>
  <c r="CO579" i="1"/>
  <c r="CO582" i="1" s="1"/>
  <c r="CO606" i="1" s="1"/>
  <c r="CO607" i="1" s="1"/>
  <c r="DB456" i="1"/>
  <c r="BE176" i="2"/>
  <c r="CP581" i="1"/>
  <c r="CP583" i="1" s="1"/>
  <c r="CP605" i="1" s="1"/>
  <c r="CP580" i="1"/>
  <c r="AK171" i="2"/>
  <c r="AK170" i="2"/>
  <c r="BH348" i="2"/>
  <c r="BL135" i="1"/>
  <c r="BI542" i="1"/>
  <c r="BI543" i="1" s="1"/>
  <c r="AE325" i="1"/>
  <c r="AE70" i="1"/>
  <c r="AE491" i="1"/>
  <c r="AE80" i="1"/>
  <c r="AJ70" i="1"/>
  <c r="S292" i="113"/>
  <c r="S472" i="113" s="1"/>
  <c r="S314" i="113"/>
  <c r="BN136" i="1"/>
  <c r="BN133" i="1"/>
  <c r="AN159" i="2"/>
  <c r="AN158" i="2"/>
  <c r="DD225" i="82"/>
  <c r="DD242" i="82"/>
  <c r="DD195" i="82"/>
  <c r="DD194" i="82" s="1"/>
  <c r="DD257" i="82"/>
  <c r="DD211" i="82"/>
  <c r="DD256" i="82"/>
  <c r="DD250" i="82"/>
  <c r="AP106" i="1"/>
  <c r="AL171" i="2"/>
  <c r="AL170" i="2"/>
  <c r="U74" i="3"/>
  <c r="U81" i="3"/>
  <c r="V81" i="3" s="1"/>
  <c r="CE571" i="1"/>
  <c r="CE572" i="1"/>
  <c r="CR234" i="7"/>
  <c r="CR235" i="7" s="1"/>
  <c r="BK543" i="1"/>
  <c r="BK544" i="1" s="1"/>
  <c r="BK436" i="1"/>
  <c r="BK437" i="1" s="1"/>
  <c r="AV170" i="2"/>
  <c r="AM135" i="1"/>
  <c r="AN373" i="2"/>
  <c r="O23" i="11"/>
  <c r="O24" i="11" s="1"/>
  <c r="AR158" i="2"/>
  <c r="AR159" i="2"/>
  <c r="CV313" i="82"/>
  <c r="CV61" i="2"/>
  <c r="CV337" i="2"/>
  <c r="CV354" i="2"/>
  <c r="CV9" i="2"/>
  <c r="CV84" i="2"/>
  <c r="CV130" i="2"/>
  <c r="CV387" i="2"/>
  <c r="CV143" i="2"/>
  <c r="CV388" i="2"/>
  <c r="CV137" i="2"/>
  <c r="CV384" i="2"/>
  <c r="CV386" i="2"/>
  <c r="CV146" i="2"/>
  <c r="CV383" i="2"/>
  <c r="CV385" i="2"/>
  <c r="CV140" i="2"/>
  <c r="CV133" i="2"/>
  <c r="BN604" i="1"/>
  <c r="CG139" i="2"/>
  <c r="CG138" i="2"/>
  <c r="CL138" i="2"/>
  <c r="CG148" i="2"/>
  <c r="CG147" i="2"/>
  <c r="CL147" i="2"/>
  <c r="CF543" i="1"/>
  <c r="CF544" i="1" s="1"/>
  <c r="CF436" i="1"/>
  <c r="CF437" i="1" s="1"/>
  <c r="AI36" i="2"/>
  <c r="AI34" i="2"/>
  <c r="DG204" i="2"/>
  <c r="R303" i="113"/>
  <c r="R483" i="113" s="1"/>
  <c r="CW412" i="82"/>
  <c r="CW279" i="82"/>
  <c r="N9" i="113"/>
  <c r="N29" i="113" s="1"/>
  <c r="BX383" i="2"/>
  <c r="BX338" i="2"/>
  <c r="BX62" i="2"/>
  <c r="BU365" i="2"/>
  <c r="BV365" i="2"/>
  <c r="BT365" i="2"/>
  <c r="BW365" i="2"/>
  <c r="CF590" i="1"/>
  <c r="CF574" i="1"/>
  <c r="CO436" i="1"/>
  <c r="CL589" i="1"/>
  <c r="CL570" i="1"/>
  <c r="AY432" i="1"/>
  <c r="T107" i="1"/>
  <c r="AE485" i="1"/>
  <c r="CJ135" i="1"/>
  <c r="CY214" i="2"/>
  <c r="CN579" i="1"/>
  <c r="CX536" i="1"/>
  <c r="AO50" i="7"/>
  <c r="BT625" i="1"/>
  <c r="BN559" i="1"/>
  <c r="BN81" i="1"/>
  <c r="CV543" i="1"/>
  <c r="CV436" i="1"/>
  <c r="CV437" i="1" s="1"/>
  <c r="AX368" i="2"/>
  <c r="CL142" i="2"/>
  <c r="CE130" i="1"/>
  <c r="AP170" i="2"/>
  <c r="AP171" i="2"/>
  <c r="CQ401" i="1"/>
  <c r="CQ325" i="1"/>
  <c r="CQ396" i="1"/>
  <c r="CF135" i="1"/>
  <c r="CH621" i="1"/>
  <c r="S375" i="1"/>
  <c r="X376" i="1" s="1"/>
  <c r="S380" i="1"/>
  <c r="S381" i="1" s="1"/>
  <c r="BB571" i="1"/>
  <c r="BB572" i="1"/>
  <c r="CR621" i="1"/>
  <c r="BU625" i="1"/>
  <c r="CI570" i="1"/>
  <c r="CI589" i="1"/>
  <c r="CY389" i="1"/>
  <c r="CY70" i="1"/>
  <c r="CY74" i="1"/>
  <c r="CY7" i="2"/>
  <c r="CY560" i="1"/>
  <c r="CY564" i="1"/>
  <c r="CY562" i="1"/>
  <c r="CY485" i="1"/>
  <c r="BI603" i="1"/>
  <c r="DC130" i="1"/>
  <c r="DC128" i="1"/>
  <c r="DC129" i="1"/>
  <c r="DC134" i="1"/>
  <c r="DC136" i="1"/>
  <c r="DC133" i="1"/>
  <c r="CR625" i="1"/>
  <c r="AZ604" i="1"/>
  <c r="CT128" i="1"/>
  <c r="CW180" i="39" l="1"/>
  <c r="CW178" i="39"/>
  <c r="AZ177" i="1"/>
  <c r="BB136" i="1"/>
  <c r="BB133" i="1"/>
  <c r="BB129" i="1"/>
  <c r="AN76" i="3"/>
  <c r="BB134" i="1"/>
  <c r="DB170" i="1"/>
  <c r="DB203" i="1" s="1"/>
  <c r="DE329" i="2"/>
  <c r="DE327" i="2"/>
  <c r="DE328" i="2"/>
  <c r="DE325" i="2"/>
  <c r="DF329" i="2"/>
  <c r="DF327" i="2"/>
  <c r="DF328" i="2"/>
  <c r="DF325" i="2"/>
  <c r="CZ329" i="2"/>
  <c r="CZ328" i="2"/>
  <c r="CZ327" i="2"/>
  <c r="CZ325" i="2"/>
  <c r="DA325" i="2"/>
  <c r="DA327" i="2"/>
  <c r="DA328" i="2"/>
  <c r="DA329" i="2"/>
  <c r="DC327" i="2"/>
  <c r="DC329" i="2"/>
  <c r="DC325" i="2"/>
  <c r="DC328" i="2"/>
  <c r="CW327" i="2"/>
  <c r="CW328" i="2"/>
  <c r="CW325" i="2"/>
  <c r="CW329" i="2"/>
  <c r="CR328" i="2"/>
  <c r="CR325" i="2"/>
  <c r="CR327" i="2"/>
  <c r="CR329" i="2"/>
  <c r="CY325" i="2"/>
  <c r="CY328" i="2"/>
  <c r="CY327" i="2"/>
  <c r="CY329" i="2"/>
  <c r="DD328" i="2"/>
  <c r="DD325" i="2"/>
  <c r="DD327" i="2"/>
  <c r="DD329" i="2"/>
  <c r="CX325" i="2"/>
  <c r="CX328" i="2"/>
  <c r="CX329" i="2"/>
  <c r="CX327" i="2"/>
  <c r="DB178" i="39"/>
  <c r="BB77" i="2"/>
  <c r="AW373" i="2"/>
  <c r="AW374" i="2"/>
  <c r="AW362" i="2"/>
  <c r="AW350" i="2"/>
  <c r="AW62" i="7"/>
  <c r="AX231" i="1"/>
  <c r="AX232" i="1" s="1"/>
  <c r="AW235" i="1"/>
  <c r="AW236" i="1" s="1"/>
  <c r="AW218" i="1"/>
  <c r="AW617" i="1"/>
  <c r="BB376" i="1"/>
  <c r="BB370" i="1" s="1"/>
  <c r="AW217" i="1"/>
  <c r="AW219" i="1" s="1"/>
  <c r="AW226" i="1"/>
  <c r="AX235" i="1"/>
  <c r="AX236" i="1" s="1"/>
  <c r="AW95" i="2"/>
  <c r="BB182" i="2"/>
  <c r="BB76" i="2"/>
  <c r="BB350" i="2"/>
  <c r="BB164" i="2"/>
  <c r="AW160" i="2"/>
  <c r="AW178" i="2"/>
  <c r="AW77" i="2"/>
  <c r="AI9" i="3"/>
  <c r="AW50" i="2"/>
  <c r="AW37" i="2"/>
  <c r="AN196" i="7"/>
  <c r="AW76" i="2"/>
  <c r="AW164" i="2"/>
  <c r="AW182" i="2"/>
  <c r="AR105" i="1"/>
  <c r="AW106" i="1" s="1"/>
  <c r="AW100" i="1"/>
  <c r="AY435" i="1"/>
  <c r="AY539" i="1"/>
  <c r="AY540" i="1" s="1"/>
  <c r="AY543" i="1"/>
  <c r="DB180" i="39"/>
  <c r="CY177" i="39"/>
  <c r="CY180" i="39"/>
  <c r="CW119" i="39"/>
  <c r="CW121" i="39"/>
  <c r="DA178" i="39"/>
  <c r="CZ177" i="39"/>
  <c r="BK161" i="2"/>
  <c r="AQ334" i="1"/>
  <c r="BM161" i="2"/>
  <c r="AH161" i="2"/>
  <c r="BA161" i="2"/>
  <c r="G22" i="113"/>
  <c r="G25" i="113" s="1"/>
  <c r="AI334" i="1"/>
  <c r="AV334" i="1"/>
  <c r="AG179" i="2"/>
  <c r="BU175" i="2"/>
  <c r="BU176" i="2" s="1"/>
  <c r="BI396" i="1"/>
  <c r="BX178" i="1"/>
  <c r="BX183" i="1" s="1"/>
  <c r="DL24" i="7"/>
  <c r="DM24" i="7" s="1"/>
  <c r="BE87" i="1"/>
  <c r="BE565" i="1" s="1"/>
  <c r="BE561" i="1"/>
  <c r="BE373" i="1"/>
  <c r="BH176" i="1"/>
  <c r="BC177" i="1"/>
  <c r="CW200" i="1"/>
  <c r="AV589" i="1"/>
  <c r="AY580" i="1"/>
  <c r="DK13" i="7"/>
  <c r="DK14" i="7"/>
  <c r="CR219" i="1"/>
  <c r="DQ19" i="7"/>
  <c r="DR19" i="7" s="1"/>
  <c r="DQ58" i="7"/>
  <c r="DR58" i="7" s="1"/>
  <c r="DQ47" i="7"/>
  <c r="DR47" i="7" s="1"/>
  <c r="DQ45" i="7"/>
  <c r="DR45" i="7" s="1"/>
  <c r="DQ46" i="7"/>
  <c r="DR46" i="7" s="1"/>
  <c r="DQ21" i="7"/>
  <c r="DR21" i="7" s="1"/>
  <c r="BI81" i="1"/>
  <c r="BI87" i="1" s="1"/>
  <c r="BI565" i="1" s="1"/>
  <c r="CR225" i="1"/>
  <c r="CR226" i="1" s="1"/>
  <c r="CR172" i="1" s="1"/>
  <c r="CQ412" i="1"/>
  <c r="CQ413" i="1" s="1"/>
  <c r="BX227" i="1"/>
  <c r="CF33" i="1"/>
  <c r="CL526" i="1"/>
  <c r="CL538" i="1" s="1"/>
  <c r="CL539" i="1" s="1"/>
  <c r="CL402" i="1"/>
  <c r="CL410" i="1"/>
  <c r="CL412" i="1" s="1"/>
  <c r="CL413" i="1" s="1"/>
  <c r="CL416" i="1"/>
  <c r="CL417" i="1" s="1"/>
  <c r="CL418" i="1" s="1"/>
  <c r="CL427" i="1"/>
  <c r="CL428" i="1" s="1"/>
  <c r="CL429" i="1" s="1"/>
  <c r="CN428" i="1"/>
  <c r="CL423" i="1"/>
  <c r="CL424" i="1" s="1"/>
  <c r="CL425" i="1" s="1"/>
  <c r="CN424" i="1"/>
  <c r="CN406" i="1"/>
  <c r="BJ222" i="1"/>
  <c r="BJ223" i="1" s="1"/>
  <c r="BH217" i="1"/>
  <c r="BH219" i="1" s="1"/>
  <c r="DK630" i="1"/>
  <c r="CH227" i="1"/>
  <c r="CT232" i="1"/>
  <c r="CI395" i="1"/>
  <c r="CS232" i="1"/>
  <c r="BA235" i="1"/>
  <c r="BA236" i="1" s="1"/>
  <c r="BI401" i="1"/>
  <c r="CQ235" i="1"/>
  <c r="CQ236" i="1" s="1"/>
  <c r="AY221" i="1"/>
  <c r="CK226" i="1"/>
  <c r="CK172" i="1" s="1"/>
  <c r="BB218" i="1"/>
  <c r="AT219" i="1"/>
  <c r="BM217" i="1"/>
  <c r="BM219" i="1" s="1"/>
  <c r="CI214" i="2"/>
  <c r="BH497" i="1"/>
  <c r="BF497" i="1"/>
  <c r="BE497" i="1"/>
  <c r="AU235" i="1"/>
  <c r="AU236" i="1" s="1"/>
  <c r="AZ235" i="1"/>
  <c r="AZ236" i="1" s="1"/>
  <c r="BX221" i="1"/>
  <c r="BX222" i="1" s="1"/>
  <c r="BX223" i="1" s="1"/>
  <c r="BN492" i="1"/>
  <c r="BM226" i="1"/>
  <c r="BM172" i="1" s="1"/>
  <c r="CJ172" i="1"/>
  <c r="CJ227" i="1"/>
  <c r="DA221" i="1"/>
  <c r="DA222" i="1" s="1"/>
  <c r="DA223" i="1" s="1"/>
  <c r="DA230" i="1"/>
  <c r="DA231" i="1" s="1"/>
  <c r="DA232" i="1" s="1"/>
  <c r="DA216" i="1"/>
  <c r="AP222" i="1"/>
  <c r="AP223" i="1" s="1"/>
  <c r="AT221" i="1"/>
  <c r="AT222" i="1" s="1"/>
  <c r="AT223" i="1" s="1"/>
  <c r="CX221" i="1"/>
  <c r="CX222" i="1" s="1"/>
  <c r="CX223" i="1" s="1"/>
  <c r="CX230" i="1"/>
  <c r="CX231" i="1" s="1"/>
  <c r="CX232" i="1" s="1"/>
  <c r="CX216" i="1"/>
  <c r="AT178" i="1"/>
  <c r="AY176" i="1"/>
  <c r="AT176" i="1"/>
  <c r="BN221" i="1"/>
  <c r="AZ222" i="1"/>
  <c r="AZ223" i="1" s="1"/>
  <c r="BD221" i="1"/>
  <c r="BD222" i="1" s="1"/>
  <c r="BD223" i="1" s="1"/>
  <c r="CN172" i="1"/>
  <c r="CN227" i="1"/>
  <c r="BN176" i="1"/>
  <c r="BN178" i="1"/>
  <c r="BN183" i="1" s="1"/>
  <c r="BE230" i="1"/>
  <c r="BE231" i="1" s="1"/>
  <c r="BE232" i="1" s="1"/>
  <c r="BE234" i="1"/>
  <c r="BE235" i="1" s="1"/>
  <c r="BE236" i="1" s="1"/>
  <c r="BE216" i="1"/>
  <c r="BJ226" i="1" s="1"/>
  <c r="BJ172" i="1" s="1"/>
  <c r="BE221" i="1"/>
  <c r="AO221" i="1"/>
  <c r="AO222" i="1" s="1"/>
  <c r="AO223" i="1" s="1"/>
  <c r="BF226" i="1"/>
  <c r="CM227" i="1"/>
  <c r="BD217" i="1"/>
  <c r="BD219" i="1" s="1"/>
  <c r="BD225" i="1"/>
  <c r="BD226" i="1" s="1"/>
  <c r="BD172" i="1" s="1"/>
  <c r="CO172" i="1"/>
  <c r="CO227" i="1"/>
  <c r="AQ218" i="1"/>
  <c r="AP217" i="1"/>
  <c r="AP219" i="1" s="1"/>
  <c r="AP218" i="1"/>
  <c r="BL217" i="1"/>
  <c r="BL219" i="1" s="1"/>
  <c r="BL218" i="1"/>
  <c r="BL225" i="1"/>
  <c r="BL226" i="1" s="1"/>
  <c r="BB172" i="1"/>
  <c r="BB227" i="1"/>
  <c r="BU225" i="1"/>
  <c r="BU226" i="1" s="1"/>
  <c r="BU218" i="1"/>
  <c r="BU217" i="1"/>
  <c r="BU219" i="1" s="1"/>
  <c r="CS225" i="1"/>
  <c r="CS226" i="1" s="1"/>
  <c r="CS218" i="1"/>
  <c r="CS234" i="1"/>
  <c r="CS235" i="1" s="1"/>
  <c r="CS236" i="1" s="1"/>
  <c r="CS217" i="1"/>
  <c r="CS219" i="1" s="1"/>
  <c r="BT172" i="1"/>
  <c r="BT227" i="1"/>
  <c r="CX178" i="1"/>
  <c r="DB175" i="1"/>
  <c r="CX176" i="1"/>
  <c r="CX177" i="1"/>
  <c r="CZ216" i="1"/>
  <c r="CZ230" i="1"/>
  <c r="CZ231" i="1" s="1"/>
  <c r="CZ232" i="1" s="1"/>
  <c r="CZ221" i="1"/>
  <c r="CZ222" i="1" s="1"/>
  <c r="CZ223" i="1" s="1"/>
  <c r="DD176" i="1"/>
  <c r="DD178" i="1"/>
  <c r="DD177" i="1"/>
  <c r="CU217" i="1"/>
  <c r="CU219" i="1" s="1"/>
  <c r="CU225" i="1"/>
  <c r="CU226" i="1" s="1"/>
  <c r="CU234" i="1"/>
  <c r="CU235" i="1" s="1"/>
  <c r="CU236" i="1" s="1"/>
  <c r="CU218" i="1"/>
  <c r="CS222" i="1"/>
  <c r="CS223" i="1" s="1"/>
  <c r="CW221" i="1"/>
  <c r="CW222" i="1" s="1"/>
  <c r="CW223" i="1" s="1"/>
  <c r="CT217" i="1"/>
  <c r="CT219" i="1" s="1"/>
  <c r="CT225" i="1"/>
  <c r="CT226" i="1" s="1"/>
  <c r="CT234" i="1"/>
  <c r="CT235" i="1" s="1"/>
  <c r="CT236" i="1" s="1"/>
  <c r="CT218" i="1"/>
  <c r="BV235" i="1"/>
  <c r="BV236" i="1" s="1"/>
  <c r="AV225" i="1"/>
  <c r="AV226" i="1" s="1"/>
  <c r="AV218" i="1"/>
  <c r="AV217" i="1"/>
  <c r="AV219" i="1" s="1"/>
  <c r="AU217" i="1"/>
  <c r="AU219" i="1" s="1"/>
  <c r="AZ218" i="1"/>
  <c r="AZ225" i="1"/>
  <c r="AZ226" i="1" s="1"/>
  <c r="AZ217" i="1"/>
  <c r="AZ219" i="1" s="1"/>
  <c r="DK183" i="1"/>
  <c r="DK208" i="1"/>
  <c r="DK191" i="1"/>
  <c r="DK197" i="1"/>
  <c r="DK203" i="1"/>
  <c r="DK175" i="1"/>
  <c r="DK178" i="1" s="1"/>
  <c r="BW172" i="1"/>
  <c r="BW227" i="1"/>
  <c r="CY216" i="1"/>
  <c r="CY230" i="1"/>
  <c r="CY231" i="1" s="1"/>
  <c r="CY232" i="1" s="1"/>
  <c r="CY221" i="1"/>
  <c r="CY222" i="1" s="1"/>
  <c r="CY223" i="1" s="1"/>
  <c r="CD172" i="1"/>
  <c r="CD227" i="1"/>
  <c r="BV217" i="1"/>
  <c r="BV219" i="1" s="1"/>
  <c r="BG172" i="1"/>
  <c r="BG227" i="1"/>
  <c r="CL217" i="1"/>
  <c r="CL219" i="1" s="1"/>
  <c r="CL218" i="1"/>
  <c r="CL225" i="1"/>
  <c r="CL226" i="1" s="1"/>
  <c r="DH208" i="1"/>
  <c r="DH191" i="1"/>
  <c r="DH197" i="1"/>
  <c r="DH203" i="1"/>
  <c r="DH183" i="1"/>
  <c r="DH171" i="1"/>
  <c r="DH209" i="1" s="1"/>
  <c r="DH175" i="1"/>
  <c r="DH177" i="1" s="1"/>
  <c r="AX176" i="1"/>
  <c r="AX178" i="1"/>
  <c r="AX183" i="1" s="1"/>
  <c r="AX225" i="1"/>
  <c r="AX226" i="1" s="1"/>
  <c r="AX217" i="1"/>
  <c r="AX219" i="1" s="1"/>
  <c r="BC226" i="1"/>
  <c r="AU226" i="1"/>
  <c r="CN235" i="1"/>
  <c r="CN236" i="1" s="1"/>
  <c r="CP218" i="1"/>
  <c r="CP225" i="1"/>
  <c r="CP226" i="1" s="1"/>
  <c r="CP217" i="1"/>
  <c r="CP219" i="1" s="1"/>
  <c r="BA218" i="1"/>
  <c r="BA225" i="1"/>
  <c r="BA226" i="1" s="1"/>
  <c r="BA217" i="1"/>
  <c r="BA219" i="1" s="1"/>
  <c r="DD221" i="1"/>
  <c r="DD222" i="1" s="1"/>
  <c r="DD223" i="1" s="1"/>
  <c r="DD230" i="1"/>
  <c r="DD231" i="1" s="1"/>
  <c r="DD232" i="1" s="1"/>
  <c r="DD216" i="1"/>
  <c r="BV226" i="1"/>
  <c r="DE177" i="1"/>
  <c r="DE176" i="1"/>
  <c r="DE178" i="1"/>
  <c r="BC176" i="1"/>
  <c r="DB191" i="1"/>
  <c r="CM221" i="1"/>
  <c r="CM222" i="1" s="1"/>
  <c r="CM223" i="1" s="1"/>
  <c r="CQ218" i="1"/>
  <c r="CQ225" i="1"/>
  <c r="CQ226" i="1" s="1"/>
  <c r="CQ217" i="1"/>
  <c r="CQ219" i="1" s="1"/>
  <c r="DA178" i="1"/>
  <c r="DA177" i="1"/>
  <c r="DA176" i="1"/>
  <c r="CR178" i="1"/>
  <c r="CR176" i="1"/>
  <c r="BC217" i="1"/>
  <c r="BC219" i="1" s="1"/>
  <c r="CZ178" i="1"/>
  <c r="CZ177" i="1"/>
  <c r="CZ176" i="1"/>
  <c r="CY178" i="1"/>
  <c r="CY177" i="1"/>
  <c r="CW217" i="1"/>
  <c r="CW219" i="1" s="1"/>
  <c r="CW225" i="1"/>
  <c r="CW226" i="1" s="1"/>
  <c r="CW172" i="1" s="1"/>
  <c r="BH218" i="1"/>
  <c r="BH225" i="1"/>
  <c r="BH226" i="1" s="1"/>
  <c r="BH73" i="1" s="1"/>
  <c r="CP236" i="1"/>
  <c r="CP232" i="1"/>
  <c r="BV218" i="1"/>
  <c r="BM235" i="1"/>
  <c r="BM236" i="1" s="1"/>
  <c r="DC178" i="1"/>
  <c r="DC177" i="1"/>
  <c r="DC176" i="1"/>
  <c r="AS218" i="1"/>
  <c r="AS217" i="1"/>
  <c r="AS219" i="1" s="1"/>
  <c r="CF217" i="1"/>
  <c r="CF219" i="1" s="1"/>
  <c r="CF218" i="1"/>
  <c r="CF225" i="1"/>
  <c r="CF226" i="1" s="1"/>
  <c r="AY226" i="1"/>
  <c r="CG235" i="1"/>
  <c r="CG236" i="1" s="1"/>
  <c r="BI176" i="1"/>
  <c r="BI178" i="1"/>
  <c r="BI183" i="1" s="1"/>
  <c r="CG218" i="1"/>
  <c r="BF232" i="1"/>
  <c r="BK172" i="1"/>
  <c r="BK227" i="1"/>
  <c r="DC221" i="1"/>
  <c r="DC222" i="1" s="1"/>
  <c r="DC223" i="1" s="1"/>
  <c r="DC230" i="1"/>
  <c r="DC231" i="1" s="1"/>
  <c r="DC232" i="1" s="1"/>
  <c r="DC216" i="1"/>
  <c r="CE226" i="1"/>
  <c r="AR218" i="1"/>
  <c r="AR217" i="1"/>
  <c r="AR219" i="1" s="1"/>
  <c r="CQ232" i="1"/>
  <c r="CV225" i="1"/>
  <c r="CV226" i="1" s="1"/>
  <c r="CV234" i="1"/>
  <c r="CV235" i="1" s="1"/>
  <c r="CV236" i="1" s="1"/>
  <c r="CV218" i="1"/>
  <c r="CV217" i="1"/>
  <c r="CV219" i="1" s="1"/>
  <c r="BI208" i="1"/>
  <c r="BI216" i="1" s="1"/>
  <c r="BN226" i="1" s="1"/>
  <c r="BN172" i="1" s="1"/>
  <c r="BN171" i="1"/>
  <c r="BN209" i="1" s="1"/>
  <c r="CW176" i="1"/>
  <c r="CW178" i="1"/>
  <c r="AY217" i="1"/>
  <c r="AY219" i="1" s="1"/>
  <c r="CK217" i="1"/>
  <c r="CK219" i="1" s="1"/>
  <c r="BX176" i="1"/>
  <c r="CG172" i="1"/>
  <c r="CG227" i="1"/>
  <c r="BJ235" i="1"/>
  <c r="BJ236" i="1" s="1"/>
  <c r="CR221" i="1"/>
  <c r="CR222" i="1" s="1"/>
  <c r="CR223" i="1" s="1"/>
  <c r="CP222" i="1"/>
  <c r="CP223" i="1" s="1"/>
  <c r="DM183" i="1"/>
  <c r="DM208" i="1"/>
  <c r="DM216" i="1" s="1"/>
  <c r="DM173" i="1"/>
  <c r="DM210" i="1" s="1"/>
  <c r="DM191" i="1"/>
  <c r="DM197" i="1"/>
  <c r="DM203" i="1"/>
  <c r="DM171" i="1"/>
  <c r="DM209" i="1" s="1"/>
  <c r="DM175" i="1"/>
  <c r="DR171" i="1"/>
  <c r="DR209" i="1" s="1"/>
  <c r="BF217" i="1"/>
  <c r="BF219" i="1" s="1"/>
  <c r="CH221" i="1"/>
  <c r="CH222" i="1" s="1"/>
  <c r="CH223" i="1" s="1"/>
  <c r="CI172" i="1"/>
  <c r="CI227" i="1"/>
  <c r="DE221" i="1"/>
  <c r="DE222" i="1" s="1"/>
  <c r="DE223" i="1" s="1"/>
  <c r="DE216" i="1"/>
  <c r="DE230" i="1"/>
  <c r="DE231" i="1" s="1"/>
  <c r="DE232" i="1" s="1"/>
  <c r="DG170" i="1"/>
  <c r="DG325" i="1" s="1"/>
  <c r="CV545" i="1"/>
  <c r="CV181" i="1"/>
  <c r="CP180" i="1"/>
  <c r="CP527" i="1" s="1"/>
  <c r="CK180" i="1"/>
  <c r="CK527" i="1" s="1"/>
  <c r="CK182" i="1"/>
  <c r="CT545" i="1"/>
  <c r="CT181" i="1"/>
  <c r="DF176" i="1"/>
  <c r="DF177" i="1"/>
  <c r="DF178" i="1"/>
  <c r="DG175" i="1"/>
  <c r="CL180" i="1"/>
  <c r="CL527" i="1" s="1"/>
  <c r="CL182" i="1"/>
  <c r="CN182" i="1"/>
  <c r="CQ180" i="1"/>
  <c r="CQ527" i="1" s="1"/>
  <c r="CL395" i="1"/>
  <c r="CL145" i="39" s="1"/>
  <c r="DF216" i="1"/>
  <c r="DF230" i="1"/>
  <c r="DF231" i="1" s="1"/>
  <c r="DF232" i="1" s="1"/>
  <c r="DF221" i="1"/>
  <c r="DF222" i="1" s="1"/>
  <c r="DF223" i="1" s="1"/>
  <c r="CI182" i="1"/>
  <c r="CM179" i="1"/>
  <c r="CI180" i="1"/>
  <c r="CI527" i="1" s="1"/>
  <c r="CN180" i="1"/>
  <c r="CN527" i="1" s="1"/>
  <c r="BI325" i="1"/>
  <c r="BN326" i="1" s="1"/>
  <c r="BN580" i="1"/>
  <c r="BH622" i="1"/>
  <c r="BH623" i="1" s="1"/>
  <c r="BF182" i="2"/>
  <c r="K50" i="2"/>
  <c r="K51" i="2" s="1"/>
  <c r="K77" i="2"/>
  <c r="Q25" i="11"/>
  <c r="BU578" i="1"/>
  <c r="BU33" i="1" s="1"/>
  <c r="DK325" i="2"/>
  <c r="DK310" i="2"/>
  <c r="DH325" i="2"/>
  <c r="DH310" i="2"/>
  <c r="DM325" i="2"/>
  <c r="DM310" i="2"/>
  <c r="P25" i="11"/>
  <c r="BA179" i="2"/>
  <c r="DK328" i="2"/>
  <c r="DK329" i="2"/>
  <c r="DK327" i="2"/>
  <c r="DH327" i="2"/>
  <c r="DH328" i="2"/>
  <c r="DH329" i="2"/>
  <c r="DM329" i="2"/>
  <c r="DM328" i="2"/>
  <c r="DM327" i="2"/>
  <c r="BF164" i="2"/>
  <c r="P161" i="2"/>
  <c r="M13" i="113"/>
  <c r="M32" i="113"/>
  <c r="C44" i="113"/>
  <c r="AH179" i="2"/>
  <c r="K178" i="2"/>
  <c r="AQ179" i="2"/>
  <c r="AC89" i="3"/>
  <c r="AR362" i="2"/>
  <c r="AQ161" i="2"/>
  <c r="K160" i="2"/>
  <c r="AV164" i="2"/>
  <c r="AR95" i="2"/>
  <c r="BL76" i="2"/>
  <c r="CH329" i="1"/>
  <c r="AV76" i="2"/>
  <c r="BG179" i="2"/>
  <c r="AR334" i="1"/>
  <c r="AV161" i="2"/>
  <c r="AW163" i="2" s="1"/>
  <c r="BG161" i="2"/>
  <c r="AV350" i="2"/>
  <c r="BG334" i="1"/>
  <c r="AV179" i="2"/>
  <c r="AW181" i="2" s="1"/>
  <c r="AR179" i="2"/>
  <c r="AW180" i="2" s="1"/>
  <c r="K32" i="113"/>
  <c r="AV182" i="2"/>
  <c r="AR161" i="2"/>
  <c r="AW162" i="2" s="1"/>
  <c r="AE327" i="1"/>
  <c r="AR164" i="2"/>
  <c r="AM179" i="2"/>
  <c r="Z383" i="2"/>
  <c r="AR182" i="2"/>
  <c r="Z386" i="2"/>
  <c r="AM334" i="1"/>
  <c r="BG362" i="2"/>
  <c r="BG182" i="2"/>
  <c r="BA164" i="2"/>
  <c r="BG95" i="2"/>
  <c r="BA76" i="2"/>
  <c r="CY393" i="2"/>
  <c r="BK334" i="1"/>
  <c r="BA182" i="2"/>
  <c r="BF76" i="2"/>
  <c r="BA350" i="2"/>
  <c r="BF350" i="2"/>
  <c r="BF179" i="2"/>
  <c r="BA334" i="1"/>
  <c r="P179" i="2"/>
  <c r="P182" i="2"/>
  <c r="BF161" i="2"/>
  <c r="AR76" i="2"/>
  <c r="CY391" i="2"/>
  <c r="AR350" i="2"/>
  <c r="CX214" i="2"/>
  <c r="W168" i="2"/>
  <c r="AM362" i="2"/>
  <c r="E8" i="113"/>
  <c r="E28" i="113" s="1"/>
  <c r="Y364" i="2"/>
  <c r="AM161" i="2"/>
  <c r="CV213" i="2"/>
  <c r="Z61" i="2"/>
  <c r="Z387" i="2"/>
  <c r="X364" i="2"/>
  <c r="Z388" i="2"/>
  <c r="AE337" i="2"/>
  <c r="Z384" i="2"/>
  <c r="Z385" i="2"/>
  <c r="AE61" i="2"/>
  <c r="Z337" i="2"/>
  <c r="AJ344" i="1"/>
  <c r="CP135" i="2"/>
  <c r="CP134" i="2"/>
  <c r="BM95" i="2"/>
  <c r="AM182" i="2"/>
  <c r="CI347" i="2"/>
  <c r="BL161" i="2"/>
  <c r="BL350" i="2"/>
  <c r="AH334" i="1"/>
  <c r="AG334" i="1"/>
  <c r="CD209" i="2"/>
  <c r="CD212" i="2" s="1"/>
  <c r="BL164" i="2"/>
  <c r="CH56" i="2"/>
  <c r="CH347" i="2" s="1"/>
  <c r="BL179" i="2"/>
  <c r="AH362" i="2"/>
  <c r="AM350" i="2"/>
  <c r="BL182" i="2"/>
  <c r="AH95" i="2"/>
  <c r="AM164" i="2"/>
  <c r="BL334" i="1"/>
  <c r="AM76" i="2"/>
  <c r="BU73" i="2"/>
  <c r="BM362" i="2"/>
  <c r="BB95" i="2"/>
  <c r="BM334" i="1"/>
  <c r="BB179" i="2"/>
  <c r="BB180" i="2" s="1"/>
  <c r="BB161" i="2"/>
  <c r="BG164" i="2"/>
  <c r="BB362" i="2"/>
  <c r="BG350" i="2"/>
  <c r="BG76" i="2"/>
  <c r="BB334" i="1"/>
  <c r="BM179" i="2"/>
  <c r="AL164" i="2"/>
  <c r="DK305" i="2"/>
  <c r="DK303" i="2"/>
  <c r="DK301" i="2"/>
  <c r="DK308" i="2"/>
  <c r="DK299" i="2"/>
  <c r="DH308" i="2"/>
  <c r="DH301" i="2"/>
  <c r="DH303" i="2"/>
  <c r="DH305" i="2"/>
  <c r="DH299" i="2"/>
  <c r="DM308" i="2"/>
  <c r="DM303" i="2"/>
  <c r="DM301" i="2"/>
  <c r="DM305" i="2"/>
  <c r="DM299" i="2"/>
  <c r="AQ182" i="2"/>
  <c r="AL76" i="2"/>
  <c r="AL179" i="2"/>
  <c r="BK350" i="2"/>
  <c r="BK164" i="2"/>
  <c r="AI179" i="2"/>
  <c r="BL362" i="2"/>
  <c r="AQ350" i="2"/>
  <c r="AQ164" i="2"/>
  <c r="AL161" i="2"/>
  <c r="BK76" i="2"/>
  <c r="AI95" i="2"/>
  <c r="AL350" i="2"/>
  <c r="BK179" i="2"/>
  <c r="AI161" i="2"/>
  <c r="AL334" i="1"/>
  <c r="AM95" i="2"/>
  <c r="BK182" i="2"/>
  <c r="AI362" i="2"/>
  <c r="BL95" i="2"/>
  <c r="AL182" i="2"/>
  <c r="AQ76" i="2"/>
  <c r="CR385" i="2"/>
  <c r="DK167" i="82"/>
  <c r="CS100" i="2"/>
  <c r="Y347" i="2"/>
  <c r="AZ171" i="2"/>
  <c r="AL362" i="2"/>
  <c r="BN176" i="2"/>
  <c r="AN164" i="2"/>
  <c r="CL115" i="2"/>
  <c r="DJ215" i="2"/>
  <c r="CN214" i="2"/>
  <c r="AV171" i="2"/>
  <c r="CM131" i="2"/>
  <c r="DA21" i="2"/>
  <c r="DB21" i="2" s="1"/>
  <c r="R157" i="2"/>
  <c r="S175" i="2"/>
  <c r="W157" i="2"/>
  <c r="X167" i="2"/>
  <c r="AO343" i="1"/>
  <c r="AO344" i="1" s="1"/>
  <c r="L31" i="113"/>
  <c r="M31" i="113"/>
  <c r="AI167" i="2"/>
  <c r="BF334" i="1"/>
  <c r="CM204" i="2"/>
  <c r="S54" i="2"/>
  <c r="V368" i="2"/>
  <c r="AD167" i="2"/>
  <c r="CM141" i="2"/>
  <c r="AY347" i="2"/>
  <c r="BU166" i="2"/>
  <c r="F37" i="2"/>
  <c r="CH46" i="2"/>
  <c r="AZ177" i="2"/>
  <c r="AZ153" i="2"/>
  <c r="CX215" i="2"/>
  <c r="R32" i="2"/>
  <c r="R34" i="2" s="1"/>
  <c r="AS152" i="2"/>
  <c r="AS176" i="2"/>
  <c r="AT167" i="2"/>
  <c r="AS57" i="2"/>
  <c r="BJ159" i="2"/>
  <c r="AF94" i="2"/>
  <c r="V157" i="2"/>
  <c r="BU349" i="2"/>
  <c r="DB11" i="2"/>
  <c r="DA10" i="2"/>
  <c r="P48" i="2"/>
  <c r="P50" i="2" s="1"/>
  <c r="V364" i="2"/>
  <c r="AZ159" i="2"/>
  <c r="BK95" i="2"/>
  <c r="CH11" i="2"/>
  <c r="V167" i="2"/>
  <c r="CM138" i="2"/>
  <c r="BD343" i="1"/>
  <c r="BI344" i="1" s="1"/>
  <c r="CS214" i="2"/>
  <c r="BH57" i="2"/>
  <c r="CH13" i="2"/>
  <c r="AG161" i="2"/>
  <c r="AT343" i="1"/>
  <c r="DQ324" i="82"/>
  <c r="DQ206" i="82" s="1"/>
  <c r="BN57" i="2"/>
  <c r="Y157" i="2"/>
  <c r="CM144" i="2"/>
  <c r="B9" i="3"/>
  <c r="B19" i="3" s="1"/>
  <c r="B80" i="3" s="1"/>
  <c r="B83" i="3" s="1"/>
  <c r="B85" i="3" s="1"/>
  <c r="AR374" i="2"/>
  <c r="CO214" i="2"/>
  <c r="DA15" i="2"/>
  <c r="DA18" i="2"/>
  <c r="DB19" i="2"/>
  <c r="AZ176" i="2"/>
  <c r="AY343" i="1"/>
  <c r="BC57" i="2"/>
  <c r="AF167" i="2"/>
  <c r="W169" i="2"/>
  <c r="X32" i="2"/>
  <c r="X34" i="2" s="1"/>
  <c r="AS159" i="2"/>
  <c r="AS171" i="2"/>
  <c r="H22" i="113"/>
  <c r="H25" i="113" s="1"/>
  <c r="V54" i="2"/>
  <c r="AX57" i="2"/>
  <c r="CL116" i="2"/>
  <c r="AV159" i="2"/>
  <c r="AZ152" i="2"/>
  <c r="AB167" i="2"/>
  <c r="DE215" i="2"/>
  <c r="X157" i="2"/>
  <c r="CM147" i="2"/>
  <c r="BJ168" i="2"/>
  <c r="BH171" i="2"/>
  <c r="BM152" i="2"/>
  <c r="F50" i="2"/>
  <c r="DB16" i="2"/>
  <c r="BC83" i="7"/>
  <c r="BU157" i="2"/>
  <c r="BV470" i="1"/>
  <c r="AZ580" i="1"/>
  <c r="BD580" i="1" s="1"/>
  <c r="BU65" i="2"/>
  <c r="BK579" i="1"/>
  <c r="BK582" i="1" s="1"/>
  <c r="BK606" i="1" s="1"/>
  <c r="BK607" i="1" s="1"/>
  <c r="BU341" i="2"/>
  <c r="BU150" i="2"/>
  <c r="BU27" i="2"/>
  <c r="BB579" i="1"/>
  <c r="BB582" i="1" s="1"/>
  <c r="BB578" i="1" s="1"/>
  <c r="BC91" i="7"/>
  <c r="CG578" i="1"/>
  <c r="CG584" i="1" s="1"/>
  <c r="BC92" i="7"/>
  <c r="AY581" i="1"/>
  <c r="BC104" i="7"/>
  <c r="BC94" i="7"/>
  <c r="BC89" i="7"/>
  <c r="BG578" i="1"/>
  <c r="BG584" i="1" s="1"/>
  <c r="BC96" i="7"/>
  <c r="BC172" i="7"/>
  <c r="BC98" i="7"/>
  <c r="BM579" i="1"/>
  <c r="BM582" i="1" s="1"/>
  <c r="BM578" i="1" s="1"/>
  <c r="BM584" i="1" s="1"/>
  <c r="CF584" i="1"/>
  <c r="AU579" i="1"/>
  <c r="AU583" i="1"/>
  <c r="BN581" i="1"/>
  <c r="BF589" i="1"/>
  <c r="BH578" i="1"/>
  <c r="BH584" i="1" s="1"/>
  <c r="DI211" i="7"/>
  <c r="DJ211" i="7" s="1"/>
  <c r="DK211" i="7" s="1"/>
  <c r="DL211" i="7" s="1"/>
  <c r="DM211" i="7" s="1"/>
  <c r="DN211" i="7" s="1"/>
  <c r="BW579" i="1"/>
  <c r="BW582" i="1" s="1"/>
  <c r="BW606" i="1" s="1"/>
  <c r="BW607" i="1" s="1"/>
  <c r="BX581" i="1"/>
  <c r="BC579" i="1"/>
  <c r="BC582" i="1" s="1"/>
  <c r="BC578" i="1" s="1"/>
  <c r="BA581" i="1"/>
  <c r="BA583" i="1" s="1"/>
  <c r="BA605" i="1" s="1"/>
  <c r="BI456" i="1"/>
  <c r="AN179" i="2"/>
  <c r="Q133" i="1"/>
  <c r="Q136" i="1"/>
  <c r="V128" i="1"/>
  <c r="AN362" i="2"/>
  <c r="BV584" i="1"/>
  <c r="BV589" i="1"/>
  <c r="BX580" i="1"/>
  <c r="BV588" i="1"/>
  <c r="BI580" i="1"/>
  <c r="BV606" i="1"/>
  <c r="BV607" i="1" s="1"/>
  <c r="DE218" i="7"/>
  <c r="DF209" i="7"/>
  <c r="DG209" i="7" s="1"/>
  <c r="DH209" i="7" s="1"/>
  <c r="AN182" i="2"/>
  <c r="AN95" i="2"/>
  <c r="AN76" i="2"/>
  <c r="AN334" i="1"/>
  <c r="AN161" i="2"/>
  <c r="AN350" i="2"/>
  <c r="V349" i="2"/>
  <c r="V175" i="2"/>
  <c r="CL27" i="2"/>
  <c r="V71" i="2"/>
  <c r="V32" i="2"/>
  <c r="V169" i="2"/>
  <c r="V151" i="2"/>
  <c r="CR340" i="1"/>
  <c r="AS170" i="2"/>
  <c r="F12" i="113"/>
  <c r="F41" i="113" s="1"/>
  <c r="CL150" i="2"/>
  <c r="CL166" i="2"/>
  <c r="BI54" i="2"/>
  <c r="AO57" i="2"/>
  <c r="DM26" i="82"/>
  <c r="AE326" i="1"/>
  <c r="DF560" i="1"/>
  <c r="DF581" i="1" s="1"/>
  <c r="DF583" i="1" s="1"/>
  <c r="DF605" i="1" s="1"/>
  <c r="BH82" i="7"/>
  <c r="BH73" i="7" s="1"/>
  <c r="BH172" i="7"/>
  <c r="BH89" i="7"/>
  <c r="BH96" i="7"/>
  <c r="BH94" i="7"/>
  <c r="BH92" i="7"/>
  <c r="BH91" i="7"/>
  <c r="BH83" i="7"/>
  <c r="BH98" i="7"/>
  <c r="BH104" i="7"/>
  <c r="CF166" i="2"/>
  <c r="CF150" i="2"/>
  <c r="CF27" i="2"/>
  <c r="DB339" i="1"/>
  <c r="BD560" i="1"/>
  <c r="BN92" i="7"/>
  <c r="BN83" i="7"/>
  <c r="BN172" i="7"/>
  <c r="BN104" i="7"/>
  <c r="BN82" i="7"/>
  <c r="BN73" i="7" s="1"/>
  <c r="BN89" i="7"/>
  <c r="BN96" i="7"/>
  <c r="BN94" i="7"/>
  <c r="BN91" i="7"/>
  <c r="BN98" i="7"/>
  <c r="AO340" i="1"/>
  <c r="Z340" i="1"/>
  <c r="DB342" i="1"/>
  <c r="AY340" i="1"/>
  <c r="AE340" i="1"/>
  <c r="CM342" i="1"/>
  <c r="CR342" i="1"/>
  <c r="CW342" i="1"/>
  <c r="DG342" i="1"/>
  <c r="AT340" i="1"/>
  <c r="CH342" i="1"/>
  <c r="BD340" i="1"/>
  <c r="DB517" i="1"/>
  <c r="CW339" i="1"/>
  <c r="BN341" i="1"/>
  <c r="Z107" i="1"/>
  <c r="AE119" i="1"/>
  <c r="Z121" i="1"/>
  <c r="Z119" i="1"/>
  <c r="BM170" i="2"/>
  <c r="BH170" i="2"/>
  <c r="CQ326" i="1"/>
  <c r="AE136" i="1"/>
  <c r="CP326" i="1"/>
  <c r="CR325" i="1"/>
  <c r="CR326" i="1" s="1"/>
  <c r="CS326" i="1"/>
  <c r="AP76" i="3"/>
  <c r="CT326" i="1"/>
  <c r="BD325" i="1"/>
  <c r="BD326" i="1" s="1"/>
  <c r="AZ326" i="1"/>
  <c r="AO347" i="2"/>
  <c r="J41" i="113"/>
  <c r="CO213" i="2"/>
  <c r="CR212" i="2"/>
  <c r="BI32" i="2"/>
  <c r="J32" i="113"/>
  <c r="BH34" i="2"/>
  <c r="BH36" i="2"/>
  <c r="CX227" i="7"/>
  <c r="CY227" i="7"/>
  <c r="CZ227" i="7" s="1"/>
  <c r="DA227" i="7" s="1"/>
  <c r="DB227" i="7" s="1"/>
  <c r="CX225" i="7"/>
  <c r="CY225" i="7"/>
  <c r="CZ225" i="7" s="1"/>
  <c r="DA225" i="7" s="1"/>
  <c r="DB225" i="7" s="1"/>
  <c r="BH153" i="2"/>
  <c r="CM391" i="2"/>
  <c r="CX213" i="2"/>
  <c r="CS213" i="2"/>
  <c r="AD348" i="2"/>
  <c r="AD54" i="2"/>
  <c r="BN158" i="2"/>
  <c r="I22" i="113"/>
  <c r="AI348" i="2"/>
  <c r="AD169" i="2"/>
  <c r="AD32" i="2"/>
  <c r="AI71" i="2"/>
  <c r="AD151" i="2"/>
  <c r="DH81" i="1"/>
  <c r="DH83" i="1" s="1"/>
  <c r="AP373" i="2"/>
  <c r="DQ123" i="82"/>
  <c r="DQ135" i="82" s="1"/>
  <c r="BC374" i="2"/>
  <c r="AS34" i="2"/>
  <c r="DQ157" i="82"/>
  <c r="AT347" i="2"/>
  <c r="AU373" i="2"/>
  <c r="AB89" i="3"/>
  <c r="AE347" i="2"/>
  <c r="BD32" i="2"/>
  <c r="AA196" i="7"/>
  <c r="AA197" i="7" s="1"/>
  <c r="BE373" i="2"/>
  <c r="AI349" i="2"/>
  <c r="AD157" i="2"/>
  <c r="AI73" i="2"/>
  <c r="AD175" i="2"/>
  <c r="DK81" i="1"/>
  <c r="DK83" i="1" s="1"/>
  <c r="DK87" i="1" s="1"/>
  <c r="AF73" i="2"/>
  <c r="AC32" i="2"/>
  <c r="AC175" i="2"/>
  <c r="AF71" i="2"/>
  <c r="CJ102" i="2"/>
  <c r="CL358" i="2"/>
  <c r="AB368" i="2"/>
  <c r="CL65" i="2"/>
  <c r="CG366" i="2"/>
  <c r="AB157" i="2"/>
  <c r="DG517" i="1"/>
  <c r="BJ177" i="2"/>
  <c r="BI374" i="2"/>
  <c r="BN71" i="2"/>
  <c r="BI71" i="2"/>
  <c r="CY220" i="7"/>
  <c r="CZ220" i="7" s="1"/>
  <c r="DA220" i="7" s="1"/>
  <c r="DB220" i="7" s="1"/>
  <c r="DC220" i="7"/>
  <c r="DH220" i="7" s="1"/>
  <c r="BI368" i="2"/>
  <c r="BI167" i="2"/>
  <c r="BF373" i="2"/>
  <c r="BN348" i="2"/>
  <c r="BN167" i="2"/>
  <c r="BI151" i="2"/>
  <c r="BI169" i="2"/>
  <c r="L14" i="113"/>
  <c r="L25" i="113" s="1"/>
  <c r="BG373" i="2"/>
  <c r="BH373" i="2"/>
  <c r="AT54" i="2"/>
  <c r="T220" i="113"/>
  <c r="T294" i="113"/>
  <c r="DM133" i="1"/>
  <c r="DM128" i="1"/>
  <c r="T292" i="113"/>
  <c r="T373" i="113" s="1"/>
  <c r="CO72" i="3"/>
  <c r="T308" i="113"/>
  <c r="DF81" i="1"/>
  <c r="DF83" i="1" s="1"/>
  <c r="DF87" i="1" s="1"/>
  <c r="DM81" i="1"/>
  <c r="DM83" i="1" s="1"/>
  <c r="DM87" i="1" s="1"/>
  <c r="T314" i="113"/>
  <c r="CO76" i="3"/>
  <c r="DM136" i="1"/>
  <c r="DM134" i="1"/>
  <c r="CX135" i="1"/>
  <c r="DG82" i="1"/>
  <c r="DG86" i="1"/>
  <c r="DG84" i="1"/>
  <c r="DG78" i="1"/>
  <c r="DG79" i="1"/>
  <c r="DG80" i="1"/>
  <c r="DG85" i="1"/>
  <c r="DG564" i="1" s="1"/>
  <c r="CX75" i="1"/>
  <c r="DB84" i="1"/>
  <c r="DB79" i="1"/>
  <c r="DB82" i="1"/>
  <c r="DB80" i="1"/>
  <c r="DB78" i="1"/>
  <c r="DB86" i="1"/>
  <c r="DB85" i="1"/>
  <c r="DB564" i="1" s="1"/>
  <c r="DM33" i="82"/>
  <c r="DR123" i="82"/>
  <c r="DR87" i="82"/>
  <c r="DR49" i="82"/>
  <c r="DR157" i="82"/>
  <c r="DM187" i="82"/>
  <c r="DM77" i="82"/>
  <c r="DM69" i="82"/>
  <c r="DM75" i="82"/>
  <c r="X12" i="11"/>
  <c r="J30" i="15" s="1"/>
  <c r="W12" i="11"/>
  <c r="DL135" i="82"/>
  <c r="CW625" i="1"/>
  <c r="U115" i="113"/>
  <c r="U88" i="113" s="1"/>
  <c r="U116" i="113"/>
  <c r="U99" i="113" s="1"/>
  <c r="DM133" i="2"/>
  <c r="DM167" i="82"/>
  <c r="DG42" i="82"/>
  <c r="DG43" i="82" s="1"/>
  <c r="DG70" i="82" s="1"/>
  <c r="DK187" i="82"/>
  <c r="DL57" i="82"/>
  <c r="AT169" i="2"/>
  <c r="U222" i="113"/>
  <c r="DL49" i="82"/>
  <c r="DL62" i="82"/>
  <c r="T222" i="113"/>
  <c r="T245" i="113" s="1"/>
  <c r="DG49" i="82"/>
  <c r="T225" i="113"/>
  <c r="U237" i="113" s="1"/>
  <c r="DL64" i="82"/>
  <c r="U356" i="113"/>
  <c r="U355" i="113"/>
  <c r="U213" i="113"/>
  <c r="U174" i="113" s="1"/>
  <c r="U354" i="113"/>
  <c r="U352" i="113"/>
  <c r="U351" i="113"/>
  <c r="U350" i="113"/>
  <c r="T213" i="113"/>
  <c r="T174" i="113" s="1"/>
  <c r="T356" i="113"/>
  <c r="T355" i="113"/>
  <c r="T354" i="113"/>
  <c r="T352" i="113"/>
  <c r="T350" i="113"/>
  <c r="T351" i="113"/>
  <c r="U291" i="113"/>
  <c r="U314" i="113" s="1"/>
  <c r="DG71" i="82"/>
  <c r="U307" i="113"/>
  <c r="U293" i="113"/>
  <c r="U318" i="113"/>
  <c r="U317" i="113"/>
  <c r="T483" i="113"/>
  <c r="T318" i="113"/>
  <c r="DK33" i="82"/>
  <c r="DM247" i="82"/>
  <c r="DL141" i="82"/>
  <c r="DL131" i="82"/>
  <c r="DM196" i="82"/>
  <c r="DM241" i="82" s="1"/>
  <c r="DM253" i="82"/>
  <c r="DM240" i="82"/>
  <c r="DM325" i="1"/>
  <c r="DM251" i="82"/>
  <c r="CM625" i="1"/>
  <c r="AS177" i="2"/>
  <c r="BF50" i="2"/>
  <c r="AS36" i="2"/>
  <c r="CU204" i="7"/>
  <c r="CU218" i="7" s="1"/>
  <c r="AS153" i="2"/>
  <c r="AR9" i="3"/>
  <c r="AT73" i="2"/>
  <c r="AT157" i="2"/>
  <c r="AU196" i="7"/>
  <c r="AU197" i="7" s="1"/>
  <c r="AP374" i="2"/>
  <c r="AY167" i="2"/>
  <c r="AS374" i="2"/>
  <c r="BF37" i="2"/>
  <c r="BF160" i="2"/>
  <c r="BF178" i="2"/>
  <c r="R494" i="113"/>
  <c r="P484" i="113"/>
  <c r="P500" i="113" s="1"/>
  <c r="Q494" i="113"/>
  <c r="R495" i="113"/>
  <c r="S495" i="113"/>
  <c r="AH37" i="2"/>
  <c r="AH50" i="2"/>
  <c r="AH160" i="2"/>
  <c r="T9" i="3"/>
  <c r="AT32" i="2"/>
  <c r="AT151" i="2"/>
  <c r="AG178" i="2"/>
  <c r="AG160" i="2"/>
  <c r="DM137" i="2"/>
  <c r="CI526" i="1"/>
  <c r="CI548" i="1" s="1"/>
  <c r="CI549" i="1" s="1"/>
  <c r="DM9" i="2"/>
  <c r="DM143" i="2"/>
  <c r="DM140" i="2"/>
  <c r="DM146" i="2"/>
  <c r="DM130" i="2"/>
  <c r="CI402" i="1"/>
  <c r="AO326" i="1"/>
  <c r="DM313" i="82"/>
  <c r="DM301" i="82" s="1"/>
  <c r="CI400" i="1"/>
  <c r="DM245" i="82"/>
  <c r="S9" i="3"/>
  <c r="I41" i="113"/>
  <c r="L41" i="113"/>
  <c r="U477" i="113"/>
  <c r="U479" i="113" s="1"/>
  <c r="U480" i="113" s="1"/>
  <c r="U493" i="113" s="1"/>
  <c r="DL205" i="82"/>
  <c r="CW545" i="1"/>
  <c r="CN417" i="1"/>
  <c r="CN418" i="1" s="1"/>
  <c r="CI410" i="1"/>
  <c r="CI412" i="1" s="1"/>
  <c r="CI413" i="1" s="1"/>
  <c r="AN122" i="1"/>
  <c r="AI122" i="1"/>
  <c r="CI416" i="1"/>
  <c r="CI417" i="1" s="1"/>
  <c r="CI418" i="1" s="1"/>
  <c r="CN412" i="1"/>
  <c r="CN413" i="1" s="1"/>
  <c r="CI423" i="1"/>
  <c r="CI424" i="1" s="1"/>
  <c r="CI406" i="1"/>
  <c r="CW544" i="1"/>
  <c r="AI127" i="1"/>
  <c r="AI129" i="1" s="1"/>
  <c r="AT540" i="1"/>
  <c r="BK135" i="1"/>
  <c r="AY561" i="1"/>
  <c r="CL584" i="1"/>
  <c r="DR52" i="2"/>
  <c r="I32" i="113"/>
  <c r="AH178" i="2"/>
  <c r="AB196" i="7"/>
  <c r="AB197" i="7" s="1"/>
  <c r="U484" i="113"/>
  <c r="O14" i="11"/>
  <c r="O25" i="11"/>
  <c r="AG37" i="2"/>
  <c r="AG50" i="2"/>
  <c r="AT175" i="2"/>
  <c r="AT349" i="2"/>
  <c r="AT368" i="2"/>
  <c r="AQ374" i="2"/>
  <c r="BI544" i="1"/>
  <c r="BV599" i="1"/>
  <c r="BV600" i="1" s="1"/>
  <c r="BV601" i="1" s="1"/>
  <c r="AY536" i="1"/>
  <c r="BI540" i="1"/>
  <c r="BI536" i="1"/>
  <c r="CT135" i="1"/>
  <c r="DK135" i="1"/>
  <c r="DK137" i="1" s="1"/>
  <c r="L32" i="113"/>
  <c r="G30" i="113"/>
  <c r="F40" i="113"/>
  <c r="R31" i="113"/>
  <c r="O470" i="113"/>
  <c r="O471" i="113" s="1"/>
  <c r="O473" i="113" s="1"/>
  <c r="O29" i="113"/>
  <c r="P470" i="113"/>
  <c r="P471" i="113" s="1"/>
  <c r="P498" i="113" s="1"/>
  <c r="P29" i="113"/>
  <c r="Q29" i="113"/>
  <c r="U470" i="113"/>
  <c r="U29" i="113"/>
  <c r="Q31" i="113"/>
  <c r="T470" i="113"/>
  <c r="T29" i="113"/>
  <c r="S470" i="113"/>
  <c r="S29" i="113"/>
  <c r="S31" i="113"/>
  <c r="P472" i="113"/>
  <c r="P489" i="113" s="1"/>
  <c r="P31" i="113"/>
  <c r="H33" i="113"/>
  <c r="AS158" i="2"/>
  <c r="AT71" i="2"/>
  <c r="AT348" i="2"/>
  <c r="I14" i="113"/>
  <c r="I13" i="113" s="1"/>
  <c r="I33" i="113" s="1"/>
  <c r="DE266" i="82"/>
  <c r="AQ373" i="2"/>
  <c r="DE277" i="82"/>
  <c r="AS373" i="2"/>
  <c r="AR373" i="2"/>
  <c r="DE288" i="82"/>
  <c r="BI492" i="1"/>
  <c r="AS497" i="1"/>
  <c r="CM565" i="1"/>
  <c r="CK135" i="1"/>
  <c r="BD534" i="1"/>
  <c r="BD536" i="1" s="1"/>
  <c r="BD542" i="1"/>
  <c r="BD543" i="1" s="1"/>
  <c r="BD544" i="1" s="1"/>
  <c r="X54" i="2"/>
  <c r="X169" i="2"/>
  <c r="AT536" i="1"/>
  <c r="DJ277" i="82"/>
  <c r="P37" i="2"/>
  <c r="DD75" i="1"/>
  <c r="T88" i="113"/>
  <c r="X151" i="2"/>
  <c r="P77" i="2"/>
  <c r="AO374" i="2"/>
  <c r="P178" i="2"/>
  <c r="P160" i="2"/>
  <c r="AO176" i="2"/>
  <c r="BU130" i="1"/>
  <c r="BE76" i="3"/>
  <c r="CW136" i="1"/>
  <c r="BY76" i="3"/>
  <c r="BY72" i="3"/>
  <c r="Q76" i="3"/>
  <c r="CR521" i="1"/>
  <c r="CP130" i="1"/>
  <c r="BT76" i="3"/>
  <c r="BT72" i="3"/>
  <c r="BL128" i="1"/>
  <c r="AS76" i="3"/>
  <c r="BV135" i="1"/>
  <c r="CJ130" i="1"/>
  <c r="BO76" i="3"/>
  <c r="CM326" i="1"/>
  <c r="AM128" i="1"/>
  <c r="T76" i="3"/>
  <c r="BH128" i="1"/>
  <c r="AO76" i="3"/>
  <c r="CS235" i="7"/>
  <c r="DL136" i="1"/>
  <c r="CN76" i="3"/>
  <c r="CN72" i="3"/>
  <c r="CT234" i="7"/>
  <c r="CT235" i="7" s="1"/>
  <c r="CX59" i="3"/>
  <c r="CX34" i="7"/>
  <c r="CT46" i="3"/>
  <c r="DV38" i="2"/>
  <c r="V74" i="3"/>
  <c r="BG133" i="1"/>
  <c r="CM338" i="82"/>
  <c r="CM100" i="2"/>
  <c r="CM364" i="2"/>
  <c r="CM410" i="82"/>
  <c r="CM330" i="82"/>
  <c r="CN139" i="2"/>
  <c r="CN148" i="2"/>
  <c r="AC167" i="2"/>
  <c r="CN145" i="2"/>
  <c r="X168" i="2"/>
  <c r="X175" i="2"/>
  <c r="CM370" i="82"/>
  <c r="CM339" i="82"/>
  <c r="BG134" i="1"/>
  <c r="CM109" i="2"/>
  <c r="BG136" i="1"/>
  <c r="CN142" i="2"/>
  <c r="Z150" i="2"/>
  <c r="AB137" i="1"/>
  <c r="AH134" i="1"/>
  <c r="CL130" i="1"/>
  <c r="P28" i="113"/>
  <c r="AH136" i="1"/>
  <c r="AO91" i="1"/>
  <c r="AO115" i="1"/>
  <c r="AH128" i="1"/>
  <c r="CR401" i="1"/>
  <c r="CR396" i="1"/>
  <c r="DL128" i="1"/>
  <c r="CR520" i="1"/>
  <c r="CR630" i="1" s="1"/>
  <c r="X368" i="2"/>
  <c r="W368" i="2"/>
  <c r="CG606" i="1"/>
  <c r="CG607" i="1" s="1"/>
  <c r="Y368" i="2"/>
  <c r="Z166" i="2"/>
  <c r="Z27" i="2"/>
  <c r="AL95" i="2"/>
  <c r="AH129" i="1"/>
  <c r="AO105" i="1"/>
  <c r="BG128" i="1"/>
  <c r="AO93" i="1"/>
  <c r="AH133" i="1"/>
  <c r="BH129" i="1"/>
  <c r="CF622" i="1"/>
  <c r="CF623" i="1" s="1"/>
  <c r="AZ170" i="2"/>
  <c r="V137" i="1"/>
  <c r="DH130" i="1"/>
  <c r="DL134" i="1"/>
  <c r="W175" i="2"/>
  <c r="CM572" i="1"/>
  <c r="CM590" i="1" s="1"/>
  <c r="DL133" i="1"/>
  <c r="CE606" i="1"/>
  <c r="CE607" i="1" s="1"/>
  <c r="DK130" i="1"/>
  <c r="Y168" i="2"/>
  <c r="Z367" i="2"/>
  <c r="Z29" i="2"/>
  <c r="AD349" i="2"/>
  <c r="AD73" i="2"/>
  <c r="Y175" i="2"/>
  <c r="Y54" i="2"/>
  <c r="Y169" i="2"/>
  <c r="W32" i="2"/>
  <c r="X94" i="2"/>
  <c r="Y151" i="2"/>
  <c r="W94" i="2"/>
  <c r="W151" i="2"/>
  <c r="AD71" i="2"/>
  <c r="Y94" i="2"/>
  <c r="AB71" i="2"/>
  <c r="W54" i="2"/>
  <c r="Y32" i="2"/>
  <c r="AA151" i="2"/>
  <c r="CV364" i="2"/>
  <c r="X73" i="2"/>
  <c r="Z366" i="2"/>
  <c r="AJ121" i="1"/>
  <c r="AJ119" i="1"/>
  <c r="AJ106" i="1"/>
  <c r="BN373" i="2"/>
  <c r="AA348" i="2"/>
  <c r="DB22" i="2"/>
  <c r="P304" i="113"/>
  <c r="P316" i="113" s="1"/>
  <c r="W128" i="1"/>
  <c r="R133" i="1"/>
  <c r="R136" i="1"/>
  <c r="R134" i="1"/>
  <c r="R129" i="1"/>
  <c r="W348" i="2"/>
  <c r="AC71" i="2"/>
  <c r="AA71" i="2"/>
  <c r="CU364" i="2"/>
  <c r="S32" i="2"/>
  <c r="X349" i="2"/>
  <c r="AA169" i="2"/>
  <c r="AF348" i="2"/>
  <c r="AH349" i="2"/>
  <c r="S157" i="2"/>
  <c r="AA32" i="2"/>
  <c r="AA54" i="2"/>
  <c r="AA94" i="2"/>
  <c r="AA349" i="2"/>
  <c r="X348" i="2"/>
  <c r="S169" i="2"/>
  <c r="X71" i="2"/>
  <c r="S151" i="2"/>
  <c r="R151" i="2"/>
  <c r="AA157" i="2"/>
  <c r="AF349" i="2"/>
  <c r="AA175" i="2"/>
  <c r="R54" i="2"/>
  <c r="AA73" i="2"/>
  <c r="AH73" i="2"/>
  <c r="AC151" i="2"/>
  <c r="AC169" i="2"/>
  <c r="AG71" i="2"/>
  <c r="AH348" i="2"/>
  <c r="AC348" i="2"/>
  <c r="AC349" i="2"/>
  <c r="AD94" i="2"/>
  <c r="AH71" i="2"/>
  <c r="Q169" i="2"/>
  <c r="AC54" i="2"/>
  <c r="Q151" i="2"/>
  <c r="AB349" i="2"/>
  <c r="CR384" i="2"/>
  <c r="AA167" i="2"/>
  <c r="W349" i="2"/>
  <c r="CU100" i="2"/>
  <c r="CP364" i="2"/>
  <c r="CI130" i="1"/>
  <c r="CM134" i="1"/>
  <c r="AD137" i="1"/>
  <c r="AA168" i="2"/>
  <c r="AD168" i="2"/>
  <c r="BC624" i="1"/>
  <c r="CR61" i="2"/>
  <c r="CM133" i="1"/>
  <c r="AH167" i="2"/>
  <c r="CM136" i="1"/>
  <c r="CK130" i="1"/>
  <c r="AO373" i="1"/>
  <c r="CM128" i="1"/>
  <c r="R168" i="2"/>
  <c r="AE367" i="2"/>
  <c r="CR137" i="2"/>
  <c r="CR130" i="2"/>
  <c r="CR388" i="2"/>
  <c r="CR9" i="2"/>
  <c r="R169" i="2"/>
  <c r="V73" i="2"/>
  <c r="CR386" i="2"/>
  <c r="S168" i="2"/>
  <c r="CP100" i="2"/>
  <c r="CR146" i="2"/>
  <c r="CR313" i="82"/>
  <c r="CR338" i="82" s="1"/>
  <c r="CQ364" i="2"/>
  <c r="CO364" i="2"/>
  <c r="CR337" i="2"/>
  <c r="Q175" i="2"/>
  <c r="CR143" i="2"/>
  <c r="Q8" i="113"/>
  <c r="Q28" i="113" s="1"/>
  <c r="CR133" i="2"/>
  <c r="Q157" i="2"/>
  <c r="CR383" i="2"/>
  <c r="CQ100" i="2"/>
  <c r="W167" i="2"/>
  <c r="CN364" i="2"/>
  <c r="CR387" i="2"/>
  <c r="BG606" i="1"/>
  <c r="BG607" i="1" s="1"/>
  <c r="W71" i="2"/>
  <c r="AB151" i="2"/>
  <c r="AB175" i="2"/>
  <c r="AC157" i="2"/>
  <c r="R94" i="2"/>
  <c r="CN100" i="2"/>
  <c r="CO100" i="2"/>
  <c r="CR140" i="2"/>
  <c r="BI579" i="1"/>
  <c r="W73" i="2"/>
  <c r="AB94" i="2"/>
  <c r="CU135" i="1"/>
  <c r="AC73" i="2"/>
  <c r="R175" i="2"/>
  <c r="CL33" i="1"/>
  <c r="AE341" i="2"/>
  <c r="AC94" i="2"/>
  <c r="AG349" i="2"/>
  <c r="AB32" i="2"/>
  <c r="AE29" i="2"/>
  <c r="AB169" i="2"/>
  <c r="AB348" i="2"/>
  <c r="AG73" i="2"/>
  <c r="S94" i="2"/>
  <c r="AB73" i="2"/>
  <c r="AB54" i="2"/>
  <c r="AG348" i="2"/>
  <c r="CR580" i="1"/>
  <c r="AG135" i="1"/>
  <c r="CH364" i="2"/>
  <c r="Q32" i="2"/>
  <c r="Q54" i="2"/>
  <c r="CV555" i="1"/>
  <c r="BF622" i="1"/>
  <c r="BH122" i="1"/>
  <c r="BE123" i="1"/>
  <c r="CT579" i="1"/>
  <c r="CT582" i="1" s="1"/>
  <c r="CT578" i="1" s="1"/>
  <c r="BC122" i="1"/>
  <c r="CY75" i="1"/>
  <c r="CV100" i="2"/>
  <c r="BC123" i="1"/>
  <c r="CL622" i="1"/>
  <c r="CL623" i="1" s="1"/>
  <c r="V348" i="2"/>
  <c r="DD215" i="2"/>
  <c r="DF215" i="2"/>
  <c r="DC215" i="2"/>
  <c r="BH621" i="1"/>
  <c r="DG213" i="2"/>
  <c r="F22" i="113"/>
  <c r="F36" i="113" s="1"/>
  <c r="AJ347" i="2"/>
  <c r="AE366" i="2"/>
  <c r="AG167" i="2"/>
  <c r="BX326" i="1"/>
  <c r="AB168" i="2"/>
  <c r="AC168" i="2"/>
  <c r="CW475" i="1"/>
  <c r="CR103" i="2"/>
  <c r="AO375" i="1"/>
  <c r="AO376" i="1" s="1"/>
  <c r="AE65" i="2"/>
  <c r="AO158" i="2"/>
  <c r="AJ373" i="2"/>
  <c r="AD368" i="2"/>
  <c r="AE27" i="2"/>
  <c r="AA368" i="2"/>
  <c r="AJ341" i="2"/>
  <c r="AE150" i="2"/>
  <c r="AJ65" i="2"/>
  <c r="CR204" i="2"/>
  <c r="AE166" i="2"/>
  <c r="AC368" i="2"/>
  <c r="CU579" i="1"/>
  <c r="CU582" i="1" s="1"/>
  <c r="CU578" i="1" s="1"/>
  <c r="DA75" i="1"/>
  <c r="CQ579" i="1"/>
  <c r="CQ582" i="1" s="1"/>
  <c r="CQ578" i="1" s="1"/>
  <c r="CZ75" i="1"/>
  <c r="CK214" i="2"/>
  <c r="CW103" i="2"/>
  <c r="CI73" i="1"/>
  <c r="BU622" i="1"/>
  <c r="BU623" i="1" s="1"/>
  <c r="C38" i="113"/>
  <c r="AY368" i="2"/>
  <c r="B13" i="113"/>
  <c r="BI348" i="2"/>
  <c r="R484" i="113"/>
  <c r="R500" i="113" s="1"/>
  <c r="AV153" i="2"/>
  <c r="CW109" i="2"/>
  <c r="BK362" i="2"/>
  <c r="CM103" i="2"/>
  <c r="DM213" i="82"/>
  <c r="DM227" i="82"/>
  <c r="CI116" i="2"/>
  <c r="CI115" i="2"/>
  <c r="CI122" i="2"/>
  <c r="CI121" i="2"/>
  <c r="AT81" i="1"/>
  <c r="AT87" i="1" s="1"/>
  <c r="CI166" i="2"/>
  <c r="CI150" i="2"/>
  <c r="CI27" i="2"/>
  <c r="CI119" i="2"/>
  <c r="CI118" i="2"/>
  <c r="DH135" i="1"/>
  <c r="DH137" i="1" s="1"/>
  <c r="DC75" i="1"/>
  <c r="CT364" i="2"/>
  <c r="CI125" i="2"/>
  <c r="CI124" i="2"/>
  <c r="CW212" i="2"/>
  <c r="BD96" i="7"/>
  <c r="BD172" i="7"/>
  <c r="BD92" i="7"/>
  <c r="BD89" i="7"/>
  <c r="BD94" i="7"/>
  <c r="BD91" i="7"/>
  <c r="BD98" i="7"/>
  <c r="BD83" i="7"/>
  <c r="BD82" i="7"/>
  <c r="BD73" i="7" s="1"/>
  <c r="BD104" i="7"/>
  <c r="BK96" i="7"/>
  <c r="BK92" i="7"/>
  <c r="BK98" i="7"/>
  <c r="BK172" i="7"/>
  <c r="BK83" i="7"/>
  <c r="BK91" i="7"/>
  <c r="BK82" i="7"/>
  <c r="BK73" i="7" s="1"/>
  <c r="BK94" i="7"/>
  <c r="BK89" i="7"/>
  <c r="BK104" i="7"/>
  <c r="AY436" i="1"/>
  <c r="BV27" i="2"/>
  <c r="BV358" i="2"/>
  <c r="BV341" i="2"/>
  <c r="BV88" i="2"/>
  <c r="BV65" i="2"/>
  <c r="BV166" i="2"/>
  <c r="BV150" i="2"/>
  <c r="CF65" i="2"/>
  <c r="CF341" i="2"/>
  <c r="CI128" i="2"/>
  <c r="CI127" i="2"/>
  <c r="CR581" i="1"/>
  <c r="AT458" i="1"/>
  <c r="CM579" i="1"/>
  <c r="BV175" i="2"/>
  <c r="BV73" i="2"/>
  <c r="BV349" i="2"/>
  <c r="BV157" i="2"/>
  <c r="CV579" i="1"/>
  <c r="CV582" i="1" s="1"/>
  <c r="CV578" i="1" s="1"/>
  <c r="CR109" i="2"/>
  <c r="CM134" i="2"/>
  <c r="CN135" i="2"/>
  <c r="CZ390" i="2"/>
  <c r="CW204" i="2"/>
  <c r="AJ374" i="2"/>
  <c r="AO152" i="2"/>
  <c r="CI588" i="1"/>
  <c r="CI573" i="1"/>
  <c r="T497" i="1"/>
  <c r="T496" i="1"/>
  <c r="T492" i="1"/>
  <c r="V496" i="1"/>
  <c r="Y492" i="1"/>
  <c r="BK590" i="1"/>
  <c r="BK574" i="1"/>
  <c r="CY239" i="82"/>
  <c r="CY226" i="82"/>
  <c r="CY212" i="82"/>
  <c r="DF251" i="82"/>
  <c r="DF252" i="82"/>
  <c r="CV144" i="2"/>
  <c r="CV145" i="2"/>
  <c r="DE213" i="82"/>
  <c r="DE196" i="82"/>
  <c r="DE227" i="82"/>
  <c r="DE240" i="82"/>
  <c r="DE253" i="82"/>
  <c r="DE247" i="82"/>
  <c r="CG128" i="2"/>
  <c r="CG127" i="2"/>
  <c r="CL127" i="2"/>
  <c r="BI83" i="7"/>
  <c r="BI172" i="7"/>
  <c r="BI82" i="7"/>
  <c r="BI73" i="7" s="1"/>
  <c r="BI92" i="7"/>
  <c r="BI94" i="7"/>
  <c r="BI98" i="7"/>
  <c r="BI96" i="7"/>
  <c r="BI91" i="7"/>
  <c r="BI104" i="7"/>
  <c r="BI89" i="7"/>
  <c r="CK400" i="1"/>
  <c r="CK402" i="1"/>
  <c r="CK526" i="1"/>
  <c r="AU621" i="1"/>
  <c r="BI609" i="1"/>
  <c r="BI495" i="1" s="1"/>
  <c r="CQ134" i="2"/>
  <c r="CQ135" i="2"/>
  <c r="CQ144" i="2"/>
  <c r="CQ145" i="2"/>
  <c r="CU147" i="2"/>
  <c r="CU148" i="2"/>
  <c r="BM589" i="1"/>
  <c r="BM570" i="1"/>
  <c r="BD368" i="2"/>
  <c r="CO124" i="2"/>
  <c r="CO125" i="2"/>
  <c r="CG590" i="1"/>
  <c r="CG574" i="1"/>
  <c r="BC152" i="2"/>
  <c r="BC153" i="2"/>
  <c r="BK589" i="1"/>
  <c r="BK570" i="1"/>
  <c r="DH245" i="82"/>
  <c r="DH246" i="82"/>
  <c r="DH212" i="82"/>
  <c r="DH226" i="82"/>
  <c r="DH239" i="82"/>
  <c r="CY251" i="82"/>
  <c r="CY252" i="82"/>
  <c r="CY227" i="82"/>
  <c r="CY247" i="82"/>
  <c r="CY240" i="82"/>
  <c r="CY196" i="82"/>
  <c r="CY213" i="82"/>
  <c r="CY253" i="82"/>
  <c r="BU135" i="1"/>
  <c r="DL101" i="2"/>
  <c r="CR583" i="1"/>
  <c r="CR605" i="1" s="1"/>
  <c r="CN605" i="1"/>
  <c r="AV602" i="1"/>
  <c r="AV605" i="1" s="1"/>
  <c r="AV606" i="1" s="1"/>
  <c r="AV622" i="1" s="1"/>
  <c r="AV102" i="1"/>
  <c r="AV118" i="1"/>
  <c r="AV100" i="1"/>
  <c r="BA100" i="1"/>
  <c r="AG196" i="7"/>
  <c r="AN178" i="2"/>
  <c r="AN50" i="2"/>
  <c r="AN160" i="2"/>
  <c r="AN77" i="2"/>
  <c r="AN37" i="2"/>
  <c r="CM582" i="1"/>
  <c r="CI578" i="1"/>
  <c r="K40" i="11"/>
  <c r="K41" i="11" s="1"/>
  <c r="BX63" i="2"/>
  <c r="BX339" i="2"/>
  <c r="BX29" i="2"/>
  <c r="BV366" i="2"/>
  <c r="BX379" i="2"/>
  <c r="BU366" i="2"/>
  <c r="BX381" i="2"/>
  <c r="BX378" i="2"/>
  <c r="BX377" i="2"/>
  <c r="BX380" i="2"/>
  <c r="DG101" i="2"/>
  <c r="CR475" i="1"/>
  <c r="DK245" i="82"/>
  <c r="CT145" i="2"/>
  <c r="CT144" i="2"/>
  <c r="CT384" i="82"/>
  <c r="CT370" i="82"/>
  <c r="CT261" i="82"/>
  <c r="CT338" i="82"/>
  <c r="CT339" i="82"/>
  <c r="CT330" i="82"/>
  <c r="CT398" i="82"/>
  <c r="DH313" i="82"/>
  <c r="DH84" i="2"/>
  <c r="DH146" i="2"/>
  <c r="DH143" i="2"/>
  <c r="DH140" i="2"/>
  <c r="DH137" i="2"/>
  <c r="DH61" i="2"/>
  <c r="DH9" i="2"/>
  <c r="DH133" i="2"/>
  <c r="DH130" i="2"/>
  <c r="DC135" i="1"/>
  <c r="CV135" i="2"/>
  <c r="CV134" i="2"/>
  <c r="DD252" i="82"/>
  <c r="DD251" i="82"/>
  <c r="AU617" i="1"/>
  <c r="BE334" i="1"/>
  <c r="BE182" i="2"/>
  <c r="BE179" i="2"/>
  <c r="BE76" i="2"/>
  <c r="BE164" i="2"/>
  <c r="BE350" i="2"/>
  <c r="BE161" i="2"/>
  <c r="BF95" i="2"/>
  <c r="BF362" i="2"/>
  <c r="CV572" i="1"/>
  <c r="CV571" i="1"/>
  <c r="CK589" i="1"/>
  <c r="CK570" i="1"/>
  <c r="CP572" i="1"/>
  <c r="CP571" i="1"/>
  <c r="T62" i="113"/>
  <c r="BE437" i="1"/>
  <c r="BI436" i="1"/>
  <c r="BI437" i="1" s="1"/>
  <c r="CX581" i="1"/>
  <c r="CX580" i="1"/>
  <c r="CR393" i="1"/>
  <c r="CR405" i="1" s="1"/>
  <c r="CM396" i="1"/>
  <c r="CM393" i="1"/>
  <c r="CM405" i="1" s="1"/>
  <c r="CM404" i="1"/>
  <c r="BD492" i="1"/>
  <c r="BC497" i="1"/>
  <c r="BB497" i="1"/>
  <c r="CT142" i="2"/>
  <c r="CT141" i="2"/>
  <c r="T478" i="1"/>
  <c r="AY175" i="2"/>
  <c r="AY349" i="2"/>
  <c r="AY157" i="2"/>
  <c r="AY73" i="2"/>
  <c r="AV374" i="2"/>
  <c r="AR117" i="1"/>
  <c r="AR116" i="1"/>
  <c r="DD313" i="82"/>
  <c r="DD61" i="2"/>
  <c r="DD84" i="2"/>
  <c r="DD146" i="2"/>
  <c r="DD140" i="2"/>
  <c r="DD137" i="2"/>
  <c r="DD9" i="2"/>
  <c r="DD130" i="2"/>
  <c r="DD143" i="2"/>
  <c r="DD133" i="2"/>
  <c r="CV248" i="82"/>
  <c r="CV249" i="82"/>
  <c r="BL622" i="1"/>
  <c r="BL623" i="1" s="1"/>
  <c r="BX571" i="1"/>
  <c r="BX572" i="1"/>
  <c r="BJ137" i="1"/>
  <c r="CU214" i="2"/>
  <c r="CU213" i="2"/>
  <c r="CV214" i="2"/>
  <c r="CZ213" i="2"/>
  <c r="AP129" i="1"/>
  <c r="AP136" i="1"/>
  <c r="AP134" i="1"/>
  <c r="AP133" i="1"/>
  <c r="T380" i="1"/>
  <c r="T381" i="1" s="1"/>
  <c r="T375" i="1"/>
  <c r="Y376" i="1" s="1"/>
  <c r="V381" i="1"/>
  <c r="BF128" i="1"/>
  <c r="BF129" i="1"/>
  <c r="BF133" i="1"/>
  <c r="BF136" i="1"/>
  <c r="BF134" i="1"/>
  <c r="BK128" i="1"/>
  <c r="S469" i="113"/>
  <c r="DB195" i="82"/>
  <c r="DB194" i="82" s="1"/>
  <c r="DB211" i="82"/>
  <c r="DB257" i="82"/>
  <c r="DB256" i="82"/>
  <c r="DB242" i="82"/>
  <c r="DB244" i="82"/>
  <c r="DB250" i="82"/>
  <c r="DB251" i="82" s="1"/>
  <c r="DE581" i="1"/>
  <c r="DE583" i="1" s="1"/>
  <c r="DE605" i="1" s="1"/>
  <c r="AA80" i="3"/>
  <c r="AF88" i="3" s="1"/>
  <c r="AA50" i="3"/>
  <c r="DB545" i="1"/>
  <c r="DB536" i="1"/>
  <c r="CN118" i="2"/>
  <c r="BE326" i="1"/>
  <c r="BI610" i="1"/>
  <c r="CH475" i="1"/>
  <c r="BH588" i="1"/>
  <c r="BH573" i="1"/>
  <c r="CQ138" i="2"/>
  <c r="CQ139" i="2"/>
  <c r="CQ147" i="2"/>
  <c r="CQ148" i="2"/>
  <c r="CJ427" i="1"/>
  <c r="CJ428" i="1" s="1"/>
  <c r="CJ423" i="1"/>
  <c r="CJ424" i="1" s="1"/>
  <c r="CJ416" i="1"/>
  <c r="CJ417" i="1" s="1"/>
  <c r="CJ418" i="1" s="1"/>
  <c r="CJ410" i="1"/>
  <c r="CJ412" i="1" s="1"/>
  <c r="CJ413" i="1" s="1"/>
  <c r="CJ406" i="1"/>
  <c r="CO412" i="1"/>
  <c r="CO413" i="1" s="1"/>
  <c r="CO417" i="1"/>
  <c r="CO418" i="1" s="1"/>
  <c r="L40" i="11"/>
  <c r="L41" i="11" s="1"/>
  <c r="BJ80" i="7"/>
  <c r="CH339" i="2"/>
  <c r="CH63" i="2"/>
  <c r="CH379" i="2"/>
  <c r="CH378" i="2"/>
  <c r="CH381" i="2"/>
  <c r="CH380" i="2"/>
  <c r="CF366" i="2"/>
  <c r="BW80" i="7"/>
  <c r="CU356" i="2"/>
  <c r="CU339" i="2"/>
  <c r="CU86" i="2"/>
  <c r="CU63" i="2"/>
  <c r="CU13" i="2"/>
  <c r="CU379" i="2"/>
  <c r="CU123" i="2"/>
  <c r="CU126" i="2"/>
  <c r="CU120" i="2"/>
  <c r="CU381" i="2"/>
  <c r="CU380" i="2"/>
  <c r="CU378" i="2"/>
  <c r="CU377" i="2"/>
  <c r="CU117" i="2"/>
  <c r="CU114" i="2"/>
  <c r="CU544" i="1"/>
  <c r="CW559" i="1"/>
  <c r="CT520" i="1"/>
  <c r="CT630" i="1" s="1"/>
  <c r="CI592" i="1"/>
  <c r="CI611" i="1" s="1"/>
  <c r="CI599" i="1"/>
  <c r="BA598" i="1"/>
  <c r="CH579" i="1"/>
  <c r="CD582" i="1"/>
  <c r="DF245" i="82"/>
  <c r="DF246" i="82"/>
  <c r="CO410" i="82"/>
  <c r="CO287" i="82"/>
  <c r="CO275" i="82"/>
  <c r="CO297" i="82"/>
  <c r="CO295" i="82"/>
  <c r="CO298" i="82"/>
  <c r="DE135" i="1"/>
  <c r="BT358" i="2"/>
  <c r="BT341" i="2"/>
  <c r="BT166" i="2"/>
  <c r="BT150" i="2"/>
  <c r="BT88" i="2"/>
  <c r="BT65" i="2"/>
  <c r="BT27" i="2"/>
  <c r="BU358" i="2"/>
  <c r="BU88" i="2"/>
  <c r="BT366" i="2"/>
  <c r="AF196" i="7"/>
  <c r="AF197" i="7" s="1"/>
  <c r="AM77" i="2"/>
  <c r="AM178" i="2"/>
  <c r="AM160" i="2"/>
  <c r="AM50" i="2"/>
  <c r="AM37" i="2"/>
  <c r="DK212" i="82"/>
  <c r="DK239" i="82"/>
  <c r="CT148" i="2"/>
  <c r="CT147" i="2"/>
  <c r="BV80" i="7"/>
  <c r="CT356" i="2"/>
  <c r="CT63" i="2"/>
  <c r="CT339" i="2"/>
  <c r="CT86" i="2"/>
  <c r="CT13" i="2"/>
  <c r="CT126" i="2"/>
  <c r="CT117" i="2"/>
  <c r="CT378" i="2"/>
  <c r="CT123" i="2"/>
  <c r="CT379" i="2"/>
  <c r="CT381" i="2"/>
  <c r="CT380" i="2"/>
  <c r="CT377" i="2"/>
  <c r="CT120" i="2"/>
  <c r="CT114" i="2"/>
  <c r="DH562" i="1"/>
  <c r="CW213" i="82"/>
  <c r="CW240" i="82"/>
  <c r="CW253" i="82"/>
  <c r="CW254" i="82" s="1"/>
  <c r="CW247" i="82"/>
  <c r="CW248" i="82" s="1"/>
  <c r="AX373" i="2"/>
  <c r="CG119" i="2"/>
  <c r="CG118" i="2"/>
  <c r="CL118" i="2"/>
  <c r="AA137" i="1"/>
  <c r="BI621" i="1"/>
  <c r="AV196" i="7"/>
  <c r="AV197" i="7" s="1"/>
  <c r="AS9" i="3"/>
  <c r="BG160" i="2"/>
  <c r="BG77" i="2"/>
  <c r="BG178" i="2"/>
  <c r="BG50" i="2"/>
  <c r="BG37" i="2"/>
  <c r="DI562" i="1"/>
  <c r="CZ313" i="82"/>
  <c r="CZ146" i="2"/>
  <c r="CZ143" i="2"/>
  <c r="CZ140" i="2"/>
  <c r="CZ137" i="2"/>
  <c r="CZ61" i="2"/>
  <c r="CZ84" i="2"/>
  <c r="CZ9" i="2"/>
  <c r="CZ133" i="2"/>
  <c r="CZ130" i="2"/>
  <c r="BT582" i="1"/>
  <c r="CP214" i="2"/>
  <c r="CP213" i="2"/>
  <c r="CQ214" i="2"/>
  <c r="BM590" i="1"/>
  <c r="BM574" i="1"/>
  <c r="DH251" i="82"/>
  <c r="DH252" i="82"/>
  <c r="BE589" i="1"/>
  <c r="BI571" i="1"/>
  <c r="BE570" i="1"/>
  <c r="CY313" i="82"/>
  <c r="CY84" i="2"/>
  <c r="CY146" i="2"/>
  <c r="CY143" i="2"/>
  <c r="CY140" i="2"/>
  <c r="CY137" i="2"/>
  <c r="CY61" i="2"/>
  <c r="CY9" i="2"/>
  <c r="CY130" i="2"/>
  <c r="CY133" i="2"/>
  <c r="AU624" i="1"/>
  <c r="AU127" i="1"/>
  <c r="AG76" i="3" s="1"/>
  <c r="AU122" i="1"/>
  <c r="AZ122" i="1"/>
  <c r="BK625" i="1"/>
  <c r="CJ116" i="2"/>
  <c r="CJ115" i="2"/>
  <c r="AP196" i="7"/>
  <c r="AP197" i="7" s="1"/>
  <c r="AL9" i="3"/>
  <c r="AZ160" i="2"/>
  <c r="AZ178" i="2"/>
  <c r="AZ50" i="2"/>
  <c r="AZ37" i="2"/>
  <c r="CL213" i="2"/>
  <c r="CL214" i="2"/>
  <c r="CQ213" i="2"/>
  <c r="AZ158" i="2"/>
  <c r="DA580" i="1"/>
  <c r="DA581" i="1"/>
  <c r="DA583" i="1" s="1"/>
  <c r="DA605" i="1" s="1"/>
  <c r="CS248" i="82"/>
  <c r="CS249" i="82"/>
  <c r="G16" i="113"/>
  <c r="G18" i="113" s="1"/>
  <c r="G43" i="113"/>
  <c r="BA326" i="1"/>
  <c r="BF326" i="1"/>
  <c r="R487" i="113"/>
  <c r="R471" i="113"/>
  <c r="R501" i="113"/>
  <c r="R502" i="113"/>
  <c r="AX592" i="1"/>
  <c r="AX611" i="1" s="1"/>
  <c r="AX599" i="1"/>
  <c r="CZ227" i="82"/>
  <c r="CZ247" i="82"/>
  <c r="CZ240" i="82"/>
  <c r="CZ213" i="82"/>
  <c r="CZ196" i="82"/>
  <c r="CZ253" i="82"/>
  <c r="U125" i="1"/>
  <c r="Z125" i="1"/>
  <c r="CF599" i="1"/>
  <c r="CF592" i="1"/>
  <c r="CF611" i="1" s="1"/>
  <c r="CV370" i="82"/>
  <c r="CV384" i="82"/>
  <c r="CV261" i="82"/>
  <c r="CV338" i="82"/>
  <c r="CV330" i="82"/>
  <c r="CV339" i="82"/>
  <c r="CV398" i="82"/>
  <c r="BL137" i="1"/>
  <c r="CN375" i="1"/>
  <c r="DC212" i="82"/>
  <c r="DC239" i="82"/>
  <c r="AP334" i="1"/>
  <c r="AP182" i="2"/>
  <c r="AP179" i="2"/>
  <c r="AP95" i="2"/>
  <c r="AP76" i="2"/>
  <c r="AP164" i="2"/>
  <c r="AP350" i="2"/>
  <c r="AP161" i="2"/>
  <c r="AP362" i="2"/>
  <c r="DB304" i="1"/>
  <c r="M40" i="11"/>
  <c r="BO80" i="7"/>
  <c r="CM339" i="2"/>
  <c r="CM63" i="2"/>
  <c r="CM13" i="2"/>
  <c r="CL366" i="2"/>
  <c r="CM378" i="2"/>
  <c r="CI102" i="2"/>
  <c r="CL102" i="2"/>
  <c r="CM126" i="2"/>
  <c r="CM381" i="2"/>
  <c r="CI366" i="2"/>
  <c r="CM117" i="2"/>
  <c r="CM377" i="2"/>
  <c r="CM380" i="2"/>
  <c r="CM379" i="2"/>
  <c r="CM123" i="2"/>
  <c r="CM120" i="2"/>
  <c r="CM114" i="2"/>
  <c r="CK102" i="2"/>
  <c r="DD325" i="1"/>
  <c r="DK313" i="82"/>
  <c r="DK146" i="2"/>
  <c r="DK143" i="2"/>
  <c r="DK140" i="2"/>
  <c r="DK137" i="2"/>
  <c r="DK61" i="2"/>
  <c r="DK9" i="2"/>
  <c r="DK133" i="2"/>
  <c r="DK130" i="2"/>
  <c r="DE313" i="82"/>
  <c r="DE61" i="2"/>
  <c r="DE84" i="2"/>
  <c r="DE140" i="2"/>
  <c r="DE137" i="2"/>
  <c r="DE9" i="2"/>
  <c r="DE133" i="2"/>
  <c r="DE130" i="2"/>
  <c r="DE143" i="2"/>
  <c r="DE146" i="2"/>
  <c r="CO130" i="1"/>
  <c r="CU520" i="1"/>
  <c r="CU630" i="1" s="1"/>
  <c r="CW128" i="1"/>
  <c r="CW134" i="1"/>
  <c r="CW133" i="1"/>
  <c r="CS130" i="1"/>
  <c r="CU130" i="1"/>
  <c r="CT130" i="1"/>
  <c r="AE196" i="7"/>
  <c r="AE197" i="7" s="1"/>
  <c r="AL77" i="2"/>
  <c r="AL178" i="2"/>
  <c r="AL50" i="2"/>
  <c r="AL160" i="2"/>
  <c r="AL37" i="2"/>
  <c r="CU249" i="82"/>
  <c r="CU248" i="82"/>
  <c r="BC176" i="2"/>
  <c r="BC177" i="2"/>
  <c r="BH176" i="2"/>
  <c r="CX313" i="82"/>
  <c r="CX388" i="2"/>
  <c r="CX84" i="2"/>
  <c r="CX337" i="2"/>
  <c r="CX146" i="2"/>
  <c r="CX143" i="2"/>
  <c r="CX140" i="2"/>
  <c r="CX137" i="2"/>
  <c r="CX354" i="2"/>
  <c r="CX61" i="2"/>
  <c r="CX9" i="2"/>
  <c r="CX130" i="2"/>
  <c r="CX383" i="2"/>
  <c r="CX387" i="2"/>
  <c r="CX133" i="2"/>
  <c r="CX385" i="2"/>
  <c r="CX386" i="2"/>
  <c r="CX384" i="2"/>
  <c r="DB544" i="1"/>
  <c r="AT492" i="1"/>
  <c r="AP497" i="1"/>
  <c r="AR497" i="1"/>
  <c r="AQ497" i="1"/>
  <c r="AY492" i="1"/>
  <c r="BN583" i="1"/>
  <c r="BN605" i="1" s="1"/>
  <c r="BJ605" i="1"/>
  <c r="AU152" i="2"/>
  <c r="AU153" i="2"/>
  <c r="CQ384" i="82"/>
  <c r="CQ398" i="82"/>
  <c r="CQ370" i="82"/>
  <c r="CQ261" i="82"/>
  <c r="CQ338" i="82"/>
  <c r="CQ330" i="82"/>
  <c r="CQ339" i="82"/>
  <c r="CD358" i="2"/>
  <c r="CD341" i="2"/>
  <c r="CD166" i="2"/>
  <c r="CD150" i="2"/>
  <c r="CD65" i="2"/>
  <c r="CD27" i="2"/>
  <c r="CD88" i="2"/>
  <c r="CI341" i="2"/>
  <c r="CI65" i="2"/>
  <c r="CO118" i="2"/>
  <c r="CO119" i="2"/>
  <c r="AO373" i="2"/>
  <c r="BC171" i="2"/>
  <c r="BC170" i="2"/>
  <c r="CM212" i="2"/>
  <c r="DH227" i="82"/>
  <c r="DH240" i="82"/>
  <c r="DH213" i="82"/>
  <c r="DH196" i="82"/>
  <c r="DH253" i="82"/>
  <c r="DH247" i="82"/>
  <c r="CU561" i="1"/>
  <c r="CU373" i="1"/>
  <c r="CU375" i="1" s="1"/>
  <c r="CU376" i="1" s="1"/>
  <c r="CU370" i="1" s="1"/>
  <c r="C35" i="113"/>
  <c r="CV521" i="1"/>
  <c r="AV597" i="1"/>
  <c r="DB101" i="2"/>
  <c r="BT175" i="2"/>
  <c r="BT349" i="2"/>
  <c r="BT157" i="2"/>
  <c r="BT73" i="2"/>
  <c r="AK123" i="1"/>
  <c r="AK127" i="1"/>
  <c r="AK122" i="1"/>
  <c r="AZ378" i="1"/>
  <c r="AZ380" i="1" s="1"/>
  <c r="AZ381" i="1" s="1"/>
  <c r="AZ371" i="1" s="1"/>
  <c r="AZ561" i="1"/>
  <c r="AZ373" i="1"/>
  <c r="AZ87" i="1"/>
  <c r="AZ565" i="1" s="1"/>
  <c r="CS144" i="2"/>
  <c r="DK247" i="82"/>
  <c r="DK240" i="82"/>
  <c r="DK213" i="82"/>
  <c r="DK196" i="82"/>
  <c r="DK253" i="82"/>
  <c r="CY559" i="1"/>
  <c r="CZ226" i="82"/>
  <c r="CZ212" i="82"/>
  <c r="CZ239" i="82"/>
  <c r="CU198" i="82"/>
  <c r="CU228" i="82"/>
  <c r="CU214" i="82"/>
  <c r="CU241" i="82"/>
  <c r="BX436" i="1"/>
  <c r="BX437" i="1" s="1"/>
  <c r="BT437" i="1"/>
  <c r="BX87" i="1"/>
  <c r="BX565" i="1" s="1"/>
  <c r="BX561" i="1"/>
  <c r="CW245" i="82"/>
  <c r="AZ583" i="1"/>
  <c r="BE578" i="1" s="1"/>
  <c r="DI227" i="82"/>
  <c r="DI240" i="82"/>
  <c r="DI213" i="82"/>
  <c r="CZ215" i="2"/>
  <c r="CY215" i="2"/>
  <c r="CS544" i="1"/>
  <c r="BW358" i="2"/>
  <c r="BW88" i="2"/>
  <c r="BW65" i="2"/>
  <c r="BW341" i="2"/>
  <c r="BW166" i="2"/>
  <c r="BW150" i="2"/>
  <c r="BW27" i="2"/>
  <c r="CT213" i="2"/>
  <c r="CT214" i="2"/>
  <c r="CY213" i="2"/>
  <c r="BC129" i="1"/>
  <c r="BC128" i="1"/>
  <c r="BC133" i="1"/>
  <c r="BC136" i="1"/>
  <c r="BE129" i="1"/>
  <c r="BC134" i="1"/>
  <c r="CO563" i="1"/>
  <c r="CO565" i="1"/>
  <c r="CY135" i="1"/>
  <c r="DI194" i="82"/>
  <c r="AA81" i="3"/>
  <c r="AA74" i="3"/>
  <c r="AA77" i="3"/>
  <c r="CH373" i="1"/>
  <c r="CD375" i="1"/>
  <c r="P10" i="113"/>
  <c r="BB590" i="1"/>
  <c r="BB574" i="1"/>
  <c r="BN561" i="1"/>
  <c r="BN87" i="1"/>
  <c r="BN565" i="1" s="1"/>
  <c r="AO62" i="7"/>
  <c r="CV147" i="2"/>
  <c r="CV148" i="2"/>
  <c r="AE81" i="1"/>
  <c r="AE87" i="1" s="1"/>
  <c r="CP579" i="1"/>
  <c r="CP582" i="1" s="1"/>
  <c r="CP606" i="1" s="1"/>
  <c r="CP607" i="1" s="1"/>
  <c r="CN563" i="1"/>
  <c r="CN565" i="1"/>
  <c r="DB135" i="1"/>
  <c r="CW401" i="1"/>
  <c r="CW396" i="1"/>
  <c r="DC247" i="82"/>
  <c r="DC240" i="82"/>
  <c r="DC213" i="82"/>
  <c r="DC196" i="82"/>
  <c r="DC227" i="82"/>
  <c r="DC253" i="82"/>
  <c r="CO589" i="1"/>
  <c r="CO570" i="1"/>
  <c r="T384" i="2"/>
  <c r="T357" i="2"/>
  <c r="T377" i="2"/>
  <c r="V357" i="2"/>
  <c r="U10" i="2"/>
  <c r="Y340" i="2"/>
  <c r="CW303" i="1"/>
  <c r="CT249" i="82"/>
  <c r="CT248" i="82"/>
  <c r="AF74" i="3"/>
  <c r="AF81" i="3"/>
  <c r="AF83" i="3" s="1"/>
  <c r="AF85" i="3" s="1"/>
  <c r="AF77" i="3"/>
  <c r="AK74" i="3"/>
  <c r="CH69" i="2"/>
  <c r="CH346" i="2"/>
  <c r="CM69" i="2"/>
  <c r="CM346" i="2"/>
  <c r="BW349" i="2"/>
  <c r="BW157" i="2"/>
  <c r="BW175" i="2"/>
  <c r="BW73" i="2"/>
  <c r="CS373" i="1"/>
  <c r="CS375" i="1" s="1"/>
  <c r="CS376" i="1" s="1"/>
  <c r="CS370" i="1" s="1"/>
  <c r="CS561" i="1"/>
  <c r="BD54" i="2"/>
  <c r="CP135" i="1"/>
  <c r="AX170" i="2"/>
  <c r="CG125" i="2"/>
  <c r="CG124" i="2"/>
  <c r="CL124" i="2"/>
  <c r="CS234" i="7"/>
  <c r="CM212" i="82"/>
  <c r="CR212" i="82"/>
  <c r="CK366" i="2"/>
  <c r="CD590" i="1"/>
  <c r="CD574" i="1"/>
  <c r="AJ36" i="2"/>
  <c r="AJ34" i="2"/>
  <c r="Q484" i="113"/>
  <c r="BC590" i="1"/>
  <c r="BC574" i="1"/>
  <c r="CM475" i="1"/>
  <c r="DF135" i="1"/>
  <c r="CS545" i="1"/>
  <c r="BH152" i="2"/>
  <c r="CZ559" i="1"/>
  <c r="CV198" i="82"/>
  <c r="CV228" i="82"/>
  <c r="CV214" i="82"/>
  <c r="CV241" i="82"/>
  <c r="CC234" i="7"/>
  <c r="CC235" i="7" s="1"/>
  <c r="CD235" i="7" s="1"/>
  <c r="DC559" i="1"/>
  <c r="DK562" i="1"/>
  <c r="DK560" i="1"/>
  <c r="DA251" i="82"/>
  <c r="DA252" i="82"/>
  <c r="BX583" i="1"/>
  <c r="BX605" i="1" s="1"/>
  <c r="BT605" i="1"/>
  <c r="BA196" i="7"/>
  <c r="BA197" i="7" s="1"/>
  <c r="AY9" i="3"/>
  <c r="BM50" i="2"/>
  <c r="BM160" i="2"/>
  <c r="BM178" i="2"/>
  <c r="BM37" i="2"/>
  <c r="CU545" i="1"/>
  <c r="AD196" i="7"/>
  <c r="AD197" i="7" s="1"/>
  <c r="W9" i="3"/>
  <c r="AK160" i="2"/>
  <c r="AK178" i="2"/>
  <c r="AK50" i="2"/>
  <c r="AK77" i="2"/>
  <c r="AK37" i="2"/>
  <c r="CX251" i="82"/>
  <c r="CX252" i="82"/>
  <c r="CL447" i="1"/>
  <c r="CS254" i="82"/>
  <c r="CS255" i="82"/>
  <c r="CO135" i="1"/>
  <c r="BD136" i="1"/>
  <c r="BD134" i="1"/>
  <c r="BD133" i="1"/>
  <c r="AP376" i="1"/>
  <c r="AP370" i="1" s="1"/>
  <c r="CU255" i="82"/>
  <c r="CU254" i="82"/>
  <c r="CU555" i="1"/>
  <c r="BC158" i="2"/>
  <c r="BC159" i="2"/>
  <c r="BH158" i="2"/>
  <c r="BX364" i="2"/>
  <c r="DB70" i="1"/>
  <c r="DB325" i="1"/>
  <c r="DB7" i="2"/>
  <c r="DB485" i="1"/>
  <c r="CN121" i="2"/>
  <c r="CN124" i="2"/>
  <c r="AY616" i="1"/>
  <c r="BD116" i="1"/>
  <c r="CN137" i="1"/>
  <c r="CK578" i="1"/>
  <c r="CK622" i="1"/>
  <c r="CK623" i="1" s="1"/>
  <c r="AY54" i="2"/>
  <c r="AU57" i="2"/>
  <c r="CQ131" i="2"/>
  <c r="CQ132" i="2"/>
  <c r="BS80" i="7"/>
  <c r="CQ339" i="2"/>
  <c r="CQ86" i="2"/>
  <c r="CQ356" i="2"/>
  <c r="CQ63" i="2"/>
  <c r="CQ13" i="2"/>
  <c r="CQ380" i="2"/>
  <c r="CQ381" i="2"/>
  <c r="CQ126" i="2"/>
  <c r="CQ123" i="2"/>
  <c r="CQ377" i="2"/>
  <c r="CQ379" i="2"/>
  <c r="CQ117" i="2"/>
  <c r="CQ378" i="2"/>
  <c r="CQ114" i="2"/>
  <c r="CQ120" i="2"/>
  <c r="CU131" i="2"/>
  <c r="CU132" i="2"/>
  <c r="O304" i="113"/>
  <c r="O316" i="113" s="1"/>
  <c r="O482" i="113"/>
  <c r="P494" i="113" s="1"/>
  <c r="K14" i="113"/>
  <c r="BD151" i="2"/>
  <c r="BD71" i="2"/>
  <c r="BD348" i="2"/>
  <c r="BD169" i="2"/>
  <c r="BB373" i="2"/>
  <c r="AZ373" i="2"/>
  <c r="BA373" i="2"/>
  <c r="BU592" i="1"/>
  <c r="BU611" i="1" s="1"/>
  <c r="BU599" i="1"/>
  <c r="CO115" i="2"/>
  <c r="CO116" i="2"/>
  <c r="CJ213" i="2"/>
  <c r="CJ214" i="2"/>
  <c r="BC36" i="2"/>
  <c r="BC34" i="2"/>
  <c r="AZ497" i="1"/>
  <c r="R8" i="113"/>
  <c r="CW313" i="82"/>
  <c r="CW61" i="2"/>
  <c r="CW337" i="2"/>
  <c r="CW9" i="2"/>
  <c r="CW146" i="2"/>
  <c r="CW386" i="2"/>
  <c r="CW388" i="2"/>
  <c r="CW385" i="2"/>
  <c r="CW387" i="2"/>
  <c r="CW140" i="2"/>
  <c r="CW133" i="2"/>
  <c r="CW383" i="2"/>
  <c r="CW384" i="2"/>
  <c r="CW130" i="2"/>
  <c r="CW143" i="2"/>
  <c r="CW137" i="2"/>
  <c r="BE137" i="1"/>
  <c r="CU571" i="1"/>
  <c r="CU572" i="1"/>
  <c r="AV598" i="1"/>
  <c r="U62" i="113"/>
  <c r="CM101" i="2"/>
  <c r="AZ572" i="1"/>
  <c r="AZ571" i="1"/>
  <c r="CS134" i="2"/>
  <c r="CT100" i="2"/>
  <c r="DH560" i="1"/>
  <c r="DH325" i="1"/>
  <c r="BH599" i="1"/>
  <c r="BH592" i="1"/>
  <c r="BH611" i="1" s="1"/>
  <c r="BL470" i="1"/>
  <c r="BL33" i="1"/>
  <c r="BL584" i="1"/>
  <c r="BH135" i="1"/>
  <c r="CV141" i="2"/>
  <c r="CV142" i="2"/>
  <c r="DD246" i="82"/>
  <c r="DD245" i="82"/>
  <c r="CT198" i="82"/>
  <c r="CT228" i="82"/>
  <c r="CT214" i="82"/>
  <c r="CT241" i="82"/>
  <c r="AX36" i="2"/>
  <c r="AX34" i="2"/>
  <c r="AV610" i="1"/>
  <c r="CT544" i="1"/>
  <c r="DE559" i="1"/>
  <c r="BX365" i="2"/>
  <c r="CO578" i="1"/>
  <c r="CO622" i="1"/>
  <c r="CO623" i="1" s="1"/>
  <c r="AY373" i="1"/>
  <c r="AU375" i="1"/>
  <c r="CK125" i="2"/>
  <c r="CK124" i="2"/>
  <c r="CL125" i="2"/>
  <c r="DE75" i="1"/>
  <c r="BX373" i="1"/>
  <c r="BT375" i="1"/>
  <c r="AF334" i="1"/>
  <c r="AJ57" i="2"/>
  <c r="AF179" i="2"/>
  <c r="AF161" i="2"/>
  <c r="AG95" i="2"/>
  <c r="AG362" i="2"/>
  <c r="CZ135" i="1"/>
  <c r="AR196" i="7"/>
  <c r="AR197" i="7" s="1"/>
  <c r="AN9" i="3"/>
  <c r="BB178" i="2"/>
  <c r="BB50" i="2"/>
  <c r="BB160" i="2"/>
  <c r="BB37" i="2"/>
  <c r="CI606" i="1"/>
  <c r="CI622" i="1" s="1"/>
  <c r="Z196" i="7"/>
  <c r="Z197" i="7" s="1"/>
  <c r="R9" i="3"/>
  <c r="AF178" i="2"/>
  <c r="AF50" i="2"/>
  <c r="AF160" i="2"/>
  <c r="AF37" i="2"/>
  <c r="DG277" i="82"/>
  <c r="DG266" i="82"/>
  <c r="DA325" i="1"/>
  <c r="BB589" i="1"/>
  <c r="BB570" i="1"/>
  <c r="BX80" i="7"/>
  <c r="CV356" i="2"/>
  <c r="CV339" i="2"/>
  <c r="CV86" i="2"/>
  <c r="CV63" i="2"/>
  <c r="CV13" i="2"/>
  <c r="CV126" i="2"/>
  <c r="CV379" i="2"/>
  <c r="CV117" i="2"/>
  <c r="CV381" i="2"/>
  <c r="CV123" i="2"/>
  <c r="CV380" i="2"/>
  <c r="CV378" i="2"/>
  <c r="CV377" i="2"/>
  <c r="CV120" i="2"/>
  <c r="CV114" i="2"/>
  <c r="DD239" i="82"/>
  <c r="DD226" i="82"/>
  <c r="DD212" i="82"/>
  <c r="AE492" i="1"/>
  <c r="AA497" i="1"/>
  <c r="AB497" i="1"/>
  <c r="AC497" i="1"/>
  <c r="AD497" i="1"/>
  <c r="AJ492" i="1"/>
  <c r="DB128" i="1"/>
  <c r="U316" i="113"/>
  <c r="CO590" i="1"/>
  <c r="CO574" i="1"/>
  <c r="DM212" i="82"/>
  <c r="CJ590" i="1"/>
  <c r="CJ574" i="1"/>
  <c r="AX176" i="2"/>
  <c r="BX625" i="1"/>
  <c r="CW304" i="1"/>
  <c r="CF588" i="1"/>
  <c r="CF573" i="1"/>
  <c r="CT255" i="82"/>
  <c r="CT254" i="82"/>
  <c r="AL121" i="1"/>
  <c r="AQ122" i="1" s="1"/>
  <c r="AM117" i="1"/>
  <c r="AL117" i="1"/>
  <c r="AL116" i="1"/>
  <c r="BW366" i="2"/>
  <c r="CP138" i="2"/>
  <c r="CP139" i="2"/>
  <c r="CP144" i="2"/>
  <c r="CP145" i="2"/>
  <c r="CP398" i="82"/>
  <c r="CP370" i="82"/>
  <c r="CP384" i="82"/>
  <c r="CP261" i="82"/>
  <c r="CP338" i="82"/>
  <c r="CP339" i="82"/>
  <c r="CP330" i="82"/>
  <c r="CS571" i="1"/>
  <c r="CS572" i="1"/>
  <c r="AZ334" i="1"/>
  <c r="AZ161" i="2"/>
  <c r="AZ179" i="2"/>
  <c r="DE245" i="82"/>
  <c r="DE246" i="82"/>
  <c r="Y476" i="1"/>
  <c r="CM375" i="1"/>
  <c r="CM376" i="1" s="1"/>
  <c r="CM370" i="1" s="1"/>
  <c r="CI376" i="1"/>
  <c r="CI370" i="1" s="1"/>
  <c r="CE366" i="2"/>
  <c r="AI196" i="7"/>
  <c r="AI197" i="7" s="1"/>
  <c r="AQ160" i="2"/>
  <c r="AQ77" i="2"/>
  <c r="AQ178" i="2"/>
  <c r="AQ50" i="2"/>
  <c r="AQ37" i="2"/>
  <c r="BF592" i="1"/>
  <c r="BF611" i="1" s="1"/>
  <c r="BF599" i="1"/>
  <c r="CG116" i="2"/>
  <c r="CG115" i="2"/>
  <c r="CM214" i="82"/>
  <c r="CM241" i="82"/>
  <c r="CR214" i="82"/>
  <c r="CZ245" i="82"/>
  <c r="CZ246" i="82"/>
  <c r="CV130" i="1"/>
  <c r="CJ122" i="2"/>
  <c r="CJ121" i="2"/>
  <c r="CJ366" i="2"/>
  <c r="CK119" i="2"/>
  <c r="CK118" i="2"/>
  <c r="CL119" i="2"/>
  <c r="CK122" i="2"/>
  <c r="CK121" i="2"/>
  <c r="CL122" i="2"/>
  <c r="BM92" i="7"/>
  <c r="BM91" i="7"/>
  <c r="BM104" i="7"/>
  <c r="BM83" i="7"/>
  <c r="BM94" i="7"/>
  <c r="BM96" i="7"/>
  <c r="BM172" i="7"/>
  <c r="BM82" i="7"/>
  <c r="BM73" i="7" s="1"/>
  <c r="BM98" i="7"/>
  <c r="BM89" i="7"/>
  <c r="T304" i="113"/>
  <c r="T482" i="113"/>
  <c r="CD589" i="1"/>
  <c r="CD570" i="1"/>
  <c r="BT135" i="1"/>
  <c r="BC589" i="1"/>
  <c r="BC570" i="1"/>
  <c r="BV591" i="1"/>
  <c r="BV612" i="1" s="1"/>
  <c r="BV613" i="1" s="1"/>
  <c r="BV569" i="1"/>
  <c r="DD581" i="1"/>
  <c r="DD583" i="1" s="1"/>
  <c r="DD605" i="1" s="1"/>
  <c r="CZ325" i="1"/>
  <c r="DL213" i="2"/>
  <c r="DK215" i="2"/>
  <c r="DH215" i="2"/>
  <c r="DG135" i="1"/>
  <c r="DC313" i="82"/>
  <c r="DC146" i="2"/>
  <c r="DC140" i="2"/>
  <c r="DC137" i="2"/>
  <c r="DC84" i="2"/>
  <c r="DC61" i="2"/>
  <c r="DC9" i="2"/>
  <c r="DC130" i="2"/>
  <c r="DC133" i="2"/>
  <c r="DC143" i="2"/>
  <c r="DA227" i="82"/>
  <c r="DA247" i="82"/>
  <c r="DA240" i="82"/>
  <c r="DA213" i="82"/>
  <c r="DA196" i="82"/>
  <c r="DA253" i="82"/>
  <c r="DI215" i="2"/>
  <c r="CS226" i="82"/>
  <c r="CS212" i="82"/>
  <c r="CS239" i="82"/>
  <c r="BA497" i="1"/>
  <c r="DM84" i="2"/>
  <c r="AF137" i="1"/>
  <c r="CN275" i="82"/>
  <c r="CN287" i="82"/>
  <c r="CN410" i="82"/>
  <c r="CN297" i="82"/>
  <c r="CN298" i="82"/>
  <c r="CN295" i="82"/>
  <c r="DA559" i="1"/>
  <c r="AQ196" i="7"/>
  <c r="AQ197" i="7" s="1"/>
  <c r="AM9" i="3"/>
  <c r="BA160" i="2"/>
  <c r="BA178" i="2"/>
  <c r="BA77" i="2"/>
  <c r="BA50" i="2"/>
  <c r="BA37" i="2"/>
  <c r="BF77" i="2"/>
  <c r="CN115" i="2"/>
  <c r="CN127" i="2"/>
  <c r="BP98" i="7"/>
  <c r="BP82" i="7"/>
  <c r="BP73" i="7" s="1"/>
  <c r="BP96" i="7"/>
  <c r="BP94" i="7"/>
  <c r="BP89" i="7"/>
  <c r="BP92" i="7"/>
  <c r="BP172" i="7"/>
  <c r="BP91" i="7"/>
  <c r="BP83" i="7"/>
  <c r="BP104" i="7"/>
  <c r="AT396" i="1"/>
  <c r="AT401" i="1"/>
  <c r="AO170" i="2"/>
  <c r="AY597" i="1"/>
  <c r="BJ582" i="1"/>
  <c r="AU170" i="2"/>
  <c r="AU171" i="2"/>
  <c r="BA561" i="1"/>
  <c r="BA373" i="1"/>
  <c r="BA375" i="1" s="1"/>
  <c r="BA376" i="1" s="1"/>
  <c r="BA370" i="1" s="1"/>
  <c r="BA378" i="1"/>
  <c r="BA380" i="1" s="1"/>
  <c r="BA381" i="1" s="1"/>
  <c r="BA371" i="1" s="1"/>
  <c r="BA87" i="1"/>
  <c r="BA565" i="1" s="1"/>
  <c r="CJ400" i="1"/>
  <c r="CJ402" i="1"/>
  <c r="CJ526" i="1"/>
  <c r="CJ527" i="1"/>
  <c r="CO527" i="1"/>
  <c r="CD366" i="2"/>
  <c r="BF91" i="7"/>
  <c r="BF98" i="7"/>
  <c r="BF82" i="7"/>
  <c r="BF73" i="7" s="1"/>
  <c r="BF96" i="7"/>
  <c r="BF94" i="7"/>
  <c r="BF172" i="7"/>
  <c r="BF92" i="7"/>
  <c r="BF104" i="7"/>
  <c r="BF83" i="7"/>
  <c r="BF89" i="7"/>
  <c r="CU141" i="2"/>
  <c r="CU142" i="2"/>
  <c r="CH396" i="1"/>
  <c r="CH393" i="1"/>
  <c r="CH405" i="1" s="1"/>
  <c r="CH404" i="1"/>
  <c r="CH412" i="1" s="1"/>
  <c r="CH395" i="1"/>
  <c r="CH402" i="1"/>
  <c r="BD157" i="2"/>
  <c r="BD175" i="2"/>
  <c r="BD73" i="2"/>
  <c r="BD349" i="2"/>
  <c r="BA374" i="2"/>
  <c r="BI73" i="2"/>
  <c r="BI349" i="2"/>
  <c r="AZ374" i="2"/>
  <c r="BB374" i="2"/>
  <c r="BM137" i="1"/>
  <c r="CO121" i="2"/>
  <c r="CO122" i="2"/>
  <c r="CO127" i="2"/>
  <c r="CO128" i="2"/>
  <c r="BQ83" i="7"/>
  <c r="BQ96" i="7"/>
  <c r="BQ98" i="7"/>
  <c r="BQ82" i="7"/>
  <c r="BQ73" i="7" s="1"/>
  <c r="BQ92" i="7"/>
  <c r="BQ91" i="7"/>
  <c r="BQ94" i="7"/>
  <c r="BQ172" i="7"/>
  <c r="BQ89" i="7"/>
  <c r="BQ104" i="7"/>
  <c r="CY245" i="82"/>
  <c r="CY246" i="82"/>
  <c r="CX544" i="1"/>
  <c r="CS137" i="1"/>
  <c r="CV326" i="1"/>
  <c r="AV616" i="1"/>
  <c r="AV116" i="1"/>
  <c r="AV117" i="1"/>
  <c r="BA116" i="1"/>
  <c r="U128" i="113"/>
  <c r="U51" i="113"/>
  <c r="BU588" i="1"/>
  <c r="BU573" i="1"/>
  <c r="DF239" i="82"/>
  <c r="DF226" i="82"/>
  <c r="CN589" i="1"/>
  <c r="CN570" i="1"/>
  <c r="BL588" i="1"/>
  <c r="BL573" i="1"/>
  <c r="CS138" i="2"/>
  <c r="CS131" i="2"/>
  <c r="CS364" i="2"/>
  <c r="AU590" i="1"/>
  <c r="AY572" i="1"/>
  <c r="AU574" i="1"/>
  <c r="CT131" i="2"/>
  <c r="CT132" i="2"/>
  <c r="AU158" i="2"/>
  <c r="AU159" i="2"/>
  <c r="CQ141" i="2"/>
  <c r="CQ142" i="2"/>
  <c r="CU384" i="82"/>
  <c r="CU338" i="82"/>
  <c r="CU370" i="82"/>
  <c r="CU261" i="82"/>
  <c r="CU330" i="82"/>
  <c r="CU339" i="82"/>
  <c r="CU398" i="82"/>
  <c r="M43" i="113"/>
  <c r="M25" i="113"/>
  <c r="M16" i="113"/>
  <c r="M18" i="113" s="1"/>
  <c r="AX588" i="1"/>
  <c r="AX573" i="1"/>
  <c r="BG92" i="7"/>
  <c r="BG172" i="7"/>
  <c r="BG83" i="7"/>
  <c r="BG82" i="7"/>
  <c r="BG73" i="7" s="1"/>
  <c r="BG104" i="7"/>
  <c r="BG98" i="7"/>
  <c r="BG91" i="7"/>
  <c r="BG94" i="7"/>
  <c r="BG96" i="7"/>
  <c r="BG89" i="7"/>
  <c r="AM196" i="7"/>
  <c r="AM197" i="7" s="1"/>
  <c r="AH9" i="3"/>
  <c r="AV178" i="2"/>
  <c r="AV50" i="2"/>
  <c r="AV160" i="2"/>
  <c r="AV77" i="2"/>
  <c r="AV37" i="2"/>
  <c r="CM254" i="82"/>
  <c r="CR254" i="82"/>
  <c r="CV135" i="1"/>
  <c r="CX239" i="82"/>
  <c r="CX226" i="82"/>
  <c r="CX212" i="82"/>
  <c r="T128" i="113"/>
  <c r="T51" i="113"/>
  <c r="BN373" i="1"/>
  <c r="BJ375" i="1"/>
  <c r="CN582" i="1"/>
  <c r="DC246" i="82"/>
  <c r="DC245" i="82"/>
  <c r="AL106" i="1"/>
  <c r="AL107" i="1"/>
  <c r="AL389" i="1"/>
  <c r="DE251" i="82"/>
  <c r="DE252" i="82"/>
  <c r="CH561" i="1"/>
  <c r="CH565" i="1"/>
  <c r="CJ125" i="2"/>
  <c r="CJ124" i="2"/>
  <c r="AT196" i="7"/>
  <c r="AQ9" i="3"/>
  <c r="BE50" i="2"/>
  <c r="BE160" i="2"/>
  <c r="BE77" i="2"/>
  <c r="BE178" i="2"/>
  <c r="BE37" i="2"/>
  <c r="AS91" i="1"/>
  <c r="AS93" i="1"/>
  <c r="AX91" i="1"/>
  <c r="AS115" i="1"/>
  <c r="AS99" i="1"/>
  <c r="AT99" i="1" s="1"/>
  <c r="AT90" i="1"/>
  <c r="X137" i="1"/>
  <c r="DG70" i="1"/>
  <c r="DG7" i="2"/>
  <c r="DK559" i="1"/>
  <c r="DA245" i="82"/>
  <c r="DA246" i="82"/>
  <c r="CR128" i="1"/>
  <c r="CR133" i="1"/>
  <c r="CR134" i="1"/>
  <c r="CN130" i="1"/>
  <c r="CQ130" i="1"/>
  <c r="AQ123" i="1"/>
  <c r="AQ127" i="1"/>
  <c r="AC76" i="3" s="1"/>
  <c r="AO36" i="2"/>
  <c r="AO34" i="2"/>
  <c r="CX196" i="82"/>
  <c r="CX227" i="82"/>
  <c r="CX253" i="82"/>
  <c r="CX247" i="82"/>
  <c r="CX213" i="82"/>
  <c r="CX240" i="82"/>
  <c r="CP147" i="2"/>
  <c r="CP148" i="2"/>
  <c r="BF625" i="1"/>
  <c r="DD135" i="1"/>
  <c r="CG341" i="2"/>
  <c r="CG358" i="2"/>
  <c r="CG166" i="2"/>
  <c r="CG150" i="2"/>
  <c r="CG88" i="2"/>
  <c r="CG65" i="2"/>
  <c r="CG27" i="2"/>
  <c r="CI88" i="2"/>
  <c r="CI358" i="2"/>
  <c r="CY325" i="1"/>
  <c r="CJ137" i="1"/>
  <c r="DD240" i="82"/>
  <c r="DD213" i="82"/>
  <c r="DD196" i="82"/>
  <c r="DD247" i="82"/>
  <c r="DD227" i="82"/>
  <c r="DD253" i="82"/>
  <c r="DB204" i="2"/>
  <c r="T469" i="113"/>
  <c r="DG195" i="82"/>
  <c r="DG194" i="82" s="1"/>
  <c r="DG211" i="82"/>
  <c r="DG257" i="82"/>
  <c r="DG244" i="82"/>
  <c r="DG242" i="82"/>
  <c r="DG256" i="82"/>
  <c r="DG250" i="82"/>
  <c r="CD137" i="1"/>
  <c r="BW590" i="1"/>
  <c r="BW574" i="1"/>
  <c r="BT589" i="1"/>
  <c r="BT570" i="1"/>
  <c r="CQ561" i="1"/>
  <c r="CQ373" i="1"/>
  <c r="CQ375" i="1" s="1"/>
  <c r="CQ376" i="1" s="1"/>
  <c r="CQ370" i="1" s="1"/>
  <c r="CJ589" i="1"/>
  <c r="CJ570" i="1"/>
  <c r="AX374" i="2"/>
  <c r="BX128" i="1"/>
  <c r="BX136" i="1"/>
  <c r="BX133" i="1"/>
  <c r="BW130" i="1"/>
  <c r="BV130" i="1"/>
  <c r="BX134" i="1"/>
  <c r="AN62" i="7"/>
  <c r="CH410" i="82"/>
  <c r="CH398" i="82"/>
  <c r="CH330" i="82"/>
  <c r="CH338" i="82"/>
  <c r="CH339" i="82"/>
  <c r="AT456" i="1"/>
  <c r="CP131" i="2"/>
  <c r="CP132" i="2"/>
  <c r="BR80" i="7"/>
  <c r="CP339" i="2"/>
  <c r="CP356" i="2"/>
  <c r="CP63" i="2"/>
  <c r="CP13" i="2"/>
  <c r="CP86" i="2"/>
  <c r="CP123" i="2"/>
  <c r="CP378" i="2"/>
  <c r="CP381" i="2"/>
  <c r="CP126" i="2"/>
  <c r="CP117" i="2"/>
  <c r="CP379" i="2"/>
  <c r="CP120" i="2"/>
  <c r="CP380" i="2"/>
  <c r="CP377" i="2"/>
  <c r="CP114" i="2"/>
  <c r="CG135" i="1"/>
  <c r="V478" i="1"/>
  <c r="CM373" i="1"/>
  <c r="CE358" i="2"/>
  <c r="CE88" i="2"/>
  <c r="CE65" i="2"/>
  <c r="CE341" i="2"/>
  <c r="CE166" i="2"/>
  <c r="CE150" i="2"/>
  <c r="CE27" i="2"/>
  <c r="CF358" i="2"/>
  <c r="CF88" i="2"/>
  <c r="CT373" i="1"/>
  <c r="CT375" i="1" s="1"/>
  <c r="CT376" i="1" s="1"/>
  <c r="CT370" i="1" s="1"/>
  <c r="CT561" i="1"/>
  <c r="AZ617" i="1"/>
  <c r="AY196" i="7"/>
  <c r="AY197" i="7" s="1"/>
  <c r="AW9" i="3"/>
  <c r="BK77" i="2"/>
  <c r="BK178" i="2"/>
  <c r="BK160" i="2"/>
  <c r="BK50" i="2"/>
  <c r="BK37" i="2"/>
  <c r="AD87" i="3"/>
  <c r="AD89" i="3"/>
  <c r="AN135" i="1"/>
  <c r="CG122" i="2"/>
  <c r="CG121" i="2"/>
  <c r="CL121" i="2"/>
  <c r="CJ128" i="2"/>
  <c r="CJ127" i="2"/>
  <c r="BL94" i="7"/>
  <c r="BL91" i="7"/>
  <c r="BL98" i="7"/>
  <c r="BL82" i="7"/>
  <c r="BL73" i="7" s="1"/>
  <c r="BL172" i="7"/>
  <c r="BL92" i="7"/>
  <c r="BL83" i="7"/>
  <c r="BL96" i="7"/>
  <c r="BL89" i="7"/>
  <c r="BL104" i="7"/>
  <c r="CK128" i="2"/>
  <c r="CK127" i="2"/>
  <c r="CL128" i="2"/>
  <c r="CK65" i="2"/>
  <c r="CK341" i="2"/>
  <c r="CK88" i="2"/>
  <c r="CK166" i="2"/>
  <c r="CK150" i="2"/>
  <c r="CK358" i="2"/>
  <c r="CK27" i="2"/>
  <c r="CK395" i="1"/>
  <c r="CK145" i="39" s="1"/>
  <c r="BT130" i="1"/>
  <c r="BI624" i="1"/>
  <c r="BI127" i="1"/>
  <c r="BD341" i="1" s="1"/>
  <c r="BI122" i="1"/>
  <c r="BN122" i="1"/>
  <c r="S129" i="1"/>
  <c r="S134" i="1"/>
  <c r="S133" i="1"/>
  <c r="X128" i="1"/>
  <c r="S136" i="1"/>
  <c r="CL88" i="2"/>
  <c r="DD559" i="1"/>
  <c r="CZ580" i="1"/>
  <c r="CZ581" i="1"/>
  <c r="CZ583" i="1" s="1"/>
  <c r="CZ605" i="1" s="1"/>
  <c r="BA135" i="1"/>
  <c r="CF208" i="7"/>
  <c r="CF218" i="7" s="1"/>
  <c r="CE218" i="7"/>
  <c r="DC325" i="1"/>
  <c r="DG389" i="1"/>
  <c r="CR136" i="1"/>
  <c r="DK325" i="1"/>
  <c r="DA194" i="82"/>
  <c r="DF212" i="82" s="1"/>
  <c r="DM246" i="82"/>
  <c r="BJ590" i="1"/>
  <c r="BN572" i="1"/>
  <c r="BJ574" i="1"/>
  <c r="CT226" i="82"/>
  <c r="CS555" i="1"/>
  <c r="CH135" i="1"/>
  <c r="CX245" i="82"/>
  <c r="CX246" i="82"/>
  <c r="DA313" i="82"/>
  <c r="DA301" i="82" s="1"/>
  <c r="DA146" i="2"/>
  <c r="DA143" i="2"/>
  <c r="DA140" i="2"/>
  <c r="DA137" i="2"/>
  <c r="DA61" i="2"/>
  <c r="DA84" i="2"/>
  <c r="DA9" i="2"/>
  <c r="DA130" i="2"/>
  <c r="DA133" i="2"/>
  <c r="CS241" i="82"/>
  <c r="CW196" i="82"/>
  <c r="CS198" i="82"/>
  <c r="CS214" i="82"/>
  <c r="CS228" i="82"/>
  <c r="CU521" i="1"/>
  <c r="DG545" i="1"/>
  <c r="Y137" i="1"/>
  <c r="AJ196" i="7"/>
  <c r="AJ197" i="7" s="1"/>
  <c r="AR160" i="2"/>
  <c r="AR77" i="2"/>
  <c r="AR178" i="2"/>
  <c r="AR50" i="2"/>
  <c r="AR37" i="2"/>
  <c r="DA215" i="2"/>
  <c r="CX396" i="1"/>
  <c r="CX325" i="1"/>
  <c r="CX401" i="1"/>
  <c r="CN358" i="2"/>
  <c r="CN65" i="2"/>
  <c r="CN341" i="2"/>
  <c r="CN166" i="2"/>
  <c r="CN150" i="2"/>
  <c r="CN27" i="2"/>
  <c r="CN88" i="2"/>
  <c r="AZ621" i="1"/>
  <c r="BA572" i="1"/>
  <c r="BA571" i="1"/>
  <c r="CU144" i="2"/>
  <c r="CU145" i="2"/>
  <c r="AX135" i="1"/>
  <c r="BI373" i="1"/>
  <c r="BE375" i="1"/>
  <c r="BA95" i="2"/>
  <c r="BA362" i="2"/>
  <c r="CO358" i="2"/>
  <c r="CO341" i="2"/>
  <c r="CO166" i="2"/>
  <c r="CO150" i="2"/>
  <c r="CO88" i="2"/>
  <c r="CO65" i="2"/>
  <c r="CO27" i="2"/>
  <c r="BC373" i="2"/>
  <c r="AS326" i="1"/>
  <c r="AX326" i="1"/>
  <c r="CT521" i="1"/>
  <c r="BD436" i="1"/>
  <c r="AZ437" i="1"/>
  <c r="CV520" i="1"/>
  <c r="CV630" i="1" s="1"/>
  <c r="AV599" i="1"/>
  <c r="CH365" i="2"/>
  <c r="BD559" i="1"/>
  <c r="BD81" i="1"/>
  <c r="DF196" i="82"/>
  <c r="DF227" i="82"/>
  <c r="DF253" i="82"/>
  <c r="DF247" i="82"/>
  <c r="DF213" i="82"/>
  <c r="DF240" i="82"/>
  <c r="CM365" i="2"/>
  <c r="BB96" i="7"/>
  <c r="BB94" i="7"/>
  <c r="BB91" i="7"/>
  <c r="BB82" i="7"/>
  <c r="BB73" i="7" s="1"/>
  <c r="BB172" i="7"/>
  <c r="BB83" i="7"/>
  <c r="BB104" i="7"/>
  <c r="BB98" i="7"/>
  <c r="BB92" i="7"/>
  <c r="BB89" i="7"/>
  <c r="BN36" i="2"/>
  <c r="BN34" i="2"/>
  <c r="BA74" i="7" s="1"/>
  <c r="CT555" i="1"/>
  <c r="CN590" i="1"/>
  <c r="CN574" i="1"/>
  <c r="CS141" i="2"/>
  <c r="CS261" i="82"/>
  <c r="CS384" i="82"/>
  <c r="CS370" i="82"/>
  <c r="CS338" i="82"/>
  <c r="CS330" i="82"/>
  <c r="CS339" i="82"/>
  <c r="CS398" i="82"/>
  <c r="AU589" i="1"/>
  <c r="AY571" i="1"/>
  <c r="AU570" i="1"/>
  <c r="DK251" i="82"/>
  <c r="N10" i="113"/>
  <c r="N28" i="113"/>
  <c r="CT139" i="2"/>
  <c r="CT138" i="2"/>
  <c r="BI582" i="1"/>
  <c r="CE570" i="1"/>
  <c r="CE589" i="1"/>
  <c r="BG590" i="1"/>
  <c r="BG574" i="1"/>
  <c r="DE239" i="82"/>
  <c r="DE226" i="82"/>
  <c r="DE212" i="82"/>
  <c r="J14" i="113"/>
  <c r="AY151" i="2"/>
  <c r="AY71" i="2"/>
  <c r="AY348" i="2"/>
  <c r="AY169" i="2"/>
  <c r="AV373" i="2"/>
  <c r="DF325" i="1"/>
  <c r="CM248" i="82"/>
  <c r="CR248" i="82"/>
  <c r="CD437" i="1"/>
  <c r="CH436" i="1"/>
  <c r="CH437" i="1" s="1"/>
  <c r="CF447" i="1"/>
  <c r="AE83" i="3"/>
  <c r="AE85" i="3" s="1"/>
  <c r="CW580" i="1"/>
  <c r="CS579" i="1"/>
  <c r="Z401" i="1"/>
  <c r="Z400" i="1"/>
  <c r="AE398" i="1"/>
  <c r="AZ135" i="1"/>
  <c r="DE325" i="1"/>
  <c r="CH583" i="1"/>
  <c r="CH605" i="1" s="1"/>
  <c r="CD605" i="1"/>
  <c r="CG589" i="1"/>
  <c r="CG570" i="1"/>
  <c r="AX196" i="7"/>
  <c r="AX197" i="7" s="1"/>
  <c r="AV9" i="3"/>
  <c r="BJ77" i="2"/>
  <c r="BJ178" i="2"/>
  <c r="BJ50" i="2"/>
  <c r="BJ160" i="2"/>
  <c r="BJ37" i="2"/>
  <c r="CM571" i="1"/>
  <c r="CM589" i="1" s="1"/>
  <c r="AM137" i="1"/>
  <c r="S9" i="11"/>
  <c r="CR436" i="1"/>
  <c r="DQ321" i="1"/>
  <c r="AU374" i="2"/>
  <c r="DB389" i="1"/>
  <c r="AC196" i="7"/>
  <c r="AC197" i="7" s="1"/>
  <c r="U9" i="3"/>
  <c r="AI160" i="2"/>
  <c r="AI178" i="2"/>
  <c r="AI50" i="2"/>
  <c r="AI37" i="2"/>
  <c r="BN135" i="1"/>
  <c r="CS521" i="1"/>
  <c r="CS437" i="1"/>
  <c r="CW436" i="1"/>
  <c r="CW437" i="1" s="1"/>
  <c r="DF313" i="82"/>
  <c r="DF146" i="2"/>
  <c r="DF140" i="2"/>
  <c r="DF137" i="2"/>
  <c r="DF61" i="2"/>
  <c r="DF84" i="2"/>
  <c r="DF9" i="2"/>
  <c r="DF130" i="2"/>
  <c r="DF143" i="2"/>
  <c r="DF133" i="2"/>
  <c r="CK116" i="2"/>
  <c r="CK115" i="2"/>
  <c r="CV254" i="82"/>
  <c r="CV255" i="82"/>
  <c r="AS373" i="1"/>
  <c r="AS378" i="1"/>
  <c r="AS380" i="1" s="1"/>
  <c r="AS381" i="1" s="1"/>
  <c r="AS371" i="1" s="1"/>
  <c r="AT371" i="1" s="1"/>
  <c r="AS87" i="1"/>
  <c r="CU326" i="1"/>
  <c r="H34" i="113"/>
  <c r="H16" i="113"/>
  <c r="H18" i="113" s="1"/>
  <c r="H43" i="113"/>
  <c r="CV132" i="2"/>
  <c r="CV131" i="2"/>
  <c r="AZ196" i="7"/>
  <c r="AZ197" i="7" s="1"/>
  <c r="AX9" i="3"/>
  <c r="BL178" i="2"/>
  <c r="BL50" i="2"/>
  <c r="BL160" i="2"/>
  <c r="BL77" i="2"/>
  <c r="BL37" i="2"/>
  <c r="Q80" i="7"/>
  <c r="T389" i="1"/>
  <c r="T380" i="2"/>
  <c r="T381" i="2"/>
  <c r="T378" i="2"/>
  <c r="T379" i="2"/>
  <c r="T356" i="2"/>
  <c r="T366" i="2"/>
  <c r="U366" i="2" s="1"/>
  <c r="T86" i="2"/>
  <c r="T13" i="2"/>
  <c r="V86" i="2"/>
  <c r="V356" i="2"/>
  <c r="Y339" i="2"/>
  <c r="Y63" i="2"/>
  <c r="DQ191" i="2"/>
  <c r="CH572" i="1"/>
  <c r="CH571" i="1"/>
  <c r="DF75" i="1"/>
  <c r="AF20" i="3"/>
  <c r="BF588" i="1"/>
  <c r="BF573" i="1"/>
  <c r="AR100" i="1"/>
  <c r="AR102" i="1"/>
  <c r="AR118" i="1"/>
  <c r="AW119" i="1" s="1"/>
  <c r="DC581" i="1"/>
  <c r="W137" i="1"/>
  <c r="AQ362" i="2"/>
  <c r="CY581" i="1"/>
  <c r="CY583" i="1" s="1"/>
  <c r="CY605" i="1" s="1"/>
  <c r="CY580" i="1"/>
  <c r="CF137" i="1"/>
  <c r="AQ95" i="2"/>
  <c r="CV544" i="1"/>
  <c r="CL588" i="1"/>
  <c r="CL573" i="1"/>
  <c r="CV138" i="2"/>
  <c r="CV139" i="2"/>
  <c r="CE590" i="1"/>
  <c r="CE574" i="1"/>
  <c r="AE396" i="1"/>
  <c r="AJ326" i="1"/>
  <c r="AE401" i="1"/>
  <c r="DB475" i="1"/>
  <c r="BL592" i="1"/>
  <c r="BL611" i="1" s="1"/>
  <c r="BL599" i="1"/>
  <c r="CS520" i="1"/>
  <c r="CS630" i="1" s="1"/>
  <c r="DC252" i="82"/>
  <c r="DC251" i="82"/>
  <c r="BW589" i="1"/>
  <c r="BW570" i="1"/>
  <c r="CQ137" i="1"/>
  <c r="BT590" i="1"/>
  <c r="BT574" i="1"/>
  <c r="BG589" i="1"/>
  <c r="BG570" i="1"/>
  <c r="AE133" i="1"/>
  <c r="AE134" i="1"/>
  <c r="CQ572" i="1"/>
  <c r="CQ571" i="1"/>
  <c r="DM226" i="82"/>
  <c r="AX158" i="2"/>
  <c r="O10" i="113"/>
  <c r="O28" i="113"/>
  <c r="CL592" i="1"/>
  <c r="CL611" i="1" s="1"/>
  <c r="CL599" i="1"/>
  <c r="DL277" i="82"/>
  <c r="CS262" i="7"/>
  <c r="CS263" i="7" s="1"/>
  <c r="CS264" i="7" s="1"/>
  <c r="BE92" i="7"/>
  <c r="BE96" i="7"/>
  <c r="BE104" i="7"/>
  <c r="BE89" i="7"/>
  <c r="BE94" i="7"/>
  <c r="BE82" i="7"/>
  <c r="BE73" i="7" s="1"/>
  <c r="BE98" i="7"/>
  <c r="BE83" i="7"/>
  <c r="BE91" i="7"/>
  <c r="BE172" i="7"/>
  <c r="CP141" i="2"/>
  <c r="CP142" i="2"/>
  <c r="CJ578" i="1"/>
  <c r="CJ622" i="1"/>
  <c r="CJ623" i="1" s="1"/>
  <c r="CT571" i="1"/>
  <c r="CT572" i="1"/>
  <c r="CW194" i="82"/>
  <c r="CE137" i="1"/>
  <c r="CU134" i="2"/>
  <c r="CU135" i="2"/>
  <c r="AX152" i="2"/>
  <c r="S304" i="113"/>
  <c r="S482" i="113"/>
  <c r="CE470" i="1"/>
  <c r="CE33" i="1"/>
  <c r="CE584" i="1"/>
  <c r="CV561" i="1"/>
  <c r="CV373" i="1"/>
  <c r="CV375" i="1" s="1"/>
  <c r="CV376" i="1" s="1"/>
  <c r="CV370" i="1" s="1"/>
  <c r="DF559" i="1"/>
  <c r="DF562" i="1"/>
  <c r="CZ251" i="82"/>
  <c r="CZ252" i="82"/>
  <c r="CJ119" i="2"/>
  <c r="CJ118" i="2"/>
  <c r="CJ358" i="2"/>
  <c r="CJ65" i="2"/>
  <c r="CJ341" i="2"/>
  <c r="CJ88" i="2"/>
  <c r="CJ166" i="2"/>
  <c r="CJ150" i="2"/>
  <c r="CJ27" i="2"/>
  <c r="CK423" i="1"/>
  <c r="CK424" i="1" s="1"/>
  <c r="CK416" i="1"/>
  <c r="CK417" i="1" s="1"/>
  <c r="CK418" i="1" s="1"/>
  <c r="CK406" i="1"/>
  <c r="CK427" i="1"/>
  <c r="CK428" i="1" s="1"/>
  <c r="CK410" i="1"/>
  <c r="CK412" i="1" s="1"/>
  <c r="CK413" i="1" s="1"/>
  <c r="CP412" i="1"/>
  <c r="CP413" i="1" s="1"/>
  <c r="CP417" i="1"/>
  <c r="CP418" i="1" s="1"/>
  <c r="CL137" i="1"/>
  <c r="AH196" i="7"/>
  <c r="AH197" i="7" s="1"/>
  <c r="AP160" i="2"/>
  <c r="AP77" i="2"/>
  <c r="AP178" i="2"/>
  <c r="AP50" i="2"/>
  <c r="AP37" i="2"/>
  <c r="CL341" i="2"/>
  <c r="CW581" i="1"/>
  <c r="CS583" i="1"/>
  <c r="T127" i="1"/>
  <c r="T123" i="1"/>
  <c r="V123" i="1"/>
  <c r="Y122" i="1"/>
  <c r="U121" i="1"/>
  <c r="BJ589" i="1"/>
  <c r="BN571" i="1"/>
  <c r="BJ570" i="1"/>
  <c r="CK590" i="1"/>
  <c r="CK574" i="1"/>
  <c r="DM61" i="2"/>
  <c r="DA135" i="1"/>
  <c r="CH128" i="1"/>
  <c r="CP561" i="1"/>
  <c r="CP373" i="1"/>
  <c r="CP375" i="1" s="1"/>
  <c r="CP376" i="1" s="1"/>
  <c r="CP370" i="1" s="1"/>
  <c r="AV588" i="1"/>
  <c r="AV573" i="1"/>
  <c r="BJ334" i="1"/>
  <c r="BJ350" i="2"/>
  <c r="BJ161" i="2"/>
  <c r="BJ182" i="2"/>
  <c r="BJ179" i="2"/>
  <c r="BJ76" i="2"/>
  <c r="BJ164" i="2"/>
  <c r="CT134" i="2"/>
  <c r="CT135" i="2"/>
  <c r="AU176" i="2"/>
  <c r="AU177" i="2"/>
  <c r="BJ437" i="1"/>
  <c r="BN436" i="1"/>
  <c r="BN437" i="1" s="1"/>
  <c r="AK334" i="1"/>
  <c r="AK350" i="2"/>
  <c r="AK362" i="2"/>
  <c r="AK161" i="2"/>
  <c r="AK95" i="2"/>
  <c r="AK182" i="2"/>
  <c r="AK179" i="2"/>
  <c r="AK76" i="2"/>
  <c r="AK164" i="2"/>
  <c r="CX559" i="1"/>
  <c r="BE606" i="1"/>
  <c r="BE622" i="1" s="1"/>
  <c r="AV63" i="7"/>
  <c r="N9" i="11"/>
  <c r="M7" i="11"/>
  <c r="BD598" i="1"/>
  <c r="AY32" i="2"/>
  <c r="AU36" i="2"/>
  <c r="AU34" i="2"/>
  <c r="CU138" i="2"/>
  <c r="CU139" i="2"/>
  <c r="BD167" i="2"/>
  <c r="BE168" i="2"/>
  <c r="BG129" i="1"/>
  <c r="BW137" i="1"/>
  <c r="CI137" i="1"/>
  <c r="BI572" i="1"/>
  <c r="BI590" i="1" s="1"/>
  <c r="BE590" i="1"/>
  <c r="BE574" i="1"/>
  <c r="CH384" i="2"/>
  <c r="CH377" i="2"/>
  <c r="CF367" i="2"/>
  <c r="CE367" i="2"/>
  <c r="CD367" i="2"/>
  <c r="CH340" i="2"/>
  <c r="CG367" i="2"/>
  <c r="CM340" i="2"/>
  <c r="AV177" i="2"/>
  <c r="BD396" i="1"/>
  <c r="BD401" i="1"/>
  <c r="CS147" i="2"/>
  <c r="BU80" i="7"/>
  <c r="CS86" i="2"/>
  <c r="CS356" i="2"/>
  <c r="CS63" i="2"/>
  <c r="CS339" i="2"/>
  <c r="CS13" i="2"/>
  <c r="CS381" i="2"/>
  <c r="CS126" i="2"/>
  <c r="CS378" i="2"/>
  <c r="CS377" i="2"/>
  <c r="CS380" i="2"/>
  <c r="CS379" i="2"/>
  <c r="CS117" i="2"/>
  <c r="CS120" i="2"/>
  <c r="CS123" i="2"/>
  <c r="CS114" i="2"/>
  <c r="AC135" i="1"/>
  <c r="CN132" i="2"/>
  <c r="DH559" i="1"/>
  <c r="DS45" i="7" l="1"/>
  <c r="DT45" i="7" s="1"/>
  <c r="DU45" i="7" s="1"/>
  <c r="DV45" i="7" s="1"/>
  <c r="DW45" i="7" s="1"/>
  <c r="DX45" i="7" s="1"/>
  <c r="DY45" i="7" s="1"/>
  <c r="DZ45" i="7" s="1"/>
  <c r="EA45" i="7" s="1"/>
  <c r="DS47" i="7"/>
  <c r="DT47" i="7" s="1"/>
  <c r="DU47" i="7" s="1"/>
  <c r="DV47" i="7" s="1"/>
  <c r="DW47" i="7" s="1"/>
  <c r="DX47" i="7" s="1"/>
  <c r="DY47" i="7" s="1"/>
  <c r="DZ47" i="7" s="1"/>
  <c r="EA47" i="7" s="1"/>
  <c r="DS58" i="7"/>
  <c r="DT58" i="7" s="1"/>
  <c r="DU58" i="7" s="1"/>
  <c r="DV58" i="7" s="1"/>
  <c r="DW58" i="7" s="1"/>
  <c r="DX58" i="7" s="1"/>
  <c r="DY58" i="7" s="1"/>
  <c r="DZ58" i="7" s="1"/>
  <c r="EA58" i="7" s="1"/>
  <c r="DS19" i="7"/>
  <c r="DT19" i="7" s="1"/>
  <c r="DU19" i="7" s="1"/>
  <c r="DV19" i="7" s="1"/>
  <c r="DW19" i="7" s="1"/>
  <c r="DX19" i="7" s="1"/>
  <c r="DY19" i="7" s="1"/>
  <c r="DZ19" i="7" s="1"/>
  <c r="EA19" i="7" s="1"/>
  <c r="DS46" i="7"/>
  <c r="DT46" i="7" s="1"/>
  <c r="DU46" i="7" s="1"/>
  <c r="DV46" i="7" s="1"/>
  <c r="DW46" i="7" s="1"/>
  <c r="DX46" i="7" s="1"/>
  <c r="DY46" i="7" s="1"/>
  <c r="DZ46" i="7" s="1"/>
  <c r="EA46" i="7" s="1"/>
  <c r="DS21" i="7"/>
  <c r="DT21" i="7" s="1"/>
  <c r="DU21" i="7" s="1"/>
  <c r="DV21" i="7" s="1"/>
  <c r="DW21" i="7" s="1"/>
  <c r="DX21" i="7" s="1"/>
  <c r="DY21" i="7" s="1"/>
  <c r="DZ21" i="7" s="1"/>
  <c r="EA21" i="7" s="1"/>
  <c r="BB135" i="1"/>
  <c r="DB327" i="2"/>
  <c r="DB328" i="2"/>
  <c r="DB325" i="2"/>
  <c r="DB329" i="2"/>
  <c r="DB208" i="1"/>
  <c r="DG325" i="2"/>
  <c r="DG328" i="2"/>
  <c r="DG327" i="2"/>
  <c r="DG329" i="2"/>
  <c r="DB178" i="1"/>
  <c r="DB171" i="1"/>
  <c r="DB209" i="1" s="1"/>
  <c r="DB183" i="1"/>
  <c r="DB197" i="1"/>
  <c r="CE317" i="2"/>
  <c r="BW317" i="2"/>
  <c r="CF317" i="2"/>
  <c r="CG317" i="2"/>
  <c r="CD317" i="2"/>
  <c r="BT317" i="2"/>
  <c r="CI317" i="2"/>
  <c r="CL317" i="2"/>
  <c r="BU317" i="2"/>
  <c r="BV317" i="2"/>
  <c r="CN317" i="2"/>
  <c r="CJ317" i="2"/>
  <c r="CK317" i="2"/>
  <c r="CO317" i="2"/>
  <c r="BA75" i="7"/>
  <c r="AW19" i="3"/>
  <c r="AR389" i="1"/>
  <c r="AR107" i="1"/>
  <c r="BB81" i="2"/>
  <c r="AR106" i="1"/>
  <c r="AW63" i="7"/>
  <c r="AW73" i="1"/>
  <c r="AW172" i="1"/>
  <c r="AW227" i="1"/>
  <c r="BB351" i="2"/>
  <c r="BB78" i="2"/>
  <c r="AW604" i="1"/>
  <c r="AW621" i="1"/>
  <c r="AW610" i="1"/>
  <c r="AW78" i="2"/>
  <c r="AW351" i="2"/>
  <c r="AW96" i="2"/>
  <c r="BB163" i="2"/>
  <c r="BB162" i="2"/>
  <c r="AW81" i="2"/>
  <c r="AW51" i="2"/>
  <c r="AV121" i="1"/>
  <c r="AW123" i="1" s="1"/>
  <c r="AW120" i="1"/>
  <c r="AX334" i="1"/>
  <c r="AX95" i="2"/>
  <c r="AX362" i="2"/>
  <c r="BD437" i="1"/>
  <c r="BL163" i="2"/>
  <c r="BK162" i="2"/>
  <c r="AY574" i="1"/>
  <c r="AY222" i="1"/>
  <c r="AY437" i="1"/>
  <c r="AY583" i="1"/>
  <c r="CL153" i="39"/>
  <c r="CL176" i="39" s="1"/>
  <c r="CL177" i="39" s="1"/>
  <c r="DC178" i="39"/>
  <c r="DD178" i="39" s="1"/>
  <c r="DA177" i="39"/>
  <c r="CK153" i="39"/>
  <c r="CK176" i="39" s="1"/>
  <c r="CK177" i="39" s="1"/>
  <c r="AI163" i="2"/>
  <c r="BK375" i="2"/>
  <c r="AH181" i="2"/>
  <c r="AX179" i="2"/>
  <c r="AX181" i="2" s="1"/>
  <c r="BC161" i="2"/>
  <c r="BC163" i="2" s="1"/>
  <c r="AL180" i="2"/>
  <c r="BH362" i="2"/>
  <c r="AS362" i="2"/>
  <c r="BG33" i="1"/>
  <c r="DN24" i="7"/>
  <c r="BI561" i="1"/>
  <c r="DL14" i="7"/>
  <c r="DM14" i="7" s="1"/>
  <c r="DL13" i="7"/>
  <c r="DM13" i="7" s="1"/>
  <c r="AY589" i="1"/>
  <c r="BG470" i="1"/>
  <c r="CQ539" i="1"/>
  <c r="CQ540" i="1" s="1"/>
  <c r="CQ179" i="39" s="1"/>
  <c r="CR227" i="1"/>
  <c r="AZ579" i="1"/>
  <c r="DO211" i="7"/>
  <c r="DN218" i="7"/>
  <c r="CN549" i="1"/>
  <c r="CL552" i="1"/>
  <c r="CL553" i="1" s="1"/>
  <c r="CL554" i="1" s="1"/>
  <c r="CL533" i="1"/>
  <c r="CL534" i="1" s="1"/>
  <c r="BU470" i="1"/>
  <c r="CL548" i="1"/>
  <c r="CL549" i="1" s="1"/>
  <c r="CL550" i="1" s="1"/>
  <c r="CN438" i="1"/>
  <c r="CN528" i="1"/>
  <c r="CL432" i="1"/>
  <c r="CQ433" i="1" s="1"/>
  <c r="CN553" i="1"/>
  <c r="BF578" i="1"/>
  <c r="BF470" i="1" s="1"/>
  <c r="BA579" i="1"/>
  <c r="BA582" i="1" s="1"/>
  <c r="BA578" i="1" s="1"/>
  <c r="BN589" i="1"/>
  <c r="CN429" i="1"/>
  <c r="CN425" i="1"/>
  <c r="BU584" i="1"/>
  <c r="BM227" i="1"/>
  <c r="CW227" i="1"/>
  <c r="DB176" i="1"/>
  <c r="AY579" i="1"/>
  <c r="CK227" i="1"/>
  <c r="K81" i="2"/>
  <c r="CL540" i="1"/>
  <c r="CL179" i="39" s="1"/>
  <c r="BF623" i="1"/>
  <c r="DK176" i="1"/>
  <c r="BN227" i="1"/>
  <c r="BN222" i="1"/>
  <c r="BN223" i="1" s="1"/>
  <c r="BD581" i="1"/>
  <c r="CE172" i="1"/>
  <c r="CE227" i="1"/>
  <c r="CL172" i="1"/>
  <c r="CL227" i="1"/>
  <c r="DM225" i="1"/>
  <c r="DM234" i="1"/>
  <c r="DM235" i="1" s="1"/>
  <c r="DM236" i="1" s="1"/>
  <c r="DR217" i="1"/>
  <c r="DR219" i="1" s="1"/>
  <c r="DR226" i="1"/>
  <c r="BC172" i="1"/>
  <c r="BC227" i="1"/>
  <c r="DH178" i="1"/>
  <c r="DH176" i="1"/>
  <c r="BU172" i="1"/>
  <c r="BU227" i="1"/>
  <c r="DA234" i="1"/>
  <c r="DA235" i="1" s="1"/>
  <c r="DA236" i="1" s="1"/>
  <c r="DA218" i="1"/>
  <c r="DA225" i="1"/>
  <c r="DA226" i="1" s="1"/>
  <c r="BA172" i="1"/>
  <c r="BA227" i="1"/>
  <c r="CZ234" i="1"/>
  <c r="CZ235" i="1" s="1"/>
  <c r="CZ236" i="1" s="1"/>
  <c r="CZ225" i="1"/>
  <c r="CZ226" i="1" s="1"/>
  <c r="CZ218" i="1"/>
  <c r="DE225" i="1"/>
  <c r="DE226" i="1" s="1"/>
  <c r="DE218" i="1"/>
  <c r="DE217" i="1"/>
  <c r="DE219" i="1" s="1"/>
  <c r="DE234" i="1"/>
  <c r="DE235" i="1" s="1"/>
  <c r="DE236" i="1" s="1"/>
  <c r="DC218" i="1"/>
  <c r="DC234" i="1"/>
  <c r="DC235" i="1" s="1"/>
  <c r="DC236" i="1" s="1"/>
  <c r="DC217" i="1"/>
  <c r="DC219" i="1" s="1"/>
  <c r="DC225" i="1"/>
  <c r="DC226" i="1" s="1"/>
  <c r="DK230" i="1"/>
  <c r="DK221" i="1"/>
  <c r="DK222" i="1" s="1"/>
  <c r="DK223" i="1" s="1"/>
  <c r="DK216" i="1"/>
  <c r="DK217" i="1" s="1"/>
  <c r="DK219" i="1" s="1"/>
  <c r="CS172" i="1"/>
  <c r="CS227" i="1"/>
  <c r="DM178" i="1"/>
  <c r="DM177" i="1"/>
  <c r="DM176" i="1"/>
  <c r="DR176" i="1"/>
  <c r="CV172" i="1"/>
  <c r="CV227" i="1"/>
  <c r="BV172" i="1"/>
  <c r="BV227" i="1"/>
  <c r="CP172" i="1"/>
  <c r="CP227" i="1"/>
  <c r="AX172" i="1"/>
  <c r="AX227" i="1"/>
  <c r="CY234" i="1"/>
  <c r="CY235" i="1" s="1"/>
  <c r="CY236" i="1" s="1"/>
  <c r="CY225" i="1"/>
  <c r="CY226" i="1" s="1"/>
  <c r="CY217" i="1"/>
  <c r="CY219" i="1" s="1"/>
  <c r="CY218" i="1"/>
  <c r="AV172" i="1"/>
  <c r="AV227" i="1"/>
  <c r="BF172" i="1"/>
  <c r="BF227" i="1"/>
  <c r="BI217" i="1"/>
  <c r="BI219" i="1" s="1"/>
  <c r="BI225" i="1"/>
  <c r="BI226" i="1" s="1"/>
  <c r="BN217" i="1"/>
  <c r="BN219" i="1" s="1"/>
  <c r="DA217" i="1"/>
  <c r="DA219" i="1" s="1"/>
  <c r="DD217" i="1"/>
  <c r="DD219" i="1" s="1"/>
  <c r="DD225" i="1"/>
  <c r="DD226" i="1" s="1"/>
  <c r="DD218" i="1"/>
  <c r="DD234" i="1"/>
  <c r="DD235" i="1" s="1"/>
  <c r="DD236" i="1" s="1"/>
  <c r="BD227" i="1"/>
  <c r="CX234" i="1"/>
  <c r="CX235" i="1" s="1"/>
  <c r="CX236" i="1" s="1"/>
  <c r="CX225" i="1"/>
  <c r="CX226" i="1" s="1"/>
  <c r="CX218" i="1"/>
  <c r="CX217" i="1"/>
  <c r="CX219" i="1" s="1"/>
  <c r="BJ227" i="1"/>
  <c r="AY172" i="1"/>
  <c r="AY227" i="1"/>
  <c r="BH172" i="1"/>
  <c r="BH227" i="1"/>
  <c r="AZ172" i="1"/>
  <c r="AZ227" i="1"/>
  <c r="CU172" i="1"/>
  <c r="CU227" i="1"/>
  <c r="BI221" i="1"/>
  <c r="BI222" i="1" s="1"/>
  <c r="BI223" i="1" s="1"/>
  <c r="BE222" i="1"/>
  <c r="BE223" i="1" s="1"/>
  <c r="CF172" i="1"/>
  <c r="CF227" i="1"/>
  <c r="CQ172" i="1"/>
  <c r="CQ227" i="1"/>
  <c r="AU172" i="1"/>
  <c r="AU227" i="1"/>
  <c r="BL172" i="1"/>
  <c r="BL227" i="1"/>
  <c r="BE225" i="1"/>
  <c r="BE226" i="1" s="1"/>
  <c r="BE73" i="1" s="1"/>
  <c r="BE217" i="1"/>
  <c r="BE219" i="1" s="1"/>
  <c r="BE218" i="1"/>
  <c r="BF218" i="1"/>
  <c r="BF235" i="1"/>
  <c r="BF236" i="1" s="1"/>
  <c r="BJ217" i="1"/>
  <c r="BJ219" i="1" s="1"/>
  <c r="DH216" i="1"/>
  <c r="DM217" i="1" s="1"/>
  <c r="DM219" i="1" s="1"/>
  <c r="DH221" i="1"/>
  <c r="DH222" i="1" s="1"/>
  <c r="DH223" i="1" s="1"/>
  <c r="DH230" i="1"/>
  <c r="DH231" i="1" s="1"/>
  <c r="DH232" i="1" s="1"/>
  <c r="CT172" i="1"/>
  <c r="CT227" i="1"/>
  <c r="CZ217" i="1"/>
  <c r="CZ219" i="1" s="1"/>
  <c r="CM180" i="1"/>
  <c r="CM527" i="1" s="1"/>
  <c r="CR180" i="1"/>
  <c r="CR527" i="1" s="1"/>
  <c r="CR181" i="1"/>
  <c r="DG176" i="1"/>
  <c r="DG178" i="1"/>
  <c r="DF218" i="1"/>
  <c r="DF217" i="1"/>
  <c r="DF219" i="1" s="1"/>
  <c r="DF234" i="1"/>
  <c r="DF235" i="1" s="1"/>
  <c r="DF236" i="1" s="1"/>
  <c r="DF225" i="1"/>
  <c r="DF226" i="1" s="1"/>
  <c r="DG171" i="1"/>
  <c r="DG209" i="1" s="1"/>
  <c r="DG208" i="1"/>
  <c r="DG191" i="1"/>
  <c r="DG203" i="1"/>
  <c r="DG197" i="1"/>
  <c r="DG183" i="1"/>
  <c r="BF180" i="2"/>
  <c r="E10" i="113"/>
  <c r="E40" i="113" s="1"/>
  <c r="F28" i="113"/>
  <c r="AM180" i="2"/>
  <c r="AI181" i="2"/>
  <c r="CG33" i="1"/>
  <c r="DM311" i="2"/>
  <c r="CG470" i="1"/>
  <c r="BC606" i="1"/>
  <c r="BC607" i="1" s="1"/>
  <c r="DH304" i="2"/>
  <c r="DK311" i="2"/>
  <c r="DH311" i="2"/>
  <c r="DM306" i="2"/>
  <c r="BA180" i="2"/>
  <c r="AR163" i="2"/>
  <c r="DM302" i="2"/>
  <c r="BF162" i="2"/>
  <c r="DK304" i="2"/>
  <c r="DH302" i="2"/>
  <c r="BG162" i="2"/>
  <c r="DK302" i="2"/>
  <c r="DM304" i="2"/>
  <c r="AR180" i="2"/>
  <c r="DH306" i="2"/>
  <c r="DK306" i="2"/>
  <c r="BG163" i="2"/>
  <c r="AR181" i="2"/>
  <c r="BJ375" i="2"/>
  <c r="BL180" i="2"/>
  <c r="AV162" i="2"/>
  <c r="J30" i="11"/>
  <c r="J31" i="11" s="1"/>
  <c r="BA162" i="2"/>
  <c r="CM347" i="2"/>
  <c r="O23" i="113"/>
  <c r="P37" i="113" s="1"/>
  <c r="B50" i="3"/>
  <c r="B52" i="3" s="1"/>
  <c r="C51" i="3" s="1"/>
  <c r="G51" i="3" s="1"/>
  <c r="CE211" i="2"/>
  <c r="AR162" i="2"/>
  <c r="BG180" i="2"/>
  <c r="CH209" i="2"/>
  <c r="CM210" i="2" s="1"/>
  <c r="AV180" i="2"/>
  <c r="BJ362" i="2"/>
  <c r="CI210" i="2"/>
  <c r="BM163" i="2"/>
  <c r="BL162" i="2"/>
  <c r="BG181" i="2"/>
  <c r="BK180" i="2"/>
  <c r="AM181" i="2"/>
  <c r="AL162" i="2"/>
  <c r="AX182" i="2"/>
  <c r="AS95" i="2"/>
  <c r="CH27" i="2"/>
  <c r="AQ162" i="2"/>
  <c r="AS334" i="1"/>
  <c r="AS164" i="2"/>
  <c r="AM162" i="2"/>
  <c r="AM163" i="2"/>
  <c r="AS350" i="2"/>
  <c r="AS161" i="2"/>
  <c r="AS162" i="2" s="1"/>
  <c r="Z364" i="2"/>
  <c r="AS182" i="2"/>
  <c r="AS76" i="2"/>
  <c r="BL375" i="2"/>
  <c r="BN161" i="2"/>
  <c r="BM375" i="2"/>
  <c r="BB181" i="2"/>
  <c r="BN179" i="2"/>
  <c r="DM300" i="2"/>
  <c r="DK300" i="2"/>
  <c r="BM181" i="2"/>
  <c r="AQ180" i="2"/>
  <c r="Y159" i="2"/>
  <c r="DH309" i="2"/>
  <c r="DK309" i="2"/>
  <c r="DH300" i="2"/>
  <c r="DM309" i="2"/>
  <c r="BC182" i="2"/>
  <c r="BH350" i="2"/>
  <c r="AX161" i="2"/>
  <c r="BL181" i="2"/>
  <c r="BC362" i="2"/>
  <c r="BH164" i="2"/>
  <c r="BM182" i="2"/>
  <c r="BM164" i="2"/>
  <c r="AX350" i="2"/>
  <c r="BC350" i="2"/>
  <c r="BC334" i="1"/>
  <c r="BH161" i="2"/>
  <c r="BC95" i="2"/>
  <c r="BM76" i="2"/>
  <c r="BH182" i="2"/>
  <c r="BC164" i="2"/>
  <c r="BE95" i="2"/>
  <c r="BH179" i="2"/>
  <c r="BM180" i="2" s="1"/>
  <c r="AX164" i="2"/>
  <c r="BC76" i="2"/>
  <c r="BH334" i="1"/>
  <c r="BM350" i="2"/>
  <c r="R36" i="2"/>
  <c r="R178" i="2" s="1"/>
  <c r="BJ95" i="2"/>
  <c r="AZ362" i="2"/>
  <c r="B77" i="3"/>
  <c r="BH76" i="2"/>
  <c r="AX76" i="2"/>
  <c r="BC179" i="2"/>
  <c r="BC181" i="2" s="1"/>
  <c r="BE362" i="2"/>
  <c r="BH95" i="2"/>
  <c r="AZ95" i="2"/>
  <c r="H36" i="113"/>
  <c r="I36" i="113"/>
  <c r="AY344" i="1"/>
  <c r="CZ100" i="2"/>
  <c r="CS236" i="7"/>
  <c r="Q34" i="2"/>
  <c r="Y34" i="2"/>
  <c r="P78" i="2"/>
  <c r="V57" i="2"/>
  <c r="AC57" i="2"/>
  <c r="AH170" i="2"/>
  <c r="AA57" i="2"/>
  <c r="W57" i="2"/>
  <c r="W161" i="2" s="1"/>
  <c r="W34" i="2"/>
  <c r="AT152" i="2"/>
  <c r="AF153" i="2"/>
  <c r="BU158" i="2"/>
  <c r="K78" i="2"/>
  <c r="AL163" i="2"/>
  <c r="CL215" i="2"/>
  <c r="AQ181" i="2"/>
  <c r="W170" i="2"/>
  <c r="AA159" i="2"/>
  <c r="S36" i="2"/>
  <c r="E9" i="3" s="1"/>
  <c r="E19" i="3" s="1"/>
  <c r="E50" i="3" s="1"/>
  <c r="X57" i="2"/>
  <c r="X179" i="2" s="1"/>
  <c r="AT57" i="2"/>
  <c r="AO334" i="1"/>
  <c r="AK375" i="2"/>
  <c r="AY57" i="2"/>
  <c r="AB158" i="2"/>
  <c r="DA390" i="2"/>
  <c r="DA391" i="2" s="1"/>
  <c r="CR134" i="2"/>
  <c r="W374" i="2"/>
  <c r="F51" i="2"/>
  <c r="BD57" i="2"/>
  <c r="CM118" i="2"/>
  <c r="AQ163" i="2"/>
  <c r="Z343" i="1"/>
  <c r="AE344" i="1" s="1"/>
  <c r="CR144" i="2"/>
  <c r="CR147" i="2"/>
  <c r="S159" i="2"/>
  <c r="X176" i="2"/>
  <c r="AT176" i="2"/>
  <c r="AC36" i="2"/>
  <c r="BU151" i="2"/>
  <c r="AB170" i="2"/>
  <c r="CR131" i="2"/>
  <c r="AD158" i="2"/>
  <c r="BD344" i="1"/>
  <c r="AG74" i="7"/>
  <c r="W159" i="2"/>
  <c r="AO161" i="2"/>
  <c r="AC74" i="7"/>
  <c r="CM115" i="2"/>
  <c r="CU215" i="2"/>
  <c r="CR141" i="2"/>
  <c r="CR138" i="2"/>
  <c r="R57" i="2"/>
  <c r="R164" i="2" s="1"/>
  <c r="P81" i="2"/>
  <c r="X171" i="2"/>
  <c r="BJ153" i="2"/>
  <c r="AI170" i="2"/>
  <c r="AD57" i="2"/>
  <c r="CO215" i="2"/>
  <c r="W171" i="2"/>
  <c r="AN163" i="2"/>
  <c r="BN334" i="1"/>
  <c r="AS179" i="2"/>
  <c r="S57" i="2"/>
  <c r="BA163" i="2"/>
  <c r="Y57" i="2"/>
  <c r="Y334" i="1" s="1"/>
  <c r="AT158" i="2"/>
  <c r="BD34" i="2"/>
  <c r="BI34" i="2"/>
  <c r="AW74" i="7" s="1"/>
  <c r="BI57" i="2"/>
  <c r="DB18" i="2"/>
  <c r="AM375" i="2"/>
  <c r="W158" i="2"/>
  <c r="F30" i="11"/>
  <c r="F31" i="11" s="1"/>
  <c r="U12" i="2"/>
  <c r="D11" i="113" s="1"/>
  <c r="D12" i="113" s="1"/>
  <c r="D41" i="113" s="1"/>
  <c r="CM121" i="2"/>
  <c r="CM127" i="2"/>
  <c r="AB57" i="2"/>
  <c r="AF176" i="2"/>
  <c r="AF170" i="2"/>
  <c r="AT170" i="2"/>
  <c r="AH176" i="2"/>
  <c r="V34" i="2"/>
  <c r="DB15" i="2"/>
  <c r="BJ171" i="2"/>
  <c r="BK181" i="2"/>
  <c r="X36" i="2"/>
  <c r="J9" i="3" s="1"/>
  <c r="J19" i="3" s="1"/>
  <c r="AL375" i="2"/>
  <c r="CM124" i="2"/>
  <c r="X159" i="2"/>
  <c r="Q57" i="2"/>
  <c r="Q164" i="2" s="1"/>
  <c r="V158" i="2"/>
  <c r="AT344" i="1"/>
  <c r="AN181" i="2"/>
  <c r="DB10" i="2"/>
  <c r="AH163" i="2"/>
  <c r="BU167" i="2"/>
  <c r="BM33" i="1"/>
  <c r="BV622" i="1"/>
  <c r="BV623" i="1" s="1"/>
  <c r="BM470" i="1"/>
  <c r="BM606" i="1"/>
  <c r="BM607" i="1" s="1"/>
  <c r="BU54" i="2"/>
  <c r="AY590" i="1"/>
  <c r="BU71" i="2"/>
  <c r="BU348" i="2"/>
  <c r="BU169" i="2"/>
  <c r="BU32" i="2"/>
  <c r="DF580" i="1"/>
  <c r="DF579" i="1" s="1"/>
  <c r="DF582" i="1" s="1"/>
  <c r="DF606" i="1" s="1"/>
  <c r="DF607" i="1" s="1"/>
  <c r="BK622" i="1"/>
  <c r="BK623" i="1" s="1"/>
  <c r="BN579" i="1"/>
  <c r="AU582" i="1"/>
  <c r="BB606" i="1"/>
  <c r="BB607" i="1" s="1"/>
  <c r="BK578" i="1"/>
  <c r="BK470" i="1" s="1"/>
  <c r="AU605" i="1"/>
  <c r="BH33" i="1"/>
  <c r="BH470" i="1"/>
  <c r="AN180" i="2"/>
  <c r="CL169" i="2"/>
  <c r="BN74" i="7"/>
  <c r="BW622" i="1"/>
  <c r="BW623" i="1" s="1"/>
  <c r="BX579" i="1"/>
  <c r="BW578" i="1"/>
  <c r="BW584" i="1" s="1"/>
  <c r="BN590" i="1"/>
  <c r="CL32" i="2"/>
  <c r="V176" i="2"/>
  <c r="CL54" i="2"/>
  <c r="DM220" i="7"/>
  <c r="DI220" i="7"/>
  <c r="DJ220" i="7" s="1"/>
  <c r="DK220" i="7" s="1"/>
  <c r="DL220" i="7" s="1"/>
  <c r="AN162" i="2"/>
  <c r="Q135" i="1"/>
  <c r="BI589" i="1"/>
  <c r="CL151" i="2"/>
  <c r="CL316" i="82"/>
  <c r="CL314" i="82" s="1"/>
  <c r="CL329" i="82" s="1"/>
  <c r="CL331" i="82" s="1"/>
  <c r="BM77" i="2"/>
  <c r="CL29" i="2"/>
  <c r="AO179" i="2"/>
  <c r="V170" i="2"/>
  <c r="V36" i="2"/>
  <c r="G32" i="113"/>
  <c r="AA152" i="2"/>
  <c r="V152" i="2"/>
  <c r="AN375" i="2"/>
  <c r="CL168" i="2"/>
  <c r="CL167" i="2"/>
  <c r="BH50" i="2"/>
  <c r="BH178" i="2"/>
  <c r="BH160" i="2"/>
  <c r="AT9" i="3"/>
  <c r="AW196" i="7"/>
  <c r="AW197" i="7" s="1"/>
  <c r="BH37" i="2"/>
  <c r="DB81" i="1"/>
  <c r="DB83" i="1" s="1"/>
  <c r="DB87" i="1" s="1"/>
  <c r="CF29" i="2"/>
  <c r="CF32" i="2"/>
  <c r="CF151" i="2"/>
  <c r="CF169" i="2"/>
  <c r="CF54" i="2"/>
  <c r="BX342" i="1"/>
  <c r="CW340" i="1"/>
  <c r="BD342" i="1"/>
  <c r="BI342" i="1"/>
  <c r="BN342" i="1"/>
  <c r="DB340" i="1"/>
  <c r="X373" i="2"/>
  <c r="U343" i="1"/>
  <c r="AE122" i="1"/>
  <c r="Z127" i="1"/>
  <c r="U341" i="1" s="1"/>
  <c r="AO76" i="2"/>
  <c r="AJ334" i="1"/>
  <c r="CY326" i="1"/>
  <c r="DA326" i="1"/>
  <c r="AU76" i="3"/>
  <c r="CZ326" i="1"/>
  <c r="CX326" i="1"/>
  <c r="CN215" i="2"/>
  <c r="CP215" i="2"/>
  <c r="CQ215" i="2"/>
  <c r="BI36" i="2"/>
  <c r="DH44" i="7"/>
  <c r="DC227" i="7"/>
  <c r="DD227" i="7"/>
  <c r="DC225" i="7"/>
  <c r="DD225" i="7"/>
  <c r="AF171" i="2"/>
  <c r="DD220" i="7"/>
  <c r="J36" i="113"/>
  <c r="BD36" i="2"/>
  <c r="AD34" i="2"/>
  <c r="AD36" i="2"/>
  <c r="AI152" i="2"/>
  <c r="AD159" i="2"/>
  <c r="DH87" i="1"/>
  <c r="AD177" i="2"/>
  <c r="V300" i="113"/>
  <c r="AG158" i="2"/>
  <c r="BH77" i="2"/>
  <c r="T19" i="3"/>
  <c r="AG51" i="2"/>
  <c r="AS37" i="2"/>
  <c r="AZ182" i="2"/>
  <c r="AT34" i="2"/>
  <c r="BF51" i="2"/>
  <c r="CL348" i="2"/>
  <c r="AE151" i="2"/>
  <c r="CN102" i="2"/>
  <c r="AI176" i="2"/>
  <c r="AF177" i="2"/>
  <c r="CD368" i="2"/>
  <c r="CU366" i="2"/>
  <c r="BT368" i="2"/>
  <c r="BT374" i="2"/>
  <c r="AA374" i="2"/>
  <c r="AI158" i="2"/>
  <c r="AF159" i="2"/>
  <c r="CK368" i="2"/>
  <c r="AB36" i="2"/>
  <c r="BI373" i="2"/>
  <c r="M34" i="113"/>
  <c r="BI152" i="2"/>
  <c r="BN170" i="2"/>
  <c r="BN152" i="2"/>
  <c r="L43" i="113"/>
  <c r="L16" i="113"/>
  <c r="L18" i="113" s="1"/>
  <c r="L19" i="113" s="1"/>
  <c r="L13" i="113"/>
  <c r="M33" i="113" s="1"/>
  <c r="L34" i="113"/>
  <c r="DM135" i="1"/>
  <c r="DM137" i="1" s="1"/>
  <c r="T472" i="113"/>
  <c r="T489" i="113" s="1"/>
  <c r="T215" i="113"/>
  <c r="DG81" i="1"/>
  <c r="DG83" i="1" s="1"/>
  <c r="CX137" i="1"/>
  <c r="DB560" i="1"/>
  <c r="CN539" i="1"/>
  <c r="CN540" i="1" s="1"/>
  <c r="CN179" i="39" s="1"/>
  <c r="DM326" i="1"/>
  <c r="DM135" i="2"/>
  <c r="AS50" i="2"/>
  <c r="AS77" i="2"/>
  <c r="AS178" i="2"/>
  <c r="T214" i="113"/>
  <c r="T241" i="113" s="1"/>
  <c r="DE100" i="2"/>
  <c r="DG167" i="82"/>
  <c r="DG187" i="82"/>
  <c r="DM134" i="2"/>
  <c r="AY170" i="2"/>
  <c r="AS160" i="2"/>
  <c r="DS52" i="2"/>
  <c r="DK169" i="82"/>
  <c r="AK196" i="7"/>
  <c r="AK197" i="7" s="1"/>
  <c r="AY158" i="2"/>
  <c r="DL63" i="82"/>
  <c r="U223" i="113"/>
  <c r="DM169" i="82"/>
  <c r="T223" i="113"/>
  <c r="U312" i="113"/>
  <c r="U294" i="113"/>
  <c r="U87" i="113"/>
  <c r="U369" i="113" s="1"/>
  <c r="U308" i="113"/>
  <c r="T87" i="113"/>
  <c r="T369" i="113" s="1"/>
  <c r="T129" i="113"/>
  <c r="T370" i="113" s="1"/>
  <c r="U292" i="113"/>
  <c r="U309" i="113"/>
  <c r="T495" i="113"/>
  <c r="DG90" i="82"/>
  <c r="T262" i="113" s="1"/>
  <c r="DM228" i="82"/>
  <c r="DM214" i="82"/>
  <c r="DM254" i="82"/>
  <c r="U495" i="113"/>
  <c r="U175" i="113"/>
  <c r="U353" i="113"/>
  <c r="U357" i="113" s="1"/>
  <c r="U310" i="113"/>
  <c r="T312" i="113"/>
  <c r="T175" i="113"/>
  <c r="T205" i="113" s="1"/>
  <c r="T353" i="113"/>
  <c r="T357" i="113" s="1"/>
  <c r="DM198" i="82"/>
  <c r="DM243" i="82" s="1"/>
  <c r="AR19" i="3"/>
  <c r="DM114" i="2"/>
  <c r="DM13" i="2"/>
  <c r="DM123" i="2"/>
  <c r="DM117" i="2"/>
  <c r="DM126" i="2"/>
  <c r="DM120" i="2"/>
  <c r="CO80" i="7"/>
  <c r="CO172" i="7" s="1"/>
  <c r="CI432" i="1"/>
  <c r="CI433" i="1" s="1"/>
  <c r="CI552" i="1"/>
  <c r="CI438" i="1" s="1"/>
  <c r="CI528" i="1"/>
  <c r="CI550" i="1" s="1"/>
  <c r="CI533" i="1"/>
  <c r="CN534" i="1" s="1"/>
  <c r="CI538" i="1"/>
  <c r="CI539" i="1" s="1"/>
  <c r="CI540" i="1" s="1"/>
  <c r="CI179" i="39" s="1"/>
  <c r="CX38" i="3"/>
  <c r="CT72" i="7"/>
  <c r="CV204" i="7"/>
  <c r="CV218" i="7" s="1"/>
  <c r="CX12" i="7"/>
  <c r="S19" i="3"/>
  <c r="AT36" i="2"/>
  <c r="AH51" i="2"/>
  <c r="AT374" i="2"/>
  <c r="DM339" i="82"/>
  <c r="S484" i="113"/>
  <c r="S496" i="113" s="1"/>
  <c r="S494" i="113"/>
  <c r="T494" i="113"/>
  <c r="U494" i="113"/>
  <c r="AY152" i="2"/>
  <c r="DM147" i="2"/>
  <c r="DM330" i="82"/>
  <c r="DM338" i="82"/>
  <c r="DM132" i="2"/>
  <c r="DM144" i="2"/>
  <c r="DM142" i="2"/>
  <c r="DM145" i="2"/>
  <c r="DM131" i="2"/>
  <c r="DM148" i="2"/>
  <c r="DM141" i="2"/>
  <c r="AG96" i="2"/>
  <c r="AH96" i="2"/>
  <c r="DL220" i="82"/>
  <c r="R23" i="11"/>
  <c r="R24" i="11" s="1"/>
  <c r="BK137" i="1"/>
  <c r="CI425" i="1"/>
  <c r="CI429" i="1"/>
  <c r="AI134" i="1"/>
  <c r="AI136" i="1"/>
  <c r="AI133" i="1"/>
  <c r="AN128" i="1"/>
  <c r="AI128" i="1"/>
  <c r="U76" i="3"/>
  <c r="AT373" i="2"/>
  <c r="P51" i="2"/>
  <c r="BT606" i="1"/>
  <c r="BT607" i="1" s="1"/>
  <c r="N14" i="11"/>
  <c r="AY176" i="2"/>
  <c r="BV137" i="1"/>
  <c r="X170" i="2"/>
  <c r="Y171" i="2"/>
  <c r="CT137" i="1"/>
  <c r="CW326" i="1"/>
  <c r="O498" i="113"/>
  <c r="Q488" i="113"/>
  <c r="P488" i="113"/>
  <c r="P473" i="113"/>
  <c r="P499" i="113" s="1"/>
  <c r="G36" i="113"/>
  <c r="I43" i="113"/>
  <c r="I16" i="113"/>
  <c r="I18" i="113" s="1"/>
  <c r="I44" i="113" s="1"/>
  <c r="I34" i="113"/>
  <c r="I25" i="113"/>
  <c r="I42" i="113" s="1"/>
  <c r="AO116" i="1"/>
  <c r="CK137" i="1"/>
  <c r="X153" i="2"/>
  <c r="DM86" i="2"/>
  <c r="DM63" i="2"/>
  <c r="CP262" i="82"/>
  <c r="DM249" i="82"/>
  <c r="DM248" i="82"/>
  <c r="U106" i="113"/>
  <c r="U150" i="113"/>
  <c r="U129" i="113"/>
  <c r="U370" i="113" s="1"/>
  <c r="AC152" i="2"/>
  <c r="X152" i="2"/>
  <c r="Y153" i="2"/>
  <c r="AO121" i="1"/>
  <c r="AO127" i="1" s="1"/>
  <c r="AJ341" i="1" s="1"/>
  <c r="AP128" i="1"/>
  <c r="W76" i="3"/>
  <c r="CG622" i="1"/>
  <c r="CG623" i="1" s="1"/>
  <c r="AH135" i="1"/>
  <c r="AH137" i="1" s="1"/>
  <c r="CU234" i="7"/>
  <c r="CU235" i="7" s="1"/>
  <c r="CI60" i="2"/>
  <c r="CF60" i="2"/>
  <c r="CF73" i="1"/>
  <c r="CV606" i="1"/>
  <c r="CV607" i="1" s="1"/>
  <c r="BG135" i="1"/>
  <c r="Z175" i="2"/>
  <c r="AC176" i="2"/>
  <c r="X177" i="2"/>
  <c r="Z157" i="2"/>
  <c r="Y374" i="2"/>
  <c r="Y177" i="2"/>
  <c r="W373" i="2"/>
  <c r="Z169" i="2"/>
  <c r="Z151" i="2"/>
  <c r="E14" i="113"/>
  <c r="E16" i="113" s="1"/>
  <c r="E18" i="113" s="1"/>
  <c r="E19" i="113" s="1"/>
  <c r="V373" i="2"/>
  <c r="Y373" i="2"/>
  <c r="AE167" i="2"/>
  <c r="AO389" i="1"/>
  <c r="AO106" i="1"/>
  <c r="CE622" i="1"/>
  <c r="CE623" i="1" s="1"/>
  <c r="AO107" i="1"/>
  <c r="Z368" i="2"/>
  <c r="DL135" i="1"/>
  <c r="DL137" i="1" s="1"/>
  <c r="W177" i="2"/>
  <c r="AD176" i="2"/>
  <c r="W36" i="2"/>
  <c r="BB137" i="1"/>
  <c r="V374" i="2"/>
  <c r="X374" i="2"/>
  <c r="BV73" i="1"/>
  <c r="AD170" i="2"/>
  <c r="Z32" i="2"/>
  <c r="W153" i="2"/>
  <c r="AB152" i="2"/>
  <c r="W152" i="2"/>
  <c r="Y36" i="2"/>
  <c r="Z54" i="2"/>
  <c r="AD152" i="2"/>
  <c r="AA153" i="2"/>
  <c r="AA176" i="2"/>
  <c r="AF152" i="2"/>
  <c r="AJ127" i="1"/>
  <c r="AE341" i="1" s="1"/>
  <c r="AJ122" i="1"/>
  <c r="CR579" i="1"/>
  <c r="CR561" i="1"/>
  <c r="AA171" i="2"/>
  <c r="AA170" i="2"/>
  <c r="CL60" i="2"/>
  <c r="AC170" i="2"/>
  <c r="X158" i="2"/>
  <c r="AH152" i="2"/>
  <c r="R135" i="1"/>
  <c r="BG622" i="1"/>
  <c r="BG623" i="1" s="1"/>
  <c r="BH625" i="1"/>
  <c r="AB177" i="2"/>
  <c r="S34" i="2"/>
  <c r="AA36" i="2"/>
  <c r="AA34" i="2"/>
  <c r="AA177" i="2"/>
  <c r="AF158" i="2"/>
  <c r="AD171" i="2"/>
  <c r="AC171" i="2"/>
  <c r="S153" i="2"/>
  <c r="AB159" i="2"/>
  <c r="AA158" i="2"/>
  <c r="CS132" i="2"/>
  <c r="AG170" i="2"/>
  <c r="AD374" i="2"/>
  <c r="R153" i="2"/>
  <c r="AB374" i="2"/>
  <c r="AE175" i="2"/>
  <c r="AD153" i="2"/>
  <c r="AJ349" i="2"/>
  <c r="AE349" i="2"/>
  <c r="AE73" i="2"/>
  <c r="AE157" i="2"/>
  <c r="AC374" i="2"/>
  <c r="AJ73" i="2"/>
  <c r="R177" i="2"/>
  <c r="CW134" i="2"/>
  <c r="CS135" i="2"/>
  <c r="CW138" i="2"/>
  <c r="CR13" i="2"/>
  <c r="CR330" i="82"/>
  <c r="CS139" i="2"/>
  <c r="CR370" i="82"/>
  <c r="CQ366" i="2"/>
  <c r="CM135" i="1"/>
  <c r="CO366" i="2"/>
  <c r="CL73" i="1"/>
  <c r="CR120" i="2"/>
  <c r="CS145" i="2"/>
  <c r="AB171" i="2"/>
  <c r="CW144" i="2"/>
  <c r="CQ102" i="2"/>
  <c r="CO102" i="2"/>
  <c r="CR379" i="2"/>
  <c r="AB34" i="2"/>
  <c r="BT80" i="7"/>
  <c r="BT104" i="7" s="1"/>
  <c r="CR381" i="2"/>
  <c r="R159" i="2"/>
  <c r="CW131" i="2"/>
  <c r="AG137" i="1"/>
  <c r="CU606" i="1"/>
  <c r="CU607" i="1" s="1"/>
  <c r="CR126" i="2"/>
  <c r="CP102" i="2"/>
  <c r="CR123" i="2"/>
  <c r="CR364" i="2"/>
  <c r="CR100" i="2"/>
  <c r="AB153" i="2"/>
  <c r="CS148" i="2"/>
  <c r="CS142" i="2"/>
  <c r="CW147" i="2"/>
  <c r="AC158" i="2"/>
  <c r="Q10" i="113"/>
  <c r="Q40" i="113" s="1"/>
  <c r="CR114" i="2"/>
  <c r="CR378" i="2"/>
  <c r="AC177" i="2"/>
  <c r="CR339" i="82"/>
  <c r="S171" i="2"/>
  <c r="CP366" i="2"/>
  <c r="AE54" i="2"/>
  <c r="AG176" i="2"/>
  <c r="W176" i="2"/>
  <c r="CR380" i="2"/>
  <c r="CR63" i="2"/>
  <c r="S177" i="2"/>
  <c r="AC159" i="2"/>
  <c r="CR398" i="82"/>
  <c r="AB176" i="2"/>
  <c r="CR117" i="2"/>
  <c r="CR339" i="2"/>
  <c r="R171" i="2"/>
  <c r="CN366" i="2"/>
  <c r="CR377" i="2"/>
  <c r="N40" i="11"/>
  <c r="AE32" i="2"/>
  <c r="CT606" i="1"/>
  <c r="CT607" i="1" s="1"/>
  <c r="CM60" i="2"/>
  <c r="AC153" i="2"/>
  <c r="CQ606" i="1"/>
  <c r="CQ607" i="1" s="1"/>
  <c r="CM73" i="1"/>
  <c r="CU137" i="1"/>
  <c r="AH158" i="2"/>
  <c r="AG152" i="2"/>
  <c r="CW141" i="2"/>
  <c r="BU73" i="1"/>
  <c r="DG215" i="2"/>
  <c r="CO167" i="7"/>
  <c r="Q36" i="2"/>
  <c r="CL71" i="2"/>
  <c r="BC625" i="1"/>
  <c r="CW100" i="2"/>
  <c r="CI600" i="1"/>
  <c r="CI618" i="1" s="1"/>
  <c r="CJ104" i="2"/>
  <c r="BV618" i="1"/>
  <c r="BV619" i="1" s="1"/>
  <c r="BH600" i="1"/>
  <c r="BH601" i="1" s="1"/>
  <c r="CJ215" i="2"/>
  <c r="CR213" i="2"/>
  <c r="AE169" i="2"/>
  <c r="F14" i="113"/>
  <c r="F43" i="113" s="1"/>
  <c r="BL600" i="1"/>
  <c r="BL601" i="1" s="1"/>
  <c r="DE326" i="1"/>
  <c r="AD373" i="2"/>
  <c r="CS215" i="2"/>
  <c r="AE348" i="2"/>
  <c r="AE71" i="2"/>
  <c r="AJ167" i="2"/>
  <c r="AE368" i="2"/>
  <c r="CS102" i="2"/>
  <c r="CV215" i="2"/>
  <c r="AJ71" i="2"/>
  <c r="AJ348" i="2"/>
  <c r="AB373" i="2"/>
  <c r="AC373" i="2"/>
  <c r="AA373" i="2"/>
  <c r="CS366" i="2"/>
  <c r="BD373" i="2"/>
  <c r="CT215" i="2"/>
  <c r="DG251" i="82"/>
  <c r="CD606" i="1"/>
  <c r="CD622" i="1" s="1"/>
  <c r="CM570" i="1"/>
  <c r="CM588" i="1" s="1"/>
  <c r="CR261" i="82"/>
  <c r="CL600" i="1"/>
  <c r="CL601" i="1" s="1"/>
  <c r="AO164" i="2"/>
  <c r="CK104" i="2"/>
  <c r="AO182" i="2"/>
  <c r="DB213" i="2"/>
  <c r="CW213" i="2"/>
  <c r="AF375" i="2"/>
  <c r="CJ368" i="2"/>
  <c r="CW364" i="2"/>
  <c r="CQ262" i="82"/>
  <c r="DC226" i="82"/>
  <c r="DC326" i="1"/>
  <c r="CM574" i="1"/>
  <c r="CM592" i="1" s="1"/>
  <c r="CM611" i="1" s="1"/>
  <c r="BV158" i="2"/>
  <c r="BV159" i="2"/>
  <c r="DK326" i="1"/>
  <c r="BV54" i="2"/>
  <c r="BV348" i="2"/>
  <c r="BV169" i="2"/>
  <c r="BV94" i="2"/>
  <c r="BV151" i="2"/>
  <c r="BV71" i="2"/>
  <c r="BV32" i="2"/>
  <c r="CF71" i="2"/>
  <c r="CF348" i="2"/>
  <c r="CI169" i="2"/>
  <c r="CI151" i="2"/>
  <c r="CI32" i="2"/>
  <c r="CI54" i="2"/>
  <c r="CI29" i="2"/>
  <c r="BK74" i="7"/>
  <c r="CI316" i="82"/>
  <c r="DB215" i="2"/>
  <c r="CU230" i="82"/>
  <c r="CZ579" i="1"/>
  <c r="CZ582" i="1" s="1"/>
  <c r="CZ606" i="1" s="1"/>
  <c r="CZ607" i="1" s="1"/>
  <c r="CT230" i="82"/>
  <c r="BV177" i="2"/>
  <c r="BV176" i="2"/>
  <c r="BV168" i="2"/>
  <c r="BV167" i="2"/>
  <c r="CF167" i="2"/>
  <c r="AO350" i="2"/>
  <c r="CG368" i="2"/>
  <c r="AZ76" i="2"/>
  <c r="AZ350" i="2"/>
  <c r="CN128" i="2"/>
  <c r="CN122" i="2"/>
  <c r="CN116" i="2"/>
  <c r="CZ391" i="2"/>
  <c r="CZ393" i="2"/>
  <c r="CZ392" i="2"/>
  <c r="CE368" i="2"/>
  <c r="AY373" i="2"/>
  <c r="BW374" i="2"/>
  <c r="BW368" i="2"/>
  <c r="CM622" i="1"/>
  <c r="CM623" i="1" s="1"/>
  <c r="CI623" i="1"/>
  <c r="AY73" i="1"/>
  <c r="BF73" i="1"/>
  <c r="BE623" i="1"/>
  <c r="DB212" i="82"/>
  <c r="DB239" i="82"/>
  <c r="H42" i="113"/>
  <c r="H38" i="113"/>
  <c r="DA148" i="2"/>
  <c r="DA147" i="2"/>
  <c r="BK78" i="2"/>
  <c r="BK351" i="2"/>
  <c r="BK96" i="2"/>
  <c r="BW592" i="1"/>
  <c r="BW611" i="1" s="1"/>
  <c r="BW599" i="1"/>
  <c r="DG137" i="1"/>
  <c r="CZ571" i="1"/>
  <c r="CZ572" i="1"/>
  <c r="O12" i="113"/>
  <c r="O40" i="113"/>
  <c r="O30" i="113"/>
  <c r="BL73" i="1"/>
  <c r="DH561" i="1"/>
  <c r="CD73" i="1"/>
  <c r="CD60" i="2"/>
  <c r="CE599" i="1"/>
  <c r="CE592" i="1"/>
  <c r="CE611" i="1" s="1"/>
  <c r="AC137" i="1"/>
  <c r="CE447" i="1"/>
  <c r="DF135" i="2"/>
  <c r="DF134" i="2"/>
  <c r="DF248" i="82"/>
  <c r="DF249" i="82"/>
  <c r="BE376" i="1"/>
  <c r="BE370" i="1" s="1"/>
  <c r="BI375" i="1"/>
  <c r="BI376" i="1" s="1"/>
  <c r="BI370" i="1" s="1"/>
  <c r="BA590" i="1"/>
  <c r="BA574" i="1"/>
  <c r="BF569" i="1" s="1"/>
  <c r="AR81" i="2"/>
  <c r="AR51" i="2"/>
  <c r="BX135" i="1"/>
  <c r="CG73" i="1"/>
  <c r="CG60" i="2"/>
  <c r="CX254" i="82"/>
  <c r="CX255" i="82"/>
  <c r="DK571" i="1"/>
  <c r="AX591" i="1"/>
  <c r="AX612" i="1" s="1"/>
  <c r="M19" i="113"/>
  <c r="M44" i="113"/>
  <c r="BD374" i="2"/>
  <c r="AT326" i="1"/>
  <c r="AY326" i="1"/>
  <c r="L42" i="113"/>
  <c r="DA254" i="82"/>
  <c r="DA255" i="82"/>
  <c r="DC139" i="2"/>
  <c r="DC138" i="2"/>
  <c r="BC588" i="1"/>
  <c r="BC573" i="1"/>
  <c r="AQ78" i="2"/>
  <c r="AQ351" i="2"/>
  <c r="AQ96" i="2"/>
  <c r="CR563" i="1"/>
  <c r="CR565" i="1"/>
  <c r="CP410" i="82"/>
  <c r="CP287" i="82"/>
  <c r="CT262" i="82"/>
  <c r="CP275" i="82"/>
  <c r="CP297" i="82"/>
  <c r="CP298" i="82"/>
  <c r="CP295" i="82"/>
  <c r="CF591" i="1"/>
  <c r="CF587" i="1" s="1"/>
  <c r="CF569" i="1"/>
  <c r="CV125" i="2"/>
  <c r="CV124" i="2"/>
  <c r="CV102" i="2"/>
  <c r="DA521" i="1"/>
  <c r="R19" i="3"/>
  <c r="BB51" i="2"/>
  <c r="BT376" i="1"/>
  <c r="BT370" i="1" s="1"/>
  <c r="BX375" i="1"/>
  <c r="BX376" i="1" s="1"/>
  <c r="BX370" i="1" s="1"/>
  <c r="BD617" i="1"/>
  <c r="CN125" i="2"/>
  <c r="DB562" i="1"/>
  <c r="BM51" i="2"/>
  <c r="BC592" i="1"/>
  <c r="BC611" i="1" s="1"/>
  <c r="BC599" i="1"/>
  <c r="DC198" i="82"/>
  <c r="DC214" i="82"/>
  <c r="DG196" i="82"/>
  <c r="DC241" i="82"/>
  <c r="DC228" i="82"/>
  <c r="CY137" i="1"/>
  <c r="CT470" i="1"/>
  <c r="CT33" i="1"/>
  <c r="CT584" i="1"/>
  <c r="BD583" i="1"/>
  <c r="BD605" i="1" s="1"/>
  <c r="AZ605" i="1"/>
  <c r="CD94" i="2"/>
  <c r="CD151" i="2"/>
  <c r="CD71" i="2"/>
  <c r="CD348" i="2"/>
  <c r="CD169" i="2"/>
  <c r="CD54" i="2"/>
  <c r="CD29" i="2"/>
  <c r="CD32" i="2"/>
  <c r="CI71" i="2"/>
  <c r="CI348" i="2"/>
  <c r="CX132" i="2"/>
  <c r="CX131" i="2"/>
  <c r="AL51" i="2"/>
  <c r="AL81" i="2"/>
  <c r="DK131" i="2"/>
  <c r="DK144" i="2"/>
  <c r="DD521" i="1"/>
  <c r="CM65" i="2"/>
  <c r="CM341" i="2"/>
  <c r="CM166" i="2"/>
  <c r="CM150" i="2"/>
  <c r="CM27" i="2"/>
  <c r="CI368" i="2"/>
  <c r="CI104" i="2"/>
  <c r="CL368" i="2"/>
  <c r="CL104" i="2"/>
  <c r="CZ228" i="82"/>
  <c r="CZ241" i="82"/>
  <c r="CZ214" i="82"/>
  <c r="CZ198" i="82"/>
  <c r="DA579" i="1"/>
  <c r="DA582" i="1" s="1"/>
  <c r="DA606" i="1" s="1"/>
  <c r="DA607" i="1" s="1"/>
  <c r="CY138" i="2"/>
  <c r="CY139" i="2"/>
  <c r="CM410" i="1"/>
  <c r="BJ94" i="7"/>
  <c r="BJ82" i="7"/>
  <c r="BJ73" i="7" s="1"/>
  <c r="BJ96" i="7"/>
  <c r="BJ98" i="7"/>
  <c r="BJ91" i="7"/>
  <c r="BJ92" i="7"/>
  <c r="BJ83" i="7"/>
  <c r="BJ89" i="7"/>
  <c r="BJ104" i="7"/>
  <c r="BJ172" i="7"/>
  <c r="DD132" i="2"/>
  <c r="DD131" i="2"/>
  <c r="DD330" i="82"/>
  <c r="DD339" i="82"/>
  <c r="DD338" i="82"/>
  <c r="CK588" i="1"/>
  <c r="CK573" i="1"/>
  <c r="CV589" i="1"/>
  <c r="CV570" i="1"/>
  <c r="DH138" i="2"/>
  <c r="DH139" i="2"/>
  <c r="CI470" i="1"/>
  <c r="CI33" i="1"/>
  <c r="CI584" i="1"/>
  <c r="CY248" i="82"/>
  <c r="CY249" i="82"/>
  <c r="DE248" i="82"/>
  <c r="DE249" i="82"/>
  <c r="CI591" i="1"/>
  <c r="CI569" i="1"/>
  <c r="CN599" i="1"/>
  <c r="CN592" i="1"/>
  <c r="CN611" i="1" s="1"/>
  <c r="BI625" i="1"/>
  <c r="DA248" i="82"/>
  <c r="DA249" i="82"/>
  <c r="B87" i="3"/>
  <c r="B112" i="3"/>
  <c r="B114" i="3" s="1"/>
  <c r="B89" i="3"/>
  <c r="CQ115" i="2"/>
  <c r="CQ116" i="2"/>
  <c r="DB559" i="1"/>
  <c r="DC572" i="1"/>
  <c r="BE470" i="1"/>
  <c r="BE33" i="1"/>
  <c r="BE584" i="1"/>
  <c r="AV591" i="1"/>
  <c r="AV612" i="1" s="1"/>
  <c r="AI96" i="2"/>
  <c r="DH571" i="1"/>
  <c r="BI574" i="1"/>
  <c r="BE592" i="1"/>
  <c r="BE611" i="1" s="1"/>
  <c r="BE599" i="1"/>
  <c r="M9" i="11"/>
  <c r="T166" i="2"/>
  <c r="T150" i="2"/>
  <c r="T88" i="2"/>
  <c r="T358" i="2"/>
  <c r="T27" i="2"/>
  <c r="T29" i="2"/>
  <c r="V358" i="2"/>
  <c r="V88" i="2"/>
  <c r="Y65" i="2"/>
  <c r="Y341" i="2"/>
  <c r="DF147" i="2"/>
  <c r="DF148" i="2"/>
  <c r="CH212" i="2"/>
  <c r="CE214" i="2"/>
  <c r="CI213" i="2"/>
  <c r="AI51" i="2"/>
  <c r="CW579" i="1"/>
  <c r="CS582" i="1"/>
  <c r="N12" i="113"/>
  <c r="N40" i="113"/>
  <c r="N30" i="113"/>
  <c r="BW73" i="1"/>
  <c r="BJ162" i="2"/>
  <c r="CP563" i="1"/>
  <c r="CP565" i="1"/>
  <c r="BL74" i="7"/>
  <c r="CJ316" i="82"/>
  <c r="CJ348" i="2"/>
  <c r="CJ169" i="2"/>
  <c r="CJ54" i="2"/>
  <c r="CJ94" i="2"/>
  <c r="CJ151" i="2"/>
  <c r="CJ71" i="2"/>
  <c r="CJ29" i="2"/>
  <c r="CJ32" i="2"/>
  <c r="Q92" i="7"/>
  <c r="Q91" i="7"/>
  <c r="Q96" i="7"/>
  <c r="Q94" i="7"/>
  <c r="Q89" i="7"/>
  <c r="Q82" i="7"/>
  <c r="Q73" i="7" s="1"/>
  <c r="Q98" i="7"/>
  <c r="Q172" i="7"/>
  <c r="Q83" i="7"/>
  <c r="Q104" i="7"/>
  <c r="DF144" i="2"/>
  <c r="DF145" i="2"/>
  <c r="DF100" i="2"/>
  <c r="AY374" i="2"/>
  <c r="AV19" i="3"/>
  <c r="DF326" i="1"/>
  <c r="CS410" i="82"/>
  <c r="CS287" i="82"/>
  <c r="CV262" i="82"/>
  <c r="CS275" i="82"/>
  <c r="CS297" i="82"/>
  <c r="CW261" i="82"/>
  <c r="CS298" i="82"/>
  <c r="CS295" i="82"/>
  <c r="AZ9" i="3"/>
  <c r="BN160" i="2"/>
  <c r="BN178" i="2"/>
  <c r="BN50" i="2"/>
  <c r="BN37" i="2"/>
  <c r="DF254" i="82"/>
  <c r="DF255" i="82"/>
  <c r="CX520" i="1"/>
  <c r="CX630" i="1" s="1"/>
  <c r="DA139" i="2"/>
  <c r="DA138" i="2"/>
  <c r="BG73" i="1"/>
  <c r="CP115" i="2"/>
  <c r="CP116" i="2"/>
  <c r="CQ563" i="1"/>
  <c r="CQ565" i="1"/>
  <c r="T471" i="113"/>
  <c r="T487" i="113"/>
  <c r="T501" i="113"/>
  <c r="T502" i="113"/>
  <c r="DD255" i="82"/>
  <c r="DD254" i="82"/>
  <c r="CY520" i="1"/>
  <c r="CY630" i="1" s="1"/>
  <c r="CG168" i="2"/>
  <c r="CG167" i="2"/>
  <c r="AT91" i="1"/>
  <c r="AT93" i="1"/>
  <c r="AT115" i="1"/>
  <c r="AY91" i="1"/>
  <c r="BN375" i="1"/>
  <c r="BN376" i="1" s="1"/>
  <c r="BN370" i="1" s="1"/>
  <c r="BJ376" i="1"/>
  <c r="BJ370" i="1" s="1"/>
  <c r="AH19" i="3"/>
  <c r="BU591" i="1"/>
  <c r="BU612" i="1" s="1"/>
  <c r="BU613" i="1" s="1"/>
  <c r="BU569" i="1"/>
  <c r="AV617" i="1"/>
  <c r="CH418" i="1"/>
  <c r="CH413" i="1"/>
  <c r="CJ552" i="1"/>
  <c r="CJ528" i="1"/>
  <c r="CJ538" i="1"/>
  <c r="CJ539" i="1" s="1"/>
  <c r="CJ540" i="1" s="1"/>
  <c r="CJ179" i="39" s="1"/>
  <c r="CJ432" i="1"/>
  <c r="CJ548" i="1"/>
  <c r="CJ549" i="1" s="1"/>
  <c r="CJ533" i="1"/>
  <c r="CO539" i="1"/>
  <c r="CO540" i="1" s="1"/>
  <c r="CO179" i="39" s="1"/>
  <c r="DA241" i="82"/>
  <c r="DA198" i="82"/>
  <c r="DA228" i="82"/>
  <c r="DA214" i="82"/>
  <c r="DC145" i="2"/>
  <c r="DC144" i="2"/>
  <c r="DC142" i="2"/>
  <c r="DC141" i="2"/>
  <c r="AQ81" i="2"/>
  <c r="AQ51" i="2"/>
  <c r="E30" i="11"/>
  <c r="E31" i="11" s="1"/>
  <c r="AJ161" i="2"/>
  <c r="AJ179" i="2"/>
  <c r="AH375" i="2"/>
  <c r="AG375" i="2"/>
  <c r="AI375" i="2"/>
  <c r="CM397" i="1"/>
  <c r="CM402" i="1" s="1"/>
  <c r="CM526" i="1"/>
  <c r="DH326" i="1"/>
  <c r="AS196" i="7"/>
  <c r="AS197" i="7" s="1"/>
  <c r="AO9" i="3"/>
  <c r="BC77" i="2"/>
  <c r="BC178" i="2"/>
  <c r="BC160" i="2"/>
  <c r="BC50" i="2"/>
  <c r="BC37" i="2"/>
  <c r="BU600" i="1"/>
  <c r="BU601" i="1" s="1"/>
  <c r="BD152" i="2"/>
  <c r="BE153" i="2"/>
  <c r="CQ124" i="2"/>
  <c r="CQ125" i="2"/>
  <c r="BD135" i="1"/>
  <c r="AK81" i="2"/>
  <c r="AK51" i="2"/>
  <c r="AY19" i="3"/>
  <c r="BK163" i="2"/>
  <c r="DF137" i="1"/>
  <c r="U340" i="2"/>
  <c r="U377" i="2"/>
  <c r="U384" i="2"/>
  <c r="Q367" i="2"/>
  <c r="U347" i="2"/>
  <c r="S367" i="2"/>
  <c r="R367" i="2"/>
  <c r="U13" i="2"/>
  <c r="Z340" i="2"/>
  <c r="Z347" i="2"/>
  <c r="CW521" i="1"/>
  <c r="BT177" i="2"/>
  <c r="BT176" i="2"/>
  <c r="BU177" i="2"/>
  <c r="DH248" i="82"/>
  <c r="DH249" i="82"/>
  <c r="CI215" i="2"/>
  <c r="CK215" i="2"/>
  <c r="CQ410" i="82"/>
  <c r="CQ287" i="82"/>
  <c r="CU262" i="82"/>
  <c r="CQ275" i="82"/>
  <c r="CQ297" i="82"/>
  <c r="CQ295" i="82"/>
  <c r="CQ298" i="82"/>
  <c r="BZ80" i="7"/>
  <c r="CX381" i="2"/>
  <c r="CX356" i="2"/>
  <c r="CX339" i="2"/>
  <c r="CX117" i="2"/>
  <c r="CX86" i="2"/>
  <c r="CX63" i="2"/>
  <c r="CX120" i="2"/>
  <c r="CX123" i="2"/>
  <c r="CX126" i="2"/>
  <c r="CX13" i="2"/>
  <c r="CX380" i="2"/>
  <c r="CX379" i="2"/>
  <c r="CX378" i="2"/>
  <c r="CX114" i="2"/>
  <c r="CX377" i="2"/>
  <c r="DE147" i="2"/>
  <c r="DE148" i="2"/>
  <c r="DK134" i="2"/>
  <c r="DK147" i="2"/>
  <c r="DD326" i="1"/>
  <c r="CM366" i="2"/>
  <c r="CY141" i="2"/>
  <c r="CY142" i="2"/>
  <c r="BI570" i="1"/>
  <c r="BI588" i="1" s="1"/>
  <c r="BE588" i="1"/>
  <c r="BE573" i="1"/>
  <c r="BM592" i="1"/>
  <c r="BM611" i="1" s="1"/>
  <c r="BM599" i="1"/>
  <c r="BX582" i="1"/>
  <c r="BX578" i="1" s="1"/>
  <c r="BT578" i="1"/>
  <c r="CT124" i="2"/>
  <c r="CT125" i="2"/>
  <c r="CT366" i="2"/>
  <c r="AM96" i="2"/>
  <c r="AM78" i="2"/>
  <c r="AM351" i="2"/>
  <c r="CF80" i="7"/>
  <c r="DD126" i="2"/>
  <c r="DD117" i="2"/>
  <c r="DD63" i="2"/>
  <c r="DD120" i="2"/>
  <c r="DD86" i="2"/>
  <c r="DD13" i="2"/>
  <c r="DD114" i="2"/>
  <c r="DD123" i="2"/>
  <c r="CV590" i="1"/>
  <c r="CV574" i="1"/>
  <c r="DH141" i="2"/>
  <c r="DH142" i="2"/>
  <c r="CM578" i="1"/>
  <c r="P310" i="113"/>
  <c r="DE254" i="82"/>
  <c r="DE255" i="82"/>
  <c r="CK592" i="1"/>
  <c r="CK611" i="1" s="1"/>
  <c r="CK599" i="1"/>
  <c r="BD561" i="1"/>
  <c r="BD87" i="1"/>
  <c r="BD565" i="1" s="1"/>
  <c r="CO167" i="2"/>
  <c r="CO168" i="2"/>
  <c r="CX521" i="1"/>
  <c r="U112" i="113"/>
  <c r="AG75" i="7"/>
  <c r="AO50" i="2"/>
  <c r="AO160" i="2"/>
  <c r="AO77" i="2"/>
  <c r="AO178" i="2"/>
  <c r="AO37" i="2"/>
  <c r="CN588" i="1"/>
  <c r="CN573" i="1"/>
  <c r="BX98" i="7"/>
  <c r="BX82" i="7"/>
  <c r="BX73" i="7" s="1"/>
  <c r="BX96" i="7"/>
  <c r="BX94" i="7"/>
  <c r="BX172" i="7"/>
  <c r="BX104" i="7"/>
  <c r="BX83" i="7"/>
  <c r="BX92" i="7"/>
  <c r="BX91" i="7"/>
  <c r="BX89" i="7"/>
  <c r="CU590" i="1"/>
  <c r="CU574" i="1"/>
  <c r="BS91" i="7"/>
  <c r="BS89" i="7"/>
  <c r="BS172" i="7"/>
  <c r="BS82" i="7"/>
  <c r="BS73" i="7" s="1"/>
  <c r="BS83" i="7"/>
  <c r="BS94" i="7"/>
  <c r="BS92" i="7"/>
  <c r="BS98" i="7"/>
  <c r="BS96" i="7"/>
  <c r="BS104" i="7"/>
  <c r="S8" i="113"/>
  <c r="DB313" i="82"/>
  <c r="DB301" i="82" s="1"/>
  <c r="S321" i="113" s="1"/>
  <c r="S323" i="113" s="1"/>
  <c r="S325" i="113" s="1"/>
  <c r="S326" i="113" s="1"/>
  <c r="DB61" i="2"/>
  <c r="DB9" i="2"/>
  <c r="DB140" i="2"/>
  <c r="DB146" i="2"/>
  <c r="DB137" i="2"/>
  <c r="DB143" i="2"/>
  <c r="DB133" i="2"/>
  <c r="DB130" i="2"/>
  <c r="BW177" i="2"/>
  <c r="BW176" i="2"/>
  <c r="S316" i="113"/>
  <c r="DE520" i="1"/>
  <c r="DE630" i="1" s="1"/>
  <c r="J16" i="113"/>
  <c r="J18" i="113" s="1"/>
  <c r="J25" i="113"/>
  <c r="J43" i="113"/>
  <c r="J34" i="113"/>
  <c r="J13" i="113"/>
  <c r="J33" i="113" s="1"/>
  <c r="BJ180" i="2"/>
  <c r="BJ588" i="1"/>
  <c r="BN570" i="1"/>
  <c r="BJ573" i="1"/>
  <c r="U127" i="1"/>
  <c r="U122" i="1"/>
  <c r="Z122" i="1"/>
  <c r="CS115" i="2"/>
  <c r="CS127" i="2"/>
  <c r="AL196" i="7"/>
  <c r="AL197" i="7" s="1"/>
  <c r="AG9" i="3"/>
  <c r="AU77" i="2"/>
  <c r="AU178" i="2"/>
  <c r="AU160" i="2"/>
  <c r="AU37" i="2"/>
  <c r="AU50" i="2"/>
  <c r="BE607" i="1"/>
  <c r="BI606" i="1"/>
  <c r="BI607" i="1" s="1"/>
  <c r="AP96" i="2"/>
  <c r="AP351" i="2"/>
  <c r="AP78" i="2"/>
  <c r="CT590" i="1"/>
  <c r="CT574" i="1"/>
  <c r="CQ570" i="1"/>
  <c r="CQ589" i="1"/>
  <c r="BG588" i="1"/>
  <c r="BG573" i="1"/>
  <c r="CJ73" i="1"/>
  <c r="CJ60" i="2"/>
  <c r="AT100" i="1"/>
  <c r="AT102" i="1"/>
  <c r="AT105" i="1"/>
  <c r="AT118" i="1"/>
  <c r="BF591" i="1"/>
  <c r="BF612" i="1" s="1"/>
  <c r="BF613" i="1" s="1"/>
  <c r="CH589" i="1"/>
  <c r="CH570" i="1"/>
  <c r="BL81" i="2"/>
  <c r="BL51" i="2"/>
  <c r="H19" i="113"/>
  <c r="H44" i="113"/>
  <c r="DF132" i="2"/>
  <c r="DF131" i="2"/>
  <c r="DF301" i="82"/>
  <c r="DF338" i="82"/>
  <c r="DF330" i="82"/>
  <c r="DF339" i="82"/>
  <c r="DE521" i="1"/>
  <c r="DF520" i="1"/>
  <c r="DF630" i="1" s="1"/>
  <c r="CM416" i="1"/>
  <c r="CM417" i="1" s="1"/>
  <c r="CM418" i="1" s="1"/>
  <c r="BP74" i="7"/>
  <c r="CN316" i="82"/>
  <c r="CN94" i="2"/>
  <c r="CN151" i="2"/>
  <c r="CN348" i="2"/>
  <c r="CN169" i="2"/>
  <c r="CN54" i="2"/>
  <c r="CN29" i="2"/>
  <c r="CN32" i="2"/>
  <c r="CN71" i="2"/>
  <c r="BC73" i="1"/>
  <c r="CW198" i="82"/>
  <c r="CW214" i="82"/>
  <c r="CW241" i="82"/>
  <c r="DA142" i="2"/>
  <c r="DA141" i="2"/>
  <c r="CH137" i="1"/>
  <c r="DA226" i="82"/>
  <c r="DA212" i="82"/>
  <c r="DA239" i="82"/>
  <c r="DD561" i="1"/>
  <c r="CP124" i="2"/>
  <c r="CP125" i="2"/>
  <c r="BR96" i="7"/>
  <c r="BR94" i="7"/>
  <c r="BR91" i="7"/>
  <c r="BR82" i="7"/>
  <c r="BR73" i="7" s="1"/>
  <c r="BR92" i="7"/>
  <c r="BR83" i="7"/>
  <c r="BR98" i="7"/>
  <c r="BR104" i="7"/>
  <c r="BR172" i="7"/>
  <c r="BR89" i="7"/>
  <c r="CY521" i="1"/>
  <c r="CX198" i="82"/>
  <c r="CX214" i="82"/>
  <c r="CX228" i="82"/>
  <c r="CX241" i="82"/>
  <c r="DB196" i="82"/>
  <c r="AS100" i="1"/>
  <c r="AS102" i="1"/>
  <c r="AS118" i="1"/>
  <c r="AS121" i="1" s="1"/>
  <c r="AX100" i="1"/>
  <c r="M42" i="113"/>
  <c r="M38" i="113"/>
  <c r="BL591" i="1"/>
  <c r="BL569" i="1"/>
  <c r="CH366" i="2"/>
  <c r="AM19" i="3"/>
  <c r="DC134" i="2"/>
  <c r="DC135" i="2"/>
  <c r="DC148" i="2"/>
  <c r="DC147" i="2"/>
  <c r="BV463" i="1"/>
  <c r="BV26" i="1"/>
  <c r="BV575" i="1"/>
  <c r="CS590" i="1"/>
  <c r="CW572" i="1"/>
  <c r="CW590" i="1" s="1"/>
  <c r="CS574" i="1"/>
  <c r="CV118" i="2"/>
  <c r="CV119" i="2"/>
  <c r="CV366" i="2"/>
  <c r="DA520" i="1"/>
  <c r="DA630" i="1" s="1"/>
  <c r="AY375" i="1"/>
  <c r="AU376" i="1"/>
  <c r="AU370" i="1" s="1"/>
  <c r="DE561" i="1"/>
  <c r="CW370" i="82"/>
  <c r="CW338" i="82"/>
  <c r="CW330" i="82"/>
  <c r="CW339" i="82"/>
  <c r="CW398" i="82"/>
  <c r="CQ127" i="2"/>
  <c r="CQ128" i="2"/>
  <c r="Q496" i="113"/>
  <c r="Q500" i="113"/>
  <c r="CD592" i="1"/>
  <c r="CD611" i="1" s="1"/>
  <c r="CD599" i="1"/>
  <c r="CW520" i="1"/>
  <c r="CW630" i="1" s="1"/>
  <c r="BC135" i="1"/>
  <c r="CU563" i="1"/>
  <c r="CU565" i="1"/>
  <c r="DH254" i="82"/>
  <c r="DH255" i="82"/>
  <c r="CX100" i="2"/>
  <c r="CE73" i="1"/>
  <c r="CE60" i="2"/>
  <c r="DE144" i="2"/>
  <c r="DE145" i="2"/>
  <c r="CM80" i="7"/>
  <c r="DK120" i="2"/>
  <c r="DK123" i="2"/>
  <c r="DK126" i="2"/>
  <c r="DK117" i="2"/>
  <c r="DK63" i="2"/>
  <c r="DK13" i="2"/>
  <c r="DK114" i="2"/>
  <c r="DK338" i="82"/>
  <c r="DK301" i="82"/>
  <c r="DK330" i="82"/>
  <c r="DK339" i="82"/>
  <c r="DD520" i="1"/>
  <c r="DD630" i="1" s="1"/>
  <c r="CF600" i="1"/>
  <c r="CF601" i="1" s="1"/>
  <c r="R488" i="113"/>
  <c r="R498" i="113"/>
  <c r="BB73" i="1"/>
  <c r="AZ51" i="2"/>
  <c r="CY144" i="2"/>
  <c r="CY145" i="2"/>
  <c r="CZ138" i="2"/>
  <c r="CZ139" i="2"/>
  <c r="AM51" i="2"/>
  <c r="AM81" i="2"/>
  <c r="BX366" i="2"/>
  <c r="BT168" i="2"/>
  <c r="BT167" i="2"/>
  <c r="BU168" i="2"/>
  <c r="CW561" i="1"/>
  <c r="CU102" i="2"/>
  <c r="CJ425" i="1"/>
  <c r="CJ429" i="1"/>
  <c r="CN119" i="2"/>
  <c r="DD139" i="2"/>
  <c r="DD138" i="2"/>
  <c r="T75" i="113"/>
  <c r="DH144" i="2"/>
  <c r="DH145" i="2"/>
  <c r="AN96" i="2"/>
  <c r="AN78" i="2"/>
  <c r="AN351" i="2"/>
  <c r="BA604" i="1"/>
  <c r="BU137" i="1"/>
  <c r="CK73" i="1"/>
  <c r="CK60" i="2"/>
  <c r="BK592" i="1"/>
  <c r="BK611" i="1" s="1"/>
  <c r="BK599" i="1"/>
  <c r="CS358" i="2"/>
  <c r="CS65" i="2"/>
  <c r="CS341" i="2"/>
  <c r="CS166" i="2"/>
  <c r="CS150" i="2"/>
  <c r="CS88" i="2"/>
  <c r="CS27" i="2"/>
  <c r="AX598" i="1"/>
  <c r="CE80" i="7"/>
  <c r="DC120" i="2"/>
  <c r="DC86" i="2"/>
  <c r="DC126" i="2"/>
  <c r="DC117" i="2"/>
  <c r="DC63" i="2"/>
  <c r="DC13" i="2"/>
  <c r="DC114" i="2"/>
  <c r="DC123" i="2"/>
  <c r="CV128" i="2"/>
  <c r="CV127" i="2"/>
  <c r="CS124" i="2"/>
  <c r="BU92" i="7"/>
  <c r="BU98" i="7"/>
  <c r="BU91" i="7"/>
  <c r="BU172" i="7"/>
  <c r="BU96" i="7"/>
  <c r="BU82" i="7"/>
  <c r="BU73" i="7" s="1"/>
  <c r="BU104" i="7"/>
  <c r="BU94" i="7"/>
  <c r="BU83" i="7"/>
  <c r="BU89" i="7"/>
  <c r="AY36" i="2"/>
  <c r="AY34" i="2"/>
  <c r="CX561" i="1"/>
  <c r="CX373" i="1"/>
  <c r="CX375" i="1" s="1"/>
  <c r="CX376" i="1" s="1"/>
  <c r="CX370" i="1" s="1"/>
  <c r="AK181" i="2"/>
  <c r="AK180" i="2"/>
  <c r="T129" i="1"/>
  <c r="V129" i="1"/>
  <c r="Y128" i="1"/>
  <c r="T134" i="1"/>
  <c r="T136" i="1"/>
  <c r="T133" i="1"/>
  <c r="AP81" i="2"/>
  <c r="AP51" i="2"/>
  <c r="CJ168" i="2"/>
  <c r="CJ167" i="2"/>
  <c r="CT589" i="1"/>
  <c r="CT570" i="1"/>
  <c r="CQ590" i="1"/>
  <c r="CQ574" i="1"/>
  <c r="CL591" i="1"/>
  <c r="CL612" i="1" s="1"/>
  <c r="CL613" i="1" s="1"/>
  <c r="CL569" i="1"/>
  <c r="CY579" i="1"/>
  <c r="CY582" i="1" s="1"/>
  <c r="CQ470" i="1"/>
  <c r="CQ33" i="1"/>
  <c r="CQ584" i="1"/>
  <c r="DG581" i="1"/>
  <c r="DC583" i="1"/>
  <c r="AR119" i="1"/>
  <c r="AR120" i="1"/>
  <c r="CH590" i="1"/>
  <c r="CH574" i="1"/>
  <c r="AS375" i="1"/>
  <c r="AT373" i="1"/>
  <c r="CH80" i="7"/>
  <c r="DF117" i="2"/>
  <c r="DF63" i="2"/>
  <c r="DF120" i="2"/>
  <c r="DF86" i="2"/>
  <c r="DF126" i="2"/>
  <c r="DF13" i="2"/>
  <c r="DF123" i="2"/>
  <c r="DF114" i="2"/>
  <c r="CG588" i="1"/>
  <c r="CG573" i="1"/>
  <c r="DF198" i="82"/>
  <c r="DF214" i="82"/>
  <c r="DF241" i="82"/>
  <c r="DF228" i="82"/>
  <c r="AX137" i="1"/>
  <c r="DA134" i="2"/>
  <c r="DA135" i="2"/>
  <c r="DA145" i="2"/>
  <c r="DA144" i="2"/>
  <c r="DD572" i="1"/>
  <c r="BN625" i="1"/>
  <c r="CE151" i="2"/>
  <c r="CE71" i="2"/>
  <c r="CE348" i="2"/>
  <c r="CE169" i="2"/>
  <c r="CE54" i="2"/>
  <c r="CE94" i="2"/>
  <c r="CE29" i="2"/>
  <c r="CE32" i="2"/>
  <c r="CF94" i="2"/>
  <c r="AN63" i="7"/>
  <c r="DG245" i="82"/>
  <c r="DD249" i="82"/>
  <c r="DD248" i="82"/>
  <c r="DG559" i="1"/>
  <c r="DG562" i="1"/>
  <c r="AX116" i="1"/>
  <c r="AS117" i="1"/>
  <c r="AS116" i="1"/>
  <c r="AU117" i="1"/>
  <c r="BE81" i="2"/>
  <c r="BE51" i="2"/>
  <c r="CR582" i="1"/>
  <c r="CR578" i="1" s="1"/>
  <c r="CN578" i="1"/>
  <c r="CU410" i="82"/>
  <c r="CU275" i="82"/>
  <c r="CY262" i="82"/>
  <c r="DD276" i="82" s="1"/>
  <c r="CU287" i="82"/>
  <c r="CU297" i="82"/>
  <c r="CU295" i="82"/>
  <c r="CU298" i="82"/>
  <c r="AU592" i="1"/>
  <c r="AU611" i="1" s="1"/>
  <c r="AU599" i="1"/>
  <c r="U69" i="113"/>
  <c r="U50" i="113"/>
  <c r="U368" i="113" s="1"/>
  <c r="DC131" i="2"/>
  <c r="DC132" i="2"/>
  <c r="DC338" i="82"/>
  <c r="DC330" i="82"/>
  <c r="DC339" i="82"/>
  <c r="BV587" i="1"/>
  <c r="CS589" i="1"/>
  <c r="CW571" i="1"/>
  <c r="CW589" i="1" s="1"/>
  <c r="CS570" i="1"/>
  <c r="CO592" i="1"/>
  <c r="CO611" i="1" s="1"/>
  <c r="CO599" i="1"/>
  <c r="CV115" i="2"/>
  <c r="CV116" i="2"/>
  <c r="BB588" i="1"/>
  <c r="BB573" i="1"/>
  <c r="BB569" i="1" s="1"/>
  <c r="AN19" i="3"/>
  <c r="AG163" i="2"/>
  <c r="DE572" i="1"/>
  <c r="BH137" i="1"/>
  <c r="DH580" i="1"/>
  <c r="R28" i="113"/>
  <c r="R10" i="113"/>
  <c r="K16" i="113"/>
  <c r="K18" i="113" s="1"/>
  <c r="K34" i="113"/>
  <c r="K43" i="113"/>
  <c r="K25" i="113"/>
  <c r="K13" i="113"/>
  <c r="CQ121" i="2"/>
  <c r="CQ122" i="2"/>
  <c r="AU334" i="1"/>
  <c r="AU161" i="2"/>
  <c r="AU182" i="2"/>
  <c r="AU179" i="2"/>
  <c r="AU76" i="2"/>
  <c r="AU164" i="2"/>
  <c r="AU95" i="2"/>
  <c r="AU362" i="2"/>
  <c r="AU350" i="2"/>
  <c r="AV362" i="2"/>
  <c r="AV95" i="2"/>
  <c r="DC561" i="1"/>
  <c r="CV230" i="82"/>
  <c r="CZ373" i="1"/>
  <c r="CZ375" i="1" s="1"/>
  <c r="CZ376" i="1" s="1"/>
  <c r="CZ370" i="1" s="1"/>
  <c r="CZ561" i="1"/>
  <c r="CS563" i="1"/>
  <c r="CS565" i="1"/>
  <c r="T367" i="2"/>
  <c r="CO588" i="1"/>
  <c r="CO573" i="1"/>
  <c r="DC249" i="82"/>
  <c r="DC248" i="82"/>
  <c r="CP622" i="1"/>
  <c r="CP623" i="1" s="1"/>
  <c r="CP578" i="1"/>
  <c r="CD376" i="1"/>
  <c r="CD370" i="1" s="1"/>
  <c r="CD371" i="1" s="1"/>
  <c r="CH375" i="1"/>
  <c r="CH376" i="1" s="1"/>
  <c r="CH370" i="1" s="1"/>
  <c r="DK248" i="82"/>
  <c r="AK134" i="1"/>
  <c r="AK129" i="1"/>
  <c r="AK128" i="1"/>
  <c r="AK136" i="1"/>
  <c r="AK133" i="1"/>
  <c r="DH241" i="82"/>
  <c r="DH228" i="82"/>
  <c r="DH214" i="82"/>
  <c r="DH198" i="82"/>
  <c r="DE132" i="2"/>
  <c r="DE131" i="2"/>
  <c r="DE338" i="82"/>
  <c r="DE330" i="82"/>
  <c r="DE339" i="82"/>
  <c r="BO83" i="7"/>
  <c r="BO82" i="7"/>
  <c r="BO73" i="7" s="1"/>
  <c r="BO94" i="7"/>
  <c r="BO96" i="7"/>
  <c r="BO98" i="7"/>
  <c r="BO92" i="7"/>
  <c r="BO91" i="7"/>
  <c r="BO104" i="7"/>
  <c r="BO172" i="7"/>
  <c r="BO89" i="7"/>
  <c r="CZ248" i="82"/>
  <c r="CZ249" i="82"/>
  <c r="AZ625" i="1"/>
  <c r="CY147" i="2"/>
  <c r="CY148" i="2"/>
  <c r="CZ141" i="2"/>
  <c r="CZ142" i="2"/>
  <c r="AS19" i="3"/>
  <c r="CT115" i="2"/>
  <c r="CT116" i="2"/>
  <c r="CT119" i="2"/>
  <c r="CT118" i="2"/>
  <c r="CN73" i="1"/>
  <c r="CN60" i="2"/>
  <c r="CU122" i="2"/>
  <c r="CU121" i="2"/>
  <c r="AP135" i="1"/>
  <c r="CV470" i="1"/>
  <c r="CV33" i="1"/>
  <c r="CV584" i="1"/>
  <c r="DD142" i="2"/>
  <c r="DD141" i="2"/>
  <c r="DB580" i="1"/>
  <c r="CX579" i="1"/>
  <c r="DH132" i="2"/>
  <c r="DH131" i="2"/>
  <c r="DH147" i="2"/>
  <c r="DH148" i="2"/>
  <c r="CT410" i="82"/>
  <c r="CX262" i="82"/>
  <c r="DC276" i="82" s="1"/>
  <c r="CT275" i="82"/>
  <c r="CT287" i="82"/>
  <c r="CT297" i="82"/>
  <c r="CT298" i="82"/>
  <c r="CT295" i="82"/>
  <c r="AV604" i="1"/>
  <c r="BK588" i="1"/>
  <c r="BK573" i="1"/>
  <c r="CG592" i="1"/>
  <c r="CG611" i="1" s="1"/>
  <c r="CG599" i="1"/>
  <c r="BM588" i="1"/>
  <c r="BM573" i="1"/>
  <c r="BT73" i="1"/>
  <c r="G19" i="113"/>
  <c r="G44" i="113"/>
  <c r="AZ77" i="2"/>
  <c r="AU625" i="1"/>
  <c r="CY134" i="2"/>
  <c r="CY135" i="2"/>
  <c r="CZ131" i="2"/>
  <c r="CZ132" i="2"/>
  <c r="CZ144" i="2"/>
  <c r="CZ145" i="2"/>
  <c r="CT122" i="2"/>
  <c r="CT121" i="2"/>
  <c r="CT127" i="2"/>
  <c r="CT128" i="2"/>
  <c r="BV91" i="7"/>
  <c r="BV98" i="7"/>
  <c r="BV82" i="7"/>
  <c r="BV73" i="7" s="1"/>
  <c r="BV96" i="7"/>
  <c r="BV94" i="7"/>
  <c r="BV172" i="7"/>
  <c r="BV92" i="7"/>
  <c r="BV83" i="7"/>
  <c r="BV104" i="7"/>
  <c r="BV89" i="7"/>
  <c r="BC470" i="1"/>
  <c r="BC33" i="1"/>
  <c r="BC584" i="1"/>
  <c r="CU127" i="2"/>
  <c r="CU128" i="2"/>
  <c r="AA83" i="3"/>
  <c r="DB240" i="82"/>
  <c r="DB213" i="82"/>
  <c r="DB247" i="82"/>
  <c r="DB253" i="82"/>
  <c r="DB254" i="82" s="1"/>
  <c r="BF135" i="1"/>
  <c r="BX590" i="1"/>
  <c r="BX574" i="1"/>
  <c r="DD148" i="2"/>
  <c r="DD147" i="2"/>
  <c r="AR121" i="1"/>
  <c r="AW122" i="1" s="1"/>
  <c r="DB581" i="1"/>
  <c r="CX583" i="1"/>
  <c r="CP589" i="1"/>
  <c r="CP570" i="1"/>
  <c r="BE180" i="2"/>
  <c r="BF181" i="2"/>
  <c r="DH135" i="2"/>
  <c r="DH134" i="2"/>
  <c r="AV620" i="1"/>
  <c r="AV119" i="1"/>
  <c r="AV120" i="1"/>
  <c r="BA119" i="1"/>
  <c r="CY254" i="82"/>
  <c r="CY255" i="82"/>
  <c r="DE198" i="82"/>
  <c r="DE214" i="82"/>
  <c r="DE241" i="82"/>
  <c r="DE228" i="82"/>
  <c r="DA131" i="2"/>
  <c r="DA132" i="2"/>
  <c r="T8" i="113"/>
  <c r="DG313" i="82"/>
  <c r="DG61" i="2"/>
  <c r="DG9" i="2"/>
  <c r="DG140" i="2"/>
  <c r="DG137" i="2"/>
  <c r="DG146" i="2"/>
  <c r="DG143" i="2"/>
  <c r="DG133" i="2"/>
  <c r="DG130" i="2"/>
  <c r="CD588" i="1"/>
  <c r="CD573" i="1"/>
  <c r="AC75" i="7"/>
  <c r="V9" i="3"/>
  <c r="AJ160" i="2"/>
  <c r="AJ178" i="2"/>
  <c r="AJ50" i="2"/>
  <c r="AJ37" i="2"/>
  <c r="CY561" i="1"/>
  <c r="CY373" i="1"/>
  <c r="CY375" i="1" s="1"/>
  <c r="CY376" i="1" s="1"/>
  <c r="CY370" i="1" s="1"/>
  <c r="O499" i="113"/>
  <c r="O474" i="113"/>
  <c r="CD167" i="2"/>
  <c r="CI167" i="2"/>
  <c r="CX138" i="2"/>
  <c r="CX139" i="2"/>
  <c r="CX384" i="82"/>
  <c r="CX370" i="82"/>
  <c r="CX330" i="82"/>
  <c r="CX338" i="82"/>
  <c r="CX410" i="82"/>
  <c r="CX339" i="82"/>
  <c r="CX398" i="82"/>
  <c r="CW135" i="1"/>
  <c r="CU470" i="1"/>
  <c r="CU33" i="1"/>
  <c r="CU584" i="1"/>
  <c r="AP180" i="2"/>
  <c r="AP181" i="2"/>
  <c r="CS118" i="2"/>
  <c r="CH367" i="2"/>
  <c r="DA137" i="1"/>
  <c r="BX73" i="1"/>
  <c r="CW583" i="1"/>
  <c r="CW605" i="1" s="1"/>
  <c r="CS605" i="1"/>
  <c r="DF572" i="1"/>
  <c r="DF571" i="1"/>
  <c r="CV563" i="1"/>
  <c r="CV565" i="1"/>
  <c r="CW239" i="82"/>
  <c r="CW212" i="82"/>
  <c r="CJ470" i="1"/>
  <c r="CJ33" i="1"/>
  <c r="CJ584" i="1"/>
  <c r="AE135" i="1"/>
  <c r="BN137" i="1"/>
  <c r="BM73" i="1"/>
  <c r="DF521" i="1"/>
  <c r="BG599" i="1"/>
  <c r="BG592" i="1"/>
  <c r="BG611" i="1" s="1"/>
  <c r="CR572" i="1"/>
  <c r="CR590" i="1" s="1"/>
  <c r="BI326" i="1"/>
  <c r="CN167" i="2"/>
  <c r="CC80" i="7"/>
  <c r="DA117" i="2"/>
  <c r="DA86" i="2"/>
  <c r="DA63" i="2"/>
  <c r="DA120" i="2"/>
  <c r="DA123" i="2"/>
  <c r="DA126" i="2"/>
  <c r="DA13" i="2"/>
  <c r="DA114" i="2"/>
  <c r="DA384" i="82"/>
  <c r="DA370" i="82"/>
  <c r="DA410" i="82"/>
  <c r="DA330" i="82"/>
  <c r="DA338" i="82"/>
  <c r="DA339" i="82"/>
  <c r="DA398" i="82"/>
  <c r="CE234" i="7"/>
  <c r="CE235" i="7" s="1"/>
  <c r="BI128" i="1"/>
  <c r="BI136" i="1"/>
  <c r="BI133" i="1"/>
  <c r="BI134" i="1"/>
  <c r="BN128" i="1"/>
  <c r="BK51" i="2"/>
  <c r="BK81" i="2"/>
  <c r="CE167" i="2"/>
  <c r="CE168" i="2"/>
  <c r="CF168" i="2"/>
  <c r="CG137" i="1"/>
  <c r="CG151" i="2"/>
  <c r="CG71" i="2"/>
  <c r="CG348" i="2"/>
  <c r="CG169" i="2"/>
  <c r="CG54" i="2"/>
  <c r="CG94" i="2"/>
  <c r="CG29" i="2"/>
  <c r="CG32" i="2"/>
  <c r="CI94" i="2"/>
  <c r="T69" i="113"/>
  <c r="T50" i="113"/>
  <c r="T368" i="113" s="1"/>
  <c r="CR571" i="1"/>
  <c r="CR589" i="1" s="1"/>
  <c r="BJ578" i="1"/>
  <c r="BN582" i="1"/>
  <c r="BN578" i="1" s="1"/>
  <c r="BA351" i="2"/>
  <c r="BA96" i="2"/>
  <c r="BA78" i="2"/>
  <c r="BF78" i="2"/>
  <c r="BF351" i="2"/>
  <c r="DA571" i="1"/>
  <c r="DA572" i="1"/>
  <c r="CO73" i="1"/>
  <c r="CO60" i="2"/>
  <c r="AZ164" i="2"/>
  <c r="CV65" i="2"/>
  <c r="CV341" i="2"/>
  <c r="CV358" i="2"/>
  <c r="CV166" i="2"/>
  <c r="CV150" i="2"/>
  <c r="CV88" i="2"/>
  <c r="CV27" i="2"/>
  <c r="CM606" i="1"/>
  <c r="CM607" i="1" s="1"/>
  <c r="CI607" i="1"/>
  <c r="CO470" i="1"/>
  <c r="CO33" i="1"/>
  <c r="CO584" i="1"/>
  <c r="AO196" i="7"/>
  <c r="AO197" i="7" s="1"/>
  <c r="AJ9" i="3"/>
  <c r="AX160" i="2"/>
  <c r="AX77" i="2"/>
  <c r="AX178" i="2"/>
  <c r="AX50" i="2"/>
  <c r="AX37" i="2"/>
  <c r="AZ589" i="1"/>
  <c r="BD571" i="1"/>
  <c r="BD589" i="1" s="1"/>
  <c r="AZ570" i="1"/>
  <c r="CU589" i="1"/>
  <c r="CU570" i="1"/>
  <c r="CQ358" i="2"/>
  <c r="CQ65" i="2"/>
  <c r="CQ341" i="2"/>
  <c r="CQ166" i="2"/>
  <c r="CQ150" i="2"/>
  <c r="CQ88" i="2"/>
  <c r="CQ27" i="2"/>
  <c r="DK580" i="1"/>
  <c r="CP137" i="1"/>
  <c r="BW158" i="2"/>
  <c r="BW159" i="2"/>
  <c r="AO63" i="7"/>
  <c r="BW348" i="2"/>
  <c r="BW169" i="2"/>
  <c r="BW94" i="2"/>
  <c r="BW54" i="2"/>
  <c r="BW151" i="2"/>
  <c r="BW71" i="2"/>
  <c r="BW32" i="2"/>
  <c r="CY572" i="1"/>
  <c r="CY571" i="1"/>
  <c r="AV73" i="1"/>
  <c r="CX135" i="2"/>
  <c r="CX134" i="2"/>
  <c r="CX141" i="2"/>
  <c r="CX142" i="2"/>
  <c r="CG80" i="7"/>
  <c r="DE117" i="2"/>
  <c r="DE63" i="2"/>
  <c r="DE120" i="2"/>
  <c r="DE86" i="2"/>
  <c r="DE13" i="2"/>
  <c r="DE114" i="2"/>
  <c r="DE123" i="2"/>
  <c r="DE126" i="2"/>
  <c r="CM102" i="2"/>
  <c r="CN376" i="1"/>
  <c r="CN370" i="1" s="1"/>
  <c r="CR375" i="1"/>
  <c r="CR376" i="1" s="1"/>
  <c r="CR370" i="1" s="1"/>
  <c r="CV275" i="82"/>
  <c r="CV410" i="82"/>
  <c r="CV287" i="82"/>
  <c r="CZ262" i="82"/>
  <c r="DE276" i="82" s="1"/>
  <c r="CV297" i="82"/>
  <c r="CX287" i="82"/>
  <c r="CV295" i="82"/>
  <c r="CV298" i="82"/>
  <c r="CY131" i="2"/>
  <c r="CY132" i="2"/>
  <c r="CY100" i="2"/>
  <c r="CZ134" i="2"/>
  <c r="CZ135" i="2"/>
  <c r="CZ147" i="2"/>
  <c r="CZ148" i="2"/>
  <c r="CT341" i="2"/>
  <c r="CT358" i="2"/>
  <c r="CT166" i="2"/>
  <c r="CT150" i="2"/>
  <c r="CT88" i="2"/>
  <c r="CT65" i="2"/>
  <c r="CT27" i="2"/>
  <c r="BT151" i="2"/>
  <c r="BT71" i="2"/>
  <c r="BT348" i="2"/>
  <c r="BT169" i="2"/>
  <c r="BT94" i="2"/>
  <c r="BT54" i="2"/>
  <c r="BT32" i="2"/>
  <c r="BU94" i="2"/>
  <c r="CU115" i="2"/>
  <c r="CU116" i="2"/>
  <c r="CU125" i="2"/>
  <c r="CU124" i="2"/>
  <c r="CH166" i="2"/>
  <c r="CH150" i="2"/>
  <c r="CH65" i="2"/>
  <c r="CH341" i="2"/>
  <c r="CF368" i="2"/>
  <c r="BX589" i="1"/>
  <c r="BX570" i="1"/>
  <c r="CP590" i="1"/>
  <c r="CP574" i="1"/>
  <c r="DC137" i="1"/>
  <c r="CJ80" i="7"/>
  <c r="DH117" i="2"/>
  <c r="DH120" i="2"/>
  <c r="DH123" i="2"/>
  <c r="DH86" i="2"/>
  <c r="DH126" i="2"/>
  <c r="DH63" i="2"/>
  <c r="DH13" i="2"/>
  <c r="DH114" i="2"/>
  <c r="DH301" i="82"/>
  <c r="DH330" i="82"/>
  <c r="DH338" i="82"/>
  <c r="DH339" i="82"/>
  <c r="AN81" i="2"/>
  <c r="AN51" i="2"/>
  <c r="AV603" i="1"/>
  <c r="DM138" i="2"/>
  <c r="CH73" i="1"/>
  <c r="CH60" i="2"/>
  <c r="CX572" i="1"/>
  <c r="CX571" i="1"/>
  <c r="U19" i="3"/>
  <c r="BJ351" i="2"/>
  <c r="BJ78" i="2"/>
  <c r="DC520" i="1"/>
  <c r="DC630" i="1" s="1"/>
  <c r="S135" i="1"/>
  <c r="BM74" i="7"/>
  <c r="CK316" i="82"/>
  <c r="CK169" i="2"/>
  <c r="CK54" i="2"/>
  <c r="CK94" i="2"/>
  <c r="CK151" i="2"/>
  <c r="CK71" i="2"/>
  <c r="CK348" i="2"/>
  <c r="CK29" i="2"/>
  <c r="CK32" i="2"/>
  <c r="CP121" i="2"/>
  <c r="CP122" i="2"/>
  <c r="AQ19" i="3"/>
  <c r="AV78" i="2"/>
  <c r="AV351" i="2"/>
  <c r="DA373" i="1"/>
  <c r="DA375" i="1" s="1"/>
  <c r="DA376" i="1" s="1"/>
  <c r="DA370" i="1" s="1"/>
  <c r="DA561" i="1"/>
  <c r="CZ521" i="1"/>
  <c r="BM96" i="2"/>
  <c r="AK163" i="2"/>
  <c r="AK162" i="2"/>
  <c r="AE87" i="3"/>
  <c r="AE89" i="3"/>
  <c r="BJ592" i="1"/>
  <c r="BJ611" i="1" s="1"/>
  <c r="BN574" i="1"/>
  <c r="BJ599" i="1"/>
  <c r="CF234" i="7"/>
  <c r="CF235" i="7" s="1"/>
  <c r="AN137" i="1"/>
  <c r="CT563" i="1"/>
  <c r="CT565" i="1"/>
  <c r="CP118" i="2"/>
  <c r="CP119" i="2"/>
  <c r="BT588" i="1"/>
  <c r="BT573" i="1"/>
  <c r="DG239" i="82"/>
  <c r="DG212" i="82"/>
  <c r="DD137" i="1"/>
  <c r="AQ129" i="1"/>
  <c r="AQ136" i="1"/>
  <c r="AQ134" i="1"/>
  <c r="AQ133" i="1"/>
  <c r="CR135" i="1"/>
  <c r="DG560" i="1"/>
  <c r="CV137" i="1"/>
  <c r="BA617" i="1"/>
  <c r="BD176" i="2"/>
  <c r="BE177" i="2"/>
  <c r="BI176" i="2"/>
  <c r="CL542" i="1"/>
  <c r="BA81" i="2"/>
  <c r="BA51" i="2"/>
  <c r="BF81" i="2"/>
  <c r="CZ520" i="1"/>
  <c r="CZ630" i="1" s="1"/>
  <c r="T484" i="113"/>
  <c r="BF600" i="1"/>
  <c r="BF601" i="1" s="1"/>
  <c r="AL123" i="1"/>
  <c r="AL127" i="1"/>
  <c r="X76" i="3" s="1"/>
  <c r="AL122" i="1"/>
  <c r="AM123" i="1"/>
  <c r="AF51" i="2"/>
  <c r="BB96" i="2"/>
  <c r="CZ137" i="1"/>
  <c r="AZ590" i="1"/>
  <c r="BD572" i="1"/>
  <c r="AZ574" i="1"/>
  <c r="BD170" i="2"/>
  <c r="BE171" i="2"/>
  <c r="CQ118" i="2"/>
  <c r="CQ119" i="2"/>
  <c r="CK470" i="1"/>
  <c r="CK33" i="1"/>
  <c r="CK584" i="1"/>
  <c r="DB326" i="1"/>
  <c r="BK73" i="1"/>
  <c r="DC255" i="82"/>
  <c r="DC254" i="82"/>
  <c r="P12" i="113"/>
  <c r="P40" i="113"/>
  <c r="P30" i="113"/>
  <c r="DI212" i="82"/>
  <c r="DI226" i="82"/>
  <c r="DI239" i="82"/>
  <c r="DK254" i="82"/>
  <c r="CX144" i="2"/>
  <c r="CX145" i="2"/>
  <c r="AL351" i="2"/>
  <c r="AL96" i="2"/>
  <c r="AL78" i="2"/>
  <c r="DE138" i="2"/>
  <c r="DE139" i="2"/>
  <c r="DK138" i="2"/>
  <c r="CR373" i="1"/>
  <c r="AX600" i="1"/>
  <c r="AX618" i="1" s="1"/>
  <c r="AX626" i="1" s="1"/>
  <c r="G42" i="113"/>
  <c r="AL19" i="3"/>
  <c r="AU128" i="1"/>
  <c r="AU136" i="1"/>
  <c r="AU133" i="1"/>
  <c r="AZ128" i="1"/>
  <c r="AU134" i="1"/>
  <c r="CA80" i="7"/>
  <c r="CY117" i="2"/>
  <c r="CY86" i="2"/>
  <c r="CY63" i="2"/>
  <c r="CY120" i="2"/>
  <c r="CY123" i="2"/>
  <c r="CY126" i="2"/>
  <c r="CY13" i="2"/>
  <c r="CY114" i="2"/>
  <c r="CY384" i="82"/>
  <c r="CY370" i="82"/>
  <c r="CY330" i="82"/>
  <c r="CY410" i="82"/>
  <c r="CY338" i="82"/>
  <c r="CY339" i="82"/>
  <c r="CY398" i="82"/>
  <c r="CB80" i="7"/>
  <c r="CZ117" i="2"/>
  <c r="CZ120" i="2"/>
  <c r="CZ123" i="2"/>
  <c r="CZ126" i="2"/>
  <c r="CZ86" i="2"/>
  <c r="CZ13" i="2"/>
  <c r="CZ63" i="2"/>
  <c r="CZ114" i="2"/>
  <c r="CZ370" i="82"/>
  <c r="CZ384" i="82"/>
  <c r="CZ330" i="82"/>
  <c r="CZ338" i="82"/>
  <c r="CZ410" i="82"/>
  <c r="CZ339" i="82"/>
  <c r="CZ398" i="82"/>
  <c r="BG78" i="2"/>
  <c r="BG96" i="2"/>
  <c r="BG351" i="2"/>
  <c r="DE137" i="1"/>
  <c r="CS262" i="82"/>
  <c r="CH582" i="1"/>
  <c r="CH578" i="1" s="1"/>
  <c r="CD578" i="1"/>
  <c r="CU118" i="2"/>
  <c r="CU119" i="2"/>
  <c r="BW92" i="7"/>
  <c r="BW172" i="7"/>
  <c r="BW83" i="7"/>
  <c r="BW98" i="7"/>
  <c r="BW82" i="7"/>
  <c r="BW73" i="7" s="1"/>
  <c r="BW91" i="7"/>
  <c r="BW94" i="7"/>
  <c r="BW96" i="7"/>
  <c r="BW104" i="7"/>
  <c r="BW89" i="7"/>
  <c r="BH591" i="1"/>
  <c r="BH569" i="1"/>
  <c r="BI170" i="2"/>
  <c r="DB245" i="82"/>
  <c r="S487" i="113"/>
  <c r="S471" i="113"/>
  <c r="S501" i="113"/>
  <c r="S502" i="113"/>
  <c r="DD135" i="2"/>
  <c r="DD134" i="2"/>
  <c r="DD100" i="2"/>
  <c r="CM412" i="1"/>
  <c r="CM413" i="1" s="1"/>
  <c r="CR412" i="1"/>
  <c r="CR413" i="1" s="1"/>
  <c r="CR417" i="1"/>
  <c r="CR418" i="1" s="1"/>
  <c r="BE162" i="2"/>
  <c r="BF163" i="2"/>
  <c r="BX65" i="2"/>
  <c r="BX341" i="2"/>
  <c r="BX166" i="2"/>
  <c r="BX150" i="2"/>
  <c r="BU368" i="2"/>
  <c r="BV368" i="2"/>
  <c r="CY214" i="82"/>
  <c r="CY228" i="82"/>
  <c r="CY241" i="82"/>
  <c r="CY198" i="82"/>
  <c r="DM139" i="2"/>
  <c r="CK552" i="1"/>
  <c r="CK528" i="1"/>
  <c r="CK538" i="1"/>
  <c r="CK539" i="1" s="1"/>
  <c r="CK540" i="1" s="1"/>
  <c r="CK179" i="39" s="1"/>
  <c r="CK432" i="1"/>
  <c r="CK533" i="1"/>
  <c r="CK548" i="1"/>
  <c r="CK549" i="1" s="1"/>
  <c r="CP539" i="1"/>
  <c r="CP540" i="1" s="1"/>
  <c r="CP179" i="39" s="1"/>
  <c r="BJ73" i="1"/>
  <c r="CS121" i="2"/>
  <c r="CK425" i="1"/>
  <c r="CK429" i="1"/>
  <c r="DF561" i="1"/>
  <c r="BT592" i="1"/>
  <c r="BT611" i="1" s="1"/>
  <c r="BT599" i="1"/>
  <c r="AX19" i="3"/>
  <c r="CP358" i="2"/>
  <c r="CP166" i="2"/>
  <c r="CP150" i="2"/>
  <c r="CP88" i="2"/>
  <c r="CP65" i="2"/>
  <c r="CP341" i="2"/>
  <c r="CP27" i="2"/>
  <c r="DD198" i="82"/>
  <c r="DD214" i="82"/>
  <c r="DD241" i="82"/>
  <c r="DD228" i="82"/>
  <c r="CV121" i="2"/>
  <c r="CV122" i="2"/>
  <c r="CO137" i="1"/>
  <c r="X9" i="3"/>
  <c r="W19" i="3"/>
  <c r="DE135" i="2"/>
  <c r="DE134" i="2"/>
  <c r="BW588" i="1"/>
  <c r="BW573" i="1"/>
  <c r="DF138" i="2"/>
  <c r="DF139" i="2"/>
  <c r="BJ51" i="2"/>
  <c r="BJ81" i="2"/>
  <c r="CE588" i="1"/>
  <c r="CE573" i="1"/>
  <c r="BL78" i="2"/>
  <c r="BL351" i="2"/>
  <c r="BL96" i="2"/>
  <c r="DF141" i="2"/>
  <c r="DF142" i="2"/>
  <c r="AZ137" i="1"/>
  <c r="CL94" i="2"/>
  <c r="AU588" i="1"/>
  <c r="AY570" i="1"/>
  <c r="AU573" i="1"/>
  <c r="AV600" i="1"/>
  <c r="AV618" i="1" s="1"/>
  <c r="AV626" i="1" s="1"/>
  <c r="CO316" i="82"/>
  <c r="CO151" i="2"/>
  <c r="CO71" i="2"/>
  <c r="CO348" i="2"/>
  <c r="CO169" i="2"/>
  <c r="CO54" i="2"/>
  <c r="CO94" i="2"/>
  <c r="CO29" i="2"/>
  <c r="CO32" i="2"/>
  <c r="BA570" i="1"/>
  <c r="BA589" i="1"/>
  <c r="AR78" i="2"/>
  <c r="AR351" i="2"/>
  <c r="AR96" i="2"/>
  <c r="DA100" i="2"/>
  <c r="DC521" i="1"/>
  <c r="BA137" i="1"/>
  <c r="CK168" i="2"/>
  <c r="CK167" i="2"/>
  <c r="CP127" i="2"/>
  <c r="CP128" i="2"/>
  <c r="CJ588" i="1"/>
  <c r="CJ573" i="1"/>
  <c r="DG240" i="82"/>
  <c r="DG213" i="82"/>
  <c r="DG247" i="82"/>
  <c r="DG253" i="82"/>
  <c r="CX248" i="82"/>
  <c r="CX249" i="82"/>
  <c r="DK561" i="1"/>
  <c r="BE78" i="2"/>
  <c r="BE351" i="2"/>
  <c r="BF96" i="2"/>
  <c r="AV81" i="2"/>
  <c r="AV51" i="2"/>
  <c r="BD158" i="2"/>
  <c r="BE159" i="2"/>
  <c r="BI158" i="2"/>
  <c r="DC100" i="2"/>
  <c r="DL215" i="2"/>
  <c r="BT137" i="1"/>
  <c r="T316" i="113"/>
  <c r="T310" i="113"/>
  <c r="CJ592" i="1"/>
  <c r="CJ611" i="1" s="1"/>
  <c r="CJ599" i="1"/>
  <c r="AG181" i="2"/>
  <c r="U75" i="113"/>
  <c r="O40" i="11"/>
  <c r="O41" i="11" s="1"/>
  <c r="BY80" i="7"/>
  <c r="CW339" i="2"/>
  <c r="CW63" i="2"/>
  <c r="CW13" i="2"/>
  <c r="CW379" i="2"/>
  <c r="CW126" i="2"/>
  <c r="CW381" i="2"/>
  <c r="CW380" i="2"/>
  <c r="CW378" i="2"/>
  <c r="CW120" i="2"/>
  <c r="CW114" i="2"/>
  <c r="CW117" i="2"/>
  <c r="CW123" i="2"/>
  <c r="CW377" i="2"/>
  <c r="AU73" i="1"/>
  <c r="AK351" i="2"/>
  <c r="AK96" i="2"/>
  <c r="AK78" i="2"/>
  <c r="G33" i="11"/>
  <c r="AF112" i="3"/>
  <c r="AF114" i="3" s="1"/>
  <c r="AF87" i="3"/>
  <c r="AL181" i="2"/>
  <c r="DB137" i="1"/>
  <c r="BB592" i="1"/>
  <c r="BB611" i="1" s="1"/>
  <c r="BB599" i="1"/>
  <c r="BW168" i="2"/>
  <c r="BW167" i="2"/>
  <c r="DK198" i="82"/>
  <c r="DK214" i="82"/>
  <c r="DK241" i="82"/>
  <c r="BD373" i="1"/>
  <c r="AZ375" i="1"/>
  <c r="BT159" i="2"/>
  <c r="BT158" i="2"/>
  <c r="BU159" i="2"/>
  <c r="BJ606" i="1"/>
  <c r="CX147" i="2"/>
  <c r="CX148" i="2"/>
  <c r="DE141" i="2"/>
  <c r="DE142" i="2"/>
  <c r="DK141" i="2"/>
  <c r="AP162" i="2"/>
  <c r="AP163" i="2"/>
  <c r="CZ254" i="82"/>
  <c r="CZ255" i="82"/>
  <c r="BG51" i="2"/>
  <c r="BG81" i="2"/>
  <c r="CT102" i="2"/>
  <c r="BA181" i="2"/>
  <c r="CU65" i="2"/>
  <c r="CU341" i="2"/>
  <c r="CU358" i="2"/>
  <c r="CU166" i="2"/>
  <c r="CU150" i="2"/>
  <c r="CU88" i="2"/>
  <c r="CU27" i="2"/>
  <c r="BN73" i="1"/>
  <c r="DD145" i="2"/>
  <c r="DD144" i="2"/>
  <c r="CM395" i="1"/>
  <c r="BX157" i="2"/>
  <c r="BX175" i="2"/>
  <c r="BX73" i="2"/>
  <c r="BX349" i="2"/>
  <c r="BV374" i="2"/>
  <c r="BU374" i="2"/>
  <c r="CN606" i="1"/>
  <c r="CN622" i="1" s="1"/>
  <c r="R496" i="113"/>
  <c r="BH162" i="2" l="1"/>
  <c r="DB216" i="1"/>
  <c r="BN588" i="1"/>
  <c r="DB221" i="1"/>
  <c r="DB222" i="1" s="1"/>
  <c r="DB223" i="1" s="1"/>
  <c r="AV127" i="1"/>
  <c r="AW129" i="1" s="1"/>
  <c r="BT326" i="2"/>
  <c r="BT321" i="2"/>
  <c r="BT330" i="2" s="1"/>
  <c r="BT315" i="2"/>
  <c r="BT324" i="2" s="1"/>
  <c r="CU317" i="2"/>
  <c r="CP317" i="2"/>
  <c r="CT317" i="2"/>
  <c r="CM317" i="2"/>
  <c r="CO321" i="2"/>
  <c r="CO330" i="2" s="1"/>
  <c r="CO326" i="2"/>
  <c r="CO315" i="2"/>
  <c r="CO324" i="2" s="1"/>
  <c r="CK321" i="2"/>
  <c r="CK330" i="2" s="1"/>
  <c r="CK315" i="2"/>
  <c r="CK324" i="2" s="1"/>
  <c r="CK326" i="2"/>
  <c r="CS317" i="2"/>
  <c r="BU326" i="2"/>
  <c r="BU321" i="2"/>
  <c r="BU330" i="2" s="1"/>
  <c r="BU315" i="2"/>
  <c r="BU324" i="2" s="1"/>
  <c r="CD326" i="2"/>
  <c r="CD315" i="2"/>
  <c r="CD324" i="2" s="1"/>
  <c r="CD321" i="2"/>
  <c r="CD330" i="2" s="1"/>
  <c r="CV317" i="2"/>
  <c r="CJ315" i="2"/>
  <c r="CJ324" i="2" s="1"/>
  <c r="CJ326" i="2"/>
  <c r="CJ321" i="2"/>
  <c r="CJ330" i="2" s="1"/>
  <c r="CH317" i="2"/>
  <c r="CL315" i="2"/>
  <c r="CL324" i="2" s="1"/>
  <c r="CL321" i="2"/>
  <c r="CL330" i="2" s="1"/>
  <c r="CL326" i="2"/>
  <c r="CG326" i="2"/>
  <c r="CG321" i="2"/>
  <c r="CG330" i="2" s="1"/>
  <c r="CG315" i="2"/>
  <c r="CG324" i="2" s="1"/>
  <c r="BW315" i="2"/>
  <c r="BW324" i="2" s="1"/>
  <c r="BW321" i="2"/>
  <c r="BW330" i="2" s="1"/>
  <c r="BW326" i="2"/>
  <c r="BV326" i="2"/>
  <c r="BV315" i="2"/>
  <c r="BV324" i="2" s="1"/>
  <c r="BV321" i="2"/>
  <c r="BV330" i="2" s="1"/>
  <c r="CN326" i="2"/>
  <c r="CN315" i="2"/>
  <c r="CN324" i="2" s="1"/>
  <c r="CN321" i="2"/>
  <c r="CN330" i="2" s="1"/>
  <c r="AW77" i="3"/>
  <c r="CI326" i="2"/>
  <c r="CI321" i="2"/>
  <c r="CI330" i="2" s="1"/>
  <c r="CI315" i="2"/>
  <c r="CI324" i="2" s="1"/>
  <c r="CE326" i="2"/>
  <c r="CE315" i="2"/>
  <c r="CE324" i="2" s="1"/>
  <c r="CE321" i="2"/>
  <c r="CE330" i="2" s="1"/>
  <c r="CQ317" i="2"/>
  <c r="CF326" i="2"/>
  <c r="CF315" i="2"/>
  <c r="CF324" i="2" s="1"/>
  <c r="CF321" i="2"/>
  <c r="CF330" i="2" s="1"/>
  <c r="AW50" i="3"/>
  <c r="AW80" i="3"/>
  <c r="AW83" i="3" s="1"/>
  <c r="AX96" i="2"/>
  <c r="AW75" i="7"/>
  <c r="AW20" i="3"/>
  <c r="AW375" i="2"/>
  <c r="DO24" i="7"/>
  <c r="CK192" i="39"/>
  <c r="AZ181" i="2"/>
  <c r="CL192" i="39"/>
  <c r="AV122" i="1"/>
  <c r="AV123" i="1"/>
  <c r="AV624" i="1"/>
  <c r="BA122" i="1"/>
  <c r="AW82" i="2"/>
  <c r="AW98" i="2"/>
  <c r="AW352" i="2"/>
  <c r="BC162" i="2"/>
  <c r="AX163" i="2"/>
  <c r="AW625" i="1"/>
  <c r="BB352" i="2"/>
  <c r="BB82" i="2"/>
  <c r="AY582" i="1"/>
  <c r="AN197" i="7"/>
  <c r="AY376" i="1"/>
  <c r="AY223" i="1"/>
  <c r="AX180" i="2"/>
  <c r="CN178" i="39"/>
  <c r="CN180" i="39"/>
  <c r="CI178" i="39"/>
  <c r="CI180" i="39"/>
  <c r="CK178" i="39"/>
  <c r="CK180" i="39"/>
  <c r="CJ180" i="39"/>
  <c r="CJ178" i="39"/>
  <c r="DE178" i="39"/>
  <c r="DD177" i="39"/>
  <c r="CL178" i="39"/>
  <c r="CL180" i="39"/>
  <c r="CP178" i="39"/>
  <c r="CP180" i="39"/>
  <c r="CO180" i="39"/>
  <c r="CO178" i="39"/>
  <c r="CQ178" i="39"/>
  <c r="CQ180" i="39"/>
  <c r="T80" i="3"/>
  <c r="T83" i="3" s="1"/>
  <c r="T85" i="3" s="1"/>
  <c r="H30" i="11"/>
  <c r="H31" i="11" s="1"/>
  <c r="BN182" i="2"/>
  <c r="BD161" i="2"/>
  <c r="BE163" i="2" s="1"/>
  <c r="AR375" i="2"/>
  <c r="AD179" i="2"/>
  <c r="AI180" i="2" s="1"/>
  <c r="CL33" i="2"/>
  <c r="X196" i="7"/>
  <c r="X197" i="7" s="1"/>
  <c r="BX343" i="1"/>
  <c r="BX344" i="1" s="1"/>
  <c r="DH27" i="2"/>
  <c r="DN14" i="7"/>
  <c r="DN13" i="7"/>
  <c r="CL438" i="1"/>
  <c r="BA606" i="1"/>
  <c r="BA607" i="1" s="1"/>
  <c r="BF584" i="1"/>
  <c r="BF33" i="1"/>
  <c r="CN550" i="1"/>
  <c r="CN535" i="1"/>
  <c r="CQ543" i="1"/>
  <c r="CQ544" i="1" s="1"/>
  <c r="CQ534" i="1"/>
  <c r="CQ536" i="1" s="1"/>
  <c r="CL535" i="1"/>
  <c r="BD579" i="1"/>
  <c r="AZ582" i="1"/>
  <c r="AZ606" i="1" s="1"/>
  <c r="AZ622" i="1" s="1"/>
  <c r="AY588" i="1"/>
  <c r="BK584" i="1"/>
  <c r="DR220" i="7"/>
  <c r="DN220" i="7"/>
  <c r="DO220" i="7" s="1"/>
  <c r="DP220" i="7" s="1"/>
  <c r="DQ220" i="7" s="1"/>
  <c r="DP211" i="7"/>
  <c r="DO218" i="7"/>
  <c r="CL433" i="1"/>
  <c r="CL435" i="1"/>
  <c r="CQ437" i="1" s="1"/>
  <c r="CN554" i="1"/>
  <c r="BD590" i="1"/>
  <c r="DH218" i="1"/>
  <c r="DR172" i="1"/>
  <c r="CG447" i="1"/>
  <c r="BW470" i="1"/>
  <c r="DR227" i="1"/>
  <c r="DB225" i="1"/>
  <c r="DB226" i="1" s="1"/>
  <c r="DB217" i="1"/>
  <c r="DB219" i="1" s="1"/>
  <c r="CY172" i="1"/>
  <c r="CY227" i="1"/>
  <c r="DK234" i="1"/>
  <c r="DK225" i="1"/>
  <c r="DK226" i="1" s="1"/>
  <c r="DM218" i="1"/>
  <c r="BE172" i="1"/>
  <c r="BE227" i="1"/>
  <c r="DD172" i="1"/>
  <c r="DD227" i="1"/>
  <c r="DA172" i="1"/>
  <c r="DA227" i="1"/>
  <c r="DM226" i="1"/>
  <c r="DH225" i="1"/>
  <c r="DH226" i="1" s="1"/>
  <c r="DH234" i="1"/>
  <c r="DH235" i="1" s="1"/>
  <c r="DH236" i="1" s="1"/>
  <c r="DH217" i="1"/>
  <c r="DH219" i="1" s="1"/>
  <c r="DC172" i="1"/>
  <c r="DC227" i="1"/>
  <c r="DE172" i="1"/>
  <c r="DE227" i="1"/>
  <c r="CX172" i="1"/>
  <c r="CX227" i="1"/>
  <c r="BI172" i="1"/>
  <c r="BI227" i="1"/>
  <c r="CZ172" i="1"/>
  <c r="CZ227" i="1"/>
  <c r="AU606" i="1"/>
  <c r="DG216" i="1"/>
  <c r="DG221" i="1"/>
  <c r="DG222" i="1" s="1"/>
  <c r="DG223" i="1" s="1"/>
  <c r="DF172" i="1"/>
  <c r="DF227" i="1"/>
  <c r="DG87" i="1"/>
  <c r="BK33" i="1"/>
  <c r="E30" i="113"/>
  <c r="BC622" i="1"/>
  <c r="BC623" i="1" s="1"/>
  <c r="BW33" i="1"/>
  <c r="F30" i="113"/>
  <c r="BM622" i="1"/>
  <c r="BM623" i="1" s="1"/>
  <c r="W334" i="1"/>
  <c r="S178" i="2"/>
  <c r="AS163" i="2"/>
  <c r="BI161" i="2"/>
  <c r="BN162" i="2" s="1"/>
  <c r="AH77" i="2"/>
  <c r="O483" i="113"/>
  <c r="P495" i="113" s="1"/>
  <c r="O37" i="113"/>
  <c r="BN375" i="2"/>
  <c r="AQ375" i="2"/>
  <c r="Q179" i="2"/>
  <c r="V164" i="2"/>
  <c r="BC180" i="2"/>
  <c r="X161" i="2"/>
  <c r="X163" i="2" s="1"/>
  <c r="X334" i="1"/>
  <c r="BD334" i="1"/>
  <c r="BI179" i="2"/>
  <c r="BJ181" i="2" s="1"/>
  <c r="BH181" i="2"/>
  <c r="AY179" i="2"/>
  <c r="AV375" i="2"/>
  <c r="AZ375" i="2"/>
  <c r="AY161" i="2"/>
  <c r="BB375" i="2"/>
  <c r="BD350" i="2"/>
  <c r="BD164" i="2"/>
  <c r="AY350" i="2"/>
  <c r="AT161" i="2"/>
  <c r="AT162" i="2" s="1"/>
  <c r="AT182" i="2"/>
  <c r="G30" i="11"/>
  <c r="G31" i="11" s="1"/>
  <c r="AT179" i="2"/>
  <c r="AT76" i="2"/>
  <c r="AT334" i="1"/>
  <c r="AP375" i="2"/>
  <c r="AT164" i="2"/>
  <c r="AS375" i="2"/>
  <c r="AY182" i="2"/>
  <c r="AF89" i="3"/>
  <c r="AY76" i="2"/>
  <c r="R160" i="2"/>
  <c r="AT350" i="2"/>
  <c r="AY164" i="2"/>
  <c r="BD179" i="2"/>
  <c r="BI164" i="2"/>
  <c r="BN350" i="2"/>
  <c r="BF375" i="2"/>
  <c r="BD182" i="2"/>
  <c r="BI350" i="2"/>
  <c r="BI182" i="2"/>
  <c r="BC375" i="2"/>
  <c r="AU375" i="2"/>
  <c r="BA375" i="2"/>
  <c r="I30" i="11"/>
  <c r="BI76" i="2"/>
  <c r="AY334" i="1"/>
  <c r="BG375" i="2"/>
  <c r="BI334" i="1"/>
  <c r="BN335" i="1" s="1"/>
  <c r="AX375" i="2"/>
  <c r="BH375" i="2"/>
  <c r="BD76" i="2"/>
  <c r="BN164" i="2"/>
  <c r="BE375" i="2"/>
  <c r="AB161" i="2"/>
  <c r="AG162" i="2" s="1"/>
  <c r="AG350" i="2"/>
  <c r="R161" i="2"/>
  <c r="W162" i="2" s="1"/>
  <c r="Q137" i="1"/>
  <c r="AI164" i="2"/>
  <c r="AA182" i="2"/>
  <c r="CL332" i="82"/>
  <c r="BH163" i="2"/>
  <c r="AA350" i="2"/>
  <c r="AG182" i="2"/>
  <c r="BM162" i="2"/>
  <c r="AG76" i="2"/>
  <c r="S362" i="2"/>
  <c r="AA362" i="2"/>
  <c r="AG164" i="2"/>
  <c r="Y362" i="2"/>
  <c r="X160" i="2"/>
  <c r="AB179" i="2"/>
  <c r="AG180" i="2" s="1"/>
  <c r="T196" i="7"/>
  <c r="R179" i="2"/>
  <c r="AF164" i="2"/>
  <c r="AB334" i="1"/>
  <c r="X95" i="2"/>
  <c r="D9" i="3"/>
  <c r="D19" i="3" s="1"/>
  <c r="D50" i="3" s="1"/>
  <c r="S37" i="2"/>
  <c r="AB76" i="2"/>
  <c r="W95" i="2"/>
  <c r="DA393" i="2"/>
  <c r="S50" i="2"/>
  <c r="S51" i="2" s="1"/>
  <c r="AB164" i="2"/>
  <c r="W164" i="2"/>
  <c r="W182" i="2"/>
  <c r="W179" i="2"/>
  <c r="W76" i="2"/>
  <c r="AB350" i="2"/>
  <c r="S160" i="2"/>
  <c r="R37" i="2"/>
  <c r="AB182" i="2"/>
  <c r="R50" i="2"/>
  <c r="R51" i="2" s="1"/>
  <c r="W350" i="2"/>
  <c r="W362" i="2"/>
  <c r="X362" i="2"/>
  <c r="Q334" i="1"/>
  <c r="AE57" i="2"/>
  <c r="AD76" i="2"/>
  <c r="Y179" i="2"/>
  <c r="Y181" i="2" s="1"/>
  <c r="AI350" i="2"/>
  <c r="X37" i="2"/>
  <c r="AZ163" i="2"/>
  <c r="AA95" i="2"/>
  <c r="Y95" i="2"/>
  <c r="AF95" i="2"/>
  <c r="AC182" i="2"/>
  <c r="X77" i="2"/>
  <c r="AB362" i="2"/>
  <c r="AA161" i="2"/>
  <c r="AF162" i="2" s="1"/>
  <c r="AF350" i="2"/>
  <c r="AD164" i="2"/>
  <c r="Y161" i="2"/>
  <c r="X50" i="2"/>
  <c r="X51" i="2" s="1"/>
  <c r="V182" i="2"/>
  <c r="AA76" i="2"/>
  <c r="AA164" i="2"/>
  <c r="AI76" i="2"/>
  <c r="AI182" i="2"/>
  <c r="V350" i="2"/>
  <c r="X178" i="2"/>
  <c r="V76" i="2"/>
  <c r="AX162" i="2"/>
  <c r="Q161" i="2"/>
  <c r="AA179" i="2"/>
  <c r="AA334" i="1"/>
  <c r="AB95" i="2"/>
  <c r="AF76" i="2"/>
  <c r="R362" i="2"/>
  <c r="AD350" i="2"/>
  <c r="AD161" i="2"/>
  <c r="AF362" i="2"/>
  <c r="U327" i="1"/>
  <c r="BH180" i="2"/>
  <c r="AC37" i="2"/>
  <c r="AC95" i="2"/>
  <c r="AC350" i="2"/>
  <c r="AD362" i="2"/>
  <c r="X350" i="2"/>
  <c r="AC50" i="2"/>
  <c r="AH182" i="2"/>
  <c r="AC77" i="2"/>
  <c r="AC179" i="2"/>
  <c r="AH164" i="2"/>
  <c r="X182" i="2"/>
  <c r="AC178" i="2"/>
  <c r="AC160" i="2"/>
  <c r="AC161" i="2"/>
  <c r="AH162" i="2" s="1"/>
  <c r="AC76" i="2"/>
  <c r="X76" i="2"/>
  <c r="O9" i="3"/>
  <c r="AC362" i="2"/>
  <c r="AH76" i="2"/>
  <c r="AC164" i="2"/>
  <c r="AC334" i="1"/>
  <c r="AH350" i="2"/>
  <c r="AO375" i="2"/>
  <c r="DA392" i="2"/>
  <c r="AZ180" i="2"/>
  <c r="DB131" i="2"/>
  <c r="CN168" i="2"/>
  <c r="CI57" i="2"/>
  <c r="CS125" i="2"/>
  <c r="AJ152" i="2"/>
  <c r="AD182" i="2"/>
  <c r="BI160" i="2"/>
  <c r="BX158" i="2"/>
  <c r="DB134" i="2"/>
  <c r="CR121" i="2"/>
  <c r="V160" i="2"/>
  <c r="AS181" i="2"/>
  <c r="R334" i="1"/>
  <c r="BX176" i="2"/>
  <c r="AZ162" i="2"/>
  <c r="DB144" i="2"/>
  <c r="CS116" i="2"/>
  <c r="AB50" i="2"/>
  <c r="AS351" i="2"/>
  <c r="CL57" i="2"/>
  <c r="BU152" i="2"/>
  <c r="AO74" i="7"/>
  <c r="DB138" i="2"/>
  <c r="AO162" i="2"/>
  <c r="CR127" i="2"/>
  <c r="Z57" i="2"/>
  <c r="Y375" i="2" s="1"/>
  <c r="Z34" i="2"/>
  <c r="AD95" i="2"/>
  <c r="AS74" i="7"/>
  <c r="K82" i="2"/>
  <c r="X164" i="2"/>
  <c r="V161" i="2"/>
  <c r="W163" i="2" s="1"/>
  <c r="V334" i="1"/>
  <c r="V179" i="2"/>
  <c r="CO57" i="2"/>
  <c r="CE57" i="2"/>
  <c r="DB147" i="2"/>
  <c r="BV57" i="2"/>
  <c r="BM351" i="2"/>
  <c r="CL175" i="2"/>
  <c r="DB390" i="2"/>
  <c r="BX167" i="2"/>
  <c r="BW57" i="2"/>
  <c r="CG57" i="2"/>
  <c r="DB141" i="2"/>
  <c r="CM213" i="2"/>
  <c r="AS180" i="2"/>
  <c r="BU57" i="2"/>
  <c r="AF182" i="2"/>
  <c r="BU170" i="2"/>
  <c r="CK57" i="2"/>
  <c r="CR118" i="2"/>
  <c r="U196" i="7"/>
  <c r="W37" i="2"/>
  <c r="P82" i="2"/>
  <c r="AK74" i="7"/>
  <c r="AP9" i="3"/>
  <c r="CF57" i="2"/>
  <c r="BN76" i="2"/>
  <c r="S334" i="1"/>
  <c r="S164" i="2"/>
  <c r="S161" i="2"/>
  <c r="S179" i="2"/>
  <c r="AD334" i="1"/>
  <c r="BU36" i="2"/>
  <c r="BU34" i="2"/>
  <c r="BB622" i="1"/>
  <c r="BB623" i="1" s="1"/>
  <c r="CL171" i="2"/>
  <c r="H9" i="3"/>
  <c r="H19" i="3" s="1"/>
  <c r="H50" i="3" s="1"/>
  <c r="CL157" i="2"/>
  <c r="V178" i="2"/>
  <c r="CL318" i="82"/>
  <c r="CL335" i="82" s="1"/>
  <c r="CL413" i="82"/>
  <c r="CL405" i="82"/>
  <c r="CL153" i="2"/>
  <c r="AO180" i="2"/>
  <c r="CL152" i="2"/>
  <c r="V37" i="2"/>
  <c r="BM78" i="2"/>
  <c r="CL366" i="82"/>
  <c r="CL403" i="82" s="1"/>
  <c r="V77" i="2"/>
  <c r="R196" i="7"/>
  <c r="V50" i="2"/>
  <c r="U236" i="113"/>
  <c r="DE227" i="7"/>
  <c r="DF227" i="7" s="1"/>
  <c r="DG227" i="7" s="1"/>
  <c r="DH227" i="7" s="1"/>
  <c r="DE220" i="7"/>
  <c r="DE225" i="7"/>
  <c r="DF225" i="7" s="1"/>
  <c r="DG225" i="7" s="1"/>
  <c r="DH225" i="7" s="1"/>
  <c r="DX18" i="7"/>
  <c r="Y12" i="11"/>
  <c r="BM81" i="2"/>
  <c r="BH51" i="2"/>
  <c r="AS96" i="2"/>
  <c r="AU9" i="3"/>
  <c r="AT19" i="3"/>
  <c r="BN77" i="2"/>
  <c r="BJ96" i="2"/>
  <c r="BH96" i="2"/>
  <c r="AS78" i="2"/>
  <c r="BI37" i="2"/>
  <c r="BI50" i="2"/>
  <c r="BI178" i="2"/>
  <c r="CF36" i="2"/>
  <c r="CF34" i="2"/>
  <c r="CF157" i="2"/>
  <c r="CF175" i="2"/>
  <c r="CF73" i="2"/>
  <c r="CF349" i="2"/>
  <c r="AE342" i="1"/>
  <c r="Z342" i="1"/>
  <c r="Z344" i="1"/>
  <c r="AJ342" i="1"/>
  <c r="CM32" i="2"/>
  <c r="CH343" i="1"/>
  <c r="AO335" i="1"/>
  <c r="L76" i="3"/>
  <c r="Z133" i="1"/>
  <c r="Z134" i="1"/>
  <c r="Z136" i="1"/>
  <c r="AE128" i="1"/>
  <c r="CH72" i="1"/>
  <c r="V76" i="3"/>
  <c r="AA76" i="3"/>
  <c r="CM72" i="1"/>
  <c r="BX72" i="1"/>
  <c r="G76" i="3"/>
  <c r="CO170" i="7"/>
  <c r="CS167" i="7"/>
  <c r="AS75" i="7"/>
  <c r="CR215" i="2"/>
  <c r="AI77" i="2"/>
  <c r="Y196" i="7"/>
  <c r="Y197" i="7" s="1"/>
  <c r="AD160" i="2"/>
  <c r="BD37" i="2"/>
  <c r="BD160" i="2"/>
  <c r="BD50" i="2"/>
  <c r="BI77" i="2"/>
  <c r="BD178" i="2"/>
  <c r="AD50" i="2"/>
  <c r="AD178" i="2"/>
  <c r="AD37" i="2"/>
  <c r="P9" i="3"/>
  <c r="T77" i="3"/>
  <c r="T50" i="3"/>
  <c r="AE152" i="2"/>
  <c r="AB37" i="2"/>
  <c r="BD77" i="2"/>
  <c r="AV96" i="2"/>
  <c r="AZ81" i="2"/>
  <c r="AS51" i="2"/>
  <c r="AZ96" i="2"/>
  <c r="BH78" i="2"/>
  <c r="AT160" i="2"/>
  <c r="BH81" i="2"/>
  <c r="S80" i="3"/>
  <c r="S83" i="3" s="1"/>
  <c r="S85" i="3" s="1"/>
  <c r="AR80" i="3"/>
  <c r="AR83" i="3" s="1"/>
  <c r="AR85" i="3" s="1"/>
  <c r="AB178" i="2"/>
  <c r="CS104" i="2"/>
  <c r="AG77" i="2"/>
  <c r="AB160" i="2"/>
  <c r="N9" i="3"/>
  <c r="CG373" i="2"/>
  <c r="AF77" i="2"/>
  <c r="CN104" i="2"/>
  <c r="CL349" i="2"/>
  <c r="W196" i="7"/>
  <c r="W197" i="7" s="1"/>
  <c r="CJ373" i="2"/>
  <c r="AE36" i="2"/>
  <c r="AF84" i="3"/>
  <c r="AA85" i="3"/>
  <c r="L44" i="113"/>
  <c r="AH98" i="2"/>
  <c r="AS81" i="2"/>
  <c r="T216" i="113"/>
  <c r="CO82" i="7"/>
  <c r="CO73" i="7" s="1"/>
  <c r="CO94" i="7"/>
  <c r="CO92" i="7"/>
  <c r="CO96" i="7"/>
  <c r="CI542" i="1"/>
  <c r="CI543" i="1" s="1"/>
  <c r="CI544" i="1" s="1"/>
  <c r="AR50" i="3"/>
  <c r="AR77" i="3"/>
  <c r="DM125" i="2"/>
  <c r="CO91" i="7"/>
  <c r="CI435" i="1"/>
  <c r="CN437" i="1" s="1"/>
  <c r="CN433" i="1"/>
  <c r="DM150" i="2"/>
  <c r="DM27" i="2"/>
  <c r="DM116" i="2"/>
  <c r="DM166" i="2"/>
  <c r="DG169" i="82"/>
  <c r="T279" i="113"/>
  <c r="T453" i="113"/>
  <c r="AT77" i="2"/>
  <c r="DU177" i="82"/>
  <c r="U472" i="113"/>
  <c r="U489" i="113" s="1"/>
  <c r="U373" i="113"/>
  <c r="U105" i="113"/>
  <c r="T176" i="113"/>
  <c r="T371" i="113" s="1"/>
  <c r="T375" i="113" s="1"/>
  <c r="U215" i="113"/>
  <c r="T130" i="113"/>
  <c r="T345" i="113"/>
  <c r="T341" i="113"/>
  <c r="T344" i="113"/>
  <c r="T342" i="113"/>
  <c r="T343" i="113"/>
  <c r="T346" i="113"/>
  <c r="DG107" i="82"/>
  <c r="DG52" i="82"/>
  <c r="T226" i="113" s="1"/>
  <c r="DG91" i="82"/>
  <c r="U195" i="113"/>
  <c r="U205" i="113"/>
  <c r="DM216" i="82"/>
  <c r="CO98" i="7"/>
  <c r="CO89" i="7"/>
  <c r="CO83" i="7"/>
  <c r="CO104" i="7"/>
  <c r="DM128" i="2"/>
  <c r="CI553" i="1"/>
  <c r="CI554" i="1" s="1"/>
  <c r="DM127" i="2"/>
  <c r="CI534" i="1"/>
  <c r="CI536" i="1" s="1"/>
  <c r="DM119" i="2"/>
  <c r="CI535" i="1"/>
  <c r="CN543" i="1"/>
  <c r="CN544" i="1" s="1"/>
  <c r="S77" i="3"/>
  <c r="AT50" i="2"/>
  <c r="AT178" i="2"/>
  <c r="DX38" i="3"/>
  <c r="DY38" i="3" s="1"/>
  <c r="DZ38" i="3" s="1"/>
  <c r="EA38" i="3" s="1"/>
  <c r="S50" i="3"/>
  <c r="DT52" i="2"/>
  <c r="CU46" i="3"/>
  <c r="CX9" i="7"/>
  <c r="CV46" i="3"/>
  <c r="CX22" i="7"/>
  <c r="AK75" i="7"/>
  <c r="AT37" i="2"/>
  <c r="S500" i="113"/>
  <c r="N41" i="11"/>
  <c r="R25" i="11"/>
  <c r="AI135" i="1"/>
  <c r="BX606" i="1"/>
  <c r="BX607" i="1" s="1"/>
  <c r="BT622" i="1"/>
  <c r="BX622" i="1" s="1"/>
  <c r="BX623" i="1" s="1"/>
  <c r="AO122" i="1"/>
  <c r="M14" i="11"/>
  <c r="M41" i="11" s="1"/>
  <c r="P474" i="113"/>
  <c r="P491" i="113" s="1"/>
  <c r="P490" i="113"/>
  <c r="I19" i="113"/>
  <c r="I35" i="113" s="1"/>
  <c r="K33" i="113"/>
  <c r="L33" i="113"/>
  <c r="I38" i="113"/>
  <c r="BG137" i="1"/>
  <c r="DC102" i="2"/>
  <c r="CY102" i="2"/>
  <c r="CR298" i="82"/>
  <c r="CU276" i="82"/>
  <c r="U130" i="113"/>
  <c r="U151" i="113"/>
  <c r="CG600" i="1"/>
  <c r="CG601" i="1" s="1"/>
  <c r="CV234" i="7"/>
  <c r="CV235" i="7" s="1"/>
  <c r="CX35" i="7"/>
  <c r="CW204" i="7"/>
  <c r="AE176" i="2"/>
  <c r="AE170" i="2"/>
  <c r="CV622" i="1"/>
  <c r="CV623" i="1" s="1"/>
  <c r="AE158" i="2"/>
  <c r="DV317" i="1"/>
  <c r="K9" i="3"/>
  <c r="K19" i="3" s="1"/>
  <c r="K80" i="3" s="1"/>
  <c r="K83" i="3" s="1"/>
  <c r="K85" i="3" s="1"/>
  <c r="Z373" i="2"/>
  <c r="E44" i="113"/>
  <c r="E43" i="113"/>
  <c r="E25" i="113"/>
  <c r="E42" i="113" s="1"/>
  <c r="DF578" i="1"/>
  <c r="DF33" i="1" s="1"/>
  <c r="W160" i="2"/>
  <c r="W50" i="2"/>
  <c r="W178" i="2"/>
  <c r="W77" i="2"/>
  <c r="Z374" i="2"/>
  <c r="CU622" i="1"/>
  <c r="CU623" i="1" s="1"/>
  <c r="CM137" i="1"/>
  <c r="Z36" i="2"/>
  <c r="I9" i="3"/>
  <c r="I19" i="3" s="1"/>
  <c r="I80" i="3" s="1"/>
  <c r="I83" i="3" s="1"/>
  <c r="I85" i="3" s="1"/>
  <c r="CR570" i="1"/>
  <c r="CR588" i="1" s="1"/>
  <c r="S196" i="7"/>
  <c r="S198" i="7" s="1"/>
  <c r="T195" i="7" s="1"/>
  <c r="AB77" i="2"/>
  <c r="AD77" i="2"/>
  <c r="Y37" i="2"/>
  <c r="Y178" i="2"/>
  <c r="Y160" i="2"/>
  <c r="Y50" i="2"/>
  <c r="CT622" i="1"/>
  <c r="CT623" i="1" s="1"/>
  <c r="AJ134" i="1"/>
  <c r="AJ133" i="1"/>
  <c r="AJ136" i="1"/>
  <c r="AJ128" i="1"/>
  <c r="AA50" i="2"/>
  <c r="AA178" i="2"/>
  <c r="BI622" i="1"/>
  <c r="BI623" i="1" s="1"/>
  <c r="R137" i="1"/>
  <c r="AA37" i="2"/>
  <c r="AA77" i="2"/>
  <c r="AA160" i="2"/>
  <c r="M9" i="3"/>
  <c r="V196" i="7"/>
  <c r="V197" i="7" s="1"/>
  <c r="AJ158" i="2"/>
  <c r="AJ176" i="2"/>
  <c r="AE374" i="2"/>
  <c r="CR124" i="2"/>
  <c r="CW127" i="2"/>
  <c r="CW124" i="2"/>
  <c r="CQ368" i="2"/>
  <c r="CS119" i="2"/>
  <c r="CS128" i="2"/>
  <c r="CR150" i="2"/>
  <c r="CN368" i="2"/>
  <c r="CO368" i="2"/>
  <c r="CR27" i="2"/>
  <c r="CP104" i="2"/>
  <c r="CR166" i="2"/>
  <c r="CR102" i="2"/>
  <c r="Q178" i="2"/>
  <c r="Q160" i="2"/>
  <c r="CR341" i="2"/>
  <c r="CO104" i="2"/>
  <c r="CR65" i="2"/>
  <c r="BT98" i="7"/>
  <c r="CP368" i="2"/>
  <c r="CS122" i="2"/>
  <c r="G34" i="113"/>
  <c r="CQ104" i="2"/>
  <c r="BJ600" i="1"/>
  <c r="BJ601" i="1" s="1"/>
  <c r="Q50" i="2"/>
  <c r="BT82" i="7"/>
  <c r="BT73" i="7" s="1"/>
  <c r="CR115" i="2"/>
  <c r="BT83" i="7"/>
  <c r="BI578" i="1"/>
  <c r="BI33" i="1" s="1"/>
  <c r="BV626" i="1"/>
  <c r="BV627" i="1" s="1"/>
  <c r="C9" i="3"/>
  <c r="C19" i="3" s="1"/>
  <c r="C50" i="3" s="1"/>
  <c r="C52" i="3" s="1"/>
  <c r="D51" i="3" s="1"/>
  <c r="BT96" i="7"/>
  <c r="BT94" i="7"/>
  <c r="BB600" i="1"/>
  <c r="BB601" i="1" s="1"/>
  <c r="CW118" i="2"/>
  <c r="BT89" i="7"/>
  <c r="BT92" i="7"/>
  <c r="Q30" i="113"/>
  <c r="BT172" i="7"/>
  <c r="BT91" i="7"/>
  <c r="CW115" i="2"/>
  <c r="CW121" i="2"/>
  <c r="Q37" i="2"/>
  <c r="CR366" i="2"/>
  <c r="AE34" i="2"/>
  <c r="Q12" i="113"/>
  <c r="Q41" i="113" s="1"/>
  <c r="BH618" i="1"/>
  <c r="BH619" i="1" s="1"/>
  <c r="BH587" i="1"/>
  <c r="BH477" i="1" s="1"/>
  <c r="CZ578" i="1"/>
  <c r="CZ584" i="1" s="1"/>
  <c r="BL618" i="1"/>
  <c r="BL619" i="1" s="1"/>
  <c r="CQ622" i="1"/>
  <c r="CQ623" i="1" s="1"/>
  <c r="CK110" i="2"/>
  <c r="AJ170" i="2"/>
  <c r="DG254" i="82"/>
  <c r="CL618" i="1"/>
  <c r="CL619" i="1" s="1"/>
  <c r="F13" i="113"/>
  <c r="F16" i="113"/>
  <c r="F18" i="113" s="1"/>
  <c r="F19" i="113" s="1"/>
  <c r="F35" i="113" s="1"/>
  <c r="F34" i="113"/>
  <c r="CI601" i="1"/>
  <c r="CR262" i="82"/>
  <c r="F25" i="113"/>
  <c r="G38" i="113" s="1"/>
  <c r="BI73" i="1"/>
  <c r="CR507" i="1"/>
  <c r="CR508" i="1" s="1"/>
  <c r="CH606" i="1"/>
  <c r="CH607" i="1" s="1"/>
  <c r="CW215" i="2"/>
  <c r="CD607" i="1"/>
  <c r="DG134" i="2"/>
  <c r="DG147" i="2"/>
  <c r="BG600" i="1"/>
  <c r="BG601" i="1" s="1"/>
  <c r="AE373" i="2"/>
  <c r="DG144" i="2"/>
  <c r="CK373" i="2"/>
  <c r="DA102" i="2"/>
  <c r="CJ110" i="2"/>
  <c r="CR297" i="82"/>
  <c r="CR410" i="82"/>
  <c r="Q289" i="113"/>
  <c r="Q291" i="113" s="1"/>
  <c r="CR275" i="82"/>
  <c r="CR295" i="82"/>
  <c r="BT600" i="1"/>
  <c r="BT601" i="1" s="1"/>
  <c r="CM538" i="1"/>
  <c r="CM539" i="1" s="1"/>
  <c r="CM540" i="1" s="1"/>
  <c r="CK600" i="1"/>
  <c r="CK601" i="1" s="1"/>
  <c r="CR574" i="1"/>
  <c r="CR599" i="1" s="1"/>
  <c r="CH368" i="2"/>
  <c r="CF612" i="1"/>
  <c r="CF613" i="1" s="1"/>
  <c r="CM599" i="1"/>
  <c r="CZ622" i="1"/>
  <c r="CZ623" i="1" s="1"/>
  <c r="CS606" i="1"/>
  <c r="CW606" i="1" s="1"/>
  <c r="CW607" i="1" s="1"/>
  <c r="DG141" i="2"/>
  <c r="AJ375" i="2"/>
  <c r="CV276" i="82"/>
  <c r="DG131" i="2"/>
  <c r="CU104" i="2"/>
  <c r="CD600" i="1"/>
  <c r="CD618" i="1" s="1"/>
  <c r="CI33" i="2"/>
  <c r="BH612" i="1"/>
  <c r="BH613" i="1" s="1"/>
  <c r="BV171" i="2"/>
  <c r="BV170" i="2"/>
  <c r="CF170" i="2"/>
  <c r="CI413" i="82"/>
  <c r="CI332" i="82"/>
  <c r="CI318" i="82"/>
  <c r="CI335" i="82" s="1"/>
  <c r="CI314" i="82"/>
  <c r="CI329" i="82" s="1"/>
  <c r="CI331" i="82" s="1"/>
  <c r="CI405" i="82"/>
  <c r="CI587" i="1"/>
  <c r="CI477" i="1" s="1"/>
  <c r="CI366" i="82"/>
  <c r="CI175" i="2"/>
  <c r="CI157" i="2"/>
  <c r="BV36" i="2"/>
  <c r="BV34" i="2"/>
  <c r="BL587" i="1"/>
  <c r="BL593" i="1" s="1"/>
  <c r="CN600" i="1"/>
  <c r="CN601" i="1" s="1"/>
  <c r="BV153" i="2"/>
  <c r="BV152" i="2"/>
  <c r="CF152" i="2"/>
  <c r="CU368" i="2"/>
  <c r="DG100" i="2"/>
  <c r="CZ102" i="2"/>
  <c r="CS368" i="2"/>
  <c r="DG138" i="2"/>
  <c r="CW102" i="2"/>
  <c r="BX368" i="2"/>
  <c r="DD102" i="2"/>
  <c r="BE96" i="2"/>
  <c r="DF102" i="2"/>
  <c r="CW366" i="2"/>
  <c r="BX374" i="2"/>
  <c r="DE102" i="2"/>
  <c r="BH351" i="2"/>
  <c r="CI235" i="7"/>
  <c r="CO170" i="2"/>
  <c r="CO171" i="2"/>
  <c r="CY88" i="2"/>
  <c r="CY65" i="2"/>
  <c r="CY166" i="2"/>
  <c r="CY150" i="2"/>
  <c r="CY27" i="2"/>
  <c r="AV621" i="1"/>
  <c r="DF115" i="2"/>
  <c r="DF116" i="2"/>
  <c r="CJ569" i="1"/>
  <c r="CJ591" i="1"/>
  <c r="CJ587" i="1" s="1"/>
  <c r="AU591" i="1"/>
  <c r="AU612" i="1" s="1"/>
  <c r="AY573" i="1"/>
  <c r="BJ352" i="2"/>
  <c r="BJ82" i="2"/>
  <c r="BN606" i="1"/>
  <c r="BN607" i="1" s="1"/>
  <c r="BJ607" i="1"/>
  <c r="DK243" i="82"/>
  <c r="DK216" i="82"/>
  <c r="AV352" i="2"/>
  <c r="AV82" i="2"/>
  <c r="W77" i="3"/>
  <c r="W50" i="3"/>
  <c r="W80" i="3"/>
  <c r="W20" i="3"/>
  <c r="AB20" i="3"/>
  <c r="DF563" i="1"/>
  <c r="DF565" i="1"/>
  <c r="CY118" i="2"/>
  <c r="CY119" i="2"/>
  <c r="P32" i="113"/>
  <c r="P41" i="113"/>
  <c r="T500" i="113"/>
  <c r="T496" i="113"/>
  <c r="U496" i="113"/>
  <c r="AQ135" i="1"/>
  <c r="DH121" i="2"/>
  <c r="DH122" i="2"/>
  <c r="DE115" i="2"/>
  <c r="DE116" i="2"/>
  <c r="CQ316" i="82"/>
  <c r="CQ348" i="2"/>
  <c r="CQ169" i="2"/>
  <c r="CQ94" i="2"/>
  <c r="CQ151" i="2"/>
  <c r="CQ71" i="2"/>
  <c r="CQ32" i="2"/>
  <c r="CQ54" i="2"/>
  <c r="CQ29" i="2"/>
  <c r="CV104" i="2"/>
  <c r="DA590" i="1"/>
  <c r="DA574" i="1"/>
  <c r="BN470" i="1"/>
  <c r="BN33" i="1"/>
  <c r="BN584" i="1"/>
  <c r="CG171" i="2"/>
  <c r="CG170" i="2"/>
  <c r="DA121" i="2"/>
  <c r="DA122" i="2"/>
  <c r="AE137" i="1"/>
  <c r="DG301" i="82"/>
  <c r="DG370" i="82"/>
  <c r="DG410" i="82"/>
  <c r="DG330" i="82"/>
  <c r="DG339" i="82"/>
  <c r="DG338" i="82"/>
  <c r="DG398" i="82"/>
  <c r="AS80" i="3"/>
  <c r="AS20" i="3"/>
  <c r="AS77" i="3"/>
  <c r="AS50" i="3"/>
  <c r="AU180" i="2"/>
  <c r="AU181" i="2"/>
  <c r="AV181" i="2"/>
  <c r="K38" i="113"/>
  <c r="K42" i="113"/>
  <c r="U68" i="113"/>
  <c r="DG561" i="1"/>
  <c r="CE36" i="2"/>
  <c r="CE34" i="2"/>
  <c r="CE373" i="2"/>
  <c r="AS376" i="1"/>
  <c r="AS370" i="1" s="1"/>
  <c r="AT370" i="1" s="1"/>
  <c r="AT375" i="1"/>
  <c r="AT376" i="1" s="1"/>
  <c r="DB100" i="2"/>
  <c r="CN536" i="1"/>
  <c r="BL352" i="2"/>
  <c r="BL98" i="2"/>
  <c r="BL82" i="2"/>
  <c r="BG591" i="1"/>
  <c r="BG587" i="1" s="1"/>
  <c r="BG569" i="1"/>
  <c r="CT592" i="1"/>
  <c r="CT611" i="1" s="1"/>
  <c r="CT599" i="1"/>
  <c r="J42" i="113"/>
  <c r="J38" i="113"/>
  <c r="BE569" i="1"/>
  <c r="BI573" i="1"/>
  <c r="BE591" i="1"/>
  <c r="BE612" i="1" s="1"/>
  <c r="BE613" i="1" s="1"/>
  <c r="CX128" i="2"/>
  <c r="CX127" i="2"/>
  <c r="BC51" i="2"/>
  <c r="BC81" i="2"/>
  <c r="CM401" i="1"/>
  <c r="CM398" i="1"/>
  <c r="CM400" i="1"/>
  <c r="CR398" i="1"/>
  <c r="DA230" i="82"/>
  <c r="DA243" i="82"/>
  <c r="DA216" i="82"/>
  <c r="BU618" i="1"/>
  <c r="BA470" i="1"/>
  <c r="BA33" i="1"/>
  <c r="BA584" i="1"/>
  <c r="N41" i="113"/>
  <c r="N32" i="113"/>
  <c r="AI98" i="2"/>
  <c r="CI463" i="1"/>
  <c r="CI26" i="1"/>
  <c r="CI575" i="1"/>
  <c r="CV522" i="1"/>
  <c r="O32" i="113"/>
  <c r="O41" i="113"/>
  <c r="CZ124" i="2"/>
  <c r="CZ125" i="2"/>
  <c r="CX590" i="1"/>
  <c r="DB572" i="1"/>
  <c r="DB590" i="1" s="1"/>
  <c r="CX574" i="1"/>
  <c r="DH116" i="2"/>
  <c r="DH115" i="2"/>
  <c r="BX592" i="1"/>
  <c r="BX611" i="1" s="1"/>
  <c r="BX599" i="1"/>
  <c r="CO152" i="2"/>
  <c r="CO153" i="2"/>
  <c r="BG98" i="2"/>
  <c r="BG352" i="2"/>
  <c r="BG82" i="2"/>
  <c r="CU316" i="82"/>
  <c r="CU151" i="2"/>
  <c r="CU94" i="2"/>
  <c r="CU71" i="2"/>
  <c r="CU348" i="2"/>
  <c r="CU169" i="2"/>
  <c r="CU54" i="2"/>
  <c r="CU29" i="2"/>
  <c r="CU28" i="2"/>
  <c r="CU32" i="2"/>
  <c r="G36" i="11"/>
  <c r="G34" i="11"/>
  <c r="G35" i="11" s="1"/>
  <c r="Y9" i="3"/>
  <c r="X19" i="3"/>
  <c r="CP167" i="2"/>
  <c r="CP168" i="2"/>
  <c r="N14" i="113"/>
  <c r="BX169" i="2"/>
  <c r="BX151" i="2"/>
  <c r="BX71" i="2"/>
  <c r="BX348" i="2"/>
  <c r="BU373" i="2"/>
  <c r="BV373" i="2"/>
  <c r="CZ127" i="2"/>
  <c r="CZ128" i="2"/>
  <c r="CY115" i="2"/>
  <c r="CY116" i="2"/>
  <c r="DB521" i="1"/>
  <c r="CL436" i="1"/>
  <c r="CL437" i="1" s="1"/>
  <c r="CL543" i="1"/>
  <c r="CL544" i="1" s="1"/>
  <c r="BT591" i="1"/>
  <c r="BT587" i="1" s="1"/>
  <c r="BT569" i="1"/>
  <c r="AQ80" i="3"/>
  <c r="AQ20" i="3"/>
  <c r="AQ77" i="3"/>
  <c r="AQ50" i="3"/>
  <c r="CK153" i="2"/>
  <c r="CK152" i="2"/>
  <c r="CX589" i="1"/>
  <c r="DB571" i="1"/>
  <c r="DB589" i="1" s="1"/>
  <c r="CX570" i="1"/>
  <c r="DH118" i="2"/>
  <c r="DH119" i="2"/>
  <c r="CH167" i="2"/>
  <c r="CI168" i="2"/>
  <c r="DE166" i="2"/>
  <c r="DE150" i="2"/>
  <c r="DE88" i="2"/>
  <c r="DE65" i="2"/>
  <c r="DE27" i="2"/>
  <c r="BW171" i="2"/>
  <c r="BW170" i="2"/>
  <c r="AX351" i="2"/>
  <c r="AX78" i="2"/>
  <c r="DA589" i="1"/>
  <c r="DA570" i="1"/>
  <c r="BJ622" i="1"/>
  <c r="T68" i="113"/>
  <c r="T28" i="113"/>
  <c r="T10" i="113"/>
  <c r="DB583" i="1"/>
  <c r="DB605" i="1" s="1"/>
  <c r="CX605" i="1"/>
  <c r="CZ563" i="1"/>
  <c r="CZ565" i="1"/>
  <c r="CS588" i="1"/>
  <c r="CW570" i="1"/>
  <c r="CW588" i="1" s="1"/>
  <c r="CS573" i="1"/>
  <c r="CN470" i="1"/>
  <c r="CN33" i="1"/>
  <c r="CN584" i="1"/>
  <c r="CE157" i="2"/>
  <c r="CE175" i="2"/>
  <c r="CE73" i="2"/>
  <c r="CE349" i="2"/>
  <c r="CL170" i="2"/>
  <c r="DF118" i="2"/>
  <c r="DF119" i="2"/>
  <c r="CQ447" i="1"/>
  <c r="DC119" i="2"/>
  <c r="DC118" i="2"/>
  <c r="DK124" i="2"/>
  <c r="BL463" i="1"/>
  <c r="BL26" i="1"/>
  <c r="BL575" i="1"/>
  <c r="CX216" i="82"/>
  <c r="CX230" i="82"/>
  <c r="CX243" i="82"/>
  <c r="CN33" i="2"/>
  <c r="BF618" i="1"/>
  <c r="AG19" i="3"/>
  <c r="J44" i="113"/>
  <c r="J19" i="113"/>
  <c r="CD80" i="7"/>
  <c r="P40" i="11"/>
  <c r="P41" i="11" s="1"/>
  <c r="DB63" i="2"/>
  <c r="DB13" i="2"/>
  <c r="DB123" i="2"/>
  <c r="DB120" i="2"/>
  <c r="DB126" i="2"/>
  <c r="DB117" i="2"/>
  <c r="DB114" i="2"/>
  <c r="F19" i="11"/>
  <c r="AO78" i="2"/>
  <c r="AO351" i="2"/>
  <c r="DD119" i="2"/>
  <c r="DD118" i="2"/>
  <c r="CI612" i="1"/>
  <c r="CI613" i="1" s="1"/>
  <c r="CX124" i="2"/>
  <c r="CX125" i="2"/>
  <c r="AY80" i="3"/>
  <c r="AY77" i="3"/>
  <c r="AY50" i="3"/>
  <c r="CJ550" i="1"/>
  <c r="BU587" i="1"/>
  <c r="CJ171" i="2"/>
  <c r="CJ170" i="2"/>
  <c r="CS578" i="1"/>
  <c r="CW582" i="1"/>
  <c r="CW578" i="1" s="1"/>
  <c r="T175" i="2"/>
  <c r="T157" i="2"/>
  <c r="U29" i="2"/>
  <c r="Y349" i="2"/>
  <c r="Y73" i="2"/>
  <c r="BE600" i="1"/>
  <c r="BE618" i="1" s="1"/>
  <c r="CM573" i="1"/>
  <c r="CD152" i="2"/>
  <c r="CI152" i="2"/>
  <c r="DK589" i="1"/>
  <c r="DK563" i="1"/>
  <c r="DK565" i="1"/>
  <c r="BA588" i="1"/>
  <c r="BA573" i="1"/>
  <c r="CD470" i="1"/>
  <c r="CD33" i="1"/>
  <c r="CD584" i="1"/>
  <c r="CY570" i="1"/>
  <c r="CY589" i="1"/>
  <c r="AU162" i="2"/>
  <c r="AU163" i="2"/>
  <c r="AV163" i="2"/>
  <c r="AS123" i="1"/>
  <c r="AS127" i="1"/>
  <c r="AS122" i="1"/>
  <c r="AX122" i="1"/>
  <c r="AU123" i="1"/>
  <c r="CQ592" i="1"/>
  <c r="CQ611" i="1" s="1"/>
  <c r="CQ599" i="1"/>
  <c r="T135" i="1"/>
  <c r="CS316" i="82"/>
  <c r="CS169" i="2"/>
  <c r="CS54" i="2"/>
  <c r="CS151" i="2"/>
  <c r="CS94" i="2"/>
  <c r="CS71" i="2"/>
  <c r="CS348" i="2"/>
  <c r="CS29" i="2"/>
  <c r="CS28" i="2"/>
  <c r="CS32" i="2"/>
  <c r="DK115" i="2"/>
  <c r="DK121" i="2"/>
  <c r="DD563" i="1"/>
  <c r="DD565" i="1"/>
  <c r="CN366" i="82"/>
  <c r="CN157" i="2"/>
  <c r="CN175" i="2"/>
  <c r="CN73" i="2"/>
  <c r="CN349" i="2"/>
  <c r="CN379" i="82"/>
  <c r="CN393" i="82"/>
  <c r="CN405" i="82"/>
  <c r="CN332" i="82"/>
  <c r="CN318" i="82"/>
  <c r="CN335" i="82" s="1"/>
  <c r="CN267" i="82"/>
  <c r="CN314" i="82"/>
  <c r="CN329" i="82" s="1"/>
  <c r="CN331" i="82" s="1"/>
  <c r="AT119" i="1"/>
  <c r="CM470" i="1"/>
  <c r="CM33" i="1"/>
  <c r="CM584" i="1"/>
  <c r="CX121" i="2"/>
  <c r="CX122" i="2"/>
  <c r="BZ96" i="7"/>
  <c r="BZ94" i="7"/>
  <c r="BZ91" i="7"/>
  <c r="BZ98" i="7"/>
  <c r="BZ172" i="7"/>
  <c r="BZ83" i="7"/>
  <c r="BZ82" i="7"/>
  <c r="BZ73" i="7" s="1"/>
  <c r="BZ92" i="7"/>
  <c r="BZ104" i="7"/>
  <c r="BZ89" i="7"/>
  <c r="U341" i="2"/>
  <c r="U166" i="2"/>
  <c r="U150" i="2"/>
  <c r="U27" i="2"/>
  <c r="R368" i="2"/>
  <c r="Z65" i="2"/>
  <c r="Q368" i="2"/>
  <c r="Z341" i="2"/>
  <c r="S368" i="2"/>
  <c r="CJ553" i="1"/>
  <c r="CJ554" i="1" s="1"/>
  <c r="CJ438" i="1"/>
  <c r="AH80" i="3"/>
  <c r="AH50" i="3"/>
  <c r="AH20" i="3"/>
  <c r="AH77" i="3"/>
  <c r="T488" i="113"/>
  <c r="T498" i="113"/>
  <c r="T473" i="113"/>
  <c r="T404" i="113"/>
  <c r="T405" i="113"/>
  <c r="T407" i="113"/>
  <c r="J19" i="11"/>
  <c r="CJ33" i="2"/>
  <c r="T94" i="2"/>
  <c r="T169" i="2"/>
  <c r="T54" i="2"/>
  <c r="T151" i="2"/>
  <c r="T32" i="2"/>
  <c r="V94" i="2"/>
  <c r="Y71" i="2"/>
  <c r="Y348" i="2"/>
  <c r="DB561" i="1"/>
  <c r="CT447" i="1"/>
  <c r="BC591" i="1"/>
  <c r="BC587" i="1" s="1"/>
  <c r="BC569" i="1"/>
  <c r="M35" i="113"/>
  <c r="AR352" i="2"/>
  <c r="AR98" i="2"/>
  <c r="AR82" i="2"/>
  <c r="CY230" i="82"/>
  <c r="CY243" i="82"/>
  <c r="CY216" i="82"/>
  <c r="AZ376" i="1"/>
  <c r="AZ370" i="1" s="1"/>
  <c r="BD375" i="1"/>
  <c r="BD376" i="1" s="1"/>
  <c r="BD370" i="1" s="1"/>
  <c r="CJ600" i="1"/>
  <c r="CP316" i="82"/>
  <c r="CP71" i="2"/>
  <c r="CP348" i="2"/>
  <c r="CP169" i="2"/>
  <c r="CP54" i="2"/>
  <c r="CP94" i="2"/>
  <c r="CP151" i="2"/>
  <c r="CP32" i="2"/>
  <c r="CP29" i="2"/>
  <c r="CK433" i="1"/>
  <c r="CK435" i="1"/>
  <c r="CP437" i="1" s="1"/>
  <c r="CP433" i="1"/>
  <c r="CH470" i="1"/>
  <c r="CH33" i="1"/>
  <c r="CH584" i="1"/>
  <c r="CZ121" i="2"/>
  <c r="CZ122" i="2"/>
  <c r="CY127" i="2"/>
  <c r="CY128" i="2"/>
  <c r="DB520" i="1"/>
  <c r="DB630" i="1" s="1"/>
  <c r="J80" i="3"/>
  <c r="J83" i="3" s="1"/>
  <c r="J85" i="3" s="1"/>
  <c r="J50" i="3"/>
  <c r="J77" i="3"/>
  <c r="DH65" i="2"/>
  <c r="DH166" i="2"/>
  <c r="DH150" i="2"/>
  <c r="DH88" i="2"/>
  <c r="CJ94" i="7"/>
  <c r="CJ91" i="7"/>
  <c r="CJ98" i="7"/>
  <c r="CJ82" i="7"/>
  <c r="CJ73" i="7" s="1"/>
  <c r="CJ96" i="7"/>
  <c r="CJ172" i="7"/>
  <c r="CJ83" i="7"/>
  <c r="CJ89" i="7"/>
  <c r="CJ92" i="7"/>
  <c r="CJ104" i="7"/>
  <c r="BT373" i="2"/>
  <c r="DE122" i="2"/>
  <c r="DE121" i="2"/>
  <c r="CY590" i="1"/>
  <c r="CY574" i="1"/>
  <c r="BW373" i="2"/>
  <c r="CQ167" i="2"/>
  <c r="CQ168" i="2"/>
  <c r="CO447" i="1"/>
  <c r="CV168" i="2"/>
  <c r="CV167" i="2"/>
  <c r="CG153" i="2"/>
  <c r="CG152" i="2"/>
  <c r="DA119" i="2"/>
  <c r="DA118" i="2"/>
  <c r="CU447" i="1"/>
  <c r="CW137" i="1"/>
  <c r="AJ51" i="2"/>
  <c r="DE216" i="82"/>
  <c r="DE243" i="82"/>
  <c r="DE230" i="82"/>
  <c r="AR123" i="1"/>
  <c r="AR127" i="1"/>
  <c r="AR122" i="1"/>
  <c r="DM118" i="2"/>
  <c r="BK591" i="1"/>
  <c r="BK587" i="1" s="1"/>
  <c r="BK569" i="1"/>
  <c r="DB579" i="1"/>
  <c r="CX582" i="1"/>
  <c r="AK135" i="1"/>
  <c r="K19" i="113"/>
  <c r="K44" i="113"/>
  <c r="AN80" i="3"/>
  <c r="AN50" i="3"/>
  <c r="AN77" i="3"/>
  <c r="BB591" i="1"/>
  <c r="BB587" i="1" s="1"/>
  <c r="BV477" i="1"/>
  <c r="BV40" i="1"/>
  <c r="BV593" i="1"/>
  <c r="CR470" i="1"/>
  <c r="CR33" i="1"/>
  <c r="CR584" i="1"/>
  <c r="AX617" i="1"/>
  <c r="DF125" i="2"/>
  <c r="DF124" i="2"/>
  <c r="CH96" i="7"/>
  <c r="CH94" i="7"/>
  <c r="CH91" i="7"/>
  <c r="CH92" i="7"/>
  <c r="CH83" i="7"/>
  <c r="CH98" i="7"/>
  <c r="CH172" i="7"/>
  <c r="CH104" i="7"/>
  <c r="CH82" i="7"/>
  <c r="CH73" i="7" s="1"/>
  <c r="CH89" i="7"/>
  <c r="DC127" i="2"/>
  <c r="DC128" i="2"/>
  <c r="DM121" i="2"/>
  <c r="DK65" i="2"/>
  <c r="DK166" i="2"/>
  <c r="DK150" i="2"/>
  <c r="DK27" i="2"/>
  <c r="CM92" i="7"/>
  <c r="CM172" i="7"/>
  <c r="CM83" i="7"/>
  <c r="CM82" i="7"/>
  <c r="CM73" i="7" s="1"/>
  <c r="CM94" i="7"/>
  <c r="CM98" i="7"/>
  <c r="CM96" i="7"/>
  <c r="CM104" i="7"/>
  <c r="CM91" i="7"/>
  <c r="CM89" i="7"/>
  <c r="AZ73" i="1"/>
  <c r="CN57" i="2"/>
  <c r="AT106" i="1"/>
  <c r="AT107" i="1"/>
  <c r="AT389" i="1"/>
  <c r="CQ588" i="1"/>
  <c r="CQ573" i="1"/>
  <c r="U128" i="1"/>
  <c r="U133" i="1"/>
  <c r="U134" i="1"/>
  <c r="Z128" i="1"/>
  <c r="U136" i="1"/>
  <c r="DB370" i="82"/>
  <c r="DB330" i="82"/>
  <c r="DB410" i="82"/>
  <c r="DB338" i="82"/>
  <c r="DB339" i="82"/>
  <c r="DB398" i="82"/>
  <c r="DD125" i="2"/>
  <c r="DD124" i="2"/>
  <c r="DD128" i="2"/>
  <c r="DD127" i="2"/>
  <c r="BT470" i="1"/>
  <c r="BT33" i="1"/>
  <c r="BT584" i="1"/>
  <c r="CX115" i="2"/>
  <c r="CX116" i="2"/>
  <c r="AK352" i="2"/>
  <c r="AK98" i="2"/>
  <c r="AK82" i="2"/>
  <c r="BN51" i="2"/>
  <c r="CJ366" i="82"/>
  <c r="CJ349" i="2"/>
  <c r="CJ157" i="2"/>
  <c r="CJ175" i="2"/>
  <c r="CJ73" i="2"/>
  <c r="CS522" i="1"/>
  <c r="BI592" i="1"/>
  <c r="BI611" i="1" s="1"/>
  <c r="BI599" i="1"/>
  <c r="CI626" i="1"/>
  <c r="CI619" i="1"/>
  <c r="CM104" i="2"/>
  <c r="CD36" i="2"/>
  <c r="CD34" i="2"/>
  <c r="CD373" i="2"/>
  <c r="DG214" i="82"/>
  <c r="DG241" i="82"/>
  <c r="DG198" i="82"/>
  <c r="BC600" i="1"/>
  <c r="BC601" i="1" s="1"/>
  <c r="CF463" i="1"/>
  <c r="CF26" i="1"/>
  <c r="CF575" i="1"/>
  <c r="L38" i="113"/>
  <c r="CZ590" i="1"/>
  <c r="CZ574" i="1"/>
  <c r="DD243" i="82"/>
  <c r="DD230" i="82"/>
  <c r="DD216" i="82"/>
  <c r="AN98" i="2"/>
  <c r="AN352" i="2"/>
  <c r="AN82" i="2"/>
  <c r="CN623" i="1"/>
  <c r="CT588" i="1"/>
  <c r="CT573" i="1"/>
  <c r="CX563" i="1"/>
  <c r="CX565" i="1"/>
  <c r="CN607" i="1"/>
  <c r="CR606" i="1"/>
  <c r="CR607" i="1" s="1"/>
  <c r="CU167" i="2"/>
  <c r="CU168" i="2"/>
  <c r="CW341" i="2"/>
  <c r="CW166" i="2"/>
  <c r="CW150" i="2"/>
  <c r="CW65" i="2"/>
  <c r="CW27" i="2"/>
  <c r="CE569" i="1"/>
  <c r="CE591" i="1"/>
  <c r="CE587" i="1" s="1"/>
  <c r="CD623" i="1"/>
  <c r="CH622" i="1"/>
  <c r="CH623" i="1" s="1"/>
  <c r="CZ118" i="2"/>
  <c r="CZ119" i="2"/>
  <c r="CY124" i="2"/>
  <c r="CY125" i="2"/>
  <c r="AZ599" i="1"/>
  <c r="AZ592" i="1"/>
  <c r="AZ611" i="1" s="1"/>
  <c r="BD574" i="1"/>
  <c r="AL129" i="1"/>
  <c r="AL128" i="1"/>
  <c r="AL134" i="1"/>
  <c r="AL136" i="1"/>
  <c r="AM129" i="1"/>
  <c r="AL133" i="1"/>
  <c r="BA352" i="2"/>
  <c r="BA82" i="2"/>
  <c r="BA98" i="2"/>
  <c r="BF352" i="2"/>
  <c r="BF82" i="2"/>
  <c r="AQ128" i="1"/>
  <c r="CK33" i="2"/>
  <c r="BT36" i="2"/>
  <c r="BT34" i="2"/>
  <c r="BW36" i="2"/>
  <c r="BW34" i="2"/>
  <c r="CG36" i="2"/>
  <c r="CG34" i="2"/>
  <c r="BK82" i="2"/>
  <c r="BK352" i="2"/>
  <c r="BK98" i="2"/>
  <c r="DA116" i="2"/>
  <c r="DA115" i="2"/>
  <c r="DM230" i="82"/>
  <c r="CJ447" i="1"/>
  <c r="DF589" i="1"/>
  <c r="DF570" i="1"/>
  <c r="BD73" i="1"/>
  <c r="CD168" i="2"/>
  <c r="AG98" i="2"/>
  <c r="BF137" i="1"/>
  <c r="DH243" i="82"/>
  <c r="DH230" i="82"/>
  <c r="DH216" i="82"/>
  <c r="CE371" i="1"/>
  <c r="CF371" i="1" s="1"/>
  <c r="CO591" i="1"/>
  <c r="CO587" i="1" s="1"/>
  <c r="CO569" i="1"/>
  <c r="R40" i="113"/>
  <c r="R30" i="113"/>
  <c r="R12" i="113"/>
  <c r="BE82" i="2"/>
  <c r="BE352" i="2"/>
  <c r="BF98" i="2"/>
  <c r="CE171" i="2"/>
  <c r="CE170" i="2"/>
  <c r="CF171" i="2"/>
  <c r="DF166" i="2"/>
  <c r="DF150" i="2"/>
  <c r="DF88" i="2"/>
  <c r="DF65" i="2"/>
  <c r="DF27" i="2"/>
  <c r="BA73" i="1"/>
  <c r="CY578" i="1"/>
  <c r="DM122" i="2"/>
  <c r="BC137" i="1"/>
  <c r="AM77" i="3"/>
  <c r="AM50" i="3"/>
  <c r="AM80" i="3"/>
  <c r="AM20" i="3"/>
  <c r="AR20" i="3"/>
  <c r="AX604" i="1"/>
  <c r="AU51" i="2"/>
  <c r="AU81" i="2"/>
  <c r="S28" i="113"/>
  <c r="S10" i="113"/>
  <c r="CN591" i="1"/>
  <c r="CN587" i="1" s="1"/>
  <c r="CN569" i="1"/>
  <c r="DD115" i="2"/>
  <c r="DD116" i="2"/>
  <c r="CF98" i="7"/>
  <c r="CF82" i="7"/>
  <c r="CF73" i="7" s="1"/>
  <c r="CF96" i="7"/>
  <c r="CF94" i="7"/>
  <c r="CF89" i="7"/>
  <c r="CF83" i="7"/>
  <c r="CF91" i="7"/>
  <c r="CF92" i="7"/>
  <c r="CF172" i="7"/>
  <c r="CF104" i="7"/>
  <c r="BX470" i="1"/>
  <c r="BX33" i="1"/>
  <c r="BX584" i="1"/>
  <c r="AO19" i="3"/>
  <c r="AV80" i="3"/>
  <c r="AV20" i="3"/>
  <c r="AV50" i="3"/>
  <c r="AV77" i="3"/>
  <c r="CJ405" i="82"/>
  <c r="CJ413" i="82"/>
  <c r="CJ332" i="82"/>
  <c r="CJ318" i="82"/>
  <c r="CJ335" i="82" s="1"/>
  <c r="CJ314" i="82"/>
  <c r="CJ329" i="82" s="1"/>
  <c r="CJ331" i="82" s="1"/>
  <c r="B117" i="3"/>
  <c r="B116" i="3"/>
  <c r="CV588" i="1"/>
  <c r="CV573" i="1"/>
  <c r="CM368" i="2"/>
  <c r="CD157" i="2"/>
  <c r="CD175" i="2"/>
  <c r="CD73" i="2"/>
  <c r="CD349" i="2"/>
  <c r="CH29" i="2"/>
  <c r="CI73" i="2"/>
  <c r="CI349" i="2"/>
  <c r="BB98" i="2"/>
  <c r="CF477" i="1"/>
  <c r="CF40" i="1"/>
  <c r="CF593" i="1"/>
  <c r="BX137" i="1"/>
  <c r="CE600" i="1"/>
  <c r="CE601" i="1" s="1"/>
  <c r="CZ570" i="1"/>
  <c r="CZ589" i="1"/>
  <c r="BJ470" i="1"/>
  <c r="BJ33" i="1"/>
  <c r="BJ584" i="1"/>
  <c r="E19" i="11"/>
  <c r="CO34" i="2"/>
  <c r="CO36" i="2"/>
  <c r="CK550" i="1"/>
  <c r="BH463" i="1"/>
  <c r="BH26" i="1"/>
  <c r="BH575" i="1"/>
  <c r="CZ116" i="2"/>
  <c r="CZ115" i="2"/>
  <c r="CY121" i="2"/>
  <c r="CY122" i="2"/>
  <c r="AL50" i="3"/>
  <c r="AL80" i="3"/>
  <c r="AL77" i="3"/>
  <c r="BN592" i="1"/>
  <c r="BN611" i="1" s="1"/>
  <c r="BN599" i="1"/>
  <c r="CK366" i="82"/>
  <c r="CK157" i="2"/>
  <c r="CK175" i="2"/>
  <c r="CK73" i="2"/>
  <c r="CK349" i="2"/>
  <c r="CK171" i="2"/>
  <c r="CK170" i="2"/>
  <c r="DH128" i="2"/>
  <c r="DH127" i="2"/>
  <c r="O14" i="113"/>
  <c r="BJ74" i="7"/>
  <c r="CH316" i="82"/>
  <c r="CH71" i="2"/>
  <c r="CH348" i="2"/>
  <c r="CH169" i="2"/>
  <c r="CH151" i="2"/>
  <c r="CH32" i="2"/>
  <c r="CF373" i="2"/>
  <c r="BX54" i="2"/>
  <c r="BT57" i="2"/>
  <c r="CT368" i="2"/>
  <c r="DE118" i="2"/>
  <c r="DE119" i="2"/>
  <c r="AZ588" i="1"/>
  <c r="BD570" i="1"/>
  <c r="AZ573" i="1"/>
  <c r="DG326" i="1"/>
  <c r="CG175" i="2"/>
  <c r="CG349" i="2"/>
  <c r="CG157" i="2"/>
  <c r="CG73" i="2"/>
  <c r="DA65" i="2"/>
  <c r="DA166" i="2"/>
  <c r="DA150" i="2"/>
  <c r="DA88" i="2"/>
  <c r="DA27" i="2"/>
  <c r="CC92" i="7"/>
  <c r="CC98" i="7"/>
  <c r="CC96" i="7"/>
  <c r="CC91" i="7"/>
  <c r="CC82" i="7"/>
  <c r="CC73" i="7" s="1"/>
  <c r="CC89" i="7"/>
  <c r="CC172" i="7"/>
  <c r="CC104" i="7"/>
  <c r="CC94" i="7"/>
  <c r="CC83" i="7"/>
  <c r="DF590" i="1"/>
  <c r="DF574" i="1"/>
  <c r="CV447" i="1"/>
  <c r="AP137" i="1"/>
  <c r="CU522" i="1"/>
  <c r="DC563" i="1"/>
  <c r="DC565" i="1"/>
  <c r="AV136" i="1"/>
  <c r="DF216" i="82"/>
  <c r="DF230" i="82"/>
  <c r="DF243" i="82"/>
  <c r="DF128" i="2"/>
  <c r="DF127" i="2"/>
  <c r="DG583" i="1"/>
  <c r="DG605" i="1" s="1"/>
  <c r="DC605" i="1"/>
  <c r="CL463" i="1"/>
  <c r="CL26" i="1"/>
  <c r="CL575" i="1"/>
  <c r="DC125" i="2"/>
  <c r="DC124" i="2"/>
  <c r="DC122" i="2"/>
  <c r="DC121" i="2"/>
  <c r="CS167" i="2"/>
  <c r="BK600" i="1"/>
  <c r="BK601" i="1" s="1"/>
  <c r="DK118" i="2"/>
  <c r="AS119" i="1"/>
  <c r="AS120" i="1"/>
  <c r="AX119" i="1"/>
  <c r="AU120" i="1"/>
  <c r="DB198" i="82"/>
  <c r="DB214" i="82"/>
  <c r="DB241" i="82"/>
  <c r="CN170" i="2"/>
  <c r="CH588" i="1"/>
  <c r="CH573" i="1"/>
  <c r="BL612" i="1"/>
  <c r="BL613" i="1" s="1"/>
  <c r="AU96" i="2"/>
  <c r="AU78" i="2"/>
  <c r="AU351" i="2"/>
  <c r="BJ569" i="1"/>
  <c r="BJ591" i="1"/>
  <c r="BJ587" i="1" s="1"/>
  <c r="BN573" i="1"/>
  <c r="AO81" i="2"/>
  <c r="AO51" i="2"/>
  <c r="DD65" i="2"/>
  <c r="DD166" i="2"/>
  <c r="DD150" i="2"/>
  <c r="DD88" i="2"/>
  <c r="DD27" i="2"/>
  <c r="BM600" i="1"/>
  <c r="BM601" i="1" s="1"/>
  <c r="CX118" i="2"/>
  <c r="CX119" i="2"/>
  <c r="AQ352" i="2"/>
  <c r="AQ98" i="2"/>
  <c r="AQ82" i="2"/>
  <c r="CJ542" i="1"/>
  <c r="CJ535" i="1"/>
  <c r="CJ534" i="1"/>
  <c r="CO534" i="1"/>
  <c r="CO543" i="1"/>
  <c r="CO544" i="1" s="1"/>
  <c r="R289" i="113"/>
  <c r="CW410" i="82"/>
  <c r="CW262" i="82"/>
  <c r="CW275" i="82"/>
  <c r="CW507" i="1"/>
  <c r="CW297" i="82"/>
  <c r="CW295" i="82"/>
  <c r="CW298" i="82"/>
  <c r="CJ153" i="2"/>
  <c r="CJ152" i="2"/>
  <c r="CE215" i="2"/>
  <c r="CF215" i="2"/>
  <c r="CG215" i="2"/>
  <c r="DH589" i="1"/>
  <c r="CQ73" i="1"/>
  <c r="CQ60" i="2"/>
  <c r="DG572" i="1"/>
  <c r="DG590" i="1" s="1"/>
  <c r="DC590" i="1"/>
  <c r="DC574" i="1"/>
  <c r="DM65" i="2"/>
  <c r="DA578" i="1"/>
  <c r="DA622" i="1"/>
  <c r="DA623" i="1" s="1"/>
  <c r="P14" i="113"/>
  <c r="CM316" i="82"/>
  <c r="CM151" i="2"/>
  <c r="CM71" i="2"/>
  <c r="CM348" i="2"/>
  <c r="CM169" i="2"/>
  <c r="CM29" i="2"/>
  <c r="CI373" i="2"/>
  <c r="CI110" i="2"/>
  <c r="CL110" i="2"/>
  <c r="CL373" i="2"/>
  <c r="AL352" i="2"/>
  <c r="AL98" i="2"/>
  <c r="AL82" i="2"/>
  <c r="CH54" i="2"/>
  <c r="CD57" i="2"/>
  <c r="DC243" i="82"/>
  <c r="DC230" i="82"/>
  <c r="DC216" i="82"/>
  <c r="AX73" i="1"/>
  <c r="CF618" i="1"/>
  <c r="BA592" i="1"/>
  <c r="BA611" i="1" s="1"/>
  <c r="BA599" i="1"/>
  <c r="CL73" i="2"/>
  <c r="DH563" i="1"/>
  <c r="DH565" i="1"/>
  <c r="CK542" i="1"/>
  <c r="CK535" i="1"/>
  <c r="CK534" i="1"/>
  <c r="CP534" i="1"/>
  <c r="CP543" i="1"/>
  <c r="CP544" i="1" s="1"/>
  <c r="CA94" i="7"/>
  <c r="CA172" i="7"/>
  <c r="CA96" i="7"/>
  <c r="CA82" i="7"/>
  <c r="CA73" i="7" s="1"/>
  <c r="CA98" i="7"/>
  <c r="CA89" i="7"/>
  <c r="CA91" i="7"/>
  <c r="CA83" i="7"/>
  <c r="CA92" i="7"/>
  <c r="CA104" i="7"/>
  <c r="S137" i="1"/>
  <c r="CT167" i="2"/>
  <c r="CT168" i="2"/>
  <c r="AX81" i="2"/>
  <c r="AX51" i="2"/>
  <c r="DG521" i="1"/>
  <c r="F33" i="11"/>
  <c r="AA112" i="3"/>
  <c r="AA114" i="3" s="1"/>
  <c r="AF115" i="3" s="1"/>
  <c r="AA87" i="3"/>
  <c r="AA89" i="3"/>
  <c r="CT522" i="1"/>
  <c r="AO128" i="1"/>
  <c r="AO136" i="1"/>
  <c r="AO134" i="1"/>
  <c r="AO133" i="1"/>
  <c r="CO366" i="82"/>
  <c r="CO175" i="2"/>
  <c r="CO349" i="2"/>
  <c r="CO157" i="2"/>
  <c r="CO73" i="2"/>
  <c r="BW591" i="1"/>
  <c r="BW587" i="1" s="1"/>
  <c r="BW569" i="1"/>
  <c r="AX80" i="3"/>
  <c r="AX50" i="3"/>
  <c r="AX20" i="3"/>
  <c r="AX77" i="3"/>
  <c r="CK553" i="1"/>
  <c r="CK554" i="1" s="1"/>
  <c r="CK438" i="1"/>
  <c r="S473" i="113"/>
  <c r="S488" i="113"/>
  <c r="S498" i="113"/>
  <c r="CB94" i="7"/>
  <c r="CB91" i="7"/>
  <c r="CB98" i="7"/>
  <c r="CB82" i="7"/>
  <c r="CB73" i="7" s="1"/>
  <c r="CB96" i="7"/>
  <c r="CB172" i="7"/>
  <c r="CB92" i="7"/>
  <c r="CB89" i="7"/>
  <c r="CB83" i="7"/>
  <c r="CB104" i="7"/>
  <c r="CK447" i="1"/>
  <c r="CM432" i="1"/>
  <c r="CR137" i="1"/>
  <c r="DA563" i="1"/>
  <c r="DA565" i="1"/>
  <c r="CK405" i="82"/>
  <c r="CK413" i="82"/>
  <c r="CK332" i="82"/>
  <c r="CK318" i="82"/>
  <c r="CK335" i="82" s="1"/>
  <c r="CK314" i="82"/>
  <c r="CK329" i="82" s="1"/>
  <c r="CK331" i="82" s="1"/>
  <c r="CT316" i="82"/>
  <c r="CT151" i="2"/>
  <c r="CT94" i="2"/>
  <c r="CT71" i="2"/>
  <c r="CT348" i="2"/>
  <c r="CT169" i="2"/>
  <c r="CT54" i="2"/>
  <c r="CT29" i="2"/>
  <c r="CT28" i="2"/>
  <c r="CT32" i="2"/>
  <c r="CT104" i="2"/>
  <c r="DE128" i="2"/>
  <c r="DE127" i="2"/>
  <c r="BW153" i="2"/>
  <c r="BW152" i="2"/>
  <c r="AJ19" i="3"/>
  <c r="DG520" i="1"/>
  <c r="DG630" i="1" s="1"/>
  <c r="DA127" i="2"/>
  <c r="DA128" i="2"/>
  <c r="Q40" i="11"/>
  <c r="Q41" i="11" s="1"/>
  <c r="CI80" i="7"/>
  <c r="CI172" i="7" s="1"/>
  <c r="C7" i="15"/>
  <c r="DG63" i="2"/>
  <c r="DG13" i="2"/>
  <c r="DG117" i="2"/>
  <c r="DG120" i="2"/>
  <c r="DG123" i="2"/>
  <c r="DG126" i="2"/>
  <c r="DG114" i="2"/>
  <c r="BA621" i="1"/>
  <c r="CP588" i="1"/>
  <c r="CP573" i="1"/>
  <c r="DE590" i="1"/>
  <c r="DE574" i="1"/>
  <c r="AU600" i="1"/>
  <c r="CH592" i="1"/>
  <c r="CH611" i="1" s="1"/>
  <c r="CH599" i="1"/>
  <c r="CL587" i="1"/>
  <c r="AO75" i="7"/>
  <c r="AK9" i="3"/>
  <c r="AY160" i="2"/>
  <c r="AY77" i="2"/>
  <c r="AY178" i="2"/>
  <c r="AY50" i="2"/>
  <c r="AY37" i="2"/>
  <c r="DC116" i="2"/>
  <c r="DC115" i="2"/>
  <c r="CE92" i="7"/>
  <c r="CE172" i="7"/>
  <c r="CE83" i="7"/>
  <c r="CE104" i="7"/>
  <c r="CE98" i="7"/>
  <c r="CE91" i="7"/>
  <c r="CE96" i="7"/>
  <c r="CE82" i="7"/>
  <c r="CE73" i="7" s="1"/>
  <c r="CE94" i="7"/>
  <c r="CE89" i="7"/>
  <c r="AM98" i="2"/>
  <c r="AM82" i="2"/>
  <c r="AM352" i="2"/>
  <c r="DE563" i="1"/>
  <c r="DE565" i="1"/>
  <c r="CS592" i="1"/>
  <c r="CS611" i="1" s="1"/>
  <c r="CW574" i="1"/>
  <c r="CS599" i="1"/>
  <c r="CV599" i="1"/>
  <c r="CV592" i="1"/>
  <c r="CV611" i="1" s="1"/>
  <c r="AZ351" i="2"/>
  <c r="CX102" i="2"/>
  <c r="CM215" i="2"/>
  <c r="U367" i="2"/>
  <c r="BD137" i="1"/>
  <c r="AY598" i="1"/>
  <c r="CP73" i="1"/>
  <c r="CP60" i="2"/>
  <c r="CD215" i="2"/>
  <c r="T168" i="2"/>
  <c r="V168" i="2"/>
  <c r="Y167" i="2"/>
  <c r="CK591" i="1"/>
  <c r="CK587" i="1" s="1"/>
  <c r="CK569" i="1"/>
  <c r="DM88" i="2"/>
  <c r="CD170" i="2"/>
  <c r="CI170" i="2"/>
  <c r="R80" i="3"/>
  <c r="R50" i="3"/>
  <c r="R77" i="3"/>
  <c r="DG248" i="82"/>
  <c r="CP592" i="1"/>
  <c r="CP611" i="1" s="1"/>
  <c r="CP599" i="1"/>
  <c r="BT153" i="2"/>
  <c r="BT152" i="2"/>
  <c r="BU153" i="2"/>
  <c r="CU588" i="1"/>
  <c r="CU573" i="1"/>
  <c r="DM115" i="2"/>
  <c r="AF117" i="3"/>
  <c r="AF116" i="3"/>
  <c r="BY83" i="7"/>
  <c r="BY91" i="7"/>
  <c r="BY92" i="7"/>
  <c r="BY94" i="7"/>
  <c r="BY98" i="7"/>
  <c r="BY172" i="7"/>
  <c r="BY96" i="7"/>
  <c r="BY82" i="7"/>
  <c r="BY73" i="7" s="1"/>
  <c r="BY89" i="7"/>
  <c r="BY104" i="7"/>
  <c r="CO393" i="82"/>
  <c r="CO332" i="82"/>
  <c r="CO405" i="82"/>
  <c r="CO379" i="82"/>
  <c r="CO318" i="82"/>
  <c r="CO335" i="82" s="1"/>
  <c r="CO267" i="82"/>
  <c r="CO314" i="82"/>
  <c r="CO329" i="82" s="1"/>
  <c r="CO331" i="82" s="1"/>
  <c r="CZ88" i="2"/>
  <c r="CZ65" i="2"/>
  <c r="CZ166" i="2"/>
  <c r="CZ150" i="2"/>
  <c r="CZ27" i="2"/>
  <c r="AU135" i="1"/>
  <c r="DF622" i="1"/>
  <c r="DF623" i="1" s="1"/>
  <c r="CR522" i="1"/>
  <c r="CL536" i="1"/>
  <c r="U80" i="3"/>
  <c r="U50" i="3"/>
  <c r="U77" i="3"/>
  <c r="DH124" i="2"/>
  <c r="DH125" i="2"/>
  <c r="BX588" i="1"/>
  <c r="BX573" i="1"/>
  <c r="BT170" i="2"/>
  <c r="BT171" i="2"/>
  <c r="BU171" i="2"/>
  <c r="DE125" i="2"/>
  <c r="DE124" i="2"/>
  <c r="CG83" i="7"/>
  <c r="CG98" i="7"/>
  <c r="CG172" i="7"/>
  <c r="CG82" i="7"/>
  <c r="CG73" i="7" s="1"/>
  <c r="CG91" i="7"/>
  <c r="CG92" i="7"/>
  <c r="CG94" i="7"/>
  <c r="CG96" i="7"/>
  <c r="CG89" i="7"/>
  <c r="CG104" i="7"/>
  <c r="CV316" i="82"/>
  <c r="CV151" i="2"/>
  <c r="CV94" i="2"/>
  <c r="CV348" i="2"/>
  <c r="CV169" i="2"/>
  <c r="CV54" i="2"/>
  <c r="CV29" i="2"/>
  <c r="CV28" i="2"/>
  <c r="CV71" i="2"/>
  <c r="CV32" i="2"/>
  <c r="CV368" i="2"/>
  <c r="BI135" i="1"/>
  <c r="DA124" i="2"/>
  <c r="DA125" i="2"/>
  <c r="CY563" i="1"/>
  <c r="CY565" i="1"/>
  <c r="V19" i="3"/>
  <c r="CD591" i="1"/>
  <c r="CD587" i="1" s="1"/>
  <c r="CD569" i="1"/>
  <c r="DB248" i="82"/>
  <c r="BM569" i="1"/>
  <c r="BM591" i="1"/>
  <c r="BM587" i="1" s="1"/>
  <c r="CP470" i="1"/>
  <c r="CP33" i="1"/>
  <c r="CP584" i="1"/>
  <c r="CO600" i="1"/>
  <c r="CO601" i="1" s="1"/>
  <c r="AY592" i="1"/>
  <c r="AY599" i="1"/>
  <c r="CE153" i="2"/>
  <c r="CE152" i="2"/>
  <c r="CF153" i="2"/>
  <c r="DD590" i="1"/>
  <c r="DD574" i="1"/>
  <c r="CG591" i="1"/>
  <c r="CG587" i="1" s="1"/>
  <c r="CG569" i="1"/>
  <c r="DF121" i="2"/>
  <c r="DF122" i="2"/>
  <c r="AP98" i="2"/>
  <c r="AP82" i="2"/>
  <c r="AP352" i="2"/>
  <c r="DC65" i="2"/>
  <c r="DC166" i="2"/>
  <c r="DC150" i="2"/>
  <c r="DC88" i="2"/>
  <c r="DC27" i="2"/>
  <c r="CW563" i="1"/>
  <c r="CW565" i="1"/>
  <c r="DK127" i="2"/>
  <c r="CN152" i="2"/>
  <c r="H35" i="113"/>
  <c r="BF463" i="1"/>
  <c r="BF26" i="1"/>
  <c r="BF575" i="1"/>
  <c r="CU599" i="1"/>
  <c r="CU592" i="1"/>
  <c r="CU611" i="1" s="1"/>
  <c r="DD122" i="2"/>
  <c r="DD121" i="2"/>
  <c r="DM124" i="2"/>
  <c r="AZ78" i="2"/>
  <c r="CX358" i="2"/>
  <c r="CX166" i="2"/>
  <c r="CX150" i="2"/>
  <c r="CX65" i="2"/>
  <c r="CX341" i="2"/>
  <c r="CX27" i="2"/>
  <c r="CX88" i="2"/>
  <c r="BC96" i="2"/>
  <c r="BC78" i="2"/>
  <c r="BC351" i="2"/>
  <c r="CM533" i="1"/>
  <c r="CR539" i="1"/>
  <c r="CR540" i="1" s="1"/>
  <c r="CJ433" i="1"/>
  <c r="CJ435" i="1"/>
  <c r="CO437" i="1" s="1"/>
  <c r="CO433" i="1"/>
  <c r="BU463" i="1"/>
  <c r="BU26" i="1"/>
  <c r="BU575" i="1"/>
  <c r="AT121" i="1"/>
  <c r="AT116" i="1"/>
  <c r="AY116" i="1"/>
  <c r="AZ19" i="3"/>
  <c r="CJ57" i="2"/>
  <c r="CM54" i="2"/>
  <c r="T368" i="2"/>
  <c r="CI447" i="1"/>
  <c r="CZ230" i="82"/>
  <c r="CZ243" i="82"/>
  <c r="CZ216" i="82"/>
  <c r="CM167" i="2"/>
  <c r="BM98" i="2"/>
  <c r="BW600" i="1"/>
  <c r="BW601" i="1" s="1"/>
  <c r="CY606" i="1"/>
  <c r="CY607" i="1" s="1"/>
  <c r="AV133" i="1" l="1"/>
  <c r="BA128" i="1"/>
  <c r="G21" i="112"/>
  <c r="K30" i="15"/>
  <c r="AV128" i="1"/>
  <c r="AV129" i="1"/>
  <c r="AH76" i="3"/>
  <c r="AV134" i="1"/>
  <c r="DW220" i="7"/>
  <c r="DX220" i="7" s="1"/>
  <c r="DY220" i="7" s="1"/>
  <c r="DZ220" i="7" s="1"/>
  <c r="DS220" i="7"/>
  <c r="DT220" i="7" s="1"/>
  <c r="DU220" i="7" s="1"/>
  <c r="DV220" i="7" s="1"/>
  <c r="DP24" i="7"/>
  <c r="DQ24" i="7" s="1"/>
  <c r="DR24" i="7" s="1"/>
  <c r="DS24" i="7" s="1"/>
  <c r="DT24" i="7" s="1"/>
  <c r="DU24" i="7" s="1"/>
  <c r="DV24" i="7" s="1"/>
  <c r="DW24" i="7" s="1"/>
  <c r="DX24" i="7" s="1"/>
  <c r="DY24" i="7" s="1"/>
  <c r="DZ24" i="7" s="1"/>
  <c r="EA24" i="7" s="1"/>
  <c r="CL320" i="82"/>
  <c r="CL202" i="82" s="1"/>
  <c r="CL345" i="82" s="1"/>
  <c r="CW317" i="2"/>
  <c r="CS315" i="2"/>
  <c r="CS324" i="2" s="1"/>
  <c r="CS326" i="2"/>
  <c r="CS321" i="2"/>
  <c r="CS330" i="2" s="1"/>
  <c r="CM315" i="2"/>
  <c r="CM324" i="2" s="1"/>
  <c r="CM326" i="2"/>
  <c r="CM321" i="2"/>
  <c r="CM330" i="2" s="1"/>
  <c r="CU321" i="2"/>
  <c r="CU330" i="2" s="1"/>
  <c r="CU315" i="2"/>
  <c r="CU324" i="2" s="1"/>
  <c r="CU326" i="2"/>
  <c r="DE317" i="2"/>
  <c r="CH315" i="2"/>
  <c r="CH324" i="2" s="1"/>
  <c r="CH321" i="2"/>
  <c r="CH330" i="2" s="1"/>
  <c r="CH326" i="2"/>
  <c r="DF317" i="2"/>
  <c r="CR317" i="2"/>
  <c r="CT321" i="2"/>
  <c r="CT330" i="2" s="1"/>
  <c r="CT315" i="2"/>
  <c r="CT324" i="2" s="1"/>
  <c r="CT326" i="2"/>
  <c r="DC317" i="2"/>
  <c r="CZ317" i="2"/>
  <c r="CY317" i="2"/>
  <c r="CP321" i="2"/>
  <c r="CP330" i="2" s="1"/>
  <c r="CP315" i="2"/>
  <c r="CP324" i="2" s="1"/>
  <c r="CP326" i="2"/>
  <c r="CQ326" i="2"/>
  <c r="CQ321" i="2"/>
  <c r="CQ330" i="2" s="1"/>
  <c r="CQ315" i="2"/>
  <c r="CQ324" i="2" s="1"/>
  <c r="CV321" i="2"/>
  <c r="CV330" i="2" s="1"/>
  <c r="CV315" i="2"/>
  <c r="CV324" i="2" s="1"/>
  <c r="CV326" i="2"/>
  <c r="CX317" i="2"/>
  <c r="DA317" i="2"/>
  <c r="DD317" i="2"/>
  <c r="AZ578" i="1"/>
  <c r="AZ33" i="1" s="1"/>
  <c r="BA625" i="1"/>
  <c r="CL36" i="2"/>
  <c r="AV625" i="1"/>
  <c r="AX98" i="2"/>
  <c r="DO13" i="7"/>
  <c r="DO14" i="7"/>
  <c r="DH317" i="2"/>
  <c r="DH315" i="2" s="1"/>
  <c r="DH324" i="2" s="1"/>
  <c r="AF181" i="2"/>
  <c r="AD76" i="3"/>
  <c r="AW128" i="1"/>
  <c r="AW84" i="3"/>
  <c r="AW87" i="3"/>
  <c r="AW85" i="3"/>
  <c r="AW88" i="3"/>
  <c r="BB584" i="1"/>
  <c r="BB33" i="1"/>
  <c r="BB470" i="1"/>
  <c r="AY591" i="1"/>
  <c r="AY370" i="1"/>
  <c r="AI19" i="3"/>
  <c r="DF178" i="39"/>
  <c r="DE177" i="39"/>
  <c r="BD588" i="1"/>
  <c r="AT50" i="3"/>
  <c r="BD582" i="1"/>
  <c r="BD578" i="1" s="1"/>
  <c r="BU178" i="2"/>
  <c r="AE334" i="1"/>
  <c r="AJ335" i="1" s="1"/>
  <c r="DW327" i="1"/>
  <c r="N19" i="3"/>
  <c r="CL334" i="1"/>
  <c r="AB51" i="2"/>
  <c r="BW161" i="2"/>
  <c r="BW162" i="2" s="1"/>
  <c r="CI179" i="2"/>
  <c r="AH81" i="2"/>
  <c r="CK334" i="1"/>
  <c r="CG179" i="2"/>
  <c r="CE334" i="1"/>
  <c r="BA622" i="1"/>
  <c r="BA623" i="1" s="1"/>
  <c r="CQ545" i="1"/>
  <c r="DQ211" i="7"/>
  <c r="DP218" i="7"/>
  <c r="DK227" i="1"/>
  <c r="DK172" i="1"/>
  <c r="DY18" i="7"/>
  <c r="Z12" i="11"/>
  <c r="AU622" i="1"/>
  <c r="DM317" i="2"/>
  <c r="DM315" i="2" s="1"/>
  <c r="DM324" i="2" s="1"/>
  <c r="DK317" i="2"/>
  <c r="DK315" i="2" s="1"/>
  <c r="DK324" i="2" s="1"/>
  <c r="DM172" i="1"/>
  <c r="DM227" i="1"/>
  <c r="BW350" i="2"/>
  <c r="DH172" i="1"/>
  <c r="DH227" i="1"/>
  <c r="DB172" i="1"/>
  <c r="DB227" i="1"/>
  <c r="DG217" i="1"/>
  <c r="DG219" i="1" s="1"/>
  <c r="DG225" i="1"/>
  <c r="DG226" i="1" s="1"/>
  <c r="AB163" i="2"/>
  <c r="Y163" i="2"/>
  <c r="C30" i="11"/>
  <c r="C31" i="11" s="1"/>
  <c r="BJ163" i="2"/>
  <c r="AH78" i="2"/>
  <c r="BI162" i="2"/>
  <c r="AD180" i="2"/>
  <c r="O484" i="113"/>
  <c r="CK164" i="2"/>
  <c r="CK179" i="2"/>
  <c r="CK182" i="2"/>
  <c r="AA180" i="2"/>
  <c r="CK161" i="2"/>
  <c r="R181" i="2"/>
  <c r="AY162" i="2"/>
  <c r="BD162" i="2"/>
  <c r="CE161" i="2"/>
  <c r="CE179" i="2"/>
  <c r="BD335" i="1"/>
  <c r="AC351" i="2"/>
  <c r="BD180" i="2"/>
  <c r="BE181" i="2"/>
  <c r="CL95" i="2"/>
  <c r="BV182" i="2"/>
  <c r="CF76" i="2"/>
  <c r="BV164" i="2"/>
  <c r="BV76" i="2"/>
  <c r="BV179" i="2"/>
  <c r="BV180" i="2" s="1"/>
  <c r="BN180" i="2"/>
  <c r="AB162" i="2"/>
  <c r="BI180" i="2"/>
  <c r="AY335" i="1"/>
  <c r="AC181" i="2"/>
  <c r="AB181" i="2"/>
  <c r="AY180" i="2"/>
  <c r="AT375" i="2"/>
  <c r="AH351" i="2"/>
  <c r="AJ76" i="2"/>
  <c r="AF180" i="2"/>
  <c r="CL179" i="2"/>
  <c r="AA181" i="2"/>
  <c r="AC78" i="2"/>
  <c r="AT335" i="1"/>
  <c r="CL161" i="2"/>
  <c r="CO334" i="1"/>
  <c r="D52" i="3"/>
  <c r="E51" i="3" s="1"/>
  <c r="E52" i="3" s="1"/>
  <c r="F51" i="3" s="1"/>
  <c r="CL76" i="2"/>
  <c r="CO179" i="2"/>
  <c r="AT180" i="2"/>
  <c r="CL182" i="2"/>
  <c r="CO161" i="2"/>
  <c r="V375" i="2"/>
  <c r="CL362" i="2"/>
  <c r="Z334" i="1"/>
  <c r="AE182" i="2"/>
  <c r="CG161" i="2"/>
  <c r="T198" i="7"/>
  <c r="U195" i="7" s="1"/>
  <c r="BI335" i="1"/>
  <c r="W180" i="2"/>
  <c r="BI375" i="2"/>
  <c r="AY375" i="2"/>
  <c r="BD375" i="2"/>
  <c r="X181" i="2"/>
  <c r="R163" i="2"/>
  <c r="W181" i="2"/>
  <c r="AB180" i="2"/>
  <c r="AC180" i="2"/>
  <c r="CE76" i="2"/>
  <c r="CG334" i="1"/>
  <c r="AE161" i="2"/>
  <c r="AJ162" i="2" s="1"/>
  <c r="CE182" i="2"/>
  <c r="CL350" i="2"/>
  <c r="BV362" i="2"/>
  <c r="AJ350" i="2"/>
  <c r="CE350" i="2"/>
  <c r="W351" i="2"/>
  <c r="CE164" i="2"/>
  <c r="AC51" i="2"/>
  <c r="AB375" i="2"/>
  <c r="AA163" i="2"/>
  <c r="X81" i="2"/>
  <c r="X78" i="2"/>
  <c r="AD162" i="2"/>
  <c r="BV95" i="2"/>
  <c r="AH180" i="2"/>
  <c r="AD181" i="2"/>
  <c r="W78" i="2"/>
  <c r="BV161" i="2"/>
  <c r="BV162" i="2" s="1"/>
  <c r="BV350" i="2"/>
  <c r="BV334" i="1"/>
  <c r="CG164" i="2"/>
  <c r="BW76" i="2"/>
  <c r="X96" i="2"/>
  <c r="AC375" i="2"/>
  <c r="D30" i="11"/>
  <c r="D31" i="11" s="1"/>
  <c r="X375" i="2"/>
  <c r="AI162" i="2"/>
  <c r="AG81" i="2"/>
  <c r="BW179" i="2"/>
  <c r="AA162" i="2"/>
  <c r="X351" i="2"/>
  <c r="AD375" i="2"/>
  <c r="AA375" i="2"/>
  <c r="AJ182" i="2"/>
  <c r="Z179" i="2"/>
  <c r="BW334" i="1"/>
  <c r="O19" i="3"/>
  <c r="AE350" i="2"/>
  <c r="AJ164" i="2"/>
  <c r="V162" i="2"/>
  <c r="AF163" i="2"/>
  <c r="CG76" i="2"/>
  <c r="AE164" i="2"/>
  <c r="BW164" i="2"/>
  <c r="BW182" i="2"/>
  <c r="BW95" i="2"/>
  <c r="AE76" i="2"/>
  <c r="CG350" i="2"/>
  <c r="AC81" i="2"/>
  <c r="BW362" i="2"/>
  <c r="CG182" i="2"/>
  <c r="AE179" i="2"/>
  <c r="AJ180" i="2" s="1"/>
  <c r="W375" i="2"/>
  <c r="Z161" i="2"/>
  <c r="CL164" i="2"/>
  <c r="CK76" i="2"/>
  <c r="CF161" i="2"/>
  <c r="CI95" i="2"/>
  <c r="CF179" i="2"/>
  <c r="CF182" i="2"/>
  <c r="CF334" i="1"/>
  <c r="CF362" i="2"/>
  <c r="CF350" i="2"/>
  <c r="CG362" i="2"/>
  <c r="CG95" i="2"/>
  <c r="CF95" i="2"/>
  <c r="CF164" i="2"/>
  <c r="BU37" i="2"/>
  <c r="BC75" i="7"/>
  <c r="CK350" i="2"/>
  <c r="BC196" i="7"/>
  <c r="BC197" i="7" s="1"/>
  <c r="V180" i="2"/>
  <c r="CI161" i="2"/>
  <c r="BU160" i="2"/>
  <c r="CI334" i="1"/>
  <c r="BU77" i="2"/>
  <c r="CI362" i="2"/>
  <c r="AC163" i="2"/>
  <c r="BU50" i="2"/>
  <c r="AD163" i="2"/>
  <c r="AC162" i="2"/>
  <c r="BB9" i="3"/>
  <c r="AP19" i="3"/>
  <c r="CL367" i="82"/>
  <c r="CT57" i="2"/>
  <c r="CL176" i="2"/>
  <c r="AJ77" i="2"/>
  <c r="W96" i="2"/>
  <c r="U74" i="7"/>
  <c r="BQ74" i="7"/>
  <c r="BI74" i="7"/>
  <c r="CP57" i="2"/>
  <c r="AB351" i="2"/>
  <c r="CM57" i="2"/>
  <c r="CR343" i="1"/>
  <c r="BF74" i="7"/>
  <c r="T373" i="2"/>
  <c r="DB115" i="2"/>
  <c r="BX152" i="2"/>
  <c r="Y96" i="2"/>
  <c r="V51" i="2"/>
  <c r="CN153" i="2"/>
  <c r="BE74" i="7"/>
  <c r="DB118" i="2"/>
  <c r="BX170" i="2"/>
  <c r="BG74" i="7"/>
  <c r="Y74" i="7"/>
  <c r="CV57" i="2"/>
  <c r="BX57" i="2"/>
  <c r="T374" i="2"/>
  <c r="DB127" i="2"/>
  <c r="CQ57" i="2"/>
  <c r="AB81" i="2"/>
  <c r="CL177" i="2"/>
  <c r="BB74" i="7"/>
  <c r="DB121" i="2"/>
  <c r="BD74" i="7"/>
  <c r="CS168" i="2"/>
  <c r="Z37" i="2"/>
  <c r="C19" i="11" s="1"/>
  <c r="BH74" i="7"/>
  <c r="BM82" i="2"/>
  <c r="S181" i="2"/>
  <c r="BU161" i="2"/>
  <c r="BU76" i="2"/>
  <c r="BU164" i="2"/>
  <c r="BU350" i="2"/>
  <c r="BU334" i="1"/>
  <c r="BU179" i="2"/>
  <c r="BU182" i="2"/>
  <c r="X162" i="2"/>
  <c r="DB124" i="2"/>
  <c r="AF96" i="2"/>
  <c r="CF176" i="2"/>
  <c r="BC74" i="7"/>
  <c r="DG391" i="2"/>
  <c r="DB391" i="2"/>
  <c r="X180" i="2"/>
  <c r="CH57" i="2"/>
  <c r="CU57" i="2"/>
  <c r="Q51" i="2"/>
  <c r="CM343" i="1"/>
  <c r="CM344" i="1" s="1"/>
  <c r="AS352" i="2"/>
  <c r="CM36" i="2"/>
  <c r="CF158" i="2"/>
  <c r="BN351" i="2"/>
  <c r="S163" i="2"/>
  <c r="CL411" i="82"/>
  <c r="CL158" i="2"/>
  <c r="CL159" i="2"/>
  <c r="DM44" i="7"/>
  <c r="H77" i="3"/>
  <c r="H80" i="3"/>
  <c r="H83" i="3" s="1"/>
  <c r="H85" i="3" s="1"/>
  <c r="V351" i="2"/>
  <c r="DI227" i="7"/>
  <c r="DJ227" i="7" s="1"/>
  <c r="DK227" i="7" s="1"/>
  <c r="DL227" i="7" s="1"/>
  <c r="DM227" i="7" s="1"/>
  <c r="DN227" i="7" s="1"/>
  <c r="DN234" i="7" s="1"/>
  <c r="DN235" i="7" s="1"/>
  <c r="DE234" i="7"/>
  <c r="DF220" i="7"/>
  <c r="DG220" i="7" s="1"/>
  <c r="T217" i="113"/>
  <c r="T242" i="113"/>
  <c r="U176" i="113"/>
  <c r="U371" i="113" s="1"/>
  <c r="U375" i="113" s="1"/>
  <c r="U232" i="113"/>
  <c r="AY20" i="3"/>
  <c r="BJ98" i="2"/>
  <c r="BH98" i="2"/>
  <c r="BM352" i="2"/>
  <c r="AT80" i="3"/>
  <c r="AT83" i="3" s="1"/>
  <c r="AT85" i="3" s="1"/>
  <c r="AU19" i="3"/>
  <c r="AT77" i="3"/>
  <c r="BN81" i="2"/>
  <c r="BI51" i="2"/>
  <c r="BI81" i="2"/>
  <c r="BI351" i="2"/>
  <c r="BN78" i="2"/>
  <c r="BD51" i="2"/>
  <c r="BI78" i="2"/>
  <c r="I19" i="11"/>
  <c r="I20" i="11" s="1"/>
  <c r="CF178" i="2"/>
  <c r="CF50" i="2"/>
  <c r="CF42" i="2"/>
  <c r="CF37" i="2"/>
  <c r="BH196" i="7"/>
  <c r="BH197" i="7" s="1"/>
  <c r="BI75" i="7"/>
  <c r="BH9" i="3"/>
  <c r="CF160" i="2"/>
  <c r="BX71" i="1"/>
  <c r="CH344" i="1"/>
  <c r="CH71" i="1"/>
  <c r="BX337" i="1"/>
  <c r="CM71" i="1"/>
  <c r="CH337" i="1"/>
  <c r="Z135" i="1"/>
  <c r="DW325" i="1"/>
  <c r="AD51" i="2"/>
  <c r="P19" i="3"/>
  <c r="AI351" i="2"/>
  <c r="AC96" i="2"/>
  <c r="AB78" i="2"/>
  <c r="AD81" i="2"/>
  <c r="AI78" i="2"/>
  <c r="AS82" i="2"/>
  <c r="AG78" i="2"/>
  <c r="AD96" i="2"/>
  <c r="AI81" i="2"/>
  <c r="AG351" i="2"/>
  <c r="AE37" i="2"/>
  <c r="Y75" i="7"/>
  <c r="AE160" i="2"/>
  <c r="AR89" i="3"/>
  <c r="BD78" i="2"/>
  <c r="AT51" i="2"/>
  <c r="AZ98" i="2"/>
  <c r="AZ82" i="2"/>
  <c r="AE50" i="2"/>
  <c r="AE178" i="2"/>
  <c r="AR87" i="3"/>
  <c r="AS98" i="2"/>
  <c r="BH352" i="2"/>
  <c r="CK36" i="2"/>
  <c r="CN373" i="2"/>
  <c r="AF78" i="2"/>
  <c r="AF81" i="2"/>
  <c r="DD104" i="2"/>
  <c r="CE374" i="2"/>
  <c r="CS373" i="2"/>
  <c r="CJ36" i="2"/>
  <c r="CY104" i="2"/>
  <c r="CI36" i="2"/>
  <c r="M19" i="3"/>
  <c r="CO350" i="2"/>
  <c r="CE95" i="2"/>
  <c r="DY101" i="3"/>
  <c r="DZ101" i="3" s="1"/>
  <c r="EA101" i="3" s="1"/>
  <c r="DM171" i="82"/>
  <c r="DM170" i="82" s="1"/>
  <c r="DU157" i="82"/>
  <c r="DU87" i="82"/>
  <c r="DU99" i="82" s="1"/>
  <c r="DU49" i="82"/>
  <c r="DU123" i="82"/>
  <c r="DW319" i="1"/>
  <c r="DW318" i="1"/>
  <c r="DM168" i="2"/>
  <c r="DC59" i="3"/>
  <c r="DC34" i="7"/>
  <c r="CI436" i="1"/>
  <c r="CI437" i="1" s="1"/>
  <c r="DM169" i="2"/>
  <c r="DM151" i="2"/>
  <c r="DM220" i="2"/>
  <c r="CN545" i="1"/>
  <c r="DM316" i="82"/>
  <c r="DM318" i="82" s="1"/>
  <c r="DM335" i="82" s="1"/>
  <c r="DM32" i="2"/>
  <c r="DM21" i="82"/>
  <c r="DM28" i="2"/>
  <c r="DM29" i="2"/>
  <c r="DM54" i="2"/>
  <c r="DM188" i="82"/>
  <c r="DU52" i="2"/>
  <c r="DM167" i="2"/>
  <c r="G19" i="11"/>
  <c r="G20" i="11" s="1"/>
  <c r="DV177" i="82"/>
  <c r="DV87" i="82" s="1"/>
  <c r="DK21" i="82"/>
  <c r="DK34" i="82" s="1"/>
  <c r="DK171" i="82"/>
  <c r="DK188" i="82"/>
  <c r="DH21" i="82"/>
  <c r="DH34" i="82" s="1"/>
  <c r="AT78" i="2"/>
  <c r="T411" i="113"/>
  <c r="T177" i="113"/>
  <c r="T363" i="113"/>
  <c r="T361" i="113"/>
  <c r="T359" i="113"/>
  <c r="T360" i="113"/>
  <c r="T364" i="113"/>
  <c r="T164" i="113"/>
  <c r="T165" i="113" s="1"/>
  <c r="T141" i="113" s="1"/>
  <c r="T362" i="113"/>
  <c r="DG53" i="82"/>
  <c r="T227" i="113" s="1"/>
  <c r="T243" i="113" s="1"/>
  <c r="DG72" i="82"/>
  <c r="T323" i="113"/>
  <c r="T347" i="113"/>
  <c r="T348" i="113" s="1"/>
  <c r="AT81" i="2"/>
  <c r="CX23" i="7"/>
  <c r="CU72" i="7"/>
  <c r="AT351" i="2"/>
  <c r="BT623" i="1"/>
  <c r="AI137" i="1"/>
  <c r="DF470" i="1"/>
  <c r="DF164" i="1" s="1"/>
  <c r="CG618" i="1"/>
  <c r="CG619" i="1" s="1"/>
  <c r="F20" i="11"/>
  <c r="F21" i="11"/>
  <c r="E20" i="11"/>
  <c r="E21" i="11"/>
  <c r="J20" i="11"/>
  <c r="J21" i="11"/>
  <c r="J35" i="113"/>
  <c r="G33" i="113"/>
  <c r="CL626" i="1"/>
  <c r="CL627" i="1" s="1"/>
  <c r="DM71" i="2"/>
  <c r="DM94" i="2"/>
  <c r="U152" i="113"/>
  <c r="U164" i="113"/>
  <c r="DF584" i="1"/>
  <c r="AY600" i="1"/>
  <c r="AS134" i="1"/>
  <c r="AE76" i="3"/>
  <c r="CW218" i="7"/>
  <c r="CX204" i="7"/>
  <c r="DV320" i="1"/>
  <c r="DV318" i="1"/>
  <c r="K77" i="3"/>
  <c r="K50" i="3"/>
  <c r="W51" i="2"/>
  <c r="Z178" i="2"/>
  <c r="Z50" i="2"/>
  <c r="L9" i="3"/>
  <c r="L19" i="3" s="1"/>
  <c r="L77" i="3" s="1"/>
  <c r="U75" i="7"/>
  <c r="Z160" i="2"/>
  <c r="AE77" i="2"/>
  <c r="AA51" i="2"/>
  <c r="I50" i="3"/>
  <c r="W81" i="2"/>
  <c r="BL626" i="1"/>
  <c r="BL627" i="1" s="1"/>
  <c r="BH40" i="1"/>
  <c r="BH626" i="1"/>
  <c r="BH627" i="1" s="1"/>
  <c r="CR622" i="1"/>
  <c r="CR623" i="1" s="1"/>
  <c r="BB618" i="1"/>
  <c r="BB619" i="1" s="1"/>
  <c r="CR592" i="1"/>
  <c r="CR611" i="1" s="1"/>
  <c r="BJ618" i="1"/>
  <c r="BJ626" i="1" s="1"/>
  <c r="I77" i="3"/>
  <c r="BI584" i="1"/>
  <c r="AA81" i="2"/>
  <c r="CK618" i="1"/>
  <c r="CK626" i="1" s="1"/>
  <c r="CK627" i="1" s="1"/>
  <c r="BI470" i="1"/>
  <c r="AD78" i="2"/>
  <c r="AD351" i="2"/>
  <c r="Y51" i="2"/>
  <c r="AA351" i="2"/>
  <c r="AA78" i="2"/>
  <c r="AJ135" i="1"/>
  <c r="AB96" i="2"/>
  <c r="BH593" i="1"/>
  <c r="AF351" i="2"/>
  <c r="AA96" i="2"/>
  <c r="CR71" i="2"/>
  <c r="Q9" i="3"/>
  <c r="CR29" i="2"/>
  <c r="CQ110" i="2"/>
  <c r="F38" i="113"/>
  <c r="CR151" i="2"/>
  <c r="CP110" i="2"/>
  <c r="F42" i="113"/>
  <c r="CR169" i="2"/>
  <c r="CR348" i="2"/>
  <c r="Q14" i="113"/>
  <c r="Q34" i="113" s="1"/>
  <c r="CN110" i="2"/>
  <c r="CP373" i="2"/>
  <c r="CR28" i="2"/>
  <c r="CO373" i="2"/>
  <c r="CO110" i="2"/>
  <c r="Q32" i="113"/>
  <c r="CR368" i="2"/>
  <c r="CR104" i="2"/>
  <c r="V81" i="2"/>
  <c r="CR167" i="2"/>
  <c r="CW167" i="2"/>
  <c r="CQ373" i="2"/>
  <c r="V78" i="2"/>
  <c r="CZ33" i="1"/>
  <c r="CZ470" i="1"/>
  <c r="CW276" i="82"/>
  <c r="BL40" i="1"/>
  <c r="BT618" i="1"/>
  <c r="BT619" i="1" s="1"/>
  <c r="BG618" i="1"/>
  <c r="BG619" i="1" s="1"/>
  <c r="F44" i="113"/>
  <c r="CN618" i="1"/>
  <c r="CN619" i="1" s="1"/>
  <c r="CS622" i="1"/>
  <c r="CW622" i="1" s="1"/>
  <c r="CW623" i="1" s="1"/>
  <c r="CI593" i="1"/>
  <c r="CU600" i="1"/>
  <c r="CU601" i="1" s="1"/>
  <c r="CS600" i="1"/>
  <c r="CS601" i="1" s="1"/>
  <c r="BC612" i="1"/>
  <c r="BC613" i="1" s="1"/>
  <c r="BT612" i="1"/>
  <c r="BT613" i="1" s="1"/>
  <c r="BB612" i="1"/>
  <c r="BB613" i="1" s="1"/>
  <c r="CX104" i="2"/>
  <c r="Q293" i="113"/>
  <c r="Q309" i="113" s="1"/>
  <c r="CZ104" i="2"/>
  <c r="BH82" i="2"/>
  <c r="DG118" i="2"/>
  <c r="DB102" i="2"/>
  <c r="CI40" i="1"/>
  <c r="BL477" i="1"/>
  <c r="CJ612" i="1"/>
  <c r="CJ613" i="1" s="1"/>
  <c r="CS607" i="1"/>
  <c r="BA600" i="1"/>
  <c r="BA601" i="1" s="1"/>
  <c r="CT373" i="2"/>
  <c r="Q307" i="113"/>
  <c r="G35" i="113"/>
  <c r="BE98" i="2"/>
  <c r="BX373" i="2"/>
  <c r="CD601" i="1"/>
  <c r="CH215" i="2"/>
  <c r="BG612" i="1"/>
  <c r="BG613" i="1" s="1"/>
  <c r="CV600" i="1"/>
  <c r="CV601" i="1" s="1"/>
  <c r="CM170" i="2"/>
  <c r="CR316" i="82"/>
  <c r="CR379" i="82" s="1"/>
  <c r="BM618" i="1"/>
  <c r="BM619" i="1" s="1"/>
  <c r="BK612" i="1"/>
  <c r="BK613" i="1" s="1"/>
  <c r="BJ612" i="1"/>
  <c r="BJ613" i="1" s="1"/>
  <c r="DG127" i="2"/>
  <c r="CG374" i="2"/>
  <c r="DG102" i="2"/>
  <c r="CW104" i="2"/>
  <c r="CD374" i="2"/>
  <c r="BF587" i="1"/>
  <c r="BF477" i="1" s="1"/>
  <c r="BD196" i="7"/>
  <c r="BD197" i="7" s="1"/>
  <c r="BC9" i="3"/>
  <c r="BV160" i="2"/>
  <c r="BV178" i="2"/>
  <c r="BV50" i="2"/>
  <c r="BV77" i="2"/>
  <c r="BV37" i="2"/>
  <c r="BD75" i="7"/>
  <c r="CF77" i="2"/>
  <c r="AZ600" i="1"/>
  <c r="AZ618" i="1" s="1"/>
  <c r="CI320" i="82"/>
  <c r="CI202" i="82" s="1"/>
  <c r="CI253" i="82" s="1"/>
  <c r="CM110" i="2"/>
  <c r="CI367" i="82"/>
  <c r="CI411" i="82"/>
  <c r="CM152" i="2"/>
  <c r="DA104" i="2"/>
  <c r="CU373" i="2"/>
  <c r="CT110" i="2"/>
  <c r="CN171" i="2"/>
  <c r="DC104" i="2"/>
  <c r="DG124" i="2"/>
  <c r="CD153" i="2"/>
  <c r="CW368" i="2"/>
  <c r="CV110" i="2"/>
  <c r="CD171" i="2"/>
  <c r="DG121" i="2"/>
  <c r="CV373" i="2"/>
  <c r="CM373" i="2"/>
  <c r="CR54" i="2"/>
  <c r="K35" i="113"/>
  <c r="BE619" i="1"/>
  <c r="BE626" i="1"/>
  <c r="CP591" i="1"/>
  <c r="CP587" i="1" s="1"/>
  <c r="CP569" i="1"/>
  <c r="CT152" i="2"/>
  <c r="CT153" i="2"/>
  <c r="AV135" i="1"/>
  <c r="CD612" i="1"/>
  <c r="CD613" i="1" s="1"/>
  <c r="CN403" i="82"/>
  <c r="CN391" i="82"/>
  <c r="CN367" i="82"/>
  <c r="CN377" i="82"/>
  <c r="CN269" i="82"/>
  <c r="CN263" i="82" s="1"/>
  <c r="AX625" i="1"/>
  <c r="T177" i="2"/>
  <c r="V177" i="2"/>
  <c r="Y176" i="2"/>
  <c r="BU40" i="1"/>
  <c r="BU477" i="1"/>
  <c r="BU593" i="1"/>
  <c r="CO413" i="82"/>
  <c r="CO296" i="82"/>
  <c r="CO290" i="82"/>
  <c r="CO280" i="82"/>
  <c r="CW592" i="1"/>
  <c r="CW611" i="1" s="1"/>
  <c r="CW599" i="1"/>
  <c r="AY81" i="2"/>
  <c r="AY51" i="2"/>
  <c r="C8" i="15"/>
  <c r="AJ80" i="3"/>
  <c r="AJ20" i="3"/>
  <c r="AJ50" i="3"/>
  <c r="AJ77" i="3"/>
  <c r="CT405" i="82"/>
  <c r="CT393" i="82"/>
  <c r="CT318" i="82"/>
  <c r="CT335" i="82" s="1"/>
  <c r="CT267" i="82"/>
  <c r="CT379" i="82"/>
  <c r="CT332" i="82"/>
  <c r="CT314" i="82"/>
  <c r="CT329" i="82" s="1"/>
  <c r="CT331" i="82" s="1"/>
  <c r="CM433" i="1"/>
  <c r="CR433" i="1"/>
  <c r="CO403" i="82"/>
  <c r="CO391" i="82"/>
  <c r="CO377" i="82"/>
  <c r="CO367" i="82"/>
  <c r="CO269" i="82"/>
  <c r="CO263" i="82" s="1"/>
  <c r="AA116" i="3"/>
  <c r="AA117" i="3"/>
  <c r="CK543" i="1"/>
  <c r="CK544" i="1" s="1"/>
  <c r="CK436" i="1"/>
  <c r="CK437" i="1" s="1"/>
  <c r="R307" i="113"/>
  <c r="R291" i="113"/>
  <c r="R293" i="113"/>
  <c r="S307" i="113"/>
  <c r="BJ477" i="1"/>
  <c r="BJ40" i="1"/>
  <c r="BJ593" i="1"/>
  <c r="AX621" i="1"/>
  <c r="BD81" i="2"/>
  <c r="S40" i="113"/>
  <c r="S30" i="113"/>
  <c r="S12" i="113"/>
  <c r="AU82" i="2"/>
  <c r="AU98" i="2"/>
  <c r="AU352" i="2"/>
  <c r="CY470" i="1"/>
  <c r="CY33" i="1"/>
  <c r="CY584" i="1"/>
  <c r="DF588" i="1"/>
  <c r="DF573" i="1"/>
  <c r="BX34" i="2"/>
  <c r="CF149" i="1"/>
  <c r="CH373" i="2"/>
  <c r="CJ411" i="82"/>
  <c r="CJ367" i="82"/>
  <c r="AN83" i="3"/>
  <c r="AN85" i="3" s="1"/>
  <c r="BK618" i="1"/>
  <c r="CK362" i="2"/>
  <c r="CZ522" i="1"/>
  <c r="CJ601" i="1"/>
  <c r="CM600" i="1"/>
  <c r="CM601" i="1" s="1"/>
  <c r="T34" i="2"/>
  <c r="T36" i="2"/>
  <c r="U32" i="2"/>
  <c r="AS129" i="1"/>
  <c r="AS128" i="1"/>
  <c r="AS136" i="1"/>
  <c r="AX128" i="1"/>
  <c r="AS133" i="1"/>
  <c r="AU129" i="1"/>
  <c r="CD447" i="1"/>
  <c r="BF619" i="1"/>
  <c r="BF626" i="1"/>
  <c r="BF627" i="1" s="1"/>
  <c r="CE159" i="2"/>
  <c r="CE158" i="2"/>
  <c r="CF159" i="2"/>
  <c r="CS591" i="1"/>
  <c r="CS587" i="1" s="1"/>
  <c r="CS569" i="1"/>
  <c r="CW573" i="1"/>
  <c r="AQ88" i="3"/>
  <c r="AQ83" i="3"/>
  <c r="AQ85" i="3" s="1"/>
  <c r="L35" i="113"/>
  <c r="CU110" i="2"/>
  <c r="CQ36" i="2"/>
  <c r="CQ34" i="2"/>
  <c r="CQ405" i="82"/>
  <c r="CQ379" i="82"/>
  <c r="CQ393" i="82"/>
  <c r="CQ332" i="82"/>
  <c r="CQ318" i="82"/>
  <c r="CQ335" i="82" s="1"/>
  <c r="CQ267" i="82"/>
  <c r="CQ314" i="82"/>
  <c r="CQ329" i="82" s="1"/>
  <c r="CQ331" i="82" s="1"/>
  <c r="W83" i="3"/>
  <c r="W85" i="3" s="1"/>
  <c r="W88" i="3"/>
  <c r="AB88" i="3"/>
  <c r="CJ477" i="1"/>
  <c r="CJ40" i="1"/>
  <c r="CJ593" i="1"/>
  <c r="CM534" i="1"/>
  <c r="CM542" i="1"/>
  <c r="CM543" i="1" s="1"/>
  <c r="CM544" i="1" s="1"/>
  <c r="CR534" i="1"/>
  <c r="CR543" i="1"/>
  <c r="CK536" i="1"/>
  <c r="CJ543" i="1"/>
  <c r="CJ544" i="1" s="1"/>
  <c r="CJ436" i="1"/>
  <c r="CJ437" i="1" s="1"/>
  <c r="U135" i="1"/>
  <c r="BK463" i="1"/>
  <c r="BK26" i="1"/>
  <c r="BK575" i="1"/>
  <c r="CP34" i="2"/>
  <c r="CP36" i="2"/>
  <c r="X352" i="2"/>
  <c r="X82" i="2"/>
  <c r="CV73" i="1"/>
  <c r="CV523" i="1"/>
  <c r="CV60" i="2"/>
  <c r="CV170" i="2"/>
  <c r="CV171" i="2"/>
  <c r="S112" i="3"/>
  <c r="S114" i="3" s="1"/>
  <c r="S87" i="3"/>
  <c r="S89" i="3"/>
  <c r="U83" i="3"/>
  <c r="U85" i="3" s="1"/>
  <c r="CO337" i="82"/>
  <c r="CO336" i="82"/>
  <c r="R83" i="3"/>
  <c r="R85" i="3" s="1"/>
  <c r="V80" i="3"/>
  <c r="CL477" i="1"/>
  <c r="CL40" i="1"/>
  <c r="CL593" i="1"/>
  <c r="F36" i="11"/>
  <c r="F34" i="11"/>
  <c r="F35" i="11" s="1"/>
  <c r="BJ463" i="1"/>
  <c r="BJ26" i="1"/>
  <c r="BJ575" i="1"/>
  <c r="CH591" i="1"/>
  <c r="CH587" i="1" s="1"/>
  <c r="CH569" i="1"/>
  <c r="DA167" i="2"/>
  <c r="DA168" i="2"/>
  <c r="O25" i="113"/>
  <c r="O34" i="113"/>
  <c r="O16" i="113"/>
  <c r="O43" i="113"/>
  <c r="DK73" i="1"/>
  <c r="DK60" i="2"/>
  <c r="CV591" i="1"/>
  <c r="CV587" i="1" s="1"/>
  <c r="CV569" i="1"/>
  <c r="AV83" i="3"/>
  <c r="AV85" i="3" s="1"/>
  <c r="AV88" i="3"/>
  <c r="CY622" i="1"/>
  <c r="CY623" i="1" s="1"/>
  <c r="CM435" i="1"/>
  <c r="CR437" i="1" s="1"/>
  <c r="CE477" i="1"/>
  <c r="CE40" i="1"/>
  <c r="CE593" i="1"/>
  <c r="CT591" i="1"/>
  <c r="CT587" i="1" s="1"/>
  <c r="CT569" i="1"/>
  <c r="CI627" i="1"/>
  <c r="T153" i="2"/>
  <c r="V153" i="2"/>
  <c r="Y152" i="2"/>
  <c r="CS152" i="2"/>
  <c r="T137" i="1"/>
  <c r="CK612" i="1"/>
  <c r="CK613" i="1" s="1"/>
  <c r="CU170" i="2"/>
  <c r="CU171" i="2"/>
  <c r="O13" i="113"/>
  <c r="CT600" i="1"/>
  <c r="CT601" i="1" s="1"/>
  <c r="AS88" i="3"/>
  <c r="AS83" i="3"/>
  <c r="AS85" i="3" s="1"/>
  <c r="CJ463" i="1"/>
  <c r="CJ26" i="1"/>
  <c r="CJ575" i="1"/>
  <c r="DH522" i="1"/>
  <c r="CD477" i="1"/>
  <c r="CD40" i="1"/>
  <c r="CD593" i="1"/>
  <c r="CT172" i="2"/>
  <c r="CT154" i="2"/>
  <c r="AX88" i="3"/>
  <c r="AX83" i="3"/>
  <c r="AX85" i="3" s="1"/>
  <c r="CM366" i="82"/>
  <c r="CM157" i="2"/>
  <c r="CM175" i="2"/>
  <c r="CM73" i="2"/>
  <c r="CM349" i="2"/>
  <c r="CI374" i="2"/>
  <c r="CL374" i="2"/>
  <c r="CN320" i="82"/>
  <c r="CN202" i="82" s="1"/>
  <c r="CR33" i="2"/>
  <c r="AT127" i="1"/>
  <c r="AO341" i="1" s="1"/>
  <c r="AT122" i="1"/>
  <c r="CL545" i="1"/>
  <c r="CG477" i="1"/>
  <c r="CG40" i="1"/>
  <c r="CG593" i="1"/>
  <c r="BI137" i="1"/>
  <c r="DC167" i="2"/>
  <c r="DC168" i="2"/>
  <c r="DD599" i="1"/>
  <c r="DD592" i="1"/>
  <c r="DD611" i="1" s="1"/>
  <c r="BX591" i="1"/>
  <c r="BX587" i="1" s="1"/>
  <c r="BX569" i="1"/>
  <c r="CU569" i="1"/>
  <c r="CU591" i="1"/>
  <c r="CU587" i="1" s="1"/>
  <c r="CK463" i="1"/>
  <c r="CK26" i="1"/>
  <c r="CK575" i="1"/>
  <c r="DG115" i="2"/>
  <c r="CI96" i="7"/>
  <c r="CI94" i="7"/>
  <c r="CI98" i="7"/>
  <c r="CI82" i="7"/>
  <c r="CI73" i="7" s="1"/>
  <c r="CI83" i="7"/>
  <c r="CI89" i="7"/>
  <c r="CI104" i="7"/>
  <c r="CI91" i="7"/>
  <c r="CI92" i="7"/>
  <c r="CT170" i="2"/>
  <c r="CT171" i="2"/>
  <c r="AO135" i="1"/>
  <c r="CT523" i="1"/>
  <c r="CT73" i="1"/>
  <c r="CT60" i="2"/>
  <c r="CU523" i="1"/>
  <c r="CU73" i="1"/>
  <c r="CU60" i="2"/>
  <c r="CG159" i="2"/>
  <c r="CG158" i="2"/>
  <c r="CK177" i="2"/>
  <c r="CK176" i="2"/>
  <c r="CZ588" i="1"/>
  <c r="CZ573" i="1"/>
  <c r="CD177" i="2"/>
  <c r="CD176" i="2"/>
  <c r="CI176" i="2"/>
  <c r="AZ352" i="2"/>
  <c r="DF168" i="2"/>
  <c r="DF167" i="2"/>
  <c r="BI196" i="7"/>
  <c r="BI197" i="7" s="1"/>
  <c r="BI9" i="3"/>
  <c r="CG160" i="2"/>
  <c r="CG42" i="2"/>
  <c r="CG77" i="2"/>
  <c r="CG178" i="2"/>
  <c r="CG50" i="2"/>
  <c r="CG37" i="2"/>
  <c r="BB75" i="7"/>
  <c r="BB196" i="7"/>
  <c r="BB197" i="7" s="1"/>
  <c r="BA9" i="3"/>
  <c r="BT160" i="2"/>
  <c r="BT77" i="2"/>
  <c r="BT178" i="2"/>
  <c r="BT50" i="2"/>
  <c r="BT37" i="2"/>
  <c r="CE463" i="1"/>
  <c r="CE26" i="1"/>
  <c r="CE575" i="1"/>
  <c r="BF196" i="7"/>
  <c r="BG75" i="7"/>
  <c r="BF9" i="3"/>
  <c r="CD178" i="2"/>
  <c r="CD50" i="2"/>
  <c r="CD160" i="2"/>
  <c r="CD77" i="2"/>
  <c r="CD42" i="2"/>
  <c r="CD37" i="2"/>
  <c r="DE522" i="1"/>
  <c r="CQ569" i="1"/>
  <c r="CQ591" i="1"/>
  <c r="CQ587" i="1" s="1"/>
  <c r="CN334" i="1"/>
  <c r="CN182" i="2"/>
  <c r="CN179" i="2"/>
  <c r="CN95" i="2"/>
  <c r="CN76" i="2"/>
  <c r="CN164" i="2"/>
  <c r="CN350" i="2"/>
  <c r="CN161" i="2"/>
  <c r="CN362" i="2"/>
  <c r="CE362" i="2"/>
  <c r="BB463" i="1"/>
  <c r="BB26" i="1"/>
  <c r="BB575" i="1"/>
  <c r="BC463" i="1"/>
  <c r="BC26" i="1"/>
  <c r="BC575" i="1"/>
  <c r="DB563" i="1"/>
  <c r="DB565" i="1"/>
  <c r="T57" i="2"/>
  <c r="U54" i="2"/>
  <c r="U368" i="2"/>
  <c r="CN612" i="1"/>
  <c r="CN613" i="1" s="1"/>
  <c r="DE168" i="2"/>
  <c r="DE167" i="2"/>
  <c r="N43" i="113"/>
  <c r="N25" i="113"/>
  <c r="N34" i="113"/>
  <c r="N16" i="113"/>
  <c r="N18" i="113" s="1"/>
  <c r="BC82" i="2"/>
  <c r="BC98" i="2"/>
  <c r="BC352" i="2"/>
  <c r="BE587" i="1"/>
  <c r="CO612" i="1"/>
  <c r="CO613" i="1" s="1"/>
  <c r="CQ152" i="2"/>
  <c r="CQ153" i="2"/>
  <c r="CJ618" i="1"/>
  <c r="CY316" i="82"/>
  <c r="CY169" i="2"/>
  <c r="CY151" i="2"/>
  <c r="CY94" i="2"/>
  <c r="CY71" i="2"/>
  <c r="CY32" i="2"/>
  <c r="CY54" i="2"/>
  <c r="CY29" i="2"/>
  <c r="CY28" i="2"/>
  <c r="CJ334" i="1"/>
  <c r="CJ362" i="2"/>
  <c r="CJ350" i="2"/>
  <c r="CJ161" i="2"/>
  <c r="CJ95" i="2"/>
  <c r="CJ182" i="2"/>
  <c r="CJ179" i="2"/>
  <c r="CJ76" i="2"/>
  <c r="CJ164" i="2"/>
  <c r="CV366" i="82"/>
  <c r="CV157" i="2"/>
  <c r="CV175" i="2"/>
  <c r="CV73" i="2"/>
  <c r="CV349" i="2"/>
  <c r="CO177" i="2"/>
  <c r="CO176" i="2"/>
  <c r="DA316" i="82"/>
  <c r="DA169" i="2"/>
  <c r="DA54" i="2"/>
  <c r="DA151" i="2"/>
  <c r="DA94" i="2"/>
  <c r="DA71" i="2"/>
  <c r="DA29" i="2"/>
  <c r="DA28" i="2"/>
  <c r="DA32" i="2"/>
  <c r="AG20" i="3"/>
  <c r="AG50" i="3"/>
  <c r="AG80" i="3"/>
  <c r="AL88" i="3" s="1"/>
  <c r="AG77" i="3"/>
  <c r="CQ366" i="82"/>
  <c r="CQ175" i="2"/>
  <c r="CQ73" i="2"/>
  <c r="CQ349" i="2"/>
  <c r="CQ157" i="2"/>
  <c r="CQ171" i="2"/>
  <c r="CQ170" i="2"/>
  <c r="CY522" i="1"/>
  <c r="CV34" i="2"/>
  <c r="CV36" i="2"/>
  <c r="AU137" i="1"/>
  <c r="CK477" i="1"/>
  <c r="CK40" i="1"/>
  <c r="CK593" i="1"/>
  <c r="BM612" i="1"/>
  <c r="BM613" i="1" s="1"/>
  <c r="BD470" i="1"/>
  <c r="BD33" i="1"/>
  <c r="BD584" i="1"/>
  <c r="BW463" i="1"/>
  <c r="BW26" i="1"/>
  <c r="BW575" i="1"/>
  <c r="CM379" i="82"/>
  <c r="CM413" i="82"/>
  <c r="CM332" i="82"/>
  <c r="CM405" i="82"/>
  <c r="CM318" i="82"/>
  <c r="CM335" i="82" s="1"/>
  <c r="CM314" i="82"/>
  <c r="CM329" i="82" s="1"/>
  <c r="CM331" i="82" s="1"/>
  <c r="DC599" i="1"/>
  <c r="DG574" i="1"/>
  <c r="DC592" i="1"/>
  <c r="DC611" i="1" s="1"/>
  <c r="CW508" i="1"/>
  <c r="CO545" i="1"/>
  <c r="CO536" i="1"/>
  <c r="DD316" i="82"/>
  <c r="DD220" i="2"/>
  <c r="DD151" i="2"/>
  <c r="DD94" i="2"/>
  <c r="DD169" i="2"/>
  <c r="DD54" i="2"/>
  <c r="DD29" i="2"/>
  <c r="DD28" i="2"/>
  <c r="DD71" i="2"/>
  <c r="DD32" i="2"/>
  <c r="CH152" i="2"/>
  <c r="CI153" i="2"/>
  <c r="CK159" i="2"/>
  <c r="CK158" i="2"/>
  <c r="T112" i="3"/>
  <c r="T114" i="3" s="1"/>
  <c r="T87" i="3"/>
  <c r="T89" i="3"/>
  <c r="CF457" i="1"/>
  <c r="AO20" i="3"/>
  <c r="AO50" i="3"/>
  <c r="AO80" i="3"/>
  <c r="AO77" i="3"/>
  <c r="AM83" i="3"/>
  <c r="AM85" i="3" s="1"/>
  <c r="AM88" i="3"/>
  <c r="AR88" i="3"/>
  <c r="R41" i="113"/>
  <c r="R32" i="113"/>
  <c r="CO463" i="1"/>
  <c r="CO26" i="1"/>
  <c r="CO575" i="1"/>
  <c r="CK320" i="82"/>
  <c r="CK202" i="82" s="1"/>
  <c r="CK253" i="82" s="1"/>
  <c r="AL135" i="1"/>
  <c r="CE618" i="1"/>
  <c r="R14" i="113"/>
  <c r="CW151" i="2"/>
  <c r="CW71" i="2"/>
  <c r="CW348" i="2"/>
  <c r="CW169" i="2"/>
  <c r="CW29" i="2"/>
  <c r="CW28" i="2"/>
  <c r="BB477" i="1"/>
  <c r="BB40" i="1"/>
  <c r="BB593" i="1"/>
  <c r="CP170" i="2"/>
  <c r="CP171" i="2"/>
  <c r="BC477" i="1"/>
  <c r="BC40" i="1"/>
  <c r="BC593" i="1"/>
  <c r="T171" i="2"/>
  <c r="V171" i="2"/>
  <c r="Y170" i="2"/>
  <c r="CM447" i="1"/>
  <c r="CN413" i="82"/>
  <c r="CN296" i="82"/>
  <c r="CN290" i="82"/>
  <c r="CN280" i="82"/>
  <c r="CN176" i="2"/>
  <c r="CH600" i="1"/>
  <c r="CH601" i="1" s="1"/>
  <c r="CW32" i="2"/>
  <c r="CS34" i="2"/>
  <c r="CS36" i="2"/>
  <c r="CW54" i="2"/>
  <c r="CS57" i="2"/>
  <c r="CQ600" i="1"/>
  <c r="CQ601" i="1" s="1"/>
  <c r="CY588" i="1"/>
  <c r="CY573" i="1"/>
  <c r="U175" i="2"/>
  <c r="U157" i="2"/>
  <c r="Q374" i="2"/>
  <c r="Z73" i="2"/>
  <c r="R374" i="2"/>
  <c r="S374" i="2"/>
  <c r="Z349" i="2"/>
  <c r="CW470" i="1"/>
  <c r="CW33" i="1"/>
  <c r="CW584" i="1"/>
  <c r="DB166" i="2"/>
  <c r="DB150" i="2"/>
  <c r="DB65" i="2"/>
  <c r="DB27" i="2"/>
  <c r="CX606" i="1"/>
  <c r="CX622" i="1" s="1"/>
  <c r="CX623" i="1" s="1"/>
  <c r="BU626" i="1"/>
  <c r="BU627" i="1" s="1"/>
  <c r="BU619" i="1"/>
  <c r="BI569" i="1"/>
  <c r="BI591" i="1"/>
  <c r="BI612" i="1" s="1"/>
  <c r="BI613" i="1" s="1"/>
  <c r="BG463" i="1"/>
  <c r="BG26" i="1"/>
  <c r="BG575" i="1"/>
  <c r="DA522" i="1"/>
  <c r="BG196" i="7"/>
  <c r="BG197" i="7" s="1"/>
  <c r="BH75" i="7"/>
  <c r="BG9" i="3"/>
  <c r="CE50" i="2"/>
  <c r="CE160" i="2"/>
  <c r="CE77" i="2"/>
  <c r="CE178" i="2"/>
  <c r="CE42" i="2"/>
  <c r="CE37" i="2"/>
  <c r="DA592" i="1"/>
  <c r="DA611" i="1" s="1"/>
  <c r="DA599" i="1"/>
  <c r="AQ137" i="1"/>
  <c r="AZ80" i="3"/>
  <c r="AZ50" i="3"/>
  <c r="AZ77" i="3"/>
  <c r="DB243" i="82"/>
  <c r="DB216" i="82"/>
  <c r="CN477" i="1"/>
  <c r="CN40" i="1"/>
  <c r="CN593" i="1"/>
  <c r="CU366" i="82"/>
  <c r="CU157" i="2"/>
  <c r="CU175" i="2"/>
  <c r="CU73" i="2"/>
  <c r="CU349" i="2"/>
  <c r="V50" i="3"/>
  <c r="V77" i="3"/>
  <c r="AA20" i="3"/>
  <c r="CX168" i="2"/>
  <c r="CX167" i="2"/>
  <c r="CP447" i="1"/>
  <c r="BM477" i="1"/>
  <c r="BM40" i="1"/>
  <c r="BM593" i="1"/>
  <c r="CV153" i="2"/>
  <c r="CV152" i="2"/>
  <c r="CO334" i="82"/>
  <c r="CO333" i="82"/>
  <c r="AZ623" i="1"/>
  <c r="AK19" i="3"/>
  <c r="S499" i="113"/>
  <c r="S474" i="113"/>
  <c r="BW477" i="1"/>
  <c r="BW40" i="1"/>
  <c r="BW593" i="1"/>
  <c r="CO158" i="2"/>
  <c r="CO159" i="2"/>
  <c r="CF619" i="1"/>
  <c r="CF626" i="1"/>
  <c r="CF627" i="1" s="1"/>
  <c r="CD334" i="1"/>
  <c r="CD95" i="2"/>
  <c r="CD182" i="2"/>
  <c r="CD179" i="2"/>
  <c r="CD362" i="2"/>
  <c r="CD164" i="2"/>
  <c r="CD350" i="2"/>
  <c r="CD161" i="2"/>
  <c r="CD76" i="2"/>
  <c r="CI76" i="2"/>
  <c r="CI182" i="2"/>
  <c r="CI164" i="2"/>
  <c r="CI350" i="2"/>
  <c r="DA470" i="1"/>
  <c r="DA33" i="1"/>
  <c r="DA584" i="1"/>
  <c r="CJ536" i="1"/>
  <c r="F27" i="11"/>
  <c r="F28" i="11" s="1"/>
  <c r="AO82" i="2"/>
  <c r="AO352" i="2"/>
  <c r="CL149" i="1"/>
  <c r="CG177" i="2"/>
  <c r="CG176" i="2"/>
  <c r="AZ591" i="1"/>
  <c r="AZ587" i="1" s="1"/>
  <c r="BD573" i="1"/>
  <c r="AZ569" i="1"/>
  <c r="CH170" i="2"/>
  <c r="CI171" i="2"/>
  <c r="CK374" i="2"/>
  <c r="BQ196" i="7"/>
  <c r="BQ197" i="7" s="1"/>
  <c r="BQ75" i="7"/>
  <c r="BQ9" i="3"/>
  <c r="CO322" i="82"/>
  <c r="CO270" i="82" s="1"/>
  <c r="CO282" i="82" s="1"/>
  <c r="CO160" i="2"/>
  <c r="CO42" i="2"/>
  <c r="CO178" i="2"/>
  <c r="CO50" i="2"/>
  <c r="CO37" i="2"/>
  <c r="AZ607" i="1"/>
  <c r="BD606" i="1"/>
  <c r="CD159" i="2"/>
  <c r="CD158" i="2"/>
  <c r="CI158" i="2"/>
  <c r="CN463" i="1"/>
  <c r="CN26" i="1"/>
  <c r="CN575" i="1"/>
  <c r="CO618" i="1"/>
  <c r="BE75" i="7"/>
  <c r="BE196" i="7"/>
  <c r="BE197" i="7" s="1"/>
  <c r="BD9" i="3"/>
  <c r="BW77" i="2"/>
  <c r="BW178" i="2"/>
  <c r="BW50" i="2"/>
  <c r="BW160" i="2"/>
  <c r="BW37" i="2"/>
  <c r="BD592" i="1"/>
  <c r="BD611" i="1" s="1"/>
  <c r="BD599" i="1"/>
  <c r="BD351" i="2"/>
  <c r="CJ177" i="2"/>
  <c r="CJ176" i="2"/>
  <c r="DK316" i="82"/>
  <c r="DK220" i="2"/>
  <c r="DK151" i="2"/>
  <c r="DK71" i="2"/>
  <c r="DK169" i="2"/>
  <c r="DK54" i="2"/>
  <c r="DK29" i="2"/>
  <c r="DK28" i="2"/>
  <c r="DK32" i="2"/>
  <c r="CR447" i="1"/>
  <c r="DB582" i="1"/>
  <c r="CX578" i="1"/>
  <c r="AR128" i="1"/>
  <c r="AR129" i="1"/>
  <c r="AR136" i="1"/>
  <c r="AR133" i="1"/>
  <c r="AR134" i="1"/>
  <c r="CY592" i="1"/>
  <c r="CY611" i="1" s="1"/>
  <c r="CY599" i="1"/>
  <c r="DH316" i="82"/>
  <c r="DH94" i="2"/>
  <c r="DH169" i="2"/>
  <c r="DH54" i="2"/>
  <c r="DH220" i="2"/>
  <c r="DH151" i="2"/>
  <c r="DH71" i="2"/>
  <c r="DH29" i="2"/>
  <c r="DH28" i="2"/>
  <c r="DH32" i="2"/>
  <c r="BX600" i="1"/>
  <c r="BX601" i="1" s="1"/>
  <c r="BC618" i="1"/>
  <c r="CN337" i="82"/>
  <c r="CN336" i="82"/>
  <c r="CS172" i="2"/>
  <c r="CS154" i="2"/>
  <c r="CS110" i="2"/>
  <c r="T159" i="2"/>
  <c r="V159" i="2"/>
  <c r="Y158" i="2"/>
  <c r="CR32" i="2"/>
  <c r="AT20" i="3"/>
  <c r="X80" i="3"/>
  <c r="X20" i="3"/>
  <c r="X50" i="3"/>
  <c r="X77" i="3"/>
  <c r="AC20" i="3"/>
  <c r="CU34" i="2"/>
  <c r="CU36" i="2"/>
  <c r="BE463" i="1"/>
  <c r="BE26" i="1"/>
  <c r="BE575" i="1"/>
  <c r="CO76" i="2"/>
  <c r="CO164" i="2"/>
  <c r="CY167" i="2"/>
  <c r="CY168" i="2"/>
  <c r="AY617" i="1"/>
  <c r="BM463" i="1"/>
  <c r="BM26" i="1"/>
  <c r="BM575" i="1"/>
  <c r="CD463" i="1"/>
  <c r="CD26" i="1"/>
  <c r="CD575" i="1"/>
  <c r="DM73" i="1"/>
  <c r="DM60" i="2"/>
  <c r="CV154" i="2"/>
  <c r="CV172" i="2"/>
  <c r="CZ316" i="82"/>
  <c r="CZ169" i="2"/>
  <c r="CZ54" i="2"/>
  <c r="CZ151" i="2"/>
  <c r="CZ94" i="2"/>
  <c r="CZ71" i="2"/>
  <c r="CZ29" i="2"/>
  <c r="CZ28" i="2"/>
  <c r="CZ32" i="2"/>
  <c r="CT34" i="2"/>
  <c r="CT36" i="2"/>
  <c r="BW618" i="1"/>
  <c r="CP545" i="1"/>
  <c r="CP536" i="1"/>
  <c r="P25" i="113"/>
  <c r="P34" i="113"/>
  <c r="P16" i="113"/>
  <c r="P43" i="113"/>
  <c r="CK411" i="82"/>
  <c r="CK367" i="82"/>
  <c r="AL83" i="3"/>
  <c r="AL85" i="3" s="1"/>
  <c r="CR573" i="1"/>
  <c r="DF316" i="82"/>
  <c r="DF71" i="2"/>
  <c r="DF94" i="2"/>
  <c r="DF169" i="2"/>
  <c r="DF54" i="2"/>
  <c r="DF220" i="2"/>
  <c r="DF151" i="2"/>
  <c r="DF32" i="2"/>
  <c r="DF29" i="2"/>
  <c r="DF28" i="2"/>
  <c r="CO477" i="1"/>
  <c r="CO40" i="1"/>
  <c r="CO593" i="1"/>
  <c r="CZ592" i="1"/>
  <c r="CZ611" i="1" s="1"/>
  <c r="CZ599" i="1"/>
  <c r="CJ159" i="2"/>
  <c r="CJ158" i="2"/>
  <c r="AK137" i="1"/>
  <c r="J89" i="3"/>
  <c r="J112" i="3"/>
  <c r="J114" i="3" s="1"/>
  <c r="J87" i="3"/>
  <c r="CP366" i="82"/>
  <c r="CP175" i="2"/>
  <c r="CP73" i="2"/>
  <c r="CP349" i="2"/>
  <c r="CP157" i="2"/>
  <c r="AH88" i="3"/>
  <c r="AH83" i="3"/>
  <c r="AH85" i="3" s="1"/>
  <c r="D14" i="113"/>
  <c r="U348" i="2"/>
  <c r="U169" i="2"/>
  <c r="U151" i="2"/>
  <c r="U71" i="2"/>
  <c r="Z348" i="2"/>
  <c r="S373" i="2"/>
  <c r="Z71" i="2"/>
  <c r="R373" i="2"/>
  <c r="Q373" i="2"/>
  <c r="CN334" i="82"/>
  <c r="CN333" i="82"/>
  <c r="CN158" i="2"/>
  <c r="CS366" i="82"/>
  <c r="CS157" i="2"/>
  <c r="CS175" i="2"/>
  <c r="CS73" i="2"/>
  <c r="CS349" i="2"/>
  <c r="CS170" i="2"/>
  <c r="I87" i="3"/>
  <c r="I89" i="3"/>
  <c r="I112" i="3"/>
  <c r="I114" i="3" s="1"/>
  <c r="CS470" i="1"/>
  <c r="CS33" i="1"/>
  <c r="CS584" i="1"/>
  <c r="AY83" i="3"/>
  <c r="AY85" i="3" s="1"/>
  <c r="CN36" i="2"/>
  <c r="CI545" i="1"/>
  <c r="CW522" i="1"/>
  <c r="CN447" i="1"/>
  <c r="T40" i="113"/>
  <c r="T12" i="113"/>
  <c r="T379" i="113" s="1"/>
  <c r="T30" i="113"/>
  <c r="DE316" i="82"/>
  <c r="DE220" i="2"/>
  <c r="DE151" i="2"/>
  <c r="DE71" i="2"/>
  <c r="DE94" i="2"/>
  <c r="DE169" i="2"/>
  <c r="DE54" i="2"/>
  <c r="DE29" i="2"/>
  <c r="DE28" i="2"/>
  <c r="DE32" i="2"/>
  <c r="CX588" i="1"/>
  <c r="DB570" i="1"/>
  <c r="DB588" i="1" s="1"/>
  <c r="CX573" i="1"/>
  <c r="BT463" i="1"/>
  <c r="BT26" i="1"/>
  <c r="BT575" i="1"/>
  <c r="Z9" i="3"/>
  <c r="Y19" i="3"/>
  <c r="CU154" i="2"/>
  <c r="CU172" i="2"/>
  <c r="CU153" i="2"/>
  <c r="CU152" i="2"/>
  <c r="N13" i="113"/>
  <c r="N33" i="113" s="1"/>
  <c r="BG477" i="1"/>
  <c r="BG40" i="1"/>
  <c r="BG593" i="1"/>
  <c r="DD522" i="1"/>
  <c r="DG563" i="1"/>
  <c r="DG565" i="1"/>
  <c r="DG59" i="1"/>
  <c r="DG31" i="1"/>
  <c r="DG24" i="1"/>
  <c r="CO95" i="2"/>
  <c r="CO362" i="2"/>
  <c r="AV98" i="2"/>
  <c r="K112" i="3"/>
  <c r="K114" i="3" s="1"/>
  <c r="K87" i="3"/>
  <c r="K89" i="3"/>
  <c r="CV379" i="82"/>
  <c r="CV393" i="82"/>
  <c r="CV405" i="82"/>
  <c r="CV318" i="82"/>
  <c r="CV335" i="82" s="1"/>
  <c r="CV267" i="82"/>
  <c r="CV332" i="82"/>
  <c r="CV314" i="82"/>
  <c r="CV329" i="82" s="1"/>
  <c r="CV331" i="82" s="1"/>
  <c r="DE592" i="1"/>
  <c r="DE611" i="1" s="1"/>
  <c r="DE599" i="1"/>
  <c r="E27" i="11"/>
  <c r="E28" i="11" s="1"/>
  <c r="CI457" i="1"/>
  <c r="CS405" i="82"/>
  <c r="CS379" i="82"/>
  <c r="CS332" i="82"/>
  <c r="CS393" i="82"/>
  <c r="CS318" i="82"/>
  <c r="CS335" i="82" s="1"/>
  <c r="CS267" i="82"/>
  <c r="CW316" i="82"/>
  <c r="CS314" i="82"/>
  <c r="CS329" i="82" s="1"/>
  <c r="CS331" i="82" s="1"/>
  <c r="BE601" i="1"/>
  <c r="BI600" i="1"/>
  <c r="BI601" i="1" s="1"/>
  <c r="CD96" i="7"/>
  <c r="CD98" i="7"/>
  <c r="CD94" i="7"/>
  <c r="CD82" i="7"/>
  <c r="CD73" i="7" s="1"/>
  <c r="CD83" i="7"/>
  <c r="CD104" i="7"/>
  <c r="CD89" i="7"/>
  <c r="CD172" i="7"/>
  <c r="CD91" i="7"/>
  <c r="CD92" i="7"/>
  <c r="BJ623" i="1"/>
  <c r="BN622" i="1"/>
  <c r="BN623" i="1" s="1"/>
  <c r="CI149" i="1"/>
  <c r="CX316" i="82"/>
  <c r="CX94" i="2"/>
  <c r="CX71" i="2"/>
  <c r="CX348" i="2"/>
  <c r="CX169" i="2"/>
  <c r="CX54" i="2"/>
  <c r="CX151" i="2"/>
  <c r="CX32" i="2"/>
  <c r="CX29" i="2"/>
  <c r="CX28" i="2"/>
  <c r="DC316" i="82"/>
  <c r="DC304" i="82" s="1"/>
  <c r="DC220" i="2"/>
  <c r="DC151" i="2"/>
  <c r="DC71" i="2"/>
  <c r="DC94" i="2"/>
  <c r="DC169" i="2"/>
  <c r="DC54" i="2"/>
  <c r="DC29" i="2"/>
  <c r="DC28" i="2"/>
  <c r="DC32" i="2"/>
  <c r="CG463" i="1"/>
  <c r="CG26" i="1"/>
  <c r="CG575" i="1"/>
  <c r="CD626" i="1"/>
  <c r="CD619" i="1"/>
  <c r="Q308" i="113"/>
  <c r="Q314" i="113"/>
  <c r="CR523" i="1"/>
  <c r="CR73" i="1"/>
  <c r="CR60" i="2"/>
  <c r="CZ167" i="2"/>
  <c r="CZ168" i="2"/>
  <c r="CP600" i="1"/>
  <c r="CP601" i="1" s="1"/>
  <c r="H19" i="11"/>
  <c r="AY78" i="2"/>
  <c r="AY351" i="2"/>
  <c r="DG65" i="2"/>
  <c r="DG166" i="2"/>
  <c r="DG150" i="2"/>
  <c r="DG27" i="2"/>
  <c r="CT366" i="82"/>
  <c r="CT157" i="2"/>
  <c r="CT175" i="2"/>
  <c r="CT73" i="2"/>
  <c r="CT349" i="2"/>
  <c r="AX82" i="2"/>
  <c r="AX352" i="2"/>
  <c r="CX522" i="1"/>
  <c r="DD168" i="2"/>
  <c r="DD167" i="2"/>
  <c r="BN591" i="1"/>
  <c r="BN587" i="1" s="1"/>
  <c r="BN569" i="1"/>
  <c r="DF592" i="1"/>
  <c r="DF611" i="1" s="1"/>
  <c r="DF599" i="1"/>
  <c r="BT334" i="1"/>
  <c r="BT164" i="2"/>
  <c r="BT350" i="2"/>
  <c r="BT161" i="2"/>
  <c r="BT95" i="2"/>
  <c r="BT362" i="2"/>
  <c r="BT182" i="2"/>
  <c r="BT179" i="2"/>
  <c r="BT76" i="2"/>
  <c r="BU95" i="2"/>
  <c r="BU362" i="2"/>
  <c r="CH413" i="82"/>
  <c r="CH332" i="82"/>
  <c r="CH405" i="82"/>
  <c r="CH318" i="82"/>
  <c r="CH335" i="82" s="1"/>
  <c r="CH314" i="82"/>
  <c r="CH329" i="82" s="1"/>
  <c r="CH331" i="82" s="1"/>
  <c r="AL20" i="3"/>
  <c r="CH366" i="82"/>
  <c r="CH175" i="2"/>
  <c r="CH73" i="2"/>
  <c r="CH349" i="2"/>
  <c r="CH157" i="2"/>
  <c r="CF374" i="2"/>
  <c r="DF104" i="2"/>
  <c r="DC522" i="1"/>
  <c r="BN600" i="1"/>
  <c r="BN601" i="1" s="1"/>
  <c r="CE612" i="1"/>
  <c r="CE613" i="1" s="1"/>
  <c r="DG243" i="82"/>
  <c r="DG216" i="82"/>
  <c r="CS523" i="1"/>
  <c r="CS73" i="1"/>
  <c r="CS60" i="2"/>
  <c r="CJ374" i="2"/>
  <c r="J27" i="11"/>
  <c r="J28" i="11" s="1"/>
  <c r="DF522" i="1"/>
  <c r="DK167" i="2"/>
  <c r="BK477" i="1"/>
  <c r="BK40" i="1"/>
  <c r="BK593" i="1"/>
  <c r="DH168" i="2"/>
  <c r="DH167" i="2"/>
  <c r="CK95" i="2"/>
  <c r="CH447" i="1"/>
  <c r="CP152" i="2"/>
  <c r="CP153" i="2"/>
  <c r="CP393" i="82"/>
  <c r="CP332" i="82"/>
  <c r="CP379" i="82"/>
  <c r="CP405" i="82"/>
  <c r="CP318" i="82"/>
  <c r="CP335" i="82" s="1"/>
  <c r="CP267" i="82"/>
  <c r="CP268" i="82" s="1"/>
  <c r="CP314" i="82"/>
  <c r="CP329" i="82" s="1"/>
  <c r="CP331" i="82" s="1"/>
  <c r="CG612" i="1"/>
  <c r="CG613" i="1" s="1"/>
  <c r="CJ320" i="82"/>
  <c r="CJ202" i="82" s="1"/>
  <c r="CJ253" i="82" s="1"/>
  <c r="T499" i="113"/>
  <c r="T490" i="113"/>
  <c r="T474" i="113"/>
  <c r="U167" i="2"/>
  <c r="Z167" i="2"/>
  <c r="BA591" i="1"/>
  <c r="BA587" i="1" s="1"/>
  <c r="BA569" i="1"/>
  <c r="CM569" i="1"/>
  <c r="CM591" i="1"/>
  <c r="CE177" i="2"/>
  <c r="CE176" i="2"/>
  <c r="CF177" i="2"/>
  <c r="DA588" i="1"/>
  <c r="DA573" i="1"/>
  <c r="DE104" i="2"/>
  <c r="BT477" i="1"/>
  <c r="BT40" i="1"/>
  <c r="BT593" i="1"/>
  <c r="CU379" i="82"/>
  <c r="CU332" i="82"/>
  <c r="CU405" i="82"/>
  <c r="CU318" i="82"/>
  <c r="CU335" i="82" s="1"/>
  <c r="CU267" i="82"/>
  <c r="CU393" i="82"/>
  <c r="CU314" i="82"/>
  <c r="CU329" i="82" s="1"/>
  <c r="CU331" i="82" s="1"/>
  <c r="CX592" i="1"/>
  <c r="CX611" i="1" s="1"/>
  <c r="DB574" i="1"/>
  <c r="CX599" i="1"/>
  <c r="BW612" i="1"/>
  <c r="BW613" i="1" s="1"/>
  <c r="P13" i="113"/>
  <c r="CO182" i="2"/>
  <c r="AU618" i="1"/>
  <c r="DZ234" i="7" l="1"/>
  <c r="DZ235" i="7" s="1"/>
  <c r="EA220" i="7"/>
  <c r="EA234" i="7" s="1"/>
  <c r="EA235" i="7" s="1"/>
  <c r="DP14" i="7"/>
  <c r="DQ14" i="7" s="1"/>
  <c r="DR14" i="7" s="1"/>
  <c r="DS14" i="7" s="1"/>
  <c r="DT14" i="7" s="1"/>
  <c r="DU14" i="7" s="1"/>
  <c r="DV14" i="7" s="1"/>
  <c r="DW14" i="7" s="1"/>
  <c r="DX14" i="7" s="1"/>
  <c r="DY14" i="7" s="1"/>
  <c r="DZ14" i="7" s="1"/>
  <c r="EA14" i="7" s="1"/>
  <c r="DP13" i="7"/>
  <c r="DQ13" i="7" s="1"/>
  <c r="DR13" i="7" s="1"/>
  <c r="DS13" i="7" s="1"/>
  <c r="DT13" i="7" s="1"/>
  <c r="DU13" i="7" s="1"/>
  <c r="DV13" i="7" s="1"/>
  <c r="DW13" i="7" s="1"/>
  <c r="DX13" i="7" s="1"/>
  <c r="DY13" i="7" s="1"/>
  <c r="DZ13" i="7" s="1"/>
  <c r="EA13" i="7" s="1"/>
  <c r="AZ584" i="1"/>
  <c r="CL204" i="82"/>
  <c r="CQ219" i="82" s="1"/>
  <c r="AZ470" i="1"/>
  <c r="DD315" i="2"/>
  <c r="DD324" i="2" s="1"/>
  <c r="DD326" i="2"/>
  <c r="DD321" i="2"/>
  <c r="DD330" i="2" s="1"/>
  <c r="CZ326" i="2"/>
  <c r="CZ321" i="2"/>
  <c r="CZ330" i="2" s="1"/>
  <c r="CZ315" i="2"/>
  <c r="CZ324" i="2" s="1"/>
  <c r="DA326" i="2"/>
  <c r="DA321" i="2"/>
  <c r="DA330" i="2" s="1"/>
  <c r="DA315" i="2"/>
  <c r="DA324" i="2" s="1"/>
  <c r="DB317" i="2"/>
  <c r="DC326" i="2"/>
  <c r="DC321" i="2"/>
  <c r="DC330" i="2" s="1"/>
  <c r="DC315" i="2"/>
  <c r="DC324" i="2" s="1"/>
  <c r="CW326" i="2"/>
  <c r="CW321" i="2"/>
  <c r="CW330" i="2" s="1"/>
  <c r="CW315" i="2"/>
  <c r="CW324" i="2" s="1"/>
  <c r="CX326" i="2"/>
  <c r="CX315" i="2"/>
  <c r="CX324" i="2" s="1"/>
  <c r="CX321" i="2"/>
  <c r="CX330" i="2" s="1"/>
  <c r="DE326" i="2"/>
  <c r="DE315" i="2"/>
  <c r="DE324" i="2" s="1"/>
  <c r="DE321" i="2"/>
  <c r="DE330" i="2" s="1"/>
  <c r="CR315" i="2"/>
  <c r="CR324" i="2" s="1"/>
  <c r="CR326" i="2"/>
  <c r="CR321" i="2"/>
  <c r="CR330" i="2" s="1"/>
  <c r="DG317" i="2"/>
  <c r="CY321" i="2"/>
  <c r="CY330" i="2" s="1"/>
  <c r="CY326" i="2"/>
  <c r="CY315" i="2"/>
  <c r="CY324" i="2" s="1"/>
  <c r="DF321" i="2"/>
  <c r="DF330" i="2" s="1"/>
  <c r="DF326" i="2"/>
  <c r="DF315" i="2"/>
  <c r="DF324" i="2" s="1"/>
  <c r="CL42" i="2"/>
  <c r="CL43" i="2" s="1"/>
  <c r="BN9" i="3"/>
  <c r="BN196" i="7"/>
  <c r="BN197" i="7" s="1"/>
  <c r="CL37" i="2"/>
  <c r="CL322" i="82"/>
  <c r="BN75" i="7"/>
  <c r="CL160" i="2"/>
  <c r="CL77" i="2"/>
  <c r="CL178" i="2"/>
  <c r="CL50" i="2"/>
  <c r="DM34" i="82"/>
  <c r="DM36" i="82" s="1"/>
  <c r="N50" i="3"/>
  <c r="DH326" i="2"/>
  <c r="DH321" i="2"/>
  <c r="DH330" i="2" s="1"/>
  <c r="AG82" i="2"/>
  <c r="N20" i="3"/>
  <c r="N77" i="3"/>
  <c r="DZ18" i="7"/>
  <c r="EA18" i="7" s="1"/>
  <c r="AA12" i="11"/>
  <c r="AI20" i="3"/>
  <c r="AI77" i="3"/>
  <c r="AI50" i="3"/>
  <c r="AN20" i="3"/>
  <c r="AI80" i="3"/>
  <c r="AG352" i="2"/>
  <c r="DH178" i="39"/>
  <c r="DI178" i="39" s="1"/>
  <c r="DF177" i="39"/>
  <c r="CL335" i="1"/>
  <c r="CK335" i="1"/>
  <c r="N80" i="3"/>
  <c r="N83" i="3" s="1"/>
  <c r="N85" i="3" s="1"/>
  <c r="AE335" i="1"/>
  <c r="S20" i="3"/>
  <c r="AP77" i="3"/>
  <c r="CG181" i="2"/>
  <c r="M80" i="3"/>
  <c r="R88" i="3" s="1"/>
  <c r="BU81" i="2"/>
  <c r="BX76" i="2"/>
  <c r="CU179" i="2"/>
  <c r="O50" i="3"/>
  <c r="BB19" i="3"/>
  <c r="BD622" i="1"/>
  <c r="DO227" i="7"/>
  <c r="DR211" i="7"/>
  <c r="DQ218" i="7"/>
  <c r="DQ44" i="3" s="1"/>
  <c r="DM326" i="2"/>
  <c r="DM321" i="2"/>
  <c r="DM330" i="2" s="1"/>
  <c r="DK326" i="2"/>
  <c r="DK321" i="2"/>
  <c r="DK330" i="2" s="1"/>
  <c r="DG172" i="1"/>
  <c r="DG227" i="1"/>
  <c r="CF163" i="2"/>
  <c r="Z375" i="2"/>
  <c r="CL163" i="2"/>
  <c r="BU78" i="2"/>
  <c r="O500" i="113"/>
  <c r="P496" i="113"/>
  <c r="CK162" i="2"/>
  <c r="O20" i="3"/>
  <c r="CE162" i="2"/>
  <c r="CQ76" i="2"/>
  <c r="T20" i="3"/>
  <c r="BV181" i="2"/>
  <c r="CF375" i="2"/>
  <c r="BW181" i="2"/>
  <c r="CH179" i="2"/>
  <c r="CH161" i="2"/>
  <c r="CI163" i="2" s="1"/>
  <c r="L30" i="11"/>
  <c r="L31" i="11" s="1"/>
  <c r="CD375" i="2"/>
  <c r="CE375" i="2"/>
  <c r="CM164" i="2"/>
  <c r="CG375" i="2"/>
  <c r="CL181" i="2"/>
  <c r="CH350" i="2"/>
  <c r="BX161" i="2"/>
  <c r="BX162" i="2" s="1"/>
  <c r="CH182" i="2"/>
  <c r="CM334" i="1"/>
  <c r="CV76" i="2"/>
  <c r="CM182" i="2"/>
  <c r="O77" i="3"/>
  <c r="CK375" i="2"/>
  <c r="CL180" i="2"/>
  <c r="M30" i="11"/>
  <c r="M31" i="11" s="1"/>
  <c r="CJ112" i="2"/>
  <c r="O80" i="3"/>
  <c r="O83" i="3" s="1"/>
  <c r="O85" i="3" s="1"/>
  <c r="BV163" i="2"/>
  <c r="CV95" i="2"/>
  <c r="CM76" i="2"/>
  <c r="CU161" i="2"/>
  <c r="CJ375" i="2"/>
  <c r="CG163" i="2"/>
  <c r="CL112" i="2"/>
  <c r="CT161" i="2"/>
  <c r="CT162" i="2" s="1"/>
  <c r="CU334" i="1"/>
  <c r="CI112" i="2"/>
  <c r="BX179" i="2"/>
  <c r="BX180" i="2" s="1"/>
  <c r="BW180" i="2"/>
  <c r="CL162" i="2"/>
  <c r="CG162" i="2"/>
  <c r="CG180" i="2"/>
  <c r="AP50" i="3"/>
  <c r="AP80" i="3"/>
  <c r="AP83" i="3" s="1"/>
  <c r="AP85" i="3" s="1"/>
  <c r="BU51" i="2"/>
  <c r="CL375" i="2"/>
  <c r="CM179" i="2"/>
  <c r="BW163" i="2"/>
  <c r="CI375" i="2"/>
  <c r="CK112" i="2"/>
  <c r="CM161" i="2"/>
  <c r="CN163" i="2" s="1"/>
  <c r="CM350" i="2"/>
  <c r="V352" i="2"/>
  <c r="AE180" i="2"/>
  <c r="AE375" i="2"/>
  <c r="CQ164" i="2"/>
  <c r="CV164" i="2"/>
  <c r="CE180" i="2"/>
  <c r="BX182" i="2"/>
  <c r="CT76" i="2"/>
  <c r="BU351" i="2"/>
  <c r="BW375" i="2"/>
  <c r="CQ179" i="2"/>
  <c r="CV179" i="2"/>
  <c r="AH82" i="2"/>
  <c r="BV375" i="2"/>
  <c r="K30" i="11"/>
  <c r="K31" i="11" s="1"/>
  <c r="CT350" i="2"/>
  <c r="CQ182" i="2"/>
  <c r="CU362" i="2"/>
  <c r="CV182" i="2"/>
  <c r="AH352" i="2"/>
  <c r="BU375" i="2"/>
  <c r="CT164" i="2"/>
  <c r="CU95" i="2"/>
  <c r="CV334" i="1"/>
  <c r="CH164" i="2"/>
  <c r="AC82" i="2"/>
  <c r="BX350" i="2"/>
  <c r="CT179" i="2"/>
  <c r="AE162" i="2"/>
  <c r="CQ350" i="2"/>
  <c r="BT375" i="2"/>
  <c r="CV350" i="2"/>
  <c r="CH76" i="2"/>
  <c r="AC98" i="2"/>
  <c r="BX164" i="2"/>
  <c r="CT182" i="2"/>
  <c r="CF162" i="2"/>
  <c r="CQ161" i="2"/>
  <c r="CV161" i="2"/>
  <c r="CQ334" i="1"/>
  <c r="CQ335" i="1" s="1"/>
  <c r="CV362" i="2"/>
  <c r="AC352" i="2"/>
  <c r="CT334" i="1"/>
  <c r="CT335" i="1" s="1"/>
  <c r="V82" i="2"/>
  <c r="CU76" i="2"/>
  <c r="CK180" i="2"/>
  <c r="CF181" i="2"/>
  <c r="CP161" i="2"/>
  <c r="CF180" i="2"/>
  <c r="AU77" i="3"/>
  <c r="CP350" i="2"/>
  <c r="CQ95" i="2"/>
  <c r="CU182" i="2"/>
  <c r="CP362" i="2"/>
  <c r="CR344" i="1"/>
  <c r="CP164" i="2"/>
  <c r="CP334" i="1"/>
  <c r="CP335" i="1" s="1"/>
  <c r="CP76" i="2"/>
  <c r="CP95" i="2"/>
  <c r="CU350" i="2"/>
  <c r="CQ362" i="2"/>
  <c r="CP179" i="2"/>
  <c r="CU164" i="2"/>
  <c r="CP182" i="2"/>
  <c r="DH223" i="2"/>
  <c r="DB167" i="2"/>
  <c r="DA57" i="2"/>
  <c r="DM223" i="2"/>
  <c r="CK42" i="2"/>
  <c r="CK43" i="2" s="1"/>
  <c r="AE78" i="2"/>
  <c r="DE57" i="2"/>
  <c r="CW57" i="2"/>
  <c r="CO181" i="2"/>
  <c r="BS74" i="7"/>
  <c r="CR57" i="2"/>
  <c r="Z51" i="2"/>
  <c r="C27" i="11" s="1"/>
  <c r="C28" i="11" s="1"/>
  <c r="DM57" i="2"/>
  <c r="DD57" i="2"/>
  <c r="CK181" i="2"/>
  <c r="CR172" i="2"/>
  <c r="CS153" i="2"/>
  <c r="CI42" i="2"/>
  <c r="CI79" i="2" s="1"/>
  <c r="AE51" i="2"/>
  <c r="AI82" i="2"/>
  <c r="CF43" i="2"/>
  <c r="DK223" i="2"/>
  <c r="CE163" i="2"/>
  <c r="CT374" i="2"/>
  <c r="U57" i="2"/>
  <c r="U76" i="2" s="1"/>
  <c r="BR74" i="7"/>
  <c r="W98" i="2"/>
  <c r="DM172" i="2"/>
  <c r="DC223" i="2"/>
  <c r="DF223" i="2"/>
  <c r="CZ57" i="2"/>
  <c r="CY57" i="2"/>
  <c r="CO163" i="2"/>
  <c r="CJ178" i="2"/>
  <c r="BU180" i="2"/>
  <c r="BU162" i="2"/>
  <c r="DF57" i="2"/>
  <c r="CW343" i="1"/>
  <c r="CW344" i="1" s="1"/>
  <c r="CG43" i="2"/>
  <c r="CN177" i="2"/>
  <c r="DE223" i="2"/>
  <c r="DD223" i="2"/>
  <c r="CN159" i="2"/>
  <c r="Y98" i="2"/>
  <c r="BX334" i="1"/>
  <c r="BX335" i="1" s="1"/>
  <c r="DK57" i="2"/>
  <c r="CE181" i="2"/>
  <c r="CE43" i="2"/>
  <c r="CR170" i="2"/>
  <c r="CH334" i="1"/>
  <c r="L80" i="3"/>
  <c r="L83" i="3" s="1"/>
  <c r="L85" i="3" s="1"/>
  <c r="H112" i="3"/>
  <c r="H114" i="3" s="1"/>
  <c r="H89" i="3"/>
  <c r="H87" i="3"/>
  <c r="AY88" i="3"/>
  <c r="BN352" i="2"/>
  <c r="AT88" i="3"/>
  <c r="U177" i="113"/>
  <c r="U197" i="113" s="1"/>
  <c r="U196" i="113"/>
  <c r="AU20" i="3"/>
  <c r="AU80" i="3"/>
  <c r="AU50" i="3"/>
  <c r="AZ20" i="3"/>
  <c r="I27" i="11"/>
  <c r="I28" i="11" s="1"/>
  <c r="DE235" i="7"/>
  <c r="BN82" i="2"/>
  <c r="BI82" i="2"/>
  <c r="BI352" i="2"/>
  <c r="DB343" i="1"/>
  <c r="DG32" i="1"/>
  <c r="BH19" i="3"/>
  <c r="DK72" i="1"/>
  <c r="CF51" i="2"/>
  <c r="CO335" i="1"/>
  <c r="AO342" i="1"/>
  <c r="CH338" i="1"/>
  <c r="CN335" i="1"/>
  <c r="CI335" i="1"/>
  <c r="CJ335" i="1"/>
  <c r="Z137" i="1"/>
  <c r="CR72" i="1"/>
  <c r="AF76" i="3"/>
  <c r="AF98" i="2"/>
  <c r="AD98" i="2"/>
  <c r="AI352" i="2"/>
  <c r="D19" i="11"/>
  <c r="D20" i="11" s="1"/>
  <c r="P20" i="3"/>
  <c r="P80" i="3"/>
  <c r="P83" i="3" s="1"/>
  <c r="P87" i="3" s="1"/>
  <c r="P77" i="3"/>
  <c r="AJ78" i="2"/>
  <c r="AE351" i="2"/>
  <c r="P50" i="3"/>
  <c r="AJ351" i="2"/>
  <c r="U20" i="3"/>
  <c r="CJ77" i="2"/>
  <c r="AJ81" i="2"/>
  <c r="M77" i="3"/>
  <c r="CK160" i="2"/>
  <c r="CI160" i="2"/>
  <c r="CI178" i="2"/>
  <c r="CI77" i="2"/>
  <c r="CJ322" i="82"/>
  <c r="BL9" i="3"/>
  <c r="CK178" i="2"/>
  <c r="CK77" i="2"/>
  <c r="CJ37" i="2"/>
  <c r="BL196" i="7"/>
  <c r="BL197" i="7" s="1"/>
  <c r="CO77" i="2"/>
  <c r="CK322" i="82"/>
  <c r="CJ42" i="2"/>
  <c r="BL75" i="7"/>
  <c r="CI37" i="2"/>
  <c r="BK196" i="7"/>
  <c r="BK197" i="7" s="1"/>
  <c r="CK50" i="2"/>
  <c r="BM196" i="7"/>
  <c r="BM197" i="7" s="1"/>
  <c r="AT82" i="2"/>
  <c r="CJ160" i="2"/>
  <c r="BK75" i="7"/>
  <c r="BD352" i="2"/>
  <c r="BK9" i="3"/>
  <c r="BM9" i="3"/>
  <c r="AP20" i="3"/>
  <c r="CK37" i="2"/>
  <c r="BM75" i="7"/>
  <c r="AT352" i="2"/>
  <c r="CJ50" i="2"/>
  <c r="CI50" i="2"/>
  <c r="CI322" i="82"/>
  <c r="G27" i="11"/>
  <c r="G28" i="11" s="1"/>
  <c r="M50" i="3"/>
  <c r="CO374" i="2"/>
  <c r="M20" i="3"/>
  <c r="CT95" i="2"/>
  <c r="CH36" i="2"/>
  <c r="AF82" i="2"/>
  <c r="Q19" i="3"/>
  <c r="R20" i="3"/>
  <c r="DM182" i="82"/>
  <c r="DM173" i="82"/>
  <c r="DM175" i="82" s="1"/>
  <c r="T14" i="113"/>
  <c r="T16" i="113" s="1"/>
  <c r="CW234" i="7"/>
  <c r="CW235" i="7" s="1"/>
  <c r="CY204" i="7"/>
  <c r="DM154" i="2"/>
  <c r="DM175" i="2"/>
  <c r="DM157" i="2"/>
  <c r="DM314" i="82"/>
  <c r="DM329" i="82" s="1"/>
  <c r="DM331" i="82" s="1"/>
  <c r="DM332" i="82"/>
  <c r="DM36" i="2"/>
  <c r="DM34" i="2"/>
  <c r="DM227" i="2"/>
  <c r="G21" i="11"/>
  <c r="DV191" i="2"/>
  <c r="DV52" i="2"/>
  <c r="T139" i="113"/>
  <c r="T188" i="113"/>
  <c r="T97" i="113"/>
  <c r="T441" i="113" s="1"/>
  <c r="T60" i="113"/>
  <c r="DA110" i="2"/>
  <c r="DG171" i="82"/>
  <c r="DG188" i="82"/>
  <c r="T206" i="113"/>
  <c r="DK173" i="82"/>
  <c r="DK175" i="82" s="1"/>
  <c r="DK182" i="82"/>
  <c r="T381" i="113"/>
  <c r="T382" i="113"/>
  <c r="T377" i="113"/>
  <c r="T378" i="113"/>
  <c r="T380" i="113"/>
  <c r="T325" i="113"/>
  <c r="T383" i="113" s="1"/>
  <c r="T365" i="113"/>
  <c r="T366" i="113" s="1"/>
  <c r="CV72" i="7"/>
  <c r="T491" i="113"/>
  <c r="CG626" i="1"/>
  <c r="CG627" i="1" s="1"/>
  <c r="CW72" i="7"/>
  <c r="CH618" i="1"/>
  <c r="CH619" i="1" s="1"/>
  <c r="DG21" i="82"/>
  <c r="T263" i="113"/>
  <c r="H20" i="11"/>
  <c r="H21" i="11"/>
  <c r="C20" i="11"/>
  <c r="C21" i="11"/>
  <c r="BJ619" i="1"/>
  <c r="CQ612" i="1"/>
  <c r="CQ613" i="1" s="1"/>
  <c r="P33" i="113"/>
  <c r="O33" i="113"/>
  <c r="CZ164" i="1"/>
  <c r="DM152" i="2"/>
  <c r="DM153" i="2"/>
  <c r="DM171" i="2"/>
  <c r="U141" i="113"/>
  <c r="CS623" i="1"/>
  <c r="DD110" i="2"/>
  <c r="T285" i="113"/>
  <c r="W352" i="2"/>
  <c r="W82" i="2"/>
  <c r="CX218" i="7"/>
  <c r="CW46" i="3"/>
  <c r="CX44" i="3"/>
  <c r="AB82" i="2"/>
  <c r="AB352" i="2"/>
  <c r="DV321" i="1"/>
  <c r="AE81" i="2"/>
  <c r="X98" i="2"/>
  <c r="L50" i="3"/>
  <c r="AB98" i="2"/>
  <c r="AA82" i="2"/>
  <c r="AA352" i="2"/>
  <c r="CN626" i="1"/>
  <c r="CN627" i="1" s="1"/>
  <c r="AF352" i="2"/>
  <c r="BB626" i="1"/>
  <c r="BB627" i="1" s="1"/>
  <c r="BN618" i="1"/>
  <c r="BN619" i="1" s="1"/>
  <c r="AZ612" i="1"/>
  <c r="AZ613" i="1" s="1"/>
  <c r="CZ447" i="1"/>
  <c r="CK619" i="1"/>
  <c r="CZ600" i="1"/>
  <c r="CZ601" i="1" s="1"/>
  <c r="CP374" i="2"/>
  <c r="AA98" i="2"/>
  <c r="AD82" i="2"/>
  <c r="AD352" i="2"/>
  <c r="CR154" i="2"/>
  <c r="CS171" i="2"/>
  <c r="BT626" i="1"/>
  <c r="BT627" i="1" s="1"/>
  <c r="BG626" i="1"/>
  <c r="BG627" i="1" s="1"/>
  <c r="BI618" i="1"/>
  <c r="BI619" i="1" s="1"/>
  <c r="CR110" i="2"/>
  <c r="BA618" i="1"/>
  <c r="BA626" i="1" s="1"/>
  <c r="BA627" i="1" s="1"/>
  <c r="AJ137" i="1"/>
  <c r="CW170" i="2"/>
  <c r="CN374" i="2"/>
  <c r="CR157" i="2"/>
  <c r="CR349" i="2"/>
  <c r="Q13" i="113"/>
  <c r="Q33" i="113" s="1"/>
  <c r="Q25" i="113"/>
  <c r="Q42" i="113" s="1"/>
  <c r="CR152" i="2"/>
  <c r="CQ374" i="2"/>
  <c r="Q43" i="113"/>
  <c r="CW152" i="2"/>
  <c r="Q16" i="113"/>
  <c r="CR73" i="2"/>
  <c r="CR175" i="2"/>
  <c r="CR373" i="2"/>
  <c r="Q292" i="113"/>
  <c r="Q472" i="113" s="1"/>
  <c r="CU618" i="1"/>
  <c r="CU619" i="1" s="1"/>
  <c r="CS618" i="1"/>
  <c r="CS626" i="1" s="1"/>
  <c r="CM436" i="1"/>
  <c r="CM437" i="1" s="1"/>
  <c r="CR318" i="82"/>
  <c r="CR335" i="82" s="1"/>
  <c r="CR336" i="82" s="1"/>
  <c r="CR332" i="82"/>
  <c r="CR333" i="82" s="1"/>
  <c r="CZ110" i="2"/>
  <c r="CX110" i="2"/>
  <c r="CR314" i="82"/>
  <c r="CR329" i="82" s="1"/>
  <c r="CR331" i="82" s="1"/>
  <c r="CR405" i="82"/>
  <c r="DB104" i="2"/>
  <c r="CH612" i="1"/>
  <c r="CH613" i="1" s="1"/>
  <c r="BM626" i="1"/>
  <c r="BM627" i="1" s="1"/>
  <c r="CT612" i="1"/>
  <c r="CT613" i="1" s="1"/>
  <c r="CS612" i="1"/>
  <c r="CS613" i="1" s="1"/>
  <c r="CS374" i="2"/>
  <c r="CY600" i="1"/>
  <c r="CY601" i="1" s="1"/>
  <c r="T256" i="113"/>
  <c r="CX600" i="1"/>
  <c r="CX601" i="1" s="1"/>
  <c r="DF600" i="1"/>
  <c r="DF601" i="1" s="1"/>
  <c r="DF54" i="1" s="1"/>
  <c r="CU612" i="1"/>
  <c r="CU613" i="1" s="1"/>
  <c r="CK545" i="1"/>
  <c r="AZ601" i="1"/>
  <c r="DG167" i="2"/>
  <c r="BD600" i="1"/>
  <c r="BD601" i="1" s="1"/>
  <c r="CH374" i="2"/>
  <c r="BD82" i="2"/>
  <c r="CV618" i="1"/>
  <c r="CV626" i="1" s="1"/>
  <c r="CV627" i="1" s="1"/>
  <c r="CW600" i="1"/>
  <c r="CW601" i="1" s="1"/>
  <c r="BF593" i="1"/>
  <c r="BF40" i="1"/>
  <c r="CP612" i="1"/>
  <c r="CP613" i="1" s="1"/>
  <c r="CJ545" i="1"/>
  <c r="CU374" i="2"/>
  <c r="CW373" i="2"/>
  <c r="DC110" i="2"/>
  <c r="DG104" i="2"/>
  <c r="CN368" i="82"/>
  <c r="BV81" i="2"/>
  <c r="BV51" i="2"/>
  <c r="CF81" i="2"/>
  <c r="BC19" i="3"/>
  <c r="BV351" i="2"/>
  <c r="BV96" i="2"/>
  <c r="BV78" i="2"/>
  <c r="CF351" i="2"/>
  <c r="CF78" i="2"/>
  <c r="U374" i="2"/>
  <c r="CO180" i="2"/>
  <c r="CQ268" i="82"/>
  <c r="CW110" i="2"/>
  <c r="CM463" i="1"/>
  <c r="CM26" i="1"/>
  <c r="CM575" i="1"/>
  <c r="R16" i="113"/>
  <c r="R18" i="113" s="1"/>
  <c r="R25" i="113"/>
  <c r="R43" i="113"/>
  <c r="R34" i="113"/>
  <c r="CK457" i="1"/>
  <c r="AS89" i="3"/>
  <c r="AS84" i="3"/>
  <c r="AS87" i="3"/>
  <c r="CU413" i="82"/>
  <c r="CU296" i="82"/>
  <c r="CU290" i="82"/>
  <c r="CU269" i="82"/>
  <c r="CU263" i="82" s="1"/>
  <c r="CY268" i="82"/>
  <c r="DD281" i="82" s="1"/>
  <c r="CU280" i="82"/>
  <c r="BA463" i="1"/>
  <c r="BA26" i="1"/>
  <c r="BA575" i="1"/>
  <c r="BT181" i="2"/>
  <c r="BT180" i="2"/>
  <c r="BU181" i="2"/>
  <c r="CX523" i="1"/>
  <c r="CX73" i="1"/>
  <c r="CX60" i="2"/>
  <c r="CT391" i="82"/>
  <c r="CT367" i="82"/>
  <c r="CT368" i="82" s="1"/>
  <c r="CT403" i="82"/>
  <c r="CT377" i="82"/>
  <c r="DC170" i="2"/>
  <c r="DC171" i="2"/>
  <c r="CL79" i="2"/>
  <c r="CV336" i="82"/>
  <c r="CV337" i="82"/>
  <c r="DD73" i="1"/>
  <c r="DD523" i="1"/>
  <c r="DD60" i="2"/>
  <c r="Y20" i="3"/>
  <c r="Y50" i="3"/>
  <c r="Y80" i="3"/>
  <c r="AD20" i="3"/>
  <c r="Y77" i="3"/>
  <c r="DE175" i="2"/>
  <c r="DE157" i="2"/>
  <c r="DE73" i="2"/>
  <c r="DE332" i="82"/>
  <c r="DE318" i="82"/>
  <c r="DE335" i="82" s="1"/>
  <c r="DE314" i="82"/>
  <c r="DE329" i="82" s="1"/>
  <c r="DE331" i="82" s="1"/>
  <c r="I117" i="3"/>
  <c r="I116" i="3"/>
  <c r="CZ152" i="2"/>
  <c r="CZ153" i="2"/>
  <c r="DM72" i="1"/>
  <c r="DK227" i="2"/>
  <c r="DK34" i="2"/>
  <c r="DK36" i="2"/>
  <c r="DK152" i="2"/>
  <c r="CO619" i="1"/>
  <c r="CO626" i="1"/>
  <c r="CO627" i="1" s="1"/>
  <c r="AK80" i="3"/>
  <c r="AK20" i="3"/>
  <c r="AK50" i="3"/>
  <c r="AK77" i="3"/>
  <c r="CN457" i="1"/>
  <c r="DA523" i="1"/>
  <c r="DA73" i="1"/>
  <c r="DA60" i="2"/>
  <c r="Z176" i="2"/>
  <c r="CY591" i="1"/>
  <c r="CY587" i="1" s="1"/>
  <c r="CY569" i="1"/>
  <c r="BU75" i="7"/>
  <c r="BU196" i="7"/>
  <c r="CS322" i="82"/>
  <c r="CS270" i="82" s="1"/>
  <c r="BU9" i="3"/>
  <c r="CS77" i="2"/>
  <c r="CS178" i="2"/>
  <c r="CS160" i="2"/>
  <c r="CS50" i="2"/>
  <c r="CS42" i="2"/>
  <c r="CS37" i="2"/>
  <c r="CR267" i="82"/>
  <c r="CW154" i="2"/>
  <c r="CW172" i="2"/>
  <c r="CW72" i="2"/>
  <c r="CO149" i="1"/>
  <c r="AM87" i="3"/>
  <c r="AM89" i="3"/>
  <c r="AM84" i="3"/>
  <c r="AR84" i="3"/>
  <c r="DD170" i="2"/>
  <c r="DD171" i="2"/>
  <c r="BX196" i="7"/>
  <c r="BX197" i="7" s="1"/>
  <c r="BX75" i="7"/>
  <c r="BX9" i="3"/>
  <c r="CV322" i="82"/>
  <c r="CV270" i="82" s="1"/>
  <c r="CV160" i="2"/>
  <c r="CV77" i="2"/>
  <c r="CV178" i="2"/>
  <c r="CV50" i="2"/>
  <c r="CV42" i="2"/>
  <c r="CV37" i="2"/>
  <c r="CQ367" i="82"/>
  <c r="CQ368" i="82" s="1"/>
  <c r="CQ403" i="82"/>
  <c r="CQ391" i="82"/>
  <c r="CQ377" i="82"/>
  <c r="CQ269" i="82"/>
  <c r="CQ263" i="82" s="1"/>
  <c r="AG83" i="3"/>
  <c r="AG88" i="3"/>
  <c r="CY366" i="82"/>
  <c r="CY175" i="2"/>
  <c r="CY73" i="2"/>
  <c r="CY157" i="2"/>
  <c r="CY393" i="82"/>
  <c r="CY405" i="82"/>
  <c r="CY379" i="82"/>
  <c r="CY413" i="82"/>
  <c r="CY332" i="82"/>
  <c r="CY318" i="82"/>
  <c r="CY335" i="82" s="1"/>
  <c r="CY314" i="82"/>
  <c r="CY329" i="82" s="1"/>
  <c r="CY331" i="82" s="1"/>
  <c r="BE477" i="1"/>
  <c r="BE40" i="1"/>
  <c r="BE593" i="1"/>
  <c r="CK149" i="1"/>
  <c r="CU477" i="1"/>
  <c r="CU40" i="1"/>
  <c r="CU593" i="1"/>
  <c r="AX84" i="3"/>
  <c r="AX89" i="3"/>
  <c r="AX87" i="3"/>
  <c r="CM545" i="1"/>
  <c r="CM536" i="1"/>
  <c r="CQ334" i="82"/>
  <c r="CQ333" i="82"/>
  <c r="CS477" i="1"/>
  <c r="CS40" i="1"/>
  <c r="CS593" i="1"/>
  <c r="R308" i="113"/>
  <c r="R292" i="113"/>
  <c r="R472" i="113" s="1"/>
  <c r="R314" i="113"/>
  <c r="S308" i="113"/>
  <c r="CS268" i="82"/>
  <c r="BX612" i="1"/>
  <c r="BX613" i="1" s="1"/>
  <c r="CV413" i="82"/>
  <c r="CV296" i="82"/>
  <c r="CX290" i="82"/>
  <c r="CV290" i="82"/>
  <c r="CV280" i="82"/>
  <c r="CZ268" i="82"/>
  <c r="DE281" i="82" s="1"/>
  <c r="CV269" i="82"/>
  <c r="CV263" i="82" s="1"/>
  <c r="DH57" i="2"/>
  <c r="CS463" i="1"/>
  <c r="CS26" i="1"/>
  <c r="CS575" i="1"/>
  <c r="CZ523" i="1"/>
  <c r="CZ73" i="1"/>
  <c r="CZ60" i="2"/>
  <c r="CT336" i="82"/>
  <c r="CT337" i="82"/>
  <c r="BA477" i="1"/>
  <c r="BA40" i="1"/>
  <c r="BA593" i="1"/>
  <c r="CH158" i="2"/>
  <c r="CI159" i="2"/>
  <c r="DG316" i="82"/>
  <c r="DG169" i="2"/>
  <c r="DG220" i="2"/>
  <c r="DG151" i="2"/>
  <c r="DG71" i="2"/>
  <c r="DG29" i="2"/>
  <c r="CX170" i="2"/>
  <c r="CX171" i="2"/>
  <c r="CW332" i="82"/>
  <c r="CW379" i="82"/>
  <c r="CW318" i="82"/>
  <c r="CW335" i="82" s="1"/>
  <c r="CW405" i="82"/>
  <c r="CW314" i="82"/>
  <c r="CW329" i="82" s="1"/>
  <c r="CW331" i="82" s="1"/>
  <c r="DG38" i="1"/>
  <c r="DG25" i="1"/>
  <c r="DG45" i="1"/>
  <c r="Z19" i="3"/>
  <c r="CX591" i="1"/>
  <c r="CX587" i="1" s="1"/>
  <c r="DB573" i="1"/>
  <c r="CX569" i="1"/>
  <c r="T41" i="113"/>
  <c r="T32" i="113"/>
  <c r="CW523" i="1"/>
  <c r="CW73" i="1"/>
  <c r="CW60" i="2"/>
  <c r="BP196" i="7"/>
  <c r="BP75" i="7"/>
  <c r="BP9" i="3"/>
  <c r="CN322" i="82"/>
  <c r="CN160" i="2"/>
  <c r="CN77" i="2"/>
  <c r="CN178" i="2"/>
  <c r="CN50" i="2"/>
  <c r="CN42" i="2"/>
  <c r="CN37" i="2"/>
  <c r="U152" i="2"/>
  <c r="Z152" i="2"/>
  <c r="CO457" i="1"/>
  <c r="BW626" i="1"/>
  <c r="BW627" i="1" s="1"/>
  <c r="BW619" i="1"/>
  <c r="CR36" i="2"/>
  <c r="DH227" i="2"/>
  <c r="DH36" i="2"/>
  <c r="DH34" i="2"/>
  <c r="DH171" i="2"/>
  <c r="DH170" i="2"/>
  <c r="DK72" i="2"/>
  <c r="DK154" i="2"/>
  <c r="DK172" i="2"/>
  <c r="BW351" i="2"/>
  <c r="BW96" i="2"/>
  <c r="BW78" i="2"/>
  <c r="CO43" i="2"/>
  <c r="CD180" i="2"/>
  <c r="CI180" i="2"/>
  <c r="BX618" i="1"/>
  <c r="BX619" i="1" s="1"/>
  <c r="AZ83" i="3"/>
  <c r="AZ85" i="3" s="1"/>
  <c r="CE78" i="2"/>
  <c r="CE351" i="2"/>
  <c r="CE96" i="2"/>
  <c r="CF96" i="2"/>
  <c r="BI587" i="1"/>
  <c r="CS217" i="2"/>
  <c r="BU74" i="7"/>
  <c r="CW175" i="2"/>
  <c r="CW349" i="2"/>
  <c r="CW157" i="2"/>
  <c r="CW73" i="2"/>
  <c r="DG592" i="1"/>
  <c r="DG611" i="1" s="1"/>
  <c r="DG599" i="1"/>
  <c r="CV217" i="2"/>
  <c r="BX74" i="7"/>
  <c r="DA34" i="2"/>
  <c r="DA36" i="2"/>
  <c r="DA171" i="2"/>
  <c r="DA170" i="2"/>
  <c r="CV176" i="2"/>
  <c r="CV177" i="2"/>
  <c r="CJ163" i="2"/>
  <c r="CJ162" i="2"/>
  <c r="N42" i="113"/>
  <c r="N38" i="113"/>
  <c r="CQ477" i="1"/>
  <c r="CQ40" i="1"/>
  <c r="CQ593" i="1"/>
  <c r="CD81" i="2"/>
  <c r="CD51" i="2"/>
  <c r="BI19" i="3"/>
  <c r="CU463" i="1"/>
  <c r="CU26" i="1"/>
  <c r="CU575" i="1"/>
  <c r="CG457" i="1"/>
  <c r="CM374" i="2"/>
  <c r="DH523" i="1"/>
  <c r="DH73" i="1"/>
  <c r="DH60" i="2"/>
  <c r="W87" i="3"/>
  <c r="W89" i="3"/>
  <c r="W84" i="3"/>
  <c r="W112" i="3"/>
  <c r="W114" i="3" s="1"/>
  <c r="AB84" i="3"/>
  <c r="AJ88" i="3"/>
  <c r="AJ83" i="3"/>
  <c r="AJ85" i="3" s="1"/>
  <c r="AV137" i="1"/>
  <c r="CX57" i="2"/>
  <c r="DB54" i="2"/>
  <c r="K117" i="3"/>
  <c r="K116" i="3"/>
  <c r="CR569" i="1"/>
  <c r="CR591" i="1"/>
  <c r="CD149" i="1"/>
  <c r="DA447" i="1"/>
  <c r="DA164" i="1"/>
  <c r="CY154" i="2"/>
  <c r="CY172" i="2"/>
  <c r="CY72" i="2"/>
  <c r="N19" i="113"/>
  <c r="N35" i="113" s="1"/>
  <c r="N44" i="113"/>
  <c r="CV477" i="1"/>
  <c r="CV40" i="1"/>
  <c r="CV593" i="1"/>
  <c r="R309" i="113"/>
  <c r="S309" i="113"/>
  <c r="DB592" i="1"/>
  <c r="DB611" i="1" s="1"/>
  <c r="DB599" i="1"/>
  <c r="CP333" i="82"/>
  <c r="CP334" i="82"/>
  <c r="CG149" i="1"/>
  <c r="CS413" i="82"/>
  <c r="CS280" i="82"/>
  <c r="CW267" i="82"/>
  <c r="CS269" i="82"/>
  <c r="CS263" i="82" s="1"/>
  <c r="CV268" i="82"/>
  <c r="CS290" i="82"/>
  <c r="CS296" i="82"/>
  <c r="DE110" i="2"/>
  <c r="CS176" i="2"/>
  <c r="U170" i="2"/>
  <c r="Z170" i="2"/>
  <c r="CP158" i="2"/>
  <c r="CP159" i="2"/>
  <c r="DF110" i="2"/>
  <c r="DM170" i="2"/>
  <c r="CV612" i="1"/>
  <c r="CV613" i="1" s="1"/>
  <c r="DH172" i="2"/>
  <c r="DH72" i="2"/>
  <c r="DH154" i="2"/>
  <c r="DK157" i="2"/>
  <c r="DK175" i="2"/>
  <c r="DK73" i="2"/>
  <c r="DK332" i="82"/>
  <c r="DK318" i="82"/>
  <c r="DK335" i="82" s="1"/>
  <c r="DK304" i="82"/>
  <c r="DK314" i="82"/>
  <c r="DK329" i="82" s="1"/>
  <c r="DK331" i="82" s="1"/>
  <c r="BI463" i="1"/>
  <c r="BI26" i="1"/>
  <c r="BI575" i="1"/>
  <c r="CW36" i="2"/>
  <c r="CW34" i="2"/>
  <c r="CE619" i="1"/>
  <c r="CE626" i="1"/>
  <c r="CE627" i="1" s="1"/>
  <c r="AL137" i="1"/>
  <c r="DD227" i="2"/>
  <c r="DD217" i="2"/>
  <c r="DD34" i="2"/>
  <c r="DD36" i="2"/>
  <c r="DD153" i="2"/>
  <c r="DD152" i="2"/>
  <c r="DA172" i="2"/>
  <c r="DA154" i="2"/>
  <c r="DA72" i="2"/>
  <c r="DA405" i="82"/>
  <c r="DA379" i="82"/>
  <c r="DA413" i="82"/>
  <c r="DA332" i="82"/>
  <c r="DA393" i="82"/>
  <c r="DA318" i="82"/>
  <c r="DA335" i="82" s="1"/>
  <c r="DA314" i="82"/>
  <c r="DA329" i="82" s="1"/>
  <c r="DA331" i="82" s="1"/>
  <c r="CV158" i="2"/>
  <c r="CV159" i="2"/>
  <c r="CY217" i="2"/>
  <c r="CY36" i="2"/>
  <c r="CY34" i="2"/>
  <c r="CY48" i="2"/>
  <c r="CQ463" i="1"/>
  <c r="CQ26" i="1"/>
  <c r="CQ575" i="1"/>
  <c r="BT78" i="2"/>
  <c r="BT351" i="2"/>
  <c r="BT96" i="2"/>
  <c r="BU96" i="2"/>
  <c r="BJ627" i="1"/>
  <c r="CH463" i="1"/>
  <c r="CH26" i="1"/>
  <c r="CH575" i="1"/>
  <c r="AS135" i="1"/>
  <c r="CR600" i="1"/>
  <c r="CR601" i="1" s="1"/>
  <c r="BK626" i="1"/>
  <c r="BK627" i="1" s="1"/>
  <c r="BK619" i="1"/>
  <c r="DM72" i="2"/>
  <c r="CP463" i="1"/>
  <c r="CP26" i="1"/>
  <c r="CP575" i="1"/>
  <c r="DE154" i="2"/>
  <c r="DE172" i="2"/>
  <c r="DE72" i="2"/>
  <c r="DF153" i="2"/>
  <c r="DF152" i="2"/>
  <c r="CU337" i="82"/>
  <c r="CU336" i="82"/>
  <c r="CU334" i="82"/>
  <c r="CU333" i="82"/>
  <c r="P17" i="113"/>
  <c r="P478" i="113" s="1"/>
  <c r="P479" i="113" s="1"/>
  <c r="CM320" i="82"/>
  <c r="CM202" i="82" s="1"/>
  <c r="CM34" i="2"/>
  <c r="DC227" i="2"/>
  <c r="DG32" i="2"/>
  <c r="DC34" i="2"/>
  <c r="DC36" i="2"/>
  <c r="DC153" i="2"/>
  <c r="DC152" i="2"/>
  <c r="CX154" i="2"/>
  <c r="CX172" i="2"/>
  <c r="CX72" i="2"/>
  <c r="DB28" i="2"/>
  <c r="CS336" i="82"/>
  <c r="CS337" i="82"/>
  <c r="DE170" i="2"/>
  <c r="DE171" i="2"/>
  <c r="CS158" i="2"/>
  <c r="U373" i="2"/>
  <c r="J117" i="3"/>
  <c r="J116" i="3"/>
  <c r="DF170" i="2"/>
  <c r="DF171" i="2"/>
  <c r="AL87" i="3"/>
  <c r="AL89" i="3"/>
  <c r="CZ36" i="2"/>
  <c r="CZ34" i="2"/>
  <c r="CZ171" i="2"/>
  <c r="CZ170" i="2"/>
  <c r="DH157" i="2"/>
  <c r="DH175" i="2"/>
  <c r="DH73" i="2"/>
  <c r="DH332" i="82"/>
  <c r="DH304" i="82"/>
  <c r="DH318" i="82"/>
  <c r="DH335" i="82" s="1"/>
  <c r="DM336" i="82" s="1"/>
  <c r="DH314" i="82"/>
  <c r="DH329" i="82" s="1"/>
  <c r="DH331" i="82" s="1"/>
  <c r="BW51" i="2"/>
  <c r="BW81" i="2"/>
  <c r="AZ463" i="1"/>
  <c r="AZ26" i="1"/>
  <c r="AZ575" i="1"/>
  <c r="CU176" i="2"/>
  <c r="CU177" i="2"/>
  <c r="DA600" i="1"/>
  <c r="DA601" i="1" s="1"/>
  <c r="CX607" i="1"/>
  <c r="DB606" i="1"/>
  <c r="DB607" i="1" s="1"/>
  <c r="R13" i="113"/>
  <c r="T117" i="3"/>
  <c r="T116" i="3"/>
  <c r="CQ158" i="2"/>
  <c r="CQ159" i="2"/>
  <c r="DA366" i="82"/>
  <c r="DA157" i="2"/>
  <c r="DA175" i="2"/>
  <c r="DA73" i="2"/>
  <c r="CV403" i="82"/>
  <c r="CV391" i="82"/>
  <c r="CV367" i="82"/>
  <c r="CV377" i="82"/>
  <c r="CQ618" i="1"/>
  <c r="BJ9" i="3"/>
  <c r="BF19" i="3"/>
  <c r="BT81" i="2"/>
  <c r="BT51" i="2"/>
  <c r="CG78" i="2"/>
  <c r="CG351" i="2"/>
  <c r="CG96" i="2"/>
  <c r="CZ591" i="1"/>
  <c r="CZ587" i="1" s="1"/>
  <c r="CZ569" i="1"/>
  <c r="AO137" i="1"/>
  <c r="CO162" i="2"/>
  <c r="CT463" i="1"/>
  <c r="CT26" i="1"/>
  <c r="CT575" i="1"/>
  <c r="AV87" i="3"/>
  <c r="AV84" i="3"/>
  <c r="CH40" i="1"/>
  <c r="CH477" i="1"/>
  <c r="CH593" i="1"/>
  <c r="S116" i="3"/>
  <c r="S117" i="3"/>
  <c r="AQ87" i="3"/>
  <c r="AQ89" i="3"/>
  <c r="AQ84" i="3"/>
  <c r="CT362" i="2"/>
  <c r="H27" i="11"/>
  <c r="H28" i="11" s="1"/>
  <c r="AY352" i="2"/>
  <c r="AY82" i="2"/>
  <c r="CN361" i="82"/>
  <c r="CN356" i="82"/>
  <c r="CN411" i="82"/>
  <c r="CN358" i="82"/>
  <c r="CP618" i="1"/>
  <c r="DG60" i="1"/>
  <c r="D43" i="113"/>
  <c r="D25" i="113"/>
  <c r="D34" i="113"/>
  <c r="D16" i="113"/>
  <c r="D18" i="113" s="1"/>
  <c r="D13" i="113"/>
  <c r="E34" i="113"/>
  <c r="DF154" i="2"/>
  <c r="DF172" i="2"/>
  <c r="DF72" i="2"/>
  <c r="P42" i="113"/>
  <c r="P38" i="113"/>
  <c r="CZ172" i="2"/>
  <c r="CZ72" i="2"/>
  <c r="CZ154" i="2"/>
  <c r="CZ393" i="82"/>
  <c r="CZ405" i="82"/>
  <c r="CZ413" i="82"/>
  <c r="CZ332" i="82"/>
  <c r="CZ379" i="82"/>
  <c r="CZ318" i="82"/>
  <c r="CZ335" i="82" s="1"/>
  <c r="CZ314" i="82"/>
  <c r="CZ329" i="82" s="1"/>
  <c r="CZ331" i="82" s="1"/>
  <c r="X83" i="3"/>
  <c r="X85" i="3" s="1"/>
  <c r="X88" i="3"/>
  <c r="AC88" i="3"/>
  <c r="CX470" i="1"/>
  <c r="CX33" i="1"/>
  <c r="CX584" i="1"/>
  <c r="BQ19" i="3"/>
  <c r="AZ626" i="1"/>
  <c r="AZ619" i="1"/>
  <c r="CU159" i="2"/>
  <c r="CU158" i="2"/>
  <c r="AO83" i="3"/>
  <c r="AO85" i="3" s="1"/>
  <c r="AO88" i="3"/>
  <c r="DD154" i="2"/>
  <c r="DD172" i="2"/>
  <c r="DD72" i="2"/>
  <c r="DD318" i="82"/>
  <c r="DD335" i="82" s="1"/>
  <c r="DD332" i="82"/>
  <c r="DD314" i="82"/>
  <c r="DD329" i="82" s="1"/>
  <c r="DD331" i="82" s="1"/>
  <c r="CM336" i="82"/>
  <c r="AT87" i="3"/>
  <c r="AT89" i="3"/>
  <c r="T334" i="1"/>
  <c r="T362" i="2"/>
  <c r="T161" i="2"/>
  <c r="T179" i="2"/>
  <c r="T164" i="2"/>
  <c r="Y182" i="2"/>
  <c r="Y164" i="2"/>
  <c r="V95" i="2"/>
  <c r="Y76" i="2"/>
  <c r="Y350" i="2"/>
  <c r="V362" i="2"/>
  <c r="CN180" i="2"/>
  <c r="DE523" i="1"/>
  <c r="DE73" i="1"/>
  <c r="DE60" i="2"/>
  <c r="CE149" i="1"/>
  <c r="CG81" i="2"/>
  <c r="CG51" i="2"/>
  <c r="BN612" i="1"/>
  <c r="BN613" i="1" s="1"/>
  <c r="Q17" i="113"/>
  <c r="Q478" i="113" s="1"/>
  <c r="Q479" i="113" s="1"/>
  <c r="CR320" i="82"/>
  <c r="CR202" i="82" s="1"/>
  <c r="CR34" i="2"/>
  <c r="CM176" i="2"/>
  <c r="CT477" i="1"/>
  <c r="CT40" i="1"/>
  <c r="CT593" i="1"/>
  <c r="CE457" i="1"/>
  <c r="CL457" i="1"/>
  <c r="U34" i="2"/>
  <c r="U36" i="2"/>
  <c r="AN87" i="3"/>
  <c r="AN89" i="3"/>
  <c r="BF75" i="7"/>
  <c r="BX77" i="2"/>
  <c r="BX178" i="2"/>
  <c r="BX160" i="2"/>
  <c r="BX50" i="2"/>
  <c r="BX37" i="2"/>
  <c r="CO358" i="82"/>
  <c r="CO411" i="82"/>
  <c r="CO356" i="82"/>
  <c r="CO361" i="82"/>
  <c r="CT333" i="82"/>
  <c r="CT334" i="82"/>
  <c r="CP40" i="1"/>
  <c r="CP477" i="1"/>
  <c r="CP593" i="1"/>
  <c r="CP403" i="82"/>
  <c r="CP391" i="82"/>
  <c r="CP377" i="82"/>
  <c r="CP367" i="82"/>
  <c r="CP368" i="82" s="1"/>
  <c r="CP269" i="82"/>
  <c r="CY523" i="1"/>
  <c r="CY73" i="1"/>
  <c r="CY60" i="2"/>
  <c r="CY171" i="2"/>
  <c r="CY170" i="2"/>
  <c r="DC72" i="2"/>
  <c r="DC154" i="2"/>
  <c r="DC172" i="2"/>
  <c r="DG28" i="2"/>
  <c r="CX366" i="82"/>
  <c r="CX175" i="2"/>
  <c r="CX73" i="2"/>
  <c r="CX349" i="2"/>
  <c r="CX157" i="2"/>
  <c r="CP413" i="82"/>
  <c r="CP296" i="82"/>
  <c r="CP290" i="82"/>
  <c r="CP280" i="82"/>
  <c r="CT268" i="82"/>
  <c r="DC523" i="1"/>
  <c r="DC73" i="1"/>
  <c r="DC60" i="2"/>
  <c r="CH403" i="82"/>
  <c r="CH367" i="82"/>
  <c r="CH411" i="82"/>
  <c r="BN477" i="1"/>
  <c r="BN40" i="1"/>
  <c r="BN593" i="1"/>
  <c r="CT176" i="2"/>
  <c r="CT177" i="2"/>
  <c r="CD627" i="1"/>
  <c r="DC157" i="2"/>
  <c r="DC175" i="2"/>
  <c r="DC73" i="2"/>
  <c r="DC332" i="82"/>
  <c r="DC318" i="82"/>
  <c r="DC335" i="82" s="1"/>
  <c r="DC314" i="82"/>
  <c r="DC329" i="82" s="1"/>
  <c r="DC331" i="82" s="1"/>
  <c r="CX34" i="2"/>
  <c r="CX36" i="2"/>
  <c r="DB32" i="2"/>
  <c r="CX413" i="82"/>
  <c r="CX332" i="82"/>
  <c r="CX393" i="82"/>
  <c r="CX379" i="82"/>
  <c r="CX405" i="82"/>
  <c r="CX318" i="82"/>
  <c r="CX335" i="82" s="1"/>
  <c r="CX314" i="82"/>
  <c r="CX329" i="82" s="1"/>
  <c r="CX331" i="82" s="1"/>
  <c r="CS333" i="82"/>
  <c r="CS334" i="82"/>
  <c r="AY89" i="3"/>
  <c r="AY87" i="3"/>
  <c r="AY84" i="3"/>
  <c r="CS377" i="82"/>
  <c r="CS391" i="82"/>
  <c r="CS367" i="82"/>
  <c r="CS368" i="82" s="1"/>
  <c r="CW366" i="82"/>
  <c r="CS403" i="82"/>
  <c r="CP176" i="2"/>
  <c r="CP177" i="2"/>
  <c r="DF175" i="2"/>
  <c r="DF73" i="2"/>
  <c r="DF157" i="2"/>
  <c r="BV196" i="7"/>
  <c r="BV197" i="7" s="1"/>
  <c r="BV75" i="7"/>
  <c r="BV9" i="3"/>
  <c r="CT322" i="82"/>
  <c r="CT270" i="82" s="1"/>
  <c r="CT282" i="82" s="1"/>
  <c r="CT178" i="2"/>
  <c r="CT50" i="2"/>
  <c r="CT160" i="2"/>
  <c r="CT77" i="2"/>
  <c r="CT42" i="2"/>
  <c r="CT37" i="2"/>
  <c r="CZ366" i="82"/>
  <c r="CZ157" i="2"/>
  <c r="CZ175" i="2"/>
  <c r="CZ73" i="2"/>
  <c r="BW196" i="7"/>
  <c r="BW197" i="7" s="1"/>
  <c r="BW75" i="7"/>
  <c r="BW9" i="3"/>
  <c r="CU322" i="82"/>
  <c r="CU270" i="82" s="1"/>
  <c r="CU50" i="2"/>
  <c r="CU160" i="2"/>
  <c r="CU77" i="2"/>
  <c r="CU178" i="2"/>
  <c r="CU42" i="2"/>
  <c r="CU37" i="2"/>
  <c r="BC626" i="1"/>
  <c r="BC627" i="1" s="1"/>
  <c r="BC619" i="1"/>
  <c r="DH152" i="2"/>
  <c r="DH153" i="2"/>
  <c r="AR135" i="1"/>
  <c r="DB578" i="1"/>
  <c r="DK170" i="2"/>
  <c r="CO323" i="82"/>
  <c r="CO271" i="82" s="1"/>
  <c r="BD591" i="1"/>
  <c r="BD587" i="1" s="1"/>
  <c r="BD569" i="1"/>
  <c r="CD162" i="2"/>
  <c r="CI162" i="2"/>
  <c r="Z158" i="2"/>
  <c r="CL205" i="82"/>
  <c r="CQ220" i="82" s="1"/>
  <c r="DD157" i="2"/>
  <c r="DD175" i="2"/>
  <c r="DD73" i="2"/>
  <c r="CY152" i="2"/>
  <c r="CY153" i="2"/>
  <c r="CD96" i="2"/>
  <c r="CD78" i="2"/>
  <c r="CD351" i="2"/>
  <c r="BF197" i="7"/>
  <c r="BJ196" i="7"/>
  <c r="BJ197" i="7" s="1"/>
  <c r="BX463" i="1"/>
  <c r="BX26" i="1"/>
  <c r="BX575" i="1"/>
  <c r="AT128" i="1"/>
  <c r="AT136" i="1"/>
  <c r="AT134" i="1"/>
  <c r="AT133" i="1"/>
  <c r="CN345" i="82"/>
  <c r="CN204" i="82"/>
  <c r="CM158" i="2"/>
  <c r="CK163" i="2"/>
  <c r="CT618" i="1"/>
  <c r="DM73" i="2"/>
  <c r="O42" i="113"/>
  <c r="O38" i="113"/>
  <c r="V83" i="3"/>
  <c r="V85" i="3" s="1"/>
  <c r="AA88" i="3"/>
  <c r="U112" i="3"/>
  <c r="U114" i="3" s="1"/>
  <c r="U89" i="3"/>
  <c r="U87" i="3"/>
  <c r="BR75" i="7"/>
  <c r="BR196" i="7"/>
  <c r="BR197" i="7" s="1"/>
  <c r="BR9" i="3"/>
  <c r="CP322" i="82"/>
  <c r="CP270" i="82" s="1"/>
  <c r="CP282" i="82" s="1"/>
  <c r="CP160" i="2"/>
  <c r="CP77" i="2"/>
  <c r="CP178" i="2"/>
  <c r="CP50" i="2"/>
  <c r="CP42" i="2"/>
  <c r="CP37" i="2"/>
  <c r="U137" i="1"/>
  <c r="CR544" i="1"/>
  <c r="BS75" i="7"/>
  <c r="BS196" i="7"/>
  <c r="BS197" i="7" s="1"/>
  <c r="CQ322" i="82"/>
  <c r="CQ270" i="82" s="1"/>
  <c r="BS9" i="3"/>
  <c r="CQ160" i="2"/>
  <c r="CQ178" i="2"/>
  <c r="CQ77" i="2"/>
  <c r="CQ50" i="2"/>
  <c r="CQ42" i="2"/>
  <c r="CQ37" i="2"/>
  <c r="F9" i="3"/>
  <c r="F19" i="3" s="1"/>
  <c r="F50" i="3" s="1"/>
  <c r="F52" i="3" s="1"/>
  <c r="T160" i="2"/>
  <c r="T178" i="2"/>
  <c r="T50" i="2"/>
  <c r="T37" i="2"/>
  <c r="Y77" i="2"/>
  <c r="CY447" i="1"/>
  <c r="CY164" i="1"/>
  <c r="CO368" i="82"/>
  <c r="CR366" i="82"/>
  <c r="AH89" i="3"/>
  <c r="AH84" i="3"/>
  <c r="AH87" i="3"/>
  <c r="BG19" i="3"/>
  <c r="CW447" i="1"/>
  <c r="BA19" i="3"/>
  <c r="BE9" i="3"/>
  <c r="O17" i="113"/>
  <c r="O478" i="113" s="1"/>
  <c r="O479" i="113" s="1"/>
  <c r="CH320" i="82"/>
  <c r="CH202" i="82" s="1"/>
  <c r="CJ149" i="1"/>
  <c r="CQ337" i="82"/>
  <c r="CQ336" i="82"/>
  <c r="CH176" i="2"/>
  <c r="CI177" i="2"/>
  <c r="BT162" i="2"/>
  <c r="BT163" i="2"/>
  <c r="BU163" i="2"/>
  <c r="BN463" i="1"/>
  <c r="BN26" i="1"/>
  <c r="BN575" i="1"/>
  <c r="CS447" i="1"/>
  <c r="AU626" i="1"/>
  <c r="AY618" i="1"/>
  <c r="DA591" i="1"/>
  <c r="DA587" i="1" s="1"/>
  <c r="DA569" i="1"/>
  <c r="CM587" i="1"/>
  <c r="CM612" i="1"/>
  <c r="CM613" i="1" s="1"/>
  <c r="CP336" i="82"/>
  <c r="CP337" i="82"/>
  <c r="DF523" i="1"/>
  <c r="DF73" i="1"/>
  <c r="DF60" i="2"/>
  <c r="CT159" i="2"/>
  <c r="CT158" i="2"/>
  <c r="DC57" i="2"/>
  <c r="DG54" i="2"/>
  <c r="CX152" i="2"/>
  <c r="CX153" i="2"/>
  <c r="CV333" i="82"/>
  <c r="CV334" i="82"/>
  <c r="DE227" i="2"/>
  <c r="DE34" i="2"/>
  <c r="DE36" i="2"/>
  <c r="DE153" i="2"/>
  <c r="DE152" i="2"/>
  <c r="DF227" i="2"/>
  <c r="DF34" i="2"/>
  <c r="DF36" i="2"/>
  <c r="DF332" i="82"/>
  <c r="DF318" i="82"/>
  <c r="DF335" i="82" s="1"/>
  <c r="DF314" i="82"/>
  <c r="DF329" i="82" s="1"/>
  <c r="DF331" i="82" s="1"/>
  <c r="CT217" i="2"/>
  <c r="BV74" i="7"/>
  <c r="CU217" i="2"/>
  <c r="BW74" i="7"/>
  <c r="BD19" i="3"/>
  <c r="CN149" i="1"/>
  <c r="CO363" i="82"/>
  <c r="CO51" i="2"/>
  <c r="AZ477" i="1"/>
  <c r="AZ40" i="1"/>
  <c r="AZ593" i="1"/>
  <c r="CU403" i="82"/>
  <c r="CU377" i="82"/>
  <c r="CU391" i="82"/>
  <c r="CU367" i="82"/>
  <c r="CE81" i="2"/>
  <c r="CE51" i="2"/>
  <c r="S14" i="113"/>
  <c r="S13" i="113" s="1"/>
  <c r="DB316" i="82"/>
  <c r="DB220" i="2"/>
  <c r="DB151" i="2"/>
  <c r="DB71" i="2"/>
  <c r="DB169" i="2"/>
  <c r="DB29" i="2"/>
  <c r="CS334" i="1"/>
  <c r="CS161" i="2"/>
  <c r="CS182" i="2"/>
  <c r="CS179" i="2"/>
  <c r="CS76" i="2"/>
  <c r="CS164" i="2"/>
  <c r="CS95" i="2"/>
  <c r="CS362" i="2"/>
  <c r="CS350" i="2"/>
  <c r="CL346" i="82"/>
  <c r="CQ349" i="82" s="1"/>
  <c r="CQ348" i="82"/>
  <c r="CM333" i="82"/>
  <c r="DG522" i="1"/>
  <c r="CQ176" i="2"/>
  <c r="CQ177" i="2"/>
  <c r="DA152" i="2"/>
  <c r="DA153" i="2"/>
  <c r="CV374" i="2"/>
  <c r="CJ181" i="2"/>
  <c r="CJ180" i="2"/>
  <c r="CY110" i="2"/>
  <c r="CJ626" i="1"/>
  <c r="CJ619" i="1"/>
  <c r="CM618" i="1"/>
  <c r="CM619" i="1" s="1"/>
  <c r="DB522" i="1"/>
  <c r="CN162" i="2"/>
  <c r="CD43" i="2"/>
  <c r="BA612" i="1"/>
  <c r="BA613" i="1" s="1"/>
  <c r="BX477" i="1"/>
  <c r="BX40" i="1"/>
  <c r="BX593" i="1"/>
  <c r="CM403" i="82"/>
  <c r="CM377" i="82"/>
  <c r="CM411" i="82"/>
  <c r="CM367" i="82"/>
  <c r="CD457" i="1"/>
  <c r="CV463" i="1"/>
  <c r="CV26" i="1"/>
  <c r="CV575" i="1"/>
  <c r="R89" i="3"/>
  <c r="R112" i="3"/>
  <c r="R114" i="3" s="1"/>
  <c r="R87" i="3"/>
  <c r="CR545" i="1"/>
  <c r="CR536" i="1"/>
  <c r="CJ457" i="1"/>
  <c r="CQ413" i="82"/>
  <c r="CQ296" i="82"/>
  <c r="CQ290" i="82"/>
  <c r="CQ280" i="82"/>
  <c r="CU268" i="82"/>
  <c r="CU281" i="82" s="1"/>
  <c r="CW591" i="1"/>
  <c r="CW587" i="1" s="1"/>
  <c r="CW569" i="1"/>
  <c r="DF591" i="1"/>
  <c r="DF587" i="1" s="1"/>
  <c r="DF569" i="1"/>
  <c r="S41" i="113"/>
  <c r="S32" i="113"/>
  <c r="CT269" i="82"/>
  <c r="CT263" i="82" s="1"/>
  <c r="CX268" i="82"/>
  <c r="DC281" i="82" s="1"/>
  <c r="CT413" i="82"/>
  <c r="CT296" i="82"/>
  <c r="CT280" i="82"/>
  <c r="CT290" i="82"/>
  <c r="BE627" i="1"/>
  <c r="BN19" i="3" l="1"/>
  <c r="CL363" i="82"/>
  <c r="CL353" i="82" s="1"/>
  <c r="CL354" i="82" s="1"/>
  <c r="CL351" i="2"/>
  <c r="DR218" i="7"/>
  <c r="DS211" i="7"/>
  <c r="CL270" i="82"/>
  <c r="CQ282" i="82" s="1"/>
  <c r="CL78" i="2"/>
  <c r="CL323" i="82"/>
  <c r="DG34" i="82"/>
  <c r="DB315" i="2"/>
  <c r="DB324" i="2" s="1"/>
  <c r="DB321" i="2"/>
  <c r="DB330" i="2" s="1"/>
  <c r="DB326" i="2"/>
  <c r="DG315" i="2"/>
  <c r="DG324" i="2" s="1"/>
  <c r="DG326" i="2"/>
  <c r="DG321" i="2"/>
  <c r="DG330" i="2" s="1"/>
  <c r="CL81" i="2"/>
  <c r="CL51" i="2"/>
  <c r="DM35" i="82"/>
  <c r="DM331" i="2"/>
  <c r="BB20" i="3"/>
  <c r="M88" i="3"/>
  <c r="M83" i="3"/>
  <c r="M85" i="3" s="1"/>
  <c r="S88" i="3"/>
  <c r="N88" i="3"/>
  <c r="AI88" i="3"/>
  <c r="AI83" i="3"/>
  <c r="AI89" i="3" s="1"/>
  <c r="AN88" i="3"/>
  <c r="DJ178" i="39"/>
  <c r="DI177" i="39"/>
  <c r="BB80" i="3"/>
  <c r="BB88" i="3" s="1"/>
  <c r="BB50" i="3"/>
  <c r="BB77" i="3"/>
  <c r="CY76" i="2"/>
  <c r="BU82" i="2"/>
  <c r="DF179" i="2"/>
  <c r="CZ182" i="2"/>
  <c r="D27" i="11"/>
  <c r="D28" i="11" s="1"/>
  <c r="BM19" i="3"/>
  <c r="Q77" i="3"/>
  <c r="DP227" i="7"/>
  <c r="DO234" i="7"/>
  <c r="DO235" i="7" s="1"/>
  <c r="DM179" i="2"/>
  <c r="CD181" i="2"/>
  <c r="CM112" i="2"/>
  <c r="CW161" i="2"/>
  <c r="CI181" i="2"/>
  <c r="CH180" i="2"/>
  <c r="DD182" i="2"/>
  <c r="CG97" i="2"/>
  <c r="CH162" i="2"/>
  <c r="DF334" i="1"/>
  <c r="T88" i="3"/>
  <c r="O88" i="3"/>
  <c r="AU88" i="3"/>
  <c r="CM162" i="2"/>
  <c r="CU162" i="2"/>
  <c r="CT180" i="2"/>
  <c r="CD163" i="2"/>
  <c r="CH375" i="2"/>
  <c r="CY164" i="2"/>
  <c r="CU163" i="2"/>
  <c r="BU352" i="2"/>
  <c r="CK79" i="2"/>
  <c r="CP163" i="2"/>
  <c r="CP162" i="2"/>
  <c r="CM180" i="2"/>
  <c r="CQ180" i="2"/>
  <c r="CV335" i="1"/>
  <c r="CQ112" i="2"/>
  <c r="DD161" i="2"/>
  <c r="CY179" i="2"/>
  <c r="CY180" i="2" s="1"/>
  <c r="DD164" i="2"/>
  <c r="CY182" i="2"/>
  <c r="DD76" i="2"/>
  <c r="DA76" i="2"/>
  <c r="CY161" i="2"/>
  <c r="CY162" i="2" s="1"/>
  <c r="DF182" i="2"/>
  <c r="DD179" i="2"/>
  <c r="CY334" i="1"/>
  <c r="CY335" i="1" s="1"/>
  <c r="DD334" i="1"/>
  <c r="CR179" i="2"/>
  <c r="CR180" i="2" s="1"/>
  <c r="CQ163" i="2"/>
  <c r="CW164" i="2"/>
  <c r="CP375" i="2"/>
  <c r="CL80" i="2"/>
  <c r="CN181" i="2"/>
  <c r="CR334" i="1"/>
  <c r="CR335" i="1" s="1"/>
  <c r="CR182" i="2"/>
  <c r="CO375" i="2"/>
  <c r="CN112" i="2"/>
  <c r="CV162" i="2"/>
  <c r="CM375" i="2"/>
  <c r="CV163" i="2"/>
  <c r="CR164" i="2"/>
  <c r="DM184" i="82"/>
  <c r="N30" i="11"/>
  <c r="N31" i="11" s="1"/>
  <c r="CP112" i="2"/>
  <c r="BX375" i="2"/>
  <c r="CN375" i="2"/>
  <c r="CR76" i="2"/>
  <c r="DM161" i="2"/>
  <c r="CQ162" i="2"/>
  <c r="CQ375" i="2"/>
  <c r="CR350" i="2"/>
  <c r="CO112" i="2"/>
  <c r="CU181" i="2"/>
  <c r="CZ334" i="1"/>
  <c r="CZ335" i="1" s="1"/>
  <c r="CR161" i="2"/>
  <c r="DB344" i="1"/>
  <c r="CV181" i="2"/>
  <c r="L89" i="3"/>
  <c r="CV180" i="2"/>
  <c r="DA334" i="1"/>
  <c r="DA335" i="1" s="1"/>
  <c r="L87" i="3"/>
  <c r="C33" i="11"/>
  <c r="C36" i="11" s="1"/>
  <c r="DA164" i="2"/>
  <c r="DA182" i="2"/>
  <c r="DK164" i="2"/>
  <c r="DA179" i="2"/>
  <c r="DA161" i="2"/>
  <c r="CS375" i="2"/>
  <c r="CW350" i="2"/>
  <c r="DF161" i="2"/>
  <c r="Z164" i="2"/>
  <c r="O30" i="11"/>
  <c r="O31" i="11" s="1"/>
  <c r="CT112" i="2"/>
  <c r="U179" i="2"/>
  <c r="U180" i="2" s="1"/>
  <c r="CT375" i="2"/>
  <c r="CV112" i="2"/>
  <c r="CS112" i="2"/>
  <c r="CW76" i="2"/>
  <c r="DF164" i="2"/>
  <c r="CU375" i="2"/>
  <c r="CV375" i="2"/>
  <c r="DF76" i="2"/>
  <c r="CW334" i="1"/>
  <c r="CW179" i="2"/>
  <c r="CW182" i="2"/>
  <c r="CU112" i="2"/>
  <c r="AJ82" i="2"/>
  <c r="DE179" i="2"/>
  <c r="CU335" i="1"/>
  <c r="DF95" i="2"/>
  <c r="DE161" i="2"/>
  <c r="AE352" i="2"/>
  <c r="DE95" i="2"/>
  <c r="AE82" i="2"/>
  <c r="AJ352" i="2"/>
  <c r="DE334" i="1"/>
  <c r="CF97" i="2"/>
  <c r="DK334" i="1"/>
  <c r="DK182" i="2"/>
  <c r="CP181" i="2"/>
  <c r="CU180" i="2"/>
  <c r="CP180" i="2"/>
  <c r="CQ181" i="2"/>
  <c r="DK184" i="82"/>
  <c r="DK161" i="2"/>
  <c r="DK76" i="2"/>
  <c r="DK179" i="2"/>
  <c r="DM95" i="2"/>
  <c r="DA95" i="2"/>
  <c r="CZ161" i="2"/>
  <c r="DE76" i="2"/>
  <c r="DM334" i="1"/>
  <c r="DE182" i="2"/>
  <c r="CZ95" i="2"/>
  <c r="CZ164" i="2"/>
  <c r="CZ76" i="2"/>
  <c r="DE164" i="2"/>
  <c r="CZ179" i="2"/>
  <c r="Z76" i="2"/>
  <c r="U182" i="2"/>
  <c r="Z182" i="2"/>
  <c r="U161" i="2"/>
  <c r="Z162" i="2" s="1"/>
  <c r="Q375" i="2"/>
  <c r="U350" i="2"/>
  <c r="S375" i="2"/>
  <c r="T375" i="2"/>
  <c r="R375" i="2"/>
  <c r="U164" i="2"/>
  <c r="Z350" i="2"/>
  <c r="CH335" i="1"/>
  <c r="DB223" i="2"/>
  <c r="CJ43" i="2"/>
  <c r="CO80" i="2" s="1"/>
  <c r="DC229" i="2"/>
  <c r="DC228" i="2" s="1"/>
  <c r="CI43" i="2"/>
  <c r="CI80" i="2" s="1"/>
  <c r="CE97" i="2"/>
  <c r="CT163" i="2"/>
  <c r="BO74" i="7"/>
  <c r="CL97" i="2"/>
  <c r="CM335" i="1"/>
  <c r="DD229" i="2"/>
  <c r="DD228" i="2" s="1"/>
  <c r="DH229" i="2"/>
  <c r="DH228" i="2" s="1"/>
  <c r="DG223" i="2"/>
  <c r="CI51" i="2"/>
  <c r="U334" i="1"/>
  <c r="Z335" i="1" s="1"/>
  <c r="DK229" i="2"/>
  <c r="DK228" i="2" s="1"/>
  <c r="CO81" i="2"/>
  <c r="CR176" i="2"/>
  <c r="DM174" i="2"/>
  <c r="CK51" i="2"/>
  <c r="DF229" i="2"/>
  <c r="DF228" i="2" s="1"/>
  <c r="CR158" i="2"/>
  <c r="CH322" i="82"/>
  <c r="DM229" i="2"/>
  <c r="CA74" i="7"/>
  <c r="DB57" i="2"/>
  <c r="CK351" i="2"/>
  <c r="DG57" i="2"/>
  <c r="DM173" i="2"/>
  <c r="CX236" i="7"/>
  <c r="DE229" i="2"/>
  <c r="DE228" i="2" s="1"/>
  <c r="L112" i="3"/>
  <c r="L114" i="3" s="1"/>
  <c r="L117" i="3" s="1"/>
  <c r="AU83" i="3"/>
  <c r="AU85" i="3" s="1"/>
  <c r="U206" i="113"/>
  <c r="AZ88" i="3"/>
  <c r="CM337" i="1"/>
  <c r="DG61" i="1"/>
  <c r="DK71" i="1"/>
  <c r="BH80" i="3"/>
  <c r="BH83" i="3" s="1"/>
  <c r="BH85" i="3" s="1"/>
  <c r="BH50" i="3"/>
  <c r="BH52" i="3" s="1"/>
  <c r="BI51" i="3" s="1"/>
  <c r="BH77" i="3"/>
  <c r="DG46" i="1"/>
  <c r="DM71" i="1"/>
  <c r="DH72" i="1"/>
  <c r="DG26" i="1"/>
  <c r="CS335" i="1"/>
  <c r="CW72" i="1"/>
  <c r="CR71" i="1"/>
  <c r="P84" i="3"/>
  <c r="P112" i="3"/>
  <c r="P114" i="3" s="1"/>
  <c r="P117" i="3" s="1"/>
  <c r="Q80" i="3"/>
  <c r="V88" i="3" s="1"/>
  <c r="P88" i="3"/>
  <c r="U84" i="3"/>
  <c r="P89" i="3"/>
  <c r="P85" i="3"/>
  <c r="U88" i="3"/>
  <c r="D21" i="11"/>
  <c r="CH50" i="2"/>
  <c r="CJ351" i="2"/>
  <c r="CI81" i="2"/>
  <c r="CI363" i="82"/>
  <c r="CI364" i="82" s="1"/>
  <c r="CI323" i="82"/>
  <c r="CK363" i="82"/>
  <c r="CK364" i="82" s="1"/>
  <c r="CK81" i="2"/>
  <c r="CO79" i="2"/>
  <c r="BN77" i="3"/>
  <c r="BN50" i="3"/>
  <c r="BN80" i="3"/>
  <c r="BN83" i="3" s="1"/>
  <c r="BN85" i="3" s="1"/>
  <c r="Q50" i="3"/>
  <c r="CH37" i="2"/>
  <c r="CJ78" i="2"/>
  <c r="CJ96" i="2"/>
  <c r="CJ323" i="82"/>
  <c r="CO351" i="2"/>
  <c r="CO78" i="2"/>
  <c r="BL19" i="3"/>
  <c r="BJ75" i="7"/>
  <c r="BO196" i="7"/>
  <c r="BO197" i="7" s="1"/>
  <c r="CJ79" i="2"/>
  <c r="CK78" i="2"/>
  <c r="DC12" i="7"/>
  <c r="CI78" i="2"/>
  <c r="CK96" i="2"/>
  <c r="CI351" i="2"/>
  <c r="CK323" i="82"/>
  <c r="BO9" i="3"/>
  <c r="CJ81" i="2"/>
  <c r="CJ51" i="2"/>
  <c r="CJ363" i="82"/>
  <c r="CJ364" i="82" s="1"/>
  <c r="CL96" i="2"/>
  <c r="CI96" i="2"/>
  <c r="BK19" i="3"/>
  <c r="CH160" i="2"/>
  <c r="V20" i="3"/>
  <c r="BN20" i="3"/>
  <c r="CH42" i="2"/>
  <c r="DM160" i="2"/>
  <c r="Q20" i="3"/>
  <c r="CH178" i="2"/>
  <c r="CO96" i="2"/>
  <c r="CH77" i="2"/>
  <c r="AL84" i="3"/>
  <c r="AG85" i="3"/>
  <c r="CZ204" i="7"/>
  <c r="CY218" i="7"/>
  <c r="CX234" i="7"/>
  <c r="DM156" i="2"/>
  <c r="DM155" i="2"/>
  <c r="DM233" i="2"/>
  <c r="DM333" i="82"/>
  <c r="DM322" i="82"/>
  <c r="DM270" i="82" s="1"/>
  <c r="CO9" i="3"/>
  <c r="CX235" i="7"/>
  <c r="DM37" i="2"/>
  <c r="CO196" i="7"/>
  <c r="CO75" i="7"/>
  <c r="DM178" i="2"/>
  <c r="DM77" i="2"/>
  <c r="DM42" i="2"/>
  <c r="CO74" i="7"/>
  <c r="DM48" i="2"/>
  <c r="DM217" i="2"/>
  <c r="T98" i="113"/>
  <c r="T61" i="113"/>
  <c r="T440" i="113"/>
  <c r="T73" i="113"/>
  <c r="T186" i="113"/>
  <c r="T443" i="113" s="1"/>
  <c r="T442" i="113"/>
  <c r="T140" i="113"/>
  <c r="T451" i="113" s="1"/>
  <c r="DD95" i="2"/>
  <c r="DM176" i="2"/>
  <c r="DM177" i="2"/>
  <c r="DM158" i="2"/>
  <c r="DM159" i="2"/>
  <c r="DG173" i="82"/>
  <c r="DG175" i="82" s="1"/>
  <c r="DG182" i="82"/>
  <c r="T401" i="113"/>
  <c r="T400" i="113"/>
  <c r="T399" i="113"/>
  <c r="T384" i="113"/>
  <c r="T13" i="113"/>
  <c r="CX41" i="7"/>
  <c r="DG39" i="1"/>
  <c r="DG52" i="1"/>
  <c r="R33" i="113"/>
  <c r="T284" i="113"/>
  <c r="S33" i="113"/>
  <c r="DM182" i="2"/>
  <c r="CP352" i="82"/>
  <c r="CP263" i="82"/>
  <c r="CU277" i="82" s="1"/>
  <c r="R473" i="113"/>
  <c r="R499" i="113" s="1"/>
  <c r="R489" i="113"/>
  <c r="S489" i="113"/>
  <c r="Q473" i="113"/>
  <c r="Q474" i="113" s="1"/>
  <c r="Q491" i="113" s="1"/>
  <c r="Q489" i="113"/>
  <c r="U158" i="113"/>
  <c r="T326" i="113"/>
  <c r="CS619" i="1"/>
  <c r="CZ618" i="1"/>
  <c r="BI626" i="1"/>
  <c r="BI627" i="1" s="1"/>
  <c r="CU626" i="1"/>
  <c r="CU627" i="1" s="1"/>
  <c r="BD618" i="1"/>
  <c r="BD619" i="1" s="1"/>
  <c r="BA619" i="1"/>
  <c r="CS177" i="2"/>
  <c r="CR374" i="2"/>
  <c r="CS159" i="2"/>
  <c r="CW158" i="2"/>
  <c r="CW176" i="2"/>
  <c r="Q38" i="113"/>
  <c r="CW333" i="82"/>
  <c r="CY612" i="1"/>
  <c r="CY613" i="1" s="1"/>
  <c r="CW374" i="2"/>
  <c r="DF618" i="1"/>
  <c r="DF626" i="1" s="1"/>
  <c r="DF627" i="1" s="1"/>
  <c r="CX618" i="1"/>
  <c r="DB110" i="2"/>
  <c r="DG493" i="1"/>
  <c r="DG494" i="1" s="1"/>
  <c r="DG495" i="1" s="1"/>
  <c r="CW336" i="82"/>
  <c r="CY618" i="1"/>
  <c r="CV619" i="1"/>
  <c r="DM164" i="2"/>
  <c r="CV281" i="82"/>
  <c r="DM76" i="2"/>
  <c r="DA618" i="1"/>
  <c r="CM368" i="82"/>
  <c r="CV368" i="82"/>
  <c r="CH626" i="1"/>
  <c r="CH627" i="1" s="1"/>
  <c r="BC50" i="3"/>
  <c r="BC80" i="3"/>
  <c r="BC20" i="3"/>
  <c r="BC77" i="3"/>
  <c r="BH20" i="3"/>
  <c r="BN626" i="1"/>
  <c r="BN627" i="1" s="1"/>
  <c r="CU368" i="82"/>
  <c r="BV352" i="2"/>
  <c r="BV98" i="2"/>
  <c r="BV82" i="2"/>
  <c r="CF82" i="2"/>
  <c r="CF352" i="2"/>
  <c r="DG110" i="2"/>
  <c r="DF463" i="1"/>
  <c r="DF26" i="1"/>
  <c r="DF575" i="1"/>
  <c r="DF40" i="1"/>
  <c r="DF593" i="1"/>
  <c r="R117" i="3"/>
  <c r="R116" i="3"/>
  <c r="S16" i="113"/>
  <c r="S18" i="113" s="1"/>
  <c r="S34" i="113"/>
  <c r="S43" i="113"/>
  <c r="S25" i="113"/>
  <c r="DA463" i="1"/>
  <c r="DA26" i="1"/>
  <c r="DA575" i="1"/>
  <c r="BE19" i="3"/>
  <c r="BS19" i="3"/>
  <c r="BR19" i="3"/>
  <c r="U117" i="3"/>
  <c r="U116" i="3"/>
  <c r="CX177" i="2"/>
  <c r="CX176" i="2"/>
  <c r="DD156" i="2"/>
  <c r="DD155" i="2"/>
  <c r="AO87" i="3"/>
  <c r="AO89" i="3"/>
  <c r="AO84" i="3"/>
  <c r="X87" i="3"/>
  <c r="X89" i="3"/>
  <c r="X84" i="3"/>
  <c r="X112" i="3"/>
  <c r="X114" i="3" s="1"/>
  <c r="AC84" i="3"/>
  <c r="DF156" i="2"/>
  <c r="DF155" i="2"/>
  <c r="D38" i="113"/>
  <c r="D42" i="113"/>
  <c r="E38" i="113"/>
  <c r="CR269" i="82"/>
  <c r="CR263" i="82" s="1"/>
  <c r="O87" i="3"/>
  <c r="O89" i="3"/>
  <c r="O84" i="3"/>
  <c r="O112" i="3"/>
  <c r="O114" i="3" s="1"/>
  <c r="T84" i="3"/>
  <c r="DA377" i="82"/>
  <c r="DA367" i="82"/>
  <c r="DA368" i="82" s="1"/>
  <c r="DA391" i="82"/>
  <c r="DA403" i="82"/>
  <c r="DA411" i="82"/>
  <c r="CX156" i="2"/>
  <c r="CX155" i="2"/>
  <c r="Q18" i="113"/>
  <c r="BY75" i="7"/>
  <c r="CW322" i="82"/>
  <c r="CW270" i="82" s="1"/>
  <c r="CW160" i="2"/>
  <c r="CW42" i="2"/>
  <c r="CW77" i="2"/>
  <c r="CW178" i="2"/>
  <c r="CW50" i="2"/>
  <c r="CW37" i="2"/>
  <c r="CY174" i="2"/>
  <c r="CY173" i="2"/>
  <c r="CD98" i="2"/>
  <c r="CD352" i="2"/>
  <c r="CD82" i="2"/>
  <c r="CJ75" i="7"/>
  <c r="CJ196" i="7"/>
  <c r="CJ9" i="3"/>
  <c r="DH322" i="82"/>
  <c r="DH270" i="82" s="1"/>
  <c r="DH77" i="2"/>
  <c r="DH178" i="2"/>
  <c r="DH160" i="2"/>
  <c r="DH42" i="2"/>
  <c r="DH37" i="2"/>
  <c r="CN323" i="82"/>
  <c r="CN96" i="2"/>
  <c r="CN351" i="2"/>
  <c r="CN78" i="2"/>
  <c r="CX40" i="1"/>
  <c r="CX477" i="1"/>
  <c r="CX593" i="1"/>
  <c r="DG170" i="2"/>
  <c r="DH334" i="1"/>
  <c r="DH95" i="2"/>
  <c r="DH161" i="2"/>
  <c r="DH182" i="2"/>
  <c r="DH179" i="2"/>
  <c r="DH76" i="2"/>
  <c r="DH164" i="2"/>
  <c r="CV288" i="82"/>
  <c r="CX288" i="82"/>
  <c r="CS457" i="1"/>
  <c r="AG87" i="3"/>
  <c r="AG89" i="3"/>
  <c r="AG84" i="3"/>
  <c r="CV363" i="82"/>
  <c r="CV81" i="2"/>
  <c r="CV51" i="2"/>
  <c r="CS323" i="82"/>
  <c r="CS271" i="82" s="1"/>
  <c r="CS96" i="2"/>
  <c r="CS78" i="2"/>
  <c r="CS351" i="2"/>
  <c r="BY196" i="7"/>
  <c r="BY197" i="7" s="1"/>
  <c r="BU197" i="7"/>
  <c r="DK217" i="2"/>
  <c r="DK48" i="2"/>
  <c r="CM74" i="7"/>
  <c r="DE159" i="2"/>
  <c r="DE158" i="2"/>
  <c r="CJ627" i="1"/>
  <c r="CM626" i="1"/>
  <c r="CM627" i="1" s="1"/>
  <c r="DB366" i="82"/>
  <c r="DB157" i="2"/>
  <c r="DB175" i="2"/>
  <c r="DB73" i="2"/>
  <c r="DB470" i="1"/>
  <c r="DB33" i="1"/>
  <c r="DB584" i="1"/>
  <c r="K19" i="11"/>
  <c r="BX78" i="2"/>
  <c r="BX351" i="2"/>
  <c r="BW352" i="2"/>
  <c r="BW98" i="2"/>
  <c r="BW82" i="2"/>
  <c r="W117" i="3"/>
  <c r="W116" i="3"/>
  <c r="W115" i="3"/>
  <c r="BP197" i="7"/>
  <c r="BT196" i="7"/>
  <c r="BT197" i="7" s="1"/>
  <c r="Z80" i="3"/>
  <c r="Z50" i="3"/>
  <c r="Z20" i="3"/>
  <c r="AE20" i="3"/>
  <c r="Z77" i="3"/>
  <c r="CV356" i="82"/>
  <c r="CV411" i="82"/>
  <c r="CV361" i="82"/>
  <c r="CV358" i="82"/>
  <c r="CU352" i="82"/>
  <c r="CQ411" i="82"/>
  <c r="CQ358" i="82"/>
  <c r="CQ356" i="82"/>
  <c r="CQ361" i="82"/>
  <c r="CV277" i="82"/>
  <c r="CS79" i="2"/>
  <c r="CS43" i="2"/>
  <c r="CT411" i="82"/>
  <c r="CT361" i="82"/>
  <c r="CT356" i="82"/>
  <c r="CT358" i="82"/>
  <c r="CW463" i="1"/>
  <c r="CW26" i="1"/>
  <c r="CW575" i="1"/>
  <c r="DB170" i="2"/>
  <c r="CO364" i="82"/>
  <c r="CO353" i="82"/>
  <c r="CO354" i="82" s="1"/>
  <c r="DF336" i="82"/>
  <c r="DF337" i="82"/>
  <c r="DE217" i="2"/>
  <c r="DE48" i="2"/>
  <c r="CG74" i="7"/>
  <c r="CQ323" i="82"/>
  <c r="CQ271" i="82" s="1"/>
  <c r="CQ351" i="2"/>
  <c r="CQ96" i="2"/>
  <c r="CQ78" i="2"/>
  <c r="CP79" i="2"/>
  <c r="CP43" i="2"/>
  <c r="DD176" i="2"/>
  <c r="DD177" i="2"/>
  <c r="DB622" i="1"/>
  <c r="DB623" i="1" s="1"/>
  <c r="CZ176" i="2"/>
  <c r="CZ177" i="2"/>
  <c r="CT323" i="82"/>
  <c r="CT271" i="82" s="1"/>
  <c r="CT96" i="2"/>
  <c r="CT78" i="2"/>
  <c r="CT351" i="2"/>
  <c r="CX334" i="82"/>
  <c r="CX333" i="82"/>
  <c r="DC334" i="82"/>
  <c r="DC333" i="82"/>
  <c r="BX51" i="2"/>
  <c r="BX81" i="2"/>
  <c r="AT84" i="3"/>
  <c r="CZ156" i="2"/>
  <c r="CZ155" i="2"/>
  <c r="O18" i="113"/>
  <c r="CZ463" i="1"/>
  <c r="CZ26" i="1"/>
  <c r="CZ575" i="1"/>
  <c r="BF80" i="3"/>
  <c r="BF50" i="3"/>
  <c r="BF20" i="3"/>
  <c r="BF77" i="3"/>
  <c r="DH337" i="82"/>
  <c r="DH336" i="82"/>
  <c r="AS137" i="1"/>
  <c r="CF196" i="7"/>
  <c r="CF197" i="7" s="1"/>
  <c r="CF75" i="7"/>
  <c r="CF9" i="3"/>
  <c r="DD322" i="82"/>
  <c r="DD270" i="82" s="1"/>
  <c r="DD160" i="2"/>
  <c r="DD77" i="2"/>
  <c r="DD178" i="2"/>
  <c r="DD37" i="2"/>
  <c r="DD42" i="2"/>
  <c r="DK336" i="82"/>
  <c r="DH156" i="2"/>
  <c r="DH155" i="2"/>
  <c r="BI80" i="3"/>
  <c r="BI20" i="3"/>
  <c r="BI77" i="3"/>
  <c r="BI50" i="3"/>
  <c r="CN363" i="82"/>
  <c r="CN81" i="2"/>
  <c r="CN51" i="2"/>
  <c r="CS363" i="82"/>
  <c r="CS51" i="2"/>
  <c r="CS81" i="2"/>
  <c r="BA80" i="3"/>
  <c r="BA20" i="3"/>
  <c r="BA77" i="3"/>
  <c r="BA50" i="3"/>
  <c r="BI477" i="1"/>
  <c r="BI40" i="1"/>
  <c r="BI593" i="1"/>
  <c r="CN79" i="2"/>
  <c r="CN43" i="2"/>
  <c r="CY158" i="2"/>
  <c r="CY159" i="2"/>
  <c r="DE177" i="2"/>
  <c r="DE176" i="2"/>
  <c r="CU288" i="82"/>
  <c r="CW477" i="1"/>
  <c r="CW40" i="1"/>
  <c r="CW593" i="1"/>
  <c r="DF333" i="82"/>
  <c r="DF334" i="82"/>
  <c r="DE233" i="2"/>
  <c r="CQ79" i="2"/>
  <c r="CQ43" i="2"/>
  <c r="CP363" i="82"/>
  <c r="CP81" i="2"/>
  <c r="CP51" i="2"/>
  <c r="E33" i="11"/>
  <c r="V87" i="3"/>
  <c r="V112" i="3"/>
  <c r="V114" i="3" s="1"/>
  <c r="V89" i="3"/>
  <c r="AA84" i="3"/>
  <c r="CT626" i="1"/>
  <c r="CT627" i="1" s="1"/>
  <c r="CT619" i="1"/>
  <c r="DD159" i="2"/>
  <c r="DD158" i="2"/>
  <c r="AR137" i="1"/>
  <c r="CU363" i="82"/>
  <c r="CU81" i="2"/>
  <c r="CU51" i="2"/>
  <c r="CZ158" i="2"/>
  <c r="CZ159" i="2"/>
  <c r="CT79" i="2"/>
  <c r="CT43" i="2"/>
  <c r="CT457" i="1"/>
  <c r="CR217" i="2"/>
  <c r="BT74" i="7"/>
  <c r="CZ477" i="1"/>
  <c r="CZ40" i="1"/>
  <c r="CZ593" i="1"/>
  <c r="BT352" i="2"/>
  <c r="BT98" i="2"/>
  <c r="BT82" i="2"/>
  <c r="BU98" i="2"/>
  <c r="BJ19" i="3"/>
  <c r="CZ217" i="2"/>
  <c r="CZ48" i="2"/>
  <c r="CB74" i="7"/>
  <c r="DE174" i="2"/>
  <c r="DE173" i="2"/>
  <c r="CQ149" i="1"/>
  <c r="DD48" i="2"/>
  <c r="CF74" i="7"/>
  <c r="DK333" i="82"/>
  <c r="CS356" i="82"/>
  <c r="CS411" i="82"/>
  <c r="CS361" i="82"/>
  <c r="CS358" i="82"/>
  <c r="CV352" i="82"/>
  <c r="CW269" i="82"/>
  <c r="CW263" i="82" s="1"/>
  <c r="CW612" i="1"/>
  <c r="CW613" i="1" s="1"/>
  <c r="CX334" i="1"/>
  <c r="CX95" i="2"/>
  <c r="CX350" i="2"/>
  <c r="CX362" i="2"/>
  <c r="CX161" i="2"/>
  <c r="CX182" i="2"/>
  <c r="CX179" i="2"/>
  <c r="CX76" i="2"/>
  <c r="CX164" i="2"/>
  <c r="J33" i="11"/>
  <c r="AZ112" i="3"/>
  <c r="AZ114" i="3" s="1"/>
  <c r="AZ87" i="3"/>
  <c r="BT75" i="7"/>
  <c r="CR322" i="82"/>
  <c r="CR77" i="2"/>
  <c r="CR178" i="2"/>
  <c r="CR50" i="2"/>
  <c r="CR160" i="2"/>
  <c r="CR42" i="2"/>
  <c r="CR37" i="2"/>
  <c r="T43" i="113"/>
  <c r="T25" i="113"/>
  <c r="T34" i="113"/>
  <c r="DB600" i="1"/>
  <c r="DB601" i="1" s="1"/>
  <c r="DB54" i="1" s="1"/>
  <c r="CU457" i="1"/>
  <c r="CY337" i="82"/>
  <c r="CY336" i="82"/>
  <c r="CY177" i="2"/>
  <c r="CY176" i="2"/>
  <c r="CY463" i="1"/>
  <c r="CY26" i="1"/>
  <c r="CY575" i="1"/>
  <c r="R42" i="113"/>
  <c r="R38" i="113"/>
  <c r="CM149" i="1"/>
  <c r="BV19" i="3"/>
  <c r="CP149" i="1"/>
  <c r="CY156" i="2"/>
  <c r="CY155" i="2"/>
  <c r="DH233" i="2"/>
  <c r="AK88" i="3"/>
  <c r="AK83" i="3"/>
  <c r="DK233" i="2"/>
  <c r="DG523" i="1"/>
  <c r="DG73" i="1"/>
  <c r="DG60" i="2"/>
  <c r="CT277" i="82"/>
  <c r="CT288" i="82"/>
  <c r="DB523" i="1"/>
  <c r="DB73" i="1"/>
  <c r="DB60" i="2"/>
  <c r="DB152" i="2"/>
  <c r="CE82" i="2"/>
  <c r="CE352" i="2"/>
  <c r="CE98" i="2"/>
  <c r="CF98" i="2"/>
  <c r="CH75" i="7"/>
  <c r="CH196" i="7"/>
  <c r="CH197" i="7" s="1"/>
  <c r="CH9" i="3"/>
  <c r="DF322" i="82"/>
  <c r="DF270" i="82" s="1"/>
  <c r="DF160" i="2"/>
  <c r="DF77" i="2"/>
  <c r="DF178" i="2"/>
  <c r="DF37" i="2"/>
  <c r="DF42" i="2"/>
  <c r="DC334" i="1"/>
  <c r="DC182" i="2"/>
  <c r="DC179" i="2"/>
  <c r="DC76" i="2"/>
  <c r="DC164" i="2"/>
  <c r="DC95" i="2"/>
  <c r="DC161" i="2"/>
  <c r="CQ363" i="82"/>
  <c r="CQ81" i="2"/>
  <c r="CQ51" i="2"/>
  <c r="CU282" i="82"/>
  <c r="CZ391" i="82"/>
  <c r="CZ377" i="82"/>
  <c r="CZ367" i="82"/>
  <c r="CZ368" i="82" s="1"/>
  <c r="CZ403" i="82"/>
  <c r="CZ411" i="82"/>
  <c r="DF158" i="2"/>
  <c r="DF159" i="2"/>
  <c r="DB227" i="2"/>
  <c r="DB34" i="2"/>
  <c r="DB36" i="2"/>
  <c r="DB217" i="2"/>
  <c r="DC176" i="2"/>
  <c r="DC177" i="2"/>
  <c r="DF612" i="1"/>
  <c r="DF613" i="1" s="1"/>
  <c r="DG154" i="2"/>
  <c r="DG172" i="2"/>
  <c r="DG72" i="2"/>
  <c r="CO288" i="82"/>
  <c r="CO277" i="82"/>
  <c r="G9" i="3"/>
  <c r="G19" i="3" s="1"/>
  <c r="U160" i="2"/>
  <c r="U178" i="2"/>
  <c r="U77" i="2"/>
  <c r="U50" i="2"/>
  <c r="U37" i="2"/>
  <c r="Z77" i="2"/>
  <c r="CR204" i="82"/>
  <c r="CR345" i="82"/>
  <c r="DD333" i="82"/>
  <c r="DD334" i="82"/>
  <c r="CX447" i="1"/>
  <c r="CX164" i="1"/>
  <c r="CZ336" i="82"/>
  <c r="CZ337" i="82"/>
  <c r="CZ174" i="2"/>
  <c r="CZ173" i="2"/>
  <c r="H117" i="3"/>
  <c r="H116" i="3"/>
  <c r="CP626" i="1"/>
  <c r="CP619" i="1"/>
  <c r="CR618" i="1"/>
  <c r="CR619" i="1" s="1"/>
  <c r="DH334" i="82"/>
  <c r="DH333" i="82"/>
  <c r="CB75" i="7"/>
  <c r="CB196" i="7"/>
  <c r="CB197" i="7" s="1"/>
  <c r="CB9" i="3"/>
  <c r="CZ322" i="82"/>
  <c r="CZ270" i="82" s="1"/>
  <c r="CZ77" i="2"/>
  <c r="CZ178" i="2"/>
  <c r="CZ160" i="2"/>
  <c r="CZ37" i="2"/>
  <c r="CZ42" i="2"/>
  <c r="CZ612" i="1"/>
  <c r="CZ613" i="1" s="1"/>
  <c r="CE196" i="7"/>
  <c r="CE75" i="7"/>
  <c r="CE9" i="3"/>
  <c r="DC322" i="82"/>
  <c r="DC270" i="82" s="1"/>
  <c r="DC160" i="2"/>
  <c r="DC77" i="2"/>
  <c r="DC178" i="2"/>
  <c r="DC37" i="2"/>
  <c r="DC42" i="2"/>
  <c r="DE156" i="2"/>
  <c r="DE155" i="2"/>
  <c r="DA156" i="2"/>
  <c r="DA155" i="2"/>
  <c r="DH174" i="2"/>
  <c r="DH173" i="2"/>
  <c r="R295" i="113"/>
  <c r="CW413" i="82"/>
  <c r="CW268" i="82"/>
  <c r="CW296" i="82"/>
  <c r="CW280" i="82"/>
  <c r="CU149" i="1"/>
  <c r="CK80" i="2"/>
  <c r="DG366" i="82"/>
  <c r="DG175" i="2"/>
  <c r="DG73" i="2"/>
  <c r="DG157" i="2"/>
  <c r="CY334" i="82"/>
  <c r="CY333" i="82"/>
  <c r="CY367" i="82"/>
  <c r="CY368" i="82" s="1"/>
  <c r="CY391" i="82"/>
  <c r="CY377" i="82"/>
  <c r="CY403" i="82"/>
  <c r="CY411" i="82"/>
  <c r="CV282" i="82"/>
  <c r="CY477" i="1"/>
  <c r="CY40" i="1"/>
  <c r="CY593" i="1"/>
  <c r="CU358" i="82"/>
  <c r="CU356" i="82"/>
  <c r="CU411" i="82"/>
  <c r="CU361" i="82"/>
  <c r="R44" i="113"/>
  <c r="R19" i="113"/>
  <c r="CV149" i="1"/>
  <c r="CM477" i="1"/>
  <c r="CM40" i="1"/>
  <c r="CM593" i="1"/>
  <c r="CH345" i="82"/>
  <c r="CH346" i="82" s="1"/>
  <c r="CH204" i="82"/>
  <c r="CH205" i="82" s="1"/>
  <c r="CN205" i="82"/>
  <c r="CN219" i="82"/>
  <c r="CN233" i="82"/>
  <c r="CO233" i="82"/>
  <c r="CS219" i="82"/>
  <c r="BW19" i="3"/>
  <c r="CW377" i="82"/>
  <c r="CW367" i="82"/>
  <c r="CW403" i="82"/>
  <c r="BZ75" i="7"/>
  <c r="BZ196" i="7"/>
  <c r="BZ9" i="3"/>
  <c r="CX322" i="82"/>
  <c r="CX270" i="82" s="1"/>
  <c r="CX160" i="2"/>
  <c r="CX77" i="2"/>
  <c r="CX178" i="2"/>
  <c r="CX37" i="2"/>
  <c r="CX42" i="2"/>
  <c r="DC159" i="2"/>
  <c r="DC158" i="2"/>
  <c r="CX158" i="2"/>
  <c r="CX159" i="2"/>
  <c r="DC174" i="2"/>
  <c r="DC173" i="2"/>
  <c r="CP358" i="82"/>
  <c r="CT352" i="82"/>
  <c r="CP361" i="82"/>
  <c r="CP356" i="82"/>
  <c r="CP411" i="82"/>
  <c r="Q502" i="113"/>
  <c r="Q480" i="113"/>
  <c r="T181" i="2"/>
  <c r="V181" i="2"/>
  <c r="Y180" i="2"/>
  <c r="DD336" i="82"/>
  <c r="DD337" i="82"/>
  <c r="BD626" i="1"/>
  <c r="AZ627" i="1"/>
  <c r="CT149" i="1"/>
  <c r="CQ626" i="1"/>
  <c r="CQ627" i="1" s="1"/>
  <c r="CQ619" i="1"/>
  <c r="DB172" i="2"/>
  <c r="DB72" i="2"/>
  <c r="DB154" i="2"/>
  <c r="DC48" i="2"/>
  <c r="CE74" i="7"/>
  <c r="I33" i="11"/>
  <c r="AP89" i="3"/>
  <c r="AP112" i="3"/>
  <c r="AP114" i="3" s="1"/>
  <c r="AP87" i="3"/>
  <c r="DA336" i="82"/>
  <c r="DA337" i="82"/>
  <c r="DA174" i="2"/>
  <c r="DA173" i="2"/>
  <c r="DD233" i="2"/>
  <c r="DK176" i="2"/>
  <c r="CW618" i="1"/>
  <c r="CQ457" i="1"/>
  <c r="CY95" i="2"/>
  <c r="DK173" i="2"/>
  <c r="BX19" i="3"/>
  <c r="DE337" i="82"/>
  <c r="DE336" i="82"/>
  <c r="CG196" i="7"/>
  <c r="CG197" i="7" s="1"/>
  <c r="CG75" i="7"/>
  <c r="CG9" i="3"/>
  <c r="DE322" i="82"/>
  <c r="DE270" i="82" s="1"/>
  <c r="DE160" i="2"/>
  <c r="DE42" i="2"/>
  <c r="DE77" i="2"/>
  <c r="DE178" i="2"/>
  <c r="DE37" i="2"/>
  <c r="DA477" i="1"/>
  <c r="DA40" i="1"/>
  <c r="DA593" i="1"/>
  <c r="CP323" i="82"/>
  <c r="CP271" i="82" s="1"/>
  <c r="CP78" i="2"/>
  <c r="CP351" i="2"/>
  <c r="CP96" i="2"/>
  <c r="BO75" i="7"/>
  <c r="CM322" i="82"/>
  <c r="CM50" i="2"/>
  <c r="CM160" i="2"/>
  <c r="CM77" i="2"/>
  <c r="CM178" i="2"/>
  <c r="CM42" i="2"/>
  <c r="CM37" i="2"/>
  <c r="DF217" i="2"/>
  <c r="DF48" i="2"/>
  <c r="CH74" i="7"/>
  <c r="DB379" i="82"/>
  <c r="DB318" i="82"/>
  <c r="DB335" i="82" s="1"/>
  <c r="DB336" i="82" s="1"/>
  <c r="DB332" i="82"/>
  <c r="DB333" i="82" s="1"/>
  <c r="DB405" i="82"/>
  <c r="DB413" i="82"/>
  <c r="DB314" i="82"/>
  <c r="DB329" i="82" s="1"/>
  <c r="DB331" i="82" s="1"/>
  <c r="CR377" i="82"/>
  <c r="CR367" i="82"/>
  <c r="CR368" i="82" s="1"/>
  <c r="CR403" i="82"/>
  <c r="V96" i="2"/>
  <c r="Y78" i="2"/>
  <c r="Y351" i="2"/>
  <c r="CN346" i="82"/>
  <c r="CN348" i="82"/>
  <c r="CS348" i="82"/>
  <c r="BD463" i="1"/>
  <c r="BD26" i="1"/>
  <c r="BD575" i="1"/>
  <c r="CU323" i="82"/>
  <c r="CU271" i="82" s="1"/>
  <c r="CU96" i="2"/>
  <c r="CU78" i="2"/>
  <c r="CU351" i="2"/>
  <c r="CT363" i="82"/>
  <c r="CT81" i="2"/>
  <c r="CT51" i="2"/>
  <c r="DF177" i="2"/>
  <c r="DF176" i="2"/>
  <c r="CX337" i="82"/>
  <c r="CX336" i="82"/>
  <c r="CX217" i="2"/>
  <c r="CX48" i="2"/>
  <c r="BZ74" i="7"/>
  <c r="DC155" i="2"/>
  <c r="DC156" i="2"/>
  <c r="T163" i="2"/>
  <c r="V163" i="2"/>
  <c r="Y162" i="2"/>
  <c r="CZ333" i="82"/>
  <c r="CZ334" i="82"/>
  <c r="D44" i="113"/>
  <c r="D19" i="113"/>
  <c r="CN288" i="82"/>
  <c r="CN277" i="82"/>
  <c r="CH457" i="1"/>
  <c r="DA176" i="2"/>
  <c r="DA177" i="2"/>
  <c r="DH177" i="2"/>
  <c r="DH176" i="2"/>
  <c r="DG227" i="2"/>
  <c r="DG36" i="2"/>
  <c r="DG34" i="2"/>
  <c r="CM345" i="82"/>
  <c r="CM204" i="82"/>
  <c r="AP88" i="3"/>
  <c r="CA75" i="7"/>
  <c r="CA196" i="7"/>
  <c r="CA197" i="7" s="1"/>
  <c r="CY322" i="82"/>
  <c r="CY270" i="82" s="1"/>
  <c r="CA9" i="3"/>
  <c r="CY160" i="2"/>
  <c r="CY178" i="2"/>
  <c r="CY42" i="2"/>
  <c r="CY77" i="2"/>
  <c r="CY50" i="2"/>
  <c r="CY37" i="2"/>
  <c r="DK158" i="2"/>
  <c r="P18" i="113"/>
  <c r="CR587" i="1"/>
  <c r="CR612" i="1"/>
  <c r="CR613" i="1" s="1"/>
  <c r="AJ87" i="3"/>
  <c r="AJ89" i="3"/>
  <c r="AJ84" i="3"/>
  <c r="CC75" i="7"/>
  <c r="CC196" i="7"/>
  <c r="CC197" i="7" s="1"/>
  <c r="DA322" i="82"/>
  <c r="DA270" i="82" s="1"/>
  <c r="CC9" i="3"/>
  <c r="DA77" i="2"/>
  <c r="DA178" i="2"/>
  <c r="DA160" i="2"/>
  <c r="DA50" i="2"/>
  <c r="DA37" i="2"/>
  <c r="DA42" i="2"/>
  <c r="DK155" i="2"/>
  <c r="DH217" i="2"/>
  <c r="DH48" i="2"/>
  <c r="CJ74" i="7"/>
  <c r="CN270" i="82"/>
  <c r="CN282" i="82" s="1"/>
  <c r="CX463" i="1"/>
  <c r="CX26" i="1"/>
  <c r="CX575" i="1"/>
  <c r="DG152" i="2"/>
  <c r="CV323" i="82"/>
  <c r="CV271" i="82" s="1"/>
  <c r="CV96" i="2"/>
  <c r="CV351" i="2"/>
  <c r="CV78" i="2"/>
  <c r="BY9" i="3"/>
  <c r="BU19" i="3"/>
  <c r="DE334" i="82"/>
  <c r="DE333" i="82"/>
  <c r="Y83" i="3"/>
  <c r="Y85" i="3" s="1"/>
  <c r="Y88" i="3"/>
  <c r="AD88" i="3"/>
  <c r="CS162" i="2"/>
  <c r="DC337" i="82"/>
  <c r="DC336" i="82"/>
  <c r="CX377" i="82"/>
  <c r="CX367" i="82"/>
  <c r="CX368" i="82" s="1"/>
  <c r="CX391" i="82"/>
  <c r="CX403" i="82"/>
  <c r="CX411" i="82"/>
  <c r="DG379" i="82"/>
  <c r="DG332" i="82"/>
  <c r="DG318" i="82"/>
  <c r="DG335" i="82" s="1"/>
  <c r="DG413" i="82"/>
  <c r="DG405" i="82"/>
  <c r="DG314" i="82"/>
  <c r="DG329" i="82" s="1"/>
  <c r="DG331" i="82" s="1"/>
  <c r="CD97" i="2"/>
  <c r="DF233" i="2"/>
  <c r="O502" i="113"/>
  <c r="O480" i="113"/>
  <c r="BG80" i="3"/>
  <c r="BG20" i="3"/>
  <c r="BG77" i="3"/>
  <c r="BG50" i="3"/>
  <c r="CS180" i="2"/>
  <c r="BD80" i="3"/>
  <c r="BD20" i="3"/>
  <c r="BD50" i="3"/>
  <c r="BD77" i="3"/>
  <c r="T51" i="2"/>
  <c r="Y81" i="2"/>
  <c r="AT135" i="1"/>
  <c r="BD477" i="1"/>
  <c r="BD40" i="1"/>
  <c r="BD593" i="1"/>
  <c r="CU79" i="2"/>
  <c r="CU43" i="2"/>
  <c r="CP457" i="1"/>
  <c r="CS352" i="82"/>
  <c r="CG352" i="2"/>
  <c r="CG98" i="2"/>
  <c r="CG82" i="2"/>
  <c r="DD174" i="2"/>
  <c r="DD173" i="2"/>
  <c r="DA612" i="1"/>
  <c r="DA613" i="1" s="1"/>
  <c r="BQ80" i="3"/>
  <c r="BQ77" i="3"/>
  <c r="BQ50" i="3"/>
  <c r="DF173" i="2"/>
  <c r="DF174" i="2"/>
  <c r="CQ352" i="82"/>
  <c r="DA158" i="2"/>
  <c r="DA159" i="2"/>
  <c r="DH158" i="2"/>
  <c r="DH159" i="2"/>
  <c r="CX173" i="2"/>
  <c r="CX174" i="2"/>
  <c r="DG217" i="2"/>
  <c r="DC233" i="2"/>
  <c r="P502" i="113"/>
  <c r="P480" i="113"/>
  <c r="CH149" i="1"/>
  <c r="DA333" i="82"/>
  <c r="DA334" i="82"/>
  <c r="CW217" i="2"/>
  <c r="BY74" i="7"/>
  <c r="CS277" i="82"/>
  <c r="CV457" i="1"/>
  <c r="CR463" i="1"/>
  <c r="CR26" i="1"/>
  <c r="CR575" i="1"/>
  <c r="CS627" i="1"/>
  <c r="N87" i="3"/>
  <c r="N112" i="3"/>
  <c r="N114" i="3" s="1"/>
  <c r="N89" i="3"/>
  <c r="N84" i="3"/>
  <c r="S84" i="3"/>
  <c r="DA217" i="2"/>
  <c r="CC74" i="7"/>
  <c r="BP19" i="3"/>
  <c r="BT9" i="3"/>
  <c r="DB591" i="1"/>
  <c r="DB587" i="1" s="1"/>
  <c r="DB569" i="1"/>
  <c r="CX612" i="1"/>
  <c r="CX613" i="1" s="1"/>
  <c r="CS149" i="1"/>
  <c r="CT181" i="2"/>
  <c r="CV79" i="2"/>
  <c r="CV43" i="2"/>
  <c r="Q295" i="113"/>
  <c r="CR413" i="82"/>
  <c r="CR280" i="82"/>
  <c r="CR296" i="82"/>
  <c r="CR268" i="82"/>
  <c r="BX626" i="1"/>
  <c r="BX627" i="1" s="1"/>
  <c r="BD612" i="1"/>
  <c r="CM196" i="7"/>
  <c r="CM197" i="7" s="1"/>
  <c r="CM75" i="7"/>
  <c r="CM9" i="3"/>
  <c r="DK322" i="82"/>
  <c r="DK270" i="82" s="1"/>
  <c r="DK160" i="2"/>
  <c r="DK77" i="2"/>
  <c r="DK178" i="2"/>
  <c r="DK37" i="2"/>
  <c r="DK42" i="2"/>
  <c r="CL352" i="2" l="1"/>
  <c r="CL364" i="82"/>
  <c r="DT211" i="7"/>
  <c r="DS218" i="7"/>
  <c r="DS44" i="3" s="1"/>
  <c r="CL82" i="2"/>
  <c r="M89" i="3"/>
  <c r="M87" i="3"/>
  <c r="BB83" i="3"/>
  <c r="BB84" i="3" s="1"/>
  <c r="BM20" i="3"/>
  <c r="R84" i="3"/>
  <c r="M84" i="3"/>
  <c r="M112" i="3"/>
  <c r="Q112" i="3" s="1"/>
  <c r="Q114" i="3" s="1"/>
  <c r="V115" i="3" s="1"/>
  <c r="AI85" i="3"/>
  <c r="AN84" i="3"/>
  <c r="AI84" i="3"/>
  <c r="AI87" i="3"/>
  <c r="DF180" i="2"/>
  <c r="DK178" i="39"/>
  <c r="DJ177" i="39"/>
  <c r="BM77" i="3"/>
  <c r="CL98" i="2"/>
  <c r="BM80" i="3"/>
  <c r="BM83" i="3" s="1"/>
  <c r="BM85" i="3" s="1"/>
  <c r="BM50" i="3"/>
  <c r="DQ227" i="7"/>
  <c r="DP234" i="7"/>
  <c r="DP235" i="7" s="1"/>
  <c r="DK180" i="2"/>
  <c r="DG334" i="1"/>
  <c r="CW619" i="1"/>
  <c r="CX626" i="1"/>
  <c r="CX627" i="1" s="1"/>
  <c r="CY626" i="1"/>
  <c r="CY627" i="1" s="1"/>
  <c r="DM10" i="1"/>
  <c r="CZ626" i="1"/>
  <c r="CZ627" i="1" s="1"/>
  <c r="DA626" i="1"/>
  <c r="DA627" i="1" s="1"/>
  <c r="CW162" i="2"/>
  <c r="DB161" i="2"/>
  <c r="DB164" i="2"/>
  <c r="DK335" i="1"/>
  <c r="DF335" i="1"/>
  <c r="DE335" i="1"/>
  <c r="DD162" i="2"/>
  <c r="DB76" i="2"/>
  <c r="CZ112" i="2"/>
  <c r="DB179" i="2"/>
  <c r="CX112" i="2"/>
  <c r="DB182" i="2"/>
  <c r="CY112" i="2"/>
  <c r="P30" i="11"/>
  <c r="P31" i="11" s="1"/>
  <c r="DA112" i="2"/>
  <c r="DB334" i="1"/>
  <c r="DB335" i="1" s="1"/>
  <c r="Z180" i="2"/>
  <c r="CS181" i="2"/>
  <c r="DD180" i="2"/>
  <c r="CZ163" i="2"/>
  <c r="DG179" i="2"/>
  <c r="DM163" i="2"/>
  <c r="CR375" i="2"/>
  <c r="DD335" i="1"/>
  <c r="CW335" i="1"/>
  <c r="CS163" i="2"/>
  <c r="CR162" i="2"/>
  <c r="CR112" i="2"/>
  <c r="U162" i="2"/>
  <c r="CZ162" i="2"/>
  <c r="DE181" i="2"/>
  <c r="CW180" i="2"/>
  <c r="DF181" i="2"/>
  <c r="CW375" i="2"/>
  <c r="DF162" i="2"/>
  <c r="C34" i="11"/>
  <c r="C35" i="11" s="1"/>
  <c r="DK162" i="2"/>
  <c r="DA162" i="2"/>
  <c r="DA163" i="2"/>
  <c r="DA180" i="2"/>
  <c r="L116" i="3"/>
  <c r="DF163" i="2"/>
  <c r="CW112" i="2"/>
  <c r="DE163" i="2"/>
  <c r="DE162" i="2"/>
  <c r="CJ97" i="2"/>
  <c r="CK352" i="2"/>
  <c r="CK82" i="2"/>
  <c r="DM181" i="2"/>
  <c r="CK97" i="2"/>
  <c r="CI352" i="2"/>
  <c r="CJ80" i="2"/>
  <c r="CI98" i="2"/>
  <c r="CI82" i="2"/>
  <c r="DG164" i="2"/>
  <c r="DG76" i="2"/>
  <c r="C11" i="15" s="1"/>
  <c r="CZ181" i="2"/>
  <c r="CZ180" i="2"/>
  <c r="DA181" i="2"/>
  <c r="DE180" i="2"/>
  <c r="U375" i="2"/>
  <c r="DG182" i="2"/>
  <c r="DG161" i="2"/>
  <c r="DG184" i="82"/>
  <c r="Q30" i="11"/>
  <c r="Q31" i="11" s="1"/>
  <c r="DD112" i="2"/>
  <c r="DC112" i="2"/>
  <c r="C10" i="15"/>
  <c r="C12" i="15" s="1"/>
  <c r="DF112" i="2"/>
  <c r="DE112" i="2"/>
  <c r="DB173" i="2"/>
  <c r="DM237" i="2"/>
  <c r="DH237" i="2"/>
  <c r="DC237" i="2"/>
  <c r="CD74" i="7"/>
  <c r="DD50" i="2"/>
  <c r="DM50" i="2"/>
  <c r="CO82" i="2"/>
  <c r="CI97" i="2"/>
  <c r="CZ50" i="2"/>
  <c r="DF237" i="2"/>
  <c r="DG229" i="2"/>
  <c r="DG228" i="2" s="1"/>
  <c r="DF50" i="2"/>
  <c r="DD234" i="2"/>
  <c r="DB155" i="2"/>
  <c r="DK234" i="2"/>
  <c r="DE234" i="2"/>
  <c r="CH43" i="2"/>
  <c r="CH363" i="82"/>
  <c r="CH353" i="82" s="1"/>
  <c r="CH354" i="82" s="1"/>
  <c r="DF234" i="2"/>
  <c r="DK50" i="2"/>
  <c r="DE237" i="2"/>
  <c r="CH78" i="2"/>
  <c r="DD237" i="2"/>
  <c r="DB229" i="2"/>
  <c r="DB228" i="2" s="1"/>
  <c r="CO97" i="2"/>
  <c r="DE50" i="2"/>
  <c r="DH50" i="2"/>
  <c r="DK237" i="2"/>
  <c r="DH234" i="2"/>
  <c r="DM228" i="2"/>
  <c r="AU87" i="3"/>
  <c r="AU89" i="3"/>
  <c r="AZ84" i="3"/>
  <c r="AU112" i="3"/>
  <c r="AU114" i="3" s="1"/>
  <c r="AZ115" i="3" s="1"/>
  <c r="AU84" i="3"/>
  <c r="DM31" i="1"/>
  <c r="DM32" i="1" s="1"/>
  <c r="DM59" i="1"/>
  <c r="DM60" i="1" s="1"/>
  <c r="DM45" i="1"/>
  <c r="DM46" i="1" s="1"/>
  <c r="DM17" i="1"/>
  <c r="DM18" i="1" s="1"/>
  <c r="DM19" i="1" s="1"/>
  <c r="BI52" i="3"/>
  <c r="BK51" i="3" s="1"/>
  <c r="BH89" i="3"/>
  <c r="BH87" i="3"/>
  <c r="DH71" i="1"/>
  <c r="DG53" i="1"/>
  <c r="DK45" i="1"/>
  <c r="DK17" i="1"/>
  <c r="DK59" i="1"/>
  <c r="DK31" i="1"/>
  <c r="DK10" i="1"/>
  <c r="CR337" i="1"/>
  <c r="CR338" i="1" s="1"/>
  <c r="CM338" i="1"/>
  <c r="DG47" i="1"/>
  <c r="DM335" i="1"/>
  <c r="Q88" i="3"/>
  <c r="Q83" i="3"/>
  <c r="Q87" i="3" s="1"/>
  <c r="DC335" i="1"/>
  <c r="DH335" i="1"/>
  <c r="U115" i="3"/>
  <c r="P115" i="3"/>
  <c r="CX335" i="1"/>
  <c r="P116" i="3"/>
  <c r="DB72" i="1"/>
  <c r="CW71" i="1"/>
  <c r="CH81" i="2"/>
  <c r="CH51" i="2"/>
  <c r="CJ98" i="2"/>
  <c r="L19" i="11"/>
  <c r="L20" i="11" s="1"/>
  <c r="BN88" i="3"/>
  <c r="CH323" i="82"/>
  <c r="CH351" i="2"/>
  <c r="BL80" i="3"/>
  <c r="BL83" i="3" s="1"/>
  <c r="BL85" i="3" s="1"/>
  <c r="BL77" i="3"/>
  <c r="BQ20" i="3"/>
  <c r="BL50" i="3"/>
  <c r="CJ82" i="2"/>
  <c r="BL20" i="3"/>
  <c r="CJ352" i="2"/>
  <c r="CO352" i="2"/>
  <c r="BO19" i="3"/>
  <c r="CK98" i="2"/>
  <c r="BK20" i="3"/>
  <c r="BK80" i="3"/>
  <c r="BK83" i="3" s="1"/>
  <c r="BK85" i="3" s="1"/>
  <c r="BK50" i="3"/>
  <c r="BK77" i="3"/>
  <c r="CO98" i="2"/>
  <c r="DK176" i="82"/>
  <c r="DG40" i="1"/>
  <c r="CY234" i="7"/>
  <c r="CY235" i="7" s="1"/>
  <c r="AP84" i="3"/>
  <c r="AK85" i="3"/>
  <c r="DC9" i="7"/>
  <c r="EA317" i="1"/>
  <c r="CZ218" i="7"/>
  <c r="DA204" i="7"/>
  <c r="DM189" i="82"/>
  <c r="DM176" i="82"/>
  <c r="T10" i="11"/>
  <c r="DM79" i="2"/>
  <c r="DM323" i="82"/>
  <c r="DM271" i="82" s="1"/>
  <c r="DM282" i="82"/>
  <c r="CO19" i="3"/>
  <c r="DM43" i="2"/>
  <c r="T132" i="113"/>
  <c r="T397" i="113" s="1"/>
  <c r="T462" i="113"/>
  <c r="T460" i="113"/>
  <c r="T447" i="113"/>
  <c r="T449" i="113"/>
  <c r="T187" i="113"/>
  <c r="T452" i="113" s="1"/>
  <c r="T74" i="113"/>
  <c r="T53" i="113"/>
  <c r="T450" i="113"/>
  <c r="T90" i="113"/>
  <c r="T418" i="113"/>
  <c r="DD181" i="2"/>
  <c r="DD163" i="2"/>
  <c r="DK189" i="82"/>
  <c r="CI74" i="7"/>
  <c r="T417" i="113"/>
  <c r="T392" i="113"/>
  <c r="T459" i="113"/>
  <c r="T463" i="113"/>
  <c r="T458" i="113"/>
  <c r="T461" i="113"/>
  <c r="T33" i="113"/>
  <c r="T390" i="113"/>
  <c r="T391" i="113"/>
  <c r="T18" i="113"/>
  <c r="T19" i="113" s="1"/>
  <c r="T436" i="113" s="1"/>
  <c r="T207" i="113"/>
  <c r="T258" i="113"/>
  <c r="CX72" i="7"/>
  <c r="K20" i="11"/>
  <c r="K21" i="11"/>
  <c r="DM96" i="2"/>
  <c r="CU359" i="82"/>
  <c r="DM78" i="2"/>
  <c r="R474" i="113"/>
  <c r="DM162" i="2"/>
  <c r="S490" i="113"/>
  <c r="Q490" i="113"/>
  <c r="R490" i="113"/>
  <c r="Q499" i="113"/>
  <c r="T329" i="113"/>
  <c r="T419" i="113" s="1"/>
  <c r="T337" i="113"/>
  <c r="T464" i="113" s="1"/>
  <c r="CZ619" i="1"/>
  <c r="CW626" i="1"/>
  <c r="CW627" i="1" s="1"/>
  <c r="DF619" i="1"/>
  <c r="CY619" i="1"/>
  <c r="CX619" i="1"/>
  <c r="DE282" i="82"/>
  <c r="DK282" i="82"/>
  <c r="CS282" i="82"/>
  <c r="DA619" i="1"/>
  <c r="DB618" i="1"/>
  <c r="DB619" i="1" s="1"/>
  <c r="DM180" i="2"/>
  <c r="CS288" i="82"/>
  <c r="DB48" i="2"/>
  <c r="P493" i="113"/>
  <c r="DG333" i="82"/>
  <c r="CU283" i="82"/>
  <c r="CH270" i="82"/>
  <c r="BC83" i="3"/>
  <c r="BC85" i="3" s="1"/>
  <c r="BC88" i="3"/>
  <c r="BH88" i="3"/>
  <c r="DG48" i="2"/>
  <c r="CV283" i="82"/>
  <c r="DG336" i="82"/>
  <c r="BQ83" i="3"/>
  <c r="BQ85" i="3" s="1"/>
  <c r="DB477" i="1"/>
  <c r="DB40" i="1"/>
  <c r="DB593" i="1"/>
  <c r="CR149" i="1"/>
  <c r="BU20" i="3"/>
  <c r="BU50" i="3"/>
  <c r="BU80" i="3"/>
  <c r="BU77" i="3"/>
  <c r="CY323" i="82"/>
  <c r="CY271" i="82" s="1"/>
  <c r="CY96" i="2"/>
  <c r="CY78" i="2"/>
  <c r="CM205" i="82"/>
  <c r="CM219" i="82"/>
  <c r="D35" i="113"/>
  <c r="E35" i="113"/>
  <c r="CN349" i="82"/>
  <c r="CS349" i="82"/>
  <c r="CX50" i="2"/>
  <c r="CY457" i="1"/>
  <c r="DC50" i="2"/>
  <c r="CR346" i="82"/>
  <c r="CR348" i="82"/>
  <c r="CW348" i="82"/>
  <c r="U81" i="2"/>
  <c r="U51" i="2"/>
  <c r="Z81" i="2"/>
  <c r="H33" i="11"/>
  <c r="AK112" i="3"/>
  <c r="AK114" i="3" s="1"/>
  <c r="AP115" i="3" s="1"/>
  <c r="AK89" i="3"/>
  <c r="AK84" i="3"/>
  <c r="AK87" i="3"/>
  <c r="CR79" i="2"/>
  <c r="CR43" i="2"/>
  <c r="CX180" i="2"/>
  <c r="CX181" i="2"/>
  <c r="CP353" i="82"/>
  <c r="CP354" i="82" s="1"/>
  <c r="CP364" i="82"/>
  <c r="DD323" i="82"/>
  <c r="DD271" i="82" s="1"/>
  <c r="DD96" i="2"/>
  <c r="DD78" i="2"/>
  <c r="DB176" i="2"/>
  <c r="CW363" i="82"/>
  <c r="CW51" i="2"/>
  <c r="CW81" i="2"/>
  <c r="CR356" i="82"/>
  <c r="CR411" i="82"/>
  <c r="CR352" i="82"/>
  <c r="CR358" i="82"/>
  <c r="CR277" i="82"/>
  <c r="X115" i="3"/>
  <c r="X117" i="3"/>
  <c r="X116" i="3"/>
  <c r="DA149" i="1"/>
  <c r="BY19" i="3"/>
  <c r="CY363" i="82"/>
  <c r="CY364" i="82" s="1"/>
  <c r="CY81" i="2"/>
  <c r="CY51" i="2"/>
  <c r="CM348" i="82"/>
  <c r="CM346" i="82"/>
  <c r="CM349" i="82" s="1"/>
  <c r="CM363" i="82"/>
  <c r="CM81" i="2"/>
  <c r="CM51" i="2"/>
  <c r="CN234" i="82"/>
  <c r="CN220" i="82"/>
  <c r="CO234" i="82"/>
  <c r="CS220" i="82"/>
  <c r="DG158" i="2"/>
  <c r="CR205" i="82"/>
  <c r="CR219" i="82"/>
  <c r="CW219" i="82"/>
  <c r="CD75" i="7"/>
  <c r="DB322" i="82"/>
  <c r="DB270" i="82" s="1"/>
  <c r="CD9" i="3"/>
  <c r="DB178" i="2"/>
  <c r="DB160" i="2"/>
  <c r="DB77" i="2"/>
  <c r="DB37" i="2"/>
  <c r="DB42" i="2"/>
  <c r="CQ352" i="2"/>
  <c r="CQ98" i="2"/>
  <c r="CQ82" i="2"/>
  <c r="DF282" i="82"/>
  <c r="DG72" i="1"/>
  <c r="CU353" i="82"/>
  <c r="CU354" i="82" s="1"/>
  <c r="CU364" i="82"/>
  <c r="CW457" i="1"/>
  <c r="BA88" i="3"/>
  <c r="BA83" i="3"/>
  <c r="BA85" i="3" s="1"/>
  <c r="DB612" i="1"/>
  <c r="DB613" i="1" s="1"/>
  <c r="CZ149" i="1"/>
  <c r="CS80" i="2"/>
  <c r="CS97" i="2"/>
  <c r="Z88" i="3"/>
  <c r="Z83" i="3"/>
  <c r="Z85" i="3" s="1"/>
  <c r="AE88" i="3"/>
  <c r="DB158" i="2"/>
  <c r="DH180" i="2"/>
  <c r="DH181" i="2"/>
  <c r="BR20" i="3"/>
  <c r="BR50" i="3"/>
  <c r="BR80" i="3"/>
  <c r="BR77" i="3"/>
  <c r="S19" i="113"/>
  <c r="S35" i="113" s="1"/>
  <c r="S44" i="113"/>
  <c r="CM19" i="3"/>
  <c r="Q317" i="113"/>
  <c r="Q297" i="113"/>
  <c r="Q299" i="113" s="1"/>
  <c r="Q304" i="113"/>
  <c r="Q311" i="113"/>
  <c r="Q294" i="113"/>
  <c r="CU97" i="2"/>
  <c r="CU80" i="2"/>
  <c r="BP80" i="3"/>
  <c r="BP20" i="3"/>
  <c r="BP50" i="3"/>
  <c r="BP52" i="3" s="1"/>
  <c r="BQ51" i="3" s="1"/>
  <c r="BT19" i="3"/>
  <c r="BP77" i="3"/>
  <c r="CC19" i="3"/>
  <c r="CM270" i="82"/>
  <c r="DE79" i="2"/>
  <c r="DE43" i="2"/>
  <c r="BX80" i="3"/>
  <c r="BX20" i="3"/>
  <c r="BX50" i="3"/>
  <c r="BX77" i="3"/>
  <c r="Q493" i="113"/>
  <c r="R493" i="113"/>
  <c r="DC282" i="82"/>
  <c r="DG173" i="2"/>
  <c r="DF43" i="2"/>
  <c r="DF79" i="2"/>
  <c r="CH19" i="3"/>
  <c r="BV80" i="3"/>
  <c r="BV77" i="3"/>
  <c r="BV50" i="3"/>
  <c r="BV20" i="3"/>
  <c r="CY149" i="1"/>
  <c r="CR363" i="82"/>
  <c r="CR51" i="2"/>
  <c r="CR81" i="2"/>
  <c r="CX162" i="2"/>
  <c r="CX163" i="2"/>
  <c r="CW358" i="82"/>
  <c r="CW411" i="82"/>
  <c r="CW352" i="82"/>
  <c r="CW356" i="82"/>
  <c r="CT80" i="2"/>
  <c r="CT97" i="2"/>
  <c r="V117" i="3"/>
  <c r="V116" i="3"/>
  <c r="AA115" i="3"/>
  <c r="CQ80" i="2"/>
  <c r="CQ97" i="2"/>
  <c r="CY181" i="2"/>
  <c r="CS82" i="2"/>
  <c r="CS98" i="2"/>
  <c r="CS352" i="2"/>
  <c r="CN98" i="2"/>
  <c r="CN82" i="2"/>
  <c r="CN352" i="2"/>
  <c r="BI88" i="3"/>
  <c r="BI83" i="3"/>
  <c r="CW149" i="1"/>
  <c r="DB367" i="82"/>
  <c r="DB368" i="82" s="1"/>
  <c r="DB377" i="82"/>
  <c r="DB403" i="82"/>
  <c r="DB411" i="82"/>
  <c r="CN271" i="82"/>
  <c r="DK79" i="2"/>
  <c r="DK43" i="2"/>
  <c r="CV97" i="2"/>
  <c r="CV80" i="2"/>
  <c r="AT137" i="1"/>
  <c r="Y87" i="3"/>
  <c r="Y89" i="3"/>
  <c r="Y84" i="3"/>
  <c r="Y112" i="3"/>
  <c r="Y114" i="3" s="1"/>
  <c r="AD84" i="3"/>
  <c r="CY79" i="2"/>
  <c r="CY241" i="2"/>
  <c r="CY43" i="2"/>
  <c r="CI75" i="7"/>
  <c r="DG322" i="82"/>
  <c r="DG270" i="82" s="1"/>
  <c r="CI9" i="3"/>
  <c r="DG160" i="2"/>
  <c r="DG178" i="2"/>
  <c r="DG42" i="2"/>
  <c r="DG77" i="2"/>
  <c r="DG37" i="2"/>
  <c r="CT98" i="2"/>
  <c r="CT352" i="2"/>
  <c r="CT82" i="2"/>
  <c r="AP117" i="3"/>
  <c r="AP116" i="3"/>
  <c r="DG176" i="2"/>
  <c r="DC79" i="2"/>
  <c r="DC43" i="2"/>
  <c r="CE19" i="3"/>
  <c r="DG155" i="2"/>
  <c r="DB233" i="2"/>
  <c r="CQ364" i="82"/>
  <c r="CQ353" i="82"/>
  <c r="CQ354" i="82" s="1"/>
  <c r="DC181" i="2"/>
  <c r="DC180" i="2"/>
  <c r="DF323" i="82"/>
  <c r="DF271" i="82" s="1"/>
  <c r="DF78" i="2"/>
  <c r="DF96" i="2"/>
  <c r="AZ117" i="3"/>
  <c r="AZ116" i="3"/>
  <c r="CV359" i="82"/>
  <c r="CS353" i="82"/>
  <c r="CS354" i="82" s="1"/>
  <c r="CS364" i="82"/>
  <c r="CQ288" i="82"/>
  <c r="CQ277" i="82"/>
  <c r="DB447" i="1"/>
  <c r="DB164" i="1"/>
  <c r="DH163" i="2"/>
  <c r="DH162" i="2"/>
  <c r="CW241" i="2"/>
  <c r="CW79" i="2"/>
  <c r="CW43" i="2"/>
  <c r="Q44" i="113"/>
  <c r="Q19" i="113"/>
  <c r="O117" i="3"/>
  <c r="O116" i="3"/>
  <c r="O115" i="3"/>
  <c r="T115" i="3"/>
  <c r="BS77" i="3"/>
  <c r="BS50" i="3"/>
  <c r="BS80" i="3"/>
  <c r="BS20" i="3"/>
  <c r="DC217" i="2"/>
  <c r="DC234" i="2"/>
  <c r="BG88" i="3"/>
  <c r="BG83" i="3"/>
  <c r="BG85" i="3" s="1"/>
  <c r="CX149" i="1"/>
  <c r="DA241" i="2"/>
  <c r="DA79" i="2"/>
  <c r="DA43" i="2"/>
  <c r="CR477" i="1"/>
  <c r="CR40" i="1"/>
  <c r="CR593" i="1"/>
  <c r="P19" i="113"/>
  <c r="P44" i="113"/>
  <c r="DG233" i="2"/>
  <c r="M19" i="11"/>
  <c r="CM323" i="82"/>
  <c r="CM78" i="2"/>
  <c r="CM351" i="2"/>
  <c r="DA457" i="1"/>
  <c r="CM457" i="1"/>
  <c r="DG377" i="82"/>
  <c r="FA366" i="82"/>
  <c r="DG367" i="82"/>
  <c r="DG403" i="82"/>
  <c r="DG411" i="82"/>
  <c r="DC323" i="82"/>
  <c r="DC271" i="82" s="1"/>
  <c r="DC78" i="2"/>
  <c r="DC96" i="2"/>
  <c r="G77" i="3"/>
  <c r="G50" i="3"/>
  <c r="G52" i="3" s="1"/>
  <c r="G20" i="3"/>
  <c r="G80" i="3"/>
  <c r="L20" i="3"/>
  <c r="J34" i="11"/>
  <c r="J35" i="11" s="1"/>
  <c r="J36" i="11"/>
  <c r="CN364" i="82"/>
  <c r="CN353" i="82"/>
  <c r="CN354" i="82" s="1"/>
  <c r="BJ50" i="3"/>
  <c r="O19" i="113"/>
  <c r="O35" i="113" s="1"/>
  <c r="O44" i="113"/>
  <c r="CP80" i="2"/>
  <c r="CP97" i="2"/>
  <c r="DH282" i="82"/>
  <c r="DF149" i="1"/>
  <c r="N117" i="3"/>
  <c r="N116" i="3"/>
  <c r="N115" i="3"/>
  <c r="S115" i="3"/>
  <c r="BD83" i="3"/>
  <c r="BD85" i="3" s="1"/>
  <c r="BD88" i="3"/>
  <c r="DA323" i="82"/>
  <c r="DA271" i="82" s="1"/>
  <c r="DA96" i="2"/>
  <c r="DA78" i="2"/>
  <c r="CT364" i="82"/>
  <c r="CT353" i="82"/>
  <c r="CT354" i="82" s="1"/>
  <c r="CM79" i="2"/>
  <c r="CM43" i="2"/>
  <c r="DE323" i="82"/>
  <c r="DE271" i="82" s="1"/>
  <c r="DE78" i="2"/>
  <c r="DE96" i="2"/>
  <c r="CG19" i="3"/>
  <c r="BZ19" i="3"/>
  <c r="CW368" i="82"/>
  <c r="CW281" i="82"/>
  <c r="CI196" i="7"/>
  <c r="CE197" i="7"/>
  <c r="CI197" i="7" s="1"/>
  <c r="CB19" i="3"/>
  <c r="T38" i="113"/>
  <c r="T42" i="113"/>
  <c r="CR270" i="82"/>
  <c r="BN89" i="3"/>
  <c r="BN87" i="3"/>
  <c r="E36" i="11"/>
  <c r="E34" i="11"/>
  <c r="E35" i="11" s="1"/>
  <c r="CN97" i="2"/>
  <c r="CN80" i="2"/>
  <c r="BF88" i="3"/>
  <c r="BF83" i="3"/>
  <c r="BF85" i="3" s="1"/>
  <c r="K27" i="11"/>
  <c r="K28" i="11" s="1"/>
  <c r="BX82" i="2"/>
  <c r="BX352" i="2"/>
  <c r="CV82" i="2"/>
  <c r="CV98" i="2"/>
  <c r="CV352" i="2"/>
  <c r="CX457" i="1"/>
  <c r="DH323" i="82"/>
  <c r="DH271" i="82" s="1"/>
  <c r="DH96" i="2"/>
  <c r="DH78" i="2"/>
  <c r="CJ19" i="3"/>
  <c r="V98" i="2"/>
  <c r="Y352" i="2"/>
  <c r="Y82" i="2"/>
  <c r="DA363" i="82"/>
  <c r="DA364" i="82" s="1"/>
  <c r="DA51" i="2"/>
  <c r="DA81" i="2"/>
  <c r="CA19" i="3"/>
  <c r="CP288" i="82"/>
  <c r="CP277" i="82"/>
  <c r="CX241" i="2"/>
  <c r="CX79" i="2"/>
  <c r="CX43" i="2"/>
  <c r="CD196" i="7"/>
  <c r="CD197" i="7" s="1"/>
  <c r="BZ197" i="7"/>
  <c r="CZ79" i="2"/>
  <c r="CZ241" i="2"/>
  <c r="CZ43" i="2"/>
  <c r="CP627" i="1"/>
  <c r="CR626" i="1"/>
  <c r="CR627" i="1" s="1"/>
  <c r="DC162" i="2"/>
  <c r="DC163" i="2"/>
  <c r="CY163" i="2"/>
  <c r="BJ20" i="3"/>
  <c r="BJ80" i="3"/>
  <c r="BJ77" i="3"/>
  <c r="CP352" i="2"/>
  <c r="CP98" i="2"/>
  <c r="CP82" i="2"/>
  <c r="DD282" i="82"/>
  <c r="DH79" i="2"/>
  <c r="DH43" i="2"/>
  <c r="S38" i="113"/>
  <c r="S42" i="113"/>
  <c r="DK323" i="82"/>
  <c r="DK271" i="82" s="1"/>
  <c r="DK78" i="2"/>
  <c r="DB463" i="1"/>
  <c r="DB26" i="1"/>
  <c r="DB575" i="1"/>
  <c r="I36" i="11"/>
  <c r="I34" i="11"/>
  <c r="I35" i="11" s="1"/>
  <c r="CX323" i="82"/>
  <c r="CX271" i="82" s="1"/>
  <c r="CX96" i="2"/>
  <c r="CX78" i="2"/>
  <c r="CX351" i="2"/>
  <c r="BW80" i="3"/>
  <c r="BW20" i="3"/>
  <c r="BW77" i="3"/>
  <c r="BW50" i="3"/>
  <c r="R304" i="113"/>
  <c r="R311" i="113"/>
  <c r="R317" i="113"/>
  <c r="R297" i="113"/>
  <c r="R299" i="113" s="1"/>
  <c r="S311" i="113"/>
  <c r="R294" i="113"/>
  <c r="CZ323" i="82"/>
  <c r="CZ271" i="82" s="1"/>
  <c r="CZ96" i="2"/>
  <c r="CZ78" i="2"/>
  <c r="U351" i="2"/>
  <c r="U78" i="2"/>
  <c r="Z351" i="2"/>
  <c r="Z78" i="2"/>
  <c r="N19" i="11"/>
  <c r="CR323" i="82"/>
  <c r="CR351" i="2"/>
  <c r="CR78" i="2"/>
  <c r="CZ457" i="1"/>
  <c r="CU82" i="2"/>
  <c r="CU98" i="2"/>
  <c r="CU352" i="2"/>
  <c r="DD79" i="2"/>
  <c r="DD43" i="2"/>
  <c r="CF19" i="3"/>
  <c r="CV364" i="82"/>
  <c r="CV353" i="82"/>
  <c r="CV354" i="82" s="1"/>
  <c r="O19" i="11"/>
  <c r="CW323" i="82"/>
  <c r="CW271" i="82" s="1"/>
  <c r="CW78" i="2"/>
  <c r="CW351" i="2"/>
  <c r="BE20" i="3"/>
  <c r="BE50" i="3"/>
  <c r="BE80" i="3"/>
  <c r="BE77" i="3"/>
  <c r="DU211" i="7" l="1"/>
  <c r="DT218" i="7"/>
  <c r="M114" i="3"/>
  <c r="M115" i="3" s="1"/>
  <c r="BB85" i="3"/>
  <c r="BB87" i="3"/>
  <c r="BB89" i="3"/>
  <c r="DM11" i="1"/>
  <c r="DM178" i="39"/>
  <c r="DN178" i="39" s="1"/>
  <c r="DK177" i="39"/>
  <c r="DD51" i="2"/>
  <c r="BM88" i="3"/>
  <c r="DR227" i="7"/>
  <c r="DQ234" i="7"/>
  <c r="DQ235" i="7" s="1"/>
  <c r="DR235" i="7" s="1"/>
  <c r="DQ44" i="7"/>
  <c r="DM527" i="1"/>
  <c r="DK527" i="1"/>
  <c r="DH527" i="1"/>
  <c r="DG335" i="1"/>
  <c r="EF320" i="1"/>
  <c r="EF318" i="1"/>
  <c r="DB180" i="2"/>
  <c r="DB162" i="2"/>
  <c r="DB112" i="2"/>
  <c r="DG180" i="2"/>
  <c r="CZ51" i="2"/>
  <c r="CZ363" i="82"/>
  <c r="CZ364" i="82" s="1"/>
  <c r="CZ81" i="2"/>
  <c r="DF51" i="2"/>
  <c r="DF81" i="2"/>
  <c r="DM51" i="2"/>
  <c r="DM81" i="2"/>
  <c r="DD81" i="2"/>
  <c r="DE51" i="2"/>
  <c r="DE81" i="2"/>
  <c r="DH51" i="2"/>
  <c r="CH364" i="82"/>
  <c r="DK51" i="2"/>
  <c r="C17" i="15"/>
  <c r="C18" i="15" s="1"/>
  <c r="DK81" i="2"/>
  <c r="DG112" i="2"/>
  <c r="DG162" i="2"/>
  <c r="DB237" i="2"/>
  <c r="DB234" i="2"/>
  <c r="DC239" i="2"/>
  <c r="DC238" i="2"/>
  <c r="DG50" i="2"/>
  <c r="DB50" i="2"/>
  <c r="DD239" i="2"/>
  <c r="DD238" i="2"/>
  <c r="DE239" i="2"/>
  <c r="DE238" i="2"/>
  <c r="DG237" i="2"/>
  <c r="DM239" i="2"/>
  <c r="DM238" i="2"/>
  <c r="CM80" i="2"/>
  <c r="DK239" i="2"/>
  <c r="DK238" i="2"/>
  <c r="DF239" i="2"/>
  <c r="DF238" i="2"/>
  <c r="DG234" i="2"/>
  <c r="DH239" i="2"/>
  <c r="DH238" i="2"/>
  <c r="AU115" i="3"/>
  <c r="AU116" i="3"/>
  <c r="AU117" i="3"/>
  <c r="DM24" i="1"/>
  <c r="DM38" i="1" s="1"/>
  <c r="DM493" i="1"/>
  <c r="DM494" i="1" s="1"/>
  <c r="DM495" i="1" s="1"/>
  <c r="BK52" i="3"/>
  <c r="BL51" i="3" s="1"/>
  <c r="Q85" i="3"/>
  <c r="EB328" i="1"/>
  <c r="EB319" i="1"/>
  <c r="EB330" i="1"/>
  <c r="EB327" i="1"/>
  <c r="EB325" i="1"/>
  <c r="EB326" i="1" s="1"/>
  <c r="EB334" i="1"/>
  <c r="D33" i="11"/>
  <c r="D34" i="11" s="1"/>
  <c r="D35" i="11" s="1"/>
  <c r="V84" i="3"/>
  <c r="Q84" i="3"/>
  <c r="Q89" i="3"/>
  <c r="DB337" i="1"/>
  <c r="DH10" i="1"/>
  <c r="DH59" i="1"/>
  <c r="DH45" i="1"/>
  <c r="DH31" i="1"/>
  <c r="DH17" i="1"/>
  <c r="DM47" i="1"/>
  <c r="CW337" i="1"/>
  <c r="CW338" i="1" s="1"/>
  <c r="DK24" i="1"/>
  <c r="DK11" i="1"/>
  <c r="DM33" i="1"/>
  <c r="DK32" i="1"/>
  <c r="DK60" i="1"/>
  <c r="DK493" i="1"/>
  <c r="DK494" i="1" s="1"/>
  <c r="DK495" i="1" s="1"/>
  <c r="DM61" i="1"/>
  <c r="DK18" i="1"/>
  <c r="DK46" i="1"/>
  <c r="DG71" i="1"/>
  <c r="DB71" i="1"/>
  <c r="CH82" i="2"/>
  <c r="CH352" i="2"/>
  <c r="L27" i="11"/>
  <c r="L28" i="11" s="1"/>
  <c r="BO77" i="3"/>
  <c r="L21" i="11"/>
  <c r="BL88" i="3"/>
  <c r="BQ88" i="3"/>
  <c r="BO20" i="3"/>
  <c r="BO80" i="3"/>
  <c r="BO88" i="3" s="1"/>
  <c r="BK87" i="3"/>
  <c r="BK88" i="3"/>
  <c r="BK89" i="3"/>
  <c r="BO50" i="3"/>
  <c r="DH81" i="2"/>
  <c r="DG176" i="82"/>
  <c r="CZ234" i="7"/>
  <c r="DX47" i="2" s="1"/>
  <c r="DC22" i="7"/>
  <c r="EA320" i="1"/>
  <c r="EA318" i="1"/>
  <c r="BN84" i="3"/>
  <c r="BI85" i="3"/>
  <c r="DC35" i="7"/>
  <c r="DB204" i="7"/>
  <c r="DA218" i="7"/>
  <c r="CY72" i="7"/>
  <c r="CO50" i="3"/>
  <c r="CO77" i="3"/>
  <c r="CO80" i="3"/>
  <c r="DM80" i="2"/>
  <c r="T166" i="113"/>
  <c r="T131" i="113"/>
  <c r="T388" i="113" s="1"/>
  <c r="T134" i="113"/>
  <c r="T415" i="113" s="1"/>
  <c r="T456" i="113"/>
  <c r="T92" i="113"/>
  <c r="T414" i="113" s="1"/>
  <c r="T396" i="113"/>
  <c r="T117" i="113"/>
  <c r="T89" i="113"/>
  <c r="T387" i="113" s="1"/>
  <c r="T179" i="113"/>
  <c r="T398" i="113" s="1"/>
  <c r="T71" i="113"/>
  <c r="T80" i="113"/>
  <c r="T55" i="113"/>
  <c r="T413" i="113" s="1"/>
  <c r="T52" i="113"/>
  <c r="T395" i="113"/>
  <c r="DG189" i="82"/>
  <c r="T465" i="113"/>
  <c r="T44" i="113"/>
  <c r="T331" i="113"/>
  <c r="T259" i="113"/>
  <c r="T435" i="113" s="1"/>
  <c r="T286" i="113"/>
  <c r="R491" i="113"/>
  <c r="S491" i="113"/>
  <c r="CM271" i="82"/>
  <c r="O20" i="11"/>
  <c r="O21" i="11"/>
  <c r="M20" i="11"/>
  <c r="M21" i="11"/>
  <c r="N20" i="11"/>
  <c r="N21" i="11"/>
  <c r="DB626" i="1"/>
  <c r="DB627" i="1" s="1"/>
  <c r="CR282" i="82"/>
  <c r="T35" i="113"/>
  <c r="CW277" i="82"/>
  <c r="DK283" i="82"/>
  <c r="DG368" i="82"/>
  <c r="CW80" i="2"/>
  <c r="DD283" i="82"/>
  <c r="CW282" i="82"/>
  <c r="DH283" i="82"/>
  <c r="BC84" i="3"/>
  <c r="BC89" i="3"/>
  <c r="BC87" i="3"/>
  <c r="BH84" i="3"/>
  <c r="DG282" i="82"/>
  <c r="Q35" i="113"/>
  <c r="BQ52" i="3"/>
  <c r="BR51" i="3" s="1"/>
  <c r="DM283" i="82"/>
  <c r="CR271" i="82"/>
  <c r="CW283" i="82" s="1"/>
  <c r="CI198" i="7"/>
  <c r="CJ195" i="7" s="1"/>
  <c r="CJ197" i="7" s="1"/>
  <c r="CW359" i="82"/>
  <c r="CJ80" i="3"/>
  <c r="CJ20" i="3"/>
  <c r="CJ50" i="3"/>
  <c r="CJ52" i="3" s="1"/>
  <c r="CJ77" i="3"/>
  <c r="CE80" i="3"/>
  <c r="CE20" i="3"/>
  <c r="CE77" i="3"/>
  <c r="CE50" i="3"/>
  <c r="CH20" i="3"/>
  <c r="CH50" i="3"/>
  <c r="CH80" i="3"/>
  <c r="CH77" i="3"/>
  <c r="Q318" i="113"/>
  <c r="Q300" i="113"/>
  <c r="Q312" i="113" s="1"/>
  <c r="N23" i="11"/>
  <c r="CR220" i="82"/>
  <c r="CW220" i="82"/>
  <c r="CG80" i="3"/>
  <c r="CG20" i="3"/>
  <c r="CG77" i="3"/>
  <c r="CG50" i="3"/>
  <c r="DA80" i="2"/>
  <c r="DA97" i="2"/>
  <c r="BW88" i="3"/>
  <c r="BW83" i="3"/>
  <c r="BW85" i="3" s="1"/>
  <c r="R35" i="113"/>
  <c r="BP88" i="3"/>
  <c r="BP83" i="3"/>
  <c r="BP85" i="3" s="1"/>
  <c r="Z89" i="3"/>
  <c r="Z84" i="3"/>
  <c r="Z112" i="3"/>
  <c r="Z114" i="3" s="1"/>
  <c r="Z87" i="3"/>
  <c r="AE84" i="3"/>
  <c r="CM353" i="82"/>
  <c r="CM354" i="82" s="1"/>
  <c r="CM364" i="82"/>
  <c r="O27" i="11"/>
  <c r="O28" i="11" s="1"/>
  <c r="CW352" i="2"/>
  <c r="CW82" i="2"/>
  <c r="CX363" i="82"/>
  <c r="CX364" i="82" s="1"/>
  <c r="CX81" i="2"/>
  <c r="CX51" i="2"/>
  <c r="BQ89" i="3"/>
  <c r="BQ84" i="3"/>
  <c r="BQ87" i="3"/>
  <c r="BM87" i="3"/>
  <c r="BM84" i="3"/>
  <c r="BM89" i="3"/>
  <c r="DB149" i="1"/>
  <c r="BJ83" i="3"/>
  <c r="BJ85" i="3" s="1"/>
  <c r="BJ88" i="3"/>
  <c r="CX97" i="2"/>
  <c r="CX80" i="2"/>
  <c r="CA77" i="3"/>
  <c r="CA50" i="3"/>
  <c r="CA80" i="3"/>
  <c r="CA20" i="3"/>
  <c r="CO20" i="3"/>
  <c r="G88" i="3"/>
  <c r="G83" i="3"/>
  <c r="G85" i="3" s="1"/>
  <c r="L88" i="3"/>
  <c r="DC283" i="82"/>
  <c r="CR457" i="1"/>
  <c r="DC97" i="2"/>
  <c r="DC80" i="2"/>
  <c r="Y115" i="3"/>
  <c r="Y117" i="3"/>
  <c r="Y116" i="3"/>
  <c r="DK80" i="2"/>
  <c r="Q115" i="3"/>
  <c r="Q117" i="3"/>
  <c r="Q116" i="3"/>
  <c r="CD19" i="3"/>
  <c r="CW364" i="82"/>
  <c r="CW353" i="82"/>
  <c r="CW354" i="82" s="1"/>
  <c r="U352" i="2"/>
  <c r="U82" i="2"/>
  <c r="Z82" i="2"/>
  <c r="Z352" i="2"/>
  <c r="DD97" i="2"/>
  <c r="DD80" i="2"/>
  <c r="BS83" i="3"/>
  <c r="BS85" i="3" s="1"/>
  <c r="BS88" i="3"/>
  <c r="DG79" i="2"/>
  <c r="DG43" i="2"/>
  <c r="BF84" i="3"/>
  <c r="BF89" i="3"/>
  <c r="BF87" i="3"/>
  <c r="BK84" i="3"/>
  <c r="DE283" i="82"/>
  <c r="BG89" i="3"/>
  <c r="BG87" i="3"/>
  <c r="BG84" i="3"/>
  <c r="CI19" i="3"/>
  <c r="N27" i="11"/>
  <c r="N28" i="11" s="1"/>
  <c r="CR352" i="2"/>
  <c r="CR82" i="2"/>
  <c r="DF97" i="2"/>
  <c r="DF80" i="2"/>
  <c r="DB79" i="2"/>
  <c r="DB43" i="2"/>
  <c r="AK117" i="3"/>
  <c r="AK116" i="3"/>
  <c r="AK115" i="3"/>
  <c r="M23" i="11"/>
  <c r="CM220" i="82"/>
  <c r="BU83" i="3"/>
  <c r="BU85" i="3" s="1"/>
  <c r="BU88" i="3"/>
  <c r="DM97" i="2"/>
  <c r="BE83" i="3"/>
  <c r="BE85" i="3" s="1"/>
  <c r="BE88" i="3"/>
  <c r="CF80" i="3"/>
  <c r="CF20" i="3"/>
  <c r="CF50" i="3"/>
  <c r="CF77" i="3"/>
  <c r="R318" i="113"/>
  <c r="R300" i="113"/>
  <c r="DH97" i="2"/>
  <c r="DH80" i="2"/>
  <c r="H51" i="3"/>
  <c r="H52" i="3" s="1"/>
  <c r="I51" i="3" s="1"/>
  <c r="I52" i="3" s="1"/>
  <c r="J51" i="3" s="1"/>
  <c r="J52" i="3" s="1"/>
  <c r="K51" i="3" s="1"/>
  <c r="K52" i="3" s="1"/>
  <c r="M51" i="3" s="1"/>
  <c r="L51" i="3"/>
  <c r="L52" i="3" s="1"/>
  <c r="Q19" i="11"/>
  <c r="DG323" i="82"/>
  <c r="DG271" i="82" s="1"/>
  <c r="DG78" i="2"/>
  <c r="CR364" i="82"/>
  <c r="CR353" i="82"/>
  <c r="CR354" i="82" s="1"/>
  <c r="DE97" i="2"/>
  <c r="DE80" i="2"/>
  <c r="CM80" i="3"/>
  <c r="CM20" i="3"/>
  <c r="CM77" i="3"/>
  <c r="CM50" i="3"/>
  <c r="P19" i="11"/>
  <c r="DB323" i="82"/>
  <c r="DB271" i="82" s="1"/>
  <c r="DB78" i="2"/>
  <c r="CY82" i="2"/>
  <c r="BY80" i="3"/>
  <c r="BY20" i="3"/>
  <c r="BY77" i="3"/>
  <c r="H36" i="11"/>
  <c r="H34" i="11"/>
  <c r="H35" i="11" s="1"/>
  <c r="BY50" i="3"/>
  <c r="CZ97" i="2"/>
  <c r="CZ80" i="2"/>
  <c r="BD87" i="3"/>
  <c r="BD84" i="3"/>
  <c r="BD89" i="3"/>
  <c r="DF283" i="82"/>
  <c r="BV88" i="3"/>
  <c r="BV83" i="3"/>
  <c r="BV85" i="3" s="1"/>
  <c r="CR80" i="2"/>
  <c r="DC81" i="2"/>
  <c r="DC51" i="2"/>
  <c r="BX88" i="3"/>
  <c r="BX83" i="3"/>
  <c r="BX85" i="3" s="1"/>
  <c r="CC20" i="3"/>
  <c r="CC50" i="3"/>
  <c r="CC80" i="3"/>
  <c r="CC77" i="3"/>
  <c r="BT80" i="3"/>
  <c r="BT20" i="3"/>
  <c r="BT50" i="3"/>
  <c r="BT52" i="3" s="1"/>
  <c r="BT77" i="3"/>
  <c r="BL87" i="3"/>
  <c r="BL84" i="3"/>
  <c r="BL89" i="3"/>
  <c r="CR349" i="82"/>
  <c r="CW349" i="82"/>
  <c r="DB457" i="1"/>
  <c r="R310" i="113"/>
  <c r="R316" i="113"/>
  <c r="S310" i="113"/>
  <c r="DA82" i="2"/>
  <c r="CB80" i="3"/>
  <c r="CB20" i="3"/>
  <c r="CB77" i="3"/>
  <c r="CB50" i="3"/>
  <c r="BZ20" i="3"/>
  <c r="BZ50" i="3"/>
  <c r="BZ80" i="3"/>
  <c r="BZ77" i="3"/>
  <c r="P35" i="113"/>
  <c r="CY80" i="2"/>
  <c r="CY97" i="2"/>
  <c r="BI89" i="3"/>
  <c r="BI84" i="3"/>
  <c r="BI87" i="3"/>
  <c r="CM282" i="82"/>
  <c r="Q310" i="113"/>
  <c r="Q316" i="113"/>
  <c r="BR83" i="3"/>
  <c r="BR85" i="3" s="1"/>
  <c r="BR88" i="3"/>
  <c r="BA89" i="3"/>
  <c r="BA84" i="3"/>
  <c r="BA87" i="3"/>
  <c r="M27" i="11"/>
  <c r="M28" i="11" s="1"/>
  <c r="CM82" i="2"/>
  <c r="CM352" i="2"/>
  <c r="M116" i="3" l="1"/>
  <c r="M117" i="3"/>
  <c r="R115" i="3"/>
  <c r="DT44" i="3"/>
  <c r="DR234" i="7"/>
  <c r="DS227" i="7"/>
  <c r="DV211" i="7"/>
  <c r="DU218" i="7"/>
  <c r="DM12" i="1"/>
  <c r="DO178" i="39"/>
  <c r="DN177" i="39"/>
  <c r="DD82" i="2"/>
  <c r="DG51" i="2"/>
  <c r="CJ91" i="3"/>
  <c r="CO83" i="3"/>
  <c r="DR44" i="7"/>
  <c r="DQ59" i="3"/>
  <c r="DR59" i="3" s="1"/>
  <c r="DM545" i="1"/>
  <c r="DM544" i="1"/>
  <c r="DH545" i="1"/>
  <c r="DH544" i="1"/>
  <c r="DG10" i="1"/>
  <c r="DG11" i="1" s="1"/>
  <c r="DK545" i="1"/>
  <c r="DK544" i="1"/>
  <c r="EF321" i="1"/>
  <c r="CZ82" i="2"/>
  <c r="DE98" i="2"/>
  <c r="DF82" i="2"/>
  <c r="DF98" i="2"/>
  <c r="DM98" i="2"/>
  <c r="DB51" i="2"/>
  <c r="DE82" i="2"/>
  <c r="DA98" i="2"/>
  <c r="DK82" i="2"/>
  <c r="CZ98" i="2"/>
  <c r="DG363" i="82"/>
  <c r="DG364" i="82" s="1"/>
  <c r="DH98" i="2"/>
  <c r="DM82" i="2"/>
  <c r="DB81" i="2"/>
  <c r="DB363" i="82"/>
  <c r="DB364" i="82" s="1"/>
  <c r="DG81" i="2"/>
  <c r="DC241" i="2"/>
  <c r="DF240" i="2"/>
  <c r="DC240" i="2"/>
  <c r="DM241" i="2"/>
  <c r="DD241" i="2"/>
  <c r="DH241" i="2"/>
  <c r="DB80" i="2"/>
  <c r="DK241" i="2"/>
  <c r="DM240" i="2"/>
  <c r="DE241" i="2"/>
  <c r="DD240" i="2"/>
  <c r="DH240" i="2"/>
  <c r="DB239" i="2"/>
  <c r="DB238" i="2"/>
  <c r="DF241" i="2"/>
  <c r="DK240" i="2"/>
  <c r="DG239" i="2"/>
  <c r="DG238" i="2"/>
  <c r="DE240" i="2"/>
  <c r="DM25" i="1"/>
  <c r="DM26" i="1" s="1"/>
  <c r="BL52" i="3"/>
  <c r="BM51" i="3" s="1"/>
  <c r="D36" i="11"/>
  <c r="DG17" i="1"/>
  <c r="DG18" i="1" s="1"/>
  <c r="EB333" i="1"/>
  <c r="DK38" i="1"/>
  <c r="DK25" i="1"/>
  <c r="DK26" i="1"/>
  <c r="DH18" i="1"/>
  <c r="DH32" i="1"/>
  <c r="DK47" i="1"/>
  <c r="DH46" i="1"/>
  <c r="DH493" i="1"/>
  <c r="DH494" i="1" s="1"/>
  <c r="DH495" i="1" s="1"/>
  <c r="DH60" i="1"/>
  <c r="DB338" i="1"/>
  <c r="DK19" i="1"/>
  <c r="DK61" i="1"/>
  <c r="DH11" i="1"/>
  <c r="DH24" i="1"/>
  <c r="DK33" i="1"/>
  <c r="DK12" i="1"/>
  <c r="DA234" i="7"/>
  <c r="DA235" i="7" s="1"/>
  <c r="DH59" i="3"/>
  <c r="DD204" i="7"/>
  <c r="DD218" i="7" s="1"/>
  <c r="CZ235" i="7"/>
  <c r="BO83" i="3"/>
  <c r="BO85" i="3" s="1"/>
  <c r="DC23" i="7"/>
  <c r="EA321" i="1"/>
  <c r="DB218" i="7"/>
  <c r="DB234" i="7" s="1"/>
  <c r="DC204" i="7"/>
  <c r="DC218" i="7" s="1"/>
  <c r="DC234" i="7" s="1"/>
  <c r="CZ72" i="7"/>
  <c r="CO88" i="3"/>
  <c r="T402" i="113"/>
  <c r="T178" i="113"/>
  <c r="T389" i="113" s="1"/>
  <c r="T208" i="113"/>
  <c r="T181" i="113"/>
  <c r="T416" i="113" s="1"/>
  <c r="T386" i="113"/>
  <c r="T70" i="113"/>
  <c r="CY98" i="2"/>
  <c r="T332" i="113"/>
  <c r="T437" i="113" s="1"/>
  <c r="DM39" i="1"/>
  <c r="DM52" i="1"/>
  <c r="Q20" i="11"/>
  <c r="Q21" i="11"/>
  <c r="N24" i="11"/>
  <c r="N25" i="11"/>
  <c r="P20" i="11"/>
  <c r="P21" i="11"/>
  <c r="M24" i="11"/>
  <c r="M25" i="11"/>
  <c r="BR52" i="3"/>
  <c r="BS51" i="3" s="1"/>
  <c r="CN195" i="7"/>
  <c r="BU87" i="3"/>
  <c r="BU84" i="3"/>
  <c r="BU89" i="3"/>
  <c r="BU100" i="3"/>
  <c r="CC83" i="3"/>
  <c r="CC85" i="3" s="1"/>
  <c r="CC88" i="3"/>
  <c r="BX89" i="3"/>
  <c r="BX87" i="3"/>
  <c r="BX84" i="3"/>
  <c r="BX100" i="3"/>
  <c r="BS87" i="3"/>
  <c r="BS84" i="3"/>
  <c r="BS89" i="3"/>
  <c r="CA83" i="3"/>
  <c r="CA85" i="3" s="1"/>
  <c r="CA88" i="3"/>
  <c r="CK51" i="3"/>
  <c r="CJ54" i="3"/>
  <c r="BW89" i="3"/>
  <c r="BW87" i="3"/>
  <c r="BW84" i="3"/>
  <c r="BW100" i="3"/>
  <c r="CH83" i="3"/>
  <c r="CH88" i="3"/>
  <c r="G87" i="3"/>
  <c r="G89" i="3"/>
  <c r="G112" i="3"/>
  <c r="G114" i="3" s="1"/>
  <c r="G84" i="3"/>
  <c r="L84" i="3"/>
  <c r="Z115" i="3"/>
  <c r="Z117" i="3"/>
  <c r="Z116" i="3"/>
  <c r="CJ83" i="3"/>
  <c r="CJ88" i="3"/>
  <c r="BR87" i="3"/>
  <c r="BR89" i="3"/>
  <c r="BR84" i="3"/>
  <c r="BU51" i="3"/>
  <c r="BY51" i="3"/>
  <c r="BT54" i="3"/>
  <c r="DC82" i="2"/>
  <c r="DC98" i="2"/>
  <c r="Q51" i="3"/>
  <c r="M52" i="3"/>
  <c r="N51" i="3" s="1"/>
  <c r="R312" i="113"/>
  <c r="S312" i="113"/>
  <c r="CI50" i="3"/>
  <c r="CI80" i="3"/>
  <c r="CI20" i="3"/>
  <c r="CI77" i="3"/>
  <c r="DH82" i="2"/>
  <c r="CG88" i="3"/>
  <c r="CG83" i="3"/>
  <c r="CE88" i="3"/>
  <c r="CE83" i="3"/>
  <c r="CE85" i="3" s="1"/>
  <c r="L33" i="11"/>
  <c r="BJ112" i="3"/>
  <c r="BJ114" i="3" s="1"/>
  <c r="BJ87" i="3"/>
  <c r="BJ89" i="3"/>
  <c r="BJ84" i="3"/>
  <c r="DG80" i="2"/>
  <c r="BT83" i="3"/>
  <c r="BT85" i="3" s="1"/>
  <c r="BT88" i="3"/>
  <c r="CF88" i="3"/>
  <c r="CF83" i="3"/>
  <c r="CX98" i="2"/>
  <c r="CX352" i="2"/>
  <c r="CX82" i="2"/>
  <c r="BZ83" i="3"/>
  <c r="BZ85" i="3" s="1"/>
  <c r="BZ88" i="3"/>
  <c r="BV84" i="3"/>
  <c r="BV89" i="3"/>
  <c r="BV100" i="3"/>
  <c r="BV87" i="3"/>
  <c r="DG283" i="82"/>
  <c r="CD80" i="3"/>
  <c r="CD50" i="3"/>
  <c r="CD20" i="3"/>
  <c r="CD77" i="3"/>
  <c r="CB83" i="3"/>
  <c r="CB85" i="3" s="1"/>
  <c r="CB88" i="3"/>
  <c r="BY88" i="3"/>
  <c r="BY83" i="3"/>
  <c r="BY85" i="3" s="1"/>
  <c r="CM88" i="3"/>
  <c r="CM83" i="3"/>
  <c r="K33" i="11"/>
  <c r="BE87" i="3"/>
  <c r="BE84" i="3"/>
  <c r="BE112" i="3"/>
  <c r="BE114" i="3" s="1"/>
  <c r="BE89" i="3"/>
  <c r="DD98" i="2"/>
  <c r="BP89" i="3"/>
  <c r="BP87" i="3"/>
  <c r="BP84" i="3"/>
  <c r="DW211" i="7" l="1"/>
  <c r="DW218" i="7" s="1"/>
  <c r="DV218" i="7"/>
  <c r="DV44" i="3" s="1"/>
  <c r="DT227" i="7"/>
  <c r="DS234" i="7"/>
  <c r="DS235" i="7" s="1"/>
  <c r="DU44" i="3"/>
  <c r="DS44" i="7"/>
  <c r="DP178" i="39"/>
  <c r="DP177" i="39" s="1"/>
  <c r="DO177" i="39"/>
  <c r="Q27" i="11"/>
  <c r="Q28" i="11" s="1"/>
  <c r="CO100" i="3"/>
  <c r="CO85" i="3"/>
  <c r="CO89" i="3"/>
  <c r="CO87" i="3"/>
  <c r="CF85" i="3"/>
  <c r="CJ93" i="3"/>
  <c r="CJ95" i="3" s="1"/>
  <c r="CH85" i="3"/>
  <c r="CG85" i="3"/>
  <c r="DG12" i="1"/>
  <c r="DH520" i="1"/>
  <c r="DH630" i="1" s="1"/>
  <c r="DG527" i="1"/>
  <c r="DB82" i="2"/>
  <c r="P27" i="11"/>
  <c r="P28" i="11" s="1"/>
  <c r="DG82" i="2"/>
  <c r="DF242" i="2"/>
  <c r="DB240" i="2"/>
  <c r="DM242" i="2"/>
  <c r="DG241" i="2"/>
  <c r="DH242" i="2"/>
  <c r="DD242" i="2"/>
  <c r="DK242" i="2"/>
  <c r="DG240" i="2"/>
  <c r="DC242" i="2"/>
  <c r="DB241" i="2"/>
  <c r="DE242" i="2"/>
  <c r="BM52" i="3"/>
  <c r="BN51" i="3" s="1"/>
  <c r="DG19" i="1"/>
  <c r="DH61" i="1"/>
  <c r="DM53" i="1"/>
  <c r="DH47" i="1"/>
  <c r="DK52" i="1"/>
  <c r="DK39" i="1"/>
  <c r="DH25" i="1"/>
  <c r="DH38" i="1"/>
  <c r="DH26" i="1"/>
  <c r="DD234" i="7"/>
  <c r="BO84" i="3"/>
  <c r="BO89" i="3"/>
  <c r="BO87" i="3"/>
  <c r="M33" i="11"/>
  <c r="M36" i="11" s="1"/>
  <c r="BO112" i="3"/>
  <c r="BO114" i="3" s="1"/>
  <c r="BO116" i="3" s="1"/>
  <c r="CM85" i="3"/>
  <c r="CJ85" i="3"/>
  <c r="DB235" i="7"/>
  <c r="DM40" i="1"/>
  <c r="T393" i="113"/>
  <c r="T420" i="113"/>
  <c r="T135" i="113"/>
  <c r="T93" i="113"/>
  <c r="T56" i="113"/>
  <c r="CO84" i="3"/>
  <c r="BR54" i="3"/>
  <c r="BY52" i="3"/>
  <c r="CD51" i="3" s="1"/>
  <c r="CE89" i="3"/>
  <c r="CE87" i="3"/>
  <c r="CE84" i="3"/>
  <c r="CE100" i="3"/>
  <c r="CA100" i="3"/>
  <c r="CA87" i="3"/>
  <c r="CA84" i="3"/>
  <c r="CA89" i="3"/>
  <c r="BS52" i="3"/>
  <c r="BE115" i="3"/>
  <c r="BE117" i="3"/>
  <c r="BE116" i="3"/>
  <c r="CJ87" i="3"/>
  <c r="CJ84" i="3"/>
  <c r="CJ89" i="3"/>
  <c r="CJ100" i="3"/>
  <c r="CB87" i="3"/>
  <c r="CB84" i="3"/>
  <c r="CB89" i="3"/>
  <c r="CB100" i="3"/>
  <c r="BZ100" i="3"/>
  <c r="BZ87" i="3"/>
  <c r="BZ89" i="3"/>
  <c r="BZ84" i="3"/>
  <c r="CH100" i="3"/>
  <c r="CH87" i="3"/>
  <c r="CH89" i="3"/>
  <c r="CH84" i="3"/>
  <c r="CC87" i="3"/>
  <c r="CC84" i="3"/>
  <c r="CC89" i="3"/>
  <c r="CC100" i="3"/>
  <c r="O33" i="11"/>
  <c r="BY112" i="3"/>
  <c r="BY114" i="3" s="1"/>
  <c r="BY89" i="3"/>
  <c r="BY84" i="3"/>
  <c r="BY87" i="3"/>
  <c r="BY100" i="3"/>
  <c r="CF89" i="3"/>
  <c r="CF87" i="3"/>
  <c r="CF84" i="3"/>
  <c r="CF100" i="3"/>
  <c r="CD88" i="3"/>
  <c r="CD83" i="3"/>
  <c r="CD85" i="3" s="1"/>
  <c r="K36" i="11"/>
  <c r="K34" i="11"/>
  <c r="K35" i="11" s="1"/>
  <c r="N33" i="11"/>
  <c r="BT112" i="3"/>
  <c r="BT114" i="3" s="1"/>
  <c r="BT87" i="3"/>
  <c r="BT84" i="3"/>
  <c r="BT89" i="3"/>
  <c r="BT100" i="3"/>
  <c r="BJ115" i="3"/>
  <c r="BJ117" i="3"/>
  <c r="BJ116" i="3"/>
  <c r="CG89" i="3"/>
  <c r="CG100" i="3"/>
  <c r="CG84" i="3"/>
  <c r="CG87" i="3"/>
  <c r="CI83" i="3"/>
  <c r="CI88" i="3"/>
  <c r="N52" i="3"/>
  <c r="O51" i="3" s="1"/>
  <c r="CM89" i="3"/>
  <c r="CM87" i="3"/>
  <c r="CM84" i="3"/>
  <c r="CM100" i="3"/>
  <c r="L36" i="11"/>
  <c r="L34" i="11"/>
  <c r="L35" i="11" s="1"/>
  <c r="Q52" i="3"/>
  <c r="V51" i="3" s="1"/>
  <c r="BU52" i="3"/>
  <c r="G117" i="3"/>
  <c r="G116" i="3"/>
  <c r="G115" i="3"/>
  <c r="L115" i="3"/>
  <c r="DW44" i="3" l="1"/>
  <c r="DU227" i="7"/>
  <c r="DT234" i="7"/>
  <c r="DT235" i="7" s="1"/>
  <c r="DT44" i="7"/>
  <c r="DS59" i="3"/>
  <c r="BN52" i="3"/>
  <c r="BO52" i="3" s="1"/>
  <c r="DG540" i="1"/>
  <c r="DC179" i="39" s="1"/>
  <c r="DC180" i="39" s="1"/>
  <c r="DG544" i="1"/>
  <c r="DG536" i="1"/>
  <c r="DH521" i="1"/>
  <c r="DA301" i="1"/>
  <c r="DA302" i="1" s="1"/>
  <c r="DA120" i="39" s="1"/>
  <c r="DF301" i="1"/>
  <c r="DF302" i="1" s="1"/>
  <c r="DF120" i="39" s="1"/>
  <c r="CZ301" i="1"/>
  <c r="CZ302" i="1" s="1"/>
  <c r="CZ120" i="39" s="1"/>
  <c r="DK572" i="1"/>
  <c r="DK581" i="1"/>
  <c r="CY301" i="1"/>
  <c r="CY302" i="1" s="1"/>
  <c r="CY120" i="39" s="1"/>
  <c r="CX301" i="1"/>
  <c r="CX302" i="1" s="1"/>
  <c r="CX120" i="39" s="1"/>
  <c r="DB242" i="2"/>
  <c r="DG242" i="2"/>
  <c r="DD235" i="7"/>
  <c r="DK53" i="1"/>
  <c r="DH39" i="1"/>
  <c r="DH52" i="1"/>
  <c r="DK40" i="1"/>
  <c r="DM54" i="1"/>
  <c r="DF204" i="7"/>
  <c r="DF218" i="7" s="1"/>
  <c r="BO115" i="3"/>
  <c r="DC235" i="7"/>
  <c r="BO117" i="3"/>
  <c r="M34" i="11"/>
  <c r="M35" i="11" s="1"/>
  <c r="DC44" i="3"/>
  <c r="CI85" i="3"/>
  <c r="DY47" i="2"/>
  <c r="T136" i="113"/>
  <c r="T137" i="113" s="1"/>
  <c r="T433" i="113" s="1"/>
  <c r="T424" i="113"/>
  <c r="T57" i="113"/>
  <c r="T182" i="113"/>
  <c r="T422" i="113"/>
  <c r="T423" i="113"/>
  <c r="T94" i="113"/>
  <c r="BY54" i="3"/>
  <c r="BZ51" i="3"/>
  <c r="N36" i="11"/>
  <c r="N34" i="11"/>
  <c r="N35" i="11" s="1"/>
  <c r="CD52" i="3"/>
  <c r="BS54" i="3"/>
  <c r="BT53" i="3"/>
  <c r="BY117" i="3"/>
  <c r="BY116" i="3"/>
  <c r="BY115" i="3"/>
  <c r="P33" i="11"/>
  <c r="CD84" i="3"/>
  <c r="CD89" i="3"/>
  <c r="CD87" i="3"/>
  <c r="CD100" i="3"/>
  <c r="O36" i="11"/>
  <c r="O34" i="11"/>
  <c r="O35" i="11" s="1"/>
  <c r="BV51" i="3"/>
  <c r="BU54" i="3"/>
  <c r="O52" i="3"/>
  <c r="P51" i="3" s="1"/>
  <c r="V52" i="3"/>
  <c r="Q33" i="11"/>
  <c r="CI87" i="3"/>
  <c r="CI84" i="3"/>
  <c r="CI89" i="3"/>
  <c r="CI100" i="3"/>
  <c r="BT117" i="3"/>
  <c r="BT116" i="3"/>
  <c r="BT115" i="3"/>
  <c r="DN526" i="1"/>
  <c r="DV227" i="7" l="1"/>
  <c r="DU234" i="7"/>
  <c r="DU235" i="7" s="1"/>
  <c r="DU44" i="7"/>
  <c r="DT59" i="3"/>
  <c r="DT66" i="3" s="1"/>
  <c r="DT18" i="3" s="1"/>
  <c r="CY119" i="39"/>
  <c r="CY121" i="39"/>
  <c r="CX119" i="39"/>
  <c r="CX121" i="39"/>
  <c r="CZ119" i="39"/>
  <c r="CZ121" i="39"/>
  <c r="DF121" i="39"/>
  <c r="DF119" i="39"/>
  <c r="DA119" i="39"/>
  <c r="DA121" i="39"/>
  <c r="CZ200" i="1"/>
  <c r="DF200" i="1"/>
  <c r="DA303" i="1"/>
  <c r="DA200" i="1"/>
  <c r="CX303" i="1"/>
  <c r="CX200" i="1"/>
  <c r="CY303" i="1"/>
  <c r="CY200" i="1"/>
  <c r="CX304" i="1"/>
  <c r="CY304" i="1"/>
  <c r="CZ310" i="1"/>
  <c r="DF303" i="1"/>
  <c r="DF304" i="1"/>
  <c r="CZ304" i="1"/>
  <c r="CY310" i="1"/>
  <c r="DA310" i="1"/>
  <c r="CZ303" i="1"/>
  <c r="DK574" i="1"/>
  <c r="DK570" i="1"/>
  <c r="DK590" i="1"/>
  <c r="CX310" i="1"/>
  <c r="DA304" i="1"/>
  <c r="DK583" i="1"/>
  <c r="DK605" i="1" s="1"/>
  <c r="DK579" i="1"/>
  <c r="DK582" i="1" s="1"/>
  <c r="DH572" i="1"/>
  <c r="DH581" i="1"/>
  <c r="DH53" i="1"/>
  <c r="DH40" i="1"/>
  <c r="DH9" i="7"/>
  <c r="EA191" i="2"/>
  <c r="DE236" i="7"/>
  <c r="DF234" i="7"/>
  <c r="DG204" i="7"/>
  <c r="DG218" i="7" s="1"/>
  <c r="DB72" i="7"/>
  <c r="EA47" i="2"/>
  <c r="DC41" i="7"/>
  <c r="T167" i="113"/>
  <c r="T118" i="113"/>
  <c r="T95" i="113"/>
  <c r="T432" i="113" s="1"/>
  <c r="T425" i="113"/>
  <c r="T429" i="113" s="1"/>
  <c r="T183" i="113"/>
  <c r="T58" i="113"/>
  <c r="T81" i="113"/>
  <c r="BZ52" i="3"/>
  <c r="CA51" i="3" s="1"/>
  <c r="W51" i="3"/>
  <c r="AA51" i="3"/>
  <c r="BV52" i="3"/>
  <c r="P37" i="11"/>
  <c r="P38" i="11" s="1"/>
  <c r="P34" i="11"/>
  <c r="P35" i="11" s="1"/>
  <c r="P36" i="11"/>
  <c r="P52" i="3"/>
  <c r="R51" i="3" s="1"/>
  <c r="Q36" i="11"/>
  <c r="Q34" i="11"/>
  <c r="Q35" i="11" s="1"/>
  <c r="Q37" i="11"/>
  <c r="Q38" i="11" s="1"/>
  <c r="CE51" i="3"/>
  <c r="CD54" i="3"/>
  <c r="CI51" i="3"/>
  <c r="DN528" i="1"/>
  <c r="DT105" i="7" l="1"/>
  <c r="DW227" i="7"/>
  <c r="DW234" i="7" s="1"/>
  <c r="DV234" i="7"/>
  <c r="DV235" i="7" s="1"/>
  <c r="DW235" i="7" s="1"/>
  <c r="DV44" i="7"/>
  <c r="DU59" i="3"/>
  <c r="DF235" i="7"/>
  <c r="DH590" i="1"/>
  <c r="DH574" i="1"/>
  <c r="DH570" i="1"/>
  <c r="DK606" i="1"/>
  <c r="DK607" i="1" s="1"/>
  <c r="DK578" i="1"/>
  <c r="DK584" i="1" s="1"/>
  <c r="DK573" i="1"/>
  <c r="DK588" i="1"/>
  <c r="DK599" i="1"/>
  <c r="DK592" i="1"/>
  <c r="DK611" i="1" s="1"/>
  <c r="DH583" i="1"/>
  <c r="DH605" i="1" s="1"/>
  <c r="DH579" i="1"/>
  <c r="DH582" i="1" s="1"/>
  <c r="DH578" i="1" s="1"/>
  <c r="DC236" i="7"/>
  <c r="DI204" i="7"/>
  <c r="DM59" i="3"/>
  <c r="DH204" i="7"/>
  <c r="DH218" i="7" s="1"/>
  <c r="DH234" i="7" s="1"/>
  <c r="DD72" i="7"/>
  <c r="DG234" i="7"/>
  <c r="U10" i="11"/>
  <c r="DC72" i="7"/>
  <c r="T184" i="113"/>
  <c r="T434" i="113" s="1"/>
  <c r="T209" i="113"/>
  <c r="T431" i="113"/>
  <c r="T72" i="113"/>
  <c r="BZ54" i="3"/>
  <c r="BW51" i="3"/>
  <c r="BV54" i="3"/>
  <c r="CE52" i="3"/>
  <c r="DN530" i="1"/>
  <c r="DN542" i="1" s="1"/>
  <c r="CA52" i="3"/>
  <c r="DN307" i="1"/>
  <c r="DN308" i="1" s="1"/>
  <c r="DN132" i="39" s="1"/>
  <c r="R52" i="3"/>
  <c r="S51" i="3" s="1"/>
  <c r="AA52" i="3"/>
  <c r="W52" i="3"/>
  <c r="X51" i="3" s="1"/>
  <c r="CI52" i="3"/>
  <c r="DW44" i="7" l="1"/>
  <c r="DX44" i="7" s="1"/>
  <c r="DY44" i="7" s="1"/>
  <c r="DV59" i="3"/>
  <c r="DW59" i="3" s="1"/>
  <c r="DG235" i="7"/>
  <c r="DH235" i="7" s="1"/>
  <c r="DN133" i="39"/>
  <c r="DN131" i="39"/>
  <c r="DK600" i="1"/>
  <c r="DK601" i="1" s="1"/>
  <c r="DK54" i="1" s="1"/>
  <c r="DK622" i="1"/>
  <c r="DK623" i="1" s="1"/>
  <c r="DH470" i="1"/>
  <c r="DH164" i="1" s="1"/>
  <c r="DH584" i="1"/>
  <c r="DH606" i="1"/>
  <c r="DH588" i="1"/>
  <c r="DH573" i="1"/>
  <c r="DH592" i="1"/>
  <c r="DH611" i="1" s="1"/>
  <c r="DH599" i="1"/>
  <c r="DK569" i="1"/>
  <c r="DK591" i="1"/>
  <c r="DK587" i="1" s="1"/>
  <c r="DK593" i="1" s="1"/>
  <c r="DJ204" i="7"/>
  <c r="DI218" i="7"/>
  <c r="DN543" i="1"/>
  <c r="DH23" i="7"/>
  <c r="DH44" i="3"/>
  <c r="T438" i="113"/>
  <c r="X52" i="3"/>
  <c r="Y51" i="3" s="1"/>
  <c r="DN309" i="1"/>
  <c r="DN547" i="1"/>
  <c r="DN552" i="1" s="1"/>
  <c r="DN553" i="1" s="1"/>
  <c r="DN310" i="1"/>
  <c r="CA54" i="3"/>
  <c r="CB51" i="3"/>
  <c r="CI54" i="3"/>
  <c r="CF51" i="3"/>
  <c r="CE54" i="3"/>
  <c r="AF51" i="3"/>
  <c r="AB51" i="3"/>
  <c r="S52" i="3"/>
  <c r="T51" i="3" s="1"/>
  <c r="DN47" i="2"/>
  <c r="BW52" i="3"/>
  <c r="DZ44" i="7" l="1"/>
  <c r="DY59" i="3"/>
  <c r="DK618" i="1"/>
  <c r="DK619" i="1" s="1"/>
  <c r="DH600" i="1"/>
  <c r="DH569" i="1"/>
  <c r="DH591" i="1"/>
  <c r="DH587" i="1" s="1"/>
  <c r="DH593" i="1" s="1"/>
  <c r="DK612" i="1"/>
  <c r="DK613" i="1" s="1"/>
  <c r="DH622" i="1"/>
  <c r="DH623" i="1" s="1"/>
  <c r="DH607" i="1"/>
  <c r="DK575" i="1"/>
  <c r="EF191" i="2"/>
  <c r="DI234" i="7"/>
  <c r="DI235" i="7" s="1"/>
  <c r="DK204" i="7"/>
  <c r="DJ218" i="7"/>
  <c r="DH46" i="3"/>
  <c r="Y52" i="3"/>
  <c r="Z51" i="3" s="1"/>
  <c r="DN554" i="1"/>
  <c r="DN555" i="1"/>
  <c r="CF52" i="3"/>
  <c r="CB52" i="3"/>
  <c r="AB52" i="3"/>
  <c r="AC51" i="3" s="1"/>
  <c r="T52" i="3"/>
  <c r="U51" i="3" s="1"/>
  <c r="BX51" i="3"/>
  <c r="BW54" i="3"/>
  <c r="AF52" i="3"/>
  <c r="EA44" i="7" l="1"/>
  <c r="EA59" i="3" s="1"/>
  <c r="DZ59" i="3"/>
  <c r="DK626" i="1"/>
  <c r="DK627" i="1" s="1"/>
  <c r="DH463" i="1"/>
  <c r="DH149" i="1" s="1"/>
  <c r="DH575" i="1"/>
  <c r="DH612" i="1"/>
  <c r="DH613" i="1" s="1"/>
  <c r="DH618" i="1"/>
  <c r="DH601" i="1"/>
  <c r="DH54" i="1" s="1"/>
  <c r="EF47" i="2"/>
  <c r="DH236" i="7"/>
  <c r="DM9" i="7"/>
  <c r="DJ234" i="7"/>
  <c r="DJ235" i="7" s="1"/>
  <c r="DX59" i="3"/>
  <c r="DK218" i="7"/>
  <c r="DL204" i="7"/>
  <c r="DH41" i="7"/>
  <c r="CC51" i="3"/>
  <c r="CB54" i="3"/>
  <c r="Z52" i="3"/>
  <c r="U52" i="3"/>
  <c r="AC52" i="3"/>
  <c r="AD51" i="3" s="1"/>
  <c r="AG51" i="3"/>
  <c r="AK51" i="3"/>
  <c r="CF54" i="3"/>
  <c r="CG51" i="3"/>
  <c r="BX52" i="3"/>
  <c r="DK234" i="7" l="1"/>
  <c r="DK235" i="7" s="1"/>
  <c r="DH626" i="1"/>
  <c r="DH627" i="1" s="1"/>
  <c r="DH619" i="1"/>
  <c r="EK317" i="1"/>
  <c r="DL218" i="7"/>
  <c r="DM204" i="7"/>
  <c r="DM218" i="7" s="1"/>
  <c r="DH72" i="7"/>
  <c r="V10" i="11"/>
  <c r="AK52" i="3"/>
  <c r="CC52" i="3"/>
  <c r="CG52" i="3"/>
  <c r="AG52" i="3"/>
  <c r="AH51" i="3" s="1"/>
  <c r="AD52" i="3"/>
  <c r="AE51" i="3" s="1"/>
  <c r="BX54" i="3"/>
  <c r="BY53" i="3"/>
  <c r="EL330" i="1" l="1"/>
  <c r="EL328" i="1"/>
  <c r="EL319" i="1"/>
  <c r="EL327" i="1"/>
  <c r="EL325" i="1"/>
  <c r="EL334" i="1"/>
  <c r="DM234" i="7"/>
  <c r="EK320" i="1"/>
  <c r="EK321" i="1" s="1"/>
  <c r="EK318" i="1"/>
  <c r="DL234" i="7"/>
  <c r="DM23" i="7"/>
  <c r="DM44" i="3"/>
  <c r="AH52" i="3"/>
  <c r="CC54" i="3"/>
  <c r="CD53" i="3"/>
  <c r="AE52" i="3"/>
  <c r="CH51" i="3"/>
  <c r="CG54" i="3"/>
  <c r="AP51" i="3"/>
  <c r="AL51" i="3"/>
  <c r="EM333" i="1" l="1"/>
  <c r="DL235" i="7"/>
  <c r="DM235" i="7" s="1"/>
  <c r="DR44" i="3"/>
  <c r="DQ9" i="7"/>
  <c r="CH52" i="3"/>
  <c r="AM8" i="7"/>
  <c r="AI51" i="3"/>
  <c r="AL52" i="3"/>
  <c r="AM51" i="3" s="1"/>
  <c r="AP52" i="3"/>
  <c r="DR9" i="7" l="1"/>
  <c r="EK191" i="2"/>
  <c r="DX204" i="7"/>
  <c r="DX218" i="7" s="1"/>
  <c r="DY204" i="7"/>
  <c r="DM41" i="7"/>
  <c r="AM52" i="3"/>
  <c r="AN51" i="3" s="1"/>
  <c r="AI52" i="3"/>
  <c r="AJ51" i="3" s="1"/>
  <c r="AM66" i="7"/>
  <c r="AM70" i="7" s="1"/>
  <c r="AM16" i="7"/>
  <c r="AU51" i="3"/>
  <c r="AQ51" i="3"/>
  <c r="DN20" i="1"/>
  <c r="CH54" i="3"/>
  <c r="CI53" i="3"/>
  <c r="DS9" i="7" l="1"/>
  <c r="DQ23" i="7"/>
  <c r="EK47" i="2"/>
  <c r="DM236" i="7"/>
  <c r="DY218" i="7"/>
  <c r="DZ44" i="3" s="1"/>
  <c r="DX234" i="7"/>
  <c r="DX235" i="7" s="1"/>
  <c r="DX44" i="3"/>
  <c r="DM72" i="7"/>
  <c r="W10" i="11"/>
  <c r="AU52" i="3"/>
  <c r="AM26" i="7"/>
  <c r="DN48" i="1"/>
  <c r="DN90" i="1"/>
  <c r="DN13" i="1"/>
  <c r="DN22" i="1"/>
  <c r="DN34" i="1"/>
  <c r="DN491" i="1"/>
  <c r="DN62" i="1"/>
  <c r="AJ52" i="3"/>
  <c r="AQ52" i="3"/>
  <c r="AR51" i="3" s="1"/>
  <c r="AN52" i="3"/>
  <c r="DT9" i="7" l="1"/>
  <c r="DR23" i="7"/>
  <c r="DY44" i="3"/>
  <c r="DN236" i="7"/>
  <c r="DY234" i="7"/>
  <c r="DY235" i="7" s="1"/>
  <c r="DN99" i="1"/>
  <c r="DN118" i="1" s="1"/>
  <c r="DS91" i="1"/>
  <c r="DS23" i="1"/>
  <c r="DN91" i="1"/>
  <c r="DN93" i="1"/>
  <c r="DS94" i="1" s="1"/>
  <c r="AV51" i="3"/>
  <c r="AZ51" i="3"/>
  <c r="AR52" i="3"/>
  <c r="AS51" i="3" s="1"/>
  <c r="DN36" i="1"/>
  <c r="DN115" i="1"/>
  <c r="DN27" i="1"/>
  <c r="DN23" i="1"/>
  <c r="DN496" i="1"/>
  <c r="DN492" i="1"/>
  <c r="AM63" i="7"/>
  <c r="AO51" i="3"/>
  <c r="AR8" i="7"/>
  <c r="DS23" i="7" l="1"/>
  <c r="DU9" i="7"/>
  <c r="DQ41" i="7"/>
  <c r="DS37" i="1"/>
  <c r="DN100" i="1"/>
  <c r="DS116" i="1"/>
  <c r="DS119" i="1"/>
  <c r="DN102" i="1"/>
  <c r="DS100" i="1"/>
  <c r="DN120" i="1"/>
  <c r="DN119" i="1"/>
  <c r="DN50" i="1"/>
  <c r="AR66" i="7"/>
  <c r="AR70" i="7" s="1"/>
  <c r="AR16" i="7"/>
  <c r="DN110" i="1"/>
  <c r="DN106" i="1"/>
  <c r="DN107" i="1"/>
  <c r="DN94" i="1"/>
  <c r="DN95" i="1"/>
  <c r="AO52" i="3"/>
  <c r="AS8" i="7" s="1"/>
  <c r="DN41" i="1"/>
  <c r="DN498" i="1"/>
  <c r="DN37" i="1"/>
  <c r="AS52" i="3"/>
  <c r="AT51" i="3" s="1"/>
  <c r="DN116" i="1"/>
  <c r="DN121" i="1"/>
  <c r="DS122" i="1" s="1"/>
  <c r="DN117" i="1"/>
  <c r="AZ52" i="3"/>
  <c r="AV52" i="3"/>
  <c r="AW51" i="3" s="1"/>
  <c r="DT23" i="7" l="1"/>
  <c r="DV9" i="7"/>
  <c r="AW52" i="3"/>
  <c r="AX51" i="3" s="1"/>
  <c r="DQ72" i="7"/>
  <c r="DR41" i="7"/>
  <c r="DS51" i="1"/>
  <c r="DS103" i="1"/>
  <c r="DN103" i="1"/>
  <c r="DN104" i="1"/>
  <c r="DN9" i="82"/>
  <c r="DN40" i="82" s="1"/>
  <c r="DN77" i="82" s="1"/>
  <c r="DN51" i="1"/>
  <c r="DN69" i="1"/>
  <c r="DN55" i="1"/>
  <c r="DN193" i="82"/>
  <c r="BE51" i="3"/>
  <c r="BA51" i="3"/>
  <c r="DN123" i="1"/>
  <c r="DN122" i="1"/>
  <c r="AS66" i="7"/>
  <c r="AS16" i="7"/>
  <c r="DN111" i="1"/>
  <c r="DN112" i="1"/>
  <c r="DN500" i="1"/>
  <c r="DN499" i="1"/>
  <c r="AR26" i="7"/>
  <c r="DN62" i="2"/>
  <c r="DN85" i="2"/>
  <c r="AT52" i="3"/>
  <c r="DN108" i="1"/>
  <c r="DN109" i="1"/>
  <c r="DS41" i="7" l="1"/>
  <c r="DT41" i="7" s="1"/>
  <c r="DW9" i="7"/>
  <c r="DU23" i="7"/>
  <c r="DS50" i="7"/>
  <c r="DR72" i="7"/>
  <c r="X10" i="11"/>
  <c r="J29" i="15" s="1"/>
  <c r="EO191" i="2"/>
  <c r="DN170" i="1"/>
  <c r="DN630" i="1" s="1"/>
  <c r="DN517" i="1"/>
  <c r="DS70" i="1"/>
  <c r="DN75" i="82"/>
  <c r="DN13" i="82"/>
  <c r="DN14" i="82" s="1"/>
  <c r="DN163" i="82" s="1"/>
  <c r="DS164" i="82" s="1"/>
  <c r="DN24" i="82"/>
  <c r="DN42" i="82"/>
  <c r="DN43" i="82" s="1"/>
  <c r="DN70" i="82" s="1"/>
  <c r="DN69" i="82"/>
  <c r="DN244" i="82"/>
  <c r="DN7" i="2"/>
  <c r="DN74" i="1"/>
  <c r="DN86" i="1"/>
  <c r="DN79" i="1"/>
  <c r="DN82" i="1"/>
  <c r="DN78" i="1"/>
  <c r="DN84" i="1"/>
  <c r="DN80" i="1"/>
  <c r="DN389" i="1"/>
  <c r="DN257" i="82"/>
  <c r="DN256" i="82"/>
  <c r="DN242" i="82"/>
  <c r="BE52" i="3"/>
  <c r="AR63" i="7"/>
  <c r="DN225" i="82"/>
  <c r="DN195" i="82"/>
  <c r="DN211" i="82"/>
  <c r="CP70" i="3"/>
  <c r="CU71" i="3" s="1"/>
  <c r="CP81" i="3"/>
  <c r="DN325" i="82"/>
  <c r="DN305" i="82" s="1"/>
  <c r="AS26" i="7"/>
  <c r="I11" i="11"/>
  <c r="AS70" i="7"/>
  <c r="DN261" i="82"/>
  <c r="DN85" i="1"/>
  <c r="DN65" i="1"/>
  <c r="DN66" i="1"/>
  <c r="DN124" i="1"/>
  <c r="BA52" i="3"/>
  <c r="BB51" i="3" s="1"/>
  <c r="DS72" i="7" l="1"/>
  <c r="DV23" i="7"/>
  <c r="DX9" i="7"/>
  <c r="DU41" i="7"/>
  <c r="DT72" i="7"/>
  <c r="DT50" i="7"/>
  <c r="DN325" i="2"/>
  <c r="CP92" i="3"/>
  <c r="DQ236" i="7"/>
  <c r="EQ191" i="2" s="1"/>
  <c r="EO47" i="2"/>
  <c r="EP191" i="2"/>
  <c r="DN203" i="1"/>
  <c r="DN173" i="1"/>
  <c r="DN210" i="1" s="1"/>
  <c r="DN191" i="1"/>
  <c r="DN197" i="1"/>
  <c r="DN208" i="1"/>
  <c r="DN216" i="1" s="1"/>
  <c r="DN183" i="1"/>
  <c r="DN175" i="1"/>
  <c r="DS171" i="1"/>
  <c r="DS209" i="1" s="1"/>
  <c r="DN327" i="2"/>
  <c r="DN328" i="2"/>
  <c r="DN329" i="2"/>
  <c r="DN301" i="2"/>
  <c r="DN305" i="2"/>
  <c r="DN303" i="2"/>
  <c r="DN308" i="2"/>
  <c r="DN299" i="2"/>
  <c r="DN26" i="82"/>
  <c r="DN25" i="82"/>
  <c r="DN81" i="1"/>
  <c r="DN83" i="1" s="1"/>
  <c r="DN87" i="1" s="1"/>
  <c r="DS125" i="1"/>
  <c r="DN33" i="82"/>
  <c r="DN167" i="82"/>
  <c r="DN187" i="82"/>
  <c r="I14" i="11"/>
  <c r="I31" i="11" s="1"/>
  <c r="I21" i="11"/>
  <c r="DO262" i="82"/>
  <c r="DO276" i="82" s="1"/>
  <c r="DN247" i="82"/>
  <c r="DN313" i="82"/>
  <c r="DN338" i="82" s="1"/>
  <c r="DN84" i="2"/>
  <c r="DN9" i="2"/>
  <c r="DN130" i="2"/>
  <c r="DN275" i="82"/>
  <c r="DN246" i="82"/>
  <c r="DN325" i="1"/>
  <c r="DN213" i="82"/>
  <c r="DN240" i="82"/>
  <c r="DN227" i="82"/>
  <c r="DN133" i="2"/>
  <c r="DN87" i="2"/>
  <c r="DN64" i="2"/>
  <c r="DN203" i="2"/>
  <c r="DN91" i="2"/>
  <c r="DN68" i="2"/>
  <c r="DN143" i="2"/>
  <c r="DN215" i="82"/>
  <c r="DN229" i="82"/>
  <c r="CP32" i="3"/>
  <c r="DN315" i="82"/>
  <c r="DN330" i="1"/>
  <c r="DN56" i="2"/>
  <c r="DN92" i="2"/>
  <c r="DN70" i="2"/>
  <c r="DN75" i="2"/>
  <c r="DN146" i="2"/>
  <c r="DN46" i="2"/>
  <c r="DN126" i="1"/>
  <c r="DN127" i="1"/>
  <c r="DN231" i="82"/>
  <c r="DN200" i="82"/>
  <c r="BF51" i="3"/>
  <c r="BJ51" i="3"/>
  <c r="DN287" i="82"/>
  <c r="DN262" i="82"/>
  <c r="DN276" i="82" s="1"/>
  <c r="DN297" i="82"/>
  <c r="DN328" i="1"/>
  <c r="DN137" i="2"/>
  <c r="DN66" i="2"/>
  <c r="DN89" i="2"/>
  <c r="DN26" i="2"/>
  <c r="DN222" i="82"/>
  <c r="DN236" i="82"/>
  <c r="BB52" i="3"/>
  <c r="BC51" i="3" s="1"/>
  <c r="AS63" i="7"/>
  <c r="CP71" i="3"/>
  <c r="DN67" i="2"/>
  <c r="DN140" i="2"/>
  <c r="DN90" i="2"/>
  <c r="DN194" i="82"/>
  <c r="DW23" i="7" l="1"/>
  <c r="DY9" i="7"/>
  <c r="DZ9" i="7" s="1"/>
  <c r="EC9" i="7"/>
  <c r="DV41" i="7"/>
  <c r="DU72" i="7"/>
  <c r="DR236" i="7"/>
  <c r="EP47" i="2"/>
  <c r="DN178" i="1"/>
  <c r="DN177" i="1"/>
  <c r="DS176" i="1"/>
  <c r="DN225" i="1"/>
  <c r="DN234" i="1"/>
  <c r="DN235" i="1" s="1"/>
  <c r="DN236" i="1" s="1"/>
  <c r="DN218" i="1"/>
  <c r="DS217" i="1"/>
  <c r="DS219" i="1" s="1"/>
  <c r="DS226" i="1"/>
  <c r="DS306" i="2"/>
  <c r="DS302" i="2"/>
  <c r="DS304" i="2"/>
  <c r="DS300" i="2"/>
  <c r="DS309" i="2"/>
  <c r="DN180" i="82"/>
  <c r="DN329" i="1"/>
  <c r="CP76" i="3"/>
  <c r="DS128" i="1"/>
  <c r="DN169" i="82"/>
  <c r="I41" i="11"/>
  <c r="CP72" i="3"/>
  <c r="DN196" i="82"/>
  <c r="DN250" i="82"/>
  <c r="DN253" i="82"/>
  <c r="DN301" i="82"/>
  <c r="DN132" i="2"/>
  <c r="DN249" i="82"/>
  <c r="DN136" i="1"/>
  <c r="CP80" i="7"/>
  <c r="DN117" i="2"/>
  <c r="DN126" i="2"/>
  <c r="DN123" i="2"/>
  <c r="DN120" i="2"/>
  <c r="DN114" i="2"/>
  <c r="DN86" i="2"/>
  <c r="DN13" i="2"/>
  <c r="DN330" i="82"/>
  <c r="BC52" i="3"/>
  <c r="BD51" i="3" s="1"/>
  <c r="CP15" i="3"/>
  <c r="DN209" i="2"/>
  <c r="DN69" i="2"/>
  <c r="DN93" i="2"/>
  <c r="DN331" i="1"/>
  <c r="DN332" i="1"/>
  <c r="DN333" i="1"/>
  <c r="DN142" i="2"/>
  <c r="DN129" i="1"/>
  <c r="DN134" i="1"/>
  <c r="DN133" i="1"/>
  <c r="DN148" i="2"/>
  <c r="DN139" i="2"/>
  <c r="BJ52" i="3"/>
  <c r="BO51" i="3" s="1"/>
  <c r="DN135" i="2"/>
  <c r="BF52" i="3"/>
  <c r="BG51" i="3" s="1"/>
  <c r="DN232" i="82"/>
  <c r="DN239" i="82"/>
  <c r="DN212" i="82"/>
  <c r="DN226" i="82"/>
  <c r="DN235" i="82"/>
  <c r="DN221" i="82"/>
  <c r="DN145" i="2"/>
  <c r="DN204" i="2"/>
  <c r="DN205" i="2"/>
  <c r="DX23" i="7" l="1"/>
  <c r="ED9" i="7"/>
  <c r="EA9" i="7"/>
  <c r="DW41" i="7"/>
  <c r="DV72" i="7"/>
  <c r="DS172" i="1"/>
  <c r="DS227" i="1"/>
  <c r="DS115" i="2"/>
  <c r="DS121" i="2"/>
  <c r="DS124" i="2"/>
  <c r="DS127" i="2"/>
  <c r="DS118" i="2"/>
  <c r="DN198" i="82"/>
  <c r="DN243" i="82" s="1"/>
  <c r="DN255" i="82"/>
  <c r="DN228" i="82"/>
  <c r="DN241" i="82"/>
  <c r="DN252" i="82"/>
  <c r="DN128" i="2"/>
  <c r="DN27" i="2"/>
  <c r="DN119" i="2"/>
  <c r="DN88" i="2"/>
  <c r="DN150" i="2"/>
  <c r="DN125" i="2"/>
  <c r="CP82" i="7"/>
  <c r="CP73" i="7" s="1"/>
  <c r="CP83" i="7"/>
  <c r="CP98" i="7"/>
  <c r="CP104" i="7"/>
  <c r="CP92" i="7"/>
  <c r="CP91" i="7"/>
  <c r="CP172" i="7"/>
  <c r="CP96" i="7"/>
  <c r="CP94" i="7"/>
  <c r="CP89" i="7"/>
  <c r="DN166" i="2"/>
  <c r="DN116" i="2"/>
  <c r="DN122" i="2"/>
  <c r="DN295" i="82"/>
  <c r="DN289" i="82"/>
  <c r="CP38" i="7"/>
  <c r="BD52" i="3"/>
  <c r="DN55" i="2"/>
  <c r="DN135" i="1"/>
  <c r="DN137" i="1" s="1"/>
  <c r="DN210" i="2"/>
  <c r="DN211" i="2"/>
  <c r="BG52" i="3"/>
  <c r="DY23" i="7" l="1"/>
  <c r="DZ23" i="7" s="1"/>
  <c r="EA23" i="7" s="1"/>
  <c r="DW72" i="7"/>
  <c r="DX41" i="7"/>
  <c r="Y10" i="11"/>
  <c r="DS236" i="7"/>
  <c r="ER191" i="2" s="1"/>
  <c r="EQ47" i="2"/>
  <c r="EQ48" i="2" s="1"/>
  <c r="DN317" i="2"/>
  <c r="DN315" i="2" s="1"/>
  <c r="DN324" i="2" s="1"/>
  <c r="DN281" i="2"/>
  <c r="DN310" i="2" s="1"/>
  <c r="DN168" i="2"/>
  <c r="DN179" i="82"/>
  <c r="DN21" i="82"/>
  <c r="DN171" i="82"/>
  <c r="DN170" i="82" s="1"/>
  <c r="DN188" i="82"/>
  <c r="DN230" i="82"/>
  <c r="DN220" i="2"/>
  <c r="DN169" i="2"/>
  <c r="DN54" i="2"/>
  <c r="DN94" i="2"/>
  <c r="DN28" i="2"/>
  <c r="DN316" i="82"/>
  <c r="DN332" i="82" s="1"/>
  <c r="DN29" i="2"/>
  <c r="DN151" i="2"/>
  <c r="CP50" i="7"/>
  <c r="DN326" i="82"/>
  <c r="DN206" i="2"/>
  <c r="DN136" i="2"/>
  <c r="DN74" i="2"/>
  <c r="G19" i="112" l="1"/>
  <c r="K29" i="15"/>
  <c r="K55" i="15" s="1"/>
  <c r="Z10" i="11"/>
  <c r="DX72" i="7"/>
  <c r="DY41" i="7"/>
  <c r="DT236" i="7"/>
  <c r="ES191" i="2" s="1"/>
  <c r="ER47" i="2"/>
  <c r="ER48" i="2" s="1"/>
  <c r="DN34" i="82"/>
  <c r="DN36" i="82" s="1"/>
  <c r="DN326" i="2"/>
  <c r="DN321" i="2"/>
  <c r="DN330" i="2" s="1"/>
  <c r="DS311" i="2"/>
  <c r="DN223" i="2"/>
  <c r="DN57" i="2"/>
  <c r="DN154" i="2"/>
  <c r="DN182" i="82"/>
  <c r="DN173" i="82"/>
  <c r="DN175" i="82" s="1"/>
  <c r="DN157" i="2"/>
  <c r="DN175" i="2"/>
  <c r="DN171" i="2"/>
  <c r="DN172" i="2"/>
  <c r="DN314" i="82"/>
  <c r="DN329" i="82" s="1"/>
  <c r="DN331" i="82" s="1"/>
  <c r="DN153" i="2"/>
  <c r="DN318" i="82"/>
  <c r="DN335" i="82" s="1"/>
  <c r="DN339" i="82"/>
  <c r="DN334" i="82"/>
  <c r="CP18" i="3"/>
  <c r="DN207" i="2"/>
  <c r="DN208" i="2"/>
  <c r="DN212" i="2"/>
  <c r="AA10" i="11" l="1"/>
  <c r="DY72" i="7"/>
  <c r="DZ41" i="7"/>
  <c r="DU236" i="7"/>
  <c r="ET191" i="2" s="1"/>
  <c r="EU191" i="2" s="1"/>
  <c r="DW236" i="7" s="1"/>
  <c r="EV191" i="2" s="1"/>
  <c r="ES47" i="2"/>
  <c r="DN161" i="2"/>
  <c r="DN334" i="1"/>
  <c r="DN184" i="82"/>
  <c r="DN179" i="2"/>
  <c r="DN156" i="2"/>
  <c r="DN95" i="2"/>
  <c r="CP105" i="7"/>
  <c r="DN159" i="2"/>
  <c r="DN177" i="2"/>
  <c r="DN174" i="2"/>
  <c r="DN337" i="82"/>
  <c r="DN213" i="2"/>
  <c r="DN214" i="2"/>
  <c r="DZ72" i="7" l="1"/>
  <c r="EA41" i="7"/>
  <c r="EA72" i="7" s="1"/>
  <c r="DX236" i="7"/>
  <c r="EW191" i="2" s="1"/>
  <c r="EV47" i="2"/>
  <c r="ET47" i="2"/>
  <c r="EU47" i="2" s="1"/>
  <c r="DV236" i="7"/>
  <c r="DN163" i="2"/>
  <c r="DN181" i="2"/>
  <c r="EW47" i="2" l="1"/>
  <c r="DY236" i="7"/>
  <c r="EX191" i="2" s="1"/>
  <c r="DN32" i="2"/>
  <c r="DN319" i="82"/>
  <c r="DN201" i="82" s="1"/>
  <c r="DZ236" i="7" l="1"/>
  <c r="EY191" i="2" s="1"/>
  <c r="EX47" i="2"/>
  <c r="DN34" i="2"/>
  <c r="DN227" i="2"/>
  <c r="EA236" i="7" l="1"/>
  <c r="EY47" i="2"/>
  <c r="DN217" i="2"/>
  <c r="DN48" i="2"/>
  <c r="DN230" i="2"/>
  <c r="DN320" i="82"/>
  <c r="DN202" i="82" s="1"/>
  <c r="DN204" i="82" s="1"/>
  <c r="DN36" i="2"/>
  <c r="DN232" i="2" l="1"/>
  <c r="DN233" i="2" s="1"/>
  <c r="CP196" i="7"/>
  <c r="CP197" i="7" s="1"/>
  <c r="CP9" i="3"/>
  <c r="DN42" i="2"/>
  <c r="DN160" i="2"/>
  <c r="DN50" i="2"/>
  <c r="DN178" i="2"/>
  <c r="DN322" i="82"/>
  <c r="DN270" i="82" s="1"/>
  <c r="DN37" i="2"/>
  <c r="DN205" i="82"/>
  <c r="DN233" i="82"/>
  <c r="DN236" i="2" l="1"/>
  <c r="DN176" i="82"/>
  <c r="DN189" i="82"/>
  <c r="DN51" i="2"/>
  <c r="DN234" i="82"/>
  <c r="DN43" i="2"/>
  <c r="DN96" i="2"/>
  <c r="DN323" i="82"/>
  <c r="DN271" i="82" s="1"/>
  <c r="CP19" i="3"/>
  <c r="CP77" i="3" l="1"/>
  <c r="CP60" i="7"/>
  <c r="CP50" i="3"/>
  <c r="CP80" i="3"/>
  <c r="DN98" i="2"/>
  <c r="DN97" i="2"/>
  <c r="CP83" i="3" l="1"/>
  <c r="CP76" i="7"/>
  <c r="CP62" i="7"/>
  <c r="CP74" i="7"/>
  <c r="CP75" i="7"/>
  <c r="CP85" i="3" l="1"/>
  <c r="CP100" i="3"/>
  <c r="CP89" i="3"/>
  <c r="CP87" i="3"/>
  <c r="DN187" i="2" l="1"/>
  <c r="DN198" i="2"/>
  <c r="DN224" i="2" l="1"/>
  <c r="DN199" i="2"/>
  <c r="DN200" i="2"/>
  <c r="DN226" i="2" l="1"/>
  <c r="DN229" i="2" l="1"/>
  <c r="DN228" i="2" l="1"/>
  <c r="DN237" i="2"/>
  <c r="DN269" i="82"/>
  <c r="DN263" i="82" s="1"/>
  <c r="DN290" i="82"/>
  <c r="DN296" i="82"/>
  <c r="DN239" i="2" l="1"/>
  <c r="DN238" i="2"/>
  <c r="DN277" i="82"/>
  <c r="DN309" i="82"/>
  <c r="DN266" i="82"/>
  <c r="DN288" i="82"/>
  <c r="DN241" i="2" l="1"/>
  <c r="DN240" i="2"/>
  <c r="DQ304" i="82"/>
  <c r="V329" i="113" l="1"/>
  <c r="V331" i="113" s="1"/>
  <c r="V332" i="113" s="1"/>
  <c r="DN292" i="82" l="1"/>
  <c r="DN298" i="82"/>
  <c r="DN306" i="82"/>
  <c r="DN303" i="1" l="1"/>
  <c r="DN304" i="1"/>
  <c r="DO526" i="1" l="1"/>
  <c r="FA526" i="1" l="1"/>
  <c r="FB526" i="1"/>
  <c r="DP526" i="1"/>
  <c r="DO528" i="1"/>
  <c r="DO310" i="1" l="1"/>
  <c r="DO309" i="1"/>
  <c r="DO304" i="1"/>
  <c r="DO303" i="1"/>
  <c r="DO530" i="1"/>
  <c r="DO542" i="1" s="1"/>
  <c r="FB542" i="1" s="1"/>
  <c r="DP528" i="1"/>
  <c r="DP530" i="1"/>
  <c r="DP542" i="1" s="1"/>
  <c r="DP543" i="1" s="1"/>
  <c r="DO543" i="1" l="1"/>
  <c r="FA542" i="1"/>
  <c r="DP303" i="1"/>
  <c r="DP304" i="1"/>
  <c r="DO547" i="1"/>
  <c r="DO552" i="1" s="1"/>
  <c r="DO553" i="1" s="1"/>
  <c r="DP12" i="82"/>
  <c r="DP149" i="82" s="1"/>
  <c r="DO47" i="2"/>
  <c r="DP150" i="82" l="1"/>
  <c r="DU160" i="82" s="1"/>
  <c r="DQ149" i="82"/>
  <c r="DP47" i="2"/>
  <c r="DQ192" i="2"/>
  <c r="DQ301" i="1"/>
  <c r="DQ302" i="1" s="1"/>
  <c r="DQ120" i="39" s="1"/>
  <c r="DQ121" i="39" s="1"/>
  <c r="DO554" i="1"/>
  <c r="DO555" i="1"/>
  <c r="DP547" i="1"/>
  <c r="DP552" i="1" s="1"/>
  <c r="DP553" i="1" s="1"/>
  <c r="DP307" i="1"/>
  <c r="DP308" i="1" s="1"/>
  <c r="DP132" i="39" s="1"/>
  <c r="DQ68" i="1"/>
  <c r="DP133" i="39" l="1"/>
  <c r="DP131" i="39"/>
  <c r="DQ200" i="1"/>
  <c r="DQ47" i="2"/>
  <c r="DQ150" i="82"/>
  <c r="DP160" i="82"/>
  <c r="DQ12" i="82"/>
  <c r="V321" i="113" s="1"/>
  <c r="DQ304" i="1"/>
  <c r="DP309" i="1"/>
  <c r="DP310" i="1"/>
  <c r="DP554" i="1"/>
  <c r="DP555" i="1"/>
  <c r="DQ303" i="1"/>
  <c r="DQ160" i="82" l="1"/>
  <c r="DR303" i="1" l="1"/>
  <c r="DR304" i="1"/>
  <c r="DR310" i="1"/>
  <c r="DR309" i="1"/>
  <c r="DR47" i="2"/>
  <c r="DS303" i="1" l="1"/>
  <c r="DS304" i="1"/>
  <c r="DS309" i="1"/>
  <c r="DS310" i="1"/>
  <c r="DS47" i="2"/>
  <c r="DR12" i="82"/>
  <c r="DR149" i="82" s="1"/>
  <c r="DR150" i="82" s="1"/>
  <c r="DR160" i="82" l="1"/>
  <c r="DU47" i="2"/>
  <c r="DT47" i="2"/>
  <c r="DQ15" i="1"/>
  <c r="DV192" i="2" l="1"/>
  <c r="DV47" i="2"/>
  <c r="DP21" i="1"/>
  <c r="DP10" i="82"/>
  <c r="DP80" i="82" s="1"/>
  <c r="DU94" i="82" s="1"/>
  <c r="DO21" i="1"/>
  <c r="DQ43" i="1"/>
  <c r="DQ8" i="1"/>
  <c r="DO90" i="1"/>
  <c r="DO22" i="1"/>
  <c r="DQ29" i="1"/>
  <c r="DO34" i="1"/>
  <c r="DM21" i="1"/>
  <c r="DN21" i="1"/>
  <c r="DQ16" i="1"/>
  <c r="V121" i="113"/>
  <c r="DQ57" i="1"/>
  <c r="DO491" i="1"/>
  <c r="DP90" i="1"/>
  <c r="DU91" i="1" s="1"/>
  <c r="DP22" i="1"/>
  <c r="DQ101" i="1" l="1"/>
  <c r="DU23" i="1"/>
  <c r="DT23" i="1"/>
  <c r="DO99" i="1"/>
  <c r="DT100" i="1" s="1"/>
  <c r="DT91" i="1"/>
  <c r="DR27" i="1"/>
  <c r="DP63" i="1"/>
  <c r="V126" i="113"/>
  <c r="V148" i="113" s="1"/>
  <c r="DP49" i="1"/>
  <c r="DP110" i="82"/>
  <c r="DU111" i="82" s="1"/>
  <c r="DP112" i="82"/>
  <c r="DP81" i="82"/>
  <c r="DQ80" i="82"/>
  <c r="DQ94" i="82" s="1"/>
  <c r="DP27" i="82"/>
  <c r="DO496" i="1"/>
  <c r="DP496" i="1"/>
  <c r="DP14" i="1"/>
  <c r="DP35" i="1"/>
  <c r="DP99" i="1"/>
  <c r="DU100" i="1" s="1"/>
  <c r="DQ10" i="82"/>
  <c r="DQ27" i="82" s="1"/>
  <c r="DO35" i="1"/>
  <c r="DO23" i="1"/>
  <c r="DO27" i="1"/>
  <c r="DO63" i="1"/>
  <c r="DP8" i="2"/>
  <c r="DP106" i="1"/>
  <c r="DP110" i="1"/>
  <c r="DQ9" i="1"/>
  <c r="DQ22" i="1"/>
  <c r="V47" i="113"/>
  <c r="DN14" i="1"/>
  <c r="DM14" i="1"/>
  <c r="DM49" i="1"/>
  <c r="DN49" i="1"/>
  <c r="DQ44" i="1"/>
  <c r="V173" i="113"/>
  <c r="V172" i="113" s="1"/>
  <c r="V193" i="113" s="1"/>
  <c r="DO14" i="1"/>
  <c r="DO49" i="1"/>
  <c r="DQ491" i="1"/>
  <c r="DP497" i="1" s="1"/>
  <c r="DO115" i="1"/>
  <c r="DO36" i="1"/>
  <c r="DM35" i="1"/>
  <c r="DN35" i="1"/>
  <c r="DQ30" i="1"/>
  <c r="V84" i="113"/>
  <c r="DQ90" i="1"/>
  <c r="DO91" i="1"/>
  <c r="DO93" i="1"/>
  <c r="DT94" i="1" s="1"/>
  <c r="DP23" i="1"/>
  <c r="DP115" i="1"/>
  <c r="DP27" i="1"/>
  <c r="DP36" i="1"/>
  <c r="DP93" i="1"/>
  <c r="DP91" i="1"/>
  <c r="DM63" i="1"/>
  <c r="DN63" i="1"/>
  <c r="DQ58" i="1"/>
  <c r="V123" i="113"/>
  <c r="V144" i="113"/>
  <c r="DQ154" i="1" l="1"/>
  <c r="DQ155" i="1" s="1"/>
  <c r="DQ92" i="1"/>
  <c r="DP29" i="82"/>
  <c r="DQ28" i="82"/>
  <c r="DP28" i="82"/>
  <c r="DO100" i="1"/>
  <c r="DO102" i="1"/>
  <c r="DT103" i="1" s="1"/>
  <c r="DT37" i="1"/>
  <c r="DO118" i="1"/>
  <c r="DO120" i="1" s="1"/>
  <c r="DR95" i="1"/>
  <c r="DU94" i="1"/>
  <c r="DR41" i="1"/>
  <c r="DU37" i="1"/>
  <c r="DP105" i="82"/>
  <c r="DU95" i="82"/>
  <c r="DP12" i="2"/>
  <c r="DP168" i="82"/>
  <c r="DP41" i="82"/>
  <c r="V248" i="113"/>
  <c r="V250" i="113" s="1"/>
  <c r="DQ89" i="82"/>
  <c r="DQ110" i="82"/>
  <c r="DQ112" i="82"/>
  <c r="DQ81" i="82"/>
  <c r="DO37" i="1"/>
  <c r="DO50" i="1"/>
  <c r="DP498" i="1"/>
  <c r="DP50" i="1"/>
  <c r="DQ99" i="1"/>
  <c r="DP102" i="1"/>
  <c r="DP100" i="1"/>
  <c r="DP118" i="1"/>
  <c r="DP119" i="1" s="1"/>
  <c r="DO28" i="1"/>
  <c r="DS491" i="1"/>
  <c r="DP28" i="1"/>
  <c r="DO497" i="1"/>
  <c r="DO498" i="1"/>
  <c r="DO41" i="1"/>
  <c r="DQ36" i="1"/>
  <c r="DP37" i="1"/>
  <c r="DP41" i="1"/>
  <c r="DQ96" i="1"/>
  <c r="DQ91" i="1"/>
  <c r="V48" i="113"/>
  <c r="DQ93" i="1"/>
  <c r="DO117" i="1"/>
  <c r="DO116" i="1"/>
  <c r="V65" i="113"/>
  <c r="DP111" i="1"/>
  <c r="DP95" i="1"/>
  <c r="DP94" i="1"/>
  <c r="DP116" i="1"/>
  <c r="DP117" i="1"/>
  <c r="V102" i="113"/>
  <c r="DQ23" i="1"/>
  <c r="DQ115" i="1"/>
  <c r="DN28" i="1"/>
  <c r="DM28" i="1"/>
  <c r="DP107" i="1"/>
  <c r="V125" i="113"/>
  <c r="V146" i="113"/>
  <c r="DP85" i="2"/>
  <c r="DO106" i="1"/>
  <c r="DO107" i="1"/>
  <c r="DO110" i="1"/>
  <c r="DN497" i="1"/>
  <c r="DM497" i="1"/>
  <c r="DO94" i="1"/>
  <c r="DO95" i="1"/>
  <c r="V194" i="113"/>
  <c r="DP62" i="2"/>
  <c r="DP275" i="2" l="1"/>
  <c r="DP284" i="2" s="1"/>
  <c r="DP327" i="1"/>
  <c r="DO104" i="1"/>
  <c r="DO103" i="1"/>
  <c r="DO119" i="1"/>
  <c r="DO121" i="1"/>
  <c r="DU51" i="1"/>
  <c r="DQ50" i="1"/>
  <c r="DR104" i="1"/>
  <c r="DU103" i="1"/>
  <c r="DP57" i="82"/>
  <c r="DU57" i="82"/>
  <c r="DT108" i="1"/>
  <c r="DP112" i="1"/>
  <c r="DT111" i="1"/>
  <c r="V266" i="113"/>
  <c r="DT51" i="1"/>
  <c r="DQ102" i="1"/>
  <c r="DR55" i="1"/>
  <c r="DQ95" i="82"/>
  <c r="DP193" i="82"/>
  <c r="DP197" i="82" s="1"/>
  <c r="DP200" i="82" s="1"/>
  <c r="DO9" i="82"/>
  <c r="DO40" i="82" s="1"/>
  <c r="DO69" i="82" s="1"/>
  <c r="V261" i="113"/>
  <c r="V273" i="113" s="1"/>
  <c r="DQ100" i="82"/>
  <c r="DS97" i="82"/>
  <c r="DS94" i="82"/>
  <c r="DQ105" i="82"/>
  <c r="DP51" i="1"/>
  <c r="DP55" i="1"/>
  <c r="DP69" i="1"/>
  <c r="DP9" i="82"/>
  <c r="DP499" i="1"/>
  <c r="DO69" i="1"/>
  <c r="DO55" i="1"/>
  <c r="DO51" i="1"/>
  <c r="V85" i="113"/>
  <c r="V86" i="113" s="1"/>
  <c r="DQ105" i="1"/>
  <c r="DQ100" i="1"/>
  <c r="DQ118" i="1"/>
  <c r="DQ119" i="1" s="1"/>
  <c r="DP500" i="1"/>
  <c r="DP121" i="1"/>
  <c r="DP120" i="1"/>
  <c r="DP104" i="1"/>
  <c r="DP103" i="1"/>
  <c r="DP42" i="1"/>
  <c r="V124" i="113"/>
  <c r="V66" i="113"/>
  <c r="DO193" i="82"/>
  <c r="DO500" i="1"/>
  <c r="DS492" i="1"/>
  <c r="DO42" i="1"/>
  <c r="V267" i="113"/>
  <c r="V249" i="113"/>
  <c r="V147" i="113"/>
  <c r="DP108" i="1"/>
  <c r="DP109" i="1"/>
  <c r="DQ37" i="1"/>
  <c r="DQ498" i="1"/>
  <c r="DN42" i="1"/>
  <c r="DM42" i="1"/>
  <c r="DO108" i="1"/>
  <c r="DO109" i="1"/>
  <c r="DO85" i="2"/>
  <c r="DO62" i="2"/>
  <c r="V49" i="113"/>
  <c r="DO112" i="1"/>
  <c r="DO111" i="1"/>
  <c r="DQ97" i="1"/>
  <c r="DQ116" i="1"/>
  <c r="DQ94" i="1"/>
  <c r="DP11" i="82"/>
  <c r="DU284" i="2" l="1"/>
  <c r="DP292" i="2"/>
  <c r="DO170" i="1"/>
  <c r="DP170" i="1"/>
  <c r="DO123" i="1"/>
  <c r="DO122" i="1"/>
  <c r="DP517" i="1"/>
  <c r="DQ51" i="1"/>
  <c r="DP56" i="1"/>
  <c r="DM56" i="1"/>
  <c r="DO56" i="1"/>
  <c r="DN56" i="1"/>
  <c r="DU309" i="1"/>
  <c r="DU310" i="1"/>
  <c r="DU303" i="1"/>
  <c r="DU304" i="1"/>
  <c r="DO517" i="1"/>
  <c r="DT70" i="1"/>
  <c r="DT307" i="1"/>
  <c r="DT308" i="1" s="1"/>
  <c r="DT132" i="39" s="1"/>
  <c r="DV301" i="1"/>
  <c r="DV302" i="1" s="1"/>
  <c r="DV120" i="39" s="1"/>
  <c r="DQ103" i="1"/>
  <c r="DR74" i="1"/>
  <c r="DP208" i="82"/>
  <c r="DP195" i="82"/>
  <c r="DP194" i="82" s="1"/>
  <c r="DO24" i="82"/>
  <c r="DO75" i="82"/>
  <c r="DO13" i="82"/>
  <c r="DO14" i="82" s="1"/>
  <c r="DO163" i="82" s="1"/>
  <c r="DO77" i="82"/>
  <c r="V278" i="113"/>
  <c r="V277" i="113" s="1"/>
  <c r="V251" i="113" s="1"/>
  <c r="V268" i="113" s="1"/>
  <c r="DO42" i="82"/>
  <c r="DO43" i="82" s="1"/>
  <c r="DO70" i="82" s="1"/>
  <c r="DP244" i="82"/>
  <c r="DP501" i="1"/>
  <c r="V104" i="113"/>
  <c r="V103" i="113"/>
  <c r="DP30" i="82"/>
  <c r="DP115" i="82"/>
  <c r="DQ115" i="82" s="1"/>
  <c r="DP24" i="82"/>
  <c r="DP40" i="82"/>
  <c r="DQ106" i="1"/>
  <c r="DQ8" i="2"/>
  <c r="DP389" i="1"/>
  <c r="DP79" i="1"/>
  <c r="DP7" i="2"/>
  <c r="DP84" i="1"/>
  <c r="DP86" i="1"/>
  <c r="DP78" i="1"/>
  <c r="DQ69" i="1"/>
  <c r="DP80" i="1"/>
  <c r="DP70" i="1"/>
  <c r="DP82" i="1"/>
  <c r="DO244" i="82"/>
  <c r="DQ107" i="1"/>
  <c r="DQ110" i="1"/>
  <c r="DQ111" i="1" s="1"/>
  <c r="DP123" i="1"/>
  <c r="DP122" i="1"/>
  <c r="DQ121" i="1"/>
  <c r="DP74" i="1"/>
  <c r="DS106" i="1"/>
  <c r="DP13" i="82"/>
  <c r="DP14" i="82" s="1"/>
  <c r="DP163" i="82" s="1"/>
  <c r="DQ9" i="82"/>
  <c r="DQ40" i="82" s="1"/>
  <c r="V114" i="113"/>
  <c r="DO257" i="82"/>
  <c r="DO256" i="82"/>
  <c r="DO242" i="82"/>
  <c r="DO195" i="82"/>
  <c r="DO194" i="82" s="1"/>
  <c r="DO239" i="82" s="1"/>
  <c r="DO250" i="82"/>
  <c r="DO252" i="82" s="1"/>
  <c r="DO74" i="1"/>
  <c r="DO7" i="2"/>
  <c r="DO86" i="1"/>
  <c r="DO79" i="1"/>
  <c r="DO84" i="1"/>
  <c r="DO82" i="1"/>
  <c r="DO78" i="1"/>
  <c r="DO80" i="1"/>
  <c r="DO389" i="1"/>
  <c r="DP65" i="1"/>
  <c r="DP66" i="1"/>
  <c r="DP85" i="1"/>
  <c r="DP261" i="82"/>
  <c r="DP124" i="1"/>
  <c r="DP67" i="2"/>
  <c r="DP26" i="2"/>
  <c r="DP66" i="2"/>
  <c r="DP328" i="1"/>
  <c r="DO85" i="1"/>
  <c r="DQ64" i="1"/>
  <c r="DO124" i="1"/>
  <c r="DM501" i="1"/>
  <c r="DN501" i="1"/>
  <c r="DP64" i="2"/>
  <c r="DP203" i="2"/>
  <c r="CS31" i="7"/>
  <c r="DO501" i="1"/>
  <c r="V67" i="113"/>
  <c r="V77" i="113"/>
  <c r="DP68" i="2"/>
  <c r="DP225" i="82"/>
  <c r="DP211" i="82"/>
  <c r="DO225" i="82"/>
  <c r="DQ193" i="82"/>
  <c r="DP325" i="2" l="1"/>
  <c r="DO325" i="2"/>
  <c r="DV119" i="39"/>
  <c r="DV121" i="39"/>
  <c r="DT131" i="39"/>
  <c r="DT133" i="39"/>
  <c r="DV200" i="1"/>
  <c r="DQ170" i="1"/>
  <c r="DQ325" i="1" s="1"/>
  <c r="DP171" i="1"/>
  <c r="DP209" i="1" s="1"/>
  <c r="DP191" i="1"/>
  <c r="DP197" i="1"/>
  <c r="DP203" i="1"/>
  <c r="DP183" i="1"/>
  <c r="DP208" i="1"/>
  <c r="DP173" i="1"/>
  <c r="DP210" i="1" s="1"/>
  <c r="DP175" i="1"/>
  <c r="DR173" i="1"/>
  <c r="DR210" i="1" s="1"/>
  <c r="DO191" i="1"/>
  <c r="DO197" i="1"/>
  <c r="DO203" i="1"/>
  <c r="DO208" i="1"/>
  <c r="DO216" i="1" s="1"/>
  <c r="DO173" i="1"/>
  <c r="DO210" i="1" s="1"/>
  <c r="DO175" i="1"/>
  <c r="DO183" i="1"/>
  <c r="DT171" i="1"/>
  <c r="DT209" i="1" s="1"/>
  <c r="FA389" i="1"/>
  <c r="FB389" i="1"/>
  <c r="DP329" i="2"/>
  <c r="DP327" i="2"/>
  <c r="DP328" i="2"/>
  <c r="DO329" i="2"/>
  <c r="DO327" i="2"/>
  <c r="DO328" i="2"/>
  <c r="DO303" i="2"/>
  <c r="DO301" i="2"/>
  <c r="DO308" i="2"/>
  <c r="DO305" i="2"/>
  <c r="DO299" i="2"/>
  <c r="DP301" i="2"/>
  <c r="DP302" i="2" s="1"/>
  <c r="DP308" i="2"/>
  <c r="DP309" i="2" s="1"/>
  <c r="DP303" i="2"/>
  <c r="DP304" i="2" s="1"/>
  <c r="DP305" i="2"/>
  <c r="DP306" i="2" s="1"/>
  <c r="DP299" i="2"/>
  <c r="DP300" i="2" s="1"/>
  <c r="DO26" i="82"/>
  <c r="DP26" i="82"/>
  <c r="DP31" i="82"/>
  <c r="DP32" i="82"/>
  <c r="DP25" i="82"/>
  <c r="DO25" i="82"/>
  <c r="DL339" i="1"/>
  <c r="DP329" i="1"/>
  <c r="CS95" i="7"/>
  <c r="CS192" i="7"/>
  <c r="DO101" i="2"/>
  <c r="DQ517" i="1"/>
  <c r="DP69" i="82"/>
  <c r="DT309" i="1"/>
  <c r="DT310" i="1"/>
  <c r="DV304" i="1"/>
  <c r="DV303" i="1"/>
  <c r="DP81" i="1"/>
  <c r="DP83" i="1" s="1"/>
  <c r="DP87" i="1" s="1"/>
  <c r="DO81" i="1"/>
  <c r="DO83" i="1" s="1"/>
  <c r="DO87" i="1" s="1"/>
  <c r="V9" i="113"/>
  <c r="V354" i="113" s="1"/>
  <c r="DP196" i="82"/>
  <c r="DP198" i="82" s="1"/>
  <c r="DO33" i="82"/>
  <c r="DM101" i="2"/>
  <c r="DS27" i="82"/>
  <c r="DP245" i="82"/>
  <c r="V252" i="113"/>
  <c r="V269" i="113" s="1"/>
  <c r="DQ168" i="82"/>
  <c r="DQ41" i="82"/>
  <c r="DQ57" i="82" s="1"/>
  <c r="DN101" i="2"/>
  <c r="DQ62" i="2"/>
  <c r="DO167" i="82"/>
  <c r="DO187" i="82"/>
  <c r="V115" i="113"/>
  <c r="V88" i="113" s="1"/>
  <c r="V116" i="113"/>
  <c r="DP133" i="2"/>
  <c r="DP167" i="82"/>
  <c r="DP101" i="2"/>
  <c r="V212" i="113"/>
  <c r="DP187" i="82"/>
  <c r="DP116" i="82"/>
  <c r="DP144" i="82"/>
  <c r="DP146" i="82"/>
  <c r="V289" i="113"/>
  <c r="DP111" i="82"/>
  <c r="DQ75" i="82"/>
  <c r="DP75" i="82"/>
  <c r="DP77" i="82"/>
  <c r="DP42" i="82"/>
  <c r="DP56" i="82"/>
  <c r="DP75" i="1"/>
  <c r="DP143" i="2"/>
  <c r="DP140" i="2"/>
  <c r="DP130" i="2"/>
  <c r="DP61" i="2"/>
  <c r="DQ108" i="1"/>
  <c r="DP137" i="2"/>
  <c r="DP9" i="2"/>
  <c r="DP313" i="82"/>
  <c r="DP301" i="82" s="1"/>
  <c r="DP33" i="82"/>
  <c r="DS498" i="1"/>
  <c r="DQ122" i="1"/>
  <c r="DS110" i="1"/>
  <c r="DX111" i="1" s="1"/>
  <c r="DS107" i="1"/>
  <c r="DX108" i="1" s="1"/>
  <c r="DQ11" i="82"/>
  <c r="DQ24" i="82"/>
  <c r="V78" i="113"/>
  <c r="DP246" i="82"/>
  <c r="DO246" i="82"/>
  <c r="DO75" i="1"/>
  <c r="DQ86" i="1"/>
  <c r="DQ7" i="2"/>
  <c r="DM75" i="1"/>
  <c r="DN75" i="1"/>
  <c r="DQ79" i="1"/>
  <c r="DQ84" i="1"/>
  <c r="DQ78" i="1"/>
  <c r="DQ82" i="1"/>
  <c r="DQ80" i="1"/>
  <c r="DO196" i="82"/>
  <c r="DO240" i="82"/>
  <c r="DO247" i="82"/>
  <c r="DO253" i="82"/>
  <c r="DO255" i="82" s="1"/>
  <c r="DO84" i="2"/>
  <c r="DO313" i="82"/>
  <c r="DO301" i="82" s="1"/>
  <c r="DP84" i="2"/>
  <c r="DO9" i="2"/>
  <c r="DO130" i="2"/>
  <c r="DP91" i="2"/>
  <c r="DP55" i="2"/>
  <c r="DP90" i="2"/>
  <c r="DP89" i="2"/>
  <c r="DP67" i="1"/>
  <c r="DP87" i="2"/>
  <c r="DP222" i="82"/>
  <c r="DP236" i="82"/>
  <c r="DQ261" i="82"/>
  <c r="DP262" i="82"/>
  <c r="DO287" i="82"/>
  <c r="DO297" i="82"/>
  <c r="DO67" i="1"/>
  <c r="DP240" i="82"/>
  <c r="DP227" i="82"/>
  <c r="DP213" i="82"/>
  <c r="CS25" i="7"/>
  <c r="CS86" i="7" s="1"/>
  <c r="DP69" i="2"/>
  <c r="DO26" i="2"/>
  <c r="DO66" i="2"/>
  <c r="DO137" i="2"/>
  <c r="DO89" i="2"/>
  <c r="DO328" i="1"/>
  <c r="DQ17" i="2"/>
  <c r="DO91" i="2"/>
  <c r="DO68" i="2"/>
  <c r="DQ23" i="2"/>
  <c r="DQ278" i="2" s="1"/>
  <c r="DQ287" i="2" s="1"/>
  <c r="DO143" i="2"/>
  <c r="DQ208" i="82"/>
  <c r="DO236" i="82"/>
  <c r="DO222" i="82"/>
  <c r="CS30" i="7"/>
  <c r="DQ199" i="82"/>
  <c r="DO231" i="82"/>
  <c r="DP125" i="1"/>
  <c r="DP126" i="1"/>
  <c r="DP127" i="1"/>
  <c r="DP287" i="82"/>
  <c r="DP303" i="82" s="1"/>
  <c r="DP297" i="82"/>
  <c r="DP275" i="82"/>
  <c r="CS42" i="7"/>
  <c r="CS101" i="7" s="1"/>
  <c r="DP215" i="82"/>
  <c r="DP229" i="82"/>
  <c r="DQ65" i="1"/>
  <c r="DM67" i="1"/>
  <c r="DN67" i="1"/>
  <c r="DQ85" i="1"/>
  <c r="DQ124" i="1"/>
  <c r="DP204" i="2"/>
  <c r="DO46" i="2"/>
  <c r="DO92" i="2"/>
  <c r="DO75" i="2"/>
  <c r="DO146" i="2"/>
  <c r="DO56" i="2"/>
  <c r="DO315" i="82"/>
  <c r="DO330" i="1"/>
  <c r="DO227" i="82"/>
  <c r="DO215" i="82"/>
  <c r="DO229" i="82"/>
  <c r="DQ197" i="82"/>
  <c r="CS32" i="7"/>
  <c r="DO126" i="1"/>
  <c r="DO127" i="1"/>
  <c r="DO64" i="2"/>
  <c r="DQ12" i="2"/>
  <c r="DO87" i="2"/>
  <c r="DO70" i="2"/>
  <c r="DO133" i="2"/>
  <c r="DO203" i="2"/>
  <c r="DQ20" i="2"/>
  <c r="DO67" i="2"/>
  <c r="DO90" i="2"/>
  <c r="DO140" i="2"/>
  <c r="DQ195" i="82"/>
  <c r="V469" i="113"/>
  <c r="DP247" i="82"/>
  <c r="DP217" i="82"/>
  <c r="DP231" i="82"/>
  <c r="CS81" i="7"/>
  <c r="DQ325" i="2" l="1"/>
  <c r="DQ276" i="2"/>
  <c r="DQ285" i="2" s="1"/>
  <c r="DQ277" i="2"/>
  <c r="DQ286" i="2" s="1"/>
  <c r="DQ275" i="2"/>
  <c r="DQ284" i="2" s="1"/>
  <c r="DO218" i="1"/>
  <c r="DO234" i="1"/>
  <c r="DO235" i="1" s="1"/>
  <c r="DO236" i="1" s="1"/>
  <c r="DO225" i="1"/>
  <c r="DT217" i="1"/>
  <c r="DT219" i="1" s="1"/>
  <c r="DT226" i="1"/>
  <c r="DP216" i="1"/>
  <c r="DR235" i="1"/>
  <c r="DR236" i="1" s="1"/>
  <c r="DO178" i="1"/>
  <c r="DO177" i="1"/>
  <c r="DT176" i="1"/>
  <c r="DQ175" i="1"/>
  <c r="DQ178" i="1" s="1"/>
  <c r="DP177" i="1"/>
  <c r="DP176" i="1"/>
  <c r="DP178" i="1"/>
  <c r="DR177" i="1"/>
  <c r="DQ208" i="1"/>
  <c r="DQ216" i="1" s="1"/>
  <c r="DQ225" i="1" s="1"/>
  <c r="DQ197" i="1"/>
  <c r="DQ191" i="1"/>
  <c r="DQ203" i="1"/>
  <c r="DQ183" i="1"/>
  <c r="DT306" i="2"/>
  <c r="DT302" i="2"/>
  <c r="DT304" i="2"/>
  <c r="DQ328" i="2"/>
  <c r="DQ327" i="2"/>
  <c r="DQ329" i="2"/>
  <c r="DP281" i="2"/>
  <c r="DP310" i="2" s="1"/>
  <c r="DP311" i="2" s="1"/>
  <c r="DT300" i="2"/>
  <c r="DT309" i="2"/>
  <c r="DQ308" i="2"/>
  <c r="DQ305" i="2"/>
  <c r="DQ167" i="82"/>
  <c r="DP138" i="2"/>
  <c r="DP205" i="2"/>
  <c r="DP131" i="2"/>
  <c r="DP134" i="2"/>
  <c r="DP141" i="2"/>
  <c r="DO180" i="82"/>
  <c r="DP144" i="2"/>
  <c r="V244" i="113"/>
  <c r="DQ116" i="82"/>
  <c r="DQ327" i="1"/>
  <c r="DQ328" i="1"/>
  <c r="DS28" i="82"/>
  <c r="DO329" i="1"/>
  <c r="DX310" i="1"/>
  <c r="DX309" i="1"/>
  <c r="DX303" i="1"/>
  <c r="DP179" i="82"/>
  <c r="DP145" i="82"/>
  <c r="DU145" i="82"/>
  <c r="DP76" i="82"/>
  <c r="DT109" i="1"/>
  <c r="DT112" i="1"/>
  <c r="DS111" i="1"/>
  <c r="DQ81" i="1"/>
  <c r="DQ83" i="1" s="1"/>
  <c r="DQ87" i="1" s="1"/>
  <c r="V355" i="113"/>
  <c r="V213" i="113"/>
  <c r="V174" i="113" s="1"/>
  <c r="V353" i="113" s="1"/>
  <c r="V350" i="113"/>
  <c r="V356" i="113"/>
  <c r="V470" i="113"/>
  <c r="V471" i="113" s="1"/>
  <c r="DQ101" i="2"/>
  <c r="V29" i="113"/>
  <c r="V352" i="113"/>
  <c r="V351" i="113"/>
  <c r="V283" i="113"/>
  <c r="V253" i="113"/>
  <c r="V270" i="113" s="1"/>
  <c r="DQ42" i="82"/>
  <c r="V214" i="113" s="1"/>
  <c r="DQ30" i="82"/>
  <c r="DQ69" i="82"/>
  <c r="V99" i="113"/>
  <c r="V112" i="113" s="1"/>
  <c r="DS108" i="1"/>
  <c r="DS57" i="82"/>
  <c r="DP135" i="2"/>
  <c r="DP145" i="2"/>
  <c r="DO169" i="82"/>
  <c r="DP120" i="2"/>
  <c r="DP169" i="82"/>
  <c r="V106" i="113"/>
  <c r="DQ244" i="82"/>
  <c r="DQ187" i="82"/>
  <c r="DP141" i="82"/>
  <c r="DQ130" i="82"/>
  <c r="DQ144" i="82"/>
  <c r="DQ146" i="82"/>
  <c r="DP164" i="82"/>
  <c r="DP43" i="82"/>
  <c r="DP58" i="82"/>
  <c r="DS499" i="1"/>
  <c r="DP117" i="2"/>
  <c r="DP142" i="2"/>
  <c r="DS62" i="2"/>
  <c r="DP63" i="2"/>
  <c r="DP114" i="2"/>
  <c r="DP13" i="2"/>
  <c r="DP123" i="2"/>
  <c r="CR80" i="7"/>
  <c r="CR104" i="7" s="1"/>
  <c r="DP139" i="2"/>
  <c r="DQ13" i="82"/>
  <c r="DQ14" i="82" s="1"/>
  <c r="DQ163" i="82" s="1"/>
  <c r="DO100" i="2"/>
  <c r="DO13" i="2"/>
  <c r="DO249" i="82"/>
  <c r="V87" i="113"/>
  <c r="DP132" i="2"/>
  <c r="DO132" i="2"/>
  <c r="DO126" i="2"/>
  <c r="DO117" i="2"/>
  <c r="DO123" i="2"/>
  <c r="CQ80" i="7"/>
  <c r="DO120" i="2"/>
  <c r="DO114" i="2"/>
  <c r="DO86" i="2"/>
  <c r="DP86" i="2"/>
  <c r="DO198" i="82"/>
  <c r="DO243" i="82" s="1"/>
  <c r="DO241" i="82"/>
  <c r="DM100" i="2"/>
  <c r="DN100" i="2"/>
  <c r="DQ313" i="82"/>
  <c r="DQ398" i="82" s="1"/>
  <c r="V8" i="113"/>
  <c r="DP100" i="2"/>
  <c r="DQ130" i="2"/>
  <c r="DQ9" i="2"/>
  <c r="CQ72" i="3"/>
  <c r="CQ76" i="3"/>
  <c r="DP136" i="1"/>
  <c r="CQ81" i="3"/>
  <c r="DO325" i="82"/>
  <c r="DO305" i="82" s="1"/>
  <c r="DQ305" i="82" s="1"/>
  <c r="DO107" i="2"/>
  <c r="CS97" i="7"/>
  <c r="CS93" i="7"/>
  <c r="DO226" i="82"/>
  <c r="DQ194" i="82"/>
  <c r="DP276" i="82"/>
  <c r="DO103" i="2"/>
  <c r="CS64" i="3"/>
  <c r="DQ303" i="82"/>
  <c r="DP93" i="2"/>
  <c r="DP253" i="82"/>
  <c r="DP232" i="82"/>
  <c r="DP250" i="82"/>
  <c r="DP218" i="82"/>
  <c r="DO331" i="1"/>
  <c r="DO332" i="1"/>
  <c r="DO333" i="1"/>
  <c r="DP248" i="82"/>
  <c r="DP249" i="82"/>
  <c r="CS176" i="7"/>
  <c r="DM103" i="2"/>
  <c r="DN103" i="2"/>
  <c r="DQ64" i="2"/>
  <c r="DQ133" i="2"/>
  <c r="V11" i="113"/>
  <c r="DP103" i="2"/>
  <c r="CQ15" i="3"/>
  <c r="DO209" i="2"/>
  <c r="DO145" i="2"/>
  <c r="DP74" i="2"/>
  <c r="DP206" i="2"/>
  <c r="DP136" i="2"/>
  <c r="DP326" i="82"/>
  <c r="DP264" i="82" s="1"/>
  <c r="CS33" i="7"/>
  <c r="CR38" i="7"/>
  <c r="CS29" i="7"/>
  <c r="DM107" i="2"/>
  <c r="DQ143" i="2"/>
  <c r="DN107" i="2"/>
  <c r="DQ68" i="2"/>
  <c r="DP107" i="2"/>
  <c r="DO139" i="2"/>
  <c r="CS15" i="7"/>
  <c r="DM105" i="2"/>
  <c r="DQ26" i="2"/>
  <c r="DN105" i="2"/>
  <c r="DQ66" i="2"/>
  <c r="DQ137" i="2"/>
  <c r="DQ390" i="2"/>
  <c r="DQ391" i="2" s="1"/>
  <c r="DP105" i="2"/>
  <c r="DO330" i="82"/>
  <c r="DQ247" i="82"/>
  <c r="DQ217" i="82"/>
  <c r="V475" i="113"/>
  <c r="DN106" i="2"/>
  <c r="DQ140" i="2"/>
  <c r="DM106" i="2"/>
  <c r="DQ67" i="2"/>
  <c r="DP106" i="2"/>
  <c r="DP239" i="82"/>
  <c r="DP226" i="82"/>
  <c r="DP212" i="82"/>
  <c r="DO205" i="2"/>
  <c r="DQ203" i="2"/>
  <c r="DO204" i="2"/>
  <c r="DO129" i="1"/>
  <c r="DO134" i="1"/>
  <c r="DO133" i="1"/>
  <c r="V62" i="113"/>
  <c r="DO105" i="2"/>
  <c r="DQ222" i="82"/>
  <c r="DQ257" i="82"/>
  <c r="DO106" i="2"/>
  <c r="DO135" i="2"/>
  <c r="DO136" i="1"/>
  <c r="V128" i="113"/>
  <c r="V51" i="113"/>
  <c r="CS10" i="7"/>
  <c r="DQ240" i="82"/>
  <c r="DQ125" i="1"/>
  <c r="DQ127" i="1"/>
  <c r="DP129" i="1"/>
  <c r="DP128" i="1"/>
  <c r="DP134" i="1"/>
  <c r="DP133" i="1"/>
  <c r="DQ215" i="82"/>
  <c r="DQ242" i="82"/>
  <c r="DO148" i="2"/>
  <c r="DO142" i="2"/>
  <c r="DQ200" i="82"/>
  <c r="DO232" i="82"/>
  <c r="DO69" i="2"/>
  <c r="DO93" i="2"/>
  <c r="DQ262" i="82"/>
  <c r="DQ275" i="82"/>
  <c r="DQ297" i="82"/>
  <c r="DQ31" i="82" l="1"/>
  <c r="DQ301" i="2"/>
  <c r="DQ299" i="2"/>
  <c r="DQ290" i="2"/>
  <c r="DQ303" i="2"/>
  <c r="DQ289" i="2"/>
  <c r="CQ92" i="3"/>
  <c r="DT227" i="1"/>
  <c r="DT172" i="1"/>
  <c r="DP225" i="1"/>
  <c r="DP226" i="1" s="1"/>
  <c r="DP234" i="1"/>
  <c r="DP235" i="1" s="1"/>
  <c r="DP236" i="1" s="1"/>
  <c r="DP218" i="1"/>
  <c r="DR218" i="1"/>
  <c r="DP217" i="1"/>
  <c r="DP219" i="1" s="1"/>
  <c r="DT124" i="2"/>
  <c r="DT118" i="2"/>
  <c r="DT127" i="2"/>
  <c r="DT121" i="2"/>
  <c r="DQ204" i="2"/>
  <c r="DP121" i="2"/>
  <c r="DT115" i="2"/>
  <c r="DP118" i="2"/>
  <c r="V241" i="113"/>
  <c r="DP130" i="1"/>
  <c r="DL341" i="1"/>
  <c r="DQ329" i="1"/>
  <c r="V357" i="113"/>
  <c r="DS86" i="1"/>
  <c r="DS84" i="1"/>
  <c r="DS79" i="1"/>
  <c r="DS80" i="1"/>
  <c r="DS82" i="1"/>
  <c r="DS78" i="1"/>
  <c r="V280" i="113"/>
  <c r="DQ43" i="82"/>
  <c r="DQ70" i="82" s="1"/>
  <c r="DP70" i="82"/>
  <c r="DP59" i="82"/>
  <c r="DP122" i="2"/>
  <c r="DP119" i="2"/>
  <c r="DS85" i="1"/>
  <c r="DQ169" i="82"/>
  <c r="V31" i="113"/>
  <c r="V374" i="113"/>
  <c r="V372" i="113"/>
  <c r="V105" i="113"/>
  <c r="V369" i="113"/>
  <c r="V341" i="113"/>
  <c r="V342" i="113"/>
  <c r="V344" i="113"/>
  <c r="V343" i="113"/>
  <c r="V345" i="113"/>
  <c r="V346" i="113"/>
  <c r="DS69" i="82"/>
  <c r="DQ33" i="82"/>
  <c r="DQ141" i="82"/>
  <c r="DQ131" i="82"/>
  <c r="DS56" i="82"/>
  <c r="CR91" i="7"/>
  <c r="CR89" i="7"/>
  <c r="DP116" i="2"/>
  <c r="DP125" i="2"/>
  <c r="DP124" i="2"/>
  <c r="CR82" i="7"/>
  <c r="CR73" i="7" s="1"/>
  <c r="DP115" i="2"/>
  <c r="DP166" i="2"/>
  <c r="DP65" i="2"/>
  <c r="CR96" i="7"/>
  <c r="CR94" i="7"/>
  <c r="CR83" i="7"/>
  <c r="CR172" i="7"/>
  <c r="CR98" i="7"/>
  <c r="CR92" i="7"/>
  <c r="DP150" i="2"/>
  <c r="DP27" i="2"/>
  <c r="DO27" i="2"/>
  <c r="DP88" i="2"/>
  <c r="DQ114" i="2"/>
  <c r="DO88" i="2"/>
  <c r="DO109" i="2"/>
  <c r="DO166" i="2"/>
  <c r="DO150" i="2"/>
  <c r="V129" i="113"/>
  <c r="V370" i="113" s="1"/>
  <c r="V150" i="113"/>
  <c r="V10" i="113"/>
  <c r="V175" i="113"/>
  <c r="DQ120" i="2"/>
  <c r="DQ301" i="82"/>
  <c r="V347" i="113" s="1"/>
  <c r="DQ410" i="82"/>
  <c r="DQ123" i="2"/>
  <c r="DQ13" i="2"/>
  <c r="DQ117" i="2"/>
  <c r="DO122" i="2"/>
  <c r="DO125" i="2"/>
  <c r="CQ82" i="7"/>
  <c r="CQ73" i="7" s="1"/>
  <c r="CQ92" i="7"/>
  <c r="CQ172" i="7"/>
  <c r="CQ96" i="7"/>
  <c r="CQ91" i="7"/>
  <c r="CQ83" i="7"/>
  <c r="CQ98" i="7"/>
  <c r="CQ94" i="7"/>
  <c r="CQ89" i="7"/>
  <c r="CQ104" i="7"/>
  <c r="DO102" i="2"/>
  <c r="E7" i="15"/>
  <c r="DN102" i="2"/>
  <c r="CS80" i="7"/>
  <c r="S40" i="11"/>
  <c r="DM102" i="2"/>
  <c r="DP102" i="2"/>
  <c r="DO116" i="2"/>
  <c r="DO119" i="2"/>
  <c r="DO128" i="2"/>
  <c r="DQ100" i="2"/>
  <c r="DQ276" i="82"/>
  <c r="DQ239" i="82"/>
  <c r="DO338" i="82"/>
  <c r="CQ32" i="3"/>
  <c r="CS99" i="7"/>
  <c r="CS84" i="7"/>
  <c r="CS88" i="7" s="1"/>
  <c r="CS85" i="7" s="1"/>
  <c r="DO228" i="82"/>
  <c r="DQ196" i="82"/>
  <c r="CS63" i="3"/>
  <c r="DQ136" i="1"/>
  <c r="DQ106" i="2"/>
  <c r="DO211" i="2"/>
  <c r="DO210" i="2"/>
  <c r="DM130" i="1"/>
  <c r="DN130" i="1"/>
  <c r="DQ128" i="1"/>
  <c r="DQ134" i="1"/>
  <c r="DQ133" i="1"/>
  <c r="DO135" i="1"/>
  <c r="DO137" i="1" s="1"/>
  <c r="CQ38" i="7"/>
  <c r="DO289" i="82"/>
  <c r="DO295" i="82"/>
  <c r="DP135" i="1"/>
  <c r="DP137" i="1" s="1"/>
  <c r="V498" i="113"/>
  <c r="DP214" i="82"/>
  <c r="DP241" i="82"/>
  <c r="DP228" i="82"/>
  <c r="DQ107" i="2"/>
  <c r="CS38" i="7"/>
  <c r="CS90" i="7"/>
  <c r="DP252" i="82"/>
  <c r="DP251" i="82"/>
  <c r="V69" i="113"/>
  <c r="V50" i="113"/>
  <c r="V368" i="113" s="1"/>
  <c r="DQ69" i="2"/>
  <c r="DM109" i="2"/>
  <c r="DN109" i="2"/>
  <c r="DP109" i="2"/>
  <c r="DQ103" i="2"/>
  <c r="DQ253" i="82"/>
  <c r="DQ250" i="82"/>
  <c r="DQ105" i="2"/>
  <c r="CR50" i="7"/>
  <c r="DP339" i="82"/>
  <c r="DP254" i="82"/>
  <c r="DP255" i="82"/>
  <c r="V293" i="113"/>
  <c r="V307" i="113"/>
  <c r="V291" i="113"/>
  <c r="DP207" i="2"/>
  <c r="V75" i="113"/>
  <c r="DO130" i="1"/>
  <c r="V501" i="113"/>
  <c r="V492" i="113"/>
  <c r="CS11" i="3"/>
  <c r="DO55" i="2"/>
  <c r="DO317" i="2" l="1"/>
  <c r="DO315" i="2" s="1"/>
  <c r="DO324" i="2" s="1"/>
  <c r="DP317" i="2"/>
  <c r="DP315" i="2" s="1"/>
  <c r="DP324" i="2" s="1"/>
  <c r="DP172" i="1"/>
  <c r="DP227" i="1"/>
  <c r="EK292" i="1"/>
  <c r="EK212" i="1"/>
  <c r="EK181" i="1" s="1"/>
  <c r="DO281" i="2"/>
  <c r="DO310" i="2" s="1"/>
  <c r="DO168" i="2"/>
  <c r="DL342" i="1"/>
  <c r="CS103" i="7"/>
  <c r="CS100" i="7" s="1"/>
  <c r="CS94" i="7"/>
  <c r="CS172" i="7"/>
  <c r="DO179" i="82"/>
  <c r="DN104" i="2"/>
  <c r="DY325" i="1"/>
  <c r="EA301" i="1"/>
  <c r="EA302" i="1" s="1"/>
  <c r="EA120" i="39" s="1"/>
  <c r="DP167" i="2"/>
  <c r="DP168" i="2"/>
  <c r="DS81" i="1"/>
  <c r="DS83" i="1" s="1"/>
  <c r="DS87" i="1" s="1"/>
  <c r="DS61" i="2"/>
  <c r="DS130" i="2"/>
  <c r="DS325" i="1"/>
  <c r="DO21" i="82"/>
  <c r="DO171" i="82"/>
  <c r="DO170" i="82" s="1"/>
  <c r="DO188" i="82"/>
  <c r="DP21" i="82"/>
  <c r="DP171" i="82"/>
  <c r="DP170" i="82" s="1"/>
  <c r="DP188" i="82"/>
  <c r="V364" i="113"/>
  <c r="V362" i="113"/>
  <c r="V348" i="113"/>
  <c r="V40" i="113"/>
  <c r="V363" i="113"/>
  <c r="V361" i="113"/>
  <c r="V360" i="113"/>
  <c r="V359" i="113"/>
  <c r="DS58" i="82"/>
  <c r="DP316" i="82"/>
  <c r="DP28" i="2"/>
  <c r="DP169" i="2"/>
  <c r="DP71" i="2"/>
  <c r="DP220" i="2"/>
  <c r="DP54" i="2"/>
  <c r="DP151" i="2"/>
  <c r="DP296" i="82"/>
  <c r="DP280" i="82"/>
  <c r="DO169" i="2"/>
  <c r="DO28" i="2"/>
  <c r="DO316" i="82"/>
  <c r="DO332" i="82" s="1"/>
  <c r="DO151" i="2"/>
  <c r="DO220" i="2"/>
  <c r="DP94" i="2"/>
  <c r="DO54" i="2"/>
  <c r="DO29" i="2"/>
  <c r="DO94" i="2"/>
  <c r="DQ150" i="2"/>
  <c r="DQ166" i="2"/>
  <c r="DQ27" i="2"/>
  <c r="DM104" i="2"/>
  <c r="DO104" i="2"/>
  <c r="DP104" i="2"/>
  <c r="V130" i="113"/>
  <c r="V151" i="113"/>
  <c r="V323" i="113"/>
  <c r="V195" i="113"/>
  <c r="V205" i="113"/>
  <c r="V12" i="113"/>
  <c r="V68" i="113"/>
  <c r="CS98" i="7"/>
  <c r="DQ102" i="2"/>
  <c r="CS96" i="7"/>
  <c r="CS82" i="7"/>
  <c r="CS73" i="7" s="1"/>
  <c r="CS83" i="7"/>
  <c r="DO221" i="82"/>
  <c r="DO235" i="82"/>
  <c r="DO230" i="82"/>
  <c r="DQ241" i="82"/>
  <c r="DQ198" i="82"/>
  <c r="DP290" i="82"/>
  <c r="CS61" i="3"/>
  <c r="CR66" i="3"/>
  <c r="CR18" i="3" s="1"/>
  <c r="CS62" i="3"/>
  <c r="CS65" i="3"/>
  <c r="DO136" i="2"/>
  <c r="DO74" i="2"/>
  <c r="DO206" i="2"/>
  <c r="DQ55" i="2"/>
  <c r="DO326" i="82"/>
  <c r="DO306" i="82" s="1"/>
  <c r="DQ306" i="82" s="1"/>
  <c r="V141" i="113"/>
  <c r="CS91" i="7"/>
  <c r="CS92" i="7"/>
  <c r="CQ66" i="3"/>
  <c r="CS58" i="3"/>
  <c r="DQ135" i="1"/>
  <c r="CS50" i="7"/>
  <c r="V309" i="113"/>
  <c r="DP216" i="82"/>
  <c r="DP230" i="82"/>
  <c r="DP243" i="82"/>
  <c r="DO290" i="82"/>
  <c r="DQ267" i="82"/>
  <c r="DO296" i="82"/>
  <c r="DP268" i="82"/>
  <c r="DP281" i="82" s="1"/>
  <c r="CQ50" i="7"/>
  <c r="DQ109" i="2"/>
  <c r="V308" i="113"/>
  <c r="V292" i="113"/>
  <c r="V314" i="113"/>
  <c r="DP278" i="82"/>
  <c r="DP298" i="82"/>
  <c r="CS89" i="7"/>
  <c r="CS87" i="7"/>
  <c r="DO34" i="82" l="1"/>
  <c r="DO36" i="82" s="1"/>
  <c r="DP34" i="82"/>
  <c r="DP35" i="82" s="1"/>
  <c r="EA119" i="39"/>
  <c r="EA121" i="39"/>
  <c r="EA200" i="1"/>
  <c r="EO171" i="1"/>
  <c r="EO209" i="1" s="1"/>
  <c r="DO326" i="2"/>
  <c r="DO321" i="2"/>
  <c r="DO330" i="2" s="1"/>
  <c r="DP326" i="2"/>
  <c r="DP321" i="2"/>
  <c r="DP330" i="2" s="1"/>
  <c r="DQ317" i="2"/>
  <c r="DQ315" i="2" s="1"/>
  <c r="DQ324" i="2" s="1"/>
  <c r="EK214" i="1"/>
  <c r="DT311" i="2"/>
  <c r="DQ281" i="2"/>
  <c r="DQ310" i="2" s="1"/>
  <c r="DO223" i="2"/>
  <c r="DP223" i="2"/>
  <c r="DP154" i="2"/>
  <c r="CS102" i="7"/>
  <c r="CS104" i="7"/>
  <c r="EF301" i="1"/>
  <c r="EF302" i="1" s="1"/>
  <c r="EF120" i="39" s="1"/>
  <c r="DL343" i="1"/>
  <c r="DY326" i="1"/>
  <c r="DS326" i="1"/>
  <c r="EF68" i="1"/>
  <c r="ED325" i="1"/>
  <c r="CR105" i="7"/>
  <c r="DQ179" i="82"/>
  <c r="EA303" i="1"/>
  <c r="EA304" i="1"/>
  <c r="DY86" i="1"/>
  <c r="DS131" i="2"/>
  <c r="DS63" i="2"/>
  <c r="DS134" i="1"/>
  <c r="DS133" i="1"/>
  <c r="DS136" i="1"/>
  <c r="DQ54" i="2"/>
  <c r="DO175" i="2"/>
  <c r="DP173" i="82"/>
  <c r="DP175" i="82" s="1"/>
  <c r="DO182" i="82"/>
  <c r="DO173" i="82"/>
  <c r="DO175" i="82" s="1"/>
  <c r="DQ171" i="82"/>
  <c r="DQ170" i="82" s="1"/>
  <c r="DQ188" i="82"/>
  <c r="V41" i="113"/>
  <c r="V381" i="113"/>
  <c r="V378" i="113"/>
  <c r="V377" i="113"/>
  <c r="V152" i="113"/>
  <c r="V379" i="113"/>
  <c r="V382" i="113"/>
  <c r="V215" i="113"/>
  <c r="V232" i="113" s="1"/>
  <c r="V373" i="113"/>
  <c r="DS24" i="82"/>
  <c r="V325" i="113"/>
  <c r="V365" i="113"/>
  <c r="V366" i="113" s="1"/>
  <c r="DP332" i="82"/>
  <c r="DP333" i="82" s="1"/>
  <c r="DP318" i="82"/>
  <c r="DP335" i="82" s="1"/>
  <c r="DP336" i="82" s="1"/>
  <c r="DP152" i="2"/>
  <c r="DP170" i="2"/>
  <c r="DQ28" i="2"/>
  <c r="DP172" i="2"/>
  <c r="DP171" i="2"/>
  <c r="DP72" i="2"/>
  <c r="DO171" i="2"/>
  <c r="DO318" i="82"/>
  <c r="DO335" i="82" s="1"/>
  <c r="DO154" i="2"/>
  <c r="DO172" i="2"/>
  <c r="DO157" i="2"/>
  <c r="DO314" i="82"/>
  <c r="DO329" i="82" s="1"/>
  <c r="DO331" i="82" s="1"/>
  <c r="DP153" i="2"/>
  <c r="DO153" i="2"/>
  <c r="DO57" i="2"/>
  <c r="DQ316" i="82"/>
  <c r="DQ413" i="82" s="1"/>
  <c r="DN110" i="2"/>
  <c r="DQ21" i="82"/>
  <c r="V14" i="113"/>
  <c r="DM110" i="2"/>
  <c r="DQ169" i="2"/>
  <c r="DQ104" i="2"/>
  <c r="DQ151" i="2"/>
  <c r="DQ220" i="2"/>
  <c r="DO110" i="2"/>
  <c r="DP110" i="2"/>
  <c r="V164" i="113"/>
  <c r="DO111" i="2"/>
  <c r="V337" i="113"/>
  <c r="V472" i="113"/>
  <c r="DQ243" i="82"/>
  <c r="DO334" i="82"/>
  <c r="DO288" i="82"/>
  <c r="DO207" i="2"/>
  <c r="DQ206" i="2"/>
  <c r="DO208" i="2"/>
  <c r="DO212" i="2"/>
  <c r="DP208" i="2"/>
  <c r="DQ137" i="1"/>
  <c r="DO339" i="82"/>
  <c r="DM111" i="2"/>
  <c r="DN111" i="2"/>
  <c r="DQ136" i="2"/>
  <c r="DQ74" i="2"/>
  <c r="DQ326" i="82"/>
  <c r="V22" i="113"/>
  <c r="DP111" i="2"/>
  <c r="V158" i="113"/>
  <c r="DQ280" i="82"/>
  <c r="DQ296" i="82"/>
  <c r="DQ268" i="82"/>
  <c r="DQ281" i="82" s="1"/>
  <c r="CQ18" i="3"/>
  <c r="CS66" i="3"/>
  <c r="CS18" i="3" s="1"/>
  <c r="DP36" i="82" l="1"/>
  <c r="DP331" i="2"/>
  <c r="DQ34" i="82"/>
  <c r="EF121" i="39"/>
  <c r="EF119" i="39"/>
  <c r="EF200" i="1"/>
  <c r="DQ321" i="2"/>
  <c r="DQ330" i="2" s="1"/>
  <c r="EO217" i="1"/>
  <c r="EO219" i="1" s="1"/>
  <c r="EO226" i="1"/>
  <c r="DQ326" i="2"/>
  <c r="EK184" i="1"/>
  <c r="EK213" i="1"/>
  <c r="DP155" i="2"/>
  <c r="DQ154" i="2"/>
  <c r="DO174" i="2"/>
  <c r="DP173" i="2"/>
  <c r="DP156" i="2"/>
  <c r="DQ223" i="2"/>
  <c r="DS25" i="82"/>
  <c r="EF12" i="82"/>
  <c r="ED326" i="1"/>
  <c r="EF303" i="1"/>
  <c r="EF304" i="1"/>
  <c r="EF149" i="82"/>
  <c r="ED86" i="1"/>
  <c r="CQ105" i="7"/>
  <c r="DY61" i="2"/>
  <c r="DS133" i="2"/>
  <c r="DS64" i="2"/>
  <c r="DS70" i="2"/>
  <c r="DS203" i="2"/>
  <c r="DS67" i="2"/>
  <c r="DS140" i="2"/>
  <c r="DS330" i="1"/>
  <c r="DS146" i="2"/>
  <c r="DS46" i="2"/>
  <c r="DS56" i="2"/>
  <c r="DS75" i="2"/>
  <c r="DS328" i="1"/>
  <c r="DS26" i="2"/>
  <c r="DS66" i="2"/>
  <c r="DS137" i="2"/>
  <c r="DS143" i="2"/>
  <c r="DS68" i="2"/>
  <c r="DS13" i="2"/>
  <c r="CU32" i="3"/>
  <c r="CU81" i="3"/>
  <c r="DS135" i="1"/>
  <c r="DS137" i="1" s="1"/>
  <c r="DO177" i="2"/>
  <c r="DQ172" i="2"/>
  <c r="DO184" i="82"/>
  <c r="V36" i="113"/>
  <c r="V446" i="113"/>
  <c r="V444" i="113"/>
  <c r="V13" i="113"/>
  <c r="V401" i="113"/>
  <c r="V400" i="113"/>
  <c r="V399" i="113"/>
  <c r="DO159" i="2"/>
  <c r="V216" i="113"/>
  <c r="V176" i="113"/>
  <c r="V371" i="113" s="1"/>
  <c r="V375" i="113" s="1"/>
  <c r="V326" i="113"/>
  <c r="V383" i="113"/>
  <c r="DS33" i="82"/>
  <c r="DP334" i="82"/>
  <c r="DP337" i="82"/>
  <c r="DO95" i="2"/>
  <c r="DO337" i="82"/>
  <c r="DO334" i="1"/>
  <c r="DP174" i="2"/>
  <c r="DO156" i="2"/>
  <c r="DO179" i="2"/>
  <c r="DO161" i="2"/>
  <c r="DQ405" i="82"/>
  <c r="DQ332" i="82"/>
  <c r="DQ318" i="82"/>
  <c r="DQ335" i="82" s="1"/>
  <c r="DQ110" i="2"/>
  <c r="V43" i="113"/>
  <c r="V473" i="113"/>
  <c r="V499" i="113" s="1"/>
  <c r="V489" i="113"/>
  <c r="DQ207" i="2"/>
  <c r="DQ264" i="82"/>
  <c r="DQ125" i="82" s="1"/>
  <c r="DO298" i="82"/>
  <c r="DO292" i="82"/>
  <c r="DP292" i="82"/>
  <c r="DO213" i="2"/>
  <c r="DO214" i="2"/>
  <c r="DQ111" i="2"/>
  <c r="CS105" i="7"/>
  <c r="E16" i="15"/>
  <c r="DQ381" i="82"/>
  <c r="DQ339" i="82"/>
  <c r="DQ407" i="82"/>
  <c r="V297" i="113"/>
  <c r="V317" i="113"/>
  <c r="V311" i="113"/>
  <c r="V294" i="113"/>
  <c r="EO227" i="1" l="1"/>
  <c r="EO172" i="1"/>
  <c r="EO60" i="2"/>
  <c r="EO73" i="1"/>
  <c r="DS180" i="82"/>
  <c r="V217" i="113"/>
  <c r="V242" i="113"/>
  <c r="DS329" i="1"/>
  <c r="DY73" i="1"/>
  <c r="ED167" i="82"/>
  <c r="DX73" i="1"/>
  <c r="DS73" i="1"/>
  <c r="DY60" i="2"/>
  <c r="DS134" i="2"/>
  <c r="DS147" i="2"/>
  <c r="DS204" i="2"/>
  <c r="DS144" i="2"/>
  <c r="DS141" i="2"/>
  <c r="DS138" i="2"/>
  <c r="CU73" i="7"/>
  <c r="DS69" i="2"/>
  <c r="DS179" i="82"/>
  <c r="DS27" i="2"/>
  <c r="DS166" i="2"/>
  <c r="DS150" i="2"/>
  <c r="DS65" i="2"/>
  <c r="CU15" i="3"/>
  <c r="DS209" i="2"/>
  <c r="DS331" i="1"/>
  <c r="DS332" i="1"/>
  <c r="DS60" i="2"/>
  <c r="V302" i="113"/>
  <c r="V445" i="113" s="1"/>
  <c r="V392" i="113"/>
  <c r="V391" i="113"/>
  <c r="V390" i="113"/>
  <c r="V318" i="113"/>
  <c r="DQ51" i="82"/>
  <c r="DQ136" i="82"/>
  <c r="DO181" i="2"/>
  <c r="DO163" i="2"/>
  <c r="V474" i="113"/>
  <c r="V177" i="113"/>
  <c r="V380" i="113" s="1"/>
  <c r="V384" i="113" s="1"/>
  <c r="V196" i="113"/>
  <c r="DQ278" i="82"/>
  <c r="DQ298" i="82"/>
  <c r="DQ415" i="82"/>
  <c r="DS317" i="2" l="1"/>
  <c r="DS315" i="2" s="1"/>
  <c r="DS324" i="2" s="1"/>
  <c r="DY72" i="1"/>
  <c r="DS72" i="1"/>
  <c r="DX72" i="1"/>
  <c r="DS210" i="2"/>
  <c r="DS167" i="2"/>
  <c r="DS188" i="82"/>
  <c r="DS171" i="82"/>
  <c r="DS169" i="2"/>
  <c r="DS220" i="2"/>
  <c r="DS151" i="2"/>
  <c r="DS71" i="2"/>
  <c r="DS21" i="82"/>
  <c r="DS29" i="2"/>
  <c r="DS54" i="2"/>
  <c r="DS28" i="2"/>
  <c r="CU38" i="7"/>
  <c r="DS136" i="2"/>
  <c r="DS74" i="2"/>
  <c r="DS206" i="2"/>
  <c r="V225" i="113"/>
  <c r="DQ64" i="82"/>
  <c r="DQ71" i="82"/>
  <c r="V206" i="113"/>
  <c r="V197" i="113"/>
  <c r="V482" i="113"/>
  <c r="V494" i="113" s="1"/>
  <c r="DS34" i="82" l="1"/>
  <c r="DS35" i="82" s="1"/>
  <c r="DS326" i="2"/>
  <c r="DS321" i="2"/>
  <c r="DS330" i="2" s="1"/>
  <c r="DS223" i="2"/>
  <c r="DS57" i="2"/>
  <c r="V139" i="113"/>
  <c r="V237" i="113"/>
  <c r="DX71" i="1"/>
  <c r="DS71" i="1"/>
  <c r="DY71" i="1"/>
  <c r="DS173" i="82"/>
  <c r="DS175" i="82" s="1"/>
  <c r="DS170" i="82"/>
  <c r="DS182" i="82"/>
  <c r="DS154" i="2"/>
  <c r="DS172" i="2"/>
  <c r="DS72" i="2"/>
  <c r="DS152" i="2"/>
  <c r="CU50" i="7"/>
  <c r="DS170" i="2"/>
  <c r="DS207" i="2"/>
  <c r="DS212" i="2"/>
  <c r="DS73" i="2"/>
  <c r="DS175" i="2"/>
  <c r="DS157" i="2"/>
  <c r="V60" i="113"/>
  <c r="V440" i="113" s="1"/>
  <c r="V97" i="113"/>
  <c r="V441" i="113" s="1"/>
  <c r="V312" i="113"/>
  <c r="DX331" i="2" l="1"/>
  <c r="DS331" i="2"/>
  <c r="DS182" i="2"/>
  <c r="DS179" i="2"/>
  <c r="DS334" i="1"/>
  <c r="DS335" i="1" s="1"/>
  <c r="DS184" i="82"/>
  <c r="DS161" i="2"/>
  <c r="DS164" i="2"/>
  <c r="DS76" i="2"/>
  <c r="DS10" i="1"/>
  <c r="DS59" i="1"/>
  <c r="DS31" i="1"/>
  <c r="DS17" i="1"/>
  <c r="DS45" i="1"/>
  <c r="DX10" i="1"/>
  <c r="DX17" i="1"/>
  <c r="DX31" i="1"/>
  <c r="DX45" i="1"/>
  <c r="DX59" i="1"/>
  <c r="DY78" i="1"/>
  <c r="DS213" i="2"/>
  <c r="DS173" i="2"/>
  <c r="DS155" i="2"/>
  <c r="DS176" i="2"/>
  <c r="DS158" i="2"/>
  <c r="V186" i="113"/>
  <c r="V443" i="113" s="1"/>
  <c r="V442" i="113"/>
  <c r="DS180" i="2" l="1"/>
  <c r="DS162" i="2"/>
  <c r="DX46" i="1"/>
  <c r="DS18" i="1"/>
  <c r="DX60" i="1"/>
  <c r="DX32" i="1"/>
  <c r="DS32" i="1"/>
  <c r="DX18" i="1"/>
  <c r="DS60" i="1"/>
  <c r="DS46" i="1"/>
  <c r="DX11" i="1"/>
  <c r="DS11" i="1"/>
  <c r="DS24" i="1"/>
  <c r="DS493" i="1"/>
  <c r="DS494" i="1" s="1"/>
  <c r="DS495" i="1" s="1"/>
  <c r="V447" i="113"/>
  <c r="DX19" i="1" l="1"/>
  <c r="DX61" i="1"/>
  <c r="DS61" i="1"/>
  <c r="DX12" i="1"/>
  <c r="DS19" i="1"/>
  <c r="DS38" i="1"/>
  <c r="DS25" i="1"/>
  <c r="DS12" i="1"/>
  <c r="DS33" i="1"/>
  <c r="DX33" i="1"/>
  <c r="DS47" i="1"/>
  <c r="DX47" i="1"/>
  <c r="DS26" i="1" l="1"/>
  <c r="DS39" i="1"/>
  <c r="DS52" i="1"/>
  <c r="DX118" i="1"/>
  <c r="DX119" i="1" l="1"/>
  <c r="EC119" i="1"/>
  <c r="DS40" i="1"/>
  <c r="DS53" i="1"/>
  <c r="DX93" i="1"/>
  <c r="DX91" i="1"/>
  <c r="DX115" i="1"/>
  <c r="EC116" i="1" s="1"/>
  <c r="DY95" i="1" l="1"/>
  <c r="EC94" i="1"/>
  <c r="DS54" i="1"/>
  <c r="DX116" i="1"/>
  <c r="DX121" i="1"/>
  <c r="DX94" i="1"/>
  <c r="DR10" i="82"/>
  <c r="DR80" i="82" s="1"/>
  <c r="DR491" i="1"/>
  <c r="DS496" i="1" s="1"/>
  <c r="EC122" i="1" l="1"/>
  <c r="DX9" i="82"/>
  <c r="DV80" i="82"/>
  <c r="DV90" i="82" s="1"/>
  <c r="DW94" i="82"/>
  <c r="DX122" i="1"/>
  <c r="DX62" i="2"/>
  <c r="DR81" i="82"/>
  <c r="DR110" i="82"/>
  <c r="DW111" i="82" s="1"/>
  <c r="DR112" i="82"/>
  <c r="DR97" i="82"/>
  <c r="DR94" i="82"/>
  <c r="DR492" i="1"/>
  <c r="DR496" i="1"/>
  <c r="DR118" i="1"/>
  <c r="DR8" i="2"/>
  <c r="DR115" i="1"/>
  <c r="DX13" i="82" l="1"/>
  <c r="DX24" i="82"/>
  <c r="DX40" i="82"/>
  <c r="EC56" i="82" s="1"/>
  <c r="DV89" i="82"/>
  <c r="DV91" i="82" s="1"/>
  <c r="DS117" i="1"/>
  <c r="DW116" i="1"/>
  <c r="DS120" i="1"/>
  <c r="DW119" i="1"/>
  <c r="DV81" i="82"/>
  <c r="DW95" i="82"/>
  <c r="DX124" i="1"/>
  <c r="EC125" i="1" s="1"/>
  <c r="DR111" i="82"/>
  <c r="DR105" i="82"/>
  <c r="DR12" i="2"/>
  <c r="DR86" i="1"/>
  <c r="DR7" i="2"/>
  <c r="DR78" i="1"/>
  <c r="DR79" i="1"/>
  <c r="DR82" i="1"/>
  <c r="DR80" i="1"/>
  <c r="DR84" i="1"/>
  <c r="DR41" i="82"/>
  <c r="DW57" i="82" s="1"/>
  <c r="DR9" i="82"/>
  <c r="DR40" i="82" s="1"/>
  <c r="DR110" i="1"/>
  <c r="DW111" i="1" s="1"/>
  <c r="DR106" i="1"/>
  <c r="DR119" i="1"/>
  <c r="DR120" i="1"/>
  <c r="DR107" i="1"/>
  <c r="DW108" i="1" s="1"/>
  <c r="DR117" i="1"/>
  <c r="DR498" i="1"/>
  <c r="DR116" i="1"/>
  <c r="DR121" i="1"/>
  <c r="DW122" i="1" s="1"/>
  <c r="DR275" i="2" l="1"/>
  <c r="DS292" i="2" s="1"/>
  <c r="DR325" i="2"/>
  <c r="DR310" i="2"/>
  <c r="DR311" i="2" s="1"/>
  <c r="DR327" i="2"/>
  <c r="DR329" i="2"/>
  <c r="DR328" i="2"/>
  <c r="DR301" i="2"/>
  <c r="DR302" i="2" s="1"/>
  <c r="DR305" i="2"/>
  <c r="DR306" i="2" s="1"/>
  <c r="DR303" i="2"/>
  <c r="DR304" i="2" s="1"/>
  <c r="DR308" i="2"/>
  <c r="DR309" i="2" s="1"/>
  <c r="DR327" i="1"/>
  <c r="EC25" i="82"/>
  <c r="DX56" i="82"/>
  <c r="DX187" i="82"/>
  <c r="DX42" i="82"/>
  <c r="DX75" i="82"/>
  <c r="EC76" i="82" s="1"/>
  <c r="DX69" i="82"/>
  <c r="DX77" i="82"/>
  <c r="DY84" i="2"/>
  <c r="DX61" i="2"/>
  <c r="DX130" i="2"/>
  <c r="DX14" i="82"/>
  <c r="DX125" i="1"/>
  <c r="DX127" i="1"/>
  <c r="EC128" i="1" s="1"/>
  <c r="DR109" i="1"/>
  <c r="DS109" i="1"/>
  <c r="DR112" i="1"/>
  <c r="DS112" i="1"/>
  <c r="DR81" i="1"/>
  <c r="DR83" i="1" s="1"/>
  <c r="DS123" i="1"/>
  <c r="DR167" i="82"/>
  <c r="DS84" i="2"/>
  <c r="DR61" i="2"/>
  <c r="DR84" i="2"/>
  <c r="DR325" i="1"/>
  <c r="DR75" i="82"/>
  <c r="DR42" i="82"/>
  <c r="DR77" i="82"/>
  <c r="DR69" i="82"/>
  <c r="DR27" i="82"/>
  <c r="DR168" i="82"/>
  <c r="DR57" i="82"/>
  <c r="DR95" i="82"/>
  <c r="DS85" i="2"/>
  <c r="DR111" i="1"/>
  <c r="DR9" i="2"/>
  <c r="DR85" i="2"/>
  <c r="DR130" i="2"/>
  <c r="DR62" i="2"/>
  <c r="DR108" i="1"/>
  <c r="DR123" i="1"/>
  <c r="DR500" i="1"/>
  <c r="DS500" i="1"/>
  <c r="DR122" i="1"/>
  <c r="DR11" i="82"/>
  <c r="DR499" i="1"/>
  <c r="DR292" i="2" l="1"/>
  <c r="DW284" i="2"/>
  <c r="DR299" i="2"/>
  <c r="DR300" i="2" s="1"/>
  <c r="DR284" i="2"/>
  <c r="DY132" i="2"/>
  <c r="EC131" i="2"/>
  <c r="DR29" i="82"/>
  <c r="DS29" i="82"/>
  <c r="DR28" i="82"/>
  <c r="DR326" i="1"/>
  <c r="DX58" i="82"/>
  <c r="DX43" i="82"/>
  <c r="CZ76" i="3"/>
  <c r="CZ72" i="3"/>
  <c r="DX63" i="2"/>
  <c r="DX131" i="2"/>
  <c r="DR115" i="82"/>
  <c r="DW130" i="82" s="1"/>
  <c r="DX128" i="1"/>
  <c r="DX134" i="1"/>
  <c r="DX133" i="1"/>
  <c r="DX136" i="1"/>
  <c r="DR132" i="2"/>
  <c r="DS132" i="2"/>
  <c r="DR43" i="82"/>
  <c r="DR76" i="82"/>
  <c r="CT80" i="7"/>
  <c r="CT91" i="7" s="1"/>
  <c r="DR131" i="2"/>
  <c r="DR126" i="2"/>
  <c r="DR123" i="2"/>
  <c r="DR120" i="2"/>
  <c r="DR114" i="2"/>
  <c r="DR117" i="2"/>
  <c r="DR56" i="82"/>
  <c r="DR58" i="82"/>
  <c r="DR169" i="82"/>
  <c r="DR61" i="82"/>
  <c r="DR98" i="82"/>
  <c r="DR99" i="82"/>
  <c r="DR13" i="82"/>
  <c r="DR14" i="82" s="1"/>
  <c r="DR163" i="82" s="1"/>
  <c r="DR86" i="2"/>
  <c r="DS86" i="2"/>
  <c r="DR63" i="2"/>
  <c r="DR85" i="1"/>
  <c r="DR87" i="1" s="1"/>
  <c r="DR124" i="1"/>
  <c r="DX59" i="82" l="1"/>
  <c r="DX70" i="82"/>
  <c r="DX143" i="2"/>
  <c r="DX68" i="2"/>
  <c r="DX67" i="2"/>
  <c r="DX140" i="2"/>
  <c r="DX56" i="2"/>
  <c r="DX75" i="2"/>
  <c r="DX46" i="2"/>
  <c r="DX146" i="2"/>
  <c r="DX330" i="1"/>
  <c r="DX64" i="2"/>
  <c r="DX203" i="2"/>
  <c r="DX70" i="2"/>
  <c r="DX133" i="2"/>
  <c r="DX328" i="1"/>
  <c r="DX66" i="2"/>
  <c r="DX137" i="2"/>
  <c r="DR144" i="82"/>
  <c r="DW145" i="82" s="1"/>
  <c r="DR130" i="82"/>
  <c r="DR146" i="82"/>
  <c r="DR187" i="82"/>
  <c r="DR116" i="82"/>
  <c r="DS126" i="1"/>
  <c r="DW125" i="1"/>
  <c r="DX135" i="1"/>
  <c r="DX137" i="1" s="1"/>
  <c r="DR59" i="82"/>
  <c r="DR116" i="2"/>
  <c r="DS116" i="2"/>
  <c r="DS128" i="2"/>
  <c r="DR125" i="2"/>
  <c r="DS125" i="2"/>
  <c r="DR122" i="2"/>
  <c r="DS122" i="2"/>
  <c r="DR119" i="2"/>
  <c r="DS119" i="2"/>
  <c r="CT89" i="7"/>
  <c r="CT94" i="7"/>
  <c r="CT98" i="7"/>
  <c r="CT96" i="7"/>
  <c r="DR70" i="82"/>
  <c r="CT104" i="7"/>
  <c r="CT172" i="7"/>
  <c r="CT82" i="7"/>
  <c r="CT73" i="7" s="1"/>
  <c r="CT92" i="7"/>
  <c r="CT83" i="7"/>
  <c r="DR164" i="82"/>
  <c r="DR118" i="2"/>
  <c r="DR115" i="2"/>
  <c r="DR121" i="2"/>
  <c r="DR124" i="2"/>
  <c r="DR127" i="2"/>
  <c r="DR24" i="82"/>
  <c r="DR67" i="2"/>
  <c r="DR89" i="2"/>
  <c r="DS89" i="2"/>
  <c r="DR143" i="2"/>
  <c r="DR64" i="2"/>
  <c r="DR66" i="2"/>
  <c r="DR68" i="2"/>
  <c r="DS87" i="2"/>
  <c r="DR70" i="2"/>
  <c r="DR56" i="2"/>
  <c r="DR75" i="2"/>
  <c r="DR330" i="1"/>
  <c r="DR46" i="2"/>
  <c r="DR146" i="2"/>
  <c r="DR328" i="1"/>
  <c r="DS92" i="2"/>
  <c r="DR87" i="2"/>
  <c r="DR13" i="2"/>
  <c r="DR203" i="2"/>
  <c r="DR133" i="2"/>
  <c r="DS91" i="2"/>
  <c r="DR90" i="2"/>
  <c r="DS90" i="2"/>
  <c r="DR137" i="2"/>
  <c r="DR140" i="2"/>
  <c r="DR91" i="2"/>
  <c r="DR26" i="2"/>
  <c r="DR126" i="1"/>
  <c r="DR125" i="1"/>
  <c r="DR127" i="1"/>
  <c r="DR205" i="2" l="1"/>
  <c r="DS205" i="2"/>
  <c r="EC204" i="2"/>
  <c r="DY139" i="2"/>
  <c r="EC138" i="2"/>
  <c r="DY148" i="2"/>
  <c r="EC147" i="2"/>
  <c r="DY135" i="2"/>
  <c r="EC134" i="2"/>
  <c r="DY145" i="2"/>
  <c r="EC144" i="2"/>
  <c r="DY142" i="2"/>
  <c r="EC141" i="2"/>
  <c r="DW131" i="82"/>
  <c r="DR26" i="82"/>
  <c r="DS26" i="82"/>
  <c r="DR25" i="82"/>
  <c r="DX329" i="1"/>
  <c r="DR329" i="1"/>
  <c r="CZ15" i="3"/>
  <c r="CZ19" i="3" s="1"/>
  <c r="DX180" i="82"/>
  <c r="DR145" i="82"/>
  <c r="DX209" i="2"/>
  <c r="DR141" i="82"/>
  <c r="DX134" i="2"/>
  <c r="DX69" i="2"/>
  <c r="DX332" i="1"/>
  <c r="DX331" i="1"/>
  <c r="DX138" i="2"/>
  <c r="CZ73" i="7"/>
  <c r="DX147" i="2"/>
  <c r="DX204" i="2"/>
  <c r="DX141" i="2"/>
  <c r="DX144" i="2"/>
  <c r="DX150" i="2"/>
  <c r="DX65" i="2"/>
  <c r="DX166" i="2"/>
  <c r="DR73" i="1"/>
  <c r="DS129" i="1"/>
  <c r="DW128" i="1"/>
  <c r="DR135" i="2"/>
  <c r="DS135" i="2"/>
  <c r="DR139" i="2"/>
  <c r="DS139" i="2"/>
  <c r="DR142" i="2"/>
  <c r="DS142" i="2"/>
  <c r="DR145" i="2"/>
  <c r="DS145" i="2"/>
  <c r="DS333" i="1"/>
  <c r="DR147" i="2"/>
  <c r="DR204" i="2"/>
  <c r="DR144" i="2"/>
  <c r="CT76" i="3"/>
  <c r="CT72" i="3"/>
  <c r="DR60" i="2"/>
  <c r="CT168" i="7"/>
  <c r="CT38" i="7"/>
  <c r="DR209" i="2"/>
  <c r="DR180" i="82"/>
  <c r="DS88" i="2"/>
  <c r="DR179" i="82"/>
  <c r="DR33" i="82"/>
  <c r="CT15" i="3"/>
  <c r="DR332" i="1"/>
  <c r="DS148" i="2"/>
  <c r="DR331" i="1"/>
  <c r="DR138" i="2"/>
  <c r="DR27" i="2"/>
  <c r="DR166" i="2"/>
  <c r="DR141" i="2"/>
  <c r="DR65" i="2"/>
  <c r="DR88" i="2"/>
  <c r="DR150" i="2"/>
  <c r="DR134" i="2"/>
  <c r="DR69" i="2"/>
  <c r="DR93" i="2"/>
  <c r="DS93" i="2"/>
  <c r="CT81" i="3"/>
  <c r="DR136" i="1"/>
  <c r="DR129" i="1"/>
  <c r="DR128" i="1"/>
  <c r="DR134" i="1"/>
  <c r="DR133" i="1"/>
  <c r="DS211" i="2" l="1"/>
  <c r="DR317" i="2"/>
  <c r="DR315" i="2" s="1"/>
  <c r="DR324" i="2" s="1"/>
  <c r="EC210" i="2"/>
  <c r="DY168" i="2"/>
  <c r="EC167" i="2"/>
  <c r="CU175" i="7"/>
  <c r="CT182" i="7"/>
  <c r="CT181" i="7" s="1"/>
  <c r="CT174" i="7"/>
  <c r="DR72" i="1"/>
  <c r="CZ50" i="3"/>
  <c r="CZ80" i="3"/>
  <c r="CZ77" i="3"/>
  <c r="CT50" i="7"/>
  <c r="DX55" i="2"/>
  <c r="DX167" i="2"/>
  <c r="DX169" i="2"/>
  <c r="DX54" i="2"/>
  <c r="DX151" i="2"/>
  <c r="DX21" i="82"/>
  <c r="DX220" i="2"/>
  <c r="DX71" i="2"/>
  <c r="DX210" i="2"/>
  <c r="DR168" i="2"/>
  <c r="DS168" i="2"/>
  <c r="DR210" i="2"/>
  <c r="DR167" i="2"/>
  <c r="CT66" i="3"/>
  <c r="CT18" i="3" s="1"/>
  <c r="DR171" i="82"/>
  <c r="DR206" i="2"/>
  <c r="DR74" i="2"/>
  <c r="DR136" i="2"/>
  <c r="CT32" i="3"/>
  <c r="DR21" i="82"/>
  <c r="DS94" i="2"/>
  <c r="DR54" i="2"/>
  <c r="DR71" i="2"/>
  <c r="DR94" i="2"/>
  <c r="DR28" i="2"/>
  <c r="DR169" i="2"/>
  <c r="DR29" i="2"/>
  <c r="DR151" i="2"/>
  <c r="DR220" i="2"/>
  <c r="DR135" i="1"/>
  <c r="DR137" i="1" s="1"/>
  <c r="DR34" i="82" l="1"/>
  <c r="DR36" i="82" s="1"/>
  <c r="CZ83" i="3"/>
  <c r="DR208" i="2"/>
  <c r="DS208" i="2"/>
  <c r="DR321" i="2"/>
  <c r="DR330" i="2" s="1"/>
  <c r="DR326" i="2"/>
  <c r="DX281" i="2"/>
  <c r="DX310" i="2" s="1"/>
  <c r="DR223" i="2"/>
  <c r="DR57" i="2"/>
  <c r="DX223" i="2"/>
  <c r="EC152" i="2"/>
  <c r="EC170" i="2"/>
  <c r="DX179" i="82"/>
  <c r="DX182" i="82" s="1"/>
  <c r="EC74" i="2"/>
  <c r="DY153" i="2"/>
  <c r="DY171" i="2"/>
  <c r="DX34" i="82"/>
  <c r="DX35" i="82" s="1"/>
  <c r="DX20" i="82"/>
  <c r="DR71" i="1"/>
  <c r="CT105" i="7"/>
  <c r="DX57" i="2"/>
  <c r="DX136" i="2"/>
  <c r="DX206" i="2"/>
  <c r="DX74" i="2"/>
  <c r="DX175" i="2"/>
  <c r="DX157" i="2"/>
  <c r="DX73" i="2"/>
  <c r="DX154" i="2"/>
  <c r="DX172" i="2"/>
  <c r="DX72" i="2"/>
  <c r="DX170" i="2"/>
  <c r="DX152" i="2"/>
  <c r="DR171" i="2"/>
  <c r="DR153" i="2"/>
  <c r="DS153" i="2"/>
  <c r="DR72" i="2"/>
  <c r="DR182" i="82"/>
  <c r="DR170" i="82"/>
  <c r="CU66" i="3"/>
  <c r="CU18" i="3" s="1"/>
  <c r="DR212" i="2"/>
  <c r="DR207" i="2"/>
  <c r="DR73" i="2"/>
  <c r="DR175" i="2"/>
  <c r="DR170" i="2"/>
  <c r="DR172" i="2"/>
  <c r="DS171" i="2"/>
  <c r="DR154" i="2"/>
  <c r="DR152" i="2"/>
  <c r="DR157" i="2"/>
  <c r="DR35" i="82" l="1"/>
  <c r="DS36" i="82"/>
  <c r="DR331" i="2"/>
  <c r="CZ85" i="3"/>
  <c r="CZ87" i="3"/>
  <c r="CZ100" i="3"/>
  <c r="DS214" i="2"/>
  <c r="EC311" i="2"/>
  <c r="DX311" i="2"/>
  <c r="DR161" i="2"/>
  <c r="DR334" i="1"/>
  <c r="DR335" i="1" s="1"/>
  <c r="DS95" i="2"/>
  <c r="DR179" i="2"/>
  <c r="DR164" i="2"/>
  <c r="DR76" i="2"/>
  <c r="DR184" i="82"/>
  <c r="DR182" i="2"/>
  <c r="EC207" i="2"/>
  <c r="DY159" i="2"/>
  <c r="EC158" i="2"/>
  <c r="DY177" i="2"/>
  <c r="EC176" i="2"/>
  <c r="DY174" i="2"/>
  <c r="EC173" i="2"/>
  <c r="DY156" i="2"/>
  <c r="EC155" i="2"/>
  <c r="EC164" i="2"/>
  <c r="EC182" i="2"/>
  <c r="EC76" i="2"/>
  <c r="DX152" i="82"/>
  <c r="DX33" i="82"/>
  <c r="DR17" i="1"/>
  <c r="DR10" i="1"/>
  <c r="DR31" i="1"/>
  <c r="DR45" i="1"/>
  <c r="DR59" i="1"/>
  <c r="DX182" i="2"/>
  <c r="CZ89" i="3"/>
  <c r="CU105" i="7"/>
  <c r="DX184" i="82"/>
  <c r="DX161" i="2"/>
  <c r="DX179" i="2"/>
  <c r="DX164" i="2"/>
  <c r="DX76" i="2"/>
  <c r="DX334" i="1"/>
  <c r="DX158" i="2"/>
  <c r="DX176" i="2"/>
  <c r="DX212" i="2"/>
  <c r="DX207" i="2"/>
  <c r="DX155" i="2"/>
  <c r="DX173" i="2"/>
  <c r="DR156" i="2"/>
  <c r="DS156" i="2"/>
  <c r="DS177" i="2"/>
  <c r="DR174" i="2"/>
  <c r="DS174" i="2"/>
  <c r="DS159" i="2"/>
  <c r="DR173" i="2"/>
  <c r="DR133" i="82"/>
  <c r="DR30" i="82"/>
  <c r="DR32" i="82" s="1"/>
  <c r="DR213" i="2"/>
  <c r="DR155" i="2"/>
  <c r="DR176" i="2"/>
  <c r="DR158" i="2"/>
  <c r="DS163" i="2" l="1"/>
  <c r="DR162" i="2"/>
  <c r="DR180" i="2"/>
  <c r="DS181" i="2"/>
  <c r="EC213" i="2"/>
  <c r="EC180" i="2"/>
  <c r="EC162" i="2"/>
  <c r="DX154" i="82"/>
  <c r="DX156" i="82" s="1"/>
  <c r="DX157" i="82" s="1"/>
  <c r="DX189" i="82" s="1"/>
  <c r="DX150" i="82"/>
  <c r="DX188" i="82"/>
  <c r="DR31" i="82"/>
  <c r="DR60" i="1"/>
  <c r="DR46" i="1"/>
  <c r="DR32" i="1"/>
  <c r="DR24" i="1"/>
  <c r="DR11" i="1"/>
  <c r="DR18" i="1"/>
  <c r="DX335" i="1"/>
  <c r="DX180" i="2"/>
  <c r="DX162" i="2"/>
  <c r="DX213" i="2"/>
  <c r="DR493" i="1"/>
  <c r="DR494" i="1" s="1"/>
  <c r="DR495" i="1" s="1"/>
  <c r="DR188" i="82"/>
  <c r="DX160" i="82" l="1"/>
  <c r="DX163" i="82"/>
  <c r="DR38" i="1"/>
  <c r="DR25" i="1"/>
  <c r="DR33" i="1"/>
  <c r="DR47" i="1"/>
  <c r="DR19" i="1"/>
  <c r="DR12" i="1"/>
  <c r="DR61" i="1"/>
  <c r="DX164" i="82" l="1"/>
  <c r="DR26" i="1"/>
  <c r="DR39" i="1"/>
  <c r="DR52" i="1"/>
  <c r="DR134" i="82"/>
  <c r="DR53" i="1" l="1"/>
  <c r="DR40" i="1"/>
  <c r="DR135" i="82"/>
  <c r="DR54" i="1" l="1"/>
  <c r="DX120" i="1"/>
  <c r="DX117" i="1"/>
  <c r="DX95" i="1"/>
  <c r="DW9" i="82" l="1"/>
  <c r="DW168" i="82"/>
  <c r="DX85" i="2"/>
  <c r="DW62" i="2"/>
  <c r="DX123" i="1"/>
  <c r="DW7" i="2" l="1"/>
  <c r="DW24" i="82"/>
  <c r="DW40" i="82"/>
  <c r="EB56" i="82" s="1"/>
  <c r="DW13" i="82"/>
  <c r="DW325" i="2" l="1"/>
  <c r="DW328" i="2"/>
  <c r="DW329" i="2"/>
  <c r="DW327" i="2"/>
  <c r="DW303" i="2"/>
  <c r="DW305" i="2"/>
  <c r="DW308" i="2"/>
  <c r="DW301" i="2"/>
  <c r="DW299" i="2"/>
  <c r="EB61" i="2"/>
  <c r="EB25" i="82"/>
  <c r="DX26" i="82"/>
  <c r="DW14" i="82"/>
  <c r="DW56" i="82"/>
  <c r="DW69" i="82"/>
  <c r="DW42" i="82"/>
  <c r="EB58" i="82" s="1"/>
  <c r="DW75" i="82"/>
  <c r="DW77" i="82"/>
  <c r="DW9" i="2"/>
  <c r="DW167" i="82"/>
  <c r="DX84" i="2"/>
  <c r="DW61" i="2"/>
  <c r="DW130" i="2"/>
  <c r="DW133" i="2"/>
  <c r="DX87" i="2"/>
  <c r="DW64" i="2"/>
  <c r="DW203" i="2"/>
  <c r="DW68" i="2"/>
  <c r="DW143" i="2"/>
  <c r="DX91" i="2"/>
  <c r="DW187" i="82"/>
  <c r="DW140" i="2"/>
  <c r="DW67" i="2"/>
  <c r="DX90" i="2"/>
  <c r="DW328" i="1"/>
  <c r="EB329" i="1" s="1"/>
  <c r="DW66" i="2"/>
  <c r="DW137" i="2"/>
  <c r="DX89" i="2"/>
  <c r="DW46" i="2"/>
  <c r="DW330" i="1"/>
  <c r="DW56" i="2"/>
  <c r="DW75" i="2"/>
  <c r="DW146" i="2"/>
  <c r="DX92" i="2"/>
  <c r="DW70" i="2"/>
  <c r="DX126" i="1"/>
  <c r="DX205" i="2" l="1"/>
  <c r="DW309" i="2"/>
  <c r="EB309" i="2"/>
  <c r="DW306" i="2"/>
  <c r="EB306" i="2"/>
  <c r="DW304" i="2"/>
  <c r="EB304" i="2"/>
  <c r="DW302" i="2"/>
  <c r="EB302" i="2"/>
  <c r="DW300" i="2"/>
  <c r="EB300" i="2"/>
  <c r="EB147" i="2"/>
  <c r="EB138" i="2"/>
  <c r="EB131" i="2"/>
  <c r="EB204" i="2"/>
  <c r="EB141" i="2"/>
  <c r="EB134" i="2"/>
  <c r="EB144" i="2"/>
  <c r="EB63" i="2"/>
  <c r="EB331" i="1"/>
  <c r="EB332" i="1"/>
  <c r="DW329" i="1"/>
  <c r="DW76" i="82"/>
  <c r="DW326" i="1"/>
  <c r="DW58" i="82"/>
  <c r="DW43" i="82"/>
  <c r="DX132" i="2"/>
  <c r="DW131" i="2"/>
  <c r="DW13" i="2"/>
  <c r="DW117" i="2"/>
  <c r="DW123" i="2"/>
  <c r="CY80" i="7"/>
  <c r="DW120" i="2"/>
  <c r="DW114" i="2"/>
  <c r="DW126" i="2"/>
  <c r="DW63" i="2"/>
  <c r="DX86" i="2"/>
  <c r="DW169" i="82"/>
  <c r="DX139" i="2"/>
  <c r="DW138" i="2"/>
  <c r="DX142" i="2"/>
  <c r="DW141" i="2"/>
  <c r="DX148" i="2"/>
  <c r="DW147" i="2"/>
  <c r="DX145" i="2"/>
  <c r="DW144" i="2"/>
  <c r="DX135" i="2"/>
  <c r="DW134" i="2"/>
  <c r="DW204" i="2"/>
  <c r="DX93" i="2"/>
  <c r="DW69" i="2"/>
  <c r="DX129" i="1"/>
  <c r="CY15" i="3"/>
  <c r="DW180" i="82"/>
  <c r="DW209" i="2"/>
  <c r="DX333" i="1"/>
  <c r="DW331" i="1"/>
  <c r="DW332" i="1"/>
  <c r="DX211" i="2" l="1"/>
  <c r="EB121" i="2"/>
  <c r="EB127" i="2"/>
  <c r="EB210" i="2"/>
  <c r="EB115" i="2"/>
  <c r="EB124" i="2"/>
  <c r="EB118" i="2"/>
  <c r="EB65" i="2"/>
  <c r="DX116" i="2"/>
  <c r="DX122" i="2"/>
  <c r="DX125" i="2"/>
  <c r="DX119" i="2"/>
  <c r="DX128" i="2"/>
  <c r="DW27" i="2"/>
  <c r="DW166" i="2"/>
  <c r="DW150" i="2"/>
  <c r="DW127" i="2"/>
  <c r="DW115" i="2"/>
  <c r="DW59" i="82"/>
  <c r="DW70" i="82"/>
  <c r="DW65" i="2"/>
  <c r="DW121" i="2"/>
  <c r="DX88" i="2"/>
  <c r="CY94" i="7"/>
  <c r="CY98" i="7"/>
  <c r="CY82" i="7"/>
  <c r="CY73" i="7" s="1"/>
  <c r="CY92" i="7"/>
  <c r="CY172" i="7"/>
  <c r="CY83" i="7"/>
  <c r="CY91" i="7"/>
  <c r="CY89" i="7"/>
  <c r="CY96" i="7"/>
  <c r="CY104" i="7"/>
  <c r="DW118" i="2"/>
  <c r="DW124" i="2"/>
  <c r="DW55" i="2"/>
  <c r="DW210" i="2"/>
  <c r="DW281" i="2" l="1"/>
  <c r="DW310" i="2" s="1"/>
  <c r="EB311" i="2" s="1"/>
  <c r="DW317" i="2"/>
  <c r="DW315" i="2" s="1"/>
  <c r="DW324" i="2" s="1"/>
  <c r="EB74" i="2"/>
  <c r="EB167" i="2"/>
  <c r="DW151" i="2"/>
  <c r="EB71" i="2"/>
  <c r="DW21" i="82"/>
  <c r="DW54" i="2"/>
  <c r="DX94" i="2"/>
  <c r="DW220" i="2"/>
  <c r="DW71" i="2"/>
  <c r="DW169" i="2"/>
  <c r="DW171" i="82"/>
  <c r="DW170" i="82" s="1"/>
  <c r="DD73" i="7"/>
  <c r="DW32" i="2"/>
  <c r="DW29" i="2"/>
  <c r="DW28" i="2"/>
  <c r="DW167" i="2"/>
  <c r="DX168" i="2"/>
  <c r="DW73" i="1"/>
  <c r="DW60" i="2"/>
  <c r="DW136" i="2"/>
  <c r="DW179" i="82"/>
  <c r="DW206" i="2"/>
  <c r="DW74" i="2"/>
  <c r="DW311" i="2" l="1"/>
  <c r="DX208" i="2"/>
  <c r="DW321" i="2"/>
  <c r="DW330" i="2" s="1"/>
  <c r="DW326" i="2"/>
  <c r="EB73" i="2"/>
  <c r="EB207" i="2"/>
  <c r="DW223" i="2"/>
  <c r="DW57" i="2"/>
  <c r="DW36" i="2"/>
  <c r="EB72" i="2"/>
  <c r="DW152" i="2"/>
  <c r="DX153" i="2"/>
  <c r="EB152" i="2"/>
  <c r="EB170" i="2"/>
  <c r="DW34" i="82"/>
  <c r="EB35" i="82" s="1"/>
  <c r="DW20" i="82"/>
  <c r="DW72" i="1"/>
  <c r="DW170" i="2"/>
  <c r="DW182" i="82"/>
  <c r="DW175" i="2"/>
  <c r="DX171" i="2"/>
  <c r="DW72" i="2"/>
  <c r="DW154" i="2"/>
  <c r="DW172" i="2"/>
  <c r="DW227" i="2"/>
  <c r="DW73" i="2"/>
  <c r="DW34" i="2"/>
  <c r="DW157" i="2"/>
  <c r="DW212" i="2"/>
  <c r="DW207" i="2"/>
  <c r="DX214" i="2" l="1"/>
  <c r="EB164" i="2"/>
  <c r="DW331" i="2"/>
  <c r="EB331" i="2"/>
  <c r="DW184" i="82"/>
  <c r="DW161" i="2"/>
  <c r="DW179" i="2"/>
  <c r="DW182" i="2"/>
  <c r="DW37" i="2"/>
  <c r="DW164" i="2"/>
  <c r="EB182" i="2"/>
  <c r="DX95" i="2"/>
  <c r="EB76" i="2"/>
  <c r="DW76" i="2"/>
  <c r="CY196" i="7"/>
  <c r="DW334" i="1"/>
  <c r="EB335" i="1" s="1"/>
  <c r="DW48" i="2"/>
  <c r="EB173" i="2"/>
  <c r="EB176" i="2"/>
  <c r="EB77" i="2"/>
  <c r="EB158" i="2"/>
  <c r="DW233" i="2"/>
  <c r="EB155" i="2"/>
  <c r="DW35" i="82"/>
  <c r="DX36" i="82"/>
  <c r="DW152" i="82"/>
  <c r="DW33" i="82"/>
  <c r="DW71" i="1"/>
  <c r="DW176" i="2"/>
  <c r="DX177" i="2"/>
  <c r="DW173" i="2"/>
  <c r="DX174" i="2"/>
  <c r="DX156" i="2"/>
  <c r="DW155" i="2"/>
  <c r="DW217" i="2"/>
  <c r="DW158" i="2"/>
  <c r="DX159" i="2"/>
  <c r="EB213" i="2"/>
  <c r="DX217" i="2"/>
  <c r="DX48" i="2"/>
  <c r="DW213" i="2"/>
  <c r="EB78" i="2" l="1"/>
  <c r="EB180" i="2"/>
  <c r="DX163" i="2"/>
  <c r="DX181" i="2"/>
  <c r="DW180" i="2"/>
  <c r="DW162" i="2"/>
  <c r="EB162" i="2"/>
  <c r="DW335" i="1"/>
  <c r="DW154" i="82"/>
  <c r="DW156" i="82" s="1"/>
  <c r="DW150" i="82"/>
  <c r="EB160" i="82" s="1"/>
  <c r="DW188" i="82"/>
  <c r="DW17" i="1"/>
  <c r="DW31" i="1"/>
  <c r="DW59" i="1"/>
  <c r="DW10" i="1"/>
  <c r="DW45" i="1"/>
  <c r="DY217" i="2"/>
  <c r="DW160" i="82" l="1"/>
  <c r="DW163" i="82"/>
  <c r="DW46" i="1"/>
  <c r="DW60" i="1"/>
  <c r="DW11" i="1"/>
  <c r="DW24" i="1"/>
  <c r="DW32" i="1"/>
  <c r="DW18" i="1"/>
  <c r="DW164" i="82" l="1"/>
  <c r="EB164" i="82"/>
  <c r="DW33" i="1"/>
  <c r="DW61" i="1"/>
  <c r="DW12" i="1"/>
  <c r="DW19" i="1"/>
  <c r="DW38" i="1"/>
  <c r="DW25" i="1"/>
  <c r="DW47" i="1"/>
  <c r="DW26" i="1" l="1"/>
  <c r="DW39" i="1"/>
  <c r="DW52" i="1"/>
  <c r="DW40" i="1" l="1"/>
  <c r="DW53" i="1"/>
  <c r="DW54" i="1" l="1"/>
  <c r="Y321" i="113"/>
  <c r="CX46" i="3" l="1"/>
  <c r="CX98" i="3"/>
  <c r="CX99" i="3" l="1"/>
  <c r="CX103" i="3"/>
  <c r="DO325" i="1"/>
  <c r="DO630" i="1"/>
  <c r="DT326" i="1" l="1"/>
  <c r="CY103" i="3"/>
  <c r="CZ103" i="3" s="1"/>
  <c r="DA103" i="3" s="1"/>
  <c r="DW52" i="2" l="1"/>
  <c r="DW177" i="82"/>
  <c r="DW87" i="82" l="1"/>
  <c r="DW99" i="82" s="1"/>
  <c r="DW157" i="82"/>
  <c r="DW49" i="82"/>
  <c r="DW63" i="82" s="1"/>
  <c r="DW123" i="82"/>
  <c r="DW135" i="82" s="1"/>
  <c r="DX52" i="2"/>
  <c r="DY177" i="82"/>
  <c r="DY87" i="82" l="1"/>
  <c r="DY99" i="82" s="1"/>
  <c r="DY123" i="82"/>
  <c r="DY135" i="82" s="1"/>
  <c r="DC39" i="3"/>
  <c r="DY52" i="2"/>
  <c r="DB103" i="3"/>
  <c r="DA76" i="7" l="1"/>
  <c r="DC98" i="3"/>
  <c r="DC46" i="3"/>
  <c r="EA38" i="2"/>
  <c r="DZ177" i="82"/>
  <c r="DH99" i="3" l="1"/>
  <c r="DZ87" i="82"/>
  <c r="DZ157" i="82"/>
  <c r="DZ123" i="82"/>
  <c r="DZ49" i="82"/>
  <c r="EB177" i="82"/>
  <c r="EB157" i="82" s="1"/>
  <c r="EA52" i="2"/>
  <c r="EA177" i="82"/>
  <c r="DC99" i="3"/>
  <c r="DC103" i="3"/>
  <c r="DD103" i="3" s="1"/>
  <c r="DE103" i="3" s="1"/>
  <c r="DF103" i="3" s="1"/>
  <c r="DG103" i="3" s="1"/>
  <c r="DT97" i="82"/>
  <c r="DT491" i="1"/>
  <c r="DT496" i="1" s="1"/>
  <c r="DT118" i="1"/>
  <c r="EB87" i="82" l="1"/>
  <c r="EB123" i="82"/>
  <c r="EG135" i="82" s="1"/>
  <c r="EB49" i="82"/>
  <c r="EG63" i="82" s="1"/>
  <c r="DH103" i="3"/>
  <c r="DI103" i="3" s="1"/>
  <c r="DJ103" i="3" s="1"/>
  <c r="DK103" i="3" s="1"/>
  <c r="DL103" i="3" s="1"/>
  <c r="EC177" i="82"/>
  <c r="DT94" i="82"/>
  <c r="DT115" i="1"/>
  <c r="DT492" i="1"/>
  <c r="DT119" i="1"/>
  <c r="DT120" i="1"/>
  <c r="EB99" i="82" l="1"/>
  <c r="EG99" i="82"/>
  <c r="DM103" i="3"/>
  <c r="EC123" i="82"/>
  <c r="EC135" i="82" s="1"/>
  <c r="EC87" i="82"/>
  <c r="EC99" i="82" s="1"/>
  <c r="ED177" i="82"/>
  <c r="ED157" i="82" s="1"/>
  <c r="DT116" i="1"/>
  <c r="DT27" i="82"/>
  <c r="DT117" i="1"/>
  <c r="DT121" i="1"/>
  <c r="DT498" i="1"/>
  <c r="DT57" i="82"/>
  <c r="DT62" i="2"/>
  <c r="DT85" i="2"/>
  <c r="DR103" i="3" l="1"/>
  <c r="DN103" i="3"/>
  <c r="ED87" i="82"/>
  <c r="ED123" i="82"/>
  <c r="DT29" i="82"/>
  <c r="DT28" i="82"/>
  <c r="EF38" i="2"/>
  <c r="EE177" i="82"/>
  <c r="DT499" i="1"/>
  <c r="DT9" i="82"/>
  <c r="DT40" i="82" s="1"/>
  <c r="DY56" i="82" s="1"/>
  <c r="DT130" i="82"/>
  <c r="DT123" i="1"/>
  <c r="DT122" i="1"/>
  <c r="DT500" i="1"/>
  <c r="DT124" i="1"/>
  <c r="DS103" i="3" l="1"/>
  <c r="DT103" i="3" s="1"/>
  <c r="DU103" i="3" s="1"/>
  <c r="DV103" i="3" s="1"/>
  <c r="DW103" i="3"/>
  <c r="DO103" i="3"/>
  <c r="ED135" i="82"/>
  <c r="EI135" i="82"/>
  <c r="ED99" i="82"/>
  <c r="EI99" i="82"/>
  <c r="EE49" i="82"/>
  <c r="EE87" i="82"/>
  <c r="EE123" i="82"/>
  <c r="EE157" i="82"/>
  <c r="EF177" i="82"/>
  <c r="EF52" i="2"/>
  <c r="DT56" i="82"/>
  <c r="DT75" i="82"/>
  <c r="DY76" i="82" s="1"/>
  <c r="DT42" i="82"/>
  <c r="DY58" i="82" s="1"/>
  <c r="DT187" i="82"/>
  <c r="DT13" i="82"/>
  <c r="DT14" i="82" s="1"/>
  <c r="DT163" i="82" s="1"/>
  <c r="DT69" i="82"/>
  <c r="DT125" i="1"/>
  <c r="DT126" i="1"/>
  <c r="DT127" i="1"/>
  <c r="DP103" i="3" l="1"/>
  <c r="DQ103" i="3" s="1"/>
  <c r="EE63" i="82"/>
  <c r="EJ63" i="82"/>
  <c r="EE135" i="82"/>
  <c r="EJ135" i="82"/>
  <c r="EE99" i="82"/>
  <c r="EJ99" i="82"/>
  <c r="CV76" i="3"/>
  <c r="DT43" i="82"/>
  <c r="DY59" i="82" s="1"/>
  <c r="DT76" i="82"/>
  <c r="DT58" i="82"/>
  <c r="DT136" i="1"/>
  <c r="DT24" i="82"/>
  <c r="DT61" i="82"/>
  <c r="DT33" i="82"/>
  <c r="CV168" i="7"/>
  <c r="DT129" i="1"/>
  <c r="DT128" i="1"/>
  <c r="DT134" i="1"/>
  <c r="DT133" i="1"/>
  <c r="DT26" i="82" l="1"/>
  <c r="EH177" i="82"/>
  <c r="CV175" i="7"/>
  <c r="CW175" i="7"/>
  <c r="CV174" i="7"/>
  <c r="DA174" i="7"/>
  <c r="DT25" i="82"/>
  <c r="CX168" i="7"/>
  <c r="CV182" i="7"/>
  <c r="DT70" i="82"/>
  <c r="DT59" i="82"/>
  <c r="DT135" i="1"/>
  <c r="DT137" i="1" s="1"/>
  <c r="CV81" i="3"/>
  <c r="CV70" i="3"/>
  <c r="DA71" i="3" s="1"/>
  <c r="EH49" i="82" l="1"/>
  <c r="EM63" i="82" s="1"/>
  <c r="EH123" i="82"/>
  <c r="EH87" i="82"/>
  <c r="EH157" i="82"/>
  <c r="CX182" i="7"/>
  <c r="CX181" i="7" s="1"/>
  <c r="CV181" i="7"/>
  <c r="CV32" i="3"/>
  <c r="CV72" i="3"/>
  <c r="CV71" i="3"/>
  <c r="EH99" i="82" l="1"/>
  <c r="EM99" i="82"/>
  <c r="EH135" i="82"/>
  <c r="EM135" i="82"/>
  <c r="DM106" i="3"/>
  <c r="EK38" i="2"/>
  <c r="DM40" i="3" l="1"/>
  <c r="DM107" i="3"/>
  <c r="EK177" i="82"/>
  <c r="EK52" i="2"/>
  <c r="DM46" i="3" l="1"/>
  <c r="EN177" i="82" l="1"/>
  <c r="EO38" i="2"/>
  <c r="DO32" i="2"/>
  <c r="DO319" i="82"/>
  <c r="DO201" i="82" s="1"/>
  <c r="EQ38" i="2" l="1"/>
  <c r="EN87" i="82"/>
  <c r="EN99" i="82" s="1"/>
  <c r="EN123" i="82"/>
  <c r="EN135" i="82" s="1"/>
  <c r="EN49" i="82"/>
  <c r="EN63" i="82" s="1"/>
  <c r="EO52" i="2"/>
  <c r="DQ106" i="3"/>
  <c r="DQ40" i="3" s="1"/>
  <c r="EO177" i="82"/>
  <c r="EP38" i="2"/>
  <c r="DO34" i="2"/>
  <c r="DO227" i="2"/>
  <c r="DO36" i="2"/>
  <c r="DS106" i="3" l="1"/>
  <c r="DS40" i="3" s="1"/>
  <c r="EQ52" i="2"/>
  <c r="EQ177" i="82"/>
  <c r="ER38" i="2"/>
  <c r="DR40" i="3"/>
  <c r="DR106" i="3"/>
  <c r="DR107" i="3" s="1"/>
  <c r="DQ46" i="3"/>
  <c r="DQ197" i="7"/>
  <c r="EP52" i="2"/>
  <c r="EP177" i="82"/>
  <c r="DO217" i="2"/>
  <c r="DO48" i="2"/>
  <c r="CQ196" i="7"/>
  <c r="CQ197" i="7" s="1"/>
  <c r="DO37" i="2"/>
  <c r="CQ9" i="3"/>
  <c r="DO42" i="2"/>
  <c r="DO160" i="2"/>
  <c r="DO178" i="2"/>
  <c r="DO322" i="82"/>
  <c r="DO230" i="2"/>
  <c r="DO320" i="82"/>
  <c r="DO202" i="82" s="1"/>
  <c r="DO204" i="82" s="1"/>
  <c r="DT106" i="3" l="1"/>
  <c r="DT40" i="3" s="1"/>
  <c r="DS108" i="3"/>
  <c r="DT46" i="3"/>
  <c r="DT197" i="7"/>
  <c r="DS46" i="3"/>
  <c r="DS197" i="7"/>
  <c r="ER177" i="82"/>
  <c r="ES38" i="2"/>
  <c r="ER52" i="2"/>
  <c r="EQ87" i="82"/>
  <c r="EQ157" i="82"/>
  <c r="EQ123" i="82"/>
  <c r="DR108" i="3"/>
  <c r="DR46" i="3"/>
  <c r="DO232" i="2"/>
  <c r="DO233" i="2" s="1"/>
  <c r="DO50" i="2"/>
  <c r="DO176" i="82"/>
  <c r="DO189" i="82"/>
  <c r="DO43" i="2"/>
  <c r="CQ19" i="3"/>
  <c r="DO205" i="82"/>
  <c r="DO233" i="82"/>
  <c r="DO270" i="82"/>
  <c r="DO323" i="82"/>
  <c r="DO96" i="2"/>
  <c r="DU106" i="3" l="1"/>
  <c r="DU40" i="3" s="1"/>
  <c r="EQ135" i="82"/>
  <c r="EQ99" i="82"/>
  <c r="ES177" i="82"/>
  <c r="ES52" i="2"/>
  <c r="ET38" i="2"/>
  <c r="ER157" i="82"/>
  <c r="ER87" i="82"/>
  <c r="ER123" i="82"/>
  <c r="DO51" i="2"/>
  <c r="DO236" i="2"/>
  <c r="CQ77" i="3"/>
  <c r="CQ60" i="7"/>
  <c r="DO97" i="2"/>
  <c r="DO234" i="82"/>
  <c r="DO271" i="82"/>
  <c r="CQ50" i="3"/>
  <c r="CQ80" i="3"/>
  <c r="DU197" i="7" l="1"/>
  <c r="DV106" i="3"/>
  <c r="DV40" i="3" s="1"/>
  <c r="DU46" i="3"/>
  <c r="DW106" i="3"/>
  <c r="ER135" i="82"/>
  <c r="ER99" i="82"/>
  <c r="ET52" i="2"/>
  <c r="ET177" i="82"/>
  <c r="EU38" i="2"/>
  <c r="DO98" i="2"/>
  <c r="CQ91" i="3"/>
  <c r="CQ62" i="7"/>
  <c r="CQ74" i="7"/>
  <c r="CQ76" i="7"/>
  <c r="CQ75" i="7"/>
  <c r="CQ83" i="3"/>
  <c r="DW40" i="3" l="1"/>
  <c r="DV197" i="7"/>
  <c r="DW197" i="7" s="1"/>
  <c r="DW46" i="3"/>
  <c r="DV46" i="3"/>
  <c r="DW107" i="3"/>
  <c r="EU52" i="2"/>
  <c r="EU177" i="82"/>
  <c r="CQ93" i="3"/>
  <c r="CQ85" i="3"/>
  <c r="CQ100" i="3"/>
  <c r="CQ87" i="3"/>
  <c r="CQ89" i="3"/>
  <c r="DW108" i="3" l="1"/>
  <c r="DX107" i="3"/>
  <c r="CQ95" i="3"/>
  <c r="DO198" i="2"/>
  <c r="DY107" i="3" l="1"/>
  <c r="DX108" i="3"/>
  <c r="DO200" i="2"/>
  <c r="DO224" i="2"/>
  <c r="DO199" i="2"/>
  <c r="DY108" i="3" l="1"/>
  <c r="DZ107" i="3"/>
  <c r="DO226" i="2"/>
  <c r="DZ108" i="3" l="1"/>
  <c r="EA107" i="3"/>
  <c r="EA108" i="3" s="1"/>
  <c r="DO229" i="2"/>
  <c r="DO228" i="2" l="1"/>
  <c r="DO237" i="2"/>
  <c r="T8" i="11"/>
  <c r="W20" i="113"/>
  <c r="DO239" i="2" l="1"/>
  <c r="DO238" i="2"/>
  <c r="T9" i="11"/>
  <c r="DO241" i="2" l="1"/>
  <c r="DO240" i="2"/>
  <c r="DQ492" i="1"/>
  <c r="DL498" i="1"/>
  <c r="DL9" i="82" s="1"/>
  <c r="DL40" i="82" s="1"/>
  <c r="DL69" i="82" l="1"/>
  <c r="DL71" i="82"/>
  <c r="U212" i="113"/>
  <c r="DL75" i="82"/>
  <c r="DL77" i="82"/>
  <c r="DL42" i="82"/>
  <c r="U214" i="113" s="1"/>
  <c r="DL56" i="82"/>
  <c r="DQ56" i="82"/>
  <c r="DL13" i="82"/>
  <c r="DL14" i="82" s="1"/>
  <c r="DL163" i="82" s="1"/>
  <c r="DL24" i="82"/>
  <c r="DQ499" i="1"/>
  <c r="DL499" i="1"/>
  <c r="DK501" i="1"/>
  <c r="DH501" i="1"/>
  <c r="DJ498" i="1"/>
  <c r="DJ9" i="82" s="1"/>
  <c r="DO492" i="1"/>
  <c r="DI501" i="1"/>
  <c r="U231" i="113" l="1"/>
  <c r="U241" i="113"/>
  <c r="V231" i="113"/>
  <c r="U230" i="113"/>
  <c r="U244" i="113"/>
  <c r="U245" i="113"/>
  <c r="V230" i="113"/>
  <c r="DL25" i="82"/>
  <c r="DQ25" i="82"/>
  <c r="U216" i="113"/>
  <c r="DL33" i="82"/>
  <c r="DL145" i="82"/>
  <c r="DQ145" i="82"/>
  <c r="DL111" i="82"/>
  <c r="DQ111" i="82"/>
  <c r="DL76" i="82"/>
  <c r="DQ76" i="82"/>
  <c r="DL43" i="82"/>
  <c r="DL58" i="82"/>
  <c r="DQ58" i="82"/>
  <c r="DK500" i="1"/>
  <c r="DJ501" i="1"/>
  <c r="DJ500" i="1"/>
  <c r="DO499" i="1"/>
  <c r="DJ193" i="82"/>
  <c r="U217" i="113" l="1"/>
  <c r="U233" i="113"/>
  <c r="U242" i="113"/>
  <c r="V233" i="113"/>
  <c r="DL59" i="82"/>
  <c r="DQ59" i="82"/>
  <c r="DL70" i="82"/>
  <c r="DL90" i="82"/>
  <c r="DL164" i="82"/>
  <c r="DQ164" i="82"/>
  <c r="DJ225" i="82"/>
  <c r="DJ256" i="82"/>
  <c r="DJ195" i="82"/>
  <c r="DJ194" i="82" s="1"/>
  <c r="DK225" i="82"/>
  <c r="DJ242" i="82"/>
  <c r="DJ257" i="82"/>
  <c r="DJ211" i="82"/>
  <c r="DL193" i="82"/>
  <c r="DO211" i="82"/>
  <c r="U234" i="113" l="1"/>
  <c r="V234" i="113"/>
  <c r="U262" i="113"/>
  <c r="DL102" i="82"/>
  <c r="DL101" i="82"/>
  <c r="DL107" i="82"/>
  <c r="DL52" i="82"/>
  <c r="DL91" i="82"/>
  <c r="DL256" i="82"/>
  <c r="DL195" i="82"/>
  <c r="DL242" i="82"/>
  <c r="DL257" i="82"/>
  <c r="DQ211" i="82"/>
  <c r="DL244" i="82"/>
  <c r="DL211" i="82"/>
  <c r="U469" i="113"/>
  <c r="DJ562" i="1"/>
  <c r="DJ212" i="82"/>
  <c r="DO212" i="82"/>
  <c r="DJ226" i="82"/>
  <c r="DK226" i="82"/>
  <c r="DJ239" i="82"/>
  <c r="DJ227" i="82"/>
  <c r="DJ240" i="82"/>
  <c r="DK227" i="82"/>
  <c r="DO213" i="82"/>
  <c r="DJ213" i="82"/>
  <c r="DL65" i="82" l="1"/>
  <c r="U226" i="113"/>
  <c r="U238" i="113" s="1"/>
  <c r="U453" i="113"/>
  <c r="U279" i="113"/>
  <c r="DL53" i="82"/>
  <c r="DL72" i="82"/>
  <c r="DQ245" i="82"/>
  <c r="DL562" i="1"/>
  <c r="DQ213" i="82"/>
  <c r="DL240" i="82"/>
  <c r="DL247" i="82"/>
  <c r="DL213" i="82"/>
  <c r="V487" i="113"/>
  <c r="U502" i="113"/>
  <c r="U487" i="113"/>
  <c r="U501" i="113"/>
  <c r="U500" i="113"/>
  <c r="U471" i="113"/>
  <c r="DL194" i="82"/>
  <c r="DL245" i="82"/>
  <c r="U227" i="113" l="1"/>
  <c r="DL66" i="82"/>
  <c r="DL248" i="82"/>
  <c r="DQ248" i="82"/>
  <c r="U404" i="113"/>
  <c r="U488" i="113"/>
  <c r="V488" i="113"/>
  <c r="U473" i="113"/>
  <c r="U405" i="113"/>
  <c r="U407" i="113"/>
  <c r="U498" i="113"/>
  <c r="DL212" i="82"/>
  <c r="DQ212" i="82"/>
  <c r="DL239" i="82"/>
  <c r="U188" i="113" l="1"/>
  <c r="U239" i="113"/>
  <c r="U243" i="113"/>
  <c r="U411" i="113"/>
  <c r="U323" i="113"/>
  <c r="U474" i="113"/>
  <c r="U490" i="113"/>
  <c r="V490" i="113"/>
  <c r="U499" i="113"/>
  <c r="U325" i="113" l="1"/>
  <c r="U491" i="113"/>
  <c r="V491" i="113"/>
  <c r="U274" i="113"/>
  <c r="U326" i="113" l="1"/>
  <c r="U337" i="113" l="1"/>
  <c r="U329" i="113"/>
  <c r="U331" i="113" s="1"/>
  <c r="U332" i="113" s="1"/>
  <c r="U271" i="113" l="1"/>
  <c r="V271" i="113" l="1"/>
  <c r="U263" i="113"/>
  <c r="V285" i="113"/>
  <c r="U256" i="113"/>
  <c r="U285" i="113"/>
  <c r="U284" i="113" l="1"/>
  <c r="U275" i="113"/>
  <c r="U258" i="113"/>
  <c r="U259" i="113" s="1"/>
  <c r="U272" i="113" l="1"/>
  <c r="U286" i="113"/>
  <c r="U203" i="113"/>
  <c r="U207" i="113"/>
  <c r="DP325" i="1" l="1"/>
  <c r="DP630" i="1"/>
  <c r="DP326" i="1" l="1"/>
  <c r="DP60" i="2" l="1"/>
  <c r="DP73" i="1"/>
  <c r="DP72" i="1" l="1"/>
  <c r="DP71" i="1" l="1"/>
  <c r="DP59" i="1" l="1"/>
  <c r="DP10" i="1"/>
  <c r="DP17" i="1"/>
  <c r="DP31" i="1"/>
  <c r="DP45" i="1"/>
  <c r="DV370" i="82"/>
  <c r="DP527" i="1" l="1"/>
  <c r="DP32" i="1"/>
  <c r="DP11" i="1"/>
  <c r="DP24" i="1"/>
  <c r="DP60" i="1"/>
  <c r="DP493" i="1"/>
  <c r="DP494" i="1" s="1"/>
  <c r="DP495" i="1" s="1"/>
  <c r="DP46" i="1"/>
  <c r="DP18" i="1"/>
  <c r="DV15" i="1"/>
  <c r="EA370" i="82"/>
  <c r="DP545" i="1" l="1"/>
  <c r="DP544" i="1"/>
  <c r="DP38" i="1"/>
  <c r="DP25" i="1"/>
  <c r="DP12" i="1"/>
  <c r="DP47" i="1"/>
  <c r="DP61" i="1"/>
  <c r="DP19" i="1"/>
  <c r="DP33" i="1"/>
  <c r="DT21" i="1"/>
  <c r="DU21" i="1"/>
  <c r="DR21" i="1"/>
  <c r="DS21" i="1"/>
  <c r="DV16" i="1"/>
  <c r="W121" i="113"/>
  <c r="DU118" i="1"/>
  <c r="DV29" i="1"/>
  <c r="DV57" i="1"/>
  <c r="DU491" i="1"/>
  <c r="DV8" i="1"/>
  <c r="DV43" i="1"/>
  <c r="DV101" i="1" l="1"/>
  <c r="DP26" i="1"/>
  <c r="DP39" i="1"/>
  <c r="DP52" i="1"/>
  <c r="DW120" i="1"/>
  <c r="DZ119" i="1"/>
  <c r="DU63" i="1"/>
  <c r="DU14" i="1"/>
  <c r="DT49" i="1"/>
  <c r="DU49" i="1"/>
  <c r="DT35" i="1"/>
  <c r="DU35" i="1"/>
  <c r="DT14" i="1"/>
  <c r="DS63" i="1"/>
  <c r="DT63" i="1"/>
  <c r="DS14" i="1"/>
  <c r="DR49" i="1"/>
  <c r="DS49" i="1"/>
  <c r="DR35" i="1"/>
  <c r="DS35" i="1"/>
  <c r="DR63" i="1"/>
  <c r="DR14" i="1"/>
  <c r="DU496" i="1"/>
  <c r="DV491" i="1"/>
  <c r="DU492" i="1"/>
  <c r="DV10" i="82"/>
  <c r="DV58" i="1"/>
  <c r="DU120" i="1"/>
  <c r="DU119" i="1"/>
  <c r="DV22" i="1"/>
  <c r="DV9" i="1"/>
  <c r="W47" i="113"/>
  <c r="DV90" i="1"/>
  <c r="EK370" i="82"/>
  <c r="DU115" i="1"/>
  <c r="DV99" i="1"/>
  <c r="W123" i="113"/>
  <c r="W144" i="113"/>
  <c r="W126" i="113"/>
  <c r="DV30" i="1"/>
  <c r="W84" i="113"/>
  <c r="DV44" i="1"/>
  <c r="W173" i="113"/>
  <c r="W172" i="113" s="1"/>
  <c r="W193" i="113" s="1"/>
  <c r="DV154" i="1" l="1"/>
  <c r="DV155" i="1" s="1"/>
  <c r="DU143" i="1"/>
  <c r="DV92" i="1"/>
  <c r="DU28" i="1"/>
  <c r="DP53" i="1"/>
  <c r="DP40" i="1"/>
  <c r="DW117" i="1"/>
  <c r="DZ116" i="1"/>
  <c r="DT28" i="1"/>
  <c r="DR28" i="1"/>
  <c r="DS28" i="1"/>
  <c r="DV94" i="82"/>
  <c r="W248" i="113"/>
  <c r="W266" i="113" s="1"/>
  <c r="DV118" i="1"/>
  <c r="W194" i="113"/>
  <c r="W102" i="113"/>
  <c r="DV93" i="1"/>
  <c r="DV91" i="1"/>
  <c r="DV96" i="1"/>
  <c r="W48" i="113"/>
  <c r="DV102" i="1"/>
  <c r="DV100" i="1"/>
  <c r="DV105" i="1"/>
  <c r="W85" i="113"/>
  <c r="W125" i="113"/>
  <c r="W128" i="113" s="1"/>
  <c r="W146" i="113"/>
  <c r="W141" i="113"/>
  <c r="DV115" i="1"/>
  <c r="DV23" i="1"/>
  <c r="DR497" i="1"/>
  <c r="DS497" i="1"/>
  <c r="DT497" i="1"/>
  <c r="DV492" i="1"/>
  <c r="W148" i="113"/>
  <c r="W65" i="113"/>
  <c r="DU497" i="1"/>
  <c r="DV36" i="1"/>
  <c r="DU498" i="1"/>
  <c r="DU116" i="1"/>
  <c r="DU117" i="1"/>
  <c r="DU121" i="1"/>
  <c r="DU110" i="1"/>
  <c r="DU106" i="1"/>
  <c r="DU107" i="1"/>
  <c r="DU148" i="1" l="1"/>
  <c r="DU153" i="1"/>
  <c r="DU155" i="1" s="1"/>
  <c r="DP54" i="1"/>
  <c r="DW112" i="1"/>
  <c r="DZ111" i="1"/>
  <c r="DW123" i="1"/>
  <c r="DZ122" i="1"/>
  <c r="DW109" i="1"/>
  <c r="DZ108" i="1"/>
  <c r="DU9" i="82"/>
  <c r="DU40" i="82" s="1"/>
  <c r="DT42" i="1"/>
  <c r="DU42" i="1"/>
  <c r="DU112" i="1"/>
  <c r="DU109" i="1"/>
  <c r="DW85" i="2"/>
  <c r="DR42" i="1"/>
  <c r="DS42" i="1"/>
  <c r="DU27" i="82"/>
  <c r="W250" i="113"/>
  <c r="W249" i="113" s="1"/>
  <c r="DU168" i="82"/>
  <c r="DV100" i="82"/>
  <c r="W261" i="113"/>
  <c r="W278" i="113" s="1"/>
  <c r="W277" i="113" s="1"/>
  <c r="W251" i="113" s="1"/>
  <c r="W103" i="113"/>
  <c r="W66" i="113"/>
  <c r="W124" i="113"/>
  <c r="DV119" i="1"/>
  <c r="DV50" i="1"/>
  <c r="W49" i="113"/>
  <c r="W86" i="113"/>
  <c r="DU122" i="1"/>
  <c r="DU123" i="1"/>
  <c r="DV103" i="1"/>
  <c r="W147" i="113"/>
  <c r="DV116" i="1"/>
  <c r="DV121" i="1"/>
  <c r="W158" i="113"/>
  <c r="DU108" i="1"/>
  <c r="DV97" i="1"/>
  <c r="DV94" i="1"/>
  <c r="DU111" i="1"/>
  <c r="DU500" i="1"/>
  <c r="DU499" i="1"/>
  <c r="DU85" i="2"/>
  <c r="DU62" i="2"/>
  <c r="DV37" i="1"/>
  <c r="DV498" i="1"/>
  <c r="DV8" i="2"/>
  <c r="DV106" i="1"/>
  <c r="DV107" i="1"/>
  <c r="DV110" i="1"/>
  <c r="DV111" i="1" s="1"/>
  <c r="DU29" i="82" l="1"/>
  <c r="DU28" i="82"/>
  <c r="DT56" i="1"/>
  <c r="DU56" i="1"/>
  <c r="DU42" i="82"/>
  <c r="DU77" i="82"/>
  <c r="DU75" i="82"/>
  <c r="DZ76" i="82" s="1"/>
  <c r="DU69" i="82"/>
  <c r="DU56" i="82"/>
  <c r="DR56" i="1"/>
  <c r="DS56" i="1"/>
  <c r="W267" i="113"/>
  <c r="W268" i="113"/>
  <c r="W252" i="113"/>
  <c r="W269" i="113" s="1"/>
  <c r="W273" i="113"/>
  <c r="DU501" i="1"/>
  <c r="DV168" i="82"/>
  <c r="DV41" i="82"/>
  <c r="DV57" i="82" s="1"/>
  <c r="W77" i="113"/>
  <c r="DU101" i="2"/>
  <c r="W114" i="113"/>
  <c r="DV51" i="1"/>
  <c r="W67" i="113"/>
  <c r="W104" i="113"/>
  <c r="DT501" i="1"/>
  <c r="DR501" i="1"/>
  <c r="DS501" i="1"/>
  <c r="DV9" i="82"/>
  <c r="DV40" i="82" s="1"/>
  <c r="DV499" i="1"/>
  <c r="DV108" i="1"/>
  <c r="DV122" i="1"/>
  <c r="W150" i="113"/>
  <c r="W129" i="113"/>
  <c r="DV62" i="2"/>
  <c r="DS101" i="2"/>
  <c r="DT101" i="2"/>
  <c r="DR101" i="2"/>
  <c r="W9" i="113"/>
  <c r="W354" i="113" s="1"/>
  <c r="DV52" i="82" l="1"/>
  <c r="DV51" i="82"/>
  <c r="DU43" i="82"/>
  <c r="DU58" i="82"/>
  <c r="DU76" i="82"/>
  <c r="W283" i="113"/>
  <c r="W116" i="113"/>
  <c r="W356" i="113"/>
  <c r="W355" i="113"/>
  <c r="W351" i="113"/>
  <c r="W350" i="113"/>
  <c r="W213" i="113"/>
  <c r="W174" i="113" s="1"/>
  <c r="W51" i="113"/>
  <c r="W69" i="113" s="1"/>
  <c r="W352" i="113"/>
  <c r="W212" i="113"/>
  <c r="W230" i="113" s="1"/>
  <c r="DV69" i="82"/>
  <c r="DV42" i="82"/>
  <c r="DV56" i="82"/>
  <c r="W115" i="113"/>
  <c r="W88" i="113" s="1"/>
  <c r="DV398" i="82"/>
  <c r="W151" i="113"/>
  <c r="W130" i="113"/>
  <c r="DV101" i="2"/>
  <c r="W62" i="113"/>
  <c r="W29" i="113"/>
  <c r="DU70" i="82" l="1"/>
  <c r="DU59" i="82"/>
  <c r="W214" i="113"/>
  <c r="W99" i="113"/>
  <c r="W112" i="113" s="1"/>
  <c r="W50" i="113"/>
  <c r="W68" i="113" s="1"/>
  <c r="W106" i="113"/>
  <c r="DU24" i="82"/>
  <c r="W175" i="113"/>
  <c r="W353" i="113"/>
  <c r="W357" i="113" s="1"/>
  <c r="DV58" i="82"/>
  <c r="W87" i="113"/>
  <c r="DV410" i="82"/>
  <c r="DV404" i="82"/>
  <c r="W152" i="113"/>
  <c r="W164" i="113"/>
  <c r="W75" i="113"/>
  <c r="W241" i="113" l="1"/>
  <c r="W231" i="113"/>
  <c r="DU26" i="82"/>
  <c r="DU25" i="82"/>
  <c r="DV44" i="82"/>
  <c r="DV61" i="82" s="1"/>
  <c r="DV24" i="82"/>
  <c r="W195" i="113"/>
  <c r="W205" i="113"/>
  <c r="W105" i="113"/>
  <c r="EA398" i="82"/>
  <c r="DV25" i="82" l="1"/>
  <c r="DV43" i="82"/>
  <c r="W218" i="113"/>
  <c r="DV75" i="82"/>
  <c r="DV76" i="82" s="1"/>
  <c r="DV412" i="82"/>
  <c r="EA410" i="82"/>
  <c r="W244" i="113" l="1"/>
  <c r="W235" i="113"/>
  <c r="DV70" i="82"/>
  <c r="DV59" i="82"/>
  <c r="DV379" i="82"/>
  <c r="DV406" i="82" l="1"/>
  <c r="DV381" i="82"/>
  <c r="DV407" i="82"/>
  <c r="EA380" i="82"/>
  <c r="EA378" i="82"/>
  <c r="EA404" i="82"/>
  <c r="EA412" i="82" l="1"/>
  <c r="EA406" i="82"/>
  <c r="DV415" i="82"/>
  <c r="EA405" i="82"/>
  <c r="EA379" i="82"/>
  <c r="EA381" i="82" l="1"/>
  <c r="EA407" i="82"/>
  <c r="Y323" i="113" l="1"/>
  <c r="EA413" i="82"/>
  <c r="EA415" i="82"/>
  <c r="Y325" i="113" l="1"/>
  <c r="EK398" i="82"/>
  <c r="EK410" i="82" l="1"/>
  <c r="EK404" i="82"/>
  <c r="EK378" i="82"/>
  <c r="EK381" i="82" l="1"/>
  <c r="EK407" i="82"/>
  <c r="EK412" i="82"/>
  <c r="EK405" i="82" l="1"/>
  <c r="EK379" i="82"/>
  <c r="EK415" i="82"/>
  <c r="EK380" i="82" l="1"/>
  <c r="EK413" i="82" l="1"/>
  <c r="EK406" i="82"/>
  <c r="DQ186" i="2" l="1"/>
  <c r="DP198" i="2"/>
  <c r="DP319" i="82" l="1"/>
  <c r="DP201" i="82" s="1"/>
  <c r="DP199" i="2"/>
  <c r="DP224" i="2"/>
  <c r="DQ187" i="2"/>
  <c r="DQ198" i="2"/>
  <c r="DP32" i="2"/>
  <c r="DP200" i="2"/>
  <c r="DQ30" i="2"/>
  <c r="DP226" i="2" l="1"/>
  <c r="DP34" i="2"/>
  <c r="DQ172" i="82"/>
  <c r="DQ173" i="82" s="1"/>
  <c r="DQ45" i="82"/>
  <c r="DQ32" i="2"/>
  <c r="DP36" i="2"/>
  <c r="DP227" i="2"/>
  <c r="DQ200" i="2"/>
  <c r="DQ199" i="2"/>
  <c r="DQ224" i="2"/>
  <c r="DQ319" i="82"/>
  <c r="DQ201" i="82" s="1"/>
  <c r="V15" i="113"/>
  <c r="DQ226" i="2" l="1"/>
  <c r="DP217" i="2"/>
  <c r="DP229" i="2"/>
  <c r="CR196" i="7"/>
  <c r="CR197" i="7" s="1"/>
  <c r="V406" i="113"/>
  <c r="V16" i="113"/>
  <c r="V219" i="113"/>
  <c r="DQ46" i="82"/>
  <c r="V408" i="113"/>
  <c r="V410" i="113"/>
  <c r="V409" i="113"/>
  <c r="DP230" i="2"/>
  <c r="DQ33" i="2"/>
  <c r="DP320" i="82"/>
  <c r="DP202" i="82" s="1"/>
  <c r="DP204" i="82" s="1"/>
  <c r="DP205" i="82" s="1"/>
  <c r="CR9" i="3"/>
  <c r="DP42" i="2"/>
  <c r="DP37" i="2"/>
  <c r="DP178" i="2"/>
  <c r="DP77" i="2"/>
  <c r="DP160" i="2"/>
  <c r="DP322" i="82"/>
  <c r="DQ227" i="2"/>
  <c r="V476" i="113"/>
  <c r="DP228" i="2" l="1"/>
  <c r="DP232" i="2"/>
  <c r="DQ229" i="2"/>
  <c r="DP176" i="82"/>
  <c r="V54" i="113"/>
  <c r="V180" i="113" s="1"/>
  <c r="V407" i="113" s="1"/>
  <c r="DP189" i="82"/>
  <c r="V419" i="113"/>
  <c r="V418" i="113"/>
  <c r="DQ174" i="82"/>
  <c r="DQ175" i="82" s="1"/>
  <c r="DQ47" i="82"/>
  <c r="V221" i="113" s="1"/>
  <c r="V220" i="113"/>
  <c r="V405" i="113"/>
  <c r="V256" i="113"/>
  <c r="V417" i="113" s="1"/>
  <c r="V477" i="113"/>
  <c r="DP270" i="82"/>
  <c r="DP282" i="82" s="1"/>
  <c r="CS196" i="7"/>
  <c r="DP219" i="82"/>
  <c r="DP233" i="82"/>
  <c r="E14" i="15"/>
  <c r="DQ34" i="2"/>
  <c r="DQ230" i="2"/>
  <c r="V17" i="113"/>
  <c r="DQ320" i="82"/>
  <c r="DQ202" i="82" s="1"/>
  <c r="DQ204" i="82" s="1"/>
  <c r="DQ36" i="2"/>
  <c r="DP78" i="2"/>
  <c r="DP323" i="82"/>
  <c r="DP96" i="2"/>
  <c r="DP43" i="2"/>
  <c r="DP79" i="2"/>
  <c r="DQ228" i="2" l="1"/>
  <c r="DP236" i="2"/>
  <c r="DP233" i="2"/>
  <c r="V404" i="113"/>
  <c r="V411" i="113" s="1"/>
  <c r="DQ48" i="82"/>
  <c r="DQ62" i="82" s="1"/>
  <c r="V478" i="113"/>
  <c r="V479" i="113" s="1"/>
  <c r="V427" i="113"/>
  <c r="V428" i="113"/>
  <c r="V426" i="113"/>
  <c r="DP271" i="82"/>
  <c r="DP283" i="82" s="1"/>
  <c r="DQ232" i="2"/>
  <c r="DQ217" i="2"/>
  <c r="CS59" i="7"/>
  <c r="DP220" i="82"/>
  <c r="DP234" i="82"/>
  <c r="CS9" i="3"/>
  <c r="DQ37" i="2"/>
  <c r="DQ42" i="2"/>
  <c r="DQ178" i="2"/>
  <c r="DQ322" i="82"/>
  <c r="DQ270" i="82" s="1"/>
  <c r="DQ160" i="2"/>
  <c r="V18" i="113"/>
  <c r="V258" i="113"/>
  <c r="DP80" i="2"/>
  <c r="DP97" i="2"/>
  <c r="DQ219" i="82"/>
  <c r="DQ205" i="82"/>
  <c r="DP237" i="2" l="1"/>
  <c r="DQ176" i="82"/>
  <c r="DQ77" i="82"/>
  <c r="V222" i="113"/>
  <c r="V245" i="113" s="1"/>
  <c r="DQ49" i="82"/>
  <c r="DQ189" i="82" s="1"/>
  <c r="V286" i="113"/>
  <c r="V259" i="113"/>
  <c r="V19" i="113"/>
  <c r="V44" i="113"/>
  <c r="DQ220" i="82"/>
  <c r="S23" i="11"/>
  <c r="S24" i="11" s="1"/>
  <c r="V502" i="113"/>
  <c r="V480" i="113"/>
  <c r="V493" i="113" s="1"/>
  <c r="DQ43" i="2"/>
  <c r="S19" i="11"/>
  <c r="S20" i="11" s="1"/>
  <c r="DQ323" i="82"/>
  <c r="DQ271" i="82" s="1"/>
  <c r="DQ233" i="2"/>
  <c r="DQ236" i="2"/>
  <c r="DQ234" i="2" l="1"/>
  <c r="DQ237" i="2"/>
  <c r="DQ238" i="2" s="1"/>
  <c r="DP238" i="2"/>
  <c r="DP239" i="2"/>
  <c r="V223" i="113"/>
  <c r="V236" i="113" s="1"/>
  <c r="DQ63" i="82"/>
  <c r="V272" i="113"/>
  <c r="V435" i="113"/>
  <c r="V437" i="113"/>
  <c r="V436" i="113"/>
  <c r="DP240" i="2" l="1"/>
  <c r="DQ239" i="2"/>
  <c r="DP241" i="2"/>
  <c r="DQ241" i="2"/>
  <c r="DQ24" i="2"/>
  <c r="DP29" i="2"/>
  <c r="DP46" i="2"/>
  <c r="DP56" i="2"/>
  <c r="DP75" i="2"/>
  <c r="DP70" i="2"/>
  <c r="DP92" i="2"/>
  <c r="DR92" i="2"/>
  <c r="DP126" i="2"/>
  <c r="DP146" i="2"/>
  <c r="DP330" i="1"/>
  <c r="DP315" i="82"/>
  <c r="DP265" i="82" s="1"/>
  <c r="DQ46" i="2" l="1"/>
  <c r="DQ330" i="1"/>
  <c r="DQ240" i="2"/>
  <c r="DP242" i="2"/>
  <c r="DP332" i="1"/>
  <c r="DP127" i="2"/>
  <c r="DR128" i="2"/>
  <c r="DP147" i="2"/>
  <c r="DR148" i="2"/>
  <c r="DO108" i="2"/>
  <c r="CR15" i="3"/>
  <c r="CR19" i="3" s="1"/>
  <c r="DP180" i="82"/>
  <c r="DP182" i="82" s="1"/>
  <c r="DP73" i="2"/>
  <c r="DP279" i="82"/>
  <c r="DP209" i="2"/>
  <c r="DR211" i="2" s="1"/>
  <c r="DP57" i="2"/>
  <c r="DP330" i="82"/>
  <c r="DQ56" i="2"/>
  <c r="DQ29" i="2"/>
  <c r="DQ126" i="2"/>
  <c r="DN108" i="2"/>
  <c r="DM108" i="2"/>
  <c r="DQ146" i="2"/>
  <c r="DQ75" i="2"/>
  <c r="DP108" i="2"/>
  <c r="DQ70" i="2"/>
  <c r="DQ315" i="82"/>
  <c r="DQ404" i="82" s="1"/>
  <c r="DP314" i="82"/>
  <c r="DP329" i="82" s="1"/>
  <c r="DP157" i="2"/>
  <c r="DP333" i="1"/>
  <c r="DP128" i="2"/>
  <c r="DP175" i="2"/>
  <c r="DP148" i="2"/>
  <c r="DR333" i="1"/>
  <c r="DP331" i="1"/>
  <c r="DP289" i="82"/>
  <c r="DQ265" i="82"/>
  <c r="DQ126" i="82" s="1"/>
  <c r="DQ117" i="82" s="1"/>
  <c r="DQ132" i="82" s="1"/>
  <c r="DP295" i="82"/>
  <c r="DP269" i="82"/>
  <c r="DP48" i="2"/>
  <c r="DQ48" i="2" l="1"/>
  <c r="DQ209" i="2"/>
  <c r="DR159" i="2"/>
  <c r="DQ180" i="82"/>
  <c r="DQ182" i="82" s="1"/>
  <c r="CS15" i="3"/>
  <c r="CS19" i="3" s="1"/>
  <c r="DR177" i="2"/>
  <c r="DP334" i="1"/>
  <c r="DP161" i="2"/>
  <c r="DR95" i="2"/>
  <c r="DP212" i="2"/>
  <c r="DR214" i="2" s="1"/>
  <c r="DP182" i="2"/>
  <c r="DP76" i="2"/>
  <c r="DP179" i="2"/>
  <c r="DQ138" i="82"/>
  <c r="V303" i="113"/>
  <c r="DP159" i="2"/>
  <c r="DP95" i="2"/>
  <c r="DP210" i="2"/>
  <c r="DP164" i="2"/>
  <c r="DP211" i="2"/>
  <c r="DP184" i="82"/>
  <c r="DQ137" i="82"/>
  <c r="DQ127" i="82"/>
  <c r="DP331" i="82"/>
  <c r="DQ366" i="82"/>
  <c r="DQ175" i="2"/>
  <c r="V23" i="113"/>
  <c r="V455" i="113" s="1"/>
  <c r="DQ57" i="2"/>
  <c r="DQ157" i="2"/>
  <c r="DQ314" i="82"/>
  <c r="DQ329" i="82" s="1"/>
  <c r="DQ108" i="2"/>
  <c r="DQ331" i="1"/>
  <c r="DQ332" i="1"/>
  <c r="DV378" i="82"/>
  <c r="DQ330" i="82"/>
  <c r="DQ378" i="82"/>
  <c r="DP158" i="2"/>
  <c r="DP50" i="2"/>
  <c r="DP176" i="2"/>
  <c r="DP177" i="2"/>
  <c r="DP263" i="82"/>
  <c r="DQ269" i="82"/>
  <c r="DQ279" i="82"/>
  <c r="DQ412" i="82"/>
  <c r="DQ295" i="82"/>
  <c r="CR80" i="3"/>
  <c r="CR20" i="3"/>
  <c r="CR60" i="7"/>
  <c r="CS55" i="7"/>
  <c r="CS91" i="3" l="1"/>
  <c r="CR91" i="3"/>
  <c r="DQ90" i="82"/>
  <c r="DQ96" i="82" s="1"/>
  <c r="DP214" i="2"/>
  <c r="DQ210" i="2"/>
  <c r="DQ50" i="2"/>
  <c r="DQ334" i="1"/>
  <c r="DP335" i="1"/>
  <c r="CS80" i="3"/>
  <c r="DR181" i="2"/>
  <c r="DR163" i="2"/>
  <c r="DP163" i="2"/>
  <c r="DP180" i="2"/>
  <c r="DP181" i="2"/>
  <c r="DP162" i="2"/>
  <c r="DQ184" i="82"/>
  <c r="DP213" i="2"/>
  <c r="DQ212" i="2"/>
  <c r="V454" i="113"/>
  <c r="FB366" i="82"/>
  <c r="DQ367" i="82"/>
  <c r="DQ403" i="82"/>
  <c r="DQ331" i="82"/>
  <c r="V25" i="113"/>
  <c r="V37" i="113"/>
  <c r="S30" i="11"/>
  <c r="DQ161" i="2"/>
  <c r="DO112" i="2"/>
  <c r="DM112" i="2"/>
  <c r="DQ179" i="2"/>
  <c r="E10" i="15"/>
  <c r="DN112" i="2"/>
  <c r="DP112" i="2"/>
  <c r="DP81" i="2"/>
  <c r="DP51" i="2"/>
  <c r="CS60" i="7"/>
  <c r="CR62" i="7"/>
  <c r="CR75" i="7"/>
  <c r="CR74" i="7"/>
  <c r="CR76" i="7"/>
  <c r="CR88" i="3"/>
  <c r="DQ263" i="82"/>
  <c r="DQ411" i="82"/>
  <c r="V483" i="113"/>
  <c r="V304" i="113"/>
  <c r="DP266" i="82"/>
  <c r="DP277" i="82"/>
  <c r="DP309" i="82"/>
  <c r="DP288" i="82"/>
  <c r="DQ52" i="82" l="1"/>
  <c r="DQ60" i="82" s="1"/>
  <c r="V262" i="113"/>
  <c r="V453" i="113" s="1"/>
  <c r="DQ101" i="82"/>
  <c r="DQ91" i="82"/>
  <c r="DQ102" i="82"/>
  <c r="DQ107" i="82"/>
  <c r="DQ51" i="2"/>
  <c r="DQ363" i="82"/>
  <c r="DQ364" i="82" s="1"/>
  <c r="DP215" i="2"/>
  <c r="DN215" i="2"/>
  <c r="DQ213" i="2"/>
  <c r="DM215" i="2"/>
  <c r="DO215" i="2"/>
  <c r="V460" i="113"/>
  <c r="V463" i="113"/>
  <c r="V459" i="113"/>
  <c r="V458" i="113"/>
  <c r="V464" i="113"/>
  <c r="V42" i="113"/>
  <c r="E12" i="15"/>
  <c r="DQ112" i="2"/>
  <c r="DP98" i="2"/>
  <c r="V495" i="113"/>
  <c r="DP82" i="2"/>
  <c r="DQ266" i="82"/>
  <c r="DQ277" i="82"/>
  <c r="DQ309" i="82"/>
  <c r="CS62" i="7"/>
  <c r="CS75" i="7"/>
  <c r="CS74" i="7"/>
  <c r="CS76" i="7"/>
  <c r="V310" i="113"/>
  <c r="V316" i="113"/>
  <c r="V484" i="113"/>
  <c r="V226" i="113" l="1"/>
  <c r="V238" i="113" s="1"/>
  <c r="DQ65" i="82"/>
  <c r="DQ72" i="82"/>
  <c r="DQ53" i="82"/>
  <c r="V227" i="113" s="1"/>
  <c r="V279" i="113"/>
  <c r="S27" i="11"/>
  <c r="S28" i="11" s="1"/>
  <c r="DQ215" i="2"/>
  <c r="V500" i="113"/>
  <c r="V496" i="113"/>
  <c r="V263" i="113"/>
  <c r="V274" i="113"/>
  <c r="V140" i="113" l="1"/>
  <c r="V132" i="113" s="1"/>
  <c r="V131" i="113" s="1"/>
  <c r="V61" i="113"/>
  <c r="V449" i="113" s="1"/>
  <c r="V98" i="113"/>
  <c r="V450" i="113" s="1"/>
  <c r="DQ66" i="82"/>
  <c r="V243" i="113"/>
  <c r="V239" i="113"/>
  <c r="V188" i="113"/>
  <c r="V203" i="113" s="1"/>
  <c r="V462" i="113"/>
  <c r="V275" i="113"/>
  <c r="V284" i="113"/>
  <c r="V166" i="113" l="1"/>
  <c r="V397" i="113"/>
  <c r="V451" i="113"/>
  <c r="V134" i="113"/>
  <c r="V415" i="113" s="1"/>
  <c r="V53" i="113"/>
  <c r="V55" i="113" s="1"/>
  <c r="V413" i="113" s="1"/>
  <c r="V90" i="113"/>
  <c r="V396" i="113" s="1"/>
  <c r="V187" i="113"/>
  <c r="V179" i="113" s="1"/>
  <c r="V178" i="113" s="1"/>
  <c r="V389" i="113" s="1"/>
  <c r="V207" i="113"/>
  <c r="V461" i="113"/>
  <c r="V465" i="113" s="1"/>
  <c r="V388" i="113"/>
  <c r="V395" i="113" l="1"/>
  <c r="V92" i="113"/>
  <c r="V414" i="113" s="1"/>
  <c r="V89" i="113"/>
  <c r="V387" i="113" s="1"/>
  <c r="V52" i="113"/>
  <c r="V386" i="113" s="1"/>
  <c r="V80" i="113"/>
  <c r="V452" i="113"/>
  <c r="V456" i="113" s="1"/>
  <c r="V117" i="113"/>
  <c r="V208" i="113"/>
  <c r="V181" i="113"/>
  <c r="V416" i="113" s="1"/>
  <c r="V398" i="113"/>
  <c r="V402" i="113" l="1"/>
  <c r="V56" i="113"/>
  <c r="V57" i="113" s="1"/>
  <c r="V58" i="113" s="1"/>
  <c r="V393" i="113"/>
  <c r="V93" i="113"/>
  <c r="V423" i="113" s="1"/>
  <c r="V420" i="113"/>
  <c r="V135" i="113"/>
  <c r="V81" i="113" l="1"/>
  <c r="V422" i="113"/>
  <c r="V182" i="113"/>
  <c r="V183" i="113" s="1"/>
  <c r="V209" i="113" s="1"/>
  <c r="V94" i="113"/>
  <c r="V95" i="113" s="1"/>
  <c r="V424" i="113"/>
  <c r="V136" i="113"/>
  <c r="V167" i="113" s="1"/>
  <c r="V431" i="113"/>
  <c r="V118" i="113" l="1"/>
  <c r="V184" i="113"/>
  <c r="V434" i="113" s="1"/>
  <c r="V425" i="113"/>
  <c r="V429" i="113" s="1"/>
  <c r="V432" i="113"/>
  <c r="V137" i="113"/>
  <c r="V433" i="113" l="1"/>
  <c r="V438" i="113" s="1"/>
  <c r="CS23" i="3"/>
  <c r="CR32" i="3"/>
  <c r="CR73" i="3"/>
  <c r="CR50" i="3" l="1"/>
  <c r="CW74" i="3"/>
  <c r="DP325" i="82"/>
  <c r="DP338" i="82" s="1"/>
  <c r="CR76" i="3"/>
  <c r="CR74" i="3"/>
  <c r="CS32" i="3"/>
  <c r="CS73" i="3"/>
  <c r="E15" i="15"/>
  <c r="E17" i="15" s="1"/>
  <c r="CR70" i="3"/>
  <c r="CR72" i="3" s="1"/>
  <c r="CR168" i="7"/>
  <c r="CR77" i="3"/>
  <c r="CR81" i="3"/>
  <c r="CR83" i="3" l="1"/>
  <c r="CV92" i="3"/>
  <c r="CU92" i="3"/>
  <c r="CT92" i="3"/>
  <c r="CR92" i="3"/>
  <c r="CS92" i="3"/>
  <c r="CR175" i="7"/>
  <c r="CT175" i="7"/>
  <c r="CR182" i="7"/>
  <c r="CR181" i="7" s="1"/>
  <c r="CR174" i="7"/>
  <c r="CW174" i="7"/>
  <c r="CR170" i="7"/>
  <c r="CS170" i="7" s="1"/>
  <c r="CS168" i="7"/>
  <c r="CS50" i="3"/>
  <c r="CS76" i="3"/>
  <c r="CS81" i="3"/>
  <c r="CS83" i="3" s="1"/>
  <c r="DQ325" i="82"/>
  <c r="DV380" i="82" s="1"/>
  <c r="CS74" i="3"/>
  <c r="DP207" i="82"/>
  <c r="DP256" i="82" s="1"/>
  <c r="CS77" i="3"/>
  <c r="CR71" i="3"/>
  <c r="CS70" i="3"/>
  <c r="CS72" i="3" s="1"/>
  <c r="CR85" i="3" l="1"/>
  <c r="CR89" i="3"/>
  <c r="CR100" i="3"/>
  <c r="CR84" i="3"/>
  <c r="CR87" i="3"/>
  <c r="CS93" i="3"/>
  <c r="CR93" i="3"/>
  <c r="CS174" i="7"/>
  <c r="CX174" i="7"/>
  <c r="CS171" i="7"/>
  <c r="CT167" i="7" s="1"/>
  <c r="CX167" i="7" s="1"/>
  <c r="CS182" i="7"/>
  <c r="CS85" i="3"/>
  <c r="CS87" i="3"/>
  <c r="S33" i="11"/>
  <c r="S34" i="11" s="1"/>
  <c r="S35" i="11" s="1"/>
  <c r="CS89" i="3"/>
  <c r="CS100" i="3"/>
  <c r="DQ380" i="82"/>
  <c r="DQ338" i="82"/>
  <c r="DP235" i="82"/>
  <c r="DP221" i="82"/>
  <c r="DQ207" i="82"/>
  <c r="DQ406" i="82" s="1"/>
  <c r="CS71" i="3"/>
  <c r="CS20" i="7"/>
  <c r="CS95" i="3" l="1"/>
  <c r="CR95" i="3"/>
  <c r="CT170" i="7"/>
  <c r="CS181" i="7"/>
  <c r="S36" i="11"/>
  <c r="S37" i="11"/>
  <c r="DQ256" i="82"/>
  <c r="DQ221" i="82"/>
  <c r="DS111" i="82" l="1"/>
  <c r="DS105" i="82" l="1"/>
  <c r="DS95" i="82"/>
  <c r="DS30" i="82"/>
  <c r="DS32" i="82" s="1"/>
  <c r="DS31" i="82" l="1"/>
  <c r="DS112" i="82"/>
  <c r="DS98" i="82"/>
  <c r="DS99" i="82"/>
  <c r="DT111" i="82" l="1"/>
  <c r="DT105" i="82" l="1"/>
  <c r="DT95" i="82"/>
  <c r="DT112" i="82" l="1"/>
  <c r="DT98" i="82"/>
  <c r="DT99" i="82"/>
  <c r="DV97" i="82" l="1"/>
  <c r="DV110" i="82"/>
  <c r="DV27" i="82"/>
  <c r="W254" i="113"/>
  <c r="DV28" i="82" l="1"/>
  <c r="DV95" i="82"/>
  <c r="DV105" i="82"/>
  <c r="W253" i="113"/>
  <c r="W271" i="113"/>
  <c r="W285" i="113"/>
  <c r="DV405" i="82"/>
  <c r="DV98" i="82" l="1"/>
  <c r="DV112" i="82"/>
  <c r="DV111" i="82"/>
  <c r="W280" i="113"/>
  <c r="W270" i="113"/>
  <c r="DV413" i="82"/>
  <c r="DV99" i="82" l="1"/>
  <c r="DR131" i="82" l="1"/>
  <c r="DT164" i="82" l="1"/>
  <c r="DT160" i="82"/>
  <c r="W256" i="113" l="1"/>
  <c r="W258" i="113" l="1"/>
  <c r="W259" i="113" l="1"/>
  <c r="W272" i="113" s="1"/>
  <c r="W286" i="113"/>
  <c r="DR32" i="2" l="1"/>
  <c r="DR172" i="82"/>
  <c r="DR173" i="82" s="1"/>
  <c r="DR34" i="2" l="1"/>
  <c r="DR36" i="2"/>
  <c r="DR227" i="2"/>
  <c r="DR48" i="2" l="1"/>
  <c r="DR50" i="2" s="1"/>
  <c r="DR217" i="2"/>
  <c r="CT196" i="7"/>
  <c r="CT9" i="3"/>
  <c r="DR37" i="2"/>
  <c r="DR42" i="2"/>
  <c r="DR178" i="2"/>
  <c r="DR77" i="2"/>
  <c r="DR160" i="2"/>
  <c r="DR230" i="2"/>
  <c r="DR174" i="82"/>
  <c r="DR175" i="82" s="1"/>
  <c r="DR232" i="2" l="1"/>
  <c r="DR236" i="2" s="1"/>
  <c r="DR176" i="82"/>
  <c r="DR62" i="82"/>
  <c r="DR78" i="2"/>
  <c r="DR96" i="2"/>
  <c r="CT19" i="3"/>
  <c r="DR51" i="2"/>
  <c r="DR81" i="2"/>
  <c r="DR79" i="2"/>
  <c r="DR43" i="2"/>
  <c r="DR233" i="2" l="1"/>
  <c r="CT77" i="3"/>
  <c r="DR97" i="2"/>
  <c r="DR80" i="2"/>
  <c r="CT60" i="7"/>
  <c r="CT50" i="3"/>
  <c r="CT80" i="3"/>
  <c r="CT20" i="3"/>
  <c r="DR82" i="2"/>
  <c r="DR98" i="2"/>
  <c r="DR63" i="82"/>
  <c r="DR189" i="82"/>
  <c r="CT91" i="3" l="1"/>
  <c r="CT62" i="7"/>
  <c r="CT74" i="7"/>
  <c r="CT76" i="7"/>
  <c r="CT75" i="7"/>
  <c r="CT83" i="3"/>
  <c r="CT88" i="3"/>
  <c r="CT93" i="3" l="1"/>
  <c r="CT100" i="3"/>
  <c r="CT85" i="3"/>
  <c r="CT84" i="3"/>
  <c r="CT89" i="3"/>
  <c r="CT87" i="3"/>
  <c r="CT95" i="3" l="1"/>
  <c r="DR198" i="2" l="1"/>
  <c r="DR199" i="2" l="1"/>
  <c r="DR200" i="2"/>
  <c r="DR224" i="2"/>
  <c r="DR226" i="2" l="1"/>
  <c r="DR229" i="2" l="1"/>
  <c r="DR237" i="2" l="1"/>
  <c r="DR228" i="2"/>
  <c r="DR239" i="2" l="1"/>
  <c r="DR238" i="2"/>
  <c r="DS32" i="2"/>
  <c r="DS230" i="2"/>
  <c r="DS232" i="2" l="1"/>
  <c r="DS236" i="2" s="1"/>
  <c r="DR240" i="2"/>
  <c r="DR241" i="2"/>
  <c r="DS36" i="2"/>
  <c r="DS227" i="2"/>
  <c r="DS34" i="2"/>
  <c r="DS160" i="2" l="1"/>
  <c r="DS42" i="2"/>
  <c r="DS79" i="2" s="1"/>
  <c r="DR242" i="2"/>
  <c r="DS233" i="2"/>
  <c r="DS37" i="2"/>
  <c r="CU9" i="3"/>
  <c r="DS178" i="2"/>
  <c r="DS77" i="2"/>
  <c r="CU196" i="7"/>
  <c r="CU197" i="7" s="1"/>
  <c r="DS217" i="2"/>
  <c r="DS48" i="2"/>
  <c r="DS43" i="2" l="1"/>
  <c r="DS80" i="2" s="1"/>
  <c r="DS96" i="2"/>
  <c r="DS176" i="82"/>
  <c r="DS189" i="82"/>
  <c r="DS78" i="2"/>
  <c r="CU19" i="3"/>
  <c r="DS50" i="2"/>
  <c r="CU60" i="7"/>
  <c r="CZ20" i="3" l="1"/>
  <c r="DS97" i="2"/>
  <c r="CU50" i="3"/>
  <c r="CU80" i="3"/>
  <c r="CU20" i="3"/>
  <c r="CU77" i="3"/>
  <c r="DS51" i="2"/>
  <c r="DS81" i="2"/>
  <c r="CU76" i="7"/>
  <c r="CU74" i="7"/>
  <c r="CU62" i="7"/>
  <c r="CU75" i="7"/>
  <c r="CU91" i="3" l="1"/>
  <c r="CZ88" i="3"/>
  <c r="CU83" i="3"/>
  <c r="CU88" i="3"/>
  <c r="DS98" i="2"/>
  <c r="DS82" i="2"/>
  <c r="CU93" i="3" l="1"/>
  <c r="CZ84" i="3"/>
  <c r="CU89" i="3"/>
  <c r="CU87" i="3"/>
  <c r="CU85" i="3"/>
  <c r="CU84" i="3"/>
  <c r="CU100" i="3"/>
  <c r="CU95" i="3" l="1"/>
  <c r="DS198" i="2"/>
  <c r="DS224" i="2" l="1"/>
  <c r="DS199" i="2"/>
  <c r="DS200" i="2"/>
  <c r="DS226" i="2" l="1"/>
  <c r="DS229" i="2" l="1"/>
  <c r="DS228" i="2" l="1"/>
  <c r="DS237" i="2"/>
  <c r="DS59" i="82"/>
  <c r="DS61" i="82"/>
  <c r="DS62" i="82"/>
  <c r="DS63" i="82"/>
  <c r="DS70" i="82"/>
  <c r="DS75" i="82"/>
  <c r="DX76" i="82" s="1"/>
  <c r="DS77" i="82"/>
  <c r="DS239" i="2" l="1"/>
  <c r="DS238" i="2"/>
  <c r="DS76" i="82"/>
  <c r="DT80" i="1"/>
  <c r="DT79" i="1"/>
  <c r="DT85" i="1"/>
  <c r="DT517" i="1"/>
  <c r="DT82" i="1"/>
  <c r="DT78" i="1"/>
  <c r="DT86" i="1"/>
  <c r="DT84" i="1"/>
  <c r="DS240" i="2" l="1"/>
  <c r="DS241" i="2"/>
  <c r="DT73" i="1"/>
  <c r="DT81" i="1"/>
  <c r="DT83" i="1" s="1"/>
  <c r="DT87" i="1" s="1"/>
  <c r="DT60" i="2"/>
  <c r="DT84" i="2"/>
  <c r="DT61" i="2"/>
  <c r="DT130" i="2"/>
  <c r="DS242" i="2" l="1"/>
  <c r="DY131" i="2"/>
  <c r="DT72" i="1"/>
  <c r="DT132" i="2"/>
  <c r="DT131" i="2"/>
  <c r="DT13" i="2"/>
  <c r="DT86" i="2"/>
  <c r="DT330" i="1"/>
  <c r="DT63" i="2"/>
  <c r="DT71" i="1" l="1"/>
  <c r="DT332" i="1"/>
  <c r="DT333" i="1"/>
  <c r="DT331" i="1"/>
  <c r="DT328" i="1"/>
  <c r="DT88" i="2"/>
  <c r="DT166" i="2"/>
  <c r="DT150" i="2"/>
  <c r="DT65" i="2"/>
  <c r="DT46" i="2"/>
  <c r="DT75" i="2"/>
  <c r="DT56" i="2"/>
  <c r="DT146" i="2"/>
  <c r="DT92" i="2"/>
  <c r="DT68" i="2"/>
  <c r="DT143" i="2"/>
  <c r="DT91" i="2"/>
  <c r="DT89" i="2"/>
  <c r="DT26" i="2"/>
  <c r="DT66" i="2"/>
  <c r="DT137" i="2"/>
  <c r="DT64" i="2"/>
  <c r="DT70" i="2"/>
  <c r="DT133" i="2"/>
  <c r="DT203" i="2"/>
  <c r="DT205" i="2" s="1"/>
  <c r="DT87" i="2"/>
  <c r="DT67" i="2"/>
  <c r="DT90" i="2"/>
  <c r="DT140" i="2"/>
  <c r="DT180" i="82" l="1"/>
  <c r="DY141" i="2"/>
  <c r="DY144" i="2"/>
  <c r="DY138" i="2"/>
  <c r="DY167" i="2"/>
  <c r="DY134" i="2"/>
  <c r="DY147" i="2"/>
  <c r="DT59" i="1"/>
  <c r="DT45" i="1"/>
  <c r="DT17" i="1"/>
  <c r="DT31" i="1"/>
  <c r="DT10" i="1"/>
  <c r="DT329" i="1"/>
  <c r="DT168" i="2"/>
  <c r="DT135" i="2"/>
  <c r="DT139" i="2"/>
  <c r="DT145" i="2"/>
  <c r="DT142" i="2"/>
  <c r="DT27" i="2"/>
  <c r="DT134" i="2"/>
  <c r="DT138" i="2"/>
  <c r="CV73" i="7"/>
  <c r="DT93" i="2"/>
  <c r="DT69" i="2"/>
  <c r="DT144" i="2"/>
  <c r="DT147" i="2"/>
  <c r="DT148" i="2"/>
  <c r="DT141" i="2"/>
  <c r="CV15" i="3"/>
  <c r="DT209" i="2"/>
  <c r="DT211" i="2" s="1"/>
  <c r="DT167" i="2"/>
  <c r="DT204" i="2"/>
  <c r="DT317" i="2" l="1"/>
  <c r="DT315" i="2" s="1"/>
  <c r="DT324" i="2" s="1"/>
  <c r="DT32" i="1"/>
  <c r="DT18" i="1"/>
  <c r="DT11" i="1"/>
  <c r="DT24" i="1"/>
  <c r="DT46" i="1"/>
  <c r="DT60" i="1"/>
  <c r="DT493" i="1"/>
  <c r="DT494" i="1" s="1"/>
  <c r="DT495" i="1" s="1"/>
  <c r="DT21" i="82"/>
  <c r="DT28" i="2"/>
  <c r="DT169" i="2"/>
  <c r="DT54" i="2"/>
  <c r="DT188" i="82"/>
  <c r="DT220" i="2"/>
  <c r="DT151" i="2"/>
  <c r="DT71" i="2"/>
  <c r="DT94" i="2"/>
  <c r="DT171" i="82"/>
  <c r="DT170" i="82" s="1"/>
  <c r="DT29" i="2"/>
  <c r="CV38" i="7"/>
  <c r="DT210" i="2"/>
  <c r="DT34" i="82" l="1"/>
  <c r="DT36" i="82" s="1"/>
  <c r="DT321" i="2"/>
  <c r="DT330" i="2" s="1"/>
  <c r="DT326" i="2"/>
  <c r="DT223" i="2"/>
  <c r="DY170" i="2"/>
  <c r="DY152" i="2"/>
  <c r="DT38" i="1"/>
  <c r="DT25" i="1"/>
  <c r="DT12" i="1"/>
  <c r="DT19" i="1"/>
  <c r="DT61" i="1"/>
  <c r="DT33" i="1"/>
  <c r="DT47" i="1"/>
  <c r="DT152" i="2"/>
  <c r="DT153" i="2"/>
  <c r="DT170" i="2"/>
  <c r="DT171" i="2"/>
  <c r="DT172" i="2"/>
  <c r="DT72" i="2"/>
  <c r="DT154" i="2"/>
  <c r="DT175" i="2"/>
  <c r="DT73" i="2"/>
  <c r="DT157" i="2"/>
  <c r="CV66" i="3"/>
  <c r="DT30" i="82"/>
  <c r="CV50" i="7"/>
  <c r="DT35" i="82" l="1"/>
  <c r="DT331" i="2"/>
  <c r="DY331" i="2"/>
  <c r="DY176" i="2"/>
  <c r="DY158" i="2"/>
  <c r="DT31" i="82"/>
  <c r="DT32" i="82"/>
  <c r="DT26" i="1"/>
  <c r="DT52" i="1"/>
  <c r="DT39" i="1"/>
  <c r="DT155" i="2"/>
  <c r="DY155" i="2"/>
  <c r="DT173" i="2"/>
  <c r="DY173" i="2"/>
  <c r="DT176" i="2"/>
  <c r="DT156" i="2"/>
  <c r="DT177" i="2"/>
  <c r="DT174" i="2"/>
  <c r="DT159" i="2"/>
  <c r="DT158" i="2"/>
  <c r="DT145" i="82"/>
  <c r="DT133" i="82"/>
  <c r="CV18" i="3"/>
  <c r="DT40" i="1" l="1"/>
  <c r="DT53" i="1"/>
  <c r="CV105" i="7"/>
  <c r="DT131" i="82"/>
  <c r="DT141" i="82"/>
  <c r="DT54" i="1" l="1"/>
  <c r="DT146" i="82"/>
  <c r="DT134" i="82"/>
  <c r="DT135" i="82" l="1"/>
  <c r="DT32" i="2" l="1"/>
  <c r="DT230" i="2"/>
  <c r="DT45" i="82"/>
  <c r="DT46" i="82" s="1"/>
  <c r="DT47" i="82"/>
  <c r="DT172" i="82"/>
  <c r="DT173" i="82" s="1"/>
  <c r="DT174" i="82"/>
  <c r="DT232" i="2" l="1"/>
  <c r="DT36" i="2"/>
  <c r="DT175" i="82"/>
  <c r="DT227" i="2"/>
  <c r="DT34" i="2"/>
  <c r="DT48" i="82"/>
  <c r="DT62" i="82" s="1"/>
  <c r="DT233" i="2" l="1"/>
  <c r="DT77" i="2"/>
  <c r="DT236" i="2"/>
  <c r="DT178" i="2"/>
  <c r="DT160" i="2"/>
  <c r="DT37" i="2"/>
  <c r="DT42" i="2"/>
  <c r="CV9" i="3"/>
  <c r="CV196" i="7"/>
  <c r="CV197" i="7" s="1"/>
  <c r="DT49" i="82"/>
  <c r="DT63" i="82" s="1"/>
  <c r="DT77" i="82"/>
  <c r="DT217" i="2"/>
  <c r="DT48" i="2"/>
  <c r="DT79" i="2" l="1"/>
  <c r="DT96" i="2"/>
  <c r="DT78" i="2"/>
  <c r="DT43" i="2"/>
  <c r="DT176" i="82"/>
  <c r="DT189" i="82"/>
  <c r="DT50" i="2"/>
  <c r="CV60" i="7"/>
  <c r="DT80" i="2" l="1"/>
  <c r="DT97" i="2"/>
  <c r="DA74" i="7"/>
  <c r="DA75" i="7"/>
  <c r="DT51" i="2"/>
  <c r="DT81" i="2"/>
  <c r="CV62" i="7"/>
  <c r="CV74" i="7"/>
  <c r="CV76" i="7"/>
  <c r="CV75" i="7"/>
  <c r="DT82" i="2" l="1"/>
  <c r="DT98" i="2"/>
  <c r="DT198" i="2" l="1"/>
  <c r="DT224" i="2" l="1"/>
  <c r="DT199" i="2"/>
  <c r="DT200" i="2"/>
  <c r="DT226" i="2" l="1"/>
  <c r="DT229" i="2" l="1"/>
  <c r="CV169" i="7"/>
  <c r="CX169" i="7" s="1"/>
  <c r="CV19" i="3"/>
  <c r="DT74" i="2"/>
  <c r="DT228" i="2" l="1"/>
  <c r="DT237" i="2"/>
  <c r="CV172" i="7"/>
  <c r="DA176" i="7"/>
  <c r="CW177" i="7"/>
  <c r="CV177" i="7"/>
  <c r="CV176" i="7"/>
  <c r="CV170" i="7"/>
  <c r="CX170" i="7" s="1"/>
  <c r="CX171" i="7" s="1"/>
  <c r="CV20" i="3"/>
  <c r="CV77" i="3"/>
  <c r="CV80" i="3"/>
  <c r="CV50" i="3"/>
  <c r="DT206" i="2"/>
  <c r="DT208" i="2" s="1"/>
  <c r="DT179" i="82"/>
  <c r="DT182" i="82" s="1"/>
  <c r="DT136" i="2"/>
  <c r="DT57" i="2"/>
  <c r="CV91" i="3" l="1"/>
  <c r="DT239" i="2"/>
  <c r="DT238" i="2"/>
  <c r="CV88" i="3"/>
  <c r="CV83" i="3"/>
  <c r="DT95" i="2"/>
  <c r="DT179" i="2"/>
  <c r="DT334" i="1"/>
  <c r="DT164" i="2"/>
  <c r="DT182" i="2"/>
  <c r="DT161" i="2"/>
  <c r="DT76" i="2"/>
  <c r="DT184" i="82"/>
  <c r="DT207" i="2"/>
  <c r="DT212" i="2"/>
  <c r="DT214" i="2" s="1"/>
  <c r="CV93" i="3" l="1"/>
  <c r="DT241" i="2"/>
  <c r="DT240" i="2"/>
  <c r="DT335" i="1"/>
  <c r="CV100" i="3"/>
  <c r="CV85" i="3"/>
  <c r="DT181" i="2"/>
  <c r="DT163" i="2"/>
  <c r="CV84" i="3"/>
  <c r="CV87" i="3"/>
  <c r="CV89" i="3"/>
  <c r="DT162" i="2"/>
  <c r="DT180" i="2"/>
  <c r="DT213" i="2"/>
  <c r="CV95" i="3" l="1"/>
  <c r="CV94" i="3"/>
  <c r="DT242" i="2"/>
  <c r="X20" i="113" l="1"/>
  <c r="U8" i="11" l="1"/>
  <c r="U9" i="11" s="1"/>
  <c r="DV64" i="1" l="1"/>
  <c r="DR67" i="1" l="1"/>
  <c r="DV65" i="1"/>
  <c r="DT67" i="1"/>
  <c r="DU67" i="1"/>
  <c r="DV11" i="82"/>
  <c r="DS67" i="1"/>
  <c r="DV115" i="82"/>
  <c r="DV130" i="82" l="1"/>
  <c r="W289" i="113"/>
  <c r="W307" i="113" l="1"/>
  <c r="W291" i="113"/>
  <c r="W293" i="113"/>
  <c r="W309" i="113" l="1"/>
  <c r="W308" i="113"/>
  <c r="W314" i="113"/>
  <c r="W292" i="113"/>
  <c r="DV68" i="1" l="1"/>
  <c r="DU69" i="1"/>
  <c r="DU124" i="1"/>
  <c r="DU13" i="82"/>
  <c r="DU14" i="82" s="1"/>
  <c r="DV149" i="82"/>
  <c r="DU170" i="1" l="1"/>
  <c r="DV124" i="1"/>
  <c r="DZ70" i="1"/>
  <c r="DU127" i="1"/>
  <c r="DU133" i="1" s="1"/>
  <c r="DZ125" i="1"/>
  <c r="DU74" i="1"/>
  <c r="DW74" i="1"/>
  <c r="DU125" i="1"/>
  <c r="DW126" i="1"/>
  <c r="DU126" i="1"/>
  <c r="DU84" i="1"/>
  <c r="DU82" i="1"/>
  <c r="DU80" i="1"/>
  <c r="DU79" i="1"/>
  <c r="DU85" i="1"/>
  <c r="DU517" i="1"/>
  <c r="DU78" i="1"/>
  <c r="DU86" i="1"/>
  <c r="DV12" i="82"/>
  <c r="DV69" i="1"/>
  <c r="DU7" i="2"/>
  <c r="DV150" i="82"/>
  <c r="DU163" i="82"/>
  <c r="DZ164" i="82" s="1"/>
  <c r="DV152" i="82"/>
  <c r="DU70" i="1"/>
  <c r="DU325" i="2" l="1"/>
  <c r="DU208" i="1"/>
  <c r="DU216" i="1" s="1"/>
  <c r="DU171" i="1"/>
  <c r="DU209" i="1" s="1"/>
  <c r="DU191" i="1"/>
  <c r="DU197" i="1"/>
  <c r="DU183" i="1"/>
  <c r="DU203" i="1"/>
  <c r="DU173" i="1"/>
  <c r="DU210" i="1" s="1"/>
  <c r="DU175" i="1"/>
  <c r="DZ171" i="1"/>
  <c r="DZ209" i="1" s="1"/>
  <c r="DW173" i="1"/>
  <c r="DW210" i="1" s="1"/>
  <c r="DV170" i="1"/>
  <c r="DU329" i="2"/>
  <c r="DU327" i="2"/>
  <c r="DU328" i="2"/>
  <c r="DU308" i="2"/>
  <c r="DU305" i="2"/>
  <c r="DU301" i="2"/>
  <c r="DU303" i="2"/>
  <c r="DU299" i="2"/>
  <c r="DZ61" i="2"/>
  <c r="DV125" i="1"/>
  <c r="DU136" i="1"/>
  <c r="DU128" i="1"/>
  <c r="DV127" i="1"/>
  <c r="DV133" i="1" s="1"/>
  <c r="DU134" i="1"/>
  <c r="DU135" i="1" s="1"/>
  <c r="DQ339" i="1"/>
  <c r="DQ340" i="1" s="1"/>
  <c r="DU129" i="1"/>
  <c r="CW76" i="3"/>
  <c r="DW129" i="1"/>
  <c r="DZ128" i="1"/>
  <c r="DV70" i="1"/>
  <c r="DU325" i="1"/>
  <c r="DV78" i="1"/>
  <c r="DV86" i="1"/>
  <c r="DS75" i="1"/>
  <c r="DU81" i="1"/>
  <c r="DU83" i="1" s="1"/>
  <c r="DU87" i="1" s="1"/>
  <c r="DV84" i="1"/>
  <c r="DV82" i="1"/>
  <c r="DR75" i="1"/>
  <c r="DV80" i="1"/>
  <c r="DV517" i="1"/>
  <c r="DU75" i="1"/>
  <c r="DV79" i="1"/>
  <c r="DV7" i="2"/>
  <c r="DV85" i="1"/>
  <c r="DT75" i="1"/>
  <c r="DV13" i="82"/>
  <c r="DV14" i="82" s="1"/>
  <c r="DV163" i="82" s="1"/>
  <c r="DV164" i="82" s="1"/>
  <c r="W321" i="113"/>
  <c r="W323" i="113" s="1"/>
  <c r="W325" i="113" s="1"/>
  <c r="DV160" i="82"/>
  <c r="DU164" i="82"/>
  <c r="DU130" i="2"/>
  <c r="DU84" i="2"/>
  <c r="DW84" i="2"/>
  <c r="DU61" i="2"/>
  <c r="DU167" i="82"/>
  <c r="DU187" i="82"/>
  <c r="DU9" i="2"/>
  <c r="DV154" i="82"/>
  <c r="DU33" i="82"/>
  <c r="CW70" i="3"/>
  <c r="DB71" i="3" s="1"/>
  <c r="CW81" i="3"/>
  <c r="CX73" i="3"/>
  <c r="DV325" i="2" l="1"/>
  <c r="CW92" i="3"/>
  <c r="CX92" i="3"/>
  <c r="DU176" i="1"/>
  <c r="DU178" i="1"/>
  <c r="DU177" i="1"/>
  <c r="DZ176" i="1"/>
  <c r="DW177" i="1"/>
  <c r="DV175" i="1"/>
  <c r="DV171" i="1"/>
  <c r="DV209" i="1" s="1"/>
  <c r="DV208" i="1"/>
  <c r="DV216" i="1" s="1"/>
  <c r="DV197" i="1"/>
  <c r="DV191" i="1"/>
  <c r="DV203" i="1"/>
  <c r="DV183" i="1"/>
  <c r="DU137" i="1"/>
  <c r="DU218" i="1"/>
  <c r="DU217" i="1"/>
  <c r="DU219" i="1" s="1"/>
  <c r="DU225" i="1"/>
  <c r="DU226" i="1" s="1"/>
  <c r="DZ217" i="1"/>
  <c r="DZ219" i="1" s="1"/>
  <c r="DZ226" i="1"/>
  <c r="DW218" i="1"/>
  <c r="DW235" i="1"/>
  <c r="DW236" i="1" s="1"/>
  <c r="DU234" i="1"/>
  <c r="DU235" i="1" s="1"/>
  <c r="DU236" i="1" s="1"/>
  <c r="DU304" i="2"/>
  <c r="DZ304" i="2"/>
  <c r="DU306" i="2"/>
  <c r="DZ306" i="2"/>
  <c r="DU302" i="2"/>
  <c r="DZ302" i="2"/>
  <c r="DV327" i="2"/>
  <c r="DV328" i="2"/>
  <c r="DV329" i="2"/>
  <c r="DV308" i="2"/>
  <c r="DV309" i="2" s="1"/>
  <c r="DU300" i="2"/>
  <c r="DZ300" i="2"/>
  <c r="DU309" i="2"/>
  <c r="DZ309" i="2"/>
  <c r="DR100" i="2"/>
  <c r="DZ131" i="2"/>
  <c r="DS130" i="1"/>
  <c r="DV136" i="1"/>
  <c r="DR130" i="1"/>
  <c r="DV134" i="1"/>
  <c r="DT130" i="1"/>
  <c r="DV128" i="1"/>
  <c r="DU130" i="1"/>
  <c r="DQ341" i="1"/>
  <c r="DQ342" i="1" s="1"/>
  <c r="DZ63" i="2"/>
  <c r="DV325" i="1"/>
  <c r="DV326" i="1" s="1"/>
  <c r="DU326" i="1"/>
  <c r="DZ326" i="1"/>
  <c r="CW80" i="7"/>
  <c r="CW82" i="7" s="1"/>
  <c r="DV130" i="2"/>
  <c r="W8" i="113"/>
  <c r="W345" i="113" s="1"/>
  <c r="DV81" i="1"/>
  <c r="DV83" i="1" s="1"/>
  <c r="DV87" i="1" s="1"/>
  <c r="DV187" i="82"/>
  <c r="DT100" i="2"/>
  <c r="DV9" i="2"/>
  <c r="DV167" i="82"/>
  <c r="DV61" i="2"/>
  <c r="DU100" i="2"/>
  <c r="DS100" i="2"/>
  <c r="DU117" i="2"/>
  <c r="DU126" i="2"/>
  <c r="DU123" i="2"/>
  <c r="DU120" i="2"/>
  <c r="DU114" i="2"/>
  <c r="DV156" i="82"/>
  <c r="DV157" i="82" s="1"/>
  <c r="DU63" i="2"/>
  <c r="DU13" i="2"/>
  <c r="DU86" i="2"/>
  <c r="DW86" i="2"/>
  <c r="DU169" i="82"/>
  <c r="CX70" i="3"/>
  <c r="CW71" i="3"/>
  <c r="CW72" i="3"/>
  <c r="CX81" i="3"/>
  <c r="CX74" i="3"/>
  <c r="CX76" i="3"/>
  <c r="CW32" i="3"/>
  <c r="CX23" i="3"/>
  <c r="DU131" i="2"/>
  <c r="DU132" i="2"/>
  <c r="DW132" i="2"/>
  <c r="DZ172" i="1" l="1"/>
  <c r="DU172" i="1"/>
  <c r="DU227" i="1"/>
  <c r="DZ227" i="1"/>
  <c r="DV217" i="1"/>
  <c r="DV219" i="1" s="1"/>
  <c r="DV225" i="1"/>
  <c r="DV226" i="1" s="1"/>
  <c r="DX218" i="1"/>
  <c r="DV176" i="1"/>
  <c r="DV178" i="1"/>
  <c r="EA176" i="1"/>
  <c r="DZ65" i="2"/>
  <c r="DV131" i="2"/>
  <c r="DV135" i="1"/>
  <c r="DW116" i="2"/>
  <c r="DZ115" i="2"/>
  <c r="DW125" i="2"/>
  <c r="DZ124" i="2"/>
  <c r="DW119" i="2"/>
  <c r="DZ118" i="2"/>
  <c r="DW122" i="2"/>
  <c r="DZ121" i="2"/>
  <c r="DW128" i="2"/>
  <c r="DZ127" i="2"/>
  <c r="CW91" i="7"/>
  <c r="CW96" i="7"/>
  <c r="CW92" i="7"/>
  <c r="CW94" i="7"/>
  <c r="CW83" i="7"/>
  <c r="CW98" i="7"/>
  <c r="CW172" i="7"/>
  <c r="CW89" i="7"/>
  <c r="CW104" i="7"/>
  <c r="DR102" i="2"/>
  <c r="W10" i="113"/>
  <c r="W362" i="113" s="1"/>
  <c r="W347" i="113"/>
  <c r="W344" i="113"/>
  <c r="W343" i="113"/>
  <c r="W28" i="113"/>
  <c r="W341" i="113"/>
  <c r="W346" i="113"/>
  <c r="W342" i="113"/>
  <c r="CX80" i="7"/>
  <c r="CX172" i="7" s="1"/>
  <c r="DV63" i="2"/>
  <c r="T40" i="11"/>
  <c r="DV100" i="2"/>
  <c r="F7" i="15"/>
  <c r="F8" i="15" s="1"/>
  <c r="DT102" i="2"/>
  <c r="DU102" i="2"/>
  <c r="DS102" i="2"/>
  <c r="DV169" i="82"/>
  <c r="DU125" i="2"/>
  <c r="DU124" i="2"/>
  <c r="DU122" i="2"/>
  <c r="DU121" i="2"/>
  <c r="DU128" i="2"/>
  <c r="DU127" i="2"/>
  <c r="DU116" i="2"/>
  <c r="DU115" i="2"/>
  <c r="DU119" i="2"/>
  <c r="DU118" i="2"/>
  <c r="DW92" i="2"/>
  <c r="DV24" i="2"/>
  <c r="DU75" i="2"/>
  <c r="DU46" i="2"/>
  <c r="DU92" i="2"/>
  <c r="DU56" i="2"/>
  <c r="DU146" i="2"/>
  <c r="DU330" i="1"/>
  <c r="DU26" i="2"/>
  <c r="DW89" i="2"/>
  <c r="DU66" i="2"/>
  <c r="DU89" i="2"/>
  <c r="DU328" i="1"/>
  <c r="DU137" i="2"/>
  <c r="DV17" i="2"/>
  <c r="CX32" i="3"/>
  <c r="F15" i="15"/>
  <c r="CX31" i="7"/>
  <c r="DU140" i="2"/>
  <c r="DU90" i="2"/>
  <c r="DW90" i="2"/>
  <c r="DV20" i="2"/>
  <c r="DU67" i="2"/>
  <c r="CX71" i="3"/>
  <c r="CX72" i="3"/>
  <c r="DU87" i="2"/>
  <c r="DW87" i="2"/>
  <c r="DU70" i="2"/>
  <c r="DU64" i="2"/>
  <c r="DU203" i="2"/>
  <c r="DV12" i="2"/>
  <c r="DU133" i="2"/>
  <c r="DU166" i="2"/>
  <c r="DU150" i="2"/>
  <c r="DU88" i="2"/>
  <c r="DW88" i="2"/>
  <c r="DU65" i="2"/>
  <c r="DU68" i="2"/>
  <c r="DV23" i="2"/>
  <c r="DV278" i="2" s="1"/>
  <c r="DU91" i="2"/>
  <c r="DW91" i="2"/>
  <c r="DU143" i="2"/>
  <c r="DU60" i="2"/>
  <c r="DV276" i="2" l="1"/>
  <c r="DV285" i="2" s="1"/>
  <c r="DV277" i="2"/>
  <c r="DV286" i="2" s="1"/>
  <c r="DV275" i="2"/>
  <c r="DV299" i="2" s="1"/>
  <c r="DV300" i="2" s="1"/>
  <c r="DU205" i="2"/>
  <c r="DW205" i="2"/>
  <c r="DV172" i="1"/>
  <c r="DV227" i="1"/>
  <c r="DV287" i="2"/>
  <c r="DV305" i="2"/>
  <c r="DV306" i="2" s="1"/>
  <c r="DZ134" i="2"/>
  <c r="DV330" i="1"/>
  <c r="DZ204" i="2"/>
  <c r="DZ147" i="2"/>
  <c r="DZ138" i="2"/>
  <c r="DZ69" i="2"/>
  <c r="DZ144" i="2"/>
  <c r="DZ167" i="2"/>
  <c r="DZ141" i="2"/>
  <c r="DV137" i="1"/>
  <c r="DU73" i="1"/>
  <c r="DV327" i="1"/>
  <c r="DV328" i="1"/>
  <c r="DU329" i="1"/>
  <c r="DZ329" i="1"/>
  <c r="CX95" i="7"/>
  <c r="CX96" i="7" s="1"/>
  <c r="CX192" i="7"/>
  <c r="DZ60" i="2"/>
  <c r="DZ331" i="1"/>
  <c r="DZ332" i="1"/>
  <c r="DU106" i="2"/>
  <c r="DU27" i="2"/>
  <c r="DU103" i="2"/>
  <c r="W365" i="113"/>
  <c r="W364" i="113"/>
  <c r="W360" i="113"/>
  <c r="W361" i="113"/>
  <c r="W30" i="113"/>
  <c r="W40" i="113"/>
  <c r="W363" i="113"/>
  <c r="W359" i="113"/>
  <c r="W348" i="113"/>
  <c r="DV102" i="2"/>
  <c r="CX25" i="7"/>
  <c r="CX86" i="7" s="1"/>
  <c r="DU147" i="2"/>
  <c r="DW148" i="2"/>
  <c r="DU148" i="2"/>
  <c r="CW15" i="3"/>
  <c r="DV56" i="2"/>
  <c r="DU209" i="2"/>
  <c r="DU180" i="82"/>
  <c r="CX64" i="3"/>
  <c r="CX32" i="7"/>
  <c r="DU69" i="2"/>
  <c r="DU93" i="2"/>
  <c r="DW93" i="2"/>
  <c r="CX81" i="7"/>
  <c r="CW73" i="7"/>
  <c r="DV68" i="2"/>
  <c r="DV123" i="2"/>
  <c r="DR107" i="2"/>
  <c r="DS107" i="2"/>
  <c r="DT107" i="2"/>
  <c r="DV143" i="2"/>
  <c r="DU167" i="2"/>
  <c r="DU168" i="2"/>
  <c r="DW168" i="2"/>
  <c r="CX42" i="7"/>
  <c r="CX101" i="7" s="1"/>
  <c r="DV67" i="2"/>
  <c r="DR106" i="2"/>
  <c r="DV120" i="2"/>
  <c r="DV140" i="2"/>
  <c r="DS106" i="2"/>
  <c r="DT106" i="2"/>
  <c r="DV60" i="2"/>
  <c r="DV73" i="1"/>
  <c r="DV26" i="2"/>
  <c r="DS105" i="2"/>
  <c r="DT105" i="2"/>
  <c r="DV66" i="2"/>
  <c r="DR105" i="2"/>
  <c r="DV117" i="2"/>
  <c r="DV390" i="2"/>
  <c r="DV391" i="2" s="1"/>
  <c r="DV137" i="2"/>
  <c r="DU105" i="2"/>
  <c r="DV75" i="2"/>
  <c r="DT108" i="2"/>
  <c r="DS108" i="2"/>
  <c r="DV126" i="2"/>
  <c r="DV146" i="2"/>
  <c r="DR108" i="2"/>
  <c r="DW135" i="2"/>
  <c r="DU135" i="2"/>
  <c r="DU134" i="2"/>
  <c r="DV46" i="2"/>
  <c r="DU107" i="2"/>
  <c r="CX63" i="3"/>
  <c r="CX30" i="7"/>
  <c r="DW139" i="2"/>
  <c r="DU138" i="2"/>
  <c r="DU139" i="2"/>
  <c r="DU108" i="2"/>
  <c r="DV114" i="2"/>
  <c r="DV70" i="2"/>
  <c r="DV133" i="2"/>
  <c r="DV64" i="2"/>
  <c r="DV203" i="2"/>
  <c r="DT103" i="2"/>
  <c r="W11" i="113"/>
  <c r="DR103" i="2"/>
  <c r="DS103" i="2"/>
  <c r="DV13" i="2"/>
  <c r="DU204" i="2"/>
  <c r="DW145" i="2"/>
  <c r="DU145" i="2"/>
  <c r="DU144" i="2"/>
  <c r="DU141" i="2"/>
  <c r="DU142" i="2"/>
  <c r="DW142" i="2"/>
  <c r="DU331" i="1"/>
  <c r="DU332" i="1"/>
  <c r="DU333" i="1"/>
  <c r="DW333" i="1"/>
  <c r="DU72" i="1" l="1"/>
  <c r="DV290" i="2"/>
  <c r="DV303" i="2"/>
  <c r="DV304" i="2" s="1"/>
  <c r="DV301" i="2"/>
  <c r="DV302" i="2" s="1"/>
  <c r="DV289" i="2"/>
  <c r="DV284" i="2"/>
  <c r="DU211" i="2"/>
  <c r="DW211" i="2"/>
  <c r="DU317" i="2"/>
  <c r="DU315" i="2" s="1"/>
  <c r="DU324" i="2" s="1"/>
  <c r="DV134" i="2"/>
  <c r="DV127" i="2"/>
  <c r="DV124" i="2"/>
  <c r="DZ210" i="2"/>
  <c r="DV118" i="2"/>
  <c r="DV147" i="2"/>
  <c r="DV115" i="2"/>
  <c r="DV141" i="2"/>
  <c r="DV144" i="2"/>
  <c r="DV138" i="2"/>
  <c r="DV121" i="2"/>
  <c r="DU71" i="1"/>
  <c r="DV329" i="1"/>
  <c r="DU151" i="2"/>
  <c r="DZ71" i="2"/>
  <c r="EE325" i="1"/>
  <c r="DU54" i="2"/>
  <c r="DU169" i="2"/>
  <c r="DW94" i="2"/>
  <c r="DU94" i="2"/>
  <c r="DU171" i="82"/>
  <c r="DU170" i="82" s="1"/>
  <c r="DU28" i="2"/>
  <c r="DU21" i="82"/>
  <c r="DU71" i="2"/>
  <c r="DU220" i="2"/>
  <c r="DU29" i="2"/>
  <c r="W366" i="113"/>
  <c r="DV106" i="2"/>
  <c r="DV108" i="2"/>
  <c r="DV204" i="2"/>
  <c r="DS109" i="2"/>
  <c r="DT109" i="2"/>
  <c r="DV69" i="2"/>
  <c r="DR109" i="2"/>
  <c r="CX93" i="7"/>
  <c r="CX94" i="7" s="1"/>
  <c r="CW38" i="7"/>
  <c r="CX62" i="3"/>
  <c r="CX29" i="7"/>
  <c r="W31" i="113"/>
  <c r="W369" i="113"/>
  <c r="W373" i="113"/>
  <c r="W215" i="113"/>
  <c r="W232" i="113" s="1"/>
  <c r="W370" i="113"/>
  <c r="W374" i="113"/>
  <c r="W368" i="113"/>
  <c r="W372" i="113"/>
  <c r="W12" i="113"/>
  <c r="CX15" i="7"/>
  <c r="CX61" i="3"/>
  <c r="DV331" i="1"/>
  <c r="DV332" i="1"/>
  <c r="CX97" i="7"/>
  <c r="CX98" i="7" s="1"/>
  <c r="DV27" i="2"/>
  <c r="DT104" i="2"/>
  <c r="DV150" i="2"/>
  <c r="DV166" i="2"/>
  <c r="DR104" i="2"/>
  <c r="DS104" i="2"/>
  <c r="DV65" i="2"/>
  <c r="DU104" i="2"/>
  <c r="CX20" i="7"/>
  <c r="DU109" i="2"/>
  <c r="DU210" i="2"/>
  <c r="CX82" i="7"/>
  <c r="CX73" i="7" s="1"/>
  <c r="CX83" i="7"/>
  <c r="DV105" i="2"/>
  <c r="CX33" i="7"/>
  <c r="CX65" i="3"/>
  <c r="CX11" i="3"/>
  <c r="DU55" i="2"/>
  <c r="DV107" i="2"/>
  <c r="DV209" i="2"/>
  <c r="DV180" i="82"/>
  <c r="W23" i="113"/>
  <c r="CX176" i="7"/>
  <c r="CY167" i="7"/>
  <c r="CX10" i="7"/>
  <c r="DV103" i="2"/>
  <c r="DV72" i="1"/>
  <c r="CX15" i="3"/>
  <c r="DU34" i="82" l="1"/>
  <c r="DU36" i="82" s="1"/>
  <c r="DU326" i="2"/>
  <c r="DU321" i="2"/>
  <c r="DU330" i="2" s="1"/>
  <c r="DV317" i="2"/>
  <c r="DV315" i="2" s="1"/>
  <c r="DV324" i="2" s="1"/>
  <c r="DU281" i="2"/>
  <c r="DU310" i="2" s="1"/>
  <c r="DU223" i="2"/>
  <c r="DV167" i="2"/>
  <c r="DV54" i="2"/>
  <c r="DQ343" i="1"/>
  <c r="DQ344" i="1" s="1"/>
  <c r="DQ337" i="1"/>
  <c r="DU31" i="1"/>
  <c r="DU17" i="1"/>
  <c r="DU59" i="1"/>
  <c r="DU45" i="1"/>
  <c r="DU10" i="1"/>
  <c r="EE326" i="1"/>
  <c r="DV71" i="1"/>
  <c r="DW153" i="2"/>
  <c r="DU152" i="2"/>
  <c r="DU153" i="2"/>
  <c r="DU175" i="2"/>
  <c r="DZ73" i="2"/>
  <c r="DZ170" i="2"/>
  <c r="DV28" i="2"/>
  <c r="DZ72" i="2"/>
  <c r="DZ152" i="2"/>
  <c r="EE86" i="1"/>
  <c r="EE325" i="2"/>
  <c r="DW171" i="2"/>
  <c r="DU171" i="2"/>
  <c r="DU170" i="2"/>
  <c r="DU73" i="2"/>
  <c r="DU157" i="2"/>
  <c r="DU57" i="2"/>
  <c r="DU154" i="2"/>
  <c r="DU72" i="2"/>
  <c r="DU172" i="2"/>
  <c r="CW50" i="7"/>
  <c r="DV109" i="2"/>
  <c r="W37" i="113"/>
  <c r="W455" i="113"/>
  <c r="W216" i="113"/>
  <c r="W176" i="113"/>
  <c r="DU136" i="2"/>
  <c r="DU74" i="2"/>
  <c r="DU206" i="2"/>
  <c r="DU179" i="82"/>
  <c r="DU182" i="82" s="1"/>
  <c r="CX38" i="7"/>
  <c r="CX90" i="7"/>
  <c r="DR110" i="2"/>
  <c r="DS110" i="2"/>
  <c r="DV29" i="2"/>
  <c r="DT110" i="2"/>
  <c r="DV151" i="2"/>
  <c r="DV169" i="2"/>
  <c r="DV220" i="2"/>
  <c r="DV21" i="82"/>
  <c r="W14" i="113"/>
  <c r="DV71" i="2"/>
  <c r="DV171" i="82"/>
  <c r="DU110" i="2"/>
  <c r="CX55" i="7"/>
  <c r="CX58" i="3"/>
  <c r="CW66" i="3"/>
  <c r="CX99" i="7"/>
  <c r="CX84" i="7"/>
  <c r="DU30" i="82"/>
  <c r="DV104" i="2"/>
  <c r="DV55" i="2"/>
  <c r="DV210" i="2"/>
  <c r="DC167" i="7"/>
  <c r="W32" i="113"/>
  <c r="W41" i="113"/>
  <c r="W378" i="113"/>
  <c r="W382" i="113"/>
  <c r="W379" i="113"/>
  <c r="W377" i="113"/>
  <c r="W381" i="113"/>
  <c r="W383" i="113"/>
  <c r="DU35" i="82" l="1"/>
  <c r="DW36" i="82"/>
  <c r="DZ35" i="82"/>
  <c r="DU331" i="2"/>
  <c r="DU208" i="2"/>
  <c r="DW208" i="2"/>
  <c r="DZ331" i="2"/>
  <c r="DV326" i="2"/>
  <c r="DV321" i="2"/>
  <c r="DV330" i="2" s="1"/>
  <c r="DU311" i="2"/>
  <c r="EE328" i="2"/>
  <c r="EE327" i="2"/>
  <c r="EE329" i="2"/>
  <c r="DV281" i="2"/>
  <c r="DV310" i="2" s="1"/>
  <c r="DV72" i="2"/>
  <c r="DV223" i="2"/>
  <c r="DZ176" i="2"/>
  <c r="EE167" i="82"/>
  <c r="W217" i="113"/>
  <c r="W234" i="113" s="1"/>
  <c r="W233" i="113"/>
  <c r="W242" i="113"/>
  <c r="DV34" i="82"/>
  <c r="DV35" i="82" s="1"/>
  <c r="DV20" i="82"/>
  <c r="DU76" i="2"/>
  <c r="DU32" i="82"/>
  <c r="DU31" i="82"/>
  <c r="DU46" i="1"/>
  <c r="DV45" i="1"/>
  <c r="DU60" i="1"/>
  <c r="DV59" i="1"/>
  <c r="DU493" i="1"/>
  <c r="DU494" i="1" s="1"/>
  <c r="DU495" i="1" s="1"/>
  <c r="DU18" i="1"/>
  <c r="DV31" i="1"/>
  <c r="DU32" i="1"/>
  <c r="DU11" i="1"/>
  <c r="DU24" i="1"/>
  <c r="DU176" i="2"/>
  <c r="DV154" i="2"/>
  <c r="EE84" i="2"/>
  <c r="DV172" i="2"/>
  <c r="DU177" i="2"/>
  <c r="DW177" i="2"/>
  <c r="DU173" i="2"/>
  <c r="DZ173" i="2"/>
  <c r="DZ158" i="2"/>
  <c r="DU156" i="2"/>
  <c r="DZ155" i="2"/>
  <c r="DZ73" i="1"/>
  <c r="DU159" i="2"/>
  <c r="DU155" i="2"/>
  <c r="DW156" i="2"/>
  <c r="DW159" i="2"/>
  <c r="DU158" i="2"/>
  <c r="DU161" i="2"/>
  <c r="DU179" i="2"/>
  <c r="DU164" i="2"/>
  <c r="DW95" i="2"/>
  <c r="DU182" i="2"/>
  <c r="DU95" i="2"/>
  <c r="DU184" i="82"/>
  <c r="DU334" i="1"/>
  <c r="DU111" i="2"/>
  <c r="DU174" i="2"/>
  <c r="W13" i="113"/>
  <c r="W33" i="113" s="1"/>
  <c r="DV57" i="2"/>
  <c r="CX103" i="7"/>
  <c r="DV170" i="2"/>
  <c r="DV118" i="82"/>
  <c r="DU188" i="82"/>
  <c r="CY66" i="3"/>
  <c r="CX88" i="7"/>
  <c r="CX85" i="7" s="1"/>
  <c r="W177" i="113"/>
  <c r="W196" i="113"/>
  <c r="W371" i="113"/>
  <c r="W375" i="113" s="1"/>
  <c r="CX66" i="3"/>
  <c r="CX18" i="3" s="1"/>
  <c r="CW18" i="3"/>
  <c r="DV152" i="2"/>
  <c r="DV30" i="82"/>
  <c r="DV74" i="2"/>
  <c r="DV206" i="2"/>
  <c r="DV136" i="2"/>
  <c r="DT111" i="2"/>
  <c r="DR111" i="2"/>
  <c r="DS111" i="2"/>
  <c r="DV179" i="82"/>
  <c r="W22" i="113"/>
  <c r="W25" i="113" s="1"/>
  <c r="W34" i="113"/>
  <c r="W43" i="113"/>
  <c r="W399" i="113"/>
  <c r="DV73" i="2"/>
  <c r="DV175" i="2"/>
  <c r="DV157" i="2"/>
  <c r="DV366" i="82"/>
  <c r="DV170" i="82"/>
  <c r="CX91" i="7"/>
  <c r="CX92" i="7"/>
  <c r="CX50" i="7"/>
  <c r="DV110" i="2"/>
  <c r="DU207" i="2"/>
  <c r="DU212" i="2"/>
  <c r="DV31" i="82" l="1"/>
  <c r="DV331" i="2"/>
  <c r="DU214" i="2"/>
  <c r="DW214" i="2"/>
  <c r="EE73" i="1"/>
  <c r="DV311" i="2"/>
  <c r="DW174" i="2"/>
  <c r="DV155" i="2"/>
  <c r="DV33" i="82"/>
  <c r="W327" i="113"/>
  <c r="DV334" i="1"/>
  <c r="DZ72" i="1"/>
  <c r="DU33" i="1"/>
  <c r="DV60" i="1"/>
  <c r="DV61" i="1"/>
  <c r="DV493" i="1"/>
  <c r="DV494" i="1" s="1"/>
  <c r="DV495" i="1" s="1"/>
  <c r="DU25" i="1"/>
  <c r="DU38" i="1"/>
  <c r="DV24" i="1"/>
  <c r="DV32" i="1"/>
  <c r="DV33" i="1"/>
  <c r="DU61" i="1"/>
  <c r="DU12" i="1"/>
  <c r="DV47" i="1"/>
  <c r="DV46" i="1"/>
  <c r="DU19" i="1"/>
  <c r="DU47" i="1"/>
  <c r="DU335" i="1"/>
  <c r="DV173" i="2"/>
  <c r="CX100" i="7"/>
  <c r="EE60" i="2"/>
  <c r="DU163" i="2"/>
  <c r="DW163" i="2"/>
  <c r="DU162" i="2"/>
  <c r="DU181" i="2"/>
  <c r="DW181" i="2"/>
  <c r="DU180" i="2"/>
  <c r="CW105" i="7"/>
  <c r="F10" i="15"/>
  <c r="F11" i="15" s="1"/>
  <c r="W390" i="113"/>
  <c r="DV161" i="2"/>
  <c r="DU112" i="2"/>
  <c r="T30" i="11"/>
  <c r="DV182" i="2"/>
  <c r="DR112" i="2"/>
  <c r="DV179" i="2"/>
  <c r="DT112" i="2"/>
  <c r="DV164" i="2"/>
  <c r="DS112" i="2"/>
  <c r="DV76" i="2"/>
  <c r="DV182" i="82"/>
  <c r="DV184" i="82" s="1"/>
  <c r="W42" i="113"/>
  <c r="W459" i="113"/>
  <c r="W460" i="113"/>
  <c r="W458" i="113"/>
  <c r="W38" i="113"/>
  <c r="DV120" i="82"/>
  <c r="DV111" i="2"/>
  <c r="CX105" i="7"/>
  <c r="F16" i="15"/>
  <c r="W380" i="113"/>
  <c r="W206" i="113"/>
  <c r="W197" i="113"/>
  <c r="DV144" i="82"/>
  <c r="DV145" i="82" s="1"/>
  <c r="DV188" i="82"/>
  <c r="W295" i="113"/>
  <c r="DV133" i="82"/>
  <c r="DV116" i="82"/>
  <c r="DV176" i="2"/>
  <c r="CX104" i="7"/>
  <c r="CX102" i="7"/>
  <c r="DV158" i="2"/>
  <c r="CY18" i="3"/>
  <c r="DU213" i="2"/>
  <c r="W36" i="113"/>
  <c r="W446" i="113"/>
  <c r="W444" i="113"/>
  <c r="DV411" i="82"/>
  <c r="DV403" i="82"/>
  <c r="DV377" i="82"/>
  <c r="DV367" i="82"/>
  <c r="DV368" i="82" s="1"/>
  <c r="DV207" i="2"/>
  <c r="DV212" i="2"/>
  <c r="CX89" i="7"/>
  <c r="CX87" i="7"/>
  <c r="EE72" i="1" l="1"/>
  <c r="EE71" i="1" s="1"/>
  <c r="W326" i="113"/>
  <c r="W392" i="113" s="1"/>
  <c r="W329" i="113"/>
  <c r="W331" i="113" s="1"/>
  <c r="W332" i="113" s="1"/>
  <c r="W337" i="113"/>
  <c r="W401" i="113"/>
  <c r="DV10" i="1"/>
  <c r="DV38" i="1"/>
  <c r="DV25" i="1"/>
  <c r="DU52" i="1"/>
  <c r="DU39" i="1"/>
  <c r="DU26" i="1"/>
  <c r="DZ71" i="1"/>
  <c r="DV335" i="1"/>
  <c r="DS215" i="2"/>
  <c r="DR215" i="2"/>
  <c r="DT215" i="2"/>
  <c r="DU215" i="2"/>
  <c r="CY105" i="7"/>
  <c r="F12" i="15"/>
  <c r="DV162" i="2"/>
  <c r="DV180" i="2"/>
  <c r="DV112" i="2"/>
  <c r="DV213" i="2"/>
  <c r="W384" i="113"/>
  <c r="DV122" i="82"/>
  <c r="DV131" i="82"/>
  <c r="DV141" i="82"/>
  <c r="W297" i="113"/>
  <c r="W317" i="113"/>
  <c r="W311" i="113"/>
  <c r="W400" i="113"/>
  <c r="W294" i="113"/>
  <c r="W391" i="113" s="1"/>
  <c r="W464" i="113" l="1"/>
  <c r="DU40" i="1"/>
  <c r="DZ59" i="1"/>
  <c r="DZ17" i="1"/>
  <c r="DZ10" i="1"/>
  <c r="DZ45" i="1"/>
  <c r="DZ31" i="1"/>
  <c r="DV26" i="1"/>
  <c r="DV39" i="1"/>
  <c r="DV52" i="1"/>
  <c r="DU53" i="1"/>
  <c r="DV11" i="1"/>
  <c r="DV17" i="1"/>
  <c r="DV215" i="2"/>
  <c r="DV146" i="82"/>
  <c r="DV123" i="82"/>
  <c r="DV134" i="82"/>
  <c r="W299" i="113"/>
  <c r="W318" i="113" s="1"/>
  <c r="DV40" i="1" l="1"/>
  <c r="DZ32" i="1"/>
  <c r="DV53" i="1"/>
  <c r="DV12" i="1"/>
  <c r="DZ24" i="1"/>
  <c r="DZ11" i="1"/>
  <c r="DZ18" i="1"/>
  <c r="DV18" i="1"/>
  <c r="DZ46" i="1"/>
  <c r="DU54" i="1"/>
  <c r="DZ60" i="1"/>
  <c r="DV135" i="82"/>
  <c r="W300" i="113"/>
  <c r="DZ25" i="1" l="1"/>
  <c r="DZ38" i="1"/>
  <c r="DV19" i="1"/>
  <c r="DZ33" i="1"/>
  <c r="DV54" i="1"/>
  <c r="DZ61" i="1"/>
  <c r="DZ19" i="1"/>
  <c r="DZ47" i="1"/>
  <c r="DZ12" i="1"/>
  <c r="W312" i="113"/>
  <c r="DZ52" i="1" l="1"/>
  <c r="DZ39" i="1"/>
  <c r="DZ26" i="1"/>
  <c r="DV30" i="2"/>
  <c r="DU32" i="2"/>
  <c r="DU172" i="82"/>
  <c r="DU173" i="82" s="1"/>
  <c r="DZ40" i="1" l="1"/>
  <c r="DZ53" i="1"/>
  <c r="DV172" i="82"/>
  <c r="DV173" i="82" s="1"/>
  <c r="DU34" i="2"/>
  <c r="DV45" i="82"/>
  <c r="DV46" i="82" s="1"/>
  <c r="W220" i="113" s="1"/>
  <c r="W15" i="113"/>
  <c r="W408" i="113" s="1"/>
  <c r="DU36" i="2"/>
  <c r="DU227" i="2"/>
  <c r="DV32" i="2"/>
  <c r="DU48" i="2" l="1"/>
  <c r="DU50" i="2" s="1"/>
  <c r="DZ77" i="2"/>
  <c r="DZ54" i="1"/>
  <c r="DU217" i="2"/>
  <c r="CW196" i="7"/>
  <c r="CW197" i="7" s="1"/>
  <c r="W219" i="113"/>
  <c r="W54" i="113" s="1"/>
  <c r="W404" i="113" s="1"/>
  <c r="W16" i="113"/>
  <c r="W405" i="113"/>
  <c r="W406" i="113"/>
  <c r="W409" i="113"/>
  <c r="W410" i="113"/>
  <c r="DV227" i="2"/>
  <c r="DV33" i="2"/>
  <c r="DU230" i="2"/>
  <c r="DU174" i="82"/>
  <c r="DU175" i="82" s="1"/>
  <c r="CW9" i="3"/>
  <c r="DU178" i="2"/>
  <c r="DU37" i="2"/>
  <c r="DU160" i="2"/>
  <c r="DU42" i="2"/>
  <c r="DU77" i="2"/>
  <c r="DZ79" i="2" l="1"/>
  <c r="DZ81" i="2"/>
  <c r="DU232" i="2"/>
  <c r="DU236" i="2" s="1"/>
  <c r="DV48" i="2"/>
  <c r="DZ78" i="2"/>
  <c r="DV36" i="2"/>
  <c r="W180" i="113"/>
  <c r="W407" i="113" s="1"/>
  <c r="W411" i="113" s="1"/>
  <c r="W417" i="113"/>
  <c r="W418" i="113"/>
  <c r="W419" i="113"/>
  <c r="DV174" i="82"/>
  <c r="DV175" i="82" s="1"/>
  <c r="DV230" i="2"/>
  <c r="DV47" i="82"/>
  <c r="W17" i="113"/>
  <c r="F14" i="15"/>
  <c r="F17" i="15" s="1"/>
  <c r="F18" i="15" s="1"/>
  <c r="DV34" i="2"/>
  <c r="DU51" i="2"/>
  <c r="DU81" i="2"/>
  <c r="DU79" i="2"/>
  <c r="DU43" i="2"/>
  <c r="CW19" i="3"/>
  <c r="DU78" i="2"/>
  <c r="DU96" i="2"/>
  <c r="DU176" i="82"/>
  <c r="CX196" i="7"/>
  <c r="DB20" i="3" l="1"/>
  <c r="DU233" i="2"/>
  <c r="DV160" i="2"/>
  <c r="DV232" i="2"/>
  <c r="DV233" i="2" s="1"/>
  <c r="DZ80" i="2"/>
  <c r="DZ82" i="2"/>
  <c r="DV178" i="2"/>
  <c r="CX9" i="3"/>
  <c r="DV42" i="2"/>
  <c r="DV77" i="2"/>
  <c r="DV50" i="2"/>
  <c r="DV37" i="2"/>
  <c r="CW77" i="3"/>
  <c r="CX59" i="7"/>
  <c r="CX60" i="7" s="1"/>
  <c r="CW60" i="7"/>
  <c r="W428" i="113"/>
  <c r="W426" i="113"/>
  <c r="W18" i="113"/>
  <c r="W427" i="113"/>
  <c r="W221" i="113"/>
  <c r="DV48" i="82"/>
  <c r="DU82" i="2"/>
  <c r="DU98" i="2"/>
  <c r="CW80" i="3"/>
  <c r="CW50" i="3"/>
  <c r="CW20" i="3"/>
  <c r="DU80" i="2"/>
  <c r="DU97" i="2"/>
  <c r="DU189" i="82"/>
  <c r="DV217" i="2"/>
  <c r="CX91" i="3" l="1"/>
  <c r="CW91" i="3"/>
  <c r="DB88" i="3"/>
  <c r="DV236" i="2"/>
  <c r="DV363" i="82"/>
  <c r="DV364" i="82" s="1"/>
  <c r="DV43" i="2"/>
  <c r="CX19" i="3"/>
  <c r="DV51" i="2"/>
  <c r="DV81" i="2"/>
  <c r="DV79" i="2"/>
  <c r="DV176" i="82"/>
  <c r="T19" i="11"/>
  <c r="DV78" i="2"/>
  <c r="CX74" i="7"/>
  <c r="W44" i="113"/>
  <c r="W19" i="113"/>
  <c r="DV49" i="82"/>
  <c r="W222" i="113"/>
  <c r="W245" i="113" s="1"/>
  <c r="DV62" i="82"/>
  <c r="DV77" i="82"/>
  <c r="CW83" i="3"/>
  <c r="CW88" i="3"/>
  <c r="CW62" i="7"/>
  <c r="CW76" i="7"/>
  <c r="CW74" i="7"/>
  <c r="CW75" i="7"/>
  <c r="CX62" i="7"/>
  <c r="CX76" i="7"/>
  <c r="CX75" i="7"/>
  <c r="CW93" i="3" l="1"/>
  <c r="CX93" i="3"/>
  <c r="T20" i="11"/>
  <c r="DV80" i="2"/>
  <c r="CX77" i="3"/>
  <c r="CX20" i="3"/>
  <c r="CX50" i="3"/>
  <c r="CX80" i="3"/>
  <c r="CX83" i="3" s="1"/>
  <c r="T27" i="11"/>
  <c r="DV82" i="2"/>
  <c r="T23" i="11"/>
  <c r="T24" i="11" s="1"/>
  <c r="DB84" i="3"/>
  <c r="CW100" i="3"/>
  <c r="W35" i="113"/>
  <c r="W435" i="113"/>
  <c r="W436" i="113"/>
  <c r="W437" i="113"/>
  <c r="CW84" i="3"/>
  <c r="CW87" i="3"/>
  <c r="CW89" i="3"/>
  <c r="CW85" i="3"/>
  <c r="DV63" i="82"/>
  <c r="DV189" i="82"/>
  <c r="W223" i="113"/>
  <c r="W236" i="113" s="1"/>
  <c r="CX94" i="3" l="1"/>
  <c r="CX95" i="3"/>
  <c r="CW95" i="3"/>
  <c r="CW94" i="3"/>
  <c r="CX88" i="3"/>
  <c r="T28" i="11"/>
  <c r="CX85" i="3"/>
  <c r="CX100" i="3"/>
  <c r="CX84" i="3"/>
  <c r="CX89" i="3"/>
  <c r="T33" i="11"/>
  <c r="CX87" i="3"/>
  <c r="DU187" i="2" l="1"/>
  <c r="DU198" i="2"/>
  <c r="DV186" i="2"/>
  <c r="T34" i="11"/>
  <c r="T35" i="11" s="1"/>
  <c r="T36" i="11"/>
  <c r="T37" i="11"/>
  <c r="DV187" i="2" l="1"/>
  <c r="DV198" i="2"/>
  <c r="DU199" i="2"/>
  <c r="DU224" i="2"/>
  <c r="DU200" i="2"/>
  <c r="DU226" i="2" l="1"/>
  <c r="DV199" i="2"/>
  <c r="DV224" i="2"/>
  <c r="DV200" i="2"/>
  <c r="DV226" i="2" l="1"/>
  <c r="DU229" i="2"/>
  <c r="DU237" i="2" l="1"/>
  <c r="DU228" i="2"/>
  <c r="DV229" i="2"/>
  <c r="DU239" i="2" l="1"/>
  <c r="DU238" i="2"/>
  <c r="DV228" i="2"/>
  <c r="DV237" i="2"/>
  <c r="DV53" i="82"/>
  <c r="W227" i="113" s="1"/>
  <c r="DV60" i="82"/>
  <c r="DV64" i="82"/>
  <c r="DV65" i="82"/>
  <c r="DV125" i="82"/>
  <c r="W225" i="113"/>
  <c r="W226" i="113"/>
  <c r="DV238" i="2" l="1"/>
  <c r="DV239" i="2"/>
  <c r="DU240" i="2"/>
  <c r="DU241" i="2"/>
  <c r="W60" i="113"/>
  <c r="W73" i="113" s="1"/>
  <c r="W237" i="113"/>
  <c r="W61" i="113"/>
  <c r="W238" i="113"/>
  <c r="W188" i="113"/>
  <c r="W207" i="113" s="1"/>
  <c r="W243" i="113"/>
  <c r="W239" i="113"/>
  <c r="W140" i="113"/>
  <c r="W451" i="113" s="1"/>
  <c r="W139" i="113"/>
  <c r="W97" i="113"/>
  <c r="W441" i="113" s="1"/>
  <c r="W98" i="113"/>
  <c r="W111" i="113" s="1"/>
  <c r="DV66" i="82"/>
  <c r="DV136" i="82"/>
  <c r="W302" i="113"/>
  <c r="DU242" i="2" l="1"/>
  <c r="DZ242" i="2"/>
  <c r="DV240" i="2"/>
  <c r="DV241" i="2"/>
  <c r="W440" i="113"/>
  <c r="W53" i="113"/>
  <c r="W395" i="113" s="1"/>
  <c r="W74" i="113"/>
  <c r="W449" i="113"/>
  <c r="W203" i="113"/>
  <c r="W461" i="113"/>
  <c r="W132" i="113"/>
  <c r="W131" i="113" s="1"/>
  <c r="W153" i="113" s="1"/>
  <c r="W157" i="113"/>
  <c r="W442" i="113"/>
  <c r="W450" i="113"/>
  <c r="W156" i="113"/>
  <c r="W186" i="113"/>
  <c r="W201" i="113" s="1"/>
  <c r="W110" i="113"/>
  <c r="W90" i="113"/>
  <c r="W117" i="113" s="1"/>
  <c r="W187" i="113"/>
  <c r="W445" i="113"/>
  <c r="DV242" i="2" l="1"/>
  <c r="W55" i="113"/>
  <c r="W413" i="113" s="1"/>
  <c r="W52" i="113"/>
  <c r="W386" i="113" s="1"/>
  <c r="W80" i="113"/>
  <c r="W71" i="113"/>
  <c r="W154" i="113"/>
  <c r="W397" i="113"/>
  <c r="W388" i="113"/>
  <c r="W166" i="113"/>
  <c r="W134" i="113"/>
  <c r="W415" i="113" s="1"/>
  <c r="W443" i="113"/>
  <c r="W447" i="113" s="1"/>
  <c r="W92" i="113"/>
  <c r="W414" i="113" s="1"/>
  <c r="W202" i="113"/>
  <c r="W108" i="113"/>
  <c r="W396" i="113"/>
  <c r="W179" i="113"/>
  <c r="W398" i="113" s="1"/>
  <c r="W89" i="113"/>
  <c r="W387" i="113" s="1"/>
  <c r="W452" i="113"/>
  <c r="W70" i="113" l="1"/>
  <c r="W402" i="113"/>
  <c r="W107" i="113"/>
  <c r="W181" i="113"/>
  <c r="W416" i="113" s="1"/>
  <c r="W135" i="113" s="1"/>
  <c r="W199" i="113"/>
  <c r="W178" i="113"/>
  <c r="W208" i="113"/>
  <c r="W93" i="113" l="1"/>
  <c r="W423" i="113" s="1"/>
  <c r="W56" i="113"/>
  <c r="W420" i="113"/>
  <c r="W198" i="113"/>
  <c r="W389" i="113"/>
  <c r="W393" i="113" s="1"/>
  <c r="W424" i="113"/>
  <c r="W136" i="113"/>
  <c r="W182" i="113" l="1"/>
  <c r="W183" i="113" s="1"/>
  <c r="W94" i="113"/>
  <c r="W118" i="113" s="1"/>
  <c r="W57" i="113"/>
  <c r="W58" i="113" s="1"/>
  <c r="W422" i="113"/>
  <c r="W167" i="113"/>
  <c r="W137" i="113"/>
  <c r="W95" i="113" l="1"/>
  <c r="W432" i="113" s="1"/>
  <c r="W425" i="113"/>
  <c r="W429" i="113" s="1"/>
  <c r="W81" i="113"/>
  <c r="W209" i="113"/>
  <c r="W184" i="113"/>
  <c r="W431" i="113"/>
  <c r="W72" i="113"/>
  <c r="W155" i="113"/>
  <c r="W433" i="113"/>
  <c r="W109" i="113" l="1"/>
  <c r="W434" i="113"/>
  <c r="W438" i="113" s="1"/>
  <c r="W200" i="113"/>
  <c r="DV96" i="82"/>
  <c r="DV101" i="82"/>
  <c r="DV102" i="82"/>
  <c r="DV126" i="82"/>
  <c r="W262" i="113"/>
  <c r="W453" i="113" s="1"/>
  <c r="W303" i="113" l="1"/>
  <c r="W304" i="113" s="1"/>
  <c r="W463" i="113" s="1"/>
  <c r="DV117" i="82"/>
  <c r="DV132" i="82" s="1"/>
  <c r="W279" i="113"/>
  <c r="W263" i="113"/>
  <c r="W284" i="113" s="1"/>
  <c r="W274" i="113"/>
  <c r="DV138" i="82"/>
  <c r="DV127" i="82"/>
  <c r="DV137" i="82"/>
  <c r="W316" i="113" l="1"/>
  <c r="W310" i="113"/>
  <c r="W454" i="113"/>
  <c r="W456" i="113" s="1"/>
  <c r="W462" i="113"/>
  <c r="W465" i="113" s="1"/>
  <c r="W275" i="113"/>
  <c r="CY9" i="3"/>
  <c r="DW42" i="2"/>
  <c r="DW50" i="2"/>
  <c r="DW77" i="2"/>
  <c r="DW78" i="2"/>
  <c r="DW96" i="2"/>
  <c r="DW160" i="2"/>
  <c r="DW178" i="2"/>
  <c r="DW172" i="82"/>
  <c r="DW173" i="82" s="1"/>
  <c r="DW174" i="82"/>
  <c r="DW176" i="82"/>
  <c r="EB79" i="2" l="1"/>
  <c r="EB81" i="2"/>
  <c r="DW79" i="2"/>
  <c r="DW175" i="82"/>
  <c r="DW43" i="2"/>
  <c r="DW81" i="2"/>
  <c r="DW51" i="2"/>
  <c r="CY19" i="3"/>
  <c r="DD20" i="3" l="1"/>
  <c r="EB82" i="2"/>
  <c r="DW80" i="2"/>
  <c r="EB80" i="2"/>
  <c r="DW97" i="2"/>
  <c r="DW98" i="2"/>
  <c r="DW82" i="2"/>
  <c r="DW189" i="82"/>
  <c r="CY50" i="3"/>
  <c r="CY20" i="3"/>
  <c r="CY80" i="3"/>
  <c r="CZ91" i="3" l="1"/>
  <c r="CY91" i="3"/>
  <c r="DD88" i="3"/>
  <c r="CY75" i="7"/>
  <c r="CY76" i="7"/>
  <c r="CY74" i="7"/>
  <c r="CY88" i="3"/>
  <c r="DW198" i="2" l="1"/>
  <c r="DW200" i="2" l="1"/>
  <c r="DW224" i="2"/>
  <c r="DW199" i="2"/>
  <c r="DW226" i="2" l="1"/>
  <c r="DW229" i="2" l="1"/>
  <c r="DW228" i="2" l="1"/>
  <c r="DW237" i="2"/>
  <c r="EA68" i="1"/>
  <c r="EA69" i="1"/>
  <c r="EA170" i="1" l="1"/>
  <c r="DW239" i="2"/>
  <c r="DW238" i="2"/>
  <c r="DV339" i="1"/>
  <c r="DV340" i="1" s="1"/>
  <c r="DY75" i="1"/>
  <c r="DZ75" i="1"/>
  <c r="DZ167" i="82"/>
  <c r="EE61" i="2"/>
  <c r="EA7" i="2"/>
  <c r="DX75" i="1"/>
  <c r="EA86" i="1"/>
  <c r="DW75" i="1"/>
  <c r="EA12" i="82"/>
  <c r="EA325" i="1"/>
  <c r="EA70" i="1"/>
  <c r="DZ94" i="82"/>
  <c r="DZ97" i="82"/>
  <c r="EA8" i="1"/>
  <c r="EA325" i="2" l="1"/>
  <c r="EA171" i="1"/>
  <c r="EA209" i="1" s="1"/>
  <c r="EA208" i="1"/>
  <c r="EA216" i="1" s="1"/>
  <c r="EA191" i="1"/>
  <c r="EA197" i="1"/>
  <c r="EA203" i="1"/>
  <c r="EA183" i="1"/>
  <c r="EA178" i="1"/>
  <c r="EA328" i="2"/>
  <c r="EA329" i="2"/>
  <c r="EA327" i="2"/>
  <c r="EA308" i="2"/>
  <c r="EA309" i="2" s="1"/>
  <c r="DW241" i="2"/>
  <c r="DW240" i="2"/>
  <c r="DZ14" i="1"/>
  <c r="X8" i="113"/>
  <c r="X28" i="113" s="1"/>
  <c r="DZ100" i="2"/>
  <c r="DY14" i="1"/>
  <c r="DW14" i="1"/>
  <c r="DX14" i="1"/>
  <c r="DW100" i="2"/>
  <c r="EA167" i="82"/>
  <c r="EA61" i="2"/>
  <c r="DX100" i="2"/>
  <c r="DY100" i="2"/>
  <c r="EA326" i="1"/>
  <c r="EA78" i="1"/>
  <c r="EA9" i="1"/>
  <c r="X321" i="113"/>
  <c r="X323" i="113" s="1"/>
  <c r="X325" i="113" s="1"/>
  <c r="X47" i="113"/>
  <c r="DZ95" i="82"/>
  <c r="EA90" i="1"/>
  <c r="DZ98" i="82"/>
  <c r="EA149" i="82"/>
  <c r="EA154" i="1" l="1"/>
  <c r="EA155" i="1" s="1"/>
  <c r="DZ143" i="1"/>
  <c r="EA217" i="1"/>
  <c r="EA219" i="1" s="1"/>
  <c r="EA225" i="1"/>
  <c r="EA226" i="1" s="1"/>
  <c r="EC218" i="1"/>
  <c r="EB242" i="2"/>
  <c r="DW242" i="2"/>
  <c r="EA92" i="1"/>
  <c r="EA100" i="2"/>
  <c r="X347" i="113"/>
  <c r="X51" i="113"/>
  <c r="X69" i="113" s="1"/>
  <c r="X65" i="113"/>
  <c r="X341" i="113"/>
  <c r="EA96" i="1"/>
  <c r="EA91" i="1"/>
  <c r="X48" i="113"/>
  <c r="DZ99" i="82"/>
  <c r="DZ148" i="1" l="1"/>
  <c r="DZ153" i="1"/>
  <c r="DZ155" i="1" s="1"/>
  <c r="EA172" i="1"/>
  <c r="EA227" i="1"/>
  <c r="X49" i="113"/>
  <c r="X66" i="113"/>
  <c r="EA97" i="1"/>
  <c r="EE118" i="1" l="1"/>
  <c r="EG120" i="1" s="1"/>
  <c r="EE80" i="1"/>
  <c r="EE79" i="1"/>
  <c r="EE82" i="1"/>
  <c r="EE78" i="1"/>
  <c r="EE84" i="1"/>
  <c r="DZ168" i="82"/>
  <c r="DZ57" i="82"/>
  <c r="X50" i="113"/>
  <c r="X77" i="113"/>
  <c r="X67" i="113"/>
  <c r="EE119" i="1" l="1"/>
  <c r="EA60" i="2"/>
  <c r="EE81" i="1"/>
  <c r="EE83" i="1" s="1"/>
  <c r="EE17" i="1" s="1"/>
  <c r="EE18" i="1" s="1"/>
  <c r="EE19" i="1" s="1"/>
  <c r="EA73" i="1"/>
  <c r="EE115" i="1"/>
  <c r="EG117" i="1" s="1"/>
  <c r="DZ169" i="82"/>
  <c r="X68" i="113"/>
  <c r="EE10" i="1" l="1"/>
  <c r="EE31" i="1"/>
  <c r="EE32" i="1" s="1"/>
  <c r="EE33" i="1" s="1"/>
  <c r="EE45" i="1"/>
  <c r="EE46" i="1" s="1"/>
  <c r="EE47" i="1" s="1"/>
  <c r="EE59" i="1"/>
  <c r="EE60" i="1" s="1"/>
  <c r="EE61" i="1" s="1"/>
  <c r="X62" i="113"/>
  <c r="X75" i="113" s="1"/>
  <c r="EA72" i="1"/>
  <c r="EE107" i="1"/>
  <c r="EE116" i="1"/>
  <c r="EE121" i="1"/>
  <c r="EG123" i="1" s="1"/>
  <c r="EE110" i="1"/>
  <c r="EE106" i="1"/>
  <c r="DC31" i="7"/>
  <c r="DD177" i="7"/>
  <c r="DZ56" i="82"/>
  <c r="DZ187" i="82"/>
  <c r="EG112" i="1" l="1"/>
  <c r="EJ111" i="1"/>
  <c r="EG109" i="1"/>
  <c r="EJ108" i="1"/>
  <c r="EE11" i="1"/>
  <c r="EE24" i="1"/>
  <c r="DV337" i="1"/>
  <c r="DV338" i="1" s="1"/>
  <c r="EA71" i="1"/>
  <c r="DC95" i="7"/>
  <c r="DC192" i="7"/>
  <c r="EE108" i="1"/>
  <c r="EE122" i="1"/>
  <c r="EE27" i="82"/>
  <c r="EE111" i="1"/>
  <c r="EE168" i="82"/>
  <c r="EE62" i="2"/>
  <c r="DC42" i="7"/>
  <c r="DC101" i="7" s="1"/>
  <c r="DB73" i="7"/>
  <c r="DC81" i="7"/>
  <c r="DC32" i="7"/>
  <c r="DZ55" i="2"/>
  <c r="DC30" i="7"/>
  <c r="DZ180" i="82"/>
  <c r="DC25" i="7"/>
  <c r="DC86" i="7" s="1"/>
  <c r="DZ130" i="82"/>
  <c r="DZ58" i="82"/>
  <c r="EJ28" i="82" l="1"/>
  <c r="EG29" i="82"/>
  <c r="EE38" i="1"/>
  <c r="EE25" i="1"/>
  <c r="EE26" i="1" s="1"/>
  <c r="EE12" i="1"/>
  <c r="DZ281" i="2"/>
  <c r="DZ310" i="2" s="1"/>
  <c r="DZ311" i="2" s="1"/>
  <c r="EE124" i="1"/>
  <c r="EE28" i="82"/>
  <c r="EE85" i="1"/>
  <c r="EE87" i="1" s="1"/>
  <c r="DZ136" i="2"/>
  <c r="DZ206" i="2"/>
  <c r="DZ74" i="2"/>
  <c r="DZ57" i="2"/>
  <c r="EE169" i="82"/>
  <c r="EE63" i="2"/>
  <c r="EE280" i="2"/>
  <c r="EE278" i="2"/>
  <c r="EE295" i="2" s="1"/>
  <c r="EE276" i="2"/>
  <c r="EE275" i="2"/>
  <c r="EE277" i="2"/>
  <c r="EE294" i="2" s="1"/>
  <c r="DC93" i="7"/>
  <c r="DC97" i="7"/>
  <c r="DC15" i="7"/>
  <c r="DC10" i="7"/>
  <c r="DC29" i="7"/>
  <c r="DC33" i="7"/>
  <c r="DZ171" i="82"/>
  <c r="DZ170" i="82" s="1"/>
  <c r="EG126" i="1" l="1"/>
  <c r="EJ125" i="1"/>
  <c r="EB208" i="2"/>
  <c r="EE290" i="2"/>
  <c r="EE293" i="2"/>
  <c r="EE289" i="2"/>
  <c r="EE292" i="2"/>
  <c r="EF280" i="2"/>
  <c r="EE296" i="2"/>
  <c r="EE52" i="1"/>
  <c r="EE53" i="1" s="1"/>
  <c r="EE54" i="1" s="1"/>
  <c r="EE39" i="1"/>
  <c r="EE303" i="2"/>
  <c r="EE304" i="2" s="1"/>
  <c r="EE127" i="1"/>
  <c r="EG129" i="1" s="1"/>
  <c r="EE308" i="2"/>
  <c r="EE309" i="2" s="1"/>
  <c r="EE125" i="1"/>
  <c r="DB89" i="3"/>
  <c r="EB95" i="2"/>
  <c r="EE327" i="1"/>
  <c r="EE187" i="82"/>
  <c r="DZ179" i="2"/>
  <c r="DZ334" i="1"/>
  <c r="DZ182" i="2"/>
  <c r="DZ161" i="2"/>
  <c r="DZ76" i="2"/>
  <c r="DZ164" i="2"/>
  <c r="DZ207" i="2"/>
  <c r="DZ212" i="2"/>
  <c r="EE328" i="1"/>
  <c r="EE66" i="2"/>
  <c r="EE68" i="2"/>
  <c r="EE75" i="2"/>
  <c r="EE330" i="1"/>
  <c r="DH31" i="7"/>
  <c r="DH81" i="7"/>
  <c r="DH30" i="7"/>
  <c r="EE67" i="2"/>
  <c r="EE64" i="2"/>
  <c r="EE203" i="2"/>
  <c r="EE70" i="2"/>
  <c r="DC84" i="7"/>
  <c r="DC88" i="7" s="1"/>
  <c r="DC99" i="7"/>
  <c r="DZ179" i="82"/>
  <c r="DZ182" i="82" s="1"/>
  <c r="DC38" i="7"/>
  <c r="DC90" i="7"/>
  <c r="EE205" i="2" l="1"/>
  <c r="EG205" i="2"/>
  <c r="EB214" i="2"/>
  <c r="DH95" i="7"/>
  <c r="DH192" i="7"/>
  <c r="DG76" i="3"/>
  <c r="DG72" i="3"/>
  <c r="EE40" i="1"/>
  <c r="EE305" i="2"/>
  <c r="EE306" i="2" s="1"/>
  <c r="EE299" i="2"/>
  <c r="EE300" i="2" s="1"/>
  <c r="EE301" i="2"/>
  <c r="EE302" i="2" s="1"/>
  <c r="EE285" i="2"/>
  <c r="EE288" i="2"/>
  <c r="EE286" i="2"/>
  <c r="EE284" i="2"/>
  <c r="EE287" i="2"/>
  <c r="EE136" i="1"/>
  <c r="EE133" i="1"/>
  <c r="EE134" i="1"/>
  <c r="EE128" i="1"/>
  <c r="DH93" i="7"/>
  <c r="EB163" i="2"/>
  <c r="EB181" i="2"/>
  <c r="DZ335" i="1"/>
  <c r="EE329" i="1"/>
  <c r="DC103" i="7"/>
  <c r="DC100" i="7" s="1"/>
  <c r="DZ162" i="2"/>
  <c r="DZ213" i="2"/>
  <c r="DZ180" i="2"/>
  <c r="EE24" i="82"/>
  <c r="DH32" i="7"/>
  <c r="EE204" i="2"/>
  <c r="EE69" i="2"/>
  <c r="EE65" i="2"/>
  <c r="EE317" i="2"/>
  <c r="EE315" i="2" s="1"/>
  <c r="EE324" i="2" s="1"/>
  <c r="EE209" i="2"/>
  <c r="EJ210" i="2" s="1"/>
  <c r="EE180" i="82"/>
  <c r="DH25" i="7"/>
  <c r="DH86" i="7" s="1"/>
  <c r="DH15" i="7"/>
  <c r="EE55" i="2"/>
  <c r="EE331" i="1"/>
  <c r="EE332" i="1"/>
  <c r="DC87" i="7"/>
  <c r="DC85" i="7"/>
  <c r="DC50" i="7"/>
  <c r="DZ184" i="82"/>
  <c r="EJ25" i="82" l="1"/>
  <c r="EE211" i="2"/>
  <c r="EG211" i="2"/>
  <c r="EG26" i="82"/>
  <c r="EE57" i="2"/>
  <c r="EE136" i="2"/>
  <c r="EE321" i="2"/>
  <c r="EE330" i="2" s="1"/>
  <c r="EE326" i="2"/>
  <c r="EE135" i="1"/>
  <c r="EE137" i="1" s="1"/>
  <c r="DH97" i="7"/>
  <c r="DH84" i="7"/>
  <c r="DH88" i="7" s="1"/>
  <c r="DH87" i="7" s="1"/>
  <c r="EE25" i="82"/>
  <c r="DH42" i="7"/>
  <c r="DH101" i="7" s="1"/>
  <c r="DC102" i="7"/>
  <c r="EE281" i="2"/>
  <c r="EE310" i="2" s="1"/>
  <c r="EE311" i="2" s="1"/>
  <c r="DH29" i="7"/>
  <c r="EE33" i="82"/>
  <c r="DH10" i="7"/>
  <c r="EE171" i="82"/>
  <c r="EE34" i="82"/>
  <c r="EG36" i="82" s="1"/>
  <c r="EE220" i="2"/>
  <c r="EE71" i="2"/>
  <c r="EE210" i="2"/>
  <c r="DZ133" i="82"/>
  <c r="EE331" i="2" l="1"/>
  <c r="DG89" i="3"/>
  <c r="EE164" i="2"/>
  <c r="EE179" i="2"/>
  <c r="EE161" i="2"/>
  <c r="EE182" i="2"/>
  <c r="EE223" i="2"/>
  <c r="EE206" i="2"/>
  <c r="DH90" i="7"/>
  <c r="DH33" i="7"/>
  <c r="EE35" i="82"/>
  <c r="EE179" i="82"/>
  <c r="EE182" i="82" s="1"/>
  <c r="EE74" i="2"/>
  <c r="DH85" i="7"/>
  <c r="EE72" i="2"/>
  <c r="EE73" i="2"/>
  <c r="EE170" i="82"/>
  <c r="DZ131" i="82"/>
  <c r="DZ134" i="82"/>
  <c r="EE212" i="2" l="1"/>
  <c r="EE213" i="2" s="1"/>
  <c r="EE162" i="2"/>
  <c r="EE180" i="2"/>
  <c r="EE207" i="2"/>
  <c r="DH99" i="7"/>
  <c r="DH103" i="7" s="1"/>
  <c r="DH102" i="7" s="1"/>
  <c r="DH38" i="7"/>
  <c r="EE30" i="82"/>
  <c r="EE184" i="82"/>
  <c r="EE76" i="2"/>
  <c r="EE334" i="1"/>
  <c r="DZ135" i="82"/>
  <c r="DH50" i="7" l="1"/>
  <c r="EG32" i="82"/>
  <c r="EJ31" i="82"/>
  <c r="DH100" i="7"/>
  <c r="EE31" i="82"/>
  <c r="EE335" i="1"/>
  <c r="DX325" i="1" l="1"/>
  <c r="EC326" i="1" s="1"/>
  <c r="DX326" i="1" l="1"/>
  <c r="DX60" i="2"/>
  <c r="DX24" i="1" l="1"/>
  <c r="DX25" i="1" l="1"/>
  <c r="DX38" i="1"/>
  <c r="DX39" i="1" l="1"/>
  <c r="DX26" i="1"/>
  <c r="EF69" i="1"/>
  <c r="EF7" i="2" l="1"/>
  <c r="EF170" i="1"/>
  <c r="EF191" i="1" s="1"/>
  <c r="EE75" i="1"/>
  <c r="ED75" i="1"/>
  <c r="EC75" i="1"/>
  <c r="EB75" i="1"/>
  <c r="EA339" i="1"/>
  <c r="DX40" i="1"/>
  <c r="EF70" i="1"/>
  <c r="EF86" i="1"/>
  <c r="EC167" i="82"/>
  <c r="DX52" i="1"/>
  <c r="EF208" i="1" l="1"/>
  <c r="EF216" i="1" s="1"/>
  <c r="EH218" i="1" s="1"/>
  <c r="EF197" i="1"/>
  <c r="EF203" i="1"/>
  <c r="EF171" i="1"/>
  <c r="EF209" i="1" s="1"/>
  <c r="EF178" i="1"/>
  <c r="EF183" i="1"/>
  <c r="EF325" i="2"/>
  <c r="EF329" i="2"/>
  <c r="EF327" i="2"/>
  <c r="EF328" i="2"/>
  <c r="ED100" i="2"/>
  <c r="EC100" i="2"/>
  <c r="EF325" i="1"/>
  <c r="Y8" i="113"/>
  <c r="Y347" i="113" s="1"/>
  <c r="EB100" i="2"/>
  <c r="EV175" i="1"/>
  <c r="EA340" i="1"/>
  <c r="DX53" i="1"/>
  <c r="EF167" i="82"/>
  <c r="EF61" i="2"/>
  <c r="FB7" i="2"/>
  <c r="EE100" i="2"/>
  <c r="EF217" i="1" l="1"/>
  <c r="EF219" i="1" s="1"/>
  <c r="EF225" i="1"/>
  <c r="EF226" i="1" s="1"/>
  <c r="EW175" i="1"/>
  <c r="EX175" i="1" s="1"/>
  <c r="FA175" i="1"/>
  <c r="EF227" i="1"/>
  <c r="Y28" i="113"/>
  <c r="DX54" i="1"/>
  <c r="EF100" i="2"/>
  <c r="EF326" i="1"/>
  <c r="EF172" i="1" l="1"/>
  <c r="FB175" i="1"/>
  <c r="EY175" i="1"/>
  <c r="EF73" i="1" l="1"/>
  <c r="EF60" i="2"/>
  <c r="EF72" i="1" l="1"/>
  <c r="EA337" i="1" l="1"/>
  <c r="EF71" i="1"/>
  <c r="EA338" i="1" l="1"/>
  <c r="EC41" i="82" l="1"/>
  <c r="EH57" i="82" s="1"/>
  <c r="EC168" i="82"/>
  <c r="EC69" i="82" l="1"/>
  <c r="EC57" i="82"/>
  <c r="EC42" i="82"/>
  <c r="EH58" i="82" s="1"/>
  <c r="DE80" i="7"/>
  <c r="EC169" i="82"/>
  <c r="EC330" i="1"/>
  <c r="EC327" i="1"/>
  <c r="DE91" i="7" l="1"/>
  <c r="DE104" i="7"/>
  <c r="DE172" i="7"/>
  <c r="DE94" i="7"/>
  <c r="DE82" i="7"/>
  <c r="DE73" i="7" s="1"/>
  <c r="DE98" i="7"/>
  <c r="DE92" i="7"/>
  <c r="DE83" i="7"/>
  <c r="DE96" i="7"/>
  <c r="DE89" i="7"/>
  <c r="EC328" i="1"/>
  <c r="EC58" i="82"/>
  <c r="EC43" i="82"/>
  <c r="EH59" i="82" s="1"/>
  <c r="EC333" i="1"/>
  <c r="EC332" i="1"/>
  <c r="EC331" i="1"/>
  <c r="DE15" i="3"/>
  <c r="EC329" i="1" l="1"/>
  <c r="EC70" i="82"/>
  <c r="EC59" i="82"/>
  <c r="EC180" i="82"/>
  <c r="EC187" i="82"/>
  <c r="EC21" i="82" l="1"/>
  <c r="DE74" i="7"/>
  <c r="EC171" i="82"/>
  <c r="EC170" i="82" s="1"/>
  <c r="EC334" i="1" l="1"/>
  <c r="EC20" i="82"/>
  <c r="EC34" i="82"/>
  <c r="EH35" i="82" s="1"/>
  <c r="EC179" i="82"/>
  <c r="EC182" i="82" s="1"/>
  <c r="EC184" i="82" s="1"/>
  <c r="EC152" i="82" l="1"/>
  <c r="EC150" i="82" s="1"/>
  <c r="EH160" i="82" s="1"/>
  <c r="ED36" i="82"/>
  <c r="EC335" i="1"/>
  <c r="EC36" i="82"/>
  <c r="EC35" i="82"/>
  <c r="EC33" i="82"/>
  <c r="EC154" i="82" l="1"/>
  <c r="EC156" i="82" s="1"/>
  <c r="EC157" i="82" s="1"/>
  <c r="EC160" i="82"/>
  <c r="EC163" i="82"/>
  <c r="EC188" i="82"/>
  <c r="EC164" i="82" l="1"/>
  <c r="EH164" i="82"/>
  <c r="DX42" i="2" l="1"/>
  <c r="DX50" i="2"/>
  <c r="DX77" i="2"/>
  <c r="DX78" i="2"/>
  <c r="DX96" i="2"/>
  <c r="DX160" i="2"/>
  <c r="DX178" i="2"/>
  <c r="EC81" i="2" l="1"/>
  <c r="DX43" i="2"/>
  <c r="EC79" i="2"/>
  <c r="DX79" i="2"/>
  <c r="DX51" i="2"/>
  <c r="DX81" i="2"/>
  <c r="DX236" i="2"/>
  <c r="EC80" i="2" l="1"/>
  <c r="EC82" i="2"/>
  <c r="DX97" i="2"/>
  <c r="DX80" i="2"/>
  <c r="DX82" i="2"/>
  <c r="DX98" i="2"/>
  <c r="CZ74" i="7" l="1"/>
  <c r="CZ75" i="7"/>
  <c r="CZ76" i="7"/>
  <c r="DX224" i="2" l="1"/>
  <c r="DX226" i="2" l="1"/>
  <c r="DX229" i="2" l="1"/>
  <c r="V8" i="11"/>
  <c r="Y20" i="113"/>
  <c r="DX228" i="2" l="1"/>
  <c r="DX237" i="2"/>
  <c r="V9" i="11"/>
  <c r="DX238" i="2" l="1"/>
  <c r="DX239" i="2"/>
  <c r="EA15" i="1"/>
  <c r="EA29" i="1"/>
  <c r="EA36" i="1"/>
  <c r="EA43" i="1"/>
  <c r="EA57" i="1"/>
  <c r="EA64" i="1"/>
  <c r="DY79" i="1"/>
  <c r="DY80" i="1"/>
  <c r="DY82" i="1"/>
  <c r="DY84" i="1"/>
  <c r="DY85" i="1"/>
  <c r="EA99" i="1"/>
  <c r="DY115" i="1"/>
  <c r="DZ117" i="1" s="1"/>
  <c r="DY124" i="1"/>
  <c r="DZ126" i="1" s="1"/>
  <c r="DX240" i="2" l="1"/>
  <c r="DX241" i="2"/>
  <c r="DZ67" i="1"/>
  <c r="EA80" i="1"/>
  <c r="DZ35" i="1"/>
  <c r="DZ63" i="1"/>
  <c r="DZ21" i="1"/>
  <c r="X173" i="113"/>
  <c r="X172" i="113" s="1"/>
  <c r="X193" i="113" s="1"/>
  <c r="DZ49" i="1"/>
  <c r="DZ42" i="1"/>
  <c r="DY81" i="1"/>
  <c r="DY83" i="1" s="1"/>
  <c r="DY87" i="1" s="1"/>
  <c r="EA58" i="1"/>
  <c r="EA115" i="82"/>
  <c r="DY125" i="1"/>
  <c r="DY118" i="1"/>
  <c r="DZ120" i="1" s="1"/>
  <c r="X85" i="113"/>
  <c r="X103" i="113" s="1"/>
  <c r="EA100" i="1"/>
  <c r="X84" i="113"/>
  <c r="EA50" i="1"/>
  <c r="DY187" i="82"/>
  <c r="EA10" i="82"/>
  <c r="DY126" i="1"/>
  <c r="EA82" i="1"/>
  <c r="EA44" i="1"/>
  <c r="DX49" i="1"/>
  <c r="X121" i="113"/>
  <c r="EA84" i="1"/>
  <c r="DX63" i="1"/>
  <c r="DW49" i="1"/>
  <c r="DX42" i="1"/>
  <c r="DW63" i="1"/>
  <c r="DW42" i="1"/>
  <c r="EA79" i="1"/>
  <c r="EA491" i="1"/>
  <c r="EA37" i="1"/>
  <c r="EA81" i="82"/>
  <c r="EA82" i="82"/>
  <c r="EA80" i="82"/>
  <c r="DY116" i="1"/>
  <c r="DY117" i="1"/>
  <c r="DY67" i="1"/>
  <c r="EA65" i="1"/>
  <c r="EA85" i="1"/>
  <c r="EA124" i="1"/>
  <c r="EA11" i="82"/>
  <c r="DW67" i="1"/>
  <c r="DX67" i="1"/>
  <c r="EA102" i="1"/>
  <c r="DY21" i="1"/>
  <c r="DY35" i="1"/>
  <c r="DX21" i="1"/>
  <c r="EA105" i="1"/>
  <c r="DY49" i="1"/>
  <c r="DX35" i="1"/>
  <c r="DW21" i="1"/>
  <c r="DY63" i="1"/>
  <c r="DW35" i="1"/>
  <c r="EA22" i="1"/>
  <c r="EA118" i="1"/>
  <c r="DY42" i="1"/>
  <c r="EA16" i="1"/>
  <c r="EA30" i="1"/>
  <c r="DX242" i="2" l="1"/>
  <c r="EC242" i="2"/>
  <c r="EA101" i="1"/>
  <c r="DZ28" i="1"/>
  <c r="DY121" i="1"/>
  <c r="DZ123" i="1" s="1"/>
  <c r="X102" i="113"/>
  <c r="X194" i="113"/>
  <c r="EA81" i="1"/>
  <c r="EA83" i="1" s="1"/>
  <c r="EA87" i="1" s="1"/>
  <c r="X344" i="113"/>
  <c r="DZ56" i="1"/>
  <c r="DY17" i="1"/>
  <c r="DY45" i="1"/>
  <c r="DY46" i="1" s="1"/>
  <c r="DY10" i="1"/>
  <c r="EA51" i="1"/>
  <c r="DX56" i="1"/>
  <c r="DY56" i="1"/>
  <c r="DW56" i="1"/>
  <c r="X86" i="113"/>
  <c r="DY31" i="1"/>
  <c r="EA130" i="82"/>
  <c r="X289" i="113"/>
  <c r="DY59" i="1"/>
  <c r="DY119" i="1"/>
  <c r="DY120" i="1"/>
  <c r="X342" i="113"/>
  <c r="EA492" i="1"/>
  <c r="EA498" i="1"/>
  <c r="X144" i="113"/>
  <c r="X123" i="113"/>
  <c r="X126" i="113"/>
  <c r="X148" i="113" s="1"/>
  <c r="EA94" i="82"/>
  <c r="EA90" i="82"/>
  <c r="EA89" i="82"/>
  <c r="X248" i="113"/>
  <c r="DY28" i="1"/>
  <c r="EA115" i="1"/>
  <c r="EA517" i="1"/>
  <c r="EA93" i="1"/>
  <c r="DW28" i="1"/>
  <c r="EA23" i="1"/>
  <c r="DX28" i="1"/>
  <c r="DY27" i="82"/>
  <c r="EA18" i="82"/>
  <c r="EA103" i="1"/>
  <c r="EA8" i="2"/>
  <c r="EA106" i="1"/>
  <c r="EA107" i="1"/>
  <c r="EA110" i="1"/>
  <c r="EA111" i="1" s="1"/>
  <c r="EA119" i="1"/>
  <c r="EA125" i="1"/>
  <c r="EA17" i="82"/>
  <c r="EA95" i="82"/>
  <c r="EA105" i="82"/>
  <c r="EA84" i="82"/>
  <c r="EA97" i="82"/>
  <c r="EA110" i="82"/>
  <c r="EA111" i="82" s="1"/>
  <c r="EA45" i="1" l="1"/>
  <c r="ED28" i="82"/>
  <c r="DY127" i="1"/>
  <c r="DZ129" i="1" s="1"/>
  <c r="DY123" i="1"/>
  <c r="DY122" i="1"/>
  <c r="DZ101" i="2"/>
  <c r="DY29" i="82"/>
  <c r="DZ29" i="82"/>
  <c r="EF15" i="1"/>
  <c r="ED79" i="1"/>
  <c r="ED82" i="1"/>
  <c r="DY60" i="1"/>
  <c r="DY11" i="1"/>
  <c r="DY47" i="1"/>
  <c r="DY32" i="1"/>
  <c r="DY18" i="1"/>
  <c r="DY24" i="1"/>
  <c r="DY38" i="1" s="1"/>
  <c r="EA31" i="1"/>
  <c r="X104" i="113"/>
  <c r="X114" i="113"/>
  <c r="EA59" i="1"/>
  <c r="X291" i="113"/>
  <c r="X293" i="113"/>
  <c r="X309" i="113" s="1"/>
  <c r="X307" i="113"/>
  <c r="X346" i="113"/>
  <c r="DY24" i="82"/>
  <c r="DY169" i="82"/>
  <c r="DY85" i="2"/>
  <c r="DY62" i="2"/>
  <c r="X343" i="113"/>
  <c r="X125" i="113"/>
  <c r="X124" i="113" s="1"/>
  <c r="X146" i="113"/>
  <c r="X141" i="113"/>
  <c r="EA9" i="82"/>
  <c r="EA24" i="82" s="1"/>
  <c r="EA499" i="1"/>
  <c r="EF8" i="1"/>
  <c r="EF90" i="1"/>
  <c r="EK91" i="1" s="1"/>
  <c r="ED78" i="1"/>
  <c r="ED80" i="1"/>
  <c r="EF29" i="1"/>
  <c r="EA86" i="82"/>
  <c r="EA94" i="1"/>
  <c r="EF57" i="1"/>
  <c r="ED84" i="1"/>
  <c r="EA130" i="2"/>
  <c r="DW101" i="2"/>
  <c r="DX101" i="2"/>
  <c r="EA9" i="2"/>
  <c r="EA62" i="2"/>
  <c r="FA8" i="2"/>
  <c r="EA168" i="82"/>
  <c r="X9" i="113"/>
  <c r="EA41" i="82"/>
  <c r="DY101" i="2"/>
  <c r="EA44" i="82"/>
  <c r="EA27" i="82"/>
  <c r="X254" i="113"/>
  <c r="EA100" i="82"/>
  <c r="X261" i="113"/>
  <c r="EA47" i="1"/>
  <c r="EA46" i="1"/>
  <c r="EA102" i="82"/>
  <c r="EA101" i="82"/>
  <c r="X262" i="113"/>
  <c r="X250" i="113"/>
  <c r="X249" i="113" s="1"/>
  <c r="X345" i="113"/>
  <c r="X266" i="113"/>
  <c r="EA108" i="1"/>
  <c r="EA121" i="1"/>
  <c r="EA116" i="1"/>
  <c r="EA91" i="82"/>
  <c r="EA96" i="82"/>
  <c r="EE14" i="1" l="1"/>
  <c r="ED25" i="82"/>
  <c r="DY136" i="1"/>
  <c r="DY133" i="1"/>
  <c r="DY134" i="1"/>
  <c r="ED21" i="1"/>
  <c r="EE21" i="1"/>
  <c r="ED63" i="1"/>
  <c r="EE63" i="1"/>
  <c r="ED35" i="1"/>
  <c r="EE35" i="1"/>
  <c r="ED14" i="1"/>
  <c r="EC35" i="1"/>
  <c r="EC14" i="1"/>
  <c r="EC63" i="1"/>
  <c r="DY129" i="1"/>
  <c r="DY128" i="1"/>
  <c r="DA72" i="3"/>
  <c r="DA76" i="3"/>
  <c r="EC21" i="1"/>
  <c r="DY25" i="1"/>
  <c r="DY26" i="1" s="1"/>
  <c r="DZ102" i="2"/>
  <c r="Y121" i="113"/>
  <c r="Y123" i="113" s="1"/>
  <c r="EB14" i="1"/>
  <c r="EB21" i="1"/>
  <c r="EB35" i="1"/>
  <c r="EB63" i="1"/>
  <c r="EF79" i="1"/>
  <c r="EF16" i="1"/>
  <c r="DY26" i="82"/>
  <c r="DZ26" i="82"/>
  <c r="EA28" i="82"/>
  <c r="EA25" i="82"/>
  <c r="EA24" i="1"/>
  <c r="EA25" i="1" s="1"/>
  <c r="DY33" i="1"/>
  <c r="EA493" i="1"/>
  <c r="EA494" i="1" s="1"/>
  <c r="EA495" i="1" s="1"/>
  <c r="EA33" i="1"/>
  <c r="DY61" i="1"/>
  <c r="DY19" i="1"/>
  <c r="DY12" i="1"/>
  <c r="EA32" i="1"/>
  <c r="X116" i="113"/>
  <c r="X115" i="113"/>
  <c r="X88" i="113" s="1"/>
  <c r="EA60" i="1"/>
  <c r="EA61" i="1"/>
  <c r="X314" i="113"/>
  <c r="X308" i="113"/>
  <c r="X292" i="113"/>
  <c r="DY86" i="2"/>
  <c r="DY63" i="2"/>
  <c r="X348" i="113"/>
  <c r="X158" i="113"/>
  <c r="X354" i="113"/>
  <c r="X128" i="113"/>
  <c r="X147" i="113"/>
  <c r="EA40" i="82"/>
  <c r="EA75" i="82" s="1"/>
  <c r="EA76" i="82" s="1"/>
  <c r="EA13" i="82"/>
  <c r="EA14" i="82" s="1"/>
  <c r="DY52" i="1"/>
  <c r="DY39" i="1"/>
  <c r="EA87" i="82"/>
  <c r="EA112" i="82"/>
  <c r="EA98" i="82"/>
  <c r="X274" i="113"/>
  <c r="X279" i="113"/>
  <c r="X273" i="113"/>
  <c r="X278" i="113"/>
  <c r="X277" i="113" s="1"/>
  <c r="X251" i="113" s="1"/>
  <c r="X252" i="113" s="1"/>
  <c r="X256" i="113"/>
  <c r="X271" i="113"/>
  <c r="X263" i="113"/>
  <c r="X285" i="113"/>
  <c r="EF30" i="1"/>
  <c r="EF80" i="1"/>
  <c r="Y84" i="113"/>
  <c r="X10" i="113"/>
  <c r="X363" i="113" s="1"/>
  <c r="X29" i="113"/>
  <c r="X213" i="113"/>
  <c r="X174" i="113" s="1"/>
  <c r="X356" i="113"/>
  <c r="X351" i="113"/>
  <c r="X355" i="113"/>
  <c r="X350" i="113"/>
  <c r="X352" i="113"/>
  <c r="EA101" i="2"/>
  <c r="DC80" i="7"/>
  <c r="G7" i="15"/>
  <c r="G8" i="15" s="1"/>
  <c r="EA63" i="2"/>
  <c r="DX102" i="2"/>
  <c r="DW102" i="2"/>
  <c r="U40" i="11"/>
  <c r="EA169" i="82"/>
  <c r="DY102" i="2"/>
  <c r="EA127" i="1"/>
  <c r="EA122" i="1"/>
  <c r="EA131" i="2"/>
  <c r="EF99" i="1"/>
  <c r="ED81" i="1"/>
  <c r="ED83" i="1" s="1"/>
  <c r="ED10" i="1" s="1"/>
  <c r="EA61" i="82"/>
  <c r="X218" i="113"/>
  <c r="EF80" i="82"/>
  <c r="ED118" i="1"/>
  <c r="ED115" i="1"/>
  <c r="EF9" i="1"/>
  <c r="EF22" i="1"/>
  <c r="EF78" i="1"/>
  <c r="Y47" i="113"/>
  <c r="EA57" i="82"/>
  <c r="EF58" i="1"/>
  <c r="EF10" i="82"/>
  <c r="EF84" i="1"/>
  <c r="X267" i="113"/>
  <c r="EF154" i="1" l="1"/>
  <c r="EF155" i="1" s="1"/>
  <c r="EE143" i="1"/>
  <c r="EK100" i="1"/>
  <c r="DY135" i="1"/>
  <c r="DY137" i="1" s="1"/>
  <c r="ED28" i="1"/>
  <c r="EE28" i="1"/>
  <c r="ED11" i="1"/>
  <c r="ED45" i="1"/>
  <c r="ED46" i="1" s="1"/>
  <c r="ED47" i="1" s="1"/>
  <c r="ED17" i="1"/>
  <c r="ED18" i="1" s="1"/>
  <c r="ED19" i="1" s="1"/>
  <c r="ED31" i="1"/>
  <c r="ED32" i="1" s="1"/>
  <c r="ED33" i="1" s="1"/>
  <c r="ED59" i="1"/>
  <c r="ED60" i="1" s="1"/>
  <c r="ED61" i="1" s="1"/>
  <c r="EF92" i="1"/>
  <c r="EA10" i="1"/>
  <c r="EA11" i="1" s="1"/>
  <c r="EA38" i="1"/>
  <c r="EA52" i="1" s="1"/>
  <c r="EF101" i="1"/>
  <c r="X235" i="113"/>
  <c r="EB28" i="1"/>
  <c r="EC28" i="1"/>
  <c r="Y144" i="113"/>
  <c r="Y126" i="113"/>
  <c r="Y148" i="113" s="1"/>
  <c r="EA26" i="1"/>
  <c r="DY53" i="1"/>
  <c r="DZ130" i="1"/>
  <c r="DV341" i="1"/>
  <c r="EA42" i="82"/>
  <c r="EA43" i="82" s="1"/>
  <c r="EA69" i="82"/>
  <c r="X106" i="113"/>
  <c r="X87" i="113"/>
  <c r="X105" i="113" s="1"/>
  <c r="X99" i="113"/>
  <c r="EA23" i="2"/>
  <c r="EA278" i="2" s="1"/>
  <c r="DY91" i="2"/>
  <c r="DY68" i="2"/>
  <c r="DY328" i="1"/>
  <c r="EA17" i="2"/>
  <c r="DY66" i="2"/>
  <c r="DY89" i="2"/>
  <c r="DY70" i="2"/>
  <c r="DY87" i="2"/>
  <c r="DY64" i="2"/>
  <c r="DY203" i="2"/>
  <c r="EA12" i="2"/>
  <c r="EA20" i="2"/>
  <c r="DY67" i="2"/>
  <c r="DY90" i="2"/>
  <c r="DY56" i="2"/>
  <c r="DY46" i="2"/>
  <c r="DY330" i="1"/>
  <c r="EA24" i="2"/>
  <c r="DY92" i="2"/>
  <c r="DY75" i="2"/>
  <c r="EF81" i="1"/>
  <c r="EF118" i="1"/>
  <c r="EA56" i="82"/>
  <c r="X212" i="113"/>
  <c r="X230" i="113" s="1"/>
  <c r="EA51" i="82"/>
  <c r="EA52" i="82"/>
  <c r="EA187" i="82"/>
  <c r="EA102" i="2"/>
  <c r="X129" i="113"/>
  <c r="X150" i="113"/>
  <c r="X283" i="113"/>
  <c r="X253" i="113"/>
  <c r="X269" i="113"/>
  <c r="EF82" i="82"/>
  <c r="Y125" i="113"/>
  <c r="Y146" i="113"/>
  <c r="Y343" i="113"/>
  <c r="Y141" i="113"/>
  <c r="DC23" i="3"/>
  <c r="EF23" i="1"/>
  <c r="EF517" i="1"/>
  <c r="EF115" i="1"/>
  <c r="X353" i="113"/>
  <c r="X357" i="113" s="1"/>
  <c r="X175" i="113"/>
  <c r="X258" i="113"/>
  <c r="EF94" i="82"/>
  <c r="EF90" i="82"/>
  <c r="EF89" i="82"/>
  <c r="Y248" i="113"/>
  <c r="EA128" i="1"/>
  <c r="DW130" i="1"/>
  <c r="DX130" i="1"/>
  <c r="EA136" i="1"/>
  <c r="EA134" i="1"/>
  <c r="EA133" i="1"/>
  <c r="DY130" i="1"/>
  <c r="X30" i="113"/>
  <c r="X40" i="113"/>
  <c r="X365" i="113"/>
  <c r="X360" i="113"/>
  <c r="X364" i="113"/>
  <c r="X359" i="113"/>
  <c r="X361" i="113"/>
  <c r="EF36" i="1"/>
  <c r="EE120" i="1"/>
  <c r="ED119" i="1"/>
  <c r="ED120" i="1"/>
  <c r="EF100" i="1"/>
  <c r="EF105" i="1"/>
  <c r="EF102" i="1"/>
  <c r="Y85" i="113"/>
  <c r="Y86" i="113" s="1"/>
  <c r="X268" i="113"/>
  <c r="Y102" i="113"/>
  <c r="Y342" i="113"/>
  <c r="Y65" i="113"/>
  <c r="Y51" i="113"/>
  <c r="Y341" i="113"/>
  <c r="DC83" i="7"/>
  <c r="DC89" i="7"/>
  <c r="DC94" i="7"/>
  <c r="DC98" i="7"/>
  <c r="DC104" i="7"/>
  <c r="DC82" i="7"/>
  <c r="DC73" i="7" s="1"/>
  <c r="DC92" i="7"/>
  <c r="DC96" i="7"/>
  <c r="DC91" i="7"/>
  <c r="EA99" i="82"/>
  <c r="DY40" i="1"/>
  <c r="EF81" i="82"/>
  <c r="ED121" i="1"/>
  <c r="ED116" i="1"/>
  <c r="ED117" i="1"/>
  <c r="EE117" i="1"/>
  <c r="X275" i="113"/>
  <c r="X284" i="113"/>
  <c r="EF91" i="1"/>
  <c r="EF93" i="1"/>
  <c r="EF96" i="1"/>
  <c r="Y48" i="113"/>
  <c r="EE148" i="1" l="1"/>
  <c r="EE153" i="1" s="1"/>
  <c r="EE155" i="1" s="1"/>
  <c r="EA277" i="2"/>
  <c r="EA303" i="2" s="1"/>
  <c r="EA304" i="2" s="1"/>
  <c r="EA276" i="2"/>
  <c r="EA301" i="2" s="1"/>
  <c r="EA302" i="2" s="1"/>
  <c r="EA275" i="2"/>
  <c r="DY205" i="2"/>
  <c r="DZ205" i="2"/>
  <c r="ED12" i="1"/>
  <c r="ED42" i="1"/>
  <c r="EE42" i="1"/>
  <c r="EA287" i="2"/>
  <c r="EA305" i="2"/>
  <c r="EA306" i="2" s="1"/>
  <c r="ED204" i="2"/>
  <c r="ED24" i="1"/>
  <c r="EA39" i="1"/>
  <c r="EA17" i="1"/>
  <c r="EA18" i="1" s="1"/>
  <c r="X244" i="113"/>
  <c r="EB42" i="1"/>
  <c r="EC42" i="1"/>
  <c r="DZ106" i="2"/>
  <c r="DZ107" i="2"/>
  <c r="DZ105" i="2"/>
  <c r="EA328" i="1"/>
  <c r="DZ108" i="2"/>
  <c r="EA330" i="1"/>
  <c r="DZ103" i="2"/>
  <c r="EA327" i="1"/>
  <c r="EA53" i="1"/>
  <c r="DY54" i="1"/>
  <c r="EA12" i="1"/>
  <c r="DV342" i="1"/>
  <c r="DY329" i="1"/>
  <c r="DZ333" i="1"/>
  <c r="X214" i="113"/>
  <c r="DY180" i="82"/>
  <c r="DA15" i="3"/>
  <c r="DA19" i="3" s="1"/>
  <c r="EA58" i="82"/>
  <c r="EF119" i="1"/>
  <c r="X112" i="113"/>
  <c r="DY88" i="2"/>
  <c r="DY65" i="2"/>
  <c r="EA56" i="2"/>
  <c r="DY209" i="2"/>
  <c r="EA64" i="2"/>
  <c r="EA13" i="2"/>
  <c r="DY103" i="2"/>
  <c r="EA70" i="2"/>
  <c r="EA114" i="2"/>
  <c r="DX103" i="2"/>
  <c r="X11" i="113"/>
  <c r="X370" i="113" s="1"/>
  <c r="DW103" i="2"/>
  <c r="EA133" i="2"/>
  <c r="EA203" i="2"/>
  <c r="FA12" i="2"/>
  <c r="DY107" i="2"/>
  <c r="DW107" i="2"/>
  <c r="FA23" i="2"/>
  <c r="EA123" i="2"/>
  <c r="EA68" i="2"/>
  <c r="DX107" i="2"/>
  <c r="EA143" i="2"/>
  <c r="DX108" i="2"/>
  <c r="EA126" i="2"/>
  <c r="EA146" i="2"/>
  <c r="EA75" i="2"/>
  <c r="DW108" i="2"/>
  <c r="FA24" i="2"/>
  <c r="DY108" i="2"/>
  <c r="DY204" i="2"/>
  <c r="DC169" i="7"/>
  <c r="DY69" i="2"/>
  <c r="DY93" i="2"/>
  <c r="DY331" i="1"/>
  <c r="DY332" i="1"/>
  <c r="DY333" i="1"/>
  <c r="DY106" i="2"/>
  <c r="EA67" i="2"/>
  <c r="DX106" i="2"/>
  <c r="EA120" i="2"/>
  <c r="EA140" i="2"/>
  <c r="DW106" i="2"/>
  <c r="FA20" i="2"/>
  <c r="DY105" i="2"/>
  <c r="EA66" i="2"/>
  <c r="EA26" i="2"/>
  <c r="FA17" i="2"/>
  <c r="DX105" i="2"/>
  <c r="EA117" i="2"/>
  <c r="DW105" i="2"/>
  <c r="EA390" i="2"/>
  <c r="EA391" i="2" s="1"/>
  <c r="EA137" i="2"/>
  <c r="DY48" i="2"/>
  <c r="EA46" i="2"/>
  <c r="EA65" i="82"/>
  <c r="X226" i="113"/>
  <c r="X238" i="113" s="1"/>
  <c r="EA64" i="82"/>
  <c r="X225" i="113"/>
  <c r="X237" i="113" s="1"/>
  <c r="EA53" i="82"/>
  <c r="X151" i="113"/>
  <c r="X130" i="113"/>
  <c r="EE109" i="1"/>
  <c r="EF18" i="82"/>
  <c r="EA60" i="82"/>
  <c r="EA59" i="82"/>
  <c r="EA70" i="82"/>
  <c r="EF100" i="82"/>
  <c r="Y261" i="113"/>
  <c r="Y66" i="113"/>
  <c r="EF97" i="1"/>
  <c r="Y49" i="113"/>
  <c r="Y103" i="113"/>
  <c r="EF102" i="82"/>
  <c r="EF101" i="82"/>
  <c r="Y262" i="113"/>
  <c r="X259" i="113"/>
  <c r="X286" i="113"/>
  <c r="EF121" i="1"/>
  <c r="EF116" i="1"/>
  <c r="Y128" i="113"/>
  <c r="Y147" i="113"/>
  <c r="EF84" i="82"/>
  <c r="EF103" i="1"/>
  <c r="EE85" i="2"/>
  <c r="ED168" i="82"/>
  <c r="EF97" i="82"/>
  <c r="EF110" i="82"/>
  <c r="EF91" i="82"/>
  <c r="EF8" i="2"/>
  <c r="EF106" i="1"/>
  <c r="EF107" i="1"/>
  <c r="EF110" i="1"/>
  <c r="DC32" i="3"/>
  <c r="G15" i="15"/>
  <c r="X280" i="113"/>
  <c r="X270" i="113"/>
  <c r="DC20" i="7"/>
  <c r="EF94" i="1"/>
  <c r="ED122" i="1"/>
  <c r="ED123" i="1"/>
  <c r="EE123" i="1"/>
  <c r="EF37" i="1"/>
  <c r="Y124" i="113"/>
  <c r="EE112" i="1"/>
  <c r="EF96" i="82"/>
  <c r="EF95" i="82"/>
  <c r="EF105" i="82"/>
  <c r="Y69" i="113"/>
  <c r="Y114" i="113"/>
  <c r="Y115" i="113" s="1"/>
  <c r="Y104" i="113"/>
  <c r="Y158" i="113"/>
  <c r="EA135" i="1"/>
  <c r="Y250" i="113"/>
  <c r="Y249" i="113" s="1"/>
  <c r="Y266" i="113"/>
  <c r="Y345" i="113"/>
  <c r="X205" i="113"/>
  <c r="X195" i="113"/>
  <c r="X362" i="113"/>
  <c r="EA289" i="2" l="1"/>
  <c r="EA286" i="2"/>
  <c r="EA290" i="2"/>
  <c r="EA285" i="2"/>
  <c r="EA299" i="2"/>
  <c r="EA300" i="2" s="1"/>
  <c r="EA284" i="2"/>
  <c r="DF20" i="3"/>
  <c r="DY211" i="2"/>
  <c r="DZ211" i="2"/>
  <c r="EA40" i="1"/>
  <c r="ED101" i="2"/>
  <c r="EA48" i="2"/>
  <c r="DZ104" i="2"/>
  <c r="DZ109" i="2"/>
  <c r="ED210" i="2"/>
  <c r="ED38" i="1"/>
  <c r="ED25" i="1"/>
  <c r="ED26" i="1" s="1"/>
  <c r="EF64" i="1"/>
  <c r="EE67" i="1" s="1"/>
  <c r="EF111" i="1"/>
  <c r="X241" i="113"/>
  <c r="X231" i="113"/>
  <c r="EB101" i="2"/>
  <c r="EC101" i="2"/>
  <c r="EB82" i="1"/>
  <c r="EF43" i="1"/>
  <c r="EE29" i="82"/>
  <c r="EA54" i="1"/>
  <c r="EA19" i="1"/>
  <c r="EA329" i="1"/>
  <c r="DA80" i="3"/>
  <c r="DA50" i="3"/>
  <c r="DA77" i="3"/>
  <c r="DA20" i="3"/>
  <c r="X60" i="113"/>
  <c r="X73" i="113" s="1"/>
  <c r="DY171" i="82"/>
  <c r="DY21" i="82"/>
  <c r="EA107" i="2"/>
  <c r="X139" i="113"/>
  <c r="X156" i="113" s="1"/>
  <c r="DC63" i="3"/>
  <c r="DC64" i="3"/>
  <c r="EA105" i="2"/>
  <c r="EA106" i="2"/>
  <c r="EA115" i="2"/>
  <c r="DY210" i="2"/>
  <c r="FA26" i="2"/>
  <c r="EA69" i="2"/>
  <c r="DY109" i="2"/>
  <c r="DW109" i="2"/>
  <c r="DX109" i="2"/>
  <c r="EA124" i="2"/>
  <c r="EA141" i="2"/>
  <c r="DC172" i="7"/>
  <c r="DC176" i="7"/>
  <c r="EA127" i="2"/>
  <c r="EA204" i="2"/>
  <c r="EA209" i="2"/>
  <c r="FA56" i="2"/>
  <c r="EA180" i="82"/>
  <c r="EA126" i="82" s="1"/>
  <c r="X23" i="113"/>
  <c r="DY71" i="2"/>
  <c r="DY94" i="2"/>
  <c r="DY54" i="2"/>
  <c r="EA118" i="2"/>
  <c r="DC11" i="3"/>
  <c r="DY55" i="2"/>
  <c r="EA134" i="2"/>
  <c r="DC55" i="7"/>
  <c r="DC15" i="3"/>
  <c r="EA121" i="2"/>
  <c r="EA332" i="1"/>
  <c r="EA331" i="1"/>
  <c r="DX104" i="2"/>
  <c r="EA166" i="2"/>
  <c r="EA27" i="2"/>
  <c r="EA65" i="2"/>
  <c r="DW104" i="2"/>
  <c r="EA150" i="2"/>
  <c r="DY104" i="2"/>
  <c r="EA147" i="2"/>
  <c r="EA144" i="2"/>
  <c r="EA103" i="2"/>
  <c r="EA108" i="2"/>
  <c r="EA138" i="2"/>
  <c r="X369" i="113"/>
  <c r="X368" i="113"/>
  <c r="X372" i="113"/>
  <c r="X12" i="113"/>
  <c r="X31" i="113"/>
  <c r="X215" i="113"/>
  <c r="X232" i="113" s="1"/>
  <c r="X373" i="113"/>
  <c r="X374" i="113"/>
  <c r="X366" i="113"/>
  <c r="X164" i="113"/>
  <c r="X152" i="113"/>
  <c r="EA66" i="82"/>
  <c r="X227" i="113"/>
  <c r="EF111" i="82"/>
  <c r="X97" i="113"/>
  <c r="EE86" i="2"/>
  <c r="ED299" i="2"/>
  <c r="ED300" i="2" s="1"/>
  <c r="ED305" i="2"/>
  <c r="ED306" i="2" s="1"/>
  <c r="ED301" i="2"/>
  <c r="ED302" i="2" s="1"/>
  <c r="ED303" i="2"/>
  <c r="ED304" i="2" s="1"/>
  <c r="ED169" i="82"/>
  <c r="EF27" i="82"/>
  <c r="Y254" i="113"/>
  <c r="EE101" i="2"/>
  <c r="EF130" i="2"/>
  <c r="FB8" i="2"/>
  <c r="EF9" i="2"/>
  <c r="EF62" i="2"/>
  <c r="EF168" i="82"/>
  <c r="Y9" i="113"/>
  <c r="Y352" i="113" s="1"/>
  <c r="EF41" i="82"/>
  <c r="Y67" i="113"/>
  <c r="Y77" i="113"/>
  <c r="Y50" i="113"/>
  <c r="Y88" i="113"/>
  <c r="Y150" i="113"/>
  <c r="Y129" i="113"/>
  <c r="EF86" i="82"/>
  <c r="X272" i="113"/>
  <c r="EA137" i="1"/>
  <c r="Y267" i="113"/>
  <c r="Y274" i="113"/>
  <c r="Y279" i="113"/>
  <c r="ED85" i="1"/>
  <c r="ED87" i="1" s="1"/>
  <c r="ED124" i="1"/>
  <c r="EI125" i="1" s="1"/>
  <c r="EF108" i="1"/>
  <c r="EF122" i="1"/>
  <c r="Y273" i="113"/>
  <c r="Y278" i="113"/>
  <c r="DY20" i="82" l="1"/>
  <c r="DA91" i="3"/>
  <c r="DC91" i="3"/>
  <c r="DB91" i="3"/>
  <c r="DF88" i="3"/>
  <c r="DD91" i="3"/>
  <c r="EE49" i="1"/>
  <c r="EA317" i="2"/>
  <c r="EA315" i="2" s="1"/>
  <c r="EA324" i="2" s="1"/>
  <c r="ED49" i="1"/>
  <c r="DY281" i="2"/>
  <c r="DY310" i="2" s="1"/>
  <c r="DY311" i="2" s="1"/>
  <c r="ED102" i="2"/>
  <c r="ED67" i="1"/>
  <c r="ED52" i="1"/>
  <c r="ED53" i="1" s="1"/>
  <c r="ED54" i="1" s="1"/>
  <c r="ED39" i="1"/>
  <c r="ED286" i="2"/>
  <c r="ED287" i="2"/>
  <c r="ED284" i="2"/>
  <c r="ED285" i="2"/>
  <c r="EF131" i="2"/>
  <c r="X188" i="113"/>
  <c r="X243" i="113"/>
  <c r="X239" i="113"/>
  <c r="EC67" i="1"/>
  <c r="EB102" i="2"/>
  <c r="EC102" i="2"/>
  <c r="EB49" i="1"/>
  <c r="EC49" i="1"/>
  <c r="ED308" i="2"/>
  <c r="ED309" i="2" s="1"/>
  <c r="DY33" i="82"/>
  <c r="EB67" i="1"/>
  <c r="EB83" i="1"/>
  <c r="EB45" i="1" s="1"/>
  <c r="EB46" i="1" s="1"/>
  <c r="EB47" i="1" s="1"/>
  <c r="EF44" i="1"/>
  <c r="EF491" i="1"/>
  <c r="EF82" i="1"/>
  <c r="EF83" i="1" s="1"/>
  <c r="Y173" i="113"/>
  <c r="Y172" i="113" s="1"/>
  <c r="Y193" i="113" s="1"/>
  <c r="EF50" i="1"/>
  <c r="ED327" i="1"/>
  <c r="EF28" i="82"/>
  <c r="DZ110" i="2"/>
  <c r="DV343" i="1"/>
  <c r="Y277" i="113"/>
  <c r="Y251" i="113" s="1"/>
  <c r="Y116" i="113"/>
  <c r="DY179" i="82"/>
  <c r="DY182" i="82" s="1"/>
  <c r="DY136" i="2"/>
  <c r="DA83" i="3"/>
  <c r="DA88" i="3"/>
  <c r="X186" i="113"/>
  <c r="X201" i="113" s="1"/>
  <c r="DY170" i="82"/>
  <c r="DC65" i="3"/>
  <c r="EA109" i="2"/>
  <c r="DY74" i="2"/>
  <c r="DY206" i="2"/>
  <c r="DY57" i="2"/>
  <c r="EA54" i="2"/>
  <c r="EA138" i="82"/>
  <c r="EA137" i="82"/>
  <c r="X303" i="113"/>
  <c r="X454" i="113" s="1"/>
  <c r="DC58" i="3"/>
  <c r="EA167" i="2"/>
  <c r="EA210" i="2"/>
  <c r="X381" i="113"/>
  <c r="X41" i="113"/>
  <c r="X383" i="113"/>
  <c r="X382" i="113"/>
  <c r="X377" i="113"/>
  <c r="X378" i="113"/>
  <c r="X379" i="113"/>
  <c r="X32" i="113"/>
  <c r="DC62" i="3"/>
  <c r="DY73" i="2"/>
  <c r="EA55" i="2"/>
  <c r="DY72" i="2"/>
  <c r="EA28" i="2"/>
  <c r="DY110" i="2"/>
  <c r="DX110" i="2"/>
  <c r="EA171" i="82"/>
  <c r="EA71" i="2"/>
  <c r="EA21" i="82"/>
  <c r="EA169" i="2"/>
  <c r="X14" i="113"/>
  <c r="EA151" i="2"/>
  <c r="DW110" i="2"/>
  <c r="EA220" i="2"/>
  <c r="EA29" i="2"/>
  <c r="DC61" i="3"/>
  <c r="X176" i="113"/>
  <c r="X216" i="113"/>
  <c r="EA104" i="2"/>
  <c r="DY34" i="82"/>
  <c r="ED35" i="82" s="1"/>
  <c r="X453" i="113"/>
  <c r="X37" i="113"/>
  <c r="X455" i="113"/>
  <c r="EE90" i="2"/>
  <c r="EF20" i="2"/>
  <c r="EF65" i="1"/>
  <c r="EF85" i="1"/>
  <c r="EF11" i="82"/>
  <c r="EF124" i="1"/>
  <c r="Y256" i="113"/>
  <c r="Y271" i="113"/>
  <c r="Y285" i="113"/>
  <c r="Y263" i="113"/>
  <c r="ED125" i="1"/>
  <c r="ED126" i="1"/>
  <c r="EE126" i="1"/>
  <c r="ED127" i="1"/>
  <c r="Y68" i="113"/>
  <c r="DH80" i="7"/>
  <c r="H7" i="15"/>
  <c r="H8" i="15" s="1"/>
  <c r="FB9" i="2"/>
  <c r="EF63" i="2"/>
  <c r="EE102" i="2"/>
  <c r="V40" i="11"/>
  <c r="EF169" i="82"/>
  <c r="EF17" i="2"/>
  <c r="EE89" i="2"/>
  <c r="ED328" i="1"/>
  <c r="EF24" i="2"/>
  <c r="EE92" i="2"/>
  <c r="ED330" i="1"/>
  <c r="EF98" i="82"/>
  <c r="EF87" i="82"/>
  <c r="EF112" i="82"/>
  <c r="EF57" i="82"/>
  <c r="EF23" i="2"/>
  <c r="EF278" i="2" s="1"/>
  <c r="EE91" i="2"/>
  <c r="Y151" i="113"/>
  <c r="Y130" i="113"/>
  <c r="Y10" i="113"/>
  <c r="Y29" i="113"/>
  <c r="Y213" i="113"/>
  <c r="Y174" i="113" s="1"/>
  <c r="Y356" i="113"/>
  <c r="Y355" i="113"/>
  <c r="Y350" i="113"/>
  <c r="Y351" i="113"/>
  <c r="EF12" i="2"/>
  <c r="EE87" i="2"/>
  <c r="EF101" i="2"/>
  <c r="Y354" i="113"/>
  <c r="ED187" i="82"/>
  <c r="Y106" i="113"/>
  <c r="Y87" i="113"/>
  <c r="X110" i="113"/>
  <c r="EF203" i="2" l="1"/>
  <c r="EA20" i="82"/>
  <c r="X327" i="113" s="1"/>
  <c r="X401" i="113" s="1"/>
  <c r="DY152" i="82"/>
  <c r="DY150" i="82" s="1"/>
  <c r="ED160" i="82" s="1"/>
  <c r="EA34" i="82"/>
  <c r="EA35" i="82" s="1"/>
  <c r="EA281" i="2"/>
  <c r="EA310" i="2" s="1"/>
  <c r="EA311" i="2" s="1"/>
  <c r="EF276" i="2"/>
  <c r="EF301" i="2" s="1"/>
  <c r="EF302" i="2" s="1"/>
  <c r="EF277" i="2"/>
  <c r="EF275" i="2"/>
  <c r="DD93" i="3"/>
  <c r="DY208" i="2"/>
  <c r="DZ208" i="2"/>
  <c r="EA326" i="2"/>
  <c r="EA321" i="2"/>
  <c r="EA330" i="2" s="1"/>
  <c r="ED56" i="1"/>
  <c r="EE56" i="1"/>
  <c r="DZ111" i="2"/>
  <c r="EA223" i="2"/>
  <c r="ED107" i="2"/>
  <c r="EF305" i="2"/>
  <c r="EF306" i="2" s="1"/>
  <c r="ED103" i="2"/>
  <c r="ED108" i="2"/>
  <c r="EF308" i="2"/>
  <c r="EF309" i="2" s="1"/>
  <c r="ED106" i="2"/>
  <c r="ED105" i="2"/>
  <c r="DF76" i="3"/>
  <c r="DF72" i="3"/>
  <c r="DF84" i="3"/>
  <c r="ED40" i="1"/>
  <c r="ED288" i="2"/>
  <c r="X217" i="113"/>
  <c r="X234" i="113" s="1"/>
  <c r="X233" i="113"/>
  <c r="X242" i="113"/>
  <c r="EC107" i="2"/>
  <c r="EC105" i="2"/>
  <c r="EC106" i="2"/>
  <c r="EC103" i="2"/>
  <c r="EC108" i="2"/>
  <c r="EB56" i="1"/>
  <c r="EC56" i="1"/>
  <c r="EB10" i="1"/>
  <c r="EB17" i="1"/>
  <c r="EB18" i="1" s="1"/>
  <c r="EB19" i="1" s="1"/>
  <c r="EB87" i="1"/>
  <c r="EB106" i="2"/>
  <c r="EB105" i="2"/>
  <c r="EB103" i="2"/>
  <c r="EB107" i="2"/>
  <c r="DZ95" i="2"/>
  <c r="EF330" i="1"/>
  <c r="EB108" i="2"/>
  <c r="EB59" i="1"/>
  <c r="EB60" i="1" s="1"/>
  <c r="EB61" i="1" s="1"/>
  <c r="EB31" i="1"/>
  <c r="EB32" i="1" s="1"/>
  <c r="EB33" i="1" s="1"/>
  <c r="EF87" i="1"/>
  <c r="EF51" i="1"/>
  <c r="Y344" i="113"/>
  <c r="Y194" i="113"/>
  <c r="EF492" i="1"/>
  <c r="EF498" i="1"/>
  <c r="EF328" i="1"/>
  <c r="EF13" i="2"/>
  <c r="EF327" i="1"/>
  <c r="DY35" i="82"/>
  <c r="DY36" i="82"/>
  <c r="DZ36" i="82"/>
  <c r="DV344" i="1"/>
  <c r="ED329" i="1"/>
  <c r="EE88" i="2"/>
  <c r="Y252" i="113"/>
  <c r="Y269" i="113" s="1"/>
  <c r="Y268" i="113"/>
  <c r="Y62" i="113"/>
  <c r="Y99" i="113"/>
  <c r="DA100" i="3"/>
  <c r="DA87" i="3"/>
  <c r="DA85" i="3"/>
  <c r="DA84" i="3"/>
  <c r="DY161" i="2"/>
  <c r="DY182" i="2"/>
  <c r="DY164" i="2"/>
  <c r="DY179" i="2"/>
  <c r="DA89" i="3"/>
  <c r="DY184" i="82"/>
  <c r="EA152" i="2"/>
  <c r="X177" i="113"/>
  <c r="X196" i="113"/>
  <c r="X371" i="113"/>
  <c r="X375" i="113" s="1"/>
  <c r="EA57" i="2"/>
  <c r="EA110" i="2"/>
  <c r="DC66" i="3"/>
  <c r="DC18" i="3" s="1"/>
  <c r="DY334" i="1"/>
  <c r="DY95" i="2"/>
  <c r="DY76" i="2"/>
  <c r="DY30" i="82"/>
  <c r="ED31" i="82" s="1"/>
  <c r="EA19" i="82"/>
  <c r="X13" i="113"/>
  <c r="X34" i="113"/>
  <c r="X43" i="113"/>
  <c r="X399" i="113"/>
  <c r="EA170" i="82"/>
  <c r="DY207" i="2"/>
  <c r="DY212" i="2"/>
  <c r="EA73" i="2"/>
  <c r="EA157" i="2"/>
  <c r="EA175" i="2"/>
  <c r="EA366" i="82"/>
  <c r="EA170" i="2"/>
  <c r="EA136" i="2"/>
  <c r="EA74" i="2"/>
  <c r="DX111" i="2"/>
  <c r="DW111" i="2"/>
  <c r="EA206" i="2"/>
  <c r="EA179" i="82"/>
  <c r="EA125" i="82" s="1"/>
  <c r="X22" i="113"/>
  <c r="FA55" i="2"/>
  <c r="DY111" i="2"/>
  <c r="EA72" i="2"/>
  <c r="EA154" i="2"/>
  <c r="EA172" i="2"/>
  <c r="X207" i="113"/>
  <c r="X203" i="113"/>
  <c r="DH83" i="7"/>
  <c r="DH89" i="7"/>
  <c r="DH94" i="7"/>
  <c r="DH98" i="7"/>
  <c r="DH104" i="7"/>
  <c r="DH82" i="7"/>
  <c r="DH73" i="7" s="1"/>
  <c r="DH92" i="7"/>
  <c r="DH96" i="7"/>
  <c r="DH91" i="7"/>
  <c r="EF99" i="82"/>
  <c r="EF115" i="82"/>
  <c r="Y152" i="113"/>
  <c r="Y164" i="113"/>
  <c r="EF46" i="2"/>
  <c r="EF48" i="2"/>
  <c r="EF125" i="1"/>
  <c r="EF127" i="1"/>
  <c r="Y105" i="113"/>
  <c r="EF26" i="2"/>
  <c r="EF117" i="2"/>
  <c r="EE105" i="2"/>
  <c r="FB17" i="2"/>
  <c r="EF66" i="2"/>
  <c r="EF137" i="2"/>
  <c r="EF390" i="2"/>
  <c r="EF391" i="2" s="1"/>
  <c r="Y284" i="113"/>
  <c r="Y275" i="113"/>
  <c r="Y353" i="113"/>
  <c r="Y357" i="113" s="1"/>
  <c r="Y175" i="113"/>
  <c r="FB23" i="2"/>
  <c r="EF123" i="2"/>
  <c r="EF68" i="2"/>
  <c r="EF143" i="2"/>
  <c r="EE107" i="2"/>
  <c r="FB24" i="2"/>
  <c r="EF126" i="2"/>
  <c r="EF75" i="2"/>
  <c r="EF146" i="2"/>
  <c r="EE108" i="2"/>
  <c r="Y258" i="113"/>
  <c r="EE93" i="2"/>
  <c r="ED128" i="1"/>
  <c r="ED129" i="1"/>
  <c r="EE129" i="1"/>
  <c r="ED133" i="1"/>
  <c r="ED134" i="1"/>
  <c r="ED55" i="2"/>
  <c r="DH169" i="7"/>
  <c r="EF102" i="2"/>
  <c r="FB12" i="2"/>
  <c r="EF114" i="2"/>
  <c r="EF64" i="2"/>
  <c r="EF70" i="2"/>
  <c r="EE103" i="2"/>
  <c r="EF133" i="2"/>
  <c r="Y11" i="113"/>
  <c r="Y12" i="113" s="1"/>
  <c r="Y30" i="113"/>
  <c r="Y40" i="113"/>
  <c r="Y365" i="113"/>
  <c r="Y360" i="113"/>
  <c r="Y361" i="113"/>
  <c r="Y359" i="113"/>
  <c r="Y363" i="113"/>
  <c r="ED331" i="1"/>
  <c r="ED332" i="1"/>
  <c r="ED333" i="1"/>
  <c r="EE333" i="1"/>
  <c r="DH15" i="3"/>
  <c r="EF56" i="2"/>
  <c r="ED180" i="82"/>
  <c r="ED136" i="1"/>
  <c r="FB20" i="2"/>
  <c r="EF67" i="2"/>
  <c r="EF120" i="2"/>
  <c r="EE106" i="2"/>
  <c r="EF140" i="2"/>
  <c r="EA152" i="82" l="1"/>
  <c r="EA33" i="82"/>
  <c r="DY154" i="82"/>
  <c r="EA154" i="82" s="1"/>
  <c r="EA331" i="2"/>
  <c r="DM176" i="7"/>
  <c r="EF289" i="2"/>
  <c r="EF303" i="2"/>
  <c r="EF304" i="2" s="1"/>
  <c r="EF290" i="2"/>
  <c r="EF299" i="2"/>
  <c r="EF300" i="2" s="1"/>
  <c r="DD95" i="3"/>
  <c r="DY214" i="2"/>
  <c r="DZ214" i="2"/>
  <c r="EB11" i="1"/>
  <c r="ED281" i="2"/>
  <c r="ED310" i="2" s="1"/>
  <c r="ED311" i="2" s="1"/>
  <c r="EB174" i="2"/>
  <c r="ED109" i="2"/>
  <c r="ED104" i="2"/>
  <c r="ED57" i="2"/>
  <c r="ED136" i="2"/>
  <c r="ED206" i="2"/>
  <c r="ED74" i="2"/>
  <c r="EF134" i="2"/>
  <c r="EF288" i="2"/>
  <c r="EF287" i="2"/>
  <c r="EF138" i="2"/>
  <c r="EF285" i="2"/>
  <c r="EC104" i="2"/>
  <c r="EF144" i="2"/>
  <c r="EF284" i="2"/>
  <c r="EF141" i="2"/>
  <c r="EF286" i="2"/>
  <c r="EF147" i="2"/>
  <c r="EB109" i="2"/>
  <c r="EC109" i="2"/>
  <c r="EF31" i="1"/>
  <c r="EF33" i="1" s="1"/>
  <c r="EB130" i="1"/>
  <c r="EC130" i="1"/>
  <c r="EB24" i="1"/>
  <c r="EB38" i="1" s="1"/>
  <c r="EB52" i="1" s="1"/>
  <c r="EB53" i="1" s="1"/>
  <c r="EB54" i="1" s="1"/>
  <c r="DY156" i="82"/>
  <c r="X326" i="113"/>
  <c r="X392" i="113" s="1"/>
  <c r="X329" i="113"/>
  <c r="X331" i="113" s="1"/>
  <c r="X332" i="113" s="1"/>
  <c r="X337" i="113"/>
  <c r="DY163" i="82"/>
  <c r="ED164" i="82" s="1"/>
  <c r="DY160" i="82"/>
  <c r="EA150" i="82"/>
  <c r="DZ181" i="2"/>
  <c r="DZ163" i="2"/>
  <c r="EA334" i="1"/>
  <c r="EB104" i="2"/>
  <c r="EF9" i="82"/>
  <c r="EF499" i="1"/>
  <c r="EF59" i="1"/>
  <c r="EB187" i="82"/>
  <c r="DY32" i="82"/>
  <c r="DZ32" i="82"/>
  <c r="EF150" i="2"/>
  <c r="EF166" i="2"/>
  <c r="EF65" i="2"/>
  <c r="FB13" i="2"/>
  <c r="EF27" i="2"/>
  <c r="EE104" i="2"/>
  <c r="EE94" i="2"/>
  <c r="EF54" i="2"/>
  <c r="ED220" i="2"/>
  <c r="ED171" i="82"/>
  <c r="ED170" i="82" s="1"/>
  <c r="Y253" i="113"/>
  <c r="Y280" i="113" s="1"/>
  <c r="Y283" i="113"/>
  <c r="DY335" i="1"/>
  <c r="ED130" i="1"/>
  <c r="EA341" i="1"/>
  <c r="EF329" i="1"/>
  <c r="Y112" i="113"/>
  <c r="Y75" i="113"/>
  <c r="DY112" i="2"/>
  <c r="DZ112" i="2"/>
  <c r="DY181" i="2"/>
  <c r="DY180" i="2"/>
  <c r="DY163" i="2"/>
  <c r="DY162" i="2"/>
  <c r="EA182" i="82"/>
  <c r="EA184" i="82" s="1"/>
  <c r="EA111" i="2"/>
  <c r="EA176" i="2"/>
  <c r="X197" i="113"/>
  <c r="X206" i="113"/>
  <c r="X380" i="113"/>
  <c r="EA212" i="2"/>
  <c r="EA207" i="2"/>
  <c r="EA158" i="2"/>
  <c r="EA173" i="2"/>
  <c r="EA30" i="82"/>
  <c r="EA155" i="2"/>
  <c r="DY188" i="82"/>
  <c r="EA118" i="82"/>
  <c r="DY213" i="2"/>
  <c r="DC105" i="7"/>
  <c r="G16" i="15"/>
  <c r="X25" i="113"/>
  <c r="X36" i="113"/>
  <c r="X443" i="113"/>
  <c r="X442" i="113"/>
  <c r="X446" i="113"/>
  <c r="X444" i="113"/>
  <c r="X441" i="113"/>
  <c r="X440" i="113"/>
  <c r="EA403" i="82"/>
  <c r="EA377" i="82"/>
  <c r="EA367" i="82"/>
  <c r="EA368" i="82" s="1"/>
  <c r="EA411" i="82"/>
  <c r="G10" i="15"/>
  <c r="EA161" i="2"/>
  <c r="DX112" i="2"/>
  <c r="DW112" i="2"/>
  <c r="EA76" i="2"/>
  <c r="EA182" i="2"/>
  <c r="EA164" i="2"/>
  <c r="U30" i="11"/>
  <c r="EA179" i="2"/>
  <c r="EA136" i="82"/>
  <c r="X302" i="113"/>
  <c r="X445" i="113" s="1"/>
  <c r="X33" i="113"/>
  <c r="X390" i="113"/>
  <c r="DH63" i="3"/>
  <c r="EF107" i="2"/>
  <c r="EF136" i="1"/>
  <c r="EF105" i="2"/>
  <c r="Y32" i="113"/>
  <c r="Y383" i="113"/>
  <c r="Y41" i="113"/>
  <c r="Y377" i="113"/>
  <c r="Y378" i="113"/>
  <c r="Y31" i="113"/>
  <c r="Y374" i="113"/>
  <c r="Y370" i="113"/>
  <c r="Y372" i="113"/>
  <c r="Y368" i="113"/>
  <c r="DH172" i="7"/>
  <c r="DH176" i="7"/>
  <c r="EF331" i="1"/>
  <c r="EF332" i="1"/>
  <c r="Y369" i="113"/>
  <c r="Y286" i="113"/>
  <c r="Y259" i="113"/>
  <c r="Y381" i="113"/>
  <c r="Y379" i="113"/>
  <c r="DH11" i="3"/>
  <c r="EF124" i="2"/>
  <c r="EF115" i="2"/>
  <c r="DH73" i="3"/>
  <c r="EF108" i="2"/>
  <c r="DH64" i="3"/>
  <c r="EF106" i="2"/>
  <c r="FB56" i="2"/>
  <c r="EF209" i="2"/>
  <c r="EF180" i="82"/>
  <c r="Y23" i="113"/>
  <c r="EF103" i="2"/>
  <c r="EF127" i="2"/>
  <c r="Y205" i="113"/>
  <c r="Y195" i="113"/>
  <c r="Y362" i="113"/>
  <c r="EF118" i="2"/>
  <c r="EF130" i="82"/>
  <c r="Y289" i="113"/>
  <c r="EF204" i="2"/>
  <c r="EF121" i="2"/>
  <c r="ED135" i="1"/>
  <c r="ED137" i="1" s="1"/>
  <c r="EE109" i="2"/>
  <c r="FB26" i="2"/>
  <c r="EF69" i="2"/>
  <c r="EF128" i="1"/>
  <c r="EE130" i="1"/>
  <c r="EF134" i="1"/>
  <c r="EF133" i="1"/>
  <c r="EF17" i="82"/>
  <c r="EA31" i="82" l="1"/>
  <c r="ED208" i="2"/>
  <c r="EE208" i="2"/>
  <c r="EF317" i="2"/>
  <c r="EF315" i="2" s="1"/>
  <c r="EF324" i="2" s="1"/>
  <c r="EB12" i="1"/>
  <c r="DZ215" i="2"/>
  <c r="DF89" i="3"/>
  <c r="ED110" i="2"/>
  <c r="ED223" i="2"/>
  <c r="ED212" i="2"/>
  <c r="ED207" i="2"/>
  <c r="ED161" i="2"/>
  <c r="ED182" i="2"/>
  <c r="ED179" i="2"/>
  <c r="ED95" i="2"/>
  <c r="ED76" i="2"/>
  <c r="ED164" i="2"/>
  <c r="EF167" i="2"/>
  <c r="EC110" i="2"/>
  <c r="EF210" i="2"/>
  <c r="EF32" i="1"/>
  <c r="EF24" i="1"/>
  <c r="EF38" i="1" s="1"/>
  <c r="EB39" i="1"/>
  <c r="EB25" i="1"/>
  <c r="EB26" i="1" s="1"/>
  <c r="DY164" i="82"/>
  <c r="EA160" i="82"/>
  <c r="EA163" i="82"/>
  <c r="EA164" i="82" s="1"/>
  <c r="DY157" i="82"/>
  <c r="EA156" i="82"/>
  <c r="EA157" i="82" s="1"/>
  <c r="EB110" i="2"/>
  <c r="DH168" i="7"/>
  <c r="DH178" i="7" s="1"/>
  <c r="EF45" i="1"/>
  <c r="EF493" i="1" s="1"/>
  <c r="EF494" i="1" s="1"/>
  <c r="EF495" i="1" s="1"/>
  <c r="EF40" i="82"/>
  <c r="EF13" i="82"/>
  <c r="EF61" i="1"/>
  <c r="EF60" i="1"/>
  <c r="EF104" i="2"/>
  <c r="EA343" i="1"/>
  <c r="EA344" i="1" s="1"/>
  <c r="EF171" i="82"/>
  <c r="EF170" i="82" s="1"/>
  <c r="EF29" i="2"/>
  <c r="EF21" i="82"/>
  <c r="EF71" i="2"/>
  <c r="FB27" i="2"/>
  <c r="EF220" i="2"/>
  <c r="EF151" i="2"/>
  <c r="EF169" i="2"/>
  <c r="Y14" i="113"/>
  <c r="EE110" i="2"/>
  <c r="EE26" i="82"/>
  <c r="Y270" i="113"/>
  <c r="EA342" i="1"/>
  <c r="EA335" i="1"/>
  <c r="EA112" i="2"/>
  <c r="EA144" i="82"/>
  <c r="EA145" i="82" s="1"/>
  <c r="EA188" i="82"/>
  <c r="EA127" i="82"/>
  <c r="EA133" i="82"/>
  <c r="X295" i="113"/>
  <c r="EA213" i="2"/>
  <c r="DY215" i="2"/>
  <c r="DW215" i="2"/>
  <c r="DX215" i="2"/>
  <c r="EA116" i="82"/>
  <c r="EA117" i="82" s="1"/>
  <c r="EA132" i="82" s="1"/>
  <c r="X98" i="113"/>
  <c r="X384" i="113"/>
  <c r="X140" i="113"/>
  <c r="X61" i="113"/>
  <c r="EA162" i="2"/>
  <c r="X464" i="113"/>
  <c r="X42" i="113"/>
  <c r="X458" i="113"/>
  <c r="X460" i="113"/>
  <c r="X459" i="113"/>
  <c r="X462" i="113"/>
  <c r="X461" i="113"/>
  <c r="X38" i="113"/>
  <c r="G12" i="15"/>
  <c r="G11" i="15"/>
  <c r="X447" i="113"/>
  <c r="EA120" i="82"/>
  <c r="EF109" i="2"/>
  <c r="EA180" i="2"/>
  <c r="DH62" i="3"/>
  <c r="ED179" i="82"/>
  <c r="ED182" i="82" s="1"/>
  <c r="Y272" i="113"/>
  <c r="FB54" i="2"/>
  <c r="DH70" i="3"/>
  <c r="Y291" i="113"/>
  <c r="Y293" i="113"/>
  <c r="Y346" i="113"/>
  <c r="Y348" i="113" s="1"/>
  <c r="Y307" i="113"/>
  <c r="DH61" i="3"/>
  <c r="DH23" i="3"/>
  <c r="EF24" i="82"/>
  <c r="EF44" i="82"/>
  <c r="DH58" i="3"/>
  <c r="Y37" i="113"/>
  <c r="Y455" i="113"/>
  <c r="Y453" i="113"/>
  <c r="DH76" i="3"/>
  <c r="DH81" i="3"/>
  <c r="EF55" i="2"/>
  <c r="EF135" i="1"/>
  <c r="DH182" i="7" l="1"/>
  <c r="DH181" i="7" s="1"/>
  <c r="DM174" i="7"/>
  <c r="ED214" i="2"/>
  <c r="EE214" i="2"/>
  <c r="EF321" i="2"/>
  <c r="EF330" i="2" s="1"/>
  <c r="EF326" i="2"/>
  <c r="EE181" i="2"/>
  <c r="EE163" i="2"/>
  <c r="EF281" i="2"/>
  <c r="EF310" i="2" s="1"/>
  <c r="EF311" i="2" s="1"/>
  <c r="EF223" i="2"/>
  <c r="EF72" i="2"/>
  <c r="ED180" i="2"/>
  <c r="ED181" i="2"/>
  <c r="ED163" i="2"/>
  <c r="ED162" i="2"/>
  <c r="ED213" i="2"/>
  <c r="EC111" i="2"/>
  <c r="ED111" i="2"/>
  <c r="FB29" i="2"/>
  <c r="EB40" i="1"/>
  <c r="EF10" i="1"/>
  <c r="EF11" i="1" s="1"/>
  <c r="EF12" i="1" s="1"/>
  <c r="EF25" i="1"/>
  <c r="EF26" i="1" s="1"/>
  <c r="EF57" i="2"/>
  <c r="EB111" i="2"/>
  <c r="EF34" i="82"/>
  <c r="EF69" i="82"/>
  <c r="EF52" i="82"/>
  <c r="EF51" i="82"/>
  <c r="Y212" i="113"/>
  <c r="Y230" i="113" s="1"/>
  <c r="EF56" i="82"/>
  <c r="EF42" i="82"/>
  <c r="EF43" i="82" s="1"/>
  <c r="EF187" i="82"/>
  <c r="EF52" i="1"/>
  <c r="EF53" i="1" s="1"/>
  <c r="EF54" i="1" s="1"/>
  <c r="EF39" i="1"/>
  <c r="EF47" i="1"/>
  <c r="EF46" i="1"/>
  <c r="EF14" i="82"/>
  <c r="Y399" i="113"/>
  <c r="Y34" i="113"/>
  <c r="Y43" i="113"/>
  <c r="Y13" i="113"/>
  <c r="Y390" i="113" s="1"/>
  <c r="ED184" i="82"/>
  <c r="ED334" i="1"/>
  <c r="ED335" i="1" s="1"/>
  <c r="EE95" i="2"/>
  <c r="EF175" i="2"/>
  <c r="EF366" i="82"/>
  <c r="EF403" i="82" s="1"/>
  <c r="EF170" i="2"/>
  <c r="EF157" i="2"/>
  <c r="EF73" i="2"/>
  <c r="EF110" i="2"/>
  <c r="EF152" i="2"/>
  <c r="EE36" i="82"/>
  <c r="EF172" i="2"/>
  <c r="EG174" i="2" s="1"/>
  <c r="EF154" i="2"/>
  <c r="EE32" i="82"/>
  <c r="EF25" i="82"/>
  <c r="DH65" i="3"/>
  <c r="EA215" i="2"/>
  <c r="X311" i="113"/>
  <c r="X400" i="113"/>
  <c r="X317" i="113"/>
  <c r="X294" i="113"/>
  <c r="X391" i="113" s="1"/>
  <c r="X297" i="113"/>
  <c r="X304" i="113"/>
  <c r="X53" i="113"/>
  <c r="X187" i="113"/>
  <c r="X449" i="113"/>
  <c r="X74" i="113"/>
  <c r="X90" i="113"/>
  <c r="X111" i="113"/>
  <c r="X450" i="113"/>
  <c r="X451" i="113"/>
  <c r="X157" i="113"/>
  <c r="X132" i="113"/>
  <c r="EA131" i="82"/>
  <c r="EA141" i="82"/>
  <c r="EA122" i="82"/>
  <c r="DH55" i="7"/>
  <c r="DH72" i="3"/>
  <c r="DH66" i="3"/>
  <c r="DH18" i="3" s="1"/>
  <c r="Y314" i="113"/>
  <c r="Y292" i="113"/>
  <c r="Y364" i="113"/>
  <c r="Y366" i="113" s="1"/>
  <c r="Y308" i="113"/>
  <c r="FB55" i="2"/>
  <c r="EF136" i="2"/>
  <c r="EF74" i="2"/>
  <c r="EE111" i="2"/>
  <c r="EF206" i="2"/>
  <c r="Y22" i="113"/>
  <c r="EF179" i="82"/>
  <c r="EF61" i="82"/>
  <c r="EF75" i="82"/>
  <c r="Y218" i="113"/>
  <c r="Y309" i="113"/>
  <c r="Y382" i="113"/>
  <c r="EF137" i="1"/>
  <c r="ED188" i="82"/>
  <c r="DH32" i="3"/>
  <c r="H15" i="15"/>
  <c r="EF331" i="2" l="1"/>
  <c r="ED112" i="2"/>
  <c r="EF35" i="82"/>
  <c r="EF158" i="2"/>
  <c r="EF155" i="2"/>
  <c r="EF173" i="2"/>
  <c r="EF17" i="1"/>
  <c r="EF18" i="1" s="1"/>
  <c r="EF19" i="1" s="1"/>
  <c r="Y235" i="113"/>
  <c r="Y244" i="113"/>
  <c r="EF76" i="2"/>
  <c r="EC112" i="2"/>
  <c r="H10" i="15"/>
  <c r="H12" i="15" s="1"/>
  <c r="V30" i="11"/>
  <c r="EF161" i="2"/>
  <c r="EF334" i="1"/>
  <c r="EF335" i="1" s="1"/>
  <c r="EF182" i="2"/>
  <c r="FB57" i="2"/>
  <c r="EF164" i="2"/>
  <c r="EE112" i="2"/>
  <c r="EF179" i="2"/>
  <c r="EB112" i="2"/>
  <c r="Y226" i="113"/>
  <c r="Y238" i="113" s="1"/>
  <c r="EF65" i="82"/>
  <c r="EF126" i="82"/>
  <c r="EF40" i="1"/>
  <c r="EF58" i="82"/>
  <c r="Y214" i="113"/>
  <c r="EF53" i="82"/>
  <c r="EF66" i="82" s="1"/>
  <c r="EF20" i="82"/>
  <c r="EF64" i="82"/>
  <c r="Y225" i="113"/>
  <c r="Y237" i="113" s="1"/>
  <c r="Y33" i="113"/>
  <c r="EF176" i="2"/>
  <c r="EF367" i="82"/>
  <c r="EF368" i="82" s="1"/>
  <c r="EF377" i="82"/>
  <c r="EF411" i="82"/>
  <c r="EA123" i="82"/>
  <c r="EA134" i="82"/>
  <c r="X299" i="113"/>
  <c r="X318" i="113" s="1"/>
  <c r="EA146" i="82"/>
  <c r="X396" i="113"/>
  <c r="X108" i="113"/>
  <c r="X117" i="113"/>
  <c r="X92" i="113"/>
  <c r="X89" i="113"/>
  <c r="X166" i="113"/>
  <c r="X397" i="113"/>
  <c r="X154" i="113"/>
  <c r="X131" i="113"/>
  <c r="X134" i="113"/>
  <c r="X179" i="113"/>
  <c r="X202" i="113"/>
  <c r="X452" i="113"/>
  <c r="X456" i="113" s="1"/>
  <c r="X310" i="113"/>
  <c r="X463" i="113"/>
  <c r="X465" i="113" s="1"/>
  <c r="X316" i="113"/>
  <c r="X71" i="113"/>
  <c r="X80" i="113"/>
  <c r="X395" i="113"/>
  <c r="X52" i="113"/>
  <c r="EF125" i="82"/>
  <c r="EF182" i="82"/>
  <c r="EF184" i="82" s="1"/>
  <c r="Y36" i="113"/>
  <c r="Y446" i="113"/>
  <c r="Y444" i="113"/>
  <c r="Y25" i="113"/>
  <c r="EF76" i="82"/>
  <c r="EF60" i="82"/>
  <c r="EF59" i="82"/>
  <c r="EF70" i="82"/>
  <c r="DH105" i="7"/>
  <c r="H16" i="15"/>
  <c r="EF207" i="2"/>
  <c r="EF212" i="2"/>
  <c r="Y373" i="113"/>
  <c r="Y215" i="113"/>
  <c r="Y232" i="113" s="1"/>
  <c r="EF111" i="2"/>
  <c r="ED215" i="2" l="1"/>
  <c r="EC215" i="2"/>
  <c r="Y241" i="113"/>
  <c r="Y231" i="113"/>
  <c r="H11" i="15"/>
  <c r="EF162" i="2"/>
  <c r="EF180" i="2"/>
  <c r="EF112" i="2"/>
  <c r="Y227" i="113"/>
  <c r="Y97" i="113"/>
  <c r="Y60" i="113"/>
  <c r="Y139" i="113"/>
  <c r="Y327" i="113"/>
  <c r="EF33" i="82"/>
  <c r="EF138" i="82"/>
  <c r="Y303" i="113"/>
  <c r="Y454" i="113" s="1"/>
  <c r="EF137" i="82"/>
  <c r="EF19" i="82"/>
  <c r="X153" i="113"/>
  <c r="X388" i="113"/>
  <c r="X107" i="113"/>
  <c r="X387" i="113"/>
  <c r="X70" i="113"/>
  <c r="X386" i="113"/>
  <c r="X208" i="113"/>
  <c r="X199" i="113"/>
  <c r="X398" i="113"/>
  <c r="X402" i="113" s="1"/>
  <c r="X178" i="113"/>
  <c r="EA135" i="82"/>
  <c r="X300" i="113"/>
  <c r="X312" i="113" s="1"/>
  <c r="EB215" i="2"/>
  <c r="EF213" i="2"/>
  <c r="EE215" i="2"/>
  <c r="EF136" i="82"/>
  <c r="Y302" i="113"/>
  <c r="Y445" i="113" s="1"/>
  <c r="Y176" i="113"/>
  <c r="Y216" i="113"/>
  <c r="Y38" i="113"/>
  <c r="Y42" i="113"/>
  <c r="Y460" i="113"/>
  <c r="Y462" i="113"/>
  <c r="Y459" i="113"/>
  <c r="Y458" i="113"/>
  <c r="Y188" i="113" l="1"/>
  <c r="Y239" i="113"/>
  <c r="Y243" i="113"/>
  <c r="Y217" i="113"/>
  <c r="Y234" i="113" s="1"/>
  <c r="Y233" i="113"/>
  <c r="Y242" i="113"/>
  <c r="Y186" i="113"/>
  <c r="Y201" i="113" s="1"/>
  <c r="Y156" i="113"/>
  <c r="Y442" i="113"/>
  <c r="EF30" i="82"/>
  <c r="Y73" i="113"/>
  <c r="Y440" i="113"/>
  <c r="EB133" i="82"/>
  <c r="EB144" i="82"/>
  <c r="EG145" i="82" s="1"/>
  <c r="EF118" i="82"/>
  <c r="Y110" i="113"/>
  <c r="Y441" i="113"/>
  <c r="Y329" i="113"/>
  <c r="Y331" i="113" s="1"/>
  <c r="Y332" i="113" s="1"/>
  <c r="Y401" i="113"/>
  <c r="Y326" i="113"/>
  <c r="Y392" i="113" s="1"/>
  <c r="Y337" i="113"/>
  <c r="X389" i="113"/>
  <c r="X393" i="113" s="1"/>
  <c r="X198" i="113"/>
  <c r="EF215" i="2"/>
  <c r="Y196" i="113"/>
  <c r="Y371" i="113"/>
  <c r="Y375" i="113" s="1"/>
  <c r="Y177" i="113"/>
  <c r="Y461" i="113" l="1"/>
  <c r="EB145" i="82"/>
  <c r="EF31" i="82"/>
  <c r="Y207" i="113"/>
  <c r="Y203" i="113"/>
  <c r="Y443" i="113"/>
  <c r="Y447" i="113" s="1"/>
  <c r="EB131" i="82"/>
  <c r="EB141" i="82"/>
  <c r="EF116" i="82"/>
  <c r="EF133" i="82"/>
  <c r="Y295" i="113"/>
  <c r="EF144" i="82"/>
  <c r="EF145" i="82" s="1"/>
  <c r="EF127" i="82"/>
  <c r="Y464" i="113"/>
  <c r="EF120" i="82"/>
  <c r="Y197" i="113"/>
  <c r="Y206" i="113"/>
  <c r="Y380" i="113"/>
  <c r="EF117" i="82" l="1"/>
  <c r="EF132" i="82" s="1"/>
  <c r="EF131" i="82"/>
  <c r="EF141" i="82"/>
  <c r="Y297" i="113"/>
  <c r="Y311" i="113"/>
  <c r="Y317" i="113"/>
  <c r="Y400" i="113"/>
  <c r="Y294" i="113"/>
  <c r="Y304" i="113"/>
  <c r="EB146" i="82"/>
  <c r="EB134" i="82"/>
  <c r="EF122" i="82"/>
  <c r="Y61" i="113"/>
  <c r="Y384" i="113"/>
  <c r="Y140" i="113"/>
  <c r="Y98" i="113"/>
  <c r="EB135" i="82" l="1"/>
  <c r="Y316" i="113"/>
  <c r="Y310" i="113"/>
  <c r="Y463" i="113"/>
  <c r="Y465" i="113" s="1"/>
  <c r="Y391" i="113"/>
  <c r="Y299" i="113"/>
  <c r="Y318" i="113" s="1"/>
  <c r="EF146" i="82"/>
  <c r="EF123" i="82"/>
  <c r="EF134" i="82"/>
  <c r="Y450" i="113"/>
  <c r="Y111" i="113"/>
  <c r="Y90" i="113"/>
  <c r="Y74" i="113"/>
  <c r="Y449" i="113"/>
  <c r="Y187" i="113"/>
  <c r="Y53" i="113"/>
  <c r="Y157" i="113"/>
  <c r="Y451" i="113"/>
  <c r="Y132" i="113"/>
  <c r="Y300" i="113" l="1"/>
  <c r="Y312" i="113" s="1"/>
  <c r="EF135" i="82"/>
  <c r="Y71" i="113"/>
  <c r="Y80" i="113"/>
  <c r="Y395" i="113"/>
  <c r="Y52" i="113"/>
  <c r="Y202" i="113"/>
  <c r="Y452" i="113"/>
  <c r="Y456" i="113" s="1"/>
  <c r="Y179" i="113"/>
  <c r="Y134" i="113"/>
  <c r="Y166" i="113"/>
  <c r="Y154" i="113"/>
  <c r="Y397" i="113"/>
  <c r="Y131" i="113"/>
  <c r="Y92" i="113"/>
  <c r="Y108" i="113"/>
  <c r="Y117" i="113"/>
  <c r="Y396" i="113"/>
  <c r="Y89" i="113"/>
  <c r="Y153" i="113" l="1"/>
  <c r="Y388" i="113"/>
  <c r="Y199" i="113"/>
  <c r="Y208" i="113"/>
  <c r="Y398" i="113"/>
  <c r="Y402" i="113" s="1"/>
  <c r="Y178" i="113"/>
  <c r="Y70" i="113"/>
  <c r="Y386" i="113"/>
  <c r="Y107" i="113"/>
  <c r="Y387" i="113"/>
  <c r="Y198" i="113" l="1"/>
  <c r="Y389" i="113"/>
  <c r="Y393" i="113" s="1"/>
  <c r="DY45" i="82" l="1"/>
  <c r="DY46" i="82" s="1"/>
  <c r="DY174" i="82" l="1"/>
  <c r="DY50" i="2"/>
  <c r="DY172" i="82"/>
  <c r="DY173" i="82" s="1"/>
  <c r="DY47" i="82"/>
  <c r="DY48" i="82" s="1"/>
  <c r="DY62" i="82" s="1"/>
  <c r="DY77" i="2"/>
  <c r="DY200" i="2"/>
  <c r="DY51" i="2" l="1"/>
  <c r="ED81" i="2"/>
  <c r="DY175" i="82"/>
  <c r="DY81" i="2"/>
  <c r="DY42" i="2"/>
  <c r="DY49" i="82"/>
  <c r="DY77" i="82"/>
  <c r="DY82" i="2" l="1"/>
  <c r="DY98" i="2"/>
  <c r="DZ98" i="2"/>
  <c r="ED79" i="2"/>
  <c r="ED82" i="2"/>
  <c r="DY43" i="2"/>
  <c r="DY241" i="2"/>
  <c r="DY79" i="2"/>
  <c r="DY78" i="2"/>
  <c r="DY176" i="82"/>
  <c r="DY96" i="2"/>
  <c r="DY63" i="82"/>
  <c r="DY189" i="82"/>
  <c r="DY242" i="2" l="1"/>
  <c r="DY80" i="2"/>
  <c r="ED80" i="2"/>
  <c r="DY97" i="2"/>
  <c r="DZ97" i="2"/>
  <c r="CY168" i="7" l="1"/>
  <c r="CY70" i="3"/>
  <c r="DC73" i="3"/>
  <c r="CY74" i="3"/>
  <c r="CY76" i="3"/>
  <c r="CY77" i="3"/>
  <c r="CY81" i="3"/>
  <c r="DA92" i="3" l="1"/>
  <c r="CZ92" i="3"/>
  <c r="CY92" i="3"/>
  <c r="DC92" i="3"/>
  <c r="DB92" i="3"/>
  <c r="CY83" i="3"/>
  <c r="DC70" i="3"/>
  <c r="DC72" i="3" s="1"/>
  <c r="DD71" i="3"/>
  <c r="CY175" i="7"/>
  <c r="CZ175" i="7"/>
  <c r="CY174" i="7"/>
  <c r="DD174" i="7"/>
  <c r="DC76" i="3"/>
  <c r="DC168" i="7"/>
  <c r="DC178" i="7" s="1"/>
  <c r="CY182" i="7"/>
  <c r="DC81" i="3"/>
  <c r="CY170" i="7"/>
  <c r="DC170" i="7" s="1"/>
  <c r="CY72" i="3"/>
  <c r="DH74" i="3"/>
  <c r="DC74" i="3"/>
  <c r="CY71" i="3"/>
  <c r="CY93" i="3" l="1"/>
  <c r="CZ93" i="3"/>
  <c r="DA93" i="3"/>
  <c r="CY85" i="3"/>
  <c r="CY100" i="3"/>
  <c r="CY87" i="3"/>
  <c r="CY84" i="3"/>
  <c r="CY89" i="3"/>
  <c r="DD84" i="3"/>
  <c r="DB93" i="3"/>
  <c r="DC93" i="3"/>
  <c r="DH71" i="3"/>
  <c r="DC71" i="3"/>
  <c r="DC182" i="7"/>
  <c r="DC181" i="7" s="1"/>
  <c r="DC174" i="7"/>
  <c r="DH174" i="7"/>
  <c r="CY181" i="7"/>
  <c r="DC171" i="7"/>
  <c r="DD167" i="7" s="1"/>
  <c r="DD170" i="7" s="1"/>
  <c r="DH170" i="7" s="1"/>
  <c r="DA94" i="3" l="1"/>
  <c r="DA95" i="3"/>
  <c r="CZ94" i="3"/>
  <c r="CZ95" i="3"/>
  <c r="CY94" i="3"/>
  <c r="CY95" i="3"/>
  <c r="DD94" i="3"/>
  <c r="DC94" i="3"/>
  <c r="DC95" i="3"/>
  <c r="DB94" i="3"/>
  <c r="DB95" i="3"/>
  <c r="DH167" i="7"/>
  <c r="DH171" i="7" s="1"/>
  <c r="DI167" i="7" s="1"/>
  <c r="DI170" i="7" l="1"/>
  <c r="DM170" i="7" s="1"/>
  <c r="DM167" i="7"/>
  <c r="DM171" i="7" l="1"/>
  <c r="DN167" i="7" s="1"/>
  <c r="DN170" i="7" s="1"/>
  <c r="DR170" i="7" s="1"/>
  <c r="DH20" i="7" l="1"/>
  <c r="DC196" i="7" l="1"/>
  <c r="EA30" i="2"/>
  <c r="EA32" i="2"/>
  <c r="EA33" i="2"/>
  <c r="EA186" i="2"/>
  <c r="DZ172" i="82"/>
  <c r="DZ173" i="82" s="1"/>
  <c r="DZ174" i="82"/>
  <c r="DZ176" i="82"/>
  <c r="EA187" i="2" l="1"/>
  <c r="EA172" i="82"/>
  <c r="EA173" i="82" s="1"/>
  <c r="EA47" i="82"/>
  <c r="X221" i="113" s="1"/>
  <c r="EA45" i="82"/>
  <c r="EA46" i="82" s="1"/>
  <c r="EA36" i="2"/>
  <c r="X15" i="113"/>
  <c r="X16" i="113" s="1"/>
  <c r="X418" i="113" s="1"/>
  <c r="EA174" i="82"/>
  <c r="FA33" i="2"/>
  <c r="EA227" i="2"/>
  <c r="EA230" i="2"/>
  <c r="X17" i="113"/>
  <c r="DZ175" i="82"/>
  <c r="EA198" i="2"/>
  <c r="EA34" i="2"/>
  <c r="G14" i="15"/>
  <c r="G17" i="15" s="1"/>
  <c r="G18" i="15" s="1"/>
  <c r="DB74" i="7"/>
  <c r="DB75" i="7"/>
  <c r="DB76" i="7"/>
  <c r="DC59" i="7"/>
  <c r="DC60" i="7" s="1"/>
  <c r="EA175" i="82" l="1"/>
  <c r="EA48" i="82"/>
  <c r="EA49" i="82" s="1"/>
  <c r="EA200" i="2"/>
  <c r="EA232" i="2"/>
  <c r="EA236" i="2" s="1"/>
  <c r="EA37" i="2"/>
  <c r="X220" i="113"/>
  <c r="X219" i="113"/>
  <c r="X54" i="113" s="1"/>
  <c r="X180" i="113" s="1"/>
  <c r="X181" i="113" s="1"/>
  <c r="EA50" i="2"/>
  <c r="X417" i="113"/>
  <c r="EA77" i="2"/>
  <c r="EA42" i="2"/>
  <c r="X409" i="113"/>
  <c r="X406" i="113"/>
  <c r="DC75" i="7"/>
  <c r="X408" i="113"/>
  <c r="DC9" i="3"/>
  <c r="X405" i="113"/>
  <c r="EA178" i="2"/>
  <c r="X410" i="113"/>
  <c r="EA160" i="2"/>
  <c r="X18" i="113"/>
  <c r="X19" i="113" s="1"/>
  <c r="X35" i="113" s="1"/>
  <c r="X414" i="113"/>
  <c r="X415" i="113"/>
  <c r="X419" i="113"/>
  <c r="EA224" i="2"/>
  <c r="EA199" i="2"/>
  <c r="X427" i="113"/>
  <c r="X426" i="113"/>
  <c r="X428" i="113"/>
  <c r="DC74" i="7"/>
  <c r="EA217" i="2"/>
  <c r="DC62" i="7"/>
  <c r="DC76" i="7"/>
  <c r="DC19" i="3" l="1"/>
  <c r="U19" i="11"/>
  <c r="U20" i="11" s="1"/>
  <c r="X222" i="113"/>
  <c r="X245" i="113" s="1"/>
  <c r="EA62" i="82"/>
  <c r="EA77" i="82"/>
  <c r="EA233" i="2"/>
  <c r="EA78" i="2"/>
  <c r="EA176" i="82"/>
  <c r="EA79" i="2"/>
  <c r="EA226" i="2"/>
  <c r="X55" i="113"/>
  <c r="X413" i="113" s="1"/>
  <c r="X407" i="113"/>
  <c r="X404" i="113"/>
  <c r="EA81" i="2"/>
  <c r="EA363" i="82"/>
  <c r="EA364" i="82" s="1"/>
  <c r="EA51" i="2"/>
  <c r="EA43" i="2"/>
  <c r="X44" i="113"/>
  <c r="X436" i="113"/>
  <c r="X437" i="113"/>
  <c r="X435" i="113"/>
  <c r="EA63" i="82"/>
  <c r="EA189" i="82"/>
  <c r="X223" i="113"/>
  <c r="X236" i="113" s="1"/>
  <c r="X416" i="113"/>
  <c r="DC20" i="3" l="1"/>
  <c r="DC80" i="3"/>
  <c r="DC83" i="3" s="1"/>
  <c r="DC50" i="3"/>
  <c r="DC77" i="3"/>
  <c r="U23" i="11"/>
  <c r="U24" i="11" s="1"/>
  <c r="X411" i="113"/>
  <c r="EA229" i="2"/>
  <c r="EA80" i="2"/>
  <c r="EA82" i="2"/>
  <c r="U27" i="11"/>
  <c r="X420" i="113"/>
  <c r="X135" i="113"/>
  <c r="X93" i="113"/>
  <c r="X56" i="113"/>
  <c r="DC88" i="3" l="1"/>
  <c r="DC85" i="3"/>
  <c r="EA228" i="2"/>
  <c r="EA237" i="2"/>
  <c r="U28" i="11"/>
  <c r="X422" i="113"/>
  <c r="X182" i="113"/>
  <c r="X57" i="113"/>
  <c r="X94" i="113"/>
  <c r="X423" i="113"/>
  <c r="X136" i="113"/>
  <c r="X424" i="113"/>
  <c r="DC87" i="3"/>
  <c r="DC100" i="3"/>
  <c r="DC84" i="3"/>
  <c r="DC89" i="3"/>
  <c r="U33" i="11"/>
  <c r="EA238" i="2" l="1"/>
  <c r="EA239" i="2"/>
  <c r="X137" i="113"/>
  <c r="X167" i="113"/>
  <c r="X425" i="113"/>
  <c r="X429" i="113" s="1"/>
  <c r="X183" i="113"/>
  <c r="U37" i="11"/>
  <c r="U34" i="11"/>
  <c r="U35" i="11" s="1"/>
  <c r="U36" i="11"/>
  <c r="X95" i="113"/>
  <c r="X118" i="113"/>
  <c r="X58" i="113"/>
  <c r="X81" i="113"/>
  <c r="EA240" i="2" l="1"/>
  <c r="EA241" i="2"/>
  <c r="X72" i="113"/>
  <c r="X431" i="113"/>
  <c r="X155" i="113"/>
  <c r="X433" i="113"/>
  <c r="X109" i="113"/>
  <c r="X432" i="113"/>
  <c r="X209" i="113"/>
  <c r="X184" i="113"/>
  <c r="EA242" i="2" l="1"/>
  <c r="X200" i="113"/>
  <c r="X434" i="113"/>
  <c r="X438" i="113" s="1"/>
  <c r="DZ61" i="82" l="1"/>
  <c r="DZ188" i="82"/>
  <c r="DZ59" i="82" l="1"/>
  <c r="DZ62" i="82"/>
  <c r="DZ63" i="82" l="1"/>
  <c r="DZ189" i="82"/>
  <c r="U383" i="1"/>
  <c r="P12" i="2"/>
  <c r="P17" i="2"/>
  <c r="P20" i="2"/>
  <c r="C11" i="113" l="1"/>
  <c r="C31" i="113" s="1"/>
  <c r="P29" i="2"/>
  <c r="P73" i="2" s="1"/>
  <c r="P23" i="2"/>
  <c r="Z12" i="2"/>
  <c r="D31" i="113" l="1"/>
  <c r="C12" i="113"/>
  <c r="D32" i="113" s="1"/>
  <c r="U73" i="2"/>
  <c r="U349" i="2"/>
  <c r="P157" i="2"/>
  <c r="U158" i="2" s="1"/>
  <c r="E11" i="113"/>
  <c r="E12" i="113" s="1"/>
  <c r="E32" i="113" s="1"/>
  <c r="P175" i="2"/>
  <c r="Z17" i="2"/>
  <c r="Z20" i="2"/>
  <c r="C13" i="113" l="1"/>
  <c r="C41" i="113"/>
  <c r="C32" i="113"/>
  <c r="E31" i="113"/>
  <c r="F31" i="113"/>
  <c r="F32" i="113"/>
  <c r="E41" i="113"/>
  <c r="E13" i="113"/>
  <c r="E33" i="113" s="1"/>
  <c r="U176" i="2"/>
  <c r="Z383" i="1"/>
  <c r="C33" i="113"/>
  <c r="D33" i="113"/>
  <c r="Z327" i="1"/>
  <c r="Z328" i="1"/>
  <c r="F33" i="113" l="1"/>
  <c r="Z329" i="1"/>
  <c r="AE329" i="1"/>
  <c r="EB172" i="82"/>
  <c r="EB173" i="82" s="1"/>
  <c r="EB174" i="82"/>
  <c r="EB176" i="82"/>
  <c r="EB175" i="82" l="1"/>
  <c r="DD74" i="7" l="1"/>
  <c r="DD75" i="7"/>
  <c r="DD76" i="7"/>
  <c r="EB59" i="82" l="1"/>
  <c r="EB61" i="82"/>
  <c r="EB62" i="82"/>
  <c r="EB63" i="82"/>
  <c r="EB70" i="82"/>
  <c r="EB75" i="82"/>
  <c r="EG76" i="82" s="1"/>
  <c r="EB77" i="82"/>
  <c r="EB188" i="82"/>
  <c r="EB189" i="82"/>
  <c r="EB76" i="82" l="1"/>
  <c r="DE75" i="7" l="1"/>
  <c r="DE196" i="7"/>
  <c r="DE9" i="3"/>
  <c r="EC45" i="82"/>
  <c r="EC46" i="82" s="1"/>
  <c r="EC47" i="82"/>
  <c r="EC172" i="82"/>
  <c r="EC173" i="82" s="1"/>
  <c r="EC174" i="82"/>
  <c r="EC176" i="82"/>
  <c r="EC48" i="82" l="1"/>
  <c r="EC175" i="82"/>
  <c r="DE19" i="3"/>
  <c r="DE197" i="7"/>
  <c r="EC62" i="82" l="1"/>
  <c r="EH62" i="82"/>
  <c r="DJ20" i="3"/>
  <c r="EC77" i="82"/>
  <c r="EC49" i="82"/>
  <c r="DE50" i="3"/>
  <c r="DE77" i="3"/>
  <c r="DE20" i="3"/>
  <c r="DE80" i="3"/>
  <c r="DI91" i="3" l="1"/>
  <c r="DG91" i="3"/>
  <c r="DH91" i="3"/>
  <c r="DF91" i="3"/>
  <c r="DE91" i="3"/>
  <c r="EC63" i="82"/>
  <c r="EH63" i="82"/>
  <c r="DE88" i="3"/>
  <c r="DJ88" i="3"/>
  <c r="EC189" i="82"/>
  <c r="DE83" i="3"/>
  <c r="DE85" i="3" l="1"/>
  <c r="DI93" i="3"/>
  <c r="DH93" i="3"/>
  <c r="DG93" i="3"/>
  <c r="DF93" i="3"/>
  <c r="DE93" i="3"/>
  <c r="DJ84" i="3"/>
  <c r="DE89" i="3"/>
  <c r="DE84" i="3"/>
  <c r="DE87" i="3"/>
  <c r="DE100" i="3"/>
  <c r="DE94" i="3" l="1"/>
  <c r="DE95" i="3"/>
  <c r="DJ94" i="3"/>
  <c r="DF95" i="3"/>
  <c r="DF94" i="3"/>
  <c r="DG95" i="3"/>
  <c r="DG94" i="3"/>
  <c r="DH94" i="3"/>
  <c r="DH95" i="3"/>
  <c r="DI95" i="3"/>
  <c r="DI94" i="3"/>
  <c r="W8" i="11" l="1"/>
  <c r="Z20" i="113"/>
  <c r="W9" i="11" l="1"/>
  <c r="ED45" i="82" l="1"/>
  <c r="ED46" i="82" s="1"/>
  <c r="ED47" i="82"/>
  <c r="ED172" i="82"/>
  <c r="ED173" i="82" s="1"/>
  <c r="ED174" i="82"/>
  <c r="ED176" i="82"/>
  <c r="ED175" i="82" l="1"/>
  <c r="ED48" i="82"/>
  <c r="EI62" i="82" s="1"/>
  <c r="ED62" i="82" l="1"/>
  <c r="ED77" i="82"/>
  <c r="ED49" i="82"/>
  <c r="EI63" i="82" s="1"/>
  <c r="ED189" i="82" l="1"/>
  <c r="ED63" i="82"/>
  <c r="ED224" i="2" l="1"/>
  <c r="ED226" i="2" l="1"/>
  <c r="ED229" i="2" l="1"/>
  <c r="ED237" i="2" l="1"/>
  <c r="ED228" i="2"/>
  <c r="ED239" i="2" l="1"/>
  <c r="ED238" i="2"/>
  <c r="ED241" i="2" l="1"/>
  <c r="ED240" i="2"/>
  <c r="ED242" i="2" l="1"/>
  <c r="DH196" i="7"/>
  <c r="EF30" i="2"/>
  <c r="EF32" i="2"/>
  <c r="EF33" i="2"/>
  <c r="EE77" i="2"/>
  <c r="EE78" i="2"/>
  <c r="EE79" i="2"/>
  <c r="EE80" i="2"/>
  <c r="EE81" i="2"/>
  <c r="EE82" i="2"/>
  <c r="EE96" i="2"/>
  <c r="EE97" i="2"/>
  <c r="EE98" i="2"/>
  <c r="EE227" i="2"/>
  <c r="EE230" i="2"/>
  <c r="EE232" i="2" s="1"/>
  <c r="EE236" i="2" s="1"/>
  <c r="EE172" i="82"/>
  <c r="EE173" i="82" s="1"/>
  <c r="EE174" i="82"/>
  <c r="EE176" i="82"/>
  <c r="FB33" i="2" l="1"/>
  <c r="EF172" i="82"/>
  <c r="EF173" i="82" s="1"/>
  <c r="EF47" i="82"/>
  <c r="Y221" i="113" s="1"/>
  <c r="EE233" i="2"/>
  <c r="DH59" i="7"/>
  <c r="DH60" i="7" s="1"/>
  <c r="EF174" i="82"/>
  <c r="EF230" i="2"/>
  <c r="EF232" i="2" s="1"/>
  <c r="EF236" i="2" s="1"/>
  <c r="EE175" i="82"/>
  <c r="Y17" i="113"/>
  <c r="Y426" i="113" s="1"/>
  <c r="EF45" i="82"/>
  <c r="Y219" i="113" s="1"/>
  <c r="Y54" i="113" s="1"/>
  <c r="Y55" i="113" s="1"/>
  <c r="Y15" i="113"/>
  <c r="Y409" i="113" s="1"/>
  <c r="EF34" i="2"/>
  <c r="EF36" i="2"/>
  <c r="EF227" i="2"/>
  <c r="H14" i="15"/>
  <c r="H17" i="15" s="1"/>
  <c r="H18" i="15" s="1"/>
  <c r="EF175" i="82" l="1"/>
  <c r="EF77" i="2"/>
  <c r="EF217" i="2"/>
  <c r="Y408" i="113"/>
  <c r="Y180" i="113"/>
  <c r="Y407" i="113" s="1"/>
  <c r="EF46" i="82"/>
  <c r="Y220" i="113" s="1"/>
  <c r="Y427" i="113"/>
  <c r="Y428" i="113"/>
  <c r="EF233" i="2"/>
  <c r="Y406" i="113"/>
  <c r="EF160" i="2"/>
  <c r="Y16" i="113"/>
  <c r="Y414" i="113" s="1"/>
  <c r="FB36" i="2"/>
  <c r="EF50" i="2"/>
  <c r="Y405" i="113"/>
  <c r="Y410" i="113"/>
  <c r="DH9" i="3"/>
  <c r="DH75" i="7"/>
  <c r="EF178" i="2"/>
  <c r="EF42" i="2"/>
  <c r="EF79" i="2" s="1"/>
  <c r="Y404" i="113"/>
  <c r="EF37" i="2"/>
  <c r="DH62" i="7"/>
  <c r="DH76" i="7"/>
  <c r="DH74" i="7"/>
  <c r="EF81" i="2" l="1"/>
  <c r="DH19" i="3"/>
  <c r="EF48" i="82"/>
  <c r="EF77" i="82" s="1"/>
  <c r="Y181" i="113"/>
  <c r="Y416" i="113" s="1"/>
  <c r="Y417" i="113"/>
  <c r="Y18" i="113"/>
  <c r="Y19" i="113" s="1"/>
  <c r="Y415" i="113"/>
  <c r="V19" i="11"/>
  <c r="EF51" i="2"/>
  <c r="FB42" i="2"/>
  <c r="EF43" i="2"/>
  <c r="FB43" i="2" s="1"/>
  <c r="EF363" i="82"/>
  <c r="EF364" i="82" s="1"/>
  <c r="Y413" i="113"/>
  <c r="Y419" i="113"/>
  <c r="Y418" i="113"/>
  <c r="FB50" i="2"/>
  <c r="Y411" i="113"/>
  <c r="FB37" i="2"/>
  <c r="EF78" i="2"/>
  <c r="EF176" i="82"/>
  <c r="DH50" i="3" l="1"/>
  <c r="DH80" i="3"/>
  <c r="DH83" i="3" s="1"/>
  <c r="DH77" i="3"/>
  <c r="DH20" i="3"/>
  <c r="EF82" i="2"/>
  <c r="EF49" i="82"/>
  <c r="EF62" i="82"/>
  <c r="Y222" i="113"/>
  <c r="Y245" i="113" s="1"/>
  <c r="V23" i="11"/>
  <c r="V24" i="11" s="1"/>
  <c r="Y44" i="113"/>
  <c r="EF80" i="2"/>
  <c r="V20" i="11"/>
  <c r="FB51" i="2"/>
  <c r="V27" i="11"/>
  <c r="Y56" i="113"/>
  <c r="Y422" i="113" s="1"/>
  <c r="Y93" i="113"/>
  <c r="Y423" i="113" s="1"/>
  <c r="Y135" i="113"/>
  <c r="Y136" i="113" s="1"/>
  <c r="Y420" i="113"/>
  <c r="Y437" i="113"/>
  <c r="Y35" i="113"/>
  <c r="Y435" i="113"/>
  <c r="Y436" i="113"/>
  <c r="DH88" i="3" l="1"/>
  <c r="DH85" i="3"/>
  <c r="EF63" i="82"/>
  <c r="Y223" i="113"/>
  <c r="Y236" i="113" s="1"/>
  <c r="V28" i="11"/>
  <c r="Y57" i="113"/>
  <c r="Y81" i="113" s="1"/>
  <c r="Y94" i="113"/>
  <c r="Y118" i="113" s="1"/>
  <c r="Y424" i="113"/>
  <c r="Y182" i="113"/>
  <c r="Y425" i="113" s="1"/>
  <c r="Y137" i="113"/>
  <c r="Y167" i="113"/>
  <c r="DH87" i="3"/>
  <c r="DH100" i="3"/>
  <c r="DH84" i="3"/>
  <c r="DH89" i="3"/>
  <c r="V33" i="11"/>
  <c r="EF186" i="2"/>
  <c r="Y429" i="113" l="1"/>
  <c r="Y95" i="113"/>
  <c r="Y432" i="113" s="1"/>
  <c r="Y58" i="113"/>
  <c r="Y72" i="113" s="1"/>
  <c r="Y183" i="113"/>
  <c r="Y209" i="113" s="1"/>
  <c r="Y155" i="113"/>
  <c r="Y433" i="113"/>
  <c r="EF198" i="2"/>
  <c r="EF187" i="2"/>
  <c r="V34" i="11"/>
  <c r="V35" i="11" s="1"/>
  <c r="V36" i="11"/>
  <c r="V37" i="11"/>
  <c r="EE224" i="2"/>
  <c r="EE226" i="2" s="1"/>
  <c r="EE229" i="2" s="1"/>
  <c r="Y431" i="113" l="1"/>
  <c r="Y109" i="113"/>
  <c r="Y184" i="113"/>
  <c r="Y434" i="113" s="1"/>
  <c r="EF199" i="2"/>
  <c r="EF224" i="2"/>
  <c r="EF226" i="2" s="1"/>
  <c r="EF229" i="2" s="1"/>
  <c r="EF200" i="2"/>
  <c r="EE237" i="2"/>
  <c r="EE228" i="2"/>
  <c r="Y438" i="113" l="1"/>
  <c r="Y200" i="113"/>
  <c r="EE238" i="2"/>
  <c r="EE241" i="2" s="1"/>
  <c r="EE242" i="2" s="1"/>
  <c r="EE239" i="2"/>
  <c r="EE240" i="2" s="1"/>
  <c r="EF237" i="2"/>
  <c r="EF228" i="2"/>
  <c r="EF239" i="2" l="1"/>
  <c r="EF240" i="2" s="1"/>
  <c r="EF238" i="2"/>
  <c r="EF241" i="2" s="1"/>
  <c r="FB241" i="2" l="1"/>
  <c r="EF242" i="2"/>
  <c r="EE150" i="82"/>
  <c r="EF152" i="82"/>
  <c r="EF188" i="82" s="1"/>
  <c r="EF154" i="82"/>
  <c r="EF156" i="82"/>
  <c r="EF157" i="82" s="1"/>
  <c r="EE188" i="82"/>
  <c r="EE189" i="82"/>
  <c r="EF189" i="82" l="1"/>
  <c r="EE160" i="82"/>
  <c r="EE163" i="82"/>
  <c r="EE164" i="82" s="1"/>
  <c r="EF150" i="82"/>
  <c r="EF160" i="82" l="1"/>
  <c r="EF163" i="82"/>
  <c r="EF164" i="82" l="1"/>
  <c r="DI68" i="1"/>
  <c r="DJ68" i="1"/>
  <c r="DJ184" i="1" s="1"/>
  <c r="EV277" i="1"/>
  <c r="FA277" i="1" s="1"/>
  <c r="DC301" i="1"/>
  <c r="DC302" i="1" s="1"/>
  <c r="DC120" i="39" s="1"/>
  <c r="DD301" i="1"/>
  <c r="DD302" i="1" s="1"/>
  <c r="DD120" i="39" s="1"/>
  <c r="DE301" i="1"/>
  <c r="DE302" i="1" s="1"/>
  <c r="DE120" i="39" s="1"/>
  <c r="DH301" i="1"/>
  <c r="DH302" i="1" s="1"/>
  <c r="DH120" i="39" s="1"/>
  <c r="DI301" i="1"/>
  <c r="DI302" i="1" s="1"/>
  <c r="DI120" i="39" s="1"/>
  <c r="DJ301" i="1"/>
  <c r="DJ302" i="1" s="1"/>
  <c r="DJ120" i="39" s="1"/>
  <c r="EK301" i="1"/>
  <c r="EK302" i="1" s="1"/>
  <c r="EK120" i="39" s="1"/>
  <c r="DC310" i="1"/>
  <c r="DD310" i="1"/>
  <c r="DE310" i="1"/>
  <c r="EG325" i="1"/>
  <c r="EL326" i="1" s="1"/>
  <c r="EH325" i="1"/>
  <c r="EM326" i="1" s="1"/>
  <c r="EI325" i="1"/>
  <c r="EN326" i="1" s="1"/>
  <c r="EJ325" i="1"/>
  <c r="DI527" i="1"/>
  <c r="DJ527" i="1"/>
  <c r="DJ545" i="1" s="1"/>
  <c r="DL527" i="1"/>
  <c r="DL545" i="1" s="1"/>
  <c r="DN527" i="1"/>
  <c r="DN544" i="1" s="1"/>
  <c r="DO527" i="1"/>
  <c r="DO544" i="1" s="1"/>
  <c r="DC530" i="1"/>
  <c r="DC542" i="1" s="1"/>
  <c r="DC543" i="1" s="1"/>
  <c r="DD530" i="1"/>
  <c r="DD542" i="1" s="1"/>
  <c r="DD543" i="1" s="1"/>
  <c r="DE530" i="1"/>
  <c r="DE542" i="1" s="1"/>
  <c r="DE543" i="1" s="1"/>
  <c r="DC571" i="1"/>
  <c r="DC570" i="1" s="1"/>
  <c r="DD571" i="1"/>
  <c r="DE571" i="1"/>
  <c r="DE570" i="1" s="1"/>
  <c r="DC580" i="1"/>
  <c r="DD580" i="1"/>
  <c r="DD579" i="1" s="1"/>
  <c r="DD582" i="1" s="1"/>
  <c r="DE580" i="1"/>
  <c r="DE579" i="1" s="1"/>
  <c r="DE582" i="1" s="1"/>
  <c r="DE121" i="39" l="1"/>
  <c r="DE119" i="39"/>
  <c r="DC121" i="39"/>
  <c r="DC119" i="39"/>
  <c r="EK119" i="39"/>
  <c r="EK121" i="39"/>
  <c r="DJ119" i="39"/>
  <c r="DJ121" i="39"/>
  <c r="DI119" i="39"/>
  <c r="DI121" i="39"/>
  <c r="DH121" i="39"/>
  <c r="DH119" i="39"/>
  <c r="DD119" i="39"/>
  <c r="DD121" i="39"/>
  <c r="DJ303" i="1"/>
  <c r="DH304" i="1"/>
  <c r="DJ12" i="82"/>
  <c r="DJ13" i="82" s="1"/>
  <c r="DJ14" i="82" s="1"/>
  <c r="EI326" i="1"/>
  <c r="EH326" i="1"/>
  <c r="EG326" i="1"/>
  <c r="EO70" i="1"/>
  <c r="EO72" i="1"/>
  <c r="EO71" i="1" s="1"/>
  <c r="EJ326" i="1"/>
  <c r="DJ544" i="1"/>
  <c r="DN545" i="1"/>
  <c r="DJ69" i="1"/>
  <c r="DL544" i="1"/>
  <c r="EV264" i="1"/>
  <c r="EV192" i="1" s="1"/>
  <c r="DE538" i="1"/>
  <c r="DE539" i="1" s="1"/>
  <c r="DE540" i="1" s="1"/>
  <c r="DD538" i="1"/>
  <c r="DD539" i="1" s="1"/>
  <c r="DD540" i="1" s="1"/>
  <c r="DC538" i="1"/>
  <c r="DC539" i="1" s="1"/>
  <c r="DC540" i="1" s="1"/>
  <c r="EV301" i="1"/>
  <c r="FA301" i="1" s="1"/>
  <c r="EV288" i="1"/>
  <c r="DD544" i="1"/>
  <c r="DD545" i="1"/>
  <c r="EV240" i="1"/>
  <c r="DE588" i="1"/>
  <c r="DE589" i="1"/>
  <c r="EV253" i="1"/>
  <c r="FA253" i="1" s="1"/>
  <c r="DH303" i="1"/>
  <c r="DD606" i="1"/>
  <c r="DD607" i="1" s="1"/>
  <c r="DD578" i="1"/>
  <c r="DI200" i="1"/>
  <c r="DI303" i="1"/>
  <c r="DI304" i="1"/>
  <c r="DJ200" i="1"/>
  <c r="DJ304" i="1"/>
  <c r="DI544" i="1"/>
  <c r="DI545" i="1"/>
  <c r="DC579" i="1"/>
  <c r="DC588" i="1" s="1"/>
  <c r="DC589" i="1"/>
  <c r="DD570" i="1"/>
  <c r="DD589" i="1"/>
  <c r="DE200" i="1"/>
  <c r="DE304" i="1"/>
  <c r="DE303" i="1"/>
  <c r="DI69" i="1"/>
  <c r="DE544" i="1"/>
  <c r="DE545" i="1"/>
  <c r="DG571" i="1"/>
  <c r="DE578" i="1"/>
  <c r="DE606" i="1"/>
  <c r="DE607" i="1" s="1"/>
  <c r="DC544" i="1"/>
  <c r="DC545" i="1"/>
  <c r="DD200" i="1"/>
  <c r="DD303" i="1"/>
  <c r="DI184" i="1"/>
  <c r="DI124" i="1"/>
  <c r="DI12" i="82"/>
  <c r="DI13" i="82" s="1"/>
  <c r="DI14" i="82" s="1"/>
  <c r="DE573" i="1"/>
  <c r="DC200" i="1"/>
  <c r="DC304" i="1"/>
  <c r="EK69" i="1"/>
  <c r="DC573" i="1"/>
  <c r="EH86" i="1"/>
  <c r="DI199" i="82"/>
  <c r="DG580" i="1"/>
  <c r="DD304" i="1"/>
  <c r="DC303" i="1"/>
  <c r="EK200" i="1"/>
  <c r="EK304" i="1"/>
  <c r="EK303" i="1"/>
  <c r="EK68" i="1"/>
  <c r="DJ124" i="1"/>
  <c r="DJ199" i="82"/>
  <c r="DO545" i="1"/>
  <c r="DH200" i="1"/>
  <c r="DJ170" i="1" l="1"/>
  <c r="DJ197" i="1" s="1"/>
  <c r="DL119" i="39"/>
  <c r="DG119" i="39"/>
  <c r="DJ7" i="2"/>
  <c r="DJ310" i="2" s="1"/>
  <c r="EW288" i="1"/>
  <c r="EX288" i="1" s="1"/>
  <c r="FA288" i="1"/>
  <c r="EW264" i="1"/>
  <c r="EX277" i="1" s="1"/>
  <c r="FB277" i="1" s="1"/>
  <c r="FA264" i="1"/>
  <c r="EV186" i="1"/>
  <c r="FA186" i="1" s="1"/>
  <c r="FA240" i="1"/>
  <c r="EJ75" i="1"/>
  <c r="DJ70" i="1"/>
  <c r="EP70" i="1"/>
  <c r="EI75" i="1"/>
  <c r="DJ79" i="1"/>
  <c r="DJ82" i="1"/>
  <c r="DJ389" i="1"/>
  <c r="EO61" i="2"/>
  <c r="DJ80" i="1"/>
  <c r="DJ560" i="1" s="1"/>
  <c r="DJ581" i="1" s="1"/>
  <c r="DJ583" i="1" s="1"/>
  <c r="DJ605" i="1" s="1"/>
  <c r="DO70" i="1"/>
  <c r="EH143" i="2"/>
  <c r="EM144" i="2" s="1"/>
  <c r="EH140" i="2"/>
  <c r="EM141" i="2" s="1"/>
  <c r="EH137" i="2"/>
  <c r="EM138" i="2" s="1"/>
  <c r="EH84" i="2"/>
  <c r="EH61" i="2"/>
  <c r="EH146" i="2"/>
  <c r="EM147" i="2" s="1"/>
  <c r="EG75" i="1"/>
  <c r="EH75" i="1"/>
  <c r="DI86" i="1"/>
  <c r="DK74" i="1"/>
  <c r="DJ517" i="1"/>
  <c r="DJ559" i="1" s="1"/>
  <c r="DJ78" i="1"/>
  <c r="DJ84" i="1"/>
  <c r="DJ85" i="1"/>
  <c r="DJ564" i="1" s="1"/>
  <c r="DJ86" i="1"/>
  <c r="EV268" i="1"/>
  <c r="EW277" i="1"/>
  <c r="EV292" i="1"/>
  <c r="EV198" i="1"/>
  <c r="EW301" i="1"/>
  <c r="EV244" i="1"/>
  <c r="EW253" i="1"/>
  <c r="EW240" i="1"/>
  <c r="EI325" i="2"/>
  <c r="EI327" i="2"/>
  <c r="EI329" i="2"/>
  <c r="EI328" i="2"/>
  <c r="EK170" i="1"/>
  <c r="EK7" i="2"/>
  <c r="EF339" i="1"/>
  <c r="EF340" i="1" s="1"/>
  <c r="EK70" i="1"/>
  <c r="EK149" i="82"/>
  <c r="DD573" i="1"/>
  <c r="DG570" i="1"/>
  <c r="DD588" i="1"/>
  <c r="DE622" i="1"/>
  <c r="DE623" i="1" s="1"/>
  <c r="DJ247" i="82"/>
  <c r="DJ244" i="82"/>
  <c r="DJ200" i="82"/>
  <c r="DJ204" i="82"/>
  <c r="DJ217" i="82"/>
  <c r="DJ231" i="82"/>
  <c r="DO217" i="82"/>
  <c r="DK231" i="82"/>
  <c r="DC600" i="1"/>
  <c r="DC618" i="1" s="1"/>
  <c r="DC569" i="1"/>
  <c r="DE600" i="1"/>
  <c r="DE601" i="1" s="1"/>
  <c r="DE54" i="1" s="1"/>
  <c r="DE591" i="1"/>
  <c r="DE569" i="1"/>
  <c r="DE470" i="1"/>
  <c r="DE584" i="1"/>
  <c r="DE33" i="1"/>
  <c r="DG579" i="1"/>
  <c r="DC582" i="1"/>
  <c r="DC591" i="1" s="1"/>
  <c r="DD33" i="1"/>
  <c r="DD470" i="1"/>
  <c r="DD584" i="1"/>
  <c r="DJ126" i="1"/>
  <c r="DJ125" i="1"/>
  <c r="DO125" i="1"/>
  <c r="DK126" i="1"/>
  <c r="DJ127" i="1"/>
  <c r="DJ136" i="1" s="1"/>
  <c r="DI200" i="82"/>
  <c r="DI204" i="82"/>
  <c r="DI217" i="82"/>
  <c r="DI231" i="82"/>
  <c r="DN217" i="82"/>
  <c r="DI247" i="82"/>
  <c r="DI244" i="82"/>
  <c r="EH325" i="2"/>
  <c r="EH327" i="2"/>
  <c r="EH329" i="2"/>
  <c r="EH328" i="2"/>
  <c r="EH167" i="82"/>
  <c r="DI125" i="1"/>
  <c r="DI127" i="1"/>
  <c r="DI136" i="1" s="1"/>
  <c r="DN125" i="1"/>
  <c r="DI126" i="1"/>
  <c r="DI170" i="1"/>
  <c r="DJ173" i="1" s="1"/>
  <c r="DJ210" i="1" s="1"/>
  <c r="DI7" i="2"/>
  <c r="DN70" i="1"/>
  <c r="DI74" i="1"/>
  <c r="DI517" i="1"/>
  <c r="DI559" i="1" s="1"/>
  <c r="DI79" i="1"/>
  <c r="DI85" i="1"/>
  <c r="DI564" i="1" s="1"/>
  <c r="DI70" i="1"/>
  <c r="DI389" i="1"/>
  <c r="DI84" i="1"/>
  <c r="DI78" i="1"/>
  <c r="DJ74" i="1"/>
  <c r="DI80" i="1"/>
  <c r="DL69" i="1"/>
  <c r="DI82" i="1"/>
  <c r="DD622" i="1"/>
  <c r="DD623" i="1" s="1"/>
  <c r="DK173" i="1"/>
  <c r="DK210" i="1" s="1"/>
  <c r="DJ171" i="1"/>
  <c r="DJ209" i="1" s="1"/>
  <c r="DJ183" i="1"/>
  <c r="DJ208" i="1"/>
  <c r="DJ191" i="1"/>
  <c r="DJ203" i="1"/>
  <c r="EJ325" i="2"/>
  <c r="EJ327" i="2"/>
  <c r="EJ329" i="2"/>
  <c r="EJ328" i="2"/>
  <c r="EG328" i="2"/>
  <c r="EG325" i="2"/>
  <c r="EG327" i="2"/>
  <c r="EG329" i="2"/>
  <c r="EK86" i="1"/>
  <c r="EK12" i="82"/>
  <c r="DG589" i="1"/>
  <c r="FB288" i="1" l="1"/>
  <c r="EY301" i="1"/>
  <c r="EY288" i="1"/>
  <c r="DJ175" i="1"/>
  <c r="DO176" i="1" s="1"/>
  <c r="DJ325" i="1"/>
  <c r="DO326" i="1" s="1"/>
  <c r="DO171" i="1"/>
  <c r="DO209" i="1" s="1"/>
  <c r="DJ301" i="2"/>
  <c r="DJ302" i="2" s="1"/>
  <c r="DJ84" i="2"/>
  <c r="DJ305" i="2"/>
  <c r="DJ306" i="2" s="1"/>
  <c r="DJ133" i="2"/>
  <c r="DJ134" i="2" s="1"/>
  <c r="DJ299" i="2"/>
  <c r="DO300" i="2" s="1"/>
  <c r="DJ328" i="2"/>
  <c r="DJ303" i="2"/>
  <c r="DO304" i="2" s="1"/>
  <c r="DO61" i="2"/>
  <c r="DJ313" i="82"/>
  <c r="DJ330" i="82" s="1"/>
  <c r="DJ325" i="2"/>
  <c r="DJ140" i="2"/>
  <c r="DK142" i="2" s="1"/>
  <c r="DJ308" i="2"/>
  <c r="DJ309" i="2" s="1"/>
  <c r="DJ143" i="2"/>
  <c r="DO144" i="2" s="1"/>
  <c r="DJ137" i="2"/>
  <c r="DJ138" i="2" s="1"/>
  <c r="DJ146" i="2"/>
  <c r="DJ130" i="2"/>
  <c r="DJ131" i="2" s="1"/>
  <c r="DJ61" i="2"/>
  <c r="DJ329" i="2"/>
  <c r="DK84" i="2"/>
  <c r="DJ9" i="2"/>
  <c r="DJ63" i="2" s="1"/>
  <c r="DJ327" i="2"/>
  <c r="DJ580" i="1"/>
  <c r="DJ579" i="1" s="1"/>
  <c r="DJ582" i="1" s="1"/>
  <c r="DJ578" i="1" s="1"/>
  <c r="EW198" i="1"/>
  <c r="EW199" i="1" s="1"/>
  <c r="EW192" i="1"/>
  <c r="EW193" i="1" s="1"/>
  <c r="EX301" i="1"/>
  <c r="FB301" i="1" s="1"/>
  <c r="EX264" i="1"/>
  <c r="EV199" i="1"/>
  <c r="FA198" i="1"/>
  <c r="EV193" i="1"/>
  <c r="FA192" i="1"/>
  <c r="EV187" i="1"/>
  <c r="DL389" i="1"/>
  <c r="EI100" i="2"/>
  <c r="EJ100" i="2"/>
  <c r="DJ81" i="1"/>
  <c r="DJ83" i="1" s="1"/>
  <c r="DJ563" i="1" s="1"/>
  <c r="EI148" i="2"/>
  <c r="EI142" i="2"/>
  <c r="EI139" i="2"/>
  <c r="EI145" i="2"/>
  <c r="EO60" i="1"/>
  <c r="EH100" i="2"/>
  <c r="EP61" i="2"/>
  <c r="EO18" i="1"/>
  <c r="EP171" i="1"/>
  <c r="EP209" i="1" s="1"/>
  <c r="EO46" i="1"/>
  <c r="EO32" i="1"/>
  <c r="EX240" i="1"/>
  <c r="EX253" i="1"/>
  <c r="FB253" i="1" s="1"/>
  <c r="EX198" i="1"/>
  <c r="FB198" i="1" s="1"/>
  <c r="EH147" i="2"/>
  <c r="EH148" i="2"/>
  <c r="EH139" i="2"/>
  <c r="EH138" i="2"/>
  <c r="EH142" i="2"/>
  <c r="EH141" i="2"/>
  <c r="EH145" i="2"/>
  <c r="EH144" i="2"/>
  <c r="DI75" i="1"/>
  <c r="DE618" i="1"/>
  <c r="DE626" i="1" s="1"/>
  <c r="DE627" i="1" s="1"/>
  <c r="DJ571" i="1"/>
  <c r="DJ572" i="1"/>
  <c r="EG100" i="2"/>
  <c r="EW268" i="1"/>
  <c r="EV179" i="1"/>
  <c r="EV212" i="1"/>
  <c r="EV214" i="1" s="1"/>
  <c r="EV68" i="1" s="1"/>
  <c r="EV12" i="82" s="1"/>
  <c r="EW292" i="1"/>
  <c r="EW186" i="1"/>
  <c r="EW244" i="1"/>
  <c r="EK15" i="1"/>
  <c r="EH84" i="1"/>
  <c r="DK177" i="1"/>
  <c r="DI218" i="82"/>
  <c r="DI250" i="82"/>
  <c r="DI196" i="82"/>
  <c r="DL200" i="82"/>
  <c r="DN218" i="82"/>
  <c r="DI232" i="82"/>
  <c r="DI253" i="82"/>
  <c r="DE587" i="1"/>
  <c r="DE612" i="1"/>
  <c r="DE613" i="1" s="1"/>
  <c r="DJ245" i="82"/>
  <c r="DO245" i="82"/>
  <c r="DJ246" i="82"/>
  <c r="DK246" i="82"/>
  <c r="EK171" i="1"/>
  <c r="EK209" i="1" s="1"/>
  <c r="EK208" i="1"/>
  <c r="EK191" i="1"/>
  <c r="EK178" i="1"/>
  <c r="EK197" i="1"/>
  <c r="EK203" i="1"/>
  <c r="EK183" i="1"/>
  <c r="EK325" i="1"/>
  <c r="DI572" i="1"/>
  <c r="DI571" i="1"/>
  <c r="DO311" i="2"/>
  <c r="DJ311" i="2"/>
  <c r="DI248" i="82"/>
  <c r="DN248" i="82"/>
  <c r="DI249" i="82"/>
  <c r="EK57" i="1"/>
  <c r="DC612" i="1"/>
  <c r="DC613" i="1" s="1"/>
  <c r="DC587" i="1"/>
  <c r="EK43" i="1"/>
  <c r="DI245" i="82"/>
  <c r="DI246" i="82"/>
  <c r="DN245" i="82"/>
  <c r="DO248" i="82"/>
  <c r="DK249" i="82"/>
  <c r="DJ248" i="82"/>
  <c r="DJ249" i="82"/>
  <c r="Z321" i="113"/>
  <c r="CK72" i="3"/>
  <c r="CK76" i="3"/>
  <c r="DI129" i="1"/>
  <c r="DI134" i="1"/>
  <c r="DI128" i="1"/>
  <c r="DN128" i="1"/>
  <c r="DI133" i="1"/>
  <c r="DI130" i="1"/>
  <c r="CL76" i="3"/>
  <c r="CL72" i="3"/>
  <c r="DJ130" i="1"/>
  <c r="DK129" i="1"/>
  <c r="DO128" i="1"/>
  <c r="DJ133" i="1"/>
  <c r="DJ129" i="1"/>
  <c r="DJ134" i="1"/>
  <c r="DJ128" i="1"/>
  <c r="DC463" i="1"/>
  <c r="DC26" i="1"/>
  <c r="DC575" i="1"/>
  <c r="DO309" i="2"/>
  <c r="DD164" i="1"/>
  <c r="DC619" i="1"/>
  <c r="EK29" i="1"/>
  <c r="DG588" i="1"/>
  <c r="EH80" i="1"/>
  <c r="EH118" i="1"/>
  <c r="EM119" i="1" s="1"/>
  <c r="EH82" i="1"/>
  <c r="DE164" i="1"/>
  <c r="DC601" i="1"/>
  <c r="DC54" i="1" s="1"/>
  <c r="DO219" i="82"/>
  <c r="DJ233" i="82"/>
  <c r="DK233" i="82"/>
  <c r="DJ219" i="82"/>
  <c r="DJ205" i="82"/>
  <c r="DD591" i="1"/>
  <c r="DD569" i="1"/>
  <c r="DD600" i="1"/>
  <c r="DD601" i="1" s="1"/>
  <c r="DD54" i="1" s="1"/>
  <c r="EK61" i="2"/>
  <c r="FC7" i="2"/>
  <c r="EK325" i="2"/>
  <c r="EK329" i="2"/>
  <c r="EK328" i="2"/>
  <c r="EK167" i="82"/>
  <c r="Z8" i="113"/>
  <c r="EH79" i="1"/>
  <c r="DI81" i="1"/>
  <c r="DJ221" i="1"/>
  <c r="DJ222" i="1" s="1"/>
  <c r="DJ223" i="1" s="1"/>
  <c r="DJ230" i="1"/>
  <c r="DJ216" i="1"/>
  <c r="DK231" i="1"/>
  <c r="DK232" i="1" s="1"/>
  <c r="DJ520" i="1"/>
  <c r="DJ630" i="1" s="1"/>
  <c r="DL170" i="1"/>
  <c r="DL630" i="1" s="1"/>
  <c r="DL7" i="2"/>
  <c r="FG7" i="2" s="1"/>
  <c r="DQ70" i="1"/>
  <c r="DK75" i="1"/>
  <c r="DL517" i="1"/>
  <c r="DL559" i="1" s="1"/>
  <c r="DL79" i="1"/>
  <c r="DL85" i="1"/>
  <c r="DL564" i="1" s="1"/>
  <c r="DH75" i="1"/>
  <c r="DG339" i="1"/>
  <c r="DJ75" i="1"/>
  <c r="DL82" i="1"/>
  <c r="DL84" i="1"/>
  <c r="DL78" i="1"/>
  <c r="DL86" i="1"/>
  <c r="DL70" i="1"/>
  <c r="DL80" i="1"/>
  <c r="DL560" i="1" s="1"/>
  <c r="DI9" i="2"/>
  <c r="DI61" i="2"/>
  <c r="DN61" i="2"/>
  <c r="DI303" i="2"/>
  <c r="DI328" i="2"/>
  <c r="DI84" i="2"/>
  <c r="DI140" i="2"/>
  <c r="DI310" i="2"/>
  <c r="DI130" i="2"/>
  <c r="DI299" i="2"/>
  <c r="DI143" i="2"/>
  <c r="DI305" i="2"/>
  <c r="DI133" i="2"/>
  <c r="DI325" i="2"/>
  <c r="DI327" i="2"/>
  <c r="DI329" i="2"/>
  <c r="DI146" i="2"/>
  <c r="DJ148" i="2" s="1"/>
  <c r="DI301" i="2"/>
  <c r="DI308" i="2"/>
  <c r="DI137" i="2"/>
  <c r="DI313" i="82"/>
  <c r="DJ521" i="1"/>
  <c r="DI560" i="1"/>
  <c r="DN171" i="1"/>
  <c r="DN209" i="1" s="1"/>
  <c r="DI171" i="1"/>
  <c r="DI209" i="1" s="1"/>
  <c r="DI173" i="1"/>
  <c r="DI210" i="1" s="1"/>
  <c r="DI175" i="1"/>
  <c r="DI208" i="1"/>
  <c r="DI197" i="1"/>
  <c r="DI191" i="1"/>
  <c r="DI203" i="1"/>
  <c r="DI183" i="1"/>
  <c r="DI325" i="1"/>
  <c r="DN219" i="82"/>
  <c r="DI233" i="82"/>
  <c r="DI205" i="82"/>
  <c r="DI219" i="82"/>
  <c r="DC578" i="1"/>
  <c r="DC606" i="1"/>
  <c r="DC622" i="1" s="1"/>
  <c r="DG582" i="1"/>
  <c r="DE26" i="1"/>
  <c r="DE463" i="1"/>
  <c r="DE575" i="1"/>
  <c r="DG573" i="1"/>
  <c r="DJ232" i="82"/>
  <c r="DJ218" i="82"/>
  <c r="DK232" i="82"/>
  <c r="DJ250" i="82"/>
  <c r="DO218" i="82"/>
  <c r="DJ196" i="82"/>
  <c r="DJ253" i="82"/>
  <c r="DJ147" i="2"/>
  <c r="DK148" i="2"/>
  <c r="DO147" i="2"/>
  <c r="DJ114" i="2" l="1"/>
  <c r="DJ135" i="2"/>
  <c r="DO131" i="2"/>
  <c r="DO134" i="2"/>
  <c r="DJ13" i="2"/>
  <c r="DK88" i="2" s="1"/>
  <c r="DJ176" i="1"/>
  <c r="DK86" i="2"/>
  <c r="DJ123" i="2"/>
  <c r="DJ126" i="2"/>
  <c r="DO127" i="2" s="1"/>
  <c r="DJ117" i="2"/>
  <c r="DJ118" i="2" s="1"/>
  <c r="DK135" i="2"/>
  <c r="FB264" i="1"/>
  <c r="EY277" i="1"/>
  <c r="EY264" i="1"/>
  <c r="EY198" i="1"/>
  <c r="EY199" i="1" s="1"/>
  <c r="EY292" i="1"/>
  <c r="FB240" i="1"/>
  <c r="EY240" i="1"/>
  <c r="EY253" i="1"/>
  <c r="DJ301" i="82"/>
  <c r="DJ304" i="2"/>
  <c r="DJ326" i="1"/>
  <c r="DJ132" i="2"/>
  <c r="DJ178" i="1"/>
  <c r="DK139" i="2"/>
  <c r="DO138" i="2"/>
  <c r="DJ177" i="1"/>
  <c r="DJ139" i="2"/>
  <c r="DK132" i="2"/>
  <c r="DJ142" i="2"/>
  <c r="DO306" i="2"/>
  <c r="DK145" i="2"/>
  <c r="DJ144" i="2"/>
  <c r="DJ338" i="82"/>
  <c r="DJ145" i="2"/>
  <c r="DJ300" i="2"/>
  <c r="DO302" i="2"/>
  <c r="DO63" i="2"/>
  <c r="DJ120" i="2"/>
  <c r="DK122" i="2" s="1"/>
  <c r="CL80" i="7"/>
  <c r="CL82" i="7" s="1"/>
  <c r="CL73" i="7" s="1"/>
  <c r="EK102" i="1"/>
  <c r="EK103" i="1" s="1"/>
  <c r="DJ339" i="82"/>
  <c r="DJ141" i="2"/>
  <c r="DO141" i="2"/>
  <c r="EJ49" i="1"/>
  <c r="DJ561" i="1"/>
  <c r="EW179" i="1"/>
  <c r="EW204" i="1" s="1"/>
  <c r="EX268" i="1"/>
  <c r="EX292" i="1"/>
  <c r="EX192" i="1"/>
  <c r="FB192" i="1" s="1"/>
  <c r="EV196" i="1"/>
  <c r="FA179" i="1"/>
  <c r="EJ63" i="1"/>
  <c r="EJ21" i="1"/>
  <c r="EJ35" i="1"/>
  <c r="EI49" i="1"/>
  <c r="DE619" i="1"/>
  <c r="EH21" i="1"/>
  <c r="EI21" i="1"/>
  <c r="EH63" i="1"/>
  <c r="EI63" i="1"/>
  <c r="EH35" i="1"/>
  <c r="EI35" i="1"/>
  <c r="EK326" i="1"/>
  <c r="EO11" i="1"/>
  <c r="EO17" i="1" s="1"/>
  <c r="EO15" i="1" s="1"/>
  <c r="EQ20" i="1" s="1"/>
  <c r="EX199" i="1"/>
  <c r="EX186" i="1"/>
  <c r="FB186" i="1" s="1"/>
  <c r="EX244" i="1"/>
  <c r="DJ87" i="1"/>
  <c r="DJ565" i="1" s="1"/>
  <c r="DI135" i="1"/>
  <c r="DI137" i="1" s="1"/>
  <c r="EG49" i="1"/>
  <c r="EH49" i="1"/>
  <c r="DJ574" i="1"/>
  <c r="DJ590" i="1"/>
  <c r="DJ589" i="1"/>
  <c r="DJ570" i="1"/>
  <c r="DJ573" i="1" s="1"/>
  <c r="DJ591" i="1" s="1"/>
  <c r="DJ587" i="1" s="1"/>
  <c r="DJ593" i="1" s="1"/>
  <c r="EV204" i="1"/>
  <c r="EG63" i="1"/>
  <c r="EG35" i="1"/>
  <c r="EG21" i="1"/>
  <c r="EV190" i="1"/>
  <c r="EV180" i="1"/>
  <c r="EV184" i="1"/>
  <c r="EV170" i="1" s="1"/>
  <c r="EV181" i="1"/>
  <c r="EW212" i="1"/>
  <c r="EW214" i="1" s="1"/>
  <c r="EW184" i="1" s="1"/>
  <c r="EK100" i="2"/>
  <c r="EW187" i="1"/>
  <c r="EK8" i="1"/>
  <c r="EK79" i="1"/>
  <c r="EK16" i="1"/>
  <c r="Z121" i="113"/>
  <c r="Z123" i="113" s="1"/>
  <c r="C91" i="112" s="1"/>
  <c r="DJ606" i="1"/>
  <c r="DJ607" i="1" s="1"/>
  <c r="DD618" i="1"/>
  <c r="DD619" i="1" s="1"/>
  <c r="DI100" i="2"/>
  <c r="DJ470" i="1"/>
  <c r="DJ164" i="1" s="1"/>
  <c r="DJ584" i="1"/>
  <c r="DC623" i="1"/>
  <c r="DC626" i="1"/>
  <c r="DC627" i="1" s="1"/>
  <c r="AB321" i="113"/>
  <c r="C15" i="112" s="1"/>
  <c r="DI309" i="2"/>
  <c r="DN309" i="2"/>
  <c r="DN306" i="2"/>
  <c r="DI306" i="2"/>
  <c r="DI304" i="2"/>
  <c r="DN304" i="2"/>
  <c r="DL81" i="1"/>
  <c r="DJ231" i="1"/>
  <c r="DJ232" i="1" s="1"/>
  <c r="DJ220" i="82"/>
  <c r="DO220" i="82"/>
  <c r="DJ234" i="82"/>
  <c r="DK234" i="82"/>
  <c r="DC477" i="1"/>
  <c r="DC593" i="1"/>
  <c r="DC40" i="1"/>
  <c r="DI254" i="82"/>
  <c r="DN254" i="82"/>
  <c r="DI255" i="82"/>
  <c r="DL9" i="2"/>
  <c r="DL61" i="2"/>
  <c r="DQ61" i="2"/>
  <c r="FA7" i="2"/>
  <c r="DK100" i="2"/>
  <c r="DL308" i="2"/>
  <c r="DL137" i="2"/>
  <c r="DL303" i="2"/>
  <c r="DL328" i="2"/>
  <c r="DL140" i="2"/>
  <c r="DL310" i="2"/>
  <c r="DL130" i="2"/>
  <c r="DL299" i="2"/>
  <c r="DH100" i="2"/>
  <c r="DL143" i="2"/>
  <c r="DL305" i="2"/>
  <c r="DL133" i="2"/>
  <c r="DL325" i="2"/>
  <c r="DL327" i="2"/>
  <c r="DL329" i="2"/>
  <c r="DL146" i="2"/>
  <c r="DL301" i="2"/>
  <c r="DL167" i="82"/>
  <c r="DL187" i="82"/>
  <c r="DL313" i="82"/>
  <c r="U8" i="113"/>
  <c r="DJ100" i="2"/>
  <c r="AC321" i="113"/>
  <c r="EV149" i="82"/>
  <c r="EH119" i="1"/>
  <c r="Z323" i="113"/>
  <c r="Z347" i="113"/>
  <c r="DG569" i="1"/>
  <c r="DG591" i="1"/>
  <c r="DI302" i="2"/>
  <c r="DN302" i="2"/>
  <c r="DN300" i="2"/>
  <c r="DI300" i="2"/>
  <c r="EK44" i="1"/>
  <c r="EK82" i="1"/>
  <c r="Z173" i="113"/>
  <c r="DC470" i="1"/>
  <c r="DC584" i="1"/>
  <c r="DC33" i="1"/>
  <c r="DK255" i="82"/>
  <c r="DJ254" i="82"/>
  <c r="DO254" i="82"/>
  <c r="DJ255" i="82"/>
  <c r="DI148" i="2"/>
  <c r="DI147" i="2"/>
  <c r="DN147" i="2"/>
  <c r="DN131" i="2"/>
  <c r="DI132" i="2"/>
  <c r="DI131" i="2"/>
  <c r="CK80" i="7"/>
  <c r="DI63" i="2"/>
  <c r="DN63" i="2"/>
  <c r="DI13" i="2"/>
  <c r="DI126" i="2"/>
  <c r="DI86" i="2"/>
  <c r="DI123" i="2"/>
  <c r="DJ125" i="2" s="1"/>
  <c r="DI120" i="2"/>
  <c r="DI117" i="2"/>
  <c r="DI114" i="2"/>
  <c r="DJ116" i="2" s="1"/>
  <c r="DQ171" i="1"/>
  <c r="DQ209" i="1" s="1"/>
  <c r="DL171" i="1"/>
  <c r="DL209" i="1" s="1"/>
  <c r="DL191" i="1"/>
  <c r="DL203" i="1"/>
  <c r="DL197" i="1"/>
  <c r="DL208" i="1"/>
  <c r="DL183" i="1"/>
  <c r="DL325" i="1"/>
  <c r="DJ124" i="2"/>
  <c r="DK125" i="2"/>
  <c r="DO124" i="2"/>
  <c r="EK58" i="1"/>
  <c r="EK84" i="1"/>
  <c r="EK10" i="82"/>
  <c r="EK491" i="1"/>
  <c r="DL253" i="82"/>
  <c r="DL250" i="82"/>
  <c r="DQ218" i="82"/>
  <c r="DL218" i="82"/>
  <c r="DC607" i="1"/>
  <c r="DG606" i="1"/>
  <c r="DG607" i="1" s="1"/>
  <c r="DK228" i="82"/>
  <c r="DJ214" i="82"/>
  <c r="DJ241" i="82"/>
  <c r="DO214" i="82"/>
  <c r="DJ228" i="82"/>
  <c r="DJ198" i="82"/>
  <c r="DN311" i="2"/>
  <c r="DI311" i="2"/>
  <c r="DJ86" i="2"/>
  <c r="DJ135" i="1"/>
  <c r="DJ137" i="1" s="1"/>
  <c r="EK339" i="1"/>
  <c r="DI570" i="1"/>
  <c r="DL571" i="1"/>
  <c r="EK216" i="1"/>
  <c r="EM218" i="1" s="1"/>
  <c r="DI214" i="82"/>
  <c r="DI241" i="82"/>
  <c r="DL196" i="82"/>
  <c r="DN214" i="82"/>
  <c r="DI198" i="82"/>
  <c r="DI228" i="82"/>
  <c r="DE149" i="1"/>
  <c r="DI177" i="1"/>
  <c r="DI176" i="1"/>
  <c r="DI178" i="1"/>
  <c r="DL175" i="1"/>
  <c r="DN176" i="1"/>
  <c r="EH78" i="1"/>
  <c r="DN141" i="2"/>
  <c r="DI142" i="2"/>
  <c r="DI141" i="2"/>
  <c r="DI83" i="1"/>
  <c r="DI561" i="1"/>
  <c r="DG600" i="1"/>
  <c r="DG601" i="1" s="1"/>
  <c r="DG54" i="1" s="1"/>
  <c r="AA321" i="113"/>
  <c r="DL572" i="1"/>
  <c r="DI574" i="1"/>
  <c r="DI252" i="82"/>
  <c r="DI251" i="82"/>
  <c r="DN251" i="82"/>
  <c r="DN144" i="2"/>
  <c r="DI145" i="2"/>
  <c r="DI144" i="2"/>
  <c r="DN220" i="82"/>
  <c r="DI220" i="82"/>
  <c r="DI234" i="82"/>
  <c r="DK252" i="82"/>
  <c r="DJ251" i="82"/>
  <c r="DO251" i="82"/>
  <c r="DJ252" i="82"/>
  <c r="DI339" i="82"/>
  <c r="DI301" i="82"/>
  <c r="DI338" i="82"/>
  <c r="DI330" i="82"/>
  <c r="DL340" i="1"/>
  <c r="DG340" i="1"/>
  <c r="DD575" i="1"/>
  <c r="DD463" i="1"/>
  <c r="DD26" i="1"/>
  <c r="DJ115" i="2"/>
  <c r="DK116" i="2"/>
  <c r="DO115" i="2"/>
  <c r="DI216" i="1"/>
  <c r="DJ218" i="1" s="1"/>
  <c r="DI221" i="1"/>
  <c r="DI222" i="1" s="1"/>
  <c r="DI223" i="1" s="1"/>
  <c r="DI230" i="1"/>
  <c r="DI231" i="1" s="1"/>
  <c r="DI232" i="1" s="1"/>
  <c r="DI520" i="1"/>
  <c r="DI630" i="1" s="1"/>
  <c r="DI580" i="1"/>
  <c r="DI589" i="1" s="1"/>
  <c r="DI581" i="1"/>
  <c r="DG578" i="1"/>
  <c r="DI326" i="1"/>
  <c r="DN326" i="1"/>
  <c r="DI521" i="1"/>
  <c r="DI139" i="2"/>
  <c r="DI138" i="2"/>
  <c r="DN138" i="2"/>
  <c r="DI134" i="2"/>
  <c r="DN134" i="2"/>
  <c r="DI135" i="2"/>
  <c r="DJ217" i="1"/>
  <c r="DJ219" i="1" s="1"/>
  <c r="DJ225" i="1"/>
  <c r="DO217" i="1"/>
  <c r="DO219" i="1" s="1"/>
  <c r="DO226" i="1"/>
  <c r="DJ234" i="1"/>
  <c r="DK218" i="1"/>
  <c r="DK235" i="1"/>
  <c r="DK236" i="1" s="1"/>
  <c r="Z28" i="113"/>
  <c r="DD587" i="1"/>
  <c r="DD612" i="1"/>
  <c r="DD613" i="1" s="1"/>
  <c r="EK30" i="1"/>
  <c r="EK80" i="1"/>
  <c r="Z84" i="113"/>
  <c r="C83" i="112" s="1"/>
  <c r="DC149" i="1"/>
  <c r="EK80" i="82"/>
  <c r="DE593" i="1"/>
  <c r="DE40" i="1"/>
  <c r="DK128" i="2" l="1"/>
  <c r="DJ127" i="2"/>
  <c r="DJ128" i="2"/>
  <c r="DJ166" i="2"/>
  <c r="DK168" i="2" s="1"/>
  <c r="DO65" i="2"/>
  <c r="DJ150" i="2"/>
  <c r="DJ65" i="2"/>
  <c r="DJ27" i="2"/>
  <c r="DJ317" i="2" s="1"/>
  <c r="DK119" i="2"/>
  <c r="DO118" i="2"/>
  <c r="DJ119" i="2"/>
  <c r="EY268" i="1"/>
  <c r="EY192" i="1"/>
  <c r="EY193" i="1" s="1"/>
  <c r="EY186" i="1"/>
  <c r="EY244" i="1"/>
  <c r="ET18" i="1"/>
  <c r="Z172" i="113"/>
  <c r="Z193" i="113" s="1"/>
  <c r="C97" i="112"/>
  <c r="EU7" i="2"/>
  <c r="DO121" i="2"/>
  <c r="DJ121" i="2"/>
  <c r="CL91" i="7"/>
  <c r="CL94" i="7"/>
  <c r="CL83" i="7"/>
  <c r="CL104" i="7"/>
  <c r="CL172" i="7"/>
  <c r="CL92" i="7"/>
  <c r="CL98" i="7"/>
  <c r="CL89" i="7"/>
  <c r="CL96" i="7"/>
  <c r="EK101" i="1"/>
  <c r="EK96" i="1"/>
  <c r="EK97" i="1" s="1"/>
  <c r="DJ88" i="2"/>
  <c r="EW196" i="1"/>
  <c r="EX193" i="1"/>
  <c r="EW190" i="1"/>
  <c r="EW170" i="1"/>
  <c r="EW183" i="1" s="1"/>
  <c r="EW180" i="1"/>
  <c r="EX212" i="1"/>
  <c r="EX214" i="1" s="1"/>
  <c r="EX68" i="1" s="1"/>
  <c r="EV202" i="1"/>
  <c r="EV183" i="1"/>
  <c r="FA170" i="1"/>
  <c r="EJ8" i="2"/>
  <c r="EJ115" i="1"/>
  <c r="EL117" i="1" s="1"/>
  <c r="EJ14" i="1"/>
  <c r="DD626" i="1"/>
  <c r="DD627" i="1" s="1"/>
  <c r="EI8" i="2"/>
  <c r="EI115" i="1"/>
  <c r="EN116" i="1" s="1"/>
  <c r="EH14" i="1"/>
  <c r="EI14" i="1"/>
  <c r="EO45" i="1"/>
  <c r="EO43" i="1" s="1"/>
  <c r="EQ48" i="1" s="1"/>
  <c r="EO16" i="1"/>
  <c r="EO79" i="1"/>
  <c r="EO10" i="1"/>
  <c r="EO24" i="1" s="1"/>
  <c r="EO31" i="1"/>
  <c r="EO29" i="1" s="1"/>
  <c r="EQ34" i="1" s="1"/>
  <c r="EP217" i="1"/>
  <c r="EP219" i="1" s="1"/>
  <c r="EP226" i="1"/>
  <c r="EO59" i="1"/>
  <c r="EO57" i="1" s="1"/>
  <c r="EQ62" i="1" s="1"/>
  <c r="EK340" i="1"/>
  <c r="EX187" i="1"/>
  <c r="EX179" i="1"/>
  <c r="EO100" i="2"/>
  <c r="EP100" i="2" s="1"/>
  <c r="DJ588" i="1"/>
  <c r="DJ569" i="1"/>
  <c r="DJ575" i="1" s="1"/>
  <c r="EH81" i="1"/>
  <c r="EH83" i="1" s="1"/>
  <c r="EH10" i="1" s="1"/>
  <c r="DJ235" i="1"/>
  <c r="DJ236" i="1" s="1"/>
  <c r="DG622" i="1"/>
  <c r="DG623" i="1" s="1"/>
  <c r="DJ599" i="1"/>
  <c r="DJ600" i="1" s="1"/>
  <c r="DJ592" i="1"/>
  <c r="DJ611" i="1" s="1"/>
  <c r="DJ612" i="1" s="1"/>
  <c r="DJ613" i="1" s="1"/>
  <c r="DJ622" i="1"/>
  <c r="DJ623" i="1" s="1"/>
  <c r="EV171" i="1"/>
  <c r="EV69" i="1"/>
  <c r="EV178" i="1"/>
  <c r="EG14" i="1"/>
  <c r="EV191" i="1"/>
  <c r="EV203" i="1"/>
  <c r="EV208" i="1"/>
  <c r="EV197" i="1"/>
  <c r="EW68" i="1"/>
  <c r="EW12" i="82" s="1"/>
  <c r="EW181" i="1"/>
  <c r="DI102" i="2"/>
  <c r="Z144" i="113"/>
  <c r="Z126" i="113"/>
  <c r="Z148" i="113" s="1"/>
  <c r="EK78" i="1"/>
  <c r="EK81" i="1" s="1"/>
  <c r="EK83" i="1" s="1"/>
  <c r="EK9" i="1"/>
  <c r="EK22" i="1"/>
  <c r="EK93" i="1" s="1"/>
  <c r="EK94" i="1" s="1"/>
  <c r="Z47" i="113"/>
  <c r="DO172" i="1"/>
  <c r="DO60" i="2"/>
  <c r="DO73" i="1"/>
  <c r="DO227" i="1"/>
  <c r="DD149" i="1"/>
  <c r="DL216" i="1"/>
  <c r="DL221" i="1"/>
  <c r="DL222" i="1" s="1"/>
  <c r="DL223" i="1" s="1"/>
  <c r="DI118" i="2"/>
  <c r="DI119" i="2"/>
  <c r="DN118" i="2"/>
  <c r="DG618" i="1"/>
  <c r="DQ311" i="2"/>
  <c r="DL311" i="2"/>
  <c r="DD40" i="1"/>
  <c r="DD593" i="1"/>
  <c r="DI87" i="1"/>
  <c r="DI565" i="1" s="1"/>
  <c r="DI563" i="1"/>
  <c r="EK217" i="1"/>
  <c r="EK219" i="1" s="1"/>
  <c r="EK225" i="1"/>
  <c r="EK226" i="1" s="1"/>
  <c r="DQ251" i="82"/>
  <c r="DM252" i="82"/>
  <c r="DL251" i="82"/>
  <c r="DI121" i="2"/>
  <c r="DI122" i="2"/>
  <c r="DN121" i="2"/>
  <c r="Z194" i="113"/>
  <c r="C98" i="112" s="1"/>
  <c r="Z344" i="113"/>
  <c r="DG612" i="1"/>
  <c r="DG613" i="1" s="1"/>
  <c r="DG587" i="1"/>
  <c r="DG593" i="1" s="1"/>
  <c r="Z325" i="113"/>
  <c r="AC323" i="113"/>
  <c r="U342" i="113"/>
  <c r="U346" i="113"/>
  <c r="U344" i="113"/>
  <c r="V28" i="113"/>
  <c r="U10" i="113"/>
  <c r="U345" i="113"/>
  <c r="U347" i="113"/>
  <c r="U341" i="113"/>
  <c r="U343" i="113"/>
  <c r="U28" i="113"/>
  <c r="DQ141" i="2"/>
  <c r="DL141" i="2"/>
  <c r="DJ122" i="2"/>
  <c r="DJ151" i="2"/>
  <c r="DJ226" i="1"/>
  <c r="DJ522" i="1"/>
  <c r="DN216" i="82"/>
  <c r="DI230" i="82"/>
  <c r="DI243" i="82"/>
  <c r="DI216" i="82"/>
  <c r="DM255" i="82"/>
  <c r="DL254" i="82"/>
  <c r="DQ254" i="82"/>
  <c r="EK492" i="1"/>
  <c r="DG575" i="1"/>
  <c r="DG463" i="1"/>
  <c r="DL330" i="82"/>
  <c r="DL338" i="82"/>
  <c r="DQ370" i="82"/>
  <c r="DL339" i="82"/>
  <c r="DL410" i="82"/>
  <c r="DL301" i="82"/>
  <c r="DL398" i="82"/>
  <c r="DL370" i="82"/>
  <c r="DL134" i="2"/>
  <c r="DQ134" i="2"/>
  <c r="CN80" i="7"/>
  <c r="D7" i="15"/>
  <c r="DL13" i="2"/>
  <c r="DL63" i="2"/>
  <c r="FA9" i="2"/>
  <c r="DQ63" i="2"/>
  <c r="DL117" i="2"/>
  <c r="DL114" i="2"/>
  <c r="DH102" i="2"/>
  <c r="DL126" i="2"/>
  <c r="DL123" i="2"/>
  <c r="DK102" i="2"/>
  <c r="DL120" i="2"/>
  <c r="DL169" i="82"/>
  <c r="R40" i="11"/>
  <c r="R41" i="11" s="1"/>
  <c r="DJ102" i="2"/>
  <c r="DG470" i="1"/>
  <c r="DG584" i="1"/>
  <c r="DG33" i="1"/>
  <c r="FD7" i="2"/>
  <c r="FH7" i="2"/>
  <c r="AA8" i="113"/>
  <c r="DI124" i="2"/>
  <c r="DI125" i="2"/>
  <c r="DN124" i="2"/>
  <c r="DL306" i="2"/>
  <c r="DQ306" i="2"/>
  <c r="DQ304" i="2"/>
  <c r="DL304" i="2"/>
  <c r="DL561" i="1"/>
  <c r="DL83" i="1"/>
  <c r="AB323" i="113"/>
  <c r="AA323" i="113"/>
  <c r="DQ214" i="82"/>
  <c r="DL214" i="82"/>
  <c r="DL241" i="82"/>
  <c r="DL198" i="82"/>
  <c r="DL570" i="1"/>
  <c r="DI573" i="1"/>
  <c r="CK92" i="7"/>
  <c r="CK104" i="7"/>
  <c r="CK94" i="7"/>
  <c r="CK82" i="7"/>
  <c r="CK73" i="7" s="1"/>
  <c r="CK96" i="7"/>
  <c r="CK89" i="7"/>
  <c r="CK98" i="7"/>
  <c r="CK91" i="7"/>
  <c r="CK83" i="7"/>
  <c r="CK172" i="7"/>
  <c r="DC447" i="1"/>
  <c r="DC164" i="1"/>
  <c r="DL144" i="2"/>
  <c r="DQ144" i="2"/>
  <c r="DQ138" i="2"/>
  <c r="DL138" i="2"/>
  <c r="Z141" i="113"/>
  <c r="C93" i="112" s="1"/>
  <c r="Z125" i="113"/>
  <c r="Z124" i="113" s="1"/>
  <c r="Z146" i="113"/>
  <c r="C92" i="112" s="1"/>
  <c r="Z343" i="113"/>
  <c r="DI217" i="1"/>
  <c r="DI219" i="1" s="1"/>
  <c r="DI218" i="1"/>
  <c r="DI234" i="1"/>
  <c r="DI235" i="1" s="1"/>
  <c r="DI236" i="1" s="1"/>
  <c r="DN217" i="1"/>
  <c r="DN219" i="1" s="1"/>
  <c r="DI225" i="1"/>
  <c r="DN226" i="1"/>
  <c r="DI599" i="1"/>
  <c r="DL574" i="1"/>
  <c r="DN127" i="2"/>
  <c r="DI127" i="2"/>
  <c r="DI128" i="2"/>
  <c r="DL302" i="2"/>
  <c r="DQ302" i="2"/>
  <c r="DL100" i="2"/>
  <c r="DL309" i="2"/>
  <c r="DQ309" i="2"/>
  <c r="DC457" i="1"/>
  <c r="EK90" i="82"/>
  <c r="EK89" i="82"/>
  <c r="Z248" i="113"/>
  <c r="C103" i="112" s="1"/>
  <c r="EK94" i="82"/>
  <c r="DL581" i="1"/>
  <c r="DL590" i="1" s="1"/>
  <c r="DI583" i="1"/>
  <c r="EK81" i="82"/>
  <c r="DI590" i="1"/>
  <c r="DL176" i="1"/>
  <c r="DL178" i="1"/>
  <c r="DQ176" i="1"/>
  <c r="DK230" i="82"/>
  <c r="DJ243" i="82"/>
  <c r="DJ216" i="82"/>
  <c r="DO216" i="82"/>
  <c r="DJ230" i="82"/>
  <c r="DL326" i="1"/>
  <c r="DQ326" i="1"/>
  <c r="DI27" i="2"/>
  <c r="DI65" i="2"/>
  <c r="DN65" i="2"/>
  <c r="DI166" i="2"/>
  <c r="DI88" i="2"/>
  <c r="DI150" i="2"/>
  <c r="DL147" i="2"/>
  <c r="DQ147" i="2"/>
  <c r="DL300" i="2"/>
  <c r="DQ300" i="2"/>
  <c r="EK82" i="82"/>
  <c r="Z342" i="113"/>
  <c r="Z102" i="113"/>
  <c r="C84" i="112" s="1"/>
  <c r="DL580" i="1"/>
  <c r="DL589" i="1" s="1"/>
  <c r="DI579" i="1"/>
  <c r="DI588" i="1" s="1"/>
  <c r="EH115" i="1"/>
  <c r="EM116" i="1" s="1"/>
  <c r="DI115" i="2"/>
  <c r="DI116" i="2"/>
  <c r="DN115" i="2"/>
  <c r="EH120" i="1"/>
  <c r="DL131" i="2"/>
  <c r="DQ131" i="2"/>
  <c r="DJ167" i="2" l="1"/>
  <c r="DO167" i="2"/>
  <c r="DO71" i="2"/>
  <c r="DJ168" i="2"/>
  <c r="DJ169" i="2"/>
  <c r="DJ21" i="82"/>
  <c r="DJ34" i="82" s="1"/>
  <c r="DO35" i="82" s="1"/>
  <c r="DJ71" i="2"/>
  <c r="DJ316" i="82"/>
  <c r="DJ28" i="2"/>
  <c r="DJ54" i="2"/>
  <c r="DJ57" i="2" s="1"/>
  <c r="DJ220" i="2"/>
  <c r="DJ223" i="2" s="1"/>
  <c r="DJ229" i="2" s="1"/>
  <c r="DJ237" i="2" s="1"/>
  <c r="DJ239" i="2" s="1"/>
  <c r="DJ29" i="2"/>
  <c r="DK94" i="2"/>
  <c r="DJ32" i="2"/>
  <c r="ES100" i="2"/>
  <c r="ER100" i="2"/>
  <c r="EQ100" i="2"/>
  <c r="ET100" i="2"/>
  <c r="EY212" i="1"/>
  <c r="EY214" i="1" s="1"/>
  <c r="EY68" i="1" s="1"/>
  <c r="EY12" i="82" s="1"/>
  <c r="EU167" i="82"/>
  <c r="EY187" i="1"/>
  <c r="EY179" i="1"/>
  <c r="EY204" i="1" s="1"/>
  <c r="ET60" i="1"/>
  <c r="ET32" i="1"/>
  <c r="ES60" i="1"/>
  <c r="ES18" i="1"/>
  <c r="ET46" i="1"/>
  <c r="ES32" i="1"/>
  <c r="Z65" i="113"/>
  <c r="C76" i="112" s="1"/>
  <c r="C75" i="112"/>
  <c r="EU327" i="2"/>
  <c r="EU329" i="2"/>
  <c r="EU61" i="2"/>
  <c r="EU325" i="2"/>
  <c r="EU328" i="2"/>
  <c r="EU60" i="2"/>
  <c r="EK154" i="1"/>
  <c r="EK155" i="1" s="1"/>
  <c r="DO72" i="1"/>
  <c r="DO71" i="1" s="1"/>
  <c r="DO45" i="1" s="1"/>
  <c r="DO46" i="1" s="1"/>
  <c r="DO47" i="1" s="1"/>
  <c r="EI62" i="2"/>
  <c r="EJ143" i="1"/>
  <c r="EK92" i="1"/>
  <c r="DI104" i="2"/>
  <c r="EJ130" i="2"/>
  <c r="EL132" i="2" s="1"/>
  <c r="EL85" i="2"/>
  <c r="FI7" i="2"/>
  <c r="EJ9" i="2"/>
  <c r="EW202" i="1"/>
  <c r="EW208" i="1"/>
  <c r="EW171" i="1"/>
  <c r="EW191" i="1"/>
  <c r="EW69" i="1"/>
  <c r="EW203" i="1"/>
  <c r="EW197" i="1"/>
  <c r="EW178" i="1"/>
  <c r="EX184" i="1"/>
  <c r="EX170" i="1" s="1"/>
  <c r="FB170" i="1" s="1"/>
  <c r="EX204" i="1"/>
  <c r="FB179" i="1"/>
  <c r="FA208" i="1"/>
  <c r="FA69" i="1"/>
  <c r="EJ85" i="2"/>
  <c r="EJ62" i="2"/>
  <c r="EJ12" i="2"/>
  <c r="EJ41" i="82"/>
  <c r="EJ168" i="82"/>
  <c r="EJ117" i="1"/>
  <c r="EJ116" i="1"/>
  <c r="EJ118" i="1"/>
  <c r="EL120" i="1" s="1"/>
  <c r="EI28" i="1"/>
  <c r="EJ28" i="1"/>
  <c r="DJ463" i="1"/>
  <c r="DJ149" i="1" s="1"/>
  <c r="EI85" i="2"/>
  <c r="EI12" i="2"/>
  <c r="EI130" i="2"/>
  <c r="EI131" i="2" s="1"/>
  <c r="EI9" i="2"/>
  <c r="EI168" i="82"/>
  <c r="EI41" i="82"/>
  <c r="EI116" i="1"/>
  <c r="EI117" i="1"/>
  <c r="EI118" i="1"/>
  <c r="EO82" i="1"/>
  <c r="EO101" i="1"/>
  <c r="EO44" i="1"/>
  <c r="EO38" i="1"/>
  <c r="EO52" i="1" s="1"/>
  <c r="EO8" i="1"/>
  <c r="EQ13" i="1" s="1"/>
  <c r="EP59" i="1"/>
  <c r="EP29" i="1"/>
  <c r="EN35" i="1" s="1"/>
  <c r="EO34" i="1"/>
  <c r="EO80" i="1"/>
  <c r="EO30" i="1"/>
  <c r="EO99" i="1"/>
  <c r="EP57" i="1"/>
  <c r="EN63" i="1" s="1"/>
  <c r="EP45" i="1"/>
  <c r="EO20" i="1"/>
  <c r="EO62" i="1"/>
  <c r="EO84" i="1"/>
  <c r="EO10" i="82"/>
  <c r="EO80" i="82" s="1"/>
  <c r="EO58" i="1"/>
  <c r="EP31" i="1"/>
  <c r="EP227" i="1"/>
  <c r="EP172" i="1"/>
  <c r="EP73" i="1"/>
  <c r="EP60" i="2"/>
  <c r="EP15" i="1"/>
  <c r="EN21" i="1" s="1"/>
  <c r="EX190" i="1"/>
  <c r="EX180" i="1"/>
  <c r="EX181" i="1"/>
  <c r="EX196" i="1"/>
  <c r="EX12" i="82"/>
  <c r="AE321" i="113" s="1"/>
  <c r="AE323" i="113" s="1"/>
  <c r="AE325" i="113" s="1"/>
  <c r="EV7" i="2"/>
  <c r="EG28" i="1"/>
  <c r="EH28" i="1"/>
  <c r="EH11" i="1"/>
  <c r="EH12" i="1" s="1"/>
  <c r="EH31" i="1"/>
  <c r="EH59" i="1"/>
  <c r="EH17" i="1"/>
  <c r="EH18" i="1" s="1"/>
  <c r="EH19" i="1" s="1"/>
  <c r="EH45" i="1"/>
  <c r="EV70" i="1"/>
  <c r="DI600" i="1"/>
  <c r="DI601" i="1" s="1"/>
  <c r="DI54" i="1" s="1"/>
  <c r="DJ601" i="1"/>
  <c r="DJ54" i="1" s="1"/>
  <c r="DJ618" i="1"/>
  <c r="EV86" i="1"/>
  <c r="EV209" i="1"/>
  <c r="EV225" i="1"/>
  <c r="EV216" i="1"/>
  <c r="EV217" i="1" s="1"/>
  <c r="FE7" i="2"/>
  <c r="AB8" i="113"/>
  <c r="Z51" i="113"/>
  <c r="Z69" i="113" s="1"/>
  <c r="EK23" i="1"/>
  <c r="EK517" i="1"/>
  <c r="EK115" i="1"/>
  <c r="Z341" i="113"/>
  <c r="EK95" i="82"/>
  <c r="EK105" i="82"/>
  <c r="EK96" i="82"/>
  <c r="EK102" i="82"/>
  <c r="Z262" i="113"/>
  <c r="EK101" i="82"/>
  <c r="DI226" i="1"/>
  <c r="DI522" i="1"/>
  <c r="DL216" i="82"/>
  <c r="DQ216" i="82"/>
  <c r="DL243" i="82"/>
  <c r="AB325" i="113"/>
  <c r="DL102" i="2"/>
  <c r="Z48" i="113"/>
  <c r="DL217" i="1"/>
  <c r="DL219" i="1" s="1"/>
  <c r="DL225" i="1"/>
  <c r="DL226" i="1" s="1"/>
  <c r="DQ217" i="1"/>
  <c r="DQ219" i="1" s="1"/>
  <c r="DQ226" i="1"/>
  <c r="DQ115" i="2"/>
  <c r="DL115" i="2"/>
  <c r="D8" i="15"/>
  <c r="E8" i="15"/>
  <c r="DO72" i="2"/>
  <c r="DJ72" i="2"/>
  <c r="DJ172" i="2"/>
  <c r="DJ154" i="2"/>
  <c r="EH116" i="1"/>
  <c r="EH117" i="1"/>
  <c r="EH121" i="1"/>
  <c r="EM122" i="1" s="1"/>
  <c r="EK110" i="82"/>
  <c r="EK91" i="82"/>
  <c r="EK97" i="82"/>
  <c r="DL118" i="2"/>
  <c r="DQ118" i="2"/>
  <c r="DJ152" i="2"/>
  <c r="DK153" i="2"/>
  <c r="DO152" i="2"/>
  <c r="AD321" i="113"/>
  <c r="EW149" i="82"/>
  <c r="DO17" i="1"/>
  <c r="DO18" i="1" s="1"/>
  <c r="DO19" i="1" s="1"/>
  <c r="EK84" i="82"/>
  <c r="DN71" i="2"/>
  <c r="DI29" i="2"/>
  <c r="DI54" i="2"/>
  <c r="DI28" i="2"/>
  <c r="DI71" i="2"/>
  <c r="DI32" i="2"/>
  <c r="DI169" i="2"/>
  <c r="DI317" i="2"/>
  <c r="DI94" i="2"/>
  <c r="DI151" i="2"/>
  <c r="DI220" i="2"/>
  <c r="DI223" i="2" s="1"/>
  <c r="DI229" i="2" s="1"/>
  <c r="DI237" i="2" s="1"/>
  <c r="DI239" i="2" s="1"/>
  <c r="DI21" i="82"/>
  <c r="DI34" i="82" s="1"/>
  <c r="DN35" i="82" s="1"/>
  <c r="DI316" i="82"/>
  <c r="DL583" i="1"/>
  <c r="DL605" i="1" s="1"/>
  <c r="DI605" i="1"/>
  <c r="DI592" i="1"/>
  <c r="DI611" i="1" s="1"/>
  <c r="DL87" i="1"/>
  <c r="DL565" i="1" s="1"/>
  <c r="DL563" i="1"/>
  <c r="AA28" i="113"/>
  <c r="CN83" i="7"/>
  <c r="CN92" i="7"/>
  <c r="CN104" i="7"/>
  <c r="CN94" i="7"/>
  <c r="CN82" i="7"/>
  <c r="CN73" i="7" s="1"/>
  <c r="CN96" i="7"/>
  <c r="CN89" i="7"/>
  <c r="CN98" i="7"/>
  <c r="CN91" i="7"/>
  <c r="CN172" i="7"/>
  <c r="DO182" i="2"/>
  <c r="DJ76" i="2"/>
  <c r="DK95" i="2"/>
  <c r="DO164" i="2"/>
  <c r="DJ161" i="2"/>
  <c r="U348" i="113"/>
  <c r="EK36" i="1"/>
  <c r="EJ42" i="1" s="1"/>
  <c r="EK18" i="82"/>
  <c r="DL599" i="1"/>
  <c r="AA325" i="113"/>
  <c r="DL121" i="2"/>
  <c r="DQ121" i="2"/>
  <c r="DJ94" i="2"/>
  <c r="DJ73" i="2"/>
  <c r="DO73" i="2"/>
  <c r="DJ157" i="2"/>
  <c r="DJ175" i="2"/>
  <c r="AC325" i="113"/>
  <c r="EK172" i="1"/>
  <c r="EK60" i="2"/>
  <c r="EK73" i="1"/>
  <c r="EK227" i="1"/>
  <c r="Z128" i="113"/>
  <c r="Z147" i="113"/>
  <c r="DL573" i="1"/>
  <c r="DI569" i="1"/>
  <c r="AA347" i="113"/>
  <c r="DJ172" i="1"/>
  <c r="DJ523" i="1"/>
  <c r="DJ60" i="2"/>
  <c r="DJ73" i="1"/>
  <c r="DJ72" i="1" s="1"/>
  <c r="DJ71" i="1" s="1"/>
  <c r="DJ227" i="1"/>
  <c r="DJ326" i="2"/>
  <c r="DJ315" i="2"/>
  <c r="DJ324" i="2" s="1"/>
  <c r="DJ321" i="2"/>
  <c r="DJ330" i="2" s="1"/>
  <c r="DO331" i="2" s="1"/>
  <c r="DI168" i="2"/>
  <c r="DI167" i="2"/>
  <c r="DN167" i="2"/>
  <c r="Z250" i="113"/>
  <c r="Z266" i="113"/>
  <c r="C104" i="112" s="1"/>
  <c r="Z345" i="113"/>
  <c r="DL124" i="2"/>
  <c r="DQ124" i="2"/>
  <c r="DO170" i="2"/>
  <c r="DJ170" i="2"/>
  <c r="DK171" i="2"/>
  <c r="DJ36" i="2"/>
  <c r="DJ34" i="2"/>
  <c r="DJ227" i="2"/>
  <c r="U360" i="113"/>
  <c r="U364" i="113"/>
  <c r="U362" i="113"/>
  <c r="U363" i="113"/>
  <c r="U365" i="113"/>
  <c r="U12" i="113"/>
  <c r="U40" i="113"/>
  <c r="U359" i="113"/>
  <c r="U361" i="113"/>
  <c r="U30" i="113"/>
  <c r="V30" i="113"/>
  <c r="DG626" i="1"/>
  <c r="DG627" i="1" s="1"/>
  <c r="DG619" i="1"/>
  <c r="DI582" i="1"/>
  <c r="DI591" i="1" s="1"/>
  <c r="DI587" i="1" s="1"/>
  <c r="DI593" i="1" s="1"/>
  <c r="DL579" i="1"/>
  <c r="DL588" i="1" s="1"/>
  <c r="Z261" i="113"/>
  <c r="EK100" i="82"/>
  <c r="DN172" i="1"/>
  <c r="DN73" i="1"/>
  <c r="DN60" i="2"/>
  <c r="DN227" i="1"/>
  <c r="Z158" i="113"/>
  <c r="DG164" i="1"/>
  <c r="DL127" i="2"/>
  <c r="DQ127" i="2"/>
  <c r="FA13" i="2"/>
  <c r="DL27" i="2"/>
  <c r="DL65" i="2"/>
  <c r="DQ65" i="2"/>
  <c r="DL166" i="2"/>
  <c r="DL150" i="2"/>
  <c r="DH104" i="2"/>
  <c r="DK104" i="2"/>
  <c r="DJ104" i="2"/>
  <c r="DG149" i="1"/>
  <c r="DJ304" i="82"/>
  <c r="DJ332" i="82"/>
  <c r="DJ318" i="82"/>
  <c r="DJ335" i="82" s="1"/>
  <c r="DJ314" i="82"/>
  <c r="DJ329" i="82" s="1"/>
  <c r="DJ331" i="82" s="1"/>
  <c r="DJ334" i="1" l="1"/>
  <c r="DJ179" i="2"/>
  <c r="DJ164" i="2"/>
  <c r="DJ182" i="2"/>
  <c r="DO76" i="2"/>
  <c r="EI203" i="2"/>
  <c r="EJ203" i="2"/>
  <c r="EI121" i="1"/>
  <c r="EN122" i="1" s="1"/>
  <c r="EN119" i="1"/>
  <c r="EU100" i="2"/>
  <c r="EY184" i="1"/>
  <c r="EY170" i="1" s="1"/>
  <c r="EY190" i="1"/>
  <c r="EY196" i="1"/>
  <c r="EY180" i="1"/>
  <c r="EY181" i="1"/>
  <c r="EY149" i="82"/>
  <c r="AF321" i="113"/>
  <c r="ES11" i="1"/>
  <c r="ES46" i="1"/>
  <c r="ET11" i="1"/>
  <c r="ET45" i="1" s="1"/>
  <c r="ET43" i="1" s="1"/>
  <c r="AB347" i="113"/>
  <c r="C16" i="112"/>
  <c r="DO31" i="1"/>
  <c r="DO32" i="1" s="1"/>
  <c r="DO33" i="1" s="1"/>
  <c r="EM35" i="1"/>
  <c r="EM21" i="1"/>
  <c r="DO59" i="1"/>
  <c r="DO60" i="1" s="1"/>
  <c r="DO61" i="1" s="1"/>
  <c r="DO10" i="1"/>
  <c r="EJ148" i="1"/>
  <c r="EJ153" i="1" s="1"/>
  <c r="EJ155" i="1" s="1"/>
  <c r="FF7" i="2"/>
  <c r="DN72" i="1"/>
  <c r="DN71" i="1" s="1"/>
  <c r="EP72" i="1"/>
  <c r="EP71" i="1" s="1"/>
  <c r="EM63" i="1"/>
  <c r="EW7" i="2"/>
  <c r="EW328" i="2" s="1"/>
  <c r="EJ131" i="2"/>
  <c r="EL35" i="1"/>
  <c r="EI70" i="2"/>
  <c r="EL87" i="2"/>
  <c r="EJ63" i="2"/>
  <c r="EL86" i="2"/>
  <c r="EL63" i="1"/>
  <c r="EL21" i="1"/>
  <c r="EJ120" i="2"/>
  <c r="EL122" i="2" s="1"/>
  <c r="EJ86" i="2"/>
  <c r="DI618" i="1"/>
  <c r="EJ117" i="2"/>
  <c r="FJ7" i="2"/>
  <c r="DL80" i="7"/>
  <c r="DL172" i="7" s="1"/>
  <c r="EJ169" i="82"/>
  <c r="EJ123" i="2"/>
  <c r="EJ126" i="2"/>
  <c r="EJ13" i="2"/>
  <c r="EJ133" i="2"/>
  <c r="EJ70" i="2"/>
  <c r="EW225" i="1"/>
  <c r="EW226" i="1" s="1"/>
  <c r="EW209" i="1"/>
  <c r="EW216" i="1"/>
  <c r="EW217" i="1" s="1"/>
  <c r="EW70" i="1"/>
  <c r="EW86" i="1"/>
  <c r="EV226" i="1"/>
  <c r="FA225" i="1"/>
  <c r="EJ87" i="2"/>
  <c r="EJ64" i="2"/>
  <c r="EJ132" i="2"/>
  <c r="EJ114" i="2"/>
  <c r="EJ69" i="82"/>
  <c r="EJ42" i="82"/>
  <c r="EJ57" i="82"/>
  <c r="EO103" i="1"/>
  <c r="EJ120" i="1"/>
  <c r="EJ119" i="1"/>
  <c r="EJ121" i="1"/>
  <c r="EL123" i="1" s="1"/>
  <c r="EO35" i="1"/>
  <c r="EI133" i="2"/>
  <c r="EI169" i="82"/>
  <c r="EI64" i="2"/>
  <c r="EI87" i="2"/>
  <c r="EI126" i="2"/>
  <c r="EI63" i="2"/>
  <c r="EI117" i="2"/>
  <c r="EI86" i="2"/>
  <c r="DK80" i="7"/>
  <c r="EI120" i="2"/>
  <c r="EI123" i="2"/>
  <c r="EI13" i="2"/>
  <c r="EI114" i="2"/>
  <c r="EI57" i="82"/>
  <c r="EI69" i="82"/>
  <c r="EI42" i="82"/>
  <c r="EI127" i="1"/>
  <c r="EN128" i="1" s="1"/>
  <c r="EI123" i="1"/>
  <c r="EI122" i="1"/>
  <c r="EK118" i="1"/>
  <c r="Z85" i="113"/>
  <c r="EI119" i="1"/>
  <c r="EI120" i="1"/>
  <c r="EK105" i="1"/>
  <c r="EK107" i="1" s="1"/>
  <c r="EH42" i="1"/>
  <c r="EI42" i="1"/>
  <c r="EV327" i="2"/>
  <c r="EX149" i="82"/>
  <c r="EV328" i="2"/>
  <c r="AC8" i="113"/>
  <c r="EO9" i="1"/>
  <c r="EO90" i="1"/>
  <c r="EO105" i="1" s="1"/>
  <c r="DL600" i="1"/>
  <c r="DL601" i="1" s="1"/>
  <c r="EV167" i="82"/>
  <c r="EP8" i="1"/>
  <c r="EN14" i="1" s="1"/>
  <c r="EO22" i="1"/>
  <c r="EQ27" i="1" s="1"/>
  <c r="EV329" i="2"/>
  <c r="EP493" i="1"/>
  <c r="EV325" i="2"/>
  <c r="EO78" i="1"/>
  <c r="EO81" i="1" s="1"/>
  <c r="EO83" i="1" s="1"/>
  <c r="EV61" i="2"/>
  <c r="EO13" i="1"/>
  <c r="EP10" i="82"/>
  <c r="EP60" i="1"/>
  <c r="EP61" i="1"/>
  <c r="EP84" i="1"/>
  <c r="EP58" i="1"/>
  <c r="EO100" i="1"/>
  <c r="EP43" i="1"/>
  <c r="EN49" i="1" s="1"/>
  <c r="EO48" i="1"/>
  <c r="EO82" i="82"/>
  <c r="EO81" i="82" s="1"/>
  <c r="EO94" i="82"/>
  <c r="EP24" i="1"/>
  <c r="EP79" i="1"/>
  <c r="EP16" i="1"/>
  <c r="EO21" i="1"/>
  <c r="EO63" i="1"/>
  <c r="EP80" i="82"/>
  <c r="EP30" i="1"/>
  <c r="EP33" i="1"/>
  <c r="EP32" i="1"/>
  <c r="EP80" i="1"/>
  <c r="EP99" i="1"/>
  <c r="EO118" i="1"/>
  <c r="EQ120" i="1" s="1"/>
  <c r="EX171" i="1"/>
  <c r="EX69" i="1"/>
  <c r="EX208" i="1"/>
  <c r="EX178" i="1"/>
  <c r="EX197" i="1"/>
  <c r="EX203" i="1"/>
  <c r="EX191" i="1"/>
  <c r="EX183" i="1"/>
  <c r="EX202" i="1"/>
  <c r="EH85" i="2"/>
  <c r="EH62" i="2"/>
  <c r="EH130" i="2"/>
  <c r="EH60" i="1"/>
  <c r="EH61" i="1" s="1"/>
  <c r="EK59" i="1"/>
  <c r="EH32" i="1"/>
  <c r="EH33" i="1" s="1"/>
  <c r="EK31" i="1"/>
  <c r="EH24" i="1"/>
  <c r="EH46" i="1"/>
  <c r="EH47" i="1" s="1"/>
  <c r="EK45" i="1"/>
  <c r="DJ619" i="1"/>
  <c r="DJ626" i="1"/>
  <c r="DJ627" i="1" s="1"/>
  <c r="EV219" i="1"/>
  <c r="EG42" i="1"/>
  <c r="DJ153" i="2"/>
  <c r="DJ171" i="2"/>
  <c r="EK116" i="1"/>
  <c r="AB28" i="113"/>
  <c r="DL592" i="1"/>
  <c r="DL611" i="1" s="1"/>
  <c r="DJ17" i="1"/>
  <c r="DJ18" i="1" s="1"/>
  <c r="DJ45" i="1"/>
  <c r="DJ46" i="1" s="1"/>
  <c r="DJ47" i="1" s="1"/>
  <c r="DJ31" i="1"/>
  <c r="DJ32" i="1" s="1"/>
  <c r="DJ10" i="1"/>
  <c r="DJ59" i="1"/>
  <c r="EK72" i="1"/>
  <c r="DO180" i="2"/>
  <c r="DJ180" i="2"/>
  <c r="DK181" i="2"/>
  <c r="DI326" i="2"/>
  <c r="DI315" i="2"/>
  <c r="DI324" i="2" s="1"/>
  <c r="DI321" i="2"/>
  <c r="DI330" i="2" s="1"/>
  <c r="DN331" i="2" s="1"/>
  <c r="DJ155" i="2"/>
  <c r="DK156" i="2"/>
  <c r="DO155" i="2"/>
  <c r="U378" i="113"/>
  <c r="U382" i="113"/>
  <c r="U41" i="113"/>
  <c r="U380" i="113"/>
  <c r="U381" i="113"/>
  <c r="U383" i="113"/>
  <c r="U377" i="113"/>
  <c r="U379" i="113"/>
  <c r="U32" i="113"/>
  <c r="V32" i="113"/>
  <c r="DI332" i="82"/>
  <c r="DJ334" i="82" s="1"/>
  <c r="DI318" i="82"/>
  <c r="DI335" i="82" s="1"/>
  <c r="DJ337" i="82" s="1"/>
  <c r="DI304" i="82"/>
  <c r="DI314" i="82"/>
  <c r="DI329" i="82" s="1"/>
  <c r="DI331" i="82" s="1"/>
  <c r="DI171" i="2"/>
  <c r="DI170" i="2"/>
  <c r="DN170" i="2"/>
  <c r="DO24" i="1"/>
  <c r="AD323" i="113"/>
  <c r="DO173" i="2"/>
  <c r="DJ173" i="2"/>
  <c r="DK174" i="2"/>
  <c r="DJ48" i="2"/>
  <c r="DJ50" i="2" s="1"/>
  <c r="DJ217" i="2"/>
  <c r="CL74" i="7"/>
  <c r="Z278" i="113"/>
  <c r="Z277" i="113" s="1"/>
  <c r="Z251" i="113" s="1"/>
  <c r="Z273" i="113"/>
  <c r="CL75" i="7"/>
  <c r="CL196" i="7"/>
  <c r="CL197" i="7" s="1"/>
  <c r="CL9" i="3"/>
  <c r="DJ37" i="2"/>
  <c r="DJ42" i="2"/>
  <c r="DJ77" i="2"/>
  <c r="DJ160" i="2"/>
  <c r="DJ238" i="2"/>
  <c r="DO77" i="2"/>
  <c r="DJ178" i="2"/>
  <c r="DJ322" i="82"/>
  <c r="DJ270" i="82" s="1"/>
  <c r="Z267" i="113"/>
  <c r="DI619" i="1"/>
  <c r="DI36" i="2"/>
  <c r="DL32" i="2"/>
  <c r="DI34" i="2"/>
  <c r="DI227" i="2"/>
  <c r="DJ333" i="82"/>
  <c r="DO333" i="82"/>
  <c r="DK334" i="82"/>
  <c r="DI575" i="1"/>
  <c r="DI463" i="1"/>
  <c r="DI149" i="1" s="1"/>
  <c r="DJ335" i="1"/>
  <c r="DO335" i="1"/>
  <c r="DI612" i="1"/>
  <c r="DI613" i="1" s="1"/>
  <c r="Z66" i="113"/>
  <c r="Z49" i="113"/>
  <c r="C77" i="112" s="1"/>
  <c r="DL167" i="2"/>
  <c r="DQ167" i="2"/>
  <c r="EH168" i="82"/>
  <c r="DQ71" i="2"/>
  <c r="DL29" i="2"/>
  <c r="FA27" i="2"/>
  <c r="DL71" i="2"/>
  <c r="DK110" i="2"/>
  <c r="DL169" i="2"/>
  <c r="DL317" i="2"/>
  <c r="DL151" i="2"/>
  <c r="DH110" i="2"/>
  <c r="DL220" i="2"/>
  <c r="DL223" i="2" s="1"/>
  <c r="DL229" i="2" s="1"/>
  <c r="DL237" i="2" s="1"/>
  <c r="DL239" i="2" s="1"/>
  <c r="DG343" i="1"/>
  <c r="DL21" i="82"/>
  <c r="DL316" i="82"/>
  <c r="DL188" i="82"/>
  <c r="U14" i="113"/>
  <c r="DL171" i="82"/>
  <c r="DJ110" i="2"/>
  <c r="EK50" i="1"/>
  <c r="EK37" i="1"/>
  <c r="EK498" i="1"/>
  <c r="DI110" i="2"/>
  <c r="DI72" i="2"/>
  <c r="DL28" i="2"/>
  <c r="DN72" i="2"/>
  <c r="DI172" i="2"/>
  <c r="DJ174" i="2" s="1"/>
  <c r="DI154" i="2"/>
  <c r="DJ156" i="2" s="1"/>
  <c r="EK111" i="82"/>
  <c r="DI172" i="1"/>
  <c r="DI523" i="1"/>
  <c r="DI73" i="1"/>
  <c r="DI72" i="1" s="1"/>
  <c r="DI71" i="1" s="1"/>
  <c r="DI60" i="2"/>
  <c r="DI227" i="1"/>
  <c r="DN45" i="1"/>
  <c r="DN59" i="1"/>
  <c r="DN10" i="1"/>
  <c r="DN31" i="1"/>
  <c r="DN17" i="1"/>
  <c r="DN18" i="1" s="1"/>
  <c r="DN19" i="1" s="1"/>
  <c r="DL569" i="1"/>
  <c r="DJ162" i="2"/>
  <c r="DK163" i="2"/>
  <c r="DO162" i="2"/>
  <c r="DO493" i="1"/>
  <c r="DO494" i="1" s="1"/>
  <c r="DO495" i="1" s="1"/>
  <c r="DQ172" i="1"/>
  <c r="DQ60" i="2"/>
  <c r="DQ73" i="1"/>
  <c r="DQ227" i="1"/>
  <c r="DL104" i="2"/>
  <c r="U139" i="113"/>
  <c r="U97" i="113"/>
  <c r="Z249" i="113"/>
  <c r="DJ176" i="2"/>
  <c r="DK177" i="2"/>
  <c r="DO176" i="2"/>
  <c r="DN152" i="2"/>
  <c r="DI153" i="2"/>
  <c r="DI152" i="2"/>
  <c r="DI57" i="2"/>
  <c r="DL54" i="2"/>
  <c r="Z279" i="113"/>
  <c r="Z274" i="113"/>
  <c r="DO336" i="82"/>
  <c r="DK337" i="82"/>
  <c r="DJ336" i="82"/>
  <c r="DI578" i="1"/>
  <c r="DL582" i="1"/>
  <c r="DL591" i="1" s="1"/>
  <c r="U366" i="113"/>
  <c r="U60" i="113"/>
  <c r="DJ228" i="2"/>
  <c r="DJ233" i="2"/>
  <c r="DJ234" i="2" s="1"/>
  <c r="Z150" i="113"/>
  <c r="Z129" i="113"/>
  <c r="DJ158" i="2"/>
  <c r="DK159" i="2"/>
  <c r="DO158" i="2"/>
  <c r="EK27" i="82"/>
  <c r="Z254" i="113"/>
  <c r="DI606" i="1"/>
  <c r="DI73" i="2"/>
  <c r="DN73" i="2"/>
  <c r="DI175" i="2"/>
  <c r="DI157" i="2"/>
  <c r="DJ159" i="2" s="1"/>
  <c r="EK86" i="82"/>
  <c r="EH123" i="1"/>
  <c r="EH122" i="1"/>
  <c r="DL172" i="1"/>
  <c r="DL60" i="2"/>
  <c r="DL73" i="1"/>
  <c r="DL227" i="1"/>
  <c r="EY202" i="1" l="1"/>
  <c r="ET31" i="1"/>
  <c r="ET29" i="1" s="1"/>
  <c r="ES45" i="1"/>
  <c r="AF323" i="113"/>
  <c r="EY178" i="1"/>
  <c r="EY203" i="1"/>
  <c r="EY197" i="1"/>
  <c r="EY208" i="1"/>
  <c r="EY171" i="1"/>
  <c r="EY69" i="1"/>
  <c r="EY191" i="1"/>
  <c r="EY183" i="1"/>
  <c r="ET59" i="1"/>
  <c r="ET57" i="1" s="1"/>
  <c r="ES59" i="1"/>
  <c r="ET44" i="1"/>
  <c r="ET82" i="1"/>
  <c r="ES31" i="1"/>
  <c r="ES10" i="1"/>
  <c r="ES8" i="1" s="1"/>
  <c r="ET10" i="1"/>
  <c r="ET17" i="1"/>
  <c r="ET15" i="1" s="1"/>
  <c r="ES17" i="1"/>
  <c r="ES15" i="1" s="1"/>
  <c r="DO11" i="1"/>
  <c r="EK337" i="1"/>
  <c r="DL34" i="82"/>
  <c r="DL35" i="82" s="1"/>
  <c r="FB69" i="1"/>
  <c r="EM14" i="1"/>
  <c r="EM49" i="1"/>
  <c r="AC28" i="113"/>
  <c r="AH8" i="113"/>
  <c r="EJ121" i="2"/>
  <c r="EI132" i="2"/>
  <c r="EM131" i="2"/>
  <c r="EW167" i="82"/>
  <c r="EW61" i="2"/>
  <c r="FK7" i="2"/>
  <c r="AD8" i="113"/>
  <c r="AD347" i="113" s="1"/>
  <c r="EW329" i="2"/>
  <c r="EW325" i="2"/>
  <c r="EW327" i="2"/>
  <c r="EO121" i="2"/>
  <c r="EL49" i="1"/>
  <c r="EL14" i="1"/>
  <c r="EI65" i="2"/>
  <c r="EJ115" i="2"/>
  <c r="EL116" i="2"/>
  <c r="EJ134" i="2"/>
  <c r="EL135" i="2"/>
  <c r="EJ150" i="2"/>
  <c r="EL88" i="2"/>
  <c r="EO127" i="2"/>
  <c r="EL128" i="2"/>
  <c r="EJ124" i="2"/>
  <c r="EL125" i="2"/>
  <c r="EJ118" i="2"/>
  <c r="EL119" i="2"/>
  <c r="EJ204" i="2"/>
  <c r="EL205" i="2"/>
  <c r="DL96" i="7"/>
  <c r="DL82" i="7"/>
  <c r="DL73" i="7" s="1"/>
  <c r="EJ135" i="2"/>
  <c r="EJ125" i="2"/>
  <c r="EO124" i="2"/>
  <c r="EO118" i="2"/>
  <c r="EJ65" i="2"/>
  <c r="EJ127" i="2"/>
  <c r="EJ128" i="2"/>
  <c r="DL104" i="7"/>
  <c r="DQ104" i="7" s="1"/>
  <c r="DV104" i="7" s="1"/>
  <c r="DL94" i="7"/>
  <c r="DL92" i="7"/>
  <c r="DQ92" i="7" s="1"/>
  <c r="DV92" i="7" s="1"/>
  <c r="DL91" i="7"/>
  <c r="DL89" i="7"/>
  <c r="DQ89" i="7" s="1"/>
  <c r="DV89" i="7" s="1"/>
  <c r="DL83" i="7"/>
  <c r="DQ83" i="7" s="1"/>
  <c r="DV83" i="7" s="1"/>
  <c r="DL98" i="7"/>
  <c r="DQ98" i="7" s="1"/>
  <c r="DV98" i="7" s="1"/>
  <c r="EJ27" i="2"/>
  <c r="EJ166" i="2"/>
  <c r="EW219" i="1"/>
  <c r="EV60" i="2"/>
  <c r="EV73" i="1"/>
  <c r="EV172" i="1"/>
  <c r="EV227" i="1"/>
  <c r="FB208" i="1"/>
  <c r="EO115" i="2"/>
  <c r="EI134" i="2"/>
  <c r="EJ116" i="2"/>
  <c r="EJ88" i="2"/>
  <c r="DK91" i="7"/>
  <c r="DK172" i="7"/>
  <c r="EJ122" i="2"/>
  <c r="EJ119" i="2"/>
  <c r="EI204" i="2"/>
  <c r="EJ205" i="2"/>
  <c r="EJ43" i="82"/>
  <c r="EJ58" i="82"/>
  <c r="EJ127" i="1"/>
  <c r="EL129" i="1" s="1"/>
  <c r="EJ122" i="1"/>
  <c r="EJ123" i="1"/>
  <c r="EI134" i="1"/>
  <c r="EJ56" i="1"/>
  <c r="EO14" i="1"/>
  <c r="EP101" i="1"/>
  <c r="EP47" i="1"/>
  <c r="EI115" i="2"/>
  <c r="EI127" i="2"/>
  <c r="EI118" i="2"/>
  <c r="EI124" i="2"/>
  <c r="EI27" i="2"/>
  <c r="EI150" i="2"/>
  <c r="DL618" i="1"/>
  <c r="DL619" i="1" s="1"/>
  <c r="DK104" i="7"/>
  <c r="DK83" i="7"/>
  <c r="DK94" i="7"/>
  <c r="EI121" i="2"/>
  <c r="DK98" i="7"/>
  <c r="DK96" i="7"/>
  <c r="DK89" i="7"/>
  <c r="DK92" i="7"/>
  <c r="DK82" i="7"/>
  <c r="DK73" i="7" s="1"/>
  <c r="EI88" i="2"/>
  <c r="EI166" i="2"/>
  <c r="EI167" i="2" s="1"/>
  <c r="EI43" i="82"/>
  <c r="EI58" i="82"/>
  <c r="EK119" i="1"/>
  <c r="EK121" i="1"/>
  <c r="EK8" i="2"/>
  <c r="EK110" i="1"/>
  <c r="EK111" i="1" s="1"/>
  <c r="EK106" i="1"/>
  <c r="Z86" i="113"/>
  <c r="C85" i="112" s="1"/>
  <c r="Z103" i="113"/>
  <c r="DK76" i="3"/>
  <c r="DK72" i="3"/>
  <c r="EI136" i="1"/>
  <c r="EI128" i="1"/>
  <c r="EI133" i="1"/>
  <c r="EH56" i="1"/>
  <c r="EI56" i="1"/>
  <c r="AC347" i="113"/>
  <c r="EO91" i="1"/>
  <c r="EO93" i="1"/>
  <c r="EO115" i="1"/>
  <c r="EO25" i="1"/>
  <c r="EO26" i="1" s="1"/>
  <c r="EO36" i="1"/>
  <c r="EO92" i="1"/>
  <c r="EP9" i="1"/>
  <c r="EP78" i="1"/>
  <c r="EP81" i="1" s="1"/>
  <c r="EP22" i="1"/>
  <c r="EN28" i="1" s="1"/>
  <c r="EO23" i="1"/>
  <c r="EP44" i="1"/>
  <c r="EP46" i="1"/>
  <c r="EP82" i="1"/>
  <c r="EO49" i="1"/>
  <c r="EP90" i="1"/>
  <c r="EP89" i="82"/>
  <c r="EP90" i="82"/>
  <c r="EP94" i="82"/>
  <c r="EO95" i="82"/>
  <c r="EO105" i="82"/>
  <c r="EO27" i="1"/>
  <c r="EP82" i="82"/>
  <c r="EO18" i="82"/>
  <c r="EO84" i="82"/>
  <c r="EO86" i="82" s="1"/>
  <c r="EO97" i="82"/>
  <c r="EO110" i="1"/>
  <c r="EQ112" i="1" s="1"/>
  <c r="EO106" i="1"/>
  <c r="EO8" i="2"/>
  <c r="EP491" i="1"/>
  <c r="EO120" i="1"/>
  <c r="EO119" i="1"/>
  <c r="EP102" i="1"/>
  <c r="EP100" i="1"/>
  <c r="EP118" i="1"/>
  <c r="EP81" i="82"/>
  <c r="EN8" i="2"/>
  <c r="EP38" i="1"/>
  <c r="EP52" i="1" s="1"/>
  <c r="EX216" i="1"/>
  <c r="EX217" i="1" s="1"/>
  <c r="EX225" i="1"/>
  <c r="EX209" i="1"/>
  <c r="EX7" i="2"/>
  <c r="EX70" i="1"/>
  <c r="EX86" i="1"/>
  <c r="EW227" i="1"/>
  <c r="EH131" i="2"/>
  <c r="EH132" i="2"/>
  <c r="EH64" i="2"/>
  <c r="EH87" i="2"/>
  <c r="EH70" i="2"/>
  <c r="EH133" i="2"/>
  <c r="EM134" i="2" s="1"/>
  <c r="EH117" i="2"/>
  <c r="EM118" i="2" s="1"/>
  <c r="EH86" i="2"/>
  <c r="EH63" i="2"/>
  <c r="EH126" i="2"/>
  <c r="EM127" i="2" s="1"/>
  <c r="EH120" i="2"/>
  <c r="EM121" i="2" s="1"/>
  <c r="EH123" i="2"/>
  <c r="EM124" i="2" s="1"/>
  <c r="EH114" i="2"/>
  <c r="EM115" i="2" s="1"/>
  <c r="EH38" i="1"/>
  <c r="EH25" i="1"/>
  <c r="EH26" i="1" s="1"/>
  <c r="EK24" i="1"/>
  <c r="EK33" i="1"/>
  <c r="EK32" i="1"/>
  <c r="EK46" i="1"/>
  <c r="EK47" i="1"/>
  <c r="EK493" i="1"/>
  <c r="EK494" i="1" s="1"/>
  <c r="EK495" i="1" s="1"/>
  <c r="EK61" i="1"/>
  <c r="EK60" i="1"/>
  <c r="EG56" i="1"/>
  <c r="DL587" i="1"/>
  <c r="DL593" i="1" s="1"/>
  <c r="DL612" i="1"/>
  <c r="DL613" i="1" s="1"/>
  <c r="DJ51" i="2"/>
  <c r="DJ81" i="2"/>
  <c r="DO81" i="2"/>
  <c r="U156" i="113"/>
  <c r="U442" i="113"/>
  <c r="V156" i="113"/>
  <c r="DQ72" i="1"/>
  <c r="DN32" i="1"/>
  <c r="DN33" i="1" s="1"/>
  <c r="DQ31" i="1"/>
  <c r="DI45" i="1"/>
  <c r="DI31" i="1"/>
  <c r="DI10" i="1"/>
  <c r="DI59" i="1"/>
  <c r="DI17" i="1"/>
  <c r="DI18" i="1" s="1"/>
  <c r="EJ327" i="1"/>
  <c r="U400" i="113"/>
  <c r="U34" i="113"/>
  <c r="U16" i="113"/>
  <c r="U25" i="113"/>
  <c r="U399" i="113"/>
  <c r="U401" i="113"/>
  <c r="U43" i="113"/>
  <c r="V34" i="113"/>
  <c r="DL110" i="2"/>
  <c r="DQ73" i="2"/>
  <c r="FA29" i="2"/>
  <c r="DL73" i="2"/>
  <c r="DL157" i="2"/>
  <c r="DL175" i="2"/>
  <c r="DL366" i="82"/>
  <c r="Z77" i="113"/>
  <c r="Z67" i="113"/>
  <c r="C78" i="112" s="1"/>
  <c r="Z50" i="113"/>
  <c r="EG278" i="2"/>
  <c r="EL287" i="2" s="1"/>
  <c r="EI275" i="2"/>
  <c r="EI327" i="1"/>
  <c r="CK75" i="7"/>
  <c r="CK9" i="3"/>
  <c r="CK196" i="7"/>
  <c r="DI37" i="2"/>
  <c r="DI42" i="2"/>
  <c r="DI160" i="2"/>
  <c r="DI238" i="2"/>
  <c r="DN77" i="2"/>
  <c r="DI178" i="2"/>
  <c r="DI77" i="2"/>
  <c r="DI322" i="82"/>
  <c r="DI270" i="82" s="1"/>
  <c r="U140" i="113"/>
  <c r="EF337" i="1"/>
  <c r="EF338" i="1" s="1"/>
  <c r="EK71" i="1"/>
  <c r="DN11" i="1"/>
  <c r="DN24" i="1"/>
  <c r="DL152" i="2"/>
  <c r="DQ152" i="2"/>
  <c r="EG275" i="2"/>
  <c r="EG327" i="1"/>
  <c r="EI277" i="2"/>
  <c r="EW60" i="2"/>
  <c r="EW172" i="1"/>
  <c r="EW73" i="1"/>
  <c r="Z268" i="113"/>
  <c r="DO12" i="1"/>
  <c r="U61" i="113"/>
  <c r="U53" i="113" s="1"/>
  <c r="U384" i="113"/>
  <c r="DL575" i="1"/>
  <c r="DN493" i="1"/>
  <c r="DN494" i="1" s="1"/>
  <c r="DN495" i="1" s="1"/>
  <c r="DQ59" i="1"/>
  <c r="DN60" i="1"/>
  <c r="DN61" i="1" s="1"/>
  <c r="EJ276" i="2"/>
  <c r="EL293" i="2" s="1"/>
  <c r="EJ328" i="1"/>
  <c r="EJ329" i="1" s="1"/>
  <c r="DL318" i="82"/>
  <c r="DL335" i="82" s="1"/>
  <c r="DL379" i="82"/>
  <c r="DL405" i="82"/>
  <c r="DQ379" i="82"/>
  <c r="DL413" i="82"/>
  <c r="DL332" i="82"/>
  <c r="DL314" i="82"/>
  <c r="DL329" i="82" s="1"/>
  <c r="DL331" i="82" s="1"/>
  <c r="DL326" i="2"/>
  <c r="DL315" i="2"/>
  <c r="DL324" i="2" s="1"/>
  <c r="DL321" i="2"/>
  <c r="DL330" i="2" s="1"/>
  <c r="EG277" i="2"/>
  <c r="EL286" i="2" s="1"/>
  <c r="EI276" i="2"/>
  <c r="EI328" i="1"/>
  <c r="CL19" i="3"/>
  <c r="DO38" i="1"/>
  <c r="DO25" i="1"/>
  <c r="DO26" i="1" s="1"/>
  <c r="DJ493" i="1"/>
  <c r="DJ494" i="1" s="1"/>
  <c r="DJ495" i="1" s="1"/>
  <c r="DJ60" i="1"/>
  <c r="DJ61" i="1" s="1"/>
  <c r="DL606" i="1"/>
  <c r="DL607" i="1" s="1"/>
  <c r="DI607" i="1"/>
  <c r="DI159" i="2"/>
  <c r="DI158" i="2"/>
  <c r="DN158" i="2"/>
  <c r="EH85" i="1"/>
  <c r="EH87" i="1" s="1"/>
  <c r="EH124" i="1"/>
  <c r="EM125" i="1" s="1"/>
  <c r="DI176" i="2"/>
  <c r="DN176" i="2"/>
  <c r="DI177" i="2"/>
  <c r="Z263" i="113"/>
  <c r="C105" i="112" s="1"/>
  <c r="Z271" i="113"/>
  <c r="Z285" i="113"/>
  <c r="Z256" i="113"/>
  <c r="U73" i="113"/>
  <c r="V73" i="113"/>
  <c r="U440" i="113"/>
  <c r="U186" i="113"/>
  <c r="DQ45" i="1"/>
  <c r="DN46" i="1"/>
  <c r="DN47" i="1" s="1"/>
  <c r="EK499" i="1"/>
  <c r="EK9" i="82"/>
  <c r="DM31" i="7"/>
  <c r="DQ170" i="2"/>
  <c r="DL170" i="2"/>
  <c r="EG276" i="2"/>
  <c r="EG328" i="1"/>
  <c r="EL329" i="1" s="1"/>
  <c r="DI336" i="82"/>
  <c r="DN336" i="82"/>
  <c r="DI337" i="82"/>
  <c r="DJ11" i="1"/>
  <c r="DJ24" i="1"/>
  <c r="EK28" i="82"/>
  <c r="DI156" i="2"/>
  <c r="DI155" i="2"/>
  <c r="DN155" i="2"/>
  <c r="DI228" i="2"/>
  <c r="DI233" i="2"/>
  <c r="DI234" i="2" s="1"/>
  <c r="DI333" i="82"/>
  <c r="DN333" i="82"/>
  <c r="DI334" i="82"/>
  <c r="EK108" i="1"/>
  <c r="DN173" i="2"/>
  <c r="DI174" i="2"/>
  <c r="DI173" i="2"/>
  <c r="EK17" i="2"/>
  <c r="EK20" i="2"/>
  <c r="EH169" i="82"/>
  <c r="DI48" i="2"/>
  <c r="DL48" i="2" s="1"/>
  <c r="DI217" i="2"/>
  <c r="CK74" i="7"/>
  <c r="EK64" i="1"/>
  <c r="EJ67" i="1" s="1"/>
  <c r="Z252" i="113"/>
  <c r="DJ43" i="2"/>
  <c r="DO79" i="2"/>
  <c r="DJ241" i="2"/>
  <c r="DJ79" i="2"/>
  <c r="DL72" i="1"/>
  <c r="EK112" i="82"/>
  <c r="EK98" i="82"/>
  <c r="EK87" i="82"/>
  <c r="DI622" i="1"/>
  <c r="DL57" i="2"/>
  <c r="FA54" i="2"/>
  <c r="DJ177" i="2"/>
  <c r="EK51" i="1"/>
  <c r="EJ280" i="2"/>
  <c r="EL296" i="2" s="1"/>
  <c r="EJ330" i="1"/>
  <c r="EL333" i="1" s="1"/>
  <c r="DG344" i="1"/>
  <c r="DL344" i="1"/>
  <c r="EI280" i="2"/>
  <c r="EI330" i="1"/>
  <c r="DL578" i="1"/>
  <c r="DL584" i="1" s="1"/>
  <c r="Z151" i="113"/>
  <c r="Z130" i="113"/>
  <c r="DI584" i="1"/>
  <c r="DI470" i="1"/>
  <c r="DI164" i="1" s="1"/>
  <c r="DI76" i="2"/>
  <c r="DI95" i="2"/>
  <c r="DN164" i="2"/>
  <c r="DI179" i="2"/>
  <c r="DN76" i="2"/>
  <c r="DI182" i="2"/>
  <c r="DI161" i="2"/>
  <c r="DI164" i="2"/>
  <c r="DN182" i="2"/>
  <c r="DI334" i="1"/>
  <c r="DJ95" i="2"/>
  <c r="U110" i="113"/>
  <c r="V110" i="113"/>
  <c r="U441" i="113"/>
  <c r="DQ72" i="2"/>
  <c r="DL72" i="2"/>
  <c r="DL172" i="2"/>
  <c r="DL154" i="2"/>
  <c r="DL182" i="82"/>
  <c r="DL173" i="82"/>
  <c r="DL175" i="82" s="1"/>
  <c r="DL170" i="82"/>
  <c r="EG280" i="2"/>
  <c r="EL288" i="2" s="1"/>
  <c r="EG330" i="1"/>
  <c r="EI278" i="2"/>
  <c r="DL36" i="2"/>
  <c r="DL34" i="2"/>
  <c r="DL227" i="2"/>
  <c r="DJ282" i="82"/>
  <c r="DO282" i="82"/>
  <c r="DO78" i="2"/>
  <c r="DK96" i="2"/>
  <c r="DJ240" i="2"/>
  <c r="DJ78" i="2"/>
  <c r="DJ323" i="82"/>
  <c r="DJ271" i="82" s="1"/>
  <c r="AD325" i="113"/>
  <c r="U13" i="113"/>
  <c r="U98" i="113"/>
  <c r="U90" i="113" s="1"/>
  <c r="EN12" i="2" l="1"/>
  <c r="EQ85" i="2"/>
  <c r="ET58" i="1"/>
  <c r="EI329" i="1"/>
  <c r="EN329" i="1"/>
  <c r="EN332" i="1"/>
  <c r="EN331" i="1"/>
  <c r="EO94" i="1"/>
  <c r="EQ95" i="1"/>
  <c r="EO37" i="1"/>
  <c r="EQ41" i="1"/>
  <c r="EO121" i="1"/>
  <c r="EQ123" i="1" s="1"/>
  <c r="EQ117" i="1"/>
  <c r="ES13" i="1"/>
  <c r="ET20" i="1"/>
  <c r="ES20" i="1"/>
  <c r="EN41" i="82"/>
  <c r="EN85" i="2"/>
  <c r="EN62" i="2"/>
  <c r="EN130" i="2"/>
  <c r="EN9" i="2"/>
  <c r="DP80" i="7" s="1"/>
  <c r="ET80" i="1"/>
  <c r="ET30" i="1"/>
  <c r="ET84" i="1"/>
  <c r="ET99" i="1"/>
  <c r="ET118" i="1" s="1"/>
  <c r="ET119" i="1" s="1"/>
  <c r="EU15" i="1"/>
  <c r="ES57" i="1"/>
  <c r="EU59" i="1"/>
  <c r="ET24" i="1"/>
  <c r="ET38" i="1" s="1"/>
  <c r="ET52" i="1" s="1"/>
  <c r="ES43" i="1"/>
  <c r="EU45" i="1"/>
  <c r="ES29" i="1"/>
  <c r="EU31" i="1"/>
  <c r="EP105" i="1"/>
  <c r="EP110" i="1" s="1"/>
  <c r="EY86" i="1"/>
  <c r="EY7" i="2"/>
  <c r="EY61" i="2" s="1"/>
  <c r="EY70" i="1"/>
  <c r="EY209" i="1"/>
  <c r="EY225" i="1"/>
  <c r="EY226" i="1" s="1"/>
  <c r="EY216" i="1"/>
  <c r="EY217" i="1" s="1"/>
  <c r="AF325" i="113"/>
  <c r="ET10" i="82"/>
  <c r="ET80" i="82" s="1"/>
  <c r="ET8" i="1"/>
  <c r="EM28" i="1"/>
  <c r="ES78" i="1"/>
  <c r="ES9" i="1"/>
  <c r="ES90" i="1"/>
  <c r="ES22" i="1"/>
  <c r="ES79" i="1"/>
  <c r="ES16" i="1"/>
  <c r="ES24" i="1"/>
  <c r="ET79" i="1"/>
  <c r="ET16" i="1"/>
  <c r="FL7" i="2"/>
  <c r="DQ35" i="82"/>
  <c r="EW72" i="1"/>
  <c r="EW71" i="1" s="1"/>
  <c r="EJ101" i="2"/>
  <c r="EV72" i="1"/>
  <c r="EV71" i="1" s="1"/>
  <c r="DQ331" i="2"/>
  <c r="AD28" i="113"/>
  <c r="EJ106" i="2"/>
  <c r="EJ105" i="2"/>
  <c r="EG333" i="1"/>
  <c r="EL332" i="1"/>
  <c r="EL331" i="1"/>
  <c r="EJ167" i="2"/>
  <c r="EL168" i="2"/>
  <c r="EJ151" i="2"/>
  <c r="EL94" i="2"/>
  <c r="EO28" i="1"/>
  <c r="EL28" i="1"/>
  <c r="EJ94" i="2"/>
  <c r="EJ220" i="2"/>
  <c r="EJ223" i="2" s="1"/>
  <c r="EJ229" i="2" s="1"/>
  <c r="EJ237" i="2" s="1"/>
  <c r="EJ239" i="2" s="1"/>
  <c r="EJ21" i="82"/>
  <c r="EJ28" i="2"/>
  <c r="EJ72" i="2" s="1"/>
  <c r="DM95" i="7"/>
  <c r="DM192" i="7"/>
  <c r="AE8" i="113"/>
  <c r="AE28" i="113" s="1"/>
  <c r="EP100" i="82"/>
  <c r="EJ32" i="2"/>
  <c r="EJ54" i="2"/>
  <c r="EJ171" i="82"/>
  <c r="EJ170" i="82" s="1"/>
  <c r="EJ29" i="2"/>
  <c r="EJ169" i="2"/>
  <c r="EJ71" i="2"/>
  <c r="EX226" i="1"/>
  <c r="FB225" i="1"/>
  <c r="EI135" i="1"/>
  <c r="EI137" i="1" s="1"/>
  <c r="EJ168" i="2"/>
  <c r="EJ70" i="82"/>
  <c r="EJ59" i="82"/>
  <c r="DL76" i="3"/>
  <c r="DL72" i="3"/>
  <c r="EJ136" i="1"/>
  <c r="EJ128" i="1"/>
  <c r="EJ133" i="1"/>
  <c r="EJ134" i="1"/>
  <c r="EJ129" i="1"/>
  <c r="EP92" i="1"/>
  <c r="EI54" i="2"/>
  <c r="EI106" i="2"/>
  <c r="EI105" i="2"/>
  <c r="EI169" i="2"/>
  <c r="EI94" i="2"/>
  <c r="EI32" i="2"/>
  <c r="EI28" i="2"/>
  <c r="EI72" i="2" s="1"/>
  <c r="EI71" i="2"/>
  <c r="EI220" i="2"/>
  <c r="EI223" i="2" s="1"/>
  <c r="EI229" i="2" s="1"/>
  <c r="EI237" i="2" s="1"/>
  <c r="EI239" i="2" s="1"/>
  <c r="EI29" i="2"/>
  <c r="EI21" i="82"/>
  <c r="EI151" i="2"/>
  <c r="EI171" i="82"/>
  <c r="EI170" i="82" s="1"/>
  <c r="EI126" i="1"/>
  <c r="EI67" i="1"/>
  <c r="EI116" i="2"/>
  <c r="EI135" i="2"/>
  <c r="EI125" i="2"/>
  <c r="EI119" i="2"/>
  <c r="EI122" i="2"/>
  <c r="EI128" i="2"/>
  <c r="EI70" i="82"/>
  <c r="EI59" i="82"/>
  <c r="EI101" i="2"/>
  <c r="EG101" i="2"/>
  <c r="EK168" i="82"/>
  <c r="FG8" i="2"/>
  <c r="EK62" i="2"/>
  <c r="EK130" i="2"/>
  <c r="EK131" i="2" s="1"/>
  <c r="Z9" i="113"/>
  <c r="EK9" i="2"/>
  <c r="FC8" i="2"/>
  <c r="EH101" i="2"/>
  <c r="EK41" i="82"/>
  <c r="EK57" i="82" s="1"/>
  <c r="Z104" i="113"/>
  <c r="C86" i="112" s="1"/>
  <c r="Z114" i="113"/>
  <c r="Z115" i="113" s="1"/>
  <c r="Z88" i="113" s="1"/>
  <c r="EK122" i="1"/>
  <c r="EO116" i="1"/>
  <c r="EJ333" i="1"/>
  <c r="EO95" i="1"/>
  <c r="EO39" i="1"/>
  <c r="EO40" i="1" s="1"/>
  <c r="EO50" i="1"/>
  <c r="EO117" i="1"/>
  <c r="EO107" i="1"/>
  <c r="EO41" i="1"/>
  <c r="EP25" i="1"/>
  <c r="EP26" i="1" s="1"/>
  <c r="EP517" i="1"/>
  <c r="EP23" i="1"/>
  <c r="EP115" i="1"/>
  <c r="EP10" i="1"/>
  <c r="EP11" i="1" s="1"/>
  <c r="EP12" i="1" s="1"/>
  <c r="EP83" i="1"/>
  <c r="EO27" i="82"/>
  <c r="EG329" i="1"/>
  <c r="EP84" i="82"/>
  <c r="EO41" i="82"/>
  <c r="EO168" i="82"/>
  <c r="EO130" i="2"/>
  <c r="EQ132" i="2" s="1"/>
  <c r="EO9" i="2"/>
  <c r="EQ86" i="2" s="1"/>
  <c r="EO62" i="2"/>
  <c r="EP103" i="1"/>
  <c r="EO111" i="1"/>
  <c r="EO112" i="1"/>
  <c r="EP119" i="1"/>
  <c r="EO112" i="82"/>
  <c r="EO98" i="82"/>
  <c r="EO87" i="82"/>
  <c r="EP91" i="82"/>
  <c r="EP101" i="82"/>
  <c r="EP102" i="82"/>
  <c r="EP105" i="82"/>
  <c r="EP95" i="82"/>
  <c r="EP96" i="82"/>
  <c r="EP494" i="1"/>
  <c r="EP495" i="1" s="1"/>
  <c r="EP492" i="1"/>
  <c r="EP97" i="82"/>
  <c r="EP110" i="82"/>
  <c r="EP93" i="1"/>
  <c r="EP96" i="1"/>
  <c r="EP91" i="1"/>
  <c r="EP36" i="1"/>
  <c r="EN42" i="1" s="1"/>
  <c r="EO123" i="1"/>
  <c r="EP18" i="82"/>
  <c r="EX328" i="2"/>
  <c r="EX325" i="2"/>
  <c r="EX327" i="2"/>
  <c r="EX329" i="2"/>
  <c r="EX61" i="2"/>
  <c r="EX167" i="82"/>
  <c r="EX219" i="1"/>
  <c r="EL290" i="2"/>
  <c r="EL284" i="2"/>
  <c r="EL285" i="2"/>
  <c r="EL289" i="2"/>
  <c r="EH67" i="1"/>
  <c r="EH135" i="2"/>
  <c r="EH134" i="2"/>
  <c r="EH88" i="2"/>
  <c r="EH166" i="2"/>
  <c r="EM167" i="2" s="1"/>
  <c r="EH65" i="2"/>
  <c r="EH150" i="2"/>
  <c r="EH122" i="2"/>
  <c r="EH121" i="2"/>
  <c r="EH128" i="2"/>
  <c r="EH127" i="2"/>
  <c r="EH116" i="2"/>
  <c r="EH115" i="2"/>
  <c r="EH119" i="2"/>
  <c r="EH118" i="2"/>
  <c r="EH124" i="2"/>
  <c r="EH125" i="2"/>
  <c r="EG106" i="2"/>
  <c r="EH106" i="2"/>
  <c r="EG105" i="2"/>
  <c r="EH105" i="2"/>
  <c r="EK38" i="1"/>
  <c r="EK25" i="1"/>
  <c r="EK26" i="1" s="1"/>
  <c r="EK10" i="1"/>
  <c r="EK11" i="1" s="1"/>
  <c r="EK12" i="1" s="1"/>
  <c r="EH52" i="1"/>
  <c r="EH53" i="1" s="1"/>
  <c r="EH54" i="1" s="1"/>
  <c r="EH39" i="1"/>
  <c r="DJ96" i="2"/>
  <c r="DL622" i="1"/>
  <c r="DL623" i="1" s="1"/>
  <c r="EG289" i="2"/>
  <c r="EI290" i="2"/>
  <c r="EG290" i="2"/>
  <c r="EI289" i="2"/>
  <c r="EG67" i="1"/>
  <c r="DI112" i="2"/>
  <c r="EK24" i="2"/>
  <c r="EJ108" i="2" s="1"/>
  <c r="DL184" i="82"/>
  <c r="U89" i="113"/>
  <c r="U396" i="113"/>
  <c r="U108" i="113"/>
  <c r="U117" i="113"/>
  <c r="U92" i="113"/>
  <c r="V108" i="113"/>
  <c r="EK66" i="2"/>
  <c r="FC17" i="2"/>
  <c r="FG17" i="2"/>
  <c r="EK390" i="2"/>
  <c r="EK391" i="2" s="1"/>
  <c r="EK276" i="2"/>
  <c r="EK137" i="2"/>
  <c r="FG20" i="2"/>
  <c r="EK67" i="2"/>
  <c r="FC20" i="2"/>
  <c r="EK140" i="2"/>
  <c r="EJ332" i="1"/>
  <c r="EJ331" i="1"/>
  <c r="DI623" i="1"/>
  <c r="DI626" i="1"/>
  <c r="DI627" i="1" s="1"/>
  <c r="DO80" i="2"/>
  <c r="DK97" i="2"/>
  <c r="DJ80" i="2"/>
  <c r="EJ55" i="2"/>
  <c r="U71" i="113"/>
  <c r="U55" i="113"/>
  <c r="V71" i="113"/>
  <c r="U80" i="113"/>
  <c r="U395" i="113"/>
  <c r="U52" i="113"/>
  <c r="DN25" i="1"/>
  <c r="DN26" i="1" s="1"/>
  <c r="DQ24" i="1"/>
  <c r="DN38" i="1"/>
  <c r="EI284" i="2"/>
  <c r="EI299" i="2"/>
  <c r="DL377" i="82"/>
  <c r="DL411" i="82"/>
  <c r="DL367" i="82"/>
  <c r="DQ377" i="82"/>
  <c r="DL403" i="82"/>
  <c r="DI24" i="1"/>
  <c r="DI11" i="1"/>
  <c r="DK98" i="2"/>
  <c r="DJ82" i="2"/>
  <c r="DO82" i="2"/>
  <c r="DN335" i="1"/>
  <c r="DI335" i="1"/>
  <c r="DN180" i="2"/>
  <c r="DI181" i="2"/>
  <c r="DI180" i="2"/>
  <c r="DJ181" i="2"/>
  <c r="EI288" i="2"/>
  <c r="EI308" i="2"/>
  <c r="EK99" i="82"/>
  <c r="Z283" i="113"/>
  <c r="Z253" i="113"/>
  <c r="Z269" i="113"/>
  <c r="Z258" i="113"/>
  <c r="DN12" i="1"/>
  <c r="CK197" i="7"/>
  <c r="CN197" i="7" s="1"/>
  <c r="CN196" i="7"/>
  <c r="DL176" i="2"/>
  <c r="DQ176" i="2"/>
  <c r="DI32" i="1"/>
  <c r="DL31" i="1"/>
  <c r="DL337" i="1"/>
  <c r="DQ71" i="1"/>
  <c r="EK11" i="82"/>
  <c r="EK85" i="1"/>
  <c r="EK87" i="1" s="1"/>
  <c r="EK65" i="1"/>
  <c r="EK124" i="1"/>
  <c r="EK56" i="2"/>
  <c r="EH280" i="2"/>
  <c r="EH330" i="1"/>
  <c r="DM32" i="7"/>
  <c r="EH126" i="1"/>
  <c r="EH125" i="1"/>
  <c r="EH127" i="1"/>
  <c r="EM128" i="1" s="1"/>
  <c r="DM334" i="82"/>
  <c r="DL333" i="82"/>
  <c r="DQ333" i="82"/>
  <c r="EJ301" i="2"/>
  <c r="EJ293" i="2"/>
  <c r="EJ285" i="2"/>
  <c r="DQ493" i="1"/>
  <c r="DQ494" i="1" s="1"/>
  <c r="DQ495" i="1" s="1"/>
  <c r="DQ60" i="1"/>
  <c r="DQ61" i="1"/>
  <c r="U74" i="113"/>
  <c r="U187" i="113"/>
  <c r="U179" i="113" s="1"/>
  <c r="U449" i="113"/>
  <c r="V74" i="113"/>
  <c r="CK19" i="3"/>
  <c r="Z68" i="113"/>
  <c r="DQ158" i="2"/>
  <c r="DL158" i="2"/>
  <c r="DL45" i="1"/>
  <c r="DI46" i="1"/>
  <c r="DI47" i="1" s="1"/>
  <c r="EG308" i="2"/>
  <c r="EG296" i="2"/>
  <c r="EG288" i="2"/>
  <c r="AA121" i="113"/>
  <c r="EJ296" i="2"/>
  <c r="EJ288" i="2"/>
  <c r="EJ308" i="2"/>
  <c r="EH278" i="2"/>
  <c r="EG301" i="2"/>
  <c r="EG293" i="2"/>
  <c r="EG285" i="2"/>
  <c r="DM25" i="7"/>
  <c r="DM86" i="7" s="1"/>
  <c r="DQ46" i="1"/>
  <c r="DQ47" i="1"/>
  <c r="CQ20" i="3"/>
  <c r="CL80" i="3"/>
  <c r="CP91" i="3" s="1"/>
  <c r="CL50" i="3"/>
  <c r="CL20" i="3"/>
  <c r="CL77" i="3"/>
  <c r="U157" i="113"/>
  <c r="V157" i="113"/>
  <c r="U451" i="113"/>
  <c r="EG295" i="2"/>
  <c r="EG287" i="2"/>
  <c r="EG305" i="2"/>
  <c r="DQ33" i="1"/>
  <c r="DQ32" i="1"/>
  <c r="DL228" i="2"/>
  <c r="DL233" i="2"/>
  <c r="DL234" i="2" s="1"/>
  <c r="DL217" i="2"/>
  <c r="CN74" i="7"/>
  <c r="AA84" i="113"/>
  <c r="D83" i="112" s="1"/>
  <c r="DL155" i="2"/>
  <c r="DQ155" i="2"/>
  <c r="EH275" i="2"/>
  <c r="EM204" i="2"/>
  <c r="EH327" i="1"/>
  <c r="U201" i="113"/>
  <c r="V201" i="113"/>
  <c r="U443" i="113"/>
  <c r="U447" i="113" s="1"/>
  <c r="EK12" i="2"/>
  <c r="DL173" i="2"/>
  <c r="DQ173" i="2"/>
  <c r="Z164" i="113"/>
  <c r="Z152" i="113"/>
  <c r="DG337" i="1"/>
  <c r="DG338" i="1" s="1"/>
  <c r="DL71" i="1"/>
  <c r="EH277" i="2"/>
  <c r="DJ26" i="1"/>
  <c r="DJ38" i="1"/>
  <c r="DJ25" i="1"/>
  <c r="DM81" i="7"/>
  <c r="Z284" i="113"/>
  <c r="C106" i="112" s="1"/>
  <c r="Z275" i="113"/>
  <c r="DI43" i="2"/>
  <c r="DJ97" i="2" s="1"/>
  <c r="DN79" i="2"/>
  <c r="DI241" i="2"/>
  <c r="DI79" i="2"/>
  <c r="EK23" i="2"/>
  <c r="EJ107" i="2" s="1"/>
  <c r="Z62" i="113"/>
  <c r="C79" i="112" s="1"/>
  <c r="U38" i="113"/>
  <c r="V38" i="113"/>
  <c r="U464" i="113"/>
  <c r="U459" i="113"/>
  <c r="U463" i="113"/>
  <c r="U42" i="113"/>
  <c r="U458" i="113"/>
  <c r="U462" i="113"/>
  <c r="U460" i="113"/>
  <c r="U461" i="113"/>
  <c r="EK338" i="1"/>
  <c r="EG55" i="2"/>
  <c r="DO283" i="82"/>
  <c r="DJ283" i="82"/>
  <c r="EG332" i="1"/>
  <c r="EG331" i="1"/>
  <c r="DI163" i="2"/>
  <c r="DI162" i="2"/>
  <c r="DN162" i="2"/>
  <c r="DJ163" i="2"/>
  <c r="EI331" i="1"/>
  <c r="EI332" i="1"/>
  <c r="DO242" i="2"/>
  <c r="DJ242" i="2"/>
  <c r="EH276" i="2"/>
  <c r="EH328" i="1"/>
  <c r="EM329" i="1" s="1"/>
  <c r="DM30" i="7"/>
  <c r="EK40" i="82"/>
  <c r="DO52" i="1"/>
  <c r="DO53" i="1" s="1"/>
  <c r="DO54" i="1" s="1"/>
  <c r="DO39" i="1"/>
  <c r="EG303" i="2"/>
  <c r="EG286" i="2"/>
  <c r="EG294" i="2"/>
  <c r="DI282" i="82"/>
  <c r="DN282" i="82"/>
  <c r="DI50" i="2"/>
  <c r="U418" i="113"/>
  <c r="U18" i="113"/>
  <c r="U417" i="113"/>
  <c r="U419" i="113"/>
  <c r="V111" i="113"/>
  <c r="U111" i="113"/>
  <c r="U450" i="113"/>
  <c r="CN75" i="7"/>
  <c r="CN9" i="3"/>
  <c r="DL42" i="2"/>
  <c r="FA36" i="2"/>
  <c r="DL37" i="2"/>
  <c r="DL50" i="2"/>
  <c r="DL178" i="2"/>
  <c r="DL77" i="2"/>
  <c r="DL160" i="2"/>
  <c r="DL238" i="2"/>
  <c r="DQ77" i="2"/>
  <c r="DL322" i="82"/>
  <c r="DL270" i="82" s="1"/>
  <c r="U391" i="113"/>
  <c r="U33" i="113"/>
  <c r="V33" i="113"/>
  <c r="U392" i="113"/>
  <c r="U390" i="113"/>
  <c r="EI287" i="2"/>
  <c r="EI305" i="2"/>
  <c r="AA173" i="113"/>
  <c r="D97" i="112" s="1"/>
  <c r="D10" i="15"/>
  <c r="FA57" i="2"/>
  <c r="DK112" i="2"/>
  <c r="DL164" i="2"/>
  <c r="DQ182" i="2"/>
  <c r="DL76" i="2"/>
  <c r="DQ164" i="2"/>
  <c r="DL179" i="2"/>
  <c r="DQ76" i="2"/>
  <c r="DH112" i="2"/>
  <c r="DL182" i="2"/>
  <c r="DL161" i="2"/>
  <c r="R30" i="11"/>
  <c r="R31" i="11" s="1"/>
  <c r="DL334" i="1"/>
  <c r="DJ112" i="2"/>
  <c r="DM42" i="7"/>
  <c r="DM101" i="7" s="1"/>
  <c r="EI301" i="2"/>
  <c r="EI285" i="2"/>
  <c r="DQ336" i="82"/>
  <c r="DL336" i="82"/>
  <c r="DM337" i="82"/>
  <c r="EI55" i="2"/>
  <c r="EI303" i="2"/>
  <c r="EI286" i="2"/>
  <c r="EG284" i="2"/>
  <c r="EG299" i="2"/>
  <c r="EG292" i="2"/>
  <c r="DI96" i="2"/>
  <c r="DN78" i="2"/>
  <c r="DI240" i="2"/>
  <c r="DI78" i="2"/>
  <c r="DI323" i="82"/>
  <c r="DI271" i="82" s="1"/>
  <c r="DI493" i="1"/>
  <c r="DI494" i="1" s="1"/>
  <c r="DI495" i="1" s="1"/>
  <c r="DI60" i="1"/>
  <c r="DI61" i="1" s="1"/>
  <c r="DL59" i="1"/>
  <c r="U132" i="113"/>
  <c r="EN203" i="2" l="1"/>
  <c r="EN204" i="2" s="1"/>
  <c r="EN327" i="1"/>
  <c r="EO122" i="1"/>
  <c r="EQ109" i="1"/>
  <c r="EQ55" i="1"/>
  <c r="ET13" i="1"/>
  <c r="ET48" i="1"/>
  <c r="ES48" i="1"/>
  <c r="ES27" i="1"/>
  <c r="EU57" i="1"/>
  <c r="ET62" i="1"/>
  <c r="ES62" i="1"/>
  <c r="ET34" i="1"/>
  <c r="ES34" i="1"/>
  <c r="ET21" i="1"/>
  <c r="ES21" i="1"/>
  <c r="ER21" i="1"/>
  <c r="EQ21" i="1"/>
  <c r="EN57" i="82"/>
  <c r="EN69" i="82"/>
  <c r="EN42" i="82"/>
  <c r="DP83" i="7"/>
  <c r="DU83" i="7" s="1"/>
  <c r="DP94" i="7"/>
  <c r="DU94" i="7" s="1"/>
  <c r="DP89" i="7"/>
  <c r="DU89" i="7" s="1"/>
  <c r="DP98" i="7"/>
  <c r="DU98" i="7" s="1"/>
  <c r="DP96" i="7"/>
  <c r="DU96" i="7" s="1"/>
  <c r="DP91" i="7"/>
  <c r="DP104" i="7"/>
  <c r="DU104" i="7" s="1"/>
  <c r="DP172" i="7"/>
  <c r="DP92" i="7"/>
  <c r="DU92" i="7" s="1"/>
  <c r="DP82" i="7"/>
  <c r="DP73" i="7" s="1"/>
  <c r="EN123" i="2"/>
  <c r="EN63" i="2"/>
  <c r="EN120" i="2"/>
  <c r="EN86" i="2"/>
  <c r="EN13" i="2"/>
  <c r="EN126" i="2"/>
  <c r="EN117" i="2"/>
  <c r="EN87" i="2"/>
  <c r="EN70" i="2"/>
  <c r="EN133" i="2"/>
  <c r="EN114" i="2"/>
  <c r="EN64" i="2"/>
  <c r="EN131" i="2"/>
  <c r="EN132" i="2"/>
  <c r="ES58" i="1"/>
  <c r="EU493" i="1"/>
  <c r="ET100" i="1"/>
  <c r="ES84" i="1"/>
  <c r="EP8" i="2"/>
  <c r="EP106" i="1"/>
  <c r="ES10" i="82"/>
  <c r="ES80" i="82" s="1"/>
  <c r="EU43" i="1"/>
  <c r="ES82" i="1"/>
  <c r="ES44" i="1"/>
  <c r="EU29" i="1"/>
  <c r="ES38" i="1"/>
  <c r="ES52" i="1" s="1"/>
  <c r="EU24" i="1"/>
  <c r="ES80" i="1"/>
  <c r="ES81" i="1" s="1"/>
  <c r="EU8" i="1"/>
  <c r="ES30" i="1"/>
  <c r="EU79" i="1"/>
  <c r="EU16" i="1"/>
  <c r="EU101" i="1" s="1"/>
  <c r="ES99" i="1"/>
  <c r="EU99" i="1" s="1"/>
  <c r="EY227" i="1"/>
  <c r="EY219" i="1"/>
  <c r="ES92" i="1"/>
  <c r="ES101" i="1"/>
  <c r="ET94" i="82"/>
  <c r="ET82" i="82"/>
  <c r="ET101" i="1"/>
  <c r="AF8" i="113"/>
  <c r="EY167" i="82"/>
  <c r="EY328" i="2"/>
  <c r="EY329" i="2"/>
  <c r="EY325" i="2"/>
  <c r="EY327" i="2"/>
  <c r="EY60" i="2"/>
  <c r="EY73" i="1"/>
  <c r="EY72" i="1" s="1"/>
  <c r="EY71" i="1" s="1"/>
  <c r="EY172" i="1"/>
  <c r="ES36" i="1"/>
  <c r="ES23" i="1"/>
  <c r="ES115" i="1"/>
  <c r="ES25" i="1"/>
  <c r="ES26" i="1" s="1"/>
  <c r="EM42" i="1"/>
  <c r="EP111" i="1"/>
  <c r="ET22" i="1"/>
  <c r="ET27" i="1" s="1"/>
  <c r="ET9" i="1"/>
  <c r="ET90" i="1"/>
  <c r="EU90" i="1" s="1"/>
  <c r="ET78" i="1"/>
  <c r="ET81" i="1" s="1"/>
  <c r="ET83" i="1" s="1"/>
  <c r="EP94" i="1"/>
  <c r="ES91" i="1"/>
  <c r="ES93" i="1"/>
  <c r="EP116" i="1"/>
  <c r="EJ34" i="82"/>
  <c r="EL36" i="82" s="1"/>
  <c r="EI34" i="82"/>
  <c r="EI35" i="82" s="1"/>
  <c r="EO85" i="2"/>
  <c r="EH333" i="1"/>
  <c r="EM331" i="1"/>
  <c r="EM332" i="1"/>
  <c r="EL74" i="2"/>
  <c r="EI179" i="82"/>
  <c r="EI182" i="82" s="1"/>
  <c r="EJ179" i="82"/>
  <c r="EJ182" i="82" s="1"/>
  <c r="EL153" i="2"/>
  <c r="EJ34" i="2"/>
  <c r="DL74" i="7" s="1"/>
  <c r="EI157" i="2"/>
  <c r="EI158" i="2" s="1"/>
  <c r="EJ102" i="2"/>
  <c r="EJ103" i="2"/>
  <c r="EI36" i="2"/>
  <c r="EJ175" i="2"/>
  <c r="EL177" i="2" s="1"/>
  <c r="EJ153" i="2"/>
  <c r="EJ152" i="2"/>
  <c r="EJ172" i="2"/>
  <c r="EJ173" i="2" s="1"/>
  <c r="EJ154" i="2"/>
  <c r="EL156" i="2" s="1"/>
  <c r="EJ170" i="2"/>
  <c r="EL171" i="2"/>
  <c r="EL42" i="1"/>
  <c r="EJ173" i="82"/>
  <c r="EJ175" i="82" s="1"/>
  <c r="EJ73" i="2"/>
  <c r="AE347" i="113"/>
  <c r="EJ20" i="82"/>
  <c r="EJ36" i="2"/>
  <c r="EJ227" i="2"/>
  <c r="EJ233" i="2" s="1"/>
  <c r="EJ157" i="2"/>
  <c r="EI20" i="82"/>
  <c r="EX60" i="2"/>
  <c r="EX227" i="1"/>
  <c r="EX172" i="1"/>
  <c r="EX73" i="1"/>
  <c r="EI170" i="2"/>
  <c r="EI34" i="2"/>
  <c r="DK74" i="7" s="1"/>
  <c r="EI227" i="2"/>
  <c r="EI233" i="2" s="1"/>
  <c r="EJ171" i="2"/>
  <c r="EJ135" i="1"/>
  <c r="EJ137" i="1" s="1"/>
  <c r="EJ74" i="2"/>
  <c r="EJ136" i="2"/>
  <c r="EJ206" i="2"/>
  <c r="EL208" i="2" s="1"/>
  <c r="EJ57" i="2"/>
  <c r="EP27" i="82"/>
  <c r="EO53" i="1"/>
  <c r="EO54" i="1" s="1"/>
  <c r="EK117" i="2"/>
  <c r="EK118" i="2" s="1"/>
  <c r="EI152" i="2"/>
  <c r="EI107" i="2"/>
  <c r="EI103" i="2"/>
  <c r="EI108" i="2"/>
  <c r="DL626" i="1"/>
  <c r="DL627" i="1" s="1"/>
  <c r="EI154" i="2"/>
  <c r="EI155" i="2" s="1"/>
  <c r="EI172" i="2"/>
  <c r="EI173" i="2" s="1"/>
  <c r="EI73" i="2"/>
  <c r="EI173" i="82"/>
  <c r="EI175" i="82" s="1"/>
  <c r="EI175" i="2"/>
  <c r="EI176" i="2" s="1"/>
  <c r="EI129" i="1"/>
  <c r="EH205" i="2"/>
  <c r="EI205" i="2"/>
  <c r="EI168" i="2"/>
  <c r="EK120" i="2"/>
  <c r="EK121" i="2" s="1"/>
  <c r="EK101" i="2"/>
  <c r="Z87" i="113"/>
  <c r="Z105" i="113" s="1"/>
  <c r="Z106" i="113"/>
  <c r="EH102" i="2"/>
  <c r="DM80" i="7"/>
  <c r="EK169" i="82"/>
  <c r="EK63" i="2"/>
  <c r="I7" i="15"/>
  <c r="I8" i="15" s="1"/>
  <c r="EI102" i="2"/>
  <c r="EG102" i="2"/>
  <c r="FG9" i="2"/>
  <c r="W40" i="11"/>
  <c r="FC9" i="2"/>
  <c r="Z350" i="113"/>
  <c r="Z10" i="113"/>
  <c r="Z351" i="113"/>
  <c r="Z356" i="113"/>
  <c r="Z354" i="113"/>
  <c r="Z352" i="113"/>
  <c r="Z213" i="113"/>
  <c r="Z174" i="113" s="1"/>
  <c r="Z355" i="113"/>
  <c r="Z29" i="113"/>
  <c r="EI136" i="2"/>
  <c r="EI206" i="2"/>
  <c r="EI74" i="2"/>
  <c r="EI57" i="2"/>
  <c r="EO9" i="82"/>
  <c r="EO40" i="82" s="1"/>
  <c r="EO69" i="82" s="1"/>
  <c r="EO64" i="1"/>
  <c r="EO108" i="1"/>
  <c r="EO51" i="1"/>
  <c r="EP121" i="1"/>
  <c r="EP17" i="1"/>
  <c r="EP18" i="1" s="1"/>
  <c r="EO99" i="82"/>
  <c r="EI333" i="1"/>
  <c r="EO28" i="82"/>
  <c r="EO29" i="82"/>
  <c r="EG179" i="82"/>
  <c r="EG182" i="82" s="1"/>
  <c r="EP37" i="1"/>
  <c r="EP50" i="1"/>
  <c r="EN56" i="1" s="1"/>
  <c r="EP39" i="1"/>
  <c r="EP498" i="1"/>
  <c r="EO42" i="1"/>
  <c r="EP97" i="1"/>
  <c r="EP107" i="1"/>
  <c r="EO131" i="2"/>
  <c r="EP111" i="82"/>
  <c r="EO55" i="1"/>
  <c r="EN168" i="82"/>
  <c r="EO57" i="82"/>
  <c r="DM97" i="7"/>
  <c r="DM93" i="7"/>
  <c r="EH329" i="1"/>
  <c r="EO169" i="82"/>
  <c r="DQ80" i="7"/>
  <c r="EO23" i="2"/>
  <c r="EQ91" i="2" s="1"/>
  <c r="EO17" i="2"/>
  <c r="EO12" i="2"/>
  <c r="EO20" i="2"/>
  <c r="EO24" i="2"/>
  <c r="EQ92" i="2" s="1"/>
  <c r="EO63" i="2"/>
  <c r="EO109" i="1"/>
  <c r="EP86" i="82"/>
  <c r="EI302" i="2"/>
  <c r="EI296" i="2"/>
  <c r="EM288" i="2"/>
  <c r="EG302" i="2"/>
  <c r="EL302" i="2"/>
  <c r="EJ309" i="2"/>
  <c r="EJ302" i="2"/>
  <c r="EK138" i="2"/>
  <c r="EI304" i="2"/>
  <c r="EI306" i="2"/>
  <c r="EG300" i="2"/>
  <c r="EL300" i="2"/>
  <c r="EM285" i="2"/>
  <c r="EM289" i="2"/>
  <c r="EG304" i="2"/>
  <c r="EL304" i="2"/>
  <c r="EI294" i="2"/>
  <c r="EM286" i="2"/>
  <c r="EK141" i="2"/>
  <c r="EI309" i="2"/>
  <c r="EI300" i="2"/>
  <c r="EM284" i="2"/>
  <c r="EM290" i="2"/>
  <c r="EI295" i="2"/>
  <c r="EM287" i="2"/>
  <c r="EG306" i="2"/>
  <c r="EL306" i="2"/>
  <c r="EG309" i="2"/>
  <c r="EL309" i="2"/>
  <c r="AA172" i="113"/>
  <c r="AA193" i="113" s="1"/>
  <c r="EH108" i="2"/>
  <c r="EH136" i="1"/>
  <c r="DJ76" i="3"/>
  <c r="DJ72" i="3"/>
  <c r="EK17" i="1"/>
  <c r="EK18" i="1" s="1"/>
  <c r="EK19" i="1" s="1"/>
  <c r="EH220" i="2"/>
  <c r="EH223" i="2" s="1"/>
  <c r="EH229" i="2" s="1"/>
  <c r="EH237" i="2" s="1"/>
  <c r="EH239" i="2" s="1"/>
  <c r="EH169" i="2"/>
  <c r="EH151" i="2"/>
  <c r="EH71" i="2"/>
  <c r="EH94" i="2"/>
  <c r="EH167" i="2"/>
  <c r="EH168" i="2"/>
  <c r="EG107" i="2"/>
  <c r="EH107" i="2"/>
  <c r="EG103" i="2"/>
  <c r="EH103" i="2"/>
  <c r="EH40" i="1"/>
  <c r="EK52" i="1"/>
  <c r="EK53" i="1" s="1"/>
  <c r="EK54" i="1" s="1"/>
  <c r="EK39" i="1"/>
  <c r="EH290" i="2"/>
  <c r="EI293" i="2"/>
  <c r="EH289" i="2"/>
  <c r="EG136" i="2"/>
  <c r="EG206" i="2"/>
  <c r="EL207" i="2" s="1"/>
  <c r="EG74" i="2"/>
  <c r="EG57" i="2"/>
  <c r="EG108" i="2"/>
  <c r="FC24" i="2"/>
  <c r="EK126" i="2"/>
  <c r="EK75" i="2"/>
  <c r="EK46" i="2"/>
  <c r="EK330" i="1"/>
  <c r="EK146" i="2"/>
  <c r="FG24" i="2"/>
  <c r="EK13" i="82"/>
  <c r="EK14" i="82" s="1"/>
  <c r="EK115" i="82"/>
  <c r="Z289" i="113" s="1"/>
  <c r="C109" i="112" s="1"/>
  <c r="EK280" i="2"/>
  <c r="DM64" i="3"/>
  <c r="FA50" i="2"/>
  <c r="DL51" i="2"/>
  <c r="DQ81" i="2"/>
  <c r="DL81" i="2"/>
  <c r="DL363" i="82"/>
  <c r="DL364" i="82" s="1"/>
  <c r="U44" i="113"/>
  <c r="U19" i="113"/>
  <c r="EH284" i="2"/>
  <c r="EH299" i="2"/>
  <c r="EH292" i="2"/>
  <c r="DM15" i="7"/>
  <c r="EH128" i="1"/>
  <c r="EH129" i="1"/>
  <c r="EH134" i="1"/>
  <c r="EH133" i="1"/>
  <c r="EH331" i="1"/>
  <c r="EH332" i="1"/>
  <c r="CN198" i="7"/>
  <c r="Z286" i="113"/>
  <c r="Z259" i="113"/>
  <c r="EG317" i="2"/>
  <c r="U413" i="113"/>
  <c r="EK106" i="2"/>
  <c r="EK285" i="2"/>
  <c r="EK301" i="2"/>
  <c r="EK302" i="2" s="1"/>
  <c r="DL162" i="2"/>
  <c r="DQ162" i="2"/>
  <c r="AA194" i="113"/>
  <c r="D98" i="112" s="1"/>
  <c r="AA344" i="113"/>
  <c r="FA37" i="2"/>
  <c r="DL78" i="2"/>
  <c r="DQ78" i="2"/>
  <c r="DL240" i="2"/>
  <c r="R19" i="11"/>
  <c r="DL189" i="82"/>
  <c r="DL176" i="82"/>
  <c r="DL323" i="82"/>
  <c r="DL271" i="82" s="1"/>
  <c r="FG23" i="2"/>
  <c r="EK68" i="2"/>
  <c r="FC23" i="2"/>
  <c r="EK143" i="2"/>
  <c r="EK123" i="2"/>
  <c r="AA47" i="113"/>
  <c r="D75" i="112" s="1"/>
  <c r="EK70" i="2"/>
  <c r="FG12" i="2"/>
  <c r="EK64" i="2"/>
  <c r="FC12" i="2"/>
  <c r="EK114" i="2"/>
  <c r="EK133" i="2"/>
  <c r="Z11" i="113"/>
  <c r="EK327" i="1"/>
  <c r="EK13" i="2"/>
  <c r="AA123" i="113"/>
  <c r="D91" i="112" s="1"/>
  <c r="AA144" i="113"/>
  <c r="AA126" i="113"/>
  <c r="EK125" i="1"/>
  <c r="EK127" i="1"/>
  <c r="DL282" i="82"/>
  <c r="DQ282" i="82"/>
  <c r="DI51" i="2"/>
  <c r="DI81" i="2"/>
  <c r="DN81" i="2"/>
  <c r="DO40" i="1"/>
  <c r="DM10" i="7"/>
  <c r="U178" i="113"/>
  <c r="V199" i="113"/>
  <c r="U398" i="113"/>
  <c r="U208" i="113"/>
  <c r="U199" i="113"/>
  <c r="U181" i="113"/>
  <c r="DL46" i="1"/>
  <c r="DL47" i="1"/>
  <c r="DL338" i="1"/>
  <c r="DQ338" i="1"/>
  <c r="DM29" i="7"/>
  <c r="Z280" i="113"/>
  <c r="Z270" i="113"/>
  <c r="DL368" i="82"/>
  <c r="DQ368" i="82"/>
  <c r="U414" i="113"/>
  <c r="DL60" i="1"/>
  <c r="DL61" i="1"/>
  <c r="DL493" i="1"/>
  <c r="DL494" i="1" s="1"/>
  <c r="DL495" i="1" s="1"/>
  <c r="DN283" i="82"/>
  <c r="DI283" i="82"/>
  <c r="DL112" i="2"/>
  <c r="CL88" i="3"/>
  <c r="CL83" i="3"/>
  <c r="CQ88" i="3"/>
  <c r="EH288" i="2"/>
  <c r="EH308" i="2"/>
  <c r="EH296" i="2"/>
  <c r="DL33" i="1"/>
  <c r="DL32" i="1"/>
  <c r="FA42" i="2"/>
  <c r="DL43" i="2"/>
  <c r="DQ79" i="2"/>
  <c r="DL241" i="2"/>
  <c r="DL79" i="2"/>
  <c r="EK52" i="82"/>
  <c r="Z212" i="113"/>
  <c r="Z230" i="113" s="1"/>
  <c r="EK42" i="82"/>
  <c r="EK51" i="82"/>
  <c r="EK56" i="82"/>
  <c r="EK69" i="82"/>
  <c r="EH301" i="2"/>
  <c r="EH293" i="2"/>
  <c r="EH285" i="2"/>
  <c r="DN242" i="2"/>
  <c r="DI242" i="2"/>
  <c r="AA85" i="113"/>
  <c r="AA86" i="113" s="1"/>
  <c r="D85" i="112" s="1"/>
  <c r="U386" i="113"/>
  <c r="V70" i="113"/>
  <c r="U70" i="113"/>
  <c r="EK105" i="2"/>
  <c r="DL180" i="2"/>
  <c r="DQ180" i="2"/>
  <c r="D11" i="15"/>
  <c r="E11" i="15"/>
  <c r="D12" i="15"/>
  <c r="D17" i="15"/>
  <c r="FC56" i="2"/>
  <c r="FG56" i="2"/>
  <c r="EK209" i="2"/>
  <c r="EK180" i="82"/>
  <c r="Z23" i="113"/>
  <c r="EI292" i="2"/>
  <c r="DQ335" i="1"/>
  <c r="DL335" i="1"/>
  <c r="CN19" i="3"/>
  <c r="EH187" i="82"/>
  <c r="DI80" i="2"/>
  <c r="DN80" i="2"/>
  <c r="DI97" i="2"/>
  <c r="EH204" i="2"/>
  <c r="AA342" i="113"/>
  <c r="AA102" i="113"/>
  <c r="D84" i="112" s="1"/>
  <c r="EH295" i="2"/>
  <c r="EH287" i="2"/>
  <c r="EH305" i="2"/>
  <c r="U202" i="113"/>
  <c r="V202" i="113"/>
  <c r="U452" i="113"/>
  <c r="U456" i="113" s="1"/>
  <c r="DM15" i="3"/>
  <c r="EH209" i="2"/>
  <c r="EM210" i="2" s="1"/>
  <c r="EH180" i="82"/>
  <c r="DN39" i="1"/>
  <c r="DN52" i="1"/>
  <c r="DN53" i="1" s="1"/>
  <c r="DN54" i="1" s="1"/>
  <c r="EJ317" i="2"/>
  <c r="EK328" i="1"/>
  <c r="EK329" i="1" s="1"/>
  <c r="EK26" i="2"/>
  <c r="U387" i="113"/>
  <c r="V107" i="113"/>
  <c r="U107" i="113"/>
  <c r="U166" i="113"/>
  <c r="V154" i="113"/>
  <c r="U134" i="113"/>
  <c r="U154" i="113"/>
  <c r="U397" i="113"/>
  <c r="U131" i="113"/>
  <c r="DM33" i="7"/>
  <c r="U465" i="113"/>
  <c r="Z75" i="113"/>
  <c r="DJ52" i="1"/>
  <c r="DJ53" i="1" s="1"/>
  <c r="DJ39" i="1"/>
  <c r="EH303" i="2"/>
  <c r="EH286" i="2"/>
  <c r="EH294" i="2"/>
  <c r="EH55" i="2"/>
  <c r="CK80" i="3"/>
  <c r="CP20" i="3"/>
  <c r="CK50" i="3"/>
  <c r="CK52" i="3" s="1"/>
  <c r="CK20" i="3"/>
  <c r="CK77" i="3"/>
  <c r="EI317" i="2"/>
  <c r="DL24" i="1"/>
  <c r="DI25" i="1"/>
  <c r="DI26" i="1"/>
  <c r="DI38" i="1"/>
  <c r="DQ25" i="1"/>
  <c r="DQ26" i="1" s="1"/>
  <c r="DQ10" i="1"/>
  <c r="DQ11" i="1" s="1"/>
  <c r="DQ12" i="1" s="1"/>
  <c r="DQ38" i="1"/>
  <c r="ET63" i="1" l="1"/>
  <c r="EU10" i="82"/>
  <c r="EN205" i="2"/>
  <c r="EQ90" i="2"/>
  <c r="EQ89" i="2"/>
  <c r="ES94" i="82"/>
  <c r="EU80" i="82"/>
  <c r="EQ87" i="2"/>
  <c r="EO203" i="2"/>
  <c r="EQ205" i="2" s="1"/>
  <c r="EU60" i="1"/>
  <c r="EQ66" i="1"/>
  <c r="EU61" i="1"/>
  <c r="EU58" i="1"/>
  <c r="ER63" i="1"/>
  <c r="EU84" i="1"/>
  <c r="EQ63" i="1"/>
  <c r="ES63" i="1"/>
  <c r="ES41" i="1"/>
  <c r="ET14" i="1"/>
  <c r="ES14" i="1"/>
  <c r="ER14" i="1"/>
  <c r="EQ14" i="1"/>
  <c r="EU491" i="1"/>
  <c r="EU492" i="1" s="1"/>
  <c r="ET49" i="1"/>
  <c r="ES49" i="1"/>
  <c r="ER49" i="1"/>
  <c r="EQ49" i="1"/>
  <c r="ET35" i="1"/>
  <c r="ES35" i="1"/>
  <c r="ER35" i="1"/>
  <c r="EQ35" i="1"/>
  <c r="ES117" i="1"/>
  <c r="ES95" i="1"/>
  <c r="EN58" i="82"/>
  <c r="EN43" i="82"/>
  <c r="EN128" i="2"/>
  <c r="EN127" i="2"/>
  <c r="ES127" i="2"/>
  <c r="EO128" i="2"/>
  <c r="EN118" i="2"/>
  <c r="EN119" i="2"/>
  <c r="ES118" i="2"/>
  <c r="EO119" i="2"/>
  <c r="EN101" i="2"/>
  <c r="EN166" i="2"/>
  <c r="EN150" i="2"/>
  <c r="EN88" i="2"/>
  <c r="EN27" i="2"/>
  <c r="EN65" i="2"/>
  <c r="EN115" i="2"/>
  <c r="EN116" i="2"/>
  <c r="ES115" i="2"/>
  <c r="EO116" i="2"/>
  <c r="EN134" i="2"/>
  <c r="EN135" i="2"/>
  <c r="EN121" i="2"/>
  <c r="EN122" i="2"/>
  <c r="ES121" i="2"/>
  <c r="EO122" i="2"/>
  <c r="EN124" i="2"/>
  <c r="EN125" i="2"/>
  <c r="ES124" i="2"/>
  <c r="EO125" i="2"/>
  <c r="EM101" i="2"/>
  <c r="EP41" i="82"/>
  <c r="EP57" i="82" s="1"/>
  <c r="EP9" i="2"/>
  <c r="EM102" i="2" s="1"/>
  <c r="EL101" i="2"/>
  <c r="EP62" i="2"/>
  <c r="EP130" i="2"/>
  <c r="EP131" i="2" s="1"/>
  <c r="EP168" i="82"/>
  <c r="ES83" i="1"/>
  <c r="ES118" i="1"/>
  <c r="ES82" i="82"/>
  <c r="ES105" i="1"/>
  <c r="ES106" i="1" s="1"/>
  <c r="ES100" i="1"/>
  <c r="EU96" i="1"/>
  <c r="EU91" i="1"/>
  <c r="EU118" i="1"/>
  <c r="EU105" i="1"/>
  <c r="EU102" i="1"/>
  <c r="EU100" i="1"/>
  <c r="EU38" i="1"/>
  <c r="EU52" i="1" s="1"/>
  <c r="EU46" i="1"/>
  <c r="EU82" i="1"/>
  <c r="EU44" i="1"/>
  <c r="EU47" i="1"/>
  <c r="EU22" i="1"/>
  <c r="EU78" i="1"/>
  <c r="EU9" i="1"/>
  <c r="EU92" i="1" s="1"/>
  <c r="EU80" i="1"/>
  <c r="EU32" i="1"/>
  <c r="EU33" i="1"/>
  <c r="EU30" i="1"/>
  <c r="AF28" i="113"/>
  <c r="AF347" i="113"/>
  <c r="EQ29" i="82"/>
  <c r="ET92" i="1"/>
  <c r="ET81" i="82"/>
  <c r="ET18" i="82"/>
  <c r="ET84" i="82"/>
  <c r="ET86" i="82" s="1"/>
  <c r="ET97" i="82"/>
  <c r="EP122" i="1"/>
  <c r="ET25" i="1"/>
  <c r="ET26" i="1" s="1"/>
  <c r="ET115" i="1"/>
  <c r="ET117" i="1" s="1"/>
  <c r="ET23" i="1"/>
  <c r="ET36" i="1"/>
  <c r="EU36" i="1" s="1"/>
  <c r="ES94" i="1"/>
  <c r="ET93" i="1"/>
  <c r="ET95" i="1" s="1"/>
  <c r="ET91" i="1"/>
  <c r="ET105" i="1"/>
  <c r="ES116" i="1"/>
  <c r="EP108" i="1"/>
  <c r="ES39" i="1"/>
  <c r="ES40" i="1" s="1"/>
  <c r="ES37" i="1"/>
  <c r="ES50" i="1"/>
  <c r="EJ35" i="82"/>
  <c r="EM56" i="1"/>
  <c r="EJ176" i="2"/>
  <c r="EJ36" i="82"/>
  <c r="EI36" i="82"/>
  <c r="EJ33" i="82"/>
  <c r="EI152" i="82"/>
  <c r="EI188" i="82" s="1"/>
  <c r="EX72" i="1"/>
  <c r="EX71" i="1" s="1"/>
  <c r="EM74" i="2"/>
  <c r="EI77" i="2"/>
  <c r="EM152" i="2"/>
  <c r="EM170" i="2"/>
  <c r="EI238" i="2"/>
  <c r="EJ217" i="2"/>
  <c r="EI178" i="2"/>
  <c r="EJ155" i="2"/>
  <c r="EJ48" i="2"/>
  <c r="EJ50" i="2" s="1"/>
  <c r="EL56" i="1"/>
  <c r="DK196" i="7"/>
  <c r="DK197" i="7" s="1"/>
  <c r="EJ42" i="2"/>
  <c r="EJ43" i="2" s="1"/>
  <c r="EL97" i="2" s="1"/>
  <c r="EI160" i="2"/>
  <c r="EL95" i="2"/>
  <c r="EI37" i="2"/>
  <c r="DK75" i="7"/>
  <c r="DK9" i="3"/>
  <c r="EI42" i="2"/>
  <c r="EJ152" i="82"/>
  <c r="EJ154" i="82" s="1"/>
  <c r="EJ156" i="82" s="1"/>
  <c r="EJ157" i="82" s="1"/>
  <c r="EJ37" i="2"/>
  <c r="DL9" i="3"/>
  <c r="EJ238" i="2"/>
  <c r="EJ228" i="2"/>
  <c r="EJ160" i="2"/>
  <c r="DL196" i="7"/>
  <c r="EJ178" i="2"/>
  <c r="DL75" i="7"/>
  <c r="EJ77" i="2"/>
  <c r="EI33" i="82"/>
  <c r="CO91" i="3"/>
  <c r="CL91" i="3"/>
  <c r="CK91" i="3"/>
  <c r="CN91" i="3"/>
  <c r="CM91" i="3"/>
  <c r="CP93" i="3"/>
  <c r="CU94" i="3" s="1"/>
  <c r="EJ158" i="2"/>
  <c r="EL159" i="2"/>
  <c r="EL182" i="2"/>
  <c r="EL164" i="2"/>
  <c r="EL76" i="2"/>
  <c r="EI228" i="2"/>
  <c r="EJ159" i="2"/>
  <c r="EI217" i="2"/>
  <c r="EI48" i="2"/>
  <c r="EI50" i="2" s="1"/>
  <c r="EP19" i="1"/>
  <c r="EJ156" i="2"/>
  <c r="EJ177" i="2"/>
  <c r="EJ174" i="2"/>
  <c r="EI130" i="1"/>
  <c r="EJ130" i="1"/>
  <c r="DM96" i="7"/>
  <c r="DM172" i="7"/>
  <c r="EJ184" i="82"/>
  <c r="EI109" i="2"/>
  <c r="EJ109" i="2"/>
  <c r="EJ164" i="2"/>
  <c r="EJ95" i="2"/>
  <c r="EJ179" i="2"/>
  <c r="EL181" i="2" s="1"/>
  <c r="EJ161" i="2"/>
  <c r="EL163" i="2" s="1"/>
  <c r="EJ76" i="2"/>
  <c r="EJ182" i="2"/>
  <c r="EI104" i="2"/>
  <c r="EJ104" i="2"/>
  <c r="EJ208" i="2"/>
  <c r="EJ207" i="2"/>
  <c r="EJ212" i="2"/>
  <c r="EL214" i="2" s="1"/>
  <c r="EP28" i="82"/>
  <c r="DM82" i="7"/>
  <c r="DM73" i="7" s="1"/>
  <c r="Z99" i="113"/>
  <c r="C87" i="112" s="1"/>
  <c r="DM83" i="7"/>
  <c r="DM98" i="7"/>
  <c r="EI153" i="2"/>
  <c r="EH211" i="2"/>
  <c r="EI211" i="2"/>
  <c r="EI171" i="2"/>
  <c r="DM94" i="7"/>
  <c r="Z359" i="113"/>
  <c r="Z361" i="113"/>
  <c r="Z363" i="113"/>
  <c r="Z30" i="113"/>
  <c r="Z40" i="113"/>
  <c r="Z360" i="113"/>
  <c r="Z365" i="113"/>
  <c r="EK102" i="2"/>
  <c r="Z175" i="113"/>
  <c r="Z353" i="113"/>
  <c r="Z357" i="113" s="1"/>
  <c r="EO124" i="1"/>
  <c r="EO13" i="2"/>
  <c r="EO85" i="1"/>
  <c r="EO87" i="1" s="1"/>
  <c r="EO65" i="1"/>
  <c r="EO11" i="82"/>
  <c r="EI184" i="82"/>
  <c r="EI164" i="2"/>
  <c r="EI179" i="2"/>
  <c r="EI161" i="2"/>
  <c r="EI76" i="2"/>
  <c r="EI182" i="2"/>
  <c r="EI207" i="2"/>
  <c r="EI212" i="2"/>
  <c r="EG208" i="2"/>
  <c r="EO132" i="2"/>
  <c r="EH57" i="2"/>
  <c r="EO278" i="2"/>
  <c r="EQ295" i="2" s="1"/>
  <c r="EO143" i="2"/>
  <c r="EQ145" i="2" s="1"/>
  <c r="EO68" i="2"/>
  <c r="DQ169" i="7"/>
  <c r="DQ90" i="7"/>
  <c r="DQ81" i="7"/>
  <c r="DQ103" i="7"/>
  <c r="DQ88" i="7"/>
  <c r="DQ93" i="7"/>
  <c r="DQ30" i="7" s="1"/>
  <c r="DQ97" i="7"/>
  <c r="DQ32" i="7" s="1"/>
  <c r="DQ95" i="7"/>
  <c r="DQ31" i="7" s="1"/>
  <c r="DR31" i="7" s="1"/>
  <c r="DR95" i="7" s="1"/>
  <c r="DM84" i="7"/>
  <c r="DM88" i="7" s="1"/>
  <c r="EO56" i="2"/>
  <c r="EO280" i="2"/>
  <c r="EQ296" i="2" s="1"/>
  <c r="EO146" i="2"/>
  <c r="EQ148" i="2" s="1"/>
  <c r="EO46" i="2"/>
  <c r="EO48" i="2" s="1"/>
  <c r="EO75" i="2"/>
  <c r="DM99" i="7"/>
  <c r="DM103" i="7" s="1"/>
  <c r="DM100" i="7" s="1"/>
  <c r="EO277" i="2"/>
  <c r="EQ294" i="2" s="1"/>
  <c r="EO140" i="2"/>
  <c r="EQ142" i="2" s="1"/>
  <c r="EO67" i="2"/>
  <c r="EP499" i="1"/>
  <c r="EP9" i="82"/>
  <c r="EK332" i="1"/>
  <c r="EP112" i="82"/>
  <c r="EP98" i="82"/>
  <c r="EP87" i="82"/>
  <c r="EO86" i="2"/>
  <c r="EN169" i="82"/>
  <c r="EP64" i="1"/>
  <c r="EP40" i="1"/>
  <c r="EO275" i="2"/>
  <c r="EQ292" i="2" s="1"/>
  <c r="EO133" i="2"/>
  <c r="EQ135" i="2" s="1"/>
  <c r="EO70" i="2"/>
  <c r="EO64" i="2"/>
  <c r="EO44" i="82"/>
  <c r="EO42" i="82"/>
  <c r="EO56" i="82"/>
  <c r="EP51" i="1"/>
  <c r="EP53" i="1"/>
  <c r="EP54" i="1" s="1"/>
  <c r="EO56" i="1"/>
  <c r="EO276" i="2"/>
  <c r="EQ293" i="2" s="1"/>
  <c r="EO137" i="2"/>
  <c r="EQ139" i="2" s="1"/>
  <c r="EO26" i="2"/>
  <c r="EO66" i="2"/>
  <c r="EO66" i="1"/>
  <c r="EK210" i="2"/>
  <c r="EH309" i="2"/>
  <c r="EM309" i="2"/>
  <c r="EH300" i="2"/>
  <c r="EM300" i="2"/>
  <c r="EK147" i="2"/>
  <c r="EK308" i="2"/>
  <c r="EK309" i="2" s="1"/>
  <c r="EH306" i="2"/>
  <c r="EM306" i="2"/>
  <c r="EH302" i="2"/>
  <c r="EM302" i="2"/>
  <c r="EK134" i="2"/>
  <c r="EK144" i="2"/>
  <c r="EH109" i="2"/>
  <c r="EH304" i="2"/>
  <c r="EM304" i="2"/>
  <c r="DM11" i="3"/>
  <c r="EH154" i="2"/>
  <c r="EM155" i="2" s="1"/>
  <c r="EH172" i="2"/>
  <c r="EM173" i="2" s="1"/>
  <c r="EH72" i="2"/>
  <c r="EH170" i="2"/>
  <c r="EH171" i="2"/>
  <c r="EH227" i="2"/>
  <c r="EH73" i="2"/>
  <c r="EH175" i="2"/>
  <c r="EM176" i="2" s="1"/>
  <c r="EH157" i="2"/>
  <c r="EM158" i="2" s="1"/>
  <c r="EH152" i="2"/>
  <c r="EH153" i="2"/>
  <c r="EG104" i="2"/>
  <c r="EH104" i="2"/>
  <c r="EK40" i="1"/>
  <c r="U402" i="113"/>
  <c r="EG184" i="82"/>
  <c r="DI89" i="3"/>
  <c r="EG164" i="2"/>
  <c r="EG95" i="2"/>
  <c r="EG179" i="2"/>
  <c r="EL180" i="2" s="1"/>
  <c r="EG182" i="2"/>
  <c r="EG161" i="2"/>
  <c r="EL162" i="2" s="1"/>
  <c r="EG76" i="2"/>
  <c r="EG109" i="2"/>
  <c r="EG212" i="2"/>
  <c r="EL213" i="2" s="1"/>
  <c r="EG207" i="2"/>
  <c r="EH130" i="1"/>
  <c r="EG130" i="1"/>
  <c r="EK127" i="2"/>
  <c r="EK108" i="2"/>
  <c r="EK331" i="1"/>
  <c r="EK288" i="2"/>
  <c r="EK187" i="82"/>
  <c r="DM63" i="3"/>
  <c r="EK130" i="82"/>
  <c r="EK136" i="1"/>
  <c r="EK17" i="82"/>
  <c r="EH135" i="1"/>
  <c r="EH137" i="1" s="1"/>
  <c r="DQ17" i="1"/>
  <c r="DQ18" i="1" s="1"/>
  <c r="DQ19" i="1" s="1"/>
  <c r="EK20" i="82"/>
  <c r="AA114" i="113"/>
  <c r="AA104" i="113"/>
  <c r="D86" i="112" s="1"/>
  <c r="DL242" i="2"/>
  <c r="DQ242" i="2"/>
  <c r="FA241" i="2"/>
  <c r="DM58" i="3"/>
  <c r="EK65" i="2"/>
  <c r="FC13" i="2"/>
  <c r="FG13" i="2"/>
  <c r="EK27" i="2"/>
  <c r="EK166" i="2"/>
  <c r="EK150" i="2"/>
  <c r="EK115" i="2"/>
  <c r="AA48" i="113"/>
  <c r="AA49" i="113" s="1"/>
  <c r="D77" i="112" s="1"/>
  <c r="EK124" i="2"/>
  <c r="DJ40" i="1"/>
  <c r="U153" i="113"/>
  <c r="V153" i="113"/>
  <c r="U388" i="113"/>
  <c r="DN40" i="1"/>
  <c r="AA51" i="113"/>
  <c r="AA341" i="113"/>
  <c r="AA65" i="113"/>
  <c r="D76" i="112" s="1"/>
  <c r="CO195" i="7"/>
  <c r="CO197" i="7" s="1"/>
  <c r="CS197" i="7" s="1"/>
  <c r="CS195" i="7"/>
  <c r="DI39" i="1"/>
  <c r="DI52" i="1"/>
  <c r="DI53" i="1" s="1"/>
  <c r="EI315" i="2"/>
  <c r="EI324" i="2" s="1"/>
  <c r="EI321" i="2"/>
  <c r="EI330" i="2" s="1"/>
  <c r="EI326" i="2"/>
  <c r="FC26" i="2"/>
  <c r="FG26" i="2"/>
  <c r="EK69" i="2"/>
  <c r="Z225" i="113"/>
  <c r="EK64" i="82"/>
  <c r="FA43" i="2"/>
  <c r="DQ80" i="2"/>
  <c r="DL80" i="2"/>
  <c r="U416" i="113"/>
  <c r="DI82" i="2"/>
  <c r="DN82" i="2"/>
  <c r="DI98" i="2"/>
  <c r="DJ98" i="2"/>
  <c r="DL283" i="82"/>
  <c r="DQ283" i="82"/>
  <c r="Z272" i="113"/>
  <c r="CS20" i="3"/>
  <c r="CN50" i="3"/>
  <c r="CN52" i="3" s="1"/>
  <c r="CN20" i="3"/>
  <c r="CN77" i="3"/>
  <c r="CN80" i="3"/>
  <c r="D18" i="15"/>
  <c r="E18" i="15"/>
  <c r="Z214" i="113"/>
  <c r="EK58" i="82"/>
  <c r="EJ281" i="2"/>
  <c r="EJ310" i="2" s="1"/>
  <c r="EK103" i="2"/>
  <c r="FA51" i="2"/>
  <c r="DL82" i="2"/>
  <c r="DQ82" i="2"/>
  <c r="R27" i="11"/>
  <c r="R28" i="11" s="1"/>
  <c r="CL51" i="3"/>
  <c r="CK54" i="3"/>
  <c r="U415" i="113"/>
  <c r="DM62" i="3"/>
  <c r="AA148" i="113"/>
  <c r="EK28" i="2"/>
  <c r="EH317" i="2"/>
  <c r="EH171" i="82"/>
  <c r="Z226" i="113"/>
  <c r="EK65" i="82"/>
  <c r="EK107" i="2"/>
  <c r="R21" i="11"/>
  <c r="R20" i="11"/>
  <c r="EG326" i="2"/>
  <c r="EG315" i="2"/>
  <c r="EG324" i="2" s="1"/>
  <c r="EG321" i="2"/>
  <c r="EG330" i="2" s="1"/>
  <c r="CK88" i="3"/>
  <c r="CP88" i="3"/>
  <c r="CK83" i="3"/>
  <c r="EJ315" i="2"/>
  <c r="EJ324" i="2" s="1"/>
  <c r="EJ321" i="2"/>
  <c r="EJ330" i="2" s="1"/>
  <c r="EJ326" i="2"/>
  <c r="EH210" i="2"/>
  <c r="Z455" i="113"/>
  <c r="Z37" i="113"/>
  <c r="Z453" i="113"/>
  <c r="EI281" i="2"/>
  <c r="EI310" i="2" s="1"/>
  <c r="DM90" i="7"/>
  <c r="DM38" i="7"/>
  <c r="AA125" i="113"/>
  <c r="AA124" i="113" s="1"/>
  <c r="AA343" i="113"/>
  <c r="AA141" i="113"/>
  <c r="D93" i="112" s="1"/>
  <c r="AA146" i="113"/>
  <c r="D92" i="112" s="1"/>
  <c r="Z374" i="113"/>
  <c r="Z31" i="113"/>
  <c r="Z372" i="113"/>
  <c r="Z370" i="113"/>
  <c r="Z12" i="113"/>
  <c r="Z369" i="113"/>
  <c r="Z368" i="113"/>
  <c r="EG281" i="2"/>
  <c r="EG310" i="2" s="1"/>
  <c r="V35" i="113"/>
  <c r="U436" i="113"/>
  <c r="U435" i="113"/>
  <c r="U35" i="113"/>
  <c r="U437" i="113"/>
  <c r="Z346" i="113"/>
  <c r="Z348" i="113" s="1"/>
  <c r="Z307" i="113"/>
  <c r="C110" i="112" s="1"/>
  <c r="Z293" i="113"/>
  <c r="Z291" i="113"/>
  <c r="DL10" i="1"/>
  <c r="DL11" i="1" s="1"/>
  <c r="DL12" i="1" s="1"/>
  <c r="DL38" i="1"/>
  <c r="DL25" i="1"/>
  <c r="DL26" i="1" s="1"/>
  <c r="DQ39" i="1"/>
  <c r="DQ52" i="1"/>
  <c r="DQ53" i="1" s="1"/>
  <c r="DQ54" i="1" s="1"/>
  <c r="EK126" i="82"/>
  <c r="AA103" i="113"/>
  <c r="DM73" i="3"/>
  <c r="CL85" i="3"/>
  <c r="CQ84" i="3"/>
  <c r="CL87" i="3"/>
  <c r="CL89" i="3"/>
  <c r="CL100" i="3"/>
  <c r="CL84" i="3"/>
  <c r="U198" i="113"/>
  <c r="U389" i="113"/>
  <c r="V198" i="113"/>
  <c r="EK128" i="1"/>
  <c r="EF341" i="1"/>
  <c r="EF342" i="1" s="1"/>
  <c r="EK134" i="1"/>
  <c r="EK133" i="1"/>
  <c r="FA491" i="1"/>
  <c r="EQ93" i="2" l="1"/>
  <c r="EQ88" i="2"/>
  <c r="EU89" i="82"/>
  <c r="EU100" i="82" s="1"/>
  <c r="EU90" i="82"/>
  <c r="EU94" i="82"/>
  <c r="ES18" i="82"/>
  <c r="ES27" i="82" s="1"/>
  <c r="EU82" i="82"/>
  <c r="EN67" i="1"/>
  <c r="EO125" i="1"/>
  <c r="EQ126" i="1"/>
  <c r="ET41" i="1"/>
  <c r="ES55" i="1"/>
  <c r="ET120" i="1"/>
  <c r="ES120" i="1"/>
  <c r="EU494" i="1"/>
  <c r="EU495" i="1" s="1"/>
  <c r="ET42" i="1"/>
  <c r="ES42" i="1"/>
  <c r="ER42" i="1"/>
  <c r="EQ42" i="1"/>
  <c r="EU10" i="1"/>
  <c r="EU17" i="1" s="1"/>
  <c r="EU18" i="1" s="1"/>
  <c r="EU19" i="1" s="1"/>
  <c r="ET28" i="1"/>
  <c r="ES28" i="1"/>
  <c r="ER28" i="1"/>
  <c r="EQ28" i="1"/>
  <c r="EN70" i="82"/>
  <c r="EN59" i="82"/>
  <c r="EN21" i="82"/>
  <c r="ES121" i="1"/>
  <c r="ES122" i="1" s="1"/>
  <c r="ES119" i="1"/>
  <c r="EN54" i="2"/>
  <c r="EN151" i="2"/>
  <c r="EN169" i="2"/>
  <c r="EN32" i="2"/>
  <c r="EN29" i="2"/>
  <c r="EN71" i="2"/>
  <c r="EN94" i="2"/>
  <c r="EN28" i="2"/>
  <c r="EN102" i="2"/>
  <c r="EP63" i="2"/>
  <c r="EN168" i="2"/>
  <c r="EN167" i="2"/>
  <c r="EL102" i="2"/>
  <c r="EP169" i="82"/>
  <c r="DR80" i="7"/>
  <c r="DR96" i="7" s="1"/>
  <c r="ES84" i="82"/>
  <c r="ES81" i="82"/>
  <c r="ES107" i="1"/>
  <c r="ES110" i="1"/>
  <c r="ES8" i="2"/>
  <c r="ES97" i="82"/>
  <c r="EU81" i="1"/>
  <c r="EU83" i="1" s="1"/>
  <c r="EU498" i="1"/>
  <c r="EU50" i="1"/>
  <c r="EU39" i="1"/>
  <c r="EU40" i="1" s="1"/>
  <c r="EU37" i="1"/>
  <c r="EU110" i="1"/>
  <c r="EU111" i="1" s="1"/>
  <c r="EU107" i="1"/>
  <c r="EU108" i="1" s="1"/>
  <c r="EU106" i="1"/>
  <c r="EU119" i="1"/>
  <c r="EU25" i="1"/>
  <c r="EU26" i="1" s="1"/>
  <c r="EU517" i="1"/>
  <c r="EU115" i="1"/>
  <c r="EU23" i="1"/>
  <c r="EU93" i="1"/>
  <c r="EU94" i="1" s="1"/>
  <c r="EU103" i="1"/>
  <c r="EV102" i="1"/>
  <c r="EV97" i="1"/>
  <c r="EU97" i="1"/>
  <c r="ET112" i="82"/>
  <c r="ET98" i="82"/>
  <c r="ET87" i="82"/>
  <c r="ET27" i="82"/>
  <c r="ES9" i="82"/>
  <c r="ET105" i="82"/>
  <c r="ET95" i="82"/>
  <c r="EP99" i="82"/>
  <c r="ET121" i="1"/>
  <c r="ET116" i="1"/>
  <c r="ES64" i="1"/>
  <c r="ES53" i="1"/>
  <c r="ES54" i="1" s="1"/>
  <c r="ES51" i="1"/>
  <c r="ET110" i="1"/>
  <c r="ET106" i="1"/>
  <c r="ET8" i="2"/>
  <c r="ET107" i="1"/>
  <c r="ET94" i="1"/>
  <c r="ET50" i="1"/>
  <c r="ET37" i="1"/>
  <c r="ET39" i="1"/>
  <c r="ET40" i="1" s="1"/>
  <c r="EI150" i="82"/>
  <c r="EI160" i="82" s="1"/>
  <c r="EI154" i="82"/>
  <c r="EI156" i="82" s="1"/>
  <c r="EI157" i="82" s="1"/>
  <c r="EJ51" i="2"/>
  <c r="EJ240" i="2"/>
  <c r="EM67" i="1"/>
  <c r="EM164" i="2"/>
  <c r="EM76" i="2"/>
  <c r="EM182" i="2"/>
  <c r="EJ188" i="82"/>
  <c r="EI241" i="2"/>
  <c r="EI242" i="2" s="1"/>
  <c r="EI96" i="2"/>
  <c r="EJ81" i="2"/>
  <c r="EJ79" i="2"/>
  <c r="EJ176" i="82"/>
  <c r="DM196" i="7"/>
  <c r="EJ241" i="2"/>
  <c r="EJ242" i="2" s="1"/>
  <c r="EJ96" i="2"/>
  <c r="EI176" i="82"/>
  <c r="EI240" i="2"/>
  <c r="EJ189" i="82"/>
  <c r="EI78" i="2"/>
  <c r="EK55" i="2"/>
  <c r="EJ78" i="2"/>
  <c r="EO150" i="2"/>
  <c r="EI79" i="2"/>
  <c r="EJ110" i="2"/>
  <c r="EI43" i="2"/>
  <c r="EI97" i="2" s="1"/>
  <c r="DL197" i="7"/>
  <c r="DL19" i="3"/>
  <c r="EI81" i="2"/>
  <c r="DK19" i="3"/>
  <c r="EL96" i="2"/>
  <c r="EI189" i="82"/>
  <c r="EL67" i="1"/>
  <c r="EI51" i="2"/>
  <c r="CO93" i="3"/>
  <c r="CT94" i="3" s="1"/>
  <c r="CN93" i="3"/>
  <c r="CM93" i="3"/>
  <c r="CK93" i="3"/>
  <c r="CK95" i="3" s="1"/>
  <c r="CL93" i="3"/>
  <c r="CP95" i="3"/>
  <c r="Z112" i="113"/>
  <c r="EJ80" i="2"/>
  <c r="EJ181" i="2"/>
  <c r="EJ180" i="2"/>
  <c r="EJ163" i="2"/>
  <c r="EJ162" i="2"/>
  <c r="EJ214" i="2"/>
  <c r="EJ213" i="2"/>
  <c r="EO13" i="82"/>
  <c r="EO14" i="82" s="1"/>
  <c r="EO150" i="82" s="1"/>
  <c r="EI110" i="2"/>
  <c r="EO92" i="2"/>
  <c r="EI174" i="2"/>
  <c r="EI159" i="2"/>
  <c r="EI156" i="2"/>
  <c r="EI95" i="2"/>
  <c r="EI177" i="2"/>
  <c r="Z362" i="113"/>
  <c r="Z97" i="113" s="1"/>
  <c r="Z205" i="113"/>
  <c r="Z195" i="113"/>
  <c r="EO127" i="1"/>
  <c r="EO126" i="1"/>
  <c r="EO115" i="82"/>
  <c r="EO187" i="82" s="1"/>
  <c r="EO65" i="2"/>
  <c r="EO166" i="2"/>
  <c r="EQ168" i="2" s="1"/>
  <c r="EO27" i="2"/>
  <c r="EO87" i="2"/>
  <c r="EP20" i="2"/>
  <c r="EP17" i="2"/>
  <c r="EI162" i="2"/>
  <c r="EI213" i="2"/>
  <c r="EI180" i="2"/>
  <c r="DJ89" i="3"/>
  <c r="EO89" i="2"/>
  <c r="EG214" i="2"/>
  <c r="EP40" i="82"/>
  <c r="EO141" i="2"/>
  <c r="DR32" i="7"/>
  <c r="EO69" i="2"/>
  <c r="EO134" i="2"/>
  <c r="EN275" i="2"/>
  <c r="EP12" i="2"/>
  <c r="EO303" i="2"/>
  <c r="DR30" i="7"/>
  <c r="DS63" i="3" s="1"/>
  <c r="EO43" i="82"/>
  <c r="EO58" i="82"/>
  <c r="EO299" i="2"/>
  <c r="EN276" i="2"/>
  <c r="EO147" i="2"/>
  <c r="DQ84" i="7"/>
  <c r="DQ15" i="7" s="1"/>
  <c r="DQ86" i="7"/>
  <c r="DQ25" i="7" s="1"/>
  <c r="DR25" i="7" s="1"/>
  <c r="DR86" i="7" s="1"/>
  <c r="EO138" i="2"/>
  <c r="EO61" i="82"/>
  <c r="EO17" i="82"/>
  <c r="EO91" i="2"/>
  <c r="EN278" i="2"/>
  <c r="EO308" i="2"/>
  <c r="EO288" i="2"/>
  <c r="DQ101" i="7"/>
  <c r="DQ42" i="7" s="1"/>
  <c r="DR42" i="7" s="1"/>
  <c r="DR101" i="7" s="1"/>
  <c r="DQ99" i="7"/>
  <c r="DQ33" i="7" s="1"/>
  <c r="EO144" i="2"/>
  <c r="EO301" i="2"/>
  <c r="EO285" i="2"/>
  <c r="EO204" i="2"/>
  <c r="DQ15" i="3"/>
  <c r="EO209" i="2"/>
  <c r="EQ211" i="2" s="1"/>
  <c r="EO180" i="82"/>
  <c r="DQ82" i="7"/>
  <c r="DQ73" i="7" s="1"/>
  <c r="DR81" i="7"/>
  <c r="DQ10" i="7"/>
  <c r="EO305" i="2"/>
  <c r="DQ91" i="7"/>
  <c r="DQ29" i="7"/>
  <c r="EP23" i="2"/>
  <c r="EN107" i="2" s="1"/>
  <c r="EN280" i="2"/>
  <c r="EP24" i="2"/>
  <c r="EN108" i="2" s="1"/>
  <c r="DQ176" i="7"/>
  <c r="DQ11" i="3"/>
  <c r="EP11" i="82"/>
  <c r="EP65" i="1"/>
  <c r="EP85" i="1"/>
  <c r="EP87" i="1" s="1"/>
  <c r="EP124" i="1"/>
  <c r="EO67" i="1"/>
  <c r="EO90" i="2"/>
  <c r="EN277" i="2"/>
  <c r="EO101" i="2"/>
  <c r="EP101" i="2" s="1"/>
  <c r="EI331" i="2"/>
  <c r="EI311" i="2"/>
  <c r="EG331" i="2"/>
  <c r="EL331" i="2"/>
  <c r="EK167" i="2"/>
  <c r="EJ331" i="2"/>
  <c r="EG311" i="2"/>
  <c r="EL311" i="2"/>
  <c r="EJ311" i="2"/>
  <c r="EH110" i="2"/>
  <c r="EH158" i="2"/>
  <c r="EH159" i="2"/>
  <c r="EH182" i="2"/>
  <c r="EH161" i="2"/>
  <c r="EM162" i="2" s="1"/>
  <c r="EH164" i="2"/>
  <c r="EH179" i="2"/>
  <c r="EM180" i="2" s="1"/>
  <c r="EH76" i="2"/>
  <c r="EH176" i="2"/>
  <c r="EH177" i="2"/>
  <c r="EH173" i="2"/>
  <c r="EH174" i="2"/>
  <c r="EH155" i="2"/>
  <c r="EH156" i="2"/>
  <c r="EH95" i="2"/>
  <c r="EH217" i="2"/>
  <c r="EH74" i="2"/>
  <c r="EH136" i="2"/>
  <c r="EH228" i="2"/>
  <c r="EH233" i="2"/>
  <c r="EH238" i="2"/>
  <c r="EH241" i="2" s="1"/>
  <c r="EH160" i="2"/>
  <c r="EH77" i="2"/>
  <c r="EH178" i="2"/>
  <c r="DM76" i="3"/>
  <c r="U135" i="113"/>
  <c r="U424" i="113" s="1"/>
  <c r="EG110" i="2"/>
  <c r="EG163" i="2"/>
  <c r="EG162" i="2"/>
  <c r="EG181" i="2"/>
  <c r="EG180" i="2"/>
  <c r="EG213" i="2"/>
  <c r="U393" i="113"/>
  <c r="EJ334" i="1"/>
  <c r="EJ335" i="1" s="1"/>
  <c r="Z327" i="113"/>
  <c r="Z329" i="113" s="1"/>
  <c r="DM65" i="3"/>
  <c r="EI334" i="1"/>
  <c r="EI335" i="1" s="1"/>
  <c r="AB121" i="113"/>
  <c r="AB144" i="113" s="1"/>
  <c r="EV18" i="1"/>
  <c r="AB84" i="113"/>
  <c r="EV32" i="1"/>
  <c r="DM61" i="3"/>
  <c r="EK44" i="82"/>
  <c r="EK53" i="82" s="1"/>
  <c r="EK24" i="82"/>
  <c r="EK33" i="82"/>
  <c r="U56" i="113"/>
  <c r="U422" i="113" s="1"/>
  <c r="CS198" i="7"/>
  <c r="CT195" i="7" s="1"/>
  <c r="CT197" i="7" s="1"/>
  <c r="CX197" i="7" s="1"/>
  <c r="DL17" i="1"/>
  <c r="DL18" i="1" s="1"/>
  <c r="DL19" i="1" s="1"/>
  <c r="U420" i="113"/>
  <c r="U93" i="113"/>
  <c r="U94" i="113" s="1"/>
  <c r="DM50" i="7"/>
  <c r="EH170" i="82"/>
  <c r="AA115" i="113"/>
  <c r="AA88" i="113" s="1"/>
  <c r="DM91" i="7"/>
  <c r="DM92" i="7"/>
  <c r="EK104" i="2"/>
  <c r="EK72" i="2"/>
  <c r="EK172" i="2"/>
  <c r="EL174" i="2" s="1"/>
  <c r="EK154" i="2"/>
  <c r="Z303" i="113"/>
  <c r="Z454" i="113" s="1"/>
  <c r="EK138" i="82"/>
  <c r="EK137" i="82"/>
  <c r="Z32" i="113"/>
  <c r="Z41" i="113"/>
  <c r="Z383" i="113"/>
  <c r="Z377" i="113"/>
  <c r="Z378" i="113"/>
  <c r="Z379" i="113"/>
  <c r="Z381" i="113"/>
  <c r="FD8" i="2"/>
  <c r="FH8" i="2"/>
  <c r="AA9" i="113"/>
  <c r="AA352" i="113" s="1"/>
  <c r="Z237" i="113"/>
  <c r="AA50" i="113"/>
  <c r="AA67" i="113"/>
  <c r="D78" i="112" s="1"/>
  <c r="AA77" i="113"/>
  <c r="DL39" i="1"/>
  <c r="DL52" i="1"/>
  <c r="DL53" i="1" s="1"/>
  <c r="DL54" i="1" s="1"/>
  <c r="AA248" i="113"/>
  <c r="CN83" i="3"/>
  <c r="CS88" i="3"/>
  <c r="CN88" i="3"/>
  <c r="EK109" i="2"/>
  <c r="AA66" i="113"/>
  <c r="EV46" i="1"/>
  <c r="AB173" i="113"/>
  <c r="C12" i="112" s="1"/>
  <c r="AA158" i="113"/>
  <c r="CK89" i="3"/>
  <c r="CK84" i="3"/>
  <c r="CP84" i="3"/>
  <c r="CK100" i="3"/>
  <c r="CK87" i="3"/>
  <c r="CK85" i="3"/>
  <c r="EG334" i="1"/>
  <c r="EL335" i="1" s="1"/>
  <c r="FG27" i="2"/>
  <c r="EK29" i="2"/>
  <c r="FC27" i="2"/>
  <c r="EK71" i="2"/>
  <c r="EK151" i="2"/>
  <c r="EK220" i="2"/>
  <c r="EK223" i="2" s="1"/>
  <c r="EK169" i="2"/>
  <c r="EK317" i="2"/>
  <c r="EK171" i="82"/>
  <c r="Z14" i="113"/>
  <c r="Z13" i="113" s="1"/>
  <c r="EF343" i="1"/>
  <c r="EF344" i="1" s="1"/>
  <c r="EK21" i="82"/>
  <c r="DM89" i="7"/>
  <c r="DM87" i="7"/>
  <c r="DM104" i="7"/>
  <c r="DM102" i="7"/>
  <c r="Z238" i="113"/>
  <c r="EH315" i="2"/>
  <c r="EH324" i="2" s="1"/>
  <c r="EH321" i="2"/>
  <c r="EH330" i="2" s="1"/>
  <c r="EH326" i="2"/>
  <c r="CL52" i="3"/>
  <c r="Z241" i="113"/>
  <c r="Z231" i="113"/>
  <c r="EK54" i="2"/>
  <c r="DM23" i="3"/>
  <c r="EK206" i="2"/>
  <c r="Z22" i="113"/>
  <c r="DM81" i="3"/>
  <c r="DM74" i="3"/>
  <c r="Z308" i="113"/>
  <c r="Z314" i="113"/>
  <c r="Z364" i="113"/>
  <c r="Z292" i="113"/>
  <c r="DM85" i="7"/>
  <c r="CO51" i="3"/>
  <c r="CS51" i="3"/>
  <c r="CN54" i="3"/>
  <c r="EH206" i="2"/>
  <c r="EM207" i="2" s="1"/>
  <c r="EH281" i="2"/>
  <c r="EH310" i="2" s="1"/>
  <c r="EH179" i="82"/>
  <c r="EH182" i="82" s="1"/>
  <c r="DI40" i="1"/>
  <c r="EK135" i="1"/>
  <c r="DQ40" i="1"/>
  <c r="Z382" i="113"/>
  <c r="Z309" i="113"/>
  <c r="AA147" i="113"/>
  <c r="AA128" i="113"/>
  <c r="DM70" i="3"/>
  <c r="AA69" i="113"/>
  <c r="EU499" i="1" l="1"/>
  <c r="EU9" i="82"/>
  <c r="EQ94" i="2"/>
  <c r="EN106" i="2"/>
  <c r="EN105" i="2"/>
  <c r="FC55" i="2"/>
  <c r="EU18" i="82"/>
  <c r="EU27" i="82" s="1"/>
  <c r="EU28" i="82" s="1"/>
  <c r="ET55" i="1"/>
  <c r="EN103" i="2"/>
  <c r="EP203" i="2"/>
  <c r="EU102" i="82"/>
  <c r="EU101" i="82"/>
  <c r="ES95" i="82"/>
  <c r="EU81" i="82"/>
  <c r="ES86" i="82"/>
  <c r="ES87" i="82" s="1"/>
  <c r="EU84" i="82"/>
  <c r="EU110" i="82"/>
  <c r="EU97" i="82"/>
  <c r="EU91" i="82"/>
  <c r="EO136" i="1"/>
  <c r="EQ129" i="1"/>
  <c r="EU11" i="1"/>
  <c r="EU12" i="1" s="1"/>
  <c r="ES66" i="1"/>
  <c r="ET56" i="1"/>
  <c r="ES56" i="1"/>
  <c r="ER56" i="1"/>
  <c r="EQ56" i="1"/>
  <c r="ET123" i="1"/>
  <c r="ES123" i="1"/>
  <c r="ES111" i="1"/>
  <c r="ET112" i="1"/>
  <c r="ES112" i="1"/>
  <c r="ET109" i="1"/>
  <c r="ES109" i="1"/>
  <c r="ES41" i="82"/>
  <c r="ES57" i="82" s="1"/>
  <c r="ET85" i="2"/>
  <c r="ES85" i="2"/>
  <c r="EN20" i="82"/>
  <c r="EN34" i="82"/>
  <c r="EN154" i="2"/>
  <c r="EN72" i="2"/>
  <c r="EN172" i="2"/>
  <c r="EN175" i="2"/>
  <c r="EN73" i="2"/>
  <c r="EN157" i="2"/>
  <c r="EN34" i="2"/>
  <c r="DP74" i="7" s="1"/>
  <c r="EN36" i="2"/>
  <c r="EN170" i="2"/>
  <c r="EN171" i="2"/>
  <c r="EN153" i="2"/>
  <c r="EN152" i="2"/>
  <c r="ES105" i="82"/>
  <c r="ES108" i="1"/>
  <c r="ES130" i="2"/>
  <c r="ES62" i="2"/>
  <c r="ES168" i="82"/>
  <c r="ES9" i="2"/>
  <c r="EV103" i="1"/>
  <c r="EW102" i="1"/>
  <c r="EU40" i="82"/>
  <c r="EU53" i="1"/>
  <c r="EU54" i="1" s="1"/>
  <c r="EU51" i="1"/>
  <c r="EU121" i="1"/>
  <c r="EU116" i="1"/>
  <c r="ET9" i="82"/>
  <c r="ET41" i="82"/>
  <c r="ET168" i="82"/>
  <c r="ES29" i="82"/>
  <c r="ES28" i="82"/>
  <c r="ES11" i="82"/>
  <c r="ET29" i="82"/>
  <c r="ET28" i="82"/>
  <c r="ET99" i="82"/>
  <c r="DR97" i="7"/>
  <c r="DR98" i="7" s="1"/>
  <c r="DS64" i="3"/>
  <c r="ES40" i="82"/>
  <c r="ET108" i="1"/>
  <c r="ES65" i="1"/>
  <c r="ES85" i="1"/>
  <c r="ES87" i="1" s="1"/>
  <c r="ES124" i="1"/>
  <c r="ET130" i="2"/>
  <c r="ET9" i="2"/>
  <c r="ET62" i="2"/>
  <c r="ET111" i="1"/>
  <c r="ET122" i="1"/>
  <c r="ET51" i="1"/>
  <c r="ET64" i="1"/>
  <c r="ET53" i="1"/>
  <c r="ET54" i="1" s="1"/>
  <c r="EO302" i="2"/>
  <c r="EO167" i="2"/>
  <c r="E83" i="112"/>
  <c r="T53" i="112" s="1"/>
  <c r="C10" i="112"/>
  <c r="EN294" i="2"/>
  <c r="EM108" i="2"/>
  <c r="EO309" i="2"/>
  <c r="EN293" i="2"/>
  <c r="EM107" i="2"/>
  <c r="D103" i="112"/>
  <c r="EN296" i="2"/>
  <c r="EN295" i="2"/>
  <c r="EN292" i="2"/>
  <c r="FG55" i="2"/>
  <c r="EH111" i="2"/>
  <c r="EI163" i="82"/>
  <c r="EI164" i="82" s="1"/>
  <c r="EK34" i="82"/>
  <c r="EK35" i="82" s="1"/>
  <c r="EJ82" i="2"/>
  <c r="EG111" i="2"/>
  <c r="EK179" i="82"/>
  <c r="EK125" i="82" s="1"/>
  <c r="Z302" i="113" s="1"/>
  <c r="Z445" i="113" s="1"/>
  <c r="EK281" i="2"/>
  <c r="EK310" i="2" s="1"/>
  <c r="EK311" i="2" s="1"/>
  <c r="EJ111" i="2"/>
  <c r="EK136" i="2"/>
  <c r="EI111" i="2"/>
  <c r="EL98" i="2"/>
  <c r="EM103" i="2"/>
  <c r="EM105" i="2"/>
  <c r="EM106" i="2"/>
  <c r="EH242" i="2"/>
  <c r="EM242" i="2"/>
  <c r="EJ97" i="2"/>
  <c r="EI80" i="2"/>
  <c r="EI98" i="2"/>
  <c r="EK74" i="2"/>
  <c r="EL108" i="2"/>
  <c r="EL107" i="2"/>
  <c r="EL105" i="2"/>
  <c r="EL103" i="2"/>
  <c r="DK77" i="3"/>
  <c r="DK50" i="3"/>
  <c r="DK80" i="3"/>
  <c r="DK20" i="3"/>
  <c r="DL50" i="3"/>
  <c r="DL80" i="3"/>
  <c r="DL77" i="3"/>
  <c r="DL20" i="3"/>
  <c r="EO93" i="2"/>
  <c r="EI82" i="2"/>
  <c r="EL106" i="2"/>
  <c r="EJ98" i="2"/>
  <c r="CP94" i="3"/>
  <c r="CL95" i="3"/>
  <c r="CQ94" i="3"/>
  <c r="CM95" i="3"/>
  <c r="CR94" i="3"/>
  <c r="CN95" i="3"/>
  <c r="CS94" i="3"/>
  <c r="CO94" i="3"/>
  <c r="CO95" i="3"/>
  <c r="EO152" i="82"/>
  <c r="EO154" i="82" s="1"/>
  <c r="EO156" i="82" s="1"/>
  <c r="EO157" i="82" s="1"/>
  <c r="EP13" i="82"/>
  <c r="EP14" i="82" s="1"/>
  <c r="EI163" i="2"/>
  <c r="EI181" i="2"/>
  <c r="EP276" i="2"/>
  <c r="EP140" i="2"/>
  <c r="EO134" i="1"/>
  <c r="EO133" i="1"/>
  <c r="EO129" i="1"/>
  <c r="EO128" i="1"/>
  <c r="DQ73" i="3"/>
  <c r="Z60" i="113"/>
  <c r="Z440" i="113" s="1"/>
  <c r="Z366" i="113"/>
  <c r="EH208" i="2"/>
  <c r="EI208" i="2"/>
  <c r="Z139" i="113"/>
  <c r="Z442" i="113" s="1"/>
  <c r="EO130" i="82"/>
  <c r="EO54" i="2"/>
  <c r="EO151" i="2"/>
  <c r="EQ153" i="2" s="1"/>
  <c r="EO171" i="82"/>
  <c r="EO170" i="82" s="1"/>
  <c r="EO71" i="2"/>
  <c r="EO220" i="2"/>
  <c r="EO223" i="2" s="1"/>
  <c r="EO21" i="82"/>
  <c r="EO317" i="2"/>
  <c r="EO315" i="2" s="1"/>
  <c r="EO324" i="2" s="1"/>
  <c r="EO29" i="2"/>
  <c r="EO28" i="2"/>
  <c r="EO169" i="2"/>
  <c r="EQ171" i="2" s="1"/>
  <c r="EP117" i="2"/>
  <c r="EP137" i="2"/>
  <c r="EO55" i="2"/>
  <c r="EP66" i="2"/>
  <c r="EP67" i="2"/>
  <c r="EP390" i="2"/>
  <c r="EP277" i="2"/>
  <c r="EP120" i="2"/>
  <c r="EP115" i="82"/>
  <c r="EN187" i="82"/>
  <c r="DQ177" i="7"/>
  <c r="EO145" i="2"/>
  <c r="EO296" i="2"/>
  <c r="EO295" i="2"/>
  <c r="EO294" i="2"/>
  <c r="EO148" i="2"/>
  <c r="EO135" i="2"/>
  <c r="EO139" i="2"/>
  <c r="EO292" i="2"/>
  <c r="EO142" i="2"/>
  <c r="EO293" i="2"/>
  <c r="EO205" i="2"/>
  <c r="EO24" i="82"/>
  <c r="CX195" i="7"/>
  <c r="CX198" i="7" s="1"/>
  <c r="DC195" i="7" s="1"/>
  <c r="EP70" i="2"/>
  <c r="EP114" i="2"/>
  <c r="EP275" i="2"/>
  <c r="EP64" i="2"/>
  <c r="EP133" i="2"/>
  <c r="EP13" i="2"/>
  <c r="EN308" i="2"/>
  <c r="EN288" i="2"/>
  <c r="EP278" i="2"/>
  <c r="EP143" i="2"/>
  <c r="EP68" i="2"/>
  <c r="EP123" i="2"/>
  <c r="EP280" i="2"/>
  <c r="EO59" i="82"/>
  <c r="EO70" i="82"/>
  <c r="EN299" i="2"/>
  <c r="EN290" i="2"/>
  <c r="EN284" i="2"/>
  <c r="EP125" i="1"/>
  <c r="EP127" i="1"/>
  <c r="EN130" i="1" s="1"/>
  <c r="DR15" i="3"/>
  <c r="EN180" i="82"/>
  <c r="EP56" i="2"/>
  <c r="DR29" i="7"/>
  <c r="DQ38" i="7"/>
  <c r="EN301" i="2"/>
  <c r="EN289" i="2"/>
  <c r="EN285" i="2"/>
  <c r="DQ64" i="3"/>
  <c r="DR64" i="3" s="1"/>
  <c r="EP46" i="2"/>
  <c r="EN305" i="2"/>
  <c r="EN287" i="2"/>
  <c r="DR15" i="7"/>
  <c r="DQ63" i="3"/>
  <c r="DR93" i="7"/>
  <c r="DR94" i="7" s="1"/>
  <c r="EO88" i="2"/>
  <c r="EG335" i="1"/>
  <c r="EP75" i="2"/>
  <c r="EP146" i="2"/>
  <c r="EP126" i="2"/>
  <c r="EN55" i="2"/>
  <c r="DR169" i="7"/>
  <c r="DR33" i="7"/>
  <c r="EN303" i="2"/>
  <c r="EN286" i="2"/>
  <c r="EP26" i="2"/>
  <c r="DR10" i="7"/>
  <c r="EO210" i="2"/>
  <c r="EP56" i="82"/>
  <c r="EP52" i="82"/>
  <c r="EP51" i="82"/>
  <c r="EP42" i="82"/>
  <c r="EP69" i="82"/>
  <c r="DR82" i="7"/>
  <c r="DR73" i="7" s="1"/>
  <c r="DR83" i="7"/>
  <c r="EO102" i="2"/>
  <c r="EP102" i="2" s="1"/>
  <c r="EK155" i="2"/>
  <c r="EK173" i="2"/>
  <c r="EH180" i="2"/>
  <c r="EH162" i="2"/>
  <c r="EH311" i="2"/>
  <c r="EM311" i="2"/>
  <c r="EH331" i="2"/>
  <c r="EM331" i="2"/>
  <c r="U136" i="113"/>
  <c r="U167" i="113" s="1"/>
  <c r="E97" i="112"/>
  <c r="T57" i="112" s="1"/>
  <c r="AB172" i="113"/>
  <c r="AB193" i="113" s="1"/>
  <c r="EH181" i="2"/>
  <c r="EH163" i="2"/>
  <c r="EH81" i="2"/>
  <c r="EH78" i="2"/>
  <c r="EH96" i="2"/>
  <c r="EH240" i="2"/>
  <c r="EH79" i="2"/>
  <c r="U57" i="113"/>
  <c r="U81" i="113" s="1"/>
  <c r="U423" i="113"/>
  <c r="U182" i="113"/>
  <c r="U183" i="113" s="1"/>
  <c r="Z326" i="113"/>
  <c r="Z392" i="113" s="1"/>
  <c r="Z337" i="113"/>
  <c r="AB47" i="113"/>
  <c r="AB123" i="113"/>
  <c r="EK25" i="82"/>
  <c r="EK75" i="82"/>
  <c r="AB342" i="113"/>
  <c r="AB102" i="113"/>
  <c r="E84" i="112" s="1"/>
  <c r="T54" i="112" s="1"/>
  <c r="AB85" i="113"/>
  <c r="AB86" i="113" s="1"/>
  <c r="E85" i="112" s="1"/>
  <c r="EK43" i="82"/>
  <c r="EK60" i="82" s="1"/>
  <c r="EK61" i="82"/>
  <c r="AB126" i="113"/>
  <c r="AB148" i="113" s="1"/>
  <c r="Z218" i="113"/>
  <c r="Z244" i="113" s="1"/>
  <c r="EH184" i="82"/>
  <c r="EH334" i="1"/>
  <c r="EM335" i="1" s="1"/>
  <c r="EV11" i="1"/>
  <c r="AA350" i="113"/>
  <c r="EK110" i="2"/>
  <c r="Z33" i="113"/>
  <c r="Z390" i="113"/>
  <c r="DM72" i="3"/>
  <c r="DM71" i="3"/>
  <c r="AA150" i="113"/>
  <c r="AA129" i="113"/>
  <c r="EK137" i="1"/>
  <c r="Z446" i="113"/>
  <c r="Z36" i="113"/>
  <c r="Z444" i="113"/>
  <c r="EK170" i="2"/>
  <c r="FG29" i="2"/>
  <c r="EK73" i="2"/>
  <c r="FC29" i="2"/>
  <c r="EK175" i="2"/>
  <c r="EK157" i="2"/>
  <c r="EK366" i="82"/>
  <c r="DL40" i="1"/>
  <c r="Z401" i="113"/>
  <c r="FA498" i="1"/>
  <c r="AA62" i="113"/>
  <c r="D79" i="112" s="1"/>
  <c r="CS52" i="3"/>
  <c r="Z227" i="113"/>
  <c r="EK66" i="82"/>
  <c r="EK207" i="2"/>
  <c r="EK152" i="2"/>
  <c r="DM66" i="3"/>
  <c r="DM18" i="3" s="1"/>
  <c r="AA262" i="113"/>
  <c r="EV60" i="1"/>
  <c r="U118" i="113"/>
  <c r="U95" i="113"/>
  <c r="EH207" i="2"/>
  <c r="EH212" i="2"/>
  <c r="CO52" i="3"/>
  <c r="DM32" i="3"/>
  <c r="I15" i="15"/>
  <c r="CM51" i="3"/>
  <c r="CL54" i="3"/>
  <c r="Z25" i="113"/>
  <c r="Z34" i="113"/>
  <c r="Z43" i="113"/>
  <c r="Z399" i="113"/>
  <c r="AA250" i="113"/>
  <c r="AA249" i="113" s="1"/>
  <c r="AA345" i="113"/>
  <c r="AA266" i="113"/>
  <c r="D104" i="112" s="1"/>
  <c r="AA68" i="113"/>
  <c r="FC54" i="2"/>
  <c r="EK57" i="2"/>
  <c r="FG54" i="2"/>
  <c r="EK170" i="82"/>
  <c r="AB344" i="113"/>
  <c r="AB194" i="113"/>
  <c r="E98" i="112" s="1"/>
  <c r="T58" i="112" s="1"/>
  <c r="AA261" i="113"/>
  <c r="Z110" i="113"/>
  <c r="Z441" i="113"/>
  <c r="J7" i="15"/>
  <c r="FH9" i="2"/>
  <c r="FD9" i="2"/>
  <c r="X40" i="11"/>
  <c r="AA106" i="113"/>
  <c r="AA87" i="113"/>
  <c r="Z373" i="113"/>
  <c r="Z215" i="113"/>
  <c r="EK19" i="82"/>
  <c r="CS84" i="3"/>
  <c r="CN87" i="3"/>
  <c r="CN89" i="3"/>
  <c r="CN100" i="3"/>
  <c r="CN85" i="3"/>
  <c r="CN84" i="3"/>
  <c r="R33" i="11"/>
  <c r="EK315" i="2"/>
  <c r="EK324" i="2" s="1"/>
  <c r="EK326" i="2"/>
  <c r="AA356" i="113"/>
  <c r="AA355" i="113"/>
  <c r="AA29" i="113"/>
  <c r="AA10" i="113"/>
  <c r="AA351" i="113"/>
  <c r="Z331" i="113"/>
  <c r="Z332" i="113" s="1"/>
  <c r="EN104" i="2" l="1"/>
  <c r="EN109" i="2"/>
  <c r="DP196" i="7"/>
  <c r="DP197" i="7" s="1"/>
  <c r="DS58" i="3"/>
  <c r="DS62" i="3"/>
  <c r="DQ75" i="3"/>
  <c r="DS75" i="3"/>
  <c r="ES115" i="82"/>
  <c r="EU51" i="82"/>
  <c r="EU56" i="82"/>
  <c r="EU52" i="82"/>
  <c r="EU65" i="82" s="1"/>
  <c r="EU111" i="82"/>
  <c r="EV111" i="82"/>
  <c r="ES98" i="82"/>
  <c r="EU86" i="82"/>
  <c r="EU105" i="82"/>
  <c r="EU95" i="82"/>
  <c r="EU96" i="82"/>
  <c r="ES112" i="82"/>
  <c r="EU64" i="1"/>
  <c r="ET66" i="1"/>
  <c r="ES126" i="1"/>
  <c r="ET132" i="2"/>
  <c r="ES132" i="2"/>
  <c r="ES69" i="82"/>
  <c r="DP9" i="3"/>
  <c r="DP75" i="7"/>
  <c r="ES17" i="2"/>
  <c r="ES86" i="2"/>
  <c r="ET86" i="2"/>
  <c r="EN35" i="82"/>
  <c r="EN36" i="82"/>
  <c r="EN152" i="82"/>
  <c r="EP152" i="82" s="1"/>
  <c r="EN33" i="82"/>
  <c r="EN37" i="2"/>
  <c r="EN178" i="2"/>
  <c r="EN160" i="2"/>
  <c r="EN42" i="2"/>
  <c r="EN77" i="2"/>
  <c r="EN217" i="2"/>
  <c r="EN48" i="2"/>
  <c r="EN50" i="2" s="1"/>
  <c r="EN159" i="2"/>
  <c r="EN158" i="2"/>
  <c r="EN177" i="2"/>
  <c r="EN176" i="2"/>
  <c r="EN174" i="2"/>
  <c r="EN173" i="2"/>
  <c r="EN156" i="2"/>
  <c r="EN155" i="2"/>
  <c r="EN136" i="2"/>
  <c r="EN74" i="2"/>
  <c r="EN206" i="2"/>
  <c r="EN57" i="2"/>
  <c r="ES99" i="82"/>
  <c r="ES131" i="2"/>
  <c r="ES20" i="2"/>
  <c r="ES24" i="2"/>
  <c r="ES169" i="82"/>
  <c r="ES63" i="2"/>
  <c r="DU80" i="7"/>
  <c r="DU103" i="7" s="1"/>
  <c r="ES23" i="2"/>
  <c r="ES12" i="2"/>
  <c r="EX102" i="1"/>
  <c r="EW103" i="1"/>
  <c r="ES13" i="82"/>
  <c r="ES14" i="82" s="1"/>
  <c r="ES150" i="82" s="1"/>
  <c r="EU122" i="1"/>
  <c r="EP65" i="82"/>
  <c r="DS177" i="7"/>
  <c r="EP187" i="82"/>
  <c r="ES130" i="82"/>
  <c r="EP64" i="82"/>
  <c r="DR84" i="7"/>
  <c r="DR88" i="7" s="1"/>
  <c r="DR85" i="7" s="1"/>
  <c r="DS61" i="3"/>
  <c r="ET57" i="82"/>
  <c r="DR99" i="7"/>
  <c r="DR103" i="7" s="1"/>
  <c r="DR100" i="7" s="1"/>
  <c r="DS65" i="3"/>
  <c r="ES56" i="82"/>
  <c r="ES44" i="82"/>
  <c r="ES42" i="82"/>
  <c r="ES187" i="82"/>
  <c r="ET40" i="82"/>
  <c r="ET11" i="82"/>
  <c r="ET169" i="82"/>
  <c r="DV80" i="7"/>
  <c r="ET85" i="1"/>
  <c r="ET87" i="1" s="1"/>
  <c r="ET65" i="1"/>
  <c r="ET124" i="1"/>
  <c r="ET126" i="1" s="1"/>
  <c r="ET20" i="2"/>
  <c r="ET12" i="2"/>
  <c r="ET23" i="2"/>
  <c r="ET24" i="2"/>
  <c r="ET17" i="2"/>
  <c r="ET63" i="2"/>
  <c r="ET131" i="2"/>
  <c r="ES125" i="1"/>
  <c r="ES127" i="1"/>
  <c r="EM130" i="1"/>
  <c r="E91" i="112"/>
  <c r="T55" i="112" s="1"/>
  <c r="C11" i="112"/>
  <c r="EN300" i="2"/>
  <c r="EP134" i="2"/>
  <c r="EP144" i="2"/>
  <c r="EP138" i="2"/>
  <c r="EN302" i="2"/>
  <c r="EP141" i="2"/>
  <c r="EN304" i="2"/>
  <c r="E75" i="112"/>
  <c r="T51" i="112" s="1"/>
  <c r="C9" i="112"/>
  <c r="J8" i="15"/>
  <c r="EP301" i="2"/>
  <c r="EP147" i="2"/>
  <c r="EN309" i="2"/>
  <c r="EN306" i="2"/>
  <c r="EP391" i="2"/>
  <c r="EO154" i="2"/>
  <c r="EK182" i="82"/>
  <c r="EK184" i="82" s="1"/>
  <c r="EK136" i="82"/>
  <c r="EK111" i="2"/>
  <c r="EO34" i="82"/>
  <c r="EO35" i="82" s="1"/>
  <c r="EM109" i="2"/>
  <c r="EM104" i="2"/>
  <c r="EI214" i="2"/>
  <c r="EM213" i="2"/>
  <c r="EJ112" i="2"/>
  <c r="DL83" i="3"/>
  <c r="DL88" i="3"/>
  <c r="EL104" i="2"/>
  <c r="DL91" i="3"/>
  <c r="DK83" i="3"/>
  <c r="DK91" i="3"/>
  <c r="DK88" i="3"/>
  <c r="DM91" i="3"/>
  <c r="EP69" i="2"/>
  <c r="EL109" i="2"/>
  <c r="EL130" i="1"/>
  <c r="DR73" i="3"/>
  <c r="EO20" i="82"/>
  <c r="DR176" i="7"/>
  <c r="EP285" i="2"/>
  <c r="EI112" i="2"/>
  <c r="EO135" i="1"/>
  <c r="EO137" i="1" s="1"/>
  <c r="Z73" i="113"/>
  <c r="DQ70" i="3"/>
  <c r="DQ72" i="3" s="1"/>
  <c r="DQ23" i="3"/>
  <c r="DQ74" i="3"/>
  <c r="DQ81" i="3"/>
  <c r="DQ168" i="7"/>
  <c r="EO57" i="2"/>
  <c r="Z186" i="113"/>
  <c r="Z443" i="113" s="1"/>
  <c r="Z447" i="113" s="1"/>
  <c r="Z156" i="113"/>
  <c r="EO172" i="2"/>
  <c r="EO175" i="2"/>
  <c r="EQ177" i="2" s="1"/>
  <c r="EO152" i="2"/>
  <c r="EO157" i="2"/>
  <c r="EQ159" i="2" s="1"/>
  <c r="EO170" i="2"/>
  <c r="EO72" i="2"/>
  <c r="EP118" i="2"/>
  <c r="EO73" i="2"/>
  <c r="EO326" i="2"/>
  <c r="EO321" i="2"/>
  <c r="EO330" i="2" s="1"/>
  <c r="EO179" i="82"/>
  <c r="EO182" i="82" s="1"/>
  <c r="EO281" i="2"/>
  <c r="EO310" i="2" s="1"/>
  <c r="EO74" i="2"/>
  <c r="EO136" i="2"/>
  <c r="EP303" i="2"/>
  <c r="EO206" i="2"/>
  <c r="EQ208" i="2" s="1"/>
  <c r="DR90" i="7"/>
  <c r="DR91" i="7" s="1"/>
  <c r="EP121" i="2"/>
  <c r="DQ50" i="7"/>
  <c r="EP130" i="82"/>
  <c r="DR11" i="3"/>
  <c r="DQ65" i="3"/>
  <c r="EP136" i="1"/>
  <c r="DR63" i="3"/>
  <c r="DQ58" i="3"/>
  <c r="DQ61" i="3"/>
  <c r="EO211" i="2"/>
  <c r="EO168" i="2"/>
  <c r="EH214" i="2"/>
  <c r="EO25" i="82"/>
  <c r="EP127" i="2"/>
  <c r="EN171" i="82"/>
  <c r="EN220" i="2"/>
  <c r="EN223" i="2" s="1"/>
  <c r="EN317" i="2"/>
  <c r="EO94" i="2"/>
  <c r="EP17" i="82"/>
  <c r="DR167" i="7"/>
  <c r="EH335" i="1"/>
  <c r="EP124" i="2"/>
  <c r="EP299" i="2"/>
  <c r="EP58" i="82"/>
  <c r="DR38" i="7"/>
  <c r="EP115" i="2"/>
  <c r="DR172" i="7"/>
  <c r="EP305" i="2"/>
  <c r="DQ62" i="3"/>
  <c r="EP128" i="1"/>
  <c r="EP134" i="1"/>
  <c r="EP133" i="1"/>
  <c r="EO130" i="1"/>
  <c r="EP288" i="2"/>
  <c r="EP308" i="2"/>
  <c r="EP150" i="2"/>
  <c r="EP65" i="2"/>
  <c r="EP27" i="2"/>
  <c r="EP166" i="2"/>
  <c r="U137" i="113"/>
  <c r="U155" i="113" s="1"/>
  <c r="EP209" i="2"/>
  <c r="EP180" i="82"/>
  <c r="EP126" i="82" s="1"/>
  <c r="EO108" i="2"/>
  <c r="EP108" i="2" s="1"/>
  <c r="EO106" i="2"/>
  <c r="EP106" i="2" s="1"/>
  <c r="EO107" i="2"/>
  <c r="EP107" i="2" s="1"/>
  <c r="EO103" i="2"/>
  <c r="EP103" i="2" s="1"/>
  <c r="EO105" i="2"/>
  <c r="EP105" i="2" s="1"/>
  <c r="EH112" i="2"/>
  <c r="U58" i="113"/>
  <c r="U431" i="113" s="1"/>
  <c r="EH80" i="2"/>
  <c r="EH97" i="2"/>
  <c r="EK48" i="2"/>
  <c r="EH82" i="2"/>
  <c r="EH98" i="2"/>
  <c r="U425" i="113"/>
  <c r="U429" i="113" s="1"/>
  <c r="EK118" i="82"/>
  <c r="EG112" i="2"/>
  <c r="AB65" i="113"/>
  <c r="E76" i="112" s="1"/>
  <c r="T52" i="112" s="1"/>
  <c r="AB103" i="113"/>
  <c r="CY195" i="7"/>
  <c r="CY197" i="7" s="1"/>
  <c r="DC197" i="7" s="1"/>
  <c r="DC198" i="7" s="1"/>
  <c r="AB48" i="113"/>
  <c r="AB49" i="113" s="1"/>
  <c r="E77" i="112" s="1"/>
  <c r="AB114" i="113"/>
  <c r="AB115" i="113" s="1"/>
  <c r="AB88" i="113" s="1"/>
  <c r="AB104" i="113"/>
  <c r="E86" i="112" s="1"/>
  <c r="EK76" i="82"/>
  <c r="AB341" i="113"/>
  <c r="AB51" i="113"/>
  <c r="AB146" i="113"/>
  <c r="E92" i="112" s="1"/>
  <c r="T56" i="112" s="1"/>
  <c r="AB141" i="113"/>
  <c r="AB343" i="113"/>
  <c r="AB125" i="113"/>
  <c r="AB124" i="113" s="1"/>
  <c r="Z235" i="113"/>
  <c r="EK70" i="82"/>
  <c r="EK59" i="82"/>
  <c r="EV45" i="1"/>
  <c r="EV43" i="1" s="1"/>
  <c r="AA354" i="113"/>
  <c r="AA213" i="113"/>
  <c r="AA174" i="113" s="1"/>
  <c r="AA353" i="113" s="1"/>
  <c r="U209" i="113"/>
  <c r="U184" i="113"/>
  <c r="EH188" i="82"/>
  <c r="EK116" i="82"/>
  <c r="I10" i="15"/>
  <c r="FG57" i="2"/>
  <c r="FC57" i="2"/>
  <c r="EK164" i="2"/>
  <c r="EK179" i="2"/>
  <c r="EK76" i="2"/>
  <c r="EK161" i="2"/>
  <c r="EK182" i="2"/>
  <c r="W30" i="11"/>
  <c r="EK334" i="1"/>
  <c r="EK335" i="1" s="1"/>
  <c r="Z42" i="113"/>
  <c r="Z38" i="113"/>
  <c r="Z460" i="113"/>
  <c r="Z462" i="113"/>
  <c r="Z458" i="113"/>
  <c r="Z459" i="113"/>
  <c r="R37" i="11"/>
  <c r="R38" i="11" s="1"/>
  <c r="R34" i="11"/>
  <c r="R35" i="11" s="1"/>
  <c r="R36" i="11"/>
  <c r="FD24" i="2"/>
  <c r="FH24" i="2"/>
  <c r="FH23" i="2"/>
  <c r="FD23" i="2"/>
  <c r="AA273" i="113"/>
  <c r="AA278" i="113"/>
  <c r="AA277" i="113" s="1"/>
  <c r="AA251" i="113" s="1"/>
  <c r="EV59" i="1"/>
  <c r="EV17" i="1"/>
  <c r="EV15" i="1" s="1"/>
  <c r="EV31" i="1"/>
  <c r="EV29" i="1" s="1"/>
  <c r="EK30" i="82"/>
  <c r="AA105" i="113"/>
  <c r="FH12" i="2"/>
  <c r="FD12" i="2"/>
  <c r="AA11" i="113"/>
  <c r="AA370" i="113" s="1"/>
  <c r="AA267" i="113"/>
  <c r="AA363" i="113"/>
  <c r="CM52" i="3"/>
  <c r="DM55" i="7"/>
  <c r="DQ55" i="7" s="1"/>
  <c r="DR55" i="7" s="1"/>
  <c r="DS55" i="7" s="1"/>
  <c r="DT55" i="7" s="1"/>
  <c r="CT51" i="3"/>
  <c r="CX51" i="3"/>
  <c r="EK158" i="2"/>
  <c r="Z232" i="113"/>
  <c r="Z176" i="113"/>
  <c r="Z216" i="113"/>
  <c r="FH20" i="2"/>
  <c r="FD20" i="2"/>
  <c r="DM105" i="7"/>
  <c r="I16" i="15"/>
  <c r="EK176" i="2"/>
  <c r="EV10" i="1"/>
  <c r="Z239" i="113"/>
  <c r="Z188" i="113"/>
  <c r="C99" i="112" s="1"/>
  <c r="Z243" i="113"/>
  <c r="AA254" i="113"/>
  <c r="AA30" i="113"/>
  <c r="AA40" i="113"/>
  <c r="AA365" i="113"/>
  <c r="AA360" i="113"/>
  <c r="AA359" i="113"/>
  <c r="AA361" i="113"/>
  <c r="FH17" i="2"/>
  <c r="FD17" i="2"/>
  <c r="CP51" i="3"/>
  <c r="CO54" i="3"/>
  <c r="AA99" i="113"/>
  <c r="D87" i="112" s="1"/>
  <c r="EH213" i="2"/>
  <c r="U109" i="113"/>
  <c r="U432" i="113"/>
  <c r="V109" i="113"/>
  <c r="AB248" i="113"/>
  <c r="Z464" i="113"/>
  <c r="AA151" i="113"/>
  <c r="AA130" i="113"/>
  <c r="AA274" i="113"/>
  <c r="AA279" i="113"/>
  <c r="AA75" i="113"/>
  <c r="EK403" i="82"/>
  <c r="EK411" i="82"/>
  <c r="EK377" i="82"/>
  <c r="EK367" i="82"/>
  <c r="EK368" i="82" s="1"/>
  <c r="ET67" i="1" l="1"/>
  <c r="EU11" i="82"/>
  <c r="EU13" i="82" s="1"/>
  <c r="EU14" i="82" s="1"/>
  <c r="EU85" i="1"/>
  <c r="EU87" i="1" s="1"/>
  <c r="EN110" i="2"/>
  <c r="ET13" i="2"/>
  <c r="ET166" i="2" s="1"/>
  <c r="DP19" i="3"/>
  <c r="DP77" i="3" s="1"/>
  <c r="EQ95" i="2"/>
  <c r="EU64" i="82"/>
  <c r="ET115" i="82"/>
  <c r="EU115" i="82" s="1"/>
  <c r="EU98" i="82"/>
  <c r="EU87" i="82"/>
  <c r="EU99" i="82" s="1"/>
  <c r="EU112" i="82"/>
  <c r="EU65" i="1"/>
  <c r="DQ174" i="7"/>
  <c r="ER67" i="1"/>
  <c r="EQ67" i="1"/>
  <c r="EU124" i="1"/>
  <c r="EU127" i="1" s="1"/>
  <c r="EU128" i="1" s="1"/>
  <c r="ES67" i="1"/>
  <c r="DT92" i="3"/>
  <c r="DS92" i="3"/>
  <c r="EO155" i="2"/>
  <c r="EQ156" i="2"/>
  <c r="DU73" i="3"/>
  <c r="ES129" i="1"/>
  <c r="ES277" i="2"/>
  <c r="ES276" i="2"/>
  <c r="EU17" i="2"/>
  <c r="ES66" i="2"/>
  <c r="ES137" i="2"/>
  <c r="ES138" i="2" s="1"/>
  <c r="ET89" i="2"/>
  <c r="ES89" i="2"/>
  <c r="ES92" i="2"/>
  <c r="ET92" i="2"/>
  <c r="ES13" i="2"/>
  <c r="ET87" i="2"/>
  <c r="ES87" i="2"/>
  <c r="ES143" i="2"/>
  <c r="ET91" i="2"/>
  <c r="ES91" i="2"/>
  <c r="ES140" i="2"/>
  <c r="ES90" i="2"/>
  <c r="ET90" i="2"/>
  <c r="EN154" i="82"/>
  <c r="EN156" i="82" s="1"/>
  <c r="EN157" i="82" s="1"/>
  <c r="EN150" i="82"/>
  <c r="ES160" i="82" s="1"/>
  <c r="EN334" i="1"/>
  <c r="EN335" i="1" s="1"/>
  <c r="EN51" i="2"/>
  <c r="EN81" i="2"/>
  <c r="EN43" i="2"/>
  <c r="EN79" i="2"/>
  <c r="EN96" i="2"/>
  <c r="EN78" i="2"/>
  <c r="EN208" i="2"/>
  <c r="EN207" i="2"/>
  <c r="EN212" i="2"/>
  <c r="EN179" i="2"/>
  <c r="EN161" i="2"/>
  <c r="EN76" i="2"/>
  <c r="EN182" i="2"/>
  <c r="EN164" i="2"/>
  <c r="EN95" i="2"/>
  <c r="ES146" i="2"/>
  <c r="ES67" i="2"/>
  <c r="ES64" i="2"/>
  <c r="ES133" i="2"/>
  <c r="ES280" i="2"/>
  <c r="ES46" i="2"/>
  <c r="ES48" i="2" s="1"/>
  <c r="ES56" i="2"/>
  <c r="ES180" i="82" s="1"/>
  <c r="EU24" i="2"/>
  <c r="ES75" i="2"/>
  <c r="DU90" i="7"/>
  <c r="DU29" i="7" s="1"/>
  <c r="ES278" i="2"/>
  <c r="DU93" i="7"/>
  <c r="DU30" i="7" s="1"/>
  <c r="ES203" i="2"/>
  <c r="ES205" i="2" s="1"/>
  <c r="ES68" i="2"/>
  <c r="DU81" i="7"/>
  <c r="DU82" i="7" s="1"/>
  <c r="DU73" i="7" s="1"/>
  <c r="ES26" i="2"/>
  <c r="EU23" i="2"/>
  <c r="DU169" i="7"/>
  <c r="DU88" i="7"/>
  <c r="DU84" i="7" s="1"/>
  <c r="DU15" i="7" s="1"/>
  <c r="ES275" i="2"/>
  <c r="ES292" i="2" s="1"/>
  <c r="DU95" i="7"/>
  <c r="DU31" i="7" s="1"/>
  <c r="DU97" i="7"/>
  <c r="DU32" i="7" s="1"/>
  <c r="DU64" i="3" s="1"/>
  <c r="ES70" i="2"/>
  <c r="DS66" i="3"/>
  <c r="DS18" i="3" s="1"/>
  <c r="ET13" i="82"/>
  <c r="ET14" i="82" s="1"/>
  <c r="ET150" i="82" s="1"/>
  <c r="ET160" i="82" s="1"/>
  <c r="ES152" i="82"/>
  <c r="EU12" i="2"/>
  <c r="EX103" i="1"/>
  <c r="EY102" i="1"/>
  <c r="EY103" i="1" s="1"/>
  <c r="ES61" i="82"/>
  <c r="ES17" i="82"/>
  <c r="DV90" i="7"/>
  <c r="DV88" i="7"/>
  <c r="DV103" i="7"/>
  <c r="DV81" i="7"/>
  <c r="DV95" i="7"/>
  <c r="DV31" i="7" s="1"/>
  <c r="DW31" i="7" s="1"/>
  <c r="DW95" i="7" s="1"/>
  <c r="DV93" i="7"/>
  <c r="DV30" i="7" s="1"/>
  <c r="DV97" i="7"/>
  <c r="DV32" i="7" s="1"/>
  <c r="DV169" i="7"/>
  <c r="ET44" i="82"/>
  <c r="ET42" i="82"/>
  <c r="ET56" i="82"/>
  <c r="ET69" i="82"/>
  <c r="DU99" i="7"/>
  <c r="DU33" i="7" s="1"/>
  <c r="DU101" i="7"/>
  <c r="DU42" i="7" s="1"/>
  <c r="ES43" i="82"/>
  <c r="ES58" i="82"/>
  <c r="ES128" i="1"/>
  <c r="ES133" i="1"/>
  <c r="ES134" i="1"/>
  <c r="ET125" i="1"/>
  <c r="ET127" i="1"/>
  <c r="DV73" i="3" s="1"/>
  <c r="ET140" i="2"/>
  <c r="ET277" i="2"/>
  <c r="ET67" i="2"/>
  <c r="ES136" i="1"/>
  <c r="ET26" i="2"/>
  <c r="ET276" i="2"/>
  <c r="ET137" i="2"/>
  <c r="ET66" i="2"/>
  <c r="EU20" i="2"/>
  <c r="ET280" i="2"/>
  <c r="ET146" i="2"/>
  <c r="ET56" i="2"/>
  <c r="ET46" i="2"/>
  <c r="ET48" i="2" s="1"/>
  <c r="ET75" i="2"/>
  <c r="ET143" i="2"/>
  <c r="ET278" i="2"/>
  <c r="ET68" i="2"/>
  <c r="ET133" i="2"/>
  <c r="ET275" i="2"/>
  <c r="ET70" i="2"/>
  <c r="ET64" i="2"/>
  <c r="ET203" i="2"/>
  <c r="EP210" i="2"/>
  <c r="EP309" i="2"/>
  <c r="EU8" i="2"/>
  <c r="EU41" i="82" s="1"/>
  <c r="E103" i="112"/>
  <c r="T59" i="112" s="1"/>
  <c r="C13" i="112"/>
  <c r="G13" i="112" s="1"/>
  <c r="EP167" i="2"/>
  <c r="EO173" i="2"/>
  <c r="EP302" i="2"/>
  <c r="EO311" i="2"/>
  <c r="EO331" i="2"/>
  <c r="EM110" i="2"/>
  <c r="DQ32" i="3"/>
  <c r="DL85" i="3"/>
  <c r="DL100" i="3"/>
  <c r="DL87" i="3"/>
  <c r="DL84" i="3"/>
  <c r="DL89" i="3"/>
  <c r="DK85" i="3"/>
  <c r="DL93" i="3"/>
  <c r="DM93" i="3"/>
  <c r="DK87" i="3"/>
  <c r="DK93" i="3"/>
  <c r="DK84" i="3"/>
  <c r="DK100" i="3"/>
  <c r="DK89" i="3"/>
  <c r="DR92" i="3"/>
  <c r="DQ92" i="3"/>
  <c r="EL110" i="2"/>
  <c r="EO212" i="2"/>
  <c r="EQ214" i="2" s="1"/>
  <c r="EO19" i="82"/>
  <c r="EO33" i="82"/>
  <c r="FA15" i="1"/>
  <c r="FA43" i="1"/>
  <c r="FA29" i="1"/>
  <c r="DR76" i="3"/>
  <c r="EK144" i="82"/>
  <c r="EK145" i="82" s="1"/>
  <c r="DR70" i="3"/>
  <c r="DQ71" i="3"/>
  <c r="Z201" i="113"/>
  <c r="EO76" i="2"/>
  <c r="EO161" i="2"/>
  <c r="EQ163" i="2" s="1"/>
  <c r="EO179" i="2"/>
  <c r="EQ181" i="2" s="1"/>
  <c r="EO184" i="82"/>
  <c r="EO182" i="2"/>
  <c r="EO164" i="2"/>
  <c r="EO176" i="2"/>
  <c r="EO158" i="2"/>
  <c r="DR92" i="7"/>
  <c r="EO207" i="2"/>
  <c r="DR50" i="7"/>
  <c r="DR58" i="3"/>
  <c r="DR23" i="3"/>
  <c r="DR65" i="3"/>
  <c r="DQ175" i="7"/>
  <c r="DR81" i="3"/>
  <c r="DR74" i="3"/>
  <c r="DR61" i="3"/>
  <c r="DR62" i="3"/>
  <c r="DQ66" i="3"/>
  <c r="DQ18" i="3" s="1"/>
  <c r="EO171" i="2"/>
  <c r="EO153" i="2"/>
  <c r="EP135" i="1"/>
  <c r="EP137" i="1" s="1"/>
  <c r="U433" i="113"/>
  <c r="V155" i="113"/>
  <c r="EK31" i="82"/>
  <c r="DR89" i="7"/>
  <c r="DR87" i="7"/>
  <c r="EN315" i="2"/>
  <c r="EN324" i="2" s="1"/>
  <c r="EN321" i="2"/>
  <c r="EN330" i="2" s="1"/>
  <c r="EN326" i="2"/>
  <c r="DR168" i="7"/>
  <c r="DR178" i="7" s="1"/>
  <c r="EN170" i="82"/>
  <c r="EN179" i="82"/>
  <c r="EN182" i="82" s="1"/>
  <c r="EN281" i="2"/>
  <c r="EN310" i="2" s="1"/>
  <c r="EP28" i="2"/>
  <c r="EP44" i="82"/>
  <c r="EP74" i="82" s="1"/>
  <c r="EP73" i="82" s="1"/>
  <c r="EP24" i="82"/>
  <c r="EP138" i="82"/>
  <c r="EP137" i="82"/>
  <c r="DR104" i="7"/>
  <c r="DR102" i="7"/>
  <c r="EP20" i="82"/>
  <c r="EO26" i="82"/>
  <c r="EK127" i="82"/>
  <c r="EP21" i="82"/>
  <c r="EP171" i="82"/>
  <c r="EP170" i="82" s="1"/>
  <c r="EP317" i="2"/>
  <c r="EP220" i="2"/>
  <c r="EP223" i="2" s="1"/>
  <c r="EP151" i="2"/>
  <c r="EP29" i="2"/>
  <c r="EP169" i="2"/>
  <c r="EP71" i="2"/>
  <c r="EP54" i="2"/>
  <c r="EO109" i="2"/>
  <c r="EP109" i="2" s="1"/>
  <c r="EO104" i="2"/>
  <c r="EP104" i="2" s="1"/>
  <c r="EV44" i="1"/>
  <c r="U72" i="113"/>
  <c r="V72" i="113"/>
  <c r="E93" i="112"/>
  <c r="V55" i="112" s="1"/>
  <c r="EK133" i="82"/>
  <c r="Z295" i="113"/>
  <c r="Z304" i="113" s="1"/>
  <c r="C111" i="112" s="1"/>
  <c r="AB66" i="113"/>
  <c r="AB158" i="113"/>
  <c r="AB77" i="113"/>
  <c r="AB147" i="113"/>
  <c r="AB128" i="113"/>
  <c r="AB150" i="113" s="1"/>
  <c r="AB50" i="113"/>
  <c r="AA12" i="113"/>
  <c r="AA32" i="113" s="1"/>
  <c r="AB67" i="113"/>
  <c r="E78" i="112" s="1"/>
  <c r="AB69" i="113"/>
  <c r="AC173" i="113"/>
  <c r="EV82" i="1"/>
  <c r="EW46" i="1"/>
  <c r="AA357" i="113"/>
  <c r="AA175" i="113"/>
  <c r="AA195" i="113" s="1"/>
  <c r="CT52" i="3"/>
  <c r="AA268" i="113"/>
  <c r="AA372" i="113"/>
  <c r="FD56" i="2"/>
  <c r="FH56" i="2"/>
  <c r="AA23" i="113"/>
  <c r="EK162" i="2"/>
  <c r="EV30" i="1"/>
  <c r="EW32" i="1"/>
  <c r="EV80" i="1"/>
  <c r="AC84" i="113"/>
  <c r="EV99" i="1"/>
  <c r="FA99" i="1" s="1"/>
  <c r="EK131" i="82"/>
  <c r="EK141" i="82"/>
  <c r="EK117" i="82"/>
  <c r="EK132" i="82" s="1"/>
  <c r="FD26" i="2"/>
  <c r="FH26" i="2"/>
  <c r="CM54" i="3"/>
  <c r="CN53" i="3"/>
  <c r="AA374" i="113"/>
  <c r="AA31" i="113"/>
  <c r="AA368" i="113"/>
  <c r="AC121" i="113"/>
  <c r="AH121" i="113" s="1"/>
  <c r="EV79" i="1"/>
  <c r="EV16" i="1"/>
  <c r="EW18" i="1"/>
  <c r="I11" i="15"/>
  <c r="I12" i="15"/>
  <c r="AA152" i="113"/>
  <c r="AA164" i="113"/>
  <c r="AB261" i="113"/>
  <c r="DH195" i="7"/>
  <c r="DD195" i="7"/>
  <c r="DD197" i="7" s="1"/>
  <c r="DH197" i="7" s="1"/>
  <c r="EV493" i="1"/>
  <c r="EV57" i="1"/>
  <c r="AA212" i="113"/>
  <c r="AA230" i="113" s="1"/>
  <c r="EK180" i="2"/>
  <c r="AB106" i="113"/>
  <c r="AB87" i="113"/>
  <c r="DM20" i="7"/>
  <c r="AA369" i="113"/>
  <c r="EP55" i="2"/>
  <c r="U434" i="113"/>
  <c r="U200" i="113"/>
  <c r="V200" i="113"/>
  <c r="AB266" i="113"/>
  <c r="E104" i="112" s="1"/>
  <c r="T60" i="112" s="1"/>
  <c r="AB345" i="113"/>
  <c r="AB250" i="113"/>
  <c r="AB249" i="113" s="1"/>
  <c r="AA112" i="113"/>
  <c r="FD13" i="2"/>
  <c r="FH13" i="2"/>
  <c r="Z461" i="113"/>
  <c r="Z207" i="113"/>
  <c r="C100" i="112" s="1"/>
  <c r="Z203" i="113"/>
  <c r="CX52" i="3"/>
  <c r="AA252" i="113"/>
  <c r="AB262" i="113"/>
  <c r="AA256" i="113"/>
  <c r="AA271" i="113"/>
  <c r="AA263" i="113"/>
  <c r="D105" i="112" s="1"/>
  <c r="AA285" i="113"/>
  <c r="Z217" i="113"/>
  <c r="Z234" i="113" s="1"/>
  <c r="Z233" i="113"/>
  <c r="Z242" i="113"/>
  <c r="EK122" i="82"/>
  <c r="CP52" i="3"/>
  <c r="EV24" i="1"/>
  <c r="EV38" i="1" s="1"/>
  <c r="EV8" i="1"/>
  <c r="Z371" i="113"/>
  <c r="Z375" i="113" s="1"/>
  <c r="Z196" i="113"/>
  <c r="Z177" i="113"/>
  <c r="EK120" i="82"/>
  <c r="EK112" i="2"/>
  <c r="ET65" i="2" l="1"/>
  <c r="ET150" i="2"/>
  <c r="ET205" i="2"/>
  <c r="ET293" i="2"/>
  <c r="DP50" i="3"/>
  <c r="ET105" i="2"/>
  <c r="ET294" i="2"/>
  <c r="ES65" i="2"/>
  <c r="DP20" i="3"/>
  <c r="DP80" i="3"/>
  <c r="DP83" i="3" s="1"/>
  <c r="DS105" i="7"/>
  <c r="ET296" i="2"/>
  <c r="ET187" i="82"/>
  <c r="ET130" i="82"/>
  <c r="EU130" i="82"/>
  <c r="EU187" i="82"/>
  <c r="EU69" i="82"/>
  <c r="EU57" i="82"/>
  <c r="EU42" i="82"/>
  <c r="EU58" i="82" s="1"/>
  <c r="EN111" i="2"/>
  <c r="EU150" i="82"/>
  <c r="EU163" i="82" s="1"/>
  <c r="EV164" i="82" s="1"/>
  <c r="ES20" i="82"/>
  <c r="ET292" i="2"/>
  <c r="ES301" i="2"/>
  <c r="ES302" i="2" s="1"/>
  <c r="ES293" i="2"/>
  <c r="ES303" i="2"/>
  <c r="ES304" i="2" s="1"/>
  <c r="ES294" i="2"/>
  <c r="ES308" i="2"/>
  <c r="ES309" i="2" s="1"/>
  <c r="ES296" i="2"/>
  <c r="ET295" i="2"/>
  <c r="ES295" i="2"/>
  <c r="DU176" i="7"/>
  <c r="DV75" i="3"/>
  <c r="DU75" i="3"/>
  <c r="ES130" i="1"/>
  <c r="EU134" i="1"/>
  <c r="ES286" i="2"/>
  <c r="EU136" i="1"/>
  <c r="EU125" i="1"/>
  <c r="DU168" i="7"/>
  <c r="EQ130" i="1"/>
  <c r="DU74" i="3"/>
  <c r="DW73" i="3"/>
  <c r="DW81" i="3" s="1"/>
  <c r="DU70" i="3"/>
  <c r="DU72" i="3" s="1"/>
  <c r="DU23" i="3"/>
  <c r="DU81" i="3"/>
  <c r="DU92" i="3" s="1"/>
  <c r="ER130" i="1"/>
  <c r="EU133" i="1"/>
  <c r="ES285" i="2"/>
  <c r="ES289" i="2"/>
  <c r="ET130" i="1"/>
  <c r="ET129" i="1"/>
  <c r="ET145" i="2"/>
  <c r="ES145" i="2"/>
  <c r="ET139" i="2"/>
  <c r="ES139" i="2"/>
  <c r="ET135" i="2"/>
  <c r="ES135" i="2"/>
  <c r="ET142" i="2"/>
  <c r="ES142" i="2"/>
  <c r="ET148" i="2"/>
  <c r="ES148" i="2"/>
  <c r="EU137" i="2"/>
  <c r="EU138" i="2" s="1"/>
  <c r="EU276" i="2"/>
  <c r="EU285" i="2" s="1"/>
  <c r="ET101" i="2"/>
  <c r="ES101" i="2"/>
  <c r="ER101" i="2"/>
  <c r="EQ101" i="2"/>
  <c r="EU66" i="2"/>
  <c r="ES144" i="2"/>
  <c r="EQ108" i="2"/>
  <c r="ER108" i="2"/>
  <c r="ES108" i="2"/>
  <c r="ET108" i="2"/>
  <c r="EU68" i="2"/>
  <c r="EQ107" i="2"/>
  <c r="ER107" i="2"/>
  <c r="ET107" i="2"/>
  <c r="ES107" i="2"/>
  <c r="EQ106" i="2"/>
  <c r="ER106" i="2"/>
  <c r="ES106" i="2"/>
  <c r="ET106" i="2"/>
  <c r="ET27" i="2"/>
  <c r="EQ105" i="2"/>
  <c r="ER105" i="2"/>
  <c r="ES105" i="2"/>
  <c r="ES103" i="2"/>
  <c r="ER103" i="2"/>
  <c r="ET103" i="2"/>
  <c r="EQ103" i="2"/>
  <c r="EP154" i="82"/>
  <c r="ES141" i="2"/>
  <c r="ES166" i="2"/>
  <c r="ET93" i="2"/>
  <c r="ES93" i="2"/>
  <c r="ES150" i="2"/>
  <c r="ES88" i="2"/>
  <c r="ET88" i="2"/>
  <c r="EN160" i="82"/>
  <c r="EN163" i="82"/>
  <c r="EP150" i="82"/>
  <c r="EN97" i="2"/>
  <c r="EN80" i="2"/>
  <c r="ES147" i="2"/>
  <c r="EN82" i="2"/>
  <c r="EN98" i="2"/>
  <c r="EN162" i="2"/>
  <c r="EN163" i="2"/>
  <c r="EN181" i="2"/>
  <c r="EN180" i="2"/>
  <c r="EN214" i="2"/>
  <c r="EN213" i="2"/>
  <c r="ES204" i="2"/>
  <c r="ES209" i="2"/>
  <c r="ES211" i="2" s="1"/>
  <c r="DU15" i="3"/>
  <c r="DU55" i="7" s="1"/>
  <c r="ES134" i="2"/>
  <c r="DW169" i="7"/>
  <c r="DU177" i="7"/>
  <c r="DU11" i="3"/>
  <c r="DU91" i="7"/>
  <c r="EU26" i="2"/>
  <c r="ES287" i="2"/>
  <c r="EU280" i="2"/>
  <c r="EU288" i="2" s="1"/>
  <c r="ES288" i="2"/>
  <c r="DU63" i="3"/>
  <c r="ES305" i="2"/>
  <c r="ES306" i="2" s="1"/>
  <c r="DU86" i="7"/>
  <c r="DU25" i="7" s="1"/>
  <c r="DU61" i="3" s="1"/>
  <c r="ES299" i="2"/>
  <c r="ES300" i="2" s="1"/>
  <c r="EU146" i="2"/>
  <c r="EU147" i="2" s="1"/>
  <c r="ES284" i="2"/>
  <c r="ES290" i="2"/>
  <c r="EU143" i="2"/>
  <c r="EU144" i="2" s="1"/>
  <c r="EU75" i="2"/>
  <c r="ES154" i="82"/>
  <c r="ES27" i="2"/>
  <c r="DU10" i="7"/>
  <c r="EU278" i="2"/>
  <c r="EU305" i="2" s="1"/>
  <c r="EU306" i="2" s="1"/>
  <c r="EU64" i="2"/>
  <c r="EU133" i="2"/>
  <c r="EU134" i="2" s="1"/>
  <c r="ES69" i="2"/>
  <c r="ET152" i="82"/>
  <c r="ET20" i="82" s="1"/>
  <c r="EU70" i="2"/>
  <c r="EU46" i="2"/>
  <c r="EU48" i="2"/>
  <c r="ES135" i="1"/>
  <c r="ES137" i="1" s="1"/>
  <c r="EU275" i="2"/>
  <c r="EU299" i="2" s="1"/>
  <c r="EU300" i="2" s="1"/>
  <c r="DS175" i="7"/>
  <c r="EU168" i="82"/>
  <c r="DV101" i="7"/>
  <c r="DV42" i="7" s="1"/>
  <c r="DW42" i="7" s="1"/>
  <c r="DW101" i="7" s="1"/>
  <c r="DV99" i="7"/>
  <c r="DV33" i="7" s="1"/>
  <c r="DU62" i="3"/>
  <c r="DU38" i="7"/>
  <c r="DV86" i="7"/>
  <c r="DV25" i="7" s="1"/>
  <c r="DW25" i="7" s="1"/>
  <c r="DW86" i="7" s="1"/>
  <c r="DV84" i="7"/>
  <c r="DV15" i="7" s="1"/>
  <c r="DV91" i="7"/>
  <c r="DV29" i="7"/>
  <c r="ET209" i="2"/>
  <c r="ET180" i="82"/>
  <c r="DV15" i="3"/>
  <c r="ES33" i="82"/>
  <c r="DU65" i="3"/>
  <c r="DV176" i="7"/>
  <c r="DV11" i="3"/>
  <c r="DV177" i="7"/>
  <c r="DV74" i="3"/>
  <c r="DV168" i="7"/>
  <c r="DV23" i="3"/>
  <c r="DV70" i="3"/>
  <c r="DV81" i="3"/>
  <c r="DW32" i="7"/>
  <c r="DW97" i="7" s="1"/>
  <c r="DV64" i="3"/>
  <c r="DW64" i="3" s="1"/>
  <c r="ET43" i="82"/>
  <c r="ET58" i="82"/>
  <c r="DV63" i="3"/>
  <c r="DW30" i="7"/>
  <c r="DW93" i="7" s="1"/>
  <c r="ES24" i="82"/>
  <c r="ES70" i="82"/>
  <c r="ES59" i="82"/>
  <c r="ET61" i="82"/>
  <c r="ET17" i="82"/>
  <c r="EQ26" i="82"/>
  <c r="DR71" i="3"/>
  <c r="DW81" i="7"/>
  <c r="DV82" i="7"/>
  <c r="DV73" i="7" s="1"/>
  <c r="DV10" i="7"/>
  <c r="ET299" i="2"/>
  <c r="ET300" i="2" s="1"/>
  <c r="ET290" i="2"/>
  <c r="ET284" i="2"/>
  <c r="ET305" i="2"/>
  <c r="ET306" i="2" s="1"/>
  <c r="ET287" i="2"/>
  <c r="ET144" i="2"/>
  <c r="ET128" i="1"/>
  <c r="ET134" i="1"/>
  <c r="ET133" i="1"/>
  <c r="ET138" i="2"/>
  <c r="ET141" i="2"/>
  <c r="ET204" i="2"/>
  <c r="ET134" i="2"/>
  <c r="EU56" i="2"/>
  <c r="ET147" i="2"/>
  <c r="ET301" i="2"/>
  <c r="ET302" i="2" s="1"/>
  <c r="ET289" i="2"/>
  <c r="ET285" i="2"/>
  <c r="ET308" i="2"/>
  <c r="ET309" i="2" s="1"/>
  <c r="ET288" i="2"/>
  <c r="ET69" i="2"/>
  <c r="ET136" i="1"/>
  <c r="EU390" i="2"/>
  <c r="EU391" i="2" s="1"/>
  <c r="ET167" i="2"/>
  <c r="ET303" i="2"/>
  <c r="ET304" i="2" s="1"/>
  <c r="ET286" i="2"/>
  <c r="EU277" i="2"/>
  <c r="EU140" i="2"/>
  <c r="EU141" i="2" s="1"/>
  <c r="EU67" i="2"/>
  <c r="AH173" i="113"/>
  <c r="F97" i="112"/>
  <c r="EO213" i="2"/>
  <c r="AH84" i="113"/>
  <c r="F83" i="112"/>
  <c r="S59" i="112"/>
  <c r="EN311" i="2"/>
  <c r="EU62" i="2"/>
  <c r="EU130" i="2"/>
  <c r="EU131" i="2" s="1"/>
  <c r="EU203" i="2"/>
  <c r="EU204" i="2" s="1"/>
  <c r="EU9" i="2"/>
  <c r="EP33" i="82"/>
  <c r="EN331" i="2"/>
  <c r="EP34" i="82"/>
  <c r="EM111" i="2"/>
  <c r="DR174" i="7"/>
  <c r="DK94" i="3"/>
  <c r="DK95" i="3"/>
  <c r="DM94" i="3"/>
  <c r="DM95" i="3"/>
  <c r="EL111" i="2"/>
  <c r="DL95" i="3"/>
  <c r="DL94" i="3"/>
  <c r="EO118" i="82"/>
  <c r="EO30" i="82"/>
  <c r="EO31" i="82" s="1"/>
  <c r="FA8" i="1"/>
  <c r="FA57" i="1"/>
  <c r="EP25" i="82"/>
  <c r="EP170" i="2"/>
  <c r="EP152" i="2"/>
  <c r="DR72" i="3"/>
  <c r="EO162" i="2"/>
  <c r="EO180" i="2"/>
  <c r="DR32" i="3"/>
  <c r="EP179" i="82"/>
  <c r="EP182" i="82" s="1"/>
  <c r="DQ105" i="7"/>
  <c r="FI8" i="2"/>
  <c r="FE8" i="2"/>
  <c r="AB9" i="113"/>
  <c r="AB352" i="113" s="1"/>
  <c r="DR171" i="7"/>
  <c r="DS167" i="7" s="1"/>
  <c r="DR66" i="3"/>
  <c r="DR18" i="3" s="1"/>
  <c r="EO159" i="2"/>
  <c r="U438" i="113"/>
  <c r="EO177" i="2"/>
  <c r="EO156" i="2"/>
  <c r="EO208" i="2"/>
  <c r="EO174" i="2"/>
  <c r="EN184" i="82"/>
  <c r="EP366" i="82"/>
  <c r="EP73" i="2"/>
  <c r="EP175" i="2"/>
  <c r="EP157" i="2"/>
  <c r="EP19" i="82"/>
  <c r="EO36" i="82"/>
  <c r="EP75" i="82"/>
  <c r="EP61" i="82"/>
  <c r="EP53" i="82"/>
  <c r="EP43" i="82"/>
  <c r="EP60" i="82" s="1"/>
  <c r="EO95" i="2"/>
  <c r="EP326" i="2"/>
  <c r="EP315" i="2"/>
  <c r="EP324" i="2" s="1"/>
  <c r="EP321" i="2"/>
  <c r="EP330" i="2" s="1"/>
  <c r="EP154" i="2"/>
  <c r="EP72" i="2"/>
  <c r="EP172" i="2"/>
  <c r="EQ174" i="2" s="1"/>
  <c r="EP156" i="82"/>
  <c r="EP157" i="82" s="1"/>
  <c r="EP206" i="2"/>
  <c r="EP136" i="2"/>
  <c r="EP74" i="2"/>
  <c r="EP281" i="2"/>
  <c r="EP310" i="2" s="1"/>
  <c r="EP311" i="2" s="1"/>
  <c r="EP57" i="2"/>
  <c r="EO110" i="2"/>
  <c r="EP110" i="2" s="1"/>
  <c r="AC344" i="113"/>
  <c r="AC172" i="113"/>
  <c r="AC193" i="113" s="1"/>
  <c r="AB68" i="113"/>
  <c r="Z317" i="113"/>
  <c r="Z400" i="113"/>
  <c r="Z294" i="113"/>
  <c r="Z391" i="113" s="1"/>
  <c r="Z311" i="113"/>
  <c r="Z297" i="113"/>
  <c r="AB129" i="113"/>
  <c r="AB130" i="113" s="1"/>
  <c r="AA379" i="113"/>
  <c r="AA377" i="113"/>
  <c r="AA378" i="113"/>
  <c r="AA383" i="113"/>
  <c r="AA41" i="113"/>
  <c r="AC194" i="113"/>
  <c r="F98" i="112" s="1"/>
  <c r="U58" i="112" s="1"/>
  <c r="AA205" i="113"/>
  <c r="AA362" i="113"/>
  <c r="E80" i="112"/>
  <c r="V52" i="112" s="1"/>
  <c r="AB62" i="113"/>
  <c r="AA226" i="113"/>
  <c r="AC126" i="113"/>
  <c r="AC144" i="113"/>
  <c r="AC123" i="113"/>
  <c r="EV100" i="1"/>
  <c r="AC85" i="113"/>
  <c r="AC86" i="113" s="1"/>
  <c r="AA289" i="113"/>
  <c r="D109" i="112" s="1"/>
  <c r="AC342" i="113"/>
  <c r="AC102" i="113"/>
  <c r="F84" i="112" s="1"/>
  <c r="U54" i="112" s="1"/>
  <c r="AA275" i="113"/>
  <c r="AA284" i="113"/>
  <c r="D106" i="112" s="1"/>
  <c r="AB105" i="113"/>
  <c r="AA218" i="113"/>
  <c r="DH198" i="7"/>
  <c r="Z316" i="113"/>
  <c r="C112" i="112" s="1"/>
  <c r="Z310" i="113"/>
  <c r="Z463" i="113"/>
  <c r="Z465" i="113" s="1"/>
  <c r="AA283" i="113"/>
  <c r="AA381" i="113"/>
  <c r="AA269" i="113"/>
  <c r="AA253" i="113"/>
  <c r="AB254" i="113"/>
  <c r="AA225" i="113"/>
  <c r="CT8" i="7"/>
  <c r="CU51" i="3"/>
  <c r="FH27" i="2"/>
  <c r="FD27" i="2"/>
  <c r="EK343" i="1"/>
  <c r="AA14" i="113"/>
  <c r="AA214" i="113"/>
  <c r="EW60" i="1"/>
  <c r="EV491" i="1"/>
  <c r="EV58" i="1"/>
  <c r="EV10" i="82"/>
  <c r="EV84" i="1"/>
  <c r="EV118" i="1"/>
  <c r="FA118" i="1" s="1"/>
  <c r="EV52" i="1"/>
  <c r="EK134" i="82"/>
  <c r="Z299" i="113"/>
  <c r="Z318" i="113" s="1"/>
  <c r="EK123" i="82"/>
  <c r="EK146" i="82"/>
  <c r="AA258" i="113"/>
  <c r="AB273" i="113"/>
  <c r="AB278" i="113"/>
  <c r="AB277" i="113" s="1"/>
  <c r="AB251" i="113" s="1"/>
  <c r="AB252" i="113" s="1"/>
  <c r="EV9" i="1"/>
  <c r="EV90" i="1"/>
  <c r="AC47" i="113"/>
  <c r="EV78" i="1"/>
  <c r="EV81" i="1" s="1"/>
  <c r="EV83" i="1" s="1"/>
  <c r="EV22" i="1"/>
  <c r="EW11" i="1"/>
  <c r="CP8" i="7"/>
  <c r="CQ51" i="3"/>
  <c r="AB279" i="113"/>
  <c r="AB274" i="113"/>
  <c r="DC51" i="3"/>
  <c r="CY51" i="3"/>
  <c r="AB267" i="113"/>
  <c r="EV101" i="1"/>
  <c r="AA37" i="113"/>
  <c r="AA455" i="113"/>
  <c r="AA453" i="113"/>
  <c r="Z206" i="113"/>
  <c r="Z197" i="113"/>
  <c r="Z380" i="113"/>
  <c r="EK341" i="1"/>
  <c r="DU32" i="3" l="1"/>
  <c r="DV32" i="3"/>
  <c r="DP88" i="3"/>
  <c r="ES109" i="2"/>
  <c r="DU50" i="7"/>
  <c r="DU58" i="3"/>
  <c r="DU66" i="3" s="1"/>
  <c r="ET55" i="2"/>
  <c r="ET206" i="2" s="1"/>
  <c r="ES55" i="2"/>
  <c r="EN112" i="2"/>
  <c r="EU20" i="82"/>
  <c r="EU33" i="82" s="1"/>
  <c r="EU17" i="82"/>
  <c r="EU24" i="82" s="1"/>
  <c r="EU25" i="82" s="1"/>
  <c r="ET210" i="2"/>
  <c r="ET211" i="2"/>
  <c r="EU152" i="82"/>
  <c r="EP163" i="82"/>
  <c r="EU164" i="82" s="1"/>
  <c r="EU160" i="82"/>
  <c r="ES156" i="82"/>
  <c r="DW176" i="7"/>
  <c r="DU71" i="3"/>
  <c r="DW70" i="3"/>
  <c r="DW72" i="3" s="1"/>
  <c r="EU135" i="1"/>
  <c r="EU137" i="1" s="1"/>
  <c r="DU174" i="7"/>
  <c r="DU175" i="7"/>
  <c r="DW168" i="7"/>
  <c r="DW174" i="7" s="1"/>
  <c r="DW74" i="3"/>
  <c r="DW76" i="3"/>
  <c r="DW92" i="3"/>
  <c r="DV92" i="3"/>
  <c r="ET71" i="2"/>
  <c r="EU301" i="2"/>
  <c r="EU302" i="2" s="1"/>
  <c r="EU101" i="2"/>
  <c r="EU108" i="2"/>
  <c r="ES210" i="2"/>
  <c r="ET168" i="2"/>
  <c r="ES168" i="2"/>
  <c r="ER102" i="2"/>
  <c r="ET102" i="2"/>
  <c r="ES102" i="2"/>
  <c r="EQ102" i="2"/>
  <c r="EU105" i="2"/>
  <c r="ET317" i="2"/>
  <c r="ET321" i="2" s="1"/>
  <c r="ET330" i="2" s="1"/>
  <c r="ET331" i="2" s="1"/>
  <c r="ET169" i="2"/>
  <c r="ET151" i="2"/>
  <c r="ET29" i="2"/>
  <c r="ET175" i="2" s="1"/>
  <c r="ET220" i="2"/>
  <c r="ET223" i="2" s="1"/>
  <c r="ET28" i="2"/>
  <c r="ET154" i="2" s="1"/>
  <c r="ET21" i="82"/>
  <c r="ET34" i="82" s="1"/>
  <c r="ET54" i="2"/>
  <c r="ET171" i="82"/>
  <c r="ET170" i="82" s="1"/>
  <c r="EU107" i="2"/>
  <c r="EU106" i="2"/>
  <c r="EQ109" i="2"/>
  <c r="ER109" i="2"/>
  <c r="ET109" i="2"/>
  <c r="EU103" i="2"/>
  <c r="ES94" i="2"/>
  <c r="ET94" i="2"/>
  <c r="EN164" i="82"/>
  <c r="ES164" i="82"/>
  <c r="ES167" i="2"/>
  <c r="DP100" i="3"/>
  <c r="DP85" i="3"/>
  <c r="DP87" i="3"/>
  <c r="DP84" i="3"/>
  <c r="DP89" i="3"/>
  <c r="DW63" i="3"/>
  <c r="ES54" i="2"/>
  <c r="EU308" i="2"/>
  <c r="EU309" i="2" s="1"/>
  <c r="ES29" i="2"/>
  <c r="ES157" i="2" s="1"/>
  <c r="ES220" i="2"/>
  <c r="ES223" i="2" s="1"/>
  <c r="ES71" i="2"/>
  <c r="ES21" i="82"/>
  <c r="ES34" i="82" s="1"/>
  <c r="ES169" i="2"/>
  <c r="EU69" i="2"/>
  <c r="ES28" i="2"/>
  <c r="ES154" i="2" s="1"/>
  <c r="ES151" i="2"/>
  <c r="ES317" i="2"/>
  <c r="ES315" i="2" s="1"/>
  <c r="ES324" i="2" s="1"/>
  <c r="ES171" i="82"/>
  <c r="ES170" i="82" s="1"/>
  <c r="EU287" i="2"/>
  <c r="ET154" i="82"/>
  <c r="ET156" i="82" s="1"/>
  <c r="ET157" i="82" s="1"/>
  <c r="DV55" i="7"/>
  <c r="DW55" i="7" s="1"/>
  <c r="EU284" i="2"/>
  <c r="EU290" i="2"/>
  <c r="DW11" i="3"/>
  <c r="EU289" i="2"/>
  <c r="DW15" i="3"/>
  <c r="DW23" i="3"/>
  <c r="ET70" i="82"/>
  <c r="ET59" i="82"/>
  <c r="DW15" i="7"/>
  <c r="DW84" i="7" s="1"/>
  <c r="DW88" i="7" s="1"/>
  <c r="DV61" i="3"/>
  <c r="DW61" i="3" s="1"/>
  <c r="DV174" i="7"/>
  <c r="DV175" i="7"/>
  <c r="DW33" i="7"/>
  <c r="DW99" i="7" s="1"/>
  <c r="DV65" i="3"/>
  <c r="DW65" i="3" s="1"/>
  <c r="EP35" i="82"/>
  <c r="EQ36" i="82"/>
  <c r="ET24" i="82"/>
  <c r="ES25" i="82"/>
  <c r="ES26" i="82"/>
  <c r="ET33" i="82"/>
  <c r="EP66" i="82"/>
  <c r="EU209" i="2"/>
  <c r="EU210" i="2" s="1"/>
  <c r="EU180" i="82"/>
  <c r="EU126" i="82" s="1"/>
  <c r="DW10" i="7"/>
  <c r="DV58" i="3"/>
  <c r="DW167" i="7"/>
  <c r="DS171" i="7"/>
  <c r="DW80" i="7"/>
  <c r="DW83" i="7" s="1"/>
  <c r="DX83" i="7" s="1"/>
  <c r="DY83" i="7" s="1"/>
  <c r="DZ83" i="7" s="1"/>
  <c r="EA83" i="7" s="1"/>
  <c r="EU169" i="82"/>
  <c r="DV72" i="3"/>
  <c r="DV71" i="3"/>
  <c r="DW29" i="7"/>
  <c r="DV62" i="3"/>
  <c r="DW62" i="3" s="1"/>
  <c r="DV38" i="7"/>
  <c r="FA22" i="1"/>
  <c r="EU303" i="2"/>
  <c r="EU304" i="2" s="1"/>
  <c r="EU286" i="2"/>
  <c r="ET135" i="1"/>
  <c r="ET137" i="1" s="1"/>
  <c r="AH86" i="113"/>
  <c r="F85" i="112"/>
  <c r="G85" i="112" s="1"/>
  <c r="EU13" i="2"/>
  <c r="EU63" i="2"/>
  <c r="EU126" i="2"/>
  <c r="EU120" i="2"/>
  <c r="EU117" i="2"/>
  <c r="EU123" i="2"/>
  <c r="EU114" i="2"/>
  <c r="EP158" i="2"/>
  <c r="AH47" i="113"/>
  <c r="F75" i="112"/>
  <c r="AH123" i="113"/>
  <c r="F91" i="112"/>
  <c r="EP173" i="2"/>
  <c r="EP176" i="2"/>
  <c r="U53" i="112"/>
  <c r="G83" i="112"/>
  <c r="U57" i="112"/>
  <c r="G97" i="112"/>
  <c r="EP155" i="2"/>
  <c r="EV80" i="82"/>
  <c r="FA80" i="82" s="1"/>
  <c r="FA10" i="82"/>
  <c r="EM112" i="2"/>
  <c r="CT54" i="3"/>
  <c r="CP54" i="3"/>
  <c r="EL112" i="2"/>
  <c r="EO188" i="82"/>
  <c r="EO120" i="82"/>
  <c r="EO122" i="82" s="1"/>
  <c r="EO134" i="82" s="1"/>
  <c r="EO133" i="82"/>
  <c r="EO144" i="82"/>
  <c r="EO145" i="82" s="1"/>
  <c r="EO116" i="82"/>
  <c r="EO131" i="82" s="1"/>
  <c r="EV105" i="1"/>
  <c r="FA105" i="1" s="1"/>
  <c r="FA90" i="1"/>
  <c r="DI195" i="7"/>
  <c r="DI197" i="7" s="1"/>
  <c r="DM197" i="7" s="1"/>
  <c r="DM195" i="7"/>
  <c r="EP30" i="82"/>
  <c r="EQ32" i="82" s="1"/>
  <c r="EP125" i="82"/>
  <c r="DR105" i="7"/>
  <c r="FE9" i="2"/>
  <c r="AB355" i="113"/>
  <c r="K7" i="15"/>
  <c r="K8" i="15" s="1"/>
  <c r="FI9" i="2"/>
  <c r="Y40" i="11"/>
  <c r="AC40" i="11" s="1"/>
  <c r="AB350" i="113"/>
  <c r="AB29" i="113"/>
  <c r="AB10" i="113"/>
  <c r="AB30" i="113" s="1"/>
  <c r="AB213" i="113"/>
  <c r="AB174" i="113" s="1"/>
  <c r="AB175" i="113" s="1"/>
  <c r="AB205" i="113" s="1"/>
  <c r="AB351" i="113"/>
  <c r="AB354" i="113"/>
  <c r="AB356" i="113"/>
  <c r="EO214" i="2"/>
  <c r="EO163" i="2"/>
  <c r="EO181" i="2"/>
  <c r="EP76" i="82"/>
  <c r="EP118" i="82"/>
  <c r="EN188" i="82"/>
  <c r="EP70" i="82"/>
  <c r="EP59" i="82"/>
  <c r="DQ167" i="7"/>
  <c r="DQ171" i="7" s="1"/>
  <c r="DQ20" i="7" s="1"/>
  <c r="EO32" i="82"/>
  <c r="EP403" i="82"/>
  <c r="EP377" i="82"/>
  <c r="EP367" i="82"/>
  <c r="EP368" i="82" s="1"/>
  <c r="EP411" i="82"/>
  <c r="EP184" i="82"/>
  <c r="EK342" i="1"/>
  <c r="EK344" i="1"/>
  <c r="EP161" i="2"/>
  <c r="EP179" i="2"/>
  <c r="EP182" i="2"/>
  <c r="EP76" i="2"/>
  <c r="EP164" i="2"/>
  <c r="EP207" i="2"/>
  <c r="EP212" i="2"/>
  <c r="EN215" i="2" s="1"/>
  <c r="EO111" i="2"/>
  <c r="EP111" i="2" s="1"/>
  <c r="S61" i="112"/>
  <c r="AB151" i="113"/>
  <c r="E79" i="112"/>
  <c r="V51" i="112" s="1"/>
  <c r="AB75" i="113"/>
  <c r="AB99" i="113"/>
  <c r="E88" i="112"/>
  <c r="V54" i="112" s="1"/>
  <c r="AC148" i="113"/>
  <c r="Z98" i="113"/>
  <c r="Z61" i="113"/>
  <c r="Z140" i="113"/>
  <c r="Z384" i="113"/>
  <c r="AA227" i="113"/>
  <c r="CQ52" i="3"/>
  <c r="CU52" i="3"/>
  <c r="AA280" i="113"/>
  <c r="AA270" i="113"/>
  <c r="AC104" i="113"/>
  <c r="F86" i="112" s="1"/>
  <c r="AC114" i="113"/>
  <c r="AA238" i="113"/>
  <c r="EV92" i="1"/>
  <c r="DC52" i="3"/>
  <c r="EW10" i="1"/>
  <c r="EW45" i="1"/>
  <c r="EW43" i="1" s="1"/>
  <c r="CT66" i="7"/>
  <c r="CT16" i="7"/>
  <c r="AC103" i="113"/>
  <c r="AB212" i="113"/>
  <c r="AB230" i="113" s="1"/>
  <c r="AA235" i="113"/>
  <c r="AA244" i="113"/>
  <c r="CP66" i="7"/>
  <c r="CP16" i="7"/>
  <c r="DN188" i="2"/>
  <c r="EV25" i="1"/>
  <c r="EV26" i="1" s="1"/>
  <c r="EV115" i="1"/>
  <c r="FA115" i="1" s="1"/>
  <c r="EV517" i="1"/>
  <c r="EV23" i="1"/>
  <c r="EV36" i="1"/>
  <c r="EW17" i="1"/>
  <c r="EW15" i="1" s="1"/>
  <c r="FB491" i="1"/>
  <c r="EV492" i="1"/>
  <c r="EV494" i="1"/>
  <c r="EV495" i="1" s="1"/>
  <c r="EW31" i="1"/>
  <c r="EW29" i="1" s="1"/>
  <c r="AA60" i="113"/>
  <c r="AA139" i="113"/>
  <c r="AA97" i="113"/>
  <c r="AA237" i="113"/>
  <c r="CY52" i="3"/>
  <c r="AA231" i="113"/>
  <c r="AA241" i="113"/>
  <c r="AB253" i="113"/>
  <c r="AB283" i="113"/>
  <c r="AB269" i="113"/>
  <c r="AA286" i="113"/>
  <c r="EW59" i="1"/>
  <c r="FD55" i="2"/>
  <c r="FH55" i="2"/>
  <c r="AA22" i="113"/>
  <c r="AA25" i="113" s="1"/>
  <c r="AC65" i="113"/>
  <c r="F76" i="112" s="1"/>
  <c r="U52" i="112" s="1"/>
  <c r="AC341" i="113"/>
  <c r="AC51" i="113"/>
  <c r="AH51" i="113" s="1"/>
  <c r="AB268" i="113"/>
  <c r="EV119" i="1"/>
  <c r="FD54" i="2"/>
  <c r="FH54" i="2"/>
  <c r="AA307" i="113"/>
  <c r="D110" i="112" s="1"/>
  <c r="AA346" i="113"/>
  <c r="AA348" i="113" s="1"/>
  <c r="AA291" i="113"/>
  <c r="AA293" i="113"/>
  <c r="AC141" i="113"/>
  <c r="AC146" i="113"/>
  <c r="F92" i="112" s="1"/>
  <c r="U56" i="112" s="1"/>
  <c r="AC125" i="113"/>
  <c r="AC343" i="113"/>
  <c r="AA303" i="113"/>
  <c r="AA454" i="113" s="1"/>
  <c r="EV93" i="1"/>
  <c r="EV94" i="1" s="1"/>
  <c r="AC48" i="113"/>
  <c r="AC49" i="113" s="1"/>
  <c r="EV91" i="1"/>
  <c r="EK135" i="82"/>
  <c r="Z300" i="113"/>
  <c r="AA34" i="113"/>
  <c r="AA43" i="113"/>
  <c r="AA399" i="113"/>
  <c r="AA13" i="113"/>
  <c r="AA33" i="113" s="1"/>
  <c r="FH29" i="2"/>
  <c r="FD29" i="2"/>
  <c r="AB152" i="113"/>
  <c r="AB164" i="113"/>
  <c r="AB285" i="113"/>
  <c r="AB271" i="113"/>
  <c r="AB263" i="113"/>
  <c r="AB256" i="113"/>
  <c r="ES206" i="2" l="1"/>
  <c r="ES208" i="2" s="1"/>
  <c r="ET281" i="2"/>
  <c r="ET310" i="2" s="1"/>
  <c r="ET311" i="2" s="1"/>
  <c r="ET179" i="82"/>
  <c r="ET208" i="2"/>
  <c r="ET57" i="2"/>
  <c r="ET164" i="2" s="1"/>
  <c r="DW32" i="3"/>
  <c r="ET136" i="2"/>
  <c r="ET74" i="2"/>
  <c r="ES74" i="2"/>
  <c r="ES136" i="2"/>
  <c r="ES281" i="2"/>
  <c r="ES310" i="2" s="1"/>
  <c r="ES311" i="2" s="1"/>
  <c r="ES179" i="82"/>
  <c r="ES182" i="82" s="1"/>
  <c r="DV50" i="7"/>
  <c r="DW178" i="7"/>
  <c r="EU138" i="82"/>
  <c r="EU137" i="82"/>
  <c r="ET152" i="2"/>
  <c r="EU154" i="82"/>
  <c r="ES157" i="82"/>
  <c r="EU156" i="82"/>
  <c r="EU157" i="82" s="1"/>
  <c r="DW71" i="3"/>
  <c r="DW171" i="7"/>
  <c r="ET157" i="2"/>
  <c r="ET158" i="2" s="1"/>
  <c r="ET19" i="82"/>
  <c r="ET73" i="2"/>
  <c r="ET172" i="2"/>
  <c r="ET173" i="2" s="1"/>
  <c r="ET326" i="2"/>
  <c r="ET315" i="2"/>
  <c r="ET324" i="2" s="1"/>
  <c r="ET72" i="2"/>
  <c r="ET170" i="2"/>
  <c r="ET182" i="82"/>
  <c r="ET171" i="2"/>
  <c r="ES171" i="2"/>
  <c r="ES159" i="2"/>
  <c r="ET153" i="2"/>
  <c r="ES153" i="2"/>
  <c r="ET156" i="2"/>
  <c r="ES156" i="2"/>
  <c r="EU102" i="2"/>
  <c r="EU54" i="2"/>
  <c r="EU109" i="2"/>
  <c r="ET104" i="2"/>
  <c r="ER104" i="2"/>
  <c r="ES104" i="2"/>
  <c r="EQ104" i="2"/>
  <c r="ES57" i="2"/>
  <c r="ES326" i="2"/>
  <c r="ES175" i="2"/>
  <c r="ES152" i="2"/>
  <c r="ES73" i="2"/>
  <c r="EU28" i="2"/>
  <c r="EU154" i="2" s="1"/>
  <c r="EU155" i="2" s="1"/>
  <c r="ES321" i="2"/>
  <c r="ES330" i="2" s="1"/>
  <c r="ES331" i="2" s="1"/>
  <c r="ES72" i="2"/>
  <c r="ES172" i="2"/>
  <c r="ES19" i="82"/>
  <c r="ES170" i="2"/>
  <c r="ET179" i="2"/>
  <c r="ET180" i="2" s="1"/>
  <c r="ET161" i="2"/>
  <c r="ET162" i="2" s="1"/>
  <c r="ES207" i="2"/>
  <c r="ES212" i="2"/>
  <c r="DU18" i="3"/>
  <c r="DV66" i="3"/>
  <c r="DV18" i="3" s="1"/>
  <c r="DW58" i="3"/>
  <c r="DW172" i="7"/>
  <c r="DW96" i="7"/>
  <c r="DX96" i="7" s="1"/>
  <c r="DY96" i="7" s="1"/>
  <c r="DZ96" i="7" s="1"/>
  <c r="EA96" i="7" s="1"/>
  <c r="DT167" i="7"/>
  <c r="DT171" i="7" s="1"/>
  <c r="DS20" i="7"/>
  <c r="DW85" i="7"/>
  <c r="DX85" i="7" s="1"/>
  <c r="DW89" i="7"/>
  <c r="DX89" i="7" s="1"/>
  <c r="DY89" i="7" s="1"/>
  <c r="DZ89" i="7" s="1"/>
  <c r="EA89" i="7" s="1"/>
  <c r="DW90" i="7"/>
  <c r="DW38" i="7"/>
  <c r="ET207" i="2"/>
  <c r="ET212" i="2"/>
  <c r="DW98" i="7"/>
  <c r="DX98" i="7" s="1"/>
  <c r="DY98" i="7" s="1"/>
  <c r="DZ98" i="7" s="1"/>
  <c r="EA98" i="7" s="1"/>
  <c r="ET35" i="82"/>
  <c r="ET36" i="82"/>
  <c r="DW103" i="7"/>
  <c r="DW100" i="7" s="1"/>
  <c r="DX100" i="7" s="1"/>
  <c r="DW82" i="7"/>
  <c r="DW73" i="7" s="1"/>
  <c r="DW94" i="7"/>
  <c r="DX94" i="7" s="1"/>
  <c r="DY94" i="7" s="1"/>
  <c r="DZ94" i="7" s="1"/>
  <c r="EA94" i="7" s="1"/>
  <c r="ET26" i="82"/>
  <c r="ET25" i="82"/>
  <c r="DW87" i="7"/>
  <c r="ES35" i="82"/>
  <c r="ES36" i="82"/>
  <c r="ES155" i="2"/>
  <c r="ES158" i="2"/>
  <c r="ET176" i="2"/>
  <c r="ET155" i="2"/>
  <c r="U55" i="112"/>
  <c r="G91" i="112"/>
  <c r="G75" i="112"/>
  <c r="U51" i="112"/>
  <c r="EU121" i="2"/>
  <c r="EV121" i="2"/>
  <c r="AH49" i="113"/>
  <c r="F77" i="112"/>
  <c r="G77" i="112" s="1"/>
  <c r="EU127" i="2"/>
  <c r="EV127" i="2"/>
  <c r="EU118" i="2"/>
  <c r="EV118" i="2"/>
  <c r="EU124" i="2"/>
  <c r="EV124" i="2"/>
  <c r="AH141" i="113"/>
  <c r="E11" i="112"/>
  <c r="G11" i="112" s="1"/>
  <c r="F93" i="112"/>
  <c r="EU150" i="2"/>
  <c r="EU27" i="2"/>
  <c r="EU166" i="2"/>
  <c r="EU167" i="2" s="1"/>
  <c r="EU65" i="2"/>
  <c r="EU115" i="2"/>
  <c r="EV115" i="2"/>
  <c r="EV90" i="82"/>
  <c r="EV102" i="82" s="1"/>
  <c r="EP31" i="82"/>
  <c r="EV94" i="82"/>
  <c r="EV89" i="82"/>
  <c r="EV100" i="82" s="1"/>
  <c r="EV82" i="82"/>
  <c r="EV81" i="82" s="1"/>
  <c r="AC248" i="113"/>
  <c r="AC124" i="113"/>
  <c r="AH125" i="113"/>
  <c r="EL215" i="2"/>
  <c r="EM215" i="2"/>
  <c r="EX18" i="1"/>
  <c r="EX46" i="1"/>
  <c r="EX32" i="1"/>
  <c r="EO146" i="82"/>
  <c r="EO123" i="82"/>
  <c r="EV8" i="2"/>
  <c r="EO141" i="82"/>
  <c r="EV106" i="1"/>
  <c r="EV110" i="1"/>
  <c r="EV111" i="1" s="1"/>
  <c r="EV107" i="1"/>
  <c r="FA36" i="1"/>
  <c r="EP136" i="82"/>
  <c r="DM198" i="7"/>
  <c r="DN195" i="7" s="1"/>
  <c r="EP180" i="2"/>
  <c r="EP162" i="2"/>
  <c r="FE12" i="2"/>
  <c r="EP127" i="82"/>
  <c r="DR20" i="7"/>
  <c r="FE17" i="2"/>
  <c r="FI17" i="2"/>
  <c r="FI12" i="2"/>
  <c r="FE23" i="2"/>
  <c r="FI23" i="2"/>
  <c r="AB195" i="113"/>
  <c r="AB359" i="113"/>
  <c r="FI20" i="2"/>
  <c r="AB363" i="113"/>
  <c r="AB353" i="113"/>
  <c r="AB357" i="113" s="1"/>
  <c r="AB11" i="113"/>
  <c r="AB372" i="113" s="1"/>
  <c r="FE20" i="2"/>
  <c r="AB362" i="113"/>
  <c r="AB365" i="113"/>
  <c r="AB361" i="113"/>
  <c r="AB360" i="113"/>
  <c r="AB40" i="113"/>
  <c r="FE24" i="2"/>
  <c r="FE56" i="2"/>
  <c r="FI24" i="2"/>
  <c r="EO215" i="2"/>
  <c r="EP116" i="82"/>
  <c r="EP133" i="82"/>
  <c r="EP144" i="82"/>
  <c r="EP145" i="82" s="1"/>
  <c r="EP188" i="82"/>
  <c r="EP120" i="82"/>
  <c r="EO112" i="2"/>
  <c r="EP112" i="2" s="1"/>
  <c r="AB289" i="113"/>
  <c r="E105" i="112"/>
  <c r="V59" i="112" s="1"/>
  <c r="J16" i="15"/>
  <c r="E87" i="112"/>
  <c r="V53" i="112" s="1"/>
  <c r="AB112" i="113"/>
  <c r="AA186" i="113"/>
  <c r="AA201" i="113" s="1"/>
  <c r="AC77" i="113"/>
  <c r="AC67" i="113"/>
  <c r="F78" i="112" s="1"/>
  <c r="AC50" i="113"/>
  <c r="AA440" i="113"/>
  <c r="AA73" i="113"/>
  <c r="EV121" i="1"/>
  <c r="FA121" i="1" s="1"/>
  <c r="EV116" i="1"/>
  <c r="AB225" i="113"/>
  <c r="EW82" i="1"/>
  <c r="AD173" i="113"/>
  <c r="AD172" i="113" s="1"/>
  <c r="AD193" i="113" s="1"/>
  <c r="EW44" i="1"/>
  <c r="CQ8" i="7"/>
  <c r="CR51" i="3"/>
  <c r="AC69" i="113"/>
  <c r="AB214" i="113"/>
  <c r="EW24" i="1"/>
  <c r="EW38" i="1" s="1"/>
  <c r="EW52" i="1" s="1"/>
  <c r="AA390" i="113"/>
  <c r="AA239" i="113"/>
  <c r="AA188" i="113"/>
  <c r="D99" i="112" s="1"/>
  <c r="AA243" i="113"/>
  <c r="Z312" i="113"/>
  <c r="J10" i="15"/>
  <c r="FD57" i="2"/>
  <c r="FH57" i="2"/>
  <c r="X30" i="11"/>
  <c r="EW493" i="1"/>
  <c r="EW57" i="1"/>
  <c r="CY8" i="7"/>
  <c r="CZ51" i="3"/>
  <c r="EW80" i="1"/>
  <c r="AD84" i="113"/>
  <c r="EW30" i="1"/>
  <c r="EW99" i="1"/>
  <c r="EW118" i="1" s="1"/>
  <c r="EW16" i="1"/>
  <c r="EW79" i="1"/>
  <c r="AD121" i="113"/>
  <c r="EW8" i="1"/>
  <c r="AA42" i="113"/>
  <c r="AA38" i="113"/>
  <c r="AA460" i="113"/>
  <c r="AA458" i="113"/>
  <c r="AA459" i="113"/>
  <c r="AA462" i="113"/>
  <c r="AB275" i="113"/>
  <c r="AB284" i="113"/>
  <c r="E106" i="112" s="1"/>
  <c r="V60" i="112" s="1"/>
  <c r="DN189" i="2"/>
  <c r="DN190" i="2"/>
  <c r="AB226" i="113"/>
  <c r="Z451" i="113"/>
  <c r="Z157" i="113"/>
  <c r="Z132" i="113"/>
  <c r="AB258" i="113"/>
  <c r="AA327" i="113"/>
  <c r="CT26" i="7"/>
  <c r="Z74" i="113"/>
  <c r="Z449" i="113"/>
  <c r="Z187" i="113"/>
  <c r="Z53" i="113"/>
  <c r="AC158" i="113"/>
  <c r="AA309" i="113"/>
  <c r="AA382" i="113"/>
  <c r="AB270" i="113"/>
  <c r="AB280" i="113"/>
  <c r="EV39" i="1"/>
  <c r="EV50" i="1"/>
  <c r="EV498" i="1"/>
  <c r="EV37" i="1"/>
  <c r="CT71" i="7"/>
  <c r="CT70" i="7"/>
  <c r="DD51" i="3"/>
  <c r="DH51" i="3"/>
  <c r="CU8" i="7"/>
  <c r="CV51" i="3"/>
  <c r="Z111" i="113"/>
  <c r="Z450" i="113"/>
  <c r="Z90" i="113"/>
  <c r="AA292" i="113"/>
  <c r="AA308" i="113"/>
  <c r="AA364" i="113"/>
  <c r="AA366" i="113" s="1"/>
  <c r="AA314" i="113"/>
  <c r="AA36" i="113"/>
  <c r="AA446" i="113"/>
  <c r="AA444" i="113"/>
  <c r="AA110" i="113"/>
  <c r="AA441" i="113"/>
  <c r="CP26" i="7"/>
  <c r="J15" i="15"/>
  <c r="AC66" i="113"/>
  <c r="AC128" i="113"/>
  <c r="AC147" i="113"/>
  <c r="AA302" i="113"/>
  <c r="AA445" i="113" s="1"/>
  <c r="AA156" i="113"/>
  <c r="AA442" i="113"/>
  <c r="CP67" i="7"/>
  <c r="CP71" i="7"/>
  <c r="CP70" i="7"/>
  <c r="AC115" i="113"/>
  <c r="AC88" i="113" s="1"/>
  <c r="AH88" i="113" s="1"/>
  <c r="ET182" i="2" l="1"/>
  <c r="ET76" i="2"/>
  <c r="ET184" i="82"/>
  <c r="EU21" i="82"/>
  <c r="EU34" i="82" s="1"/>
  <c r="EU35" i="82" s="1"/>
  <c r="DV105" i="7"/>
  <c r="ES76" i="2"/>
  <c r="DW50" i="7"/>
  <c r="DU105" i="7"/>
  <c r="EU19" i="82"/>
  <c r="EU30" i="82" s="1"/>
  <c r="EU31" i="82" s="1"/>
  <c r="ES214" i="2"/>
  <c r="ET214" i="2"/>
  <c r="ES179" i="2"/>
  <c r="ES180" i="2" s="1"/>
  <c r="ET159" i="2"/>
  <c r="ET118" i="82"/>
  <c r="ET188" i="82" s="1"/>
  <c r="ET30" i="82"/>
  <c r="ET31" i="82" s="1"/>
  <c r="ES164" i="2"/>
  <c r="ES213" i="2"/>
  <c r="ET177" i="2"/>
  <c r="ES177" i="2"/>
  <c r="ES161" i="2"/>
  <c r="ES162" i="2" s="1"/>
  <c r="ET174" i="2"/>
  <c r="ES174" i="2"/>
  <c r="EU104" i="2"/>
  <c r="ET110" i="2"/>
  <c r="ES110" i="2"/>
  <c r="ER110" i="2"/>
  <c r="EQ110" i="2"/>
  <c r="ES176" i="2"/>
  <c r="ES182" i="2"/>
  <c r="ES184" i="82"/>
  <c r="ET95" i="2"/>
  <c r="ES95" i="2"/>
  <c r="EU172" i="2"/>
  <c r="EU173" i="2" s="1"/>
  <c r="EU72" i="2"/>
  <c r="ES30" i="82"/>
  <c r="ES32" i="82" s="1"/>
  <c r="ES118" i="82"/>
  <c r="ES173" i="2"/>
  <c r="DW66" i="3"/>
  <c r="DW18" i="3" s="1"/>
  <c r="DW92" i="7"/>
  <c r="DX92" i="7" s="1"/>
  <c r="DY92" i="7" s="1"/>
  <c r="DZ92" i="7" s="1"/>
  <c r="EA92" i="7" s="1"/>
  <c r="DW91" i="7"/>
  <c r="EU171" i="82"/>
  <c r="EU170" i="82" s="1"/>
  <c r="DY100" i="7"/>
  <c r="DX102" i="7"/>
  <c r="DX87" i="7"/>
  <c r="DY85" i="7"/>
  <c r="DW104" i="7"/>
  <c r="DX104" i="7" s="1"/>
  <c r="DY104" i="7" s="1"/>
  <c r="DZ104" i="7" s="1"/>
  <c r="EA104" i="7" s="1"/>
  <c r="DW102" i="7"/>
  <c r="ET213" i="2"/>
  <c r="DT20" i="7"/>
  <c r="DU167" i="7"/>
  <c r="DU171" i="7" s="1"/>
  <c r="EO135" i="82"/>
  <c r="S55" i="112"/>
  <c r="E109" i="112"/>
  <c r="T61" i="112" s="1"/>
  <c r="C14" i="112"/>
  <c r="EU151" i="2"/>
  <c r="EU152" i="2" s="1"/>
  <c r="EU169" i="2"/>
  <c r="EU170" i="2" s="1"/>
  <c r="EU317" i="2"/>
  <c r="EU220" i="2"/>
  <c r="EU223" i="2" s="1"/>
  <c r="EU71" i="2"/>
  <c r="EU29" i="2"/>
  <c r="EU366" i="82" s="1"/>
  <c r="AH248" i="113"/>
  <c r="F103" i="112"/>
  <c r="W55" i="112"/>
  <c r="G93" i="112"/>
  <c r="EV101" i="82"/>
  <c r="AC262" i="113"/>
  <c r="AC274" i="113" s="1"/>
  <c r="AC345" i="113"/>
  <c r="AC250" i="113"/>
  <c r="AC249" i="113" s="1"/>
  <c r="AC266" i="113"/>
  <c r="F104" i="112" s="1"/>
  <c r="U60" i="112" s="1"/>
  <c r="AC261" i="113"/>
  <c r="AC273" i="113" s="1"/>
  <c r="FA81" i="82"/>
  <c r="EV96" i="82"/>
  <c r="EV105" i="82"/>
  <c r="EV18" i="82"/>
  <c r="EV84" i="82"/>
  <c r="EV86" i="82" s="1"/>
  <c r="EV98" i="82" s="1"/>
  <c r="EV97" i="82"/>
  <c r="EV91" i="82"/>
  <c r="FA82" i="82"/>
  <c r="EV95" i="82"/>
  <c r="FF8" i="2"/>
  <c r="FJ8" i="2"/>
  <c r="EX11" i="1"/>
  <c r="FE13" i="2"/>
  <c r="CU54" i="3"/>
  <c r="CQ54" i="3"/>
  <c r="CY54" i="3"/>
  <c r="EV9" i="2"/>
  <c r="EV41" i="82"/>
  <c r="EV168" i="82"/>
  <c r="AC9" i="113"/>
  <c r="AC352" i="113" s="1"/>
  <c r="EV130" i="2"/>
  <c r="EV131" i="2" s="1"/>
  <c r="EV62" i="2"/>
  <c r="EV108" i="1"/>
  <c r="FA50" i="1"/>
  <c r="FI13" i="2"/>
  <c r="AB370" i="113"/>
  <c r="AB369" i="113"/>
  <c r="FE26" i="2"/>
  <c r="FI26" i="2"/>
  <c r="AB31" i="113"/>
  <c r="AB374" i="113"/>
  <c r="AB368" i="113"/>
  <c r="AB12" i="113"/>
  <c r="AB32" i="113" s="1"/>
  <c r="FI56" i="2"/>
  <c r="AB23" i="113"/>
  <c r="EP131" i="82"/>
  <c r="EP141" i="82"/>
  <c r="EP117" i="82"/>
  <c r="EP132" i="82" s="1"/>
  <c r="AB307" i="113"/>
  <c r="E110" i="112" s="1"/>
  <c r="T62" i="112" s="1"/>
  <c r="AB346" i="113"/>
  <c r="AB348" i="113" s="1"/>
  <c r="EP122" i="82"/>
  <c r="EX60" i="1"/>
  <c r="AB291" i="113"/>
  <c r="AB314" i="113" s="1"/>
  <c r="AB293" i="113"/>
  <c r="AB309" i="113" s="1"/>
  <c r="EW101" i="1"/>
  <c r="AC99" i="113"/>
  <c r="AA443" i="113"/>
  <c r="AA447" i="113" s="1"/>
  <c r="Z396" i="113"/>
  <c r="Z108" i="113"/>
  <c r="Z117" i="113"/>
  <c r="Z92" i="113"/>
  <c r="Z89" i="113"/>
  <c r="CV52" i="3"/>
  <c r="EV40" i="1"/>
  <c r="EW100" i="1"/>
  <c r="AD85" i="113"/>
  <c r="AD86" i="113" s="1"/>
  <c r="Z80" i="113"/>
  <c r="Z395" i="113"/>
  <c r="Z71" i="113"/>
  <c r="Z52" i="113"/>
  <c r="CT63" i="7"/>
  <c r="AB286" i="113"/>
  <c r="CY16" i="7"/>
  <c r="CY66" i="7"/>
  <c r="AB97" i="113"/>
  <c r="AB139" i="113"/>
  <c r="AB60" i="113"/>
  <c r="AB237" i="113"/>
  <c r="CU66" i="7"/>
  <c r="CU16" i="7"/>
  <c r="DS188" i="2"/>
  <c r="Z202" i="113"/>
  <c r="Z452" i="113"/>
  <c r="Z456" i="113" s="1"/>
  <c r="Z179" i="113"/>
  <c r="AB238" i="113"/>
  <c r="EW119" i="1"/>
  <c r="EW84" i="1"/>
  <c r="EW10" i="82"/>
  <c r="EW80" i="82" s="1"/>
  <c r="EW491" i="1"/>
  <c r="EW58" i="1"/>
  <c r="AD342" i="113"/>
  <c r="AD102" i="113"/>
  <c r="J11" i="15"/>
  <c r="J12" i="15"/>
  <c r="DH52" i="3"/>
  <c r="DI51" i="3" s="1"/>
  <c r="AD123" i="113"/>
  <c r="AD126" i="113"/>
  <c r="AD144" i="113"/>
  <c r="DD52" i="3"/>
  <c r="CR52" i="3"/>
  <c r="EV122" i="1"/>
  <c r="AC106" i="113"/>
  <c r="AC87" i="113"/>
  <c r="CP63" i="7"/>
  <c r="FB498" i="1"/>
  <c r="EV499" i="1"/>
  <c r="Z134" i="113"/>
  <c r="Z166" i="113"/>
  <c r="Z154" i="113"/>
  <c r="Z397" i="113"/>
  <c r="Z131" i="113"/>
  <c r="EW22" i="1"/>
  <c r="EW78" i="1"/>
  <c r="EW81" i="1" s="1"/>
  <c r="EW83" i="1" s="1"/>
  <c r="EW90" i="1"/>
  <c r="EW105" i="1" s="1"/>
  <c r="EW9" i="1"/>
  <c r="AD47" i="113"/>
  <c r="AA203" i="113"/>
  <c r="AA461" i="113"/>
  <c r="AA207" i="113"/>
  <c r="D100" i="112" s="1"/>
  <c r="AB231" i="113"/>
  <c r="AB241" i="113"/>
  <c r="AD344" i="113"/>
  <c r="AD194" i="113"/>
  <c r="AC68" i="113"/>
  <c r="AC150" i="113"/>
  <c r="AC129" i="113"/>
  <c r="AA373" i="113"/>
  <c r="AA215" i="113"/>
  <c r="EV51" i="1"/>
  <c r="EV53" i="1"/>
  <c r="EV54" i="1" s="1"/>
  <c r="EV9" i="82"/>
  <c r="FA9" i="82" s="1"/>
  <c r="EV64" i="1"/>
  <c r="AA401" i="113"/>
  <c r="AA329" i="113"/>
  <c r="AA337" i="113"/>
  <c r="AA326" i="113"/>
  <c r="AA392" i="113" s="1"/>
  <c r="CZ52" i="3"/>
  <c r="CQ16" i="7"/>
  <c r="CQ66" i="7"/>
  <c r="DO188" i="2"/>
  <c r="DW105" i="7" l="1"/>
  <c r="ES188" i="82"/>
  <c r="EU118" i="82"/>
  <c r="ES181" i="2"/>
  <c r="ET181" i="2"/>
  <c r="ET116" i="82"/>
  <c r="ET131" i="82" s="1"/>
  <c r="ET144" i="82"/>
  <c r="ET145" i="82" s="1"/>
  <c r="ET120" i="82"/>
  <c r="ET122" i="82" s="1"/>
  <c r="ET134" i="82" s="1"/>
  <c r="ET133" i="82"/>
  <c r="ET163" i="2"/>
  <c r="ES163" i="2"/>
  <c r="EU110" i="2"/>
  <c r="ES133" i="82"/>
  <c r="ET32" i="82"/>
  <c r="ES120" i="82"/>
  <c r="ES144" i="82"/>
  <c r="ES145" i="82" s="1"/>
  <c r="ES116" i="82"/>
  <c r="ES31" i="82"/>
  <c r="EU377" i="82"/>
  <c r="EU403" i="82"/>
  <c r="EU367" i="82"/>
  <c r="EU368" i="82" s="1"/>
  <c r="EU411" i="82"/>
  <c r="DY87" i="7"/>
  <c r="DZ85" i="7"/>
  <c r="DU20" i="7"/>
  <c r="DV167" i="7"/>
  <c r="DV171" i="7" s="1"/>
  <c r="DV20" i="7" s="1"/>
  <c r="DY102" i="7"/>
  <c r="DZ100" i="7"/>
  <c r="EU326" i="2"/>
  <c r="EU315" i="2"/>
  <c r="EU324" i="2" s="1"/>
  <c r="EU321" i="2"/>
  <c r="EU330" i="2" s="1"/>
  <c r="EU331" i="2" s="1"/>
  <c r="E10" i="112"/>
  <c r="G10" i="112" s="1"/>
  <c r="F87" i="112"/>
  <c r="G103" i="112"/>
  <c r="U59" i="112"/>
  <c r="EU157" i="2"/>
  <c r="EU158" i="2" s="1"/>
  <c r="EU175" i="2"/>
  <c r="EU176" i="2" s="1"/>
  <c r="EU73" i="2"/>
  <c r="EU55" i="2"/>
  <c r="AC279" i="113"/>
  <c r="AC267" i="113"/>
  <c r="AH250" i="113"/>
  <c r="FF9" i="2"/>
  <c r="AC278" i="113"/>
  <c r="AC277" i="113" s="1"/>
  <c r="AC251" i="113" s="1"/>
  <c r="AC252" i="113" s="1"/>
  <c r="AH252" i="113" s="1"/>
  <c r="FA18" i="82"/>
  <c r="EV112" i="82"/>
  <c r="EV27" i="82"/>
  <c r="AC254" i="113"/>
  <c r="AC263" i="113" s="1"/>
  <c r="AC112" i="113"/>
  <c r="AH99" i="113"/>
  <c r="EV57" i="82"/>
  <c r="FA41" i="82"/>
  <c r="EX59" i="1"/>
  <c r="EX57" i="1" s="1"/>
  <c r="DI52" i="3"/>
  <c r="DI8" i="7" s="1"/>
  <c r="FA64" i="1"/>
  <c r="FJ9" i="2"/>
  <c r="AC350" i="113"/>
  <c r="AC29" i="113"/>
  <c r="EV12" i="2"/>
  <c r="EV17" i="2"/>
  <c r="L7" i="15"/>
  <c r="L8" i="15" s="1"/>
  <c r="Z40" i="11"/>
  <c r="AD40" i="11" s="1"/>
  <c r="EV63" i="2"/>
  <c r="DX80" i="7"/>
  <c r="DX97" i="7" s="1"/>
  <c r="DX32" i="7" s="1"/>
  <c r="DX64" i="3" s="1"/>
  <c r="EV24" i="2"/>
  <c r="EV169" i="82"/>
  <c r="EV23" i="2"/>
  <c r="EV20" i="2"/>
  <c r="AC356" i="113"/>
  <c r="AC351" i="113"/>
  <c r="AC10" i="113"/>
  <c r="AC354" i="113"/>
  <c r="AC213" i="113"/>
  <c r="AC174" i="113" s="1"/>
  <c r="AC353" i="113" s="1"/>
  <c r="AC355" i="113"/>
  <c r="AB303" i="113"/>
  <c r="AB454" i="113" s="1"/>
  <c r="FE27" i="2"/>
  <c r="AB14" i="113"/>
  <c r="AB43" i="113" s="1"/>
  <c r="FI27" i="2"/>
  <c r="AB41" i="113"/>
  <c r="AB379" i="113"/>
  <c r="AB383" i="113"/>
  <c r="AB377" i="113"/>
  <c r="AB378" i="113"/>
  <c r="AB381" i="113"/>
  <c r="AB382" i="113"/>
  <c r="AB37" i="113"/>
  <c r="AB455" i="113"/>
  <c r="AB453" i="113"/>
  <c r="AB364" i="113"/>
  <c r="AB366" i="113" s="1"/>
  <c r="AB308" i="113"/>
  <c r="AB292" i="113"/>
  <c r="AB373" i="113" s="1"/>
  <c r="EX31" i="1"/>
  <c r="EX29" i="1" s="1"/>
  <c r="EP134" i="82"/>
  <c r="EP146" i="82"/>
  <c r="EP123" i="82"/>
  <c r="EX45" i="1"/>
  <c r="EX43" i="1" s="1"/>
  <c r="EX10" i="1"/>
  <c r="EX8" i="1" s="1"/>
  <c r="EX17" i="1"/>
  <c r="EX15" i="1" s="1"/>
  <c r="EP215" i="2"/>
  <c r="EW92" i="1"/>
  <c r="AB327" i="113"/>
  <c r="AB329" i="113" s="1"/>
  <c r="AC62" i="113"/>
  <c r="EW8" i="2"/>
  <c r="EW110" i="1"/>
  <c r="EW111" i="1" s="1"/>
  <c r="EW106" i="1"/>
  <c r="DM51" i="3"/>
  <c r="AB73" i="113"/>
  <c r="Z386" i="113"/>
  <c r="Z70" i="113"/>
  <c r="Z387" i="113"/>
  <c r="Z107" i="113"/>
  <c r="CU26" i="7"/>
  <c r="AB156" i="113"/>
  <c r="Z388" i="113"/>
  <c r="Z153" i="113"/>
  <c r="EW25" i="1"/>
  <c r="EW26" i="1" s="1"/>
  <c r="EW23" i="1"/>
  <c r="EW36" i="1"/>
  <c r="EW115" i="1"/>
  <c r="EW517" i="1"/>
  <c r="AD104" i="113"/>
  <c r="AD114" i="113"/>
  <c r="CU67" i="7"/>
  <c r="CU71" i="7"/>
  <c r="CU70" i="7"/>
  <c r="AB110" i="113"/>
  <c r="CY70" i="7"/>
  <c r="CY71" i="7"/>
  <c r="CQ70" i="7"/>
  <c r="CQ67" i="7"/>
  <c r="CQ71" i="7"/>
  <c r="AB186" i="113"/>
  <c r="CY26" i="7"/>
  <c r="AD103" i="113"/>
  <c r="DO189" i="2"/>
  <c r="DO190" i="2"/>
  <c r="DD8" i="7"/>
  <c r="DE51" i="3"/>
  <c r="CQ26" i="7"/>
  <c r="AA295" i="113"/>
  <c r="CZ8" i="7"/>
  <c r="DA51" i="3"/>
  <c r="EV40" i="82"/>
  <c r="FA40" i="82" s="1"/>
  <c r="AD65" i="113"/>
  <c r="AD341" i="113"/>
  <c r="AD51" i="113"/>
  <c r="AC105" i="113"/>
  <c r="CR8" i="7"/>
  <c r="CS53" i="3"/>
  <c r="AD148" i="113"/>
  <c r="EW494" i="1"/>
  <c r="EW495" i="1" s="1"/>
  <c r="EW492" i="1"/>
  <c r="DS190" i="2"/>
  <c r="DS189" i="2"/>
  <c r="EV65" i="1"/>
  <c r="EV11" i="82"/>
  <c r="EV85" i="1"/>
  <c r="EV87" i="1" s="1"/>
  <c r="EV124" i="1"/>
  <c r="FA124" i="1" s="1"/>
  <c r="AD125" i="113"/>
  <c r="AD141" i="113"/>
  <c r="AD343" i="113"/>
  <c r="AD146" i="113"/>
  <c r="EW89" i="82"/>
  <c r="AD248" i="113"/>
  <c r="EW94" i="82"/>
  <c r="EW82" i="82"/>
  <c r="EW81" i="82" s="1"/>
  <c r="EW90" i="82"/>
  <c r="Z208" i="113"/>
  <c r="Z398" i="113"/>
  <c r="Z402" i="113" s="1"/>
  <c r="Z199" i="113"/>
  <c r="Z178" i="113"/>
  <c r="AA464" i="113"/>
  <c r="AA331" i="113"/>
  <c r="AC151" i="113"/>
  <c r="AC130" i="113"/>
  <c r="AH130" i="113" s="1"/>
  <c r="AA232" i="113"/>
  <c r="AA176" i="113"/>
  <c r="AA216" i="113"/>
  <c r="EW91" i="1"/>
  <c r="AD48" i="113"/>
  <c r="EW93" i="1"/>
  <c r="EW94" i="1" s="1"/>
  <c r="CV8" i="7"/>
  <c r="CW51" i="3"/>
  <c r="DW20" i="7" l="1"/>
  <c r="EY11" i="1"/>
  <c r="EY46" i="1"/>
  <c r="ES141" i="82"/>
  <c r="EU116" i="82"/>
  <c r="ES122" i="82"/>
  <c r="ES134" i="82" s="1"/>
  <c r="EU120" i="82"/>
  <c r="EU133" i="82"/>
  <c r="EU144" i="82"/>
  <c r="EU145" i="82" s="1"/>
  <c r="ET141" i="82"/>
  <c r="ET146" i="82"/>
  <c r="ET123" i="82"/>
  <c r="ET135" i="82" s="1"/>
  <c r="ER111" i="2"/>
  <c r="ET111" i="2"/>
  <c r="ES111" i="2"/>
  <c r="EQ111" i="2"/>
  <c r="ES131" i="82"/>
  <c r="DZ87" i="7"/>
  <c r="EA85" i="7"/>
  <c r="EA87" i="7" s="1"/>
  <c r="FB29" i="1"/>
  <c r="EY32" i="1"/>
  <c r="DZ102" i="7"/>
  <c r="EA100" i="7"/>
  <c r="EA102" i="7" s="1"/>
  <c r="FB15" i="1"/>
  <c r="EY18" i="1"/>
  <c r="EY60" i="1"/>
  <c r="EP135" i="82"/>
  <c r="EU179" i="82"/>
  <c r="EU125" i="82" s="1"/>
  <c r="EU136" i="82" s="1"/>
  <c r="E9" i="112"/>
  <c r="G9" i="112" s="1"/>
  <c r="F79" i="112"/>
  <c r="S53" i="112"/>
  <c r="D10" i="112"/>
  <c r="FF23" i="2"/>
  <c r="G87" i="112"/>
  <c r="W53" i="112"/>
  <c r="AH263" i="113"/>
  <c r="F105" i="112"/>
  <c r="E13" i="112"/>
  <c r="F13" i="112" s="1"/>
  <c r="FF24" i="2"/>
  <c r="EU206" i="2"/>
  <c r="EU136" i="2"/>
  <c r="EU281" i="2"/>
  <c r="EU310" i="2" s="1"/>
  <c r="EU311" i="2" s="1"/>
  <c r="EU74" i="2"/>
  <c r="EU57" i="2"/>
  <c r="AC256" i="113"/>
  <c r="AC258" i="113" s="1"/>
  <c r="AC271" i="113"/>
  <c r="AC253" i="113"/>
  <c r="AC280" i="113" s="1"/>
  <c r="AC283" i="113"/>
  <c r="AC269" i="113"/>
  <c r="AC268" i="113"/>
  <c r="EV28" i="82"/>
  <c r="AC285" i="113"/>
  <c r="FB57" i="1"/>
  <c r="AC75" i="113"/>
  <c r="AH62" i="113"/>
  <c r="FF20" i="2"/>
  <c r="FF17" i="2"/>
  <c r="FA11" i="82"/>
  <c r="FF12" i="2"/>
  <c r="AC361" i="113"/>
  <c r="AH10" i="113"/>
  <c r="EX10" i="82"/>
  <c r="EX84" i="1"/>
  <c r="EX58" i="1"/>
  <c r="DJ51" i="3"/>
  <c r="EV46" i="2"/>
  <c r="DD54" i="3"/>
  <c r="AB22" i="113"/>
  <c r="AB36" i="113" s="1"/>
  <c r="DI16" i="7"/>
  <c r="CV54" i="3"/>
  <c r="CZ54" i="3"/>
  <c r="CR54" i="3"/>
  <c r="EV277" i="2"/>
  <c r="EV286" i="2" s="1"/>
  <c r="EV143" i="2"/>
  <c r="EV144" i="2" s="1"/>
  <c r="EV137" i="2"/>
  <c r="EV138" i="2" s="1"/>
  <c r="EV275" i="2"/>
  <c r="EV284" i="2" s="1"/>
  <c r="DX88" i="7"/>
  <c r="DX86" i="7" s="1"/>
  <c r="DX25" i="7" s="1"/>
  <c r="DX169" i="7"/>
  <c r="EV13" i="2"/>
  <c r="AC11" i="113"/>
  <c r="AC370" i="113" s="1"/>
  <c r="EV67" i="2"/>
  <c r="EV276" i="2"/>
  <c r="EV301" i="2" s="1"/>
  <c r="EV302" i="2" s="1"/>
  <c r="EV203" i="2"/>
  <c r="EV140" i="2"/>
  <c r="EV141" i="2" s="1"/>
  <c r="FJ20" i="2"/>
  <c r="EV68" i="2"/>
  <c r="FJ12" i="2"/>
  <c r="EV64" i="2"/>
  <c r="EV133" i="2"/>
  <c r="EV134" i="2" s="1"/>
  <c r="EV390" i="2"/>
  <c r="EV391" i="2" s="1"/>
  <c r="FJ17" i="2"/>
  <c r="EV278" i="2"/>
  <c r="EV287" i="2" s="1"/>
  <c r="FJ23" i="2"/>
  <c r="EV56" i="2"/>
  <c r="FF56" i="2" s="1"/>
  <c r="AC363" i="113"/>
  <c r="AC360" i="113"/>
  <c r="EV66" i="2"/>
  <c r="EV26" i="2"/>
  <c r="EV70" i="2"/>
  <c r="EV146" i="2"/>
  <c r="EV147" i="2" s="1"/>
  <c r="FJ24" i="2"/>
  <c r="EV75" i="2"/>
  <c r="DX81" i="7"/>
  <c r="DX82" i="7" s="1"/>
  <c r="DX73" i="7" s="1"/>
  <c r="EV280" i="2"/>
  <c r="EV288" i="2" s="1"/>
  <c r="DX103" i="7"/>
  <c r="DX101" i="7" s="1"/>
  <c r="DX42" i="7" s="1"/>
  <c r="DX95" i="7"/>
  <c r="DX31" i="7" s="1"/>
  <c r="DX93" i="7"/>
  <c r="DX30" i="7" s="1"/>
  <c r="DX90" i="7"/>
  <c r="DX29" i="7" s="1"/>
  <c r="AC40" i="113"/>
  <c r="AC30" i="113"/>
  <c r="AC359" i="113"/>
  <c r="AC365" i="113"/>
  <c r="AC357" i="113"/>
  <c r="AC175" i="113"/>
  <c r="FI55" i="2"/>
  <c r="FE55" i="2"/>
  <c r="AE47" i="113"/>
  <c r="AE51" i="113" s="1"/>
  <c r="FB8" i="1"/>
  <c r="AE173" i="113"/>
  <c r="AE172" i="113" s="1"/>
  <c r="AE193" i="113" s="1"/>
  <c r="FB43" i="1"/>
  <c r="EX30" i="1"/>
  <c r="AE84" i="113"/>
  <c r="AE121" i="113"/>
  <c r="FE29" i="2"/>
  <c r="FI29" i="2"/>
  <c r="AB399" i="113"/>
  <c r="AB13" i="113"/>
  <c r="AB33" i="113" s="1"/>
  <c r="AB34" i="113"/>
  <c r="K16" i="15"/>
  <c r="FI54" i="2"/>
  <c r="FE54" i="2"/>
  <c r="EX99" i="1"/>
  <c r="FB99" i="1" s="1"/>
  <c r="AB215" i="113"/>
  <c r="AB176" i="113" s="1"/>
  <c r="EX80" i="1"/>
  <c r="EX90" i="1"/>
  <c r="EX82" i="1"/>
  <c r="EX78" i="1"/>
  <c r="EX491" i="1"/>
  <c r="EX44" i="1"/>
  <c r="EX9" i="1"/>
  <c r="EX493" i="1"/>
  <c r="EX24" i="1"/>
  <c r="EX38" i="1" s="1"/>
  <c r="EX52" i="1" s="1"/>
  <c r="EX79" i="1"/>
  <c r="EX16" i="1"/>
  <c r="EX22" i="1"/>
  <c r="FB22" i="1" s="1"/>
  <c r="EV115" i="82"/>
  <c r="K15" i="15"/>
  <c r="DI66" i="7"/>
  <c r="DI70" i="7" s="1"/>
  <c r="AB326" i="113"/>
  <c r="AB337" i="113"/>
  <c r="AB401" i="113"/>
  <c r="EW102" i="82"/>
  <c r="AD262" i="113"/>
  <c r="EW101" i="82"/>
  <c r="EV13" i="82"/>
  <c r="AD115" i="113"/>
  <c r="AD88" i="113" s="1"/>
  <c r="AA217" i="113"/>
  <c r="AA234" i="113" s="1"/>
  <c r="AA233" i="113"/>
  <c r="AA242" i="113"/>
  <c r="AC164" i="113"/>
  <c r="AC152" i="113"/>
  <c r="EW18" i="82"/>
  <c r="EW84" i="82"/>
  <c r="EW86" i="82" s="1"/>
  <c r="EW91" i="82"/>
  <c r="EW97" i="82"/>
  <c r="DA52" i="3"/>
  <c r="DE52" i="3"/>
  <c r="EW37" i="1"/>
  <c r="EW498" i="1"/>
  <c r="EW499" i="1" s="1"/>
  <c r="EW39" i="1"/>
  <c r="EW50" i="1"/>
  <c r="AD158" i="113"/>
  <c r="AD69" i="113"/>
  <c r="CZ16" i="7"/>
  <c r="CZ66" i="7"/>
  <c r="DX188" i="2"/>
  <c r="AA299" i="113"/>
  <c r="AA318" i="113" s="1"/>
  <c r="CU63" i="7"/>
  <c r="EW107" i="1"/>
  <c r="EW96" i="82"/>
  <c r="EW95" i="82"/>
  <c r="EW105" i="82"/>
  <c r="AD128" i="113"/>
  <c r="AD147" i="113"/>
  <c r="AD250" i="113"/>
  <c r="AD266" i="113"/>
  <c r="AD345" i="113"/>
  <c r="CV66" i="7"/>
  <c r="CV16" i="7"/>
  <c r="DT188" i="2"/>
  <c r="CR16" i="7"/>
  <c r="CS8" i="7"/>
  <c r="CR66" i="7"/>
  <c r="DP188" i="2"/>
  <c r="AB331" i="113"/>
  <c r="FK8" i="2"/>
  <c r="EW62" i="2"/>
  <c r="EW130" i="2"/>
  <c r="AD9" i="113"/>
  <c r="AD350" i="113" s="1"/>
  <c r="EW41" i="82"/>
  <c r="EW168" i="82"/>
  <c r="EW9" i="2"/>
  <c r="AA196" i="113"/>
  <c r="AA371" i="113"/>
  <c r="AA375" i="113" s="1"/>
  <c r="AA177" i="113"/>
  <c r="AD66" i="113"/>
  <c r="CW52" i="3"/>
  <c r="AD49" i="113"/>
  <c r="CQ63" i="7"/>
  <c r="CY63" i="7"/>
  <c r="AA311" i="113"/>
  <c r="AA317" i="113"/>
  <c r="AA297" i="113"/>
  <c r="AA400" i="113"/>
  <c r="AA304" i="113"/>
  <c r="D111" i="112" s="1"/>
  <c r="AA294" i="113"/>
  <c r="DD66" i="7"/>
  <c r="DD16" i="7"/>
  <c r="Z198" i="113"/>
  <c r="Z389" i="113"/>
  <c r="Z393" i="113" s="1"/>
  <c r="EW100" i="82"/>
  <c r="AD261" i="113"/>
  <c r="AD124" i="113"/>
  <c r="EV125" i="1"/>
  <c r="EV127" i="1"/>
  <c r="EV56" i="82"/>
  <c r="EV44" i="82"/>
  <c r="FA44" i="82" s="1"/>
  <c r="EV51" i="82"/>
  <c r="EV52" i="82"/>
  <c r="AC212" i="113"/>
  <c r="AC230" i="113" s="1"/>
  <c r="EV42" i="82"/>
  <c r="FA42" i="82" s="1"/>
  <c r="EV69" i="82"/>
  <c r="AC284" i="113"/>
  <c r="F106" i="112" s="1"/>
  <c r="W60" i="112" s="1"/>
  <c r="AC275" i="113"/>
  <c r="AB201" i="113"/>
  <c r="EW121" i="1"/>
  <c r="EW116" i="1"/>
  <c r="EU127" i="82" l="1"/>
  <c r="ES146" i="82"/>
  <c r="ES123" i="82"/>
  <c r="EU122" i="82"/>
  <c r="EU117" i="82"/>
  <c r="EU132" i="82" s="1"/>
  <c r="EU131" i="82"/>
  <c r="EU141" i="82"/>
  <c r="EU111" i="2"/>
  <c r="ET112" i="2"/>
  <c r="ES112" i="2"/>
  <c r="ER112" i="2"/>
  <c r="EQ112" i="2"/>
  <c r="AC270" i="113"/>
  <c r="EY17" i="1"/>
  <c r="EY15" i="1" s="1"/>
  <c r="EY10" i="1"/>
  <c r="EY8" i="1" s="1"/>
  <c r="EY31" i="1"/>
  <c r="EY29" i="1" s="1"/>
  <c r="EY59" i="1"/>
  <c r="EY57" i="1" s="1"/>
  <c r="EY45" i="1"/>
  <c r="EY43" i="1" s="1"/>
  <c r="EU182" i="82"/>
  <c r="EU184" i="82" s="1"/>
  <c r="AB302" i="113"/>
  <c r="AB445" i="113" s="1"/>
  <c r="W59" i="112"/>
  <c r="G105" i="112"/>
  <c r="W51" i="112"/>
  <c r="G79" i="112"/>
  <c r="S51" i="112"/>
  <c r="D9" i="112"/>
  <c r="EU161" i="2"/>
  <c r="EU162" i="2" s="1"/>
  <c r="EU182" i="2"/>
  <c r="EU76" i="2"/>
  <c r="EU179" i="2"/>
  <c r="EU180" i="2" s="1"/>
  <c r="EU164" i="2"/>
  <c r="EU207" i="2"/>
  <c r="EU212" i="2"/>
  <c r="DJ52" i="3"/>
  <c r="DK51" i="3" s="1"/>
  <c r="FF13" i="2"/>
  <c r="FF26" i="2"/>
  <c r="EX80" i="82"/>
  <c r="AE248" i="113" s="1"/>
  <c r="FB10" i="82"/>
  <c r="AC205" i="113"/>
  <c r="AH175" i="113"/>
  <c r="EV14" i="82"/>
  <c r="EV150" i="82" s="1"/>
  <c r="EV160" i="82" s="1"/>
  <c r="FA13" i="82"/>
  <c r="EV187" i="82"/>
  <c r="FA115" i="82"/>
  <c r="DX15" i="3"/>
  <c r="DX55" i="7" s="1"/>
  <c r="FJ13" i="2"/>
  <c r="EC169" i="7"/>
  <c r="FA127" i="1"/>
  <c r="DX73" i="3"/>
  <c r="AB440" i="113"/>
  <c r="AA40" i="11"/>
  <c r="AE40" i="11" s="1"/>
  <c r="AB442" i="113"/>
  <c r="AB444" i="113"/>
  <c r="AB25" i="113"/>
  <c r="AB458" i="113" s="1"/>
  <c r="AB443" i="113"/>
  <c r="AB446" i="113"/>
  <c r="AB441" i="113"/>
  <c r="DI26" i="7"/>
  <c r="FE57" i="2"/>
  <c r="EV303" i="2"/>
  <c r="EV304" i="2" s="1"/>
  <c r="EV299" i="2"/>
  <c r="EV300" i="2" s="1"/>
  <c r="EV204" i="2"/>
  <c r="DX11" i="3"/>
  <c r="DX84" i="7"/>
  <c r="DX15" i="7" s="1"/>
  <c r="DX61" i="3" s="1"/>
  <c r="DX176" i="7"/>
  <c r="EV65" i="2"/>
  <c r="EV166" i="2"/>
  <c r="EV167" i="2" s="1"/>
  <c r="EV150" i="2"/>
  <c r="EV27" i="2"/>
  <c r="AC374" i="113"/>
  <c r="AC372" i="113"/>
  <c r="AC12" i="113"/>
  <c r="AC31" i="113"/>
  <c r="AC368" i="113"/>
  <c r="AC369" i="113"/>
  <c r="EV305" i="2"/>
  <c r="EV306" i="2" s="1"/>
  <c r="EV289" i="2"/>
  <c r="EV290" i="2"/>
  <c r="EV285" i="2"/>
  <c r="DX10" i="7"/>
  <c r="EV308" i="2"/>
  <c r="EV309" i="2" s="1"/>
  <c r="FJ26" i="2"/>
  <c r="EV180" i="82"/>
  <c r="EV126" i="82" s="1"/>
  <c r="EV209" i="2"/>
  <c r="EV210" i="2" s="1"/>
  <c r="FJ56" i="2"/>
  <c r="DX91" i="7"/>
  <c r="AC23" i="113"/>
  <c r="AC455" i="113" s="1"/>
  <c r="DX99" i="7"/>
  <c r="DX33" i="7" s="1"/>
  <c r="DX38" i="7" s="1"/>
  <c r="DX63" i="3"/>
  <c r="EV69" i="2"/>
  <c r="AC195" i="113"/>
  <c r="AC362" i="113"/>
  <c r="FI57" i="2"/>
  <c r="Y30" i="11"/>
  <c r="AC30" i="11" s="1"/>
  <c r="K10" i="15"/>
  <c r="K11" i="15" s="1"/>
  <c r="AE65" i="113"/>
  <c r="AE341" i="113"/>
  <c r="AE62" i="113"/>
  <c r="AE344" i="113"/>
  <c r="AE194" i="113"/>
  <c r="AE48" i="113"/>
  <c r="AE49" i="113" s="1"/>
  <c r="AE77" i="113" s="1"/>
  <c r="FB90" i="1"/>
  <c r="EV136" i="1"/>
  <c r="EX100" i="1"/>
  <c r="AE85" i="113"/>
  <c r="AE86" i="113" s="1"/>
  <c r="AE126" i="113"/>
  <c r="AE144" i="113"/>
  <c r="AE123" i="113"/>
  <c r="AE69" i="113"/>
  <c r="AE102" i="113"/>
  <c r="AE342" i="113"/>
  <c r="DI71" i="7"/>
  <c r="AB390" i="113"/>
  <c r="AB392" i="113"/>
  <c r="EX118" i="1"/>
  <c r="AB216" i="113"/>
  <c r="EX105" i="1"/>
  <c r="AB232" i="113"/>
  <c r="EX494" i="1"/>
  <c r="EX495" i="1" s="1"/>
  <c r="EX81" i="1"/>
  <c r="EX83" i="1" s="1"/>
  <c r="EX101" i="1"/>
  <c r="EX492" i="1"/>
  <c r="EX91" i="1"/>
  <c r="EX92" i="1"/>
  <c r="EX25" i="1"/>
  <c r="EX26" i="1" s="1"/>
  <c r="EX115" i="1"/>
  <c r="FB115" i="1" s="1"/>
  <c r="EX23" i="1"/>
  <c r="EX36" i="1"/>
  <c r="FB36" i="1" s="1"/>
  <c r="EX517" i="1"/>
  <c r="EX93" i="1"/>
  <c r="EX94" i="1" s="1"/>
  <c r="EV130" i="82"/>
  <c r="AC289" i="113"/>
  <c r="F109" i="112" s="1"/>
  <c r="EW131" i="2"/>
  <c r="EW108" i="1"/>
  <c r="DX167" i="7"/>
  <c r="AD352" i="113"/>
  <c r="CZ26" i="7"/>
  <c r="EW112" i="82"/>
  <c r="EW98" i="82"/>
  <c r="AB196" i="113"/>
  <c r="AB371" i="113"/>
  <c r="AB375" i="113" s="1"/>
  <c r="AB177" i="113"/>
  <c r="AD273" i="113"/>
  <c r="AD278" i="113"/>
  <c r="AD277" i="113" s="1"/>
  <c r="AD251" i="113" s="1"/>
  <c r="AD252" i="113" s="1"/>
  <c r="AD29" i="113"/>
  <c r="AD356" i="113"/>
  <c r="AD355" i="113"/>
  <c r="AD10" i="113"/>
  <c r="AD363" i="113" s="1"/>
  <c r="AD351" i="113"/>
  <c r="DP189" i="2"/>
  <c r="DP190" i="2"/>
  <c r="AD267" i="113"/>
  <c r="EW9" i="82"/>
  <c r="EW53" i="1"/>
  <c r="EW54" i="1" s="1"/>
  <c r="EW51" i="1"/>
  <c r="EW64" i="1"/>
  <c r="DE8" i="7"/>
  <c r="DF51" i="3"/>
  <c r="EW27" i="82"/>
  <c r="AD254" i="113"/>
  <c r="EV65" i="82"/>
  <c r="AC226" i="113"/>
  <c r="AA197" i="113"/>
  <c r="AA206" i="113"/>
  <c r="AA380" i="113"/>
  <c r="EW40" i="1"/>
  <c r="AC286" i="113"/>
  <c r="AD106" i="113"/>
  <c r="AD87" i="113"/>
  <c r="DX62" i="3"/>
  <c r="DD26" i="7"/>
  <c r="CV26" i="7"/>
  <c r="DX189" i="2"/>
  <c r="DX190" i="2"/>
  <c r="AC214" i="113"/>
  <c r="EV58" i="82"/>
  <c r="EV43" i="82"/>
  <c r="FA43" i="82" s="1"/>
  <c r="DD71" i="7"/>
  <c r="DD70" i="7"/>
  <c r="CR70" i="7"/>
  <c r="CR67" i="7"/>
  <c r="CR71" i="7"/>
  <c r="CV67" i="7"/>
  <c r="CV71" i="7"/>
  <c r="CV70" i="7"/>
  <c r="AD150" i="113"/>
  <c r="AD129" i="113"/>
  <c r="EV64" i="82"/>
  <c r="AC225" i="113"/>
  <c r="AC218" i="113"/>
  <c r="EV17" i="82"/>
  <c r="EV53" i="82"/>
  <c r="AA391" i="113"/>
  <c r="DY80" i="7"/>
  <c r="M7" i="15"/>
  <c r="EW17" i="2"/>
  <c r="FK9" i="2"/>
  <c r="EW20" i="2"/>
  <c r="EW12" i="2"/>
  <c r="EW23" i="2"/>
  <c r="EW24" i="2"/>
  <c r="EW63" i="2"/>
  <c r="EW169" i="82"/>
  <c r="CS66" i="7"/>
  <c r="CS16" i="7"/>
  <c r="DQ188" i="2"/>
  <c r="DR188" i="2"/>
  <c r="CS54" i="3"/>
  <c r="EW122" i="1"/>
  <c r="CR26" i="7"/>
  <c r="AD249" i="113"/>
  <c r="AD354" i="113" s="1"/>
  <c r="DA8" i="7"/>
  <c r="DB51" i="3"/>
  <c r="AD279" i="113"/>
  <c r="AD274" i="113"/>
  <c r="EW57" i="82"/>
  <c r="AA310" i="113"/>
  <c r="AA316" i="113"/>
  <c r="D112" i="112" s="1"/>
  <c r="AA463" i="113"/>
  <c r="AA465" i="113" s="1"/>
  <c r="EV128" i="1"/>
  <c r="EV134" i="1"/>
  <c r="EV133" i="1"/>
  <c r="AD77" i="113"/>
  <c r="AD67" i="113"/>
  <c r="AD50" i="113"/>
  <c r="CW8" i="7"/>
  <c r="CX53" i="3"/>
  <c r="DT190" i="2"/>
  <c r="DT189" i="2"/>
  <c r="CZ70" i="7"/>
  <c r="CZ67" i="7"/>
  <c r="CZ71" i="7"/>
  <c r="EY80" i="1" l="1"/>
  <c r="ER215" i="2"/>
  <c r="EQ215" i="2"/>
  <c r="ES215" i="2"/>
  <c r="ET215" i="2"/>
  <c r="AF121" i="113"/>
  <c r="AF144" i="113" s="1"/>
  <c r="EU134" i="82"/>
  <c r="EU123" i="82"/>
  <c r="EU135" i="82" s="1"/>
  <c r="EU146" i="82"/>
  <c r="ES135" i="82"/>
  <c r="EU112" i="2"/>
  <c r="EY16" i="1"/>
  <c r="EY24" i="1"/>
  <c r="EY38" i="1" s="1"/>
  <c r="EY52" i="1" s="1"/>
  <c r="EY79" i="1"/>
  <c r="EY58" i="1"/>
  <c r="EY84" i="1"/>
  <c r="EY10" i="82"/>
  <c r="EY80" i="82" s="1"/>
  <c r="EY89" i="82" s="1"/>
  <c r="EY491" i="1"/>
  <c r="EY492" i="1" s="1"/>
  <c r="AF84" i="113"/>
  <c r="AF99" i="113" s="1"/>
  <c r="EY99" i="1"/>
  <c r="EY100" i="1" s="1"/>
  <c r="EY30" i="1"/>
  <c r="AF173" i="113"/>
  <c r="EY44" i="1"/>
  <c r="EY82" i="1"/>
  <c r="EY493" i="1"/>
  <c r="AF47" i="113"/>
  <c r="EY90" i="1"/>
  <c r="EY78" i="1"/>
  <c r="EY9" i="1"/>
  <c r="EY22" i="1"/>
  <c r="AF126" i="113"/>
  <c r="U61" i="112"/>
  <c r="G109" i="112"/>
  <c r="EU213" i="2"/>
  <c r="EV152" i="82"/>
  <c r="EV154" i="82" s="1"/>
  <c r="EV156" i="82" s="1"/>
  <c r="EC73" i="3"/>
  <c r="DK52" i="3"/>
  <c r="DK8" i="7" s="1"/>
  <c r="DJ8" i="7"/>
  <c r="FB80" i="82"/>
  <c r="FF27" i="2"/>
  <c r="AC346" i="113"/>
  <c r="AC348" i="113" s="1"/>
  <c r="AH289" i="113"/>
  <c r="EX82" i="82"/>
  <c r="EX94" i="82"/>
  <c r="EX90" i="82"/>
  <c r="EX89" i="82"/>
  <c r="AC379" i="113"/>
  <c r="AH12" i="113"/>
  <c r="AE266" i="113"/>
  <c r="AE250" i="113"/>
  <c r="AE345" i="113"/>
  <c r="FA17" i="82"/>
  <c r="DX58" i="3"/>
  <c r="EV55" i="2"/>
  <c r="DX50" i="7"/>
  <c r="EC38" i="7"/>
  <c r="AB42" i="113"/>
  <c r="AB460" i="113"/>
  <c r="AB459" i="113"/>
  <c r="AB464" i="113"/>
  <c r="AB462" i="113"/>
  <c r="AB38" i="113"/>
  <c r="AB447" i="113"/>
  <c r="CW54" i="3"/>
  <c r="DE54" i="3"/>
  <c r="DI63" i="7"/>
  <c r="EV71" i="2"/>
  <c r="EV21" i="82"/>
  <c r="EV28" i="2"/>
  <c r="EV172" i="2" s="1"/>
  <c r="EV173" i="2" s="1"/>
  <c r="EV220" i="2"/>
  <c r="EV223" i="2" s="1"/>
  <c r="EV317" i="2"/>
  <c r="EV326" i="2" s="1"/>
  <c r="EV169" i="2"/>
  <c r="EV54" i="2"/>
  <c r="FF54" i="2" s="1"/>
  <c r="AC14" i="113"/>
  <c r="EV29" i="2"/>
  <c r="EV171" i="82"/>
  <c r="EV170" i="82" s="1"/>
  <c r="FJ27" i="2"/>
  <c r="AC378" i="113"/>
  <c r="DX65" i="3"/>
  <c r="AC383" i="113"/>
  <c r="EV151" i="2"/>
  <c r="AC32" i="113"/>
  <c r="AC377" i="113"/>
  <c r="AC41" i="113"/>
  <c r="AC381" i="113"/>
  <c r="AC453" i="113"/>
  <c r="AC37" i="113"/>
  <c r="K12" i="15"/>
  <c r="AE66" i="113"/>
  <c r="EX119" i="1"/>
  <c r="FB118" i="1"/>
  <c r="EX110" i="1"/>
  <c r="EX111" i="1" s="1"/>
  <c r="FB105" i="1"/>
  <c r="AE67" i="113"/>
  <c r="AE50" i="113"/>
  <c r="AE68" i="113" s="1"/>
  <c r="AE141" i="113"/>
  <c r="AE146" i="113"/>
  <c r="AE343" i="113"/>
  <c r="AE125" i="113"/>
  <c r="AE124" i="113" s="1"/>
  <c r="AE148" i="113"/>
  <c r="AE104" i="113"/>
  <c r="AE114" i="113"/>
  <c r="AE103" i="113"/>
  <c r="AB242" i="113"/>
  <c r="AB233" i="113"/>
  <c r="EX8" i="2"/>
  <c r="EX107" i="1"/>
  <c r="EX108" i="1" s="1"/>
  <c r="EX106" i="1"/>
  <c r="AC307" i="113"/>
  <c r="F110" i="112" s="1"/>
  <c r="U62" i="112" s="1"/>
  <c r="AC293" i="113"/>
  <c r="AC382" i="113" s="1"/>
  <c r="AC291" i="113"/>
  <c r="AC364" i="113" s="1"/>
  <c r="AC366" i="113" s="1"/>
  <c r="EX37" i="1"/>
  <c r="EX39" i="1"/>
  <c r="EX498" i="1"/>
  <c r="EX499" i="1" s="1"/>
  <c r="EX50" i="1"/>
  <c r="EX116" i="1"/>
  <c r="EX121" i="1"/>
  <c r="FB121" i="1" s="1"/>
  <c r="EW13" i="2"/>
  <c r="FK13" i="2" s="1"/>
  <c r="EW28" i="82"/>
  <c r="AD359" i="113"/>
  <c r="DB52" i="3"/>
  <c r="AC237" i="113"/>
  <c r="AC97" i="113"/>
  <c r="AC139" i="113"/>
  <c r="AC60" i="113"/>
  <c r="EV70" i="82"/>
  <c r="DA66" i="7"/>
  <c r="DA16" i="7"/>
  <c r="DY188" i="2"/>
  <c r="CR63" i="7"/>
  <c r="Q7" i="15"/>
  <c r="M8" i="15"/>
  <c r="DF52" i="3"/>
  <c r="AD283" i="113"/>
  <c r="AD253" i="113"/>
  <c r="AD269" i="113"/>
  <c r="AD268" i="113"/>
  <c r="EV135" i="1"/>
  <c r="EV137" i="1" s="1"/>
  <c r="CS26" i="7"/>
  <c r="EW46" i="2"/>
  <c r="EW56" i="2"/>
  <c r="EW75" i="2"/>
  <c r="FK24" i="2"/>
  <c r="EW146" i="2"/>
  <c r="EW280" i="2"/>
  <c r="DY103" i="7"/>
  <c r="DY93" i="7"/>
  <c r="DY30" i="7" s="1"/>
  <c r="DY81" i="7"/>
  <c r="DY95" i="7"/>
  <c r="DY31" i="7" s="1"/>
  <c r="DY169" i="7"/>
  <c r="DY88" i="7"/>
  <c r="DY97" i="7"/>
  <c r="DY32" i="7" s="1"/>
  <c r="DY64" i="3" s="1"/>
  <c r="DY90" i="7"/>
  <c r="AC227" i="113"/>
  <c r="AC241" i="113"/>
  <c r="AC231" i="113"/>
  <c r="AD263" i="113"/>
  <c r="AD256" i="113"/>
  <c r="AD271" i="113"/>
  <c r="AD285" i="113"/>
  <c r="DE66" i="7"/>
  <c r="DE16" i="7"/>
  <c r="EC188" i="2"/>
  <c r="AB197" i="113"/>
  <c r="AB206" i="113"/>
  <c r="AB380" i="113"/>
  <c r="CS71" i="7"/>
  <c r="CS70" i="7"/>
  <c r="CS67" i="7"/>
  <c r="S11" i="11"/>
  <c r="CT67" i="7"/>
  <c r="EW68" i="2"/>
  <c r="FK23" i="2"/>
  <c r="EW278" i="2"/>
  <c r="EW143" i="2"/>
  <c r="EW65" i="1"/>
  <c r="EW85" i="1"/>
  <c r="EW87" i="1" s="1"/>
  <c r="EW11" i="82"/>
  <c r="EW124" i="1"/>
  <c r="AD30" i="113"/>
  <c r="AD40" i="113"/>
  <c r="AD365" i="113"/>
  <c r="AD360" i="113"/>
  <c r="AD361" i="113"/>
  <c r="CZ63" i="7"/>
  <c r="CW66" i="7"/>
  <c r="CW16" i="7"/>
  <c r="CX8" i="7"/>
  <c r="DU188" i="2"/>
  <c r="EW70" i="2"/>
  <c r="FK12" i="2"/>
  <c r="EW64" i="2"/>
  <c r="EW275" i="2"/>
  <c r="EW133" i="2"/>
  <c r="AD11" i="113"/>
  <c r="AD370" i="113" s="1"/>
  <c r="EW203" i="2"/>
  <c r="EV24" i="82"/>
  <c r="AD105" i="113"/>
  <c r="AA384" i="113"/>
  <c r="AA98" i="113"/>
  <c r="AA140" i="113"/>
  <c r="AA61" i="113"/>
  <c r="EW67" i="2"/>
  <c r="FK20" i="2"/>
  <c r="EW140" i="2"/>
  <c r="EW277" i="2"/>
  <c r="EV137" i="82"/>
  <c r="AC303" i="113"/>
  <c r="AC454" i="113" s="1"/>
  <c r="EV138" i="82"/>
  <c r="DD63" i="7"/>
  <c r="AC238" i="113"/>
  <c r="AD62" i="113"/>
  <c r="AE75" i="113" s="1"/>
  <c r="AD99" i="113"/>
  <c r="DX168" i="7"/>
  <c r="DX70" i="3"/>
  <c r="DX74" i="3"/>
  <c r="DX81" i="3"/>
  <c r="DX92" i="3" s="1"/>
  <c r="DX23" i="3"/>
  <c r="DR190" i="2"/>
  <c r="DR189" i="2"/>
  <c r="EW40" i="82"/>
  <c r="AD68" i="113"/>
  <c r="DA54" i="3"/>
  <c r="DQ190" i="2"/>
  <c r="DQ189" i="2"/>
  <c r="FK17" i="2"/>
  <c r="EW26" i="2"/>
  <c r="EW66" i="2"/>
  <c r="EW137" i="2"/>
  <c r="EW390" i="2"/>
  <c r="EW276" i="2"/>
  <c r="AC244" i="113"/>
  <c r="AD151" i="113"/>
  <c r="AD130" i="113"/>
  <c r="CV63" i="7"/>
  <c r="AD213" i="113"/>
  <c r="AD174" i="113" s="1"/>
  <c r="AF123" i="113" l="1"/>
  <c r="DK16" i="7"/>
  <c r="DK26" i="7" s="1"/>
  <c r="DJ66" i="7"/>
  <c r="DJ71" i="7" s="1"/>
  <c r="EC168" i="7"/>
  <c r="DX178" i="7"/>
  <c r="EY101" i="1"/>
  <c r="EU215" i="2"/>
  <c r="EV20" i="82"/>
  <c r="EV33" i="82" s="1"/>
  <c r="EY81" i="1"/>
  <c r="EY83" i="1" s="1"/>
  <c r="EY82" i="82"/>
  <c r="EY81" i="82" s="1"/>
  <c r="EY105" i="82" s="1"/>
  <c r="EY90" i="82"/>
  <c r="AF262" i="113" s="1"/>
  <c r="AF248" i="113"/>
  <c r="AF345" i="113" s="1"/>
  <c r="EY94" i="82"/>
  <c r="AF85" i="113"/>
  <c r="AF86" i="113" s="1"/>
  <c r="EY494" i="1"/>
  <c r="EY495" i="1" s="1"/>
  <c r="EY118" i="1"/>
  <c r="EY119" i="1" s="1"/>
  <c r="AF342" i="113"/>
  <c r="AF102" i="113"/>
  <c r="EY105" i="1"/>
  <c r="EY110" i="1" s="1"/>
  <c r="EY111" i="1" s="1"/>
  <c r="AF172" i="113"/>
  <c r="AF193" i="113" s="1"/>
  <c r="AF344" i="113"/>
  <c r="AF194" i="113"/>
  <c r="AF148" i="113"/>
  <c r="EY36" i="1"/>
  <c r="EY115" i="1"/>
  <c r="EY23" i="1"/>
  <c r="EY517" i="1"/>
  <c r="EY25" i="1"/>
  <c r="EY26" i="1" s="1"/>
  <c r="EY100" i="82"/>
  <c r="AF261" i="113"/>
  <c r="EY92" i="1"/>
  <c r="AF48" i="113"/>
  <c r="AF49" i="113" s="1"/>
  <c r="EY93" i="1"/>
  <c r="EY94" i="1" s="1"/>
  <c r="EY91" i="1"/>
  <c r="AF341" i="113"/>
  <c r="AF51" i="113"/>
  <c r="AF62" i="113"/>
  <c r="AF65" i="113"/>
  <c r="AF343" i="113"/>
  <c r="AF146" i="113"/>
  <c r="AF125" i="113"/>
  <c r="AF124" i="113" s="1"/>
  <c r="AF141" i="113"/>
  <c r="FL8" i="2"/>
  <c r="DL51" i="3"/>
  <c r="DJ16" i="7"/>
  <c r="DK66" i="7"/>
  <c r="DK71" i="7" s="1"/>
  <c r="FF55" i="2"/>
  <c r="EV34" i="82"/>
  <c r="EV35" i="82" s="1"/>
  <c r="EX100" i="82"/>
  <c r="AE261" i="113"/>
  <c r="FF29" i="2"/>
  <c r="AE262" i="113"/>
  <c r="EX102" i="82"/>
  <c r="EX101" i="82"/>
  <c r="EX84" i="82"/>
  <c r="EX86" i="82" s="1"/>
  <c r="EX97" i="82"/>
  <c r="EX81" i="82"/>
  <c r="EX91" i="82"/>
  <c r="FB82" i="82"/>
  <c r="EX18" i="82"/>
  <c r="AC13" i="113"/>
  <c r="AC33" i="113" s="1"/>
  <c r="AH14" i="113"/>
  <c r="AE249" i="113"/>
  <c r="AE267" i="113"/>
  <c r="EV281" i="2"/>
  <c r="EV310" i="2" s="1"/>
  <c r="EV311" i="2" s="1"/>
  <c r="EV73" i="2"/>
  <c r="DX66" i="3"/>
  <c r="DX18" i="3" s="1"/>
  <c r="EV74" i="2"/>
  <c r="EV57" i="2"/>
  <c r="EV136" i="2"/>
  <c r="EC50" i="7"/>
  <c r="EV179" i="82"/>
  <c r="EV125" i="82" s="1"/>
  <c r="EV206" i="2"/>
  <c r="EV207" i="2" s="1"/>
  <c r="FJ55" i="2"/>
  <c r="AC22" i="113"/>
  <c r="AC446" i="113" s="1"/>
  <c r="EW115" i="82"/>
  <c r="EW130" i="82" s="1"/>
  <c r="DY63" i="3"/>
  <c r="EV154" i="2"/>
  <c r="EV155" i="2" s="1"/>
  <c r="EV72" i="2"/>
  <c r="FJ54" i="2"/>
  <c r="EV170" i="2"/>
  <c r="AC43" i="113"/>
  <c r="AC399" i="113"/>
  <c r="AC34" i="113"/>
  <c r="EV321" i="2"/>
  <c r="EV330" i="2" s="1"/>
  <c r="EV157" i="2"/>
  <c r="EV366" i="82"/>
  <c r="EV403" i="82" s="1"/>
  <c r="EV175" i="2"/>
  <c r="EV176" i="2" s="1"/>
  <c r="FJ29" i="2"/>
  <c r="EV315" i="2"/>
  <c r="EV324" i="2" s="1"/>
  <c r="EV152" i="2"/>
  <c r="FB50" i="1"/>
  <c r="EX41" i="82"/>
  <c r="AE9" i="113"/>
  <c r="AE352" i="113" s="1"/>
  <c r="AE115" i="113"/>
  <c r="AE88" i="113" s="1"/>
  <c r="AE99" i="113"/>
  <c r="AF112" i="113" s="1"/>
  <c r="AE147" i="113"/>
  <c r="AE128" i="113"/>
  <c r="AE158" i="113"/>
  <c r="EX130" i="2"/>
  <c r="EX62" i="2"/>
  <c r="EX9" i="2"/>
  <c r="EX168" i="82"/>
  <c r="AC309" i="113"/>
  <c r="AC314" i="113"/>
  <c r="AC292" i="113"/>
  <c r="AC308" i="113"/>
  <c r="EX122" i="1"/>
  <c r="EX9" i="82"/>
  <c r="FB9" i="82" s="1"/>
  <c r="EX53" i="1"/>
  <c r="EX54" i="1" s="1"/>
  <c r="EX51" i="1"/>
  <c r="EX64" i="1"/>
  <c r="EX40" i="1"/>
  <c r="EW150" i="2"/>
  <c r="EW166" i="2"/>
  <c r="EW167" i="2" s="1"/>
  <c r="EW65" i="2"/>
  <c r="EW144" i="2"/>
  <c r="EW391" i="2"/>
  <c r="EW141" i="2"/>
  <c r="EW134" i="2"/>
  <c r="EW147" i="2"/>
  <c r="EW138" i="2"/>
  <c r="EW13" i="82"/>
  <c r="EW14" i="82" s="1"/>
  <c r="EW150" i="82" s="1"/>
  <c r="AD368" i="113"/>
  <c r="AC186" i="113"/>
  <c r="AC201" i="113" s="1"/>
  <c r="EW303" i="2"/>
  <c r="EW286" i="2"/>
  <c r="AA157" i="113"/>
  <c r="AA451" i="113"/>
  <c r="AA132" i="113"/>
  <c r="DU189" i="2"/>
  <c r="DU190" i="2"/>
  <c r="DE67" i="7"/>
  <c r="DE71" i="7"/>
  <c r="DE70" i="7"/>
  <c r="DA71" i="7"/>
  <c r="DA70" i="7"/>
  <c r="DA67" i="7"/>
  <c r="DB8" i="7"/>
  <c r="DC53" i="3"/>
  <c r="AA450" i="113"/>
  <c r="AA111" i="113"/>
  <c r="AA90" i="113"/>
  <c r="AD374" i="113"/>
  <c r="AD31" i="113"/>
  <c r="EW287" i="2"/>
  <c r="EW305" i="2"/>
  <c r="DY10" i="7"/>
  <c r="DY58" i="3" s="1"/>
  <c r="DY82" i="7"/>
  <c r="DY73" i="7" s="1"/>
  <c r="DY15" i="3"/>
  <c r="DY55" i="7" s="1"/>
  <c r="FK56" i="2"/>
  <c r="EW209" i="2"/>
  <c r="AD23" i="113"/>
  <c r="EW180" i="82"/>
  <c r="AD280" i="113"/>
  <c r="AD270" i="113"/>
  <c r="AC110" i="113"/>
  <c r="AD353" i="113"/>
  <c r="AD357" i="113" s="1"/>
  <c r="AD175" i="113"/>
  <c r="DX71" i="3"/>
  <c r="DX72" i="3"/>
  <c r="EW284" i="2"/>
  <c r="EW290" i="2"/>
  <c r="EW299" i="2"/>
  <c r="CX66" i="7"/>
  <c r="CX16" i="7"/>
  <c r="DW188" i="2"/>
  <c r="CX54" i="3"/>
  <c r="DV188" i="2"/>
  <c r="EC189" i="2"/>
  <c r="EC190" i="2"/>
  <c r="AC243" i="113"/>
  <c r="AC188" i="113"/>
  <c r="DY101" i="7"/>
  <c r="DY42" i="7" s="1"/>
  <c r="DY99" i="7"/>
  <c r="DY33" i="7" s="1"/>
  <c r="DY190" i="2"/>
  <c r="DY189" i="2"/>
  <c r="DX174" i="7"/>
  <c r="DX171" i="7"/>
  <c r="AD369" i="113"/>
  <c r="CW26" i="7"/>
  <c r="AD12" i="113"/>
  <c r="AD379" i="113" s="1"/>
  <c r="AD258" i="113"/>
  <c r="DY91" i="7"/>
  <c r="DY29" i="7"/>
  <c r="DY62" i="3" s="1"/>
  <c r="AD164" i="113"/>
  <c r="AD152" i="113"/>
  <c r="EW69" i="2"/>
  <c r="FK26" i="2"/>
  <c r="CW67" i="7"/>
  <c r="CW71" i="7"/>
  <c r="CW70" i="7"/>
  <c r="S14" i="11"/>
  <c r="S21" i="11"/>
  <c r="S25" i="11"/>
  <c r="AD284" i="113"/>
  <c r="AD275" i="113"/>
  <c r="EW308" i="2"/>
  <c r="EW288" i="2"/>
  <c r="CS63" i="7"/>
  <c r="AD372" i="113"/>
  <c r="DF8" i="7"/>
  <c r="DG51" i="3"/>
  <c r="EW289" i="2"/>
  <c r="EW301" i="2"/>
  <c r="EW285" i="2"/>
  <c r="AD112" i="113"/>
  <c r="DY86" i="7"/>
  <c r="DY25" i="7" s="1"/>
  <c r="DY84" i="7"/>
  <c r="DY15" i="7" s="1"/>
  <c r="AC73" i="113"/>
  <c r="EW27" i="2"/>
  <c r="EW42" i="82"/>
  <c r="EW56" i="82"/>
  <c r="EW52" i="82"/>
  <c r="EW44" i="82"/>
  <c r="AD212" i="113"/>
  <c r="AD230" i="113" s="1"/>
  <c r="EW51" i="82"/>
  <c r="EW69" i="82"/>
  <c r="DX32" i="3"/>
  <c r="L15" i="15"/>
  <c r="AD75" i="113"/>
  <c r="AA74" i="113"/>
  <c r="AA449" i="113"/>
  <c r="AA187" i="113"/>
  <c r="AA53" i="113"/>
  <c r="EW204" i="2"/>
  <c r="EW125" i="1"/>
  <c r="EW127" i="1"/>
  <c r="AB384" i="113"/>
  <c r="AB140" i="113"/>
  <c r="AB98" i="113"/>
  <c r="AB61" i="113"/>
  <c r="DE26" i="7"/>
  <c r="DY11" i="3"/>
  <c r="EW55" i="2" s="1"/>
  <c r="DY176" i="7"/>
  <c r="DA26" i="7"/>
  <c r="AC156" i="113"/>
  <c r="DJ70" i="7" l="1"/>
  <c r="DJ67" i="7"/>
  <c r="AC327" i="113"/>
  <c r="AC337" i="113" s="1"/>
  <c r="E15" i="112" s="1"/>
  <c r="G15" i="112" s="1"/>
  <c r="FA20" i="82"/>
  <c r="EV19" i="82"/>
  <c r="EY101" i="82"/>
  <c r="EY102" i="82"/>
  <c r="EY97" i="82"/>
  <c r="EY84" i="82"/>
  <c r="EY86" i="82" s="1"/>
  <c r="EY112" i="82" s="1"/>
  <c r="EY18" i="82"/>
  <c r="EY96" i="82"/>
  <c r="EY91" i="82"/>
  <c r="AF104" i="113"/>
  <c r="AF114" i="113"/>
  <c r="AF115" i="113" s="1"/>
  <c r="AF88" i="113" s="1"/>
  <c r="AF106" i="113" s="1"/>
  <c r="AF266" i="113"/>
  <c r="AF103" i="113"/>
  <c r="AF250" i="113"/>
  <c r="AF249" i="113" s="1"/>
  <c r="EY107" i="1"/>
  <c r="EY106" i="1"/>
  <c r="EY8" i="2"/>
  <c r="EY62" i="2" s="1"/>
  <c r="EY95" i="82"/>
  <c r="AF66" i="113"/>
  <c r="AF75" i="113"/>
  <c r="AF279" i="113"/>
  <c r="AF274" i="113"/>
  <c r="AF69" i="113"/>
  <c r="AF158" i="113"/>
  <c r="AF67" i="113"/>
  <c r="AF77" i="113"/>
  <c r="AF50" i="113"/>
  <c r="AF278" i="113"/>
  <c r="AF277" i="113" s="1"/>
  <c r="AF251" i="113" s="1"/>
  <c r="AF273" i="113"/>
  <c r="AF128" i="113"/>
  <c r="AF147" i="113"/>
  <c r="EY121" i="1"/>
  <c r="EY116" i="1"/>
  <c r="EY50" i="1"/>
  <c r="EY37" i="1"/>
  <c r="EY39" i="1"/>
  <c r="EY40" i="1" s="1"/>
  <c r="EY498" i="1"/>
  <c r="EY499" i="1" s="1"/>
  <c r="DL52" i="3"/>
  <c r="DL8" i="7" s="1"/>
  <c r="FL9" i="2"/>
  <c r="EX131" i="2"/>
  <c r="AH188" i="113"/>
  <c r="E12" i="112"/>
  <c r="G12" i="112" s="1"/>
  <c r="F99" i="112"/>
  <c r="AC390" i="113"/>
  <c r="DK67" i="7"/>
  <c r="DK70" i="7"/>
  <c r="DJ26" i="7"/>
  <c r="Z30" i="11"/>
  <c r="AD30" i="11" s="1"/>
  <c r="DX105" i="7"/>
  <c r="AC302" i="113"/>
  <c r="AC445" i="113" s="1"/>
  <c r="L16" i="15"/>
  <c r="EX112" i="82"/>
  <c r="EX98" i="82"/>
  <c r="FF57" i="2"/>
  <c r="AC373" i="113"/>
  <c r="AH292" i="113"/>
  <c r="EX27" i="82"/>
  <c r="AE254" i="113"/>
  <c r="FB18" i="82"/>
  <c r="AE274" i="113"/>
  <c r="AE279" i="113"/>
  <c r="EV331" i="2"/>
  <c r="EC18" i="3"/>
  <c r="FB81" i="82"/>
  <c r="EX96" i="82"/>
  <c r="EX105" i="82"/>
  <c r="EX95" i="82"/>
  <c r="AE278" i="113"/>
  <c r="AE277" i="113" s="1"/>
  <c r="AE251" i="113" s="1"/>
  <c r="AE273" i="113"/>
  <c r="EV161" i="2"/>
  <c r="EV162" i="2" s="1"/>
  <c r="EV76" i="2"/>
  <c r="EX57" i="82"/>
  <c r="FB41" i="82"/>
  <c r="EV179" i="2"/>
  <c r="EV180" i="2" s="1"/>
  <c r="EV164" i="2"/>
  <c r="EV182" i="2"/>
  <c r="FJ57" i="2"/>
  <c r="L10" i="15"/>
  <c r="AC440" i="113"/>
  <c r="AC441" i="113"/>
  <c r="AC442" i="113"/>
  <c r="EV182" i="82"/>
  <c r="EV184" i="82" s="1"/>
  <c r="EV136" i="82"/>
  <c r="AC444" i="113"/>
  <c r="EV212" i="2"/>
  <c r="AC25" i="113"/>
  <c r="E16" i="112" s="1"/>
  <c r="AC36" i="113"/>
  <c r="AD289" i="113"/>
  <c r="AD291" i="113" s="1"/>
  <c r="EW187" i="82"/>
  <c r="DB54" i="3"/>
  <c r="DF54" i="3"/>
  <c r="DK63" i="7"/>
  <c r="DY61" i="3"/>
  <c r="DY65" i="3"/>
  <c r="FB64" i="1"/>
  <c r="EV158" i="2"/>
  <c r="EV411" i="82"/>
  <c r="EV367" i="82"/>
  <c r="EV368" i="82" s="1"/>
  <c r="EV377" i="82"/>
  <c r="EW160" i="82"/>
  <c r="AE150" i="113"/>
  <c r="AE129" i="113"/>
  <c r="AE112" i="113"/>
  <c r="AE106" i="113"/>
  <c r="AE87" i="113"/>
  <c r="AE356" i="113"/>
  <c r="AE355" i="113"/>
  <c r="AE29" i="113"/>
  <c r="AE213" i="113"/>
  <c r="AE174" i="113" s="1"/>
  <c r="AE10" i="113"/>
  <c r="AE354" i="113"/>
  <c r="AE350" i="113"/>
  <c r="AE351" i="113"/>
  <c r="EX17" i="2"/>
  <c r="EX12" i="2"/>
  <c r="DZ80" i="7"/>
  <c r="DZ169" i="7" s="1"/>
  <c r="EX20" i="2"/>
  <c r="EX24" i="2"/>
  <c r="EX169" i="82"/>
  <c r="EX63" i="2"/>
  <c r="N7" i="15"/>
  <c r="EX23" i="2"/>
  <c r="AC215" i="113"/>
  <c r="AC176" i="113" s="1"/>
  <c r="EX11" i="82"/>
  <c r="EX85" i="1"/>
  <c r="EX87" i="1" s="1"/>
  <c r="EX65" i="1"/>
  <c r="EX124" i="1"/>
  <c r="EX40" i="82"/>
  <c r="EW309" i="2"/>
  <c r="EW306" i="2"/>
  <c r="EW300" i="2"/>
  <c r="EW210" i="2"/>
  <c r="EW304" i="2"/>
  <c r="EW302" i="2"/>
  <c r="EW152" i="82"/>
  <c r="EW154" i="82" s="1"/>
  <c r="EW156" i="82" s="1"/>
  <c r="AC443" i="113"/>
  <c r="DY73" i="3"/>
  <c r="EW128" i="1"/>
  <c r="EW134" i="1"/>
  <c r="EW133" i="1"/>
  <c r="AD226" i="113"/>
  <c r="EW65" i="82"/>
  <c r="CW63" i="7"/>
  <c r="AA202" i="113"/>
  <c r="AA452" i="113"/>
  <c r="AA456" i="113" s="1"/>
  <c r="AA179" i="113"/>
  <c r="AC207" i="113"/>
  <c r="F100" i="112" s="1"/>
  <c r="W58" i="112" s="1"/>
  <c r="DB66" i="7"/>
  <c r="DB16" i="7"/>
  <c r="DC8" i="7"/>
  <c r="DZ188" i="2"/>
  <c r="EW126" i="82"/>
  <c r="EW43" i="82"/>
  <c r="EW58" i="82"/>
  <c r="AD214" i="113"/>
  <c r="CX26" i="7"/>
  <c r="CX67" i="7"/>
  <c r="CX71" i="7"/>
  <c r="CX70" i="7"/>
  <c r="T11" i="11"/>
  <c r="CY67" i="7"/>
  <c r="AD205" i="113"/>
  <c r="AD195" i="113"/>
  <c r="AD362" i="113"/>
  <c r="S41" i="11"/>
  <c r="S31" i="11"/>
  <c r="S38" i="11"/>
  <c r="AD37" i="113"/>
  <c r="AD455" i="113"/>
  <c r="AD453" i="113"/>
  <c r="DE63" i="7"/>
  <c r="EW136" i="1"/>
  <c r="AB74" i="113"/>
  <c r="AB449" i="113"/>
  <c r="AB187" i="113"/>
  <c r="AB53" i="113"/>
  <c r="EW64" i="82"/>
  <c r="AD225" i="113"/>
  <c r="AD286" i="113"/>
  <c r="DY167" i="7"/>
  <c r="DX20" i="7"/>
  <c r="DV189" i="2"/>
  <c r="DV190" i="2"/>
  <c r="DY38" i="7"/>
  <c r="DY50" i="7" s="1"/>
  <c r="AD32" i="113"/>
  <c r="AD41" i="113"/>
  <c r="AD383" i="113"/>
  <c r="AD377" i="113"/>
  <c r="AD378" i="113"/>
  <c r="AD381" i="113"/>
  <c r="AA117" i="113"/>
  <c r="AA92" i="113"/>
  <c r="AA108" i="113"/>
  <c r="AA396" i="113"/>
  <c r="AA89" i="113"/>
  <c r="FK55" i="2"/>
  <c r="EW206" i="2"/>
  <c r="EW281" i="2"/>
  <c r="EW310" i="2" s="1"/>
  <c r="EW136" i="2"/>
  <c r="EW74" i="2"/>
  <c r="AD22" i="113"/>
  <c r="EW179" i="82"/>
  <c r="EW125" i="82" s="1"/>
  <c r="DF66" i="7"/>
  <c r="DF16" i="7"/>
  <c r="ED188" i="2"/>
  <c r="AB111" i="113"/>
  <c r="AB450" i="113"/>
  <c r="AB90" i="113"/>
  <c r="DA63" i="7"/>
  <c r="AB157" i="113"/>
  <c r="AB451" i="113"/>
  <c r="AB132" i="113"/>
  <c r="AA80" i="113"/>
  <c r="AA395" i="113"/>
  <c r="AA71" i="113"/>
  <c r="AA52" i="113"/>
  <c r="EW17" i="82"/>
  <c r="EW53" i="82"/>
  <c r="AD218" i="113"/>
  <c r="EW61" i="82"/>
  <c r="EW28" i="2"/>
  <c r="EW71" i="2"/>
  <c r="FK27" i="2"/>
  <c r="EW29" i="2"/>
  <c r="EW54" i="2"/>
  <c r="EW220" i="2"/>
  <c r="EW223" i="2" s="1"/>
  <c r="EW169" i="2"/>
  <c r="EW317" i="2"/>
  <c r="EW151" i="2"/>
  <c r="EW171" i="82"/>
  <c r="AD14" i="113"/>
  <c r="AD13" i="113" s="1"/>
  <c r="EW21" i="82"/>
  <c r="DG52" i="3"/>
  <c r="DW189" i="2"/>
  <c r="DW190" i="2"/>
  <c r="AA397" i="113"/>
  <c r="AA134" i="113"/>
  <c r="AA166" i="113"/>
  <c r="AA154" i="113"/>
  <c r="AA131" i="113"/>
  <c r="DJ63" i="7" l="1"/>
  <c r="DL16" i="7"/>
  <c r="EY27" i="82"/>
  <c r="AC401" i="113"/>
  <c r="AC326" i="113"/>
  <c r="AC392" i="113" s="1"/>
  <c r="AC329" i="113"/>
  <c r="AC331" i="113" s="1"/>
  <c r="DL66" i="7"/>
  <c r="DL70" i="7" s="1"/>
  <c r="EV30" i="82"/>
  <c r="FA19" i="82"/>
  <c r="EV118" i="82"/>
  <c r="FA118" i="82" s="1"/>
  <c r="AF87" i="113"/>
  <c r="AF105" i="113" s="1"/>
  <c r="AF254" i="113"/>
  <c r="AF285" i="113" s="1"/>
  <c r="EY98" i="82"/>
  <c r="AF252" i="113"/>
  <c r="AF283" i="113" s="1"/>
  <c r="EY108" i="1"/>
  <c r="AF267" i="113"/>
  <c r="EY9" i="2"/>
  <c r="EY41" i="82"/>
  <c r="EY57" i="82" s="1"/>
  <c r="EY168" i="82"/>
  <c r="AF9" i="113"/>
  <c r="AF10" i="113" s="1"/>
  <c r="EY130" i="2"/>
  <c r="EY131" i="2" s="1"/>
  <c r="AF150" i="113"/>
  <c r="AF129" i="113"/>
  <c r="AF130" i="113" s="1"/>
  <c r="AF164" i="113" s="1"/>
  <c r="EY9" i="82"/>
  <c r="EY51" i="1"/>
  <c r="EY53" i="1"/>
  <c r="EY54" i="1" s="1"/>
  <c r="EY64" i="1"/>
  <c r="EY124" i="1" s="1"/>
  <c r="EY127" i="1" s="1"/>
  <c r="EY28" i="82"/>
  <c r="EY122" i="1"/>
  <c r="AF68" i="113"/>
  <c r="FB124" i="1"/>
  <c r="AF268" i="113"/>
  <c r="W57" i="112"/>
  <c r="G99" i="112"/>
  <c r="S57" i="112"/>
  <c r="D12" i="112"/>
  <c r="G16" i="112"/>
  <c r="FL20" i="2"/>
  <c r="S63" i="112"/>
  <c r="FL23" i="2"/>
  <c r="FL17" i="2"/>
  <c r="FL24" i="2"/>
  <c r="FL12" i="2"/>
  <c r="N8" i="15"/>
  <c r="EV213" i="2"/>
  <c r="L11" i="15"/>
  <c r="L12" i="15"/>
  <c r="EX115" i="82"/>
  <c r="AE289" i="113" s="1"/>
  <c r="FB11" i="82"/>
  <c r="AE271" i="113"/>
  <c r="AE263" i="113"/>
  <c r="AE285" i="113"/>
  <c r="AE256" i="113"/>
  <c r="AE258" i="113" s="1"/>
  <c r="AE286" i="113" s="1"/>
  <c r="EX28" i="82"/>
  <c r="AE268" i="113"/>
  <c r="AE252" i="113"/>
  <c r="AC459" i="113"/>
  <c r="AH25" i="113"/>
  <c r="AE212" i="113"/>
  <c r="AE230" i="113" s="1"/>
  <c r="FB40" i="82"/>
  <c r="AC447" i="113"/>
  <c r="AC462" i="113"/>
  <c r="AC460" i="113"/>
  <c r="AC461" i="113"/>
  <c r="AC464" i="113"/>
  <c r="AC458" i="113"/>
  <c r="AC38" i="113"/>
  <c r="AC42" i="113"/>
  <c r="AD307" i="113"/>
  <c r="ED169" i="7"/>
  <c r="AD293" i="113"/>
  <c r="AD292" i="113" s="1"/>
  <c r="AD346" i="113"/>
  <c r="AD348" i="113" s="1"/>
  <c r="EX64" i="2"/>
  <c r="EX66" i="2"/>
  <c r="EX280" i="2"/>
  <c r="EX68" i="2"/>
  <c r="EX277" i="2"/>
  <c r="EX137" i="2"/>
  <c r="EX276" i="2"/>
  <c r="AE105" i="113"/>
  <c r="AE40" i="113"/>
  <c r="AE30" i="113"/>
  <c r="AE365" i="113"/>
  <c r="AE363" i="113"/>
  <c r="AE359" i="113"/>
  <c r="AE360" i="113"/>
  <c r="AE361" i="113"/>
  <c r="AE353" i="113"/>
  <c r="AE357" i="113" s="1"/>
  <c r="AE175" i="113"/>
  <c r="EX133" i="2"/>
  <c r="AE11" i="113"/>
  <c r="AE370" i="113" s="1"/>
  <c r="AE151" i="113"/>
  <c r="AE130" i="113"/>
  <c r="EX13" i="2"/>
  <c r="DZ90" i="7"/>
  <c r="DZ91" i="7" s="1"/>
  <c r="EX140" i="2"/>
  <c r="EX275" i="2"/>
  <c r="DZ81" i="7"/>
  <c r="DZ82" i="7" s="1"/>
  <c r="DZ73" i="7" s="1"/>
  <c r="DZ97" i="7"/>
  <c r="DZ32" i="7" s="1"/>
  <c r="DZ88" i="7"/>
  <c r="DZ84" i="7" s="1"/>
  <c r="DZ15" i="7" s="1"/>
  <c r="DZ103" i="7"/>
  <c r="DZ99" i="7" s="1"/>
  <c r="DZ33" i="7" s="1"/>
  <c r="DZ95" i="7"/>
  <c r="DZ31" i="7" s="1"/>
  <c r="DZ93" i="7"/>
  <c r="DZ30" i="7" s="1"/>
  <c r="EX390" i="2"/>
  <c r="EX67" i="2"/>
  <c r="R7" i="15"/>
  <c r="EX26" i="2"/>
  <c r="EX56" i="2"/>
  <c r="FL56" i="2" s="1"/>
  <c r="EX46" i="2"/>
  <c r="EX75" i="2"/>
  <c r="EX146" i="2"/>
  <c r="EX278" i="2"/>
  <c r="EX203" i="2"/>
  <c r="EX70" i="2"/>
  <c r="EX143" i="2"/>
  <c r="AC216" i="113"/>
  <c r="AC233" i="113" s="1"/>
  <c r="AC232" i="113"/>
  <c r="EX13" i="82"/>
  <c r="EX125" i="1"/>
  <c r="EX127" i="1"/>
  <c r="FB127" i="1" s="1"/>
  <c r="EX42" i="82"/>
  <c r="EX52" i="82"/>
  <c r="EX51" i="82"/>
  <c r="EX56" i="82"/>
  <c r="EX44" i="82"/>
  <c r="EX69" i="82"/>
  <c r="DZ176" i="7"/>
  <c r="DZ11" i="3"/>
  <c r="EW311" i="2"/>
  <c r="EW24" i="82"/>
  <c r="EW170" i="2"/>
  <c r="EW152" i="2"/>
  <c r="EW20" i="82"/>
  <c r="DY66" i="3"/>
  <c r="DY18" i="3" s="1"/>
  <c r="M16" i="15" s="1"/>
  <c r="EW135" i="1"/>
  <c r="EW137" i="1" s="1"/>
  <c r="AD33" i="113"/>
  <c r="AD390" i="113"/>
  <c r="FK29" i="2"/>
  <c r="EW157" i="2"/>
  <c r="EW73" i="2"/>
  <c r="EW175" i="2"/>
  <c r="EW366" i="82"/>
  <c r="EW137" i="82"/>
  <c r="EW138" i="82"/>
  <c r="AD303" i="113"/>
  <c r="AD454" i="113" s="1"/>
  <c r="AB92" i="113"/>
  <c r="AB108" i="113"/>
  <c r="AB396" i="113"/>
  <c r="AB117" i="113"/>
  <c r="AB89" i="113"/>
  <c r="AD238" i="113"/>
  <c r="AD227" i="113"/>
  <c r="EW66" i="82"/>
  <c r="AB397" i="113"/>
  <c r="AB166" i="113"/>
  <c r="AB134" i="113"/>
  <c r="AB154" i="113"/>
  <c r="AB131" i="113"/>
  <c r="AD308" i="113"/>
  <c r="AD364" i="113"/>
  <c r="AD366" i="113" s="1"/>
  <c r="AD314" i="113"/>
  <c r="ED189" i="2"/>
  <c r="ED190" i="2"/>
  <c r="DB71" i="7"/>
  <c r="DB70" i="7"/>
  <c r="DB67" i="7"/>
  <c r="EW207" i="2"/>
  <c r="EW212" i="2"/>
  <c r="AD241" i="113"/>
  <c r="AD231" i="113"/>
  <c r="DZ190" i="2"/>
  <c r="DZ189" i="2"/>
  <c r="EW326" i="2"/>
  <c r="EW315" i="2"/>
  <c r="EW324" i="2" s="1"/>
  <c r="EW321" i="2"/>
  <c r="EW330" i="2" s="1"/>
  <c r="EW72" i="2"/>
  <c r="EW154" i="2"/>
  <c r="EW172" i="2"/>
  <c r="AA70" i="113"/>
  <c r="AA386" i="113"/>
  <c r="DF26" i="7"/>
  <c r="AB71" i="113"/>
  <c r="AB395" i="113"/>
  <c r="AB80" i="113"/>
  <c r="AB52" i="113"/>
  <c r="CX63" i="7"/>
  <c r="AA208" i="113"/>
  <c r="AA398" i="113"/>
  <c r="AA402" i="113" s="1"/>
  <c r="AA199" i="113"/>
  <c r="AA178" i="113"/>
  <c r="AD235" i="113"/>
  <c r="AD244" i="113"/>
  <c r="EW182" i="82"/>
  <c r="EW170" i="82"/>
  <c r="DF67" i="7"/>
  <c r="DF71" i="7"/>
  <c r="DF70" i="7"/>
  <c r="AD237" i="113"/>
  <c r="AD60" i="113"/>
  <c r="AD97" i="113"/>
  <c r="AD139" i="113"/>
  <c r="AB202" i="113"/>
  <c r="AB452" i="113"/>
  <c r="AB456" i="113" s="1"/>
  <c r="EW60" i="82"/>
  <c r="EW59" i="82"/>
  <c r="EW70" i="82"/>
  <c r="AD25" i="113"/>
  <c r="AD43" i="113"/>
  <c r="AD34" i="113"/>
  <c r="AD399" i="113"/>
  <c r="AA107" i="113"/>
  <c r="AA387" i="113"/>
  <c r="AA388" i="113"/>
  <c r="AA153" i="113"/>
  <c r="DG8" i="7"/>
  <c r="DH53" i="3"/>
  <c r="AD302" i="113"/>
  <c r="AD445" i="113" s="1"/>
  <c r="EW136" i="82"/>
  <c r="AC371" i="113"/>
  <c r="AC375" i="113" s="1"/>
  <c r="AC196" i="113"/>
  <c r="AC177" i="113"/>
  <c r="AH177" i="113" s="1"/>
  <c r="DC66" i="7"/>
  <c r="DC16" i="7"/>
  <c r="EB188" i="2"/>
  <c r="DC54" i="3"/>
  <c r="EA188" i="2"/>
  <c r="DY168" i="7"/>
  <c r="DY178" i="7" s="1"/>
  <c r="DY70" i="3"/>
  <c r="DY74" i="3"/>
  <c r="DY23" i="3"/>
  <c r="DY81" i="3"/>
  <c r="DY92" i="3" s="1"/>
  <c r="EW34" i="82"/>
  <c r="EW35" i="82" s="1"/>
  <c r="EW57" i="2"/>
  <c r="AA30" i="11" s="1"/>
  <c r="AE30" i="11" s="1"/>
  <c r="FK54" i="2"/>
  <c r="AD446" i="113"/>
  <c r="AD36" i="113"/>
  <c r="AD444" i="113"/>
  <c r="T14" i="11"/>
  <c r="T25" i="11"/>
  <c r="T21" i="11"/>
  <c r="DB26" i="7"/>
  <c r="DL26" i="7" l="1"/>
  <c r="EA80" i="7"/>
  <c r="EA93" i="7" s="1"/>
  <c r="EA30" i="7" s="1"/>
  <c r="DL67" i="7"/>
  <c r="DL71" i="7"/>
  <c r="EV120" i="82"/>
  <c r="EV122" i="82" s="1"/>
  <c r="AC299" i="113" s="1"/>
  <c r="AC318" i="113" s="1"/>
  <c r="AC295" i="113"/>
  <c r="AC297" i="113" s="1"/>
  <c r="EV127" i="82"/>
  <c r="EV144" i="82"/>
  <c r="EV116" i="82"/>
  <c r="EV188" i="82"/>
  <c r="AF269" i="113"/>
  <c r="EY12" i="2"/>
  <c r="EY13" i="2" s="1"/>
  <c r="EY166" i="2" s="1"/>
  <c r="AF263" i="113"/>
  <c r="AF284" i="113" s="1"/>
  <c r="AF256" i="113"/>
  <c r="AF258" i="113" s="1"/>
  <c r="AF286" i="113" s="1"/>
  <c r="AF271" i="113"/>
  <c r="AF253" i="113"/>
  <c r="AF280" i="113" s="1"/>
  <c r="EY20" i="2"/>
  <c r="EY67" i="2" s="1"/>
  <c r="AF356" i="113"/>
  <c r="EY63" i="2"/>
  <c r="AF354" i="113"/>
  <c r="EY24" i="2"/>
  <c r="EY75" i="2" s="1"/>
  <c r="O7" i="15"/>
  <c r="S7" i="15" s="1"/>
  <c r="AF350" i="113"/>
  <c r="EY23" i="2"/>
  <c r="EY68" i="2" s="1"/>
  <c r="EY17" i="2"/>
  <c r="EY66" i="2" s="1"/>
  <c r="AF351" i="113"/>
  <c r="AF352" i="113"/>
  <c r="EY169" i="82"/>
  <c r="AF213" i="113"/>
  <c r="AF174" i="113" s="1"/>
  <c r="AF353" i="113" s="1"/>
  <c r="AF29" i="113"/>
  <c r="AF355" i="113"/>
  <c r="AF152" i="113"/>
  <c r="EY125" i="1"/>
  <c r="AF151" i="113"/>
  <c r="EA73" i="3"/>
  <c r="EY128" i="1"/>
  <c r="EY136" i="1"/>
  <c r="EY134" i="1"/>
  <c r="EY133" i="1"/>
  <c r="EY40" i="82"/>
  <c r="EY11" i="82"/>
  <c r="EY65" i="1"/>
  <c r="EY85" i="1"/>
  <c r="EY87" i="1" s="1"/>
  <c r="AF30" i="113"/>
  <c r="AF40" i="113"/>
  <c r="AF365" i="113"/>
  <c r="AF360" i="113"/>
  <c r="AF359" i="113"/>
  <c r="AF363" i="113"/>
  <c r="AF361" i="113"/>
  <c r="EA90" i="7"/>
  <c r="DZ64" i="3"/>
  <c r="FL26" i="2"/>
  <c r="EX286" i="2"/>
  <c r="EX144" i="2"/>
  <c r="S64" i="112"/>
  <c r="D16" i="112"/>
  <c r="F16" i="112"/>
  <c r="EX134" i="2"/>
  <c r="EX299" i="2"/>
  <c r="EX305" i="2"/>
  <c r="EX391" i="2"/>
  <c r="EX141" i="2"/>
  <c r="EX288" i="2"/>
  <c r="EX147" i="2"/>
  <c r="EX301" i="2"/>
  <c r="FL13" i="2"/>
  <c r="EX138" i="2"/>
  <c r="EX130" i="82"/>
  <c r="EX187" i="82"/>
  <c r="FB115" i="82"/>
  <c r="AE291" i="113"/>
  <c r="AE314" i="113" s="1"/>
  <c r="AE307" i="113"/>
  <c r="AE346" i="113"/>
  <c r="AE348" i="113" s="1"/>
  <c r="AE293" i="113"/>
  <c r="AE309" i="113" s="1"/>
  <c r="AE275" i="113"/>
  <c r="AE284" i="113"/>
  <c r="AD327" i="113"/>
  <c r="AD337" i="113" s="1"/>
  <c r="AD464" i="113" s="1"/>
  <c r="AE253" i="113"/>
  <c r="AE269" i="113"/>
  <c r="AE283" i="113"/>
  <c r="AE218" i="113"/>
  <c r="AE244" i="113" s="1"/>
  <c r="FB44" i="82"/>
  <c r="AE214" i="113"/>
  <c r="AE241" i="113" s="1"/>
  <c r="FB42" i="82"/>
  <c r="EX14" i="82"/>
  <c r="EX150" i="82" s="1"/>
  <c r="FB13" i="82"/>
  <c r="EX69" i="2"/>
  <c r="EX166" i="2"/>
  <c r="DY174" i="7"/>
  <c r="AD382" i="113"/>
  <c r="AD309" i="113"/>
  <c r="DZ63" i="3"/>
  <c r="EX204" i="2"/>
  <c r="EX308" i="2"/>
  <c r="EX303" i="2"/>
  <c r="EX285" i="2"/>
  <c r="DZ10" i="7"/>
  <c r="DZ29" i="7"/>
  <c r="EX150" i="2"/>
  <c r="EX284" i="2"/>
  <c r="EX65" i="2"/>
  <c r="AE12" i="113"/>
  <c r="AE41" i="113" s="1"/>
  <c r="AE369" i="113"/>
  <c r="EX209" i="2"/>
  <c r="AE23" i="113"/>
  <c r="AE374" i="113"/>
  <c r="AE31" i="113"/>
  <c r="AE368" i="113"/>
  <c r="AE372" i="113"/>
  <c r="AE205" i="113"/>
  <c r="AE195" i="113"/>
  <c r="AE362" i="113"/>
  <c r="EX64" i="82"/>
  <c r="AE225" i="113"/>
  <c r="EX65" i="82"/>
  <c r="AE226" i="113"/>
  <c r="AE164" i="113"/>
  <c r="AE152" i="113"/>
  <c r="DZ101" i="7"/>
  <c r="DZ42" i="7" s="1"/>
  <c r="DZ65" i="3" s="1"/>
  <c r="DZ86" i="7"/>
  <c r="DZ25" i="7" s="1"/>
  <c r="DZ61" i="3" s="1"/>
  <c r="EX180" i="82"/>
  <c r="EX126" i="82" s="1"/>
  <c r="DZ15" i="3"/>
  <c r="DZ55" i="7" s="1"/>
  <c r="AC217" i="113"/>
  <c r="AC242" i="113"/>
  <c r="EX27" i="2"/>
  <c r="EX289" i="2"/>
  <c r="EX287" i="2"/>
  <c r="EX290" i="2"/>
  <c r="EX58" i="82"/>
  <c r="EX43" i="82"/>
  <c r="FB43" i="82" s="1"/>
  <c r="EX61" i="82"/>
  <c r="EX17" i="82"/>
  <c r="EX53" i="82"/>
  <c r="DZ73" i="3"/>
  <c r="EX128" i="1"/>
  <c r="EX134" i="1"/>
  <c r="EX133" i="1"/>
  <c r="EX136" i="1"/>
  <c r="EW173" i="2"/>
  <c r="EW155" i="2"/>
  <c r="EW331" i="2"/>
  <c r="EW213" i="2"/>
  <c r="EW25" i="82"/>
  <c r="EW158" i="2"/>
  <c r="EW176" i="2"/>
  <c r="EW19" i="82"/>
  <c r="EW33" i="82"/>
  <c r="DY105" i="7"/>
  <c r="AD186" i="113"/>
  <c r="AD443" i="113" s="1"/>
  <c r="M10" i="15"/>
  <c r="FK57" i="2"/>
  <c r="EW161" i="2"/>
  <c r="EW182" i="2"/>
  <c r="EW164" i="2"/>
  <c r="EW179" i="2"/>
  <c r="EW76" i="2"/>
  <c r="EB190" i="2"/>
  <c r="EB189" i="2"/>
  <c r="DG16" i="7"/>
  <c r="DH8" i="7"/>
  <c r="DG66" i="7"/>
  <c r="EE188" i="2"/>
  <c r="AD42" i="113"/>
  <c r="AD38" i="113"/>
  <c r="AD460" i="113"/>
  <c r="AD458" i="113"/>
  <c r="AD462" i="113"/>
  <c r="AD459" i="113"/>
  <c r="AD73" i="113"/>
  <c r="AD440" i="113"/>
  <c r="AA198" i="113"/>
  <c r="AA389" i="113"/>
  <c r="AA393" i="113" s="1"/>
  <c r="DF63" i="7"/>
  <c r="AB70" i="113"/>
  <c r="AB386" i="113"/>
  <c r="EW403" i="82"/>
  <c r="EW411" i="82"/>
  <c r="EW367" i="82"/>
  <c r="EW368" i="82" s="1"/>
  <c r="EW377" i="82"/>
  <c r="M15" i="15"/>
  <c r="DY32" i="3"/>
  <c r="EW184" i="82"/>
  <c r="AD188" i="113"/>
  <c r="AD243" i="113"/>
  <c r="AD239" i="113"/>
  <c r="AB387" i="113"/>
  <c r="AB107" i="113"/>
  <c r="DY72" i="3"/>
  <c r="DY71" i="3"/>
  <c r="DC26" i="7"/>
  <c r="AD373" i="113"/>
  <c r="AD215" i="113"/>
  <c r="T38" i="11"/>
  <c r="T31" i="11"/>
  <c r="T41" i="11"/>
  <c r="DC67" i="7"/>
  <c r="DC71" i="7"/>
  <c r="DC70" i="7"/>
  <c r="U11" i="11"/>
  <c r="DD67" i="7"/>
  <c r="AB153" i="113"/>
  <c r="AB388" i="113"/>
  <c r="EA190" i="2"/>
  <c r="EA189" i="2"/>
  <c r="AC380" i="113"/>
  <c r="AC206" i="113"/>
  <c r="AC197" i="113"/>
  <c r="AD442" i="113"/>
  <c r="AD156" i="113"/>
  <c r="DY171" i="7"/>
  <c r="DZ167" i="7" s="1"/>
  <c r="DB63" i="7"/>
  <c r="DG54" i="3"/>
  <c r="AD110" i="113"/>
  <c r="AD441" i="113"/>
  <c r="EA103" i="7" l="1"/>
  <c r="EA88" i="7"/>
  <c r="EA169" i="7"/>
  <c r="EA95" i="7"/>
  <c r="EA31" i="7" s="1"/>
  <c r="EA81" i="7"/>
  <c r="EA97" i="7"/>
  <c r="EA32" i="7" s="1"/>
  <c r="EA64" i="3" s="1"/>
  <c r="DL63" i="7"/>
  <c r="EY115" i="82"/>
  <c r="EY187" i="82" s="1"/>
  <c r="EV146" i="82"/>
  <c r="AC304" i="113"/>
  <c r="F111" i="112" s="1"/>
  <c r="AC317" i="113"/>
  <c r="AC400" i="113"/>
  <c r="AC294" i="113"/>
  <c r="AH294" i="113" s="1"/>
  <c r="FA116" i="82"/>
  <c r="EV117" i="82"/>
  <c r="EV141" i="82"/>
  <c r="EY275" i="2"/>
  <c r="EY299" i="2" s="1"/>
  <c r="EY300" i="2" s="1"/>
  <c r="AF11" i="113"/>
  <c r="AF374" i="113" s="1"/>
  <c r="AF275" i="113"/>
  <c r="EY64" i="2"/>
  <c r="EY133" i="2"/>
  <c r="EY134" i="2" s="1"/>
  <c r="EY137" i="2"/>
  <c r="EY138" i="2" s="1"/>
  <c r="EY143" i="2"/>
  <c r="EY144" i="2" s="1"/>
  <c r="EY390" i="2"/>
  <c r="EY391" i="2" s="1"/>
  <c r="EY26" i="2"/>
  <c r="EY27" i="2" s="1"/>
  <c r="EY277" i="2"/>
  <c r="EY303" i="2" s="1"/>
  <c r="EY304" i="2" s="1"/>
  <c r="EY140" i="2"/>
  <c r="EY141" i="2" s="1"/>
  <c r="EY278" i="2"/>
  <c r="EY305" i="2" s="1"/>
  <c r="EY306" i="2" s="1"/>
  <c r="AF270" i="113"/>
  <c r="EY276" i="2"/>
  <c r="EY301" i="2" s="1"/>
  <c r="EY302" i="2" s="1"/>
  <c r="EY70" i="2"/>
  <c r="EY146" i="2"/>
  <c r="EY147" i="2" s="1"/>
  <c r="EY56" i="2"/>
  <c r="EY209" i="2" s="1"/>
  <c r="EY210" i="2" s="1"/>
  <c r="AF175" i="113"/>
  <c r="AF362" i="113" s="1"/>
  <c r="EY280" i="2"/>
  <c r="EY308" i="2" s="1"/>
  <c r="EY309" i="2" s="1"/>
  <c r="EY46" i="2"/>
  <c r="EY65" i="2"/>
  <c r="EY203" i="2"/>
  <c r="EY204" i="2" s="1"/>
  <c r="O8" i="15"/>
  <c r="AF357" i="113"/>
  <c r="EY13" i="82"/>
  <c r="EY14" i="82" s="1"/>
  <c r="EY150" i="82" s="1"/>
  <c r="EY160" i="82" s="1"/>
  <c r="EY150" i="2"/>
  <c r="EY135" i="1"/>
  <c r="EY137" i="1" s="1"/>
  <c r="EA63" i="3"/>
  <c r="EA84" i="7"/>
  <c r="EA15" i="7" s="1"/>
  <c r="EA86" i="7"/>
  <c r="EA25" i="7" s="1"/>
  <c r="EY130" i="82"/>
  <c r="EA176" i="7"/>
  <c r="EA11" i="3"/>
  <c r="EY55" i="2" s="1"/>
  <c r="AF212" i="113"/>
  <c r="AF230" i="113" s="1"/>
  <c r="EY44" i="82"/>
  <c r="EY52" i="82"/>
  <c r="EY56" i="82"/>
  <c r="EY51" i="82"/>
  <c r="EY42" i="82"/>
  <c r="EY69" i="82"/>
  <c r="EA101" i="7"/>
  <c r="EA42" i="7" s="1"/>
  <c r="EA99" i="7"/>
  <c r="EA33" i="7" s="1"/>
  <c r="EA29" i="7"/>
  <c r="EA91" i="7"/>
  <c r="EA10" i="7"/>
  <c r="EA58" i="3" s="1"/>
  <c r="EA82" i="7"/>
  <c r="EA73" i="7" s="1"/>
  <c r="EA74" i="3"/>
  <c r="EA168" i="7"/>
  <c r="EA178" i="7" s="1"/>
  <c r="EA81" i="3"/>
  <c r="EA92" i="3" s="1"/>
  <c r="EA70" i="3"/>
  <c r="EA23" i="3"/>
  <c r="DZ62" i="3"/>
  <c r="DZ58" i="3"/>
  <c r="EX309" i="2"/>
  <c r="EX167" i="2"/>
  <c r="EY167" i="2"/>
  <c r="EX304" i="2"/>
  <c r="EX300" i="2"/>
  <c r="FL27" i="2"/>
  <c r="EX302" i="2"/>
  <c r="EX210" i="2"/>
  <c r="EX306" i="2"/>
  <c r="AD401" i="113"/>
  <c r="AD326" i="113"/>
  <c r="AD392" i="113" s="1"/>
  <c r="AD329" i="113"/>
  <c r="AD331" i="113" s="1"/>
  <c r="ED73" i="3"/>
  <c r="AE235" i="113"/>
  <c r="AE231" i="113"/>
  <c r="AE292" i="113"/>
  <c r="AE373" i="113" s="1"/>
  <c r="AE364" i="113"/>
  <c r="AE366" i="113" s="1"/>
  <c r="AE308" i="113"/>
  <c r="AE280" i="113"/>
  <c r="AE270" i="113"/>
  <c r="FB17" i="82"/>
  <c r="EX152" i="82"/>
  <c r="EX20" i="82" s="1"/>
  <c r="EX160" i="82"/>
  <c r="AE303" i="113"/>
  <c r="AE454" i="113" s="1"/>
  <c r="DZ38" i="7"/>
  <c r="AE379" i="113"/>
  <c r="AE382" i="113"/>
  <c r="AE381" i="113"/>
  <c r="AE32" i="113"/>
  <c r="AE378" i="113"/>
  <c r="AE377" i="113"/>
  <c r="AE383" i="113"/>
  <c r="AE238" i="113"/>
  <c r="AE14" i="113"/>
  <c r="AE237" i="113"/>
  <c r="AE60" i="113"/>
  <c r="AE139" i="113"/>
  <c r="AE97" i="113"/>
  <c r="AE455" i="113"/>
  <c r="AE37" i="113"/>
  <c r="AE453" i="113"/>
  <c r="EX66" i="82"/>
  <c r="AE227" i="113"/>
  <c r="EX21" i="82"/>
  <c r="EX169" i="2"/>
  <c r="EX317" i="2"/>
  <c r="EX315" i="2" s="1"/>
  <c r="EX324" i="2" s="1"/>
  <c r="EX71" i="2"/>
  <c r="EX54" i="2"/>
  <c r="FL54" i="2" s="1"/>
  <c r="EX220" i="2"/>
  <c r="EX223" i="2" s="1"/>
  <c r="EX151" i="2"/>
  <c r="EX29" i="2"/>
  <c r="EX171" i="82"/>
  <c r="EX170" i="82" s="1"/>
  <c r="EX28" i="2"/>
  <c r="EX24" i="82"/>
  <c r="EX135" i="1"/>
  <c r="EX137" i="1" s="1"/>
  <c r="DZ74" i="3"/>
  <c r="DZ81" i="3"/>
  <c r="DZ92" i="3" s="1"/>
  <c r="DZ168" i="7"/>
  <c r="DZ178" i="7" s="1"/>
  <c r="DZ23" i="3"/>
  <c r="DZ32" i="3" s="1"/>
  <c r="DZ70" i="3"/>
  <c r="EX138" i="82"/>
  <c r="EX137" i="82"/>
  <c r="EX60" i="82"/>
  <c r="EX59" i="82"/>
  <c r="EX70" i="82"/>
  <c r="EX55" i="2"/>
  <c r="DY20" i="7"/>
  <c r="EW118" i="82"/>
  <c r="EW30" i="82"/>
  <c r="EW180" i="2"/>
  <c r="EW162" i="2"/>
  <c r="AD201" i="113"/>
  <c r="DC63" i="7"/>
  <c r="DH16" i="7"/>
  <c r="DH66" i="7"/>
  <c r="DI67" i="7" s="1"/>
  <c r="DH54" i="3"/>
  <c r="EF188" i="2"/>
  <c r="DG26" i="7"/>
  <c r="U14" i="11"/>
  <c r="U25" i="11"/>
  <c r="U21" i="11"/>
  <c r="AD207" i="113"/>
  <c r="AD203" i="113"/>
  <c r="AD461" i="113"/>
  <c r="Q10" i="15"/>
  <c r="M11" i="15"/>
  <c r="M12" i="15"/>
  <c r="AD447" i="113"/>
  <c r="EE189" i="2"/>
  <c r="EE190" i="2"/>
  <c r="AC140" i="113"/>
  <c r="AC61" i="113"/>
  <c r="AC384" i="113"/>
  <c r="AC98" i="113"/>
  <c r="AD232" i="113"/>
  <c r="AD176" i="113"/>
  <c r="AD216" i="113"/>
  <c r="DG70" i="7"/>
  <c r="DG67" i="7"/>
  <c r="DG71" i="7"/>
  <c r="AF289" i="113" l="1"/>
  <c r="EY29" i="2"/>
  <c r="EY175" i="2" s="1"/>
  <c r="AC463" i="113"/>
  <c r="AC465" i="113" s="1"/>
  <c r="AC316" i="113"/>
  <c r="F112" i="112" s="1"/>
  <c r="W62" i="112" s="1"/>
  <c r="AC391" i="113"/>
  <c r="E14" i="112"/>
  <c r="EY284" i="2"/>
  <c r="AF31" i="113"/>
  <c r="AF12" i="113"/>
  <c r="AF378" i="113" s="1"/>
  <c r="AF369" i="113"/>
  <c r="AF368" i="113"/>
  <c r="AF372" i="113"/>
  <c r="AF370" i="113"/>
  <c r="EY69" i="2"/>
  <c r="EA15" i="3"/>
  <c r="EA55" i="7" s="1"/>
  <c r="EY285" i="2"/>
  <c r="EY290" i="2"/>
  <c r="EY287" i="2"/>
  <c r="EY289" i="2"/>
  <c r="EY286" i="2"/>
  <c r="AF23" i="113"/>
  <c r="AF455" i="113" s="1"/>
  <c r="EY180" i="82"/>
  <c r="EY126" i="82" s="1"/>
  <c r="AF205" i="113"/>
  <c r="AF195" i="113"/>
  <c r="EY21" i="82"/>
  <c r="EY34" i="82" s="1"/>
  <c r="EY288" i="2"/>
  <c r="EY169" i="2"/>
  <c r="EY28" i="2"/>
  <c r="EY172" i="2" s="1"/>
  <c r="EY171" i="82"/>
  <c r="EY170" i="82" s="1"/>
  <c r="AF14" i="113"/>
  <c r="AF43" i="113" s="1"/>
  <c r="EY71" i="2"/>
  <c r="EY152" i="82"/>
  <c r="EY154" i="82" s="1"/>
  <c r="EY156" i="82" s="1"/>
  <c r="EY317" i="2"/>
  <c r="EY326" i="2" s="1"/>
  <c r="EY151" i="2"/>
  <c r="EY54" i="2"/>
  <c r="EY57" i="2" s="1"/>
  <c r="EY220" i="2"/>
  <c r="EY223" i="2" s="1"/>
  <c r="EA38" i="7"/>
  <c r="EA50" i="7" s="1"/>
  <c r="EA61" i="3"/>
  <c r="EA62" i="3"/>
  <c r="DZ66" i="3"/>
  <c r="DZ18" i="3" s="1"/>
  <c r="DZ105" i="7" s="1"/>
  <c r="AF226" i="113"/>
  <c r="EY65" i="82"/>
  <c r="EY366" i="82"/>
  <c r="EY157" i="2"/>
  <c r="O15" i="15"/>
  <c r="EA32" i="3"/>
  <c r="EA65" i="3"/>
  <c r="AF218" i="113"/>
  <c r="EY17" i="82"/>
  <c r="EY53" i="82"/>
  <c r="EY61" i="82"/>
  <c r="AF346" i="113"/>
  <c r="AF348" i="113" s="1"/>
  <c r="AF307" i="113"/>
  <c r="AF293" i="113"/>
  <c r="AF291" i="113"/>
  <c r="AF214" i="113"/>
  <c r="EY43" i="82"/>
  <c r="EY58" i="82"/>
  <c r="AF22" i="113"/>
  <c r="EY206" i="2"/>
  <c r="EY212" i="2" s="1"/>
  <c r="EY179" i="82"/>
  <c r="EY125" i="82" s="1"/>
  <c r="AF302" i="113" s="1"/>
  <c r="EY281" i="2"/>
  <c r="EY310" i="2" s="1"/>
  <c r="EY136" i="2"/>
  <c r="EA174" i="7"/>
  <c r="EY64" i="82"/>
  <c r="AF225" i="113"/>
  <c r="EA71" i="3"/>
  <c r="EA72" i="3"/>
  <c r="W61" i="112"/>
  <c r="G111" i="112"/>
  <c r="EX152" i="2"/>
  <c r="FL55" i="2"/>
  <c r="EY74" i="2"/>
  <c r="EX72" i="2"/>
  <c r="FL29" i="2"/>
  <c r="AE215" i="113"/>
  <c r="AE232" i="113" s="1"/>
  <c r="EW31" i="82"/>
  <c r="EX33" i="82"/>
  <c r="EX170" i="2"/>
  <c r="EX154" i="82"/>
  <c r="EX156" i="82" s="1"/>
  <c r="EX19" i="82"/>
  <c r="AE327" i="113"/>
  <c r="FB20" i="82"/>
  <c r="DZ174" i="7"/>
  <c r="ED168" i="7"/>
  <c r="DZ50" i="7"/>
  <c r="ED50" i="7" s="1"/>
  <c r="ED38" i="7"/>
  <c r="EW127" i="82"/>
  <c r="AE34" i="113"/>
  <c r="AE43" i="113"/>
  <c r="AE399" i="113"/>
  <c r="AE13" i="113"/>
  <c r="EX34" i="82"/>
  <c r="EX35" i="82" s="1"/>
  <c r="EX179" i="82"/>
  <c r="EX182" i="82" s="1"/>
  <c r="AE22" i="113"/>
  <c r="AE25" i="113" s="1"/>
  <c r="AE186" i="113"/>
  <c r="AE156" i="113"/>
  <c r="AE73" i="113"/>
  <c r="AE110" i="113"/>
  <c r="AE239" i="113"/>
  <c r="AE243" i="113"/>
  <c r="AE188" i="113"/>
  <c r="EX326" i="2"/>
  <c r="EX321" i="2"/>
  <c r="EX330" i="2" s="1"/>
  <c r="EX175" i="2"/>
  <c r="EX366" i="82"/>
  <c r="EX377" i="82" s="1"/>
  <c r="EX73" i="2"/>
  <c r="EX157" i="2"/>
  <c r="EX172" i="2"/>
  <c r="EX154" i="2"/>
  <c r="EW116" i="82"/>
  <c r="EW120" i="82"/>
  <c r="EW122" i="82" s="1"/>
  <c r="EW146" i="82" s="1"/>
  <c r="AD295" i="113"/>
  <c r="AD317" i="113" s="1"/>
  <c r="EX25" i="82"/>
  <c r="EW188" i="82"/>
  <c r="EW133" i="82"/>
  <c r="EW144" i="82"/>
  <c r="EW145" i="82" s="1"/>
  <c r="DZ72" i="3"/>
  <c r="DZ71" i="3"/>
  <c r="DZ171" i="7"/>
  <c r="EX136" i="2"/>
  <c r="EX74" i="2"/>
  <c r="EX281" i="2"/>
  <c r="EX310" i="2" s="1"/>
  <c r="EX206" i="2"/>
  <c r="EX57" i="2"/>
  <c r="U31" i="11"/>
  <c r="U41" i="11"/>
  <c r="U38" i="11"/>
  <c r="DH70" i="7"/>
  <c r="DH67" i="7"/>
  <c r="DH71" i="7"/>
  <c r="V11" i="11"/>
  <c r="AD217" i="113"/>
  <c r="AD234" i="113" s="1"/>
  <c r="AD233" i="113"/>
  <c r="AD242" i="113"/>
  <c r="AC111" i="113"/>
  <c r="AC450" i="113"/>
  <c r="AC90" i="113"/>
  <c r="AH90" i="113" s="1"/>
  <c r="DG63" i="7"/>
  <c r="EF189" i="2"/>
  <c r="EF190" i="2"/>
  <c r="DH26" i="7"/>
  <c r="AC74" i="113"/>
  <c r="AC449" i="113"/>
  <c r="AC187" i="113"/>
  <c r="AC53" i="113"/>
  <c r="AH53" i="113" s="1"/>
  <c r="AD196" i="113"/>
  <c r="AD371" i="113"/>
  <c r="AD375" i="113" s="1"/>
  <c r="AD177" i="113"/>
  <c r="AC157" i="113"/>
  <c r="AC451" i="113"/>
  <c r="AC132" i="113"/>
  <c r="AH132" i="113" s="1"/>
  <c r="EY73" i="2" l="1"/>
  <c r="EY152" i="2"/>
  <c r="AF377" i="113"/>
  <c r="AF383" i="113"/>
  <c r="AF32" i="113"/>
  <c r="AF41" i="113"/>
  <c r="AF379" i="113"/>
  <c r="AF381" i="113"/>
  <c r="AF453" i="113"/>
  <c r="AF37" i="113"/>
  <c r="EY20" i="82"/>
  <c r="AF327" i="113" s="1"/>
  <c r="AF13" i="113"/>
  <c r="AF33" i="113" s="1"/>
  <c r="EY321" i="2"/>
  <c r="EY330" i="2" s="1"/>
  <c r="EY331" i="2" s="1"/>
  <c r="EY170" i="2"/>
  <c r="EY154" i="2"/>
  <c r="EY155" i="2" s="1"/>
  <c r="EY72" i="2"/>
  <c r="AF25" i="113"/>
  <c r="AF42" i="113" s="1"/>
  <c r="EY315" i="2"/>
  <c r="EY324" i="2" s="1"/>
  <c r="AF399" i="113"/>
  <c r="AF34" i="113"/>
  <c r="EY179" i="2"/>
  <c r="O10" i="15"/>
  <c r="O12" i="15" s="1"/>
  <c r="EY161" i="2"/>
  <c r="EA66" i="3"/>
  <c r="EA18" i="3" s="1"/>
  <c r="O16" i="15" s="1"/>
  <c r="ED18" i="3"/>
  <c r="AF445" i="113"/>
  <c r="EY207" i="2"/>
  <c r="EY182" i="82"/>
  <c r="EY184" i="82" s="1"/>
  <c r="AE216" i="113"/>
  <c r="AE242" i="113" s="1"/>
  <c r="AE176" i="113"/>
  <c r="AE196" i="113" s="1"/>
  <c r="EY70" i="82"/>
  <c r="EY60" i="82"/>
  <c r="EY59" i="82"/>
  <c r="AF309" i="113"/>
  <c r="AF382" i="113"/>
  <c r="EY35" i="82"/>
  <c r="AF241" i="113"/>
  <c r="AF231" i="113"/>
  <c r="DZ20" i="7"/>
  <c r="EA167" i="7"/>
  <c r="EA171" i="7" s="1"/>
  <c r="EA20" i="7" s="1"/>
  <c r="AF237" i="113"/>
  <c r="AF139" i="113"/>
  <c r="AF97" i="113"/>
  <c r="AF60" i="113"/>
  <c r="AF303" i="113"/>
  <c r="AF454" i="113" s="1"/>
  <c r="EY138" i="82"/>
  <c r="EY137" i="82"/>
  <c r="EY66" i="82"/>
  <c r="AF227" i="113"/>
  <c r="EY403" i="82"/>
  <c r="EY367" i="82"/>
  <c r="EY377" i="82"/>
  <c r="EY411" i="82"/>
  <c r="AF446" i="113"/>
  <c r="AF36" i="113"/>
  <c r="AF444" i="113"/>
  <c r="EY24" i="82"/>
  <c r="AF314" i="113"/>
  <c r="AF292" i="113"/>
  <c r="AF364" i="113"/>
  <c r="AF366" i="113" s="1"/>
  <c r="AF308" i="113"/>
  <c r="AF244" i="113"/>
  <c r="AF235" i="113"/>
  <c r="AF238" i="113"/>
  <c r="EX176" i="2"/>
  <c r="EY176" i="2"/>
  <c r="FL57" i="2"/>
  <c r="EY76" i="2"/>
  <c r="EY164" i="2"/>
  <c r="EY182" i="2"/>
  <c r="EX155" i="2"/>
  <c r="EX173" i="2"/>
  <c r="EY173" i="2"/>
  <c r="EX311" i="2"/>
  <c r="EY311" i="2"/>
  <c r="EX158" i="2"/>
  <c r="EY158" i="2"/>
  <c r="EX118" i="82"/>
  <c r="FB118" i="82" s="1"/>
  <c r="EX30" i="82"/>
  <c r="FB19" i="82"/>
  <c r="EX331" i="2"/>
  <c r="AE326" i="113"/>
  <c r="AE392" i="113" s="1"/>
  <c r="AE329" i="113"/>
  <c r="AE331" i="113" s="1"/>
  <c r="AE337" i="113"/>
  <c r="AE464" i="113" s="1"/>
  <c r="AE401" i="113"/>
  <c r="EW141" i="82"/>
  <c r="AE440" i="113"/>
  <c r="AE442" i="113"/>
  <c r="AE441" i="113"/>
  <c r="AE33" i="113"/>
  <c r="AE390" i="113"/>
  <c r="AE201" i="113"/>
  <c r="AE443" i="113"/>
  <c r="EX125" i="82"/>
  <c r="EY136" i="82" s="1"/>
  <c r="AE38" i="113"/>
  <c r="AE42" i="113"/>
  <c r="AE458" i="113"/>
  <c r="AE462" i="113"/>
  <c r="AE460" i="113"/>
  <c r="AE459" i="113"/>
  <c r="AE446" i="113"/>
  <c r="AE36" i="113"/>
  <c r="AE444" i="113"/>
  <c r="AE461" i="113"/>
  <c r="AE203" i="113"/>
  <c r="AE207" i="113"/>
  <c r="EX367" i="82"/>
  <c r="EX368" i="82" s="1"/>
  <c r="EX403" i="82"/>
  <c r="EX411" i="82"/>
  <c r="AD311" i="113"/>
  <c r="EW117" i="82"/>
  <c r="EW132" i="82" s="1"/>
  <c r="EW131" i="82"/>
  <c r="AD299" i="113"/>
  <c r="AD318" i="113" s="1"/>
  <c r="EW134" i="82"/>
  <c r="AD304" i="113"/>
  <c r="AD310" i="113" s="1"/>
  <c r="AD400" i="113"/>
  <c r="AD294" i="113"/>
  <c r="AD391" i="113" s="1"/>
  <c r="AD297" i="113"/>
  <c r="EX184" i="82"/>
  <c r="N15" i="15"/>
  <c r="N16" i="15"/>
  <c r="EX76" i="2"/>
  <c r="EX182" i="2"/>
  <c r="EX179" i="2"/>
  <c r="EX164" i="2"/>
  <c r="EX161" i="2"/>
  <c r="N10" i="15"/>
  <c r="EX207" i="2"/>
  <c r="EX212" i="2"/>
  <c r="AC71" i="113"/>
  <c r="AC395" i="113"/>
  <c r="AC80" i="113"/>
  <c r="AC52" i="113"/>
  <c r="AC202" i="113"/>
  <c r="AC452" i="113"/>
  <c r="AC456" i="113" s="1"/>
  <c r="AC179" i="113"/>
  <c r="AH179" i="113" s="1"/>
  <c r="AD380" i="113"/>
  <c r="AD197" i="113"/>
  <c r="AD206" i="113"/>
  <c r="DH63" i="7"/>
  <c r="AC154" i="113"/>
  <c r="AC134" i="113"/>
  <c r="AH134" i="113" s="1"/>
  <c r="AC166" i="113"/>
  <c r="AC397" i="113"/>
  <c r="AC131" i="113"/>
  <c r="V14" i="11"/>
  <c r="V21" i="11"/>
  <c r="V25" i="11"/>
  <c r="AC92" i="113"/>
  <c r="AH92" i="113" s="1"/>
  <c r="AC396" i="113"/>
  <c r="AC108" i="113"/>
  <c r="AC117" i="113"/>
  <c r="AC89" i="113"/>
  <c r="EY19" i="82" l="1"/>
  <c r="EY33" i="82"/>
  <c r="EY180" i="2"/>
  <c r="AF390" i="113"/>
  <c r="EY162" i="2"/>
  <c r="AF462" i="113"/>
  <c r="AF460" i="113"/>
  <c r="AF458" i="113"/>
  <c r="AF459" i="113"/>
  <c r="AF38" i="113"/>
  <c r="S10" i="15"/>
  <c r="O11" i="15"/>
  <c r="EA105" i="7"/>
  <c r="AE217" i="113"/>
  <c r="AE234" i="113" s="1"/>
  <c r="AE233" i="113"/>
  <c r="AE177" i="113"/>
  <c r="AE380" i="113" s="1"/>
  <c r="AE371" i="113"/>
  <c r="AE375" i="113" s="1"/>
  <c r="EY368" i="82"/>
  <c r="AF73" i="113"/>
  <c r="AF440" i="113"/>
  <c r="EY25" i="82"/>
  <c r="AF441" i="113"/>
  <c r="AF110" i="113"/>
  <c r="AF337" i="113"/>
  <c r="AF464" i="113" s="1"/>
  <c r="AF329" i="113"/>
  <c r="AF331" i="113" s="1"/>
  <c r="AF401" i="113"/>
  <c r="AF326" i="113"/>
  <c r="AF392" i="113" s="1"/>
  <c r="AF156" i="113"/>
  <c r="AF442" i="113"/>
  <c r="AF239" i="113"/>
  <c r="AF243" i="113"/>
  <c r="AF188" i="113"/>
  <c r="AF373" i="113"/>
  <c r="AF215" i="113"/>
  <c r="AF186" i="113"/>
  <c r="EX188" i="82"/>
  <c r="EX120" i="82"/>
  <c r="EX122" i="82" s="1"/>
  <c r="AE299" i="113" s="1"/>
  <c r="AE318" i="113" s="1"/>
  <c r="EX116" i="82"/>
  <c r="FB116" i="82" s="1"/>
  <c r="EX144" i="82"/>
  <c r="EX145" i="82" s="1"/>
  <c r="EX133" i="82"/>
  <c r="EX213" i="2"/>
  <c r="EY213" i="2"/>
  <c r="AE295" i="113"/>
  <c r="AE297" i="113" s="1"/>
  <c r="EX31" i="82"/>
  <c r="AE302" i="113"/>
  <c r="AE445" i="113" s="1"/>
  <c r="AE447" i="113" s="1"/>
  <c r="EX127" i="82"/>
  <c r="EX136" i="82"/>
  <c r="AD316" i="113"/>
  <c r="AD463" i="113"/>
  <c r="AD465" i="113" s="1"/>
  <c r="EX162" i="2"/>
  <c r="EX180" i="2"/>
  <c r="R10" i="15"/>
  <c r="N12" i="15"/>
  <c r="N11" i="15"/>
  <c r="AC398" i="113"/>
  <c r="AC402" i="113" s="1"/>
  <c r="AC208" i="113"/>
  <c r="AC178" i="113"/>
  <c r="V41" i="11"/>
  <c r="V38" i="11"/>
  <c r="V31" i="11"/>
  <c r="AC153" i="113"/>
  <c r="AC388" i="113"/>
  <c r="AC70" i="113"/>
  <c r="AC386" i="113"/>
  <c r="AC107" i="113"/>
  <c r="AC387" i="113"/>
  <c r="AD61" i="113"/>
  <c r="AD384" i="113"/>
  <c r="AD140" i="113"/>
  <c r="AD98" i="113"/>
  <c r="EY118" i="82" l="1"/>
  <c r="EY188" i="82" s="1"/>
  <c r="EY144" i="82"/>
  <c r="EY145" i="82" s="1"/>
  <c r="EY30" i="82"/>
  <c r="EY31" i="82" s="1"/>
  <c r="AE197" i="113"/>
  <c r="AE206" i="113"/>
  <c r="EX146" i="82"/>
  <c r="AF461" i="113"/>
  <c r="AF203" i="113"/>
  <c r="AF207" i="113"/>
  <c r="EX134" i="82"/>
  <c r="EX117" i="82"/>
  <c r="EX132" i="82" s="1"/>
  <c r="EX131" i="82"/>
  <c r="AF201" i="113"/>
  <c r="AF443" i="113"/>
  <c r="AF447" i="113" s="1"/>
  <c r="EX141" i="82"/>
  <c r="AF232" i="113"/>
  <c r="AF176" i="113"/>
  <c r="AF216" i="113"/>
  <c r="AE311" i="113"/>
  <c r="AE294" i="113"/>
  <c r="AE391" i="113" s="1"/>
  <c r="AE317" i="113"/>
  <c r="AE400" i="113"/>
  <c r="AE304" i="113"/>
  <c r="AE316" i="113" s="1"/>
  <c r="AE140" i="113"/>
  <c r="AE98" i="113"/>
  <c r="AE61" i="113"/>
  <c r="AE384" i="113"/>
  <c r="AC389" i="113"/>
  <c r="AC393" i="113" s="1"/>
  <c r="AD450" i="113"/>
  <c r="AD111" i="113"/>
  <c r="AD90" i="113"/>
  <c r="AD451" i="113"/>
  <c r="AD157" i="113"/>
  <c r="AD132" i="113"/>
  <c r="AD74" i="113"/>
  <c r="AD449" i="113"/>
  <c r="AD187" i="113"/>
  <c r="AD53" i="113"/>
  <c r="EY116" i="82" l="1"/>
  <c r="EY141" i="82" s="1"/>
  <c r="AF295" i="113"/>
  <c r="AF297" i="113" s="1"/>
  <c r="EY120" i="82"/>
  <c r="EY122" i="82" s="1"/>
  <c r="AF299" i="113" s="1"/>
  <c r="AF318" i="113" s="1"/>
  <c r="EY127" i="82"/>
  <c r="EY133" i="82"/>
  <c r="EY117" i="82"/>
  <c r="EY132" i="82" s="1"/>
  <c r="AF304" i="113"/>
  <c r="AF316" i="113" s="1"/>
  <c r="AF294" i="113"/>
  <c r="AF391" i="113" s="1"/>
  <c r="EY131" i="82"/>
  <c r="AF311" i="113"/>
  <c r="AF400" i="113"/>
  <c r="EY134" i="82"/>
  <c r="EY146" i="82"/>
  <c r="AF217" i="113"/>
  <c r="AF234" i="113" s="1"/>
  <c r="AF233" i="113"/>
  <c r="AF242" i="113"/>
  <c r="AF196" i="113"/>
  <c r="AF371" i="113"/>
  <c r="AF375" i="113" s="1"/>
  <c r="AF177" i="113"/>
  <c r="AE463" i="113"/>
  <c r="AE465" i="113" s="1"/>
  <c r="AE310" i="113"/>
  <c r="AE449" i="113"/>
  <c r="AE74" i="113"/>
  <c r="AE187" i="113"/>
  <c r="AE53" i="113"/>
  <c r="AE450" i="113"/>
  <c r="AE111" i="113"/>
  <c r="AE90" i="113"/>
  <c r="AE451" i="113"/>
  <c r="AE157" i="113"/>
  <c r="AE132" i="113"/>
  <c r="AD108" i="113"/>
  <c r="AD117" i="113"/>
  <c r="AD92" i="113"/>
  <c r="AD396" i="113"/>
  <c r="AD89" i="113"/>
  <c r="AD80" i="113"/>
  <c r="AD395" i="113"/>
  <c r="AD71" i="113"/>
  <c r="AD52" i="113"/>
  <c r="AD202" i="113"/>
  <c r="AD452" i="113"/>
  <c r="AD456" i="113" s="1"/>
  <c r="AD179" i="113"/>
  <c r="AD154" i="113"/>
  <c r="AD134" i="113"/>
  <c r="AD397" i="113"/>
  <c r="AD166" i="113"/>
  <c r="AD131" i="113"/>
  <c r="AF317" i="113" l="1"/>
  <c r="AF310" i="113"/>
  <c r="AF463" i="113"/>
  <c r="AF465" i="113" s="1"/>
  <c r="AF380" i="113"/>
  <c r="AF206" i="113"/>
  <c r="AF197" i="113"/>
  <c r="AE202" i="113"/>
  <c r="AE452" i="113"/>
  <c r="AE456" i="113" s="1"/>
  <c r="AE179" i="113"/>
  <c r="AE396" i="113"/>
  <c r="AE117" i="113"/>
  <c r="AE92" i="113"/>
  <c r="AE108" i="113"/>
  <c r="AE89" i="113"/>
  <c r="AE80" i="113"/>
  <c r="AE71" i="113"/>
  <c r="AE395" i="113"/>
  <c r="AE52" i="113"/>
  <c r="AE397" i="113"/>
  <c r="AE166" i="113"/>
  <c r="AE134" i="113"/>
  <c r="AE154" i="113"/>
  <c r="AE131" i="113"/>
  <c r="AD208" i="113"/>
  <c r="AD199" i="113"/>
  <c r="AD398" i="113"/>
  <c r="AD402" i="113" s="1"/>
  <c r="AD178" i="113"/>
  <c r="AD107" i="113"/>
  <c r="AD387" i="113"/>
  <c r="AD153" i="113"/>
  <c r="AD388" i="113"/>
  <c r="AD70" i="113"/>
  <c r="AD386" i="113"/>
  <c r="AF384" i="113" l="1"/>
  <c r="AF140" i="113"/>
  <c r="AF98" i="113"/>
  <c r="AF61" i="113"/>
  <c r="AE107" i="113"/>
  <c r="AE387" i="113"/>
  <c r="AE178" i="113"/>
  <c r="AE208" i="113"/>
  <c r="AE199" i="113"/>
  <c r="AE398" i="113"/>
  <c r="AE402" i="113" s="1"/>
  <c r="AE386" i="113"/>
  <c r="AE70" i="113"/>
  <c r="AE388" i="113"/>
  <c r="AE153" i="113"/>
  <c r="AD389" i="113"/>
  <c r="AD393" i="113" s="1"/>
  <c r="AD198" i="113"/>
  <c r="AF449" i="113" l="1"/>
  <c r="AF187" i="113"/>
  <c r="AF53" i="113"/>
  <c r="AF74" i="113"/>
  <c r="AF132" i="113"/>
  <c r="AF451" i="113"/>
  <c r="AF157" i="113"/>
  <c r="AF90" i="113"/>
  <c r="AF450" i="113"/>
  <c r="AF111" i="113"/>
  <c r="AE198" i="113"/>
  <c r="AE389" i="113"/>
  <c r="AE393" i="113" s="1"/>
  <c r="AF131" i="113" l="1"/>
  <c r="AF397" i="113"/>
  <c r="AF166" i="113"/>
  <c r="AF134" i="113"/>
  <c r="AF154" i="113"/>
  <c r="AF395" i="113"/>
  <c r="AF80" i="113"/>
  <c r="AF52" i="113"/>
  <c r="AF71" i="113"/>
  <c r="AF179" i="113"/>
  <c r="AF452" i="113"/>
  <c r="AF456" i="113" s="1"/>
  <c r="AF202" i="113"/>
  <c r="AF396" i="113"/>
  <c r="AF89" i="113"/>
  <c r="AF117" i="113"/>
  <c r="AF92" i="113"/>
  <c r="AF108" i="113"/>
  <c r="DI54" i="3"/>
  <c r="AF398" i="113" l="1"/>
  <c r="AF402" i="113" s="1"/>
  <c r="AF208" i="113"/>
  <c r="AF178" i="113"/>
  <c r="AF199" i="113"/>
  <c r="AF386" i="113"/>
  <c r="AF70" i="113"/>
  <c r="AF387" i="113"/>
  <c r="AF107" i="113"/>
  <c r="AF388" i="113"/>
  <c r="AF153" i="113"/>
  <c r="EG188" i="2"/>
  <c r="AF389" i="113" l="1"/>
  <c r="AF393" i="113" s="1"/>
  <c r="AF198" i="113"/>
  <c r="EG190" i="2"/>
  <c r="EG189" i="2"/>
  <c r="EH172" i="82" l="1"/>
  <c r="EH173" i="82" s="1"/>
  <c r="EH174" i="82"/>
  <c r="EH176" i="82"/>
  <c r="EH175" i="82" l="1"/>
  <c r="DJ54" i="3" l="1"/>
  <c r="EH189" i="82"/>
  <c r="EH188" i="2" l="1"/>
  <c r="EH190" i="2" l="1"/>
  <c r="EH189" i="2"/>
  <c r="X8" i="11" l="1"/>
  <c r="AA20" i="113"/>
  <c r="AA259" i="113" s="1"/>
  <c r="AA272" i="113" s="1"/>
  <c r="AA332" i="113" l="1"/>
  <c r="J33" i="15"/>
  <c r="X9" i="11"/>
  <c r="AA300" i="113" l="1"/>
  <c r="AA312" i="113" s="1"/>
  <c r="EO317" i="1" l="1"/>
  <c r="EO334" i="1" l="1"/>
  <c r="EO327" i="1"/>
  <c r="EO325" i="1"/>
  <c r="EO319" i="1"/>
  <c r="EO330" i="1"/>
  <c r="EP330" i="1"/>
  <c r="EP334" i="1"/>
  <c r="EP327" i="1"/>
  <c r="EP325" i="1"/>
  <c r="EO328" i="1"/>
  <c r="EP317" i="1"/>
  <c r="EO318" i="1"/>
  <c r="EP328" i="1"/>
  <c r="EQ317" i="1" l="1"/>
  <c r="EP329" i="1"/>
  <c r="EO326" i="1"/>
  <c r="EP326" i="1"/>
  <c r="EP335" i="1"/>
  <c r="EO335" i="1"/>
  <c r="EP332" i="1"/>
  <c r="EO331" i="1"/>
  <c r="EO329" i="1"/>
  <c r="EO333" i="1"/>
  <c r="EO332" i="1"/>
  <c r="EP331" i="1"/>
  <c r="EP339" i="1"/>
  <c r="EP337" i="1"/>
  <c r="EP341" i="1"/>
  <c r="EP343" i="1"/>
  <c r="EP318" i="1"/>
  <c r="EP320" i="1"/>
  <c r="EP321" i="1" s="1"/>
  <c r="EQ325" i="1" l="1"/>
  <c r="EQ326" i="1" s="1"/>
  <c r="EQ334" i="1"/>
  <c r="EQ335" i="1" s="1"/>
  <c r="EQ327" i="1"/>
  <c r="EQ330" i="1"/>
  <c r="EQ333" i="1" s="1"/>
  <c r="EQ328" i="1"/>
  <c r="EQ329" i="1" s="1"/>
  <c r="ER317" i="1"/>
  <c r="EQ318" i="1"/>
  <c r="EQ319" i="1"/>
  <c r="EP344" i="1"/>
  <c r="EP338" i="1"/>
  <c r="EP340" i="1"/>
  <c r="EP342" i="1"/>
  <c r="ER325" i="1" l="1"/>
  <c r="ER326" i="1" s="1"/>
  <c r="EQ332" i="1"/>
  <c r="EQ331" i="1"/>
  <c r="ER327" i="1"/>
  <c r="ER328" i="1"/>
  <c r="ER329" i="1" s="1"/>
  <c r="ER318" i="1"/>
  <c r="ES317" i="1"/>
  <c r="ER319" i="1"/>
  <c r="ER334" i="1"/>
  <c r="ER335" i="1" s="1"/>
  <c r="ER330" i="1"/>
  <c r="ES334" i="1" l="1"/>
  <c r="ES335" i="1" s="1"/>
  <c r="ER332" i="1"/>
  <c r="ER333" i="1"/>
  <c r="ER331" i="1"/>
  <c r="ES319" i="1"/>
  <c r="ES318" i="1"/>
  <c r="ET317" i="1"/>
  <c r="ET328" i="1"/>
  <c r="ET329" i="1" s="1"/>
  <c r="ES330" i="1"/>
  <c r="ES328" i="1"/>
  <c r="ES329" i="1" s="1"/>
  <c r="ES327" i="1"/>
  <c r="ES325" i="1"/>
  <c r="ES326" i="1" s="1"/>
  <c r="EU327" i="1" l="1"/>
  <c r="EU334" i="1"/>
  <c r="EU335" i="1" s="1"/>
  <c r="ET325" i="1"/>
  <c r="ET326" i="1" s="1"/>
  <c r="EU328" i="1"/>
  <c r="EU329" i="1" s="1"/>
  <c r="EU330" i="1"/>
  <c r="EU331" i="1" s="1"/>
  <c r="EU325" i="1"/>
  <c r="EU326" i="1" s="1"/>
  <c r="EU317" i="1"/>
  <c r="ET319" i="1"/>
  <c r="ET318" i="1"/>
  <c r="ET334" i="1"/>
  <c r="ET335" i="1" s="1"/>
  <c r="ET327" i="1"/>
  <c r="ES333" i="1"/>
  <c r="ES331" i="1"/>
  <c r="ES332" i="1"/>
  <c r="ET330" i="1"/>
  <c r="EU343" i="1" l="1"/>
  <c r="EU344" i="1" s="1"/>
  <c r="EU341" i="1"/>
  <c r="EU342" i="1" s="1"/>
  <c r="EU339" i="1"/>
  <c r="EU340" i="1" s="1"/>
  <c r="EU337" i="1"/>
  <c r="EU338" i="1" s="1"/>
  <c r="EU332" i="1"/>
  <c r="EU320" i="1"/>
  <c r="EU321" i="1" s="1"/>
  <c r="EU318" i="1"/>
  <c r="EV317" i="1"/>
  <c r="ET333" i="1"/>
  <c r="ET331" i="1"/>
  <c r="ET332" i="1"/>
  <c r="EV320" i="1" l="1"/>
  <c r="EV343" i="1"/>
  <c r="EV344" i="1" s="1"/>
  <c r="EV325" i="1"/>
  <c r="EV341" i="1"/>
  <c r="EV342" i="1" s="1"/>
  <c r="EV339" i="1"/>
  <c r="EV340" i="1" s="1"/>
  <c r="EV337" i="1"/>
  <c r="EV338" i="1" s="1"/>
  <c r="FA317" i="1"/>
  <c r="EW317" i="1"/>
  <c r="EW334" i="1" s="1"/>
  <c r="EV327" i="1"/>
  <c r="FA327" i="1" s="1"/>
  <c r="EV328" i="1"/>
  <c r="EV330" i="1"/>
  <c r="EV334" i="1"/>
  <c r="EW335" i="1" l="1"/>
  <c r="EW328" i="1"/>
  <c r="EW329" i="1" s="1"/>
  <c r="EW330" i="1"/>
  <c r="EW331" i="1" s="1"/>
  <c r="FA320" i="1"/>
  <c r="EV321" i="1"/>
  <c r="EW327" i="1"/>
  <c r="EW320" i="1"/>
  <c r="EW321" i="1" s="1"/>
  <c r="EW339" i="1"/>
  <c r="EW340" i="1" s="1"/>
  <c r="EX317" i="1"/>
  <c r="EW343" i="1"/>
  <c r="EW344" i="1" s="1"/>
  <c r="EW341" i="1"/>
  <c r="EW342" i="1" s="1"/>
  <c r="EW325" i="1"/>
  <c r="EW326" i="1" s="1"/>
  <c r="EW337" i="1"/>
  <c r="EW338" i="1" s="1"/>
  <c r="FA325" i="1"/>
  <c r="EV326" i="1"/>
  <c r="EV335" i="1"/>
  <c r="FA334" i="1"/>
  <c r="FA330" i="1"/>
  <c r="EV331" i="1"/>
  <c r="EV332" i="1"/>
  <c r="EV329" i="1"/>
  <c r="FA328" i="1"/>
  <c r="DK54" i="3"/>
  <c r="EW332" i="1" l="1"/>
  <c r="EX328" i="1"/>
  <c r="FB328" i="1" s="1"/>
  <c r="EX343" i="1"/>
  <c r="EX344" i="1" s="1"/>
  <c r="EX341" i="1"/>
  <c r="EX342" i="1" s="1"/>
  <c r="EX339" i="1"/>
  <c r="EX340" i="1" s="1"/>
  <c r="EX337" i="1"/>
  <c r="EX338" i="1" s="1"/>
  <c r="EX334" i="1"/>
  <c r="EX335" i="1" s="1"/>
  <c r="EX330" i="1"/>
  <c r="EX327" i="1"/>
  <c r="FB327" i="1" s="1"/>
  <c r="EY317" i="1"/>
  <c r="EY328" i="1" s="1"/>
  <c r="EX320" i="1"/>
  <c r="FB317" i="1"/>
  <c r="EX325" i="1"/>
  <c r="EI188" i="2"/>
  <c r="EY329" i="1" l="1"/>
  <c r="EX329" i="1"/>
  <c r="EY327" i="1"/>
  <c r="FB334" i="1"/>
  <c r="EY330" i="1"/>
  <c r="EY332" i="1" s="1"/>
  <c r="EY334" i="1"/>
  <c r="EY335" i="1" s="1"/>
  <c r="EX321" i="1"/>
  <c r="FB320" i="1"/>
  <c r="EX331" i="1"/>
  <c r="FB330" i="1"/>
  <c r="EX332" i="1"/>
  <c r="EY320" i="1"/>
  <c r="EY321" i="1" s="1"/>
  <c r="EY325" i="1"/>
  <c r="EY326" i="1" s="1"/>
  <c r="FB325" i="1"/>
  <c r="EX326" i="1"/>
  <c r="EI190" i="2"/>
  <c r="EI189" i="2"/>
  <c r="EY331" i="1" l="1"/>
  <c r="DM59" i="7"/>
  <c r="DM60" i="7" s="1"/>
  <c r="EK30" i="2"/>
  <c r="EK32" i="2"/>
  <c r="EK33" i="2"/>
  <c r="EK186" i="2"/>
  <c r="EK187" i="2" s="1"/>
  <c r="FC33" i="2" l="1"/>
  <c r="EK45" i="82"/>
  <c r="Z219" i="113" s="1"/>
  <c r="EK227" i="2"/>
  <c r="EK198" i="2"/>
  <c r="EK224" i="2" s="1"/>
  <c r="EK226" i="2" s="1"/>
  <c r="EK229" i="2" s="1"/>
  <c r="Z15" i="113"/>
  <c r="Z16" i="113" s="1"/>
  <c r="Z414" i="113" s="1"/>
  <c r="EK172" i="82"/>
  <c r="EK173" i="82" s="1"/>
  <c r="EK47" i="82"/>
  <c r="Z221" i="113" s="1"/>
  <c r="EK230" i="2"/>
  <c r="EK232" i="2" s="1"/>
  <c r="EK236" i="2" s="1"/>
  <c r="EK174" i="82"/>
  <c r="Z17" i="113"/>
  <c r="Z427" i="113" s="1"/>
  <c r="EK34" i="2"/>
  <c r="DM74" i="7" s="1"/>
  <c r="EK36" i="2"/>
  <c r="DR195" i="7"/>
  <c r="I14" i="15"/>
  <c r="I17" i="15" s="1"/>
  <c r="I18" i="15" s="1"/>
  <c r="FG33" i="2"/>
  <c r="DL54" i="3"/>
  <c r="DM62" i="7"/>
  <c r="DM76" i="7"/>
  <c r="EK46" i="82" l="1"/>
  <c r="Z220" i="113" s="1"/>
  <c r="EK228" i="2"/>
  <c r="EK77" i="2"/>
  <c r="EK200" i="2"/>
  <c r="EK237" i="2"/>
  <c r="EK239" i="2" s="1"/>
  <c r="Z405" i="113"/>
  <c r="Z408" i="113"/>
  <c r="EK199" i="2"/>
  <c r="Z417" i="113"/>
  <c r="Z415" i="113"/>
  <c r="Z418" i="113"/>
  <c r="Z406" i="113"/>
  <c r="Z409" i="113"/>
  <c r="Z419" i="113"/>
  <c r="EK233" i="2"/>
  <c r="Z410" i="113"/>
  <c r="EK175" i="82"/>
  <c r="Z18" i="113"/>
  <c r="Z19" i="113" s="1"/>
  <c r="Z35" i="113" s="1"/>
  <c r="Z426" i="113"/>
  <c r="Z428" i="113"/>
  <c r="EK42" i="2"/>
  <c r="FC42" i="2" s="1"/>
  <c r="EK217" i="2"/>
  <c r="DM75" i="7"/>
  <c r="DM9" i="3"/>
  <c r="FC36" i="2"/>
  <c r="EK37" i="2"/>
  <c r="FG36" i="2"/>
  <c r="EK50" i="2"/>
  <c r="EK160" i="2"/>
  <c r="EK178" i="2"/>
  <c r="Z54" i="113"/>
  <c r="Z180" i="113" s="1"/>
  <c r="EJ188" i="2"/>
  <c r="DM8" i="7"/>
  <c r="EK48" i="82" l="1"/>
  <c r="EK62" i="82" s="1"/>
  <c r="DM19" i="3"/>
  <c r="EK238" i="2"/>
  <c r="EK241" i="2" s="1"/>
  <c r="EK242" i="2" s="1"/>
  <c r="Z435" i="113"/>
  <c r="Z436" i="113"/>
  <c r="Z437" i="113"/>
  <c r="Z44" i="113"/>
  <c r="EK43" i="2"/>
  <c r="FC43" i="2" s="1"/>
  <c r="EK79" i="2"/>
  <c r="FG42" i="2"/>
  <c r="EK176" i="82"/>
  <c r="EK78" i="2"/>
  <c r="FC37" i="2"/>
  <c r="FG37" i="2"/>
  <c r="W19" i="11"/>
  <c r="EK51" i="2"/>
  <c r="FC50" i="2"/>
  <c r="EK81" i="2"/>
  <c r="FG50" i="2"/>
  <c r="EK363" i="82"/>
  <c r="EK364" i="82" s="1"/>
  <c r="EK240" i="2"/>
  <c r="Z55" i="113"/>
  <c r="Z404" i="113"/>
  <c r="Z181" i="113"/>
  <c r="Z416" i="113" s="1"/>
  <c r="Z407" i="113"/>
  <c r="DM66" i="7"/>
  <c r="DM16" i="7"/>
  <c r="EK188" i="2"/>
  <c r="EJ190" i="2"/>
  <c r="EJ189" i="2"/>
  <c r="EK49" i="82" l="1"/>
  <c r="Z222" i="113"/>
  <c r="Z245" i="113" s="1"/>
  <c r="EK77" i="82"/>
  <c r="DM80" i="3"/>
  <c r="DM88" i="3" s="1"/>
  <c r="DM20" i="3"/>
  <c r="DM77" i="3"/>
  <c r="DM50" i="3"/>
  <c r="DM52" i="3" s="1"/>
  <c r="DN51" i="3" s="1"/>
  <c r="EK80" i="2"/>
  <c r="FG43" i="2"/>
  <c r="FG241" i="2"/>
  <c r="FC241" i="2"/>
  <c r="FC51" i="2"/>
  <c r="EK82" i="2"/>
  <c r="FG51" i="2"/>
  <c r="W27" i="11"/>
  <c r="W20" i="11"/>
  <c r="W23" i="11"/>
  <c r="W24" i="11" s="1"/>
  <c r="Z411" i="113"/>
  <c r="Z413" i="113"/>
  <c r="Z420" i="113" s="1"/>
  <c r="EK190" i="2"/>
  <c r="EK189" i="2"/>
  <c r="DM26" i="7"/>
  <c r="DM71" i="7"/>
  <c r="DM67" i="7"/>
  <c r="DM70" i="7"/>
  <c r="W11" i="11"/>
  <c r="EK63" i="82" l="1"/>
  <c r="Z223" i="113"/>
  <c r="Z236" i="113" s="1"/>
  <c r="DM83" i="3"/>
  <c r="DM54" i="3"/>
  <c r="DM53" i="3"/>
  <c r="DR51" i="3"/>
  <c r="W28" i="11"/>
  <c r="Z135" i="113"/>
  <c r="Z56" i="113"/>
  <c r="Z93" i="113"/>
  <c r="W21" i="11"/>
  <c r="W14" i="11"/>
  <c r="W25" i="11"/>
  <c r="DM63" i="7"/>
  <c r="DM87" i="3" l="1"/>
  <c r="W33" i="11"/>
  <c r="W36" i="11" s="1"/>
  <c r="DM84" i="3"/>
  <c r="DM89" i="3"/>
  <c r="DM100" i="3"/>
  <c r="DM85" i="3"/>
  <c r="Z94" i="113"/>
  <c r="Z423" i="113"/>
  <c r="Z422" i="113"/>
  <c r="Z182" i="113"/>
  <c r="Z57" i="113"/>
  <c r="Z136" i="113"/>
  <c r="Z424" i="113"/>
  <c r="W41" i="11"/>
  <c r="W31" i="11"/>
  <c r="W34" i="11" l="1"/>
  <c r="W35" i="11" s="1"/>
  <c r="W37" i="11"/>
  <c r="W38" i="11" s="1"/>
  <c r="Z137" i="113"/>
  <c r="Z167" i="113"/>
  <c r="Z81" i="113"/>
  <c r="Z58" i="113"/>
  <c r="Z183" i="113"/>
  <c r="Z425" i="113"/>
  <c r="Z429" i="113" s="1"/>
  <c r="Z95" i="113"/>
  <c r="Z118" i="113"/>
  <c r="Z209" i="113" l="1"/>
  <c r="Z184" i="113"/>
  <c r="Z72" i="113"/>
  <c r="Z431" i="113"/>
  <c r="Z109" i="113"/>
  <c r="Z432" i="113"/>
  <c r="Z155" i="113"/>
  <c r="Z433" i="113"/>
  <c r="Z200" i="113" l="1"/>
  <c r="Z434" i="113"/>
  <c r="Z438" i="113" s="1"/>
  <c r="EJ150" i="82"/>
  <c r="EO160" i="82" s="1"/>
  <c r="EK152" i="82"/>
  <c r="EK188" i="82" s="1"/>
  <c r="EK154" i="82"/>
  <c r="EK156" i="82"/>
  <c r="EK157" i="82" s="1"/>
  <c r="EK189" i="82" s="1"/>
  <c r="EJ160" i="82" l="1"/>
  <c r="EJ163" i="82"/>
  <c r="EK150" i="82"/>
  <c r="FA150" i="82" l="1"/>
  <c r="FB150" i="82"/>
  <c r="EJ164" i="82"/>
  <c r="EO164" i="82"/>
  <c r="EK160" i="82"/>
  <c r="EP160" i="82"/>
  <c r="EK163" i="82"/>
  <c r="EK164" i="82" l="1"/>
  <c r="EP164" i="82"/>
  <c r="EK246" i="2" l="1"/>
  <c r="EK275" i="2" s="1"/>
  <c r="EK284" i="2" s="1"/>
  <c r="EJ275" i="2"/>
  <c r="EJ292" i="2" s="1"/>
  <c r="EO284" i="2" l="1"/>
  <c r="EJ299" i="2"/>
  <c r="EL292" i="2"/>
  <c r="EJ284" i="2"/>
  <c r="EK299" i="2"/>
  <c r="EP300" i="2" s="1"/>
  <c r="EP284" i="2"/>
  <c r="EK300" i="2" l="1"/>
  <c r="EJ300" i="2"/>
  <c r="EO300" i="2"/>
  <c r="EK248" i="2"/>
  <c r="EK277" i="2" s="1"/>
  <c r="EK286" i="2" s="1"/>
  <c r="EK249" i="2"/>
  <c r="EK278" i="2" s="1"/>
  <c r="EJ277" i="2"/>
  <c r="EL294" i="2" s="1"/>
  <c r="EJ278" i="2"/>
  <c r="EJ287" i="2" s="1"/>
  <c r="EJ294" i="2" l="1"/>
  <c r="EJ286" i="2"/>
  <c r="EO290" i="2"/>
  <c r="EJ305" i="2"/>
  <c r="EJ295" i="2"/>
  <c r="EK251" i="2"/>
  <c r="EL295" i="2"/>
  <c r="EK303" i="2"/>
  <c r="EP304" i="2" s="1"/>
  <c r="EO287" i="2"/>
  <c r="EJ290" i="2"/>
  <c r="EJ289" i="2"/>
  <c r="EJ303" i="2"/>
  <c r="EK305" i="2"/>
  <c r="EK287" i="2"/>
  <c r="EK290" i="2"/>
  <c r="EP287" i="2"/>
  <c r="EP290" i="2"/>
  <c r="EP289" i="2"/>
  <c r="EP286" i="2"/>
  <c r="EO289" i="2"/>
  <c r="EO286" i="2"/>
  <c r="EK289" i="2"/>
  <c r="EK318" i="2" l="1"/>
  <c r="EK321" i="2" s="1"/>
  <c r="EK330" i="2" s="1"/>
  <c r="EK331" i="2" s="1"/>
  <c r="EK203" i="2"/>
  <c r="EJ304" i="2"/>
  <c r="EO304" i="2"/>
  <c r="EO306" i="2"/>
  <c r="EJ306" i="2"/>
  <c r="EK304" i="2"/>
  <c r="EK306" i="2"/>
  <c r="EP306" i="2"/>
  <c r="EP331" i="2" l="1"/>
  <c r="EK327" i="2"/>
  <c r="EK204" i="2"/>
  <c r="EK212" i="2"/>
  <c r="EP204" i="2"/>
  <c r="EJ215" i="2" l="1"/>
  <c r="EH215" i="2"/>
  <c r="EI215" i="2"/>
  <c r="EG215" i="2"/>
  <c r="EK213" i="2"/>
  <c r="EP213" i="2"/>
  <c r="DN75" i="7"/>
  <c r="DN196" i="7"/>
  <c r="DN197" i="7" s="1"/>
  <c r="DR197" i="7" s="1"/>
  <c r="DN9" i="3"/>
  <c r="EL45" i="82"/>
  <c r="EL46" i="82" s="1"/>
  <c r="EL47" i="82"/>
  <c r="EL172" i="82"/>
  <c r="EL173" i="82" s="1"/>
  <c r="EL174" i="82"/>
  <c r="EL176" i="82"/>
  <c r="EK215" i="2" l="1"/>
  <c r="DN19" i="3"/>
  <c r="EL175" i="82"/>
  <c r="EL48" i="82"/>
  <c r="EL62" i="82" s="1"/>
  <c r="DN77" i="3" l="1"/>
  <c r="DN50" i="3"/>
  <c r="DN52" i="3" s="1"/>
  <c r="DO51" i="3" s="1"/>
  <c r="DN20" i="3"/>
  <c r="DN80" i="3"/>
  <c r="EL77" i="82"/>
  <c r="EL49" i="82"/>
  <c r="EL63" i="82" s="1"/>
  <c r="DN88" i="3" l="1"/>
  <c r="DP91" i="3"/>
  <c r="DO52" i="3"/>
  <c r="DN83" i="3"/>
  <c r="DP93" i="3" s="1"/>
  <c r="DN8" i="7"/>
  <c r="EL189" i="82"/>
  <c r="DN91" i="3"/>
  <c r="DO91" i="3"/>
  <c r="DP94" i="3" l="1"/>
  <c r="DP95" i="3"/>
  <c r="DO8" i="7"/>
  <c r="DP51" i="3"/>
  <c r="DO93" i="3"/>
  <c r="DO95" i="3" s="1"/>
  <c r="DN54" i="3"/>
  <c r="DN100" i="3"/>
  <c r="DN84" i="3"/>
  <c r="EL188" i="2"/>
  <c r="EL189" i="2" s="1"/>
  <c r="DN66" i="7"/>
  <c r="DN70" i="7" s="1"/>
  <c r="DN16" i="7"/>
  <c r="DN87" i="3"/>
  <c r="DN89" i="3"/>
  <c r="DN85" i="3"/>
  <c r="DN93" i="3"/>
  <c r="DN95" i="3" s="1"/>
  <c r="DO94" i="3" l="1"/>
  <c r="DO16" i="7"/>
  <c r="DO26" i="7" s="1"/>
  <c r="DO66" i="7"/>
  <c r="DO70" i="7" s="1"/>
  <c r="DP52" i="3"/>
  <c r="DP8" i="7" s="1"/>
  <c r="DN26" i="7"/>
  <c r="EL190" i="2"/>
  <c r="DN67" i="7"/>
  <c r="DN94" i="3"/>
  <c r="DN71" i="7"/>
  <c r="DO67" i="7" l="1"/>
  <c r="DO71" i="7"/>
  <c r="DP66" i="7"/>
  <c r="DP67" i="7" s="1"/>
  <c r="DP16" i="7"/>
  <c r="DN63" i="7"/>
  <c r="DO63" i="7"/>
  <c r="DP26" i="7" l="1"/>
  <c r="DP70" i="7"/>
  <c r="DP71" i="7"/>
  <c r="DP63" i="7" l="1"/>
  <c r="AX52" i="3"/>
  <c r="AY51" i="3" s="1"/>
  <c r="AY99" i="1"/>
  <c r="BB604" i="1"/>
  <c r="AY606" i="1"/>
  <c r="BB610" i="1"/>
  <c r="BB621" i="1"/>
  <c r="AY622" i="1"/>
  <c r="BB625" i="1"/>
  <c r="AY626" i="1"/>
  <c r="AY118" i="1" l="1"/>
  <c r="BD119" i="1" s="1"/>
  <c r="AY102" i="1"/>
  <c r="AY602" i="1"/>
  <c r="BD100" i="1"/>
  <c r="AY100" i="1"/>
  <c r="AY105" i="1"/>
  <c r="AY52" i="3"/>
  <c r="AY620" i="1" l="1"/>
  <c r="BD623" i="1" s="1"/>
  <c r="AY119" i="1"/>
  <c r="AY603" i="1"/>
  <c r="AY121" i="1"/>
  <c r="AY604" i="1"/>
  <c r="AY605" i="1"/>
  <c r="BD607" i="1"/>
  <c r="BD621" i="1"/>
  <c r="BD604" i="1"/>
  <c r="AY106" i="1"/>
  <c r="BD106" i="1"/>
  <c r="AY107" i="1"/>
  <c r="AY389" i="1"/>
  <c r="AY608" i="1"/>
  <c r="AY621" i="1" l="1"/>
  <c r="BD122" i="1"/>
  <c r="AY122" i="1"/>
  <c r="AY624" i="1"/>
  <c r="BD627" i="1" s="1"/>
  <c r="AY127" i="1"/>
  <c r="AY609" i="1"/>
  <c r="AY611" i="1"/>
  <c r="AY612" i="1" s="1"/>
  <c r="BD613" i="1"/>
  <c r="BD610" i="1"/>
  <c r="AY610" i="1"/>
  <c r="AK76" i="3" l="1"/>
  <c r="AY136" i="1"/>
  <c r="BD128" i="1"/>
  <c r="AT341" i="1"/>
  <c r="AY134" i="1"/>
  <c r="AY128" i="1"/>
  <c r="AY133" i="1"/>
  <c r="AY625" i="1"/>
  <c r="BD625" i="1"/>
  <c r="AY342" i="1" l="1"/>
  <c r="AT342" i="1"/>
  <c r="AY135" i="1"/>
  <c r="AY137" i="1" l="1"/>
  <c r="DO54" i="3"/>
  <c r="EM188" i="2" l="1"/>
  <c r="EM190" i="2" l="1"/>
  <c r="EM189" i="2"/>
  <c r="EP48" i="2"/>
  <c r="Y8" i="11" l="1"/>
  <c r="AB20" i="113"/>
  <c r="AB259" i="113" s="1"/>
  <c r="AB272" i="113" s="1"/>
  <c r="G24" i="112" l="1"/>
  <c r="K33" i="15"/>
  <c r="K54" i="15" s="1"/>
  <c r="K56" i="15" s="1"/>
  <c r="K49" i="15" s="1"/>
  <c r="AB332" i="113"/>
  <c r="Y9" i="11"/>
  <c r="K48" i="15" l="1"/>
  <c r="EN224" i="2" l="1"/>
  <c r="EN226" i="2" s="1"/>
  <c r="EN229" i="2" s="1"/>
  <c r="EN227" i="2"/>
  <c r="EN230" i="2"/>
  <c r="EN232" i="2" s="1"/>
  <c r="EN172" i="82"/>
  <c r="EN173" i="82" s="1"/>
  <c r="EN174" i="82"/>
  <c r="EN176" i="82"/>
  <c r="DP54" i="3" l="1"/>
  <c r="EN228" i="2"/>
  <c r="DQ51" i="3"/>
  <c r="EN233" i="2"/>
  <c r="EN236" i="2"/>
  <c r="EN237" i="2" s="1"/>
  <c r="EN175" i="82"/>
  <c r="DQ195" i="7"/>
  <c r="EN239" i="2" l="1"/>
  <c r="EN240" i="2" s="1"/>
  <c r="EN238" i="2"/>
  <c r="EN241" i="2" s="1"/>
  <c r="EN242" i="2" s="1"/>
  <c r="EN188" i="2"/>
  <c r="EN189" i="82"/>
  <c r="EN189" i="2" l="1"/>
  <c r="EN190" i="2"/>
  <c r="EO190" i="2" s="1"/>
  <c r="EQ190" i="2" s="1"/>
  <c r="ER190" i="2" l="1"/>
  <c r="ES190" i="2" s="1"/>
  <c r="ET190" i="2" s="1"/>
  <c r="EV190" i="2" s="1"/>
  <c r="EW190" i="2" s="1"/>
  <c r="EX190" i="2" s="1"/>
  <c r="EY190" i="2" s="1"/>
  <c r="EQ217" i="2"/>
  <c r="ER217" i="2"/>
  <c r="ES217" i="2"/>
  <c r="ET217" i="2"/>
  <c r="EW34" i="2"/>
  <c r="EV48" i="2"/>
  <c r="EV217" i="2"/>
  <c r="EW48" i="2" l="1"/>
  <c r="EX34" i="2"/>
  <c r="EW217" i="2"/>
  <c r="EX48" i="2" l="1"/>
  <c r="EX217" i="2"/>
  <c r="EY34" i="2"/>
  <c r="EY48" i="2" l="1"/>
  <c r="EY217" i="2"/>
  <c r="EQ283" i="1"/>
  <c r="EQ284" i="1" s="1"/>
  <c r="EQ286" i="1" s="1"/>
  <c r="EQ92" i="39" l="1"/>
  <c r="EQ93" i="39" s="1"/>
  <c r="EQ285" i="1"/>
  <c r="EQ229" i="1"/>
  <c r="EQ234" i="1" s="1"/>
  <c r="EQ235" i="1" s="1"/>
  <c r="EQ236" i="1" s="1"/>
  <c r="EQ259" i="1"/>
  <c r="EQ260" i="1" s="1"/>
  <c r="EQ44" i="39" s="1"/>
  <c r="EQ45" i="39" s="1"/>
  <c r="EQ262" i="1" l="1"/>
  <c r="EQ261" i="1"/>
  <c r="ER259" i="1"/>
  <c r="ER260" i="1" s="1"/>
  <c r="ES259" i="1"/>
  <c r="ES260" i="1" s="1"/>
  <c r="ES44" i="39" s="1"/>
  <c r="ES45" i="39" s="1"/>
  <c r="ER44" i="39" l="1"/>
  <c r="ER45" i="39" s="1"/>
  <c r="ER262" i="1"/>
  <c r="ES262" i="1"/>
  <c r="ES261" i="1"/>
  <c r="ER261" i="1"/>
  <c r="ER229" i="1"/>
  <c r="ER234" i="1" s="1"/>
  <c r="ER235" i="1" s="1"/>
  <c r="ER236" i="1" s="1"/>
  <c r="ES229" i="1"/>
  <c r="ES234" i="1" s="1"/>
  <c r="ES235" i="1" s="1"/>
  <c r="ES236" i="1" s="1"/>
  <c r="ER283" i="1"/>
  <c r="ER284" i="1" s="1"/>
  <c r="ES283" i="1"/>
  <c r="ES284" i="1" s="1"/>
  <c r="ER92" i="39" l="1"/>
  <c r="ER93" i="39" s="1"/>
  <c r="ER285" i="1"/>
  <c r="ES92" i="39"/>
  <c r="ES93" i="39" s="1"/>
  <c r="ES285" i="1"/>
  <c r="ES286" i="1"/>
  <c r="ER286" i="1"/>
  <c r="EV131" i="82"/>
  <c r="EV132" i="82"/>
  <c r="EV133" i="82"/>
  <c r="EV134" i="82"/>
  <c r="AB295" i="113"/>
  <c r="AB304" i="113" s="1"/>
  <c r="AB299" i="113"/>
  <c r="AB318" i="113" s="1"/>
  <c r="AB300" i="113"/>
  <c r="AB312" i="113" s="1"/>
  <c r="AB317" i="113" l="1"/>
  <c r="AC311" i="113"/>
  <c r="AB400" i="113"/>
  <c r="AB310" i="113"/>
  <c r="AC310" i="113"/>
  <c r="AB463" i="113"/>
  <c r="E111" i="112"/>
  <c r="V61" i="112" s="1"/>
  <c r="AB316" i="113"/>
  <c r="E112" i="112" s="1"/>
  <c r="V62" i="112" s="1"/>
  <c r="AB297" i="113"/>
  <c r="AB311" i="113"/>
  <c r="AB294" i="113"/>
  <c r="AB391" i="113" s="1"/>
  <c r="EV145" i="82"/>
  <c r="EV25" i="82"/>
  <c r="EV31" i="82"/>
  <c r="EU44" i="82"/>
  <c r="EU53" i="82" s="1"/>
  <c r="EU188" i="82" l="1"/>
  <c r="EV66" i="82"/>
  <c r="EU66" i="82"/>
  <c r="AB227" i="113"/>
  <c r="EU43" i="82"/>
  <c r="EU75" i="82"/>
  <c r="EU73" i="82" s="1"/>
  <c r="AB218" i="113"/>
  <c r="EU61" i="82"/>
  <c r="EV61" i="82"/>
  <c r="EV60" i="82" l="1"/>
  <c r="EU60" i="82"/>
  <c r="EV59" i="82"/>
  <c r="AB243" i="113"/>
  <c r="AB188" i="113"/>
  <c r="AB239" i="113"/>
  <c r="AC239" i="113"/>
  <c r="EU59" i="82"/>
  <c r="EU70" i="82"/>
  <c r="AB244" i="113"/>
  <c r="AB217" i="113"/>
  <c r="AB235" i="113"/>
  <c r="AC235" i="113"/>
  <c r="EU76" i="82"/>
  <c r="EV76" i="82"/>
  <c r="AB203" i="113" l="1"/>
  <c r="AB461" i="113"/>
  <c r="AB465" i="113" s="1"/>
  <c r="E99" i="112"/>
  <c r="V57" i="112" s="1"/>
  <c r="AC203" i="113"/>
  <c r="AB179" i="113"/>
  <c r="AB207" i="113"/>
  <c r="AB234" i="113"/>
  <c r="AC234" i="113"/>
  <c r="E100" i="112" l="1"/>
  <c r="V58" i="112" s="1"/>
  <c r="AB178" i="113"/>
  <c r="AB208" i="113"/>
  <c r="AC199" i="113"/>
  <c r="AB398" i="113"/>
  <c r="AB402" i="113" s="1"/>
  <c r="AB199" i="113"/>
  <c r="AB389" i="113" l="1"/>
  <c r="AB393" i="113" s="1"/>
  <c r="AC198" i="113"/>
  <c r="AB198" i="113"/>
  <c r="DQ8" i="7"/>
  <c r="DR8" i="7"/>
  <c r="DS8" i="7"/>
  <c r="DT8" i="7"/>
  <c r="DU8" i="7"/>
  <c r="DV8" i="7"/>
  <c r="DW8" i="7"/>
  <c r="DX8" i="7"/>
  <c r="DY8" i="7"/>
  <c r="DZ8" i="7"/>
  <c r="EA8" i="7"/>
  <c r="EC8" i="7"/>
  <c r="ED8" i="7"/>
  <c r="DQ16" i="7"/>
  <c r="DR16" i="7"/>
  <c r="DS16" i="7"/>
  <c r="DT16" i="7"/>
  <c r="DU16" i="7"/>
  <c r="DV16" i="7"/>
  <c r="DW16" i="7"/>
  <c r="DX16" i="7"/>
  <c r="DY16" i="7"/>
  <c r="DZ16" i="7"/>
  <c r="EA16" i="7"/>
  <c r="EC16" i="7"/>
  <c r="ED16" i="7"/>
  <c r="DQ26" i="7"/>
  <c r="DR26" i="7"/>
  <c r="DS26" i="7"/>
  <c r="DT26" i="7"/>
  <c r="DU26" i="7"/>
  <c r="DV26" i="7"/>
  <c r="DW26" i="7"/>
  <c r="DX26" i="7"/>
  <c r="DY26" i="7"/>
  <c r="DZ26" i="7"/>
  <c r="EA26" i="7"/>
  <c r="EC26" i="7"/>
  <c r="ED26" i="7"/>
  <c r="DQ59" i="7"/>
  <c r="DR59" i="7"/>
  <c r="DS59" i="7"/>
  <c r="DT59" i="7"/>
  <c r="DU59" i="7"/>
  <c r="DV59" i="7"/>
  <c r="DW59" i="7"/>
  <c r="DX59" i="7"/>
  <c r="DY59" i="7"/>
  <c r="DZ59" i="7"/>
  <c r="EA59" i="7"/>
  <c r="DQ60" i="7"/>
  <c r="DR60" i="7"/>
  <c r="DS60" i="7"/>
  <c r="DT60" i="7"/>
  <c r="DU60" i="7"/>
  <c r="DV60" i="7"/>
  <c r="DW60" i="7"/>
  <c r="DX60" i="7"/>
  <c r="DY60" i="7"/>
  <c r="DZ60" i="7"/>
  <c r="EA60" i="7"/>
  <c r="DQ62" i="7"/>
  <c r="DR62" i="7"/>
  <c r="DS62" i="7"/>
  <c r="DT62" i="7"/>
  <c r="DU62" i="7"/>
  <c r="DV62" i="7"/>
  <c r="DW62" i="7"/>
  <c r="DX62" i="7"/>
  <c r="DY62" i="7"/>
  <c r="DZ62" i="7"/>
  <c r="EA62" i="7"/>
  <c r="DQ63" i="7"/>
  <c r="DR63" i="7"/>
  <c r="DS63" i="7"/>
  <c r="DT63" i="7"/>
  <c r="DU63" i="7"/>
  <c r="DV63" i="7"/>
  <c r="DW63" i="7"/>
  <c r="DX63" i="7"/>
  <c r="DY63" i="7"/>
  <c r="DZ63" i="7"/>
  <c r="EA63" i="7"/>
  <c r="DQ66" i="7"/>
  <c r="DR66" i="7"/>
  <c r="DS66" i="7"/>
  <c r="DT66" i="7"/>
  <c r="DU66" i="7"/>
  <c r="DV66" i="7"/>
  <c r="DW66" i="7"/>
  <c r="DX66" i="7"/>
  <c r="DY66" i="7"/>
  <c r="DZ66" i="7"/>
  <c r="EA66" i="7"/>
  <c r="EC66" i="7"/>
  <c r="ED66" i="7"/>
  <c r="DQ67" i="7"/>
  <c r="DR67" i="7"/>
  <c r="DS67" i="7"/>
  <c r="DT67" i="7"/>
  <c r="DU67" i="7"/>
  <c r="DV67" i="7"/>
  <c r="DW67" i="7"/>
  <c r="DX67" i="7"/>
  <c r="DY67" i="7"/>
  <c r="DZ67" i="7"/>
  <c r="EA67" i="7"/>
  <c r="DQ70" i="7"/>
  <c r="DR70" i="7"/>
  <c r="DS70" i="7"/>
  <c r="DT70" i="7"/>
  <c r="DU70" i="7"/>
  <c r="DV70" i="7"/>
  <c r="DW70" i="7"/>
  <c r="DX70" i="7"/>
  <c r="DY70" i="7"/>
  <c r="DZ70" i="7"/>
  <c r="EA70" i="7"/>
  <c r="EC70" i="7"/>
  <c r="ED70" i="7"/>
  <c r="DQ71" i="7"/>
  <c r="DR71" i="7"/>
  <c r="DS71" i="7"/>
  <c r="DT71" i="7"/>
  <c r="DU71" i="7"/>
  <c r="DV71" i="7"/>
  <c r="DW71" i="7"/>
  <c r="DX71" i="7"/>
  <c r="DY71" i="7"/>
  <c r="DZ71" i="7"/>
  <c r="EA71" i="7"/>
  <c r="DQ74" i="7"/>
  <c r="DR74" i="7"/>
  <c r="DS74" i="7"/>
  <c r="DT74" i="7"/>
  <c r="DU74" i="7"/>
  <c r="DV74" i="7"/>
  <c r="DW74" i="7"/>
  <c r="DX74" i="7"/>
  <c r="DY74" i="7"/>
  <c r="DZ74" i="7"/>
  <c r="EA74" i="7"/>
  <c r="DQ75" i="7"/>
  <c r="DR75" i="7"/>
  <c r="DS75" i="7"/>
  <c r="DT75" i="7"/>
  <c r="DU75" i="7"/>
  <c r="DV75" i="7"/>
  <c r="DW75" i="7"/>
  <c r="DX75" i="7"/>
  <c r="DY75" i="7"/>
  <c r="DZ75" i="7"/>
  <c r="EA75" i="7"/>
  <c r="DQ76" i="7"/>
  <c r="DR76" i="7"/>
  <c r="DS76" i="7"/>
  <c r="DT76" i="7"/>
  <c r="DU76" i="7"/>
  <c r="DV76" i="7"/>
  <c r="DW76" i="7"/>
  <c r="DX76" i="7"/>
  <c r="DY76" i="7"/>
  <c r="DZ76" i="7"/>
  <c r="EA76" i="7"/>
  <c r="DS195" i="7"/>
  <c r="DT195" i="7"/>
  <c r="DU195" i="7"/>
  <c r="DV195" i="7"/>
  <c r="DW195" i="7"/>
  <c r="DX195" i="7"/>
  <c r="DY195" i="7"/>
  <c r="DZ195" i="7"/>
  <c r="EA195" i="7"/>
  <c r="DQ196" i="7"/>
  <c r="DR196" i="7"/>
  <c r="DS196" i="7"/>
  <c r="DT196" i="7"/>
  <c r="DU196" i="7"/>
  <c r="DV196" i="7"/>
  <c r="DW196" i="7"/>
  <c r="DX196" i="7"/>
  <c r="DY196" i="7"/>
  <c r="DZ196" i="7"/>
  <c r="EA196" i="7"/>
  <c r="DX197" i="7"/>
  <c r="DY197" i="7"/>
  <c r="DZ197" i="7"/>
  <c r="EA197" i="7"/>
  <c r="DQ198" i="7"/>
  <c r="DR198" i="7"/>
  <c r="DS198" i="7"/>
  <c r="DT198" i="7"/>
  <c r="DU198" i="7"/>
  <c r="DV198" i="7"/>
  <c r="DW198" i="7"/>
  <c r="DX198" i="7"/>
  <c r="DY198" i="7"/>
  <c r="DZ198" i="7"/>
  <c r="EA198" i="7"/>
  <c r="DQ9" i="3"/>
  <c r="DR9" i="3"/>
  <c r="DS9" i="3"/>
  <c r="DT9" i="3"/>
  <c r="DU9" i="3"/>
  <c r="DV9" i="3"/>
  <c r="DW9" i="3"/>
  <c r="DX9" i="3"/>
  <c r="DY9" i="3"/>
  <c r="DZ9" i="3"/>
  <c r="EA9" i="3"/>
  <c r="EC9" i="3"/>
  <c r="ED9" i="3"/>
  <c r="DQ19" i="3"/>
  <c r="DR19" i="3"/>
  <c r="DS19" i="3"/>
  <c r="DT19" i="3"/>
  <c r="DU19" i="3"/>
  <c r="DV19" i="3"/>
  <c r="DW19" i="3"/>
  <c r="DX19" i="3"/>
  <c r="DY19" i="3"/>
  <c r="DZ19" i="3"/>
  <c r="EA19" i="3"/>
  <c r="EC19" i="3"/>
  <c r="ED19" i="3"/>
  <c r="DQ20" i="3"/>
  <c r="DR20" i="3"/>
  <c r="DS20" i="3"/>
  <c r="DT20" i="3"/>
  <c r="DU20" i="3"/>
  <c r="DV20" i="3"/>
  <c r="DW20" i="3"/>
  <c r="DX20" i="3"/>
  <c r="DY20" i="3"/>
  <c r="DZ20" i="3"/>
  <c r="EA20" i="3"/>
  <c r="DX39" i="3"/>
  <c r="DY39" i="3"/>
  <c r="DZ39" i="3"/>
  <c r="EA39" i="3"/>
  <c r="DX40" i="3"/>
  <c r="DY40" i="3"/>
  <c r="DZ40" i="3"/>
  <c r="EA40" i="3"/>
  <c r="DX46" i="3"/>
  <c r="DY46" i="3"/>
  <c r="DZ46" i="3"/>
  <c r="EA46" i="3"/>
  <c r="DQ50" i="3"/>
  <c r="DR50" i="3"/>
  <c r="DS50" i="3"/>
  <c r="DT50" i="3"/>
  <c r="DU50" i="3"/>
  <c r="DV50" i="3"/>
  <c r="DW50" i="3"/>
  <c r="DX50" i="3"/>
  <c r="DY50" i="3"/>
  <c r="DZ50" i="3"/>
  <c r="EA50" i="3"/>
  <c r="DS51" i="3"/>
  <c r="DT51" i="3"/>
  <c r="DU51" i="3"/>
  <c r="DV51" i="3"/>
  <c r="DW51" i="3"/>
  <c r="DX51" i="3"/>
  <c r="DY51" i="3"/>
  <c r="DZ51" i="3"/>
  <c r="EA51" i="3"/>
  <c r="DQ52" i="3"/>
  <c r="DR52" i="3"/>
  <c r="DS52" i="3"/>
  <c r="DT52" i="3"/>
  <c r="DU52" i="3"/>
  <c r="DV52" i="3"/>
  <c r="DW52" i="3"/>
  <c r="DX52" i="3"/>
  <c r="DY52" i="3"/>
  <c r="DZ52" i="3"/>
  <c r="EA52" i="3"/>
  <c r="EC52" i="3"/>
  <c r="ED52" i="3"/>
  <c r="DR53" i="3"/>
  <c r="DW53" i="3"/>
  <c r="DQ54" i="3"/>
  <c r="DR54" i="3"/>
  <c r="DS54" i="3"/>
  <c r="DT54" i="3"/>
  <c r="DU54" i="3"/>
  <c r="DV54" i="3"/>
  <c r="DW54" i="3"/>
  <c r="DX54" i="3"/>
  <c r="DY54" i="3"/>
  <c r="DZ54" i="3"/>
  <c r="EA54" i="3"/>
  <c r="DQ77" i="3"/>
  <c r="DR77" i="3"/>
  <c r="DS77" i="3"/>
  <c r="DT77" i="3"/>
  <c r="DU77" i="3"/>
  <c r="DV77" i="3"/>
  <c r="DW77" i="3"/>
  <c r="DX77" i="3"/>
  <c r="DY77" i="3"/>
  <c r="DZ77" i="3"/>
  <c r="EA77" i="3"/>
  <c r="DQ80" i="3"/>
  <c r="DR80" i="3"/>
  <c r="DS80" i="3"/>
  <c r="DT80" i="3"/>
  <c r="DU80" i="3"/>
  <c r="DV80" i="3"/>
  <c r="DW80" i="3"/>
  <c r="DX80" i="3"/>
  <c r="DY80" i="3"/>
  <c r="DZ80" i="3"/>
  <c r="EA80" i="3"/>
  <c r="DQ83" i="3"/>
  <c r="DR83" i="3"/>
  <c r="DS83" i="3"/>
  <c r="DT83" i="3"/>
  <c r="DU83" i="3"/>
  <c r="DV83" i="3"/>
  <c r="DW83" i="3"/>
  <c r="DX83" i="3"/>
  <c r="DY83" i="3"/>
  <c r="DZ83" i="3"/>
  <c r="EA83" i="3"/>
  <c r="EC83" i="3"/>
  <c r="ED83" i="3"/>
  <c r="DQ84" i="3"/>
  <c r="DR84" i="3"/>
  <c r="DS84" i="3"/>
  <c r="DT84" i="3"/>
  <c r="DU84" i="3"/>
  <c r="DV84" i="3"/>
  <c r="DW84" i="3"/>
  <c r="DX84" i="3"/>
  <c r="DY84" i="3"/>
  <c r="DZ84" i="3"/>
  <c r="EA84" i="3"/>
  <c r="DQ85" i="3"/>
  <c r="DR85" i="3"/>
  <c r="DS85" i="3"/>
  <c r="DT85" i="3"/>
  <c r="DU85" i="3"/>
  <c r="DV85" i="3"/>
  <c r="DW85" i="3"/>
  <c r="DX85" i="3"/>
  <c r="DY85" i="3"/>
  <c r="DZ85" i="3"/>
  <c r="EA85" i="3"/>
  <c r="DQ87" i="3"/>
  <c r="DR87" i="3"/>
  <c r="DS87" i="3"/>
  <c r="DT87" i="3"/>
  <c r="DU87" i="3"/>
  <c r="DV87" i="3"/>
  <c r="DW87" i="3"/>
  <c r="DX87" i="3"/>
  <c r="DY87" i="3"/>
  <c r="DZ87" i="3"/>
  <c r="EA87" i="3"/>
  <c r="DQ88" i="3"/>
  <c r="DR88" i="3"/>
  <c r="DS88" i="3"/>
  <c r="DT88" i="3"/>
  <c r="DU88" i="3"/>
  <c r="DV88" i="3"/>
  <c r="DW88" i="3"/>
  <c r="DX88" i="3"/>
  <c r="DY88" i="3"/>
  <c r="DZ88" i="3"/>
  <c r="EA88" i="3"/>
  <c r="DQ89" i="3"/>
  <c r="DR89" i="3"/>
  <c r="DS89" i="3"/>
  <c r="DT89" i="3"/>
  <c r="DU89" i="3"/>
  <c r="DV89" i="3"/>
  <c r="DW89" i="3"/>
  <c r="DX89" i="3"/>
  <c r="DY89" i="3"/>
  <c r="DZ89" i="3"/>
  <c r="EA89" i="3"/>
  <c r="DQ91" i="3"/>
  <c r="DR91" i="3"/>
  <c r="DS91" i="3"/>
  <c r="DT91" i="3"/>
  <c r="DU91" i="3"/>
  <c r="DV91" i="3"/>
  <c r="DW91" i="3"/>
  <c r="DX91" i="3"/>
  <c r="DY91" i="3"/>
  <c r="DZ91" i="3"/>
  <c r="EA91" i="3"/>
  <c r="DQ93" i="3"/>
  <c r="DR93" i="3"/>
  <c r="DS93" i="3"/>
  <c r="DT93" i="3"/>
  <c r="DU93" i="3"/>
  <c r="DV93" i="3"/>
  <c r="DW93" i="3"/>
  <c r="DX93" i="3"/>
  <c r="DY93" i="3"/>
  <c r="DZ93" i="3"/>
  <c r="EA93" i="3"/>
  <c r="DQ94" i="3"/>
  <c r="DR94" i="3"/>
  <c r="DS94" i="3"/>
  <c r="DT94" i="3"/>
  <c r="DU94" i="3"/>
  <c r="DV94" i="3"/>
  <c r="DW94" i="3"/>
  <c r="DX94" i="3"/>
  <c r="DY94" i="3"/>
  <c r="DZ94" i="3"/>
  <c r="EA94" i="3"/>
  <c r="DQ95" i="3"/>
  <c r="DR95" i="3"/>
  <c r="DS95" i="3"/>
  <c r="DT95" i="3"/>
  <c r="DU95" i="3"/>
  <c r="DV95" i="3"/>
  <c r="DW95" i="3"/>
  <c r="DX95" i="3"/>
  <c r="DY95" i="3"/>
  <c r="DZ95" i="3"/>
  <c r="EA95" i="3"/>
  <c r="DX98" i="3"/>
  <c r="DY98" i="3"/>
  <c r="DZ98" i="3"/>
  <c r="EA98" i="3"/>
  <c r="DX99" i="3"/>
  <c r="DY99" i="3"/>
  <c r="DZ99" i="3"/>
  <c r="EA99" i="3"/>
  <c r="DQ100" i="3"/>
  <c r="DR100" i="3"/>
  <c r="DS100" i="3"/>
  <c r="DT100" i="3"/>
  <c r="DU100" i="3"/>
  <c r="DV100" i="3"/>
  <c r="DW100" i="3"/>
  <c r="DX102" i="3"/>
  <c r="DY102" i="3"/>
  <c r="DZ102" i="3"/>
  <c r="EA102" i="3"/>
  <c r="DX103" i="3"/>
  <c r="DY103" i="3"/>
  <c r="DZ103" i="3"/>
  <c r="EA103" i="3"/>
  <c r="DX106" i="3"/>
  <c r="DY106" i="3"/>
  <c r="DZ106" i="3"/>
  <c r="EA106" i="3"/>
  <c r="J14" i="15"/>
  <c r="K14" i="15"/>
  <c r="L14" i="15"/>
  <c r="M14" i="15"/>
  <c r="N14" i="15"/>
  <c r="O14" i="15"/>
  <c r="J17" i="15"/>
  <c r="K17" i="15"/>
  <c r="L17" i="15"/>
  <c r="M17" i="15"/>
  <c r="N17" i="15"/>
  <c r="O17" i="15"/>
  <c r="Q17" i="15"/>
  <c r="R17" i="15"/>
  <c r="S17" i="15"/>
  <c r="J18" i="15"/>
  <c r="K18" i="15"/>
  <c r="L18" i="15"/>
  <c r="M18" i="15"/>
  <c r="N18" i="15"/>
  <c r="O18" i="15"/>
  <c r="J22" i="15"/>
  <c r="K22" i="15"/>
  <c r="J24" i="15"/>
  <c r="K24" i="15"/>
  <c r="J25" i="15"/>
  <c r="K25" i="15"/>
  <c r="J26" i="15"/>
  <c r="K26" i="15"/>
  <c r="J28" i="15"/>
  <c r="K28" i="15"/>
  <c r="N28" i="15"/>
  <c r="J31" i="15"/>
  <c r="K31" i="15"/>
  <c r="J35" i="15"/>
  <c r="K35" i="15"/>
  <c r="K45" i="15"/>
  <c r="K51" i="15"/>
  <c r="EO30" i="2"/>
  <c r="EP30" i="2"/>
  <c r="EQ30" i="2"/>
  <c r="ER30" i="2"/>
  <c r="ES30" i="2"/>
  <c r="ET30" i="2"/>
  <c r="EU30" i="2"/>
  <c r="EV30" i="2"/>
  <c r="EW30" i="2"/>
  <c r="EX30" i="2"/>
  <c r="EY30" i="2"/>
  <c r="EO32" i="2"/>
  <c r="EP32" i="2"/>
  <c r="EQ32" i="2"/>
  <c r="ER32" i="2"/>
  <c r="ES32" i="2"/>
  <c r="ET32" i="2"/>
  <c r="EU32" i="2"/>
  <c r="EV32" i="2"/>
  <c r="EW32" i="2"/>
  <c r="EX32" i="2"/>
  <c r="EY32" i="2"/>
  <c r="EO33" i="2"/>
  <c r="EP33" i="2"/>
  <c r="EQ33" i="2"/>
  <c r="ER33" i="2"/>
  <c r="ES33" i="2"/>
  <c r="ET33" i="2"/>
  <c r="EU33" i="2"/>
  <c r="EV33" i="2"/>
  <c r="EW33" i="2"/>
  <c r="EX33" i="2"/>
  <c r="EY33" i="2"/>
  <c r="FD33" i="2"/>
  <c r="FE33" i="2"/>
  <c r="FF33" i="2"/>
  <c r="FH33" i="2"/>
  <c r="FI33" i="2"/>
  <c r="FJ33" i="2"/>
  <c r="FK33" i="2"/>
  <c r="FL33" i="2"/>
  <c r="EP34" i="2"/>
  <c r="EU34" i="2"/>
  <c r="EO36" i="2"/>
  <c r="EP36" i="2"/>
  <c r="EQ36" i="2"/>
  <c r="ER36" i="2"/>
  <c r="ES36" i="2"/>
  <c r="ET36" i="2"/>
  <c r="EU36" i="2"/>
  <c r="EV36" i="2"/>
  <c r="EW36" i="2"/>
  <c r="EX36" i="2"/>
  <c r="EY36" i="2"/>
  <c r="FD36" i="2"/>
  <c r="FE36" i="2"/>
  <c r="FF36" i="2"/>
  <c r="FH36" i="2"/>
  <c r="FI36" i="2"/>
  <c r="FJ36" i="2"/>
  <c r="FK36" i="2"/>
  <c r="FL36" i="2"/>
  <c r="EO37" i="2"/>
  <c r="EP37" i="2"/>
  <c r="EQ37" i="2"/>
  <c r="ER37" i="2"/>
  <c r="ES37" i="2"/>
  <c r="ET37" i="2"/>
  <c r="EU37" i="2"/>
  <c r="EV37" i="2"/>
  <c r="EW37" i="2"/>
  <c r="EX37" i="2"/>
  <c r="EY37" i="2"/>
  <c r="FD37" i="2"/>
  <c r="FE37" i="2"/>
  <c r="FF37" i="2"/>
  <c r="FH37" i="2"/>
  <c r="FI37" i="2"/>
  <c r="FJ37" i="2"/>
  <c r="FK37" i="2"/>
  <c r="FL37" i="2"/>
  <c r="EV38" i="2"/>
  <c r="EW38" i="2"/>
  <c r="EX38" i="2"/>
  <c r="EY38" i="2"/>
  <c r="EO42" i="2"/>
  <c r="EP42" i="2"/>
  <c r="EQ42" i="2"/>
  <c r="ER42" i="2"/>
  <c r="ES42" i="2"/>
  <c r="ET42" i="2"/>
  <c r="EU42" i="2"/>
  <c r="EV42" i="2"/>
  <c r="EW42" i="2"/>
  <c r="EX42" i="2"/>
  <c r="EY42" i="2"/>
  <c r="FD42" i="2"/>
  <c r="FE42" i="2"/>
  <c r="FF42" i="2"/>
  <c r="FH42" i="2"/>
  <c r="FI42" i="2"/>
  <c r="FJ42" i="2"/>
  <c r="FK42" i="2"/>
  <c r="FL42" i="2"/>
  <c r="EO43" i="2"/>
  <c r="EP43" i="2"/>
  <c r="EQ43" i="2"/>
  <c r="ER43" i="2"/>
  <c r="ES43" i="2"/>
  <c r="ET43" i="2"/>
  <c r="EU43" i="2"/>
  <c r="EV43" i="2"/>
  <c r="EW43" i="2"/>
  <c r="EX43" i="2"/>
  <c r="EY43" i="2"/>
  <c r="FD43" i="2"/>
  <c r="FE43" i="2"/>
  <c r="FF43" i="2"/>
  <c r="FH43" i="2"/>
  <c r="FI43" i="2"/>
  <c r="FJ43" i="2"/>
  <c r="FK43" i="2"/>
  <c r="FL43" i="2"/>
  <c r="EO50" i="2"/>
  <c r="EP50" i="2"/>
  <c r="EQ50" i="2"/>
  <c r="ER50" i="2"/>
  <c r="ES50" i="2"/>
  <c r="ET50" i="2"/>
  <c r="EU50" i="2"/>
  <c r="EV50" i="2"/>
  <c r="EW50" i="2"/>
  <c r="EX50" i="2"/>
  <c r="EY50" i="2"/>
  <c r="FD50" i="2"/>
  <c r="FE50" i="2"/>
  <c r="FF50" i="2"/>
  <c r="FH50" i="2"/>
  <c r="FI50" i="2"/>
  <c r="FJ50" i="2"/>
  <c r="FK50" i="2"/>
  <c r="FL50" i="2"/>
  <c r="EO51" i="2"/>
  <c r="EP51" i="2"/>
  <c r="EQ51" i="2"/>
  <c r="ER51" i="2"/>
  <c r="ES51" i="2"/>
  <c r="ET51" i="2"/>
  <c r="EU51" i="2"/>
  <c r="EV51" i="2"/>
  <c r="EW51" i="2"/>
  <c r="EX51" i="2"/>
  <c r="EY51" i="2"/>
  <c r="FD51" i="2"/>
  <c r="FE51" i="2"/>
  <c r="FF51" i="2"/>
  <c r="FH51" i="2"/>
  <c r="FI51" i="2"/>
  <c r="FJ51" i="2"/>
  <c r="FK51" i="2"/>
  <c r="FL51" i="2"/>
  <c r="EV52" i="2"/>
  <c r="EW52" i="2"/>
  <c r="EX52" i="2"/>
  <c r="EY52" i="2"/>
  <c r="EO77" i="2"/>
  <c r="EP77" i="2"/>
  <c r="EQ77" i="2"/>
  <c r="ER77" i="2"/>
  <c r="ES77" i="2"/>
  <c r="ET77" i="2"/>
  <c r="EU77" i="2"/>
  <c r="EV77" i="2"/>
  <c r="EW77" i="2"/>
  <c r="EX77" i="2"/>
  <c r="EY77" i="2"/>
  <c r="EO78" i="2"/>
  <c r="EP78" i="2"/>
  <c r="EQ78" i="2"/>
  <c r="ER78" i="2"/>
  <c r="ES78" i="2"/>
  <c r="ET78" i="2"/>
  <c r="EU78" i="2"/>
  <c r="EV78" i="2"/>
  <c r="EW78" i="2"/>
  <c r="EX78" i="2"/>
  <c r="EY78" i="2"/>
  <c r="EO79" i="2"/>
  <c r="EP79" i="2"/>
  <c r="EQ79" i="2"/>
  <c r="ER79" i="2"/>
  <c r="ES79" i="2"/>
  <c r="ET79" i="2"/>
  <c r="EU79" i="2"/>
  <c r="EV79" i="2"/>
  <c r="EW79" i="2"/>
  <c r="EX79" i="2"/>
  <c r="EY79" i="2"/>
  <c r="EO80" i="2"/>
  <c r="EP80" i="2"/>
  <c r="EQ80" i="2"/>
  <c r="ER80" i="2"/>
  <c r="ES80" i="2"/>
  <c r="ET80" i="2"/>
  <c r="EU80" i="2"/>
  <c r="EV80" i="2"/>
  <c r="EW80" i="2"/>
  <c r="EX80" i="2"/>
  <c r="EY80" i="2"/>
  <c r="EO81" i="2"/>
  <c r="EP81" i="2"/>
  <c r="EQ81" i="2"/>
  <c r="ER81" i="2"/>
  <c r="ES81" i="2"/>
  <c r="ET81" i="2"/>
  <c r="EU81" i="2"/>
  <c r="EV81" i="2"/>
  <c r="EW81" i="2"/>
  <c r="EX81" i="2"/>
  <c r="EY81" i="2"/>
  <c r="EO82" i="2"/>
  <c r="EP82" i="2"/>
  <c r="EQ82" i="2"/>
  <c r="ER82" i="2"/>
  <c r="ES82" i="2"/>
  <c r="ET82" i="2"/>
  <c r="EU82" i="2"/>
  <c r="EV82" i="2"/>
  <c r="EW82" i="2"/>
  <c r="EX82" i="2"/>
  <c r="EY82" i="2"/>
  <c r="EO96" i="2"/>
  <c r="EQ96" i="2"/>
  <c r="ER96" i="2"/>
  <c r="ES96" i="2"/>
  <c r="ET96" i="2"/>
  <c r="EO97" i="2"/>
  <c r="EQ97" i="2"/>
  <c r="ER97" i="2"/>
  <c r="ES97" i="2"/>
  <c r="ET97" i="2"/>
  <c r="EO98" i="2"/>
  <c r="EQ98" i="2"/>
  <c r="ER98" i="2"/>
  <c r="ES98" i="2"/>
  <c r="ET98" i="2"/>
  <c r="EO160" i="2"/>
  <c r="EP160" i="2"/>
  <c r="EQ160" i="2"/>
  <c r="ER160" i="2"/>
  <c r="ES160" i="2"/>
  <c r="ET160" i="2"/>
  <c r="EU160" i="2"/>
  <c r="EV160" i="2"/>
  <c r="EW160" i="2"/>
  <c r="EX160" i="2"/>
  <c r="EY160" i="2"/>
  <c r="EO178" i="2"/>
  <c r="EP178" i="2"/>
  <c r="EQ178" i="2"/>
  <c r="ER178" i="2"/>
  <c r="ES178" i="2"/>
  <c r="ET178" i="2"/>
  <c r="EU178" i="2"/>
  <c r="EV178" i="2"/>
  <c r="EW178" i="2"/>
  <c r="EX178" i="2"/>
  <c r="EY178" i="2"/>
  <c r="EO186" i="2"/>
  <c r="EP186" i="2"/>
  <c r="EQ186" i="2"/>
  <c r="ER186" i="2"/>
  <c r="ES186" i="2"/>
  <c r="ET186" i="2"/>
  <c r="EU186" i="2"/>
  <c r="EV186" i="2"/>
  <c r="EW186" i="2"/>
  <c r="EX186" i="2"/>
  <c r="EY186" i="2"/>
  <c r="EO187" i="2"/>
  <c r="EP187" i="2"/>
  <c r="EQ187" i="2"/>
  <c r="ER187" i="2"/>
  <c r="ES187" i="2"/>
  <c r="ET187" i="2"/>
  <c r="EU187" i="2"/>
  <c r="EV187" i="2"/>
  <c r="EW187" i="2"/>
  <c r="EX187" i="2"/>
  <c r="EY187" i="2"/>
  <c r="EO188" i="2"/>
  <c r="EP188" i="2"/>
  <c r="EQ188" i="2"/>
  <c r="ER188" i="2"/>
  <c r="ES188" i="2"/>
  <c r="ET188" i="2"/>
  <c r="EU188" i="2"/>
  <c r="EV188" i="2"/>
  <c r="EW188" i="2"/>
  <c r="EX188" i="2"/>
  <c r="EY188" i="2"/>
  <c r="EO189" i="2"/>
  <c r="EP189" i="2"/>
  <c r="EQ189" i="2"/>
  <c r="ER189" i="2"/>
  <c r="ES189" i="2"/>
  <c r="ET189" i="2"/>
  <c r="EU189" i="2"/>
  <c r="EV189" i="2"/>
  <c r="EW189" i="2"/>
  <c r="EX189" i="2"/>
  <c r="EY189" i="2"/>
  <c r="EP190" i="2"/>
  <c r="EU190" i="2"/>
  <c r="EO198" i="2"/>
  <c r="EP198" i="2"/>
  <c r="EQ198" i="2"/>
  <c r="ER198" i="2"/>
  <c r="ES198" i="2"/>
  <c r="ET198" i="2"/>
  <c r="EU198" i="2"/>
  <c r="EV198" i="2"/>
  <c r="EW198" i="2"/>
  <c r="EX198" i="2"/>
  <c r="EY198" i="2"/>
  <c r="EO199" i="2"/>
  <c r="EP199" i="2"/>
  <c r="EQ199" i="2"/>
  <c r="ER199" i="2"/>
  <c r="ES199" i="2"/>
  <c r="ET199" i="2"/>
  <c r="EU199" i="2"/>
  <c r="EV199" i="2"/>
  <c r="EW199" i="2"/>
  <c r="EX199" i="2"/>
  <c r="EY199" i="2"/>
  <c r="EO200" i="2"/>
  <c r="EP200" i="2"/>
  <c r="EQ200" i="2"/>
  <c r="ER200" i="2"/>
  <c r="ES200" i="2"/>
  <c r="ET200" i="2"/>
  <c r="EU200" i="2"/>
  <c r="EV200" i="2"/>
  <c r="EW200" i="2"/>
  <c r="EX200" i="2"/>
  <c r="EY200" i="2"/>
  <c r="EP217" i="2"/>
  <c r="EU217" i="2"/>
  <c r="EO224" i="2"/>
  <c r="EP224" i="2"/>
  <c r="EQ224" i="2"/>
  <c r="ER224" i="2"/>
  <c r="ES224" i="2"/>
  <c r="ET224" i="2"/>
  <c r="EU224" i="2"/>
  <c r="EV224" i="2"/>
  <c r="EW224" i="2"/>
  <c r="EX224" i="2"/>
  <c r="EY224" i="2"/>
  <c r="EO226" i="2"/>
  <c r="EP226" i="2"/>
  <c r="EQ226" i="2"/>
  <c r="ER226" i="2"/>
  <c r="ES226" i="2"/>
  <c r="ET226" i="2"/>
  <c r="EU226" i="2"/>
  <c r="EV226" i="2"/>
  <c r="EW226" i="2"/>
  <c r="EX226" i="2"/>
  <c r="EY226" i="2"/>
  <c r="EO227" i="2"/>
  <c r="EP227" i="2"/>
  <c r="EQ227" i="2"/>
  <c r="ER227" i="2"/>
  <c r="ES227" i="2"/>
  <c r="ET227" i="2"/>
  <c r="EU227" i="2"/>
  <c r="EV227" i="2"/>
  <c r="EW227" i="2"/>
  <c r="EX227" i="2"/>
  <c r="EY227" i="2"/>
  <c r="EO228" i="2"/>
  <c r="EP228" i="2"/>
  <c r="EQ228" i="2"/>
  <c r="ER228" i="2"/>
  <c r="ES228" i="2"/>
  <c r="ET228" i="2"/>
  <c r="EU228" i="2"/>
  <c r="EV228" i="2"/>
  <c r="EW228" i="2"/>
  <c r="EX228" i="2"/>
  <c r="EY228" i="2"/>
  <c r="EO229" i="2"/>
  <c r="EP229" i="2"/>
  <c r="EQ229" i="2"/>
  <c r="ER229" i="2"/>
  <c r="ES229" i="2"/>
  <c r="ET229" i="2"/>
  <c r="EU229" i="2"/>
  <c r="EV229" i="2"/>
  <c r="EW229" i="2"/>
  <c r="EX229" i="2"/>
  <c r="EY229" i="2"/>
  <c r="EO230" i="2"/>
  <c r="EP230" i="2"/>
  <c r="EQ230" i="2"/>
  <c r="ER230" i="2"/>
  <c r="ES230" i="2"/>
  <c r="ET230" i="2"/>
  <c r="EU230" i="2"/>
  <c r="EV230" i="2"/>
  <c r="EW230" i="2"/>
  <c r="EX230" i="2"/>
  <c r="EY230" i="2"/>
  <c r="EO232" i="2"/>
  <c r="EP232" i="2"/>
  <c r="EQ232" i="2"/>
  <c r="ER232" i="2"/>
  <c r="ES232" i="2"/>
  <c r="ET232" i="2"/>
  <c r="EU232" i="2"/>
  <c r="EV232" i="2"/>
  <c r="EW232" i="2"/>
  <c r="EX232" i="2"/>
  <c r="EY232" i="2"/>
  <c r="EO233" i="2"/>
  <c r="EP233" i="2"/>
  <c r="EQ233" i="2"/>
  <c r="ER233" i="2"/>
  <c r="ES233" i="2"/>
  <c r="ET233" i="2"/>
  <c r="EU233" i="2"/>
  <c r="EV233" i="2"/>
  <c r="EW233" i="2"/>
  <c r="EX233" i="2"/>
  <c r="EY233" i="2"/>
  <c r="EO236" i="2"/>
  <c r="EP236" i="2"/>
  <c r="EQ236" i="2"/>
  <c r="ER236" i="2"/>
  <c r="ES236" i="2"/>
  <c r="ET236" i="2"/>
  <c r="EU236" i="2"/>
  <c r="EV236" i="2"/>
  <c r="EW236" i="2"/>
  <c r="EX236" i="2"/>
  <c r="EY236" i="2"/>
  <c r="EO237" i="2"/>
  <c r="EP237" i="2"/>
  <c r="EQ237" i="2"/>
  <c r="ER237" i="2"/>
  <c r="ES237" i="2"/>
  <c r="ET237" i="2"/>
  <c r="EU237" i="2"/>
  <c r="EV237" i="2"/>
  <c r="EW237" i="2"/>
  <c r="EX237" i="2"/>
  <c r="EY237" i="2"/>
  <c r="EO238" i="2"/>
  <c r="EP238" i="2"/>
  <c r="EQ238" i="2"/>
  <c r="ER238" i="2"/>
  <c r="ES238" i="2"/>
  <c r="ET238" i="2"/>
  <c r="EU238" i="2"/>
  <c r="EV238" i="2"/>
  <c r="EW238" i="2"/>
  <c r="EX238" i="2"/>
  <c r="EY238" i="2"/>
  <c r="EO239" i="2"/>
  <c r="EP239" i="2"/>
  <c r="EQ239" i="2"/>
  <c r="ER239" i="2"/>
  <c r="ES239" i="2"/>
  <c r="ET239" i="2"/>
  <c r="EU239" i="2"/>
  <c r="EV239" i="2"/>
  <c r="EW239" i="2"/>
  <c r="EX239" i="2"/>
  <c r="EY239" i="2"/>
  <c r="EP240" i="2"/>
  <c r="EU240" i="2"/>
  <c r="EV240" i="2"/>
  <c r="EW240" i="2"/>
  <c r="EX240" i="2"/>
  <c r="EY240" i="2"/>
  <c r="EO241" i="2"/>
  <c r="EP241" i="2"/>
  <c r="EQ241" i="2"/>
  <c r="ER241" i="2"/>
  <c r="ES241" i="2"/>
  <c r="ET241" i="2"/>
  <c r="EU241" i="2"/>
  <c r="EV241" i="2"/>
  <c r="EW241" i="2"/>
  <c r="EX241" i="2"/>
  <c r="EY241" i="2"/>
  <c r="FD241" i="2"/>
  <c r="FE241" i="2"/>
  <c r="FF241" i="2"/>
  <c r="FH241" i="2"/>
  <c r="FI241" i="2"/>
  <c r="FJ241" i="2"/>
  <c r="FK241" i="2"/>
  <c r="FL241" i="2"/>
  <c r="EO242" i="2"/>
  <c r="EP242" i="2"/>
  <c r="EQ242" i="2"/>
  <c r="ER242" i="2"/>
  <c r="ES242" i="2"/>
  <c r="ET242" i="2"/>
  <c r="EU242" i="2"/>
  <c r="EV242" i="2"/>
  <c r="EW242" i="2"/>
  <c r="EX242" i="2"/>
  <c r="EY242" i="2"/>
  <c r="Z8" i="11"/>
  <c r="AA8" i="11"/>
  <c r="Z9" i="11"/>
  <c r="AA9" i="11"/>
  <c r="X11" i="11"/>
  <c r="Y11" i="11"/>
  <c r="Z11" i="11"/>
  <c r="AA11" i="11"/>
  <c r="X14" i="11"/>
  <c r="Y14" i="11"/>
  <c r="Z14" i="11"/>
  <c r="AA14" i="11"/>
  <c r="X19" i="11"/>
  <c r="Y19" i="11"/>
  <c r="Z19" i="11"/>
  <c r="AA19" i="11"/>
  <c r="AC19" i="11"/>
  <c r="AD19" i="11"/>
  <c r="AE19" i="11"/>
  <c r="X20" i="11"/>
  <c r="Y20" i="11"/>
  <c r="Z20" i="11"/>
  <c r="AA20" i="11"/>
  <c r="X21" i="11"/>
  <c r="Y21" i="11"/>
  <c r="Z21" i="11"/>
  <c r="AA21" i="11"/>
  <c r="X23" i="11"/>
  <c r="Y23" i="11"/>
  <c r="Z23" i="11"/>
  <c r="AA23" i="11"/>
  <c r="AC23" i="11"/>
  <c r="AD23" i="11"/>
  <c r="AE23" i="11"/>
  <c r="X24" i="11"/>
  <c r="Y24" i="11"/>
  <c r="Z24" i="11"/>
  <c r="AA24" i="11"/>
  <c r="X25" i="11"/>
  <c r="Y25" i="11"/>
  <c r="Z25" i="11"/>
  <c r="AA25" i="11"/>
  <c r="X27" i="11"/>
  <c r="Y27" i="11"/>
  <c r="Z27" i="11"/>
  <c r="AA27" i="11"/>
  <c r="AC27" i="11"/>
  <c r="AD27" i="11"/>
  <c r="AE27" i="11"/>
  <c r="X28" i="11"/>
  <c r="Y28" i="11"/>
  <c r="Z28" i="11"/>
  <c r="AA28" i="11"/>
  <c r="X31" i="11"/>
  <c r="Y31" i="11"/>
  <c r="Z31" i="11"/>
  <c r="AA31" i="11"/>
  <c r="X33" i="11"/>
  <c r="Y33" i="11"/>
  <c r="Z33" i="11"/>
  <c r="AA33" i="11"/>
  <c r="AC33" i="11"/>
  <c r="AD33" i="11"/>
  <c r="AE33" i="11"/>
  <c r="X34" i="11"/>
  <c r="Y34" i="11"/>
  <c r="Z34" i="11"/>
  <c r="AA34" i="11"/>
  <c r="X35" i="11"/>
  <c r="Y35" i="11"/>
  <c r="Z35" i="11"/>
  <c r="AA35" i="11"/>
  <c r="X36" i="11"/>
  <c r="Y36" i="11"/>
  <c r="Z36" i="11"/>
  <c r="AA36" i="11"/>
  <c r="X37" i="11"/>
  <c r="Y37" i="11"/>
  <c r="Z37" i="11"/>
  <c r="AA37" i="11"/>
  <c r="X38" i="11"/>
  <c r="Y38" i="11"/>
  <c r="Z38" i="11"/>
  <c r="AA38" i="11"/>
  <c r="X41" i="11"/>
  <c r="Y41" i="11"/>
  <c r="Z41" i="11"/>
  <c r="AA41" i="11"/>
  <c r="EO45" i="82"/>
  <c r="EP45" i="82"/>
  <c r="EQ45" i="82"/>
  <c r="ER45" i="82"/>
  <c r="ES45" i="82"/>
  <c r="ET45" i="82"/>
  <c r="EU45" i="82"/>
  <c r="EV45" i="82"/>
  <c r="EW45" i="82"/>
  <c r="EX45" i="82"/>
  <c r="EY45" i="82"/>
  <c r="EO46" i="82"/>
  <c r="EP46" i="82"/>
  <c r="EQ46" i="82"/>
  <c r="ER46" i="82"/>
  <c r="ES46" i="82"/>
  <c r="ET46" i="82"/>
  <c r="EU46" i="82"/>
  <c r="EV46" i="82"/>
  <c r="EW46" i="82"/>
  <c r="EX46" i="82"/>
  <c r="EY46" i="82"/>
  <c r="EO47" i="82"/>
  <c r="EP47" i="82"/>
  <c r="EQ47" i="82"/>
  <c r="ER47" i="82"/>
  <c r="ES47" i="82"/>
  <c r="ET47" i="82"/>
  <c r="EU47" i="82"/>
  <c r="EV47" i="82"/>
  <c r="EW47" i="82"/>
  <c r="EX47" i="82"/>
  <c r="EY47" i="82"/>
  <c r="EO48" i="82"/>
  <c r="EP48" i="82"/>
  <c r="EQ48" i="82"/>
  <c r="ER48" i="82"/>
  <c r="ES48" i="82"/>
  <c r="ET48" i="82"/>
  <c r="EU48" i="82"/>
  <c r="EV48" i="82"/>
  <c r="EW48" i="82"/>
  <c r="EX48" i="82"/>
  <c r="EY48" i="82"/>
  <c r="EO49" i="82"/>
  <c r="EP49" i="82"/>
  <c r="EQ49" i="82"/>
  <c r="ER49" i="82"/>
  <c r="ES49" i="82"/>
  <c r="ET49" i="82"/>
  <c r="EU49" i="82"/>
  <c r="EV49" i="82"/>
  <c r="EW49" i="82"/>
  <c r="EX49" i="82"/>
  <c r="EY49" i="82"/>
  <c r="FA49" i="82"/>
  <c r="FB49" i="82"/>
  <c r="EO62" i="82"/>
  <c r="EP62" i="82"/>
  <c r="EQ62" i="82"/>
  <c r="ER62" i="82"/>
  <c r="ES62" i="82"/>
  <c r="ET62" i="82"/>
  <c r="EU62" i="82"/>
  <c r="EV62" i="82"/>
  <c r="EW62" i="82"/>
  <c r="EX62" i="82"/>
  <c r="EY62" i="82"/>
  <c r="EO63" i="82"/>
  <c r="EP63" i="82"/>
  <c r="EQ63" i="82"/>
  <c r="ER63" i="82"/>
  <c r="ES63" i="82"/>
  <c r="ET63" i="82"/>
  <c r="EU63" i="82"/>
  <c r="EV63" i="82"/>
  <c r="EW63" i="82"/>
  <c r="EX63" i="82"/>
  <c r="EY63" i="82"/>
  <c r="EO77" i="82"/>
  <c r="EP77" i="82"/>
  <c r="EQ77" i="82"/>
  <c r="ER77" i="82"/>
  <c r="ES77" i="82"/>
  <c r="ET77" i="82"/>
  <c r="EU77" i="82"/>
  <c r="EV77" i="82"/>
  <c r="EW77" i="82"/>
  <c r="EX77" i="82"/>
  <c r="EY77" i="82"/>
  <c r="EV87" i="82"/>
  <c r="EW87" i="82"/>
  <c r="EX87" i="82"/>
  <c r="EY87" i="82"/>
  <c r="FA87" i="82"/>
  <c r="FB87" i="82"/>
  <c r="EV99" i="82"/>
  <c r="EW99" i="82"/>
  <c r="EX99" i="82"/>
  <c r="EY99" i="82"/>
  <c r="EV123" i="82"/>
  <c r="EW123" i="82"/>
  <c r="EX123" i="82"/>
  <c r="EY123" i="82"/>
  <c r="FA123" i="82"/>
  <c r="FB123" i="82"/>
  <c r="EV135" i="82"/>
  <c r="EW135" i="82"/>
  <c r="EX135" i="82"/>
  <c r="EY135" i="82"/>
  <c r="EV157" i="82"/>
  <c r="EW157" i="82"/>
  <c r="EX157" i="82"/>
  <c r="EY157" i="82"/>
  <c r="FA157" i="82"/>
  <c r="FB157" i="82"/>
  <c r="EO172" i="82"/>
  <c r="EP172" i="82"/>
  <c r="EQ172" i="82"/>
  <c r="ER172" i="82"/>
  <c r="ES172" i="82"/>
  <c r="ET172" i="82"/>
  <c r="EU172" i="82"/>
  <c r="EV172" i="82"/>
  <c r="EW172" i="82"/>
  <c r="EX172" i="82"/>
  <c r="EY172" i="82"/>
  <c r="EO173" i="82"/>
  <c r="EP173" i="82"/>
  <c r="EQ173" i="82"/>
  <c r="ER173" i="82"/>
  <c r="ES173" i="82"/>
  <c r="ET173" i="82"/>
  <c r="EU173" i="82"/>
  <c r="EV173" i="82"/>
  <c r="EW173" i="82"/>
  <c r="EX173" i="82"/>
  <c r="EY173" i="82"/>
  <c r="EO174" i="82"/>
  <c r="EP174" i="82"/>
  <c r="EQ174" i="82"/>
  <c r="ER174" i="82"/>
  <c r="ES174" i="82"/>
  <c r="ET174" i="82"/>
  <c r="EU174" i="82"/>
  <c r="EV174" i="82"/>
  <c r="EW174" i="82"/>
  <c r="EX174" i="82"/>
  <c r="EY174" i="82"/>
  <c r="EO175" i="82"/>
  <c r="EP175" i="82"/>
  <c r="EQ175" i="82"/>
  <c r="ER175" i="82"/>
  <c r="ES175" i="82"/>
  <c r="ET175" i="82"/>
  <c r="EU175" i="82"/>
  <c r="EV175" i="82"/>
  <c r="EW175" i="82"/>
  <c r="EX175" i="82"/>
  <c r="EY175" i="82"/>
  <c r="EO176" i="82"/>
  <c r="EP176" i="82"/>
  <c r="EQ176" i="82"/>
  <c r="ER176" i="82"/>
  <c r="ES176" i="82"/>
  <c r="ET176" i="82"/>
  <c r="EU176" i="82"/>
  <c r="EV176" i="82"/>
  <c r="EW176" i="82"/>
  <c r="EX176" i="82"/>
  <c r="EY176" i="82"/>
  <c r="EV177" i="82"/>
  <c r="EW177" i="82"/>
  <c r="EX177" i="82"/>
  <c r="EY177" i="82"/>
  <c r="EO189" i="82"/>
  <c r="EP189" i="82"/>
  <c r="EQ189" i="82"/>
  <c r="ER189" i="82"/>
  <c r="ES189" i="82"/>
  <c r="ET189" i="82"/>
  <c r="EU189" i="82"/>
  <c r="EV189" i="82"/>
  <c r="EW189" i="82"/>
  <c r="EX189" i="82"/>
  <c r="EY189" i="82"/>
  <c r="EP363" i="82"/>
  <c r="EU363" i="82"/>
  <c r="EV363" i="82"/>
  <c r="EW363" i="82"/>
  <c r="EX363" i="82"/>
  <c r="EY363" i="82"/>
  <c r="EP364" i="82"/>
  <c r="EU364" i="82"/>
  <c r="EV364" i="82"/>
  <c r="EW364" i="82"/>
  <c r="EX364" i="82"/>
  <c r="EY364" i="82"/>
  <c r="AA15" i="113"/>
  <c r="AB15" i="113"/>
  <c r="AC15" i="113"/>
  <c r="AD15" i="113"/>
  <c r="AE15" i="113"/>
  <c r="AF15" i="113"/>
  <c r="AA16" i="113"/>
  <c r="AB16" i="113"/>
  <c r="AC16" i="113"/>
  <c r="AD16" i="113"/>
  <c r="AE16" i="113"/>
  <c r="AF16" i="113"/>
  <c r="AH16" i="113"/>
  <c r="AA17" i="113"/>
  <c r="AB17" i="113"/>
  <c r="AC17" i="113"/>
  <c r="AD17" i="113"/>
  <c r="AE17" i="113"/>
  <c r="AF17" i="113"/>
  <c r="AA18" i="113"/>
  <c r="AB18" i="113"/>
  <c r="AC18" i="113"/>
  <c r="AD18" i="113"/>
  <c r="AE18" i="113"/>
  <c r="AF18" i="113"/>
  <c r="AH18" i="113"/>
  <c r="AA19" i="113"/>
  <c r="AB19" i="113"/>
  <c r="AC19" i="113"/>
  <c r="AD19" i="113"/>
  <c r="AE19" i="113"/>
  <c r="AF19" i="113"/>
  <c r="AH19" i="113"/>
  <c r="AC20" i="113"/>
  <c r="AD20" i="113"/>
  <c r="AE20" i="113"/>
  <c r="AF20" i="113"/>
  <c r="AA35" i="113"/>
  <c r="AB35" i="113"/>
  <c r="AC35" i="113"/>
  <c r="AD35" i="113"/>
  <c r="AE35" i="113"/>
  <c r="AF35" i="113"/>
  <c r="AA44" i="113"/>
  <c r="AB44" i="113"/>
  <c r="AC44" i="113"/>
  <c r="AD44" i="113"/>
  <c r="AE44" i="113"/>
  <c r="AF44" i="113"/>
  <c r="AA54" i="113"/>
  <c r="AB54" i="113"/>
  <c r="AC54" i="113"/>
  <c r="AD54" i="113"/>
  <c r="AE54" i="113"/>
  <c r="AF54" i="113"/>
  <c r="AA55" i="113"/>
  <c r="AB55" i="113"/>
  <c r="AC55" i="113"/>
  <c r="AD55" i="113"/>
  <c r="AE55" i="113"/>
  <c r="AF55" i="113"/>
  <c r="AH55" i="113"/>
  <c r="AA56" i="113"/>
  <c r="AB56" i="113"/>
  <c r="AC56" i="113"/>
  <c r="AD56" i="113"/>
  <c r="AE56" i="113"/>
  <c r="AF56" i="113"/>
  <c r="AA57" i="113"/>
  <c r="AB57" i="113"/>
  <c r="AC57" i="113"/>
  <c r="AD57" i="113"/>
  <c r="AE57" i="113"/>
  <c r="AF57" i="113"/>
  <c r="AH57" i="113"/>
  <c r="AA58" i="113"/>
  <c r="AB58" i="113"/>
  <c r="AC58" i="113"/>
  <c r="AD58" i="113"/>
  <c r="AE58" i="113"/>
  <c r="AF58" i="113"/>
  <c r="AH58" i="113"/>
  <c r="AA72" i="113"/>
  <c r="AB72" i="113"/>
  <c r="AC72" i="113"/>
  <c r="AD72" i="113"/>
  <c r="AE72" i="113"/>
  <c r="AF72" i="113"/>
  <c r="AA81" i="113"/>
  <c r="AB81" i="113"/>
  <c r="AC81" i="113"/>
  <c r="AD81" i="113"/>
  <c r="AE81" i="113"/>
  <c r="AF81" i="113"/>
  <c r="AA93" i="113"/>
  <c r="AB93" i="113"/>
  <c r="AC93" i="113"/>
  <c r="AD93" i="113"/>
  <c r="AE93" i="113"/>
  <c r="AF93" i="113"/>
  <c r="AA94" i="113"/>
  <c r="AB94" i="113"/>
  <c r="AC94" i="113"/>
  <c r="AD94" i="113"/>
  <c r="AE94" i="113"/>
  <c r="AF94" i="113"/>
  <c r="AH94" i="113"/>
  <c r="AA95" i="113"/>
  <c r="AB95" i="113"/>
  <c r="AC95" i="113"/>
  <c r="AD95" i="113"/>
  <c r="AE95" i="113"/>
  <c r="AF95" i="113"/>
  <c r="AH95" i="113"/>
  <c r="AA109" i="113"/>
  <c r="AB109" i="113"/>
  <c r="AC109" i="113"/>
  <c r="AD109" i="113"/>
  <c r="AE109" i="113"/>
  <c r="AF109" i="113"/>
  <c r="AA118" i="113"/>
  <c r="AB118" i="113"/>
  <c r="AC118" i="113"/>
  <c r="AD118" i="113"/>
  <c r="AE118" i="113"/>
  <c r="AF118" i="113"/>
  <c r="AA135" i="113"/>
  <c r="AB135" i="113"/>
  <c r="AC135" i="113"/>
  <c r="AD135" i="113"/>
  <c r="AE135" i="113"/>
  <c r="AF135" i="113"/>
  <c r="AA136" i="113"/>
  <c r="AB136" i="113"/>
  <c r="AC136" i="113"/>
  <c r="AD136" i="113"/>
  <c r="AE136" i="113"/>
  <c r="AF136" i="113"/>
  <c r="AH136" i="113"/>
  <c r="AA137" i="113"/>
  <c r="AB137" i="113"/>
  <c r="AC137" i="113"/>
  <c r="AD137" i="113"/>
  <c r="AE137" i="113"/>
  <c r="AF137" i="113"/>
  <c r="AH137" i="113"/>
  <c r="AA155" i="113"/>
  <c r="AB155" i="113"/>
  <c r="AC155" i="113"/>
  <c r="AD155" i="113"/>
  <c r="AE155" i="113"/>
  <c r="AF155" i="113"/>
  <c r="AA167" i="113"/>
  <c r="AB167" i="113"/>
  <c r="AC167" i="113"/>
  <c r="AD167" i="113"/>
  <c r="AE167" i="113"/>
  <c r="AF167" i="113"/>
  <c r="AA180" i="113"/>
  <c r="AB180" i="113"/>
  <c r="AC180" i="113"/>
  <c r="AD180" i="113"/>
  <c r="AE180" i="113"/>
  <c r="AF180" i="113"/>
  <c r="AA181" i="113"/>
  <c r="AB181" i="113"/>
  <c r="AC181" i="113"/>
  <c r="AD181" i="113"/>
  <c r="AE181" i="113"/>
  <c r="AF181" i="113"/>
  <c r="AH181" i="113"/>
  <c r="AA182" i="113"/>
  <c r="AB182" i="113"/>
  <c r="AC182" i="113"/>
  <c r="AD182" i="113"/>
  <c r="AE182" i="113"/>
  <c r="AF182" i="113"/>
  <c r="AA183" i="113"/>
  <c r="AB183" i="113"/>
  <c r="AC183" i="113"/>
  <c r="AD183" i="113"/>
  <c r="AE183" i="113"/>
  <c r="AF183" i="113"/>
  <c r="AH183" i="113"/>
  <c r="AA184" i="113"/>
  <c r="AB184" i="113"/>
  <c r="AC184" i="113"/>
  <c r="AD184" i="113"/>
  <c r="AE184" i="113"/>
  <c r="AF184" i="113"/>
  <c r="AH184" i="113"/>
  <c r="AA200" i="113"/>
  <c r="AB200" i="113"/>
  <c r="AC200" i="113"/>
  <c r="AD200" i="113"/>
  <c r="AE200" i="113"/>
  <c r="AF200" i="113"/>
  <c r="AA209" i="113"/>
  <c r="AB209" i="113"/>
  <c r="AC209" i="113"/>
  <c r="AD209" i="113"/>
  <c r="AE209" i="113"/>
  <c r="AF209" i="113"/>
  <c r="AA219" i="113"/>
  <c r="AB219" i="113"/>
  <c r="AC219" i="113"/>
  <c r="AD219" i="113"/>
  <c r="AE219" i="113"/>
  <c r="AF219" i="113"/>
  <c r="AA220" i="113"/>
  <c r="AB220" i="113"/>
  <c r="AC220" i="113"/>
  <c r="AD220" i="113"/>
  <c r="AE220" i="113"/>
  <c r="AF220" i="113"/>
  <c r="AA221" i="113"/>
  <c r="AB221" i="113"/>
  <c r="AC221" i="113"/>
  <c r="AD221" i="113"/>
  <c r="AE221" i="113"/>
  <c r="AF221" i="113"/>
  <c r="AA222" i="113"/>
  <c r="AB222" i="113"/>
  <c r="AC222" i="113"/>
  <c r="AD222" i="113"/>
  <c r="AE222" i="113"/>
  <c r="AF222" i="113"/>
  <c r="AA223" i="113"/>
  <c r="AB223" i="113"/>
  <c r="AC223" i="113"/>
  <c r="AD223" i="113"/>
  <c r="AE223" i="113"/>
  <c r="AF223" i="113"/>
  <c r="AA236" i="113"/>
  <c r="AB236" i="113"/>
  <c r="AC236" i="113"/>
  <c r="AD236" i="113"/>
  <c r="AE236" i="113"/>
  <c r="AF236" i="113"/>
  <c r="AA245" i="113"/>
  <c r="AB245" i="113"/>
  <c r="AC245" i="113"/>
  <c r="AD245" i="113"/>
  <c r="AE245" i="113"/>
  <c r="AF245" i="113"/>
  <c r="AC259" i="113"/>
  <c r="AD259" i="113"/>
  <c r="AE259" i="113"/>
  <c r="AF259" i="113"/>
  <c r="AC272" i="113"/>
  <c r="AD272" i="113"/>
  <c r="AE272" i="113"/>
  <c r="AF272" i="113"/>
  <c r="AC300" i="113"/>
  <c r="AD300" i="113"/>
  <c r="AE300" i="113"/>
  <c r="AF300" i="113"/>
  <c r="AC312" i="113"/>
  <c r="AD312" i="113"/>
  <c r="AE312" i="113"/>
  <c r="AF312" i="113"/>
  <c r="AC332" i="113"/>
  <c r="AD332" i="113"/>
  <c r="AE332" i="113"/>
  <c r="AF332" i="113"/>
  <c r="AA404" i="113"/>
  <c r="AB404" i="113"/>
  <c r="AC404" i="113"/>
  <c r="AD404" i="113"/>
  <c r="AE404" i="113"/>
  <c r="AF404" i="113"/>
  <c r="AA405" i="113"/>
  <c r="AB405" i="113"/>
  <c r="AC405" i="113"/>
  <c r="AD405" i="113"/>
  <c r="AE405" i="113"/>
  <c r="AF405" i="113"/>
  <c r="AA406" i="113"/>
  <c r="AB406" i="113"/>
  <c r="AC406" i="113"/>
  <c r="AD406" i="113"/>
  <c r="AE406" i="113"/>
  <c r="AF406" i="113"/>
  <c r="AA407" i="113"/>
  <c r="AB407" i="113"/>
  <c r="AC407" i="113"/>
  <c r="AD407" i="113"/>
  <c r="AE407" i="113"/>
  <c r="AF407" i="113"/>
  <c r="AA408" i="113"/>
  <c r="AB408" i="113"/>
  <c r="AC408" i="113"/>
  <c r="AD408" i="113"/>
  <c r="AE408" i="113"/>
  <c r="AF408" i="113"/>
  <c r="AA409" i="113"/>
  <c r="AB409" i="113"/>
  <c r="AC409" i="113"/>
  <c r="AD409" i="113"/>
  <c r="AE409" i="113"/>
  <c r="AF409" i="113"/>
  <c r="AA410" i="113"/>
  <c r="AB410" i="113"/>
  <c r="AC410" i="113"/>
  <c r="AD410" i="113"/>
  <c r="AE410" i="113"/>
  <c r="AF410" i="113"/>
  <c r="AA411" i="113"/>
  <c r="AB411" i="113"/>
  <c r="AC411" i="113"/>
  <c r="AD411" i="113"/>
  <c r="AE411" i="113"/>
  <c r="AF411" i="113"/>
  <c r="AA413" i="113"/>
  <c r="AB413" i="113"/>
  <c r="AC413" i="113"/>
  <c r="AD413" i="113"/>
  <c r="AE413" i="113"/>
  <c r="AF413" i="113"/>
  <c r="AA414" i="113"/>
  <c r="AB414" i="113"/>
  <c r="AC414" i="113"/>
  <c r="AD414" i="113"/>
  <c r="AE414" i="113"/>
  <c r="AF414" i="113"/>
  <c r="AA415" i="113"/>
  <c r="AB415" i="113"/>
  <c r="AC415" i="113"/>
  <c r="AD415" i="113"/>
  <c r="AE415" i="113"/>
  <c r="AF415" i="113"/>
  <c r="AA416" i="113"/>
  <c r="AB416" i="113"/>
  <c r="AC416" i="113"/>
  <c r="AD416" i="113"/>
  <c r="AE416" i="113"/>
  <c r="AF416" i="113"/>
  <c r="AA417" i="113"/>
  <c r="AB417" i="113"/>
  <c r="AC417" i="113"/>
  <c r="AD417" i="113"/>
  <c r="AE417" i="113"/>
  <c r="AF417" i="113"/>
  <c r="AA418" i="113"/>
  <c r="AB418" i="113"/>
  <c r="AC418" i="113"/>
  <c r="AD418" i="113"/>
  <c r="AE418" i="113"/>
  <c r="AF418" i="113"/>
  <c r="AA419" i="113"/>
  <c r="AB419" i="113"/>
  <c r="AC419" i="113"/>
  <c r="AD419" i="113"/>
  <c r="AE419" i="113"/>
  <c r="AF419" i="113"/>
  <c r="AA420" i="113"/>
  <c r="AB420" i="113"/>
  <c r="AC420" i="113"/>
  <c r="AD420" i="113"/>
  <c r="AE420" i="113"/>
  <c r="AF420" i="113"/>
  <c r="AA422" i="113"/>
  <c r="AB422" i="113"/>
  <c r="AC422" i="113"/>
  <c r="AD422" i="113"/>
  <c r="AE422" i="113"/>
  <c r="AF422" i="113"/>
  <c r="AA423" i="113"/>
  <c r="AB423" i="113"/>
  <c r="AC423" i="113"/>
  <c r="AD423" i="113"/>
  <c r="AE423" i="113"/>
  <c r="AF423" i="113"/>
  <c r="AA424" i="113"/>
  <c r="AB424" i="113"/>
  <c r="AC424" i="113"/>
  <c r="AD424" i="113"/>
  <c r="AE424" i="113"/>
  <c r="AF424" i="113"/>
  <c r="AA425" i="113"/>
  <c r="AB425" i="113"/>
  <c r="AC425" i="113"/>
  <c r="AD425" i="113"/>
  <c r="AE425" i="113"/>
  <c r="AF425" i="113"/>
  <c r="AA426" i="113"/>
  <c r="AB426" i="113"/>
  <c r="AC426" i="113"/>
  <c r="AD426" i="113"/>
  <c r="AE426" i="113"/>
  <c r="AF426" i="113"/>
  <c r="AA427" i="113"/>
  <c r="AB427" i="113"/>
  <c r="AC427" i="113"/>
  <c r="AD427" i="113"/>
  <c r="AE427" i="113"/>
  <c r="AF427" i="113"/>
  <c r="AA428" i="113"/>
  <c r="AB428" i="113"/>
  <c r="AC428" i="113"/>
  <c r="AD428" i="113"/>
  <c r="AE428" i="113"/>
  <c r="AF428" i="113"/>
  <c r="AA429" i="113"/>
  <c r="AB429" i="113"/>
  <c r="AC429" i="113"/>
  <c r="AD429" i="113"/>
  <c r="AE429" i="113"/>
  <c r="AF429" i="113"/>
  <c r="AA431" i="113"/>
  <c r="AB431" i="113"/>
  <c r="AC431" i="113"/>
  <c r="AD431" i="113"/>
  <c r="AE431" i="113"/>
  <c r="AF431" i="113"/>
  <c r="AA432" i="113"/>
  <c r="AB432" i="113"/>
  <c r="AC432" i="113"/>
  <c r="AD432" i="113"/>
  <c r="AE432" i="113"/>
  <c r="AF432" i="113"/>
  <c r="AA433" i="113"/>
  <c r="AB433" i="113"/>
  <c r="AC433" i="113"/>
  <c r="AD433" i="113"/>
  <c r="AE433" i="113"/>
  <c r="AF433" i="113"/>
  <c r="AA434" i="113"/>
  <c r="AB434" i="113"/>
  <c r="AC434" i="113"/>
  <c r="AD434" i="113"/>
  <c r="AE434" i="113"/>
  <c r="AF434" i="113"/>
  <c r="AA435" i="113"/>
  <c r="AB435" i="113"/>
  <c r="AC435" i="113"/>
  <c r="AD435" i="113"/>
  <c r="AE435" i="113"/>
  <c r="AF435" i="113"/>
  <c r="AA436" i="113"/>
  <c r="AB436" i="113"/>
  <c r="AC436" i="113"/>
  <c r="AD436" i="113"/>
  <c r="AE436" i="113"/>
  <c r="AF436" i="113"/>
  <c r="AA437" i="113"/>
  <c r="AB437" i="113"/>
  <c r="AC437" i="113"/>
  <c r="AD437" i="113"/>
  <c r="AE437" i="113"/>
  <c r="AF437" i="113"/>
  <c r="AA438" i="113"/>
  <c r="AB438" i="113"/>
  <c r="AC438" i="113"/>
  <c r="AD438" i="113"/>
  <c r="AE438" i="113"/>
  <c r="AF438" i="113"/>
  <c r="G20" i="112"/>
  <c r="G22" i="112"/>
  <c r="G25" i="112"/>
  <c r="G26" i="112"/>
  <c r="Q67" i="112"/>
  <c r="P69" i="1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Bo Nam</author>
    <author>Lee, Dae K</author>
    <author>Kaizad Gotla</author>
    <author>Kluger, Diana R</author>
    <author>JPM5</author>
    <author>Diana Kluger</author>
  </authors>
  <commentList>
    <comment ref="BP6" authorId="0" shapeId="0" xr:uid="{00000000-0006-0000-0100-000001000000}">
      <text>
        <r>
          <rPr>
            <b/>
            <sz val="8"/>
            <color indexed="81"/>
            <rFont val="Tahoma"/>
            <family val="2"/>
          </rPr>
          <t>Bo Nam:</t>
        </r>
        <r>
          <rPr>
            <sz val="8"/>
            <color indexed="81"/>
            <rFont val="Tahoma"/>
            <family val="2"/>
          </rPr>
          <t xml:space="preserve">
Includes 5 weeks of MMI</t>
        </r>
      </text>
    </comment>
    <comment ref="BQ6" authorId="0" shapeId="0" xr:uid="{00000000-0006-0000-0100-000002000000}">
      <text>
        <r>
          <rPr>
            <b/>
            <sz val="8"/>
            <color indexed="81"/>
            <rFont val="Tahoma"/>
            <family val="2"/>
          </rPr>
          <t>Bo Nam:</t>
        </r>
        <r>
          <rPr>
            <sz val="8"/>
            <color indexed="81"/>
            <rFont val="Tahoma"/>
            <family val="2"/>
          </rPr>
          <t xml:space="preserve">
Includes full qtr of MMI</t>
        </r>
      </text>
    </comment>
    <comment ref="BX6" authorId="1" shapeId="0" xr:uid="{86875B50-0698-453F-99AE-AD2AC1E57F17}">
      <text>
        <r>
          <rPr>
            <b/>
            <sz val="9"/>
            <color indexed="81"/>
            <rFont val="Tahoma"/>
            <family val="2"/>
          </rPr>
          <t>Acquired Motorola on May 22, 2012</t>
        </r>
      </text>
    </comment>
    <comment ref="CD6" authorId="2" shapeId="0" xr:uid="{00000000-0006-0000-0100-000003000000}">
      <text>
        <r>
          <rPr>
            <b/>
            <sz val="9"/>
            <color indexed="81"/>
            <rFont val="Tahoma"/>
            <family val="2"/>
          </rPr>
          <t>Kaizad Gotla:</t>
        </r>
        <r>
          <rPr>
            <sz val="9"/>
            <color indexed="81"/>
            <rFont val="Tahoma"/>
            <family val="2"/>
          </rPr>
          <t xml:space="preserve">
updated on 4/16/04</t>
        </r>
      </text>
    </comment>
    <comment ref="CH6" authorId="1" shapeId="0" xr:uid="{008BAC71-1552-46AB-B52B-EB697D885CBB}">
      <text>
        <r>
          <rPr>
            <b/>
            <sz val="9"/>
            <color indexed="81"/>
            <rFont val="Tahoma"/>
            <family val="2"/>
          </rPr>
          <t>Sold Motorola Home to Arris on April 17, 2013</t>
        </r>
      </text>
    </comment>
    <comment ref="CM6" authorId="1" shapeId="0" xr:uid="{198FBE38-27B5-427E-B1F8-E3541EEBB5DB}">
      <text>
        <r>
          <rPr>
            <b/>
            <sz val="9"/>
            <color indexed="81"/>
            <rFont val="Tahoma"/>
            <family val="2"/>
          </rPr>
          <t>Sold Motorola Mobile to Lenovo on Oct 29, 2014</t>
        </r>
      </text>
    </comment>
    <comment ref="A8" authorId="1" shapeId="0" xr:uid="{00000000-0006-0000-0100-000004000000}">
      <text>
        <r>
          <rPr>
            <sz val="9"/>
            <color indexed="81"/>
            <rFont val="Tahoma"/>
            <family val="2"/>
          </rPr>
          <t xml:space="preserve">Cost of revenues consists primarily of traffic acquisition costs which are the advertising revenues shared with our Google Network Members and the amounts paid to our distribution partners who distribute our browser or otherwise direct search queries to our website.
</t>
        </r>
      </text>
    </comment>
    <comment ref="A10" authorId="1" shapeId="0" xr:uid="{00000000-0006-0000-0100-000005000000}">
      <text>
        <r>
          <rPr>
            <sz val="9"/>
            <color indexed="81"/>
            <rFont val="Tahoma"/>
            <family val="2"/>
          </rPr>
          <t>Other cost of revenues (which is the cost of revenues excluding traffic acquisition costs) includes the following: 
*The expenses associated with the operation of our data centers (including depreciation, labor, energy, and bandwidth costs)
*Content acquisition costs primarily related to payments to certain content providers from whom we license their video and other content for distribution on YouTube and Google Play (we share the fees these sales generate with content providers or pay a fixed fee to these content providers)
*Credit card and other transaction fees related to processing customer transactions
*Stock-based compensation expense
*Revenue share payments to mobile carriers
*Inventory costs for hardware we sell
*Amortization of certain intangible assets.</t>
        </r>
      </text>
    </comment>
    <comment ref="CQ10" authorId="3" shapeId="0" xr:uid="{00000000-0006-0000-0100-000006000000}">
      <text>
        <r>
          <rPr>
            <b/>
            <sz val="9"/>
            <color indexed="81"/>
            <rFont val="Tahoma"/>
            <family val="2"/>
          </rPr>
          <t xml:space="preserve">10/22/15: </t>
        </r>
        <r>
          <rPr>
            <sz val="9"/>
            <color indexed="81"/>
            <rFont val="Tahoma"/>
            <family val="2"/>
          </rPr>
          <t xml:space="preserve">I would note that when you're looking at some of the expenses, operating expenses as an example, you know, when we look forward to the fourth quarter, there -- in particular, given the hardware launches that we've done here with the, you know, want Nexus Chrome cast and pix will launches, consistent with prior device launches, we would expect higher sales and marketing, and I realize I'm getting a little more specific than your question, but I think it's very important to note that there are also certain patterns to some of these, similarly, with Capex, Capex is, you know, it has been a bit more muted here, and I indicated last quarter that we're in a bit of a did I jex period.  But when you look forward to 2016, you know, we do see accelerated investment given the nature.  Businesses that we're building up here.  So I want to also just keep make sure we keep things in perspective
</t>
        </r>
      </text>
    </comment>
    <comment ref="CV10" authorId="1" shapeId="0" xr:uid="{00000000-0006-0000-0100-000007000000}">
      <text>
        <r>
          <rPr>
            <b/>
            <sz val="9"/>
            <color indexed="81"/>
            <rFont val="Tahoma"/>
            <family val="2"/>
          </rPr>
          <t xml:space="preserve">@4Q: </t>
        </r>
        <r>
          <rPr>
            <sz val="9"/>
            <color indexed="81"/>
            <rFont val="Tahoma"/>
            <family val="2"/>
          </rPr>
          <t xml:space="preserve">Non-GAAP other cost of revenues was $5.5 billion, up 41% year-over-year, primarily driven by Google-related expenses; specifically, costs associated with operating our data centers including depreciation and content acquisition costs primarily for YouTube as well as hardware.
The impact of our Q4 hardware launches is reflected in both revenues and cost of revenues. </t>
        </r>
        <r>
          <rPr>
            <b/>
            <sz val="9"/>
            <color indexed="81"/>
            <rFont val="Tahoma"/>
            <family val="2"/>
          </rPr>
          <t xml:space="preserve">However, it's important to note the cost of revenues was also affected by approximately $320 million of one-time charges related to equipment and another adjustments, which were unrelated to hardware.
</t>
        </r>
        <r>
          <rPr>
            <sz val="9"/>
            <color indexed="81"/>
            <rFont val="Tahoma"/>
            <family val="2"/>
          </rPr>
          <t xml:space="preserve">
Hardware was gross margin positive there were just some other variables in there.</t>
        </r>
      </text>
    </comment>
    <comment ref="A12" authorId="1" shapeId="0" xr:uid="{00000000-0006-0000-0100-000008000000}">
      <text>
        <r>
          <rPr>
            <b/>
            <sz val="9"/>
            <color indexed="81"/>
            <rFont val="Tahoma"/>
            <family val="2"/>
          </rPr>
          <t>Other cost of revenues (from IR site)</t>
        </r>
        <r>
          <rPr>
            <sz val="9"/>
            <color indexed="81"/>
            <rFont val="Tahoma"/>
            <family val="2"/>
          </rPr>
          <t xml:space="preserve">
*Amortization of certain intangible assets
*Content acquisition costs primarily related to payments to content providers from whom we license video and other content for distribution on YouTube and Google Play (we pay fees to these content providers based on revenues generated or a flat fee)
*Credit card and other transaction fees related to processing customer transactions
*Expenses associated with our data centers and other operations (including bandwidth, compensation expenses (including stock-based compensation), depreciation, energy, and other equipment costs)
*Inventory related costs for hardware we sell
</t>
        </r>
        <r>
          <rPr>
            <b/>
            <sz val="9"/>
            <color indexed="81"/>
            <rFont val="Tahoma"/>
            <family val="2"/>
          </rPr>
          <t>From Filings</t>
        </r>
        <r>
          <rPr>
            <sz val="9"/>
            <color indexed="81"/>
            <rFont val="Tahoma"/>
            <family val="2"/>
          </rPr>
          <t xml:space="preserve">
Other cost of revenues (which is the cost of revenues excluding traffic acquisition costs) includes the following: 
*The expenses associated with the operation of our data centers (including depreciation, labor, energy, and bandwidth costs)
*Content acquisition costs primarily related to payments to certain content providers from whom we license their video and other content for distribution on YouTube and Google Play (we share the fees these sales generate with content providers or pay a fixed fee to these content providers)
*Credit card and other transaction fees related to processing customer transactions
*Stock-based compensation expense
*Revenue share payments to mobile carriers
*Inventory costs for hardware we sell
*Amortization of certain intangible assets.</t>
        </r>
      </text>
    </comment>
    <comment ref="CZ12" authorId="1" shapeId="0" xr:uid="{00000000-0006-0000-0100-000009000000}">
      <text>
        <r>
          <rPr>
            <b/>
            <sz val="9"/>
            <color indexed="81"/>
            <rFont val="Tahoma"/>
            <family val="2"/>
          </rPr>
          <t xml:space="preserve">@3Q: </t>
        </r>
        <r>
          <rPr>
            <sz val="9"/>
            <color indexed="81"/>
            <rFont val="Tahoma"/>
            <family val="2"/>
          </rPr>
          <t>Other cost of revenues on a consolidated basis was 5.6 billion, up 25% year-over-year, primarily driven by Google-related expenses. Specifically, cost associated with operating our data centers, including depreciation, content acquisition costs primarily for YouTube and hardware-related costs.</t>
        </r>
      </text>
    </comment>
    <comment ref="DA12" authorId="1" shapeId="0" xr:uid="{00000000-0006-0000-0100-00000A000000}">
      <text>
        <r>
          <rPr>
            <b/>
            <sz val="9"/>
            <color indexed="81"/>
            <rFont val="Tahoma"/>
            <family val="2"/>
          </rPr>
          <t xml:space="preserve">@4Q17 call: </t>
        </r>
        <r>
          <rPr>
            <sz val="9"/>
            <color indexed="81"/>
            <rFont val="Tahoma"/>
            <family val="2"/>
          </rPr>
          <t xml:space="preserve">Other cost of revenues on a consolidated basis was $7.8 billion, up 34% year-over-year, primarily driven by Google-related expenses, specifically: 
</t>
        </r>
        <r>
          <rPr>
            <b/>
            <sz val="9"/>
            <color indexed="81"/>
            <rFont val="Tahoma"/>
            <family val="2"/>
          </rPr>
          <t>1)</t>
        </r>
        <r>
          <rPr>
            <sz val="9"/>
            <color indexed="81"/>
            <rFont val="Tahoma"/>
            <family val="2"/>
          </rPr>
          <t xml:space="preserve"> costs associated with our data centers and other operations, including depreciation; 
</t>
        </r>
        <r>
          <rPr>
            <b/>
            <sz val="9"/>
            <color indexed="81"/>
            <rFont val="Tahoma"/>
            <family val="2"/>
          </rPr>
          <t>2)</t>
        </r>
        <r>
          <rPr>
            <sz val="9"/>
            <color indexed="81"/>
            <rFont val="Tahoma"/>
            <family val="2"/>
          </rPr>
          <t xml:space="preserve"> Hardware related costs for our expanded Made by Google family of products; and 
</t>
        </r>
        <r>
          <rPr>
            <b/>
            <sz val="9"/>
            <color indexed="81"/>
            <rFont val="Tahoma"/>
            <family val="2"/>
          </rPr>
          <t>3)</t>
        </r>
        <r>
          <rPr>
            <sz val="9"/>
            <color indexed="81"/>
            <rFont val="Tahoma"/>
            <family val="2"/>
          </rPr>
          <t xml:space="preserve"> content-acquisition costs -- primarily for YouTube. </t>
        </r>
      </text>
    </comment>
    <comment ref="DC12" authorId="1" shapeId="0" xr:uid="{00000000-0006-0000-0100-00000B000000}">
      <text>
        <r>
          <rPr>
            <b/>
            <sz val="9"/>
            <color indexed="81"/>
            <rFont val="Tahoma"/>
            <family val="2"/>
          </rPr>
          <t xml:space="preserve">@1Q18 call: </t>
        </r>
        <r>
          <rPr>
            <sz val="9"/>
            <color indexed="81"/>
            <rFont val="Tahoma"/>
            <family val="2"/>
          </rPr>
          <t xml:space="preserve">Other Cost of Revenues on a consolidated basis was $7.2 billion, up 39% year-over-year, </t>
        </r>
        <r>
          <rPr>
            <b/>
            <sz val="9"/>
            <color indexed="81"/>
            <rFont val="Tahoma"/>
            <family val="2"/>
          </rPr>
          <t xml:space="preserve">primarily driven by Google-related expenses.
</t>
        </r>
        <r>
          <rPr>
            <sz val="9"/>
            <color indexed="81"/>
            <rFont val="Tahoma"/>
            <family val="2"/>
          </rPr>
          <t xml:space="preserve">The key drivers were: 
</t>
        </r>
        <r>
          <rPr>
            <b/>
            <sz val="9"/>
            <color indexed="81"/>
            <rFont val="Tahoma"/>
            <family val="2"/>
          </rPr>
          <t xml:space="preserve">1) </t>
        </r>
        <r>
          <rPr>
            <sz val="9"/>
            <color indexed="81"/>
            <rFont val="Tahoma"/>
            <family val="2"/>
          </rPr>
          <t xml:space="preserve">first, costs associated with our data centers and other operations, including depreciation, which was affected by a reallocation of certain operating expenses primarily from G&amp;A; 
</t>
        </r>
        <r>
          <rPr>
            <b/>
            <sz val="9"/>
            <color indexed="81"/>
            <rFont val="Tahoma"/>
            <family val="2"/>
          </rPr>
          <t>2)</t>
        </r>
        <r>
          <rPr>
            <sz val="9"/>
            <color indexed="81"/>
            <rFont val="Tahoma"/>
            <family val="2"/>
          </rPr>
          <t xml:space="preserve"> content-acquisition costs, primarily for YouTube; and 
</t>
        </r>
        <r>
          <rPr>
            <b/>
            <sz val="9"/>
            <color indexed="81"/>
            <rFont val="Tahoma"/>
            <family val="2"/>
          </rPr>
          <t>3)</t>
        </r>
        <r>
          <rPr>
            <sz val="9"/>
            <color indexed="81"/>
            <rFont val="Tahoma"/>
            <family val="2"/>
          </rPr>
          <t xml:space="preserve"> finally, Hardware-related costs.</t>
        </r>
      </text>
    </comment>
    <comment ref="DD12" authorId="1" shapeId="0" xr:uid="{00000000-0006-0000-0100-00000C000000}">
      <text>
        <r>
          <rPr>
            <b/>
            <sz val="9"/>
            <color indexed="81"/>
            <rFont val="Tahoma"/>
            <family val="2"/>
          </rPr>
          <t xml:space="preserve">@2Q18 call: </t>
        </r>
        <r>
          <rPr>
            <sz val="9"/>
            <color indexed="81"/>
            <rFont val="Tahoma"/>
            <family val="2"/>
          </rPr>
          <t xml:space="preserve">Other Cost of Revenues on a consolidated basis was $7.5 billion, up 41% year-over-year, primarily driven by Google-related expenses. 
</t>
        </r>
        <r>
          <rPr>
            <u/>
            <sz val="9"/>
            <color indexed="81"/>
            <rFont val="Tahoma"/>
            <family val="2"/>
          </rPr>
          <t xml:space="preserve">The key drivers were: </t>
        </r>
        <r>
          <rPr>
            <sz val="9"/>
            <color indexed="81"/>
            <rFont val="Tahoma"/>
            <family val="2"/>
          </rPr>
          <t xml:space="preserve">
</t>
        </r>
        <r>
          <rPr>
            <b/>
            <sz val="9"/>
            <color indexed="81"/>
            <rFont val="Tahoma"/>
            <family val="2"/>
          </rPr>
          <t>1)</t>
        </r>
        <r>
          <rPr>
            <sz val="9"/>
            <color indexed="81"/>
            <rFont val="Tahoma"/>
            <family val="2"/>
          </rPr>
          <t xml:space="preserve"> costs associated with our data centers and other operations, including depreciation, which continued to be affected by a reallocation of certain operating expenses; and 
</t>
        </r>
        <r>
          <rPr>
            <b/>
            <sz val="9"/>
            <color indexed="81"/>
            <rFont val="Tahoma"/>
            <family val="2"/>
          </rPr>
          <t>2)</t>
        </r>
        <r>
          <rPr>
            <sz val="9"/>
            <color indexed="81"/>
            <rFont val="Tahoma"/>
            <family val="2"/>
          </rPr>
          <t xml:space="preserve"> content-acquisition costs - primarily for YouTube; 
</t>
        </r>
        <r>
          <rPr>
            <b/>
            <sz val="9"/>
            <color indexed="81"/>
            <rFont val="Tahoma"/>
            <family val="2"/>
          </rPr>
          <t>3)</t>
        </r>
        <r>
          <rPr>
            <sz val="9"/>
            <color indexed="81"/>
            <rFont val="Tahoma"/>
            <family val="2"/>
          </rPr>
          <t xml:space="preserve"> followed by hardware-related costs.</t>
        </r>
      </text>
    </comment>
    <comment ref="DE12" authorId="1" shapeId="0" xr:uid="{00000000-0006-0000-0100-00000D000000}">
      <text>
        <r>
          <rPr>
            <b/>
            <sz val="9"/>
            <color indexed="81"/>
            <rFont val="Tahoma"/>
            <family val="2"/>
          </rPr>
          <t xml:space="preserve">@3Q18 call: </t>
        </r>
        <r>
          <rPr>
            <sz val="9"/>
            <color indexed="81"/>
            <rFont val="Tahoma"/>
            <family val="2"/>
          </rPr>
          <t xml:space="preserve">Other cost of revenues on a consolidated basis was $7.7 billion, up 36% year-over-year, primarily driven by Google-related expenses. 
</t>
        </r>
        <r>
          <rPr>
            <u/>
            <sz val="9"/>
            <color indexed="81"/>
            <rFont val="Tahoma"/>
            <family val="2"/>
          </rPr>
          <t xml:space="preserve">The key drivers were: 
</t>
        </r>
        <r>
          <rPr>
            <b/>
            <sz val="9"/>
            <color indexed="81"/>
            <rFont val="Tahoma"/>
            <family val="2"/>
          </rPr>
          <t xml:space="preserve">1) </t>
        </r>
        <r>
          <rPr>
            <sz val="9"/>
            <color indexed="81"/>
            <rFont val="Tahoma"/>
            <family val="2"/>
          </rPr>
          <t xml:space="preserve">costs associated with our data centers and other operations, including depreciation, which continued to be affected by a reallocation of certain operating expenses; and 
</t>
        </r>
        <r>
          <rPr>
            <b/>
            <sz val="9"/>
            <color indexed="81"/>
            <rFont val="Tahoma"/>
            <family val="2"/>
          </rPr>
          <t>2)</t>
        </r>
        <r>
          <rPr>
            <sz val="9"/>
            <color indexed="81"/>
            <rFont val="Tahoma"/>
            <family val="2"/>
          </rPr>
          <t xml:space="preserve"> content-acquisition costs primarily for YouTube.</t>
        </r>
      </text>
    </comment>
    <comment ref="DF12" authorId="1" shapeId="0" xr:uid="{00000000-0006-0000-0100-00000E000000}">
      <text>
        <r>
          <rPr>
            <b/>
            <sz val="9"/>
            <color indexed="81"/>
            <rFont val="Tahoma"/>
            <family val="2"/>
          </rPr>
          <t xml:space="preserve">@3Q18: </t>
        </r>
        <r>
          <rPr>
            <sz val="9"/>
            <color indexed="81"/>
            <rFont val="Tahoma"/>
            <family val="2"/>
          </rPr>
          <t>Looking ahead, we expect seasonal impacts to our other cost of sales from hardware sales which are typically higher in the fourth quarter of the year as well as from increased content acquisition costs for YouTube which have also historically been higher in the fourth quarter.</t>
        </r>
      </text>
    </comment>
    <comment ref="EB12" authorId="1" shapeId="0" xr:uid="{20A4DFF0-5864-4DB9-A73B-BF86BA2BA054}">
      <text>
        <r>
          <rPr>
            <b/>
            <sz val="9"/>
            <color indexed="81"/>
            <rFont val="Tahoma"/>
            <family val="2"/>
          </rPr>
          <t>1Q23:</t>
        </r>
        <r>
          <rPr>
            <sz val="9"/>
            <color indexed="81"/>
            <rFont val="Tahoma"/>
            <family val="2"/>
          </rPr>
          <t xml:space="preserve"> 
includes 
$461M Severance &amp; Related Costs
$220M Office Space Exit Costs</t>
        </r>
      </text>
    </comment>
    <comment ref="ED12" authorId="1" shapeId="0" xr:uid="{44484823-1D32-4E1E-AF7E-0ECE3A0E68E7}">
      <text>
        <r>
          <rPr>
            <b/>
            <sz val="9"/>
            <color indexed="81"/>
            <rFont val="Tahoma"/>
            <family val="2"/>
          </rPr>
          <t xml:space="preserve">3Q23 10Q: </t>
        </r>
        <r>
          <rPr>
            <sz val="9"/>
            <color indexed="81"/>
            <rFont val="Tahoma"/>
            <family val="2"/>
          </rPr>
          <t>The increase in other cost of revenues from the three months ended September 30, 2022 to the threemonths ended September 30, 2023 was primarily due to increases in content acquisition costs, largely forYouTube. In addition, an overall increase in data center and other operations costs was partially offset by areduction in depreciation expense due to the change in the estimated useful lives of our servers and certainnetwork equipment.</t>
        </r>
      </text>
    </comment>
    <comment ref="EF12" authorId="1" shapeId="0" xr:uid="{9595A4B4-8FCE-46A2-9465-EB9636B1330E}">
      <text>
        <r>
          <rPr>
            <b/>
            <sz val="9"/>
            <color indexed="81"/>
            <rFont val="Tahoma"/>
            <family val="2"/>
          </rPr>
          <t xml:space="preserve">1Q23: 
</t>
        </r>
        <r>
          <rPr>
            <sz val="9"/>
            <color indexed="81"/>
            <rFont val="Tahoma"/>
            <family val="2"/>
          </rPr>
          <t>includes 
$461M Severance &amp; Related Costs
$220M Office Space Exit Costs</t>
        </r>
        <r>
          <rPr>
            <b/>
            <sz val="9"/>
            <color indexed="81"/>
            <rFont val="Tahoma"/>
            <family val="2"/>
          </rPr>
          <t xml:space="preserve">
4Q22: </t>
        </r>
        <r>
          <rPr>
            <sz val="9"/>
            <color indexed="81"/>
            <rFont val="Tahoma"/>
            <family val="2"/>
          </rPr>
          <t>In January 2023, we completed an assessment of the useful lives of our servers and network equipment, resulting in a change in the estimated useful life of our servers and certain network equipment to six years, which we expect to result in a reduction of depreciation of approximately $3.4 billion for the full fiscal year 2023 for assets in service as of December 31, 2022, recorded primarily in cost of revenues and research and development (R&amp;D) expenses.</t>
        </r>
      </text>
    </comment>
    <comment ref="EI12" authorId="1" shapeId="0" xr:uid="{028372EA-2956-40DD-A61D-4F7395851F55}">
      <text>
        <r>
          <rPr>
            <b/>
            <sz val="9"/>
            <color indexed="81"/>
            <rFont val="Tahoma"/>
            <family val="2"/>
          </rPr>
          <t xml:space="preserve">2Q24: 
</t>
        </r>
        <r>
          <rPr>
            <sz val="9"/>
            <color indexed="81"/>
            <rFont val="Tahoma"/>
            <family val="2"/>
          </rPr>
          <t>Turning to margins. The margin expansion in Q2 versus last year reflects our ongoing efforts to durably reengineer our cost base as well as revenue strength. Our leadership team remains focused on our efforts to moderate the pace of expense growth in order to create capacity for the increases in depreciation and expenses associated with the higher levels of investment in our technical infrastructure. Once again, head count declined quarter-on-quarter, which reflects both actions we have taken in the first half of the year and a much slower pace of hiring.
Looking ahead, we expect a slight increase in head count in the third quarter as we bring on new graduates. As we have discussed previously, we are continuing to invest in top engineering and technical talent, particularly in Cloud and technical infrastructure. Looking forward, we continue to expect to deliver full-year 2024 Alphabet operating margin expansion relative to 2023. However, in the third quarter, operating margins will reflect the impact of both the increases in depreciation and expenses associated with the higher levels of investment in our technical infrastructure, as well as the increase in cost of revenues due to the pull forward of hardware launches into Q3.</t>
        </r>
      </text>
    </comment>
    <comment ref="A15" authorId="1" shapeId="0" xr:uid="{00000000-0006-0000-0100-00000F000000}">
      <text>
        <r>
          <rPr>
            <sz val="9"/>
            <color indexed="81"/>
            <rFont val="Tahoma"/>
            <family val="2"/>
          </rPr>
          <t>R&amp;D expenses consist primarily of: 
*Labor and facilities-related costs for employees responsible for R&amp;D of our existing and new products and services
*Depreciation and equipment-related expenses
*Stock-based compensation expense.</t>
        </r>
      </text>
    </comment>
    <comment ref="A17" authorId="1" shapeId="0" xr:uid="{00000000-0006-0000-0100-000010000000}">
      <text>
        <r>
          <rPr>
            <sz val="9"/>
            <color indexed="81"/>
            <rFont val="Tahoma"/>
            <family val="2"/>
          </rPr>
          <t>R&amp;D expenses consist primarily of: 
*Labor and facilities-related costs for employees responsible for R&amp;D of our existing and new products and services
*Depreciation and equipment-related expenses
*Stock-based compensation expense.</t>
        </r>
      </text>
    </comment>
    <comment ref="DE17" authorId="1" shapeId="0" xr:uid="{00000000-0006-0000-0100-000011000000}">
      <text>
        <r>
          <rPr>
            <b/>
            <sz val="9"/>
            <color indexed="81"/>
            <rFont val="Tahoma"/>
            <family val="2"/>
          </rPr>
          <t xml:space="preserve">@3Q18: </t>
        </r>
        <r>
          <rPr>
            <sz val="9"/>
            <color indexed="81"/>
            <rFont val="Tahoma"/>
            <family val="2"/>
          </rPr>
          <t>Once again the biggest increase was in R&amp;D expenses reflecting our continued investment in technical talent.</t>
        </r>
      </text>
    </comment>
    <comment ref="EB17" authorId="1" shapeId="0" xr:uid="{7FD1D939-927E-4EB4-84BA-30894DF50CD1}">
      <text>
        <r>
          <rPr>
            <b/>
            <sz val="9"/>
            <color indexed="81"/>
            <rFont val="Tahoma"/>
            <family val="2"/>
          </rPr>
          <t>1Q23:</t>
        </r>
        <r>
          <rPr>
            <sz val="9"/>
            <color indexed="81"/>
            <rFont val="Tahoma"/>
            <family val="2"/>
          </rPr>
          <t xml:space="preserve"> 
includes 
$835M Severance &amp; Related Costs
$247M Office Space Exit Costs</t>
        </r>
      </text>
    </comment>
    <comment ref="ED17" authorId="1" shapeId="0" xr:uid="{6DD6287A-A61F-41FF-99EB-525A7EC8812E}">
      <text>
        <r>
          <rPr>
            <b/>
            <sz val="9"/>
            <color indexed="81"/>
            <rFont val="Tahoma"/>
            <family val="2"/>
          </rPr>
          <t xml:space="preserve">3Q23 10Q: </t>
        </r>
        <r>
          <rPr>
            <sz val="9"/>
            <color indexed="81"/>
            <rFont val="Tahoma"/>
            <family val="2"/>
          </rPr>
          <t>R&amp;D expenses increased $985 million from the three months ended September 30, 2022 to the threemonths ended September 30, 2023, primarily driven by increases in compensation expenses of $375 million anddepreciation of $223 million. The $375 million increase in compensation expenses was largely due to anincrease in stock-based compensation. The $223 million increase in depreciation includes the benefit of thechange in the estimated useful lives of our servers and network equipment.</t>
        </r>
      </text>
    </comment>
    <comment ref="EF17" authorId="1" shapeId="0" xr:uid="{A675F441-F2AF-40FE-89F9-CC923F8109C1}">
      <text>
        <r>
          <rPr>
            <b/>
            <sz val="9"/>
            <color indexed="81"/>
            <rFont val="Tahoma"/>
            <family val="2"/>
          </rPr>
          <t>1Q23:</t>
        </r>
        <r>
          <rPr>
            <sz val="9"/>
            <color indexed="81"/>
            <rFont val="Tahoma"/>
            <family val="2"/>
          </rPr>
          <t xml:space="preserve"> 
includes 
$835M Severance &amp; Related Costs
$247M Office Space Exit Costs</t>
        </r>
      </text>
    </comment>
    <comment ref="A18" authorId="1" shapeId="0" xr:uid="{00000000-0006-0000-0100-000012000000}">
      <text>
        <r>
          <rPr>
            <sz val="9"/>
            <color indexed="81"/>
            <rFont val="Tahoma"/>
            <family val="2"/>
          </rPr>
          <t>Sales and marketing expenses consist primarily of: 
*Labor and facilities-related costs for our personnel engaged in sales and marketing, sales support, and certain customer service functions
*Advertising and promotional expenditures related to our products and services
*Stock-based compensation expense.</t>
        </r>
      </text>
    </comment>
    <comment ref="CQ18" authorId="3" shapeId="0" xr:uid="{00000000-0006-0000-0100-000013000000}">
      <text>
        <r>
          <rPr>
            <b/>
            <sz val="9"/>
            <color indexed="81"/>
            <rFont val="Tahoma"/>
            <family val="2"/>
          </rPr>
          <t xml:space="preserve">10/22/15: </t>
        </r>
        <r>
          <rPr>
            <sz val="9"/>
            <color indexed="81"/>
            <rFont val="Tahoma"/>
            <family val="2"/>
          </rPr>
          <t>I would note that when you're looking at some of the expenses, operating expenses as an example, you know, when we look forward to the fourth quarter, there -- in particular, given the hardware launches that we've done here with the, you know, want Nexus Chrome cast and pix will launches, consistent with prior device launches, we would expect higher sales and marketing, and I realize I'm getting a little more specific than your question, but I think it's very important to note that there are also certain patterns to some of these, similarly, with Capex, Capex is, you know, it has been a bit more muted here, and I indicated last quarter that we're in a bit of a did I jex period.  But when you look forward to 2016, you know, we do see accelerated investment given the nature.  Businesses that we're building up here.  So I want to also just keep make sure we keep things in perspective</t>
        </r>
      </text>
    </comment>
    <comment ref="CV18" authorId="1" shapeId="0" xr:uid="{00000000-0006-0000-0100-000014000000}">
      <text>
        <r>
          <rPr>
            <sz val="9"/>
            <color indexed="81"/>
            <rFont val="Tahoma"/>
            <family val="2"/>
          </rPr>
          <t>@3Q: Stepped up seasonality and even more pronounced due to new hardware launches</t>
        </r>
      </text>
    </comment>
    <comment ref="EB18" authorId="1" shapeId="0" xr:uid="{55FCE334-9EF9-45E5-AF1D-51836BB24C37}">
      <text>
        <r>
          <rPr>
            <b/>
            <sz val="9"/>
            <color indexed="81"/>
            <rFont val="Tahoma"/>
            <family val="2"/>
          </rPr>
          <t>1Q22:</t>
        </r>
        <r>
          <rPr>
            <sz val="9"/>
            <color indexed="81"/>
            <rFont val="Tahoma"/>
            <family val="2"/>
          </rPr>
          <t xml:space="preserve"> 
includes 
$461M Severance &amp; Related Costs
$220M Office Space Exit Costs</t>
        </r>
      </text>
    </comment>
    <comment ref="EF18" authorId="1" shapeId="0" xr:uid="{EB71844F-9569-4116-9B44-DC8847592A1C}">
      <text>
        <r>
          <rPr>
            <b/>
            <sz val="9"/>
            <color indexed="81"/>
            <rFont val="Tahoma"/>
            <family val="2"/>
          </rPr>
          <t>1Q22:</t>
        </r>
        <r>
          <rPr>
            <sz val="9"/>
            <color indexed="81"/>
            <rFont val="Tahoma"/>
            <family val="2"/>
          </rPr>
          <t xml:space="preserve"> 
includes 
$461M Severance &amp; Related Costs
$220M Office Space Exit Costs</t>
        </r>
      </text>
    </comment>
    <comment ref="EB19" authorId="1" shapeId="0" xr:uid="{0C46B72E-56AC-4B5A-8B06-044066D881A5}">
      <text>
        <r>
          <rPr>
            <b/>
            <sz val="9"/>
            <color indexed="81"/>
            <rFont val="Tahoma"/>
            <family val="2"/>
          </rPr>
          <t>1Q22:</t>
        </r>
        <r>
          <rPr>
            <sz val="9"/>
            <color indexed="81"/>
            <rFont val="Tahoma"/>
            <family val="2"/>
          </rPr>
          <t xml:space="preserve"> 
includes 
$461M Severance &amp; Related Costs
$220M Office Space Exit Costs</t>
        </r>
      </text>
    </comment>
    <comment ref="EF19" authorId="1" shapeId="0" xr:uid="{DB2C6305-F915-4822-9693-0A5C6BCA51A9}">
      <text>
        <r>
          <rPr>
            <b/>
            <sz val="9"/>
            <color indexed="81"/>
            <rFont val="Tahoma"/>
            <family val="2"/>
          </rPr>
          <t>1Q22:</t>
        </r>
        <r>
          <rPr>
            <sz val="9"/>
            <color indexed="81"/>
            <rFont val="Tahoma"/>
            <family val="2"/>
          </rPr>
          <t xml:space="preserve"> 
includes 
$461M Severance &amp; Related Costs
$220M Office Space Exit Costs</t>
        </r>
      </text>
    </comment>
    <comment ref="A20" authorId="1" shapeId="0" xr:uid="{00000000-0006-0000-0100-000015000000}">
      <text>
        <r>
          <rPr>
            <sz val="9"/>
            <color indexed="81"/>
            <rFont val="Tahoma"/>
            <family val="2"/>
          </rPr>
          <t>Sales and marketing expenses consist primarily of: 
*Labor and facilities-related costs for our personnel engaged in sales and marketing, sales support, and certain customer service functions
*Advertising and promotional expenditures related to our products and services
*Stock-based compensation expense.</t>
        </r>
      </text>
    </comment>
    <comment ref="DE20" authorId="1" shapeId="0" xr:uid="{00000000-0006-0000-0100-000016000000}">
      <text>
        <r>
          <rPr>
            <b/>
            <sz val="9"/>
            <color indexed="81"/>
            <rFont val="Tahoma"/>
            <family val="2"/>
          </rPr>
          <t xml:space="preserve">@3Q18: </t>
        </r>
        <r>
          <rPr>
            <sz val="9"/>
            <color indexed="81"/>
            <rFont val="Tahoma"/>
            <family val="2"/>
          </rPr>
          <t>The growth in sales and marketing expenses reflects increases in sales and marketing head count primarily for Cloud and ads followed by advertising investments in Cloud, Chromebooks for the back-to-school season and the Google Assistant.</t>
        </r>
      </text>
    </comment>
    <comment ref="DF20" authorId="1" shapeId="0" xr:uid="{00000000-0006-0000-0100-000017000000}">
      <text>
        <r>
          <rPr>
            <b/>
            <sz val="9"/>
            <color indexed="81"/>
            <rFont val="Tahoma"/>
            <family val="2"/>
          </rPr>
          <t xml:space="preserve">@3Q18: </t>
        </r>
        <r>
          <rPr>
            <sz val="9"/>
            <color indexed="81"/>
            <rFont val="Tahoma"/>
            <family val="2"/>
          </rPr>
          <t>As I've mentioned previously regarding sales and marketing, expenses are more heavily weighted toward the back half of the year. As you have seen in prior years, these expenses are particularly elevated in the fourth quarter to support the holiday season.</t>
        </r>
      </text>
    </comment>
    <comment ref="EB20" authorId="1" shapeId="0" xr:uid="{F92EF411-B517-41DF-8676-691875285691}">
      <text>
        <r>
          <rPr>
            <b/>
            <sz val="9"/>
            <color indexed="81"/>
            <rFont val="Tahoma"/>
            <family val="2"/>
          </rPr>
          <t>1Q23:</t>
        </r>
        <r>
          <rPr>
            <sz val="9"/>
            <color indexed="81"/>
            <rFont val="Tahoma"/>
            <family val="2"/>
          </rPr>
          <t xml:space="preserve"> 
includes 
$445M Severance &amp; Related Costs
$35M Office Space Exit Costs</t>
        </r>
      </text>
    </comment>
    <comment ref="ED20" authorId="1" shapeId="0" xr:uid="{45652D60-B7E9-4985-8041-3004D92BC14A}">
      <text>
        <r>
          <rPr>
            <b/>
            <sz val="9"/>
            <color indexed="81"/>
            <rFont val="Tahoma"/>
            <family val="2"/>
          </rPr>
          <t xml:space="preserve">3Q23 10Q: </t>
        </r>
        <r>
          <rPr>
            <sz val="9"/>
            <color indexed="81"/>
            <rFont val="Tahoma"/>
            <family val="2"/>
          </rPr>
          <t>Sales and marketing expenses decreased $45 million from the three months ended September 30, 2022 tothe three months ended September 30, 2023, primarily driven by a decrease in advertising and promotionalactivities of $358 million, largely offset by an increase in compensation expenses of $331 million due to acombination of factors, none of which were individually significant.</t>
        </r>
      </text>
    </comment>
    <comment ref="EF20" authorId="1" shapeId="0" xr:uid="{1561E045-0902-4809-9AB9-A6F16A21DCCC}">
      <text>
        <r>
          <rPr>
            <b/>
            <sz val="9"/>
            <color indexed="81"/>
            <rFont val="Tahoma"/>
            <family val="2"/>
          </rPr>
          <t>1Q23:</t>
        </r>
        <r>
          <rPr>
            <sz val="9"/>
            <color indexed="81"/>
            <rFont val="Tahoma"/>
            <family val="2"/>
          </rPr>
          <t xml:space="preserve"> 
includes 
$445M Severance &amp; Related Costs
$35M Office Space Exit Costs</t>
        </r>
      </text>
    </comment>
    <comment ref="A21" authorId="1" shapeId="0" xr:uid="{00000000-0006-0000-0100-000018000000}">
      <text>
        <r>
          <rPr>
            <sz val="9"/>
            <color indexed="81"/>
            <rFont val="Tahoma"/>
            <family val="2"/>
          </rPr>
          <t>General and administrative expenses consist primarily of: 
*Labor and facilities-related costs for personnel in our facilities, finance, human resources, information technology, and legal organizations
*Depreciation and equipment-related expenses
*Professional services fees primarily related to outside legal, audit, information technology consulting, and outsourcing services
*Amortization of certain intangible assets
*Stock-based compensation expense.</t>
        </r>
      </text>
    </comment>
    <comment ref="EB21" authorId="1" shapeId="0" xr:uid="{DB1324D1-7723-4EF2-B5A6-51CE7379DAE3}">
      <text>
        <r>
          <rPr>
            <b/>
            <sz val="9"/>
            <color indexed="81"/>
            <rFont val="Tahoma"/>
            <family val="2"/>
          </rPr>
          <t>1Q22:</t>
        </r>
        <r>
          <rPr>
            <sz val="9"/>
            <color indexed="81"/>
            <rFont val="Tahoma"/>
            <family val="2"/>
          </rPr>
          <t xml:space="preserve"> 
includes 
$461M Severance &amp; Related Costs
$220M Office Space Exit Costs</t>
        </r>
      </text>
    </comment>
    <comment ref="EF21" authorId="1" shapeId="0" xr:uid="{478F8A64-B21F-4956-AADD-06D85C7BB49D}">
      <text>
        <r>
          <rPr>
            <b/>
            <sz val="9"/>
            <color indexed="81"/>
            <rFont val="Tahoma"/>
            <family val="2"/>
          </rPr>
          <t>1Q22:</t>
        </r>
        <r>
          <rPr>
            <sz val="9"/>
            <color indexed="81"/>
            <rFont val="Tahoma"/>
            <family val="2"/>
          </rPr>
          <t xml:space="preserve"> 
includes 
$461M Severance &amp; Related Costs
$220M Office Space Exit Costs</t>
        </r>
      </text>
    </comment>
    <comment ref="EB22" authorId="1" shapeId="0" xr:uid="{08CAB693-373C-42C3-91DC-904651B7FE98}">
      <text>
        <r>
          <rPr>
            <b/>
            <sz val="9"/>
            <color indexed="81"/>
            <rFont val="Tahoma"/>
            <family val="2"/>
          </rPr>
          <t>1Q22:</t>
        </r>
        <r>
          <rPr>
            <sz val="9"/>
            <color indexed="81"/>
            <rFont val="Tahoma"/>
            <family val="2"/>
          </rPr>
          <t xml:space="preserve"> 
includes 
$461M Severance &amp; Related Costs
$220M Office Space Exit Costs</t>
        </r>
      </text>
    </comment>
    <comment ref="EF22" authorId="1" shapeId="0" xr:uid="{BBB9B754-D5C6-4C9F-AE48-27C9CE769039}">
      <text>
        <r>
          <rPr>
            <b/>
            <sz val="9"/>
            <color indexed="81"/>
            <rFont val="Tahoma"/>
            <family val="2"/>
          </rPr>
          <t>1Q22:</t>
        </r>
        <r>
          <rPr>
            <sz val="9"/>
            <color indexed="81"/>
            <rFont val="Tahoma"/>
            <family val="2"/>
          </rPr>
          <t xml:space="preserve"> 
includes 
$461M Severance &amp; Related Costs
$220M Office Space Exit Costs</t>
        </r>
      </text>
    </comment>
    <comment ref="A23" authorId="1" shapeId="0" xr:uid="{00000000-0006-0000-0100-000019000000}">
      <text>
        <r>
          <rPr>
            <sz val="9"/>
            <color indexed="81"/>
            <rFont val="Tahoma"/>
            <family val="2"/>
          </rPr>
          <t>General and administrative expenses consist primarily of: 
*Labor and facilities-related costs for personnel in our facilities, finance, human resources, information technology, and legal organizations
*Depreciation and equipment-related expenses
*Professional services fees primarily related to outside legal, audit, information technology consulting, and outsourcing services
*Amortization of certain intangible assets
*Stock-based compensation expense.</t>
        </r>
      </text>
    </comment>
    <comment ref="DD23" authorId="1" shapeId="0" xr:uid="{00000000-0006-0000-0100-00001A000000}">
      <text>
        <r>
          <rPr>
            <b/>
            <sz val="9"/>
            <color indexed="81"/>
            <rFont val="Tahoma"/>
            <family val="2"/>
          </rPr>
          <t>Backing out Accrued Performance Fees</t>
        </r>
      </text>
    </comment>
    <comment ref="DE23" authorId="1" shapeId="0" xr:uid="{00000000-0006-0000-0100-00001B000000}">
      <text>
        <r>
          <rPr>
            <b/>
            <sz val="9"/>
            <color indexed="81"/>
            <rFont val="Tahoma"/>
            <family val="2"/>
          </rPr>
          <t xml:space="preserve">@3Q18: </t>
        </r>
        <r>
          <rPr>
            <sz val="9"/>
            <color indexed="81"/>
            <rFont val="Tahoma"/>
            <family val="2"/>
          </rPr>
          <t>G&amp;A expense trends in the third quarter were affected by a number of factors. In particular, the performance fees accrued in connection with recognition of equity security gains which were again partially offset by the reallocation of certain expenses from G&amp;A primarily to other cost of revenues.</t>
        </r>
      </text>
    </comment>
    <comment ref="DM23" authorId="1" shapeId="0" xr:uid="{00000000-0006-0000-0100-00001C000000}">
      <text>
        <r>
          <rPr>
            <b/>
            <sz val="9"/>
            <color indexed="81"/>
            <rFont val="Tahoma"/>
            <family val="2"/>
          </rPr>
          <t xml:space="preserve">1Q 10Q: </t>
        </r>
        <r>
          <rPr>
            <sz val="9"/>
            <color indexed="81"/>
            <rFont val="Tahoma"/>
            <family val="2"/>
          </rPr>
          <t>The allowance for credit losses on accounts receivable was $275 million and $717 million as of December 31, 2019 and March 31, 2020, respectively.</t>
        </r>
      </text>
    </comment>
    <comment ref="EB23" authorId="1" shapeId="0" xr:uid="{A4B45C57-3D6A-494B-ADAA-C61D178253B8}">
      <text>
        <r>
          <rPr>
            <b/>
            <sz val="9"/>
            <color indexed="81"/>
            <rFont val="Tahoma"/>
            <family val="2"/>
          </rPr>
          <t>1Q23:</t>
        </r>
        <r>
          <rPr>
            <sz val="9"/>
            <color indexed="81"/>
            <rFont val="Tahoma"/>
            <family val="2"/>
          </rPr>
          <t xml:space="preserve"> 
includes 
$253M Severance &amp; Related Costs
$62M Office Space Exit Costs</t>
        </r>
      </text>
    </comment>
    <comment ref="ED23" authorId="1" shapeId="0" xr:uid="{6D8802FE-AA58-40AF-AF3D-4D23BAB6DDA1}">
      <text>
        <r>
          <rPr>
            <b/>
            <sz val="9"/>
            <color indexed="81"/>
            <rFont val="Tahoma"/>
            <family val="2"/>
          </rPr>
          <t xml:space="preserve">3Q23 10Q: </t>
        </r>
        <r>
          <rPr>
            <sz val="9"/>
            <color indexed="81"/>
            <rFont val="Tahoma"/>
            <family val="2"/>
          </rPr>
          <t>General and administrative expenses increased $382 million from the three months ended September 30,2022 to the three months ended September 30, 2023, primarily driven by an increase in charges related to legalmatters of $589 million.</t>
        </r>
      </text>
    </comment>
    <comment ref="EF23" authorId="1" shapeId="0" xr:uid="{99C5DED4-980B-4D4E-847C-652A76286CA6}">
      <text>
        <r>
          <rPr>
            <b/>
            <sz val="9"/>
            <color indexed="81"/>
            <rFont val="Tahoma"/>
            <family val="2"/>
          </rPr>
          <t>1Q23:</t>
        </r>
        <r>
          <rPr>
            <sz val="9"/>
            <color indexed="81"/>
            <rFont val="Tahoma"/>
            <family val="2"/>
          </rPr>
          <t xml:space="preserve"> 
includes 
$253M Severance &amp; Related Costs
$62M Office Space Exit Costs</t>
        </r>
      </text>
    </comment>
    <comment ref="BP24" authorId="0" shapeId="0" xr:uid="{00000000-0006-0000-0100-00001D000000}">
      <text>
        <r>
          <rPr>
            <b/>
            <sz val="9"/>
            <color indexed="81"/>
            <rFont val="Tahoma"/>
            <family val="2"/>
          </rPr>
          <t>Bo Nam:</t>
        </r>
        <r>
          <rPr>
            <sz val="9"/>
            <color indexed="81"/>
            <rFont val="Tahoma"/>
            <family val="2"/>
          </rPr>
          <t xml:space="preserve">
Includes MMI restructuring related charges as well, reported SBC was $658M</t>
        </r>
      </text>
    </comment>
    <comment ref="BQ24" authorId="0" shapeId="0" xr:uid="{00000000-0006-0000-0100-00001E000000}">
      <text>
        <r>
          <rPr>
            <b/>
            <sz val="9"/>
            <color indexed="81"/>
            <rFont val="Tahoma"/>
            <family val="2"/>
          </rPr>
          <t>Bo Nam:</t>
        </r>
        <r>
          <rPr>
            <sz val="9"/>
            <color indexed="81"/>
            <rFont val="Tahoma"/>
            <family val="2"/>
          </rPr>
          <t xml:space="preserve">
Includes MMI restructuring related charges as well, reported SBC was $762M</t>
        </r>
      </text>
    </comment>
    <comment ref="BR24" authorId="0" shapeId="0" xr:uid="{00000000-0006-0000-0100-00001F000000}">
      <text>
        <r>
          <rPr>
            <b/>
            <sz val="9"/>
            <color indexed="81"/>
            <rFont val="Tahoma"/>
            <family val="2"/>
          </rPr>
          <t>Bo Nam:</t>
        </r>
        <r>
          <rPr>
            <sz val="9"/>
            <color indexed="81"/>
            <rFont val="Tahoma"/>
            <family val="2"/>
          </rPr>
          <t xml:space="preserve">
Includes MMI restructuring related charges as well, reported SBC was $708M</t>
        </r>
      </text>
    </comment>
    <comment ref="CW24" authorId="4" shapeId="0" xr:uid="{00000000-0006-0000-0100-000020000000}">
      <text>
        <r>
          <rPr>
            <sz val="9"/>
            <color indexed="81"/>
            <rFont val="Tahoma"/>
            <family val="2"/>
          </rPr>
          <t>senior execs equity refresh every other year</t>
        </r>
      </text>
    </comment>
    <comment ref="CX24" authorId="1" shapeId="0" xr:uid="{00000000-0006-0000-0100-000021000000}">
      <text>
        <r>
          <rPr>
            <b/>
            <sz val="9"/>
            <color indexed="81"/>
            <rFont val="Tahoma"/>
            <family val="2"/>
          </rPr>
          <t xml:space="preserve">@4Q16: </t>
        </r>
        <r>
          <rPr>
            <sz val="9"/>
            <color indexed="81"/>
            <rFont val="Tahoma"/>
            <family val="2"/>
          </rPr>
          <t>Second, we are shifting the timing of our annual equity refresh cycle for employees to the first quarter of every year. The next full year equity refresh will occur in the first quarter of 2018. Because the last full employee equity refresh occurred in the third quarter of 2016, we are providing employees with a one-time half grant in the first quarter of 2017. Overall, total SBC for 2017 will be roughly the same as it would have been had we maintained a Q3  refresh cycle. However, given the shift in refresh timing, there will not be the historical seasonal increase in SBC in Q3 and Q4. We do not plan any changes to our senior executives equity refresh, which occurs every two years with a next one in plan for 2018.</t>
        </r>
      </text>
    </comment>
    <comment ref="DG24" authorId="4" shapeId="0" xr:uid="{00000000-0006-0000-0100-000022000000}">
      <text>
        <r>
          <rPr>
            <sz val="9"/>
            <color indexed="81"/>
            <rFont val="Tahoma"/>
            <family val="2"/>
          </rPr>
          <t>senior execs equity refresh every other year</t>
        </r>
      </text>
    </comment>
    <comment ref="DQ24" authorId="4" shapeId="0" xr:uid="{00000000-0006-0000-0100-000023000000}">
      <text>
        <r>
          <rPr>
            <sz val="9"/>
            <color indexed="81"/>
            <rFont val="Tahoma"/>
            <family val="2"/>
          </rPr>
          <t>senior execs equity refresh every other year</t>
        </r>
      </text>
    </comment>
    <comment ref="EA24" authorId="4" shapeId="0" xr:uid="{00000000-0006-0000-0100-000024000000}">
      <text>
        <r>
          <rPr>
            <sz val="9"/>
            <color indexed="81"/>
            <rFont val="Tahoma"/>
            <family val="2"/>
          </rPr>
          <t>senior execs equity refresh every other year</t>
        </r>
      </text>
    </comment>
    <comment ref="EB24" authorId="1" shapeId="0" xr:uid="{35089E80-386D-4EE0-9053-EA1A418906E2}">
      <text>
        <r>
          <rPr>
            <b/>
            <sz val="9"/>
            <color indexed="81"/>
            <rFont val="Tahoma"/>
            <family val="2"/>
          </rPr>
          <t xml:space="preserve">1Q22: </t>
        </r>
        <r>
          <rPr>
            <sz val="9"/>
            <color indexed="81"/>
            <rFont val="Tahoma"/>
            <family val="2"/>
          </rPr>
          <t>Beginning in 2023, the timing of our annual employee stock-based compensation awards shifted from January to March. While the shift in timing itself will not affect the amount of stock-based compensation expense over the full fiscal year 2023, it results in relatively less expense recognized in the first quarter compared to the remaining quarters of the year.</t>
        </r>
      </text>
    </comment>
    <comment ref="EG24" authorId="1" shapeId="0" xr:uid="{54D4A587-D856-4A6C-A079-1A8C5D3ED500}">
      <text>
        <r>
          <rPr>
            <b/>
            <sz val="9"/>
            <color indexed="81"/>
            <rFont val="Tahoma"/>
            <family val="2"/>
          </rPr>
          <t xml:space="preserve">1Q23: </t>
        </r>
        <r>
          <rPr>
            <sz val="9"/>
            <color indexed="81"/>
            <rFont val="Tahoma"/>
            <family val="2"/>
          </rPr>
          <t>Beginning in 2023, the timing of our annual employee stock-based compensation awards shifted from January to March. While the shift in timing itself will not affect the amount of stock-based compensation expense over the full fiscal year 2023, it results in relatively less expense recognized in the first quarter compared to the remaining quarters of the year.</t>
        </r>
      </text>
    </comment>
    <comment ref="EH24" authorId="1" shapeId="0" xr:uid="{E13B7E59-3BC5-4C39-8178-B3DFA67F12BD}">
      <text>
        <r>
          <rPr>
            <b/>
            <sz val="9"/>
            <color indexed="81"/>
            <rFont val="Tahoma"/>
            <family val="2"/>
          </rPr>
          <t xml:space="preserve">1Q23: </t>
        </r>
        <r>
          <rPr>
            <sz val="9"/>
            <color indexed="81"/>
            <rFont val="Tahoma"/>
            <family val="2"/>
          </rPr>
          <t>Beginning in 2023, the timing of our annual employee stock-based compensation awards shifted from January to March. While the shift in timing itself will not affect the amount of stock-based compensation expense over the full fiscal year 2023, it results in relatively less expense recognized in the first quarter compared to the remaining quarters of the year.</t>
        </r>
      </text>
    </comment>
    <comment ref="EK24" authorId="4" shapeId="0" xr:uid="{00000000-0006-0000-0100-000025000000}">
      <text>
        <r>
          <rPr>
            <sz val="9"/>
            <color indexed="81"/>
            <rFont val="Tahoma"/>
            <family val="2"/>
          </rPr>
          <t>senior execs equity refresh every other year</t>
        </r>
      </text>
    </comment>
    <comment ref="EN24" authorId="1" shapeId="0" xr:uid="{A4E93782-B23A-4F00-A26B-74878D3540BB}">
      <text>
        <r>
          <rPr>
            <b/>
            <sz val="9"/>
            <color indexed="81"/>
            <rFont val="Tahoma"/>
            <family val="2"/>
          </rPr>
          <t xml:space="preserve">3Q25: 
</t>
        </r>
        <r>
          <rPr>
            <sz val="9"/>
            <color indexed="81"/>
            <rFont val="Tahoma"/>
            <family val="2"/>
          </rPr>
          <t>On September 5, 2025, the EC announced its decision that Google had infringed European competition laws. The EC decision imposed a $3.5 billion fine which we accrued in general and administrative expenses in our Google Services segment for the three months ended September 30, 2025.</t>
        </r>
      </text>
    </comment>
    <comment ref="EU24" authorId="4" shapeId="0" xr:uid="{00000000-0006-0000-0100-000026000000}">
      <text>
        <r>
          <rPr>
            <sz val="9"/>
            <color indexed="81"/>
            <rFont val="Tahoma"/>
            <family val="2"/>
          </rPr>
          <t>senior execs equity refresh every other year</t>
        </r>
      </text>
    </comment>
    <comment ref="EW24" authorId="4" shapeId="0" xr:uid="{D2FA89AF-F0A0-4424-90E4-E8BD9C7B5830}">
      <text>
        <r>
          <rPr>
            <sz val="9"/>
            <color indexed="81"/>
            <rFont val="Tahoma"/>
            <family val="2"/>
          </rPr>
          <t>senior execs equity refresh every other year</t>
        </r>
      </text>
    </comment>
    <comment ref="EY24" authorId="4" shapeId="0" xr:uid="{18BDECC4-0D86-4A70-BC6F-FBD9C5D40F0C}">
      <text>
        <r>
          <rPr>
            <sz val="9"/>
            <color indexed="81"/>
            <rFont val="Tahoma"/>
            <family val="2"/>
          </rPr>
          <t>senior execs equity refresh every other year</t>
        </r>
      </text>
    </comment>
    <comment ref="DC25" authorId="1" shapeId="0" xr:uid="{00000000-0006-0000-0100-000027000000}">
      <text>
        <r>
          <rPr>
            <b/>
            <sz val="9"/>
            <color indexed="81"/>
            <rFont val="Tahoma"/>
            <family val="2"/>
          </rPr>
          <t xml:space="preserve">1Q18 10Q:
</t>
        </r>
        <r>
          <rPr>
            <sz val="9"/>
            <color indexed="81"/>
            <rFont val="Tahoma"/>
            <family val="2"/>
          </rPr>
          <t>General and administrative expenses increased $234 million from the three months ended March 31, 2017 to the three months ended March 31, 2018. The increase was primarily due to an increase in compensation expenses (including SBC) and facilities-related costs of $615 million, largely resulting from accrued performance fees primarily related to gains on equity securities. The increase was offset by reduced allocations (with a corresponding net increase primarily in cost of revenues) and total legal settlement gain of</t>
        </r>
        <r>
          <rPr>
            <b/>
            <sz val="9"/>
            <color indexed="81"/>
            <rFont val="Tahoma"/>
            <family val="2"/>
          </rPr>
          <t xml:space="preserve"> $195 million</t>
        </r>
        <r>
          <rPr>
            <sz val="9"/>
            <color indexed="81"/>
            <rFont val="Tahoma"/>
            <family val="2"/>
          </rPr>
          <t>.
Assume $195M was recurring...</t>
        </r>
      </text>
    </comment>
    <comment ref="DD25" authorId="1" shapeId="0" xr:uid="{00000000-0006-0000-0100-000028000000}">
      <text>
        <r>
          <rPr>
            <b/>
            <sz val="9"/>
            <color indexed="81"/>
            <rFont val="Tahoma"/>
            <family val="2"/>
          </rPr>
          <t xml:space="preserve">@2Q: </t>
        </r>
        <r>
          <rPr>
            <sz val="9"/>
            <color indexed="81"/>
            <rFont val="Tahoma"/>
            <family val="2"/>
          </rPr>
          <t>EC Android Fine</t>
        </r>
      </text>
    </comment>
    <comment ref="EN25" authorId="1" shapeId="0" xr:uid="{D4E48304-EA55-4A7F-BD66-A9F4FFE3B210}">
      <text>
        <r>
          <rPr>
            <b/>
            <sz val="9"/>
            <color indexed="81"/>
            <rFont val="Tahoma"/>
            <family val="2"/>
          </rPr>
          <t>3Q25: $3.5B charge related to the EC fine
Prior JPMe
2.95B Euros = ~$3.44B</t>
        </r>
        <r>
          <rPr>
            <sz val="9"/>
            <color indexed="81"/>
            <rFont val="Tahoma"/>
            <family val="2"/>
          </rPr>
          <t xml:space="preserve">
https://d18rn0p25nwr6d.cloudfront.net/CIK-0001652044/de4cf8fa-8e33-46c3-8053-d851ede94af5.pdf
</t>
        </r>
        <r>
          <rPr>
            <b/>
            <sz val="9"/>
            <color indexed="81"/>
            <rFont val="Tahoma"/>
            <family val="2"/>
          </rPr>
          <t>325M Euros = ~$380M</t>
        </r>
        <r>
          <rPr>
            <sz val="9"/>
            <color indexed="81"/>
            <rFont val="Tahoma"/>
            <family val="2"/>
          </rPr>
          <t xml:space="preserve">
https://www.cnil.fr/en/cookies-and-advertisements-inserted-between-emails-google-fined-325-million-euros-cnil
</t>
        </r>
        <r>
          <rPr>
            <b/>
            <sz val="9"/>
            <color indexed="81"/>
            <rFont val="Tahoma"/>
            <family val="2"/>
          </rPr>
          <t>$425M</t>
        </r>
        <r>
          <rPr>
            <sz val="9"/>
            <color indexed="81"/>
            <rFont val="Tahoma"/>
            <family val="2"/>
          </rPr>
          <t xml:space="preserve">
https://www.cnbc.com/2025/09/04/google-must-pay-425-million-in-class-action-over-privacy-jury-rules.html</t>
        </r>
      </text>
    </comment>
    <comment ref="DC26" authorId="1" shapeId="0" xr:uid="{00000000-0006-0000-0100-00002A000000}">
      <text>
        <r>
          <rPr>
            <b/>
            <sz val="8"/>
            <color indexed="81"/>
            <rFont val="Tahoma"/>
            <family val="2"/>
          </rPr>
          <t>@1Q18: 
-</t>
        </r>
        <r>
          <rPr>
            <sz val="8"/>
            <color indexed="81"/>
            <rFont val="Tahoma"/>
            <family val="2"/>
          </rPr>
          <t>HTC in 2 months in the Q… deal closed Jan 30
-SBC refresh</t>
        </r>
      </text>
    </comment>
    <comment ref="DM26" authorId="1" shapeId="0" xr:uid="{00000000-0006-0000-0100-00002B000000}">
      <text>
        <r>
          <rPr>
            <b/>
            <sz val="9"/>
            <color indexed="81"/>
            <rFont val="Tahoma"/>
            <family val="2"/>
          </rPr>
          <t xml:space="preserve">@1Q: </t>
        </r>
        <r>
          <rPr>
            <sz val="9"/>
            <color indexed="81"/>
            <rFont val="Tahoma"/>
            <family val="2"/>
          </rPr>
          <t>Operating expenses were $14.2 billion, with head count growth being the largest driver of year on year growth for R&amp;D and sales and marketing expenses. For G&amp;A, the biggest driver of expense growth was attributable to a reserve for estimated credit deterioration as a result of COVID-19.</t>
        </r>
      </text>
    </comment>
    <comment ref="EB26" authorId="1" shapeId="0" xr:uid="{A9DC19A3-6421-4EC5-92DF-B9D4EEDE3793}">
      <text>
        <r>
          <rPr>
            <b/>
            <sz val="9"/>
            <color indexed="81"/>
            <rFont val="Tahoma"/>
            <family val="2"/>
          </rPr>
          <t>1Q23:</t>
        </r>
        <r>
          <rPr>
            <sz val="9"/>
            <color indexed="81"/>
            <rFont val="Tahoma"/>
            <family val="2"/>
          </rPr>
          <t xml:space="preserve"> 
includes 
$1,994M Severance &amp; Related Costs
$564M Office Space Exit Costs</t>
        </r>
      </text>
    </comment>
    <comment ref="ED26" authorId="1" shapeId="0" xr:uid="{51C5E34D-CB98-4278-BAFD-8E9CA1F24619}">
      <text>
        <r>
          <rPr>
            <b/>
            <sz val="9"/>
            <color indexed="81"/>
            <rFont val="Tahoma"/>
            <family val="2"/>
          </rPr>
          <t xml:space="preserve">3Q23 10Q: </t>
        </r>
        <r>
          <rPr>
            <sz val="9"/>
            <color indexed="81"/>
            <rFont val="Tahoma"/>
            <family val="2"/>
          </rPr>
          <t>Operating expenses were $22.1 billion, an increase of 6% year over year, primarily driven by increasesin compensation expenses largely due to an increase in stock-based compensation, and charges relatedto legal matters, partially offset by a decrease in advertising and promotional activities. Additionally,operating expenses benefited from a reduction in depreciation expense due to the change in theestimated useful lives of our servers and certain network equipment.
In addition to these exit charges, for the three and ninemonths ended September 30, 2023, we incurred $207 million in accelerated rent and accelerateddepreciation.</t>
        </r>
      </text>
    </comment>
    <comment ref="EF26" authorId="1" shapeId="0" xr:uid="{390C66C5-FE12-4704-AEDA-8187969EA2A1}">
      <text>
        <r>
          <rPr>
            <b/>
            <sz val="9"/>
            <color indexed="81"/>
            <rFont val="Tahoma"/>
            <family val="2"/>
          </rPr>
          <t xml:space="preserve">1Q23: </t>
        </r>
        <r>
          <rPr>
            <sz val="9"/>
            <color indexed="81"/>
            <rFont val="Tahoma"/>
            <family val="2"/>
          </rPr>
          <t xml:space="preserve">
includes 
$1,994M Severance &amp; Related Costs
$564M Office Space Exit Costs</t>
        </r>
        <r>
          <rPr>
            <b/>
            <sz val="9"/>
            <color indexed="81"/>
            <rFont val="Tahoma"/>
            <family val="2"/>
          </rPr>
          <t xml:space="preserve">
4Q22: </t>
        </r>
        <r>
          <rPr>
            <sz val="9"/>
            <color indexed="81"/>
            <rFont val="Tahoma"/>
            <family val="2"/>
          </rPr>
          <t>In January 2023, we completed an assessment of the useful lives of our servers and network equipment, resulting in a change in the estimated useful life of our servers and certain network equipment to six years, which we expect to result in a reduction of depreciation of approximately $3.4 billion for the full fiscal year 2023 for assets in service as of December 31, 2022, recorded primarily in cost of revenues and research and development (R&amp;D) expenses.</t>
        </r>
      </text>
    </comment>
    <comment ref="CY27" authorId="1" shapeId="0" xr:uid="{00000000-0006-0000-0100-00002C000000}">
      <text>
        <r>
          <rPr>
            <b/>
            <sz val="9"/>
            <color indexed="81"/>
            <rFont val="Tahoma"/>
            <family val="2"/>
          </rPr>
          <t xml:space="preserve">@2Q: </t>
        </r>
        <r>
          <rPr>
            <sz val="9"/>
            <color indexed="81"/>
            <rFont val="Tahoma"/>
            <family val="2"/>
          </rPr>
          <t>6,868 excl. EC fine</t>
        </r>
      </text>
    </comment>
    <comment ref="DE27" authorId="1" shapeId="0" xr:uid="{00000000-0006-0000-0100-00002D000000}">
      <text>
        <r>
          <rPr>
            <b/>
            <sz val="9"/>
            <color indexed="81"/>
            <rFont val="Tahoma"/>
            <family val="2"/>
          </rPr>
          <t xml:space="preserve">@2Q: </t>
        </r>
        <r>
          <rPr>
            <sz val="9"/>
            <color indexed="81"/>
            <rFont val="Tahoma"/>
            <family val="2"/>
          </rPr>
          <t>Within Opex, we continue to take a disciplined approach to setting priorities as we invest for long term growth. The majority of our headcount growth continues to be in technical roles in engineering and product management. In terms of business areas, the largest number of headcount additions were in our Cloud business, with hires for engineering, sales and marketing. As a reminder, headcount additions tend to be seasonally higher in Q3 because that is when we bring on new graduates. As I mentioned last quarter, regarding Sales and Marketing, we continue to expect expenses to be more heavily weighted toward the back half of the year to support the holiday season. Another factor to consider in year-on-year comparisons next quarter is the timing of two expense items in Q3 last year. As we called out last year, there was a meaningful benefit in the third quarter of 2017 from the shift  n timing of our annual equity refresh and also from the timing of Sales and Marketing spend, which was more heavily weighted to the fourth quarter.</t>
        </r>
      </text>
    </comment>
    <comment ref="EB27" authorId="1" shapeId="0" xr:uid="{4A613807-D3F3-4D36-BD7F-B5EE7DE63B35}">
      <text>
        <r>
          <rPr>
            <b/>
            <sz val="9"/>
            <color indexed="81"/>
            <rFont val="Tahoma"/>
            <family val="2"/>
          </rPr>
          <t>1Q23:</t>
        </r>
        <r>
          <rPr>
            <sz val="9"/>
            <color indexed="81"/>
            <rFont val="Tahoma"/>
            <family val="2"/>
          </rPr>
          <t xml:space="preserve"> 
includes 
$1,994M Severance &amp; Related Costs
$564M Office Space Exit Costs</t>
        </r>
      </text>
    </comment>
    <comment ref="EF27" authorId="1" shapeId="0" xr:uid="{A0BAADAE-C46D-48E8-8145-71843567CCE3}">
      <text>
        <r>
          <rPr>
            <b/>
            <sz val="9"/>
            <color indexed="81"/>
            <rFont val="Tahoma"/>
            <family val="2"/>
          </rPr>
          <t>1Q23:</t>
        </r>
        <r>
          <rPr>
            <sz val="9"/>
            <color indexed="81"/>
            <rFont val="Tahoma"/>
            <family val="2"/>
          </rPr>
          <t xml:space="preserve"> 
includes 
$1,994M Severance &amp; Related Costs
$564M Office Space Exit Costs</t>
        </r>
      </text>
    </comment>
    <comment ref="EG27" authorId="1" shapeId="0" xr:uid="{8A4AA632-81A6-4003-AE6F-5D38E19665B5}">
      <text>
        <r>
          <rPr>
            <b/>
            <sz val="9"/>
            <color indexed="81"/>
            <rFont val="Tahoma"/>
            <family val="2"/>
          </rPr>
          <t xml:space="preserve">4Q23: </t>
        </r>
        <r>
          <rPr>
            <sz val="9"/>
            <color indexed="81"/>
            <rFont val="Tahoma"/>
            <family val="2"/>
          </rPr>
          <t>At this point in the quarter, we do estimate that severance-related expense will be roughly $700 million in the first quarter as we've continued these efforts.</t>
        </r>
      </text>
    </comment>
    <comment ref="A28" authorId="1" shapeId="0" xr:uid="{00000000-0006-0000-0100-00002E000000}">
      <text>
        <r>
          <rPr>
            <b/>
            <sz val="9"/>
            <color indexed="81"/>
            <rFont val="Tahoma"/>
            <family val="2"/>
          </rPr>
          <t>Company provided…</t>
        </r>
      </text>
    </comment>
    <comment ref="CE29" authorId="0" shapeId="0" xr:uid="{00000000-0006-0000-0100-00002F000000}">
      <text>
        <r>
          <rPr>
            <b/>
            <sz val="9"/>
            <color indexed="81"/>
            <rFont val="Tahoma"/>
            <family val="2"/>
          </rPr>
          <t>Bo Nam:</t>
        </r>
        <r>
          <rPr>
            <sz val="9"/>
            <color indexed="81"/>
            <rFont val="Tahoma"/>
            <family val="2"/>
          </rPr>
          <t xml:space="preserve">
adjusted for Mot restructuring</t>
        </r>
      </text>
    </comment>
    <comment ref="CF29" authorId="0" shapeId="0" xr:uid="{00000000-0006-0000-0100-000030000000}">
      <text>
        <r>
          <rPr>
            <b/>
            <sz val="9"/>
            <color indexed="81"/>
            <rFont val="Tahoma"/>
            <family val="2"/>
          </rPr>
          <t>Bo Nam:</t>
        </r>
        <r>
          <rPr>
            <sz val="9"/>
            <color indexed="81"/>
            <rFont val="Tahoma"/>
            <family val="2"/>
          </rPr>
          <t xml:space="preserve">
adjusted for Mot restructuring</t>
        </r>
      </text>
    </comment>
    <comment ref="DC29" authorId="1" shapeId="0" xr:uid="{00000000-0006-0000-0100-000031000000}">
      <text>
        <r>
          <rPr>
            <b/>
            <sz val="9"/>
            <color indexed="81"/>
            <rFont val="Tahoma"/>
            <family val="2"/>
          </rPr>
          <t xml:space="preserve">@1Q18: 
</t>
        </r>
        <r>
          <rPr>
            <sz val="9"/>
            <color indexed="81"/>
            <rFont val="Tahoma"/>
            <family val="2"/>
          </rPr>
          <t>Accrued performance fees of $632 related to change in equity securities recognition...</t>
        </r>
      </text>
    </comment>
    <comment ref="BL30" authorId="2" shapeId="0" xr:uid="{00000000-0006-0000-0100-000032000000}">
      <text>
        <r>
          <rPr>
            <b/>
            <sz val="8"/>
            <color indexed="81"/>
            <rFont val="Tahoma"/>
            <family val="2"/>
          </rPr>
          <t>Kaizad Gotla:</t>
        </r>
        <r>
          <rPr>
            <sz val="8"/>
            <color indexed="81"/>
            <rFont val="Tahoma"/>
            <family val="2"/>
          </rPr>
          <t xml:space="preserve">
211MM interest income and 107MM in realized gains. 18MM expense on hedging program</t>
        </r>
      </text>
    </comment>
    <comment ref="BM30" authorId="0" shapeId="0" xr:uid="{00000000-0006-0000-0100-000033000000}">
      <text>
        <r>
          <rPr>
            <b/>
            <sz val="8"/>
            <color indexed="81"/>
            <rFont val="Tahoma"/>
            <family val="2"/>
          </rPr>
          <t>Bo Nam:</t>
        </r>
        <r>
          <rPr>
            <sz val="8"/>
            <color indexed="81"/>
            <rFont val="Tahoma"/>
            <family val="2"/>
          </rPr>
          <t xml:space="preserve">
$199 of interest income, and $39 in realized gains.
Impairment charge of $88M related to investment in Clearwire
Expensed $134 related to FX hedging program</t>
        </r>
      </text>
    </comment>
    <comment ref="DC30" authorId="1" shapeId="0" xr:uid="{00000000-0006-0000-0100-000034000000}">
      <text>
        <r>
          <rPr>
            <b/>
            <sz val="9"/>
            <color indexed="81"/>
            <rFont val="Tahoma"/>
            <family val="2"/>
          </rPr>
          <t xml:space="preserve">@1Q18 call: </t>
        </r>
        <r>
          <rPr>
            <sz val="9"/>
            <color indexed="81"/>
            <rFont val="Tahoma"/>
            <family val="2"/>
          </rPr>
          <t>Other income and expense was $3.5 billion, which includes $3 billion of primarily unrealized gains in equity security investments recognized under the new accounting standard. We provide more detail on the line items within OI&amp;E in our earnings press release.</t>
        </r>
      </text>
    </comment>
    <comment ref="BJ31" authorId="2" shapeId="0" xr:uid="{00000000-0006-0000-0100-000035000000}">
      <text>
        <r>
          <rPr>
            <b/>
            <sz val="8"/>
            <color indexed="81"/>
            <rFont val="Tahoma"/>
            <family val="2"/>
          </rPr>
          <t>Kaizad Gotla:</t>
        </r>
        <r>
          <rPr>
            <sz val="8"/>
            <color indexed="81"/>
            <rFont val="Tahoma"/>
            <family val="2"/>
          </rPr>
          <t xml:space="preserve">
Charge related to potential resolution of Dept of Justice investigation</t>
        </r>
      </text>
    </comment>
    <comment ref="DA33" authorId="1" shapeId="0" xr:uid="{00000000-0006-0000-0100-000036000000}">
      <text>
        <r>
          <rPr>
            <b/>
            <sz val="9"/>
            <color indexed="81"/>
            <rFont val="Tahoma"/>
            <family val="2"/>
          </rPr>
          <t xml:space="preserve">@4Q: </t>
        </r>
        <r>
          <rPr>
            <sz val="9"/>
            <color indexed="81"/>
            <rFont val="Tahoma"/>
            <family val="2"/>
          </rPr>
          <t>The Tax Act was enacted on December 22, 2017 and resulted in additional tax expense of $9.9 billion in the fourth
quarter of 2017 primarily due to the one-time transition tax on accumulated foreign subsidiary earnings and deferred
tax impacts.</t>
        </r>
      </text>
    </comment>
    <comment ref="BO34" authorId="0" shapeId="0" xr:uid="{00000000-0006-0000-0100-000037000000}">
      <text>
        <r>
          <rPr>
            <b/>
            <sz val="8"/>
            <color indexed="81"/>
            <rFont val="Tahoma"/>
            <family val="2"/>
          </rPr>
          <t>Bo Nam:</t>
        </r>
        <r>
          <rPr>
            <sz val="8"/>
            <color indexed="81"/>
            <rFont val="Tahoma"/>
            <family val="2"/>
          </rPr>
          <t xml:space="preserve">
Lower due to mix of earnings between domestic &amp; international, and capital gains</t>
        </r>
      </text>
    </comment>
    <comment ref="CH34" authorId="3" shapeId="0" xr:uid="{00000000-0006-0000-0100-000038000000}">
      <text>
        <r>
          <rPr>
            <b/>
            <sz val="9"/>
            <color indexed="81"/>
            <rFont val="Tahoma"/>
            <family val="2"/>
          </rPr>
          <t>revised 7/16/15</t>
        </r>
      </text>
    </comment>
    <comment ref="CI34" authorId="3" shapeId="0" xr:uid="{00000000-0006-0000-0100-000039000000}">
      <text>
        <r>
          <rPr>
            <b/>
            <sz val="9"/>
            <color indexed="81"/>
            <rFont val="Tahoma"/>
            <family val="2"/>
          </rPr>
          <t>revised 7/16/15</t>
        </r>
      </text>
    </comment>
    <comment ref="CJ34" authorId="3" shapeId="0" xr:uid="{00000000-0006-0000-0100-00003A000000}">
      <text>
        <r>
          <rPr>
            <b/>
            <sz val="9"/>
            <color indexed="81"/>
            <rFont val="Tahoma"/>
            <family val="2"/>
          </rPr>
          <t>revised 7/16/15</t>
        </r>
      </text>
    </comment>
    <comment ref="CK34" authorId="3" shapeId="0" xr:uid="{00000000-0006-0000-0100-00003B000000}">
      <text>
        <r>
          <rPr>
            <b/>
            <sz val="9"/>
            <color indexed="81"/>
            <rFont val="Tahoma"/>
            <family val="2"/>
          </rPr>
          <t>revised 7/16/15</t>
        </r>
      </text>
    </comment>
    <comment ref="CL34" authorId="3" shapeId="0" xr:uid="{00000000-0006-0000-0100-00003C000000}">
      <text>
        <r>
          <rPr>
            <b/>
            <sz val="9"/>
            <color indexed="81"/>
            <rFont val="Tahoma"/>
            <family val="2"/>
          </rPr>
          <t>revised 7/16/15</t>
        </r>
      </text>
    </comment>
    <comment ref="CM34" authorId="3" shapeId="0" xr:uid="{00000000-0006-0000-0100-00003D000000}">
      <text>
        <r>
          <rPr>
            <b/>
            <sz val="9"/>
            <color indexed="81"/>
            <rFont val="Tahoma"/>
            <family val="2"/>
          </rPr>
          <t>revised 7/16/15</t>
        </r>
      </text>
    </comment>
    <comment ref="CN34" authorId="3" shapeId="0" xr:uid="{00000000-0006-0000-0100-00003E000000}">
      <text>
        <r>
          <rPr>
            <b/>
            <sz val="9"/>
            <color indexed="81"/>
            <rFont val="Tahoma"/>
            <family val="2"/>
          </rPr>
          <t>revised 7/16/15</t>
        </r>
      </text>
    </comment>
    <comment ref="CQ34" authorId="3" shapeId="0" xr:uid="{00000000-0006-0000-0100-00003F000000}">
      <text>
        <r>
          <rPr>
            <b/>
            <sz val="9"/>
            <color indexed="81"/>
            <rFont val="Tahoma"/>
            <family val="2"/>
          </rPr>
          <t>*For Q4 2015, our effective tax rate reflects impact of certain one-time items in the U.S., specifically the resolution of a multi-year audit with an ETR impact of 9%, as well as the full year impact of the R&amp;D tax credit with an ETR impact of 8%</t>
        </r>
      </text>
    </comment>
    <comment ref="CV34" authorId="1" shapeId="0" xr:uid="{00000000-0006-0000-0100-000040000000}">
      <text>
        <r>
          <rPr>
            <b/>
            <sz val="9"/>
            <color indexed="81"/>
            <rFont val="Tahoma"/>
            <family val="2"/>
          </rPr>
          <t xml:space="preserve">@4Q: </t>
        </r>
        <r>
          <rPr>
            <sz val="9"/>
            <color indexed="81"/>
            <rFont val="Tahoma"/>
            <family val="2"/>
          </rPr>
          <t>Our effective tax rate was 22% for the fourth quarter reflecting the geographic mix of earnings and certain discrete items affecting our US rate. Our effective tax rate for the full year 2016 was 19%.</t>
        </r>
      </text>
    </comment>
    <comment ref="DC34" authorId="1" shapeId="0" xr:uid="{00000000-0006-0000-0100-000041000000}">
      <text>
        <r>
          <rPr>
            <b/>
            <sz val="9"/>
            <color indexed="81"/>
            <rFont val="Tahoma"/>
            <family val="2"/>
          </rPr>
          <t xml:space="preserve">@1Q18 call: </t>
        </r>
        <r>
          <rPr>
            <sz val="9"/>
            <color indexed="81"/>
            <rFont val="Tahoma"/>
            <family val="2"/>
          </rPr>
          <t>Our effective tax rate was 11% for the first quarter. As outlined in our earnings press release, this includes a 5 percentage point reduction from the release of a deferred tax asset valuation allowance, which offset the income tax expense on the equity security gains.</t>
        </r>
      </text>
    </comment>
    <comment ref="CD35" authorId="0" shapeId="0" xr:uid="{00000000-0006-0000-0100-000042000000}">
      <text>
        <r>
          <rPr>
            <b/>
            <sz val="9"/>
            <color indexed="81"/>
            <rFont val="Tahoma"/>
            <family val="2"/>
          </rPr>
          <t>Bo Nam:</t>
        </r>
        <r>
          <rPr>
            <sz val="9"/>
            <color indexed="81"/>
            <rFont val="Tahoma"/>
            <family val="2"/>
          </rPr>
          <t xml:space="preserve">
Mot Home + Mot Devices</t>
        </r>
      </text>
    </comment>
    <comment ref="CE35" authorId="0" shapeId="0" xr:uid="{00000000-0006-0000-0100-000043000000}">
      <text>
        <r>
          <rPr>
            <b/>
            <sz val="9"/>
            <color indexed="81"/>
            <rFont val="Tahoma"/>
            <family val="2"/>
          </rPr>
          <t>Bo Nam:</t>
        </r>
        <r>
          <rPr>
            <sz val="9"/>
            <color indexed="81"/>
            <rFont val="Tahoma"/>
            <family val="2"/>
          </rPr>
          <t xml:space="preserve">
Mot Home + Mot Devices</t>
        </r>
      </text>
    </comment>
    <comment ref="CF35" authorId="0" shapeId="0" xr:uid="{00000000-0006-0000-0100-000044000000}">
      <text>
        <r>
          <rPr>
            <b/>
            <sz val="9"/>
            <color indexed="81"/>
            <rFont val="Tahoma"/>
            <family val="2"/>
          </rPr>
          <t>Bo Nam:</t>
        </r>
        <r>
          <rPr>
            <sz val="9"/>
            <color indexed="81"/>
            <rFont val="Tahoma"/>
            <family val="2"/>
          </rPr>
          <t xml:space="preserve">
Mot Home + Mot Devices</t>
        </r>
      </text>
    </comment>
    <comment ref="CG35" authorId="0" shapeId="0" xr:uid="{00000000-0006-0000-0100-000045000000}">
      <text>
        <r>
          <rPr>
            <b/>
            <sz val="9"/>
            <color indexed="81"/>
            <rFont val="Tahoma"/>
            <family val="2"/>
          </rPr>
          <t>Bo Nam:</t>
        </r>
        <r>
          <rPr>
            <sz val="9"/>
            <color indexed="81"/>
            <rFont val="Tahoma"/>
            <family val="2"/>
          </rPr>
          <t xml:space="preserve">
Mot Home + Mot Devices</t>
        </r>
      </text>
    </comment>
    <comment ref="CI35" authorId="0" shapeId="0" xr:uid="{00000000-0006-0000-0100-000046000000}">
      <text>
        <r>
          <rPr>
            <b/>
            <sz val="9"/>
            <color indexed="81"/>
            <rFont val="Tahoma"/>
            <family val="2"/>
          </rPr>
          <t>Bo Nam:</t>
        </r>
        <r>
          <rPr>
            <sz val="9"/>
            <color indexed="81"/>
            <rFont val="Tahoma"/>
            <family val="2"/>
          </rPr>
          <t xml:space="preserve">
Mot Devices</t>
        </r>
      </text>
    </comment>
    <comment ref="CH36" authorId="3" shapeId="0" xr:uid="{00000000-0006-0000-0100-000047000000}">
      <text>
        <r>
          <rPr>
            <b/>
            <sz val="9"/>
            <color indexed="81"/>
            <rFont val="Tahoma"/>
            <family val="2"/>
          </rPr>
          <t>revised 7/16/15</t>
        </r>
      </text>
    </comment>
    <comment ref="CI36" authorId="3" shapeId="0" xr:uid="{00000000-0006-0000-0100-000048000000}">
      <text>
        <r>
          <rPr>
            <b/>
            <sz val="9"/>
            <color indexed="81"/>
            <rFont val="Tahoma"/>
            <family val="2"/>
          </rPr>
          <t>revised 7/16/15</t>
        </r>
      </text>
    </comment>
    <comment ref="CJ36" authorId="3" shapeId="0" xr:uid="{00000000-0006-0000-0100-000049000000}">
      <text>
        <r>
          <rPr>
            <b/>
            <sz val="9"/>
            <color indexed="81"/>
            <rFont val="Tahoma"/>
            <family val="2"/>
          </rPr>
          <t>revised 7/16/15</t>
        </r>
      </text>
    </comment>
    <comment ref="CK36" authorId="3" shapeId="0" xr:uid="{00000000-0006-0000-0100-00004A000000}">
      <text>
        <r>
          <rPr>
            <b/>
            <sz val="9"/>
            <color indexed="81"/>
            <rFont val="Tahoma"/>
            <family val="2"/>
          </rPr>
          <t>revised 7/16/15</t>
        </r>
      </text>
    </comment>
    <comment ref="CL36" authorId="3" shapeId="0" xr:uid="{00000000-0006-0000-0100-00004B000000}">
      <text>
        <r>
          <rPr>
            <b/>
            <sz val="9"/>
            <color indexed="81"/>
            <rFont val="Tahoma"/>
            <family val="2"/>
          </rPr>
          <t>revised 7/16/15</t>
        </r>
      </text>
    </comment>
    <comment ref="CM36" authorId="3" shapeId="0" xr:uid="{00000000-0006-0000-0100-00004C000000}">
      <text>
        <r>
          <rPr>
            <b/>
            <sz val="9"/>
            <color indexed="81"/>
            <rFont val="Tahoma"/>
            <family val="2"/>
          </rPr>
          <t>revised 7/16/15</t>
        </r>
      </text>
    </comment>
    <comment ref="CN36" authorId="3" shapeId="0" xr:uid="{00000000-0006-0000-0100-00004D000000}">
      <text>
        <r>
          <rPr>
            <b/>
            <sz val="9"/>
            <color indexed="81"/>
            <rFont val="Tahoma"/>
            <family val="2"/>
          </rPr>
          <t>revised 7/16/15</t>
        </r>
      </text>
    </comment>
    <comment ref="CY36" authorId="1" shapeId="0" xr:uid="{00000000-0006-0000-0100-00004E000000}">
      <text>
        <r>
          <rPr>
            <b/>
            <sz val="9"/>
            <color indexed="81"/>
            <rFont val="Tahoma"/>
            <family val="2"/>
          </rPr>
          <t xml:space="preserve">@2Q: </t>
        </r>
        <r>
          <rPr>
            <sz val="9"/>
            <color indexed="81"/>
            <rFont val="Tahoma"/>
            <family val="2"/>
          </rPr>
          <t>6,260 excl. EC fine</t>
        </r>
      </text>
    </comment>
    <comment ref="CH37" authorId="3" shapeId="0" xr:uid="{00000000-0006-0000-0100-00004F000000}">
      <text>
        <r>
          <rPr>
            <b/>
            <sz val="9"/>
            <color indexed="81"/>
            <rFont val="Tahoma"/>
            <family val="2"/>
          </rPr>
          <t>revised 7/16/15</t>
        </r>
      </text>
    </comment>
    <comment ref="CI37" authorId="3" shapeId="0" xr:uid="{00000000-0006-0000-0100-000050000000}">
      <text>
        <r>
          <rPr>
            <b/>
            <sz val="9"/>
            <color indexed="81"/>
            <rFont val="Tahoma"/>
            <family val="2"/>
          </rPr>
          <t>revised 7/16/15</t>
        </r>
      </text>
    </comment>
    <comment ref="CJ37" authorId="3" shapeId="0" xr:uid="{00000000-0006-0000-0100-000051000000}">
      <text>
        <r>
          <rPr>
            <b/>
            <sz val="9"/>
            <color indexed="81"/>
            <rFont val="Tahoma"/>
            <family val="2"/>
          </rPr>
          <t>revised 7/16/15</t>
        </r>
      </text>
    </comment>
    <comment ref="CK37" authorId="3" shapeId="0" xr:uid="{00000000-0006-0000-0100-000052000000}">
      <text>
        <r>
          <rPr>
            <b/>
            <sz val="9"/>
            <color indexed="81"/>
            <rFont val="Tahoma"/>
            <family val="2"/>
          </rPr>
          <t>revised 7/16/15</t>
        </r>
      </text>
    </comment>
    <comment ref="CL37" authorId="3" shapeId="0" xr:uid="{00000000-0006-0000-0100-000053000000}">
      <text>
        <r>
          <rPr>
            <b/>
            <sz val="9"/>
            <color indexed="81"/>
            <rFont val="Tahoma"/>
            <family val="2"/>
          </rPr>
          <t>revised 7/16/15</t>
        </r>
      </text>
    </comment>
    <comment ref="CM37" authorId="3" shapeId="0" xr:uid="{00000000-0006-0000-0100-000054000000}">
      <text>
        <r>
          <rPr>
            <b/>
            <sz val="9"/>
            <color indexed="81"/>
            <rFont val="Tahoma"/>
            <family val="2"/>
          </rPr>
          <t>revised 7/16/15</t>
        </r>
      </text>
    </comment>
    <comment ref="CN37" authorId="3" shapeId="0" xr:uid="{00000000-0006-0000-0100-000055000000}">
      <text>
        <r>
          <rPr>
            <b/>
            <sz val="9"/>
            <color indexed="81"/>
            <rFont val="Tahoma"/>
            <family val="2"/>
          </rPr>
          <t>revised 7/16/15</t>
        </r>
      </text>
    </comment>
    <comment ref="CO37" authorId="3" shapeId="0" xr:uid="{00000000-0006-0000-0100-000056000000}">
      <text>
        <r>
          <rPr>
            <sz val="9"/>
            <color indexed="81"/>
            <rFont val="Tahoma"/>
            <family val="2"/>
          </rPr>
          <t>diluted EPS Class A &amp; B : $4.93
diluted EPS Class C : $6.43</t>
        </r>
      </text>
    </comment>
    <comment ref="CV37" authorId="1" shapeId="0" xr:uid="{00000000-0006-0000-0100-000057000000}">
      <text>
        <r>
          <rPr>
            <sz val="9"/>
            <color indexed="81"/>
            <rFont val="Tahoma"/>
            <family val="2"/>
          </rPr>
          <t xml:space="preserve">@4Q: GAAP and non-GAAP diluted EPS for Q4 2016 reflect the dilutive effect of non-Alphabet equity. GAAP and non-GAAP net income used to calculate diluted EPS for Q4 2016 were $5,297 million and $6,557 million, respectively. </t>
        </r>
      </text>
    </comment>
    <comment ref="CY37" authorId="1" shapeId="0" xr:uid="{00000000-0006-0000-0100-000058000000}">
      <text>
        <r>
          <rPr>
            <b/>
            <sz val="9"/>
            <color indexed="81"/>
            <rFont val="Tahoma"/>
            <family val="2"/>
          </rPr>
          <t xml:space="preserve">@2Q: </t>
        </r>
        <r>
          <rPr>
            <sz val="9"/>
            <color indexed="81"/>
            <rFont val="Tahoma"/>
            <family val="2"/>
          </rPr>
          <t>8.90 excl. EC fine</t>
        </r>
      </text>
    </comment>
    <comment ref="DC37" authorId="1" shapeId="0" xr:uid="{00000000-0006-0000-0100-000059000000}">
      <text>
        <r>
          <rPr>
            <b/>
            <sz val="9"/>
            <color indexed="81"/>
            <rFont val="Tahoma"/>
            <family val="2"/>
          </rPr>
          <t xml:space="preserve">@1Q18 call: </t>
        </r>
        <r>
          <rPr>
            <sz val="9"/>
            <color indexed="81"/>
            <rFont val="Tahoma"/>
            <family val="2"/>
          </rPr>
          <t xml:space="preserve">As indicated in the table in our earnings press release, these results reflect an </t>
        </r>
        <r>
          <rPr>
            <b/>
            <sz val="9"/>
            <color indexed="81"/>
            <rFont val="Tahoma"/>
            <family val="2"/>
          </rPr>
          <t>increase in net income of $2.4 billion and $3.40 in earnings per diluted share</t>
        </r>
        <r>
          <rPr>
            <sz val="9"/>
            <color indexed="81"/>
            <rFont val="Tahoma"/>
            <family val="2"/>
          </rPr>
          <t>, due to the impacts from the gains on equity security investments we've already discussed.</t>
        </r>
      </text>
    </comment>
    <comment ref="DG37" authorId="1" shapeId="0" xr:uid="{00000000-0006-0000-0100-00005A000000}">
      <text>
        <r>
          <rPr>
            <b/>
            <sz val="9"/>
            <color indexed="81"/>
            <rFont val="Tahoma"/>
            <family val="2"/>
          </rPr>
          <t xml:space="preserve">1Q18: </t>
        </r>
        <r>
          <rPr>
            <sz val="9"/>
            <color indexed="81"/>
            <rFont val="Tahoma"/>
            <family val="2"/>
          </rPr>
          <t>includes $3.40 gain from equity recognition change in 1Q18</t>
        </r>
      </text>
    </comment>
    <comment ref="CD38" authorId="0" shapeId="0" xr:uid="{00000000-0006-0000-0100-00005B000000}">
      <text>
        <r>
          <rPr>
            <b/>
            <sz val="9"/>
            <color indexed="81"/>
            <rFont val="Tahoma"/>
            <family val="2"/>
          </rPr>
          <t>Bo Nam:</t>
        </r>
        <r>
          <rPr>
            <sz val="9"/>
            <color indexed="81"/>
            <rFont val="Tahoma"/>
            <family val="2"/>
          </rPr>
          <t xml:space="preserve">
2x for C-shares</t>
        </r>
      </text>
    </comment>
    <comment ref="CE38" authorId="0" shapeId="0" xr:uid="{00000000-0006-0000-0100-00005C000000}">
      <text>
        <r>
          <rPr>
            <b/>
            <sz val="9"/>
            <color indexed="81"/>
            <rFont val="Tahoma"/>
            <family val="2"/>
          </rPr>
          <t>Bo Nam:</t>
        </r>
        <r>
          <rPr>
            <sz val="9"/>
            <color indexed="81"/>
            <rFont val="Tahoma"/>
            <family val="2"/>
          </rPr>
          <t xml:space="preserve">
2x for C-shares</t>
        </r>
      </text>
    </comment>
    <comment ref="CF38" authorId="0" shapeId="0" xr:uid="{00000000-0006-0000-0100-00005D000000}">
      <text>
        <r>
          <rPr>
            <b/>
            <sz val="9"/>
            <color indexed="81"/>
            <rFont val="Tahoma"/>
            <family val="2"/>
          </rPr>
          <t>Bo Nam:</t>
        </r>
        <r>
          <rPr>
            <sz val="9"/>
            <color indexed="81"/>
            <rFont val="Tahoma"/>
            <family val="2"/>
          </rPr>
          <t xml:space="preserve">
2x for C-shares</t>
        </r>
      </text>
    </comment>
    <comment ref="CG38" authorId="0" shapeId="0" xr:uid="{00000000-0006-0000-0100-00005E000000}">
      <text>
        <r>
          <rPr>
            <b/>
            <sz val="9"/>
            <color indexed="81"/>
            <rFont val="Tahoma"/>
            <family val="2"/>
          </rPr>
          <t>Bo Nam:</t>
        </r>
        <r>
          <rPr>
            <sz val="9"/>
            <color indexed="81"/>
            <rFont val="Tahoma"/>
            <family val="2"/>
          </rPr>
          <t xml:space="preserve">
2x for C-shares</t>
        </r>
      </text>
    </comment>
    <comment ref="CO38" authorId="3" shapeId="0" xr:uid="{00000000-0006-0000-0100-00005F000000}">
      <text>
        <r>
          <rPr>
            <sz val="9"/>
            <color indexed="81"/>
            <rFont val="Tahoma"/>
            <family val="2"/>
          </rPr>
          <t>For Q2'15 Basic Class A and B share count is 288,723 and 52,114, respectively, and Class C is 342,780</t>
        </r>
      </text>
    </comment>
    <comment ref="DD41" authorId="1" shapeId="0" xr:uid="{00000000-0006-0000-0100-000060000000}">
      <text>
        <r>
          <rPr>
            <b/>
            <sz val="9"/>
            <color indexed="81"/>
            <rFont val="Tahoma"/>
            <family val="2"/>
          </rPr>
          <t xml:space="preserve">@2Q: </t>
        </r>
        <r>
          <rPr>
            <sz val="9"/>
            <color indexed="81"/>
            <rFont val="Tahoma"/>
            <family val="2"/>
          </rPr>
          <t>EC Android Fine</t>
        </r>
      </text>
    </comment>
    <comment ref="DH41" authorId="1" shapeId="0" xr:uid="{00000000-0006-0000-0100-000061000000}">
      <text>
        <r>
          <rPr>
            <b/>
            <sz val="9"/>
            <color indexed="81"/>
            <rFont val="Tahoma"/>
            <family val="2"/>
          </rPr>
          <t>EC fine, net of FX gain</t>
        </r>
      </text>
    </comment>
    <comment ref="BP46" authorId="0" shapeId="0" xr:uid="{00000000-0006-0000-0100-000062000000}">
      <text>
        <r>
          <rPr>
            <b/>
            <sz val="8"/>
            <color indexed="81"/>
            <rFont val="Tahoma"/>
            <family val="2"/>
          </rPr>
          <t>Bo Nam:</t>
        </r>
        <r>
          <rPr>
            <sz val="8"/>
            <color indexed="81"/>
            <rFont val="Tahoma"/>
            <family val="2"/>
          </rPr>
          <t xml:space="preserve">
Includes $182M charge related to severance and benefit arrangements in connection with MMI</t>
        </r>
      </text>
    </comment>
    <comment ref="BQ46" authorId="0" shapeId="0" xr:uid="{00000000-0006-0000-0100-000063000000}">
      <text>
        <r>
          <rPr>
            <b/>
            <sz val="9"/>
            <color indexed="81"/>
            <rFont val="Tahoma"/>
            <family val="2"/>
          </rPr>
          <t>Bo Nam:</t>
        </r>
        <r>
          <rPr>
            <sz val="9"/>
            <color indexed="81"/>
            <rFont val="Tahoma"/>
            <family val="2"/>
          </rPr>
          <t xml:space="preserve">
comprised of $715M in GOOG SBC and $47M in MMI SBC, and $302 in MMI restructuring related charges</t>
        </r>
      </text>
    </comment>
    <comment ref="CK47" authorId="5" shapeId="0" xr:uid="{00000000-0006-0000-0100-000064000000}">
      <text>
        <r>
          <rPr>
            <b/>
            <sz val="9"/>
            <color indexed="81"/>
            <rFont val="Tahoma"/>
            <family val="2"/>
          </rPr>
          <t>impairment charge related to a patent licensing royalty asset acquired in connection with the purchase of Motorola</t>
        </r>
      </text>
    </comment>
    <comment ref="CV47" authorId="1" shapeId="0" xr:uid="{00000000-0006-0000-0100-000065000000}">
      <text>
        <r>
          <rPr>
            <sz val="9"/>
            <color indexed="81"/>
            <rFont val="Tahoma"/>
            <family val="2"/>
          </rPr>
          <t xml:space="preserve">@4Q: GAAP and non-GAAP diluted EPS for Q4 2016 reflect the dilutive effect of non-Alphabet equity. GAAP and non-GAAP net income used to calculate diluted EPS for Q4 2016 were $5,297 million and $6,557 million, respectively. </t>
        </r>
      </text>
    </comment>
    <comment ref="DC47" authorId="1" shapeId="0" xr:uid="{00000000-0006-0000-0100-000066000000}">
      <text>
        <r>
          <rPr>
            <b/>
            <sz val="9"/>
            <color indexed="81"/>
            <rFont val="Tahoma"/>
            <family val="2"/>
          </rPr>
          <t xml:space="preserve">1Q: </t>
        </r>
        <r>
          <rPr>
            <sz val="9"/>
            <color indexed="81"/>
            <rFont val="Tahoma"/>
            <family val="2"/>
          </rPr>
          <t>Backing out impact from equity securities</t>
        </r>
      </text>
    </comment>
    <comment ref="DD47" authorId="1" shapeId="0" xr:uid="{00000000-0006-0000-0100-000067000000}">
      <text>
        <r>
          <rPr>
            <b/>
            <sz val="9"/>
            <color indexed="81"/>
            <rFont val="Tahoma"/>
            <family val="2"/>
          </rPr>
          <t xml:space="preserve">@2Q: </t>
        </r>
        <r>
          <rPr>
            <sz val="9"/>
            <color indexed="81"/>
            <rFont val="Tahoma"/>
            <family val="2"/>
          </rPr>
          <t>EC Android Fine</t>
        </r>
      </text>
    </comment>
    <comment ref="BP48" authorId="0" shapeId="0" xr:uid="{00000000-0006-0000-0100-000068000000}">
      <text>
        <r>
          <rPr>
            <b/>
            <sz val="8"/>
            <color indexed="81"/>
            <rFont val="Tahoma"/>
            <family val="2"/>
          </rPr>
          <t>Bo Nam:</t>
        </r>
        <r>
          <rPr>
            <sz val="8"/>
            <color indexed="81"/>
            <rFont val="Tahoma"/>
            <family val="2"/>
          </rPr>
          <t xml:space="preserve">
51M in tax charges for the MMI severance fee in line above</t>
        </r>
      </text>
    </comment>
    <comment ref="CV51" authorId="1" shapeId="0" xr:uid="{00000000-0006-0000-0100-000069000000}">
      <text>
        <r>
          <rPr>
            <sz val="9"/>
            <color indexed="81"/>
            <rFont val="Tahoma"/>
            <family val="2"/>
          </rPr>
          <t xml:space="preserve">@4Q: GAAP and non-GAAP diluted EPS for Q4 2016 reflect the dilutive effect of non-Alphabet equity. GAAP and non-GAAP net income used to calculate diluted EPS for Q4 2016 were $5,297 million and $6,557 million, respectively. </t>
        </r>
      </text>
    </comment>
    <comment ref="CY54" authorId="1" shapeId="0" xr:uid="{00000000-0006-0000-0100-00006A000000}">
      <text>
        <r>
          <rPr>
            <b/>
            <sz val="9"/>
            <color indexed="81"/>
            <rFont val="Tahoma"/>
            <family val="2"/>
          </rPr>
          <t>2Q:</t>
        </r>
        <r>
          <rPr>
            <sz val="9"/>
            <color indexed="81"/>
            <rFont val="Tahoma"/>
            <family val="2"/>
          </rPr>
          <t xml:space="preserve"> adjusting for EC Shopping fine</t>
        </r>
      </text>
    </comment>
    <comment ref="DC54" authorId="1" shapeId="0" xr:uid="{00000000-0006-0000-0100-00006B000000}">
      <text>
        <r>
          <rPr>
            <b/>
            <sz val="9"/>
            <color indexed="81"/>
            <rFont val="Tahoma"/>
            <family val="2"/>
          </rPr>
          <t>Backing out Accrued Performance Fees &amp; Uber settlement of $245M...</t>
        </r>
      </text>
    </comment>
    <comment ref="DD54" authorId="1" shapeId="0" xr:uid="{00000000-0006-0000-0100-00006C000000}">
      <text>
        <r>
          <rPr>
            <b/>
            <sz val="9"/>
            <color indexed="81"/>
            <rFont val="Tahoma"/>
            <family val="2"/>
          </rPr>
          <t>2Q:</t>
        </r>
        <r>
          <rPr>
            <sz val="9"/>
            <color indexed="81"/>
            <rFont val="Tahoma"/>
            <family val="2"/>
          </rPr>
          <t xml:space="preserve"> adjusting for EC Android fine</t>
        </r>
      </text>
    </comment>
    <comment ref="DR55" authorId="1" shapeId="0" xr:uid="{00000000-0006-0000-0100-00006D000000}">
      <text>
        <r>
          <rPr>
            <b/>
            <sz val="9"/>
            <color indexed="81"/>
            <rFont val="Tahoma"/>
            <family val="2"/>
          </rPr>
          <t>@1Q21:</t>
        </r>
        <r>
          <rPr>
            <sz val="9"/>
            <color indexed="81"/>
            <rFont val="Tahoma"/>
            <family val="2"/>
          </rPr>
          <t xml:space="preserve"> In January 2021, we completed an assessment of the useful lives of our servers and network equipment and adjusted the estimated useful life of our servers from three years to four years and the estimated useful life of certain network equipment from three years to five years. This change in accounting estimate was effective beginning in fiscal year 2021 and the effect for the three months ended March 31, 2021, was a reduction in depreciation expense of </t>
        </r>
        <r>
          <rPr>
            <b/>
            <sz val="9"/>
            <color indexed="81"/>
            <rFont val="Tahoma"/>
            <family val="2"/>
          </rPr>
          <t>$835 million</t>
        </r>
        <r>
          <rPr>
            <sz val="9"/>
            <color indexed="81"/>
            <rFont val="Tahoma"/>
            <family val="2"/>
          </rPr>
          <t xml:space="preserve"> and an increase in net income of $650 million, or $0.97 per basic and $0.95 per diluted share.</t>
        </r>
      </text>
    </comment>
    <comment ref="EB55" authorId="1" shapeId="0" xr:uid="{A18FDDB1-EB6A-437B-936B-DB79ECFBDB42}">
      <text>
        <r>
          <rPr>
            <b/>
            <sz val="9"/>
            <color indexed="81"/>
            <rFont val="Tahoma"/>
            <family val="2"/>
          </rPr>
          <t xml:space="preserve">1Q23: </t>
        </r>
        <r>
          <rPr>
            <sz val="9"/>
            <color indexed="81"/>
            <rFont val="Tahoma"/>
            <family val="2"/>
          </rPr>
          <t xml:space="preserve">In January 2023, we completed an assessment of the useful lives of our servers and network equipment and adjusted the estimated useful life of our servers from four years to six years and the estimated useful life of certain network equipment from five years to six years. This change in accounting estimate was effective beginning in fiscal year 2023 and the effect for the three months ended March 31, 2023 was a </t>
        </r>
        <r>
          <rPr>
            <b/>
            <sz val="9"/>
            <color indexed="81"/>
            <rFont val="Tahoma"/>
            <family val="2"/>
          </rPr>
          <t>reduction in depreciation expense of $988 million</t>
        </r>
        <r>
          <rPr>
            <sz val="9"/>
            <color indexed="81"/>
            <rFont val="Tahoma"/>
            <family val="2"/>
          </rPr>
          <t xml:space="preserve"> and an increase in net income of $770 million, or $0.06 per basic and $0.06 per diluted share.</t>
        </r>
      </text>
    </comment>
    <comment ref="ED55" authorId="1" shapeId="0" xr:uid="{558B1D4D-A0BD-4379-9B3C-A6C513BBE2E6}">
      <text>
        <r>
          <rPr>
            <b/>
            <sz val="9"/>
            <color indexed="81"/>
            <rFont val="Tahoma"/>
            <family val="2"/>
          </rPr>
          <t xml:space="preserve">3Q23: </t>
        </r>
        <r>
          <rPr>
            <sz val="9"/>
            <color indexed="81"/>
            <rFont val="Tahoma"/>
            <family val="2"/>
          </rPr>
          <t>Second, we remain focused on optimizing our real estate footprint, including how and where we work to reduce our expense growth. As you can see from our earnings release, we incurred $207 million in accelerated rent and depreciation in the third quarter related to these actions.</t>
        </r>
      </text>
    </comment>
    <comment ref="EF55" authorId="1" shapeId="0" xr:uid="{E54F7D03-1A83-4ED6-A8C8-DF2B9FDF4FC4}">
      <text>
        <r>
          <rPr>
            <b/>
            <sz val="9"/>
            <color indexed="81"/>
            <rFont val="Tahoma"/>
            <family val="2"/>
          </rPr>
          <t>1Q23:</t>
        </r>
        <r>
          <rPr>
            <sz val="9"/>
            <color indexed="81"/>
            <rFont val="Tahoma"/>
            <family val="2"/>
          </rPr>
          <t xml:space="preserve"> In January 2023, we completed an assessment of the useful lives of our servers and network equipment and adjusted the estimated useful life of our servers from four years to six years and the estimated useful life of certain network equipment from five years to six years. This change in accounting estimate was effective beginning in fiscal year 2023 and the effect for the three months ended March 31, 2023 was a reduction in depreciation expense of $988 million and an increase in net income of $770 million, or $0.06 per basic and $0.06 per diluted share.</t>
        </r>
        <r>
          <rPr>
            <b/>
            <sz val="9"/>
            <color indexed="81"/>
            <rFont val="Tahoma"/>
            <family val="2"/>
          </rPr>
          <t xml:space="preserve">
4Q22: </t>
        </r>
        <r>
          <rPr>
            <sz val="9"/>
            <color indexed="81"/>
            <rFont val="Tahoma"/>
            <family val="2"/>
          </rPr>
          <t xml:space="preserve">In January 2023, we completed an assessment of the useful lives of our servers and network equipment, resulting in a change in the estimated useful life of our servers and certain network equipment to six years, which we expect to result in a </t>
        </r>
        <r>
          <rPr>
            <b/>
            <sz val="9"/>
            <color indexed="81"/>
            <rFont val="Tahoma"/>
            <family val="2"/>
          </rPr>
          <t>reduction of depreciation of approximately $3.4 billion for the full fiscal year 2023</t>
        </r>
        <r>
          <rPr>
            <sz val="9"/>
            <color indexed="81"/>
            <rFont val="Tahoma"/>
            <family val="2"/>
          </rPr>
          <t xml:space="preserve"> for assets in service as of December 31, 2022, recorded primarily in cost of revenues and research and development (R&amp;D) expenses.</t>
        </r>
      </text>
    </comment>
    <comment ref="CX64" authorId="1" shapeId="0" xr:uid="{00000000-0006-0000-0100-00006E000000}">
      <text>
        <r>
          <rPr>
            <b/>
            <sz val="9"/>
            <color indexed="81"/>
            <rFont val="Tahoma"/>
            <family val="2"/>
          </rPr>
          <t xml:space="preserve">1Q17: </t>
        </r>
        <r>
          <rPr>
            <sz val="9"/>
            <color indexed="81"/>
            <rFont val="Tahoma"/>
            <family val="2"/>
          </rPr>
          <t>Other cost of revenues on a consolidated basis was $5.2 billion, up 34% year over year, primarily driven by Google-related expenses – specifically, costs associated with operating our data centers, including depreciation, and content acquisition costs, primarily for YouTube, as well as hardware-related costs reflecting the continued strong performance of our new Made by Google product line.</t>
        </r>
      </text>
    </comment>
    <comment ref="DA64" authorId="1" shapeId="0" xr:uid="{00000000-0006-0000-0100-00006F000000}">
      <text>
        <r>
          <rPr>
            <b/>
            <sz val="9"/>
            <color indexed="81"/>
            <rFont val="Tahoma"/>
            <family val="2"/>
          </rPr>
          <t xml:space="preserve">@3Q: </t>
        </r>
        <r>
          <rPr>
            <sz val="9"/>
            <color indexed="81"/>
            <rFont val="Tahoma"/>
            <family val="2"/>
          </rPr>
          <t>In the fourth quarter in particular, the impact of our growing hardware line will be more accentuated given the early stage of this business and holiday seasonality.</t>
        </r>
      </text>
    </comment>
    <comment ref="EI64" authorId="1" shapeId="0" xr:uid="{3BD13A0D-6307-4956-88CE-A4F708C0E107}">
      <text>
        <r>
          <rPr>
            <b/>
            <sz val="9"/>
            <color indexed="81"/>
            <rFont val="Tahoma"/>
            <family val="2"/>
          </rPr>
          <t xml:space="preserve">2Q24: 
</t>
        </r>
        <r>
          <rPr>
            <sz val="9"/>
            <color indexed="81"/>
            <rFont val="Tahoma"/>
            <family val="2"/>
          </rPr>
          <t>Turning to margins. The margin expansion in Q2 versus last year reflects our ongoing efforts to durably reengineer our cost base as well as revenue strength. Our leadership team remains focused on our efforts to moderate the pace of expense growth in order to create capacity for the increases in depreciation and expenses associated with the higher levels of investment in our technical infrastructure. Once again, head count declined quarter-on-quarter, which reflects both actions we have taken in the first half of the year and a much slower pace of hiring.
Looking ahead, we expect a slight increase in head count in the third quarter as we bring on new graduates. As we have discussed previously, we are continuing to invest in top engineering and technical talent, particularly in Cloud and technical infrastructure. Looking forward, we continue to expect to deliver full-year 2024 Alphabet operating margin expansion relative to 2023. However, in the third quarter, operating margins will reflect the impact of both the increases in depreciation and expenses associated with the higher levels of investment in our technical infrastructure, as well as the increase in cost of revenues due to the pull forward of hardware launches into Q3.</t>
        </r>
      </text>
    </comment>
    <comment ref="CV67" authorId="1" shapeId="0" xr:uid="{00000000-0006-0000-0100-000070000000}">
      <text>
        <r>
          <rPr>
            <sz val="9"/>
            <color indexed="81"/>
            <rFont val="Tahoma"/>
            <family val="2"/>
          </rPr>
          <t>@3Q: Stepped up seasonality and even more pronounced due to new hardware launches</t>
        </r>
      </text>
    </comment>
    <comment ref="DA67" authorId="1" shapeId="0" xr:uid="{00000000-0006-0000-0100-000071000000}">
      <text>
        <r>
          <rPr>
            <b/>
            <sz val="9"/>
            <color indexed="81"/>
            <rFont val="Tahoma"/>
            <family val="2"/>
          </rPr>
          <t xml:space="preserve">@3Q: </t>
        </r>
        <r>
          <rPr>
            <sz val="9"/>
            <color indexed="81"/>
            <rFont val="Tahoma"/>
            <family val="2"/>
          </rPr>
          <t>On operating expenses, we remain committed to investing to support our growing product areas. The more modest OpEx growth in Q3 reflects both the timing of stock-based compensation and the timing of sales and marketing spend with the reality that not all investments fall neatly into a single calendar quarter</t>
        </r>
      </text>
    </comment>
    <comment ref="DP67" authorId="1" shapeId="0" xr:uid="{00000000-0006-0000-0100-000072000000}">
      <text>
        <r>
          <rPr>
            <b/>
            <sz val="9"/>
            <color indexed="81"/>
            <rFont val="Tahoma"/>
            <family val="2"/>
          </rPr>
          <t xml:space="preserve">@3Q20: </t>
        </r>
        <r>
          <rPr>
            <sz val="9"/>
            <color indexed="81"/>
            <rFont val="Tahoma"/>
            <family val="2"/>
          </rPr>
          <t>We also saw the impact of steps we took to slow down some categories of marketing spend. In the third quarter sales and marketing expenses declined year-on-year, primarily due to a planned slowdown in ads and promo. We expect a more moderated year-on-year decline in sales and marketing in the fourth quarter as we increase spend sequentially to support product launches and the holiday season.</t>
        </r>
      </text>
    </comment>
    <comment ref="CZ69" authorId="1" shapeId="0" xr:uid="{00000000-0006-0000-0100-000077000000}">
      <text>
        <r>
          <rPr>
            <b/>
            <sz val="9"/>
            <color indexed="81"/>
            <rFont val="Tahoma"/>
            <family val="2"/>
          </rPr>
          <t xml:space="preserve">@3Q: </t>
        </r>
        <r>
          <rPr>
            <sz val="9"/>
            <color indexed="81"/>
            <rFont val="Tahoma"/>
            <family val="2"/>
          </rPr>
          <t>On operating expenses, we remain committed to investing to support our growing product areas. The more modest OpEx growth in Q3 reflects both the timing of stock-based compensation and the timing of sales and marketing spend with the reality that not all investments fall neatly into a single calendar quarter</t>
        </r>
      </text>
    </comment>
    <comment ref="EM74" authorId="1" shapeId="0" xr:uid="{A4637495-6737-4429-9521-3007154E7469}">
      <text>
        <r>
          <rPr>
            <b/>
            <sz val="9"/>
            <color indexed="81"/>
            <rFont val="Tahoma"/>
            <family val="2"/>
          </rPr>
          <t xml:space="preserve">1Q25: </t>
        </r>
        <r>
          <rPr>
            <sz val="9"/>
            <color indexed="81"/>
            <rFont val="Tahoma"/>
            <family val="2"/>
          </rPr>
          <t>Given the increase in CapEx investments over the past few years, we expect the growth rate in depreciation to accelerate throughout 2025.</t>
        </r>
      </text>
    </comment>
    <comment ref="EN74" authorId="1" shapeId="0" xr:uid="{FC0DE9A8-E2F6-4B6B-97FD-C3E4CBE6398F}">
      <text>
        <r>
          <rPr>
            <b/>
            <sz val="9"/>
            <color indexed="81"/>
            <rFont val="Tahoma"/>
            <family val="2"/>
          </rPr>
          <t xml:space="preserve">2Q25: </t>
        </r>
        <r>
          <rPr>
            <sz val="9"/>
            <color indexed="81"/>
            <rFont val="Tahoma"/>
            <family val="2"/>
          </rPr>
          <t>Given the recent increase in CapEx investments, we expect the growth rate and depreciation to accelerate further in Q3.</t>
        </r>
        <r>
          <rPr>
            <b/>
            <sz val="9"/>
            <color indexed="81"/>
            <rFont val="Tahoma"/>
            <family val="2"/>
          </rPr>
          <t xml:space="preserve">
1Q25: </t>
        </r>
        <r>
          <rPr>
            <sz val="9"/>
            <color indexed="81"/>
            <rFont val="Tahoma"/>
            <family val="2"/>
          </rPr>
          <t>Given the increase in CapEx investments over the past few years, we expect the growth rate in depreciation to accelerate throughout 2025.</t>
        </r>
      </text>
    </comment>
    <comment ref="EO74" authorId="1" shapeId="0" xr:uid="{62CF7919-E83A-4C25-9F12-B858B53EB00B}">
      <text>
        <r>
          <rPr>
            <b/>
            <sz val="9"/>
            <color indexed="81"/>
            <rFont val="Tahoma"/>
            <family val="2"/>
          </rPr>
          <t xml:space="preserve">2Q25: </t>
        </r>
        <r>
          <rPr>
            <sz val="9"/>
            <color indexed="81"/>
            <rFont val="Tahoma"/>
            <family val="2"/>
          </rPr>
          <t>Given the recent increase in CapEx investments, we expect the growth rate and depreciation to accelerate further in Q3.</t>
        </r>
        <r>
          <rPr>
            <b/>
            <sz val="9"/>
            <color indexed="81"/>
            <rFont val="Tahoma"/>
            <family val="2"/>
          </rPr>
          <t xml:space="preserve">
1Q25: </t>
        </r>
        <r>
          <rPr>
            <sz val="9"/>
            <color indexed="81"/>
            <rFont val="Tahoma"/>
            <family val="2"/>
          </rPr>
          <t>Given the increase in CapEx investments over the past few years, we expect the growth rate in depreciation to accelerate throughout 2025.</t>
        </r>
      </text>
    </comment>
    <comment ref="EP74" authorId="1" shapeId="0" xr:uid="{738CD7A5-C04A-4279-B221-3AA727C4796A}">
      <text>
        <r>
          <rPr>
            <b/>
            <sz val="9"/>
            <color indexed="81"/>
            <rFont val="Tahoma"/>
            <family val="2"/>
          </rPr>
          <t xml:space="preserve">4Q24: </t>
        </r>
        <r>
          <rPr>
            <sz val="9"/>
            <color indexed="81"/>
            <rFont val="Tahoma"/>
            <family val="2"/>
          </rPr>
          <t>accelerate in 2025</t>
        </r>
      </text>
    </comment>
    <comment ref="CX75" authorId="1" shapeId="0" xr:uid="{00000000-0006-0000-0100-000073000000}">
      <text>
        <r>
          <rPr>
            <b/>
            <sz val="9"/>
            <color indexed="81"/>
            <rFont val="Tahoma"/>
            <family val="2"/>
          </rPr>
          <t>@1Q17:</t>
        </r>
        <r>
          <rPr>
            <sz val="9"/>
            <color indexed="81"/>
            <rFont val="Tahoma"/>
            <family val="2"/>
          </rPr>
          <t xml:space="preserve"> Year-on-year comparisons in part reflect the change in the timing of our annual equity refresh cycle, with a half-year grant in Q1, which enables us to move to a single annual compensation cycle. As discussed last quarter, this affects the timing of stock-based compensation but does not affect the overall size of the SBC expense for the year. The year-on-year increase is therefore more sizable in Q1 and Q2 compared to previous years, with less of a year-on-year impact in both Q3 and Q4. More specifically, stock-based compensation totaled $2 billion, up 34% year over year.</t>
        </r>
      </text>
    </comment>
    <comment ref="CY75" authorId="1" shapeId="0" xr:uid="{00000000-0006-0000-0100-000074000000}">
      <text>
        <r>
          <rPr>
            <b/>
            <sz val="9"/>
            <color indexed="81"/>
            <rFont val="Tahoma"/>
            <family val="2"/>
          </rPr>
          <t>@1Q17:</t>
        </r>
        <r>
          <rPr>
            <sz val="9"/>
            <color indexed="81"/>
            <rFont val="Tahoma"/>
            <family val="2"/>
          </rPr>
          <t xml:space="preserve"> Year-on-year comparisons in part reflect the change in the timing of our annual equity refresh cycle, with a half-year grant in Q1, which enables us to move to a single annual compensation cycle. As discussed last quarter, this affects the timing of stock-based compensation but does not affect the overall size of the SBC expense for the year. The year-on-year increase is therefore more sizable in Q1 and Q2 compared to previous years, with less of a year-on-year impact in both Q3 and Q4. More specifically, stock-based compensation totaled $2 billion, up 34% year over year.</t>
        </r>
      </text>
    </comment>
    <comment ref="CZ75" authorId="1" shapeId="0" xr:uid="{00000000-0006-0000-0100-000075000000}">
      <text>
        <r>
          <rPr>
            <b/>
            <sz val="9"/>
            <color indexed="81"/>
            <rFont val="Tahoma"/>
            <family val="2"/>
          </rPr>
          <t>@1Q17:</t>
        </r>
        <r>
          <rPr>
            <sz val="9"/>
            <color indexed="81"/>
            <rFont val="Tahoma"/>
            <family val="2"/>
          </rPr>
          <t xml:space="preserve"> Year-on-year comparisons in part reflect the change in the timing of our annual equity refresh cycle, with a half-year grant in Q1, which enables us to move to a single annual compensation cycle. As discussed last quarter, this affects the timing of stock-based compensation but does not affect the overall size of the SBC expense for the year. The year-on-year increase is therefore more sizable in Q1 and Q2 compared to previous years, with less of a year-on-year impact in both Q3 and Q4. More specifically, stock-based compensation totaled $2 billion, up 34% year over year.</t>
        </r>
      </text>
    </comment>
    <comment ref="DA75" authorId="1" shapeId="0" xr:uid="{00000000-0006-0000-0100-000076000000}">
      <text>
        <r>
          <rPr>
            <b/>
            <sz val="9"/>
            <color indexed="81"/>
            <rFont val="Tahoma"/>
            <family val="2"/>
          </rPr>
          <t>@1Q17:</t>
        </r>
        <r>
          <rPr>
            <sz val="9"/>
            <color indexed="81"/>
            <rFont val="Tahoma"/>
            <family val="2"/>
          </rPr>
          <t xml:space="preserve"> Year-on-year comparisons in part reflect the change in the timing of our annual equity refresh cycle, with a half-year grant in Q1, which enables us to move to a single annual compensation cycle. As discussed last quarter, this affects the timing of stock-based compensation but does not affect the overall size of the SBC expense for the year. The year-on-year increase is therefore more sizable in Q1 and Q2 compared to previous years, with less of a year-on-year impact in both Q3 and Q4. More specifically, stock-based compensation totaled $2 billion, up 34% year over year.</t>
        </r>
      </text>
    </comment>
    <comment ref="CL106" authorId="1" shapeId="0" xr:uid="{00000000-0006-0000-0100-000078000000}">
      <text>
        <r>
          <rPr>
            <b/>
            <sz val="9"/>
            <color indexed="81"/>
            <rFont val="Tahoma"/>
            <family val="2"/>
          </rPr>
          <t>seasonally higher</t>
        </r>
      </text>
    </comment>
    <comment ref="CQ106" authorId="1" shapeId="0" xr:uid="{00000000-0006-0000-0100-000079000000}">
      <text>
        <r>
          <rPr>
            <b/>
            <sz val="9"/>
            <color indexed="81"/>
            <rFont val="Tahoma"/>
            <family val="2"/>
          </rPr>
          <t>seasonally higher</t>
        </r>
      </text>
    </comment>
    <comment ref="CV106" authorId="1" shapeId="0" xr:uid="{00000000-0006-0000-0100-00007A000000}">
      <text>
        <r>
          <rPr>
            <b/>
            <sz val="9"/>
            <color indexed="81"/>
            <rFont val="Tahoma"/>
            <family val="2"/>
          </rPr>
          <t>seasonally higher</t>
        </r>
      </text>
    </comment>
    <comment ref="DA106" authorId="1" shapeId="0" xr:uid="{00000000-0006-0000-0100-00007B000000}">
      <text>
        <r>
          <rPr>
            <b/>
            <sz val="9"/>
            <color indexed="81"/>
            <rFont val="Tahoma"/>
            <family val="2"/>
          </rPr>
          <t xml:space="preserve">seasonally higher
@3Q: </t>
        </r>
        <r>
          <rPr>
            <sz val="9"/>
            <color indexed="81"/>
            <rFont val="Tahoma"/>
            <family val="2"/>
          </rPr>
          <t>we're committed to sales and marketing investments in Q4 for the important holiday season. The most significant uptick in marketing will be to support our new expanded hardware line, which was just announced at the beginning of the fourth quarter. In addition, we are investing to support YouTube and our other platforms.</t>
        </r>
      </text>
    </comment>
    <comment ref="DF106" authorId="1" shapeId="0" xr:uid="{00000000-0006-0000-0100-00007C000000}">
      <text>
        <r>
          <rPr>
            <b/>
            <sz val="9"/>
            <color indexed="81"/>
            <rFont val="Tahoma"/>
            <family val="2"/>
          </rPr>
          <t xml:space="preserve">@3Q18: </t>
        </r>
        <r>
          <rPr>
            <sz val="9"/>
            <color indexed="81"/>
            <rFont val="Tahoma"/>
            <family val="2"/>
          </rPr>
          <t>As I've mentioned previously regarding sales and marketing, expenses are more heavily weighted toward the back half of the year. As you have seen in prior years, these expenses are particularly elevated in the fourth quarter to support the holiday season.</t>
        </r>
      </text>
    </comment>
    <comment ref="DK106" authorId="1" shapeId="0" xr:uid="{00000000-0006-0000-0100-00007D000000}">
      <text>
        <r>
          <rPr>
            <b/>
            <sz val="9"/>
            <color indexed="81"/>
            <rFont val="Tahoma"/>
            <family val="2"/>
          </rPr>
          <t xml:space="preserve">@3Q18: </t>
        </r>
        <r>
          <rPr>
            <sz val="9"/>
            <color indexed="81"/>
            <rFont val="Tahoma"/>
            <family val="2"/>
          </rPr>
          <t>As I've mentioned previously regarding sales and marketing, expenses are more heavily weighted toward the back half of the year. As you have seen in prior years, these expenses are particularly elevated in the fourth quarter to support the holiday season.</t>
        </r>
      </text>
    </comment>
    <comment ref="DP106" authorId="1" shapeId="0" xr:uid="{00000000-0006-0000-0100-00007E000000}">
      <text>
        <r>
          <rPr>
            <sz val="9"/>
            <color indexed="81"/>
            <rFont val="Tahoma"/>
            <family val="2"/>
          </rPr>
          <t>Sales and marketing expenses are more heavily weighted toward the back half of the year. As you have seen in prior years, these expenses are particularly elevated in the fourth quarter to support the holiday season.</t>
        </r>
      </text>
    </comment>
    <comment ref="DU106" authorId="1" shapeId="0" xr:uid="{00000000-0006-0000-0100-00007F000000}">
      <text>
        <r>
          <rPr>
            <sz val="9"/>
            <color indexed="81"/>
            <rFont val="Tahoma"/>
            <family val="2"/>
          </rPr>
          <t>Sales and marketing expenses are more heavily weighted toward the back half of the year. As you have seen in prior years, these expenses are particularly elevated in the fourth quarter to support the holiday season.</t>
        </r>
      </text>
    </comment>
    <comment ref="DZ106" authorId="1" shapeId="0" xr:uid="{00000000-0006-0000-0100-000080000000}">
      <text>
        <r>
          <rPr>
            <sz val="9"/>
            <color indexed="81"/>
            <rFont val="Tahoma"/>
            <family val="2"/>
          </rPr>
          <t>Sales and marketing expenses are more heavily weighted toward the back half of the year. As you have seen in prior years, these expenses are particularly elevated in the fourth quarter to support the holiday season.</t>
        </r>
      </text>
    </comment>
    <comment ref="EE106" authorId="1" shapeId="0" xr:uid="{9E55DE07-0B29-4DBD-AB54-0B48A7F702E7}">
      <text>
        <r>
          <rPr>
            <sz val="9"/>
            <color indexed="81"/>
            <rFont val="Tahoma"/>
            <family val="2"/>
          </rPr>
          <t>Sales and marketing expenses are more heavily weighted toward the back half of the year. As you have seen in prior years, these expenses are particularly elevated in the fourth quarter to support the holiday season.</t>
        </r>
      </text>
    </comment>
    <comment ref="EJ106" authorId="1" shapeId="0" xr:uid="{739C4123-0A49-4556-96F5-08E2171A63E3}">
      <text>
        <r>
          <rPr>
            <sz val="9"/>
            <color indexed="81"/>
            <rFont val="Tahoma"/>
            <family val="2"/>
          </rPr>
          <t>Sales and marketing expenses are more heavily weighted toward the back half of the year. As you have seen in prior years, these expenses are particularly elevated in the fourth quarter to support the holiday season.</t>
        </r>
      </text>
    </comment>
    <comment ref="EO106" authorId="1" shapeId="0" xr:uid="{1BD50AF8-2B08-4457-AF53-BDB22D806257}">
      <text>
        <r>
          <rPr>
            <sz val="9"/>
            <color indexed="81"/>
            <rFont val="Tahoma"/>
            <family val="2"/>
          </rPr>
          <t>Sales and marketing expenses are more heavily weighted toward the back half of the year. As you have seen in prior years, these expenses are particularly elevated in the fourth quarter to support the holiday season.</t>
        </r>
      </text>
    </comment>
    <comment ref="ET106" authorId="1" shapeId="0" xr:uid="{9377AA0F-DDFE-45DC-B084-5F6AA19E94DC}">
      <text>
        <r>
          <rPr>
            <sz val="9"/>
            <color indexed="81"/>
            <rFont val="Tahoma"/>
            <family val="2"/>
          </rPr>
          <t>Sales and marketing expenses are more heavily weighted toward the back half of the year. As you have seen in prior years, these expenses are particularly elevated in the fourth quarter to support the holiday season.</t>
        </r>
      </text>
    </comment>
    <comment ref="CK108" authorId="1" shapeId="0" xr:uid="{00000000-0006-0000-0100-000081000000}">
      <text>
        <r>
          <rPr>
            <b/>
            <sz val="9"/>
            <color indexed="81"/>
            <rFont val="Tahoma"/>
            <family val="2"/>
          </rPr>
          <t>Stock comp refresh</t>
        </r>
      </text>
    </comment>
    <comment ref="CP108" authorId="1" shapeId="0" xr:uid="{00000000-0006-0000-0100-000082000000}">
      <text>
        <r>
          <rPr>
            <b/>
            <sz val="9"/>
            <color indexed="81"/>
            <rFont val="Tahoma"/>
            <family val="2"/>
          </rPr>
          <t>Stock comp refresh</t>
        </r>
      </text>
    </comment>
    <comment ref="CU108" authorId="1" shapeId="0" xr:uid="{00000000-0006-0000-0100-000083000000}">
      <text>
        <r>
          <rPr>
            <b/>
            <sz val="9"/>
            <color indexed="81"/>
            <rFont val="Tahoma"/>
            <family val="2"/>
          </rPr>
          <t>Stock comp refresh</t>
        </r>
      </text>
    </comment>
    <comment ref="CX108" authorId="1" shapeId="0" xr:uid="{00000000-0006-0000-0100-000084000000}">
      <text>
        <r>
          <rPr>
            <b/>
            <sz val="9"/>
            <color indexed="81"/>
            <rFont val="Tahoma"/>
            <family val="2"/>
          </rPr>
          <t xml:space="preserve">@4Q16: </t>
        </r>
        <r>
          <rPr>
            <sz val="9"/>
            <color indexed="81"/>
            <rFont val="Tahoma"/>
            <family val="2"/>
          </rPr>
          <t>Second, we are shifting the timing of our annual equity refresh cycle for employees to the first quarter of every year. The next full year equity refresh will occur in the first quarter of 2018. Because the last full employee equity refresh occurred in the third quarter of 2016, we are providing employees with a one-time half grant in the first quarter of 2017. Overall, total SBC for 2017 will be roughly the same as it would have been had we maintained a Q3  refresh cycle. However, given the shift in refresh timing, there will not be the historical seasonal increase in SBC in Q3 and Q4. We do not plan any changes to our senior executives equity refresh, which occurs every two years with a next one in plan for 2018.</t>
        </r>
      </text>
    </comment>
    <comment ref="CZ108" authorId="1" shapeId="0" xr:uid="{00000000-0006-0000-0100-000085000000}">
      <text>
        <r>
          <rPr>
            <b/>
            <sz val="9"/>
            <color indexed="81"/>
            <rFont val="Tahoma"/>
            <family val="2"/>
          </rPr>
          <t>@4Q:</t>
        </r>
        <r>
          <rPr>
            <sz val="9"/>
            <color indexed="81"/>
            <rFont val="Tahoma"/>
            <family val="2"/>
          </rPr>
          <t xml:space="preserve"> No 3Q stock comp refresh in 2017, moving to 1Q</t>
        </r>
      </text>
    </comment>
    <comment ref="DC108" authorId="1" shapeId="0" xr:uid="{00000000-0006-0000-0100-000086000000}">
      <text>
        <r>
          <rPr>
            <b/>
            <sz val="9"/>
            <color indexed="81"/>
            <rFont val="Tahoma"/>
            <family val="2"/>
          </rPr>
          <t>@4Q: Annual Equity Refresh</t>
        </r>
      </text>
    </comment>
    <comment ref="DH108" authorId="1" shapeId="0" xr:uid="{00000000-0006-0000-0100-000087000000}">
      <text>
        <r>
          <rPr>
            <b/>
            <sz val="9"/>
            <color indexed="81"/>
            <rFont val="Tahoma"/>
            <family val="2"/>
          </rPr>
          <t>@4Q: Annual Equity Refresh</t>
        </r>
      </text>
    </comment>
    <comment ref="DM108" authorId="1" shapeId="0" xr:uid="{00000000-0006-0000-0100-000088000000}">
      <text>
        <r>
          <rPr>
            <b/>
            <sz val="9"/>
            <color indexed="81"/>
            <rFont val="Tahoma"/>
            <family val="2"/>
          </rPr>
          <t>@4Q: Annual Equity Refresh</t>
        </r>
      </text>
    </comment>
    <comment ref="DR108" authorId="1" shapeId="0" xr:uid="{00000000-0006-0000-0100-000089000000}">
      <text>
        <r>
          <rPr>
            <b/>
            <sz val="9"/>
            <color indexed="81"/>
            <rFont val="Tahoma"/>
            <family val="2"/>
          </rPr>
          <t>@4Q: Annual Equity Refresh</t>
        </r>
      </text>
    </comment>
    <comment ref="DW108" authorId="1" shapeId="0" xr:uid="{00000000-0006-0000-0100-00008A000000}">
      <text>
        <r>
          <rPr>
            <b/>
            <sz val="9"/>
            <color indexed="81"/>
            <rFont val="Tahoma"/>
            <family val="2"/>
          </rPr>
          <t>@4Q: Annual Equity Refresh</t>
        </r>
      </text>
    </comment>
    <comment ref="EB108" authorId="1" shapeId="0" xr:uid="{E6668872-C4D7-445A-BA68-C68B23D8E5A9}">
      <text>
        <r>
          <rPr>
            <b/>
            <sz val="9"/>
            <color indexed="81"/>
            <rFont val="Tahoma"/>
            <family val="2"/>
          </rPr>
          <t>@4Q: Annual Equity Refresh</t>
        </r>
      </text>
    </comment>
    <comment ref="CV114" authorId="1" shapeId="0" xr:uid="{00000000-0006-0000-0100-00008B000000}">
      <text>
        <r>
          <rPr>
            <b/>
            <sz val="9"/>
            <color indexed="81"/>
            <rFont val="Tahoma"/>
            <family val="2"/>
          </rPr>
          <t xml:space="preserve">@4Q: </t>
        </r>
        <r>
          <rPr>
            <sz val="9"/>
            <color indexed="81"/>
            <rFont val="Tahoma"/>
            <family val="2"/>
          </rPr>
          <t>JPM: Would have been 24.3 excl. $320M
Hardware was gross margin positive there were just some other variables in there.</t>
        </r>
      </text>
    </comment>
    <comment ref="DA114" authorId="1" shapeId="0" xr:uid="{00000000-0006-0000-0100-00008C000000}">
      <text>
        <r>
          <rPr>
            <b/>
            <sz val="9"/>
            <color indexed="81"/>
            <rFont val="Tahoma"/>
            <family val="2"/>
          </rPr>
          <t xml:space="preserve">@3Q: </t>
        </r>
        <r>
          <rPr>
            <sz val="9"/>
            <color indexed="81"/>
            <rFont val="Tahoma"/>
            <family val="2"/>
          </rPr>
          <t>In the fourth quarter in particular, the impact of our growing hardware line will be more accentuated given the early stage of this business and holiday seasonality.</t>
        </r>
      </text>
    </comment>
    <comment ref="DM114" authorId="1" shapeId="0" xr:uid="{00000000-0006-0000-0100-00008D000000}">
      <text>
        <r>
          <rPr>
            <b/>
            <sz val="9"/>
            <color indexed="81"/>
            <rFont val="Tahoma"/>
            <family val="2"/>
          </rPr>
          <t xml:space="preserve">@1Q: </t>
        </r>
        <r>
          <rPr>
            <sz val="9"/>
            <color indexed="81"/>
            <rFont val="Tahoma"/>
            <family val="2"/>
          </rPr>
          <t>The biggest factors here again this quarter were costs associated with our data centers and other operations including depreciation and then content acquisition costs primarily for YouTube's advertising supported content followed by content costs for YouTube TV and our paid YouTube Music and Premium subscription services.</t>
        </r>
      </text>
    </comment>
    <comment ref="A117" authorId="1" shapeId="0" xr:uid="{00000000-0006-0000-0100-00008E000000}">
      <text>
        <r>
          <rPr>
            <sz val="9"/>
            <color indexed="81"/>
            <rFont val="Tahoma"/>
            <family val="2"/>
          </rPr>
          <t>R&amp;D expenses consist primarily of: 
*Labor and facilities-related costs for employees responsible for R&amp;D of our existing and new products and services
*Depreciation and equipment-related expenses
*Stock-based compensation expense.</t>
        </r>
      </text>
    </comment>
    <comment ref="A120" authorId="1" shapeId="0" xr:uid="{00000000-0006-0000-0100-00008F000000}">
      <text>
        <r>
          <rPr>
            <sz val="9"/>
            <color indexed="81"/>
            <rFont val="Tahoma"/>
            <family val="2"/>
          </rPr>
          <t>Sales and marketing expenses consist primarily of: 
*Labor and facilities-related costs for our personnel engaged in sales and marketing, sales support, and certain customer service functions
*Advertising and promotional expenditures related to our products and services
*Stock-based compensation expense.</t>
        </r>
      </text>
    </comment>
    <comment ref="CV120" authorId="1" shapeId="0" xr:uid="{00000000-0006-0000-0100-000090000000}">
      <text>
        <r>
          <rPr>
            <sz val="9"/>
            <color indexed="81"/>
            <rFont val="Tahoma"/>
            <family val="2"/>
          </rPr>
          <t>@3Q: Stepped up seasonality and even more pronounced due to new hardware launches</t>
        </r>
      </text>
    </comment>
    <comment ref="A123" authorId="1" shapeId="0" xr:uid="{00000000-0006-0000-0100-000091000000}">
      <text>
        <r>
          <rPr>
            <sz val="9"/>
            <color indexed="81"/>
            <rFont val="Tahoma"/>
            <family val="2"/>
          </rPr>
          <t>General and administrative expenses consist primarily of: 
*Labor and facilities-related costs for personnel in our facilities, finance, human resources, information technology, and legal organizations
*Depreciation and equipment-related expenses
*Professional services fees primarily related to outside legal, audit, information technology consulting, and outsourcing services
*Amortization of certain intangible assets
*Stock-based compensation expense.</t>
        </r>
      </text>
    </comment>
    <comment ref="DA133" authorId="1" shapeId="0" xr:uid="{00000000-0006-0000-0100-000092000000}">
      <text>
        <r>
          <rPr>
            <b/>
            <sz val="9"/>
            <color indexed="81"/>
            <rFont val="Tahoma"/>
            <family val="2"/>
          </rPr>
          <t xml:space="preserve">@4Q17 call: </t>
        </r>
        <r>
          <rPr>
            <sz val="9"/>
            <color indexed="81"/>
            <rFont val="Tahoma"/>
            <family val="2"/>
          </rPr>
          <t xml:space="preserve">Other cost of revenues on a consolidated basis was $7.8 billion, up 34% year-over-year, primarily driven by Google-related expenses, specifically: 
</t>
        </r>
        <r>
          <rPr>
            <b/>
            <sz val="9"/>
            <color indexed="81"/>
            <rFont val="Tahoma"/>
            <family val="2"/>
          </rPr>
          <t>1)</t>
        </r>
        <r>
          <rPr>
            <sz val="9"/>
            <color indexed="81"/>
            <rFont val="Tahoma"/>
            <family val="2"/>
          </rPr>
          <t xml:space="preserve"> costs associated with our data centers and other operations, including depreciation; 
</t>
        </r>
        <r>
          <rPr>
            <b/>
            <sz val="9"/>
            <color indexed="81"/>
            <rFont val="Tahoma"/>
            <family val="2"/>
          </rPr>
          <t>2)</t>
        </r>
        <r>
          <rPr>
            <sz val="9"/>
            <color indexed="81"/>
            <rFont val="Tahoma"/>
            <family val="2"/>
          </rPr>
          <t xml:space="preserve"> Hardware related costs for our expanded Made by Google family of products; and 
</t>
        </r>
        <r>
          <rPr>
            <b/>
            <sz val="9"/>
            <color indexed="81"/>
            <rFont val="Tahoma"/>
            <family val="2"/>
          </rPr>
          <t>3)</t>
        </r>
        <r>
          <rPr>
            <sz val="9"/>
            <color indexed="81"/>
            <rFont val="Tahoma"/>
            <family val="2"/>
          </rPr>
          <t xml:space="preserve"> content-acquisition costs -- primarily for YouTube. </t>
        </r>
      </text>
    </comment>
    <comment ref="DC133" authorId="1" shapeId="0" xr:uid="{00000000-0006-0000-0100-000093000000}">
      <text>
        <r>
          <rPr>
            <b/>
            <sz val="9"/>
            <color indexed="81"/>
            <rFont val="Tahoma"/>
            <family val="2"/>
          </rPr>
          <t xml:space="preserve">@1Q18 call: </t>
        </r>
        <r>
          <rPr>
            <sz val="9"/>
            <color indexed="81"/>
            <rFont val="Tahoma"/>
            <family val="2"/>
          </rPr>
          <t xml:space="preserve">Other Cost of Revenues on a consolidated basis was $7.2 billion, up 39% year-over-year, </t>
        </r>
        <r>
          <rPr>
            <b/>
            <sz val="9"/>
            <color indexed="81"/>
            <rFont val="Tahoma"/>
            <family val="2"/>
          </rPr>
          <t xml:space="preserve">primarily driven by Google-related expenses.
</t>
        </r>
        <r>
          <rPr>
            <sz val="9"/>
            <color indexed="81"/>
            <rFont val="Tahoma"/>
            <family val="2"/>
          </rPr>
          <t xml:space="preserve">The key drivers were: 
</t>
        </r>
        <r>
          <rPr>
            <b/>
            <sz val="9"/>
            <color indexed="81"/>
            <rFont val="Tahoma"/>
            <family val="2"/>
          </rPr>
          <t xml:space="preserve">1) </t>
        </r>
        <r>
          <rPr>
            <sz val="9"/>
            <color indexed="81"/>
            <rFont val="Tahoma"/>
            <family val="2"/>
          </rPr>
          <t xml:space="preserve">first, costs associated with our data centers and other operations, including depreciation, which was affected by a reallocation of certain operating expenses primarily from G&amp;A; 
</t>
        </r>
        <r>
          <rPr>
            <b/>
            <sz val="9"/>
            <color indexed="81"/>
            <rFont val="Tahoma"/>
            <family val="2"/>
          </rPr>
          <t>2)</t>
        </r>
        <r>
          <rPr>
            <sz val="9"/>
            <color indexed="81"/>
            <rFont val="Tahoma"/>
            <family val="2"/>
          </rPr>
          <t xml:space="preserve"> content-acquisition costs, primarily for YouTube; and 
</t>
        </r>
        <r>
          <rPr>
            <b/>
            <sz val="9"/>
            <color indexed="81"/>
            <rFont val="Tahoma"/>
            <family val="2"/>
          </rPr>
          <t>3)</t>
        </r>
        <r>
          <rPr>
            <sz val="9"/>
            <color indexed="81"/>
            <rFont val="Tahoma"/>
            <family val="2"/>
          </rPr>
          <t xml:space="preserve"> finally, Hardware-related costs.</t>
        </r>
      </text>
    </comment>
    <comment ref="DD133" authorId="1" shapeId="0" xr:uid="{00000000-0006-0000-0100-000094000000}">
      <text>
        <r>
          <rPr>
            <b/>
            <sz val="9"/>
            <color indexed="81"/>
            <rFont val="Tahoma"/>
            <family val="2"/>
          </rPr>
          <t xml:space="preserve">@2Q18 call: </t>
        </r>
        <r>
          <rPr>
            <sz val="9"/>
            <color indexed="81"/>
            <rFont val="Tahoma"/>
            <family val="2"/>
          </rPr>
          <t xml:space="preserve">Other Cost of Revenues on a consolidated basis was $7.5 billion, up 41% year-over-year, primarily driven by Google-related expenses. 
</t>
        </r>
        <r>
          <rPr>
            <u/>
            <sz val="9"/>
            <color indexed="81"/>
            <rFont val="Tahoma"/>
            <family val="2"/>
          </rPr>
          <t xml:space="preserve">The key drivers were: </t>
        </r>
        <r>
          <rPr>
            <sz val="9"/>
            <color indexed="81"/>
            <rFont val="Tahoma"/>
            <family val="2"/>
          </rPr>
          <t xml:space="preserve">
</t>
        </r>
        <r>
          <rPr>
            <b/>
            <sz val="9"/>
            <color indexed="81"/>
            <rFont val="Tahoma"/>
            <family val="2"/>
          </rPr>
          <t>1)</t>
        </r>
        <r>
          <rPr>
            <sz val="9"/>
            <color indexed="81"/>
            <rFont val="Tahoma"/>
            <family val="2"/>
          </rPr>
          <t xml:space="preserve"> costs associated with our data centers and other operations, including depreciation, which continued to be affected by a reallocation of certain operating expenses; and 
</t>
        </r>
        <r>
          <rPr>
            <b/>
            <sz val="9"/>
            <color indexed="81"/>
            <rFont val="Tahoma"/>
            <family val="2"/>
          </rPr>
          <t>2)</t>
        </r>
        <r>
          <rPr>
            <sz val="9"/>
            <color indexed="81"/>
            <rFont val="Tahoma"/>
            <family val="2"/>
          </rPr>
          <t xml:space="preserve"> content-acquisition costs - primarily for YouTube; 
</t>
        </r>
        <r>
          <rPr>
            <b/>
            <sz val="9"/>
            <color indexed="81"/>
            <rFont val="Tahoma"/>
            <family val="2"/>
          </rPr>
          <t>3)</t>
        </r>
        <r>
          <rPr>
            <sz val="9"/>
            <color indexed="81"/>
            <rFont val="Tahoma"/>
            <family val="2"/>
          </rPr>
          <t xml:space="preserve"> followed by hardware-related costs.</t>
        </r>
      </text>
    </comment>
    <comment ref="DE133" authorId="1" shapeId="0" xr:uid="{00000000-0006-0000-0100-000095000000}">
      <text>
        <r>
          <rPr>
            <b/>
            <sz val="9"/>
            <color indexed="81"/>
            <rFont val="Tahoma"/>
            <family val="2"/>
          </rPr>
          <t xml:space="preserve">@3Q18 call: </t>
        </r>
        <r>
          <rPr>
            <sz val="9"/>
            <color indexed="81"/>
            <rFont val="Tahoma"/>
            <family val="2"/>
          </rPr>
          <t xml:space="preserve">Other cost of revenues on a consolidated basis was $7.7 billion, up 36% year-over-year, primarily driven by Google-related expenses. 
</t>
        </r>
        <r>
          <rPr>
            <u/>
            <sz val="9"/>
            <color indexed="81"/>
            <rFont val="Tahoma"/>
            <family val="2"/>
          </rPr>
          <t xml:space="preserve">The key drivers were: 
</t>
        </r>
        <r>
          <rPr>
            <b/>
            <sz val="9"/>
            <color indexed="81"/>
            <rFont val="Tahoma"/>
            <family val="2"/>
          </rPr>
          <t xml:space="preserve">1) </t>
        </r>
        <r>
          <rPr>
            <sz val="9"/>
            <color indexed="81"/>
            <rFont val="Tahoma"/>
            <family val="2"/>
          </rPr>
          <t xml:space="preserve">costs associated with our data centers and other operations, including depreciation, which continued to be affected by a reallocation of certain operating expenses; and 
</t>
        </r>
        <r>
          <rPr>
            <b/>
            <sz val="9"/>
            <color indexed="81"/>
            <rFont val="Tahoma"/>
            <family val="2"/>
          </rPr>
          <t>2)</t>
        </r>
        <r>
          <rPr>
            <sz val="9"/>
            <color indexed="81"/>
            <rFont val="Tahoma"/>
            <family val="2"/>
          </rPr>
          <t xml:space="preserve"> content-acquisition costs primarily for YouTube.</t>
        </r>
      </text>
    </comment>
    <comment ref="DC137" authorId="1" shapeId="0" xr:uid="{00000000-0006-0000-0100-000096000000}">
      <text>
        <r>
          <rPr>
            <b/>
            <sz val="9"/>
            <color indexed="81"/>
            <rFont val="Tahoma"/>
            <family val="2"/>
          </rPr>
          <t xml:space="preserve">@1Q18 call: </t>
        </r>
        <r>
          <rPr>
            <sz val="9"/>
            <color indexed="81"/>
            <rFont val="Tahoma"/>
            <family val="2"/>
          </rPr>
          <t>biggest increase in R&amp;D expenses, reflecting our continued investment in technical talent.</t>
        </r>
      </text>
    </comment>
    <comment ref="DD137" authorId="1" shapeId="0" xr:uid="{00000000-0006-0000-0100-000097000000}">
      <text>
        <r>
          <rPr>
            <b/>
            <sz val="9"/>
            <color indexed="81"/>
            <rFont val="Tahoma"/>
            <family val="2"/>
          </rPr>
          <t xml:space="preserve">@2Q18 call: </t>
        </r>
        <r>
          <rPr>
            <sz val="9"/>
            <color indexed="81"/>
            <rFont val="Tahoma"/>
            <family val="2"/>
          </rPr>
          <t>Once again, the biggest increase was in R&amp;D expenses, reflecting our continued investment in technical talent.</t>
        </r>
      </text>
    </comment>
    <comment ref="DE137" authorId="1" shapeId="0" xr:uid="{00000000-0006-0000-0100-000098000000}">
      <text>
        <r>
          <rPr>
            <b/>
            <sz val="9"/>
            <color indexed="81"/>
            <rFont val="Tahoma"/>
            <family val="2"/>
          </rPr>
          <t xml:space="preserve">@3Q18 call: </t>
        </r>
        <r>
          <rPr>
            <sz val="9"/>
            <color indexed="81"/>
            <rFont val="Tahoma"/>
            <family val="2"/>
          </rPr>
          <t>Once again, the biggest increase was in R&amp;D expenses, reflecting our continued investment in technical talent.</t>
        </r>
      </text>
    </comment>
    <comment ref="DA140" authorId="1" shapeId="0" xr:uid="{00000000-0006-0000-0100-000099000000}">
      <text>
        <r>
          <rPr>
            <b/>
            <sz val="9"/>
            <color indexed="81"/>
            <rFont val="Tahoma"/>
            <family val="2"/>
          </rPr>
          <t xml:space="preserve">@4Q17 call: </t>
        </r>
        <r>
          <rPr>
            <sz val="9"/>
            <color indexed="81"/>
            <rFont val="Tahoma"/>
            <family val="2"/>
          </rPr>
          <t>sales and marketing, you know, as I said, it particularly supported hardware but was also supporting Cloud and YouTube. And as both Sundar and I said, these are important Google growth areas for us and we are investing to support growth in the business.
The elevated levels this quarter did reflect both seasonality and, you know, a strategic decision to invest in these brands. And so we view it as a very important part of the overall investment in what we view as very sizable opportunities. And it's both supporting the brand and the momentum, therefore, going into 2018. But, you know, this is a very specific product focus as well.</t>
        </r>
      </text>
    </comment>
    <comment ref="DC140" authorId="1" shapeId="0" xr:uid="{00000000-0006-0000-0100-00009A000000}">
      <text>
        <r>
          <rPr>
            <b/>
            <sz val="9"/>
            <color indexed="81"/>
            <rFont val="Tahoma"/>
            <family val="2"/>
          </rPr>
          <t xml:space="preserve">@1Q18 call: </t>
        </r>
        <r>
          <rPr>
            <sz val="9"/>
            <color indexed="81"/>
            <rFont val="Tahoma"/>
            <family val="2"/>
          </rPr>
          <t>The growth in sales and marketing expenses reflects advertising investments in Cloud and Hardware, as well as the Assistant.</t>
        </r>
      </text>
    </comment>
    <comment ref="DD140" authorId="1" shapeId="0" xr:uid="{00000000-0006-0000-0100-00009B000000}">
      <text>
        <r>
          <rPr>
            <b/>
            <sz val="9"/>
            <color indexed="81"/>
            <rFont val="Tahoma"/>
            <family val="2"/>
          </rPr>
          <t xml:space="preserve">@2Q18 call: </t>
        </r>
        <r>
          <rPr>
            <sz val="9"/>
            <color indexed="81"/>
            <rFont val="Tahoma"/>
            <family val="2"/>
          </rPr>
          <t xml:space="preserve">The growth in Sales and Marketing expenses reflects increases in Sales and Marketing headcount, primarily for Cloud, followed by advertising investments in Cloud and the Assistant.
Another factor to consider in year-on-year comparisons next quarter is the timing of two expense items in Q3 last year. As we called out last year, there was a meaningful benefit in the third quarter of 2017 from the shift in timing of our annual equity refresh and also </t>
        </r>
        <r>
          <rPr>
            <b/>
            <sz val="9"/>
            <color indexed="81"/>
            <rFont val="Tahoma"/>
            <family val="2"/>
          </rPr>
          <t>from the timing of Sales and Marketing spend, which was more heavily weighted to the fourth quarter.</t>
        </r>
      </text>
    </comment>
    <comment ref="DE140" authorId="1" shapeId="0" xr:uid="{00000000-0006-0000-0100-00009C000000}">
      <text>
        <r>
          <rPr>
            <b/>
            <sz val="9"/>
            <color indexed="81"/>
            <rFont val="Tahoma"/>
            <family val="2"/>
          </rPr>
          <t xml:space="preserve">@3Q18 call: </t>
        </r>
        <r>
          <rPr>
            <sz val="9"/>
            <color indexed="81"/>
            <rFont val="Tahoma"/>
            <family val="2"/>
          </rPr>
          <t>The growth in sales and marketing expenses reflects increases in sales and marketing headcount, primarily for Cloud and Ads, followed by advertising investments in Cloud, Chromebooks for the backtoschool season, and the Google Assistant.</t>
        </r>
      </text>
    </comment>
    <comment ref="DC143" authorId="1" shapeId="0" xr:uid="{00000000-0006-0000-0100-00009D000000}">
      <text>
        <r>
          <rPr>
            <b/>
            <sz val="9"/>
            <color indexed="81"/>
            <rFont val="Tahoma"/>
            <family val="2"/>
          </rPr>
          <t xml:space="preserve">@1Q18 call: </t>
        </r>
        <r>
          <rPr>
            <sz val="9"/>
            <color indexed="81"/>
            <rFont val="Tahoma"/>
            <family val="2"/>
          </rPr>
          <t>G&amp;A expense trends were affected this quarter by a number of factors. In particular, performance fees accrued in connection with the recognition of equity security gains, which were partially offset by the reallocation of certain expenses from G&amp;A, primarily to other Cost of Revenues and the benefit of the Uber litigation settlement.</t>
        </r>
      </text>
    </comment>
    <comment ref="DD143" authorId="1" shapeId="0" xr:uid="{00000000-0006-0000-0100-00009E000000}">
      <text>
        <r>
          <rPr>
            <b/>
            <sz val="9"/>
            <color indexed="81"/>
            <rFont val="Tahoma"/>
            <family val="2"/>
          </rPr>
          <t xml:space="preserve">@2Q18 call: </t>
        </r>
        <r>
          <rPr>
            <sz val="9"/>
            <color indexed="81"/>
            <rFont val="Tahoma"/>
            <family val="2"/>
          </rPr>
          <t>G&amp;A expense trends in the second quarter were affected by a number of factors. In particular, performance fees accrued in connection with the recognition of equity security gains, which were again partially offset by the reallocation of certain expenses from G&amp;A primarily to Other Cost of Revenues.</t>
        </r>
      </text>
    </comment>
    <comment ref="DE143" authorId="1" shapeId="0" xr:uid="{00000000-0006-0000-0100-00009F000000}">
      <text>
        <r>
          <rPr>
            <b/>
            <sz val="9"/>
            <color indexed="81"/>
            <rFont val="Tahoma"/>
            <family val="2"/>
          </rPr>
          <t xml:space="preserve">@3Q18 call: </t>
        </r>
        <r>
          <rPr>
            <sz val="9"/>
            <color indexed="81"/>
            <rFont val="Tahoma"/>
            <family val="2"/>
          </rPr>
          <t>G&amp;A expense trends in the third quarter were affected by a number of factors. In particular, the performance fees accrued in connection with recognition of equity security gains, which were again partially offset by the reallocation of certain expenses from G&amp;A primarily to other cost of revenues.</t>
        </r>
      </text>
    </comment>
    <comment ref="CW146" authorId="1" shapeId="0" xr:uid="{00000000-0006-0000-0100-0000A0000000}">
      <text>
        <r>
          <rPr>
            <b/>
            <sz val="9"/>
            <color indexed="81"/>
            <rFont val="Tahoma"/>
            <family val="2"/>
          </rPr>
          <t>SVP bi-annual refresh</t>
        </r>
      </text>
    </comment>
    <comment ref="DC146" authorId="1" shapeId="0" xr:uid="{00000000-0006-0000-0100-0000A1000000}">
      <text>
        <r>
          <rPr>
            <b/>
            <sz val="9"/>
            <color indexed="81"/>
            <rFont val="Tahoma"/>
            <family val="2"/>
          </rPr>
          <t xml:space="preserve">@1Q18 call: </t>
        </r>
        <r>
          <rPr>
            <sz val="9"/>
            <color indexed="81"/>
            <rFont val="Tahoma"/>
            <family val="2"/>
          </rPr>
          <t>Stock-based-compensation totaled $2.5 billion. The quarter-on-quarter step-up reflects the full-year equity refresh grant to employees at the beginning of the quarter and the bi-annual grant to SVPs.</t>
        </r>
      </text>
    </comment>
    <comment ref="DG146" authorId="1" shapeId="0" xr:uid="{00000000-0006-0000-0100-0000A2000000}">
      <text>
        <r>
          <rPr>
            <b/>
            <sz val="9"/>
            <color indexed="81"/>
            <rFont val="Tahoma"/>
            <family val="2"/>
          </rPr>
          <t>SVP bi-annual refresh</t>
        </r>
      </text>
    </comment>
    <comment ref="EA146" authorId="1" shapeId="0" xr:uid="{00000000-0006-0000-0100-0000A3000000}">
      <text>
        <r>
          <rPr>
            <b/>
            <sz val="9"/>
            <color indexed="81"/>
            <rFont val="Tahoma"/>
            <family val="2"/>
          </rPr>
          <t>SVP bi-annual refresh</t>
        </r>
      </text>
    </comment>
    <comment ref="EK146" authorId="1" shapeId="0" xr:uid="{00000000-0006-0000-0100-0000A4000000}">
      <text>
        <r>
          <rPr>
            <b/>
            <sz val="9"/>
            <color indexed="81"/>
            <rFont val="Tahoma"/>
            <family val="2"/>
          </rPr>
          <t>SVP bi-annual refresh</t>
        </r>
      </text>
    </comment>
    <comment ref="EU146" authorId="1" shapeId="0" xr:uid="{00000000-0006-0000-0100-0000A6000000}">
      <text>
        <r>
          <rPr>
            <b/>
            <sz val="9"/>
            <color indexed="81"/>
            <rFont val="Tahoma"/>
            <family val="2"/>
          </rPr>
          <t>SVP bi-annual refresh</t>
        </r>
      </text>
    </comment>
    <comment ref="EW146" authorId="1" shapeId="0" xr:uid="{A96DFD5B-AF33-4A7B-9F40-E7DE919C84C0}">
      <text>
        <r>
          <rPr>
            <b/>
            <sz val="9"/>
            <color indexed="81"/>
            <rFont val="Tahoma"/>
            <family val="2"/>
          </rPr>
          <t>SVP bi-annual refresh</t>
        </r>
      </text>
    </comment>
    <comment ref="EY146" authorId="1" shapeId="0" xr:uid="{35F73907-8156-4612-949A-5FA512465C53}">
      <text>
        <r>
          <rPr>
            <b/>
            <sz val="9"/>
            <color indexed="81"/>
            <rFont val="Tahoma"/>
            <family val="2"/>
          </rPr>
          <t>SVP bi-annual refresh</t>
        </r>
      </text>
    </comment>
    <comment ref="CV157" authorId="1" shapeId="0" xr:uid="{00000000-0006-0000-0100-0000A8000000}">
      <text>
        <r>
          <rPr>
            <b/>
            <sz val="9"/>
            <color indexed="81"/>
            <rFont val="Tahoma"/>
            <family val="2"/>
          </rPr>
          <t>@4Q:</t>
        </r>
        <r>
          <rPr>
            <sz val="9"/>
            <color indexed="81"/>
            <rFont val="Tahoma"/>
            <family val="2"/>
          </rPr>
          <t xml:space="preserve"> JPM - would have been 41.5% w/o $320M</t>
        </r>
      </text>
    </comment>
    <comment ref="CV161" authorId="1" shapeId="0" xr:uid="{00000000-0006-0000-0100-0000A9000000}">
      <text>
        <r>
          <rPr>
            <b/>
            <sz val="9"/>
            <color indexed="81"/>
            <rFont val="Tahoma"/>
            <family val="2"/>
          </rPr>
          <t xml:space="preserve">@4Q: JPM - </t>
        </r>
        <r>
          <rPr>
            <sz val="9"/>
            <color indexed="81"/>
            <rFont val="Tahoma"/>
            <family val="2"/>
          </rPr>
          <t>Margin would have been 49.5% w/o #320M</t>
        </r>
      </text>
    </comment>
    <comment ref="DE169" authorId="1" shapeId="0" xr:uid="{00000000-0006-0000-0100-0000AA000000}">
      <text>
        <r>
          <rPr>
            <b/>
            <sz val="9"/>
            <color indexed="81"/>
            <rFont val="Tahoma"/>
            <family val="2"/>
          </rPr>
          <t xml:space="preserve">@2Q: </t>
        </r>
        <r>
          <rPr>
            <sz val="9"/>
            <color indexed="81"/>
            <rFont val="Tahoma"/>
            <family val="2"/>
          </rPr>
          <t>Within Opex, we continue to take a disciplined approach to setting priorities as we invest for long term growth. The majority of our headcount growth continues to be in technical roles in engineering and product management. In terms of business areas, the largest number of headcount additions were in our Cloud business, with hires for engineering, sales and marketing. As a reminder, headcount additions tend to be seasonally higher in Q3 because that is when we bring on new graduates. As I mentioned last quarter, regarding Sales and Marketing, we continue to expect expenses to be more heavily weighted toward the back half of the year to support the holiday season. Another factor to consider in year-on-year comparisons next quarter is the timing of two expense items in Q3 last year. As we called out last year, there was a meaningful benefit in the third quarter of 2017 from the shift  n timing of our annual equity refresh and also from the timing of Sales and Marketing spend, which was more heavily weighted to the fourth quarter.</t>
        </r>
      </text>
    </comment>
    <comment ref="DJ169" authorId="1" shapeId="0" xr:uid="{00000000-0006-0000-0100-0000AB000000}">
      <text>
        <r>
          <rPr>
            <b/>
            <sz val="9"/>
            <color indexed="81"/>
            <rFont val="Tahoma"/>
            <family val="2"/>
          </rPr>
          <t xml:space="preserve">@2Q: </t>
        </r>
        <r>
          <rPr>
            <sz val="9"/>
            <color indexed="81"/>
            <rFont val="Tahoma"/>
            <family val="2"/>
          </rPr>
          <t>Within Opex, we continue to take a disciplined approach to setting priorities as we invest for long term growth. The majority of our headcount growth continues to be in technical roles in engineering and product management. In terms of business areas, the largest number of headcount additions were in our Cloud business, with hires for engineering, sales and marketing. As a reminder, headcount additions tend to be seasonally higher in Q3 because that is when we bring on new graduates. As I mentioned last quarter, regarding Sales and Marketing, we continue to expect expenses to be more heavily weighted toward the back half of the year to support the holiday season. Another factor to consider in year-on-year comparisons next quarter is the timing of two expense items in Q3 last year. As we called out last year, there was a meaningful benefit in the third quarter of 2017 from the shift  n timing of our annual equity refresh and also from the timing of Sales and Marketing spend, which was more heavily weighted to the fourth quarter.</t>
        </r>
      </text>
    </comment>
    <comment ref="DO169" authorId="1" shapeId="0" xr:uid="{00000000-0006-0000-0100-0000AC000000}">
      <text>
        <r>
          <rPr>
            <b/>
            <sz val="9"/>
            <color indexed="81"/>
            <rFont val="Tahoma"/>
            <family val="2"/>
          </rPr>
          <t xml:space="preserve">@2Q: </t>
        </r>
        <r>
          <rPr>
            <sz val="9"/>
            <color indexed="81"/>
            <rFont val="Tahoma"/>
            <family val="2"/>
          </rPr>
          <t>Within Opex, we continue to take a disciplined approach to setting priorities as we invest for long term growth. The majority of our headcount growth continues to be in technical roles in engineering and product management. In terms of business areas, the largest number of headcount additions were in our Cloud business, with hires for engineering, sales and marketing. As a reminder, headcount additions tend to be seasonally higher in Q3 because that is when we bring on new graduates. As I mentioned last quarter, regarding Sales and Marketing, we continue to expect expenses to be more heavily weighted toward the back half of the year to support the holiday season. Another factor to consider in year-on-year comparisons next quarter is the timing of two expense items in Q3 last year. As we called out last year, there was a meaningful benefit in the third quarter of 2017 from the shift  n timing of our annual equity refresh and also from the timing of Sales and Marketing spend, which was more heavily weighted to the fourth quarter.</t>
        </r>
      </text>
    </comment>
    <comment ref="EI169" authorId="1" shapeId="0" xr:uid="{963DE3ED-5E07-4C1A-97CA-362EE93155D0}">
      <text>
        <r>
          <rPr>
            <b/>
            <sz val="9"/>
            <color indexed="81"/>
            <rFont val="Tahoma"/>
            <family val="2"/>
          </rPr>
          <t xml:space="preserve">2Q24: 
</t>
        </r>
        <r>
          <rPr>
            <sz val="9"/>
            <color indexed="81"/>
            <rFont val="Tahoma"/>
            <family val="2"/>
          </rPr>
          <t>Turning to margins. The margin expansion in Q2 versus last year reflects our ongoing efforts to durably reengineer our cost base as well as revenue strength. Our leadership team remains focused on our efforts to moderate the pace of expense growth in order to create capacity for the increases in depreciation and expenses associated with the higher levels of investment in our technical infrastructure. Once again, head count declined quarter-on-quarter, which reflects both actions we have taken in the first half of the year and a much slower pace of hiring.
Looking ahead, we expect a slight increase in head count in the third quarter as we bring on new graduates. As we have discussed previously, we are continuing to invest in top engineering and technical talent, particularly in Cloud and technical infrastructure. Looking forward, we continue to expect to deliver full-year 2024 Alphabet operating margin expansion relative to 2023. However, in the third quarter, operating margins will reflect the impact of both the increases in depreciation and expenses associated with the higher levels of investment in our technical infrastructure, as well as the increase in cost of revenues due to the pull forward of hardware launches into Q3.</t>
        </r>
      </text>
    </comment>
    <comment ref="EK169" authorId="1" shapeId="0" xr:uid="{822746ED-1EC9-4C8D-B7B7-E6922A46664C}">
      <text>
        <r>
          <rPr>
            <b/>
            <sz val="9"/>
            <color indexed="81"/>
            <rFont val="Tahoma"/>
            <family val="2"/>
          </rPr>
          <t xml:space="preserve">1Q24: </t>
        </r>
        <r>
          <rPr>
            <sz val="9"/>
            <color indexed="81"/>
            <rFont val="Tahoma"/>
            <family val="2"/>
          </rPr>
          <t>As we have discussed previously, we are continuing to invest in top engineering and technical talent, particularly in Cloud, Google DeepMind and technical infrastructure. Looking ahead we remain focused on our efforts to moderate the pace of expense growth in order to create capacity for the increases in depreciation and expenses associated with the higher levels of investment in our technical infrastructure.
We believe these efforts will enable us to deliver full year 2024 Alphabet operating margin expansion relative to 2023.</t>
        </r>
      </text>
    </comment>
    <comment ref="A172" authorId="1" shapeId="0" xr:uid="{00000000-0006-0000-0100-0000AD000000}">
      <text>
        <r>
          <rPr>
            <b/>
            <sz val="9"/>
            <color indexed="81"/>
            <rFont val="Tahoma"/>
            <family val="2"/>
          </rPr>
          <t xml:space="preserve">@2Q18: </t>
        </r>
        <r>
          <rPr>
            <sz val="9"/>
            <color indexed="81"/>
            <rFont val="Tahoma"/>
            <family val="2"/>
          </rPr>
          <t>Excludes EC Fine only...</t>
        </r>
      </text>
    </comment>
    <comment ref="CV175" authorId="1" shapeId="0" xr:uid="{00000000-0006-0000-0100-0000AE000000}">
      <text>
        <r>
          <rPr>
            <sz val="9"/>
            <color indexed="81"/>
            <rFont val="Tahoma"/>
            <family val="2"/>
          </rPr>
          <t>@4Q: JPM Margin would have been 33.8% w/o $320M</t>
        </r>
      </text>
    </comment>
    <comment ref="CV179" authorId="1" shapeId="0" xr:uid="{00000000-0006-0000-0100-0000AF000000}">
      <text>
        <r>
          <rPr>
            <sz val="9"/>
            <color indexed="81"/>
            <rFont val="Tahoma"/>
            <family val="2"/>
          </rPr>
          <t>@4Q: JPM - Margin would have been 40.3% w/o $320M</t>
        </r>
      </text>
    </comment>
    <comment ref="A192" authorId="1" shapeId="0" xr:uid="{00000000-0006-0000-0100-0000B0000000}">
      <text>
        <r>
          <rPr>
            <b/>
            <sz val="9"/>
            <color indexed="81"/>
            <rFont val="Tahoma"/>
            <family val="2"/>
          </rPr>
          <t>'15 10-K:</t>
        </r>
        <r>
          <rPr>
            <sz val="9"/>
            <color indexed="81"/>
            <rFont val="Tahoma"/>
            <family val="2"/>
          </rPr>
          <t xml:space="preserve"> The costs of our foreign exchange hedging activities recognized to other income, net, are primarily a function of the notional amount of the option and forward contracts and their related duration, the movement of the foreign exchange rates relative to the strike prices of the contracts, and the volatility of foreign exchange rates.
</t>
        </r>
      </text>
    </comment>
    <comment ref="A194" authorId="1" shapeId="0" xr:uid="{00000000-0006-0000-0100-0000B1000000}">
      <text>
        <r>
          <rPr>
            <sz val="9"/>
            <color indexed="81"/>
            <rFont val="Tahoma"/>
            <family val="2"/>
          </rPr>
          <t>Previously "Gain (loss) on marketable securities, net"</t>
        </r>
      </text>
    </comment>
    <comment ref="CX194" authorId="1" shapeId="0" xr:uid="{00000000-0006-0000-0100-0000B2000000}">
      <text>
        <r>
          <rPr>
            <b/>
            <sz val="9"/>
            <color indexed="81"/>
            <rFont val="Tahoma"/>
            <family val="2"/>
          </rPr>
          <t>Restated for equity recognition change</t>
        </r>
      </text>
    </comment>
    <comment ref="A196" authorId="1" shapeId="0" xr:uid="{00000000-0006-0000-0100-0000B3000000}">
      <text>
        <r>
          <rPr>
            <sz val="9"/>
            <color indexed="81"/>
            <rFont val="Tahoma"/>
            <family val="2"/>
          </rPr>
          <t>Previously "Loss on non-marketable investments, net"</t>
        </r>
      </text>
    </comment>
    <comment ref="A221" authorId="1" shapeId="0" xr:uid="{00000000-0006-0000-0100-0000B4000000}">
      <text>
        <r>
          <rPr>
            <b/>
            <sz val="9"/>
            <color indexed="81"/>
            <rFont val="Tahoma"/>
            <family val="2"/>
          </rPr>
          <t xml:space="preserve">@1Q18 call: </t>
        </r>
        <r>
          <rPr>
            <sz val="9"/>
            <color indexed="81"/>
            <rFont val="Tahoma"/>
            <family val="2"/>
          </rPr>
          <t>performance fees are calculated based on investment returns</t>
        </r>
      </text>
    </comment>
    <comment ref="DC221" authorId="1" shapeId="0" xr:uid="{00000000-0006-0000-0100-0000B5000000}">
      <text>
        <r>
          <rPr>
            <b/>
            <sz val="9"/>
            <color indexed="81"/>
            <rFont val="Tahoma"/>
            <family val="2"/>
          </rPr>
          <t xml:space="preserve">@1Q18 call: </t>
        </r>
        <r>
          <rPr>
            <sz val="9"/>
            <color indexed="81"/>
            <rFont val="Tahoma"/>
            <family val="2"/>
          </rPr>
          <t>performance fees are calculated based on investment returns</t>
        </r>
      </text>
    </comment>
    <comment ref="EL231" authorId="1" shapeId="0" xr:uid="{5E9AB119-B6F5-447F-8482-1E11BA741557}">
      <text>
        <r>
          <rPr>
            <b/>
            <sz val="9"/>
            <color indexed="81"/>
            <rFont val="Tahoma"/>
            <family val="2"/>
          </rPr>
          <t xml:space="preserve">1Q25: </t>
        </r>
        <r>
          <rPr>
            <sz val="9"/>
            <color indexed="81"/>
            <rFont val="Tahoma"/>
            <family val="2"/>
          </rPr>
          <t xml:space="preserve">Includes all gains and losses, unrealized and realized, on equity securities. For Q1 2025, the net effect of the gain on equity
securities of $9.8 billion and the performance fees related to certain investments of $40 million increased the provision for
income tax, net income, and diluted net income per share by </t>
        </r>
        <r>
          <rPr>
            <b/>
            <sz val="9"/>
            <color indexed="81"/>
            <rFont val="Tahoma"/>
            <family val="2"/>
          </rPr>
          <t>$2.0 billion, $7.7 billion, and $0.62</t>
        </r>
        <r>
          <rPr>
            <sz val="9"/>
            <color indexed="81"/>
            <rFont val="Tahoma"/>
            <family val="2"/>
          </rPr>
          <t>, respectively. Fluctuations
in the value of our investments may be affected by market dynamics and other factors and could significantly contribute to
the volatility of OI&amp;E in future periods.</t>
        </r>
      </text>
    </comment>
    <comment ref="EN231" authorId="1" shapeId="0" xr:uid="{2E0C7904-DBD4-4269-9A8E-9D2F1045A20B}">
      <text>
        <r>
          <rPr>
            <b/>
            <sz val="9"/>
            <color indexed="81"/>
            <rFont val="Tahoma"/>
            <family val="2"/>
          </rPr>
          <t>JPMe: solving for $0.68...
3Q25:</t>
        </r>
        <r>
          <rPr>
            <sz val="9"/>
            <color indexed="81"/>
            <rFont val="Tahoma"/>
            <family val="2"/>
          </rPr>
          <t xml:space="preserve"> Includes all gains and losses, unrealized and realized, on equity securities. For Q3 2025, the net effect of the gain on equity securities of $10.7 billion and the performance fees related to certain investments of $174 million increased the provision for income tax, net income, and diluted net income per share by </t>
        </r>
        <r>
          <rPr>
            <b/>
            <sz val="9"/>
            <color indexed="81"/>
            <rFont val="Tahoma"/>
            <family val="2"/>
          </rPr>
          <t>$2.2 billion</t>
        </r>
        <r>
          <rPr>
            <sz val="9"/>
            <color indexed="81"/>
            <rFont val="Tahoma"/>
            <family val="2"/>
          </rPr>
          <t xml:space="preserve">, $8.3 billion, and </t>
        </r>
        <r>
          <rPr>
            <b/>
            <sz val="9"/>
            <color indexed="81"/>
            <rFont val="Tahoma"/>
            <family val="2"/>
          </rPr>
          <t>$0.68</t>
        </r>
        <r>
          <rPr>
            <sz val="9"/>
            <color indexed="81"/>
            <rFont val="Tahoma"/>
            <family val="2"/>
          </rPr>
          <t>, respectively. Fluctuations in the value of our investments may be affected by market dynamics and other factors and could significantly contribute to the volatility of OI&amp;E in future periods.</t>
        </r>
      </text>
    </comment>
    <comment ref="EL238" authorId="1" shapeId="0" xr:uid="{BD3B7DBA-2378-4366-9453-3B7A24F39BA1}">
      <text>
        <r>
          <rPr>
            <b/>
            <sz val="9"/>
            <color indexed="81"/>
            <rFont val="Tahoma"/>
            <family val="2"/>
          </rPr>
          <t xml:space="preserve">1Q25: </t>
        </r>
        <r>
          <rPr>
            <sz val="9"/>
            <color indexed="81"/>
            <rFont val="Tahoma"/>
            <family val="2"/>
          </rPr>
          <t xml:space="preserve">Includes all gains and losses, unrealized and realized, on equity securities. For Q1 2025, the net effect of the gain on equity
securities of $9.8 billion and the performance fees related to certain investments of $40 million increased the provision for
income tax, net income, and diluted net income per share by </t>
        </r>
        <r>
          <rPr>
            <b/>
            <sz val="9"/>
            <color indexed="81"/>
            <rFont val="Tahoma"/>
            <family val="2"/>
          </rPr>
          <t>$2.0 billion, $7.7 billion, and $0.62</t>
        </r>
        <r>
          <rPr>
            <sz val="9"/>
            <color indexed="81"/>
            <rFont val="Tahoma"/>
            <family val="2"/>
          </rPr>
          <t>, respectively. Fluctuations
in the value of our investments may be affected by market dynamics and other factors and could significantly contribute to
the volatility of OI&amp;E in future periods.</t>
        </r>
      </text>
    </comment>
    <comment ref="EL240" authorId="1" shapeId="0" xr:uid="{5975336F-3BF7-4BB0-AAFE-28420632526E}">
      <text>
        <r>
          <rPr>
            <b/>
            <sz val="9"/>
            <color indexed="81"/>
            <rFont val="Tahoma"/>
            <family val="2"/>
          </rPr>
          <t xml:space="preserve">1Q25: </t>
        </r>
        <r>
          <rPr>
            <sz val="9"/>
            <color indexed="81"/>
            <rFont val="Tahoma"/>
            <family val="2"/>
          </rPr>
          <t xml:space="preserve">Includes all gains and losses, unrealized and realized, on equity securities. For Q1 2025, the net effect of the gain on equity
securities of $9.8 billion and the performance fees related to certain investments of $40 million increased the provision for
income tax, net income, and diluted net income per share by </t>
        </r>
        <r>
          <rPr>
            <b/>
            <sz val="9"/>
            <color indexed="81"/>
            <rFont val="Tahoma"/>
            <family val="2"/>
          </rPr>
          <t>$2.0 billion, $7.7 billion, and $0.62</t>
        </r>
        <r>
          <rPr>
            <sz val="9"/>
            <color indexed="81"/>
            <rFont val="Tahoma"/>
            <family val="2"/>
          </rPr>
          <t>, respectively. Fluctuations
in the value of our investments may be affected by market dynamics and other factors and could significantly contribute to
the volatility of OI&amp;E in future periods.</t>
        </r>
      </text>
    </comment>
    <comment ref="EN240" authorId="1" shapeId="0" xr:uid="{F2ED68B1-DD49-4E05-A1F5-4FEC55F6B936}">
      <text>
        <r>
          <rPr>
            <b/>
            <sz val="9"/>
            <color indexed="81"/>
            <rFont val="Tahoma"/>
            <family val="2"/>
          </rPr>
          <t>3Q25:</t>
        </r>
        <r>
          <rPr>
            <sz val="9"/>
            <color indexed="81"/>
            <rFont val="Tahoma"/>
            <family val="2"/>
          </rPr>
          <t xml:space="preserve"> Includes all gains and losses, unrealized and realized, on equity securities. For Q3 2025, the net effect of the gain on equity securities of $10.7 billion and the performance fees related to certain investments of $174 million increased the provision for income tax, net income, and diluted net income per share by </t>
        </r>
        <r>
          <rPr>
            <b/>
            <sz val="9"/>
            <color indexed="81"/>
            <rFont val="Tahoma"/>
            <family val="2"/>
          </rPr>
          <t>$2.2 billion</t>
        </r>
        <r>
          <rPr>
            <sz val="9"/>
            <color indexed="81"/>
            <rFont val="Tahoma"/>
            <family val="2"/>
          </rPr>
          <t xml:space="preserve">, $8.3 billion, and </t>
        </r>
        <r>
          <rPr>
            <b/>
            <sz val="9"/>
            <color indexed="81"/>
            <rFont val="Tahoma"/>
            <family val="2"/>
          </rPr>
          <t>$0.68</t>
        </r>
        <r>
          <rPr>
            <sz val="9"/>
            <color indexed="81"/>
            <rFont val="Tahoma"/>
            <family val="2"/>
          </rPr>
          <t>, respectively. Fluctuations in the value of our investments may be affected by market dynamics and other factors and could significantly contribute to the volatility of OI&amp;E in future periods.</t>
        </r>
      </text>
    </comment>
    <comment ref="EJ258" authorId="1" shapeId="0" xr:uid="{CF748377-B5A1-4434-9097-ECCA73F7E3AF}">
      <text>
        <r>
          <rPr>
            <b/>
            <sz val="9"/>
            <color indexed="81"/>
            <rFont val="Tahoma"/>
            <family val="2"/>
          </rPr>
          <t xml:space="preserve">2024 10K: </t>
        </r>
        <r>
          <rPr>
            <sz val="9"/>
            <color indexed="81"/>
            <rFont val="Tahoma"/>
            <family val="2"/>
          </rPr>
          <t>Office space charges, including accelerated rent and accelerated depreciation, for the year ended December 31, 2024 were $796 million, a decrease of $1.3 billion as compared to the year ended December 31, 2023.</t>
        </r>
      </text>
    </comment>
    <comment ref="DV261" authorId="1" shapeId="0" xr:uid="{ACF1C7BA-E7B5-45E1-AC75-01E65F6C9475}">
      <text>
        <r>
          <rPr>
            <b/>
            <sz val="9"/>
            <color indexed="81"/>
            <rFont val="Tahoma"/>
            <family val="2"/>
          </rPr>
          <t xml:space="preserve">2021 10K
</t>
        </r>
        <r>
          <rPr>
            <sz val="9"/>
            <color indexed="81"/>
            <rFont val="Tahoma"/>
            <family val="2"/>
          </rPr>
          <t>In January 2021, we completed an assessment of the useful lives of our servers and network equipment and adjusted the estimated useful life of our servers from three years to four years and the estimated useful life of certain network equipment from three years to five years. This change in accounting estimate was effective beginning in fiscal year 2021. Based on the carrying value of servers and certain network equipment as of December 31, 2020 and those acquired during the year ended December 31, 2021, the effect of this change in estimate was a reduction in depreciation expense of $2.6 billion and an increase in net income of $2.0 billion, or $3.02 per basic share and $2.98 per diluted share, for the year ended December 31, 2021.</t>
        </r>
      </text>
    </comment>
    <comment ref="DH264" authorId="1" shapeId="0" xr:uid="{C70B5E7D-ACCF-4B71-8BB4-EC10F05A5286}">
      <text>
        <r>
          <rPr>
            <b/>
            <sz val="9"/>
            <color indexed="81"/>
            <rFont val="Tahoma"/>
            <family val="2"/>
          </rPr>
          <t>EC AdSense fine</t>
        </r>
      </text>
    </comment>
    <comment ref="DJ265" authorId="1" shapeId="0" xr:uid="{E78972EC-8E57-4E07-8E61-1A9E4D380071}">
      <text>
        <r>
          <rPr>
            <b/>
            <sz val="9"/>
            <color indexed="81"/>
            <rFont val="Tahoma"/>
            <family val="2"/>
          </rPr>
          <t xml:space="preserve">@3Q19 PR: </t>
        </r>
        <r>
          <rPr>
            <sz val="9"/>
            <color indexed="81"/>
            <rFont val="Tahoma"/>
            <family val="2"/>
          </rPr>
          <t>Reconciling items for the three months ended September 30, 2019 include a $554 million 
charge from a legal settlement</t>
        </r>
      </text>
    </comment>
    <comment ref="DR265" authorId="1" shapeId="0" xr:uid="{BF129AF9-77C5-4F56-919A-C29858F26F2C}">
      <text>
        <r>
          <rPr>
            <b/>
            <sz val="9"/>
            <color indexed="81"/>
            <rFont val="Tahoma"/>
            <family val="2"/>
          </rPr>
          <t xml:space="preserve">1Q21 10Q
</t>
        </r>
        <r>
          <rPr>
            <sz val="9"/>
            <color indexed="81"/>
            <rFont val="Tahoma"/>
            <family val="2"/>
          </rPr>
          <t>$236 million in charges relating to certain legal
matters</t>
        </r>
      </text>
    </comment>
    <comment ref="DS265" authorId="1" shapeId="0" xr:uid="{C461D6D8-0AF9-446F-8698-AAB9847ED91D}">
      <text>
        <r>
          <rPr>
            <b/>
            <sz val="9"/>
            <color indexed="81"/>
            <rFont val="Tahoma"/>
            <family val="2"/>
          </rPr>
          <t xml:space="preserve">2Q21 10Q
</t>
        </r>
        <r>
          <rPr>
            <sz val="9"/>
            <color indexed="81"/>
            <rFont val="Tahoma"/>
            <family val="2"/>
          </rPr>
          <t>$796 million increase in charges relating to legal matters</t>
        </r>
      </text>
    </comment>
    <comment ref="DT265" authorId="1" shapeId="0" xr:uid="{05B564FF-058C-46CC-955F-62E4E3AD71E0}">
      <text>
        <r>
          <rPr>
            <b/>
            <sz val="9"/>
            <color indexed="81"/>
            <rFont val="Tahoma"/>
            <family val="2"/>
          </rPr>
          <t xml:space="preserve">3Q21 10Q
</t>
        </r>
        <r>
          <rPr>
            <sz val="9"/>
            <color indexed="81"/>
            <rFont val="Tahoma"/>
            <family val="2"/>
          </rPr>
          <t>$314 million increase in charges related to legal matters</t>
        </r>
      </text>
    </comment>
    <comment ref="DV265" authorId="1" shapeId="0" xr:uid="{11F915D4-ECDC-4618-A5C0-A65D22BD3ED6}">
      <text>
        <r>
          <rPr>
            <b/>
            <sz val="9"/>
            <color indexed="81"/>
            <rFont val="Tahoma"/>
            <family val="2"/>
          </rPr>
          <t xml:space="preserve">2021 10K
</t>
        </r>
        <r>
          <rPr>
            <sz val="9"/>
            <color indexed="81"/>
            <rFont val="Tahoma"/>
            <family val="2"/>
          </rPr>
          <t>$1.7 billion increase in charges relating to legal matters</t>
        </r>
      </text>
    </comment>
    <comment ref="DY265" authorId="1" shapeId="0" xr:uid="{94A75474-42B3-4599-A70C-ED7B58BD396F}">
      <text>
        <r>
          <rPr>
            <b/>
            <sz val="9"/>
            <color indexed="81"/>
            <rFont val="Tahoma"/>
            <family val="2"/>
          </rPr>
          <t xml:space="preserve">3Q22 10Q
</t>
        </r>
        <r>
          <rPr>
            <sz val="9"/>
            <color indexed="81"/>
            <rFont val="Tahoma"/>
            <family val="2"/>
          </rPr>
          <t>General and administrative expenses increased $341 million from the three months ended September 30, 2021 to the three months ended September 30, 2022. The increase was primarily driven by an increase in compensation expenses of $385 million, largely resulting from a 23% increase in headcount, and an increase in professional services fees of $214 million. The overall increase was partially offset by a</t>
        </r>
        <r>
          <rPr>
            <b/>
            <sz val="9"/>
            <color indexed="81"/>
            <rFont val="Tahoma"/>
            <family val="2"/>
          </rPr>
          <t xml:space="preserve"> decrease in charges related to legal matters of $228 million, including the $217 million reduction of the EC fine imposed in 2018</t>
        </r>
        <r>
          <rPr>
            <sz val="9"/>
            <color indexed="81"/>
            <rFont val="Tahoma"/>
            <family val="2"/>
          </rPr>
          <t>.</t>
        </r>
      </text>
    </comment>
    <comment ref="ED265" authorId="1" shapeId="0" xr:uid="{EC60C1E4-3D71-468B-AC42-9A2EE993B73F}">
      <text>
        <r>
          <rPr>
            <b/>
            <sz val="9"/>
            <color indexed="81"/>
            <rFont val="Tahoma"/>
            <family val="2"/>
          </rPr>
          <t xml:space="preserve">3Q23 10Q:
</t>
        </r>
        <r>
          <rPr>
            <sz val="9"/>
            <color indexed="81"/>
            <rFont val="Tahoma"/>
            <family val="2"/>
          </rPr>
          <t xml:space="preserve">General and administrative expenses increased $382 million from the three months ended September 30,2022 to the three months ended September 30, 2023, </t>
        </r>
        <r>
          <rPr>
            <b/>
            <sz val="9"/>
            <color indexed="81"/>
            <rFont val="Tahoma"/>
            <family val="2"/>
          </rPr>
          <t>primarily driven by an increase in charges related to legalmatters of $589 million.</t>
        </r>
      </text>
    </comment>
    <comment ref="EM265" authorId="1" shapeId="0" xr:uid="{1C55657E-AC11-4090-A5C5-E3FAC9BEB567}">
      <text>
        <r>
          <rPr>
            <b/>
            <sz val="9"/>
            <color indexed="81"/>
            <rFont val="Tahoma"/>
            <family val="2"/>
          </rPr>
          <t xml:space="preserve">2Q25 10Q: </t>
        </r>
        <r>
          <rPr>
            <sz val="9"/>
            <color indexed="81"/>
            <rFont val="Tahoma"/>
            <family val="2"/>
          </rPr>
          <t>General and administrative expenses of $5.2 billion for the three months ended June 30, 2025 included a $1.4 billion charge in our Google Services segment related to a settlement in principle of certain legal matters.</t>
        </r>
        <r>
          <rPr>
            <b/>
            <sz val="9"/>
            <color indexed="81"/>
            <rFont val="Tahoma"/>
            <family val="2"/>
          </rPr>
          <t xml:space="preserve">
</t>
        </r>
        <r>
          <rPr>
            <sz val="9"/>
            <color indexed="81"/>
            <rFont val="Tahoma"/>
            <family val="2"/>
          </rPr>
          <t>General and administrative expenses increased $2.1 billion and $2.6 billion from the three and six months ended June 30, 2024 to the three and six months ended June 30, 2025, primarily driven by an increase in expenses related to legal and other matters of $2.3 billion and $2.6 billion, respectively, largely due to a settlement in principle of certain legal matters.</t>
        </r>
        <r>
          <rPr>
            <b/>
            <sz val="9"/>
            <color indexed="81"/>
            <rFont val="Tahoma"/>
            <family val="2"/>
          </rPr>
          <t xml:space="preserve">
2Q25: </t>
        </r>
        <r>
          <rPr>
            <sz val="9"/>
            <color indexed="81"/>
            <rFont val="Tahoma"/>
            <family val="2"/>
          </rPr>
          <t>The biggest driver of growth was expense for legal and other matters, which reflected the impact of $1.4B charge related to a settlement in principle of certain legal matters</t>
        </r>
      </text>
    </comment>
    <comment ref="EP265" authorId="1" shapeId="0" xr:uid="{6838A2D5-7CF4-4775-BEF6-8723945BAA10}">
      <text>
        <r>
          <rPr>
            <b/>
            <sz val="9"/>
            <color indexed="81"/>
            <rFont val="Tahoma"/>
            <family val="2"/>
          </rPr>
          <t>2Q25 10Q:</t>
        </r>
        <r>
          <rPr>
            <sz val="9"/>
            <color indexed="81"/>
            <rFont val="Tahoma"/>
            <family val="2"/>
          </rPr>
          <t xml:space="preserve"> General and administrative expenses increased $2.1 billion and $2.6 billion from the three and six months ended June 30, 2024 to the three and six months ended June 30, 2025, primarily driven by an increase in expenses related to legal and other matters of $2.3 billion and </t>
        </r>
        <r>
          <rPr>
            <b/>
            <sz val="9"/>
            <color indexed="81"/>
            <rFont val="Tahoma"/>
            <family val="2"/>
          </rPr>
          <t>$2.6 billion</t>
        </r>
        <r>
          <rPr>
            <sz val="9"/>
            <color indexed="81"/>
            <rFont val="Tahoma"/>
            <family val="2"/>
          </rPr>
          <t>, respectively, largely due to a settlement in principle of certain legal matters.</t>
        </r>
      </text>
    </comment>
    <comment ref="DM266" authorId="1" shapeId="0" xr:uid="{4C423DE8-B169-430A-83C9-76EE47D5282C}">
      <text>
        <r>
          <rPr>
            <b/>
            <sz val="9"/>
            <color indexed="81"/>
            <rFont val="Tahoma"/>
            <family val="2"/>
          </rPr>
          <t xml:space="preserve">1Q20 10Q
</t>
        </r>
        <r>
          <rPr>
            <sz val="9"/>
            <color indexed="81"/>
            <rFont val="Tahoma"/>
            <family val="2"/>
          </rPr>
          <t xml:space="preserve">General and administrative expenses increased $792 million from the three months ended March 31, 2019 to the three months ended March 31, 2020. </t>
        </r>
        <r>
          <rPr>
            <b/>
            <sz val="9"/>
            <color indexed="81"/>
            <rFont val="Tahoma"/>
            <family val="2"/>
          </rPr>
          <t>Of the increase $413 million was due to an increase in allowance for credit losses for accounts receivable primarily related to the economic impact of COVID-19.</t>
        </r>
        <r>
          <rPr>
            <sz val="9"/>
            <color indexed="81"/>
            <rFont val="Tahoma"/>
            <family val="2"/>
          </rPr>
          <t xml:space="preserve"> In addition, compensation expenses (including SBC) and facilities-related costs increased $341 million, largely resulting from an 18% increase in headcount.</t>
        </r>
      </text>
    </comment>
    <comment ref="DN266" authorId="1" shapeId="0" xr:uid="{20E58DC9-29D0-4155-9111-F00E4EF62705}">
      <text>
        <r>
          <rPr>
            <b/>
            <sz val="9"/>
            <color indexed="81"/>
            <rFont val="Tahoma"/>
            <family val="2"/>
          </rPr>
          <t xml:space="preserve">2Q20 10Q
</t>
        </r>
        <r>
          <rPr>
            <sz val="9"/>
            <color indexed="81"/>
            <rFont val="Tahoma"/>
            <family val="2"/>
          </rPr>
          <t xml:space="preserve">General and administrative expenses increased $542 million from the three months ended June 30, 2019 to the three months ended June 30, 2020. The increase was primarily due to an increase in compensation expenses (including SBC) and facilities-related costs of $197 million, largely resulting from a 17% increase in headcount. </t>
        </r>
        <r>
          <rPr>
            <b/>
            <sz val="9"/>
            <color indexed="81"/>
            <rFont val="Tahoma"/>
            <family val="2"/>
          </rPr>
          <t>In addition, there was an increase of $124 million in charitable contributions primarily related to our response to COVID-19 and an increase of $91 million related to allowance for credit losses for accounts receivable.</t>
        </r>
      </text>
    </comment>
    <comment ref="EC266" authorId="1" shapeId="0" xr:uid="{81297956-450B-49AE-ACC5-CCF90BBB14BC}">
      <text>
        <r>
          <rPr>
            <b/>
            <sz val="9"/>
            <color indexed="81"/>
            <rFont val="Tahoma"/>
            <family val="2"/>
          </rPr>
          <t xml:space="preserve">2Q23 10Q
</t>
        </r>
        <r>
          <rPr>
            <sz val="9"/>
            <color indexed="81"/>
            <rFont val="Tahoma"/>
            <family val="2"/>
          </rPr>
          <t>The $356 million increase in compensation expenses was largely the result of a 6% increase in average headcount, after adjusting for roles affected by the reduction in workforce, partially offset by a reduction in valuation-based compensation liabilities related to certain Other Bets.</t>
        </r>
      </text>
    </comment>
    <comment ref="ED329" authorId="1" shapeId="0" xr:uid="{B0A34B38-7647-4C80-8B32-97C5ED82B399}">
      <text>
        <r>
          <rPr>
            <b/>
            <sz val="9"/>
            <color indexed="81"/>
            <rFont val="Tahoma"/>
            <family val="2"/>
          </rPr>
          <t xml:space="preserve">3Q23 10Q:
</t>
        </r>
        <r>
          <rPr>
            <sz val="9"/>
            <color indexed="81"/>
            <rFont val="Tahoma"/>
            <family val="2"/>
          </rPr>
          <t xml:space="preserve">General and administrative expenses increased $382 million from the three months ended September 30,2022 to the three months ended September 30, 2023, </t>
        </r>
        <r>
          <rPr>
            <b/>
            <sz val="9"/>
            <color indexed="81"/>
            <rFont val="Tahoma"/>
            <family val="2"/>
          </rPr>
          <t>primarily driven by an increase in charges related to legalmatters of $589 million.</t>
        </r>
      </text>
    </comment>
    <comment ref="EK330" authorId="1" shapeId="0" xr:uid="{BF594FB9-719B-424B-855D-0B8B9A896CB6}">
      <text>
        <r>
          <rPr>
            <b/>
            <sz val="9"/>
            <color indexed="81"/>
            <rFont val="Tahoma"/>
            <family val="2"/>
          </rPr>
          <t xml:space="preserve">1Q24: </t>
        </r>
        <r>
          <rPr>
            <sz val="9"/>
            <color indexed="81"/>
            <rFont val="Tahoma"/>
            <family val="2"/>
          </rPr>
          <t>As we have discussed previously, we are continuing to invest in top engineering and technical talent, particularly in Cloud, Google DeepMind and technical infrastructure. Looking ahead we remain focused on our efforts to moderate the pace of expense growth in order to create capacity for the increases in depreciation and expenses associated with the higher levels of investment in our technical infrastructure.
We believe these efforts will enable us to deliver full year 2024 Alphabet operating margin expansion relative to 2023.</t>
        </r>
      </text>
    </comment>
    <comment ref="CX340" authorId="1" shapeId="0" xr:uid="{00000000-0006-0000-0100-0000B6000000}">
      <text>
        <r>
          <rPr>
            <b/>
            <sz val="9"/>
            <color indexed="81"/>
            <rFont val="Tahoma"/>
            <family val="2"/>
          </rPr>
          <t xml:space="preserve">1Q17: </t>
        </r>
        <r>
          <rPr>
            <sz val="9"/>
            <color indexed="81"/>
            <rFont val="Tahoma"/>
            <family val="2"/>
          </rPr>
          <t>Other cost of revenues on a consolidated basis was $5.2 billion, up 34% year over year, primarily driven by Google-related expenses – specifically, costs associated with operating our data centers, including depreciation, and content acquisition costs, primarily for YouTube, as well as hardware-related costs reflecting the continued strong performance of our new Made by Google product line.</t>
        </r>
      </text>
    </comment>
    <comment ref="CV343" authorId="1" shapeId="0" xr:uid="{00000000-0006-0000-0100-0000B7000000}">
      <text>
        <r>
          <rPr>
            <sz val="9"/>
            <color indexed="81"/>
            <rFont val="Tahoma"/>
            <family val="2"/>
          </rPr>
          <t>@3Q: Stepped up seasonality and even more pronounced due to new hardware launches</t>
        </r>
      </text>
    </comment>
    <comment ref="CX345" authorId="1" shapeId="0" xr:uid="{00000000-0006-0000-0100-0000B8000000}">
      <text>
        <r>
          <rPr>
            <b/>
            <sz val="9"/>
            <color indexed="81"/>
            <rFont val="Tahoma"/>
            <family val="2"/>
          </rPr>
          <t>@1Q17:</t>
        </r>
        <r>
          <rPr>
            <sz val="9"/>
            <color indexed="81"/>
            <rFont val="Tahoma"/>
            <family val="2"/>
          </rPr>
          <t xml:space="preserve"> Year-on-year comparisons in part reflect the change in the timing of our annual equity refresh cycle, with a half-year grant in Q1, which enables us to move to a single annual compensation cycle. As discussed last quarter, this affects the timing of stock-based compensation but does not affect the overall size of the SBC expense for the year. The year-on-year increase is therefore more sizable in Q1 and Q2 compared to previous years, with less of a year-on-year impact in both Q3 and Q4. More specifically, stock-based compensation totaled $2 billion, up 34% year over year.</t>
        </r>
      </text>
    </comment>
    <comment ref="CY345" authorId="1" shapeId="0" xr:uid="{00000000-0006-0000-0100-0000B9000000}">
      <text>
        <r>
          <rPr>
            <b/>
            <sz val="9"/>
            <color indexed="81"/>
            <rFont val="Tahoma"/>
            <family val="2"/>
          </rPr>
          <t>@1Q17:</t>
        </r>
        <r>
          <rPr>
            <sz val="9"/>
            <color indexed="81"/>
            <rFont val="Tahoma"/>
            <family val="2"/>
          </rPr>
          <t xml:space="preserve"> Year-on-year comparisons in part reflect the change in the timing of our annual equity refresh cycle, with a half-year grant in Q1, which enables us to move to a single annual compensation cycle. As discussed last quarter, this affects the timing of stock-based compensation but does not affect the overall size of the SBC expense for the year. The year-on-year increase is therefore more sizable in Q1 and Q2 compared to previous years, with less of a year-on-year impact in both Q3 and Q4. More specifically, stock-based compensation totaled $2 billion, up 34% year over year.</t>
        </r>
      </text>
    </comment>
    <comment ref="CZ345" authorId="1" shapeId="0" xr:uid="{00000000-0006-0000-0100-0000BA000000}">
      <text>
        <r>
          <rPr>
            <b/>
            <sz val="9"/>
            <color indexed="81"/>
            <rFont val="Tahoma"/>
            <family val="2"/>
          </rPr>
          <t>@1Q17:</t>
        </r>
        <r>
          <rPr>
            <sz val="9"/>
            <color indexed="81"/>
            <rFont val="Tahoma"/>
            <family val="2"/>
          </rPr>
          <t xml:space="preserve"> Year-on-year comparisons in part reflect the change in the timing of our annual equity refresh cycle, with a half-year grant in Q1, which enables us to move to a single annual compensation cycle. As discussed last quarter, this affects the timing of stock-based compensation but does not affect the overall size of the SBC expense for the year. The year-on-year increase is therefore more sizable in Q1 and Q2 compared to previous years, with less of a year-on-year impact in both Q3 and Q4. More specifically, stock-based compensation totaled $2 billion, up 34% year over year.</t>
        </r>
      </text>
    </comment>
    <comment ref="DA345" authorId="1" shapeId="0" xr:uid="{00000000-0006-0000-0100-0000BB000000}">
      <text>
        <r>
          <rPr>
            <b/>
            <sz val="9"/>
            <color indexed="81"/>
            <rFont val="Tahoma"/>
            <family val="2"/>
          </rPr>
          <t>@1Q17:</t>
        </r>
        <r>
          <rPr>
            <sz val="9"/>
            <color indexed="81"/>
            <rFont val="Tahoma"/>
            <family val="2"/>
          </rPr>
          <t xml:space="preserve"> Year-on-year comparisons in part reflect the change in the timing of our annual equity refresh cycle, with a half-year grant in Q1, which enables us to move to a single annual compensation cycle. As discussed last quarter, this affects the timing of stock-based compensation but does not affect the overall size of the SBC expense for the year. The year-on-year increase is therefore more sizable in Q1 and Q2 compared to previous years, with less of a year-on-year impact in both Q3 and Q4. More specifically, stock-based compensation totaled $2 billion, up 34% year over year.</t>
        </r>
      </text>
    </comment>
    <comment ref="CL370" authorId="1" shapeId="0" xr:uid="{00000000-0006-0000-0100-0000BC000000}">
      <text>
        <r>
          <rPr>
            <b/>
            <sz val="9"/>
            <color indexed="81"/>
            <rFont val="Tahoma"/>
            <family val="2"/>
          </rPr>
          <t>seasonally higher</t>
        </r>
      </text>
    </comment>
    <comment ref="CQ370" authorId="1" shapeId="0" xr:uid="{00000000-0006-0000-0100-0000BD000000}">
      <text>
        <r>
          <rPr>
            <b/>
            <sz val="9"/>
            <color indexed="81"/>
            <rFont val="Tahoma"/>
            <family val="2"/>
          </rPr>
          <t>seasonally higher</t>
        </r>
      </text>
    </comment>
    <comment ref="CV370" authorId="1" shapeId="0" xr:uid="{00000000-0006-0000-0100-0000BE000000}">
      <text>
        <r>
          <rPr>
            <b/>
            <sz val="9"/>
            <color indexed="81"/>
            <rFont val="Tahoma"/>
            <family val="2"/>
          </rPr>
          <t>seasonally higher</t>
        </r>
      </text>
    </comment>
    <comment ref="DA370" authorId="1" shapeId="0" xr:uid="{00000000-0006-0000-0100-0000BF000000}">
      <text>
        <r>
          <rPr>
            <b/>
            <sz val="9"/>
            <color indexed="81"/>
            <rFont val="Tahoma"/>
            <family val="2"/>
          </rPr>
          <t>seasonally higher</t>
        </r>
      </text>
    </comment>
    <comment ref="CK372" authorId="1" shapeId="0" xr:uid="{00000000-0006-0000-0100-0000C0000000}">
      <text>
        <r>
          <rPr>
            <b/>
            <sz val="9"/>
            <color indexed="81"/>
            <rFont val="Tahoma"/>
            <family val="2"/>
          </rPr>
          <t>Stock comp refresh</t>
        </r>
      </text>
    </comment>
    <comment ref="CP372" authorId="1" shapeId="0" xr:uid="{00000000-0006-0000-0100-0000C1000000}">
      <text>
        <r>
          <rPr>
            <b/>
            <sz val="9"/>
            <color indexed="81"/>
            <rFont val="Tahoma"/>
            <family val="2"/>
          </rPr>
          <t>Stock comp refresh</t>
        </r>
      </text>
    </comment>
    <comment ref="CU372" authorId="1" shapeId="0" xr:uid="{00000000-0006-0000-0100-0000C2000000}">
      <text>
        <r>
          <rPr>
            <b/>
            <sz val="9"/>
            <color indexed="81"/>
            <rFont val="Tahoma"/>
            <family val="2"/>
          </rPr>
          <t>Stock comp refresh</t>
        </r>
      </text>
    </comment>
    <comment ref="CX372" authorId="1" shapeId="0" xr:uid="{00000000-0006-0000-0100-0000C3000000}">
      <text>
        <r>
          <rPr>
            <b/>
            <sz val="9"/>
            <color indexed="81"/>
            <rFont val="Tahoma"/>
            <family val="2"/>
          </rPr>
          <t xml:space="preserve">@4Q16: </t>
        </r>
        <r>
          <rPr>
            <sz val="9"/>
            <color indexed="81"/>
            <rFont val="Tahoma"/>
            <family val="2"/>
          </rPr>
          <t>Second, we are shifting the timing of our annual equity refresh cycle for employees to the first quarter of every year. The next full year equity refresh will occur in the first quarter of 2018. Because the last full employee equity refresh occurred in the third quarter of 2016, we are providing employees with a one-time half grant in the first quarter of 2017. Overall, total SBC for 2017 will be roughly the same as it would have been had we maintained a Q3  refresh cycle. However, given the shift in refresh timing, there will not be the historical seasonal increase in SBC in Q3 and Q4. We do not plan any changes to our senior executives equity refresh, which occurs every two years with a next one in plan for 2018.</t>
        </r>
      </text>
    </comment>
    <comment ref="CZ372" authorId="1" shapeId="0" xr:uid="{00000000-0006-0000-0100-0000C4000000}">
      <text>
        <r>
          <rPr>
            <b/>
            <sz val="9"/>
            <color indexed="81"/>
            <rFont val="Tahoma"/>
            <family val="2"/>
          </rPr>
          <t>@4Q:</t>
        </r>
        <r>
          <rPr>
            <sz val="9"/>
            <color indexed="81"/>
            <rFont val="Tahoma"/>
            <family val="2"/>
          </rPr>
          <t xml:space="preserve"> No 3Q stock comp refresh in 2017, moving to 1Q</t>
        </r>
      </text>
    </comment>
    <comment ref="CV377" authorId="1" shapeId="0" xr:uid="{00000000-0006-0000-0100-0000C5000000}">
      <text>
        <r>
          <rPr>
            <b/>
            <sz val="9"/>
            <color indexed="81"/>
            <rFont val="Tahoma"/>
            <family val="2"/>
          </rPr>
          <t xml:space="preserve">@4Q: </t>
        </r>
        <r>
          <rPr>
            <sz val="9"/>
            <color indexed="81"/>
            <rFont val="Tahoma"/>
            <family val="2"/>
          </rPr>
          <t>JPM: Would have been 24.3 excl. $320M
Hardware was gross margin positive there were just some other variables in there.</t>
        </r>
      </text>
    </comment>
    <comment ref="A378" authorId="1" shapeId="0" xr:uid="{00000000-0006-0000-0100-0000C6000000}">
      <text>
        <r>
          <rPr>
            <sz val="9"/>
            <color indexed="81"/>
            <rFont val="Tahoma"/>
            <family val="2"/>
          </rPr>
          <t>R&amp;D expenses consist primarily of: 
*Labor and facilities-related costs for employees responsible for R&amp;D of our existing and new products and services
*Depreciation and equipment-related expenses
*Stock-based compensation expense.</t>
        </r>
      </text>
    </comment>
    <comment ref="A379" authorId="1" shapeId="0" xr:uid="{00000000-0006-0000-0100-0000C7000000}">
      <text>
        <r>
          <rPr>
            <sz val="9"/>
            <color indexed="81"/>
            <rFont val="Tahoma"/>
            <family val="2"/>
          </rPr>
          <t>Sales and marketing expenses consist primarily of: 
*Labor and facilities-related costs for our personnel engaged in sales and marketing, sales support, and certain customer service functions
*Advertising and promotional expenditures related to our products and services
*Stock-based compensation expense.</t>
        </r>
      </text>
    </comment>
    <comment ref="CV379" authorId="1" shapeId="0" xr:uid="{00000000-0006-0000-0100-0000C8000000}">
      <text>
        <r>
          <rPr>
            <sz val="9"/>
            <color indexed="81"/>
            <rFont val="Tahoma"/>
            <family val="2"/>
          </rPr>
          <t>@3Q: Stepped up seasonality and even more pronounced due to new hardware launches</t>
        </r>
      </text>
    </comment>
    <comment ref="A380" authorId="1" shapeId="0" xr:uid="{00000000-0006-0000-0100-0000C9000000}">
      <text>
        <r>
          <rPr>
            <sz val="9"/>
            <color indexed="81"/>
            <rFont val="Tahoma"/>
            <family val="2"/>
          </rPr>
          <t>General and administrative expenses consist primarily of: 
*Labor and facilities-related costs for personnel in our facilities, finance, human resources, information technology, and legal organizations
*Depreciation and equipment-related expenses
*Professional services fees primarily related to outside legal, audit, information technology consulting, and outsourcing services
*Amortization of certain intangible assets
*Stock-based compensation expense.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Lee, Dae K</author>
    <author>Bo Nam</author>
    <author>Kaizad Gotla</author>
    <author>Hoffman, Margaret</author>
    <author>Kluger, Diana R</author>
    <author>Diana Kluger</author>
    <author>JPMorgan Chase &amp; Co.</author>
  </authors>
  <commentList>
    <comment ref="DM8" authorId="0" shapeId="0" xr:uid="{00000000-0006-0000-0200-000001000000}">
      <text>
        <r>
          <rPr>
            <b/>
            <sz val="9"/>
            <color indexed="81"/>
            <rFont val="Tahoma"/>
            <family val="2"/>
          </rPr>
          <t xml:space="preserve">@1Q: </t>
        </r>
        <r>
          <rPr>
            <sz val="9"/>
            <color indexed="81"/>
            <rFont val="Tahoma"/>
            <family val="2"/>
          </rPr>
          <t xml:space="preserve">Starting with Google Search and Other Advertising Revenues, we generated $24.5 billion in revenues in the quarter. That was up 9% year-over-year. This reflects strong year-on-year growth for the first two months of the quarter. </t>
        </r>
        <r>
          <rPr>
            <b/>
            <sz val="9"/>
            <color indexed="81"/>
            <rFont val="Tahoma"/>
            <family val="2"/>
          </rPr>
          <t xml:space="preserve">In March, revenues began to decline and ended the month at a </t>
        </r>
        <r>
          <rPr>
            <b/>
            <u/>
            <sz val="9"/>
            <color indexed="81"/>
            <rFont val="Tahoma"/>
            <family val="2"/>
          </rPr>
          <t>mid-teens percentage decline</t>
        </r>
        <r>
          <rPr>
            <b/>
            <sz val="9"/>
            <color indexed="81"/>
            <rFont val="Tahoma"/>
            <family val="2"/>
          </rPr>
          <t xml:space="preserve"> in year-on-year revenues.
</t>
        </r>
        <r>
          <rPr>
            <sz val="9"/>
            <color indexed="81"/>
            <rFont val="Tahoma"/>
            <family val="2"/>
          </rPr>
          <t>Although users' Search activity increased, their interest shifted to less commercial topics. In addition, there was also reduced spending by our advertisers.
start with Search advertising where our financial results are driven in part by users' Search behavior. At the inception of the crisis, the increase in users interest was for information about COVID-19 and related non-commercial topics. Although we have seen some very early signs of recovery in commercial Search behavior by users, it is not clear how durable or monetizable this behavior will be.</t>
        </r>
      </text>
    </comment>
    <comment ref="DN8" authorId="0" shapeId="0" xr:uid="{00000000-0006-0000-0200-000002000000}">
      <text>
        <r>
          <rPr>
            <b/>
            <sz val="9"/>
            <color indexed="81"/>
            <rFont val="Tahoma"/>
            <family val="2"/>
          </rPr>
          <t xml:space="preserve">@1Q: </t>
        </r>
        <r>
          <rPr>
            <sz val="9"/>
            <color indexed="81"/>
            <rFont val="Tahoma"/>
            <family val="2"/>
          </rPr>
          <t xml:space="preserve">based on our estimates from the end of March through last week for Search, we </t>
        </r>
        <r>
          <rPr>
            <b/>
            <u/>
            <sz val="9"/>
            <color indexed="81"/>
            <rFont val="Tahoma"/>
            <family val="2"/>
          </rPr>
          <t>haven't seen further deterioration in the percentage of year-on-year revenue declines.</t>
        </r>
      </text>
    </comment>
    <comment ref="DO8" authorId="0" shapeId="0" xr:uid="{00000000-0006-0000-0200-000003000000}">
      <text>
        <r>
          <rPr>
            <b/>
            <sz val="9"/>
            <color indexed="81"/>
            <rFont val="Tahoma"/>
            <family val="2"/>
          </rPr>
          <t xml:space="preserve">@2Q20: </t>
        </r>
        <r>
          <rPr>
            <sz val="9"/>
            <color indexed="81"/>
            <rFont val="Tahoma"/>
            <family val="2"/>
          </rPr>
          <t>We saw a gradual return in user search activity to more commercial topics throughout the quarter, followed by an increase in spending by advertisers. This resulted in an improvement in year-on-year search revenue trends during the quarter, with Search revenues essentially flat to last year by the end of June.</t>
        </r>
      </text>
    </comment>
    <comment ref="DZ8" authorId="0" shapeId="0" xr:uid="{0838136C-CD6D-4004-81B8-63DA0C64AA86}">
      <text>
        <r>
          <rPr>
            <b/>
            <sz val="9"/>
            <color indexed="81"/>
            <rFont val="Tahoma"/>
            <family val="2"/>
          </rPr>
          <t xml:space="preserve">4Q22: </t>
        </r>
        <r>
          <rPr>
            <sz val="9"/>
            <color indexed="81"/>
            <rFont val="Tahoma"/>
            <family val="2"/>
          </rPr>
          <t>Search and Other, revenues grew moderately year-over-year, excluding theimpact of FX, refl ecting an increase in retail and travel, off set partially by a decline infi nance. At the same time, we saw a further pullback in spend by some advertisers inSearch in Q4 versus Q3.</t>
        </r>
      </text>
    </comment>
    <comment ref="ED8" authorId="0" shapeId="0" xr:uid="{A6E0C62F-2A1C-47DE-922A-B55808CEC0FD}">
      <text>
        <r>
          <rPr>
            <b/>
            <sz val="9"/>
            <color indexed="81"/>
            <rFont val="Tahoma"/>
            <family val="2"/>
          </rPr>
          <t xml:space="preserve">3Q23 10Q: </t>
        </r>
        <r>
          <rPr>
            <sz val="9"/>
            <color indexed="81"/>
            <rFont val="Tahoma"/>
            <family val="2"/>
          </rPr>
          <t>Google Search &amp; other revenues increased $4.5 billion and $7.2 billion from the three and nine monthsended September 30, 2022 to the three and nine months ended September 30, 2023, respectively. The overallgrowth was driven by interrelated factors including increases in search queries resulting from growth in useradoption and usage on mobile devices; growth in advertiser spending, and improvements we have made in adformats and delivery. Growth was adversely affected by changes in foreign currency exchange rates for the ninemonths ended September 30, 2023, particularly during the first six months of the year.</t>
        </r>
      </text>
    </comment>
    <comment ref="EH8" authorId="0" shapeId="0" xr:uid="{01238893-955B-45AC-B312-A8C880B43422}">
      <text>
        <r>
          <rPr>
            <b/>
            <sz val="9"/>
            <color indexed="81"/>
            <rFont val="Tahoma"/>
            <family val="2"/>
          </rPr>
          <t xml:space="preserve">1Q24: </t>
        </r>
        <r>
          <rPr>
            <sz val="9"/>
            <color indexed="81"/>
            <rFont val="Tahoma"/>
            <family val="2"/>
          </rPr>
          <t>results in our advertising business in Q1 continued to reflect strength in spend from APAC-based retailers, a trend that began in the second quarter of 2023 and continued through Q1, which means we will begin lapping that impact in the second quarter
Q1 results reflect the benefit of leap year, which contributed slightly more than 1 point to our revenue growth rate at the consolidated level in the first quarter.</t>
        </r>
      </text>
    </comment>
    <comment ref="EI8" authorId="0" shapeId="0" xr:uid="{B5689B63-C252-4AD5-873E-91F8E36E50FE}">
      <text>
        <r>
          <rPr>
            <b/>
            <sz val="9"/>
            <color indexed="81"/>
            <rFont val="Tahoma"/>
            <family val="2"/>
          </rPr>
          <t xml:space="preserve">2Q24: 
</t>
        </r>
        <r>
          <rPr>
            <sz val="9"/>
            <color indexed="81"/>
            <rFont val="Tahoma"/>
            <family val="2"/>
          </rPr>
          <t xml:space="preserve">Google Services, first, within advertising, 
the strong performance of Search was broad-based across verticals. 
In YouTube, we are pleased with the growth in the quarter. We had healthy watch time growth, continued to close the monetization gap in Shorts, and had continued momentum in connected TV with brand benefiting in part from an ongoing shift in budgets from linear television to digital. 
</t>
        </r>
        <r>
          <rPr>
            <b/>
            <sz val="9"/>
            <color indexed="81"/>
            <rFont val="Tahoma"/>
            <family val="2"/>
          </rPr>
          <t>As we look forward to the third quarter, we will be lapping the increasing strength in advertising revenues in the second half of 2023 in part from APAC-based retailers.</t>
        </r>
      </text>
    </comment>
    <comment ref="EJ8" authorId="0" shapeId="0" xr:uid="{FD06768C-A93E-4F11-9636-47E606E280FD}">
      <text>
        <r>
          <rPr>
            <b/>
            <sz val="9"/>
            <color indexed="81"/>
            <rFont val="Tahoma"/>
            <family val="2"/>
          </rPr>
          <t xml:space="preserve">3Q24: </t>
        </r>
        <r>
          <rPr>
            <sz val="9"/>
            <color indexed="81"/>
            <rFont val="Tahoma"/>
            <family val="2"/>
          </rPr>
          <t>Y/Y growth in advertising revenue will continue to be impacted by the increasing stgrength in advertising revenue in the 2H23, in part from APAC-based retailers.</t>
        </r>
      </text>
    </comment>
    <comment ref="DM15" authorId="0" shapeId="0" xr:uid="{00000000-0006-0000-0200-000004000000}">
      <text>
        <r>
          <rPr>
            <b/>
            <sz val="9"/>
            <color indexed="81"/>
            <rFont val="Tahoma"/>
            <family val="2"/>
          </rPr>
          <t xml:space="preserve">@1Q: </t>
        </r>
        <r>
          <rPr>
            <sz val="9"/>
            <color indexed="81"/>
            <rFont val="Tahoma"/>
            <family val="2"/>
          </rPr>
          <t xml:space="preserve">YouTube advertising revenues were $4 billion, up 33% year on year. Significant YouTube revenue growth persisted until late in the first quarter, with different performance trajectories for the brands and direct response components. Direct response continued to have substantial year-on-year growth throughout the entire quarter. Brand advertising growth accelerated in the first two months of the quarter, but began to experience a headwind in mid-March. As a result, </t>
        </r>
        <r>
          <rPr>
            <b/>
            <sz val="9"/>
            <color indexed="81"/>
            <rFont val="Tahoma"/>
            <family val="2"/>
          </rPr>
          <t xml:space="preserve">by the end of March, total YouTube ads revenue growth had </t>
        </r>
        <r>
          <rPr>
            <b/>
            <u/>
            <sz val="9"/>
            <color indexed="81"/>
            <rFont val="Tahoma"/>
            <family val="2"/>
          </rPr>
          <t>decelerated to a year-on-year growth rate in the high-single digits</t>
        </r>
        <r>
          <rPr>
            <b/>
            <sz val="9"/>
            <color indexed="81"/>
            <rFont val="Tahoma"/>
            <family val="2"/>
          </rPr>
          <t xml:space="preserve">.
</t>
        </r>
        <r>
          <rPr>
            <sz val="9"/>
            <color indexed="81"/>
            <rFont val="Tahoma"/>
            <family val="2"/>
          </rPr>
          <t>We are on YouTube Direct Response, we definitely have seen traction there. I think – I think an area where it really works well, for example, is app installs. That's a great example of it. Gaming is another good example of it. So we are working on iterating and making the formats work better so that it applies to more context as well. But in general, I think businesses are learning to adapt. Obviously we have had great success with Search, and so we're bringing a lot of those learnings, and we are sharing it with our customers. And so we expect to see more traction there over time.</t>
        </r>
      </text>
    </comment>
    <comment ref="DN15" authorId="0" shapeId="0" xr:uid="{00000000-0006-0000-0200-000005000000}">
      <text>
        <r>
          <rPr>
            <b/>
            <sz val="9"/>
            <color indexed="81"/>
            <rFont val="Tahoma"/>
            <family val="2"/>
          </rPr>
          <t xml:space="preserve">@1Q: </t>
        </r>
        <r>
          <rPr>
            <sz val="9"/>
            <color indexed="81"/>
            <rFont val="Tahoma"/>
            <family val="2"/>
          </rPr>
          <t>For YouTube, direct response has remained strong, however we have seen a continued decline in brand advertising, and it's really too early to add more. I think the main point, though, is a few weeks obviously is not a quarter, and given it is such an unprecedented environment, I would not extrapolate from these comments for the full quarter.</t>
        </r>
      </text>
    </comment>
    <comment ref="DO15" authorId="0" shapeId="0" xr:uid="{00000000-0006-0000-0200-000006000000}">
      <text>
        <r>
          <rPr>
            <b/>
            <sz val="9"/>
            <color indexed="81"/>
            <rFont val="Tahoma"/>
            <family val="2"/>
          </rPr>
          <t xml:space="preserve">2Q20: </t>
        </r>
        <r>
          <rPr>
            <sz val="9"/>
            <color indexed="81"/>
            <rFont val="Tahoma"/>
            <family val="2"/>
          </rPr>
          <t>YouTube advertising revenues were $3.8 billion, up 6% year-on-year driven by ongoing substantial growth in direct response, offset by a continued decline in brand advertising which then moderated toward the end of the quarter.</t>
        </r>
      </text>
    </comment>
    <comment ref="DZ15" authorId="0" shapeId="0" xr:uid="{8147045D-EE3B-4BC9-82E9-43A072071C26}">
      <text>
        <r>
          <rPr>
            <b/>
            <sz val="9"/>
            <color indexed="81"/>
            <rFont val="Tahoma"/>
            <family val="2"/>
          </rPr>
          <t xml:space="preserve">4Q22: </t>
        </r>
        <r>
          <rPr>
            <sz val="9"/>
            <color indexed="81"/>
            <rFont val="Tahoma"/>
            <family val="2"/>
          </rPr>
          <t>In YouTube and Network, the year-over-year revenue declineswere due to a broadening of pullbacks in advertiser spend in the fourth quarter.</t>
        </r>
      </text>
    </comment>
    <comment ref="ED15" authorId="0" shapeId="0" xr:uid="{E584D7E9-5D00-4549-9140-04A7DD4BD6CA}">
      <text>
        <r>
          <rPr>
            <b/>
            <sz val="9"/>
            <color indexed="81"/>
            <rFont val="Tahoma"/>
            <family val="2"/>
          </rPr>
          <t xml:space="preserve">3Q23 10Q: </t>
        </r>
        <r>
          <rPr>
            <sz val="9"/>
            <color indexed="81"/>
            <rFont val="Tahoma"/>
            <family val="2"/>
          </rPr>
          <t>YouTube ads revenues increased $881 million and $1.0 billion from the three and nine months endedSeptember 30, 2022 to the three and nine months ended September 30, 2023, respectively. The growth wasdriven by our brand advertising products followed by our direct response advertising products, both of whichbenefited from increased spending by our advertisers. Growth was adversely affected by changes in foreigncurrency exchange rates for the nine months ended September 30, 2023, particularly during the first six monthsof the year.</t>
        </r>
      </text>
    </comment>
    <comment ref="EH15" authorId="0" shapeId="0" xr:uid="{CE210ED1-F0E1-4944-B9E3-60F650E40580}">
      <text>
        <r>
          <rPr>
            <b/>
            <sz val="9"/>
            <color indexed="81"/>
            <rFont val="Tahoma"/>
            <family val="2"/>
          </rPr>
          <t xml:space="preserve">1Q24: </t>
        </r>
        <r>
          <rPr>
            <sz val="9"/>
            <color indexed="81"/>
            <rFont val="Tahoma"/>
            <family val="2"/>
          </rPr>
          <t>results in our advertising business in Q1 continued to reflect strength in spend from APAC-based retailers, a trend that began in the second quarter of 2023 and continued through Q1, which means we will begin lapping that impact in the second quarter
the YouTube acceleration in revenue growth in Q1 reflects in part lapping the negative year-on-year growth we experienced in the first quarter of 2023.
Q1 results reflect the benefit of leap year, which contributed slightly more than 1 point to our revenue growth rate at the consolidated level in the first quarter.</t>
        </r>
      </text>
    </comment>
    <comment ref="EJ15" authorId="0" shapeId="0" xr:uid="{0ABF5C67-354E-4BE7-8AE3-C17398F7746F}">
      <text>
        <r>
          <rPr>
            <b/>
            <sz val="9"/>
            <color indexed="81"/>
            <rFont val="Tahoma"/>
            <family val="2"/>
          </rPr>
          <t>3Q24:</t>
        </r>
        <r>
          <rPr>
            <sz val="9"/>
            <color indexed="81"/>
            <rFont val="Tahoma"/>
            <family val="2"/>
          </rPr>
          <t xml:space="preserve"> Y/Y growth in advertising revenue will continue to be impacted by the increasing stgrength in advertising revenue in the 2H23, in part from APAC-based retailers.</t>
        </r>
        <r>
          <rPr>
            <b/>
            <sz val="9"/>
            <color indexed="81"/>
            <rFont val="Tahoma"/>
            <family val="2"/>
          </rPr>
          <t xml:space="preserve">
1Q24: </t>
        </r>
        <r>
          <rPr>
            <sz val="9"/>
            <color indexed="81"/>
            <rFont val="Tahoma"/>
            <family val="2"/>
          </rPr>
          <t xml:space="preserve">we expect YouTube overall and Cloud to exit 2024 at a combined annual run rate of </t>
        </r>
        <r>
          <rPr>
            <b/>
            <sz val="9"/>
            <color indexed="81"/>
            <rFont val="Tahoma"/>
            <family val="2"/>
          </rPr>
          <t>over $100 billion</t>
        </r>
      </text>
    </comment>
    <comment ref="A22" authorId="0" shapeId="0" xr:uid="{00000000-0006-0000-0200-000007000000}">
      <text>
        <r>
          <rPr>
            <b/>
            <sz val="9"/>
            <color indexed="81"/>
            <rFont val="Tahoma"/>
            <family val="2"/>
          </rPr>
          <t>Advertising revenue: Google properties</t>
        </r>
        <r>
          <rPr>
            <sz val="9"/>
            <color indexed="81"/>
            <rFont val="Tahoma"/>
            <family val="2"/>
          </rPr>
          <t xml:space="preserve">
Advertising revenues that are generated on Google search properties which includes revenues from traffic generated by search distribution partners who use Google.com as their default search in browsers, toolbars, etc.
Other Google owned and operated properties like Gmail, Google Maps, Google Play and YouTube</t>
        </r>
      </text>
    </comment>
    <comment ref="CV22" authorId="0" shapeId="0" xr:uid="{00000000-0006-0000-0200-000008000000}">
      <text>
        <r>
          <rPr>
            <b/>
            <sz val="9"/>
            <color indexed="81"/>
            <rFont val="Tahoma"/>
            <family val="2"/>
          </rPr>
          <t xml:space="preserve">@4Q: </t>
        </r>
        <r>
          <rPr>
            <sz val="9"/>
            <color indexed="81"/>
            <rFont val="Tahoma"/>
            <family val="2"/>
          </rPr>
          <t>Google site's revenue was $18 billion in the quarter, up 20% year-over-year. Year-on-year growth reflects strength in Mobile Search. YouTube revenue continues to grow at a very significant rate driven primarily by video advertising across TrueView including buying on DoubleClick bid manager.</t>
        </r>
      </text>
    </comment>
    <comment ref="CX22" authorId="0" shapeId="0" xr:uid="{00000000-0006-0000-0200-000009000000}">
      <text>
        <r>
          <rPr>
            <b/>
            <sz val="9"/>
            <color indexed="81"/>
            <rFont val="Tahoma"/>
            <family val="2"/>
          </rPr>
          <t xml:space="preserve">@1Q17: </t>
        </r>
        <r>
          <rPr>
            <sz val="9"/>
            <color indexed="81"/>
            <rFont val="Tahoma"/>
            <family val="2"/>
          </rPr>
          <t xml:space="preserve">Google Sites revenues were $17.4 billion in the quarter, up 21% year over year. The </t>
        </r>
        <r>
          <rPr>
            <b/>
            <sz val="9"/>
            <color indexed="81"/>
            <rFont val="Tahoma"/>
            <family val="2"/>
          </rPr>
          <t>biggest contributor to growth again this quarter was mobile search</t>
        </r>
        <r>
          <rPr>
            <sz val="9"/>
            <color indexed="81"/>
            <rFont val="Tahoma"/>
            <family val="2"/>
          </rPr>
          <t xml:space="preserve">, reflecting the secular shift to mobile due to the greater utility of smartphones for users and advertisers, but obviously also benefiting from our focus on continuously enhancing features and functionality. </t>
        </r>
        <r>
          <rPr>
            <b/>
            <sz val="9"/>
            <color indexed="81"/>
            <rFont val="Tahoma"/>
            <family val="2"/>
          </rPr>
          <t>YouTube revenues continue to grow at a significant rate</t>
        </r>
        <r>
          <rPr>
            <sz val="9"/>
            <color indexed="81"/>
            <rFont val="Tahoma"/>
            <family val="2"/>
          </rPr>
          <t>, driven primarily by video advertising.</t>
        </r>
      </text>
    </comment>
    <comment ref="CY22" authorId="0" shapeId="0" xr:uid="{00000000-0006-0000-0200-00000A000000}">
      <text>
        <r>
          <rPr>
            <b/>
            <sz val="9"/>
            <color indexed="81"/>
            <rFont val="Tahoma"/>
            <family val="2"/>
          </rPr>
          <t xml:space="preserve">@2Q: </t>
        </r>
        <r>
          <rPr>
            <sz val="9"/>
            <color indexed="81"/>
            <rFont val="Tahoma"/>
            <family val="2"/>
          </rPr>
          <t xml:space="preserve">Google Sites revenues were $18.4 billion in the quarter, up 20% year over year. </t>
        </r>
        <r>
          <rPr>
            <b/>
            <sz val="9"/>
            <color indexed="81"/>
            <rFont val="Tahoma"/>
            <family val="2"/>
          </rPr>
          <t>The biggest contributors to growth again this quarter were mobile search and YouTube.</t>
        </r>
      </text>
    </comment>
    <comment ref="CZ22" authorId="0" shapeId="0" xr:uid="{00000000-0006-0000-0200-00000B000000}">
      <text>
        <r>
          <rPr>
            <b/>
            <sz val="9"/>
            <color indexed="81"/>
            <rFont val="Tahoma"/>
            <family val="2"/>
          </rPr>
          <t xml:space="preserve">@3Q: </t>
        </r>
        <r>
          <rPr>
            <sz val="9"/>
            <color indexed="81"/>
            <rFont val="Tahoma"/>
            <family val="2"/>
          </rPr>
          <t xml:space="preserve">Google sites revenues were $19.7 billion in the quarter, up 23% year-over-year, </t>
        </r>
        <r>
          <rPr>
            <b/>
            <sz val="9"/>
            <color indexed="81"/>
            <rFont val="Tahoma"/>
            <family val="2"/>
          </rPr>
          <t>led again by mobile search, complemented by desktop search and strong performance from YouTube.</t>
        </r>
      </text>
    </comment>
    <comment ref="DA22" authorId="0" shapeId="0" xr:uid="{00000000-0006-0000-0200-00000C000000}">
      <text>
        <r>
          <rPr>
            <b/>
            <sz val="9"/>
            <color indexed="81"/>
            <rFont val="Tahoma"/>
            <family val="2"/>
          </rPr>
          <t xml:space="preserve">@4Q: </t>
        </r>
        <r>
          <rPr>
            <sz val="9"/>
            <color indexed="81"/>
            <rFont val="Tahoma"/>
            <family val="2"/>
          </rPr>
          <t xml:space="preserve">Google Sites revenues were $22.2 billion in the quarter, up 24% year-over-year, </t>
        </r>
        <r>
          <rPr>
            <b/>
            <sz val="9"/>
            <color indexed="81"/>
            <rFont val="Tahoma"/>
            <family val="2"/>
          </rPr>
          <t>led again by mobile search, complemented by solid growth from desktop search and strong performance from YouTube.</t>
        </r>
      </text>
    </comment>
    <comment ref="DC22" authorId="0" shapeId="0" xr:uid="{00000000-0006-0000-0200-00000D000000}">
      <text>
        <r>
          <rPr>
            <b/>
            <sz val="9"/>
            <color indexed="81"/>
            <rFont val="Tahoma"/>
            <family val="2"/>
          </rPr>
          <t xml:space="preserve">@1Q: </t>
        </r>
        <r>
          <rPr>
            <sz val="9"/>
            <color indexed="81"/>
            <rFont val="Tahoma"/>
            <family val="2"/>
          </rPr>
          <t xml:space="preserve">Google Sites revenues were $22 billion in the quarter, up 26% year-over-year, </t>
        </r>
        <r>
          <rPr>
            <b/>
            <sz val="9"/>
            <color indexed="81"/>
            <rFont val="Tahoma"/>
            <family val="2"/>
          </rPr>
          <t>led again by mobile search, complemented by solid growth from desktop search and strong performance from YouTube.</t>
        </r>
      </text>
    </comment>
    <comment ref="DD22" authorId="0" shapeId="0" xr:uid="{00000000-0006-0000-0200-00000E000000}">
      <text>
        <r>
          <rPr>
            <b/>
            <sz val="9"/>
            <color indexed="81"/>
            <rFont val="Tahoma"/>
            <family val="2"/>
          </rPr>
          <t xml:space="preserve">@2Q: </t>
        </r>
        <r>
          <rPr>
            <sz val="9"/>
            <color indexed="81"/>
            <rFont val="Tahoma"/>
            <family val="2"/>
          </rPr>
          <t xml:space="preserve">Google Sites revenues were $23.3 billion in the quarter, up 26% year-over-year. In terms of dollar growth, results were </t>
        </r>
        <r>
          <rPr>
            <b/>
            <sz val="9"/>
            <color indexed="81"/>
            <rFont val="Tahoma"/>
            <family val="2"/>
          </rPr>
          <t>led again by mobile search, with strong contributions from both YouTube and desktop search.</t>
        </r>
      </text>
    </comment>
    <comment ref="CZ23" authorId="0" shapeId="0" xr:uid="{00000000-0006-0000-0200-00000F000000}">
      <text>
        <r>
          <rPr>
            <b/>
            <sz val="9"/>
            <color indexed="81"/>
            <rFont val="Tahoma"/>
            <family val="2"/>
          </rPr>
          <t xml:space="preserve">@3Q: </t>
        </r>
        <r>
          <rPr>
            <sz val="9"/>
            <color indexed="81"/>
            <rFont val="Tahoma"/>
            <family val="2"/>
          </rPr>
          <t>Google sites revenues were $19.7 billion in the quarter, up 23% year-over-year, led again by mobile search, complemented by desktop search and strong performance from YouTube.</t>
        </r>
      </text>
    </comment>
    <comment ref="A29" authorId="0" shapeId="0" xr:uid="{00000000-0006-0000-0200-000010000000}">
      <text>
        <r>
          <rPr>
            <b/>
            <sz val="9"/>
            <color indexed="81"/>
            <rFont val="Tahoma"/>
            <family val="2"/>
          </rPr>
          <t>Advertising revenue: Google Network Members’ properties</t>
        </r>
        <r>
          <rPr>
            <sz val="9"/>
            <color indexed="81"/>
            <rFont val="Tahoma"/>
            <family val="2"/>
          </rPr>
          <t xml:space="preserve">
Advertising revenues generated from advertisements served on Google Network Members' properties participating in: AdMob, AdSense (such as AdSense for Content, AdSense for Search, etc.) and Google Ad Manager (includes what was formerly DoubleClick AdExchange)</t>
        </r>
      </text>
    </comment>
    <comment ref="BK29" authorId="1" shapeId="0" xr:uid="{00000000-0006-0000-0200-000011000000}">
      <text>
        <r>
          <rPr>
            <b/>
            <sz val="8"/>
            <color indexed="81"/>
            <rFont val="Tahoma"/>
            <family val="2"/>
          </rPr>
          <t>Bo Nam:</t>
        </r>
        <r>
          <rPr>
            <sz val="8"/>
            <color indexed="81"/>
            <rFont val="Tahoma"/>
            <family val="2"/>
          </rPr>
          <t xml:space="preserve">
Network revenue negatively impacted by Search Quality improvements made in 1Q</t>
        </r>
      </text>
    </comment>
    <comment ref="CV29" authorId="0" shapeId="0" xr:uid="{00000000-0006-0000-0200-000012000000}">
      <text>
        <r>
          <rPr>
            <b/>
            <sz val="9"/>
            <color indexed="81"/>
            <rFont val="Tahoma"/>
            <family val="2"/>
          </rPr>
          <t xml:space="preserve">@4Q: </t>
        </r>
        <r>
          <rPr>
            <sz val="9"/>
            <color indexed="81"/>
            <rFont val="Tahoma"/>
            <family val="2"/>
          </rPr>
          <t>Network revenue was $4.4 billion, up 7% year-on-year reflecting the ongoing strong growth of Programmatic and AdMob offset by the traditional network businesses.</t>
        </r>
      </text>
    </comment>
    <comment ref="CX29" authorId="0" shapeId="0" xr:uid="{00000000-0006-0000-0200-000013000000}">
      <text>
        <r>
          <rPr>
            <b/>
            <sz val="9"/>
            <color indexed="81"/>
            <rFont val="Tahoma"/>
            <family val="2"/>
          </rPr>
          <t xml:space="preserve">@1Q: </t>
        </r>
        <r>
          <rPr>
            <sz val="9"/>
            <color indexed="81"/>
            <rFont val="Tahoma"/>
            <family val="2"/>
          </rPr>
          <t>Network revenues were $4 billion, up 9% year on year, reflecting the ongoing strong growth of programmatic and AdMob. Results benefited from a slower rate of decline in the traditional Network business than in prior periods, although it continues to be negatively affected by both the ongoing shift by advertisers to programmatic and our ongoing policy efforts. Other revenues for Google were $3.1billion, up 49%</t>
        </r>
        <r>
          <rPr>
            <b/>
            <sz val="9"/>
            <color indexed="81"/>
            <rFont val="Tahoma"/>
            <family val="2"/>
          </rPr>
          <t xml:space="preserve">
@4Q: </t>
        </r>
        <r>
          <rPr>
            <sz val="9"/>
            <color indexed="81"/>
            <rFont val="Tahoma"/>
            <family val="2"/>
          </rPr>
          <t>Well, as we've talked about on prior calls, there are obviously a number of businesses within the network line, and a number of things went right this quarter. I wouldn't extrapolate from it. As you know, there can be some seasonality, and Q1 is typically lower than the fourth quarter. 
I think the main point is that the programmatic business continues to be a strong contributor with significant growth reflecting the ongoing advertiser adoption just given the overall efficiency of programmatic and improved targeting and the benefit of inventory growth. And so the story, it's pretty much unchanged. We continue to see the growth in programmatic offset by declines in the more traditional businesses. And when you're looking at the quarter-over-quarter, we are continuing to see things like the impact of policy changes and timing of product launches. But I just think that there were a number of things that went well this quarter. Q3 was a bit lighter so that then clouded the quarter-over-quarter comparison, but I wouldn't extrapolate from this.</t>
        </r>
      </text>
    </comment>
    <comment ref="CY29" authorId="0" shapeId="0" xr:uid="{00000000-0006-0000-0200-000014000000}">
      <text>
        <r>
          <rPr>
            <b/>
            <sz val="9"/>
            <color indexed="81"/>
            <rFont val="Tahoma"/>
            <family val="2"/>
          </rPr>
          <t xml:space="preserve">@2Q: </t>
        </r>
        <r>
          <rPr>
            <sz val="9"/>
            <color indexed="81"/>
            <rFont val="Tahoma"/>
            <family val="2"/>
          </rPr>
          <t>Network revenues were $4.2 billion, up 13% year on year, reflecting the ongoing strength of programmatic and AdMob.</t>
        </r>
      </text>
    </comment>
    <comment ref="CZ29" authorId="0" shapeId="0" xr:uid="{00000000-0006-0000-0200-000015000000}">
      <text>
        <r>
          <rPr>
            <b/>
            <sz val="9"/>
            <color indexed="81"/>
            <rFont val="Tahoma"/>
            <family val="2"/>
          </rPr>
          <t xml:space="preserve">@3Q: </t>
        </r>
        <r>
          <rPr>
            <sz val="9"/>
            <color indexed="81"/>
            <rFont val="Tahoma"/>
            <family val="2"/>
          </rPr>
          <t>Network revenues were $4.3 billion, up 16% year-on-year, reflecting the ongoing momentum of programmatic and AdMob.</t>
        </r>
      </text>
    </comment>
    <comment ref="DA29" authorId="0" shapeId="0" xr:uid="{00000000-0006-0000-0200-000016000000}">
      <text>
        <r>
          <rPr>
            <b/>
            <sz val="9"/>
            <color indexed="81"/>
            <rFont val="Tahoma"/>
            <family val="2"/>
          </rPr>
          <t xml:space="preserve">@4Q: </t>
        </r>
        <r>
          <rPr>
            <sz val="9"/>
            <color indexed="81"/>
            <rFont val="Tahoma"/>
            <family val="2"/>
          </rPr>
          <t>Network revenues were $5 billion, up 13% year-on-year, reflecting the ongoing momentum of programmatic and AdMob.</t>
        </r>
      </text>
    </comment>
    <comment ref="DC29" authorId="0" shapeId="0" xr:uid="{00000000-0006-0000-0200-000017000000}">
      <text>
        <r>
          <rPr>
            <b/>
            <sz val="9"/>
            <color indexed="81"/>
            <rFont val="Tahoma"/>
            <family val="2"/>
          </rPr>
          <t xml:space="preserve">@1Q: </t>
        </r>
        <r>
          <rPr>
            <sz val="9"/>
            <color indexed="81"/>
            <rFont val="Tahoma"/>
            <family val="2"/>
          </rPr>
          <t>Network revenues were $4.6 billion, up 16% year-on-year, reflecting the ongoing momentum of programmatic and AdMob.</t>
        </r>
      </text>
    </comment>
    <comment ref="DD29" authorId="0" shapeId="0" xr:uid="{00000000-0006-0000-0200-000018000000}">
      <text>
        <r>
          <rPr>
            <b/>
            <sz val="9"/>
            <color indexed="81"/>
            <rFont val="Tahoma"/>
            <family val="2"/>
          </rPr>
          <t xml:space="preserve">@2Q: </t>
        </r>
        <r>
          <rPr>
            <sz val="9"/>
            <color indexed="81"/>
            <rFont val="Tahoma"/>
            <family val="2"/>
          </rPr>
          <t>Network revenues were $4.8 billion, up 14% year-on-year, reflecting the ongoing momentum of AdMob and programmatic.</t>
        </r>
      </text>
    </comment>
    <comment ref="DM29" authorId="0" shapeId="0" xr:uid="{00000000-0006-0000-0200-000019000000}">
      <text>
        <r>
          <rPr>
            <b/>
            <sz val="9"/>
            <color indexed="81"/>
            <rFont val="Tahoma"/>
            <family val="2"/>
          </rPr>
          <t xml:space="preserve">@1Q: </t>
        </r>
        <r>
          <rPr>
            <sz val="9"/>
            <color indexed="81"/>
            <rFont val="Tahoma"/>
            <family val="2"/>
          </rPr>
          <t xml:space="preserve">Network advertising revenues were $5.2 billion, up 4% year-on-year, with healthy year-on-year growth for the first two months of the quarter. </t>
        </r>
        <r>
          <rPr>
            <b/>
            <sz val="9"/>
            <color indexed="81"/>
            <rFont val="Tahoma"/>
            <family val="2"/>
          </rPr>
          <t xml:space="preserve">We ended March at a year on-year percentage </t>
        </r>
        <r>
          <rPr>
            <b/>
            <u/>
            <sz val="9"/>
            <color indexed="81"/>
            <rFont val="Tahoma"/>
            <family val="2"/>
          </rPr>
          <t xml:space="preserve">decline </t>
        </r>
        <r>
          <rPr>
            <b/>
            <sz val="9"/>
            <color indexed="81"/>
            <rFont val="Tahoma"/>
            <family val="2"/>
          </rPr>
          <t xml:space="preserve">in network revenues in the </t>
        </r>
        <r>
          <rPr>
            <b/>
            <u/>
            <sz val="9"/>
            <color indexed="81"/>
            <rFont val="Tahoma"/>
            <family val="2"/>
          </rPr>
          <t>low-double digits</t>
        </r>
        <r>
          <rPr>
            <b/>
            <sz val="9"/>
            <color indexed="81"/>
            <rFont val="Tahoma"/>
            <family val="2"/>
          </rPr>
          <t>.</t>
        </r>
      </text>
    </comment>
    <comment ref="DO29" authorId="0" shapeId="0" xr:uid="{00000000-0006-0000-0200-00001A000000}">
      <text>
        <r>
          <rPr>
            <b/>
            <sz val="9"/>
            <color indexed="81"/>
            <rFont val="Tahoma"/>
            <family val="2"/>
          </rPr>
          <t xml:space="preserve">@2Q20: </t>
        </r>
        <r>
          <rPr>
            <sz val="9"/>
            <color indexed="81"/>
            <rFont val="Tahoma"/>
            <family val="2"/>
          </rPr>
          <t>Network advertising revenues were $4.7 billion, down 10% year-on-year with trends improving somewhat towards the end of the quarter as advertisers' spend began to return.</t>
        </r>
      </text>
    </comment>
    <comment ref="DZ29" authorId="0" shapeId="0" xr:uid="{475B257A-2DE2-41F3-9A2D-6D978DE021CE}">
      <text>
        <r>
          <rPr>
            <b/>
            <sz val="9"/>
            <color indexed="81"/>
            <rFont val="Tahoma"/>
            <family val="2"/>
          </rPr>
          <t xml:space="preserve">4Q22: </t>
        </r>
        <r>
          <rPr>
            <sz val="9"/>
            <color indexed="81"/>
            <rFont val="Tahoma"/>
            <family val="2"/>
          </rPr>
          <t>In YouTube and Network, the year-over-year revenue declineswere due to a broadening of pullbacks in advertiser spend in the fourth quarter.</t>
        </r>
      </text>
    </comment>
    <comment ref="ED29" authorId="0" shapeId="0" xr:uid="{902218FB-FC12-471C-A463-895AB3F8ED9A}">
      <text>
        <r>
          <rPr>
            <b/>
            <sz val="9"/>
            <color indexed="81"/>
            <rFont val="Tahoma"/>
            <family val="2"/>
          </rPr>
          <t xml:space="preserve">3Q23 10Q: </t>
        </r>
        <r>
          <rPr>
            <sz val="9"/>
            <color indexed="81"/>
            <rFont val="Tahoma"/>
            <family val="2"/>
          </rPr>
          <t>Google Network revenues decreased $203 million and $1.3 billion from the three and nine months endedSeptember 30, 2022 to the three and nine months ended September 30, 2023, respectively, primarily driven by adecrease in Google Ad Manager and AdSense revenues. Additionally, Google Network revenues were adverselyaffected by changes in foreign currency exchange rates for the nine months ended September 30, 2023,particularly during the first six months of the year.</t>
        </r>
      </text>
    </comment>
    <comment ref="BJ30" authorId="2" shapeId="0" xr:uid="{00000000-0006-0000-0200-00001B000000}">
      <text>
        <r>
          <rPr>
            <b/>
            <sz val="8"/>
            <color indexed="81"/>
            <rFont val="Tahoma"/>
            <family val="2"/>
          </rPr>
          <t>Kaizad Gotla:</t>
        </r>
        <r>
          <rPr>
            <sz val="8"/>
            <color indexed="81"/>
            <rFont val="Tahoma"/>
            <family val="2"/>
          </rPr>
          <t xml:space="preserve">
lost a network partner</t>
        </r>
      </text>
    </comment>
    <comment ref="BK30" authorId="2" shapeId="0" xr:uid="{00000000-0006-0000-0200-00001C000000}">
      <text>
        <r>
          <rPr>
            <b/>
            <sz val="8"/>
            <color indexed="81"/>
            <rFont val="Tahoma"/>
            <family val="2"/>
          </rPr>
          <t>Kaizad Gotla:</t>
        </r>
        <r>
          <rPr>
            <sz val="8"/>
            <color indexed="81"/>
            <rFont val="Tahoma"/>
            <family val="2"/>
          </rPr>
          <t xml:space="preserve">
Y! JP implemented this qtr</t>
        </r>
      </text>
    </comment>
    <comment ref="CZ30" authorId="0" shapeId="0" xr:uid="{00000000-0006-0000-0200-00001D000000}">
      <text>
        <r>
          <rPr>
            <b/>
            <sz val="9"/>
            <color indexed="81"/>
            <rFont val="Tahoma"/>
            <family val="2"/>
          </rPr>
          <t xml:space="preserve">@3Q: </t>
        </r>
        <r>
          <rPr>
            <sz val="9"/>
            <color indexed="81"/>
            <rFont val="Tahoma"/>
            <family val="2"/>
          </rPr>
          <t>Network revenues were $4.3 billion, up 16% year-on-year, reflecting the ongoing momentum of programmatic and AdMob.
Given all the ongoing advertiser adoption of programmatic buying and AdMob continues to see strength here. What you're also seeing here is the traditional AdSense businesses. Overall, the pace of advertiser migration to programmatic effects this business kind of quarter-on-quarter as well as the policy changes that we've talked about in prior quarters. And those factors were less of a drag in the last couple of quarters.</t>
        </r>
      </text>
    </comment>
    <comment ref="DN36" authorId="0" shapeId="0" xr:uid="{00000000-0006-0000-0200-00001E000000}">
      <text>
        <r>
          <rPr>
            <b/>
            <sz val="9"/>
            <color indexed="81"/>
            <rFont val="Tahoma"/>
            <family val="2"/>
          </rPr>
          <t>@1Q: I</t>
        </r>
        <r>
          <rPr>
            <sz val="9"/>
            <color indexed="81"/>
            <rFont val="Tahoma"/>
            <family val="2"/>
          </rPr>
          <t xml:space="preserve">n order to gauge the ongoing potential financial impact to our business from COVID-19, a key signal to monitor is macroeconomic performance, which has tended to be correlated with advertising spend. </t>
        </r>
        <r>
          <rPr>
            <b/>
            <u/>
            <sz val="9"/>
            <color indexed="81"/>
            <rFont val="Tahoma"/>
            <family val="2"/>
          </rPr>
          <t>As of today, we anticipate that the second quarter will be a difficult one for our advertising business.</t>
        </r>
        <r>
          <rPr>
            <sz val="9"/>
            <color indexed="81"/>
            <rFont val="Tahoma"/>
            <family val="2"/>
          </rPr>
          <t xml:space="preserve"> As we move beyond the crisis, and the global economy normalizes, this should be reflected in our advertising revenues. But it would be premature to comment on timing given all the variables here.</t>
        </r>
      </text>
    </comment>
    <comment ref="EL36" authorId="0" shapeId="0" xr:uid="{72B31E85-A818-4D99-9887-B0E9A7D70141}">
      <text>
        <r>
          <rPr>
            <b/>
            <sz val="9"/>
            <color indexed="81"/>
            <rFont val="Tahoma"/>
            <family val="2"/>
          </rPr>
          <t xml:space="preserve">4Q24: </t>
        </r>
        <r>
          <rPr>
            <sz val="9"/>
            <color indexed="81"/>
            <rFont val="Tahoma"/>
            <family val="2"/>
          </rPr>
          <t>Lapping financial services strength</t>
        </r>
      </text>
    </comment>
    <comment ref="EM36" authorId="0" shapeId="0" xr:uid="{97056CE8-1417-4CE9-92CF-58209ED25A5E}">
      <text>
        <r>
          <rPr>
            <b/>
            <sz val="9"/>
            <color indexed="81"/>
            <rFont val="Tahoma"/>
            <family val="2"/>
          </rPr>
          <t xml:space="preserve">4Q24: </t>
        </r>
        <r>
          <rPr>
            <sz val="9"/>
            <color indexed="81"/>
            <rFont val="Tahoma"/>
            <family val="2"/>
          </rPr>
          <t>Lapping financial services strength</t>
        </r>
      </text>
    </comment>
    <comment ref="EN36" authorId="0" shapeId="0" xr:uid="{F9604504-8FD9-4195-BB4E-02FC830CFEFB}">
      <text>
        <r>
          <rPr>
            <b/>
            <sz val="9"/>
            <color indexed="81"/>
            <rFont val="Tahoma"/>
            <family val="2"/>
          </rPr>
          <t>2Q25:</t>
        </r>
        <r>
          <rPr>
            <sz val="9"/>
            <color indexed="81"/>
            <rFont val="Tahoma"/>
            <family val="2"/>
          </rPr>
          <t xml:space="preserve"> Google Services, advertising revenues in the second half of 2025 will be affected by the following. The continued lapping of the strength we experience in financial service verticals throughout 2024 and year-over-year comparisons will be negatively impacted by the strong spend on U.S. election in the second half of 2024, particularly on YouTube.</t>
        </r>
        <r>
          <rPr>
            <b/>
            <sz val="9"/>
            <color indexed="81"/>
            <rFont val="Tahoma"/>
            <family val="2"/>
          </rPr>
          <t xml:space="preserve">
4Q24: </t>
        </r>
        <r>
          <rPr>
            <sz val="9"/>
            <color indexed="81"/>
            <rFont val="Tahoma"/>
            <family val="2"/>
          </rPr>
          <t>Lapping financial services strength</t>
        </r>
      </text>
    </comment>
    <comment ref="EO36" authorId="0" shapeId="0" xr:uid="{1A0AA3AF-F3F2-4555-9112-87CD88CD2B36}">
      <text>
        <r>
          <rPr>
            <b/>
            <sz val="9"/>
            <color indexed="81"/>
            <rFont val="Tahoma"/>
            <family val="2"/>
          </rPr>
          <t>2Q25:</t>
        </r>
        <r>
          <rPr>
            <sz val="9"/>
            <color indexed="81"/>
            <rFont val="Tahoma"/>
            <family val="2"/>
          </rPr>
          <t xml:space="preserve"> Google Services, advertising revenues in the second half of 2025 will be affected by the following. The continued lapping of the strength we experience in financial service verticals throughout 2024 and year-over-year comparisons will be negatively impacted by the strong spend on U.S. election in the second half of 2024, particularly on YouTube.</t>
        </r>
        <r>
          <rPr>
            <b/>
            <sz val="9"/>
            <color indexed="81"/>
            <rFont val="Tahoma"/>
            <family val="2"/>
          </rPr>
          <t xml:space="preserve">
4Q24: </t>
        </r>
        <r>
          <rPr>
            <sz val="9"/>
            <color indexed="81"/>
            <rFont val="Tahoma"/>
            <family val="2"/>
          </rPr>
          <t>Lapping financial services strength</t>
        </r>
      </text>
    </comment>
    <comment ref="EP36" authorId="0" shapeId="0" xr:uid="{86098396-0223-44AC-8E68-4AB14C70907B}">
      <text>
        <r>
          <rPr>
            <b/>
            <sz val="9"/>
            <color indexed="81"/>
            <rFont val="Tahoma"/>
            <family val="2"/>
          </rPr>
          <t>2Q25:</t>
        </r>
        <r>
          <rPr>
            <sz val="9"/>
            <color indexed="81"/>
            <rFont val="Tahoma"/>
            <family val="2"/>
          </rPr>
          <t xml:space="preserve"> Google Services, advertising revenues in the second half of 2025 will be affected by the following. The continued lapping of the strength we experience in financial service verticals throughout 2024 and year-over-year comparisons will be negatively impacted by the strong spend on U.S. election in the second half of 2024, particularly on YouTube.</t>
        </r>
        <r>
          <rPr>
            <b/>
            <sz val="9"/>
            <color indexed="81"/>
            <rFont val="Tahoma"/>
            <family val="2"/>
          </rPr>
          <t xml:space="preserve">
4Q24: </t>
        </r>
        <r>
          <rPr>
            <sz val="9"/>
            <color indexed="81"/>
            <rFont val="Tahoma"/>
            <family val="2"/>
          </rPr>
          <t>Lapping financial services strength</t>
        </r>
      </text>
    </comment>
    <comment ref="A43" authorId="0" shapeId="0" xr:uid="{FFAE7ECC-ED86-4988-8C16-8DD551E4FE9D}">
      <text>
        <r>
          <rPr>
            <sz val="9"/>
            <color indexed="81"/>
            <rFont val="Tahoma"/>
            <family val="2"/>
          </rPr>
          <t>Renamed from "Google other" at 4Q23 earnings</t>
        </r>
      </text>
    </comment>
    <comment ref="DM43" authorId="0" shapeId="0" xr:uid="{00000000-0006-0000-0200-00001F000000}">
      <text>
        <r>
          <rPr>
            <b/>
            <sz val="9"/>
            <color indexed="81"/>
            <rFont val="Tahoma"/>
            <family val="2"/>
          </rPr>
          <t xml:space="preserve">@1Q: </t>
        </r>
        <r>
          <rPr>
            <sz val="9"/>
            <color indexed="81"/>
            <rFont val="Tahoma"/>
            <family val="2"/>
          </rPr>
          <t>Other revenues were $4.4 billion, up 23% year-over-year, primarily driven by growth in YouTube non-advertising revenues and Play. YouTube's contribution to other revenues benefited from subscriber growth across its various offerings. Within Play, app revenues continue to benefit from strong growth in the number of active buyers in the first quarter. In addition, in the latter part of the quarter, we started to see an increase in user engagement in apps as well as in digital content.</t>
        </r>
      </text>
    </comment>
    <comment ref="DZ43" authorId="0" shapeId="0" xr:uid="{5C8C70AC-E3C9-4050-99DE-82E074C13C9C}">
      <text>
        <r>
          <rPr>
            <b/>
            <sz val="9"/>
            <color indexed="81"/>
            <rFont val="Tahoma"/>
            <family val="2"/>
          </rPr>
          <t xml:space="preserve">4Q22: </t>
        </r>
        <r>
          <rPr>
            <sz val="9"/>
            <color indexed="81"/>
            <rFont val="Tahoma"/>
            <family val="2"/>
          </rPr>
          <t>Google Other revenues were up 8% year-over-year, with stronggrowth in YouTube, non-advertising and hardware revenues, off set by a decrease in Playrevenues.</t>
        </r>
      </text>
    </comment>
    <comment ref="EC43" authorId="0" shapeId="0" xr:uid="{DC601816-0A89-46E4-BC13-E432D8A5AB98}">
      <text>
        <r>
          <rPr>
            <b/>
            <sz val="9"/>
            <color indexed="81"/>
            <rFont val="Tahoma"/>
            <family val="2"/>
          </rPr>
          <t xml:space="preserve">2Q: </t>
        </r>
        <r>
          <rPr>
            <sz val="9"/>
            <color indexed="81"/>
            <rFont val="Tahoma"/>
            <family val="2"/>
          </rPr>
          <t>Play returned to positive growth</t>
        </r>
      </text>
    </comment>
    <comment ref="ED43" authorId="0" shapeId="0" xr:uid="{002E00AB-15AB-42B5-B867-4098E076E8FC}">
      <text>
        <r>
          <rPr>
            <b/>
            <sz val="9"/>
            <color indexed="81"/>
            <rFont val="Tahoma"/>
            <family val="2"/>
          </rPr>
          <t xml:space="preserve">3Q23 10Q: </t>
        </r>
        <r>
          <rPr>
            <sz val="9"/>
            <color indexed="81"/>
            <rFont val="Tahoma"/>
            <family val="2"/>
          </rPr>
          <t>Google other revenues increased $1.4 billion and $3.6 billion from the three and nine months endedSeptember 30, 2022 to the three and nine months ended September 30, 2023, primarily driven by growth inYouTube non-advertising, largely due to an increase in paid subscribers. Growth was adversely affected bychanges in foreign currency exchange rates for the nine months ended September 30, 2023, particularly duringthe first six months of the year.</t>
        </r>
      </text>
    </comment>
    <comment ref="EG43" authorId="0" shapeId="0" xr:uid="{B01DB971-48A7-4E93-B310-EE25AB800BC8}">
      <text>
        <r>
          <rPr>
            <b/>
            <sz val="9"/>
            <color indexed="81"/>
            <rFont val="Tahoma"/>
            <family val="2"/>
          </rPr>
          <t xml:space="preserve">1Q24: </t>
        </r>
        <r>
          <rPr>
            <sz val="9"/>
            <color indexed="81"/>
            <rFont val="Tahoma"/>
            <family val="2"/>
          </rPr>
          <t>Turning to subscriptions, platforms and devices. We continue to deliver significant growth in our subscriptions business which drives the majority of revenue growth in this line. The sequential quarterly decline in year-on-year revenue growth for the line in Q1 versus Q4 reflects in part the fact that we had only one week of Sunday Ticket subscription revenue in Q1 versus 14 weeks in Q4.
Looking forward, we will anniversary last year's price increase in YouTube TV, starting in May. With regard to platforms, we are pleased with the performance in Play, driven by an increase in buyers.</t>
        </r>
      </text>
    </comment>
    <comment ref="EH43" authorId="0" shapeId="0" xr:uid="{22DFB04A-DEA5-4CBA-8198-0E550B89305E}">
      <text>
        <r>
          <rPr>
            <b/>
            <sz val="9"/>
            <color indexed="81"/>
            <rFont val="Tahoma"/>
            <family val="2"/>
          </rPr>
          <t xml:space="preserve">1Q24: </t>
        </r>
        <r>
          <rPr>
            <sz val="9"/>
            <color indexed="81"/>
            <rFont val="Tahoma"/>
            <family val="2"/>
          </rPr>
          <t>Turning to subscriptions, platforms and devices. We continue to deliver significant growth in our subscriptions business which drives the majority of revenue growth in this line. The sequential quarterly decline in year-on-year revenue growth for the line in Q1 versus Q4 reflects in part the fact that we had only one week of Sunday Ticket subscription revenue in Q1 versus 14 weeks in Q4.
Looking forward, we will anniversary last year's price increase in YouTube TV, starting in May. With regard to platforms, we are pleased with the performance in Play, driven by an increase in buyers.
Q1 results reflect the benefit of leap year, which contributed slightly more than 1 point to our revenue growth rate at the consolidated level in the first quarter.</t>
        </r>
      </text>
    </comment>
    <comment ref="EI43" authorId="0" shapeId="0" xr:uid="{4DDDF22C-2177-4F08-8E2F-938188AE7D5A}">
      <text>
        <r>
          <rPr>
            <b/>
            <sz val="9"/>
            <color indexed="81"/>
            <rFont val="Tahoma"/>
            <family val="2"/>
          </rPr>
          <t xml:space="preserve">2Q24:
</t>
        </r>
        <r>
          <rPr>
            <sz val="9"/>
            <color indexed="81"/>
            <rFont val="Tahoma"/>
            <family val="2"/>
          </rPr>
          <t>Turning to subscriptions, platforms, and devices. 
First, we continue to have significant growth in our subscriptions business, which drives the majority of revenue growth in this line. However, there was a sequential decline in the year-on-year growth rate as we anniversaried the impact of our price increase for YouTube TV in the second quarter last year. The impact will persist through the balance of the year. 
Second, with regard to platforms, we are pleased with the performance in play driven by an increase in buyers. Finally, with respect to devices, the most important point as we look forward is that our made by Google Launches have been pulled forward into the third quarter from the fourth quarter last year, benefiting from revenues in Q3 this year.</t>
        </r>
      </text>
    </comment>
    <comment ref="EJ43" authorId="0" shapeId="0" xr:uid="{305BD82B-53EA-42D5-AD40-8AE370881BFC}">
      <text>
        <r>
          <rPr>
            <b/>
            <sz val="9"/>
            <color indexed="81"/>
            <rFont val="Tahoma"/>
            <family val="2"/>
          </rPr>
          <t xml:space="preserve">3Q24: </t>
        </r>
        <r>
          <rPr>
            <sz val="9"/>
            <color indexed="81"/>
            <rFont val="Tahoma"/>
            <family val="2"/>
          </rPr>
          <t>SPD revenue in 4Q will see headwind from the pull forward of Made by Google launches into the 3Q in 2024</t>
        </r>
        <r>
          <rPr>
            <b/>
            <sz val="9"/>
            <color indexed="81"/>
            <rFont val="Tahoma"/>
            <family val="2"/>
          </rPr>
          <t xml:space="preserve">
1Q24: </t>
        </r>
        <r>
          <rPr>
            <sz val="9"/>
            <color indexed="81"/>
            <rFont val="Tahoma"/>
            <family val="2"/>
          </rPr>
          <t xml:space="preserve">we expect YouTube overall and Cloud to exit 2024 at a combined annual run rate of </t>
        </r>
        <r>
          <rPr>
            <b/>
            <sz val="9"/>
            <color indexed="81"/>
            <rFont val="Tahoma"/>
            <family val="2"/>
          </rPr>
          <t>over $100 billion</t>
        </r>
      </text>
    </comment>
    <comment ref="DR47" authorId="0" shapeId="0" xr:uid="{00000000-0006-0000-0200-000020000000}">
      <text>
        <r>
          <rPr>
            <b/>
            <sz val="9"/>
            <color indexed="81"/>
            <rFont val="Tahoma"/>
            <family val="2"/>
          </rPr>
          <t xml:space="preserve">@4Q20: </t>
        </r>
        <r>
          <rPr>
            <sz val="9"/>
            <color indexed="81"/>
            <rFont val="Tahoma"/>
            <family val="2"/>
          </rPr>
          <t>With respect to other revenues, with the closing of the Fitbit acquisition earlier this month, we will be reporting its revenues within Google Other.</t>
        </r>
      </text>
    </comment>
    <comment ref="DW47" authorId="0" shapeId="0" xr:uid="{00000000-0006-0000-0200-000021000000}">
      <text>
        <r>
          <rPr>
            <b/>
            <sz val="9"/>
            <color indexed="81"/>
            <rFont val="Tahoma"/>
            <family val="2"/>
          </rPr>
          <t xml:space="preserve">@4Q20: </t>
        </r>
        <r>
          <rPr>
            <sz val="9"/>
            <color indexed="81"/>
            <rFont val="Tahoma"/>
            <family val="2"/>
          </rPr>
          <t>With respect to other revenues, with the closing of the Fitbit acquisition earlier this month, we will be reporting its revenues within Google Other.</t>
        </r>
      </text>
    </comment>
    <comment ref="DV54" authorId="0" shapeId="0" xr:uid="{00000000-0006-0000-0200-000022000000}">
      <text>
        <r>
          <rPr>
            <b/>
            <sz val="9"/>
            <color indexed="81"/>
            <rFont val="Tahoma"/>
            <family val="2"/>
          </rPr>
          <t xml:space="preserve">@4Q20: </t>
        </r>
        <r>
          <rPr>
            <sz val="9"/>
            <color indexed="81"/>
            <rFont val="Tahoma"/>
            <family val="2"/>
          </rPr>
          <t>For Google Services, we're encouraged by the increase in consumer online activity and the return of advertiser spend as reflected in our Q4 results. Looking forward to 2021, year-over-year quarterly comparisons will be affected meaningfully by the impact of COVID last year with easier comps in the first half especially in Q2 and then lapping stronger performance in the second half.</t>
        </r>
      </text>
    </comment>
    <comment ref="A57" authorId="0" shapeId="0" xr:uid="{00000000-0006-0000-0200-000023000000}">
      <text>
        <r>
          <rPr>
            <b/>
            <sz val="9"/>
            <color indexed="81"/>
            <rFont val="Tahoma"/>
            <family val="2"/>
          </rPr>
          <t>GCP + GSuite</t>
        </r>
      </text>
    </comment>
    <comment ref="DA57" authorId="0" shapeId="0" xr:uid="{00000000-0006-0000-0200-000024000000}">
      <text>
        <r>
          <rPr>
            <b/>
            <sz val="9"/>
            <color indexed="81"/>
            <rFont val="Tahoma"/>
            <family val="2"/>
          </rPr>
          <t>@4Q17 call:</t>
        </r>
        <r>
          <rPr>
            <sz val="9"/>
            <color indexed="81"/>
            <rFont val="Tahoma"/>
            <family val="2"/>
          </rPr>
          <t xml:space="preserve"> Google Cloud, which includes Google Cloud Platform and G Suite, has reached meaningful scale, and I’m excited to share today that it’s already a billion dollar per quarter business.</t>
        </r>
        <r>
          <rPr>
            <b/>
            <sz val="9"/>
            <color indexed="81"/>
            <rFont val="Tahoma"/>
            <family val="2"/>
          </rPr>
          <t xml:space="preserve">
</t>
        </r>
        <r>
          <rPr>
            <sz val="9"/>
            <color indexed="81"/>
            <rFont val="Tahoma"/>
            <family val="2"/>
          </rPr>
          <t>surpassed another new milestone--4 million paying customers on G Suite.</t>
        </r>
      </text>
    </comment>
    <comment ref="DI57" authorId="0" shapeId="0" xr:uid="{00000000-0006-0000-0200-000025000000}">
      <text>
        <r>
          <rPr>
            <b/>
            <sz val="9"/>
            <color indexed="81"/>
            <rFont val="Tahoma"/>
            <family val="2"/>
          </rPr>
          <t xml:space="preserve">@2Q19 call: </t>
        </r>
        <r>
          <rPr>
            <sz val="9"/>
            <color indexed="81"/>
            <rFont val="Tahoma"/>
            <family val="2"/>
          </rPr>
          <t>Q2 was another strong quarter for Google Cloud, which reached an annual revenue run rate of over $8 billion and continues to grow at a significant pace.</t>
        </r>
      </text>
    </comment>
    <comment ref="DK57" authorId="0" shapeId="0" xr:uid="{00000000-0006-0000-0200-000026000000}">
      <text>
        <r>
          <rPr>
            <b/>
            <sz val="9"/>
            <color indexed="81"/>
            <rFont val="Tahoma"/>
            <family val="2"/>
          </rPr>
          <t xml:space="preserve">@4Q: </t>
        </r>
        <r>
          <rPr>
            <sz val="9"/>
            <color indexed="81"/>
            <rFont val="Tahoma"/>
            <family val="2"/>
          </rPr>
          <t>backlog of $11.4B</t>
        </r>
      </text>
    </comment>
    <comment ref="DM57" authorId="0" shapeId="0" xr:uid="{00000000-0006-0000-0200-000027000000}">
      <text>
        <r>
          <rPr>
            <b/>
            <sz val="9"/>
            <color indexed="81"/>
            <rFont val="Tahoma"/>
            <family val="2"/>
          </rPr>
          <t xml:space="preserve">@1Q: </t>
        </r>
        <r>
          <rPr>
            <sz val="9"/>
            <color indexed="81"/>
            <rFont val="Tahoma"/>
            <family val="2"/>
          </rPr>
          <t xml:space="preserve">Turning to Google Cloud including GCP and G Suite, revenues were $2.4 billion for the first quarter up 52% year-over-year </t>
        </r>
        <r>
          <rPr>
            <u/>
            <sz val="9"/>
            <color indexed="81"/>
            <rFont val="Tahoma"/>
            <family val="2"/>
          </rPr>
          <t>driven by significant growth at GCP</t>
        </r>
        <r>
          <rPr>
            <sz val="9"/>
            <color indexed="81"/>
            <rFont val="Tahoma"/>
            <family val="2"/>
          </rPr>
          <t xml:space="preserve"> and </t>
        </r>
        <r>
          <rPr>
            <u/>
            <sz val="9"/>
            <color indexed="81"/>
            <rFont val="Tahoma"/>
            <family val="2"/>
          </rPr>
          <t>ongoing strong growth at G Suite</t>
        </r>
        <r>
          <rPr>
            <sz val="9"/>
            <color indexed="81"/>
            <rFont val="Tahoma"/>
            <family val="2"/>
          </rPr>
          <t xml:space="preserve">. 
Once again the growth rate at GCP was meaningfully higher than that of Cloud overall. GCP growth was led by our infrastructure offerings and our data and analytics platform.
We're pleased with the ongoing growth in G Suite which continues to reflect </t>
        </r>
        <r>
          <rPr>
            <u/>
            <sz val="9"/>
            <color indexed="81"/>
            <rFont val="Tahoma"/>
            <family val="2"/>
          </rPr>
          <t>growth in both seat count and average revenue per seat</t>
        </r>
        <r>
          <rPr>
            <sz val="9"/>
            <color indexed="81"/>
            <rFont val="Tahoma"/>
            <family val="2"/>
          </rPr>
          <t>. 
With respect to the implications of the global crisis for Google Cloud, we're proud of the accelerated traction we achieved across sectors including public sector and health care for disease monitoring and control, working with leading retailers on demand forecasting, working with companies across media and communications to enhance their customer service, and across industries on supply chain optimizations.</t>
        </r>
      </text>
    </comment>
    <comment ref="DN57" authorId="0" shapeId="0" xr:uid="{00000000-0006-0000-0200-000028000000}">
      <text>
        <r>
          <rPr>
            <b/>
            <sz val="9"/>
            <color indexed="81"/>
            <rFont val="Tahoma"/>
            <family val="2"/>
          </rPr>
          <t>@2Q20:</t>
        </r>
        <r>
          <rPr>
            <sz val="9"/>
            <color indexed="81"/>
            <rFont val="Tahoma"/>
            <family val="2"/>
          </rPr>
          <t xml:space="preserve"> This is reflected in the strength of our backlog which ended the quarter at $14.8 billion, substantially all of which relates to Google Cloud.</t>
        </r>
        <r>
          <rPr>
            <b/>
            <sz val="9"/>
            <color indexed="81"/>
            <rFont val="Tahoma"/>
            <family val="2"/>
          </rPr>
          <t xml:space="preserve">
@1Q: </t>
        </r>
        <r>
          <rPr>
            <sz val="9"/>
            <color indexed="81"/>
            <rFont val="Tahoma"/>
            <family val="2"/>
          </rPr>
          <t xml:space="preserve">In terms of Google Cloud, we remain very pleased with the execution by the team, reflected in the ongoing pace of customer adoption of both GCP industry specific solutions and G Suite collaboration tools to help businesses operate efficiently and effectively.
</t>
        </r>
        <r>
          <rPr>
            <b/>
            <sz val="9"/>
            <color indexed="81"/>
            <rFont val="Tahoma"/>
            <family val="2"/>
          </rPr>
          <t xml:space="preserve">1Q 10Q: </t>
        </r>
        <r>
          <rPr>
            <sz val="9"/>
            <color indexed="81"/>
            <rFont val="Tahoma"/>
            <family val="2"/>
          </rPr>
          <t>backlog of $12.8B w/50% to be recognized in 24months</t>
        </r>
      </text>
    </comment>
    <comment ref="DO57" authorId="0" shapeId="0" xr:uid="{00000000-0006-0000-0200-000029000000}">
      <text>
        <r>
          <rPr>
            <b/>
            <sz val="9"/>
            <color indexed="81"/>
            <rFont val="Tahoma"/>
            <family val="2"/>
          </rPr>
          <t>3Q20 10Q: $19B</t>
        </r>
      </text>
    </comment>
    <comment ref="DP57" authorId="0" shapeId="0" xr:uid="{00000000-0006-0000-0200-00002A000000}">
      <text>
        <r>
          <rPr>
            <b/>
            <sz val="9"/>
            <color indexed="81"/>
            <rFont val="Tahoma"/>
            <family val="2"/>
          </rPr>
          <t>@4Q20: $30B in back-log</t>
        </r>
      </text>
    </comment>
    <comment ref="DR57" authorId="0" shapeId="0" xr:uid="{00000000-0006-0000-0200-00002B000000}">
      <text>
        <r>
          <rPr>
            <b/>
            <sz val="9"/>
            <color indexed="81"/>
            <rFont val="Tahoma"/>
            <family val="2"/>
          </rPr>
          <t>1Q21 10Q: $30.7B backlog</t>
        </r>
      </text>
    </comment>
    <comment ref="DS57" authorId="0" shapeId="0" xr:uid="{00000000-0006-0000-0200-00002C000000}">
      <text>
        <r>
          <rPr>
            <b/>
            <sz val="9"/>
            <color indexed="81"/>
            <rFont val="Tahoma"/>
            <family val="2"/>
          </rPr>
          <t>2Q21 10Q: $35.3B backlog</t>
        </r>
      </text>
    </comment>
    <comment ref="DT57" authorId="0" shapeId="0" xr:uid="{00000000-0006-0000-0200-00002D000000}">
      <text>
        <r>
          <rPr>
            <b/>
            <sz val="9"/>
            <color indexed="81"/>
            <rFont val="Tahoma"/>
            <family val="2"/>
          </rPr>
          <t>3Q21 10Q: $37.1B backlog</t>
        </r>
      </text>
    </comment>
    <comment ref="DU57" authorId="0" shapeId="0" xr:uid="{00000000-0006-0000-0200-00002E000000}">
      <text>
        <r>
          <rPr>
            <b/>
            <sz val="9"/>
            <color indexed="81"/>
            <rFont val="Tahoma"/>
            <family val="2"/>
          </rPr>
          <t>4Q21 Call: $51B backlog...</t>
        </r>
      </text>
    </comment>
    <comment ref="DW57" authorId="0" shapeId="0" xr:uid="{00000000-0006-0000-0200-00002F000000}">
      <text>
        <r>
          <rPr>
            <b/>
            <sz val="9"/>
            <color indexed="81"/>
            <rFont val="Tahoma"/>
            <family val="2"/>
          </rPr>
          <t>1Q22 10Q: $50.5B backlog...</t>
        </r>
      </text>
    </comment>
    <comment ref="DX57" authorId="0" shapeId="0" xr:uid="{00000000-0006-0000-0200-000030000000}">
      <text>
        <r>
          <rPr>
            <b/>
            <sz val="9"/>
            <color indexed="81"/>
            <rFont val="Tahoma"/>
            <family val="2"/>
          </rPr>
          <t>@2Q21 10Q: $51.2B backlog</t>
        </r>
      </text>
    </comment>
    <comment ref="DY57" authorId="0" shapeId="0" xr:uid="{300425C2-FCB8-4D42-A81F-DD938D0414FE}">
      <text>
        <r>
          <rPr>
            <b/>
            <sz val="9"/>
            <color indexed="81"/>
            <rFont val="Tahoma"/>
            <family val="2"/>
          </rPr>
          <t xml:space="preserve">@3Q22 10Q: $52.4B backlog… </t>
        </r>
        <r>
          <rPr>
            <sz val="9"/>
            <color indexed="81"/>
            <rFont val="Tahoma"/>
            <family val="2"/>
          </rPr>
          <t xml:space="preserve">
Mandiant closed on 9/13… therefore we assume ~20% of ~$140M revs for the full quarter was incremental (or ~50bps of incremental growth)</t>
        </r>
      </text>
    </comment>
    <comment ref="DZ57" authorId="0" shapeId="0" xr:uid="{C6A4035B-5DEE-407B-8CA1-5AE0BFF918CA}">
      <text>
        <r>
          <rPr>
            <b/>
            <sz val="9"/>
            <color indexed="81"/>
            <rFont val="Tahoma"/>
            <family val="2"/>
          </rPr>
          <t>22 10K:
Backlog $64.3B</t>
        </r>
      </text>
    </comment>
    <comment ref="EB57" authorId="0" shapeId="0" xr:uid="{9C1D94F2-2331-42B8-BBE3-8F47E12933F1}">
      <text>
        <r>
          <rPr>
            <b/>
            <sz val="9"/>
            <color indexed="81"/>
            <rFont val="Tahoma"/>
            <family val="2"/>
          </rPr>
          <t>1Q23 10Q:</t>
        </r>
        <r>
          <rPr>
            <b/>
            <sz val="9"/>
            <color indexed="81"/>
            <rFont val="Tahoma"/>
            <family val="2"/>
          </rPr>
          <t xml:space="preserve"> </t>
        </r>
        <r>
          <rPr>
            <sz val="9"/>
            <color indexed="81"/>
            <rFont val="Tahoma"/>
            <family val="2"/>
          </rPr>
          <t xml:space="preserve">As of March 31, 2023, we had </t>
        </r>
        <r>
          <rPr>
            <b/>
            <sz val="9"/>
            <color indexed="81"/>
            <rFont val="Tahoma"/>
            <family val="2"/>
          </rPr>
          <t>$61.7B of revenue backlog</t>
        </r>
        <r>
          <rPr>
            <sz val="9"/>
            <color indexed="81"/>
            <rFont val="Tahoma"/>
            <family val="2"/>
          </rPr>
          <t xml:space="preserve"> primarily related to Google Cloud.</t>
        </r>
      </text>
    </comment>
    <comment ref="EC57" authorId="0" shapeId="0" xr:uid="{F57B7895-05EB-4A3B-AB86-69EDFE82CDDE}">
      <text>
        <r>
          <rPr>
            <b/>
            <sz val="9"/>
            <color indexed="81"/>
            <rFont val="Tahoma"/>
            <family val="2"/>
          </rPr>
          <t xml:space="preserve">1Q23 10Q: </t>
        </r>
        <r>
          <rPr>
            <sz val="9"/>
            <color indexed="81"/>
            <rFont val="Tahoma"/>
            <family val="2"/>
          </rPr>
          <t xml:space="preserve">As of June 30, 2023, we had </t>
        </r>
        <r>
          <rPr>
            <b/>
            <sz val="9"/>
            <color indexed="81"/>
            <rFont val="Tahoma"/>
            <family val="2"/>
          </rPr>
          <t>$60.6</t>
        </r>
        <r>
          <rPr>
            <sz val="9"/>
            <color indexed="81"/>
            <rFont val="Tahoma"/>
            <family val="2"/>
          </rPr>
          <t xml:space="preserve"> billion of remaining performance obligations (“revenue backlog”), primarily related to Google Cloud.</t>
        </r>
      </text>
    </comment>
    <comment ref="ED57" authorId="0" shapeId="0" xr:uid="{A880E651-BD97-4B8A-9D53-17C5B1E672C2}">
      <text>
        <r>
          <rPr>
            <b/>
            <sz val="9"/>
            <color indexed="81"/>
            <rFont val="Tahoma"/>
            <family val="2"/>
          </rPr>
          <t xml:space="preserve">3Q23 10Q: </t>
        </r>
        <r>
          <rPr>
            <sz val="9"/>
            <color indexed="81"/>
            <rFont val="Tahoma"/>
            <family val="2"/>
          </rPr>
          <t xml:space="preserve">As of September 30, 2023, we had </t>
        </r>
        <r>
          <rPr>
            <b/>
            <sz val="9"/>
            <color indexed="81"/>
            <rFont val="Tahoma"/>
            <family val="2"/>
          </rPr>
          <t>$64.9</t>
        </r>
        <r>
          <rPr>
            <sz val="9"/>
            <color indexed="81"/>
            <rFont val="Tahoma"/>
            <family val="2"/>
          </rPr>
          <t xml:space="preserve"> billion of remaining performance obligations (“revenue backlog”), primarily related to Google Cloud.
Google Cloud revenues increased $1.5 billion and $4.9 billion from the three and nine months endedSeptember 30, 2022 to the three and nine months ended September 30, 2023, respectively. Growth wasprimarily driven by Google Cloud Platform followed by Google Workspace offerings. Google Cloud'sinfrastructure and platform services were the largest drivers of growth in Google Cloud Platform.</t>
        </r>
      </text>
    </comment>
    <comment ref="EG57" authorId="0" shapeId="0" xr:uid="{512E3861-00D1-4B60-8DB0-B6904A168609}">
      <text>
        <r>
          <rPr>
            <b/>
            <sz val="9"/>
            <color indexed="81"/>
            <rFont val="Tahoma"/>
            <family val="2"/>
          </rPr>
          <t xml:space="preserve">1Q24: </t>
        </r>
        <r>
          <rPr>
            <sz val="9"/>
            <color indexed="81"/>
            <rFont val="Tahoma"/>
            <family val="2"/>
          </rPr>
          <t>With respect to Google Cloud, performance in Q1 reflects strong demand for our GCP infrastructure and solutions as well as the contribution from our Workspace productivity tools. The growth we are seeing across Cloud is underpinned by the benefit AI provides for our customers.</t>
        </r>
      </text>
    </comment>
    <comment ref="EH57" authorId="0" shapeId="0" xr:uid="{5671559C-2F82-4CA7-A687-C3D8E09EF3F1}">
      <text>
        <r>
          <rPr>
            <b/>
            <sz val="9"/>
            <color indexed="81"/>
            <rFont val="Tahoma"/>
            <family val="2"/>
          </rPr>
          <t xml:space="preserve">1Q24: </t>
        </r>
        <r>
          <rPr>
            <sz val="9"/>
            <color indexed="81"/>
            <rFont val="Tahoma"/>
            <family val="2"/>
          </rPr>
          <t>Q1 results reflect the benefit of leap year, which contributed slightly more than 1 point to our revenue growth rate at the consolidated level in the first quarter.</t>
        </r>
      </text>
    </comment>
    <comment ref="EI57" authorId="0" shapeId="0" xr:uid="{8F862E5A-4C65-47B1-B722-605FA929892B}">
      <text>
        <r>
          <rPr>
            <b/>
            <sz val="9"/>
            <color indexed="81"/>
            <rFont val="Tahoma"/>
            <family val="2"/>
          </rPr>
          <t xml:space="preserve">2Q23:
</t>
        </r>
        <r>
          <rPr>
            <sz val="9"/>
            <color indexed="81"/>
            <rFont val="Tahoma"/>
            <family val="2"/>
          </rPr>
          <t>Turning to Cloud, which continued to deliver very strong result. For the first time, Cloud crossed $10 billion in quarterly revenues and $1 billion in quarterly operating profit. As Sundar noted, year-to-date our AI infrastructure and generative AI solutions for Cloud customers have already generated billions in revenues and are being used by more than 2 million developers. We're particularly encouraged that the majority of our top 100 customers are already using our generative AI solutions. We continue to invest aggressively in the business.</t>
        </r>
      </text>
    </comment>
    <comment ref="EJ57" authorId="0" shapeId="0" xr:uid="{AB37284C-0BAA-4ACF-AFA1-1B3558C15FD4}">
      <text>
        <r>
          <rPr>
            <b/>
            <sz val="9"/>
            <color indexed="81"/>
            <rFont val="Tahoma"/>
            <family val="2"/>
          </rPr>
          <t xml:space="preserve">1Q24: </t>
        </r>
        <r>
          <rPr>
            <sz val="9"/>
            <color indexed="81"/>
            <rFont val="Tahoma"/>
            <family val="2"/>
          </rPr>
          <t xml:space="preserve">we expect YouTube overall and Cloud to exit 2024 at a combined annual run rate of </t>
        </r>
        <r>
          <rPr>
            <b/>
            <sz val="9"/>
            <color indexed="81"/>
            <rFont val="Tahoma"/>
            <family val="2"/>
          </rPr>
          <t>over $100 billion</t>
        </r>
      </text>
    </comment>
    <comment ref="EN57" authorId="0" shapeId="0" xr:uid="{26E1690E-BD95-4691-B08A-62542287C294}">
      <text>
        <r>
          <rPr>
            <b/>
            <sz val="9"/>
            <color indexed="81"/>
            <rFont val="Tahoma"/>
            <family val="2"/>
          </rPr>
          <t xml:space="preserve">2Q25: </t>
        </r>
        <r>
          <rPr>
            <sz val="9"/>
            <color indexed="81"/>
            <rFont val="Tahoma"/>
            <family val="2"/>
          </rPr>
          <t>Cloud, as I mentioned, the demand for our products is high as evidenced by the continued revenue growth and the Cloud backlog of $106 billion. While we have been working hard to increase capacity and have improved the pace of server deployment, we expect to remain in a tight demand-supply environment going into 2026.</t>
        </r>
      </text>
    </comment>
    <comment ref="EO57" authorId="0" shapeId="0" xr:uid="{2BEBC711-96F5-48BD-AE5D-7556B02CF805}">
      <text>
        <r>
          <rPr>
            <b/>
            <sz val="9"/>
            <color indexed="81"/>
            <rFont val="Tahoma"/>
            <family val="2"/>
          </rPr>
          <t xml:space="preserve">2Q25: </t>
        </r>
        <r>
          <rPr>
            <sz val="9"/>
            <color indexed="81"/>
            <rFont val="Tahoma"/>
            <family val="2"/>
          </rPr>
          <t>Cloud, as I mentioned, the demand for our products is high as evidenced by the continued revenue growth and the Cloud backlog of $106 billion. While we have been working hard to increase capacity and have improved the pace of server deployment, we expect to remain in a tight demand-supply environment going into 2026.</t>
        </r>
      </text>
    </comment>
    <comment ref="EP57" authorId="0" shapeId="0" xr:uid="{05BAA535-2A07-4128-BD06-7B06E068F958}">
      <text>
        <r>
          <rPr>
            <b/>
            <sz val="9"/>
            <color indexed="81"/>
            <rFont val="Tahoma"/>
            <family val="2"/>
          </rPr>
          <t xml:space="preserve">2Q25: </t>
        </r>
        <r>
          <rPr>
            <sz val="9"/>
            <color indexed="81"/>
            <rFont val="Tahoma"/>
            <family val="2"/>
          </rPr>
          <t>Cloud, as I mentioned, the demand for our products is high as evidenced by the continued revenue growth and the Cloud backlog of $106 billion. While we have been working hard to increase capacity and have improved the pace of server deployment, we expect to remain in a tight demand-supply environment going into 2026.</t>
        </r>
      </text>
    </comment>
    <comment ref="EU57" authorId="0" shapeId="0" xr:uid="{2BDC273B-CF48-46E6-9CD8-0AC1750AE5DF}">
      <text>
        <r>
          <rPr>
            <b/>
            <sz val="9"/>
            <color indexed="81"/>
            <rFont val="Tahoma"/>
            <family val="2"/>
          </rPr>
          <t xml:space="preserve">2Q25: </t>
        </r>
        <r>
          <rPr>
            <sz val="9"/>
            <color indexed="81"/>
            <rFont val="Tahoma"/>
            <family val="2"/>
          </rPr>
          <t>Cloud, as I mentioned, the demand for our products is high as evidenced by the continued revenue growth and the Cloud backlog of $106 billion. While we have been working hard to increase capacity and have improved the pace of server deployment, we expect to remain in a tight demand-supply environment going into 2026.</t>
        </r>
      </text>
    </comment>
    <comment ref="CY64" authorId="0" shapeId="0" xr:uid="{00000000-0006-0000-0200-000031000000}">
      <text>
        <r>
          <rPr>
            <b/>
            <sz val="9"/>
            <color indexed="81"/>
            <rFont val="Tahoma"/>
            <family val="2"/>
          </rPr>
          <t xml:space="preserve">@1Q18: Restated to include Nest in Google Other
@2Q: </t>
        </r>
        <r>
          <rPr>
            <sz val="9"/>
            <color indexed="81"/>
            <rFont val="Tahoma"/>
            <family val="2"/>
          </rPr>
          <t xml:space="preserve">Other Bets revenues were $248 million, primarily generated by Nest, Fiber, and Verily. 
We're pleased with our progress across Other Bets. A couple of updates, Nest continues to drive ongoing product expansion such as our recent introduction of the indoor security camera, Nest Cam IQ, as well as geographic expansion, both of which support its position as the leading brand in the connected home.
In life sciences, in addition to our progress at Verily, Calico has focused its efforts on the basic mechanisms of aging and three aging related diseases representing the leading causes of death. Calico has established more than 20 active collaborations with other life sciences companies and academic institutions.
With Loon, we recently demonstrated the technology in Peru by successfully delivering basic Internet connectivity to tens of thousands of people affected by the tragic floods there. We worked in partnership with the Peruvian government and Telefónica. And our progress with Waymo continues nicely, as is reflected in the rider program in Phoenix and our recently announced partnerships with Lyft and Avis.
</t>
        </r>
      </text>
    </comment>
    <comment ref="CZ64" authorId="0" shapeId="0" xr:uid="{00000000-0006-0000-0200-000032000000}">
      <text>
        <r>
          <rPr>
            <b/>
            <sz val="9"/>
            <color indexed="81"/>
            <rFont val="Tahoma"/>
            <family val="2"/>
          </rPr>
          <t xml:space="preserve">@1Q18: Restated to include Nest in Google Other
@3Q: </t>
        </r>
        <r>
          <rPr>
            <sz val="9"/>
            <color indexed="81"/>
            <rFont val="Tahoma"/>
            <family val="2"/>
          </rPr>
          <t xml:space="preserve">Other Bets revenues were $302 million, primarily generated by Nest, Fiber, and Verily. </t>
        </r>
      </text>
    </comment>
    <comment ref="DA64" authorId="0" shapeId="0" xr:uid="{00000000-0006-0000-0200-000033000000}">
      <text>
        <r>
          <rPr>
            <b/>
            <sz val="9"/>
            <color indexed="81"/>
            <rFont val="Tahoma"/>
            <family val="2"/>
          </rPr>
          <t xml:space="preserve">@1Q18: Restated to include Nest in Google Other
@4Q: </t>
        </r>
        <r>
          <rPr>
            <sz val="9"/>
            <color indexed="81"/>
            <rFont val="Tahoma"/>
            <family val="2"/>
          </rPr>
          <t>Other Bets revenues were $1.2 billion, up 49% versus 2016, primarily generated by Nest, Fiber and Verily.
We're pleased with our progress across Other Bets. A couple of updates. Nest turned in a strong holiday performance in the fourth quarter across an expanded family of products in energy, safety and security. In 2017, Nest products also became available in 12 new countries, more than double the number in 2016.
Verily wrapped up its first field study, seeking to reduce the transmission of diseases through mosquitoes with positive results, and just last week, Onduo, a joint venture between Verily and Sanofi, began a limited commercial launch of its diabetes management platform.
At Waymo, progress is accelerating. For example, Waymo surpassed 4 million miles of driving in the real world, taking only six months to achieve the last million miles compared to about 18 months for our first million miles. And in November, Waymo announced that it is the only company to have a fleet of driverless cars on public roads that are completely autonomous without anyone in the driver seat</t>
        </r>
      </text>
    </comment>
    <comment ref="DC64" authorId="0" shapeId="0" xr:uid="{00000000-0006-0000-0200-000034000000}">
      <text>
        <r>
          <rPr>
            <b/>
            <sz val="9"/>
            <color indexed="81"/>
            <rFont val="Tahoma"/>
            <family val="2"/>
          </rPr>
          <t xml:space="preserve">@1Q: </t>
        </r>
        <r>
          <rPr>
            <sz val="9"/>
            <color indexed="81"/>
            <rFont val="Tahoma"/>
            <family val="2"/>
          </rPr>
          <t>Other Bets revenues were $150 million, primarily generated by Fiber and Verily. As a reminder, Nest results are now reported as part of the Google segment with revenues reflected in the Google other revenues line.
We're pleased with our progress across Other Bets. A couple of updates. At Waymo, we have achieved five million miles of driving on city streets, adding the latest million in just three months. We also announced the long-term partnership with Jaguar Land Rover for their fully-electric I-PACE vehicles. Verily is seeing good progress with Onduo, its joint venture with Sanofi. The company has made its diabetes management platform commercially available in three states with Blue Cross Blue Shield of Arkansas and South Carolina, and Anthem's health plan in Georgia.</t>
        </r>
      </text>
    </comment>
    <comment ref="DD64" authorId="0" shapeId="0" xr:uid="{00000000-0006-0000-0200-000035000000}">
      <text>
        <r>
          <rPr>
            <b/>
            <sz val="9"/>
            <color indexed="81"/>
            <rFont val="Tahoma"/>
            <family val="2"/>
          </rPr>
          <t xml:space="preserve">@2Q: 
</t>
        </r>
        <r>
          <rPr>
            <sz val="9"/>
            <color indexed="81"/>
            <rFont val="Tahoma"/>
            <family val="2"/>
          </rPr>
          <t>Other Bets revenues were $145 million, primarily generated by Fiber and Verily.
We’re pleased with our progress across Other Bets. A couple of updates: Waymo expanded its partnership with Fiat Chrysler, with the option to add up to 62,000 Chrysler Pacifica minivans to its self-driving fleet. And last week, Waymo announced that it has driven more than 8 million fully autonomous miles, with most of those on city streets. A couple of weeks ago, X announced that Loon and Wing have graduated to become independent companies under Alphabet. Graduation from X signals that these companies have reached certain technical and business milestones and that their focus is shifting toward commercialization. And just last week, Loon indicated that it is partnering with Telkom Kenya to launch commercial service in regions of Kenya by early 2019.</t>
        </r>
      </text>
    </comment>
    <comment ref="DE64" authorId="0" shapeId="0" xr:uid="{00000000-0006-0000-0200-000036000000}">
      <text>
        <r>
          <rPr>
            <b/>
            <sz val="9"/>
            <color indexed="81"/>
            <rFont val="Tahoma"/>
            <family val="2"/>
          </rPr>
          <t>@3Q18:</t>
        </r>
        <r>
          <rPr>
            <sz val="9"/>
            <color indexed="81"/>
            <rFont val="Tahoma"/>
            <family val="2"/>
          </rPr>
          <t xml:space="preserve"> primarily generated by Fiber and Verily
Other Bet updates for the quarter, with Waymo in the third quarter, we've built on our Early Rider Program both expanding the group of participants and beginning to test pricing models.
At Verily, the team continues to execute on its various partnerships with leading pharmaceutical companies, consistent with its mission to move medicine from reactive to proactive. Recently launched efforts included joint venture with ResMed to focus on sleeping disorders and a research collaboration with Gilead. 
Finally, you can see in our results the benefit and quality of our investment teams GV and CapitalG which were also within Other Bets. Within the $1.4 billion of reported gains and equity securities in OI&amp;E, approximately $400 million was realized in Q3. There will be more detail on these investment activities in the 10-Q.
Other Bets remains a portfolio of earlier stage businesses focused on addressing sizable markets. We are moving toward early stages of commercialization, while continuing to calibrate the pace of investment against achievement of key milestones.</t>
        </r>
      </text>
    </comment>
    <comment ref="EG69" authorId="0" shapeId="0" xr:uid="{513B1E85-3F6A-4B0D-B240-2A54A59C307F}">
      <text>
        <r>
          <rPr>
            <b/>
            <sz val="9"/>
            <color indexed="81"/>
            <rFont val="Tahoma"/>
            <family val="2"/>
          </rPr>
          <t xml:space="preserve">1Q24: </t>
        </r>
        <r>
          <rPr>
            <sz val="9"/>
            <color indexed="81"/>
            <rFont val="Tahoma"/>
            <family val="2"/>
          </rPr>
          <t>Q1 results reflect the benefit of leap year, which contributed slightly more than 1 point to our revenue growth rate at the consolidated level in the first quarter.</t>
        </r>
      </text>
    </comment>
    <comment ref="EL69" authorId="0" shapeId="0" xr:uid="{F57815D4-1CAD-4DC8-A861-FABA353A0675}">
      <text>
        <r>
          <rPr>
            <b/>
            <sz val="9"/>
            <color indexed="81"/>
            <rFont val="Tahoma"/>
            <family val="2"/>
          </rPr>
          <t xml:space="preserve">4Q24: </t>
        </r>
        <r>
          <rPr>
            <sz val="9"/>
            <color indexed="81"/>
            <rFont val="Tahoma"/>
            <family val="2"/>
          </rPr>
          <t>Tough leap year comp… FX headwind bigger than in 4Q</t>
        </r>
      </text>
    </comment>
    <comment ref="EH70" authorId="0" shapeId="0" xr:uid="{13141929-CDE2-4FF1-B827-4BF18D5EDC43}">
      <text>
        <r>
          <rPr>
            <b/>
            <sz val="9"/>
            <color indexed="81"/>
            <rFont val="Tahoma"/>
            <family val="2"/>
          </rPr>
          <t xml:space="preserve">1Q24: </t>
        </r>
        <r>
          <rPr>
            <sz val="9"/>
            <color indexed="81"/>
            <rFont val="Tahoma"/>
            <family val="2"/>
          </rPr>
          <t>at current spot rates, we expect a larger headwind from foreign exchange in Q2 versus Q1.</t>
        </r>
      </text>
    </comment>
    <comment ref="EH73" authorId="0" shapeId="0" xr:uid="{B19A1C9F-14BF-4BD6-BE7A-379E26F90B9E}">
      <text>
        <r>
          <rPr>
            <b/>
            <sz val="9"/>
            <color indexed="81"/>
            <rFont val="Tahoma"/>
            <family val="2"/>
          </rPr>
          <t xml:space="preserve">1Q24: </t>
        </r>
        <r>
          <rPr>
            <sz val="9"/>
            <color indexed="81"/>
            <rFont val="Tahoma"/>
            <family val="2"/>
          </rPr>
          <t>at current spot rates, we expect a larger headwind from foreign exchange in Q2 versus Q1.</t>
        </r>
      </text>
    </comment>
    <comment ref="A90" authorId="0" shapeId="0" xr:uid="{00000000-0006-0000-0200-000037000000}">
      <text>
        <r>
          <rPr>
            <b/>
            <sz val="9"/>
            <color indexed="81"/>
            <rFont val="Tahoma"/>
            <family val="2"/>
          </rPr>
          <t>Traffic acquisition costs (TAC) paid to distribution partners</t>
        </r>
        <r>
          <rPr>
            <sz val="9"/>
            <color indexed="81"/>
            <rFont val="Tahoma"/>
            <family val="2"/>
          </rPr>
          <t xml:space="preserve">
Amounts paid to make available our search access points and services
Distribution partners include browser providers, mobile carriers, original equipment manufacturers, and software developers</t>
        </r>
      </text>
    </comment>
    <comment ref="CZ93" authorId="0" shapeId="0" xr:uid="{00000000-0006-0000-0200-000038000000}">
      <text>
        <r>
          <rPr>
            <b/>
            <sz val="9"/>
            <color indexed="81"/>
            <rFont val="Tahoma"/>
            <family val="2"/>
          </rPr>
          <t xml:space="preserve">@3Q: </t>
        </r>
        <r>
          <rPr>
            <sz val="9"/>
            <color indexed="81"/>
            <rFont val="Tahoma"/>
            <family val="2"/>
          </rPr>
          <t>The increase in the sites TAC rate year-over-year was driven by changes in partner agreements and the ongoing shift to mobile, which carries higher TAC because more mobile searches are channeled through paid access points.
And on your TAC question, as I indicated in the opening comments. There are a couple of drivers here. One is changes in partner agreements. And I think the main point is we're very pleased with our strong partnerships across the mobile ecosystem. And the other was the ongoing shift to mobile, which we've talked about a lot and the fact that it carries higher TAC because more mobile searches are channeled through paid access points.
Look, I mean, first of all, we have a lot of experience in this area. We've been doing distribution deals for our search for well over a decade and I personally been involved all the way from the toolbar in the Chrome days. So by now, first of all, we want to construct an amendment construct. So we always want to construct in which we do better when our partners to better. And so doing TAC well aligns us in that way. And historically, it's driven a lot of growth. So it's a model we understand. We understand the key economics behind it. And so we are very thoughtful about how we drive it forward. So we are driving it forward in a way in which we know it's going to get strong both revenue and earnings growth. And so I think we are pretty comfortable with how we are approaching it and so we'll continue to do that.</t>
        </r>
      </text>
    </comment>
    <comment ref="DA93" authorId="0" shapeId="0" xr:uid="{00000000-0006-0000-0200-000039000000}">
      <text>
        <r>
          <rPr>
            <b/>
            <sz val="9"/>
            <color indexed="81"/>
            <rFont val="Tahoma"/>
            <family val="2"/>
          </rPr>
          <t xml:space="preserve">@4Q: </t>
        </r>
        <r>
          <rPr>
            <sz val="9"/>
            <color indexed="81"/>
            <rFont val="Tahoma"/>
            <family val="2"/>
          </rPr>
          <t xml:space="preserve">The increase in the sites TAC rate year-over-year was driven by </t>
        </r>
        <r>
          <rPr>
            <b/>
            <sz val="9"/>
            <color indexed="81"/>
            <rFont val="Tahoma"/>
            <family val="2"/>
          </rPr>
          <t>changes in partner agreements and the ongoing shift to mobile</t>
        </r>
        <r>
          <rPr>
            <sz val="9"/>
            <color indexed="81"/>
            <rFont val="Tahoma"/>
            <family val="2"/>
          </rPr>
          <t xml:space="preserve">, which carries higher TAC because more mobile searches are channeled through paid access points. 
</t>
        </r>
        <r>
          <rPr>
            <b/>
            <sz val="9"/>
            <color indexed="81"/>
            <rFont val="Tahoma"/>
            <family val="2"/>
          </rPr>
          <t xml:space="preserve">Q4 TAC as a percentage of revenues does benefit
from the fact that the fourth quarter is a seasonally strong quarter for YouTube
@3Q: </t>
        </r>
        <r>
          <rPr>
            <sz val="9"/>
            <color indexed="81"/>
            <rFont val="Tahoma"/>
            <family val="2"/>
          </rPr>
          <t>We expect sites TAC to continue to increase as a percentage of sites revenue.</t>
        </r>
      </text>
    </comment>
    <comment ref="DC93" authorId="0" shapeId="0" xr:uid="{00000000-0006-0000-0200-00003A000000}">
      <text>
        <r>
          <rPr>
            <b/>
            <sz val="9"/>
            <color indexed="81"/>
            <rFont val="Tahoma"/>
            <family val="2"/>
          </rPr>
          <t xml:space="preserve">@1Q: </t>
        </r>
        <r>
          <rPr>
            <sz val="9"/>
            <color indexed="81"/>
            <rFont val="Tahoma"/>
            <family val="2"/>
          </rPr>
          <t xml:space="preserve"> The increase in the sites TAC rate year-over-year was driven by changes in partner agreements and the ongoing shift to mobile, which carries higher TAC. </t>
        </r>
      </text>
    </comment>
    <comment ref="DD93" authorId="0" shapeId="0" xr:uid="{00000000-0006-0000-0200-00003B000000}">
      <text>
        <r>
          <rPr>
            <b/>
            <sz val="9"/>
            <color indexed="81"/>
            <rFont val="Tahoma"/>
            <family val="2"/>
          </rPr>
          <t xml:space="preserve">@2Q: </t>
        </r>
        <r>
          <rPr>
            <sz val="9"/>
            <color indexed="81"/>
            <rFont val="Tahoma"/>
            <family val="2"/>
          </rPr>
          <t>The increase in the Sites TAC rate year-over-year was driven by changes in partner agreements and the ongoing shift to mobile, which carries higher TAC.</t>
        </r>
      </text>
    </comment>
    <comment ref="DE93" authorId="0" shapeId="0" xr:uid="{00000000-0006-0000-0200-00003C000000}">
      <text>
        <r>
          <rPr>
            <b/>
            <sz val="9"/>
            <color indexed="81"/>
            <rFont val="Tahoma"/>
            <family val="2"/>
          </rPr>
          <t>@3Q18 call:</t>
        </r>
        <r>
          <rPr>
            <sz val="9"/>
            <color indexed="81"/>
            <rFont val="Tahoma"/>
            <family val="2"/>
          </rPr>
          <t xml:space="preserve"> The increase in the Sites TAC rate yearoveryear was driven by changes in partner agreements and the ongoing shift to mobile which carries higher TAC. 
We indicated on the fourth quarter 2017 call that the pace of year-on-year growth in sites TAC as a percentage of sites revenues would begin to slow after the first quarter of 2018. And you can see that again clearly in our results this quarter.</t>
        </r>
        <r>
          <rPr>
            <b/>
            <sz val="9"/>
            <color indexed="81"/>
            <rFont val="Tahoma"/>
            <family val="2"/>
          </rPr>
          <t xml:space="preserve">
@2Q: </t>
        </r>
        <r>
          <rPr>
            <sz val="9"/>
            <color indexed="81"/>
            <rFont val="Tahoma"/>
            <family val="2"/>
          </rPr>
          <t>Within Cost of Revenues, the biggest component is TAC. As we’ve discussed for the past couple of quarters, we expected the pace of year-on-year growth in Sites TAC as a percentage of Sites Revenue would slow after the first quarter of 2018, and you can see that clearly in our results this quarter. As frequently discussed, we do expect the Sites TAC rate to continue to increase year-on-year, reflecting ongoing strength in mobile search, albeit at a more moderate pace relative to the year-on-year increases experienced over the past several quarters.</t>
        </r>
      </text>
    </comment>
    <comment ref="DF93" authorId="0" shapeId="0" xr:uid="{00000000-0006-0000-0200-00003D000000}">
      <text>
        <r>
          <rPr>
            <b/>
            <sz val="9"/>
            <color indexed="81"/>
            <rFont val="Tahoma"/>
            <family val="2"/>
          </rPr>
          <t xml:space="preserve">@3Q18: </t>
        </r>
        <r>
          <rPr>
            <sz val="9"/>
            <color indexed="81"/>
            <rFont val="Tahoma"/>
            <family val="2"/>
          </rPr>
          <t>As frequently discussed we do expect the sites TAC rate to continue to increase year-on-year reflecting ongoing strength in mobile search.</t>
        </r>
      </text>
    </comment>
    <comment ref="DL93" authorId="0" shapeId="0" xr:uid="{00000000-0006-0000-0200-00003E000000}">
      <text>
        <r>
          <rPr>
            <b/>
            <sz val="9"/>
            <color indexed="81"/>
            <rFont val="Tahoma"/>
            <family val="2"/>
          </rPr>
          <t>2019 10K:</t>
        </r>
        <r>
          <rPr>
            <sz val="9"/>
            <color indexed="81"/>
            <rFont val="Tahoma"/>
            <family val="2"/>
          </rPr>
          <t xml:space="preserve"> The increase in TAC from 2018 to 2019 was due to increases in TAC paid to distribution partners and to Google Network Members, primarily driven by growth in revenues subject to TAC. The TAC rate decreased from 22.9% to 22.3%, primarily due to the favorable revenue mix shift from Google Network Members' properties to Google properties. The TAC rate on Google properties revenues increased primarily due to the ongoing shift to mobile, which carries higher TAC because more mobile searches are channeled through paid access points. The TAC rate on Google Network revenues decreased primarily due to changes in product mix to products that carry a lower TAC rate.</t>
        </r>
        <r>
          <rPr>
            <b/>
            <sz val="9"/>
            <color indexed="81"/>
            <rFont val="Tahoma"/>
            <family val="2"/>
          </rPr>
          <t xml:space="preserve">
Note: </t>
        </r>
        <r>
          <rPr>
            <sz val="9"/>
            <color indexed="81"/>
            <rFont val="Tahoma"/>
            <family val="2"/>
          </rPr>
          <t>EU Android unbundling impact?</t>
        </r>
        <r>
          <rPr>
            <b/>
            <sz val="9"/>
            <color indexed="81"/>
            <rFont val="Tahoma"/>
            <family val="2"/>
          </rPr>
          <t xml:space="preserve">
@3Q18: </t>
        </r>
        <r>
          <rPr>
            <sz val="9"/>
            <color indexed="81"/>
            <rFont val="Tahoma"/>
            <family val="2"/>
          </rPr>
          <t>As frequently discussed we do expect the sites TAC rate to continue to increase year-on-year reflecting ongoing strength in mobile search.</t>
        </r>
      </text>
    </comment>
    <comment ref="DM93" authorId="0" shapeId="0" xr:uid="{85CDB968-D578-4D2A-A98A-F8C959C60547}">
      <text>
        <r>
          <rPr>
            <b/>
            <sz val="9"/>
            <color indexed="81"/>
            <rFont val="Tahoma"/>
            <family val="2"/>
          </rPr>
          <t xml:space="preserve">1Q20 10Q: </t>
        </r>
        <r>
          <rPr>
            <sz val="9"/>
            <color indexed="81"/>
            <rFont val="Tahoma"/>
            <family val="2"/>
          </rPr>
          <t xml:space="preserve">The increase in TAC from the three months ended March 31, 2019 to the three months ended March 31, 2020 was due to increases in TAC paid to distribution partners and to Google Network Members, primarily driven by growth in revenues subject to TAC. The TAC rate decreased from 22.4% to 22.1%, primarily due to the favorable revenue mix shift from Google Network Members' properties to Google properties. </t>
        </r>
        <r>
          <rPr>
            <u/>
            <sz val="9"/>
            <color indexed="81"/>
            <rFont val="Tahoma"/>
            <family val="2"/>
          </rPr>
          <t>The TAC rate on Google properties revenues and the TAC rate on Google Network revenues were both substantially consistent from the three months ended March 31, 2019 to the three months ended March 31, 2020.</t>
        </r>
      </text>
    </comment>
    <comment ref="DN93" authorId="0" shapeId="0" xr:uid="{8778E51F-A176-4DC9-A218-901985E8E7F6}">
      <text>
        <r>
          <rPr>
            <b/>
            <sz val="9"/>
            <color indexed="81"/>
            <rFont val="Tahoma"/>
            <family val="2"/>
          </rPr>
          <t xml:space="preserve">2Q20 10Q: </t>
        </r>
        <r>
          <rPr>
            <sz val="9"/>
            <color indexed="81"/>
            <rFont val="Tahoma"/>
            <family val="2"/>
          </rPr>
          <t xml:space="preserve">The TAC rate increased from 22.3% to 22.4% from the three months ended June 30, 2019 to the three months ended June 30, 2020 primarily due to an increase in the TAC rate on Google properties revenues due to the ongoing shift to mobile, which carries higher TAC because more mobile searches are channeled through paid access points. This increase was partially offset by the favorable revenue mix shift from Google Network Members’ properties to Google properties. </t>
        </r>
        <r>
          <rPr>
            <u/>
            <sz val="9"/>
            <color indexed="81"/>
            <rFont val="Tahoma"/>
            <family val="2"/>
          </rPr>
          <t>The TAC rate on Google Network revenues was substantially consistent from the three months ended June 30, 2019 to the three months ended June 30, 2020.</t>
        </r>
      </text>
    </comment>
    <comment ref="DO93" authorId="0" shapeId="0" xr:uid="{E9F38088-69D7-4F74-80BB-AEB8700F5D8B}">
      <text>
        <r>
          <rPr>
            <b/>
            <sz val="9"/>
            <color indexed="81"/>
            <rFont val="Tahoma"/>
            <family val="2"/>
          </rPr>
          <t xml:space="preserve">3Q20 10Q: </t>
        </r>
        <r>
          <rPr>
            <sz val="9"/>
            <color indexed="81"/>
            <rFont val="Tahoma"/>
            <family val="2"/>
          </rPr>
          <t xml:space="preserve">The TAC rate decreased from 22.2% to 22.0% from the three months ended September 30, 2019 to the three months ended September 30, 2020 primarily due to the favorable revenue mix shift from Google Network Members’ properties to Google properties. </t>
        </r>
        <r>
          <rPr>
            <u/>
            <sz val="9"/>
            <color indexed="81"/>
            <rFont val="Tahoma"/>
            <family val="2"/>
          </rPr>
          <t>The TAC rate on Google properties revenues and the TAC rate on Google Network revenues were both substantially consistent from the three months ended September 30, 2019 to the three months ended September 30, 2020.</t>
        </r>
        <r>
          <rPr>
            <sz val="9"/>
            <color indexed="81"/>
            <rFont val="Tahoma"/>
            <family val="2"/>
          </rPr>
          <t xml:space="preserve">
</t>
        </r>
      </text>
    </comment>
    <comment ref="DQ93" authorId="0" shapeId="0" xr:uid="{FFBB79FA-EA14-40F8-978B-39F3D4EB9A52}">
      <text>
        <r>
          <rPr>
            <b/>
            <sz val="9"/>
            <color indexed="81"/>
            <rFont val="Tahoma"/>
            <family val="2"/>
          </rPr>
          <t xml:space="preserve">2020 10K: </t>
        </r>
        <r>
          <rPr>
            <sz val="9"/>
            <color indexed="81"/>
            <rFont val="Tahoma"/>
            <family val="2"/>
          </rPr>
          <t>The increase in TAC from 2019 to 2020 was due to increases in TAC paid to distribution partners and to Google Network Members, driven by growth in revenues subject to TAC. The TAC rate was 22.3% in both 2019 and 2020. The TAC rate on Google properties revenues and the TAC rate on Google Network revenues were both substantially consistent from 2019 to 2020.</t>
        </r>
      </text>
    </comment>
    <comment ref="DR93" authorId="0" shapeId="0" xr:uid="{B272E5B0-48E0-4364-B9BD-A338732F70A9}">
      <text>
        <r>
          <rPr>
            <b/>
            <sz val="9"/>
            <color indexed="81"/>
            <rFont val="Tahoma"/>
            <family val="2"/>
          </rPr>
          <t xml:space="preserve">1Q21 10Q: </t>
        </r>
        <r>
          <rPr>
            <sz val="9"/>
            <color indexed="81"/>
            <rFont val="Tahoma"/>
            <family val="2"/>
          </rPr>
          <t>The increase in TAC from the three months ended March 31, 2020 to the three months ended March 31, 2021 was due to increases in TAC paid to distribution partners and to Google Network partners, primarily driven by growth in revenues subject to TAC. The TAC rate decreased from 22.1% to 21.7% from the three months ended March 31, 2020 to the three months ended March 31, 2021 due to a combination of factors none of which were individually significant. T</t>
        </r>
        <r>
          <rPr>
            <u/>
            <sz val="9"/>
            <color indexed="81"/>
            <rFont val="Tahoma"/>
            <family val="2"/>
          </rPr>
          <t>he TAC rate on Google properties revenues and the TAC rate on Google Network properties revenues were both substantially consistent from the three months ended March 31, 2020 to the three months ended March 31, 2021.</t>
        </r>
      </text>
    </comment>
    <comment ref="DS93" authorId="0" shapeId="0" xr:uid="{627C6B19-F7B5-42C8-BCA3-C61BE881F94B}">
      <text>
        <r>
          <rPr>
            <b/>
            <sz val="9"/>
            <color indexed="81"/>
            <rFont val="Tahoma"/>
            <family val="2"/>
          </rPr>
          <t xml:space="preserve">2Q21 10Q: </t>
        </r>
        <r>
          <rPr>
            <sz val="9"/>
            <color indexed="81"/>
            <rFont val="Tahoma"/>
            <family val="2"/>
          </rPr>
          <t xml:space="preserve">The TAC rate decreased from 22.4% to 21.7% from the three months ended June 30, 2020 to the three months ended June 30, 2021 and decreased from 22.2% to 21.7% from the six months ended June 30, 2020 to the six months ended June 30, 2021 primarily due to a revenue mix shift from Google Network properties to Google properties. </t>
        </r>
        <r>
          <rPr>
            <u/>
            <sz val="9"/>
            <color indexed="81"/>
            <rFont val="Tahoma"/>
            <family val="2"/>
          </rPr>
          <t>The TAC rate on Google properties revenues and the TAC rate on Google Network properties revenues were both substantially consistent from the three and six months ended June 30, 2020 to the three and six months ended June 30, 2021.</t>
        </r>
      </text>
    </comment>
    <comment ref="DT93" authorId="0" shapeId="0" xr:uid="{0D1D2E2C-E704-4F47-9AD0-ABD3E2420E0E}">
      <text>
        <r>
          <rPr>
            <b/>
            <sz val="9"/>
            <color indexed="81"/>
            <rFont val="Tahoma"/>
            <family val="2"/>
          </rPr>
          <t xml:space="preserve">3Q21 10Q: </t>
        </r>
        <r>
          <rPr>
            <sz val="9"/>
            <color indexed="81"/>
            <rFont val="Tahoma"/>
            <family val="2"/>
          </rPr>
          <t xml:space="preserve">The increase in TAC from the three and nine months ended September 30, 2020 to the three and nine months ended September 30, 2021 was due to increases in TAC paid to distribution partners and to Google Network partners, primarily driven by growth in revenues subject to TAC.
The TAC rate decreased from 22.0% to 21.6% from the three months ended September 30, 2020 to the three months ended September 30, 2021 and decreased from 22.2% to 21.7% from the nine months ended September 30, 2020 to the nine months ended September 30, 2021 primarily due to a revenue mix shift from Google Network properties to Google properties. </t>
        </r>
        <r>
          <rPr>
            <u/>
            <sz val="9"/>
            <color indexed="81"/>
            <rFont val="Tahoma"/>
            <family val="2"/>
          </rPr>
          <t>The TAC rate on Google properties revenues and the TAC rate on Google Network properties revenues were both substantially consistent from the three and nine months ended September 30, 2020 to the three and nine months ended September 30, 2021.</t>
        </r>
      </text>
    </comment>
    <comment ref="DV96" authorId="0" shapeId="0" xr:uid="{0AD5AD1D-F438-41D8-9E31-A2FC8FAEC6D0}">
      <text>
        <r>
          <rPr>
            <b/>
            <sz val="9"/>
            <color indexed="81"/>
            <rFont val="Tahoma"/>
            <family val="2"/>
          </rPr>
          <t xml:space="preserve">2021 10K: </t>
        </r>
        <r>
          <rPr>
            <sz val="9"/>
            <color indexed="81"/>
            <rFont val="Tahoma"/>
            <family val="2"/>
          </rPr>
          <t>The increase in TAC from 2020 to 2021 was due to an increase in TAC paid to distribution partners and to Google Network partners, primarily driven by growth in revenues subject to TAC. The TAC rate decreased from 22.3% to 21.8% from 2020 to 2021 primarily due to a revenue mix shift from Google Network properties to Google Search &amp; other properties. The TAC rate on Google Search &amp; other properties revenues and the TAC rate on Google Network revenues were both substantially consistent from 2020 to 2021.</t>
        </r>
      </text>
    </comment>
    <comment ref="DW96" authorId="0" shapeId="0" xr:uid="{31FFFDAA-029E-4238-B1B9-F482A83B222B}">
      <text>
        <r>
          <rPr>
            <b/>
            <sz val="9"/>
            <color indexed="81"/>
            <rFont val="Tahoma"/>
            <family val="2"/>
          </rPr>
          <t xml:space="preserve">1Q22 10Q: </t>
        </r>
        <r>
          <rPr>
            <sz val="9"/>
            <color indexed="81"/>
            <rFont val="Tahoma"/>
            <family val="2"/>
          </rPr>
          <t xml:space="preserve">The increase in TAC from the three months ended March 31, 2021 to the three months ended March 31, 2022 was due to increases in TAC paid to distribution partners and to Google Network partners, primarily driven by growth in revenues subject to TAC. The TAC rate increased from 21.7% to 21.9% from the three months ended March 31, 2021 to the three months ended March 31, 2022 due to a combination of factors none of which were individually significant. </t>
        </r>
        <r>
          <rPr>
            <u/>
            <sz val="9"/>
            <color indexed="81"/>
            <rFont val="Tahoma"/>
            <family val="2"/>
          </rPr>
          <t>The TAC rate on Google Search &amp; other properties revenues and the TAC rate on Google Network revenues were both substantially consistent from three months ended March 31, 2021 to the three months ended March 31, 2022.</t>
        </r>
      </text>
    </comment>
    <comment ref="DX96" authorId="0" shapeId="0" xr:uid="{4B0C1B5E-856F-4723-BBEC-927DB99C3A20}">
      <text>
        <r>
          <rPr>
            <b/>
            <sz val="9"/>
            <color indexed="81"/>
            <rFont val="Tahoma"/>
            <family val="2"/>
          </rPr>
          <t xml:space="preserve">2Q22 10Q: </t>
        </r>
        <r>
          <rPr>
            <sz val="9"/>
            <color indexed="81"/>
            <rFont val="Tahoma"/>
            <family val="2"/>
          </rPr>
          <t xml:space="preserve">The increase in TAC from the three and six months ended June 30, 2021 to the three and six months ended June 30, 2022 was due to increases in TAC paid to distribution partners and to Google Network partners, primarily driven by growth in revenues subject to TAC. The TAC rate was 21.7% in both the three months ended June 30, 2021 and the three months ended June 30, 2022. The TAC rate increased from 21.7% to 21.8% from the six months ended June 30, 2021 to the six months ended June 30, 2022 due to a combination of factors, none of which were individually significant. </t>
        </r>
        <r>
          <rPr>
            <u/>
            <sz val="9"/>
            <color indexed="81"/>
            <rFont val="Tahoma"/>
            <family val="2"/>
          </rPr>
          <t>The TAC rate on Google Search &amp; other properties revenues and the TAC rate on Google Network revenues were both substantially consistent from three and six months ended June 30, 2021 to the three and six months ended June 30, 2022.</t>
        </r>
      </text>
    </comment>
    <comment ref="DY96" authorId="0" shapeId="0" xr:uid="{D55B4DA1-5B2D-4856-8E2C-01CE1E92862A}">
      <text>
        <r>
          <rPr>
            <b/>
            <sz val="9"/>
            <color indexed="81"/>
            <rFont val="Tahoma"/>
            <family val="2"/>
          </rPr>
          <t xml:space="preserve">3Q22 10Q: </t>
        </r>
        <r>
          <rPr>
            <sz val="9"/>
            <color indexed="81"/>
            <rFont val="Tahoma"/>
            <family val="2"/>
          </rPr>
          <t xml:space="preserve">The TAC rate increased from 21.6% to 21.7% from the three months ended September 30, 2021 to the three months ended September 30, 2022 and increased from 21.7% to 21.8% from the nine months ended September 30, 2021 to the nine months ended September 30, 2022 due to a combination of factors, none of which were individually significant. </t>
        </r>
        <r>
          <rPr>
            <u/>
            <sz val="9"/>
            <color indexed="81"/>
            <rFont val="Tahoma"/>
            <family val="2"/>
          </rPr>
          <t>The TAC rate on Google Search &amp; other revenues and the TAC rate on Google Network revenues were both substantially consistent from three and nine months ended September 30, 2021 to the three and nine months ended September 30, 2022.</t>
        </r>
      </text>
    </comment>
    <comment ref="EA96" authorId="0" shapeId="0" xr:uid="{24CB2283-12A9-407E-9CE8-D486C7094699}">
      <text>
        <r>
          <rPr>
            <b/>
            <sz val="9"/>
            <color indexed="81"/>
            <rFont val="Tahoma"/>
            <family val="2"/>
          </rPr>
          <t xml:space="preserve">2022 10K: </t>
        </r>
        <r>
          <rPr>
            <sz val="9"/>
            <color indexed="81"/>
            <rFont val="Tahoma"/>
            <family val="2"/>
          </rPr>
          <t>The increase in TAC from 2021 to 2022 was due to an increase in TAC paid to distribution partners and to Google Network partners, primarily driven by growth in revenues subject to TAC. The TAC rate was 22% in both 2021 and 2022. The TAC rate on Google Search &amp; other revenues and the TAC rate on Google Network revenues were both substantially consistent from 2021 to 2022.</t>
        </r>
      </text>
    </comment>
    <comment ref="EB96" authorId="0" shapeId="0" xr:uid="{2CD5F0F7-DA4C-4638-B80F-7EB713548D64}">
      <text>
        <r>
          <rPr>
            <b/>
            <sz val="9"/>
            <color indexed="81"/>
            <rFont val="Tahoma"/>
            <family val="2"/>
          </rPr>
          <t xml:space="preserve">1Q23 10Q: </t>
        </r>
        <r>
          <rPr>
            <sz val="9"/>
            <color indexed="81"/>
            <rFont val="Tahoma"/>
            <family val="2"/>
          </rPr>
          <t xml:space="preserve">The decrease in TAC from the three months ended March 31, 2022 to the three months ended March 31, 2023 was largely due to a decrease in TAC paid to Google Network partners, primarily driven by a decrease in revenues subject to TAC. The TAC rate decreased from 21.9% to 21.5% from the three months ended March 31, 2022 to the three months ended March 31, 2023 primarily due to a revenue mix shift from Google Network properties to Google Search &amp; other properties. </t>
        </r>
        <r>
          <rPr>
            <u/>
            <sz val="9"/>
            <color indexed="81"/>
            <rFont val="Tahoma"/>
            <family val="2"/>
          </rPr>
          <t>The TAC rate on Google Search &amp; other revenues and the TAC rate on Google Network revenues were both substantially consistent from three months ended March 31, 2022 to the three months ended March 31, 2023.</t>
        </r>
      </text>
    </comment>
    <comment ref="EC96" authorId="0" shapeId="0" xr:uid="{E43A9CBE-F81A-4D6C-AAA8-4AE6B6A79760}">
      <text>
        <r>
          <rPr>
            <b/>
            <sz val="9"/>
            <color indexed="81"/>
            <rFont val="Tahoma"/>
            <family val="2"/>
          </rPr>
          <t xml:space="preserve">2Q23 10Q: </t>
        </r>
        <r>
          <rPr>
            <sz val="9"/>
            <color indexed="81"/>
            <rFont val="Tahoma"/>
            <family val="2"/>
          </rPr>
          <t xml:space="preserve">The increase in TAC from the three months ended June 30, 2022 to the three months ended June 30, 2023 was largely due to an increase in TAC paid to distribution partners, primarily driven by growth in revenues subject to TAC. TAC was relatively unchanged from the six months ended June 30, 2022 to the six months ended June 30, 2023. The TAC rate decreased from 21.7% to 21.6% from the three months ended June 30, 2022 to the three months ended June 30, 2023 and decreased from 21.8% to 21.5% from the six months ended June 30, 2022 to the six months ended June 30, 2023 primarily due to a revenue mix shift from Google Network properties to Google Search &amp; other properties. </t>
        </r>
        <r>
          <rPr>
            <u/>
            <sz val="9"/>
            <color indexed="81"/>
            <rFont val="Tahoma"/>
            <family val="2"/>
          </rPr>
          <t>The TAC rate on Google Search &amp; other revenues and the TAC rate on Google Network revenues were both substantially consistent from the three and six months ended June 30, 2022 to the three and six months ended June 30, 2023.</t>
        </r>
      </text>
    </comment>
    <comment ref="A99" authorId="0" shapeId="0" xr:uid="{00000000-0006-0000-0200-00003F000000}">
      <text>
        <r>
          <rPr>
            <b/>
            <sz val="9"/>
            <color indexed="81"/>
            <rFont val="Tahoma"/>
            <family val="2"/>
          </rPr>
          <t>TAC to Google Network Members</t>
        </r>
        <r>
          <rPr>
            <sz val="9"/>
            <color indexed="81"/>
            <rFont val="Tahoma"/>
            <family val="2"/>
          </rPr>
          <t xml:space="preserve">
Amounts paid to Google Network Members primarily for ads displayed on their properties</t>
        </r>
      </text>
    </comment>
    <comment ref="BK102" authorId="2" shapeId="0" xr:uid="{00000000-0006-0000-0200-000040000000}">
      <text>
        <r>
          <rPr>
            <b/>
            <sz val="8"/>
            <color indexed="81"/>
            <rFont val="Tahoma"/>
            <family val="2"/>
          </rPr>
          <t>Kaizad Gotla:</t>
        </r>
        <r>
          <rPr>
            <sz val="8"/>
            <color indexed="81"/>
            <rFont val="Tahoma"/>
            <family val="2"/>
          </rPr>
          <t xml:space="preserve">
adding Y! JP. Less favorable economics</t>
        </r>
      </text>
    </comment>
    <comment ref="DA102" authorId="0" shapeId="0" xr:uid="{00000000-0006-0000-0200-000041000000}">
      <text>
        <r>
          <rPr>
            <b/>
            <sz val="9"/>
            <color indexed="81"/>
            <rFont val="Tahoma"/>
            <family val="2"/>
          </rPr>
          <t xml:space="preserve">@4Q: </t>
        </r>
        <r>
          <rPr>
            <sz val="9"/>
            <color indexed="81"/>
            <rFont val="Tahoma"/>
            <family val="2"/>
          </rPr>
          <t>The underlying trend affecting the network TAC rate year-over-year continues to be the shift to programmatic, which carries higher TAC.</t>
        </r>
      </text>
    </comment>
    <comment ref="DC102" authorId="0" shapeId="0" xr:uid="{00000000-0006-0000-0200-000042000000}">
      <text>
        <r>
          <rPr>
            <b/>
            <sz val="9"/>
            <color indexed="81"/>
            <rFont val="Tahoma"/>
            <family val="2"/>
          </rPr>
          <t xml:space="preserve">@1Q: </t>
        </r>
        <r>
          <rPr>
            <sz val="9"/>
            <color indexed="81"/>
            <rFont val="Tahoma"/>
            <family val="2"/>
          </rPr>
          <t>The underlying trend affecting the network TAC rate year-over-year continues to be the shift to programmatic, which carries higher TAC.</t>
        </r>
      </text>
    </comment>
    <comment ref="DD102" authorId="0" shapeId="0" xr:uid="{00000000-0006-0000-0200-000043000000}">
      <text>
        <r>
          <rPr>
            <b/>
            <sz val="9"/>
            <color indexed="81"/>
            <rFont val="Tahoma"/>
            <family val="2"/>
          </rPr>
          <t xml:space="preserve">@2Q: </t>
        </r>
        <r>
          <rPr>
            <sz val="9"/>
            <color indexed="81"/>
            <rFont val="Tahoma"/>
            <family val="2"/>
          </rPr>
          <t>This quarter, we experienced a year-on-year decline in the Network TAC rate as the result of a favorable mix shift within our programmatic business.</t>
        </r>
      </text>
    </comment>
    <comment ref="DE102" authorId="0" shapeId="0" xr:uid="{00000000-0006-0000-0200-000044000000}">
      <text>
        <r>
          <rPr>
            <b/>
            <sz val="9"/>
            <color indexed="81"/>
            <rFont val="Tahoma"/>
            <family val="2"/>
          </rPr>
          <t xml:space="preserve">@3Q18: </t>
        </r>
        <r>
          <rPr>
            <sz val="9"/>
            <color indexed="81"/>
            <rFont val="Tahoma"/>
            <family val="2"/>
          </rPr>
          <t>This quarter, we experienced a year-on-year decline in the network TAC rate due to a combination of factors none of which were individually significant</t>
        </r>
      </text>
    </comment>
    <comment ref="DL102" authorId="0" shapeId="0" xr:uid="{360B2539-0CA2-406D-B2B3-1104A750B969}">
      <text>
        <r>
          <rPr>
            <b/>
            <sz val="9"/>
            <color indexed="81"/>
            <rFont val="Tahoma"/>
            <family val="2"/>
          </rPr>
          <t xml:space="preserve">2019 10K: </t>
        </r>
        <r>
          <rPr>
            <sz val="9"/>
            <color indexed="81"/>
            <rFont val="Tahoma"/>
            <family val="2"/>
          </rPr>
          <t>The increase in TAC from 2018 to 2019 was due to increases in TAC paid to distribution partners and to Google Network Members, primarily driven by growth in revenues subject to TAC. The TAC rate decreased from 22.9% to 22.3%, primarily due to the favorable revenue mix shift from Google Network Members' properties to Google properties. The TAC rate on Google properties revenues increased primarily due to the ongoing shift to mobile, which carries higher TAC because more mobile searches are channeled through paid access points. The TAC rate on Google Network revenues decreased primarily due to changes in product mix to products that carry a lower TAC rate.</t>
        </r>
      </text>
    </comment>
    <comment ref="DQ102" authorId="0" shapeId="0" xr:uid="{79C2F31A-BC4A-4348-A082-9733350527B5}">
      <text>
        <r>
          <rPr>
            <b/>
            <sz val="9"/>
            <color indexed="81"/>
            <rFont val="Tahoma"/>
            <family val="2"/>
          </rPr>
          <t xml:space="preserve">2020 10K: </t>
        </r>
        <r>
          <rPr>
            <sz val="9"/>
            <color indexed="81"/>
            <rFont val="Tahoma"/>
            <family val="2"/>
          </rPr>
          <t>The increase in TAC from 2019 to 2020 was due to increases in TAC paid to distribution partners and to Google Network Members, driven by growth in revenues subject to TAC. The TAC rate was 22.3% in both 2019 and 2020. The TAC rate on Google properties revenues and the TAC rate on Google Network revenues were both substantially consistent from 2019 to 2020.</t>
        </r>
      </text>
    </comment>
    <comment ref="DF103" authorId="0" shapeId="0" xr:uid="{00000000-0006-0000-0200-000045000000}">
      <text>
        <r>
          <rPr>
            <b/>
            <sz val="9"/>
            <color indexed="81"/>
            <rFont val="Tahoma"/>
            <family val="2"/>
          </rPr>
          <t>@3Q18 call: rev mix shift</t>
        </r>
      </text>
    </comment>
    <comment ref="CX105" authorId="0" shapeId="0" xr:uid="{00000000-0006-0000-0200-000046000000}">
      <text>
        <r>
          <rPr>
            <b/>
            <sz val="9"/>
            <color indexed="81"/>
            <rFont val="Tahoma"/>
            <family val="2"/>
          </rPr>
          <t xml:space="preserve">@1Q17: </t>
        </r>
        <r>
          <rPr>
            <sz val="9"/>
            <color indexed="81"/>
            <rFont val="Tahoma"/>
            <family val="2"/>
          </rPr>
          <t>Total traffic acquisition costs were $4.6 billion, or 22% of total advertising revenues, and up 22% year over year. The increase in both Sites TAC as a percentage of Sites revenues, as well as Network TAC as a percentage of Network revenues, reflects the fact that our strongest growth areas, namely mobile search and programmatic, carry higher TAC. Total TAC as a percentage of total advertising revenues was up year over year as a result of an increase in the Sites TAC rate, driven by the shift to mobile, which was again partially offset by a favorable revenue mix shift from Network to Sites, which carries lower TAC.</t>
        </r>
      </text>
    </comment>
    <comment ref="CZ105" authorId="0" shapeId="0" xr:uid="{00000000-0006-0000-0200-000047000000}">
      <text>
        <r>
          <rPr>
            <b/>
            <sz val="9"/>
            <color indexed="81"/>
            <rFont val="Tahoma"/>
            <family val="2"/>
          </rPr>
          <t xml:space="preserve">@3Q: </t>
        </r>
        <r>
          <rPr>
            <sz val="9"/>
            <color indexed="81"/>
            <rFont val="Tahoma"/>
            <family val="2"/>
          </rPr>
          <t>Total traffic acquisition costs were $5.5 billion or 23% of total advertising revenues and up 32% year-over-year. The increase in sites TAC as a percentage of sites revenues as well as network TAC as a percentage of network revenues, continues to reflect the fact that our strongest growth areas, namely mobile search and programmatic, carry higher
TAC.</t>
        </r>
      </text>
    </comment>
    <comment ref="DL107" authorId="0" shapeId="0" xr:uid="{3183BADF-09B9-41CA-BB47-5A66A154C6C2}">
      <text>
        <r>
          <rPr>
            <b/>
            <sz val="9"/>
            <color indexed="81"/>
            <rFont val="Tahoma"/>
            <family val="2"/>
          </rPr>
          <t xml:space="preserve">2019 10K: </t>
        </r>
        <r>
          <rPr>
            <sz val="9"/>
            <color indexed="81"/>
            <rFont val="Tahoma"/>
            <family val="2"/>
          </rPr>
          <t>The increase in TAC from 2018 to 2019 was due to increases in TAC paid to distribution partners and to Google Network Members, primarily driven by growth in revenues subject to TAC. The TAC rate decreased from 22.9% to 22.3%, primarily due to the favorable revenue mix shift from Google Network Members' properties to Google properties. The TAC rate on Google properties revenues increased primarily due to the ongoing shift to mobile, which carries higher TAC because more mobile searches are channeled through paid access points. The TAC rate on Google Network revenues decreased primarily due to changes in product mix to products that carry a lower TAC rate.</t>
        </r>
      </text>
    </comment>
    <comment ref="DM107" authorId="0" shapeId="0" xr:uid="{0FA45D33-71C5-4752-AD86-DB7BBDA1FA42}">
      <text>
        <r>
          <rPr>
            <b/>
            <sz val="9"/>
            <color indexed="81"/>
            <rFont val="Tahoma"/>
            <family val="2"/>
          </rPr>
          <t xml:space="preserve">1Q20 10Q: </t>
        </r>
        <r>
          <rPr>
            <sz val="9"/>
            <color indexed="81"/>
            <rFont val="Tahoma"/>
            <family val="2"/>
          </rPr>
          <t xml:space="preserve">The increase in TAC from the three months ended March 31, 2019 to the three months ended March 31, 2020 was due to increases in TAC paid to distribution partners and to Google Network Members, primarily driven by growth in revenues subject to TAC. The TAC rate decreased from 22.4% to 22.1%, primarily due to the favorable revenue mix shift from Google Network Members' properties to Google properties. </t>
        </r>
        <r>
          <rPr>
            <u/>
            <sz val="9"/>
            <color indexed="81"/>
            <rFont val="Tahoma"/>
            <family val="2"/>
          </rPr>
          <t>The TAC rate on Google properties revenues and the TAC rate on Google Network revenues were both substantially consistent from the three months ended March 31, 2019 to the three months ended March 31, 2020.</t>
        </r>
      </text>
    </comment>
    <comment ref="DN107" authorId="0" shapeId="0" xr:uid="{2F253441-059C-4491-A8C8-2FC9C45DE9D7}">
      <text>
        <r>
          <rPr>
            <b/>
            <sz val="9"/>
            <color indexed="81"/>
            <rFont val="Tahoma"/>
            <family val="2"/>
          </rPr>
          <t xml:space="preserve">2Q20 10Q: </t>
        </r>
        <r>
          <rPr>
            <sz val="9"/>
            <color indexed="81"/>
            <rFont val="Tahoma"/>
            <family val="2"/>
          </rPr>
          <t xml:space="preserve">The TAC rate increased from 22.3% to 22.4% from the three months ended June 30, 2019 to the three months ended June 30, 2020 primarily due to an increase in the TAC rate on Google properties revenues due to the ongoing shift to mobile, which carries higher TAC because more mobile searches are channeled through paid access points. This increase was partially offset by the favorable revenue mix shift from Google Network Members’ properties to Google properties. </t>
        </r>
        <r>
          <rPr>
            <u/>
            <sz val="9"/>
            <color indexed="81"/>
            <rFont val="Tahoma"/>
            <family val="2"/>
          </rPr>
          <t>The TAC rate on Google Network revenues was substantially consistent from the three months ended June 30, 2019 to the three months ended June 30, 2020.</t>
        </r>
      </text>
    </comment>
    <comment ref="DO107" authorId="0" shapeId="0" xr:uid="{825DC485-42FE-49A9-B253-30A92FCC0968}">
      <text>
        <r>
          <rPr>
            <b/>
            <sz val="9"/>
            <color indexed="81"/>
            <rFont val="Tahoma"/>
            <family val="2"/>
          </rPr>
          <t xml:space="preserve">3Q20 10Q: </t>
        </r>
        <r>
          <rPr>
            <sz val="9"/>
            <color indexed="81"/>
            <rFont val="Tahoma"/>
            <family val="2"/>
          </rPr>
          <t xml:space="preserve">The TAC rate decreased from 22.2% to 22.0% from the three months ended September 30, 2019 to the three months ended September 30, 2020 primarily due to the favorable revenue mix shift from Google Network Members’ properties to Google properties. </t>
        </r>
        <r>
          <rPr>
            <u/>
            <sz val="9"/>
            <color indexed="81"/>
            <rFont val="Tahoma"/>
            <family val="2"/>
          </rPr>
          <t>The TAC rate on Google properties revenues and the TAC rate on Google Network revenues were both substantially consistent from the three months ended September 30, 2019 to the three months ended September 30, 2020.</t>
        </r>
        <r>
          <rPr>
            <sz val="9"/>
            <color indexed="81"/>
            <rFont val="Tahoma"/>
            <family val="2"/>
          </rPr>
          <t xml:space="preserve">
</t>
        </r>
      </text>
    </comment>
    <comment ref="DQ107" authorId="0" shapeId="0" xr:uid="{78D09C09-7BCD-4B28-8710-827DFD1815D6}">
      <text>
        <r>
          <rPr>
            <b/>
            <sz val="9"/>
            <color indexed="81"/>
            <rFont val="Tahoma"/>
            <family val="2"/>
          </rPr>
          <t xml:space="preserve">2020 10K: </t>
        </r>
        <r>
          <rPr>
            <sz val="9"/>
            <color indexed="81"/>
            <rFont val="Tahoma"/>
            <family val="2"/>
          </rPr>
          <t>The increase in TAC from 2019 to 2020 was due to increases in TAC paid to distribution partners and to Google Network Members, driven by growth in revenues subject to TAC. The TAC rate was 22.3% in both 2019 and 2020. The TAC rate on Google properties revenues and the TAC rate on Google Network revenues were both substantially consistent from 2019 to 2020.</t>
        </r>
      </text>
    </comment>
    <comment ref="DR107" authorId="0" shapeId="0" xr:uid="{5D38C2C6-DBEA-4DCB-BA05-8A657B86A434}">
      <text>
        <r>
          <rPr>
            <b/>
            <sz val="9"/>
            <color indexed="81"/>
            <rFont val="Tahoma"/>
            <family val="2"/>
          </rPr>
          <t xml:space="preserve">1Q21 10Q: </t>
        </r>
        <r>
          <rPr>
            <sz val="9"/>
            <color indexed="81"/>
            <rFont val="Tahoma"/>
            <family val="2"/>
          </rPr>
          <t>The increase in TAC from the three months ended March 31, 2020 to the three months ended March 31, 2021 was due to increases in TAC paid to distribution partners and to Google Network partners, primarily driven by growth in revenues subject to TAC. The TAC rate decreased from 22.1% to 21.7% from the three months ended March 31, 2020 to the three months ended March 31, 2021 due to a combination of factors none of which were individually significant. T</t>
        </r>
        <r>
          <rPr>
            <u/>
            <sz val="9"/>
            <color indexed="81"/>
            <rFont val="Tahoma"/>
            <family val="2"/>
          </rPr>
          <t>he TAC rate on Google properties revenues and the TAC rate on Google Network properties revenues were both substantially consistent from the three months ended March 31, 2020 to the three months ended March 31, 2021.</t>
        </r>
      </text>
    </comment>
    <comment ref="DS107" authorId="0" shapeId="0" xr:uid="{3EA80CA8-4864-45E8-B14A-595673D5F183}">
      <text>
        <r>
          <rPr>
            <b/>
            <sz val="9"/>
            <color indexed="81"/>
            <rFont val="Tahoma"/>
            <family val="2"/>
          </rPr>
          <t xml:space="preserve">2Q21 10Q: </t>
        </r>
        <r>
          <rPr>
            <sz val="9"/>
            <color indexed="81"/>
            <rFont val="Tahoma"/>
            <family val="2"/>
          </rPr>
          <t xml:space="preserve">The TAC rate decreased from 22.4% to 21.7% from the three months ended June 30, 2020 to the three months ended June 30, 2021 and decreased from 22.2% to 21.7% from the six months ended June 30, 2020 to the six months ended June 30, 2021 primarily due to a revenue mix shift from Google Network properties to Google properties. </t>
        </r>
        <r>
          <rPr>
            <u/>
            <sz val="9"/>
            <color indexed="81"/>
            <rFont val="Tahoma"/>
            <family val="2"/>
          </rPr>
          <t>The TAC rate on Google properties revenues and the TAC rate on Google Network properties revenues were both substantially consistent from the three and six months ended June 30, 2020 to the three and six months ended June 30, 2021.</t>
        </r>
      </text>
    </comment>
    <comment ref="DT107" authorId="0" shapeId="0" xr:uid="{4046F002-4AE4-48F1-BF53-6DA5C538D56C}">
      <text>
        <r>
          <rPr>
            <b/>
            <sz val="9"/>
            <color indexed="81"/>
            <rFont val="Tahoma"/>
            <family val="2"/>
          </rPr>
          <t xml:space="preserve">3Q21 10Q: </t>
        </r>
        <r>
          <rPr>
            <sz val="9"/>
            <color indexed="81"/>
            <rFont val="Tahoma"/>
            <family val="2"/>
          </rPr>
          <t xml:space="preserve">The increase in TAC from the three and nine months ended September 30, 2020 to the three and nine months ended September 30, 2021 was due to increases in TAC paid to distribution partners and to Google Network partners, primarily driven by growth in revenues subject to TAC.
The TAC rate decreased from 22.0% to 21.6% from the three months ended September 30, 2020 to the three months ended September 30, 2021 and decreased from 22.2% to 21.7% from the nine months ended September 30, 2020 to the nine months ended September 30, 2021 primarily due to a revenue mix shift from Google Network properties to Google properties. </t>
        </r>
        <r>
          <rPr>
            <u/>
            <sz val="9"/>
            <color indexed="81"/>
            <rFont val="Tahoma"/>
            <family val="2"/>
          </rPr>
          <t>The TAC rate on Google properties revenues and the TAC rate on Google Network properties revenues were both substantially consistent from the three and nine months ended September 30, 2020 to the three and nine months ended September 30, 2021.</t>
        </r>
      </text>
    </comment>
    <comment ref="DV107" authorId="0" shapeId="0" xr:uid="{D585C09B-80E2-4C1A-AB34-142EB91A8C3C}">
      <text>
        <r>
          <rPr>
            <b/>
            <sz val="9"/>
            <color indexed="81"/>
            <rFont val="Tahoma"/>
            <family val="2"/>
          </rPr>
          <t xml:space="preserve">2021 10K: </t>
        </r>
        <r>
          <rPr>
            <sz val="9"/>
            <color indexed="81"/>
            <rFont val="Tahoma"/>
            <family val="2"/>
          </rPr>
          <t xml:space="preserve">The increase in TAC from 2020 to 2021 was due to an increase in TAC paid to distribution partners and to Google Network partners, primarily driven by growth in revenues subject to TAC. The TAC rate decreased from 22.3% to 21.8% from 2020 to 2021 primarily due to a revenue mix shift from Google Network properties to Google Search &amp; other properties. </t>
        </r>
        <r>
          <rPr>
            <u/>
            <sz val="9"/>
            <color indexed="81"/>
            <rFont val="Tahoma"/>
            <family val="2"/>
          </rPr>
          <t>The TAC rate on Google Search &amp; other properties revenues and the TAC rate on Google Network revenues were both substantially consistent from 2020 to 2021.</t>
        </r>
      </text>
    </comment>
    <comment ref="DW107" authorId="0" shapeId="0" xr:uid="{E0468A41-CE59-4328-B3F5-8222D9204B1A}">
      <text>
        <r>
          <rPr>
            <b/>
            <sz val="9"/>
            <color indexed="81"/>
            <rFont val="Tahoma"/>
            <family val="2"/>
          </rPr>
          <t xml:space="preserve">1Q22 10Q: </t>
        </r>
        <r>
          <rPr>
            <sz val="9"/>
            <color indexed="81"/>
            <rFont val="Tahoma"/>
            <family val="2"/>
          </rPr>
          <t xml:space="preserve">The increase in TAC from the three months ended March 31, 2021 to the three months ended March 31, 2022 was due to increases in TAC paid to distribution partners and to Google Network partners, primarily driven by growth in revenues subject to TAC. The TAC rate increased from 21.7% to 21.9% from the three months ended March 31, 2021 to the three months ended March 31, 2022 due to a combination of factors none of which were individually significant. </t>
        </r>
        <r>
          <rPr>
            <u/>
            <sz val="9"/>
            <color indexed="81"/>
            <rFont val="Tahoma"/>
            <family val="2"/>
          </rPr>
          <t>The TAC rate on Google Search &amp; other properties revenues and the TAC rate on Google Network revenues were both substantially consistent from three months ended March 31, 2021 to the three months ended March 31, 2022.</t>
        </r>
      </text>
    </comment>
    <comment ref="DX107" authorId="0" shapeId="0" xr:uid="{25002E77-CA59-4104-87C4-F160C3A94B55}">
      <text>
        <r>
          <rPr>
            <b/>
            <sz val="9"/>
            <color indexed="81"/>
            <rFont val="Tahoma"/>
            <family val="2"/>
          </rPr>
          <t xml:space="preserve">2Q22 10Q: </t>
        </r>
        <r>
          <rPr>
            <sz val="9"/>
            <color indexed="81"/>
            <rFont val="Tahoma"/>
            <family val="2"/>
          </rPr>
          <t xml:space="preserve">The increase in TAC from the three and six months ended June 30, 2021 to the three and six months ended June 30, 2022 was due to increases in TAC paid to distribution partners and to Google Network partners, primarily driven by growth in revenues subject to TAC. The TAC rate was 21.7% in both the three months ended June 30, 2021 and the three months ended June 30, 2022. The TAC rate increased from 21.7% to 21.8% from the six months ended June 30, 2021 to the six months ended June 30, 2022 due to a combination of factors, none of which were individually significant. </t>
        </r>
        <r>
          <rPr>
            <u/>
            <sz val="9"/>
            <color indexed="81"/>
            <rFont val="Tahoma"/>
            <family val="2"/>
          </rPr>
          <t>The TAC rate on Google Search &amp; other properties revenues and the TAC rate on Google Network revenues were both substantially consistent from three and six months ended June 30, 2021 to the three and six months ended June 30, 2022.</t>
        </r>
      </text>
    </comment>
    <comment ref="DY107" authorId="0" shapeId="0" xr:uid="{67813161-6A89-4888-B842-D51BD814B3EC}">
      <text>
        <r>
          <rPr>
            <b/>
            <sz val="9"/>
            <color indexed="81"/>
            <rFont val="Tahoma"/>
            <family val="2"/>
          </rPr>
          <t xml:space="preserve">3Q22 10Q: </t>
        </r>
        <r>
          <rPr>
            <sz val="9"/>
            <color indexed="81"/>
            <rFont val="Tahoma"/>
            <family val="2"/>
          </rPr>
          <t xml:space="preserve">The TAC rate increased from 21.6% to 21.7% from the three months ended September 30, 2021 to the three months ended September 30, 2022 and increased from 21.7% to 21.8% from the nine months ended September 30, 2021 to the nine months ended September 30, 2022 due to a combination of factors, none of which were individually significant. </t>
        </r>
        <r>
          <rPr>
            <u/>
            <sz val="9"/>
            <color indexed="81"/>
            <rFont val="Tahoma"/>
            <family val="2"/>
          </rPr>
          <t>The TAC rate on Google Search &amp; other revenues and the TAC rate on Google Network revenues were both substantially consistent from three and nine months ended September 30, 2021 to the three and nine months ended September 30, 2022.</t>
        </r>
      </text>
    </comment>
    <comment ref="EA107" authorId="0" shapeId="0" xr:uid="{9C5DCD29-8478-4B41-A6C3-945F7634B44B}">
      <text>
        <r>
          <rPr>
            <b/>
            <sz val="9"/>
            <color indexed="81"/>
            <rFont val="Tahoma"/>
            <family val="2"/>
          </rPr>
          <t xml:space="preserve">2022 10K: </t>
        </r>
        <r>
          <rPr>
            <sz val="9"/>
            <color indexed="81"/>
            <rFont val="Tahoma"/>
            <family val="2"/>
          </rPr>
          <t>The increase in TAC from 2021 to 2022 was due to an increase in TAC paid to distribution partners and to Google Network partners, primarily driven by growth in revenues subject to TAC. The TAC rate was 22% in both 2021 and 2022. The TAC rate on Google Search &amp; other revenues and the TAC rate on Google Network revenues were both substantially consistent from 2021 to 2022.</t>
        </r>
      </text>
    </comment>
    <comment ref="EB107" authorId="0" shapeId="0" xr:uid="{52725E3C-51CC-4478-9B55-301967E90453}">
      <text>
        <r>
          <rPr>
            <b/>
            <sz val="9"/>
            <color indexed="81"/>
            <rFont val="Tahoma"/>
            <family val="2"/>
          </rPr>
          <t xml:space="preserve">1Q23 10Q: </t>
        </r>
        <r>
          <rPr>
            <sz val="9"/>
            <color indexed="81"/>
            <rFont val="Tahoma"/>
            <family val="2"/>
          </rPr>
          <t xml:space="preserve">The decrease in TAC from the three months ended March 31, 2022 to the three months ended March 31, 2023 was largely due to a decrease in TAC paid to Google Network partners, primarily driven by a decrease in revenues subject to TAC. The TAC rate decreased from 21.9% to 21.5% from the three months ended March 31, 2022 to the three months ended March 31, 2023 primarily due to a revenue mix shift from Google Network properties to Google Search &amp; other properties. </t>
        </r>
        <r>
          <rPr>
            <u/>
            <sz val="9"/>
            <color indexed="81"/>
            <rFont val="Tahoma"/>
            <family val="2"/>
          </rPr>
          <t>The TAC rate on Google Search &amp; other revenues and the TAC rate on Google Network revenues were both substantially consistent from three months ended March 31, 2022 to the three months ended March 31, 2023.</t>
        </r>
      </text>
    </comment>
    <comment ref="EC107" authorId="0" shapeId="0" xr:uid="{C8187D0D-C7B7-4F1B-8D5A-2F695DBE079D}">
      <text>
        <r>
          <rPr>
            <b/>
            <sz val="9"/>
            <color indexed="81"/>
            <rFont val="Tahoma"/>
            <family val="2"/>
          </rPr>
          <t xml:space="preserve">2Q23 10Q: </t>
        </r>
        <r>
          <rPr>
            <sz val="9"/>
            <color indexed="81"/>
            <rFont val="Tahoma"/>
            <family val="2"/>
          </rPr>
          <t xml:space="preserve">The increase in TAC from the three months ended June 30, 2022 to the three months ended June 30, 2023 was largely due to an increase in TAC paid to distribution partners, primarily driven by growth in revenues subject to TAC. TAC was relatively unchanged from the six months ended June 30, 2022 to the six months ended June 30, 2023. The TAC rate decreased from 21.7% to 21.6% from the three months ended June 30, 2022 to the three months ended June 30, 2023 and decreased from 21.8% to 21.5% from the six months ended June 30, 2022 to the six months ended June 30, 2023 primarily due to a revenue mix shift from Google Network properties to Google Search &amp; other properties. </t>
        </r>
        <r>
          <rPr>
            <u/>
            <sz val="9"/>
            <color indexed="81"/>
            <rFont val="Tahoma"/>
            <family val="2"/>
          </rPr>
          <t>The TAC rate on Google Search &amp; other revenues and the TAC rate on Google Network revenues were both substantially consistent from the three and six months ended June 30, 2022 to the three and six months ended June 30, 2023.</t>
        </r>
      </text>
    </comment>
    <comment ref="ED107" authorId="0" shapeId="0" xr:uid="{71C8FA7A-C1E7-4756-BBE2-4B8209F98CC5}">
      <text>
        <r>
          <rPr>
            <b/>
            <sz val="9"/>
            <color indexed="81"/>
            <rFont val="Tahoma"/>
            <family val="2"/>
          </rPr>
          <t xml:space="preserve">3Q23 10Q: </t>
        </r>
        <r>
          <rPr>
            <sz val="9"/>
            <color indexed="81"/>
            <rFont val="Tahoma"/>
            <family val="2"/>
          </rPr>
          <t>The increase in TAC from the three and nine months ended September 30, 2022 to the three and ninemonths ended September 30, 2023 was largely due to an increase in TAC paid to distribution partners, primarilydriven by growth in revenues subject to TAC. The TAC rate decreased from 21.7% to 21.2% from the threemonths ended September 30, 2022 to the three months ended September 30, 2023 and decreased from 21.8%to 21.4% from the nine months ended September 30, 2022 to the nine months ended September 30, 2023primarily due to a revenue mix shift from Google Network properties to Google Search &amp; other properties. TheTAC rate on Google Search &amp; other revenues and the TAC rate on Google Network revenues were bothsubstantially consistent from the three and nine months ended September 30, 2022 to the three and ninemonths ended September 30, 2023.</t>
        </r>
      </text>
    </comment>
    <comment ref="DM108" authorId="0" shapeId="0" xr:uid="{00000000-0006-0000-0200-000048000000}">
      <text>
        <r>
          <rPr>
            <b/>
            <sz val="9"/>
            <color indexed="81"/>
            <rFont val="Tahoma"/>
            <family val="2"/>
          </rPr>
          <t xml:space="preserve">@1Q: </t>
        </r>
        <r>
          <rPr>
            <sz val="9"/>
            <color indexed="81"/>
            <rFont val="Tahoma"/>
            <family val="2"/>
          </rPr>
          <t>Total traffic acquisition costs were $7.5 billion or 22% of total advertising revenues, and up 9% year-over-year. Total TAC as a percentage of total advertising revenues was down slightly year-over-year reflecting once again a favorable revenue mix shift from network to Google properties.</t>
        </r>
      </text>
    </comment>
    <comment ref="A141" authorId="0" shapeId="0" xr:uid="{4E94A9A9-070A-4C19-98C4-C138FEC6D3E9}">
      <text>
        <r>
          <rPr>
            <b/>
            <sz val="9"/>
            <color indexed="81"/>
            <rFont val="Tahoma"/>
            <family val="2"/>
          </rPr>
          <t xml:space="preserve">2024 10K: </t>
        </r>
        <r>
          <rPr>
            <sz val="9"/>
            <color indexed="81"/>
            <rFont val="Tahoma"/>
            <family val="2"/>
          </rPr>
          <t xml:space="preserve">Paid clicks represent engagement by users and include clicks on advertisements by end-users on Google search properties and other Google owned and operated properties including Gmail, Google Maps, and Google Play. Cost-per-click is defined as click-driven revenues divided by our total number of paid clicks and represents the average amount we charge advertisers for each engagement by users.
</t>
        </r>
        <r>
          <rPr>
            <b/>
            <sz val="9"/>
            <color indexed="81"/>
            <rFont val="Tahoma"/>
            <family val="2"/>
          </rPr>
          <t>2023 10K:</t>
        </r>
        <r>
          <rPr>
            <sz val="9"/>
            <color indexed="81"/>
            <rFont val="Tahoma"/>
            <family val="2"/>
          </rPr>
          <t xml:space="preserve"> Paid clicks represent engagement by users and include clicks on advertisements by end-users on Google search properties and other Google owned and operated properties including Gmail, Google Maps, and Google Play. Cost-per-click is defined as click-driven revenues divided by our total number of paid clicks and represents the average amount we charge advertisers for each engagement by users.
</t>
        </r>
        <r>
          <rPr>
            <b/>
            <sz val="9"/>
            <color indexed="81"/>
            <rFont val="Tahoma"/>
            <family val="2"/>
          </rPr>
          <t xml:space="preserve">2022 10K: </t>
        </r>
        <r>
          <rPr>
            <sz val="9"/>
            <color indexed="81"/>
            <rFont val="Tahoma"/>
            <family val="2"/>
          </rPr>
          <t xml:space="preserve">Paid clicks represent engagement by users and include clicks on advertisements by end-users on Google search properties and other Google owned and operated properties including Gmail, Google Maps, and Google Play. Cost-per-click is defined as click-driven revenues divided by our total number of paid clicks and represents the average amount we charge advertisers for each engagement by users.
</t>
        </r>
        <r>
          <rPr>
            <b/>
            <sz val="9"/>
            <color indexed="81"/>
            <rFont val="Tahoma"/>
            <family val="2"/>
          </rPr>
          <t>2021 10K:</t>
        </r>
        <r>
          <rPr>
            <sz val="9"/>
            <color indexed="81"/>
            <rFont val="Tahoma"/>
            <family val="2"/>
          </rPr>
          <t xml:space="preserve"> Paid clicks represent engagement by users and include clicks on advertisements by end-users on Google search properties and other Google owned and operated properties including Gmail, Google Maps, and Google Play. Cost-per-click is defined as click-driven revenues divided by our total number of paid clicks and represents the average amount we charge advertisers for each engagement by users.
</t>
        </r>
        <r>
          <rPr>
            <b/>
            <sz val="9"/>
            <color indexed="81"/>
            <rFont val="Tahoma"/>
            <family val="2"/>
          </rPr>
          <t>2020 10K:</t>
        </r>
        <r>
          <rPr>
            <sz val="9"/>
            <color indexed="81"/>
            <rFont val="Tahoma"/>
            <family val="2"/>
          </rPr>
          <t xml:space="preserve"> Paid clicks for our Google Search &amp; other properties represent engagement by users and include clicks on advertisements by end-users on Google search properties and other owned and operated properties including Gmail, Google Maps, and Google Play. </t>
        </r>
        <r>
          <rPr>
            <u/>
            <sz val="9"/>
            <color indexed="81"/>
            <rFont val="Tahoma"/>
            <family val="2"/>
          </rPr>
          <t>Historically, we included certain viewed YouTube engagement ads and the related revenues in our paid clicks and cost-per-click monetization metrics. Over time, advertising on YouTube has expanded to multiple advertising formats and the type of viewed engagement ads historically included in paid clicks and cost-per-click metrics have increasingly covered a smaller portion of YouTube advertising revenues. As a result, we removed these ads and the related revenues from the paid clicks and cost-per-click metrics for the current and historical periods presented. The revised metrics provide a better understanding of monetization trends on the properties included within Google Search &amp; other, as they now more closely correlate with the related changes in revenues.</t>
        </r>
        <r>
          <rPr>
            <sz val="9"/>
            <color indexed="81"/>
            <rFont val="Tahoma"/>
            <family val="2"/>
          </rPr>
          <t xml:space="preserve">
</t>
        </r>
        <r>
          <rPr>
            <b/>
            <sz val="9"/>
            <color indexed="81"/>
            <rFont val="Tahoma"/>
            <family val="2"/>
          </rPr>
          <t>2019 10K:</t>
        </r>
        <r>
          <rPr>
            <sz val="9"/>
            <color indexed="81"/>
            <rFont val="Tahoma"/>
            <family val="2"/>
          </rPr>
          <t xml:space="preserve"> Paid clicks for our Google properties represent engagement by users and include clicks on advertisements by end-users related to searches on Google.com and other owned and operated properties including Gmail, Google Maps, and Google Play; and viewed YouTube engagement ads (certain YouTube ad formats are not included in our click or impression based metrics). Cost-per-click is defined as click-driven revenues divided by our total number of paid clicks and represents the average amount we charge advertisers for each engagement by users.</t>
        </r>
      </text>
    </comment>
    <comment ref="A142" authorId="0" shapeId="0" xr:uid="{E1653449-F818-4F1C-B1A3-9B27702B5CE8}">
      <text>
        <r>
          <rPr>
            <b/>
            <sz val="9"/>
            <color indexed="81"/>
            <rFont val="Tahoma"/>
            <family val="2"/>
          </rPr>
          <t xml:space="preserve">2024 10K: </t>
        </r>
        <r>
          <rPr>
            <sz val="9"/>
            <color indexed="81"/>
            <rFont val="Tahoma"/>
            <family val="2"/>
          </rPr>
          <t xml:space="preserve">Paid clicks represent engagement by users and include clicks on advertisements by end-users on Google search properties and other Google owned and operated properties including Gmail, Google Maps, and Google Play. Cost-per-click is defined as click-driven revenues divided by our total number of paid clicks and represents the average amount we charge advertisers for each engagement by users.
</t>
        </r>
        <r>
          <rPr>
            <b/>
            <sz val="9"/>
            <color indexed="81"/>
            <rFont val="Tahoma"/>
            <family val="2"/>
          </rPr>
          <t>2023 10K:</t>
        </r>
        <r>
          <rPr>
            <sz val="9"/>
            <color indexed="81"/>
            <rFont val="Tahoma"/>
            <family val="2"/>
          </rPr>
          <t xml:space="preserve"> Paid clicks represent engagement by users and include clicks on advertisements by end-users on Google search properties and other Google owned and operated properties including Gmail, Google Maps, and Google Play. Cost-per-click is defined as click-driven revenues divided by our total number of paid clicks and represents the average amount we charge advertisers for each engagement by users.
</t>
        </r>
        <r>
          <rPr>
            <b/>
            <sz val="9"/>
            <color indexed="81"/>
            <rFont val="Tahoma"/>
            <family val="2"/>
          </rPr>
          <t xml:space="preserve">2022 10K: </t>
        </r>
        <r>
          <rPr>
            <sz val="9"/>
            <color indexed="81"/>
            <rFont val="Tahoma"/>
            <family val="2"/>
          </rPr>
          <t xml:space="preserve">Paid clicks represent engagement by users and include clicks on advertisements by end-users on Google search properties and other Google owned and operated properties including Gmail, Google Maps, and Google Play. Cost-per-click is defined as click-driven revenues divided by our total number of paid clicks and represents the average amount we charge advertisers for each engagement by users.
</t>
        </r>
        <r>
          <rPr>
            <b/>
            <sz val="9"/>
            <color indexed="81"/>
            <rFont val="Tahoma"/>
            <family val="2"/>
          </rPr>
          <t>2021 10K:</t>
        </r>
        <r>
          <rPr>
            <sz val="9"/>
            <color indexed="81"/>
            <rFont val="Tahoma"/>
            <family val="2"/>
          </rPr>
          <t xml:space="preserve"> Paid clicks represent engagement by users and include clicks on advertisements by end-users on Google search properties and other Google owned and operated properties including Gmail, Google Maps, and Google Play. Cost-per-click is defined as click-driven revenues divided by our total number of paid clicks and represents the average amount we charge advertisers for each engagement by users.
</t>
        </r>
        <r>
          <rPr>
            <b/>
            <sz val="9"/>
            <color indexed="81"/>
            <rFont val="Tahoma"/>
            <family val="2"/>
          </rPr>
          <t>2020 10K:</t>
        </r>
        <r>
          <rPr>
            <sz val="9"/>
            <color indexed="81"/>
            <rFont val="Tahoma"/>
            <family val="2"/>
          </rPr>
          <t xml:space="preserve"> Paid clicks for our Google Search &amp; other properties represent engagement by users and include clicks on advertisements by end-users on Google search properties and other owned and operated properties including Gmail, Google Maps, and Google Play. </t>
        </r>
        <r>
          <rPr>
            <u/>
            <sz val="9"/>
            <color indexed="81"/>
            <rFont val="Tahoma"/>
            <family val="2"/>
          </rPr>
          <t>Historically, we included certain viewed YouTube engagement ads and the related revenues in our paid clicks and cost-per-click monetization metrics. Over time, advertising on YouTube has expanded to multiple advertising formats and the type of viewed engagement ads historically included in paid clicks and cost-per-click metrics have increasingly covered a smaller portion of YouTube advertising revenues. As a result, we removed these ads and the related revenues from the paid clicks and cost-per-click metrics for the current and historical periods presented. The revised metrics provide a better understanding of monetization trends on the properties included within Google Search &amp; other, as they now more closely correlate with the related changes in revenues.</t>
        </r>
        <r>
          <rPr>
            <sz val="9"/>
            <color indexed="81"/>
            <rFont val="Tahoma"/>
            <family val="2"/>
          </rPr>
          <t xml:space="preserve">
</t>
        </r>
        <r>
          <rPr>
            <b/>
            <sz val="9"/>
            <color indexed="81"/>
            <rFont val="Tahoma"/>
            <family val="2"/>
          </rPr>
          <t>2019 10K:</t>
        </r>
        <r>
          <rPr>
            <sz val="9"/>
            <color indexed="81"/>
            <rFont val="Tahoma"/>
            <family val="2"/>
          </rPr>
          <t xml:space="preserve"> Paid clicks for our Google properties represent engagement by users and include clicks on advertisements by end-users related to searches on Google.com and other owned and operated properties including Gmail, Google Maps, and Google Play; and viewed YouTube engagement ads (certain YouTube ad formats are not included in our click or impression based metrics). Cost-per-click is defined as click-driven revenues divided by our total number of paid clicks and represents the average amount we charge advertisers for each engagement by users.</t>
        </r>
      </text>
    </comment>
    <comment ref="CS142" authorId="0" shapeId="0" xr:uid="{00000000-0006-0000-0200-00004A000000}">
      <text>
        <r>
          <rPr>
            <b/>
            <sz val="9"/>
            <color indexed="81"/>
            <rFont val="Tahoma"/>
            <family val="2"/>
          </rPr>
          <t xml:space="preserve">@1Q17: </t>
        </r>
        <r>
          <rPr>
            <sz val="9"/>
            <color indexed="81"/>
            <rFont val="Tahoma"/>
            <family val="2"/>
          </rPr>
          <t>prior periods are not restated</t>
        </r>
      </text>
    </comment>
    <comment ref="DK143" authorId="0" shapeId="0" xr:uid="{00000000-0006-0000-0200-00004B000000}">
      <text>
        <r>
          <rPr>
            <b/>
            <sz val="9"/>
            <color indexed="81"/>
            <rFont val="Tahoma"/>
            <family val="2"/>
          </rPr>
          <t>4Q not provided</t>
        </r>
      </text>
    </comment>
    <comment ref="DL143" authorId="0" shapeId="0" xr:uid="{10B82BB3-40E8-4B49-8CA6-64F823E8C635}">
      <text>
        <r>
          <rPr>
            <b/>
            <sz val="9"/>
            <color indexed="81"/>
            <rFont val="Tahoma"/>
            <family val="2"/>
          </rPr>
          <t>restated in 2020 with change in definition</t>
        </r>
      </text>
    </comment>
    <comment ref="EC143" authorId="0" shapeId="0" xr:uid="{008960A2-C6C5-4688-9349-A4AAF7B7CD2F}">
      <text>
        <r>
          <rPr>
            <b/>
            <sz val="9"/>
            <color indexed="81"/>
            <rFont val="Tahoma"/>
            <family val="2"/>
          </rPr>
          <t xml:space="preserve">10Q: </t>
        </r>
        <r>
          <rPr>
            <sz val="9"/>
            <color indexed="81"/>
            <rFont val="Tahoma"/>
            <family val="2"/>
          </rPr>
          <t>Paid clicks represent engagement by users and include clicks on advertisements by end-users on Google search properties and other Google owned and operated properties including Gmail, Google Maps, and Google Play. Cost-per-click is defined as click-driven revenues divided by our total number of paid clicks and represents the average amount we charge advertisers for each engagement by users.</t>
        </r>
      </text>
    </comment>
    <comment ref="ED143" authorId="0" shapeId="0" xr:uid="{E48F8E6A-2DDB-4DB3-A143-8188F8A72902}">
      <text>
        <r>
          <rPr>
            <b/>
            <sz val="9"/>
            <color indexed="81"/>
            <rFont val="Tahoma"/>
            <family val="2"/>
          </rPr>
          <t xml:space="preserve">3Q23 10Q: </t>
        </r>
        <r>
          <rPr>
            <sz val="9"/>
            <color indexed="81"/>
            <rFont val="Tahoma"/>
            <family val="2"/>
          </rPr>
          <t xml:space="preserve">Paid clicks increased from the three months ended September 30, 2022 to the three months endedSeptember 30, 2023 driven by a number of interrelated factors, including an increase in search queries resultingfrom growth in user adoption and usage on mobile devices; growth in advertiser spending; and ongoing product and policy changes. </t>
        </r>
      </text>
    </comment>
    <comment ref="EF143" authorId="3" shapeId="0" xr:uid="{E61D69AD-6173-44C2-9251-792046AD491A}">
      <text>
        <r>
          <rPr>
            <b/>
            <sz val="9"/>
            <color indexed="81"/>
            <rFont val="Tahoma"/>
            <family val="2"/>
          </rPr>
          <t>2023 10K:</t>
        </r>
        <r>
          <rPr>
            <sz val="9"/>
            <color indexed="81"/>
            <rFont val="Tahoma"/>
            <family val="2"/>
          </rPr>
          <t xml:space="preserve"> Changes in paid clicks and impressions are driven by a number of interrelated factors, including changes in advertiser spending; ongoing product and policy changes; and, as it relates to paid clicks, fluctuations in search queries resulting from changes in user adoption and usage, primarily on mobile devices.</t>
        </r>
        <r>
          <rPr>
            <b/>
            <sz val="9"/>
            <color indexed="81"/>
            <rFont val="Tahoma"/>
            <family val="2"/>
          </rPr>
          <t xml:space="preserve"> </t>
        </r>
      </text>
    </comment>
    <comment ref="EG143" authorId="3" shapeId="0" xr:uid="{5FC2D1BA-416B-4A5A-A2C6-94E34D447CFA}">
      <text>
        <r>
          <rPr>
            <b/>
            <sz val="9"/>
            <color indexed="81"/>
            <rFont val="Tahoma"/>
            <family val="2"/>
          </rPr>
          <t>1Q24 10Q:</t>
        </r>
        <r>
          <rPr>
            <sz val="9"/>
            <color indexed="81"/>
            <rFont val="Tahoma"/>
            <family val="2"/>
          </rPr>
          <t xml:space="preserve"> Changes in paid clicks and impressions are driven by a number of interrelated factors, including changes in advertiser spending; ongoing product and policy changes; and, as it relates to paid clicks, fluctuations in search queries resulting from changes in user adoption and usage, primarily on mobile devices.</t>
        </r>
      </text>
    </comment>
    <comment ref="EH143" authorId="3" shapeId="0" xr:uid="{6B5A4EC6-07C6-44E5-AD45-CC589775C5A7}">
      <text>
        <r>
          <rPr>
            <b/>
            <sz val="9"/>
            <color indexed="81"/>
            <rFont val="Tahoma"/>
            <family val="2"/>
          </rPr>
          <t xml:space="preserve">2Q24 10Q: </t>
        </r>
        <r>
          <rPr>
            <sz val="9"/>
            <color indexed="81"/>
            <rFont val="Tahoma"/>
            <family val="2"/>
          </rPr>
          <t>Changes in paid clicks and impressions are driven by a number of interrelated factors, including changes in advertiser spending; ongoing product and policy changes; and, as it relates to paid clicks, fluctuations in search queries resulting from changes in user adoption and usage, primarily on mobile devices.</t>
        </r>
      </text>
    </comment>
    <comment ref="EI143" authorId="3" shapeId="0" xr:uid="{7372A11D-6254-4024-B705-711690E8A2EA}">
      <text>
        <r>
          <rPr>
            <b/>
            <sz val="9"/>
            <color indexed="81"/>
            <rFont val="Tahoma"/>
            <family val="2"/>
          </rPr>
          <t xml:space="preserve">3Q24 10Q: </t>
        </r>
        <r>
          <rPr>
            <sz val="9"/>
            <color indexed="81"/>
            <rFont val="Tahoma"/>
            <family val="2"/>
          </rPr>
          <t>Changes in paid clicks and impressions are driven by a number of interrelated factors, including changes in advertiser spending; ongoing product and policy changes; and, as it relates to paid clicks, fluctuations in search queries resulting from changes in user adoption and usage, primarily on mobile devices.</t>
        </r>
      </text>
    </comment>
    <comment ref="EK143" authorId="3" shapeId="0" xr:uid="{E4915E3F-3B2C-44A7-9420-E790A40E4CCD}">
      <text>
        <r>
          <rPr>
            <b/>
            <sz val="9"/>
            <color indexed="81"/>
            <rFont val="Tahoma"/>
            <family val="2"/>
          </rPr>
          <t>2024 10K:</t>
        </r>
        <r>
          <rPr>
            <sz val="9"/>
            <color indexed="81"/>
            <rFont val="Tahoma"/>
            <family val="2"/>
          </rPr>
          <t xml:space="preserve"> Changes in paid clicks and impressions are driven by a number of interrelated factors, including changes in advertiser spending; ongoing product and policy changes; and, as it relates to paid clicks, fluctuations in search queries resulting from changes in user adoption and usage, primarily on mobile devices.</t>
        </r>
      </text>
    </comment>
    <comment ref="EL143" authorId="3" shapeId="0" xr:uid="{ADF9B614-2A00-40A4-9A6B-7987524D7057}">
      <text>
        <r>
          <rPr>
            <b/>
            <sz val="9"/>
            <color indexed="81"/>
            <rFont val="Tahoma"/>
            <family val="2"/>
          </rPr>
          <t>1Q25 10Q:</t>
        </r>
        <r>
          <rPr>
            <sz val="9"/>
            <color indexed="81"/>
            <rFont val="Tahoma"/>
            <family val="2"/>
          </rPr>
          <t xml:space="preserve"> Changes in paid clicks and impressions are driven by a number of interrelated factors, including changes in advertiser spending; ongoing product and policy changes; and, as it relates to paid clicks, fluctuations in search queries resulting from changes in user adoption and usage, primarily on mobile devices.</t>
        </r>
      </text>
    </comment>
    <comment ref="A147" authorId="0" shapeId="0" xr:uid="{BAA17AA3-F14C-4E37-8318-0C82B21FC726}">
      <text>
        <r>
          <rPr>
            <b/>
            <sz val="9"/>
            <color indexed="81"/>
            <rFont val="Tahoma"/>
            <family val="2"/>
          </rPr>
          <t xml:space="preserve">2024 10K: </t>
        </r>
        <r>
          <rPr>
            <sz val="9"/>
            <color indexed="81"/>
            <rFont val="Tahoma"/>
            <family val="2"/>
          </rPr>
          <t xml:space="preserve">Paid clicks represent engagement by users and include clicks on advertisements by end-users on Google search properties and other Google owned and operated properties including Gmail, Google Maps, and Google Play. Cost-per-click is defined as click-driven revenues divided by our total number of paid clicks and represents the average amount we charge advertisers for each engagement by users.
</t>
        </r>
        <r>
          <rPr>
            <b/>
            <sz val="9"/>
            <color indexed="81"/>
            <rFont val="Tahoma"/>
            <family val="2"/>
          </rPr>
          <t>2023 10K:</t>
        </r>
        <r>
          <rPr>
            <sz val="9"/>
            <color indexed="81"/>
            <rFont val="Tahoma"/>
            <family val="2"/>
          </rPr>
          <t xml:space="preserve"> Paid clicks represent engagement by users and include clicks on advertisements by end-users on Google search properties and other Google owned and operated properties including Gmail, Google Maps, and Google Play. Cost-per-click is defined as click-driven revenues divided by our total number of paid clicks and represents the average amount we charge advertisers for each engagement by users.
</t>
        </r>
        <r>
          <rPr>
            <b/>
            <sz val="9"/>
            <color indexed="81"/>
            <rFont val="Tahoma"/>
            <family val="2"/>
          </rPr>
          <t xml:space="preserve">2022 10K: </t>
        </r>
        <r>
          <rPr>
            <sz val="9"/>
            <color indexed="81"/>
            <rFont val="Tahoma"/>
            <family val="2"/>
          </rPr>
          <t xml:space="preserve">Paid clicks represent engagement by users and include clicks on advertisements by end-users on Google search properties and other Google owned and operated properties including Gmail, Google Maps, and Google Play. Cost-per-click is defined as click-driven revenues divided by our total number of paid clicks and represents the average amount we charge advertisers for each engagement by users.
</t>
        </r>
        <r>
          <rPr>
            <b/>
            <sz val="9"/>
            <color indexed="81"/>
            <rFont val="Tahoma"/>
            <family val="2"/>
          </rPr>
          <t>2021 10K:</t>
        </r>
        <r>
          <rPr>
            <sz val="9"/>
            <color indexed="81"/>
            <rFont val="Tahoma"/>
            <family val="2"/>
          </rPr>
          <t xml:space="preserve"> Paid clicks represent engagement by users and include clicks on advertisements by end-users on Google search properties and other Google owned and operated properties including Gmail, Google Maps, and Google Play. Cost-per-click is defined as click-driven revenues divided by our total number of paid clicks and represents the average amount we charge advertisers for each engagement by users.
</t>
        </r>
        <r>
          <rPr>
            <b/>
            <sz val="9"/>
            <color indexed="81"/>
            <rFont val="Tahoma"/>
            <family val="2"/>
          </rPr>
          <t>2020 10K:</t>
        </r>
        <r>
          <rPr>
            <sz val="9"/>
            <color indexed="81"/>
            <rFont val="Tahoma"/>
            <family val="2"/>
          </rPr>
          <t xml:space="preserve"> Paid clicks for our Google Search &amp; other properties represent engagement by users and include clicks on advertisements by end-users on Google search properties and other owned and operated properties including Gmail, Google Maps, and Google Play. </t>
        </r>
        <r>
          <rPr>
            <u/>
            <sz val="9"/>
            <color indexed="81"/>
            <rFont val="Tahoma"/>
            <family val="2"/>
          </rPr>
          <t>Historically, we included certain viewed YouTube engagement ads and the related revenues in our paid clicks and cost-per-click monetization metrics. Over time, advertising on YouTube has expanded to multiple advertising formats and the type of viewed engagement ads historically included in paid clicks and cost-per-click metrics have increasingly covered a smaller portion of YouTube advertising revenues. As a result, we removed these ads and the related revenues from the paid clicks and cost-per-click metrics for the current and historical periods presented. The revised metrics provide a better understanding of monetization trends on the properties included within Google Search &amp; other, as they now more closely correlate with the related changes in revenues.</t>
        </r>
        <r>
          <rPr>
            <sz val="9"/>
            <color indexed="81"/>
            <rFont val="Tahoma"/>
            <family val="2"/>
          </rPr>
          <t xml:space="preserve">
</t>
        </r>
        <r>
          <rPr>
            <b/>
            <sz val="9"/>
            <color indexed="81"/>
            <rFont val="Tahoma"/>
            <family val="2"/>
          </rPr>
          <t>2019 10K:</t>
        </r>
        <r>
          <rPr>
            <sz val="9"/>
            <color indexed="81"/>
            <rFont val="Tahoma"/>
            <family val="2"/>
          </rPr>
          <t xml:space="preserve"> Paid clicks for our Google properties represent engagement by users and include clicks on advertisements by end-users related to searches on Google.com and other owned and operated properties including Gmail, Google Maps, and Google Play; and viewed YouTube engagement ads (certain YouTube ad formats are not included in our click or impression based metrics). Cost-per-click is defined as click-driven revenues divided by our total number of paid clicks and represents the average amount we charge advertisers for each engagement by users.</t>
        </r>
      </text>
    </comment>
    <comment ref="DK148" authorId="0" shapeId="0" xr:uid="{00000000-0006-0000-0200-00004C000000}">
      <text>
        <r>
          <rPr>
            <b/>
            <sz val="9"/>
            <color indexed="81"/>
            <rFont val="Tahoma"/>
            <family val="2"/>
          </rPr>
          <t>4Q not provided</t>
        </r>
      </text>
    </comment>
    <comment ref="ED148" authorId="0" shapeId="0" xr:uid="{B3BA633B-49F9-4D80-A96B-D38A32C72EC7}">
      <text>
        <r>
          <rPr>
            <b/>
            <sz val="9"/>
            <color indexed="81"/>
            <rFont val="Tahoma"/>
            <family val="2"/>
          </rPr>
          <t xml:space="preserve">3Q23 10Q: </t>
        </r>
        <r>
          <rPr>
            <sz val="9"/>
            <color indexed="81"/>
            <rFont val="Tahoma"/>
            <family val="2"/>
          </rPr>
          <t>Cost-per-click increased from the three months ended September 30, 2022 to the threemonths ended September 30, 2023 driven by a number of interrelated factors, including changes in device mix,geographic mix, advertiser spending, ongoing product and policy changes, and property mix.</t>
        </r>
      </text>
    </comment>
    <comment ref="EF148" authorId="3" shapeId="0" xr:uid="{333450E8-F755-4FBD-A9A9-1344AAC4B445}">
      <text>
        <r>
          <rPr>
            <b/>
            <sz val="9"/>
            <color indexed="81"/>
            <rFont val="Tahoma"/>
            <family val="2"/>
          </rPr>
          <t xml:space="preserve">2023 10K: </t>
        </r>
        <r>
          <rPr>
            <sz val="9"/>
            <color indexed="81"/>
            <rFont val="Tahoma"/>
            <family val="2"/>
          </rPr>
          <t>Changes in cost-per-click and cost-per-impression are driven by a number of interrelated factors including changes in device mix, geographic mix, advertiser spending, ongoing product and policy changes, product mix, property mix, and changes in foreign currency exchange rates.</t>
        </r>
      </text>
    </comment>
    <comment ref="EG148" authorId="3" shapeId="0" xr:uid="{CAC748FE-18E8-4E3D-950D-A7EF025260C6}">
      <text>
        <r>
          <rPr>
            <b/>
            <sz val="9"/>
            <color indexed="81"/>
            <rFont val="Tahoma"/>
            <family val="2"/>
          </rPr>
          <t>1Q24 10Q:</t>
        </r>
        <r>
          <rPr>
            <sz val="9"/>
            <color indexed="81"/>
            <rFont val="Tahoma"/>
            <family val="2"/>
          </rPr>
          <t xml:space="preserve"> Changes in cost-per-click and cost-per-impression are driven by a number of interrelated factors including changes in device mix, geographic mix, advertiser spending, ongoing product and policy changes, product mix, property mix, and changes in foreign currency exchange rates.</t>
        </r>
      </text>
    </comment>
    <comment ref="EH148" authorId="3" shapeId="0" xr:uid="{8B4DEB0B-B045-4D03-A434-FB882D09C3C4}">
      <text>
        <r>
          <rPr>
            <b/>
            <sz val="9"/>
            <color indexed="81"/>
            <rFont val="Tahoma"/>
            <family val="2"/>
          </rPr>
          <t xml:space="preserve">2Q24 10Q: </t>
        </r>
        <r>
          <rPr>
            <sz val="9"/>
            <color indexed="81"/>
            <rFont val="Tahoma"/>
            <family val="2"/>
          </rPr>
          <t>Changes in cost-per-click and cost-per-impression are driven by a number of interrelated factors including changes in device mix, geographic mix, advertiser spending, ongoing product and policy changes, product mix, property mix, and changes in foreign currency exchange rates.</t>
        </r>
      </text>
    </comment>
    <comment ref="EI148" authorId="3" shapeId="0" xr:uid="{A0EB9666-CCFB-4047-B7D6-02F96109B3B3}">
      <text>
        <r>
          <rPr>
            <b/>
            <sz val="9"/>
            <color indexed="81"/>
            <rFont val="Tahoma"/>
            <family val="2"/>
          </rPr>
          <t>3Q24 10Q:</t>
        </r>
        <r>
          <rPr>
            <sz val="9"/>
            <color indexed="81"/>
            <rFont val="Tahoma"/>
            <family val="2"/>
          </rPr>
          <t xml:space="preserve"> Changes in cost-per-click and cost-per-impression are driven by a number of interrelated factors including changes in device mix, geographic mix, advertiser spending, ongoing product and policy changes, product mix, property mix, and changes in foreign currency exchange rates.</t>
        </r>
      </text>
    </comment>
    <comment ref="EK148" authorId="3" shapeId="0" xr:uid="{738AFCC3-F3B6-4849-8117-41648676430D}">
      <text>
        <r>
          <rPr>
            <b/>
            <sz val="9"/>
            <color indexed="81"/>
            <rFont val="Tahoma"/>
            <family val="2"/>
          </rPr>
          <t>2024 10K:</t>
        </r>
        <r>
          <rPr>
            <sz val="9"/>
            <color indexed="81"/>
            <rFont val="Tahoma"/>
            <family val="2"/>
          </rPr>
          <t xml:space="preserve"> Changes in cost-per-click and cost-per-impression are driven by a number of interrelated factors including changes in device mix, geographic mix, advertiser spending, ongoing product and policy changes, product mix, property mix, and changes in foreign currency exchange rates.</t>
        </r>
      </text>
    </comment>
    <comment ref="EL148" authorId="3" shapeId="0" xr:uid="{9BEABE8C-0FE1-4A4B-93F9-6383C0893F8D}">
      <text>
        <r>
          <rPr>
            <b/>
            <sz val="9"/>
            <color indexed="81"/>
            <rFont val="Tahoma"/>
            <family val="2"/>
          </rPr>
          <t>1Q25 10Q:</t>
        </r>
        <r>
          <rPr>
            <sz val="9"/>
            <color indexed="81"/>
            <rFont val="Tahoma"/>
            <family val="2"/>
          </rPr>
          <t xml:space="preserve"> Changes in cost-per-click and cost-per-impression are driven by a number of interrelated factors including changes in device mix, geographic mix, advertiser spending, ongoing product and policy changes, product mix, property mix, and changes in foreign currency exchange rates.</t>
        </r>
      </text>
    </comment>
    <comment ref="A158" authorId="0" shapeId="0" xr:uid="{9509432D-C0BE-4729-8486-9E6F7344E0BD}">
      <text>
        <r>
          <rPr>
            <sz val="9"/>
            <color indexed="81"/>
            <rFont val="Tahoma"/>
            <family val="2"/>
          </rPr>
          <t>Impressions include impressions displayed to users on Google Network properties participating primarily in AdMob, AdSense, and Google Ad Manager.</t>
        </r>
      </text>
    </comment>
    <comment ref="DK159" authorId="0" shapeId="0" xr:uid="{00000000-0006-0000-0200-00004E000000}">
      <text>
        <r>
          <rPr>
            <b/>
            <sz val="9"/>
            <color indexed="81"/>
            <rFont val="Tahoma"/>
            <family val="2"/>
          </rPr>
          <t>4Q not provided</t>
        </r>
      </text>
    </comment>
    <comment ref="EC159" authorId="0" shapeId="0" xr:uid="{BBB55C2F-F4B6-4432-A318-D6876D45AE24}">
      <text>
        <r>
          <rPr>
            <b/>
            <sz val="9"/>
            <color indexed="81"/>
            <rFont val="Tahoma"/>
            <family val="2"/>
          </rPr>
          <t xml:space="preserve">2Q 10Q: </t>
        </r>
        <r>
          <rPr>
            <sz val="9"/>
            <color indexed="81"/>
            <rFont val="Tahoma"/>
            <family val="2"/>
          </rPr>
          <t>Impressions include impressions displayed to users on Google Network properties participating primarily in AdMob, AdSense, and Google Ad Manager. Cost-per-impression is defined as impression-based and click-based revenues divided by our total number of impressions, and represents the average amount we charge advertisers for each impression displayed to users.</t>
        </r>
      </text>
    </comment>
    <comment ref="A162" authorId="0" shapeId="0" xr:uid="{8AF708E4-A9A1-477C-A437-BC405D7B356B}">
      <text>
        <r>
          <rPr>
            <sz val="9"/>
            <color indexed="81"/>
            <rFont val="Tahoma"/>
            <family val="2"/>
          </rPr>
          <t>Cost-per-impression is defined as impression-based and click-based revenues divided by our total number of impressions, and represents the average amount we charge advertisers for each impression displayed to users.</t>
        </r>
      </text>
    </comment>
    <comment ref="DK163" authorId="0" shapeId="0" xr:uid="{00000000-0006-0000-0200-00004F000000}">
      <text>
        <r>
          <rPr>
            <b/>
            <sz val="9"/>
            <color indexed="81"/>
            <rFont val="Tahoma"/>
            <family val="2"/>
          </rPr>
          <t>4Q not provided</t>
        </r>
      </text>
    </comment>
    <comment ref="DE175" authorId="0" shapeId="0" xr:uid="{00000000-0006-0000-0200-000050000000}">
      <text>
        <r>
          <rPr>
            <b/>
            <sz val="9"/>
            <color indexed="81"/>
            <rFont val="Tahoma"/>
            <family val="2"/>
          </rPr>
          <t xml:space="preserve">@3Q18 call: </t>
        </r>
        <r>
          <rPr>
            <sz val="9"/>
            <color indexed="81"/>
            <rFont val="Tahoma"/>
            <family val="2"/>
          </rPr>
          <t>We’re also investing closer to home. In Q3, more than 80% of Alphabet’s total capital expenditures was within the US. Not only do these investments in data centers, machines and offices allow us to provide great services to users, they have a strong positive impact on the communities around them, supporting thousands of jobs and countless local businesses. This year to date, we have added over 9,000 new employees in the US. And we continue to grow faster outside the Bay Area than in it.</t>
        </r>
      </text>
    </comment>
    <comment ref="A186" authorId="0" shapeId="0" xr:uid="{00000000-0006-0000-0200-000051000000}">
      <text>
        <r>
          <rPr>
            <sz val="9"/>
            <color indexed="81"/>
            <rFont val="Tahoma"/>
            <family val="2"/>
          </rPr>
          <t>@1Q17: Includes UK from pre1Q17 breakout</t>
        </r>
      </text>
    </comment>
    <comment ref="DE192" authorId="0" shapeId="0" xr:uid="{00000000-0006-0000-0200-000052000000}">
      <text>
        <r>
          <rPr>
            <b/>
            <sz val="9"/>
            <color indexed="81"/>
            <rFont val="Tahoma"/>
            <family val="2"/>
          </rPr>
          <t xml:space="preserve">@3Q18 call: </t>
        </r>
        <r>
          <rPr>
            <sz val="9"/>
            <color indexed="81"/>
            <rFont val="Tahoma"/>
            <family val="2"/>
          </rPr>
          <t>As you can see from our results, revenue growth in APAC remains strong. This is a reflection of our very focused efforts to build great experiences for the billions of people across the region. We’ve adapted many of our core products like Search, Maps, and YouTube to work well for the next generation of users coming online. We’re also building products to meet the specific needs of users in the region, like Tez, a digital payments app for India, to help people easily pay their electrician or split a dinner bill with just a few taps. Just one year since it launched, over 30 million people and businesses across India now use the app every month, and they have collectively made more than 1 billion transactions. We recently rebranded the app to Google Pay as we look to bring many of the app’s features to others around the world.</t>
        </r>
      </text>
    </comment>
    <comment ref="DM194" authorId="0" shapeId="0" xr:uid="{00000000-0006-0000-0200-000053000000}">
      <text>
        <r>
          <rPr>
            <b/>
            <sz val="9"/>
            <color indexed="81"/>
            <rFont val="Tahoma"/>
            <family val="2"/>
          </rPr>
          <t xml:space="preserve">@1Q: </t>
        </r>
        <r>
          <rPr>
            <sz val="9"/>
            <color indexed="81"/>
            <rFont val="Tahoma"/>
            <family val="2"/>
          </rPr>
          <t>The decline in APAC was more muted than what we have seen in the rest of the world given the uneven impacts of COVID as well as the composition of our revenues in the region.</t>
        </r>
      </text>
    </comment>
    <comment ref="A212" authorId="0" shapeId="0" xr:uid="{00000000-0006-0000-0200-000054000000}">
      <text>
        <r>
          <rPr>
            <b/>
            <sz val="9"/>
            <color indexed="81"/>
            <rFont val="Tahoma"/>
            <family val="2"/>
          </rPr>
          <t xml:space="preserve">10-K:
</t>
        </r>
        <r>
          <rPr>
            <sz val="9"/>
            <color indexed="81"/>
            <rFont val="Tahoma"/>
            <family val="2"/>
          </rPr>
          <t>We use foreign exchange forward contracts in addition to foreign exchange option contracts to protect our forecasted U.S. dollar-equivalent earnings from changes in foreign currency exchange rates. When the U.S. dollar strengthens, gains from foreign currency options and forwards reduce the foreign currency losses related to our earnings. When the U.S. dollar weakens, losses from foreign currency forwards offset the foreign currency gains related to our earnings. These hedging contracts reduce, but do not entirely eliminate, the impact of currency exchange rate movements. We designate these contracts as cash flow hedges for accounting purposes. We record spot-to-spot foreign currency exchange rate changes of these contracts as a component of accumulated other comprehensive income (AOCI) and subsequently reclassify them into revenues to offset the hedged exposures as they occur. We exclude the change in the time value and forward points of these contracts from our assessment of hedge effectiveness. These excluded components are recognized in other income (expense), net.</t>
        </r>
      </text>
    </comment>
    <comment ref="EA213" authorId="0" shapeId="0" xr:uid="{00000000-0006-0000-0200-000055000000}">
      <text>
        <r>
          <rPr>
            <sz val="9"/>
            <color indexed="81"/>
            <rFont val="Tahoma"/>
            <family val="2"/>
          </rPr>
          <t>Should be negative under normal conditions</t>
        </r>
      </text>
    </comment>
    <comment ref="EF213" authorId="0" shapeId="0" xr:uid="{00000000-0006-0000-0200-000056000000}">
      <text>
        <r>
          <rPr>
            <sz val="9"/>
            <color indexed="81"/>
            <rFont val="Tahoma"/>
            <family val="2"/>
          </rPr>
          <t>Should be negative under normal conditions</t>
        </r>
      </text>
    </comment>
    <comment ref="EK213" authorId="0" shapeId="0" xr:uid="{00000000-0006-0000-0200-000057000000}">
      <text>
        <r>
          <rPr>
            <sz val="9"/>
            <color indexed="81"/>
            <rFont val="Tahoma"/>
            <family val="2"/>
          </rPr>
          <t>Should be negative under normal conditions</t>
        </r>
      </text>
    </comment>
    <comment ref="EP213" authorId="0" shapeId="0" xr:uid="{00000000-0006-0000-0200-000058000000}">
      <text>
        <r>
          <rPr>
            <sz val="9"/>
            <color indexed="81"/>
            <rFont val="Tahoma"/>
            <family val="2"/>
          </rPr>
          <t>Should be negative under normal conditions</t>
        </r>
      </text>
    </comment>
    <comment ref="EU213" authorId="0" shapeId="0" xr:uid="{00000000-0006-0000-0200-000059000000}">
      <text>
        <r>
          <rPr>
            <sz val="9"/>
            <color indexed="81"/>
            <rFont val="Tahoma"/>
            <family val="2"/>
          </rPr>
          <t>Should be negative under normal conditions</t>
        </r>
      </text>
    </comment>
    <comment ref="EV213" authorId="0" shapeId="0" xr:uid="{00000000-0006-0000-0200-00005A000000}">
      <text>
        <r>
          <rPr>
            <sz val="9"/>
            <color indexed="81"/>
            <rFont val="Tahoma"/>
            <family val="2"/>
          </rPr>
          <t>Should be negative under normal conditions</t>
        </r>
      </text>
    </comment>
    <comment ref="EW213" authorId="0" shapeId="0" xr:uid="{3D3B04AF-7B05-48B8-9AE4-5EBD7EBB5ADF}">
      <text>
        <r>
          <rPr>
            <sz val="9"/>
            <color indexed="81"/>
            <rFont val="Tahoma"/>
            <family val="2"/>
          </rPr>
          <t>Should be negative under normal conditions</t>
        </r>
      </text>
    </comment>
    <comment ref="EX213" authorId="0" shapeId="0" xr:uid="{45B3B462-ADF3-4749-BCF6-5CA2C16B4239}">
      <text>
        <r>
          <rPr>
            <sz val="9"/>
            <color indexed="81"/>
            <rFont val="Tahoma"/>
            <family val="2"/>
          </rPr>
          <t>Should be negative under normal conditions</t>
        </r>
      </text>
    </comment>
    <comment ref="EY213" authorId="0" shapeId="0" xr:uid="{9BD93EE7-45CB-42C3-AA68-914B21839B0C}">
      <text>
        <r>
          <rPr>
            <sz val="9"/>
            <color indexed="81"/>
            <rFont val="Tahoma"/>
            <family val="2"/>
          </rPr>
          <t>Should be negative under normal conditions</t>
        </r>
      </text>
    </comment>
    <comment ref="CV214" authorId="0" shapeId="0" xr:uid="{00000000-0006-0000-0200-00005B000000}">
      <text>
        <r>
          <rPr>
            <b/>
            <sz val="9"/>
            <color indexed="81"/>
            <rFont val="Tahoma"/>
            <family val="2"/>
          </rPr>
          <t>@4Q:</t>
        </r>
        <r>
          <rPr>
            <sz val="9"/>
            <color indexed="81"/>
            <rFont val="Tahoma"/>
            <family val="2"/>
          </rPr>
          <t xml:space="preserve"> Third, to hedge our non-U.S. dollar earnings, we are moving from using options only to using primarily forwards. We believe they will be a more effective way to hedge earnings. We intend to continue to use options selectively.</t>
        </r>
      </text>
    </comment>
    <comment ref="A225" authorId="0" shapeId="0" xr:uid="{00000000-0006-0000-0200-00005C000000}">
      <text>
        <r>
          <rPr>
            <b/>
            <sz val="9"/>
            <color indexed="81"/>
            <rFont val="Tahoma"/>
            <family val="2"/>
          </rPr>
          <t>FX &amp; Hedge Neutral</t>
        </r>
      </text>
    </comment>
    <comment ref="CW226" authorId="0" shapeId="0" xr:uid="{00000000-0006-0000-0200-00005D000000}">
      <text>
        <r>
          <rPr>
            <b/>
            <sz val="9"/>
            <color indexed="81"/>
            <rFont val="Tahoma"/>
            <family val="2"/>
          </rPr>
          <t xml:space="preserve">@4Q: </t>
        </r>
        <r>
          <rPr>
            <sz val="9"/>
            <color indexed="81"/>
            <rFont val="Tahoma"/>
            <family val="2"/>
          </rPr>
          <t>For the full year 2016, consolidated revenue grew 20% and excluding the impact of currency movements grew 24%. GAAP operating income was up 23%. This performance is a testament to the ongoing innovation that is driving our success in Mobile Search, YouTube and Programmatic Advertising each of which we believe has only begun to scratch the surface. We remain excited about the sizable opportunities that have not yet been tapped.</t>
        </r>
      </text>
    </comment>
    <comment ref="DC226" authorId="0" shapeId="0" xr:uid="{00000000-0006-0000-0200-00005E000000}">
      <text>
        <r>
          <rPr>
            <b/>
            <sz val="9"/>
            <color indexed="81"/>
            <rFont val="Tahoma"/>
            <family val="2"/>
          </rPr>
          <t xml:space="preserve">@1Q18 call: </t>
        </r>
        <r>
          <rPr>
            <sz val="9"/>
            <color indexed="81"/>
            <rFont val="Tahoma"/>
            <family val="2"/>
          </rPr>
          <t>We delivered ongoing, strong revenue growth, up 26% year-on-year and up 23% in constant currency. The sustained outstanding performance in Sites revenues, in particular, reflects the combined benefits of innovation and secular growth, with mobile search again leading the way. Robust growth in Network revenues was again led by our programmatic business. Ongoing substantial growth in Other Revenues, namely Cloud, Hardware and Play, continues to highlight the growing contribution of our non-ads opportunities.</t>
        </r>
      </text>
    </comment>
    <comment ref="EH227" authorId="0" shapeId="0" xr:uid="{EDE6096D-CEC5-49BA-80D8-53DE0113C8B1}">
      <text>
        <r>
          <rPr>
            <b/>
            <sz val="9"/>
            <color indexed="81"/>
            <rFont val="Tahoma"/>
            <family val="2"/>
          </rPr>
          <t xml:space="preserve">1Q24: </t>
        </r>
        <r>
          <rPr>
            <sz val="9"/>
            <color indexed="81"/>
            <rFont val="Tahoma"/>
            <family val="2"/>
          </rPr>
          <t>at current spot rates, we expect a larger headwind from foreign exchange in Q2 versus Q1.</t>
        </r>
      </text>
    </comment>
    <comment ref="A244" authorId="0" shapeId="0" xr:uid="{00000000-0006-0000-0200-00005F000000}">
      <text>
        <r>
          <rPr>
            <b/>
            <sz val="9"/>
            <color indexed="81"/>
            <rFont val="Tahoma"/>
            <family val="2"/>
          </rPr>
          <t>FLIP SIGN VS REPORTED</t>
        </r>
      </text>
    </comment>
    <comment ref="A246" authorId="0" shapeId="0" xr:uid="{00000000-0006-0000-0200-000060000000}">
      <text>
        <r>
          <rPr>
            <b/>
            <sz val="9"/>
            <color indexed="81"/>
            <rFont val="Tahoma"/>
            <family val="2"/>
          </rPr>
          <t>FLIP SIGN VS REPORTED</t>
        </r>
      </text>
    </comment>
    <comment ref="A253" authorId="0" shapeId="0" xr:uid="{00000000-0006-0000-0200-000061000000}">
      <text>
        <r>
          <rPr>
            <b/>
            <sz val="9"/>
            <color indexed="81"/>
            <rFont val="Tahoma"/>
            <family val="2"/>
          </rPr>
          <t>FX &amp; Hedge Neutral</t>
        </r>
      </text>
    </comment>
    <comment ref="A258" authorId="0" shapeId="0" xr:uid="{00000000-0006-0000-0200-000062000000}">
      <text>
        <r>
          <rPr>
            <b/>
            <sz val="9"/>
            <color indexed="81"/>
            <rFont val="Tahoma"/>
            <family val="2"/>
          </rPr>
          <t>FLIP SIGN VS REPORTED</t>
        </r>
      </text>
    </comment>
    <comment ref="A268" authorId="0" shapeId="0" xr:uid="{00000000-0006-0000-0200-000063000000}">
      <text>
        <r>
          <rPr>
            <b/>
            <sz val="9"/>
            <color indexed="81"/>
            <rFont val="Tahoma"/>
            <family val="2"/>
          </rPr>
          <t>FLIP SIGN VS REPORTED</t>
        </r>
      </text>
    </comment>
    <comment ref="A270" authorId="0" shapeId="0" xr:uid="{00000000-0006-0000-0200-000064000000}">
      <text>
        <r>
          <rPr>
            <b/>
            <sz val="9"/>
            <color indexed="81"/>
            <rFont val="Tahoma"/>
            <family val="2"/>
          </rPr>
          <t>FLIP SIGN VS REPORTED</t>
        </r>
      </text>
    </comment>
    <comment ref="A277" authorId="0" shapeId="0" xr:uid="{00000000-0006-0000-0200-000065000000}">
      <text>
        <r>
          <rPr>
            <b/>
            <sz val="9"/>
            <color indexed="81"/>
            <rFont val="Tahoma"/>
            <family val="2"/>
          </rPr>
          <t>FX &amp; Hedge Neutral</t>
        </r>
      </text>
    </comment>
    <comment ref="DE278" authorId="0" shapeId="0" xr:uid="{00000000-0006-0000-0200-000066000000}">
      <text>
        <r>
          <rPr>
            <b/>
            <sz val="9"/>
            <color indexed="81"/>
            <rFont val="Tahoma"/>
            <family val="2"/>
          </rPr>
          <t xml:space="preserve">@3Q18 call: </t>
        </r>
        <r>
          <rPr>
            <sz val="9"/>
            <color indexed="81"/>
            <rFont val="Tahoma"/>
            <family val="2"/>
          </rPr>
          <t>As you can see from our results, revenue growth in APAC remains strong. This is a reflection of our very focused efforts to build great experiences for the billions of people across the region. We’ve adapted many of our core products like Search, Maps, and YouTube to work well for the next generation of users coming online. We’re also building products to meet the specific needs of users in the region, like Tez, a digital payments app for India, to help people easily pay their electrician or split a dinner bill with just a few taps. Just one year since it launched, over 30 million people and businesses across India now use the app every month, and they have collectively made more than 1 billion transactions. We recently rebranded the app to Google Pay as we look to bring many of the app’s features to others around the world.</t>
        </r>
      </text>
    </comment>
    <comment ref="DM278" authorId="0" shapeId="0" xr:uid="{00000000-0006-0000-0200-000067000000}">
      <text>
        <r>
          <rPr>
            <b/>
            <sz val="9"/>
            <color indexed="81"/>
            <rFont val="Tahoma"/>
            <family val="2"/>
          </rPr>
          <t xml:space="preserve">@1Q: </t>
        </r>
        <r>
          <rPr>
            <sz val="9"/>
            <color indexed="81"/>
            <rFont val="Tahoma"/>
            <family val="2"/>
          </rPr>
          <t>The decline in APAC was more muted than what we have seen in the rest of the world given the uneven impacts of COVID as well as the composition of our revenues in the region.</t>
        </r>
      </text>
    </comment>
    <comment ref="A292" authorId="0" shapeId="0" xr:uid="{00000000-0006-0000-0200-000068000000}">
      <text>
        <r>
          <rPr>
            <b/>
            <sz val="9"/>
            <color indexed="81"/>
            <rFont val="Tahoma"/>
            <family val="2"/>
          </rPr>
          <t>FLIP SIGN VS REPORTED</t>
        </r>
      </text>
    </comment>
    <comment ref="A294" authorId="0" shapeId="0" xr:uid="{00000000-0006-0000-0200-000069000000}">
      <text>
        <r>
          <rPr>
            <b/>
            <sz val="9"/>
            <color indexed="81"/>
            <rFont val="Tahoma"/>
            <family val="2"/>
          </rPr>
          <t>FLIP SIGN VS REPORTED</t>
        </r>
      </text>
    </comment>
    <comment ref="A301" authorId="0" shapeId="0" xr:uid="{00000000-0006-0000-0200-00006A000000}">
      <text>
        <r>
          <rPr>
            <b/>
            <sz val="9"/>
            <color indexed="81"/>
            <rFont val="Tahoma"/>
            <family val="2"/>
          </rPr>
          <t>FX &amp; Hedge Neutral</t>
        </r>
      </text>
    </comment>
    <comment ref="DC302" authorId="0" shapeId="0" xr:uid="{00000000-0006-0000-0200-00006B000000}">
      <text>
        <r>
          <rPr>
            <b/>
            <sz val="9"/>
            <color indexed="81"/>
            <rFont val="Tahoma"/>
            <family val="2"/>
          </rPr>
          <t xml:space="preserve">@1Q18 call: </t>
        </r>
        <r>
          <rPr>
            <sz val="9"/>
            <color indexed="81"/>
            <rFont val="Tahoma"/>
            <family val="2"/>
          </rPr>
          <t>It starts with the Sites revenues strength, but on top of that, they benefited from Hardware devices launching in some additional markets over the past year.</t>
        </r>
      </text>
    </comment>
    <comment ref="A306" authorId="0" shapeId="0" xr:uid="{00000000-0006-0000-0200-00006C000000}">
      <text>
        <r>
          <rPr>
            <b/>
            <sz val="9"/>
            <color indexed="81"/>
            <rFont val="Tahoma"/>
            <family val="2"/>
          </rPr>
          <t>FLIP SIGN VS REPORTED</t>
        </r>
      </text>
    </comment>
    <comment ref="A314" authorId="0" shapeId="0" xr:uid="{30E59F58-4433-4024-BD3D-B0B9FC9A4932}">
      <text>
        <r>
          <rPr>
            <b/>
            <sz val="9"/>
            <color indexed="81"/>
            <rFont val="Tahoma"/>
            <family val="2"/>
          </rPr>
          <t>From 10Q/K</t>
        </r>
      </text>
    </comment>
    <comment ref="EC314" authorId="0" shapeId="0" xr:uid="{0F425EF8-371C-4D52-A110-B66F9AC45AEE}">
      <text>
        <r>
          <rPr>
            <b/>
            <sz val="9"/>
            <color indexed="81"/>
            <rFont val="Tahoma"/>
            <family val="2"/>
          </rPr>
          <t xml:space="preserve">2Q 10Q: </t>
        </r>
        <r>
          <rPr>
            <sz val="9"/>
            <color indexed="81"/>
            <rFont val="Tahoma"/>
            <family val="2"/>
          </rPr>
          <t>R&amp;D expenses increased $747 million from the three months ended June 30, 2022 to the three months ended June 30, 2023 primarily driven by an increase in compensation expenses of $356 million and an increase in depreciation of $168 million. The $356 million increase in compensation expenses was largely the result of a 6% increase in average headcount, after adjusting for roles affected by the reduction in workforce, partially offset by a reduction in valuation-based compensation liabilities related to certain Other Bets. The $168 million increase in depreciation includes the benefit of the change in the estimated useful lives of our servers and network equipment.</t>
        </r>
      </text>
    </comment>
    <comment ref="A315" authorId="0" shapeId="0" xr:uid="{BDE9EF65-1493-49CB-8EEB-EB6188CC1A43}">
      <text>
        <r>
          <rPr>
            <b/>
            <sz val="9"/>
            <color indexed="81"/>
            <rFont val="Tahoma"/>
            <family val="2"/>
          </rPr>
          <t>From 10Q/K</t>
        </r>
      </text>
    </comment>
    <comment ref="EC315" authorId="0" shapeId="0" xr:uid="{55EC6670-069F-4F77-9B4A-00A68D0AE86F}">
      <text>
        <r>
          <rPr>
            <b/>
            <sz val="9"/>
            <color indexed="81"/>
            <rFont val="Tahoma"/>
            <family val="2"/>
          </rPr>
          <t xml:space="preserve">2Q 10Q: </t>
        </r>
        <r>
          <rPr>
            <sz val="9"/>
            <color indexed="81"/>
            <rFont val="Tahoma"/>
            <family val="2"/>
          </rPr>
          <t>Sales and marketing expenses increased $859 million from the six months ended June 30, 2022 to the six months ended June 30, 2023 primarily driven by an increase in compensation expenses of $1.1 billion, largely due to $444 million in employee severance charges associated with the reduction in our workforce and a 5% increase in average headcount, after adjusting for roles affected by the reduction in workforce.</t>
        </r>
      </text>
    </comment>
    <comment ref="A316" authorId="0" shapeId="0" xr:uid="{9C3EB507-866B-47E4-B67F-4C69EAB4CDC1}">
      <text>
        <r>
          <rPr>
            <b/>
            <sz val="9"/>
            <color indexed="81"/>
            <rFont val="Tahoma"/>
            <family val="2"/>
          </rPr>
          <t>From 10Q/K</t>
        </r>
      </text>
    </comment>
    <comment ref="BU317" authorId="1" shapeId="0" xr:uid="{00000000-0006-0000-0200-00006D000000}">
      <text>
        <r>
          <rPr>
            <b/>
            <sz val="8"/>
            <color indexed="81"/>
            <rFont val="Tahoma"/>
            <family val="2"/>
          </rPr>
          <t>Bo Nam:</t>
        </r>
        <r>
          <rPr>
            <sz val="8"/>
            <color indexed="81"/>
            <rFont val="Tahoma"/>
            <family val="2"/>
          </rPr>
          <t xml:space="preserve">
54,604 Incl. MMI
MMI- 20,293
GOOG- 34,311</t>
        </r>
      </text>
    </comment>
    <comment ref="BV317" authorId="1" shapeId="0" xr:uid="{00000000-0006-0000-0200-00006E000000}">
      <text>
        <r>
          <rPr>
            <b/>
            <sz val="8"/>
            <color indexed="81"/>
            <rFont val="Tahoma"/>
            <family val="2"/>
          </rPr>
          <t>53,546 at September 30, 2012, which includes 17,428 headcount related to Motorola</t>
        </r>
        <r>
          <rPr>
            <sz val="8"/>
            <color indexed="81"/>
            <rFont val="Tahoma"/>
            <family val="2"/>
          </rPr>
          <t xml:space="preserve">
</t>
        </r>
      </text>
    </comment>
    <comment ref="BW317" authorId="1" shapeId="0" xr:uid="{00000000-0006-0000-0200-00006F000000}">
      <text>
        <r>
          <rPr>
            <b/>
            <sz val="8"/>
            <color indexed="81"/>
            <rFont val="Tahoma"/>
            <family val="2"/>
          </rPr>
          <t>Bo Nam:</t>
        </r>
        <r>
          <rPr>
            <sz val="8"/>
            <color indexed="81"/>
            <rFont val="Tahoma"/>
            <family val="2"/>
          </rPr>
          <t xml:space="preserve">
53,861 Incl. Motorola
Motorola Mobile - 11,113
Motorola Home - 5,204
GOOG- 37,544
</t>
        </r>
      </text>
    </comment>
    <comment ref="CD317" authorId="1" shapeId="0" xr:uid="{00000000-0006-0000-0200-000070000000}">
      <text>
        <r>
          <rPr>
            <b/>
            <sz val="9"/>
            <color indexed="81"/>
            <rFont val="Tahoma"/>
            <family val="2"/>
          </rPr>
          <t>Bo Nam:</t>
        </r>
        <r>
          <rPr>
            <sz val="9"/>
            <color indexed="81"/>
            <rFont val="Tahoma"/>
            <family val="2"/>
          </rPr>
          <t xml:space="preserve">
38,739 GOOG
9,982 MOT
5,170 MOT Home</t>
        </r>
      </text>
    </comment>
    <comment ref="CE317" authorId="1" shapeId="0" xr:uid="{00000000-0006-0000-0200-000071000000}">
      <text>
        <r>
          <rPr>
            <b/>
            <sz val="9"/>
            <color indexed="81"/>
            <rFont val="Tahoma"/>
            <family val="2"/>
          </rPr>
          <t>Bo Nam:</t>
        </r>
        <r>
          <rPr>
            <sz val="9"/>
            <color indexed="81"/>
            <rFont val="Tahoma"/>
            <family val="2"/>
          </rPr>
          <t xml:space="preserve">
40,178 GOOG
4,599 MOT</t>
        </r>
      </text>
    </comment>
    <comment ref="CF317" authorId="1" shapeId="0" xr:uid="{00000000-0006-0000-0200-000072000000}">
      <text>
        <r>
          <rPr>
            <b/>
            <sz val="9"/>
            <color indexed="81"/>
            <rFont val="Tahoma"/>
            <family val="2"/>
          </rPr>
          <t>Bo Nam:</t>
        </r>
        <r>
          <rPr>
            <sz val="9"/>
            <color indexed="81"/>
            <rFont val="Tahoma"/>
            <family val="2"/>
          </rPr>
          <t xml:space="preserve">
42,162 GOOG
4,259 MOT</t>
        </r>
      </text>
    </comment>
    <comment ref="CG317" authorId="1" shapeId="0" xr:uid="{00000000-0006-0000-0200-000073000000}">
      <text>
        <r>
          <rPr>
            <b/>
            <sz val="9"/>
            <color indexed="81"/>
            <rFont val="Tahoma"/>
            <family val="2"/>
          </rPr>
          <t>Bo Nam:</t>
        </r>
        <r>
          <rPr>
            <sz val="9"/>
            <color indexed="81"/>
            <rFont val="Tahoma"/>
            <family val="2"/>
          </rPr>
          <t xml:space="preserve">
43,862 in GOOG
3,894 in Motorola</t>
        </r>
      </text>
    </comment>
    <comment ref="CI317" authorId="4" shapeId="0" xr:uid="{00000000-0006-0000-0200-000074000000}">
      <text>
        <r>
          <rPr>
            <sz val="9"/>
            <color indexed="81"/>
            <rFont val="Tahoma"/>
            <family val="2"/>
          </rPr>
          <t>Our full-time employee headcount was 49,829 (which includes 3,659 headcount from Motorola Mobile) at March 31, 2014</t>
        </r>
      </text>
    </comment>
    <comment ref="CJ317" authorId="4" shapeId="0" xr:uid="{00000000-0006-0000-0200-000075000000}">
      <text>
        <r>
          <rPr>
            <sz val="9"/>
            <color indexed="81"/>
            <rFont val="Tahoma"/>
            <family val="2"/>
          </rPr>
          <t>52,069 (which included 3,485 headcount from Motorola Mobile) at June 30, 2014</t>
        </r>
      </text>
    </comment>
    <comment ref="CK317" authorId="5" shapeId="0" xr:uid="{00000000-0006-0000-0200-000076000000}">
      <text>
        <r>
          <rPr>
            <b/>
            <sz val="9"/>
            <color indexed="81"/>
            <rFont val="Tahoma"/>
            <family val="2"/>
          </rPr>
          <t>55,030 (which included 3,466 headcount from Motorola Mobile) at September 30, 2014</t>
        </r>
      </text>
    </comment>
    <comment ref="CL317" authorId="4" shapeId="0" xr:uid="{00000000-0006-0000-0200-000077000000}">
      <text>
        <r>
          <rPr>
            <sz val="9"/>
            <color indexed="81"/>
            <rFont val="Tahoma"/>
            <family val="2"/>
          </rPr>
          <t>As of December 31, 2014, we had 53,600 full-time employees: 20,832 in research and development, 17,621 in sales and marketing, 7,510 in general and administrative functions, and 7,637 in operations</t>
        </r>
      </text>
    </comment>
    <comment ref="CV317" authorId="0" shapeId="0" xr:uid="{00000000-0006-0000-0200-000078000000}">
      <text>
        <r>
          <rPr>
            <b/>
            <sz val="9"/>
            <color indexed="81"/>
            <rFont val="Tahoma"/>
            <family val="2"/>
          </rPr>
          <t xml:space="preserve">@4Q: </t>
        </r>
        <r>
          <rPr>
            <sz val="9"/>
            <color indexed="81"/>
            <rFont val="Tahoma"/>
            <family val="2"/>
          </rPr>
          <t>Headcount at the end of the quarter was just over 72,000, up 2,100 people from last quarter. Consistent with prior quarters, the vast majority of new hires were engineers and product managers to support growth in priority areas such as Cloud including the addition of employees from our Apogee acquisition.</t>
        </r>
      </text>
    </comment>
    <comment ref="CX317" authorId="0" shapeId="0" xr:uid="{00000000-0006-0000-0200-000079000000}">
      <text>
        <r>
          <rPr>
            <b/>
            <sz val="9"/>
            <color indexed="81"/>
            <rFont val="Tahoma"/>
            <family val="2"/>
          </rPr>
          <t xml:space="preserve">1Q17: </t>
        </r>
        <r>
          <rPr>
            <sz val="9"/>
            <color indexed="81"/>
            <rFont val="Tahoma"/>
            <family val="2"/>
          </rPr>
          <t>Headcount at the end of the quarter was 73,992, up 1,939 people from last quarter. The growth in consolidated head count was somewhat muted by an internal reallocation of people from Fiber to Google. Consistent with prior quarters, the vast majority of new hires were engineers and product managers. In terms of product areas, the most sizable head count growth was in Cloud, consistent with the priority we place on this business.</t>
        </r>
      </text>
    </comment>
    <comment ref="CZ317" authorId="0" shapeId="0" xr:uid="{00000000-0006-0000-0200-00007A000000}">
      <text>
        <r>
          <rPr>
            <b/>
            <sz val="9"/>
            <color indexed="81"/>
            <rFont val="Tahoma"/>
            <family val="2"/>
          </rPr>
          <t xml:space="preserve">@3Q: </t>
        </r>
        <r>
          <rPr>
            <sz val="9"/>
            <color indexed="81"/>
            <rFont val="Tahoma"/>
            <family val="2"/>
          </rPr>
          <t>Stock-based compensation totaled $1.8 billion. Headcount at the end of the quarter was 78,101, up 2,495 people from last quarter. As in prior quarters, the vast majority of new hires were engineers and product managers. In terms of product areas, the most sizable head count additions were once again made in cloud for both technical and sales roles consistent with the priority we place on this business.</t>
        </r>
      </text>
    </comment>
    <comment ref="DM317" authorId="0" shapeId="0" xr:uid="{00000000-0006-0000-0200-00007B000000}">
      <text>
        <r>
          <rPr>
            <b/>
            <sz val="9"/>
            <color indexed="81"/>
            <rFont val="Tahoma"/>
            <family val="2"/>
          </rPr>
          <t xml:space="preserve">@1Q: </t>
        </r>
        <r>
          <rPr>
            <sz val="9"/>
            <color indexed="81"/>
            <rFont val="Tahoma"/>
            <family val="2"/>
          </rPr>
          <t xml:space="preserve">Headcount was up 4,149 from the fourth quarter. Again, the majority of new hires were engineers and product managers. In terms of product areas, the most sizable head count increases were again in Google Cloud for both technical and sales roles. </t>
        </r>
      </text>
    </comment>
    <comment ref="DY317" authorId="0" shapeId="0" xr:uid="{00000000-0006-0000-0200-00007C000000}">
      <text>
        <r>
          <rPr>
            <b/>
            <sz val="9"/>
            <color indexed="81"/>
            <rFont val="Tahoma"/>
            <family val="2"/>
          </rPr>
          <t xml:space="preserve">@2Q22: </t>
        </r>
        <r>
          <rPr>
            <sz val="9"/>
            <color indexed="81"/>
            <rFont val="Tahoma"/>
            <family val="2"/>
          </rPr>
          <t xml:space="preserve"> We expect our actions on hiring to become more apparent in 2023. Our head count additions in the third quarter will reflect we already have a strong number of commitments including new graduate hires.</t>
        </r>
      </text>
    </comment>
    <comment ref="DZ317" authorId="0" shapeId="0" xr:uid="{42C7DC81-CF58-4F50-BE02-3AF7FC3ADF55}">
      <text>
        <r>
          <rPr>
            <b/>
            <sz val="9"/>
            <color indexed="81"/>
            <rFont val="Tahoma"/>
            <family val="2"/>
          </rPr>
          <t xml:space="preserve">@3Q22: </t>
        </r>
        <r>
          <rPr>
            <sz val="9"/>
            <color indexed="81"/>
            <rFont val="Tahoma"/>
            <family val="2"/>
          </rPr>
          <t>In the fourth quarter, we expect headcount additions will slow to less than half the numberadded in Q3. Within this slower headcount growth, next year, we will continue hiring forcritical roles, particularly focused on top engineering and technical talent.</t>
        </r>
      </text>
    </comment>
    <comment ref="EF317" authorId="0" shapeId="0" xr:uid="{3AC84F94-6B80-40F5-A0E1-048299CE8927}">
      <text>
        <r>
          <rPr>
            <b/>
            <sz val="9"/>
            <color indexed="81"/>
            <rFont val="Tahoma"/>
            <family val="2"/>
          </rPr>
          <t xml:space="preserve">1Q23: </t>
        </r>
        <r>
          <rPr>
            <sz val="9"/>
            <color indexed="81"/>
            <rFont val="Tahoma"/>
            <family val="2"/>
          </rPr>
          <t>In terms of the outlook for headcount for the year, as we shared last quarter, we are meaningfully slowing the pace of hiring in 2023, while still investing in priority areas, particularly for top engineering and technical talent.</t>
        </r>
        <r>
          <rPr>
            <b/>
            <sz val="9"/>
            <color indexed="81"/>
            <rFont val="Tahoma"/>
            <family val="2"/>
          </rPr>
          <t xml:space="preserve">
4Q22: </t>
        </r>
        <r>
          <rPr>
            <sz val="9"/>
            <color indexed="81"/>
            <rFont val="Tahoma"/>
            <family val="2"/>
          </rPr>
          <t>We will continue hiring in priority areas with a particular focus on top engineering and technical talent as well as on the global footprint of our talent.</t>
        </r>
        <r>
          <rPr>
            <b/>
            <sz val="9"/>
            <color indexed="81"/>
            <rFont val="Tahoma"/>
            <family val="2"/>
          </rPr>
          <t xml:space="preserve">
3Q22:</t>
        </r>
        <r>
          <rPr>
            <sz val="9"/>
            <color indexed="81"/>
            <rFont val="Tahoma"/>
            <family val="2"/>
          </rPr>
          <t xml:space="preserve"> In the fourth quarter, we expect headcount additions will slow to less than half the numberadded in Q3. Within this slower headcount growth, next year, we will continue hiring forcritical roles, particularly focused on top engineering and technical talent.</t>
        </r>
        <r>
          <rPr>
            <b/>
            <sz val="9"/>
            <color indexed="81"/>
            <rFont val="Tahoma"/>
            <family val="2"/>
          </rPr>
          <t xml:space="preserve">
2Q22: </t>
        </r>
        <r>
          <rPr>
            <sz val="9"/>
            <color indexed="81"/>
            <rFont val="Tahoma"/>
            <family val="2"/>
          </rPr>
          <t xml:space="preserve"> We expect our actions on hiring to become more apparent in 2023. Our head count additions in the third quarter will reflect we already have a strong number of commitments including new graduate hires.</t>
        </r>
      </text>
    </comment>
    <comment ref="DO318" authorId="0" shapeId="0" xr:uid="{00000000-0006-0000-0200-00007E000000}">
      <text>
        <r>
          <rPr>
            <b/>
            <sz val="9"/>
            <color indexed="81"/>
            <rFont val="Tahoma"/>
            <family val="2"/>
          </rPr>
          <t xml:space="preserve">@3Q20: </t>
        </r>
        <r>
          <rPr>
            <sz val="9"/>
            <color indexed="81"/>
            <rFont val="Tahoma"/>
            <family val="2"/>
          </rPr>
          <t>the deceleration in head count growth this quarter reflects the actions we took at the outset of the pandemic to focus hiring on our highest priority areas like Google Cloud. Excluding the impacts of closing the pending Fitbit acquisition we expect a moderate further deceleration in the pace of head count growth in the fourth quarter.</t>
        </r>
      </text>
    </comment>
    <comment ref="DP318" authorId="0" shapeId="0" xr:uid="{00000000-0006-0000-0200-00007F000000}">
      <text>
        <r>
          <rPr>
            <b/>
            <sz val="9"/>
            <color indexed="81"/>
            <rFont val="Tahoma"/>
            <family val="2"/>
          </rPr>
          <t xml:space="preserve">@3Q20: </t>
        </r>
        <r>
          <rPr>
            <sz val="9"/>
            <color indexed="81"/>
            <rFont val="Tahoma"/>
            <family val="2"/>
          </rPr>
          <t xml:space="preserve">the deceleration in head count growth this quarter reflects the actions we took at the outset of the pandemic to focus hiring on our highest priority areas like Google Cloud. Excluding the impacts of closing the pending Fitbit acquisition </t>
        </r>
        <r>
          <rPr>
            <b/>
            <sz val="9"/>
            <color indexed="81"/>
            <rFont val="Tahoma"/>
            <family val="2"/>
          </rPr>
          <t>we expect a moderate further deceleration in the pace of head count growth in the fourth quarter.</t>
        </r>
      </text>
    </comment>
    <comment ref="DQ318" authorId="0" shapeId="0" xr:uid="{00000000-0006-0000-0200-000080000000}">
      <text>
        <r>
          <rPr>
            <b/>
            <sz val="9"/>
            <color indexed="81"/>
            <rFont val="Tahoma"/>
            <family val="2"/>
          </rPr>
          <t xml:space="preserve">@2Q20: </t>
        </r>
        <r>
          <rPr>
            <sz val="9"/>
            <color indexed="81"/>
            <rFont val="Tahoma"/>
            <family val="2"/>
          </rPr>
          <t>we still expect the pace of headcount growth to decelerate somewhat in 2020, we're continuing to hire aggressively in priority areas like Cloud. We still expect that headcount additions will be seasonally higher in Q3 as we bring on new graduates.</t>
        </r>
        <r>
          <rPr>
            <b/>
            <sz val="9"/>
            <color indexed="81"/>
            <rFont val="Tahoma"/>
            <family val="2"/>
          </rPr>
          <t xml:space="preserve">
@1Q20: </t>
        </r>
        <r>
          <rPr>
            <sz val="9"/>
            <color indexed="81"/>
            <rFont val="Tahoma"/>
            <family val="2"/>
          </rPr>
          <t>with respect to the pace of hiring, last quarter I indicated that the rate of head count growth in 2020 would be slightly higher than the 20% growth in 2019. We now anticipate a deceleration in head count growth that should start to be visible in the third quarter and continue into the fourth quarter.
What we've determined is we're going to at this point slow the pace of hiring. To be very clear, we are continuing to hire, but we're slowing the pace of hiring, and that's helping as we're driving a deeper look into how do you optimize within each area.</t>
        </r>
        <r>
          <rPr>
            <b/>
            <sz val="9"/>
            <color indexed="81"/>
            <rFont val="Tahoma"/>
            <family val="2"/>
          </rPr>
          <t xml:space="preserve">
@4Q19: </t>
        </r>
        <r>
          <rPr>
            <sz val="9"/>
            <color indexed="81"/>
            <rFont val="Tahoma"/>
            <family val="2"/>
          </rPr>
          <t>we expect the growth rate of head count to be slightly higher in 2020 due to the combined impact of investment in priority areas, plus the decision to move certain vendor functions in-house, as well as from the planned impact of the Fitbit acquisition.</t>
        </r>
      </text>
    </comment>
    <comment ref="DV318" authorId="0" shapeId="0" xr:uid="{00000000-0006-0000-0200-000081000000}">
      <text>
        <r>
          <rPr>
            <b/>
            <sz val="9"/>
            <color indexed="81"/>
            <rFont val="Tahoma"/>
            <family val="2"/>
          </rPr>
          <t xml:space="preserve">@4Q20: </t>
        </r>
        <r>
          <rPr>
            <sz val="9"/>
            <color indexed="81"/>
            <rFont val="Tahoma"/>
            <family val="2"/>
          </rPr>
          <t>On head count, we plan to reaccelerate the pace of hiring in Google Services in line with our opportunities. Our head count growth will also reflect the addition of Fitbit in our ongoing transition of certain customer support roles from third-party vendors to Google's in-house operation centers. We also plan to continue to prioritize investment in both sales and technical roles for Google Cloud.</t>
        </r>
      </text>
    </comment>
    <comment ref="EP318" authorId="0" shapeId="0" xr:uid="{FDED0B71-3763-4366-986B-C5A0063DB80C}">
      <text>
        <r>
          <rPr>
            <b/>
            <sz val="9"/>
            <color indexed="81"/>
            <rFont val="Tahoma"/>
            <family val="2"/>
          </rPr>
          <t xml:space="preserve">2Q25: </t>
        </r>
        <r>
          <rPr>
            <sz val="9"/>
            <color indexed="81"/>
            <rFont val="Tahoma"/>
            <family val="2"/>
          </rPr>
          <t>we expect some headcount growth in 2025 in key investment areas</t>
        </r>
        <r>
          <rPr>
            <b/>
            <sz val="9"/>
            <color indexed="81"/>
            <rFont val="Tahoma"/>
            <family val="2"/>
          </rPr>
          <t xml:space="preserve">
4Q24: </t>
        </r>
        <r>
          <rPr>
            <sz val="9"/>
            <color indexed="81"/>
            <rFont val="Tahoma"/>
            <family val="2"/>
          </rPr>
          <t>expect some headcount growth in 2025 in key investment areas such as AI and cloud.</t>
        </r>
      </text>
    </comment>
    <comment ref="BK320" authorId="2" shapeId="0" xr:uid="{00000000-0006-0000-0200-000082000000}">
      <text>
        <r>
          <rPr>
            <b/>
            <sz val="8"/>
            <color indexed="81"/>
            <rFont val="Tahoma"/>
            <family val="2"/>
          </rPr>
          <t>Kaizad Gotla:</t>
        </r>
        <r>
          <rPr>
            <sz val="8"/>
            <color indexed="81"/>
            <rFont val="Tahoma"/>
            <family val="2"/>
          </rPr>
          <t xml:space="preserve">
adding 450 ITA headcount</t>
        </r>
      </text>
    </comment>
    <comment ref="BN320" authorId="2" shapeId="0" xr:uid="{00000000-0006-0000-0200-000083000000}">
      <text>
        <r>
          <rPr>
            <b/>
            <sz val="8"/>
            <color indexed="81"/>
            <rFont val="Tahoma"/>
            <family val="2"/>
          </rPr>
          <t>Kaizad Gotla:</t>
        </r>
        <r>
          <rPr>
            <sz val="8"/>
            <color indexed="81"/>
            <rFont val="Tahoma"/>
            <family val="2"/>
          </rPr>
          <t xml:space="preserve">
company has indicated they will add atleast 6k heads in 2011.
"biggest hiring year in company history". Previous peak was in 2007</t>
        </r>
      </text>
    </comment>
    <comment ref="BU320" authorId="1" shapeId="0" xr:uid="{00000000-0006-0000-0200-000084000000}">
      <text>
        <r>
          <rPr>
            <b/>
            <sz val="8"/>
            <color indexed="81"/>
            <rFont val="Tahoma"/>
            <family val="2"/>
          </rPr>
          <t>Bo Nam:</t>
        </r>
        <r>
          <rPr>
            <sz val="8"/>
            <color indexed="81"/>
            <rFont val="Tahoma"/>
            <family val="2"/>
          </rPr>
          <t xml:space="preserve">
added 1,234 in GOOG</t>
        </r>
      </text>
    </comment>
    <comment ref="BV320" authorId="1" shapeId="0" xr:uid="{00000000-0006-0000-0200-000085000000}">
      <text>
        <r>
          <rPr>
            <b/>
            <sz val="8"/>
            <color indexed="81"/>
            <rFont val="Tahoma"/>
            <family val="2"/>
          </rPr>
          <t>Bo Nam:</t>
        </r>
        <r>
          <rPr>
            <sz val="8"/>
            <color indexed="81"/>
            <rFont val="Tahoma"/>
            <family val="2"/>
          </rPr>
          <t xml:space="preserve">
added 1,807 in GOOG
Reduced 2,865 in Motorola</t>
        </r>
      </text>
    </comment>
    <comment ref="BW320" authorId="1" shapeId="0" xr:uid="{00000000-0006-0000-0200-000086000000}">
      <text>
        <r>
          <rPr>
            <b/>
            <sz val="8"/>
            <color indexed="81"/>
            <rFont val="Tahoma"/>
            <family val="2"/>
          </rPr>
          <t>Bo Nam:</t>
        </r>
        <r>
          <rPr>
            <sz val="8"/>
            <color indexed="81"/>
            <rFont val="Tahoma"/>
            <family val="2"/>
          </rPr>
          <t xml:space="preserve">
added 1,426 in GOOG
reduced Motorola by 1,111</t>
        </r>
      </text>
    </comment>
    <comment ref="CE320" authorId="1" shapeId="0" xr:uid="{00000000-0006-0000-0200-000087000000}">
      <text>
        <r>
          <rPr>
            <b/>
            <sz val="9"/>
            <color indexed="81"/>
            <rFont val="Tahoma"/>
            <family val="2"/>
          </rPr>
          <t>Bo Nam:</t>
        </r>
        <r>
          <rPr>
            <sz val="9"/>
            <color indexed="81"/>
            <rFont val="Tahoma"/>
            <family val="2"/>
          </rPr>
          <t xml:space="preserve">
Sale of MOT Home</t>
        </r>
      </text>
    </comment>
    <comment ref="DA320" authorId="0" shapeId="0" xr:uid="{00000000-0006-0000-0200-000088000000}">
      <text>
        <r>
          <rPr>
            <b/>
            <sz val="9"/>
            <color indexed="81"/>
            <rFont val="Tahoma"/>
            <family val="2"/>
          </rPr>
          <t xml:space="preserve">@4Q17: </t>
        </r>
        <r>
          <rPr>
            <sz val="9"/>
            <color indexed="81"/>
            <rFont val="Tahoma"/>
            <family val="2"/>
          </rPr>
          <t>Headcount at the end of the quarter was 80,110; up 2,009 people from last quarter. As in prior quarters, the majority of new hires were engineers and product managers. In terms of product areas, the most sizable headcount additions were once again made in Cloud for both technical and sales roles, consistent with the priority we place on this business.</t>
        </r>
      </text>
    </comment>
    <comment ref="DC320" authorId="0" shapeId="0" xr:uid="{00000000-0006-0000-0200-000089000000}">
      <text>
        <r>
          <rPr>
            <b/>
            <sz val="9"/>
            <color indexed="81"/>
            <rFont val="Tahoma"/>
            <family val="2"/>
          </rPr>
          <t xml:space="preserve">@1Q18 call: </t>
        </r>
        <r>
          <rPr>
            <sz val="9"/>
            <color indexed="81"/>
            <rFont val="Tahoma"/>
            <family val="2"/>
          </rPr>
          <t xml:space="preserve">Headcount at the end of the quarter was 85,050, up 4,940 people from last quarter, including just over 2,000 people who joined at the end of January when we closed our previously announced deal with HTC. As in prior quarters, the </t>
        </r>
        <r>
          <rPr>
            <b/>
            <sz val="9"/>
            <color indexed="81"/>
            <rFont val="Tahoma"/>
            <family val="2"/>
          </rPr>
          <t xml:space="preserve">majority of new hires were engineers and product managers. </t>
        </r>
        <r>
          <rPr>
            <sz val="9"/>
            <color indexed="81"/>
            <rFont val="Tahoma"/>
            <family val="2"/>
          </rPr>
          <t xml:space="preserve">In terms of product areas, the </t>
        </r>
        <r>
          <rPr>
            <b/>
            <sz val="9"/>
            <color indexed="81"/>
            <rFont val="Tahoma"/>
            <family val="2"/>
          </rPr>
          <t>most sizable headcount increases were the additions from HTC, followed by hiring in Cloud for both technical and sales roles.</t>
        </r>
      </text>
    </comment>
    <comment ref="DD320" authorId="0" shapeId="0" xr:uid="{00000000-0006-0000-0200-00008A000000}">
      <text>
        <r>
          <rPr>
            <b/>
            <sz val="9"/>
            <color indexed="81"/>
            <rFont val="Tahoma"/>
            <family val="2"/>
          </rPr>
          <t xml:space="preserve">@2Q18 call: </t>
        </r>
        <r>
          <rPr>
            <sz val="9"/>
            <color indexed="81"/>
            <rFont val="Tahoma"/>
            <family val="2"/>
          </rPr>
          <t>Headcount at the end of the quarter was 89,058, up 4,008 from last quarter. As in prior quarters, the majority of new hires were engineers and product managers. In terms of product areas, the most sizable headcount increases were in Cloud for both technical and sales roles.</t>
        </r>
      </text>
    </comment>
    <comment ref="DE320" authorId="0" shapeId="0" xr:uid="{00000000-0006-0000-0200-00008B000000}">
      <text>
        <r>
          <rPr>
            <b/>
            <sz val="9"/>
            <color indexed="81"/>
            <rFont val="Tahoma"/>
            <family val="2"/>
          </rPr>
          <t xml:space="preserve">@3Q18 call: </t>
        </r>
        <r>
          <rPr>
            <sz val="9"/>
            <color indexed="81"/>
            <rFont val="Tahoma"/>
            <family val="2"/>
          </rPr>
          <t>Headcount at the end of the quarter was 94,372, up 5,314 from last quarter. Consistent with prior quarters, the majority of new hires were engineers and product managers. In terms of product areas, the most sizeable headcount increases were in Cloud for both technical and sales roles.</t>
        </r>
      </text>
    </comment>
    <comment ref="DR320" authorId="0" shapeId="0" xr:uid="{00000000-0006-0000-0200-00008C000000}">
      <text>
        <r>
          <rPr>
            <sz val="9"/>
            <color indexed="81"/>
            <rFont val="Tahoma"/>
            <family val="2"/>
          </rPr>
          <t>incl. ~1.8k from Fitbit</t>
        </r>
      </text>
    </comment>
    <comment ref="EC320" authorId="0" shapeId="0" xr:uid="{E3004E30-F128-41EE-BE84-295512D92F09}">
      <text>
        <r>
          <rPr>
            <b/>
            <sz val="9"/>
            <color indexed="81"/>
            <rFont val="Tahoma"/>
            <family val="2"/>
          </rPr>
          <t xml:space="preserve">1Q22: </t>
        </r>
        <r>
          <rPr>
            <sz val="9"/>
            <color indexed="81"/>
            <rFont val="Tahoma"/>
            <family val="2"/>
          </rPr>
          <t>As of March 31, 2023, the number of employees includes almost all of the employees affected by the reduction of our workforce. We expect most of those affected will no longer be reflected in our headcount by the end of the second quarter of 2023, subject to local law and consultation requirements.</t>
        </r>
      </text>
    </comment>
    <comment ref="EN320" authorId="0" shapeId="0" xr:uid="{9BCD6078-1EAD-4FEF-A7B3-66C05D3DB800}">
      <text>
        <r>
          <rPr>
            <b/>
            <sz val="9"/>
            <color indexed="81"/>
            <rFont val="Tahoma"/>
            <family val="2"/>
          </rPr>
          <t>2Q25:</t>
        </r>
        <r>
          <rPr>
            <sz val="9"/>
            <color indexed="81"/>
            <rFont val="Tahoma"/>
            <family val="2"/>
          </rPr>
          <t xml:space="preserve"> In the third quarter, we expect a sequential increase in total headcount additions, due in
part to the hiring of new graduates</t>
        </r>
      </text>
    </comment>
    <comment ref="BK412" authorId="2" shapeId="0" xr:uid="{00000000-0006-0000-0200-00008D000000}">
      <text>
        <r>
          <rPr>
            <b/>
            <sz val="8"/>
            <color indexed="81"/>
            <rFont val="Tahoma"/>
            <family val="2"/>
          </rPr>
          <t>Kaizad Gotla:</t>
        </r>
        <r>
          <rPr>
            <sz val="8"/>
            <color indexed="81"/>
            <rFont val="Tahoma"/>
            <family val="2"/>
          </rPr>
          <t xml:space="preserve">
comps get much tougher</t>
        </r>
      </text>
    </comment>
    <comment ref="CI415" authorId="6" shapeId="0" xr:uid="{00000000-0006-0000-0200-00008E000000}">
      <text>
        <r>
          <rPr>
            <b/>
            <sz val="9"/>
            <color indexed="81"/>
            <rFont val="Tahoma"/>
            <family val="2"/>
          </rPr>
          <t>no hedging gain 1Q14</t>
        </r>
      </text>
    </comment>
    <comment ref="CJ415" authorId="6" shapeId="0" xr:uid="{00000000-0006-0000-0200-00008F000000}">
      <text>
        <r>
          <rPr>
            <b/>
            <sz val="9"/>
            <color indexed="81"/>
            <rFont val="Tahoma"/>
            <family val="2"/>
          </rPr>
          <t>no hedging impact 2Q14</t>
        </r>
      </text>
    </comment>
    <comment ref="CK415" authorId="6" shapeId="0" xr:uid="{00000000-0006-0000-0200-000090000000}">
      <text>
        <r>
          <rPr>
            <b/>
            <sz val="9"/>
            <color indexed="81"/>
            <rFont val="Tahoma"/>
            <family val="2"/>
          </rPr>
          <t>no hedging impact 3Q14</t>
        </r>
      </text>
    </comment>
    <comment ref="CS441" authorId="0" shapeId="0" xr:uid="{00000000-0006-0000-0200-000091000000}">
      <text>
        <r>
          <rPr>
            <b/>
            <sz val="9"/>
            <color indexed="81"/>
            <rFont val="Tahoma"/>
            <family val="2"/>
          </rPr>
          <t xml:space="preserve">@1Q17: </t>
        </r>
        <r>
          <rPr>
            <sz val="9"/>
            <color indexed="81"/>
            <rFont val="Tahoma"/>
            <family val="2"/>
          </rPr>
          <t>prior periods are not restated</t>
        </r>
      </text>
    </comment>
    <comment ref="CS451" authorId="0" shapeId="0" xr:uid="{00000000-0006-0000-0200-000092000000}">
      <text>
        <r>
          <rPr>
            <b/>
            <sz val="9"/>
            <color indexed="81"/>
            <rFont val="Tahoma"/>
            <family val="2"/>
          </rPr>
          <t xml:space="preserve">@1Q17: </t>
        </r>
        <r>
          <rPr>
            <sz val="9"/>
            <color indexed="81"/>
            <rFont val="Tahoma"/>
            <family val="2"/>
          </rPr>
          <t>prior periods are not restated</t>
        </r>
      </text>
    </comment>
    <comment ref="BL453" authorId="2" shapeId="0" xr:uid="{00000000-0006-0000-0200-000093000000}">
      <text>
        <r>
          <rPr>
            <b/>
            <sz val="8"/>
            <color indexed="81"/>
            <rFont val="Tahoma"/>
            <family val="2"/>
          </rPr>
          <t>Kaizad Gotla:</t>
        </r>
        <r>
          <rPr>
            <sz val="8"/>
            <color indexed="81"/>
            <rFont val="Tahoma"/>
            <family val="2"/>
          </rPr>
          <t xml:space="preserve">
updated these formulas to drive off Y/Y paid click growth rather than paid clicks tab</t>
        </r>
      </text>
    </comment>
    <comment ref="CX460" authorId="0" shapeId="0" xr:uid="{00000000-0006-0000-0200-000094000000}">
      <text>
        <r>
          <rPr>
            <b/>
            <sz val="9"/>
            <color indexed="81"/>
            <rFont val="Tahoma"/>
            <family val="2"/>
          </rPr>
          <t xml:space="preserve">@1Q17: </t>
        </r>
        <r>
          <rPr>
            <sz val="9"/>
            <color indexed="81"/>
            <rFont val="Tahoma"/>
            <family val="2"/>
          </rPr>
          <t>Google Sites revenues were $17.4 billion in the quarter, up 21% year over year. The biggest contributor to growth again this quarter was mobile search, reflecting the secular shift to mobile due to the greater utility of smartphones for users and advertisers, but obviously also benefiting from our focus on continuously enhancing features and functionality. YouTube revenues continue to grow at a significant rate, driven primarily by video advertising.</t>
        </r>
      </text>
    </comment>
    <comment ref="DA460" authorId="0" shapeId="0" xr:uid="{00000000-0006-0000-0200-000095000000}">
      <text>
        <r>
          <rPr>
            <b/>
            <sz val="9"/>
            <color indexed="81"/>
            <rFont val="Tahoma"/>
            <family val="2"/>
          </rPr>
          <t xml:space="preserve">@4Q: </t>
        </r>
        <r>
          <rPr>
            <sz val="9"/>
            <color indexed="81"/>
            <rFont val="Tahoma"/>
            <family val="2"/>
          </rPr>
          <t>Revenues were $31.9 billion, up 24% year-over-year. In terms of the revenue detail, Google Sites revenues were $22.2 billion in the quarter, up 24% year-over-year, led again by mobile search, complemented by solid growth from desktop search and strong performance from YouTube.</t>
        </r>
      </text>
    </comment>
    <comment ref="DC460" authorId="0" shapeId="0" xr:uid="{00000000-0006-0000-0200-000096000000}">
      <text>
        <r>
          <rPr>
            <b/>
            <sz val="9"/>
            <color indexed="81"/>
            <rFont val="Tahoma"/>
            <family val="2"/>
          </rPr>
          <t xml:space="preserve">@1Q: </t>
        </r>
        <r>
          <rPr>
            <sz val="9"/>
            <color indexed="81"/>
            <rFont val="Tahoma"/>
            <family val="2"/>
          </rPr>
          <t>Google Sites revenues were $22 billion in the quarter, up 26% year-over-year, led again by mobile search, complemented by solid growth from desktop search and strong performance from YouTube.</t>
        </r>
      </text>
    </comment>
    <comment ref="DD460" authorId="0" shapeId="0" xr:uid="{00000000-0006-0000-0200-000097000000}">
      <text>
        <r>
          <rPr>
            <b/>
            <sz val="9"/>
            <color indexed="81"/>
            <rFont val="Tahoma"/>
            <family val="2"/>
          </rPr>
          <t xml:space="preserve">@2Q: </t>
        </r>
        <r>
          <rPr>
            <sz val="9"/>
            <color indexed="81"/>
            <rFont val="Tahoma"/>
            <family val="2"/>
          </rPr>
          <t>In terms of dollar growth, results were led again by mobile search, with strong contributions from both YouTube and desktop search.</t>
        </r>
      </text>
    </comment>
    <comment ref="DA467" authorId="0" shapeId="0" xr:uid="{00000000-0006-0000-0200-000098000000}">
      <text>
        <r>
          <rPr>
            <b/>
            <sz val="9"/>
            <color indexed="81"/>
            <rFont val="Tahoma"/>
            <family val="2"/>
          </rPr>
          <t xml:space="preserve">@4Q: </t>
        </r>
        <r>
          <rPr>
            <sz val="9"/>
            <color indexed="81"/>
            <rFont val="Tahoma"/>
            <family val="2"/>
          </rPr>
          <t>Network revenues were $5 billion, up 13% year-on-year, reflecting the ongoing momentum of programmatic and AdMob.</t>
        </r>
      </text>
    </comment>
    <comment ref="DC467" authorId="0" shapeId="0" xr:uid="{00000000-0006-0000-0200-000099000000}">
      <text>
        <r>
          <rPr>
            <b/>
            <sz val="9"/>
            <color indexed="81"/>
            <rFont val="Tahoma"/>
            <family val="2"/>
          </rPr>
          <t xml:space="preserve">@1Q: </t>
        </r>
        <r>
          <rPr>
            <sz val="9"/>
            <color indexed="81"/>
            <rFont val="Tahoma"/>
            <family val="2"/>
          </rPr>
          <t xml:space="preserve">Network revenues were $4.6 billion, up 16% year-on-year, reflecting the ongoing momentum of programmatic and AdMob.
</t>
        </r>
        <r>
          <rPr>
            <b/>
            <sz val="9"/>
            <color indexed="81"/>
            <rFont val="Tahoma"/>
            <family val="2"/>
          </rPr>
          <t xml:space="preserve">@1Q18 call: </t>
        </r>
        <r>
          <rPr>
            <sz val="9"/>
            <color indexed="81"/>
            <rFont val="Tahoma"/>
            <family val="2"/>
          </rPr>
          <t>when we launched the AdSense businesses our Network revenues were largely click-based, and over time there's been a meaningful mix change in our business, given the strong growth in programmatic which is impression-based. So, as a result, this shift now covers more of the business. And then in terms of the question on impression growth versus CPM growth, you know, as we've discussed on prior calls, the Network business is actually a number of different businesses and then within that we had flat year-on-year growth in the number of impressions that was driven by efforts to improve user experience through a reduction of less relevant ads in AFC. And so these changes had a positive impact on the year-on-year growth in CPMs. And then the trend in impressions in CPMs can clearly be volatile from quarter-to-quarter as we're optimizing for the user, publisher and advertiser but it really goes to the efforts that we make.</t>
        </r>
      </text>
    </comment>
    <comment ref="DD467" authorId="0" shapeId="0" xr:uid="{00000000-0006-0000-0200-00009A000000}">
      <text>
        <r>
          <rPr>
            <b/>
            <sz val="9"/>
            <color indexed="81"/>
            <rFont val="Tahoma"/>
            <family val="2"/>
          </rPr>
          <t xml:space="preserve">@2Q: </t>
        </r>
        <r>
          <rPr>
            <sz val="9"/>
            <color indexed="81"/>
            <rFont val="Tahoma"/>
            <family val="2"/>
          </rPr>
          <t>Network revenues were $4.8 billion, up 14% year-on-year, reflecting the ongoing momentum of AdMob and programmatic.</t>
        </r>
      </text>
    </comment>
    <comment ref="BV481" authorId="1" shapeId="0" xr:uid="{00000000-0006-0000-0200-00009B000000}">
      <text>
        <r>
          <rPr>
            <b/>
            <sz val="8"/>
            <color indexed="81"/>
            <rFont val="Tahoma"/>
            <family val="2"/>
          </rPr>
          <t>Bo Nam:</t>
        </r>
        <r>
          <rPr>
            <sz val="8"/>
            <color indexed="81"/>
            <rFont val="Tahoma"/>
            <family val="2"/>
          </rPr>
          <t xml:space="preserve">
To reflect Nexus7 sales, and cost to be reflected in other cost of revs
We estimate ~1M Nexus 7 sold in the quarter</t>
        </r>
      </text>
    </comment>
    <comment ref="BW481" authorId="1" shapeId="0" xr:uid="{00000000-0006-0000-0200-00009C000000}">
      <text>
        <r>
          <rPr>
            <b/>
            <sz val="8"/>
            <color indexed="81"/>
            <rFont val="Tahoma"/>
            <family val="2"/>
          </rPr>
          <t>Bo Nam:</t>
        </r>
        <r>
          <rPr>
            <sz val="8"/>
            <color indexed="81"/>
            <rFont val="Tahoma"/>
            <family val="2"/>
          </rPr>
          <t xml:space="preserve">
To reflect Nexus device sales, and cost to be reflected in other cost of revs
We estimate ~1.65M sold at ~$200 ASP</t>
        </r>
      </text>
    </comment>
    <comment ref="CD481" authorId="1" shapeId="0" xr:uid="{00000000-0006-0000-0200-00009D000000}">
      <text>
        <r>
          <rPr>
            <b/>
            <sz val="9"/>
            <color indexed="81"/>
            <rFont val="Tahoma"/>
            <family val="2"/>
          </rPr>
          <t>Bo Nam:</t>
        </r>
        <r>
          <rPr>
            <sz val="9"/>
            <color indexed="81"/>
            <rFont val="Tahoma"/>
            <family val="2"/>
          </rPr>
          <t xml:space="preserve">
Change in accounting -- booking mobile app revenues on gross basis, adding costs (paid out to OEMs and carriers in COGS)</t>
        </r>
      </text>
    </comment>
    <comment ref="CH481" authorId="1" shapeId="0" xr:uid="{00000000-0006-0000-0200-00009E000000}">
      <text>
        <r>
          <rPr>
            <b/>
            <sz val="9"/>
            <color indexed="81"/>
            <rFont val="Tahoma"/>
            <family val="2"/>
          </rPr>
          <t>Bo Nam:</t>
        </r>
        <r>
          <rPr>
            <sz val="9"/>
            <color indexed="81"/>
            <rFont val="Tahoma"/>
            <family val="2"/>
          </rPr>
          <t xml:space="preserve">
Assumes ~3.3M Nexus Device Units</t>
        </r>
      </text>
    </comment>
    <comment ref="BK482" authorId="2" shapeId="0" xr:uid="{00000000-0006-0000-0200-00009F000000}">
      <text>
        <r>
          <rPr>
            <b/>
            <sz val="8"/>
            <color indexed="81"/>
            <rFont val="Tahoma"/>
            <family val="2"/>
          </rPr>
          <t>Kaizad Gotla:</t>
        </r>
        <r>
          <rPr>
            <sz val="8"/>
            <color indexed="81"/>
            <rFont val="Tahoma"/>
            <family val="2"/>
          </rPr>
          <t xml:space="preserve">
Added ITA software. ~$40MM in Q2.
Company had $78MM in revenue in 2007 (28MM in 2004).
Assuming cagr od 20% 2007-11</t>
        </r>
      </text>
    </comment>
    <comment ref="BU482" authorId="1" shapeId="0" xr:uid="{00000000-0006-0000-0200-0000A0000000}">
      <text>
        <r>
          <rPr>
            <b/>
            <sz val="8"/>
            <color indexed="81"/>
            <rFont val="Tahoma"/>
            <family val="2"/>
          </rPr>
          <t>Bo Nam:</t>
        </r>
        <r>
          <rPr>
            <sz val="8"/>
            <color indexed="81"/>
            <rFont val="Tahoma"/>
            <family val="2"/>
          </rPr>
          <t xml:space="preserve">
Lapping ITA in 2Q11</t>
        </r>
      </text>
    </comment>
    <comment ref="BU487" authorId="1" shapeId="0" xr:uid="{00000000-0006-0000-0200-0000A1000000}">
      <text>
        <r>
          <rPr>
            <b/>
            <sz val="8"/>
            <color indexed="81"/>
            <rFont val="Tahoma"/>
            <family val="2"/>
          </rPr>
          <t>Bo Nam:</t>
        </r>
        <r>
          <rPr>
            <sz val="8"/>
            <color indexed="81"/>
            <rFont val="Tahoma"/>
            <family val="2"/>
          </rPr>
          <t xml:space="preserve">
54,604 Incl. MMI
MMI- 20,293
GOOG- 34,311</t>
        </r>
      </text>
    </comment>
    <comment ref="BV487" authorId="1" shapeId="0" xr:uid="{00000000-0006-0000-0200-0000A2000000}">
      <text>
        <r>
          <rPr>
            <b/>
            <sz val="8"/>
            <color indexed="81"/>
            <rFont val="Tahoma"/>
            <family val="2"/>
          </rPr>
          <t>Bo Nam:</t>
        </r>
        <r>
          <rPr>
            <sz val="8"/>
            <color indexed="81"/>
            <rFont val="Tahoma"/>
            <family val="2"/>
          </rPr>
          <t xml:space="preserve">
53,546 Incl. Motorola
Motorola- 17,428
GOOG- 36,118
</t>
        </r>
      </text>
    </comment>
    <comment ref="BW487" authorId="1" shapeId="0" xr:uid="{00000000-0006-0000-0200-0000A3000000}">
      <text>
        <r>
          <rPr>
            <b/>
            <sz val="8"/>
            <color indexed="81"/>
            <rFont val="Tahoma"/>
            <family val="2"/>
          </rPr>
          <t>Bo Nam:</t>
        </r>
        <r>
          <rPr>
            <sz val="8"/>
            <color indexed="81"/>
            <rFont val="Tahoma"/>
            <family val="2"/>
          </rPr>
          <t xml:space="preserve">
53,861 Incl. Motorola
Motorola Mobile - 11,113
Motorola Home - 5,204
GOOG- 37,544
</t>
        </r>
      </text>
    </comment>
    <comment ref="CD487" authorId="1" shapeId="0" xr:uid="{00000000-0006-0000-0200-0000A4000000}">
      <text>
        <r>
          <rPr>
            <b/>
            <sz val="9"/>
            <color indexed="81"/>
            <rFont val="Tahoma"/>
            <family val="2"/>
          </rPr>
          <t>Bo Nam:</t>
        </r>
        <r>
          <rPr>
            <sz val="9"/>
            <color indexed="81"/>
            <rFont val="Tahoma"/>
            <family val="2"/>
          </rPr>
          <t xml:space="preserve">
38,739 GOOG
9,982 MOT
5,170 MOT Home</t>
        </r>
      </text>
    </comment>
    <comment ref="CE487" authorId="1" shapeId="0" xr:uid="{00000000-0006-0000-0200-0000A5000000}">
      <text>
        <r>
          <rPr>
            <b/>
            <sz val="9"/>
            <color indexed="81"/>
            <rFont val="Tahoma"/>
            <family val="2"/>
          </rPr>
          <t>Bo Nam:</t>
        </r>
        <r>
          <rPr>
            <sz val="9"/>
            <color indexed="81"/>
            <rFont val="Tahoma"/>
            <family val="2"/>
          </rPr>
          <t xml:space="preserve">
40,178 GOOG
4,599 MOT</t>
        </r>
      </text>
    </comment>
    <comment ref="CF487" authorId="1" shapeId="0" xr:uid="{00000000-0006-0000-0200-0000A6000000}">
      <text>
        <r>
          <rPr>
            <b/>
            <sz val="9"/>
            <color indexed="81"/>
            <rFont val="Tahoma"/>
            <family val="2"/>
          </rPr>
          <t>Bo Nam:</t>
        </r>
        <r>
          <rPr>
            <sz val="9"/>
            <color indexed="81"/>
            <rFont val="Tahoma"/>
            <family val="2"/>
          </rPr>
          <t xml:space="preserve">
42,162 GOOG
4,259 MOT</t>
        </r>
      </text>
    </comment>
    <comment ref="CG487" authorId="1" shapeId="0" xr:uid="{00000000-0006-0000-0200-0000A7000000}">
      <text>
        <r>
          <rPr>
            <b/>
            <sz val="9"/>
            <color indexed="81"/>
            <rFont val="Tahoma"/>
            <family val="2"/>
          </rPr>
          <t>Bo Nam:</t>
        </r>
        <r>
          <rPr>
            <sz val="9"/>
            <color indexed="81"/>
            <rFont val="Tahoma"/>
            <family val="2"/>
          </rPr>
          <t xml:space="preserve">
43,862 in GOOG
3,894 in Motorola</t>
        </r>
      </text>
    </comment>
    <comment ref="CI487" authorId="4" shapeId="0" xr:uid="{00000000-0006-0000-0200-0000A8000000}">
      <text>
        <r>
          <rPr>
            <sz val="9"/>
            <color indexed="81"/>
            <rFont val="Tahoma"/>
            <family val="2"/>
          </rPr>
          <t>Our full-time employee headcount was 49,829 (which includes 3,659 headcount from Motorola Mobile) at March 31, 2014</t>
        </r>
      </text>
    </comment>
    <comment ref="CJ487" authorId="4" shapeId="0" xr:uid="{00000000-0006-0000-0200-0000A9000000}">
      <text>
        <r>
          <rPr>
            <sz val="9"/>
            <color indexed="81"/>
            <rFont val="Tahoma"/>
            <family val="2"/>
          </rPr>
          <t>52,069 (which included 3,485 headcount from Motorola Mobile) at June 30, 2014</t>
        </r>
      </text>
    </comment>
    <comment ref="A491" authorId="0" shapeId="0" xr:uid="{00000000-0006-0000-0200-0000AA000000}">
      <text>
        <r>
          <rPr>
            <b/>
            <sz val="9"/>
            <color indexed="81"/>
            <rFont val="Tahoma"/>
            <family val="2"/>
          </rPr>
          <t>Google Other revenues</t>
        </r>
        <r>
          <rPr>
            <sz val="9"/>
            <color indexed="81"/>
            <rFont val="Tahoma"/>
            <family val="2"/>
          </rPr>
          <t xml:space="preserve">
Revenues from apps, in-app purchases, and digital content (such as movies or e-books) in the Google Play store. Revenues from app sales and in-app purchases are recorded on our income statement net of payout to the developer. Sales of certain digital content on the Play store are recorded on a gross basis.
Google Cloud offerings, which primarily includes Google Cloud Platform and G Suite
Hardware, including Chromecast, Google Home products, Google Wifi, Nest products, Pixel phones and Pixelbook
YouTube Music, YouTube Premium and YouTube TV subscription fees
Fees paid by merchants and customers of our Google Express service
Other miscellaneous products and services</t>
        </r>
      </text>
    </comment>
    <comment ref="CX491" authorId="0" shapeId="0" xr:uid="{00000000-0006-0000-0200-0000AB000000}">
      <text>
        <r>
          <rPr>
            <b/>
            <sz val="9"/>
            <color indexed="81"/>
            <rFont val="Tahoma"/>
            <family val="2"/>
          </rPr>
          <t xml:space="preserve">@1Q: </t>
        </r>
        <r>
          <rPr>
            <sz val="9"/>
            <color indexed="81"/>
            <rFont val="Tahoma"/>
            <family val="2"/>
          </rPr>
          <t>Other revenues for Google were $3.1billion, up 49%.
Last quarter we talked about our bigger investment areas, and you can see the strong momentum here, reflecting contributions from each of Play, hardware, and Cloud. Specifically, Play benefited from both broad-based app strength but also from all the work we have done in areas such as direct carrier billing, which helps more people globally access and buy their favorite apps and games on Google Play. Hardware continues to have strong growth and remains an important area for us, with our family of products extending geographically. Google Cloud continues to drive sizable growth, with Google Cloud Platform remaining one of the fastest-growing businesses across Alphabet.</t>
        </r>
      </text>
    </comment>
    <comment ref="CY491" authorId="0" shapeId="0" xr:uid="{00000000-0006-0000-0200-0000AC000000}">
      <text>
        <r>
          <rPr>
            <b/>
            <sz val="9"/>
            <color indexed="81"/>
            <rFont val="Tahoma"/>
            <family val="2"/>
          </rPr>
          <t xml:space="preserve">@2Q: </t>
        </r>
        <r>
          <rPr>
            <sz val="9"/>
            <color indexed="81"/>
            <rFont val="Tahoma"/>
            <family val="2"/>
          </rPr>
          <t>Other revenues for Google were $3.1 billion, up 42% year over year.
We have been talking about our bigger investment areas within Google, and you can see the momentum here, reflecting contributions from our newer revenue streams again this quarter on top of the ongoing strength in Play. Specifically, Cloud continues to benefit from the ongoing investments in our go-to-market and product efforts. Hardware continues to grow at a healthy pace year on year, with the extension of our product line geographically, particularly Google Home and Wifi. The dollar impact to growth was more muted than in prior quarters, reflecting seasonality.</t>
        </r>
      </text>
    </comment>
    <comment ref="CZ491" authorId="0" shapeId="0" xr:uid="{00000000-0006-0000-0200-0000AD000000}">
      <text>
        <r>
          <rPr>
            <b/>
            <sz val="9"/>
            <color indexed="81"/>
            <rFont val="Tahoma"/>
            <family val="2"/>
          </rPr>
          <t xml:space="preserve">@3Q: </t>
        </r>
        <r>
          <rPr>
            <sz val="9"/>
            <color indexed="81"/>
            <rFont val="Tahoma"/>
            <family val="2"/>
          </rPr>
          <t>Other revenues for Google were $3.4 billion, up 40% year-over-year, fueled by cloud, play and hardware.</t>
        </r>
      </text>
    </comment>
    <comment ref="DA491" authorId="0" shapeId="0" xr:uid="{00000000-0006-0000-0200-0000AE000000}">
      <text>
        <r>
          <rPr>
            <b/>
            <sz val="9"/>
            <color indexed="81"/>
            <rFont val="Tahoma"/>
            <family val="2"/>
          </rPr>
          <t xml:space="preserve">@4Q: </t>
        </r>
        <r>
          <rPr>
            <sz val="9"/>
            <color indexed="81"/>
            <rFont val="Tahoma"/>
            <family val="2"/>
          </rPr>
          <t>Other revenues for Google were $4.7 billion, up 38% year-over-year, fueled by hardware, Cloud and Play.
Passed $1B per quarter</t>
        </r>
      </text>
    </comment>
    <comment ref="DC491" authorId="0" shapeId="0" xr:uid="{00000000-0006-0000-0200-0000AF000000}">
      <text>
        <r>
          <rPr>
            <b/>
            <sz val="9"/>
            <color indexed="81"/>
            <rFont val="Tahoma"/>
            <family val="2"/>
          </rPr>
          <t xml:space="preserve">@1Q: </t>
        </r>
        <r>
          <rPr>
            <sz val="9"/>
            <color indexed="81"/>
            <rFont val="Tahoma"/>
            <family val="2"/>
          </rPr>
          <t>Other revenues for Google  were $4.4 billion, up 36% year-over-year fueled by cloud, hardware, and Play. As a reminder, the hardware revenues in this line now include our Nest business, and prior periods were restated.</t>
        </r>
      </text>
    </comment>
    <comment ref="DD491" authorId="0" shapeId="0" xr:uid="{00000000-0006-0000-0200-0000B0000000}">
      <text>
        <r>
          <rPr>
            <b/>
            <sz val="9"/>
            <color indexed="81"/>
            <rFont val="Tahoma"/>
            <family val="2"/>
          </rPr>
          <t xml:space="preserve">@2Q: </t>
        </r>
        <r>
          <rPr>
            <sz val="9"/>
            <color indexed="81"/>
            <rFont val="Tahoma"/>
            <family val="2"/>
          </rPr>
          <t>Other revenues for Google were $4.4 billion, up 37% year-over-year, fueled by Cloud, Play and Hardware.</t>
        </r>
      </text>
    </comment>
    <comment ref="CZ492" authorId="0" shapeId="0" xr:uid="{00000000-0006-0000-0200-0000B1000000}">
      <text>
        <r>
          <rPr>
            <b/>
            <sz val="9"/>
            <color indexed="81"/>
            <rFont val="Tahoma"/>
            <family val="2"/>
          </rPr>
          <t xml:space="preserve">@3Q: </t>
        </r>
        <r>
          <rPr>
            <sz val="9"/>
            <color indexed="81"/>
            <rFont val="Tahoma"/>
            <family val="2"/>
          </rPr>
          <t>Other revenues for Google were $3.4 billion, up 40% year-over-year, fueled by Cloud, Play and hardware.</t>
        </r>
      </text>
    </comment>
    <comment ref="A503" authorId="0" shapeId="0" xr:uid="{00000000-0006-0000-0200-0000B2000000}">
      <text>
        <r>
          <rPr>
            <b/>
            <sz val="9"/>
            <color indexed="81"/>
            <rFont val="Tahoma"/>
            <family val="2"/>
          </rPr>
          <t xml:space="preserve">Per IR site: 
</t>
        </r>
        <r>
          <rPr>
            <sz val="9"/>
            <color indexed="81"/>
            <rFont val="Tahoma"/>
            <family val="2"/>
          </rPr>
          <t xml:space="preserve">Google Other revenues
</t>
        </r>
        <r>
          <rPr>
            <b/>
            <sz val="9"/>
            <color indexed="81"/>
            <rFont val="Tahoma"/>
            <family val="2"/>
          </rPr>
          <t xml:space="preserve">X </t>
        </r>
        <r>
          <rPr>
            <sz val="9"/>
            <color indexed="81"/>
            <rFont val="Tahoma"/>
            <family val="2"/>
          </rPr>
          <t xml:space="preserve">Sales of apps, digital content and in-app purchases in the Google Play store. Revenues from app sales are recorded on our income statement net of payout to the developer (When you offer applications and in-app products on Google Play, you receive 70% of the payment. There's a 30% transaction fee.)
</t>
        </r>
        <r>
          <rPr>
            <b/>
            <sz val="9"/>
            <color indexed="81"/>
            <rFont val="Tahoma"/>
            <family val="2"/>
          </rPr>
          <t xml:space="preserve">X </t>
        </r>
        <r>
          <rPr>
            <sz val="9"/>
            <color indexed="81"/>
            <rFont val="Tahoma"/>
            <family val="2"/>
          </rPr>
          <t xml:space="preserve">Sales of hardware such as Pixel phones, Google Home, Chromecast, the Daydream View VR headset and Google Wifi
</t>
        </r>
        <r>
          <rPr>
            <b/>
            <sz val="9"/>
            <color indexed="81"/>
            <rFont val="Tahoma"/>
            <family val="2"/>
          </rPr>
          <t>X</t>
        </r>
        <r>
          <rPr>
            <sz val="9"/>
            <color indexed="81"/>
            <rFont val="Tahoma"/>
            <family val="2"/>
          </rPr>
          <t xml:space="preserve"> Licensing-related revenue, including the licensing of web search services where we help power organic searches on partners’ sites
</t>
        </r>
        <r>
          <rPr>
            <b/>
            <sz val="9"/>
            <color indexed="81"/>
            <rFont val="Tahoma"/>
            <family val="2"/>
          </rPr>
          <t>X</t>
        </r>
        <r>
          <rPr>
            <sz val="9"/>
            <color indexed="81"/>
            <rFont val="Tahoma"/>
            <family val="2"/>
          </rPr>
          <t xml:space="preserve"> Service fees received for our Google Cloud offerings, which includes G Suite and our Maps API
</t>
        </r>
        <r>
          <rPr>
            <b/>
            <sz val="9"/>
            <color indexed="81"/>
            <rFont val="Tahoma"/>
            <family val="2"/>
          </rPr>
          <t>X</t>
        </r>
        <r>
          <rPr>
            <sz val="9"/>
            <color indexed="81"/>
            <rFont val="Tahoma"/>
            <family val="2"/>
          </rPr>
          <t xml:space="preserve"> YouTube Red subscription fees and Google Play Music
</t>
        </r>
        <r>
          <rPr>
            <b/>
            <sz val="9"/>
            <color indexed="81"/>
            <rFont val="Tahoma"/>
            <family val="2"/>
          </rPr>
          <t xml:space="preserve">X </t>
        </r>
        <r>
          <rPr>
            <sz val="9"/>
            <color indexed="81"/>
            <rFont val="Tahoma"/>
            <family val="2"/>
          </rPr>
          <t xml:space="preserve">Licensing of ITA software
</t>
        </r>
        <r>
          <rPr>
            <b/>
            <sz val="9"/>
            <color indexed="81"/>
            <rFont val="Tahoma"/>
            <family val="2"/>
          </rPr>
          <t>X</t>
        </r>
        <r>
          <rPr>
            <sz val="9"/>
            <color indexed="81"/>
            <rFont val="Tahoma"/>
            <family val="2"/>
          </rPr>
          <t xml:space="preserve"> Fees paid by merchants and customers of our Google Express service
</t>
        </r>
      </text>
    </comment>
    <comment ref="CZ503" authorId="0" shapeId="0" xr:uid="{00000000-0006-0000-0200-0000B3000000}">
      <text>
        <r>
          <rPr>
            <b/>
            <sz val="9"/>
            <color indexed="81"/>
            <rFont val="Tahoma"/>
            <family val="2"/>
          </rPr>
          <t xml:space="preserve">@3Q: </t>
        </r>
        <r>
          <rPr>
            <sz val="9"/>
            <color indexed="81"/>
            <rFont val="Tahoma"/>
            <family val="2"/>
          </rPr>
          <t>We also benefited from substantial growth in other revenues from cloud, play and hardware.
As we've talked about, we have very strong growth in each of cloud and hardware that was tempered by slightly slower growth in Q3 for Play, reflecting what's the hit of the nature of that business of gaming. But again, feel really pleased with the progress, momentum that we're seeing in the various businesses. And I guess, the only other thing to notice obvious seasonality on the hardware as we move into the fourth quarter here.</t>
        </r>
      </text>
    </comment>
    <comment ref="DA503" authorId="0" shapeId="0" xr:uid="{00000000-0006-0000-0200-0000B4000000}">
      <text>
        <r>
          <rPr>
            <b/>
            <sz val="9"/>
            <color indexed="81"/>
            <rFont val="Tahoma"/>
            <family val="2"/>
          </rPr>
          <t xml:space="preserve">@4Q: </t>
        </r>
        <r>
          <rPr>
            <sz val="9"/>
            <color indexed="81"/>
            <rFont val="Tahoma"/>
            <family val="2"/>
          </rPr>
          <t>Other revenues for Google were $4.7 billion, up 38% year-over-year, fueled by hardware, Cloud and Play.</t>
        </r>
      </text>
    </comment>
    <comment ref="DC503" authorId="0" shapeId="0" xr:uid="{00000000-0006-0000-0200-0000B5000000}">
      <text>
        <r>
          <rPr>
            <b/>
            <sz val="9"/>
            <color indexed="81"/>
            <rFont val="Tahoma"/>
            <family val="2"/>
          </rPr>
          <t xml:space="preserve">@1Q: </t>
        </r>
        <r>
          <rPr>
            <sz val="9"/>
            <color indexed="81"/>
            <rFont val="Tahoma"/>
            <family val="2"/>
          </rPr>
          <t>Other revenues for Google  were $4.4 billion, up 36% year-over-year fueled by cloud, hardware, and Play. As a reminder, the hardware revenues in this line now include our Nest business, and prior periods were restated.</t>
        </r>
      </text>
    </comment>
    <comment ref="DD503" authorId="0" shapeId="0" xr:uid="{00000000-0006-0000-0200-0000B6000000}">
      <text>
        <r>
          <rPr>
            <b/>
            <sz val="9"/>
            <color indexed="81"/>
            <rFont val="Tahoma"/>
            <family val="2"/>
          </rPr>
          <t xml:space="preserve">@2Q: </t>
        </r>
        <r>
          <rPr>
            <sz val="9"/>
            <color indexed="81"/>
            <rFont val="Tahoma"/>
            <family val="2"/>
          </rPr>
          <t>Other revenues for Google were $4.4 billion, up 37% year-over-year, fueled by Cloud, Play and Hardware.</t>
        </r>
      </text>
    </comment>
    <comment ref="DE503" authorId="0" shapeId="0" xr:uid="{00000000-0006-0000-0200-0000B7000000}">
      <text>
        <r>
          <rPr>
            <b/>
            <sz val="9"/>
            <color indexed="81"/>
            <rFont val="Tahoma"/>
            <family val="2"/>
          </rPr>
          <t xml:space="preserve">@3Q: </t>
        </r>
        <r>
          <rPr>
            <sz val="9"/>
            <color indexed="81"/>
            <rFont val="Tahoma"/>
            <family val="2"/>
          </rPr>
          <t>As we noted, hardware was only a modest contributor in the third quarter as we launched a new Made by Google family of products for the fourth quarter holiday season</t>
        </r>
        <r>
          <rPr>
            <b/>
            <sz val="9"/>
            <color indexed="81"/>
            <rFont val="Tahoma"/>
            <family val="2"/>
          </rPr>
          <t xml:space="preserve">
@2Q: </t>
        </r>
        <r>
          <rPr>
            <sz val="9"/>
            <color indexed="81"/>
            <rFont val="Tahoma"/>
            <family val="2"/>
          </rPr>
          <t>Looking ahead, our hardware business is seasonal, typically experiencing lower growth in the third quarter in anticipation of the launch of new products for the holiday season.</t>
        </r>
      </text>
    </comment>
    <comment ref="CX504" authorId="0" shapeId="0" xr:uid="{00000000-0006-0000-0200-0000B8000000}">
      <text>
        <r>
          <rPr>
            <b/>
            <sz val="9"/>
            <color indexed="81"/>
            <rFont val="Tahoma"/>
            <family val="2"/>
          </rPr>
          <t xml:space="preserve">1Q17: </t>
        </r>
        <r>
          <rPr>
            <sz val="9"/>
            <color indexed="81"/>
            <rFont val="Tahoma"/>
            <family val="2"/>
          </rPr>
          <t>Other revenues for Google were $3.1 billion, up 49%.
Last quarter we talked about our bigger investment areas, and you can see the strong momentum here, reflecting contributions from each of Play, hardware, and Cloud. Specifically, Play benefited from both broad-based app strength but also from all the work we have done in areas such as direct carrier billing, which helps more people globally access and buy their favorite apps and games on Google Play. Hardware continues to have strong growth and remains an important area for us, with our family of products extending geographically. Google Cloud continues to drive sizable growth, with Google Cloud Platform remaining one of the fastest-growing businesses across Alphabet.</t>
        </r>
      </text>
    </comment>
    <comment ref="A507" authorId="0" shapeId="0" xr:uid="{00000000-0006-0000-0200-0000B9000000}">
      <text>
        <r>
          <rPr>
            <b/>
            <sz val="9"/>
            <color indexed="81"/>
            <rFont val="Tahoma"/>
            <family val="2"/>
          </rPr>
          <t>Other Bets</t>
        </r>
        <r>
          <rPr>
            <sz val="9"/>
            <color indexed="81"/>
            <rFont val="Tahoma"/>
            <family val="2"/>
          </rPr>
          <t xml:space="preserve">
*Includes businesses such as Access/Fiber, Calico, CapitalG, Chronicle, GV, Verily, Waymo and X.
*Revenues from the Other Bets are derived primarily through the sales of internet and TV services through Access/Fiber, as well as licensing and R&amp;D services through Verily.</t>
        </r>
      </text>
    </comment>
    <comment ref="CZ507" authorId="0" shapeId="0" xr:uid="{00000000-0006-0000-0200-0000BA000000}">
      <text>
        <r>
          <rPr>
            <b/>
            <sz val="9"/>
            <color indexed="81"/>
            <rFont val="Tahoma"/>
            <family val="2"/>
          </rPr>
          <t xml:space="preserve">@3Q: </t>
        </r>
        <r>
          <rPr>
            <sz val="9"/>
            <color indexed="81"/>
            <rFont val="Tahoma"/>
            <family val="2"/>
          </rPr>
          <t>Other Bets revenues were $302 million primarily generated by Nest, Fiber, and Verily.
Nest continues to drive ongoing product expansion with a number of notable launches including the Nest Thermostat E, which is offered at a lower price point than the Nest Learning Thermostat. Nest also announced a home security solution that includes the Nest Secure alarm system, Nest Hello video doorbell, the Nest Cam IQ outdoor security camera and corresponding software and services.
Waymo continues to expand its geographic presence and announced this morning that it will commence winter testing in Michigan to build on our progress to-date addressing the challenge of autonomous driving in cold weather, particularly with snow, sleet and ice. Michigan is the sixth state where Waymo is testing its self-driving vehicles. Over the last eight years, Waymo's cars have self-driven in more than 20 cities.
With Loon, we were pleased to announce just last week that the team is collaborating with AT&amp;T to deliver emergency Internet service to the hardest hit parts of Puerto Rico.</t>
        </r>
      </text>
    </comment>
    <comment ref="DA507" authorId="0" shapeId="0" xr:uid="{00000000-0006-0000-0200-0000BB000000}">
      <text>
        <r>
          <rPr>
            <b/>
            <sz val="9"/>
            <color indexed="81"/>
            <rFont val="Tahoma"/>
            <family val="2"/>
          </rPr>
          <t xml:space="preserve">@4Q: </t>
        </r>
        <r>
          <rPr>
            <sz val="9"/>
            <color indexed="81"/>
            <rFont val="Tahoma"/>
            <family val="2"/>
          </rPr>
          <t>Other Bets revenues were $1.2 billion, up 49% versus 2016, primarily generated by Nest, Fiber and Verily.</t>
        </r>
      </text>
    </comment>
    <comment ref="DC507" authorId="0" shapeId="0" xr:uid="{00000000-0006-0000-0200-0000BC000000}">
      <text>
        <r>
          <rPr>
            <b/>
            <sz val="9"/>
            <color indexed="81"/>
            <rFont val="Tahoma"/>
            <family val="2"/>
          </rPr>
          <t xml:space="preserve">@1Q: </t>
        </r>
        <r>
          <rPr>
            <sz val="9"/>
            <color indexed="81"/>
            <rFont val="Tahoma"/>
            <family val="2"/>
          </rPr>
          <t>Other Bets revenues were $150 million, primarily generated by Fiber and Verily. As a reminder, Nest results are now reported as part of the Google segment with revenues reflected in the Google other revenues line.
We're pleased with our progress across Other Bets. A couple of updates. At Waymo, we have achieved five million miles of driving on city streets, adding the latest million in just three months. We also announced the long-term partnership with Jaguar Land Rover for their fully-electric I-PACE vehicles. Verily is seeing good progress with Onduo, its joint venture with Sanofi. The company has made its diabetes management platform commercially available in three states with Blue Cross Blue Shield of Arkansas and South Carolina, and Anthem's health plan in Georgia.</t>
        </r>
      </text>
    </comment>
    <comment ref="DD507" authorId="0" shapeId="0" xr:uid="{00000000-0006-0000-0200-0000BD000000}">
      <text>
        <r>
          <rPr>
            <b/>
            <sz val="9"/>
            <color indexed="81"/>
            <rFont val="Tahoma"/>
            <family val="2"/>
          </rPr>
          <t xml:space="preserve">@2Q: 
</t>
        </r>
        <r>
          <rPr>
            <sz val="9"/>
            <color indexed="81"/>
            <rFont val="Tahoma"/>
            <family val="2"/>
          </rPr>
          <t>Other Bets revenues were $145 million, primarily generated by Fiber and Verily.
We’re pleased with our progress across Other Bets. A couple of updates: Waymo expanded its partnership with Fiat Chrysler, with the option to add up to 62,000 Chrysler Pacifica minivans to its self-driving fleet. And last week, Waymo announced that it has driven more than 8 million fully autonomous miles, with most of those on city streets. A couple of weeks ago, X announced that Loon and Wing have graduated to become independent companies under Alphabet. Graduation from X signals that these companies have reached certain technical and business milestones and that their focus is shifting toward commercialization. And just last week, Loon indicated that it is partnering with Telkom Kenya to launch commercial service in regions of Kenya by early 2019.</t>
        </r>
      </text>
    </comment>
    <comment ref="DE507" authorId="0" shapeId="0" xr:uid="{00000000-0006-0000-0200-0000BE000000}">
      <text>
        <r>
          <rPr>
            <b/>
            <sz val="9"/>
            <color indexed="81"/>
            <rFont val="Tahoma"/>
            <family val="2"/>
          </rPr>
          <t>@3Q18:</t>
        </r>
        <r>
          <rPr>
            <sz val="9"/>
            <color indexed="81"/>
            <rFont val="Tahoma"/>
            <family val="2"/>
          </rPr>
          <t xml:space="preserve"> primarily generated by Fiber and Verily
Other Bet updates for the quarter, with Waymo in the third quarter, we've built on our Early Rider Program both expanding the group of participants and beginning to test pricing models.
At Verily, the team continues to execute on its various partnerships with leading pharmaceutical companies, consistent with its mission to move medicine from reactive to proactive. Recently launched efforts included joint venture with ResMed to focus on sleeping disorders and a research collaboration with Gilead. 
Finally, you can see in our results the benefit and quality of our investment teams GV and CapitalG which were also within Other Bets. Within the $1.4 billion of reported gains and equity securities in OI&amp;E, approximately $400 million was realized in Q3. There will be more detail on these investment activities in the 10-Q.
Other Bets remains a portfolio of earlier stage businesses focused on addressing sizable markets. We are moving toward early stages of commercialization, while continuing to calibrate the pace of investment against achievement of key milestones.</t>
        </r>
      </text>
    </comment>
    <comment ref="CV512" authorId="0" shapeId="0" xr:uid="{00000000-0006-0000-0200-0000BF000000}">
      <text>
        <r>
          <rPr>
            <sz val="9"/>
            <color indexed="81"/>
            <rFont val="Tahoma"/>
            <family val="2"/>
          </rPr>
          <t xml:space="preserve">@4Q: Other revenue for Google was $3.4 billion, up 62% year-over-year with strong performance from each of </t>
        </r>
        <r>
          <rPr>
            <b/>
            <sz val="9"/>
            <color indexed="81"/>
            <rFont val="Tahoma"/>
            <family val="2"/>
          </rPr>
          <t>hardware, Play and Cloud.</t>
        </r>
      </text>
    </comment>
    <comment ref="A530" authorId="0" shapeId="0" xr:uid="{00000000-0006-0000-0200-0000C0000000}">
      <text>
        <r>
          <rPr>
            <b/>
            <sz val="9"/>
            <color indexed="81"/>
            <rFont val="Tahoma"/>
            <family val="2"/>
          </rPr>
          <t xml:space="preserve">10-K:
</t>
        </r>
        <r>
          <rPr>
            <sz val="9"/>
            <color indexed="81"/>
            <rFont val="Tahoma"/>
            <family val="2"/>
          </rPr>
          <t>We use foreign exchange forward contracts in addition to foreign exchange option contracts to protect our forecasted U.S. dollar-equivalent earnings from changes in foreign currency exchange rates. When the U.S. dollar strengthens, gains from foreign currency options and forwards reduce the foreign currency losses related to our earnings. When the U.S. dollar weakens, losses from foreign currency forwards offset the foreign currency gains related to our earnings. These hedging contracts reduce, but do not entirely eliminate, the impact of currency exchange rate movements. We designate these contracts as cash flow hedges for accounting purposes. We record spot-to-spot foreign currency exchange rate changes of these contracts as a component of accumulated other comprehensive income (AOCI) and subsequently reclassify them into revenues to offset the hedged exposures as they occur. We exclude the change in the time value and forward points of these contracts from our assessment of hedge effectiveness. These excluded components are recognized in other income (expense), net.</t>
        </r>
      </text>
    </comment>
    <comment ref="A542" authorId="0" shapeId="0" xr:uid="{00000000-0006-0000-0200-0000C1000000}">
      <text>
        <r>
          <rPr>
            <b/>
            <sz val="9"/>
            <color indexed="81"/>
            <rFont val="Tahoma"/>
            <family val="2"/>
          </rPr>
          <t>FX &amp; Hedge Neutral</t>
        </r>
      </text>
    </comment>
    <comment ref="A570" authorId="4" shapeId="0" xr:uid="{00000000-0006-0000-0200-0000C2000000}">
      <text>
        <r>
          <rPr>
            <b/>
            <sz val="9"/>
            <color indexed="81"/>
            <rFont val="Tahoma"/>
            <family val="2"/>
          </rPr>
          <t>assuming same regional breakout as total Alphabet gross revenue &amp; assuming hedging offsets 20% of FX impact/benefit</t>
        </r>
      </text>
    </comment>
    <comment ref="A579" authorId="4" shapeId="0" xr:uid="{00000000-0006-0000-0200-0000C3000000}">
      <text>
        <r>
          <rPr>
            <b/>
            <sz val="9"/>
            <color indexed="81"/>
            <rFont val="Tahoma"/>
            <family val="2"/>
          </rPr>
          <t>assuming same regional breakout as total Alphabet gross revenue &amp; assuming hedging offsets 20% of FX impact/benefit</t>
        </r>
      </text>
    </comment>
    <comment ref="A588" authorId="4" shapeId="0" xr:uid="{00000000-0006-0000-0200-0000C4000000}">
      <text>
        <r>
          <rPr>
            <b/>
            <sz val="9"/>
            <color indexed="81"/>
            <rFont val="Tahoma"/>
            <family val="2"/>
          </rPr>
          <t>assuming same regional breakout as total Alphabet gross revenue &amp; assuming hedging offsets 20% of FX impact/benefit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Lee, Dae K</author>
    <author>Kluger, Diana R</author>
  </authors>
  <commentList>
    <comment ref="A9" authorId="0" shapeId="0" xr:uid="{00000000-0006-0000-0300-000001000000}">
      <text>
        <r>
          <rPr>
            <b/>
            <sz val="9"/>
            <color indexed="81"/>
            <rFont val="Tahoma"/>
            <family val="2"/>
          </rPr>
          <t>Google Services</t>
        </r>
        <r>
          <rPr>
            <sz val="9"/>
            <color indexed="81"/>
            <rFont val="Tahoma"/>
            <family val="2"/>
          </rPr>
          <t xml:space="preserve"> includes products and services such as ads, Android, Chrome, hardware, Google Maps, Google Play, Search, and YouTube. Google Services generates revenues primarily from advertising; sales of apps, in-app purchases, digital content products, and hardware; and fees received for subscription-based products such as YouTube Premium and YouTube TV.</t>
        </r>
      </text>
    </comment>
    <comment ref="A10" authorId="0" shapeId="0" xr:uid="{00000000-0006-0000-0300-000002000000}">
      <text>
        <r>
          <rPr>
            <b/>
            <sz val="9"/>
            <color indexed="81"/>
            <rFont val="Tahoma"/>
            <family val="2"/>
          </rPr>
          <t>Google Cloud</t>
        </r>
        <r>
          <rPr>
            <sz val="9"/>
            <color indexed="81"/>
            <rFont val="Tahoma"/>
            <family val="2"/>
          </rPr>
          <t xml:space="preserve"> includes Google’s infrastructure and data analytics platforms, collaboration tools, and other services for enterprise customers. Google Cloud generates revenues primarily from fees received for Google Cloud Platform services and Google Workspace (formerly known as G Suite) collaboration tools.</t>
        </r>
      </text>
    </comment>
    <comment ref="A11" authorId="0" shapeId="0" xr:uid="{00000000-0006-0000-0300-000003000000}">
      <text>
        <r>
          <rPr>
            <b/>
            <sz val="9"/>
            <color indexed="81"/>
            <rFont val="Tahoma"/>
            <family val="2"/>
          </rPr>
          <t>Other Bets</t>
        </r>
        <r>
          <rPr>
            <sz val="9"/>
            <color indexed="81"/>
            <rFont val="Tahoma"/>
            <family val="2"/>
          </rPr>
          <t xml:space="preserve"> is a combination of multiple operating segments that are not individually material. Revenues from the Other Bets are derived primarily through the sale of internet services as well as licensing and R&amp;D services.</t>
        </r>
      </text>
    </comment>
    <comment ref="EI17" authorId="0" shapeId="0" xr:uid="{A52B0C85-6FDF-4350-A930-E30EA4A9FFB2}">
      <text>
        <r>
          <rPr>
            <b/>
            <sz val="9"/>
            <color indexed="81"/>
            <rFont val="Tahoma"/>
            <family val="2"/>
          </rPr>
          <t xml:space="preserve">2Q24: 
</t>
        </r>
        <r>
          <rPr>
            <sz val="9"/>
            <color indexed="81"/>
            <rFont val="Tahoma"/>
            <family val="2"/>
          </rPr>
          <t>Turning to margins. The margin expansion in Q2 versus last year reflects our ongoing efforts to durably reengineer our cost base as well as revenue strength. Our leadership team remains focused on our efforts to moderate the pace of expense growth in order to create capacity for the increases in depreciation and expenses associated with the higher levels of investment in our technical infrastructure. Once again, head count declined quarter-on-quarter, which reflects both actions we have taken in the first half of the year and a much slower pace of hiring.
Looking ahead, we expect a slight increase in head count in the third quarter as we bring on new graduates. As we have discussed previously, we are continuing to invest in top engineering and technical talent, particularly in Cloud and technical infrastructure. Looking forward, we continue to expect to deliver full-year 2024 Alphabet operating margin expansion relative to 2023. However, in the third quarter, operating margins will reflect the impact of both the increases in depreciation and expenses associated with the higher levels of investment in our technical infrastructure, as well as the increase in cost of revenues due to the pull forward of hardware launches into Q3.</t>
        </r>
      </text>
    </comment>
    <comment ref="EN17" authorId="0" shapeId="0" xr:uid="{7AC7C23C-BC15-4CBD-80C1-7B9B8AEFF026}">
      <text>
        <r>
          <rPr>
            <b/>
            <sz val="9"/>
            <color indexed="81"/>
            <rFont val="Tahoma"/>
            <family val="2"/>
          </rPr>
          <t>Includes the EC fine of $3.5B</t>
        </r>
      </text>
    </comment>
    <comment ref="DR18" authorId="0" shapeId="0" xr:uid="{00000000-0006-0000-0300-000004000000}">
      <text>
        <r>
          <rPr>
            <b/>
            <sz val="9"/>
            <color indexed="81"/>
            <rFont val="Tahoma"/>
            <family val="2"/>
          </rPr>
          <t xml:space="preserve">@4Q20: </t>
        </r>
        <r>
          <rPr>
            <sz val="9"/>
            <color indexed="81"/>
            <rFont val="Tahoma"/>
            <family val="2"/>
          </rPr>
          <t>Finally, as you can see from the historical data provided in the press release, Cloud's operating loss was higher in the first quarter relative to other quarters, and then the operating loss improves thereafter. We expect similar seasonality in 2021.</t>
        </r>
      </text>
    </comment>
    <comment ref="A20" authorId="0" shapeId="0" xr:uid="{00000000-0006-0000-0300-000005000000}">
      <text>
        <r>
          <rPr>
            <b/>
            <sz val="9"/>
            <color indexed="81"/>
            <rFont val="Tahoma"/>
            <family val="2"/>
          </rPr>
          <t>Unallocated corporate costs</t>
        </r>
        <r>
          <rPr>
            <sz val="9"/>
            <color indexed="81"/>
            <rFont val="Tahoma"/>
            <family val="2"/>
          </rPr>
          <t xml:space="preserve"> primarily include corporate initiatives, corporate shared costs, such as finance and legal, including fines and settlements, as well as costs associated with certain shared research and development activities. Additionally, hedging gains (losses) related to revenue are included in corporate costs.
</t>
        </r>
      </text>
    </comment>
    <comment ref="DG20" authorId="0" shapeId="0" xr:uid="{00000000-0006-0000-0300-000006000000}">
      <text>
        <r>
          <rPr>
            <b/>
            <sz val="9"/>
            <color indexed="81"/>
            <rFont val="Tahoma"/>
            <family val="2"/>
          </rPr>
          <t xml:space="preserve">@4Q20: </t>
        </r>
        <r>
          <rPr>
            <sz val="9"/>
            <color indexed="81"/>
            <rFont val="Tahoma"/>
            <family val="2"/>
          </rPr>
          <t xml:space="preserve">Corporate costs, unallocated for </t>
        </r>
        <r>
          <rPr>
            <b/>
            <u/>
            <sz val="9"/>
            <color indexed="81"/>
            <rFont val="Tahoma"/>
            <family val="2"/>
          </rPr>
          <t>fiscal year 2018 includes a fine of $5.1 billion</t>
        </r>
        <r>
          <rPr>
            <sz val="9"/>
            <color indexed="81"/>
            <rFont val="Tahoma"/>
            <family val="2"/>
          </rPr>
          <t xml:space="preserve"> and fiscal year 2019 includes a fine and a legal settlement totaling $2.3 billion</t>
        </r>
      </text>
    </comment>
    <comment ref="DL20" authorId="0" shapeId="0" xr:uid="{00000000-0006-0000-0300-000007000000}">
      <text>
        <r>
          <rPr>
            <b/>
            <sz val="9"/>
            <color indexed="81"/>
            <rFont val="Tahoma"/>
            <family val="2"/>
          </rPr>
          <t xml:space="preserve">@4Q20: </t>
        </r>
        <r>
          <rPr>
            <sz val="9"/>
            <color indexed="81"/>
            <rFont val="Tahoma"/>
            <family val="2"/>
          </rPr>
          <t xml:space="preserve">Corporate costs, unallocated for fiscal year 2018 includes a fine of $5.1 billion and </t>
        </r>
        <r>
          <rPr>
            <b/>
            <u/>
            <sz val="9"/>
            <color indexed="81"/>
            <rFont val="Tahoma"/>
            <family val="2"/>
          </rPr>
          <t>fiscal year 2019 includes a fine and a legal settlement totaling $2.3 billion</t>
        </r>
      </text>
    </comment>
    <comment ref="EB20" authorId="0" shapeId="0" xr:uid="{BB7A11CA-8821-44C1-9E6A-0313178D7FB4}">
      <text>
        <r>
          <rPr>
            <b/>
            <sz val="9"/>
            <color indexed="81"/>
            <rFont val="Tahoma"/>
            <family val="2"/>
          </rPr>
          <t xml:space="preserve">@4Q22: </t>
        </r>
        <r>
          <rPr>
            <sz val="9"/>
            <color indexed="81"/>
            <rFont val="Tahoma"/>
            <family val="2"/>
          </rPr>
          <t>In January 2023, we announced a reduction of our workforce of approximately 12,000 roles. We expect to incur employee severance and related charges of $1.9 billion to $2.3 billion, the majority of which will be recognized in the first quarter of 2023.
In addition, we are taking actions to optimize our global office space. As a result we expect to incur exit costs relating to office space reductions of approximately $0.5 billion in the first quarter of 2023. We may incur additional charges in the future as we further evaluate our real estate needs.</t>
        </r>
      </text>
    </comment>
    <comment ref="DR21" authorId="0" shapeId="0" xr:uid="{00000000-0006-0000-0300-000008000000}">
      <text>
        <r>
          <rPr>
            <b/>
            <sz val="9"/>
            <color indexed="81"/>
            <rFont val="Tahoma"/>
            <family val="2"/>
          </rPr>
          <t>@1Q21:</t>
        </r>
        <r>
          <rPr>
            <sz val="9"/>
            <color indexed="81"/>
            <rFont val="Tahoma"/>
            <family val="2"/>
          </rPr>
          <t xml:space="preserve"> In January 2021, we completed an assessment of the useful lives of our servers and network equipment and adjusted the estimated useful life of our servers from three years to four years and the estimated useful life of certain network equipment from three years to five years. This change in accounting estimate was effective beginning in fiscal year 2021 and the effect for the three months ended March 31, 2021, was a reduction in depreciation expense of </t>
        </r>
        <r>
          <rPr>
            <b/>
            <sz val="9"/>
            <color indexed="81"/>
            <rFont val="Tahoma"/>
            <family val="2"/>
          </rPr>
          <t>$835 million</t>
        </r>
        <r>
          <rPr>
            <sz val="9"/>
            <color indexed="81"/>
            <rFont val="Tahoma"/>
            <family val="2"/>
          </rPr>
          <t xml:space="preserve"> and an increase in net income of $650 million, or $0.97 per basic and $0.95 per diluted share.</t>
        </r>
      </text>
    </comment>
    <comment ref="DV24" authorId="0" shapeId="0" xr:uid="{00000000-0006-0000-0300-000009000000}">
      <text>
        <r>
          <rPr>
            <b/>
            <sz val="9"/>
            <color indexed="81"/>
            <rFont val="Tahoma"/>
            <family val="2"/>
          </rPr>
          <t xml:space="preserve">@4Q20: </t>
        </r>
        <r>
          <rPr>
            <sz val="9"/>
            <color indexed="81"/>
            <rFont val="Tahoma"/>
            <family val="2"/>
          </rPr>
          <t>In terms of investment levels within Google Services, late in the first quarter of 2020 as a result of COVID, we made what we described as tactical adjustments to slow the pace of spend in certain categories. Given the ongoing uncertainty in the external environment, we maintained the discipline through the rest of 2020. Looking forward, we do expect the pace of investment to increase to support the extraordinary opportunities we see given the usefulness of our products and services in this environment. The investment pace will ramp up over the course of the year.</t>
        </r>
      </text>
    </comment>
    <comment ref="EK34" authorId="0" shapeId="0" xr:uid="{2F1F7575-745D-40FD-B5BB-756093F8952B}">
      <text>
        <r>
          <rPr>
            <b/>
            <sz val="9"/>
            <color indexed="81"/>
            <rFont val="Tahoma"/>
            <family val="2"/>
          </rPr>
          <t xml:space="preserve">1Q24: </t>
        </r>
        <r>
          <rPr>
            <sz val="9"/>
            <color indexed="81"/>
            <rFont val="Tahoma"/>
            <family val="2"/>
          </rPr>
          <t>As we have discussed previously, we are continuing to invest in top engineering and technical talent, particularly in Cloud, Google DeepMind and technical infrastructure. Looking ahead we remain focused on our efforts to moderate the pace of expense growth in order to create capacity for the increases in depreciation and expenses associated with the higher levels of investment in our technical infrastructure.
We believe these efforts will enable us to deliver full year 2024 Alphabet operating margin expansion relative to 2023.</t>
        </r>
      </text>
    </comment>
    <comment ref="A39" authorId="0" shapeId="0" xr:uid="{00000000-0006-0000-0300-00000A000000}">
      <text>
        <r>
          <rPr>
            <b/>
            <sz val="9"/>
            <color indexed="81"/>
            <rFont val="Tahoma"/>
            <family val="2"/>
          </rPr>
          <t xml:space="preserve">2020 10K:
</t>
        </r>
        <r>
          <rPr>
            <sz val="9"/>
            <color indexed="81"/>
            <rFont val="Tahoma"/>
            <family val="2"/>
          </rPr>
          <t>Google Services includes products and services such as ads, Android, Chrome, hardware, Google Maps, Google Play, Search, and YouTube. Google Services generates revenues primarily from advertising; sales of apps, in-app purchases, digital content products, and hardware; and fees received for subscription-based products such as YouTube Premium and YouTube TV.</t>
        </r>
      </text>
    </comment>
    <comment ref="A79" authorId="0" shapeId="0" xr:uid="{00000000-0006-0000-0300-00000B000000}">
      <text>
        <r>
          <rPr>
            <b/>
            <sz val="9"/>
            <color indexed="81"/>
            <rFont val="Tahoma"/>
            <family val="2"/>
          </rPr>
          <t xml:space="preserve">2020 10K:
</t>
        </r>
        <r>
          <rPr>
            <sz val="9"/>
            <color indexed="81"/>
            <rFont val="Tahoma"/>
            <family val="2"/>
          </rPr>
          <t>Google Cloud includes Google’s infrastructure and data analytics platforms, collaboration tools, and other services for enterprise customers. Google Cloud generates revenues primarily from fees received for Google Cloud Platform services and Google Workspace (formerly known as G Suite) collaboration tools.</t>
        </r>
      </text>
    </comment>
    <comment ref="DR82" authorId="0" shapeId="0" xr:uid="{00000000-0006-0000-0300-00000C000000}">
      <text>
        <r>
          <rPr>
            <b/>
            <sz val="9"/>
            <color indexed="81"/>
            <rFont val="Tahoma"/>
            <family val="2"/>
          </rPr>
          <t xml:space="preserve">@4Q20: </t>
        </r>
        <r>
          <rPr>
            <sz val="9"/>
            <color indexed="81"/>
            <rFont val="Tahoma"/>
            <family val="2"/>
          </rPr>
          <t>Finally, as you can see from the historical data provided in the press release, Cloud's operating loss was higher in the first quarter relative to other quarters, and then the operating loss improves thereafter. We expect similar seasonality in 2021.</t>
        </r>
      </text>
    </comment>
    <comment ref="A114" authorId="0" shapeId="0" xr:uid="{00000000-0006-0000-0300-00000D000000}">
      <text>
        <r>
          <rPr>
            <b/>
            <sz val="9"/>
            <color indexed="81"/>
            <rFont val="Tahoma"/>
            <family val="2"/>
          </rPr>
          <t xml:space="preserve">2020 10K
</t>
        </r>
        <r>
          <rPr>
            <sz val="9"/>
            <color indexed="81"/>
            <rFont val="Tahoma"/>
            <family val="2"/>
          </rPr>
          <t>Other Bets is a combination of multiple operating segments that are not individually material. Revenues from the Other Bets are derived primarily through the sale of internet services as well as licensing and R&amp;D services.</t>
        </r>
      </text>
    </comment>
    <comment ref="EC118" authorId="0" shapeId="0" xr:uid="{A08EE039-39E0-480C-B014-022D031898CD}">
      <text>
        <r>
          <rPr>
            <b/>
            <sz val="9"/>
            <color indexed="81"/>
            <rFont val="Tahoma"/>
            <family val="2"/>
          </rPr>
          <t xml:space="preserve">2Q22: </t>
        </r>
        <r>
          <rPr>
            <sz val="9"/>
            <color indexed="81"/>
            <rFont val="Tahoma"/>
            <family val="2"/>
          </rPr>
          <t>As to our Other Bets, for the second-quarter revenues were $285 million and the operating loss was $813 million. The decrease in operating loss was primarily driven by a reduction in valuation basedcompensation liabilities related to certain Other Bets.</t>
        </r>
      </text>
    </comment>
    <comment ref="A148" authorId="0" shapeId="0" xr:uid="{00000000-0006-0000-0300-00000E000000}">
      <text>
        <r>
          <rPr>
            <b/>
            <sz val="9"/>
            <color indexed="81"/>
            <rFont val="Tahoma"/>
            <family val="2"/>
          </rPr>
          <t xml:space="preserve">2020 10K:
</t>
        </r>
        <r>
          <rPr>
            <sz val="9"/>
            <color indexed="81"/>
            <rFont val="Tahoma"/>
            <family val="2"/>
          </rPr>
          <t>Revenues and certain costs, such as costs associated with content and traffic acquisition, certain engineering, and hardware costs and other operating expenses, are directly attributable to our segments. Due to the integrated nature of Alphabet, other costs and expenses, such as technical infrastructure and office facilities, are managed centrally at a consolidated level. The associated costs, including depreciation and impairment, are allocated to operating segments as a service cost generally based on usage or headcount.
Unallocated corporate costs primarily include corporate initiatives, corporate shared costs, such as finance and legal, including fines and settlements, as well as costs associated with certain shared research and development activities. Additionally, hedging gains (losses) related to revenue are included in corporate costs.</t>
        </r>
      </text>
    </comment>
    <comment ref="EC150" authorId="0" shapeId="0" xr:uid="{0FE5913A-91CE-4A68-97E2-4ACC20205357}">
      <text>
        <r>
          <rPr>
            <sz val="9"/>
            <color indexed="81"/>
            <rFont val="Tahoma"/>
            <family val="2"/>
          </rPr>
          <t>- Moving up Q/Q for Google Research (Brain), being shifted to Corporate costs)
- Assume Google Research opex is similar to DeepMind opex</t>
        </r>
      </text>
    </comment>
    <comment ref="EB151" authorId="0" shapeId="0" xr:uid="{45946511-6CFF-4D75-A27C-118120C824B2}">
      <text>
        <r>
          <rPr>
            <b/>
            <sz val="9"/>
            <color indexed="81"/>
            <rFont val="Tahoma"/>
            <family val="2"/>
          </rPr>
          <t xml:space="preserve">@4Q22: </t>
        </r>
        <r>
          <rPr>
            <sz val="9"/>
            <color indexed="81"/>
            <rFont val="Tahoma"/>
            <family val="2"/>
          </rPr>
          <t>In January 2023, we announced a reduction of our workforce of approximately 12,000 roles. We expect to incur employee severance and related charges of $1.9 billion to $2.3 billion, the majority of which will be recognized in the first quarter of 2023.
In addition, we are taking actions to optimize our global office space. As a result we expect to incur exit costs relating to office space reductions of approximately $0.5 billion in the first quarter of 2023. We may incur additional charges in the future as we further evaluate our real estate needs.</t>
        </r>
      </text>
    </comment>
    <comment ref="EC151" authorId="0" shapeId="0" xr:uid="{96D49D3C-6FE5-4BB6-8F4B-10ACFDDB2DC8}">
      <text>
        <r>
          <rPr>
            <b/>
            <sz val="9"/>
            <color indexed="81"/>
            <rFont val="Tahoma"/>
            <family val="2"/>
          </rPr>
          <t xml:space="preserve">2Q22: </t>
        </r>
        <r>
          <rPr>
            <sz val="9"/>
            <color indexed="81"/>
            <rFont val="Tahoma"/>
            <family val="2"/>
          </rPr>
          <t>In January 2023, we announced a reduction of our workforce, and as a result we recorded employee severance and related charges of $2.0 billion for the six months ended June 30, 2023. In addition, we are taking actions to optimize our global office space. As a result, total charges recorded during the six months ended June 30, 2023 were $633 million, of which $564 million and $69 million were recorded during the three months ended March 31, 2023 and June 30, 2023, respectively. We may incur additional charges in the future as we further evaluate our real estate needs.</t>
        </r>
      </text>
    </comment>
    <comment ref="ED151" authorId="0" shapeId="0" xr:uid="{AE37A89C-CAEE-4173-B217-C0BFDD2A6AFE}">
      <text>
        <r>
          <rPr>
            <b/>
            <sz val="9"/>
            <color indexed="81"/>
            <rFont val="Tahoma"/>
            <family val="2"/>
          </rPr>
          <t xml:space="preserve">3Q23 10Q: </t>
        </r>
        <r>
          <rPr>
            <sz val="9"/>
            <color indexed="81"/>
            <rFont val="Tahoma"/>
            <family val="2"/>
          </rPr>
          <t xml:space="preserve">In addition to the Alphabet-level costs included in unallocated corporate costs, hedging gains (losses) related torevenue were $638 million and $(1) million for the three months ended September 30, 2022 and 2023, respectively,and $1.3 billion an d $86 million for the nine months ended September 30, 2022 and 2023, respectively. For the threeand nine months ended September 30, 2023, unallocated corporate costs include charges related to the reductions in our workforce andoffice space exit charges totaling $102 million and $2.7 billion, respectively. In addition, for the three and nine monthsended September 30, 2023, </t>
        </r>
        <r>
          <rPr>
            <b/>
            <sz val="9"/>
            <color indexed="81"/>
            <rFont val="Tahoma"/>
            <family val="2"/>
          </rPr>
          <t>we incurred $207 million in accelerated rent and accelerated depreciation.</t>
        </r>
      </text>
    </comment>
    <comment ref="EE151" authorId="0" shapeId="0" xr:uid="{CC6EBABF-902A-4CE6-911A-EB5F34B7C58E}">
      <text>
        <r>
          <rPr>
            <b/>
            <sz val="9"/>
            <color indexed="81"/>
            <rFont val="Tahoma"/>
            <family val="2"/>
          </rPr>
          <t>4Q23:</t>
        </r>
        <r>
          <rPr>
            <sz val="9"/>
            <color indexed="81"/>
            <rFont val="Tahoma"/>
            <family val="2"/>
          </rPr>
          <t xml:space="preserve"> $62M in accelerated depreciation</t>
        </r>
      </text>
    </comment>
    <comment ref="EF151" authorId="0" shapeId="0" xr:uid="{4B57DBC0-08E3-43F7-AB1C-8A4068AD43CA}">
      <text>
        <r>
          <rPr>
            <b/>
            <sz val="9"/>
            <color indexed="81"/>
            <rFont val="Tahoma"/>
            <family val="2"/>
          </rPr>
          <t xml:space="preserve">@4Q22: </t>
        </r>
        <r>
          <rPr>
            <sz val="9"/>
            <color indexed="81"/>
            <rFont val="Tahoma"/>
            <family val="2"/>
          </rPr>
          <t>In January 2023, we announced a reduction of our workforce of approximately 12,000 roles. We expect to incur employee severance and related charges of $1.9 billion to $2.3 billion, the majority of which will be recognized in the first quarter of 2023.
In addition, we are taking actions to optimize our global office space. As a result we expect to incur exit costs relating to office space reductions of approximately $0.5 billion in the first quarter of 2023. We may incur additional charges in the future as we further evaluate our real estate needs.</t>
        </r>
      </text>
    </comment>
    <comment ref="EG151" authorId="0" shapeId="0" xr:uid="{EF19E39C-592A-4359-9191-1EFD152C1385}">
      <text>
        <r>
          <rPr>
            <b/>
            <sz val="9"/>
            <color indexed="81"/>
            <rFont val="Tahoma"/>
            <family val="2"/>
          </rPr>
          <t xml:space="preserve">4Q23: </t>
        </r>
        <r>
          <rPr>
            <sz val="9"/>
            <color indexed="81"/>
            <rFont val="Tahoma"/>
            <family val="2"/>
          </rPr>
          <t>At this point in the quarter, we do estimate that severance-related expense will be roughly $700 million in the first quarter as we've continued these efforts.</t>
        </r>
      </text>
    </comment>
    <comment ref="A192" authorId="1" shapeId="0" xr:uid="{00000000-0006-0000-0300-00000F000000}">
      <text>
        <r>
          <rPr>
            <b/>
            <sz val="9"/>
            <color indexed="81"/>
            <rFont val="Tahoma"/>
            <family val="2"/>
          </rPr>
          <t>Google Segment
*</t>
        </r>
        <r>
          <rPr>
            <sz val="9"/>
            <color indexed="81"/>
            <rFont val="Tahoma"/>
            <family val="2"/>
          </rPr>
          <t>Includes our main products such as Ads, Android, Chrome, Commerce, Google Cloud, Google Maps, Google Play, Hardware (including Nest), Search, and YouTube. Our technical infrastructure and some newer efforts like virtual reality are also included in Google.
*Google generates revenues primarily from advertising; sales of apps, in-app purchases, digital content products, and hardware; and licensing and service fees, including fees received for Google Cloud offerings.</t>
        </r>
      </text>
    </comment>
    <comment ref="CX207" authorId="0" shapeId="0" xr:uid="{00000000-0006-0000-0300-000010000000}">
      <text>
        <r>
          <rPr>
            <b/>
            <sz val="9"/>
            <color indexed="81"/>
            <rFont val="Tahoma"/>
            <family val="2"/>
          </rPr>
          <t xml:space="preserve">@1Q17: </t>
        </r>
        <r>
          <rPr>
            <sz val="9"/>
            <color indexed="81"/>
            <rFont val="Tahoma"/>
            <family val="2"/>
          </rPr>
          <t>Accrued CapEx for the quarter was $2.4 billion, reflecting investments in production equipment, facilities, and data center construction.</t>
        </r>
      </text>
    </comment>
    <comment ref="DE207" authorId="0" shapeId="0" xr:uid="{00000000-0006-0000-0300-000011000000}">
      <text>
        <r>
          <rPr>
            <b/>
            <sz val="9"/>
            <color indexed="81"/>
            <rFont val="Tahoma"/>
            <family val="2"/>
          </rPr>
          <t xml:space="preserve">@3Q18: </t>
        </r>
        <r>
          <rPr>
            <sz val="9"/>
            <color indexed="81"/>
            <rFont val="Tahoma"/>
            <family val="2"/>
          </rPr>
          <t>reflecting investments in production equipment, data center construction and facilities</t>
        </r>
      </text>
    </comment>
    <comment ref="DM207" authorId="0" shapeId="0" xr:uid="{00000000-0006-0000-0300-000012000000}">
      <text>
        <r>
          <rPr>
            <b/>
            <sz val="9"/>
            <color indexed="81"/>
            <rFont val="Tahoma"/>
            <family val="2"/>
          </rPr>
          <t xml:space="preserve">@1Q: </t>
        </r>
        <r>
          <rPr>
            <sz val="9"/>
            <color indexed="81"/>
            <rFont val="Tahoma"/>
            <family val="2"/>
          </rPr>
          <t xml:space="preserve">Google accrued Capex for the quarter was $5.7 billion approximately, </t>
        </r>
        <r>
          <rPr>
            <b/>
            <sz val="9"/>
            <color indexed="81"/>
            <rFont val="Tahoma"/>
            <family val="2"/>
          </rPr>
          <t>reflecting investments in data centers followed by servers and office facilities.</t>
        </r>
      </text>
    </comment>
    <comment ref="DG242" authorId="0" shapeId="0" xr:uid="{00000000-0006-0000-0300-000013000000}">
      <text>
        <r>
          <rPr>
            <b/>
            <sz val="9"/>
            <color indexed="81"/>
            <rFont val="Tahoma"/>
            <family val="2"/>
          </rPr>
          <t>SVP bi-annual refresh</t>
        </r>
      </text>
    </comment>
    <comment ref="DQ242" authorId="0" shapeId="0" xr:uid="{00000000-0006-0000-0300-000014000000}">
      <text>
        <r>
          <rPr>
            <b/>
            <sz val="9"/>
            <color indexed="81"/>
            <rFont val="Tahoma"/>
            <family val="2"/>
          </rPr>
          <t>SVP bi-annual refresh</t>
        </r>
      </text>
    </comment>
    <comment ref="EA242" authorId="0" shapeId="0" xr:uid="{00000000-0006-0000-0300-000015000000}">
      <text>
        <r>
          <rPr>
            <b/>
            <sz val="9"/>
            <color indexed="81"/>
            <rFont val="Tahoma"/>
            <family val="2"/>
          </rPr>
          <t>SVP bi-annual refresh</t>
        </r>
      </text>
    </comment>
    <comment ref="EK242" authorId="0" shapeId="0" xr:uid="{00000000-0006-0000-0300-000016000000}">
      <text>
        <r>
          <rPr>
            <b/>
            <sz val="9"/>
            <color indexed="81"/>
            <rFont val="Tahoma"/>
            <family val="2"/>
          </rPr>
          <t>SVP bi-annual refresh</t>
        </r>
      </text>
    </comment>
    <comment ref="EU242" authorId="0" shapeId="0" xr:uid="{00000000-0006-0000-0300-000017000000}">
      <text>
        <r>
          <rPr>
            <b/>
            <sz val="9"/>
            <color indexed="81"/>
            <rFont val="Tahoma"/>
            <family val="2"/>
          </rPr>
          <t>SVP bi-annual refresh</t>
        </r>
      </text>
    </comment>
    <comment ref="EV242" authorId="0" shapeId="0" xr:uid="{00000000-0006-0000-0300-000018000000}">
      <text>
        <r>
          <rPr>
            <b/>
            <sz val="9"/>
            <color indexed="81"/>
            <rFont val="Tahoma"/>
            <family val="2"/>
          </rPr>
          <t>SVP bi-annual refresh</t>
        </r>
      </text>
    </comment>
    <comment ref="EW242" authorId="0" shapeId="0" xr:uid="{0AAB7A35-D3C3-4916-A585-88ACD1E90D97}">
      <text>
        <r>
          <rPr>
            <b/>
            <sz val="9"/>
            <color indexed="81"/>
            <rFont val="Tahoma"/>
            <family val="2"/>
          </rPr>
          <t>SVP bi-annual refresh</t>
        </r>
      </text>
    </comment>
    <comment ref="EX242" authorId="0" shapeId="0" xr:uid="{0374D51F-5667-4852-95AD-F895BBC55767}">
      <text>
        <r>
          <rPr>
            <b/>
            <sz val="9"/>
            <color indexed="81"/>
            <rFont val="Tahoma"/>
            <family val="2"/>
          </rPr>
          <t>SVP bi-annual refresh</t>
        </r>
      </text>
    </comment>
    <comment ref="EY242" authorId="0" shapeId="0" xr:uid="{518A84A7-E34D-4F4A-AF94-108D46DC93EC}">
      <text>
        <r>
          <rPr>
            <b/>
            <sz val="9"/>
            <color indexed="81"/>
            <rFont val="Tahoma"/>
            <family val="2"/>
          </rPr>
          <t>SVP bi-annual refresh</t>
        </r>
      </text>
    </comment>
    <comment ref="A260" authorId="1" shapeId="0" xr:uid="{00000000-0006-0000-0300-000019000000}">
      <text>
        <r>
          <rPr>
            <b/>
            <sz val="9"/>
            <color indexed="81"/>
            <rFont val="Tahoma"/>
            <family val="2"/>
          </rPr>
          <t>Other Bets
*</t>
        </r>
        <r>
          <rPr>
            <sz val="9"/>
            <color indexed="81"/>
            <rFont val="Tahoma"/>
            <family val="2"/>
          </rPr>
          <t>Includes businesses such as Access/Fiber, Calico, CapitalG, Chronicle, GV, Verily, Waymo and X.
*Revenues from the Other Bets are derived primarily through the sales of internet and TV services through Access/Fiber, as well as licensing and R&amp;D services through Verily.</t>
        </r>
      </text>
    </comment>
    <comment ref="CW261" authorId="0" shapeId="0" xr:uid="{00000000-0006-0000-0300-00001A000000}">
      <text>
        <r>
          <rPr>
            <b/>
            <sz val="9"/>
            <color indexed="81"/>
            <rFont val="Tahoma"/>
            <family val="2"/>
          </rPr>
          <t xml:space="preserve">@4Q: </t>
        </r>
        <r>
          <rPr>
            <sz val="9"/>
            <color indexed="81"/>
            <rFont val="Tahoma"/>
            <family val="2"/>
          </rPr>
          <t xml:space="preserve">For the full year 2016 Other Bets revenue was $809 million, up 82% versus 2015, primarily generated by </t>
        </r>
        <r>
          <rPr>
            <b/>
            <sz val="9"/>
            <color indexed="81"/>
            <rFont val="Tahoma"/>
            <family val="2"/>
          </rPr>
          <t>Nest, Fiber and Verily.</t>
        </r>
      </text>
    </comment>
    <comment ref="CX261" authorId="0" shapeId="0" xr:uid="{00000000-0006-0000-0300-00001B000000}">
      <text>
        <r>
          <rPr>
            <b/>
            <sz val="9"/>
            <color indexed="81"/>
            <rFont val="Tahoma"/>
            <family val="2"/>
          </rPr>
          <t xml:space="preserve">@1Q18: Restated to include Nest in Google Other
</t>
        </r>
      </text>
    </comment>
    <comment ref="CY261" authorId="0" shapeId="0" xr:uid="{00000000-0006-0000-0300-00001C000000}">
      <text>
        <r>
          <rPr>
            <b/>
            <sz val="9"/>
            <color indexed="81"/>
            <rFont val="Tahoma"/>
            <family val="2"/>
          </rPr>
          <t xml:space="preserve">@1Q18: Restated to include Nest in Google Other
@2Q: </t>
        </r>
        <r>
          <rPr>
            <sz val="9"/>
            <color indexed="81"/>
            <rFont val="Tahoma"/>
            <family val="2"/>
          </rPr>
          <t xml:space="preserve">Other Bets revenues were $248 million, primarily generated by Nest, Fiber, and Verily. 
We're pleased with our progress across Other Bets. A couple of updates, Nest continues to drive ongoing product expansion such as our recent introduction of the indoor security camera, Nest Cam IQ, as well as geographic expansion, both of which support its position as the leading brand in the connected home.
In life sciences, in addition to our progress at Verily, Calico has focused its efforts on the basic mechanisms of aging and three aging related diseases representing the leading causes of death. Calico has established more than 20 active collaborations with other life sciences companies and academic institutions.
With Loon, we recently demonstrated the technology in Peru by successfully delivering basic Internet connectivity to tens of thousands of people affected by the tragic floods there. We worked in partnership with the Peruvian government and Telefónica. And our progress with Waymo continues nicely, as is reflected in the rider program in Phoenix and our recently announced partnerships with Lyft and Avis.
</t>
        </r>
      </text>
    </comment>
    <comment ref="CZ261" authorId="0" shapeId="0" xr:uid="{00000000-0006-0000-0300-00001D000000}">
      <text>
        <r>
          <rPr>
            <b/>
            <sz val="9"/>
            <color indexed="81"/>
            <rFont val="Tahoma"/>
            <family val="2"/>
          </rPr>
          <t xml:space="preserve">@1Q18: Restated to include Nest in Google Other
@3Q: </t>
        </r>
        <r>
          <rPr>
            <sz val="9"/>
            <color indexed="81"/>
            <rFont val="Tahoma"/>
            <family val="2"/>
          </rPr>
          <t xml:space="preserve">Other Bets revenues were $302 million, primarily generated by Nest, Fiber, and Verily. </t>
        </r>
      </text>
    </comment>
    <comment ref="DA261" authorId="0" shapeId="0" xr:uid="{00000000-0006-0000-0300-00001E000000}">
      <text>
        <r>
          <rPr>
            <b/>
            <sz val="9"/>
            <color indexed="81"/>
            <rFont val="Tahoma"/>
            <family val="2"/>
          </rPr>
          <t xml:space="preserve">@1Q18: Restated to include Nest in Google Other
@4Q: </t>
        </r>
        <r>
          <rPr>
            <sz val="9"/>
            <color indexed="81"/>
            <rFont val="Tahoma"/>
            <family val="2"/>
          </rPr>
          <t>Other Bets revenues were $1.2 billion, up 49% versus 2016, primarily generated by Nest, Fiber and Verily.
We're pleased with our progress across Other Bets. A couple of updates. Nest turned in a strong holiday performance in the fourth quarter across an expanded family of products in energy, safety and security. In 2017, Nest products also became available in 12 new countries, more than double the number in 2016.
Verily wrapped up its first field study, seeking to reduce the transmission of diseases through mosquitoes with positive results, and just last week, Onduo, a joint venture between Verily and Sanofi, began a limited commercial launch of its diabetes management platform.
At Waymo, progress is accelerating. For example, Waymo surpassed 4 million miles of driving in the real world, taking only six months to achieve the last million miles compared to about 18 months for our first million miles. And in November, Waymo announced that it is the only company to have a fleet of driverless cars on public roads that are completely autonomous without anyone in the driver seat</t>
        </r>
      </text>
    </comment>
    <comment ref="DC261" authorId="0" shapeId="0" xr:uid="{00000000-0006-0000-0300-00001F000000}">
      <text>
        <r>
          <rPr>
            <b/>
            <sz val="9"/>
            <color indexed="81"/>
            <rFont val="Tahoma"/>
            <family val="2"/>
          </rPr>
          <t xml:space="preserve">@1Q: </t>
        </r>
        <r>
          <rPr>
            <sz val="9"/>
            <color indexed="81"/>
            <rFont val="Tahoma"/>
            <family val="2"/>
          </rPr>
          <t>Other Bets revenues were $150 million, primarily generated by Fiber and Verily. As a reminder, Nest results are now reported as part of the Google segment with revenues reflected in the Google other revenues line.
We're pleased with our progress across Other Bets. A couple of updates. At Waymo, we have achieved five million miles of driving on city streets, adding the latest million in just three months. We also announced the long-term partnership with Jaguar Land Rover for their fully-electric I-PACE vehicles. Verily is seeing good progress with Onduo, its joint venture with Sanofi. The company has made its diabetes management platform commercially available in three states with Blue Cross Blue Shield of Arkansas and South Carolina, and Anthem's health plan in Georgia.</t>
        </r>
      </text>
    </comment>
    <comment ref="DD261" authorId="0" shapeId="0" xr:uid="{00000000-0006-0000-0300-000020000000}">
      <text>
        <r>
          <rPr>
            <b/>
            <sz val="9"/>
            <color indexed="81"/>
            <rFont val="Tahoma"/>
            <family val="2"/>
          </rPr>
          <t xml:space="preserve">@2Q: 
</t>
        </r>
        <r>
          <rPr>
            <sz val="9"/>
            <color indexed="81"/>
            <rFont val="Tahoma"/>
            <family val="2"/>
          </rPr>
          <t>Other Bets revenues were $145 million, primarily generated by Fiber and Verily.
We’re pleased with our progress across Other Bets. A couple of updates: Waymo expanded its partnership with Fiat Chrysler, with the option to add up to 62,000 Chrysler Pacifica minivans to its self-driving fleet. And last week, Waymo announced that it has driven more than 8 million fully autonomous miles, with most of those on city streets. A couple of weeks ago, X announced that Loon and Wing have graduated to become independent companies under Alphabet. Graduation from X signals that these companies have reached certain technical and business milestones and that their focus is shifting toward commercialization. And just last week, Loon indicated that it is partnering with Telkom Kenya to launch commercial service in regions of Kenya by early 2019.</t>
        </r>
      </text>
    </comment>
    <comment ref="DE261" authorId="0" shapeId="0" xr:uid="{00000000-0006-0000-0300-000021000000}">
      <text>
        <r>
          <rPr>
            <b/>
            <sz val="9"/>
            <color indexed="81"/>
            <rFont val="Tahoma"/>
            <family val="2"/>
          </rPr>
          <t>@3Q18:</t>
        </r>
        <r>
          <rPr>
            <sz val="9"/>
            <color indexed="81"/>
            <rFont val="Tahoma"/>
            <family val="2"/>
          </rPr>
          <t xml:space="preserve"> primarily generated by Fiber and Verily
Other Bet updates for the quarter, with Waymo in the third quarter, we've built on our Early Rider Program both expanding the group of participants and beginning to test pricing models.
At Verily, the team continues to execute on its various partnerships with leading pharmaceutical companies, consistent with its mission to move medicine from reactive to proactive. Recently launched efforts included joint venture with ResMed to focus on sleeping disorders and a research collaboration with Gilead. 
Finally, you can see in our results the benefit and quality of our investment teams GV and CapitalG which were also within Other Bets. Within the $1.4 billion of reported gains and equity securities in OI&amp;E, approximately $400 million was realized in Q3. There will be more detail on these investment activities in the 10-Q.
Other Bets remains a portfolio of earlier stage businesses focused on addressing sizable markets. We are moving toward early stages of commercialization, while continuing to calibrate the pace of investment against achievement of key milestones.</t>
        </r>
      </text>
    </comment>
    <comment ref="CW272" authorId="0" shapeId="0" xr:uid="{00000000-0006-0000-0300-000022000000}">
      <text>
        <r>
          <rPr>
            <b/>
            <sz val="9"/>
            <color indexed="81"/>
            <rFont val="Tahoma"/>
            <family val="2"/>
          </rPr>
          <t xml:space="preserve">@4Q: </t>
        </r>
        <r>
          <rPr>
            <sz val="9"/>
            <color indexed="81"/>
            <rFont val="Tahoma"/>
            <family val="2"/>
          </rPr>
          <t>Other Bets accrued CapEx was $1.4 billion for the full year 2016, up 63% over 2015.</t>
        </r>
      </text>
    </comment>
    <comment ref="CZ272" authorId="0" shapeId="0" xr:uid="{00000000-0006-0000-0300-000023000000}">
      <text>
        <r>
          <rPr>
            <b/>
            <sz val="9"/>
            <color indexed="81"/>
            <rFont val="Tahoma"/>
            <family val="2"/>
          </rPr>
          <t xml:space="preserve">@3Q: </t>
        </r>
        <r>
          <rPr>
            <sz val="9"/>
            <color indexed="81"/>
            <rFont val="Tahoma"/>
            <family val="2"/>
          </rPr>
          <t>Other Bets accrued CapEx was $77 million primarily reflecting a reduced investment in Fiber, due to the pause in expansion we announced in 3Q 2016.</t>
        </r>
      </text>
    </comment>
    <comment ref="DK303" authorId="0" shapeId="0" xr:uid="{00000000-0006-0000-0300-000024000000}">
      <text>
        <r>
          <rPr>
            <b/>
            <sz val="9"/>
            <color indexed="81"/>
            <rFont val="Tahoma"/>
            <family val="2"/>
          </rPr>
          <t xml:space="preserve">@4Q19: </t>
        </r>
        <r>
          <rPr>
            <sz val="9"/>
            <color indexed="81"/>
            <rFont val="Tahoma"/>
            <family val="2"/>
          </rPr>
          <t>Reconciling items are primarily related to corporate administrative and other costs that are not allocated to individual segments.</t>
        </r>
      </text>
    </comment>
    <comment ref="DD304" authorId="0" shapeId="0" xr:uid="{00000000-0006-0000-0300-000025000000}">
      <text>
        <r>
          <rPr>
            <b/>
            <sz val="9"/>
            <color indexed="81"/>
            <rFont val="Tahoma"/>
            <family val="2"/>
          </rPr>
          <t>@2Q18: EC fine</t>
        </r>
      </text>
    </comment>
    <comment ref="DH304" authorId="0" shapeId="0" xr:uid="{00000000-0006-0000-0300-000026000000}">
      <text>
        <r>
          <rPr>
            <b/>
            <sz val="9"/>
            <color indexed="81"/>
            <rFont val="Tahoma"/>
            <family val="2"/>
          </rPr>
          <t>@1Q19 EC fine</t>
        </r>
      </text>
    </comment>
    <comment ref="DJ304" authorId="0" shapeId="0" xr:uid="{00000000-0006-0000-0300-000027000000}">
      <text>
        <r>
          <rPr>
            <b/>
            <sz val="9"/>
            <color indexed="81"/>
            <rFont val="Tahoma"/>
            <family val="2"/>
          </rPr>
          <t xml:space="preserve">@3Q19: </t>
        </r>
        <r>
          <rPr>
            <sz val="9"/>
            <color indexed="81"/>
            <rFont val="Tahoma"/>
            <family val="2"/>
          </rPr>
          <t>Reconciling items for the three months ended September 30, 2019 include a $554 million charge from a legal settlement.
From call: "The increase in G&amp;A year-over-year was primarily due to a $554 million charge from our previously announced legal settlement in France."</t>
        </r>
      </text>
    </comment>
    <comment ref="DK304" authorId="0" shapeId="0" xr:uid="{00000000-0006-0000-0300-000028000000}">
      <text>
        <r>
          <rPr>
            <b/>
            <sz val="9"/>
            <color indexed="81"/>
            <rFont val="Tahoma"/>
            <family val="2"/>
          </rPr>
          <t xml:space="preserve">@4Q19: </t>
        </r>
        <r>
          <rPr>
            <sz val="9"/>
            <color indexed="81"/>
            <rFont val="Tahoma"/>
            <family val="2"/>
          </rPr>
          <t xml:space="preserve">Certain items have been reclassified for the prior period to conform with current period presentation: (i) hedging gains (losses) were previously included in Google revenues, and (ii) performance fees previously included in reconciling items were reclassified from general and administrative expenses to OI&amp;E.
Reconciling items are generally comprised of corporate administrative costs, hedging gains (losses) and other miscellaneous items that are not allocated to individual segments.
</t>
        </r>
      </text>
    </comment>
    <comment ref="DL304" authorId="0" shapeId="0" xr:uid="{00000000-0006-0000-0300-000029000000}">
      <text>
        <r>
          <rPr>
            <b/>
            <sz val="9"/>
            <color indexed="81"/>
            <rFont val="Tahoma"/>
            <family val="2"/>
          </rPr>
          <t xml:space="preserve">@2Q18: </t>
        </r>
        <r>
          <rPr>
            <sz val="9"/>
            <color indexed="81"/>
            <rFont val="Tahoma"/>
            <family val="2"/>
          </rPr>
          <t>excl. Accrued performance fees in 1Q &amp; 2Q, and EC Android fine adjustment</t>
        </r>
      </text>
    </comment>
    <comment ref="A305" authorId="1" shapeId="0" xr:uid="{00000000-0006-0000-0300-00002A000000}">
      <text>
        <r>
          <rPr>
            <sz val="9"/>
            <color indexed="81"/>
            <rFont val="Tahoma"/>
            <family val="2"/>
          </rPr>
          <t>Reconciling items are related to timing differences of payments as segment capital expenditures are on accrual basis while total capital expenditures shown on Consolidated Statements of Cash Flow are on cash basis and other miscellaneous differences. 
Reconciling  items include items related to Motorola Mobile and Motorola Home for fiscal years 2013 and 2014</t>
        </r>
      </text>
    </comment>
    <comment ref="DK305" authorId="0" shapeId="0" xr:uid="{00000000-0006-0000-0300-00002B000000}">
      <text>
        <r>
          <rPr>
            <b/>
            <sz val="9"/>
            <color indexed="81"/>
            <rFont val="Tahoma"/>
            <family val="2"/>
          </rPr>
          <t xml:space="preserve">@4Q19: </t>
        </r>
        <r>
          <rPr>
            <sz val="9"/>
            <color indexed="81"/>
            <rFont val="Tahoma"/>
            <family val="2"/>
          </rPr>
          <t>Reconciling items are related to timing differences of payments, as segment capital expenditures are on an accrual basis while total capital expenditures shown on the Consolidated Statements of Cash Flows are on a cash basis, and other miscellaneous differences.</t>
        </r>
      </text>
    </comment>
    <comment ref="A306" authorId="1" shapeId="0" xr:uid="{00000000-0006-0000-0300-00002C000000}">
      <text>
        <r>
          <rPr>
            <sz val="9"/>
            <color indexed="81"/>
            <rFont val="Tahoma"/>
            <family val="2"/>
          </rPr>
          <t>Reconciling items are primarily related to corporate administrative costs and other miscellaneous items that are not allocated to individual segments.</t>
        </r>
      </text>
    </comment>
    <comment ref="DK306" authorId="0" shapeId="0" xr:uid="{00000000-0006-0000-0300-00002D000000}">
      <text>
        <r>
          <rPr>
            <b/>
            <sz val="9"/>
            <color indexed="81"/>
            <rFont val="Tahoma"/>
            <family val="2"/>
          </rPr>
          <t xml:space="preserve">@4Q19: </t>
        </r>
        <r>
          <rPr>
            <sz val="9"/>
            <color indexed="81"/>
            <rFont val="Tahoma"/>
            <family val="2"/>
          </rPr>
          <t xml:space="preserve">Reconciling items are primarily related to corporate administrative and other costs that are not allocated to individual segments.
</t>
        </r>
      </text>
    </comment>
    <comment ref="A312" authorId="1" shapeId="0" xr:uid="{00000000-0006-0000-0300-00002E000000}">
      <text>
        <r>
          <rPr>
            <b/>
            <sz val="9"/>
            <color indexed="81"/>
            <rFont val="Tahoma"/>
            <family val="2"/>
          </rPr>
          <t xml:space="preserve">
‘Google’ segment:
Search, 
Ads, 
Commerce, 
Maps, 
YouTube, 
Apps, 
Cloud, 
Android, 
Chrome, 
Google Play 
hardware </t>
        </r>
        <r>
          <rPr>
            <sz val="9"/>
            <color indexed="81"/>
            <rFont val="Tahoma"/>
            <family val="2"/>
          </rPr>
          <t xml:space="preserve">(Chromecast, Chromebooks and Nexus) </t>
        </r>
        <r>
          <rPr>
            <b/>
            <sz val="9"/>
            <color indexed="81"/>
            <rFont val="Tahoma"/>
            <family val="2"/>
          </rPr>
          <t xml:space="preserve">
technical infrastructure and newer efforts </t>
        </r>
        <r>
          <rPr>
            <sz val="9"/>
            <color indexed="81"/>
            <rFont val="Tahoma"/>
            <family val="2"/>
          </rPr>
          <t xml:space="preserve">(Virtual Reality). </t>
        </r>
      </text>
    </comment>
    <comment ref="CS325" authorId="1" shapeId="0" xr:uid="{00000000-0006-0000-0300-00002F000000}">
      <text>
        <r>
          <rPr>
            <b/>
            <sz val="9"/>
            <color indexed="81"/>
            <rFont val="Tahoma"/>
            <family val="2"/>
          </rPr>
          <t xml:space="preserve">2/1/16: 
</t>
        </r>
        <r>
          <rPr>
            <sz val="9"/>
            <color indexed="81"/>
            <rFont val="Tahoma"/>
            <family val="2"/>
          </rPr>
          <t>As we have indicated previously, the vast majority of CapEx supports Google. We view our computing capacity as a core competence and will continue to invest. Given our advantages in providing efficient, secure, computing to support growth in both our consumer products and services globally as well as our Cloud and apps business. And other bets, the majority of CapEx supports the ongoing deployment of Google Fiber. We are still operating in only a few cities that have announced plans for additional cities, which we expect will be reflected in 2016 CapEx</t>
        </r>
        <r>
          <rPr>
            <b/>
            <sz val="9"/>
            <color indexed="81"/>
            <rFont val="Tahoma"/>
            <family val="2"/>
          </rPr>
          <t xml:space="preserve">
10/22/15:
</t>
        </r>
        <r>
          <rPr>
            <sz val="9"/>
            <color indexed="81"/>
            <rFont val="Tahoma"/>
            <family val="2"/>
          </rPr>
          <t>as to CapEx, the vast majority to date, of course, has been to support Google, where we continue to invest, given our exciting opportunities globally. At the same time, CapEx and other bets is expected to increase through next year as we continue to execute on the growth agenda there.  In particular, in access and energy which contains our fiber business, among other efforts</t>
        </r>
      </text>
    </comment>
    <comment ref="CT325" authorId="1" shapeId="0" xr:uid="{00000000-0006-0000-0300-000030000000}">
      <text>
        <r>
          <rPr>
            <b/>
            <sz val="9"/>
            <color indexed="81"/>
            <rFont val="Tahoma"/>
            <family val="2"/>
          </rPr>
          <t xml:space="preserve">2/1/16: 
</t>
        </r>
        <r>
          <rPr>
            <sz val="9"/>
            <color indexed="81"/>
            <rFont val="Tahoma"/>
            <family val="2"/>
          </rPr>
          <t>As we have indicated previously, the vast majority of CapEx supports Google. We view our computing capacity as a core competence and will continue to invest. Given our advantages in providing efficient, secure, computing to support growth in both our consumer products and services globally as well as our Cloud and apps business. And other bets, the majority of CapEx supports the ongoing deployment of Google Fiber. We are still operating in only a few cities that have announced plans for additional cities, which we expect will be reflected in 2016 CapEx</t>
        </r>
        <r>
          <rPr>
            <b/>
            <sz val="9"/>
            <color indexed="81"/>
            <rFont val="Tahoma"/>
            <family val="2"/>
          </rPr>
          <t xml:space="preserve">
10/22/15:
</t>
        </r>
        <r>
          <rPr>
            <sz val="9"/>
            <color indexed="81"/>
            <rFont val="Tahoma"/>
            <family val="2"/>
          </rPr>
          <t>as to CapEx, the vast majority to date, of course, has been to support Google, where we continue to invest, given our exciting opportunities globally. At the same time, CapEx and other bets is expected to increase through next year as we continue to execute on the growth agenda there.  In particular, in access and energy which contains our fiber business, among other efforts</t>
        </r>
      </text>
    </comment>
    <comment ref="CU325" authorId="1" shapeId="0" xr:uid="{00000000-0006-0000-0300-000031000000}">
      <text>
        <r>
          <rPr>
            <b/>
            <sz val="9"/>
            <color indexed="81"/>
            <rFont val="Tahoma"/>
            <family val="2"/>
          </rPr>
          <t xml:space="preserve">2/1/16: 
</t>
        </r>
        <r>
          <rPr>
            <sz val="9"/>
            <color indexed="81"/>
            <rFont val="Tahoma"/>
            <family val="2"/>
          </rPr>
          <t>As we have indicated previously, the vast majority of CapEx supports Google. We view our computing capacity as a core competence and will continue to invest. Given our advantages in providing efficient, secure, computing to support growth in both our consumer products and services globally as well as our Cloud and apps business. And other bets, the majority of CapEx supports the ongoing deployment of Google Fiber. We are still operating in only a few cities that have announced plans for additional cities, which we expect will be reflected in 2016 CapEx</t>
        </r>
        <r>
          <rPr>
            <b/>
            <sz val="9"/>
            <color indexed="81"/>
            <rFont val="Tahoma"/>
            <family val="2"/>
          </rPr>
          <t xml:space="preserve">
10/22/15:
</t>
        </r>
        <r>
          <rPr>
            <sz val="9"/>
            <color indexed="81"/>
            <rFont val="Tahoma"/>
            <family val="2"/>
          </rPr>
          <t>as to CapEx, the vast majority to date, of course, has been to support Google, where we continue to invest, given our exciting opportunities globally. At the same time, CapEx and other bets is expected to increase through next year as we continue to execute on the growth agenda there.  In particular, in access and energy which contains our fiber business, among other efforts</t>
        </r>
      </text>
    </comment>
    <comment ref="CV325" authorId="1" shapeId="0" xr:uid="{00000000-0006-0000-0300-000032000000}">
      <text>
        <r>
          <rPr>
            <b/>
            <sz val="9"/>
            <color indexed="81"/>
            <rFont val="Tahoma"/>
            <family val="2"/>
          </rPr>
          <t xml:space="preserve">2/1/16: 
</t>
        </r>
        <r>
          <rPr>
            <sz val="9"/>
            <color indexed="81"/>
            <rFont val="Tahoma"/>
            <family val="2"/>
          </rPr>
          <t>As we have indicated previously, the vast majority of CapEx supports Google. We view our computing capacity as a core competence and will continue to invest. Given our advantages in providing efficient, secure, computing to support growth in both our consumer products and services globally as well as our Cloud and apps business. And other bets, the majority of CapEx supports the ongoing deployment of Google Fiber. We are still operating in only a few cities that have announced plans for additional cities, which we expect will be reflected in 2016 CapEx</t>
        </r>
        <r>
          <rPr>
            <b/>
            <sz val="9"/>
            <color indexed="81"/>
            <rFont val="Tahoma"/>
            <family val="2"/>
          </rPr>
          <t xml:space="preserve">
10/22/15:
</t>
        </r>
        <r>
          <rPr>
            <sz val="9"/>
            <color indexed="81"/>
            <rFont val="Tahoma"/>
            <family val="2"/>
          </rPr>
          <t>as to CapEx, the vast majority to date, of course, has been to support Google, where we continue to invest, given our exciting opportunities globally. At the same time, CapEx and other bets is expected to increase through next year as we continue to execute on the growth agenda there.  In particular, in access and energy which contains our fiber business, among other efforts</t>
        </r>
      </text>
    </comment>
    <comment ref="CW325" authorId="1" shapeId="0" xr:uid="{00000000-0006-0000-0300-000033000000}">
      <text>
        <r>
          <rPr>
            <b/>
            <sz val="9"/>
            <color indexed="81"/>
            <rFont val="Tahoma"/>
            <family val="2"/>
          </rPr>
          <t xml:space="preserve">2/1/16: 
</t>
        </r>
        <r>
          <rPr>
            <sz val="9"/>
            <color indexed="81"/>
            <rFont val="Tahoma"/>
            <family val="2"/>
          </rPr>
          <t>As we have indicated previously, the vast majority of CapEx supports Google. We view our computing capacity as a core competence and will continue to invest. Given our advantages in providing efficient, secure, computing to support growth in both our consumer products and services globally as well as our Cloud and apps business. And other bets, the majority of CapEx supports the ongoing deployment of Google Fiber. We are still operating in only a few cities that have announced plans for additional cities, which we expect will be reflected in 2016 CapEx</t>
        </r>
        <r>
          <rPr>
            <b/>
            <sz val="9"/>
            <color indexed="81"/>
            <rFont val="Tahoma"/>
            <family val="2"/>
          </rPr>
          <t xml:space="preserve">
10/22/15:
</t>
        </r>
        <r>
          <rPr>
            <sz val="9"/>
            <color indexed="81"/>
            <rFont val="Tahoma"/>
            <family val="2"/>
          </rPr>
          <t>as to CapEx, the vast majority to date, of course, has been to support Google, where we continue to invest, given our exciting opportunities globally. At the same time, CapEx and other bets is expected to increase through next year as we continue to execute on the growth agenda there.  In particular, in access and energy which contains our fiber business, among other efforts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Lee, Dae K</author>
    <author>Bo Nam</author>
    <author>Kaizad Gotla</author>
    <author>Kluger, Diana R</author>
    <author>Diana Kluger</author>
  </authors>
  <commentList>
    <comment ref="CT11" authorId="0" shapeId="0" xr:uid="{00000000-0006-0000-0400-000001000000}">
      <text>
        <r>
          <rPr>
            <b/>
            <sz val="9"/>
            <color indexed="81"/>
            <rFont val="Tahoma"/>
            <family val="2"/>
          </rPr>
          <t>@1Q21:</t>
        </r>
        <r>
          <rPr>
            <sz val="9"/>
            <color indexed="81"/>
            <rFont val="Tahoma"/>
            <family val="2"/>
          </rPr>
          <t xml:space="preserve"> In January 2021, we completed an assessment of the useful lives of our servers and network equipment and adjusted the estimated useful life of our servers from three years to four years and the estimated useful life of certain network equipment from three years to five years. This change in accounting estimate was effective beginning in fiscal year 2021 and the effect for the three months ended March 31, 2021, was a reduction in depreciation expense of </t>
        </r>
        <r>
          <rPr>
            <b/>
            <sz val="9"/>
            <color indexed="81"/>
            <rFont val="Tahoma"/>
            <family val="2"/>
          </rPr>
          <t>$835 million</t>
        </r>
        <r>
          <rPr>
            <sz val="9"/>
            <color indexed="81"/>
            <rFont val="Tahoma"/>
            <family val="2"/>
          </rPr>
          <t xml:space="preserve"> and an increase in net income of $650 million, or $0.97 per basic and $0.95 per diluted share.</t>
        </r>
      </text>
    </comment>
    <comment ref="AY17" authorId="1" shapeId="0" xr:uid="{00000000-0006-0000-0400-000002000000}">
      <text>
        <r>
          <rPr>
            <b/>
            <sz val="8"/>
            <color indexed="81"/>
            <rFont val="Tahoma"/>
            <family val="2"/>
          </rPr>
          <t>Bo Nam:</t>
        </r>
        <r>
          <rPr>
            <sz val="8"/>
            <color indexed="81"/>
            <rFont val="Tahoma"/>
            <family val="2"/>
          </rPr>
          <t xml:space="preserve">
Incluldes 110M in Impairment of Equity Investments</t>
        </r>
      </text>
    </comment>
    <comment ref="BZ17" authorId="0" shapeId="0" xr:uid="{00000000-0006-0000-0400-000003000000}">
      <text>
        <r>
          <rPr>
            <b/>
            <sz val="9"/>
            <color indexed="81"/>
            <rFont val="Tahoma"/>
            <family val="2"/>
          </rPr>
          <t>@1Q18:</t>
        </r>
        <r>
          <rPr>
            <sz val="9"/>
            <color indexed="81"/>
            <rFont val="Tahoma"/>
            <family val="2"/>
          </rPr>
          <t xml:space="preserve"> Recategorized @1Q18… overall unchanged</t>
        </r>
      </text>
    </comment>
    <comment ref="AT23" authorId="2" shapeId="0" xr:uid="{00000000-0006-0000-0400-000004000000}">
      <text>
        <r>
          <rPr>
            <b/>
            <sz val="8"/>
            <color indexed="81"/>
            <rFont val="Tahoma"/>
            <family val="2"/>
          </rPr>
          <t>Kaizad Gotla:</t>
        </r>
        <r>
          <rPr>
            <sz val="8"/>
            <color indexed="81"/>
            <rFont val="Tahoma"/>
            <family val="2"/>
          </rPr>
          <t xml:space="preserve">
purchased 111 8th Av bldg in nyc</t>
        </r>
      </text>
    </comment>
    <comment ref="CE23" authorId="0" shapeId="0" xr:uid="{00000000-0006-0000-0400-000005000000}">
      <text>
        <r>
          <rPr>
            <b/>
            <sz val="9"/>
            <color indexed="81"/>
            <rFont val="Tahoma"/>
            <family val="2"/>
          </rPr>
          <t xml:space="preserve">@1Q18: </t>
        </r>
        <r>
          <rPr>
            <sz val="9"/>
            <color indexed="81"/>
            <rFont val="Tahoma"/>
            <family val="2"/>
          </rPr>
          <t>Includes $2.4B of Chelsea acquisition...</t>
        </r>
      </text>
    </comment>
    <comment ref="CY23" authorId="0" shapeId="0" xr:uid="{35AC6030-196F-420D-A135-8611AAEAF8B0}">
      <text>
        <r>
          <rPr>
            <b/>
            <sz val="9"/>
            <color indexed="81"/>
            <rFont val="Tahoma"/>
            <family val="2"/>
          </rPr>
          <t xml:space="preserve">1Q22: </t>
        </r>
        <r>
          <rPr>
            <sz val="9"/>
            <color indexed="81"/>
            <rFont val="Tahoma"/>
            <family val="2"/>
          </rPr>
          <t>Includes ~$4B in office building acquisitions</t>
        </r>
      </text>
    </comment>
    <comment ref="AW28" authorId="2" shapeId="0" xr:uid="{00000000-0006-0000-0400-000006000000}">
      <text>
        <r>
          <rPr>
            <b/>
            <sz val="8"/>
            <color indexed="81"/>
            <rFont val="Tahoma"/>
            <family val="2"/>
          </rPr>
          <t>Kaizad Gotla:</t>
        </r>
        <r>
          <rPr>
            <sz val="8"/>
            <color indexed="81"/>
            <rFont val="Tahoma"/>
            <family val="2"/>
          </rPr>
          <t xml:space="preserve">
ITA for 700MM</t>
        </r>
      </text>
    </comment>
    <comment ref="CT28" authorId="0" shapeId="0" xr:uid="{00000000-0006-0000-0400-000007000000}">
      <text>
        <r>
          <rPr>
            <b/>
            <sz val="9"/>
            <color indexed="81"/>
            <rFont val="Tahoma"/>
            <family val="2"/>
          </rPr>
          <t>Fitbit acquisition</t>
        </r>
      </text>
    </comment>
    <comment ref="DA28" authorId="0" shapeId="0" xr:uid="{3EB90EF4-D608-4E41-92A4-9199440DE233}">
      <text>
        <r>
          <rPr>
            <sz val="9"/>
            <color indexed="81"/>
            <rFont val="Tahoma"/>
            <family val="2"/>
          </rPr>
          <t>MNDT closed on 9/12/22</t>
        </r>
      </text>
    </comment>
    <comment ref="BG29" authorId="1" shapeId="0" xr:uid="{00000000-0006-0000-0400-000008000000}">
      <text>
        <r>
          <rPr>
            <b/>
            <sz val="9"/>
            <color indexed="81"/>
            <rFont val="Tahoma"/>
            <family val="2"/>
          </rPr>
          <t>Bo Nam:</t>
        </r>
        <r>
          <rPr>
            <sz val="9"/>
            <color indexed="81"/>
            <rFont val="Tahoma"/>
            <family val="2"/>
          </rPr>
          <t xml:space="preserve">
Sale of Motorola Home</t>
        </r>
      </text>
    </comment>
    <comment ref="BL29" authorId="1" shapeId="0" xr:uid="{00000000-0006-0000-0400-000009000000}">
      <text>
        <r>
          <rPr>
            <b/>
            <sz val="9"/>
            <color indexed="81"/>
            <rFont val="Tahoma"/>
            <family val="2"/>
          </rPr>
          <t>Bo Nam:</t>
        </r>
        <r>
          <rPr>
            <sz val="9"/>
            <color indexed="81"/>
            <rFont val="Tahoma"/>
            <family val="2"/>
          </rPr>
          <t xml:space="preserve">
Cash portion of Motorola sale</t>
        </r>
      </text>
    </comment>
    <comment ref="AW37" authorId="2" shapeId="0" xr:uid="{00000000-0006-0000-0400-00000A000000}">
      <text>
        <r>
          <rPr>
            <b/>
            <sz val="8"/>
            <color indexed="81"/>
            <rFont val="Tahoma"/>
            <family val="2"/>
          </rPr>
          <t>Kaizad Gotla:</t>
        </r>
        <r>
          <rPr>
            <sz val="8"/>
            <color indexed="81"/>
            <rFont val="Tahoma"/>
            <family val="2"/>
          </rPr>
          <t xml:space="preserve">
$1B @ 1.25% mtr: 05/19/14
$1B @ 2.125% mtr: 05/19/16
$1B @ 3.625% mtr: 05/19/21</t>
        </r>
      </text>
    </comment>
    <comment ref="BS39" authorId="3" shapeId="0" xr:uid="{00000000-0006-0000-0400-00000B000000}">
      <text>
        <r>
          <rPr>
            <b/>
            <sz val="9"/>
            <color indexed="81"/>
            <rFont val="Tahoma"/>
            <family val="2"/>
          </rPr>
          <t xml:space="preserve">10/23/15: </t>
        </r>
        <r>
          <rPr>
            <sz val="9"/>
            <color indexed="81"/>
            <rFont val="Tahoma"/>
            <family val="2"/>
          </rPr>
          <t>The board of directors of Alphabet authorized the company to repurchase up to $5,099,019,513.59 of its Class C capital stock, commencing in the fourth quarter of 2015. The repurchase is expected to be executed from time to time, subject to general business and market conditions and other investment opportunities, through open market purchases or privately negotiated transactions, including through Rule 10b5-1 plans</t>
        </r>
      </text>
    </comment>
    <comment ref="BU39" authorId="3" shapeId="0" xr:uid="{00000000-0006-0000-0400-00000C000000}">
      <text>
        <r>
          <rPr>
            <b/>
            <sz val="9"/>
            <color indexed="81"/>
            <rFont val="Tahoma"/>
            <family val="2"/>
          </rPr>
          <t xml:space="preserve">2/1/16: </t>
        </r>
        <r>
          <rPr>
            <sz val="9"/>
            <color indexed="81"/>
            <rFont val="Tahoma"/>
            <family val="2"/>
          </rPr>
          <t xml:space="preserve">During the fourth quarter of 2015, we repurchased 2.4 million shares of Alphabet stock for an aggregate amount of $1.8 billion. In January 2016, the board of directors of Alphabet authorized the company to repurchase an additional 514 thousand shares, with a total remaining authorization for future purchases of approximately $3.7 billion. The authorization has no expiration date.
</t>
        </r>
        <r>
          <rPr>
            <b/>
            <sz val="9"/>
            <color indexed="81"/>
            <rFont val="Tahoma"/>
            <family val="2"/>
          </rPr>
          <t xml:space="preserve">
10/23/15: </t>
        </r>
        <r>
          <rPr>
            <sz val="9"/>
            <color indexed="81"/>
            <rFont val="Tahoma"/>
            <family val="2"/>
          </rPr>
          <t>The board of directors of Alphabet authorized the company to repurchase up to $5,099,019,513.59 of its Class C capital stock, commencing in the fourth quarter of 2015. The repurchase is expected to be executed from time to time, subject to general business and market conditions and other investment opportunities, through open market purchases or privately negotiated transactions, including through Rule 10b5-1 plans</t>
        </r>
      </text>
    </comment>
    <comment ref="BV39" authorId="3" shapeId="0" xr:uid="{00000000-0006-0000-0400-00000D000000}">
      <text>
        <r>
          <rPr>
            <b/>
            <sz val="8"/>
            <color indexed="81"/>
            <rFont val="Tahoma"/>
            <family val="2"/>
          </rPr>
          <t xml:space="preserve">7/28/16: </t>
        </r>
        <r>
          <rPr>
            <sz val="8"/>
            <color indexed="81"/>
            <rFont val="Tahoma"/>
            <family val="2"/>
          </rPr>
          <t>In Q2 2016, we repurchased 2.0 million shares of Class C capital stock for an aggregate amount of $1.4 billion. Cash paid for repurchases totaled $1.6 billion during the quarter, which includes repurchases from Q1 2016 settled in Q2 2016. As of June 30, 2016, we completed all authorized share repurchases under our repurchase program.</t>
        </r>
        <r>
          <rPr>
            <b/>
            <sz val="8"/>
            <color indexed="81"/>
            <rFont val="Tahoma"/>
            <family val="2"/>
          </rPr>
          <t xml:space="preserve">
2/1/16: </t>
        </r>
        <r>
          <rPr>
            <sz val="8"/>
            <color indexed="81"/>
            <rFont val="Tahoma"/>
            <family val="2"/>
          </rPr>
          <t xml:space="preserve">During the fourth quarter of 2015, we repurchased 2.4 million shares of Alphabet stock for an aggregate amount of $1.8 billion. In January 2016, the board of directors of Alphabet authorized the company to repurchase an additional 514 thousand shares, with a total remaining authorization for future purchases of approximately $3.7 billion. The authorization has no expiration date.
</t>
        </r>
        <r>
          <rPr>
            <b/>
            <sz val="8"/>
            <color indexed="81"/>
            <rFont val="Tahoma"/>
            <family val="2"/>
          </rPr>
          <t xml:space="preserve">
10/23/15: </t>
        </r>
        <r>
          <rPr>
            <sz val="8"/>
            <color indexed="81"/>
            <rFont val="Tahoma"/>
            <family val="2"/>
          </rPr>
          <t>The board of directors of Alphabet authorized the company to repurchase up to $5,099,019,513.59 of its Class C capital stock, commencing in the fourth quarter of 2015. The repurchase is expected to be executed from time to time, subject to general business and market conditions and other investment opportunities, through open market purchases or privately negotiated transactions, including through Rule 10b5-1 plans</t>
        </r>
      </text>
    </comment>
    <comment ref="BW39" authorId="3" shapeId="0" xr:uid="{00000000-0006-0000-0400-00000E000000}">
      <text>
        <r>
          <rPr>
            <b/>
            <sz val="9"/>
            <color indexed="81"/>
            <rFont val="Tahoma"/>
            <family val="2"/>
          </rPr>
          <t xml:space="preserve">2/1/16: </t>
        </r>
        <r>
          <rPr>
            <sz val="9"/>
            <color indexed="81"/>
            <rFont val="Tahoma"/>
            <family val="2"/>
          </rPr>
          <t xml:space="preserve">During the fourth quarter of 2015, we repurchased 2.4 million shares of Alphabet stock for an aggregate amount of $1.8 billion. In January 2016, the board of directors of Alphabet authorized the company to repurchase an additional 514 thousand shares, with a total remaining authorization for future purchases of approximately $3.7 billion. The authorization has no expiration date.
</t>
        </r>
        <r>
          <rPr>
            <b/>
            <sz val="9"/>
            <color indexed="81"/>
            <rFont val="Tahoma"/>
            <family val="2"/>
          </rPr>
          <t xml:space="preserve">
10/23/15: </t>
        </r>
        <r>
          <rPr>
            <sz val="9"/>
            <color indexed="81"/>
            <rFont val="Tahoma"/>
            <family val="2"/>
          </rPr>
          <t>The board of directors of Alphabet authorized the company to repurchase up to $5,099,019,513.59 of its Class C capital stock, commencing in the fourth quarter of 2015. The repurchase is expected to be executed from time to time, subject to general business and market conditions and other investment opportunities, through open market purchases or privately negotiated transactions, including through Rule 10b5-1 plans</t>
        </r>
      </text>
    </comment>
    <comment ref="BX39" authorId="0" shapeId="0" xr:uid="{00000000-0006-0000-0400-00000F000000}">
      <text>
        <r>
          <rPr>
            <b/>
            <sz val="9"/>
            <color indexed="81"/>
            <rFont val="Tahoma"/>
            <family val="2"/>
          </rPr>
          <t>@3Q: I</t>
        </r>
        <r>
          <rPr>
            <sz val="9"/>
            <color indexed="81"/>
            <rFont val="Tahoma"/>
            <family val="2"/>
          </rPr>
          <t>n October 2016, the board of directors of Alphabet authorized the company to repurchase up to $7,019,340,976.83 of its Class C capital stock. The repurchase is expected to be executed from time to time, subject to general business and market conditions and other investment opportunities, through open market purchases or privately negotiated transactions, including through Rule 10b5-1 plans.</t>
        </r>
      </text>
    </comment>
    <comment ref="BZ39" authorId="0" shapeId="0" xr:uid="{00000000-0006-0000-0400-000010000000}">
      <text>
        <r>
          <rPr>
            <b/>
            <sz val="9"/>
            <color indexed="81"/>
            <rFont val="Tahoma"/>
            <family val="2"/>
          </rPr>
          <t xml:space="preserve">@3Q: </t>
        </r>
        <r>
          <rPr>
            <sz val="9"/>
            <color indexed="81"/>
            <rFont val="Tahoma"/>
            <family val="2"/>
          </rPr>
          <t>In October 2016, the board of directors of Alphabet authorized the company to repurchase up to $7,019,340,976.83 of its Class C capital stock. The repurchase is expected to be executed from time to time, subject to general business and market conditions and other investment opportunities, through open market purchases or privately negotiated transactions, including through Rule 10b5-1 plans.</t>
        </r>
      </text>
    </comment>
    <comment ref="CA39" authorId="0" shapeId="0" xr:uid="{00000000-0006-0000-0400-000011000000}">
      <text>
        <r>
          <rPr>
            <b/>
            <sz val="9"/>
            <color indexed="81"/>
            <rFont val="Tahoma"/>
            <family val="2"/>
          </rPr>
          <t>@2Q: $</t>
        </r>
        <r>
          <rPr>
            <sz val="9"/>
            <color indexed="81"/>
            <rFont val="Tahoma"/>
            <family val="2"/>
          </rPr>
          <t>4.274B remained</t>
        </r>
      </text>
    </comment>
    <comment ref="CC39" authorId="0" shapeId="0" xr:uid="{00000000-0006-0000-0400-000012000000}">
      <text>
        <r>
          <rPr>
            <b/>
            <sz val="9"/>
            <color indexed="81"/>
            <rFont val="Tahoma"/>
            <family val="2"/>
          </rPr>
          <t xml:space="preserve">@4Q: </t>
        </r>
        <r>
          <rPr>
            <sz val="9"/>
            <color indexed="81"/>
            <rFont val="Tahoma"/>
            <family val="2"/>
          </rPr>
          <t>Assume $2.173M remained from prior repurchase plan + 8.590B more authorized...</t>
        </r>
      </text>
    </comment>
    <comment ref="CE39" authorId="0" shapeId="0" xr:uid="{00000000-0006-0000-0400-000013000000}">
      <text>
        <r>
          <rPr>
            <b/>
            <sz val="9"/>
            <color indexed="81"/>
            <rFont val="Tahoma"/>
            <family val="2"/>
          </rPr>
          <t xml:space="preserve">@4Q: </t>
        </r>
        <r>
          <rPr>
            <sz val="9"/>
            <color indexed="81"/>
            <rFont val="Tahoma"/>
            <family val="2"/>
          </rPr>
          <t>Assume $2.173M remained from prior repurchase plan + 8.590B more authorized…
Total = $10.763M remain</t>
        </r>
      </text>
    </comment>
    <comment ref="CF39" authorId="0" shapeId="0" xr:uid="{00000000-0006-0000-0400-000014000000}">
      <text>
        <r>
          <rPr>
            <b/>
            <sz val="9"/>
            <color indexed="81"/>
            <rFont val="Tahoma"/>
            <family val="2"/>
          </rPr>
          <t xml:space="preserve">@4Q: </t>
        </r>
        <r>
          <rPr>
            <sz val="9"/>
            <color indexed="81"/>
            <rFont val="Tahoma"/>
            <family val="2"/>
          </rPr>
          <t>Assume $2.173M remained from prior repurchase plan + 8.590B more authorized…
Total = $10.763M remain</t>
        </r>
      </text>
    </comment>
    <comment ref="CG39" authorId="0" shapeId="0" xr:uid="{00000000-0006-0000-0400-000015000000}">
      <text>
        <r>
          <rPr>
            <b/>
            <sz val="9"/>
            <color indexed="81"/>
            <rFont val="Tahoma"/>
            <family val="2"/>
          </rPr>
          <t>@2Q 10Q:</t>
        </r>
        <r>
          <rPr>
            <sz val="9"/>
            <color indexed="81"/>
            <rFont val="Tahoma"/>
            <family val="2"/>
          </rPr>
          <t xml:space="preserve"> $6.5B authorized at the end of 2Q</t>
        </r>
      </text>
    </comment>
    <comment ref="CH39" authorId="0" shapeId="0" xr:uid="{00000000-0006-0000-0400-000016000000}">
      <text>
        <r>
          <rPr>
            <b/>
            <sz val="9"/>
            <color indexed="81"/>
            <rFont val="Tahoma"/>
            <family val="2"/>
          </rPr>
          <t>@3Q18 10Q: $</t>
        </r>
        <r>
          <rPr>
            <sz val="9"/>
            <color indexed="81"/>
            <rFont val="Tahoma"/>
            <family val="2"/>
          </rPr>
          <t>4.338B remaining @ 3Q end</t>
        </r>
      </text>
    </comment>
    <comment ref="CJ39" authorId="0" shapeId="0" xr:uid="{00000000-0006-0000-0400-000017000000}">
      <text>
        <r>
          <rPr>
            <b/>
            <sz val="9"/>
            <color indexed="81"/>
            <rFont val="Tahoma"/>
            <family val="2"/>
          </rPr>
          <t>@4Q18:</t>
        </r>
        <r>
          <rPr>
            <sz val="9"/>
            <color indexed="81"/>
            <rFont val="Tahoma"/>
            <family val="2"/>
          </rPr>
          <t xml:space="preserve"> $1.688B remaining @ 4Q end…
board authorized $12.5B
</t>
        </r>
        <r>
          <rPr>
            <b/>
            <sz val="9"/>
            <color indexed="81"/>
            <rFont val="Tahoma"/>
            <family val="2"/>
          </rPr>
          <t>$14.188B remaining</t>
        </r>
      </text>
    </comment>
    <comment ref="CL39" authorId="0" shapeId="0" xr:uid="{00000000-0006-0000-0400-000018000000}">
      <text>
        <r>
          <rPr>
            <b/>
            <sz val="9"/>
            <color indexed="81"/>
            <rFont val="Tahoma"/>
            <family val="2"/>
          </rPr>
          <t xml:space="preserve">@2Q19: </t>
        </r>
        <r>
          <rPr>
            <sz val="9"/>
            <color indexed="81"/>
            <rFont val="Tahoma"/>
            <family val="2"/>
          </rPr>
          <t>BOD authorized the company to repurchase up to an additional $25B</t>
        </r>
      </text>
    </comment>
    <comment ref="CN39" authorId="0" shapeId="0" xr:uid="{00000000-0006-0000-0400-000019000000}">
      <text>
        <r>
          <rPr>
            <b/>
            <sz val="9"/>
            <color indexed="81"/>
            <rFont val="Tahoma"/>
            <family val="2"/>
          </rPr>
          <t>@3Q18:</t>
        </r>
        <r>
          <rPr>
            <sz val="9"/>
            <color indexed="81"/>
            <rFont val="Tahoma"/>
            <family val="2"/>
          </rPr>
          <t xml:space="preserve"> We assume buyback will be authorized</t>
        </r>
      </text>
    </comment>
    <comment ref="CO39" authorId="0" shapeId="0" xr:uid="{00000000-0006-0000-0400-00001A000000}">
      <text>
        <r>
          <rPr>
            <b/>
            <sz val="9"/>
            <color indexed="81"/>
            <rFont val="Tahoma"/>
            <family val="2"/>
          </rPr>
          <t xml:space="preserve">@4Q19: </t>
        </r>
        <r>
          <rPr>
            <sz val="9"/>
            <color indexed="81"/>
            <rFont val="Tahoma"/>
            <family val="2"/>
          </rPr>
          <t>we had $21 billion remaining in the program and are focused on executing on the remaining authorization at a pace that is at least consistent with what you saw in the fourth quarter.</t>
        </r>
      </text>
    </comment>
    <comment ref="CP39" authorId="0" shapeId="0" xr:uid="{00000000-0006-0000-0400-00001B000000}">
      <text>
        <r>
          <rPr>
            <b/>
            <sz val="9"/>
            <color indexed="81"/>
            <rFont val="Tahoma"/>
            <family val="2"/>
          </rPr>
          <t xml:space="preserve">1Q 10Q: </t>
        </r>
        <r>
          <rPr>
            <sz val="9"/>
            <color indexed="81"/>
            <rFont val="Tahoma"/>
            <family val="2"/>
          </rPr>
          <t>$12.3B authorization remaining as of end of 1Q</t>
        </r>
        <r>
          <rPr>
            <b/>
            <sz val="9"/>
            <color indexed="81"/>
            <rFont val="Tahoma"/>
            <family val="2"/>
          </rPr>
          <t xml:space="preserve">
@1Q: </t>
        </r>
        <r>
          <rPr>
            <sz val="9"/>
            <color indexed="81"/>
            <rFont val="Tahoma"/>
            <family val="2"/>
          </rPr>
          <t>we believe a share repurchase program for us appropriately sized is responsible in the current environment based on our capital allocation framework and our cash balance. So at the beginning of the year, I indicated that we expected to repurchase shares at a pace at least consistent with the fourth quarter on the remaining authorization, and that remains our view for the second quarter.</t>
        </r>
      </text>
    </comment>
    <comment ref="CS39" authorId="0" shapeId="0" xr:uid="{00000000-0006-0000-0400-00001C000000}">
      <text>
        <r>
          <rPr>
            <b/>
            <sz val="9"/>
            <color indexed="81"/>
            <rFont val="Tahoma"/>
            <family val="2"/>
          </rPr>
          <t xml:space="preserve">@2Q18: </t>
        </r>
        <r>
          <rPr>
            <sz val="9"/>
            <color indexed="81"/>
            <rFont val="Tahoma"/>
            <family val="2"/>
          </rPr>
          <t>Assume more share buyback will be authorized</t>
        </r>
      </text>
    </comment>
    <comment ref="CX39" authorId="0" shapeId="0" xr:uid="{00000000-0006-0000-0400-00001D000000}">
      <text>
        <r>
          <rPr>
            <b/>
            <sz val="9"/>
            <color indexed="81"/>
            <rFont val="Tahoma"/>
            <family val="2"/>
          </rPr>
          <t xml:space="preserve">@2Q18: </t>
        </r>
        <r>
          <rPr>
            <sz val="9"/>
            <color indexed="81"/>
            <rFont val="Tahoma"/>
            <family val="2"/>
          </rPr>
          <t>Assume more share buyback will be authorized</t>
        </r>
      </text>
    </comment>
    <comment ref="BQ44" authorId="3" shapeId="0" xr:uid="{00000000-0006-0000-0400-000024000000}">
      <text>
        <r>
          <rPr>
            <b/>
            <sz val="9"/>
            <color indexed="81"/>
            <rFont val="Tahoma"/>
            <family val="2"/>
          </rPr>
          <t>includes ($47M) paymentt to Class C capital stockholders</t>
        </r>
      </text>
    </comment>
    <comment ref="CJ45" authorId="0" shapeId="0" xr:uid="{00000000-0006-0000-0400-000025000000}">
      <text>
        <r>
          <rPr>
            <b/>
            <sz val="9"/>
            <color indexed="81"/>
            <rFont val="Tahoma"/>
            <family val="2"/>
          </rPr>
          <t xml:space="preserve">@1Q19:
</t>
        </r>
        <r>
          <rPr>
            <sz val="9"/>
            <color indexed="81"/>
            <rFont val="Tahoma"/>
            <family val="2"/>
          </rPr>
          <t>Proceeds from sale of subsidiary shares</t>
        </r>
      </text>
    </comment>
    <comment ref="CO45" authorId="0" shapeId="0" xr:uid="{00000000-0006-0000-0400-000026000000}">
      <text>
        <r>
          <rPr>
            <b/>
            <sz val="9"/>
            <color indexed="81"/>
            <rFont val="Tahoma"/>
            <family val="2"/>
          </rPr>
          <t xml:space="preserve">Waymo External Raise
</t>
        </r>
        <r>
          <rPr>
            <sz val="9"/>
            <color indexed="81"/>
            <rFont val="Tahoma"/>
            <family val="2"/>
          </rPr>
          <t>https://blog.waymo.com/2020/03/waymo-raises-first-external-investment.html</t>
        </r>
      </text>
    </comment>
    <comment ref="BK48" authorId="4" shapeId="0" xr:uid="{00000000-0006-0000-0400-000027000000}">
      <text>
        <r>
          <rPr>
            <b/>
            <sz val="9"/>
            <color indexed="81"/>
            <rFont val="Tahoma"/>
            <family val="2"/>
          </rPr>
          <t>including -161 for reclassification to assets held for sales</t>
        </r>
      </text>
    </comment>
    <comment ref="BK52" authorId="4" shapeId="0" xr:uid="{00000000-0006-0000-0400-000028000000}">
      <text>
        <r>
          <rPr>
            <b/>
            <sz val="9"/>
            <color indexed="81"/>
            <rFont val="Tahoma"/>
            <family val="2"/>
          </rPr>
          <t>16639</t>
        </r>
      </text>
    </comment>
    <comment ref="DG59" authorId="0" shapeId="0" xr:uid="{1B9988D9-C5E3-4DE7-8609-58CD0494B0CB}">
      <text>
        <r>
          <rPr>
            <b/>
            <sz val="9"/>
            <color indexed="81"/>
            <rFont val="Tahoma"/>
            <family val="2"/>
          </rPr>
          <t xml:space="preserve">3Q23: </t>
        </r>
        <r>
          <rPr>
            <sz val="9"/>
            <color indexed="81"/>
            <rFont val="Tahoma"/>
            <family val="2"/>
          </rPr>
          <t>The three and nine month period ended September 30, 2023 include the effect of the IRS payment deferral relief made available to taxpayers headquartered in designated counties in California. On October 16, 2023, we made an estimated tax payment to the IRS of $10.5 billion that will be reflected in our fourth quarter operating cash flow.</t>
        </r>
      </text>
    </comment>
    <comment ref="DG63" authorId="0" shapeId="0" xr:uid="{D2512520-3956-4BA7-B085-7980B189963A}">
      <text>
        <r>
          <rPr>
            <b/>
            <sz val="9"/>
            <color indexed="81"/>
            <rFont val="Tahoma"/>
            <family val="2"/>
          </rPr>
          <t xml:space="preserve">3Q23: </t>
        </r>
        <r>
          <rPr>
            <sz val="9"/>
            <color indexed="81"/>
            <rFont val="Tahoma"/>
            <family val="2"/>
          </rPr>
          <t>The three and nine month period ended September 30, 2023 include the effect of the IRS payment deferral relief made available to taxpayers headquartered in designated counties in California. On October 16, 2023, we made an estimated tax payment to the IRS of $10.5 billion that will be reflected in our fourth quarter operating cash flow.</t>
        </r>
      </text>
    </comment>
    <comment ref="DK63" authorId="0" shapeId="0" xr:uid="{5F8969AE-F828-4A92-AA61-7D8AB978DA80}">
      <text>
        <r>
          <rPr>
            <b/>
            <sz val="9"/>
            <color indexed="81"/>
            <rFont val="Tahoma"/>
            <family val="2"/>
          </rPr>
          <t>3Q24: Includes $3B cash payment for 2017 EC shopping fine</t>
        </r>
      </text>
    </comment>
    <comment ref="CE69" authorId="0" shapeId="0" xr:uid="{00000000-0006-0000-0400-000029000000}">
      <text>
        <r>
          <rPr>
            <b/>
            <sz val="9"/>
            <color indexed="81"/>
            <rFont val="Tahoma"/>
            <family val="2"/>
          </rPr>
          <t xml:space="preserve">@1Q18: </t>
        </r>
        <r>
          <rPr>
            <sz val="9"/>
            <color indexed="81"/>
            <rFont val="Tahoma"/>
            <family val="2"/>
          </rPr>
          <t>Includes $2.4B of Chelsea acquisition...</t>
        </r>
      </text>
    </comment>
    <comment ref="CH69" authorId="0" shapeId="0" xr:uid="{00000000-0006-0000-0400-00002A000000}">
      <text>
        <r>
          <rPr>
            <sz val="9"/>
            <color indexed="81"/>
            <rFont val="Tahoma"/>
            <family val="2"/>
          </rPr>
          <t>Mountain View Property Acquisition? $1B...</t>
        </r>
      </text>
    </comment>
    <comment ref="CL69" authorId="0" shapeId="0" xr:uid="{00000000-0006-0000-0400-00002B000000}">
      <text>
        <r>
          <rPr>
            <b/>
            <sz val="9"/>
            <color indexed="81"/>
            <rFont val="Tahoma"/>
            <family val="2"/>
          </rPr>
          <t xml:space="preserve">@3Q19 call: </t>
        </r>
        <r>
          <rPr>
            <sz val="9"/>
            <color indexed="81"/>
            <rFont val="Tahoma"/>
            <family val="2"/>
          </rPr>
          <t xml:space="preserve">Investments in office facilities included the $1 billion acquisition of a portfolio of buildings in Sunnyvale and in the purchase of two buildings to expand our presence in the Seattle area. 
In terms of CapEx, as a reminder over the last couple of years the split between technical infrastructure and office facilities has averaged approximately 70% to 30%. Due to the sizable purchases of office facilities, we made in Q3, </t>
        </r>
        <r>
          <rPr>
            <b/>
            <sz val="9"/>
            <color indexed="81"/>
            <rFont val="Tahoma"/>
            <family val="2"/>
          </rPr>
          <t>technical infrastructure accounted for only about 60% of total CapEx</t>
        </r>
        <r>
          <rPr>
            <sz val="9"/>
            <color indexed="81"/>
            <rFont val="Tahoma"/>
            <family val="2"/>
          </rPr>
          <t xml:space="preserve"> and continue to be more heavily weighted to data center construction and servers.</t>
        </r>
      </text>
    </comment>
    <comment ref="CY69" authorId="0" shapeId="0" xr:uid="{979733C5-11D9-4D0B-BD41-8D94281A1A8E}">
      <text>
        <r>
          <rPr>
            <b/>
            <sz val="9"/>
            <color indexed="81"/>
            <rFont val="Tahoma"/>
            <family val="2"/>
          </rPr>
          <t xml:space="preserve">1Q22: </t>
        </r>
        <r>
          <rPr>
            <sz val="9"/>
            <color indexed="81"/>
            <rFont val="Tahoma"/>
            <family val="2"/>
          </rPr>
          <t>Includes ~$4B in office building acquisitions</t>
        </r>
      </text>
    </comment>
    <comment ref="CI71" authorId="0" shapeId="0" xr:uid="{00000000-0006-0000-0400-00002C000000}">
      <text>
        <r>
          <rPr>
            <sz val="9"/>
            <color indexed="81"/>
            <rFont val="Tahoma"/>
            <family val="2"/>
          </rPr>
          <t>Growth ex-Cheleas acquisition</t>
        </r>
      </text>
    </comment>
    <comment ref="BX73" authorId="0" shapeId="0" xr:uid="{00000000-0006-0000-0400-00002D000000}">
      <text>
        <r>
          <rPr>
            <b/>
            <sz val="9"/>
            <color indexed="81"/>
            <rFont val="Tahoma"/>
            <family val="2"/>
          </rPr>
          <t xml:space="preserve">@4Q: </t>
        </r>
        <r>
          <rPr>
            <sz val="9"/>
            <color indexed="81"/>
            <rFont val="Tahoma"/>
            <family val="2"/>
          </rPr>
          <t xml:space="preserve">Accrued CapEx for the quarter was $2.9 billion reflecting investments in </t>
        </r>
        <r>
          <rPr>
            <b/>
            <sz val="9"/>
            <color indexed="81"/>
            <rFont val="Tahoma"/>
            <family val="2"/>
          </rPr>
          <t>production equipment, facilities, and data center construction.</t>
        </r>
      </text>
    </comment>
    <comment ref="CE73" authorId="0" shapeId="0" xr:uid="{00000000-0006-0000-0400-00002E000000}">
      <text>
        <r>
          <rPr>
            <b/>
            <sz val="9"/>
            <color indexed="81"/>
            <rFont val="Tahoma"/>
            <family val="2"/>
          </rPr>
          <t xml:space="preserve">@1Q18: </t>
        </r>
        <r>
          <rPr>
            <sz val="9"/>
            <color indexed="81"/>
            <rFont val="Tahoma"/>
            <family val="2"/>
          </rPr>
          <t>Includes $2.4B of Chelsea acquisition...</t>
        </r>
      </text>
    </comment>
    <comment ref="CF73" authorId="0" shapeId="0" xr:uid="{00000000-0006-0000-0400-00002F000000}">
      <text>
        <r>
          <rPr>
            <b/>
            <sz val="9"/>
            <color indexed="81"/>
            <rFont val="Tahoma"/>
            <family val="2"/>
          </rPr>
          <t xml:space="preserve">@2Q18 call: </t>
        </r>
        <r>
          <rPr>
            <sz val="9"/>
            <color indexed="81"/>
            <rFont val="Tahoma"/>
            <family val="2"/>
          </rPr>
          <t xml:space="preserve">Third, with respect to Capex. As I discussed with you last quarter, our commitment to growth is evident in the ongoing trend in capex investment. We’ve been investing meaningfully in Search and Ads, consistent with the opportunities we see to benefit the user and advertiser experience. And we are investing in the additional compute power required to support growth in the number of YouTube users globally. We’re also </t>
        </r>
        <r>
          <rPr>
            <b/>
            <sz val="9"/>
            <color indexed="81"/>
            <rFont val="Tahoma"/>
            <family val="2"/>
          </rPr>
          <t>investing in new businesses that are growing at a rapid pace and have sizable compute needs, most notably Cloud.</t>
        </r>
        <r>
          <rPr>
            <sz val="9"/>
            <color indexed="81"/>
            <rFont val="Tahoma"/>
            <family val="2"/>
          </rPr>
          <t xml:space="preserve"> The investment pace also reflects the importance of machine learning across all of our products, including Search and Ads. Although machine learning is more compute intensive, it is increasingly core to businesses across Alphabet and opens up the possibility of accelerated innovation in products and services. In keeping with our approach across Alphabet to invest thoughtfully for long term value creation, we remain focused on both performance and cost effectiveness.</t>
        </r>
      </text>
    </comment>
    <comment ref="CG73" authorId="0" shapeId="0" xr:uid="{00000000-0006-0000-0400-000030000000}">
      <text>
        <r>
          <rPr>
            <b/>
            <sz val="9"/>
            <color indexed="81"/>
            <rFont val="Tahoma"/>
            <family val="2"/>
          </rPr>
          <t xml:space="preserve">@3Q18: </t>
        </r>
        <r>
          <rPr>
            <sz val="9"/>
            <color indexed="81"/>
            <rFont val="Tahoma"/>
            <family val="2"/>
          </rPr>
          <t>CapEx, you can see our continued investment as we build the infrastructure needed to support the opportunities we see across our businesses. This includes a number of datacenter construction projects in-flight as well as ongoing expansion in our compute capacity.
In Q3, more than 80% of Alphabet's total capital expenditures was within the U.S. Not only do these investments in data centers machines and offices allow us to provide great services to users they have a strong positive impact on the communities around them supporting thousands of jobs and countless local businesses.
To give you a bit of a breakdown, the largest component continues to be machines. But relative to last year, it's important to note that the data center construction is an increasing percentage of our CapEx investment. And so we're now in various stages of developing more than 20 data center sites globally. We're also investing in our network infrastructure such as undersea cables so we can deliver speed and quality. So again this really goes to our view of the opportunity set.
And as much as you ask about technical infrastructure, just a quick note that our facility spent, namely real estate, was more muted this quarter and it was primarily just the ongoing work on our ground up development. So you're primarily seeing what's going on, on technical infrastructure here.</t>
        </r>
      </text>
    </comment>
    <comment ref="CH73" authorId="0" shapeId="0" xr:uid="{00000000-0006-0000-0400-000031000000}">
      <text>
        <r>
          <rPr>
            <b/>
            <sz val="9"/>
            <color indexed="81"/>
            <rFont val="Tahoma"/>
            <family val="2"/>
          </rPr>
          <t xml:space="preserve">@3Q18: </t>
        </r>
        <r>
          <rPr>
            <sz val="9"/>
            <color indexed="81"/>
            <rFont val="Tahoma"/>
            <family val="2"/>
          </rPr>
          <t>CapEx, you can see our continued investment as we build the infrastructure needed to support the opportunities we see across our businesses. This includes a number of datacenter construction projects in-flight as well as ongoing expansion in our compute capacity.</t>
        </r>
      </text>
    </comment>
    <comment ref="DF73" authorId="0" shapeId="0" xr:uid="{FDD94BEF-F011-46A6-B4EF-E56E22B51D05}">
      <text>
        <r>
          <rPr>
            <b/>
            <sz val="9"/>
            <color indexed="81"/>
            <rFont val="Tahoma"/>
            <family val="2"/>
          </rPr>
          <t xml:space="preserve">3Q23: </t>
        </r>
        <r>
          <rPr>
            <sz val="9"/>
            <color indexed="81"/>
            <rFont val="Tahoma"/>
            <family val="2"/>
          </rPr>
          <t>Finally, our reported CapEx in Q3 was $8 billion, driven overwhelmingly by investment in our technical infrastructure, with the largest component for servers, followed by data centers, reflecting a meaningful increase in our investments in AI compute.
The growth in reported cash CapEx in Q3 is somewhat muted due to the timing of supplier payments, which can cause variability from quarter-to-quarter. We continue to invest meaningfully in the technical infrastructure needed to support the opportunities we see in AI across Alphabet and expect elevated levels of investment, increasing in the fourth quarter of 2023 and continuing to grow in 2024.</t>
        </r>
      </text>
    </comment>
    <comment ref="DI73" authorId="0" shapeId="0" xr:uid="{7C4D811B-C066-4696-B870-342F82313DAA}">
      <text>
        <r>
          <rPr>
            <b/>
            <sz val="9"/>
            <color indexed="81"/>
            <rFont val="Tahoma"/>
            <family val="2"/>
          </rPr>
          <t xml:space="preserve">1Q24: </t>
        </r>
        <r>
          <rPr>
            <sz val="9"/>
            <color indexed="81"/>
            <rFont val="Tahoma"/>
            <family val="2"/>
          </rPr>
          <t xml:space="preserve">With respect to CapEx, our reported CapEx in the first quarter was $12 billion, once again driven overwhelmingly by investment in our technical infrastructure with the largest component for servers followed by data centers.
The significant year-on-year growth in CapEx in recent quarters reflects our confidence and the opportunities offered by AI across our business. </t>
        </r>
        <r>
          <rPr>
            <b/>
            <sz val="9"/>
            <color indexed="81"/>
            <rFont val="Tahoma"/>
            <family val="2"/>
          </rPr>
          <t>Looking ahead, we expect quarterly CapEx throughout the year to be roughly at or above the Q1 level, keeping in mind that the timing of cash payments can cause variability in quarterly reported CapEx.</t>
        </r>
      </text>
    </comment>
    <comment ref="DJ73" authorId="0" shapeId="0" xr:uid="{02353E41-8197-4DBC-A95D-7CB94F8D804C}">
      <text>
        <r>
          <rPr>
            <b/>
            <sz val="9"/>
            <color indexed="81"/>
            <rFont val="Tahoma"/>
            <family val="2"/>
          </rPr>
          <t xml:space="preserve">1Q24: </t>
        </r>
        <r>
          <rPr>
            <sz val="9"/>
            <color indexed="81"/>
            <rFont val="Tahoma"/>
            <family val="2"/>
          </rPr>
          <t xml:space="preserve">With respect to CapEx, our reported CapEx in the first quarter was $12 billion, once again driven overwhelmingly by investment in our technical infrastructure with the largest component for servers followed by data centers.
The significant year-on-year growth in CapEx in recent quarters reflects our confidence and the opportunities offered by AI across our business. </t>
        </r>
        <r>
          <rPr>
            <b/>
            <sz val="9"/>
            <color indexed="81"/>
            <rFont val="Tahoma"/>
            <family val="2"/>
          </rPr>
          <t>Looking ahead, we expect quarterly CapEx throughout the year to be roughly at or above the Q1 level, keeping in mind that the timing of cash payments can cause variability in quarterly reported CapEx.</t>
        </r>
      </text>
    </comment>
    <comment ref="DK73" authorId="0" shapeId="0" xr:uid="{89687ED6-DEF5-43ED-8560-3ADC01B5B98F}">
      <text>
        <r>
          <rPr>
            <b/>
            <sz val="9"/>
            <color indexed="81"/>
            <rFont val="Tahoma"/>
            <family val="2"/>
          </rPr>
          <t xml:space="preserve">2Q24: </t>
        </r>
        <r>
          <rPr>
            <sz val="9"/>
            <color indexed="81"/>
            <rFont val="Tahoma"/>
            <family val="2"/>
          </rPr>
          <t xml:space="preserve">With respect to CapEx, our reported CapEx in the second quarter was $13 billion. Once again, driven overwhelmingly by investment in our technical infrastructure with the largest component for servers followed by data centers. Looking ahead, </t>
        </r>
        <r>
          <rPr>
            <u/>
            <sz val="9"/>
            <color indexed="81"/>
            <rFont val="Tahoma"/>
            <family val="2"/>
          </rPr>
          <t>we continue to expect quarterly CapEx throughout the year to be roughly at or above the Q1 CapEx of $12 billion, keeping in mind that the timing of cash payments can cause variability in quarterly reported CapEx.</t>
        </r>
        <r>
          <rPr>
            <b/>
            <sz val="9"/>
            <color indexed="81"/>
            <rFont val="Tahoma"/>
            <family val="2"/>
          </rPr>
          <t xml:space="preserve">
1Q24: </t>
        </r>
        <r>
          <rPr>
            <sz val="9"/>
            <color indexed="81"/>
            <rFont val="Tahoma"/>
            <family val="2"/>
          </rPr>
          <t xml:space="preserve">With respect to CapEx, our reported CapEx in the first quarter was $12 billion, once again driven overwhelmingly by investment in our technical infrastructure with the largest component for servers followed by data centers.
The significant year-on-year growth in CapEx in recent quarters reflects our confidence and the opportunities offered by AI across our business. </t>
        </r>
        <r>
          <rPr>
            <b/>
            <sz val="9"/>
            <color indexed="81"/>
            <rFont val="Tahoma"/>
            <family val="2"/>
          </rPr>
          <t>Looking ahead, we expect quarterly CapEx throughout the year to be roughly at or above the Q1 level, keeping in mind that the timing of cash payments can cause variability in quarterly reported CapEx.</t>
        </r>
      </text>
    </comment>
    <comment ref="DL73" authorId="0" shapeId="0" xr:uid="{3387A1B2-9B03-4EAE-89AF-061F944D910D}">
      <text>
        <r>
          <rPr>
            <b/>
            <sz val="9"/>
            <color indexed="81"/>
            <rFont val="Tahoma"/>
            <family val="2"/>
          </rPr>
          <t xml:space="preserve">3Q24: </t>
        </r>
        <r>
          <rPr>
            <sz val="9"/>
            <color indexed="81"/>
            <rFont val="Tahoma"/>
            <family val="2"/>
          </rPr>
          <t xml:space="preserve">4Q capex to be at similar levels to 3Q
</t>
        </r>
        <r>
          <rPr>
            <b/>
            <sz val="9"/>
            <color indexed="81"/>
            <rFont val="Tahoma"/>
            <family val="2"/>
          </rPr>
          <t xml:space="preserve">
2Q24: </t>
        </r>
        <r>
          <rPr>
            <sz val="9"/>
            <color indexed="81"/>
            <rFont val="Tahoma"/>
            <family val="2"/>
          </rPr>
          <t xml:space="preserve">With respect to CapEx, our reported CapEx in the second quarter was $13 billion. Once again, driven overwhelmingly by investment in our technical infrastructure with the largest component for servers followed by data centers. Looking ahead, </t>
        </r>
        <r>
          <rPr>
            <u/>
            <sz val="9"/>
            <color indexed="81"/>
            <rFont val="Tahoma"/>
            <family val="2"/>
          </rPr>
          <t>we continue to expect quarterly CapEx throughout the year to be roughly at or above the Q1 CapEx of $12 billion, keeping in mind that the timing of cash payments can cause variability in quarterly reported CapEx.</t>
        </r>
        <r>
          <rPr>
            <b/>
            <sz val="9"/>
            <color indexed="81"/>
            <rFont val="Tahoma"/>
            <family val="2"/>
          </rPr>
          <t xml:space="preserve">
1Q24: </t>
        </r>
        <r>
          <rPr>
            <sz val="9"/>
            <color indexed="81"/>
            <rFont val="Tahoma"/>
            <family val="2"/>
          </rPr>
          <t xml:space="preserve">With respect to CapEx, our reported CapEx in the first quarter was $12 billion, once again driven overwhelmingly by investment in our technical infrastructure with the largest component for servers followed by data centers.
The significant year-on-year growth in CapEx in recent quarters reflects our confidence and the opportunities offered by AI across our business. </t>
        </r>
        <r>
          <rPr>
            <b/>
            <sz val="9"/>
            <color indexed="81"/>
            <rFont val="Tahoma"/>
            <family val="2"/>
          </rPr>
          <t>Looking ahead, we expect quarterly CapEx throughout the year to be roughly at or above the Q1 level, keeping in mind that the timing of cash payments can cause variability in quarterly reported CapEx.</t>
        </r>
      </text>
    </comment>
    <comment ref="DM73" authorId="0" shapeId="0" xr:uid="{2FF97E2C-2839-4CB2-A32A-B09659127A60}">
      <text>
        <r>
          <rPr>
            <b/>
            <sz val="9"/>
            <color indexed="81"/>
            <rFont val="Tahoma"/>
            <family val="2"/>
          </rPr>
          <t xml:space="preserve">2Q24: </t>
        </r>
        <r>
          <rPr>
            <sz val="9"/>
            <color indexed="81"/>
            <rFont val="Tahoma"/>
            <family val="2"/>
          </rPr>
          <t xml:space="preserve">With respect to CapEx, our reported CapEx in the second quarter was $13 billion. Once again, driven overwhelmingly by investment in our technical infrastructure with the largest component for servers followed by data centers. Looking ahead, </t>
        </r>
        <r>
          <rPr>
            <u/>
            <sz val="9"/>
            <color indexed="81"/>
            <rFont val="Tahoma"/>
            <family val="2"/>
          </rPr>
          <t>we continue to expect quarterly CapEx throughout the year to be roughly at or above the Q1 CapEx of $12 billion, keeping in mind that the timing of cash payments can cause variability in quarterly reported CapEx.</t>
        </r>
        <r>
          <rPr>
            <b/>
            <sz val="9"/>
            <color indexed="81"/>
            <rFont val="Tahoma"/>
            <family val="2"/>
          </rPr>
          <t xml:space="preserve">
1Q24: </t>
        </r>
        <r>
          <rPr>
            <sz val="9"/>
            <color indexed="81"/>
            <rFont val="Tahoma"/>
            <family val="2"/>
          </rPr>
          <t xml:space="preserve">With respect to CapEx, our reported CapEx in the first quarter was $12 billion, once again driven overwhelmingly by investment in our technical infrastructure with the largest component for servers followed by data centers.
The significant year-on-year growth in CapEx in recent quarters reflects our confidence and the opportunities offered by AI across our business. </t>
        </r>
        <r>
          <rPr>
            <b/>
            <sz val="9"/>
            <color indexed="81"/>
            <rFont val="Tahoma"/>
            <family val="2"/>
          </rPr>
          <t>Looking ahead, we expect quarterly CapEx throughout the year to be roughly at or above the Q1 level, keeping in mind that the timing of cash payments can cause variability in quarterly reported CapEx.</t>
        </r>
      </text>
    </comment>
    <comment ref="DN73" authorId="0" shapeId="0" xr:uid="{47263EF4-5878-4F7D-A231-3D032DDD0706}">
      <text>
        <r>
          <rPr>
            <b/>
            <sz val="9"/>
            <color indexed="81"/>
            <rFont val="Tahoma"/>
            <family val="2"/>
          </rPr>
          <t>4Q24: $16-18B</t>
        </r>
      </text>
    </comment>
    <comment ref="DR73" authorId="0" shapeId="0" xr:uid="{BF2D3FFA-3C94-43B3-A4F1-652E04C0198F}">
      <text>
        <r>
          <rPr>
            <b/>
            <sz val="9"/>
            <color indexed="81"/>
            <rFont val="Tahoma"/>
            <family val="2"/>
          </rPr>
          <t xml:space="preserve">3Q25: raised to ~$91B-$93B ($85B before)
2Q25: </t>
        </r>
        <r>
          <rPr>
            <sz val="9"/>
            <color indexed="81"/>
            <rFont val="Tahoma"/>
            <family val="2"/>
          </rPr>
          <t>raised to ~$85B ($75B before)
Our updated outlook reflects additional investment in servers, the timing of delivery of servers, and an acceleration in the pace of data center construction, primarily to meet Cloud customer demand.</t>
        </r>
        <r>
          <rPr>
            <b/>
            <sz val="9"/>
            <color indexed="81"/>
            <rFont val="Tahoma"/>
            <family val="2"/>
          </rPr>
          <t xml:space="preserve">
1Q25: </t>
        </r>
        <r>
          <rPr>
            <sz val="9"/>
            <color indexed="81"/>
            <rFont val="Tahoma"/>
            <family val="2"/>
          </rPr>
          <t>~$75B (reit)</t>
        </r>
        <r>
          <rPr>
            <b/>
            <sz val="9"/>
            <color indexed="81"/>
            <rFont val="Tahoma"/>
            <family val="2"/>
          </rPr>
          <t xml:space="preserve">
4Q24: </t>
        </r>
        <r>
          <rPr>
            <sz val="9"/>
            <color indexed="81"/>
            <rFont val="Tahoma"/>
            <family val="2"/>
          </rPr>
          <t>~$75B</t>
        </r>
        <r>
          <rPr>
            <b/>
            <sz val="9"/>
            <color indexed="81"/>
            <rFont val="Tahoma"/>
            <family val="2"/>
          </rPr>
          <t xml:space="preserve">
3Q24: </t>
        </r>
        <r>
          <rPr>
            <sz val="9"/>
            <color indexed="81"/>
            <rFont val="Tahoma"/>
            <family val="2"/>
          </rPr>
          <t xml:space="preserve">up Y/Y, but less than in 2024 </t>
        </r>
      </text>
    </comment>
    <comment ref="DW73" authorId="0" shapeId="0" xr:uid="{BF8A589A-3564-48CC-B03C-57D5908CA7E9}">
      <text>
        <r>
          <rPr>
            <b/>
            <sz val="9"/>
            <color indexed="81"/>
            <rFont val="Tahoma"/>
            <family val="2"/>
          </rPr>
          <t xml:space="preserve">3Q25: </t>
        </r>
        <r>
          <rPr>
            <sz val="9"/>
            <color indexed="81"/>
            <rFont val="Tahoma"/>
            <family val="2"/>
          </rPr>
          <t xml:space="preserve">Looking out to 2026, we expect a </t>
        </r>
        <r>
          <rPr>
            <b/>
            <sz val="9"/>
            <color indexed="81"/>
            <rFont val="Tahoma"/>
            <family val="2"/>
          </rPr>
          <t>significant</t>
        </r>
        <r>
          <rPr>
            <sz val="9"/>
            <color indexed="81"/>
            <rFont val="Tahoma"/>
            <family val="2"/>
          </rPr>
          <t xml:space="preserve"> </t>
        </r>
        <r>
          <rPr>
            <b/>
            <sz val="9"/>
            <color indexed="81"/>
            <rFont val="Tahoma"/>
            <family val="2"/>
          </rPr>
          <t>increase</t>
        </r>
        <r>
          <rPr>
            <sz val="9"/>
            <color indexed="81"/>
            <rFont val="Tahoma"/>
            <family val="2"/>
          </rPr>
          <t xml:space="preserve"> in CapEx</t>
        </r>
        <r>
          <rPr>
            <b/>
            <sz val="9"/>
            <color indexed="81"/>
            <rFont val="Tahoma"/>
            <family val="2"/>
          </rPr>
          <t xml:space="preserve">
2Q25: </t>
        </r>
        <r>
          <rPr>
            <sz val="9"/>
            <color indexed="81"/>
            <rFont val="Tahoma"/>
            <family val="2"/>
          </rPr>
          <t xml:space="preserve">Looking out to 2026, we expect a </t>
        </r>
        <r>
          <rPr>
            <b/>
            <sz val="9"/>
            <color indexed="81"/>
            <rFont val="Tahoma"/>
            <family val="2"/>
          </rPr>
          <t>further</t>
        </r>
        <r>
          <rPr>
            <sz val="9"/>
            <color indexed="81"/>
            <rFont val="Tahoma"/>
            <family val="2"/>
          </rPr>
          <t xml:space="preserve"> </t>
        </r>
        <r>
          <rPr>
            <b/>
            <sz val="9"/>
            <color indexed="81"/>
            <rFont val="Tahoma"/>
            <family val="2"/>
          </rPr>
          <t>increase</t>
        </r>
        <r>
          <rPr>
            <sz val="9"/>
            <color indexed="81"/>
            <rFont val="Tahoma"/>
            <family val="2"/>
          </rPr>
          <t xml:space="preserve"> in CapEx due to the demand we're seeing from customers as well as growth opportunities across the company</t>
        </r>
      </text>
    </comment>
    <comment ref="CS74" authorId="0" shapeId="0" xr:uid="{00000000-0006-0000-0400-000032000000}">
      <text>
        <r>
          <rPr>
            <b/>
            <sz val="8"/>
            <color indexed="81"/>
            <rFont val="Arial Narrow"/>
            <family val="2"/>
          </rPr>
          <t xml:space="preserve">@3Q20: </t>
        </r>
        <r>
          <rPr>
            <sz val="8"/>
            <color indexed="81"/>
            <rFont val="Arial Narrow"/>
            <family val="2"/>
          </rPr>
          <t>Turning to CapEx, once again this quarter we had a year-on-year decline in investments primarily due to a reduced pace of real estate acquisitions which we implemented at the outset of the pandemic. Servers continue to be the largest driver in investment in the third quarter followed by data centers. Our CapEx outlook for the full year has not changed as we continue to expect a modest decrease in 2020 compared with last year.</t>
        </r>
        <r>
          <rPr>
            <b/>
            <sz val="8"/>
            <color indexed="81"/>
            <rFont val="Arial Narrow"/>
            <family val="2"/>
          </rPr>
          <t xml:space="preserve">
@2Q20: </t>
        </r>
        <r>
          <rPr>
            <sz val="8"/>
            <color indexed="81"/>
            <rFont val="Arial Narrow"/>
            <family val="2"/>
          </rPr>
          <t>we continue to expect a modest decrease in the level of total Capex in 2020 compared with last year. This is particularly due to our decision to slow the pace at which we acquire office buildings in the near-term as we focus on reimagining the optimal work environment. This also reflects the slower pace of ground- up construction for both our office facilities and data centers due to COVID-19. In terms of technical infrastructure as we discussed last quarter, we anticipate investment to remain at roughly the same level as in 2019, with relatively more spend on servers than on data center construction and benefiting from our ongoing focus on server-efficiency.</t>
        </r>
        <r>
          <rPr>
            <b/>
            <sz val="8"/>
            <color indexed="81"/>
            <rFont val="Arial Narrow"/>
            <family val="2"/>
          </rPr>
          <t xml:space="preserve">
@1Q20: </t>
        </r>
        <r>
          <rPr>
            <sz val="8"/>
            <color indexed="81"/>
            <rFont val="Arial Narrow"/>
            <family val="2"/>
          </rPr>
          <t>with respect to Capex, on the fourth quarter call, we shared our expectation that investments in both technical infrastructure and office facilities would increase compared to 2019. We now anticipate a modest decrease in the level of total Capex in 2020 compared with last year.
The biggest change in our outlook is a reduction in global office facility investments due to both the need to pause most of our ground-up construction and fit-outs in response to COVID-19 and our decision to slow down the pace at which we acquire office buildings.
In terms of technical infrastructure, we expect a moderate reduction to our forecast relative to the beginning of the year given the impact of COVID-19 on data center construction delays as well as the benefit of our ongoing focus on server efficiency. Overall, we anticipate technical infrastructure investment to remain at roughly the same level as in 2019 with relatively more spend on servers than on data center construction</t>
        </r>
        <r>
          <rPr>
            <b/>
            <sz val="8"/>
            <color indexed="81"/>
            <rFont val="Arial Narrow"/>
            <family val="2"/>
          </rPr>
          <t xml:space="preserve">
@4Q19: </t>
        </r>
        <r>
          <rPr>
            <sz val="8"/>
            <color indexed="81"/>
            <rFont val="Arial Narrow"/>
            <family val="2"/>
          </rPr>
          <t>In terms of CapEx in 2020, we intend to increase our investment in both technical infrastructure and office facilities versus 2019. Within technical infrastructure, the investments, in particular, support ongoing demand for machine learning across our business, as well as for Cloud, Search, ads and YouTube.
Relative to 2019, we anticipate relatively more spend on servers than on data center construction. At this scale of investment, we remain very focused on driving efficiency through fleet optimization and tight management of our supply chain.</t>
        </r>
      </text>
    </comment>
    <comment ref="CX74" authorId="0" shapeId="0" xr:uid="{00000000-0006-0000-0400-000033000000}">
      <text>
        <r>
          <rPr>
            <b/>
            <sz val="9"/>
            <color indexed="81"/>
            <rFont val="Tahoma"/>
            <family val="2"/>
          </rPr>
          <t xml:space="preserve">@4Q20: </t>
        </r>
        <r>
          <rPr>
            <sz val="9"/>
            <color indexed="81"/>
            <rFont val="Tahoma"/>
            <family val="2"/>
          </rPr>
          <t>Looking ahead, we expect a return to a more normalized pace of ground-up construction and fit-out of office facilities which translates into a sizable increase in CapEx in 2021. Servers will continue to be the largest driver of spend on technical infrastructure.</t>
        </r>
      </text>
    </comment>
    <comment ref="DC74" authorId="0" shapeId="0" xr:uid="{00000000-0006-0000-0400-000034000000}">
      <text>
        <r>
          <rPr>
            <b/>
            <sz val="9"/>
            <color indexed="81"/>
            <rFont val="Tahoma"/>
            <family val="2"/>
          </rPr>
          <t xml:space="preserve">@2Q22: </t>
        </r>
        <r>
          <rPr>
            <sz val="9"/>
            <color indexed="81"/>
            <rFont val="Tahoma"/>
            <family val="2"/>
          </rPr>
          <t>Turning to CapEx, the largest investments in the second quarter were in servers followed by data centers and office facilities. After several large transactions closed in the first quarter, investment in office facilities was once again focused on fit-outs and ground-up construction on existing projects. We continue to expect an increase in CapEx in 2022 versus last year. For the balance of 2022, the increase will be particularly reflected in investments in technical infrastructure globally with servers as the largest component.</t>
        </r>
      </text>
    </comment>
    <comment ref="DH74" authorId="0" shapeId="0" xr:uid="{5040DC48-A463-401D-AB0D-FDE0EE4D8A5E}">
      <text>
        <r>
          <rPr>
            <b/>
            <sz val="9"/>
            <color indexed="81"/>
            <rFont val="Tahoma"/>
            <family val="2"/>
          </rPr>
          <t xml:space="preserve">2Q23: </t>
        </r>
        <r>
          <rPr>
            <sz val="9"/>
            <color indexed="81"/>
            <rFont val="Tahoma"/>
            <family val="2"/>
          </rPr>
          <t xml:space="preserve">I tried to lay out sort of the cadence of capex and the point, it’s an important one, that the sequential step-up in the second quarter was lower than anticipated for the two reasons I noted. One, the work that we’re doing around office facilities and then the delays in certain data center construction projects.
That’s why we wanted to be really clear that we do expect elevated levels of investment in our technical infrastructure, and that would be </t>
        </r>
        <r>
          <rPr>
            <b/>
            <sz val="9"/>
            <color indexed="81"/>
            <rFont val="Tahoma"/>
            <family val="2"/>
          </rPr>
          <t xml:space="preserve">increasing through the back half of 2023, consistent with the comments we’ve made previously that we expected 2023 to be higher and given the slower start at the front half of the year and then continuing to grow into 2024.
1Q23: </t>
        </r>
        <r>
          <rPr>
            <sz val="9"/>
            <color indexed="81"/>
            <rFont val="Tahoma"/>
            <family val="2"/>
          </rPr>
          <t xml:space="preserve">Finally, as it relates to CapEx, for 2023, we now expect total CapEx to be </t>
        </r>
        <r>
          <rPr>
            <u/>
            <sz val="9"/>
            <color indexed="81"/>
            <rFont val="Tahoma"/>
            <family val="2"/>
          </rPr>
          <t>modestly higher than in 2022</t>
        </r>
        <r>
          <rPr>
            <sz val="9"/>
            <color indexed="81"/>
            <rFont val="Tahoma"/>
            <family val="2"/>
          </rPr>
          <t xml:space="preserve">. As discussed last quarter, CapEx this year will include a meaningful increase in technical infrastructure versus a decline in offi ce facilities. We expect the pace of investment in both data center construction and servers to step up in the second quarter and continue to increase throughout the year.
</t>
        </r>
        <r>
          <rPr>
            <b/>
            <sz val="9"/>
            <color indexed="81"/>
            <rFont val="Tahoma"/>
            <family val="2"/>
          </rPr>
          <t xml:space="preserve">4Q22: </t>
        </r>
        <r>
          <rPr>
            <sz val="9"/>
            <color indexed="81"/>
            <rFont val="Tahoma"/>
            <family val="2"/>
          </rPr>
          <t xml:space="preserve">Turning to CapEx. For 2023, we expect total CapEx to be </t>
        </r>
        <r>
          <rPr>
            <u/>
            <sz val="9"/>
            <color indexed="81"/>
            <rFont val="Tahoma"/>
            <family val="2"/>
          </rPr>
          <t>generally in line with 2022</t>
        </r>
        <r>
          <rPr>
            <sz val="9"/>
            <color indexed="81"/>
            <rFont val="Tahoma"/>
            <family val="2"/>
          </rPr>
          <t>, with an increase in technical infrastructure versus a decline in offi ce facilities. Our ongoing investment in technical infrastructure is obviously a critical component of supporting our long-term growth opportunities.</t>
        </r>
      </text>
    </comment>
    <comment ref="BS76" authorId="3" shapeId="0" xr:uid="{00000000-0006-0000-0400-000035000000}">
      <text>
        <r>
          <rPr>
            <b/>
            <sz val="9"/>
            <color indexed="81"/>
            <rFont val="Tahoma"/>
            <family val="2"/>
          </rPr>
          <t xml:space="preserve">2/1/16: </t>
        </r>
        <r>
          <rPr>
            <sz val="9"/>
            <color indexed="81"/>
            <rFont val="Tahoma"/>
            <family val="2"/>
          </rPr>
          <t>reflecting investments in data center construction, production equipment, and facilities</t>
        </r>
        <r>
          <rPr>
            <b/>
            <sz val="9"/>
            <color indexed="81"/>
            <rFont val="Tahoma"/>
            <family val="2"/>
          </rPr>
          <t xml:space="preserve">
10/22/15:
</t>
        </r>
        <r>
          <rPr>
            <sz val="9"/>
            <color indexed="81"/>
            <rFont val="Tahoma"/>
            <family val="2"/>
          </rPr>
          <t>as to CapEx, the vast majority to date, of course, has been to support Google, where we continue to invest, given our exciting opportunities globally. At the same time, CapEx and other bets is expected to increase through next year as we continue to execute on the growth agenda there.  In particular, in access and energy which contains our fiber business, among other efforts</t>
        </r>
      </text>
    </comment>
    <comment ref="BU76" authorId="3" shapeId="0" xr:uid="{00000000-0006-0000-0400-000036000000}">
      <text>
        <r>
          <rPr>
            <b/>
            <sz val="9"/>
            <color indexed="81"/>
            <rFont val="Tahoma"/>
            <family val="2"/>
          </rPr>
          <t xml:space="preserve">2/1/16: 
</t>
        </r>
        <r>
          <rPr>
            <sz val="9"/>
            <color indexed="81"/>
            <rFont val="Tahoma"/>
            <family val="2"/>
          </rPr>
          <t>As we have indicated previously, the vast majority of CapEx supports Google. We view our computing capacity as a core competence and will continue to invest. Given our advantages in providing efficient, secure, computing to support growth in both our consumer products and services globally as well as our Cloud and apps business. And other bets, the majority of CapEx supports the ongoing deployment of Google Fiber. We are still operating in only a few cities that have announced plans for additional cities, which we expect will be reflected in 2016 CapEx</t>
        </r>
        <r>
          <rPr>
            <b/>
            <sz val="9"/>
            <color indexed="81"/>
            <rFont val="Tahoma"/>
            <family val="2"/>
          </rPr>
          <t xml:space="preserve">
10/22/15:
</t>
        </r>
        <r>
          <rPr>
            <sz val="9"/>
            <color indexed="81"/>
            <rFont val="Tahoma"/>
            <family val="2"/>
          </rPr>
          <t>as to CapEx, the vast majority to date, of course, has been to support Google, where we continue to invest, given our exciting opportunities globally. At the same time, CapEx and other bets is expected to increase through next year as we continue to execute on the growth agenda there.  In particular, in access and energy which contains our fiber business, among other efforts</t>
        </r>
      </text>
    </comment>
    <comment ref="BV76" authorId="3" shapeId="0" xr:uid="{00000000-0006-0000-0400-000037000000}">
      <text>
        <r>
          <rPr>
            <b/>
            <sz val="9"/>
            <color indexed="81"/>
            <rFont val="Tahoma"/>
            <family val="2"/>
          </rPr>
          <t xml:space="preserve">2/1/16: 
</t>
        </r>
        <r>
          <rPr>
            <sz val="9"/>
            <color indexed="81"/>
            <rFont val="Tahoma"/>
            <family val="2"/>
          </rPr>
          <t>As we have indicated previously, the vast majority of CapEx supports Google. We view our computing capacity as a core competence and will continue to invest. Given our advantages in providing efficient, secure, computing to support growth in both our consumer products and services globally as well as our Cloud and apps business. And other bets, the majority of CapEx supports the ongoing deployment of Google Fiber. We are still operating in only a few cities that have announced plans for additional cities, which we expect will be reflected in 2016 CapEx</t>
        </r>
        <r>
          <rPr>
            <b/>
            <sz val="9"/>
            <color indexed="81"/>
            <rFont val="Tahoma"/>
            <family val="2"/>
          </rPr>
          <t xml:space="preserve">
10/22/15:
</t>
        </r>
        <r>
          <rPr>
            <sz val="9"/>
            <color indexed="81"/>
            <rFont val="Tahoma"/>
            <family val="2"/>
          </rPr>
          <t>as to CapEx, the vast majority to date, of course, has been to support Google, where we continue to invest, given our exciting opportunities globally. At the same time, CapEx and other bets is expected to increase through next year as we continue to execute on the growth agenda there.  In particular, in access and energy which contains our fiber business, among other efforts</t>
        </r>
      </text>
    </comment>
    <comment ref="BW76" authorId="3" shapeId="0" xr:uid="{00000000-0006-0000-0400-000038000000}">
      <text>
        <r>
          <rPr>
            <b/>
            <sz val="9"/>
            <color indexed="81"/>
            <rFont val="Tahoma"/>
            <family val="2"/>
          </rPr>
          <t xml:space="preserve">2/1/16: 
</t>
        </r>
        <r>
          <rPr>
            <sz val="9"/>
            <color indexed="81"/>
            <rFont val="Tahoma"/>
            <family val="2"/>
          </rPr>
          <t>As we have indicated previously, the vast majority of CapEx supports Google. We view our computing capacity as a core competence and will continue to invest. Given our advantages in providing efficient, secure, computing to support growth in both our consumer products and services globally as well as our Cloud and apps business. And other bets, the majority of CapEx supports the ongoing deployment of Google Fiber. We are still operating in only a few cities that have announced plans for additional cities, which we expect will be reflected in 2016 CapEx</t>
        </r>
        <r>
          <rPr>
            <b/>
            <sz val="9"/>
            <color indexed="81"/>
            <rFont val="Tahoma"/>
            <family val="2"/>
          </rPr>
          <t xml:space="preserve">
10/22/15:
</t>
        </r>
        <r>
          <rPr>
            <sz val="9"/>
            <color indexed="81"/>
            <rFont val="Tahoma"/>
            <family val="2"/>
          </rPr>
          <t>as to CapEx, the vast majority to date, of course, has been to support Google, where we continue to invest, given our exciting opportunities globally. At the same time, CapEx and other bets is expected to increase through next year as we continue to execute on the growth agenda there.  In particular, in access and energy which contains our fiber business, among other efforts</t>
        </r>
      </text>
    </comment>
    <comment ref="BX76" authorId="3" shapeId="0" xr:uid="{00000000-0006-0000-0400-000039000000}">
      <text>
        <r>
          <rPr>
            <b/>
            <sz val="9"/>
            <color indexed="81"/>
            <rFont val="Tahoma"/>
            <family val="2"/>
          </rPr>
          <t xml:space="preserve">2/1/16: 
</t>
        </r>
        <r>
          <rPr>
            <sz val="9"/>
            <color indexed="81"/>
            <rFont val="Tahoma"/>
            <family val="2"/>
          </rPr>
          <t>As we have indicated previously, the vast majority of CapEx supports Google. We view our computing capacity as a core competence and will continue to invest. Given our advantages in providing efficient, secure, computing to support growth in both our consumer products and services globally as well as our Cloud and apps business. And other bets, the majority of CapEx supports the ongoing deployment of Google Fiber. We are still operating in only a few cities that have announced plans for additional cities, which we expect will be reflected in 2016 CapEx</t>
        </r>
        <r>
          <rPr>
            <b/>
            <sz val="9"/>
            <color indexed="81"/>
            <rFont val="Tahoma"/>
            <family val="2"/>
          </rPr>
          <t xml:space="preserve">
10/22/15:
</t>
        </r>
        <r>
          <rPr>
            <sz val="9"/>
            <color indexed="81"/>
            <rFont val="Tahoma"/>
            <family val="2"/>
          </rPr>
          <t>as to CapEx, the vast majority to date, of course, has been to support Google, where we continue to invest, given our exciting opportunities globally. At the same time, CapEx and other bets is expected to increase through next year as we continue to execute on the growth agenda there.  In particular, in access and energy which contains our fiber business, among other efforts</t>
        </r>
      </text>
    </comment>
    <comment ref="DA103" authorId="0" shapeId="0" xr:uid="{7D96D5CD-C8C0-4D22-B930-F798C543E17F}">
      <text>
        <r>
          <rPr>
            <b/>
            <sz val="9"/>
            <color indexed="81"/>
            <rFont val="Tahoma"/>
            <family val="2"/>
          </rPr>
          <t xml:space="preserve">@3Q22 10Q: </t>
        </r>
        <r>
          <rPr>
            <sz val="9"/>
            <color indexed="81"/>
            <rFont val="Tahoma"/>
            <family val="2"/>
          </rPr>
          <t>As of September 30, 2022, $43.5 billion remains available for Class A and Class C share repurchases. Class A and Class C shares are repurchased in a manner deemed in the best interest of the company and its stockholders, taking into account the economic cost and prevailing market conditions, including the relative trading prices and volumes of the Class A and Class C shares.</t>
        </r>
      </text>
    </comment>
    <comment ref="BS104" authorId="0" shapeId="0" xr:uid="{00000000-0006-0000-0400-00003A000000}">
      <text>
        <r>
          <rPr>
            <b/>
            <sz val="9"/>
            <color indexed="81"/>
            <rFont val="Tahoma"/>
            <family val="2"/>
          </rPr>
          <t>Oct 2015</t>
        </r>
      </text>
    </comment>
    <comment ref="BU104" authorId="0" shapeId="0" xr:uid="{00000000-0006-0000-0400-00003B000000}">
      <text>
        <r>
          <rPr>
            <b/>
            <sz val="9"/>
            <color indexed="81"/>
            <rFont val="Tahoma"/>
            <family val="2"/>
          </rPr>
          <t>514k shares</t>
        </r>
      </text>
    </comment>
    <comment ref="BX104" authorId="0" shapeId="0" xr:uid="{00000000-0006-0000-0400-00003C000000}">
      <text>
        <r>
          <rPr>
            <b/>
            <sz val="9"/>
            <color indexed="81"/>
            <rFont val="Tahoma"/>
            <family val="2"/>
          </rPr>
          <t>Oct 2016</t>
        </r>
      </text>
    </comment>
    <comment ref="CE104" authorId="0" shapeId="0" xr:uid="{00000000-0006-0000-0400-00003D000000}">
      <text>
        <r>
          <rPr>
            <b/>
            <sz val="9"/>
            <color indexed="81"/>
            <rFont val="Tahoma"/>
            <family val="2"/>
          </rPr>
          <t>Jan 2018</t>
        </r>
      </text>
    </comment>
    <comment ref="CJ104" authorId="0" shapeId="0" xr:uid="{00000000-0006-0000-0400-00003E000000}">
      <text>
        <r>
          <rPr>
            <b/>
            <sz val="9"/>
            <color indexed="81"/>
            <rFont val="Tahoma"/>
            <family val="2"/>
          </rPr>
          <t>Jan 2019</t>
        </r>
      </text>
    </comment>
    <comment ref="CL104" authorId="0" shapeId="0" xr:uid="{00000000-0006-0000-0400-00003F000000}">
      <text>
        <r>
          <rPr>
            <b/>
            <sz val="9"/>
            <color indexed="81"/>
            <rFont val="Tahoma"/>
            <family val="2"/>
          </rPr>
          <t>July 2019</t>
        </r>
      </text>
    </comment>
    <comment ref="CQ104" authorId="0" shapeId="0" xr:uid="{00000000-0006-0000-0400-000040000000}">
      <text>
        <r>
          <rPr>
            <b/>
            <sz val="9"/>
            <color indexed="81"/>
            <rFont val="Tahoma"/>
            <family val="2"/>
          </rPr>
          <t xml:space="preserve">@2Q20: </t>
        </r>
        <r>
          <rPr>
            <sz val="9"/>
            <color indexed="81"/>
            <rFont val="Tahoma"/>
            <family val="2"/>
          </rPr>
          <t xml:space="preserve">On July 27, 2020, the Board of Directors of Alphabet authorized the company to repurchase up to an additional </t>
        </r>
        <r>
          <rPr>
            <b/>
            <u/>
            <sz val="9"/>
            <color indexed="81"/>
            <rFont val="Tahoma"/>
            <family val="2"/>
          </rPr>
          <t>$28.0 billion</t>
        </r>
        <r>
          <rPr>
            <sz val="9"/>
            <color indexed="81"/>
            <rFont val="Tahoma"/>
            <family val="2"/>
          </rPr>
          <t xml:space="preserve"> of its Class C capital stock. The repurchases are expected to be executed from time to time, subject to general business and market conditions and other investment opportunities, through open market purchases or privately negotiated transactions, including through Rule 10b5-1 plans.
</t>
        </r>
      </text>
    </comment>
    <comment ref="DE104" authorId="0" shapeId="0" xr:uid="{555262E5-F9FC-4E62-B3E9-393D1D4C11E1}">
      <text>
        <r>
          <rPr>
            <b/>
            <sz val="9"/>
            <color indexed="81"/>
            <rFont val="Tahoma"/>
            <family val="2"/>
          </rPr>
          <t>1Q23:</t>
        </r>
        <r>
          <rPr>
            <sz val="9"/>
            <color indexed="81"/>
            <rFont val="Tahoma"/>
            <family val="2"/>
          </rPr>
          <t xml:space="preserve"> On April 19, 2023, the Board of Directors of Alphabet authorized the company to repurchase up to an additional $70.0 billion of its Class A and Class C shares in a manner deemed in the best interest of the company and its stockholders, taking into account the economic cost and prevailing market conditions, including the relative trading prices and volumes of the Class A and Class C shares. The repurchases are expected to be executed from time to time, subject to general business and market conditions and other investment opportunities, through open market purchases or privately negotiated transactions, including through Rule 10b5-1 plans.</t>
        </r>
      </text>
    </comment>
    <comment ref="DJ104" authorId="0" shapeId="0" xr:uid="{B27A96A9-F6C0-479C-8D6A-D9FB913EE6F5}">
      <text>
        <r>
          <rPr>
            <b/>
            <sz val="9"/>
            <color indexed="81"/>
            <rFont val="Tahoma"/>
            <family val="2"/>
          </rPr>
          <t>1Q24:</t>
        </r>
        <r>
          <rPr>
            <sz val="9"/>
            <color indexed="81"/>
            <rFont val="Tahoma"/>
            <family val="2"/>
          </rPr>
          <t xml:space="preserve"> Alphabet’s Board of Directors today authorized the company to repurchase up to an additional </t>
        </r>
        <r>
          <rPr>
            <b/>
            <sz val="9"/>
            <color indexed="81"/>
            <rFont val="Tahoma"/>
            <family val="2"/>
          </rPr>
          <t>$70.0 billion</t>
        </r>
        <r>
          <rPr>
            <sz val="9"/>
            <color indexed="81"/>
            <rFont val="Tahoma"/>
            <family val="2"/>
          </rPr>
          <t xml:space="preserve"> of its Class A and Class C shares in a manner deemed in the best interest of the company and its stockholders, taking into account the economic cost and prevailing market conditions, including the relative trading prices and volumes of the Class A and Class C shares. The repurchases are expected to be executed from time to time, subject to general business and market conditions and other investment opportunities, through open market purchases or privately negotiated transactions, including through Rule 10b5-1 plans.</t>
        </r>
      </text>
    </comment>
    <comment ref="DO104" authorId="0" shapeId="0" xr:uid="{0FC0773A-DB74-4222-AC70-51DB0284F5A3}">
      <text>
        <r>
          <rPr>
            <b/>
            <sz val="9"/>
            <color indexed="81"/>
            <rFont val="Tahoma"/>
            <family val="2"/>
          </rPr>
          <t>1Q25:</t>
        </r>
        <r>
          <rPr>
            <sz val="9"/>
            <color indexed="81"/>
            <rFont val="Tahoma"/>
            <family val="2"/>
          </rPr>
          <t xml:space="preserve"> On April 23, 2025, Alphabet’s Board of Directors authorized the company to repurchase up to an additional </t>
        </r>
        <r>
          <rPr>
            <b/>
            <sz val="9"/>
            <color indexed="81"/>
            <rFont val="Tahoma"/>
            <family val="2"/>
          </rPr>
          <t>$70.0 billion</t>
        </r>
        <r>
          <rPr>
            <sz val="9"/>
            <color indexed="81"/>
            <rFont val="Tahoma"/>
            <family val="2"/>
          </rPr>
          <t xml:space="preserve"> of its Class A and Class C shares in a manner deemed in the best interest of the company and its stockholders, taking into account the economic cost and prevailing market conditions, including the relative trading prices and volumes of the Class A and Class C shares. The repurchases are expected to be executed from time to time, subject to general business and market conditions and other investment opportunities, through open market purchases or privately negotiated transactions, including through Rule 10b5-1 plans.</t>
        </r>
      </text>
    </comment>
    <comment ref="DJ107" authorId="0" shapeId="0" xr:uid="{3CFFB747-4D9D-439D-8C14-F4CF1558A26A}">
      <text>
        <r>
          <rPr>
            <b/>
            <sz val="9"/>
            <color indexed="81"/>
            <rFont val="Tahoma"/>
            <family val="2"/>
          </rPr>
          <t xml:space="preserve">1Q24: </t>
        </r>
        <r>
          <rPr>
            <sz val="9"/>
            <color indexed="81"/>
            <rFont val="Tahoma"/>
            <family val="2"/>
          </rPr>
          <t>Alphabet’s Board of Directors today approved the initiation of a cash dividend program, and declared a cash dividend of $0.20 per share that will be paid on June 17, 2024, to stockholders of record as of June 10, 2024, on each of the company’s Class A, Class B, and Class C shares. The company intends to pay quarterly cash dividends in the future, subject to review and approval by the company’s Board of Directors in its sole discretion.</t>
        </r>
      </text>
    </comment>
    <comment ref="DQ107" authorId="0" shapeId="0" xr:uid="{589FE7F2-4219-4D38-B799-39FA833DD378}">
      <text>
        <r>
          <rPr>
            <b/>
            <sz val="9"/>
            <color indexed="81"/>
            <rFont val="Tahoma"/>
            <family val="2"/>
          </rPr>
          <t xml:space="preserve">3Q25: </t>
        </r>
        <r>
          <rPr>
            <sz val="9"/>
            <color indexed="81"/>
            <rFont val="Tahoma"/>
            <family val="2"/>
          </rPr>
          <t>Alphabet’s Board of Directors declared a quarterly cash dividend of $0.21 payable on December 15, 2025 to stockholders of record for each of the Company’s Class A, Class B, and Class C shares as of December 8, 2025.</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Lee, Dae K</author>
    <author>Bo Nam</author>
    <author>Diana Kluger</author>
    <author>Kaizad Gotla</author>
  </authors>
  <commentList>
    <comment ref="BX8" authorId="0" shapeId="0" xr:uid="{00000000-0006-0000-0500-000001000000}">
      <text>
        <r>
          <rPr>
            <b/>
            <sz val="9"/>
            <color indexed="81"/>
            <rFont val="Tahoma"/>
            <family val="2"/>
          </rPr>
          <t xml:space="preserve">@4Q: </t>
        </r>
        <r>
          <rPr>
            <sz val="9"/>
            <color indexed="81"/>
            <rFont val="Tahoma"/>
            <family val="2"/>
          </rPr>
          <t>We ended the quarter with cash and marketable securities of $86.3 billion of which approximately $52 billion or 61% is held overseas.</t>
        </r>
      </text>
    </comment>
    <comment ref="A9" authorId="0" shapeId="0" xr:uid="{00000000-0006-0000-0500-000002000000}">
      <text>
        <r>
          <rPr>
            <sz val="9"/>
            <color indexed="81"/>
            <rFont val="Tahoma"/>
            <family val="2"/>
          </rPr>
          <t>Previously Short-term investments</t>
        </r>
      </text>
    </comment>
    <comment ref="BL9" authorId="1" shapeId="0" xr:uid="{00000000-0006-0000-0500-000003000000}">
      <text>
        <r>
          <rPr>
            <b/>
            <sz val="9"/>
            <color indexed="81"/>
            <rFont val="Tahoma"/>
            <family val="2"/>
          </rPr>
          <t>Bo Nam:</t>
        </r>
        <r>
          <rPr>
            <sz val="9"/>
            <color indexed="81"/>
            <rFont val="Tahoma"/>
            <family val="2"/>
          </rPr>
          <t xml:space="preserve">
750M Lenovo shares</t>
        </r>
      </text>
    </comment>
    <comment ref="A18" authorId="0" shapeId="0" xr:uid="{00000000-0006-0000-0500-000004000000}">
      <text>
        <r>
          <rPr>
            <sz val="9"/>
            <color indexed="81"/>
            <rFont val="Tahoma"/>
            <family val="2"/>
          </rPr>
          <t>Previously Non-marketable equity securities</t>
        </r>
      </text>
    </comment>
    <comment ref="BG18" authorId="1" shapeId="0" xr:uid="{00000000-0006-0000-0500-000005000000}">
      <text>
        <r>
          <rPr>
            <b/>
            <sz val="9"/>
            <color indexed="81"/>
            <rFont val="Tahoma"/>
            <family val="2"/>
          </rPr>
          <t>Bo Nam:</t>
        </r>
        <r>
          <rPr>
            <sz val="9"/>
            <color indexed="81"/>
            <rFont val="Tahoma"/>
            <family val="2"/>
          </rPr>
          <t xml:space="preserve">
$300M from Arris from the Motorola Home sale</t>
        </r>
      </text>
    </comment>
    <comment ref="DA23" authorId="0" shapeId="0" xr:uid="{AA84B029-77B6-40E6-BB6F-E3CB72EDF68E}">
      <text>
        <r>
          <rPr>
            <sz val="9"/>
            <color indexed="81"/>
            <rFont val="Tahoma"/>
            <family val="2"/>
          </rPr>
          <t xml:space="preserve">MDNT… assume in Goodwill for now… </t>
        </r>
      </text>
    </comment>
    <comment ref="DG31" authorId="0" shapeId="0" xr:uid="{3028AA18-2C32-45CE-B9EF-F8E2CC94CA65}">
      <text>
        <r>
          <rPr>
            <b/>
            <sz val="9"/>
            <color indexed="81"/>
            <rFont val="Tahoma"/>
            <family val="2"/>
          </rPr>
          <t xml:space="preserve">3Q23: </t>
        </r>
        <r>
          <rPr>
            <sz val="9"/>
            <color indexed="81"/>
            <rFont val="Tahoma"/>
            <family val="2"/>
          </rPr>
          <t>The three and nine month period ended September 30, 2023 include the effect of the IRS payment deferral relief made available to taxpayers headquartered in designated counties in California. On October 16, 2023, we made an estimated tax payment to the IRS of $10.5 billion that will be reflected in our fourth quarter operating cash flow.</t>
        </r>
      </text>
    </comment>
    <comment ref="DK31" authorId="0" shapeId="0" xr:uid="{ADF437F0-0DFB-4747-8E12-D2D0DE819F81}">
      <text>
        <r>
          <rPr>
            <b/>
            <sz val="9"/>
            <color indexed="81"/>
            <rFont val="Tahoma"/>
            <family val="2"/>
          </rPr>
          <t>3Q24: Includes $3B cash payment for 2017 EC shopping fine</t>
        </r>
      </text>
    </comment>
    <comment ref="BL35" authorId="2" shapeId="0" xr:uid="{00000000-0006-0000-0500-000006000000}">
      <text>
        <r>
          <rPr>
            <b/>
            <sz val="9"/>
            <color indexed="81"/>
            <rFont val="Tahoma"/>
            <family val="2"/>
          </rPr>
          <t>includes 2,304 in liabilities held for sale</t>
        </r>
      </text>
    </comment>
    <comment ref="BK37" authorId="3" shapeId="0" xr:uid="{00000000-0006-0000-0500-000007000000}">
      <text>
        <r>
          <rPr>
            <b/>
            <sz val="9"/>
            <color indexed="81"/>
            <rFont val="Tahoma"/>
            <family val="2"/>
          </rPr>
          <t>Kaizad Gotla:</t>
        </r>
        <r>
          <rPr>
            <sz val="9"/>
            <color indexed="81"/>
            <rFont val="Tahoma"/>
            <family val="2"/>
          </rPr>
          <t xml:space="preserve">
liabilities held for sale.. moto</t>
        </r>
      </text>
    </comment>
    <comment ref="CF44" authorId="0" shapeId="0" xr:uid="{00000000-0006-0000-0500-000008000000}">
      <text>
        <r>
          <rPr>
            <sz val="9"/>
            <color indexed="81"/>
            <rFont val="Tahoma"/>
            <family val="2"/>
          </rPr>
          <t>Assume repatriation cash tax installment payment</t>
        </r>
      </text>
    </comment>
    <comment ref="CH44" authorId="0" shapeId="0" xr:uid="{00000000-0006-0000-0500-000009000000}">
      <text>
        <r>
          <rPr>
            <sz val="9"/>
            <color indexed="81"/>
            <rFont val="Tahoma"/>
            <family val="2"/>
          </rPr>
          <t>Assume repatriation cash tax installment payment</t>
        </r>
      </text>
    </comment>
    <comment ref="CN44" authorId="0" shapeId="0" xr:uid="{00000000-0006-0000-0500-00000A000000}">
      <text>
        <r>
          <rPr>
            <sz val="9"/>
            <color indexed="81"/>
            <rFont val="Tahoma"/>
            <family val="2"/>
          </rPr>
          <t>Assume repatriation cash tax installment payment</t>
        </r>
      </text>
    </comment>
    <comment ref="CX44" authorId="0" shapeId="0" xr:uid="{00000000-0006-0000-0500-00000B000000}">
      <text>
        <r>
          <rPr>
            <sz val="9"/>
            <color indexed="81"/>
            <rFont val="Tahoma"/>
            <family val="2"/>
          </rPr>
          <t>Assume repatriation cash tax installment payment</t>
        </r>
      </text>
    </comment>
    <comment ref="DB44" authorId="0" shapeId="0" xr:uid="{00000000-0006-0000-0500-00000C000000}">
      <text>
        <r>
          <rPr>
            <sz val="9"/>
            <color indexed="81"/>
            <rFont val="Tahoma"/>
            <family val="2"/>
          </rPr>
          <t>Assume repatriation cash tax installment payment</t>
        </r>
      </text>
    </comment>
    <comment ref="DE44" authorId="0" shapeId="0" xr:uid="{C49A77CE-37F5-46D2-BCE1-F18DEB2F1354}">
      <text>
        <r>
          <rPr>
            <sz val="9"/>
            <color indexed="81"/>
            <rFont val="Tahoma"/>
            <family val="2"/>
          </rPr>
          <t>Assume repatriation cash tax installment payment</t>
        </r>
      </text>
    </comment>
    <comment ref="DG44" authorId="0" shapeId="0" xr:uid="{82157549-2076-4889-AB6F-87AFFDD27D2F}">
      <text>
        <r>
          <rPr>
            <sz val="9"/>
            <color indexed="81"/>
            <rFont val="Tahoma"/>
            <family val="2"/>
          </rPr>
          <t>Assume repatriation cash tax installment payment</t>
        </r>
      </text>
    </comment>
    <comment ref="DJ44" authorId="0" shapeId="0" xr:uid="{6FBDB997-28DB-456E-899C-94C026FBFBB9}">
      <text>
        <r>
          <rPr>
            <sz val="9"/>
            <color indexed="81"/>
            <rFont val="Tahoma"/>
            <family val="2"/>
          </rPr>
          <t>Assume repatriation cash tax installment payment</t>
        </r>
      </text>
    </comment>
    <comment ref="DL44" authorId="0" shapeId="0" xr:uid="{C3EAB7B1-3739-4059-AA6F-623CA221519C}">
      <text>
        <r>
          <rPr>
            <sz val="9"/>
            <color indexed="81"/>
            <rFont val="Tahoma"/>
            <family val="2"/>
          </rPr>
          <t>Assume repatriation cash tax installment payment</t>
        </r>
      </text>
    </comment>
    <comment ref="DM44" authorId="0" shapeId="0" xr:uid="{00000000-0006-0000-0500-00000E000000}">
      <text>
        <r>
          <rPr>
            <sz val="9"/>
            <color indexed="81"/>
            <rFont val="Tahoma"/>
            <family val="2"/>
          </rPr>
          <t>Assume repatriation cash tax installment payment</t>
        </r>
      </text>
    </comment>
    <comment ref="DO44" authorId="0" shapeId="0" xr:uid="{9B68B43F-2505-4E4C-95B0-9712FCB0C77E}">
      <text>
        <r>
          <rPr>
            <sz val="9"/>
            <color indexed="81"/>
            <rFont val="Tahoma"/>
            <family val="2"/>
          </rPr>
          <t>Assume repatriation cash tax installment payment</t>
        </r>
      </text>
    </comment>
    <comment ref="DQ44" authorId="0" shapeId="0" xr:uid="{35DD47B3-C12B-4674-B8E4-6C8EBA015A98}">
      <text>
        <r>
          <rPr>
            <sz val="9"/>
            <color indexed="81"/>
            <rFont val="Tahoma"/>
            <family val="2"/>
          </rPr>
          <t>Assume repatriation cash tax installment payment</t>
        </r>
      </text>
    </comment>
    <comment ref="DR44" authorId="0" shapeId="0" xr:uid="{00000000-0006-0000-0500-00000F000000}">
      <text>
        <r>
          <rPr>
            <sz val="9"/>
            <color indexed="81"/>
            <rFont val="Tahoma"/>
            <family val="2"/>
          </rPr>
          <t>Assume repatriation cash tax installment payment</t>
        </r>
      </text>
    </comment>
    <comment ref="DW44" authorId="0" shapeId="0" xr:uid="{00000000-0006-0000-0500-000010000000}">
      <text>
        <r>
          <rPr>
            <sz val="9"/>
            <color indexed="81"/>
            <rFont val="Tahoma"/>
            <family val="2"/>
          </rPr>
          <t>Assume repatriation cash tax installment payment</t>
        </r>
      </text>
    </comment>
    <comment ref="DX44" authorId="0" shapeId="0" xr:uid="{00000000-0006-0000-0500-000011000000}">
      <text>
        <r>
          <rPr>
            <sz val="9"/>
            <color indexed="81"/>
            <rFont val="Tahoma"/>
            <family val="2"/>
          </rPr>
          <t>Assume repatriation cash tax installment payment</t>
        </r>
      </text>
    </comment>
    <comment ref="DY44" authorId="0" shapeId="0" xr:uid="{AFCFB882-0AF8-4235-9E87-378992173462}">
      <text>
        <r>
          <rPr>
            <sz val="9"/>
            <color indexed="81"/>
            <rFont val="Tahoma"/>
            <family val="2"/>
          </rPr>
          <t>Assume repatriation cash tax installment payment</t>
        </r>
      </text>
    </comment>
    <comment ref="DZ44" authorId="0" shapeId="0" xr:uid="{CD1A16BF-FF49-4F36-BE40-55742B35F997}">
      <text>
        <r>
          <rPr>
            <sz val="9"/>
            <color indexed="81"/>
            <rFont val="Tahoma"/>
            <family val="2"/>
          </rPr>
          <t>Assume repatriation cash tax installment payment</t>
        </r>
      </text>
    </comment>
    <comment ref="EA44" authorId="0" shapeId="0" xr:uid="{75026E96-39A7-4FFB-A28D-F2EAF2377802}">
      <text>
        <r>
          <rPr>
            <sz val="9"/>
            <color indexed="81"/>
            <rFont val="Tahoma"/>
            <family val="2"/>
          </rPr>
          <t>Assume repatriation cash tax installment payment</t>
        </r>
      </text>
    </comment>
    <comment ref="BL55" authorId="1" shapeId="0" xr:uid="{00000000-0006-0000-0500-000012000000}">
      <text>
        <r>
          <rPr>
            <b/>
            <sz val="9"/>
            <color indexed="81"/>
            <rFont val="Tahoma"/>
            <family val="2"/>
          </rPr>
          <t>Bo Nam:</t>
        </r>
        <r>
          <rPr>
            <sz val="9"/>
            <color indexed="81"/>
            <rFont val="Tahoma"/>
            <family val="2"/>
          </rPr>
          <t xml:space="preserve">
750M Lenovo shares</t>
        </r>
      </text>
    </comment>
    <comment ref="CO55" authorId="0" shapeId="0" xr:uid="{00000000-0006-0000-0500-000013000000}">
      <text>
        <r>
          <rPr>
            <b/>
            <sz val="9"/>
            <color indexed="81"/>
            <rFont val="Tahoma"/>
            <family val="2"/>
          </rPr>
          <t>Waymo raise</t>
        </r>
      </text>
    </comment>
    <comment ref="AX80" authorId="3" shapeId="0" xr:uid="{00000000-0006-0000-0500-000014000000}">
      <text>
        <r>
          <rPr>
            <b/>
            <sz val="8"/>
            <color indexed="81"/>
            <rFont val="Tahoma"/>
            <family val="2"/>
          </rPr>
          <t>Kaizad Gotla:</t>
        </r>
        <r>
          <rPr>
            <sz val="8"/>
            <color indexed="81"/>
            <rFont val="Tahoma"/>
            <family val="2"/>
          </rPr>
          <t xml:space="preserve">
do not copy formulas for this row</t>
        </r>
      </text>
    </comment>
    <comment ref="DG95" authorId="0" shapeId="0" xr:uid="{26AEDE51-D2F9-43E6-B92E-7E43478990E2}">
      <text>
        <r>
          <rPr>
            <b/>
            <sz val="9"/>
            <color indexed="81"/>
            <rFont val="Tahoma"/>
            <family val="2"/>
          </rPr>
          <t xml:space="preserve">3Q23: </t>
        </r>
        <r>
          <rPr>
            <sz val="9"/>
            <color indexed="81"/>
            <rFont val="Tahoma"/>
            <family val="2"/>
          </rPr>
          <t>The three and nine month period ended September 30, 2023 include the effect of the IRS payment deferral relief made available to taxpayers headquartered in designated counties in California. On October 16, 2023, we made an estimated tax payment to the IRS of $10.5 billion that will be reflected in our fourth quarter operating cash flow.</t>
        </r>
      </text>
    </comment>
    <comment ref="DK95" authorId="0" shapeId="0" xr:uid="{31EA3F41-D909-45DC-A495-1CF3B5592F6A}">
      <text>
        <r>
          <rPr>
            <b/>
            <sz val="9"/>
            <color indexed="81"/>
            <rFont val="Tahoma"/>
            <family val="2"/>
          </rPr>
          <t>3Q24: Includes $3B cash payment for 2017 EC shopping fine</t>
        </r>
      </text>
    </comment>
    <comment ref="DP95" authorId="0" shapeId="0" xr:uid="{7E5BF61D-071F-417E-8455-285431BC6292}">
      <text>
        <r>
          <rPr>
            <b/>
            <sz val="9"/>
            <color indexed="81"/>
            <rFont val="Tahoma"/>
            <family val="2"/>
          </rPr>
          <t>3Q24: Includes $3B cash payment for 2017 EC shopping fine</t>
        </r>
      </text>
    </comment>
    <comment ref="CE110" authorId="0" shapeId="0" xr:uid="{00000000-0006-0000-0500-000015000000}">
      <text>
        <r>
          <rPr>
            <b/>
            <sz val="9"/>
            <color indexed="81"/>
            <rFont val="Tahoma"/>
            <family val="2"/>
          </rPr>
          <t xml:space="preserve">@1Q18 call: </t>
        </r>
        <r>
          <rPr>
            <sz val="9"/>
            <color indexed="81"/>
            <rFont val="Tahoma"/>
            <family val="2"/>
          </rPr>
          <t>in terms of the data centers, we are investing globally. We currently have over 20 sites on 4 continents, and that's under differing stages of construction. As Sundar noted, you know, it's across the US, Tennessee, Alabama, South Carolina, Iowa, so we're really building out to support the growth that we're seeing.</t>
        </r>
      </text>
    </comment>
    <comment ref="A140" authorId="0" shapeId="0" xr:uid="{5CF4A518-1967-4317-83EF-1C2AB28A1150}">
      <text>
        <r>
          <rPr>
            <sz val="9"/>
            <color indexed="81"/>
            <rFont val="Tahoma"/>
            <family val="2"/>
          </rPr>
          <t>Technical infrastructure includes data center land, buildings and leasehold improvements, and servers and network equipment.</t>
        </r>
      </text>
    </comment>
    <comment ref="A141" authorId="0" shapeId="0" xr:uid="{6B96E4D2-6936-4F62-AA5C-8405D6E2E855}">
      <text>
        <r>
          <rPr>
            <sz val="9"/>
            <color indexed="81"/>
            <rFont val="Tahoma"/>
            <family val="2"/>
          </rPr>
          <t>Office space includes office land, buildings and leasehold improvements.</t>
        </r>
      </text>
    </comment>
    <comment ref="A144" authorId="0" shapeId="0" xr:uid="{CAF32D83-1649-4A1E-8ABF-034A4F50296E}">
      <text>
        <r>
          <rPr>
            <sz val="9"/>
            <color indexed="81"/>
            <rFont val="Tahoma"/>
            <family val="2"/>
          </rPr>
          <t xml:space="preserve">Property and equipment are stated at cost less accumulated depreciation. Depreciation commences once assets  are ready for our intended use and is recorded using the straight-line method over the estimated useful lives of the assets, which we regularly evaluate for factors such as technological obsolescence and our planned use and utilization. </t>
        </r>
        <r>
          <rPr>
            <u/>
            <sz val="9"/>
            <color indexed="81"/>
            <rFont val="Tahoma"/>
            <family val="2"/>
          </rPr>
          <t>We depreciate data center and office buildings over periods of seven to 40 years. We depreciate servers and network equipment generally over a period of six years. We depreciate corporate and other assets over periods of two to 25 years. We depreciate leasehold improvements over the shorter of the remaining lease term or the estimated useful lives of the assets. Land is not depreciated.</t>
        </r>
      </text>
    </comment>
    <comment ref="A145" authorId="0" shapeId="0" xr:uid="{18B9B1B3-D0AD-4704-90C3-35C8894D00B9}">
      <text>
        <r>
          <rPr>
            <sz val="9"/>
            <color indexed="81"/>
            <rFont val="Tahoma"/>
            <family val="2"/>
          </rPr>
          <t>Assets not yet in service are those that are not ready for our intended use, including data center buildings and servers in the process of construction or assembly.</t>
        </r>
      </text>
    </comment>
    <comment ref="CX169" authorId="0" shapeId="0" xr:uid="{00000000-0006-0000-0500-000016000000}">
      <text>
        <r>
          <rPr>
            <b/>
            <sz val="9"/>
            <color indexed="81"/>
            <rFont val="Tahoma"/>
            <family val="2"/>
          </rPr>
          <t xml:space="preserve">@4Q20: </t>
        </r>
        <r>
          <rPr>
            <sz val="9"/>
            <color indexed="81"/>
            <rFont val="Tahoma"/>
            <family val="2"/>
          </rPr>
          <t>In January 2021, we completed an assessment of the useful lives of our servers and network equipment and determined we should adjust the estimated useful life of our servers from three years to four years and the estimated useful life of certain network equipment from three years to five years. This change in accounting estimate will be effective beginning fiscal year 2021. For assets that are in-service as of December 31, 2020, we expect operating results to be favorably impacted by approximately $2.1 billion for the full fiscal year 2021. The effect of the change may be different due to our capital investments during the fiscal year 2021.</t>
        </r>
      </text>
    </comment>
    <comment ref="DH169" authorId="0" shapeId="0" xr:uid="{78922666-C18B-45BE-A6D9-4B000379B39C}">
      <text>
        <r>
          <rPr>
            <b/>
            <sz val="9"/>
            <color indexed="81"/>
            <rFont val="Tahoma"/>
            <family val="2"/>
          </rPr>
          <t xml:space="preserve">4Q22: </t>
        </r>
        <r>
          <rPr>
            <sz val="9"/>
            <color indexed="81"/>
            <rFont val="Tahoma"/>
            <family val="2"/>
          </rPr>
          <t>In January 2023, we completed an assessment of the useful lives of our servers and network equipment, resulting in a change in the estimated useful life of our servers and certain network equipment to six years, which we expect to result in a reduction of depreciation of approximately $3.4 billion for the full fiscal year 2023 for assets in service as of December 31, 2022, recorded primarily in cost of revenues and research and development (R&amp;D) expenses.</t>
        </r>
      </text>
    </comment>
    <comment ref="BQ204" authorId="2" shapeId="0" xr:uid="{00000000-0006-0000-0500-000017000000}">
      <text>
        <r>
          <rPr>
            <b/>
            <sz val="9"/>
            <color indexed="81"/>
            <rFont val="Tahoma"/>
            <family val="2"/>
          </rPr>
          <t>2.125% notes due on May 19, 2016</t>
        </r>
      </text>
    </comment>
    <comment ref="BR204" authorId="2" shapeId="0" xr:uid="{00000000-0006-0000-0500-000018000000}">
      <text>
        <r>
          <rPr>
            <b/>
            <sz val="9"/>
            <color indexed="81"/>
            <rFont val="Tahoma"/>
            <family val="2"/>
          </rPr>
          <t>2.125% notes due on May 19, 2016</t>
        </r>
      </text>
    </comment>
    <comment ref="BS204" authorId="2" shapeId="0" xr:uid="{00000000-0006-0000-0500-000019000000}">
      <text>
        <r>
          <rPr>
            <b/>
            <sz val="9"/>
            <color indexed="81"/>
            <rFont val="Tahoma"/>
            <family val="2"/>
          </rPr>
          <t>2.125% notes due on May 19, 2016</t>
        </r>
      </text>
    </comment>
    <comment ref="BK207" authorId="2" shapeId="0" xr:uid="{00000000-0006-0000-0500-00001A000000}">
      <text>
        <r>
          <rPr>
            <b/>
            <sz val="9"/>
            <color indexed="81"/>
            <rFont val="Tahoma"/>
            <family val="2"/>
          </rPr>
          <t>2.125% notes due on May 19, 2016</t>
        </r>
      </text>
    </comment>
    <comment ref="BL207" authorId="2" shapeId="0" xr:uid="{00000000-0006-0000-0500-00001B000000}">
      <text>
        <r>
          <rPr>
            <b/>
            <sz val="9"/>
            <color indexed="81"/>
            <rFont val="Tahoma"/>
            <family val="2"/>
          </rPr>
          <t>2.125% notes due on May 19, 2016</t>
        </r>
      </text>
    </comment>
    <comment ref="BM207" authorId="2" shapeId="0" xr:uid="{00000000-0006-0000-0500-00001C000000}">
      <text>
        <r>
          <rPr>
            <b/>
            <sz val="9"/>
            <color indexed="81"/>
            <rFont val="Tahoma"/>
            <family val="2"/>
          </rPr>
          <t>2.125% notes due on May 19, 2016</t>
        </r>
      </text>
    </comment>
    <comment ref="BN207" authorId="2" shapeId="0" xr:uid="{00000000-0006-0000-0500-00001D000000}">
      <text>
        <r>
          <rPr>
            <b/>
            <sz val="9"/>
            <color indexed="81"/>
            <rFont val="Tahoma"/>
            <family val="2"/>
          </rPr>
          <t>2.125% notes due on May 19, 2016</t>
        </r>
      </text>
    </comment>
    <comment ref="BP207" authorId="2" shapeId="0" xr:uid="{00000000-0006-0000-0500-00001E000000}">
      <text>
        <r>
          <rPr>
            <b/>
            <sz val="9"/>
            <color indexed="81"/>
            <rFont val="Tahoma"/>
            <family val="2"/>
          </rPr>
          <t>2.125% notes due on May 19, 2016</t>
        </r>
      </text>
    </comment>
    <comment ref="BQ207" authorId="2" shapeId="0" xr:uid="{00000000-0006-0000-0500-00001F000000}">
      <text>
        <r>
          <rPr>
            <b/>
            <sz val="9"/>
            <color indexed="81"/>
            <rFont val="Tahoma"/>
            <family val="2"/>
          </rPr>
          <t>2.125% notes due on May 19, 2016</t>
        </r>
      </text>
    </comment>
    <comment ref="BK208" authorId="2" shapeId="0" xr:uid="{00000000-0006-0000-0500-000020000000}">
      <text>
        <r>
          <rPr>
            <b/>
            <sz val="9"/>
            <color indexed="81"/>
            <rFont val="Tahoma"/>
            <family val="2"/>
          </rPr>
          <t>3.625% ntoes due may 2021</t>
        </r>
      </text>
    </comment>
    <comment ref="BL208" authorId="2" shapeId="0" xr:uid="{00000000-0006-0000-0500-000021000000}">
      <text>
        <r>
          <rPr>
            <b/>
            <sz val="9"/>
            <color indexed="81"/>
            <rFont val="Tahoma"/>
            <family val="2"/>
          </rPr>
          <t>3.625% ntoes due may 2021</t>
        </r>
      </text>
    </comment>
    <comment ref="BM208" authorId="2" shapeId="0" xr:uid="{00000000-0006-0000-0500-000022000000}">
      <text>
        <r>
          <rPr>
            <b/>
            <sz val="9"/>
            <color indexed="81"/>
            <rFont val="Tahoma"/>
            <family val="2"/>
          </rPr>
          <t>3.625% ntoes due may 2021</t>
        </r>
      </text>
    </comment>
    <comment ref="BN208" authorId="2" shapeId="0" xr:uid="{00000000-0006-0000-0500-000023000000}">
      <text>
        <r>
          <rPr>
            <b/>
            <sz val="9"/>
            <color indexed="81"/>
            <rFont val="Tahoma"/>
            <family val="2"/>
          </rPr>
          <t>3.625% ntoes due may 2021</t>
        </r>
      </text>
    </comment>
    <comment ref="BP208" authorId="2" shapeId="0" xr:uid="{00000000-0006-0000-0500-000024000000}">
      <text>
        <r>
          <rPr>
            <b/>
            <sz val="9"/>
            <color indexed="81"/>
            <rFont val="Tahoma"/>
            <family val="2"/>
          </rPr>
          <t>3.625% ntoes due may 2021</t>
        </r>
      </text>
    </comment>
    <comment ref="BQ208" authorId="2" shapeId="0" xr:uid="{00000000-0006-0000-0500-000025000000}">
      <text>
        <r>
          <rPr>
            <b/>
            <sz val="9"/>
            <color indexed="81"/>
            <rFont val="Tahoma"/>
            <family val="2"/>
          </rPr>
          <t>3.625% ntoes due may 2021</t>
        </r>
      </text>
    </comment>
    <comment ref="BR208" authorId="2" shapeId="0" xr:uid="{00000000-0006-0000-0500-000026000000}">
      <text>
        <r>
          <rPr>
            <b/>
            <sz val="9"/>
            <color indexed="81"/>
            <rFont val="Tahoma"/>
            <family val="2"/>
          </rPr>
          <t>3.625% ntoes due may 2021</t>
        </r>
      </text>
    </comment>
    <comment ref="BS208" authorId="2" shapeId="0" xr:uid="{00000000-0006-0000-0500-000027000000}">
      <text>
        <r>
          <rPr>
            <b/>
            <sz val="9"/>
            <color indexed="81"/>
            <rFont val="Tahoma"/>
            <family val="2"/>
          </rPr>
          <t>3.625% ntoes due may 2021</t>
        </r>
      </text>
    </comment>
    <comment ref="BU208" authorId="2" shapeId="0" xr:uid="{00000000-0006-0000-0500-000028000000}">
      <text>
        <r>
          <rPr>
            <b/>
            <sz val="9"/>
            <color indexed="81"/>
            <rFont val="Tahoma"/>
            <family val="2"/>
          </rPr>
          <t>3.625% ntoes due may 2021</t>
        </r>
      </text>
    </comment>
    <comment ref="BV208" authorId="2" shapeId="0" xr:uid="{00000000-0006-0000-0500-000029000000}">
      <text>
        <r>
          <rPr>
            <b/>
            <sz val="9"/>
            <color indexed="81"/>
            <rFont val="Tahoma"/>
            <family val="2"/>
          </rPr>
          <t>3.625% ntoes due may 2021</t>
        </r>
      </text>
    </comment>
    <comment ref="BW208" authorId="2" shapeId="0" xr:uid="{00000000-0006-0000-0500-00002A000000}">
      <text>
        <r>
          <rPr>
            <b/>
            <sz val="9"/>
            <color indexed="81"/>
            <rFont val="Tahoma"/>
            <family val="2"/>
          </rPr>
          <t>3.625% ntoes due may 2021</t>
        </r>
      </text>
    </comment>
    <comment ref="BX208" authorId="2" shapeId="0" xr:uid="{00000000-0006-0000-0500-00002B000000}">
      <text>
        <r>
          <rPr>
            <b/>
            <sz val="9"/>
            <color indexed="81"/>
            <rFont val="Tahoma"/>
            <family val="2"/>
          </rPr>
          <t>3.625% ntoes due may 2021</t>
        </r>
      </text>
    </comment>
    <comment ref="CD208" authorId="2" shapeId="0" xr:uid="{00000000-0006-0000-0500-00002C000000}">
      <text>
        <r>
          <rPr>
            <b/>
            <sz val="9"/>
            <color indexed="81"/>
            <rFont val="Tahoma"/>
            <family val="2"/>
          </rPr>
          <t>3.625% ntoes due may 2021</t>
        </r>
      </text>
    </comment>
    <comment ref="CI208" authorId="2" shapeId="0" xr:uid="{00000000-0006-0000-0500-00002D000000}">
      <text>
        <r>
          <rPr>
            <b/>
            <sz val="9"/>
            <color indexed="81"/>
            <rFont val="Tahoma"/>
            <family val="2"/>
          </rPr>
          <t>3.625% ntoes due may 2021</t>
        </r>
      </text>
    </comment>
    <comment ref="CN208" authorId="2" shapeId="0" xr:uid="{00000000-0006-0000-0500-00002E000000}">
      <text>
        <r>
          <rPr>
            <b/>
            <sz val="9"/>
            <color indexed="81"/>
            <rFont val="Tahoma"/>
            <family val="2"/>
          </rPr>
          <t>3.625% ntoes due may 2021</t>
        </r>
      </text>
    </comment>
    <comment ref="CS208" authorId="2" shapeId="0" xr:uid="{00000000-0006-0000-0500-00002F000000}">
      <text>
        <r>
          <rPr>
            <b/>
            <sz val="9"/>
            <color indexed="81"/>
            <rFont val="Tahoma"/>
            <family val="2"/>
          </rPr>
          <t>3.625% ntoes due may 2021</t>
        </r>
      </text>
    </comment>
    <comment ref="CX208" authorId="2" shapeId="0" xr:uid="{00000000-0006-0000-0500-000030000000}">
      <text>
        <r>
          <rPr>
            <b/>
            <sz val="9"/>
            <color indexed="81"/>
            <rFont val="Tahoma"/>
            <family val="2"/>
          </rPr>
          <t>3.625% ntoes due may 2021</t>
        </r>
      </text>
    </comment>
    <comment ref="DC208" authorId="2" shapeId="0" xr:uid="{00000000-0006-0000-0500-000031000000}">
      <text>
        <r>
          <rPr>
            <b/>
            <sz val="9"/>
            <color indexed="81"/>
            <rFont val="Tahoma"/>
            <family val="2"/>
          </rPr>
          <t>3.625% ntoes due may 2021</t>
        </r>
      </text>
    </comment>
    <comment ref="DH208" authorId="2" shapeId="0" xr:uid="{602A8FBE-0DD3-4548-92EC-35C411EEC8FC}">
      <text>
        <r>
          <rPr>
            <b/>
            <sz val="9"/>
            <color indexed="81"/>
            <rFont val="Tahoma"/>
            <family val="2"/>
          </rPr>
          <t>3.625% ntoes due may 2021</t>
        </r>
      </text>
    </comment>
    <comment ref="DM208" authorId="2" shapeId="0" xr:uid="{00000000-0006-0000-0500-000033000000}">
      <text>
        <r>
          <rPr>
            <b/>
            <sz val="9"/>
            <color indexed="81"/>
            <rFont val="Tahoma"/>
            <family val="2"/>
          </rPr>
          <t>3.625% ntoes due may 2021</t>
        </r>
      </text>
    </comment>
    <comment ref="DR208" authorId="2" shapeId="0" xr:uid="{00000000-0006-0000-0500-000034000000}">
      <text>
        <r>
          <rPr>
            <b/>
            <sz val="9"/>
            <color indexed="81"/>
            <rFont val="Tahoma"/>
            <family val="2"/>
          </rPr>
          <t>3.625% ntoes due may 2021</t>
        </r>
      </text>
    </comment>
    <comment ref="DW208" authorId="2" shapeId="0" xr:uid="{00000000-0006-0000-0500-000035000000}">
      <text>
        <r>
          <rPr>
            <b/>
            <sz val="9"/>
            <color indexed="81"/>
            <rFont val="Tahoma"/>
            <family val="2"/>
          </rPr>
          <t>3.625% ntoes due may 2021</t>
        </r>
      </text>
    </comment>
    <comment ref="DX208" authorId="2" shapeId="0" xr:uid="{00000000-0006-0000-0500-000036000000}">
      <text>
        <r>
          <rPr>
            <b/>
            <sz val="9"/>
            <color indexed="81"/>
            <rFont val="Tahoma"/>
            <family val="2"/>
          </rPr>
          <t>3.625% ntoes due may 2021</t>
        </r>
      </text>
    </comment>
    <comment ref="DY208" authorId="2" shapeId="0" xr:uid="{DC430211-E2C6-44FC-8B01-8853ECCD048B}">
      <text>
        <r>
          <rPr>
            <b/>
            <sz val="9"/>
            <color indexed="81"/>
            <rFont val="Tahoma"/>
            <family val="2"/>
          </rPr>
          <t>3.625% ntoes due may 2021</t>
        </r>
      </text>
    </comment>
    <comment ref="DZ208" authorId="2" shapeId="0" xr:uid="{B2026307-F819-489D-8E8C-478455A27CFB}">
      <text>
        <r>
          <rPr>
            <b/>
            <sz val="9"/>
            <color indexed="81"/>
            <rFont val="Tahoma"/>
            <family val="2"/>
          </rPr>
          <t>3.625% ntoes due may 2021</t>
        </r>
      </text>
    </comment>
    <comment ref="EA208" authorId="2" shapeId="0" xr:uid="{5AEEFE34-DE65-4D40-AE4C-0A6DE8B6CE01}">
      <text>
        <r>
          <rPr>
            <b/>
            <sz val="9"/>
            <color indexed="81"/>
            <rFont val="Tahoma"/>
            <family val="2"/>
          </rPr>
          <t>3.625% ntoes due may 2021</t>
        </r>
      </text>
    </comment>
    <comment ref="BL209" authorId="2" shapeId="0" xr:uid="{00000000-0006-0000-0500-000037000000}">
      <text>
        <r>
          <rPr>
            <b/>
            <sz val="9"/>
            <color indexed="81"/>
            <rFont val="Tahoma"/>
            <family val="2"/>
          </rPr>
          <t>3.375% notes due Feb 2024</t>
        </r>
      </text>
    </comment>
    <comment ref="BM209" authorId="2" shapeId="0" xr:uid="{00000000-0006-0000-0500-000038000000}">
      <text>
        <r>
          <rPr>
            <b/>
            <sz val="9"/>
            <color indexed="81"/>
            <rFont val="Tahoma"/>
            <family val="2"/>
          </rPr>
          <t>3.375% notes due Feb 2024</t>
        </r>
      </text>
    </comment>
    <comment ref="BN209" authorId="2" shapeId="0" xr:uid="{00000000-0006-0000-0500-000039000000}">
      <text>
        <r>
          <rPr>
            <b/>
            <sz val="9"/>
            <color indexed="81"/>
            <rFont val="Tahoma"/>
            <family val="2"/>
          </rPr>
          <t>3.375% notes due Feb 2024</t>
        </r>
      </text>
    </comment>
    <comment ref="BP209" authorId="2" shapeId="0" xr:uid="{00000000-0006-0000-0500-00003A000000}">
      <text>
        <r>
          <rPr>
            <b/>
            <sz val="9"/>
            <color indexed="81"/>
            <rFont val="Tahoma"/>
            <family val="2"/>
          </rPr>
          <t>3.375% notes due Feb 2024</t>
        </r>
      </text>
    </comment>
    <comment ref="BQ209" authorId="2" shapeId="0" xr:uid="{00000000-0006-0000-0500-00003B000000}">
      <text>
        <r>
          <rPr>
            <b/>
            <sz val="9"/>
            <color indexed="81"/>
            <rFont val="Tahoma"/>
            <family val="2"/>
          </rPr>
          <t>3.375% notes due Feb 2024</t>
        </r>
      </text>
    </comment>
    <comment ref="BR209" authorId="2" shapeId="0" xr:uid="{00000000-0006-0000-0500-00003C000000}">
      <text>
        <r>
          <rPr>
            <b/>
            <sz val="9"/>
            <color indexed="81"/>
            <rFont val="Tahoma"/>
            <family val="2"/>
          </rPr>
          <t>3.375% notes due Feb 2024</t>
        </r>
      </text>
    </comment>
    <comment ref="BS209" authorId="2" shapeId="0" xr:uid="{00000000-0006-0000-0500-00003D000000}">
      <text>
        <r>
          <rPr>
            <b/>
            <sz val="9"/>
            <color indexed="81"/>
            <rFont val="Tahoma"/>
            <family val="2"/>
          </rPr>
          <t>3.375% notes due Feb 2024</t>
        </r>
      </text>
    </comment>
    <comment ref="BU209" authorId="2" shapeId="0" xr:uid="{00000000-0006-0000-0500-00003E000000}">
      <text>
        <r>
          <rPr>
            <b/>
            <sz val="9"/>
            <color indexed="81"/>
            <rFont val="Tahoma"/>
            <family val="2"/>
          </rPr>
          <t>3.375% notes due Feb 2024</t>
        </r>
      </text>
    </comment>
    <comment ref="BV209" authorId="2" shapeId="0" xr:uid="{00000000-0006-0000-0500-00003F000000}">
      <text>
        <r>
          <rPr>
            <b/>
            <sz val="9"/>
            <color indexed="81"/>
            <rFont val="Tahoma"/>
            <family val="2"/>
          </rPr>
          <t>3.375% notes due Feb 2024</t>
        </r>
      </text>
    </comment>
    <comment ref="BW209" authorId="2" shapeId="0" xr:uid="{00000000-0006-0000-0500-000040000000}">
      <text>
        <r>
          <rPr>
            <b/>
            <sz val="9"/>
            <color indexed="81"/>
            <rFont val="Tahoma"/>
            <family val="2"/>
          </rPr>
          <t>3.375% notes due Feb 2024</t>
        </r>
      </text>
    </comment>
    <comment ref="BX209" authorId="2" shapeId="0" xr:uid="{00000000-0006-0000-0500-000041000000}">
      <text>
        <r>
          <rPr>
            <b/>
            <sz val="9"/>
            <color indexed="81"/>
            <rFont val="Tahoma"/>
            <family val="2"/>
          </rPr>
          <t>3.375% notes due Feb 2024</t>
        </r>
      </text>
    </comment>
    <comment ref="CD209" authorId="2" shapeId="0" xr:uid="{00000000-0006-0000-0500-000042000000}">
      <text>
        <r>
          <rPr>
            <b/>
            <sz val="9"/>
            <color indexed="81"/>
            <rFont val="Tahoma"/>
            <family val="2"/>
          </rPr>
          <t>3.375% notes due Feb 2024</t>
        </r>
      </text>
    </comment>
    <comment ref="CI209" authorId="2" shapeId="0" xr:uid="{00000000-0006-0000-0500-000043000000}">
      <text>
        <r>
          <rPr>
            <b/>
            <sz val="9"/>
            <color indexed="81"/>
            <rFont val="Tahoma"/>
            <family val="2"/>
          </rPr>
          <t>3.375% notes due Feb 2024</t>
        </r>
      </text>
    </comment>
    <comment ref="CN209" authorId="2" shapeId="0" xr:uid="{00000000-0006-0000-0500-000044000000}">
      <text>
        <r>
          <rPr>
            <b/>
            <sz val="9"/>
            <color indexed="81"/>
            <rFont val="Tahoma"/>
            <family val="2"/>
          </rPr>
          <t>3.375% notes due Feb 2024</t>
        </r>
      </text>
    </comment>
    <comment ref="CS209" authorId="2" shapeId="0" xr:uid="{00000000-0006-0000-0500-000045000000}">
      <text>
        <r>
          <rPr>
            <b/>
            <sz val="9"/>
            <color indexed="81"/>
            <rFont val="Tahoma"/>
            <family val="2"/>
          </rPr>
          <t>3.375% notes due Feb 2024</t>
        </r>
      </text>
    </comment>
    <comment ref="CX209" authorId="2" shapeId="0" xr:uid="{00000000-0006-0000-0500-000046000000}">
      <text>
        <r>
          <rPr>
            <b/>
            <sz val="9"/>
            <color indexed="81"/>
            <rFont val="Tahoma"/>
            <family val="2"/>
          </rPr>
          <t>3.375% notes due Feb 2024</t>
        </r>
      </text>
    </comment>
    <comment ref="DC209" authorId="2" shapeId="0" xr:uid="{00000000-0006-0000-0500-000047000000}">
      <text>
        <r>
          <rPr>
            <b/>
            <sz val="9"/>
            <color indexed="81"/>
            <rFont val="Tahoma"/>
            <family val="2"/>
          </rPr>
          <t>3.375% notes due Feb 2024</t>
        </r>
      </text>
    </comment>
    <comment ref="DH209" authorId="2" shapeId="0" xr:uid="{50D69190-D901-4899-9E8C-291418BCEFF6}">
      <text>
        <r>
          <rPr>
            <b/>
            <sz val="9"/>
            <color indexed="81"/>
            <rFont val="Tahoma"/>
            <family val="2"/>
          </rPr>
          <t>3.375% notes due Feb 2024</t>
        </r>
      </text>
    </comment>
    <comment ref="DM209" authorId="2" shapeId="0" xr:uid="{00000000-0006-0000-0500-000049000000}">
      <text>
        <r>
          <rPr>
            <b/>
            <sz val="9"/>
            <color indexed="81"/>
            <rFont val="Tahoma"/>
            <family val="2"/>
          </rPr>
          <t>3.375% notes due Feb 2024</t>
        </r>
      </text>
    </comment>
    <comment ref="DR209" authorId="2" shapeId="0" xr:uid="{00000000-0006-0000-0500-00004A000000}">
      <text>
        <r>
          <rPr>
            <b/>
            <sz val="9"/>
            <color indexed="81"/>
            <rFont val="Tahoma"/>
            <family val="2"/>
          </rPr>
          <t>3.375% notes due Feb 2024</t>
        </r>
      </text>
    </comment>
    <comment ref="DW209" authorId="2" shapeId="0" xr:uid="{00000000-0006-0000-0500-00004B000000}">
      <text>
        <r>
          <rPr>
            <b/>
            <sz val="9"/>
            <color indexed="81"/>
            <rFont val="Tahoma"/>
            <family val="2"/>
          </rPr>
          <t>3.375% notes due Feb 2024</t>
        </r>
      </text>
    </comment>
    <comment ref="DX209" authorId="2" shapeId="0" xr:uid="{00000000-0006-0000-0500-00004C000000}">
      <text>
        <r>
          <rPr>
            <b/>
            <sz val="9"/>
            <color indexed="81"/>
            <rFont val="Tahoma"/>
            <family val="2"/>
          </rPr>
          <t>3.375% notes due Feb 2024</t>
        </r>
      </text>
    </comment>
    <comment ref="DY209" authorId="2" shapeId="0" xr:uid="{4C8C7C5D-686C-4862-A971-DD5A71B9C811}">
      <text>
        <r>
          <rPr>
            <b/>
            <sz val="9"/>
            <color indexed="81"/>
            <rFont val="Tahoma"/>
            <family val="2"/>
          </rPr>
          <t>3.375% notes due Feb 2024</t>
        </r>
      </text>
    </comment>
    <comment ref="DZ209" authorId="2" shapeId="0" xr:uid="{8391E6E6-D506-433C-A502-1A97AE9C2F2C}">
      <text>
        <r>
          <rPr>
            <b/>
            <sz val="9"/>
            <color indexed="81"/>
            <rFont val="Tahoma"/>
            <family val="2"/>
          </rPr>
          <t>3.375% notes due Feb 2024</t>
        </r>
      </text>
    </comment>
    <comment ref="EA209" authorId="2" shapeId="0" xr:uid="{4437BD56-C1DE-4B7E-AFE7-90A7F7BC1295}">
      <text>
        <r>
          <rPr>
            <b/>
            <sz val="9"/>
            <color indexed="81"/>
            <rFont val="Tahoma"/>
            <family val="2"/>
          </rPr>
          <t>3.375% notes due Feb 2024</t>
        </r>
      </text>
    </comment>
    <comment ref="DW211" authorId="0" shapeId="0" xr:uid="{00000000-0006-0000-0500-00004D000000}">
      <text>
        <r>
          <rPr>
            <b/>
            <sz val="9"/>
            <color indexed="81"/>
            <rFont val="Tahoma"/>
            <family val="2"/>
          </rPr>
          <t>Senior note due 8/15/2026</t>
        </r>
      </text>
    </comment>
    <comment ref="CC251" authorId="0" shapeId="0" xr:uid="{00000000-0006-0000-0500-00004E000000}">
      <text>
        <r>
          <rPr>
            <b/>
            <sz val="9"/>
            <color indexed="81"/>
            <rFont val="Tahoma"/>
            <family val="2"/>
          </rPr>
          <t>@2Q 10Q:</t>
        </r>
        <r>
          <rPr>
            <sz val="9"/>
            <color indexed="81"/>
            <rFont val="Tahoma"/>
            <family val="2"/>
          </rPr>
          <t xml:space="preserve">
As of December 31, 2017, non-marketable equity securities accounted for under the cost method had a carrying value of $4.5 billion and a fair value of approximately $8.8 billion.</t>
        </r>
      </text>
    </comment>
    <comment ref="CE251" authorId="0" shapeId="0" xr:uid="{00000000-0006-0000-0500-00004F000000}">
      <text>
        <r>
          <rPr>
            <sz val="9"/>
            <color indexed="81"/>
            <rFont val="Tahoma"/>
            <family val="2"/>
          </rPr>
          <t>rounded</t>
        </r>
        <r>
          <rPr>
            <b/>
            <sz val="9"/>
            <color indexed="81"/>
            <rFont val="Tahoma"/>
            <family val="2"/>
          </rPr>
          <t xml:space="preserve">
@1Q 10Q:
</t>
        </r>
        <r>
          <rPr>
            <sz val="9"/>
            <color indexed="81"/>
            <rFont val="Tahoma"/>
            <family val="2"/>
          </rPr>
          <t>As of March 31, 2018, nonmarketable equity securities had a carrying value of approximately $7.3 billion, of which $3.6 billion was remeasured to fair value based on observable transactions during the three months ended March 31, 2018.</t>
        </r>
      </text>
    </comment>
    <comment ref="CC252" authorId="0" shapeId="0" xr:uid="{00000000-0006-0000-0500-000050000000}">
      <text>
        <r>
          <rPr>
            <b/>
            <sz val="9"/>
            <color indexed="81"/>
            <rFont val="Tahoma"/>
            <family val="2"/>
          </rPr>
          <t xml:space="preserve">@2017 10K:
</t>
        </r>
        <r>
          <rPr>
            <sz val="9"/>
            <color indexed="81"/>
            <rFont val="Tahoma"/>
            <family val="2"/>
          </rPr>
          <t>As of December 31, 2016 and 2017, investments accounted for under the equity method had a carrying value of approximately $1.7 billion and $1.4 billion, respectively.</t>
        </r>
      </text>
    </comment>
    <comment ref="CE252" authorId="0" shapeId="0" xr:uid="{00000000-0006-0000-0500-000051000000}">
      <text>
        <r>
          <rPr>
            <b/>
            <sz val="9"/>
            <color indexed="81"/>
            <rFont val="Tahoma"/>
            <family val="2"/>
          </rPr>
          <t xml:space="preserve">@1Q 10Q:
</t>
        </r>
        <r>
          <rPr>
            <sz val="9"/>
            <color indexed="81"/>
            <rFont val="Tahoma"/>
            <family val="2"/>
          </rPr>
          <t>As of December 31, 2017 and March 31, 2018, investments accounted for under the equity method had a carrying value of approximately $1.4 billion and $1.5 billion, respectively. Our share of gains and losses in equity method investments including impairment are included as a component of other income (expense), net, in the Consolidated Statements of Income. See Note 6 for further details on other income (expense), net.</t>
        </r>
      </text>
    </comment>
    <comment ref="CF252" authorId="0" shapeId="0" xr:uid="{00000000-0006-0000-0500-000052000000}">
      <text>
        <r>
          <rPr>
            <b/>
            <sz val="9"/>
            <color indexed="81"/>
            <rFont val="Tahoma"/>
            <family val="2"/>
          </rPr>
          <t xml:space="preserve">@2Q 10Q:
</t>
        </r>
        <r>
          <rPr>
            <sz val="9"/>
            <color indexed="81"/>
            <rFont val="Tahoma"/>
            <family val="2"/>
          </rPr>
          <t>As of December 31, 2017 and June 30, 2018, investments accounted for under the equity method had a carrying value of approximately $1.4 billion and $1.3 billion, respectively. Our share of gains and losses in equity method investments including impairment are included as a component of other income (expense), net, in the Consolidated Statements of Income. See Note 6 for further details on other income (expense), net.</t>
        </r>
      </text>
    </comment>
    <comment ref="CG252" authorId="0" shapeId="0" xr:uid="{00000000-0006-0000-0500-000053000000}">
      <text>
        <r>
          <rPr>
            <b/>
            <sz val="9"/>
            <color indexed="81"/>
            <rFont val="Tahoma"/>
            <family val="2"/>
          </rPr>
          <t xml:space="preserve">@3Q10Q: 
</t>
        </r>
        <r>
          <rPr>
            <sz val="9"/>
            <color indexed="81"/>
            <rFont val="Tahoma"/>
            <family val="2"/>
          </rPr>
          <t>As of December 31, 2017 and September 30, 2018, investments accounted for under the equity method had a carrying value of approximately $1.4 billion. Our share of gains and losses in equity method investments including impairment are included as a component of other income (expense), net, in the Consolidated Statements of Income. See Note 6 for further details on other income (expense), net.</t>
        </r>
      </text>
    </comment>
    <comment ref="BY257" authorId="0" shapeId="0" xr:uid="{00000000-0006-0000-0500-000054000000}">
      <text>
        <r>
          <rPr>
            <b/>
            <sz val="9"/>
            <color indexed="81"/>
            <rFont val="Tahoma"/>
            <family val="2"/>
          </rPr>
          <t xml:space="preserve">@2017 10K:
</t>
        </r>
        <r>
          <rPr>
            <sz val="9"/>
            <color indexed="81"/>
            <rFont val="Tahoma"/>
            <family val="2"/>
          </rPr>
          <t>As of December 31, 2016 and 2017, investments accounted for under the equity method had a carrying value of approximately $1.7 billion and $1.4 billion, respectively.</t>
        </r>
      </text>
    </comment>
    <comment ref="CC257" authorId="0" shapeId="0" xr:uid="{00000000-0006-0000-0500-000055000000}">
      <text>
        <r>
          <rPr>
            <b/>
            <sz val="9"/>
            <color indexed="81"/>
            <rFont val="Tahoma"/>
            <family val="2"/>
          </rPr>
          <t xml:space="preserve">@2017 10K:
</t>
        </r>
        <r>
          <rPr>
            <sz val="9"/>
            <color indexed="81"/>
            <rFont val="Tahoma"/>
            <family val="2"/>
          </rPr>
          <t>As of December 31, 2016 and 2017, investments accounted for under the equity method had a carrying value of approximately $1.7 billion and $1.4 billion, respectively.</t>
        </r>
      </text>
    </comment>
    <comment ref="CE257" authorId="0" shapeId="0" xr:uid="{00000000-0006-0000-0500-000056000000}">
      <text>
        <r>
          <rPr>
            <b/>
            <sz val="9"/>
            <color indexed="81"/>
            <rFont val="Tahoma"/>
            <family val="2"/>
          </rPr>
          <t xml:space="preserve">@1Q 10Q:
</t>
        </r>
        <r>
          <rPr>
            <sz val="9"/>
            <color indexed="81"/>
            <rFont val="Tahoma"/>
            <family val="2"/>
          </rPr>
          <t>As of December 31, 2017 and March 31, 2018, investments accounted for under the equity method had a carrying value of approximately $1.4 billion and $1.5 billion, respectively. Our share of gains and losses in equity method investments including impairment are included as a component of other income (expense), net, in the Consolidated Statements of Income. See Note 6 for further details on other income (expense), net.</t>
        </r>
      </text>
    </comment>
    <comment ref="CF257" authorId="0" shapeId="0" xr:uid="{00000000-0006-0000-0500-000057000000}">
      <text>
        <r>
          <rPr>
            <b/>
            <sz val="9"/>
            <color indexed="81"/>
            <rFont val="Tahoma"/>
            <family val="2"/>
          </rPr>
          <t xml:space="preserve">@2Q 10Q:
</t>
        </r>
        <r>
          <rPr>
            <sz val="9"/>
            <color indexed="81"/>
            <rFont val="Tahoma"/>
            <family val="2"/>
          </rPr>
          <t>As of December 31, 2017 and June 30, 2018, investments accounted for under the equity method had a carrying value of approximately $1.4 billion and $1.3 billion, respectively. Our share of gains and losses in equity method investments including impairment are included as a component of other income (expense), net, in the Consolidated Statements of Income. See Note 6 for further details on other income (expense), net.</t>
        </r>
      </text>
    </comment>
    <comment ref="CG257" authorId="0" shapeId="0" xr:uid="{00000000-0006-0000-0500-000058000000}">
      <text>
        <r>
          <rPr>
            <b/>
            <sz val="9"/>
            <color indexed="81"/>
            <rFont val="Tahoma"/>
            <family val="2"/>
          </rPr>
          <t xml:space="preserve">@3Q10Q: 
</t>
        </r>
        <r>
          <rPr>
            <sz val="9"/>
            <color indexed="81"/>
            <rFont val="Tahoma"/>
            <family val="2"/>
          </rPr>
          <t>As of December 31, 2017 and September 30, 2018, investments accounted for under the equity method had a carrying value of approximately $1.4 billion. Our share of gains and losses in equity method investments including impairment are included as a component of other income (expense), net, in the Consolidated Statements of Income. See Note 6 for further details on other income (expense), net.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Lee, Dae K</author>
    <author>Kaizad Gotla</author>
  </authors>
  <commentList>
    <comment ref="CX6" authorId="0" shapeId="0" xr:uid="{00000000-0006-0000-0700-000001000000}">
      <text>
        <r>
          <rPr>
            <sz val="9"/>
            <color indexed="81"/>
            <rFont val="Tahoma"/>
            <family val="2"/>
          </rPr>
          <t>1Q17 10Q: As of March 31, 2017, our most significant currency exposures are the British pound, Euro, and Japanese yen.</t>
        </r>
        <r>
          <rPr>
            <sz val="9"/>
            <color indexed="81"/>
            <rFont val="Tahoma"/>
            <family val="2"/>
          </rPr>
          <t xml:space="preserve">
</t>
        </r>
      </text>
    </comment>
    <comment ref="CW32" authorId="0" shapeId="0" xr:uid="{00000000-0006-0000-0700-000002000000}">
      <text>
        <r>
          <rPr>
            <b/>
            <sz val="8"/>
            <color indexed="81"/>
            <rFont val="Tahoma"/>
            <family val="2"/>
          </rPr>
          <t xml:space="preserve">2017 10-K:
</t>
        </r>
        <r>
          <rPr>
            <sz val="8"/>
            <color indexed="81"/>
            <rFont val="Tahoma"/>
            <family val="2"/>
          </rPr>
          <t xml:space="preserve">Our EMEA revenues from 2015 to 2016 were unfavorably impacted, primarily as a result of an </t>
        </r>
        <r>
          <rPr>
            <b/>
            <sz val="8"/>
            <color indexed="81"/>
            <rFont val="Tahoma"/>
            <family val="2"/>
          </rPr>
          <t>unfavorable impact from foreign currency exchange rates</t>
        </r>
        <r>
          <rPr>
            <sz val="8"/>
            <color indexed="81"/>
            <rFont val="Tahoma"/>
            <family val="2"/>
          </rPr>
          <t xml:space="preserve">, offset by a favorable impact from hedging benefits. The foreign exchange impact was due to the </t>
        </r>
        <r>
          <rPr>
            <b/>
            <sz val="8"/>
            <color indexed="81"/>
            <rFont val="Tahoma"/>
            <family val="2"/>
          </rPr>
          <t xml:space="preserve">U.S. dollar strengthening </t>
        </r>
        <r>
          <rPr>
            <sz val="8"/>
            <color indexed="81"/>
            <rFont val="Tahoma"/>
            <family val="2"/>
          </rPr>
          <t xml:space="preserve">relative to the </t>
        </r>
        <r>
          <rPr>
            <b/>
            <sz val="8"/>
            <color indexed="81"/>
            <rFont val="Tahoma"/>
            <family val="2"/>
          </rPr>
          <t>British pound</t>
        </r>
        <r>
          <rPr>
            <sz val="8"/>
            <color indexed="81"/>
            <rFont val="Tahoma"/>
            <family val="2"/>
          </rPr>
          <t xml:space="preserve">, </t>
        </r>
        <r>
          <rPr>
            <b/>
            <sz val="8"/>
            <color indexed="81"/>
            <rFont val="Tahoma"/>
            <family val="2"/>
          </rPr>
          <t>Euro</t>
        </r>
        <r>
          <rPr>
            <sz val="8"/>
            <color indexed="81"/>
            <rFont val="Tahoma"/>
            <family val="2"/>
          </rPr>
          <t xml:space="preserve">, and </t>
        </r>
        <r>
          <rPr>
            <b/>
            <sz val="8"/>
            <color indexed="81"/>
            <rFont val="Tahoma"/>
            <family val="2"/>
          </rPr>
          <t>Russian ruble</t>
        </r>
        <r>
          <rPr>
            <sz val="8"/>
            <color indexed="81"/>
            <rFont val="Tahoma"/>
            <family val="2"/>
          </rPr>
          <t>.</t>
        </r>
      </text>
    </comment>
    <comment ref="DA32" authorId="0" shapeId="0" xr:uid="{00000000-0006-0000-0700-000003000000}">
      <text>
        <r>
          <rPr>
            <b/>
            <sz val="9"/>
            <color indexed="81"/>
            <rFont val="Tahoma"/>
            <family val="2"/>
          </rPr>
          <t xml:space="preserve">@4Q17 call: </t>
        </r>
        <r>
          <rPr>
            <sz val="9"/>
            <color indexed="81"/>
            <rFont val="Tahoma"/>
            <family val="2"/>
          </rPr>
          <t>eflecting strengthening of both the Euro and the British pound</t>
        </r>
      </text>
    </comment>
    <comment ref="DB32" authorId="0" shapeId="0" xr:uid="{00000000-0006-0000-0700-000004000000}">
      <text>
        <r>
          <rPr>
            <b/>
            <sz val="8"/>
            <color indexed="81"/>
            <rFont val="Tahoma"/>
            <family val="2"/>
          </rPr>
          <t xml:space="preserve">2017 10-K:
</t>
        </r>
        <r>
          <rPr>
            <sz val="8"/>
            <color indexed="81"/>
            <rFont val="Tahoma"/>
            <family val="2"/>
          </rPr>
          <t xml:space="preserve">Our EMEA revenues from 2016 to 2017 were unfavorably impacted, primarily as a result of an unfavorable impact from hedging losses, slightly offset by a </t>
        </r>
        <r>
          <rPr>
            <b/>
            <sz val="8"/>
            <color indexed="81"/>
            <rFont val="Tahoma"/>
            <family val="2"/>
          </rPr>
          <t>favorable impact from foreign currency exchange rates</t>
        </r>
        <r>
          <rPr>
            <sz val="8"/>
            <color indexed="81"/>
            <rFont val="Tahoma"/>
            <family val="2"/>
          </rPr>
          <t xml:space="preserve">. The foreign exchange impact was due to the </t>
        </r>
        <r>
          <rPr>
            <b/>
            <sz val="8"/>
            <color indexed="81"/>
            <rFont val="Tahoma"/>
            <family val="2"/>
          </rPr>
          <t>U.S. dollar weakening</t>
        </r>
        <r>
          <rPr>
            <sz val="8"/>
            <color indexed="81"/>
            <rFont val="Tahoma"/>
            <family val="2"/>
          </rPr>
          <t xml:space="preserve"> relative to the </t>
        </r>
        <r>
          <rPr>
            <b/>
            <sz val="8"/>
            <color indexed="81"/>
            <rFont val="Tahoma"/>
            <family val="2"/>
          </rPr>
          <t xml:space="preserve">Euro </t>
        </r>
        <r>
          <rPr>
            <sz val="8"/>
            <color indexed="81"/>
            <rFont val="Tahoma"/>
            <family val="2"/>
          </rPr>
          <t xml:space="preserve">and </t>
        </r>
        <r>
          <rPr>
            <b/>
            <sz val="8"/>
            <color indexed="81"/>
            <rFont val="Tahoma"/>
            <family val="2"/>
          </rPr>
          <t>Russian ruble</t>
        </r>
        <r>
          <rPr>
            <sz val="8"/>
            <color indexed="81"/>
            <rFont val="Tahoma"/>
            <family val="2"/>
          </rPr>
          <t xml:space="preserve">, partially offset by the impact of the </t>
        </r>
        <r>
          <rPr>
            <b/>
            <sz val="8"/>
            <color indexed="81"/>
            <rFont val="Tahoma"/>
            <family val="2"/>
          </rPr>
          <t xml:space="preserve">U.S. dollar strengthening </t>
        </r>
        <r>
          <rPr>
            <sz val="8"/>
            <color indexed="81"/>
            <rFont val="Tahoma"/>
            <family val="2"/>
          </rPr>
          <t xml:space="preserve">relative to the </t>
        </r>
        <r>
          <rPr>
            <b/>
            <sz val="8"/>
            <color indexed="81"/>
            <rFont val="Tahoma"/>
            <family val="2"/>
          </rPr>
          <t>British pound</t>
        </r>
        <r>
          <rPr>
            <sz val="8"/>
            <color indexed="81"/>
            <rFont val="Tahoma"/>
            <family val="2"/>
          </rPr>
          <t xml:space="preserve"> and </t>
        </r>
        <r>
          <rPr>
            <b/>
            <sz val="8"/>
            <color indexed="81"/>
            <rFont val="Tahoma"/>
            <family val="2"/>
          </rPr>
          <t>Turkish lira</t>
        </r>
        <r>
          <rPr>
            <sz val="8"/>
            <color indexed="81"/>
            <rFont val="Tahoma"/>
            <family val="2"/>
          </rPr>
          <t>.</t>
        </r>
      </text>
    </comment>
    <comment ref="DC32" authorId="0" shapeId="0" xr:uid="{00000000-0006-0000-0700-000005000000}">
      <text>
        <r>
          <rPr>
            <b/>
            <sz val="9"/>
            <color indexed="81"/>
            <rFont val="Tahoma"/>
            <family val="2"/>
          </rPr>
          <t xml:space="preserve">@1Q18 call: </t>
        </r>
        <r>
          <rPr>
            <sz val="9"/>
            <color indexed="81"/>
            <rFont val="Tahoma"/>
            <family val="2"/>
          </rPr>
          <t xml:space="preserve">EMEA grew 21%, </t>
        </r>
        <r>
          <rPr>
            <b/>
            <sz val="9"/>
            <color indexed="81"/>
            <rFont val="Tahoma"/>
            <family val="2"/>
          </rPr>
          <t>reflecting strengthening of both the Euro and the British pound.</t>
        </r>
      </text>
    </comment>
    <comment ref="ED32" authorId="0" shapeId="0" xr:uid="{DE724AA7-1F5D-4B7D-9759-F262B7D1B2E0}">
      <text>
        <r>
          <rPr>
            <b/>
            <sz val="9"/>
            <color indexed="81"/>
            <rFont val="Tahoma"/>
            <family val="2"/>
          </rPr>
          <t xml:space="preserve">3Q23 10Q: </t>
        </r>
        <r>
          <rPr>
            <sz val="9"/>
            <color indexed="81"/>
            <rFont val="Tahoma"/>
            <family val="2"/>
          </rPr>
          <t>EMEA revenue growth was favorably affected by changes in foreign currency exchange rates, primarily dueto the U.S. dollar weakening relative to the Euro and to a lesser extent the British pound, partially offset by theU.S. dollar strengthening relative to the Turkish lira.</t>
        </r>
      </text>
    </comment>
    <comment ref="CW78" authorId="0" shapeId="0" xr:uid="{00000000-0006-0000-0700-000006000000}">
      <text>
        <r>
          <rPr>
            <b/>
            <sz val="8"/>
            <color indexed="81"/>
            <rFont val="Tahoma"/>
            <family val="2"/>
          </rPr>
          <t xml:space="preserve">2017 10-K:
</t>
        </r>
        <r>
          <rPr>
            <sz val="8"/>
            <color indexed="81"/>
            <rFont val="Tahoma"/>
            <family val="2"/>
          </rPr>
          <t xml:space="preserve">Our revenues from APAC from 2015 to 2016 were relatively flat, primarily as a result of </t>
        </r>
        <r>
          <rPr>
            <b/>
            <sz val="8"/>
            <color indexed="81"/>
            <rFont val="Tahoma"/>
            <family val="2"/>
          </rPr>
          <t>slight favorable impacts from foreign currency exchange rates</t>
        </r>
        <r>
          <rPr>
            <sz val="8"/>
            <color indexed="81"/>
            <rFont val="Tahoma"/>
            <family val="2"/>
          </rPr>
          <t xml:space="preserve"> and hedging benefits. The foreign exchange impact was due to the </t>
        </r>
        <r>
          <rPr>
            <b/>
            <sz val="8"/>
            <color indexed="81"/>
            <rFont val="Tahoma"/>
            <family val="2"/>
          </rPr>
          <t>U.S. dollar weakening</t>
        </r>
        <r>
          <rPr>
            <sz val="8"/>
            <color indexed="81"/>
            <rFont val="Tahoma"/>
            <family val="2"/>
          </rPr>
          <t xml:space="preserve"> relative to the </t>
        </r>
        <r>
          <rPr>
            <b/>
            <sz val="8"/>
            <color indexed="81"/>
            <rFont val="Tahoma"/>
            <family val="2"/>
          </rPr>
          <t>Japanese yen</t>
        </r>
        <r>
          <rPr>
            <sz val="8"/>
            <color indexed="81"/>
            <rFont val="Tahoma"/>
            <family val="2"/>
          </rPr>
          <t xml:space="preserve">, partially offset by the impact of the </t>
        </r>
        <r>
          <rPr>
            <b/>
            <sz val="8"/>
            <color indexed="81"/>
            <rFont val="Tahoma"/>
            <family val="2"/>
          </rPr>
          <t xml:space="preserve">U.S. dollar strengthening </t>
        </r>
        <r>
          <rPr>
            <sz val="8"/>
            <color indexed="81"/>
            <rFont val="Tahoma"/>
            <family val="2"/>
          </rPr>
          <t xml:space="preserve">relative to the </t>
        </r>
        <r>
          <rPr>
            <b/>
            <sz val="8"/>
            <color indexed="81"/>
            <rFont val="Tahoma"/>
            <family val="2"/>
          </rPr>
          <t>Indian rupee</t>
        </r>
        <r>
          <rPr>
            <sz val="8"/>
            <color indexed="81"/>
            <rFont val="Tahoma"/>
            <family val="2"/>
          </rPr>
          <t xml:space="preserve"> and </t>
        </r>
        <r>
          <rPr>
            <b/>
            <sz val="8"/>
            <color indexed="81"/>
            <rFont val="Tahoma"/>
            <family val="2"/>
          </rPr>
          <t>Australian dollar</t>
        </r>
        <r>
          <rPr>
            <sz val="8"/>
            <color indexed="81"/>
            <rFont val="Tahoma"/>
            <family val="2"/>
          </rPr>
          <t>.</t>
        </r>
      </text>
    </comment>
    <comment ref="DA78" authorId="0" shapeId="0" xr:uid="{00000000-0006-0000-0700-000007000000}">
      <text>
        <r>
          <rPr>
            <b/>
            <sz val="9"/>
            <color indexed="81"/>
            <rFont val="Tahoma"/>
            <family val="2"/>
          </rPr>
          <t xml:space="preserve">@4Q17 call: </t>
        </r>
        <r>
          <rPr>
            <sz val="9"/>
            <color indexed="81"/>
            <rFont val="Tahoma"/>
            <family val="2"/>
          </rPr>
          <t>reflecting weakening of the Japanese yen</t>
        </r>
      </text>
    </comment>
    <comment ref="DB78" authorId="0" shapeId="0" xr:uid="{00000000-0006-0000-0700-000008000000}">
      <text>
        <r>
          <rPr>
            <b/>
            <sz val="8"/>
            <color indexed="81"/>
            <rFont val="Tahoma"/>
            <family val="2"/>
          </rPr>
          <t xml:space="preserve">2017 10-K:
</t>
        </r>
        <r>
          <rPr>
            <sz val="8"/>
            <color indexed="81"/>
            <rFont val="Tahoma"/>
            <family val="2"/>
          </rPr>
          <t xml:space="preserve">Our revenues from APAC from 2016 to 2017 were relatively flat, primarily as a result of a favorable impact from hedging benefits, offset by an </t>
        </r>
        <r>
          <rPr>
            <b/>
            <sz val="8"/>
            <color indexed="81"/>
            <rFont val="Tahoma"/>
            <family val="2"/>
          </rPr>
          <t>unfavorable impact from foreign currency exchange rates</t>
        </r>
        <r>
          <rPr>
            <sz val="8"/>
            <color indexed="81"/>
            <rFont val="Tahoma"/>
            <family val="2"/>
          </rPr>
          <t xml:space="preserve">. The foreign exchange impact was due to the </t>
        </r>
        <r>
          <rPr>
            <b/>
            <sz val="8"/>
            <color indexed="81"/>
            <rFont val="Tahoma"/>
            <family val="2"/>
          </rPr>
          <t>U.S. dollar strengthening</t>
        </r>
        <r>
          <rPr>
            <sz val="8"/>
            <color indexed="81"/>
            <rFont val="Tahoma"/>
            <family val="2"/>
          </rPr>
          <t xml:space="preserve"> relative to the </t>
        </r>
        <r>
          <rPr>
            <b/>
            <sz val="8"/>
            <color indexed="81"/>
            <rFont val="Tahoma"/>
            <family val="2"/>
          </rPr>
          <t>Japanese yen</t>
        </r>
        <r>
          <rPr>
            <sz val="8"/>
            <color indexed="81"/>
            <rFont val="Tahoma"/>
            <family val="2"/>
          </rPr>
          <t xml:space="preserve">, partially offset by the impact of the </t>
        </r>
        <r>
          <rPr>
            <b/>
            <sz val="8"/>
            <color indexed="81"/>
            <rFont val="Tahoma"/>
            <family val="2"/>
          </rPr>
          <t xml:space="preserve">U.S. dollar weakening </t>
        </r>
        <r>
          <rPr>
            <sz val="8"/>
            <color indexed="81"/>
            <rFont val="Tahoma"/>
            <family val="2"/>
          </rPr>
          <t xml:space="preserve">relative to the </t>
        </r>
        <r>
          <rPr>
            <b/>
            <sz val="8"/>
            <color indexed="81"/>
            <rFont val="Tahoma"/>
            <family val="2"/>
          </rPr>
          <t>Australian dollar</t>
        </r>
        <r>
          <rPr>
            <sz val="8"/>
            <color indexed="81"/>
            <rFont val="Tahoma"/>
            <family val="2"/>
          </rPr>
          <t xml:space="preserve">, </t>
        </r>
        <r>
          <rPr>
            <b/>
            <sz val="8"/>
            <color indexed="81"/>
            <rFont val="Tahoma"/>
            <family val="2"/>
          </rPr>
          <t>Indian rupee</t>
        </r>
        <r>
          <rPr>
            <sz val="8"/>
            <color indexed="81"/>
            <rFont val="Tahoma"/>
            <family val="2"/>
          </rPr>
          <t xml:space="preserve">, </t>
        </r>
        <r>
          <rPr>
            <b/>
            <sz val="8"/>
            <color indexed="81"/>
            <rFont val="Tahoma"/>
            <family val="2"/>
          </rPr>
          <t>South Korean won</t>
        </r>
        <r>
          <rPr>
            <sz val="8"/>
            <color indexed="81"/>
            <rFont val="Tahoma"/>
            <family val="2"/>
          </rPr>
          <t xml:space="preserve">, and </t>
        </r>
        <r>
          <rPr>
            <b/>
            <sz val="8"/>
            <color indexed="81"/>
            <rFont val="Tahoma"/>
            <family val="2"/>
          </rPr>
          <t>Taiwanese dollar</t>
        </r>
        <r>
          <rPr>
            <sz val="8"/>
            <color indexed="81"/>
            <rFont val="Tahoma"/>
            <family val="2"/>
          </rPr>
          <t>.</t>
        </r>
      </text>
    </comment>
    <comment ref="DC78" authorId="0" shapeId="0" xr:uid="{00000000-0006-0000-0700-000009000000}">
      <text>
        <r>
          <rPr>
            <b/>
            <sz val="9"/>
            <color indexed="81"/>
            <rFont val="Tahoma"/>
            <family val="2"/>
          </rPr>
          <t xml:space="preserve">@1Q18 call: </t>
        </r>
        <r>
          <rPr>
            <sz val="9"/>
            <color indexed="81"/>
            <rFont val="Tahoma"/>
            <family val="2"/>
          </rPr>
          <t xml:space="preserve">APAC revenues were $4.8 billion, up 33% versus last year, and up 30% in constant currency, </t>
        </r>
        <r>
          <rPr>
            <b/>
            <sz val="9"/>
            <color indexed="81"/>
            <rFont val="Tahoma"/>
            <family val="2"/>
          </rPr>
          <t>reflecting strengthening of the Japanese yen and Australian dollar</t>
        </r>
        <r>
          <rPr>
            <sz val="9"/>
            <color indexed="81"/>
            <rFont val="Tahoma"/>
            <family val="2"/>
          </rPr>
          <t>.</t>
        </r>
      </text>
    </comment>
    <comment ref="ED78" authorId="0" shapeId="0" xr:uid="{863A1BC2-612D-4DFE-8DFC-D624D307A09B}">
      <text>
        <r>
          <rPr>
            <b/>
            <sz val="9"/>
            <color indexed="81"/>
            <rFont val="Tahoma"/>
            <family val="2"/>
          </rPr>
          <t xml:space="preserve">3Q23 10Q: </t>
        </r>
        <r>
          <rPr>
            <sz val="9"/>
            <color indexed="81"/>
            <rFont val="Tahoma"/>
            <family val="2"/>
          </rPr>
          <t>APAC revenue growth was unfavorably affected by changes in foreign currency exchange rates, primarilydue to the U.S. dollar strengthening relative to the Japanese yen.</t>
        </r>
      </text>
    </comment>
    <comment ref="CW120" authorId="0" shapeId="0" xr:uid="{00000000-0006-0000-0700-00000A000000}">
      <text>
        <r>
          <rPr>
            <b/>
            <sz val="8"/>
            <color indexed="81"/>
            <rFont val="Tahoma"/>
            <family val="2"/>
          </rPr>
          <t xml:space="preserve">2017 10-K:
</t>
        </r>
        <r>
          <rPr>
            <sz val="8"/>
            <color indexed="81"/>
            <rFont val="Tahoma"/>
            <family val="2"/>
          </rPr>
          <t xml:space="preserve">Our revenues from Other Americas from 2015 to 2016 were unfavorably impacted, primarily as a result of an </t>
        </r>
        <r>
          <rPr>
            <b/>
            <sz val="8"/>
            <color indexed="81"/>
            <rFont val="Tahoma"/>
            <family val="2"/>
          </rPr>
          <t>unfavorable impact from foreign currency exchange rates</t>
        </r>
        <r>
          <rPr>
            <sz val="8"/>
            <color indexed="81"/>
            <rFont val="Tahoma"/>
            <family val="2"/>
          </rPr>
          <t xml:space="preserve">, slightly offset by a favorable impact from hedging benefits. The foreign exchange impact was due to the </t>
        </r>
        <r>
          <rPr>
            <b/>
            <sz val="8"/>
            <color indexed="81"/>
            <rFont val="Tahoma"/>
            <family val="2"/>
          </rPr>
          <t>U.S. dollar strengthening</t>
        </r>
        <r>
          <rPr>
            <sz val="8"/>
            <color indexed="81"/>
            <rFont val="Tahoma"/>
            <family val="2"/>
          </rPr>
          <t xml:space="preserve"> relative to certain currencies including the </t>
        </r>
        <r>
          <rPr>
            <b/>
            <sz val="8"/>
            <color indexed="81"/>
            <rFont val="Tahoma"/>
            <family val="2"/>
          </rPr>
          <t>Argentine peso</t>
        </r>
        <r>
          <rPr>
            <sz val="8"/>
            <color indexed="81"/>
            <rFont val="Tahoma"/>
            <family val="2"/>
          </rPr>
          <t xml:space="preserve">, </t>
        </r>
        <r>
          <rPr>
            <b/>
            <sz val="8"/>
            <color indexed="81"/>
            <rFont val="Tahoma"/>
            <family val="2"/>
          </rPr>
          <t>Canadian dollar</t>
        </r>
        <r>
          <rPr>
            <sz val="8"/>
            <color indexed="81"/>
            <rFont val="Tahoma"/>
            <family val="2"/>
          </rPr>
          <t xml:space="preserve">, </t>
        </r>
        <r>
          <rPr>
            <b/>
            <sz val="8"/>
            <color indexed="81"/>
            <rFont val="Tahoma"/>
            <family val="2"/>
          </rPr>
          <t>Brazilian real</t>
        </r>
        <r>
          <rPr>
            <sz val="8"/>
            <color indexed="81"/>
            <rFont val="Tahoma"/>
            <family val="2"/>
          </rPr>
          <t xml:space="preserve">, and the </t>
        </r>
        <r>
          <rPr>
            <b/>
            <sz val="8"/>
            <color indexed="81"/>
            <rFont val="Tahoma"/>
            <family val="2"/>
          </rPr>
          <t>Mexican peso</t>
        </r>
        <r>
          <rPr>
            <sz val="8"/>
            <color indexed="81"/>
            <rFont val="Tahoma"/>
            <family val="2"/>
          </rPr>
          <t>.</t>
        </r>
      </text>
    </comment>
    <comment ref="DA120" authorId="0" shapeId="0" xr:uid="{00000000-0006-0000-0700-00000B000000}">
      <text>
        <r>
          <rPr>
            <b/>
            <sz val="9"/>
            <color indexed="81"/>
            <rFont val="Tahoma"/>
            <family val="2"/>
          </rPr>
          <t xml:space="preserve">@4Q17: </t>
        </r>
        <r>
          <rPr>
            <sz val="9"/>
            <color indexed="81"/>
            <rFont val="Tahoma"/>
            <family val="2"/>
          </rPr>
          <t>strengthening of the Canadian dollar.</t>
        </r>
      </text>
    </comment>
    <comment ref="DB120" authorId="0" shapeId="0" xr:uid="{00000000-0006-0000-0700-00000C000000}">
      <text>
        <r>
          <rPr>
            <b/>
            <sz val="8"/>
            <color indexed="81"/>
            <rFont val="Tahoma"/>
            <family val="2"/>
          </rPr>
          <t xml:space="preserve">2017 10-K:
</t>
        </r>
        <r>
          <rPr>
            <sz val="8"/>
            <color indexed="81"/>
            <rFont val="Tahoma"/>
            <family val="2"/>
          </rPr>
          <t xml:space="preserve">Our revenues from Other Americas from 2016 to 2017 were favorably impacted, primarily as a result of a </t>
        </r>
        <r>
          <rPr>
            <b/>
            <sz val="8"/>
            <color indexed="81"/>
            <rFont val="Tahoma"/>
            <family val="2"/>
          </rPr>
          <t>favorable impact from foreign currency exchange rates</t>
        </r>
        <r>
          <rPr>
            <sz val="8"/>
            <color indexed="81"/>
            <rFont val="Tahoma"/>
            <family val="2"/>
          </rPr>
          <t xml:space="preserve">, slightly offset by an unfavorable impact from hedging losses. The foreign exchange impact was due to the </t>
        </r>
        <r>
          <rPr>
            <b/>
            <sz val="8"/>
            <color indexed="81"/>
            <rFont val="Tahoma"/>
            <family val="2"/>
          </rPr>
          <t>U.S. dollar weakening</t>
        </r>
        <r>
          <rPr>
            <sz val="8"/>
            <color indexed="81"/>
            <rFont val="Tahoma"/>
            <family val="2"/>
          </rPr>
          <t xml:space="preserve"> relative to the </t>
        </r>
        <r>
          <rPr>
            <b/>
            <sz val="8"/>
            <color indexed="81"/>
            <rFont val="Tahoma"/>
            <family val="2"/>
          </rPr>
          <t>Brazilian real</t>
        </r>
        <r>
          <rPr>
            <sz val="8"/>
            <color indexed="81"/>
            <rFont val="Tahoma"/>
            <family val="2"/>
          </rPr>
          <t xml:space="preserve"> and </t>
        </r>
        <r>
          <rPr>
            <b/>
            <sz val="8"/>
            <color indexed="81"/>
            <rFont val="Tahoma"/>
            <family val="2"/>
          </rPr>
          <t>Canadian dollar</t>
        </r>
        <r>
          <rPr>
            <sz val="8"/>
            <color indexed="81"/>
            <rFont val="Tahoma"/>
            <family val="2"/>
          </rPr>
          <t xml:space="preserve">, partially offset by the impact of the </t>
        </r>
        <r>
          <rPr>
            <b/>
            <sz val="8"/>
            <color indexed="81"/>
            <rFont val="Tahoma"/>
            <family val="2"/>
          </rPr>
          <t xml:space="preserve">U.S. dollar strengthening </t>
        </r>
        <r>
          <rPr>
            <sz val="8"/>
            <color indexed="81"/>
            <rFont val="Tahoma"/>
            <family val="2"/>
          </rPr>
          <t xml:space="preserve">relative to the </t>
        </r>
        <r>
          <rPr>
            <b/>
            <sz val="8"/>
            <color indexed="81"/>
            <rFont val="Tahoma"/>
            <family val="2"/>
          </rPr>
          <t>Argentine peso</t>
        </r>
        <r>
          <rPr>
            <sz val="8"/>
            <color indexed="81"/>
            <rFont val="Tahoma"/>
            <family val="2"/>
          </rPr>
          <t>.</t>
        </r>
      </text>
    </comment>
    <comment ref="DE120" authorId="0" shapeId="0" xr:uid="{00000000-0006-0000-0700-00000D000000}">
      <text>
        <r>
          <rPr>
            <b/>
            <sz val="9"/>
            <color indexed="81"/>
            <rFont val="Tahoma"/>
            <family val="2"/>
          </rPr>
          <t xml:space="preserve">@3Q18 call: </t>
        </r>
        <r>
          <rPr>
            <sz val="9"/>
            <color indexed="81"/>
            <rFont val="Tahoma"/>
            <family val="2"/>
          </rPr>
          <t>constant currency reflecting weakening of the Brazilian Real and the Argentine Peso</t>
        </r>
      </text>
    </comment>
    <comment ref="ED120" authorId="0" shapeId="0" xr:uid="{757C7469-C1D2-4315-B3E3-2F22C47C0521}">
      <text>
        <r>
          <rPr>
            <b/>
            <sz val="9"/>
            <color indexed="81"/>
            <rFont val="Tahoma"/>
            <family val="2"/>
          </rPr>
          <t xml:space="preserve">3Q23 10Q: </t>
        </r>
        <r>
          <rPr>
            <sz val="9"/>
            <color indexed="81"/>
            <rFont val="Tahoma"/>
            <family val="2"/>
          </rPr>
          <t>Other Americas revenue growth was unfavorably affected by changes in foreign currency exchange rates,primarily due to the U.S. dollar strengthening relative to the Argentine peso.</t>
        </r>
      </text>
    </comment>
    <comment ref="A178" authorId="1" shapeId="0" xr:uid="{00000000-0006-0000-0700-00000E000000}">
      <text>
        <r>
          <rPr>
            <b/>
            <sz val="8"/>
            <color indexed="81"/>
            <rFont val="Tahoma"/>
            <family val="2"/>
          </rPr>
          <t>Kaizad Gotla:</t>
        </r>
        <r>
          <rPr>
            <sz val="8"/>
            <color indexed="81"/>
            <rFont val="Tahoma"/>
            <family val="2"/>
          </rPr>
          <t xml:space="preserve">
doesn't impact anything</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Lee, Dae K</author>
  </authors>
  <commentList>
    <comment ref="K45" authorId="0" shapeId="0" xr:uid="{972D87FD-0669-427A-84D1-4252B46D3E67}">
      <text>
        <r>
          <rPr>
            <sz val="9"/>
            <color indexed="81"/>
            <rFont val="Tahoma"/>
            <family val="2"/>
          </rPr>
          <t xml:space="preserve">US Federal tax rate ~21%... Assume 21% to be conservative…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Lee, Dae K</author>
  </authors>
  <commentList>
    <comment ref="EM8" authorId="0" shapeId="0" xr:uid="{B530275D-BC36-471F-9E2C-0CB39111A3E3}">
      <text>
        <r>
          <rPr>
            <b/>
            <sz val="9"/>
            <color indexed="81"/>
            <rFont val="Tahoma"/>
            <family val="2"/>
          </rPr>
          <t xml:space="preserve">2Q25: </t>
        </r>
        <r>
          <rPr>
            <sz val="9"/>
            <color indexed="81"/>
            <rFont val="Tahoma"/>
            <family val="2"/>
          </rPr>
          <t>Google Cloud backlog increased 18% sequentially in Q2 and 38% year-over-year reaching $106B at the end of the quarter.</t>
        </r>
      </text>
    </comment>
    <comment ref="ED12" authorId="0" shapeId="0" xr:uid="{A4B4D441-5FCE-4DE3-9CEF-88F43DE8687C}">
      <text>
        <r>
          <rPr>
            <b/>
            <sz val="9"/>
            <color indexed="81"/>
            <rFont val="Tahoma"/>
            <family val="2"/>
          </rPr>
          <t xml:space="preserve">3Q23 10Q: </t>
        </r>
        <r>
          <rPr>
            <sz val="9"/>
            <color indexed="81"/>
            <rFont val="Tahoma"/>
            <family val="2"/>
          </rPr>
          <t>As of September 30, 2023, we had $64.9 billion of remaining performance obligations (“revenue backlog”),primarily related to Google Cloud. Our revenue backlog represents commitments in customer contracts for futureservices that have not yet been recognized as revenue. The amount and timing of revenue recognition for thesecommitments is largely driven by our ability to deliver in accordance with relevant contract terms and when ourcustomers utilize services, which could affect our estimate of revenue backlog and when we expect to recognizesuch as revenue. We expect to recognize approximately half of the revenue backlog as revenues over the next24 months with the remaining to be recognized thereafter. Revenue backlog includes related deferred revenue currently recorded as well as amounts that will be invoiced in future periods, and excludes contracts with anoriginal expected term of one year or less and cancellable contracts</t>
        </r>
      </text>
    </comment>
    <comment ref="EG12" authorId="0" shapeId="0" xr:uid="{38AB30B6-7AAC-4A04-8EBA-593371CA07F4}">
      <text>
        <r>
          <rPr>
            <b/>
            <sz val="9"/>
            <color indexed="81"/>
            <rFont val="Tahoma"/>
            <family val="2"/>
          </rPr>
          <t xml:space="preserve">1Q24 10Q: </t>
        </r>
        <r>
          <rPr>
            <sz val="9"/>
            <color indexed="81"/>
            <rFont val="Tahoma"/>
            <family val="2"/>
          </rPr>
          <t>As of March 31, 2024, we had $72.5 billion of remaining performance obligations (“revenue backlog”), primarily related to Google Cloud. Our revenue backlog represents commitments in customer contracts for future services that have not yet been recognized as revenue. The estimated revenue backlog and timing of revenue recognition for these commitments is largely driven by our ability to deliver in accordance with relevant contract terms and when our customers utilize services. We expect to recognize approximately half of the revenue backlog as revenues over the next 24 months with the remaining to be recognized thereafter. Revenue backlog includes related deferred revenue currently recorded as well as amounts that will be invoiced in future periods, and excludes contracts with an original expected term of one year or less and cancellable contracts.</t>
        </r>
      </text>
    </comment>
    <comment ref="DZ16" authorId="0" shapeId="0" xr:uid="{869EF328-FC6F-40FA-9B38-A9861028C609}">
      <text>
        <r>
          <rPr>
            <b/>
            <sz val="9"/>
            <color indexed="81"/>
            <rFont val="Tahoma"/>
            <family val="2"/>
          </rPr>
          <t xml:space="preserve">2022 10K: </t>
        </r>
        <r>
          <rPr>
            <sz val="9"/>
            <color indexed="81"/>
            <rFont val="Tahoma"/>
            <family val="2"/>
          </rPr>
          <t>"We have content licensing agreements with future fixed or minimum guaranteed commitments of $12.3 billion as of December 31, 2022, of which the majority will be paid over seven years commencing in 2023."</t>
        </r>
      </text>
    </comment>
    <comment ref="EB16" authorId="0" shapeId="0" xr:uid="{7B125A86-08FE-4C7F-9141-B42134F4DC24}">
      <text>
        <r>
          <rPr>
            <b/>
            <sz val="9"/>
            <color indexed="81"/>
            <rFont val="Tahoma"/>
            <family val="2"/>
          </rPr>
          <t xml:space="preserve">1Q23 10Q: </t>
        </r>
        <r>
          <rPr>
            <sz val="9"/>
            <color indexed="81"/>
            <rFont val="Tahoma"/>
            <family val="2"/>
          </rPr>
          <t>We have content licensing agreements with future fixed or minimum guaranteed commitments of $11.9 billion as of March 31, 2023, of which the majority is paid over seven years beginning in the first quarter of 2023.</t>
        </r>
      </text>
    </comment>
    <comment ref="EC16" authorId="0" shapeId="0" xr:uid="{12F1F618-A856-4B3F-97B4-87FDBC65D8C5}">
      <text>
        <r>
          <rPr>
            <b/>
            <sz val="9"/>
            <color indexed="81"/>
            <rFont val="Tahoma"/>
            <family val="2"/>
          </rPr>
          <t xml:space="preserve">2Q23: </t>
        </r>
        <r>
          <rPr>
            <sz val="9"/>
            <color indexed="81"/>
            <rFont val="Tahoma"/>
            <family val="2"/>
          </rPr>
          <t>We have content licensing agreements with future fixed or minimum guaranteed commitments of $11.5 billion as of June 30, 2023, of which the majority is paid over seven years ending in the first quarter of 2030.</t>
        </r>
      </text>
    </comment>
    <comment ref="ED16" authorId="0" shapeId="0" xr:uid="{BAE569B9-FAC1-4AC4-AC98-5F295E176C22}">
      <text>
        <r>
          <rPr>
            <b/>
            <sz val="9"/>
            <color indexed="81"/>
            <rFont val="Tahoma"/>
            <family val="2"/>
          </rPr>
          <t xml:space="preserve">3Q23 10Q: </t>
        </r>
        <r>
          <rPr>
            <sz val="9"/>
            <color indexed="81"/>
            <rFont val="Tahoma"/>
            <family val="2"/>
          </rPr>
          <t>We have content licensing agreements with future fixed or minimum guaranteed commitments of $11.1 billion as of September 30, 2023, of which the majority is paid over seven years ending in the first quarter of 2030.</t>
        </r>
      </text>
    </comment>
    <comment ref="EG16" authorId="0" shapeId="0" xr:uid="{C376E988-64B1-41E9-ACEE-F5D240C9100D}">
      <text>
        <r>
          <rPr>
            <b/>
            <sz val="9"/>
            <color indexed="81"/>
            <rFont val="Tahoma"/>
            <family val="2"/>
          </rPr>
          <t xml:space="preserve">1Q24 10Q: </t>
        </r>
        <r>
          <rPr>
            <sz val="9"/>
            <color indexed="81"/>
            <rFont val="Tahoma"/>
            <family val="2"/>
          </rPr>
          <t>We have content licensing agreements with future fixed or minimum guaranteed commitments of $10.1 billion as of March 31, 2024, of which the majority is paid quarterly through the first quarter of 2030.</t>
        </r>
      </text>
    </comment>
    <comment ref="EC22" authorId="0" shapeId="0" xr:uid="{9CCBC7B8-5310-4858-90B1-F36608237E25}">
      <text>
        <r>
          <rPr>
            <b/>
            <sz val="9"/>
            <color indexed="81"/>
            <rFont val="Tahoma"/>
            <family val="2"/>
          </rPr>
          <t xml:space="preserve">2Q23 10Q: </t>
        </r>
        <r>
          <rPr>
            <sz val="9"/>
            <color indexed="81"/>
            <rFont val="Tahoma"/>
            <family val="2"/>
          </rPr>
          <t xml:space="preserve">As of June 30, 2023, we had material contractual obligations of $42.0 billion, of which $27.9 billion was short-term. These amounts consist of purchase orders for certain technical infrastructure as well as the non-cancelable portion or the minimum cancellation fee in certain agreements related to commitments to purchase licenses, including content licenses, inventory and network capacity. For those agreements with variable terms, we do not estimate the non-cancelable obligation beyond any minimum quantities and/or pricing as of June 30, 2023. In certain instances, the amount of our contractual obligations may change based on the expected timing of order fulfillment from our suppliers. </t>
        </r>
      </text>
    </comment>
    <comment ref="ED22" authorId="0" shapeId="0" xr:uid="{93A11B85-2CD5-4726-8C88-BEE407B87328}">
      <text>
        <r>
          <rPr>
            <b/>
            <sz val="9"/>
            <color indexed="81"/>
            <rFont val="Tahoma"/>
            <family val="2"/>
          </rPr>
          <t xml:space="preserve">3Q23 10Q: </t>
        </r>
        <r>
          <rPr>
            <sz val="9"/>
            <color indexed="81"/>
            <rFont val="Tahoma"/>
            <family val="2"/>
          </rPr>
          <t>As of September 30, 2023, we had material contractual obliga tions of $44.3 billion, of which $29.4 billion was short-term. These amounts primarily consist of purchase orders for certain technical infrastructure as wellas the non-cancelable portion or the minimum cancellation fee in certain agreements related to commitments topurchase licenses, including content licenses, inventory and network capacity. For those agreements withvariable terms, we do not estimate the non-cancelable obligation beyond any minimum quantities and/or pricingas of September 30, 2023. In certain instances, the amount of our contractual obligations may change based onthe expected timing of order fulfillment from our suppliers.</t>
        </r>
      </text>
    </comment>
    <comment ref="EM27" authorId="0" shapeId="0" xr:uid="{C99C8F3D-8F37-4969-9ED1-5C2FF0E432B3}">
      <text>
        <r>
          <rPr>
            <b/>
            <sz val="9"/>
            <color indexed="81"/>
            <rFont val="Tahoma"/>
            <family val="2"/>
          </rPr>
          <t xml:space="preserve">2Q25: </t>
        </r>
        <r>
          <rPr>
            <sz val="9"/>
            <color indexed="81"/>
            <rFont val="Tahoma"/>
            <family val="2"/>
          </rPr>
          <t>reit.</t>
        </r>
        <r>
          <rPr>
            <b/>
            <sz val="9"/>
            <color indexed="81"/>
            <rFont val="Tahoma"/>
            <family val="2"/>
          </rPr>
          <t xml:space="preserve">
2025 I/O:</t>
        </r>
        <r>
          <rPr>
            <sz val="9"/>
            <color indexed="81"/>
            <rFont val="Tahoma"/>
            <family val="2"/>
          </rPr>
          <t xml:space="preserve"> +10% in AIO queries</t>
        </r>
      </text>
    </comment>
    <comment ref="EM32" authorId="0" shapeId="0" xr:uid="{379FD00F-1DCB-4172-9840-ADE557609631}">
      <text>
        <r>
          <rPr>
            <b/>
            <sz val="9"/>
            <color indexed="81"/>
            <rFont val="Tahoma"/>
            <family val="2"/>
          </rPr>
          <t xml:space="preserve">2025 I/O: </t>
        </r>
        <r>
          <rPr>
            <sz val="9"/>
            <color indexed="81"/>
            <rFont val="Tahoma"/>
            <family val="2"/>
          </rPr>
          <t>480T/M in May</t>
        </r>
      </text>
    </comment>
    <comment ref="EN32" authorId="0" shapeId="0" xr:uid="{E5123DFB-F9C1-42CA-85B9-13E00947F84F}">
      <text>
        <r>
          <rPr>
            <b/>
            <sz val="9"/>
            <color indexed="81"/>
            <rFont val="Tahoma"/>
            <family val="2"/>
          </rPr>
          <t>2Q25 earnings:</t>
        </r>
        <r>
          <rPr>
            <sz val="9"/>
            <color indexed="81"/>
            <rFont val="Tahoma"/>
            <family val="2"/>
          </rPr>
          <t xml:space="preserve"> now processing over 980 trillion monthly tokens, a
remarkable increase… (July)</t>
        </r>
      </text>
    </comment>
    <comment ref="EO32" authorId="0" shapeId="0" xr:uid="{AD2E2501-9AD5-4951-9F65-9E0B41A02137}">
      <text>
        <r>
          <rPr>
            <b/>
            <sz val="9"/>
            <color indexed="81"/>
            <rFont val="Tahoma"/>
            <family val="2"/>
          </rPr>
          <t xml:space="preserve">3Q25: </t>
        </r>
        <r>
          <rPr>
            <sz val="9"/>
            <color indexed="81"/>
            <rFont val="Tahoma"/>
            <family val="2"/>
          </rPr>
          <t>We are now processing over 1.3quadrillion monthly tokens, more than 20 times growth in a year</t>
        </r>
      </text>
    </comment>
    <comment ref="EM36" authorId="0" shapeId="0" xr:uid="{04F8FD05-4A39-4B00-8080-C5D36D8C6CB2}">
      <text>
        <r>
          <rPr>
            <b/>
            <sz val="9"/>
            <color indexed="81"/>
            <rFont val="Tahoma"/>
            <family val="2"/>
          </rPr>
          <t xml:space="preserve">2Q25: </t>
        </r>
        <r>
          <rPr>
            <sz val="9"/>
            <color indexed="81"/>
            <rFont val="Tahoma"/>
            <family val="2"/>
          </rPr>
          <t>the 12% increase in Search and other revenues was led by growth across all verticals, with the largest contributions from retail and financial services.</t>
        </r>
      </text>
    </comment>
    <comment ref="EN36" authorId="0" shapeId="0" xr:uid="{416524D5-BB42-435E-A73D-B20DF01CCA27}">
      <text>
        <r>
          <rPr>
            <b/>
            <sz val="9"/>
            <color indexed="81"/>
            <rFont val="Tahoma"/>
            <family val="2"/>
          </rPr>
          <t xml:space="preserve">3Q25: </t>
        </r>
        <r>
          <rPr>
            <sz val="9"/>
            <color indexed="81"/>
            <rFont val="Tahoma"/>
            <family val="2"/>
          </rPr>
          <t>The 15% increase in Search and other was led by growth across all major verticals with the largest contributions from retail and financial services.</t>
        </r>
      </text>
    </comment>
    <comment ref="EM37" authorId="0" shapeId="0" xr:uid="{301386A1-6B06-4E37-B51A-A8C88A0E90A1}">
      <text>
        <r>
          <rPr>
            <b/>
            <sz val="9"/>
            <color indexed="81"/>
            <rFont val="Tahoma"/>
            <family val="2"/>
          </rPr>
          <t xml:space="preserve">2Q25: </t>
        </r>
        <r>
          <rPr>
            <sz val="9"/>
            <color indexed="81"/>
            <rFont val="Tahoma"/>
            <family val="2"/>
          </rPr>
          <t>YouTube saw similar performance across verticals. Its 13% growth in advertising revenues was driven by direct response, followed by brand.</t>
        </r>
      </text>
    </comment>
    <comment ref="EN37" authorId="0" shapeId="0" xr:uid="{8CAE07C6-5313-4CFA-92DF-B437F93624B0}">
      <text>
        <r>
          <rPr>
            <b/>
            <sz val="9"/>
            <color indexed="81"/>
            <rFont val="Tahoma"/>
            <family val="2"/>
          </rPr>
          <t xml:space="preserve">3Q25: </t>
        </r>
        <r>
          <rPr>
            <sz val="9"/>
            <color indexed="81"/>
            <rFont val="Tahoma"/>
            <family val="2"/>
          </rPr>
          <t>YouTube saw similar performance across verticals. Its 15% growth in advertising revenues was driven by direct response followed by brand.</t>
        </r>
      </text>
    </comment>
    <comment ref="EG41" authorId="0" shapeId="0" xr:uid="{7FCEEF68-9A52-41BF-B147-9363FA15AD28}">
      <text>
        <r>
          <rPr>
            <b/>
            <sz val="9"/>
            <color indexed="81"/>
            <rFont val="Tahoma"/>
            <family val="2"/>
          </rPr>
          <t>2/6/24:</t>
        </r>
        <r>
          <rPr>
            <sz val="9"/>
            <color indexed="81"/>
            <rFont val="Tahoma"/>
            <family val="2"/>
          </rPr>
          <t xml:space="preserve"> https://blog.youtube/inside-youtube/2024-letter-from-neal/</t>
        </r>
      </text>
    </comment>
    <comment ref="EG43" authorId="0" shapeId="0" xr:uid="{17F5D535-4D21-4A95-BD76-F07E960AEFBA}">
      <text>
        <r>
          <rPr>
            <sz val="9"/>
            <color indexed="81"/>
            <rFont val="Tahoma"/>
            <family val="2"/>
          </rPr>
          <t>https://blog.youtube/news-and-events/thank-you-for-100-million/</t>
        </r>
      </text>
    </comment>
    <comment ref="EG44" authorId="0" shapeId="0" xr:uid="{D3038F7D-D46B-4F03-BC09-7E369FEFB2CE}">
      <text>
        <r>
          <rPr>
            <b/>
            <sz val="9"/>
            <color indexed="81"/>
            <rFont val="Tahoma"/>
            <family val="2"/>
          </rPr>
          <t>2/6/24:</t>
        </r>
        <r>
          <rPr>
            <sz val="9"/>
            <color indexed="81"/>
            <rFont val="Tahoma"/>
            <family val="2"/>
          </rPr>
          <t xml:space="preserve"> https://blog.youtube/inside-youtube/2024-letter-from-neal/</t>
        </r>
      </text>
    </comment>
    <comment ref="EG45" authorId="0" shapeId="0" xr:uid="{48E49D65-1968-4FF4-86E8-CC24E27CD6D8}">
      <text>
        <r>
          <rPr>
            <b/>
            <sz val="9"/>
            <color indexed="81"/>
            <rFont val="Tahoma"/>
            <family val="2"/>
          </rPr>
          <t>2/6/24:</t>
        </r>
        <r>
          <rPr>
            <sz val="9"/>
            <color indexed="81"/>
            <rFont val="Tahoma"/>
            <family val="2"/>
          </rPr>
          <t xml:space="preserve"> https://blog.youtube/inside-youtube/2024-letter-from-neal/</t>
        </r>
      </text>
    </comment>
    <comment ref="EG46" authorId="0" shapeId="0" xr:uid="{E2050CB4-BF2A-4B54-8919-419C5435991E}">
      <text>
        <r>
          <rPr>
            <b/>
            <sz val="9"/>
            <color indexed="81"/>
            <rFont val="Tahoma"/>
            <family val="2"/>
          </rPr>
          <t>2/6/24:</t>
        </r>
        <r>
          <rPr>
            <sz val="9"/>
            <color indexed="81"/>
            <rFont val="Tahoma"/>
            <family val="2"/>
          </rPr>
          <t xml:space="preserve"> https://blog.youtube/inside-youtube/2024-letter-from-neal/</t>
        </r>
      </text>
    </comment>
    <comment ref="DX48" authorId="0" shapeId="0" xr:uid="{E5614E33-D168-4F1C-B752-3E4D65E6A321}">
      <text>
        <r>
          <rPr>
            <sz val="9"/>
            <color indexed="81"/>
            <rFont val="Tahoma"/>
            <family val="2"/>
          </rPr>
          <t>https://blog.youtube/news-and-events/4-billion-paid-music-industry/</t>
        </r>
      </text>
    </comment>
    <comment ref="EC48" authorId="0" shapeId="0" xr:uid="{B004648F-EA73-47FD-B047-FAD900E628EB}">
      <text>
        <r>
          <rPr>
            <sz val="9"/>
            <color indexed="81"/>
            <rFont val="Tahoma"/>
            <family val="2"/>
          </rPr>
          <t>https://blog.youtube/creator-and-artist-stories/6-billion-paid-to-the-music-industry-in-12-months/</t>
        </r>
      </text>
    </comment>
    <comment ref="EN53" authorId="0" shapeId="0" xr:uid="{AA9D999F-02E5-4532-95C8-2A125D3FB37D}">
      <text>
        <r>
          <rPr>
            <b/>
            <sz val="9"/>
            <color indexed="81"/>
            <rFont val="Tahoma"/>
            <family val="2"/>
          </rPr>
          <t xml:space="preserve">3Q25: </t>
        </r>
        <r>
          <rPr>
            <sz val="9"/>
            <color indexed="81"/>
            <rFont val="Tahoma"/>
            <family val="2"/>
          </rPr>
          <t>"we have over 300M paid subscriptions led by Google One and YouTube Premium"</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Lee, Dae K</author>
  </authors>
  <commentList>
    <comment ref="U122" authorId="0" shapeId="0" xr:uid="{00000000-0006-0000-0B00-000001000000}">
      <text>
        <r>
          <rPr>
            <b/>
            <sz val="9"/>
            <color indexed="81"/>
            <rFont val="Tahoma"/>
            <family val="2"/>
          </rPr>
          <t>@4Q19 earnings: 
-YouTube Music &amp; Premium:</t>
        </r>
        <r>
          <rPr>
            <sz val="9"/>
            <color indexed="81"/>
            <rFont val="Tahoma"/>
            <family val="2"/>
          </rPr>
          <t xml:space="preserve"> 20M paid subscribers
-</t>
        </r>
        <r>
          <rPr>
            <b/>
            <sz val="9"/>
            <color indexed="81"/>
            <rFont val="Tahoma"/>
            <family val="2"/>
          </rPr>
          <t>YouTube TV</t>
        </r>
        <r>
          <rPr>
            <sz val="9"/>
            <color indexed="81"/>
            <rFont val="Tahoma"/>
            <family val="2"/>
          </rPr>
          <t xml:space="preserve">: 2M paid subscripbers
</t>
        </r>
      </text>
    </comment>
    <comment ref="V122" authorId="0" shapeId="0" xr:uid="{00000000-0006-0000-0B00-000002000000}">
      <text>
        <r>
          <rPr>
            <b/>
            <sz val="9"/>
            <color indexed="81"/>
            <rFont val="Tahoma"/>
            <family val="2"/>
          </rPr>
          <t>@3Q20 earnings: 
-YouTube Music &amp; Premium:</t>
        </r>
        <r>
          <rPr>
            <sz val="9"/>
            <color indexed="81"/>
            <rFont val="Tahoma"/>
            <family val="2"/>
          </rPr>
          <t xml:space="preserve"> 30M paid subscribers, 35M incl. free tials
-</t>
        </r>
        <r>
          <rPr>
            <b/>
            <sz val="9"/>
            <color indexed="81"/>
            <rFont val="Tahoma"/>
            <family val="2"/>
          </rPr>
          <t>YouTube TV</t>
        </r>
        <r>
          <rPr>
            <sz val="9"/>
            <color indexed="81"/>
            <rFont val="Tahoma"/>
            <family val="2"/>
          </rPr>
          <t xml:space="preserve">: 3M paid subscripbers
</t>
        </r>
      </text>
    </comment>
    <comment ref="W122" authorId="0" shapeId="0" xr:uid="{00000000-0006-0000-0B00-000003000000}">
      <text>
        <r>
          <rPr>
            <b/>
            <sz val="9"/>
            <color indexed="81"/>
            <rFont val="Tahoma"/>
            <family val="2"/>
          </rPr>
          <t xml:space="preserve">@9/2/21: </t>
        </r>
        <r>
          <rPr>
            <sz val="9"/>
            <color indexed="81"/>
            <rFont val="Tahoma"/>
            <family val="2"/>
          </rPr>
          <t>YouTube Premium Reached 50M Subscribers - https://blog.youtube/news-and-events/50-million/</t>
        </r>
      </text>
    </comment>
    <comment ref="Y122" authorId="0" shapeId="0" xr:uid="{FE1CB15A-D7B1-443B-8D3A-E9134849E97B}">
      <text>
        <r>
          <rPr>
            <b/>
            <sz val="9"/>
            <color indexed="81"/>
            <rFont val="Tahoma"/>
            <family val="2"/>
          </rPr>
          <t xml:space="preserve">4Q23: </t>
        </r>
        <r>
          <rPr>
            <sz val="9"/>
            <color indexed="81"/>
            <rFont val="Tahoma"/>
            <family val="2"/>
          </rPr>
          <t>Subscriptions, which reached $15 billion in annual revenue, up 5x since 2019. Subscriptions is growing strongly, powered by YouTube Premium and Music, YouTube TV and Google One.</t>
        </r>
      </text>
    </comment>
    <comment ref="Z122" authorId="0" shapeId="0" xr:uid="{6606C226-48AA-444A-A08C-6271F29C7BBF}">
      <text>
        <r>
          <rPr>
            <b/>
            <sz val="9"/>
            <color indexed="81"/>
            <rFont val="Tahoma"/>
            <family val="2"/>
          </rPr>
          <t>1Q24:</t>
        </r>
        <r>
          <rPr>
            <sz val="9"/>
            <color indexed="81"/>
            <rFont val="Tahoma"/>
            <family val="2"/>
          </rPr>
          <t xml:space="preserve"> Surpassed 100M music &amp; Premium subscribers, incl. trialers, &amp; YT TV has more than 8M paid subscribers</t>
        </r>
      </text>
    </comment>
    <comment ref="Z123" authorId="0" shapeId="0" xr:uid="{886A0149-34A8-4818-832A-5526789FFA2F}">
      <text>
        <r>
          <rPr>
            <b/>
            <sz val="9"/>
            <color indexed="81"/>
            <rFont val="Tahoma"/>
            <family val="2"/>
          </rPr>
          <t xml:space="preserve">3Q24: </t>
        </r>
        <r>
          <rPr>
            <sz val="9"/>
            <color indexed="81"/>
            <rFont val="Tahoma"/>
            <family val="2"/>
          </rPr>
          <t>Surpassed $50B in 3Q24</t>
        </r>
      </text>
    </comment>
    <comment ref="Y126" authorId="0" shapeId="0" xr:uid="{C5BE620F-22C3-4493-8CF0-A48839524DC6}">
      <text>
        <r>
          <rPr>
            <b/>
            <sz val="9"/>
            <color indexed="81"/>
            <rFont val="Tahoma"/>
            <family val="2"/>
          </rPr>
          <t>2/6/24</t>
        </r>
        <r>
          <rPr>
            <sz val="9"/>
            <color indexed="81"/>
            <rFont val="Tahoma"/>
            <family val="2"/>
          </rPr>
          <t xml:space="preserve">
https://blog.youtube/inside-youtube/2024-letter-from-neal/
YPP has paid out more than any other creator monetization platform, and we </t>
        </r>
        <r>
          <rPr>
            <b/>
            <sz val="9"/>
            <color indexed="81"/>
            <rFont val="Tahoma"/>
            <family val="2"/>
          </rPr>
          <t>paid over $70 billion to creators, artists, and media companies over the last three years.</t>
        </r>
      </text>
    </comment>
    <comment ref="X170" authorId="0" shapeId="0" xr:uid="{1E16CD7F-B7A6-40DF-AE56-1C9A5CBC73DE}">
      <text>
        <r>
          <rPr>
            <b/>
            <sz val="9"/>
            <color indexed="81"/>
            <rFont val="Tahoma"/>
            <family val="2"/>
          </rPr>
          <t xml:space="preserve">2023 10K: 
</t>
        </r>
        <r>
          <rPr>
            <sz val="9"/>
            <color indexed="81"/>
            <rFont val="Tahoma"/>
            <family val="2"/>
          </rPr>
          <t xml:space="preserve">Google subscriptions, platforms, and devices revenues increased $1.0 billion from 2021 to 2022 primarily driven by growth in subscription and </t>
        </r>
        <r>
          <rPr>
            <b/>
            <sz val="9"/>
            <color indexed="81"/>
            <rFont val="Tahoma"/>
            <family val="2"/>
          </rPr>
          <t>device revenues</t>
        </r>
        <r>
          <rPr>
            <sz val="9"/>
            <color indexed="81"/>
            <rFont val="Tahoma"/>
            <family val="2"/>
          </rPr>
          <t>,</t>
        </r>
        <r>
          <rPr>
            <b/>
            <sz val="9"/>
            <color indexed="81"/>
            <rFont val="Tahoma"/>
            <family val="2"/>
          </rPr>
          <t xml:space="preserve"> partially offset by a decrease in platform revenues.</t>
        </r>
        <r>
          <rPr>
            <sz val="9"/>
            <color indexed="81"/>
            <rFont val="Tahoma"/>
            <family val="2"/>
          </rPr>
          <t xml:space="preserve"> The growth in subscriptions was largely for YouTube services, primarily due to an increase in paid subscribers. The growth in device revenues was primarily driven by increased sales of Pixel devices. The decrease in platform revenues was primarily due to Google Play, driven by the fee structure changes we announced in 2021 as well as a decrease in buyer spending. Additionally, the overall increase in Google subscriptions, platforms, and devices revenues was adversely affected by the unfavorable effect of foreign currency exchange rates.</t>
        </r>
      </text>
    </comment>
    <comment ref="Y170" authorId="0" shapeId="0" xr:uid="{1145D907-1251-4AC5-B291-D85B69C7F395}">
      <text>
        <r>
          <rPr>
            <b/>
            <sz val="9"/>
            <color indexed="81"/>
            <rFont val="Tahoma"/>
            <family val="2"/>
          </rPr>
          <t xml:space="preserve">2Q23: </t>
        </r>
        <r>
          <rPr>
            <sz val="9"/>
            <color indexed="81"/>
            <rFont val="Tahoma"/>
            <family val="2"/>
          </rPr>
          <t>Play returned to positive growth</t>
        </r>
      </text>
    </comment>
    <comment ref="Y171" authorId="0" shapeId="0" xr:uid="{8738A2B9-DC0F-4CA5-B279-35116F43BD7F}">
      <text>
        <r>
          <rPr>
            <b/>
            <sz val="9"/>
            <color indexed="81"/>
            <rFont val="Tahoma"/>
            <family val="2"/>
          </rPr>
          <t xml:space="preserve">4Q23: </t>
        </r>
        <r>
          <rPr>
            <sz val="9"/>
            <color indexed="81"/>
            <rFont val="Tahoma"/>
            <family val="2"/>
          </rPr>
          <t>Subscriptions, which reached $15 billion in annual revenue, up 5x since 2019. Subscriptions is growing strongly, powered by YouTube Premium and Music, YouTube TV and Google One.</t>
        </r>
      </text>
    </comment>
    <comment ref="Z171" authorId="0" shapeId="0" xr:uid="{822310F8-DFC2-457E-8E53-1E1C35B12815}">
      <text>
        <r>
          <rPr>
            <b/>
            <sz val="9"/>
            <color indexed="81"/>
            <rFont val="Tahoma"/>
            <family val="2"/>
          </rPr>
          <t xml:space="preserve">1Q24: </t>
        </r>
        <r>
          <rPr>
            <sz val="9"/>
            <color indexed="81"/>
            <rFont val="Tahoma"/>
            <family val="2"/>
          </rPr>
          <t>Google One Surpassed 100M paid subscribers</t>
        </r>
      </text>
    </comment>
    <comment ref="W172" authorId="0" shapeId="0" xr:uid="{611C506E-1BE4-4BB4-865E-CE98973518E1}">
      <text>
        <r>
          <rPr>
            <b/>
            <sz val="9"/>
            <color indexed="81"/>
            <rFont val="Tahoma"/>
            <family val="2"/>
          </rPr>
          <t xml:space="preserve">2021 10K:
</t>
        </r>
        <r>
          <rPr>
            <sz val="9"/>
            <color indexed="81"/>
            <rFont val="Tahoma"/>
            <family val="2"/>
          </rPr>
          <t>Google other revenues increased $6.3 billion from 2020 to 2021. The growth was primarily driven by YouTube non-advertising and hardware, followed by Google Play. Growth for YouTube non-advertising was primarily due to an increase in paid subscribers. Growth in hardware reflects the inclusion of Fitbit revenues, as the acquisition closed in January 2021, and an increase in phone sales. Growth for Google Play was primarily driven by sales of apps and inapp purchases.</t>
        </r>
      </text>
    </comment>
    <comment ref="V173" authorId="0" shapeId="0" xr:uid="{00000000-0006-0000-0B00-000004000000}">
      <text>
        <r>
          <rPr>
            <sz val="9"/>
            <color indexed="81"/>
            <rFont val="Tahoma"/>
            <family val="2"/>
          </rPr>
          <t>https://sensortower.com/blog/app-revenue-and-downloads-2020
~$39B of consumer spend on Google Play, which suggests maximum Google Play revenue of $11.6B</t>
        </r>
      </text>
    </comment>
  </commentList>
</comments>
</file>

<file path=xl/sharedStrings.xml><?xml version="1.0" encoding="utf-8"?>
<sst xmlns="http://schemas.openxmlformats.org/spreadsheetml/2006/main" count="4099" uniqueCount="1211">
  <si>
    <t>Int'l ex-UK revenues as a % of Int'l Revenues</t>
  </si>
  <si>
    <t>Int'l ex-UK revenues as a % of Gross Revenues</t>
  </si>
  <si>
    <t>6/08A</t>
  </si>
  <si>
    <t>Price per share</t>
  </si>
  <si>
    <t>Doug Anmuth</t>
  </si>
  <si>
    <t>9/08A</t>
  </si>
  <si>
    <t>~ PPC Growth Global</t>
  </si>
  <si>
    <t>Total Gross United Kingdom Revenue</t>
  </si>
  <si>
    <t>Estimated FX impact</t>
  </si>
  <si>
    <t>Y/Y change in FX rate -- GBP:USD</t>
  </si>
  <si>
    <t>12/08A</t>
  </si>
  <si>
    <t>2008A</t>
  </si>
  <si>
    <t>Q/Q change in FX rate -- GBP:USD</t>
  </si>
  <si>
    <t>3/09A</t>
  </si>
  <si>
    <t>Y/Y growth ex-FX only</t>
  </si>
  <si>
    <t>Y/Y growth ex-FX &amp; Hedging</t>
  </si>
  <si>
    <t xml:space="preserve">Cash Flow Hedging Impact </t>
  </si>
  <si>
    <t>FX &amp; Hedging Neutral Gross Revs. (based on year ago period)</t>
  </si>
  <si>
    <t>Y/Y growth (ex-FX)</t>
  </si>
  <si>
    <t>Y/Y growth (ex-FX &amp; Hedging)</t>
  </si>
  <si>
    <t>Q/Q growth (ex-FX &amp; Hedging)</t>
  </si>
  <si>
    <t>BPS of Y/Y growth impacted by FX &amp; Hedging</t>
  </si>
  <si>
    <t>BPS of Q/Q growth impacted by FX &amp; Hedging</t>
  </si>
  <si>
    <t xml:space="preserve">Y/Y Foreign Exchange Impact </t>
  </si>
  <si>
    <t>Q/Q Foreign Exchange Impact</t>
  </si>
  <si>
    <t>Y/Y Estimated U.K. Hedging benefit</t>
  </si>
  <si>
    <t>Y/Y Estimated FX impact</t>
  </si>
  <si>
    <t>FX &amp; Hedging Neutral Gross Revs. (based on last quarter)</t>
  </si>
  <si>
    <t>6/09A</t>
  </si>
  <si>
    <t>Y/Y FX &amp; Hedging Impact</t>
  </si>
  <si>
    <t>Q/Q FX &amp; Hedging Impact</t>
  </si>
  <si>
    <t xml:space="preserve"> </t>
  </si>
  <si>
    <t>9/09A</t>
  </si>
  <si>
    <t xml:space="preserve">Total Gross Advertising Revenues Q/Q </t>
  </si>
  <si>
    <t>PPC growth Y/Y -- FX &amp; HEDGING ADJUSTED</t>
  </si>
  <si>
    <t>Q/Q growth -- FX &amp; HEDGING ADJUSTED</t>
  </si>
  <si>
    <t>Years ending December 31 ($ millions, except per share amounts)</t>
  </si>
  <si>
    <t>3/99A</t>
  </si>
  <si>
    <t>6/99A</t>
  </si>
  <si>
    <t>9/99A</t>
  </si>
  <si>
    <t>12/99A</t>
  </si>
  <si>
    <t>1999A</t>
  </si>
  <si>
    <t>3/00A</t>
  </si>
  <si>
    <t>6/00A</t>
  </si>
  <si>
    <t>9/00A</t>
  </si>
  <si>
    <t>Y/Y growth</t>
  </si>
  <si>
    <t>Q/Q growth</t>
  </si>
  <si>
    <t>Sales &amp; marketing</t>
  </si>
  <si>
    <t>Net revenues</t>
  </si>
  <si>
    <t>Gross profit</t>
  </si>
  <si>
    <t>Operating expenses</t>
  </si>
  <si>
    <t>General &amp; administrative</t>
  </si>
  <si>
    <t>Total operating expenses</t>
  </si>
  <si>
    <t>Stock compensation expense</t>
  </si>
  <si>
    <t>EBITDA</t>
  </si>
  <si>
    <t>Gross margin</t>
  </si>
  <si>
    <t>Effective tax rate</t>
  </si>
  <si>
    <t>Retained Earnings</t>
  </si>
  <si>
    <t>Days Sales Outstanding</t>
  </si>
  <si>
    <t xml:space="preserve">   % of Sales</t>
  </si>
  <si>
    <t xml:space="preserve">   Days of Sales</t>
  </si>
  <si>
    <t>Property, Plant &amp; Equipment</t>
  </si>
  <si>
    <t>Working Capital Analysis:</t>
  </si>
  <si>
    <t>($ millions, except per share amounts)</t>
  </si>
  <si>
    <t>Assets</t>
  </si>
  <si>
    <t>Accounts receivable, net</t>
  </si>
  <si>
    <t>Total current assets</t>
  </si>
  <si>
    <t>Total assets</t>
  </si>
  <si>
    <t>Liabilities &amp; Stockholders' Equity</t>
  </si>
  <si>
    <t>Accounts payable</t>
  </si>
  <si>
    <t>Deferred revenue</t>
  </si>
  <si>
    <t>Total current liabilities</t>
  </si>
  <si>
    <t>Total liabilities</t>
  </si>
  <si>
    <t>Total stockholders' equity</t>
  </si>
  <si>
    <t>Total liabilities &amp; stockholders' equity</t>
  </si>
  <si>
    <t>check</t>
  </si>
  <si>
    <t>Balance Sheet Statistics</t>
  </si>
  <si>
    <t>Accounts receivable</t>
  </si>
  <si>
    <t>Accrued expenses</t>
  </si>
  <si>
    <t>+ Capital Expenditures</t>
  </si>
  <si>
    <t>- Unexplained PP&amp;E</t>
  </si>
  <si>
    <t>Retained earnings - BOP</t>
  </si>
  <si>
    <t>+ Current period net income</t>
  </si>
  <si>
    <t>+ Adjustments</t>
  </si>
  <si>
    <t>Retained Earnings - EOP</t>
  </si>
  <si>
    <t>Cash flows from operating activities</t>
  </si>
  <si>
    <t>Net income</t>
  </si>
  <si>
    <t>Adjustments</t>
  </si>
  <si>
    <t>Net change in cash</t>
  </si>
  <si>
    <t>Cash &amp; equivalents - BOP</t>
  </si>
  <si>
    <t>Cash &amp; equivalents - EOP</t>
  </si>
  <si>
    <t>Cash flows from financing activities</t>
  </si>
  <si>
    <t>Depreciation &amp; amortization</t>
  </si>
  <si>
    <t>Cash flows from operations</t>
  </si>
  <si>
    <t>Cash flows from investing activities</t>
  </si>
  <si>
    <t>Net cash from investing activities</t>
  </si>
  <si>
    <t>Net cash from financing activities</t>
  </si>
  <si>
    <t>Changes in working capital</t>
  </si>
  <si>
    <t>Change in working capital</t>
  </si>
  <si>
    <t>Enterprise value</t>
  </si>
  <si>
    <t>- Cash</t>
  </si>
  <si>
    <t>- Investments</t>
  </si>
  <si>
    <t>Shares outstanding</t>
  </si>
  <si>
    <t>Discount Rate</t>
  </si>
  <si>
    <t>2000A</t>
  </si>
  <si>
    <t>Terminal value</t>
  </si>
  <si>
    <t>% change</t>
  </si>
  <si>
    <t>Free Cash Flow</t>
  </si>
  <si>
    <t>Implied Firm Value</t>
  </si>
  <si>
    <t>12/00A</t>
  </si>
  <si>
    <t>CAGR</t>
  </si>
  <si>
    <t>3/01A</t>
  </si>
  <si>
    <t>6/01A</t>
  </si>
  <si>
    <t>2001A</t>
  </si>
  <si>
    <t>9/01A</t>
  </si>
  <si>
    <t>12/01A</t>
  </si>
  <si>
    <t>NA</t>
  </si>
  <si>
    <t>2007E</t>
  </si>
  <si>
    <t>3/02A</t>
  </si>
  <si>
    <t>Provision for income taxes</t>
  </si>
  <si>
    <t>6/02A</t>
  </si>
  <si>
    <t>GAAP EPS</t>
  </si>
  <si>
    <t>9/02A</t>
  </si>
  <si>
    <t>Income Statement</t>
  </si>
  <si>
    <t>12/02A</t>
  </si>
  <si>
    <t>3/03A</t>
  </si>
  <si>
    <t>6/03A</t>
  </si>
  <si>
    <t>9/03A</t>
  </si>
  <si>
    <t>12/03A</t>
  </si>
  <si>
    <t>2002A</t>
  </si>
  <si>
    <t>3/04A</t>
  </si>
  <si>
    <t>Balance Sheet</t>
  </si>
  <si>
    <t>Cash and equivalents</t>
  </si>
  <si>
    <t>Property and equipment, net</t>
  </si>
  <si>
    <t>Goodwill</t>
  </si>
  <si>
    <t>Intangible assets, net</t>
  </si>
  <si>
    <t>Additional paid-in capital</t>
  </si>
  <si>
    <t>Stockholders' Equity</t>
  </si>
  <si>
    <t>Balance Sheet Assumptions</t>
  </si>
  <si>
    <t>Net PPE, BOP</t>
  </si>
  <si>
    <t>Net PPE, EOP</t>
  </si>
  <si>
    <t>Cash Flow Statement</t>
  </si>
  <si>
    <t>Acquisitions, net of cash acquired</t>
  </si>
  <si>
    <t>2008E</t>
  </si>
  <si>
    <t>Changes in:</t>
  </si>
  <si>
    <t>Diluted shares outstanding</t>
  </si>
  <si>
    <t>Amortization of intangibles</t>
  </si>
  <si>
    <t>Free Cash Flow Reconciliation</t>
  </si>
  <si>
    <t>Cash flow from operations</t>
  </si>
  <si>
    <t>Capex</t>
  </si>
  <si>
    <t>Discounted Cash Flow Analysis</t>
  </si>
  <si>
    <t xml:space="preserve">   % change</t>
  </si>
  <si>
    <t>Market Capitalization</t>
  </si>
  <si>
    <t>Cash Taxes</t>
  </si>
  <si>
    <t>Unlevered free cash flow</t>
  </si>
  <si>
    <t>Present value of FCF</t>
  </si>
  <si>
    <t>Present value of terminal value</t>
  </si>
  <si>
    <t>Plus: Cash</t>
  </si>
  <si>
    <t>Less: Debt</t>
  </si>
  <si>
    <t>Implied Equity Value</t>
  </si>
  <si>
    <t>Fully diluted shares outstanding</t>
  </si>
  <si>
    <t>Equity Value Per Share</t>
  </si>
  <si>
    <t>Relative Valuation</t>
  </si>
  <si>
    <t>FCF/share</t>
  </si>
  <si>
    <t>P/FCF</t>
  </si>
  <si>
    <t>FCF Yield</t>
  </si>
  <si>
    <t>Revenue Analysis</t>
  </si>
  <si>
    <t>WACC:</t>
  </si>
  <si>
    <t>10-year US Treasury</t>
  </si>
  <si>
    <t>Equity (market cap)</t>
  </si>
  <si>
    <t>Equity</t>
  </si>
  <si>
    <t>Debt</t>
  </si>
  <si>
    <t>Total Capitalization</t>
  </si>
  <si>
    <t>Terminal Multiple=(1+g)/(WACC-g)</t>
  </si>
  <si>
    <t xml:space="preserve">Terminal Multiple = </t>
  </si>
  <si>
    <t>g =</t>
  </si>
  <si>
    <t>Traffic Acquisition Costs (TAC)</t>
  </si>
  <si>
    <t>Operating Leverage/Flow-through</t>
  </si>
  <si>
    <t>Other cost of revenues</t>
  </si>
  <si>
    <t>Gross Revenues</t>
  </si>
  <si>
    <t>Net Revenues excluding TAC</t>
  </si>
  <si>
    <t>Other cost of revenues (non-TAC)</t>
  </si>
  <si>
    <t>Accrued expenses and other liabilities</t>
  </si>
  <si>
    <t>+ Minority Interests</t>
  </si>
  <si>
    <t>2003A</t>
  </si>
  <si>
    <t>Geographic Breakdown</t>
  </si>
  <si>
    <t>Google</t>
  </si>
  <si>
    <t>Research &amp; development</t>
  </si>
  <si>
    <t>Other income, expense and other, net</t>
  </si>
  <si>
    <t xml:space="preserve">GAAP Net Income (loss) </t>
  </si>
  <si>
    <t>Amortization of warrants</t>
  </si>
  <si>
    <t>In-process research &amp; development</t>
  </si>
  <si>
    <t>Stock-based compensation</t>
  </si>
  <si>
    <t>Prepaid revenue share, expenses and other assets</t>
  </si>
  <si>
    <t>Accrued revenue share</t>
  </si>
  <si>
    <t>Proceeds from issuance of convertible preferred stock, net</t>
  </si>
  <si>
    <t>Proceeds from exercise of stock options, net</t>
  </si>
  <si>
    <t>Deferred income taxes</t>
  </si>
  <si>
    <t>Prepaid revenue share, expenses and other assets, non-current</t>
  </si>
  <si>
    <t>Accrued compensation and benefits</t>
  </si>
  <si>
    <t>Accrued expenses and other current liabilites</t>
  </si>
  <si>
    <t>Income taxes payable</t>
  </si>
  <si>
    <t>Current portion of equipment leases</t>
  </si>
  <si>
    <t>Long-term portion of equipment leases</t>
  </si>
  <si>
    <t>Deferred revenue, long-term</t>
  </si>
  <si>
    <t>Liability for stock options exercised early, long-term</t>
  </si>
  <si>
    <t>Other long-term liabilities</t>
  </si>
  <si>
    <t>Class A&amp;B common stock</t>
  </si>
  <si>
    <t>Convertible preferred stock</t>
  </si>
  <si>
    <t>Note receivable from officer/stockholder</t>
  </si>
  <si>
    <t>Deferred stock-based compensation</t>
  </si>
  <si>
    <t>Accumulated other comprehensive income</t>
  </si>
  <si>
    <t>Retained earnings</t>
  </si>
  <si>
    <t>Commitments and contingencies</t>
  </si>
  <si>
    <t>Redeemable convertible preferred stock warrant</t>
  </si>
  <si>
    <t xml:space="preserve">   % Y/Y change</t>
  </si>
  <si>
    <t xml:space="preserve">United States </t>
  </si>
  <si>
    <t xml:space="preserve">International </t>
  </si>
  <si>
    <t>Acrrued compensation and benefits</t>
  </si>
  <si>
    <t>Total Deferred revenue</t>
  </si>
  <si>
    <t>Deferred revenue, short-term</t>
  </si>
  <si>
    <t xml:space="preserve">   % of Total deferred revenue</t>
  </si>
  <si>
    <t>Total Prepaid revenue share, expenses and other assets</t>
  </si>
  <si>
    <t xml:space="preserve">   % of Total Prepaid revenue</t>
  </si>
  <si>
    <t>Capex Analysis:</t>
  </si>
  <si>
    <t>Income before taxes</t>
  </si>
  <si>
    <t>2009E</t>
  </si>
  <si>
    <t>Capex as % of net revenues</t>
  </si>
  <si>
    <t>Net Revenues</t>
  </si>
  <si>
    <t>Licensing &amp; Other Gross Revenues</t>
  </si>
  <si>
    <t>Capex as % of operating cash flow</t>
  </si>
  <si>
    <t xml:space="preserve">Proceeds from issuance of common stock </t>
  </si>
  <si>
    <t>Gross revenues</t>
  </si>
  <si>
    <t>6/04A</t>
  </si>
  <si>
    <t>Income taxes receivable</t>
  </si>
  <si>
    <t>Proceeds from exercise of warrants</t>
  </si>
  <si>
    <t>U.S. revenues as % of Gross Revenues</t>
  </si>
  <si>
    <t>International revenues as % of Gross Revenues</t>
  </si>
  <si>
    <t>Net margin</t>
  </si>
  <si>
    <t>FCF conversion as % of Cash Flow from Ops</t>
  </si>
  <si>
    <t>Free Cash Flow per share</t>
  </si>
  <si>
    <t xml:space="preserve">   Y/Y change in CFO</t>
  </si>
  <si>
    <t>Non-recurring items:</t>
  </si>
  <si>
    <t xml:space="preserve">   Stock compensation expense</t>
  </si>
  <si>
    <t xml:space="preserve">   Tax Effect</t>
  </si>
  <si>
    <t xml:space="preserve">   One-time items</t>
  </si>
  <si>
    <t>One-time items</t>
  </si>
  <si>
    <t>Total</t>
  </si>
  <si>
    <t>Reported Free Cash Flow</t>
  </si>
  <si>
    <t>FCF as % of EBITDA</t>
  </si>
  <si>
    <t>Adjusted Free Cash Flow Calculation</t>
  </si>
  <si>
    <t>Adjusted Free Cash Flow</t>
  </si>
  <si>
    <t>Adjusted Free Cash Flow per share</t>
  </si>
  <si>
    <t>Adjusted FCF as % of EBITDA</t>
  </si>
  <si>
    <t>9/04A</t>
  </si>
  <si>
    <t>12/04A</t>
  </si>
  <si>
    <t>2004A</t>
  </si>
  <si>
    <t>ROIC</t>
  </si>
  <si>
    <t>3/05A</t>
  </si>
  <si>
    <t>Annualized Cash Opex/Average Full Time Employee</t>
  </si>
  <si>
    <t>Absolute Sequential Change in Headcount</t>
  </si>
  <si>
    <t>6/05A</t>
  </si>
  <si>
    <t>Tax Benefits from Exercise of Stock Options</t>
  </si>
  <si>
    <t>9/05A</t>
  </si>
  <si>
    <t xml:space="preserve">Minority interest </t>
  </si>
  <si>
    <t>12/05A</t>
  </si>
  <si>
    <t>2005A</t>
  </si>
  <si>
    <t>3/06A</t>
  </si>
  <si>
    <t>Excess tax benefits from stock-based award activity</t>
  </si>
  <si>
    <t>6/06A</t>
  </si>
  <si>
    <t>9/07E</t>
  </si>
  <si>
    <t>2011E</t>
  </si>
  <si>
    <t>2012E</t>
  </si>
  <si>
    <t>9/06A</t>
  </si>
  <si>
    <t>ROE</t>
  </si>
  <si>
    <t>12/06A</t>
  </si>
  <si>
    <t>2006A</t>
  </si>
  <si>
    <t>3/07A</t>
  </si>
  <si>
    <t>6/07A</t>
  </si>
  <si>
    <t>TAC as % of Google Network Gross Adv. Revenues</t>
  </si>
  <si>
    <t>Total Traffic Acquisition Costs (TAC)</t>
  </si>
  <si>
    <t>9/07A</t>
  </si>
  <si>
    <t>Net Revenue</t>
  </si>
  <si>
    <t>TAC as a % of Total Gross Adv. Revenues</t>
  </si>
  <si>
    <t>Income taxes net</t>
  </si>
  <si>
    <t>12/07A</t>
  </si>
  <si>
    <t>2007A</t>
  </si>
  <si>
    <t>Book Value per Share</t>
  </si>
  <si>
    <t>Other (effect of exchange rate changes on cash &amp; equivalents)</t>
  </si>
  <si>
    <t>Total Gross Revenue</t>
  </si>
  <si>
    <t>United Kingdom</t>
  </si>
  <si>
    <t>UK revenues as a % of Gross Revenues</t>
  </si>
  <si>
    <t>UK revenues as a % of International Revenues</t>
  </si>
  <si>
    <t>Google-Provided Paid Click Growth (GLOBAL)</t>
  </si>
  <si>
    <t>comScore Estimated Google Paid Click Growth (U.S)</t>
  </si>
  <si>
    <t>FX-Neutral Gross Revenue (based on last quarter)</t>
  </si>
  <si>
    <t>BPS of Q/Q growth impacted by FX</t>
  </si>
  <si>
    <t>BPS of Y/Y growth impacted by FX</t>
  </si>
  <si>
    <t>FX-Neutral Gross Revenue (based on year ago period)</t>
  </si>
  <si>
    <t>Total Gross International Revenue</t>
  </si>
  <si>
    <t>3/08A</t>
  </si>
  <si>
    <t>Applied WACC =</t>
  </si>
  <si>
    <t>12/09A</t>
  </si>
  <si>
    <t>ROW FX &amp; Hedging Neutral Gross Revenue</t>
  </si>
  <si>
    <t>Total ROW hedging benefit (ex-UK)</t>
  </si>
  <si>
    <t>Y/Y Growth on ROW reported revs, ex. hedging</t>
  </si>
  <si>
    <t>($ in millions, Except Per Share Data)</t>
  </si>
  <si>
    <t>ROW Reported Revenue, ex-ROW Hedging</t>
  </si>
  <si>
    <t>ROW Reported Revenue (International revs less UK revs.)</t>
  </si>
  <si>
    <t>2009A</t>
  </si>
  <si>
    <t>3/10A</t>
  </si>
  <si>
    <t>Repurchase of common stock</t>
  </si>
  <si>
    <t>Revenue</t>
  </si>
  <si>
    <t>6/10A</t>
  </si>
  <si>
    <t>Prepaid revenue share, expenses and other assets, current</t>
  </si>
  <si>
    <t>Rest of World (ROW) Analysis</t>
  </si>
  <si>
    <t>Foreign Exchange Impact on International Revenue</t>
  </si>
  <si>
    <t>Net Revenue Share by Segment</t>
  </si>
  <si>
    <t>TAC Analysis</t>
  </si>
  <si>
    <t>Gross Revenue Share by Segment</t>
  </si>
  <si>
    <t>Paid Click and PPC Data – FX &amp; Hedging Adjusted</t>
  </si>
  <si>
    <t>Foreign Exchange Impact on Gross Revenue</t>
  </si>
  <si>
    <t>Year/Year Growth</t>
  </si>
  <si>
    <t>Sequential Growth</t>
  </si>
  <si>
    <t>Margins as % of Net Revenues</t>
  </si>
  <si>
    <t>Margin as % of Gross Revenues</t>
  </si>
  <si>
    <t>Quarterly Cash Opex/Ending Quarterly Full Time Employees</t>
  </si>
  <si>
    <t>Total cash operating expenses</t>
  </si>
  <si>
    <t>9/10A</t>
  </si>
  <si>
    <t>Proceeds from issuance of debt</t>
  </si>
  <si>
    <t>Short term debt</t>
  </si>
  <si>
    <t>12/10A</t>
  </si>
  <si>
    <t xml:space="preserve">Payments of notes receivable from stockholders </t>
  </si>
  <si>
    <t>Payments of ST debt &amp; principal on cap leases &amp;  equip. loans</t>
  </si>
  <si>
    <t>Securities lending program (repo)</t>
  </si>
  <si>
    <t>2010A</t>
  </si>
  <si>
    <t>+ Debt (LT &amp; ST)</t>
  </si>
  <si>
    <t>Source: Company reports and J.P. Morgan estimates</t>
  </si>
  <si>
    <t>Source: Company reports, J.P. Morgan estimates</t>
  </si>
  <si>
    <t>3/11A</t>
  </si>
  <si>
    <t>FX IMPACT</t>
  </si>
  <si>
    <t>FX Rates -- Share</t>
  </si>
  <si>
    <t>United Kingdom (GBP/$1)</t>
  </si>
  <si>
    <t>Germany (Euro/$1)</t>
  </si>
  <si>
    <t>China  ($1/CNY)</t>
  </si>
  <si>
    <t>Australia (AUD/$1)</t>
  </si>
  <si>
    <t>Japan ($1/Yen)</t>
  </si>
  <si>
    <t>Other (Euro/$1)</t>
  </si>
  <si>
    <t>FX Rates -- Projected</t>
  </si>
  <si>
    <t>Rest of Europe (Euro/$1)</t>
  </si>
  <si>
    <t>% Change Y/Y</t>
  </si>
  <si>
    <t>Weighted Chg in Currency</t>
  </si>
  <si>
    <t>Multiplier</t>
  </si>
  <si>
    <t>Source: Company data, J.P. Morgan estimates</t>
  </si>
  <si>
    <t>YouTube</t>
  </si>
  <si>
    <t>J.P. Morgan Securities LLC</t>
  </si>
  <si>
    <t>Company Model</t>
  </si>
  <si>
    <t>douglas.anmuth@jpmorgan.com</t>
  </si>
  <si>
    <t>Terminal FCF multiple</t>
  </si>
  <si>
    <t>Y/Y Growth</t>
  </si>
  <si>
    <t>Long-term debt</t>
  </si>
  <si>
    <t>6/11A</t>
  </si>
  <si>
    <t>Gross Profit</t>
  </si>
  <si>
    <t xml:space="preserve">EV/Revenue </t>
  </si>
  <si>
    <t>Q/Q Growth</t>
  </si>
  <si>
    <t>9/11A</t>
  </si>
  <si>
    <t>FX Impact</t>
  </si>
  <si>
    <t>Reported FX Impact on intl gross rev growth</t>
  </si>
  <si>
    <t>Margin</t>
  </si>
  <si>
    <t>12/11A</t>
  </si>
  <si>
    <t>2011A</t>
  </si>
  <si>
    <t>% Change Q/Q</t>
  </si>
  <si>
    <t>GAAP Net Income</t>
  </si>
  <si>
    <t>N/A</t>
  </si>
  <si>
    <t>SBC</t>
  </si>
  <si>
    <t>Total Cash Opex</t>
  </si>
  <si>
    <t>Q/Q Change (abs $)</t>
  </si>
  <si>
    <t>3/12A</t>
  </si>
  <si>
    <t>Q/Q Change %</t>
  </si>
  <si>
    <t>Y/Y Change</t>
  </si>
  <si>
    <t>TAC</t>
  </si>
  <si>
    <t>6/12A</t>
  </si>
  <si>
    <t>Inventories</t>
  </si>
  <si>
    <t>9/12A</t>
  </si>
  <si>
    <t>12/12A</t>
  </si>
  <si>
    <t>2012A</t>
  </si>
  <si>
    <t>3/13A</t>
  </si>
  <si>
    <t>6/13A</t>
  </si>
  <si>
    <t>9/13A</t>
  </si>
  <si>
    <t>12/13A</t>
  </si>
  <si>
    <t>2013A</t>
  </si>
  <si>
    <t>with mmi, values only</t>
  </si>
  <si>
    <t>Discontinued Operations - Motorola</t>
  </si>
  <si>
    <t>3/14A</t>
  </si>
  <si>
    <t>6/14A</t>
  </si>
  <si>
    <t>9/14A</t>
  </si>
  <si>
    <t xml:space="preserve">Interest Income </t>
  </si>
  <si>
    <t>Interest Expense</t>
  </si>
  <si>
    <t>Others</t>
  </si>
  <si>
    <t>% of Cash and Marketable securities</t>
  </si>
  <si>
    <t>Debt schedule</t>
  </si>
  <si>
    <t>Short-term debt</t>
  </si>
  <si>
    <t>Senior notes due 2014</t>
  </si>
  <si>
    <t>Senior notes due 2016</t>
  </si>
  <si>
    <t>Interest rates</t>
  </si>
  <si>
    <t>Weighted average rates</t>
  </si>
  <si>
    <t>Total debt</t>
  </si>
  <si>
    <t>Calculated Interest expense</t>
  </si>
  <si>
    <t>Total Gross Advertising Revenues Ex-FX/Hedging</t>
  </si>
  <si>
    <t>International ex-UK (ROW)</t>
  </si>
  <si>
    <t>2014A</t>
  </si>
  <si>
    <t>12/14A</t>
  </si>
  <si>
    <t>3/15A</t>
  </si>
  <si>
    <t>difference</t>
  </si>
  <si>
    <t>6/15A</t>
  </si>
  <si>
    <t>Germany</t>
  </si>
  <si>
    <t>China</t>
  </si>
  <si>
    <t>Australia</t>
  </si>
  <si>
    <t>Japan</t>
  </si>
  <si>
    <t>Other</t>
  </si>
  <si>
    <t>United Kingdom ($1/GBP)</t>
  </si>
  <si>
    <t>Germany ($1/Euro)</t>
  </si>
  <si>
    <t>Rest of Europe ($1/Euro)</t>
  </si>
  <si>
    <t>China  (CNY/$1)</t>
  </si>
  <si>
    <t>Australia ($1/AUD)</t>
  </si>
  <si>
    <t>Japan (Yen/$1)</t>
  </si>
  <si>
    <t>Other ($1/Euro)</t>
  </si>
  <si>
    <t>Headcount w/ Motorola</t>
  </si>
  <si>
    <t>Seasonality</t>
  </si>
  <si>
    <t>9/15A</t>
  </si>
  <si>
    <t>Brazil</t>
  </si>
  <si>
    <t>Mexico</t>
  </si>
  <si>
    <t>Brazil (BRL/$1)</t>
  </si>
  <si>
    <t>Mexico ($1/MXN)</t>
  </si>
  <si>
    <t>Other Bets</t>
  </si>
  <si>
    <t>Segment Reporting</t>
  </si>
  <si>
    <t>Google Revenue</t>
  </si>
  <si>
    <t>Google Sites Revenue</t>
  </si>
  <si>
    <t>Google Network Sites Revenue</t>
  </si>
  <si>
    <t>Google Other Revenue</t>
  </si>
  <si>
    <t>Google Ad Revenue</t>
  </si>
  <si>
    <t>Google Operating Income/(Loss) ex-SBC</t>
  </si>
  <si>
    <t>Google SBC</t>
  </si>
  <si>
    <t>Google Operating Income/(Loss)</t>
  </si>
  <si>
    <t>Google CapEx</t>
  </si>
  <si>
    <t>Google Depreciation, Amortization &amp; Impairment</t>
  </si>
  <si>
    <t>Other Bets Revenue</t>
  </si>
  <si>
    <t>Other Bets Operating Income/(Loss) ex-SBC</t>
  </si>
  <si>
    <t>Other Bets SBC</t>
  </si>
  <si>
    <t>Other Bets Operating Income/(Loss)</t>
  </si>
  <si>
    <t>Other Bets CapEx</t>
  </si>
  <si>
    <t>Other Bets Depreciation, Amortization &amp; Impairment</t>
  </si>
  <si>
    <t>Reconciling Items</t>
  </si>
  <si>
    <t>Reconciling Items Operating Income/(Loss) ex-SBC</t>
  </si>
  <si>
    <t>Reconciling Items SBC</t>
  </si>
  <si>
    <t>Reconciling Items Operating Income/(Loss)</t>
  </si>
  <si>
    <t>Reconciling Items CapEx</t>
  </si>
  <si>
    <t xml:space="preserve">Alphabet, Inc. </t>
  </si>
  <si>
    <t>Alphabet, Inc. Revenue</t>
  </si>
  <si>
    <t>Alphabet, Inc. SBC</t>
  </si>
  <si>
    <t>Alphabet, Inc. CapEx</t>
  </si>
  <si>
    <t>Alphabet, Inc. Depreciation, Amortization &amp; Impairment</t>
  </si>
  <si>
    <t>Google Y/Y Growth</t>
  </si>
  <si>
    <t>Google Q/Q Growth</t>
  </si>
  <si>
    <t>Other Bets Y/Y Growth</t>
  </si>
  <si>
    <t>Other Bets Q/Q Growth</t>
  </si>
  <si>
    <t>Alphabet, Inc.  Y/Y Growth</t>
  </si>
  <si>
    <t>Alphabet, Inc.  Revenue</t>
  </si>
  <si>
    <t>Alphabet, Inc.  SBC</t>
  </si>
  <si>
    <t>Alphabet, Inc.  CapEx</t>
  </si>
  <si>
    <t>Alphabet, Inc.  Depreciation, Amortization &amp; Impairment</t>
  </si>
  <si>
    <t>Alphabet, Inc.  Q/Q Growth</t>
  </si>
  <si>
    <t>Margin (% of Other Bets Revenue)</t>
  </si>
  <si>
    <t>Margin (% of Alphabet, Inc. Revenue)</t>
  </si>
  <si>
    <t>Other Revenue Total</t>
  </si>
  <si>
    <t>12/15A</t>
  </si>
  <si>
    <t>2015A</t>
  </si>
  <si>
    <t>Reconciling Items Depreciation, Amortization &amp; Impairment</t>
  </si>
  <si>
    <t>Q/Q growth (ex-FX)</t>
  </si>
  <si>
    <t>OI&amp;E</t>
  </si>
  <si>
    <t>Discontinued</t>
  </si>
  <si>
    <t>Provision for tax less tax effect</t>
  </si>
  <si>
    <t>Diluted Shares</t>
  </si>
  <si>
    <t>Google non-GAAP Net Income</t>
  </si>
  <si>
    <t>Google non-GAAP EPS</t>
  </si>
  <si>
    <t>Alphabet GAAP EPS</t>
  </si>
  <si>
    <t xml:space="preserve">EV/Alphabet EBITDA </t>
  </si>
  <si>
    <t>Alphabet Free Cash Flow</t>
  </si>
  <si>
    <t>Alphabet Net Revenue</t>
  </si>
  <si>
    <t>Non-GAAP Operating Income</t>
  </si>
  <si>
    <t>Non-GAAP EPS</t>
  </si>
  <si>
    <t>Dae Lee</t>
  </si>
  <si>
    <t>_______________________________________________________________________________________________________________________________________</t>
  </si>
  <si>
    <t>3/16A</t>
  </si>
  <si>
    <t>Q/Q Growth on ROW reported revs, ex. hedging</t>
  </si>
  <si>
    <t>Alphabet Inc.</t>
  </si>
  <si>
    <t>FXHN Y/Y growth</t>
  </si>
  <si>
    <t>Y/Y $ Impact from FX &amp; Hedging</t>
  </si>
  <si>
    <t>Y/Y $ Impact from FX</t>
  </si>
  <si>
    <t>Y/Y $ impact from Hedging</t>
  </si>
  <si>
    <t>FXHN Sites Gross Revenue</t>
  </si>
  <si>
    <t>ex-Hedge Reported Sites Gross Revenue</t>
  </si>
  <si>
    <t>FXHN Network Web Sites Gross Revenue</t>
  </si>
  <si>
    <t>ex-Hedge Reported Network Web Sites Gross Revenue</t>
  </si>
  <si>
    <t>TAC as % of ex-Hedge Google Sites Gross Adv. Revenues</t>
  </si>
  <si>
    <t>TAC as % of ex-Hedge Google Network Gross Adv. Revenues</t>
  </si>
  <si>
    <t>FXN Google Web Sites - TAC (estimate)</t>
  </si>
  <si>
    <t>FXN Google Network Web Sites - TAC (estimate)</t>
  </si>
  <si>
    <t>FXN Y/Y growth</t>
  </si>
  <si>
    <t>($ millions except where noted)</t>
  </si>
  <si>
    <t>Other Bets Non-GAAP Net Income</t>
  </si>
  <si>
    <t>Other Bets Non-GAAP EPS</t>
  </si>
  <si>
    <t>Ops Income Margin Leverage/(deleverage) (bps)</t>
  </si>
  <si>
    <t>6/16A</t>
  </si>
  <si>
    <t>Non-GAAP Operating income</t>
  </si>
  <si>
    <t>FXHN Google Web Sites - Net Revenues</t>
  </si>
  <si>
    <t>FXHN Google Network Web Sites - Net Revenues</t>
  </si>
  <si>
    <t>FXHN Total Net Advertising - Net Revenues</t>
  </si>
  <si>
    <t>Other Income (Expense), net</t>
  </si>
  <si>
    <t>9/16A</t>
  </si>
  <si>
    <t>Depreciation as % of revenue</t>
  </si>
  <si>
    <t>Tax benefits from exercise of stock options and other</t>
  </si>
  <si>
    <t>Checks</t>
  </si>
  <si>
    <t>Check</t>
  </si>
  <si>
    <t>Avg. Cash and Marketable securities</t>
  </si>
  <si>
    <t>Others &amp; One-time items</t>
  </si>
  <si>
    <t>Rest of Europe</t>
  </si>
  <si>
    <t>Actual Interest expense</t>
  </si>
  <si>
    <t>Senior notes due 08/15/2026</t>
  </si>
  <si>
    <t>Google Net Revenue</t>
  </si>
  <si>
    <t>Google Gross Revenue</t>
  </si>
  <si>
    <t>12/16A</t>
  </si>
  <si>
    <t>2016A</t>
  </si>
  <si>
    <t>GAAP Operating Income</t>
  </si>
  <si>
    <t xml:space="preserve">Annualized SBC per Headcount </t>
  </si>
  <si>
    <t>LTM Other Bets Revenue</t>
  </si>
  <si>
    <t>LTM Other Bets Non-GAAP Ops Income</t>
  </si>
  <si>
    <t>$ change Y/Y</t>
  </si>
  <si>
    <t>Google GAAP Net Income</t>
  </si>
  <si>
    <t>Google GAAP EPS</t>
  </si>
  <si>
    <t>Alphabet, Inc. GAAP Net Income</t>
  </si>
  <si>
    <t>Alphabet, Inc. GAAP EPS</t>
  </si>
  <si>
    <t>3/17A</t>
  </si>
  <si>
    <t>Other Bets GAAP Net Income</t>
  </si>
  <si>
    <t>Other Bets GAAP EPS</t>
  </si>
  <si>
    <t>Other Bets GAAP Operating Income/(Loss)</t>
  </si>
  <si>
    <t>Other Bets Non-GAAP Operating Income/(Loss) ex-SBC</t>
  </si>
  <si>
    <t>Google GAAP Operating Income/(Loss)</t>
  </si>
  <si>
    <t>Google Non-GAAP Operating Income/(Loss) ex-SBC</t>
  </si>
  <si>
    <t>LTM Other Bets GAAP Ops Income</t>
  </si>
  <si>
    <t>Google Non-GAAP Operating Income/(Loss) ex-SBC - Net</t>
  </si>
  <si>
    <t>Google Non-GAAP Operating Income/(Loss) ex-SBC - Gross</t>
  </si>
  <si>
    <t>Google GAAP Operating Income/(Loss) - Gross</t>
  </si>
  <si>
    <t>Google GAAP Operating Income/(Loss) - Net</t>
  </si>
  <si>
    <t>Google Opex ex-SBC</t>
  </si>
  <si>
    <t>Restated @1Q Earnings</t>
  </si>
  <si>
    <t>Internation Breakdown (pre-1Q17 change)</t>
  </si>
  <si>
    <t>EMEA</t>
  </si>
  <si>
    <t>APAC</t>
  </si>
  <si>
    <t>Foreign Exchange Impact on U.K. Revenue</t>
  </si>
  <si>
    <t>LTM revenue</t>
  </si>
  <si>
    <t>GAAP Operating income</t>
  </si>
  <si>
    <t>Alphabet, Inc. Non-GAAP Op Income/(Loss) ex-SBC</t>
  </si>
  <si>
    <t>Alphabet, Inc. GAAP Op Income/(Loss)</t>
  </si>
  <si>
    <t>Alphabet, Inc. Non-GAAP Net Income</t>
  </si>
  <si>
    <t>Alphabet, Inc. Non-GAAP EPS</t>
  </si>
  <si>
    <t>General &amp; administrative - non-GAAP</t>
  </si>
  <si>
    <t>Sales &amp; marketing - non-GAAP</t>
  </si>
  <si>
    <t>Research &amp; development - non-GAAP</t>
  </si>
  <si>
    <t>Other cost of revenues - non-GAAP</t>
  </si>
  <si>
    <t>GAAP expenses as % of Net Revenues</t>
  </si>
  <si>
    <t>GAAP expenses as % of Gross Revenues</t>
  </si>
  <si>
    <t>NON-GAAP expenses as % of Net Revenues</t>
  </si>
  <si>
    <t>NON-GAAP expenses as % of Gross Revenues</t>
  </si>
  <si>
    <t>GAAP Operating Margin</t>
  </si>
  <si>
    <t>GAAP Operating margin</t>
  </si>
  <si>
    <t>3yr CAGR</t>
  </si>
  <si>
    <t>5yr CAGR</t>
  </si>
  <si>
    <t>Land and Buildings</t>
  </si>
  <si>
    <t>Information Technology Assets</t>
  </si>
  <si>
    <t>Construction in Progress</t>
  </si>
  <si>
    <t>Leasehold Improvements</t>
  </si>
  <si>
    <t>Furniture and Fixtures</t>
  </si>
  <si>
    <t>Property and Equipment, Gross</t>
  </si>
  <si>
    <t>Less: Accumulated Depreciation &amp; Amortization</t>
  </si>
  <si>
    <t>Property and Equipment, Net</t>
  </si>
  <si>
    <t>EMEA Currency</t>
  </si>
  <si>
    <t>Actual vs. estimate</t>
  </si>
  <si>
    <t>APAC Currency</t>
  </si>
  <si>
    <t>Canada</t>
  </si>
  <si>
    <t>FX Rates -- Share of EMEA</t>
  </si>
  <si>
    <t>EU ex. UK</t>
  </si>
  <si>
    <t>EURUSD Curncy</t>
  </si>
  <si>
    <t>GBPUSD Curncy</t>
  </si>
  <si>
    <t>USDCNY Curncy</t>
  </si>
  <si>
    <t>AUDUSD Curncy</t>
  </si>
  <si>
    <t>USDJPY Curncy</t>
  </si>
  <si>
    <t>USDCAD Curncy</t>
  </si>
  <si>
    <t>USDBRL Curncy</t>
  </si>
  <si>
    <t>USDMXN Curncy</t>
  </si>
  <si>
    <t>Last trading day in prior month</t>
  </si>
  <si>
    <t>Month 1</t>
  </si>
  <si>
    <t>Month 2</t>
  </si>
  <si>
    <t>Month 3</t>
  </si>
  <si>
    <t>Total Gross EMEA Revenue</t>
  </si>
  <si>
    <t>Discontinued providing UK Breakout beginning 2Q</t>
  </si>
  <si>
    <t>Other Americas Currency</t>
  </si>
  <si>
    <t>India</t>
  </si>
  <si>
    <t>USDINR Curncy</t>
  </si>
  <si>
    <t>Q/Q Weighted Chg in Currency</t>
  </si>
  <si>
    <t>Y/Y Weighted Chg in Currency</t>
  </si>
  <si>
    <t>Hedge as % of FX Impact</t>
  </si>
  <si>
    <t>Receivable under reverse repurchase agreements</t>
  </si>
  <si>
    <t>BPS of Y/Y growth impacted by Hedging</t>
  </si>
  <si>
    <t>Total Gross Other Americas Revenue</t>
  </si>
  <si>
    <t>Excl. Hedging EMEA Gross Revenue</t>
  </si>
  <si>
    <t>Y/Y growth (excl. Hedging)</t>
  </si>
  <si>
    <t>Q/Q growth (excl. Hedging)</t>
  </si>
  <si>
    <t>Y/Y growth (excl. FX &amp; Hedging)</t>
  </si>
  <si>
    <t>FX &amp; Hedging Neutral Gross Rev. (based on last quarter)</t>
  </si>
  <si>
    <t>Q/Q growth (excl. FX &amp; Hedging)</t>
  </si>
  <si>
    <t>Excl. Hedging APAC Gross Revenue</t>
  </si>
  <si>
    <t>Excl. Hedging Other Americas Gross Revenue</t>
  </si>
  <si>
    <t>Y/Y growth in FX</t>
  </si>
  <si>
    <t>Q/Q growth in FX</t>
  </si>
  <si>
    <t>Excl. Hedging Total Gross Revenue</t>
  </si>
  <si>
    <t>Year/Year Growth (ex SBC)</t>
  </si>
  <si>
    <t>GAAP operating income</t>
  </si>
  <si>
    <t>Old - No longer Used</t>
  </si>
  <si>
    <t>Other Americas (Canada and LatAM)</t>
  </si>
  <si>
    <t>Total Cash held overseas</t>
  </si>
  <si>
    <t>Cash per share</t>
  </si>
  <si>
    <t>Cash per share ex-securities lending program</t>
  </si>
  <si>
    <t>% of Total Cash</t>
  </si>
  <si>
    <t>Google Network</t>
  </si>
  <si>
    <t>FXHN Y/Y growth (estimate)</t>
  </si>
  <si>
    <t>Total Gross APAC Revenue</t>
  </si>
  <si>
    <t>Gross Revenue Summary</t>
  </si>
  <si>
    <t>Google Segment Revenues</t>
  </si>
  <si>
    <t>Google Properties - TAC</t>
  </si>
  <si>
    <t>Google Network Members' Properties - TAC</t>
  </si>
  <si>
    <t xml:space="preserve">Google Properties - Net Revenues </t>
  </si>
  <si>
    <t xml:space="preserve">Google Network Members' Properties - Net Revenues </t>
  </si>
  <si>
    <t>Google Advertising - Net Revenues</t>
  </si>
  <si>
    <t>Alphabet Net Revenues</t>
  </si>
  <si>
    <t>Google Properties as % of Alphabet Net Revenues</t>
  </si>
  <si>
    <t>Google Network Members' Properties as % of Alphabet Net Revenues</t>
  </si>
  <si>
    <t>Google Advertising as % of Alphebt Net Revenues</t>
  </si>
  <si>
    <t>Google Other &amp; Other Bets as % of Alphabet Net Revenues</t>
  </si>
  <si>
    <t>Google Advertising Paid Click Growth (worldwide)</t>
  </si>
  <si>
    <t>Google Advertising Cost-per-click Growth (worldwide)</t>
  </si>
  <si>
    <t>Not Used</t>
  </si>
  <si>
    <t>Google Network Members' Properties Cost-per-click Growth</t>
  </si>
  <si>
    <t>Google Network Members' Properties Paid Click Growth</t>
  </si>
  <si>
    <t>Y/Y FXHN CPC growth (estimated)</t>
  </si>
  <si>
    <t>Y/Y growth (calculated)</t>
  </si>
  <si>
    <t>Google Advertising - TOTAL</t>
  </si>
  <si>
    <t>Foreign Exchange Impact to Gross Revenue</t>
  </si>
  <si>
    <t>Foreign Exchange Impact to TAC</t>
  </si>
  <si>
    <t>Foreign Exchange Impact to Net Revenue</t>
  </si>
  <si>
    <t>Foreign Exchange Impact Google Segments</t>
  </si>
  <si>
    <t>Alphabet Gross Revenue</t>
  </si>
  <si>
    <t>Net Revenue Summary</t>
  </si>
  <si>
    <t>Alphabet JPMe Adj. EPS</t>
  </si>
  <si>
    <t>6/17A</t>
  </si>
  <si>
    <t>Not Used Anymore</t>
  </si>
  <si>
    <t xml:space="preserve">Google Segment % of Alphabet, Inc. </t>
  </si>
  <si>
    <t xml:space="preserve">Other Bets % of Alphabet, Inc. </t>
  </si>
  <si>
    <t xml:space="preserve">JPMe Adjusted Net Income (loss) </t>
  </si>
  <si>
    <t>JPMe Adjusted EPS</t>
  </si>
  <si>
    <t>JPMe Adjusted Operating margin</t>
  </si>
  <si>
    <t>Alphabet, Inc. JPMe Adj. Op Income/(Loss) ex-SBC</t>
  </si>
  <si>
    <t>JPMe Adjusted Operating income</t>
  </si>
  <si>
    <t>Alphabet, Inc. Non-GAAP Op Income/(Loss)</t>
  </si>
  <si>
    <t>Non-GAAP Adjustments</t>
  </si>
  <si>
    <t>Y/Y Margin Lev/(delev) (bps)</t>
  </si>
  <si>
    <t>Q/Q Margin Lev/(delev) (bps)</t>
  </si>
  <si>
    <t>Y/Y Ops Income Margin Leverage/(deleverage) (bps)</t>
  </si>
  <si>
    <t>Q/Q Ops Income Margin Leverage/(deleverage) (bps)</t>
  </si>
  <si>
    <t>9/17A</t>
  </si>
  <si>
    <t>Y/Y bps change</t>
  </si>
  <si>
    <t>Q/Q bps change</t>
  </si>
  <si>
    <t>12/17A</t>
  </si>
  <si>
    <t>2017A</t>
  </si>
  <si>
    <t xml:space="preserve">Non-GAAP Net Income (loss) </t>
  </si>
  <si>
    <t>Non-GAAP EPS - Diluted</t>
  </si>
  <si>
    <t>GAAP EPS - Diluted</t>
  </si>
  <si>
    <t>Alphabet Non-GAAP reconciliation</t>
  </si>
  <si>
    <t>Incl. Motorola</t>
  </si>
  <si>
    <t>Total operating expense ex. SBC</t>
  </si>
  <si>
    <t>$ in millions, except per share amounts</t>
  </si>
  <si>
    <t>$ millions except where noted</t>
  </si>
  <si>
    <t>Google Cloud</t>
  </si>
  <si>
    <t>OTHER BETS</t>
  </si>
  <si>
    <t>Cash Expenses</t>
  </si>
  <si>
    <t>Total Expenses</t>
  </si>
  <si>
    <t>Total Expense Y/Y Growth</t>
  </si>
  <si>
    <t>Total Expense Q/Q Growth</t>
  </si>
  <si>
    <t>D&amp;A Y/Y Growth</t>
  </si>
  <si>
    <t>D&amp;A Q/Q Growth</t>
  </si>
  <si>
    <t>SBC Y/Y Growth</t>
  </si>
  <si>
    <t>SBC Q/Q Growth</t>
  </si>
  <si>
    <t>Cash Expense Y/Y Growth</t>
  </si>
  <si>
    <t>Cash Expense Q/Q Growth</t>
  </si>
  <si>
    <t>Cash Expense Seasonality</t>
  </si>
  <si>
    <t>- D&amp;A</t>
  </si>
  <si>
    <t>- SBC</t>
  </si>
  <si>
    <t>= Cash Expenses</t>
  </si>
  <si>
    <t>USDKRW Curncy</t>
  </si>
  <si>
    <t>Argentina</t>
  </si>
  <si>
    <t>USDARS Curncy</t>
  </si>
  <si>
    <t>Other Americas as a % of Int'l Revenues</t>
  </si>
  <si>
    <t>Other Americas as a % of Gross Revenues</t>
  </si>
  <si>
    <t>APAC as a % of Gross Revenues</t>
  </si>
  <si>
    <t>APAC as a % of Int'l Revenues</t>
  </si>
  <si>
    <t>EMEA as a % of Gross Revenues</t>
  </si>
  <si>
    <t>EMEA as a % of Int'l Revenues</t>
  </si>
  <si>
    <t>Russia</t>
  </si>
  <si>
    <t>Turkey</t>
  </si>
  <si>
    <t>USDRUB Curncy</t>
  </si>
  <si>
    <t>USDTRY Curncy</t>
  </si>
  <si>
    <t>Taiwan</t>
  </si>
  <si>
    <t>USDTWD Curncy</t>
  </si>
  <si>
    <t>FXHN Gross Revs. (based on year ago period)</t>
  </si>
  <si>
    <t>3/18A</t>
  </si>
  <si>
    <t>Gain (loss) on debt securities, net</t>
  </si>
  <si>
    <t>Adj. for One-time item</t>
  </si>
  <si>
    <t>Moved NEST to Google Segment, Restated from 1Q17 and Onward</t>
  </si>
  <si>
    <t>D&amp;A</t>
  </si>
  <si>
    <t>Changed Monetization Metrics from Click to Impression</t>
  </si>
  <si>
    <t>NOT PROVIDED GOING FORWARD</t>
  </si>
  <si>
    <t>Operating income (adj. for 1x item as noted)</t>
  </si>
  <si>
    <t>YOUTUBE</t>
  </si>
  <si>
    <t>6/18A</t>
  </si>
  <si>
    <t>Change Y/Y (bps)</t>
  </si>
  <si>
    <t>Change Q/Q (bps)</t>
  </si>
  <si>
    <t>Non-GAAP Operating margin</t>
  </si>
  <si>
    <t>Non-GAAP Operating Margin</t>
  </si>
  <si>
    <t>Total OI&amp;E, net</t>
  </si>
  <si>
    <t>Total OI&amp;E, net (excl. Gains/Losses)</t>
  </si>
  <si>
    <t>OI&amp;E Adjustment</t>
  </si>
  <si>
    <t>+ Accrued performance fees</t>
  </si>
  <si>
    <t>Adj. Operating Income</t>
  </si>
  <si>
    <t>+ Gain on equity securities</t>
  </si>
  <si>
    <t>Adj. OI&amp;E</t>
  </si>
  <si>
    <t>Adj. EBT</t>
  </si>
  <si>
    <t>Reported Tax Expense</t>
  </si>
  <si>
    <t>Adj. Effective Tax Rate</t>
  </si>
  <si>
    <t>Adj. Net Income</t>
  </si>
  <si>
    <t>Adj. EPS</t>
  </si>
  <si>
    <t>Diluted EPS impact</t>
  </si>
  <si>
    <t>Net Income Impact</t>
  </si>
  <si>
    <t>Reported EBT</t>
  </si>
  <si>
    <t>- Gain on equity securities</t>
  </si>
  <si>
    <t>Adj. Tax Expense</t>
  </si>
  <si>
    <t>Restated to incl. NEST in Google Other Starting in 1Q17</t>
  </si>
  <si>
    <t>Beta</t>
  </si>
  <si>
    <t>Equity risk premium</t>
  </si>
  <si>
    <t>Cost of equity:</t>
  </si>
  <si>
    <t>After-tax cost of debt:</t>
  </si>
  <si>
    <t>Capital structure ratio:</t>
  </si>
  <si>
    <t>Calculated WACC</t>
  </si>
  <si>
    <t>Current Stock Price</t>
  </si>
  <si>
    <t>Total Debt</t>
  </si>
  <si>
    <t>VALUATION MULTIPLES</t>
  </si>
  <si>
    <t>ENTERPRISE VALUE CALCULATION</t>
  </si>
  <si>
    <t>Alphabet Unlevered Free Cash Flow</t>
  </si>
  <si>
    <t>EV/FCF</t>
  </si>
  <si>
    <t>Gain (loss) on equity securities, net</t>
  </si>
  <si>
    <t>Loss &amp; impairment from equity method investments, net</t>
  </si>
  <si>
    <t>Foreign currency exchange losses, net</t>
  </si>
  <si>
    <t>Marketable securities</t>
  </si>
  <si>
    <t>Non-marketable investments</t>
  </si>
  <si>
    <t>Plus: Investments</t>
  </si>
  <si>
    <t>Marketable Securities, EOP</t>
  </si>
  <si>
    <t>Non-Marketable Securities, EOP</t>
  </si>
  <si>
    <t>Effective tax-rate ex 1x items</t>
  </si>
  <si>
    <t># of shares</t>
  </si>
  <si>
    <t>$ Gains / (Loss)</t>
  </si>
  <si>
    <t>$ Gains / (Loss) per share</t>
  </si>
  <si>
    <t>$ Investment Value</t>
  </si>
  <si>
    <t>Quarter Ending ADS Share Price</t>
  </si>
  <si>
    <t>JD Investment, EOP</t>
  </si>
  <si>
    <t>Purchase of marketable securities</t>
  </si>
  <si>
    <t>Maturities and sales of marketable securities</t>
  </si>
  <si>
    <t>Purchase of non-marketable securities</t>
  </si>
  <si>
    <t>Maturities and sales of non-marketable securities</t>
  </si>
  <si>
    <t>Proceeds from collection of notes receivable</t>
  </si>
  <si>
    <t>Proceeds from disposals of property and equipment</t>
  </si>
  <si>
    <t>Purchases of property &amp; equipment</t>
  </si>
  <si>
    <t>Realized gain (loss) for equity securities sold</t>
  </si>
  <si>
    <t>Unrealized gain (loss) on equity securities held EOP</t>
  </si>
  <si>
    <t>Total gain (loss) recognized in other income (expense), net</t>
  </si>
  <si>
    <t>Equity, L-1: Marketable equity securities</t>
  </si>
  <si>
    <t>Debt, L-2: Debt</t>
  </si>
  <si>
    <t>Equity, L-2: Mutual funds</t>
  </si>
  <si>
    <t>Debt, L-2</t>
  </si>
  <si>
    <t>Q/Q change in marketable securities, EOP</t>
  </si>
  <si>
    <t>Q/Q change in non-marketable securities, EOP</t>
  </si>
  <si>
    <t>CFS</t>
  </si>
  <si>
    <t>Net addition (subtraction) to marketable securities</t>
  </si>
  <si>
    <t>Carrying value of investments under the equity method</t>
  </si>
  <si>
    <t>Equity, Carrying value of investments under the equity method</t>
  </si>
  <si>
    <t>Equity, Carrying value of investments under the cost method</t>
  </si>
  <si>
    <t>Equity under scope of ASU 2016-01</t>
  </si>
  <si>
    <t>Taiwan (TWD/USD)</t>
  </si>
  <si>
    <t>China (CNY/USD)</t>
  </si>
  <si>
    <t>Australia (USD/AUD)</t>
  </si>
  <si>
    <t>India (INR/USD)</t>
  </si>
  <si>
    <t>Japan (YEN/USD)</t>
  </si>
  <si>
    <t>Others (YEN/USD)</t>
  </si>
  <si>
    <t>United Kingdom (USD/GBP)</t>
  </si>
  <si>
    <t>Russia (RUB/USD)</t>
  </si>
  <si>
    <t>Turkey (TRY/USD)</t>
  </si>
  <si>
    <t>EU ex. UK (USD/EUR)</t>
  </si>
  <si>
    <t>Others (USD/EUR)</t>
  </si>
  <si>
    <t>Canada (CAD/USD)</t>
  </si>
  <si>
    <t>Brazil (BRL/USD)</t>
  </si>
  <si>
    <t>Argentina (ARS/USD)</t>
  </si>
  <si>
    <t>Mexico (MXN/USD)</t>
  </si>
  <si>
    <t>Others (CAD/USD)</t>
  </si>
  <si>
    <t>9/18A</t>
  </si>
  <si>
    <t>Adj. Non-GAAP EPS</t>
  </si>
  <si>
    <t>Stock compensation expense (incl. above)</t>
  </si>
  <si>
    <t>Gross Revenues (FXHN)</t>
  </si>
  <si>
    <t>Release of Deferred Income Tax Expense</t>
  </si>
  <si>
    <t>GOOGLE CLOUD</t>
  </si>
  <si>
    <t>Licensing &amp; Other Gross Revenues as % of Total</t>
  </si>
  <si>
    <t>SEE ROW20</t>
  </si>
  <si>
    <t>NOT USED, FOR HISTORICAL REFERENCE ONLY</t>
  </si>
  <si>
    <t>MONETIZATION</t>
  </si>
  <si>
    <t>Change in Working Capital</t>
  </si>
  <si>
    <t>Capex ex 1x items</t>
  </si>
  <si>
    <t>Capex 1x items</t>
  </si>
  <si>
    <t>Other 1x item, incl. Impairment charge</t>
  </si>
  <si>
    <t>Google Properties</t>
  </si>
  <si>
    <t>ex 1x item Y/Y Growth</t>
  </si>
  <si>
    <t>Capex ex 1x item as % of net revenues</t>
  </si>
  <si>
    <t>Total Cash and Marketable Securities</t>
  </si>
  <si>
    <t>Performance fees as % of equity gains</t>
  </si>
  <si>
    <t>Effective Tax Rate reduction/(addition)</t>
  </si>
  <si>
    <t>GOOGLE SEGMENT</t>
  </si>
  <si>
    <t>Margins, as % of Google Gross Revenue</t>
  </si>
  <si>
    <t>Depreciation &amp; amortization as % of OCOR</t>
  </si>
  <si>
    <t>Total Expense</t>
  </si>
  <si>
    <t xml:space="preserve">Google Other &amp; Other Bets (Licensing &amp; Other) </t>
  </si>
  <si>
    <t>12/18A</t>
  </si>
  <si>
    <t>2018A</t>
  </si>
  <si>
    <t>3/19A</t>
  </si>
  <si>
    <t>Operating lease assets</t>
  </si>
  <si>
    <t>Operating lease liabilities</t>
  </si>
  <si>
    <t>Performance fees</t>
  </si>
  <si>
    <t>6/19A</t>
  </si>
  <si>
    <t>3 yr CAGR</t>
  </si>
  <si>
    <t>5 yr CAGR</t>
  </si>
  <si>
    <t>Deferred income tax</t>
  </si>
  <si>
    <t>Income taxes payable, non-current</t>
  </si>
  <si>
    <t>9/19A</t>
  </si>
  <si>
    <t>Korea</t>
  </si>
  <si>
    <t>Korea (WON/USD)</t>
  </si>
  <si>
    <t>(415) 315-8500</t>
  </si>
  <si>
    <t>(212) 622-6571</t>
  </si>
  <si>
    <t>2025E</t>
  </si>
  <si>
    <t>2019-2022</t>
  </si>
  <si>
    <t>2019-2024</t>
  </si>
  <si>
    <t>as % of FCF</t>
  </si>
  <si>
    <t>Share price assumption</t>
  </si>
  <si>
    <t>Shares bought</t>
  </si>
  <si>
    <t>12/19A</t>
  </si>
  <si>
    <t>Hedging Gains (Losses)</t>
  </si>
  <si>
    <t>Hedging Gains</t>
  </si>
  <si>
    <t>2019A</t>
  </si>
  <si>
    <t>dae.k.lee@jpmorgan.com</t>
  </si>
  <si>
    <t>Google Search &amp; other</t>
  </si>
  <si>
    <t>$ FX Impact</t>
  </si>
  <si>
    <t>Total Gross Revenue Excl. Hedge</t>
  </si>
  <si>
    <t>Google Cloud &amp; Other Revenues</t>
  </si>
  <si>
    <t>SEARCH &amp; OTHERS</t>
  </si>
  <si>
    <t>TAC as % of Google Properties Revs</t>
  </si>
  <si>
    <t>TAC as % of Search &amp; Others Revs</t>
  </si>
  <si>
    <t>Non-Advertising - Net Revenues</t>
  </si>
  <si>
    <t>3/20A</t>
  </si>
  <si>
    <t>FXHN Revenue</t>
  </si>
  <si>
    <t>Alphabet, Inc.  GAAP Opex</t>
  </si>
  <si>
    <t>Alphabet, Inc. Opex ex-SBC</t>
  </si>
  <si>
    <t>TAC as % Gross Revenue</t>
  </si>
  <si>
    <t>Sequential $ growth</t>
  </si>
  <si>
    <t>TAC as a % of Total Ads Gross Revs ex. YT</t>
  </si>
  <si>
    <t>ALPHABET OVERALL</t>
  </si>
  <si>
    <t>One-Time Items</t>
  </si>
  <si>
    <t>NETWORK</t>
  </si>
  <si>
    <t>MARGINS</t>
  </si>
  <si>
    <t>Y/Y GROWTH</t>
  </si>
  <si>
    <t>YouTube Ad Supported</t>
  </si>
  <si>
    <t>YouTube Subscription Based</t>
  </si>
  <si>
    <t>Google Search &amp; Other</t>
  </si>
  <si>
    <t>Multiple</t>
  </si>
  <si>
    <t>Adj. EBITDA</t>
  </si>
  <si>
    <t>EV</t>
  </si>
  <si>
    <t>Gross Revenue</t>
  </si>
  <si>
    <t>$ in millions</t>
  </si>
  <si>
    <t>Margins</t>
  </si>
  <si>
    <t>Play, Hardware, &amp; Other</t>
  </si>
  <si>
    <t>Alphabet Total</t>
  </si>
  <si>
    <t>GOOGL Price Per Share</t>
  </si>
  <si>
    <t>EV to Equity Value Adjustments</t>
  </si>
  <si>
    <t>Equity Value</t>
  </si>
  <si>
    <t>Total Shares Outstanding</t>
  </si>
  <si>
    <t>- Debt</t>
  </si>
  <si>
    <t>+ Cash</t>
  </si>
  <si>
    <t>+ L-T Investment</t>
  </si>
  <si>
    <t>Segment Financial Summary</t>
  </si>
  <si>
    <t>3 year</t>
  </si>
  <si>
    <t>Margins (% of Gross Revs)</t>
  </si>
  <si>
    <t>Other Cost of Revenue Assumption</t>
  </si>
  <si>
    <t>YouTube Subs CAC Assumption</t>
  </si>
  <si>
    <t>YouTube Ads CAC Assumption</t>
  </si>
  <si>
    <t>RECONCILING ITEMS</t>
  </si>
  <si>
    <t>2026E</t>
  </si>
  <si>
    <t>Adj. EPS - Diluted</t>
  </si>
  <si>
    <t xml:space="preserve">Adjusted Net Income (loss) </t>
  </si>
  <si>
    <t>Adj. EBITDA Reconciliation</t>
  </si>
  <si>
    <t>JPM Segment Estimates</t>
  </si>
  <si>
    <t>New authorization</t>
  </si>
  <si>
    <t>EV ($B)</t>
  </si>
  <si>
    <t>SOTP Analysis</t>
  </si>
  <si>
    <t>6/20A</t>
  </si>
  <si>
    <t>Authorization remaining at quarter end</t>
  </si>
  <si>
    <t>Share Buyback</t>
  </si>
  <si>
    <t>Updated Segment Disclosure</t>
  </si>
  <si>
    <t xml:space="preserve">Not Provided for 1Q18 to 3Q18 </t>
  </si>
  <si>
    <t>Revs ($B) &amp; Growth</t>
  </si>
  <si>
    <t>EBITDA &amp; Margins</t>
  </si>
  <si>
    <t>9/20A</t>
  </si>
  <si>
    <t>Senior notes due 08/15/2025</t>
  </si>
  <si>
    <t>Senior notes due 08/15/2027</t>
  </si>
  <si>
    <t>Senior notes due 08/15/2030</t>
  </si>
  <si>
    <t>Senior notes due 08/15/2040</t>
  </si>
  <si>
    <t>Senior notes due 08/15/2050</t>
  </si>
  <si>
    <t>Senior notes due 08/15/2060</t>
  </si>
  <si>
    <t>Senior notes due 02/25/2024</t>
  </si>
  <si>
    <t>Senior notes due 05/19/2021</t>
  </si>
  <si>
    <t>GAAP Expenses</t>
  </si>
  <si>
    <t>COSTS &amp; EXPENSES AS % OF REVENUE</t>
  </si>
  <si>
    <t>CHECK</t>
  </si>
  <si>
    <t>Non-CAC Other Cost of Revenues</t>
  </si>
  <si>
    <t>Other Cost Of Revenues</t>
  </si>
  <si>
    <t>Share Count</t>
  </si>
  <si>
    <t/>
  </si>
  <si>
    <t>Profit Before Tax</t>
  </si>
  <si>
    <t>Income Tax</t>
  </si>
  <si>
    <t>Others Bets D&amp;A Check</t>
  </si>
  <si>
    <t>Other Bets Costs &amp; Opex excl. SBC, D&amp;A, &amp; Impairment</t>
  </si>
  <si>
    <t>P / Google Segment GAAP EPS ex-cash</t>
  </si>
  <si>
    <t>P / Google Segment GAAP EPS</t>
  </si>
  <si>
    <t>P / Alphabet EPS ex-cash</t>
  </si>
  <si>
    <t>P / Alphabet EPS</t>
  </si>
  <si>
    <t>P / Alphabet JPMe Adj. EPS</t>
  </si>
  <si>
    <t>Google Cost of Revenue &amp; Opex</t>
  </si>
  <si>
    <t>ALPHABET SEGMENT SUMMARY</t>
  </si>
  <si>
    <t>Google Services</t>
  </si>
  <si>
    <t>Hedging gains (losses)</t>
  </si>
  <si>
    <t>Total Revenues</t>
  </si>
  <si>
    <t>Revenues:</t>
  </si>
  <si>
    <t>GAAP Operating Income (Loss):</t>
  </si>
  <si>
    <t>Total Income from Operations</t>
  </si>
  <si>
    <t>OTHER BETS SEGMENT</t>
  </si>
  <si>
    <t>12/20A</t>
  </si>
  <si>
    <t>2020A</t>
  </si>
  <si>
    <t>YouTube ads</t>
  </si>
  <si>
    <t>Google Network Members' properties</t>
  </si>
  <si>
    <t>Google advertising</t>
  </si>
  <si>
    <t>Google Services total</t>
  </si>
  <si>
    <t>Margins:</t>
  </si>
  <si>
    <t>Unallocated Corporate Costs</t>
  </si>
  <si>
    <t>Alphabet total revenues (gross)</t>
  </si>
  <si>
    <t>OLD</t>
  </si>
  <si>
    <t>SEGMENT ANALYSIS</t>
  </si>
  <si>
    <t>GOOGLE SERVICES</t>
  </si>
  <si>
    <t>GAAP Cost of Revenues &amp; Opex</t>
  </si>
  <si>
    <t>Costs &amp; Expenses As % of Revenue</t>
  </si>
  <si>
    <t>Corporate costs, unallocated</t>
  </si>
  <si>
    <t>Corporate costs, unallocated (% of total revenues)</t>
  </si>
  <si>
    <t>2020-2023</t>
  </si>
  <si>
    <t>2020-2025</t>
  </si>
  <si>
    <t>Total Revenues ex-hedge</t>
  </si>
  <si>
    <t>As % of Alphabet Total Revenue ex-hedge</t>
  </si>
  <si>
    <t>Alphabet ex Other Bets GAAP EPS</t>
  </si>
  <si>
    <t>OLD &amp; NO LONGER USED</t>
  </si>
  <si>
    <t>% Breakdown of Segments</t>
  </si>
  <si>
    <t>NET REVENUE</t>
  </si>
  <si>
    <t>Alphabet Total Adj. EBITDA</t>
  </si>
  <si>
    <t>Adj. EBITDA (Cal's)</t>
  </si>
  <si>
    <t>3/21A</t>
  </si>
  <si>
    <t>Non-GAAP Costs &amp; Opex</t>
  </si>
  <si>
    <t>GAAP Costs &amp; Opex</t>
  </si>
  <si>
    <t>uFCF Terminal Multiple</t>
  </si>
  <si>
    <t>2027E</t>
  </si>
  <si>
    <t>6/21A</t>
  </si>
  <si>
    <t>9/21A</t>
  </si>
  <si>
    <t>Headcount</t>
  </si>
  <si>
    <t>2021-2026</t>
  </si>
  <si>
    <t>Depreciation Y/Y growth</t>
  </si>
  <si>
    <t>Depreciation Q/Q growth</t>
  </si>
  <si>
    <t>12/21A</t>
  </si>
  <si>
    <t>2021A</t>
  </si>
  <si>
    <t>3/22A</t>
  </si>
  <si>
    <t>Retail</t>
  </si>
  <si>
    <t>DR</t>
  </si>
  <si>
    <t>6/22A</t>
  </si>
  <si>
    <t>9/22A</t>
  </si>
  <si>
    <t>12/22A</t>
  </si>
  <si>
    <t>2022A</t>
  </si>
  <si>
    <t>Y/Y Change in Property, Plant &amp; Equipment Lines</t>
  </si>
  <si>
    <t>Change in Properties &amp; Equipment, Gross</t>
  </si>
  <si>
    <t>Capital Expensitures</t>
  </si>
  <si>
    <t>Sequential Change in Property, Plant &amp; Equipment Lines</t>
  </si>
  <si>
    <t>European Commission fines(1)</t>
  </si>
  <si>
    <t>Accrued customer liabilities</t>
  </si>
  <si>
    <t>Accrued purchases of property and equipment</t>
  </si>
  <si>
    <t>Current operating lease liabilities</t>
  </si>
  <si>
    <t>Other accrued expenses and current liabilities</t>
  </si>
  <si>
    <t>Payables To Brokers For Unsettled Investment Trades</t>
  </si>
  <si>
    <t>Headcount Analysis</t>
  </si>
  <si>
    <t>Current Metrics</t>
  </si>
  <si>
    <t>Forward Metrics</t>
  </si>
  <si>
    <t>Annualized Gross Revenue/Avg. Full Time Employee</t>
  </si>
  <si>
    <t>FXN Next Year Gross Revenue / Full Time Employees</t>
  </si>
  <si>
    <t>Next Year Net Revenue / Full Time Employees</t>
  </si>
  <si>
    <t>Annualized GAAP OI/Avg. Full Time Employee</t>
  </si>
  <si>
    <t>Annualized GAAP Opex (ex. fines)/Avg. Full Time Employee</t>
  </si>
  <si>
    <t>Next Year GAAP OI / Full Time Employees</t>
  </si>
  <si>
    <t>Next Year Gross Revenue / Full Time Employees</t>
  </si>
  <si>
    <t>bps Y/Y change</t>
  </si>
  <si>
    <t>bps Q/Q change</t>
  </si>
  <si>
    <t>GAAP OI FOR QUARTERS NOT RESTATED</t>
  </si>
  <si>
    <t>3/23A</t>
  </si>
  <si>
    <t>Capex Y/Y growth</t>
  </si>
  <si>
    <t>Capex Q/Q growth</t>
  </si>
  <si>
    <t>RESTATED FOR SHIFTS IN DEEPMIND AND OTHER COST</t>
  </si>
  <si>
    <t>Accrued Expenses and Other Current Liabilities</t>
  </si>
  <si>
    <t>Income taxes payable, net</t>
  </si>
  <si>
    <t>Avg. R&amp;D Headcount Growth</t>
  </si>
  <si>
    <t>Avg. S&amp;M Headcount Growth</t>
  </si>
  <si>
    <t>Avg. G&amp;A Headcount Growth</t>
  </si>
  <si>
    <t>Ending Full-time Headcount (ex-Motorola)</t>
  </si>
  <si>
    <t>2022-2025</t>
  </si>
  <si>
    <t>2022-2027</t>
  </si>
  <si>
    <t>6/23A</t>
  </si>
  <si>
    <t>Office Space</t>
  </si>
  <si>
    <t>Google Search &amp; Other Revs Growth</t>
  </si>
  <si>
    <t>Google Network Members' Properties Revs Growth</t>
  </si>
  <si>
    <t>12/25E</t>
  </si>
  <si>
    <t>2028E</t>
  </si>
  <si>
    <t>As % of gross revenue</t>
  </si>
  <si>
    <t>Total opex</t>
  </si>
  <si>
    <t>2021-2024</t>
  </si>
  <si>
    <t>9/23A</t>
  </si>
  <si>
    <t>10Q/K Disclosures</t>
  </si>
  <si>
    <t>Content Licensing Agreement (period ending)</t>
  </si>
  <si>
    <t>Total Purchase Commitments</t>
  </si>
  <si>
    <t>L-T Purchase Commitments</t>
  </si>
  <si>
    <t>S-T Purchase Commitments</t>
  </si>
  <si>
    <t>1x Adjustments</t>
  </si>
  <si>
    <t>Severance &amp; Related</t>
  </si>
  <si>
    <t>Depreciation &amp; amortization (incl. above)</t>
  </si>
  <si>
    <t>GAAP Operating Income (as reported)</t>
  </si>
  <si>
    <t>GAAP Operating Income (excl. 1x items)</t>
  </si>
  <si>
    <t>Change in Useful Life of PP&amp;E</t>
  </si>
  <si>
    <t>Costs &amp; Opex ex. 1x Adjustments (if broken out)</t>
  </si>
  <si>
    <t>Regulatory Fines</t>
  </si>
  <si>
    <t>Other 1x Items (check comment)</t>
  </si>
  <si>
    <t>Operating Income Dollars</t>
  </si>
  <si>
    <t>Operating Income Margins</t>
  </si>
  <si>
    <t>Charges related to legal matters</t>
  </si>
  <si>
    <t>ONE TIME ADJUSTMENTS ANALYSIS</t>
  </si>
  <si>
    <t>+ Change is useful life of PP&amp;E</t>
  </si>
  <si>
    <t>Operating Income excl. impact of accounting changes</t>
  </si>
  <si>
    <t>Other incl. fines, legal charges, etc. (see comment)</t>
  </si>
  <si>
    <t>Impact of change in useful life of PP&amp;E on depreciation</t>
  </si>
  <si>
    <t>12/23A</t>
  </si>
  <si>
    <t>2023A</t>
  </si>
  <si>
    <t>Google subscriptions, platforms, and devices</t>
  </si>
  <si>
    <t>2023-2026</t>
  </si>
  <si>
    <t>2023-2028</t>
  </si>
  <si>
    <t>'23-'28</t>
  </si>
  <si>
    <t>'23-'26</t>
  </si>
  <si>
    <t>FROM 10Q/Ks</t>
  </si>
  <si>
    <t>FROM TRANSCRIPS. BLOGS, ARTICLES, ETC.</t>
  </si>
  <si>
    <t>GOOGLE SEARCH &amp; OTHER</t>
  </si>
  <si>
    <t>YouTube Shorts - Y/Y % growth in number of channels uploading</t>
  </si>
  <si>
    <t>YouTube Shorts - Average Daily Views</t>
  </si>
  <si>
    <t>YouTube Premium &amp; Music - Subscribers</t>
  </si>
  <si>
    <t>YouTube TV - Subscribers</t>
  </si>
  <si>
    <t>OTHET BETS</t>
  </si>
  <si>
    <t>YouTube - Average Daily Watch Time On TV</t>
  </si>
  <si>
    <t>YouTube - TTM $s paid to music</t>
  </si>
  <si>
    <t>3/24A</t>
  </si>
  <si>
    <t>Dividend</t>
  </si>
  <si>
    <t>Dividend per share</t>
  </si>
  <si>
    <t>Dividend dollars</t>
  </si>
  <si>
    <t>Total cost &amp; expenses</t>
  </si>
  <si>
    <t>6/24A</t>
  </si>
  <si>
    <t>'26E</t>
  </si>
  <si>
    <t>Play, Devices, Google One, Etc.</t>
  </si>
  <si>
    <t>Google Play Revenue (Net of Payout)</t>
  </si>
  <si>
    <t>Devices &amp; Other Revenue</t>
  </si>
  <si>
    <t>Google One &amp; Other Subscriptions Revenue</t>
  </si>
  <si>
    <t>PLAY, DEVICES, &amp; GOOGLE ONE, ETC.</t>
  </si>
  <si>
    <t>'24-'29</t>
  </si>
  <si>
    <t>2029E</t>
  </si>
  <si>
    <t>Foreign Exchange Impact on EMEA Gross Revenue (excl. Hedging)</t>
  </si>
  <si>
    <t>Foreign Exchange Impact on APAC Gross Revenue (excl. Hedging)</t>
  </si>
  <si>
    <t>Foreign Exchange Impact on Other Americas Gross Revenue (excl. Hedging)</t>
  </si>
  <si>
    <t>Internation Breakdown (excl. Hedge post-1Q17 change)</t>
  </si>
  <si>
    <t>9/24A</t>
  </si>
  <si>
    <t>Margaret Hoffman</t>
  </si>
  <si>
    <t>(212) 622-1710</t>
  </si>
  <si>
    <t>margaret.hoffman@jpmchase.com</t>
  </si>
  <si>
    <t>12/24A</t>
  </si>
  <si>
    <t>2024A</t>
  </si>
  <si>
    <t>Deferred Income Tax Expense / (Benefit)</t>
  </si>
  <si>
    <t>Office space</t>
  </si>
  <si>
    <t>Technical infrastructure</t>
  </si>
  <si>
    <t>Corporate and other assets</t>
  </si>
  <si>
    <t>Property and equipment, in service</t>
  </si>
  <si>
    <t>Less: accumulated depreciation</t>
  </si>
  <si>
    <t>Property, Plant &amp; Equipment (Pre-4Q24 Disclosure)</t>
  </si>
  <si>
    <t>Change in Property, Plant &amp; Equipment, net</t>
  </si>
  <si>
    <t>Add: assets not yet in service</t>
  </si>
  <si>
    <t>'24-'27</t>
  </si>
  <si>
    <t>2024-2027</t>
  </si>
  <si>
    <t>2024-2029</t>
  </si>
  <si>
    <t>3/25A</t>
  </si>
  <si>
    <t>Sequential growth</t>
  </si>
  <si>
    <t>TTM Free Cash Flow</t>
  </si>
  <si>
    <t>AI</t>
  </si>
  <si>
    <t>1.5B / month</t>
  </si>
  <si>
    <t>Subscriptions</t>
  </si>
  <si>
    <t>Total subscribers (YT Premium/Music/TV + Google One)</t>
  </si>
  <si>
    <t>270M+</t>
  </si>
  <si>
    <t>125M+</t>
  </si>
  <si>
    <t>Waymo - weekly paid passender trups</t>
  </si>
  <si>
    <t>250k</t>
  </si>
  <si>
    <t>Monthly active podcase users</t>
  </si>
  <si>
    <t>1B+</t>
  </si>
  <si>
    <t>150k</t>
  </si>
  <si>
    <t>Impressions Change</t>
  </si>
  <si>
    <t>Paid Clicks Change</t>
  </si>
  <si>
    <t>Cost-per-Click Change</t>
  </si>
  <si>
    <t>Cost-per-Impression Change</t>
  </si>
  <si>
    <t>Depreciation of property &amp; equipment</t>
  </si>
  <si>
    <t>- Depreciation</t>
  </si>
  <si>
    <t>2B / month</t>
  </si>
  <si>
    <t>Growth in queries with AIO</t>
  </si>
  <si>
    <t>AI Overviews (AIO) users</t>
  </si>
  <si>
    <t>AI Mode MAUs</t>
  </si>
  <si>
    <t>100M+</t>
  </si>
  <si>
    <t>Gemini App MAUs</t>
  </si>
  <si>
    <t>450M+</t>
  </si>
  <si>
    <t>200B+</t>
  </si>
  <si>
    <t>Autonomous miles driven on public road (cumulative)</t>
  </si>
  <si>
    <t>Monthly totekns processed</t>
  </si>
  <si>
    <t>980T</t>
  </si>
  <si>
    <t>Gemini app daily request growth</t>
  </si>
  <si>
    <t>50%+ Q/Q</t>
  </si>
  <si>
    <t>Primary search growth drivers (see comment)</t>
  </si>
  <si>
    <t>Prumary YouTube ads growth drivers (see comment)</t>
  </si>
  <si>
    <t>6/25A</t>
  </si>
  <si>
    <t>Sequential $ change</t>
  </si>
  <si>
    <t>Sequential % Growth</t>
  </si>
  <si>
    <t>10T</t>
  </si>
  <si>
    <t>480T</t>
  </si>
  <si>
    <t>'25-'28</t>
  </si>
  <si>
    <t>'24-'27E CAGR</t>
  </si>
  <si>
    <t>NEW DEFINITION</t>
  </si>
  <si>
    <t>QTD Y/Y growth</t>
  </si>
  <si>
    <t>RESTATED W/NEW DEFINITION in 2020 10K</t>
  </si>
  <si>
    <t>Check vs. reported</t>
  </si>
  <si>
    <t>Search &amp; other Y/Y growth rate (Calc'd)</t>
  </si>
  <si>
    <t>Search &amp; other Y/Y growth rate (Reported)</t>
  </si>
  <si>
    <t>North America Equities Research</t>
  </si>
  <si>
    <t>Alphabet Inc. (GOOGL)</t>
  </si>
  <si>
    <t xml:space="preserve">Source: Company data and J.P. Morgan. 
</t>
  </si>
  <si>
    <t xml:space="preserve">   
This document is provided for information purposes only and should be read in conjunction with the latest research report on this company (which can be found at http://www.jpmorganmarkets.com). The information in this document is believed to be reliable, but J.P. Morgan does not warrant its completeness or accuracy. Opinions, estimates and assumptions constitute our judgment as of the date hereof and are subject to change without notice. Past performance is not indicative of future results. This material is not intended as an offer or solicitation for the purchase or sale of any financial instrument. Full research disclaimers and disclosures, including company specific disclosures can also be viewed in the latest research report on the company and are incorporated by reference herein.
J.P. Morgan does and seeks to do business with companies covered in its research reports. As a result, investors should be aware that the firm may have a conflict of interest that could affect the objectivity of this report. Investors should consider this report as only a single factor in making their investment decision.
</t>
  </si>
  <si>
    <t xml:space="preserve">
Copyright 2025 JPMorgan Chase &amp; Co. All rights reserved. This material or any portion hereof may not be reprinted, sold or redistributed without the written consent of J.P. Morgan. It is strictly prohibited to use or share without prior written consent from J.P. Morgan any research material received from J.P. Morgan or an authorized third-party (“J.P. Morgan Data”) in any third-party artificial intelligence (“AI”) systems or models when such J.P. Morgan Data is accessible by a third-party. It is permissible to use J.P. Morgan Data for internal business purposes only in an AI system or model that protects the confidentiality of J.P. Morgan Data so as to prevent any and all access to or use of such J.P. Morgan Data by any third-party.</t>
  </si>
  <si>
    <t xml:space="preserve"> #$J&amp;098$#*P</t>
  </si>
  <si>
    <t>3/27E</t>
  </si>
  <si>
    <t>6/27E</t>
  </si>
  <si>
    <t>9/27E</t>
  </si>
  <si>
    <t>12/27E</t>
  </si>
  <si>
    <t>YE'26 EV CALCULATION</t>
  </si>
  <si>
    <t>'27E</t>
  </si>
  <si>
    <t>9/26E</t>
  </si>
  <si>
    <t>3/26E</t>
  </si>
  <si>
    <t>6/26E</t>
  </si>
  <si>
    <t>12/26E</t>
  </si>
  <si>
    <t>9/25A</t>
  </si>
  <si>
    <t>Google Cloud Backlog (period ending) - From PR/Call</t>
  </si>
  <si>
    <t>Google Cloud Backlog (period ending) - From 10Q</t>
  </si>
  <si>
    <t>300M+</t>
  </si>
  <si>
    <t>2030E</t>
  </si>
  <si>
    <t>AI Mode DAUs</t>
  </si>
  <si>
    <t>75M+</t>
  </si>
  <si>
    <t>excl. EC fine</t>
  </si>
  <si>
    <t>'25-'30</t>
  </si>
  <si>
    <t>Price to '27E GAAP EPS</t>
  </si>
  <si>
    <t>650M+</t>
  </si>
  <si>
    <t>1.3Q</t>
  </si>
  <si>
    <t>Q/Q Change in Property, Plant &amp; Equipment Lines</t>
  </si>
  <si>
    <t>Depreciation to Capex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</si>
</sst>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7">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_);[Red]\(#,##0.0\)"/>
    <numFmt numFmtId="165" formatCode="#,##0.0_);\(#,##0.0\)"/>
    <numFmt numFmtId="166" formatCode="0.0%"/>
    <numFmt numFmtId="167" formatCode="0_);\(0\)"/>
    <numFmt numFmtId="168" formatCode="0.0"/>
    <numFmt numFmtId="169" formatCode="#,##0.000_);[Red]\(#,##0.000\)"/>
    <numFmt numFmtId="170" formatCode="&quot;$&quot;#,##0.0_);[Red]\(&quot;$&quot;#,##0.0\)"/>
    <numFmt numFmtId="171" formatCode="&quot;$&quot;#,##0.00"/>
    <numFmt numFmtId="172" formatCode="&quot;$&quot;#,##0"/>
    <numFmt numFmtId="173" formatCode="&quot;$&quot;#,##0.0_);\(&quot;$&quot;#,##0.0\)"/>
    <numFmt numFmtId="174" formatCode="General_)"/>
    <numFmt numFmtId="175" formatCode="0.00_)"/>
    <numFmt numFmtId="176" formatCode="&quot;$&quot;#,##0.000_);\(&quot;$&quot;#,##0.000\)"/>
    <numFmt numFmtId="177" formatCode="_(* #,##0.0_);_(* \(#,##0.0\);_(* &quot;-&quot;??_);_(@_)"/>
    <numFmt numFmtId="178" formatCode="_(* #,##0_);_(* \(#,##0\);_(* &quot;-&quot;??_);_(@_)"/>
    <numFmt numFmtId="179" formatCode="0.0_);\(0.0\)"/>
    <numFmt numFmtId="180" formatCode="_(&quot;$&quot;* #,##0_);_(&quot;$&quot;* \(#,##0\);_(&quot;$&quot;* &quot;-&quot;??_);_(@_)"/>
    <numFmt numFmtId="181" formatCode="0.0\x"/>
    <numFmt numFmtId="182" formatCode="&quot;$&quot;#,##0.0"/>
    <numFmt numFmtId="183" formatCode="m/yy"/>
    <numFmt numFmtId="184" formatCode="m/d"/>
    <numFmt numFmtId="185" formatCode="0.00\ \x"/>
    <numFmt numFmtId="186" formatCode="#,##0.0"/>
    <numFmt numFmtId="187" formatCode="0.0%___);\(0.0%\)__"/>
    <numFmt numFmtId="188" formatCode="0\p\p\t;\(0\)\p\p\t"/>
    <numFmt numFmtId="189" formatCode="0.0\p\p\t;\(0.0\)\p\p\t"/>
    <numFmt numFmtId="190" formatCode="0%;\(0\)%"/>
    <numFmt numFmtId="191" formatCode="0.0%;\(0.0\)%"/>
    <numFmt numFmtId="192" formatCode="#,##0.000_);\(#,##0.000\)"/>
    <numFmt numFmtId="193" formatCode="_(* #,##0.0_);_(* \(#,##0.0\);_(* &quot;-&quot;?_);_(@_)"/>
    <numFmt numFmtId="194" formatCode="_(* #,##0.000_);_(* \(#,##0.000\);_(* &quot;-&quot;??_);_(@_)"/>
    <numFmt numFmtId="195" formatCode="_(* #,##0.0_);_(* \(#,##0.0\);_(* &quot;-&quot;_);_(@_)"/>
    <numFmt numFmtId="196" formatCode="_(&quot;$&quot;* #,##0.0_);_(&quot;$&quot;* \(#,##0.0\);_(&quot;$&quot;* &quot;-&quot;??_);_(@_)"/>
    <numFmt numFmtId="197" formatCode="#,##0.0000_);\(#,##0.0000\)"/>
    <numFmt numFmtId="198" formatCode="0.000000%"/>
    <numFmt numFmtId="199" formatCode="_(&quot;$&quot;#,##0_);_(&quot;$&quot;\(#,##0\);_(&quot;$&quot;* &quot;-&quot;??_);_(@_)"/>
    <numFmt numFmtId="200" formatCode="0.000%"/>
    <numFmt numFmtId="201" formatCode="&quot;$&quot;#,##0.0000_);\(&quot;$&quot;#,##0.0000\)"/>
    <numFmt numFmtId="202" formatCode="_(* #,##0.0000_);_(* \(#,##0.0000\);_(* &quot;-&quot;??_);_(@_)"/>
    <numFmt numFmtId="203" formatCode="0.000"/>
    <numFmt numFmtId="204" formatCode="_(* #,##0.000000_);_(* \(#,##0.000000\);_(* &quot;-&quot;??_);_(@_)"/>
    <numFmt numFmtId="205" formatCode="0.0%_);\(0.0%\);\-_)"/>
    <numFmt numFmtId="206" formatCode="#,##0.0_);\(#,##0.0\);\-_)"/>
    <numFmt numFmtId="207" formatCode="&quot;$&quot;&quot; &quot;#,##0.000_);\(&quot;$&quot;&quot; &quot;#,##0.000\);\-_)"/>
    <numFmt numFmtId="208" formatCode="0.000%_);\(0.000%\);\-_)"/>
    <numFmt numFmtId="209" formatCode="#,##0.0;[Red]\(#,##0.0\)"/>
    <numFmt numFmtId="210" formatCode="#,##0.0000_);[Red]\(#,##0.0000\);\-\-\-_)"/>
    <numFmt numFmtId="211" formatCode="&quot;$&quot;#,##0.0_%_);\(&quot;$&quot;#,##0.0\)_%;**;@_%_)"/>
    <numFmt numFmtId="212" formatCode="m/d/yy_)"/>
    <numFmt numFmtId="213" formatCode="0.00_%"/>
    <numFmt numFmtId="214" formatCode="0.0000_%"/>
    <numFmt numFmtId="215" formatCode="#,##0.0__;[Red]\(#,##0.0\)"/>
    <numFmt numFmtId="216" formatCode="#,##0__\);[Red]\(#,##0\)"/>
    <numFmt numFmtId="217" formatCode="#,##0.0&quot;x&quot;_);\(#,##0.0&quot;x&quot;\)"/>
    <numFmt numFmtId="218" formatCode="#,##0.00&quot;x&quot;_);\(#,##0.00&quot;x&quot;\)"/>
    <numFmt numFmtId="219" formatCode="&quot;$&quot;#,##0_%_);\(&quot;$&quot;#,##0\)_%;&quot;$&quot;#,##0_%_);@_%_)"/>
    <numFmt numFmtId="220" formatCode="#,##0_%_);\(#,##0\)_%;#,##0_%_);@_%_)"/>
    <numFmt numFmtId="221" formatCode="&quot;$&quot;#,##0.00_%_);\(&quot;$&quot;#,##0.00\)_%;&quot;$&quot;#,##0.00_%_);@_%_)"/>
    <numFmt numFmtId="222" formatCode="#,##0.00_%_);\(#,##0.00\)_%;#,##0.00_%_);@_%_)"/>
    <numFmt numFmtId="223" formatCode="#,##0.0_%_);\(#,##0.0\)_%;#,##0.0_%_);@_%_)"/>
    <numFmt numFmtId="224" formatCode="&quot;$&quot;#,##0.0_%_);\(&quot;$&quot;#,##0.0\)_%;&quot;$&quot;#,##0.0_%_);@_%_)"/>
    <numFmt numFmtId="225" formatCode="0.0\%_);\(0.0\%\);0.0\%_);@_%_)"/>
    <numFmt numFmtId="226" formatCode="0.0\x_)_);&quot;NM&quot;_x_)_);0.0\x_)_);@_%_)"/>
    <numFmt numFmtId="227" formatCode="\£\ #,##0_);[Red]\(\£\ #,##0\)"/>
    <numFmt numFmtId="228" formatCode="\¥\ #,##0_);[Red]\(\¥\ #,##0\)"/>
    <numFmt numFmtId="229" formatCode="\•\ \ @"/>
    <numFmt numFmtId="230" formatCode="\ \ _•\–\ \ \ \ @"/>
    <numFmt numFmtId="231" formatCode="0%;[Red]\(0%\)"/>
    <numFmt numFmtId="232" formatCode="\€#,##0_);\(\€#,##0\)"/>
    <numFmt numFmtId="233" formatCode="_(_$* #,##0_);\(_$* #,##0\);_(_$* &quot;-&quot;??_);_(@_)"/>
    <numFmt numFmtId="234" formatCode="0&quot;-Proj&quot;"/>
    <numFmt numFmtId="235" formatCode="_(_$* #,##0&quot; Days&quot;;\(_$* #,##0\)&quot; Days&quot;;_(_$* &quot;-&quot;??_);_(@_)"/>
    <numFmt numFmtId="236" formatCode="_(_$* #,##0.0%_);\(_$* #,##0.0%\);_(_$* &quot;-&quot;??_);_(@_)"/>
    <numFmt numFmtId="237" formatCode="0.00_);\(0.00\);0.00_)"/>
    <numFmt numFmtId="238" formatCode="##0.00000"/>
    <numFmt numFmtId="239" formatCode="&quot;$&quot;#,##0.0;\(&quot;$&quot;#,##0.0\)"/>
    <numFmt numFmtId="240" formatCode="&quot;$&quot;#,##0.0_);\(&quot;$&quot;#,##0.00\)"/>
    <numFmt numFmtId="241" formatCode="&quot;$&quot;#,##0_);[Red]&quot;$&quot;\(#,##0\)"/>
    <numFmt numFmtId="242" formatCode="#,##0.00_);\(&quot;$&quot;#,##0.00\)"/>
    <numFmt numFmtId="243" formatCode="#,##0.00000000"/>
    <numFmt numFmtId="244" formatCode="0.0%_);\(0.0%\);0.0%_);@_%_)"/>
    <numFmt numFmtId="245" formatCode="0_%_);\(0\)_%;0_%_);@_%_)"/>
    <numFmt numFmtId="246" formatCode="m/d/yy_%_)"/>
    <numFmt numFmtId="247" formatCode="&quot;$&quot;#,##0_%_);\(&quot;$&quot;#,##0\)_%;&quot;$&quot;#,##0_%_);@_$_)"/>
    <numFmt numFmtId="248" formatCode="0.000\x_)_);&quot;NM&quot;_x_)_);0.000\x_)_);@_%_)"/>
    <numFmt numFmtId="249" formatCode="0\ &quot;Years&quot;_%_)"/>
    <numFmt numFmtId="250" formatCode="0%_);\(0%\);0%_);@_%_)"/>
    <numFmt numFmtId="251" formatCode="0.00%_);\(0.00%\);0.00%_);@_%_)"/>
    <numFmt numFmtId="252" formatCode="#,##0_%_);\(#,##0\)_%"/>
    <numFmt numFmtId="253" formatCode="#,##0.0_%_);\(&quot;$&quot;#,##0.0\)_%"/>
    <numFmt numFmtId="254" formatCode="0.0\ &quot;Years&quot;"/>
    <numFmt numFmtId="255" formatCode="0.00\%;\-0.00\%;0.00\%"/>
    <numFmt numFmtId="256" formatCode="0.00_);\(0.00\);0.00"/>
    <numFmt numFmtId="257" formatCode="0.00\x;\-0.00\x;0.00\x"/>
    <numFmt numFmtId="258" formatCode="&quot;£&quot;#,##0.000;[Red]\-&quot;£&quot;#,##0.000"/>
    <numFmt numFmtId="259" formatCode="0.0%_);\(0.0%\)"/>
    <numFmt numFmtId="260" formatCode="mm/dd/yy\ \ \ h:mm\ AM/PM"/>
    <numFmt numFmtId="261" formatCode="0.00\ \x_);\(0.00\ \x\)"/>
    <numFmt numFmtId="262" formatCode="&quot;$&quot;#,##0.0;[Red]\(&quot;$&quot;#,##0.0\)"/>
    <numFmt numFmtId="263" formatCode="##0.00"/>
    <numFmt numFmtId="264" formatCode="0.00;\-0.00;0.00"/>
    <numFmt numFmtId="265" formatCode="General;\-General;General;"/>
    <numFmt numFmtId="270" formatCode="dd\-mmm\-yy"/>
    <numFmt numFmtId="272" formatCode="#,##0.0\ \x"/>
    <numFmt numFmtId="273" formatCode="_-* #,##0\ &quot;F&quot;_-;\-* #,##0\ &quot;F&quot;_-;_-* &quot;-&quot;\ &quot;F&quot;_-;_-@_-"/>
    <numFmt numFmtId="274" formatCode="#,##0\ &quot;F&quot;;\-#,##0\ &quot;F&quot;"/>
    <numFmt numFmtId="275" formatCode="#,##0;\-#,##0;&quot;-&quot;"/>
    <numFmt numFmtId="276" formatCode="#,##0.00;\-#,##0.00;&quot;-&quot;"/>
    <numFmt numFmtId="277" formatCode="#,##0%;\-#,##0%;&quot;- &quot;"/>
    <numFmt numFmtId="278" formatCode="#,##0.0%;\-#,##0.0%;&quot;- &quot;"/>
    <numFmt numFmtId="279" formatCode="#,##0.0;\-#,##0.0;&quot;-&quot;"/>
    <numFmt numFmtId="280" formatCode="&quot;$&quot;#,##0.00_%_);\(&quot;$&quot;#,##0.00\)_%;&quot;$&quot;###0.00_%_);@_%_)"/>
    <numFmt numFmtId="281" formatCode="_-* #,##0_-;\-* #,##0_-;_-* &quot;-&quot;_-;_-@_-"/>
    <numFmt numFmtId="282" formatCode="_-* #,##0.00_-;\-* #,##0.00_-;_-* &quot;-&quot;??_-;_-@_-"/>
    <numFmt numFmtId="283" formatCode="#,##0\ \ ;\(#,##0\)\ ;\—\ \ \ \ "/>
    <numFmt numFmtId="284" formatCode="#,##0.0000\ ;\(#,##0.0000\)"/>
    <numFmt numFmtId="285" formatCode="*$#,##0.0_);[Red]\(*$#,##0.0\)"/>
    <numFmt numFmtId="286" formatCode="0%;\(0%\)"/>
    <numFmt numFmtId="287" formatCode="#,##0.0\%_);\(#,##0.0\%\);#,##0.0\%_);@_)"/>
    <numFmt numFmtId="288" formatCode="#,##0.000%_);\(#,##0.000%\);#,##0.000%_);@_%_)"/>
    <numFmt numFmtId="289" formatCode="#,##0.000\ ;\(#,##0.000\)"/>
    <numFmt numFmtId="290" formatCode="#,##0.00\ ;\(#,##0.00\)"/>
    <numFmt numFmtId="291" formatCode="_-&quot;£&quot;* #,##0_-;\-&quot;£&quot;* #,##0_-;_-&quot;£&quot;* &quot;-&quot;_-;_-@_-"/>
    <numFmt numFmtId="292" formatCode="_-&quot;£&quot;* #,##0.00_-;\-&quot;£&quot;* #,##0.00_-;_-&quot;£&quot;* &quot;-&quot;??_-;_-@_-"/>
    <numFmt numFmtId="302" formatCode="0.00%;[Red]\(0.00%\)"/>
    <numFmt numFmtId="304" formatCode="mm/dd/yy;@"/>
    <numFmt numFmtId="309" formatCode="m/d/yyyy;@"/>
    <numFmt numFmtId="310" formatCode="_(* #,##0.00000_);_(* \(#,##0.00000\);_(* &quot;-&quot;??_);_(@_)"/>
    <numFmt numFmtId="311" formatCode="#,##0.00000000_);\(#,##0.00000000\)"/>
    <numFmt numFmtId="313" formatCode="#.#\x"/>
    <numFmt numFmtId="315" formatCode="&quot;$&quot;#,##0&quot;B&quot;"/>
    <numFmt numFmtId="316" formatCode="\+#,##0%_);\(#,##0%\)"/>
    <numFmt numFmtId="317" formatCode="#,##0%_);\(#,##0%\)"/>
    <numFmt numFmtId="318" formatCode="&quot;$&quot;#,##0.0&quot;B&quot;_);\(&quot;$&quot;#,##0.0&quot;B&quot;\)"/>
    <numFmt numFmtId="325" formatCode="&quot;$&quot;#,##0.00,&quot;T&quot;"/>
    <numFmt numFmtId="327" formatCode="&quot;$&quot;#,##0&quot;B&quot;_);\(&quot;$&quot;#,##0&quot;B&quot;\)"/>
    <numFmt numFmtId="328" formatCode="_(* #,##0_);_(* \(#,##0\);_(* &quot;-&quot;?_);_(@_)"/>
    <numFmt numFmtId="334" formatCode="0&quot;M+&quot;"/>
    <numFmt numFmtId="335" formatCode="0&quot;B+&quot;"/>
  </numFmts>
  <fonts count="286">
    <font>
      <sz val="10"/>
      <name val="Arial"/>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name val="Arial"/>
      <family val="2"/>
    </font>
    <font>
      <sz val="8"/>
      <color indexed="81"/>
      <name val="Tahoma"/>
      <family val="2"/>
    </font>
    <font>
      <b/>
      <sz val="8"/>
      <color indexed="81"/>
      <name val="Tahoma"/>
      <family val="2"/>
    </font>
    <font>
      <sz val="10"/>
      <name val="Arial"/>
      <family val="2"/>
    </font>
    <font>
      <b/>
      <sz val="10"/>
      <name val="Arial"/>
      <family val="2"/>
    </font>
    <font>
      <sz val="10"/>
      <color indexed="12"/>
      <name val="Arial"/>
      <family val="2"/>
    </font>
    <font>
      <sz val="9"/>
      <name val="Arial"/>
      <family val="2"/>
    </font>
    <font>
      <sz val="8"/>
      <name val="Times New Roman"/>
      <family val="1"/>
    </font>
    <font>
      <sz val="10"/>
      <name val="Times New Roman"/>
      <family val="1"/>
    </font>
    <font>
      <sz val="12"/>
      <name val="Tms Rmn"/>
    </font>
    <font>
      <sz val="8"/>
      <color indexed="12"/>
      <name val="Arial"/>
      <family val="2"/>
    </font>
    <font>
      <sz val="1"/>
      <color indexed="8"/>
      <name val="Courier"/>
      <family val="3"/>
    </font>
    <font>
      <b/>
      <sz val="8"/>
      <name val="Arial"/>
      <family val="2"/>
    </font>
    <font>
      <b/>
      <sz val="1"/>
      <color indexed="8"/>
      <name val="Courier"/>
      <family val="3"/>
    </font>
    <font>
      <b/>
      <i/>
      <sz val="16"/>
      <name val="Helv"/>
    </font>
    <font>
      <sz val="8"/>
      <name val="Arial"/>
      <family val="2"/>
    </font>
    <font>
      <sz val="10"/>
      <name val="Times New Roman"/>
      <family val="1"/>
    </font>
    <font>
      <b/>
      <sz val="10"/>
      <color indexed="9"/>
      <name val="Arial"/>
      <family val="2"/>
    </font>
    <font>
      <b/>
      <sz val="12"/>
      <name val="Arial"/>
      <family val="2"/>
    </font>
    <font>
      <sz val="8"/>
      <name val="Times"/>
      <family val="1"/>
    </font>
    <font>
      <sz val="10"/>
      <name val="Geneva"/>
      <family val="2"/>
    </font>
    <font>
      <sz val="12"/>
      <name val="Palatino"/>
      <family val="1"/>
    </font>
    <font>
      <sz val="12"/>
      <color indexed="10"/>
      <name val="Palatino"/>
      <family val="1"/>
    </font>
    <font>
      <sz val="10"/>
      <name val="Palatino"/>
      <family val="1"/>
    </font>
    <font>
      <b/>
      <sz val="10"/>
      <name val="Times New Roman"/>
      <family val="1"/>
    </font>
    <font>
      <b/>
      <sz val="12"/>
      <name val="Palatino"/>
      <family val="1"/>
    </font>
    <font>
      <sz val="8"/>
      <name val="Arial"/>
      <family val="2"/>
    </font>
    <font>
      <sz val="12"/>
      <name val="Arial"/>
      <family val="2"/>
    </font>
    <font>
      <b/>
      <sz val="9"/>
      <color indexed="0"/>
      <name val="Arial"/>
      <family val="2"/>
    </font>
    <font>
      <sz val="9"/>
      <color indexed="0"/>
      <name val="Arial"/>
      <family val="2"/>
    </font>
    <font>
      <sz val="10"/>
      <color indexed="24"/>
      <name val="Arial"/>
      <family val="2"/>
    </font>
    <font>
      <u val="doubleAccounting"/>
      <sz val="10"/>
      <name val="Arial"/>
      <family val="2"/>
    </font>
    <font>
      <b/>
      <sz val="12"/>
      <name val="Arial"/>
      <family val="2"/>
    </font>
    <font>
      <u val="singleAccounting"/>
      <sz val="10"/>
      <name val="Arial"/>
      <family val="2"/>
    </font>
    <font>
      <sz val="12"/>
      <name val="Times New Roman"/>
      <family val="1"/>
    </font>
    <font>
      <sz val="10"/>
      <name val="Expert Sans Regular"/>
    </font>
    <font>
      <sz val="9"/>
      <name val="Expert Sans Regular"/>
    </font>
    <font>
      <sz val="10"/>
      <name val="Expert Sans Extra Bold"/>
    </font>
    <font>
      <sz val="18"/>
      <name val="Expert Sans Regular"/>
    </font>
    <font>
      <sz val="8"/>
      <name val="Expert Sans Regular"/>
    </font>
    <font>
      <i/>
      <sz val="10"/>
      <name val="Expert Sans Regular"/>
    </font>
    <font>
      <i/>
      <sz val="16"/>
      <name val="Expert Sans Extra Bold"/>
    </font>
    <font>
      <i/>
      <sz val="9"/>
      <name val="Expert Sans Regular"/>
    </font>
    <font>
      <i/>
      <sz val="16"/>
      <color indexed="8"/>
      <name val="Expert Sans Regular"/>
    </font>
    <font>
      <sz val="8"/>
      <color indexed="12"/>
      <name val="Tms Rmn"/>
      <family val="1"/>
    </font>
    <font>
      <sz val="10"/>
      <color indexed="18"/>
      <name val="Times New Roman"/>
      <family val="1"/>
    </font>
    <font>
      <sz val="8"/>
      <name val="Palatino"/>
      <family val="1"/>
    </font>
    <font>
      <sz val="16"/>
      <name val="Palatino"/>
      <family val="1"/>
    </font>
    <font>
      <sz val="8"/>
      <color indexed="14"/>
      <name val="Times New Roman"/>
      <family val="1"/>
    </font>
    <font>
      <sz val="7"/>
      <name val="Palatino"/>
      <family val="1"/>
    </font>
    <font>
      <sz val="6"/>
      <color indexed="16"/>
      <name val="Palatino"/>
      <family val="1"/>
    </font>
    <font>
      <sz val="6"/>
      <name val="Palatino"/>
      <family val="1"/>
    </font>
    <font>
      <b/>
      <sz val="8"/>
      <name val="Palatino"/>
      <family val="1"/>
    </font>
    <font>
      <sz val="10"/>
      <name val="Helvetica-Black"/>
      <family val="2"/>
    </font>
    <font>
      <i/>
      <sz val="14"/>
      <name val="Palatino"/>
      <family val="1"/>
    </font>
    <font>
      <sz val="10"/>
      <name val="Courier"/>
      <family val="3"/>
    </font>
    <font>
      <sz val="10"/>
      <color indexed="16"/>
      <name val="MS Sans Serif"/>
      <family val="2"/>
    </font>
    <font>
      <sz val="10"/>
      <color indexed="16"/>
      <name val="Helvetica-Black"/>
      <family val="2"/>
    </font>
    <font>
      <b/>
      <sz val="9"/>
      <name val="Palatino"/>
      <family val="1"/>
    </font>
    <font>
      <sz val="9"/>
      <color indexed="21"/>
      <name val="Helvetica-Black"/>
      <family val="2"/>
    </font>
    <font>
      <sz val="9"/>
      <name val="Helvetica-Black"/>
      <family val="2"/>
    </font>
    <font>
      <sz val="11"/>
      <color indexed="8"/>
      <name val="Calibri"/>
      <family val="2"/>
    </font>
    <font>
      <sz val="11"/>
      <color indexed="22"/>
      <name val="Calibri"/>
      <family val="2"/>
    </font>
    <font>
      <sz val="11"/>
      <color indexed="9"/>
      <name val="Calibri"/>
      <family val="2"/>
    </font>
    <font>
      <sz val="11"/>
      <color indexed="16"/>
      <name val="Calibri"/>
      <family val="2"/>
    </font>
    <font>
      <b/>
      <sz val="12"/>
      <name val="Times New Roman"/>
      <family val="1"/>
    </font>
    <font>
      <b/>
      <sz val="11"/>
      <color indexed="53"/>
      <name val="Calibri"/>
      <family val="2"/>
    </font>
    <font>
      <b/>
      <sz val="11"/>
      <color indexed="9"/>
      <name val="Calibri"/>
      <family val="2"/>
    </font>
    <font>
      <b/>
      <sz val="8"/>
      <name val="GillSans"/>
      <family val="2"/>
    </font>
    <font>
      <b/>
      <sz val="11"/>
      <name val="Times New Roman"/>
      <family val="1"/>
    </font>
    <font>
      <b/>
      <sz val="14"/>
      <name val="Tms Rmn"/>
    </font>
    <font>
      <b/>
      <sz val="11"/>
      <color indexed="8"/>
      <name val="Calibri"/>
      <family val="2"/>
    </font>
    <font>
      <i/>
      <sz val="11"/>
      <color indexed="23"/>
      <name val="Calibri"/>
      <family val="2"/>
    </font>
    <font>
      <sz val="10"/>
      <color indexed="2"/>
      <name val="Tahoma"/>
      <family val="2"/>
    </font>
    <font>
      <b/>
      <sz val="10"/>
      <color indexed="0"/>
      <name val="Tahoma"/>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0"/>
      <name val="Tahoma"/>
      <family val="2"/>
    </font>
    <font>
      <i/>
      <sz val="8"/>
      <name val="Times New Roman"/>
      <family val="1"/>
    </font>
    <font>
      <sz val="10"/>
      <name val="GillSans Light"/>
      <family val="2"/>
    </font>
    <font>
      <sz val="11"/>
      <color indexed="53"/>
      <name val="Calibri"/>
      <family val="2"/>
    </font>
    <font>
      <b/>
      <i/>
      <sz val="10"/>
      <color indexed="4"/>
      <name val="Tahoma"/>
      <family val="2"/>
    </font>
    <font>
      <sz val="10"/>
      <color indexed="4"/>
      <name val="Tahoma"/>
      <family val="2"/>
    </font>
    <font>
      <sz val="11"/>
      <color indexed="60"/>
      <name val="Calibri"/>
      <family val="2"/>
    </font>
    <font>
      <b/>
      <sz val="11"/>
      <color indexed="63"/>
      <name val="Calibri"/>
      <family val="2"/>
    </font>
    <font>
      <b/>
      <sz val="18"/>
      <color indexed="62"/>
      <name val="Cambria"/>
      <family val="2"/>
    </font>
    <font>
      <b/>
      <sz val="10"/>
      <name val="GillSans"/>
      <family val="2"/>
    </font>
    <font>
      <b/>
      <sz val="9"/>
      <name val="Arial"/>
      <family val="2"/>
    </font>
    <font>
      <u/>
      <sz val="8"/>
      <name val="Times New Roman"/>
      <family val="1"/>
    </font>
    <font>
      <b/>
      <sz val="18"/>
      <color indexed="44"/>
      <name val="Cambria"/>
      <family val="2"/>
    </font>
    <font>
      <b/>
      <sz val="11"/>
      <color indexed="9"/>
      <name val="GillSans"/>
      <family val="2"/>
    </font>
    <font>
      <b/>
      <sz val="11"/>
      <name val="GillSans"/>
      <family val="2"/>
    </font>
    <font>
      <sz val="11"/>
      <color indexed="10"/>
      <name val="Calibri"/>
      <family val="2"/>
    </font>
    <font>
      <sz val="24"/>
      <name val="MS Sans Serif"/>
      <family val="2"/>
    </font>
    <font>
      <sz val="10"/>
      <name val="MS Sans Serif"/>
      <family val="2"/>
    </font>
    <font>
      <b/>
      <sz val="12"/>
      <name val="MS Sans Serif"/>
      <family val="2"/>
    </font>
    <font>
      <sz val="8"/>
      <name val="Helv"/>
    </font>
    <font>
      <b/>
      <sz val="8"/>
      <name val="TimesNewRomanPS"/>
      <family val="1"/>
    </font>
    <font>
      <sz val="10"/>
      <name val="HelveticaNeue Condensed"/>
    </font>
    <font>
      <b/>
      <i/>
      <sz val="12"/>
      <name val="Palatino"/>
      <family val="1"/>
    </font>
    <font>
      <strike/>
      <sz val="10"/>
      <name val="Times New Roman"/>
      <family val="1"/>
    </font>
    <font>
      <sz val="14"/>
      <name val="Palatino"/>
      <family val="1"/>
    </font>
    <font>
      <sz val="32"/>
      <name val="Helvetica-Black"/>
      <family val="2"/>
    </font>
    <font>
      <sz val="8"/>
      <name val="Arial MT"/>
    </font>
    <font>
      <sz val="8"/>
      <name val="Helvetica"/>
      <family val="2"/>
    </font>
    <font>
      <sz val="6"/>
      <color indexed="23"/>
      <name val="Helvetica-Black"/>
      <family val="2"/>
    </font>
    <font>
      <sz val="9.5"/>
      <color indexed="23"/>
      <name val="Helvetica-Black"/>
      <family val="2"/>
    </font>
    <font>
      <sz val="9"/>
      <name val="AGaramond"/>
    </font>
    <font>
      <sz val="9"/>
      <name val="Futura UBS Bk"/>
      <family val="2"/>
    </font>
    <font>
      <sz val="6"/>
      <color indexed="12"/>
      <name val="Palatino"/>
      <family val="1"/>
    </font>
    <font>
      <b/>
      <i/>
      <sz val="8"/>
      <name val="Helv"/>
    </font>
    <font>
      <sz val="28"/>
      <name val="Helvetica-Black"/>
      <family val="2"/>
    </font>
    <font>
      <sz val="18"/>
      <name val="Palatino"/>
      <family val="1"/>
    </font>
    <font>
      <b/>
      <sz val="8"/>
      <name val="Arial MT"/>
    </font>
    <font>
      <b/>
      <sz val="9"/>
      <name val="AGaramond"/>
    </font>
    <font>
      <sz val="8"/>
      <color indexed="16"/>
      <name val="Palatino"/>
      <family val="1"/>
    </font>
    <font>
      <sz val="10"/>
      <color indexed="17"/>
      <name val="Arial"/>
      <family val="2"/>
    </font>
    <font>
      <b/>
      <sz val="10"/>
      <color indexed="17"/>
      <name val="Arial"/>
      <family val="2"/>
    </font>
    <font>
      <b/>
      <sz val="9"/>
      <color indexed="8"/>
      <name val="Helvetica 65"/>
      <family val="2"/>
    </font>
    <font>
      <b/>
      <sz val="8"/>
      <color indexed="8"/>
      <name val="Helvetica 65"/>
    </font>
    <font>
      <u/>
      <sz val="10"/>
      <name val="Times New Roman"/>
      <family val="1"/>
    </font>
    <font>
      <b/>
      <i/>
      <sz val="14"/>
      <name val="Palatino"/>
      <family val="1"/>
    </font>
    <font>
      <sz val="9"/>
      <name val="AFrutiger Light"/>
    </font>
    <font>
      <sz val="8"/>
      <color indexed="8"/>
      <name val="Times New Roman"/>
      <family val="1"/>
    </font>
    <font>
      <sz val="10"/>
      <name val="Futura UBS Bk"/>
      <family val="2"/>
    </font>
    <font>
      <sz val="9"/>
      <name val="Palatino"/>
      <family val="1"/>
    </font>
    <font>
      <sz val="8"/>
      <name val="Helvetica-Narrow"/>
      <family val="2"/>
    </font>
    <font>
      <b/>
      <sz val="7"/>
      <name val="Helvetica-Narrow"/>
      <family val="2"/>
    </font>
    <font>
      <sz val="8"/>
      <name val="AGaramond"/>
    </font>
    <font>
      <i/>
      <sz val="8"/>
      <name val="AGaramond"/>
    </font>
    <font>
      <sz val="12"/>
      <color indexed="8"/>
      <name val="Palatino"/>
      <family val="1"/>
    </font>
    <font>
      <sz val="11"/>
      <name val="Helvetica-Black"/>
      <family val="2"/>
    </font>
    <font>
      <sz val="11"/>
      <color indexed="8"/>
      <name val="Helvetica-Black"/>
      <family val="2"/>
    </font>
    <font>
      <sz val="10"/>
      <name val="MS Serif"/>
      <family val="1"/>
    </font>
    <font>
      <u/>
      <sz val="10"/>
      <color theme="10"/>
      <name val="Arial"/>
      <family val="2"/>
    </font>
    <font>
      <i/>
      <sz val="10"/>
      <color indexed="8"/>
      <name val="Expert Sans Regular"/>
    </font>
    <font>
      <b/>
      <sz val="18"/>
      <name val="Arial"/>
      <family val="2"/>
    </font>
    <font>
      <b/>
      <sz val="10"/>
      <name val="MS Sans Serif"/>
      <family val="2"/>
    </font>
    <font>
      <sz val="10"/>
      <color indexed="8"/>
      <name val="Times New Roman"/>
      <family val="1"/>
    </font>
    <font>
      <sz val="9"/>
      <name val="Arial Narrow"/>
      <family val="2"/>
    </font>
    <font>
      <sz val="10"/>
      <name val="Arial Narrow"/>
      <family val="2"/>
    </font>
    <font>
      <strike/>
      <sz val="8"/>
      <name val="Arial"/>
      <family val="2"/>
    </font>
    <font>
      <sz val="8"/>
      <color indexed="8"/>
      <name val="Arial"/>
      <family val="2"/>
    </font>
    <font>
      <b/>
      <sz val="8"/>
      <color indexed="8"/>
      <name val="Arial"/>
      <family val="2"/>
    </font>
    <font>
      <sz val="10"/>
      <color indexed="8"/>
      <name val="Arial"/>
      <family val="2"/>
    </font>
    <font>
      <sz val="10"/>
      <color indexed="16"/>
      <name val="MS Serif"/>
      <family val="1"/>
    </font>
    <font>
      <sz val="11"/>
      <name val="Times New Roman"/>
      <family val="1"/>
    </font>
    <font>
      <sz val="9"/>
      <name val="Bembo (DFS)"/>
    </font>
    <font>
      <sz val="10"/>
      <color indexed="14"/>
      <name val="Arial"/>
      <family val="2"/>
    </font>
    <font>
      <sz val="12"/>
      <color indexed="12"/>
      <name val="Times New Roman"/>
      <family val="1"/>
    </font>
    <font>
      <b/>
      <sz val="10"/>
      <color indexed="72"/>
      <name val="Arial"/>
      <family val="2"/>
    </font>
    <font>
      <b/>
      <i/>
      <sz val="10"/>
      <color indexed="8"/>
      <name val="Arial"/>
      <family val="2"/>
    </font>
    <font>
      <b/>
      <sz val="11"/>
      <color indexed="21"/>
      <name val="Arial"/>
      <family val="2"/>
    </font>
    <font>
      <b/>
      <sz val="22"/>
      <color indexed="21"/>
      <name val="Times New Roman"/>
      <family val="1"/>
    </font>
    <font>
      <b/>
      <sz val="26"/>
      <name val="Times New Roman"/>
      <family val="1"/>
    </font>
    <font>
      <b/>
      <sz val="18"/>
      <name val="Times New Roman"/>
      <family val="1"/>
    </font>
    <font>
      <sz val="10"/>
      <color indexed="10"/>
      <name val="Arial"/>
      <family val="2"/>
    </font>
    <font>
      <b/>
      <sz val="14"/>
      <name val="Times New Roman"/>
      <family val="1"/>
    </font>
    <font>
      <b/>
      <sz val="12"/>
      <color indexed="8"/>
      <name val="Times New Roman"/>
      <family val="1"/>
    </font>
    <font>
      <i/>
      <sz val="10"/>
      <color indexed="8"/>
      <name val="Arial"/>
      <family val="2"/>
    </font>
    <font>
      <b/>
      <i/>
      <sz val="12"/>
      <color indexed="12"/>
      <name val="Arial"/>
      <family val="2"/>
    </font>
    <font>
      <i/>
      <sz val="12"/>
      <color indexed="12"/>
      <name val="Times New Roman"/>
      <family val="1"/>
    </font>
    <font>
      <b/>
      <sz val="8"/>
      <color indexed="8"/>
      <name val="Helv"/>
    </font>
    <font>
      <sz val="8"/>
      <color indexed="9"/>
      <name val="Arial"/>
      <family val="2"/>
    </font>
    <font>
      <b/>
      <i/>
      <sz val="12"/>
      <name val="Times New Roman"/>
      <family val="1"/>
    </font>
    <font>
      <i/>
      <sz val="8"/>
      <name val="Expert Sans Regular"/>
    </font>
    <font>
      <b/>
      <sz val="8"/>
      <name val="Expert Sans Extra Bold"/>
    </font>
    <font>
      <b/>
      <sz val="8"/>
      <name val="Expert Sans Regular"/>
    </font>
    <font>
      <sz val="8"/>
      <color rgb="FFFF0000"/>
      <name val="Expert Sans Regular"/>
    </font>
    <font>
      <sz val="8"/>
      <name val="Expert Sans Extra Bold"/>
    </font>
    <font>
      <sz val="8"/>
      <color indexed="12"/>
      <name val="Expert Sans Regular"/>
    </font>
    <font>
      <sz val="8"/>
      <color indexed="10"/>
      <name val="Expert Sans Regular"/>
    </font>
    <font>
      <sz val="8"/>
      <color indexed="9"/>
      <name val="Expert Sans Regular"/>
    </font>
    <font>
      <i/>
      <sz val="8"/>
      <color indexed="8"/>
      <name val="Expert Sans Extra Bold"/>
    </font>
    <font>
      <i/>
      <sz val="8"/>
      <color indexed="8"/>
      <name val="Expert Sans Regular"/>
    </font>
    <font>
      <sz val="8"/>
      <color indexed="8"/>
      <name val="Expert Sans Regular"/>
    </font>
    <font>
      <b/>
      <i/>
      <sz val="8"/>
      <name val="Expert Sans Regular"/>
    </font>
    <font>
      <b/>
      <sz val="8"/>
      <color indexed="12"/>
      <name val="Expert Sans Regular"/>
    </font>
    <font>
      <i/>
      <sz val="8"/>
      <color indexed="12"/>
      <name val="Expert Sans Regular"/>
    </font>
    <font>
      <b/>
      <sz val="8"/>
      <color rgb="FFFF0000"/>
      <name val="Expert Sans Extra Bold"/>
    </font>
    <font>
      <b/>
      <sz val="8"/>
      <color indexed="12"/>
      <name val="Expert Sans Extra Bold"/>
    </font>
    <font>
      <sz val="8"/>
      <color rgb="FF00B050"/>
      <name val="Expert Sans Regular"/>
    </font>
    <font>
      <i/>
      <sz val="8"/>
      <name val="Expert Sans Extra Bold"/>
    </font>
    <font>
      <sz val="8"/>
      <color rgb="FFFF0000"/>
      <name val="Expert Sans Extra Bold"/>
    </font>
    <font>
      <sz val="8"/>
      <color indexed="9"/>
      <name val="Expert Sans Extra Bold"/>
    </font>
    <font>
      <sz val="8"/>
      <color indexed="12"/>
      <name val="Expert Sans Extra Bold"/>
    </font>
    <font>
      <i/>
      <sz val="8"/>
      <color indexed="9"/>
      <name val="Expert Sans Regular"/>
    </font>
    <font>
      <b/>
      <i/>
      <sz val="8"/>
      <name val="Expert Sans Extra Bold"/>
    </font>
    <font>
      <sz val="8"/>
      <color indexed="10"/>
      <name val="Expert Sans Extra Bold"/>
    </font>
    <font>
      <i/>
      <sz val="8"/>
      <color indexed="10"/>
      <name val="Expert Sans Regular"/>
    </font>
    <font>
      <i/>
      <sz val="8"/>
      <color rgb="FFFF0000"/>
      <name val="Expert Sans Regular"/>
    </font>
    <font>
      <b/>
      <sz val="8"/>
      <color indexed="9"/>
      <name val="Expert Sans Extra Bold"/>
    </font>
    <font>
      <b/>
      <sz val="8"/>
      <color rgb="FF00B050"/>
      <name val="Expert Sans Extra Bold"/>
    </font>
    <font>
      <b/>
      <sz val="8"/>
      <color rgb="FFFFFF85"/>
      <name val="Expert Sans Extra Bold"/>
    </font>
    <font>
      <sz val="8"/>
      <color rgb="FF0000FF"/>
      <name val="Expert Sans Regular"/>
    </font>
    <font>
      <i/>
      <sz val="8"/>
      <color rgb="FF0000FF"/>
      <name val="Expert Sans Regular"/>
    </font>
    <font>
      <b/>
      <i/>
      <sz val="8"/>
      <color rgb="FF00B0F0"/>
      <name val="Expert Sans Regular"/>
    </font>
    <font>
      <b/>
      <sz val="8"/>
      <color rgb="FF00B0F0"/>
      <name val="Expert Sans Regular"/>
    </font>
    <font>
      <b/>
      <sz val="8"/>
      <color rgb="FF00B050"/>
      <name val="Expert Sans Regular"/>
    </font>
    <font>
      <b/>
      <sz val="8"/>
      <color rgb="FFFF0000"/>
      <name val="Expert Sans Regular"/>
    </font>
    <font>
      <sz val="10"/>
      <color rgb="FFFF0000"/>
      <name val="Expert Sans Regular"/>
    </font>
    <font>
      <b/>
      <sz val="9"/>
      <color indexed="81"/>
      <name val="Tahoma"/>
      <family val="2"/>
    </font>
    <font>
      <sz val="9"/>
      <color indexed="81"/>
      <name val="Tahoma"/>
      <family val="2"/>
    </font>
    <font>
      <sz val="10"/>
      <name val="Arial"/>
      <family val="2"/>
    </font>
    <font>
      <b/>
      <sz val="10"/>
      <color rgb="FFFFFFFF"/>
      <name val="Arial"/>
      <family val="2"/>
    </font>
    <font>
      <sz val="10"/>
      <color rgb="FFFFFFFF"/>
      <name val="Arial"/>
      <family val="2"/>
    </font>
    <font>
      <i/>
      <sz val="10"/>
      <name val="Arial"/>
      <family val="2"/>
    </font>
    <font>
      <b/>
      <i/>
      <sz val="10"/>
      <name val="Arial"/>
      <family val="2"/>
    </font>
    <font>
      <sz val="8"/>
      <color theme="0"/>
      <name val="Expert Sans Regular"/>
    </font>
    <font>
      <sz val="8"/>
      <color theme="0"/>
      <name val="Expert Sans Extra Bold"/>
    </font>
    <font>
      <i/>
      <sz val="8"/>
      <color indexed="9"/>
      <name val="Expert Sans Extra Bold"/>
    </font>
    <font>
      <sz val="10"/>
      <color theme="1" tint="0.34998626667073579"/>
      <name val="Arial"/>
      <family val="2"/>
    </font>
    <font>
      <i/>
      <sz val="10"/>
      <color theme="1" tint="0.34998626667073579"/>
      <name val="Arial"/>
      <family val="2"/>
    </font>
    <font>
      <b/>
      <i/>
      <sz val="10"/>
      <color theme="1" tint="0.34998626667073579"/>
      <name val="Arial"/>
      <family val="2"/>
    </font>
    <font>
      <sz val="10"/>
      <color rgb="FFFF0000"/>
      <name val="Arial"/>
      <family val="2"/>
    </font>
    <font>
      <b/>
      <sz val="8"/>
      <color theme="4"/>
      <name val="Expert Sans Extra Bold"/>
    </font>
    <font>
      <sz val="10"/>
      <color rgb="FF0000FF"/>
      <name val="Arial"/>
      <family val="2"/>
    </font>
    <font>
      <b/>
      <sz val="8"/>
      <color indexed="10"/>
      <name val="Expert Sans Extra Bold"/>
    </font>
    <font>
      <b/>
      <i/>
      <sz val="8"/>
      <color indexed="12"/>
      <name val="Expert Sans Regular"/>
    </font>
    <font>
      <sz val="16"/>
      <name val="Expert Sans Extra Bold"/>
    </font>
    <font>
      <sz val="10"/>
      <color indexed="10"/>
      <name val="Arial"/>
      <family val="2"/>
    </font>
    <font>
      <b/>
      <sz val="8"/>
      <color rgb="FF0000FF"/>
      <name val="Expert Sans Extra Bold"/>
    </font>
    <font>
      <b/>
      <sz val="8"/>
      <color indexed="9"/>
      <name val="Expert Sans Regular"/>
    </font>
    <font>
      <sz val="8"/>
      <color rgb="FF0000FF"/>
      <name val="Expert Sans Extra Bold"/>
    </font>
    <font>
      <b/>
      <sz val="8"/>
      <color theme="0"/>
      <name val="Expert Sans Extra Bold"/>
    </font>
    <font>
      <sz val="8"/>
      <color theme="5"/>
      <name val="Expert Sans Regular"/>
    </font>
    <font>
      <b/>
      <sz val="10"/>
      <color rgb="FF0000FF"/>
      <name val="Arial"/>
      <family val="2"/>
    </font>
    <font>
      <b/>
      <sz val="8"/>
      <color theme="0"/>
      <name val="Expert Sans Regular"/>
    </font>
    <font>
      <b/>
      <sz val="8"/>
      <color indexed="10"/>
      <name val="Expert Sans Regular"/>
    </font>
    <font>
      <b/>
      <sz val="8"/>
      <color rgb="FF0000FF"/>
      <name val="Expert Sans Regular"/>
    </font>
    <font>
      <b/>
      <i/>
      <sz val="8"/>
      <color rgb="FF0000FF"/>
      <name val="Expert Sans Regular"/>
    </font>
    <font>
      <sz val="8"/>
      <color theme="1" tint="0.34998626667073579"/>
      <name val="Expert Sans Extra Bold"/>
    </font>
    <font>
      <b/>
      <i/>
      <sz val="8"/>
      <color rgb="FF0000FF"/>
      <name val="Expert Sans Extra Bold"/>
    </font>
    <font>
      <b/>
      <sz val="8"/>
      <color theme="1" tint="0.34998626667073579"/>
      <name val="Expert Sans Extra Bold"/>
    </font>
    <font>
      <sz val="18"/>
      <color rgb="FFFF0000"/>
      <name val="Expert Sans Extra Bold"/>
    </font>
    <font>
      <b/>
      <sz val="18"/>
      <color rgb="FFFF0000"/>
      <name val="Expert Sans Extra Bold"/>
    </font>
    <font>
      <sz val="8"/>
      <color indexed="81"/>
      <name val="Arial Narrow"/>
      <family val="2"/>
    </font>
    <font>
      <b/>
      <sz val="8"/>
      <color indexed="81"/>
      <name val="Arial Narrow"/>
      <family val="2"/>
    </font>
    <font>
      <b/>
      <i/>
      <sz val="8"/>
      <color indexed="9"/>
      <name val="Expert Sans Extra Bold"/>
    </font>
    <font>
      <u/>
      <sz val="9"/>
      <color indexed="81"/>
      <name val="Tahoma"/>
      <family val="2"/>
    </font>
    <font>
      <b/>
      <sz val="8"/>
      <color theme="1"/>
      <name val="Expert Sans Regular"/>
    </font>
    <font>
      <b/>
      <sz val="8"/>
      <color theme="1"/>
      <name val="Expert Sans Extra Bold"/>
    </font>
    <font>
      <sz val="8"/>
      <color theme="1"/>
      <name val="Expert Sans Regular"/>
    </font>
    <font>
      <sz val="10"/>
      <color theme="1"/>
      <name val="Expert Sans Regular"/>
    </font>
    <font>
      <i/>
      <sz val="10"/>
      <color theme="1"/>
      <name val="Expert Sans Regular"/>
    </font>
    <font>
      <sz val="8"/>
      <color theme="1"/>
      <name val="Expert Sans Extra Bold"/>
    </font>
    <font>
      <b/>
      <u/>
      <sz val="9"/>
      <color indexed="81"/>
      <name val="Tahoma"/>
      <family val="2"/>
    </font>
    <font>
      <sz val="8"/>
      <color theme="1"/>
      <name val="Arial"/>
      <family val="2"/>
    </font>
    <font>
      <sz val="11"/>
      <color theme="1"/>
      <name val="Calibri"/>
      <family val="2"/>
      <scheme val="minor"/>
    </font>
    <font>
      <sz val="8"/>
      <color theme="0" tint="-0.249977111117893"/>
      <name val="Expert Sans Regular"/>
    </font>
    <font>
      <b/>
      <sz val="10"/>
      <color theme="1"/>
      <name val="Arial"/>
      <family val="2"/>
    </font>
    <font>
      <i/>
      <sz val="8"/>
      <color rgb="FF0000FF"/>
      <name val="Expert Sans Extra Bold"/>
    </font>
    <font>
      <b/>
      <sz val="9"/>
      <name val="Expert Sans Extra Bold"/>
    </font>
    <font>
      <b/>
      <sz val="10"/>
      <name val="Expert Sans Regular"/>
    </font>
    <font>
      <i/>
      <sz val="10"/>
      <color theme="1"/>
      <name val="Arial"/>
      <family val="2"/>
    </font>
    <font>
      <sz val="18"/>
      <color rgb="FFFF0000"/>
      <name val="Arial"/>
      <family val="2"/>
    </font>
    <font>
      <sz val="18"/>
      <name val="Arial"/>
      <family val="2"/>
    </font>
    <font>
      <sz val="16"/>
      <name val="Arial"/>
      <family val="2"/>
    </font>
    <font>
      <i/>
      <sz val="16"/>
      <color indexed="8"/>
      <name val="Arial"/>
      <family val="2"/>
    </font>
    <font>
      <b/>
      <i/>
      <sz val="8"/>
      <color indexed="8"/>
      <name val="Arial Narrow"/>
      <family val="2"/>
    </font>
    <font>
      <i/>
      <sz val="8"/>
      <color theme="1"/>
      <name val="Expert Sans Extra Bold"/>
    </font>
    <font>
      <b/>
      <sz val="12"/>
      <color theme="1"/>
      <name val="Arial"/>
      <family val="2"/>
    </font>
    <font>
      <u/>
      <sz val="10"/>
      <color theme="1"/>
      <name val="Arial"/>
      <family val="2"/>
    </font>
    <font>
      <b/>
      <sz val="10"/>
      <color indexed="8"/>
      <name val="Expert Sans Regular"/>
    </font>
    <font>
      <sz val="10"/>
      <color indexed="8"/>
      <name val="Expert Sans Regular"/>
    </font>
    <font>
      <i/>
      <sz val="8"/>
      <color rgb="FFFF0000"/>
      <name val="Expert Sans Extra Bold"/>
    </font>
    <font>
      <b/>
      <i/>
      <sz val="8"/>
      <color rgb="FFFF0000"/>
      <name val="Expert Sans Regular"/>
    </font>
  </fonts>
  <fills count="68">
    <fill>
      <patternFill patternType="none"/>
    </fill>
    <fill>
      <patternFill patternType="gray125"/>
    </fill>
    <fill>
      <patternFill patternType="solid">
        <fgColor indexed="22"/>
        <bgColor indexed="64"/>
      </patternFill>
    </fill>
    <fill>
      <patternFill patternType="solid">
        <fgColor indexed="13"/>
      </patternFill>
    </fill>
    <fill>
      <patternFill patternType="solid">
        <fgColor indexed="9"/>
        <bgColor indexed="64"/>
      </patternFill>
    </fill>
    <fill>
      <patternFill patternType="solid">
        <fgColor indexed="42"/>
        <bgColor indexed="64"/>
      </patternFill>
    </fill>
    <fill>
      <patternFill patternType="solid">
        <fgColor indexed="31"/>
        <bgColor indexed="64"/>
      </patternFill>
    </fill>
    <fill>
      <patternFill patternType="solid">
        <fgColor indexed="26"/>
        <bgColor indexed="64"/>
      </patternFill>
    </fill>
    <fill>
      <patternFill patternType="solid">
        <fgColor indexed="41"/>
        <bgColor indexed="64"/>
      </patternFill>
    </fill>
    <fill>
      <patternFill patternType="solid">
        <fgColor rgb="FFFFFF00"/>
        <bgColor indexed="64"/>
      </patternFill>
    </fill>
    <fill>
      <patternFill patternType="solid">
        <fgColor indexed="14"/>
        <bgColor indexed="64"/>
      </patternFill>
    </fill>
    <fill>
      <patternFill patternType="solid">
        <fgColor indexed="16"/>
        <bgColor indexed="64"/>
      </patternFill>
    </fill>
    <fill>
      <patternFill patternType="solid">
        <fgColor indexed="8"/>
        <bgColor indexed="64"/>
      </patternFill>
    </fill>
    <fill>
      <patternFill patternType="solid">
        <fgColor indexed="26"/>
      </patternFill>
    </fill>
    <fill>
      <patternFill patternType="solid">
        <fgColor indexed="47"/>
      </patternFill>
    </fill>
    <fill>
      <patternFill patternType="solid">
        <fgColor indexed="9"/>
      </patternFill>
    </fill>
    <fill>
      <patternFill patternType="solid">
        <fgColor indexed="45"/>
      </patternFill>
    </fill>
    <fill>
      <patternFill patternType="solid">
        <fgColor indexed="39"/>
      </patternFill>
    </fill>
    <fill>
      <patternFill patternType="solid">
        <fgColor indexed="34"/>
      </patternFill>
    </fill>
    <fill>
      <patternFill patternType="solid">
        <fgColor indexed="54"/>
        <bgColor indexed="54"/>
      </patternFill>
    </fill>
    <fill>
      <patternFill patternType="solid">
        <fgColor indexed="31"/>
        <bgColor indexed="31"/>
      </patternFill>
    </fill>
    <fill>
      <patternFill patternType="solid">
        <fgColor indexed="44"/>
        <bgColor indexed="44"/>
      </patternFill>
    </fill>
    <fill>
      <patternFill patternType="solid">
        <fgColor indexed="25"/>
        <bgColor indexed="25"/>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49"/>
        <bgColor indexed="49"/>
      </patternFill>
    </fill>
    <fill>
      <patternFill patternType="solid">
        <fgColor indexed="27"/>
        <bgColor indexed="27"/>
      </patternFill>
    </fill>
    <fill>
      <patternFill patternType="solid">
        <fgColor indexed="52"/>
        <bgColor indexed="52"/>
      </patternFill>
    </fill>
    <fill>
      <patternFill patternType="solid">
        <fgColor indexed="47"/>
        <bgColor indexed="47"/>
      </patternFill>
    </fill>
    <fill>
      <patternFill patternType="solid">
        <fgColor indexed="45"/>
        <bgColor indexed="45"/>
      </patternFill>
    </fill>
    <fill>
      <patternFill patternType="solid">
        <fgColor indexed="9"/>
        <bgColor indexed="9"/>
      </patternFill>
    </fill>
    <fill>
      <patternFill patternType="lightGray">
        <fgColor indexed="12"/>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8"/>
      </patternFill>
    </fill>
    <fill>
      <patternFill patternType="solid">
        <fgColor indexed="44"/>
      </patternFill>
    </fill>
    <fill>
      <patternFill patternType="solid">
        <fgColor indexed="43"/>
        <bgColor indexed="43"/>
      </patternFill>
    </fill>
    <fill>
      <patternFill patternType="mediumGray"/>
    </fill>
    <fill>
      <patternFill patternType="solid">
        <fgColor rgb="FFC0C0C0"/>
        <bgColor indexed="64"/>
      </patternFill>
    </fill>
    <fill>
      <patternFill patternType="solid">
        <fgColor indexed="21"/>
        <bgColor indexed="64"/>
      </patternFill>
    </fill>
    <fill>
      <patternFill patternType="solid">
        <fgColor indexed="44"/>
        <bgColor indexed="64"/>
      </patternFill>
    </fill>
    <fill>
      <patternFill patternType="mediumGray">
        <fgColor indexed="22"/>
      </patternFill>
    </fill>
    <fill>
      <patternFill patternType="solid">
        <fgColor indexed="63"/>
        <bgColor indexed="64"/>
      </patternFill>
    </fill>
    <fill>
      <patternFill patternType="solid">
        <fgColor indexed="22"/>
      </patternFill>
    </fill>
    <fill>
      <patternFill patternType="solid">
        <fgColor rgb="FFFFFF85"/>
        <bgColor indexed="64"/>
      </patternFill>
    </fill>
    <fill>
      <patternFill patternType="solid">
        <fgColor theme="0"/>
        <bgColor indexed="64"/>
      </patternFill>
    </fill>
    <fill>
      <patternFill patternType="solid">
        <fgColor rgb="FFFFC000"/>
        <bgColor indexed="64"/>
      </patternFill>
    </fill>
    <fill>
      <patternFill patternType="solid">
        <fgColor rgb="FFFFFF9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indexed="65"/>
        <bgColor indexed="64"/>
      </patternFill>
    </fill>
    <fill>
      <patternFill patternType="solid">
        <fgColor rgb="FF666699"/>
        <bgColor indexed="64"/>
      </patternFill>
    </fill>
    <fill>
      <patternFill patternType="solid">
        <fgColor rgb="FF969696"/>
        <bgColor indexed="64"/>
      </patternFill>
    </fill>
    <fill>
      <patternFill patternType="solid">
        <fgColor rgb="FFFFFFFF"/>
        <bgColor indexed="64"/>
      </patternFill>
    </fill>
    <fill>
      <patternFill patternType="solid">
        <fgColor rgb="FF92D050"/>
        <bgColor indexed="64"/>
      </patternFill>
    </fill>
    <fill>
      <patternFill patternType="solid">
        <fgColor theme="4" tint="0.79998168889431442"/>
        <bgColor indexed="64"/>
      </patternFill>
    </fill>
    <fill>
      <patternFill patternType="solid">
        <fgColor theme="4"/>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rgb="FFFFFFB3"/>
        <bgColor indexed="64"/>
      </patternFill>
    </fill>
    <fill>
      <patternFill patternType="solid">
        <fgColor theme="5"/>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1" tint="0.499984740745262"/>
        <bgColor indexed="64"/>
      </patternFill>
    </fill>
    <fill>
      <patternFill patternType="solid">
        <fgColor rgb="FFFFFFAF"/>
        <bgColor indexed="64"/>
      </patternFill>
    </fill>
  </fills>
  <borders count="348">
    <border>
      <left/>
      <right/>
      <top/>
      <bottom/>
      <diagonal/>
    </border>
    <border diagonalDown="1">
      <left/>
      <right/>
      <top/>
      <bottom/>
      <diagonal/>
    </border>
    <border>
      <left style="thin">
        <color indexed="64"/>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45"/>
      </bottom>
      <diagonal/>
    </border>
    <border>
      <left/>
      <right/>
      <top/>
      <bottom style="thin">
        <color indexed="45"/>
      </bottom>
      <diagonal/>
    </border>
    <border>
      <left/>
      <right/>
      <top style="medium">
        <color indexed="45"/>
      </top>
      <bottom/>
      <diagonal/>
    </border>
    <border>
      <left/>
      <right/>
      <top/>
      <bottom style="double">
        <color indexed="45"/>
      </bottom>
      <diagonal/>
    </border>
    <border>
      <left/>
      <right/>
      <top style="double">
        <color indexed="64"/>
      </top>
      <bottom/>
      <diagonal/>
    </border>
    <border>
      <left/>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bottom style="medium">
        <color indexed="9"/>
      </bottom>
      <diagonal/>
    </border>
    <border>
      <left/>
      <right/>
      <top/>
      <bottom style="thin">
        <color indexed="30"/>
      </bottom>
      <diagonal/>
    </border>
    <border>
      <left style="thin">
        <color indexed="30"/>
      </left>
      <right/>
      <top/>
      <bottom/>
      <diagonal/>
    </border>
    <border>
      <left/>
      <right style="thin">
        <color indexed="30"/>
      </right>
      <top/>
      <bottom/>
      <diagonal/>
    </border>
    <border>
      <left style="thin">
        <color indexed="30"/>
      </left>
      <right/>
      <top/>
      <bottom style="thin">
        <color indexed="30"/>
      </bottom>
      <diagonal/>
    </border>
    <border>
      <left style="thin">
        <color indexed="30"/>
      </left>
      <right style="thin">
        <color indexed="30"/>
      </right>
      <top/>
      <bottom/>
      <diagonal/>
    </border>
    <border>
      <left style="thin">
        <color indexed="30"/>
      </left>
      <right/>
      <top style="thin">
        <color indexed="64"/>
      </top>
      <bottom/>
      <diagonal/>
    </border>
    <border>
      <left/>
      <right/>
      <top style="medium">
        <color indexed="9"/>
      </top>
      <bottom/>
      <diagonal/>
    </border>
    <border>
      <left/>
      <right/>
      <top/>
      <bottom style="medium">
        <color indexed="64"/>
      </bottom>
      <diagonal/>
    </border>
    <border>
      <left/>
      <right/>
      <top/>
      <bottom style="dotted">
        <color indexed="64"/>
      </bottom>
      <diagonal/>
    </border>
    <border>
      <left/>
      <right/>
      <top style="thin">
        <color indexed="64"/>
      </top>
      <bottom style="hair">
        <color indexed="64"/>
      </bottom>
      <diagonal/>
    </border>
    <border>
      <left/>
      <right/>
      <top style="medium">
        <color indexed="23"/>
      </top>
      <bottom style="medium">
        <color indexed="23"/>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right/>
      <top style="dotted">
        <color indexed="64"/>
      </top>
      <bottom style="dotted">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top style="thin">
        <color indexed="54"/>
      </top>
      <bottom style="double">
        <color indexed="54"/>
      </bottom>
      <diagonal/>
    </border>
    <border>
      <left/>
      <right/>
      <top/>
      <bottom style="thin">
        <color indexed="22"/>
      </bottom>
      <diagonal/>
    </border>
    <border>
      <left/>
      <right/>
      <top/>
      <bottom style="double">
        <color indexed="64"/>
      </bottom>
      <diagonal/>
    </border>
    <border>
      <left/>
      <right/>
      <top/>
      <bottom style="thick">
        <color indexed="64"/>
      </bottom>
      <diagonal/>
    </border>
    <border>
      <left/>
      <right/>
      <top style="thick">
        <color indexed="64"/>
      </top>
      <bottom style="thin">
        <color indexed="64"/>
      </bottom>
      <diagonal/>
    </border>
    <border>
      <left style="thin">
        <color indexed="64"/>
      </left>
      <right/>
      <top style="medium">
        <color indexed="9"/>
      </top>
      <bottom/>
      <diagonal/>
    </border>
    <border>
      <left/>
      <right style="thin">
        <color indexed="64"/>
      </right>
      <top style="medium">
        <color indexed="9"/>
      </top>
      <bottom/>
      <diagonal/>
    </border>
    <border>
      <left style="thin">
        <color indexed="64"/>
      </left>
      <right style="thin">
        <color indexed="64"/>
      </right>
      <top style="thin">
        <color indexed="64"/>
      </top>
      <bottom/>
      <diagonal/>
    </border>
    <border>
      <left/>
      <right style="thin">
        <color auto="1"/>
      </right>
      <top/>
      <bottom/>
      <diagonal/>
    </border>
    <border>
      <left style="thin">
        <color indexed="64"/>
      </left>
      <right style="thin">
        <color auto="1"/>
      </right>
      <top style="medium">
        <color indexed="9"/>
      </top>
      <bottom/>
      <diagonal/>
    </border>
    <border>
      <left style="thin">
        <color indexed="30"/>
      </left>
      <right style="thin">
        <color indexed="30"/>
      </right>
      <top/>
      <bottom/>
      <diagonal/>
    </border>
    <border>
      <left style="thin">
        <color indexed="64"/>
      </left>
      <right/>
      <top/>
      <bottom/>
      <diagonal/>
    </border>
    <border>
      <left style="thin">
        <color indexed="30"/>
      </left>
      <right style="thin">
        <color indexed="30"/>
      </right>
      <top style="thin">
        <color indexed="64"/>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indexed="64"/>
      </bottom>
      <diagonal/>
    </border>
    <border>
      <left style="thin">
        <color indexed="64"/>
      </left>
      <right/>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indexed="64"/>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30"/>
      </left>
      <right/>
      <top/>
      <bottom/>
      <diagonal/>
    </border>
    <border>
      <left/>
      <right/>
      <top style="thin">
        <color indexed="64"/>
      </top>
      <bottom/>
      <diagonal/>
    </border>
    <border>
      <left/>
      <right/>
      <top style="thin">
        <color auto="1"/>
      </top>
      <bottom/>
      <diagonal/>
    </border>
    <border>
      <left/>
      <right style="thin">
        <color indexed="30"/>
      </right>
      <top style="thin">
        <color indexed="64"/>
      </top>
      <bottom/>
      <diagonal/>
    </border>
    <border>
      <left style="thin">
        <color auto="1"/>
      </left>
      <right/>
      <top style="thin">
        <color indexed="64"/>
      </top>
      <bottom/>
      <diagonal/>
    </border>
    <border>
      <left/>
      <right/>
      <top style="thin">
        <color indexed="64"/>
      </top>
      <bottom/>
      <diagonal/>
    </border>
    <border>
      <left style="thin">
        <color theme="0" tint="-0.499984740745262"/>
      </left>
      <right style="thin">
        <color auto="1"/>
      </right>
      <top/>
      <bottom/>
      <diagonal/>
    </border>
    <border>
      <left style="thin">
        <color theme="0" tint="-0.499984740745262"/>
      </left>
      <right style="thin">
        <color auto="1"/>
      </right>
      <top style="thin">
        <color indexed="30"/>
      </top>
      <bottom style="thin">
        <color indexed="30"/>
      </bottom>
      <diagonal/>
    </border>
    <border>
      <left style="thin">
        <color auto="1"/>
      </left>
      <right/>
      <top style="thin">
        <color auto="1"/>
      </top>
      <bottom/>
      <diagonal/>
    </border>
    <border>
      <left/>
      <right style="thin">
        <color indexed="64"/>
      </right>
      <top style="thin">
        <color indexed="64"/>
      </top>
      <bottom/>
      <diagonal/>
    </border>
    <border>
      <left/>
      <right/>
      <top/>
      <bottom style="thin">
        <color indexed="64"/>
      </bottom>
      <diagonal/>
    </border>
    <border>
      <left style="thin">
        <color indexed="64"/>
      </left>
      <right style="thin">
        <color indexed="30"/>
      </right>
      <top style="thin">
        <color indexed="64"/>
      </top>
      <bottom/>
      <diagonal/>
    </border>
    <border>
      <left style="thin">
        <color indexed="64"/>
      </left>
      <right style="thin">
        <color indexed="30"/>
      </right>
      <top/>
      <bottom/>
      <diagonal/>
    </border>
    <border>
      <left/>
      <right style="thin">
        <color indexed="30"/>
      </right>
      <top/>
      <bottom style="thin">
        <color indexed="64"/>
      </bottom>
      <diagonal/>
    </border>
    <border>
      <left style="thin">
        <color indexed="30"/>
      </left>
      <right style="thin">
        <color indexed="30"/>
      </right>
      <top/>
      <bottom/>
      <diagonal/>
    </border>
    <border>
      <left style="thin">
        <color indexed="64"/>
      </left>
      <right style="thin">
        <color indexed="30"/>
      </right>
      <top/>
      <bottom style="thin">
        <color indexed="64"/>
      </bottom>
      <diagonal/>
    </border>
    <border>
      <left style="thin">
        <color indexed="30"/>
      </left>
      <right style="thin">
        <color indexed="30"/>
      </right>
      <top/>
      <bottom style="thin">
        <color indexed="64"/>
      </bottom>
      <diagonal/>
    </border>
    <border>
      <left style="thin">
        <color indexed="30"/>
      </left>
      <right/>
      <top/>
      <bottom/>
      <diagonal/>
    </border>
    <border>
      <left style="thin">
        <color indexed="64"/>
      </left>
      <right/>
      <top/>
      <bottom/>
      <diagonal/>
    </border>
    <border>
      <left style="thin">
        <color indexed="30"/>
      </left>
      <right/>
      <top style="thin">
        <color indexed="64"/>
      </top>
      <bottom style="thin">
        <color indexed="64"/>
      </bottom>
      <diagonal/>
    </border>
    <border>
      <left style="thin">
        <color indexed="30"/>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auto="1"/>
      </right>
      <top/>
      <bottom style="thin">
        <color indexed="64"/>
      </bottom>
      <diagonal/>
    </border>
    <border>
      <left style="thin">
        <color indexed="64"/>
      </left>
      <right style="thin">
        <color indexed="64"/>
      </right>
      <top/>
      <bottom/>
      <diagonal/>
    </border>
    <border>
      <left/>
      <right style="thin">
        <color theme="0" tint="-0.499984740745262"/>
      </right>
      <top/>
      <bottom style="thin">
        <color indexed="64"/>
      </bottom>
      <diagonal/>
    </border>
    <border>
      <left style="thin">
        <color theme="0" tint="-0.499984740745262"/>
      </left>
      <right style="thin">
        <color theme="0" tint="-0.499984740745262"/>
      </right>
      <top style="thin">
        <color indexed="64"/>
      </top>
      <bottom/>
      <diagonal/>
    </border>
    <border>
      <left style="thin">
        <color theme="0" tint="-0.499984740745262"/>
      </left>
      <right/>
      <top style="thin">
        <color indexed="64"/>
      </top>
      <bottom/>
      <diagonal/>
    </border>
    <border>
      <left/>
      <right style="thin">
        <color theme="0" tint="-0.499984740745262"/>
      </right>
      <top style="thin">
        <color indexed="64"/>
      </top>
      <bottom/>
      <diagonal/>
    </border>
    <border>
      <left style="thin">
        <color theme="0" tint="-0.499984740745262"/>
      </left>
      <right style="thin">
        <color indexed="64"/>
      </right>
      <top/>
      <bottom style="thin">
        <color indexed="30"/>
      </bottom>
      <diagonal/>
    </border>
    <border>
      <left style="thin">
        <color theme="0" tint="-0.499984740745262"/>
      </left>
      <right style="thin">
        <color indexed="64"/>
      </right>
      <top/>
      <bottom style="thin">
        <color indexed="64"/>
      </bottom>
      <diagonal/>
    </border>
    <border>
      <left/>
      <right/>
      <top style="thin">
        <color indexed="64"/>
      </top>
      <bottom/>
      <diagonal/>
    </border>
    <border>
      <left/>
      <right style="thin">
        <color indexed="30"/>
      </right>
      <top style="thin">
        <color indexed="64"/>
      </top>
      <bottom/>
      <diagonal/>
    </border>
    <border>
      <left style="thin">
        <color indexed="64"/>
      </left>
      <right style="thin">
        <color indexed="64"/>
      </right>
      <top/>
      <bottom style="thin">
        <color auto="1"/>
      </bottom>
      <diagonal/>
    </border>
    <border>
      <left/>
      <right/>
      <top/>
      <bottom style="thin">
        <color auto="1"/>
      </bottom>
      <diagonal/>
    </border>
    <border>
      <left style="thin">
        <color indexed="64"/>
      </left>
      <right style="thin">
        <color indexed="30"/>
      </right>
      <top/>
      <bottom/>
      <diagonal/>
    </border>
    <border>
      <left style="thin">
        <color indexed="30"/>
      </left>
      <right style="thin">
        <color indexed="30"/>
      </right>
      <top/>
      <bottom/>
      <diagonal/>
    </border>
    <border>
      <left style="thin">
        <color theme="0" tint="-0.499984740745262"/>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style="thin">
        <color indexed="30"/>
      </right>
      <top/>
      <bottom/>
      <diagonal/>
    </border>
    <border>
      <left/>
      <right style="thin">
        <color indexed="64"/>
      </right>
      <top style="thin">
        <color indexed="64"/>
      </top>
      <bottom/>
      <diagonal/>
    </border>
    <border>
      <left/>
      <right style="thin">
        <color auto="1"/>
      </right>
      <top style="thin">
        <color indexed="64"/>
      </top>
      <bottom style="thin">
        <color indexed="64"/>
      </bottom>
      <diagonal/>
    </border>
    <border>
      <left style="thin">
        <color auto="1"/>
      </left>
      <right style="thin">
        <color auto="1"/>
      </right>
      <top style="thin">
        <color auto="1"/>
      </top>
      <bottom/>
      <diagonal/>
    </border>
    <border>
      <left style="thin">
        <color indexed="30"/>
      </left>
      <right style="thin">
        <color indexed="30"/>
      </right>
      <top/>
      <bottom style="thin">
        <color indexed="64"/>
      </bottom>
      <diagonal/>
    </border>
    <border>
      <left style="thin">
        <color indexed="30"/>
      </left>
      <right/>
      <top/>
      <bottom style="thin">
        <color indexed="64"/>
      </bottom>
      <diagonal/>
    </border>
    <border>
      <left style="thin">
        <color indexed="64"/>
      </left>
      <right style="thin">
        <color indexed="30"/>
      </right>
      <top/>
      <bottom style="thin">
        <color indexed="64"/>
      </bottom>
      <diagonal/>
    </border>
    <border>
      <left style="thin">
        <color indexed="64"/>
      </left>
      <right style="thin">
        <color indexed="29"/>
      </right>
      <top/>
      <bottom/>
      <diagonal/>
    </border>
    <border>
      <left style="thin">
        <color indexed="64"/>
      </left>
      <right style="thin">
        <color indexed="29"/>
      </right>
      <top/>
      <bottom style="thin">
        <color indexed="64"/>
      </bottom>
      <diagonal/>
    </border>
    <border>
      <left style="thin">
        <color indexed="64"/>
      </left>
      <right/>
      <top style="thin">
        <color indexed="64"/>
      </top>
      <bottom/>
      <diagonal/>
    </border>
    <border>
      <left/>
      <right/>
      <top/>
      <bottom style="thin">
        <color indexed="64"/>
      </bottom>
      <diagonal/>
    </border>
    <border>
      <left style="thin">
        <color indexed="30"/>
      </left>
      <right/>
      <top style="thin">
        <color indexed="64"/>
      </top>
      <bottom/>
      <diagonal/>
    </border>
    <border>
      <left style="thin">
        <color auto="1"/>
      </left>
      <right style="thin">
        <color auto="1"/>
      </right>
      <top style="thin">
        <color indexed="64"/>
      </top>
      <bottom/>
      <diagonal/>
    </border>
    <border>
      <left style="thin">
        <color indexed="30"/>
      </left>
      <right/>
      <top/>
      <bottom/>
      <diagonal/>
    </border>
    <border>
      <left style="thin">
        <color indexed="30"/>
      </left>
      <right style="thin">
        <color indexed="30"/>
      </right>
      <top/>
      <bottom/>
      <diagonal/>
    </border>
    <border>
      <left style="thin">
        <color indexed="64"/>
      </left>
      <right style="thin">
        <color indexed="30"/>
      </right>
      <top/>
      <bottom/>
      <diagonal/>
    </border>
    <border>
      <left/>
      <right style="thin">
        <color indexed="64"/>
      </right>
      <top/>
      <bottom style="thin">
        <color indexed="64"/>
      </bottom>
      <diagonal/>
    </border>
    <border>
      <left style="thin">
        <color indexed="64"/>
      </left>
      <right style="thin">
        <color indexed="30"/>
      </right>
      <top style="thin">
        <color indexed="64"/>
      </top>
      <bottom style="thin">
        <color indexed="64"/>
      </bottom>
      <diagonal/>
    </border>
    <border>
      <left style="thin">
        <color indexed="64"/>
      </left>
      <right/>
      <top/>
      <bottom/>
      <diagonal/>
    </border>
    <border>
      <left style="thin">
        <color auto="1"/>
      </left>
      <right/>
      <top style="thin">
        <color indexed="64"/>
      </top>
      <bottom style="thin">
        <color indexed="64"/>
      </bottom>
      <diagonal/>
    </border>
    <border>
      <left style="thin">
        <color auto="1"/>
      </left>
      <right style="thin">
        <color auto="1"/>
      </right>
      <top style="thin">
        <color indexed="64"/>
      </top>
      <bottom style="thin">
        <color indexed="64"/>
      </bottom>
      <diagonal/>
    </border>
    <border>
      <left style="thin">
        <color indexed="64"/>
      </left>
      <right/>
      <top style="thin">
        <color indexed="64"/>
      </top>
      <bottom/>
      <diagonal/>
    </border>
    <border>
      <left style="thin">
        <color indexed="30"/>
      </left>
      <right/>
      <top style="thin">
        <color indexed="64"/>
      </top>
      <bottom/>
      <diagonal/>
    </border>
    <border>
      <left style="thin">
        <color auto="1"/>
      </left>
      <right style="thin">
        <color auto="1"/>
      </right>
      <top style="thin">
        <color indexed="64"/>
      </top>
      <bottom/>
      <diagonal/>
    </border>
    <border>
      <left style="thin">
        <color indexed="64"/>
      </left>
      <right/>
      <top style="thin">
        <color indexed="64"/>
      </top>
      <bottom/>
      <diagonal/>
    </border>
    <border>
      <left/>
      <right style="thin">
        <color indexed="30"/>
      </right>
      <top style="thin">
        <color indexed="64"/>
      </top>
      <bottom style="thin">
        <color indexed="64"/>
      </bottom>
      <diagonal/>
    </border>
    <border>
      <left style="thin">
        <color indexed="30"/>
      </left>
      <right style="thin">
        <color indexed="30"/>
      </right>
      <top style="thin">
        <color indexed="64"/>
      </top>
      <bottom style="thin">
        <color indexed="64"/>
      </bottom>
      <diagonal/>
    </border>
    <border>
      <left style="thin">
        <color indexed="64"/>
      </left>
      <right style="thin">
        <color indexed="64"/>
      </right>
      <top/>
      <bottom style="thin">
        <color auto="1"/>
      </bottom>
      <diagonal/>
    </border>
    <border>
      <left style="thin">
        <color indexed="64"/>
      </left>
      <right/>
      <top/>
      <bottom style="thin">
        <color indexed="64"/>
      </bottom>
      <diagonal/>
    </border>
    <border>
      <left/>
      <right style="thin">
        <color indexed="64"/>
      </right>
      <top/>
      <bottom style="thin">
        <color indexed="30"/>
      </bottom>
      <diagonal/>
    </border>
    <border>
      <left/>
      <right style="thin">
        <color indexed="64"/>
      </right>
      <top style="thin">
        <color auto="1"/>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30"/>
      </right>
      <top/>
      <bottom style="thin">
        <color indexed="64"/>
      </bottom>
      <diagonal/>
    </border>
    <border>
      <left style="thin">
        <color indexed="30"/>
      </left>
      <right/>
      <top/>
      <bottom style="thin">
        <color indexed="64"/>
      </bottom>
      <diagonal/>
    </border>
    <border>
      <left style="thin">
        <color auto="1"/>
      </left>
      <right style="thin">
        <color auto="1"/>
      </right>
      <top/>
      <bottom style="thin">
        <color indexed="64"/>
      </bottom>
      <diagonal/>
    </border>
    <border>
      <left style="thin">
        <color indexed="64"/>
      </left>
      <right style="thin">
        <color indexed="30"/>
      </right>
      <top style="thin">
        <color indexed="64"/>
      </top>
      <bottom/>
      <diagonal/>
    </border>
    <border>
      <left style="thin">
        <color indexed="30"/>
      </left>
      <right/>
      <top style="thin">
        <color indexed="64"/>
      </top>
      <bottom/>
      <diagonal/>
    </border>
    <border>
      <left style="thin">
        <color theme="0" tint="-0.499984740745262"/>
      </left>
      <right/>
      <top style="thin">
        <color indexed="64"/>
      </top>
      <bottom/>
      <diagonal/>
    </border>
    <border>
      <left style="thin">
        <color indexed="30"/>
      </left>
      <right style="thin">
        <color indexed="30"/>
      </right>
      <top style="thin">
        <color indexed="64"/>
      </top>
      <bottom/>
      <diagonal/>
    </border>
    <border>
      <left style="thin">
        <color auto="1"/>
      </left>
      <right style="thin">
        <color auto="1"/>
      </right>
      <top style="thin">
        <color indexed="64"/>
      </top>
      <bottom/>
      <diagonal/>
    </border>
    <border>
      <left/>
      <right style="thin">
        <color indexed="30"/>
      </right>
      <top style="thin">
        <color indexed="64"/>
      </top>
      <bottom/>
      <diagonal/>
    </border>
    <border>
      <left style="thin">
        <color indexed="30"/>
      </left>
      <right style="thin">
        <color indexed="30"/>
      </right>
      <top/>
      <bottom style="thin">
        <color indexed="64"/>
      </bottom>
      <diagonal/>
    </border>
    <border>
      <left/>
      <right style="thin">
        <color indexed="30"/>
      </right>
      <top/>
      <bottom style="thin">
        <color indexed="64"/>
      </bottom>
      <diagonal/>
    </border>
    <border>
      <left style="thin">
        <color auto="1"/>
      </left>
      <right style="thin">
        <color auto="1"/>
      </right>
      <top/>
      <bottom/>
      <diagonal/>
    </border>
    <border>
      <left/>
      <right style="thin">
        <color auto="1"/>
      </right>
      <top style="thin">
        <color indexed="64"/>
      </top>
      <bottom/>
      <diagonal/>
    </border>
    <border>
      <left style="thin">
        <color indexed="64"/>
      </left>
      <right/>
      <top/>
      <bottom style="thin">
        <color indexed="64"/>
      </bottom>
      <diagonal/>
    </border>
    <border>
      <left style="thin">
        <color indexed="30"/>
      </left>
      <right style="thin">
        <color indexed="30"/>
      </right>
      <top/>
      <bottom/>
      <diagonal/>
    </border>
    <border>
      <left style="thin">
        <color indexed="30"/>
      </left>
      <right/>
      <top/>
      <bottom/>
      <diagonal/>
    </border>
    <border>
      <left style="thin">
        <color auto="1"/>
      </left>
      <right style="thin">
        <color auto="1"/>
      </right>
      <top/>
      <bottom style="thin">
        <color indexed="64"/>
      </bottom>
      <diagonal/>
    </border>
    <border>
      <left style="thin">
        <color indexed="64"/>
      </left>
      <right/>
      <top style="thin">
        <color auto="1"/>
      </top>
      <bottom/>
      <diagonal/>
    </border>
    <border>
      <left/>
      <right/>
      <top/>
      <bottom style="thin">
        <color indexed="64"/>
      </bottom>
      <diagonal/>
    </border>
    <border>
      <left style="thin">
        <color indexed="30"/>
      </left>
      <right style="thin">
        <color indexed="30"/>
      </right>
      <top style="thin">
        <color indexed="64"/>
      </top>
      <bottom/>
      <diagonal/>
    </border>
    <border>
      <left style="thin">
        <color indexed="64"/>
      </left>
      <right/>
      <top/>
      <bottom style="thin">
        <color auto="1"/>
      </bottom>
      <diagonal/>
    </border>
    <border>
      <left/>
      <right style="thin">
        <color indexed="30"/>
      </right>
      <top/>
      <bottom style="thin">
        <color indexed="64"/>
      </bottom>
      <diagonal/>
    </border>
    <border>
      <left style="thin">
        <color indexed="30"/>
      </left>
      <right style="thin">
        <color indexed="30"/>
      </right>
      <top/>
      <bottom style="thin">
        <color indexed="64"/>
      </bottom>
      <diagonal/>
    </border>
    <border>
      <left style="thin">
        <color indexed="30"/>
      </left>
      <right/>
      <top/>
      <bottom style="thin">
        <color indexed="64"/>
      </bottom>
      <diagonal/>
    </border>
    <border>
      <left/>
      <right/>
      <top/>
      <bottom style="thin">
        <color indexed="64"/>
      </bottom>
      <diagonal/>
    </border>
    <border>
      <left style="thin">
        <color indexed="30"/>
      </left>
      <right style="thin">
        <color indexed="30"/>
      </right>
      <top/>
      <bottom style="thin">
        <color indexed="64"/>
      </bottom>
      <diagonal/>
    </border>
    <border>
      <left style="thin">
        <color indexed="30"/>
      </left>
      <right/>
      <top/>
      <bottom style="thin">
        <color indexed="64"/>
      </bottom>
      <diagonal/>
    </border>
    <border>
      <left style="thin">
        <color indexed="64"/>
      </left>
      <right/>
      <top/>
      <bottom style="thin">
        <color indexed="64"/>
      </bottom>
      <diagonal/>
    </border>
    <border>
      <left style="thin">
        <color indexed="30"/>
      </left>
      <right/>
      <top style="thin">
        <color indexed="64"/>
      </top>
      <bottom/>
      <diagonal/>
    </border>
    <border>
      <left style="thin">
        <color auto="1"/>
      </left>
      <right/>
      <top style="thin">
        <color auto="1"/>
      </top>
      <bottom/>
      <diagonal/>
    </border>
    <border>
      <left/>
      <right style="thin">
        <color indexed="64"/>
      </right>
      <top/>
      <bottom style="thin">
        <color indexed="64"/>
      </bottom>
      <diagonal/>
    </border>
    <border>
      <left style="thin">
        <color auto="1"/>
      </left>
      <right/>
      <top/>
      <bottom style="thin">
        <color indexed="64"/>
      </bottom>
      <diagonal/>
    </border>
    <border>
      <left style="thin">
        <color indexed="64"/>
      </left>
      <right style="thin">
        <color indexed="30"/>
      </right>
      <top/>
      <bottom style="thin">
        <color indexed="64"/>
      </bottom>
      <diagonal/>
    </border>
    <border>
      <left style="thin">
        <color indexed="30"/>
      </left>
      <right/>
      <top/>
      <bottom style="thin">
        <color indexed="64"/>
      </bottom>
      <diagonal/>
    </border>
    <border>
      <left style="thin">
        <color indexed="64"/>
      </left>
      <right/>
      <top/>
      <bottom/>
      <diagonal/>
    </border>
    <border>
      <left style="thin">
        <color indexed="64"/>
      </left>
      <right style="thin">
        <color indexed="64"/>
      </right>
      <top/>
      <bottom style="thin">
        <color auto="1"/>
      </bottom>
      <diagonal/>
    </border>
    <border>
      <left style="thin">
        <color auto="1"/>
      </left>
      <right style="thin">
        <color auto="1"/>
      </right>
      <top style="thin">
        <color indexed="64"/>
      </top>
      <bottom/>
      <diagonal/>
    </border>
    <border>
      <left style="thin">
        <color indexed="30"/>
      </left>
      <right style="thin">
        <color indexed="30"/>
      </right>
      <top/>
      <bottom style="thin">
        <color indexed="64"/>
      </bottom>
      <diagonal/>
    </border>
    <border>
      <left style="thin">
        <color indexed="64"/>
      </left>
      <right style="thin">
        <color auto="1"/>
      </right>
      <top/>
      <bottom/>
      <diagonal/>
    </border>
    <border>
      <left style="medium">
        <color indexed="64"/>
      </left>
      <right/>
      <top style="medium">
        <color indexed="64"/>
      </top>
      <bottom/>
      <diagonal/>
    </border>
    <border>
      <left/>
      <right style="medium">
        <color indexed="64"/>
      </right>
      <top/>
      <bottom style="medium">
        <color indexed="64"/>
      </bottom>
      <diagonal/>
    </border>
    <border>
      <left style="thin">
        <color indexed="30"/>
      </left>
      <right/>
      <top/>
      <bottom style="thin">
        <color indexed="64"/>
      </bottom>
      <diagonal/>
    </border>
    <border>
      <left style="thin">
        <color auto="1"/>
      </left>
      <right style="thin">
        <color auto="1"/>
      </right>
      <top/>
      <bottom style="thin">
        <color indexed="64"/>
      </bottom>
      <diagonal/>
    </border>
    <border>
      <left style="thin">
        <color indexed="30"/>
      </left>
      <right style="thin">
        <color indexed="30"/>
      </right>
      <top/>
      <bottom style="thin">
        <color indexed="64"/>
      </bottom>
      <diagonal/>
    </border>
    <border>
      <left style="thin">
        <color indexed="64"/>
      </left>
      <right style="thin">
        <color indexed="30"/>
      </right>
      <top/>
      <bottom style="thin">
        <color indexed="64"/>
      </bottom>
      <diagonal/>
    </border>
    <border>
      <left style="thin">
        <color indexed="64"/>
      </left>
      <right/>
      <top/>
      <bottom style="thin">
        <color indexed="64"/>
      </bottom>
      <diagonal/>
    </border>
    <border>
      <left style="thin">
        <color indexed="64"/>
      </left>
      <right style="thin">
        <color auto="1"/>
      </right>
      <top/>
      <bottom style="thin">
        <color indexed="64"/>
      </bottom>
      <diagonal/>
    </border>
    <border>
      <left/>
      <right/>
      <top/>
      <bottom style="thin">
        <color indexed="45"/>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9"/>
      </left>
      <right/>
      <top style="thin">
        <color indexed="9"/>
      </top>
      <bottom style="thin">
        <color indexed="23"/>
      </bottom>
      <diagonal/>
    </border>
    <border>
      <left/>
      <right/>
      <top style="thin">
        <color indexed="54"/>
      </top>
      <bottom style="double">
        <color indexed="54"/>
      </bottom>
      <diagonal/>
    </border>
    <border>
      <left/>
      <right/>
      <top/>
      <bottom style="thin">
        <color indexed="22"/>
      </bottom>
      <diagonal/>
    </border>
    <border>
      <left/>
      <right/>
      <top style="thin">
        <color auto="1"/>
      </top>
      <bottom/>
      <diagonal/>
    </border>
    <border>
      <left/>
      <right/>
      <top/>
      <bottom style="thin">
        <color indexed="64"/>
      </bottom>
      <diagonal/>
    </border>
    <border>
      <left style="thin">
        <color indexed="64"/>
      </left>
      <right/>
      <top/>
      <bottom/>
      <diagonal/>
    </border>
    <border>
      <left/>
      <right/>
      <top/>
      <bottom style="thin">
        <color indexed="45"/>
      </bottom>
      <diagonal/>
    </border>
    <border>
      <left/>
      <right/>
      <top/>
      <bottom style="thin">
        <color indexed="22"/>
      </bottom>
      <diagonal/>
    </border>
    <border>
      <left/>
      <right/>
      <top/>
      <bottom style="thin">
        <color indexed="64"/>
      </bottom>
      <diagonal/>
    </border>
    <border>
      <left/>
      <right/>
      <top style="thin">
        <color indexed="64"/>
      </top>
      <bottom style="thin">
        <color indexed="64"/>
      </bottom>
      <diagonal/>
    </border>
    <border>
      <left style="thin">
        <color indexed="64"/>
      </left>
      <right/>
      <top/>
      <bottom/>
      <diagonal/>
    </border>
    <border>
      <left/>
      <right/>
      <top/>
      <bottom style="thin">
        <color indexed="45"/>
      </bottom>
      <diagonal/>
    </border>
    <border>
      <left style="thin">
        <color indexed="64"/>
      </left>
      <right/>
      <top/>
      <bottom/>
      <diagonal/>
    </border>
    <border>
      <left style="thin">
        <color indexed="64"/>
      </left>
      <right style="thin">
        <color indexed="64"/>
      </right>
      <top/>
      <bottom/>
      <diagonal/>
    </border>
    <border>
      <left/>
      <right/>
      <top/>
      <bottom style="thin">
        <color indexed="64"/>
      </bottom>
      <diagonal/>
    </border>
    <border>
      <left style="thin">
        <color auto="1"/>
      </left>
      <right/>
      <top/>
      <bottom style="thin">
        <color indexed="64"/>
      </bottom>
      <diagonal/>
    </border>
    <border>
      <left/>
      <right/>
      <top/>
      <bottom style="thin">
        <color indexed="45"/>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9"/>
      </left>
      <right/>
      <top style="thin">
        <color indexed="9"/>
      </top>
      <bottom style="thin">
        <color indexed="23"/>
      </bottom>
      <diagonal/>
    </border>
    <border>
      <left/>
      <right/>
      <top style="thin">
        <color indexed="54"/>
      </top>
      <bottom style="double">
        <color indexed="54"/>
      </bottom>
      <diagonal/>
    </border>
    <border>
      <left/>
      <right/>
      <top/>
      <bottom style="thin">
        <color indexed="22"/>
      </bottom>
      <diagonal/>
    </border>
    <border>
      <left style="thin">
        <color indexed="64"/>
      </left>
      <right/>
      <top/>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9"/>
      </left>
      <right/>
      <top style="thin">
        <color indexed="9"/>
      </top>
      <bottom style="thin">
        <color indexed="23"/>
      </bottom>
      <diagonal/>
    </border>
    <border>
      <left/>
      <right/>
      <top style="thin">
        <color indexed="54"/>
      </top>
      <bottom style="double">
        <color indexed="54"/>
      </bottom>
      <diagonal/>
    </border>
    <border>
      <left/>
      <right/>
      <top style="thin">
        <color indexed="64"/>
      </top>
      <bottom/>
      <diagonal/>
    </border>
    <border>
      <left/>
      <right/>
      <top style="thin">
        <color indexed="64"/>
      </top>
      <bottom/>
      <diagonal/>
    </border>
    <border>
      <left style="thin">
        <color indexed="30"/>
      </left>
      <right style="thin">
        <color indexed="30"/>
      </right>
      <top/>
      <bottom/>
      <diagonal/>
    </border>
    <border>
      <left style="thin">
        <color indexed="30"/>
      </left>
      <right/>
      <top/>
      <bottom/>
      <diagonal/>
    </border>
    <border>
      <left style="thin">
        <color indexed="64"/>
      </left>
      <right/>
      <top/>
      <bottom/>
      <diagonal/>
    </border>
    <border>
      <left style="thin">
        <color indexed="64"/>
      </left>
      <right style="thin">
        <color auto="1"/>
      </right>
      <top/>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9"/>
      </left>
      <right/>
      <top style="thin">
        <color indexed="9"/>
      </top>
      <bottom style="thin">
        <color indexed="23"/>
      </bottom>
      <diagonal/>
    </border>
    <border>
      <left/>
      <right/>
      <top/>
      <bottom style="thin">
        <color indexed="22"/>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9"/>
      </left>
      <right/>
      <top style="thin">
        <color indexed="9"/>
      </top>
      <bottom style="thin">
        <color indexed="23"/>
      </bottom>
      <diagonal/>
    </border>
    <border>
      <left/>
      <right/>
      <top style="thin">
        <color indexed="54"/>
      </top>
      <bottom style="double">
        <color indexed="54"/>
      </bottom>
      <diagonal/>
    </border>
    <border>
      <left/>
      <right/>
      <top style="thin">
        <color indexed="64"/>
      </top>
      <bottom/>
      <diagonal/>
    </border>
    <border>
      <left style="thin">
        <color indexed="30"/>
      </left>
      <right/>
      <top style="thin">
        <color indexed="64"/>
      </top>
      <bottom/>
      <diagonal/>
    </border>
    <border>
      <left style="thin">
        <color indexed="30"/>
      </left>
      <right style="thin">
        <color indexed="30"/>
      </right>
      <top style="thin">
        <color indexed="64"/>
      </top>
      <bottom/>
      <diagonal/>
    </border>
    <border>
      <left style="thin">
        <color auto="1"/>
      </left>
      <right style="thin">
        <color auto="1"/>
      </right>
      <top style="thin">
        <color indexed="64"/>
      </top>
      <bottom/>
      <diagonal/>
    </border>
    <border>
      <left style="thin">
        <color auto="1"/>
      </left>
      <right/>
      <top style="thin">
        <color indexed="64"/>
      </top>
      <bottom/>
      <diagonal/>
    </border>
    <border>
      <left/>
      <right style="thin">
        <color auto="1"/>
      </right>
      <top style="thin">
        <color indexed="64"/>
      </top>
      <bottom/>
      <diagonal/>
    </border>
    <border>
      <left style="thin">
        <color indexed="64"/>
      </left>
      <right/>
      <top/>
      <bottom style="thin">
        <color indexed="64"/>
      </bottom>
      <diagonal/>
    </border>
    <border>
      <left/>
      <right/>
      <top/>
      <bottom style="thin">
        <color indexed="45"/>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9"/>
      </left>
      <right/>
      <top style="thin">
        <color indexed="9"/>
      </top>
      <bottom style="thin">
        <color indexed="23"/>
      </bottom>
      <diagonal/>
    </border>
    <border>
      <left/>
      <right/>
      <top style="thin">
        <color indexed="54"/>
      </top>
      <bottom style="double">
        <color indexed="54"/>
      </bottom>
      <diagonal/>
    </border>
    <border>
      <left/>
      <right/>
      <top style="thin">
        <color auto="1"/>
      </top>
      <bottom/>
      <diagonal/>
    </border>
    <border>
      <left/>
      <right/>
      <top/>
      <bottom style="thin">
        <color indexed="30"/>
      </bottom>
      <diagonal/>
    </border>
    <border>
      <left style="thin">
        <color auto="1"/>
      </left>
      <right/>
      <top/>
      <bottom style="thin">
        <color indexed="64"/>
      </bottom>
      <diagonal/>
    </border>
    <border>
      <left/>
      <right/>
      <top/>
      <bottom style="thin">
        <color auto="1"/>
      </bottom>
      <diagonal/>
    </border>
    <border>
      <left/>
      <right/>
      <top/>
      <bottom style="thin">
        <color indexed="64"/>
      </bottom>
      <diagonal/>
    </border>
    <border>
      <left style="thin">
        <color auto="1"/>
      </left>
      <right/>
      <top/>
      <bottom style="thin">
        <color indexed="64"/>
      </bottom>
      <diagonal/>
    </border>
    <border>
      <left style="thin">
        <color indexed="64"/>
      </left>
      <right/>
      <top/>
      <bottom style="thin">
        <color indexed="64"/>
      </bottom>
      <diagonal/>
    </border>
    <border>
      <left/>
      <right/>
      <top/>
      <bottom style="thin">
        <color indexed="64"/>
      </bottom>
      <diagonal/>
    </border>
    <border>
      <left/>
      <right/>
      <top/>
      <bottom style="thin">
        <color indexed="45"/>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9"/>
      </left>
      <right/>
      <top style="thin">
        <color indexed="9"/>
      </top>
      <bottom style="thin">
        <color indexed="23"/>
      </bottom>
      <diagonal/>
    </border>
    <border>
      <left/>
      <right/>
      <top style="thin">
        <color indexed="54"/>
      </top>
      <bottom style="double">
        <color indexed="54"/>
      </bottom>
      <diagonal/>
    </border>
    <border>
      <left/>
      <right/>
      <top/>
      <bottom style="thin">
        <color indexed="22"/>
      </bottom>
      <diagonal/>
    </border>
    <border>
      <left/>
      <right/>
      <top style="thin">
        <color indexed="64"/>
      </top>
      <bottom/>
      <diagonal/>
    </border>
    <border>
      <left style="thin">
        <color auto="1"/>
      </left>
      <right/>
      <top/>
      <bottom style="thin">
        <color indexed="64"/>
      </bottom>
      <diagonal/>
    </border>
    <border>
      <left/>
      <right style="thin">
        <color indexed="30"/>
      </right>
      <top style="thin">
        <color indexed="64"/>
      </top>
      <bottom/>
      <diagonal/>
    </border>
    <border>
      <left/>
      <right style="thin">
        <color indexed="64"/>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right style="thin">
        <color theme="0" tint="-0.499984740745262"/>
      </right>
      <top style="thin">
        <color indexed="64"/>
      </top>
      <bottom/>
      <diagonal/>
    </border>
    <border>
      <left style="thin">
        <color indexed="64"/>
      </left>
      <right style="thin">
        <color indexed="29"/>
      </right>
      <top style="thin">
        <color indexed="64"/>
      </top>
      <bottom style="thin">
        <color indexed="64"/>
      </bottom>
      <diagonal/>
    </border>
    <border>
      <left style="thin">
        <color theme="0" tint="-0.499984740745262"/>
      </left>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style="thin">
        <color auto="1"/>
      </right>
      <top style="thin">
        <color indexed="64"/>
      </top>
      <bottom/>
      <diagonal/>
    </border>
    <border>
      <left style="thin">
        <color indexed="64"/>
      </left>
      <right style="thin">
        <color auto="1"/>
      </right>
      <top style="thin">
        <color indexed="64"/>
      </top>
      <bottom style="thin">
        <color indexed="64"/>
      </bottom>
      <diagonal/>
    </border>
    <border>
      <left/>
      <right/>
      <top/>
      <bottom style="thin">
        <color auto="1"/>
      </bottom>
      <diagonal/>
    </border>
    <border>
      <left style="thin">
        <color indexed="64"/>
      </left>
      <right style="thin">
        <color auto="1"/>
      </right>
      <top/>
      <bottom style="thin">
        <color auto="1"/>
      </bottom>
      <diagonal/>
    </border>
    <border>
      <left/>
      <right style="thin">
        <color indexed="64"/>
      </right>
      <top/>
      <bottom style="thin">
        <color indexed="64"/>
      </bottom>
      <diagonal/>
    </border>
    <border>
      <left style="thin">
        <color indexed="30"/>
      </left>
      <right/>
      <top/>
      <bottom style="thin">
        <color indexed="64"/>
      </bottom>
      <diagonal/>
    </border>
    <border>
      <left style="thin">
        <color indexed="64"/>
      </left>
      <right/>
      <top/>
      <bottom style="thin">
        <color indexed="64"/>
      </bottom>
      <diagonal/>
    </border>
    <border>
      <left style="thin">
        <color auto="1"/>
      </left>
      <right style="thin">
        <color auto="1"/>
      </right>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auto="1"/>
      </bottom>
      <diagonal/>
    </border>
    <border>
      <left style="thin">
        <color indexed="64"/>
      </left>
      <right style="thin">
        <color indexed="64"/>
      </right>
      <top/>
      <bottom style="thin">
        <color indexed="30"/>
      </bottom>
      <diagonal/>
    </border>
    <border>
      <left style="thin">
        <color indexed="64"/>
      </left>
      <right style="thin">
        <color indexed="64"/>
      </right>
      <top style="thin">
        <color indexed="30"/>
      </top>
      <bottom style="thin">
        <color indexed="30"/>
      </bottom>
      <diagonal/>
    </border>
    <border>
      <left/>
      <right/>
      <top/>
      <bottom style="thin">
        <color indexed="64"/>
      </bottom>
      <diagonal/>
    </border>
    <border>
      <left style="thin">
        <color indexed="64"/>
      </left>
      <right style="thin">
        <color auto="1"/>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auto="1"/>
      </right>
      <top/>
      <bottom style="thin">
        <color auto="1"/>
      </bottom>
      <diagonal/>
    </border>
    <border>
      <left/>
      <right/>
      <top style="medium">
        <color indexed="9"/>
      </top>
      <bottom style="medium">
        <color indexed="9"/>
      </bottom>
      <diagonal/>
    </border>
    <border>
      <left style="thin">
        <color indexed="64"/>
      </left>
      <right style="thin">
        <color indexed="64"/>
      </right>
      <top/>
      <bottom style="thin">
        <color indexed="30"/>
      </bottom>
      <diagonal/>
    </border>
    <border>
      <left/>
      <right/>
      <top/>
      <bottom style="thin">
        <color indexed="64"/>
      </bottom>
      <diagonal/>
    </border>
    <border>
      <left style="thin">
        <color indexed="30"/>
      </left>
      <right/>
      <top/>
      <bottom style="thin">
        <color indexed="64"/>
      </bottom>
      <diagonal/>
    </border>
    <border>
      <left style="thin">
        <color auto="1"/>
      </left>
      <right style="thin">
        <color auto="1"/>
      </right>
      <top/>
      <bottom style="thin">
        <color indexed="64"/>
      </bottom>
      <diagonal/>
    </border>
    <border>
      <left style="thin">
        <color auto="1"/>
      </left>
      <right style="thin">
        <color auto="1"/>
      </right>
      <top style="thin">
        <color indexed="64"/>
      </top>
      <bottom/>
      <diagonal/>
    </border>
    <border>
      <left style="thin">
        <color indexed="30"/>
      </left>
      <right/>
      <top style="thin">
        <color indexed="64"/>
      </top>
      <bottom/>
      <diagonal/>
    </border>
    <border>
      <left style="thin">
        <color indexed="64"/>
      </left>
      <right style="thin">
        <color auto="1"/>
      </right>
      <top style="thin">
        <color indexed="64"/>
      </top>
      <bottom/>
      <diagonal/>
    </border>
    <border>
      <left style="thin">
        <color indexed="30"/>
      </left>
      <right style="thin">
        <color indexed="30"/>
      </right>
      <top/>
      <bottom style="thin">
        <color indexed="64"/>
      </bottom>
      <diagonal/>
    </border>
    <border>
      <left style="thin">
        <color indexed="64"/>
      </left>
      <right style="thin">
        <color indexed="64"/>
      </right>
      <top/>
      <bottom style="thin">
        <color auto="1"/>
      </bottom>
      <diagonal/>
    </border>
    <border>
      <left/>
      <right style="thin">
        <color indexed="30"/>
      </right>
      <top/>
      <bottom style="thin">
        <color indexed="64"/>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indexed="64"/>
      </left>
      <right/>
      <top style="thin">
        <color indexed="64"/>
      </top>
      <bottom/>
      <diagonal/>
    </border>
    <border>
      <left style="thin">
        <color indexed="64"/>
      </left>
      <right/>
      <top/>
      <bottom style="thin">
        <color indexed="64"/>
      </bottom>
      <diagonal/>
    </border>
    <border>
      <left style="thin">
        <color indexed="30"/>
      </left>
      <right style="thin">
        <color indexed="30"/>
      </right>
      <top/>
      <bottom style="thin">
        <color indexed="64"/>
      </bottom>
      <diagonal/>
    </border>
    <border>
      <left style="thin">
        <color indexed="64"/>
      </left>
      <right style="thin">
        <color indexed="64"/>
      </right>
      <top style="thin">
        <color indexed="64"/>
      </top>
      <bottom/>
      <diagonal/>
    </border>
    <border>
      <left style="thin">
        <color auto="1"/>
      </left>
      <right style="thin">
        <color auto="1"/>
      </right>
      <top/>
      <bottom style="thin">
        <color indexed="64"/>
      </bottom>
      <diagonal/>
    </border>
    <border>
      <left style="thin">
        <color indexed="30"/>
      </left>
      <right style="thin">
        <color indexed="30"/>
      </right>
      <top style="thin">
        <color indexed="64"/>
      </top>
      <bottom/>
      <diagonal/>
    </border>
    <border>
      <left/>
      <right style="thin">
        <color indexed="30"/>
      </right>
      <top/>
      <bottom style="thin">
        <color indexed="64"/>
      </bottom>
      <diagonal/>
    </border>
    <border>
      <left style="thin">
        <color indexed="30"/>
      </left>
      <right/>
      <top/>
      <bottom style="thin">
        <color indexed="64"/>
      </bottom>
      <diagonal/>
    </border>
    <border>
      <left style="thin">
        <color indexed="30"/>
      </left>
      <right style="thin">
        <color indexed="30"/>
      </right>
      <top/>
      <bottom style="thin">
        <color indexed="64"/>
      </bottom>
      <diagonal/>
    </border>
    <border>
      <left style="thin">
        <color indexed="30"/>
      </left>
      <right style="thin">
        <color indexed="30"/>
      </right>
      <top/>
      <bottom style="thin">
        <color indexed="64"/>
      </bottom>
      <diagonal/>
    </border>
    <border>
      <left style="thin">
        <color indexed="30"/>
      </left>
      <right style="thin">
        <color indexed="30"/>
      </right>
      <top/>
      <bottom style="thin">
        <color indexed="64"/>
      </bottom>
      <diagonal/>
    </border>
    <border>
      <left style="thin">
        <color indexed="30"/>
      </left>
      <right style="thin">
        <color indexed="30"/>
      </right>
      <top/>
      <bottom style="thin">
        <color indexed="64"/>
      </bottom>
      <diagonal/>
    </border>
    <border>
      <left style="thin">
        <color indexed="64"/>
      </left>
      <right style="thin">
        <color auto="1"/>
      </right>
      <top/>
      <bottom style="thin">
        <color indexed="64"/>
      </bottom>
      <diagonal/>
    </border>
    <border>
      <left/>
      <right style="thin">
        <color indexed="64"/>
      </right>
      <top/>
      <bottom style="thin">
        <color indexed="64"/>
      </bottom>
      <diagonal/>
    </border>
    <border>
      <left style="thin">
        <color indexed="64"/>
      </left>
      <right/>
      <top/>
      <bottom/>
      <diagonal/>
    </border>
    <border>
      <left/>
      <right style="medium">
        <color indexed="64"/>
      </right>
      <top style="thin">
        <color indexed="64"/>
      </top>
      <bottom/>
      <diagonal/>
    </border>
    <border>
      <left style="thin">
        <color indexed="64"/>
      </left>
      <right/>
      <top/>
      <bottom style="medium">
        <color indexed="64"/>
      </bottom>
      <diagonal/>
    </border>
  </borders>
  <cellStyleXfs count="1406">
    <xf numFmtId="0" fontId="0" fillId="0" borderId="0"/>
    <xf numFmtId="0" fontId="43" fillId="0" borderId="0" applyNumberFormat="0" applyAlignment="0"/>
    <xf numFmtId="0" fontId="36" fillId="0" borderId="0"/>
    <xf numFmtId="0" fontId="20" fillId="0" borderId="0" applyNumberFormat="0" applyFill="0" applyBorder="0" applyAlignment="0" applyProtection="0"/>
    <xf numFmtId="0" fontId="44" fillId="0" borderId="0" applyNumberFormat="0" applyFill="0" applyBorder="0" applyAlignment="0" applyProtection="0"/>
    <xf numFmtId="0" fontId="45" fillId="0" borderId="1">
      <alignment horizontal="left"/>
    </xf>
    <xf numFmtId="0" fontId="46" fillId="0" borderId="1">
      <alignment horizontal="left" wrapText="1"/>
    </xf>
    <xf numFmtId="198" fontId="17" fillId="0" borderId="0" applyFont="0" applyFill="0" applyBorder="0" applyAlignment="0" applyProtection="0"/>
    <xf numFmtId="0" fontId="46" fillId="0" borderId="0">
      <alignment horizontal="right" vertical="center"/>
    </xf>
    <xf numFmtId="0" fontId="45" fillId="0" borderId="0">
      <alignment horizontal="center" vertical="center" wrapText="1"/>
    </xf>
    <xf numFmtId="43" fontId="17" fillId="0" borderId="0" applyFont="0" applyFill="0" applyBorder="0" applyAlignment="0" applyProtection="0"/>
    <xf numFmtId="165" fontId="37" fillId="0" borderId="0" applyFont="0" applyFill="0" applyBorder="0" applyAlignment="0" applyProtection="0"/>
    <xf numFmtId="164" fontId="37" fillId="0" borderId="0" applyFont="0" applyFill="0" applyBorder="0" applyAlignment="0" applyProtection="0"/>
    <xf numFmtId="184" fontId="17" fillId="0" borderId="0">
      <protection locked="0"/>
    </xf>
    <xf numFmtId="44" fontId="17" fillId="0" borderId="0" applyFont="0" applyFill="0" applyBorder="0" applyAlignment="0" applyProtection="0"/>
    <xf numFmtId="8" fontId="27" fillId="0" borderId="0" applyFont="0" applyFill="0" applyBorder="0" applyAlignment="0" applyProtection="0"/>
    <xf numFmtId="6" fontId="37" fillId="0" borderId="0"/>
    <xf numFmtId="170" fontId="38" fillId="0" borderId="0"/>
    <xf numFmtId="8" fontId="37" fillId="0" borderId="0" applyFont="0" applyFill="0" applyBorder="0" applyAlignment="0" applyProtection="0"/>
    <xf numFmtId="8" fontId="24" fillId="0" borderId="0" applyFont="0" applyFill="0" applyBorder="0" applyAlignment="0" applyProtection="0"/>
    <xf numFmtId="8" fontId="24" fillId="0" borderId="0" applyFont="0" applyFill="0" applyBorder="0" applyAlignment="0" applyProtection="0"/>
    <xf numFmtId="185" fontId="17" fillId="0" borderId="0">
      <protection locked="0"/>
    </xf>
    <xf numFmtId="0" fontId="28" fillId="0" borderId="0">
      <protection locked="0"/>
    </xf>
    <xf numFmtId="17" fontId="29" fillId="0" borderId="0" applyFill="0" applyBorder="0">
      <alignment horizontal="right"/>
    </xf>
    <xf numFmtId="42" fontId="48" fillId="0" borderId="0" applyFill="0" applyBorder="0" applyAlignment="0" applyProtection="0"/>
    <xf numFmtId="183" fontId="17" fillId="0" borderId="0">
      <protection locked="0"/>
    </xf>
    <xf numFmtId="0" fontId="39" fillId="0" borderId="2" applyFont="0" applyBorder="0" applyAlignment="0"/>
    <xf numFmtId="38" fontId="43" fillId="2" borderId="0" applyNumberFormat="0" applyBorder="0" applyAlignment="0" applyProtection="0"/>
    <xf numFmtId="0" fontId="49" fillId="0" borderId="3" applyNumberFormat="0" applyAlignment="0" applyProtection="0">
      <alignment horizontal="left" vertical="center"/>
    </xf>
    <xf numFmtId="0" fontId="49" fillId="0" borderId="4">
      <alignment horizontal="left" vertical="center"/>
    </xf>
    <xf numFmtId="0" fontId="30" fillId="0" borderId="0">
      <protection locked="0"/>
    </xf>
    <xf numFmtId="0" fontId="30" fillId="0" borderId="0">
      <protection locked="0"/>
    </xf>
    <xf numFmtId="0" fontId="33" fillId="3" borderId="0" applyNumberFormat="0" applyFont="0" applyBorder="0" applyAlignment="0">
      <protection locked="0"/>
    </xf>
    <xf numFmtId="10" fontId="43" fillId="4" borderId="5" applyNumberFormat="0" applyBorder="0" applyAlignment="0" applyProtection="0"/>
    <xf numFmtId="164" fontId="40" fillId="0" borderId="0"/>
    <xf numFmtId="175" fontId="31" fillId="0" borderId="0"/>
    <xf numFmtId="40" fontId="32" fillId="0" borderId="0" applyFont="0" applyFill="0" applyBorder="0" applyAlignment="0"/>
    <xf numFmtId="169" fontId="32" fillId="0" borderId="0" applyFont="0" applyFill="0" applyBorder="0" applyAlignment="0"/>
    <xf numFmtId="164" fontId="29" fillId="0" borderId="0" applyNumberFormat="0" applyFill="0" applyBorder="0" applyAlignment="0" applyProtection="0"/>
    <xf numFmtId="0" fontId="24" fillId="0" borderId="0"/>
    <xf numFmtId="0" fontId="17" fillId="0" borderId="0"/>
    <xf numFmtId="174" fontId="26" fillId="0" borderId="0"/>
    <xf numFmtId="0" fontId="17" fillId="0" borderId="0"/>
    <xf numFmtId="0" fontId="17" fillId="0" borderId="0"/>
    <xf numFmtId="0" fontId="25" fillId="0" borderId="0"/>
    <xf numFmtId="0" fontId="17" fillId="0" borderId="0"/>
    <xf numFmtId="0" fontId="24" fillId="0" borderId="0" applyNumberFormat="0" applyFont="0" applyFill="0" applyBorder="0" applyAlignment="0"/>
    <xf numFmtId="0" fontId="41" fillId="0" borderId="6" applyNumberFormat="0" applyAlignment="0" applyProtection="0"/>
    <xf numFmtId="0" fontId="33" fillId="5" borderId="0" applyNumberFormat="0" applyFont="0" applyBorder="0" applyAlignment="0" applyProtection="0"/>
    <xf numFmtId="0" fontId="33" fillId="0" borderId="7" applyNumberFormat="0" applyAlignment="0" applyProtection="0"/>
    <xf numFmtId="0" fontId="33" fillId="0" borderId="8" applyNumberFormat="0" applyAlignment="0" applyProtection="0"/>
    <xf numFmtId="0" fontId="41" fillId="0" borderId="9" applyNumberFormat="0" applyAlignment="0" applyProtection="0"/>
    <xf numFmtId="9" fontId="17" fillId="0" borderId="0" applyFont="0" applyFill="0" applyBorder="0" applyAlignment="0" applyProtection="0"/>
    <xf numFmtId="10" fontId="32" fillId="0" borderId="0" applyFont="0" applyFill="0" applyBorder="0" applyAlignment="0" applyProtection="0"/>
    <xf numFmtId="191" fontId="37" fillId="0" borderId="0" applyFont="0" applyFill="0" applyBorder="0" applyAlignment="0" applyProtection="0"/>
    <xf numFmtId="190" fontId="40" fillId="0" borderId="0"/>
    <xf numFmtId="187" fontId="37" fillId="0" borderId="0" applyFont="0" applyFill="0" applyBorder="0" applyAlignment="0" applyProtection="0"/>
    <xf numFmtId="188" fontId="42" fillId="0" borderId="0">
      <alignment horizontal="centerContinuous"/>
    </xf>
    <xf numFmtId="189" fontId="38" fillId="0" borderId="0">
      <alignment horizontal="centerContinuous"/>
    </xf>
    <xf numFmtId="0" fontId="46" fillId="0" borderId="0">
      <alignment horizontal="left" vertical="center" wrapText="1"/>
    </xf>
    <xf numFmtId="42" fontId="50" fillId="0" borderId="0" applyFill="0" applyBorder="0" applyAlignment="0" applyProtection="0"/>
    <xf numFmtId="1" fontId="25" fillId="0" borderId="0" applyBorder="0">
      <alignment horizontal="left" vertical="top" wrapText="1"/>
    </xf>
    <xf numFmtId="0" fontId="45" fillId="0" borderId="0">
      <alignment horizontal="left" vertical="center" wrapText="1"/>
    </xf>
    <xf numFmtId="0" fontId="33" fillId="0" borderId="0" applyNumberFormat="0" applyFill="0" applyBorder="0" applyAlignment="0" applyProtection="0"/>
    <xf numFmtId="0" fontId="51" fillId="0" borderId="0" applyNumberFormat="0" applyFill="0" applyBorder="0" applyAlignment="0" applyProtection="0"/>
    <xf numFmtId="0" fontId="28" fillId="0" borderId="10">
      <protection locked="0"/>
    </xf>
    <xf numFmtId="199" fontId="17" fillId="0" borderId="0" applyFont="0" applyFill="0" applyBorder="0" applyAlignment="0" applyProtection="0"/>
    <xf numFmtId="0" fontId="51" fillId="0" borderId="0" applyProtection="0"/>
    <xf numFmtId="9" fontId="51" fillId="0" borderId="0" applyFont="0" applyFill="0" applyBorder="0" applyAlignment="0" applyProtection="0"/>
    <xf numFmtId="0" fontId="51" fillId="0" borderId="0"/>
    <xf numFmtId="43" fontId="51" fillId="0" borderId="0" applyFont="0" applyFill="0" applyBorder="0" applyAlignment="0" applyProtection="0"/>
    <xf numFmtId="0" fontId="25" fillId="0" borderId="0" applyFont="0" applyFill="0" applyBorder="0" applyAlignment="0"/>
    <xf numFmtId="205" fontId="25" fillId="0" borderId="0" applyFont="0" applyFill="0" applyBorder="0" applyAlignment="0" applyProtection="0"/>
    <xf numFmtId="206" fontId="25" fillId="0" borderId="0" applyFont="0" applyFill="0" applyBorder="0" applyAlignment="0" applyProtection="0"/>
    <xf numFmtId="207" fontId="25" fillId="0" borderId="0" applyFont="0" applyFill="0" applyBorder="0" applyAlignment="0" applyProtection="0"/>
    <xf numFmtId="208" fontId="25" fillId="0" borderId="0" applyFont="0" applyFill="0" applyBorder="0" applyAlignment="0" applyProtection="0"/>
    <xf numFmtId="0" fontId="61" fillId="0" borderId="0" applyNumberFormat="0" applyFill="0" applyBorder="0" applyAlignment="0" applyProtection="0"/>
    <xf numFmtId="0" fontId="17" fillId="0" borderId="0" applyNumberFormat="0" applyFill="0" applyBorder="0" applyAlignment="0" applyProtection="0"/>
    <xf numFmtId="1" fontId="62" fillId="0" borderId="0"/>
    <xf numFmtId="0" fontId="32" fillId="0" borderId="0" applyNumberFormat="0" applyFill="0" applyBorder="0" applyAlignment="0" applyProtection="0"/>
    <xf numFmtId="209" fontId="24" fillId="0" borderId="0"/>
    <xf numFmtId="0" fontId="63" fillId="0" borderId="0" applyFont="0" applyFill="0" applyBorder="0" applyAlignment="0" applyProtection="0">
      <alignment horizontal="right"/>
    </xf>
    <xf numFmtId="0" fontId="17" fillId="0" borderId="0">
      <alignment horizontal="left"/>
    </xf>
    <xf numFmtId="0" fontId="64" fillId="0" borderId="0"/>
    <xf numFmtId="0" fontId="17" fillId="0" borderId="0">
      <alignment horizontal="left"/>
    </xf>
    <xf numFmtId="210" fontId="17" fillId="0" borderId="0"/>
    <xf numFmtId="210" fontId="17" fillId="0" borderId="0"/>
    <xf numFmtId="0" fontId="63" fillId="0" borderId="0" applyFont="0" applyFill="0" applyBorder="0" applyAlignment="0" applyProtection="0">
      <alignment horizontal="right"/>
    </xf>
    <xf numFmtId="0" fontId="63" fillId="0" borderId="0" applyFont="0" applyFill="0" applyBorder="0" applyAlignment="0" applyProtection="0">
      <alignment horizontal="right"/>
    </xf>
    <xf numFmtId="211" fontId="63" fillId="0" borderId="0" applyFont="0" applyFill="0" applyBorder="0" applyAlignment="0" applyProtection="0"/>
    <xf numFmtId="212" fontId="25" fillId="0" borderId="0" applyFont="0" applyFill="0" applyBorder="0" applyAlignment="0" applyProtection="0"/>
    <xf numFmtId="0" fontId="63" fillId="0" borderId="0" applyFont="0" applyFill="0" applyBorder="0" applyAlignment="0" applyProtection="0"/>
    <xf numFmtId="171" fontId="65" fillId="0" borderId="0" applyFont="0" applyFill="0" applyBorder="0" applyAlignment="0" applyProtection="0"/>
    <xf numFmtId="0" fontId="63" fillId="0" borderId="28" applyNumberFormat="0" applyFont="0" applyFill="0" applyAlignment="0" applyProtection="0"/>
    <xf numFmtId="0" fontId="17" fillId="0" borderId="0">
      <alignment horizontal="left"/>
    </xf>
    <xf numFmtId="0" fontId="17" fillId="0" borderId="0">
      <alignment horizontal="left"/>
    </xf>
    <xf numFmtId="0" fontId="66" fillId="0" borderId="0" applyFill="0" applyBorder="0" applyProtection="0">
      <alignment horizontal="left"/>
    </xf>
    <xf numFmtId="0" fontId="66" fillId="0" borderId="0">
      <alignment horizontal="left"/>
    </xf>
    <xf numFmtId="0" fontId="17" fillId="0" borderId="0" applyNumberFormat="0" applyFill="0" applyBorder="0" applyAlignment="0" applyProtection="0"/>
    <xf numFmtId="0" fontId="63" fillId="0" borderId="0" applyFont="0" applyFill="0" applyBorder="0" applyAlignment="0" applyProtection="0">
      <alignment horizontal="right"/>
    </xf>
    <xf numFmtId="0" fontId="67" fillId="0" borderId="0" applyProtection="0">
      <alignment horizontal="right"/>
    </xf>
    <xf numFmtId="0" fontId="68" fillId="0" borderId="0">
      <alignment horizontal="left"/>
    </xf>
    <xf numFmtId="0" fontId="69" fillId="0" borderId="0">
      <alignment horizontal="center"/>
    </xf>
    <xf numFmtId="0" fontId="69" fillId="0" borderId="0">
      <alignment horizontal="center"/>
    </xf>
    <xf numFmtId="0" fontId="70" fillId="0" borderId="0">
      <alignment horizontal="left"/>
    </xf>
    <xf numFmtId="0" fontId="17" fillId="0" borderId="2">
      <alignment horizontal="left" vertical="top"/>
    </xf>
    <xf numFmtId="0" fontId="40" fillId="0" borderId="0">
      <alignment horizontal="left"/>
    </xf>
    <xf numFmtId="0" fontId="17" fillId="0" borderId="2">
      <alignment horizontal="left" vertical="top"/>
    </xf>
    <xf numFmtId="0" fontId="71" fillId="0" borderId="0">
      <alignment horizontal="left"/>
    </xf>
    <xf numFmtId="213" fontId="72" fillId="0" borderId="0" applyFill="0" applyBorder="0" applyProtection="0"/>
    <xf numFmtId="214" fontId="72" fillId="0" borderId="0" applyFill="0" applyBorder="0" applyProtection="0"/>
    <xf numFmtId="215" fontId="72" fillId="0" borderId="0" applyFill="0" applyBorder="0" applyProtection="0"/>
    <xf numFmtId="216" fontId="72" fillId="0" borderId="0" applyFill="0" applyBorder="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37" fontId="73" fillId="0" borderId="0" applyNumberFormat="0" applyFill="0" applyBorder="0" applyAlignment="0" applyProtection="0">
      <alignment horizontal="right"/>
    </xf>
    <xf numFmtId="0" fontId="63" fillId="0" borderId="0" applyFont="0" applyFill="0" applyBorder="0" applyAlignment="0" applyProtection="0">
      <alignment horizontal="right"/>
    </xf>
    <xf numFmtId="0" fontId="17" fillId="0" borderId="0" applyFont="0" applyFill="0" applyBorder="0" applyAlignment="0" applyProtection="0"/>
    <xf numFmtId="0" fontId="17" fillId="0" borderId="0"/>
    <xf numFmtId="0" fontId="40" fillId="0" borderId="0"/>
    <xf numFmtId="0" fontId="40"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43" fontId="25" fillId="0" borderId="0" applyFont="0" applyFill="0" applyBorder="0" applyAlignment="0" applyProtection="0"/>
    <xf numFmtId="41" fontId="25" fillId="0" borderId="0" applyFont="0" applyFill="0" applyBorder="0" applyAlignment="0" applyProtection="0"/>
    <xf numFmtId="1" fontId="74" fillId="0" borderId="0" applyProtection="0">
      <alignment horizontal="right" vertical="center"/>
    </xf>
    <xf numFmtId="166" fontId="24" fillId="0" borderId="0"/>
    <xf numFmtId="9" fontId="51" fillId="0" borderId="0" applyFont="0" applyFill="0" applyBorder="0" applyAlignment="0" applyProtection="0"/>
    <xf numFmtId="166" fontId="51" fillId="0" borderId="0" applyFont="0" applyFill="0" applyBorder="0" applyAlignment="0" applyProtection="0"/>
    <xf numFmtId="10" fontId="32" fillId="0" borderId="0"/>
    <xf numFmtId="0" fontId="32" fillId="0" borderId="0" applyNumberFormat="0" applyFont="0" applyFill="0" applyBorder="0" applyAlignment="0" applyProtection="0"/>
    <xf numFmtId="196" fontId="17" fillId="0" borderId="29" applyNumberFormat="0" applyFont="0" applyFill="0" applyBorder="0" applyAlignment="0" applyProtection="0">
      <alignment horizontal="left" vertical="center"/>
    </xf>
    <xf numFmtId="0" fontId="17" fillId="0" borderId="30">
      <alignment vertical="center"/>
    </xf>
    <xf numFmtId="0" fontId="75" fillId="0" borderId="0" applyBorder="0" applyProtection="0">
      <alignment vertical="center"/>
    </xf>
    <xf numFmtId="0" fontId="75" fillId="0" borderId="11" applyBorder="0" applyProtection="0">
      <alignment horizontal="right" vertical="center"/>
    </xf>
    <xf numFmtId="0" fontId="76" fillId="11" borderId="0" applyBorder="0" applyProtection="0">
      <alignment horizontal="centerContinuous" vertical="center"/>
    </xf>
    <xf numFmtId="0" fontId="76" fillId="12" borderId="11" applyBorder="0" applyProtection="0">
      <alignment horizontal="centerContinuous" vertical="center"/>
    </xf>
    <xf numFmtId="0" fontId="66" fillId="0" borderId="0">
      <alignment horizontal="left"/>
    </xf>
    <xf numFmtId="0" fontId="40" fillId="0" borderId="0"/>
    <xf numFmtId="0" fontId="77" fillId="0" borderId="0" applyFill="0" applyBorder="0" applyProtection="0">
      <alignment horizontal="left"/>
    </xf>
    <xf numFmtId="0" fontId="66" fillId="0" borderId="2" applyFill="0" applyBorder="0" applyProtection="0">
      <alignment horizontal="left" vertical="top"/>
    </xf>
    <xf numFmtId="0" fontId="17" fillId="0" borderId="0"/>
    <xf numFmtId="0" fontId="17" fillId="0" borderId="0"/>
    <xf numFmtId="0" fontId="17" fillId="0" borderId="0"/>
    <xf numFmtId="0" fontId="17" fillId="0" borderId="0"/>
    <xf numFmtId="0" fontId="17" fillId="0" borderId="0"/>
    <xf numFmtId="0" fontId="17" fillId="0" borderId="0"/>
    <xf numFmtId="217" fontId="25" fillId="0" borderId="0" applyFont="0" applyFill="0" applyBorder="0" applyAlignment="0" applyProtection="0"/>
    <xf numFmtId="218" fontId="25" fillId="0" borderId="0" applyFon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xf numFmtId="0" fontId="17" fillId="0" borderId="0"/>
    <xf numFmtId="213" fontId="72" fillId="0" borderId="0" applyFill="0" applyBorder="0" applyProtection="0"/>
    <xf numFmtId="0" fontId="72" fillId="0" borderId="0" applyFill="0" applyBorder="0" applyProtection="0"/>
    <xf numFmtId="0" fontId="17" fillId="0" borderId="0" applyFont="0" applyFill="0" applyBorder="0" applyAlignment="0" applyProtection="0"/>
    <xf numFmtId="9" fontId="27" fillId="0" borderId="0">
      <alignment horizontal="right"/>
    </xf>
    <xf numFmtId="227" fontId="51" fillId="0" borderId="0" applyFont="0" applyFill="0" applyBorder="0" applyAlignment="0" applyProtection="0"/>
    <xf numFmtId="228" fontId="51" fillId="0" borderId="0" applyFont="0" applyFill="0" applyBorder="0" applyAlignment="0" applyProtection="0"/>
    <xf numFmtId="0" fontId="25" fillId="0" borderId="0"/>
    <xf numFmtId="168" fontId="115" fillId="0" borderId="0">
      <alignment horizontal="right"/>
    </xf>
    <xf numFmtId="166" fontId="115" fillId="0" borderId="0"/>
    <xf numFmtId="165" fontId="17" fillId="0" borderId="0"/>
    <xf numFmtId="0" fontId="78" fillId="13" borderId="0" applyNumberFormat="0" applyBorder="0" applyAlignment="0" applyProtection="0"/>
    <xf numFmtId="0" fontId="78" fillId="14" borderId="0" applyNumberFormat="0" applyBorder="0" applyAlignment="0" applyProtection="0"/>
    <xf numFmtId="0" fontId="78" fillId="14" borderId="0" applyNumberFormat="0" applyBorder="0" applyAlignment="0" applyProtection="0"/>
    <xf numFmtId="0" fontId="78" fillId="15" borderId="0" applyNumberFormat="0" applyBorder="0" applyAlignment="0" applyProtection="0"/>
    <xf numFmtId="0" fontId="78" fillId="13" borderId="0" applyNumberFormat="0" applyBorder="0" applyAlignment="0" applyProtection="0"/>
    <xf numFmtId="0" fontId="78" fillId="3" borderId="0" applyNumberFormat="0" applyBorder="0" applyAlignment="0" applyProtection="0"/>
    <xf numFmtId="0" fontId="78" fillId="16" borderId="0" applyNumberFormat="0" applyBorder="0" applyAlignment="0" applyProtection="0"/>
    <xf numFmtId="0" fontId="78" fillId="14" borderId="0" applyNumberFormat="0" applyBorder="0" applyAlignment="0" applyProtection="0"/>
    <xf numFmtId="0" fontId="78" fillId="14" borderId="0" applyNumberFormat="0" applyBorder="0" applyAlignment="0" applyProtection="0"/>
    <xf numFmtId="0" fontId="78" fillId="15" borderId="0" applyNumberFormat="0" applyBorder="0" applyAlignment="0" applyProtection="0"/>
    <xf numFmtId="0" fontId="78" fillId="16" borderId="0" applyNumberFormat="0" applyBorder="0" applyAlignment="0" applyProtection="0"/>
    <xf numFmtId="0" fontId="78" fillId="3" borderId="0" applyNumberFormat="0" applyBorder="0" applyAlignment="0" applyProtection="0"/>
    <xf numFmtId="0" fontId="79" fillId="16" borderId="0" applyNumberFormat="0" applyBorder="0" applyAlignment="0" applyProtection="0"/>
    <xf numFmtId="0" fontId="79" fillId="14" borderId="0" applyNumberFormat="0" applyBorder="0" applyAlignment="0" applyProtection="0"/>
    <xf numFmtId="0" fontId="79" fillId="17" borderId="0" applyNumberFormat="0" applyBorder="0" applyAlignment="0" applyProtection="0"/>
    <xf numFmtId="0" fontId="79" fillId="18" borderId="0" applyNumberFormat="0" applyBorder="0" applyAlignment="0" applyProtection="0"/>
    <xf numFmtId="0" fontId="79" fillId="16" borderId="0" applyNumberFormat="0" applyBorder="0" applyAlignment="0" applyProtection="0"/>
    <xf numFmtId="0" fontId="79" fillId="3" borderId="0" applyNumberFormat="0" applyBorder="0" applyAlignment="0" applyProtection="0"/>
    <xf numFmtId="0" fontId="80" fillId="19" borderId="0" applyNumberFormat="0" applyBorder="0" applyAlignment="0" applyProtection="0"/>
    <xf numFmtId="0" fontId="78" fillId="20" borderId="0" applyNumberFormat="0" applyBorder="0" applyAlignment="0" applyProtection="0"/>
    <xf numFmtId="0" fontId="78" fillId="20" borderId="0" applyNumberFormat="0" applyBorder="0" applyAlignment="0" applyProtection="0"/>
    <xf numFmtId="0" fontId="80" fillId="21" borderId="0" applyNumberFormat="0" applyBorder="0" applyAlignment="0" applyProtection="0"/>
    <xf numFmtId="0" fontId="80" fillId="22" borderId="0" applyNumberFormat="0" applyBorder="0" applyAlignment="0" applyProtection="0"/>
    <xf numFmtId="0" fontId="78" fillId="23" borderId="0" applyNumberFormat="0" applyBorder="0" applyAlignment="0" applyProtection="0"/>
    <xf numFmtId="0" fontId="78" fillId="24" borderId="0" applyNumberFormat="0" applyBorder="0" applyAlignment="0" applyProtection="0"/>
    <xf numFmtId="0" fontId="80" fillId="25" borderId="0" applyNumberFormat="0" applyBorder="0" applyAlignment="0" applyProtection="0"/>
    <xf numFmtId="0" fontId="80" fillId="25" borderId="0" applyNumberFormat="0" applyBorder="0" applyAlignment="0" applyProtection="0"/>
    <xf numFmtId="0" fontId="78" fillId="23" borderId="0" applyNumberFormat="0" applyBorder="0" applyAlignment="0" applyProtection="0"/>
    <xf numFmtId="0" fontId="78" fillId="26" borderId="0" applyNumberFormat="0" applyBorder="0" applyAlignment="0" applyProtection="0"/>
    <xf numFmtId="0" fontId="80" fillId="24" borderId="0" applyNumberFormat="0" applyBorder="0" applyAlignment="0" applyProtection="0"/>
    <xf numFmtId="0" fontId="80" fillId="19" borderId="0" applyNumberFormat="0" applyBorder="0" applyAlignment="0" applyProtection="0"/>
    <xf numFmtId="0" fontId="78" fillId="20" borderId="0" applyNumberFormat="0" applyBorder="0" applyAlignment="0" applyProtection="0"/>
    <xf numFmtId="0" fontId="78" fillId="24" borderId="0" applyNumberFormat="0" applyBorder="0" applyAlignment="0" applyProtection="0"/>
    <xf numFmtId="0" fontId="80" fillId="24" borderId="0" applyNumberFormat="0" applyBorder="0" applyAlignment="0" applyProtection="0"/>
    <xf numFmtId="0" fontId="80" fillId="27" borderId="0" applyNumberFormat="0" applyBorder="0" applyAlignment="0" applyProtection="0"/>
    <xf numFmtId="0" fontId="78" fillId="28" borderId="0" applyNumberFormat="0" applyBorder="0" applyAlignment="0" applyProtection="0"/>
    <xf numFmtId="0" fontId="78" fillId="20" borderId="0" applyNumberFormat="0" applyBorder="0" applyAlignment="0" applyProtection="0"/>
    <xf numFmtId="0" fontId="80" fillId="21" borderId="0" applyNumberFormat="0" applyBorder="0" applyAlignment="0" applyProtection="0"/>
    <xf numFmtId="0" fontId="80" fillId="29" borderId="0" applyNumberFormat="0" applyBorder="0" applyAlignment="0" applyProtection="0"/>
    <xf numFmtId="0" fontId="78" fillId="23" borderId="0" applyNumberFormat="0" applyBorder="0" applyAlignment="0" applyProtection="0"/>
    <xf numFmtId="0" fontId="78" fillId="30" borderId="0" applyNumberFormat="0" applyBorder="0" applyAlignment="0" applyProtection="0"/>
    <xf numFmtId="0" fontId="80" fillId="30" borderId="0" applyNumberFormat="0" applyBorder="0" applyAlignment="0" applyProtection="0"/>
    <xf numFmtId="0" fontId="32" fillId="0" borderId="31" applyNumberFormat="0" applyFill="0" applyAlignment="0" applyProtection="0"/>
    <xf numFmtId="0" fontId="81" fillId="31" borderId="0" applyNumberFormat="0" applyBorder="0" applyAlignment="0" applyProtection="0"/>
    <xf numFmtId="164" fontId="24" fillId="0" borderId="0" applyFill="0" applyBorder="0" applyProtection="0"/>
    <xf numFmtId="0" fontId="17" fillId="0" borderId="0"/>
    <xf numFmtId="0" fontId="82" fillId="0" borderId="11" applyNumberFormat="0" applyFill="0" applyAlignment="0" applyProtection="0"/>
    <xf numFmtId="229" fontId="51" fillId="0" borderId="0" applyFont="0" applyFill="0" applyBorder="0" applyAlignment="0" applyProtection="0"/>
    <xf numFmtId="0" fontId="116" fillId="0" borderId="0"/>
    <xf numFmtId="0" fontId="83" fillId="32" borderId="32" applyNumberFormat="0" applyAlignment="0" applyProtection="0"/>
    <xf numFmtId="164" fontId="24" fillId="0" borderId="0" applyFill="0" applyBorder="0" applyProtection="0"/>
    <xf numFmtId="164" fontId="117" fillId="0" borderId="0" applyFont="0" applyFill="0" applyBorder="0" applyAlignment="0" applyProtection="0"/>
    <xf numFmtId="0" fontId="84" fillId="25" borderId="33" applyNumberFormat="0" applyAlignment="0" applyProtection="0"/>
    <xf numFmtId="0" fontId="85" fillId="0" borderId="11" applyNumberFormat="0" applyFill="0" applyProtection="0">
      <alignment horizontal="left" vertical="center"/>
    </xf>
    <xf numFmtId="0" fontId="113" fillId="0" borderId="0">
      <alignment horizontal="center" wrapText="1"/>
      <protection hidden="1"/>
    </xf>
    <xf numFmtId="234" fontId="118" fillId="0" borderId="0">
      <alignment horizontal="center"/>
    </xf>
    <xf numFmtId="181" fontId="119" fillId="0" borderId="0"/>
    <xf numFmtId="181" fontId="119" fillId="0" borderId="0"/>
    <xf numFmtId="181" fontId="119" fillId="0" borderId="0"/>
    <xf numFmtId="181" fontId="119" fillId="0" borderId="0"/>
    <xf numFmtId="181" fontId="119" fillId="0" borderId="0"/>
    <xf numFmtId="181" fontId="119" fillId="0" borderId="0"/>
    <xf numFmtId="181" fontId="119" fillId="0" borderId="0"/>
    <xf numFmtId="181" fontId="119" fillId="0" borderId="0"/>
    <xf numFmtId="220" fontId="63" fillId="0" borderId="0" applyFill="0" applyBorder="0" applyProtection="0">
      <alignment horizontal="right"/>
    </xf>
    <xf numFmtId="243" fontId="17" fillId="0" borderId="0" applyFont="0" applyFill="0" applyBorder="0" applyAlignment="0" applyProtection="0"/>
    <xf numFmtId="252" fontId="63" fillId="0" borderId="0" applyFill="0" applyBorder="0" applyProtection="0"/>
    <xf numFmtId="222" fontId="63" fillId="0" borderId="0" applyFill="0" applyBorder="0" applyProtection="0">
      <alignment horizontal="right"/>
    </xf>
    <xf numFmtId="37" fontId="24" fillId="0" borderId="0" applyFill="0" applyBorder="0" applyAlignment="0" applyProtection="0"/>
    <xf numFmtId="0" fontId="112" fillId="33" borderId="0">
      <alignment horizontal="center" vertical="center" wrapText="1"/>
    </xf>
    <xf numFmtId="38" fontId="86" fillId="0" borderId="0" applyNumberFormat="0" applyFill="0" applyBorder="0">
      <alignment horizontal="left"/>
    </xf>
    <xf numFmtId="0" fontId="120" fillId="0" borderId="0">
      <alignment horizontal="left"/>
    </xf>
    <xf numFmtId="0" fontId="121" fillId="0" borderId="0">
      <alignment horizontal="left"/>
    </xf>
    <xf numFmtId="256" fontId="113" fillId="0" borderId="0" applyFill="0" applyBorder="0">
      <alignment horizontal="right"/>
      <protection locked="0"/>
    </xf>
    <xf numFmtId="262" fontId="36" fillId="0" borderId="0"/>
    <xf numFmtId="8" fontId="24" fillId="0" borderId="0" applyFont="0" applyFill="0" applyBorder="0" applyAlignment="0" applyProtection="0">
      <alignment horizontal="left"/>
    </xf>
    <xf numFmtId="247" fontId="63" fillId="0" borderId="0" applyFill="0" applyBorder="0" applyProtection="0">
      <alignment horizontal="right"/>
    </xf>
    <xf numFmtId="239" fontId="115" fillId="0" borderId="12" applyBorder="0"/>
    <xf numFmtId="219" fontId="17" fillId="0" borderId="0" applyFont="0" applyFill="0" applyBorder="0" applyAlignment="0" applyProtection="0">
      <alignment horizontal="right"/>
    </xf>
    <xf numFmtId="221" fontId="63" fillId="0" borderId="0" applyFill="0" applyBorder="0" applyProtection="0">
      <alignment horizontal="right"/>
    </xf>
    <xf numFmtId="5" fontId="24" fillId="0" borderId="0" applyFill="0" applyBorder="0" applyAlignment="0" applyProtection="0"/>
    <xf numFmtId="170" fontId="87" fillId="0" borderId="0" applyFont="0" applyFill="0" applyBorder="0" applyAlignment="0" applyProtection="0"/>
    <xf numFmtId="239" fontId="115" fillId="0" borderId="0">
      <alignment horizontal="right"/>
    </xf>
    <xf numFmtId="246" fontId="17" fillId="0" borderId="0" applyFill="0" applyBorder="0" applyProtection="0">
      <alignment vertical="center"/>
    </xf>
    <xf numFmtId="0" fontId="113" fillId="0" borderId="0" applyFont="0" applyFill="0" applyBorder="0" applyAlignment="0">
      <protection locked="0"/>
    </xf>
    <xf numFmtId="230" fontId="51" fillId="0" borderId="0" applyFont="0" applyFill="0" applyBorder="0" applyAlignment="0" applyProtection="0"/>
    <xf numFmtId="246" fontId="63" fillId="0" borderId="0" applyFill="0" applyBorder="0" applyProtection="0">
      <alignment horizontal="right"/>
    </xf>
    <xf numFmtId="246" fontId="63" fillId="0" borderId="0" applyFont="0" applyFill="0" applyBorder="0" applyAlignment="0" applyProtection="0"/>
    <xf numFmtId="14" fontId="117" fillId="0" borderId="0" applyFill="0" applyBorder="0" applyProtection="0">
      <alignment horizontal="center"/>
    </xf>
    <xf numFmtId="166" fontId="17" fillId="0" borderId="0" applyFill="0" applyBorder="0" applyProtection="0">
      <alignment horizontal="center"/>
    </xf>
    <xf numFmtId="14" fontId="117" fillId="0" borderId="0" applyFont="0" applyFill="0" applyBorder="0" applyAlignment="0" applyProtection="0">
      <alignment horizontal="center"/>
    </xf>
    <xf numFmtId="166" fontId="17" fillId="0" borderId="0" applyFont="0" applyFill="0" applyBorder="0" applyAlignment="0" applyProtection="0">
      <alignment horizontal="center"/>
    </xf>
    <xf numFmtId="235" fontId="38" fillId="0" borderId="0"/>
    <xf numFmtId="165" fontId="122" fillId="0" borderId="0"/>
    <xf numFmtId="39" fontId="123" fillId="0" borderId="0"/>
    <xf numFmtId="8" fontId="24" fillId="0" borderId="0" applyFill="0" applyBorder="0" applyProtection="0"/>
    <xf numFmtId="241" fontId="17" fillId="0" borderId="0" applyFill="0" applyBorder="0" applyProtection="0"/>
    <xf numFmtId="6" fontId="24" fillId="0" borderId="0" applyFill="0" applyBorder="0" applyProtection="0"/>
    <xf numFmtId="8" fontId="24" fillId="0" borderId="0" applyFill="0" applyBorder="0" applyProtection="0"/>
    <xf numFmtId="6" fontId="24" fillId="0" borderId="0" applyFont="0" applyFill="0" applyBorder="0" applyAlignment="0" applyProtection="0"/>
    <xf numFmtId="245" fontId="63" fillId="0" borderId="28" applyNumberFormat="0" applyFont="0" applyFill="0" applyAlignment="0" applyProtection="0"/>
    <xf numFmtId="0" fontId="88" fillId="34" borderId="0" applyNumberFormat="0" applyBorder="0" applyAlignment="0" applyProtection="0"/>
    <xf numFmtId="0" fontId="88" fillId="35" borderId="0" applyNumberFormat="0" applyBorder="0" applyAlignment="0" applyProtection="0"/>
    <xf numFmtId="0" fontId="88" fillId="36" borderId="0" applyNumberFormat="0" applyBorder="0" applyAlignment="0" applyProtection="0"/>
    <xf numFmtId="232" fontId="23" fillId="0" borderId="0"/>
    <xf numFmtId="0" fontId="89" fillId="0" borderId="0" applyNumberFormat="0" applyFill="0" applyBorder="0" applyAlignment="0" applyProtection="0"/>
    <xf numFmtId="0" fontId="90" fillId="0" borderId="0"/>
    <xf numFmtId="0" fontId="91" fillId="37" borderId="0"/>
    <xf numFmtId="0" fontId="124" fillId="0" borderId="0">
      <alignment horizontal="left"/>
    </xf>
    <xf numFmtId="0" fontId="125" fillId="0" borderId="0">
      <alignment horizontal="left"/>
    </xf>
    <xf numFmtId="0" fontId="24" fillId="0" borderId="0" applyFill="0" applyBorder="0" applyProtection="0">
      <alignment horizontal="left"/>
    </xf>
    <xf numFmtId="0" fontId="66" fillId="0" borderId="0" applyNumberFormat="0" applyFill="0" applyBorder="0" applyProtection="0">
      <alignment horizontal="left"/>
    </xf>
    <xf numFmtId="0" fontId="66" fillId="0" borderId="0" applyFill="0" applyBorder="0" applyProtection="0">
      <alignment vertical="center"/>
    </xf>
    <xf numFmtId="164" fontId="24" fillId="0" borderId="0" applyFill="0" applyBorder="0" applyAlignment="0" applyProtection="0">
      <protection locked="0"/>
    </xf>
    <xf numFmtId="0" fontId="126" fillId="0" borderId="0"/>
    <xf numFmtId="0" fontId="92" fillId="26" borderId="0" applyNumberFormat="0" applyBorder="0" applyAlignment="0" applyProtection="0"/>
    <xf numFmtId="186" fontId="17" fillId="0" borderId="0" applyFill="0" applyBorder="0" applyAlignment="0" applyProtection="0">
      <alignment horizontal="right"/>
    </xf>
    <xf numFmtId="164" fontId="17" fillId="0" borderId="0" applyFill="0" applyBorder="0" applyAlignment="0" applyProtection="0"/>
    <xf numFmtId="37" fontId="123" fillId="0" borderId="0" applyFill="0" applyBorder="0" applyAlignment="0"/>
    <xf numFmtId="37" fontId="123" fillId="0" borderId="0" applyFill="0" applyBorder="0" applyAlignment="0"/>
    <xf numFmtId="37" fontId="123" fillId="0" borderId="0" applyFill="0" applyBorder="0" applyAlignment="0"/>
    <xf numFmtId="37" fontId="123" fillId="0" borderId="0" applyFill="0" applyBorder="0" applyAlignment="0"/>
    <xf numFmtId="37" fontId="123" fillId="0" borderId="0" applyFill="0" applyBorder="0" applyAlignment="0"/>
    <xf numFmtId="166" fontId="17" fillId="5" borderId="5" applyNumberFormat="0" applyFont="0" applyBorder="0" applyAlignment="0" applyProtection="0"/>
    <xf numFmtId="225" fontId="63" fillId="0" borderId="0" applyFill="0" applyBorder="0" applyProtection="0">
      <alignment horizontal="right"/>
    </xf>
    <xf numFmtId="165" fontId="127" fillId="5" borderId="0" applyNumberFormat="0" applyFont="0" applyAlignment="0"/>
    <xf numFmtId="0" fontId="128" fillId="0" borderId="0">
      <alignment horizontal="right"/>
    </xf>
    <xf numFmtId="0" fontId="129" fillId="0" borderId="11">
      <alignment horizontal="center"/>
    </xf>
    <xf numFmtId="0" fontId="93" fillId="0" borderId="34" applyNumberFormat="0" applyFill="0" applyAlignment="0" applyProtection="0"/>
    <xf numFmtId="0" fontId="130" fillId="0" borderId="2">
      <alignment horizontal="left" vertical="top"/>
    </xf>
    <xf numFmtId="0" fontId="94" fillId="0" borderId="35" applyNumberFormat="0" applyFill="0" applyAlignment="0" applyProtection="0"/>
    <xf numFmtId="0" fontId="131" fillId="0" borderId="2">
      <alignment horizontal="left" vertical="top"/>
    </xf>
    <xf numFmtId="0" fontId="95" fillId="0" borderId="36" applyNumberFormat="0" applyFill="0" applyAlignment="0" applyProtection="0"/>
    <xf numFmtId="0" fontId="95" fillId="0" borderId="0" applyNumberFormat="0" applyFill="0" applyBorder="0" applyAlignment="0" applyProtection="0"/>
    <xf numFmtId="37" fontId="132" fillId="0" borderId="11">
      <alignment horizontal="right"/>
    </xf>
    <xf numFmtId="165" fontId="133" fillId="0" borderId="11"/>
    <xf numFmtId="0" fontId="96" fillId="0" borderId="0">
      <alignment wrapText="1"/>
    </xf>
    <xf numFmtId="164" fontId="24" fillId="0" borderId="0" applyFill="0" applyBorder="0" applyAlignment="0" applyProtection="0"/>
    <xf numFmtId="0" fontId="17" fillId="38" borderId="0" applyNumberFormat="0" applyFont="0" applyBorder="0" applyAlignment="0">
      <protection locked="0"/>
    </xf>
    <xf numFmtId="220" fontId="134" fillId="0" borderId="0" applyFill="0" applyBorder="0" applyProtection="0">
      <alignment horizontal="right"/>
    </xf>
    <xf numFmtId="222" fontId="134" fillId="0" borderId="0" applyFill="0" applyBorder="0" applyProtection="0">
      <alignment horizontal="right"/>
    </xf>
    <xf numFmtId="224" fontId="134" fillId="0" borderId="0" applyFill="0" applyBorder="0" applyProtection="0">
      <alignment horizontal="right"/>
    </xf>
    <xf numFmtId="247" fontId="134" fillId="0" borderId="0" applyFill="0" applyBorder="0" applyProtection="0">
      <alignment horizontal="right"/>
    </xf>
    <xf numFmtId="221" fontId="134" fillId="0" borderId="0" applyFill="0" applyBorder="0" applyProtection="0">
      <alignment horizontal="right"/>
    </xf>
    <xf numFmtId="226" fontId="134" fillId="0" borderId="0" applyFill="0" applyBorder="0" applyProtection="0">
      <alignment horizontal="right"/>
    </xf>
    <xf numFmtId="245" fontId="134" fillId="0" borderId="0" applyFill="0" applyBorder="0" applyProtection="0"/>
    <xf numFmtId="244" fontId="134" fillId="0" borderId="0" applyFill="0" applyBorder="0" applyProtection="0">
      <alignment horizontal="right"/>
    </xf>
    <xf numFmtId="249" fontId="134" fillId="0" borderId="0" applyFill="0" applyBorder="0" applyProtection="0">
      <alignment horizontal="right"/>
    </xf>
    <xf numFmtId="37" fontId="122" fillId="2" borderId="0" applyFont="0" applyBorder="0" applyProtection="0"/>
    <xf numFmtId="249" fontId="17" fillId="0" borderId="0" applyFill="0" applyBorder="0" applyProtection="0">
      <alignment vertical="center"/>
    </xf>
    <xf numFmtId="246" fontId="17" fillId="0" borderId="0" applyFill="0" applyBorder="0" applyProtection="0">
      <alignment vertical="center"/>
    </xf>
    <xf numFmtId="242" fontId="123" fillId="0" borderId="0" applyFont="0" applyFill="0" applyBorder="0" applyAlignment="0">
      <protection locked="0"/>
    </xf>
    <xf numFmtId="246" fontId="17" fillId="0" borderId="0" applyFont="0" applyFill="0" applyBorder="0" applyAlignment="0">
      <protection locked="0"/>
    </xf>
    <xf numFmtId="251" fontId="17" fillId="0" borderId="0" applyFill="0" applyBorder="0" applyProtection="0">
      <alignment vertical="center"/>
    </xf>
    <xf numFmtId="248" fontId="17" fillId="0" borderId="0" applyFill="0" applyBorder="0" applyProtection="0">
      <alignment vertical="center"/>
    </xf>
    <xf numFmtId="263" fontId="135" fillId="0" borderId="37" applyBorder="0">
      <protection locked="0"/>
    </xf>
    <xf numFmtId="253" fontId="17" fillId="0" borderId="11" applyFill="0"/>
    <xf numFmtId="0" fontId="113" fillId="0" borderId="0" applyFill="0" applyBorder="0">
      <alignment horizontal="right"/>
      <protection locked="0"/>
    </xf>
    <xf numFmtId="38" fontId="97" fillId="0" borderId="0" applyNumberFormat="0" applyBorder="0" applyProtection="0">
      <alignment horizontal="left"/>
    </xf>
    <xf numFmtId="237" fontId="113" fillId="0" borderId="0" applyFill="0" applyBorder="0">
      <alignment horizontal="right"/>
      <protection locked="0"/>
    </xf>
    <xf numFmtId="0" fontId="17" fillId="3" borderId="38">
      <alignment horizontal="left" vertical="center" wrapText="1"/>
    </xf>
    <xf numFmtId="0" fontId="98" fillId="0" borderId="0" applyNumberFormat="0" applyFill="0" applyBorder="0" applyProtection="0">
      <alignment horizontal="left" vertical="center"/>
    </xf>
    <xf numFmtId="0" fontId="17" fillId="0" borderId="0"/>
    <xf numFmtId="0" fontId="17" fillId="0" borderId="0"/>
    <xf numFmtId="0" fontId="99" fillId="0" borderId="39" applyNumberFormat="0" applyFill="0" applyAlignment="0" applyProtection="0"/>
    <xf numFmtId="6" fontId="24" fillId="0" borderId="0" applyAlignment="0">
      <alignment horizontal="left"/>
    </xf>
    <xf numFmtId="186" fontId="17" fillId="0" borderId="0" applyFill="0" applyBorder="0" applyAlignment="0" applyProtection="0">
      <alignment horizontal="right"/>
    </xf>
    <xf numFmtId="0" fontId="91" fillId="0" borderId="0"/>
    <xf numFmtId="0" fontId="100" fillId="0" borderId="0"/>
    <xf numFmtId="0" fontId="101" fillId="0" borderId="0"/>
    <xf numFmtId="165" fontId="17" fillId="0" borderId="0" applyFill="0" applyBorder="0" applyAlignment="0" applyProtection="0">
      <alignment horizontal="left"/>
    </xf>
    <xf numFmtId="40" fontId="24" fillId="0" borderId="0" applyFill="0" applyBorder="0" applyAlignment="0" applyProtection="0">
      <alignment horizontal="left"/>
    </xf>
    <xf numFmtId="0" fontId="63" fillId="0" borderId="0" applyFill="0" applyBorder="0" applyProtection="0">
      <alignment horizontal="right"/>
    </xf>
    <xf numFmtId="251" fontId="17" fillId="0" borderId="0" applyFill="0" applyBorder="0" applyProtection="0">
      <alignment vertical="center"/>
    </xf>
    <xf numFmtId="0" fontId="136" fillId="0" borderId="0">
      <alignment horizontal="right"/>
    </xf>
    <xf numFmtId="0" fontId="102" fillId="39" borderId="0" applyNumberFormat="0" applyBorder="0" applyAlignment="0" applyProtection="0"/>
    <xf numFmtId="0" fontId="135" fillId="0" borderId="40" applyNumberFormat="0" applyAlignment="0"/>
    <xf numFmtId="259" fontId="25" fillId="0" borderId="0"/>
    <xf numFmtId="168" fontId="115" fillId="0" borderId="12" applyBorder="0"/>
    <xf numFmtId="247" fontId="17" fillId="0" borderId="0" applyFill="0" applyBorder="0" applyProtection="0">
      <alignment vertical="center"/>
    </xf>
    <xf numFmtId="174" fontId="97" fillId="0" borderId="0" applyBorder="0">
      <alignment horizontal="left"/>
    </xf>
    <xf numFmtId="0" fontId="17" fillId="23" borderId="41" applyNumberFormat="0" applyFont="0" applyAlignment="0" applyProtection="0"/>
    <xf numFmtId="193" fontId="27" fillId="0" borderId="0" applyFont="0" applyFill="0" applyBorder="0" applyProtection="0">
      <alignment horizontal="right"/>
    </xf>
    <xf numFmtId="0" fontId="137" fillId="0" borderId="0" applyNumberFormat="0" applyAlignment="0"/>
    <xf numFmtId="0" fontId="138" fillId="0" borderId="0" applyNumberFormat="0" applyAlignment="0"/>
    <xf numFmtId="0" fontId="103" fillId="32" borderId="42" applyNumberFormat="0" applyAlignment="0" applyProtection="0"/>
    <xf numFmtId="258" fontId="17" fillId="0" borderId="0"/>
    <xf numFmtId="0" fontId="139" fillId="0" borderId="0"/>
    <xf numFmtId="261" fontId="139" fillId="0" borderId="0"/>
    <xf numFmtId="261" fontId="139" fillId="0" borderId="0"/>
    <xf numFmtId="261" fontId="139" fillId="0" borderId="0"/>
    <xf numFmtId="261" fontId="139" fillId="0" borderId="0"/>
    <xf numFmtId="258" fontId="17" fillId="0" borderId="0"/>
    <xf numFmtId="0" fontId="24" fillId="0" borderId="0"/>
    <xf numFmtId="261" fontId="24" fillId="0" borderId="0"/>
    <xf numFmtId="261" fontId="24" fillId="0" borderId="0"/>
    <xf numFmtId="261" fontId="24" fillId="0" borderId="0"/>
    <xf numFmtId="261" fontId="24" fillId="0" borderId="0"/>
    <xf numFmtId="261" fontId="24" fillId="0" borderId="0"/>
    <xf numFmtId="261" fontId="24" fillId="0" borderId="0"/>
    <xf numFmtId="261" fontId="24" fillId="0" borderId="0"/>
    <xf numFmtId="261" fontId="24" fillId="0" borderId="0"/>
    <xf numFmtId="261" fontId="24" fillId="0" borderId="0"/>
    <xf numFmtId="0" fontId="24" fillId="0" borderId="0"/>
    <xf numFmtId="258" fontId="17" fillId="0" borderId="0"/>
    <xf numFmtId="261" fontId="24" fillId="0" borderId="0"/>
    <xf numFmtId="258" fontId="17" fillId="0" borderId="0"/>
    <xf numFmtId="258" fontId="17" fillId="0" borderId="0"/>
    <xf numFmtId="261" fontId="24" fillId="0" borderId="0"/>
    <xf numFmtId="258" fontId="17" fillId="0" borderId="0"/>
    <xf numFmtId="261" fontId="24" fillId="0" borderId="0"/>
    <xf numFmtId="261" fontId="24" fillId="0" borderId="0"/>
    <xf numFmtId="261" fontId="24" fillId="0" borderId="0"/>
    <xf numFmtId="260" fontId="25" fillId="0" borderId="0"/>
    <xf numFmtId="260" fontId="25" fillId="0" borderId="0"/>
    <xf numFmtId="0" fontId="25" fillId="0" borderId="0"/>
    <xf numFmtId="0" fontId="25" fillId="0" borderId="0"/>
    <xf numFmtId="174" fontId="17" fillId="0" borderId="0"/>
    <xf numFmtId="174" fontId="17" fillId="0" borderId="0"/>
    <xf numFmtId="174" fontId="17" fillId="0" borderId="0"/>
    <xf numFmtId="174" fontId="17" fillId="0" borderId="0"/>
    <xf numFmtId="0" fontId="25" fillId="0" borderId="0"/>
    <xf numFmtId="260" fontId="25" fillId="0" borderId="0"/>
    <xf numFmtId="0" fontId="25" fillId="0" borderId="0"/>
    <xf numFmtId="260" fontId="25" fillId="0" borderId="0"/>
    <xf numFmtId="260" fontId="25" fillId="0" borderId="0"/>
    <xf numFmtId="260" fontId="25" fillId="0" borderId="0"/>
    <xf numFmtId="260" fontId="25" fillId="0" borderId="0"/>
    <xf numFmtId="0" fontId="25" fillId="0" borderId="0"/>
    <xf numFmtId="260" fontId="25" fillId="0" borderId="0"/>
    <xf numFmtId="0" fontId="25" fillId="0" borderId="0"/>
    <xf numFmtId="260" fontId="25" fillId="0" borderId="0"/>
    <xf numFmtId="261" fontId="139" fillId="0" borderId="0"/>
    <xf numFmtId="261" fontId="139" fillId="0" borderId="0"/>
    <xf numFmtId="261" fontId="139" fillId="0" borderId="0"/>
    <xf numFmtId="261" fontId="139" fillId="0" borderId="0"/>
    <xf numFmtId="261" fontId="139" fillId="0" borderId="0"/>
    <xf numFmtId="0" fontId="139" fillId="0" borderId="0"/>
    <xf numFmtId="258" fontId="17" fillId="0" borderId="0"/>
    <xf numFmtId="261" fontId="139" fillId="0" borderId="0"/>
    <xf numFmtId="258" fontId="17" fillId="0" borderId="0"/>
    <xf numFmtId="258" fontId="17" fillId="0" borderId="0"/>
    <xf numFmtId="261" fontId="139" fillId="0" borderId="0"/>
    <xf numFmtId="258" fontId="17" fillId="0" borderId="0"/>
    <xf numFmtId="261" fontId="139" fillId="0" borderId="0"/>
    <xf numFmtId="261" fontId="139" fillId="0" borderId="0"/>
    <xf numFmtId="261" fontId="139" fillId="0" borderId="0"/>
    <xf numFmtId="260" fontId="25" fillId="0" borderId="0"/>
    <xf numFmtId="260" fontId="25" fillId="0" borderId="0"/>
    <xf numFmtId="0" fontId="25" fillId="0" borderId="0"/>
    <xf numFmtId="0" fontId="25" fillId="0" borderId="0"/>
    <xf numFmtId="174" fontId="17" fillId="0" borderId="0"/>
    <xf numFmtId="174" fontId="17" fillId="0" borderId="0"/>
    <xf numFmtId="174" fontId="17" fillId="0" borderId="0"/>
    <xf numFmtId="174" fontId="17" fillId="0" borderId="0"/>
    <xf numFmtId="0" fontId="25" fillId="0" borderId="0"/>
    <xf numFmtId="260" fontId="25" fillId="0" borderId="0"/>
    <xf numFmtId="0" fontId="25" fillId="0" borderId="0"/>
    <xf numFmtId="260" fontId="25" fillId="0" borderId="0"/>
    <xf numFmtId="260" fontId="25" fillId="0" borderId="0"/>
    <xf numFmtId="260" fontId="25" fillId="0" borderId="0"/>
    <xf numFmtId="260" fontId="25" fillId="0" borderId="0"/>
    <xf numFmtId="0" fontId="25" fillId="0" borderId="0"/>
    <xf numFmtId="260" fontId="25" fillId="0" borderId="0"/>
    <xf numFmtId="0" fontId="25" fillId="0" borderId="0"/>
    <xf numFmtId="260" fontId="25" fillId="0" borderId="0"/>
    <xf numFmtId="233" fontId="140" fillId="0" borderId="0">
      <alignment horizontal="centerContinuous"/>
    </xf>
    <xf numFmtId="0" fontId="101" fillId="0" borderId="0"/>
    <xf numFmtId="0" fontId="141" fillId="0" borderId="0"/>
    <xf numFmtId="9" fontId="126" fillId="0" borderId="0"/>
    <xf numFmtId="166" fontId="126" fillId="0" borderId="0"/>
    <xf numFmtId="166" fontId="115" fillId="0" borderId="12" applyBorder="0"/>
    <xf numFmtId="256" fontId="17" fillId="0" borderId="0" applyFill="0" applyBorder="0" applyAlignment="0" applyProtection="0"/>
    <xf numFmtId="236" fontId="38" fillId="0" borderId="0"/>
    <xf numFmtId="166" fontId="142" fillId="0" borderId="0"/>
    <xf numFmtId="231" fontId="24" fillId="0" borderId="0" applyFont="0" applyBorder="0"/>
    <xf numFmtId="166" fontId="87" fillId="0" borderId="0" applyFont="0" applyFill="0" applyBorder="0" applyAlignment="0" applyProtection="0"/>
    <xf numFmtId="10" fontId="87" fillId="0" borderId="0" applyFont="0" applyFill="0" applyBorder="0" applyAlignment="0" applyProtection="0"/>
    <xf numFmtId="255" fontId="113" fillId="0" borderId="0" applyFill="0" applyBorder="0">
      <alignment horizontal="right"/>
      <protection locked="0"/>
    </xf>
    <xf numFmtId="186" fontId="17" fillId="0" borderId="0" applyFont="0" applyFill="0" applyBorder="0" applyAlignment="0" applyProtection="0"/>
    <xf numFmtId="38" fontId="32" fillId="0" borderId="0" applyFill="0" applyBorder="0" applyAlignment="0" applyProtection="0">
      <alignment horizontal="right"/>
    </xf>
    <xf numFmtId="169" fontId="24" fillId="0" borderId="0" applyFill="0" applyBorder="0" applyAlignment="0" applyProtection="0">
      <alignment horizontal="left"/>
    </xf>
    <xf numFmtId="38" fontId="24" fillId="0" borderId="0" applyFont="0" applyFill="0" applyBorder="0" applyAlignment="0" applyProtection="0"/>
    <xf numFmtId="8" fontId="117" fillId="0" borderId="37">
      <alignment horizontal="right"/>
    </xf>
    <xf numFmtId="264" fontId="113" fillId="0" borderId="0" applyFill="0" applyBorder="0">
      <alignment horizontal="right"/>
      <protection locked="0"/>
    </xf>
    <xf numFmtId="257" fontId="113" fillId="0" borderId="0">
      <alignment horizontal="right"/>
      <protection locked="0"/>
    </xf>
    <xf numFmtId="0" fontId="98" fillId="0" borderId="0" applyNumberFormat="0" applyFill="0" applyBorder="0" applyProtection="0">
      <alignment horizontal="right" vertical="center"/>
    </xf>
    <xf numFmtId="0" fontId="125" fillId="0" borderId="30">
      <alignment vertical="center"/>
    </xf>
    <xf numFmtId="238" fontId="17" fillId="0" borderId="0" applyFill="0" applyBorder="0">
      <alignment horizontal="right"/>
      <protection hidden="1"/>
    </xf>
    <xf numFmtId="0" fontId="114" fillId="33" borderId="5">
      <alignment horizontal="center" vertical="center" wrapText="1"/>
      <protection hidden="1"/>
    </xf>
    <xf numFmtId="164" fontId="24" fillId="0" borderId="11" applyFill="0" applyBorder="0" applyProtection="0"/>
    <xf numFmtId="0" fontId="104" fillId="0" borderId="0" applyNumberFormat="0" applyFill="0" applyBorder="0" applyAlignment="0" applyProtection="0"/>
    <xf numFmtId="254" fontId="17" fillId="0" borderId="0">
      <alignment horizontal="center"/>
    </xf>
    <xf numFmtId="181" fontId="143" fillId="0" borderId="0">
      <alignment horizontal="center"/>
    </xf>
    <xf numFmtId="3" fontId="17" fillId="2" borderId="43" applyFont="0" applyFill="0" applyBorder="0" applyAlignment="0" applyProtection="0"/>
    <xf numFmtId="4" fontId="17" fillId="2" borderId="43" applyFont="0" applyFill="0" applyBorder="0" applyAlignment="0" applyProtection="0"/>
    <xf numFmtId="169" fontId="17" fillId="2" borderId="43" applyFont="0" applyFill="0" applyBorder="0" applyAlignment="0" applyProtection="0"/>
    <xf numFmtId="164" fontId="17" fillId="2" borderId="44" applyFont="0" applyFill="0" applyBorder="0" applyAlignment="0" applyProtection="0"/>
    <xf numFmtId="10" fontId="17" fillId="2" borderId="43" applyFont="0" applyFill="0" applyBorder="0" applyAlignment="0" applyProtection="0"/>
    <xf numFmtId="9" fontId="17" fillId="2" borderId="43" applyFont="0" applyFill="0" applyBorder="0" applyAlignment="0" applyProtection="0"/>
    <xf numFmtId="2" fontId="17" fillId="2" borderId="43" applyFont="0" applyFill="0" applyBorder="0" applyAlignment="0" applyProtection="0"/>
    <xf numFmtId="265" fontId="113" fillId="0" borderId="0">
      <protection locked="0"/>
    </xf>
    <xf numFmtId="0" fontId="105" fillId="0" borderId="0" applyNumberFormat="0" applyFill="0" applyBorder="0" applyProtection="0">
      <alignment horizontal="left" vertical="center"/>
    </xf>
    <xf numFmtId="164" fontId="24" fillId="0" borderId="0" applyFill="0" applyBorder="0" applyAlignment="0" applyProtection="0"/>
    <xf numFmtId="2" fontId="17" fillId="5" borderId="0" applyBorder="0"/>
    <xf numFmtId="0" fontId="75" fillId="0" borderId="0" applyFill="0" applyBorder="0" applyProtection="0">
      <alignment vertical="center"/>
    </xf>
    <xf numFmtId="245" fontId="75" fillId="0" borderId="11" applyBorder="0" applyProtection="0">
      <alignment horizontal="right" vertical="center"/>
    </xf>
    <xf numFmtId="0" fontId="17" fillId="0" borderId="0" applyBorder="0" applyProtection="0">
      <alignment vertical="center"/>
    </xf>
    <xf numFmtId="0" fontId="29" fillId="0" borderId="0" applyBorder="0" applyProtection="0">
      <alignment horizontal="left"/>
    </xf>
    <xf numFmtId="0" fontId="66" fillId="0" borderId="0" applyNumberFormat="0" applyFill="0" applyBorder="0" applyProtection="0">
      <alignment horizontal="left"/>
    </xf>
    <xf numFmtId="0" fontId="144" fillId="0" borderId="0" applyFill="0" applyBorder="0" applyProtection="0">
      <alignment vertical="center"/>
    </xf>
    <xf numFmtId="0" fontId="106" fillId="0" borderId="0" applyFill="0" applyBorder="0" applyProtection="0">
      <alignment horizontal="left"/>
    </xf>
    <xf numFmtId="0" fontId="32" fillId="0" borderId="2" applyFill="0" applyBorder="0" applyProtection="0">
      <alignment horizontal="left" vertical="top"/>
    </xf>
    <xf numFmtId="240" fontId="145" fillId="0" borderId="0" applyNumberFormat="0" applyFill="0" applyBorder="0">
      <alignment horizontal="left"/>
    </xf>
    <xf numFmtId="165" fontId="145" fillId="0" borderId="0" applyNumberFormat="0" applyFill="0" applyBorder="0">
      <alignment horizontal="right"/>
    </xf>
    <xf numFmtId="240" fontId="146" fillId="0" borderId="0" applyNumberFormat="0" applyFill="0" applyBorder="0">
      <alignment horizontal="right"/>
    </xf>
    <xf numFmtId="38" fontId="107" fillId="0" borderId="0" applyNumberFormat="0" applyBorder="0">
      <alignment horizontal="left"/>
    </xf>
    <xf numFmtId="165" fontId="147" fillId="0" borderId="0"/>
    <xf numFmtId="165" fontId="148" fillId="0" borderId="0"/>
    <xf numFmtId="0" fontId="149" fillId="0" borderId="2" applyFill="0" applyBorder="0" applyProtection="0"/>
    <xf numFmtId="0" fontId="149" fillId="0" borderId="0"/>
    <xf numFmtId="0" fontId="38" fillId="0" borderId="0" applyNumberFormat="0" applyFill="0" applyBorder="0" applyProtection="0"/>
    <xf numFmtId="0" fontId="150" fillId="0" borderId="0" applyFill="0" applyBorder="0" applyProtection="0"/>
    <xf numFmtId="0" fontId="151" fillId="0" borderId="0"/>
    <xf numFmtId="0" fontId="150" fillId="0" borderId="0" applyNumberFormat="0" applyFill="0" applyBorder="0" applyProtection="0"/>
    <xf numFmtId="0" fontId="38" fillId="0" borderId="0" applyNumberFormat="0" applyFill="0" applyBorder="0" applyProtection="0"/>
    <xf numFmtId="0" fontId="38" fillId="0" borderId="0"/>
    <xf numFmtId="1" fontId="117" fillId="0" borderId="4" applyFill="0" applyBorder="0" applyProtection="0">
      <alignment horizontal="right"/>
    </xf>
    <xf numFmtId="0" fontId="108" fillId="0" borderId="0" applyNumberFormat="0" applyFill="0" applyBorder="0" applyAlignment="0" applyProtection="0"/>
    <xf numFmtId="164" fontId="117" fillId="0" borderId="0" applyFill="0" applyBorder="0" applyProtection="0"/>
    <xf numFmtId="0" fontId="109" fillId="40" borderId="0" applyNumberFormat="0" applyBorder="0" applyProtection="0">
      <alignment horizontal="left" vertical="center"/>
    </xf>
    <xf numFmtId="0" fontId="110" fillId="1" borderId="0" applyNumberFormat="0" applyBorder="0" applyProtection="0">
      <alignment horizontal="left" vertical="center"/>
    </xf>
    <xf numFmtId="164" fontId="117" fillId="0" borderId="0" applyNumberFormat="0" applyFill="0" applyBorder="0" applyAlignment="0" applyProtection="0"/>
    <xf numFmtId="0" fontId="113" fillId="0" borderId="0" applyBorder="0"/>
    <xf numFmtId="0" fontId="150" fillId="0" borderId="0"/>
    <xf numFmtId="0" fontId="38" fillId="0" borderId="0"/>
    <xf numFmtId="0" fontId="88" fillId="0" borderId="45" applyNumberFormat="0" applyFill="0" applyAlignment="0" applyProtection="0"/>
    <xf numFmtId="224" fontId="69" fillId="0" borderId="0" applyFill="0" applyBorder="0" applyProtection="0"/>
    <xf numFmtId="223" fontId="69" fillId="0" borderId="0" applyFill="0" applyBorder="0" applyProtection="0"/>
    <xf numFmtId="249" fontId="17" fillId="0" borderId="28" applyFill="0" applyBorder="0" applyProtection="0">
      <alignment vertical="center"/>
    </xf>
    <xf numFmtId="0" fontId="152" fillId="0" borderId="11" applyNumberFormat="0" applyFill="0" applyProtection="0"/>
    <xf numFmtId="1" fontId="24" fillId="0" borderId="11" applyNumberFormat="0">
      <alignment horizontal="right"/>
    </xf>
    <xf numFmtId="169" fontId="117" fillId="0" borderId="0" applyFill="0" applyBorder="0" applyAlignment="0" applyProtection="0"/>
    <xf numFmtId="38" fontId="24" fillId="0" borderId="0" applyFill="0" applyBorder="0" applyAlignment="0" applyProtection="0">
      <alignment horizontal="left"/>
    </xf>
    <xf numFmtId="38" fontId="117" fillId="0" borderId="0" applyFill="0" applyBorder="0" applyAlignment="0" applyProtection="0">
      <alignment horizontal="left"/>
    </xf>
    <xf numFmtId="44" fontId="17" fillId="0" borderId="0" applyFont="0" applyFill="0" applyBorder="0" applyAlignment="0" applyProtection="0"/>
    <xf numFmtId="0" fontId="111" fillId="0" borderId="0" applyNumberFormat="0" applyFill="0" applyBorder="0" applyAlignment="0" applyProtection="0"/>
    <xf numFmtId="250" fontId="17" fillId="0" borderId="0"/>
    <xf numFmtId="1" fontId="24" fillId="0" borderId="0" applyFont="0" applyFill="0" applyBorder="0" applyAlignment="0" applyProtection="0"/>
    <xf numFmtId="0" fontId="16" fillId="0" borderId="0"/>
    <xf numFmtId="43" fontId="16" fillId="0" borderId="0" applyFont="0" applyFill="0" applyBorder="0" applyAlignment="0" applyProtection="0"/>
    <xf numFmtId="0" fontId="153" fillId="0" borderId="0" applyNumberFormat="0" applyFill="0" applyBorder="0" applyAlignment="0" applyProtection="0">
      <alignment vertical="top"/>
      <protection locked="0"/>
    </xf>
    <xf numFmtId="0" fontId="15" fillId="0" borderId="0"/>
    <xf numFmtId="0" fontId="156" fillId="0" borderId="0" applyNumberFormat="0" applyFill="0" applyBorder="0" applyAlignment="0" applyProtection="0"/>
    <xf numFmtId="272" fontId="157" fillId="0" borderId="0">
      <alignment horizontal="right"/>
    </xf>
    <xf numFmtId="0" fontId="51" fillId="0" borderId="0" applyNumberFormat="0" applyFont="0" applyFill="0" applyBorder="0" applyAlignment="0" applyProtection="0"/>
    <xf numFmtId="273" fontId="158" fillId="0" borderId="14"/>
    <xf numFmtId="274" fontId="158" fillId="0" borderId="15" applyBorder="0"/>
    <xf numFmtId="166" fontId="159" fillId="4" borderId="0"/>
    <xf numFmtId="0" fontId="160" fillId="0" borderId="0" applyNumberFormat="0" applyFill="0" applyBorder="0" applyAlignment="0" applyProtection="0"/>
    <xf numFmtId="0" fontId="161" fillId="4" borderId="0" applyNumberFormat="0" applyFill="0" applyBorder="0" applyAlignment="0" applyProtection="0">
      <protection locked="0"/>
    </xf>
    <xf numFmtId="0" fontId="162" fillId="4" borderId="14" applyNumberFormat="0" applyFill="0" applyBorder="0" applyAlignment="0" applyProtection="0">
      <protection locked="0"/>
    </xf>
    <xf numFmtId="5" fontId="156" fillId="0" borderId="13" applyAlignment="0" applyProtection="0"/>
    <xf numFmtId="0" fontId="24" fillId="0" borderId="27" applyNumberFormat="0" applyFont="0" applyFill="0" applyAlignment="0" applyProtection="0"/>
    <xf numFmtId="174" fontId="17" fillId="0" borderId="46" applyNumberFormat="0" applyFill="0" applyAlignment="0" applyProtection="0"/>
    <xf numFmtId="0" fontId="113" fillId="0" borderId="47" applyNumberFormat="0" applyFont="0" applyFill="0" applyAlignment="0" applyProtection="0"/>
    <xf numFmtId="275" fontId="163" fillId="0" borderId="0" applyFill="0" applyBorder="0" applyAlignment="0"/>
    <xf numFmtId="276" fontId="163" fillId="0" borderId="0" applyFill="0" applyBorder="0" applyAlignment="0"/>
    <xf numFmtId="277" fontId="163" fillId="0" borderId="0" applyFill="0" applyBorder="0" applyAlignment="0"/>
    <xf numFmtId="278" fontId="163" fillId="0" borderId="0" applyFill="0" applyBorder="0" applyAlignment="0"/>
    <xf numFmtId="0" fontId="163" fillId="0" borderId="0" applyFill="0" applyBorder="0" applyAlignment="0"/>
    <xf numFmtId="275" fontId="163" fillId="0" borderId="0" applyFill="0" applyBorder="0" applyAlignment="0"/>
    <xf numFmtId="279" fontId="163" fillId="0" borderId="0" applyFill="0" applyBorder="0" applyAlignment="0"/>
    <xf numFmtId="276" fontId="163" fillId="0" borderId="0" applyFill="0" applyBorder="0" applyAlignment="0"/>
    <xf numFmtId="275" fontId="17" fillId="0" borderId="0" applyFont="0" applyFill="0" applyBorder="0" applyAlignment="0" applyProtection="0"/>
    <xf numFmtId="43" fontId="51" fillId="0" borderId="0" applyFont="0" applyFill="0" applyBorder="0" applyAlignment="0" applyProtection="0"/>
    <xf numFmtId="0" fontId="152" fillId="0" borderId="0" applyNumberFormat="0" applyAlignment="0">
      <alignment horizontal="left"/>
    </xf>
    <xf numFmtId="276" fontId="17" fillId="0" borderId="0" applyFont="0" applyFill="0" applyBorder="0" applyAlignment="0" applyProtection="0"/>
    <xf numFmtId="44" fontId="51" fillId="0" borderId="0" applyFont="0" applyFill="0" applyBorder="0" applyAlignment="0" applyProtection="0"/>
    <xf numFmtId="280" fontId="25" fillId="0" borderId="0" applyFont="0" applyFill="0" applyBorder="0" applyProtection="0">
      <alignment horizontal="right"/>
    </xf>
    <xf numFmtId="7" fontId="115" fillId="0" borderId="0" applyFill="0" applyBorder="0" applyProtection="0"/>
    <xf numFmtId="14" fontId="163" fillId="0" borderId="0" applyFill="0" applyBorder="0" applyAlignment="0"/>
    <xf numFmtId="0" fontId="47" fillId="0" borderId="0" applyFont="0" applyFill="0" applyBorder="0" applyAlignment="0" applyProtection="0"/>
    <xf numFmtId="281" fontId="17" fillId="0" borderId="0" applyFont="0" applyFill="0" applyBorder="0" applyAlignment="0" applyProtection="0"/>
    <xf numFmtId="282" fontId="17" fillId="0" borderId="0" applyFont="0" applyFill="0" applyBorder="0" applyAlignment="0" applyProtection="0"/>
    <xf numFmtId="0" fontId="38" fillId="0" borderId="0" applyNumberFormat="0" applyFill="0" applyBorder="0" applyAlignment="0" applyProtection="0"/>
    <xf numFmtId="275" fontId="22" fillId="0" borderId="0" applyFill="0" applyBorder="0" applyAlignment="0"/>
    <xf numFmtId="276" fontId="22" fillId="0" borderId="0" applyFill="0" applyBorder="0" applyAlignment="0"/>
    <xf numFmtId="275" fontId="22" fillId="0" borderId="0" applyFill="0" applyBorder="0" applyAlignment="0"/>
    <xf numFmtId="279" fontId="22" fillId="0" borderId="0" applyFill="0" applyBorder="0" applyAlignment="0"/>
    <xf numFmtId="276" fontId="22" fillId="0" borderId="0" applyFill="0" applyBorder="0" applyAlignment="0"/>
    <xf numFmtId="0" fontId="164" fillId="0" borderId="0" applyNumberFormat="0" applyAlignment="0">
      <alignment horizontal="left"/>
    </xf>
    <xf numFmtId="0" fontId="51" fillId="0" borderId="0" applyNumberFormat="0" applyFill="0" applyBorder="0" applyAlignment="0" applyProtection="0"/>
    <xf numFmtId="192" fontId="115" fillId="0" borderId="0" applyFill="0" applyBorder="0" applyProtection="0"/>
    <xf numFmtId="283" fontId="165" fillId="0" borderId="0">
      <alignment horizontal="right"/>
    </xf>
    <xf numFmtId="164" fontId="32" fillId="4" borderId="5" applyFont="0" applyBorder="0" applyAlignment="0" applyProtection="0">
      <alignment vertical="top"/>
    </xf>
    <xf numFmtId="284" fontId="29" fillId="0" borderId="0" applyBorder="0" applyProtection="0"/>
    <xf numFmtId="0" fontId="166" fillId="0" borderId="0" applyNumberFormat="0" applyFill="0" applyBorder="0" applyAlignment="0" applyProtection="0"/>
    <xf numFmtId="213" fontId="72" fillId="0" borderId="0" applyFill="0" applyBorder="0" applyProtection="0"/>
    <xf numFmtId="172" fontId="32" fillId="7" borderId="0" applyNumberFormat="0" applyFont="0" applyBorder="0" applyAlignment="0" applyProtection="0">
      <alignment horizontal="center"/>
      <protection locked="0"/>
    </xf>
    <xf numFmtId="166" fontId="32" fillId="7" borderId="11" applyNumberFormat="0" applyFont="0" applyAlignment="0" applyProtection="0">
      <alignment horizontal="center"/>
      <protection locked="0"/>
    </xf>
    <xf numFmtId="275" fontId="167" fillId="0" borderId="0" applyFill="0" applyBorder="0" applyAlignment="0"/>
    <xf numFmtId="276" fontId="167" fillId="0" borderId="0" applyFill="0" applyBorder="0" applyAlignment="0"/>
    <xf numFmtId="275" fontId="167" fillId="0" borderId="0" applyFill="0" applyBorder="0" applyAlignment="0"/>
    <xf numFmtId="279" fontId="167" fillId="0" borderId="0" applyFill="0" applyBorder="0" applyAlignment="0"/>
    <xf numFmtId="276" fontId="167" fillId="0" borderId="0" applyFill="0" applyBorder="0" applyAlignment="0"/>
    <xf numFmtId="0" fontId="51" fillId="0" borderId="0"/>
    <xf numFmtId="165" fontId="168" fillId="0" borderId="0">
      <alignment horizontal="left"/>
      <protection locked="0"/>
    </xf>
    <xf numFmtId="165" fontId="82" fillId="0" borderId="0">
      <alignment horizontal="left"/>
      <protection locked="0"/>
    </xf>
    <xf numFmtId="0" fontId="115" fillId="0" borderId="0" applyFill="0" applyBorder="0" applyAlignment="0" applyProtection="0"/>
    <xf numFmtId="0" fontId="169" fillId="0" borderId="0">
      <alignment horizontal="left" vertical="top"/>
      <protection locked="0"/>
    </xf>
    <xf numFmtId="40" fontId="163" fillId="4" borderId="0">
      <alignment horizontal="right"/>
    </xf>
    <xf numFmtId="0" fontId="170" fillId="7" borderId="0">
      <alignment horizontal="center"/>
    </xf>
    <xf numFmtId="0" fontId="34" fillId="42" borderId="14"/>
    <xf numFmtId="0" fontId="171" fillId="0" borderId="0" applyBorder="0">
      <alignment horizontal="centerContinuous"/>
    </xf>
    <xf numFmtId="0" fontId="172" fillId="0" borderId="0" applyBorder="0">
      <alignment horizontal="centerContinuous"/>
    </xf>
    <xf numFmtId="0" fontId="173" fillId="0" borderId="0" applyFill="0" applyBorder="0" applyProtection="0">
      <alignment horizontal="left"/>
    </xf>
    <xf numFmtId="0" fontId="174" fillId="0" borderId="0" applyFill="0" applyBorder="0" applyProtection="0">
      <alignment horizontal="left"/>
    </xf>
    <xf numFmtId="0" fontId="32" fillId="8" borderId="12" applyNumberFormat="0" applyFont="0" applyBorder="0" applyAlignment="0" applyProtection="0">
      <alignment horizontal="center"/>
    </xf>
    <xf numFmtId="0" fontId="32" fillId="43" borderId="12" applyNumberFormat="0" applyFont="0" applyBorder="0" applyAlignment="0" applyProtection="0">
      <alignment horizontal="center"/>
    </xf>
    <xf numFmtId="285" fontId="17" fillId="0" borderId="0" applyFont="0" applyFill="0" applyBorder="0" applyAlignment="0" applyProtection="0"/>
    <xf numFmtId="286" fontId="17" fillId="0" borderId="0" applyFont="0" applyFill="0" applyBorder="0" applyAlignment="0" applyProtection="0"/>
    <xf numFmtId="9" fontId="78" fillId="0" borderId="0" applyFont="0" applyFill="0" applyBorder="0" applyAlignment="0" applyProtection="0"/>
    <xf numFmtId="9" fontId="17" fillId="0" borderId="0" applyFont="0" applyFill="0" applyBorder="0" applyAlignment="0" applyProtection="0"/>
    <xf numFmtId="9" fontId="51" fillId="0" borderId="0" applyFont="0" applyFill="0" applyBorder="0" applyAlignment="0" applyProtection="0"/>
    <xf numFmtId="9" fontId="51" fillId="0" borderId="0" applyFont="0" applyFill="0" applyBorder="0" applyAlignment="0" applyProtection="0"/>
    <xf numFmtId="287" fontId="24" fillId="0" borderId="0" applyFont="0" applyFill="0" applyBorder="0" applyProtection="0">
      <alignment horizontal="right"/>
    </xf>
    <xf numFmtId="200" fontId="115" fillId="0" borderId="0" applyFill="0" applyBorder="0" applyProtection="0"/>
    <xf numFmtId="0" fontId="42" fillId="0" borderId="0">
      <alignment horizontal="centerContinuous"/>
    </xf>
    <xf numFmtId="275" fontId="175" fillId="0" borderId="0" applyFill="0" applyBorder="0" applyAlignment="0"/>
    <xf numFmtId="276" fontId="175" fillId="0" borderId="0" applyFill="0" applyBorder="0" applyAlignment="0"/>
    <xf numFmtId="275" fontId="175" fillId="0" borderId="0" applyFill="0" applyBorder="0" applyAlignment="0"/>
    <xf numFmtId="279" fontId="175" fillId="0" borderId="0" applyFill="0" applyBorder="0" applyAlignment="0"/>
    <xf numFmtId="276" fontId="175" fillId="0" borderId="0" applyFill="0" applyBorder="0" applyAlignment="0"/>
    <xf numFmtId="0" fontId="29" fillId="2" borderId="5" applyNumberFormat="0" applyFont="0" applyAlignment="0" applyProtection="0"/>
    <xf numFmtId="172" fontId="32" fillId="2" borderId="0" applyNumberFormat="0" applyFont="0" applyBorder="0" applyAlignment="0" applyProtection="0">
      <alignment horizontal="center"/>
      <protection locked="0"/>
    </xf>
    <xf numFmtId="0" fontId="176" fillId="0" borderId="0"/>
    <xf numFmtId="0" fontId="176" fillId="0" borderId="48">
      <alignment horizontal="right"/>
    </xf>
    <xf numFmtId="0" fontId="113" fillId="0" borderId="0" applyNumberFormat="0" applyFont="0" applyFill="0" applyBorder="0" applyAlignment="0" applyProtection="0">
      <alignment horizontal="left"/>
    </xf>
    <xf numFmtId="15" fontId="113" fillId="0" borderId="0" applyFont="0" applyFill="0" applyBorder="0" applyAlignment="0" applyProtection="0"/>
    <xf numFmtId="4" fontId="113" fillId="0" borderId="0" applyFont="0" applyFill="0" applyBorder="0" applyAlignment="0" applyProtection="0"/>
    <xf numFmtId="0" fontId="156" fillId="0" borderId="27">
      <alignment horizontal="center"/>
    </xf>
    <xf numFmtId="3" fontId="113" fillId="0" borderId="0" applyFont="0" applyFill="0" applyBorder="0" applyAlignment="0" applyProtection="0"/>
    <xf numFmtId="0" fontId="113" fillId="44" borderId="0" applyNumberFormat="0" applyFont="0" applyBorder="0" applyAlignment="0" applyProtection="0"/>
    <xf numFmtId="288" fontId="157" fillId="0" borderId="0" applyFont="0" applyFill="0" applyBorder="0" applyAlignment="0" applyProtection="0">
      <alignment horizontal="right"/>
    </xf>
    <xf numFmtId="14" fontId="115" fillId="0" borderId="0" applyNumberFormat="0" applyFill="0" applyBorder="0" applyAlignment="0" applyProtection="0">
      <alignment horizontal="left"/>
    </xf>
    <xf numFmtId="0" fontId="72" fillId="0" borderId="0"/>
    <xf numFmtId="0" fontId="25" fillId="45" borderId="0" applyNumberFormat="0" applyFont="0" applyBorder="0" applyAlignment="0" applyProtection="0"/>
    <xf numFmtId="0" fontId="163" fillId="0" borderId="0" applyNumberFormat="0" applyBorder="0" applyAlignment="0"/>
    <xf numFmtId="0" fontId="177" fillId="0" borderId="0" applyNumberFormat="0" applyBorder="0" applyAlignment="0"/>
    <xf numFmtId="0" fontId="178" fillId="0" borderId="0" applyNumberFormat="0" applyBorder="0" applyAlignment="0"/>
    <xf numFmtId="0" fontId="179" fillId="46" borderId="0" applyNumberFormat="0" applyBorder="0" applyAlignment="0"/>
    <xf numFmtId="0" fontId="180" fillId="0" borderId="0"/>
    <xf numFmtId="40" fontId="181" fillId="0" borderId="0" applyBorder="0">
      <alignment horizontal="right"/>
    </xf>
    <xf numFmtId="0" fontId="29" fillId="2" borderId="0" applyNumberFormat="0" applyFont="0" applyBorder="0" applyAlignment="0" applyProtection="0"/>
    <xf numFmtId="0" fontId="106" fillId="0" borderId="0" applyFill="0" applyBorder="0" applyProtection="0">
      <alignment horizontal="center" vertical="center"/>
    </xf>
    <xf numFmtId="0" fontId="106" fillId="0" borderId="0" applyFill="0" applyBorder="0" applyProtection="0"/>
    <xf numFmtId="0" fontId="161" fillId="4" borderId="13" applyNumberFormat="0" applyFont="0" applyFill="0" applyAlignment="0" applyProtection="0">
      <protection locked="0"/>
    </xf>
    <xf numFmtId="0" fontId="161" fillId="4" borderId="49" applyNumberFormat="0" applyFont="0" applyFill="0" applyAlignment="0" applyProtection="0">
      <protection locked="0"/>
    </xf>
    <xf numFmtId="49" fontId="163" fillId="0" borderId="0" applyFill="0" applyBorder="0" applyAlignment="0"/>
    <xf numFmtId="0" fontId="163" fillId="0" borderId="0" applyFill="0" applyBorder="0" applyAlignment="0"/>
    <xf numFmtId="0" fontId="163" fillId="0" borderId="0" applyFill="0" applyBorder="0" applyAlignment="0"/>
    <xf numFmtId="289" fontId="29" fillId="0" borderId="0" applyBorder="0" applyProtection="0">
      <alignment horizontal="right"/>
    </xf>
    <xf numFmtId="18" fontId="161" fillId="4" borderId="0" applyFont="0" applyFill="0" applyBorder="0" applyAlignment="0" applyProtection="0">
      <protection locked="0"/>
    </xf>
    <xf numFmtId="0" fontId="106" fillId="0" borderId="4">
      <alignment horizontal="right" wrapText="1"/>
    </xf>
    <xf numFmtId="290" fontId="32" fillId="0" borderId="0" applyBorder="0" applyProtection="0">
      <alignment horizontal="right"/>
    </xf>
    <xf numFmtId="291" fontId="17" fillId="0" borderId="0" applyFont="0" applyFill="0" applyBorder="0" applyAlignment="0" applyProtection="0"/>
    <xf numFmtId="292" fontId="17" fillId="0" borderId="0" applyFont="0" applyFill="0" applyBorder="0" applyAlignment="0" applyProtection="0"/>
    <xf numFmtId="0" fontId="29" fillId="4" borderId="0" applyNumberFormat="0" applyFont="0" applyAlignment="0" applyProtection="0"/>
    <xf numFmtId="0" fontId="29" fillId="4" borderId="13" applyNumberFormat="0" applyFont="0" applyAlignment="0" applyProtection="0">
      <protection locked="0"/>
    </xf>
    <xf numFmtId="0" fontId="182" fillId="0" borderId="0" applyNumberFormat="0" applyFill="0" applyBorder="0" applyAlignment="0" applyProtection="0"/>
    <xf numFmtId="1" fontId="183" fillId="0" borderId="0">
      <alignment horizontal="right"/>
    </xf>
    <xf numFmtId="272" fontId="25" fillId="0" borderId="0"/>
    <xf numFmtId="174" fontId="24" fillId="0" borderId="0" applyFont="0" applyFill="0" applyBorder="0" applyProtection="0">
      <alignment horizontal="right"/>
    </xf>
    <xf numFmtId="0" fontId="17" fillId="0" borderId="0"/>
    <xf numFmtId="0" fontId="51" fillId="0" borderId="0" applyProtection="0"/>
    <xf numFmtId="0" fontId="35" fillId="53" borderId="0">
      <alignment horizontal="left"/>
    </xf>
    <xf numFmtId="0" fontId="21" fillId="0" borderId="0"/>
    <xf numFmtId="0" fontId="223" fillId="0" borderId="0">
      <protection hidden="1"/>
    </xf>
    <xf numFmtId="0" fontId="21" fillId="53" borderId="0">
      <alignment horizontal="left" wrapText="1"/>
    </xf>
    <xf numFmtId="0" fontId="223" fillId="54" borderId="0">
      <alignment horizontal="left"/>
    </xf>
    <xf numFmtId="0" fontId="21" fillId="0" borderId="0" applyNumberFormat="0">
      <protection locked="0"/>
    </xf>
    <xf numFmtId="0" fontId="224" fillId="54" borderId="5">
      <alignment horizontal="center" wrapText="1"/>
    </xf>
    <xf numFmtId="0" fontId="223" fillId="54" borderId="5">
      <alignment horizontal="center" wrapText="1"/>
    </xf>
    <xf numFmtId="0" fontId="17" fillId="0" borderId="0"/>
    <xf numFmtId="0" fontId="17" fillId="55" borderId="0" applyNumberFormat="0">
      <alignment horizontal="right" wrapText="1"/>
    </xf>
    <xf numFmtId="0" fontId="17" fillId="41" borderId="0" applyNumberFormat="0">
      <alignment horizontal="right" wrapText="1"/>
      <protection locked="0"/>
    </xf>
    <xf numFmtId="0" fontId="29" fillId="56" borderId="0">
      <alignment horizontal="right"/>
    </xf>
    <xf numFmtId="270" fontId="29" fillId="56" borderId="0">
      <alignment horizontal="right"/>
    </xf>
    <xf numFmtId="0" fontId="29" fillId="56" borderId="0">
      <alignment horizontal="left"/>
    </xf>
    <xf numFmtId="0" fontId="222" fillId="0" borderId="0"/>
    <xf numFmtId="0" fontId="155" fillId="56" borderId="0">
      <alignment horizontal="left"/>
    </xf>
    <xf numFmtId="0" fontId="35" fillId="56" borderId="0">
      <alignment horizontal="left"/>
    </xf>
    <xf numFmtId="0" fontId="35" fillId="56" borderId="0">
      <alignment horizontal="left"/>
    </xf>
    <xf numFmtId="0" fontId="17" fillId="0" borderId="0"/>
    <xf numFmtId="0" fontId="17" fillId="0" borderId="0"/>
    <xf numFmtId="0" fontId="32" fillId="0" borderId="0" applyNumberFormat="0" applyAlignment="0"/>
    <xf numFmtId="0" fontId="17" fillId="0" borderId="0" applyNumberFormat="0" applyFill="0" applyBorder="0" applyAlignment="0" applyProtection="0"/>
    <xf numFmtId="5" fontId="156" fillId="0" borderId="202" applyAlignment="0" applyProtection="0"/>
    <xf numFmtId="1" fontId="24" fillId="0" borderId="203" applyNumberFormat="0">
      <alignment horizontal="right"/>
    </xf>
    <xf numFmtId="0" fontId="17" fillId="0" borderId="211">
      <alignment horizontal="left" vertical="top"/>
    </xf>
    <xf numFmtId="0" fontId="17" fillId="0" borderId="209">
      <alignment horizontal="left" vertical="top"/>
    </xf>
    <xf numFmtId="164" fontId="24" fillId="0" borderId="203" applyFill="0" applyBorder="0" applyProtection="0"/>
    <xf numFmtId="0" fontId="39" fillId="0" borderId="180" applyFont="0" applyBorder="0" applyAlignment="0"/>
    <xf numFmtId="38" fontId="32" fillId="2" borderId="0" applyNumberFormat="0" applyBorder="0" applyAlignment="0" applyProtection="0"/>
    <xf numFmtId="0" fontId="35" fillId="0" borderId="3" applyNumberFormat="0" applyAlignment="0" applyProtection="0">
      <alignment horizontal="left" vertical="center"/>
    </xf>
    <xf numFmtId="0" fontId="35" fillId="0" borderId="142">
      <alignment horizontal="left" vertical="center"/>
    </xf>
    <xf numFmtId="4" fontId="17" fillId="2" borderId="221" applyFont="0" applyFill="0" applyBorder="0" applyAlignment="0" applyProtection="0"/>
    <xf numFmtId="0" fontId="25" fillId="3" borderId="0" applyNumberFormat="0" applyFont="0" applyBorder="0" applyAlignment="0">
      <protection locked="0"/>
    </xf>
    <xf numFmtId="10" fontId="32" fillId="4" borderId="5" applyNumberFormat="0" applyBorder="0" applyAlignment="0" applyProtection="0"/>
    <xf numFmtId="0" fontId="25" fillId="5" borderId="0" applyNumberFormat="0" applyFont="0" applyBorder="0" applyAlignment="0" applyProtection="0"/>
    <xf numFmtId="0" fontId="25" fillId="0" borderId="193" applyNumberFormat="0" applyAlignment="0" applyProtection="0"/>
    <xf numFmtId="0" fontId="25" fillId="0" borderId="8" applyNumberFormat="0" applyAlignment="0" applyProtection="0"/>
    <xf numFmtId="0" fontId="25" fillId="0" borderId="0" applyNumberFormat="0" applyFill="0" applyBorder="0" applyAlignment="0" applyProtection="0"/>
    <xf numFmtId="0" fontId="17" fillId="0" borderId="0"/>
    <xf numFmtId="0" fontId="35" fillId="0" borderId="208">
      <alignment horizontal="left" vertical="center"/>
    </xf>
    <xf numFmtId="9" fontId="17" fillId="2" borderId="221" applyFont="0" applyFill="0" applyBorder="0" applyAlignment="0" applyProtection="0"/>
    <xf numFmtId="0" fontId="25" fillId="3" borderId="0" applyNumberFormat="0" applyFont="0" applyBorder="0" applyAlignment="0">
      <protection locked="0"/>
    </xf>
    <xf numFmtId="0" fontId="129" fillId="0" borderId="213">
      <alignment horizontal="center"/>
    </xf>
    <xf numFmtId="245" fontId="75" fillId="0" borderId="203" applyBorder="0" applyProtection="0">
      <alignment horizontal="right" vertical="center"/>
    </xf>
    <xf numFmtId="0" fontId="149" fillId="0" borderId="211" applyFill="0" applyBorder="0" applyProtection="0"/>
    <xf numFmtId="0" fontId="32" fillId="0" borderId="224" applyFill="0" applyBorder="0" applyProtection="0">
      <alignment horizontal="left" vertical="top"/>
    </xf>
    <xf numFmtId="2" fontId="17" fillId="2" borderId="221" applyFont="0" applyFill="0" applyBorder="0" applyAlignment="0" applyProtection="0"/>
    <xf numFmtId="169" fontId="17" fillId="2" borderId="221" applyFont="0" applyFill="0" applyBorder="0" applyAlignment="0" applyProtection="0"/>
    <xf numFmtId="164" fontId="24" fillId="0" borderId="213" applyFill="0" applyBorder="0" applyProtection="0"/>
    <xf numFmtId="0" fontId="17" fillId="0" borderId="180">
      <alignment horizontal="left" vertical="top"/>
    </xf>
    <xf numFmtId="166" fontId="115" fillId="0" borderId="212" applyBorder="0"/>
    <xf numFmtId="0" fontId="17" fillId="0" borderId="180">
      <alignment horizontal="left" vertical="top"/>
    </xf>
    <xf numFmtId="0" fontId="17" fillId="23" borderId="219" applyNumberFormat="0" applyFont="0" applyAlignment="0" applyProtection="0"/>
    <xf numFmtId="168" fontId="115" fillId="0" borderId="212" applyBorder="0"/>
    <xf numFmtId="0" fontId="131" fillId="0" borderId="204">
      <alignment horizontal="left" vertical="top"/>
    </xf>
    <xf numFmtId="0" fontId="130" fillId="0" borderId="204">
      <alignment horizontal="left" vertical="top"/>
    </xf>
    <xf numFmtId="0" fontId="17" fillId="0" borderId="211">
      <alignment horizontal="left" vertical="top"/>
    </xf>
    <xf numFmtId="0" fontId="17" fillId="0" borderId="204">
      <alignment horizontal="left" vertical="top"/>
    </xf>
    <xf numFmtId="0" fontId="75" fillId="0" borderId="170" applyBorder="0" applyProtection="0">
      <alignment horizontal="right" vertical="center"/>
    </xf>
    <xf numFmtId="0" fontId="76" fillId="12" borderId="170" applyBorder="0" applyProtection="0">
      <alignment horizontal="centerContinuous" vertical="center"/>
    </xf>
    <xf numFmtId="0" fontId="66" fillId="0" borderId="180" applyFill="0" applyBorder="0" applyProtection="0">
      <alignment horizontal="left" vertical="top"/>
    </xf>
    <xf numFmtId="0" fontId="66" fillId="0" borderId="209" applyFill="0" applyBorder="0" applyProtection="0">
      <alignment horizontal="left" vertical="top"/>
    </xf>
    <xf numFmtId="0" fontId="25" fillId="0" borderId="205" applyNumberFormat="0" applyAlignment="0" applyProtection="0"/>
    <xf numFmtId="0" fontId="129" fillId="0" borderId="207">
      <alignment horizontal="center"/>
    </xf>
    <xf numFmtId="37" fontId="132" fillId="0" borderId="207">
      <alignment horizontal="right"/>
    </xf>
    <xf numFmtId="0" fontId="39" fillId="0" borderId="204" applyFont="0" applyBorder="0" applyAlignment="0"/>
    <xf numFmtId="0" fontId="32" fillId="43" borderId="106" applyNumberFormat="0" applyFont="0" applyBorder="0" applyAlignment="0" applyProtection="0">
      <alignment horizontal="center"/>
    </xf>
    <xf numFmtId="0" fontId="32" fillId="8" borderId="106" applyNumberFormat="0" applyFont="0" applyBorder="0" applyAlignment="0" applyProtection="0">
      <alignment horizontal="center"/>
    </xf>
    <xf numFmtId="0" fontId="17" fillId="0" borderId="224">
      <alignment horizontal="left" vertical="top"/>
    </xf>
    <xf numFmtId="0" fontId="83" fillId="32" borderId="226" applyNumberFormat="0" applyAlignment="0" applyProtection="0"/>
    <xf numFmtId="0" fontId="130" fillId="0" borderId="209">
      <alignment horizontal="left" vertical="top"/>
    </xf>
    <xf numFmtId="253" fontId="17" fillId="0" borderId="207" applyFill="0"/>
    <xf numFmtId="166" fontId="32" fillId="7" borderId="203" applyNumberFormat="0" applyFont="0" applyAlignment="0" applyProtection="0">
      <alignment horizontal="center"/>
      <protection locked="0"/>
    </xf>
    <xf numFmtId="0" fontId="39" fillId="0" borderId="224" applyFont="0" applyBorder="0" applyAlignment="0"/>
    <xf numFmtId="164" fontId="24" fillId="0" borderId="207" applyFill="0" applyBorder="0" applyProtection="0"/>
    <xf numFmtId="0" fontId="32" fillId="0" borderId="194" applyNumberFormat="0" applyFill="0" applyAlignment="0" applyProtection="0"/>
    <xf numFmtId="0" fontId="82" fillId="0" borderId="170" applyNumberFormat="0" applyFill="0" applyAlignment="0" applyProtection="0"/>
    <xf numFmtId="0" fontId="83" fillId="32" borderId="195" applyNumberFormat="0" applyAlignment="0" applyProtection="0"/>
    <xf numFmtId="0" fontId="131" fillId="0" borderId="209">
      <alignment horizontal="left" vertical="top"/>
    </xf>
    <xf numFmtId="274" fontId="158" fillId="0" borderId="214" applyBorder="0"/>
    <xf numFmtId="0" fontId="88" fillId="0" borderId="222" applyNumberFormat="0" applyFill="0" applyAlignment="0" applyProtection="0"/>
    <xf numFmtId="0" fontId="152" fillId="0" borderId="203" applyNumberFormat="0" applyFill="0" applyProtection="0"/>
    <xf numFmtId="0" fontId="103" fillId="32" borderId="229" applyNumberFormat="0" applyAlignment="0" applyProtection="0"/>
    <xf numFmtId="0" fontId="149" fillId="0" borderId="204" applyFill="0" applyBorder="0" applyProtection="0"/>
    <xf numFmtId="165" fontId="133" fillId="0" borderId="213"/>
    <xf numFmtId="0" fontId="32" fillId="0" borderId="204" applyFill="0" applyBorder="0" applyProtection="0">
      <alignment horizontal="left" vertical="top"/>
    </xf>
    <xf numFmtId="0" fontId="25" fillId="3" borderId="0" applyNumberFormat="0" applyFont="0" applyBorder="0" applyAlignment="0">
      <protection locked="0"/>
    </xf>
    <xf numFmtId="239" fontId="115" fillId="0" borderId="184" applyBorder="0"/>
    <xf numFmtId="0" fontId="39" fillId="0" borderId="211" applyFont="0" applyBorder="0" applyAlignment="0"/>
    <xf numFmtId="166" fontId="115" fillId="0" borderId="106" applyBorder="0"/>
    <xf numFmtId="0" fontId="32" fillId="43" borderId="212" applyNumberFormat="0" applyFont="0" applyBorder="0" applyAlignment="0" applyProtection="0">
      <alignment horizontal="center"/>
    </xf>
    <xf numFmtId="0" fontId="32" fillId="8" borderId="212" applyNumberFormat="0" applyFont="0" applyBorder="0" applyAlignment="0" applyProtection="0">
      <alignment horizontal="center"/>
    </xf>
    <xf numFmtId="0" fontId="82" fillId="0" borderId="207" applyNumberFormat="0" applyFill="0" applyAlignment="0" applyProtection="0"/>
    <xf numFmtId="174" fontId="17" fillId="0" borderId="223" applyNumberFormat="0" applyFill="0" applyAlignment="0" applyProtection="0"/>
    <xf numFmtId="0" fontId="32" fillId="0" borderId="211" applyFill="0" applyBorder="0" applyProtection="0">
      <alignment horizontal="left" vertical="top"/>
    </xf>
    <xf numFmtId="10" fontId="17" fillId="2" borderId="221" applyFont="0" applyFill="0" applyBorder="0" applyAlignment="0" applyProtection="0"/>
    <xf numFmtId="0" fontId="129" fillId="0" borderId="170">
      <alignment horizontal="center"/>
    </xf>
    <xf numFmtId="3" fontId="17" fillId="2" borderId="221" applyFont="0" applyFill="0" applyBorder="0" applyAlignment="0" applyProtection="0"/>
    <xf numFmtId="0" fontId="130" fillId="0" borderId="180">
      <alignment horizontal="left" vertical="top"/>
    </xf>
    <xf numFmtId="0" fontId="66" fillId="0" borderId="224" applyFill="0" applyBorder="0" applyProtection="0">
      <alignment horizontal="left" vertical="top"/>
    </xf>
    <xf numFmtId="0" fontId="131" fillId="0" borderId="180">
      <alignment horizontal="left" vertical="top"/>
    </xf>
    <xf numFmtId="37" fontId="132" fillId="0" borderId="170">
      <alignment horizontal="right"/>
    </xf>
    <xf numFmtId="165" fontId="133" fillId="0" borderId="170"/>
    <xf numFmtId="168" fontId="115" fillId="0" borderId="106" applyBorder="0"/>
    <xf numFmtId="165" fontId="133" fillId="0" borderId="207"/>
    <xf numFmtId="253" fontId="17" fillId="0" borderId="203" applyFill="0"/>
    <xf numFmtId="253" fontId="17" fillId="0" borderId="170" applyFill="0"/>
    <xf numFmtId="0" fontId="17" fillId="3" borderId="196">
      <alignment horizontal="left" vertical="center" wrapText="1"/>
    </xf>
    <xf numFmtId="165" fontId="133" fillId="0" borderId="203"/>
    <xf numFmtId="37" fontId="132" fillId="0" borderId="203">
      <alignment horizontal="right"/>
    </xf>
    <xf numFmtId="3" fontId="17" fillId="2" borderId="230" applyFont="0" applyFill="0" applyBorder="0" applyAlignment="0" applyProtection="0"/>
    <xf numFmtId="9" fontId="17" fillId="2" borderId="230" applyFont="0" applyFill="0" applyBorder="0" applyAlignment="0" applyProtection="0"/>
    <xf numFmtId="0" fontId="129" fillId="0" borderId="203">
      <alignment horizontal="center"/>
    </xf>
    <xf numFmtId="168" fontId="115" fillId="0" borderId="184" applyBorder="0"/>
    <xf numFmtId="0" fontId="17" fillId="23" borderId="197" applyNumberFormat="0" applyFont="0" applyAlignment="0" applyProtection="0"/>
    <xf numFmtId="0" fontId="103" fillId="32" borderId="198" applyNumberFormat="0" applyAlignment="0" applyProtection="0"/>
    <xf numFmtId="0" fontId="149" fillId="0" borderId="209" applyFill="0" applyBorder="0" applyProtection="0"/>
    <xf numFmtId="239" fontId="115" fillId="0" borderId="106" applyBorder="0"/>
    <xf numFmtId="0" fontId="152" fillId="0" borderId="207" applyNumberFormat="0" applyFill="0" applyProtection="0"/>
    <xf numFmtId="1" fontId="24" fillId="0" borderId="207" applyNumberFormat="0">
      <alignment horizontal="right"/>
    </xf>
    <xf numFmtId="37" fontId="132" fillId="0" borderId="213">
      <alignment horizontal="right"/>
    </xf>
    <xf numFmtId="2" fontId="17" fillId="2" borderId="230" applyFont="0" applyFill="0" applyBorder="0" applyAlignment="0" applyProtection="0"/>
    <xf numFmtId="0" fontId="82" fillId="0" borderId="203" applyNumberFormat="0" applyFill="0" applyAlignment="0" applyProtection="0"/>
    <xf numFmtId="166" fontId="32" fillId="7" borderId="207" applyNumberFormat="0" applyFont="0" applyAlignment="0" applyProtection="0">
      <alignment horizontal="center"/>
      <protection locked="0"/>
    </xf>
    <xf numFmtId="0" fontId="76" fillId="12" borderId="213" applyBorder="0" applyProtection="0">
      <alignment horizontal="centerContinuous" vertical="center"/>
    </xf>
    <xf numFmtId="0" fontId="75" fillId="0" borderId="213" applyBorder="0" applyProtection="0">
      <alignment horizontal="right" vertical="center"/>
    </xf>
    <xf numFmtId="0" fontId="17" fillId="23" borderId="228" applyNumberFormat="0" applyFont="0" applyAlignment="0" applyProtection="0"/>
    <xf numFmtId="0" fontId="39" fillId="0" borderId="209" applyFont="0" applyBorder="0" applyAlignment="0"/>
    <xf numFmtId="166" fontId="115" fillId="0" borderId="184" applyBorder="0"/>
    <xf numFmtId="0" fontId="66" fillId="0" borderId="204" applyFill="0" applyBorder="0" applyProtection="0">
      <alignment horizontal="left" vertical="top"/>
    </xf>
    <xf numFmtId="166" fontId="32" fillId="7" borderId="213" applyNumberFormat="0" applyFont="0" applyAlignment="0" applyProtection="0">
      <alignment horizontal="center"/>
      <protection locked="0"/>
    </xf>
    <xf numFmtId="0" fontId="76" fillId="12" borderId="203" applyBorder="0" applyProtection="0">
      <alignment horizontal="centerContinuous" vertical="center"/>
    </xf>
    <xf numFmtId="0" fontId="152" fillId="0" borderId="213" applyNumberFormat="0" applyFill="0" applyProtection="0"/>
    <xf numFmtId="10" fontId="17" fillId="2" borderId="230" applyFont="0" applyFill="0" applyBorder="0" applyAlignment="0" applyProtection="0"/>
    <xf numFmtId="239" fontId="115" fillId="0" borderId="212" applyBorder="0"/>
    <xf numFmtId="164" fontId="24" fillId="0" borderId="170" applyFill="0" applyBorder="0" applyProtection="0"/>
    <xf numFmtId="0" fontId="88" fillId="0" borderId="231" applyNumberFormat="0" applyFill="0" applyAlignment="0" applyProtection="0"/>
    <xf numFmtId="3" fontId="17" fillId="2" borderId="199" applyFont="0" applyFill="0" applyBorder="0" applyAlignment="0" applyProtection="0"/>
    <xf numFmtId="4" fontId="17" fillId="2" borderId="199" applyFont="0" applyFill="0" applyBorder="0" applyAlignment="0" applyProtection="0"/>
    <xf numFmtId="169" fontId="17" fillId="2" borderId="199" applyFont="0" applyFill="0" applyBorder="0" applyAlignment="0" applyProtection="0"/>
    <xf numFmtId="10" fontId="17" fillId="2" borderId="199" applyFont="0" applyFill="0" applyBorder="0" applyAlignment="0" applyProtection="0"/>
    <xf numFmtId="9" fontId="17" fillId="2" borderId="199" applyFont="0" applyFill="0" applyBorder="0" applyAlignment="0" applyProtection="0"/>
    <xf numFmtId="2" fontId="17" fillId="2" borderId="199" applyFont="0" applyFill="0" applyBorder="0" applyAlignment="0" applyProtection="0"/>
    <xf numFmtId="245" fontId="75" fillId="0" borderId="170" applyBorder="0" applyProtection="0">
      <alignment horizontal="right" vertical="center"/>
    </xf>
    <xf numFmtId="0" fontId="32" fillId="0" borderId="180" applyFill="0" applyBorder="0" applyProtection="0">
      <alignment horizontal="left" vertical="top"/>
    </xf>
    <xf numFmtId="0" fontId="17" fillId="0" borderId="0"/>
    <xf numFmtId="245" fontId="75" fillId="0" borderId="213" applyBorder="0" applyProtection="0">
      <alignment horizontal="right" vertical="center"/>
    </xf>
    <xf numFmtId="0" fontId="17" fillId="0" borderId="209">
      <alignment horizontal="left" vertical="top"/>
    </xf>
    <xf numFmtId="0" fontId="149" fillId="0" borderId="180" applyFill="0" applyBorder="0" applyProtection="0"/>
    <xf numFmtId="0" fontId="17" fillId="0" borderId="224">
      <alignment horizontal="left" vertical="top"/>
    </xf>
    <xf numFmtId="1" fontId="117" fillId="0" borderId="142" applyFill="0" applyBorder="0" applyProtection="0">
      <alignment horizontal="right"/>
    </xf>
    <xf numFmtId="0" fontId="25" fillId="3" borderId="0" applyNumberFormat="0" applyFont="0" applyBorder="0" applyAlignment="0">
      <protection locked="0"/>
    </xf>
    <xf numFmtId="0" fontId="88" fillId="0" borderId="200" applyNumberFormat="0" applyFill="0" applyAlignment="0" applyProtection="0"/>
    <xf numFmtId="0" fontId="32" fillId="0" borderId="209" applyFill="0" applyBorder="0" applyProtection="0">
      <alignment horizontal="left" vertical="top"/>
    </xf>
    <xf numFmtId="0" fontId="152" fillId="0" borderId="170" applyNumberFormat="0" applyFill="0" applyProtection="0"/>
    <xf numFmtId="1" fontId="24" fillId="0" borderId="170" applyNumberFormat="0">
      <alignment horizontal="right"/>
    </xf>
    <xf numFmtId="0" fontId="25" fillId="3" borderId="0" applyNumberFormat="0" applyFont="0" applyBorder="0" applyAlignment="0">
      <protection locked="0"/>
    </xf>
    <xf numFmtId="0" fontId="149" fillId="0" borderId="224" applyFill="0" applyBorder="0" applyProtection="0"/>
    <xf numFmtId="0" fontId="17" fillId="3" borderId="218">
      <alignment horizontal="left" vertical="center" wrapText="1"/>
    </xf>
    <xf numFmtId="0" fontId="15" fillId="0" borderId="0"/>
    <xf numFmtId="43" fontId="15" fillId="0" borderId="0" applyFont="0" applyFill="0" applyBorder="0" applyAlignment="0" applyProtection="0"/>
    <xf numFmtId="0" fontId="76" fillId="12" borderId="207" applyBorder="0" applyProtection="0">
      <alignment horizontal="centerContinuous" vertical="center"/>
    </xf>
    <xf numFmtId="274" fontId="158" fillId="0" borderId="191" applyBorder="0"/>
    <xf numFmtId="0" fontId="130" fillId="0" borderId="224">
      <alignment horizontal="left" vertical="top"/>
    </xf>
    <xf numFmtId="0" fontId="162" fillId="4" borderId="53" applyNumberFormat="0" applyFill="0" applyBorder="0" applyAlignment="0" applyProtection="0">
      <protection locked="0"/>
    </xf>
    <xf numFmtId="5" fontId="156" fillId="0" borderId="143" applyAlignment="0" applyProtection="0"/>
    <xf numFmtId="174" fontId="17" fillId="0" borderId="206" applyNumberFormat="0" applyFill="0" applyAlignment="0" applyProtection="0"/>
    <xf numFmtId="174" fontId="17" fillId="0" borderId="201" applyNumberFormat="0" applyFill="0" applyAlignment="0" applyProtection="0"/>
    <xf numFmtId="0" fontId="25" fillId="0" borderId="215" applyNumberFormat="0" applyAlignment="0" applyProtection="0"/>
    <xf numFmtId="0" fontId="66" fillId="0" borderId="211" applyFill="0" applyBorder="0" applyProtection="0">
      <alignment horizontal="left" vertical="top"/>
    </xf>
    <xf numFmtId="0" fontId="17" fillId="0" borderId="0"/>
    <xf numFmtId="166" fontId="32" fillId="7" borderId="170" applyNumberFormat="0" applyFont="0" applyAlignment="0" applyProtection="0">
      <alignment horizontal="center"/>
      <protection locked="0"/>
    </xf>
    <xf numFmtId="0" fontId="34" fillId="42" borderId="53"/>
    <xf numFmtId="169" fontId="17" fillId="2" borderId="230" applyFont="0" applyFill="0" applyBorder="0" applyAlignment="0" applyProtection="0"/>
    <xf numFmtId="245" fontId="75" fillId="0" borderId="207" applyBorder="0" applyProtection="0">
      <alignment horizontal="right" vertical="center"/>
    </xf>
    <xf numFmtId="0" fontId="32" fillId="8" borderId="184" applyNumberFormat="0" applyFont="0" applyBorder="0" applyAlignment="0" applyProtection="0">
      <alignment horizontal="center"/>
    </xf>
    <xf numFmtId="0" fontId="32" fillId="43" borderId="184" applyNumberFormat="0" applyFont="0" applyBorder="0" applyAlignment="0" applyProtection="0">
      <alignment horizontal="center"/>
    </xf>
    <xf numFmtId="0" fontId="75" fillId="0" borderId="203" applyBorder="0" applyProtection="0">
      <alignment horizontal="right" vertical="center"/>
    </xf>
    <xf numFmtId="0" fontId="103" fillId="32" borderId="220" applyNumberFormat="0" applyAlignment="0" applyProtection="0"/>
    <xf numFmtId="0" fontId="131" fillId="0" borderId="224">
      <alignment horizontal="left" vertical="top"/>
    </xf>
    <xf numFmtId="253" fontId="17" fillId="0" borderId="213" applyFill="0"/>
    <xf numFmtId="0" fontId="17" fillId="0" borderId="204">
      <alignment horizontal="left" vertical="top"/>
    </xf>
    <xf numFmtId="0" fontId="17" fillId="0" borderId="0"/>
    <xf numFmtId="4" fontId="17" fillId="2" borderId="230" applyFont="0" applyFill="0" applyBorder="0" applyAlignment="0" applyProtection="0"/>
    <xf numFmtId="0" fontId="161" fillId="4" borderId="143" applyNumberFormat="0" applyFont="0" applyFill="0" applyAlignment="0" applyProtection="0">
      <protection locked="0"/>
    </xf>
    <xf numFmtId="0" fontId="130" fillId="0" borderId="211">
      <alignment horizontal="left" vertical="top"/>
    </xf>
    <xf numFmtId="0" fontId="106" fillId="0" borderId="142">
      <alignment horizontal="right" wrapText="1"/>
    </xf>
    <xf numFmtId="1" fontId="117" fillId="0" borderId="208" applyFill="0" applyBorder="0" applyProtection="0">
      <alignment horizontal="right"/>
    </xf>
    <xf numFmtId="0" fontId="29" fillId="4" borderId="143" applyNumberFormat="0" applyFont="0" applyAlignment="0" applyProtection="0">
      <protection locked="0"/>
    </xf>
    <xf numFmtId="0" fontId="17" fillId="3" borderId="227">
      <alignment horizontal="left" vertical="center" wrapText="1"/>
    </xf>
    <xf numFmtId="1" fontId="24" fillId="0" borderId="213" applyNumberFormat="0">
      <alignment horizontal="right"/>
    </xf>
    <xf numFmtId="0" fontId="17" fillId="0" borderId="0"/>
    <xf numFmtId="0" fontId="75" fillId="0" borderId="207" applyBorder="0" applyProtection="0">
      <alignment horizontal="right" vertical="center"/>
    </xf>
    <xf numFmtId="0" fontId="161" fillId="4" borderId="202" applyNumberFormat="0" applyFont="0" applyFill="0" applyAlignment="0" applyProtection="0">
      <protection locked="0"/>
    </xf>
    <xf numFmtId="0" fontId="25" fillId="0" borderId="210" applyNumberFormat="0" applyAlignment="0" applyProtection="0"/>
    <xf numFmtId="0" fontId="29" fillId="4" borderId="202" applyNumberFormat="0" applyFont="0" applyAlignment="0" applyProtection="0">
      <protection locked="0"/>
    </xf>
    <xf numFmtId="0" fontId="32" fillId="0" borderId="216" applyNumberFormat="0" applyFill="0" applyAlignment="0" applyProtection="0"/>
    <xf numFmtId="0" fontId="82" fillId="0" borderId="213" applyNumberFormat="0" applyFill="0" applyAlignment="0" applyProtection="0"/>
    <xf numFmtId="0" fontId="83" fillId="32" borderId="217" applyNumberFormat="0" applyAlignment="0" applyProtection="0"/>
    <xf numFmtId="0" fontId="106" fillId="0" borderId="208">
      <alignment horizontal="right" wrapText="1"/>
    </xf>
    <xf numFmtId="0" fontId="32" fillId="0" borderId="225" applyNumberFormat="0" applyFill="0" applyAlignment="0" applyProtection="0"/>
    <xf numFmtId="0" fontId="131" fillId="0" borderId="211">
      <alignment horizontal="left" vertical="top"/>
    </xf>
    <xf numFmtId="0" fontId="17" fillId="0" borderId="0"/>
    <xf numFmtId="0" fontId="39" fillId="0" borderId="126" applyFont="0" applyBorder="0" applyAlignment="0"/>
    <xf numFmtId="0" fontId="25" fillId="3" borderId="0" applyNumberFormat="0" applyFont="0" applyBorder="0" applyAlignment="0">
      <protection locked="0"/>
    </xf>
    <xf numFmtId="0" fontId="17" fillId="0" borderId="0"/>
    <xf numFmtId="2" fontId="17" fillId="2" borderId="264" applyFont="0" applyFill="0" applyBorder="0" applyAlignment="0" applyProtection="0"/>
    <xf numFmtId="0" fontId="17" fillId="0" borderId="126">
      <alignment horizontal="left" vertical="top"/>
    </xf>
    <xf numFmtId="0" fontId="17" fillId="0" borderId="126">
      <alignment horizontal="left" vertical="top"/>
    </xf>
    <xf numFmtId="0" fontId="66" fillId="0" borderId="126" applyFill="0" applyBorder="0" applyProtection="0">
      <alignment horizontal="left" vertical="top"/>
    </xf>
    <xf numFmtId="9" fontId="17" fillId="2" borderId="264" applyFont="0" applyFill="0" applyBorder="0" applyAlignment="0" applyProtection="0"/>
    <xf numFmtId="0" fontId="25" fillId="0" borderId="258" applyNumberFormat="0" applyAlignment="0" applyProtection="0"/>
    <xf numFmtId="4" fontId="17" fillId="2" borderId="264" applyFont="0" applyFill="0" applyBorder="0" applyAlignment="0" applyProtection="0"/>
    <xf numFmtId="5" fontId="156" fillId="0" borderId="266" applyAlignment="0" applyProtection="0"/>
    <xf numFmtId="0" fontId="130" fillId="0" borderId="126">
      <alignment horizontal="left" vertical="top"/>
    </xf>
    <xf numFmtId="0" fontId="131" fillId="0" borderId="126">
      <alignment horizontal="left" vertical="top"/>
    </xf>
    <xf numFmtId="0" fontId="32" fillId="0" borderId="126" applyFill="0" applyBorder="0" applyProtection="0">
      <alignment horizontal="left" vertical="top"/>
    </xf>
    <xf numFmtId="0" fontId="149" fillId="0" borderId="126" applyFill="0" applyBorder="0" applyProtection="0"/>
    <xf numFmtId="0" fontId="25" fillId="3" borderId="0" applyNumberFormat="0" applyFont="0" applyBorder="0" applyAlignment="0">
      <protection locked="0"/>
    </xf>
    <xf numFmtId="0" fontId="39" fillId="0" borderId="236" applyFont="0" applyBorder="0" applyAlignment="0"/>
    <xf numFmtId="169" fontId="17" fillId="2" borderId="264" applyFont="0" applyFill="0" applyBorder="0" applyAlignment="0" applyProtection="0"/>
    <xf numFmtId="5" fontId="156" fillId="0" borderId="232" applyAlignment="0" applyProtection="0"/>
    <xf numFmtId="0" fontId="161" fillId="4" borderId="232" applyNumberFormat="0" applyFont="0" applyFill="0" applyAlignment="0" applyProtection="0">
      <protection locked="0"/>
    </xf>
    <xf numFmtId="0" fontId="29" fillId="4" borderId="232" applyNumberFormat="0" applyFont="0" applyAlignment="0" applyProtection="0">
      <protection locked="0"/>
    </xf>
    <xf numFmtId="5" fontId="156" fillId="0" borderId="233" applyAlignment="0" applyProtection="0"/>
    <xf numFmtId="1" fontId="24" fillId="0" borderId="213" applyNumberFormat="0">
      <alignment horizontal="right"/>
    </xf>
    <xf numFmtId="0" fontId="17" fillId="0" borderId="236">
      <alignment horizontal="left" vertical="top"/>
    </xf>
    <xf numFmtId="0" fontId="17" fillId="0" borderId="236">
      <alignment horizontal="left" vertical="top"/>
    </xf>
    <xf numFmtId="164" fontId="24" fillId="0" borderId="213" applyFill="0" applyBorder="0" applyProtection="0"/>
    <xf numFmtId="0" fontId="39" fillId="0" borderId="236" applyFont="0" applyBorder="0" applyAlignment="0"/>
    <xf numFmtId="0" fontId="35" fillId="0" borderId="208">
      <alignment horizontal="left" vertical="center"/>
    </xf>
    <xf numFmtId="4" fontId="17" fillId="2" borderId="249" applyFont="0" applyFill="0" applyBorder="0" applyAlignment="0" applyProtection="0"/>
    <xf numFmtId="0" fontId="25" fillId="0" borderId="215" applyNumberFormat="0" applyAlignment="0" applyProtection="0"/>
    <xf numFmtId="9" fontId="17" fillId="2" borderId="249" applyFont="0" applyFill="0" applyBorder="0" applyAlignment="0" applyProtection="0"/>
    <xf numFmtId="245" fontId="75" fillId="0" borderId="213" applyBorder="0" applyProtection="0">
      <alignment horizontal="right" vertical="center"/>
    </xf>
    <xf numFmtId="0" fontId="149" fillId="0" borderId="236" applyFill="0" applyBorder="0" applyProtection="0"/>
    <xf numFmtId="0" fontId="32" fillId="0" borderId="236" applyFill="0" applyBorder="0" applyProtection="0">
      <alignment horizontal="left" vertical="top"/>
    </xf>
    <xf numFmtId="2" fontId="17" fillId="2" borderId="249" applyFont="0" applyFill="0" applyBorder="0" applyAlignment="0" applyProtection="0"/>
    <xf numFmtId="169" fontId="17" fillId="2" borderId="249" applyFont="0" applyFill="0" applyBorder="0" applyAlignment="0" applyProtection="0"/>
    <xf numFmtId="0" fontId="17" fillId="0" borderId="236">
      <alignment horizontal="left" vertical="top"/>
    </xf>
    <xf numFmtId="166" fontId="115" fillId="0" borderId="237" applyBorder="0"/>
    <xf numFmtId="0" fontId="17" fillId="0" borderId="236">
      <alignment horizontal="left" vertical="top"/>
    </xf>
    <xf numFmtId="0" fontId="17" fillId="23" borderId="247" applyNumberFormat="0" applyFont="0" applyAlignment="0" applyProtection="0"/>
    <xf numFmtId="168" fontId="115" fillId="0" borderId="237" applyBorder="0"/>
    <xf numFmtId="0" fontId="131" fillId="0" borderId="236">
      <alignment horizontal="left" vertical="top"/>
    </xf>
    <xf numFmtId="0" fontId="130" fillId="0" borderId="236">
      <alignment horizontal="left" vertical="top"/>
    </xf>
    <xf numFmtId="0" fontId="17" fillId="0" borderId="236">
      <alignment horizontal="left" vertical="top"/>
    </xf>
    <xf numFmtId="0" fontId="17" fillId="0" borderId="236">
      <alignment horizontal="left" vertical="top"/>
    </xf>
    <xf numFmtId="0" fontId="75" fillId="0" borderId="213" applyBorder="0" applyProtection="0">
      <alignment horizontal="right" vertical="center"/>
    </xf>
    <xf numFmtId="0" fontId="76" fillId="12" borderId="213" applyBorder="0" applyProtection="0">
      <alignment horizontal="centerContinuous" vertical="center"/>
    </xf>
    <xf numFmtId="0" fontId="66" fillId="0" borderId="236" applyFill="0" applyBorder="0" applyProtection="0">
      <alignment horizontal="left" vertical="top"/>
    </xf>
    <xf numFmtId="0" fontId="66" fillId="0" borderId="236" applyFill="0" applyBorder="0" applyProtection="0">
      <alignment horizontal="left" vertical="top"/>
    </xf>
    <xf numFmtId="0" fontId="25" fillId="0" borderId="215" applyNumberFormat="0" applyAlignment="0" applyProtection="0"/>
    <xf numFmtId="0" fontId="129" fillId="0" borderId="213">
      <alignment horizontal="center"/>
    </xf>
    <xf numFmtId="37" fontId="132" fillId="0" borderId="213">
      <alignment horizontal="right"/>
    </xf>
    <xf numFmtId="0" fontId="39" fillId="0" borderId="236" applyFont="0" applyBorder="0" applyAlignment="0"/>
    <xf numFmtId="0" fontId="17" fillId="0" borderId="236">
      <alignment horizontal="left" vertical="top"/>
    </xf>
    <xf numFmtId="0" fontId="83" fillId="32" borderId="245" applyNumberFormat="0" applyAlignment="0" applyProtection="0"/>
    <xf numFmtId="0" fontId="130" fillId="0" borderId="236">
      <alignment horizontal="left" vertical="top"/>
    </xf>
    <xf numFmtId="253" fontId="17" fillId="0" borderId="213" applyFill="0"/>
    <xf numFmtId="166" fontId="32" fillId="7" borderId="213" applyNumberFormat="0" applyFont="0" applyAlignment="0" applyProtection="0">
      <alignment horizontal="center"/>
      <protection locked="0"/>
    </xf>
    <xf numFmtId="0" fontId="39" fillId="0" borderId="236" applyFont="0" applyBorder="0" applyAlignment="0"/>
    <xf numFmtId="164" fontId="24" fillId="0" borderId="213" applyFill="0" applyBorder="0" applyProtection="0"/>
    <xf numFmtId="0" fontId="32" fillId="0" borderId="238" applyNumberFormat="0" applyFill="0" applyAlignment="0" applyProtection="0"/>
    <xf numFmtId="0" fontId="82" fillId="0" borderId="213" applyNumberFormat="0" applyFill="0" applyAlignment="0" applyProtection="0"/>
    <xf numFmtId="0" fontId="83" fillId="32" borderId="239" applyNumberFormat="0" applyAlignment="0" applyProtection="0"/>
    <xf numFmtId="0" fontId="131" fillId="0" borderId="236">
      <alignment horizontal="left" vertical="top"/>
    </xf>
    <xf numFmtId="0" fontId="88" fillId="0" borderId="250" applyNumberFormat="0" applyFill="0" applyAlignment="0" applyProtection="0"/>
    <xf numFmtId="0" fontId="152" fillId="0" borderId="213" applyNumberFormat="0" applyFill="0" applyProtection="0"/>
    <xf numFmtId="0" fontId="103" fillId="32" borderId="248" applyNumberFormat="0" applyAlignment="0" applyProtection="0"/>
    <xf numFmtId="0" fontId="149" fillId="0" borderId="236" applyFill="0" applyBorder="0" applyProtection="0"/>
    <xf numFmtId="0" fontId="32" fillId="0" borderId="236" applyFill="0" applyBorder="0" applyProtection="0">
      <alignment horizontal="left" vertical="top"/>
    </xf>
    <xf numFmtId="239" fontId="115" fillId="0" borderId="237" applyBorder="0"/>
    <xf numFmtId="0" fontId="39" fillId="0" borderId="236" applyFont="0" applyBorder="0" applyAlignment="0"/>
    <xf numFmtId="0" fontId="32" fillId="43" borderId="237" applyNumberFormat="0" applyFont="0" applyBorder="0" applyAlignment="0" applyProtection="0">
      <alignment horizontal="center"/>
    </xf>
    <xf numFmtId="0" fontId="32" fillId="8" borderId="237" applyNumberFormat="0" applyFont="0" applyBorder="0" applyAlignment="0" applyProtection="0">
      <alignment horizontal="center"/>
    </xf>
    <xf numFmtId="0" fontId="82" fillId="0" borderId="213" applyNumberFormat="0" applyFill="0" applyAlignment="0" applyProtection="0"/>
    <xf numFmtId="174" fontId="17" fillId="0" borderId="243" applyNumberFormat="0" applyFill="0" applyAlignment="0" applyProtection="0"/>
    <xf numFmtId="0" fontId="32" fillId="0" borderId="236" applyFill="0" applyBorder="0" applyProtection="0">
      <alignment horizontal="left" vertical="top"/>
    </xf>
    <xf numFmtId="10" fontId="17" fillId="2" borderId="249" applyFont="0" applyFill="0" applyBorder="0" applyAlignment="0" applyProtection="0"/>
    <xf numFmtId="0" fontId="129" fillId="0" borderId="213">
      <alignment horizontal="center"/>
    </xf>
    <xf numFmtId="3" fontId="17" fillId="2" borderId="249" applyFont="0" applyFill="0" applyBorder="0" applyAlignment="0" applyProtection="0"/>
    <xf numFmtId="0" fontId="130" fillId="0" borderId="236">
      <alignment horizontal="left" vertical="top"/>
    </xf>
    <xf numFmtId="0" fontId="66" fillId="0" borderId="236" applyFill="0" applyBorder="0" applyProtection="0">
      <alignment horizontal="left" vertical="top"/>
    </xf>
    <xf numFmtId="0" fontId="131" fillId="0" borderId="236">
      <alignment horizontal="left" vertical="top"/>
    </xf>
    <xf numFmtId="37" fontId="132" fillId="0" borderId="213">
      <alignment horizontal="right"/>
    </xf>
    <xf numFmtId="165" fontId="133" fillId="0" borderId="213"/>
    <xf numFmtId="165" fontId="133" fillId="0" borderId="213"/>
    <xf numFmtId="253" fontId="17" fillId="0" borderId="213" applyFill="0"/>
    <xf numFmtId="253" fontId="17" fillId="0" borderId="213" applyFill="0"/>
    <xf numFmtId="0" fontId="17" fillId="3" borderId="240">
      <alignment horizontal="left" vertical="center" wrapText="1"/>
    </xf>
    <xf numFmtId="165" fontId="133" fillId="0" borderId="213"/>
    <xf numFmtId="37" fontId="132" fillId="0" borderId="213">
      <alignment horizontal="right"/>
    </xf>
    <xf numFmtId="3" fontId="17" fillId="2" borderId="249" applyFont="0" applyFill="0" applyBorder="0" applyAlignment="0" applyProtection="0"/>
    <xf numFmtId="9" fontId="17" fillId="2" borderId="249" applyFont="0" applyFill="0" applyBorder="0" applyAlignment="0" applyProtection="0"/>
    <xf numFmtId="0" fontId="129" fillId="0" borderId="213">
      <alignment horizontal="center"/>
    </xf>
    <xf numFmtId="168" fontId="115" fillId="0" borderId="237" applyBorder="0"/>
    <xf numFmtId="0" fontId="17" fillId="23" borderId="241" applyNumberFormat="0" applyFont="0" applyAlignment="0" applyProtection="0"/>
    <xf numFmtId="0" fontId="103" fillId="32" borderId="229" applyNumberFormat="0" applyAlignment="0" applyProtection="0"/>
    <xf numFmtId="0" fontId="149" fillId="0" borderId="236" applyFill="0" applyBorder="0" applyProtection="0"/>
    <xf numFmtId="0" fontId="152" fillId="0" borderId="213" applyNumberFormat="0" applyFill="0" applyProtection="0"/>
    <xf numFmtId="1" fontId="24" fillId="0" borderId="213" applyNumberFormat="0">
      <alignment horizontal="right"/>
    </xf>
    <xf numFmtId="2" fontId="17" fillId="2" borderId="249" applyFont="0" applyFill="0" applyBorder="0" applyAlignment="0" applyProtection="0"/>
    <xf numFmtId="0" fontId="82" fillId="0" borderId="213" applyNumberFormat="0" applyFill="0" applyAlignment="0" applyProtection="0"/>
    <xf numFmtId="166" fontId="32" fillId="7" borderId="213" applyNumberFormat="0" applyFont="0" applyAlignment="0" applyProtection="0">
      <alignment horizontal="center"/>
      <protection locked="0"/>
    </xf>
    <xf numFmtId="0" fontId="17" fillId="23" borderId="247" applyNumberFormat="0" applyFont="0" applyAlignment="0" applyProtection="0"/>
    <xf numFmtId="0" fontId="39" fillId="0" borderId="236" applyFont="0" applyBorder="0" applyAlignment="0"/>
    <xf numFmtId="166" fontId="115" fillId="0" borderId="237" applyBorder="0"/>
    <xf numFmtId="0" fontId="66" fillId="0" borderId="236" applyFill="0" applyBorder="0" applyProtection="0">
      <alignment horizontal="left" vertical="top"/>
    </xf>
    <xf numFmtId="0" fontId="76" fillId="12" borderId="213" applyBorder="0" applyProtection="0">
      <alignment horizontal="centerContinuous" vertical="center"/>
    </xf>
    <xf numFmtId="10" fontId="17" fillId="2" borderId="249" applyFont="0" applyFill="0" applyBorder="0" applyAlignment="0" applyProtection="0"/>
    <xf numFmtId="239" fontId="115" fillId="0" borderId="237" applyBorder="0"/>
    <xf numFmtId="164" fontId="24" fillId="0" borderId="213" applyFill="0" applyBorder="0" applyProtection="0"/>
    <xf numFmtId="0" fontId="88" fillId="0" borderId="250" applyNumberFormat="0" applyFill="0" applyAlignment="0" applyProtection="0"/>
    <xf numFmtId="3" fontId="17" fillId="2" borderId="242" applyFont="0" applyFill="0" applyBorder="0" applyAlignment="0" applyProtection="0"/>
    <xf numFmtId="4" fontId="17" fillId="2" borderId="242" applyFont="0" applyFill="0" applyBorder="0" applyAlignment="0" applyProtection="0"/>
    <xf numFmtId="169" fontId="17" fillId="2" borderId="242" applyFont="0" applyFill="0" applyBorder="0" applyAlignment="0" applyProtection="0"/>
    <xf numFmtId="10" fontId="17" fillId="2" borderId="242" applyFont="0" applyFill="0" applyBorder="0" applyAlignment="0" applyProtection="0"/>
    <xf numFmtId="9" fontId="17" fillId="2" borderId="242" applyFont="0" applyFill="0" applyBorder="0" applyAlignment="0" applyProtection="0"/>
    <xf numFmtId="2" fontId="17" fillId="2" borderId="242" applyFont="0" applyFill="0" applyBorder="0" applyAlignment="0" applyProtection="0"/>
    <xf numFmtId="245" fontId="75" fillId="0" borderId="213" applyBorder="0" applyProtection="0">
      <alignment horizontal="right" vertical="center"/>
    </xf>
    <xf numFmtId="0" fontId="32" fillId="0" borderId="236" applyFill="0" applyBorder="0" applyProtection="0">
      <alignment horizontal="left" vertical="top"/>
    </xf>
    <xf numFmtId="0" fontId="17" fillId="0" borderId="236">
      <alignment horizontal="left" vertical="top"/>
    </xf>
    <xf numFmtId="0" fontId="149" fillId="0" borderId="236" applyFill="0" applyBorder="0" applyProtection="0"/>
    <xf numFmtId="0" fontId="17" fillId="0" borderId="236">
      <alignment horizontal="left" vertical="top"/>
    </xf>
    <xf numFmtId="1" fontId="117" fillId="0" borderId="208" applyFill="0" applyBorder="0" applyProtection="0">
      <alignment horizontal="right"/>
    </xf>
    <xf numFmtId="0" fontId="88" fillId="0" borderId="231" applyNumberFormat="0" applyFill="0" applyAlignment="0" applyProtection="0"/>
    <xf numFmtId="0" fontId="32" fillId="0" borderId="236" applyFill="0" applyBorder="0" applyProtection="0">
      <alignment horizontal="left" vertical="top"/>
    </xf>
    <xf numFmtId="0" fontId="152" fillId="0" borderId="213" applyNumberFormat="0" applyFill="0" applyProtection="0"/>
    <xf numFmtId="1" fontId="24" fillId="0" borderId="213" applyNumberFormat="0">
      <alignment horizontal="right"/>
    </xf>
    <xf numFmtId="0" fontId="149" fillId="0" borderId="236" applyFill="0" applyBorder="0" applyProtection="0"/>
    <xf numFmtId="0" fontId="17" fillId="3" borderId="246">
      <alignment horizontal="left" vertical="center" wrapText="1"/>
    </xf>
    <xf numFmtId="0" fontId="76" fillId="12" borderId="213" applyBorder="0" applyProtection="0">
      <alignment horizontal="centerContinuous" vertical="center"/>
    </xf>
    <xf numFmtId="0" fontId="130" fillId="0" borderId="236">
      <alignment horizontal="left" vertical="top"/>
    </xf>
    <xf numFmtId="5" fontId="156" fillId="0" borderId="233" applyAlignment="0" applyProtection="0"/>
    <xf numFmtId="174" fontId="17" fillId="0" borderId="243" applyNumberFormat="0" applyFill="0" applyAlignment="0" applyProtection="0"/>
    <xf numFmtId="174" fontId="17" fillId="0" borderId="243" applyNumberFormat="0" applyFill="0" applyAlignment="0" applyProtection="0"/>
    <xf numFmtId="0" fontId="66" fillId="0" borderId="236" applyFill="0" applyBorder="0" applyProtection="0">
      <alignment horizontal="left" vertical="top"/>
    </xf>
    <xf numFmtId="166" fontId="32" fillId="7" borderId="213" applyNumberFormat="0" applyFont="0" applyAlignment="0" applyProtection="0">
      <alignment horizontal="center"/>
      <protection locked="0"/>
    </xf>
    <xf numFmtId="169" fontId="17" fillId="2" borderId="249" applyFont="0" applyFill="0" applyBorder="0" applyAlignment="0" applyProtection="0"/>
    <xf numFmtId="245" fontId="75" fillId="0" borderId="213" applyBorder="0" applyProtection="0">
      <alignment horizontal="right" vertical="center"/>
    </xf>
    <xf numFmtId="0" fontId="32" fillId="8" borderId="237" applyNumberFormat="0" applyFont="0" applyBorder="0" applyAlignment="0" applyProtection="0">
      <alignment horizontal="center"/>
    </xf>
    <xf numFmtId="0" fontId="32" fillId="43" borderId="237" applyNumberFormat="0" applyFont="0" applyBorder="0" applyAlignment="0" applyProtection="0">
      <alignment horizontal="center"/>
    </xf>
    <xf numFmtId="0" fontId="75" fillId="0" borderId="213" applyBorder="0" applyProtection="0">
      <alignment horizontal="right" vertical="center"/>
    </xf>
    <xf numFmtId="0" fontId="103" fillId="32" borderId="248" applyNumberFormat="0" applyAlignment="0" applyProtection="0"/>
    <xf numFmtId="0" fontId="131" fillId="0" borderId="236">
      <alignment horizontal="left" vertical="top"/>
    </xf>
    <xf numFmtId="0" fontId="17" fillId="0" borderId="236">
      <alignment horizontal="left" vertical="top"/>
    </xf>
    <xf numFmtId="4" fontId="17" fillId="2" borderId="249" applyFont="0" applyFill="0" applyBorder="0" applyAlignment="0" applyProtection="0"/>
    <xf numFmtId="0" fontId="161" fillId="4" borderId="233" applyNumberFormat="0" applyFont="0" applyFill="0" applyAlignment="0" applyProtection="0">
      <protection locked="0"/>
    </xf>
    <xf numFmtId="0" fontId="130" fillId="0" borderId="236">
      <alignment horizontal="left" vertical="top"/>
    </xf>
    <xf numFmtId="0" fontId="106" fillId="0" borderId="208">
      <alignment horizontal="right" wrapText="1"/>
    </xf>
    <xf numFmtId="0" fontId="29" fillId="4" borderId="233" applyNumberFormat="0" applyFont="0" applyAlignment="0" applyProtection="0">
      <protection locked="0"/>
    </xf>
    <xf numFmtId="0" fontId="17" fillId="3" borderId="246">
      <alignment horizontal="left" vertical="center" wrapText="1"/>
    </xf>
    <xf numFmtId="0" fontId="75" fillId="0" borderId="213" applyBorder="0" applyProtection="0">
      <alignment horizontal="right" vertical="center"/>
    </xf>
    <xf numFmtId="0" fontId="161" fillId="4" borderId="233" applyNumberFormat="0" applyFont="0" applyFill="0" applyAlignment="0" applyProtection="0">
      <protection locked="0"/>
    </xf>
    <xf numFmtId="0" fontId="25" fillId="0" borderId="215" applyNumberFormat="0" applyAlignment="0" applyProtection="0"/>
    <xf numFmtId="0" fontId="29" fillId="4" borderId="233" applyNumberFormat="0" applyFont="0" applyAlignment="0" applyProtection="0">
      <protection locked="0"/>
    </xf>
    <xf numFmtId="0" fontId="32" fillId="0" borderId="244" applyNumberFormat="0" applyFill="0" applyAlignment="0" applyProtection="0"/>
    <xf numFmtId="0" fontId="83" fillId="32" borderId="245" applyNumberFormat="0" applyAlignment="0" applyProtection="0"/>
    <xf numFmtId="0" fontId="32" fillId="0" borderId="244" applyNumberFormat="0" applyFill="0" applyAlignment="0" applyProtection="0"/>
    <xf numFmtId="0" fontId="131" fillId="0" borderId="236">
      <alignment horizontal="left" vertical="top"/>
    </xf>
    <xf numFmtId="0" fontId="17" fillId="23" borderId="262" applyNumberFormat="0" applyFont="0" applyAlignment="0" applyProtection="0"/>
    <xf numFmtId="0" fontId="75" fillId="0" borderId="102" applyBorder="0" applyProtection="0">
      <alignment horizontal="right" vertical="center"/>
    </xf>
    <xf numFmtId="0" fontId="76" fillId="12" borderId="102" applyBorder="0" applyProtection="0">
      <alignment horizontal="centerContinuous" vertical="center"/>
    </xf>
    <xf numFmtId="0" fontId="32" fillId="43" borderId="237" applyNumberFormat="0" applyFont="0" applyBorder="0" applyAlignment="0" applyProtection="0">
      <alignment horizontal="center"/>
    </xf>
    <xf numFmtId="0" fontId="32" fillId="8" borderId="237" applyNumberFormat="0" applyFont="0" applyBorder="0" applyAlignment="0" applyProtection="0">
      <alignment horizontal="center"/>
    </xf>
    <xf numFmtId="0" fontId="83" fillId="32" borderId="260" applyNumberFormat="0" applyAlignment="0" applyProtection="0"/>
    <xf numFmtId="0" fontId="32" fillId="0" borderId="259" applyNumberFormat="0" applyFill="0" applyAlignment="0" applyProtection="0"/>
    <xf numFmtId="0" fontId="82" fillId="0" borderId="102" applyNumberFormat="0" applyFill="0" applyAlignment="0" applyProtection="0"/>
    <xf numFmtId="0" fontId="83" fillId="32" borderId="260" applyNumberFormat="0" applyAlignment="0" applyProtection="0"/>
    <xf numFmtId="274" fontId="158" fillId="0" borderId="191" applyBorder="0"/>
    <xf numFmtId="0" fontId="88" fillId="0" borderId="265" applyNumberFormat="0" applyFill="0" applyAlignment="0" applyProtection="0"/>
    <xf numFmtId="0" fontId="103" fillId="32" borderId="263" applyNumberFormat="0" applyAlignment="0" applyProtection="0"/>
    <xf numFmtId="166" fontId="115" fillId="0" borderId="237" applyBorder="0"/>
    <xf numFmtId="10" fontId="17" fillId="2" borderId="264" applyFont="0" applyFill="0" applyBorder="0" applyAlignment="0" applyProtection="0"/>
    <xf numFmtId="0" fontId="129" fillId="0" borderId="102">
      <alignment horizontal="center"/>
    </xf>
    <xf numFmtId="3" fontId="17" fillId="2" borderId="264" applyFont="0" applyFill="0" applyBorder="0" applyAlignment="0" applyProtection="0"/>
    <xf numFmtId="37" fontId="132" fillId="0" borderId="102">
      <alignment horizontal="right"/>
    </xf>
    <xf numFmtId="165" fontId="133" fillId="0" borderId="102"/>
    <xf numFmtId="168" fontId="115" fillId="0" borderId="237" applyBorder="0"/>
    <xf numFmtId="253" fontId="17" fillId="0" borderId="102" applyFill="0"/>
    <xf numFmtId="0" fontId="17" fillId="3" borderId="261">
      <alignment horizontal="left" vertical="center" wrapText="1"/>
    </xf>
    <xf numFmtId="3" fontId="17" fillId="2" borderId="264" applyFont="0" applyFill="0" applyBorder="0" applyAlignment="0" applyProtection="0"/>
    <xf numFmtId="9" fontId="17" fillId="2" borderId="264" applyFont="0" applyFill="0" applyBorder="0" applyAlignment="0" applyProtection="0"/>
    <xf numFmtId="0" fontId="17" fillId="23" borderId="262" applyNumberFormat="0" applyFont="0" applyAlignment="0" applyProtection="0"/>
    <xf numFmtId="0" fontId="103" fillId="32" borderId="263" applyNumberFormat="0" applyAlignment="0" applyProtection="0"/>
    <xf numFmtId="239" fontId="115" fillId="0" borderId="237" applyBorder="0"/>
    <xf numFmtId="2" fontId="17" fillId="2" borderId="264" applyFont="0" applyFill="0" applyBorder="0" applyAlignment="0" applyProtection="0"/>
    <xf numFmtId="0" fontId="17" fillId="23" borderId="262" applyNumberFormat="0" applyFont="0" applyAlignment="0" applyProtection="0"/>
    <xf numFmtId="10" fontId="17" fillId="2" borderId="264" applyFont="0" applyFill="0" applyBorder="0" applyAlignment="0" applyProtection="0"/>
    <xf numFmtId="164" fontId="24" fillId="0" borderId="102" applyFill="0" applyBorder="0" applyProtection="0"/>
    <xf numFmtId="0" fontId="88" fillId="0" borderId="265" applyNumberFormat="0" applyFill="0" applyAlignment="0" applyProtection="0"/>
    <xf numFmtId="3" fontId="17" fillId="2" borderId="264" applyFont="0" applyFill="0" applyBorder="0" applyAlignment="0" applyProtection="0"/>
    <xf numFmtId="4" fontId="17" fillId="2" borderId="264" applyFont="0" applyFill="0" applyBorder="0" applyAlignment="0" applyProtection="0"/>
    <xf numFmtId="169" fontId="17" fillId="2" borderId="264" applyFont="0" applyFill="0" applyBorder="0" applyAlignment="0" applyProtection="0"/>
    <xf numFmtId="10" fontId="17" fillId="2" borderId="264" applyFont="0" applyFill="0" applyBorder="0" applyAlignment="0" applyProtection="0"/>
    <xf numFmtId="9" fontId="17" fillId="2" borderId="264" applyFont="0" applyFill="0" applyBorder="0" applyAlignment="0" applyProtection="0"/>
    <xf numFmtId="2" fontId="17" fillId="2" borderId="264" applyFont="0" applyFill="0" applyBorder="0" applyAlignment="0" applyProtection="0"/>
    <xf numFmtId="245" fontId="75" fillId="0" borderId="102" applyBorder="0" applyProtection="0">
      <alignment horizontal="right" vertical="center"/>
    </xf>
    <xf numFmtId="0" fontId="88" fillId="0" borderId="265" applyNumberFormat="0" applyFill="0" applyAlignment="0" applyProtection="0"/>
    <xf numFmtId="0" fontId="152" fillId="0" borderId="102" applyNumberFormat="0" applyFill="0" applyProtection="0"/>
    <xf numFmtId="1" fontId="24" fillId="0" borderId="102" applyNumberFormat="0">
      <alignment horizontal="right"/>
    </xf>
    <xf numFmtId="0" fontId="17" fillId="3" borderId="261">
      <alignment horizontal="left" vertical="center" wrapText="1"/>
    </xf>
    <xf numFmtId="274" fontId="158" fillId="0" borderId="257" applyBorder="0"/>
    <xf numFmtId="5" fontId="156" fillId="0" borderId="251" applyAlignment="0" applyProtection="0"/>
    <xf numFmtId="166" fontId="32" fillId="7" borderId="102" applyNumberFormat="0" applyFont="0" applyAlignment="0" applyProtection="0">
      <alignment horizontal="center"/>
      <protection locked="0"/>
    </xf>
    <xf numFmtId="169" fontId="17" fillId="2" borderId="264" applyFont="0" applyFill="0" applyBorder="0" applyAlignment="0" applyProtection="0"/>
    <xf numFmtId="0" fontId="103" fillId="32" borderId="263" applyNumberFormat="0" applyAlignment="0" applyProtection="0"/>
    <xf numFmtId="4" fontId="17" fillId="2" borderId="264" applyFont="0" applyFill="0" applyBorder="0" applyAlignment="0" applyProtection="0"/>
    <xf numFmtId="0" fontId="161" fillId="4" borderId="251" applyNumberFormat="0" applyFont="0" applyFill="0" applyAlignment="0" applyProtection="0">
      <protection locked="0"/>
    </xf>
    <xf numFmtId="0" fontId="29" fillId="4" borderId="251" applyNumberFormat="0" applyFont="0" applyAlignment="0" applyProtection="0">
      <protection locked="0"/>
    </xf>
    <xf numFmtId="0" fontId="17" fillId="3" borderId="261">
      <alignment horizontal="left" vertical="center" wrapText="1"/>
    </xf>
    <xf numFmtId="0" fontId="161" fillId="4" borderId="266" applyNumberFormat="0" applyFont="0" applyFill="0" applyAlignment="0" applyProtection="0">
      <protection locked="0"/>
    </xf>
    <xf numFmtId="0" fontId="29" fillId="4" borderId="266" applyNumberFormat="0" applyFont="0" applyAlignment="0" applyProtection="0">
      <protection locked="0"/>
    </xf>
    <xf numFmtId="0" fontId="32" fillId="0" borderId="259" applyNumberFormat="0" applyFill="0" applyAlignment="0" applyProtection="0"/>
    <xf numFmtId="0" fontId="83" fillId="32" borderId="260" applyNumberFormat="0" applyAlignment="0" applyProtection="0"/>
    <xf numFmtId="0" fontId="32" fillId="0" borderId="259" applyNumberFormat="0" applyFill="0" applyAlignment="0" applyProtection="0"/>
    <xf numFmtId="0" fontId="17" fillId="0" borderId="0"/>
    <xf numFmtId="0" fontId="39" fillId="0" borderId="236" applyFont="0" applyBorder="0" applyAlignment="0"/>
    <xf numFmtId="0" fontId="25" fillId="3" borderId="0" applyNumberFormat="0" applyFont="0" applyBorder="0" applyAlignment="0">
      <protection locked="0"/>
    </xf>
    <xf numFmtId="274" fontId="158" fillId="0" borderId="268" applyBorder="0"/>
    <xf numFmtId="1" fontId="24" fillId="0" borderId="270" applyNumberFormat="0">
      <alignment horizontal="right"/>
    </xf>
    <xf numFmtId="0" fontId="17" fillId="0" borderId="126">
      <alignment horizontal="left" vertical="top"/>
    </xf>
    <xf numFmtId="0" fontId="17" fillId="0" borderId="126">
      <alignment horizontal="left" vertical="top"/>
    </xf>
    <xf numFmtId="164" fontId="24" fillId="0" borderId="270" applyFill="0" applyBorder="0" applyProtection="0"/>
    <xf numFmtId="0" fontId="39" fillId="0" borderId="126" applyFont="0" applyBorder="0" applyAlignment="0"/>
    <xf numFmtId="4" fontId="17" fillId="2" borderId="280" applyFont="0" applyFill="0" applyBorder="0" applyAlignment="0" applyProtection="0"/>
    <xf numFmtId="0" fontId="25" fillId="0" borderId="274" applyNumberFormat="0" applyAlignment="0" applyProtection="0"/>
    <xf numFmtId="9" fontId="17" fillId="2" borderId="280" applyFont="0" applyFill="0" applyBorder="0" applyAlignment="0" applyProtection="0"/>
    <xf numFmtId="0" fontId="129" fillId="0" borderId="270">
      <alignment horizontal="center"/>
    </xf>
    <xf numFmtId="245" fontId="75" fillId="0" borderId="270" applyBorder="0" applyProtection="0">
      <alignment horizontal="right" vertical="center"/>
    </xf>
    <xf numFmtId="0" fontId="149" fillId="0" borderId="126" applyFill="0" applyBorder="0" applyProtection="0"/>
    <xf numFmtId="0" fontId="32" fillId="0" borderId="126" applyFill="0" applyBorder="0" applyProtection="0">
      <alignment horizontal="left" vertical="top"/>
    </xf>
    <xf numFmtId="2" fontId="17" fillId="2" borderId="280" applyFont="0" applyFill="0" applyBorder="0" applyAlignment="0" applyProtection="0"/>
    <xf numFmtId="169" fontId="17" fillId="2" borderId="280" applyFont="0" applyFill="0" applyBorder="0" applyAlignment="0" applyProtection="0"/>
    <xf numFmtId="164" fontId="24" fillId="0" borderId="270" applyFill="0" applyBorder="0" applyProtection="0"/>
    <xf numFmtId="0" fontId="17" fillId="0" borderId="126">
      <alignment horizontal="left" vertical="top"/>
    </xf>
    <xf numFmtId="0" fontId="17" fillId="0" borderId="126">
      <alignment horizontal="left" vertical="top"/>
    </xf>
    <xf numFmtId="0" fontId="17" fillId="23" borderId="278" applyNumberFormat="0" applyFont="0" applyAlignment="0" applyProtection="0"/>
    <xf numFmtId="0" fontId="131" fillId="0" borderId="126">
      <alignment horizontal="left" vertical="top"/>
    </xf>
    <xf numFmtId="0" fontId="130" fillId="0" borderId="126">
      <alignment horizontal="left" vertical="top"/>
    </xf>
    <xf numFmtId="0" fontId="17" fillId="0" borderId="126">
      <alignment horizontal="left" vertical="top"/>
    </xf>
    <xf numFmtId="0" fontId="17" fillId="0" borderId="126">
      <alignment horizontal="left" vertical="top"/>
    </xf>
    <xf numFmtId="0" fontId="75" fillId="0" borderId="270" applyBorder="0" applyProtection="0">
      <alignment horizontal="right" vertical="center"/>
    </xf>
    <xf numFmtId="0" fontId="76" fillId="12" borderId="270" applyBorder="0" applyProtection="0">
      <alignment horizontal="centerContinuous" vertical="center"/>
    </xf>
    <xf numFmtId="0" fontId="66" fillId="0" borderId="126" applyFill="0" applyBorder="0" applyProtection="0">
      <alignment horizontal="left" vertical="top"/>
    </xf>
    <xf numFmtId="0" fontId="66" fillId="0" borderId="126" applyFill="0" applyBorder="0" applyProtection="0">
      <alignment horizontal="left" vertical="top"/>
    </xf>
    <xf numFmtId="0" fontId="25" fillId="0" borderId="274" applyNumberFormat="0" applyAlignment="0" applyProtection="0"/>
    <xf numFmtId="0" fontId="129" fillId="0" borderId="270">
      <alignment horizontal="center"/>
    </xf>
    <xf numFmtId="37" fontId="132" fillId="0" borderId="270">
      <alignment horizontal="right"/>
    </xf>
    <xf numFmtId="0" fontId="39" fillId="0" borderId="126" applyFont="0" applyBorder="0" applyAlignment="0"/>
    <xf numFmtId="0" fontId="17" fillId="0" borderId="126">
      <alignment horizontal="left" vertical="top"/>
    </xf>
    <xf numFmtId="0" fontId="83" fillId="32" borderId="276" applyNumberFormat="0" applyAlignment="0" applyProtection="0"/>
    <xf numFmtId="0" fontId="130" fillId="0" borderId="126">
      <alignment horizontal="left" vertical="top"/>
    </xf>
    <xf numFmtId="253" fontId="17" fillId="0" borderId="270" applyFill="0"/>
    <xf numFmtId="166" fontId="32" fillId="7" borderId="270" applyNumberFormat="0" applyFont="0" applyAlignment="0" applyProtection="0">
      <alignment horizontal="center"/>
      <protection locked="0"/>
    </xf>
    <xf numFmtId="0" fontId="39" fillId="0" borderId="126" applyFont="0" applyBorder="0" applyAlignment="0"/>
    <xf numFmtId="164" fontId="24" fillId="0" borderId="270" applyFill="0" applyBorder="0" applyProtection="0"/>
    <xf numFmtId="0" fontId="32" fillId="0" borderId="275" applyNumberFormat="0" applyFill="0" applyAlignment="0" applyProtection="0"/>
    <xf numFmtId="0" fontId="82" fillId="0" borderId="270" applyNumberFormat="0" applyFill="0" applyAlignment="0" applyProtection="0"/>
    <xf numFmtId="0" fontId="83" fillId="32" borderId="276" applyNumberFormat="0" applyAlignment="0" applyProtection="0"/>
    <xf numFmtId="0" fontId="131" fillId="0" borderId="126">
      <alignment horizontal="left" vertical="top"/>
    </xf>
    <xf numFmtId="274" fontId="158" fillId="0" borderId="271" applyBorder="0"/>
    <xf numFmtId="0" fontId="88" fillId="0" borderId="281" applyNumberFormat="0" applyFill="0" applyAlignment="0" applyProtection="0"/>
    <xf numFmtId="0" fontId="152" fillId="0" borderId="270" applyNumberFormat="0" applyFill="0" applyProtection="0"/>
    <xf numFmtId="0" fontId="103" fillId="32" borderId="279" applyNumberFormat="0" applyAlignment="0" applyProtection="0"/>
    <xf numFmtId="0" fontId="149" fillId="0" borderId="126" applyFill="0" applyBorder="0" applyProtection="0"/>
    <xf numFmtId="165" fontId="133" fillId="0" borderId="270"/>
    <xf numFmtId="0" fontId="32" fillId="0" borderId="126" applyFill="0" applyBorder="0" applyProtection="0">
      <alignment horizontal="left" vertical="top"/>
    </xf>
    <xf numFmtId="0" fontId="39" fillId="0" borderId="126" applyFont="0" applyBorder="0" applyAlignment="0"/>
    <xf numFmtId="0" fontId="82" fillId="0" borderId="270" applyNumberFormat="0" applyFill="0" applyAlignment="0" applyProtection="0"/>
    <xf numFmtId="174" fontId="17" fillId="0" borderId="282" applyNumberFormat="0" applyFill="0" applyAlignment="0" applyProtection="0"/>
    <xf numFmtId="0" fontId="32" fillId="0" borderId="126" applyFill="0" applyBorder="0" applyProtection="0">
      <alignment horizontal="left" vertical="top"/>
    </xf>
    <xf numFmtId="10" fontId="17" fillId="2" borderId="280" applyFont="0" applyFill="0" applyBorder="0" applyAlignment="0" applyProtection="0"/>
    <xf numFmtId="0" fontId="129" fillId="0" borderId="270">
      <alignment horizontal="center"/>
    </xf>
    <xf numFmtId="3" fontId="17" fillId="2" borderId="280" applyFont="0" applyFill="0" applyBorder="0" applyAlignment="0" applyProtection="0"/>
    <xf numFmtId="0" fontId="130" fillId="0" borderId="126">
      <alignment horizontal="left" vertical="top"/>
    </xf>
    <xf numFmtId="0" fontId="66" fillId="0" borderId="126" applyFill="0" applyBorder="0" applyProtection="0">
      <alignment horizontal="left" vertical="top"/>
    </xf>
    <xf numFmtId="0" fontId="131" fillId="0" borderId="126">
      <alignment horizontal="left" vertical="top"/>
    </xf>
    <xf numFmtId="37" fontId="132" fillId="0" borderId="270">
      <alignment horizontal="right"/>
    </xf>
    <xf numFmtId="165" fontId="133" fillId="0" borderId="270"/>
    <xf numFmtId="165" fontId="133" fillId="0" borderId="270"/>
    <xf numFmtId="253" fontId="17" fillId="0" borderId="270" applyFill="0"/>
    <xf numFmtId="253" fontId="17" fillId="0" borderId="270" applyFill="0"/>
    <xf numFmtId="0" fontId="17" fillId="3" borderId="277">
      <alignment horizontal="left" vertical="center" wrapText="1"/>
    </xf>
    <xf numFmtId="165" fontId="133" fillId="0" borderId="270"/>
    <xf numFmtId="37" fontId="132" fillId="0" borderId="270">
      <alignment horizontal="right"/>
    </xf>
    <xf numFmtId="3" fontId="17" fillId="2" borderId="280" applyFont="0" applyFill="0" applyBorder="0" applyAlignment="0" applyProtection="0"/>
    <xf numFmtId="9" fontId="17" fillId="2" borderId="280" applyFont="0" applyFill="0" applyBorder="0" applyAlignment="0" applyProtection="0"/>
    <xf numFmtId="0" fontId="129" fillId="0" borderId="270">
      <alignment horizontal="center"/>
    </xf>
    <xf numFmtId="0" fontId="17" fillId="23" borderId="278" applyNumberFormat="0" applyFont="0" applyAlignment="0" applyProtection="0"/>
    <xf numFmtId="0" fontId="103" fillId="32" borderId="279" applyNumberFormat="0" applyAlignment="0" applyProtection="0"/>
    <xf numFmtId="0" fontId="149" fillId="0" borderId="126" applyFill="0" applyBorder="0" applyProtection="0"/>
    <xf numFmtId="0" fontId="152" fillId="0" borderId="270" applyNumberFormat="0" applyFill="0" applyProtection="0"/>
    <xf numFmtId="1" fontId="24" fillId="0" borderId="270" applyNumberFormat="0">
      <alignment horizontal="right"/>
    </xf>
    <xf numFmtId="37" fontId="132" fillId="0" borderId="270">
      <alignment horizontal="right"/>
    </xf>
    <xf numFmtId="2" fontId="17" fillId="2" borderId="280" applyFont="0" applyFill="0" applyBorder="0" applyAlignment="0" applyProtection="0"/>
    <xf numFmtId="0" fontId="82" fillId="0" borderId="270" applyNumberFormat="0" applyFill="0" applyAlignment="0" applyProtection="0"/>
    <xf numFmtId="166" fontId="32" fillId="7" borderId="270" applyNumberFormat="0" applyFont="0" applyAlignment="0" applyProtection="0">
      <alignment horizontal="center"/>
      <protection locked="0"/>
    </xf>
    <xf numFmtId="0" fontId="76" fillId="12" borderId="270" applyBorder="0" applyProtection="0">
      <alignment horizontal="centerContinuous" vertical="center"/>
    </xf>
    <xf numFmtId="0" fontId="75" fillId="0" borderId="270" applyBorder="0" applyProtection="0">
      <alignment horizontal="right" vertical="center"/>
    </xf>
    <xf numFmtId="0" fontId="17" fillId="23" borderId="278" applyNumberFormat="0" applyFont="0" applyAlignment="0" applyProtection="0"/>
    <xf numFmtId="0" fontId="39" fillId="0" borderId="126" applyFont="0" applyBorder="0" applyAlignment="0"/>
    <xf numFmtId="0" fontId="66" fillId="0" borderId="126" applyFill="0" applyBorder="0" applyProtection="0">
      <alignment horizontal="left" vertical="top"/>
    </xf>
    <xf numFmtId="166" fontId="32" fillId="7" borderId="270" applyNumberFormat="0" applyFont="0" applyAlignment="0" applyProtection="0">
      <alignment horizontal="center"/>
      <protection locked="0"/>
    </xf>
    <xf numFmtId="0" fontId="76" fillId="12" borderId="270" applyBorder="0" applyProtection="0">
      <alignment horizontal="centerContinuous" vertical="center"/>
    </xf>
    <xf numFmtId="0" fontId="152" fillId="0" borderId="270" applyNumberFormat="0" applyFill="0" applyProtection="0"/>
    <xf numFmtId="10" fontId="17" fillId="2" borderId="280" applyFont="0" applyFill="0" applyBorder="0" applyAlignment="0" applyProtection="0"/>
    <xf numFmtId="164" fontId="24" fillId="0" borderId="270" applyFill="0" applyBorder="0" applyProtection="0"/>
    <xf numFmtId="0" fontId="88" fillId="0" borderId="281" applyNumberFormat="0" applyFill="0" applyAlignment="0" applyProtection="0"/>
    <xf numFmtId="3" fontId="17" fillId="2" borderId="280" applyFont="0" applyFill="0" applyBorder="0" applyAlignment="0" applyProtection="0"/>
    <xf numFmtId="4" fontId="17" fillId="2" borderId="280" applyFont="0" applyFill="0" applyBorder="0" applyAlignment="0" applyProtection="0"/>
    <xf numFmtId="169" fontId="17" fillId="2" borderId="280" applyFont="0" applyFill="0" applyBorder="0" applyAlignment="0" applyProtection="0"/>
    <xf numFmtId="10" fontId="17" fillId="2" borderId="280" applyFont="0" applyFill="0" applyBorder="0" applyAlignment="0" applyProtection="0"/>
    <xf numFmtId="9" fontId="17" fillId="2" borderId="280" applyFont="0" applyFill="0" applyBorder="0" applyAlignment="0" applyProtection="0"/>
    <xf numFmtId="2" fontId="17" fillId="2" borderId="280" applyFont="0" applyFill="0" applyBorder="0" applyAlignment="0" applyProtection="0"/>
    <xf numFmtId="245" fontId="75" fillId="0" borderId="270" applyBorder="0" applyProtection="0">
      <alignment horizontal="right" vertical="center"/>
    </xf>
    <xf numFmtId="0" fontId="32" fillId="0" borderId="126" applyFill="0" applyBorder="0" applyProtection="0">
      <alignment horizontal="left" vertical="top"/>
    </xf>
    <xf numFmtId="245" fontId="75" fillId="0" borderId="270" applyBorder="0" applyProtection="0">
      <alignment horizontal="right" vertical="center"/>
    </xf>
    <xf numFmtId="0" fontId="17" fillId="0" borderId="126">
      <alignment horizontal="left" vertical="top"/>
    </xf>
    <xf numFmtId="0" fontId="149" fillId="0" borderId="126" applyFill="0" applyBorder="0" applyProtection="0"/>
    <xf numFmtId="0" fontId="17" fillId="0" borderId="126">
      <alignment horizontal="left" vertical="top"/>
    </xf>
    <xf numFmtId="0" fontId="88" fillId="0" borderId="281" applyNumberFormat="0" applyFill="0" applyAlignment="0" applyProtection="0"/>
    <xf numFmtId="0" fontId="32" fillId="0" borderId="126" applyFill="0" applyBorder="0" applyProtection="0">
      <alignment horizontal="left" vertical="top"/>
    </xf>
    <xf numFmtId="0" fontId="152" fillId="0" borderId="270" applyNumberFormat="0" applyFill="0" applyProtection="0"/>
    <xf numFmtId="1" fontId="24" fillId="0" borderId="270" applyNumberFormat="0">
      <alignment horizontal="right"/>
    </xf>
    <xf numFmtId="0" fontId="149" fillId="0" borderId="126" applyFill="0" applyBorder="0" applyProtection="0"/>
    <xf numFmtId="0" fontId="17" fillId="3" borderId="277">
      <alignment horizontal="left" vertical="center" wrapText="1"/>
    </xf>
    <xf numFmtId="0" fontId="76" fillId="12" borderId="270" applyBorder="0" applyProtection="0">
      <alignment horizontal="centerContinuous" vertical="center"/>
    </xf>
    <xf numFmtId="274" fontId="158" fillId="0" borderId="272" applyBorder="0"/>
    <xf numFmtId="0" fontId="130" fillId="0" borderId="126">
      <alignment horizontal="left" vertical="top"/>
    </xf>
    <xf numFmtId="174" fontId="17" fillId="0" borderId="282" applyNumberFormat="0" applyFill="0" applyAlignment="0" applyProtection="0"/>
    <xf numFmtId="174" fontId="17" fillId="0" borderId="282" applyNumberFormat="0" applyFill="0" applyAlignment="0" applyProtection="0"/>
    <xf numFmtId="0" fontId="25" fillId="0" borderId="274" applyNumberFormat="0" applyAlignment="0" applyProtection="0"/>
    <xf numFmtId="0" fontId="66" fillId="0" borderId="126" applyFill="0" applyBorder="0" applyProtection="0">
      <alignment horizontal="left" vertical="top"/>
    </xf>
    <xf numFmtId="166" fontId="32" fillId="7" borderId="270" applyNumberFormat="0" applyFont="0" applyAlignment="0" applyProtection="0">
      <alignment horizontal="center"/>
      <protection locked="0"/>
    </xf>
    <xf numFmtId="169" fontId="17" fillId="2" borderId="280" applyFont="0" applyFill="0" applyBorder="0" applyAlignment="0" applyProtection="0"/>
    <xf numFmtId="245" fontId="75" fillId="0" borderId="270" applyBorder="0" applyProtection="0">
      <alignment horizontal="right" vertical="center"/>
    </xf>
    <xf numFmtId="0" fontId="75" fillId="0" borderId="270" applyBorder="0" applyProtection="0">
      <alignment horizontal="right" vertical="center"/>
    </xf>
    <xf numFmtId="0" fontId="103" fillId="32" borderId="279" applyNumberFormat="0" applyAlignment="0" applyProtection="0"/>
    <xf numFmtId="0" fontId="131" fillId="0" borderId="126">
      <alignment horizontal="left" vertical="top"/>
    </xf>
    <xf numFmtId="253" fontId="17" fillId="0" borderId="270" applyFill="0"/>
    <xf numFmtId="0" fontId="17" fillId="0" borderId="126">
      <alignment horizontal="left" vertical="top"/>
    </xf>
    <xf numFmtId="4" fontId="17" fillId="2" borderId="280" applyFont="0" applyFill="0" applyBorder="0" applyAlignment="0" applyProtection="0"/>
    <xf numFmtId="0" fontId="130" fillId="0" borderId="126">
      <alignment horizontal="left" vertical="top"/>
    </xf>
    <xf numFmtId="0" fontId="17" fillId="3" borderId="277">
      <alignment horizontal="left" vertical="center" wrapText="1"/>
    </xf>
    <xf numFmtId="1" fontId="24" fillId="0" borderId="270" applyNumberFormat="0">
      <alignment horizontal="right"/>
    </xf>
    <xf numFmtId="0" fontId="75" fillId="0" borderId="270" applyBorder="0" applyProtection="0">
      <alignment horizontal="right" vertical="center"/>
    </xf>
    <xf numFmtId="0" fontId="25" fillId="0" borderId="274" applyNumberFormat="0" applyAlignment="0" applyProtection="0"/>
    <xf numFmtId="0" fontId="32" fillId="0" borderId="275" applyNumberFormat="0" applyFill="0" applyAlignment="0" applyProtection="0"/>
    <xf numFmtId="0" fontId="82" fillId="0" borderId="270" applyNumberFormat="0" applyFill="0" applyAlignment="0" applyProtection="0"/>
    <xf numFmtId="0" fontId="83" fillId="32" borderId="276" applyNumberFormat="0" applyAlignment="0" applyProtection="0"/>
    <xf numFmtId="0" fontId="32" fillId="0" borderId="275" applyNumberFormat="0" applyFill="0" applyAlignment="0" applyProtection="0"/>
    <xf numFmtId="0" fontId="131" fillId="0" borderId="126">
      <alignment horizontal="left" vertical="top"/>
    </xf>
    <xf numFmtId="2" fontId="17" fillId="2" borderId="280" applyFont="0" applyFill="0" applyBorder="0" applyAlignment="0" applyProtection="0"/>
    <xf numFmtId="9" fontId="17" fillId="2" borderId="280" applyFont="0" applyFill="0" applyBorder="0" applyAlignment="0" applyProtection="0"/>
    <xf numFmtId="0" fontId="25" fillId="0" borderId="274" applyNumberFormat="0" applyAlignment="0" applyProtection="0"/>
    <xf numFmtId="4" fontId="17" fillId="2" borderId="280" applyFont="0" applyFill="0" applyBorder="0" applyAlignment="0" applyProtection="0"/>
    <xf numFmtId="0" fontId="39" fillId="0" borderId="126" applyFont="0" applyBorder="0" applyAlignment="0"/>
    <xf numFmtId="169" fontId="17" fillId="2" borderId="280" applyFont="0" applyFill="0" applyBorder="0" applyAlignment="0" applyProtection="0"/>
    <xf numFmtId="5" fontId="156" fillId="0" borderId="283" applyAlignment="0" applyProtection="0"/>
    <xf numFmtId="0" fontId="161" fillId="4" borderId="283" applyNumberFormat="0" applyFont="0" applyFill="0" applyAlignment="0" applyProtection="0">
      <protection locked="0"/>
    </xf>
    <xf numFmtId="0" fontId="29" fillId="4" borderId="283" applyNumberFormat="0" applyFont="0" applyAlignment="0" applyProtection="0">
      <protection locked="0"/>
    </xf>
    <xf numFmtId="5" fontId="156" fillId="0" borderId="283" applyAlignment="0" applyProtection="0"/>
    <xf numFmtId="1" fontId="24" fillId="0" borderId="270" applyNumberFormat="0">
      <alignment horizontal="right"/>
    </xf>
    <xf numFmtId="0" fontId="17" fillId="0" borderId="126">
      <alignment horizontal="left" vertical="top"/>
    </xf>
    <xf numFmtId="0" fontId="17" fillId="0" borderId="126">
      <alignment horizontal="left" vertical="top"/>
    </xf>
    <xf numFmtId="164" fontId="24" fillId="0" borderId="270" applyFill="0" applyBorder="0" applyProtection="0"/>
    <xf numFmtId="0" fontId="39" fillId="0" borderId="126" applyFont="0" applyBorder="0" applyAlignment="0"/>
    <xf numFmtId="4" fontId="17" fillId="2" borderId="280" applyFont="0" applyFill="0" applyBorder="0" applyAlignment="0" applyProtection="0"/>
    <xf numFmtId="0" fontId="25" fillId="0" borderId="274" applyNumberFormat="0" applyAlignment="0" applyProtection="0"/>
    <xf numFmtId="9" fontId="17" fillId="2" borderId="280" applyFont="0" applyFill="0" applyBorder="0" applyAlignment="0" applyProtection="0"/>
    <xf numFmtId="245" fontId="75" fillId="0" borderId="270" applyBorder="0" applyProtection="0">
      <alignment horizontal="right" vertical="center"/>
    </xf>
    <xf numFmtId="0" fontId="149" fillId="0" borderId="126" applyFill="0" applyBorder="0" applyProtection="0"/>
    <xf numFmtId="0" fontId="32" fillId="0" borderId="126" applyFill="0" applyBorder="0" applyProtection="0">
      <alignment horizontal="left" vertical="top"/>
    </xf>
    <xf numFmtId="2" fontId="17" fillId="2" borderId="280" applyFont="0" applyFill="0" applyBorder="0" applyAlignment="0" applyProtection="0"/>
    <xf numFmtId="169" fontId="17" fillId="2" borderId="280" applyFont="0" applyFill="0" applyBorder="0" applyAlignment="0" applyProtection="0"/>
    <xf numFmtId="0" fontId="17" fillId="0" borderId="126">
      <alignment horizontal="left" vertical="top"/>
    </xf>
    <xf numFmtId="0" fontId="17" fillId="0" borderId="126">
      <alignment horizontal="left" vertical="top"/>
    </xf>
    <xf numFmtId="0" fontId="17" fillId="23" borderId="278" applyNumberFormat="0" applyFont="0" applyAlignment="0" applyProtection="0"/>
    <xf numFmtId="0" fontId="131" fillId="0" borderId="126">
      <alignment horizontal="left" vertical="top"/>
    </xf>
    <xf numFmtId="0" fontId="130" fillId="0" borderId="126">
      <alignment horizontal="left" vertical="top"/>
    </xf>
    <xf numFmtId="0" fontId="17" fillId="0" borderId="126">
      <alignment horizontal="left" vertical="top"/>
    </xf>
    <xf numFmtId="0" fontId="17" fillId="0" borderId="126">
      <alignment horizontal="left" vertical="top"/>
    </xf>
    <xf numFmtId="0" fontId="75" fillId="0" borderId="270" applyBorder="0" applyProtection="0">
      <alignment horizontal="right" vertical="center"/>
    </xf>
    <xf numFmtId="0" fontId="76" fillId="12" borderId="270" applyBorder="0" applyProtection="0">
      <alignment horizontal="centerContinuous" vertical="center"/>
    </xf>
    <xf numFmtId="0" fontId="66" fillId="0" borderId="126" applyFill="0" applyBorder="0" applyProtection="0">
      <alignment horizontal="left" vertical="top"/>
    </xf>
    <xf numFmtId="0" fontId="66" fillId="0" borderId="126" applyFill="0" applyBorder="0" applyProtection="0">
      <alignment horizontal="left" vertical="top"/>
    </xf>
    <xf numFmtId="0" fontId="25" fillId="0" borderId="274" applyNumberFormat="0" applyAlignment="0" applyProtection="0"/>
    <xf numFmtId="0" fontId="129" fillId="0" borderId="270">
      <alignment horizontal="center"/>
    </xf>
    <xf numFmtId="37" fontId="132" fillId="0" borderId="270">
      <alignment horizontal="right"/>
    </xf>
    <xf numFmtId="0" fontId="39" fillId="0" borderId="126" applyFont="0" applyBorder="0" applyAlignment="0"/>
    <xf numFmtId="0" fontId="17" fillId="0" borderId="126">
      <alignment horizontal="left" vertical="top"/>
    </xf>
    <xf numFmtId="0" fontId="83" fillId="32" borderId="276" applyNumberFormat="0" applyAlignment="0" applyProtection="0"/>
    <xf numFmtId="0" fontId="130" fillId="0" borderId="126">
      <alignment horizontal="left" vertical="top"/>
    </xf>
    <xf numFmtId="253" fontId="17" fillId="0" borderId="270" applyFill="0"/>
    <xf numFmtId="166" fontId="32" fillId="7" borderId="270" applyNumberFormat="0" applyFont="0" applyAlignment="0" applyProtection="0">
      <alignment horizontal="center"/>
      <protection locked="0"/>
    </xf>
    <xf numFmtId="0" fontId="39" fillId="0" borderId="126" applyFont="0" applyBorder="0" applyAlignment="0"/>
    <xf numFmtId="164" fontId="24" fillId="0" borderId="270" applyFill="0" applyBorder="0" applyProtection="0"/>
    <xf numFmtId="0" fontId="32" fillId="0" borderId="275" applyNumberFormat="0" applyFill="0" applyAlignment="0" applyProtection="0"/>
    <xf numFmtId="0" fontId="82" fillId="0" borderId="270" applyNumberFormat="0" applyFill="0" applyAlignment="0" applyProtection="0"/>
    <xf numFmtId="0" fontId="83" fillId="32" borderId="276" applyNumberFormat="0" applyAlignment="0" applyProtection="0"/>
    <xf numFmtId="0" fontId="131" fillId="0" borderId="126">
      <alignment horizontal="left" vertical="top"/>
    </xf>
    <xf numFmtId="0" fontId="88" fillId="0" borderId="281" applyNumberFormat="0" applyFill="0" applyAlignment="0" applyProtection="0"/>
    <xf numFmtId="0" fontId="152" fillId="0" borderId="270" applyNumberFormat="0" applyFill="0" applyProtection="0"/>
    <xf numFmtId="0" fontId="103" fillId="32" borderId="279" applyNumberFormat="0" applyAlignment="0" applyProtection="0"/>
    <xf numFmtId="0" fontId="149" fillId="0" borderId="126" applyFill="0" applyBorder="0" applyProtection="0"/>
    <xf numFmtId="0" fontId="32" fillId="0" borderId="126" applyFill="0" applyBorder="0" applyProtection="0">
      <alignment horizontal="left" vertical="top"/>
    </xf>
    <xf numFmtId="0" fontId="39" fillId="0" borderId="126" applyFont="0" applyBorder="0" applyAlignment="0"/>
    <xf numFmtId="0" fontId="82" fillId="0" borderId="270" applyNumberFormat="0" applyFill="0" applyAlignment="0" applyProtection="0"/>
    <xf numFmtId="174" fontId="17" fillId="0" borderId="282" applyNumberFormat="0" applyFill="0" applyAlignment="0" applyProtection="0"/>
    <xf numFmtId="0" fontId="32" fillId="0" borderId="126" applyFill="0" applyBorder="0" applyProtection="0">
      <alignment horizontal="left" vertical="top"/>
    </xf>
    <xf numFmtId="10" fontId="17" fillId="2" borderId="280" applyFont="0" applyFill="0" applyBorder="0" applyAlignment="0" applyProtection="0"/>
    <xf numFmtId="0" fontId="129" fillId="0" borderId="270">
      <alignment horizontal="center"/>
    </xf>
    <xf numFmtId="3" fontId="17" fillId="2" borderId="280" applyFont="0" applyFill="0" applyBorder="0" applyAlignment="0" applyProtection="0"/>
    <xf numFmtId="0" fontId="130" fillId="0" borderId="126">
      <alignment horizontal="left" vertical="top"/>
    </xf>
    <xf numFmtId="0" fontId="66" fillId="0" borderId="126" applyFill="0" applyBorder="0" applyProtection="0">
      <alignment horizontal="left" vertical="top"/>
    </xf>
    <xf numFmtId="0" fontId="131" fillId="0" borderId="126">
      <alignment horizontal="left" vertical="top"/>
    </xf>
    <xf numFmtId="37" fontId="132" fillId="0" borderId="270">
      <alignment horizontal="right"/>
    </xf>
    <xf numFmtId="165" fontId="133" fillId="0" borderId="270"/>
    <xf numFmtId="165" fontId="133" fillId="0" borderId="270"/>
    <xf numFmtId="253" fontId="17" fillId="0" borderId="270" applyFill="0"/>
    <xf numFmtId="253" fontId="17" fillId="0" borderId="270" applyFill="0"/>
    <xf numFmtId="0" fontId="17" fillId="3" borderId="277">
      <alignment horizontal="left" vertical="center" wrapText="1"/>
    </xf>
    <xf numFmtId="165" fontId="133" fillId="0" borderId="270"/>
    <xf numFmtId="37" fontId="132" fillId="0" borderId="270">
      <alignment horizontal="right"/>
    </xf>
    <xf numFmtId="3" fontId="17" fillId="2" borderId="280" applyFont="0" applyFill="0" applyBorder="0" applyAlignment="0" applyProtection="0"/>
    <xf numFmtId="9" fontId="17" fillId="2" borderId="280" applyFont="0" applyFill="0" applyBorder="0" applyAlignment="0" applyProtection="0"/>
    <xf numFmtId="0" fontId="129" fillId="0" borderId="270">
      <alignment horizontal="center"/>
    </xf>
    <xf numFmtId="0" fontId="17" fillId="23" borderId="278" applyNumberFormat="0" applyFont="0" applyAlignment="0" applyProtection="0"/>
    <xf numFmtId="0" fontId="103" fillId="32" borderId="279" applyNumberFormat="0" applyAlignment="0" applyProtection="0"/>
    <xf numFmtId="0" fontId="149" fillId="0" borderId="126" applyFill="0" applyBorder="0" applyProtection="0"/>
    <xf numFmtId="0" fontId="152" fillId="0" borderId="270" applyNumberFormat="0" applyFill="0" applyProtection="0"/>
    <xf numFmtId="1" fontId="24" fillId="0" borderId="270" applyNumberFormat="0">
      <alignment horizontal="right"/>
    </xf>
    <xf numFmtId="2" fontId="17" fillId="2" borderId="280" applyFont="0" applyFill="0" applyBorder="0" applyAlignment="0" applyProtection="0"/>
    <xf numFmtId="0" fontId="82" fillId="0" borderId="270" applyNumberFormat="0" applyFill="0" applyAlignment="0" applyProtection="0"/>
    <xf numFmtId="166" fontId="32" fillId="7" borderId="270" applyNumberFormat="0" applyFont="0" applyAlignment="0" applyProtection="0">
      <alignment horizontal="center"/>
      <protection locked="0"/>
    </xf>
    <xf numFmtId="0" fontId="17" fillId="23" borderId="278" applyNumberFormat="0" applyFont="0" applyAlignment="0" applyProtection="0"/>
    <xf numFmtId="0" fontId="39" fillId="0" borderId="126" applyFont="0" applyBorder="0" applyAlignment="0"/>
    <xf numFmtId="0" fontId="66" fillId="0" borderId="126" applyFill="0" applyBorder="0" applyProtection="0">
      <alignment horizontal="left" vertical="top"/>
    </xf>
    <xf numFmtId="0" fontId="76" fillId="12" borderId="270" applyBorder="0" applyProtection="0">
      <alignment horizontal="centerContinuous" vertical="center"/>
    </xf>
    <xf numFmtId="10" fontId="17" fillId="2" borderId="280" applyFont="0" applyFill="0" applyBorder="0" applyAlignment="0" applyProtection="0"/>
    <xf numFmtId="164" fontId="24" fillId="0" borderId="270" applyFill="0" applyBorder="0" applyProtection="0"/>
    <xf numFmtId="0" fontId="88" fillId="0" borderId="281" applyNumberFormat="0" applyFill="0" applyAlignment="0" applyProtection="0"/>
    <xf numFmtId="3" fontId="17" fillId="2" borderId="280" applyFont="0" applyFill="0" applyBorder="0" applyAlignment="0" applyProtection="0"/>
    <xf numFmtId="4" fontId="17" fillId="2" borderId="280" applyFont="0" applyFill="0" applyBorder="0" applyAlignment="0" applyProtection="0"/>
    <xf numFmtId="169" fontId="17" fillId="2" borderId="280" applyFont="0" applyFill="0" applyBorder="0" applyAlignment="0" applyProtection="0"/>
    <xf numFmtId="10" fontId="17" fillId="2" borderId="280" applyFont="0" applyFill="0" applyBorder="0" applyAlignment="0" applyProtection="0"/>
    <xf numFmtId="9" fontId="17" fillId="2" borderId="280" applyFont="0" applyFill="0" applyBorder="0" applyAlignment="0" applyProtection="0"/>
    <xf numFmtId="2" fontId="17" fillId="2" borderId="280" applyFont="0" applyFill="0" applyBorder="0" applyAlignment="0" applyProtection="0"/>
    <xf numFmtId="245" fontId="75" fillId="0" borderId="270" applyBorder="0" applyProtection="0">
      <alignment horizontal="right" vertical="center"/>
    </xf>
    <xf numFmtId="0" fontId="32" fillId="0" borderId="126" applyFill="0" applyBorder="0" applyProtection="0">
      <alignment horizontal="left" vertical="top"/>
    </xf>
    <xf numFmtId="0" fontId="17" fillId="0" borderId="126">
      <alignment horizontal="left" vertical="top"/>
    </xf>
    <xf numFmtId="0" fontId="149" fillId="0" borderId="126" applyFill="0" applyBorder="0" applyProtection="0"/>
    <xf numFmtId="0" fontId="17" fillId="0" borderId="126">
      <alignment horizontal="left" vertical="top"/>
    </xf>
    <xf numFmtId="0" fontId="88" fillId="0" borderId="281" applyNumberFormat="0" applyFill="0" applyAlignment="0" applyProtection="0"/>
    <xf numFmtId="0" fontId="32" fillId="0" borderId="126" applyFill="0" applyBorder="0" applyProtection="0">
      <alignment horizontal="left" vertical="top"/>
    </xf>
    <xf numFmtId="0" fontId="152" fillId="0" borderId="270" applyNumberFormat="0" applyFill="0" applyProtection="0"/>
    <xf numFmtId="1" fontId="24" fillId="0" borderId="270" applyNumberFormat="0">
      <alignment horizontal="right"/>
    </xf>
    <xf numFmtId="0" fontId="149" fillId="0" borderId="126" applyFill="0" applyBorder="0" applyProtection="0"/>
    <xf numFmtId="0" fontId="17" fillId="3" borderId="277">
      <alignment horizontal="left" vertical="center" wrapText="1"/>
    </xf>
    <xf numFmtId="0" fontId="76" fillId="12" borderId="270" applyBorder="0" applyProtection="0">
      <alignment horizontal="centerContinuous" vertical="center"/>
    </xf>
    <xf numFmtId="0" fontId="130" fillId="0" borderId="126">
      <alignment horizontal="left" vertical="top"/>
    </xf>
    <xf numFmtId="5" fontId="156" fillId="0" borderId="283" applyAlignment="0" applyProtection="0"/>
    <xf numFmtId="174" fontId="17" fillId="0" borderId="282" applyNumberFormat="0" applyFill="0" applyAlignment="0" applyProtection="0"/>
    <xf numFmtId="174" fontId="17" fillId="0" borderId="282" applyNumberFormat="0" applyFill="0" applyAlignment="0" applyProtection="0"/>
    <xf numFmtId="0" fontId="66" fillId="0" borderId="126" applyFill="0" applyBorder="0" applyProtection="0">
      <alignment horizontal="left" vertical="top"/>
    </xf>
    <xf numFmtId="166" fontId="32" fillId="7" borderId="270" applyNumberFormat="0" applyFont="0" applyAlignment="0" applyProtection="0">
      <alignment horizontal="center"/>
      <protection locked="0"/>
    </xf>
    <xf numFmtId="169" fontId="17" fillId="2" borderId="280" applyFont="0" applyFill="0" applyBorder="0" applyAlignment="0" applyProtection="0"/>
    <xf numFmtId="245" fontId="75" fillId="0" borderId="270" applyBorder="0" applyProtection="0">
      <alignment horizontal="right" vertical="center"/>
    </xf>
    <xf numFmtId="0" fontId="75" fillId="0" borderId="270" applyBorder="0" applyProtection="0">
      <alignment horizontal="right" vertical="center"/>
    </xf>
    <xf numFmtId="0" fontId="103" fillId="32" borderId="279" applyNumberFormat="0" applyAlignment="0" applyProtection="0"/>
    <xf numFmtId="0" fontId="131" fillId="0" borderId="126">
      <alignment horizontal="left" vertical="top"/>
    </xf>
    <xf numFmtId="0" fontId="17" fillId="0" borderId="126">
      <alignment horizontal="left" vertical="top"/>
    </xf>
    <xf numFmtId="4" fontId="17" fillId="2" borderId="280" applyFont="0" applyFill="0" applyBorder="0" applyAlignment="0" applyProtection="0"/>
    <xf numFmtId="0" fontId="161" fillId="4" borderId="283" applyNumberFormat="0" applyFont="0" applyFill="0" applyAlignment="0" applyProtection="0">
      <protection locked="0"/>
    </xf>
    <xf numFmtId="0" fontId="130" fillId="0" borderId="126">
      <alignment horizontal="left" vertical="top"/>
    </xf>
    <xf numFmtId="0" fontId="29" fillId="4" borderId="283" applyNumberFormat="0" applyFont="0" applyAlignment="0" applyProtection="0">
      <protection locked="0"/>
    </xf>
    <xf numFmtId="0" fontId="17" fillId="3" borderId="277">
      <alignment horizontal="left" vertical="center" wrapText="1"/>
    </xf>
    <xf numFmtId="0" fontId="75" fillId="0" borderId="270" applyBorder="0" applyProtection="0">
      <alignment horizontal="right" vertical="center"/>
    </xf>
    <xf numFmtId="0" fontId="161" fillId="4" borderId="283" applyNumberFormat="0" applyFont="0" applyFill="0" applyAlignment="0" applyProtection="0">
      <protection locked="0"/>
    </xf>
    <xf numFmtId="0" fontId="25" fillId="0" borderId="274" applyNumberFormat="0" applyAlignment="0" applyProtection="0"/>
    <xf numFmtId="0" fontId="29" fillId="4" borderId="283" applyNumberFormat="0" applyFont="0" applyAlignment="0" applyProtection="0">
      <protection locked="0"/>
    </xf>
    <xf numFmtId="0" fontId="32" fillId="0" borderId="275" applyNumberFormat="0" applyFill="0" applyAlignment="0" applyProtection="0"/>
    <xf numFmtId="0" fontId="83" fillId="32" borderId="276" applyNumberFormat="0" applyAlignment="0" applyProtection="0"/>
    <xf numFmtId="0" fontId="32" fillId="0" borderId="275" applyNumberFormat="0" applyFill="0" applyAlignment="0" applyProtection="0"/>
    <xf numFmtId="0" fontId="131" fillId="0" borderId="126">
      <alignment horizontal="left" vertical="top"/>
    </xf>
    <xf numFmtId="0" fontId="17" fillId="23" borderId="278" applyNumberFormat="0" applyFont="0" applyAlignment="0" applyProtection="0"/>
    <xf numFmtId="0" fontId="75" fillId="0" borderId="269" applyBorder="0" applyProtection="0">
      <alignment horizontal="right" vertical="center"/>
    </xf>
    <xf numFmtId="0" fontId="76" fillId="12" borderId="269" applyBorder="0" applyProtection="0">
      <alignment horizontal="centerContinuous" vertical="center"/>
    </xf>
    <xf numFmtId="0" fontId="83" fillId="32" borderId="276" applyNumberFormat="0" applyAlignment="0" applyProtection="0"/>
    <xf numFmtId="0" fontId="32" fillId="0" borderId="275" applyNumberFormat="0" applyFill="0" applyAlignment="0" applyProtection="0"/>
    <xf numFmtId="0" fontId="82" fillId="0" borderId="269" applyNumberFormat="0" applyFill="0" applyAlignment="0" applyProtection="0"/>
    <xf numFmtId="0" fontId="83" fillId="32" borderId="276" applyNumberFormat="0" applyAlignment="0" applyProtection="0"/>
    <xf numFmtId="274" fontId="158" fillId="0" borderId="272" applyBorder="0"/>
    <xf numFmtId="0" fontId="88" fillId="0" borderId="281" applyNumberFormat="0" applyFill="0" applyAlignment="0" applyProtection="0"/>
    <xf numFmtId="0" fontId="103" fillId="32" borderId="279" applyNumberFormat="0" applyAlignment="0" applyProtection="0"/>
    <xf numFmtId="10" fontId="17" fillId="2" borderId="280" applyFont="0" applyFill="0" applyBorder="0" applyAlignment="0" applyProtection="0"/>
    <xf numFmtId="0" fontId="129" fillId="0" borderId="269">
      <alignment horizontal="center"/>
    </xf>
    <xf numFmtId="3" fontId="17" fillId="2" borderId="280" applyFont="0" applyFill="0" applyBorder="0" applyAlignment="0" applyProtection="0"/>
    <xf numFmtId="37" fontId="132" fillId="0" borderId="269">
      <alignment horizontal="right"/>
    </xf>
    <xf numFmtId="165" fontId="133" fillId="0" borderId="269"/>
    <xf numFmtId="253" fontId="17" fillId="0" borderId="269" applyFill="0"/>
    <xf numFmtId="0" fontId="17" fillId="3" borderId="277">
      <alignment horizontal="left" vertical="center" wrapText="1"/>
    </xf>
    <xf numFmtId="3" fontId="17" fillId="2" borderId="280" applyFont="0" applyFill="0" applyBorder="0" applyAlignment="0" applyProtection="0"/>
    <xf numFmtId="9" fontId="17" fillId="2" borderId="280" applyFont="0" applyFill="0" applyBorder="0" applyAlignment="0" applyProtection="0"/>
    <xf numFmtId="0" fontId="17" fillId="23" borderId="278" applyNumberFormat="0" applyFont="0" applyAlignment="0" applyProtection="0"/>
    <xf numFmtId="0" fontId="103" fillId="32" borderId="279" applyNumberFormat="0" applyAlignment="0" applyProtection="0"/>
    <xf numFmtId="2" fontId="17" fillId="2" borderId="280" applyFont="0" applyFill="0" applyBorder="0" applyAlignment="0" applyProtection="0"/>
    <xf numFmtId="0" fontId="17" fillId="23" borderId="278" applyNumberFormat="0" applyFont="0" applyAlignment="0" applyProtection="0"/>
    <xf numFmtId="10" fontId="17" fillId="2" borderId="280" applyFont="0" applyFill="0" applyBorder="0" applyAlignment="0" applyProtection="0"/>
    <xf numFmtId="164" fontId="24" fillId="0" borderId="269" applyFill="0" applyBorder="0" applyProtection="0"/>
    <xf numFmtId="0" fontId="88" fillId="0" borderId="281" applyNumberFormat="0" applyFill="0" applyAlignment="0" applyProtection="0"/>
    <xf numFmtId="3" fontId="17" fillId="2" borderId="280" applyFont="0" applyFill="0" applyBorder="0" applyAlignment="0" applyProtection="0"/>
    <xf numFmtId="4" fontId="17" fillId="2" borderId="280" applyFont="0" applyFill="0" applyBorder="0" applyAlignment="0" applyProtection="0"/>
    <xf numFmtId="169" fontId="17" fillId="2" borderId="280" applyFont="0" applyFill="0" applyBorder="0" applyAlignment="0" applyProtection="0"/>
    <xf numFmtId="10" fontId="17" fillId="2" borderId="280" applyFont="0" applyFill="0" applyBorder="0" applyAlignment="0" applyProtection="0"/>
    <xf numFmtId="9" fontId="17" fillId="2" borderId="280" applyFont="0" applyFill="0" applyBorder="0" applyAlignment="0" applyProtection="0"/>
    <xf numFmtId="2" fontId="17" fillId="2" borderId="280" applyFont="0" applyFill="0" applyBorder="0" applyAlignment="0" applyProtection="0"/>
    <xf numFmtId="245" fontId="75" fillId="0" borderId="269" applyBorder="0" applyProtection="0">
      <alignment horizontal="right" vertical="center"/>
    </xf>
    <xf numFmtId="0" fontId="88" fillId="0" borderId="281" applyNumberFormat="0" applyFill="0" applyAlignment="0" applyProtection="0"/>
    <xf numFmtId="0" fontId="152" fillId="0" borderId="269" applyNumberFormat="0" applyFill="0" applyProtection="0"/>
    <xf numFmtId="1" fontId="24" fillId="0" borderId="269" applyNumberFormat="0">
      <alignment horizontal="right"/>
    </xf>
    <xf numFmtId="0" fontId="17" fillId="3" borderId="277">
      <alignment horizontal="left" vertical="center" wrapText="1"/>
    </xf>
    <xf numFmtId="274" fontId="158" fillId="0" borderId="271" applyBorder="0"/>
    <xf numFmtId="5" fontId="156" fillId="0" borderId="283" applyAlignment="0" applyProtection="0"/>
    <xf numFmtId="166" fontId="32" fillId="7" borderId="269" applyNumberFormat="0" applyFont="0" applyAlignment="0" applyProtection="0">
      <alignment horizontal="center"/>
      <protection locked="0"/>
    </xf>
    <xf numFmtId="169" fontId="17" fillId="2" borderId="280" applyFont="0" applyFill="0" applyBorder="0" applyAlignment="0" applyProtection="0"/>
    <xf numFmtId="0" fontId="103" fillId="32" borderId="279" applyNumberFormat="0" applyAlignment="0" applyProtection="0"/>
    <xf numFmtId="4" fontId="17" fillId="2" borderId="280" applyFont="0" applyFill="0" applyBorder="0" applyAlignment="0" applyProtection="0"/>
    <xf numFmtId="0" fontId="161" fillId="4" borderId="283" applyNumberFormat="0" applyFont="0" applyFill="0" applyAlignment="0" applyProtection="0">
      <protection locked="0"/>
    </xf>
    <xf numFmtId="0" fontId="29" fillId="4" borderId="283" applyNumberFormat="0" applyFont="0" applyAlignment="0" applyProtection="0">
      <protection locked="0"/>
    </xf>
    <xf numFmtId="0" fontId="17" fillId="3" borderId="277">
      <alignment horizontal="left" vertical="center" wrapText="1"/>
    </xf>
    <xf numFmtId="0" fontId="32" fillId="0" borderId="275" applyNumberFormat="0" applyFill="0" applyAlignment="0" applyProtection="0"/>
    <xf numFmtId="0" fontId="83" fillId="32" borderId="276" applyNumberFormat="0" applyAlignment="0" applyProtection="0"/>
    <xf numFmtId="0" fontId="32" fillId="0" borderId="275" applyNumberFormat="0" applyFill="0" applyAlignment="0" applyProtection="0"/>
    <xf numFmtId="0" fontId="14" fillId="0" borderId="0"/>
    <xf numFmtId="9" fontId="14" fillId="0" borderId="0" applyFont="0" applyFill="0" applyBorder="0" applyAlignment="0" applyProtection="0"/>
    <xf numFmtId="0" fontId="266"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43" fontId="13" fillId="0" borderId="0" applyFont="0" applyFill="0" applyBorder="0" applyAlignment="0" applyProtection="0"/>
    <xf numFmtId="0" fontId="267" fillId="0" borderId="0"/>
    <xf numFmtId="9" fontId="266" fillId="0" borderId="0" applyFont="0" applyFill="0" applyBorder="0" applyAlignment="0" applyProtection="0"/>
    <xf numFmtId="0" fontId="13" fillId="0" borderId="0"/>
    <xf numFmtId="0" fontId="17" fillId="0" borderId="0"/>
    <xf numFmtId="0" fontId="6" fillId="0" borderId="0"/>
    <xf numFmtId="9" fontId="6" fillId="0" borderId="0" applyFont="0" applyFill="0" applyBorder="0" applyAlignment="0" applyProtection="0"/>
    <xf numFmtId="0" fontId="153" fillId="0" borderId="0" applyNumberFormat="0" applyFill="0" applyBorder="0" applyAlignment="0" applyProtection="0"/>
    <xf numFmtId="0" fontId="5" fillId="0" borderId="0"/>
    <xf numFmtId="43" fontId="5" fillId="0" borderId="0" applyFont="0" applyFill="0" applyBorder="0" applyAlignment="0" applyProtection="0"/>
    <xf numFmtId="9" fontId="267" fillId="0" borderId="0" applyFont="0" applyFill="0" applyBorder="0" applyAlignment="0" applyProtection="0"/>
    <xf numFmtId="0" fontId="280" fillId="53" borderId="0">
      <alignment horizontal="left"/>
    </xf>
    <xf numFmtId="0" fontId="2" fillId="0" borderId="0"/>
    <xf numFmtId="0" fontId="224" fillId="54" borderId="298">
      <alignment horizontal="center" wrapText="1"/>
    </xf>
    <xf numFmtId="0" fontId="223" fillId="54" borderId="298">
      <alignment horizontal="center" wrapText="1"/>
    </xf>
    <xf numFmtId="0" fontId="269" fillId="53" borderId="0">
      <alignment horizontal="left" wrapText="1"/>
    </xf>
    <xf numFmtId="0" fontId="17" fillId="0" borderId="0"/>
    <xf numFmtId="43" fontId="17" fillId="0" borderId="0" applyFont="0" applyFill="0" applyBorder="0" applyAlignment="0" applyProtection="0"/>
    <xf numFmtId="0" fontId="32" fillId="0" borderId="0">
      <alignment vertical="top" wrapText="1"/>
    </xf>
  </cellStyleXfs>
  <cellXfs count="6279">
    <xf numFmtId="0" fontId="0" fillId="0" borderId="0" xfId="0"/>
    <xf numFmtId="0" fontId="52" fillId="0" borderId="0" xfId="0" applyFont="1"/>
    <xf numFmtId="0" fontId="52" fillId="0" borderId="0" xfId="0" applyFont="1" applyFill="1"/>
    <xf numFmtId="0" fontId="55" fillId="0" borderId="0" xfId="0" applyFont="1"/>
    <xf numFmtId="0" fontId="56" fillId="0" borderId="0" xfId="0" applyFont="1" applyFill="1" applyBorder="1"/>
    <xf numFmtId="0" fontId="52" fillId="0" borderId="0" xfId="0" applyFont="1" applyBorder="1"/>
    <xf numFmtId="0" fontId="52" fillId="0" borderId="0" xfId="0" applyFont="1" applyFill="1" applyAlignment="1">
      <alignment horizontal="center"/>
    </xf>
    <xf numFmtId="165" fontId="52" fillId="0" borderId="0" xfId="0" applyNumberFormat="1" applyFont="1" applyFill="1" applyBorder="1"/>
    <xf numFmtId="166" fontId="52" fillId="0" borderId="0" xfId="52" applyNumberFormat="1" applyFont="1" applyFill="1" applyBorder="1"/>
    <xf numFmtId="9" fontId="52" fillId="0" borderId="0" xfId="52" applyFont="1" applyAlignment="1">
      <alignment horizontal="right"/>
    </xf>
    <xf numFmtId="174" fontId="52" fillId="0" borderId="0" xfId="41" applyFont="1" applyFill="1"/>
    <xf numFmtId="174" fontId="52" fillId="0" borderId="0" xfId="41" applyFont="1" applyFill="1" applyBorder="1"/>
    <xf numFmtId="174" fontId="52" fillId="0" borderId="0" xfId="41" applyFont="1" applyFill="1" applyAlignment="1">
      <alignment horizontal="left"/>
    </xf>
    <xf numFmtId="0" fontId="52" fillId="0" borderId="0" xfId="0" applyFont="1" applyFill="1" applyBorder="1" applyAlignment="1">
      <alignment horizontal="right"/>
    </xf>
    <xf numFmtId="174" fontId="54" fillId="0" borderId="0" xfId="41" applyFont="1" applyFill="1"/>
    <xf numFmtId="0" fontId="60" fillId="0" borderId="0" xfId="0" applyFont="1" applyFill="1" applyBorder="1"/>
    <xf numFmtId="0" fontId="55" fillId="0" borderId="0" xfId="0" applyFont="1" applyBorder="1"/>
    <xf numFmtId="0" fontId="55" fillId="0" borderId="0" xfId="0" applyFont="1" applyFill="1"/>
    <xf numFmtId="0" fontId="55" fillId="0" borderId="0" xfId="0" applyFont="1" applyAlignment="1">
      <alignment horizontal="right"/>
    </xf>
    <xf numFmtId="0" fontId="60" fillId="0" borderId="0" xfId="0" applyFont="1" applyFill="1" applyBorder="1" applyAlignment="1">
      <alignment horizontal="right"/>
    </xf>
    <xf numFmtId="0" fontId="52" fillId="0" borderId="0" xfId="0" applyFont="1" applyAlignment="1">
      <alignment horizontal="right"/>
    </xf>
    <xf numFmtId="0" fontId="52" fillId="0" borderId="0" xfId="0" applyFont="1" applyFill="1" applyAlignment="1">
      <alignment horizontal="right"/>
    </xf>
    <xf numFmtId="0" fontId="52" fillId="0" borderId="0" xfId="0" applyFont="1" applyBorder="1" applyAlignment="1">
      <alignment horizontal="right"/>
    </xf>
    <xf numFmtId="0" fontId="55" fillId="0" borderId="0" xfId="0" applyFont="1" applyBorder="1" applyAlignment="1">
      <alignment horizontal="right"/>
    </xf>
    <xf numFmtId="0" fontId="55" fillId="0" borderId="0" xfId="0" applyFont="1" applyFill="1" applyAlignment="1">
      <alignment horizontal="right"/>
    </xf>
    <xf numFmtId="0" fontId="55" fillId="0" borderId="0" xfId="0" applyFont="1" applyAlignment="1">
      <alignment horizontal="left"/>
    </xf>
    <xf numFmtId="0" fontId="60" fillId="0" borderId="0" xfId="0" applyFont="1" applyFill="1" applyBorder="1" applyAlignment="1">
      <alignment horizontal="left"/>
    </xf>
    <xf numFmtId="166" fontId="154" fillId="0" borderId="0" xfId="0" applyNumberFormat="1" applyFont="1" applyFill="1" applyBorder="1" applyAlignment="1">
      <alignment horizontal="right"/>
    </xf>
    <xf numFmtId="0" fontId="184" fillId="0" borderId="0" xfId="0" applyFont="1" applyBorder="1"/>
    <xf numFmtId="0" fontId="56" fillId="0" borderId="0" xfId="0" applyFont="1" applyFill="1" applyBorder="1" applyAlignment="1">
      <alignment horizontal="center"/>
    </xf>
    <xf numFmtId="0" fontId="56" fillId="0" borderId="0" xfId="0" applyFont="1" applyBorder="1" applyAlignment="1">
      <alignment horizontal="center"/>
    </xf>
    <xf numFmtId="0" fontId="56" fillId="0" borderId="0" xfId="0" applyFont="1" applyBorder="1"/>
    <xf numFmtId="0" fontId="56" fillId="0" borderId="0" xfId="0" applyFont="1" applyBorder="1" applyAlignment="1">
      <alignment horizontal="right"/>
    </xf>
    <xf numFmtId="10" fontId="56" fillId="0" borderId="0" xfId="52" applyNumberFormat="1" applyFont="1" applyBorder="1" applyAlignment="1">
      <alignment horizontal="right"/>
    </xf>
    <xf numFmtId="0" fontId="185" fillId="0" borderId="19" xfId="0" applyFont="1" applyFill="1" applyBorder="1" applyAlignment="1">
      <alignment horizontal="center"/>
    </xf>
    <xf numFmtId="0" fontId="56" fillId="0" borderId="0" xfId="0" applyFont="1"/>
    <xf numFmtId="165" fontId="56" fillId="0" borderId="0" xfId="46" applyNumberFormat="1" applyFont="1" applyBorder="1"/>
    <xf numFmtId="165" fontId="56" fillId="0" borderId="0" xfId="0" applyNumberFormat="1" applyFont="1" applyBorder="1"/>
    <xf numFmtId="165" fontId="56" fillId="0" borderId="22" xfId="0" applyNumberFormat="1" applyFont="1" applyBorder="1"/>
    <xf numFmtId="165" fontId="56" fillId="0" borderId="21" xfId="0" applyNumberFormat="1" applyFont="1" applyBorder="1"/>
    <xf numFmtId="165" fontId="56" fillId="0" borderId="22" xfId="0" applyNumberFormat="1" applyFont="1" applyBorder="1" applyAlignment="1">
      <alignment horizontal="right"/>
    </xf>
    <xf numFmtId="165" fontId="56" fillId="0" borderId="21" xfId="0" applyNumberFormat="1" applyFont="1" applyBorder="1" applyAlignment="1">
      <alignment horizontal="right"/>
    </xf>
    <xf numFmtId="165" fontId="56" fillId="0" borderId="0" xfId="0" applyNumberFormat="1" applyFont="1" applyFill="1" applyBorder="1" applyAlignment="1">
      <alignment horizontal="right"/>
    </xf>
    <xf numFmtId="165" fontId="56" fillId="0" borderId="0" xfId="0" applyNumberFormat="1" applyFont="1" applyBorder="1" applyAlignment="1">
      <alignment horizontal="right"/>
    </xf>
    <xf numFmtId="165" fontId="187" fillId="0" borderId="0" xfId="0" applyNumberFormat="1" applyFont="1" applyBorder="1" applyAlignment="1">
      <alignment horizontal="right"/>
    </xf>
    <xf numFmtId="165" fontId="56" fillId="0" borderId="0" xfId="0" applyNumberFormat="1" applyFont="1"/>
    <xf numFmtId="177" fontId="56" fillId="0" borderId="22" xfId="10" applyNumberFormat="1" applyFont="1" applyBorder="1" applyAlignment="1">
      <alignment horizontal="right"/>
    </xf>
    <xf numFmtId="177" fontId="56" fillId="0" borderId="0" xfId="10" applyNumberFormat="1" applyFont="1" applyBorder="1" applyAlignment="1">
      <alignment horizontal="right"/>
    </xf>
    <xf numFmtId="177" fontId="187" fillId="0" borderId="0" xfId="10" applyNumberFormat="1" applyFont="1" applyBorder="1" applyAlignment="1">
      <alignment horizontal="right"/>
    </xf>
    <xf numFmtId="177" fontId="187" fillId="0" borderId="22" xfId="10" applyNumberFormat="1" applyFont="1" applyBorder="1" applyAlignment="1">
      <alignment horizontal="right"/>
    </xf>
    <xf numFmtId="177" fontId="56" fillId="0" borderId="21" xfId="10" applyNumberFormat="1" applyFont="1" applyBorder="1" applyAlignment="1">
      <alignment horizontal="right"/>
    </xf>
    <xf numFmtId="177" fontId="56" fillId="0" borderId="0" xfId="10" applyNumberFormat="1" applyFont="1" applyFill="1" applyBorder="1" applyAlignment="1">
      <alignment horizontal="right"/>
    </xf>
    <xf numFmtId="177" fontId="56" fillId="0" borderId="22" xfId="10" applyNumberFormat="1" applyFont="1" applyFill="1" applyBorder="1" applyAlignment="1">
      <alignment horizontal="right"/>
    </xf>
    <xf numFmtId="177" fontId="187" fillId="0" borderId="0" xfId="10" applyNumberFormat="1" applyFont="1" applyFill="1" applyBorder="1" applyAlignment="1">
      <alignment horizontal="right"/>
    </xf>
    <xf numFmtId="177" fontId="187" fillId="0" borderId="22" xfId="10" applyNumberFormat="1" applyFont="1" applyFill="1" applyBorder="1" applyAlignment="1">
      <alignment horizontal="right"/>
    </xf>
    <xf numFmtId="165" fontId="188" fillId="0" borderId="0" xfId="0" applyNumberFormat="1" applyFont="1" applyBorder="1"/>
    <xf numFmtId="165" fontId="188" fillId="0" borderId="0" xfId="46" applyNumberFormat="1" applyFont="1" applyBorder="1"/>
    <xf numFmtId="165" fontId="188" fillId="0" borderId="21" xfId="0" applyNumberFormat="1" applyFont="1" applyBorder="1"/>
    <xf numFmtId="165" fontId="188" fillId="0" borderId="21" xfId="0" applyNumberFormat="1" applyFont="1" applyBorder="1" applyAlignment="1">
      <alignment horizontal="right"/>
    </xf>
    <xf numFmtId="165" fontId="188" fillId="0" borderId="0" xfId="0" applyNumberFormat="1" applyFont="1" applyBorder="1" applyAlignment="1">
      <alignment horizontal="right"/>
    </xf>
    <xf numFmtId="192" fontId="188" fillId="0" borderId="0" xfId="0" applyNumberFormat="1" applyFont="1" applyBorder="1" applyAlignment="1">
      <alignment horizontal="right"/>
    </xf>
    <xf numFmtId="165" fontId="188" fillId="0" borderId="0" xfId="0" applyNumberFormat="1" applyFont="1"/>
    <xf numFmtId="177" fontId="56" fillId="0" borderId="0" xfId="10" applyNumberFormat="1" applyFont="1" applyBorder="1"/>
    <xf numFmtId="165" fontId="56" fillId="0" borderId="22" xfId="0" applyNumberFormat="1" applyFont="1" applyFill="1" applyBorder="1" applyAlignment="1">
      <alignment horizontal="right"/>
    </xf>
    <xf numFmtId="165" fontId="187" fillId="0" borderId="21" xfId="0" applyNumberFormat="1" applyFont="1" applyFill="1" applyBorder="1" applyAlignment="1">
      <alignment horizontal="right"/>
    </xf>
    <xf numFmtId="165" fontId="187" fillId="0" borderId="0" xfId="0" applyNumberFormat="1" applyFont="1" applyFill="1" applyBorder="1" applyAlignment="1">
      <alignment horizontal="right"/>
    </xf>
    <xf numFmtId="165" fontId="187" fillId="0" borderId="22" xfId="0" applyNumberFormat="1" applyFont="1" applyFill="1" applyBorder="1" applyAlignment="1">
      <alignment horizontal="right"/>
    </xf>
    <xf numFmtId="41" fontId="56" fillId="0" borderId="0" xfId="46" applyNumberFormat="1" applyFont="1" applyBorder="1"/>
    <xf numFmtId="41" fontId="56" fillId="0" borderId="21" xfId="0" applyNumberFormat="1" applyFont="1" applyBorder="1"/>
    <xf numFmtId="41" fontId="56" fillId="0" borderId="0" xfId="0" applyNumberFormat="1" applyFont="1" applyBorder="1"/>
    <xf numFmtId="177" fontId="189" fillId="0" borderId="0" xfId="10" applyNumberFormat="1" applyFont="1" applyBorder="1" applyAlignment="1">
      <alignment horizontal="right"/>
    </xf>
    <xf numFmtId="192" fontId="56" fillId="0" borderId="0" xfId="0" applyNumberFormat="1" applyFont="1" applyBorder="1" applyAlignment="1">
      <alignment horizontal="right"/>
    </xf>
    <xf numFmtId="165" fontId="190" fillId="0" borderId="0" xfId="0" applyNumberFormat="1" applyFont="1" applyBorder="1"/>
    <xf numFmtId="43" fontId="56" fillId="0" borderId="0" xfId="10" applyFont="1" applyBorder="1" applyAlignment="1">
      <alignment horizontal="right"/>
    </xf>
    <xf numFmtId="43" fontId="56" fillId="0" borderId="22" xfId="10" applyFont="1" applyBorder="1" applyAlignment="1">
      <alignment horizontal="right"/>
    </xf>
    <xf numFmtId="43" fontId="56" fillId="0" borderId="21" xfId="10" applyFont="1" applyBorder="1" applyAlignment="1">
      <alignment horizontal="right"/>
    </xf>
    <xf numFmtId="165" fontId="56" fillId="0" borderId="0" xfId="46" applyNumberFormat="1" applyFont="1" applyFill="1" applyBorder="1"/>
    <xf numFmtId="165" fontId="56" fillId="0" borderId="0" xfId="0" applyNumberFormat="1" applyFont="1" applyFill="1" applyBorder="1"/>
    <xf numFmtId="165" fontId="56" fillId="0" borderId="22" xfId="0" applyNumberFormat="1" applyFont="1" applyFill="1" applyBorder="1"/>
    <xf numFmtId="165" fontId="56" fillId="0" borderId="21" xfId="0" applyNumberFormat="1" applyFont="1" applyFill="1" applyBorder="1"/>
    <xf numFmtId="165" fontId="190" fillId="0" borderId="0" xfId="0" applyNumberFormat="1" applyFont="1" applyFill="1" applyBorder="1"/>
    <xf numFmtId="43" fontId="56" fillId="0" borderId="22" xfId="10" applyFont="1" applyFill="1" applyBorder="1" applyAlignment="1">
      <alignment horizontal="right"/>
    </xf>
    <xf numFmtId="43" fontId="56" fillId="0" borderId="0" xfId="10" applyFont="1" applyFill="1" applyBorder="1" applyAlignment="1">
      <alignment horizontal="right"/>
    </xf>
    <xf numFmtId="43" fontId="187" fillId="0" borderId="0" xfId="10" applyFont="1" applyFill="1" applyBorder="1" applyAlignment="1">
      <alignment horizontal="right"/>
    </xf>
    <xf numFmtId="165" fontId="56" fillId="0" borderId="0" xfId="0" applyNumberFormat="1" applyFont="1" applyFill="1"/>
    <xf numFmtId="165" fontId="56" fillId="0" borderId="20" xfId="46" applyNumberFormat="1" applyFont="1" applyBorder="1"/>
    <xf numFmtId="165" fontId="56" fillId="0" borderId="20" xfId="0" applyNumberFormat="1" applyFont="1" applyBorder="1"/>
    <xf numFmtId="165" fontId="56" fillId="0" borderId="23" xfId="0" applyNumberFormat="1" applyFont="1" applyBorder="1"/>
    <xf numFmtId="165" fontId="190" fillId="0" borderId="20" xfId="0" applyNumberFormat="1" applyFont="1" applyBorder="1"/>
    <xf numFmtId="165" fontId="56" fillId="0" borderId="23" xfId="0" applyNumberFormat="1" applyFont="1" applyBorder="1" applyAlignment="1">
      <alignment horizontal="right"/>
    </xf>
    <xf numFmtId="165" fontId="56" fillId="0" borderId="20" xfId="0" applyNumberFormat="1" applyFont="1" applyBorder="1" applyAlignment="1">
      <alignment horizontal="right"/>
    </xf>
    <xf numFmtId="177" fontId="56" fillId="0" borderId="23" xfId="10" applyNumberFormat="1" applyFont="1" applyBorder="1" applyAlignment="1">
      <alignment horizontal="right"/>
    </xf>
    <xf numFmtId="177" fontId="56" fillId="0" borderId="20" xfId="10" applyNumberFormat="1" applyFont="1" applyBorder="1" applyAlignment="1">
      <alignment horizontal="right"/>
    </xf>
    <xf numFmtId="177" fontId="189" fillId="0" borderId="20" xfId="10" applyNumberFormat="1" applyFont="1" applyBorder="1" applyAlignment="1">
      <alignment horizontal="right"/>
    </xf>
    <xf numFmtId="177" fontId="187" fillId="0" borderId="20" xfId="10" applyNumberFormat="1" applyFont="1" applyBorder="1" applyAlignment="1">
      <alignment horizontal="right"/>
    </xf>
    <xf numFmtId="165" fontId="191" fillId="0" borderId="0" xfId="0" applyNumberFormat="1" applyFont="1" applyBorder="1"/>
    <xf numFmtId="43" fontId="189" fillId="0" borderId="21" xfId="10" applyFont="1" applyBorder="1" applyAlignment="1">
      <alignment horizontal="right"/>
    </xf>
    <xf numFmtId="43" fontId="189" fillId="0" borderId="0" xfId="10" applyFont="1" applyBorder="1" applyAlignment="1">
      <alignment horizontal="right"/>
    </xf>
    <xf numFmtId="43" fontId="187" fillId="0" borderId="0" xfId="10" applyFont="1" applyBorder="1" applyAlignment="1">
      <alignment horizontal="right"/>
    </xf>
    <xf numFmtId="192" fontId="56" fillId="0" borderId="0" xfId="0" applyNumberFormat="1" applyFont="1" applyBorder="1"/>
    <xf numFmtId="177" fontId="189" fillId="0" borderId="21" xfId="10" applyNumberFormat="1" applyFont="1" applyBorder="1" applyAlignment="1">
      <alignment horizontal="right"/>
    </xf>
    <xf numFmtId="177" fontId="189" fillId="0" borderId="0" xfId="10" applyNumberFormat="1" applyFont="1" applyFill="1" applyBorder="1" applyAlignment="1">
      <alignment horizontal="right"/>
    </xf>
    <xf numFmtId="165" fontId="56" fillId="0" borderId="0" xfId="0" applyNumberFormat="1" applyFont="1" applyAlignment="1">
      <alignment horizontal="right"/>
    </xf>
    <xf numFmtId="0" fontId="56" fillId="0" borderId="21" xfId="0" applyFont="1" applyBorder="1"/>
    <xf numFmtId="0" fontId="56" fillId="0" borderId="21" xfId="0" applyFont="1" applyBorder="1" applyAlignment="1">
      <alignment horizontal="right"/>
    </xf>
    <xf numFmtId="0" fontId="56" fillId="0" borderId="22" xfId="0" applyFont="1" applyBorder="1" applyAlignment="1">
      <alignment horizontal="right"/>
    </xf>
    <xf numFmtId="186" fontId="56" fillId="0" borderId="0" xfId="0" applyNumberFormat="1" applyFont="1"/>
    <xf numFmtId="186" fontId="56" fillId="0" borderId="0" xfId="0" applyNumberFormat="1" applyFont="1" applyBorder="1"/>
    <xf numFmtId="186" fontId="56" fillId="0" borderId="21" xfId="0" applyNumberFormat="1" applyFont="1" applyBorder="1"/>
    <xf numFmtId="186" fontId="191" fillId="0" borderId="21" xfId="0" applyNumberFormat="1" applyFont="1" applyBorder="1"/>
    <xf numFmtId="186" fontId="191" fillId="0" borderId="0" xfId="0" applyNumberFormat="1" applyFont="1" applyBorder="1"/>
    <xf numFmtId="186" fontId="56" fillId="0" borderId="21" xfId="0" applyNumberFormat="1" applyFont="1" applyBorder="1" applyAlignment="1">
      <alignment horizontal="right"/>
    </xf>
    <xf numFmtId="186" fontId="56" fillId="0" borderId="0" xfId="0" applyNumberFormat="1" applyFont="1" applyBorder="1" applyAlignment="1">
      <alignment horizontal="right"/>
    </xf>
    <xf numFmtId="186" fontId="56" fillId="0" borderId="0" xfId="0" applyNumberFormat="1" applyFont="1" applyFill="1" applyBorder="1" applyAlignment="1">
      <alignment horizontal="right"/>
    </xf>
    <xf numFmtId="7" fontId="56" fillId="0" borderId="0" xfId="0" applyNumberFormat="1" applyFont="1" applyBorder="1"/>
    <xf numFmtId="7" fontId="56" fillId="0" borderId="21" xfId="0" applyNumberFormat="1" applyFont="1" applyBorder="1"/>
    <xf numFmtId="7" fontId="191" fillId="0" borderId="0" xfId="0" applyNumberFormat="1" applyFont="1" applyBorder="1"/>
    <xf numFmtId="7" fontId="56" fillId="0" borderId="22" xfId="0" applyNumberFormat="1" applyFont="1" applyBorder="1" applyAlignment="1">
      <alignment horizontal="right"/>
    </xf>
    <xf numFmtId="7" fontId="56" fillId="0" borderId="0" xfId="0" applyNumberFormat="1" applyFont="1" applyBorder="1" applyAlignment="1">
      <alignment horizontal="right"/>
    </xf>
    <xf numFmtId="7" fontId="56" fillId="0" borderId="0" xfId="0" applyNumberFormat="1" applyFont="1" applyFill="1" applyBorder="1" applyAlignment="1">
      <alignment horizontal="right"/>
    </xf>
    <xf numFmtId="186" fontId="56" fillId="0" borderId="0" xfId="0" applyNumberFormat="1" applyFont="1" applyFill="1"/>
    <xf numFmtId="0" fontId="56" fillId="0" borderId="0" xfId="0" applyFont="1" applyAlignment="1">
      <alignment horizontal="right"/>
    </xf>
    <xf numFmtId="9" fontId="56" fillId="0" borderId="0" xfId="52" applyFont="1" applyAlignment="1">
      <alignment horizontal="right"/>
    </xf>
    <xf numFmtId="166" fontId="56" fillId="0" borderId="22" xfId="52" applyNumberFormat="1" applyFont="1" applyBorder="1" applyAlignment="1">
      <alignment horizontal="right"/>
    </xf>
    <xf numFmtId="166" fontId="56" fillId="0" borderId="0" xfId="52" applyNumberFormat="1" applyFont="1" applyBorder="1" applyAlignment="1">
      <alignment horizontal="right"/>
    </xf>
    <xf numFmtId="166" fontId="56" fillId="0" borderId="22" xfId="52" applyNumberFormat="1" applyFont="1" applyFill="1" applyBorder="1" applyAlignment="1">
      <alignment horizontal="right"/>
    </xf>
    <xf numFmtId="166" fontId="56" fillId="0" borderId="21" xfId="52" applyNumberFormat="1" applyFont="1" applyBorder="1" applyAlignment="1">
      <alignment horizontal="right"/>
    </xf>
    <xf numFmtId="166" fontId="56" fillId="0" borderId="0" xfId="52" applyNumberFormat="1" applyFont="1" applyFill="1" applyBorder="1" applyAlignment="1">
      <alignment horizontal="right"/>
    </xf>
    <xf numFmtId="166" fontId="56" fillId="0" borderId="0" xfId="52" applyNumberFormat="1" applyFont="1" applyAlignment="1">
      <alignment horizontal="right"/>
    </xf>
    <xf numFmtId="0" fontId="56" fillId="0" borderId="0" xfId="0" applyFont="1" applyFill="1"/>
    <xf numFmtId="0" fontId="194" fillId="0" borderId="0" xfId="0" applyFont="1" applyFill="1" applyBorder="1"/>
    <xf numFmtId="0" fontId="194" fillId="0" borderId="0" xfId="0" applyFont="1" applyFill="1" applyBorder="1" applyAlignment="1">
      <alignment horizontal="right"/>
    </xf>
    <xf numFmtId="0" fontId="193" fillId="0" borderId="0" xfId="0" applyFont="1" applyFill="1" applyBorder="1" applyAlignment="1">
      <alignment horizontal="right"/>
    </xf>
    <xf numFmtId="165" fontId="56" fillId="0" borderId="0" xfId="39" applyNumberFormat="1" applyFont="1" applyFill="1" applyBorder="1"/>
    <xf numFmtId="165" fontId="56" fillId="0" borderId="21" xfId="39" applyNumberFormat="1" applyFont="1" applyFill="1" applyBorder="1"/>
    <xf numFmtId="165" fontId="56" fillId="0" borderId="0" xfId="39" applyNumberFormat="1" applyFont="1" applyFill="1" applyBorder="1" applyAlignment="1">
      <alignment horizontal="right"/>
    </xf>
    <xf numFmtId="43" fontId="56" fillId="0" borderId="0" xfId="10" applyFont="1" applyFill="1" applyBorder="1"/>
    <xf numFmtId="43" fontId="56" fillId="0" borderId="21" xfId="10" applyFont="1" applyFill="1" applyBorder="1"/>
    <xf numFmtId="166" fontId="56" fillId="0" borderId="0" xfId="52" applyNumberFormat="1" applyFont="1" applyFill="1" applyBorder="1"/>
    <xf numFmtId="166" fontId="189" fillId="0" borderId="0" xfId="52" applyNumberFormat="1" applyFont="1" applyFill="1" applyBorder="1" applyAlignment="1">
      <alignment horizontal="right"/>
    </xf>
    <xf numFmtId="37" fontId="56" fillId="0" borderId="0" xfId="39" applyNumberFormat="1" applyFont="1" applyFill="1" applyBorder="1" applyAlignment="1">
      <alignment horizontal="right"/>
    </xf>
    <xf numFmtId="178" fontId="56" fillId="0" borderId="0" xfId="10" applyNumberFormat="1" applyFont="1" applyBorder="1" applyAlignment="1">
      <alignment horizontal="right"/>
    </xf>
    <xf numFmtId="178" fontId="56" fillId="0" borderId="21" xfId="10" applyNumberFormat="1" applyFont="1" applyBorder="1" applyAlignment="1">
      <alignment horizontal="right"/>
    </xf>
    <xf numFmtId="165" fontId="56" fillId="0" borderId="21" xfId="46" applyNumberFormat="1" applyFont="1" applyBorder="1"/>
    <xf numFmtId="165" fontId="56" fillId="0" borderId="21" xfId="0" applyNumberFormat="1" applyFont="1" applyFill="1" applyBorder="1" applyAlignment="1">
      <alignment horizontal="right"/>
    </xf>
    <xf numFmtId="165" fontId="56" fillId="0" borderId="22" xfId="46" applyNumberFormat="1" applyFont="1" applyBorder="1" applyAlignment="1">
      <alignment horizontal="right"/>
    </xf>
    <xf numFmtId="165" fontId="56" fillId="0" borderId="21" xfId="46" applyNumberFormat="1" applyFont="1" applyBorder="1" applyAlignment="1">
      <alignment horizontal="right"/>
    </xf>
    <xf numFmtId="165" fontId="56" fillId="0" borderId="0" xfId="46" applyNumberFormat="1" applyFont="1" applyBorder="1" applyAlignment="1">
      <alignment horizontal="right"/>
    </xf>
    <xf numFmtId="165" fontId="56" fillId="0" borderId="22" xfId="46" applyNumberFormat="1" applyFont="1" applyFill="1" applyBorder="1" applyAlignment="1">
      <alignment horizontal="right"/>
    </xf>
    <xf numFmtId="165" fontId="56" fillId="0" borderId="21" xfId="46" applyNumberFormat="1" applyFont="1" applyFill="1" applyBorder="1" applyAlignment="1">
      <alignment horizontal="right"/>
    </xf>
    <xf numFmtId="165" fontId="56" fillId="0" borderId="0" xfId="46" applyNumberFormat="1" applyFont="1" applyFill="1" applyBorder="1" applyAlignment="1">
      <alignment horizontal="right"/>
    </xf>
    <xf numFmtId="0" fontId="188" fillId="0" borderId="0" xfId="0" applyFont="1"/>
    <xf numFmtId="37" fontId="56" fillId="0" borderId="0" xfId="0" applyNumberFormat="1" applyFont="1" applyBorder="1"/>
    <xf numFmtId="0" fontId="56" fillId="0" borderId="24" xfId="0" applyFont="1" applyBorder="1" applyAlignment="1">
      <alignment horizontal="right"/>
    </xf>
    <xf numFmtId="165" fontId="191" fillId="0" borderId="21" xfId="0" applyNumberFormat="1" applyFont="1" applyBorder="1"/>
    <xf numFmtId="165" fontId="191" fillId="0" borderId="21" xfId="46" applyNumberFormat="1" applyFont="1" applyBorder="1"/>
    <xf numFmtId="165" fontId="191" fillId="0" borderId="0" xfId="46" applyNumberFormat="1" applyFont="1" applyBorder="1"/>
    <xf numFmtId="0" fontId="188" fillId="0" borderId="0" xfId="0" applyFont="1" applyBorder="1"/>
    <xf numFmtId="0" fontId="195" fillId="0" borderId="0" xfId="0" applyFont="1" applyFill="1" applyBorder="1" applyAlignment="1">
      <alignment horizontal="right"/>
    </xf>
    <xf numFmtId="0" fontId="186" fillId="0" borderId="0" xfId="0" applyFont="1" applyFill="1" applyBorder="1" applyAlignment="1">
      <alignment horizontal="right"/>
    </xf>
    <xf numFmtId="0" fontId="185" fillId="0" borderId="0" xfId="0" applyFont="1" applyFill="1" applyBorder="1" applyAlignment="1">
      <alignment horizontal="right"/>
    </xf>
    <xf numFmtId="0" fontId="56" fillId="0" borderId="0" xfId="0" applyFont="1" applyFill="1" applyAlignment="1">
      <alignment horizontal="center"/>
    </xf>
    <xf numFmtId="0" fontId="185" fillId="0" borderId="19" xfId="0" quotePrefix="1" applyFont="1" applyFill="1" applyBorder="1" applyAlignment="1">
      <alignment horizontal="center"/>
    </xf>
    <xf numFmtId="0" fontId="186" fillId="0" borderId="0" xfId="0" applyFont="1" applyFill="1" applyBorder="1" applyAlignment="1">
      <alignment horizontal="center"/>
    </xf>
    <xf numFmtId="0" fontId="185" fillId="0" borderId="0" xfId="0" applyFont="1" applyFill="1" applyBorder="1" applyAlignment="1">
      <alignment horizontal="center"/>
    </xf>
    <xf numFmtId="165" fontId="188" fillId="0" borderId="0" xfId="42" applyNumberFormat="1" applyFont="1" applyFill="1" applyBorder="1" applyAlignment="1">
      <alignment horizontal="right"/>
    </xf>
    <xf numFmtId="165" fontId="188" fillId="0" borderId="22" xfId="42" applyNumberFormat="1" applyFont="1" applyFill="1" applyBorder="1" applyAlignment="1">
      <alignment horizontal="right"/>
    </xf>
    <xf numFmtId="165" fontId="188" fillId="0" borderId="0" xfId="0" applyNumberFormat="1" applyFont="1" applyFill="1" applyBorder="1" applyAlignment="1">
      <alignment horizontal="right"/>
    </xf>
    <xf numFmtId="165" fontId="188" fillId="0" borderId="0" xfId="0" applyNumberFormat="1" applyFont="1" applyFill="1" applyBorder="1"/>
    <xf numFmtId="166" fontId="184" fillId="0" borderId="0" xfId="52" applyNumberFormat="1" applyFont="1" applyFill="1" applyBorder="1" applyAlignment="1">
      <alignment horizontal="right"/>
    </xf>
    <xf numFmtId="170" fontId="56" fillId="0" borderId="0" xfId="20" applyNumberFormat="1" applyFont="1" applyFill="1" applyBorder="1" applyAlignment="1">
      <alignment horizontal="right"/>
    </xf>
    <xf numFmtId="0" fontId="56" fillId="0" borderId="0" xfId="0" applyFont="1" applyFill="1" applyAlignment="1">
      <alignment horizontal="right"/>
    </xf>
    <xf numFmtId="166" fontId="188" fillId="6" borderId="0" xfId="52" applyNumberFormat="1" applyFont="1" applyFill="1" applyBorder="1" applyAlignment="1">
      <alignment horizontal="right"/>
    </xf>
    <xf numFmtId="166" fontId="189" fillId="0" borderId="0" xfId="52" applyNumberFormat="1" applyFont="1" applyBorder="1" applyAlignment="1">
      <alignment horizontal="right"/>
    </xf>
    <xf numFmtId="0" fontId="56" fillId="0" borderId="0" xfId="0" applyFont="1" applyFill="1" applyBorder="1" applyAlignment="1">
      <alignment horizontal="right"/>
    </xf>
    <xf numFmtId="165" fontId="56" fillId="0" borderId="0" xfId="52" applyNumberFormat="1" applyFont="1" applyBorder="1" applyAlignment="1">
      <alignment horizontal="right"/>
    </xf>
    <xf numFmtId="165" fontId="56" fillId="0" borderId="0" xfId="52" applyNumberFormat="1" applyFont="1" applyFill="1" applyBorder="1" applyAlignment="1">
      <alignment horizontal="right"/>
    </xf>
    <xf numFmtId="165" fontId="56" fillId="0" borderId="22" xfId="52" applyNumberFormat="1" applyFont="1" applyBorder="1" applyAlignment="1">
      <alignment horizontal="right"/>
    </xf>
    <xf numFmtId="165" fontId="56" fillId="0" borderId="22" xfId="52" applyNumberFormat="1" applyFont="1" applyFill="1" applyBorder="1" applyAlignment="1">
      <alignment horizontal="right"/>
    </xf>
    <xf numFmtId="165" fontId="187" fillId="0" borderId="0" xfId="52" applyNumberFormat="1" applyFont="1" applyFill="1" applyBorder="1" applyAlignment="1">
      <alignment horizontal="right"/>
    </xf>
    <xf numFmtId="165" fontId="56" fillId="0" borderId="0" xfId="52" applyNumberFormat="1" applyFont="1" applyFill="1" applyBorder="1"/>
    <xf numFmtId="166" fontId="184" fillId="0" borderId="0" xfId="52" applyNumberFormat="1" applyFont="1" applyBorder="1" applyAlignment="1">
      <alignment horizontal="right"/>
    </xf>
    <xf numFmtId="166" fontId="197" fillId="0" borderId="0" xfId="52" applyNumberFormat="1" applyFont="1" applyFill="1" applyBorder="1" applyAlignment="1">
      <alignment horizontal="right"/>
    </xf>
    <xf numFmtId="166" fontId="184" fillId="0" borderId="0" xfId="52" applyNumberFormat="1" applyFont="1" applyFill="1" applyBorder="1"/>
    <xf numFmtId="166" fontId="184" fillId="0" borderId="22" xfId="52" applyNumberFormat="1" applyFont="1" applyFill="1" applyBorder="1" applyAlignment="1">
      <alignment horizontal="right"/>
    </xf>
    <xf numFmtId="0" fontId="184" fillId="0" borderId="0" xfId="0" applyFont="1" applyFill="1" applyBorder="1" applyAlignment="1">
      <alignment horizontal="right"/>
    </xf>
    <xf numFmtId="192" fontId="56" fillId="0" borderId="0" xfId="0" applyNumberFormat="1" applyFont="1" applyFill="1" applyBorder="1" applyAlignment="1">
      <alignment horizontal="right"/>
    </xf>
    <xf numFmtId="165" fontId="185" fillId="47" borderId="0" xfId="42" applyNumberFormat="1" applyFont="1" applyFill="1" applyBorder="1" applyAlignment="1">
      <alignment horizontal="right"/>
    </xf>
    <xf numFmtId="165" fontId="185" fillId="47" borderId="22" xfId="42" applyNumberFormat="1" applyFont="1" applyFill="1" applyBorder="1" applyAlignment="1">
      <alignment horizontal="right"/>
    </xf>
    <xf numFmtId="166" fontId="188" fillId="0" borderId="0" xfId="52" applyNumberFormat="1" applyFont="1" applyFill="1" applyBorder="1" applyAlignment="1">
      <alignment horizontal="right"/>
    </xf>
    <xf numFmtId="166" fontId="184" fillId="0" borderId="22" xfId="52" applyNumberFormat="1" applyFont="1" applyBorder="1" applyAlignment="1">
      <alignment horizontal="right"/>
    </xf>
    <xf numFmtId="165" fontId="198" fillId="47" borderId="0" xfId="42" applyNumberFormat="1" applyFont="1" applyFill="1" applyBorder="1" applyAlignment="1">
      <alignment horizontal="right"/>
    </xf>
    <xf numFmtId="165" fontId="198" fillId="47" borderId="22" xfId="42" applyNumberFormat="1" applyFont="1" applyFill="1" applyBorder="1" applyAlignment="1">
      <alignment horizontal="right"/>
    </xf>
    <xf numFmtId="165" fontId="184" fillId="0" borderId="0" xfId="0" applyNumberFormat="1" applyFont="1" applyFill="1" applyBorder="1" applyAlignment="1">
      <alignment horizontal="right"/>
    </xf>
    <xf numFmtId="165" fontId="184" fillId="0" borderId="0" xfId="0" applyNumberFormat="1" applyFont="1" applyFill="1" applyBorder="1"/>
    <xf numFmtId="43" fontId="184" fillId="0" borderId="0" xfId="10" applyFont="1" applyFill="1" applyBorder="1" applyAlignment="1">
      <alignment horizontal="right"/>
    </xf>
    <xf numFmtId="0" fontId="56" fillId="0" borderId="22" xfId="0" applyFont="1" applyFill="1" applyBorder="1" applyAlignment="1">
      <alignment horizontal="right"/>
    </xf>
    <xf numFmtId="43" fontId="56" fillId="0" borderId="0" xfId="10" applyFont="1" applyBorder="1" applyAlignment="1">
      <alignment horizontal="right" indent="1"/>
    </xf>
    <xf numFmtId="43" fontId="56" fillId="0" borderId="22" xfId="10" applyFont="1" applyBorder="1" applyAlignment="1">
      <alignment horizontal="right" indent="1"/>
    </xf>
    <xf numFmtId="43" fontId="56" fillId="0" borderId="22" xfId="10" applyFont="1" applyFill="1" applyBorder="1" applyAlignment="1">
      <alignment horizontal="right" indent="1"/>
    </xf>
    <xf numFmtId="177" fontId="56" fillId="0" borderId="0" xfId="10" applyNumberFormat="1" applyFont="1" applyBorder="1" applyAlignment="1">
      <alignment horizontal="right" indent="1"/>
    </xf>
    <xf numFmtId="168" fontId="190" fillId="0" borderId="0" xfId="0" applyNumberFormat="1" applyFont="1" applyFill="1" applyBorder="1" applyAlignment="1">
      <alignment horizontal="right"/>
    </xf>
    <xf numFmtId="168" fontId="56" fillId="0" borderId="22" xfId="0" applyNumberFormat="1" applyFont="1" applyFill="1" applyBorder="1" applyAlignment="1">
      <alignment horizontal="right"/>
    </xf>
    <xf numFmtId="168" fontId="56" fillId="0" borderId="0" xfId="0" applyNumberFormat="1" applyFont="1" applyFill="1" applyBorder="1" applyAlignment="1">
      <alignment horizontal="right"/>
    </xf>
    <xf numFmtId="10" fontId="56" fillId="0" borderId="0" xfId="0" applyNumberFormat="1" applyFont="1" applyFill="1" applyBorder="1" applyAlignment="1">
      <alignment horizontal="right"/>
    </xf>
    <xf numFmtId="166" fontId="184" fillId="0" borderId="0" xfId="10" applyNumberFormat="1" applyFont="1" applyFill="1" applyBorder="1" applyAlignment="1">
      <alignment horizontal="right"/>
    </xf>
    <xf numFmtId="166" fontId="184" fillId="0" borderId="0" xfId="10" applyNumberFormat="1" applyFont="1" applyFill="1" applyAlignment="1">
      <alignment horizontal="center"/>
    </xf>
    <xf numFmtId="0" fontId="188" fillId="0" borderId="0" xfId="0" applyFont="1" applyFill="1" applyBorder="1" applyAlignment="1">
      <alignment horizontal="right"/>
    </xf>
    <xf numFmtId="0" fontId="191" fillId="0" borderId="0" xfId="0" applyFont="1" applyFill="1" applyBorder="1" applyAlignment="1">
      <alignment horizontal="right"/>
    </xf>
    <xf numFmtId="166" fontId="56" fillId="0" borderId="0" xfId="0" applyNumberFormat="1" applyFont="1" applyFill="1" applyBorder="1" applyAlignment="1">
      <alignment horizontal="right"/>
    </xf>
    <xf numFmtId="166" fontId="56" fillId="0" borderId="21" xfId="0" applyNumberFormat="1" applyFont="1" applyFill="1" applyBorder="1" applyAlignment="1">
      <alignment horizontal="right"/>
    </xf>
    <xf numFmtId="166" fontId="56" fillId="0" borderId="0" xfId="0" applyNumberFormat="1" applyFont="1" applyFill="1" applyBorder="1"/>
    <xf numFmtId="0" fontId="191" fillId="0" borderId="0" xfId="0" applyFont="1" applyFill="1" applyBorder="1"/>
    <xf numFmtId="177" fontId="184" fillId="0" borderId="0" xfId="10" applyNumberFormat="1" applyFont="1" applyFill="1" applyBorder="1" applyAlignment="1">
      <alignment horizontal="right"/>
    </xf>
    <xf numFmtId="177" fontId="56" fillId="0" borderId="0" xfId="10" applyNumberFormat="1" applyFont="1" applyFill="1" applyBorder="1"/>
    <xf numFmtId="165" fontId="188" fillId="0" borderId="0" xfId="42" applyNumberFormat="1" applyFont="1" applyBorder="1" applyAlignment="1">
      <alignment horizontal="right"/>
    </xf>
    <xf numFmtId="165" fontId="188" fillId="0" borderId="0" xfId="42" applyNumberFormat="1" applyFont="1" applyFill="1" applyBorder="1"/>
    <xf numFmtId="166" fontId="188" fillId="0" borderId="0" xfId="0" applyNumberFormat="1" applyFont="1" applyFill="1" applyBorder="1" applyAlignment="1">
      <alignment horizontal="right"/>
    </xf>
    <xf numFmtId="186" fontId="188" fillId="0" borderId="0" xfId="52" applyNumberFormat="1" applyFont="1" applyFill="1" applyBorder="1" applyAlignment="1">
      <alignment horizontal="right"/>
    </xf>
    <xf numFmtId="186" fontId="188" fillId="0" borderId="0" xfId="0" applyNumberFormat="1" applyFont="1" applyFill="1" applyBorder="1" applyAlignment="1">
      <alignment horizontal="right"/>
    </xf>
    <xf numFmtId="186" fontId="188" fillId="0" borderId="0" xfId="52" applyNumberFormat="1" applyFont="1" applyFill="1" applyBorder="1"/>
    <xf numFmtId="166" fontId="197" fillId="0" borderId="0" xfId="52" applyNumberFormat="1" applyFont="1" applyBorder="1" applyAlignment="1">
      <alignment horizontal="right"/>
    </xf>
    <xf numFmtId="166" fontId="184" fillId="0" borderId="0" xfId="10" applyNumberFormat="1" applyFont="1" applyBorder="1" applyAlignment="1">
      <alignment horizontal="right"/>
    </xf>
    <xf numFmtId="166" fontId="184" fillId="0" borderId="0" xfId="0" applyNumberFormat="1" applyFont="1" applyFill="1" applyBorder="1" applyAlignment="1">
      <alignment horizontal="right"/>
    </xf>
    <xf numFmtId="166" fontId="56" fillId="0" borderId="0" xfId="10" applyNumberFormat="1" applyFont="1" applyBorder="1" applyAlignment="1">
      <alignment horizontal="right"/>
    </xf>
    <xf numFmtId="166" fontId="56" fillId="0" borderId="0" xfId="10" applyNumberFormat="1" applyFont="1" applyFill="1" applyBorder="1" applyAlignment="1">
      <alignment horizontal="right"/>
    </xf>
    <xf numFmtId="37" fontId="56" fillId="0" borderId="0" xfId="0" applyNumberFormat="1" applyFont="1" applyFill="1" applyBorder="1" applyAlignment="1">
      <alignment horizontal="right"/>
    </xf>
    <xf numFmtId="166" fontId="201" fillId="0" borderId="0" xfId="52" applyNumberFormat="1" applyFont="1" applyFill="1" applyBorder="1" applyAlignment="1">
      <alignment horizontal="right"/>
    </xf>
    <xf numFmtId="0" fontId="185" fillId="47" borderId="0" xfId="0" applyFont="1" applyFill="1" applyBorder="1" applyAlignment="1">
      <alignment horizontal="right"/>
    </xf>
    <xf numFmtId="0" fontId="185" fillId="47" borderId="0" xfId="0" quotePrefix="1" applyFont="1" applyFill="1" applyBorder="1" applyAlignment="1">
      <alignment horizontal="right"/>
    </xf>
    <xf numFmtId="43" fontId="185" fillId="47" borderId="0" xfId="0" applyNumberFormat="1" applyFont="1" applyFill="1" applyBorder="1" applyAlignment="1">
      <alignment horizontal="right"/>
    </xf>
    <xf numFmtId="0" fontId="188" fillId="0" borderId="0" xfId="0" quotePrefix="1" applyFont="1" applyFill="1" applyBorder="1" applyAlignment="1">
      <alignment horizontal="right"/>
    </xf>
    <xf numFmtId="43" fontId="188" fillId="0" borderId="0" xfId="0" applyNumberFormat="1" applyFont="1" applyFill="1" applyBorder="1" applyAlignment="1">
      <alignment horizontal="right"/>
    </xf>
    <xf numFmtId="166" fontId="56" fillId="0" borderId="0" xfId="0" applyNumberFormat="1" applyFont="1" applyAlignment="1">
      <alignment horizontal="right"/>
    </xf>
    <xf numFmtId="166" fontId="56" fillId="0" borderId="0" xfId="0" applyNumberFormat="1" applyFont="1" applyFill="1"/>
    <xf numFmtId="166" fontId="184" fillId="0" borderId="21" xfId="0" applyNumberFormat="1" applyFont="1" applyFill="1" applyBorder="1" applyAlignment="1">
      <alignment horizontal="right"/>
    </xf>
    <xf numFmtId="166" fontId="208" fillId="0" borderId="0" xfId="52" applyNumberFormat="1" applyFont="1" applyFill="1" applyBorder="1" applyAlignment="1">
      <alignment horizontal="right"/>
    </xf>
    <xf numFmtId="166" fontId="208" fillId="0" borderId="0" xfId="0" applyNumberFormat="1" applyFont="1" applyFill="1" applyBorder="1" applyAlignment="1">
      <alignment horizontal="right"/>
    </xf>
    <xf numFmtId="166" fontId="209" fillId="0" borderId="0" xfId="0" applyNumberFormat="1" applyFont="1" applyFill="1" applyBorder="1" applyAlignment="1">
      <alignment horizontal="right"/>
    </xf>
    <xf numFmtId="166" fontId="184" fillId="0" borderId="0" xfId="0" applyNumberFormat="1" applyFont="1" applyFill="1" applyBorder="1"/>
    <xf numFmtId="166" fontId="184" fillId="0" borderId="0" xfId="0" applyNumberFormat="1" applyFont="1" applyFill="1"/>
    <xf numFmtId="166" fontId="187" fillId="0" borderId="0" xfId="0" applyNumberFormat="1" applyFont="1" applyFill="1" applyBorder="1" applyAlignment="1">
      <alignment horizontal="right"/>
    </xf>
    <xf numFmtId="0" fontId="187" fillId="0" borderId="0" xfId="0" applyFont="1" applyFill="1" applyBorder="1" applyAlignment="1">
      <alignment horizontal="right"/>
    </xf>
    <xf numFmtId="166" fontId="208" fillId="0" borderId="22" xfId="52" applyNumberFormat="1" applyFont="1" applyFill="1" applyBorder="1" applyAlignment="1">
      <alignment horizontal="right"/>
    </xf>
    <xf numFmtId="166" fontId="209" fillId="0" borderId="0" xfId="52" applyNumberFormat="1" applyFont="1" applyFill="1" applyBorder="1" applyAlignment="1">
      <alignment horizontal="right"/>
    </xf>
    <xf numFmtId="166" fontId="209" fillId="0" borderId="22" xfId="52" applyNumberFormat="1" applyFont="1" applyFill="1" applyBorder="1" applyAlignment="1">
      <alignment horizontal="right"/>
    </xf>
    <xf numFmtId="9" fontId="56" fillId="0" borderId="0" xfId="52" applyFont="1" applyFill="1" applyBorder="1" applyAlignment="1">
      <alignment horizontal="right"/>
    </xf>
    <xf numFmtId="166" fontId="56" fillId="0" borderId="0" xfId="0" applyNumberFormat="1" applyFont="1" applyBorder="1" applyAlignment="1">
      <alignment horizontal="right"/>
    </xf>
    <xf numFmtId="0" fontId="185" fillId="47" borderId="22" xfId="0" applyFont="1" applyFill="1" applyBorder="1" applyAlignment="1">
      <alignment horizontal="right"/>
    </xf>
    <xf numFmtId="0" fontId="184" fillId="0" borderId="0" xfId="0" applyFont="1" applyFill="1"/>
    <xf numFmtId="177" fontId="190" fillId="0" borderId="0" xfId="10" applyNumberFormat="1" applyFont="1" applyFill="1" applyBorder="1" applyAlignment="1">
      <alignment horizontal="right"/>
    </xf>
    <xf numFmtId="177" fontId="188" fillId="0" borderId="0" xfId="10" applyNumberFormat="1" applyFont="1" applyFill="1" applyBorder="1" applyAlignment="1">
      <alignment horizontal="right"/>
    </xf>
    <xf numFmtId="177" fontId="188" fillId="0" borderId="0" xfId="10" applyNumberFormat="1" applyFont="1" applyFill="1" applyBorder="1"/>
    <xf numFmtId="9" fontId="184" fillId="0" borderId="0" xfId="52" applyFont="1" applyFill="1" applyBorder="1" applyAlignment="1">
      <alignment horizontal="right"/>
    </xf>
    <xf numFmtId="9" fontId="184" fillId="0" borderId="0" xfId="52" applyFont="1" applyFill="1" applyBorder="1"/>
    <xf numFmtId="177" fontId="188" fillId="47" borderId="0" xfId="10" applyNumberFormat="1" applyFont="1" applyFill="1" applyBorder="1" applyAlignment="1">
      <alignment horizontal="right"/>
    </xf>
    <xf numFmtId="43" fontId="184" fillId="0" borderId="0" xfId="10" applyFont="1" applyFill="1" applyBorder="1"/>
    <xf numFmtId="166" fontId="190" fillId="0" borderId="0" xfId="0" applyNumberFormat="1" applyFont="1" applyFill="1" applyBorder="1" applyAlignment="1">
      <alignment horizontal="right"/>
    </xf>
    <xf numFmtId="166" fontId="189" fillId="0" borderId="0" xfId="0" applyNumberFormat="1" applyFont="1" applyFill="1" applyBorder="1" applyAlignment="1">
      <alignment horizontal="right"/>
    </xf>
    <xf numFmtId="166" fontId="188" fillId="0" borderId="0" xfId="0" applyNumberFormat="1" applyFont="1" applyFill="1" applyBorder="1"/>
    <xf numFmtId="177" fontId="201" fillId="0" borderId="0" xfId="10" applyNumberFormat="1" applyFont="1" applyFill="1" applyBorder="1"/>
    <xf numFmtId="166" fontId="184" fillId="0" borderId="21" xfId="0" applyNumberFormat="1" applyFont="1" applyFill="1" applyBorder="1"/>
    <xf numFmtId="166" fontId="56" fillId="0" borderId="21" xfId="0" applyNumberFormat="1" applyFont="1" applyFill="1" applyBorder="1"/>
    <xf numFmtId="166" fontId="190" fillId="0" borderId="0" xfId="0" applyNumberFormat="1" applyFont="1" applyFill="1" applyBorder="1"/>
    <xf numFmtId="166" fontId="187" fillId="0" borderId="0" xfId="0" applyNumberFormat="1" applyFont="1" applyFill="1" applyBorder="1"/>
    <xf numFmtId="166" fontId="189" fillId="0" borderId="0" xfId="0" applyNumberFormat="1" applyFont="1" applyFill="1" applyBorder="1"/>
    <xf numFmtId="177" fontId="187" fillId="0" borderId="0" xfId="10" applyNumberFormat="1" applyFont="1" applyFill="1" applyBorder="1"/>
    <xf numFmtId="166" fontId="201" fillId="0" borderId="0" xfId="52" applyNumberFormat="1" applyFont="1" applyFill="1" applyBorder="1"/>
    <xf numFmtId="166" fontId="184" fillId="0" borderId="0" xfId="52" applyNumberFormat="1" applyFont="1" applyBorder="1"/>
    <xf numFmtId="166" fontId="56" fillId="0" borderId="0" xfId="42" applyNumberFormat="1" applyFont="1" applyFill="1" applyBorder="1"/>
    <xf numFmtId="37" fontId="188" fillId="0" borderId="0" xfId="42" applyNumberFormat="1" applyFont="1" applyBorder="1"/>
    <xf numFmtId="37" fontId="188" fillId="0" borderId="22" xfId="42" applyNumberFormat="1" applyFont="1" applyFill="1" applyBorder="1"/>
    <xf numFmtId="37" fontId="188" fillId="0" borderId="0" xfId="42" applyNumberFormat="1" applyFont="1" applyFill="1" applyBorder="1"/>
    <xf numFmtId="37" fontId="207" fillId="0" borderId="0" xfId="42" applyNumberFormat="1" applyFont="1" applyFill="1" applyBorder="1"/>
    <xf numFmtId="37" fontId="202" fillId="0" borderId="0" xfId="42" applyNumberFormat="1" applyFont="1" applyFill="1" applyBorder="1"/>
    <xf numFmtId="165" fontId="188" fillId="0" borderId="0" xfId="42" applyNumberFormat="1" applyFont="1" applyBorder="1"/>
    <xf numFmtId="37" fontId="56" fillId="0" borderId="0" xfId="52" applyNumberFormat="1" applyFont="1" applyFill="1" applyBorder="1"/>
    <xf numFmtId="37" fontId="189" fillId="0" borderId="22" xfId="42" applyNumberFormat="1" applyFont="1" applyFill="1" applyBorder="1"/>
    <xf numFmtId="37" fontId="189" fillId="0" borderId="0" xfId="42" applyNumberFormat="1" applyFont="1" applyFill="1" applyBorder="1"/>
    <xf numFmtId="10" fontId="189" fillId="0" borderId="0" xfId="52" applyNumberFormat="1" applyFont="1" applyFill="1" applyBorder="1"/>
    <xf numFmtId="165" fontId="56" fillId="0" borderId="0" xfId="42" applyNumberFormat="1" applyFont="1" applyFill="1" applyBorder="1"/>
    <xf numFmtId="165" fontId="56" fillId="0" borderId="0" xfId="42" applyNumberFormat="1" applyFont="1" applyBorder="1"/>
    <xf numFmtId="0" fontId="56" fillId="0" borderId="24" xfId="0" applyFont="1" applyBorder="1"/>
    <xf numFmtId="9" fontId="56" fillId="0" borderId="0" xfId="52" applyFont="1" applyBorder="1"/>
    <xf numFmtId="166" fontId="184" fillId="0" borderId="0" xfId="52" applyNumberFormat="1" applyFont="1" applyFill="1"/>
    <xf numFmtId="166" fontId="56" fillId="0" borderId="0" xfId="52" applyNumberFormat="1" applyFont="1" applyBorder="1"/>
    <xf numFmtId="170" fontId="56" fillId="0" borderId="22" xfId="20" applyNumberFormat="1" applyFont="1" applyFill="1" applyBorder="1" applyAlignment="1">
      <alignment horizontal="right"/>
    </xf>
    <xf numFmtId="0" fontId="188" fillId="0" borderId="0" xfId="0" applyFont="1" applyFill="1"/>
    <xf numFmtId="165" fontId="187" fillId="0" borderId="0" xfId="46" applyNumberFormat="1" applyFont="1" applyBorder="1" applyAlignment="1">
      <alignment horizontal="right"/>
    </xf>
    <xf numFmtId="165" fontId="187" fillId="0" borderId="22" xfId="46" applyNumberFormat="1" applyFont="1" applyBorder="1" applyAlignment="1">
      <alignment horizontal="right"/>
    </xf>
    <xf numFmtId="165" fontId="187" fillId="0" borderId="0" xfId="46" applyNumberFormat="1" applyFont="1" applyFill="1" applyBorder="1" applyAlignment="1">
      <alignment horizontal="right"/>
    </xf>
    <xf numFmtId="165" fontId="187" fillId="0" borderId="22" xfId="46" applyNumberFormat="1" applyFont="1" applyFill="1" applyBorder="1" applyAlignment="1">
      <alignment horizontal="right"/>
    </xf>
    <xf numFmtId="165" fontId="194" fillId="0" borderId="0" xfId="46" applyNumberFormat="1" applyFont="1" applyBorder="1" applyAlignment="1">
      <alignment horizontal="right"/>
    </xf>
    <xf numFmtId="165" fontId="194" fillId="0" borderId="22" xfId="0" applyNumberFormat="1" applyFont="1" applyBorder="1" applyAlignment="1">
      <alignment horizontal="right"/>
    </xf>
    <xf numFmtId="165" fontId="194" fillId="0" borderId="0" xfId="0" applyNumberFormat="1" applyFont="1" applyBorder="1" applyAlignment="1">
      <alignment horizontal="right"/>
    </xf>
    <xf numFmtId="43" fontId="194" fillId="0" borderId="0" xfId="10" applyFont="1" applyBorder="1" applyAlignment="1">
      <alignment horizontal="right"/>
    </xf>
    <xf numFmtId="165" fontId="194" fillId="0" borderId="22" xfId="46" applyNumberFormat="1" applyFont="1" applyBorder="1" applyAlignment="1">
      <alignment horizontal="right"/>
    </xf>
    <xf numFmtId="165" fontId="188" fillId="0" borderId="0" xfId="0" applyNumberFormat="1" applyFont="1" applyFill="1"/>
    <xf numFmtId="7" fontId="188" fillId="0" borderId="0" xfId="0" applyNumberFormat="1" applyFont="1" applyFill="1" applyBorder="1"/>
    <xf numFmtId="39" fontId="56" fillId="0" borderId="0" xfId="0" applyNumberFormat="1" applyFont="1" applyFill="1" applyBorder="1" applyAlignment="1">
      <alignment horizontal="right"/>
    </xf>
    <xf numFmtId="39" fontId="56" fillId="0" borderId="22" xfId="0" applyNumberFormat="1" applyFont="1" applyFill="1" applyBorder="1" applyAlignment="1">
      <alignment horizontal="right"/>
    </xf>
    <xf numFmtId="192" fontId="56" fillId="0" borderId="22" xfId="0" applyNumberFormat="1" applyFont="1" applyFill="1" applyBorder="1" applyAlignment="1">
      <alignment horizontal="right"/>
    </xf>
    <xf numFmtId="165" fontId="189" fillId="0" borderId="0" xfId="0" applyNumberFormat="1" applyFont="1" applyFill="1" applyBorder="1" applyAlignment="1">
      <alignment horizontal="right"/>
    </xf>
    <xf numFmtId="165" fontId="203" fillId="0" borderId="0" xfId="0" applyNumberFormat="1" applyFont="1" applyFill="1" applyBorder="1" applyAlignment="1">
      <alignment horizontal="right"/>
    </xf>
    <xf numFmtId="37" fontId="189" fillId="0" borderId="0" xfId="0" applyNumberFormat="1" applyFont="1" applyFill="1" applyBorder="1" applyAlignment="1">
      <alignment horizontal="right"/>
    </xf>
    <xf numFmtId="37" fontId="189" fillId="0" borderId="22" xfId="0" applyNumberFormat="1" applyFont="1" applyFill="1" applyBorder="1" applyAlignment="1">
      <alignment horizontal="right"/>
    </xf>
    <xf numFmtId="7" fontId="188" fillId="0" borderId="0" xfId="0" applyNumberFormat="1" applyFont="1" applyFill="1"/>
    <xf numFmtId="176" fontId="56" fillId="0" borderId="22" xfId="0" applyNumberFormat="1" applyFont="1" applyBorder="1" applyAlignment="1">
      <alignment horizontal="right"/>
    </xf>
    <xf numFmtId="201" fontId="56" fillId="0" borderId="0" xfId="0" applyNumberFormat="1" applyFont="1" applyFill="1" applyBorder="1" applyAlignment="1">
      <alignment horizontal="right"/>
    </xf>
    <xf numFmtId="7" fontId="56" fillId="0" borderId="0" xfId="0" applyNumberFormat="1" applyFont="1"/>
    <xf numFmtId="166" fontId="56" fillId="0" borderId="0" xfId="52" applyNumberFormat="1" applyFont="1"/>
    <xf numFmtId="166" fontId="188" fillId="0" borderId="0" xfId="0" applyNumberFormat="1" applyFont="1" applyBorder="1"/>
    <xf numFmtId="166" fontId="188" fillId="0" borderId="0" xfId="0" applyNumberFormat="1" applyFont="1"/>
    <xf numFmtId="10" fontId="56" fillId="0" borderId="0" xfId="0" applyNumberFormat="1" applyFont="1" applyBorder="1" applyAlignment="1">
      <alignment horizontal="right"/>
    </xf>
    <xf numFmtId="165" fontId="56" fillId="0" borderId="0" xfId="10" applyNumberFormat="1" applyFont="1" applyFill="1" applyBorder="1"/>
    <xf numFmtId="165" fontId="56" fillId="0" borderId="0" xfId="10" applyNumberFormat="1" applyFont="1" applyBorder="1"/>
    <xf numFmtId="43" fontId="56" fillId="0" borderId="21" xfId="10" applyFont="1" applyBorder="1"/>
    <xf numFmtId="43" fontId="56" fillId="0" borderId="0" xfId="10" applyFont="1" applyBorder="1"/>
    <xf numFmtId="193" fontId="191" fillId="0" borderId="0" xfId="0" applyNumberFormat="1" applyFont="1" applyBorder="1"/>
    <xf numFmtId="195" fontId="56" fillId="0" borderId="0" xfId="0" applyNumberFormat="1" applyFont="1" applyBorder="1"/>
    <xf numFmtId="195" fontId="56" fillId="0" borderId="0" xfId="0" applyNumberFormat="1" applyFont="1" applyBorder="1" applyAlignment="1">
      <alignment horizontal="right"/>
    </xf>
    <xf numFmtId="195" fontId="56" fillId="0" borderId="0" xfId="0" applyNumberFormat="1" applyFont="1" applyFill="1" applyBorder="1" applyAlignment="1">
      <alignment horizontal="right"/>
    </xf>
    <xf numFmtId="195" fontId="56" fillId="0" borderId="22" xfId="0" applyNumberFormat="1" applyFont="1" applyBorder="1" applyAlignment="1">
      <alignment horizontal="right"/>
    </xf>
    <xf numFmtId="195" fontId="187" fillId="0" borderId="0" xfId="0" applyNumberFormat="1" applyFont="1" applyFill="1" applyBorder="1" applyAlignment="1">
      <alignment horizontal="right"/>
    </xf>
    <xf numFmtId="195" fontId="187" fillId="0" borderId="22" xfId="0" applyNumberFormat="1" applyFont="1" applyFill="1" applyBorder="1" applyAlignment="1">
      <alignment horizontal="right"/>
    </xf>
    <xf numFmtId="43" fontId="189" fillId="0" borderId="0" xfId="10" applyFont="1" applyBorder="1"/>
    <xf numFmtId="43" fontId="56" fillId="0" borderId="0" xfId="10" applyFont="1"/>
    <xf numFmtId="43" fontId="189" fillId="0" borderId="0" xfId="10" applyFont="1" applyFill="1" applyBorder="1"/>
    <xf numFmtId="166" fontId="205" fillId="0" borderId="0" xfId="52" applyNumberFormat="1" applyFont="1" applyBorder="1"/>
    <xf numFmtId="166" fontId="184" fillId="0" borderId="0" xfId="52" applyNumberFormat="1" applyFont="1"/>
    <xf numFmtId="9" fontId="191" fillId="0" borderId="0" xfId="0" applyNumberFormat="1" applyFont="1" applyBorder="1"/>
    <xf numFmtId="168" fontId="56" fillId="0" borderId="0" xfId="0" applyNumberFormat="1" applyFont="1" applyBorder="1"/>
    <xf numFmtId="9" fontId="56" fillId="0" borderId="0" xfId="0" applyNumberFormat="1" applyFont="1" applyBorder="1"/>
    <xf numFmtId="9" fontId="191" fillId="0" borderId="22" xfId="0" applyNumberFormat="1" applyFont="1" applyBorder="1"/>
    <xf numFmtId="9" fontId="191" fillId="0" borderId="0" xfId="0" applyNumberFormat="1" applyFont="1" applyBorder="1" applyAlignment="1">
      <alignment horizontal="right"/>
    </xf>
    <xf numFmtId="9" fontId="191" fillId="0" borderId="0" xfId="0" applyNumberFormat="1" applyFont="1"/>
    <xf numFmtId="177" fontId="187" fillId="0" borderId="0" xfId="0" applyNumberFormat="1" applyFont="1" applyFill="1" applyBorder="1" applyAlignment="1">
      <alignment horizontal="right"/>
    </xf>
    <xf numFmtId="193" fontId="56" fillId="0" borderId="0" xfId="10" applyNumberFormat="1" applyFont="1" applyBorder="1" applyAlignment="1">
      <alignment horizontal="right"/>
    </xf>
    <xf numFmtId="165" fontId="56" fillId="0" borderId="22" xfId="10" applyNumberFormat="1" applyFont="1" applyBorder="1" applyAlignment="1">
      <alignment horizontal="right"/>
    </xf>
    <xf numFmtId="165" fontId="187" fillId="0" borderId="0" xfId="10" applyNumberFormat="1" applyFont="1" applyBorder="1" applyAlignment="1">
      <alignment horizontal="right"/>
    </xf>
    <xf numFmtId="165" fontId="191" fillId="0" borderId="0" xfId="0" applyNumberFormat="1" applyFont="1" applyFill="1" applyBorder="1"/>
    <xf numFmtId="43" fontId="187" fillId="0" borderId="20" xfId="10" applyFont="1" applyBorder="1" applyAlignment="1">
      <alignment horizontal="right"/>
    </xf>
    <xf numFmtId="195" fontId="56" fillId="0" borderId="0" xfId="0" applyNumberFormat="1" applyFont="1" applyFill="1" applyBorder="1"/>
    <xf numFmtId="0" fontId="56" fillId="0" borderId="22" xfId="0" applyFont="1" applyFill="1" applyBorder="1"/>
    <xf numFmtId="166" fontId="56" fillId="0" borderId="22" xfId="0" applyNumberFormat="1" applyFont="1" applyFill="1" applyBorder="1"/>
    <xf numFmtId="166" fontId="56" fillId="0" borderId="22" xfId="0" applyNumberFormat="1" applyFont="1" applyFill="1" applyBorder="1" applyAlignment="1">
      <alignment horizontal="right"/>
    </xf>
    <xf numFmtId="166" fontId="205" fillId="0" borderId="0" xfId="0" applyNumberFormat="1" applyFont="1" applyFill="1" applyBorder="1" applyAlignment="1">
      <alignment horizontal="right"/>
    </xf>
    <xf numFmtId="7" fontId="56" fillId="0" borderId="21" xfId="0" applyNumberFormat="1" applyFont="1" applyFill="1" applyBorder="1"/>
    <xf numFmtId="7" fontId="56" fillId="0" borderId="0" xfId="0" applyNumberFormat="1" applyFont="1" applyFill="1" applyBorder="1"/>
    <xf numFmtId="7" fontId="56" fillId="0" borderId="21" xfId="0" applyNumberFormat="1" applyFont="1" applyFill="1" applyBorder="1" applyAlignment="1">
      <alignment horizontal="right"/>
    </xf>
    <xf numFmtId="7" fontId="56" fillId="0" borderId="0" xfId="0" applyNumberFormat="1" applyFont="1" applyFill="1"/>
    <xf numFmtId="166" fontId="184" fillId="0" borderId="22" xfId="0" applyNumberFormat="1" applyFont="1" applyFill="1" applyBorder="1"/>
    <xf numFmtId="166" fontId="184" fillId="0" borderId="22" xfId="0" applyNumberFormat="1" applyFont="1" applyFill="1" applyBorder="1" applyAlignment="1">
      <alignment horizontal="right"/>
    </xf>
    <xf numFmtId="0" fontId="56" fillId="0" borderId="0" xfId="0" applyFont="1" applyAlignment="1">
      <alignment horizontal="center"/>
    </xf>
    <xf numFmtId="171" fontId="56" fillId="0" borderId="0" xfId="0" applyNumberFormat="1" applyFont="1" applyFill="1" applyBorder="1"/>
    <xf numFmtId="171" fontId="56" fillId="0" borderId="0" xfId="0" applyNumberFormat="1" applyFont="1" applyFill="1" applyBorder="1" applyAlignment="1">
      <alignment horizontal="right"/>
    </xf>
    <xf numFmtId="9" fontId="56" fillId="0" borderId="0" xfId="0" applyNumberFormat="1" applyFont="1" applyBorder="1" applyAlignment="1">
      <alignment horizontal="right"/>
    </xf>
    <xf numFmtId="166" fontId="56" fillId="0" borderId="0" xfId="52" applyNumberFormat="1" applyFont="1" applyFill="1"/>
    <xf numFmtId="182" fontId="56" fillId="0" borderId="0" xfId="0" applyNumberFormat="1" applyFont="1" applyBorder="1"/>
    <xf numFmtId="182" fontId="56" fillId="0" borderId="0" xfId="0" applyNumberFormat="1" applyFont="1" applyBorder="1" applyAlignment="1">
      <alignment horizontal="right"/>
    </xf>
    <xf numFmtId="181" fontId="56" fillId="0" borderId="0" xfId="0" applyNumberFormat="1" applyFont="1" applyBorder="1"/>
    <xf numFmtId="181" fontId="56" fillId="0" borderId="0" xfId="0" applyNumberFormat="1" applyFont="1" applyFill="1" applyBorder="1"/>
    <xf numFmtId="181" fontId="188" fillId="0" borderId="0" xfId="0" applyNumberFormat="1" applyFont="1" applyFill="1" applyBorder="1" applyAlignment="1">
      <alignment horizontal="right"/>
    </xf>
    <xf numFmtId="167" fontId="188" fillId="0" borderId="0" xfId="0" applyNumberFormat="1" applyFont="1" applyBorder="1"/>
    <xf numFmtId="0" fontId="188" fillId="0" borderId="0" xfId="0" applyFont="1" applyBorder="1" applyAlignment="1">
      <alignment horizontal="center"/>
    </xf>
    <xf numFmtId="173" fontId="56" fillId="0" borderId="0" xfId="0" applyNumberFormat="1" applyFont="1" applyBorder="1"/>
    <xf numFmtId="173" fontId="56" fillId="0" borderId="0" xfId="0" applyNumberFormat="1" applyFont="1" applyFill="1" applyBorder="1"/>
    <xf numFmtId="173" fontId="56" fillId="0" borderId="0" xfId="0" applyNumberFormat="1" applyFont="1" applyFill="1" applyBorder="1" applyAlignment="1">
      <alignment horizontal="right"/>
    </xf>
    <xf numFmtId="173" fontId="56" fillId="0" borderId="0" xfId="0" applyNumberFormat="1" applyFont="1" applyBorder="1" applyAlignment="1">
      <alignment horizontal="right"/>
    </xf>
    <xf numFmtId="182" fontId="56" fillId="0" borderId="0" xfId="0" applyNumberFormat="1" applyFont="1" applyFill="1" applyBorder="1"/>
    <xf numFmtId="182" fontId="56" fillId="0" borderId="0" xfId="0" applyNumberFormat="1" applyFont="1" applyFill="1" applyBorder="1" applyAlignment="1">
      <alignment horizontal="right"/>
    </xf>
    <xf numFmtId="171" fontId="56" fillId="0" borderId="0" xfId="0" applyNumberFormat="1" applyFont="1" applyBorder="1"/>
    <xf numFmtId="171" fontId="56" fillId="0" borderId="0" xfId="0" applyNumberFormat="1" applyFont="1" applyBorder="1" applyAlignment="1">
      <alignment horizontal="right"/>
    </xf>
    <xf numFmtId="166" fontId="56" fillId="0" borderId="0" xfId="0" applyNumberFormat="1" applyFont="1" applyBorder="1"/>
    <xf numFmtId="10" fontId="56" fillId="0" borderId="0" xfId="0" applyNumberFormat="1" applyFont="1" applyBorder="1"/>
    <xf numFmtId="10" fontId="56" fillId="0" borderId="0" xfId="0" applyNumberFormat="1" applyFont="1" applyFill="1" applyBorder="1"/>
    <xf numFmtId="1" fontId="56" fillId="0" borderId="0" xfId="0" applyNumberFormat="1" applyFont="1" applyBorder="1" applyAlignment="1">
      <alignment horizontal="right"/>
    </xf>
    <xf numFmtId="168" fontId="56" fillId="0" borderId="0" xfId="10" applyNumberFormat="1" applyFont="1" applyBorder="1"/>
    <xf numFmtId="168" fontId="56" fillId="0" borderId="0" xfId="10" applyNumberFormat="1" applyFont="1" applyBorder="1" applyAlignment="1">
      <alignment horizontal="right"/>
    </xf>
    <xf numFmtId="203" fontId="56" fillId="0" borderId="0" xfId="0" applyNumberFormat="1" applyFont="1" applyBorder="1"/>
    <xf numFmtId="203" fontId="56" fillId="0" borderId="0" xfId="0" applyNumberFormat="1" applyFont="1" applyBorder="1" applyAlignment="1">
      <alignment horizontal="right"/>
    </xf>
    <xf numFmtId="2" fontId="56" fillId="0" borderId="0" xfId="0" applyNumberFormat="1" applyFont="1" applyBorder="1"/>
    <xf numFmtId="2" fontId="56" fillId="0" borderId="0" xfId="0" applyNumberFormat="1" applyFont="1" applyBorder="1" applyAlignment="1">
      <alignment horizontal="right"/>
    </xf>
    <xf numFmtId="174" fontId="56" fillId="0" borderId="0" xfId="41" applyFont="1" applyFill="1" applyBorder="1"/>
    <xf numFmtId="174" fontId="56" fillId="0" borderId="0" xfId="41" applyFont="1" applyFill="1"/>
    <xf numFmtId="174" fontId="56" fillId="0" borderId="0" xfId="41" applyFont="1" applyFill="1" applyAlignment="1">
      <alignment horizontal="left"/>
    </xf>
    <xf numFmtId="174" fontId="185" fillId="47" borderId="19" xfId="41" applyFont="1" applyFill="1" applyBorder="1" applyAlignment="1">
      <alignment horizontal="center"/>
    </xf>
    <xf numFmtId="174" fontId="56" fillId="0" borderId="0" xfId="41" applyFont="1" applyFill="1" applyBorder="1" applyAlignment="1">
      <alignment horizontal="center"/>
    </xf>
    <xf numFmtId="174" fontId="56" fillId="0" borderId="0" xfId="41" applyFont="1" applyFill="1" applyAlignment="1">
      <alignment horizontal="center"/>
    </xf>
    <xf numFmtId="166" fontId="184" fillId="0" borderId="0" xfId="41" applyNumberFormat="1" applyFont="1" applyFill="1"/>
    <xf numFmtId="166" fontId="184" fillId="0" borderId="0" xfId="41" applyNumberFormat="1" applyFont="1" applyFill="1" applyBorder="1" applyAlignment="1">
      <alignment horizontal="right"/>
    </xf>
    <xf numFmtId="166" fontId="184" fillId="0" borderId="0" xfId="52" applyNumberFormat="1" applyFont="1" applyFill="1" applyAlignment="1">
      <alignment horizontal="center"/>
    </xf>
    <xf numFmtId="166" fontId="184" fillId="0" borderId="0" xfId="41" applyNumberFormat="1" applyFont="1" applyFill="1" applyBorder="1"/>
    <xf numFmtId="166" fontId="184" fillId="0" borderId="0" xfId="41" applyNumberFormat="1" applyFont="1" applyFill="1" applyAlignment="1">
      <alignment horizontal="left"/>
    </xf>
    <xf numFmtId="166" fontId="184" fillId="0" borderId="0" xfId="41" applyNumberFormat="1" applyFont="1" applyFill="1" applyBorder="1" applyAlignment="1">
      <alignment horizontal="center"/>
    </xf>
    <xf numFmtId="166" fontId="56" fillId="0" borderId="0" xfId="52" applyNumberFormat="1" applyFont="1" applyFill="1" applyAlignment="1">
      <alignment horizontal="center"/>
    </xf>
    <xf numFmtId="165" fontId="56" fillId="0" borderId="0" xfId="41" applyNumberFormat="1" applyFont="1" applyFill="1" applyBorder="1" applyProtection="1"/>
    <xf numFmtId="165" fontId="56" fillId="0" borderId="0" xfId="41" applyNumberFormat="1" applyFont="1" applyFill="1" applyProtection="1"/>
    <xf numFmtId="166" fontId="184" fillId="0" borderId="0" xfId="41" applyNumberFormat="1" applyFont="1" applyFill="1" applyAlignment="1" applyProtection="1">
      <alignment horizontal="right"/>
    </xf>
    <xf numFmtId="166" fontId="184" fillId="0" borderId="0" xfId="41" applyNumberFormat="1" applyFont="1" applyFill="1" applyProtection="1"/>
    <xf numFmtId="177" fontId="56" fillId="0" borderId="0" xfId="10" applyNumberFormat="1" applyFont="1" applyFill="1" applyBorder="1" applyProtection="1"/>
    <xf numFmtId="165" fontId="191" fillId="0" borderId="0" xfId="41" applyNumberFormat="1" applyFont="1" applyFill="1" applyBorder="1" applyAlignment="1" applyProtection="1">
      <alignment horizontal="center"/>
    </xf>
    <xf numFmtId="174" fontId="56" fillId="0" borderId="0" xfId="41" applyFont="1" applyFill="1" applyBorder="1" applyAlignment="1">
      <alignment horizontal="left"/>
    </xf>
    <xf numFmtId="165" fontId="56" fillId="0" borderId="0" xfId="41" applyNumberFormat="1" applyFont="1" applyFill="1" applyAlignment="1" applyProtection="1">
      <alignment horizontal="left"/>
    </xf>
    <xf numFmtId="0" fontId="188" fillId="0" borderId="0" xfId="0" applyFont="1" applyFill="1" applyBorder="1"/>
    <xf numFmtId="166" fontId="184" fillId="0" borderId="0" xfId="52" applyNumberFormat="1" applyFont="1" applyFill="1" applyProtection="1"/>
    <xf numFmtId="37" fontId="56" fillId="0" borderId="0" xfId="14" applyNumberFormat="1" applyFont="1" applyFill="1"/>
    <xf numFmtId="165" fontId="56" fillId="0" borderId="0" xfId="14" applyNumberFormat="1" applyFont="1" applyFill="1"/>
    <xf numFmtId="7" fontId="56" fillId="0" borderId="0" xfId="14" applyNumberFormat="1" applyFont="1" applyFill="1"/>
    <xf numFmtId="0" fontId="56" fillId="0" borderId="0" xfId="40" applyFont="1"/>
    <xf numFmtId="37" fontId="56" fillId="0" borderId="0" xfId="40" applyNumberFormat="1" applyFont="1"/>
    <xf numFmtId="181" fontId="56" fillId="0" borderId="0" xfId="14" applyNumberFormat="1" applyFont="1" applyFill="1"/>
    <xf numFmtId="44" fontId="56" fillId="0" borderId="0" xfId="14" applyFont="1" applyFill="1"/>
    <xf numFmtId="181" fontId="189" fillId="0" borderId="0" xfId="14" applyNumberFormat="1" applyFont="1" applyFill="1"/>
    <xf numFmtId="166" fontId="56" fillId="0" borderId="0" xfId="14" applyNumberFormat="1" applyFont="1" applyFill="1"/>
    <xf numFmtId="166" fontId="189" fillId="0" borderId="0" xfId="14" applyNumberFormat="1" applyFont="1" applyFill="1"/>
    <xf numFmtId="178" fontId="56" fillId="0" borderId="0" xfId="10" applyNumberFormat="1" applyFont="1" applyFill="1" applyBorder="1"/>
    <xf numFmtId="5" fontId="56" fillId="0" borderId="0" xfId="44" applyNumberFormat="1" applyFont="1" applyFill="1" applyBorder="1" applyAlignment="1">
      <alignment horizontal="center"/>
    </xf>
    <xf numFmtId="3" fontId="56" fillId="0" borderId="0" xfId="44" applyNumberFormat="1" applyFont="1" applyFill="1" applyBorder="1" applyAlignment="1">
      <alignment horizontal="center"/>
    </xf>
    <xf numFmtId="166" fontId="56" fillId="0" borderId="0" xfId="40" applyNumberFormat="1" applyFont="1" applyFill="1" applyBorder="1" applyAlignment="1">
      <alignment horizontal="center"/>
    </xf>
    <xf numFmtId="0" fontId="186" fillId="0" borderId="0" xfId="67" applyFont="1" applyFill="1" applyBorder="1" applyAlignment="1">
      <alignment horizontal="left"/>
    </xf>
    <xf numFmtId="0" fontId="56" fillId="0" borderId="0" xfId="67" applyFont="1" applyFill="1" applyBorder="1"/>
    <xf numFmtId="0" fontId="56" fillId="0" borderId="0" xfId="67" applyFont="1"/>
    <xf numFmtId="0" fontId="56" fillId="0" borderId="14" xfId="67" applyFont="1" applyFill="1" applyBorder="1"/>
    <xf numFmtId="9" fontId="189" fillId="0" borderId="0" xfId="129" applyFont="1" applyFill="1" applyBorder="1" applyAlignment="1">
      <alignment horizontal="right"/>
    </xf>
    <xf numFmtId="0" fontId="56" fillId="0" borderId="0" xfId="67" applyFont="1" applyFill="1" applyBorder="1" applyAlignment="1">
      <alignment horizontal="right"/>
    </xf>
    <xf numFmtId="9" fontId="189" fillId="0" borderId="14" xfId="129" applyFont="1" applyFill="1" applyBorder="1" applyAlignment="1">
      <alignment horizontal="right"/>
    </xf>
    <xf numFmtId="9" fontId="56" fillId="0" borderId="0" xfId="67" applyNumberFormat="1" applyFont="1" applyFill="1" applyBorder="1" applyAlignment="1">
      <alignment horizontal="right"/>
    </xf>
    <xf numFmtId="9" fontId="56" fillId="0" borderId="14" xfId="67" applyNumberFormat="1" applyFont="1" applyFill="1" applyBorder="1" applyAlignment="1">
      <alignment horizontal="right"/>
    </xf>
    <xf numFmtId="0" fontId="186" fillId="0" borderId="0" xfId="67" applyFont="1" applyFill="1" applyBorder="1" applyAlignment="1">
      <alignment horizontal="center"/>
    </xf>
    <xf numFmtId="0" fontId="186" fillId="0" borderId="14" xfId="67" applyFont="1" applyFill="1" applyBorder="1" applyAlignment="1">
      <alignment horizontal="center"/>
    </xf>
    <xf numFmtId="4" fontId="187" fillId="0" borderId="0" xfId="67" applyNumberFormat="1" applyFont="1" applyFill="1" applyBorder="1" applyAlignment="1"/>
    <xf numFmtId="0" fontId="187" fillId="0" borderId="0" xfId="67" applyFont="1" applyFill="1" applyBorder="1"/>
    <xf numFmtId="4" fontId="187" fillId="0" borderId="0" xfId="69" applyNumberFormat="1" applyFont="1" applyFill="1" applyBorder="1" applyAlignment="1"/>
    <xf numFmtId="4" fontId="187" fillId="0" borderId="14" xfId="69" applyNumberFormat="1" applyFont="1" applyFill="1" applyBorder="1" applyAlignment="1"/>
    <xf numFmtId="4" fontId="187" fillId="0" borderId="0" xfId="67" applyNumberFormat="1" applyFont="1" applyFill="1" applyBorder="1"/>
    <xf numFmtId="4" fontId="56" fillId="0" borderId="0" xfId="69" applyNumberFormat="1" applyFont="1" applyFill="1" applyBorder="1" applyAlignment="1"/>
    <xf numFmtId="4" fontId="187" fillId="0" borderId="14" xfId="67" applyNumberFormat="1" applyFont="1" applyFill="1" applyBorder="1"/>
    <xf numFmtId="4" fontId="56" fillId="0" borderId="0" xfId="67" applyNumberFormat="1" applyFont="1" applyFill="1" applyBorder="1"/>
    <xf numFmtId="4" fontId="56" fillId="0" borderId="14" xfId="67" applyNumberFormat="1" applyFont="1" applyFill="1" applyBorder="1"/>
    <xf numFmtId="166" fontId="56" fillId="0" borderId="0" xfId="129" applyNumberFormat="1" applyFont="1" applyFill="1" applyBorder="1"/>
    <xf numFmtId="166" fontId="184" fillId="0" borderId="0" xfId="129" applyNumberFormat="1" applyFont="1" applyFill="1" applyBorder="1"/>
    <xf numFmtId="0" fontId="184" fillId="0" borderId="0" xfId="67" applyFont="1" applyFill="1" applyBorder="1"/>
    <xf numFmtId="166" fontId="184" fillId="0" borderId="14" xfId="129" applyNumberFormat="1" applyFont="1" applyFill="1" applyBorder="1"/>
    <xf numFmtId="166" fontId="56" fillId="0" borderId="0" xfId="129" applyNumberFormat="1" applyFont="1" applyFill="1" applyBorder="1" applyAlignment="1"/>
    <xf numFmtId="166" fontId="184" fillId="0" borderId="0" xfId="129" applyNumberFormat="1" applyFont="1" applyFill="1" applyBorder="1" applyAlignment="1"/>
    <xf numFmtId="166" fontId="184" fillId="0" borderId="14" xfId="129" applyNumberFormat="1" applyFont="1" applyFill="1" applyBorder="1" applyAlignment="1"/>
    <xf numFmtId="166" fontId="56" fillId="0" borderId="2" xfId="129" applyNumberFormat="1" applyFont="1" applyFill="1" applyBorder="1" applyAlignment="1"/>
    <xf numFmtId="166" fontId="189" fillId="0" borderId="0" xfId="67" applyNumberFormat="1" applyFont="1" applyFill="1" applyBorder="1"/>
    <xf numFmtId="166" fontId="56" fillId="0" borderId="13" xfId="129" applyNumberFormat="1" applyFont="1" applyFill="1" applyBorder="1" applyAlignment="1"/>
    <xf numFmtId="181" fontId="56" fillId="0" borderId="0" xfId="67" applyNumberFormat="1" applyFont="1" applyFill="1" applyBorder="1"/>
    <xf numFmtId="181" fontId="189" fillId="10" borderId="0" xfId="67" applyNumberFormat="1" applyFont="1" applyFill="1" applyBorder="1"/>
    <xf numFmtId="181" fontId="194" fillId="0" borderId="0" xfId="67" applyNumberFormat="1" applyFont="1" applyFill="1" applyBorder="1"/>
    <xf numFmtId="181" fontId="189" fillId="0" borderId="0" xfId="67" applyNumberFormat="1" applyFont="1" applyFill="1" applyBorder="1"/>
    <xf numFmtId="9" fontId="56" fillId="0" borderId="0" xfId="67" applyNumberFormat="1" applyFont="1"/>
    <xf numFmtId="178" fontId="56" fillId="0" borderId="0" xfId="70" applyNumberFormat="1" applyFont="1"/>
    <xf numFmtId="10" fontId="56" fillId="0" borderId="0" xfId="67" applyNumberFormat="1" applyFont="1"/>
    <xf numFmtId="9" fontId="56" fillId="0" borderId="0" xfId="129" applyFont="1"/>
    <xf numFmtId="166" fontId="56" fillId="0" borderId="0" xfId="129" applyNumberFormat="1" applyFont="1"/>
    <xf numFmtId="165" fontId="213" fillId="0" borderId="0" xfId="52" applyNumberFormat="1" applyFont="1" applyFill="1" applyBorder="1" applyAlignment="1">
      <alignment horizontal="right"/>
    </xf>
    <xf numFmtId="166" fontId="184" fillId="48" borderId="0" xfId="0" applyNumberFormat="1" applyFont="1" applyFill="1" applyBorder="1" applyAlignment="1">
      <alignment horizontal="right"/>
    </xf>
    <xf numFmtId="165" fontId="215" fillId="0" borderId="0" xfId="0" applyNumberFormat="1" applyFont="1" applyBorder="1" applyAlignment="1">
      <alignment horizontal="right"/>
    </xf>
    <xf numFmtId="165" fontId="215" fillId="0" borderId="0" xfId="0" applyNumberFormat="1" applyFont="1" applyBorder="1"/>
    <xf numFmtId="165" fontId="215" fillId="0" borderId="21" xfId="0" applyNumberFormat="1" applyFont="1" applyBorder="1"/>
    <xf numFmtId="165" fontId="215" fillId="0" borderId="21" xfId="0" applyNumberFormat="1" applyFont="1" applyBorder="1" applyAlignment="1">
      <alignment horizontal="right"/>
    </xf>
    <xf numFmtId="165" fontId="216" fillId="0" borderId="0" xfId="0" applyNumberFormat="1" applyFont="1" applyBorder="1" applyAlignment="1">
      <alignment horizontal="right"/>
    </xf>
    <xf numFmtId="165" fontId="216" fillId="0" borderId="0" xfId="0" applyNumberFormat="1" applyFont="1"/>
    <xf numFmtId="177" fontId="187" fillId="48" borderId="0" xfId="10" applyNumberFormat="1" applyFont="1" applyFill="1" applyBorder="1" applyAlignment="1">
      <alignment horizontal="right"/>
    </xf>
    <xf numFmtId="166" fontId="56" fillId="0" borderId="0" xfId="39" applyNumberFormat="1" applyFont="1" applyFill="1" applyBorder="1" applyAlignment="1">
      <alignment horizontal="right"/>
    </xf>
    <xf numFmtId="178" fontId="187" fillId="0" borderId="0" xfId="10" applyNumberFormat="1" applyFont="1" applyBorder="1" applyAlignment="1">
      <alignment horizontal="right"/>
    </xf>
    <xf numFmtId="43" fontId="154" fillId="0" borderId="0" xfId="10" applyFont="1" applyFill="1" applyBorder="1" applyAlignment="1">
      <alignment horizontal="right"/>
    </xf>
    <xf numFmtId="0" fontId="184" fillId="0" borderId="0" xfId="0" applyFont="1"/>
    <xf numFmtId="0" fontId="186" fillId="0" borderId="0" xfId="0" applyFont="1"/>
    <xf numFmtId="166" fontId="154" fillId="0" borderId="0" xfId="52" applyNumberFormat="1" applyFont="1" applyFill="1" applyBorder="1" applyAlignment="1">
      <alignment horizontal="right"/>
    </xf>
    <xf numFmtId="203" fontId="55" fillId="0" borderId="0" xfId="0" applyNumberFormat="1" applyFont="1" applyAlignment="1">
      <alignment horizontal="right"/>
    </xf>
    <xf numFmtId="37" fontId="0" fillId="0" borderId="0" xfId="0" applyNumberFormat="1"/>
    <xf numFmtId="166" fontId="56" fillId="0" borderId="0" xfId="67" applyNumberFormat="1" applyFont="1"/>
    <xf numFmtId="0" fontId="56" fillId="0" borderId="50" xfId="0" applyFont="1" applyBorder="1" applyAlignment="1">
      <alignment horizontal="right"/>
    </xf>
    <xf numFmtId="165" fontId="56" fillId="0" borderId="2" xfId="0" applyNumberFormat="1" applyFont="1" applyBorder="1" applyAlignment="1">
      <alignment horizontal="right"/>
    </xf>
    <xf numFmtId="165" fontId="56" fillId="0" borderId="14" xfId="0" applyNumberFormat="1" applyFont="1" applyFill="1" applyBorder="1" applyAlignment="1">
      <alignment horizontal="right"/>
    </xf>
    <xf numFmtId="165" fontId="56" fillId="0" borderId="2" xfId="46" applyNumberFormat="1" applyFont="1" applyBorder="1" applyAlignment="1">
      <alignment horizontal="right"/>
    </xf>
    <xf numFmtId="166" fontId="56" fillId="0" borderId="2" xfId="52" applyNumberFormat="1" applyFont="1" applyFill="1" applyBorder="1" applyAlignment="1">
      <alignment horizontal="right"/>
    </xf>
    <xf numFmtId="186" fontId="56" fillId="0" borderId="2" xfId="0" applyNumberFormat="1" applyFont="1" applyFill="1" applyBorder="1" applyAlignment="1">
      <alignment horizontal="right"/>
    </xf>
    <xf numFmtId="178" fontId="56" fillId="0" borderId="2" xfId="10" applyNumberFormat="1" applyFont="1" applyBorder="1" applyAlignment="1">
      <alignment horizontal="right"/>
    </xf>
    <xf numFmtId="165" fontId="56" fillId="0" borderId="14" xfId="0" applyNumberFormat="1" applyFont="1" applyBorder="1" applyAlignment="1">
      <alignment horizontal="right"/>
    </xf>
    <xf numFmtId="178" fontId="56" fillId="0" borderId="14" xfId="10" applyNumberFormat="1" applyFont="1" applyBorder="1" applyAlignment="1">
      <alignment horizontal="right"/>
    </xf>
    <xf numFmtId="165" fontId="56" fillId="0" borderId="14" xfId="46" applyNumberFormat="1" applyFont="1" applyFill="1" applyBorder="1" applyAlignment="1">
      <alignment horizontal="right"/>
    </xf>
    <xf numFmtId="165" fontId="56" fillId="0" borderId="14" xfId="46" applyNumberFormat="1" applyFont="1" applyBorder="1" applyAlignment="1">
      <alignment horizontal="right"/>
    </xf>
    <xf numFmtId="166" fontId="56" fillId="0" borderId="12" xfId="52" applyNumberFormat="1" applyFont="1" applyBorder="1" applyAlignment="1">
      <alignment horizontal="right"/>
    </xf>
    <xf numFmtId="0" fontId="56" fillId="0" borderId="13" xfId="67" applyFont="1" applyBorder="1"/>
    <xf numFmtId="165" fontId="56" fillId="0" borderId="12" xfId="0" applyNumberFormat="1" applyFont="1" applyBorder="1" applyAlignment="1">
      <alignment horizontal="right"/>
    </xf>
    <xf numFmtId="166" fontId="56" fillId="0" borderId="53" xfId="52" applyNumberFormat="1" applyFont="1" applyFill="1" applyBorder="1" applyAlignment="1">
      <alignment horizontal="right"/>
    </xf>
    <xf numFmtId="0" fontId="185" fillId="0" borderId="11" xfId="0" applyFont="1" applyFill="1" applyBorder="1" applyAlignment="1">
      <alignment horizontal="center"/>
    </xf>
    <xf numFmtId="0" fontId="185" fillId="0" borderId="0" xfId="67" applyFont="1" applyFill="1" applyBorder="1" applyAlignment="1">
      <alignment horizontal="right"/>
    </xf>
    <xf numFmtId="165" fontId="187" fillId="48" borderId="0" xfId="0" applyNumberFormat="1" applyFont="1" applyFill="1" applyBorder="1" applyAlignment="1">
      <alignment horizontal="right"/>
    </xf>
    <xf numFmtId="9" fontId="56" fillId="0" borderId="0" xfId="129" applyNumberFormat="1" applyFont="1"/>
    <xf numFmtId="0" fontId="219" fillId="0" borderId="0" xfId="0" applyFont="1" applyAlignment="1">
      <alignment horizontal="right"/>
    </xf>
    <xf numFmtId="9" fontId="56" fillId="0" borderId="0" xfId="67" applyNumberFormat="1" applyFont="1" applyBorder="1"/>
    <xf numFmtId="0" fontId="56" fillId="0" borderId="52" xfId="67" applyFont="1" applyFill="1" applyBorder="1"/>
    <xf numFmtId="0" fontId="56" fillId="0" borderId="52" xfId="67" applyFont="1" applyBorder="1"/>
    <xf numFmtId="166" fontId="56" fillId="0" borderId="0" xfId="67" applyNumberFormat="1" applyFont="1" applyBorder="1"/>
    <xf numFmtId="165" fontId="56" fillId="0" borderId="0" xfId="10" applyNumberFormat="1" applyFont="1" applyFill="1" applyBorder="1" applyAlignment="1">
      <alignment horizontal="right"/>
    </xf>
    <xf numFmtId="165" fontId="56" fillId="0" borderId="58" xfId="0" applyNumberFormat="1" applyFont="1" applyFill="1" applyBorder="1" applyAlignment="1">
      <alignment horizontal="right"/>
    </xf>
    <xf numFmtId="166" fontId="184" fillId="0" borderId="58" xfId="52" applyNumberFormat="1" applyFont="1" applyBorder="1" applyAlignment="1">
      <alignment horizontal="right"/>
    </xf>
    <xf numFmtId="177" fontId="56" fillId="0" borderId="58" xfId="10" applyNumberFormat="1" applyFont="1" applyFill="1" applyBorder="1" applyAlignment="1">
      <alignment horizontal="right"/>
    </xf>
    <xf numFmtId="165" fontId="56" fillId="0" borderId="58" xfId="0" applyNumberFormat="1" applyFont="1" applyBorder="1" applyAlignment="1">
      <alignment horizontal="right"/>
    </xf>
    <xf numFmtId="192" fontId="56" fillId="0" borderId="58" xfId="0" applyNumberFormat="1" applyFont="1" applyBorder="1" applyAlignment="1">
      <alignment horizontal="right"/>
    </xf>
    <xf numFmtId="177" fontId="56" fillId="0" borderId="58" xfId="10" applyNumberFormat="1" applyFont="1" applyBorder="1" applyAlignment="1">
      <alignment horizontal="right"/>
    </xf>
    <xf numFmtId="9" fontId="56" fillId="0" borderId="58" xfId="0" applyNumberFormat="1" applyFont="1" applyBorder="1" applyAlignment="1">
      <alignment horizontal="right"/>
    </xf>
    <xf numFmtId="43" fontId="56" fillId="0" borderId="58" xfId="10" applyFont="1" applyBorder="1" applyAlignment="1">
      <alignment horizontal="right"/>
    </xf>
    <xf numFmtId="9" fontId="56" fillId="0" borderId="0" xfId="0" applyNumberFormat="1" applyFont="1" applyFill="1" applyBorder="1" applyAlignment="1">
      <alignment horizontal="right"/>
    </xf>
    <xf numFmtId="37" fontId="56" fillId="0" borderId="0" xfId="0" applyNumberFormat="1" applyFont="1" applyFill="1" applyBorder="1"/>
    <xf numFmtId="0" fontId="185" fillId="0" borderId="0" xfId="0" quotePrefix="1" applyFont="1" applyFill="1" applyBorder="1" applyAlignment="1">
      <alignment horizontal="center"/>
    </xf>
    <xf numFmtId="0" fontId="186" fillId="0" borderId="0" xfId="0" applyFont="1" applyBorder="1"/>
    <xf numFmtId="37" fontId="56" fillId="0" borderId="0" xfId="0" applyNumberFormat="1" applyFont="1"/>
    <xf numFmtId="9" fontId="56" fillId="0" borderId="0" xfId="10" applyNumberFormat="1" applyFont="1" applyFill="1" applyBorder="1" applyAlignment="1">
      <alignment horizontal="right"/>
    </xf>
    <xf numFmtId="9" fontId="56" fillId="0" borderId="0" xfId="10" applyNumberFormat="1" applyFont="1" applyFill="1" applyBorder="1"/>
    <xf numFmtId="165" fontId="56" fillId="0" borderId="56" xfId="39" applyNumberFormat="1" applyFont="1" applyFill="1" applyBorder="1" applyAlignment="1">
      <alignment horizontal="right"/>
    </xf>
    <xf numFmtId="166" fontId="56" fillId="0" borderId="56" xfId="39" applyNumberFormat="1" applyFont="1" applyFill="1" applyBorder="1" applyAlignment="1">
      <alignment horizontal="right"/>
    </xf>
    <xf numFmtId="166" fontId="56" fillId="0" borderId="56" xfId="52" applyNumberFormat="1" applyFont="1" applyFill="1" applyBorder="1" applyAlignment="1">
      <alignment horizontal="right"/>
    </xf>
    <xf numFmtId="37" fontId="187" fillId="0" borderId="0" xfId="0" applyNumberFormat="1" applyFont="1" applyFill="1" applyBorder="1"/>
    <xf numFmtId="41" fontId="56" fillId="0" borderId="0" xfId="0" applyNumberFormat="1" applyFont="1"/>
    <xf numFmtId="1" fontId="56" fillId="0" borderId="0" xfId="0" applyNumberFormat="1" applyFont="1" applyFill="1" applyBorder="1" applyAlignment="1">
      <alignment horizontal="right"/>
    </xf>
    <xf numFmtId="37" fontId="56" fillId="0" borderId="0" xfId="42" applyNumberFormat="1" applyFont="1" applyFill="1" applyBorder="1"/>
    <xf numFmtId="4" fontId="187" fillId="0" borderId="0" xfId="642" applyNumberFormat="1" applyFont="1" applyBorder="1" applyAlignment="1"/>
    <xf numFmtId="41" fontId="56" fillId="0" borderId="0" xfId="0" applyNumberFormat="1" applyFont="1" applyFill="1" applyBorder="1"/>
    <xf numFmtId="43" fontId="56" fillId="0" borderId="0" xfId="0" applyNumberFormat="1" applyFont="1"/>
    <xf numFmtId="0" fontId="186" fillId="0" borderId="0" xfId="0" applyFont="1" applyFill="1"/>
    <xf numFmtId="178" fontId="187" fillId="0" borderId="0" xfId="10" applyNumberFormat="1" applyFont="1" applyFill="1" applyBorder="1" applyAlignment="1">
      <alignment horizontal="right"/>
    </xf>
    <xf numFmtId="43" fontId="57" fillId="0" borderId="0" xfId="10" applyFont="1" applyFill="1" applyBorder="1" applyAlignment="1">
      <alignment horizontal="right"/>
    </xf>
    <xf numFmtId="165" fontId="186" fillId="0" borderId="2" xfId="0" applyNumberFormat="1" applyFont="1" applyBorder="1" applyAlignment="1">
      <alignment horizontal="right"/>
    </xf>
    <xf numFmtId="165" fontId="186" fillId="0" borderId="0" xfId="0" applyNumberFormat="1" applyFont="1" applyBorder="1" applyAlignment="1">
      <alignment horizontal="right"/>
    </xf>
    <xf numFmtId="43" fontId="56" fillId="0" borderId="14" xfId="10" applyFont="1" applyFill="1" applyBorder="1" applyAlignment="1">
      <alignment horizontal="right"/>
    </xf>
    <xf numFmtId="177" fontId="213" fillId="0" borderId="0" xfId="10" applyNumberFormat="1" applyFont="1" applyFill="1" applyBorder="1" applyAlignment="1">
      <alignment horizontal="right"/>
    </xf>
    <xf numFmtId="166" fontId="213" fillId="0" borderId="0" xfId="0" applyNumberFormat="1" applyFont="1" applyFill="1" applyBorder="1" applyAlignment="1">
      <alignment horizontal="right"/>
    </xf>
    <xf numFmtId="0" fontId="0" fillId="0" borderId="0" xfId="0" applyBorder="1"/>
    <xf numFmtId="0" fontId="0" fillId="0" borderId="0" xfId="0" applyFill="1"/>
    <xf numFmtId="37" fontId="56" fillId="0" borderId="0" xfId="0" applyNumberFormat="1" applyFont="1" applyBorder="1" applyAlignment="1">
      <alignment horizontal="right"/>
    </xf>
    <xf numFmtId="166" fontId="214" fillId="0" borderId="0" xfId="41" applyNumberFormat="1" applyFont="1" applyFill="1" applyBorder="1" applyAlignment="1">
      <alignment horizontal="right"/>
    </xf>
    <xf numFmtId="166" fontId="214" fillId="0" borderId="0" xfId="41" applyNumberFormat="1" applyFont="1" applyFill="1" applyAlignment="1" applyProtection="1">
      <alignment horizontal="right"/>
    </xf>
    <xf numFmtId="165" fontId="213" fillId="0" borderId="0" xfId="41" applyNumberFormat="1" applyFont="1" applyFill="1" applyBorder="1" applyProtection="1"/>
    <xf numFmtId="177" fontId="213" fillId="0" borderId="0" xfId="10" applyNumberFormat="1" applyFont="1" applyFill="1" applyBorder="1" applyProtection="1"/>
    <xf numFmtId="3" fontId="56" fillId="0" borderId="0" xfId="14" applyNumberFormat="1" applyFont="1" applyFill="1"/>
    <xf numFmtId="1" fontId="56" fillId="0" borderId="0" xfId="0" applyNumberFormat="1" applyFont="1" applyAlignment="1">
      <alignment horizontal="right"/>
    </xf>
    <xf numFmtId="186" fontId="186" fillId="0" borderId="0" xfId="41" applyNumberFormat="1" applyFont="1" applyFill="1" applyBorder="1" applyAlignment="1">
      <alignment horizontal="right"/>
    </xf>
    <xf numFmtId="165" fontId="186" fillId="0" borderId="0" xfId="41" applyNumberFormat="1" applyFont="1" applyFill="1" applyAlignment="1" applyProtection="1">
      <alignment horizontal="right"/>
    </xf>
    <xf numFmtId="165" fontId="188" fillId="0" borderId="61" xfId="42" applyNumberFormat="1" applyFont="1" applyFill="1" applyBorder="1" applyAlignment="1">
      <alignment horizontal="right"/>
    </xf>
    <xf numFmtId="165" fontId="56" fillId="0" borderId="61" xfId="0" applyNumberFormat="1" applyFont="1" applyFill="1" applyBorder="1" applyAlignment="1">
      <alignment horizontal="right"/>
    </xf>
    <xf numFmtId="165" fontId="56" fillId="0" borderId="62" xfId="0" applyNumberFormat="1" applyFont="1" applyFill="1" applyBorder="1" applyAlignment="1">
      <alignment horizontal="right"/>
    </xf>
    <xf numFmtId="166" fontId="56" fillId="0" borderId="61" xfId="52" applyNumberFormat="1" applyFont="1" applyBorder="1" applyAlignment="1">
      <alignment horizontal="right"/>
    </xf>
    <xf numFmtId="166" fontId="184" fillId="0" borderId="61" xfId="52" applyNumberFormat="1" applyFont="1" applyFill="1" applyBorder="1" applyAlignment="1">
      <alignment horizontal="right"/>
    </xf>
    <xf numFmtId="166" fontId="184" fillId="0" borderId="61" xfId="52" applyNumberFormat="1" applyFont="1" applyBorder="1" applyAlignment="1">
      <alignment horizontal="right"/>
    </xf>
    <xf numFmtId="166" fontId="184" fillId="0" borderId="61" xfId="42" applyNumberFormat="1" applyFont="1" applyFill="1" applyBorder="1" applyAlignment="1">
      <alignment horizontal="right"/>
    </xf>
    <xf numFmtId="165" fontId="56" fillId="0" borderId="61" xfId="52" applyNumberFormat="1" applyFont="1" applyBorder="1" applyAlignment="1">
      <alignment horizontal="right"/>
    </xf>
    <xf numFmtId="0" fontId="56" fillId="0" borderId="61" xfId="0" applyFont="1" applyFill="1" applyBorder="1" applyAlignment="1">
      <alignment horizontal="right"/>
    </xf>
    <xf numFmtId="0" fontId="56" fillId="0" borderId="62" xfId="0" applyFont="1" applyFill="1" applyBorder="1" applyAlignment="1">
      <alignment horizontal="right"/>
    </xf>
    <xf numFmtId="166" fontId="56" fillId="0" borderId="61" xfId="0" applyNumberFormat="1" applyFont="1" applyFill="1" applyBorder="1" applyAlignment="1">
      <alignment horizontal="right"/>
    </xf>
    <xf numFmtId="166" fontId="56" fillId="0" borderId="62" xfId="0" applyNumberFormat="1" applyFont="1" applyFill="1" applyBorder="1" applyAlignment="1">
      <alignment horizontal="right"/>
    </xf>
    <xf numFmtId="0" fontId="185" fillId="47" borderId="61" xfId="0" applyFont="1" applyFill="1" applyBorder="1" applyAlignment="1">
      <alignment horizontal="right"/>
    </xf>
    <xf numFmtId="0" fontId="188" fillId="0" borderId="61" xfId="0" applyFont="1" applyFill="1" applyBorder="1" applyAlignment="1">
      <alignment horizontal="right"/>
    </xf>
    <xf numFmtId="166" fontId="184" fillId="0" borderId="61" xfId="0" applyNumberFormat="1" applyFont="1" applyFill="1" applyBorder="1" applyAlignment="1">
      <alignment horizontal="right"/>
    </xf>
    <xf numFmtId="166" fontId="184" fillId="0" borderId="62" xfId="0" applyNumberFormat="1" applyFont="1" applyFill="1" applyBorder="1" applyAlignment="1">
      <alignment horizontal="right"/>
    </xf>
    <xf numFmtId="186" fontId="188" fillId="0" borderId="61" xfId="0" applyNumberFormat="1" applyFont="1" applyFill="1" applyBorder="1" applyAlignment="1">
      <alignment horizontal="right"/>
    </xf>
    <xf numFmtId="43" fontId="56" fillId="0" borderId="61" xfId="10" applyFont="1" applyFill="1" applyBorder="1" applyAlignment="1">
      <alignment horizontal="right"/>
    </xf>
    <xf numFmtId="166" fontId="56" fillId="0" borderId="61" xfId="0" applyNumberFormat="1" applyFont="1" applyFill="1" applyBorder="1"/>
    <xf numFmtId="37" fontId="56" fillId="0" borderId="61" xfId="0" applyNumberFormat="1" applyFont="1" applyFill="1" applyBorder="1"/>
    <xf numFmtId="9" fontId="56" fillId="0" borderId="0" xfId="52" applyFont="1" applyFill="1" applyBorder="1"/>
    <xf numFmtId="165" fontId="56" fillId="0" borderId="61" xfId="0" applyNumberFormat="1" applyFont="1" applyBorder="1" applyAlignment="1">
      <alignment horizontal="right"/>
    </xf>
    <xf numFmtId="165" fontId="56" fillId="0" borderId="62" xfId="0" applyNumberFormat="1" applyFont="1" applyBorder="1" applyAlignment="1">
      <alignment horizontal="right"/>
    </xf>
    <xf numFmtId="9" fontId="56" fillId="0" borderId="61" xfId="0" applyNumberFormat="1" applyFont="1" applyBorder="1" applyAlignment="1">
      <alignment horizontal="right"/>
    </xf>
    <xf numFmtId="9" fontId="56" fillId="0" borderId="62" xfId="0" applyNumberFormat="1" applyFont="1" applyBorder="1" applyAlignment="1">
      <alignment horizontal="right"/>
    </xf>
    <xf numFmtId="43" fontId="56" fillId="0" borderId="61" xfId="10" applyFont="1" applyBorder="1" applyAlignment="1">
      <alignment horizontal="right"/>
    </xf>
    <xf numFmtId="7" fontId="56" fillId="0" borderId="61" xfId="0" applyNumberFormat="1" applyFont="1" applyFill="1" applyBorder="1" applyAlignment="1">
      <alignment horizontal="right"/>
    </xf>
    <xf numFmtId="7" fontId="56" fillId="0" borderId="62" xfId="0" applyNumberFormat="1" applyFont="1" applyFill="1" applyBorder="1" applyAlignment="1">
      <alignment horizontal="right"/>
    </xf>
    <xf numFmtId="177" fontId="56" fillId="0" borderId="14" xfId="10" applyNumberFormat="1" applyFont="1" applyFill="1" applyBorder="1" applyAlignment="1">
      <alignment horizontal="right"/>
    </xf>
    <xf numFmtId="166" fontId="56" fillId="0" borderId="14" xfId="52" applyNumberFormat="1" applyFont="1" applyBorder="1" applyAlignment="1">
      <alignment horizontal="right"/>
    </xf>
    <xf numFmtId="166" fontId="184" fillId="0" borderId="64" xfId="52" applyNumberFormat="1" applyFont="1" applyFill="1" applyBorder="1" applyAlignment="1">
      <alignment horizontal="right"/>
    </xf>
    <xf numFmtId="166" fontId="184" fillId="0" borderId="14" xfId="52" applyNumberFormat="1" applyFont="1" applyFill="1" applyBorder="1" applyAlignment="1">
      <alignment horizontal="right"/>
    </xf>
    <xf numFmtId="166" fontId="184" fillId="0" borderId="64" xfId="52" applyNumberFormat="1" applyFont="1" applyBorder="1" applyAlignment="1">
      <alignment horizontal="right"/>
    </xf>
    <xf numFmtId="165" fontId="213" fillId="0" borderId="0" xfId="0" applyNumberFormat="1" applyFont="1" applyFill="1" applyBorder="1" applyAlignment="1">
      <alignment horizontal="right"/>
    </xf>
    <xf numFmtId="165" fontId="56" fillId="0" borderId="0" xfId="0" applyNumberFormat="1" applyFont="1" applyFill="1" applyBorder="1" applyAlignment="1">
      <alignment horizontal="left"/>
    </xf>
    <xf numFmtId="165" fontId="194" fillId="0" borderId="0" xfId="46" applyNumberFormat="1" applyFont="1" applyFill="1" applyBorder="1" applyAlignment="1">
      <alignment horizontal="right"/>
    </xf>
    <xf numFmtId="165" fontId="194" fillId="0" borderId="22" xfId="46" applyNumberFormat="1" applyFont="1" applyFill="1" applyBorder="1" applyAlignment="1">
      <alignment horizontal="right"/>
    </xf>
    <xf numFmtId="0" fontId="185" fillId="0" borderId="0" xfId="0" quotePrefix="1" applyFont="1" applyFill="1" applyBorder="1" applyAlignment="1">
      <alignment horizontal="right"/>
    </xf>
    <xf numFmtId="165" fontId="56" fillId="0" borderId="12" xfId="0" applyNumberFormat="1" applyFont="1" applyFill="1" applyBorder="1" applyAlignment="1">
      <alignment horizontal="right"/>
    </xf>
    <xf numFmtId="165" fontId="213" fillId="0" borderId="0" xfId="46" applyNumberFormat="1" applyFont="1" applyFill="1" applyBorder="1" applyAlignment="1">
      <alignment horizontal="right"/>
    </xf>
    <xf numFmtId="165" fontId="213" fillId="0" borderId="0" xfId="46" applyNumberFormat="1" applyFont="1" applyBorder="1" applyAlignment="1">
      <alignment horizontal="right"/>
    </xf>
    <xf numFmtId="165" fontId="198" fillId="47" borderId="61" xfId="42" applyNumberFormat="1" applyFont="1" applyFill="1" applyBorder="1" applyAlignment="1">
      <alignment horizontal="right"/>
    </xf>
    <xf numFmtId="166" fontId="209" fillId="0" borderId="61" xfId="52" applyNumberFormat="1" applyFont="1" applyFill="1" applyBorder="1" applyAlignment="1">
      <alignment horizontal="right"/>
    </xf>
    <xf numFmtId="166" fontId="209" fillId="0" borderId="61" xfId="0" applyNumberFormat="1" applyFont="1" applyFill="1" applyBorder="1" applyAlignment="1">
      <alignment horizontal="right"/>
    </xf>
    <xf numFmtId="177" fontId="56" fillId="0" borderId="61" xfId="0" applyNumberFormat="1" applyFont="1" applyBorder="1" applyAlignment="1">
      <alignment horizontal="right"/>
    </xf>
    <xf numFmtId="3" fontId="56" fillId="0" borderId="0" xfId="42" applyNumberFormat="1" applyFont="1" applyFill="1" applyBorder="1"/>
    <xf numFmtId="3" fontId="56" fillId="0" borderId="0" xfId="14" applyNumberFormat="1" applyFont="1" applyFill="1" applyBorder="1"/>
    <xf numFmtId="3" fontId="56" fillId="0" borderId="0" xfId="0" applyNumberFormat="1" applyFont="1" applyFill="1" applyBorder="1"/>
    <xf numFmtId="0" fontId="55" fillId="0" borderId="0" xfId="0" applyFont="1" applyFill="1" applyAlignment="1">
      <alignment horizontal="center"/>
    </xf>
    <xf numFmtId="0" fontId="60" fillId="0" borderId="0" xfId="0" applyFont="1" applyFill="1" applyBorder="1" applyAlignment="1">
      <alignment horizontal="center"/>
    </xf>
    <xf numFmtId="0" fontId="0" fillId="0" borderId="0" xfId="0" applyAlignment="1">
      <alignment horizontal="center"/>
    </xf>
    <xf numFmtId="165" fontId="56" fillId="0" borderId="65" xfId="0" applyNumberFormat="1" applyFont="1" applyFill="1" applyBorder="1" applyAlignment="1">
      <alignment horizontal="right"/>
    </xf>
    <xf numFmtId="165" fontId="56" fillId="0" borderId="65" xfId="52" applyNumberFormat="1" applyFont="1" applyFill="1" applyBorder="1" applyAlignment="1">
      <alignment horizontal="right"/>
    </xf>
    <xf numFmtId="166" fontId="184" fillId="0" borderId="65" xfId="52" applyNumberFormat="1" applyFont="1" applyBorder="1" applyAlignment="1">
      <alignment horizontal="right"/>
    </xf>
    <xf numFmtId="166" fontId="184" fillId="0" borderId="65" xfId="52" applyNumberFormat="1" applyFont="1" applyFill="1" applyBorder="1" applyAlignment="1">
      <alignment horizontal="right"/>
    </xf>
    <xf numFmtId="0" fontId="200" fillId="0" borderId="0" xfId="0" applyFont="1" applyFill="1"/>
    <xf numFmtId="174" fontId="185" fillId="0" borderId="19" xfId="41" quotePrefix="1" applyFont="1" applyFill="1" applyBorder="1" applyAlignment="1">
      <alignment horizontal="center"/>
    </xf>
    <xf numFmtId="165" fontId="186" fillId="0" borderId="0" xfId="41" applyNumberFormat="1" applyFont="1" applyFill="1" applyBorder="1" applyProtection="1"/>
    <xf numFmtId="166" fontId="203" fillId="0" borderId="0" xfId="44" applyNumberFormat="1" applyFont="1" applyFill="1" applyBorder="1" applyAlignment="1">
      <alignment horizontal="center"/>
    </xf>
    <xf numFmtId="0" fontId="188" fillId="0" borderId="0" xfId="44" applyFont="1" applyFill="1" applyBorder="1" applyAlignment="1">
      <alignment horizontal="left"/>
    </xf>
    <xf numFmtId="5" fontId="56" fillId="0" borderId="0" xfId="10" applyNumberFormat="1" applyFont="1" applyFill="1" applyBorder="1"/>
    <xf numFmtId="0" fontId="203" fillId="0" borderId="0" xfId="44" applyFont="1" applyFill="1" applyBorder="1" applyAlignment="1">
      <alignment horizontal="center"/>
    </xf>
    <xf numFmtId="0" fontId="56" fillId="0" borderId="0" xfId="44" applyFont="1" applyFill="1" applyBorder="1" applyAlignment="1">
      <alignment horizontal="center"/>
    </xf>
    <xf numFmtId="3" fontId="188" fillId="0" borderId="0" xfId="44" applyNumberFormat="1" applyFont="1" applyFill="1" applyBorder="1" applyAlignment="1">
      <alignment horizontal="center"/>
    </xf>
    <xf numFmtId="3" fontId="56" fillId="0" borderId="0" xfId="44" applyNumberFormat="1" applyFont="1" applyFill="1" applyBorder="1"/>
    <xf numFmtId="170" fontId="191" fillId="0" borderId="0" xfId="0" applyNumberFormat="1" applyFont="1" applyFill="1" applyBorder="1"/>
    <xf numFmtId="166" fontId="188" fillId="0" borderId="0" xfId="40" applyNumberFormat="1" applyFont="1" applyFill="1" applyBorder="1" applyAlignment="1">
      <alignment horizontal="center"/>
    </xf>
    <xf numFmtId="37" fontId="56" fillId="0" borderId="0" xfId="40" applyNumberFormat="1" applyFont="1" applyFill="1" applyBorder="1"/>
    <xf numFmtId="0" fontId="56" fillId="0" borderId="0" xfId="44" applyFont="1" applyFill="1" applyBorder="1"/>
    <xf numFmtId="0" fontId="56" fillId="0" borderId="0" xfId="40" applyFont="1" applyFill="1" applyBorder="1"/>
    <xf numFmtId="166" fontId="187" fillId="0" borderId="61" xfId="0" applyNumberFormat="1" applyFont="1" applyFill="1" applyBorder="1" applyAlignment="1">
      <alignment horizontal="right"/>
    </xf>
    <xf numFmtId="9" fontId="209" fillId="0" borderId="0" xfId="52" applyFont="1" applyFill="1" applyBorder="1" applyAlignment="1">
      <alignment horizontal="right"/>
    </xf>
    <xf numFmtId="165" fontId="56" fillId="0" borderId="68" xfId="52" applyNumberFormat="1" applyFont="1" applyFill="1" applyBorder="1" applyAlignment="1">
      <alignment horizontal="right"/>
    </xf>
    <xf numFmtId="170" fontId="185" fillId="0" borderId="0" xfId="20" applyNumberFormat="1" applyFont="1" applyFill="1" applyBorder="1" applyAlignment="1">
      <alignment horizontal="right"/>
    </xf>
    <xf numFmtId="165" fontId="185" fillId="0" borderId="0" xfId="46" applyNumberFormat="1" applyFont="1" applyFill="1" applyBorder="1" applyAlignment="1">
      <alignment horizontal="right"/>
    </xf>
    <xf numFmtId="165" fontId="185" fillId="0" borderId="0" xfId="20" applyNumberFormat="1" applyFont="1" applyFill="1" applyBorder="1" applyAlignment="1">
      <alignment horizontal="right"/>
    </xf>
    <xf numFmtId="7" fontId="185" fillId="0" borderId="0" xfId="0" applyNumberFormat="1" applyFont="1" applyFill="1" applyBorder="1" applyAlignment="1">
      <alignment horizontal="right"/>
    </xf>
    <xf numFmtId="165" fontId="185" fillId="0" borderId="0" xfId="0" applyNumberFormat="1" applyFont="1" applyFill="1" applyBorder="1" applyAlignment="1">
      <alignment horizontal="right"/>
    </xf>
    <xf numFmtId="166" fontId="185" fillId="0" borderId="0" xfId="52" applyNumberFormat="1" applyFont="1" applyFill="1" applyBorder="1" applyAlignment="1">
      <alignment horizontal="right"/>
    </xf>
    <xf numFmtId="0" fontId="210" fillId="0" borderId="0" xfId="0" applyFont="1" applyFill="1" applyBorder="1" applyAlignment="1">
      <alignment horizontal="right"/>
    </xf>
    <xf numFmtId="166" fontId="185" fillId="0" borderId="0" xfId="0" applyNumberFormat="1" applyFont="1" applyFill="1" applyBorder="1" applyAlignment="1">
      <alignment horizontal="right"/>
    </xf>
    <xf numFmtId="0" fontId="17" fillId="0" borderId="0" xfId="0" applyFont="1"/>
    <xf numFmtId="166" fontId="56" fillId="0" borderId="69" xfId="129" applyNumberFormat="1" applyFont="1" applyFill="1" applyBorder="1" applyAlignment="1"/>
    <xf numFmtId="166" fontId="184" fillId="0" borderId="0" xfId="42" applyNumberFormat="1" applyFont="1" applyFill="1" applyBorder="1" applyAlignment="1">
      <alignment horizontal="right"/>
    </xf>
    <xf numFmtId="0" fontId="56" fillId="0" borderId="53" xfId="0" applyFont="1" applyBorder="1" applyAlignment="1">
      <alignment horizontal="right"/>
    </xf>
    <xf numFmtId="43" fontId="56" fillId="0" borderId="53" xfId="10" applyFont="1" applyFill="1" applyBorder="1" applyAlignment="1">
      <alignment horizontal="right"/>
    </xf>
    <xf numFmtId="165" fontId="56" fillId="0" borderId="60" xfId="0" applyNumberFormat="1" applyFont="1" applyBorder="1" applyAlignment="1">
      <alignment horizontal="right"/>
    </xf>
    <xf numFmtId="192" fontId="56" fillId="0" borderId="53" xfId="0" applyNumberFormat="1" applyFont="1" applyFill="1" applyBorder="1" applyAlignment="1">
      <alignment horizontal="right"/>
    </xf>
    <xf numFmtId="178" fontId="56" fillId="0" borderId="60" xfId="10" applyNumberFormat="1" applyFont="1" applyBorder="1" applyAlignment="1">
      <alignment horizontal="right"/>
    </xf>
    <xf numFmtId="0" fontId="56" fillId="0" borderId="68" xfId="0" applyFont="1" applyBorder="1" applyAlignment="1">
      <alignment horizontal="right"/>
    </xf>
    <xf numFmtId="9" fontId="56" fillId="0" borderId="0" xfId="129" applyFont="1" applyFill="1" applyBorder="1" applyAlignment="1">
      <alignment horizontal="right"/>
    </xf>
    <xf numFmtId="166" fontId="187" fillId="0" borderId="0" xfId="52" applyNumberFormat="1" applyFont="1" applyFill="1" applyBorder="1" applyAlignment="1">
      <alignment horizontal="right"/>
    </xf>
    <xf numFmtId="9" fontId="56" fillId="0" borderId="61" xfId="52" applyFont="1" applyFill="1" applyBorder="1" applyAlignment="1">
      <alignment horizontal="right"/>
    </xf>
    <xf numFmtId="177" fontId="56" fillId="47" borderId="0" xfId="10" applyNumberFormat="1" applyFont="1" applyFill="1" applyBorder="1" applyAlignment="1">
      <alignment horizontal="right"/>
    </xf>
    <xf numFmtId="166" fontId="184" fillId="57" borderId="0" xfId="0" applyNumberFormat="1" applyFont="1" applyFill="1" applyBorder="1" applyAlignment="1">
      <alignment horizontal="right"/>
    </xf>
    <xf numFmtId="177" fontId="201" fillId="47" borderId="0" xfId="10" applyNumberFormat="1" applyFont="1" applyFill="1" applyBorder="1"/>
    <xf numFmtId="177" fontId="188" fillId="47" borderId="0" xfId="10" applyNumberFormat="1" applyFont="1" applyFill="1" applyBorder="1"/>
    <xf numFmtId="177" fontId="184" fillId="47" borderId="0" xfId="10" applyNumberFormat="1" applyFont="1" applyFill="1" applyBorder="1"/>
    <xf numFmtId="177" fontId="56" fillId="47" borderId="0" xfId="10" applyNumberFormat="1" applyFont="1" applyFill="1" applyBorder="1"/>
    <xf numFmtId="166" fontId="184" fillId="57" borderId="0" xfId="52" applyNumberFormat="1" applyFont="1" applyFill="1" applyBorder="1"/>
    <xf numFmtId="166" fontId="184" fillId="57" borderId="0" xfId="0" applyNumberFormat="1" applyFont="1" applyFill="1" applyBorder="1"/>
    <xf numFmtId="3" fontId="56" fillId="50" borderId="0" xfId="0" applyNumberFormat="1" applyFont="1" applyFill="1" applyBorder="1"/>
    <xf numFmtId="3" fontId="56" fillId="50" borderId="0" xfId="14" applyNumberFormat="1" applyFont="1" applyFill="1" applyBorder="1"/>
    <xf numFmtId="3" fontId="56" fillId="50" borderId="22" xfId="14" applyNumberFormat="1" applyFont="1" applyFill="1" applyBorder="1"/>
    <xf numFmtId="43" fontId="213" fillId="0" borderId="0" xfId="10" applyFont="1" applyFill="1" applyBorder="1" applyAlignment="1">
      <alignment horizontal="right"/>
    </xf>
    <xf numFmtId="9" fontId="201" fillId="0" borderId="0" xfId="52" applyFont="1" applyFill="1" applyBorder="1" applyAlignment="1">
      <alignment horizontal="right"/>
    </xf>
    <xf numFmtId="37" fontId="187" fillId="0" borderId="0" xfId="0" applyNumberFormat="1" applyFont="1" applyBorder="1" applyAlignment="1">
      <alignment horizontal="right"/>
    </xf>
    <xf numFmtId="37" fontId="187" fillId="0" borderId="0" xfId="10" applyNumberFormat="1" applyFont="1" applyBorder="1" applyAlignment="1">
      <alignment horizontal="right"/>
    </xf>
    <xf numFmtId="37" fontId="187" fillId="0" borderId="0" xfId="10" applyNumberFormat="1" applyFont="1" applyFill="1" applyBorder="1" applyAlignment="1">
      <alignment horizontal="right"/>
    </xf>
    <xf numFmtId="37" fontId="188" fillId="0" borderId="0" xfId="0" applyNumberFormat="1" applyFont="1" applyBorder="1" applyAlignment="1">
      <alignment horizontal="right"/>
    </xf>
    <xf numFmtId="37" fontId="187" fillId="0" borderId="0" xfId="0" applyNumberFormat="1" applyFont="1" applyFill="1" applyBorder="1" applyAlignment="1">
      <alignment horizontal="right"/>
    </xf>
    <xf numFmtId="37" fontId="187" fillId="0" borderId="20" xfId="10" applyNumberFormat="1" applyFont="1" applyBorder="1" applyAlignment="1">
      <alignment horizontal="right"/>
    </xf>
    <xf numFmtId="178" fontId="57" fillId="0" borderId="0" xfId="10" applyNumberFormat="1" applyFont="1" applyFill="1" applyBorder="1" applyAlignment="1">
      <alignment horizontal="right"/>
    </xf>
    <xf numFmtId="178" fontId="154" fillId="0" borderId="0" xfId="10" applyNumberFormat="1" applyFont="1" applyFill="1" applyBorder="1" applyAlignment="1">
      <alignment horizontal="right"/>
    </xf>
    <xf numFmtId="43" fontId="56" fillId="0" borderId="12" xfId="10" applyFont="1" applyBorder="1" applyAlignment="1">
      <alignment horizontal="right"/>
    </xf>
    <xf numFmtId="10" fontId="154" fillId="0" borderId="0" xfId="52" applyNumberFormat="1" applyFont="1" applyFill="1" applyBorder="1" applyAlignment="1">
      <alignment horizontal="right"/>
    </xf>
    <xf numFmtId="0" fontId="0" fillId="58" borderId="0" xfId="0" applyFill="1" applyBorder="1"/>
    <xf numFmtId="165" fontId="198" fillId="50" borderId="0" xfId="42" applyNumberFormat="1" applyFont="1" applyFill="1" applyBorder="1" applyAlignment="1">
      <alignment horizontal="right"/>
    </xf>
    <xf numFmtId="37" fontId="56" fillId="0" borderId="58" xfId="0" applyNumberFormat="1" applyFont="1" applyBorder="1" applyAlignment="1">
      <alignment horizontal="right"/>
    </xf>
    <xf numFmtId="37" fontId="56" fillId="0" borderId="61" xfId="0" applyNumberFormat="1" applyFont="1" applyBorder="1" applyAlignment="1">
      <alignment horizontal="right"/>
    </xf>
    <xf numFmtId="37" fontId="56" fillId="0" borderId="58" xfId="0" applyNumberFormat="1" applyFont="1" applyFill="1" applyBorder="1" applyAlignment="1">
      <alignment horizontal="right"/>
    </xf>
    <xf numFmtId="37" fontId="187" fillId="0" borderId="61" xfId="0" applyNumberFormat="1" applyFont="1" applyFill="1" applyBorder="1" applyAlignment="1">
      <alignment horizontal="right"/>
    </xf>
    <xf numFmtId="37" fontId="213" fillId="0" borderId="0" xfId="0" applyNumberFormat="1" applyFont="1" applyFill="1" applyBorder="1" applyAlignment="1">
      <alignment horizontal="right"/>
    </xf>
    <xf numFmtId="37" fontId="56" fillId="0" borderId="58" xfId="10" applyNumberFormat="1" applyFont="1" applyBorder="1" applyAlignment="1">
      <alignment horizontal="right"/>
    </xf>
    <xf numFmtId="37" fontId="56" fillId="0" borderId="0" xfId="10" applyNumberFormat="1" applyFont="1" applyBorder="1" applyAlignment="1">
      <alignment horizontal="right"/>
    </xf>
    <xf numFmtId="37" fontId="187" fillId="0" borderId="61" xfId="0" applyNumberFormat="1" applyFont="1" applyBorder="1" applyAlignment="1">
      <alignment horizontal="right"/>
    </xf>
    <xf numFmtId="37" fontId="187" fillId="0" borderId="61" xfId="10" applyNumberFormat="1" applyFont="1" applyFill="1" applyBorder="1" applyAlignment="1">
      <alignment horizontal="right"/>
    </xf>
    <xf numFmtId="37" fontId="187" fillId="0" borderId="61" xfId="10" applyNumberFormat="1" applyFont="1" applyBorder="1" applyAlignment="1">
      <alignment horizontal="right"/>
    </xf>
    <xf numFmtId="178" fontId="56" fillId="0" borderId="58" xfId="10" applyNumberFormat="1" applyFont="1" applyBorder="1" applyAlignment="1">
      <alignment horizontal="right"/>
    </xf>
    <xf numFmtId="178" fontId="56" fillId="0" borderId="61" xfId="10" applyNumberFormat="1" applyFont="1" applyBorder="1" applyAlignment="1">
      <alignment horizontal="right"/>
    </xf>
    <xf numFmtId="178" fontId="187" fillId="0" borderId="61" xfId="10" applyNumberFormat="1" applyFont="1" applyBorder="1" applyAlignment="1">
      <alignment horizontal="right"/>
    </xf>
    <xf numFmtId="178" fontId="56" fillId="0" borderId="0" xfId="10" applyNumberFormat="1" applyFont="1" applyFill="1" applyBorder="1" applyAlignment="1">
      <alignment horizontal="right"/>
    </xf>
    <xf numFmtId="178" fontId="56" fillId="0" borderId="58" xfId="0" applyNumberFormat="1" applyFont="1" applyBorder="1" applyAlignment="1">
      <alignment horizontal="right"/>
    </xf>
    <xf numFmtId="178" fontId="56" fillId="0" borderId="0" xfId="0" applyNumberFormat="1" applyFont="1" applyBorder="1" applyAlignment="1">
      <alignment horizontal="right"/>
    </xf>
    <xf numFmtId="178" fontId="56" fillId="0" borderId="61" xfId="0" applyNumberFormat="1" applyFont="1" applyBorder="1" applyAlignment="1">
      <alignment horizontal="right"/>
    </xf>
    <xf numFmtId="178" fontId="56" fillId="0" borderId="62" xfId="0" applyNumberFormat="1" applyFont="1" applyBorder="1" applyAlignment="1">
      <alignment horizontal="right"/>
    </xf>
    <xf numFmtId="178" fontId="56" fillId="0" borderId="0" xfId="0" applyNumberFormat="1" applyFont="1" applyFill="1" applyBorder="1" applyAlignment="1">
      <alignment horizontal="right"/>
    </xf>
    <xf numFmtId="178" fontId="187" fillId="0" borderId="0" xfId="0" applyNumberFormat="1" applyFont="1" applyBorder="1" applyAlignment="1">
      <alignment horizontal="right"/>
    </xf>
    <xf numFmtId="178" fontId="56" fillId="0" borderId="61" xfId="0" applyNumberFormat="1" applyFont="1" applyFill="1" applyBorder="1" applyAlignment="1">
      <alignment horizontal="right"/>
    </xf>
    <xf numFmtId="37" fontId="56" fillId="0" borderId="0" xfId="0" applyNumberFormat="1" applyFont="1" applyFill="1"/>
    <xf numFmtId="37" fontId="56" fillId="0" borderId="61" xfId="0" applyNumberFormat="1" applyFont="1" applyFill="1" applyBorder="1" applyAlignment="1">
      <alignment horizontal="right"/>
    </xf>
    <xf numFmtId="37" fontId="56" fillId="0" borderId="12" xfId="0" applyNumberFormat="1" applyFont="1" applyBorder="1" applyAlignment="1">
      <alignment horizontal="right"/>
    </xf>
    <xf numFmtId="37" fontId="56" fillId="0" borderId="12" xfId="10" applyNumberFormat="1" applyFont="1" applyBorder="1" applyAlignment="1">
      <alignment horizontal="right"/>
    </xf>
    <xf numFmtId="37" fontId="188" fillId="0" borderId="60" xfId="0" applyNumberFormat="1" applyFont="1" applyBorder="1" applyAlignment="1">
      <alignment horizontal="right"/>
    </xf>
    <xf numFmtId="37" fontId="188" fillId="0" borderId="12" xfId="0" applyNumberFormat="1" applyFont="1" applyBorder="1" applyAlignment="1">
      <alignment horizontal="right"/>
    </xf>
    <xf numFmtId="37" fontId="56" fillId="0" borderId="0" xfId="10" applyNumberFormat="1" applyFont="1" applyFill="1" applyBorder="1" applyAlignment="1">
      <alignment horizontal="right"/>
    </xf>
    <xf numFmtId="37" fontId="56" fillId="0" borderId="12" xfId="10" applyNumberFormat="1" applyFont="1" applyFill="1" applyBorder="1" applyAlignment="1">
      <alignment horizontal="right"/>
    </xf>
    <xf numFmtId="178" fontId="189" fillId="0" borderId="12" xfId="10" applyNumberFormat="1" applyFont="1" applyFill="1" applyBorder="1" applyAlignment="1">
      <alignment horizontal="right"/>
    </xf>
    <xf numFmtId="178" fontId="56" fillId="0" borderId="12" xfId="10" applyNumberFormat="1" applyFont="1" applyFill="1" applyBorder="1" applyAlignment="1">
      <alignment horizontal="right"/>
    </xf>
    <xf numFmtId="178" fontId="187" fillId="0" borderId="0" xfId="0" applyNumberFormat="1" applyFont="1" applyFill="1" applyBorder="1" applyAlignment="1">
      <alignment horizontal="right"/>
    </xf>
    <xf numFmtId="178" fontId="56" fillId="0" borderId="12" xfId="0" applyNumberFormat="1" applyFont="1" applyFill="1" applyBorder="1" applyAlignment="1">
      <alignment horizontal="right"/>
    </xf>
    <xf numFmtId="178" fontId="187" fillId="48" borderId="0" xfId="0" applyNumberFormat="1" applyFont="1" applyFill="1" applyBorder="1" applyAlignment="1">
      <alignment horizontal="right"/>
    </xf>
    <xf numFmtId="178" fontId="213" fillId="0" borderId="0" xfId="0" applyNumberFormat="1" applyFont="1" applyFill="1" applyBorder="1" applyAlignment="1">
      <alignment horizontal="right"/>
    </xf>
    <xf numFmtId="178" fontId="213" fillId="0" borderId="12" xfId="0" applyNumberFormat="1" applyFont="1" applyFill="1" applyBorder="1" applyAlignment="1">
      <alignment horizontal="right"/>
    </xf>
    <xf numFmtId="178" fontId="189" fillId="0" borderId="12" xfId="10" applyNumberFormat="1" applyFont="1" applyBorder="1" applyAlignment="1">
      <alignment horizontal="right"/>
    </xf>
    <xf numFmtId="178" fontId="56" fillId="0" borderId="12" xfId="10" applyNumberFormat="1" applyFont="1" applyBorder="1" applyAlignment="1">
      <alignment horizontal="right"/>
    </xf>
    <xf numFmtId="178" fontId="56" fillId="0" borderId="12" xfId="0" applyNumberFormat="1" applyFont="1" applyBorder="1" applyAlignment="1">
      <alignment horizontal="right"/>
    </xf>
    <xf numFmtId="178" fontId="56" fillId="0" borderId="14" xfId="0" applyNumberFormat="1" applyFont="1" applyBorder="1" applyAlignment="1">
      <alignment horizontal="right"/>
    </xf>
    <xf numFmtId="178" fontId="186" fillId="0" borderId="0" xfId="0" applyNumberFormat="1" applyFont="1" applyBorder="1" applyAlignment="1">
      <alignment horizontal="right"/>
    </xf>
    <xf numFmtId="178" fontId="213" fillId="0" borderId="14" xfId="0" applyNumberFormat="1" applyFont="1" applyFill="1" applyBorder="1" applyAlignment="1">
      <alignment horizontal="right"/>
    </xf>
    <xf numFmtId="37" fontId="56" fillId="0" borderId="14" xfId="39" applyNumberFormat="1" applyFont="1" applyFill="1" applyBorder="1" applyAlignment="1">
      <alignment horizontal="right"/>
    </xf>
    <xf numFmtId="37" fontId="56" fillId="0" borderId="56" xfId="39" applyNumberFormat="1" applyFont="1" applyFill="1" applyBorder="1" applyAlignment="1">
      <alignment horizontal="right"/>
    </xf>
    <xf numFmtId="166" fontId="186" fillId="0" borderId="0" xfId="52" applyNumberFormat="1" applyFont="1" applyBorder="1" applyAlignment="1">
      <alignment horizontal="right"/>
    </xf>
    <xf numFmtId="166" fontId="186" fillId="0" borderId="0" xfId="52" applyNumberFormat="1" applyFont="1" applyFill="1" applyBorder="1" applyAlignment="1">
      <alignment horizontal="right"/>
    </xf>
    <xf numFmtId="166" fontId="186" fillId="0" borderId="0" xfId="52" applyNumberFormat="1" applyFont="1" applyFill="1" applyBorder="1"/>
    <xf numFmtId="166" fontId="209" fillId="0" borderId="0" xfId="52" applyNumberFormat="1" applyFont="1" applyBorder="1" applyAlignment="1">
      <alignment horizontal="right"/>
    </xf>
    <xf numFmtId="43" fontId="213" fillId="0" borderId="0" xfId="10" applyFont="1" applyBorder="1" applyAlignment="1">
      <alignment horizontal="right"/>
    </xf>
    <xf numFmtId="0" fontId="56" fillId="51" borderId="0" xfId="0" applyFont="1" applyFill="1" applyBorder="1" applyAlignment="1">
      <alignment horizontal="center"/>
    </xf>
    <xf numFmtId="9" fontId="188" fillId="51" borderId="0" xfId="52" applyFont="1" applyFill="1" applyAlignment="1">
      <alignment horizontal="center"/>
    </xf>
    <xf numFmtId="0" fontId="0" fillId="51" borderId="0" xfId="0" applyFill="1" applyAlignment="1">
      <alignment horizontal="center"/>
    </xf>
    <xf numFmtId="0" fontId="56" fillId="51" borderId="0" xfId="0" applyFont="1" applyFill="1" applyAlignment="1">
      <alignment horizontal="center"/>
    </xf>
    <xf numFmtId="0" fontId="184" fillId="51" borderId="0" xfId="0" applyFont="1" applyFill="1" applyBorder="1" applyAlignment="1">
      <alignment horizontal="center"/>
    </xf>
    <xf numFmtId="9" fontId="56" fillId="51" borderId="0" xfId="52" applyFont="1" applyFill="1" applyBorder="1" applyAlignment="1">
      <alignment horizontal="center"/>
    </xf>
    <xf numFmtId="0" fontId="188" fillId="51" borderId="0" xfId="0" applyFont="1" applyFill="1" applyAlignment="1">
      <alignment horizontal="center"/>
    </xf>
    <xf numFmtId="166" fontId="188" fillId="51" borderId="0" xfId="0" applyNumberFormat="1" applyFont="1" applyFill="1" applyBorder="1" applyAlignment="1">
      <alignment horizontal="center"/>
    </xf>
    <xf numFmtId="0" fontId="21" fillId="51" borderId="0" xfId="0" applyFont="1" applyFill="1" applyAlignment="1">
      <alignment horizontal="center"/>
    </xf>
    <xf numFmtId="166" fontId="188" fillId="51" borderId="0" xfId="0" applyNumberFormat="1" applyFont="1" applyFill="1" applyAlignment="1">
      <alignment horizontal="center"/>
    </xf>
    <xf numFmtId="0" fontId="188" fillId="51" borderId="0" xfId="0" applyFont="1" applyFill="1" applyBorder="1" applyAlignment="1">
      <alignment horizontal="center"/>
    </xf>
    <xf numFmtId="166" fontId="0" fillId="51" borderId="0" xfId="0" applyNumberFormat="1" applyFill="1" applyAlignment="1">
      <alignment horizontal="center"/>
    </xf>
    <xf numFmtId="0" fontId="225" fillId="51" borderId="0" xfId="0" applyFont="1" applyFill="1" applyAlignment="1">
      <alignment horizontal="center"/>
    </xf>
    <xf numFmtId="10" fontId="56" fillId="0" borderId="0" xfId="52" applyNumberFormat="1" applyFont="1" applyFill="1" applyBorder="1" applyAlignment="1">
      <alignment horizontal="right"/>
    </xf>
    <xf numFmtId="178" fontId="187" fillId="0" borderId="61" xfId="0" applyNumberFormat="1" applyFont="1" applyFill="1" applyBorder="1" applyAlignment="1">
      <alignment horizontal="right"/>
    </xf>
    <xf numFmtId="37" fontId="56" fillId="50" borderId="0" xfId="14" applyNumberFormat="1" applyFont="1" applyFill="1" applyBorder="1"/>
    <xf numFmtId="166" fontId="184" fillId="57" borderId="61" xfId="0" applyNumberFormat="1" applyFont="1" applyFill="1" applyBorder="1"/>
    <xf numFmtId="165" fontId="56" fillId="0" borderId="60" xfId="46" applyNumberFormat="1" applyFont="1" applyFill="1" applyBorder="1" applyAlignment="1">
      <alignment horizontal="right"/>
    </xf>
    <xf numFmtId="165" fontId="56" fillId="0" borderId="60" xfId="0" applyNumberFormat="1" applyFont="1" applyFill="1" applyBorder="1" applyAlignment="1">
      <alignment horizontal="right"/>
    </xf>
    <xf numFmtId="10" fontId="186" fillId="0" borderId="0" xfId="52" applyNumberFormat="1" applyFont="1" applyFill="1" applyBorder="1" applyAlignment="1">
      <alignment horizontal="right"/>
    </xf>
    <xf numFmtId="178" fontId="189" fillId="0" borderId="0" xfId="10" applyNumberFormat="1" applyFont="1" applyBorder="1" applyAlignment="1">
      <alignment horizontal="right"/>
    </xf>
    <xf numFmtId="165" fontId="56" fillId="0" borderId="60" xfId="46" applyNumberFormat="1" applyFont="1" applyBorder="1" applyAlignment="1">
      <alignment horizontal="right"/>
    </xf>
    <xf numFmtId="43" fontId="56" fillId="0" borderId="14" xfId="0" applyNumberFormat="1" applyFont="1" applyBorder="1" applyAlignment="1">
      <alignment horizontal="right"/>
    </xf>
    <xf numFmtId="166" fontId="184" fillId="0" borderId="68" xfId="52" applyNumberFormat="1" applyFont="1" applyFill="1" applyBorder="1" applyAlignment="1">
      <alignment horizontal="right"/>
    </xf>
    <xf numFmtId="166" fontId="56" fillId="0" borderId="68" xfId="52" applyNumberFormat="1" applyFont="1" applyFill="1" applyBorder="1" applyAlignment="1">
      <alignment horizontal="right"/>
    </xf>
    <xf numFmtId="0" fontId="17" fillId="51" borderId="0" xfId="0" applyFont="1" applyFill="1" applyAlignment="1">
      <alignment horizontal="center"/>
    </xf>
    <xf numFmtId="166" fontId="184" fillId="0" borderId="68" xfId="52" applyNumberFormat="1" applyFont="1" applyBorder="1" applyAlignment="1">
      <alignment horizontal="right"/>
    </xf>
    <xf numFmtId="0" fontId="56" fillId="0" borderId="70" xfId="0" applyFont="1" applyBorder="1" applyAlignment="1">
      <alignment horizontal="right"/>
    </xf>
    <xf numFmtId="166" fontId="56" fillId="0" borderId="68" xfId="52" applyNumberFormat="1" applyFont="1" applyBorder="1" applyAlignment="1">
      <alignment horizontal="right"/>
    </xf>
    <xf numFmtId="0" fontId="56" fillId="0" borderId="0" xfId="52" applyNumberFormat="1" applyFont="1" applyBorder="1" applyAlignment="1">
      <alignment horizontal="right"/>
    </xf>
    <xf numFmtId="9" fontId="201" fillId="0" borderId="0" xfId="52" applyFont="1" applyFill="1"/>
    <xf numFmtId="9" fontId="229" fillId="0" borderId="0" xfId="52" applyFont="1" applyFill="1" applyBorder="1" applyAlignment="1">
      <alignment horizontal="right"/>
    </xf>
    <xf numFmtId="0" fontId="56" fillId="0" borderId="68" xfId="0" applyFont="1" applyFill="1" applyBorder="1" applyAlignment="1">
      <alignment horizontal="right"/>
    </xf>
    <xf numFmtId="0" fontId="186" fillId="0" borderId="0" xfId="0" applyFont="1" applyFill="1" applyBorder="1"/>
    <xf numFmtId="165" fontId="56" fillId="0" borderId="74" xfId="39" applyNumberFormat="1" applyFont="1" applyFill="1" applyBorder="1" applyAlignment="1">
      <alignment horizontal="right"/>
    </xf>
    <xf numFmtId="165" fontId="188" fillId="0" borderId="75" xfId="0" applyNumberFormat="1" applyFont="1" applyFill="1" applyBorder="1" applyAlignment="1">
      <alignment horizontal="right"/>
    </xf>
    <xf numFmtId="171" fontId="56" fillId="0" borderId="74" xfId="0" applyNumberFormat="1" applyFont="1" applyFill="1" applyBorder="1" applyAlignment="1">
      <alignment horizontal="right"/>
    </xf>
    <xf numFmtId="165" fontId="56" fillId="61" borderId="0" xfId="0" applyNumberFormat="1" applyFont="1" applyFill="1"/>
    <xf numFmtId="0" fontId="186" fillId="61" borderId="0" xfId="0" applyFont="1" applyFill="1" applyBorder="1" applyAlignment="1">
      <alignment horizontal="center"/>
    </xf>
    <xf numFmtId="9" fontId="185" fillId="61" borderId="0" xfId="52" applyFont="1" applyFill="1" applyAlignment="1">
      <alignment horizontal="center"/>
    </xf>
    <xf numFmtId="0" fontId="56" fillId="61" borderId="0" xfId="0" applyFont="1" applyFill="1"/>
    <xf numFmtId="166" fontId="201" fillId="61" borderId="0" xfId="52" applyNumberFormat="1" applyFont="1" applyFill="1" applyAlignment="1">
      <alignment horizontal="center"/>
    </xf>
    <xf numFmtId="165" fontId="184" fillId="61" borderId="0" xfId="0" applyNumberFormat="1" applyFont="1" applyFill="1"/>
    <xf numFmtId="9" fontId="154" fillId="0" borderId="0" xfId="52" applyFont="1" applyFill="1" applyBorder="1" applyAlignment="1">
      <alignment horizontal="right"/>
    </xf>
    <xf numFmtId="178" fontId="213" fillId="0" borderId="0" xfId="10" applyNumberFormat="1" applyFont="1" applyBorder="1" applyAlignment="1">
      <alignment horizontal="right"/>
    </xf>
    <xf numFmtId="177" fontId="154" fillId="0" borderId="0" xfId="52" applyNumberFormat="1" applyFont="1" applyFill="1" applyBorder="1" applyAlignment="1">
      <alignment horizontal="right"/>
    </xf>
    <xf numFmtId="10" fontId="56" fillId="0" borderId="53" xfId="52" applyNumberFormat="1" applyFont="1" applyFill="1" applyBorder="1" applyAlignment="1">
      <alignment horizontal="right"/>
    </xf>
    <xf numFmtId="9" fontId="57" fillId="0" borderId="0" xfId="52" applyFont="1" applyFill="1" applyBorder="1" applyAlignment="1">
      <alignment horizontal="right"/>
    </xf>
    <xf numFmtId="9" fontId="56" fillId="61" borderId="0" xfId="52" applyFont="1" applyFill="1" applyAlignment="1">
      <alignment horizontal="center"/>
    </xf>
    <xf numFmtId="0" fontId="21" fillId="0" borderId="0" xfId="0" applyFont="1"/>
    <xf numFmtId="0" fontId="21" fillId="0" borderId="0" xfId="0" applyFont="1" applyBorder="1"/>
    <xf numFmtId="0" fontId="21" fillId="50" borderId="0" xfId="0" applyFont="1" applyFill="1" applyBorder="1"/>
    <xf numFmtId="0" fontId="17" fillId="50" borderId="0" xfId="0" applyFont="1" applyFill="1" applyBorder="1"/>
    <xf numFmtId="0" fontId="17" fillId="0" borderId="0" xfId="0" applyFont="1" applyBorder="1"/>
    <xf numFmtId="0" fontId="17" fillId="0" borderId="0" xfId="0" applyFont="1" applyFill="1" applyBorder="1"/>
    <xf numFmtId="0" fontId="17" fillId="0" borderId="0" xfId="0" applyFont="1" applyFill="1"/>
    <xf numFmtId="37" fontId="0" fillId="0" borderId="0" xfId="0" applyNumberFormat="1" applyBorder="1"/>
    <xf numFmtId="37" fontId="21" fillId="50" borderId="0" xfId="0" applyNumberFormat="1" applyFont="1" applyFill="1" applyBorder="1"/>
    <xf numFmtId="0" fontId="0" fillId="0" borderId="0" xfId="0" applyBorder="1" applyAlignment="1">
      <alignment vertical="top"/>
    </xf>
    <xf numFmtId="9" fontId="56" fillId="51" borderId="0" xfId="52" applyFont="1" applyFill="1" applyAlignment="1">
      <alignment horizontal="center"/>
    </xf>
    <xf numFmtId="0" fontId="230" fillId="0" borderId="0" xfId="0" applyFont="1" applyBorder="1"/>
    <xf numFmtId="9" fontId="230" fillId="58" borderId="0" xfId="52" applyFont="1" applyFill="1" applyBorder="1"/>
    <xf numFmtId="9" fontId="231" fillId="0" borderId="0" xfId="52" applyFont="1" applyBorder="1"/>
    <xf numFmtId="9" fontId="17" fillId="50" borderId="0" xfId="52" applyFont="1" applyFill="1" applyBorder="1"/>
    <xf numFmtId="9" fontId="235" fillId="0" borderId="0" xfId="52" applyFont="1" applyFill="1" applyBorder="1"/>
    <xf numFmtId="166" fontId="184" fillId="0" borderId="0" xfId="42" applyNumberFormat="1" applyFont="1" applyFill="1" applyBorder="1"/>
    <xf numFmtId="177" fontId="184" fillId="0" borderId="0" xfId="10" applyNumberFormat="1" applyFont="1" applyFill="1" applyBorder="1"/>
    <xf numFmtId="37" fontId="233" fillId="0" borderId="0" xfId="0" applyNumberFormat="1" applyFont="1" applyBorder="1"/>
    <xf numFmtId="37" fontId="21" fillId="50" borderId="0" xfId="0" applyNumberFormat="1" applyFont="1" applyFill="1" applyBorder="1" applyAlignment="1">
      <alignment horizontal="right"/>
    </xf>
    <xf numFmtId="37" fontId="0" fillId="0" borderId="0" xfId="0" applyNumberFormat="1" applyBorder="1" applyAlignment="1">
      <alignment horizontal="right"/>
    </xf>
    <xf numFmtId="9" fontId="17" fillId="50" borderId="0" xfId="52" applyFont="1" applyFill="1" applyBorder="1" applyAlignment="1">
      <alignment horizontal="right"/>
    </xf>
    <xf numFmtId="37" fontId="233" fillId="0" borderId="0" xfId="0" applyNumberFormat="1" applyFont="1" applyFill="1" applyBorder="1"/>
    <xf numFmtId="9" fontId="225" fillId="50" borderId="0" xfId="52" applyFont="1" applyFill="1" applyBorder="1"/>
    <xf numFmtId="9" fontId="225" fillId="50" borderId="0" xfId="52" applyFont="1" applyFill="1" applyBorder="1" applyAlignment="1">
      <alignment horizontal="right"/>
    </xf>
    <xf numFmtId="9" fontId="225" fillId="0" borderId="0" xfId="52" applyFont="1" applyBorder="1"/>
    <xf numFmtId="9" fontId="225" fillId="0" borderId="0" xfId="52" applyFont="1" applyBorder="1" applyAlignment="1">
      <alignment horizontal="right"/>
    </xf>
    <xf numFmtId="9" fontId="226" fillId="50" borderId="0" xfId="52" applyFont="1" applyFill="1" applyBorder="1"/>
    <xf numFmtId="0" fontId="17" fillId="58" borderId="0" xfId="0" applyFont="1" applyFill="1" applyBorder="1"/>
    <xf numFmtId="0" fontId="21" fillId="0" borderId="0" xfId="0" applyFont="1" applyFill="1" applyBorder="1"/>
    <xf numFmtId="9" fontId="226" fillId="0" borderId="0" xfId="52" applyFont="1" applyFill="1" applyBorder="1"/>
    <xf numFmtId="9" fontId="225" fillId="0" borderId="0" xfId="52" applyFont="1" applyFill="1" applyBorder="1"/>
    <xf numFmtId="9" fontId="17" fillId="58" borderId="0" xfId="52" applyFont="1" applyFill="1" applyBorder="1"/>
    <xf numFmtId="9" fontId="17" fillId="0" borderId="0" xfId="52" applyFont="1" applyBorder="1" applyAlignment="1">
      <alignment horizontal="right"/>
    </xf>
    <xf numFmtId="9" fontId="17" fillId="0" borderId="0" xfId="52" applyFont="1" applyBorder="1"/>
    <xf numFmtId="9" fontId="17" fillId="0" borderId="0" xfId="52" applyFont="1" applyFill="1" applyBorder="1" applyAlignment="1">
      <alignment horizontal="right"/>
    </xf>
    <xf numFmtId="9" fontId="17" fillId="0" borderId="0" xfId="52" applyFont="1" applyFill="1" applyBorder="1"/>
    <xf numFmtId="9" fontId="21" fillId="0" borderId="0" xfId="52" applyFont="1" applyFill="1" applyBorder="1" applyAlignment="1">
      <alignment horizontal="right"/>
    </xf>
    <xf numFmtId="9" fontId="21" fillId="0" borderId="0" xfId="52" applyFont="1" applyFill="1" applyBorder="1"/>
    <xf numFmtId="9" fontId="17" fillId="0" borderId="0" xfId="52" applyFont="1" applyFill="1" applyBorder="1" applyAlignment="1">
      <alignment horizontal="right" vertical="top"/>
    </xf>
    <xf numFmtId="9" fontId="17" fillId="0" borderId="0" xfId="52" applyFont="1" applyFill="1" applyBorder="1" applyAlignment="1">
      <alignment vertical="top"/>
    </xf>
    <xf numFmtId="9" fontId="226" fillId="0" borderId="0" xfId="52" applyFont="1" applyBorder="1"/>
    <xf numFmtId="9" fontId="21" fillId="50" borderId="0" xfId="52" applyFont="1" applyFill="1" applyBorder="1" applyAlignment="1">
      <alignment horizontal="right"/>
    </xf>
    <xf numFmtId="9" fontId="21" fillId="50" borderId="0" xfId="52" applyFont="1" applyFill="1" applyBorder="1"/>
    <xf numFmtId="37" fontId="0" fillId="0" borderId="0" xfId="0" applyNumberFormat="1" applyFill="1" applyBorder="1"/>
    <xf numFmtId="0" fontId="17" fillId="60" borderId="0" xfId="0" applyFont="1" applyFill="1" applyBorder="1"/>
    <xf numFmtId="9" fontId="17" fillId="60" borderId="0" xfId="52" applyFont="1" applyFill="1" applyBorder="1"/>
    <xf numFmtId="37" fontId="21" fillId="0" borderId="0" xfId="0" applyNumberFormat="1" applyFont="1" applyFill="1" applyBorder="1"/>
    <xf numFmtId="171" fontId="21" fillId="50" borderId="0" xfId="0" applyNumberFormat="1" applyFont="1" applyFill="1" applyBorder="1"/>
    <xf numFmtId="171" fontId="21" fillId="50" borderId="0" xfId="0" applyNumberFormat="1" applyFont="1" applyFill="1" applyBorder="1" applyAlignment="1">
      <alignment horizontal="right"/>
    </xf>
    <xf numFmtId="171" fontId="21" fillId="0" borderId="0" xfId="0" applyNumberFormat="1" applyFont="1" applyFill="1"/>
    <xf numFmtId="171" fontId="56" fillId="51" borderId="0" xfId="52" applyNumberFormat="1" applyFont="1" applyFill="1" applyAlignment="1">
      <alignment horizontal="center"/>
    </xf>
    <xf numFmtId="4" fontId="190" fillId="0" borderId="0" xfId="69" applyNumberFormat="1" applyFont="1" applyFill="1" applyBorder="1" applyAlignment="1"/>
    <xf numFmtId="4" fontId="190" fillId="0" borderId="0" xfId="69" applyNumberFormat="1" applyFont="1" applyFill="1" applyBorder="1" applyAlignment="1">
      <alignment horizontal="right"/>
    </xf>
    <xf numFmtId="4" fontId="189" fillId="0" borderId="0" xfId="69" applyNumberFormat="1" applyFont="1" applyFill="1" applyBorder="1" applyAlignment="1"/>
    <xf numFmtId="0" fontId="29" fillId="56" borderId="0" xfId="654">
      <alignment horizontal="right"/>
    </xf>
    <xf numFmtId="0" fontId="29" fillId="56" borderId="0" xfId="656">
      <alignment horizontal="left"/>
    </xf>
    <xf numFmtId="0" fontId="155" fillId="56" borderId="0" xfId="658">
      <alignment horizontal="left"/>
    </xf>
    <xf numFmtId="165" fontId="190" fillId="0" borderId="0" xfId="0" applyNumberFormat="1" applyFont="1" applyFill="1" applyBorder="1" applyAlignment="1">
      <alignment horizontal="right"/>
    </xf>
    <xf numFmtId="37" fontId="190" fillId="0" borderId="0" xfId="0" applyNumberFormat="1" applyFont="1" applyFill="1" applyBorder="1" applyAlignment="1">
      <alignment horizontal="right"/>
    </xf>
    <xf numFmtId="37" fontId="190" fillId="0" borderId="0" xfId="0" applyNumberFormat="1" applyFont="1" applyBorder="1" applyAlignment="1">
      <alignment horizontal="right"/>
    </xf>
    <xf numFmtId="37" fontId="190" fillId="0" borderId="0" xfId="10" applyNumberFormat="1" applyFont="1" applyFill="1" applyBorder="1" applyAlignment="1">
      <alignment horizontal="right"/>
    </xf>
    <xf numFmtId="43" fontId="190" fillId="0" borderId="0" xfId="10" applyFont="1" applyBorder="1" applyAlignment="1">
      <alignment horizontal="right"/>
    </xf>
    <xf numFmtId="178" fontId="190" fillId="0" borderId="0" xfId="10" applyNumberFormat="1" applyFont="1" applyBorder="1" applyAlignment="1">
      <alignment horizontal="right"/>
    </xf>
    <xf numFmtId="37" fontId="190" fillId="0" borderId="0" xfId="10" applyNumberFormat="1" applyFont="1" applyBorder="1" applyAlignment="1">
      <alignment horizontal="right"/>
    </xf>
    <xf numFmtId="178" fontId="190" fillId="0" borderId="0" xfId="10" applyNumberFormat="1" applyFont="1" applyFill="1" applyBorder="1" applyAlignment="1">
      <alignment horizontal="right"/>
    </xf>
    <xf numFmtId="178" fontId="190" fillId="0" borderId="0" xfId="0" applyNumberFormat="1" applyFont="1" applyFill="1" applyBorder="1" applyAlignment="1">
      <alignment horizontal="right"/>
    </xf>
    <xf numFmtId="178" fontId="190" fillId="0" borderId="0" xfId="0" applyNumberFormat="1" applyFont="1" applyBorder="1" applyAlignment="1">
      <alignment horizontal="right"/>
    </xf>
    <xf numFmtId="9" fontId="226" fillId="0" borderId="0" xfId="52" applyFont="1" applyFill="1" applyBorder="1" applyAlignment="1">
      <alignment horizontal="right"/>
    </xf>
    <xf numFmtId="9" fontId="225" fillId="0" borderId="0" xfId="52" applyFont="1" applyFill="1" applyBorder="1" applyAlignment="1">
      <alignment horizontal="right"/>
    </xf>
    <xf numFmtId="166" fontId="184" fillId="57" borderId="0" xfId="42" applyNumberFormat="1" applyFont="1" applyFill="1" applyBorder="1"/>
    <xf numFmtId="165" fontId="189" fillId="0" borderId="0" xfId="46" applyNumberFormat="1" applyFont="1" applyFill="1" applyBorder="1" applyAlignment="1">
      <alignment horizontal="right"/>
    </xf>
    <xf numFmtId="0" fontId="56" fillId="0" borderId="78" xfId="0" applyFont="1" applyBorder="1" applyAlignment="1">
      <alignment horizontal="right"/>
    </xf>
    <xf numFmtId="165" fontId="56" fillId="0" borderId="85" xfId="39" applyNumberFormat="1" applyFont="1" applyFill="1" applyBorder="1"/>
    <xf numFmtId="165" fontId="56" fillId="0" borderId="14" xfId="39" applyNumberFormat="1" applyFont="1" applyFill="1" applyBorder="1" applyAlignment="1">
      <alignment horizontal="right"/>
    </xf>
    <xf numFmtId="37" fontId="56" fillId="0" borderId="86" xfId="39" applyNumberFormat="1" applyFont="1" applyFill="1" applyBorder="1" applyAlignment="1">
      <alignment horizontal="right"/>
    </xf>
    <xf numFmtId="166" fontId="56" fillId="0" borderId="88" xfId="39" applyNumberFormat="1" applyFont="1" applyFill="1" applyBorder="1"/>
    <xf numFmtId="166" fontId="56" fillId="0" borderId="88" xfId="39" applyNumberFormat="1" applyFont="1" applyFill="1" applyBorder="1" applyAlignment="1">
      <alignment horizontal="right"/>
    </xf>
    <xf numFmtId="37" fontId="56" fillId="0" borderId="14" xfId="0" applyNumberFormat="1" applyFont="1" applyFill="1" applyBorder="1" applyAlignment="1">
      <alignment horizontal="right"/>
    </xf>
    <xf numFmtId="178" fontId="56" fillId="0" borderId="85" xfId="10" applyNumberFormat="1" applyFont="1" applyBorder="1" applyAlignment="1">
      <alignment horizontal="right"/>
    </xf>
    <xf numFmtId="166" fontId="56" fillId="0" borderId="88" xfId="52" applyNumberFormat="1" applyFont="1" applyBorder="1"/>
    <xf numFmtId="166" fontId="56" fillId="0" borderId="88" xfId="52" applyNumberFormat="1" applyFont="1" applyBorder="1" applyAlignment="1">
      <alignment horizontal="right"/>
    </xf>
    <xf numFmtId="165" fontId="185" fillId="0" borderId="0" xfId="46" applyNumberFormat="1" applyFont="1" applyFill="1" applyBorder="1"/>
    <xf numFmtId="0" fontId="56" fillId="0" borderId="78" xfId="0" applyFont="1" applyBorder="1"/>
    <xf numFmtId="9" fontId="56" fillId="0" borderId="78" xfId="52" applyFont="1" applyBorder="1" applyAlignment="1">
      <alignment horizontal="right"/>
    </xf>
    <xf numFmtId="171" fontId="56" fillId="0" borderId="78" xfId="52" applyNumberFormat="1" applyFont="1" applyBorder="1" applyAlignment="1">
      <alignment horizontal="right"/>
    </xf>
    <xf numFmtId="171" fontId="56" fillId="0" borderId="88" xfId="52" applyNumberFormat="1" applyFont="1" applyBorder="1" applyAlignment="1">
      <alignment horizontal="right"/>
    </xf>
    <xf numFmtId="171" fontId="56" fillId="0" borderId="89" xfId="52" applyNumberFormat="1" applyFont="1" applyBorder="1" applyAlignment="1">
      <alignment horizontal="right"/>
    </xf>
    <xf numFmtId="171" fontId="56" fillId="0" borderId="90" xfId="52" applyNumberFormat="1" applyFont="1" applyBorder="1" applyAlignment="1">
      <alignment horizontal="right"/>
    </xf>
    <xf numFmtId="37" fontId="56" fillId="0" borderId="14" xfId="0" applyNumberFormat="1" applyFont="1" applyBorder="1" applyAlignment="1">
      <alignment horizontal="right"/>
    </xf>
    <xf numFmtId="37" fontId="188" fillId="0" borderId="14" xfId="0" applyNumberFormat="1" applyFont="1" applyBorder="1" applyAlignment="1">
      <alignment horizontal="right"/>
    </xf>
    <xf numFmtId="165" fontId="56" fillId="0" borderId="78" xfId="46" applyNumberFormat="1" applyFont="1" applyBorder="1"/>
    <xf numFmtId="165" fontId="56" fillId="0" borderId="78" xfId="0" applyNumberFormat="1" applyFont="1" applyBorder="1"/>
    <xf numFmtId="165" fontId="56" fillId="0" borderId="81" xfId="0" applyNumberFormat="1" applyFont="1" applyBorder="1"/>
    <xf numFmtId="165" fontId="56" fillId="0" borderId="88" xfId="0" applyNumberFormat="1" applyFont="1" applyBorder="1"/>
    <xf numFmtId="43" fontId="56" fillId="0" borderId="78" xfId="10" applyFont="1" applyBorder="1"/>
    <xf numFmtId="177" fontId="56" fillId="0" borderId="88" xfId="10" applyNumberFormat="1" applyFont="1" applyBorder="1" applyAlignment="1">
      <alignment horizontal="right"/>
    </xf>
    <xf numFmtId="177" fontId="56" fillId="0" borderId="78" xfId="10" applyNumberFormat="1" applyFont="1" applyBorder="1" applyAlignment="1">
      <alignment horizontal="right"/>
    </xf>
    <xf numFmtId="177" fontId="187" fillId="0" borderId="78" xfId="10" applyNumberFormat="1" applyFont="1" applyBorder="1" applyAlignment="1">
      <alignment horizontal="right"/>
    </xf>
    <xf numFmtId="177" fontId="187" fillId="0" borderId="78" xfId="10" applyNumberFormat="1" applyFont="1" applyFill="1" applyBorder="1" applyAlignment="1">
      <alignment horizontal="right"/>
    </xf>
    <xf numFmtId="37" fontId="187" fillId="0" borderId="78" xfId="10" applyNumberFormat="1" applyFont="1" applyBorder="1" applyAlignment="1">
      <alignment horizontal="right"/>
    </xf>
    <xf numFmtId="37" fontId="187" fillId="0" borderId="78" xfId="10" applyNumberFormat="1" applyFont="1" applyFill="1" applyBorder="1" applyAlignment="1">
      <alignment horizontal="right"/>
    </xf>
    <xf numFmtId="37" fontId="187" fillId="0" borderId="89" xfId="10" applyNumberFormat="1" applyFont="1" applyBorder="1" applyAlignment="1">
      <alignment horizontal="right"/>
    </xf>
    <xf numFmtId="37" fontId="56" fillId="0" borderId="91" xfId="10" applyNumberFormat="1" applyFont="1" applyBorder="1" applyAlignment="1">
      <alignment horizontal="right"/>
    </xf>
    <xf numFmtId="37" fontId="56" fillId="0" borderId="92" xfId="39" applyNumberFormat="1" applyFont="1" applyFill="1" applyBorder="1" applyAlignment="1">
      <alignment horizontal="right"/>
    </xf>
    <xf numFmtId="166" fontId="189" fillId="0" borderId="92" xfId="52" applyNumberFormat="1" applyFont="1" applyFill="1" applyBorder="1" applyAlignment="1">
      <alignment horizontal="right"/>
    </xf>
    <xf numFmtId="166" fontId="56" fillId="0" borderId="92" xfId="52" applyNumberFormat="1" applyFont="1" applyFill="1" applyBorder="1" applyAlignment="1">
      <alignment horizontal="right"/>
    </xf>
    <xf numFmtId="37" fontId="56" fillId="0" borderId="92" xfId="0" applyNumberFormat="1" applyFont="1" applyFill="1" applyBorder="1" applyAlignment="1">
      <alignment horizontal="right"/>
    </xf>
    <xf numFmtId="178" fontId="56" fillId="0" borderId="92" xfId="10" applyNumberFormat="1" applyFont="1" applyBorder="1" applyAlignment="1">
      <alignment horizontal="right"/>
    </xf>
    <xf numFmtId="165" fontId="56" fillId="0" borderId="92" xfId="0" applyNumberFormat="1" applyFont="1" applyFill="1" applyBorder="1" applyAlignment="1">
      <alignment horizontal="right"/>
    </xf>
    <xf numFmtId="43" fontId="189" fillId="0" borderId="92" xfId="10" applyFont="1" applyFill="1" applyBorder="1" applyAlignment="1">
      <alignment horizontal="right"/>
    </xf>
    <xf numFmtId="165" fontId="56" fillId="0" borderId="92" xfId="0" applyNumberFormat="1" applyFont="1" applyBorder="1" applyAlignment="1">
      <alignment horizontal="right"/>
    </xf>
    <xf numFmtId="165" fontId="56" fillId="0" borderId="92" xfId="46" applyNumberFormat="1" applyFont="1" applyBorder="1" applyAlignment="1">
      <alignment horizontal="right"/>
    </xf>
    <xf numFmtId="165" fontId="56" fillId="0" borderId="82" xfId="0" applyNumberFormat="1" applyFont="1" applyBorder="1"/>
    <xf numFmtId="165" fontId="191" fillId="0" borderId="85" xfId="0" applyNumberFormat="1" applyFont="1" applyBorder="1"/>
    <xf numFmtId="165" fontId="56" fillId="0" borderId="85" xfId="0" applyNumberFormat="1" applyFont="1" applyBorder="1"/>
    <xf numFmtId="165" fontId="56" fillId="0" borderId="82" xfId="0" applyNumberFormat="1" applyFont="1" applyBorder="1" applyAlignment="1">
      <alignment horizontal="right"/>
    </xf>
    <xf numFmtId="165" fontId="56" fillId="0" borderId="85" xfId="0" applyNumberFormat="1" applyFont="1" applyFill="1" applyBorder="1" applyAlignment="1">
      <alignment horizontal="right"/>
    </xf>
    <xf numFmtId="165" fontId="56" fillId="0" borderId="82" xfId="0" applyNumberFormat="1" applyFont="1" applyFill="1" applyBorder="1" applyAlignment="1">
      <alignment horizontal="right"/>
    </xf>
    <xf numFmtId="165" fontId="56" fillId="0" borderId="84" xfId="0" applyNumberFormat="1" applyFont="1" applyBorder="1"/>
    <xf numFmtId="165" fontId="191" fillId="0" borderId="88" xfId="0" applyNumberFormat="1" applyFont="1" applyBorder="1"/>
    <xf numFmtId="165" fontId="191" fillId="0" borderId="78" xfId="0" applyNumberFormat="1" applyFont="1" applyBorder="1"/>
    <xf numFmtId="165" fontId="56" fillId="0" borderId="78" xfId="0" applyNumberFormat="1" applyFont="1" applyFill="1" applyBorder="1"/>
    <xf numFmtId="165" fontId="56" fillId="0" borderId="84" xfId="0" applyNumberFormat="1" applyFont="1" applyFill="1" applyBorder="1"/>
    <xf numFmtId="165" fontId="56" fillId="0" borderId="84" xfId="0" applyNumberFormat="1" applyFont="1" applyFill="1" applyBorder="1" applyAlignment="1">
      <alignment horizontal="right"/>
    </xf>
    <xf numFmtId="165" fontId="56" fillId="0" borderId="88" xfId="0" applyNumberFormat="1" applyFont="1" applyBorder="1" applyAlignment="1">
      <alignment horizontal="right"/>
    </xf>
    <xf numFmtId="165" fontId="56" fillId="0" borderId="78" xfId="0" applyNumberFormat="1" applyFont="1" applyBorder="1" applyAlignment="1">
      <alignment horizontal="right"/>
    </xf>
    <xf numFmtId="165" fontId="56" fillId="0" borderId="81" xfId="0" applyNumberFormat="1" applyFont="1" applyBorder="1" applyAlignment="1">
      <alignment horizontal="right"/>
    </xf>
    <xf numFmtId="165" fontId="56" fillId="0" borderId="78" xfId="0" applyNumberFormat="1" applyFont="1" applyFill="1" applyBorder="1" applyAlignment="1">
      <alignment horizontal="right"/>
    </xf>
    <xf numFmtId="165" fontId="56" fillId="0" borderId="88" xfId="0" applyNumberFormat="1" applyFont="1" applyFill="1" applyBorder="1" applyAlignment="1">
      <alignment horizontal="right"/>
    </xf>
    <xf numFmtId="165" fontId="56" fillId="0" borderId="59" xfId="0" applyNumberFormat="1" applyFont="1" applyFill="1" applyBorder="1" applyAlignment="1">
      <alignment horizontal="right"/>
    </xf>
    <xf numFmtId="37" fontId="56" fillId="0" borderId="59" xfId="0" applyNumberFormat="1" applyFont="1" applyFill="1" applyBorder="1" applyAlignment="1">
      <alignment horizontal="right"/>
    </xf>
    <xf numFmtId="37" fontId="56" fillId="0" borderId="78" xfId="0" applyNumberFormat="1" applyFont="1" applyFill="1" applyBorder="1" applyAlignment="1">
      <alignment horizontal="right"/>
    </xf>
    <xf numFmtId="37" fontId="56" fillId="0" borderId="78" xfId="0" applyNumberFormat="1" applyFont="1" applyBorder="1" applyAlignment="1">
      <alignment horizontal="right"/>
    </xf>
    <xf numFmtId="37" fontId="56" fillId="0" borderId="63" xfId="0" applyNumberFormat="1" applyFont="1" applyFill="1" applyBorder="1" applyAlignment="1">
      <alignment horizontal="right"/>
    </xf>
    <xf numFmtId="37" fontId="56" fillId="0" borderId="92" xfId="0" applyNumberFormat="1" applyFont="1" applyBorder="1" applyAlignment="1">
      <alignment horizontal="right"/>
    </xf>
    <xf numFmtId="43" fontId="56" fillId="0" borderId="92" xfId="10" applyFont="1" applyBorder="1" applyAlignment="1">
      <alignment horizontal="right"/>
    </xf>
    <xf numFmtId="37" fontId="56" fillId="0" borderId="92" xfId="10" applyNumberFormat="1" applyFont="1" applyBorder="1" applyAlignment="1">
      <alignment horizontal="right"/>
    </xf>
    <xf numFmtId="37" fontId="56" fillId="0" borderId="90" xfId="0" applyNumberFormat="1" applyFont="1" applyFill="1" applyBorder="1" applyAlignment="1">
      <alignment horizontal="right"/>
    </xf>
    <xf numFmtId="166" fontId="184" fillId="0" borderId="92" xfId="52" applyNumberFormat="1" applyFont="1" applyFill="1" applyBorder="1" applyAlignment="1">
      <alignment horizontal="right"/>
    </xf>
    <xf numFmtId="9" fontId="56" fillId="0" borderId="92" xfId="0" applyNumberFormat="1" applyFont="1" applyBorder="1" applyAlignment="1">
      <alignment horizontal="right"/>
    </xf>
    <xf numFmtId="178" fontId="56" fillId="0" borderId="92" xfId="0" applyNumberFormat="1" applyFont="1" applyBorder="1" applyAlignment="1">
      <alignment horizontal="right"/>
    </xf>
    <xf numFmtId="165" fontId="56" fillId="0" borderId="85" xfId="0" applyNumberFormat="1" applyFont="1" applyBorder="1" applyAlignment="1">
      <alignment horizontal="right"/>
    </xf>
    <xf numFmtId="10" fontId="56" fillId="0" borderId="85" xfId="0" applyNumberFormat="1" applyFont="1" applyBorder="1" applyAlignment="1">
      <alignment horizontal="right"/>
    </xf>
    <xf numFmtId="166" fontId="56" fillId="0" borderId="85" xfId="52" applyNumberFormat="1" applyFont="1" applyFill="1" applyBorder="1" applyAlignment="1">
      <alignment horizontal="right"/>
    </xf>
    <xf numFmtId="192" fontId="56" fillId="0" borderId="82" xfId="0" applyNumberFormat="1" applyFont="1" applyFill="1" applyBorder="1" applyAlignment="1">
      <alignment horizontal="right"/>
    </xf>
    <xf numFmtId="192" fontId="56" fillId="0" borderId="82" xfId="0" applyNumberFormat="1" applyFont="1" applyBorder="1" applyAlignment="1">
      <alignment horizontal="right"/>
    </xf>
    <xf numFmtId="165" fontId="187" fillId="0" borderId="85" xfId="0" applyNumberFormat="1" applyFont="1" applyBorder="1" applyAlignment="1">
      <alignment horizontal="right"/>
    </xf>
    <xf numFmtId="165" fontId="56" fillId="0" borderId="85" xfId="10" applyNumberFormat="1" applyFont="1" applyBorder="1"/>
    <xf numFmtId="177" fontId="56" fillId="0" borderId="82" xfId="10" applyNumberFormat="1" applyFont="1" applyBorder="1"/>
    <xf numFmtId="43" fontId="56" fillId="0" borderId="85" xfId="10" applyFont="1" applyBorder="1"/>
    <xf numFmtId="43" fontId="56" fillId="0" borderId="82" xfId="10" applyFont="1" applyBorder="1"/>
    <xf numFmtId="43" fontId="56" fillId="0" borderId="82" xfId="10" applyFont="1" applyBorder="1" applyAlignment="1">
      <alignment horizontal="right"/>
    </xf>
    <xf numFmtId="43" fontId="56" fillId="0" borderId="85" xfId="10" applyFont="1" applyBorder="1" applyAlignment="1">
      <alignment horizontal="right"/>
    </xf>
    <xf numFmtId="177" fontId="56" fillId="0" borderId="82" xfId="10" applyNumberFormat="1" applyFont="1" applyBorder="1" applyAlignment="1">
      <alignment horizontal="right"/>
    </xf>
    <xf numFmtId="43" fontId="187" fillId="0" borderId="85" xfId="10" applyFont="1" applyBorder="1" applyAlignment="1">
      <alignment horizontal="right"/>
    </xf>
    <xf numFmtId="177" fontId="56" fillId="0" borderId="82" xfId="10" applyNumberFormat="1" applyFont="1" applyFill="1" applyBorder="1" applyAlignment="1">
      <alignment horizontal="right"/>
    </xf>
    <xf numFmtId="193" fontId="56" fillId="0" borderId="82" xfId="0" applyNumberFormat="1" applyFont="1" applyBorder="1"/>
    <xf numFmtId="195" fontId="56" fillId="0" borderId="82" xfId="0" applyNumberFormat="1" applyFont="1" applyBorder="1"/>
    <xf numFmtId="195" fontId="56" fillId="0" borderId="85" xfId="0" applyNumberFormat="1" applyFont="1" applyBorder="1"/>
    <xf numFmtId="195" fontId="56" fillId="0" borderId="82" xfId="0" applyNumberFormat="1" applyFont="1" applyBorder="1" applyAlignment="1">
      <alignment horizontal="right"/>
    </xf>
    <xf numFmtId="195" fontId="56" fillId="0" borderId="85" xfId="0" applyNumberFormat="1" applyFont="1" applyBorder="1" applyAlignment="1">
      <alignment horizontal="right"/>
    </xf>
    <xf numFmtId="195" fontId="187" fillId="0" borderId="85" xfId="0" applyNumberFormat="1" applyFont="1" applyBorder="1" applyAlignment="1">
      <alignment horizontal="right"/>
    </xf>
    <xf numFmtId="177" fontId="56" fillId="0" borderId="85" xfId="10" applyNumberFormat="1" applyFont="1" applyBorder="1"/>
    <xf numFmtId="177" fontId="56" fillId="0" borderId="85" xfId="10" applyNumberFormat="1" applyFont="1" applyFill="1" applyBorder="1" applyAlignment="1">
      <alignment horizontal="right"/>
    </xf>
    <xf numFmtId="165" fontId="56" fillId="0" borderId="82" xfId="10" applyNumberFormat="1" applyFont="1" applyFill="1" applyBorder="1" applyAlignment="1">
      <alignment horizontal="right"/>
    </xf>
    <xf numFmtId="177" fontId="187" fillId="0" borderId="85" xfId="10" applyNumberFormat="1" applyFont="1" applyFill="1" applyBorder="1" applyAlignment="1">
      <alignment horizontal="right"/>
    </xf>
    <xf numFmtId="177" fontId="56" fillId="0" borderId="85" xfId="10" applyNumberFormat="1" applyFont="1" applyBorder="1" applyAlignment="1">
      <alignment horizontal="right"/>
    </xf>
    <xf numFmtId="177" fontId="187" fillId="0" borderId="85" xfId="10" applyNumberFormat="1" applyFont="1" applyBorder="1" applyAlignment="1">
      <alignment horizontal="right"/>
    </xf>
    <xf numFmtId="166" fontId="184" fillId="0" borderId="82" xfId="52" applyNumberFormat="1" applyFont="1" applyBorder="1"/>
    <xf numFmtId="166" fontId="205" fillId="0" borderId="85" xfId="52" applyNumberFormat="1" applyFont="1" applyBorder="1"/>
    <xf numFmtId="166" fontId="184" fillId="0" borderId="85" xfId="52" applyNumberFormat="1" applyFont="1" applyBorder="1"/>
    <xf numFmtId="166" fontId="184" fillId="0" borderId="82" xfId="52" applyNumberFormat="1" applyFont="1" applyBorder="1" applyAlignment="1">
      <alignment horizontal="right"/>
    </xf>
    <xf numFmtId="166" fontId="184" fillId="0" borderId="85" xfId="52" applyNumberFormat="1" applyFont="1" applyBorder="1" applyAlignment="1">
      <alignment horizontal="right"/>
    </xf>
    <xf numFmtId="9" fontId="191" fillId="0" borderId="82" xfId="0" applyNumberFormat="1" applyFont="1" applyBorder="1"/>
    <xf numFmtId="9" fontId="191" fillId="0" borderId="85" xfId="0" applyNumberFormat="1" applyFont="1" applyBorder="1"/>
    <xf numFmtId="9" fontId="191" fillId="0" borderId="82" xfId="0" applyNumberFormat="1" applyFont="1" applyBorder="1" applyAlignment="1">
      <alignment horizontal="right"/>
    </xf>
    <xf numFmtId="9" fontId="191" fillId="0" borderId="85" xfId="0" applyNumberFormat="1" applyFont="1" applyBorder="1" applyAlignment="1">
      <alignment horizontal="right"/>
    </xf>
    <xf numFmtId="9" fontId="56" fillId="0" borderId="85" xfId="0" applyNumberFormat="1" applyFont="1" applyBorder="1" applyAlignment="1">
      <alignment horizontal="right"/>
    </xf>
    <xf numFmtId="9" fontId="56" fillId="0" borderId="82" xfId="0" applyNumberFormat="1" applyFont="1" applyBorder="1" applyAlignment="1">
      <alignment horizontal="right"/>
    </xf>
    <xf numFmtId="165" fontId="56" fillId="0" borderId="85" xfId="0" applyNumberFormat="1" applyFont="1" applyFill="1" applyBorder="1"/>
    <xf numFmtId="165" fontId="56" fillId="0" borderId="82" xfId="0" applyNumberFormat="1" applyFont="1" applyFill="1" applyBorder="1"/>
    <xf numFmtId="165" fontId="187" fillId="0" borderId="85" xfId="0" applyNumberFormat="1" applyFont="1" applyFill="1" applyBorder="1" applyAlignment="1">
      <alignment horizontal="right"/>
    </xf>
    <xf numFmtId="178" fontId="187" fillId="0" borderId="85" xfId="10" applyNumberFormat="1" applyFont="1" applyBorder="1" applyAlignment="1">
      <alignment horizontal="right"/>
    </xf>
    <xf numFmtId="177" fontId="56" fillId="0" borderId="85" xfId="0" applyNumberFormat="1" applyFont="1" applyBorder="1"/>
    <xf numFmtId="178" fontId="56" fillId="0" borderId="92" xfId="0" applyNumberFormat="1" applyFont="1" applyFill="1" applyBorder="1" applyAlignment="1">
      <alignment horizontal="right"/>
    </xf>
    <xf numFmtId="178" fontId="56" fillId="0" borderId="90" xfId="10" applyNumberFormat="1" applyFont="1" applyBorder="1" applyAlignment="1">
      <alignment horizontal="right"/>
    </xf>
    <xf numFmtId="0" fontId="56" fillId="0" borderId="73" xfId="0" applyFont="1" applyBorder="1"/>
    <xf numFmtId="0" fontId="56" fillId="0" borderId="73" xfId="0" applyFont="1" applyBorder="1" applyAlignment="1">
      <alignment horizontal="right"/>
    </xf>
    <xf numFmtId="0" fontId="56" fillId="0" borderId="16" xfId="0" applyFont="1" applyBorder="1" applyAlignment="1">
      <alignment horizontal="right"/>
    </xf>
    <xf numFmtId="177" fontId="56" fillId="0" borderId="97" xfId="10" applyNumberFormat="1" applyFont="1" applyFill="1" applyBorder="1" applyAlignment="1">
      <alignment horizontal="right"/>
    </xf>
    <xf numFmtId="166" fontId="184" fillId="0" borderId="85" xfId="0" applyNumberFormat="1" applyFont="1" applyFill="1" applyBorder="1" applyAlignment="1">
      <alignment horizontal="right"/>
    </xf>
    <xf numFmtId="166" fontId="184" fillId="0" borderId="74" xfId="0" applyNumberFormat="1" applyFont="1" applyFill="1" applyBorder="1" applyAlignment="1">
      <alignment horizontal="right"/>
    </xf>
    <xf numFmtId="166" fontId="56" fillId="0" borderId="78" xfId="0" applyNumberFormat="1" applyFont="1" applyFill="1" applyBorder="1"/>
    <xf numFmtId="166" fontId="56" fillId="0" borderId="78" xfId="0" applyNumberFormat="1" applyFont="1" applyFill="1" applyBorder="1" applyAlignment="1">
      <alignment horizontal="right"/>
    </xf>
    <xf numFmtId="166" fontId="56" fillId="0" borderId="98" xfId="0" applyNumberFormat="1" applyFont="1" applyFill="1" applyBorder="1" applyAlignment="1">
      <alignment horizontal="right"/>
    </xf>
    <xf numFmtId="0" fontId="185" fillId="0" borderId="78" xfId="0" applyFont="1" applyFill="1" applyBorder="1" applyAlignment="1">
      <alignment horizontal="center"/>
    </xf>
    <xf numFmtId="0" fontId="56" fillId="0" borderId="78" xfId="0" applyFont="1" applyFill="1" applyBorder="1" applyAlignment="1">
      <alignment horizontal="center"/>
    </xf>
    <xf numFmtId="0" fontId="186" fillId="0" borderId="78" xfId="0" applyFont="1" applyFill="1" applyBorder="1" applyAlignment="1">
      <alignment horizontal="center"/>
    </xf>
    <xf numFmtId="166" fontId="184" fillId="0" borderId="82" xfId="52" applyNumberFormat="1" applyFont="1" applyFill="1" applyBorder="1" applyAlignment="1">
      <alignment horizontal="right"/>
    </xf>
    <xf numFmtId="166" fontId="184" fillId="0" borderId="85" xfId="52" applyNumberFormat="1" applyFont="1" applyFill="1" applyBorder="1" applyAlignment="1">
      <alignment horizontal="right"/>
    </xf>
    <xf numFmtId="166" fontId="56" fillId="0" borderId="85" xfId="52" applyNumberFormat="1" applyFont="1" applyBorder="1" applyAlignment="1">
      <alignment horizontal="right"/>
    </xf>
    <xf numFmtId="166" fontId="56" fillId="0" borderId="82" xfId="52" applyNumberFormat="1" applyFont="1" applyFill="1" applyBorder="1" applyAlignment="1">
      <alignment horizontal="right"/>
    </xf>
    <xf numFmtId="43" fontId="56" fillId="0" borderId="82" xfId="10" applyFont="1" applyFill="1" applyBorder="1" applyAlignment="1">
      <alignment horizontal="right"/>
    </xf>
    <xf numFmtId="165" fontId="56" fillId="0" borderId="82" xfId="46" applyNumberFormat="1" applyFont="1" applyBorder="1" applyAlignment="1">
      <alignment horizontal="right"/>
    </xf>
    <xf numFmtId="165" fontId="56" fillId="0" borderId="85" xfId="46" applyNumberFormat="1" applyFont="1" applyBorder="1" applyAlignment="1">
      <alignment horizontal="right"/>
    </xf>
    <xf numFmtId="165" fontId="56" fillId="0" borderId="82" xfId="46" applyNumberFormat="1" applyFont="1" applyFill="1" applyBorder="1" applyAlignment="1">
      <alignment horizontal="right"/>
    </xf>
    <xf numFmtId="165" fontId="56" fillId="0" borderId="85" xfId="46" applyNumberFormat="1" applyFont="1" applyFill="1" applyBorder="1" applyAlignment="1">
      <alignment horizontal="right"/>
    </xf>
    <xf numFmtId="43" fontId="56" fillId="0" borderId="85" xfId="10" applyFont="1" applyFill="1" applyBorder="1" applyAlignment="1">
      <alignment horizontal="right"/>
    </xf>
    <xf numFmtId="39" fontId="56" fillId="0" borderId="82" xfId="0" applyNumberFormat="1" applyFont="1" applyFill="1" applyBorder="1" applyAlignment="1">
      <alignment horizontal="right"/>
    </xf>
    <xf numFmtId="37" fontId="189" fillId="0" borderId="82" xfId="0" applyNumberFormat="1" applyFont="1" applyFill="1" applyBorder="1" applyAlignment="1">
      <alignment horizontal="right"/>
    </xf>
    <xf numFmtId="37" fontId="189" fillId="0" borderId="85" xfId="0" applyNumberFormat="1" applyFont="1" applyFill="1" applyBorder="1" applyAlignment="1">
      <alignment horizontal="right"/>
    </xf>
    <xf numFmtId="165" fontId="56" fillId="0" borderId="82" xfId="52" applyNumberFormat="1" applyFont="1" applyFill="1" applyBorder="1" applyAlignment="1">
      <alignment horizontal="right"/>
    </xf>
    <xf numFmtId="165" fontId="56" fillId="0" borderId="85" xfId="52" applyNumberFormat="1" applyFont="1" applyFill="1" applyBorder="1" applyAlignment="1">
      <alignment horizontal="right"/>
    </xf>
    <xf numFmtId="7" fontId="56" fillId="0" borderId="82" xfId="0" applyNumberFormat="1" applyFont="1" applyBorder="1" applyAlignment="1">
      <alignment horizontal="right"/>
    </xf>
    <xf numFmtId="7" fontId="56" fillId="0" borderId="85" xfId="0" applyNumberFormat="1" applyFont="1" applyBorder="1" applyAlignment="1">
      <alignment horizontal="right"/>
    </xf>
    <xf numFmtId="166" fontId="56" fillId="0" borderId="85" xfId="0" applyNumberFormat="1" applyFont="1" applyFill="1" applyBorder="1" applyAlignment="1">
      <alignment horizontal="right"/>
    </xf>
    <xf numFmtId="166" fontId="56" fillId="0" borderId="104" xfId="52" applyNumberFormat="1" applyFont="1" applyBorder="1" applyAlignment="1">
      <alignment horizontal="right"/>
    </xf>
    <xf numFmtId="166" fontId="189" fillId="0" borderId="68" xfId="52" applyNumberFormat="1" applyFont="1" applyBorder="1" applyAlignment="1">
      <alignment horizontal="right"/>
    </xf>
    <xf numFmtId="165" fontId="56" fillId="0" borderId="68" xfId="52" applyNumberFormat="1" applyFont="1" applyBorder="1" applyAlignment="1">
      <alignment horizontal="right"/>
    </xf>
    <xf numFmtId="165" fontId="56" fillId="0" borderId="104" xfId="52" applyNumberFormat="1" applyFont="1" applyBorder="1" applyAlignment="1">
      <alignment horizontal="right"/>
    </xf>
    <xf numFmtId="166" fontId="184" fillId="0" borderId="104" xfId="52" applyNumberFormat="1" applyFont="1" applyBorder="1" applyAlignment="1">
      <alignment horizontal="right"/>
    </xf>
    <xf numFmtId="0" fontId="184" fillId="0" borderId="68" xfId="0" applyFont="1" applyFill="1" applyBorder="1" applyAlignment="1">
      <alignment horizontal="right"/>
    </xf>
    <xf numFmtId="0" fontId="184" fillId="0" borderId="104" xfId="0" applyFont="1" applyFill="1" applyBorder="1" applyAlignment="1">
      <alignment horizontal="right"/>
    </xf>
    <xf numFmtId="0" fontId="56" fillId="0" borderId="104" xfId="0" applyFont="1" applyFill="1" applyBorder="1" applyAlignment="1">
      <alignment horizontal="right"/>
    </xf>
    <xf numFmtId="43" fontId="56" fillId="0" borderId="68" xfId="10" applyFont="1" applyBorder="1" applyAlignment="1">
      <alignment horizontal="right"/>
    </xf>
    <xf numFmtId="43" fontId="56" fillId="0" borderId="68" xfId="10" applyFont="1" applyBorder="1" applyAlignment="1">
      <alignment horizontal="right" indent="1"/>
    </xf>
    <xf numFmtId="177" fontId="56" fillId="0" borderId="68" xfId="10" applyNumberFormat="1" applyFont="1" applyBorder="1" applyAlignment="1">
      <alignment horizontal="right" indent="1"/>
    </xf>
    <xf numFmtId="168" fontId="190" fillId="0" borderId="68" xfId="0" applyNumberFormat="1" applyFont="1" applyFill="1" applyBorder="1" applyAlignment="1">
      <alignment horizontal="right"/>
    </xf>
    <xf numFmtId="166" fontId="184" fillId="0" borderId="106" xfId="52" applyNumberFormat="1" applyFont="1" applyBorder="1" applyAlignment="1">
      <alignment horizontal="right"/>
    </xf>
    <xf numFmtId="166" fontId="184" fillId="0" borderId="106" xfId="52" applyNumberFormat="1" applyFont="1" applyFill="1" applyBorder="1" applyAlignment="1">
      <alignment horizontal="right"/>
    </xf>
    <xf numFmtId="0" fontId="191" fillId="0" borderId="106" xfId="0" applyFont="1" applyBorder="1" applyAlignment="1">
      <alignment horizontal="right"/>
    </xf>
    <xf numFmtId="9" fontId="229" fillId="0" borderId="106" xfId="52" applyFont="1" applyFill="1" applyBorder="1" applyAlignment="1">
      <alignment horizontal="right"/>
    </xf>
    <xf numFmtId="166" fontId="56" fillId="0" borderId="106" xfId="52" applyNumberFormat="1" applyFont="1" applyFill="1" applyBorder="1" applyAlignment="1">
      <alignment horizontal="right"/>
    </xf>
    <xf numFmtId="166" fontId="189" fillId="0" borderId="106" xfId="52" applyNumberFormat="1" applyFont="1" applyFill="1" applyBorder="1" applyAlignment="1">
      <alignment horizontal="right"/>
    </xf>
    <xf numFmtId="166" fontId="56" fillId="0" borderId="106" xfId="52" applyNumberFormat="1" applyFont="1" applyBorder="1" applyAlignment="1">
      <alignment horizontal="right"/>
    </xf>
    <xf numFmtId="0" fontId="56" fillId="0" borderId="99" xfId="0" applyFont="1" applyBorder="1" applyAlignment="1">
      <alignment horizontal="right"/>
    </xf>
    <xf numFmtId="165" fontId="56" fillId="0" borderId="106" xfId="46" applyNumberFormat="1" applyFont="1" applyFill="1" applyBorder="1" applyAlignment="1">
      <alignment horizontal="right"/>
    </xf>
    <xf numFmtId="0" fontId="56" fillId="0" borderId="106" xfId="0" applyFont="1" applyBorder="1" applyAlignment="1">
      <alignment horizontal="right"/>
    </xf>
    <xf numFmtId="165" fontId="56" fillId="0" borderId="106" xfId="0" applyNumberFormat="1" applyFont="1" applyFill="1" applyBorder="1" applyAlignment="1">
      <alignment horizontal="right"/>
    </xf>
    <xf numFmtId="165" fontId="56" fillId="0" borderId="106" xfId="46" applyNumberFormat="1" applyFont="1" applyBorder="1" applyAlignment="1">
      <alignment horizontal="right"/>
    </xf>
    <xf numFmtId="43" fontId="56" fillId="0" borderId="106" xfId="10" applyFont="1" applyFill="1" applyBorder="1" applyAlignment="1">
      <alignment horizontal="right"/>
    </xf>
    <xf numFmtId="165" fontId="187" fillId="0" borderId="106" xfId="0" applyNumberFormat="1" applyFont="1" applyFill="1" applyBorder="1" applyAlignment="1">
      <alignment horizontal="right"/>
    </xf>
    <xf numFmtId="192" fontId="56" fillId="0" borderId="106" xfId="0" applyNumberFormat="1" applyFont="1" applyFill="1" applyBorder="1" applyAlignment="1">
      <alignment horizontal="right"/>
    </xf>
    <xf numFmtId="177" fontId="56" fillId="0" borderId="106" xfId="10" applyNumberFormat="1" applyFont="1" applyFill="1" applyBorder="1" applyAlignment="1">
      <alignment horizontal="right"/>
    </xf>
    <xf numFmtId="165" fontId="56" fillId="0" borderId="106" xfId="52" applyNumberFormat="1" applyFont="1" applyFill="1" applyBorder="1" applyAlignment="1">
      <alignment horizontal="right"/>
    </xf>
    <xf numFmtId="7" fontId="56" fillId="0" borderId="106" xfId="0" applyNumberFormat="1" applyFont="1" applyBorder="1" applyAlignment="1">
      <alignment horizontal="right"/>
    </xf>
    <xf numFmtId="165" fontId="56" fillId="0" borderId="106" xfId="0" applyNumberFormat="1" applyFont="1" applyBorder="1" applyAlignment="1">
      <alignment horizontal="right"/>
    </xf>
    <xf numFmtId="165" fontId="56" fillId="0" borderId="106" xfId="10" applyNumberFormat="1" applyFont="1" applyFill="1" applyBorder="1" applyAlignment="1">
      <alignment horizontal="right"/>
    </xf>
    <xf numFmtId="165" fontId="185" fillId="47" borderId="106" xfId="42" applyNumberFormat="1" applyFont="1" applyFill="1" applyBorder="1" applyAlignment="1">
      <alignment horizontal="right"/>
    </xf>
    <xf numFmtId="165" fontId="185" fillId="50" borderId="106" xfId="42" applyNumberFormat="1" applyFont="1" applyFill="1" applyBorder="1" applyAlignment="1">
      <alignment horizontal="right"/>
    </xf>
    <xf numFmtId="166" fontId="184" fillId="0" borderId="106" xfId="42" applyNumberFormat="1" applyFont="1" applyFill="1" applyBorder="1" applyAlignment="1">
      <alignment horizontal="right"/>
    </xf>
    <xf numFmtId="165" fontId="56" fillId="0" borderId="106" xfId="52" applyNumberFormat="1" applyFont="1" applyBorder="1" applyAlignment="1">
      <alignment horizontal="right"/>
    </xf>
    <xf numFmtId="165" fontId="188" fillId="0" borderId="106" xfId="42" applyNumberFormat="1" applyFont="1" applyFill="1" applyBorder="1" applyAlignment="1">
      <alignment horizontal="right"/>
    </xf>
    <xf numFmtId="0" fontId="185" fillId="0" borderId="102" xfId="0" applyFont="1" applyFill="1" applyBorder="1" applyAlignment="1">
      <alignment horizontal="right"/>
    </xf>
    <xf numFmtId="0" fontId="185" fillId="0" borderId="102" xfId="0" quotePrefix="1" applyFont="1" applyFill="1" applyBorder="1" applyAlignment="1">
      <alignment horizontal="right"/>
    </xf>
    <xf numFmtId="0" fontId="185" fillId="0" borderId="102" xfId="0" applyFont="1" applyFill="1" applyBorder="1" applyAlignment="1">
      <alignment horizontal="center"/>
    </xf>
    <xf numFmtId="166" fontId="56" fillId="0" borderId="106" xfId="0" applyNumberFormat="1" applyFont="1" applyFill="1" applyBorder="1" applyAlignment="1">
      <alignment horizontal="right"/>
    </xf>
    <xf numFmtId="166" fontId="184" fillId="0" borderId="106" xfId="0" applyNumberFormat="1" applyFont="1" applyFill="1" applyBorder="1" applyAlignment="1">
      <alignment horizontal="right"/>
    </xf>
    <xf numFmtId="165" fontId="184" fillId="0" borderId="106" xfId="0" applyNumberFormat="1" applyFont="1" applyFill="1" applyBorder="1" applyAlignment="1">
      <alignment horizontal="right"/>
    </xf>
    <xf numFmtId="186" fontId="188" fillId="0" borderId="106" xfId="0" applyNumberFormat="1" applyFont="1" applyFill="1" applyBorder="1" applyAlignment="1">
      <alignment horizontal="right"/>
    </xf>
    <xf numFmtId="0" fontId="185" fillId="47" borderId="106" xfId="0" applyFont="1" applyFill="1" applyBorder="1" applyAlignment="1">
      <alignment horizontal="right"/>
    </xf>
    <xf numFmtId="0" fontId="188" fillId="0" borderId="106" xfId="0" applyFont="1" applyFill="1" applyBorder="1" applyAlignment="1">
      <alignment horizontal="right"/>
    </xf>
    <xf numFmtId="177" fontId="188" fillId="0" borderId="106" xfId="10" applyNumberFormat="1" applyFont="1" applyFill="1" applyBorder="1" applyAlignment="1">
      <alignment horizontal="right"/>
    </xf>
    <xf numFmtId="177" fontId="188" fillId="47" borderId="106" xfId="10" applyNumberFormat="1" applyFont="1" applyFill="1" applyBorder="1"/>
    <xf numFmtId="177" fontId="56" fillId="47" borderId="106" xfId="10" applyNumberFormat="1" applyFont="1" applyFill="1" applyBorder="1"/>
    <xf numFmtId="166" fontId="56" fillId="0" borderId="106" xfId="0" applyNumberFormat="1" applyFont="1" applyFill="1" applyBorder="1"/>
    <xf numFmtId="166" fontId="188" fillId="0" borderId="106" xfId="0" applyNumberFormat="1" applyFont="1" applyFill="1" applyBorder="1"/>
    <xf numFmtId="166" fontId="184" fillId="0" borderId="106" xfId="0" applyNumberFormat="1" applyFont="1" applyFill="1" applyBorder="1"/>
    <xf numFmtId="177" fontId="188" fillId="0" borderId="106" xfId="10" applyNumberFormat="1" applyFont="1" applyFill="1" applyBorder="1"/>
    <xf numFmtId="166" fontId="184" fillId="0" borderId="106" xfId="52" applyNumberFormat="1" applyFont="1" applyFill="1" applyBorder="1"/>
    <xf numFmtId="177" fontId="56" fillId="0" borderId="106" xfId="10" applyNumberFormat="1" applyFont="1" applyFill="1" applyBorder="1"/>
    <xf numFmtId="9" fontId="184" fillId="0" borderId="106" xfId="52" applyFont="1" applyFill="1" applyBorder="1"/>
    <xf numFmtId="166" fontId="184" fillId="57" borderId="106" xfId="0" applyNumberFormat="1" applyFont="1" applyFill="1" applyBorder="1"/>
    <xf numFmtId="37" fontId="188" fillId="0" borderId="106" xfId="42" applyNumberFormat="1" applyFont="1" applyFill="1" applyBorder="1"/>
    <xf numFmtId="166" fontId="201" fillId="0" borderId="106" xfId="52" applyNumberFormat="1" applyFont="1" applyFill="1" applyBorder="1"/>
    <xf numFmtId="37" fontId="56" fillId="0" borderId="106" xfId="0" applyNumberFormat="1" applyFont="1" applyFill="1" applyBorder="1"/>
    <xf numFmtId="165" fontId="56" fillId="0" borderId="106" xfId="0" applyNumberFormat="1" applyFont="1" applyFill="1" applyBorder="1"/>
    <xf numFmtId="37" fontId="56" fillId="50" borderId="106" xfId="14" applyNumberFormat="1" applyFont="1" applyFill="1" applyBorder="1"/>
    <xf numFmtId="166" fontId="56" fillId="0" borderId="106" xfId="52" applyNumberFormat="1" applyFont="1" applyFill="1" applyBorder="1"/>
    <xf numFmtId="9" fontId="56" fillId="0" borderId="106" xfId="52" applyFont="1" applyFill="1" applyBorder="1" applyAlignment="1">
      <alignment horizontal="right"/>
    </xf>
    <xf numFmtId="166" fontId="213" fillId="0" borderId="106" xfId="0" applyNumberFormat="1" applyFont="1" applyFill="1" applyBorder="1" applyAlignment="1">
      <alignment horizontal="right"/>
    </xf>
    <xf numFmtId="166" fontId="184" fillId="49" borderId="106" xfId="0" applyNumberFormat="1" applyFont="1" applyFill="1" applyBorder="1" applyAlignment="1">
      <alignment horizontal="right"/>
    </xf>
    <xf numFmtId="9" fontId="184" fillId="0" borderId="106" xfId="52" applyFont="1" applyFill="1" applyBorder="1" applyAlignment="1">
      <alignment horizontal="right"/>
    </xf>
    <xf numFmtId="166" fontId="188" fillId="0" borderId="106" xfId="0" applyNumberFormat="1" applyFont="1" applyFill="1" applyBorder="1" applyAlignment="1">
      <alignment horizontal="right"/>
    </xf>
    <xf numFmtId="186" fontId="56" fillId="0" borderId="106" xfId="0" applyNumberFormat="1" applyFont="1" applyFill="1" applyBorder="1"/>
    <xf numFmtId="3" fontId="56" fillId="47" borderId="106" xfId="14" applyNumberFormat="1" applyFont="1" applyFill="1" applyBorder="1"/>
    <xf numFmtId="166" fontId="187" fillId="0" borderId="85" xfId="0" applyNumberFormat="1" applyFont="1" applyFill="1" applyBorder="1" applyAlignment="1">
      <alignment horizontal="right"/>
    </xf>
    <xf numFmtId="166" fontId="184" fillId="0" borderId="65" xfId="0" applyNumberFormat="1" applyFont="1" applyFill="1" applyBorder="1" applyAlignment="1">
      <alignment horizontal="right"/>
    </xf>
    <xf numFmtId="166" fontId="208" fillId="0" borderId="85" xfId="0" applyNumberFormat="1" applyFont="1" applyFill="1" applyBorder="1" applyAlignment="1">
      <alignment horizontal="right"/>
    </xf>
    <xf numFmtId="166" fontId="209" fillId="0" borderId="85" xfId="0" applyNumberFormat="1" applyFont="1" applyFill="1" applyBorder="1" applyAlignment="1">
      <alignment horizontal="right"/>
    </xf>
    <xf numFmtId="0" fontId="56" fillId="0" borderId="85" xfId="0" applyFont="1" applyFill="1" applyBorder="1" applyAlignment="1">
      <alignment horizontal="right"/>
    </xf>
    <xf numFmtId="186" fontId="188" fillId="0" borderId="85" xfId="0" applyNumberFormat="1" applyFont="1" applyFill="1" applyBorder="1" applyAlignment="1">
      <alignment horizontal="right"/>
    </xf>
    <xf numFmtId="0" fontId="185" fillId="47" borderId="85" xfId="0" applyFont="1" applyFill="1" applyBorder="1" applyAlignment="1">
      <alignment horizontal="right"/>
    </xf>
    <xf numFmtId="0" fontId="188" fillId="0" borderId="85" xfId="0" applyFont="1" applyFill="1" applyBorder="1" applyAlignment="1">
      <alignment horizontal="right"/>
    </xf>
    <xf numFmtId="166" fontId="184" fillId="0" borderId="85" xfId="52" applyNumberFormat="1" applyFont="1" applyFill="1" applyBorder="1"/>
    <xf numFmtId="165" fontId="188" fillId="0" borderId="104" xfId="42" applyNumberFormat="1" applyFont="1" applyBorder="1"/>
    <xf numFmtId="165" fontId="188" fillId="0" borderId="85" xfId="42" applyNumberFormat="1" applyFont="1" applyFill="1" applyBorder="1"/>
    <xf numFmtId="37" fontId="188" fillId="0" borderId="85" xfId="42" applyNumberFormat="1" applyFont="1" applyBorder="1"/>
    <xf numFmtId="37" fontId="188" fillId="0" borderId="85" xfId="42" applyNumberFormat="1" applyFont="1" applyFill="1" applyBorder="1"/>
    <xf numFmtId="37" fontId="207" fillId="0" borderId="85" xfId="42" applyNumberFormat="1" applyFont="1" applyFill="1" applyBorder="1"/>
    <xf numFmtId="37" fontId="202" fillId="0" borderId="85" xfId="42" applyNumberFormat="1" applyFont="1" applyFill="1" applyBorder="1"/>
    <xf numFmtId="37" fontId="56" fillId="0" borderId="85" xfId="52" applyNumberFormat="1" applyFont="1" applyFill="1" applyBorder="1" applyAlignment="1">
      <alignment horizontal="right"/>
    </xf>
    <xf numFmtId="37" fontId="56" fillId="0" borderId="85" xfId="52" applyNumberFormat="1" applyFont="1" applyFill="1" applyBorder="1"/>
    <xf numFmtId="37" fontId="189" fillId="0" borderId="85" xfId="42" applyNumberFormat="1" applyFont="1" applyFill="1" applyBorder="1"/>
    <xf numFmtId="3" fontId="56" fillId="50" borderId="104" xfId="0" applyNumberFormat="1" applyFont="1" applyFill="1" applyBorder="1"/>
    <xf numFmtId="3" fontId="56" fillId="50" borderId="85" xfId="0" applyNumberFormat="1" applyFont="1" applyFill="1" applyBorder="1"/>
    <xf numFmtId="3" fontId="56" fillId="50" borderId="85" xfId="14" applyNumberFormat="1" applyFont="1" applyFill="1" applyBorder="1"/>
    <xf numFmtId="37" fontId="56" fillId="50" borderId="0" xfId="0" applyNumberFormat="1" applyFont="1" applyFill="1" applyBorder="1"/>
    <xf numFmtId="166" fontId="184" fillId="0" borderId="102" xfId="52" applyNumberFormat="1" applyFont="1" applyFill="1" applyBorder="1"/>
    <xf numFmtId="166" fontId="184" fillId="0" borderId="105" xfId="52" applyNumberFormat="1" applyFont="1" applyFill="1" applyBorder="1"/>
    <xf numFmtId="180" fontId="56" fillId="0" borderId="107" xfId="14" applyNumberFormat="1" applyFont="1" applyFill="1" applyBorder="1"/>
    <xf numFmtId="37" fontId="21" fillId="50" borderId="106" xfId="0" applyNumberFormat="1" applyFont="1" applyFill="1" applyBorder="1"/>
    <xf numFmtId="37" fontId="233" fillId="0" borderId="106" xfId="0" applyNumberFormat="1" applyFont="1" applyBorder="1"/>
    <xf numFmtId="37" fontId="17" fillId="0" borderId="106" xfId="0" applyNumberFormat="1" applyFont="1" applyBorder="1"/>
    <xf numFmtId="37" fontId="0" fillId="0" borderId="106" xfId="0" applyNumberFormat="1" applyBorder="1"/>
    <xf numFmtId="9" fontId="225" fillId="50" borderId="106" xfId="52" applyFont="1" applyFill="1" applyBorder="1"/>
    <xf numFmtId="9" fontId="225" fillId="50" borderId="106" xfId="52" applyFont="1" applyFill="1" applyBorder="1" applyAlignment="1">
      <alignment horizontal="right"/>
    </xf>
    <xf numFmtId="9" fontId="226" fillId="50" borderId="106" xfId="52" applyFont="1" applyFill="1" applyBorder="1"/>
    <xf numFmtId="9" fontId="225" fillId="0" borderId="106" xfId="52" applyFont="1" applyBorder="1"/>
    <xf numFmtId="9" fontId="226" fillId="0" borderId="106" xfId="52" applyFont="1" applyFill="1" applyBorder="1"/>
    <xf numFmtId="9" fontId="226" fillId="0" borderId="106" xfId="52" applyFont="1" applyFill="1" applyBorder="1" applyAlignment="1">
      <alignment horizontal="right"/>
    </xf>
    <xf numFmtId="9" fontId="225" fillId="0" borderId="106" xfId="52" applyFont="1" applyFill="1" applyBorder="1"/>
    <xf numFmtId="9" fontId="225" fillId="0" borderId="106" xfId="52" applyFont="1" applyFill="1" applyBorder="1" applyAlignment="1">
      <alignment horizontal="right"/>
    </xf>
    <xf numFmtId="9" fontId="17" fillId="60" borderId="106" xfId="52" applyFont="1" applyFill="1" applyBorder="1"/>
    <xf numFmtId="9" fontId="21" fillId="0" borderId="106" xfId="52" applyFont="1" applyFill="1" applyBorder="1"/>
    <xf numFmtId="9" fontId="17" fillId="0" borderId="106" xfId="52" applyFont="1" applyFill="1" applyBorder="1"/>
    <xf numFmtId="9" fontId="17" fillId="0" borderId="106" xfId="52" applyFont="1" applyFill="1" applyBorder="1" applyAlignment="1">
      <alignment vertical="top"/>
    </xf>
    <xf numFmtId="9" fontId="17" fillId="0" borderId="106" xfId="52" applyFont="1" applyBorder="1"/>
    <xf numFmtId="9" fontId="17" fillId="50" borderId="106" xfId="52" applyFont="1" applyFill="1" applyBorder="1"/>
    <xf numFmtId="9" fontId="235" fillId="0" borderId="106" xfId="52" applyFont="1" applyFill="1" applyBorder="1"/>
    <xf numFmtId="9" fontId="17" fillId="0" borderId="101" xfId="52" applyFont="1" applyBorder="1"/>
    <xf numFmtId="171" fontId="21" fillId="50" borderId="106" xfId="0" applyNumberFormat="1" applyFont="1" applyFill="1" applyBorder="1"/>
    <xf numFmtId="9" fontId="17" fillId="58" borderId="106" xfId="52" applyFont="1" applyFill="1" applyBorder="1"/>
    <xf numFmtId="9" fontId="17" fillId="0" borderId="106" xfId="52" applyNumberFormat="1" applyFont="1" applyFill="1" applyBorder="1"/>
    <xf numFmtId="9" fontId="230" fillId="58" borderId="106" xfId="52" applyFont="1" applyFill="1" applyBorder="1"/>
    <xf numFmtId="166" fontId="195" fillId="0" borderId="0" xfId="52" applyNumberFormat="1" applyFont="1" applyBorder="1" applyAlignment="1">
      <alignment horizontal="right"/>
    </xf>
    <xf numFmtId="166" fontId="195" fillId="0" borderId="0" xfId="52" applyNumberFormat="1" applyFont="1" applyFill="1" applyBorder="1"/>
    <xf numFmtId="0" fontId="184" fillId="51" borderId="0" xfId="0" applyFont="1" applyFill="1" applyAlignment="1">
      <alignment horizontal="center"/>
    </xf>
    <xf numFmtId="0" fontId="205" fillId="51" borderId="0" xfId="0" applyFont="1" applyFill="1" applyAlignment="1">
      <alignment horizontal="center"/>
    </xf>
    <xf numFmtId="9" fontId="201" fillId="51" borderId="0" xfId="52" applyFont="1" applyFill="1" applyAlignment="1">
      <alignment horizontal="center"/>
    </xf>
    <xf numFmtId="43" fontId="184" fillId="51" borderId="0" xfId="10" applyFont="1" applyFill="1" applyBorder="1" applyAlignment="1">
      <alignment horizontal="center"/>
    </xf>
    <xf numFmtId="165" fontId="184" fillId="51" borderId="0" xfId="0" applyNumberFormat="1" applyFont="1" applyFill="1" applyAlignment="1">
      <alignment horizontal="center"/>
    </xf>
    <xf numFmtId="0" fontId="184" fillId="0" borderId="0" xfId="0" applyFont="1" applyFill="1" applyAlignment="1">
      <alignment horizontal="center"/>
    </xf>
    <xf numFmtId="177" fontId="190" fillId="0" borderId="82" xfId="10" applyNumberFormat="1" applyFont="1" applyBorder="1" applyAlignment="1">
      <alignment horizontal="right"/>
    </xf>
    <xf numFmtId="177" fontId="190" fillId="0" borderId="82" xfId="10" applyNumberFormat="1" applyFont="1" applyBorder="1"/>
    <xf numFmtId="165" fontId="190" fillId="0" borderId="82" xfId="0" applyNumberFormat="1" applyFont="1" applyBorder="1"/>
    <xf numFmtId="195" fontId="190" fillId="0" borderId="82" xfId="0" applyNumberFormat="1" applyFont="1" applyBorder="1"/>
    <xf numFmtId="43" fontId="190" fillId="0" borderId="82" xfId="10" applyFont="1" applyBorder="1"/>
    <xf numFmtId="43" fontId="190" fillId="0" borderId="82" xfId="10" applyFont="1" applyBorder="1" applyAlignment="1">
      <alignment horizontal="right"/>
    </xf>
    <xf numFmtId="0" fontId="0" fillId="0" borderId="0" xfId="0" applyFill="1" applyAlignment="1">
      <alignment horizontal="center"/>
    </xf>
    <xf numFmtId="0" fontId="56" fillId="51" borderId="68" xfId="0" applyFont="1" applyFill="1" applyBorder="1" applyAlignment="1">
      <alignment horizontal="right"/>
    </xf>
    <xf numFmtId="0" fontId="56" fillId="51" borderId="0" xfId="0" applyFont="1" applyFill="1" applyBorder="1" applyAlignment="1">
      <alignment horizontal="right"/>
    </xf>
    <xf numFmtId="0" fontId="56" fillId="51" borderId="104" xfId="0" applyFont="1" applyFill="1" applyBorder="1" applyAlignment="1">
      <alignment horizontal="right"/>
    </xf>
    <xf numFmtId="166" fontId="189" fillId="51" borderId="106" xfId="52" applyNumberFormat="1" applyFont="1" applyFill="1" applyBorder="1" applyAlignment="1">
      <alignment horizontal="right"/>
    </xf>
    <xf numFmtId="43" fontId="56" fillId="51" borderId="68" xfId="10" applyFont="1" applyFill="1" applyBorder="1" applyAlignment="1">
      <alignment horizontal="right"/>
    </xf>
    <xf numFmtId="43" fontId="56" fillId="51" borderId="0" xfId="10" applyFont="1" applyFill="1" applyBorder="1" applyAlignment="1">
      <alignment horizontal="right"/>
    </xf>
    <xf numFmtId="43" fontId="56" fillId="51" borderId="22" xfId="10" applyFont="1" applyFill="1" applyBorder="1" applyAlignment="1">
      <alignment horizontal="right"/>
    </xf>
    <xf numFmtId="166" fontId="56" fillId="51" borderId="68" xfId="52" applyNumberFormat="1" applyFont="1" applyFill="1" applyBorder="1" applyAlignment="1">
      <alignment horizontal="right"/>
    </xf>
    <xf numFmtId="166" fontId="56" fillId="51" borderId="0" xfId="52" applyNumberFormat="1" applyFont="1" applyFill="1" applyBorder="1" applyAlignment="1">
      <alignment horizontal="right"/>
    </xf>
    <xf numFmtId="166" fontId="56" fillId="51" borderId="106" xfId="52" applyNumberFormat="1" applyFont="1" applyFill="1" applyBorder="1" applyAlignment="1">
      <alignment horizontal="right"/>
    </xf>
    <xf numFmtId="193" fontId="56" fillId="51" borderId="85" xfId="0" applyNumberFormat="1" applyFont="1" applyFill="1" applyBorder="1" applyAlignment="1">
      <alignment horizontal="right"/>
    </xf>
    <xf numFmtId="193" fontId="56" fillId="51" borderId="0" xfId="0" applyNumberFormat="1" applyFont="1" applyFill="1" applyBorder="1" applyAlignment="1">
      <alignment horizontal="right"/>
    </xf>
    <xf numFmtId="193" fontId="56" fillId="51" borderId="104" xfId="0" applyNumberFormat="1" applyFont="1" applyFill="1" applyBorder="1" applyAlignment="1">
      <alignment horizontal="right"/>
    </xf>
    <xf numFmtId="193" fontId="189" fillId="51" borderId="106" xfId="52" applyNumberFormat="1" applyFont="1" applyFill="1" applyBorder="1" applyAlignment="1">
      <alignment horizontal="right"/>
    </xf>
    <xf numFmtId="193" fontId="56" fillId="51" borderId="85" xfId="10" applyNumberFormat="1" applyFont="1" applyFill="1" applyBorder="1" applyAlignment="1">
      <alignment horizontal="right"/>
    </xf>
    <xf numFmtId="193" fontId="56" fillId="51" borderId="0" xfId="10" applyNumberFormat="1" applyFont="1" applyFill="1" applyBorder="1" applyAlignment="1">
      <alignment horizontal="right"/>
    </xf>
    <xf numFmtId="193" fontId="56" fillId="51" borderId="22" xfId="10" applyNumberFormat="1" applyFont="1" applyFill="1" applyBorder="1" applyAlignment="1">
      <alignment horizontal="right"/>
    </xf>
    <xf numFmtId="193" fontId="56" fillId="51" borderId="85" xfId="52" applyNumberFormat="1" applyFont="1" applyFill="1" applyBorder="1" applyAlignment="1">
      <alignment horizontal="right"/>
    </xf>
    <xf numFmtId="193" fontId="56" fillId="51" borderId="0" xfId="52" applyNumberFormat="1" applyFont="1" applyFill="1" applyBorder="1" applyAlignment="1">
      <alignment horizontal="right"/>
    </xf>
    <xf numFmtId="193" fontId="56" fillId="51" borderId="106" xfId="52" applyNumberFormat="1" applyFont="1" applyFill="1" applyBorder="1" applyAlignment="1">
      <alignment horizontal="right"/>
    </xf>
    <xf numFmtId="193" fontId="56" fillId="0" borderId="0" xfId="0" applyNumberFormat="1" applyFont="1" applyFill="1" applyBorder="1" applyAlignment="1">
      <alignment horizontal="right"/>
    </xf>
    <xf numFmtId="193" fontId="56" fillId="0" borderId="0" xfId="0" applyNumberFormat="1" applyFont="1" applyFill="1" applyAlignment="1">
      <alignment horizontal="center"/>
    </xf>
    <xf numFmtId="166" fontId="184" fillId="51" borderId="0" xfId="52" applyNumberFormat="1" applyFont="1" applyFill="1" applyBorder="1" applyAlignment="1">
      <alignment horizontal="right"/>
    </xf>
    <xf numFmtId="166" fontId="184" fillId="51" borderId="106" xfId="52" applyNumberFormat="1" applyFont="1" applyFill="1" applyBorder="1" applyAlignment="1">
      <alignment horizontal="right"/>
    </xf>
    <xf numFmtId="165" fontId="56" fillId="51" borderId="68" xfId="52" applyNumberFormat="1" applyFont="1" applyFill="1" applyBorder="1" applyAlignment="1">
      <alignment horizontal="right"/>
    </xf>
    <xf numFmtId="165" fontId="56" fillId="51" borderId="0" xfId="52" applyNumberFormat="1" applyFont="1" applyFill="1" applyBorder="1" applyAlignment="1">
      <alignment horizontal="right"/>
    </xf>
    <xf numFmtId="165" fontId="56" fillId="51" borderId="104" xfId="52" applyNumberFormat="1" applyFont="1" applyFill="1" applyBorder="1" applyAlignment="1">
      <alignment horizontal="right"/>
    </xf>
    <xf numFmtId="165" fontId="56" fillId="51" borderId="106" xfId="52" applyNumberFormat="1" applyFont="1" applyFill="1" applyBorder="1" applyAlignment="1">
      <alignment horizontal="right"/>
    </xf>
    <xf numFmtId="165" fontId="56" fillId="51" borderId="85" xfId="52" applyNumberFormat="1" applyFont="1" applyFill="1" applyBorder="1" applyAlignment="1">
      <alignment horizontal="right"/>
    </xf>
    <xf numFmtId="166" fontId="195" fillId="51" borderId="85" xfId="52" applyNumberFormat="1" applyFont="1" applyFill="1" applyBorder="1" applyAlignment="1">
      <alignment horizontal="right"/>
    </xf>
    <xf numFmtId="166" fontId="195" fillId="51" borderId="0" xfId="52" applyNumberFormat="1" applyFont="1" applyFill="1" applyBorder="1" applyAlignment="1">
      <alignment horizontal="right"/>
    </xf>
    <xf numFmtId="166" fontId="237" fillId="51" borderId="0" xfId="52" applyNumberFormat="1" applyFont="1" applyFill="1" applyBorder="1" applyAlignment="1">
      <alignment horizontal="right"/>
    </xf>
    <xf numFmtId="166" fontId="195" fillId="51" borderId="104" xfId="52" applyNumberFormat="1" applyFont="1" applyFill="1" applyBorder="1" applyAlignment="1">
      <alignment horizontal="right"/>
    </xf>
    <xf numFmtId="166" fontId="195" fillId="51" borderId="106" xfId="52" applyNumberFormat="1" applyFont="1" applyFill="1" applyBorder="1" applyAlignment="1">
      <alignment horizontal="right"/>
    </xf>
    <xf numFmtId="165" fontId="189" fillId="51" borderId="0" xfId="52" applyNumberFormat="1" applyFont="1" applyFill="1" applyBorder="1" applyAlignment="1">
      <alignment horizontal="right"/>
    </xf>
    <xf numFmtId="165" fontId="56" fillId="51" borderId="55" xfId="52" applyNumberFormat="1" applyFont="1" applyFill="1" applyBorder="1" applyAlignment="1">
      <alignment horizontal="right"/>
    </xf>
    <xf numFmtId="177" fontId="201" fillId="51" borderId="85" xfId="10" applyNumberFormat="1" applyFont="1" applyFill="1" applyBorder="1" applyAlignment="1">
      <alignment horizontal="right"/>
    </xf>
    <xf numFmtId="177" fontId="201" fillId="51" borderId="0" xfId="10" applyNumberFormat="1" applyFont="1" applyFill="1" applyBorder="1" applyAlignment="1">
      <alignment horizontal="right"/>
    </xf>
    <xf numFmtId="177" fontId="188" fillId="51" borderId="104" xfId="10" applyNumberFormat="1" applyFont="1" applyFill="1" applyBorder="1" applyAlignment="1">
      <alignment horizontal="right"/>
    </xf>
    <xf numFmtId="177" fontId="188" fillId="51" borderId="85" xfId="10" applyNumberFormat="1" applyFont="1" applyFill="1" applyBorder="1" applyAlignment="1">
      <alignment horizontal="right"/>
    </xf>
    <xf numFmtId="177" fontId="188" fillId="51" borderId="0" xfId="10" applyNumberFormat="1" applyFont="1" applyFill="1" applyBorder="1" applyAlignment="1">
      <alignment horizontal="right"/>
    </xf>
    <xf numFmtId="177" fontId="188" fillId="51" borderId="106" xfId="10" applyNumberFormat="1" applyFont="1" applyFill="1" applyBorder="1" applyAlignment="1">
      <alignment horizontal="right"/>
    </xf>
    <xf numFmtId="0" fontId="184" fillId="51" borderId="68" xfId="0" applyFont="1" applyFill="1" applyBorder="1" applyAlignment="1">
      <alignment horizontal="right"/>
    </xf>
    <xf numFmtId="0" fontId="184" fillId="51" borderId="0" xfId="0" applyFont="1" applyFill="1" applyBorder="1" applyAlignment="1">
      <alignment horizontal="right"/>
    </xf>
    <xf numFmtId="0" fontId="184" fillId="51" borderId="104" xfId="0" applyFont="1" applyFill="1" applyBorder="1" applyAlignment="1">
      <alignment horizontal="right"/>
    </xf>
    <xf numFmtId="166" fontId="197" fillId="51" borderId="106" xfId="52" applyNumberFormat="1" applyFont="1" applyFill="1" applyBorder="1" applyAlignment="1">
      <alignment horizontal="right"/>
    </xf>
    <xf numFmtId="43" fontId="184" fillId="51" borderId="68" xfId="10" applyFont="1" applyFill="1" applyBorder="1" applyAlignment="1">
      <alignment horizontal="right"/>
    </xf>
    <xf numFmtId="43" fontId="184" fillId="51" borderId="0" xfId="10" applyFont="1" applyFill="1" applyBorder="1" applyAlignment="1">
      <alignment horizontal="right"/>
    </xf>
    <xf numFmtId="43" fontId="184" fillId="51" borderId="22" xfId="10" applyFont="1" applyFill="1" applyBorder="1" applyAlignment="1">
      <alignment horizontal="right"/>
    </xf>
    <xf numFmtId="166" fontId="184" fillId="51" borderId="68" xfId="52" applyNumberFormat="1" applyFont="1" applyFill="1" applyBorder="1" applyAlignment="1">
      <alignment horizontal="right"/>
    </xf>
    <xf numFmtId="7" fontId="17" fillId="0" borderId="0" xfId="0" applyNumberFormat="1" applyFont="1" applyFill="1" applyBorder="1"/>
    <xf numFmtId="7" fontId="17" fillId="0" borderId="106" xfId="0" applyNumberFormat="1" applyFont="1" applyFill="1" applyBorder="1"/>
    <xf numFmtId="7" fontId="17" fillId="0" borderId="0" xfId="0" applyNumberFormat="1" applyFont="1" applyFill="1" applyBorder="1" applyAlignment="1">
      <alignment horizontal="right"/>
    </xf>
    <xf numFmtId="7" fontId="17" fillId="0" borderId="0" xfId="0" applyNumberFormat="1" applyFont="1" applyFill="1"/>
    <xf numFmtId="7" fontId="56" fillId="51" borderId="0" xfId="52" applyNumberFormat="1" applyFont="1" applyFill="1" applyAlignment="1">
      <alignment horizontal="center"/>
    </xf>
    <xf numFmtId="37" fontId="239" fillId="0" borderId="0" xfId="0" applyNumberFormat="1" applyFont="1" applyBorder="1"/>
    <xf numFmtId="0" fontId="56" fillId="0" borderId="99" xfId="67" applyFont="1" applyFill="1" applyBorder="1"/>
    <xf numFmtId="166" fontId="56" fillId="0" borderId="99" xfId="129" applyNumberFormat="1" applyFont="1" applyFill="1" applyBorder="1" applyAlignment="1"/>
    <xf numFmtId="0" fontId="56" fillId="0" borderId="109" xfId="67" applyFont="1" applyFill="1" applyBorder="1"/>
    <xf numFmtId="9" fontId="56" fillId="0" borderId="14" xfId="129" applyFont="1" applyFill="1" applyBorder="1" applyAlignment="1">
      <alignment horizontal="right"/>
    </xf>
    <xf numFmtId="4" fontId="56" fillId="0" borderId="14" xfId="69" applyNumberFormat="1" applyFont="1" applyFill="1" applyBorder="1" applyAlignment="1"/>
    <xf numFmtId="166" fontId="56" fillId="0" borderId="109" xfId="129" applyNumberFormat="1" applyFont="1" applyFill="1" applyBorder="1" applyAlignment="1"/>
    <xf numFmtId="181" fontId="56" fillId="0" borderId="14" xfId="67" applyNumberFormat="1" applyFont="1" applyFill="1" applyBorder="1"/>
    <xf numFmtId="166" fontId="56" fillId="0" borderId="14" xfId="67" applyNumberFormat="1" applyFont="1" applyBorder="1"/>
    <xf numFmtId="0" fontId="56" fillId="0" borderId="99" xfId="67" applyFont="1" applyBorder="1"/>
    <xf numFmtId="0" fontId="56" fillId="0" borderId="76" xfId="67" applyFont="1" applyFill="1" applyBorder="1"/>
    <xf numFmtId="9" fontId="189" fillId="0" borderId="64" xfId="129" applyFont="1" applyFill="1" applyBorder="1" applyAlignment="1">
      <alignment horizontal="right"/>
    </xf>
    <xf numFmtId="9" fontId="189" fillId="0" borderId="65" xfId="129" applyFont="1" applyFill="1" applyBorder="1" applyAlignment="1">
      <alignment horizontal="right"/>
    </xf>
    <xf numFmtId="9" fontId="56" fillId="0" borderId="64" xfId="67" applyNumberFormat="1" applyFont="1" applyFill="1" applyBorder="1" applyAlignment="1">
      <alignment horizontal="right"/>
    </xf>
    <xf numFmtId="9" fontId="56" fillId="0" borderId="65" xfId="67" applyNumberFormat="1" applyFont="1" applyFill="1" applyBorder="1" applyAlignment="1">
      <alignment horizontal="right"/>
    </xf>
    <xf numFmtId="0" fontId="56" fillId="0" borderId="65" xfId="67" applyFont="1" applyFill="1" applyBorder="1"/>
    <xf numFmtId="0" fontId="56" fillId="0" borderId="64" xfId="67" applyFont="1" applyFill="1" applyBorder="1"/>
    <xf numFmtId="0" fontId="186" fillId="0" borderId="64" xfId="67" applyFont="1" applyFill="1" applyBorder="1" applyAlignment="1">
      <alignment horizontal="center"/>
    </xf>
    <xf numFmtId="0" fontId="56" fillId="0" borderId="64" xfId="67" applyFont="1" applyBorder="1"/>
    <xf numFmtId="0" fontId="186" fillId="0" borderId="65" xfId="67" applyFont="1" applyFill="1" applyBorder="1" applyAlignment="1">
      <alignment horizontal="center"/>
    </xf>
    <xf numFmtId="4" fontId="187" fillId="0" borderId="64" xfId="67" applyNumberFormat="1" applyFont="1" applyFill="1" applyBorder="1" applyAlignment="1"/>
    <xf numFmtId="2" fontId="187" fillId="0" borderId="0" xfId="69" applyNumberFormat="1" applyFont="1" applyFill="1" applyBorder="1"/>
    <xf numFmtId="4" fontId="187" fillId="0" borderId="64" xfId="69" applyNumberFormat="1" applyFont="1" applyFill="1" applyBorder="1" applyAlignment="1"/>
    <xf numFmtId="2" fontId="56" fillId="0" borderId="65" xfId="69" applyNumberFormat="1" applyFont="1" applyFill="1" applyBorder="1"/>
    <xf numFmtId="4" fontId="187" fillId="0" borderId="64" xfId="0" applyNumberFormat="1" applyFont="1" applyFill="1" applyBorder="1" applyAlignment="1"/>
    <xf numFmtId="4" fontId="187" fillId="0" borderId="64" xfId="67" applyNumberFormat="1" applyFont="1" applyFill="1" applyBorder="1"/>
    <xf numFmtId="4" fontId="56" fillId="0" borderId="65" xfId="67" applyNumberFormat="1" applyFont="1" applyFill="1" applyBorder="1"/>
    <xf numFmtId="4" fontId="56" fillId="0" borderId="64" xfId="69" applyNumberFormat="1" applyFont="1" applyFill="1" applyBorder="1" applyAlignment="1"/>
    <xf numFmtId="4" fontId="56" fillId="0" borderId="64" xfId="67" applyNumberFormat="1" applyFont="1" applyFill="1" applyBorder="1"/>
    <xf numFmtId="166" fontId="184" fillId="0" borderId="64" xfId="129" applyNumberFormat="1" applyFont="1" applyFill="1" applyBorder="1"/>
    <xf numFmtId="166" fontId="184" fillId="0" borderId="65" xfId="129" applyNumberFormat="1" applyFont="1" applyFill="1" applyBorder="1"/>
    <xf numFmtId="166" fontId="184" fillId="0" borderId="64" xfId="129" applyNumberFormat="1" applyFont="1" applyFill="1" applyBorder="1" applyAlignment="1"/>
    <xf numFmtId="166" fontId="184" fillId="0" borderId="65" xfId="129" applyNumberFormat="1" applyFont="1" applyFill="1" applyBorder="1" applyAlignment="1"/>
    <xf numFmtId="166" fontId="56" fillId="0" borderId="64" xfId="129" applyNumberFormat="1" applyFont="1" applyFill="1" applyBorder="1" applyAlignment="1"/>
    <xf numFmtId="166" fontId="56" fillId="0" borderId="76" xfId="129" applyNumberFormat="1" applyFont="1" applyFill="1" applyBorder="1" applyAlignment="1"/>
    <xf numFmtId="181" fontId="56" fillId="0" borderId="64" xfId="67" applyNumberFormat="1" applyFont="1" applyFill="1" applyBorder="1"/>
    <xf numFmtId="0" fontId="56" fillId="0" borderId="65" xfId="67" applyFont="1" applyBorder="1"/>
    <xf numFmtId="0" fontId="56" fillId="0" borderId="0" xfId="67" applyFont="1" applyBorder="1"/>
    <xf numFmtId="166" fontId="56" fillId="0" borderId="64" xfId="67" applyNumberFormat="1" applyFont="1" applyBorder="1"/>
    <xf numFmtId="9" fontId="56" fillId="0" borderId="64" xfId="67" applyNumberFormat="1" applyFont="1" applyBorder="1"/>
    <xf numFmtId="9" fontId="56" fillId="0" borderId="65" xfId="129" applyFont="1" applyFill="1" applyBorder="1" applyAlignment="1">
      <alignment horizontal="right"/>
    </xf>
    <xf numFmtId="4" fontId="56" fillId="0" borderId="65" xfId="69" applyNumberFormat="1" applyFont="1" applyFill="1" applyBorder="1" applyAlignment="1"/>
    <xf numFmtId="166" fontId="56" fillId="0" borderId="52" xfId="129" applyNumberFormat="1" applyFont="1" applyFill="1" applyBorder="1" applyAlignment="1"/>
    <xf numFmtId="181" fontId="56" fillId="0" borderId="65" xfId="67" applyNumberFormat="1" applyFont="1" applyFill="1" applyBorder="1"/>
    <xf numFmtId="166" fontId="56" fillId="0" borderId="65" xfId="67" applyNumberFormat="1" applyFont="1" applyBorder="1"/>
    <xf numFmtId="9" fontId="56" fillId="0" borderId="65" xfId="67" applyNumberFormat="1" applyFont="1" applyFill="1" applyBorder="1"/>
    <xf numFmtId="9" fontId="56" fillId="0" borderId="0" xfId="67" applyNumberFormat="1" applyFont="1" applyFill="1" applyBorder="1"/>
    <xf numFmtId="9" fontId="56" fillId="0" borderId="64" xfId="129" applyFont="1" applyFill="1" applyBorder="1" applyAlignment="1">
      <alignment horizontal="right"/>
    </xf>
    <xf numFmtId="9" fontId="56" fillId="0" borderId="64" xfId="67" applyNumberFormat="1" applyFont="1" applyFill="1" applyBorder="1"/>
    <xf numFmtId="9" fontId="56" fillId="0" borderId="14" xfId="67" applyNumberFormat="1" applyFont="1" applyFill="1" applyBorder="1"/>
    <xf numFmtId="9" fontId="190" fillId="0" borderId="65" xfId="129" applyFont="1" applyFill="1" applyBorder="1" applyAlignment="1">
      <alignment horizontal="right"/>
    </xf>
    <xf numFmtId="165" fontId="56" fillId="0" borderId="106" xfId="42" applyNumberFormat="1" applyFont="1" applyFill="1" applyBorder="1" applyAlignment="1">
      <alignment horizontal="right"/>
    </xf>
    <xf numFmtId="166" fontId="184" fillId="0" borderId="113" xfId="0" applyNumberFormat="1" applyFont="1" applyFill="1" applyBorder="1" applyAlignment="1">
      <alignment horizontal="right"/>
    </xf>
    <xf numFmtId="166" fontId="184" fillId="0" borderId="102" xfId="0" applyNumberFormat="1" applyFont="1" applyFill="1" applyBorder="1" applyAlignment="1">
      <alignment horizontal="right"/>
    </xf>
    <xf numFmtId="166" fontId="184" fillId="0" borderId="107" xfId="0" applyNumberFormat="1" applyFont="1" applyFill="1" applyBorder="1" applyAlignment="1">
      <alignment horizontal="right"/>
    </xf>
    <xf numFmtId="166" fontId="184" fillId="0" borderId="105" xfId="0" applyNumberFormat="1" applyFont="1" applyFill="1" applyBorder="1" applyAlignment="1">
      <alignment horizontal="right"/>
    </xf>
    <xf numFmtId="166" fontId="184" fillId="0" borderId="121" xfId="52" applyNumberFormat="1" applyFont="1" applyBorder="1" applyAlignment="1">
      <alignment horizontal="right"/>
    </xf>
    <xf numFmtId="166" fontId="184" fillId="0" borderId="122" xfId="52" applyNumberFormat="1" applyFont="1" applyBorder="1" applyAlignment="1">
      <alignment horizontal="right"/>
    </xf>
    <xf numFmtId="166" fontId="184" fillId="0" borderId="121" xfId="52" applyNumberFormat="1" applyFont="1" applyFill="1" applyBorder="1" applyAlignment="1">
      <alignment horizontal="right"/>
    </xf>
    <xf numFmtId="165" fontId="56" fillId="0" borderId="122" xfId="42" applyNumberFormat="1" applyFont="1" applyFill="1" applyBorder="1" applyAlignment="1">
      <alignment horizontal="right"/>
    </xf>
    <xf numFmtId="165" fontId="184" fillId="0" borderId="122" xfId="42" applyNumberFormat="1" applyFont="1" applyFill="1" applyBorder="1" applyAlignment="1">
      <alignment horizontal="right"/>
    </xf>
    <xf numFmtId="166" fontId="56" fillId="0" borderId="65" xfId="52" applyNumberFormat="1" applyFont="1" applyFill="1" applyBorder="1" applyAlignment="1">
      <alignment horizontal="right"/>
    </xf>
    <xf numFmtId="165" fontId="56" fillId="0" borderId="122" xfId="52" applyNumberFormat="1" applyFont="1" applyBorder="1" applyAlignment="1">
      <alignment horizontal="right"/>
    </xf>
    <xf numFmtId="166" fontId="184" fillId="0" borderId="122" xfId="52" applyNumberFormat="1" applyFont="1" applyFill="1" applyBorder="1" applyAlignment="1">
      <alignment horizontal="right"/>
    </xf>
    <xf numFmtId="165" fontId="185" fillId="47" borderId="121" xfId="42" applyNumberFormat="1" applyFont="1" applyFill="1" applyBorder="1" applyAlignment="1">
      <alignment horizontal="right"/>
    </xf>
    <xf numFmtId="165" fontId="185" fillId="47" borderId="122" xfId="42" applyNumberFormat="1" applyFont="1" applyFill="1" applyBorder="1" applyAlignment="1">
      <alignment horizontal="right"/>
    </xf>
    <xf numFmtId="192" fontId="185" fillId="47" borderId="121" xfId="42" applyNumberFormat="1" applyFont="1" applyFill="1" applyBorder="1" applyAlignment="1">
      <alignment horizontal="right"/>
    </xf>
    <xf numFmtId="165" fontId="198" fillId="47" borderId="121" xfId="42" applyNumberFormat="1" applyFont="1" applyFill="1" applyBorder="1" applyAlignment="1">
      <alignment horizontal="right"/>
    </xf>
    <xf numFmtId="0" fontId="56" fillId="0" borderId="77" xfId="67" applyFont="1" applyFill="1" applyBorder="1"/>
    <xf numFmtId="9" fontId="56" fillId="0" borderId="53" xfId="129" applyFont="1" applyFill="1" applyBorder="1" applyAlignment="1">
      <alignment horizontal="right"/>
    </xf>
    <xf numFmtId="9" fontId="56" fillId="0" borderId="53" xfId="67" applyNumberFormat="1" applyFont="1" applyFill="1" applyBorder="1"/>
    <xf numFmtId="0" fontId="186" fillId="0" borderId="53" xfId="67" applyFont="1" applyFill="1" applyBorder="1" applyAlignment="1">
      <alignment horizontal="center"/>
    </xf>
    <xf numFmtId="4" fontId="56" fillId="0" borderId="53" xfId="69" applyNumberFormat="1" applyFont="1" applyFill="1" applyBorder="1" applyAlignment="1"/>
    <xf numFmtId="4" fontId="56" fillId="0" borderId="53" xfId="67" applyNumberFormat="1" applyFont="1" applyFill="1" applyBorder="1"/>
    <xf numFmtId="166" fontId="184" fillId="0" borderId="53" xfId="129" applyNumberFormat="1" applyFont="1" applyFill="1" applyBorder="1"/>
    <xf numFmtId="166" fontId="184" fillId="0" borderId="53" xfId="129" applyNumberFormat="1" applyFont="1" applyFill="1" applyBorder="1" applyAlignment="1"/>
    <xf numFmtId="166" fontId="56" fillId="0" borderId="77" xfId="129" applyNumberFormat="1" applyFont="1" applyFill="1" applyBorder="1" applyAlignment="1"/>
    <xf numFmtId="181" fontId="56" fillId="0" borderId="53" xfId="67" applyNumberFormat="1" applyFont="1" applyFill="1" applyBorder="1"/>
    <xf numFmtId="166" fontId="56" fillId="0" borderId="53" xfId="67" applyNumberFormat="1" applyFont="1" applyBorder="1"/>
    <xf numFmtId="9" fontId="189" fillId="0" borderId="53" xfId="129" applyFont="1" applyFill="1" applyBorder="1" applyAlignment="1">
      <alignment horizontal="right"/>
    </xf>
    <xf numFmtId="0" fontId="56" fillId="0" borderId="53" xfId="67" applyFont="1" applyFill="1" applyBorder="1"/>
    <xf numFmtId="4" fontId="187" fillId="0" borderId="53" xfId="69" applyNumberFormat="1" applyFont="1" applyFill="1" applyBorder="1" applyAlignment="1"/>
    <xf numFmtId="166" fontId="56" fillId="0" borderId="64" xfId="52" applyNumberFormat="1" applyFont="1" applyFill="1" applyBorder="1" applyAlignment="1">
      <alignment horizontal="right"/>
    </xf>
    <xf numFmtId="178" fontId="56" fillId="0" borderId="65" xfId="0" applyNumberFormat="1" applyFont="1" applyBorder="1" applyAlignment="1">
      <alignment horizontal="right"/>
    </xf>
    <xf numFmtId="0" fontId="185" fillId="0" borderId="118" xfId="0" applyFont="1" applyFill="1" applyBorder="1" applyAlignment="1">
      <alignment horizontal="center"/>
    </xf>
    <xf numFmtId="0" fontId="56" fillId="0" borderId="121" xfId="0" applyFont="1" applyBorder="1" applyAlignment="1">
      <alignment horizontal="right"/>
    </xf>
    <xf numFmtId="37" fontId="56" fillId="0" borderId="106" xfId="0" applyNumberFormat="1" applyFont="1" applyBorder="1" applyAlignment="1">
      <alignment horizontal="right"/>
    </xf>
    <xf numFmtId="37" fontId="56" fillId="0" borderId="106" xfId="0" applyNumberFormat="1" applyFont="1" applyFill="1" applyBorder="1" applyAlignment="1">
      <alignment horizontal="right"/>
    </xf>
    <xf numFmtId="178" fontId="189" fillId="0" borderId="106" xfId="10" applyNumberFormat="1" applyFont="1" applyFill="1" applyBorder="1" applyAlignment="1">
      <alignment horizontal="right"/>
    </xf>
    <xf numFmtId="178" fontId="56" fillId="0" borderId="106" xfId="0" applyNumberFormat="1" applyFont="1" applyFill="1" applyBorder="1" applyAlignment="1">
      <alignment horizontal="right"/>
    </xf>
    <xf numFmtId="178" fontId="56" fillId="0" borderId="106" xfId="10" applyNumberFormat="1" applyFont="1" applyBorder="1" applyAlignment="1">
      <alignment horizontal="right"/>
    </xf>
    <xf numFmtId="178" fontId="56" fillId="0" borderId="106" xfId="0" applyNumberFormat="1" applyFont="1" applyBorder="1" applyAlignment="1">
      <alignment horizontal="right"/>
    </xf>
    <xf numFmtId="178" fontId="56" fillId="0" borderId="106" xfId="10" applyNumberFormat="1" applyFont="1" applyFill="1" applyBorder="1" applyAlignment="1">
      <alignment horizontal="right"/>
    </xf>
    <xf numFmtId="37" fontId="56" fillId="0" borderId="118" xfId="0" applyNumberFormat="1" applyFont="1" applyFill="1" applyBorder="1" applyAlignment="1">
      <alignment horizontal="right"/>
    </xf>
    <xf numFmtId="166" fontId="56" fillId="0" borderId="118" xfId="0" applyNumberFormat="1" applyFont="1" applyFill="1" applyBorder="1" applyAlignment="1">
      <alignment horizontal="right"/>
    </xf>
    <xf numFmtId="171" fontId="56" fillId="0" borderId="124" xfId="52" applyNumberFormat="1" applyFont="1" applyBorder="1" applyAlignment="1">
      <alignment horizontal="right"/>
    </xf>
    <xf numFmtId="171" fontId="56" fillId="0" borderId="118" xfId="52" applyNumberFormat="1" applyFont="1" applyBorder="1" applyAlignment="1">
      <alignment horizontal="right"/>
    </xf>
    <xf numFmtId="37" fontId="56" fillId="0" borderId="106" xfId="10" applyNumberFormat="1" applyFont="1" applyBorder="1" applyAlignment="1">
      <alignment horizontal="right"/>
    </xf>
    <xf numFmtId="43" fontId="56" fillId="0" borderId="106" xfId="10" applyFont="1" applyBorder="1" applyAlignment="1">
      <alignment horizontal="right"/>
    </xf>
    <xf numFmtId="37" fontId="56" fillId="0" borderId="106" xfId="10" applyNumberFormat="1" applyFont="1" applyFill="1" applyBorder="1" applyAlignment="1">
      <alignment horizontal="right"/>
    </xf>
    <xf numFmtId="43" fontId="189" fillId="0" borderId="91" xfId="10" applyFont="1" applyFill="1" applyBorder="1" applyAlignment="1">
      <alignment horizontal="right"/>
    </xf>
    <xf numFmtId="178" fontId="189" fillId="0" borderId="106" xfId="10" applyNumberFormat="1" applyFont="1" applyBorder="1" applyAlignment="1">
      <alignment horizontal="right"/>
    </xf>
    <xf numFmtId="178" fontId="213" fillId="0" borderId="106" xfId="0" applyNumberFormat="1" applyFont="1" applyFill="1" applyBorder="1" applyAlignment="1">
      <alignment horizontal="right"/>
    </xf>
    <xf numFmtId="171" fontId="56" fillId="0" borderId="91" xfId="52" applyNumberFormat="1" applyFont="1" applyBorder="1" applyAlignment="1">
      <alignment horizontal="right"/>
    </xf>
    <xf numFmtId="37" fontId="56" fillId="0" borderId="106" xfId="39" applyNumberFormat="1" applyFont="1" applyFill="1" applyBorder="1" applyAlignment="1">
      <alignment horizontal="right"/>
    </xf>
    <xf numFmtId="37" fontId="188" fillId="0" borderId="120" xfId="0" applyNumberFormat="1" applyFont="1" applyBorder="1" applyAlignment="1">
      <alignment horizontal="right"/>
    </xf>
    <xf numFmtId="165" fontId="56" fillId="0" borderId="60" xfId="10" applyNumberFormat="1" applyFont="1" applyFill="1" applyBorder="1" applyAlignment="1">
      <alignment horizontal="right"/>
    </xf>
    <xf numFmtId="165" fontId="189" fillId="0" borderId="0" xfId="10" applyNumberFormat="1" applyFont="1" applyFill="1" applyBorder="1" applyAlignment="1">
      <alignment horizontal="right"/>
    </xf>
    <xf numFmtId="37" fontId="213" fillId="0" borderId="92" xfId="0" applyNumberFormat="1" applyFont="1" applyFill="1" applyBorder="1" applyAlignment="1">
      <alignment horizontal="right"/>
    </xf>
    <xf numFmtId="9" fontId="56" fillId="0" borderId="22" xfId="52" applyFont="1" applyFill="1" applyBorder="1" applyAlignment="1">
      <alignment horizontal="right"/>
    </xf>
    <xf numFmtId="9" fontId="56" fillId="0" borderId="82" xfId="52" applyFont="1" applyFill="1" applyBorder="1" applyAlignment="1">
      <alignment horizontal="right"/>
    </xf>
    <xf numFmtId="9" fontId="56" fillId="0" borderId="85" xfId="52" applyFont="1" applyFill="1" applyBorder="1" applyAlignment="1">
      <alignment horizontal="right"/>
    </xf>
    <xf numFmtId="9" fontId="56" fillId="0" borderId="0" xfId="52" applyFont="1" applyFill="1"/>
    <xf numFmtId="10" fontId="56" fillId="0" borderId="106" xfId="52" applyNumberFormat="1" applyFont="1" applyFill="1" applyBorder="1" applyAlignment="1">
      <alignment horizontal="right"/>
    </xf>
    <xf numFmtId="165" fontId="56" fillId="0" borderId="121" xfId="46" applyNumberFormat="1" applyFont="1" applyBorder="1"/>
    <xf numFmtId="165" fontId="56" fillId="0" borderId="121" xfId="0" applyNumberFormat="1" applyFont="1" applyBorder="1"/>
    <xf numFmtId="165" fontId="191" fillId="0" borderId="121" xfId="0" applyNumberFormat="1" applyFont="1" applyBorder="1"/>
    <xf numFmtId="165" fontId="56" fillId="0" borderId="121" xfId="0" applyNumberFormat="1" applyFont="1" applyBorder="1" applyAlignment="1">
      <alignment horizontal="right"/>
    </xf>
    <xf numFmtId="165" fontId="56" fillId="0" borderId="64" xfId="0" applyNumberFormat="1" applyFont="1" applyBorder="1" applyAlignment="1">
      <alignment horizontal="right"/>
    </xf>
    <xf numFmtId="165" fontId="56" fillId="0" borderId="126" xfId="0" applyNumberFormat="1" applyFont="1" applyBorder="1" applyAlignment="1">
      <alignment horizontal="right"/>
    </xf>
    <xf numFmtId="43" fontId="56" fillId="0" borderId="121" xfId="10" applyFont="1" applyFill="1" applyBorder="1"/>
    <xf numFmtId="166" fontId="56" fillId="0" borderId="126" xfId="52" applyNumberFormat="1" applyFont="1" applyFill="1" applyBorder="1" applyAlignment="1">
      <alignment horizontal="right"/>
    </xf>
    <xf numFmtId="0" fontId="186" fillId="0" borderId="0" xfId="0" applyFont="1" applyAlignment="1">
      <alignment horizontal="center"/>
    </xf>
    <xf numFmtId="43" fontId="186" fillId="0" borderId="4" xfId="10" applyFont="1" applyFill="1" applyBorder="1"/>
    <xf numFmtId="43" fontId="186" fillId="0" borderId="87" xfId="10" applyFont="1" applyFill="1" applyBorder="1"/>
    <xf numFmtId="166" fontId="186" fillId="0" borderId="4" xfId="52" applyNumberFormat="1" applyFont="1" applyFill="1" applyBorder="1"/>
    <xf numFmtId="166" fontId="186" fillId="0" borderId="4" xfId="52" applyNumberFormat="1" applyFont="1" applyFill="1" applyBorder="1" applyAlignment="1">
      <alignment horizontal="right"/>
    </xf>
    <xf numFmtId="166" fontId="186" fillId="0" borderId="127" xfId="52" applyNumberFormat="1" applyFont="1" applyFill="1" applyBorder="1" applyAlignment="1">
      <alignment horizontal="right"/>
    </xf>
    <xf numFmtId="166" fontId="186" fillId="0" borderId="128" xfId="52" applyNumberFormat="1" applyFont="1" applyFill="1" applyBorder="1" applyAlignment="1">
      <alignment horizontal="right"/>
    </xf>
    <xf numFmtId="166" fontId="186" fillId="0" borderId="110" xfId="52" applyNumberFormat="1" applyFont="1" applyFill="1" applyBorder="1" applyAlignment="1">
      <alignment horizontal="right"/>
    </xf>
    <xf numFmtId="165" fontId="186" fillId="0" borderId="99" xfId="46" applyNumberFormat="1" applyFont="1" applyBorder="1"/>
    <xf numFmtId="165" fontId="186" fillId="0" borderId="130" xfId="46" applyNumberFormat="1" applyFont="1" applyBorder="1"/>
    <xf numFmtId="165" fontId="186" fillId="0" borderId="130" xfId="0" applyNumberFormat="1" applyFont="1" applyBorder="1"/>
    <xf numFmtId="165" fontId="186" fillId="0" borderId="99" xfId="0" applyNumberFormat="1" applyFont="1" applyBorder="1"/>
    <xf numFmtId="165" fontId="241" fillId="0" borderId="130" xfId="0" applyNumberFormat="1" applyFont="1" applyBorder="1"/>
    <xf numFmtId="165" fontId="241" fillId="0" borderId="99" xfId="0" applyNumberFormat="1" applyFont="1" applyBorder="1"/>
    <xf numFmtId="165" fontId="186" fillId="0" borderId="130" xfId="0" applyNumberFormat="1" applyFont="1" applyBorder="1" applyAlignment="1">
      <alignment horizontal="right"/>
    </xf>
    <xf numFmtId="165" fontId="186" fillId="0" borderId="99" xfId="0" applyNumberFormat="1" applyFont="1" applyBorder="1" applyAlignment="1">
      <alignment horizontal="right"/>
    </xf>
    <xf numFmtId="165" fontId="186" fillId="0" borderId="132" xfId="0" applyNumberFormat="1" applyFont="1" applyBorder="1" applyAlignment="1">
      <alignment horizontal="right"/>
    </xf>
    <xf numFmtId="165" fontId="186" fillId="0" borderId="77" xfId="0" applyNumberFormat="1" applyFont="1" applyBorder="1" applyAlignment="1">
      <alignment horizontal="right"/>
    </xf>
    <xf numFmtId="10" fontId="213" fillId="0" borderId="0" xfId="52" applyNumberFormat="1" applyFont="1" applyFill="1" applyBorder="1" applyAlignment="1">
      <alignment horizontal="right"/>
    </xf>
    <xf numFmtId="10" fontId="213" fillId="0" borderId="106" xfId="52" applyNumberFormat="1" applyFont="1" applyFill="1" applyBorder="1" applyAlignment="1">
      <alignment horizontal="right"/>
    </xf>
    <xf numFmtId="165" fontId="186" fillId="0" borderId="4" xfId="52" applyNumberFormat="1" applyFont="1" applyFill="1" applyBorder="1" applyAlignment="1">
      <alignment horizontal="right"/>
    </xf>
    <xf numFmtId="165" fontId="186" fillId="0" borderId="133" xfId="52" applyNumberFormat="1" applyFont="1" applyFill="1" applyBorder="1" applyAlignment="1">
      <alignment horizontal="right"/>
    </xf>
    <xf numFmtId="165" fontId="186" fillId="0" borderId="134" xfId="52" applyNumberFormat="1" applyFont="1" applyFill="1" applyBorder="1" applyAlignment="1">
      <alignment horizontal="right"/>
    </xf>
    <xf numFmtId="165" fontId="186" fillId="0" borderId="87" xfId="52" applyNumberFormat="1" applyFont="1" applyFill="1" applyBorder="1" applyAlignment="1">
      <alignment horizontal="right"/>
    </xf>
    <xf numFmtId="165" fontId="186" fillId="0" borderId="128" xfId="52" applyNumberFormat="1" applyFont="1" applyFill="1" applyBorder="1" applyAlignment="1">
      <alignment horizontal="right"/>
    </xf>
    <xf numFmtId="165" fontId="187" fillId="0" borderId="106" xfId="52" applyNumberFormat="1" applyFont="1" applyFill="1" applyBorder="1" applyAlignment="1">
      <alignment horizontal="right"/>
    </xf>
    <xf numFmtId="9" fontId="184" fillId="0" borderId="22" xfId="52" applyFont="1" applyFill="1" applyBorder="1" applyAlignment="1">
      <alignment horizontal="right"/>
    </xf>
    <xf numFmtId="9" fontId="184" fillId="0" borderId="122" xfId="52" applyFont="1" applyFill="1" applyBorder="1" applyAlignment="1">
      <alignment horizontal="right"/>
    </xf>
    <xf numFmtId="9" fontId="184" fillId="0" borderId="121" xfId="52" applyFont="1" applyFill="1" applyBorder="1" applyAlignment="1">
      <alignment horizontal="right"/>
    </xf>
    <xf numFmtId="9" fontId="184" fillId="51" borderId="0" xfId="52" applyFont="1" applyFill="1" applyAlignment="1">
      <alignment horizontal="center"/>
    </xf>
    <xf numFmtId="9" fontId="184" fillId="0" borderId="0" xfId="52" applyFont="1" applyFill="1"/>
    <xf numFmtId="165" fontId="213" fillId="0" borderId="106" xfId="52" applyNumberFormat="1" applyFont="1" applyFill="1" applyBorder="1" applyAlignment="1">
      <alignment horizontal="right"/>
    </xf>
    <xf numFmtId="165" fontId="189" fillId="0" borderId="106" xfId="0" applyNumberFormat="1" applyFont="1" applyFill="1" applyBorder="1" applyAlignment="1">
      <alignment horizontal="right"/>
    </xf>
    <xf numFmtId="166" fontId="197" fillId="0" borderId="106" xfId="52" applyNumberFormat="1" applyFont="1" applyFill="1" applyBorder="1" applyAlignment="1">
      <alignment horizontal="right"/>
    </xf>
    <xf numFmtId="165" fontId="189" fillId="0" borderId="106" xfId="46" applyNumberFormat="1" applyFont="1" applyFill="1" applyBorder="1" applyAlignment="1">
      <alignment horizontal="right"/>
    </xf>
    <xf numFmtId="9" fontId="226" fillId="0" borderId="106" xfId="52" applyFont="1" applyBorder="1"/>
    <xf numFmtId="9" fontId="231" fillId="0" borderId="106" xfId="52" applyFont="1" applyBorder="1"/>
    <xf numFmtId="9" fontId="21" fillId="50" borderId="106" xfId="52" applyFont="1" applyFill="1" applyBorder="1"/>
    <xf numFmtId="166" fontId="56" fillId="0" borderId="135" xfId="39" applyNumberFormat="1" applyFont="1" applyFill="1" applyBorder="1" applyAlignment="1">
      <alignment horizontal="right"/>
    </xf>
    <xf numFmtId="37" fontId="56" fillId="0" borderId="111" xfId="0" applyNumberFormat="1" applyFont="1" applyFill="1" applyBorder="1" applyAlignment="1">
      <alignment horizontal="right"/>
    </xf>
    <xf numFmtId="166" fontId="184" fillId="0" borderId="0" xfId="52" applyNumberFormat="1" applyFont="1" applyFill="1" applyBorder="1" applyAlignment="1">
      <alignment horizontal="center"/>
    </xf>
    <xf numFmtId="9" fontId="231" fillId="50" borderId="106" xfId="52" applyFont="1" applyFill="1" applyBorder="1"/>
    <xf numFmtId="9" fontId="232" fillId="0" borderId="106" xfId="52" applyFont="1" applyBorder="1"/>
    <xf numFmtId="9" fontId="232" fillId="50" borderId="106" xfId="52" applyFont="1" applyFill="1" applyBorder="1"/>
    <xf numFmtId="9" fontId="213" fillId="0" borderId="0" xfId="129" applyFont="1" applyFill="1" applyBorder="1" applyAlignment="1">
      <alignment horizontal="right"/>
    </xf>
    <xf numFmtId="9" fontId="213" fillId="0" borderId="14" xfId="129" applyFont="1" applyFill="1" applyBorder="1" applyAlignment="1">
      <alignment horizontal="right"/>
    </xf>
    <xf numFmtId="9" fontId="213" fillId="0" borderId="64" xfId="129" applyFont="1" applyFill="1" applyBorder="1" applyAlignment="1">
      <alignment horizontal="right"/>
    </xf>
    <xf numFmtId="177" fontId="56" fillId="51" borderId="106" xfId="10" applyNumberFormat="1" applyFont="1" applyFill="1" applyBorder="1" applyAlignment="1">
      <alignment horizontal="right"/>
    </xf>
    <xf numFmtId="37" fontId="0" fillId="58" borderId="106" xfId="0" applyNumberFormat="1" applyFill="1" applyBorder="1"/>
    <xf numFmtId="37" fontId="0" fillId="58" borderId="0" xfId="0" applyNumberFormat="1" applyFill="1" applyBorder="1"/>
    <xf numFmtId="0" fontId="186" fillId="51" borderId="0" xfId="0" applyFont="1" applyFill="1" applyBorder="1" applyAlignment="1">
      <alignment horizontal="center"/>
    </xf>
    <xf numFmtId="9" fontId="185" fillId="51" borderId="0" xfId="52" applyFont="1" applyFill="1" applyAlignment="1">
      <alignment horizontal="center"/>
    </xf>
    <xf numFmtId="9" fontId="186" fillId="51" borderId="0" xfId="52" applyFont="1" applyFill="1" applyBorder="1" applyAlignment="1">
      <alignment horizontal="center"/>
    </xf>
    <xf numFmtId="0" fontId="17" fillId="51" borderId="0" xfId="0" applyFont="1" applyFill="1" applyBorder="1"/>
    <xf numFmtId="9" fontId="17" fillId="51" borderId="0" xfId="52" applyFont="1" applyFill="1" applyBorder="1" applyAlignment="1">
      <alignment horizontal="right"/>
    </xf>
    <xf numFmtId="38" fontId="17" fillId="51" borderId="0" xfId="52" applyNumberFormat="1" applyFont="1" applyFill="1" applyBorder="1"/>
    <xf numFmtId="38" fontId="17" fillId="51" borderId="106" xfId="52" applyNumberFormat="1" applyFont="1" applyFill="1" applyBorder="1"/>
    <xf numFmtId="9" fontId="17" fillId="51" borderId="106" xfId="52" applyFont="1" applyFill="1" applyBorder="1"/>
    <xf numFmtId="165" fontId="188" fillId="0" borderId="0" xfId="46" applyNumberFormat="1" applyFont="1" applyFill="1" applyBorder="1"/>
    <xf numFmtId="165" fontId="188" fillId="0" borderId="121" xfId="46" applyNumberFormat="1" applyFont="1" applyFill="1" applyBorder="1"/>
    <xf numFmtId="165" fontId="188" fillId="0" borderId="121" xfId="46" applyNumberFormat="1" applyFont="1" applyFill="1" applyBorder="1" applyAlignment="1">
      <alignment horizontal="right"/>
    </xf>
    <xf numFmtId="165" fontId="188" fillId="0" borderId="0" xfId="46" applyNumberFormat="1" applyFont="1" applyFill="1" applyBorder="1" applyAlignment="1">
      <alignment horizontal="right"/>
    </xf>
    <xf numFmtId="165" fontId="188" fillId="0" borderId="65" xfId="46" applyNumberFormat="1" applyFont="1" applyFill="1" applyBorder="1" applyAlignment="1">
      <alignment horizontal="right"/>
    </xf>
    <xf numFmtId="165" fontId="188" fillId="0" borderId="14" xfId="46" applyNumberFormat="1" applyFont="1" applyFill="1" applyBorder="1" applyAlignment="1">
      <alignment horizontal="right"/>
    </xf>
    <xf numFmtId="165" fontId="242" fillId="0" borderId="0" xfId="46" applyNumberFormat="1" applyFont="1" applyFill="1" applyBorder="1" applyAlignment="1">
      <alignment horizontal="right"/>
    </xf>
    <xf numFmtId="165" fontId="242" fillId="0" borderId="65" xfId="46" applyNumberFormat="1" applyFont="1" applyFill="1" applyBorder="1" applyAlignment="1">
      <alignment horizontal="right"/>
    </xf>
    <xf numFmtId="0" fontId="56" fillId="51" borderId="21" xfId="0" applyFont="1" applyFill="1" applyBorder="1" applyAlignment="1">
      <alignment horizontal="right"/>
    </xf>
    <xf numFmtId="0" fontId="56" fillId="51" borderId="22" xfId="0" applyFont="1" applyFill="1" applyBorder="1" applyAlignment="1">
      <alignment horizontal="right"/>
    </xf>
    <xf numFmtId="178" fontId="56" fillId="51" borderId="106" xfId="0" applyNumberFormat="1" applyFont="1" applyFill="1" applyBorder="1" applyAlignment="1">
      <alignment horizontal="right"/>
    </xf>
    <xf numFmtId="194" fontId="56" fillId="51" borderId="0" xfId="0" applyNumberFormat="1" applyFont="1" applyFill="1" applyBorder="1" applyAlignment="1">
      <alignment horizontal="right"/>
    </xf>
    <xf numFmtId="178" fontId="56" fillId="51" borderId="0" xfId="0" applyNumberFormat="1" applyFont="1" applyFill="1" applyBorder="1" applyAlignment="1">
      <alignment horizontal="right"/>
    </xf>
    <xf numFmtId="178" fontId="56" fillId="51" borderId="12" xfId="0" applyNumberFormat="1" applyFont="1" applyFill="1" applyBorder="1" applyAlignment="1">
      <alignment horizontal="right"/>
    </xf>
    <xf numFmtId="165" fontId="56" fillId="51" borderId="4" xfId="52" applyNumberFormat="1" applyFont="1" applyFill="1" applyBorder="1" applyAlignment="1">
      <alignment horizontal="right"/>
    </xf>
    <xf numFmtId="165" fontId="56" fillId="51" borderId="133" xfId="52" applyNumberFormat="1" applyFont="1" applyFill="1" applyBorder="1" applyAlignment="1">
      <alignment horizontal="right"/>
    </xf>
    <xf numFmtId="165" fontId="56" fillId="51" borderId="134" xfId="52" applyNumberFormat="1" applyFont="1" applyFill="1" applyBorder="1" applyAlignment="1">
      <alignment horizontal="right"/>
    </xf>
    <xf numFmtId="165" fontId="56" fillId="51" borderId="87" xfId="52" applyNumberFormat="1" applyFont="1" applyFill="1" applyBorder="1" applyAlignment="1">
      <alignment horizontal="right"/>
    </xf>
    <xf numFmtId="165" fontId="56" fillId="51" borderId="5" xfId="52" applyNumberFormat="1" applyFont="1" applyFill="1" applyBorder="1" applyAlignment="1">
      <alignment horizontal="right"/>
    </xf>
    <xf numFmtId="166" fontId="56" fillId="0" borderId="14" xfId="52" applyNumberFormat="1" applyFont="1" applyFill="1" applyBorder="1" applyAlignment="1">
      <alignment horizontal="right"/>
    </xf>
    <xf numFmtId="166" fontId="189" fillId="0" borderId="65" xfId="52" applyNumberFormat="1" applyFont="1" applyFill="1" applyBorder="1" applyAlignment="1">
      <alignment horizontal="right"/>
    </xf>
    <xf numFmtId="178" fontId="56" fillId="0" borderId="82" xfId="0" applyNumberFormat="1" applyFont="1" applyBorder="1"/>
    <xf numFmtId="178" fontId="191" fillId="0" borderId="85" xfId="0" applyNumberFormat="1" applyFont="1" applyBorder="1"/>
    <xf numFmtId="178" fontId="191" fillId="0" borderId="0" xfId="0" applyNumberFormat="1" applyFont="1" applyBorder="1"/>
    <xf numFmtId="178" fontId="56" fillId="0" borderId="82" xfId="10" applyNumberFormat="1" applyFont="1" applyBorder="1"/>
    <xf numFmtId="178" fontId="56" fillId="0" borderId="85" xfId="10" applyNumberFormat="1" applyFont="1" applyBorder="1"/>
    <xf numFmtId="178" fontId="56" fillId="0" borderId="0" xfId="0" applyNumberFormat="1" applyFont="1" applyFill="1" applyBorder="1"/>
    <xf numFmtId="178" fontId="56" fillId="0" borderId="0" xfId="10" applyNumberFormat="1" applyFont="1" applyBorder="1"/>
    <xf numFmtId="178" fontId="189" fillId="0" borderId="0" xfId="10" applyNumberFormat="1" applyFont="1" applyBorder="1"/>
    <xf numFmtId="178" fontId="56" fillId="0" borderId="82" xfId="10" applyNumberFormat="1" applyFont="1" applyBorder="1" applyAlignment="1">
      <alignment horizontal="right"/>
    </xf>
    <xf numFmtId="178" fontId="56" fillId="0" borderId="0" xfId="0" applyNumberFormat="1" applyFont="1"/>
    <xf numFmtId="43" fontId="187" fillId="0" borderId="61" xfId="10" applyFont="1" applyBorder="1" applyAlignment="1">
      <alignment horizontal="right"/>
    </xf>
    <xf numFmtId="166" fontId="190" fillId="0" borderId="0" xfId="52" applyNumberFormat="1" applyFont="1" applyBorder="1" applyAlignment="1">
      <alignment horizontal="right"/>
    </xf>
    <xf numFmtId="165" fontId="184" fillId="0" borderId="106" xfId="42" applyNumberFormat="1" applyFont="1" applyFill="1" applyBorder="1" applyAlignment="1">
      <alignment horizontal="right"/>
    </xf>
    <xf numFmtId="166" fontId="201" fillId="51" borderId="0" xfId="0" applyNumberFormat="1" applyFont="1" applyFill="1" applyBorder="1" applyAlignment="1">
      <alignment horizontal="center"/>
    </xf>
    <xf numFmtId="0" fontId="213" fillId="0" borderId="0" xfId="67" applyFont="1" applyFill="1"/>
    <xf numFmtId="37" fontId="190" fillId="0" borderId="118" xfId="10" applyNumberFormat="1" applyFont="1" applyBorder="1" applyAlignment="1">
      <alignment horizontal="right"/>
    </xf>
    <xf numFmtId="37" fontId="187" fillId="0" borderId="14" xfId="0" applyNumberFormat="1" applyFont="1" applyBorder="1" applyAlignment="1">
      <alignment horizontal="right"/>
    </xf>
    <xf numFmtId="37" fontId="187" fillId="0" borderId="14" xfId="10" applyNumberFormat="1" applyFont="1" applyBorder="1" applyAlignment="1">
      <alignment horizontal="right"/>
    </xf>
    <xf numFmtId="37" fontId="187" fillId="0" borderId="14" xfId="10" applyNumberFormat="1" applyFont="1" applyFill="1" applyBorder="1" applyAlignment="1">
      <alignment horizontal="right"/>
    </xf>
    <xf numFmtId="43" fontId="187" fillId="0" borderId="14" xfId="10" applyFont="1" applyBorder="1" applyAlignment="1">
      <alignment horizontal="right"/>
    </xf>
    <xf numFmtId="37" fontId="187" fillId="0" borderId="124" xfId="10" applyNumberFormat="1" applyFont="1" applyBorder="1" applyAlignment="1">
      <alignment horizontal="right"/>
    </xf>
    <xf numFmtId="37" fontId="187" fillId="0" borderId="14" xfId="0" applyNumberFormat="1" applyFont="1" applyFill="1" applyBorder="1" applyAlignment="1">
      <alignment horizontal="right"/>
    </xf>
    <xf numFmtId="43" fontId="187" fillId="0" borderId="137" xfId="10" applyFont="1" applyBorder="1" applyAlignment="1">
      <alignment horizontal="right"/>
    </xf>
    <xf numFmtId="178" fontId="187" fillId="0" borderId="14" xfId="10" applyNumberFormat="1" applyFont="1" applyBorder="1" applyAlignment="1">
      <alignment horizontal="right"/>
    </xf>
    <xf numFmtId="178" fontId="187" fillId="0" borderId="14" xfId="0" applyNumberFormat="1" applyFont="1" applyBorder="1" applyAlignment="1">
      <alignment horizontal="right"/>
    </xf>
    <xf numFmtId="178" fontId="187" fillId="0" borderId="14" xfId="0" applyNumberFormat="1" applyFont="1" applyFill="1" applyBorder="1" applyAlignment="1">
      <alignment horizontal="right"/>
    </xf>
    <xf numFmtId="178" fontId="187" fillId="0" borderId="14" xfId="10" applyNumberFormat="1" applyFont="1" applyFill="1" applyBorder="1" applyAlignment="1">
      <alignment horizontal="right"/>
    </xf>
    <xf numFmtId="0" fontId="56" fillId="51" borderId="14" xfId="0" applyFont="1" applyFill="1" applyBorder="1" applyAlignment="1">
      <alignment horizontal="right"/>
    </xf>
    <xf numFmtId="166" fontId="56" fillId="0" borderId="118" xfId="39" applyNumberFormat="1" applyFont="1" applyFill="1" applyBorder="1"/>
    <xf numFmtId="166" fontId="56" fillId="0" borderId="118" xfId="52" applyNumberFormat="1" applyFont="1" applyBorder="1"/>
    <xf numFmtId="166" fontId="56" fillId="0" borderId="14" xfId="39" applyNumberFormat="1" applyFont="1" applyFill="1" applyBorder="1" applyAlignment="1">
      <alignment horizontal="right"/>
    </xf>
    <xf numFmtId="166" fontId="56" fillId="0" borderId="124" xfId="39" applyNumberFormat="1" applyFont="1" applyFill="1" applyBorder="1" applyAlignment="1">
      <alignment horizontal="right"/>
    </xf>
    <xf numFmtId="166" fontId="56" fillId="0" borderId="124" xfId="52" applyNumberFormat="1" applyFont="1" applyFill="1" applyBorder="1" applyAlignment="1">
      <alignment horizontal="right"/>
    </xf>
    <xf numFmtId="165" fontId="56" fillId="0" borderId="121" xfId="39" applyNumberFormat="1" applyFont="1" applyFill="1" applyBorder="1"/>
    <xf numFmtId="37" fontId="56" fillId="0" borderId="126" xfId="39" applyNumberFormat="1" applyFont="1" applyFill="1" applyBorder="1" applyAlignment="1">
      <alignment horizontal="right"/>
    </xf>
    <xf numFmtId="166" fontId="56" fillId="0" borderId="102" xfId="39" applyNumberFormat="1" applyFont="1" applyFill="1" applyBorder="1"/>
    <xf numFmtId="166" fontId="56" fillId="0" borderId="118" xfId="39" applyNumberFormat="1" applyFont="1" applyFill="1" applyBorder="1" applyAlignment="1">
      <alignment horizontal="right"/>
    </xf>
    <xf numFmtId="166" fontId="56" fillId="0" borderId="136" xfId="39" applyNumberFormat="1" applyFont="1" applyFill="1" applyBorder="1" applyAlignment="1">
      <alignment horizontal="right"/>
    </xf>
    <xf numFmtId="166" fontId="189" fillId="0" borderId="135" xfId="39" applyNumberFormat="1" applyFont="1" applyFill="1" applyBorder="1" applyAlignment="1">
      <alignment horizontal="right"/>
    </xf>
    <xf numFmtId="166" fontId="56" fillId="0" borderId="118" xfId="52" applyNumberFormat="1" applyFont="1" applyBorder="1" applyAlignment="1">
      <alignment horizontal="right"/>
    </xf>
    <xf numFmtId="166" fontId="56" fillId="0" borderId="136" xfId="52" applyNumberFormat="1" applyFont="1" applyFill="1" applyBorder="1" applyAlignment="1">
      <alignment horizontal="right"/>
    </xf>
    <xf numFmtId="166" fontId="56" fillId="0" borderId="118" xfId="52" applyNumberFormat="1" applyFont="1" applyFill="1" applyBorder="1" applyAlignment="1">
      <alignment horizontal="right"/>
    </xf>
    <xf numFmtId="166" fontId="56" fillId="0" borderId="135" xfId="52" applyNumberFormat="1" applyFont="1" applyFill="1" applyBorder="1" applyAlignment="1">
      <alignment horizontal="right"/>
    </xf>
    <xf numFmtId="166" fontId="189" fillId="0" borderId="135" xfId="52" applyNumberFormat="1" applyFont="1" applyFill="1" applyBorder="1" applyAlignment="1">
      <alignment horizontal="right"/>
    </xf>
    <xf numFmtId="165" fontId="56" fillId="0" borderId="92" xfId="39" applyNumberFormat="1" applyFont="1" applyFill="1" applyBorder="1" applyAlignment="1">
      <alignment horizontal="right"/>
    </xf>
    <xf numFmtId="37" fontId="56" fillId="0" borderId="85" xfId="39" applyNumberFormat="1" applyFont="1" applyFill="1" applyBorder="1"/>
    <xf numFmtId="37" fontId="56" fillId="0" borderId="0" xfId="39" applyNumberFormat="1" applyFont="1" applyFill="1" applyBorder="1"/>
    <xf numFmtId="37" fontId="56" fillId="0" borderId="85" xfId="39" applyNumberFormat="1" applyFont="1" applyFill="1" applyBorder="1" applyAlignment="1">
      <alignment horizontal="right"/>
    </xf>
    <xf numFmtId="37" fontId="56" fillId="0" borderId="21" xfId="39" applyNumberFormat="1" applyFont="1" applyFill="1" applyBorder="1"/>
    <xf numFmtId="165" fontId="56" fillId="0" borderId="106" xfId="39" applyNumberFormat="1" applyFont="1" applyFill="1" applyBorder="1" applyAlignment="1">
      <alignment horizontal="right"/>
    </xf>
    <xf numFmtId="37" fontId="56" fillId="0" borderId="121" xfId="39" applyNumberFormat="1" applyFont="1" applyFill="1" applyBorder="1"/>
    <xf numFmtId="37" fontId="56" fillId="0" borderId="121" xfId="39" applyNumberFormat="1" applyFont="1" applyFill="1" applyBorder="1" applyAlignment="1">
      <alignment horizontal="right"/>
    </xf>
    <xf numFmtId="37" fontId="56" fillId="0" borderId="21" xfId="39" applyNumberFormat="1" applyFont="1" applyFill="1" applyBorder="1" applyAlignment="1">
      <alignment horizontal="right"/>
    </xf>
    <xf numFmtId="165" fontId="56" fillId="0" borderId="14" xfId="10" applyNumberFormat="1" applyFont="1" applyFill="1" applyBorder="1" applyAlignment="1">
      <alignment horizontal="right"/>
    </xf>
    <xf numFmtId="165" fontId="56" fillId="0" borderId="21" xfId="10" applyNumberFormat="1" applyFont="1" applyBorder="1" applyAlignment="1">
      <alignment horizontal="right"/>
    </xf>
    <xf numFmtId="165" fontId="56" fillId="0" borderId="0" xfId="10" applyNumberFormat="1" applyFont="1" applyBorder="1" applyAlignment="1">
      <alignment horizontal="right"/>
    </xf>
    <xf numFmtId="165" fontId="213" fillId="0" borderId="0" xfId="10" applyNumberFormat="1" applyFont="1" applyFill="1" applyBorder="1" applyAlignment="1">
      <alignment horizontal="right"/>
    </xf>
    <xf numFmtId="37" fontId="56" fillId="0" borderId="21" xfId="0" applyNumberFormat="1" applyFont="1" applyFill="1" applyBorder="1" applyAlignment="1">
      <alignment horizontal="right"/>
    </xf>
    <xf numFmtId="165" fontId="191" fillId="0" borderId="0" xfId="10" applyNumberFormat="1" applyFont="1" applyBorder="1"/>
    <xf numFmtId="165" fontId="56" fillId="0" borderId="2" xfId="10" applyNumberFormat="1" applyFont="1" applyBorder="1" applyAlignment="1">
      <alignment horizontal="right"/>
    </xf>
    <xf numFmtId="37" fontId="56" fillId="0" borderId="64" xfId="0" applyNumberFormat="1" applyFont="1" applyBorder="1" applyAlignment="1">
      <alignment horizontal="right"/>
    </xf>
    <xf numFmtId="37" fontId="56" fillId="0" borderId="65" xfId="0" applyNumberFormat="1" applyFont="1" applyBorder="1" applyAlignment="1">
      <alignment horizontal="right"/>
    </xf>
    <xf numFmtId="37" fontId="56" fillId="0" borderId="126" xfId="0" applyNumberFormat="1" applyFont="1" applyBorder="1" applyAlignment="1">
      <alignment horizontal="right"/>
    </xf>
    <xf numFmtId="37" fontId="56" fillId="51" borderId="106" xfId="0" applyNumberFormat="1" applyFont="1" applyFill="1" applyBorder="1" applyAlignment="1">
      <alignment horizontal="right"/>
    </xf>
    <xf numFmtId="37" fontId="186" fillId="0" borderId="99" xfId="0" applyNumberFormat="1" applyFont="1" applyBorder="1" applyAlignment="1">
      <alignment horizontal="right"/>
    </xf>
    <xf numFmtId="37" fontId="186" fillId="0" borderId="77" xfId="0" applyNumberFormat="1" applyFont="1" applyBorder="1" applyAlignment="1">
      <alignment horizontal="right"/>
    </xf>
    <xf numFmtId="37" fontId="186" fillId="0" borderId="132" xfId="0" applyNumberFormat="1" applyFont="1" applyBorder="1" applyAlignment="1">
      <alignment horizontal="right"/>
    </xf>
    <xf numFmtId="37" fontId="186" fillId="0" borderId="131" xfId="0" applyNumberFormat="1" applyFont="1" applyBorder="1" applyAlignment="1">
      <alignment horizontal="right"/>
    </xf>
    <xf numFmtId="173" fontId="56" fillId="0" borderId="14" xfId="0" applyNumberFormat="1" applyFont="1" applyBorder="1" applyAlignment="1">
      <alignment horizontal="right"/>
    </xf>
    <xf numFmtId="173" fontId="56" fillId="0" borderId="21" xfId="0" applyNumberFormat="1" applyFont="1" applyBorder="1" applyAlignment="1">
      <alignment horizontal="right"/>
    </xf>
    <xf numFmtId="173" fontId="56" fillId="0" borderId="2" xfId="0" applyNumberFormat="1" applyFont="1" applyFill="1" applyBorder="1" applyAlignment="1">
      <alignment horizontal="right"/>
    </xf>
    <xf numFmtId="173" fontId="56" fillId="0" borderId="12" xfId="0" applyNumberFormat="1" applyFont="1" applyBorder="1" applyAlignment="1">
      <alignment horizontal="right"/>
    </xf>
    <xf numFmtId="173" fontId="56" fillId="0" borderId="2" xfId="0" applyNumberFormat="1" applyFont="1" applyBorder="1" applyAlignment="1">
      <alignment horizontal="right"/>
    </xf>
    <xf numFmtId="166" fontId="56" fillId="0" borderId="140" xfId="0" applyNumberFormat="1" applyFont="1" applyFill="1" applyBorder="1" applyAlignment="1">
      <alignment horizontal="right"/>
    </xf>
    <xf numFmtId="166" fontId="56" fillId="0" borderId="141" xfId="0" applyNumberFormat="1" applyFont="1" applyFill="1" applyBorder="1" applyAlignment="1">
      <alignment horizontal="right"/>
    </xf>
    <xf numFmtId="0" fontId="56" fillId="0" borderId="139" xfId="0" applyFont="1" applyBorder="1" applyAlignment="1">
      <alignment horizontal="right"/>
    </xf>
    <xf numFmtId="171" fontId="56" fillId="0" borderId="106" xfId="0" applyNumberFormat="1" applyFont="1" applyFill="1" applyBorder="1" applyAlignment="1">
      <alignment horizontal="right"/>
    </xf>
    <xf numFmtId="166" fontId="56" fillId="0" borderId="135" xfId="0" applyNumberFormat="1" applyFont="1" applyFill="1" applyBorder="1" applyAlignment="1">
      <alignment horizontal="right"/>
    </xf>
    <xf numFmtId="177" fontId="56" fillId="0" borderId="121" xfId="10" applyNumberFormat="1" applyFont="1" applyFill="1" applyBorder="1" applyAlignment="1">
      <alignment horizontal="right"/>
    </xf>
    <xf numFmtId="165" fontId="188" fillId="0" borderId="142" xfId="0" applyNumberFormat="1" applyFont="1" applyFill="1" applyBorder="1"/>
    <xf numFmtId="165" fontId="188" fillId="0" borderId="142" xfId="0" applyNumberFormat="1" applyFont="1" applyFill="1" applyBorder="1" applyAlignment="1">
      <alignment horizontal="right"/>
    </xf>
    <xf numFmtId="165" fontId="188" fillId="0" borderId="5" xfId="0" applyNumberFormat="1" applyFont="1" applyFill="1" applyBorder="1" applyAlignment="1">
      <alignment horizontal="right"/>
    </xf>
    <xf numFmtId="0" fontId="56" fillId="0" borderId="143" xfId="0" applyFont="1" applyBorder="1" applyAlignment="1">
      <alignment horizontal="right"/>
    </xf>
    <xf numFmtId="0" fontId="56" fillId="0" borderId="143" xfId="0" applyFont="1" applyBorder="1"/>
    <xf numFmtId="166" fontId="56" fillId="0" borderId="118" xfId="0" applyNumberFormat="1" applyFont="1" applyFill="1" applyBorder="1"/>
    <xf numFmtId="0" fontId="56" fillId="0" borderId="139" xfId="0" applyFont="1" applyBorder="1"/>
    <xf numFmtId="165" fontId="56" fillId="0" borderId="106" xfId="39" applyNumberFormat="1" applyFont="1" applyFill="1" applyBorder="1"/>
    <xf numFmtId="165" fontId="188" fillId="0" borderId="5" xfId="0" applyNumberFormat="1" applyFont="1" applyFill="1" applyBorder="1"/>
    <xf numFmtId="171" fontId="56" fillId="0" borderId="106" xfId="0" applyNumberFormat="1" applyFont="1" applyFill="1" applyBorder="1"/>
    <xf numFmtId="166" fontId="56" fillId="0" borderId="135" xfId="0" applyNumberFormat="1" applyFont="1" applyFill="1" applyBorder="1"/>
    <xf numFmtId="43" fontId="56" fillId="0" borderId="106" xfId="10" applyFont="1" applyFill="1" applyBorder="1"/>
    <xf numFmtId="9" fontId="184" fillId="0" borderId="106" xfId="0" applyNumberFormat="1" applyFont="1" applyFill="1" applyBorder="1" applyAlignment="1">
      <alignment horizontal="right"/>
    </xf>
    <xf numFmtId="7" fontId="56" fillId="0" borderId="106" xfId="0" applyNumberFormat="1" applyFont="1" applyFill="1" applyBorder="1"/>
    <xf numFmtId="37" fontId="191" fillId="0" borderId="0" xfId="0" applyNumberFormat="1" applyFont="1" applyFill="1" applyBorder="1"/>
    <xf numFmtId="37" fontId="56" fillId="0" borderId="21" xfId="0" applyNumberFormat="1" applyFont="1" applyFill="1" applyBorder="1"/>
    <xf numFmtId="37" fontId="187" fillId="0" borderId="21" xfId="0" applyNumberFormat="1" applyFont="1" applyFill="1" applyBorder="1" applyAlignment="1">
      <alignment horizontal="right"/>
    </xf>
    <xf numFmtId="37" fontId="56" fillId="0" borderId="21" xfId="10" applyNumberFormat="1" applyFont="1" applyFill="1" applyBorder="1"/>
    <xf numFmtId="37" fontId="56" fillId="0" borderId="0" xfId="10" applyNumberFormat="1" applyFont="1" applyFill="1" applyBorder="1"/>
    <xf numFmtId="37" fontId="56" fillId="0" borderId="21" xfId="10" applyNumberFormat="1" applyFont="1" applyFill="1" applyBorder="1" applyAlignment="1">
      <alignment horizontal="right"/>
    </xf>
    <xf numFmtId="37" fontId="187" fillId="0" borderId="21" xfId="10" applyNumberFormat="1" applyFont="1" applyFill="1" applyBorder="1" applyAlignment="1">
      <alignment horizontal="right"/>
    </xf>
    <xf numFmtId="37" fontId="190" fillId="0" borderId="61" xfId="10" applyNumberFormat="1" applyFont="1" applyFill="1" applyBorder="1" applyAlignment="1">
      <alignment horizontal="right"/>
    </xf>
    <xf numFmtId="37" fontId="56" fillId="0" borderId="22" xfId="0" applyNumberFormat="1" applyFont="1" applyFill="1" applyBorder="1"/>
    <xf numFmtId="37" fontId="56" fillId="0" borderId="22" xfId="0" applyNumberFormat="1" applyFont="1" applyFill="1" applyBorder="1" applyAlignment="1">
      <alignment horizontal="right"/>
    </xf>
    <xf numFmtId="37" fontId="56" fillId="0" borderId="106" xfId="10" applyNumberFormat="1" applyFont="1" applyFill="1" applyBorder="1"/>
    <xf numFmtId="37" fontId="56" fillId="0" borderId="61" xfId="10" applyNumberFormat="1" applyFont="1" applyFill="1" applyBorder="1" applyAlignment="1">
      <alignment horizontal="right"/>
    </xf>
    <xf numFmtId="37" fontId="56" fillId="0" borderId="62" xfId="10" applyNumberFormat="1" applyFont="1" applyFill="1" applyBorder="1" applyAlignment="1">
      <alignment horizontal="right"/>
    </xf>
    <xf numFmtId="0" fontId="17" fillId="0" borderId="141" xfId="0" applyFont="1" applyBorder="1"/>
    <xf numFmtId="9" fontId="17" fillId="0" borderId="140" xfId="52" applyFont="1" applyBorder="1"/>
    <xf numFmtId="9" fontId="17" fillId="0" borderId="141" xfId="52" applyFont="1" applyBorder="1" applyAlignment="1">
      <alignment horizontal="right"/>
    </xf>
    <xf numFmtId="9" fontId="17" fillId="0" borderId="141" xfId="52" applyFont="1" applyBorder="1"/>
    <xf numFmtId="0" fontId="185" fillId="0" borderId="141" xfId="0" applyFont="1" applyFill="1" applyBorder="1" applyAlignment="1">
      <alignment horizontal="center"/>
    </xf>
    <xf numFmtId="0" fontId="185" fillId="0" borderId="141" xfId="0" quotePrefix="1" applyFont="1" applyFill="1" applyBorder="1" applyAlignment="1">
      <alignment horizontal="center"/>
    </xf>
    <xf numFmtId="166" fontId="184" fillId="0" borderId="147" xfId="0" applyNumberFormat="1" applyFont="1" applyFill="1" applyBorder="1" applyAlignment="1">
      <alignment horizontal="right"/>
    </xf>
    <xf numFmtId="166" fontId="184" fillId="0" borderId="141" xfId="0" applyNumberFormat="1" applyFont="1" applyFill="1" applyBorder="1" applyAlignment="1">
      <alignment horizontal="right"/>
    </xf>
    <xf numFmtId="166" fontId="184" fillId="0" borderId="148" xfId="0" applyNumberFormat="1" applyFont="1" applyFill="1" applyBorder="1" applyAlignment="1">
      <alignment horizontal="right"/>
    </xf>
    <xf numFmtId="166" fontId="184" fillId="0" borderId="150" xfId="0" applyNumberFormat="1" applyFont="1" applyFill="1" applyBorder="1" applyAlignment="1">
      <alignment horizontal="right"/>
    </xf>
    <xf numFmtId="166" fontId="184" fillId="0" borderId="143" xfId="0" applyNumberFormat="1" applyFont="1" applyFill="1" applyBorder="1" applyAlignment="1">
      <alignment horizontal="right"/>
    </xf>
    <xf numFmtId="166" fontId="184" fillId="0" borderId="139" xfId="0" applyNumberFormat="1" applyFont="1" applyFill="1" applyBorder="1" applyAlignment="1">
      <alignment horizontal="right"/>
    </xf>
    <xf numFmtId="166" fontId="184" fillId="0" borderId="151" xfId="0" applyNumberFormat="1" applyFont="1" applyFill="1" applyBorder="1" applyAlignment="1">
      <alignment horizontal="right"/>
    </xf>
    <xf numFmtId="166" fontId="184" fillId="0" borderId="121" xfId="0" applyNumberFormat="1" applyFont="1" applyFill="1" applyBorder="1" applyAlignment="1">
      <alignment horizontal="right"/>
    </xf>
    <xf numFmtId="43" fontId="184" fillId="0" borderId="121" xfId="10" applyFont="1" applyFill="1" applyBorder="1" applyAlignment="1">
      <alignment horizontal="right"/>
    </xf>
    <xf numFmtId="186" fontId="188" fillId="0" borderId="121" xfId="0" applyNumberFormat="1" applyFont="1" applyFill="1" applyBorder="1" applyAlignment="1">
      <alignment horizontal="right"/>
    </xf>
    <xf numFmtId="177" fontId="206" fillId="47" borderId="143" xfId="10" applyNumberFormat="1" applyFont="1" applyFill="1" applyBorder="1" applyAlignment="1">
      <alignment horizontal="right"/>
    </xf>
    <xf numFmtId="177" fontId="185" fillId="47" borderId="143" xfId="10" applyNumberFormat="1" applyFont="1" applyFill="1" applyBorder="1" applyAlignment="1">
      <alignment horizontal="right"/>
    </xf>
    <xf numFmtId="177" fontId="185" fillId="47" borderId="151" xfId="10" applyNumberFormat="1" applyFont="1" applyFill="1" applyBorder="1" applyAlignment="1">
      <alignment horizontal="right"/>
    </xf>
    <xf numFmtId="166" fontId="184" fillId="0" borderId="150" xfId="52" applyNumberFormat="1" applyFont="1" applyFill="1" applyBorder="1"/>
    <xf numFmtId="166" fontId="184" fillId="0" borderId="143" xfId="52" applyNumberFormat="1" applyFont="1" applyFill="1" applyBorder="1"/>
    <xf numFmtId="166" fontId="56" fillId="0" borderId="143" xfId="42" applyNumberFormat="1" applyFont="1" applyFill="1" applyBorder="1"/>
    <xf numFmtId="166" fontId="56" fillId="0" borderId="143" xfId="0" applyNumberFormat="1" applyFont="1" applyFill="1" applyBorder="1"/>
    <xf numFmtId="166" fontId="56" fillId="0" borderId="139" xfId="0" applyNumberFormat="1" applyFont="1" applyFill="1" applyBorder="1"/>
    <xf numFmtId="166" fontId="56" fillId="0" borderId="150" xfId="0" applyNumberFormat="1" applyFont="1" applyFill="1" applyBorder="1"/>
    <xf numFmtId="166" fontId="56" fillId="0" borderId="151" xfId="0" applyNumberFormat="1" applyFont="1" applyFill="1" applyBorder="1"/>
    <xf numFmtId="165" fontId="185" fillId="50" borderId="0" xfId="42" applyNumberFormat="1" applyFont="1" applyFill="1" applyBorder="1" applyAlignment="1">
      <alignment horizontal="right"/>
    </xf>
    <xf numFmtId="166" fontId="56" fillId="0" borderId="121" xfId="52" applyNumberFormat="1" applyFont="1" applyFill="1" applyBorder="1" applyAlignment="1">
      <alignment horizontal="right"/>
    </xf>
    <xf numFmtId="166" fontId="56" fillId="0" borderId="156" xfId="52" applyNumberFormat="1" applyFont="1" applyFill="1" applyBorder="1" applyAlignment="1">
      <alignment horizontal="right"/>
    </xf>
    <xf numFmtId="166" fontId="184" fillId="0" borderId="141" xfId="52" applyNumberFormat="1" applyFont="1" applyFill="1" applyBorder="1"/>
    <xf numFmtId="0" fontId="184" fillId="0" borderId="106" xfId="0" applyFont="1" applyFill="1" applyBorder="1" applyAlignment="1">
      <alignment horizontal="right"/>
    </xf>
    <xf numFmtId="177" fontId="185" fillId="47" borderId="139" xfId="10" applyNumberFormat="1" applyFont="1" applyFill="1" applyBorder="1" applyAlignment="1">
      <alignment horizontal="right"/>
    </xf>
    <xf numFmtId="165" fontId="188" fillId="0" borderId="106" xfId="42" applyNumberFormat="1" applyFont="1" applyBorder="1"/>
    <xf numFmtId="37" fontId="188" fillId="0" borderId="106" xfId="42" applyNumberFormat="1" applyFont="1" applyBorder="1"/>
    <xf numFmtId="3" fontId="56" fillId="0" borderId="106" xfId="42" applyNumberFormat="1" applyFont="1" applyBorder="1"/>
    <xf numFmtId="3" fontId="56" fillId="50" borderId="106" xfId="0" applyNumberFormat="1" applyFont="1" applyFill="1" applyBorder="1"/>
    <xf numFmtId="37" fontId="56" fillId="50" borderId="106" xfId="0" applyNumberFormat="1" applyFont="1" applyFill="1" applyBorder="1"/>
    <xf numFmtId="166" fontId="184" fillId="0" borderId="140" xfId="52" applyNumberFormat="1" applyFont="1" applyFill="1" applyBorder="1"/>
    <xf numFmtId="37" fontId="187" fillId="0" borderId="62" xfId="10" applyNumberFormat="1" applyFont="1" applyFill="1" applyBorder="1" applyAlignment="1">
      <alignment horizontal="right"/>
    </xf>
    <xf numFmtId="37" fontId="17" fillId="0" borderId="0" xfId="52" applyNumberFormat="1" applyFont="1" applyFill="1"/>
    <xf numFmtId="43" fontId="52" fillId="0" borderId="0" xfId="0" applyNumberFormat="1" applyFont="1" applyBorder="1" applyAlignment="1">
      <alignment horizontal="left"/>
    </xf>
    <xf numFmtId="43" fontId="238" fillId="0" borderId="0" xfId="0" applyNumberFormat="1" applyFont="1" applyFill="1" applyBorder="1" applyAlignment="1">
      <alignment horizontal="left"/>
    </xf>
    <xf numFmtId="43" fontId="53" fillId="0" borderId="0" xfId="45" applyNumberFormat="1" applyFont="1" applyBorder="1"/>
    <xf numFmtId="43" fontId="0" fillId="0" borderId="0" xfId="0" applyNumberFormat="1"/>
    <xf numFmtId="43" fontId="185" fillId="0" borderId="0" xfId="0" applyNumberFormat="1" applyFont="1" applyFill="1" applyBorder="1" applyAlignment="1">
      <alignment horizontal="center"/>
    </xf>
    <xf numFmtId="43" fontId="21" fillId="50" borderId="126" xfId="0" applyNumberFormat="1" applyFont="1" applyFill="1" applyBorder="1" applyAlignment="1">
      <alignment horizontal="left" indent="1"/>
    </xf>
    <xf numFmtId="43" fontId="21" fillId="0" borderId="126" xfId="0" applyNumberFormat="1" applyFont="1" applyBorder="1" applyAlignment="1">
      <alignment horizontal="left" indent="2"/>
    </xf>
    <xf numFmtId="43" fontId="17" fillId="0" borderId="126" xfId="0" applyNumberFormat="1" applyFont="1" applyBorder="1" applyAlignment="1">
      <alignment horizontal="left" indent="3"/>
    </xf>
    <xf numFmtId="43" fontId="17" fillId="0" borderId="126" xfId="0" applyNumberFormat="1" applyFont="1" applyFill="1" applyBorder="1" applyAlignment="1">
      <alignment horizontal="left" indent="2"/>
    </xf>
    <xf numFmtId="43" fontId="17" fillId="0" borderId="126" xfId="0" applyNumberFormat="1" applyFont="1" applyBorder="1" applyAlignment="1">
      <alignment horizontal="left" indent="2"/>
    </xf>
    <xf numFmtId="43" fontId="17" fillId="0" borderId="126" xfId="0" applyNumberFormat="1" applyFont="1" applyBorder="1" applyAlignment="1">
      <alignment horizontal="left" vertical="top" indent="1"/>
    </xf>
    <xf numFmtId="43" fontId="21" fillId="58" borderId="126" xfId="0" applyNumberFormat="1" applyFont="1" applyFill="1" applyBorder="1"/>
    <xf numFmtId="43" fontId="17" fillId="0" borderId="126" xfId="0" applyNumberFormat="1" applyFont="1" applyBorder="1" applyAlignment="1">
      <alignment horizontal="left" indent="1"/>
    </xf>
    <xf numFmtId="43" fontId="21" fillId="0" borderId="126" xfId="0" applyNumberFormat="1" applyFont="1" applyFill="1" applyBorder="1" applyAlignment="1">
      <alignment horizontal="left" indent="1"/>
    </xf>
    <xf numFmtId="43" fontId="17" fillId="0" borderId="126" xfId="0" applyNumberFormat="1" applyFont="1" applyFill="1" applyBorder="1" applyAlignment="1">
      <alignment horizontal="left" vertical="top" indent="1"/>
    </xf>
    <xf numFmtId="43" fontId="17" fillId="51" borderId="126" xfId="0" applyNumberFormat="1" applyFont="1" applyFill="1" applyBorder="1" applyAlignment="1">
      <alignment horizontal="left" indent="3"/>
    </xf>
    <xf numFmtId="43" fontId="17" fillId="0" borderId="145" xfId="0" applyNumberFormat="1" applyFont="1" applyBorder="1" applyAlignment="1">
      <alignment horizontal="left" indent="1"/>
    </xf>
    <xf numFmtId="43" fontId="21" fillId="60" borderId="126" xfId="0" applyNumberFormat="1" applyFont="1" applyFill="1" applyBorder="1"/>
    <xf numFmtId="43" fontId="0" fillId="0" borderId="0" xfId="0" applyNumberFormat="1" applyBorder="1"/>
    <xf numFmtId="43" fontId="21" fillId="50" borderId="126" xfId="0" applyNumberFormat="1" applyFont="1" applyFill="1" applyBorder="1" applyAlignment="1">
      <alignment horizontal="left" indent="2"/>
    </xf>
    <xf numFmtId="43" fontId="17" fillId="50" borderId="126" xfId="0" applyNumberFormat="1" applyFont="1" applyFill="1" applyBorder="1" applyAlignment="1">
      <alignment horizontal="left" indent="1"/>
    </xf>
    <xf numFmtId="43" fontId="230" fillId="0" borderId="126" xfId="0" applyNumberFormat="1" applyFont="1" applyBorder="1" applyAlignment="1">
      <alignment horizontal="left" indent="1"/>
    </xf>
    <xf numFmtId="43" fontId="195" fillId="0" borderId="0" xfId="0" applyNumberFormat="1" applyFont="1" applyFill="1" applyBorder="1" applyAlignment="1">
      <alignment horizontal="left"/>
    </xf>
    <xf numFmtId="43" fontId="184" fillId="0" borderId="103" xfId="0" applyNumberFormat="1" applyFont="1" applyBorder="1" applyAlignment="1">
      <alignment horizontal="left" indent="1"/>
    </xf>
    <xf numFmtId="43" fontId="56" fillId="0" borderId="103" xfId="0" applyNumberFormat="1" applyFont="1" applyFill="1" applyBorder="1" applyAlignment="1">
      <alignment horizontal="left"/>
    </xf>
    <xf numFmtId="43" fontId="185" fillId="47" borderId="103" xfId="0" applyNumberFormat="1" applyFont="1" applyFill="1" applyBorder="1" applyAlignment="1">
      <alignment horizontal="left"/>
    </xf>
    <xf numFmtId="43" fontId="56" fillId="0" borderId="103" xfId="52" applyNumberFormat="1" applyFont="1" applyBorder="1" applyAlignment="1">
      <alignment horizontal="left" indent="1"/>
    </xf>
    <xf numFmtId="43" fontId="184" fillId="0" borderId="103" xfId="0" applyNumberFormat="1" applyFont="1" applyBorder="1" applyAlignment="1">
      <alignment horizontal="left" indent="2"/>
    </xf>
    <xf numFmtId="43" fontId="56" fillId="51" borderId="103" xfId="52" applyNumberFormat="1" applyFont="1" applyFill="1" applyBorder="1" applyAlignment="1">
      <alignment horizontal="left" indent="1"/>
    </xf>
    <xf numFmtId="43" fontId="184" fillId="51" borderId="103" xfId="52" applyNumberFormat="1" applyFont="1" applyFill="1" applyBorder="1" applyAlignment="1">
      <alignment horizontal="left" indent="2"/>
    </xf>
    <xf numFmtId="43" fontId="188" fillId="0" borderId="103" xfId="0" applyNumberFormat="1" applyFont="1" applyFill="1" applyBorder="1" applyAlignment="1">
      <alignment horizontal="left"/>
    </xf>
    <xf numFmtId="43" fontId="56" fillId="51" borderId="103" xfId="52" applyNumberFormat="1" applyFont="1" applyFill="1" applyBorder="1" applyAlignment="1">
      <alignment horizontal="left" indent="2"/>
    </xf>
    <xf numFmtId="43" fontId="56" fillId="0" borderId="103" xfId="52" applyNumberFormat="1" applyFont="1" applyBorder="1" applyAlignment="1">
      <alignment horizontal="left" indent="2"/>
    </xf>
    <xf numFmtId="43" fontId="192" fillId="0" borderId="0" xfId="0" applyNumberFormat="1" applyFont="1" applyFill="1" applyBorder="1" applyAlignment="1">
      <alignment horizontal="left"/>
    </xf>
    <xf numFmtId="43" fontId="184" fillId="0" borderId="103" xfId="0" applyNumberFormat="1" applyFont="1" applyFill="1" applyBorder="1" applyAlignment="1">
      <alignment horizontal="left" indent="1"/>
    </xf>
    <xf numFmtId="43" fontId="188" fillId="0" borderId="103" xfId="10" applyNumberFormat="1" applyFont="1" applyFill="1" applyBorder="1" applyAlignment="1">
      <alignment horizontal="left" indent="1"/>
    </xf>
    <xf numFmtId="43" fontId="184" fillId="0" borderId="114" xfId="0" applyNumberFormat="1" applyFont="1" applyBorder="1" applyAlignment="1">
      <alignment horizontal="left" indent="1"/>
    </xf>
    <xf numFmtId="43" fontId="184" fillId="0" borderId="149" xfId="0" applyNumberFormat="1" applyFont="1" applyBorder="1" applyAlignment="1">
      <alignment horizontal="left" indent="1"/>
    </xf>
    <xf numFmtId="43" fontId="188" fillId="0" borderId="123" xfId="10" applyNumberFormat="1" applyFont="1" applyFill="1" applyBorder="1" applyAlignment="1">
      <alignment horizontal="left" indent="1"/>
    </xf>
    <xf numFmtId="43" fontId="184" fillId="0" borderId="123" xfId="0" applyNumberFormat="1" applyFont="1" applyBorder="1" applyAlignment="1">
      <alignment horizontal="left" indent="1"/>
    </xf>
    <xf numFmtId="43" fontId="188" fillId="0" borderId="123" xfId="0" applyNumberFormat="1" applyFont="1" applyFill="1" applyBorder="1" applyAlignment="1">
      <alignment horizontal="left"/>
    </xf>
    <xf numFmtId="43" fontId="184" fillId="0" borderId="146" xfId="0" applyNumberFormat="1" applyFont="1" applyFill="1" applyBorder="1" applyAlignment="1">
      <alignment horizontal="left" indent="1"/>
    </xf>
    <xf numFmtId="43" fontId="188" fillId="0" borderId="0" xfId="0" applyNumberFormat="1" applyFont="1" applyFill="1" applyBorder="1" applyAlignment="1">
      <alignment horizontal="left"/>
    </xf>
    <xf numFmtId="43" fontId="185" fillId="47" borderId="149" xfId="42" applyNumberFormat="1" applyFont="1" applyFill="1" applyBorder="1" applyAlignment="1">
      <alignment horizontal="left"/>
    </xf>
    <xf numFmtId="43" fontId="56" fillId="0" borderId="123" xfId="0" applyNumberFormat="1" applyFont="1" applyBorder="1" applyAlignment="1">
      <alignment horizontal="left" indent="2"/>
    </xf>
    <xf numFmtId="43" fontId="188" fillId="0" borderId="115" xfId="42" applyNumberFormat="1" applyFont="1" applyBorder="1" applyAlignment="1">
      <alignment horizontal="left"/>
    </xf>
    <xf numFmtId="43" fontId="184" fillId="0" borderId="115" xfId="0" applyNumberFormat="1" applyFont="1" applyBorder="1" applyAlignment="1">
      <alignment horizontal="left" indent="1"/>
    </xf>
    <xf numFmtId="43" fontId="184" fillId="0" borderId="115" xfId="52" applyNumberFormat="1" applyFont="1" applyFill="1" applyBorder="1" applyAlignment="1">
      <alignment horizontal="left" indent="1"/>
    </xf>
    <xf numFmtId="43" fontId="56" fillId="50" borderId="115" xfId="42" applyNumberFormat="1" applyFont="1" applyFill="1" applyBorder="1" applyAlignment="1">
      <alignment horizontal="left"/>
    </xf>
    <xf numFmtId="43" fontId="56" fillId="50" borderId="115" xfId="0" applyNumberFormat="1" applyFont="1" applyFill="1" applyBorder="1" applyAlignment="1">
      <alignment horizontal="left"/>
    </xf>
    <xf numFmtId="43" fontId="184" fillId="0" borderId="116" xfId="52" applyNumberFormat="1" applyFont="1" applyFill="1" applyBorder="1" applyAlignment="1">
      <alignment horizontal="left" indent="1"/>
    </xf>
    <xf numFmtId="43" fontId="56" fillId="0" borderId="0" xfId="0" applyNumberFormat="1" applyFont="1" applyBorder="1" applyAlignment="1">
      <alignment horizontal="left"/>
    </xf>
    <xf numFmtId="43" fontId="185" fillId="47" borderId="123" xfId="0" applyNumberFormat="1" applyFont="1" applyFill="1" applyBorder="1" applyAlignment="1">
      <alignment horizontal="left"/>
    </xf>
    <xf numFmtId="43" fontId="56" fillId="0" borderId="0" xfId="0" applyNumberFormat="1" applyFont="1" applyFill="1" applyBorder="1" applyAlignment="1">
      <alignment horizontal="left"/>
    </xf>
    <xf numFmtId="43" fontId="56" fillId="0" borderId="0" xfId="0" applyNumberFormat="1" applyFont="1" applyFill="1" applyBorder="1"/>
    <xf numFmtId="43" fontId="185" fillId="0" borderId="0" xfId="0" applyNumberFormat="1" applyFont="1" applyFill="1" applyBorder="1" applyAlignment="1">
      <alignment horizontal="left"/>
    </xf>
    <xf numFmtId="43" fontId="184" fillId="0" borderId="123" xfId="0" applyNumberFormat="1" applyFont="1" applyBorder="1" applyAlignment="1">
      <alignment horizontal="left" indent="2"/>
    </xf>
    <xf numFmtId="43" fontId="184" fillId="0" borderId="123" xfId="0" applyNumberFormat="1" applyFont="1" applyFill="1" applyBorder="1" applyAlignment="1">
      <alignment horizontal="left" indent="1"/>
    </xf>
    <xf numFmtId="43" fontId="184" fillId="0" borderId="123" xfId="0" applyNumberFormat="1" applyFont="1" applyFill="1" applyBorder="1" applyAlignment="1">
      <alignment horizontal="left" indent="2"/>
    </xf>
    <xf numFmtId="43" fontId="184" fillId="0" borderId="0" xfId="0" applyNumberFormat="1" applyFont="1" applyBorder="1" applyAlignment="1">
      <alignment horizontal="left" indent="1"/>
    </xf>
    <xf numFmtId="43" fontId="56" fillId="0" borderId="0" xfId="0" applyNumberFormat="1" applyFont="1" applyBorder="1" applyAlignment="1">
      <alignment horizontal="center"/>
    </xf>
    <xf numFmtId="43" fontId="56" fillId="0" borderId="22" xfId="0" applyNumberFormat="1" applyFont="1" applyBorder="1"/>
    <xf numFmtId="43" fontId="56" fillId="0" borderId="80" xfId="39" applyNumberFormat="1" applyFont="1" applyBorder="1" applyAlignment="1">
      <alignment horizontal="left" indent="1"/>
    </xf>
    <xf numFmtId="43" fontId="186" fillId="0" borderId="80" xfId="39" applyNumberFormat="1" applyFont="1" applyBorder="1" applyAlignment="1">
      <alignment horizontal="left" indent="1"/>
    </xf>
    <xf numFmtId="43" fontId="56" fillId="0" borderId="83" xfId="39" applyNumberFormat="1" applyFont="1" applyBorder="1" applyAlignment="1">
      <alignment horizontal="left" indent="1"/>
    </xf>
    <xf numFmtId="43" fontId="56" fillId="0" borderId="80" xfId="39" applyNumberFormat="1" applyFont="1" applyFill="1" applyBorder="1"/>
    <xf numFmtId="43" fontId="184" fillId="0" borderId="80" xfId="52" applyNumberFormat="1" applyFont="1" applyFill="1" applyBorder="1" applyAlignment="1">
      <alignment horizontal="left" indent="1"/>
    </xf>
    <xf numFmtId="43" fontId="191" fillId="0" borderId="80" xfId="39" applyNumberFormat="1" applyFont="1" applyBorder="1"/>
    <xf numFmtId="43" fontId="56" fillId="0" borderId="80" xfId="39" applyNumberFormat="1" applyFont="1" applyBorder="1"/>
    <xf numFmtId="43" fontId="56" fillId="0" borderId="0" xfId="0" applyNumberFormat="1" applyFont="1" applyFill="1" applyBorder="1" applyAlignment="1">
      <alignment horizontal="center"/>
    </xf>
    <xf numFmtId="43" fontId="56" fillId="0" borderId="0" xfId="39" applyNumberFormat="1" applyFont="1" applyFill="1" applyBorder="1" applyAlignment="1">
      <alignment horizontal="left"/>
    </xf>
    <xf numFmtId="43" fontId="56" fillId="0" borderId="0" xfId="43" applyNumberFormat="1" applyFont="1" applyFill="1" applyBorder="1" applyAlignment="1">
      <alignment horizontal="left" indent="1"/>
    </xf>
    <xf numFmtId="43" fontId="56" fillId="0" borderId="0" xfId="39" applyNumberFormat="1" applyFont="1" applyFill="1" applyBorder="1" applyAlignment="1">
      <alignment horizontal="left" indent="1"/>
    </xf>
    <xf numFmtId="43" fontId="56" fillId="0" borderId="0" xfId="39" applyNumberFormat="1" applyFont="1" applyFill="1" applyBorder="1"/>
    <xf numFmtId="43" fontId="184" fillId="0" borderId="0" xfId="39" applyNumberFormat="1" applyFont="1" applyFill="1" applyBorder="1"/>
    <xf numFmtId="43" fontId="56" fillId="0" borderId="118" xfId="39" applyNumberFormat="1" applyFont="1" applyFill="1" applyBorder="1"/>
    <xf numFmtId="43" fontId="188" fillId="0" borderId="72" xfId="39" applyNumberFormat="1" applyFont="1" applyFill="1" applyBorder="1"/>
    <xf numFmtId="43" fontId="56" fillId="0" borderId="126" xfId="39" applyNumberFormat="1" applyFont="1" applyFill="1" applyBorder="1"/>
    <xf numFmtId="43" fontId="188" fillId="0" borderId="17" xfId="39" applyNumberFormat="1" applyFont="1" applyFill="1" applyBorder="1"/>
    <xf numFmtId="43" fontId="184" fillId="0" borderId="86" xfId="39" applyNumberFormat="1" applyFont="1" applyFill="1" applyBorder="1"/>
    <xf numFmtId="43" fontId="56" fillId="0" borderId="0" xfId="0" applyNumberFormat="1" applyFont="1" applyBorder="1"/>
    <xf numFmtId="43" fontId="184" fillId="0" borderId="0" xfId="0" applyNumberFormat="1" applyFont="1" applyBorder="1"/>
    <xf numFmtId="43" fontId="56" fillId="0" borderId="0" xfId="0" applyNumberFormat="1" applyFont="1" applyBorder="1" applyAlignment="1">
      <alignment horizontal="left" indent="1"/>
    </xf>
    <xf numFmtId="43" fontId="56" fillId="0" borderId="78" xfId="0" applyNumberFormat="1" applyFont="1" applyBorder="1" applyAlignment="1">
      <alignment horizontal="left" indent="1"/>
    </xf>
    <xf numFmtId="43" fontId="188" fillId="0" borderId="0" xfId="0" applyNumberFormat="1" applyFont="1" applyBorder="1"/>
    <xf numFmtId="43" fontId="56" fillId="0" borderId="0" xfId="10" applyNumberFormat="1" applyFont="1" applyBorder="1"/>
    <xf numFmtId="43" fontId="56" fillId="0" borderId="0" xfId="39" applyNumberFormat="1" applyFont="1" applyBorder="1" applyAlignment="1">
      <alignment horizontal="left" indent="1"/>
    </xf>
    <xf numFmtId="43" fontId="56" fillId="0" borderId="20" xfId="39" applyNumberFormat="1" applyFont="1" applyBorder="1" applyAlignment="1">
      <alignment horizontal="left" indent="1"/>
    </xf>
    <xf numFmtId="43" fontId="56" fillId="0" borderId="0" xfId="39" applyNumberFormat="1" applyFont="1" applyBorder="1"/>
    <xf numFmtId="43" fontId="195" fillId="51" borderId="0" xfId="0" applyNumberFormat="1" applyFont="1" applyFill="1" applyBorder="1" applyAlignment="1">
      <alignment horizontal="left"/>
    </xf>
    <xf numFmtId="43" fontId="216" fillId="0" borderId="0" xfId="0" applyNumberFormat="1" applyFont="1"/>
    <xf numFmtId="43" fontId="56" fillId="0" borderId="78" xfId="0" applyNumberFormat="1" applyFont="1" applyFill="1" applyBorder="1"/>
    <xf numFmtId="43" fontId="56" fillId="0" borderId="102" xfId="39" applyNumberFormat="1" applyFont="1" applyFill="1" applyBorder="1"/>
    <xf numFmtId="43" fontId="56" fillId="0" borderId="0" xfId="39" quotePrefix="1" applyNumberFormat="1" applyFont="1" applyBorder="1" applyAlignment="1">
      <alignment horizontal="left" indent="1"/>
    </xf>
    <xf numFmtId="43" fontId="188" fillId="0" borderId="0" xfId="39" applyNumberFormat="1" applyFont="1" applyFill="1" applyBorder="1" applyAlignment="1">
      <alignment horizontal="left" indent="1"/>
    </xf>
    <xf numFmtId="43" fontId="185" fillId="0" borderId="0" xfId="39" applyNumberFormat="1" applyFont="1" applyFill="1" applyBorder="1" applyAlignment="1">
      <alignment horizontal="left" indent="1"/>
    </xf>
    <xf numFmtId="43" fontId="56" fillId="0" borderId="126" xfId="39" applyNumberFormat="1" applyFont="1" applyBorder="1" applyAlignment="1">
      <alignment horizontal="left"/>
    </xf>
    <xf numFmtId="43" fontId="56" fillId="0" borderId="64" xfId="39" applyNumberFormat="1" applyFont="1" applyBorder="1" applyAlignment="1">
      <alignment horizontal="left"/>
    </xf>
    <xf numFmtId="43" fontId="56" fillId="0" borderId="126" xfId="39" applyNumberFormat="1" applyFont="1" applyBorder="1" applyAlignment="1">
      <alignment horizontal="left" indent="1"/>
    </xf>
    <xf numFmtId="43" fontId="56" fillId="0" borderId="64" xfId="39" applyNumberFormat="1" applyFont="1" applyBorder="1" applyAlignment="1">
      <alignment horizontal="left" indent="1"/>
    </xf>
    <xf numFmtId="43" fontId="186" fillId="0" borderId="129" xfId="39" applyNumberFormat="1" applyFont="1" applyBorder="1" applyAlignment="1">
      <alignment horizontal="left"/>
    </xf>
    <xf numFmtId="43" fontId="56" fillId="0" borderId="64" xfId="39" applyNumberFormat="1" applyFont="1" applyFill="1" applyBorder="1"/>
    <xf numFmtId="43" fontId="56" fillId="0" borderId="126" xfId="39" applyNumberFormat="1" applyFont="1" applyFill="1" applyBorder="1" applyAlignment="1">
      <alignment horizontal="left" indent="1"/>
    </xf>
    <xf numFmtId="43" fontId="56" fillId="0" borderId="64" xfId="39" applyNumberFormat="1" applyFont="1" applyFill="1" applyBorder="1" applyAlignment="1">
      <alignment horizontal="left" indent="1"/>
    </xf>
    <xf numFmtId="43" fontId="186" fillId="0" borderId="127" xfId="39" applyNumberFormat="1" applyFont="1" applyFill="1" applyBorder="1" applyAlignment="1">
      <alignment horizontal="left"/>
    </xf>
    <xf numFmtId="43" fontId="56" fillId="0" borderId="0" xfId="0" quotePrefix="1" applyNumberFormat="1" applyFont="1" applyBorder="1" applyAlignment="1">
      <alignment horizontal="left" indent="1"/>
    </xf>
    <xf numFmtId="43" fontId="56" fillId="0" borderId="0" xfId="0" applyNumberFormat="1" applyFont="1" applyFill="1" applyBorder="1" applyAlignment="1">
      <alignment horizontal="left" indent="1"/>
    </xf>
    <xf numFmtId="43" fontId="56" fillId="0" borderId="0" xfId="0" applyNumberFormat="1" applyFont="1" applyBorder="1" applyAlignment="1"/>
    <xf numFmtId="43" fontId="52" fillId="0" borderId="0" xfId="0" applyNumberFormat="1" applyFont="1" applyAlignment="1">
      <alignment horizontal="right"/>
    </xf>
    <xf numFmtId="43" fontId="186" fillId="0" borderId="0" xfId="67" applyNumberFormat="1" applyFont="1" applyFill="1" applyBorder="1" applyAlignment="1">
      <alignment horizontal="left"/>
    </xf>
    <xf numFmtId="43" fontId="186" fillId="0" borderId="52" xfId="67" applyNumberFormat="1" applyFont="1" applyFill="1" applyBorder="1"/>
    <xf numFmtId="43" fontId="56" fillId="0" borderId="65" xfId="67" applyNumberFormat="1" applyFont="1" applyFill="1" applyBorder="1" applyAlignment="1">
      <alignment horizontal="left" indent="1"/>
    </xf>
    <xf numFmtId="43" fontId="56" fillId="0" borderId="65" xfId="67" applyNumberFormat="1" applyFont="1" applyFill="1" applyBorder="1"/>
    <xf numFmtId="43" fontId="186" fillId="0" borderId="65" xfId="67" applyNumberFormat="1" applyFont="1" applyFill="1" applyBorder="1"/>
    <xf numFmtId="43" fontId="186" fillId="0" borderId="65" xfId="67" applyNumberFormat="1" applyFont="1" applyFill="1" applyBorder="1" applyAlignment="1">
      <alignment horizontal="left"/>
    </xf>
    <xf numFmtId="43" fontId="56" fillId="0" borderId="64" xfId="67" applyNumberFormat="1" applyFont="1" applyBorder="1"/>
    <xf numFmtId="43" fontId="56" fillId="0" borderId="14" xfId="67" applyNumberFormat="1" applyFont="1" applyFill="1" applyBorder="1" applyAlignment="1">
      <alignment horizontal="left" indent="1"/>
    </xf>
    <xf numFmtId="43" fontId="56" fillId="0" borderId="0" xfId="67" applyNumberFormat="1" applyFont="1"/>
    <xf numFmtId="43" fontId="184" fillId="0" borderId="0" xfId="45" applyNumberFormat="1" applyFont="1" applyBorder="1"/>
    <xf numFmtId="37" fontId="233" fillId="0" borderId="106" xfId="0" applyNumberFormat="1" applyFont="1" applyFill="1" applyBorder="1" applyAlignment="1">
      <alignment horizontal="left" indent="1"/>
    </xf>
    <xf numFmtId="37" fontId="233" fillId="0" borderId="0" xfId="0" applyNumberFormat="1" applyFont="1" applyFill="1" applyBorder="1" applyAlignment="1">
      <alignment horizontal="left" indent="1"/>
    </xf>
    <xf numFmtId="0" fontId="0" fillId="0" borderId="0" xfId="0" applyFill="1" applyAlignment="1">
      <alignment horizontal="left" indent="1"/>
    </xf>
    <xf numFmtId="37" fontId="233" fillId="0" borderId="0" xfId="0" applyNumberFormat="1" applyFont="1" applyFill="1" applyBorder="1" applyAlignment="1"/>
    <xf numFmtId="37" fontId="175" fillId="0" borderId="0" xfId="0" applyNumberFormat="1" applyFont="1" applyFill="1" applyBorder="1" applyAlignment="1"/>
    <xf numFmtId="37" fontId="17" fillId="0" borderId="106" xfId="0" applyNumberFormat="1" applyFont="1" applyFill="1" applyBorder="1" applyAlignment="1"/>
    <xf numFmtId="37" fontId="17" fillId="0" borderId="0" xfId="0" applyNumberFormat="1" applyFont="1" applyFill="1" applyBorder="1" applyAlignment="1"/>
    <xf numFmtId="43" fontId="184" fillId="0" borderId="123" xfId="0" applyNumberFormat="1" applyFont="1" applyBorder="1" applyAlignment="1">
      <alignment horizontal="left" indent="3"/>
    </xf>
    <xf numFmtId="43" fontId="56" fillId="0" borderId="123" xfId="0" applyNumberFormat="1" applyFont="1" applyBorder="1" applyAlignment="1">
      <alignment horizontal="left" indent="3"/>
    </xf>
    <xf numFmtId="4" fontId="213" fillId="0" borderId="0" xfId="69" applyNumberFormat="1" applyFont="1" applyFill="1" applyBorder="1" applyAlignment="1"/>
    <xf numFmtId="37" fontId="21" fillId="0" borderId="0" xfId="0" applyNumberFormat="1" applyFont="1" applyFill="1" applyBorder="1" applyAlignment="1">
      <alignment horizontal="right"/>
    </xf>
    <xf numFmtId="0" fontId="21" fillId="0" borderId="0" xfId="0" applyFont="1" applyFill="1"/>
    <xf numFmtId="37" fontId="187" fillId="0" borderId="118" xfId="10" applyNumberFormat="1" applyFont="1" applyBorder="1" applyAlignment="1">
      <alignment horizontal="right"/>
    </xf>
    <xf numFmtId="43" fontId="56" fillId="0" borderId="123" xfId="39" applyNumberFormat="1" applyFont="1" applyBorder="1" applyAlignment="1">
      <alignment horizontal="left" indent="1"/>
    </xf>
    <xf numFmtId="165" fontId="56" fillId="0" borderId="160" xfId="0" applyNumberFormat="1" applyFont="1" applyBorder="1"/>
    <xf numFmtId="41" fontId="191" fillId="0" borderId="161" xfId="0" applyNumberFormat="1" applyFont="1" applyBorder="1"/>
    <xf numFmtId="195" fontId="191" fillId="0" borderId="0" xfId="0" applyNumberFormat="1" applyFont="1" applyFill="1" applyBorder="1"/>
    <xf numFmtId="41" fontId="56" fillId="0" borderId="161" xfId="0" applyNumberFormat="1" applyFont="1" applyBorder="1"/>
    <xf numFmtId="195" fontId="190" fillId="0" borderId="160" xfId="0" applyNumberFormat="1" applyFont="1" applyBorder="1"/>
    <xf numFmtId="177" fontId="56" fillId="0" borderId="161" xfId="10" applyNumberFormat="1" applyFont="1" applyBorder="1"/>
    <xf numFmtId="177" fontId="190" fillId="0" borderId="160" xfId="10" applyNumberFormat="1" applyFont="1" applyBorder="1"/>
    <xf numFmtId="43" fontId="56" fillId="0" borderId="161" xfId="10" applyFont="1" applyBorder="1"/>
    <xf numFmtId="177" fontId="190" fillId="0" borderId="160" xfId="10" applyNumberFormat="1" applyFont="1" applyBorder="1" applyAlignment="1">
      <alignment horizontal="right"/>
    </xf>
    <xf numFmtId="43" fontId="56" fillId="0" borderId="161" xfId="10" applyFont="1" applyBorder="1" applyAlignment="1">
      <alignment horizontal="right"/>
    </xf>
    <xf numFmtId="177" fontId="56" fillId="0" borderId="160" xfId="10" applyNumberFormat="1" applyFont="1" applyBorder="1" applyAlignment="1">
      <alignment horizontal="right"/>
    </xf>
    <xf numFmtId="177" fontId="187" fillId="0" borderId="161" xfId="10" applyNumberFormat="1" applyFont="1" applyBorder="1" applyAlignment="1">
      <alignment horizontal="right"/>
    </xf>
    <xf numFmtId="177" fontId="56" fillId="0" borderId="22" xfId="10" applyNumberFormat="1" applyFont="1" applyBorder="1"/>
    <xf numFmtId="43" fontId="189" fillId="0" borderId="22" xfId="10" applyFont="1" applyBorder="1" applyAlignment="1">
      <alignment horizontal="right"/>
    </xf>
    <xf numFmtId="7" fontId="21" fillId="0" borderId="0" xfId="0" applyNumberFormat="1" applyFont="1" applyFill="1"/>
    <xf numFmtId="0" fontId="17" fillId="0" borderId="0" xfId="0" applyFont="1" applyFill="1" applyBorder="1" applyAlignment="1">
      <alignment horizontal="left" indent="1"/>
    </xf>
    <xf numFmtId="37" fontId="17" fillId="0" borderId="0" xfId="0" applyNumberFormat="1" applyFont="1" applyFill="1" applyBorder="1" applyAlignment="1">
      <alignment horizontal="left" indent="1"/>
    </xf>
    <xf numFmtId="0" fontId="17" fillId="0" borderId="0" xfId="0" applyFont="1" applyFill="1" applyAlignment="1">
      <alignment horizontal="left" indent="1"/>
    </xf>
    <xf numFmtId="0" fontId="21" fillId="0" borderId="0" xfId="0" applyFont="1" applyAlignment="1">
      <alignment vertical="top"/>
    </xf>
    <xf numFmtId="171" fontId="21" fillId="0" borderId="0" xfId="0" applyNumberFormat="1" applyFont="1" applyFill="1" applyBorder="1"/>
    <xf numFmtId="171" fontId="21" fillId="0" borderId="0" xfId="0" applyNumberFormat="1" applyFont="1" applyFill="1" applyBorder="1" applyAlignment="1">
      <alignment horizontal="right"/>
    </xf>
    <xf numFmtId="166" fontId="187" fillId="0" borderId="0" xfId="0" applyNumberFormat="1" applyFont="1" applyFill="1" applyBorder="1" applyAlignment="1">
      <alignment horizontal="left"/>
    </xf>
    <xf numFmtId="166" fontId="184" fillId="0" borderId="161" xfId="52" applyNumberFormat="1" applyFont="1" applyFill="1" applyBorder="1" applyAlignment="1">
      <alignment horizontal="right"/>
    </xf>
    <xf numFmtId="43" fontId="56" fillId="51" borderId="125" xfId="52" applyNumberFormat="1" applyFont="1" applyFill="1" applyBorder="1" applyAlignment="1">
      <alignment horizontal="left"/>
    </xf>
    <xf numFmtId="166" fontId="56" fillId="51" borderId="87" xfId="52" applyNumberFormat="1" applyFont="1" applyFill="1" applyBorder="1" applyAlignment="1">
      <alignment horizontal="right"/>
    </xf>
    <xf numFmtId="166" fontId="56" fillId="51" borderId="142" xfId="52" applyNumberFormat="1" applyFont="1" applyFill="1" applyBorder="1" applyAlignment="1">
      <alignment horizontal="right"/>
    </xf>
    <xf numFmtId="166" fontId="56" fillId="51" borderId="134" xfId="52" applyNumberFormat="1" applyFont="1" applyFill="1" applyBorder="1" applyAlignment="1">
      <alignment horizontal="right"/>
    </xf>
    <xf numFmtId="166" fontId="189" fillId="51" borderId="142" xfId="52" applyNumberFormat="1" applyFont="1" applyFill="1" applyBorder="1" applyAlignment="1">
      <alignment horizontal="right"/>
    </xf>
    <xf numFmtId="166" fontId="56" fillId="51" borderId="5" xfId="52" applyNumberFormat="1" applyFont="1" applyFill="1" applyBorder="1" applyAlignment="1">
      <alignment horizontal="right"/>
    </xf>
    <xf numFmtId="177" fontId="188" fillId="0" borderId="161" xfId="10" applyNumberFormat="1" applyFont="1" applyFill="1" applyBorder="1" applyAlignment="1">
      <alignment horizontal="right"/>
    </xf>
    <xf numFmtId="177" fontId="188" fillId="0" borderId="157" xfId="10" applyNumberFormat="1" applyFont="1" applyFill="1" applyBorder="1" applyAlignment="1">
      <alignment horizontal="right"/>
    </xf>
    <xf numFmtId="165" fontId="56" fillId="0" borderId="160" xfId="46" applyNumberFormat="1" applyFont="1" applyBorder="1" applyAlignment="1">
      <alignment horizontal="right"/>
    </xf>
    <xf numFmtId="165" fontId="56" fillId="0" borderId="160" xfId="46" applyNumberFormat="1" applyFont="1" applyFill="1" applyBorder="1" applyAlignment="1">
      <alignment horizontal="right"/>
    </xf>
    <xf numFmtId="165" fontId="56" fillId="0" borderId="161" xfId="46" applyNumberFormat="1" applyFont="1" applyBorder="1" applyAlignment="1">
      <alignment horizontal="right"/>
    </xf>
    <xf numFmtId="166" fontId="184" fillId="0" borderId="70" xfId="0" applyNumberFormat="1" applyFont="1" applyFill="1" applyBorder="1" applyAlignment="1">
      <alignment horizontal="right"/>
    </xf>
    <xf numFmtId="166" fontId="56" fillId="0" borderId="70" xfId="0" applyNumberFormat="1" applyFont="1" applyFill="1" applyBorder="1"/>
    <xf numFmtId="186" fontId="56" fillId="0" borderId="0" xfId="0" applyNumberFormat="1" applyFont="1" applyFill="1" applyBorder="1"/>
    <xf numFmtId="3" fontId="56" fillId="47" borderId="0" xfId="14" applyNumberFormat="1" applyFont="1" applyFill="1" applyBorder="1"/>
    <xf numFmtId="180" fontId="56" fillId="0" borderId="102" xfId="14" applyNumberFormat="1" applyFont="1" applyFill="1" applyBorder="1"/>
    <xf numFmtId="165" fontId="56" fillId="0" borderId="126" xfId="0" applyNumberFormat="1" applyFont="1" applyFill="1" applyBorder="1" applyAlignment="1">
      <alignment horizontal="right"/>
    </xf>
    <xf numFmtId="166" fontId="56" fillId="0" borderId="126" xfId="52" applyNumberFormat="1" applyFont="1" applyBorder="1" applyAlignment="1">
      <alignment horizontal="right"/>
    </xf>
    <xf numFmtId="166" fontId="184" fillId="0" borderId="126" xfId="52" applyNumberFormat="1" applyFont="1" applyFill="1" applyBorder="1" applyAlignment="1">
      <alignment horizontal="right"/>
    </xf>
    <xf numFmtId="166" fontId="195" fillId="51" borderId="126" xfId="52" applyNumberFormat="1" applyFont="1" applyFill="1" applyBorder="1" applyAlignment="1">
      <alignment horizontal="right"/>
    </xf>
    <xf numFmtId="165" fontId="56" fillId="51" borderId="126" xfId="52" applyNumberFormat="1" applyFont="1" applyFill="1" applyBorder="1" applyAlignment="1">
      <alignment horizontal="right"/>
    </xf>
    <xf numFmtId="166" fontId="184" fillId="0" borderId="126" xfId="52" applyNumberFormat="1" applyFont="1" applyBorder="1" applyAlignment="1">
      <alignment horizontal="right"/>
    </xf>
    <xf numFmtId="165" fontId="56" fillId="0" borderId="126" xfId="52" applyNumberFormat="1" applyFont="1" applyBorder="1" applyAlignment="1">
      <alignment horizontal="right"/>
    </xf>
    <xf numFmtId="43" fontId="56" fillId="0" borderId="126" xfId="10" applyFont="1" applyFill="1" applyBorder="1" applyAlignment="1">
      <alignment horizontal="right"/>
    </xf>
    <xf numFmtId="9" fontId="56" fillId="0" borderId="126" xfId="0" applyNumberFormat="1" applyFont="1" applyFill="1" applyBorder="1" applyAlignment="1">
      <alignment horizontal="right"/>
    </xf>
    <xf numFmtId="166" fontId="56" fillId="51" borderId="126" xfId="52" applyNumberFormat="1" applyFont="1" applyFill="1" applyBorder="1" applyAlignment="1">
      <alignment horizontal="right"/>
    </xf>
    <xf numFmtId="193" fontId="56" fillId="51" borderId="126" xfId="52" applyNumberFormat="1" applyFont="1" applyFill="1" applyBorder="1" applyAlignment="1">
      <alignment horizontal="right"/>
    </xf>
    <xf numFmtId="166" fontId="184" fillId="51" borderId="126" xfId="52" applyNumberFormat="1" applyFont="1" applyFill="1" applyBorder="1" applyAlignment="1">
      <alignment horizontal="right"/>
    </xf>
    <xf numFmtId="165" fontId="56" fillId="0" borderId="126" xfId="52" applyNumberFormat="1" applyFont="1" applyFill="1" applyBorder="1" applyAlignment="1">
      <alignment horizontal="right"/>
    </xf>
    <xf numFmtId="166" fontId="56" fillId="0" borderId="0" xfId="42" applyNumberFormat="1" applyFont="1" applyFill="1" applyBorder="1" applyAlignment="1">
      <alignment horizontal="right"/>
    </xf>
    <xf numFmtId="0" fontId="17" fillId="0" borderId="102" xfId="0" applyFont="1" applyBorder="1"/>
    <xf numFmtId="165" fontId="56" fillId="51" borderId="0" xfId="46" applyNumberFormat="1" applyFont="1" applyFill="1" applyBorder="1" applyAlignment="1">
      <alignment horizontal="right"/>
    </xf>
    <xf numFmtId="165" fontId="56" fillId="51" borderId="22" xfId="46" applyNumberFormat="1" applyFont="1" applyFill="1" applyBorder="1" applyAlignment="1">
      <alignment horizontal="right"/>
    </xf>
    <xf numFmtId="165" fontId="56" fillId="51" borderId="0" xfId="0" applyNumberFormat="1" applyFont="1" applyFill="1" applyBorder="1" applyAlignment="1">
      <alignment horizontal="right"/>
    </xf>
    <xf numFmtId="165" fontId="187" fillId="51" borderId="0" xfId="46" applyNumberFormat="1" applyFont="1" applyFill="1" applyBorder="1" applyAlignment="1">
      <alignment horizontal="right"/>
    </xf>
    <xf numFmtId="165" fontId="187" fillId="51" borderId="22" xfId="46" applyNumberFormat="1" applyFont="1" applyFill="1" applyBorder="1" applyAlignment="1">
      <alignment horizontal="right"/>
    </xf>
    <xf numFmtId="165" fontId="56" fillId="51" borderId="106" xfId="46" applyNumberFormat="1" applyFont="1" applyFill="1" applyBorder="1" applyAlignment="1">
      <alignment horizontal="right"/>
    </xf>
    <xf numFmtId="165" fontId="213" fillId="51" borderId="0" xfId="46" applyNumberFormat="1" applyFont="1" applyFill="1" applyBorder="1" applyAlignment="1">
      <alignment horizontal="right"/>
    </xf>
    <xf numFmtId="165" fontId="56" fillId="51" borderId="160" xfId="46" applyNumberFormat="1" applyFont="1" applyFill="1" applyBorder="1" applyAlignment="1">
      <alignment horizontal="right"/>
    </xf>
    <xf numFmtId="165" fontId="56" fillId="51" borderId="106" xfId="0" applyNumberFormat="1" applyFont="1" applyFill="1" applyBorder="1" applyAlignment="1">
      <alignment horizontal="right"/>
    </xf>
    <xf numFmtId="166" fontId="56" fillId="51" borderId="22" xfId="52" applyNumberFormat="1" applyFont="1" applyFill="1" applyBorder="1" applyAlignment="1">
      <alignment horizontal="right"/>
    </xf>
    <xf numFmtId="0" fontId="191" fillId="0" borderId="140" xfId="0" applyFont="1" applyBorder="1" applyAlignment="1">
      <alignment horizontal="right"/>
    </xf>
    <xf numFmtId="0" fontId="191" fillId="0" borderId="139" xfId="0" applyFont="1" applyBorder="1" applyAlignment="1">
      <alignment horizontal="right"/>
    </xf>
    <xf numFmtId="0" fontId="191" fillId="51" borderId="139" xfId="0" applyFont="1" applyFill="1" applyBorder="1" applyAlignment="1">
      <alignment horizontal="right"/>
    </xf>
    <xf numFmtId="302" fontId="56" fillId="0" borderId="106" xfId="0" applyNumberFormat="1" applyFont="1" applyBorder="1" applyAlignment="1">
      <alignment horizontal="right"/>
    </xf>
    <xf numFmtId="9" fontId="56" fillId="0" borderId="106" xfId="0" applyNumberFormat="1" applyFont="1" applyFill="1" applyBorder="1" applyAlignment="1">
      <alignment horizontal="right"/>
    </xf>
    <xf numFmtId="0" fontId="56" fillId="0" borderId="106" xfId="0" applyFont="1" applyFill="1" applyBorder="1"/>
    <xf numFmtId="0" fontId="56" fillId="0" borderId="106" xfId="0" applyFont="1" applyFill="1" applyBorder="1" applyAlignment="1">
      <alignment horizontal="right"/>
    </xf>
    <xf numFmtId="165" fontId="186" fillId="0" borderId="142" xfId="52" applyNumberFormat="1" applyFont="1" applyFill="1" applyBorder="1" applyAlignment="1">
      <alignment horizontal="right"/>
    </xf>
    <xf numFmtId="165" fontId="56" fillId="51" borderId="142" xfId="52" applyNumberFormat="1" applyFont="1" applyFill="1" applyBorder="1" applyAlignment="1">
      <alignment horizontal="right"/>
    </xf>
    <xf numFmtId="165" fontId="186" fillId="0" borderId="5" xfId="52" applyNumberFormat="1" applyFont="1" applyFill="1" applyBorder="1" applyAlignment="1">
      <alignment horizontal="right"/>
    </xf>
    <xf numFmtId="193" fontId="56" fillId="0" borderId="106" xfId="0" applyNumberFormat="1" applyFont="1" applyFill="1" applyBorder="1" applyAlignment="1">
      <alignment horizontal="right"/>
    </xf>
    <xf numFmtId="193" fontId="187" fillId="0" borderId="0" xfId="46" applyNumberFormat="1" applyFont="1" applyFill="1" applyBorder="1" applyAlignment="1">
      <alignment horizontal="right"/>
    </xf>
    <xf numFmtId="0" fontId="185" fillId="0" borderId="164" xfId="0" applyFont="1" applyFill="1" applyBorder="1" applyAlignment="1">
      <alignment horizontal="center"/>
    </xf>
    <xf numFmtId="0" fontId="185" fillId="0" borderId="164" xfId="0" quotePrefix="1" applyFont="1" applyFill="1" applyBorder="1" applyAlignment="1">
      <alignment horizontal="center"/>
    </xf>
    <xf numFmtId="0" fontId="185" fillId="57" borderId="164" xfId="0" applyFont="1" applyFill="1" applyBorder="1" applyAlignment="1">
      <alignment horizontal="center"/>
    </xf>
    <xf numFmtId="165" fontId="187" fillId="51" borderId="126" xfId="46" applyNumberFormat="1" applyFont="1" applyFill="1" applyBorder="1" applyAlignment="1">
      <alignment horizontal="right"/>
    </xf>
    <xf numFmtId="165" fontId="56" fillId="0" borderId="126" xfId="46" applyNumberFormat="1" applyFont="1" applyFill="1" applyBorder="1" applyAlignment="1">
      <alignment horizontal="right"/>
    </xf>
    <xf numFmtId="165" fontId="187" fillId="0" borderId="126" xfId="46" applyNumberFormat="1" applyFont="1" applyBorder="1" applyAlignment="1">
      <alignment horizontal="right"/>
    </xf>
    <xf numFmtId="165" fontId="56" fillId="0" borderId="160" xfId="0" applyNumberFormat="1" applyFont="1" applyFill="1" applyBorder="1" applyAlignment="1">
      <alignment horizontal="right"/>
    </xf>
    <xf numFmtId="165" fontId="56" fillId="0" borderId="126" xfId="46" applyNumberFormat="1" applyFont="1" applyBorder="1" applyAlignment="1">
      <alignment horizontal="right"/>
    </xf>
    <xf numFmtId="165" fontId="187" fillId="0" borderId="126" xfId="46" applyNumberFormat="1" applyFont="1" applyFill="1" applyBorder="1" applyAlignment="1">
      <alignment horizontal="right"/>
    </xf>
    <xf numFmtId="43" fontId="187" fillId="0" borderId="126" xfId="10" applyFont="1" applyFill="1" applyBorder="1" applyAlignment="1">
      <alignment horizontal="right"/>
    </xf>
    <xf numFmtId="43" fontId="56" fillId="0" borderId="160" xfId="10" applyFont="1" applyFill="1" applyBorder="1" applyAlignment="1">
      <alignment horizontal="right"/>
    </xf>
    <xf numFmtId="166" fontId="184" fillId="0" borderId="160" xfId="52" applyNumberFormat="1" applyFont="1" applyFill="1" applyBorder="1" applyAlignment="1">
      <alignment horizontal="right"/>
    </xf>
    <xf numFmtId="166" fontId="184" fillId="0" borderId="161" xfId="52" applyNumberFormat="1" applyFont="1" applyBorder="1" applyAlignment="1">
      <alignment horizontal="right"/>
    </xf>
    <xf numFmtId="166" fontId="209" fillId="0" borderId="106" xfId="52" applyNumberFormat="1" applyFont="1" applyFill="1" applyBorder="1" applyAlignment="1">
      <alignment horizontal="right"/>
    </xf>
    <xf numFmtId="165" fontId="187" fillId="0" borderId="126" xfId="0" applyNumberFormat="1" applyFont="1" applyFill="1" applyBorder="1" applyAlignment="1">
      <alignment horizontal="right"/>
    </xf>
    <xf numFmtId="192" fontId="56" fillId="0" borderId="126" xfId="0" applyNumberFormat="1" applyFont="1" applyFill="1" applyBorder="1" applyAlignment="1">
      <alignment horizontal="right"/>
    </xf>
    <xf numFmtId="192" fontId="56" fillId="0" borderId="160" xfId="0" applyNumberFormat="1" applyFont="1" applyFill="1" applyBorder="1" applyAlignment="1">
      <alignment horizontal="right"/>
    </xf>
    <xf numFmtId="10" fontId="56" fillId="0" borderId="126" xfId="52" applyNumberFormat="1" applyFont="1" applyFill="1" applyBorder="1" applyAlignment="1">
      <alignment horizontal="right"/>
    </xf>
    <xf numFmtId="177" fontId="56" fillId="0" borderId="126" xfId="10" applyNumberFormat="1" applyFont="1" applyFill="1" applyBorder="1" applyAlignment="1">
      <alignment horizontal="right"/>
    </xf>
    <xf numFmtId="177" fontId="187" fillId="0" borderId="126" xfId="10" applyNumberFormat="1" applyFont="1" applyFill="1" applyBorder="1" applyAlignment="1">
      <alignment horizontal="right"/>
    </xf>
    <xf numFmtId="177" fontId="56" fillId="0" borderId="160" xfId="10" applyNumberFormat="1" applyFont="1" applyFill="1" applyBorder="1" applyAlignment="1">
      <alignment horizontal="right"/>
    </xf>
    <xf numFmtId="165" fontId="56" fillId="0" borderId="160" xfId="52" applyNumberFormat="1" applyFont="1" applyFill="1" applyBorder="1" applyAlignment="1">
      <alignment horizontal="right"/>
    </xf>
    <xf numFmtId="201" fontId="56" fillId="0" borderId="126" xfId="0" applyNumberFormat="1" applyFont="1" applyFill="1" applyBorder="1" applyAlignment="1">
      <alignment horizontal="right"/>
    </xf>
    <xf numFmtId="7" fontId="56" fillId="0" borderId="160" xfId="0" applyNumberFormat="1" applyFont="1" applyBorder="1" applyAlignment="1">
      <alignment horizontal="right"/>
    </xf>
    <xf numFmtId="7" fontId="56" fillId="0" borderId="126" xfId="0" applyNumberFormat="1" applyFont="1" applyBorder="1" applyAlignment="1">
      <alignment horizontal="right"/>
    </xf>
    <xf numFmtId="165" fontId="56" fillId="0" borderId="160" xfId="0" applyNumberFormat="1" applyFont="1" applyBorder="1" applyAlignment="1">
      <alignment horizontal="right"/>
    </xf>
    <xf numFmtId="166" fontId="56" fillId="0" borderId="161" xfId="52" applyNumberFormat="1" applyFont="1" applyBorder="1" applyAlignment="1">
      <alignment horizontal="right"/>
    </xf>
    <xf numFmtId="166" fontId="56" fillId="51" borderId="161" xfId="52" applyNumberFormat="1" applyFont="1" applyFill="1" applyBorder="1" applyAlignment="1">
      <alignment horizontal="right"/>
    </xf>
    <xf numFmtId="166" fontId="184" fillId="0" borderId="160" xfId="52" applyNumberFormat="1" applyFont="1" applyBorder="1" applyAlignment="1">
      <alignment horizontal="right"/>
    </xf>
    <xf numFmtId="0" fontId="191" fillId="0" borderId="160" xfId="0" applyFont="1" applyBorder="1" applyAlignment="1">
      <alignment horizontal="right"/>
    </xf>
    <xf numFmtId="166" fontId="184" fillId="0" borderId="166" xfId="52" applyNumberFormat="1" applyFont="1" applyBorder="1" applyAlignment="1">
      <alignment horizontal="right"/>
    </xf>
    <xf numFmtId="0" fontId="56" fillId="0" borderId="163" xfId="0" applyFont="1" applyBorder="1" applyAlignment="1">
      <alignment horizontal="right"/>
    </xf>
    <xf numFmtId="0" fontId="56" fillId="0" borderId="154" xfId="0" applyFont="1" applyBorder="1" applyAlignment="1">
      <alignment horizontal="right"/>
    </xf>
    <xf numFmtId="0" fontId="191" fillId="0" borderId="165" xfId="0" applyFont="1" applyBorder="1" applyAlignment="1">
      <alignment horizontal="right"/>
    </xf>
    <xf numFmtId="0" fontId="191" fillId="0" borderId="139" xfId="0" applyFont="1" applyFill="1" applyBorder="1" applyAlignment="1">
      <alignment horizontal="right"/>
    </xf>
    <xf numFmtId="9" fontId="56" fillId="0" borderId="139" xfId="52" applyFont="1" applyFill="1" applyBorder="1" applyAlignment="1">
      <alignment horizontal="right"/>
    </xf>
    <xf numFmtId="166" fontId="56" fillId="0" borderId="160" xfId="52" applyNumberFormat="1" applyFont="1" applyFill="1" applyBorder="1" applyAlignment="1">
      <alignment horizontal="right"/>
    </xf>
    <xf numFmtId="166" fontId="56" fillId="0" borderId="160" xfId="52" applyNumberFormat="1" applyFont="1" applyBorder="1" applyAlignment="1">
      <alignment horizontal="right"/>
    </xf>
    <xf numFmtId="0" fontId="56" fillId="51" borderId="163" xfId="0" applyFont="1" applyFill="1" applyBorder="1" applyAlignment="1">
      <alignment horizontal="right"/>
    </xf>
    <xf numFmtId="0" fontId="56" fillId="51" borderId="154" xfId="0" applyFont="1" applyFill="1" applyBorder="1" applyAlignment="1">
      <alignment horizontal="right"/>
    </xf>
    <xf numFmtId="0" fontId="191" fillId="51" borderId="165" xfId="0" applyFont="1" applyFill="1" applyBorder="1" applyAlignment="1">
      <alignment horizontal="right"/>
    </xf>
    <xf numFmtId="9" fontId="56" fillId="51" borderId="139" xfId="52" applyFont="1" applyFill="1" applyBorder="1" applyAlignment="1">
      <alignment horizontal="right"/>
    </xf>
    <xf numFmtId="166" fontId="56" fillId="51" borderId="160" xfId="52" applyNumberFormat="1" applyFont="1" applyFill="1" applyBorder="1" applyAlignment="1">
      <alignment horizontal="right"/>
    </xf>
    <xf numFmtId="166" fontId="56" fillId="51" borderId="140" xfId="52" applyNumberFormat="1" applyFont="1" applyFill="1" applyBorder="1" applyAlignment="1">
      <alignment horizontal="right"/>
    </xf>
    <xf numFmtId="166" fontId="56" fillId="0" borderId="160" xfId="0" applyNumberFormat="1" applyFont="1" applyFill="1" applyBorder="1" applyAlignment="1">
      <alignment horizontal="right"/>
    </xf>
    <xf numFmtId="302" fontId="56" fillId="0" borderId="126" xfId="0" applyNumberFormat="1" applyFont="1" applyBorder="1" applyAlignment="1">
      <alignment horizontal="right"/>
    </xf>
    <xf numFmtId="302" fontId="56" fillId="0" borderId="0" xfId="0" applyNumberFormat="1" applyFont="1" applyBorder="1" applyAlignment="1">
      <alignment horizontal="right"/>
    </xf>
    <xf numFmtId="302" fontId="56" fillId="0" borderId="160" xfId="0" applyNumberFormat="1" applyFont="1" applyBorder="1" applyAlignment="1">
      <alignment horizontal="right"/>
    </xf>
    <xf numFmtId="9" fontId="56" fillId="0" borderId="160" xfId="0" applyNumberFormat="1" applyFont="1" applyFill="1" applyBorder="1" applyAlignment="1">
      <alignment horizontal="right"/>
    </xf>
    <xf numFmtId="0" fontId="56" fillId="0" borderId="160" xfId="0" applyFont="1" applyFill="1" applyBorder="1"/>
    <xf numFmtId="0" fontId="56" fillId="0" borderId="160" xfId="0" applyFont="1" applyFill="1" applyBorder="1" applyAlignment="1">
      <alignment horizontal="right"/>
    </xf>
    <xf numFmtId="166" fontId="56" fillId="0" borderId="166" xfId="0" applyNumberFormat="1" applyFont="1" applyFill="1" applyBorder="1" applyAlignment="1">
      <alignment horizontal="right"/>
    </xf>
    <xf numFmtId="0" fontId="56" fillId="0" borderId="168" xfId="0" applyFont="1" applyFill="1" applyBorder="1" applyAlignment="1">
      <alignment horizontal="right"/>
    </xf>
    <xf numFmtId="0" fontId="56" fillId="0" borderId="140" xfId="0" applyFont="1" applyFill="1" applyBorder="1" applyAlignment="1">
      <alignment horizontal="right"/>
    </xf>
    <xf numFmtId="166" fontId="184" fillId="0" borderId="170" xfId="52" applyNumberFormat="1" applyFont="1" applyBorder="1" applyAlignment="1">
      <alignment horizontal="right"/>
    </xf>
    <xf numFmtId="0" fontId="56" fillId="0" borderId="170" xfId="0" applyFont="1" applyFill="1" applyBorder="1" applyAlignment="1">
      <alignment horizontal="right"/>
    </xf>
    <xf numFmtId="9" fontId="201" fillId="0" borderId="106" xfId="52" applyFont="1" applyFill="1" applyBorder="1" applyAlignment="1">
      <alignment horizontal="right"/>
    </xf>
    <xf numFmtId="0" fontId="56" fillId="0" borderId="140" xfId="0" applyFont="1" applyBorder="1" applyAlignment="1">
      <alignment horizontal="right"/>
    </xf>
    <xf numFmtId="0" fontId="56" fillId="51" borderId="139" xfId="0" applyFont="1" applyFill="1" applyBorder="1" applyAlignment="1">
      <alignment horizontal="right"/>
    </xf>
    <xf numFmtId="0" fontId="56" fillId="51" borderId="143" xfId="0" applyFont="1" applyFill="1" applyBorder="1" applyAlignment="1">
      <alignment horizontal="right"/>
    </xf>
    <xf numFmtId="166" fontId="56" fillId="0" borderId="143" xfId="0" applyNumberFormat="1" applyFont="1" applyBorder="1" applyAlignment="1">
      <alignment horizontal="right"/>
    </xf>
    <xf numFmtId="166" fontId="56" fillId="0" borderId="170" xfId="0" applyNumberFormat="1" applyFont="1" applyFill="1" applyBorder="1" applyAlignment="1">
      <alignment horizontal="right"/>
    </xf>
    <xf numFmtId="43" fontId="185" fillId="0" borderId="139" xfId="0" applyNumberFormat="1" applyFont="1" applyBorder="1" applyAlignment="1">
      <alignment horizontal="left"/>
    </xf>
    <xf numFmtId="166" fontId="56" fillId="0" borderId="139" xfId="0" applyNumberFormat="1" applyFont="1" applyBorder="1" applyAlignment="1">
      <alignment horizontal="right"/>
    </xf>
    <xf numFmtId="202" fontId="56" fillId="0" borderId="139" xfId="10" applyNumberFormat="1" applyFont="1" applyBorder="1" applyAlignment="1">
      <alignment horizontal="right"/>
    </xf>
    <xf numFmtId="204" fontId="56" fillId="0" borderId="143" xfId="10" applyNumberFormat="1" applyFont="1" applyBorder="1" applyAlignment="1">
      <alignment horizontal="right"/>
    </xf>
    <xf numFmtId="200" fontId="56" fillId="0" borderId="143" xfId="0" applyNumberFormat="1" applyFont="1" applyBorder="1" applyAlignment="1">
      <alignment horizontal="right"/>
    </xf>
    <xf numFmtId="10" fontId="56" fillId="0" borderId="139" xfId="52" applyNumberFormat="1" applyFont="1" applyBorder="1" applyAlignment="1">
      <alignment horizontal="right"/>
    </xf>
    <xf numFmtId="200" fontId="56" fillId="0" borderId="154" xfId="0" applyNumberFormat="1" applyFont="1" applyBorder="1" applyAlignment="1">
      <alignment horizontal="right"/>
    </xf>
    <xf numFmtId="0" fontId="191" fillId="0" borderId="143" xfId="0" applyFont="1" applyBorder="1" applyAlignment="1">
      <alignment horizontal="right"/>
    </xf>
    <xf numFmtId="166" fontId="56" fillId="51" borderId="143" xfId="52" applyNumberFormat="1" applyFont="1" applyFill="1" applyBorder="1" applyAlignment="1">
      <alignment horizontal="right"/>
    </xf>
    <xf numFmtId="166" fontId="56" fillId="51" borderId="139" xfId="52" applyNumberFormat="1" applyFont="1" applyFill="1" applyBorder="1" applyAlignment="1">
      <alignment horizontal="right"/>
    </xf>
    <xf numFmtId="166" fontId="189" fillId="51" borderId="143" xfId="52" applyNumberFormat="1" applyFont="1" applyFill="1" applyBorder="1" applyAlignment="1">
      <alignment horizontal="right"/>
    </xf>
    <xf numFmtId="166" fontId="189" fillId="51" borderId="139" xfId="52" applyNumberFormat="1" applyFont="1" applyFill="1" applyBorder="1" applyAlignment="1">
      <alignment horizontal="right"/>
    </xf>
    <xf numFmtId="166" fontId="189" fillId="51" borderId="163" xfId="52" applyNumberFormat="1" applyFont="1" applyFill="1" applyBorder="1" applyAlignment="1">
      <alignment horizontal="right"/>
    </xf>
    <xf numFmtId="166" fontId="189" fillId="51" borderId="154" xfId="52" applyNumberFormat="1" applyFont="1" applyFill="1" applyBorder="1" applyAlignment="1">
      <alignment horizontal="right"/>
    </xf>
    <xf numFmtId="166" fontId="189" fillId="51" borderId="165" xfId="52" applyNumberFormat="1" applyFont="1" applyFill="1" applyBorder="1" applyAlignment="1">
      <alignment horizontal="right"/>
    </xf>
    <xf numFmtId="166" fontId="56" fillId="51" borderId="170" xfId="52" applyNumberFormat="1" applyFont="1" applyFill="1" applyBorder="1" applyAlignment="1">
      <alignment horizontal="right"/>
    </xf>
    <xf numFmtId="166" fontId="56" fillId="51" borderId="166" xfId="52" applyNumberFormat="1" applyFont="1" applyFill="1" applyBorder="1" applyAlignment="1">
      <alignment horizontal="right"/>
    </xf>
    <xf numFmtId="166" fontId="56" fillId="51" borderId="167" xfId="52" applyNumberFormat="1" applyFont="1" applyFill="1" applyBorder="1" applyAlignment="1">
      <alignment horizontal="right"/>
    </xf>
    <xf numFmtId="166" fontId="56" fillId="51" borderId="168" xfId="52" applyNumberFormat="1" applyFont="1" applyFill="1" applyBorder="1" applyAlignment="1">
      <alignment horizontal="right"/>
    </xf>
    <xf numFmtId="166" fontId="56" fillId="51" borderId="169" xfId="52" applyNumberFormat="1" applyFont="1" applyFill="1" applyBorder="1" applyAlignment="1">
      <alignment horizontal="right"/>
    </xf>
    <xf numFmtId="166" fontId="56" fillId="51" borderId="143" xfId="0" applyNumberFormat="1" applyFont="1" applyFill="1" applyBorder="1" applyAlignment="1">
      <alignment horizontal="right"/>
    </xf>
    <xf numFmtId="0" fontId="191" fillId="51" borderId="143" xfId="0" applyFont="1" applyFill="1" applyBorder="1" applyAlignment="1">
      <alignment horizontal="right"/>
    </xf>
    <xf numFmtId="166" fontId="56" fillId="0" borderId="143" xfId="52" applyNumberFormat="1" applyFont="1" applyBorder="1" applyAlignment="1">
      <alignment horizontal="right"/>
    </xf>
    <xf numFmtId="166" fontId="56" fillId="0" borderId="139" xfId="52" applyNumberFormat="1" applyFont="1" applyBorder="1" applyAlignment="1">
      <alignment horizontal="right"/>
    </xf>
    <xf numFmtId="166" fontId="189" fillId="0" borderId="143" xfId="52" applyNumberFormat="1" applyFont="1" applyBorder="1" applyAlignment="1">
      <alignment horizontal="right"/>
    </xf>
    <xf numFmtId="166" fontId="189" fillId="0" borderId="139" xfId="52" applyNumberFormat="1" applyFont="1" applyBorder="1" applyAlignment="1">
      <alignment horizontal="right"/>
    </xf>
    <xf numFmtId="166" fontId="189" fillId="0" borderId="163" xfId="52" applyNumberFormat="1" applyFont="1" applyBorder="1" applyAlignment="1">
      <alignment horizontal="right"/>
    </xf>
    <xf numFmtId="166" fontId="189" fillId="0" borderId="154" xfId="52" applyNumberFormat="1" applyFont="1" applyBorder="1" applyAlignment="1">
      <alignment horizontal="right"/>
    </xf>
    <xf numFmtId="166" fontId="189" fillId="0" borderId="165" xfId="52" applyNumberFormat="1" applyFont="1" applyBorder="1" applyAlignment="1">
      <alignment horizontal="right"/>
    </xf>
    <xf numFmtId="166" fontId="189" fillId="0" borderId="139" xfId="52" applyNumberFormat="1" applyFont="1" applyFill="1" applyBorder="1" applyAlignment="1">
      <alignment horizontal="right"/>
    </xf>
    <xf numFmtId="166" fontId="189" fillId="0" borderId="143" xfId="52" applyNumberFormat="1" applyFont="1" applyFill="1" applyBorder="1" applyAlignment="1">
      <alignment horizontal="right"/>
    </xf>
    <xf numFmtId="166" fontId="56" fillId="0" borderId="170" xfId="52" applyNumberFormat="1" applyFont="1" applyBorder="1" applyAlignment="1">
      <alignment horizontal="right"/>
    </xf>
    <xf numFmtId="166" fontId="56" fillId="0" borderId="140" xfId="52" applyNumberFormat="1" applyFont="1" applyBorder="1" applyAlignment="1">
      <alignment horizontal="right"/>
    </xf>
    <xf numFmtId="166" fontId="56" fillId="0" borderId="166" xfId="52" applyNumberFormat="1" applyFont="1" applyBorder="1" applyAlignment="1">
      <alignment horizontal="right"/>
    </xf>
    <xf numFmtId="0" fontId="191" fillId="0" borderId="143" xfId="0" applyFont="1" applyFill="1" applyBorder="1" applyAlignment="1">
      <alignment horizontal="right"/>
    </xf>
    <xf numFmtId="0" fontId="56" fillId="0" borderId="143" xfId="0" applyFont="1" applyFill="1" applyBorder="1" applyAlignment="1">
      <alignment horizontal="right"/>
    </xf>
    <xf numFmtId="166" fontId="56" fillId="0" borderId="170" xfId="52" applyNumberFormat="1" applyFont="1" applyFill="1" applyBorder="1" applyAlignment="1">
      <alignment horizontal="right"/>
    </xf>
    <xf numFmtId="166" fontId="184" fillId="0" borderId="143" xfId="52" applyNumberFormat="1" applyFont="1" applyBorder="1" applyAlignment="1">
      <alignment horizontal="right"/>
    </xf>
    <xf numFmtId="0" fontId="184" fillId="0" borderId="143" xfId="52" applyNumberFormat="1" applyFont="1" applyBorder="1" applyAlignment="1">
      <alignment horizontal="right"/>
    </xf>
    <xf numFmtId="166" fontId="184" fillId="0" borderId="163" xfId="52" applyNumberFormat="1" applyFont="1" applyBorder="1" applyAlignment="1">
      <alignment horizontal="right"/>
    </xf>
    <xf numFmtId="166" fontId="184" fillId="0" borderId="154" xfId="52" applyNumberFormat="1" applyFont="1" applyBorder="1" applyAlignment="1">
      <alignment horizontal="right"/>
    </xf>
    <xf numFmtId="0" fontId="56" fillId="0" borderId="170" xfId="52" applyNumberFormat="1" applyFont="1" applyBorder="1" applyAlignment="1">
      <alignment horizontal="right"/>
    </xf>
    <xf numFmtId="166" fontId="184" fillId="0" borderId="167" xfId="52" applyNumberFormat="1" applyFont="1" applyBorder="1" applyAlignment="1">
      <alignment horizontal="right"/>
    </xf>
    <xf numFmtId="166" fontId="184" fillId="0" borderId="140" xfId="52" applyNumberFormat="1" applyFont="1" applyBorder="1" applyAlignment="1">
      <alignment horizontal="right"/>
    </xf>
    <xf numFmtId="166" fontId="184" fillId="0" borderId="168" xfId="52" applyNumberFormat="1" applyFont="1" applyBorder="1" applyAlignment="1">
      <alignment horizontal="right"/>
    </xf>
    <xf numFmtId="166" fontId="184" fillId="0" borderId="140" xfId="52" applyNumberFormat="1" applyFont="1" applyFill="1" applyBorder="1" applyAlignment="1">
      <alignment horizontal="right"/>
    </xf>
    <xf numFmtId="193" fontId="56" fillId="0" borderId="0" xfId="46" applyNumberFormat="1" applyFont="1" applyFill="1" applyBorder="1" applyAlignment="1">
      <alignment horizontal="right"/>
    </xf>
    <xf numFmtId="193" fontId="56" fillId="0" borderId="22" xfId="46" applyNumberFormat="1" applyFont="1" applyFill="1" applyBorder="1" applyAlignment="1">
      <alignment horizontal="right"/>
    </xf>
    <xf numFmtId="193" fontId="56" fillId="0" borderId="82" xfId="46" applyNumberFormat="1" applyFont="1" applyFill="1" applyBorder="1" applyAlignment="1">
      <alignment horizontal="right"/>
    </xf>
    <xf numFmtId="193" fontId="194" fillId="0" borderId="0" xfId="46" applyNumberFormat="1" applyFont="1" applyFill="1" applyBorder="1" applyAlignment="1">
      <alignment horizontal="right"/>
    </xf>
    <xf numFmtId="193" fontId="194" fillId="0" borderId="22" xfId="46" applyNumberFormat="1" applyFont="1" applyFill="1" applyBorder="1" applyAlignment="1">
      <alignment horizontal="right"/>
    </xf>
    <xf numFmtId="193" fontId="56" fillId="0" borderId="85" xfId="46" applyNumberFormat="1" applyFont="1" applyFill="1" applyBorder="1" applyAlignment="1">
      <alignment horizontal="right"/>
    </xf>
    <xf numFmtId="193" fontId="56" fillId="0" borderId="106" xfId="46" applyNumberFormat="1" applyFont="1" applyFill="1" applyBorder="1" applyAlignment="1">
      <alignment horizontal="right"/>
    </xf>
    <xf numFmtId="193" fontId="56" fillId="0" borderId="126" xfId="46" applyNumberFormat="1" applyFont="1" applyFill="1" applyBorder="1" applyAlignment="1">
      <alignment horizontal="right"/>
    </xf>
    <xf numFmtId="193" fontId="187" fillId="0" borderId="22" xfId="46" applyNumberFormat="1" applyFont="1" applyFill="1" applyBorder="1" applyAlignment="1">
      <alignment horizontal="right"/>
    </xf>
    <xf numFmtId="193" fontId="56" fillId="0" borderId="160" xfId="0" applyNumberFormat="1" applyFont="1" applyFill="1" applyBorder="1" applyAlignment="1">
      <alignment horizontal="right"/>
    </xf>
    <xf numFmtId="165" fontId="56" fillId="51" borderId="170" xfId="46" applyNumberFormat="1" applyFont="1" applyFill="1" applyBorder="1" applyAlignment="1">
      <alignment horizontal="right"/>
    </xf>
    <xf numFmtId="165" fontId="56" fillId="51" borderId="167" xfId="46" applyNumberFormat="1" applyFont="1" applyFill="1" applyBorder="1" applyAlignment="1">
      <alignment horizontal="right"/>
    </xf>
    <xf numFmtId="165" fontId="56" fillId="51" borderId="162" xfId="46" applyNumberFormat="1" applyFont="1" applyFill="1" applyBorder="1" applyAlignment="1">
      <alignment horizontal="right"/>
    </xf>
    <xf numFmtId="165" fontId="187" fillId="51" borderId="170" xfId="46" applyNumberFormat="1" applyFont="1" applyFill="1" applyBorder="1" applyAlignment="1">
      <alignment horizontal="right"/>
    </xf>
    <xf numFmtId="165" fontId="187" fillId="51" borderId="167" xfId="46" applyNumberFormat="1" applyFont="1" applyFill="1" applyBorder="1" applyAlignment="1">
      <alignment horizontal="right"/>
    </xf>
    <xf numFmtId="165" fontId="56" fillId="51" borderId="171" xfId="46" applyNumberFormat="1" applyFont="1" applyFill="1" applyBorder="1" applyAlignment="1">
      <alignment horizontal="right"/>
    </xf>
    <xf numFmtId="165" fontId="56" fillId="51" borderId="172" xfId="46" applyNumberFormat="1" applyFont="1" applyFill="1" applyBorder="1" applyAlignment="1">
      <alignment horizontal="right"/>
    </xf>
    <xf numFmtId="165" fontId="56" fillId="51" borderId="140" xfId="46" applyNumberFormat="1" applyFont="1" applyFill="1" applyBorder="1" applyAlignment="1">
      <alignment horizontal="right"/>
    </xf>
    <xf numFmtId="165" fontId="187" fillId="51" borderId="173" xfId="46" applyNumberFormat="1" applyFont="1" applyFill="1" applyBorder="1" applyAlignment="1">
      <alignment horizontal="right"/>
    </xf>
    <xf numFmtId="9" fontId="201" fillId="51" borderId="0" xfId="52" applyFont="1" applyFill="1" applyBorder="1" applyAlignment="1">
      <alignment horizontal="center"/>
    </xf>
    <xf numFmtId="0" fontId="0" fillId="51" borderId="0" xfId="0" applyFill="1" applyBorder="1" applyAlignment="1">
      <alignment horizontal="center"/>
    </xf>
    <xf numFmtId="166" fontId="189" fillId="51" borderId="0" xfId="52" applyNumberFormat="1" applyFont="1" applyFill="1" applyBorder="1" applyAlignment="1">
      <alignment horizontal="right"/>
    </xf>
    <xf numFmtId="166" fontId="186" fillId="51" borderId="0" xfId="52" applyNumberFormat="1" applyFont="1" applyFill="1" applyBorder="1" applyAlignment="1">
      <alignment horizontal="right"/>
    </xf>
    <xf numFmtId="166" fontId="188" fillId="0" borderId="14" xfId="52" applyNumberFormat="1" applyFont="1" applyFill="1" applyBorder="1" applyAlignment="1">
      <alignment horizontal="right"/>
    </xf>
    <xf numFmtId="166" fontId="188" fillId="0" borderId="0" xfId="52" applyNumberFormat="1" applyFont="1" applyFill="1" applyBorder="1"/>
    <xf numFmtId="166" fontId="188" fillId="0" borderId="121" xfId="52" applyNumberFormat="1" applyFont="1" applyFill="1" applyBorder="1" applyAlignment="1">
      <alignment horizontal="right"/>
    </xf>
    <xf numFmtId="166" fontId="242" fillId="0" borderId="0" xfId="52" applyNumberFormat="1" applyFont="1" applyFill="1" applyBorder="1" applyAlignment="1">
      <alignment horizontal="right"/>
    </xf>
    <xf numFmtId="43" fontId="185" fillId="0" borderId="0" xfId="39" applyNumberFormat="1" applyFont="1" applyFill="1" applyBorder="1" applyAlignment="1">
      <alignment horizontal="left"/>
    </xf>
    <xf numFmtId="43" fontId="186" fillId="0" borderId="143" xfId="39" applyNumberFormat="1" applyFont="1" applyBorder="1" applyAlignment="1">
      <alignment horizontal="left"/>
    </xf>
    <xf numFmtId="165" fontId="186" fillId="0" borderId="143" xfId="46" applyNumberFormat="1" applyFont="1" applyBorder="1"/>
    <xf numFmtId="165" fontId="186" fillId="0" borderId="158" xfId="0" applyNumberFormat="1" applyFont="1" applyFill="1" applyBorder="1" applyAlignment="1">
      <alignment horizontal="right"/>
    </xf>
    <xf numFmtId="165" fontId="186" fillId="0" borderId="174" xfId="46" applyNumberFormat="1" applyFont="1" applyBorder="1"/>
    <xf numFmtId="165" fontId="186" fillId="0" borderId="143" xfId="0" applyNumberFormat="1" applyFont="1" applyBorder="1"/>
    <xf numFmtId="165" fontId="186" fillId="0" borderId="143" xfId="46" applyNumberFormat="1" applyFont="1" applyFill="1" applyBorder="1"/>
    <xf numFmtId="165" fontId="186" fillId="0" borderId="174" xfId="0" applyNumberFormat="1" applyFont="1" applyBorder="1" applyAlignment="1">
      <alignment horizontal="right"/>
    </xf>
    <xf numFmtId="165" fontId="186" fillId="0" borderId="143" xfId="0" applyNumberFormat="1" applyFont="1" applyBorder="1" applyAlignment="1">
      <alignment horizontal="right"/>
    </xf>
    <xf numFmtId="165" fontId="186" fillId="0" borderId="174" xfId="0" applyNumberFormat="1" applyFont="1" applyFill="1" applyBorder="1" applyAlignment="1">
      <alignment horizontal="right"/>
    </xf>
    <xf numFmtId="165" fontId="186" fillId="0" borderId="143" xfId="0" applyNumberFormat="1" applyFont="1" applyFill="1" applyBorder="1" applyAlignment="1">
      <alignment horizontal="right"/>
    </xf>
    <xf numFmtId="165" fontId="186" fillId="0" borderId="153" xfId="0" applyNumberFormat="1" applyFont="1" applyFill="1" applyBorder="1" applyAlignment="1">
      <alignment horizontal="right"/>
    </xf>
    <xf numFmtId="165" fontId="186" fillId="0" borderId="150" xfId="46" applyNumberFormat="1" applyFont="1" applyBorder="1"/>
    <xf numFmtId="165" fontId="186" fillId="0" borderId="150" xfId="0" applyNumberFormat="1" applyFont="1" applyBorder="1" applyAlignment="1">
      <alignment horizontal="right"/>
    </xf>
    <xf numFmtId="165" fontId="186" fillId="0" borderId="150" xfId="0" applyNumberFormat="1" applyFont="1" applyFill="1" applyBorder="1" applyAlignment="1">
      <alignment horizontal="right"/>
    </xf>
    <xf numFmtId="165" fontId="186" fillId="0" borderId="139" xfId="0" applyNumberFormat="1" applyFont="1" applyFill="1" applyBorder="1" applyAlignment="1">
      <alignment horizontal="right"/>
    </xf>
    <xf numFmtId="165" fontId="187" fillId="0" borderId="14" xfId="0" applyNumberFormat="1" applyFont="1" applyFill="1" applyBorder="1" applyAlignment="1">
      <alignment horizontal="right"/>
    </xf>
    <xf numFmtId="43" fontId="185" fillId="0" borderId="14" xfId="67" applyNumberFormat="1" applyFont="1" applyFill="1" applyBorder="1"/>
    <xf numFmtId="165" fontId="56" fillId="0" borderId="121" xfId="52" applyNumberFormat="1" applyFont="1" applyBorder="1" applyAlignment="1">
      <alignment horizontal="right"/>
    </xf>
    <xf numFmtId="43" fontId="56" fillId="0" borderId="121" xfId="10" applyFont="1" applyBorder="1" applyAlignment="1">
      <alignment horizontal="right"/>
    </xf>
    <xf numFmtId="166" fontId="56" fillId="0" borderId="121" xfId="52" applyNumberFormat="1" applyFont="1" applyBorder="1" applyAlignment="1">
      <alignment horizontal="right"/>
    </xf>
    <xf numFmtId="0" fontId="184" fillId="0" borderId="121" xfId="0" applyFont="1" applyFill="1" applyBorder="1" applyAlignment="1">
      <alignment horizontal="right"/>
    </xf>
    <xf numFmtId="0" fontId="184" fillId="0" borderId="122" xfId="0" applyFont="1" applyFill="1" applyBorder="1" applyAlignment="1">
      <alignment horizontal="right"/>
    </xf>
    <xf numFmtId="0" fontId="56" fillId="0" borderId="121" xfId="0" applyFont="1" applyFill="1" applyBorder="1" applyAlignment="1">
      <alignment horizontal="right"/>
    </xf>
    <xf numFmtId="43" fontId="56" fillId="0" borderId="121" xfId="10" applyFont="1" applyFill="1" applyBorder="1" applyAlignment="1">
      <alignment horizontal="right"/>
    </xf>
    <xf numFmtId="0" fontId="56" fillId="0" borderId="0" xfId="67" applyFont="1" applyFill="1"/>
    <xf numFmtId="4" fontId="56" fillId="0" borderId="0" xfId="642" applyNumberFormat="1" applyFont="1" applyBorder="1" applyAlignment="1"/>
    <xf numFmtId="0" fontId="56" fillId="0" borderId="143" xfId="67" applyFont="1" applyFill="1" applyBorder="1"/>
    <xf numFmtId="166" fontId="56" fillId="0" borderId="143" xfId="129" applyNumberFormat="1" applyFont="1" applyFill="1" applyBorder="1" applyAlignment="1"/>
    <xf numFmtId="43" fontId="56" fillId="0" borderId="157" xfId="67" applyNumberFormat="1" applyFont="1" applyFill="1" applyBorder="1" applyAlignment="1">
      <alignment horizontal="left" indent="1"/>
    </xf>
    <xf numFmtId="9" fontId="56" fillId="0" borderId="157" xfId="129" applyFont="1" applyFill="1" applyBorder="1" applyAlignment="1">
      <alignment horizontal="right"/>
    </xf>
    <xf numFmtId="9" fontId="189" fillId="0" borderId="126" xfId="129" applyFont="1" applyFill="1" applyBorder="1" applyAlignment="1">
      <alignment horizontal="right"/>
    </xf>
    <xf numFmtId="4" fontId="56" fillId="0" borderId="157" xfId="69" applyNumberFormat="1" applyFont="1" applyFill="1" applyBorder="1" applyAlignment="1"/>
    <xf numFmtId="4" fontId="187" fillId="0" borderId="126" xfId="67" applyNumberFormat="1" applyFont="1" applyFill="1" applyBorder="1"/>
    <xf numFmtId="4" fontId="187" fillId="0" borderId="126" xfId="69" applyNumberFormat="1" applyFont="1" applyFill="1" applyBorder="1" applyAlignment="1"/>
    <xf numFmtId="4" fontId="56" fillId="0" borderId="126" xfId="69" applyNumberFormat="1" applyFont="1" applyFill="1" applyBorder="1" applyAlignment="1"/>
    <xf numFmtId="166" fontId="184" fillId="0" borderId="157" xfId="129" applyNumberFormat="1" applyFont="1" applyFill="1" applyBorder="1"/>
    <xf numFmtId="0" fontId="185" fillId="0" borderId="170" xfId="67" applyFont="1" applyFill="1" applyBorder="1" applyAlignment="1">
      <alignment horizontal="center"/>
    </xf>
    <xf numFmtId="43" fontId="186" fillId="0" borderId="139" xfId="67" applyNumberFormat="1" applyFont="1" applyFill="1" applyBorder="1"/>
    <xf numFmtId="0" fontId="56" fillId="0" borderId="143" xfId="67" applyFont="1" applyBorder="1"/>
    <xf numFmtId="0" fontId="56" fillId="0" borderId="139" xfId="67" applyFont="1" applyFill="1" applyBorder="1"/>
    <xf numFmtId="0" fontId="56" fillId="0" borderId="175" xfId="67" applyFont="1" applyFill="1" applyBorder="1"/>
    <xf numFmtId="0" fontId="56" fillId="0" borderId="158" xfId="67" applyFont="1" applyFill="1" applyBorder="1"/>
    <xf numFmtId="9" fontId="213" fillId="0" borderId="126" xfId="129" applyFont="1" applyFill="1" applyBorder="1" applyAlignment="1">
      <alignment horizontal="right"/>
    </xf>
    <xf numFmtId="9" fontId="56" fillId="0" borderId="126" xfId="129" applyFont="1" applyFill="1" applyBorder="1" applyAlignment="1">
      <alignment horizontal="right"/>
    </xf>
    <xf numFmtId="43" fontId="186" fillId="0" borderId="157" xfId="67" applyNumberFormat="1" applyFont="1" applyFill="1" applyBorder="1"/>
    <xf numFmtId="0" fontId="186" fillId="0" borderId="157" xfId="67" applyFont="1" applyFill="1" applyBorder="1" applyAlignment="1">
      <alignment horizontal="center"/>
    </xf>
    <xf numFmtId="0" fontId="186" fillId="0" borderId="126" xfId="67" applyFont="1" applyFill="1" applyBorder="1" applyAlignment="1">
      <alignment horizontal="center"/>
    </xf>
    <xf numFmtId="0" fontId="56" fillId="0" borderId="126" xfId="67" applyFont="1" applyBorder="1"/>
    <xf numFmtId="0" fontId="56" fillId="0" borderId="126" xfId="67" applyFont="1" applyFill="1" applyBorder="1"/>
    <xf numFmtId="4" fontId="187" fillId="0" borderId="126" xfId="67" applyNumberFormat="1" applyFont="1" applyFill="1" applyBorder="1" applyAlignment="1"/>
    <xf numFmtId="4" fontId="187" fillId="0" borderId="126" xfId="0" applyNumberFormat="1" applyFont="1" applyFill="1" applyBorder="1" applyAlignment="1"/>
    <xf numFmtId="4" fontId="56" fillId="0" borderId="126" xfId="67" applyNumberFormat="1" applyFont="1" applyFill="1" applyBorder="1"/>
    <xf numFmtId="43" fontId="186" fillId="0" borderId="157" xfId="67" applyNumberFormat="1" applyFont="1" applyFill="1" applyBorder="1" applyAlignment="1">
      <alignment horizontal="left"/>
    </xf>
    <xf numFmtId="166" fontId="184" fillId="0" borderId="126" xfId="129" applyNumberFormat="1" applyFont="1" applyFill="1" applyBorder="1"/>
    <xf numFmtId="181" fontId="56" fillId="0" borderId="157" xfId="67" applyNumberFormat="1" applyFont="1" applyFill="1" applyBorder="1"/>
    <xf numFmtId="181" fontId="56" fillId="0" borderId="126" xfId="67" applyNumberFormat="1" applyFont="1" applyFill="1" applyBorder="1"/>
    <xf numFmtId="43" fontId="56" fillId="0" borderId="126" xfId="67" applyNumberFormat="1" applyFont="1" applyBorder="1"/>
    <xf numFmtId="166" fontId="56" fillId="0" borderId="157" xfId="67" applyNumberFormat="1" applyFont="1" applyBorder="1"/>
    <xf numFmtId="166" fontId="56" fillId="0" borderId="126" xfId="67" applyNumberFormat="1" applyFont="1" applyBorder="1"/>
    <xf numFmtId="9" fontId="56" fillId="0" borderId="126" xfId="67" applyNumberFormat="1" applyFont="1" applyBorder="1"/>
    <xf numFmtId="166" fontId="184" fillId="0" borderId="176" xfId="129" applyNumberFormat="1" applyFont="1" applyFill="1" applyBorder="1"/>
    <xf numFmtId="166" fontId="184" fillId="0" borderId="177" xfId="129" applyNumberFormat="1" applyFont="1" applyFill="1" applyBorder="1"/>
    <xf numFmtId="43" fontId="56" fillId="0" borderId="126" xfId="67" applyNumberFormat="1" applyFont="1" applyBorder="1" applyAlignment="1">
      <alignment horizontal="left" indent="1"/>
    </xf>
    <xf numFmtId="166" fontId="185" fillId="47" borderId="170" xfId="52" applyNumberFormat="1" applyFont="1" applyFill="1" applyBorder="1" applyAlignment="1">
      <alignment horizontal="right"/>
    </xf>
    <xf numFmtId="0" fontId="185" fillId="0" borderId="170" xfId="0" applyFont="1" applyFill="1" applyBorder="1" applyAlignment="1">
      <alignment horizontal="center"/>
    </xf>
    <xf numFmtId="166" fontId="184" fillId="0" borderId="170" xfId="0" applyNumberFormat="1" applyFont="1" applyFill="1" applyBorder="1" applyAlignment="1">
      <alignment horizontal="right"/>
    </xf>
    <xf numFmtId="166" fontId="184" fillId="0" borderId="170" xfId="52" applyNumberFormat="1" applyFont="1" applyFill="1" applyBorder="1"/>
    <xf numFmtId="166" fontId="184" fillId="0" borderId="157" xfId="52" applyNumberFormat="1" applyFont="1" applyFill="1" applyBorder="1" applyAlignment="1">
      <alignment horizontal="right"/>
    </xf>
    <xf numFmtId="0" fontId="185" fillId="47" borderId="157" xfId="0" applyFont="1" applyFill="1" applyBorder="1" applyAlignment="1">
      <alignment horizontal="right"/>
    </xf>
    <xf numFmtId="9" fontId="184" fillId="0" borderId="157" xfId="52" applyFont="1" applyFill="1" applyBorder="1" applyAlignment="1">
      <alignment horizontal="right"/>
    </xf>
    <xf numFmtId="165" fontId="188" fillId="0" borderId="157" xfId="42" applyNumberFormat="1" applyFont="1" applyFill="1" applyBorder="1" applyAlignment="1">
      <alignment horizontal="right"/>
    </xf>
    <xf numFmtId="166" fontId="184" fillId="0" borderId="157" xfId="0" applyNumberFormat="1" applyFont="1" applyFill="1" applyBorder="1" applyAlignment="1">
      <alignment horizontal="right"/>
    </xf>
    <xf numFmtId="177" fontId="56" fillId="0" borderId="157" xfId="10" applyNumberFormat="1" applyFont="1" applyFill="1" applyBorder="1" applyAlignment="1">
      <alignment horizontal="right"/>
    </xf>
    <xf numFmtId="166" fontId="56" fillId="0" borderId="157" xfId="0" applyNumberFormat="1" applyFont="1" applyFill="1" applyBorder="1" applyAlignment="1">
      <alignment horizontal="right"/>
    </xf>
    <xf numFmtId="43" fontId="56" fillId="0" borderId="157" xfId="10" applyFont="1" applyFill="1" applyBorder="1" applyAlignment="1">
      <alignment horizontal="right"/>
    </xf>
    <xf numFmtId="177" fontId="188" fillId="47" borderId="157" xfId="10" applyNumberFormat="1" applyFont="1" applyFill="1" applyBorder="1"/>
    <xf numFmtId="166" fontId="184" fillId="57" borderId="157" xfId="0" applyNumberFormat="1" applyFont="1" applyFill="1" applyBorder="1"/>
    <xf numFmtId="177" fontId="56" fillId="47" borderId="157" xfId="10" applyNumberFormat="1" applyFont="1" applyFill="1" applyBorder="1"/>
    <xf numFmtId="166" fontId="56" fillId="0" borderId="157" xfId="0" applyNumberFormat="1" applyFont="1" applyFill="1" applyBorder="1"/>
    <xf numFmtId="166" fontId="188" fillId="0" borderId="157" xfId="0" applyNumberFormat="1" applyFont="1" applyFill="1" applyBorder="1"/>
    <xf numFmtId="166" fontId="184" fillId="0" borderId="157" xfId="0" applyNumberFormat="1" applyFont="1" applyFill="1" applyBorder="1"/>
    <xf numFmtId="177" fontId="188" fillId="0" borderId="157" xfId="10" applyNumberFormat="1" applyFont="1" applyFill="1" applyBorder="1"/>
    <xf numFmtId="166" fontId="184" fillId="0" borderId="157" xfId="52" applyNumberFormat="1" applyFont="1" applyFill="1" applyBorder="1"/>
    <xf numFmtId="186" fontId="56" fillId="0" borderId="157" xfId="0" applyNumberFormat="1" applyFont="1" applyFill="1" applyBorder="1"/>
    <xf numFmtId="9" fontId="184" fillId="0" borderId="157" xfId="52" applyFont="1" applyFill="1" applyBorder="1"/>
    <xf numFmtId="177" fontId="56" fillId="0" borderId="157" xfId="10" applyNumberFormat="1" applyFont="1" applyFill="1" applyBorder="1"/>
    <xf numFmtId="37" fontId="188" fillId="0" borderId="157" xfId="42" applyNumberFormat="1" applyFont="1" applyFill="1" applyBorder="1"/>
    <xf numFmtId="166" fontId="201" fillId="0" borderId="157" xfId="52" applyNumberFormat="1" applyFont="1" applyFill="1" applyBorder="1"/>
    <xf numFmtId="165" fontId="56" fillId="0" borderId="157" xfId="0" applyNumberFormat="1" applyFont="1" applyFill="1" applyBorder="1"/>
    <xf numFmtId="37" fontId="56" fillId="0" borderId="157" xfId="0" applyNumberFormat="1" applyFont="1" applyFill="1" applyBorder="1"/>
    <xf numFmtId="3" fontId="56" fillId="47" borderId="157" xfId="14" applyNumberFormat="1" applyFont="1" applyFill="1" applyBorder="1"/>
    <xf numFmtId="37" fontId="56" fillId="50" borderId="157" xfId="14" applyNumberFormat="1" applyFont="1" applyFill="1" applyBorder="1"/>
    <xf numFmtId="166" fontId="56" fillId="0" borderId="157" xfId="52" applyNumberFormat="1" applyFont="1" applyFill="1" applyBorder="1"/>
    <xf numFmtId="180" fontId="56" fillId="0" borderId="148" xfId="14" applyNumberFormat="1" applyFont="1" applyFill="1" applyBorder="1"/>
    <xf numFmtId="165" fontId="56" fillId="0" borderId="157" xfId="52" applyNumberFormat="1" applyFont="1" applyFill="1" applyBorder="1" applyAlignment="1">
      <alignment horizontal="right"/>
    </xf>
    <xf numFmtId="186" fontId="188" fillId="0" borderId="157" xfId="0" applyNumberFormat="1" applyFont="1" applyFill="1" applyBorder="1" applyAlignment="1">
      <alignment horizontal="right"/>
    </xf>
    <xf numFmtId="0" fontId="188" fillId="0" borderId="157" xfId="0" applyFont="1" applyFill="1" applyBorder="1" applyAlignment="1">
      <alignment horizontal="right"/>
    </xf>
    <xf numFmtId="166" fontId="56" fillId="0" borderId="157" xfId="52" applyNumberFormat="1" applyFont="1" applyFill="1" applyBorder="1" applyAlignment="1">
      <alignment horizontal="right"/>
    </xf>
    <xf numFmtId="166" fontId="56" fillId="0" borderId="157" xfId="52" applyNumberFormat="1" applyFont="1" applyBorder="1" applyAlignment="1">
      <alignment horizontal="right"/>
    </xf>
    <xf numFmtId="166" fontId="195" fillId="51" borderId="157" xfId="52" applyNumberFormat="1" applyFont="1" applyFill="1" applyBorder="1" applyAlignment="1">
      <alignment horizontal="right"/>
    </xf>
    <xf numFmtId="165" fontId="56" fillId="51" borderId="157" xfId="52" applyNumberFormat="1" applyFont="1" applyFill="1" applyBorder="1" applyAlignment="1">
      <alignment horizontal="right"/>
    </xf>
    <xf numFmtId="177" fontId="188" fillId="51" borderId="157" xfId="10" applyNumberFormat="1" applyFont="1" applyFill="1" applyBorder="1" applyAlignment="1">
      <alignment horizontal="right"/>
    </xf>
    <xf numFmtId="166" fontId="184" fillId="0" borderId="157" xfId="52" applyNumberFormat="1" applyFont="1" applyBorder="1" applyAlignment="1">
      <alignment horizontal="right"/>
    </xf>
    <xf numFmtId="165" fontId="56" fillId="0" borderId="157" xfId="52" applyNumberFormat="1" applyFont="1" applyBorder="1" applyAlignment="1">
      <alignment horizontal="right"/>
    </xf>
    <xf numFmtId="192" fontId="56" fillId="0" borderId="157" xfId="0" applyNumberFormat="1" applyFont="1" applyFill="1" applyBorder="1" applyAlignment="1">
      <alignment horizontal="right"/>
    </xf>
    <xf numFmtId="166" fontId="56" fillId="51" borderId="157" xfId="52" applyNumberFormat="1" applyFont="1" applyFill="1" applyBorder="1" applyAlignment="1">
      <alignment horizontal="right"/>
    </xf>
    <xf numFmtId="193" fontId="56" fillId="51" borderId="157" xfId="52" applyNumberFormat="1" applyFont="1" applyFill="1" applyBorder="1" applyAlignment="1">
      <alignment horizontal="right"/>
    </xf>
    <xf numFmtId="166" fontId="184" fillId="51" borderId="157" xfId="52" applyNumberFormat="1" applyFont="1" applyFill="1" applyBorder="1" applyAlignment="1">
      <alignment horizontal="right"/>
    </xf>
    <xf numFmtId="165" fontId="185" fillId="0" borderId="0" xfId="42" applyNumberFormat="1" applyFont="1" applyFill="1" applyBorder="1" applyAlignment="1">
      <alignment horizontal="right"/>
    </xf>
    <xf numFmtId="166" fontId="188" fillId="0" borderId="106" xfId="52" applyNumberFormat="1" applyFont="1" applyFill="1" applyBorder="1" applyAlignment="1">
      <alignment horizontal="right"/>
    </xf>
    <xf numFmtId="43" fontId="56" fillId="0" borderId="106" xfId="67" applyNumberFormat="1" applyFont="1" applyFill="1" applyBorder="1" applyAlignment="1">
      <alignment horizontal="left" indent="1"/>
    </xf>
    <xf numFmtId="9" fontId="56" fillId="0" borderId="106" xfId="129" applyFont="1" applyFill="1" applyBorder="1" applyAlignment="1">
      <alignment horizontal="right"/>
    </xf>
    <xf numFmtId="0" fontId="244" fillId="0" borderId="0" xfId="67" applyFont="1"/>
    <xf numFmtId="0" fontId="188" fillId="0" borderId="0" xfId="67" applyFont="1" applyFill="1" applyBorder="1" applyAlignment="1">
      <alignment horizontal="right"/>
    </xf>
    <xf numFmtId="14" fontId="188" fillId="0" borderId="0" xfId="67" applyNumberFormat="1" applyFont="1" applyFill="1" applyBorder="1" applyAlignment="1">
      <alignment horizontal="right"/>
    </xf>
    <xf numFmtId="0" fontId="185" fillId="0" borderId="0" xfId="67" applyFont="1" applyFill="1" applyBorder="1" applyAlignment="1">
      <alignment horizontal="center"/>
    </xf>
    <xf numFmtId="43" fontId="56" fillId="51" borderId="157" xfId="67" applyNumberFormat="1" applyFont="1" applyFill="1" applyBorder="1" applyAlignment="1">
      <alignment horizontal="left" indent="1"/>
    </xf>
    <xf numFmtId="0" fontId="56" fillId="51" borderId="0" xfId="67" applyFont="1" applyFill="1" applyBorder="1"/>
    <xf numFmtId="9" fontId="56" fillId="51" borderId="157" xfId="129" applyFont="1" applyFill="1" applyBorder="1" applyAlignment="1">
      <alignment horizontal="right"/>
    </xf>
    <xf numFmtId="9" fontId="56" fillId="51" borderId="126" xfId="129" applyFont="1" applyFill="1" applyBorder="1" applyAlignment="1">
      <alignment horizontal="right"/>
    </xf>
    <xf numFmtId="9" fontId="56" fillId="51" borderId="0" xfId="129" applyFont="1" applyFill="1" applyBorder="1" applyAlignment="1">
      <alignment horizontal="right"/>
    </xf>
    <xf numFmtId="9" fontId="56" fillId="51" borderId="14" xfId="129" applyFont="1" applyFill="1" applyBorder="1" applyAlignment="1">
      <alignment horizontal="right"/>
    </xf>
    <xf numFmtId="165" fontId="188" fillId="0" borderId="161" xfId="42" applyNumberFormat="1" applyFont="1" applyFill="1" applyBorder="1" applyAlignment="1">
      <alignment horizontal="right"/>
    </xf>
    <xf numFmtId="0" fontId="184" fillId="0" borderId="161" xfId="0" applyFont="1" applyFill="1" applyBorder="1" applyAlignment="1">
      <alignment horizontal="right"/>
    </xf>
    <xf numFmtId="166" fontId="184" fillId="0" borderId="161" xfId="0" applyNumberFormat="1" applyFont="1" applyFill="1" applyBorder="1" applyAlignment="1">
      <alignment horizontal="right"/>
    </xf>
    <xf numFmtId="43" fontId="56" fillId="0" borderId="123" xfId="42" applyNumberFormat="1" applyFont="1" applyBorder="1" applyAlignment="1">
      <alignment horizontal="left"/>
    </xf>
    <xf numFmtId="177" fontId="184" fillId="0" borderId="161" xfId="10" applyNumberFormat="1" applyFont="1" applyFill="1" applyBorder="1" applyAlignment="1">
      <alignment horizontal="right"/>
    </xf>
    <xf numFmtId="177" fontId="56" fillId="0" borderId="161" xfId="10" applyNumberFormat="1" applyFont="1" applyFill="1" applyBorder="1" applyAlignment="1">
      <alignment horizontal="right"/>
    </xf>
    <xf numFmtId="177" fontId="190" fillId="0" borderId="161" xfId="10" applyNumberFormat="1" applyFont="1" applyFill="1" applyBorder="1" applyAlignment="1">
      <alignment horizontal="right"/>
    </xf>
    <xf numFmtId="177" fontId="187" fillId="0" borderId="161" xfId="10" applyNumberFormat="1" applyFont="1" applyFill="1" applyBorder="1" applyAlignment="1">
      <alignment horizontal="right"/>
    </xf>
    <xf numFmtId="43" fontId="188" fillId="0" borderId="123" xfId="42" applyNumberFormat="1" applyFont="1" applyBorder="1" applyAlignment="1">
      <alignment horizontal="left"/>
    </xf>
    <xf numFmtId="166" fontId="56" fillId="0" borderId="161" xfId="0" applyNumberFormat="1" applyFont="1" applyFill="1" applyBorder="1" applyAlignment="1">
      <alignment horizontal="right"/>
    </xf>
    <xf numFmtId="177" fontId="188" fillId="47" borderId="161" xfId="10" applyNumberFormat="1" applyFont="1" applyFill="1" applyBorder="1" applyAlignment="1">
      <alignment horizontal="right"/>
    </xf>
    <xf numFmtId="43" fontId="56" fillId="0" borderId="178" xfId="0" applyNumberFormat="1" applyFont="1" applyBorder="1" applyAlignment="1">
      <alignment horizontal="left" indent="2"/>
    </xf>
    <xf numFmtId="177" fontId="56" fillId="0" borderId="179" xfId="10" applyNumberFormat="1" applyFont="1" applyFill="1" applyBorder="1" applyAlignment="1">
      <alignment horizontal="right"/>
    </xf>
    <xf numFmtId="177" fontId="56" fillId="0" borderId="102" xfId="10" applyNumberFormat="1" applyFont="1" applyFill="1" applyBorder="1" applyAlignment="1">
      <alignment horizontal="right"/>
    </xf>
    <xf numFmtId="166" fontId="184" fillId="0" borderId="181" xfId="0" applyNumberFormat="1" applyFont="1" applyFill="1" applyBorder="1" applyAlignment="1">
      <alignment horizontal="right"/>
    </xf>
    <xf numFmtId="0" fontId="56" fillId="51" borderId="106" xfId="0" applyFont="1" applyFill="1" applyBorder="1" applyAlignment="1">
      <alignment horizontal="right"/>
    </xf>
    <xf numFmtId="193" fontId="56" fillId="51" borderId="106" xfId="0" applyNumberFormat="1" applyFont="1" applyFill="1" applyBorder="1" applyAlignment="1">
      <alignment horizontal="right"/>
    </xf>
    <xf numFmtId="0" fontId="184" fillId="51" borderId="106" xfId="0" applyFont="1" applyFill="1" applyBorder="1" applyAlignment="1">
      <alignment horizontal="right"/>
    </xf>
    <xf numFmtId="165" fontId="185" fillId="47" borderId="181" xfId="42" applyNumberFormat="1" applyFont="1" applyFill="1" applyBorder="1" applyAlignment="1">
      <alignment horizontal="right"/>
    </xf>
    <xf numFmtId="166" fontId="184" fillId="0" borderId="161" xfId="52" applyNumberFormat="1" applyFont="1" applyFill="1" applyBorder="1"/>
    <xf numFmtId="43" fontId="56" fillId="0" borderId="123" xfId="0" applyNumberFormat="1" applyFont="1" applyBorder="1" applyAlignment="1">
      <alignment horizontal="left"/>
    </xf>
    <xf numFmtId="166" fontId="190" fillId="0" borderId="161" xfId="0" applyNumberFormat="1" applyFont="1" applyFill="1" applyBorder="1" applyAlignment="1">
      <alignment horizontal="right"/>
    </xf>
    <xf numFmtId="166" fontId="189" fillId="0" borderId="161" xfId="0" applyNumberFormat="1" applyFont="1" applyFill="1" applyBorder="1" applyAlignment="1">
      <alignment horizontal="right"/>
    </xf>
    <xf numFmtId="166" fontId="187" fillId="0" borderId="161" xfId="0" applyNumberFormat="1" applyFont="1" applyFill="1" applyBorder="1" applyAlignment="1">
      <alignment horizontal="right"/>
    </xf>
    <xf numFmtId="165" fontId="188" fillId="51" borderId="0" xfId="42" applyNumberFormat="1" applyFont="1" applyFill="1" applyBorder="1" applyAlignment="1">
      <alignment horizontal="right"/>
    </xf>
    <xf numFmtId="166" fontId="184" fillId="51" borderId="0" xfId="0" applyNumberFormat="1" applyFont="1" applyFill="1" applyBorder="1" applyAlignment="1">
      <alignment horizontal="right"/>
    </xf>
    <xf numFmtId="166" fontId="56" fillId="51" borderId="0" xfId="0" applyNumberFormat="1" applyFont="1" applyFill="1" applyBorder="1" applyAlignment="1">
      <alignment horizontal="right"/>
    </xf>
    <xf numFmtId="166" fontId="56" fillId="51" borderId="106" xfId="0" applyNumberFormat="1" applyFont="1" applyFill="1" applyBorder="1" applyAlignment="1">
      <alignment horizontal="right"/>
    </xf>
    <xf numFmtId="177" fontId="56" fillId="51" borderId="0" xfId="10" applyNumberFormat="1" applyFont="1" applyFill="1" applyBorder="1" applyAlignment="1">
      <alignment horizontal="right"/>
    </xf>
    <xf numFmtId="177" fontId="213" fillId="51" borderId="0" xfId="10" applyNumberFormat="1" applyFont="1" applyFill="1" applyBorder="1" applyAlignment="1">
      <alignment horizontal="right"/>
    </xf>
    <xf numFmtId="177" fontId="188" fillId="51" borderId="0" xfId="10" applyNumberFormat="1" applyFont="1" applyFill="1" applyBorder="1"/>
    <xf numFmtId="177" fontId="188" fillId="51" borderId="106" xfId="10" applyNumberFormat="1" applyFont="1" applyFill="1" applyBorder="1"/>
    <xf numFmtId="166" fontId="184" fillId="51" borderId="0" xfId="52" applyNumberFormat="1" applyFont="1" applyFill="1" applyBorder="1"/>
    <xf numFmtId="177" fontId="56" fillId="51" borderId="0" xfId="10" applyNumberFormat="1" applyFont="1" applyFill="1" applyBorder="1"/>
    <xf numFmtId="177" fontId="56" fillId="51" borderId="106" xfId="10" applyNumberFormat="1" applyFont="1" applyFill="1" applyBorder="1"/>
    <xf numFmtId="166" fontId="56" fillId="51" borderId="0" xfId="0" applyNumberFormat="1" applyFont="1" applyFill="1" applyBorder="1"/>
    <xf numFmtId="166" fontId="56" fillId="51" borderId="106" xfId="0" applyNumberFormat="1" applyFont="1" applyFill="1" applyBorder="1"/>
    <xf numFmtId="166" fontId="188" fillId="51" borderId="0" xfId="0" applyNumberFormat="1" applyFont="1" applyFill="1" applyBorder="1"/>
    <xf numFmtId="166" fontId="184" fillId="51" borderId="0" xfId="0" applyNumberFormat="1" applyFont="1" applyFill="1" applyBorder="1"/>
    <xf numFmtId="166" fontId="184" fillId="51" borderId="106" xfId="52" applyNumberFormat="1" applyFont="1" applyFill="1" applyBorder="1"/>
    <xf numFmtId="9" fontId="184" fillId="51" borderId="0" xfId="52" applyFont="1" applyFill="1" applyBorder="1"/>
    <xf numFmtId="166" fontId="195" fillId="47" borderId="174" xfId="52" applyNumberFormat="1" applyFont="1" applyFill="1" applyBorder="1"/>
    <xf numFmtId="166" fontId="195" fillId="47" borderId="143" xfId="52" applyNumberFormat="1" applyFont="1" applyFill="1" applyBorder="1"/>
    <xf numFmtId="166" fontId="186" fillId="47" borderId="143" xfId="42" applyNumberFormat="1" applyFont="1" applyFill="1" applyBorder="1"/>
    <xf numFmtId="166" fontId="186" fillId="47" borderId="139" xfId="0" applyNumberFormat="1" applyFont="1" applyFill="1" applyBorder="1"/>
    <xf numFmtId="166" fontId="186" fillId="47" borderId="143" xfId="0" applyNumberFormat="1" applyFont="1" applyFill="1" applyBorder="1"/>
    <xf numFmtId="177" fontId="186" fillId="47" borderId="174" xfId="10" applyNumberFormat="1" applyFont="1" applyFill="1" applyBorder="1"/>
    <xf numFmtId="177" fontId="186" fillId="47" borderId="143" xfId="10" applyNumberFormat="1" applyFont="1" applyFill="1" applyBorder="1"/>
    <xf numFmtId="166" fontId="186" fillId="47" borderId="174" xfId="0" applyNumberFormat="1" applyFont="1" applyFill="1" applyBorder="1"/>
    <xf numFmtId="166" fontId="186" fillId="47" borderId="182" xfId="0" applyNumberFormat="1" applyFont="1" applyFill="1" applyBorder="1"/>
    <xf numFmtId="166" fontId="186" fillId="47" borderId="151" xfId="0" applyNumberFormat="1" applyFont="1" applyFill="1" applyBorder="1"/>
    <xf numFmtId="177" fontId="56" fillId="0" borderId="161" xfId="10" applyNumberFormat="1" applyFont="1" applyFill="1" applyBorder="1"/>
    <xf numFmtId="186" fontId="56" fillId="51" borderId="157" xfId="0" applyNumberFormat="1" applyFont="1" applyFill="1" applyBorder="1"/>
    <xf numFmtId="43" fontId="184" fillId="0" borderId="123" xfId="42" applyNumberFormat="1" applyFont="1" applyBorder="1" applyAlignment="1">
      <alignment horizontal="left" indent="1"/>
    </xf>
    <xf numFmtId="177" fontId="184" fillId="0" borderId="161" xfId="10" applyNumberFormat="1" applyFont="1" applyFill="1" applyBorder="1"/>
    <xf numFmtId="9" fontId="184" fillId="51" borderId="157" xfId="52" applyFont="1" applyFill="1" applyBorder="1"/>
    <xf numFmtId="43" fontId="56" fillId="0" borderId="123" xfId="42" applyNumberFormat="1" applyFont="1" applyBorder="1" applyAlignment="1">
      <alignment horizontal="left" indent="1"/>
    </xf>
    <xf numFmtId="177" fontId="56" fillId="51" borderId="157" xfId="10" applyNumberFormat="1" applyFont="1" applyFill="1" applyBorder="1"/>
    <xf numFmtId="177" fontId="201" fillId="0" borderId="161" xfId="10" applyNumberFormat="1" applyFont="1" applyFill="1" applyBorder="1"/>
    <xf numFmtId="177" fontId="188" fillId="0" borderId="161" xfId="10" applyNumberFormat="1" applyFont="1" applyFill="1" applyBorder="1"/>
    <xf numFmtId="177" fontId="188" fillId="51" borderId="157" xfId="10" applyNumberFormat="1" applyFont="1" applyFill="1" applyBorder="1"/>
    <xf numFmtId="43" fontId="184" fillId="57" borderId="123" xfId="0" applyNumberFormat="1" applyFont="1" applyFill="1" applyBorder="1" applyAlignment="1">
      <alignment horizontal="left" indent="1"/>
    </xf>
    <xf numFmtId="166" fontId="184" fillId="57" borderId="161" xfId="52" applyNumberFormat="1" applyFont="1" applyFill="1" applyBorder="1"/>
    <xf numFmtId="166" fontId="184" fillId="57" borderId="161" xfId="0" applyNumberFormat="1" applyFont="1" applyFill="1" applyBorder="1"/>
    <xf numFmtId="166" fontId="184" fillId="51" borderId="157" xfId="0" applyNumberFormat="1" applyFont="1" applyFill="1" applyBorder="1"/>
    <xf numFmtId="43" fontId="184" fillId="0" borderId="178" xfId="0" applyNumberFormat="1" applyFont="1" applyFill="1" applyBorder="1" applyAlignment="1">
      <alignment horizontal="left" indent="1"/>
    </xf>
    <xf numFmtId="166" fontId="184" fillId="0" borderId="179" xfId="52" applyNumberFormat="1" applyFont="1" applyFill="1" applyBorder="1"/>
    <xf numFmtId="166" fontId="184" fillId="0" borderId="102" xfId="42" applyNumberFormat="1" applyFont="1" applyFill="1" applyBorder="1"/>
    <xf numFmtId="166" fontId="184" fillId="0" borderId="181" xfId="0" applyNumberFormat="1" applyFont="1" applyFill="1" applyBorder="1"/>
    <xf numFmtId="166" fontId="184" fillId="0" borderId="102" xfId="0" applyNumberFormat="1" applyFont="1" applyFill="1" applyBorder="1"/>
    <xf numFmtId="166" fontId="184" fillId="51" borderId="102" xfId="0" applyNumberFormat="1" applyFont="1" applyFill="1" applyBorder="1"/>
    <xf numFmtId="166" fontId="184" fillId="51" borderId="181" xfId="0" applyNumberFormat="1" applyFont="1" applyFill="1" applyBorder="1"/>
    <xf numFmtId="177" fontId="206" fillId="47" borderId="174" xfId="10" applyNumberFormat="1" applyFont="1" applyFill="1" applyBorder="1" applyAlignment="1">
      <alignment horizontal="right"/>
    </xf>
    <xf numFmtId="177" fontId="185" fillId="47" borderId="165" xfId="10" applyNumberFormat="1" applyFont="1" applyFill="1" applyBorder="1" applyAlignment="1">
      <alignment horizontal="right"/>
    </xf>
    <xf numFmtId="177" fontId="185" fillId="47" borderId="182" xfId="10" applyNumberFormat="1" applyFont="1" applyFill="1" applyBorder="1" applyAlignment="1">
      <alignment horizontal="right"/>
    </xf>
    <xf numFmtId="177" fontId="185" fillId="47" borderId="174" xfId="10" applyNumberFormat="1" applyFont="1" applyFill="1" applyBorder="1" applyAlignment="1">
      <alignment horizontal="right"/>
    </xf>
    <xf numFmtId="165" fontId="188" fillId="0" borderId="160" xfId="42" applyNumberFormat="1" applyFont="1" applyFill="1" applyBorder="1" applyAlignment="1">
      <alignment horizontal="right"/>
    </xf>
    <xf numFmtId="165" fontId="188" fillId="51" borderId="157" xfId="42" applyNumberFormat="1" applyFont="1" applyFill="1" applyBorder="1" applyAlignment="1">
      <alignment horizontal="right"/>
    </xf>
    <xf numFmtId="0" fontId="184" fillId="0" borderId="160" xfId="0" applyFont="1" applyFill="1" applyBorder="1" applyAlignment="1">
      <alignment horizontal="right"/>
    </xf>
    <xf numFmtId="166" fontId="184" fillId="51" borderId="157" xfId="0" applyNumberFormat="1" applyFont="1" applyFill="1" applyBorder="1" applyAlignment="1">
      <alignment horizontal="right"/>
    </xf>
    <xf numFmtId="43" fontId="188" fillId="0" borderId="123" xfId="0" applyNumberFormat="1" applyFont="1" applyBorder="1" applyAlignment="1">
      <alignment horizontal="left"/>
    </xf>
    <xf numFmtId="166" fontId="56" fillId="51" borderId="157" xfId="0" applyNumberFormat="1" applyFont="1" applyFill="1" applyBorder="1" applyAlignment="1">
      <alignment horizontal="right"/>
    </xf>
    <xf numFmtId="166" fontId="201" fillId="0" borderId="161" xfId="52" applyNumberFormat="1" applyFont="1" applyFill="1" applyBorder="1" applyAlignment="1">
      <alignment horizontal="right"/>
    </xf>
    <xf numFmtId="166" fontId="188" fillId="0" borderId="160" xfId="0" applyNumberFormat="1" applyFont="1" applyFill="1" applyBorder="1" applyAlignment="1">
      <alignment horizontal="right"/>
    </xf>
    <xf numFmtId="166" fontId="188" fillId="0" borderId="161" xfId="0" applyNumberFormat="1" applyFont="1" applyFill="1" applyBorder="1" applyAlignment="1">
      <alignment horizontal="right"/>
    </xf>
    <xf numFmtId="43" fontId="56" fillId="0" borderId="123" xfId="0" applyNumberFormat="1" applyFont="1" applyBorder="1" applyAlignment="1">
      <alignment horizontal="left" indent="1"/>
    </xf>
    <xf numFmtId="177" fontId="56" fillId="51" borderId="157" xfId="10" applyNumberFormat="1" applyFont="1" applyFill="1" applyBorder="1" applyAlignment="1">
      <alignment horizontal="right"/>
    </xf>
    <xf numFmtId="166" fontId="184" fillId="0" borderId="160" xfId="0" applyNumberFormat="1" applyFont="1" applyFill="1" applyBorder="1" applyAlignment="1">
      <alignment horizontal="right"/>
    </xf>
    <xf numFmtId="9" fontId="184" fillId="51" borderId="157" xfId="52" applyFont="1" applyFill="1" applyBorder="1" applyAlignment="1">
      <alignment horizontal="right"/>
    </xf>
    <xf numFmtId="43" fontId="56" fillId="0" borderId="123" xfId="42" applyNumberFormat="1" applyFont="1" applyBorder="1" applyAlignment="1">
      <alignment horizontal="left" indent="2"/>
    </xf>
    <xf numFmtId="177" fontId="213" fillId="51" borderId="157" xfId="10" applyNumberFormat="1" applyFont="1" applyFill="1" applyBorder="1" applyAlignment="1">
      <alignment horizontal="right"/>
    </xf>
    <xf numFmtId="43" fontId="188" fillId="47" borderId="123" xfId="10" applyNumberFormat="1" applyFont="1" applyFill="1" applyBorder="1" applyAlignment="1">
      <alignment horizontal="left"/>
    </xf>
    <xf numFmtId="177" fontId="201" fillId="47" borderId="161" xfId="10" applyNumberFormat="1" applyFont="1" applyFill="1" applyBorder="1"/>
    <xf numFmtId="177" fontId="188" fillId="47" borderId="160" xfId="10" applyNumberFormat="1" applyFont="1" applyFill="1" applyBorder="1"/>
    <xf numFmtId="177" fontId="188" fillId="47" borderId="161" xfId="10" applyNumberFormat="1" applyFont="1" applyFill="1" applyBorder="1"/>
    <xf numFmtId="166" fontId="184" fillId="57" borderId="160" xfId="0" applyNumberFormat="1" applyFont="1" applyFill="1" applyBorder="1"/>
    <xf numFmtId="166" fontId="184" fillId="57" borderId="161" xfId="0" applyNumberFormat="1" applyFont="1" applyFill="1" applyBorder="1" applyAlignment="1">
      <alignment horizontal="right"/>
    </xf>
    <xf numFmtId="43" fontId="56" fillId="47" borderId="123" xfId="10" applyNumberFormat="1" applyFont="1" applyFill="1" applyBorder="1" applyAlignment="1">
      <alignment horizontal="left" indent="2"/>
    </xf>
    <xf numFmtId="177" fontId="184" fillId="47" borderId="161" xfId="10" applyNumberFormat="1" applyFont="1" applyFill="1" applyBorder="1"/>
    <xf numFmtId="177" fontId="56" fillId="47" borderId="160" xfId="10" applyNumberFormat="1" applyFont="1" applyFill="1" applyBorder="1"/>
    <xf numFmtId="177" fontId="56" fillId="47" borderId="161" xfId="10" applyNumberFormat="1" applyFont="1" applyFill="1" applyBorder="1"/>
    <xf numFmtId="177" fontId="56" fillId="47" borderId="161" xfId="10" applyNumberFormat="1" applyFont="1" applyFill="1" applyBorder="1" applyAlignment="1">
      <alignment horizontal="right"/>
    </xf>
    <xf numFmtId="166" fontId="56" fillId="0" borderId="160" xfId="0" applyNumberFormat="1" applyFont="1" applyFill="1" applyBorder="1"/>
    <xf numFmtId="166" fontId="56" fillId="0" borderId="161" xfId="0" applyNumberFormat="1" applyFont="1" applyFill="1" applyBorder="1"/>
    <xf numFmtId="166" fontId="56" fillId="51" borderId="157" xfId="0" applyNumberFormat="1" applyFont="1" applyFill="1" applyBorder="1"/>
    <xf numFmtId="166" fontId="190" fillId="0" borderId="161" xfId="0" applyNumberFormat="1" applyFont="1" applyFill="1" applyBorder="1"/>
    <xf numFmtId="166" fontId="187" fillId="0" borderId="161" xfId="0" applyNumberFormat="1" applyFont="1" applyFill="1" applyBorder="1"/>
    <xf numFmtId="166" fontId="189" fillId="0" borderId="161" xfId="0" applyNumberFormat="1" applyFont="1" applyFill="1" applyBorder="1"/>
    <xf numFmtId="177" fontId="187" fillId="0" borderId="161" xfId="10" applyNumberFormat="1" applyFont="1" applyFill="1" applyBorder="1"/>
    <xf numFmtId="166" fontId="201" fillId="0" borderId="161" xfId="52" applyNumberFormat="1" applyFont="1" applyFill="1" applyBorder="1"/>
    <xf numFmtId="166" fontId="188" fillId="0" borderId="160" xfId="0" applyNumberFormat="1" applyFont="1" applyFill="1" applyBorder="1"/>
    <xf numFmtId="166" fontId="188" fillId="0" borderId="161" xfId="0" applyNumberFormat="1" applyFont="1" applyFill="1" applyBorder="1"/>
    <xf numFmtId="166" fontId="188" fillId="51" borderId="157" xfId="0" applyNumberFormat="1" applyFont="1" applyFill="1" applyBorder="1"/>
    <xf numFmtId="166" fontId="184" fillId="0" borderId="160" xfId="0" applyNumberFormat="1" applyFont="1" applyFill="1" applyBorder="1"/>
    <xf numFmtId="166" fontId="184" fillId="0" borderId="161" xfId="0" applyNumberFormat="1" applyFont="1" applyFill="1" applyBorder="1"/>
    <xf numFmtId="43" fontId="188" fillId="0" borderId="123" xfId="10" applyNumberFormat="1" applyFont="1" applyBorder="1" applyAlignment="1">
      <alignment horizontal="left"/>
    </xf>
    <xf numFmtId="177" fontId="188" fillId="0" borderId="160" xfId="10" applyNumberFormat="1" applyFont="1" applyFill="1" applyBorder="1"/>
    <xf numFmtId="166" fontId="184" fillId="0" borderId="160" xfId="52" applyNumberFormat="1" applyFont="1" applyFill="1" applyBorder="1"/>
    <xf numFmtId="166" fontId="56" fillId="0" borderId="183" xfId="0" applyNumberFormat="1" applyFont="1" applyFill="1" applyBorder="1"/>
    <xf numFmtId="166" fontId="56" fillId="0" borderId="181" xfId="0" applyNumberFormat="1" applyFont="1" applyFill="1" applyBorder="1"/>
    <xf numFmtId="166" fontId="56" fillId="0" borderId="102" xfId="0" applyNumberFormat="1" applyFont="1" applyFill="1" applyBorder="1"/>
    <xf numFmtId="166" fontId="56" fillId="0" borderId="162" xfId="0" applyNumberFormat="1" applyFont="1" applyFill="1" applyBorder="1"/>
    <xf numFmtId="166" fontId="56" fillId="0" borderId="179" xfId="0" applyNumberFormat="1" applyFont="1" applyFill="1" applyBorder="1"/>
    <xf numFmtId="177" fontId="56" fillId="0" borderId="167" xfId="10" applyNumberFormat="1" applyFont="1" applyFill="1" applyBorder="1"/>
    <xf numFmtId="177" fontId="56" fillId="0" borderId="179" xfId="10" applyNumberFormat="1" applyFont="1" applyFill="1" applyBorder="1"/>
    <xf numFmtId="177" fontId="56" fillId="0" borderId="102" xfId="10" applyNumberFormat="1" applyFont="1" applyFill="1" applyBorder="1"/>
    <xf numFmtId="166" fontId="56" fillId="51" borderId="102" xfId="0" applyNumberFormat="1" applyFont="1" applyFill="1" applyBorder="1"/>
    <xf numFmtId="166" fontId="56" fillId="51" borderId="162" xfId="0" applyNumberFormat="1" applyFont="1" applyFill="1" applyBorder="1"/>
    <xf numFmtId="166" fontId="56" fillId="51" borderId="143" xfId="0" applyNumberFormat="1" applyFont="1" applyFill="1" applyBorder="1"/>
    <xf numFmtId="166" fontId="56" fillId="51" borderId="139" xfId="0" applyNumberFormat="1" applyFont="1" applyFill="1" applyBorder="1"/>
    <xf numFmtId="166" fontId="186" fillId="51" borderId="143" xfId="0" applyNumberFormat="1" applyFont="1" applyFill="1" applyBorder="1"/>
    <xf numFmtId="166" fontId="186" fillId="51" borderId="139" xfId="0" applyNumberFormat="1" applyFont="1" applyFill="1" applyBorder="1"/>
    <xf numFmtId="177" fontId="185" fillId="51" borderId="143" xfId="10" applyNumberFormat="1" applyFont="1" applyFill="1" applyBorder="1" applyAlignment="1">
      <alignment horizontal="right"/>
    </xf>
    <xf numFmtId="177" fontId="185" fillId="51" borderId="182" xfId="10" applyNumberFormat="1" applyFont="1" applyFill="1" applyBorder="1" applyAlignment="1">
      <alignment horizontal="right"/>
    </xf>
    <xf numFmtId="177" fontId="198" fillId="51" borderId="143" xfId="10" applyNumberFormat="1" applyFont="1" applyFill="1" applyBorder="1" applyAlignment="1">
      <alignment horizontal="left"/>
    </xf>
    <xf numFmtId="166" fontId="56" fillId="0" borderId="102" xfId="129" applyNumberFormat="1" applyFont="1" applyFill="1" applyBorder="1"/>
    <xf numFmtId="166" fontId="184" fillId="0" borderId="102" xfId="129" applyNumberFormat="1" applyFont="1" applyFill="1" applyBorder="1"/>
    <xf numFmtId="43" fontId="56" fillId="0" borderId="177" xfId="67" applyNumberFormat="1" applyFont="1" applyBorder="1" applyAlignment="1">
      <alignment horizontal="left" indent="1"/>
    </xf>
    <xf numFmtId="43" fontId="56" fillId="0" borderId="184" xfId="67" applyNumberFormat="1" applyFont="1" applyFill="1" applyBorder="1" applyAlignment="1">
      <alignment horizontal="left" indent="1"/>
    </xf>
    <xf numFmtId="9" fontId="56" fillId="0" borderId="184" xfId="129" applyFont="1" applyFill="1" applyBorder="1" applyAlignment="1">
      <alignment horizontal="right"/>
    </xf>
    <xf numFmtId="9" fontId="189" fillId="0" borderId="180" xfId="129" applyFont="1" applyFill="1" applyBorder="1" applyAlignment="1">
      <alignment horizontal="right"/>
    </xf>
    <xf numFmtId="9" fontId="213" fillId="0" borderId="180" xfId="129" applyFont="1" applyFill="1" applyBorder="1" applyAlignment="1">
      <alignment horizontal="right"/>
    </xf>
    <xf numFmtId="43" fontId="56" fillId="51" borderId="184" xfId="67" applyNumberFormat="1" applyFont="1" applyFill="1" applyBorder="1" applyAlignment="1">
      <alignment horizontal="left" indent="1"/>
    </xf>
    <xf numFmtId="9" fontId="56" fillId="51" borderId="184" xfId="129" applyFont="1" applyFill="1" applyBorder="1" applyAlignment="1">
      <alignment horizontal="right"/>
    </xf>
    <xf numFmtId="9" fontId="56" fillId="51" borderId="180" xfId="129" applyFont="1" applyFill="1" applyBorder="1" applyAlignment="1">
      <alignment horizontal="right"/>
    </xf>
    <xf numFmtId="9" fontId="56" fillId="0" borderId="180" xfId="129" applyFont="1" applyFill="1" applyBorder="1" applyAlignment="1">
      <alignment horizontal="right"/>
    </xf>
    <xf numFmtId="43" fontId="186" fillId="0" borderId="184" xfId="67" applyNumberFormat="1" applyFont="1" applyFill="1" applyBorder="1"/>
    <xf numFmtId="0" fontId="186" fillId="0" borderId="184" xfId="67" applyFont="1" applyFill="1" applyBorder="1" applyAlignment="1">
      <alignment horizontal="center"/>
    </xf>
    <xf numFmtId="0" fontId="186" fillId="0" borderId="180" xfId="67" applyFont="1" applyFill="1" applyBorder="1" applyAlignment="1">
      <alignment horizontal="center"/>
    </xf>
    <xf numFmtId="0" fontId="56" fillId="0" borderId="180" xfId="67" applyFont="1" applyBorder="1"/>
    <xf numFmtId="0" fontId="56" fillId="0" borderId="180" xfId="67" applyFont="1" applyFill="1" applyBorder="1"/>
    <xf numFmtId="4" fontId="56" fillId="0" borderId="184" xfId="69" applyNumberFormat="1" applyFont="1" applyFill="1" applyBorder="1" applyAlignment="1"/>
    <xf numFmtId="4" fontId="187" fillId="0" borderId="180" xfId="67" applyNumberFormat="1" applyFont="1" applyFill="1" applyBorder="1" applyAlignment="1"/>
    <xf numFmtId="4" fontId="187" fillId="0" borderId="180" xfId="69" applyNumberFormat="1" applyFont="1" applyFill="1" applyBorder="1" applyAlignment="1"/>
    <xf numFmtId="4" fontId="187" fillId="0" borderId="180" xfId="0" applyNumberFormat="1" applyFont="1" applyFill="1" applyBorder="1" applyAlignment="1"/>
    <xf numFmtId="4" fontId="56" fillId="0" borderId="180" xfId="69" applyNumberFormat="1" applyFont="1" applyFill="1" applyBorder="1" applyAlignment="1"/>
    <xf numFmtId="4" fontId="187" fillId="0" borderId="180" xfId="67" applyNumberFormat="1" applyFont="1" applyFill="1" applyBorder="1"/>
    <xf numFmtId="4" fontId="56" fillId="0" borderId="180" xfId="67" applyNumberFormat="1" applyFont="1" applyFill="1" applyBorder="1"/>
    <xf numFmtId="43" fontId="186" fillId="0" borderId="184" xfId="67" applyNumberFormat="1" applyFont="1" applyFill="1" applyBorder="1" applyAlignment="1">
      <alignment horizontal="left"/>
    </xf>
    <xf numFmtId="166" fontId="184" fillId="0" borderId="180" xfId="129" applyNumberFormat="1" applyFont="1" applyFill="1" applyBorder="1"/>
    <xf numFmtId="166" fontId="184" fillId="0" borderId="184" xfId="129" applyNumberFormat="1" applyFont="1" applyFill="1" applyBorder="1"/>
    <xf numFmtId="181" fontId="56" fillId="0" borderId="184" xfId="67" applyNumberFormat="1" applyFont="1" applyFill="1" applyBorder="1"/>
    <xf numFmtId="181" fontId="56" fillId="0" borderId="180" xfId="67" applyNumberFormat="1" applyFont="1" applyFill="1" applyBorder="1"/>
    <xf numFmtId="43" fontId="56" fillId="0" borderId="180" xfId="67" applyNumberFormat="1" applyFont="1" applyBorder="1"/>
    <xf numFmtId="166" fontId="56" fillId="0" borderId="184" xfId="67" applyNumberFormat="1" applyFont="1" applyBorder="1"/>
    <xf numFmtId="166" fontId="56" fillId="0" borderId="180" xfId="67" applyNumberFormat="1" applyFont="1" applyBorder="1"/>
    <xf numFmtId="43" fontId="56" fillId="0" borderId="180" xfId="67" applyNumberFormat="1" applyFont="1" applyBorder="1" applyAlignment="1">
      <alignment horizontal="left" indent="1"/>
    </xf>
    <xf numFmtId="9" fontId="56" fillId="0" borderId="180" xfId="67" applyNumberFormat="1" applyFont="1" applyBorder="1"/>
    <xf numFmtId="43" fontId="56" fillId="0" borderId="181" xfId="67" applyNumberFormat="1" applyFont="1" applyFill="1" applyBorder="1" applyAlignment="1">
      <alignment horizontal="left" indent="1"/>
    </xf>
    <xf numFmtId="166" fontId="184" fillId="0" borderId="181" xfId="129" applyNumberFormat="1" applyFont="1" applyFill="1" applyBorder="1"/>
    <xf numFmtId="0" fontId="56" fillId="0" borderId="184" xfId="67" applyFont="1" applyFill="1" applyBorder="1"/>
    <xf numFmtId="0" fontId="243" fillId="59" borderId="138" xfId="67" applyFont="1" applyFill="1" applyBorder="1" applyAlignment="1">
      <alignment horizontal="right"/>
    </xf>
    <xf numFmtId="43" fontId="243" fillId="59" borderId="17" xfId="67" applyNumberFormat="1" applyFont="1" applyFill="1" applyBorder="1"/>
    <xf numFmtId="43" fontId="56" fillId="0" borderId="0" xfId="67" applyNumberFormat="1" applyFont="1" applyBorder="1" applyAlignment="1">
      <alignment horizontal="left" indent="1"/>
    </xf>
    <xf numFmtId="37" fontId="56" fillId="0" borderId="0" xfId="67" applyNumberFormat="1" applyFont="1" applyBorder="1"/>
    <xf numFmtId="37" fontId="56" fillId="0" borderId="14" xfId="67" applyNumberFormat="1" applyFont="1" applyBorder="1"/>
    <xf numFmtId="37" fontId="56" fillId="0" borderId="102" xfId="67" applyNumberFormat="1" applyFont="1" applyBorder="1"/>
    <xf numFmtId="37" fontId="56" fillId="0" borderId="181" xfId="67" applyNumberFormat="1" applyFont="1" applyBorder="1"/>
    <xf numFmtId="37" fontId="56" fillId="0" borderId="177" xfId="67" applyNumberFormat="1" applyFont="1" applyBorder="1"/>
    <xf numFmtId="37" fontId="56" fillId="0" borderId="176" xfId="67" applyNumberFormat="1" applyFont="1" applyBorder="1"/>
    <xf numFmtId="37" fontId="56" fillId="0" borderId="184" xfId="67" applyNumberFormat="1" applyFont="1" applyBorder="1"/>
    <xf numFmtId="37" fontId="56" fillId="0" borderId="180" xfId="67" applyNumberFormat="1" applyFont="1" applyBorder="1"/>
    <xf numFmtId="165" fontId="56" fillId="0" borderId="181" xfId="42" applyNumberFormat="1" applyFont="1" applyFill="1" applyBorder="1" applyAlignment="1">
      <alignment horizontal="right"/>
    </xf>
    <xf numFmtId="166" fontId="185" fillId="51" borderId="143" xfId="52" applyNumberFormat="1" applyFont="1" applyFill="1" applyBorder="1" applyAlignment="1">
      <alignment horizontal="right"/>
    </xf>
    <xf numFmtId="166" fontId="185" fillId="51" borderId="139" xfId="52" applyNumberFormat="1" applyFont="1" applyFill="1" applyBorder="1" applyAlignment="1">
      <alignment horizontal="right"/>
    </xf>
    <xf numFmtId="166" fontId="185" fillId="51" borderId="163" xfId="52" applyNumberFormat="1" applyFont="1" applyFill="1" applyBorder="1" applyAlignment="1">
      <alignment horizontal="right"/>
    </xf>
    <xf numFmtId="166" fontId="185" fillId="51" borderId="154" xfId="52" applyNumberFormat="1" applyFont="1" applyFill="1" applyBorder="1" applyAlignment="1">
      <alignment horizontal="right"/>
    </xf>
    <xf numFmtId="166" fontId="185" fillId="51" borderId="165" xfId="52" applyNumberFormat="1" applyFont="1" applyFill="1" applyBorder="1" applyAlignment="1">
      <alignment horizontal="right"/>
    </xf>
    <xf numFmtId="166" fontId="184" fillId="51" borderId="22" xfId="52" applyNumberFormat="1" applyFont="1" applyFill="1" applyBorder="1" applyAlignment="1">
      <alignment horizontal="right"/>
    </xf>
    <xf numFmtId="166" fontId="184" fillId="51" borderId="160" xfId="52" applyNumberFormat="1" applyFont="1" applyFill="1" applyBorder="1" applyAlignment="1">
      <alignment horizontal="right"/>
    </xf>
    <xf numFmtId="166" fontId="185" fillId="51" borderId="0" xfId="52" applyNumberFormat="1" applyFont="1" applyFill="1" applyBorder="1" applyAlignment="1">
      <alignment horizontal="right"/>
    </xf>
    <xf numFmtId="166" fontId="185" fillId="51" borderId="106" xfId="52" applyNumberFormat="1" applyFont="1" applyFill="1" applyBorder="1" applyAlignment="1">
      <alignment horizontal="right"/>
    </xf>
    <xf numFmtId="166" fontId="185" fillId="51" borderId="126" xfId="52" applyNumberFormat="1" applyFont="1" applyFill="1" applyBorder="1" applyAlignment="1">
      <alignment horizontal="right"/>
    </xf>
    <xf numFmtId="166" fontId="185" fillId="51" borderId="22" xfId="52" applyNumberFormat="1" applyFont="1" applyFill="1" applyBorder="1" applyAlignment="1">
      <alignment horizontal="right"/>
    </xf>
    <xf numFmtId="166" fontId="185" fillId="51" borderId="160" xfId="52" applyNumberFormat="1" applyFont="1" applyFill="1" applyBorder="1" applyAlignment="1">
      <alignment horizontal="right"/>
    </xf>
    <xf numFmtId="166" fontId="184" fillId="51" borderId="170" xfId="52" applyNumberFormat="1" applyFont="1" applyFill="1" applyBorder="1" applyAlignment="1">
      <alignment horizontal="right"/>
    </xf>
    <xf numFmtId="166" fontId="184" fillId="51" borderId="140" xfId="52" applyNumberFormat="1" applyFont="1" applyFill="1" applyBorder="1" applyAlignment="1">
      <alignment horizontal="right"/>
    </xf>
    <xf numFmtId="166" fontId="184" fillId="51" borderId="166" xfId="52" applyNumberFormat="1" applyFont="1" applyFill="1" applyBorder="1" applyAlignment="1">
      <alignment horizontal="right"/>
    </xf>
    <xf numFmtId="166" fontId="184" fillId="51" borderId="167" xfId="52" applyNumberFormat="1" applyFont="1" applyFill="1" applyBorder="1" applyAlignment="1">
      <alignment horizontal="right"/>
    </xf>
    <xf numFmtId="166" fontId="184" fillId="51" borderId="168" xfId="52" applyNumberFormat="1" applyFont="1" applyFill="1" applyBorder="1" applyAlignment="1">
      <alignment horizontal="right"/>
    </xf>
    <xf numFmtId="166" fontId="184" fillId="51" borderId="169" xfId="52" applyNumberFormat="1" applyFont="1" applyFill="1" applyBorder="1" applyAlignment="1">
      <alignment horizontal="right"/>
    </xf>
    <xf numFmtId="0" fontId="185" fillId="51" borderId="0" xfId="0" applyFont="1" applyFill="1" applyBorder="1" applyAlignment="1">
      <alignment horizontal="right"/>
    </xf>
    <xf numFmtId="0" fontId="185" fillId="51" borderId="106" xfId="0" applyFont="1" applyFill="1" applyBorder="1" applyAlignment="1">
      <alignment horizontal="right"/>
    </xf>
    <xf numFmtId="0" fontId="210" fillId="51" borderId="106" xfId="0" applyFont="1" applyFill="1" applyBorder="1" applyAlignment="1">
      <alignment horizontal="right"/>
    </xf>
    <xf numFmtId="0" fontId="210" fillId="51" borderId="160" xfId="0" applyFont="1" applyFill="1" applyBorder="1" applyAlignment="1">
      <alignment horizontal="right"/>
    </xf>
    <xf numFmtId="0" fontId="191" fillId="51" borderId="106" xfId="0" applyFont="1" applyFill="1" applyBorder="1" applyAlignment="1">
      <alignment horizontal="right"/>
    </xf>
    <xf numFmtId="0" fontId="191" fillId="51" borderId="160" xfId="0" applyFont="1" applyFill="1" applyBorder="1" applyAlignment="1">
      <alignment horizontal="right"/>
    </xf>
    <xf numFmtId="0" fontId="185" fillId="51" borderId="0" xfId="52" applyNumberFormat="1" applyFont="1" applyFill="1" applyBorder="1" applyAlignment="1">
      <alignment horizontal="right"/>
    </xf>
    <xf numFmtId="9" fontId="201" fillId="51" borderId="0" xfId="52" applyFont="1" applyFill="1" applyBorder="1" applyAlignment="1">
      <alignment horizontal="right"/>
    </xf>
    <xf numFmtId="9" fontId="201" fillId="51" borderId="106" xfId="52" applyFont="1" applyFill="1" applyBorder="1" applyAlignment="1">
      <alignment horizontal="right"/>
    </xf>
    <xf numFmtId="9" fontId="229" fillId="51" borderId="106" xfId="52" applyFont="1" applyFill="1" applyBorder="1" applyAlignment="1">
      <alignment horizontal="right"/>
    </xf>
    <xf numFmtId="166" fontId="201" fillId="51" borderId="126" xfId="52" applyNumberFormat="1" applyFont="1" applyFill="1" applyBorder="1" applyAlignment="1">
      <alignment horizontal="right"/>
    </xf>
    <xf numFmtId="166" fontId="201" fillId="51" borderId="0" xfId="52" applyNumberFormat="1" applyFont="1" applyFill="1" applyBorder="1" applyAlignment="1">
      <alignment horizontal="right"/>
    </xf>
    <xf numFmtId="0" fontId="56" fillId="51" borderId="140" xfId="0" applyFont="1" applyFill="1" applyBorder="1" applyAlignment="1">
      <alignment horizontal="right"/>
    </xf>
    <xf numFmtId="0" fontId="184" fillId="51" borderId="170" xfId="52" applyNumberFormat="1" applyFont="1" applyFill="1" applyBorder="1" applyAlignment="1">
      <alignment horizontal="right"/>
    </xf>
    <xf numFmtId="0" fontId="191" fillId="51" borderId="140" xfId="0" applyFont="1" applyFill="1" applyBorder="1" applyAlignment="1">
      <alignment horizontal="right"/>
    </xf>
    <xf numFmtId="0" fontId="191" fillId="51" borderId="168" xfId="0" applyFont="1" applyFill="1" applyBorder="1" applyAlignment="1">
      <alignment horizontal="right"/>
    </xf>
    <xf numFmtId="166" fontId="184" fillId="51" borderId="143" xfId="52" applyNumberFormat="1" applyFont="1" applyFill="1" applyBorder="1" applyAlignment="1">
      <alignment horizontal="right"/>
    </xf>
    <xf numFmtId="0" fontId="184" fillId="51" borderId="143" xfId="52" applyNumberFormat="1" applyFont="1" applyFill="1" applyBorder="1" applyAlignment="1">
      <alignment horizontal="right"/>
    </xf>
    <xf numFmtId="166" fontId="184" fillId="51" borderId="163" xfId="52" applyNumberFormat="1" applyFont="1" applyFill="1" applyBorder="1" applyAlignment="1">
      <alignment horizontal="right"/>
    </xf>
    <xf numFmtId="166" fontId="184" fillId="51" borderId="154" xfId="52" applyNumberFormat="1" applyFont="1" applyFill="1" applyBorder="1" applyAlignment="1">
      <alignment horizontal="right"/>
    </xf>
    <xf numFmtId="0" fontId="56" fillId="51" borderId="0" xfId="52" applyNumberFormat="1" applyFont="1" applyFill="1" applyBorder="1" applyAlignment="1">
      <alignment horizontal="right"/>
    </xf>
    <xf numFmtId="9" fontId="56" fillId="51" borderId="0" xfId="52" applyNumberFormat="1" applyFont="1" applyFill="1" applyBorder="1" applyAlignment="1">
      <alignment horizontal="right"/>
    </xf>
    <xf numFmtId="9" fontId="56" fillId="51" borderId="106" xfId="52" applyNumberFormat="1" applyFont="1" applyFill="1" applyBorder="1" applyAlignment="1">
      <alignment horizontal="right"/>
    </xf>
    <xf numFmtId="9" fontId="56" fillId="51" borderId="126" xfId="52" applyNumberFormat="1" applyFont="1" applyFill="1" applyBorder="1" applyAlignment="1">
      <alignment horizontal="right"/>
    </xf>
    <xf numFmtId="0" fontId="56" fillId="51" borderId="170" xfId="52" applyNumberFormat="1" applyFont="1" applyFill="1" applyBorder="1" applyAlignment="1">
      <alignment horizontal="right"/>
    </xf>
    <xf numFmtId="9" fontId="56" fillId="51" borderId="170" xfId="52" applyNumberFormat="1" applyFont="1" applyFill="1" applyBorder="1" applyAlignment="1">
      <alignment horizontal="right"/>
    </xf>
    <xf numFmtId="9" fontId="56" fillId="51" borderId="140" xfId="52" applyNumberFormat="1" applyFont="1" applyFill="1" applyBorder="1" applyAlignment="1">
      <alignment horizontal="right"/>
    </xf>
    <xf numFmtId="9" fontId="56" fillId="51" borderId="166" xfId="52" applyNumberFormat="1" applyFont="1" applyFill="1" applyBorder="1" applyAlignment="1">
      <alignment horizontal="right"/>
    </xf>
    <xf numFmtId="0" fontId="186" fillId="51" borderId="78" xfId="0" applyFont="1" applyFill="1" applyBorder="1" applyAlignment="1">
      <alignment horizontal="center"/>
    </xf>
    <xf numFmtId="0" fontId="56" fillId="51" borderId="78" xfId="0" applyFont="1" applyFill="1" applyBorder="1" applyAlignment="1">
      <alignment horizontal="center"/>
    </xf>
    <xf numFmtId="0" fontId="185" fillId="51" borderId="78" xfId="0" applyFont="1" applyFill="1" applyBorder="1" applyAlignment="1">
      <alignment horizontal="center"/>
    </xf>
    <xf numFmtId="0" fontId="185" fillId="51" borderId="102" xfId="0" applyFont="1" applyFill="1" applyBorder="1" applyAlignment="1">
      <alignment horizontal="center"/>
    </xf>
    <xf numFmtId="166" fontId="56" fillId="9" borderId="0" xfId="52" applyNumberFormat="1" applyFont="1" applyFill="1" applyBorder="1" applyAlignment="1">
      <alignment horizontal="right"/>
    </xf>
    <xf numFmtId="43" fontId="185" fillId="0" borderId="176" xfId="67" applyNumberFormat="1" applyFont="1" applyFill="1" applyBorder="1"/>
    <xf numFmtId="0" fontId="185" fillId="0" borderId="170" xfId="67" applyFont="1" applyFill="1" applyBorder="1" applyAlignment="1">
      <alignment horizontal="right"/>
    </xf>
    <xf numFmtId="0" fontId="188" fillId="0" borderId="143" xfId="67" applyFont="1" applyFill="1" applyBorder="1" applyAlignment="1">
      <alignment horizontal="right"/>
    </xf>
    <xf numFmtId="14" fontId="188" fillId="0" borderId="143" xfId="67" applyNumberFormat="1" applyFont="1" applyFill="1" applyBorder="1" applyAlignment="1">
      <alignment horizontal="right"/>
    </xf>
    <xf numFmtId="0" fontId="188" fillId="0" borderId="158" xfId="67" applyFont="1" applyFill="1" applyBorder="1" applyAlignment="1">
      <alignment horizontal="right"/>
    </xf>
    <xf numFmtId="0" fontId="188" fillId="0" borderId="14" xfId="67" applyFont="1" applyFill="1" applyBorder="1" applyAlignment="1">
      <alignment horizontal="right"/>
    </xf>
    <xf numFmtId="0" fontId="188" fillId="0" borderId="170" xfId="67" applyFont="1" applyFill="1" applyBorder="1" applyAlignment="1">
      <alignment horizontal="right"/>
    </xf>
    <xf numFmtId="14" fontId="188" fillId="0" borderId="170" xfId="67" applyNumberFormat="1" applyFont="1" applyFill="1" applyBorder="1" applyAlignment="1">
      <alignment horizontal="right"/>
    </xf>
    <xf numFmtId="0" fontId="188" fillId="0" borderId="176" xfId="67" applyFont="1" applyFill="1" applyBorder="1" applyAlignment="1">
      <alignment horizontal="right"/>
    </xf>
    <xf numFmtId="43" fontId="185" fillId="0" borderId="139" xfId="67" applyNumberFormat="1" applyFont="1" applyFill="1" applyBorder="1"/>
    <xf numFmtId="43" fontId="185" fillId="0" borderId="184" xfId="67" applyNumberFormat="1" applyFont="1" applyFill="1" applyBorder="1"/>
    <xf numFmtId="43" fontId="185" fillId="0" borderId="181" xfId="67" applyNumberFormat="1" applyFont="1" applyFill="1" applyBorder="1"/>
    <xf numFmtId="165" fontId="188" fillId="0" borderId="121" xfId="42" applyNumberFormat="1" applyFont="1" applyFill="1" applyBorder="1" applyAlignment="1">
      <alignment horizontal="right"/>
    </xf>
    <xf numFmtId="165" fontId="188" fillId="0" borderId="122" xfId="42" applyNumberFormat="1" applyFont="1" applyFill="1" applyBorder="1" applyAlignment="1">
      <alignment horizontal="right"/>
    </xf>
    <xf numFmtId="43" fontId="185" fillId="0" borderId="103" xfId="52" applyNumberFormat="1" applyFont="1" applyFill="1" applyBorder="1" applyAlignment="1">
      <alignment horizontal="left" indent="1"/>
    </xf>
    <xf numFmtId="186" fontId="185" fillId="51" borderId="0" xfId="52" applyNumberFormat="1" applyFont="1" applyFill="1" applyBorder="1" applyAlignment="1">
      <alignment horizontal="right"/>
    </xf>
    <xf numFmtId="186" fontId="185" fillId="51" borderId="106" xfId="52" applyNumberFormat="1" applyFont="1" applyFill="1" applyBorder="1" applyAlignment="1">
      <alignment horizontal="right"/>
    </xf>
    <xf numFmtId="177" fontId="185" fillId="51" borderId="0" xfId="10" applyNumberFormat="1" applyFont="1" applyFill="1" applyBorder="1" applyAlignment="1">
      <alignment horizontal="right"/>
    </xf>
    <xf numFmtId="186" fontId="185" fillId="51" borderId="0" xfId="10" applyNumberFormat="1" applyFont="1" applyFill="1" applyBorder="1" applyAlignment="1">
      <alignment horizontal="right"/>
    </xf>
    <xf numFmtId="186" fontId="185" fillId="0" borderId="0" xfId="10" applyNumberFormat="1" applyFont="1" applyFill="1" applyBorder="1" applyAlignment="1">
      <alignment horizontal="right"/>
    </xf>
    <xf numFmtId="186" fontId="185" fillId="0" borderId="106" xfId="52" applyNumberFormat="1" applyFont="1" applyFill="1" applyBorder="1" applyAlignment="1">
      <alignment horizontal="right"/>
    </xf>
    <xf numFmtId="186" fontId="185" fillId="0" borderId="0" xfId="52" applyNumberFormat="1" applyFont="1" applyFill="1" applyBorder="1" applyAlignment="1">
      <alignment horizontal="right"/>
    </xf>
    <xf numFmtId="9" fontId="190" fillId="0" borderId="0" xfId="129" applyFont="1" applyFill="1" applyBorder="1" applyAlignment="1">
      <alignment horizontal="right"/>
    </xf>
    <xf numFmtId="9" fontId="187" fillId="0" borderId="157" xfId="129" applyFont="1" applyFill="1" applyBorder="1" applyAlignment="1">
      <alignment horizontal="right"/>
    </xf>
    <xf numFmtId="43" fontId="185" fillId="63" borderId="14" xfId="67" applyNumberFormat="1" applyFont="1" applyFill="1" applyBorder="1"/>
    <xf numFmtId="0" fontId="185" fillId="63" borderId="0" xfId="67" applyFont="1" applyFill="1" applyBorder="1" applyAlignment="1">
      <alignment horizontal="right"/>
    </xf>
    <xf numFmtId="166" fontId="56" fillId="0" borderId="121" xfId="0" applyNumberFormat="1" applyFont="1" applyFill="1" applyBorder="1" applyAlignment="1">
      <alignment horizontal="right"/>
    </xf>
    <xf numFmtId="166" fontId="187" fillId="0" borderId="121" xfId="0" applyNumberFormat="1" applyFont="1" applyFill="1" applyBorder="1" applyAlignment="1">
      <alignment horizontal="right"/>
    </xf>
    <xf numFmtId="166" fontId="56" fillId="0" borderId="65" xfId="0" applyNumberFormat="1" applyFont="1" applyFill="1" applyBorder="1" applyAlignment="1">
      <alignment horizontal="right"/>
    </xf>
    <xf numFmtId="177" fontId="56" fillId="51" borderId="65" xfId="10" applyNumberFormat="1" applyFont="1" applyFill="1" applyBorder="1" applyAlignment="1">
      <alignment horizontal="right"/>
    </xf>
    <xf numFmtId="9" fontId="56" fillId="0" borderId="65" xfId="10" applyNumberFormat="1" applyFont="1" applyFill="1" applyBorder="1" applyAlignment="1">
      <alignment horizontal="right"/>
    </xf>
    <xf numFmtId="166" fontId="214" fillId="0" borderId="65" xfId="52" applyNumberFormat="1" applyFont="1" applyFill="1" applyBorder="1" applyAlignment="1">
      <alignment horizontal="right"/>
    </xf>
    <xf numFmtId="166" fontId="184" fillId="0" borderId="121" xfId="52" applyNumberFormat="1" applyFont="1" applyFill="1" applyBorder="1"/>
    <xf numFmtId="166" fontId="184" fillId="0" borderId="65" xfId="0" applyNumberFormat="1" applyFont="1" applyFill="1" applyBorder="1"/>
    <xf numFmtId="166" fontId="184" fillId="0" borderId="170" xfId="52" applyNumberFormat="1" applyFont="1" applyFill="1" applyBorder="1" applyAlignment="1">
      <alignment horizontal="right"/>
    </xf>
    <xf numFmtId="166" fontId="184" fillId="51" borderId="0" xfId="10" applyNumberFormat="1" applyFont="1" applyFill="1" applyBorder="1" applyAlignment="1">
      <alignment horizontal="right"/>
    </xf>
    <xf numFmtId="43" fontId="185" fillId="47" borderId="149" xfId="52" applyNumberFormat="1" applyFont="1" applyFill="1" applyBorder="1" applyAlignment="1">
      <alignment horizontal="left"/>
    </xf>
    <xf numFmtId="177" fontId="186" fillId="47" borderId="139" xfId="10" applyNumberFormat="1" applyFont="1" applyFill="1" applyBorder="1" applyAlignment="1">
      <alignment horizontal="right"/>
    </xf>
    <xf numFmtId="177" fontId="186" fillId="47" borderId="182" xfId="10" applyNumberFormat="1" applyFont="1" applyFill="1" applyBorder="1" applyAlignment="1">
      <alignment horizontal="right"/>
    </xf>
    <xf numFmtId="166" fontId="56" fillId="0" borderId="65" xfId="52" applyNumberFormat="1" applyFont="1" applyBorder="1" applyAlignment="1">
      <alignment horizontal="right"/>
    </xf>
    <xf numFmtId="43" fontId="56" fillId="0" borderId="123" xfId="52" applyNumberFormat="1" applyFont="1" applyBorder="1" applyAlignment="1">
      <alignment horizontal="left" indent="2"/>
    </xf>
    <xf numFmtId="165" fontId="185" fillId="0" borderId="106" xfId="42" applyNumberFormat="1" applyFont="1" applyBorder="1" applyAlignment="1">
      <alignment horizontal="right"/>
    </xf>
    <xf numFmtId="165" fontId="185" fillId="0" borderId="0" xfId="42" applyNumberFormat="1" applyFont="1" applyBorder="1" applyAlignment="1">
      <alignment horizontal="right"/>
    </xf>
    <xf numFmtId="186" fontId="185" fillId="0" borderId="0" xfId="52" applyNumberFormat="1" applyFont="1" applyBorder="1" applyAlignment="1">
      <alignment horizontal="right"/>
    </xf>
    <xf numFmtId="165" fontId="198" fillId="0" borderId="0" xfId="42" applyNumberFormat="1" applyFont="1" applyBorder="1" applyAlignment="1">
      <alignment horizontal="right"/>
    </xf>
    <xf numFmtId="165" fontId="185" fillId="0" borderId="0" xfId="0" applyNumberFormat="1" applyFont="1" applyBorder="1" applyAlignment="1">
      <alignment horizontal="right"/>
    </xf>
    <xf numFmtId="165" fontId="185" fillId="0" borderId="106" xfId="0" applyNumberFormat="1" applyFont="1" applyBorder="1" applyAlignment="1">
      <alignment horizontal="right"/>
    </xf>
    <xf numFmtId="165" fontId="185" fillId="0" borderId="106" xfId="0" applyNumberFormat="1" applyFont="1" applyFill="1" applyBorder="1" applyAlignment="1">
      <alignment horizontal="right"/>
    </xf>
    <xf numFmtId="165" fontId="236" fillId="0" borderId="0" xfId="0" applyNumberFormat="1" applyFont="1" applyFill="1" applyBorder="1" applyAlignment="1">
      <alignment horizontal="right"/>
    </xf>
    <xf numFmtId="165" fontId="236" fillId="0" borderId="0" xfId="0" applyNumberFormat="1" applyFont="1" applyBorder="1" applyAlignment="1">
      <alignment horizontal="right"/>
    </xf>
    <xf numFmtId="186" fontId="199" fillId="0" borderId="0" xfId="52" applyNumberFormat="1" applyFont="1" applyFill="1" applyBorder="1" applyAlignment="1">
      <alignment horizontal="right"/>
    </xf>
    <xf numFmtId="177" fontId="199" fillId="0" borderId="0" xfId="10" applyNumberFormat="1" applyFont="1" applyFill="1" applyBorder="1" applyAlignment="1">
      <alignment horizontal="right"/>
    </xf>
    <xf numFmtId="186" fontId="236" fillId="0" borderId="0" xfId="10" applyNumberFormat="1" applyFont="1" applyFill="1" applyBorder="1" applyAlignment="1">
      <alignment horizontal="right"/>
    </xf>
    <xf numFmtId="186" fontId="236" fillId="0" borderId="0" xfId="52" applyNumberFormat="1" applyFont="1" applyFill="1" applyBorder="1" applyAlignment="1">
      <alignment horizontal="right"/>
    </xf>
    <xf numFmtId="186" fontId="198" fillId="0" borderId="0" xfId="52" applyNumberFormat="1" applyFont="1" applyFill="1" applyBorder="1" applyAlignment="1">
      <alignment horizontal="right"/>
    </xf>
    <xf numFmtId="186" fontId="198" fillId="0" borderId="0" xfId="10" applyNumberFormat="1" applyFont="1" applyFill="1" applyBorder="1" applyAlignment="1">
      <alignment horizontal="right"/>
    </xf>
    <xf numFmtId="186" fontId="185" fillId="0" borderId="85" xfId="52" applyNumberFormat="1" applyFont="1" applyFill="1" applyBorder="1" applyAlignment="1">
      <alignment horizontal="right"/>
    </xf>
    <xf numFmtId="186" fontId="185" fillId="0" borderId="104" xfId="52" applyNumberFormat="1" applyFont="1" applyFill="1" applyBorder="1" applyAlignment="1">
      <alignment horizontal="right"/>
    </xf>
    <xf numFmtId="186" fontId="185" fillId="0" borderId="157" xfId="52" applyNumberFormat="1" applyFont="1" applyFill="1" applyBorder="1" applyAlignment="1">
      <alignment horizontal="right"/>
    </xf>
    <xf numFmtId="186" fontId="236" fillId="0" borderId="106" xfId="52" applyNumberFormat="1" applyFont="1" applyFill="1" applyBorder="1" applyAlignment="1">
      <alignment horizontal="right"/>
    </xf>
    <xf numFmtId="43" fontId="56" fillId="0" borderId="114" xfId="52" applyNumberFormat="1" applyFont="1" applyBorder="1" applyAlignment="1">
      <alignment horizontal="left" indent="2"/>
    </xf>
    <xf numFmtId="166" fontId="56" fillId="0" borderId="113" xfId="52" applyNumberFormat="1" applyFont="1" applyBorder="1" applyAlignment="1">
      <alignment horizontal="right"/>
    </xf>
    <xf numFmtId="166" fontId="56" fillId="0" borderId="102" xfId="52" applyNumberFormat="1" applyFont="1" applyBorder="1" applyAlignment="1">
      <alignment horizontal="right"/>
    </xf>
    <xf numFmtId="166" fontId="56" fillId="0" borderId="112" xfId="52" applyNumberFormat="1" applyFont="1" applyBorder="1" applyAlignment="1">
      <alignment horizontal="right"/>
    </xf>
    <xf numFmtId="166" fontId="189" fillId="0" borderId="102" xfId="52" applyNumberFormat="1" applyFont="1" applyBorder="1" applyAlignment="1">
      <alignment horizontal="right"/>
    </xf>
    <xf numFmtId="166" fontId="56" fillId="0" borderId="107" xfId="52" applyNumberFormat="1" applyFont="1" applyBorder="1" applyAlignment="1">
      <alignment horizontal="right"/>
    </xf>
    <xf numFmtId="166" fontId="56" fillId="0" borderId="148" xfId="52" applyNumberFormat="1" applyFont="1" applyBorder="1" applyAlignment="1">
      <alignment horizontal="right"/>
    </xf>
    <xf numFmtId="186" fontId="56" fillId="0" borderId="121" xfId="0" applyNumberFormat="1" applyFont="1" applyBorder="1"/>
    <xf numFmtId="186" fontId="56" fillId="0" borderId="121" xfId="0" applyNumberFormat="1" applyFont="1" applyBorder="1" applyAlignment="1">
      <alignment horizontal="right"/>
    </xf>
    <xf numFmtId="186" fontId="56" fillId="0" borderId="126" xfId="0" applyNumberFormat="1" applyFont="1" applyFill="1" applyBorder="1" applyAlignment="1">
      <alignment horizontal="right"/>
    </xf>
    <xf numFmtId="43" fontId="56" fillId="0" borderId="0" xfId="39" applyNumberFormat="1" applyFont="1" applyBorder="1" applyAlignment="1">
      <alignment horizontal="left" indent="2"/>
    </xf>
    <xf numFmtId="9" fontId="56" fillId="0" borderId="0" xfId="52" applyFont="1" applyBorder="1" applyAlignment="1">
      <alignment horizontal="right"/>
    </xf>
    <xf numFmtId="166" fontId="195" fillId="0" borderId="0" xfId="52" applyNumberFormat="1" applyFont="1" applyFill="1" applyBorder="1" applyAlignment="1">
      <alignment horizontal="right"/>
    </xf>
    <xf numFmtId="166" fontId="237" fillId="0" borderId="0" xfId="52" applyNumberFormat="1" applyFont="1" applyFill="1" applyBorder="1" applyAlignment="1">
      <alignment horizontal="right"/>
    </xf>
    <xf numFmtId="166" fontId="195" fillId="0" borderId="106" xfId="52" applyNumberFormat="1" applyFont="1" applyFill="1" applyBorder="1" applyAlignment="1">
      <alignment horizontal="right"/>
    </xf>
    <xf numFmtId="43" fontId="213" fillId="0" borderId="68" xfId="10" applyFont="1" applyBorder="1" applyAlignment="1">
      <alignment horizontal="right" indent="1"/>
    </xf>
    <xf numFmtId="165" fontId="213" fillId="0" borderId="68" xfId="52" applyNumberFormat="1" applyFont="1" applyBorder="1" applyAlignment="1">
      <alignment horizontal="right"/>
    </xf>
    <xf numFmtId="165" fontId="213" fillId="0" borderId="0" xfId="52" applyNumberFormat="1" applyFont="1" applyBorder="1" applyAlignment="1">
      <alignment horizontal="right"/>
    </xf>
    <xf numFmtId="0" fontId="185" fillId="65" borderId="25" xfId="0" applyFont="1" applyFill="1" applyBorder="1" applyAlignment="1">
      <alignment horizontal="right"/>
    </xf>
    <xf numFmtId="0" fontId="185" fillId="65" borderId="70" xfId="0" applyFont="1" applyFill="1" applyBorder="1" applyAlignment="1">
      <alignment horizontal="right"/>
    </xf>
    <xf numFmtId="0" fontId="185" fillId="65" borderId="139" xfId="0" applyFont="1" applyFill="1" applyBorder="1" applyAlignment="1">
      <alignment horizontal="right"/>
    </xf>
    <xf numFmtId="0" fontId="185" fillId="65" borderId="143" xfId="0" applyFont="1" applyFill="1" applyBorder="1" applyAlignment="1">
      <alignment horizontal="right"/>
    </xf>
    <xf numFmtId="0" fontId="185" fillId="65" borderId="111" xfId="0" applyFont="1" applyFill="1" applyBorder="1" applyAlignment="1">
      <alignment horizontal="right"/>
    </xf>
    <xf numFmtId="43" fontId="185" fillId="65" borderId="70" xfId="0" applyNumberFormat="1" applyFont="1" applyFill="1" applyBorder="1" applyAlignment="1">
      <alignment horizontal="right"/>
    </xf>
    <xf numFmtId="0" fontId="185" fillId="65" borderId="95" xfId="0" applyFont="1" applyFill="1" applyBorder="1" applyAlignment="1">
      <alignment horizontal="right"/>
    </xf>
    <xf numFmtId="166" fontId="185" fillId="65" borderId="70" xfId="52" applyNumberFormat="1" applyFont="1" applyFill="1" applyBorder="1" applyAlignment="1">
      <alignment horizontal="right"/>
    </xf>
    <xf numFmtId="166" fontId="185" fillId="65" borderId="111" xfId="52" applyNumberFormat="1" applyFont="1" applyFill="1" applyBorder="1" applyAlignment="1">
      <alignment horizontal="right"/>
    </xf>
    <xf numFmtId="165" fontId="56" fillId="0" borderId="184" xfId="42" applyNumberFormat="1" applyFont="1" applyFill="1" applyBorder="1" applyAlignment="1">
      <alignment horizontal="right"/>
    </xf>
    <xf numFmtId="165" fontId="56" fillId="0" borderId="184" xfId="0" applyNumberFormat="1" applyFont="1" applyFill="1" applyBorder="1" applyAlignment="1">
      <alignment horizontal="right"/>
    </xf>
    <xf numFmtId="43" fontId="188" fillId="0" borderId="123" xfId="0" applyNumberFormat="1" applyFont="1" applyFill="1" applyBorder="1" applyAlignment="1">
      <alignment horizontal="left" indent="1"/>
    </xf>
    <xf numFmtId="165" fontId="188" fillId="0" borderId="184" xfId="42" applyNumberFormat="1" applyFont="1" applyFill="1" applyBorder="1" applyAlignment="1">
      <alignment horizontal="right"/>
    </xf>
    <xf numFmtId="166" fontId="188" fillId="0" borderId="184" xfId="52" applyNumberFormat="1" applyFont="1" applyFill="1" applyBorder="1" applyAlignment="1">
      <alignment horizontal="right"/>
    </xf>
    <xf numFmtId="166" fontId="188" fillId="0" borderId="161" xfId="52" applyNumberFormat="1" applyFont="1" applyFill="1" applyBorder="1" applyAlignment="1">
      <alignment horizontal="right"/>
    </xf>
    <xf numFmtId="166" fontId="188" fillId="0" borderId="22" xfId="52" applyNumberFormat="1" applyFont="1" applyFill="1" applyBorder="1" applyAlignment="1">
      <alignment horizontal="right"/>
    </xf>
    <xf numFmtId="166" fontId="188" fillId="0" borderId="180" xfId="52" applyNumberFormat="1" applyFont="1" applyFill="1" applyBorder="1" applyAlignment="1">
      <alignment horizontal="right"/>
    </xf>
    <xf numFmtId="166" fontId="188" fillId="0" borderId="61" xfId="52" applyNumberFormat="1" applyFont="1" applyFill="1" applyBorder="1" applyAlignment="1">
      <alignment horizontal="right"/>
    </xf>
    <xf numFmtId="166" fontId="204" fillId="0" borderId="121" xfId="52" applyNumberFormat="1" applyFont="1" applyFill="1" applyBorder="1" applyAlignment="1">
      <alignment horizontal="right"/>
    </xf>
    <xf numFmtId="166" fontId="204" fillId="0" borderId="0" xfId="52" applyNumberFormat="1" applyFont="1" applyFill="1" applyBorder="1" applyAlignment="1">
      <alignment horizontal="right"/>
    </xf>
    <xf numFmtId="166" fontId="188" fillId="0" borderId="157" xfId="52" applyNumberFormat="1" applyFont="1" applyFill="1" applyBorder="1" applyAlignment="1">
      <alignment horizontal="right"/>
    </xf>
    <xf numFmtId="166" fontId="188" fillId="0" borderId="126" xfId="52" applyNumberFormat="1" applyFont="1" applyFill="1" applyBorder="1" applyAlignment="1">
      <alignment horizontal="right"/>
    </xf>
    <xf numFmtId="43" fontId="246" fillId="66" borderId="0" xfId="0" applyNumberFormat="1" applyFont="1" applyFill="1" applyBorder="1" applyAlignment="1">
      <alignment horizontal="left"/>
    </xf>
    <xf numFmtId="0" fontId="227" fillId="66" borderId="0" xfId="0" applyFont="1" applyFill="1"/>
    <xf numFmtId="0" fontId="227" fillId="66" borderId="0" xfId="0" applyFont="1" applyFill="1" applyBorder="1"/>
    <xf numFmtId="166" fontId="184" fillId="0" borderId="184" xfId="52" applyNumberFormat="1" applyFont="1" applyFill="1" applyBorder="1" applyAlignment="1">
      <alignment horizontal="right"/>
    </xf>
    <xf numFmtId="43" fontId="185" fillId="65" borderId="149" xfId="0" applyNumberFormat="1" applyFont="1" applyFill="1" applyBorder="1" applyAlignment="1">
      <alignment horizontal="left"/>
    </xf>
    <xf numFmtId="166" fontId="195" fillId="65" borderId="174" xfId="52" applyNumberFormat="1" applyFont="1" applyFill="1" applyBorder="1" applyAlignment="1">
      <alignment horizontal="right"/>
    </xf>
    <xf numFmtId="166" fontId="195" fillId="65" borderId="143" xfId="52" applyNumberFormat="1" applyFont="1" applyFill="1" applyBorder="1" applyAlignment="1">
      <alignment horizontal="right"/>
    </xf>
    <xf numFmtId="166" fontId="186" fillId="65" borderId="165" xfId="0" applyNumberFormat="1" applyFont="1" applyFill="1" applyBorder="1" applyAlignment="1">
      <alignment horizontal="right"/>
    </xf>
    <xf numFmtId="166" fontId="186" fillId="65" borderId="139" xfId="0" applyNumberFormat="1" applyFont="1" applyFill="1" applyBorder="1" applyAlignment="1">
      <alignment horizontal="right"/>
    </xf>
    <xf numFmtId="166" fontId="186" fillId="65" borderId="143" xfId="0" applyNumberFormat="1" applyFont="1" applyFill="1" applyBorder="1" applyAlignment="1">
      <alignment horizontal="right"/>
    </xf>
    <xf numFmtId="166" fontId="186" fillId="65" borderId="174" xfId="0" applyNumberFormat="1" applyFont="1" applyFill="1" applyBorder="1" applyAlignment="1">
      <alignment horizontal="right"/>
    </xf>
    <xf numFmtId="166" fontId="186" fillId="65" borderId="182" xfId="0" applyNumberFormat="1" applyFont="1" applyFill="1" applyBorder="1" applyAlignment="1">
      <alignment horizontal="right"/>
    </xf>
    <xf numFmtId="166" fontId="186" fillId="65" borderId="151" xfId="0" applyNumberFormat="1" applyFont="1" applyFill="1" applyBorder="1" applyAlignment="1">
      <alignment horizontal="right"/>
    </xf>
    <xf numFmtId="179" fontId="186" fillId="65" borderId="182" xfId="0" applyNumberFormat="1" applyFont="1" applyFill="1" applyBorder="1" applyAlignment="1">
      <alignment horizontal="right"/>
    </xf>
    <xf numFmtId="179" fontId="186" fillId="65" borderId="143" xfId="0" applyNumberFormat="1" applyFont="1" applyFill="1" applyBorder="1" applyAlignment="1">
      <alignment horizontal="right"/>
    </xf>
    <xf numFmtId="0" fontId="195" fillId="0" borderId="106" xfId="0" applyFont="1" applyFill="1" applyBorder="1" applyAlignment="1">
      <alignment horizontal="right"/>
    </xf>
    <xf numFmtId="165" fontId="186" fillId="0" borderId="106" xfId="52" applyNumberFormat="1" applyFont="1" applyFill="1" applyBorder="1" applyAlignment="1">
      <alignment horizontal="right"/>
    </xf>
    <xf numFmtId="165" fontId="186" fillId="0" borderId="0" xfId="52" applyNumberFormat="1" applyFont="1" applyFill="1" applyBorder="1" applyAlignment="1">
      <alignment horizontal="right"/>
    </xf>
    <xf numFmtId="165" fontId="186" fillId="0" borderId="68" xfId="52" applyNumberFormat="1" applyFont="1" applyFill="1" applyBorder="1" applyAlignment="1">
      <alignment horizontal="right"/>
    </xf>
    <xf numFmtId="165" fontId="186" fillId="0" borderId="68" xfId="52" applyNumberFormat="1" applyFont="1" applyBorder="1" applyAlignment="1">
      <alignment horizontal="right"/>
    </xf>
    <xf numFmtId="165" fontId="186" fillId="0" borderId="0" xfId="52" applyNumberFormat="1" applyFont="1" applyBorder="1" applyAlignment="1">
      <alignment horizontal="right"/>
    </xf>
    <xf numFmtId="165" fontId="186" fillId="0" borderId="22" xfId="52" applyNumberFormat="1" applyFont="1" applyBorder="1" applyAlignment="1">
      <alignment horizontal="right"/>
    </xf>
    <xf numFmtId="165" fontId="186" fillId="0" borderId="22" xfId="52" applyNumberFormat="1" applyFont="1" applyFill="1" applyBorder="1" applyAlignment="1">
      <alignment horizontal="right"/>
    </xf>
    <xf numFmtId="165" fontId="218" fillId="0" borderId="0" xfId="52" applyNumberFormat="1" applyFont="1" applyFill="1" applyBorder="1" applyAlignment="1">
      <alignment horizontal="right"/>
    </xf>
    <xf numFmtId="165" fontId="218" fillId="0" borderId="22" xfId="52" applyNumberFormat="1" applyFont="1" applyFill="1" applyBorder="1" applyAlignment="1">
      <alignment horizontal="right"/>
    </xf>
    <xf numFmtId="165" fontId="218" fillId="0" borderId="61" xfId="52" applyNumberFormat="1" applyFont="1" applyFill="1" applyBorder="1" applyAlignment="1">
      <alignment horizontal="right"/>
    </xf>
    <xf numFmtId="165" fontId="247" fillId="0" borderId="0" xfId="52" applyNumberFormat="1" applyFont="1" applyFill="1" applyBorder="1" applyAlignment="1">
      <alignment horizontal="right"/>
    </xf>
    <xf numFmtId="43" fontId="186" fillId="0" borderId="103" xfId="52" applyNumberFormat="1" applyFont="1" applyBorder="1" applyAlignment="1">
      <alignment horizontal="left" indent="1"/>
    </xf>
    <xf numFmtId="165" fontId="186" fillId="0" borderId="104" xfId="52" applyNumberFormat="1" applyFont="1" applyBorder="1" applyAlignment="1">
      <alignment horizontal="right"/>
    </xf>
    <xf numFmtId="165" fontId="186" fillId="0" borderId="106" xfId="52" applyNumberFormat="1" applyFont="1" applyBorder="1" applyAlignment="1">
      <alignment horizontal="right"/>
    </xf>
    <xf numFmtId="43" fontId="184" fillId="0" borderId="103" xfId="0" applyNumberFormat="1" applyFont="1" applyBorder="1" applyAlignment="1">
      <alignment horizontal="left" indent="3"/>
    </xf>
    <xf numFmtId="0" fontId="185" fillId="65" borderId="151" xfId="0" applyFont="1" applyFill="1" applyBorder="1" applyAlignment="1">
      <alignment horizontal="right"/>
    </xf>
    <xf numFmtId="166" fontId="184" fillId="0" borderId="187" xfId="0" applyNumberFormat="1" applyFont="1" applyFill="1" applyBorder="1" applyAlignment="1">
      <alignment horizontal="right"/>
    </xf>
    <xf numFmtId="43" fontId="185" fillId="65" borderId="123" xfId="0" applyNumberFormat="1" applyFont="1" applyFill="1" applyBorder="1" applyAlignment="1">
      <alignment horizontal="left"/>
    </xf>
    <xf numFmtId="43" fontId="185" fillId="0" borderId="123" xfId="0" applyNumberFormat="1" applyFont="1" applyFill="1" applyBorder="1" applyAlignment="1">
      <alignment horizontal="left"/>
    </xf>
    <xf numFmtId="166" fontId="214" fillId="0" borderId="106" xfId="0" applyNumberFormat="1" applyFont="1" applyFill="1" applyBorder="1" applyAlignment="1">
      <alignment horizontal="right"/>
    </xf>
    <xf numFmtId="166" fontId="214" fillId="0" borderId="0" xfId="0" applyNumberFormat="1" applyFont="1" applyFill="1" applyBorder="1" applyAlignment="1">
      <alignment horizontal="right"/>
    </xf>
    <xf numFmtId="43" fontId="185" fillId="65" borderId="149" xfId="42" applyNumberFormat="1" applyFont="1" applyFill="1" applyBorder="1" applyAlignment="1">
      <alignment horizontal="left"/>
    </xf>
    <xf numFmtId="177" fontId="206" fillId="65" borderId="150" xfId="10" applyNumberFormat="1" applyFont="1" applyFill="1" applyBorder="1" applyAlignment="1">
      <alignment horizontal="right"/>
    </xf>
    <xf numFmtId="177" fontId="206" fillId="65" borderId="143" xfId="10" applyNumberFormat="1" applyFont="1" applyFill="1" applyBorder="1" applyAlignment="1">
      <alignment horizontal="right"/>
    </xf>
    <xf numFmtId="177" fontId="185" fillId="65" borderId="152" xfId="10" applyNumberFormat="1" applyFont="1" applyFill="1" applyBorder="1" applyAlignment="1">
      <alignment horizontal="right"/>
    </xf>
    <xf numFmtId="177" fontId="185" fillId="65" borderId="139" xfId="10" applyNumberFormat="1" applyFont="1" applyFill="1" applyBorder="1" applyAlignment="1">
      <alignment horizontal="right"/>
    </xf>
    <xf numFmtId="177" fontId="185" fillId="65" borderId="143" xfId="10" applyNumberFormat="1" applyFont="1" applyFill="1" applyBorder="1" applyAlignment="1">
      <alignment horizontal="right"/>
    </xf>
    <xf numFmtId="177" fontId="185" fillId="65" borderId="150" xfId="10" applyNumberFormat="1" applyFont="1" applyFill="1" applyBorder="1" applyAlignment="1">
      <alignment horizontal="right"/>
    </xf>
    <xf numFmtId="177" fontId="185" fillId="65" borderId="151" xfId="10" applyNumberFormat="1" applyFont="1" applyFill="1" applyBorder="1" applyAlignment="1">
      <alignment horizontal="right"/>
    </xf>
    <xf numFmtId="166" fontId="56" fillId="0" borderId="187" xfId="52" applyNumberFormat="1" applyFont="1" applyFill="1" applyBorder="1" applyAlignment="1">
      <alignment horizontal="right"/>
    </xf>
    <xf numFmtId="165" fontId="56" fillId="0" borderId="189" xfId="42" applyNumberFormat="1" applyFont="1" applyFill="1" applyBorder="1" applyAlignment="1">
      <alignment horizontal="right"/>
    </xf>
    <xf numFmtId="165" fontId="56" fillId="0" borderId="181" xfId="0" applyNumberFormat="1" applyFont="1" applyFill="1" applyBorder="1" applyAlignment="1">
      <alignment horizontal="right"/>
    </xf>
    <xf numFmtId="165" fontId="56" fillId="0" borderId="188" xfId="0" applyNumberFormat="1" applyFont="1" applyFill="1" applyBorder="1" applyAlignment="1">
      <alignment horizontal="right"/>
    </xf>
    <xf numFmtId="165" fontId="56" fillId="0" borderId="170" xfId="0" applyNumberFormat="1" applyFont="1" applyFill="1" applyBorder="1" applyAlignment="1">
      <alignment horizontal="right"/>
    </xf>
    <xf numFmtId="165" fontId="56" fillId="0" borderId="65" xfId="42" applyNumberFormat="1" applyFont="1" applyFill="1" applyBorder="1" applyAlignment="1">
      <alignment horizontal="right"/>
    </xf>
    <xf numFmtId="43" fontId="56" fillId="51" borderId="22" xfId="0" applyNumberFormat="1" applyFont="1" applyFill="1" applyBorder="1" applyAlignment="1">
      <alignment horizontal="left" indent="2"/>
    </xf>
    <xf numFmtId="43" fontId="188" fillId="51" borderId="108" xfId="0" applyNumberFormat="1" applyFont="1" applyFill="1" applyBorder="1" applyAlignment="1">
      <alignment horizontal="left" indent="2"/>
    </xf>
    <xf numFmtId="43" fontId="195" fillId="51" borderId="22" xfId="0" applyNumberFormat="1" applyFont="1" applyFill="1" applyBorder="1" applyAlignment="1">
      <alignment horizontal="left" indent="1"/>
    </xf>
    <xf numFmtId="166" fontId="195" fillId="65" borderId="121" xfId="52" applyNumberFormat="1" applyFont="1" applyFill="1" applyBorder="1" applyAlignment="1">
      <alignment horizontal="right"/>
    </xf>
    <xf numFmtId="166" fontId="195" fillId="65" borderId="0" xfId="52" applyNumberFormat="1" applyFont="1" applyFill="1" applyBorder="1" applyAlignment="1">
      <alignment horizontal="right"/>
    </xf>
    <xf numFmtId="166" fontId="186" fillId="65" borderId="122" xfId="0" applyNumberFormat="1" applyFont="1" applyFill="1" applyBorder="1" applyAlignment="1">
      <alignment horizontal="right"/>
    </xf>
    <xf numFmtId="166" fontId="186" fillId="65" borderId="106" xfId="0" applyNumberFormat="1" applyFont="1" applyFill="1" applyBorder="1" applyAlignment="1">
      <alignment horizontal="right"/>
    </xf>
    <xf numFmtId="166" fontId="186" fillId="65" borderId="0" xfId="0" applyNumberFormat="1" applyFont="1" applyFill="1" applyBorder="1" applyAlignment="1">
      <alignment horizontal="right"/>
    </xf>
    <xf numFmtId="166" fontId="186" fillId="65" borderId="121" xfId="0" applyNumberFormat="1" applyFont="1" applyFill="1" applyBorder="1" applyAlignment="1">
      <alignment horizontal="right"/>
    </xf>
    <xf numFmtId="166" fontId="186" fillId="65" borderId="65" xfId="0" applyNumberFormat="1" applyFont="1" applyFill="1" applyBorder="1" applyAlignment="1">
      <alignment horizontal="right"/>
    </xf>
    <xf numFmtId="166" fontId="186" fillId="65" borderId="61" xfId="0" applyNumberFormat="1" applyFont="1" applyFill="1" applyBorder="1" applyAlignment="1">
      <alignment horizontal="right"/>
    </xf>
    <xf numFmtId="179" fontId="186" fillId="65" borderId="65" xfId="0" applyNumberFormat="1" applyFont="1" applyFill="1" applyBorder="1" applyAlignment="1">
      <alignment horizontal="right"/>
    </xf>
    <xf numFmtId="179" fontId="186" fillId="65" borderId="0" xfId="0" applyNumberFormat="1" applyFont="1" applyFill="1" applyBorder="1" applyAlignment="1">
      <alignment horizontal="right"/>
    </xf>
    <xf numFmtId="166" fontId="56" fillId="0" borderId="65" xfId="0" applyNumberFormat="1" applyFont="1" applyFill="1" applyBorder="1"/>
    <xf numFmtId="166" fontId="56" fillId="0" borderId="121" xfId="0" applyNumberFormat="1" applyFont="1" applyFill="1" applyBorder="1"/>
    <xf numFmtId="168" fontId="56" fillId="0" borderId="68" xfId="0" applyNumberFormat="1" applyFont="1" applyFill="1" applyBorder="1" applyAlignment="1">
      <alignment horizontal="right"/>
    </xf>
    <xf numFmtId="168" fontId="56" fillId="0" borderId="126" xfId="0" applyNumberFormat="1" applyFont="1" applyFill="1" applyBorder="1" applyAlignment="1">
      <alignment horizontal="right"/>
    </xf>
    <xf numFmtId="43" fontId="184" fillId="51" borderId="103" xfId="52" applyNumberFormat="1" applyFont="1" applyFill="1" applyBorder="1" applyAlignment="1">
      <alignment horizontal="left" indent="3"/>
    </xf>
    <xf numFmtId="43" fontId="56" fillId="51" borderId="115" xfId="0" applyNumberFormat="1" applyFont="1" applyFill="1" applyBorder="1" applyAlignment="1">
      <alignment horizontal="left"/>
    </xf>
    <xf numFmtId="37" fontId="56" fillId="51" borderId="0" xfId="0" applyNumberFormat="1" applyFont="1" applyFill="1" applyBorder="1"/>
    <xf numFmtId="37" fontId="56" fillId="51" borderId="106" xfId="0" applyNumberFormat="1" applyFont="1" applyFill="1" applyBorder="1"/>
    <xf numFmtId="37" fontId="56" fillId="51" borderId="106" xfId="14" applyNumberFormat="1" applyFont="1" applyFill="1" applyBorder="1"/>
    <xf numFmtId="37" fontId="56" fillId="51" borderId="0" xfId="14" applyNumberFormat="1" applyFont="1" applyFill="1" applyBorder="1"/>
    <xf numFmtId="37" fontId="56" fillId="51" borderId="157" xfId="14" applyNumberFormat="1" applyFont="1" applyFill="1" applyBorder="1"/>
    <xf numFmtId="165" fontId="186" fillId="0" borderId="157" xfId="52" applyNumberFormat="1" applyFont="1" applyBorder="1" applyAlignment="1">
      <alignment horizontal="right"/>
    </xf>
    <xf numFmtId="165" fontId="186" fillId="0" borderId="126" xfId="52" applyNumberFormat="1" applyFont="1" applyFill="1" applyBorder="1" applyAlignment="1">
      <alignment horizontal="right"/>
    </xf>
    <xf numFmtId="165" fontId="186" fillId="0" borderId="61" xfId="52" applyNumberFormat="1" applyFont="1" applyBorder="1" applyAlignment="1">
      <alignment horizontal="right"/>
    </xf>
    <xf numFmtId="165" fontId="186" fillId="0" borderId="126" xfId="52" applyNumberFormat="1" applyFont="1" applyBorder="1" applyAlignment="1">
      <alignment horizontal="right"/>
    </xf>
    <xf numFmtId="166" fontId="56" fillId="0" borderId="64" xfId="52" applyNumberFormat="1" applyFont="1" applyBorder="1" applyAlignment="1">
      <alignment horizontal="right"/>
    </xf>
    <xf numFmtId="165" fontId="185" fillId="47" borderId="170" xfId="42" applyNumberFormat="1" applyFont="1" applyFill="1" applyBorder="1" applyAlignment="1">
      <alignment horizontal="right"/>
    </xf>
    <xf numFmtId="166" fontId="185" fillId="47" borderId="181" xfId="52" applyNumberFormat="1" applyFont="1" applyFill="1" applyBorder="1" applyAlignment="1">
      <alignment horizontal="right"/>
    </xf>
    <xf numFmtId="166" fontId="185" fillId="47" borderId="187" xfId="52" applyNumberFormat="1" applyFont="1" applyFill="1" applyBorder="1" applyAlignment="1">
      <alignment horizontal="right"/>
    </xf>
    <xf numFmtId="166" fontId="185" fillId="47" borderId="156" xfId="52" applyNumberFormat="1" applyFont="1" applyFill="1" applyBorder="1" applyAlignment="1">
      <alignment horizontal="right"/>
    </xf>
    <xf numFmtId="166" fontId="185" fillId="47" borderId="191" xfId="52" applyNumberFormat="1" applyFont="1" applyFill="1" applyBorder="1" applyAlignment="1">
      <alignment horizontal="right"/>
    </xf>
    <xf numFmtId="165" fontId="56" fillId="0" borderId="121" xfId="52" applyNumberFormat="1" applyFont="1" applyFill="1" applyBorder="1" applyAlignment="1">
      <alignment horizontal="right"/>
    </xf>
    <xf numFmtId="165" fontId="56" fillId="0" borderId="65" xfId="52" applyNumberFormat="1" applyFont="1" applyBorder="1" applyAlignment="1">
      <alignment horizontal="right"/>
    </xf>
    <xf numFmtId="165" fontId="56" fillId="0" borderId="64" xfId="52" applyNumberFormat="1" applyFont="1" applyFill="1" applyBorder="1" applyAlignment="1">
      <alignment horizontal="right"/>
    </xf>
    <xf numFmtId="166" fontId="184" fillId="0" borderId="65" xfId="42" applyNumberFormat="1" applyFont="1" applyFill="1" applyBorder="1" applyAlignment="1">
      <alignment horizontal="right"/>
    </xf>
    <xf numFmtId="192" fontId="56" fillId="0" borderId="65" xfId="0" applyNumberFormat="1" applyFont="1" applyFill="1" applyBorder="1" applyAlignment="1">
      <alignment horizontal="right"/>
    </xf>
    <xf numFmtId="43" fontId="195" fillId="51" borderId="103" xfId="52" applyNumberFormat="1" applyFont="1" applyFill="1" applyBorder="1" applyAlignment="1">
      <alignment horizontal="left" indent="2"/>
    </xf>
    <xf numFmtId="43" fontId="56" fillId="51" borderId="103" xfId="52" applyNumberFormat="1" applyFont="1" applyFill="1" applyBorder="1" applyAlignment="1">
      <alignment horizontal="left" indent="3"/>
    </xf>
    <xf numFmtId="43" fontId="195" fillId="51" borderId="103" xfId="52" applyNumberFormat="1" applyFont="1" applyFill="1" applyBorder="1" applyAlignment="1">
      <alignment horizontal="left" indent="1"/>
    </xf>
    <xf numFmtId="166" fontId="189" fillId="0" borderId="121" xfId="52" applyNumberFormat="1" applyFont="1" applyBorder="1" applyAlignment="1">
      <alignment horizontal="right"/>
    </xf>
    <xf numFmtId="166" fontId="185" fillId="47" borderId="105" xfId="52" applyNumberFormat="1" applyFont="1" applyFill="1" applyBorder="1" applyAlignment="1">
      <alignment horizontal="right"/>
    </xf>
    <xf numFmtId="166" fontId="186" fillId="65" borderId="150" xfId="52" applyNumberFormat="1" applyFont="1" applyFill="1" applyBorder="1" applyAlignment="1">
      <alignment horizontal="right"/>
    </xf>
    <xf numFmtId="166" fontId="186" fillId="65" borderId="143" xfId="52" applyNumberFormat="1" applyFont="1" applyFill="1" applyBorder="1" applyAlignment="1">
      <alignment horizontal="right"/>
    </xf>
    <xf numFmtId="166" fontId="196" fillId="65" borderId="143" xfId="52" applyNumberFormat="1" applyFont="1" applyFill="1" applyBorder="1" applyAlignment="1">
      <alignment horizontal="right"/>
    </xf>
    <xf numFmtId="166" fontId="186" fillId="65" borderId="139" xfId="52" applyNumberFormat="1" applyFont="1" applyFill="1" applyBorder="1" applyAlignment="1">
      <alignment horizontal="right"/>
    </xf>
    <xf numFmtId="166" fontId="196" fillId="65" borderId="150" xfId="52" applyNumberFormat="1" applyFont="1" applyFill="1" applyBorder="1" applyAlignment="1">
      <alignment horizontal="right"/>
    </xf>
    <xf numFmtId="194" fontId="196" fillId="65" borderId="143" xfId="10" applyNumberFormat="1" applyFont="1" applyFill="1" applyBorder="1" applyAlignment="1">
      <alignment horizontal="right"/>
    </xf>
    <xf numFmtId="43" fontId="196" fillId="65" borderId="150" xfId="10" applyFont="1" applyFill="1" applyBorder="1" applyAlignment="1">
      <alignment horizontal="right"/>
    </xf>
    <xf numFmtId="166" fontId="196" fillId="65" borderId="154" xfId="52" applyNumberFormat="1" applyFont="1" applyFill="1" applyBorder="1" applyAlignment="1">
      <alignment horizontal="right"/>
    </xf>
    <xf numFmtId="166" fontId="186" fillId="65" borderId="154" xfId="52" applyNumberFormat="1" applyFont="1" applyFill="1" applyBorder="1" applyAlignment="1">
      <alignment horizontal="right"/>
    </xf>
    <xf numFmtId="177" fontId="186" fillId="65" borderId="143" xfId="10" applyNumberFormat="1" applyFont="1" applyFill="1" applyBorder="1" applyAlignment="1">
      <alignment horizontal="right"/>
    </xf>
    <xf numFmtId="177" fontId="186" fillId="65" borderId="154" xfId="10" applyNumberFormat="1" applyFont="1" applyFill="1" applyBorder="1" applyAlignment="1">
      <alignment horizontal="right"/>
    </xf>
    <xf numFmtId="177" fontId="186" fillId="65" borderId="144" xfId="10" applyNumberFormat="1" applyFont="1" applyFill="1" applyBorder="1" applyAlignment="1">
      <alignment horizontal="right"/>
    </xf>
    <xf numFmtId="166" fontId="186" fillId="65" borderId="151" xfId="52" applyNumberFormat="1" applyFont="1" applyFill="1" applyBorder="1" applyAlignment="1">
      <alignment horizontal="right"/>
    </xf>
    <xf numFmtId="180" fontId="186" fillId="65" borderId="143" xfId="14" applyNumberFormat="1" applyFont="1" applyFill="1" applyBorder="1" applyAlignment="1">
      <alignment horizontal="right"/>
    </xf>
    <xf numFmtId="165" fontId="186" fillId="0" borderId="121" xfId="52" applyNumberFormat="1" applyFont="1" applyBorder="1" applyAlignment="1">
      <alignment horizontal="right"/>
    </xf>
    <xf numFmtId="165" fontId="186" fillId="0" borderId="121" xfId="52" applyNumberFormat="1" applyFont="1" applyFill="1" applyBorder="1" applyAlignment="1">
      <alignment horizontal="right"/>
    </xf>
    <xf numFmtId="165" fontId="218" fillId="0" borderId="121" xfId="52" applyNumberFormat="1" applyFont="1" applyFill="1" applyBorder="1" applyAlignment="1">
      <alignment horizontal="right"/>
    </xf>
    <xf numFmtId="165" fontId="186" fillId="0" borderId="65" xfId="52" applyNumberFormat="1" applyFont="1" applyFill="1" applyBorder="1" applyAlignment="1">
      <alignment horizontal="right"/>
    </xf>
    <xf numFmtId="165" fontId="218" fillId="0" borderId="64" xfId="52" applyNumberFormat="1" applyFont="1" applyFill="1" applyBorder="1" applyAlignment="1">
      <alignment horizontal="right"/>
    </xf>
    <xf numFmtId="165" fontId="184" fillId="0" borderId="65" xfId="0" applyNumberFormat="1" applyFont="1" applyFill="1" applyBorder="1" applyAlignment="1">
      <alignment horizontal="right"/>
    </xf>
    <xf numFmtId="43" fontId="186" fillId="0" borderId="121" xfId="10" applyFont="1" applyFill="1" applyBorder="1" applyAlignment="1">
      <alignment horizontal="right"/>
    </xf>
    <xf numFmtId="43" fontId="184" fillId="0" borderId="123" xfId="0" applyNumberFormat="1" applyFont="1" applyFill="1" applyBorder="1" applyAlignment="1">
      <alignment horizontal="left" indent="3"/>
    </xf>
    <xf numFmtId="165" fontId="185" fillId="50" borderId="65" xfId="42" applyNumberFormat="1" applyFont="1" applyFill="1" applyBorder="1" applyAlignment="1">
      <alignment horizontal="right"/>
    </xf>
    <xf numFmtId="165" fontId="198" fillId="47" borderId="64" xfId="42" applyNumberFormat="1" applyFont="1" applyFill="1" applyBorder="1" applyAlignment="1">
      <alignment horizontal="right"/>
    </xf>
    <xf numFmtId="165" fontId="56" fillId="0" borderId="187" xfId="52" applyNumberFormat="1" applyFont="1" applyBorder="1" applyAlignment="1">
      <alignment horizontal="right"/>
    </xf>
    <xf numFmtId="165" fontId="56" fillId="0" borderId="170" xfId="52" applyNumberFormat="1" applyFont="1" applyBorder="1" applyAlignment="1">
      <alignment horizontal="right"/>
    </xf>
    <xf numFmtId="165" fontId="56" fillId="0" borderId="170" xfId="52" applyNumberFormat="1" applyFont="1" applyFill="1" applyBorder="1" applyAlignment="1">
      <alignment horizontal="right"/>
    </xf>
    <xf numFmtId="165" fontId="56" fillId="0" borderId="181" xfId="52" applyNumberFormat="1" applyFont="1" applyBorder="1" applyAlignment="1">
      <alignment horizontal="right"/>
    </xf>
    <xf numFmtId="5" fontId="56" fillId="0" borderId="181" xfId="52" applyNumberFormat="1" applyFont="1" applyFill="1" applyBorder="1" applyAlignment="1">
      <alignment horizontal="right"/>
    </xf>
    <xf numFmtId="165" fontId="56" fillId="0" borderId="156" xfId="52" applyNumberFormat="1" applyFont="1" applyBorder="1" applyAlignment="1">
      <alignment horizontal="right"/>
    </xf>
    <xf numFmtId="197" fontId="56" fillId="0" borderId="170" xfId="52" applyNumberFormat="1" applyFont="1" applyBorder="1" applyAlignment="1">
      <alignment horizontal="right"/>
    </xf>
    <xf numFmtId="197" fontId="56" fillId="0" borderId="187" xfId="52" applyNumberFormat="1" applyFont="1" applyBorder="1" applyAlignment="1">
      <alignment horizontal="right"/>
    </xf>
    <xf numFmtId="197" fontId="56" fillId="0" borderId="170" xfId="52" applyNumberFormat="1" applyFont="1" applyFill="1" applyBorder="1" applyAlignment="1">
      <alignment horizontal="right"/>
    </xf>
    <xf numFmtId="166" fontId="184" fillId="0" borderId="187" xfId="52" applyNumberFormat="1" applyFont="1" applyFill="1" applyBorder="1" applyAlignment="1">
      <alignment horizontal="right"/>
    </xf>
    <xf numFmtId="43" fontId="184" fillId="0" borderId="170" xfId="10" applyFont="1" applyFill="1" applyBorder="1" applyAlignment="1">
      <alignment horizontal="right"/>
    </xf>
    <xf numFmtId="5" fontId="56" fillId="0" borderId="170" xfId="52" applyNumberFormat="1" applyFont="1" applyFill="1" applyBorder="1" applyAlignment="1">
      <alignment horizontal="right"/>
    </xf>
    <xf numFmtId="5" fontId="56" fillId="0" borderId="188" xfId="52" applyNumberFormat="1" applyFont="1" applyFill="1" applyBorder="1" applyAlignment="1">
      <alignment horizontal="right"/>
    </xf>
    <xf numFmtId="168" fontId="56" fillId="0" borderId="170" xfId="0" applyNumberFormat="1" applyFont="1" applyFill="1" applyBorder="1" applyAlignment="1">
      <alignment horizontal="right"/>
    </xf>
    <xf numFmtId="166" fontId="184" fillId="0" borderId="177" xfId="52" applyNumberFormat="1" applyFont="1" applyFill="1" applyBorder="1" applyAlignment="1">
      <alignment horizontal="right"/>
    </xf>
    <xf numFmtId="5" fontId="56" fillId="0" borderId="105" xfId="52" applyNumberFormat="1" applyFont="1" applyFill="1" applyBorder="1" applyAlignment="1">
      <alignment horizontal="right"/>
    </xf>
    <xf numFmtId="9" fontId="56" fillId="0" borderId="170" xfId="52" applyNumberFormat="1" applyFont="1" applyFill="1" applyBorder="1" applyAlignment="1">
      <alignment horizontal="right"/>
    </xf>
    <xf numFmtId="0" fontId="195" fillId="65" borderId="150" xfId="0" applyFont="1" applyFill="1" applyBorder="1" applyAlignment="1">
      <alignment horizontal="right"/>
    </xf>
    <xf numFmtId="0" fontId="195" fillId="65" borderId="143" xfId="0" applyFont="1" applyFill="1" applyBorder="1" applyAlignment="1">
      <alignment horizontal="right"/>
    </xf>
    <xf numFmtId="0" fontId="195" fillId="65" borderId="139" xfId="0" applyFont="1" applyFill="1" applyBorder="1" applyAlignment="1">
      <alignment horizontal="right"/>
    </xf>
    <xf numFmtId="192" fontId="186" fillId="65" borderId="139" xfId="0" applyNumberFormat="1" applyFont="1" applyFill="1" applyBorder="1" applyAlignment="1">
      <alignment horizontal="right"/>
    </xf>
    <xf numFmtId="0" fontId="186" fillId="65" borderId="150" xfId="0" applyFont="1" applyFill="1" applyBorder="1" applyAlignment="1">
      <alignment horizontal="right"/>
    </xf>
    <xf numFmtId="0" fontId="186" fillId="65" borderId="143" xfId="0" applyFont="1" applyFill="1" applyBorder="1" applyAlignment="1">
      <alignment horizontal="right"/>
    </xf>
    <xf numFmtId="0" fontId="186" fillId="65" borderId="154" xfId="0" applyFont="1" applyFill="1" applyBorder="1" applyAlignment="1">
      <alignment horizontal="right"/>
    </xf>
    <xf numFmtId="192" fontId="186" fillId="65" borderId="182" xfId="0" applyNumberFormat="1" applyFont="1" applyFill="1" applyBorder="1" applyAlignment="1">
      <alignment horizontal="right"/>
    </xf>
    <xf numFmtId="168" fontId="186" fillId="65" borderId="150" xfId="0" applyNumberFormat="1" applyFont="1" applyFill="1" applyBorder="1" applyAlignment="1">
      <alignment horizontal="right"/>
    </xf>
    <xf numFmtId="168" fontId="186" fillId="65" borderId="143" xfId="0" applyNumberFormat="1" applyFont="1" applyFill="1" applyBorder="1" applyAlignment="1">
      <alignment horizontal="right"/>
    </xf>
    <xf numFmtId="43" fontId="186" fillId="65" borderId="150" xfId="10" applyFont="1" applyFill="1" applyBorder="1" applyAlignment="1">
      <alignment horizontal="right"/>
    </xf>
    <xf numFmtId="43" fontId="186" fillId="65" borderId="143" xfId="10" applyFont="1" applyFill="1" applyBorder="1" applyAlignment="1">
      <alignment horizontal="right"/>
    </xf>
    <xf numFmtId="192" fontId="186" fillId="65" borderId="143" xfId="0" applyNumberFormat="1" applyFont="1" applyFill="1" applyBorder="1" applyAlignment="1">
      <alignment horizontal="right"/>
    </xf>
    <xf numFmtId="43" fontId="186" fillId="65" borderId="175" xfId="10" applyFont="1" applyFill="1" applyBorder="1" applyAlignment="1">
      <alignment horizontal="right"/>
    </xf>
    <xf numFmtId="192" fontId="186" fillId="65" borderId="151" xfId="0" applyNumberFormat="1" applyFont="1" applyFill="1" applyBorder="1" applyAlignment="1">
      <alignment horizontal="right"/>
    </xf>
    <xf numFmtId="165" fontId="213" fillId="0" borderId="121" xfId="52" applyNumberFormat="1" applyFont="1" applyBorder="1" applyAlignment="1">
      <alignment horizontal="right"/>
    </xf>
    <xf numFmtId="165" fontId="56" fillId="0" borderId="64" xfId="52" applyNumberFormat="1" applyFont="1" applyBorder="1" applyAlignment="1">
      <alignment horizontal="right"/>
    </xf>
    <xf numFmtId="43" fontId="56" fillId="0" borderId="190" xfId="0" applyNumberFormat="1" applyFont="1" applyBorder="1" applyAlignment="1">
      <alignment horizontal="left" indent="1"/>
    </xf>
    <xf numFmtId="166" fontId="56" fillId="0" borderId="191" xfId="52" applyNumberFormat="1" applyFont="1" applyFill="1" applyBorder="1" applyAlignment="1">
      <alignment horizontal="right"/>
    </xf>
    <xf numFmtId="166" fontId="213" fillId="0" borderId="65" xfId="0" applyNumberFormat="1" applyFont="1" applyFill="1" applyBorder="1" applyAlignment="1">
      <alignment horizontal="right"/>
    </xf>
    <xf numFmtId="166" fontId="208" fillId="0" borderId="121" xfId="52" applyNumberFormat="1" applyFont="1" applyFill="1" applyBorder="1" applyAlignment="1">
      <alignment horizontal="right"/>
    </xf>
    <xf numFmtId="166" fontId="209" fillId="0" borderId="121" xfId="52" applyNumberFormat="1" applyFont="1" applyFill="1" applyBorder="1" applyAlignment="1">
      <alignment horizontal="right"/>
    </xf>
    <xf numFmtId="165" fontId="56" fillId="0" borderId="187" xfId="52" applyNumberFormat="1" applyFont="1" applyFill="1" applyBorder="1" applyAlignment="1">
      <alignment horizontal="right"/>
    </xf>
    <xf numFmtId="165" fontId="56" fillId="0" borderId="181" xfId="52" applyNumberFormat="1" applyFont="1" applyFill="1" applyBorder="1" applyAlignment="1">
      <alignment horizontal="right"/>
    </xf>
    <xf numFmtId="9" fontId="56" fillId="0" borderId="181" xfId="52" applyFont="1" applyFill="1" applyBorder="1" applyAlignment="1">
      <alignment horizontal="right"/>
    </xf>
    <xf numFmtId="165" fontId="187" fillId="0" borderId="187" xfId="52" applyNumberFormat="1" applyFont="1" applyFill="1" applyBorder="1" applyAlignment="1">
      <alignment horizontal="right"/>
    </xf>
    <xf numFmtId="165" fontId="187" fillId="0" borderId="170" xfId="52" applyNumberFormat="1" applyFont="1" applyFill="1" applyBorder="1" applyAlignment="1">
      <alignment horizontal="right"/>
    </xf>
    <xf numFmtId="9" fontId="56" fillId="0" borderId="170" xfId="52" applyFont="1" applyFill="1" applyBorder="1" applyAlignment="1">
      <alignment horizontal="right"/>
    </xf>
    <xf numFmtId="9" fontId="56" fillId="0" borderId="188" xfId="52" applyFont="1" applyFill="1" applyBorder="1" applyAlignment="1">
      <alignment horizontal="right"/>
    </xf>
    <xf numFmtId="165" fontId="187" fillId="0" borderId="105" xfId="52" applyNumberFormat="1" applyFont="1" applyFill="1" applyBorder="1" applyAlignment="1">
      <alignment horizontal="right"/>
    </xf>
    <xf numFmtId="165" fontId="56" fillId="0" borderId="156" xfId="52" applyNumberFormat="1" applyFont="1" applyFill="1" applyBorder="1" applyAlignment="1">
      <alignment horizontal="right"/>
    </xf>
    <xf numFmtId="165" fontId="187" fillId="0" borderId="156" xfId="52" applyNumberFormat="1" applyFont="1" applyFill="1" applyBorder="1" applyAlignment="1">
      <alignment horizontal="right"/>
    </xf>
    <xf numFmtId="43" fontId="56" fillId="0" borderId="190" xfId="52" applyNumberFormat="1" applyFont="1" applyFill="1" applyBorder="1" applyAlignment="1">
      <alignment horizontal="left" indent="2"/>
    </xf>
    <xf numFmtId="166" fontId="208" fillId="0" borderId="121" xfId="0" applyNumberFormat="1" applyFont="1" applyFill="1" applyBorder="1" applyAlignment="1">
      <alignment horizontal="right"/>
    </xf>
    <xf numFmtId="166" fontId="209" fillId="0" borderId="121" xfId="0" applyNumberFormat="1" applyFont="1" applyFill="1" applyBorder="1" applyAlignment="1">
      <alignment horizontal="right"/>
    </xf>
    <xf numFmtId="0" fontId="56" fillId="0" borderId="65" xfId="0" applyFont="1" applyFill="1" applyBorder="1" applyAlignment="1">
      <alignment horizontal="right"/>
    </xf>
    <xf numFmtId="0" fontId="187" fillId="0" borderId="121" xfId="0" applyFont="1" applyFill="1" applyBorder="1" applyAlignment="1">
      <alignment horizontal="right"/>
    </xf>
    <xf numFmtId="166" fontId="214" fillId="0" borderId="65" xfId="0" applyNumberFormat="1" applyFont="1" applyFill="1" applyBorder="1" applyAlignment="1">
      <alignment horizontal="right"/>
    </xf>
    <xf numFmtId="177" fontId="185" fillId="65" borderId="182" xfId="10" applyNumberFormat="1" applyFont="1" applyFill="1" applyBorder="1" applyAlignment="1">
      <alignment horizontal="right"/>
    </xf>
    <xf numFmtId="177" fontId="185" fillId="65" borderId="175" xfId="10" applyNumberFormat="1" applyFont="1" applyFill="1" applyBorder="1" applyAlignment="1">
      <alignment horizontal="right"/>
    </xf>
    <xf numFmtId="177" fontId="186" fillId="47" borderId="152" xfId="10" applyNumberFormat="1" applyFont="1" applyFill="1" applyBorder="1" applyAlignment="1">
      <alignment horizontal="right"/>
    </xf>
    <xf numFmtId="43" fontId="184" fillId="0" borderId="190" xfId="0" applyNumberFormat="1" applyFont="1" applyFill="1" applyBorder="1" applyAlignment="1">
      <alignment horizontal="left" indent="2"/>
    </xf>
    <xf numFmtId="166" fontId="184" fillId="0" borderId="189" xfId="0" applyNumberFormat="1" applyFont="1" applyFill="1" applyBorder="1"/>
    <xf numFmtId="166" fontId="184" fillId="0" borderId="187" xfId="0" applyNumberFormat="1" applyFont="1" applyFill="1" applyBorder="1"/>
    <xf numFmtId="166" fontId="184" fillId="0" borderId="188" xfId="0" applyNumberFormat="1" applyFont="1" applyFill="1" applyBorder="1"/>
    <xf numFmtId="166" fontId="195" fillId="0" borderId="121" xfId="52" applyNumberFormat="1" applyFont="1" applyFill="1" applyBorder="1" applyAlignment="1">
      <alignment horizontal="right"/>
    </xf>
    <xf numFmtId="166" fontId="195" fillId="0" borderId="122" xfId="52" applyNumberFormat="1" applyFont="1" applyFill="1" applyBorder="1" applyAlignment="1">
      <alignment horizontal="right"/>
    </xf>
    <xf numFmtId="166" fontId="195" fillId="0" borderId="65" xfId="52" applyNumberFormat="1" applyFont="1" applyFill="1" applyBorder="1" applyAlignment="1">
      <alignment horizontal="right"/>
    </xf>
    <xf numFmtId="166" fontId="195" fillId="0" borderId="0" xfId="10" applyNumberFormat="1" applyFont="1" applyFill="1" applyBorder="1" applyAlignment="1">
      <alignment horizontal="right"/>
    </xf>
    <xf numFmtId="166" fontId="195" fillId="0" borderId="61" xfId="52" applyNumberFormat="1" applyFont="1" applyBorder="1" applyAlignment="1">
      <alignment horizontal="right"/>
    </xf>
    <xf numFmtId="43" fontId="195" fillId="0" borderId="123" xfId="0" applyNumberFormat="1" applyFont="1" applyFill="1" applyBorder="1" applyAlignment="1">
      <alignment horizontal="left" indent="2"/>
    </xf>
    <xf numFmtId="43" fontId="195" fillId="0" borderId="123" xfId="0" applyNumberFormat="1" applyFont="1" applyFill="1" applyBorder="1" applyAlignment="1">
      <alignment horizontal="left" indent="1"/>
    </xf>
    <xf numFmtId="166" fontId="195" fillId="0" borderId="121" xfId="0" applyNumberFormat="1" applyFont="1" applyFill="1" applyBorder="1" applyAlignment="1">
      <alignment horizontal="right"/>
    </xf>
    <xf numFmtId="166" fontId="195" fillId="0" borderId="0" xfId="0" applyNumberFormat="1" applyFont="1" applyFill="1" applyBorder="1" applyAlignment="1">
      <alignment horizontal="right"/>
    </xf>
    <xf numFmtId="166" fontId="195" fillId="0" borderId="106" xfId="0" applyNumberFormat="1" applyFont="1" applyFill="1" applyBorder="1" applyAlignment="1">
      <alignment horizontal="right"/>
    </xf>
    <xf numFmtId="166" fontId="195" fillId="0" borderId="65" xfId="0" applyNumberFormat="1" applyFont="1" applyFill="1" applyBorder="1" applyAlignment="1">
      <alignment horizontal="right"/>
    </xf>
    <xf numFmtId="43" fontId="201" fillId="0" borderId="190" xfId="52" applyNumberFormat="1" applyFont="1" applyFill="1" applyBorder="1" applyAlignment="1">
      <alignment horizontal="left" indent="1"/>
    </xf>
    <xf numFmtId="166" fontId="201" fillId="0" borderId="187" xfId="52" applyNumberFormat="1" applyFont="1" applyFill="1" applyBorder="1" applyAlignment="1">
      <alignment horizontal="right"/>
    </xf>
    <xf numFmtId="166" fontId="201" fillId="0" borderId="170" xfId="52" applyNumberFormat="1" applyFont="1" applyFill="1" applyBorder="1" applyAlignment="1">
      <alignment horizontal="right"/>
    </xf>
    <xf numFmtId="166" fontId="201" fillId="0" borderId="189" xfId="52" applyNumberFormat="1" applyFont="1" applyFill="1" applyBorder="1" applyAlignment="1">
      <alignment horizontal="right"/>
    </xf>
    <xf numFmtId="166" fontId="201" fillId="0" borderId="181" xfId="52" applyNumberFormat="1" applyFont="1" applyFill="1" applyBorder="1" applyAlignment="1">
      <alignment horizontal="right"/>
    </xf>
    <xf numFmtId="166" fontId="201" fillId="0" borderId="187" xfId="0" applyNumberFormat="1" applyFont="1" applyFill="1" applyBorder="1" applyAlignment="1">
      <alignment horizontal="right"/>
    </xf>
    <xf numFmtId="166" fontId="201" fillId="0" borderId="170" xfId="0" applyNumberFormat="1" applyFont="1" applyFill="1" applyBorder="1" applyAlignment="1">
      <alignment horizontal="right"/>
    </xf>
    <xf numFmtId="166" fontId="201" fillId="0" borderId="188" xfId="52" applyNumberFormat="1" applyFont="1" applyFill="1" applyBorder="1" applyAlignment="1">
      <alignment horizontal="right"/>
    </xf>
    <xf numFmtId="165" fontId="240" fillId="0" borderId="0" xfId="42" applyNumberFormat="1" applyFont="1" applyBorder="1" applyAlignment="1">
      <alignment horizontal="right"/>
    </xf>
    <xf numFmtId="165" fontId="240" fillId="0" borderId="0" xfId="42" applyNumberFormat="1" applyFont="1" applyFill="1" applyBorder="1" applyAlignment="1">
      <alignment horizontal="right"/>
    </xf>
    <xf numFmtId="165" fontId="240" fillId="0" borderId="106" xfId="0" applyNumberFormat="1" applyFont="1" applyFill="1" applyBorder="1" applyAlignment="1">
      <alignment horizontal="right"/>
    </xf>
    <xf numFmtId="166" fontId="184" fillId="0" borderId="191" xfId="129" applyNumberFormat="1" applyFont="1" applyFill="1" applyBorder="1"/>
    <xf numFmtId="166" fontId="184" fillId="0" borderId="170" xfId="129" applyNumberFormat="1" applyFont="1" applyFill="1" applyBorder="1"/>
    <xf numFmtId="4" fontId="56" fillId="0" borderId="126" xfId="69" applyNumberFormat="1" applyFont="1" applyFill="1" applyBorder="1" applyAlignment="1"/>
    <xf numFmtId="4" fontId="56" fillId="0" borderId="14" xfId="69" applyNumberFormat="1" applyFont="1" applyFill="1" applyBorder="1" applyAlignment="1"/>
    <xf numFmtId="4" fontId="56" fillId="0" borderId="0" xfId="69" applyNumberFormat="1" applyFont="1" applyFill="1" applyBorder="1" applyAlignment="1"/>
    <xf numFmtId="0" fontId="56" fillId="51" borderId="0" xfId="0" applyFont="1" applyFill="1"/>
    <xf numFmtId="0" fontId="56" fillId="51" borderId="0" xfId="0" applyFont="1" applyFill="1" applyBorder="1"/>
    <xf numFmtId="166" fontId="249" fillId="0" borderId="0" xfId="52" applyNumberFormat="1" applyFont="1" applyFill="1" applyBorder="1" applyAlignment="1">
      <alignment horizontal="right"/>
    </xf>
    <xf numFmtId="166" fontId="249" fillId="0" borderId="106" xfId="52" applyNumberFormat="1" applyFont="1" applyFill="1" applyBorder="1" applyAlignment="1">
      <alignment horizontal="right"/>
    </xf>
    <xf numFmtId="3" fontId="56" fillId="51" borderId="0" xfId="14" applyNumberFormat="1" applyFont="1" applyFill="1" applyBorder="1"/>
    <xf numFmtId="3" fontId="56" fillId="51" borderId="106" xfId="14" applyNumberFormat="1" applyFont="1" applyFill="1" applyBorder="1"/>
    <xf numFmtId="166" fontId="56" fillId="51" borderId="106" xfId="52" applyNumberFormat="1" applyFont="1" applyFill="1" applyBorder="1"/>
    <xf numFmtId="166" fontId="184" fillId="51" borderId="102" xfId="52" applyNumberFormat="1" applyFont="1" applyFill="1" applyBorder="1"/>
    <xf numFmtId="180" fontId="56" fillId="51" borderId="107" xfId="14" applyNumberFormat="1" applyFont="1" applyFill="1" applyBorder="1"/>
    <xf numFmtId="0" fontId="17" fillId="0" borderId="213" xfId="0" applyFont="1" applyFill="1" applyBorder="1"/>
    <xf numFmtId="43" fontId="17" fillId="52" borderId="0" xfId="0" applyNumberFormat="1" applyFont="1" applyFill="1"/>
    <xf numFmtId="0" fontId="0" fillId="52" borderId="0" xfId="0" applyFill="1"/>
    <xf numFmtId="43" fontId="21" fillId="0" borderId="224" xfId="0" applyNumberFormat="1" applyFont="1" applyFill="1" applyBorder="1" applyAlignment="1">
      <alignment horizontal="left" indent="2"/>
    </xf>
    <xf numFmtId="43" fontId="17" fillId="0" borderId="224" xfId="0" applyNumberFormat="1" applyFont="1" applyFill="1" applyBorder="1" applyAlignment="1">
      <alignment horizontal="left" indent="1"/>
    </xf>
    <xf numFmtId="9" fontId="225" fillId="0" borderId="212" xfId="52" applyFont="1" applyFill="1" applyBorder="1"/>
    <xf numFmtId="9" fontId="225" fillId="0" borderId="140" xfId="52" applyFont="1" applyFill="1" applyBorder="1"/>
    <xf numFmtId="9" fontId="225" fillId="0" borderId="213" xfId="52" applyFont="1" applyFill="1" applyBorder="1"/>
    <xf numFmtId="9" fontId="225" fillId="0" borderId="213" xfId="52" applyFont="1" applyFill="1" applyBorder="1" applyAlignment="1">
      <alignment horizontal="right"/>
    </xf>
    <xf numFmtId="171" fontId="21" fillId="52" borderId="0" xfId="0" applyNumberFormat="1" applyFont="1" applyFill="1" applyBorder="1" applyAlignment="1">
      <alignment horizontal="right"/>
    </xf>
    <xf numFmtId="9" fontId="225" fillId="52" borderId="0" xfId="52" applyFont="1" applyFill="1" applyBorder="1"/>
    <xf numFmtId="43" fontId="17" fillId="0" borderId="144" xfId="0" applyNumberFormat="1" applyFont="1" applyFill="1" applyBorder="1" applyAlignment="1">
      <alignment horizontal="left" indent="1"/>
    </xf>
    <xf numFmtId="0" fontId="17" fillId="0" borderId="232" xfId="0" applyFont="1" applyFill="1" applyBorder="1"/>
    <xf numFmtId="37" fontId="17" fillId="0" borderId="139" xfId="0" applyNumberFormat="1" applyFont="1" applyFill="1" applyBorder="1"/>
    <xf numFmtId="37" fontId="17" fillId="0" borderId="232" xfId="0" applyNumberFormat="1" applyFont="1" applyFill="1" applyBorder="1" applyAlignment="1">
      <alignment horizontal="right"/>
    </xf>
    <xf numFmtId="37" fontId="17" fillId="52" borderId="232" xfId="0" applyNumberFormat="1" applyFont="1" applyFill="1" applyBorder="1" applyAlignment="1">
      <alignment horizontal="right"/>
    </xf>
    <xf numFmtId="37" fontId="17" fillId="52" borderId="139" xfId="0" applyNumberFormat="1" applyFont="1" applyFill="1" applyBorder="1"/>
    <xf numFmtId="171" fontId="21" fillId="0" borderId="212" xfId="0" applyNumberFormat="1" applyFont="1" applyFill="1" applyBorder="1"/>
    <xf numFmtId="171" fontId="21" fillId="52" borderId="212" xfId="0" applyNumberFormat="1" applyFont="1" applyFill="1" applyBorder="1"/>
    <xf numFmtId="9" fontId="225" fillId="52" borderId="212" xfId="52" applyFont="1" applyFill="1" applyBorder="1"/>
    <xf numFmtId="43" fontId="17" fillId="0" borderId="214" xfId="0" applyNumberFormat="1" applyFont="1" applyFill="1" applyBorder="1" applyAlignment="1">
      <alignment horizontal="left" indent="2"/>
    </xf>
    <xf numFmtId="9" fontId="225" fillId="52" borderId="213" xfId="52" applyFont="1" applyFill="1" applyBorder="1"/>
    <xf numFmtId="9" fontId="225" fillId="52" borderId="140" xfId="52" applyFont="1" applyFill="1" applyBorder="1"/>
    <xf numFmtId="43" fontId="21" fillId="0" borderId="224" xfId="0" applyNumberFormat="1" applyFont="1" applyFill="1" applyBorder="1" applyAlignment="1">
      <alignment horizontal="left"/>
    </xf>
    <xf numFmtId="166" fontId="214" fillId="51" borderId="0" xfId="52" applyNumberFormat="1" applyFont="1" applyFill="1" applyBorder="1" applyAlignment="1">
      <alignment horizontal="right"/>
    </xf>
    <xf numFmtId="166" fontId="56" fillId="51" borderId="102" xfId="52" applyNumberFormat="1" applyFont="1" applyFill="1" applyBorder="1" applyAlignment="1">
      <alignment horizontal="right"/>
    </xf>
    <xf numFmtId="166" fontId="56" fillId="51" borderId="107" xfId="52" applyNumberFormat="1" applyFont="1" applyFill="1" applyBorder="1" applyAlignment="1">
      <alignment horizontal="right"/>
    </xf>
    <xf numFmtId="177" fontId="195" fillId="47" borderId="174" xfId="10" applyNumberFormat="1" applyFont="1" applyFill="1" applyBorder="1" applyAlignment="1">
      <alignment horizontal="right"/>
    </xf>
    <xf numFmtId="177" fontId="195" fillId="47" borderId="232" xfId="10" applyNumberFormat="1" applyFont="1" applyFill="1" applyBorder="1" applyAlignment="1">
      <alignment horizontal="right"/>
    </xf>
    <xf numFmtId="177" fontId="186" fillId="47" borderId="232" xfId="10" applyNumberFormat="1" applyFont="1" applyFill="1" applyBorder="1" applyAlignment="1">
      <alignment horizontal="right"/>
    </xf>
    <xf numFmtId="166" fontId="186" fillId="47" borderId="232" xfId="52" applyNumberFormat="1" applyFont="1" applyFill="1" applyBorder="1" applyAlignment="1">
      <alignment horizontal="right"/>
    </xf>
    <xf numFmtId="177" fontId="198" fillId="51" borderId="232" xfId="10" applyNumberFormat="1" applyFont="1" applyFill="1" applyBorder="1" applyAlignment="1">
      <alignment horizontal="left"/>
    </xf>
    <xf numFmtId="177" fontId="186" fillId="51" borderId="232" xfId="10" applyNumberFormat="1" applyFont="1" applyFill="1" applyBorder="1" applyAlignment="1">
      <alignment horizontal="right"/>
    </xf>
    <xf numFmtId="177" fontId="186" fillId="51" borderId="182" xfId="10" applyNumberFormat="1" applyFont="1" applyFill="1" applyBorder="1" applyAlignment="1">
      <alignment horizontal="right"/>
    </xf>
    <xf numFmtId="178" fontId="187" fillId="0" borderId="213" xfId="10" applyNumberFormat="1" applyFont="1" applyBorder="1" applyAlignment="1">
      <alignment horizontal="right"/>
    </xf>
    <xf numFmtId="166" fontId="56" fillId="0" borderId="213" xfId="39" applyNumberFormat="1" applyFont="1" applyFill="1" applyBorder="1" applyAlignment="1">
      <alignment horizontal="right"/>
    </xf>
    <xf numFmtId="166" fontId="56" fillId="0" borderId="213" xfId="52" applyNumberFormat="1" applyFont="1" applyFill="1" applyBorder="1" applyAlignment="1">
      <alignment horizontal="right"/>
    </xf>
    <xf numFmtId="4" fontId="56" fillId="0" borderId="0" xfId="69" applyNumberFormat="1" applyFont="1" applyFill="1" applyBorder="1" applyAlignment="1">
      <alignment horizontal="left"/>
    </xf>
    <xf numFmtId="166" fontId="189" fillId="0" borderId="235" xfId="0" applyNumberFormat="1" applyFont="1" applyFill="1" applyBorder="1" applyAlignment="1">
      <alignment horizontal="right"/>
    </xf>
    <xf numFmtId="166" fontId="187" fillId="0" borderId="235" xfId="0" applyNumberFormat="1" applyFont="1" applyFill="1" applyBorder="1" applyAlignment="1">
      <alignment horizontal="right"/>
    </xf>
    <xf numFmtId="166" fontId="184" fillId="0" borderId="107" xfId="0" applyNumberFormat="1" applyFont="1" applyFill="1" applyBorder="1"/>
    <xf numFmtId="177" fontId="56" fillId="0" borderId="53" xfId="10" applyNumberFormat="1" applyFont="1" applyFill="1" applyBorder="1" applyAlignment="1">
      <alignment horizontal="right"/>
    </xf>
    <xf numFmtId="166" fontId="184" fillId="0" borderId="235" xfId="0" applyNumberFormat="1" applyFont="1" applyFill="1" applyBorder="1"/>
    <xf numFmtId="166" fontId="56" fillId="0" borderId="235" xfId="0" applyNumberFormat="1" applyFont="1" applyFill="1" applyBorder="1" applyAlignment="1">
      <alignment horizontal="right"/>
    </xf>
    <xf numFmtId="166" fontId="190" fillId="0" borderId="235" xfId="0" applyNumberFormat="1" applyFont="1" applyFill="1" applyBorder="1" applyAlignment="1">
      <alignment horizontal="right"/>
    </xf>
    <xf numFmtId="166" fontId="186" fillId="65" borderId="253" xfId="0" applyNumberFormat="1" applyFont="1" applyFill="1" applyBorder="1" applyAlignment="1">
      <alignment horizontal="right"/>
    </xf>
    <xf numFmtId="179" fontId="186" fillId="65" borderId="254" xfId="0" applyNumberFormat="1" applyFont="1" applyFill="1" applyBorder="1" applyAlignment="1">
      <alignment horizontal="right"/>
    </xf>
    <xf numFmtId="166" fontId="56" fillId="0" borderId="234" xfId="0" applyNumberFormat="1" applyFont="1" applyFill="1" applyBorder="1" applyAlignment="1">
      <alignment horizontal="right"/>
    </xf>
    <xf numFmtId="166" fontId="184" fillId="0" borderId="235" xfId="0" applyNumberFormat="1" applyFont="1" applyFill="1" applyBorder="1" applyAlignment="1">
      <alignment horizontal="right"/>
    </xf>
    <xf numFmtId="166" fontId="186" fillId="65" borderId="252" xfId="0" applyNumberFormat="1" applyFont="1" applyFill="1" applyBorder="1" applyAlignment="1">
      <alignment horizontal="right"/>
    </xf>
    <xf numFmtId="166" fontId="184" fillId="0" borderId="234" xfId="0" applyNumberFormat="1" applyFont="1" applyFill="1" applyBorder="1" applyAlignment="1">
      <alignment horizontal="right"/>
    </xf>
    <xf numFmtId="166" fontId="184" fillId="57" borderId="235" xfId="0" applyNumberFormat="1" applyFont="1" applyFill="1" applyBorder="1" applyAlignment="1">
      <alignment horizontal="right"/>
    </xf>
    <xf numFmtId="166" fontId="186" fillId="65" borderId="254" xfId="0" applyNumberFormat="1" applyFont="1" applyFill="1" applyBorder="1" applyAlignment="1">
      <alignment horizontal="right"/>
    </xf>
    <xf numFmtId="0" fontId="0" fillId="0" borderId="0" xfId="0" applyFill="1" applyBorder="1"/>
    <xf numFmtId="166" fontId="184" fillId="0" borderId="65" xfId="52" applyNumberFormat="1" applyFont="1" applyFill="1" applyBorder="1" applyAlignment="1">
      <alignment horizontal="right"/>
    </xf>
    <xf numFmtId="166" fontId="184" fillId="0" borderId="106" xfId="52" applyNumberFormat="1" applyFont="1" applyFill="1" applyBorder="1" applyAlignment="1">
      <alignment horizontal="right"/>
    </xf>
    <xf numFmtId="43" fontId="56" fillId="0" borderId="106" xfId="10" applyFont="1" applyFill="1" applyBorder="1" applyAlignment="1">
      <alignment horizontal="right"/>
    </xf>
    <xf numFmtId="177" fontId="56" fillId="0" borderId="106" xfId="10" applyNumberFormat="1" applyFont="1" applyFill="1" applyBorder="1" applyAlignment="1">
      <alignment horizontal="right"/>
    </xf>
    <xf numFmtId="165" fontId="188" fillId="0" borderId="106" xfId="42" applyNumberFormat="1" applyFont="1" applyFill="1" applyBorder="1" applyAlignment="1">
      <alignment horizontal="right"/>
    </xf>
    <xf numFmtId="177" fontId="188" fillId="0" borderId="106" xfId="10" applyNumberFormat="1" applyFont="1" applyFill="1" applyBorder="1" applyAlignment="1">
      <alignment horizontal="right"/>
    </xf>
    <xf numFmtId="9" fontId="56" fillId="0" borderId="106" xfId="10" applyNumberFormat="1" applyFont="1" applyFill="1" applyBorder="1" applyAlignment="1">
      <alignment horizontal="right"/>
    </xf>
    <xf numFmtId="9" fontId="184" fillId="0" borderId="106" xfId="52" applyFont="1" applyFill="1" applyBorder="1" applyAlignment="1">
      <alignment horizontal="right"/>
    </xf>
    <xf numFmtId="43" fontId="184" fillId="57" borderId="106" xfId="10" applyFont="1" applyFill="1" applyBorder="1" applyAlignment="1">
      <alignment horizontal="right"/>
    </xf>
    <xf numFmtId="177" fontId="188" fillId="0" borderId="65" xfId="10" applyNumberFormat="1" applyFont="1" applyFill="1" applyBorder="1" applyAlignment="1">
      <alignment horizontal="right"/>
    </xf>
    <xf numFmtId="166" fontId="184" fillId="51" borderId="106" xfId="52" applyNumberFormat="1" applyFont="1" applyFill="1" applyBorder="1" applyAlignment="1">
      <alignment horizontal="right"/>
    </xf>
    <xf numFmtId="166" fontId="184" fillId="0" borderId="187" xfId="52" applyNumberFormat="1" applyFont="1" applyFill="1" applyBorder="1" applyAlignment="1">
      <alignment horizontal="right"/>
    </xf>
    <xf numFmtId="166" fontId="184" fillId="0" borderId="187" xfId="52" applyNumberFormat="1" applyFont="1" applyFill="1" applyBorder="1"/>
    <xf numFmtId="177" fontId="56" fillId="0" borderId="65" xfId="10" applyNumberFormat="1" applyFont="1" applyFill="1" applyBorder="1" applyAlignment="1">
      <alignment horizontal="right"/>
    </xf>
    <xf numFmtId="177" fontId="188" fillId="0" borderId="65" xfId="10" applyNumberFormat="1" applyFont="1" applyFill="1" applyBorder="1"/>
    <xf numFmtId="166" fontId="184" fillId="57" borderId="65" xfId="52" applyNumberFormat="1" applyFont="1" applyFill="1" applyBorder="1" applyAlignment="1">
      <alignment horizontal="right"/>
    </xf>
    <xf numFmtId="43" fontId="56" fillId="0" borderId="65" xfId="10" applyFont="1" applyFill="1" applyBorder="1" applyAlignment="1">
      <alignment horizontal="right"/>
    </xf>
    <xf numFmtId="0" fontId="184" fillId="0" borderId="234" xfId="0" applyFont="1" applyFill="1" applyBorder="1" applyAlignment="1">
      <alignment horizontal="right"/>
    </xf>
    <xf numFmtId="0" fontId="184" fillId="0" borderId="235" xfId="0" applyFont="1" applyFill="1" applyBorder="1" applyAlignment="1">
      <alignment horizontal="right"/>
    </xf>
    <xf numFmtId="177" fontId="56" fillId="0" borderId="0" xfId="10" applyNumberFormat="1" applyFont="1" applyFill="1" applyBorder="1" applyAlignment="1">
      <alignment horizontal="right"/>
    </xf>
    <xf numFmtId="177" fontId="187" fillId="0" borderId="0" xfId="10" applyNumberFormat="1" applyFont="1" applyFill="1" applyBorder="1" applyAlignment="1">
      <alignment horizontal="right"/>
    </xf>
    <xf numFmtId="43" fontId="56" fillId="0" borderId="0" xfId="10" applyFont="1" applyFill="1" applyBorder="1" applyAlignment="1">
      <alignment horizontal="right"/>
    </xf>
    <xf numFmtId="165" fontId="188" fillId="0" borderId="0" xfId="42" applyNumberFormat="1" applyFont="1" applyFill="1" applyBorder="1" applyAlignment="1">
      <alignment horizontal="right"/>
    </xf>
    <xf numFmtId="165" fontId="188" fillId="0" borderId="22" xfId="42" applyNumberFormat="1" applyFont="1" applyFill="1" applyBorder="1" applyAlignment="1">
      <alignment horizontal="right"/>
    </xf>
    <xf numFmtId="166" fontId="184" fillId="0" borderId="235" xfId="52" applyNumberFormat="1" applyFont="1" applyFill="1" applyBorder="1" applyAlignment="1">
      <alignment horizontal="right"/>
    </xf>
    <xf numFmtId="166" fontId="184" fillId="0" borderId="0" xfId="52" applyNumberFormat="1" applyFont="1" applyFill="1" applyBorder="1" applyAlignment="1">
      <alignment horizontal="right"/>
    </xf>
    <xf numFmtId="166" fontId="184" fillId="0" borderId="0" xfId="52" applyNumberFormat="1" applyFont="1" applyFill="1" applyBorder="1"/>
    <xf numFmtId="43" fontId="184" fillId="0" borderId="0" xfId="10" applyFont="1" applyFill="1" applyBorder="1" applyAlignment="1">
      <alignment horizontal="right"/>
    </xf>
    <xf numFmtId="177" fontId="184" fillId="0" borderId="0" xfId="10" applyNumberFormat="1" applyFont="1" applyFill="1" applyBorder="1" applyAlignment="1">
      <alignment horizontal="right"/>
    </xf>
    <xf numFmtId="177" fontId="56" fillId="0" borderId="0" xfId="10" applyNumberFormat="1" applyFont="1" applyFill="1" applyBorder="1"/>
    <xf numFmtId="166" fontId="201" fillId="0" borderId="0" xfId="52" applyNumberFormat="1" applyFont="1" applyFill="1" applyBorder="1" applyAlignment="1">
      <alignment horizontal="right"/>
    </xf>
    <xf numFmtId="9" fontId="56" fillId="0" borderId="0" xfId="52" applyFont="1" applyFill="1" applyBorder="1" applyAlignment="1">
      <alignment horizontal="right"/>
    </xf>
    <xf numFmtId="177" fontId="190" fillId="0" borderId="0" xfId="10" applyNumberFormat="1" applyFont="1" applyFill="1" applyBorder="1" applyAlignment="1">
      <alignment horizontal="right"/>
    </xf>
    <xf numFmtId="177" fontId="201" fillId="0" borderId="0" xfId="10" applyNumberFormat="1" applyFont="1" applyFill="1" applyBorder="1" applyAlignment="1">
      <alignment horizontal="right"/>
    </xf>
    <xf numFmtId="177" fontId="188" fillId="0" borderId="0" xfId="10" applyNumberFormat="1" applyFont="1" applyFill="1" applyBorder="1" applyAlignment="1">
      <alignment horizontal="right"/>
    </xf>
    <xf numFmtId="177" fontId="188" fillId="0" borderId="0" xfId="10" applyNumberFormat="1" applyFont="1" applyFill="1" applyBorder="1"/>
    <xf numFmtId="9" fontId="184" fillId="0" borderId="0" xfId="52" applyFont="1" applyFill="1" applyBorder="1" applyAlignment="1">
      <alignment horizontal="right"/>
    </xf>
    <xf numFmtId="177" fontId="201" fillId="0" borderId="0" xfId="10" applyNumberFormat="1" applyFont="1" applyFill="1" applyBorder="1"/>
    <xf numFmtId="166" fontId="184" fillId="0" borderId="235" xfId="52" applyNumberFormat="1" applyFont="1" applyFill="1" applyBorder="1"/>
    <xf numFmtId="177" fontId="187" fillId="0" borderId="0" xfId="10" applyNumberFormat="1" applyFont="1" applyFill="1" applyBorder="1"/>
    <xf numFmtId="181" fontId="56" fillId="0" borderId="0" xfId="67" applyNumberFormat="1" applyFont="1" applyFill="1" applyBorder="1"/>
    <xf numFmtId="166" fontId="214" fillId="0" borderId="0" xfId="52" applyNumberFormat="1" applyFont="1" applyFill="1" applyBorder="1" applyAlignment="1">
      <alignment horizontal="right"/>
    </xf>
    <xf numFmtId="177" fontId="187" fillId="48" borderId="0" xfId="10" applyNumberFormat="1" applyFont="1" applyFill="1" applyBorder="1" applyAlignment="1">
      <alignment horizontal="right"/>
    </xf>
    <xf numFmtId="9" fontId="184" fillId="0" borderId="0" xfId="10" applyNumberFormat="1" applyFont="1" applyFill="1" applyBorder="1" applyAlignment="1">
      <alignment horizontal="right"/>
    </xf>
    <xf numFmtId="9" fontId="56" fillId="0" borderId="0" xfId="10" applyNumberFormat="1" applyFont="1" applyFill="1" applyBorder="1" applyAlignment="1">
      <alignment horizontal="right"/>
    </xf>
    <xf numFmtId="9" fontId="190" fillId="0" borderId="0" xfId="10" applyNumberFormat="1" applyFont="1" applyFill="1" applyBorder="1" applyAlignment="1">
      <alignment horizontal="right"/>
    </xf>
    <xf numFmtId="9" fontId="189" fillId="0" borderId="0" xfId="10" applyNumberFormat="1" applyFont="1" applyFill="1" applyBorder="1" applyAlignment="1">
      <alignment horizontal="right"/>
    </xf>
    <xf numFmtId="165" fontId="202" fillId="0" borderId="0" xfId="42" applyNumberFormat="1" applyFont="1" applyFill="1" applyBorder="1" applyAlignment="1">
      <alignment horizontal="right"/>
    </xf>
    <xf numFmtId="177" fontId="213" fillId="0" borderId="0" xfId="10" applyNumberFormat="1" applyFont="1" applyFill="1" applyBorder="1" applyAlignment="1">
      <alignment horizontal="right"/>
    </xf>
    <xf numFmtId="165" fontId="188" fillId="0" borderId="61" xfId="42" applyNumberFormat="1" applyFont="1" applyFill="1" applyBorder="1" applyAlignment="1">
      <alignment horizontal="right"/>
    </xf>
    <xf numFmtId="166" fontId="184" fillId="0" borderId="61" xfId="52" applyNumberFormat="1" applyFont="1" applyFill="1" applyBorder="1" applyAlignment="1">
      <alignment horizontal="right"/>
    </xf>
    <xf numFmtId="43" fontId="56" fillId="0" borderId="61" xfId="10" applyFont="1" applyFill="1" applyBorder="1" applyAlignment="1">
      <alignment horizontal="right"/>
    </xf>
    <xf numFmtId="9" fontId="56" fillId="0" borderId="61" xfId="10" applyNumberFormat="1" applyFont="1" applyFill="1" applyBorder="1" applyAlignment="1">
      <alignment horizontal="right"/>
    </xf>
    <xf numFmtId="177" fontId="187" fillId="0" borderId="61" xfId="10" applyNumberFormat="1" applyFont="1" applyFill="1" applyBorder="1" applyAlignment="1">
      <alignment horizontal="right"/>
    </xf>
    <xf numFmtId="43" fontId="184" fillId="57" borderId="0" xfId="10" applyFont="1" applyFill="1" applyBorder="1" applyAlignment="1">
      <alignment horizontal="right"/>
    </xf>
    <xf numFmtId="166" fontId="184" fillId="57" borderId="0" xfId="52" applyNumberFormat="1" applyFont="1" applyFill="1" applyBorder="1" applyAlignment="1">
      <alignment horizontal="right"/>
    </xf>
    <xf numFmtId="9" fontId="201" fillId="0" borderId="0" xfId="52" applyFont="1" applyFill="1" applyBorder="1" applyAlignment="1">
      <alignment horizontal="right"/>
    </xf>
    <xf numFmtId="9" fontId="225" fillId="50" borderId="0" xfId="52" applyFont="1" applyFill="1" applyBorder="1"/>
    <xf numFmtId="9" fontId="225" fillId="50" borderId="0" xfId="52" applyFont="1" applyFill="1" applyBorder="1" applyAlignment="1">
      <alignment horizontal="right"/>
    </xf>
    <xf numFmtId="9" fontId="225" fillId="0" borderId="0" xfId="52" applyFont="1" applyBorder="1"/>
    <xf numFmtId="9" fontId="226" fillId="50" borderId="0" xfId="52" applyFont="1" applyFill="1" applyBorder="1"/>
    <xf numFmtId="9" fontId="225" fillId="0" borderId="0" xfId="52" applyFont="1" applyFill="1" applyBorder="1"/>
    <xf numFmtId="9" fontId="17" fillId="0" borderId="0" xfId="52" applyFont="1" applyBorder="1"/>
    <xf numFmtId="9" fontId="17" fillId="0" borderId="0" xfId="52" applyFont="1" applyFill="1" applyBorder="1"/>
    <xf numFmtId="9" fontId="17" fillId="0" borderId="0" xfId="52" applyFont="1" applyFill="1" applyBorder="1" applyAlignment="1">
      <alignment vertical="top"/>
    </xf>
    <xf numFmtId="9" fontId="17" fillId="60" borderId="0" xfId="52" applyFont="1" applyFill="1" applyBorder="1"/>
    <xf numFmtId="9" fontId="225" fillId="0" borderId="0" xfId="52" applyFont="1" applyFill="1" applyBorder="1" applyAlignment="1">
      <alignment horizontal="right"/>
    </xf>
    <xf numFmtId="177" fontId="56" fillId="0" borderId="234" xfId="10" applyNumberFormat="1" applyFont="1" applyFill="1" applyBorder="1" applyAlignment="1">
      <alignment horizontal="right"/>
    </xf>
    <xf numFmtId="177" fontId="56" fillId="0" borderId="235" xfId="10" applyNumberFormat="1" applyFont="1" applyFill="1" applyBorder="1" applyAlignment="1">
      <alignment horizontal="right"/>
    </xf>
    <xf numFmtId="177" fontId="187" fillId="0" borderId="235" xfId="10" applyNumberFormat="1" applyFont="1" applyFill="1" applyBorder="1" applyAlignment="1">
      <alignment horizontal="right"/>
    </xf>
    <xf numFmtId="43" fontId="56" fillId="0" borderId="234" xfId="10" applyFont="1" applyFill="1" applyBorder="1" applyAlignment="1">
      <alignment horizontal="right"/>
    </xf>
    <xf numFmtId="43" fontId="56" fillId="0" borderId="235" xfId="10" applyFont="1" applyFill="1" applyBorder="1" applyAlignment="1">
      <alignment horizontal="right"/>
    </xf>
    <xf numFmtId="166" fontId="184" fillId="0" borderId="102" xfId="52" applyNumberFormat="1" applyFont="1" applyFill="1" applyBorder="1"/>
    <xf numFmtId="166" fontId="184" fillId="51" borderId="0" xfId="52" applyNumberFormat="1" applyFont="1" applyFill="1" applyBorder="1" applyAlignment="1">
      <alignment horizontal="right"/>
    </xf>
    <xf numFmtId="177" fontId="188" fillId="51" borderId="0" xfId="10" applyNumberFormat="1" applyFont="1" applyFill="1" applyBorder="1" applyAlignment="1">
      <alignment horizontal="right"/>
    </xf>
    <xf numFmtId="9" fontId="184" fillId="0" borderId="234" xfId="52" applyFont="1" applyFill="1" applyBorder="1" applyAlignment="1">
      <alignment horizontal="right"/>
    </xf>
    <xf numFmtId="9" fontId="184" fillId="0" borderId="235" xfId="52" applyFont="1" applyFill="1" applyBorder="1" applyAlignment="1">
      <alignment horizontal="right"/>
    </xf>
    <xf numFmtId="43" fontId="184" fillId="0" borderId="235" xfId="10" applyFont="1" applyFill="1" applyBorder="1" applyAlignment="1">
      <alignment horizontal="right"/>
    </xf>
    <xf numFmtId="177" fontId="188" fillId="0" borderId="235" xfId="10" applyNumberFormat="1" applyFont="1" applyFill="1" applyBorder="1" applyAlignment="1">
      <alignment horizontal="right"/>
    </xf>
    <xf numFmtId="165" fontId="188" fillId="0" borderId="235" xfId="42" applyNumberFormat="1" applyFont="1" applyFill="1" applyBorder="1" applyAlignment="1">
      <alignment horizontal="right"/>
    </xf>
    <xf numFmtId="43" fontId="56" fillId="0" borderId="123" xfId="42" applyNumberFormat="1" applyFont="1" applyBorder="1" applyAlignment="1">
      <alignment horizontal="left"/>
    </xf>
    <xf numFmtId="177" fontId="184" fillId="0" borderId="235" xfId="10" applyNumberFormat="1" applyFont="1" applyFill="1" applyBorder="1" applyAlignment="1">
      <alignment horizontal="right"/>
    </xf>
    <xf numFmtId="177" fontId="190" fillId="0" borderId="235" xfId="10" applyNumberFormat="1" applyFont="1" applyFill="1" applyBorder="1" applyAlignment="1">
      <alignment horizontal="right"/>
    </xf>
    <xf numFmtId="43" fontId="188" fillId="0" borderId="123" xfId="42" applyNumberFormat="1" applyFont="1" applyBorder="1" applyAlignment="1">
      <alignment horizontal="left"/>
    </xf>
    <xf numFmtId="177" fontId="56" fillId="51" borderId="0" xfId="10" applyNumberFormat="1" applyFont="1" applyFill="1" applyBorder="1" applyAlignment="1">
      <alignment horizontal="right"/>
    </xf>
    <xf numFmtId="166" fontId="184" fillId="51" borderId="0" xfId="52" applyNumberFormat="1" applyFont="1" applyFill="1" applyBorder="1"/>
    <xf numFmtId="177" fontId="201" fillId="0" borderId="235" xfId="10" applyNumberFormat="1" applyFont="1" applyFill="1" applyBorder="1"/>
    <xf numFmtId="177" fontId="188" fillId="0" borderId="235" xfId="10" applyNumberFormat="1" applyFont="1" applyFill="1" applyBorder="1"/>
    <xf numFmtId="165" fontId="188" fillId="0" borderId="234" xfId="42" applyNumberFormat="1" applyFont="1" applyFill="1" applyBorder="1" applyAlignment="1">
      <alignment horizontal="right"/>
    </xf>
    <xf numFmtId="43" fontId="56" fillId="0" borderId="123" xfId="42" applyNumberFormat="1" applyFont="1" applyBorder="1" applyAlignment="1">
      <alignment horizontal="left" indent="2"/>
    </xf>
    <xf numFmtId="177" fontId="188" fillId="0" borderId="234" xfId="10" applyNumberFormat="1" applyFont="1" applyFill="1" applyBorder="1"/>
    <xf numFmtId="9" fontId="213" fillId="0" borderId="0" xfId="52" applyFont="1" applyFill="1" applyBorder="1" applyAlignment="1">
      <alignment horizontal="right"/>
    </xf>
    <xf numFmtId="43" fontId="188" fillId="0" borderId="123" xfId="10" applyNumberFormat="1" applyFont="1" applyFill="1" applyBorder="1" applyAlignment="1">
      <alignment horizontal="left"/>
    </xf>
    <xf numFmtId="177" fontId="201" fillId="0" borderId="235" xfId="10" applyNumberFormat="1" applyFont="1" applyFill="1" applyBorder="1" applyAlignment="1">
      <alignment horizontal="right"/>
    </xf>
    <xf numFmtId="177" fontId="188" fillId="0" borderId="234" xfId="10" applyNumberFormat="1" applyFont="1" applyFill="1" applyBorder="1" applyAlignment="1">
      <alignment horizontal="right"/>
    </xf>
    <xf numFmtId="9" fontId="56" fillId="0" borderId="235" xfId="10" applyNumberFormat="1" applyFont="1" applyFill="1" applyBorder="1" applyAlignment="1">
      <alignment horizontal="right"/>
    </xf>
    <xf numFmtId="9" fontId="190" fillId="0" borderId="235" xfId="10" applyNumberFormat="1" applyFont="1" applyFill="1" applyBorder="1" applyAlignment="1">
      <alignment horizontal="right"/>
    </xf>
    <xf numFmtId="43" fontId="184" fillId="0" borderId="123" xfId="52" applyNumberFormat="1" applyFont="1" applyBorder="1" applyAlignment="1">
      <alignment horizontal="left" indent="1"/>
    </xf>
    <xf numFmtId="43" fontId="184" fillId="57" borderId="123" xfId="52" applyNumberFormat="1" applyFont="1" applyFill="1" applyBorder="1" applyAlignment="1">
      <alignment horizontal="left" indent="1"/>
    </xf>
    <xf numFmtId="43" fontId="184" fillId="57" borderId="235" xfId="10" applyFont="1" applyFill="1" applyBorder="1" applyAlignment="1">
      <alignment horizontal="right"/>
    </xf>
    <xf numFmtId="43" fontId="184" fillId="57" borderId="234" xfId="10" applyFont="1" applyFill="1" applyBorder="1" applyAlignment="1">
      <alignment horizontal="right"/>
    </xf>
    <xf numFmtId="166" fontId="184" fillId="57" borderId="235" xfId="52" applyNumberFormat="1" applyFont="1" applyFill="1" applyBorder="1" applyAlignment="1">
      <alignment horizontal="right"/>
    </xf>
    <xf numFmtId="43" fontId="184" fillId="0" borderId="123" xfId="10" applyNumberFormat="1" applyFont="1" applyBorder="1" applyAlignment="1">
      <alignment horizontal="left" indent="1"/>
    </xf>
    <xf numFmtId="177" fontId="190" fillId="51" borderId="0" xfId="10" applyNumberFormat="1" applyFont="1" applyFill="1" applyBorder="1" applyAlignment="1">
      <alignment horizontal="right"/>
    </xf>
    <xf numFmtId="177" fontId="187" fillId="51" borderId="0" xfId="10" applyNumberFormat="1" applyFont="1" applyFill="1" applyBorder="1" applyAlignment="1">
      <alignment horizontal="right"/>
    </xf>
    <xf numFmtId="166" fontId="195" fillId="65" borderId="252" xfId="52" applyNumberFormat="1" applyFont="1" applyFill="1" applyBorder="1" applyAlignment="1">
      <alignment horizontal="right"/>
    </xf>
    <xf numFmtId="37" fontId="187" fillId="0" borderId="213" xfId="10" applyNumberFormat="1" applyFont="1" applyBorder="1" applyAlignment="1">
      <alignment horizontal="right"/>
    </xf>
    <xf numFmtId="171" fontId="56" fillId="0" borderId="213" xfId="52" applyNumberFormat="1" applyFont="1" applyBorder="1" applyAlignment="1">
      <alignment horizontal="right"/>
    </xf>
    <xf numFmtId="165" fontId="186" fillId="0" borderId="266" xfId="0" applyNumberFormat="1" applyFont="1" applyFill="1" applyBorder="1" applyAlignment="1">
      <alignment horizontal="right"/>
    </xf>
    <xf numFmtId="43" fontId="187" fillId="0" borderId="267" xfId="10" applyFont="1" applyBorder="1" applyAlignment="1">
      <alignment horizontal="right"/>
    </xf>
    <xf numFmtId="43" fontId="188" fillId="0" borderId="102" xfId="0" applyNumberFormat="1" applyFont="1" applyFill="1" applyBorder="1" applyAlignment="1">
      <alignment horizontal="left"/>
    </xf>
    <xf numFmtId="0" fontId="188" fillId="58" borderId="232" xfId="0" applyFont="1" applyFill="1" applyBorder="1"/>
    <xf numFmtId="37" fontId="188" fillId="58" borderId="139" xfId="0" applyNumberFormat="1" applyFont="1" applyFill="1" applyBorder="1"/>
    <xf numFmtId="37" fontId="188" fillId="58" borderId="232" xfId="0" applyNumberFormat="1" applyFont="1" applyFill="1" applyBorder="1"/>
    <xf numFmtId="37" fontId="188" fillId="0" borderId="212" xfId="0" applyNumberFormat="1" applyFont="1" applyBorder="1"/>
    <xf numFmtId="37" fontId="188" fillId="0" borderId="0" xfId="0" applyNumberFormat="1" applyFont="1" applyBorder="1"/>
    <xf numFmtId="0" fontId="185" fillId="0" borderId="232" xfId="0" applyFont="1" applyBorder="1"/>
    <xf numFmtId="0" fontId="185" fillId="0" borderId="0" xfId="0" applyFont="1" applyFill="1" applyBorder="1"/>
    <xf numFmtId="37" fontId="188" fillId="0" borderId="212" xfId="0" applyNumberFormat="1" applyFont="1" applyFill="1" applyBorder="1"/>
    <xf numFmtId="37" fontId="188" fillId="0" borderId="0" xfId="0" applyNumberFormat="1" applyFont="1" applyFill="1" applyBorder="1" applyAlignment="1">
      <alignment horizontal="right"/>
    </xf>
    <xf numFmtId="37" fontId="188" fillId="0" borderId="0" xfId="0" applyNumberFormat="1" applyFont="1" applyFill="1" applyBorder="1"/>
    <xf numFmtId="37" fontId="202" fillId="0" borderId="212" xfId="0" applyNumberFormat="1" applyFont="1" applyBorder="1"/>
    <xf numFmtId="37" fontId="202" fillId="0" borderId="0" xfId="0" applyNumberFormat="1" applyFont="1" applyBorder="1"/>
    <xf numFmtId="37" fontId="207" fillId="0" borderId="0" xfId="0" applyNumberFormat="1" applyFont="1" applyBorder="1"/>
    <xf numFmtId="0" fontId="188" fillId="0" borderId="213" xfId="0" applyFont="1" applyFill="1" applyBorder="1"/>
    <xf numFmtId="37" fontId="202" fillId="0" borderId="140" xfId="0" applyNumberFormat="1" applyFont="1" applyFill="1" applyBorder="1"/>
    <xf numFmtId="37" fontId="188" fillId="0" borderId="213" xfId="0" applyNumberFormat="1" applyFont="1" applyFill="1" applyBorder="1" applyAlignment="1">
      <alignment horizontal="right"/>
    </xf>
    <xf numFmtId="37" fontId="202" fillId="0" borderId="213" xfId="0" applyNumberFormat="1" applyFont="1" applyFill="1" applyBorder="1"/>
    <xf numFmtId="37" fontId="188" fillId="0" borderId="140" xfId="0" applyNumberFormat="1" applyFont="1" applyFill="1" applyBorder="1"/>
    <xf numFmtId="37" fontId="188" fillId="0" borderId="213" xfId="0" applyNumberFormat="1" applyFont="1" applyFill="1" applyBorder="1"/>
    <xf numFmtId="165" fontId="202" fillId="0" borderId="212" xfId="0" applyNumberFormat="1" applyFont="1" applyBorder="1"/>
    <xf numFmtId="0" fontId="188" fillId="58" borderId="0" xfId="0" applyFont="1" applyFill="1" applyBorder="1"/>
    <xf numFmtId="9" fontId="201" fillId="0" borderId="212" xfId="52" applyFont="1" applyBorder="1"/>
    <xf numFmtId="9" fontId="201" fillId="0" borderId="0" xfId="52" applyFont="1" applyBorder="1"/>
    <xf numFmtId="9" fontId="206" fillId="0" borderId="139" xfId="52" applyFont="1" applyBorder="1"/>
    <xf numFmtId="9" fontId="206" fillId="0" borderId="232" xfId="52" applyFont="1" applyBorder="1"/>
    <xf numFmtId="0" fontId="188" fillId="0" borderId="208" xfId="0" applyFont="1" applyFill="1" applyBorder="1"/>
    <xf numFmtId="9" fontId="201" fillId="0" borderId="5" xfId="52" applyFont="1" applyFill="1" applyBorder="1"/>
    <xf numFmtId="9" fontId="201" fillId="0" borderId="208" xfId="52" applyFont="1" applyFill="1" applyBorder="1"/>
    <xf numFmtId="9" fontId="201" fillId="0" borderId="208" xfId="52" applyFont="1" applyFill="1" applyBorder="1" applyAlignment="1">
      <alignment horizontal="right"/>
    </xf>
    <xf numFmtId="9" fontId="206" fillId="0" borderId="232" xfId="52" applyFont="1" applyBorder="1" applyAlignment="1">
      <alignment horizontal="right"/>
    </xf>
    <xf numFmtId="9" fontId="201" fillId="0" borderId="0" xfId="52" applyFont="1" applyBorder="1" applyAlignment="1">
      <alignment horizontal="right"/>
    </xf>
    <xf numFmtId="9" fontId="201" fillId="0" borderId="140" xfId="52" applyFont="1" applyFill="1" applyBorder="1"/>
    <xf numFmtId="9" fontId="201" fillId="0" borderId="213" xfId="52" applyFont="1" applyFill="1" applyBorder="1"/>
    <xf numFmtId="9" fontId="201" fillId="0" borderId="213" xfId="52" applyFont="1" applyFill="1" applyBorder="1" applyAlignment="1">
      <alignment horizontal="right"/>
    </xf>
    <xf numFmtId="9" fontId="201" fillId="0" borderId="212" xfId="52" applyFont="1" applyFill="1" applyBorder="1"/>
    <xf numFmtId="0" fontId="185" fillId="0" borderId="208" xfId="0" applyFont="1" applyFill="1" applyBorder="1"/>
    <xf numFmtId="9" fontId="206" fillId="0" borderId="5" xfId="52" applyFont="1" applyFill="1" applyBorder="1"/>
    <xf numFmtId="9" fontId="206" fillId="0" borderId="208" xfId="52" applyFont="1" applyFill="1" applyBorder="1"/>
    <xf numFmtId="9" fontId="206" fillId="0" borderId="208" xfId="52" applyFont="1" applyFill="1" applyBorder="1" applyAlignment="1">
      <alignment horizontal="right"/>
    </xf>
    <xf numFmtId="9" fontId="188" fillId="0" borderId="212" xfId="52" applyFont="1" applyFill="1" applyBorder="1"/>
    <xf numFmtId="9" fontId="188" fillId="0" borderId="0" xfId="52" applyFont="1" applyFill="1" applyBorder="1" applyAlignment="1">
      <alignment horizontal="right"/>
    </xf>
    <xf numFmtId="9" fontId="188" fillId="0" borderId="0" xfId="52" applyFont="1" applyFill="1" applyBorder="1"/>
    <xf numFmtId="166" fontId="188" fillId="0" borderId="212" xfId="52" applyNumberFormat="1" applyFont="1" applyFill="1" applyBorder="1"/>
    <xf numFmtId="166" fontId="242" fillId="0" borderId="0" xfId="52" applyNumberFormat="1" applyFont="1" applyFill="1" applyBorder="1"/>
    <xf numFmtId="166" fontId="242" fillId="0" borderId="212" xfId="52" applyNumberFormat="1" applyFont="1" applyFill="1" applyBorder="1"/>
    <xf numFmtId="0" fontId="188" fillId="51" borderId="0" xfId="0" applyFont="1" applyFill="1" applyBorder="1"/>
    <xf numFmtId="9" fontId="188" fillId="51" borderId="212" xfId="52" applyFont="1" applyFill="1" applyBorder="1"/>
    <xf numFmtId="9" fontId="188" fillId="51" borderId="0" xfId="52" applyFont="1" applyFill="1" applyBorder="1" applyAlignment="1">
      <alignment horizontal="right"/>
    </xf>
    <xf numFmtId="38" fontId="188" fillId="51" borderId="212" xfId="52" applyNumberFormat="1" applyFont="1" applyFill="1" applyBorder="1"/>
    <xf numFmtId="38" fontId="188" fillId="51" borderId="0" xfId="52" applyNumberFormat="1" applyFont="1" applyFill="1" applyBorder="1" applyAlignment="1">
      <alignment horizontal="right"/>
    </xf>
    <xf numFmtId="38" fontId="188" fillId="51" borderId="0" xfId="52" applyNumberFormat="1" applyFont="1" applyFill="1" applyBorder="1"/>
    <xf numFmtId="0" fontId="188" fillId="51" borderId="213" xfId="0" applyFont="1" applyFill="1" applyBorder="1"/>
    <xf numFmtId="9" fontId="188" fillId="51" borderId="140" xfId="52" applyFont="1" applyFill="1" applyBorder="1"/>
    <xf numFmtId="9" fontId="188" fillId="51" borderId="213" xfId="52" applyFont="1" applyFill="1" applyBorder="1" applyAlignment="1">
      <alignment horizontal="right"/>
    </xf>
    <xf numFmtId="38" fontId="188" fillId="51" borderId="140" xfId="52" applyNumberFormat="1" applyFont="1" applyFill="1" applyBorder="1"/>
    <xf numFmtId="38" fontId="188" fillId="51" borderId="213" xfId="52" applyNumberFormat="1" applyFont="1" applyFill="1" applyBorder="1" applyAlignment="1">
      <alignment horizontal="right"/>
    </xf>
    <xf numFmtId="38" fontId="188" fillId="51" borderId="213" xfId="52" applyNumberFormat="1" applyFont="1" applyFill="1" applyBorder="1"/>
    <xf numFmtId="0" fontId="188" fillId="0" borderId="232" xfId="0" applyFont="1" applyFill="1" applyBorder="1"/>
    <xf numFmtId="9" fontId="188" fillId="0" borderId="139" xfId="52" applyFont="1" applyFill="1" applyBorder="1"/>
    <xf numFmtId="9" fontId="188" fillId="0" borderId="232" xfId="52" applyFont="1" applyFill="1" applyBorder="1" applyAlignment="1">
      <alignment horizontal="right"/>
    </xf>
    <xf numFmtId="9" fontId="188" fillId="0" borderId="232" xfId="52" applyFont="1" applyFill="1" applyBorder="1"/>
    <xf numFmtId="166" fontId="188" fillId="0" borderId="139" xfId="52" applyNumberFormat="1" applyFont="1" applyFill="1" applyBorder="1"/>
    <xf numFmtId="166" fontId="188" fillId="0" borderId="232" xfId="52" applyNumberFormat="1" applyFont="1" applyFill="1" applyBorder="1"/>
    <xf numFmtId="0" fontId="188" fillId="0" borderId="213" xfId="0" applyFont="1" applyBorder="1"/>
    <xf numFmtId="9" fontId="188" fillId="0" borderId="140" xfId="52" applyFont="1" applyBorder="1"/>
    <xf numFmtId="9" fontId="188" fillId="0" borderId="213" xfId="52" applyFont="1" applyBorder="1" applyAlignment="1">
      <alignment horizontal="right"/>
    </xf>
    <xf numFmtId="9" fontId="188" fillId="0" borderId="213" xfId="52" applyFont="1" applyBorder="1"/>
    <xf numFmtId="166" fontId="188" fillId="0" borderId="140" xfId="52" applyNumberFormat="1" applyFont="1" applyBorder="1"/>
    <xf numFmtId="166" fontId="188" fillId="0" borderId="213" xfId="52" applyNumberFormat="1" applyFont="1" applyBorder="1"/>
    <xf numFmtId="166" fontId="188" fillId="0" borderId="213" xfId="52" applyNumberFormat="1" applyFont="1" applyFill="1" applyBorder="1"/>
    <xf numFmtId="166" fontId="188" fillId="0" borderId="140" xfId="52" applyNumberFormat="1" applyFont="1" applyFill="1" applyBorder="1"/>
    <xf numFmtId="37" fontId="202" fillId="0" borderId="106" xfId="0" applyNumberFormat="1" applyFont="1" applyBorder="1"/>
    <xf numFmtId="37" fontId="188" fillId="0" borderId="106" xfId="0" applyNumberFormat="1" applyFont="1" applyBorder="1"/>
    <xf numFmtId="37" fontId="202" fillId="0" borderId="0" xfId="0" applyNumberFormat="1" applyFont="1" applyFill="1" applyBorder="1"/>
    <xf numFmtId="37" fontId="188" fillId="0" borderId="106" xfId="0" applyNumberFormat="1" applyFont="1" applyFill="1" applyBorder="1"/>
    <xf numFmtId="37" fontId="202" fillId="0" borderId="106" xfId="0" applyNumberFormat="1" applyFont="1" applyFill="1" applyBorder="1"/>
    <xf numFmtId="0" fontId="188" fillId="0" borderId="102" xfId="0" applyFont="1" applyBorder="1"/>
    <xf numFmtId="0" fontId="188" fillId="60" borderId="0" xfId="0" applyFont="1" applyFill="1" applyBorder="1"/>
    <xf numFmtId="0" fontId="188" fillId="60" borderId="106" xfId="0" applyFont="1" applyFill="1" applyBorder="1"/>
    <xf numFmtId="9" fontId="201" fillId="0" borderId="106" xfId="52" applyFont="1" applyFill="1" applyBorder="1"/>
    <xf numFmtId="9" fontId="201" fillId="0" borderId="0" xfId="52" applyFont="1" applyFill="1" applyBorder="1"/>
    <xf numFmtId="9" fontId="201" fillId="0" borderId="106" xfId="52" applyFont="1" applyBorder="1"/>
    <xf numFmtId="9" fontId="201" fillId="0" borderId="106" xfId="52" applyFont="1" applyBorder="1" applyAlignment="1">
      <alignment horizontal="right"/>
    </xf>
    <xf numFmtId="0" fontId="185" fillId="0" borderId="0" xfId="0" applyFont="1" applyBorder="1" applyAlignment="1">
      <alignment vertical="top"/>
    </xf>
    <xf numFmtId="9" fontId="206" fillId="0" borderId="106" xfId="52" applyFont="1" applyBorder="1" applyAlignment="1">
      <alignment vertical="top"/>
    </xf>
    <xf numFmtId="9" fontId="206" fillId="0" borderId="0" xfId="52" applyFont="1" applyBorder="1" applyAlignment="1">
      <alignment vertical="top"/>
    </xf>
    <xf numFmtId="9" fontId="206" fillId="0" borderId="106" xfId="52" applyFont="1" applyBorder="1" applyAlignment="1">
      <alignment horizontal="right" vertical="top"/>
    </xf>
    <xf numFmtId="9" fontId="206" fillId="0" borderId="0" xfId="52" applyFont="1" applyBorder="1" applyAlignment="1">
      <alignment horizontal="right" vertical="top"/>
    </xf>
    <xf numFmtId="9" fontId="201" fillId="60" borderId="106" xfId="52" applyFont="1" applyFill="1" applyBorder="1"/>
    <xf numFmtId="9" fontId="201" fillId="60" borderId="0" xfId="52" applyFont="1" applyFill="1" applyBorder="1"/>
    <xf numFmtId="9" fontId="201" fillId="0" borderId="0" xfId="52" applyFont="1" applyFill="1" applyBorder="1" applyAlignment="1">
      <alignment horizontal="right" vertical="top"/>
    </xf>
    <xf numFmtId="9" fontId="201" fillId="0" borderId="106" xfId="52" applyFont="1" applyFill="1" applyBorder="1" applyAlignment="1">
      <alignment horizontal="right" vertical="top"/>
    </xf>
    <xf numFmtId="9" fontId="188" fillId="60" borderId="106" xfId="52" applyFont="1" applyFill="1" applyBorder="1"/>
    <xf numFmtId="9" fontId="188" fillId="60" borderId="0" xfId="52" applyFont="1" applyFill="1" applyBorder="1"/>
    <xf numFmtId="9" fontId="188" fillId="0" borderId="106" xfId="52" applyFont="1" applyFill="1" applyBorder="1"/>
    <xf numFmtId="9" fontId="188" fillId="0" borderId="106" xfId="52" applyFont="1" applyFill="1" applyBorder="1" applyAlignment="1">
      <alignment vertical="top"/>
    </xf>
    <xf numFmtId="9" fontId="188" fillId="0" borderId="0" xfId="52" applyFont="1" applyFill="1" applyBorder="1" applyAlignment="1">
      <alignment horizontal="right" vertical="top"/>
    </xf>
    <xf numFmtId="9" fontId="188" fillId="0" borderId="0" xfId="52" applyFont="1" applyFill="1" applyBorder="1" applyAlignment="1">
      <alignment vertical="top"/>
    </xf>
    <xf numFmtId="9" fontId="188" fillId="0" borderId="106" xfId="52" applyFont="1" applyBorder="1"/>
    <xf numFmtId="9" fontId="188" fillId="0" borderId="0" xfId="52" applyFont="1" applyBorder="1" applyAlignment="1">
      <alignment horizontal="right"/>
    </xf>
    <xf numFmtId="9" fontId="188" fillId="0" borderId="0" xfId="52" applyFont="1" applyBorder="1"/>
    <xf numFmtId="0" fontId="188" fillId="0" borderId="143" xfId="0" applyFont="1" applyBorder="1"/>
    <xf numFmtId="37" fontId="188" fillId="0" borderId="139" xfId="0" applyNumberFormat="1" applyFont="1" applyBorder="1"/>
    <xf numFmtId="37" fontId="188" fillId="0" borderId="143" xfId="0" applyNumberFormat="1" applyFont="1" applyBorder="1"/>
    <xf numFmtId="37" fontId="188" fillId="0" borderId="52" xfId="0" applyNumberFormat="1" applyFont="1" applyBorder="1"/>
    <xf numFmtId="37" fontId="207" fillId="0" borderId="0" xfId="0" applyNumberFormat="1" applyFont="1" applyFill="1" applyBorder="1"/>
    <xf numFmtId="37" fontId="242" fillId="0" borderId="0" xfId="0" applyNumberFormat="1" applyFont="1" applyFill="1" applyBorder="1"/>
    <xf numFmtId="37" fontId="242" fillId="0" borderId="106" xfId="0" applyNumberFormat="1" applyFont="1" applyBorder="1"/>
    <xf numFmtId="0" fontId="188" fillId="0" borderId="141" xfId="0" applyFont="1" applyFill="1" applyBorder="1"/>
    <xf numFmtId="0" fontId="188" fillId="0" borderId="102" xfId="0" applyFont="1" applyFill="1" applyBorder="1"/>
    <xf numFmtId="37" fontId="188" fillId="0" borderId="141" xfId="0" applyNumberFormat="1" applyFont="1" applyFill="1" applyBorder="1"/>
    <xf numFmtId="37" fontId="202" fillId="0" borderId="141" xfId="0" applyNumberFormat="1" applyFont="1" applyFill="1" applyBorder="1"/>
    <xf numFmtId="37" fontId="207" fillId="0" borderId="141" xfId="0" applyNumberFormat="1" applyFont="1" applyFill="1" applyBorder="1"/>
    <xf numFmtId="37" fontId="188" fillId="0" borderId="135" xfId="0" applyNumberFormat="1" applyFont="1" applyFill="1" applyBorder="1"/>
    <xf numFmtId="43" fontId="188" fillId="0" borderId="0" xfId="0" applyNumberFormat="1" applyFont="1"/>
    <xf numFmtId="37" fontId="188" fillId="0" borderId="0" xfId="0" applyNumberFormat="1" applyFont="1"/>
    <xf numFmtId="0" fontId="188" fillId="58" borderId="143" xfId="0" applyFont="1" applyFill="1" applyBorder="1"/>
    <xf numFmtId="37" fontId="188" fillId="58" borderId="143" xfId="0" applyNumberFormat="1" applyFont="1" applyFill="1" applyBorder="1"/>
    <xf numFmtId="37" fontId="188" fillId="58" borderId="52" xfId="0" applyNumberFormat="1" applyFont="1" applyFill="1" applyBorder="1"/>
    <xf numFmtId="0" fontId="188" fillId="0" borderId="213" xfId="0" applyFont="1" applyBorder="1" applyAlignment="1">
      <alignment vertical="top"/>
    </xf>
    <xf numFmtId="37" fontId="188" fillId="0" borderId="140" xfId="0" applyNumberFormat="1" applyFont="1" applyBorder="1" applyAlignment="1">
      <alignment vertical="top"/>
    </xf>
    <xf numFmtId="37" fontId="188" fillId="0" borderId="213" xfId="0" applyNumberFormat="1" applyFont="1" applyBorder="1" applyAlignment="1">
      <alignment horizontal="right" vertical="top"/>
    </xf>
    <xf numFmtId="37" fontId="188" fillId="0" borderId="213" xfId="0" applyNumberFormat="1" applyFont="1" applyBorder="1" applyAlignment="1">
      <alignment vertical="top"/>
    </xf>
    <xf numFmtId="0" fontId="250" fillId="0" borderId="0" xfId="0" applyFont="1" applyFill="1" applyBorder="1"/>
    <xf numFmtId="9" fontId="250" fillId="0" borderId="106" xfId="52" applyFont="1" applyFill="1" applyBorder="1"/>
    <xf numFmtId="9" fontId="250" fillId="0" borderId="0" xfId="52" applyFont="1" applyFill="1" applyBorder="1"/>
    <xf numFmtId="37" fontId="188" fillId="58" borderId="106" xfId="0" applyNumberFormat="1" applyFont="1" applyFill="1" applyBorder="1"/>
    <xf numFmtId="37" fontId="188" fillId="58" borderId="0" xfId="0" applyNumberFormat="1" applyFont="1" applyFill="1" applyBorder="1"/>
    <xf numFmtId="9" fontId="188" fillId="51" borderId="106" xfId="52" applyFont="1" applyFill="1" applyBorder="1"/>
    <xf numFmtId="38" fontId="188" fillId="51" borderId="106" xfId="52" applyNumberFormat="1" applyFont="1" applyFill="1" applyBorder="1"/>
    <xf numFmtId="0" fontId="188" fillId="0" borderId="141" xfId="0" applyFont="1" applyBorder="1"/>
    <xf numFmtId="9" fontId="188" fillId="0" borderId="141" xfId="52" applyFont="1" applyBorder="1" applyAlignment="1">
      <alignment horizontal="right"/>
    </xf>
    <xf numFmtId="9" fontId="188" fillId="0" borderId="141" xfId="52" applyFont="1" applyBorder="1"/>
    <xf numFmtId="9" fontId="188" fillId="0" borderId="135" xfId="52" applyFont="1" applyBorder="1"/>
    <xf numFmtId="177" fontId="56" fillId="48" borderId="53" xfId="10" applyNumberFormat="1" applyFont="1" applyFill="1" applyBorder="1" applyAlignment="1">
      <alignment horizontal="right"/>
    </xf>
    <xf numFmtId="166" fontId="195" fillId="0" borderId="64" xfId="52" applyNumberFormat="1" applyFont="1" applyFill="1" applyBorder="1" applyAlignment="1">
      <alignment horizontal="right"/>
    </xf>
    <xf numFmtId="0" fontId="56" fillId="0" borderId="235" xfId="0" applyFont="1" applyFill="1" applyBorder="1" applyAlignment="1">
      <alignment horizontal="right"/>
    </xf>
    <xf numFmtId="43" fontId="56" fillId="0" borderId="235" xfId="10" applyFont="1" applyBorder="1" applyAlignment="1">
      <alignment horizontal="right"/>
    </xf>
    <xf numFmtId="166" fontId="56" fillId="0" borderId="235" xfId="52" applyNumberFormat="1" applyFont="1" applyFill="1" applyBorder="1" applyAlignment="1">
      <alignment horizontal="right"/>
    </xf>
    <xf numFmtId="10" fontId="56" fillId="0" borderId="65" xfId="52" applyNumberFormat="1" applyFont="1" applyFill="1" applyBorder="1" applyAlignment="1">
      <alignment horizontal="right"/>
    </xf>
    <xf numFmtId="167" fontId="56" fillId="0" borderId="126" xfId="52" applyNumberFormat="1" applyFont="1" applyFill="1" applyBorder="1" applyAlignment="1">
      <alignment horizontal="right"/>
    </xf>
    <xf numFmtId="167" fontId="56" fillId="0" borderId="0" xfId="52" applyNumberFormat="1" applyFont="1" applyFill="1" applyBorder="1" applyAlignment="1">
      <alignment horizontal="right"/>
    </xf>
    <xf numFmtId="167" fontId="56" fillId="0" borderId="157" xfId="52" applyNumberFormat="1" applyFont="1" applyFill="1" applyBorder="1" applyAlignment="1">
      <alignment horizontal="right"/>
    </xf>
    <xf numFmtId="43" fontId="187" fillId="0" borderId="118" xfId="10" applyFont="1" applyFill="1" applyBorder="1" applyAlignment="1">
      <alignment horizontal="right"/>
    </xf>
    <xf numFmtId="43" fontId="186" fillId="0" borderId="255" xfId="39" applyNumberFormat="1" applyFont="1" applyBorder="1" applyAlignment="1">
      <alignment horizontal="left"/>
    </xf>
    <xf numFmtId="165" fontId="186" fillId="0" borderId="266" xfId="46" applyNumberFormat="1" applyFont="1" applyBorder="1"/>
    <xf numFmtId="165" fontId="186" fillId="0" borderId="256" xfId="0" applyNumberFormat="1" applyFont="1" applyBorder="1" applyAlignment="1">
      <alignment horizontal="right"/>
    </xf>
    <xf numFmtId="165" fontId="186" fillId="0" borderId="252" xfId="46" applyNumberFormat="1" applyFont="1" applyBorder="1"/>
    <xf numFmtId="165" fontId="186" fillId="0" borderId="252" xfId="0" applyNumberFormat="1" applyFont="1" applyBorder="1"/>
    <xf numFmtId="165" fontId="186" fillId="0" borderId="266" xfId="0" applyNumberFormat="1" applyFont="1" applyBorder="1"/>
    <xf numFmtId="165" fontId="241" fillId="0" borderId="252" xfId="0" applyNumberFormat="1" applyFont="1" applyBorder="1"/>
    <xf numFmtId="165" fontId="241" fillId="0" borderId="266" xfId="0" applyNumberFormat="1" applyFont="1" applyBorder="1"/>
    <xf numFmtId="165" fontId="186" fillId="0" borderId="252" xfId="0" applyNumberFormat="1" applyFont="1" applyBorder="1" applyAlignment="1">
      <alignment horizontal="right"/>
    </xf>
    <xf numFmtId="165" fontId="186" fillId="0" borderId="266" xfId="0" applyNumberFormat="1" applyFont="1" applyBorder="1" applyAlignment="1">
      <alignment horizontal="right"/>
    </xf>
    <xf numFmtId="165" fontId="186" fillId="0" borderId="255" xfId="0" applyNumberFormat="1" applyFont="1" applyBorder="1" applyAlignment="1">
      <alignment horizontal="right"/>
    </xf>
    <xf numFmtId="165" fontId="186" fillId="0" borderId="254" xfId="0" applyNumberFormat="1" applyFont="1" applyBorder="1" applyAlignment="1">
      <alignment horizontal="right"/>
    </xf>
    <xf numFmtId="43" fontId="186" fillId="0" borderId="257" xfId="39" applyNumberFormat="1" applyFont="1" applyBorder="1" applyAlignment="1">
      <alignment horizontal="left"/>
    </xf>
    <xf numFmtId="165" fontId="186" fillId="0" borderId="213" xfId="46" applyNumberFormat="1" applyFont="1" applyBorder="1"/>
    <xf numFmtId="165" fontId="186" fillId="0" borderId="190" xfId="46" applyNumberFormat="1" applyFont="1" applyBorder="1"/>
    <xf numFmtId="165" fontId="186" fillId="0" borderId="172" xfId="46" applyNumberFormat="1" applyFont="1" applyBorder="1"/>
    <xf numFmtId="165" fontId="186" fillId="0" borderId="172" xfId="0" applyNumberFormat="1" applyFont="1" applyBorder="1"/>
    <xf numFmtId="165" fontId="186" fillId="0" borderId="213" xfId="0" applyNumberFormat="1" applyFont="1" applyBorder="1"/>
    <xf numFmtId="165" fontId="186" fillId="0" borderId="190" xfId="0" applyNumberFormat="1" applyFont="1" applyBorder="1"/>
    <xf numFmtId="165" fontId="241" fillId="0" borderId="172" xfId="0" applyNumberFormat="1" applyFont="1" applyBorder="1"/>
    <xf numFmtId="165" fontId="241" fillId="0" borderId="213" xfId="0" applyNumberFormat="1" applyFont="1" applyBorder="1"/>
    <xf numFmtId="165" fontId="186" fillId="0" borderId="190" xfId="0" applyNumberFormat="1" applyFont="1" applyBorder="1" applyAlignment="1">
      <alignment horizontal="right"/>
    </xf>
    <xf numFmtId="165" fontId="186" fillId="0" borderId="172" xfId="0" applyNumberFormat="1" applyFont="1" applyBorder="1" applyAlignment="1">
      <alignment horizontal="right"/>
    </xf>
    <xf numFmtId="165" fontId="186" fillId="0" borderId="213" xfId="0" applyNumberFormat="1" applyFont="1" applyBorder="1" applyAlignment="1">
      <alignment horizontal="right"/>
    </xf>
    <xf numFmtId="165" fontId="186" fillId="0" borderId="148" xfId="0" applyNumberFormat="1" applyFont="1" applyBorder="1" applyAlignment="1">
      <alignment horizontal="right"/>
    </xf>
    <xf numFmtId="165" fontId="186" fillId="0" borderId="268" xfId="0" applyNumberFormat="1" applyFont="1" applyBorder="1" applyAlignment="1">
      <alignment horizontal="right"/>
    </xf>
    <xf numFmtId="165" fontId="186" fillId="0" borderId="176" xfId="0" applyNumberFormat="1" applyFont="1" applyBorder="1" applyAlignment="1">
      <alignment horizontal="right"/>
    </xf>
    <xf numFmtId="165" fontId="218" fillId="0" borderId="268" xfId="0" applyNumberFormat="1" applyFont="1" applyBorder="1" applyAlignment="1">
      <alignment horizontal="right"/>
    </xf>
    <xf numFmtId="165" fontId="218" fillId="0" borderId="213" xfId="0" applyNumberFormat="1" applyFont="1" applyBorder="1" applyAlignment="1">
      <alignment horizontal="right"/>
    </xf>
    <xf numFmtId="166" fontId="237" fillId="0" borderId="0" xfId="52" applyNumberFormat="1" applyFont="1" applyBorder="1" applyAlignment="1">
      <alignment horizontal="right"/>
    </xf>
    <xf numFmtId="166" fontId="195" fillId="0" borderId="157" xfId="52" applyNumberFormat="1" applyFont="1" applyBorder="1" applyAlignment="1">
      <alignment horizontal="right"/>
    </xf>
    <xf numFmtId="166" fontId="195" fillId="0" borderId="157" xfId="52" applyNumberFormat="1" applyFont="1" applyFill="1" applyBorder="1" applyAlignment="1">
      <alignment horizontal="right"/>
    </xf>
    <xf numFmtId="166" fontId="195" fillId="0" borderId="0" xfId="10" applyNumberFormat="1" applyFont="1" applyBorder="1" applyAlignment="1">
      <alignment horizontal="right"/>
    </xf>
    <xf numFmtId="166" fontId="195" fillId="51" borderId="0" xfId="10" applyNumberFormat="1" applyFont="1" applyFill="1" applyBorder="1" applyAlignment="1">
      <alignment horizontal="right"/>
    </xf>
    <xf numFmtId="166" fontId="195" fillId="0" borderId="106" xfId="52" applyNumberFormat="1" applyFont="1" applyBorder="1" applyAlignment="1">
      <alignment horizontal="right"/>
    </xf>
    <xf numFmtId="165" fontId="56" fillId="0" borderId="92" xfId="10" applyNumberFormat="1" applyFont="1" applyFill="1" applyBorder="1" applyAlignment="1">
      <alignment horizontal="right"/>
    </xf>
    <xf numFmtId="165" fontId="56" fillId="0" borderId="234" xfId="0" applyNumberFormat="1" applyFont="1" applyFill="1" applyBorder="1" applyAlignment="1">
      <alignment horizontal="right"/>
    </xf>
    <xf numFmtId="165" fontId="56" fillId="0" borderId="235" xfId="0" applyNumberFormat="1" applyFont="1" applyFill="1" applyBorder="1" applyAlignment="1">
      <alignment horizontal="right"/>
    </xf>
    <xf numFmtId="165" fontId="56" fillId="0" borderId="237" xfId="0" applyNumberFormat="1" applyFont="1" applyFill="1" applyBorder="1" applyAlignment="1">
      <alignment horizontal="right"/>
    </xf>
    <xf numFmtId="165" fontId="187" fillId="0" borderId="236" xfId="0" applyNumberFormat="1" applyFont="1" applyFill="1" applyBorder="1" applyAlignment="1">
      <alignment horizontal="right"/>
    </xf>
    <xf numFmtId="165" fontId="187" fillId="0" borderId="237" xfId="0" applyNumberFormat="1" applyFont="1" applyFill="1" applyBorder="1" applyAlignment="1">
      <alignment horizontal="right"/>
    </xf>
    <xf numFmtId="165" fontId="189" fillId="0" borderId="237" xfId="0" applyNumberFormat="1" applyFont="1" applyFill="1" applyBorder="1" applyAlignment="1">
      <alignment horizontal="right"/>
    </xf>
    <xf numFmtId="193" fontId="187" fillId="0" borderId="53" xfId="46" applyNumberFormat="1" applyFont="1" applyFill="1" applyBorder="1" applyAlignment="1">
      <alignment horizontal="right"/>
    </xf>
    <xf numFmtId="9" fontId="201" fillId="0" borderId="212" xfId="52" applyFont="1" applyBorder="1" applyAlignment="1">
      <alignment horizontal="right"/>
    </xf>
    <xf numFmtId="9" fontId="206" fillId="0" borderId="139" xfId="52" applyFont="1" applyBorder="1" applyAlignment="1">
      <alignment horizontal="right"/>
    </xf>
    <xf numFmtId="9" fontId="201" fillId="0" borderId="5" xfId="52" applyFont="1" applyFill="1" applyBorder="1" applyAlignment="1">
      <alignment horizontal="right"/>
    </xf>
    <xf numFmtId="9" fontId="201" fillId="0" borderId="140" xfId="52" applyFont="1" applyFill="1" applyBorder="1" applyAlignment="1">
      <alignment horizontal="right"/>
    </xf>
    <xf numFmtId="9" fontId="201" fillId="0" borderId="212" xfId="52" applyFont="1" applyFill="1" applyBorder="1" applyAlignment="1">
      <alignment horizontal="right"/>
    </xf>
    <xf numFmtId="38" fontId="56" fillId="0" borderId="106" xfId="0" applyNumberFormat="1" applyFont="1" applyFill="1" applyBorder="1" applyAlignment="1">
      <alignment horizontal="right"/>
    </xf>
    <xf numFmtId="38" fontId="56" fillId="0" borderId="0" xfId="0" applyNumberFormat="1" applyFont="1" applyFill="1" applyBorder="1" applyAlignment="1">
      <alignment horizontal="right"/>
    </xf>
    <xf numFmtId="38" fontId="56" fillId="0" borderId="126" xfId="0" applyNumberFormat="1" applyFont="1" applyFill="1" applyBorder="1" applyAlignment="1">
      <alignment horizontal="right"/>
    </xf>
    <xf numFmtId="38" fontId="56" fillId="0" borderId="22" xfId="0" applyNumberFormat="1" applyFont="1" applyFill="1" applyBorder="1" applyAlignment="1">
      <alignment horizontal="right"/>
    </xf>
    <xf numFmtId="38" fontId="56" fillId="0" borderId="160" xfId="0" applyNumberFormat="1" applyFont="1" applyFill="1" applyBorder="1" applyAlignment="1">
      <alignment horizontal="right"/>
    </xf>
    <xf numFmtId="166" fontId="206" fillId="0" borderId="0" xfId="52" applyNumberFormat="1" applyFont="1" applyFill="1" applyBorder="1" applyAlignment="1">
      <alignment horizontal="right"/>
    </xf>
    <xf numFmtId="166" fontId="184" fillId="0" borderId="273" xfId="52" applyNumberFormat="1" applyFont="1" applyFill="1" applyBorder="1" applyAlignment="1">
      <alignment horizontal="right"/>
    </xf>
    <xf numFmtId="0" fontId="185" fillId="0" borderId="273" xfId="0" applyFont="1" applyFill="1" applyBorder="1" applyAlignment="1">
      <alignment horizontal="center"/>
    </xf>
    <xf numFmtId="165" fontId="185" fillId="0" borderId="235" xfId="42" applyNumberFormat="1" applyFont="1" applyFill="1" applyBorder="1" applyAlignment="1">
      <alignment horizontal="right"/>
    </xf>
    <xf numFmtId="165" fontId="236" fillId="0" borderId="106" xfId="42" applyNumberFormat="1" applyFont="1" applyBorder="1" applyAlignment="1">
      <alignment horizontal="right"/>
    </xf>
    <xf numFmtId="166" fontId="56" fillId="0" borderId="235" xfId="52" applyNumberFormat="1" applyFont="1" applyBorder="1" applyAlignment="1">
      <alignment horizontal="right"/>
    </xf>
    <xf numFmtId="166" fontId="56" fillId="0" borderId="234" xfId="52" applyNumberFormat="1" applyFont="1" applyBorder="1" applyAlignment="1">
      <alignment horizontal="right"/>
    </xf>
    <xf numFmtId="165" fontId="184" fillId="0" borderId="157" xfId="0" applyNumberFormat="1" applyFont="1" applyFill="1" applyBorder="1" applyAlignment="1">
      <alignment horizontal="right"/>
    </xf>
    <xf numFmtId="166" fontId="56" fillId="0" borderId="273" xfId="52" applyNumberFormat="1" applyFont="1" applyFill="1" applyBorder="1" applyAlignment="1">
      <alignment horizontal="right"/>
    </xf>
    <xf numFmtId="166" fontId="184" fillId="0" borderId="234" xfId="52" applyNumberFormat="1" applyFont="1" applyBorder="1" applyAlignment="1">
      <alignment horizontal="right"/>
    </xf>
    <xf numFmtId="166" fontId="195" fillId="0" borderId="234" xfId="52" applyNumberFormat="1" applyFont="1" applyBorder="1" applyAlignment="1">
      <alignment horizontal="right"/>
    </xf>
    <xf numFmtId="166" fontId="56" fillId="51" borderId="208" xfId="52" applyNumberFormat="1" applyFont="1" applyFill="1" applyBorder="1" applyAlignment="1">
      <alignment horizontal="right"/>
    </xf>
    <xf numFmtId="166" fontId="189" fillId="51" borderId="208" xfId="52" applyNumberFormat="1" applyFont="1" applyFill="1" applyBorder="1" applyAlignment="1">
      <alignment horizontal="right"/>
    </xf>
    <xf numFmtId="177" fontId="213" fillId="0" borderId="157" xfId="10" applyNumberFormat="1" applyFont="1" applyFill="1" applyBorder="1" applyAlignment="1">
      <alignment horizontal="right"/>
    </xf>
    <xf numFmtId="9" fontId="56" fillId="0" borderId="157" xfId="10" applyNumberFormat="1" applyFont="1" applyFill="1" applyBorder="1" applyAlignment="1">
      <alignment horizontal="right"/>
    </xf>
    <xf numFmtId="9" fontId="56" fillId="0" borderId="157" xfId="52" applyFont="1" applyFill="1" applyBorder="1" applyAlignment="1">
      <alignment horizontal="right"/>
    </xf>
    <xf numFmtId="9" fontId="213" fillId="0" borderId="157" xfId="52" applyFont="1" applyFill="1" applyBorder="1" applyAlignment="1">
      <alignment horizontal="right"/>
    </xf>
    <xf numFmtId="43" fontId="188" fillId="0" borderId="266" xfId="0" applyNumberFormat="1" applyFont="1" applyBorder="1" applyAlignment="1">
      <alignment horizontal="left" indent="1"/>
    </xf>
    <xf numFmtId="43" fontId="185" fillId="0" borderId="273" xfId="0" applyNumberFormat="1" applyFont="1" applyFill="1" applyBorder="1" applyAlignment="1">
      <alignment horizontal="center"/>
    </xf>
    <xf numFmtId="43" fontId="253" fillId="0" borderId="0" xfId="0" applyNumberFormat="1" applyFont="1" applyFill="1" applyBorder="1" applyAlignment="1">
      <alignment vertical="center"/>
    </xf>
    <xf numFmtId="41" fontId="188" fillId="0" borderId="11" xfId="0" applyNumberFormat="1" applyFont="1" applyFill="1" applyBorder="1" applyAlignment="1">
      <alignment horizontal="left"/>
    </xf>
    <xf numFmtId="43" fontId="254" fillId="0" borderId="0" xfId="0" applyNumberFormat="1" applyFont="1" applyFill="1" applyBorder="1" applyAlignment="1">
      <alignment vertical="center"/>
    </xf>
    <xf numFmtId="43" fontId="58" fillId="0" borderId="0" xfId="0" applyNumberFormat="1" applyFont="1" applyFill="1" applyBorder="1" applyAlignment="1">
      <alignment horizontal="left"/>
    </xf>
    <xf numFmtId="0" fontId="185" fillId="65" borderId="266" xfId="0" applyFont="1" applyFill="1" applyBorder="1" applyAlignment="1">
      <alignment horizontal="right"/>
    </xf>
    <xf numFmtId="165" fontId="56" fillId="0" borderId="273" xfId="52" applyNumberFormat="1" applyFont="1" applyFill="1" applyBorder="1" applyAlignment="1">
      <alignment horizontal="right"/>
    </xf>
    <xf numFmtId="0" fontId="195" fillId="65" borderId="266" xfId="0" applyFont="1" applyFill="1" applyBorder="1" applyAlignment="1">
      <alignment horizontal="right"/>
    </xf>
    <xf numFmtId="166" fontId="186" fillId="65" borderId="266" xfId="52" applyNumberFormat="1" applyFont="1" applyFill="1" applyBorder="1" applyAlignment="1">
      <alignment horizontal="right"/>
    </xf>
    <xf numFmtId="9" fontId="56" fillId="0" borderId="187" xfId="52" applyFont="1" applyFill="1" applyBorder="1" applyAlignment="1">
      <alignment horizontal="right"/>
    </xf>
    <xf numFmtId="9" fontId="56" fillId="0" borderId="273" xfId="52" applyFont="1" applyFill="1" applyBorder="1" applyAlignment="1">
      <alignment horizontal="right"/>
    </xf>
    <xf numFmtId="9" fontId="56" fillId="0" borderId="167" xfId="52" applyFont="1" applyFill="1" applyBorder="1" applyAlignment="1">
      <alignment horizontal="right"/>
    </xf>
    <xf numFmtId="165" fontId="186" fillId="51" borderId="0" xfId="52" applyNumberFormat="1" applyFont="1" applyFill="1" applyBorder="1" applyAlignment="1">
      <alignment horizontal="right"/>
    </xf>
    <xf numFmtId="165" fontId="186" fillId="51" borderId="106" xfId="52" applyNumberFormat="1" applyFont="1" applyFill="1" applyBorder="1" applyAlignment="1">
      <alignment horizontal="right"/>
    </xf>
    <xf numFmtId="165" fontId="186" fillId="51" borderId="22" xfId="52" applyNumberFormat="1" applyFont="1" applyFill="1" applyBorder="1" applyAlignment="1">
      <alignment horizontal="right"/>
    </xf>
    <xf numFmtId="165" fontId="186" fillId="51" borderId="65" xfId="52" applyNumberFormat="1" applyFont="1" applyFill="1" applyBorder="1" applyAlignment="1">
      <alignment horizontal="right"/>
    </xf>
    <xf numFmtId="166" fontId="187" fillId="51" borderId="0" xfId="0" applyNumberFormat="1" applyFont="1" applyFill="1" applyBorder="1" applyAlignment="1">
      <alignment horizontal="right"/>
    </xf>
    <xf numFmtId="166" fontId="209" fillId="51" borderId="0" xfId="0" applyNumberFormat="1" applyFont="1" applyFill="1" applyBorder="1" applyAlignment="1">
      <alignment horizontal="right"/>
    </xf>
    <xf numFmtId="166" fontId="187" fillId="51" borderId="61" xfId="0" applyNumberFormat="1" applyFont="1" applyFill="1" applyBorder="1" applyAlignment="1">
      <alignment horizontal="right"/>
    </xf>
    <xf numFmtId="166" fontId="187" fillId="51" borderId="0" xfId="52" applyNumberFormat="1" applyFont="1" applyFill="1" applyBorder="1" applyAlignment="1">
      <alignment horizontal="right"/>
    </xf>
    <xf numFmtId="166" fontId="184" fillId="51" borderId="106" xfId="0" applyNumberFormat="1" applyFont="1" applyFill="1" applyBorder="1" applyAlignment="1">
      <alignment horizontal="right"/>
    </xf>
    <xf numFmtId="166" fontId="209" fillId="51" borderId="61" xfId="52" applyNumberFormat="1" applyFont="1" applyFill="1" applyBorder="1" applyAlignment="1">
      <alignment horizontal="right"/>
    </xf>
    <xf numFmtId="166" fontId="209" fillId="51" borderId="0" xfId="52" applyNumberFormat="1" applyFont="1" applyFill="1" applyBorder="1" applyAlignment="1">
      <alignment horizontal="right"/>
    </xf>
    <xf numFmtId="166" fontId="209" fillId="51" borderId="121" xfId="52" applyNumberFormat="1" applyFont="1" applyFill="1" applyBorder="1" applyAlignment="1">
      <alignment horizontal="right"/>
    </xf>
    <xf numFmtId="166" fontId="184" fillId="51" borderId="121" xfId="52" applyNumberFormat="1" applyFont="1" applyFill="1" applyBorder="1" applyAlignment="1">
      <alignment horizontal="right"/>
    </xf>
    <xf numFmtId="166" fontId="56" fillId="51" borderId="65" xfId="0" applyNumberFormat="1" applyFont="1" applyFill="1" applyBorder="1" applyAlignment="1">
      <alignment horizontal="right"/>
    </xf>
    <xf numFmtId="166" fontId="184" fillId="51" borderId="61" xfId="52" applyNumberFormat="1" applyFont="1" applyFill="1" applyBorder="1" applyAlignment="1">
      <alignment horizontal="right"/>
    </xf>
    <xf numFmtId="166" fontId="56" fillId="51" borderId="61" xfId="0" applyNumberFormat="1" applyFont="1" applyFill="1" applyBorder="1" applyAlignment="1">
      <alignment horizontal="right"/>
    </xf>
    <xf numFmtId="165" fontId="56" fillId="0" borderId="266" xfId="52" applyNumberFormat="1" applyFont="1" applyFill="1" applyBorder="1" applyAlignment="1">
      <alignment horizontal="right"/>
    </xf>
    <xf numFmtId="9" fontId="56" fillId="0" borderId="106" xfId="52" applyFont="1" applyFill="1" applyBorder="1"/>
    <xf numFmtId="165" fontId="186" fillId="0" borderId="139" xfId="52" applyNumberFormat="1" applyFont="1" applyFill="1" applyBorder="1" applyAlignment="1">
      <alignment horizontal="right"/>
    </xf>
    <xf numFmtId="165" fontId="186" fillId="0" borderId="252" xfId="52" applyNumberFormat="1" applyFont="1" applyFill="1" applyBorder="1" applyAlignment="1">
      <alignment horizontal="right"/>
    </xf>
    <xf numFmtId="165" fontId="186" fillId="0" borderId="266" xfId="52" applyNumberFormat="1" applyFont="1" applyFill="1" applyBorder="1" applyAlignment="1">
      <alignment horizontal="right"/>
    </xf>
    <xf numFmtId="165" fontId="186" fillId="0" borderId="266" xfId="52" applyNumberFormat="1" applyFont="1" applyBorder="1" applyAlignment="1">
      <alignment horizontal="right"/>
    </xf>
    <xf numFmtId="165" fontId="186" fillId="0" borderId="252" xfId="52" applyNumberFormat="1" applyFont="1" applyBorder="1" applyAlignment="1">
      <alignment horizontal="right"/>
    </xf>
    <xf numFmtId="165" fontId="186" fillId="0" borderId="285" xfId="52" applyNumberFormat="1" applyFont="1" applyBorder="1" applyAlignment="1">
      <alignment horizontal="right"/>
    </xf>
    <xf numFmtId="165" fontId="186" fillId="0" borderId="285" xfId="52" applyNumberFormat="1" applyFont="1" applyFill="1" applyBorder="1" applyAlignment="1">
      <alignment horizontal="right"/>
    </xf>
    <xf numFmtId="165" fontId="186" fillId="0" borderId="0" xfId="0" applyNumberFormat="1" applyFont="1" applyFill="1"/>
    <xf numFmtId="165" fontId="56" fillId="0" borderId="285" xfId="52" applyNumberFormat="1" applyFont="1" applyFill="1" applyBorder="1" applyAlignment="1">
      <alignment horizontal="right"/>
    </xf>
    <xf numFmtId="165" fontId="56" fillId="0" borderId="253" xfId="52" applyNumberFormat="1" applyFont="1" applyFill="1" applyBorder="1" applyAlignment="1">
      <alignment horizontal="right"/>
    </xf>
    <xf numFmtId="165" fontId="56" fillId="0" borderId="252" xfId="52" applyNumberFormat="1" applyFont="1" applyFill="1" applyBorder="1" applyAlignment="1">
      <alignment horizontal="right"/>
    </xf>
    <xf numFmtId="165" fontId="56" fillId="0" borderId="139" xfId="52" applyNumberFormat="1" applyFont="1" applyFill="1" applyBorder="1" applyAlignment="1">
      <alignment horizontal="right"/>
    </xf>
    <xf numFmtId="9" fontId="56" fillId="0" borderId="234" xfId="52" applyFont="1" applyFill="1" applyBorder="1" applyAlignment="1">
      <alignment horizontal="right"/>
    </xf>
    <xf numFmtId="9" fontId="56" fillId="0" borderId="235" xfId="52" applyFont="1" applyFill="1" applyBorder="1" applyAlignment="1">
      <alignment horizontal="right"/>
    </xf>
    <xf numFmtId="9" fontId="56" fillId="0" borderId="237" xfId="52" applyFont="1" applyFill="1" applyBorder="1" applyAlignment="1">
      <alignment horizontal="right"/>
    </xf>
    <xf numFmtId="166" fontId="56" fillId="0" borderId="237" xfId="52" applyNumberFormat="1" applyFont="1" applyFill="1" applyBorder="1" applyAlignment="1">
      <alignment horizontal="right"/>
    </xf>
    <xf numFmtId="9" fontId="56" fillId="0" borderId="189" xfId="52" applyFont="1" applyFill="1" applyBorder="1" applyAlignment="1">
      <alignment horizontal="right"/>
    </xf>
    <xf numFmtId="9" fontId="56" fillId="0" borderId="192" xfId="52" applyFont="1" applyFill="1" applyBorder="1" applyAlignment="1">
      <alignment horizontal="right"/>
    </xf>
    <xf numFmtId="165" fontId="186" fillId="0" borderId="253" xfId="52" applyNumberFormat="1" applyFont="1" applyFill="1" applyBorder="1" applyAlignment="1">
      <alignment horizontal="right"/>
    </xf>
    <xf numFmtId="166" fontId="186" fillId="51" borderId="106" xfId="52" applyNumberFormat="1" applyFont="1" applyFill="1" applyBorder="1" applyAlignment="1">
      <alignment horizontal="right"/>
    </xf>
    <xf numFmtId="165" fontId="184" fillId="0" borderId="0" xfId="52" applyNumberFormat="1" applyFont="1" applyFill="1" applyBorder="1" applyAlignment="1">
      <alignment horizontal="right"/>
    </xf>
    <xf numFmtId="43" fontId="56" fillId="67" borderId="103" xfId="52" applyNumberFormat="1" applyFont="1" applyFill="1" applyBorder="1" applyAlignment="1">
      <alignment horizontal="left"/>
    </xf>
    <xf numFmtId="165" fontId="56" fillId="67" borderId="0" xfId="52" applyNumberFormat="1" applyFont="1" applyFill="1" applyBorder="1" applyAlignment="1">
      <alignment horizontal="right"/>
    </xf>
    <xf numFmtId="165" fontId="56" fillId="67" borderId="106" xfId="52" applyNumberFormat="1" applyFont="1" applyFill="1" applyBorder="1" applyAlignment="1">
      <alignment horizontal="right"/>
    </xf>
    <xf numFmtId="165" fontId="56" fillId="67" borderId="22" xfId="52" applyNumberFormat="1" applyFont="1" applyFill="1" applyBorder="1" applyAlignment="1">
      <alignment horizontal="right"/>
    </xf>
    <xf numFmtId="165" fontId="56" fillId="67" borderId="61" xfId="52" applyNumberFormat="1" applyFont="1" applyFill="1" applyBorder="1" applyAlignment="1">
      <alignment horizontal="right"/>
    </xf>
    <xf numFmtId="43" fontId="185" fillId="67" borderId="149" xfId="0" applyNumberFormat="1" applyFont="1" applyFill="1" applyBorder="1" applyAlignment="1">
      <alignment horizontal="left"/>
    </xf>
    <xf numFmtId="165" fontId="185" fillId="67" borderId="150" xfId="42" applyNumberFormat="1" applyFont="1" applyFill="1" applyBorder="1" applyAlignment="1">
      <alignment horizontal="right"/>
    </xf>
    <xf numFmtId="165" fontId="185" fillId="67" borderId="143" xfId="42" applyNumberFormat="1" applyFont="1" applyFill="1" applyBorder="1" applyAlignment="1">
      <alignment horizontal="right"/>
    </xf>
    <xf numFmtId="165" fontId="185" fillId="67" borderId="139" xfId="42" applyNumberFormat="1" applyFont="1" applyFill="1" applyBorder="1" applyAlignment="1">
      <alignment horizontal="right"/>
    </xf>
    <xf numFmtId="165" fontId="185" fillId="67" borderId="266" xfId="42" applyNumberFormat="1" applyFont="1" applyFill="1" applyBorder="1" applyAlignment="1">
      <alignment horizontal="right"/>
    </xf>
    <xf numFmtId="165" fontId="185" fillId="67" borderId="154" xfId="42" applyNumberFormat="1" applyFont="1" applyFill="1" applyBorder="1" applyAlignment="1">
      <alignment horizontal="right"/>
    </xf>
    <xf numFmtId="192" fontId="185" fillId="67" borderId="150" xfId="42" applyNumberFormat="1" applyFont="1" applyFill="1" applyBorder="1" applyAlignment="1">
      <alignment horizontal="right"/>
    </xf>
    <xf numFmtId="165" fontId="198" fillId="67" borderId="150" xfId="42" applyNumberFormat="1" applyFont="1" applyFill="1" applyBorder="1" applyAlignment="1">
      <alignment horizontal="right"/>
    </xf>
    <xf numFmtId="165" fontId="198" fillId="67" borderId="143" xfId="42" applyNumberFormat="1" applyFont="1" applyFill="1" applyBorder="1" applyAlignment="1">
      <alignment horizontal="right"/>
    </xf>
    <xf numFmtId="165" fontId="198" fillId="67" borderId="154" xfId="42" applyNumberFormat="1" applyFont="1" applyFill="1" applyBorder="1" applyAlignment="1">
      <alignment horizontal="right"/>
    </xf>
    <xf numFmtId="165" fontId="198" fillId="67" borderId="144" xfId="42" applyNumberFormat="1" applyFont="1" applyFill="1" applyBorder="1" applyAlignment="1">
      <alignment horizontal="right"/>
    </xf>
    <xf numFmtId="165" fontId="198" fillId="67" borderId="151" xfId="42" applyNumberFormat="1" applyFont="1" applyFill="1" applyBorder="1" applyAlignment="1">
      <alignment horizontal="right"/>
    </xf>
    <xf numFmtId="43" fontId="185" fillId="67" borderId="123" xfId="42" applyNumberFormat="1" applyFont="1" applyFill="1" applyBorder="1" applyAlignment="1">
      <alignment horizontal="left" indent="1"/>
    </xf>
    <xf numFmtId="177" fontId="206" fillId="67" borderId="121" xfId="10" applyNumberFormat="1" applyFont="1" applyFill="1" applyBorder="1" applyAlignment="1">
      <alignment horizontal="right"/>
    </xf>
    <xf numFmtId="177" fontId="206" fillId="67" borderId="0" xfId="10" applyNumberFormat="1" applyFont="1" applyFill="1" applyBorder="1" applyAlignment="1">
      <alignment horizontal="right"/>
    </xf>
    <xf numFmtId="177" fontId="185" fillId="67" borderId="106" xfId="10" applyNumberFormat="1" applyFont="1" applyFill="1" applyBorder="1" applyAlignment="1">
      <alignment horizontal="right"/>
    </xf>
    <xf numFmtId="177" fontId="185" fillId="67" borderId="0" xfId="10" applyNumberFormat="1" applyFont="1" applyFill="1" applyBorder="1" applyAlignment="1">
      <alignment horizontal="right"/>
    </xf>
    <xf numFmtId="177" fontId="185" fillId="67" borderId="121" xfId="10" applyNumberFormat="1" applyFont="1" applyFill="1" applyBorder="1" applyAlignment="1">
      <alignment horizontal="right"/>
    </xf>
    <xf numFmtId="177" fontId="185" fillId="67" borderId="65" xfId="10" applyNumberFormat="1" applyFont="1" applyFill="1" applyBorder="1" applyAlignment="1">
      <alignment horizontal="right"/>
    </xf>
    <xf numFmtId="177" fontId="185" fillId="67" borderId="64" xfId="10" applyNumberFormat="1" applyFont="1" applyFill="1" applyBorder="1" applyAlignment="1">
      <alignment horizontal="right"/>
    </xf>
    <xf numFmtId="177" fontId="185" fillId="67" borderId="61" xfId="10" applyNumberFormat="1" applyFont="1" applyFill="1" applyBorder="1" applyAlignment="1">
      <alignment horizontal="right"/>
    </xf>
    <xf numFmtId="177" fontId="198" fillId="67" borderId="0" xfId="10" applyNumberFormat="1" applyFont="1" applyFill="1" applyBorder="1" applyAlignment="1">
      <alignment horizontal="right"/>
    </xf>
    <xf numFmtId="37" fontId="186" fillId="67" borderId="106" xfId="0" applyNumberFormat="1" applyFont="1" applyFill="1" applyBorder="1"/>
    <xf numFmtId="37" fontId="186" fillId="67" borderId="0" xfId="0" applyNumberFormat="1" applyFont="1" applyFill="1" applyBorder="1"/>
    <xf numFmtId="43" fontId="186" fillId="67" borderId="123" xfId="52" applyNumberFormat="1" applyFont="1" applyFill="1" applyBorder="1" applyAlignment="1">
      <alignment horizontal="left"/>
    </xf>
    <xf numFmtId="165" fontId="186" fillId="67" borderId="121" xfId="52" applyNumberFormat="1" applyFont="1" applyFill="1" applyBorder="1" applyAlignment="1">
      <alignment horizontal="right"/>
    </xf>
    <xf numFmtId="165" fontId="186" fillId="67" borderId="0" xfId="52" applyNumberFormat="1" applyFont="1" applyFill="1" applyBorder="1" applyAlignment="1">
      <alignment horizontal="right"/>
    </xf>
    <xf numFmtId="165" fontId="186" fillId="67" borderId="106" xfId="52" applyNumberFormat="1" applyFont="1" applyFill="1" applyBorder="1" applyAlignment="1">
      <alignment horizontal="right"/>
    </xf>
    <xf numFmtId="165" fontId="186" fillId="67" borderId="22" xfId="52" applyNumberFormat="1" applyFont="1" applyFill="1" applyBorder="1" applyAlignment="1">
      <alignment horizontal="right"/>
    </xf>
    <xf numFmtId="165" fontId="186" fillId="67" borderId="65" xfId="52" applyNumberFormat="1" applyFont="1" applyFill="1" applyBorder="1" applyAlignment="1">
      <alignment horizontal="right"/>
    </xf>
    <xf numFmtId="165" fontId="186" fillId="67" borderId="61" xfId="52" applyNumberFormat="1" applyFont="1" applyFill="1" applyBorder="1" applyAlignment="1">
      <alignment horizontal="right"/>
    </xf>
    <xf numFmtId="43" fontId="186" fillId="67" borderId="149" xfId="52" applyNumberFormat="1" applyFont="1" applyFill="1" applyBorder="1" applyAlignment="1">
      <alignment horizontal="left"/>
    </xf>
    <xf numFmtId="165" fontId="56" fillId="67" borderId="150" xfId="52" applyNumberFormat="1" applyFont="1" applyFill="1" applyBorder="1" applyAlignment="1">
      <alignment horizontal="right"/>
    </xf>
    <xf numFmtId="165" fontId="56" fillId="67" borderId="143" xfId="52" applyNumberFormat="1" applyFont="1" applyFill="1" applyBorder="1" applyAlignment="1">
      <alignment horizontal="right"/>
    </xf>
    <xf numFmtId="165" fontId="56" fillId="67" borderId="139" xfId="52" applyNumberFormat="1" applyFont="1" applyFill="1" applyBorder="1" applyAlignment="1">
      <alignment horizontal="right"/>
    </xf>
    <xf numFmtId="165" fontId="56" fillId="67" borderId="266" xfId="52" applyNumberFormat="1" applyFont="1" applyFill="1" applyBorder="1" applyAlignment="1">
      <alignment horizontal="right"/>
    </xf>
    <xf numFmtId="165" fontId="187" fillId="67" borderId="150" xfId="52" applyNumberFormat="1" applyFont="1" applyFill="1" applyBorder="1" applyAlignment="1">
      <alignment horizontal="right"/>
    </xf>
    <xf numFmtId="165" fontId="187" fillId="67" borderId="143" xfId="52" applyNumberFormat="1" applyFont="1" applyFill="1" applyBorder="1" applyAlignment="1">
      <alignment horizontal="right"/>
    </xf>
    <xf numFmtId="165" fontId="56" fillId="67" borderId="182" xfId="52" applyNumberFormat="1" applyFont="1" applyFill="1" applyBorder="1" applyAlignment="1">
      <alignment horizontal="right"/>
    </xf>
    <xf numFmtId="165" fontId="187" fillId="67" borderId="151" xfId="52" applyNumberFormat="1" applyFont="1" applyFill="1" applyBorder="1" applyAlignment="1">
      <alignment horizontal="right"/>
    </xf>
    <xf numFmtId="43" fontId="186" fillId="67" borderId="123" xfId="52" applyNumberFormat="1" applyFont="1" applyFill="1" applyBorder="1" applyAlignment="1">
      <alignment horizontal="left" indent="1"/>
    </xf>
    <xf numFmtId="165" fontId="218" fillId="67" borderId="0" xfId="52" applyNumberFormat="1" applyFont="1" applyFill="1" applyBorder="1" applyAlignment="1">
      <alignment horizontal="right"/>
    </xf>
    <xf numFmtId="43" fontId="185" fillId="67" borderId="123" xfId="0" applyNumberFormat="1" applyFont="1" applyFill="1" applyBorder="1" applyAlignment="1">
      <alignment horizontal="left"/>
    </xf>
    <xf numFmtId="165" fontId="185" fillId="67" borderId="121" xfId="42" applyNumberFormat="1" applyFont="1" applyFill="1" applyBorder="1" applyAlignment="1">
      <alignment horizontal="right"/>
    </xf>
    <xf numFmtId="165" fontId="185" fillId="67" borderId="0" xfId="42" applyNumberFormat="1" applyFont="1" applyFill="1" applyBorder="1" applyAlignment="1">
      <alignment horizontal="right"/>
    </xf>
    <xf numFmtId="165" fontId="185" fillId="67" borderId="106" xfId="42" applyNumberFormat="1" applyFont="1" applyFill="1" applyBorder="1" applyAlignment="1">
      <alignment horizontal="right"/>
    </xf>
    <xf numFmtId="166" fontId="185" fillId="67" borderId="0" xfId="52" applyNumberFormat="1" applyFont="1" applyFill="1" applyBorder="1" applyAlignment="1">
      <alignment horizontal="right"/>
    </xf>
    <xf numFmtId="166" fontId="185" fillId="67" borderId="22" xfId="52" applyNumberFormat="1" applyFont="1" applyFill="1" applyBorder="1" applyAlignment="1">
      <alignment horizontal="right"/>
    </xf>
    <xf numFmtId="166" fontId="185" fillId="67" borderId="106" xfId="52" applyNumberFormat="1" applyFont="1" applyFill="1" applyBorder="1" applyAlignment="1">
      <alignment horizontal="right"/>
    </xf>
    <xf numFmtId="166" fontId="185" fillId="67" borderId="121" xfId="52" applyNumberFormat="1" applyFont="1" applyFill="1" applyBorder="1" applyAlignment="1">
      <alignment horizontal="right"/>
    </xf>
    <xf numFmtId="166" fontId="185" fillId="67" borderId="65" xfId="52" applyNumberFormat="1" applyFont="1" applyFill="1" applyBorder="1" applyAlignment="1">
      <alignment horizontal="right"/>
    </xf>
    <xf numFmtId="166" fontId="185" fillId="67" borderId="64" xfId="52" applyNumberFormat="1" applyFont="1" applyFill="1" applyBorder="1" applyAlignment="1">
      <alignment horizontal="right"/>
    </xf>
    <xf numFmtId="165" fontId="185" fillId="67" borderId="273" xfId="42" applyNumberFormat="1" applyFont="1" applyFill="1" applyBorder="1" applyAlignment="1">
      <alignment horizontal="right"/>
    </xf>
    <xf numFmtId="165" fontId="185" fillId="67" borderId="140" xfId="42" applyNumberFormat="1" applyFont="1" applyFill="1" applyBorder="1" applyAlignment="1">
      <alignment horizontal="right"/>
    </xf>
    <xf numFmtId="166" fontId="185" fillId="67" borderId="273" xfId="52" applyNumberFormat="1" applyFont="1" applyFill="1" applyBorder="1" applyAlignment="1">
      <alignment horizontal="right"/>
    </xf>
    <xf numFmtId="166" fontId="185" fillId="67" borderId="167" xfId="52" applyNumberFormat="1" applyFont="1" applyFill="1" applyBorder="1" applyAlignment="1">
      <alignment horizontal="right"/>
    </xf>
    <xf numFmtId="166" fontId="185" fillId="67" borderId="140" xfId="52" applyNumberFormat="1" applyFont="1" applyFill="1" applyBorder="1" applyAlignment="1">
      <alignment horizontal="right"/>
    </xf>
    <xf numFmtId="166" fontId="185" fillId="67" borderId="172" xfId="52" applyNumberFormat="1" applyFont="1" applyFill="1" applyBorder="1" applyAlignment="1">
      <alignment horizontal="right"/>
    </xf>
    <xf numFmtId="166" fontId="185" fillId="67" borderId="284" xfId="52" applyNumberFormat="1" applyFont="1" applyFill="1" applyBorder="1" applyAlignment="1">
      <alignment horizontal="right"/>
    </xf>
    <xf numFmtId="166" fontId="185" fillId="67" borderId="148" xfId="52" applyNumberFormat="1" applyFont="1" applyFill="1" applyBorder="1" applyAlignment="1">
      <alignment horizontal="right"/>
    </xf>
    <xf numFmtId="165" fontId="185" fillId="67" borderId="170" xfId="42" applyNumberFormat="1" applyFont="1" applyFill="1" applyBorder="1" applyAlignment="1">
      <alignment horizontal="right"/>
    </xf>
    <xf numFmtId="165" fontId="185" fillId="67" borderId="181" xfId="42" applyNumberFormat="1" applyFont="1" applyFill="1" applyBorder="1" applyAlignment="1">
      <alignment horizontal="right"/>
    </xf>
    <xf numFmtId="166" fontId="185" fillId="67" borderId="170" xfId="52" applyNumberFormat="1" applyFont="1" applyFill="1" applyBorder="1" applyAlignment="1">
      <alignment horizontal="right"/>
    </xf>
    <xf numFmtId="166" fontId="185" fillId="67" borderId="181" xfId="52" applyNumberFormat="1" applyFont="1" applyFill="1" applyBorder="1" applyAlignment="1">
      <alignment horizontal="right"/>
    </xf>
    <xf numFmtId="166" fontId="185" fillId="67" borderId="187" xfId="52" applyNumberFormat="1" applyFont="1" applyFill="1" applyBorder="1" applyAlignment="1">
      <alignment horizontal="right"/>
    </xf>
    <xf numFmtId="166" fontId="185" fillId="67" borderId="156" xfId="52" applyNumberFormat="1" applyFont="1" applyFill="1" applyBorder="1" applyAlignment="1">
      <alignment horizontal="right"/>
    </xf>
    <xf numFmtId="166" fontId="185" fillId="67" borderId="188" xfId="52" applyNumberFormat="1" applyFont="1" applyFill="1" applyBorder="1" applyAlignment="1">
      <alignment horizontal="right"/>
    </xf>
    <xf numFmtId="166" fontId="185" fillId="67" borderId="191" xfId="52" applyNumberFormat="1" applyFont="1" applyFill="1" applyBorder="1" applyAlignment="1">
      <alignment horizontal="right"/>
    </xf>
    <xf numFmtId="165" fontId="186" fillId="67" borderId="150" xfId="52" applyNumberFormat="1" applyFont="1" applyFill="1" applyBorder="1" applyAlignment="1">
      <alignment horizontal="right"/>
    </xf>
    <xf numFmtId="165" fontId="186" fillId="67" borderId="143" xfId="52" applyNumberFormat="1" applyFont="1" applyFill="1" applyBorder="1" applyAlignment="1">
      <alignment horizontal="right"/>
    </xf>
    <xf numFmtId="165" fontId="186" fillId="67" borderId="139" xfId="52" applyNumberFormat="1" applyFont="1" applyFill="1" applyBorder="1" applyAlignment="1">
      <alignment horizontal="right"/>
    </xf>
    <xf numFmtId="165" fontId="186" fillId="67" borderId="266" xfId="52" applyNumberFormat="1" applyFont="1" applyFill="1" applyBorder="1" applyAlignment="1">
      <alignment horizontal="right"/>
    </xf>
    <xf numFmtId="165" fontId="186" fillId="67" borderId="154" xfId="52" applyNumberFormat="1" applyFont="1" applyFill="1" applyBorder="1" applyAlignment="1">
      <alignment horizontal="right"/>
    </xf>
    <xf numFmtId="165" fontId="217" fillId="67" borderId="143" xfId="52" applyNumberFormat="1" applyFont="1" applyFill="1" applyBorder="1" applyAlignment="1">
      <alignment horizontal="right"/>
    </xf>
    <xf numFmtId="165" fontId="186" fillId="67" borderId="144" xfId="52" applyNumberFormat="1" applyFont="1" applyFill="1" applyBorder="1" applyAlignment="1">
      <alignment horizontal="right"/>
    </xf>
    <xf numFmtId="165" fontId="217" fillId="67" borderId="151" xfId="52" applyNumberFormat="1" applyFont="1" applyFill="1" applyBorder="1" applyAlignment="1">
      <alignment horizontal="right"/>
    </xf>
    <xf numFmtId="165" fontId="185" fillId="67" borderId="22" xfId="42" applyNumberFormat="1" applyFont="1" applyFill="1" applyBorder="1" applyAlignment="1">
      <alignment horizontal="right"/>
    </xf>
    <xf numFmtId="192" fontId="185" fillId="67" borderId="121" xfId="42" applyNumberFormat="1" applyFont="1" applyFill="1" applyBorder="1" applyAlignment="1">
      <alignment horizontal="right"/>
    </xf>
    <xf numFmtId="165" fontId="185" fillId="67" borderId="65" xfId="42" applyNumberFormat="1" applyFont="1" applyFill="1" applyBorder="1" applyAlignment="1">
      <alignment horizontal="right"/>
    </xf>
    <xf numFmtId="165" fontId="185" fillId="67" borderId="64" xfId="42" applyNumberFormat="1" applyFont="1" applyFill="1" applyBorder="1" applyAlignment="1">
      <alignment horizontal="right"/>
    </xf>
    <xf numFmtId="165" fontId="185" fillId="67" borderId="61" xfId="42" applyNumberFormat="1" applyFont="1" applyFill="1" applyBorder="1" applyAlignment="1">
      <alignment horizontal="right"/>
    </xf>
    <xf numFmtId="43" fontId="185" fillId="67" borderId="123" xfId="0" applyNumberFormat="1" applyFont="1" applyFill="1" applyBorder="1" applyAlignment="1">
      <alignment horizontal="left" indent="1"/>
    </xf>
    <xf numFmtId="0" fontId="206" fillId="67" borderId="0" xfId="0" applyFont="1" applyFill="1" applyBorder="1" applyAlignment="1">
      <alignment horizontal="right"/>
    </xf>
    <xf numFmtId="0" fontId="206" fillId="67" borderId="106" xfId="0" applyFont="1" applyFill="1" applyBorder="1" applyAlignment="1">
      <alignment horizontal="right"/>
    </xf>
    <xf numFmtId="165" fontId="185" fillId="67" borderId="106" xfId="0" applyNumberFormat="1" applyFont="1" applyFill="1" applyBorder="1" applyAlignment="1">
      <alignment horizontal="right"/>
    </xf>
    <xf numFmtId="165" fontId="185" fillId="67" borderId="121" xfId="0" applyNumberFormat="1" applyFont="1" applyFill="1" applyBorder="1" applyAlignment="1">
      <alignment horizontal="right"/>
    </xf>
    <xf numFmtId="165" fontId="185" fillId="67" borderId="0" xfId="0" applyNumberFormat="1" applyFont="1" applyFill="1" applyBorder="1" applyAlignment="1">
      <alignment horizontal="right"/>
    </xf>
    <xf numFmtId="165" fontId="185" fillId="67" borderId="65" xfId="0" applyNumberFormat="1" applyFont="1" applyFill="1" applyBorder="1" applyAlignment="1">
      <alignment horizontal="right"/>
    </xf>
    <xf numFmtId="0" fontId="56" fillId="67" borderId="0" xfId="0" applyFont="1" applyFill="1" applyBorder="1" applyAlignment="1">
      <alignment horizontal="right"/>
    </xf>
    <xf numFmtId="0" fontId="56" fillId="67" borderId="106" xfId="0" applyFont="1" applyFill="1" applyBorder="1" applyAlignment="1">
      <alignment horizontal="right"/>
    </xf>
    <xf numFmtId="166" fontId="56" fillId="67" borderId="106" xfId="52" applyNumberFormat="1" applyFont="1" applyFill="1" applyBorder="1" applyAlignment="1">
      <alignment horizontal="right"/>
    </xf>
    <xf numFmtId="166" fontId="56" fillId="67" borderId="0" xfId="52" applyNumberFormat="1" applyFont="1" applyFill="1" applyBorder="1" applyAlignment="1">
      <alignment horizontal="right"/>
    </xf>
    <xf numFmtId="166" fontId="56" fillId="67" borderId="61" xfId="52" applyNumberFormat="1" applyFont="1" applyFill="1" applyBorder="1" applyAlignment="1">
      <alignment horizontal="right"/>
    </xf>
    <xf numFmtId="165" fontId="185" fillId="67" borderId="184" xfId="42" applyNumberFormat="1" applyFont="1" applyFill="1" applyBorder="1" applyAlignment="1">
      <alignment horizontal="right"/>
    </xf>
    <xf numFmtId="165" fontId="186" fillId="67" borderId="151" xfId="52" applyNumberFormat="1" applyFont="1" applyFill="1" applyBorder="1" applyAlignment="1">
      <alignment horizontal="right"/>
    </xf>
    <xf numFmtId="166" fontId="184" fillId="67" borderId="0" xfId="52" applyNumberFormat="1" applyFont="1" applyFill="1" applyBorder="1" applyAlignment="1">
      <alignment horizontal="right"/>
    </xf>
    <xf numFmtId="166" fontId="184" fillId="67" borderId="106" xfId="52" applyNumberFormat="1" applyFont="1" applyFill="1" applyBorder="1" applyAlignment="1">
      <alignment horizontal="right"/>
    </xf>
    <xf numFmtId="166" fontId="184" fillId="67" borderId="64" xfId="52" applyNumberFormat="1" applyFont="1" applyFill="1" applyBorder="1" applyAlignment="1">
      <alignment horizontal="right"/>
    </xf>
    <xf numFmtId="39" fontId="186" fillId="67" borderId="143" xfId="52" applyNumberFormat="1" applyFont="1" applyFill="1" applyBorder="1" applyAlignment="1">
      <alignment horizontal="right"/>
    </xf>
    <xf numFmtId="166" fontId="186" fillId="67" borderId="143" xfId="52" applyNumberFormat="1" applyFont="1" applyFill="1" applyBorder="1" applyAlignment="1">
      <alignment horizontal="right"/>
    </xf>
    <xf numFmtId="192" fontId="186" fillId="67" borderId="143" xfId="52" applyNumberFormat="1" applyFont="1" applyFill="1" applyBorder="1" applyAlignment="1">
      <alignment horizontal="right"/>
    </xf>
    <xf numFmtId="43" fontId="185" fillId="67" borderId="123" xfId="0" applyNumberFormat="1" applyFont="1" applyFill="1" applyBorder="1" applyAlignment="1">
      <alignment horizontal="left" indent="2"/>
    </xf>
    <xf numFmtId="165" fontId="185" fillId="67" borderId="122" xfId="42" applyNumberFormat="1" applyFont="1" applyFill="1" applyBorder="1" applyAlignment="1">
      <alignment horizontal="right"/>
    </xf>
    <xf numFmtId="166" fontId="185" fillId="67" borderId="61" xfId="52" applyNumberFormat="1" applyFont="1" applyFill="1" applyBorder="1" applyAlignment="1">
      <alignment horizontal="right"/>
    </xf>
    <xf numFmtId="166" fontId="185" fillId="67" borderId="184" xfId="52" applyNumberFormat="1" applyFont="1" applyFill="1" applyBorder="1" applyAlignment="1">
      <alignment horizontal="right"/>
    </xf>
    <xf numFmtId="166" fontId="185" fillId="67" borderId="126" xfId="52" applyNumberFormat="1" applyFont="1" applyFill="1" applyBorder="1" applyAlignment="1">
      <alignment horizontal="right"/>
    </xf>
    <xf numFmtId="43" fontId="185" fillId="67" borderId="149" xfId="0" applyNumberFormat="1" applyFont="1" applyFill="1" applyBorder="1" applyAlignment="1">
      <alignment horizontal="left" indent="1"/>
    </xf>
    <xf numFmtId="0" fontId="188" fillId="67" borderId="150" xfId="0" applyFont="1" applyFill="1" applyBorder="1" applyAlignment="1">
      <alignment horizontal="right"/>
    </xf>
    <xf numFmtId="0" fontId="188" fillId="67" borderId="143" xfId="0" applyFont="1" applyFill="1" applyBorder="1" applyAlignment="1">
      <alignment horizontal="right"/>
    </xf>
    <xf numFmtId="0" fontId="188" fillId="67" borderId="139" xfId="0" applyFont="1" applyFill="1" applyBorder="1" applyAlignment="1">
      <alignment horizontal="right"/>
    </xf>
    <xf numFmtId="43" fontId="188" fillId="67" borderId="143" xfId="0" applyNumberFormat="1" applyFont="1" applyFill="1" applyBorder="1" applyAlignment="1">
      <alignment horizontal="right"/>
    </xf>
    <xf numFmtId="0" fontId="188" fillId="67" borderId="182" xfId="0" applyFont="1" applyFill="1" applyBorder="1" applyAlignment="1">
      <alignment horizontal="right"/>
    </xf>
    <xf numFmtId="0" fontId="188" fillId="67" borderId="151" xfId="0" applyFont="1" applyFill="1" applyBorder="1" applyAlignment="1">
      <alignment horizontal="right"/>
    </xf>
    <xf numFmtId="166" fontId="188" fillId="67" borderId="143" xfId="0" applyNumberFormat="1" applyFont="1" applyFill="1" applyBorder="1" applyAlignment="1">
      <alignment horizontal="right"/>
    </xf>
    <xf numFmtId="165" fontId="186" fillId="67" borderId="122" xfId="52" applyNumberFormat="1" applyFont="1" applyFill="1" applyBorder="1" applyAlignment="1">
      <alignment horizontal="right"/>
    </xf>
    <xf numFmtId="177" fontId="185" fillId="67" borderId="122" xfId="10" applyNumberFormat="1" applyFont="1" applyFill="1" applyBorder="1" applyAlignment="1">
      <alignment horizontal="right"/>
    </xf>
    <xf numFmtId="165" fontId="185" fillId="67" borderId="152" xfId="42" applyNumberFormat="1" applyFont="1" applyFill="1" applyBorder="1" applyAlignment="1">
      <alignment horizontal="right"/>
    </xf>
    <xf numFmtId="43" fontId="185" fillId="67" borderId="103" xfId="0" applyNumberFormat="1" applyFont="1" applyFill="1" applyBorder="1" applyAlignment="1">
      <alignment horizontal="left"/>
    </xf>
    <xf numFmtId="192" fontId="185" fillId="67" borderId="0" xfId="42" applyNumberFormat="1" applyFont="1" applyFill="1" applyBorder="1" applyAlignment="1">
      <alignment horizontal="right"/>
    </xf>
    <xf numFmtId="177" fontId="201" fillId="67" borderId="235" xfId="10" applyNumberFormat="1" applyFont="1" applyFill="1" applyBorder="1" applyAlignment="1">
      <alignment horizontal="right"/>
    </xf>
    <xf numFmtId="177" fontId="201" fillId="67" borderId="0" xfId="10" applyNumberFormat="1" applyFont="1" applyFill="1" applyBorder="1" applyAlignment="1">
      <alignment horizontal="right"/>
    </xf>
    <xf numFmtId="177" fontId="188" fillId="67" borderId="234" xfId="10" applyNumberFormat="1" applyFont="1" applyFill="1" applyBorder="1" applyAlignment="1">
      <alignment horizontal="right"/>
    </xf>
    <xf numFmtId="177" fontId="188" fillId="67" borderId="106" xfId="10" applyNumberFormat="1" applyFont="1" applyFill="1" applyBorder="1" applyAlignment="1">
      <alignment horizontal="right"/>
    </xf>
    <xf numFmtId="177" fontId="188" fillId="67" borderId="0" xfId="10" applyNumberFormat="1" applyFont="1" applyFill="1" applyBorder="1" applyAlignment="1">
      <alignment horizontal="right"/>
    </xf>
    <xf numFmtId="177" fontId="188" fillId="67" borderId="235" xfId="10" applyNumberFormat="1" applyFont="1" applyFill="1" applyBorder="1" applyAlignment="1">
      <alignment horizontal="right"/>
    </xf>
    <xf numFmtId="177" fontId="188" fillId="67" borderId="65" xfId="10" applyNumberFormat="1" applyFont="1" applyFill="1" applyBorder="1" applyAlignment="1">
      <alignment horizontal="right"/>
    </xf>
    <xf numFmtId="165" fontId="185" fillId="67" borderId="151" xfId="42" applyNumberFormat="1" applyFont="1" applyFill="1" applyBorder="1" applyAlignment="1">
      <alignment horizontal="right"/>
    </xf>
    <xf numFmtId="165" fontId="185" fillId="67" borderId="0" xfId="0" applyNumberFormat="1" applyFont="1" applyFill="1" applyBorder="1"/>
    <xf numFmtId="165" fontId="185" fillId="67" borderId="82" xfId="0" applyNumberFormat="1" applyFont="1" applyFill="1" applyBorder="1" applyAlignment="1">
      <alignment horizontal="right"/>
    </xf>
    <xf numFmtId="165" fontId="185" fillId="67" borderId="85" xfId="0" applyNumberFormat="1" applyFont="1" applyFill="1" applyBorder="1" applyAlignment="1">
      <alignment horizontal="right"/>
    </xf>
    <xf numFmtId="165" fontId="185" fillId="67" borderId="22" xfId="0" applyNumberFormat="1" applyFont="1" applyFill="1" applyBorder="1" applyAlignment="1">
      <alignment horizontal="right"/>
    </xf>
    <xf numFmtId="165" fontId="185" fillId="67" borderId="61" xfId="0" applyNumberFormat="1" applyFont="1" applyFill="1" applyBorder="1" applyAlignment="1">
      <alignment horizontal="right"/>
    </xf>
    <xf numFmtId="43" fontId="186" fillId="67" borderId="83" xfId="39" applyNumberFormat="1" applyFont="1" applyFill="1" applyBorder="1"/>
    <xf numFmtId="165" fontId="186" fillId="67" borderId="84" xfId="0" applyNumberFormat="1" applyFont="1" applyFill="1" applyBorder="1"/>
    <xf numFmtId="165" fontId="186" fillId="67" borderId="88" xfId="0" applyNumberFormat="1" applyFont="1" applyFill="1" applyBorder="1"/>
    <xf numFmtId="165" fontId="186" fillId="67" borderId="78" xfId="0" applyNumberFormat="1" applyFont="1" applyFill="1" applyBorder="1"/>
    <xf numFmtId="165" fontId="186" fillId="67" borderId="84" xfId="0" applyNumberFormat="1" applyFont="1" applyFill="1" applyBorder="1" applyAlignment="1">
      <alignment horizontal="right"/>
    </xf>
    <xf numFmtId="165" fontId="186" fillId="67" borderId="88" xfId="0" applyNumberFormat="1" applyFont="1" applyFill="1" applyBorder="1" applyAlignment="1">
      <alignment horizontal="right"/>
    </xf>
    <xf numFmtId="165" fontId="186" fillId="67" borderId="78" xfId="0" applyNumberFormat="1" applyFont="1" applyFill="1" applyBorder="1" applyAlignment="1">
      <alignment horizontal="right"/>
    </xf>
    <xf numFmtId="165" fontId="186" fillId="67" borderId="59" xfId="0" applyNumberFormat="1" applyFont="1" applyFill="1" applyBorder="1" applyAlignment="1">
      <alignment horizontal="right"/>
    </xf>
    <xf numFmtId="178" fontId="186" fillId="67" borderId="59" xfId="0" applyNumberFormat="1" applyFont="1" applyFill="1" applyBorder="1" applyAlignment="1">
      <alignment horizontal="right"/>
    </xf>
    <xf numFmtId="178" fontId="186" fillId="67" borderId="78" xfId="0" applyNumberFormat="1" applyFont="1" applyFill="1" applyBorder="1" applyAlignment="1">
      <alignment horizontal="right"/>
    </xf>
    <xf numFmtId="178" fontId="186" fillId="67" borderId="63" xfId="0" applyNumberFormat="1" applyFont="1" applyFill="1" applyBorder="1" applyAlignment="1">
      <alignment horizontal="right"/>
    </xf>
    <xf numFmtId="178" fontId="186" fillId="67" borderId="93" xfId="0" applyNumberFormat="1" applyFont="1" applyFill="1" applyBorder="1" applyAlignment="1">
      <alignment horizontal="right"/>
    </xf>
    <xf numFmtId="178" fontId="186" fillId="67" borderId="90" xfId="0" applyNumberFormat="1" applyFont="1" applyFill="1" applyBorder="1" applyAlignment="1">
      <alignment horizontal="right"/>
    </xf>
    <xf numFmtId="178" fontId="186" fillId="67" borderId="118" xfId="0" applyNumberFormat="1" applyFont="1" applyFill="1" applyBorder="1" applyAlignment="1">
      <alignment horizontal="right"/>
    </xf>
    <xf numFmtId="0" fontId="185" fillId="67" borderId="0" xfId="0" applyFont="1" applyFill="1" applyBorder="1" applyAlignment="1">
      <alignment horizontal="center"/>
    </xf>
    <xf numFmtId="43" fontId="185" fillId="67" borderId="0" xfId="39" applyNumberFormat="1" applyFont="1" applyFill="1" applyBorder="1"/>
    <xf numFmtId="165" fontId="186" fillId="67" borderId="106" xfId="0" applyNumberFormat="1" applyFont="1" applyFill="1" applyBorder="1"/>
    <xf numFmtId="165" fontId="186" fillId="67" borderId="0" xfId="0" applyNumberFormat="1" applyFont="1" applyFill="1" applyBorder="1"/>
    <xf numFmtId="165" fontId="186" fillId="67" borderId="21" xfId="0" applyNumberFormat="1" applyFont="1" applyFill="1" applyBorder="1"/>
    <xf numFmtId="165" fontId="186" fillId="67" borderId="22" xfId="0" applyNumberFormat="1" applyFont="1" applyFill="1" applyBorder="1"/>
    <xf numFmtId="165" fontId="186" fillId="67" borderId="21" xfId="0" applyNumberFormat="1" applyFont="1" applyFill="1" applyBorder="1" applyAlignment="1">
      <alignment horizontal="right"/>
    </xf>
    <xf numFmtId="9" fontId="186" fillId="67" borderId="0" xfId="52" applyFont="1" applyFill="1" applyBorder="1" applyAlignment="1">
      <alignment horizontal="right"/>
    </xf>
    <xf numFmtId="165" fontId="186" fillId="67" borderId="0" xfId="0" applyNumberFormat="1" applyFont="1" applyFill="1" applyBorder="1" applyAlignment="1">
      <alignment horizontal="right"/>
    </xf>
    <xf numFmtId="165" fontId="186" fillId="67" borderId="22" xfId="0" applyNumberFormat="1" applyFont="1" applyFill="1" applyBorder="1" applyAlignment="1">
      <alignment horizontal="right"/>
    </xf>
    <xf numFmtId="177" fontId="186" fillId="67" borderId="0" xfId="10" applyNumberFormat="1" applyFont="1" applyFill="1" applyBorder="1" applyAlignment="1">
      <alignment horizontal="right"/>
    </xf>
    <xf numFmtId="165" fontId="186" fillId="67" borderId="61" xfId="0" applyNumberFormat="1" applyFont="1" applyFill="1" applyBorder="1" applyAlignment="1">
      <alignment horizontal="right"/>
    </xf>
    <xf numFmtId="165" fontId="186" fillId="67" borderId="62" xfId="0" applyNumberFormat="1" applyFont="1" applyFill="1" applyBorder="1" applyAlignment="1">
      <alignment horizontal="right"/>
    </xf>
    <xf numFmtId="43" fontId="186" fillId="67" borderId="0" xfId="39" applyNumberFormat="1" applyFont="1" applyFill="1" applyBorder="1"/>
    <xf numFmtId="37" fontId="186" fillId="67" borderId="21" xfId="0" applyNumberFormat="1" applyFont="1" applyFill="1" applyBorder="1"/>
    <xf numFmtId="37" fontId="186" fillId="67" borderId="22" xfId="0" applyNumberFormat="1" applyFont="1" applyFill="1" applyBorder="1"/>
    <xf numFmtId="37" fontId="186" fillId="67" borderId="21" xfId="0" applyNumberFormat="1" applyFont="1" applyFill="1" applyBorder="1" applyAlignment="1">
      <alignment horizontal="right"/>
    </xf>
    <xf numFmtId="37" fontId="186" fillId="67" borderId="0" xfId="0" applyNumberFormat="1" applyFont="1" applyFill="1" applyBorder="1" applyAlignment="1">
      <alignment horizontal="right"/>
    </xf>
    <xf numFmtId="37" fontId="186" fillId="67" borderId="22" xfId="0" applyNumberFormat="1" applyFont="1" applyFill="1" applyBorder="1" applyAlignment="1">
      <alignment horizontal="right"/>
    </xf>
    <xf numFmtId="37" fontId="186" fillId="67" borderId="61" xfId="0" applyNumberFormat="1" applyFont="1" applyFill="1" applyBorder="1" applyAlignment="1">
      <alignment horizontal="right"/>
    </xf>
    <xf numFmtId="37" fontId="186" fillId="67" borderId="62" xfId="0" applyNumberFormat="1" applyFont="1" applyFill="1" applyBorder="1" applyAlignment="1">
      <alignment horizontal="right"/>
    </xf>
    <xf numFmtId="43" fontId="185" fillId="67" borderId="0" xfId="0" applyNumberFormat="1" applyFont="1" applyFill="1" applyBorder="1"/>
    <xf numFmtId="0" fontId="186" fillId="67" borderId="0" xfId="0" applyFont="1" applyFill="1" applyBorder="1"/>
    <xf numFmtId="165" fontId="186" fillId="67" borderId="51" xfId="0" applyNumberFormat="1" applyFont="1" applyFill="1" applyBorder="1" applyAlignment="1">
      <alignment horizontal="right"/>
    </xf>
    <xf numFmtId="0" fontId="186" fillId="67" borderId="21" xfId="0" applyFont="1" applyFill="1" applyBorder="1"/>
    <xf numFmtId="0" fontId="186" fillId="67" borderId="21" xfId="0" applyFont="1" applyFill="1" applyBorder="1" applyAlignment="1">
      <alignment horizontal="right"/>
    </xf>
    <xf numFmtId="0" fontId="186" fillId="67" borderId="0" xfId="0" applyFont="1" applyFill="1" applyBorder="1" applyAlignment="1">
      <alignment horizontal="right"/>
    </xf>
    <xf numFmtId="165" fontId="186" fillId="67" borderId="26" xfId="0" applyNumberFormat="1" applyFont="1" applyFill="1" applyBorder="1" applyAlignment="1">
      <alignment horizontal="right"/>
    </xf>
    <xf numFmtId="165" fontId="186" fillId="67" borderId="54" xfId="0" applyNumberFormat="1" applyFont="1" applyFill="1" applyBorder="1" applyAlignment="1">
      <alignment horizontal="right"/>
    </xf>
    <xf numFmtId="165" fontId="186" fillId="67" borderId="69" xfId="0" applyNumberFormat="1" applyFont="1" applyFill="1" applyBorder="1" applyAlignment="1">
      <alignment horizontal="right"/>
    </xf>
    <xf numFmtId="165" fontId="186" fillId="67" borderId="12" xfId="0" applyNumberFormat="1" applyFont="1" applyFill="1" applyBorder="1" applyAlignment="1">
      <alignment horizontal="right"/>
    </xf>
    <xf numFmtId="37" fontId="185" fillId="67" borderId="14" xfId="0" applyNumberFormat="1" applyFont="1" applyFill="1" applyBorder="1" applyAlignment="1">
      <alignment horizontal="right"/>
    </xf>
    <xf numFmtId="165" fontId="185" fillId="67" borderId="21" xfId="0" applyNumberFormat="1" applyFont="1" applyFill="1" applyBorder="1"/>
    <xf numFmtId="165" fontId="185" fillId="67" borderId="21" xfId="0" applyNumberFormat="1" applyFont="1" applyFill="1" applyBorder="1" applyAlignment="1">
      <alignment horizontal="right"/>
    </xf>
    <xf numFmtId="37" fontId="185" fillId="67" borderId="0" xfId="0" applyNumberFormat="1" applyFont="1" applyFill="1" applyBorder="1" applyAlignment="1">
      <alignment horizontal="right"/>
    </xf>
    <xf numFmtId="37" fontId="185" fillId="67" borderId="106" xfId="0" applyNumberFormat="1" applyFont="1" applyFill="1" applyBorder="1" applyAlignment="1">
      <alignment horizontal="right"/>
    </xf>
    <xf numFmtId="37" fontId="185" fillId="67" borderId="12" xfId="0" applyNumberFormat="1" applyFont="1" applyFill="1" applyBorder="1" applyAlignment="1">
      <alignment horizontal="right"/>
    </xf>
    <xf numFmtId="165" fontId="186" fillId="67" borderId="14" xfId="0" applyNumberFormat="1" applyFont="1" applyFill="1" applyBorder="1" applyAlignment="1">
      <alignment horizontal="right"/>
    </xf>
    <xf numFmtId="9" fontId="186" fillId="67" borderId="21" xfId="52" applyFont="1" applyFill="1" applyBorder="1"/>
    <xf numFmtId="165" fontId="186" fillId="67" borderId="106" xfId="0" applyNumberFormat="1" applyFont="1" applyFill="1" applyBorder="1" applyAlignment="1">
      <alignment horizontal="right"/>
    </xf>
    <xf numFmtId="178" fontId="185" fillId="67" borderId="14" xfId="0" applyNumberFormat="1" applyFont="1" applyFill="1" applyBorder="1" applyAlignment="1">
      <alignment horizontal="right"/>
    </xf>
    <xf numFmtId="178" fontId="185" fillId="67" borderId="0" xfId="0" applyNumberFormat="1" applyFont="1" applyFill="1" applyBorder="1" applyAlignment="1">
      <alignment horizontal="right"/>
    </xf>
    <xf numFmtId="178" fontId="185" fillId="67" borderId="106" xfId="0" applyNumberFormat="1" applyFont="1" applyFill="1" applyBorder="1" applyAlignment="1">
      <alignment horizontal="right"/>
    </xf>
    <xf numFmtId="178" fontId="185" fillId="67" borderId="12" xfId="0" applyNumberFormat="1" applyFont="1" applyFill="1" applyBorder="1" applyAlignment="1">
      <alignment horizontal="right"/>
    </xf>
    <xf numFmtId="43" fontId="185" fillId="67" borderId="0" xfId="39" applyNumberFormat="1" applyFont="1" applyFill="1" applyBorder="1" applyAlignment="1">
      <alignment horizontal="left"/>
    </xf>
    <xf numFmtId="165" fontId="186" fillId="67" borderId="2" xfId="0" applyNumberFormat="1" applyFont="1" applyFill="1" applyBorder="1" applyAlignment="1">
      <alignment horizontal="right"/>
    </xf>
    <xf numFmtId="165" fontId="185" fillId="67" borderId="2" xfId="0" applyNumberFormat="1" applyFont="1" applyFill="1" applyBorder="1" applyAlignment="1">
      <alignment horizontal="right"/>
    </xf>
    <xf numFmtId="178" fontId="186" fillId="67" borderId="14" xfId="0" applyNumberFormat="1" applyFont="1" applyFill="1" applyBorder="1" applyAlignment="1">
      <alignment horizontal="right"/>
    </xf>
    <xf numFmtId="186" fontId="186" fillId="67" borderId="0" xfId="0" applyNumberFormat="1" applyFont="1" applyFill="1" applyBorder="1" applyAlignment="1">
      <alignment horizontal="right"/>
    </xf>
    <xf numFmtId="0" fontId="186" fillId="67" borderId="2" xfId="0" applyFont="1" applyFill="1" applyBorder="1" applyAlignment="1">
      <alignment horizontal="right"/>
    </xf>
    <xf numFmtId="178" fontId="186" fillId="67" borderId="0" xfId="0" applyNumberFormat="1" applyFont="1" applyFill="1" applyBorder="1" applyAlignment="1">
      <alignment horizontal="right"/>
    </xf>
    <xf numFmtId="178" fontId="186" fillId="67" borderId="106" xfId="0" applyNumberFormat="1" applyFont="1" applyFill="1" applyBorder="1" applyAlignment="1">
      <alignment horizontal="right"/>
    </xf>
    <xf numFmtId="178" fontId="186" fillId="67" borderId="12" xfId="0" applyNumberFormat="1" applyFont="1" applyFill="1" applyBorder="1" applyAlignment="1">
      <alignment horizontal="right"/>
    </xf>
    <xf numFmtId="9" fontId="186" fillId="67" borderId="14" xfId="52" applyFont="1" applyFill="1" applyBorder="1" applyAlignment="1">
      <alignment horizontal="right"/>
    </xf>
    <xf numFmtId="9" fontId="186" fillId="67" borderId="21" xfId="52" applyFont="1" applyFill="1" applyBorder="1" applyAlignment="1">
      <alignment horizontal="right"/>
    </xf>
    <xf numFmtId="9" fontId="186" fillId="67" borderId="2" xfId="52" applyFont="1" applyFill="1" applyBorder="1" applyAlignment="1">
      <alignment horizontal="right"/>
    </xf>
    <xf numFmtId="43" fontId="186" fillId="67" borderId="106" xfId="10" applyFont="1" applyFill="1" applyBorder="1" applyAlignment="1">
      <alignment horizontal="right"/>
    </xf>
    <xf numFmtId="9" fontId="186" fillId="67" borderId="60" xfId="52" applyFont="1" applyFill="1" applyBorder="1" applyAlignment="1">
      <alignment horizontal="right"/>
    </xf>
    <xf numFmtId="43" fontId="186" fillId="67" borderId="0" xfId="10" applyFont="1" applyFill="1" applyBorder="1" applyAlignment="1">
      <alignment horizontal="right"/>
    </xf>
    <xf numFmtId="43" fontId="186" fillId="67" borderId="92" xfId="10" applyFont="1" applyFill="1" applyBorder="1" applyAlignment="1">
      <alignment horizontal="right"/>
    </xf>
    <xf numFmtId="43" fontId="185" fillId="67" borderId="0" xfId="39" applyNumberFormat="1" applyFont="1" applyFill="1" applyBorder="1" applyAlignment="1">
      <alignment horizontal="left" indent="1"/>
    </xf>
    <xf numFmtId="165" fontId="185" fillId="67" borderId="0" xfId="46" applyNumberFormat="1" applyFont="1" applyFill="1" applyBorder="1"/>
    <xf numFmtId="165" fontId="185" fillId="67" borderId="14" xfId="46" applyNumberFormat="1" applyFont="1" applyFill="1" applyBorder="1" applyAlignment="1">
      <alignment horizontal="right"/>
    </xf>
    <xf numFmtId="165" fontId="185" fillId="67" borderId="21" xfId="46" applyNumberFormat="1" applyFont="1" applyFill="1" applyBorder="1"/>
    <xf numFmtId="165" fontId="185" fillId="67" borderId="21" xfId="46" applyNumberFormat="1" applyFont="1" applyFill="1" applyBorder="1" applyAlignment="1">
      <alignment horizontal="right"/>
    </xf>
    <xf numFmtId="165" fontId="185" fillId="67" borderId="0" xfId="46" applyNumberFormat="1" applyFont="1" applyFill="1" applyBorder="1" applyAlignment="1">
      <alignment horizontal="right"/>
    </xf>
    <xf numFmtId="165" fontId="185" fillId="67" borderId="106" xfId="46" applyNumberFormat="1" applyFont="1" applyFill="1" applyBorder="1" applyAlignment="1">
      <alignment horizontal="right"/>
    </xf>
    <xf numFmtId="0" fontId="186" fillId="67" borderId="14" xfId="0" applyFont="1" applyFill="1" applyBorder="1" applyAlignment="1">
      <alignment horizontal="right"/>
    </xf>
    <xf numFmtId="0" fontId="186" fillId="67" borderId="106" xfId="0" applyFont="1" applyFill="1" applyBorder="1" applyAlignment="1">
      <alignment horizontal="right"/>
    </xf>
    <xf numFmtId="0" fontId="186" fillId="67" borderId="60" xfId="0" applyFont="1" applyFill="1" applyBorder="1" applyAlignment="1">
      <alignment horizontal="right"/>
    </xf>
    <xf numFmtId="0" fontId="186" fillId="67" borderId="92" xfId="0" applyFont="1" applyFill="1" applyBorder="1" applyAlignment="1">
      <alignment horizontal="right"/>
    </xf>
    <xf numFmtId="165" fontId="185" fillId="67" borderId="118" xfId="46" applyNumberFormat="1" applyFont="1" applyFill="1" applyBorder="1"/>
    <xf numFmtId="165" fontId="185" fillId="67" borderId="124" xfId="46" applyNumberFormat="1" applyFont="1" applyFill="1" applyBorder="1" applyAlignment="1">
      <alignment horizontal="right"/>
    </xf>
    <xf numFmtId="165" fontId="185" fillId="67" borderId="88" xfId="46" applyNumberFormat="1" applyFont="1" applyFill="1" applyBorder="1"/>
    <xf numFmtId="165" fontId="185" fillId="67" borderId="118" xfId="46" applyNumberFormat="1" applyFont="1" applyFill="1" applyBorder="1" applyAlignment="1">
      <alignment horizontal="right"/>
    </xf>
    <xf numFmtId="165" fontId="185" fillId="67" borderId="88" xfId="46" applyNumberFormat="1" applyFont="1" applyFill="1" applyBorder="1" applyAlignment="1">
      <alignment horizontal="right"/>
    </xf>
    <xf numFmtId="165" fontId="185" fillId="67" borderId="136" xfId="46" applyNumberFormat="1" applyFont="1" applyFill="1" applyBorder="1" applyAlignment="1">
      <alignment horizontal="right"/>
    </xf>
    <xf numFmtId="165" fontId="185" fillId="67" borderId="213" xfId="46" applyNumberFormat="1" applyFont="1" applyFill="1" applyBorder="1" applyAlignment="1">
      <alignment horizontal="right"/>
    </xf>
    <xf numFmtId="165" fontId="185" fillId="67" borderId="135" xfId="46" applyNumberFormat="1" applyFont="1" applyFill="1" applyBorder="1" applyAlignment="1">
      <alignment horizontal="right"/>
    </xf>
    <xf numFmtId="43" fontId="185" fillId="67" borderId="117" xfId="0" applyNumberFormat="1" applyFont="1" applyFill="1" applyBorder="1"/>
    <xf numFmtId="0" fontId="186" fillId="67" borderId="99" xfId="0" applyFont="1" applyFill="1" applyBorder="1"/>
    <xf numFmtId="165" fontId="186" fillId="67" borderId="77" xfId="0" applyNumberFormat="1" applyFont="1" applyFill="1" applyBorder="1" applyAlignment="1">
      <alignment horizontal="right"/>
    </xf>
    <xf numFmtId="0" fontId="186" fillId="67" borderId="119" xfId="0" applyFont="1" applyFill="1" applyBorder="1"/>
    <xf numFmtId="0" fontId="186" fillId="67" borderId="119" xfId="0" applyFont="1" applyFill="1" applyBorder="1" applyAlignment="1">
      <alignment horizontal="right"/>
    </xf>
    <xf numFmtId="0" fontId="186" fillId="67" borderId="99" xfId="0" applyFont="1" applyFill="1" applyBorder="1" applyAlignment="1">
      <alignment horizontal="right"/>
    </xf>
    <xf numFmtId="165" fontId="186" fillId="67" borderId="99" xfId="0" applyNumberFormat="1" applyFont="1" applyFill="1" applyBorder="1" applyAlignment="1">
      <alignment horizontal="right"/>
    </xf>
    <xf numFmtId="165" fontId="186" fillId="67" borderId="120" xfId="0" applyNumberFormat="1" applyFont="1" applyFill="1" applyBorder="1" applyAlignment="1">
      <alignment horizontal="right"/>
    </xf>
    <xf numFmtId="43" fontId="186" fillId="67" borderId="5" xfId="67" applyNumberFormat="1" applyFont="1" applyFill="1" applyBorder="1" applyAlignment="1">
      <alignment horizontal="left" indent="1"/>
    </xf>
    <xf numFmtId="166" fontId="186" fillId="67" borderId="142" xfId="129" applyNumberFormat="1" applyFont="1" applyFill="1" applyBorder="1" applyAlignment="1">
      <alignment horizontal="center"/>
    </xf>
    <xf numFmtId="166" fontId="186" fillId="67" borderId="5" xfId="129" applyNumberFormat="1" applyFont="1" applyFill="1" applyBorder="1" applyAlignment="1">
      <alignment horizontal="right"/>
    </xf>
    <xf numFmtId="166" fontId="186" fillId="67" borderId="17" xfId="129" applyNumberFormat="1" applyFont="1" applyFill="1" applyBorder="1" applyAlignment="1">
      <alignment horizontal="right"/>
    </xf>
    <xf numFmtId="166" fontId="186" fillId="67" borderId="142" xfId="129" applyNumberFormat="1" applyFont="1" applyFill="1" applyBorder="1" applyAlignment="1">
      <alignment horizontal="right"/>
    </xf>
    <xf numFmtId="166" fontId="186" fillId="67" borderId="138" xfId="129" applyNumberFormat="1" applyFont="1" applyFill="1" applyBorder="1" applyAlignment="1">
      <alignment horizontal="right"/>
    </xf>
    <xf numFmtId="166" fontId="186" fillId="67" borderId="4" xfId="129" applyNumberFormat="1" applyFont="1" applyFill="1" applyBorder="1" applyAlignment="1">
      <alignment horizontal="center"/>
    </xf>
    <xf numFmtId="166" fontId="186" fillId="67" borderId="4" xfId="67" applyNumberFormat="1" applyFont="1" applyFill="1" applyBorder="1"/>
    <xf numFmtId="166" fontId="186" fillId="67" borderId="4" xfId="129" applyNumberFormat="1" applyFont="1" applyFill="1" applyBorder="1" applyAlignment="1">
      <alignment horizontal="right"/>
    </xf>
    <xf numFmtId="166" fontId="186" fillId="67" borderId="4" xfId="67" applyNumberFormat="1" applyFont="1" applyFill="1" applyBorder="1" applyAlignment="1">
      <alignment horizontal="right"/>
    </xf>
    <xf numFmtId="166" fontId="186" fillId="67" borderId="110" xfId="129" applyNumberFormat="1" applyFont="1" applyFill="1" applyBorder="1" applyAlignment="1">
      <alignment horizontal="right"/>
    </xf>
    <xf numFmtId="166" fontId="186" fillId="0" borderId="0" xfId="129" applyNumberFormat="1" applyFont="1" applyFill="1" applyBorder="1" applyAlignment="1">
      <alignment horizontal="right"/>
    </xf>
    <xf numFmtId="0" fontId="56" fillId="0" borderId="237" xfId="67" applyFont="1" applyFill="1" applyBorder="1"/>
    <xf numFmtId="43" fontId="185" fillId="0" borderId="53" xfId="67" applyNumberFormat="1" applyFont="1" applyFill="1" applyBorder="1"/>
    <xf numFmtId="43" fontId="186" fillId="0" borderId="237" xfId="67" applyNumberFormat="1" applyFont="1" applyFill="1" applyBorder="1"/>
    <xf numFmtId="0" fontId="56" fillId="0" borderId="236" xfId="67" applyFont="1" applyFill="1" applyBorder="1"/>
    <xf numFmtId="0" fontId="243" fillId="59" borderId="208" xfId="67" applyFont="1" applyFill="1" applyBorder="1" applyAlignment="1">
      <alignment horizontal="right"/>
    </xf>
    <xf numFmtId="41" fontId="188" fillId="0" borderId="0" xfId="0" applyNumberFormat="1" applyFont="1" applyFill="1" applyBorder="1" applyAlignment="1">
      <alignment horizontal="left"/>
    </xf>
    <xf numFmtId="43" fontId="185" fillId="67" borderId="19" xfId="0" applyNumberFormat="1" applyFont="1" applyFill="1" applyBorder="1" applyAlignment="1">
      <alignment horizontal="center"/>
    </xf>
    <xf numFmtId="0" fontId="185" fillId="67" borderId="19" xfId="0" applyFont="1" applyFill="1" applyBorder="1" applyAlignment="1">
      <alignment horizontal="center"/>
    </xf>
    <xf numFmtId="0" fontId="185" fillId="67" borderId="19" xfId="0" applyFont="1" applyFill="1" applyBorder="1" applyAlignment="1">
      <alignment horizontal="right"/>
    </xf>
    <xf numFmtId="0" fontId="185" fillId="67" borderId="0" xfId="0" applyFont="1" applyFill="1" applyBorder="1" applyAlignment="1">
      <alignment horizontal="right"/>
    </xf>
    <xf numFmtId="43" fontId="186" fillId="67" borderId="0" xfId="0" applyNumberFormat="1" applyFont="1" applyFill="1" applyBorder="1" applyAlignment="1">
      <alignment horizontal="center"/>
    </xf>
    <xf numFmtId="0" fontId="186" fillId="67" borderId="0" xfId="0" applyFont="1" applyFill="1" applyBorder="1" applyAlignment="1">
      <alignment horizontal="center"/>
    </xf>
    <xf numFmtId="43" fontId="186" fillId="67" borderId="273" xfId="0" applyNumberFormat="1" applyFont="1" applyFill="1" applyBorder="1" applyAlignment="1">
      <alignment horizontal="center"/>
    </xf>
    <xf numFmtId="167" fontId="185" fillId="67" borderId="273" xfId="0" applyNumberFormat="1" applyFont="1" applyFill="1" applyBorder="1" applyAlignment="1">
      <alignment horizontal="center"/>
    </xf>
    <xf numFmtId="0" fontId="185" fillId="67" borderId="273" xfId="0" applyFont="1" applyFill="1" applyBorder="1" applyAlignment="1">
      <alignment horizontal="center"/>
    </xf>
    <xf numFmtId="0" fontId="185" fillId="67" borderId="273" xfId="0" applyFont="1" applyFill="1" applyBorder="1" applyAlignment="1">
      <alignment horizontal="right"/>
    </xf>
    <xf numFmtId="0" fontId="185" fillId="67" borderId="11" xfId="45" quotePrefix="1" applyFont="1" applyFill="1" applyBorder="1" applyAlignment="1">
      <alignment horizontal="center"/>
    </xf>
    <xf numFmtId="0" fontId="185" fillId="67" borderId="232" xfId="0" applyFont="1" applyFill="1" applyBorder="1"/>
    <xf numFmtId="37" fontId="198" fillId="67" borderId="139" xfId="0" applyNumberFormat="1" applyFont="1" applyFill="1" applyBorder="1" applyAlignment="1">
      <alignment vertical="top"/>
    </xf>
    <xf numFmtId="37" fontId="185" fillId="67" borderId="232" xfId="0" applyNumberFormat="1" applyFont="1" applyFill="1" applyBorder="1" applyAlignment="1">
      <alignment horizontal="right" vertical="top"/>
    </xf>
    <xf numFmtId="37" fontId="198" fillId="67" borderId="232" xfId="0" applyNumberFormat="1" applyFont="1" applyFill="1" applyBorder="1" applyAlignment="1">
      <alignment vertical="top"/>
    </xf>
    <xf numFmtId="37" fontId="185" fillId="67" borderId="139" xfId="0" applyNumberFormat="1" applyFont="1" applyFill="1" applyBorder="1" applyAlignment="1">
      <alignment vertical="top"/>
    </xf>
    <xf numFmtId="37" fontId="236" fillId="67" borderId="232" xfId="0" applyNumberFormat="1" applyFont="1" applyFill="1" applyBorder="1" applyAlignment="1">
      <alignment vertical="top"/>
    </xf>
    <xf numFmtId="37" fontId="185" fillId="67" borderId="232" xfId="0" applyNumberFormat="1" applyFont="1" applyFill="1" applyBorder="1" applyAlignment="1">
      <alignment vertical="top"/>
    </xf>
    <xf numFmtId="0" fontId="188" fillId="67" borderId="232" xfId="0" applyFont="1" applyFill="1" applyBorder="1"/>
    <xf numFmtId="37" fontId="188" fillId="67" borderId="139" xfId="0" applyNumberFormat="1" applyFont="1" applyFill="1" applyBorder="1"/>
    <xf numFmtId="37" fontId="188" fillId="67" borderId="232" xfId="0" applyNumberFormat="1" applyFont="1" applyFill="1" applyBorder="1" applyAlignment="1">
      <alignment horizontal="right"/>
    </xf>
    <xf numFmtId="171" fontId="185" fillId="67" borderId="213" xfId="0" applyNumberFormat="1" applyFont="1" applyFill="1" applyBorder="1"/>
    <xf numFmtId="171" fontId="185" fillId="67" borderId="140" xfId="0" applyNumberFormat="1" applyFont="1" applyFill="1" applyBorder="1"/>
    <xf numFmtId="37" fontId="185" fillId="67" borderId="213" xfId="0" applyNumberFormat="1" applyFont="1" applyFill="1" applyBorder="1" applyAlignment="1">
      <alignment horizontal="right"/>
    </xf>
    <xf numFmtId="171" fontId="185" fillId="67" borderId="213" xfId="0" applyNumberFormat="1" applyFont="1" applyFill="1" applyBorder="1" applyAlignment="1">
      <alignment horizontal="right"/>
    </xf>
    <xf numFmtId="0" fontId="188" fillId="67" borderId="0" xfId="0" applyFont="1" applyFill="1" applyBorder="1"/>
    <xf numFmtId="37" fontId="202" fillId="67" borderId="212" xfId="0" applyNumberFormat="1" applyFont="1" applyFill="1" applyBorder="1"/>
    <xf numFmtId="37" fontId="188" fillId="67" borderId="0" xfId="0" applyNumberFormat="1" applyFont="1" applyFill="1" applyBorder="1" applyAlignment="1">
      <alignment horizontal="right"/>
    </xf>
    <xf numFmtId="37" fontId="202" fillId="67" borderId="0" xfId="0" applyNumberFormat="1" applyFont="1" applyFill="1" applyBorder="1"/>
    <xf numFmtId="37" fontId="188" fillId="67" borderId="212" xfId="0" applyNumberFormat="1" applyFont="1" applyFill="1" applyBorder="1"/>
    <xf numFmtId="37" fontId="207" fillId="67" borderId="0" xfId="0" applyNumberFormat="1" applyFont="1" applyFill="1" applyBorder="1"/>
    <xf numFmtId="37" fontId="188" fillId="67" borderId="0" xfId="0" applyNumberFormat="1" applyFont="1" applyFill="1" applyBorder="1"/>
    <xf numFmtId="9" fontId="206" fillId="67" borderId="139" xfId="52" applyFont="1" applyFill="1" applyBorder="1" applyAlignment="1">
      <alignment vertical="top"/>
    </xf>
    <xf numFmtId="9" fontId="206" fillId="67" borderId="232" xfId="52" applyFont="1" applyFill="1" applyBorder="1" applyAlignment="1">
      <alignment vertical="top"/>
    </xf>
    <xf numFmtId="9" fontId="206" fillId="67" borderId="232" xfId="52" applyFont="1" applyFill="1" applyBorder="1" applyAlignment="1">
      <alignment horizontal="right" vertical="top"/>
    </xf>
    <xf numFmtId="9" fontId="206" fillId="67" borderId="139" xfId="52" applyFont="1" applyFill="1" applyBorder="1" applyAlignment="1">
      <alignment horizontal="right" vertical="top"/>
    </xf>
    <xf numFmtId="9" fontId="201" fillId="67" borderId="0" xfId="52" applyFont="1" applyFill="1" applyBorder="1"/>
    <xf numFmtId="9" fontId="201" fillId="67" borderId="0" xfId="52" applyFont="1" applyFill="1" applyBorder="1" applyAlignment="1">
      <alignment horizontal="right"/>
    </xf>
    <xf numFmtId="0" fontId="185" fillId="67" borderId="0" xfId="0" applyFont="1" applyFill="1" applyBorder="1"/>
    <xf numFmtId="9" fontId="206" fillId="67" borderId="212" xfId="52" applyFont="1" applyFill="1" applyBorder="1"/>
    <xf numFmtId="9" fontId="206" fillId="67" borderId="0" xfId="52" applyFont="1" applyFill="1" applyBorder="1"/>
    <xf numFmtId="9" fontId="206" fillId="67" borderId="0" xfId="52" applyFont="1" applyFill="1" applyBorder="1" applyAlignment="1">
      <alignment horizontal="right"/>
    </xf>
    <xf numFmtId="9" fontId="206" fillId="67" borderId="212" xfId="52" applyFont="1" applyFill="1" applyBorder="1" applyAlignment="1">
      <alignment horizontal="right"/>
    </xf>
    <xf numFmtId="166" fontId="206" fillId="67" borderId="139" xfId="52" applyNumberFormat="1" applyFont="1" applyFill="1" applyBorder="1" applyAlignment="1">
      <alignment vertical="top"/>
    </xf>
    <xf numFmtId="166" fontId="206" fillId="67" borderId="232" xfId="52" applyNumberFormat="1" applyFont="1" applyFill="1" applyBorder="1" applyAlignment="1">
      <alignment horizontal="right" vertical="top"/>
    </xf>
    <xf numFmtId="166" fontId="206" fillId="67" borderId="232" xfId="52" applyNumberFormat="1" applyFont="1" applyFill="1" applyBorder="1" applyAlignment="1">
      <alignment vertical="top"/>
    </xf>
    <xf numFmtId="166" fontId="206" fillId="67" borderId="212" xfId="52" applyNumberFormat="1" applyFont="1" applyFill="1" applyBorder="1" applyAlignment="1">
      <alignment vertical="top"/>
    </xf>
    <xf numFmtId="166" fontId="206" fillId="67" borderId="0" xfId="52" applyNumberFormat="1" applyFont="1" applyFill="1" applyBorder="1" applyAlignment="1">
      <alignment horizontal="right" vertical="top"/>
    </xf>
    <xf numFmtId="166" fontId="206" fillId="67" borderId="0" xfId="52" applyNumberFormat="1" applyFont="1" applyFill="1" applyBorder="1" applyAlignment="1">
      <alignment vertical="top"/>
    </xf>
    <xf numFmtId="37" fontId="188" fillId="67" borderId="106" xfId="0" applyNumberFormat="1" applyFont="1" applyFill="1" applyBorder="1"/>
    <xf numFmtId="37" fontId="198" fillId="67" borderId="106" xfId="0" applyNumberFormat="1" applyFont="1" applyFill="1" applyBorder="1"/>
    <xf numFmtId="37" fontId="198" fillId="67" borderId="0" xfId="0" applyNumberFormat="1" applyFont="1" applyFill="1" applyBorder="1"/>
    <xf numFmtId="37" fontId="185" fillId="67" borderId="106" xfId="0" applyNumberFormat="1" applyFont="1" applyFill="1" applyBorder="1"/>
    <xf numFmtId="37" fontId="185" fillId="67" borderId="0" xfId="0" applyNumberFormat="1" applyFont="1" applyFill="1" applyBorder="1"/>
    <xf numFmtId="7" fontId="185" fillId="67" borderId="0" xfId="0" applyNumberFormat="1" applyFont="1" applyFill="1" applyBorder="1"/>
    <xf numFmtId="7" fontId="185" fillId="67" borderId="106" xfId="0" applyNumberFormat="1" applyFont="1" applyFill="1" applyBorder="1"/>
    <xf numFmtId="7" fontId="185" fillId="67" borderId="0" xfId="0" applyNumberFormat="1" applyFont="1" applyFill="1" applyBorder="1" applyAlignment="1">
      <alignment horizontal="right"/>
    </xf>
    <xf numFmtId="9" fontId="206" fillId="67" borderId="106" xfId="52" applyFont="1" applyFill="1" applyBorder="1"/>
    <xf numFmtId="9" fontId="206" fillId="67" borderId="106" xfId="52" applyFont="1" applyFill="1" applyBorder="1" applyAlignment="1">
      <alignment horizontal="right"/>
    </xf>
    <xf numFmtId="9" fontId="201" fillId="67" borderId="106" xfId="52" applyFont="1" applyFill="1" applyBorder="1"/>
    <xf numFmtId="9" fontId="201" fillId="67" borderId="106" xfId="52" applyFont="1" applyFill="1" applyBorder="1" applyAlignment="1">
      <alignment horizontal="right"/>
    </xf>
    <xf numFmtId="9" fontId="251" fillId="67" borderId="0" xfId="52" applyFont="1" applyFill="1" applyBorder="1" applyAlignment="1">
      <alignment horizontal="right"/>
    </xf>
    <xf numFmtId="9" fontId="251" fillId="67" borderId="106" xfId="52" applyFont="1" applyFill="1" applyBorder="1" applyAlignment="1">
      <alignment horizontal="right"/>
    </xf>
    <xf numFmtId="37" fontId="185" fillId="67" borderId="212" xfId="0" applyNumberFormat="1" applyFont="1" applyFill="1" applyBorder="1"/>
    <xf numFmtId="171" fontId="185" fillId="67" borderId="0" xfId="0" applyNumberFormat="1" applyFont="1" applyFill="1" applyBorder="1"/>
    <xf numFmtId="171" fontId="185" fillId="67" borderId="106" xfId="0" applyNumberFormat="1" applyFont="1" applyFill="1" applyBorder="1"/>
    <xf numFmtId="171" fontId="185" fillId="67" borderId="0" xfId="0" applyNumberFormat="1" applyFont="1" applyFill="1" applyBorder="1" applyAlignment="1">
      <alignment horizontal="right"/>
    </xf>
    <xf numFmtId="9" fontId="188" fillId="67" borderId="106" xfId="52" applyFont="1" applyFill="1" applyBorder="1"/>
    <xf numFmtId="9" fontId="188" fillId="67" borderId="0" xfId="52" applyFont="1" applyFill="1" applyBorder="1"/>
    <xf numFmtId="166" fontId="185" fillId="67" borderId="106" xfId="52" applyNumberFormat="1" applyFont="1" applyFill="1" applyBorder="1"/>
    <xf numFmtId="166" fontId="185" fillId="67" borderId="0" xfId="52" applyNumberFormat="1" applyFont="1" applyFill="1" applyBorder="1"/>
    <xf numFmtId="9" fontId="188" fillId="67" borderId="0" xfId="52" applyFont="1" applyFill="1" applyBorder="1" applyAlignment="1">
      <alignment horizontal="right"/>
    </xf>
    <xf numFmtId="37" fontId="56" fillId="67" borderId="0" xfId="0" applyNumberFormat="1" applyFont="1" applyFill="1" applyBorder="1"/>
    <xf numFmtId="37" fontId="56" fillId="67" borderId="106" xfId="0" applyNumberFormat="1" applyFont="1" applyFill="1" applyBorder="1"/>
    <xf numFmtId="165" fontId="185" fillId="67" borderId="68" xfId="42" applyNumberFormat="1" applyFont="1" applyFill="1" applyBorder="1" applyAlignment="1">
      <alignment horizontal="right"/>
    </xf>
    <xf numFmtId="165" fontId="185" fillId="67" borderId="104" xfId="42" applyNumberFormat="1" applyFont="1" applyFill="1" applyBorder="1" applyAlignment="1">
      <alignment horizontal="right"/>
    </xf>
    <xf numFmtId="192" fontId="185" fillId="67" borderId="68" xfId="42" applyNumberFormat="1" applyFont="1" applyFill="1" applyBorder="1" applyAlignment="1">
      <alignment horizontal="right"/>
    </xf>
    <xf numFmtId="165" fontId="185" fillId="67" borderId="157" xfId="42" applyNumberFormat="1" applyFont="1" applyFill="1" applyBorder="1" applyAlignment="1">
      <alignment horizontal="right"/>
    </xf>
    <xf numFmtId="165" fontId="185" fillId="67" borderId="126" xfId="42" applyNumberFormat="1" applyFont="1" applyFill="1" applyBorder="1" applyAlignment="1">
      <alignment horizontal="right"/>
    </xf>
    <xf numFmtId="43" fontId="185" fillId="67" borderId="103" xfId="52" applyNumberFormat="1" applyFont="1" applyFill="1" applyBorder="1" applyAlignment="1">
      <alignment horizontal="left"/>
    </xf>
    <xf numFmtId="0" fontId="206" fillId="67" borderId="68" xfId="0" applyFont="1" applyFill="1" applyBorder="1" applyAlignment="1">
      <alignment horizontal="right"/>
    </xf>
    <xf numFmtId="0" fontId="206" fillId="67" borderId="104" xfId="0" applyFont="1" applyFill="1" applyBorder="1" applyAlignment="1">
      <alignment horizontal="right"/>
    </xf>
    <xf numFmtId="165" fontId="185" fillId="67" borderId="68" xfId="0" applyNumberFormat="1" applyFont="1" applyFill="1" applyBorder="1" applyAlignment="1">
      <alignment horizontal="right"/>
    </xf>
    <xf numFmtId="165" fontId="185" fillId="67" borderId="157" xfId="0" applyNumberFormat="1" applyFont="1" applyFill="1" applyBorder="1" applyAlignment="1">
      <alignment horizontal="right"/>
    </xf>
    <xf numFmtId="165" fontId="185" fillId="67" borderId="126" xfId="0" applyNumberFormat="1" applyFont="1" applyFill="1" applyBorder="1" applyAlignment="1">
      <alignment horizontal="right"/>
    </xf>
    <xf numFmtId="43" fontId="56" fillId="67" borderId="103" xfId="0" applyNumberFormat="1" applyFont="1" applyFill="1" applyBorder="1" applyAlignment="1">
      <alignment horizontal="left" indent="1"/>
    </xf>
    <xf numFmtId="0" fontId="56" fillId="67" borderId="68" xfId="0" applyFont="1" applyFill="1" applyBorder="1" applyAlignment="1">
      <alignment horizontal="right"/>
    </xf>
    <xf numFmtId="0" fontId="56" fillId="67" borderId="104" xfId="0" applyFont="1" applyFill="1" applyBorder="1" applyAlignment="1">
      <alignment horizontal="right"/>
    </xf>
    <xf numFmtId="166" fontId="56" fillId="67" borderId="68" xfId="52" applyNumberFormat="1" applyFont="1" applyFill="1" applyBorder="1" applyAlignment="1">
      <alignment horizontal="right"/>
    </xf>
    <xf numFmtId="166" fontId="56" fillId="67" borderId="157" xfId="52" applyNumberFormat="1" applyFont="1" applyFill="1" applyBorder="1" applyAlignment="1">
      <alignment horizontal="right"/>
    </xf>
    <xf numFmtId="166" fontId="56" fillId="67" borderId="126" xfId="52" applyNumberFormat="1" applyFont="1" applyFill="1" applyBorder="1" applyAlignment="1">
      <alignment horizontal="right"/>
    </xf>
    <xf numFmtId="43" fontId="184" fillId="67" borderId="103" xfId="0" applyNumberFormat="1" applyFont="1" applyFill="1" applyBorder="1" applyAlignment="1">
      <alignment horizontal="left" indent="2"/>
    </xf>
    <xf numFmtId="166" fontId="184" fillId="67" borderId="68" xfId="10" applyNumberFormat="1" applyFont="1" applyFill="1" applyBorder="1" applyAlignment="1">
      <alignment horizontal="right"/>
    </xf>
    <xf numFmtId="166" fontId="184" fillId="67" borderId="0" xfId="10" applyNumberFormat="1" applyFont="1" applyFill="1" applyBorder="1" applyAlignment="1">
      <alignment horizontal="right"/>
    </xf>
    <xf numFmtId="166" fontId="184" fillId="67" borderId="104" xfId="10" applyNumberFormat="1" applyFont="1" applyFill="1" applyBorder="1" applyAlignment="1">
      <alignment horizontal="right"/>
    </xf>
    <xf numFmtId="166" fontId="184" fillId="67" borderId="106" xfId="10" applyNumberFormat="1" applyFont="1" applyFill="1" applyBorder="1" applyAlignment="1">
      <alignment horizontal="right"/>
    </xf>
    <xf numFmtId="166" fontId="184" fillId="67" borderId="68" xfId="10" quotePrefix="1" applyNumberFormat="1" applyFont="1" applyFill="1" applyBorder="1" applyAlignment="1">
      <alignment horizontal="right"/>
    </xf>
    <xf numFmtId="166" fontId="184" fillId="67" borderId="68" xfId="52" applyNumberFormat="1" applyFont="1" applyFill="1" applyBorder="1" applyAlignment="1">
      <alignment horizontal="right"/>
    </xf>
    <xf numFmtId="166" fontId="184" fillId="67" borderId="157" xfId="52" applyNumberFormat="1" applyFont="1" applyFill="1" applyBorder="1" applyAlignment="1">
      <alignment horizontal="right"/>
    </xf>
    <xf numFmtId="166" fontId="184" fillId="67" borderId="126" xfId="52" applyNumberFormat="1" applyFont="1" applyFill="1" applyBorder="1" applyAlignment="1">
      <alignment horizontal="right"/>
    </xf>
    <xf numFmtId="166" fontId="184" fillId="67" borderId="61" xfId="52" applyNumberFormat="1" applyFont="1" applyFill="1" applyBorder="1" applyAlignment="1">
      <alignment horizontal="right"/>
    </xf>
    <xf numFmtId="165" fontId="56" fillId="67" borderId="68" xfId="52" applyNumberFormat="1" applyFont="1" applyFill="1" applyBorder="1" applyAlignment="1">
      <alignment horizontal="right"/>
    </xf>
    <xf numFmtId="165" fontId="56" fillId="67" borderId="104" xfId="52" applyNumberFormat="1" applyFont="1" applyFill="1" applyBorder="1" applyAlignment="1">
      <alignment horizontal="right"/>
    </xf>
    <xf numFmtId="165" fontId="56" fillId="67" borderId="157" xfId="52" applyNumberFormat="1" applyFont="1" applyFill="1" applyBorder="1" applyAlignment="1">
      <alignment horizontal="right"/>
    </xf>
    <xf numFmtId="165" fontId="56" fillId="67" borderId="126" xfId="52" applyNumberFormat="1" applyFont="1" applyFill="1" applyBorder="1" applyAlignment="1">
      <alignment horizontal="right"/>
    </xf>
    <xf numFmtId="166" fontId="185" fillId="67" borderId="157" xfId="52" applyNumberFormat="1" applyFont="1" applyFill="1" applyBorder="1" applyAlignment="1">
      <alignment horizontal="right"/>
    </xf>
    <xf numFmtId="165" fontId="185" fillId="67" borderId="161" xfId="42" applyNumberFormat="1" applyFont="1" applyFill="1" applyBorder="1" applyAlignment="1">
      <alignment horizontal="right"/>
    </xf>
    <xf numFmtId="165" fontId="185" fillId="67" borderId="160" xfId="42" applyNumberFormat="1" applyFont="1" applyFill="1" applyBorder="1" applyAlignment="1">
      <alignment horizontal="right"/>
    </xf>
    <xf numFmtId="166" fontId="185" fillId="67" borderId="161" xfId="52" applyNumberFormat="1" applyFont="1" applyFill="1" applyBorder="1" applyAlignment="1">
      <alignment horizontal="right"/>
    </xf>
    <xf numFmtId="166" fontId="185" fillId="67" borderId="180" xfId="52" applyNumberFormat="1" applyFont="1" applyFill="1" applyBorder="1" applyAlignment="1">
      <alignment horizontal="right"/>
    </xf>
    <xf numFmtId="165" fontId="186" fillId="67" borderId="68" xfId="52" applyNumberFormat="1" applyFont="1" applyFill="1" applyBorder="1" applyAlignment="1">
      <alignment horizontal="right"/>
    </xf>
    <xf numFmtId="165" fontId="186" fillId="67" borderId="104" xfId="52" applyNumberFormat="1" applyFont="1" applyFill="1" applyBorder="1" applyAlignment="1">
      <alignment horizontal="right"/>
    </xf>
    <xf numFmtId="39" fontId="186" fillId="67" borderId="0" xfId="52" applyNumberFormat="1" applyFont="1" applyFill="1" applyBorder="1" applyAlignment="1">
      <alignment horizontal="right"/>
    </xf>
    <xf numFmtId="166" fontId="186" fillId="67" borderId="0" xfId="52" applyNumberFormat="1" applyFont="1" applyFill="1" applyBorder="1" applyAlignment="1">
      <alignment horizontal="right"/>
    </xf>
    <xf numFmtId="192" fontId="186" fillId="67" borderId="0" xfId="52" applyNumberFormat="1" applyFont="1" applyFill="1" applyBorder="1" applyAlignment="1">
      <alignment horizontal="right"/>
    </xf>
    <xf numFmtId="165" fontId="186" fillId="67" borderId="157" xfId="52" applyNumberFormat="1" applyFont="1" applyFill="1" applyBorder="1" applyAlignment="1">
      <alignment horizontal="right"/>
    </xf>
    <xf numFmtId="165" fontId="186" fillId="67" borderId="126" xfId="52" applyNumberFormat="1" applyFont="1" applyFill="1" applyBorder="1" applyAlignment="1">
      <alignment horizontal="right"/>
    </xf>
    <xf numFmtId="43" fontId="56" fillId="67" borderId="123" xfId="0" applyNumberFormat="1" applyFont="1" applyFill="1" applyBorder="1" applyAlignment="1">
      <alignment horizontal="left" indent="2"/>
    </xf>
    <xf numFmtId="43" fontId="184" fillId="67" borderId="235" xfId="10" applyFont="1" applyFill="1" applyBorder="1" applyAlignment="1">
      <alignment horizontal="right"/>
    </xf>
    <xf numFmtId="43" fontId="184" fillId="67" borderId="0" xfId="10" applyFont="1" applyFill="1" applyBorder="1" applyAlignment="1">
      <alignment horizontal="right"/>
    </xf>
    <xf numFmtId="43" fontId="56" fillId="67" borderId="234" xfId="10" applyFont="1" applyFill="1" applyBorder="1" applyAlignment="1">
      <alignment horizontal="right"/>
    </xf>
    <xf numFmtId="43" fontId="56" fillId="67" borderId="106" xfId="10" applyFont="1" applyFill="1" applyBorder="1" applyAlignment="1">
      <alignment horizontal="right"/>
    </xf>
    <xf numFmtId="43" fontId="56" fillId="67" borderId="0" xfId="10" applyFont="1" applyFill="1" applyBorder="1" applyAlignment="1">
      <alignment horizontal="right"/>
    </xf>
    <xf numFmtId="43" fontId="56" fillId="67" borderId="235" xfId="10" applyFont="1" applyFill="1" applyBorder="1" applyAlignment="1">
      <alignment horizontal="right"/>
    </xf>
    <xf numFmtId="177" fontId="56" fillId="67" borderId="235" xfId="10" applyNumberFormat="1" applyFont="1" applyFill="1" applyBorder="1" applyAlignment="1">
      <alignment horizontal="right"/>
    </xf>
    <xf numFmtId="177" fontId="56" fillId="67" borderId="0" xfId="10" applyNumberFormat="1" applyFont="1" applyFill="1" applyBorder="1" applyAlignment="1">
      <alignment horizontal="right"/>
    </xf>
    <xf numFmtId="43" fontId="56" fillId="67" borderId="65" xfId="10" applyFont="1" applyFill="1" applyBorder="1" applyAlignment="1">
      <alignment horizontal="right"/>
    </xf>
    <xf numFmtId="177" fontId="56" fillId="67" borderId="65" xfId="10" applyNumberFormat="1" applyFont="1" applyFill="1" applyBorder="1" applyAlignment="1">
      <alignment horizontal="right"/>
    </xf>
    <xf numFmtId="43" fontId="184" fillId="67" borderId="123" xfId="0" applyNumberFormat="1" applyFont="1" applyFill="1" applyBorder="1" applyAlignment="1">
      <alignment horizontal="left" indent="2"/>
    </xf>
    <xf numFmtId="166" fontId="184" fillId="67" borderId="235" xfId="52" applyNumberFormat="1" applyFont="1" applyFill="1" applyBorder="1"/>
    <xf numFmtId="166" fontId="184" fillId="67" borderId="0" xfId="52" applyNumberFormat="1" applyFont="1" applyFill="1" applyBorder="1"/>
    <xf numFmtId="166" fontId="184" fillId="67" borderId="234" xfId="0" applyNumberFormat="1" applyFont="1" applyFill="1" applyBorder="1"/>
    <xf numFmtId="166" fontId="184" fillId="67" borderId="106" xfId="0" applyNumberFormat="1" applyFont="1" applyFill="1" applyBorder="1"/>
    <xf numFmtId="166" fontId="184" fillId="67" borderId="0" xfId="0" applyNumberFormat="1" applyFont="1" applyFill="1" applyBorder="1"/>
    <xf numFmtId="166" fontId="184" fillId="67" borderId="235" xfId="0" applyNumberFormat="1" applyFont="1" applyFill="1" applyBorder="1"/>
    <xf numFmtId="166" fontId="184" fillId="67" borderId="235" xfId="0" applyNumberFormat="1" applyFont="1" applyFill="1" applyBorder="1" applyAlignment="1">
      <alignment horizontal="right"/>
    </xf>
    <xf numFmtId="166" fontId="184" fillId="67" borderId="0" xfId="0" applyNumberFormat="1" applyFont="1" applyFill="1" applyBorder="1" applyAlignment="1">
      <alignment horizontal="right"/>
    </xf>
    <xf numFmtId="166" fontId="184" fillId="67" borderId="65" xfId="0" applyNumberFormat="1" applyFont="1" applyFill="1" applyBorder="1"/>
    <xf numFmtId="43" fontId="188" fillId="67" borderId="123" xfId="42" applyNumberFormat="1" applyFont="1" applyFill="1" applyBorder="1" applyAlignment="1">
      <alignment horizontal="left"/>
    </xf>
    <xf numFmtId="177" fontId="184" fillId="67" borderId="0" xfId="10" applyNumberFormat="1" applyFont="1" applyFill="1" applyBorder="1"/>
    <xf numFmtId="177" fontId="56" fillId="67" borderId="106" xfId="10" applyNumberFormat="1" applyFont="1" applyFill="1" applyBorder="1"/>
    <xf numFmtId="177" fontId="56" fillId="67" borderId="0" xfId="10" applyNumberFormat="1" applyFont="1" applyFill="1" applyBorder="1"/>
    <xf numFmtId="177" fontId="56" fillId="67" borderId="235" xfId="10" applyNumberFormat="1" applyFont="1" applyFill="1" applyBorder="1"/>
    <xf numFmtId="177" fontId="56" fillId="67" borderId="157" xfId="10" applyNumberFormat="1" applyFont="1" applyFill="1" applyBorder="1"/>
    <xf numFmtId="177" fontId="56" fillId="67" borderId="65" xfId="10" applyNumberFormat="1" applyFont="1" applyFill="1" applyBorder="1"/>
    <xf numFmtId="166" fontId="184" fillId="67" borderId="273" xfId="52" applyNumberFormat="1" applyFont="1" applyFill="1" applyBorder="1"/>
    <xf numFmtId="166" fontId="184" fillId="67" borderId="140" xfId="0" applyNumberFormat="1" applyFont="1" applyFill="1" applyBorder="1"/>
    <xf numFmtId="166" fontId="184" fillId="67" borderId="273" xfId="0" applyNumberFormat="1" applyFont="1" applyFill="1" applyBorder="1"/>
    <xf numFmtId="166" fontId="184" fillId="67" borderId="273" xfId="0" applyNumberFormat="1" applyFont="1" applyFill="1" applyBorder="1" applyAlignment="1">
      <alignment horizontal="right"/>
    </xf>
    <xf numFmtId="166" fontId="184" fillId="67" borderId="187" xfId="52" applyNumberFormat="1" applyFont="1" applyFill="1" applyBorder="1"/>
    <xf numFmtId="166" fontId="184" fillId="67" borderId="187" xfId="0" applyNumberFormat="1" applyFont="1" applyFill="1" applyBorder="1"/>
    <xf numFmtId="166" fontId="184" fillId="67" borderId="187" xfId="0" applyNumberFormat="1" applyFont="1" applyFill="1" applyBorder="1" applyAlignment="1">
      <alignment horizontal="right"/>
    </xf>
    <xf numFmtId="166" fontId="184" fillId="67" borderId="188" xfId="0" applyNumberFormat="1" applyFont="1" applyFill="1" applyBorder="1"/>
    <xf numFmtId="166" fontId="184" fillId="67" borderId="157" xfId="0" applyNumberFormat="1" applyFont="1" applyFill="1" applyBorder="1"/>
    <xf numFmtId="166" fontId="184" fillId="0" borderId="273" xfId="52" applyNumberFormat="1" applyFont="1" applyFill="1" applyBorder="1"/>
    <xf numFmtId="166" fontId="184" fillId="0" borderId="140" xfId="0" applyNumberFormat="1" applyFont="1" applyFill="1" applyBorder="1"/>
    <xf numFmtId="166" fontId="184" fillId="0" borderId="273" xfId="0" applyNumberFormat="1" applyFont="1" applyFill="1" applyBorder="1"/>
    <xf numFmtId="166" fontId="184" fillId="0" borderId="273" xfId="0" applyNumberFormat="1" applyFont="1" applyFill="1" applyBorder="1" applyAlignment="1">
      <alignment horizontal="right"/>
    </xf>
    <xf numFmtId="166" fontId="184" fillId="51" borderId="273" xfId="52" applyNumberFormat="1" applyFont="1" applyFill="1" applyBorder="1"/>
    <xf numFmtId="166" fontId="195" fillId="65" borderId="266" xfId="52" applyNumberFormat="1" applyFont="1" applyFill="1" applyBorder="1" applyAlignment="1">
      <alignment horizontal="right"/>
    </xf>
    <xf numFmtId="166" fontId="186" fillId="65" borderId="266" xfId="0" applyNumberFormat="1" applyFont="1" applyFill="1" applyBorder="1" applyAlignment="1">
      <alignment horizontal="right"/>
    </xf>
    <xf numFmtId="179" fontId="186" fillId="65" borderId="266" xfId="0" applyNumberFormat="1" applyFont="1" applyFill="1" applyBorder="1" applyAlignment="1">
      <alignment horizontal="right"/>
    </xf>
    <xf numFmtId="170" fontId="185" fillId="67" borderId="70" xfId="20" applyNumberFormat="1" applyFont="1" applyFill="1" applyBorder="1" applyAlignment="1">
      <alignment horizontal="right"/>
    </xf>
    <xf numFmtId="170" fontId="185" fillId="67" borderId="100" xfId="20" applyNumberFormat="1" applyFont="1" applyFill="1" applyBorder="1" applyAlignment="1">
      <alignment horizontal="right"/>
    </xf>
    <xf numFmtId="170" fontId="185" fillId="67" borderId="57" xfId="20" applyNumberFormat="1" applyFont="1" applyFill="1" applyBorder="1" applyAlignment="1">
      <alignment horizontal="right"/>
    </xf>
    <xf numFmtId="170" fontId="185" fillId="67" borderId="25" xfId="20" applyNumberFormat="1" applyFont="1" applyFill="1" applyBorder="1" applyAlignment="1">
      <alignment horizontal="right"/>
    </xf>
    <xf numFmtId="170" fontId="185" fillId="67" borderId="139" xfId="20" applyNumberFormat="1" applyFont="1" applyFill="1" applyBorder="1" applyAlignment="1">
      <alignment horizontal="right"/>
    </xf>
    <xf numFmtId="170" fontId="185" fillId="67" borderId="99" xfId="20" applyNumberFormat="1" applyFont="1" applyFill="1" applyBorder="1" applyAlignment="1">
      <alignment horizontal="right"/>
    </xf>
    <xf numFmtId="170" fontId="185" fillId="67" borderId="52" xfId="20" applyNumberFormat="1" applyFont="1" applyFill="1" applyBorder="1" applyAlignment="1">
      <alignment horizontal="right"/>
    </xf>
    <xf numFmtId="0" fontId="185" fillId="67" borderId="170" xfId="0" applyFont="1" applyFill="1" applyBorder="1" applyAlignment="1">
      <alignment horizontal="right"/>
    </xf>
    <xf numFmtId="0" fontId="185" fillId="67" borderId="140" xfId="0" applyFont="1" applyFill="1" applyBorder="1" applyAlignment="1">
      <alignment horizontal="right"/>
    </xf>
    <xf numFmtId="166" fontId="185" fillId="67" borderId="140" xfId="0" applyNumberFormat="1" applyFont="1" applyFill="1" applyBorder="1" applyAlignment="1">
      <alignment horizontal="right"/>
    </xf>
    <xf numFmtId="166" fontId="185" fillId="67" borderId="170" xfId="0" applyNumberFormat="1" applyFont="1" applyFill="1" applyBorder="1" applyAlignment="1">
      <alignment horizontal="right"/>
    </xf>
    <xf numFmtId="166" fontId="185" fillId="67" borderId="166" xfId="0" applyNumberFormat="1" applyFont="1" applyFill="1" applyBorder="1" applyAlignment="1">
      <alignment horizontal="right"/>
    </xf>
    <xf numFmtId="166" fontId="185" fillId="67" borderId="167" xfId="0" applyNumberFormat="1" applyFont="1" applyFill="1" applyBorder="1" applyAlignment="1">
      <alignment horizontal="right"/>
    </xf>
    <xf numFmtId="166" fontId="185" fillId="67" borderId="168" xfId="0" applyNumberFormat="1" applyFont="1" applyFill="1" applyBorder="1" applyAlignment="1">
      <alignment horizontal="right"/>
    </xf>
    <xf numFmtId="166" fontId="185" fillId="67" borderId="0" xfId="0" applyNumberFormat="1" applyFont="1" applyFill="1" applyBorder="1" applyAlignment="1">
      <alignment horizontal="right"/>
    </xf>
    <xf numFmtId="166" fontId="185" fillId="67" borderId="106" xfId="0" applyNumberFormat="1" applyFont="1" applyFill="1" applyBorder="1" applyAlignment="1">
      <alignment horizontal="right"/>
    </xf>
    <xf numFmtId="166" fontId="185" fillId="67" borderId="126" xfId="0" applyNumberFormat="1" applyFont="1" applyFill="1" applyBorder="1" applyAlignment="1">
      <alignment horizontal="right"/>
    </xf>
    <xf numFmtId="166" fontId="185" fillId="67" borderId="22" xfId="0" applyNumberFormat="1" applyFont="1" applyFill="1" applyBorder="1" applyAlignment="1">
      <alignment horizontal="right"/>
    </xf>
    <xf numFmtId="166" fontId="185" fillId="67" borderId="160" xfId="0" applyNumberFormat="1" applyFont="1" applyFill="1" applyBorder="1" applyAlignment="1">
      <alignment horizontal="right"/>
    </xf>
    <xf numFmtId="166" fontId="186" fillId="67" borderId="106" xfId="52" applyNumberFormat="1" applyFont="1" applyFill="1" applyBorder="1" applyAlignment="1">
      <alignment horizontal="right"/>
    </xf>
    <xf numFmtId="166" fontId="186" fillId="67" borderId="126" xfId="52" applyNumberFormat="1" applyFont="1" applyFill="1" applyBorder="1" applyAlignment="1">
      <alignment horizontal="right"/>
    </xf>
    <xf numFmtId="166" fontId="186" fillId="67" borderId="22" xfId="52" applyNumberFormat="1" applyFont="1" applyFill="1" applyBorder="1" applyAlignment="1">
      <alignment horizontal="right"/>
    </xf>
    <xf numFmtId="166" fontId="186" fillId="67" borderId="160" xfId="52" applyNumberFormat="1" applyFont="1" applyFill="1" applyBorder="1" applyAlignment="1">
      <alignment horizontal="right"/>
    </xf>
    <xf numFmtId="166" fontId="185" fillId="67" borderId="160" xfId="52" applyNumberFormat="1" applyFont="1" applyFill="1" applyBorder="1" applyAlignment="1">
      <alignment horizontal="right"/>
    </xf>
    <xf numFmtId="0" fontId="56" fillId="67" borderId="0" xfId="52" applyNumberFormat="1" applyFont="1" applyFill="1" applyBorder="1" applyAlignment="1">
      <alignment horizontal="right"/>
    </xf>
    <xf numFmtId="0" fontId="191" fillId="67" borderId="106" xfId="0" applyFont="1" applyFill="1" applyBorder="1" applyAlignment="1">
      <alignment horizontal="right"/>
    </xf>
    <xf numFmtId="0" fontId="185" fillId="67" borderId="106" xfId="0" applyFont="1" applyFill="1" applyBorder="1" applyAlignment="1">
      <alignment horizontal="right"/>
    </xf>
    <xf numFmtId="0" fontId="185" fillId="67" borderId="0" xfId="52" applyNumberFormat="1" applyFont="1" applyFill="1" applyBorder="1" applyAlignment="1">
      <alignment horizontal="right"/>
    </xf>
    <xf numFmtId="0" fontId="210" fillId="67" borderId="106" xfId="0" applyFont="1" applyFill="1" applyBorder="1" applyAlignment="1">
      <alignment horizontal="right"/>
    </xf>
    <xf numFmtId="0" fontId="210" fillId="67" borderId="160" xfId="0" applyFont="1" applyFill="1" applyBorder="1" applyAlignment="1">
      <alignment horizontal="right"/>
    </xf>
    <xf numFmtId="166" fontId="206" fillId="67" borderId="0" xfId="52" applyNumberFormat="1" applyFont="1" applyFill="1" applyBorder="1" applyAlignment="1">
      <alignment horizontal="right"/>
    </xf>
    <xf numFmtId="166" fontId="206" fillId="67" borderId="106" xfId="52" applyNumberFormat="1" applyFont="1" applyFill="1" applyBorder="1" applyAlignment="1">
      <alignment horizontal="right"/>
    </xf>
    <xf numFmtId="166" fontId="206" fillId="67" borderId="126" xfId="52" applyNumberFormat="1" applyFont="1" applyFill="1" applyBorder="1" applyAlignment="1">
      <alignment horizontal="right"/>
    </xf>
    <xf numFmtId="166" fontId="206" fillId="67" borderId="22" xfId="52" applyNumberFormat="1" applyFont="1" applyFill="1" applyBorder="1" applyAlignment="1">
      <alignment horizontal="right"/>
    </xf>
    <xf numFmtId="166" fontId="206" fillId="67" borderId="160" xfId="52" applyNumberFormat="1" applyFont="1" applyFill="1" applyBorder="1" applyAlignment="1">
      <alignment horizontal="right"/>
    </xf>
    <xf numFmtId="166" fontId="206" fillId="67" borderId="237" xfId="52" applyNumberFormat="1" applyFont="1" applyFill="1" applyBorder="1" applyAlignment="1">
      <alignment horizontal="right"/>
    </xf>
    <xf numFmtId="166" fontId="206" fillId="67" borderId="139" xfId="52" applyNumberFormat="1" applyFont="1" applyFill="1" applyBorder="1" applyAlignment="1">
      <alignment horizontal="right"/>
    </xf>
    <xf numFmtId="165" fontId="185" fillId="67" borderId="78" xfId="0" applyNumberFormat="1" applyFont="1" applyFill="1" applyBorder="1" applyAlignment="1">
      <alignment horizontal="right"/>
    </xf>
    <xf numFmtId="165" fontId="185" fillId="67" borderId="81" xfId="0" applyNumberFormat="1" applyFont="1" applyFill="1" applyBorder="1" applyAlignment="1">
      <alignment horizontal="right"/>
    </xf>
    <xf numFmtId="165" fontId="185" fillId="67" borderId="84" xfId="0" applyNumberFormat="1" applyFont="1" applyFill="1" applyBorder="1" applyAlignment="1">
      <alignment horizontal="right"/>
    </xf>
    <xf numFmtId="165" fontId="185" fillId="67" borderId="88" xfId="0" applyNumberFormat="1" applyFont="1" applyFill="1" applyBorder="1" applyAlignment="1">
      <alignment horizontal="right"/>
    </xf>
    <xf numFmtId="165" fontId="185" fillId="67" borderId="170" xfId="0" applyNumberFormat="1" applyFont="1" applyFill="1" applyBorder="1" applyAlignment="1">
      <alignment horizontal="right"/>
    </xf>
    <xf numFmtId="165" fontId="185" fillId="67" borderId="140" xfId="0" applyNumberFormat="1" applyFont="1" applyFill="1" applyBorder="1" applyAlignment="1">
      <alignment horizontal="right"/>
    </xf>
    <xf numFmtId="165" fontId="185" fillId="67" borderId="159" xfId="0" applyNumberFormat="1" applyFont="1" applyFill="1" applyBorder="1" applyAlignment="1">
      <alignment horizontal="right"/>
    </xf>
    <xf numFmtId="165" fontId="185" fillId="67" borderId="164" xfId="0" applyNumberFormat="1" applyFont="1" applyFill="1" applyBorder="1" applyAlignment="1">
      <alignment horizontal="right"/>
    </xf>
    <xf numFmtId="192" fontId="185" fillId="67" borderId="0" xfId="0" applyNumberFormat="1" applyFont="1" applyFill="1" applyBorder="1" applyAlignment="1">
      <alignment horizontal="right"/>
    </xf>
    <xf numFmtId="165" fontId="185" fillId="67" borderId="160" xfId="0" applyNumberFormat="1" applyFont="1" applyFill="1" applyBorder="1" applyAlignment="1">
      <alignment horizontal="right"/>
    </xf>
    <xf numFmtId="7" fontId="185" fillId="67" borderId="22" xfId="0" applyNumberFormat="1" applyFont="1" applyFill="1" applyBorder="1" applyAlignment="1">
      <alignment horizontal="right"/>
    </xf>
    <xf numFmtId="7" fontId="185" fillId="67" borderId="82" xfId="0" applyNumberFormat="1" applyFont="1" applyFill="1" applyBorder="1" applyAlignment="1">
      <alignment horizontal="right"/>
    </xf>
    <xf numFmtId="7" fontId="185" fillId="67" borderId="85" xfId="0" applyNumberFormat="1" applyFont="1" applyFill="1" applyBorder="1" applyAlignment="1">
      <alignment horizontal="right"/>
    </xf>
    <xf numFmtId="7" fontId="185" fillId="67" borderId="106" xfId="0" applyNumberFormat="1" applyFont="1" applyFill="1" applyBorder="1" applyAlignment="1">
      <alignment horizontal="right"/>
    </xf>
    <xf numFmtId="7" fontId="185" fillId="67" borderId="126" xfId="0" applyNumberFormat="1" applyFont="1" applyFill="1" applyBorder="1" applyAlignment="1">
      <alignment horizontal="right"/>
    </xf>
    <xf numFmtId="7" fontId="185" fillId="67" borderId="160" xfId="0" applyNumberFormat="1" applyFont="1" applyFill="1" applyBorder="1" applyAlignment="1">
      <alignment horizontal="right"/>
    </xf>
    <xf numFmtId="7" fontId="198" fillId="67" borderId="0" xfId="0" applyNumberFormat="1" applyFont="1" applyFill="1" applyBorder="1" applyAlignment="1">
      <alignment horizontal="right"/>
    </xf>
    <xf numFmtId="165" fontId="185" fillId="67" borderId="0" xfId="20" applyNumberFormat="1" applyFont="1" applyFill="1" applyBorder="1" applyAlignment="1">
      <alignment horizontal="right"/>
    </xf>
    <xf numFmtId="165" fontId="185" fillId="67" borderId="22" xfId="20" applyNumberFormat="1" applyFont="1" applyFill="1" applyBorder="1" applyAlignment="1">
      <alignment horizontal="right"/>
    </xf>
    <xf numFmtId="165" fontId="185" fillId="67" borderId="82" xfId="20" applyNumberFormat="1" applyFont="1" applyFill="1" applyBorder="1" applyAlignment="1">
      <alignment horizontal="right"/>
    </xf>
    <xf numFmtId="165" fontId="185" fillId="67" borderId="85" xfId="20" applyNumberFormat="1" applyFont="1" applyFill="1" applyBorder="1" applyAlignment="1">
      <alignment horizontal="right"/>
    </xf>
    <xf numFmtId="165" fontId="185" fillId="67" borderId="106" xfId="20" applyNumberFormat="1" applyFont="1" applyFill="1" applyBorder="1" applyAlignment="1">
      <alignment horizontal="right"/>
    </xf>
    <xf numFmtId="165" fontId="185" fillId="67" borderId="126" xfId="20" applyNumberFormat="1" applyFont="1" applyFill="1" applyBorder="1" applyAlignment="1">
      <alignment horizontal="right"/>
    </xf>
    <xf numFmtId="165" fontId="185" fillId="67" borderId="160" xfId="20" applyNumberFormat="1" applyFont="1" applyFill="1" applyBorder="1" applyAlignment="1">
      <alignment horizontal="right"/>
    </xf>
    <xf numFmtId="165" fontId="185" fillId="67" borderId="22" xfId="46" applyNumberFormat="1" applyFont="1" applyFill="1" applyBorder="1" applyAlignment="1">
      <alignment horizontal="right"/>
    </xf>
    <xf numFmtId="165" fontId="185" fillId="67" borderId="82" xfId="46" applyNumberFormat="1" applyFont="1" applyFill="1" applyBorder="1" applyAlignment="1">
      <alignment horizontal="right"/>
    </xf>
    <xf numFmtId="165" fontId="185" fillId="67" borderId="85" xfId="46" applyNumberFormat="1" applyFont="1" applyFill="1" applyBorder="1" applyAlignment="1">
      <alignment horizontal="right"/>
    </xf>
    <xf numFmtId="165" fontId="185" fillId="67" borderId="126" xfId="46" applyNumberFormat="1" applyFont="1" applyFill="1" applyBorder="1" applyAlignment="1">
      <alignment horizontal="right"/>
    </xf>
    <xf numFmtId="165" fontId="185" fillId="67" borderId="160" xfId="46" applyNumberFormat="1" applyFont="1" applyFill="1" applyBorder="1" applyAlignment="1">
      <alignment horizontal="right"/>
    </xf>
    <xf numFmtId="170" fontId="185" fillId="67" borderId="0" xfId="20" applyNumberFormat="1" applyFont="1" applyFill="1" applyBorder="1" applyAlignment="1">
      <alignment horizontal="right"/>
    </xf>
    <xf numFmtId="170" fontId="185" fillId="67" borderId="22" xfId="20" applyNumberFormat="1" applyFont="1" applyFill="1" applyBorder="1" applyAlignment="1">
      <alignment horizontal="right"/>
    </xf>
    <xf numFmtId="165" fontId="56" fillId="0" borderId="235" xfId="52" applyNumberFormat="1" applyFont="1" applyFill="1" applyBorder="1" applyAlignment="1">
      <alignment horizontal="right"/>
    </xf>
    <xf numFmtId="165" fontId="186" fillId="0" borderId="0" xfId="52" applyNumberFormat="1" applyFont="1" applyFill="1" applyBorder="1"/>
    <xf numFmtId="165" fontId="186" fillId="0" borderId="235" xfId="52" applyNumberFormat="1" applyFont="1" applyFill="1" applyBorder="1" applyAlignment="1">
      <alignment horizontal="right"/>
    </xf>
    <xf numFmtId="37" fontId="56" fillId="51" borderId="0" xfId="52" applyNumberFormat="1" applyFont="1" applyFill="1" applyBorder="1" applyAlignment="1">
      <alignment horizontal="right"/>
    </xf>
    <xf numFmtId="166" fontId="184" fillId="0" borderId="106" xfId="129" applyNumberFormat="1" applyFont="1" applyFill="1" applyBorder="1"/>
    <xf numFmtId="4" fontId="56" fillId="0" borderId="106" xfId="69" applyNumberFormat="1" applyFont="1" applyFill="1" applyBorder="1" applyAlignment="1"/>
    <xf numFmtId="186" fontId="198" fillId="0" borderId="157" xfId="52" applyNumberFormat="1" applyFont="1" applyFill="1" applyBorder="1" applyAlignment="1">
      <alignment horizontal="right"/>
    </xf>
    <xf numFmtId="186" fontId="198" fillId="0" borderId="106" xfId="52" applyNumberFormat="1" applyFont="1" applyFill="1" applyBorder="1" applyAlignment="1">
      <alignment horizontal="right"/>
    </xf>
    <xf numFmtId="177" fontId="187" fillId="0" borderId="106" xfId="10" applyNumberFormat="1" applyFont="1" applyFill="1" applyBorder="1" applyAlignment="1">
      <alignment horizontal="right"/>
    </xf>
    <xf numFmtId="43" fontId="56" fillId="0" borderId="237" xfId="67" applyNumberFormat="1" applyFont="1" applyFill="1" applyBorder="1" applyAlignment="1">
      <alignment horizontal="left" indent="1"/>
    </xf>
    <xf numFmtId="9" fontId="56" fillId="0" borderId="237" xfId="129" applyFont="1" applyFill="1" applyBorder="1" applyAlignment="1">
      <alignment horizontal="right"/>
    </xf>
    <xf numFmtId="9" fontId="189" fillId="0" borderId="236" xfId="129" applyFont="1" applyFill="1" applyBorder="1" applyAlignment="1">
      <alignment horizontal="right"/>
    </xf>
    <xf numFmtId="9" fontId="56" fillId="0" borderId="236" xfId="129" applyFont="1" applyFill="1" applyBorder="1" applyAlignment="1">
      <alignment horizontal="right"/>
    </xf>
    <xf numFmtId="4" fontId="56" fillId="0" borderId="237" xfId="69" applyNumberFormat="1" applyFont="1" applyFill="1" applyBorder="1" applyAlignment="1"/>
    <xf numFmtId="165" fontId="185" fillId="0" borderId="106" xfId="42" applyNumberFormat="1" applyFont="1" applyFill="1" applyBorder="1" applyAlignment="1">
      <alignment horizontal="right"/>
    </xf>
    <xf numFmtId="165" fontId="185" fillId="0" borderId="22" xfId="42" applyNumberFormat="1" applyFont="1" applyFill="1" applyBorder="1" applyAlignment="1">
      <alignment horizontal="right"/>
    </xf>
    <xf numFmtId="177" fontId="206" fillId="0" borderId="0" xfId="10" applyNumberFormat="1" applyFont="1" applyFill="1" applyBorder="1"/>
    <xf numFmtId="177" fontId="185" fillId="0" borderId="157" xfId="10" applyNumberFormat="1" applyFont="1" applyFill="1" applyBorder="1"/>
    <xf numFmtId="177" fontId="185" fillId="0" borderId="0" xfId="10" applyNumberFormat="1" applyFont="1" applyFill="1" applyBorder="1"/>
    <xf numFmtId="177" fontId="185" fillId="0" borderId="235" xfId="10" applyNumberFormat="1" applyFont="1" applyFill="1" applyBorder="1"/>
    <xf numFmtId="177" fontId="185" fillId="0" borderId="53" xfId="10" applyNumberFormat="1" applyFont="1" applyFill="1" applyBorder="1"/>
    <xf numFmtId="177" fontId="185" fillId="67" borderId="235" xfId="10" applyNumberFormat="1" applyFont="1" applyFill="1" applyBorder="1" applyAlignment="1">
      <alignment horizontal="right"/>
    </xf>
    <xf numFmtId="177" fontId="206" fillId="0" borderId="0" xfId="10" applyNumberFormat="1" applyFont="1" applyFill="1" applyBorder="1" applyAlignment="1">
      <alignment horizontal="right"/>
    </xf>
    <xf numFmtId="177" fontId="185" fillId="0" borderId="106" xfId="10" applyNumberFormat="1" applyFont="1" applyFill="1" applyBorder="1" applyAlignment="1">
      <alignment horizontal="right"/>
    </xf>
    <xf numFmtId="177" fontId="185" fillId="0" borderId="0" xfId="10" applyNumberFormat="1" applyFont="1" applyFill="1" applyBorder="1" applyAlignment="1">
      <alignment horizontal="right"/>
    </xf>
    <xf numFmtId="177" fontId="185" fillId="0" borderId="235" xfId="10" applyNumberFormat="1" applyFont="1" applyFill="1" applyBorder="1" applyAlignment="1">
      <alignment horizontal="right"/>
    </xf>
    <xf numFmtId="177" fontId="185" fillId="0" borderId="157" xfId="10" applyNumberFormat="1" applyFont="1" applyFill="1" applyBorder="1" applyAlignment="1">
      <alignment horizontal="right"/>
    </xf>
    <xf numFmtId="165" fontId="185" fillId="0" borderId="157" xfId="42" applyNumberFormat="1" applyFont="1" applyFill="1" applyBorder="1" applyAlignment="1">
      <alignment horizontal="right"/>
    </xf>
    <xf numFmtId="165" fontId="185" fillId="0" borderId="61" xfId="42" applyNumberFormat="1" applyFont="1" applyFill="1" applyBorder="1" applyAlignment="1">
      <alignment horizontal="right"/>
    </xf>
    <xf numFmtId="165" fontId="240" fillId="0" borderId="65" xfId="42" applyNumberFormat="1" applyFont="1" applyFill="1" applyBorder="1" applyAlignment="1">
      <alignment horizontal="right"/>
    </xf>
    <xf numFmtId="177" fontId="206" fillId="67" borderId="0" xfId="10" applyNumberFormat="1" applyFont="1" applyFill="1" applyBorder="1"/>
    <xf numFmtId="177" fontId="185" fillId="67" borderId="106" xfId="10" applyNumberFormat="1" applyFont="1" applyFill="1" applyBorder="1"/>
    <xf numFmtId="177" fontId="185" fillId="67" borderId="0" xfId="10" applyNumberFormat="1" applyFont="1" applyFill="1" applyBorder="1"/>
    <xf numFmtId="177" fontId="185" fillId="67" borderId="235" xfId="10" applyNumberFormat="1" applyFont="1" applyFill="1" applyBorder="1"/>
    <xf numFmtId="177" fontId="185" fillId="67" borderId="157" xfId="10" applyNumberFormat="1" applyFont="1" applyFill="1" applyBorder="1"/>
    <xf numFmtId="166" fontId="185" fillId="0" borderId="106" xfId="0" applyNumberFormat="1" applyFont="1" applyFill="1" applyBorder="1" applyAlignment="1">
      <alignment horizontal="right"/>
    </xf>
    <xf numFmtId="166" fontId="185" fillId="0" borderId="235" xfId="0" applyNumberFormat="1" applyFont="1" applyFill="1" applyBorder="1" applyAlignment="1">
      <alignment horizontal="right"/>
    </xf>
    <xf numFmtId="177" fontId="198" fillId="0" borderId="106" xfId="10" applyNumberFormat="1" applyFont="1" applyFill="1" applyBorder="1" applyAlignment="1">
      <alignment horizontal="right"/>
    </xf>
    <xf numFmtId="177" fontId="185" fillId="0" borderId="106" xfId="10" applyNumberFormat="1" applyFont="1" applyFill="1" applyBorder="1"/>
    <xf numFmtId="177" fontId="240" fillId="0" borderId="0" xfId="10" applyNumberFormat="1" applyFont="1" applyFill="1" applyBorder="1"/>
    <xf numFmtId="177" fontId="198" fillId="0" borderId="157" xfId="10" applyNumberFormat="1" applyFont="1" applyFill="1" applyBorder="1"/>
    <xf numFmtId="177" fontId="185" fillId="0" borderId="65" xfId="10" applyNumberFormat="1" applyFont="1" applyFill="1" applyBorder="1" applyAlignment="1">
      <alignment horizontal="right"/>
    </xf>
    <xf numFmtId="177" fontId="240" fillId="67" borderId="0" xfId="10" applyNumberFormat="1" applyFont="1" applyFill="1" applyBorder="1"/>
    <xf numFmtId="166" fontId="195" fillId="57" borderId="235" xfId="52" applyNumberFormat="1" applyFont="1" applyFill="1" applyBorder="1"/>
    <xf numFmtId="166" fontId="195" fillId="57" borderId="0" xfId="52" applyNumberFormat="1" applyFont="1" applyFill="1" applyBorder="1"/>
    <xf numFmtId="166" fontId="195" fillId="57" borderId="106" xfId="0" applyNumberFormat="1" applyFont="1" applyFill="1" applyBorder="1"/>
    <xf numFmtId="166" fontId="195" fillId="57" borderId="0" xfId="0" applyNumberFormat="1" applyFont="1" applyFill="1" applyBorder="1"/>
    <xf numFmtId="166" fontId="195" fillId="57" borderId="235" xfId="0" applyNumberFormat="1" applyFont="1" applyFill="1" applyBorder="1"/>
    <xf numFmtId="166" fontId="195" fillId="57" borderId="235" xfId="0" applyNumberFormat="1" applyFont="1" applyFill="1" applyBorder="1" applyAlignment="1">
      <alignment horizontal="right"/>
    </xf>
    <xf numFmtId="166" fontId="195" fillId="57" borderId="0" xfId="0" applyNumberFormat="1" applyFont="1" applyFill="1" applyBorder="1" applyAlignment="1">
      <alignment horizontal="right"/>
    </xf>
    <xf numFmtId="166" fontId="195" fillId="57" borderId="157" xfId="0" applyNumberFormat="1" applyFont="1" applyFill="1" applyBorder="1"/>
    <xf numFmtId="166" fontId="249" fillId="57" borderId="0" xfId="52" applyNumberFormat="1" applyFont="1" applyFill="1" applyBorder="1"/>
    <xf numFmtId="166" fontId="195" fillId="0" borderId="235" xfId="0" applyNumberFormat="1" applyFont="1" applyFill="1" applyBorder="1" applyAlignment="1">
      <alignment horizontal="right"/>
    </xf>
    <xf numFmtId="166" fontId="195" fillId="51" borderId="0" xfId="0" applyNumberFormat="1" applyFont="1" applyFill="1" applyBorder="1" applyAlignment="1">
      <alignment horizontal="right"/>
    </xf>
    <xf numFmtId="0" fontId="195" fillId="0" borderId="235" xfId="0" applyFont="1" applyFill="1" applyBorder="1" applyAlignment="1">
      <alignment horizontal="right"/>
    </xf>
    <xf numFmtId="166" fontId="195" fillId="0" borderId="61" xfId="52" applyNumberFormat="1" applyFont="1" applyFill="1" applyBorder="1" applyAlignment="1">
      <alignment horizontal="right"/>
    </xf>
    <xf numFmtId="166" fontId="195" fillId="0" borderId="61" xfId="0" applyNumberFormat="1" applyFont="1" applyFill="1" applyBorder="1" applyAlignment="1">
      <alignment horizontal="right"/>
    </xf>
    <xf numFmtId="166" fontId="195" fillId="0" borderId="157" xfId="0" applyNumberFormat="1" applyFont="1" applyFill="1" applyBorder="1" applyAlignment="1">
      <alignment horizontal="right"/>
    </xf>
    <xf numFmtId="166" fontId="249" fillId="57" borderId="65" xfId="0" applyNumberFormat="1" applyFont="1" applyFill="1" applyBorder="1"/>
    <xf numFmtId="166" fontId="206" fillId="49" borderId="235" xfId="52" applyNumberFormat="1" applyFont="1" applyFill="1" applyBorder="1" applyAlignment="1">
      <alignment horizontal="right"/>
    </xf>
    <xf numFmtId="166" fontId="206" fillId="49" borderId="0" xfId="52" applyNumberFormat="1" applyFont="1" applyFill="1" applyBorder="1" applyAlignment="1">
      <alignment horizontal="right"/>
    </xf>
    <xf numFmtId="166" fontId="206" fillId="49" borderId="235" xfId="0" applyNumberFormat="1" applyFont="1" applyFill="1" applyBorder="1" applyAlignment="1">
      <alignment horizontal="right"/>
    </xf>
    <xf numFmtId="166" fontId="206" fillId="49" borderId="0" xfId="0" applyNumberFormat="1" applyFont="1" applyFill="1" applyBorder="1" applyAlignment="1">
      <alignment horizontal="right"/>
    </xf>
    <xf numFmtId="166" fontId="195" fillId="49" borderId="106" xfId="0" applyNumberFormat="1" applyFont="1" applyFill="1" applyBorder="1" applyAlignment="1">
      <alignment horizontal="right"/>
    </xf>
    <xf numFmtId="165" fontId="56" fillId="0" borderId="234" xfId="52" applyNumberFormat="1" applyFont="1" applyFill="1" applyBorder="1" applyAlignment="1">
      <alignment horizontal="right"/>
    </xf>
    <xf numFmtId="165" fontId="56" fillId="0" borderId="237" xfId="52" applyNumberFormat="1" applyFont="1" applyFill="1" applyBorder="1" applyAlignment="1">
      <alignment horizontal="right"/>
    </xf>
    <xf numFmtId="165" fontId="187" fillId="0" borderId="237" xfId="52" applyNumberFormat="1" applyFont="1" applyFill="1" applyBorder="1" applyAlignment="1">
      <alignment horizontal="right"/>
    </xf>
    <xf numFmtId="165" fontId="213" fillId="0" borderId="237" xfId="52" applyNumberFormat="1" applyFont="1" applyFill="1" applyBorder="1" applyAlignment="1">
      <alignment horizontal="right"/>
    </xf>
    <xf numFmtId="43" fontId="56" fillId="0" borderId="212" xfId="10" applyFont="1" applyFill="1" applyBorder="1" applyAlignment="1">
      <alignment horizontal="right"/>
    </xf>
    <xf numFmtId="43" fontId="56" fillId="0" borderId="66" xfId="10" applyFont="1" applyFill="1" applyBorder="1" applyAlignment="1">
      <alignment horizontal="right"/>
    </xf>
    <xf numFmtId="37" fontId="187" fillId="67" borderId="0" xfId="0" applyNumberFormat="1" applyFont="1" applyFill="1" applyBorder="1" applyAlignment="1">
      <alignment horizontal="right"/>
    </xf>
    <xf numFmtId="0" fontId="17" fillId="52" borderId="0" xfId="0" applyFont="1" applyFill="1" applyAlignment="1">
      <alignment horizontal="right"/>
    </xf>
    <xf numFmtId="177" fontId="185" fillId="65" borderId="182" xfId="10" quotePrefix="1" applyNumberFormat="1" applyFont="1" applyFill="1" applyBorder="1" applyAlignment="1">
      <alignment horizontal="right"/>
    </xf>
    <xf numFmtId="43" fontId="185" fillId="51" borderId="123" xfId="0" applyNumberFormat="1" applyFont="1" applyFill="1" applyBorder="1" applyAlignment="1">
      <alignment horizontal="left" indent="1"/>
    </xf>
    <xf numFmtId="166" fontId="56" fillId="51" borderId="121" xfId="0" applyNumberFormat="1" applyFont="1" applyFill="1" applyBorder="1" applyAlignment="1">
      <alignment horizontal="right"/>
    </xf>
    <xf numFmtId="166" fontId="187" fillId="51" borderId="121" xfId="0" applyNumberFormat="1" applyFont="1" applyFill="1" applyBorder="1" applyAlignment="1">
      <alignment horizontal="right"/>
    </xf>
    <xf numFmtId="166" fontId="187" fillId="51" borderId="0" xfId="0" applyNumberFormat="1" applyFont="1" applyFill="1" applyBorder="1" applyAlignment="1">
      <alignment horizontal="left"/>
    </xf>
    <xf numFmtId="166" fontId="56" fillId="51" borderId="65" xfId="52" applyNumberFormat="1" applyFont="1" applyFill="1" applyBorder="1" applyAlignment="1">
      <alignment horizontal="right"/>
    </xf>
    <xf numFmtId="43" fontId="184" fillId="51" borderId="123" xfId="0" applyNumberFormat="1" applyFont="1" applyFill="1" applyBorder="1" applyAlignment="1">
      <alignment horizontal="left" indent="2"/>
    </xf>
    <xf numFmtId="166" fontId="213" fillId="51" borderId="106" xfId="0" applyNumberFormat="1" applyFont="1" applyFill="1" applyBorder="1" applyAlignment="1">
      <alignment horizontal="right"/>
    </xf>
    <xf numFmtId="166" fontId="213" fillId="51" borderId="0" xfId="0" applyNumberFormat="1" applyFont="1" applyFill="1" applyBorder="1" applyAlignment="1">
      <alignment horizontal="right"/>
    </xf>
    <xf numFmtId="166" fontId="213" fillId="51" borderId="65" xfId="0" applyNumberFormat="1" applyFont="1" applyFill="1" applyBorder="1" applyAlignment="1">
      <alignment horizontal="right"/>
    </xf>
    <xf numFmtId="166" fontId="190" fillId="51" borderId="0" xfId="0" applyNumberFormat="1" applyFont="1" applyFill="1" applyBorder="1" applyAlignment="1">
      <alignment horizontal="right"/>
    </xf>
    <xf numFmtId="43" fontId="188" fillId="51" borderId="123" xfId="0" applyNumberFormat="1" applyFont="1" applyFill="1" applyBorder="1" applyAlignment="1">
      <alignment horizontal="left" indent="1"/>
    </xf>
    <xf numFmtId="166" fontId="184" fillId="51" borderId="65" xfId="0" applyNumberFormat="1" applyFont="1" applyFill="1" applyBorder="1" applyAlignment="1">
      <alignment horizontal="right"/>
    </xf>
    <xf numFmtId="166" fontId="184" fillId="51" borderId="121" xfId="0" applyNumberFormat="1" applyFont="1" applyFill="1" applyBorder="1" applyAlignment="1">
      <alignment horizontal="right"/>
    </xf>
    <xf numFmtId="166" fontId="208" fillId="51" borderId="121" xfId="52" applyNumberFormat="1" applyFont="1" applyFill="1" applyBorder="1" applyAlignment="1">
      <alignment horizontal="right"/>
    </xf>
    <xf numFmtId="166" fontId="208" fillId="51" borderId="0" xfId="52" applyNumberFormat="1" applyFont="1" applyFill="1" applyBorder="1" applyAlignment="1">
      <alignment horizontal="right"/>
    </xf>
    <xf numFmtId="166" fontId="208" fillId="51" borderId="22" xfId="52" applyNumberFormat="1" applyFont="1" applyFill="1" applyBorder="1" applyAlignment="1">
      <alignment horizontal="right"/>
    </xf>
    <xf numFmtId="166" fontId="209" fillId="51" borderId="22" xfId="52" applyNumberFormat="1" applyFont="1" applyFill="1" applyBorder="1" applyAlignment="1">
      <alignment horizontal="right"/>
    </xf>
    <xf numFmtId="166" fontId="208" fillId="51" borderId="0" xfId="0" applyNumberFormat="1" applyFont="1" applyFill="1" applyBorder="1" applyAlignment="1">
      <alignment horizontal="right"/>
    </xf>
    <xf numFmtId="43" fontId="184" fillId="51" borderId="121" xfId="10" applyFont="1" applyFill="1" applyBorder="1" applyAlignment="1">
      <alignment horizontal="right"/>
    </xf>
    <xf numFmtId="9" fontId="209" fillId="51" borderId="0" xfId="52" applyFont="1" applyFill="1" applyBorder="1" applyAlignment="1">
      <alignment horizontal="right"/>
    </xf>
    <xf numFmtId="166" fontId="186" fillId="51" borderId="64" xfId="0" applyNumberFormat="1" applyFont="1" applyFill="1" applyBorder="1" applyAlignment="1">
      <alignment horizontal="left"/>
    </xf>
    <xf numFmtId="166" fontId="184" fillId="51" borderId="64" xfId="0" applyNumberFormat="1" applyFont="1" applyFill="1" applyBorder="1" applyAlignment="1">
      <alignment horizontal="right"/>
    </xf>
    <xf numFmtId="166" fontId="209" fillId="51" borderId="64" xfId="0" applyNumberFormat="1" applyFont="1" applyFill="1" applyBorder="1" applyAlignment="1">
      <alignment horizontal="right"/>
    </xf>
    <xf numFmtId="166" fontId="56" fillId="51" borderId="64" xfId="0" applyNumberFormat="1" applyFont="1" applyFill="1" applyBorder="1" applyAlignment="1">
      <alignment horizontal="right"/>
    </xf>
    <xf numFmtId="166" fontId="184" fillId="51" borderId="64" xfId="52" applyNumberFormat="1" applyFont="1" applyFill="1" applyBorder="1" applyAlignment="1">
      <alignment horizontal="right"/>
    </xf>
    <xf numFmtId="166" fontId="209" fillId="51" borderId="64" xfId="52" applyNumberFormat="1" applyFont="1" applyFill="1" applyBorder="1" applyAlignment="1">
      <alignment horizontal="right"/>
    </xf>
    <xf numFmtId="166" fontId="214" fillId="51" borderId="106" xfId="52" applyNumberFormat="1" applyFont="1" applyFill="1" applyBorder="1" applyAlignment="1">
      <alignment horizontal="right"/>
    </xf>
    <xf numFmtId="166" fontId="52" fillId="0" borderId="0" xfId="52" applyNumberFormat="1" applyFont="1" applyAlignment="1">
      <alignment horizontal="right"/>
    </xf>
    <xf numFmtId="43" fontId="185" fillId="58" borderId="139" xfId="0" applyNumberFormat="1" applyFont="1" applyFill="1" applyBorder="1"/>
    <xf numFmtId="43" fontId="188" fillId="0" borderId="237" xfId="0" applyNumberFormat="1" applyFont="1" applyFill="1" applyBorder="1" applyAlignment="1">
      <alignment horizontal="left" indent="2"/>
    </xf>
    <xf numFmtId="43" fontId="188" fillId="0" borderId="237" xfId="0" applyNumberFormat="1" applyFont="1" applyBorder="1" applyAlignment="1">
      <alignment horizontal="left" indent="2"/>
    </xf>
    <xf numFmtId="43" fontId="188" fillId="0" borderId="192" xfId="0" applyNumberFormat="1" applyFont="1" applyFill="1" applyBorder="1" applyAlignment="1">
      <alignment horizontal="left" indent="1"/>
    </xf>
    <xf numFmtId="43" fontId="185" fillId="67" borderId="237" xfId="0" applyNumberFormat="1" applyFont="1" applyFill="1" applyBorder="1" applyAlignment="1">
      <alignment horizontal="left" indent="1"/>
    </xf>
    <xf numFmtId="43" fontId="188" fillId="0" borderId="237" xfId="0" applyNumberFormat="1" applyFont="1" applyBorder="1" applyAlignment="1">
      <alignment horizontal="left" vertical="top" indent="1"/>
    </xf>
    <xf numFmtId="43" fontId="185" fillId="58" borderId="237" xfId="0" applyNumberFormat="1" applyFont="1" applyFill="1" applyBorder="1"/>
    <xf numFmtId="43" fontId="188" fillId="67" borderId="237" xfId="0" applyNumberFormat="1" applyFont="1" applyFill="1" applyBorder="1" applyAlignment="1">
      <alignment horizontal="left" indent="1"/>
    </xf>
    <xf numFmtId="43" fontId="185" fillId="67" borderId="237" xfId="0" applyNumberFormat="1" applyFont="1" applyFill="1" applyBorder="1" applyAlignment="1">
      <alignment horizontal="left" indent="2"/>
    </xf>
    <xf numFmtId="43" fontId="188" fillId="0" borderId="237" xfId="0" applyNumberFormat="1" applyFont="1" applyBorder="1" applyAlignment="1">
      <alignment horizontal="left" indent="1"/>
    </xf>
    <xf numFmtId="43" fontId="188" fillId="51" borderId="237" xfId="0" applyNumberFormat="1" applyFont="1" applyFill="1" applyBorder="1" applyAlignment="1">
      <alignment horizontal="left" indent="2"/>
    </xf>
    <xf numFmtId="43" fontId="188" fillId="0" borderId="237" xfId="0" applyNumberFormat="1" applyFont="1" applyFill="1" applyBorder="1" applyAlignment="1">
      <alignment horizontal="left" indent="1"/>
    </xf>
    <xf numFmtId="43" fontId="188" fillId="0" borderId="192" xfId="0" applyNumberFormat="1" applyFont="1" applyBorder="1" applyAlignment="1">
      <alignment horizontal="left" indent="1"/>
    </xf>
    <xf numFmtId="43" fontId="188" fillId="0" borderId="192" xfId="0" applyNumberFormat="1" applyFont="1" applyBorder="1" applyAlignment="1">
      <alignment horizontal="left" vertical="top" indent="1"/>
    </xf>
    <xf numFmtId="43" fontId="185" fillId="60" borderId="237" xfId="0" applyNumberFormat="1" applyFont="1" applyFill="1" applyBorder="1"/>
    <xf numFmtId="43" fontId="185" fillId="0" borderId="237" xfId="0" applyNumberFormat="1" applyFont="1" applyBorder="1" applyAlignment="1">
      <alignment horizontal="left" vertical="top" indent="1"/>
    </xf>
    <xf numFmtId="43" fontId="188" fillId="0" borderId="237" xfId="0" applyNumberFormat="1" applyFont="1" applyFill="1" applyBorder="1" applyAlignment="1">
      <alignment horizontal="left" vertical="top" indent="1"/>
    </xf>
    <xf numFmtId="43" fontId="185" fillId="0" borderId="237" xfId="0" applyNumberFormat="1" applyFont="1" applyFill="1" applyBorder="1" applyAlignment="1">
      <alignment horizontal="left" indent="1"/>
    </xf>
    <xf numFmtId="43" fontId="252" fillId="0" borderId="237" xfId="0" applyNumberFormat="1" applyFont="1" applyFill="1" applyBorder="1" applyAlignment="1">
      <alignment horizontal="left" indent="1"/>
    </xf>
    <xf numFmtId="9" fontId="186" fillId="58" borderId="0" xfId="52" applyFont="1" applyFill="1" applyBorder="1" applyAlignment="1">
      <alignment horizontal="right"/>
    </xf>
    <xf numFmtId="9" fontId="56" fillId="58" borderId="0" xfId="52" applyFont="1" applyFill="1" applyBorder="1" applyAlignment="1">
      <alignment horizontal="right"/>
    </xf>
    <xf numFmtId="9" fontId="184" fillId="61" borderId="0" xfId="52" applyFont="1" applyFill="1" applyAlignment="1">
      <alignment horizontal="center"/>
    </xf>
    <xf numFmtId="9" fontId="187" fillId="0" borderId="0" xfId="52" applyFont="1" applyFill="1" applyBorder="1" applyAlignment="1">
      <alignment horizontal="right"/>
    </xf>
    <xf numFmtId="166" fontId="56" fillId="0" borderId="237" xfId="52" applyNumberFormat="1" applyFont="1" applyBorder="1" applyAlignment="1">
      <alignment horizontal="right"/>
    </xf>
    <xf numFmtId="166" fontId="56" fillId="0" borderId="236" xfId="52" applyNumberFormat="1" applyFont="1" applyBorder="1" applyAlignment="1">
      <alignment horizontal="right"/>
    </xf>
    <xf numFmtId="0" fontId="56" fillId="0" borderId="266" xfId="0" applyFont="1" applyBorder="1" applyAlignment="1">
      <alignment horizontal="right"/>
    </xf>
    <xf numFmtId="166" fontId="56" fillId="0" borderId="266" xfId="0" applyNumberFormat="1" applyFont="1" applyBorder="1" applyAlignment="1">
      <alignment horizontal="right"/>
    </xf>
    <xf numFmtId="0" fontId="56" fillId="0" borderId="255" xfId="0" applyFont="1" applyBorder="1" applyAlignment="1">
      <alignment horizontal="right"/>
    </xf>
    <xf numFmtId="0" fontId="56" fillId="0" borderId="285" xfId="0" applyFont="1" applyBorder="1" applyAlignment="1">
      <alignment horizontal="right"/>
    </xf>
    <xf numFmtId="0" fontId="191" fillId="0" borderId="253" xfId="0" applyFont="1" applyBorder="1" applyAlignment="1">
      <alignment horizontal="right"/>
    </xf>
    <xf numFmtId="0" fontId="191" fillId="0" borderId="266" xfId="0" applyFont="1" applyBorder="1" applyAlignment="1">
      <alignment horizontal="right"/>
    </xf>
    <xf numFmtId="38" fontId="56" fillId="51" borderId="106" xfId="0" applyNumberFormat="1" applyFont="1" applyFill="1" applyBorder="1" applyAlignment="1">
      <alignment horizontal="right"/>
    </xf>
    <xf numFmtId="38" fontId="56" fillId="51" borderId="0" xfId="0" applyNumberFormat="1" applyFont="1" applyFill="1" applyBorder="1" applyAlignment="1">
      <alignment horizontal="right"/>
    </xf>
    <xf numFmtId="38" fontId="56" fillId="51" borderId="126" xfId="0" applyNumberFormat="1" applyFont="1" applyFill="1" applyBorder="1" applyAlignment="1">
      <alignment horizontal="right"/>
    </xf>
    <xf numFmtId="38" fontId="56" fillId="51" borderId="22" xfId="0" applyNumberFormat="1" applyFont="1" applyFill="1" applyBorder="1" applyAlignment="1">
      <alignment horizontal="right"/>
    </xf>
    <xf numFmtId="38" fontId="56" fillId="51" borderId="160" xfId="0" applyNumberFormat="1" applyFont="1" applyFill="1" applyBorder="1" applyAlignment="1">
      <alignment horizontal="right"/>
    </xf>
    <xf numFmtId="165" fontId="185" fillId="67" borderId="273" xfId="46" applyNumberFormat="1" applyFont="1" applyFill="1" applyBorder="1" applyAlignment="1">
      <alignment horizontal="right"/>
    </xf>
    <xf numFmtId="165" fontId="218" fillId="0" borderId="273" xfId="0" applyNumberFormat="1" applyFont="1" applyBorder="1" applyAlignment="1">
      <alignment horizontal="right"/>
    </xf>
    <xf numFmtId="165" fontId="185" fillId="67" borderId="234" xfId="46" applyNumberFormat="1" applyFont="1" applyFill="1" applyBorder="1" applyAlignment="1">
      <alignment horizontal="right"/>
    </xf>
    <xf numFmtId="165" fontId="185" fillId="67" borderId="235" xfId="46" applyNumberFormat="1" applyFont="1" applyFill="1" applyBorder="1" applyAlignment="1">
      <alignment horizontal="right"/>
    </xf>
    <xf numFmtId="165" fontId="185" fillId="67" borderId="237" xfId="46" applyNumberFormat="1" applyFont="1" applyFill="1" applyBorder="1" applyAlignment="1">
      <alignment horizontal="right"/>
    </xf>
    <xf numFmtId="165" fontId="185" fillId="67" borderId="236" xfId="46" applyNumberFormat="1" applyFont="1" applyFill="1" applyBorder="1" applyAlignment="1">
      <alignment horizontal="right"/>
    </xf>
    <xf numFmtId="37" fontId="56" fillId="0" borderId="0" xfId="52" applyNumberFormat="1" applyFont="1" applyFill="1" applyBorder="1" applyAlignment="1">
      <alignment horizontal="right"/>
    </xf>
    <xf numFmtId="165" fontId="186" fillId="0" borderId="208" xfId="52" applyNumberFormat="1" applyFont="1" applyFill="1" applyBorder="1" applyAlignment="1">
      <alignment horizontal="right"/>
    </xf>
    <xf numFmtId="0" fontId="56" fillId="0" borderId="106" xfId="0" applyFont="1" applyBorder="1"/>
    <xf numFmtId="0" fontId="56" fillId="0" borderId="208" xfId="0" applyFont="1" applyBorder="1"/>
    <xf numFmtId="0" fontId="56" fillId="0" borderId="266" xfId="0" applyFont="1" applyBorder="1"/>
    <xf numFmtId="0" fontId="56" fillId="0" borderId="254" xfId="0" applyFont="1" applyBorder="1"/>
    <xf numFmtId="165" fontId="56" fillId="0" borderId="254" xfId="52" applyNumberFormat="1" applyFont="1" applyFill="1" applyBorder="1" applyAlignment="1">
      <alignment horizontal="right"/>
    </xf>
    <xf numFmtId="0" fontId="56" fillId="0" borderId="273" xfId="0" applyFont="1" applyBorder="1"/>
    <xf numFmtId="0" fontId="56" fillId="0" borderId="192" xfId="0" applyFont="1" applyBorder="1"/>
    <xf numFmtId="165" fontId="56" fillId="0" borderId="192" xfId="52" applyNumberFormat="1" applyFont="1" applyFill="1" applyBorder="1" applyAlignment="1">
      <alignment horizontal="right"/>
    </xf>
    <xf numFmtId="7" fontId="56" fillId="0" borderId="266" xfId="52" applyNumberFormat="1" applyFont="1" applyFill="1" applyBorder="1" applyAlignment="1">
      <alignment horizontal="right"/>
    </xf>
    <xf numFmtId="7" fontId="56" fillId="0" borderId="254" xfId="52" applyNumberFormat="1" applyFont="1" applyFill="1" applyBorder="1" applyAlignment="1">
      <alignment horizontal="right"/>
    </xf>
    <xf numFmtId="0" fontId="186" fillId="0" borderId="106" xfId="0" applyFont="1" applyBorder="1"/>
    <xf numFmtId="0" fontId="186" fillId="0" borderId="273" xfId="0" applyFont="1" applyBorder="1"/>
    <xf numFmtId="0" fontId="186" fillId="0" borderId="192" xfId="0" applyFont="1" applyBorder="1"/>
    <xf numFmtId="7" fontId="218" fillId="67" borderId="273" xfId="52" applyNumberFormat="1" applyFont="1" applyFill="1" applyBorder="1" applyAlignment="1">
      <alignment horizontal="right"/>
    </xf>
    <xf numFmtId="9" fontId="218" fillId="67" borderId="0" xfId="52" applyNumberFormat="1" applyFont="1" applyFill="1" applyBorder="1" applyAlignment="1">
      <alignment horizontal="right"/>
    </xf>
    <xf numFmtId="166" fontId="56" fillId="0" borderId="208" xfId="52" applyNumberFormat="1" applyFont="1" applyFill="1" applyBorder="1" applyAlignment="1">
      <alignment horizontal="right"/>
    </xf>
    <xf numFmtId="166" fontId="248" fillId="67" borderId="128" xfId="52" applyNumberFormat="1" applyFont="1" applyFill="1" applyBorder="1"/>
    <xf numFmtId="166" fontId="56" fillId="0" borderId="208" xfId="52" applyNumberFormat="1" applyFont="1" applyBorder="1"/>
    <xf numFmtId="166" fontId="56" fillId="0" borderId="128" xfId="52" applyNumberFormat="1" applyFont="1" applyBorder="1"/>
    <xf numFmtId="166" fontId="248" fillId="67" borderId="208" xfId="52" applyNumberFormat="1" applyFont="1" applyFill="1" applyBorder="1"/>
    <xf numFmtId="166" fontId="248" fillId="67" borderId="208" xfId="52" applyNumberFormat="1" applyFont="1" applyFill="1" applyBorder="1" applyAlignment="1">
      <alignment horizontal="right"/>
    </xf>
    <xf numFmtId="166" fontId="56" fillId="0" borderId="128" xfId="52" applyNumberFormat="1" applyFont="1" applyFill="1" applyBorder="1" applyAlignment="1">
      <alignment horizontal="right"/>
    </xf>
    <xf numFmtId="166" fontId="206" fillId="67" borderId="236" xfId="52" applyNumberFormat="1" applyFont="1" applyFill="1" applyBorder="1" applyAlignment="1">
      <alignment horizontal="right"/>
    </xf>
    <xf numFmtId="166" fontId="206" fillId="67" borderId="234" xfId="52" applyNumberFormat="1" applyFont="1" applyFill="1" applyBorder="1" applyAlignment="1">
      <alignment horizontal="right"/>
    </xf>
    <xf numFmtId="174" fontId="185" fillId="0" borderId="0" xfId="41" applyFont="1" applyFill="1" applyBorder="1"/>
    <xf numFmtId="174" fontId="212" fillId="0" borderId="0" xfId="41" applyFont="1" applyFill="1" applyAlignment="1">
      <alignment horizontal="center"/>
    </xf>
    <xf numFmtId="174" fontId="185" fillId="0" borderId="0" xfId="41" applyFont="1" applyFill="1" applyAlignment="1">
      <alignment horizontal="center"/>
    </xf>
    <xf numFmtId="174" fontId="56" fillId="0" borderId="266" xfId="41" applyFont="1" applyFill="1" applyBorder="1"/>
    <xf numFmtId="174" fontId="56" fillId="0" borderId="273" xfId="41" applyFont="1" applyFill="1" applyBorder="1"/>
    <xf numFmtId="174" fontId="56" fillId="0" borderId="208" xfId="41" applyFont="1" applyFill="1" applyBorder="1"/>
    <xf numFmtId="165" fontId="186" fillId="0" borderId="266" xfId="41" applyNumberFormat="1" applyFont="1" applyFill="1" applyBorder="1" applyProtection="1"/>
    <xf numFmtId="37" fontId="188" fillId="0" borderId="266" xfId="14" applyNumberFormat="1" applyFont="1" applyFill="1" applyBorder="1"/>
    <xf numFmtId="0" fontId="56" fillId="0" borderId="185" xfId="0" applyFont="1" applyFill="1" applyBorder="1"/>
    <xf numFmtId="0" fontId="188" fillId="0" borderId="37" xfId="39" applyFont="1" applyFill="1" applyBorder="1" applyAlignment="1">
      <alignment horizontal="center"/>
    </xf>
    <xf numFmtId="0" fontId="56" fillId="0" borderId="287" xfId="0" applyFont="1" applyFill="1" applyBorder="1"/>
    <xf numFmtId="0" fontId="188" fillId="0" borderId="290" xfId="39" applyFont="1" applyFill="1" applyBorder="1" applyAlignment="1">
      <alignment horizontal="center"/>
    </xf>
    <xf numFmtId="0" fontId="188" fillId="0" borderId="290" xfId="0" applyFont="1" applyFill="1" applyBorder="1" applyAlignment="1">
      <alignment horizontal="center"/>
    </xf>
    <xf numFmtId="0" fontId="188" fillId="0" borderId="289" xfId="39" applyFont="1" applyFill="1" applyBorder="1" applyAlignment="1">
      <alignment horizontal="center"/>
    </xf>
    <xf numFmtId="6" fontId="56" fillId="48" borderId="0" xfId="19" applyNumberFormat="1" applyFont="1" applyFill="1" applyBorder="1" applyAlignment="1">
      <alignment horizontal="center"/>
    </xf>
    <xf numFmtId="6" fontId="56" fillId="48" borderId="288" xfId="19" applyNumberFormat="1" applyFont="1" applyFill="1" applyBorder="1" applyAlignment="1">
      <alignment horizontal="center"/>
    </xf>
    <xf numFmtId="6" fontId="56" fillId="48" borderId="27" xfId="19" applyNumberFormat="1" applyFont="1" applyFill="1" applyBorder="1" applyAlignment="1">
      <alignment horizontal="center"/>
    </xf>
    <xf numFmtId="6" fontId="56" fillId="48" borderId="186" xfId="19" applyNumberFormat="1" applyFont="1" applyFill="1" applyBorder="1" applyAlignment="1">
      <alignment horizontal="center"/>
    </xf>
    <xf numFmtId="166" fontId="185" fillId="48" borderId="0" xfId="52" applyNumberFormat="1" applyFont="1" applyFill="1" applyBorder="1" applyAlignment="1">
      <alignment horizontal="center"/>
    </xf>
    <xf numFmtId="166" fontId="240" fillId="48" borderId="0" xfId="52" applyNumberFormat="1" applyFont="1" applyFill="1" applyBorder="1" applyAlignment="1">
      <alignment horizontal="center"/>
    </xf>
    <xf numFmtId="166" fontId="185" fillId="48" borderId="27" xfId="52" applyNumberFormat="1" applyFont="1" applyFill="1" applyBorder="1" applyAlignment="1">
      <alignment horizontal="center"/>
    </xf>
    <xf numFmtId="172" fontId="228" fillId="0" borderId="255" xfId="39" applyNumberFormat="1" applyFont="1" applyFill="1" applyBorder="1" applyAlignment="1">
      <alignment horizontal="center"/>
    </xf>
    <xf numFmtId="174" fontId="56" fillId="0" borderId="283" xfId="41" applyFont="1" applyFill="1" applyBorder="1"/>
    <xf numFmtId="165" fontId="189" fillId="0" borderId="0" xfId="10" applyNumberFormat="1" applyFont="1"/>
    <xf numFmtId="165" fontId="189" fillId="0" borderId="0" xfId="10" applyNumberFormat="1" applyFont="1" applyBorder="1"/>
    <xf numFmtId="165" fontId="189" fillId="0" borderId="0" xfId="10" applyNumberFormat="1" applyFont="1" applyFill="1" applyBorder="1"/>
    <xf numFmtId="5" fontId="56" fillId="0" borderId="0" xfId="0" applyNumberFormat="1" applyFont="1"/>
    <xf numFmtId="5" fontId="56" fillId="0" borderId="0" xfId="0" applyNumberFormat="1" applyFont="1" applyFill="1"/>
    <xf numFmtId="5" fontId="56" fillId="0" borderId="0" xfId="0" applyNumberFormat="1" applyFont="1" applyAlignment="1">
      <alignment horizontal="right"/>
    </xf>
    <xf numFmtId="0" fontId="56" fillId="0" borderId="283" xfId="0" applyFont="1" applyBorder="1"/>
    <xf numFmtId="5" fontId="56" fillId="0" borderId="283" xfId="0" applyNumberFormat="1" applyFont="1" applyBorder="1" applyAlignment="1">
      <alignment horizontal="right"/>
    </xf>
    <xf numFmtId="43" fontId="56" fillId="0" borderId="283" xfId="0" applyNumberFormat="1" applyFont="1" applyFill="1" applyBorder="1"/>
    <xf numFmtId="0" fontId="56" fillId="0" borderId="283" xfId="0" applyFont="1" applyBorder="1" applyAlignment="1">
      <alignment horizontal="right"/>
    </xf>
    <xf numFmtId="43" fontId="185" fillId="0" borderId="0" xfId="0" applyNumberFormat="1" applyFont="1" applyBorder="1" applyAlignment="1">
      <alignment horizontal="left"/>
    </xf>
    <xf numFmtId="43" fontId="186" fillId="0" borderId="208" xfId="0" applyNumberFormat="1" applyFont="1" applyBorder="1"/>
    <xf numFmtId="0" fontId="186" fillId="0" borderId="208" xfId="0" applyFont="1" applyBorder="1"/>
    <xf numFmtId="5" fontId="186" fillId="0" borderId="208" xfId="0" applyNumberFormat="1" applyFont="1" applyBorder="1"/>
    <xf numFmtId="5" fontId="186" fillId="0" borderId="208" xfId="0" applyNumberFormat="1" applyFont="1" applyFill="1" applyBorder="1"/>
    <xf numFmtId="5" fontId="186" fillId="0" borderId="208" xfId="0" applyNumberFormat="1" applyFont="1" applyBorder="1" applyAlignment="1">
      <alignment horizontal="right"/>
    </xf>
    <xf numFmtId="43" fontId="185" fillId="0" borderId="283" xfId="0" applyNumberFormat="1" applyFont="1" applyBorder="1"/>
    <xf numFmtId="0" fontId="186" fillId="0" borderId="283" xfId="0" applyFont="1" applyBorder="1"/>
    <xf numFmtId="5" fontId="186" fillId="0" borderId="283" xfId="0" applyNumberFormat="1" applyFont="1" applyBorder="1"/>
    <xf numFmtId="5" fontId="186" fillId="0" borderId="283" xfId="0" applyNumberFormat="1" applyFont="1" applyBorder="1" applyAlignment="1">
      <alignment horizontal="right"/>
    </xf>
    <xf numFmtId="165" fontId="56" fillId="0" borderId="235" xfId="0" applyNumberFormat="1" applyFont="1" applyBorder="1"/>
    <xf numFmtId="5" fontId="188" fillId="0" borderId="283" xfId="14" applyNumberFormat="1" applyFont="1" applyFill="1" applyBorder="1"/>
    <xf numFmtId="5" fontId="185" fillId="50" borderId="0" xfId="14" applyNumberFormat="1" applyFont="1" applyFill="1" applyBorder="1"/>
    <xf numFmtId="37" fontId="187" fillId="0" borderId="53" xfId="0" applyNumberFormat="1" applyFont="1" applyFill="1" applyBorder="1" applyAlignment="1">
      <alignment horizontal="right"/>
    </xf>
    <xf numFmtId="165" fontId="56" fillId="0" borderId="235" xfId="0" applyNumberFormat="1" applyFont="1" applyBorder="1" applyAlignment="1">
      <alignment horizontal="right"/>
    </xf>
    <xf numFmtId="165" fontId="187" fillId="0" borderId="235" xfId="0" applyNumberFormat="1" applyFont="1" applyFill="1" applyBorder="1" applyAlignment="1">
      <alignment horizontal="right"/>
    </xf>
    <xf numFmtId="37" fontId="56" fillId="0" borderId="53" xfId="0" applyNumberFormat="1" applyFont="1" applyFill="1" applyBorder="1" applyAlignment="1">
      <alignment horizontal="right"/>
    </xf>
    <xf numFmtId="37" fontId="56" fillId="0" borderId="283" xfId="0" applyNumberFormat="1" applyFont="1" applyFill="1" applyBorder="1" applyAlignment="1">
      <alignment horizontal="right"/>
    </xf>
    <xf numFmtId="165" fontId="186" fillId="0" borderId="0" xfId="0" applyNumberFormat="1" applyFont="1"/>
    <xf numFmtId="165" fontId="195" fillId="61" borderId="0" xfId="0" applyNumberFormat="1" applyFont="1" applyFill="1"/>
    <xf numFmtId="165" fontId="186" fillId="0" borderId="0" xfId="46" applyNumberFormat="1" applyFont="1" applyBorder="1"/>
    <xf numFmtId="37" fontId="186" fillId="0" borderId="53" xfId="0" applyNumberFormat="1" applyFont="1" applyFill="1" applyBorder="1" applyAlignment="1">
      <alignment horizontal="right"/>
    </xf>
    <xf numFmtId="165" fontId="186" fillId="0" borderId="0" xfId="0" applyNumberFormat="1" applyFont="1" applyBorder="1"/>
    <xf numFmtId="165" fontId="186" fillId="0" borderId="235" xfId="0" applyNumberFormat="1" applyFont="1" applyBorder="1"/>
    <xf numFmtId="165" fontId="186" fillId="0" borderId="235" xfId="0" applyNumberFormat="1" applyFont="1" applyBorder="1" applyAlignment="1">
      <alignment horizontal="right"/>
    </xf>
    <xf numFmtId="165" fontId="186" fillId="0" borderId="0" xfId="0" applyNumberFormat="1" applyFont="1" applyFill="1" applyBorder="1" applyAlignment="1">
      <alignment horizontal="right"/>
    </xf>
    <xf numFmtId="165" fontId="186" fillId="0" borderId="235" xfId="0" applyNumberFormat="1" applyFont="1" applyFill="1" applyBorder="1" applyAlignment="1">
      <alignment horizontal="right"/>
    </xf>
    <xf numFmtId="37" fontId="186" fillId="0" borderId="0" xfId="0" applyNumberFormat="1" applyFont="1" applyFill="1" applyBorder="1" applyAlignment="1">
      <alignment horizontal="right"/>
    </xf>
    <xf numFmtId="37" fontId="186" fillId="0" borderId="106" xfId="0" applyNumberFormat="1" applyFont="1" applyFill="1" applyBorder="1" applyAlignment="1">
      <alignment horizontal="right"/>
    </xf>
    <xf numFmtId="37" fontId="186" fillId="0" borderId="0" xfId="0" applyNumberFormat="1" applyFont="1" applyBorder="1" applyAlignment="1">
      <alignment horizontal="right"/>
    </xf>
    <xf numFmtId="37" fontId="186" fillId="0" borderId="106" xfId="0" applyNumberFormat="1" applyFont="1" applyBorder="1" applyAlignment="1">
      <alignment horizontal="right"/>
    </xf>
    <xf numFmtId="165" fontId="184" fillId="61" borderId="0" xfId="0" applyNumberFormat="1" applyFont="1" applyFill="1" applyBorder="1"/>
    <xf numFmtId="43" fontId="186" fillId="0" borderId="255" xfId="0" applyNumberFormat="1" applyFont="1" applyBorder="1"/>
    <xf numFmtId="165" fontId="186" fillId="0" borderId="283" xfId="46" applyNumberFormat="1" applyFont="1" applyBorder="1"/>
    <xf numFmtId="37" fontId="186" fillId="0" borderId="256" xfId="0" applyNumberFormat="1" applyFont="1" applyFill="1" applyBorder="1" applyAlignment="1">
      <alignment horizontal="right"/>
    </xf>
    <xf numFmtId="165" fontId="186" fillId="0" borderId="283" xfId="0" applyNumberFormat="1" applyFont="1" applyBorder="1"/>
    <xf numFmtId="165" fontId="186" fillId="0" borderId="283" xfId="0" applyNumberFormat="1" applyFont="1" applyBorder="1" applyAlignment="1">
      <alignment horizontal="right"/>
    </xf>
    <xf numFmtId="165" fontId="186" fillId="0" borderId="283" xfId="0" applyNumberFormat="1" applyFont="1" applyFill="1" applyBorder="1" applyAlignment="1">
      <alignment horizontal="right"/>
    </xf>
    <xf numFmtId="165" fontId="186" fillId="0" borderId="252" xfId="0" applyNumberFormat="1" applyFont="1" applyFill="1" applyBorder="1" applyAlignment="1">
      <alignment horizontal="right"/>
    </xf>
    <xf numFmtId="37" fontId="186" fillId="0" borderId="283" xfId="0" applyNumberFormat="1" applyFont="1" applyFill="1" applyBorder="1" applyAlignment="1">
      <alignment horizontal="right"/>
    </xf>
    <xf numFmtId="37" fontId="186" fillId="0" borderId="139" xfId="0" applyNumberFormat="1" applyFont="1" applyFill="1" applyBorder="1" applyAlignment="1">
      <alignment horizontal="right"/>
    </xf>
    <xf numFmtId="37" fontId="186" fillId="0" borderId="283" xfId="0" applyNumberFormat="1" applyFont="1" applyBorder="1" applyAlignment="1">
      <alignment horizontal="right"/>
    </xf>
    <xf numFmtId="37" fontId="186" fillId="0" borderId="139" xfId="0" applyNumberFormat="1" applyFont="1" applyBorder="1" applyAlignment="1">
      <alignment horizontal="right"/>
    </xf>
    <xf numFmtId="165" fontId="56" fillId="0" borderId="270" xfId="46" applyNumberFormat="1" applyFont="1" applyBorder="1"/>
    <xf numFmtId="37" fontId="56" fillId="0" borderId="176" xfId="0" applyNumberFormat="1" applyFont="1" applyFill="1" applyBorder="1" applyAlignment="1">
      <alignment horizontal="right"/>
    </xf>
    <xf numFmtId="165" fontId="56" fillId="0" borderId="270" xfId="0" applyNumberFormat="1" applyFont="1" applyBorder="1"/>
    <xf numFmtId="165" fontId="56" fillId="0" borderId="187" xfId="0" applyNumberFormat="1" applyFont="1" applyBorder="1"/>
    <xf numFmtId="165" fontId="56" fillId="0" borderId="187" xfId="0" applyNumberFormat="1" applyFont="1" applyBorder="1" applyAlignment="1">
      <alignment horizontal="right"/>
    </xf>
    <xf numFmtId="165" fontId="56" fillId="0" borderId="270" xfId="0" applyNumberFormat="1" applyFont="1" applyBorder="1" applyAlignment="1">
      <alignment horizontal="right"/>
    </xf>
    <xf numFmtId="165" fontId="56" fillId="0" borderId="270" xfId="0" applyNumberFormat="1" applyFont="1" applyFill="1" applyBorder="1" applyAlignment="1">
      <alignment horizontal="right"/>
    </xf>
    <xf numFmtId="165" fontId="56" fillId="0" borderId="187" xfId="0" applyNumberFormat="1" applyFont="1" applyFill="1" applyBorder="1" applyAlignment="1">
      <alignment horizontal="right"/>
    </xf>
    <xf numFmtId="37" fontId="56" fillId="0" borderId="270" xfId="0" applyNumberFormat="1" applyFont="1" applyFill="1" applyBorder="1" applyAlignment="1">
      <alignment horizontal="right"/>
    </xf>
    <xf numFmtId="37" fontId="56" fillId="0" borderId="192" xfId="0" applyNumberFormat="1" applyFont="1" applyFill="1" applyBorder="1" applyAlignment="1">
      <alignment horizontal="right"/>
    </xf>
    <xf numFmtId="37" fontId="56" fillId="0" borderId="270" xfId="0" applyNumberFormat="1" applyFont="1" applyBorder="1" applyAlignment="1">
      <alignment horizontal="right"/>
    </xf>
    <xf numFmtId="37" fontId="56" fillId="0" borderId="192" xfId="0" applyNumberFormat="1" applyFont="1" applyBorder="1" applyAlignment="1">
      <alignment horizontal="right"/>
    </xf>
    <xf numFmtId="43" fontId="186" fillId="0" borderId="284" xfId="0" applyNumberFormat="1" applyFont="1" applyBorder="1"/>
    <xf numFmtId="165" fontId="186" fillId="0" borderId="270" xfId="46" applyNumberFormat="1" applyFont="1" applyBorder="1"/>
    <xf numFmtId="37" fontId="186" fillId="0" borderId="176" xfId="0" applyNumberFormat="1" applyFont="1" applyFill="1" applyBorder="1" applyAlignment="1">
      <alignment horizontal="right"/>
    </xf>
    <xf numFmtId="165" fontId="186" fillId="0" borderId="270" xfId="0" applyNumberFormat="1" applyFont="1" applyBorder="1"/>
    <xf numFmtId="165" fontId="186" fillId="0" borderId="187" xfId="0" applyNumberFormat="1" applyFont="1" applyBorder="1"/>
    <xf numFmtId="165" fontId="186" fillId="0" borderId="187" xfId="0" applyNumberFormat="1" applyFont="1" applyBorder="1" applyAlignment="1">
      <alignment horizontal="right"/>
    </xf>
    <xf numFmtId="165" fontId="186" fillId="0" borderId="270" xfId="0" applyNumberFormat="1" applyFont="1" applyBorder="1" applyAlignment="1">
      <alignment horizontal="right"/>
    </xf>
    <xf numFmtId="165" fontId="186" fillId="0" borderId="270" xfId="0" applyNumberFormat="1" applyFont="1" applyFill="1" applyBorder="1" applyAlignment="1">
      <alignment horizontal="right"/>
    </xf>
    <xf numFmtId="165" fontId="186" fillId="0" borderId="187" xfId="0" applyNumberFormat="1" applyFont="1" applyFill="1" applyBorder="1" applyAlignment="1">
      <alignment horizontal="right"/>
    </xf>
    <xf numFmtId="37" fontId="186" fillId="0" borderId="270" xfId="0" applyNumberFormat="1" applyFont="1" applyFill="1" applyBorder="1" applyAlignment="1">
      <alignment horizontal="right"/>
    </xf>
    <xf numFmtId="37" fontId="186" fillId="0" borderId="192" xfId="0" applyNumberFormat="1" applyFont="1" applyFill="1" applyBorder="1" applyAlignment="1">
      <alignment horizontal="right"/>
    </xf>
    <xf numFmtId="37" fontId="186" fillId="0" borderId="270" xfId="0" applyNumberFormat="1" applyFont="1" applyBorder="1" applyAlignment="1">
      <alignment horizontal="right"/>
    </xf>
    <xf numFmtId="37" fontId="186" fillId="0" borderId="192" xfId="0" applyNumberFormat="1" applyFont="1" applyBorder="1" applyAlignment="1">
      <alignment horizontal="right"/>
    </xf>
    <xf numFmtId="37" fontId="218" fillId="0" borderId="270" xfId="0" applyNumberFormat="1" applyFont="1" applyFill="1" applyBorder="1" applyAlignment="1">
      <alignment horizontal="right"/>
    </xf>
    <xf numFmtId="43" fontId="186" fillId="0" borderId="64" xfId="0" applyNumberFormat="1" applyFont="1" applyBorder="1"/>
    <xf numFmtId="43" fontId="56" fillId="0" borderId="64" xfId="0" applyNumberFormat="1" applyFont="1" applyBorder="1"/>
    <xf numFmtId="43" fontId="56" fillId="0" borderId="64" xfId="0" applyNumberFormat="1" applyFont="1" applyBorder="1" applyAlignment="1">
      <alignment horizontal="left" indent="1"/>
    </xf>
    <xf numFmtId="41" fontId="56" fillId="0" borderId="127" xfId="0" applyNumberFormat="1" applyFont="1" applyBorder="1" applyAlignment="1">
      <alignment horizontal="left"/>
    </xf>
    <xf numFmtId="41" fontId="52" fillId="0" borderId="0" xfId="0" applyNumberFormat="1" applyFont="1" applyBorder="1" applyAlignment="1">
      <alignment horizontal="left"/>
    </xf>
    <xf numFmtId="41" fontId="254" fillId="0" borderId="0" xfId="0" applyNumberFormat="1" applyFont="1" applyFill="1" applyBorder="1" applyAlignment="1">
      <alignment vertical="center"/>
    </xf>
    <xf numFmtId="41" fontId="58" fillId="0" borderId="0" xfId="0" applyNumberFormat="1" applyFont="1" applyFill="1" applyBorder="1" applyAlignment="1">
      <alignment horizontal="left"/>
    </xf>
    <xf numFmtId="41" fontId="53" fillId="0" borderId="0" xfId="45" applyNumberFormat="1" applyFont="1" applyBorder="1"/>
    <xf numFmtId="41" fontId="185" fillId="67" borderId="52" xfId="0" applyNumberFormat="1" applyFont="1" applyFill="1" applyBorder="1" applyAlignment="1">
      <alignment horizontal="left"/>
    </xf>
    <xf numFmtId="41" fontId="56" fillId="0" borderId="92" xfId="0" applyNumberFormat="1" applyFont="1" applyBorder="1" applyAlignment="1">
      <alignment horizontal="left" indent="1"/>
    </xf>
    <xf numFmtId="41" fontId="185" fillId="67" borderId="92" xfId="0" applyNumberFormat="1" applyFont="1" applyFill="1" applyBorder="1" applyAlignment="1">
      <alignment horizontal="left"/>
    </xf>
    <xf numFmtId="41" fontId="56" fillId="51" borderId="92" xfId="0" applyNumberFormat="1" applyFont="1" applyFill="1" applyBorder="1" applyAlignment="1">
      <alignment horizontal="left" indent="2"/>
    </xf>
    <xf numFmtId="41" fontId="56" fillId="51" borderId="140" xfId="0" applyNumberFormat="1" applyFont="1" applyFill="1" applyBorder="1" applyAlignment="1">
      <alignment horizontal="left" indent="2"/>
    </xf>
    <xf numFmtId="41" fontId="56" fillId="0" borderId="106" xfId="0" applyNumberFormat="1" applyFont="1" applyBorder="1" applyAlignment="1">
      <alignment horizontal="left" indent="1"/>
    </xf>
    <xf numFmtId="41" fontId="56" fillId="0" borderId="92" xfId="46" applyNumberFormat="1" applyFont="1" applyBorder="1" applyAlignment="1">
      <alignment horizontal="left"/>
    </xf>
    <xf numFmtId="41" fontId="56" fillId="51" borderId="92" xfId="46" applyNumberFormat="1" applyFont="1" applyFill="1" applyBorder="1" applyAlignment="1">
      <alignment horizontal="left" indent="2"/>
    </xf>
    <xf numFmtId="41" fontId="56" fillId="51" borderId="162" xfId="0" applyNumberFormat="1" applyFont="1" applyFill="1" applyBorder="1" applyAlignment="1">
      <alignment horizontal="left" indent="2"/>
    </xf>
    <xf numFmtId="41" fontId="56" fillId="0" borderId="106" xfId="46" applyNumberFormat="1" applyFont="1" applyBorder="1" applyAlignment="1">
      <alignment horizontal="left" indent="1"/>
    </xf>
    <xf numFmtId="41" fontId="56" fillId="0" borderId="92" xfId="46" applyNumberFormat="1" applyFont="1" applyFill="1" applyBorder="1" applyAlignment="1">
      <alignment horizontal="left" indent="1"/>
    </xf>
    <xf numFmtId="41" fontId="56" fillId="0" borderId="92" xfId="46" applyNumberFormat="1" applyFont="1" applyBorder="1" applyAlignment="1">
      <alignment horizontal="left" indent="2"/>
    </xf>
    <xf numFmtId="41" fontId="185" fillId="67" borderId="92" xfId="46" applyNumberFormat="1" applyFont="1" applyFill="1" applyBorder="1" applyAlignment="1">
      <alignment horizontal="left"/>
    </xf>
    <xf numFmtId="41" fontId="185" fillId="67" borderId="237" xfId="46" applyNumberFormat="1" applyFont="1" applyFill="1" applyBorder="1" applyAlignment="1">
      <alignment horizontal="left"/>
    </xf>
    <xf numFmtId="41" fontId="185" fillId="67" borderId="92" xfId="46" applyNumberFormat="1" applyFont="1" applyFill="1" applyBorder="1" applyAlignment="1">
      <alignment horizontal="left" indent="1"/>
    </xf>
    <xf numFmtId="41" fontId="56" fillId="0" borderId="92" xfId="46" applyNumberFormat="1" applyFont="1" applyBorder="1" applyAlignment="1">
      <alignment horizontal="left" indent="1"/>
    </xf>
    <xf numFmtId="41" fontId="184" fillId="0" borderId="92" xfId="46" applyNumberFormat="1" applyFont="1" applyBorder="1" applyAlignment="1">
      <alignment horizontal="left" indent="1"/>
    </xf>
    <xf numFmtId="41" fontId="56" fillId="0" borderId="92" xfId="46" applyNumberFormat="1" applyFont="1" applyFill="1" applyBorder="1" applyAlignment="1">
      <alignment horizontal="left"/>
    </xf>
    <xf numFmtId="41" fontId="185" fillId="67" borderId="92" xfId="52" applyNumberFormat="1" applyFont="1" applyFill="1" applyBorder="1" applyAlignment="1">
      <alignment horizontal="left"/>
    </xf>
    <xf numFmtId="41" fontId="56" fillId="0" borderId="237" xfId="46" applyNumberFormat="1" applyFont="1" applyFill="1" applyBorder="1" applyAlignment="1">
      <alignment horizontal="left"/>
    </xf>
    <xf numFmtId="41" fontId="188" fillId="0" borderId="92" xfId="52" applyNumberFormat="1" applyFont="1" applyFill="1" applyBorder="1" applyAlignment="1">
      <alignment horizontal="left"/>
    </xf>
    <xf numFmtId="41" fontId="56" fillId="0" borderId="92" xfId="52" applyNumberFormat="1" applyFont="1" applyFill="1" applyBorder="1" applyAlignment="1">
      <alignment horizontal="left"/>
    </xf>
    <xf numFmtId="41" fontId="188" fillId="0" borderId="92" xfId="46" applyNumberFormat="1" applyFont="1" applyBorder="1" applyAlignment="1">
      <alignment horizontal="left"/>
    </xf>
    <xf numFmtId="41" fontId="56" fillId="0" borderId="92" xfId="0" applyNumberFormat="1" applyFont="1" applyFill="1" applyBorder="1" applyAlignment="1">
      <alignment horizontal="left" indent="1"/>
    </xf>
    <xf numFmtId="41" fontId="185" fillId="67" borderId="91" xfId="0" applyNumberFormat="1" applyFont="1" applyFill="1" applyBorder="1" applyAlignment="1">
      <alignment horizontal="left"/>
    </xf>
    <xf numFmtId="41" fontId="185" fillId="0" borderId="0" xfId="0" applyNumberFormat="1" applyFont="1" applyFill="1" applyBorder="1" applyAlignment="1">
      <alignment horizontal="left"/>
    </xf>
    <xf numFmtId="41" fontId="185" fillId="0" borderId="78" xfId="0" applyNumberFormat="1" applyFont="1" applyFill="1" applyBorder="1" applyAlignment="1">
      <alignment horizontal="left"/>
    </xf>
    <xf numFmtId="41" fontId="185" fillId="67" borderId="139" xfId="0" applyNumberFormat="1" applyFont="1" applyFill="1" applyBorder="1" applyAlignment="1">
      <alignment horizontal="left"/>
    </xf>
    <xf numFmtId="41" fontId="185" fillId="67" borderId="106" xfId="0" applyNumberFormat="1" applyFont="1" applyFill="1" applyBorder="1" applyAlignment="1">
      <alignment horizontal="left"/>
    </xf>
    <xf numFmtId="41" fontId="56" fillId="0" borderId="106" xfId="46" applyNumberFormat="1" applyFont="1" applyFill="1" applyBorder="1" applyAlignment="1">
      <alignment horizontal="left" indent="1"/>
    </xf>
    <xf numFmtId="41" fontId="185" fillId="67" borderId="106" xfId="46" applyNumberFormat="1" applyFont="1" applyFill="1" applyBorder="1" applyAlignment="1">
      <alignment horizontal="left"/>
    </xf>
    <xf numFmtId="41" fontId="56" fillId="0" borderId="106" xfId="0" applyNumberFormat="1" applyFont="1" applyFill="1" applyBorder="1" applyAlignment="1">
      <alignment horizontal="left"/>
    </xf>
    <xf numFmtId="41" fontId="56" fillId="0" borderId="140" xfId="46" applyNumberFormat="1" applyFont="1" applyFill="1" applyBorder="1" applyAlignment="1">
      <alignment horizontal="left"/>
    </xf>
    <xf numFmtId="41" fontId="185" fillId="0" borderId="139" xfId="0" applyNumberFormat="1" applyFont="1" applyBorder="1" applyAlignment="1">
      <alignment horizontal="left"/>
    </xf>
    <xf numFmtId="41" fontId="56" fillId="0" borderId="106" xfId="52" applyNumberFormat="1" applyFont="1" applyFill="1" applyBorder="1" applyAlignment="1">
      <alignment horizontal="left" indent="1"/>
    </xf>
    <xf numFmtId="41" fontId="56" fillId="0" borderId="140" xfId="0" applyNumberFormat="1" applyFont="1" applyFill="1" applyBorder="1" applyAlignment="1">
      <alignment horizontal="left"/>
    </xf>
    <xf numFmtId="41" fontId="56" fillId="0" borderId="106" xfId="0" applyNumberFormat="1" applyFont="1" applyFill="1" applyBorder="1" applyAlignment="1">
      <alignment horizontal="left" indent="1"/>
    </xf>
    <xf numFmtId="41" fontId="56" fillId="67" borderId="106" xfId="0" applyNumberFormat="1" applyFont="1" applyFill="1" applyBorder="1" applyAlignment="1">
      <alignment horizontal="left"/>
    </xf>
    <xf numFmtId="41" fontId="185" fillId="0" borderId="139" xfId="0" applyNumberFormat="1" applyFont="1" applyFill="1" applyBorder="1" applyAlignment="1">
      <alignment horizontal="left"/>
    </xf>
    <xf numFmtId="41" fontId="56" fillId="51" borderId="106" xfId="0" applyNumberFormat="1" applyFont="1" applyFill="1" applyBorder="1" applyAlignment="1">
      <alignment horizontal="left" indent="2"/>
    </xf>
    <xf numFmtId="41" fontId="56" fillId="0" borderId="237" xfId="52" applyNumberFormat="1" applyFont="1" applyFill="1" applyBorder="1" applyAlignment="1">
      <alignment horizontal="left" indent="1"/>
    </xf>
    <xf numFmtId="41" fontId="186" fillId="67" borderId="106" xfId="0" applyNumberFormat="1" applyFont="1" applyFill="1" applyBorder="1" applyAlignment="1">
      <alignment horizontal="left"/>
    </xf>
    <xf numFmtId="41" fontId="56" fillId="0" borderId="106" xfId="0" applyNumberFormat="1" applyFont="1" applyBorder="1" applyAlignment="1">
      <alignment horizontal="left"/>
    </xf>
    <xf numFmtId="41" fontId="185" fillId="67" borderId="140" xfId="0" applyNumberFormat="1" applyFont="1" applyFill="1" applyBorder="1" applyAlignment="1">
      <alignment horizontal="left"/>
    </xf>
    <xf numFmtId="41" fontId="56" fillId="0" borderId="0" xfId="0" applyNumberFormat="1" applyFont="1" applyFill="1" applyBorder="1" applyAlignment="1">
      <alignment horizontal="left"/>
    </xf>
    <xf numFmtId="41" fontId="184" fillId="0" borderId="106" xfId="52" applyNumberFormat="1" applyFont="1" applyFill="1" applyBorder="1" applyAlignment="1">
      <alignment horizontal="left" indent="1"/>
    </xf>
    <xf numFmtId="41" fontId="56" fillId="0" borderId="92" xfId="52" applyNumberFormat="1" applyFont="1" applyFill="1" applyBorder="1" applyAlignment="1">
      <alignment horizontal="left" indent="1"/>
    </xf>
    <xf numFmtId="41" fontId="184" fillId="0" borderId="106" xfId="52" applyNumberFormat="1" applyFont="1" applyFill="1" applyBorder="1" applyAlignment="1">
      <alignment horizontal="left" indent="2"/>
    </xf>
    <xf numFmtId="41" fontId="56" fillId="0" borderId="237" xfId="52" applyNumberFormat="1" applyFont="1" applyFill="1" applyBorder="1" applyAlignment="1">
      <alignment horizontal="left"/>
    </xf>
    <xf numFmtId="41" fontId="186" fillId="0" borderId="128" xfId="52" applyNumberFormat="1" applyFont="1" applyFill="1" applyBorder="1" applyAlignment="1">
      <alignment horizontal="left" indent="1"/>
    </xf>
    <xf numFmtId="41" fontId="56" fillId="51" borderId="5" xfId="52" applyNumberFormat="1" applyFont="1" applyFill="1" applyBorder="1" applyAlignment="1">
      <alignment horizontal="left"/>
    </xf>
    <xf numFmtId="41" fontId="56" fillId="0" borderId="139" xfId="52" applyNumberFormat="1" applyFont="1" applyFill="1" applyBorder="1" applyAlignment="1">
      <alignment horizontal="left" indent="1"/>
    </xf>
    <xf numFmtId="41" fontId="56" fillId="0" borderId="237" xfId="52" applyNumberFormat="1" applyFont="1" applyFill="1" applyBorder="1" applyAlignment="1">
      <alignment horizontal="left" indent="2"/>
    </xf>
    <xf numFmtId="41" fontId="56" fillId="0" borderId="192" xfId="52" applyNumberFormat="1" applyFont="1" applyFill="1" applyBorder="1" applyAlignment="1">
      <alignment horizontal="left" indent="2"/>
    </xf>
    <xf numFmtId="41" fontId="56" fillId="0" borderId="92" xfId="52" quotePrefix="1" applyNumberFormat="1" applyFont="1" applyFill="1" applyBorder="1" applyAlignment="1">
      <alignment horizontal="left" indent="1"/>
    </xf>
    <xf numFmtId="41" fontId="186" fillId="0" borderId="139" xfId="52" quotePrefix="1" applyNumberFormat="1" applyFont="1" applyFill="1" applyBorder="1" applyAlignment="1">
      <alignment horizontal="left"/>
    </xf>
    <xf numFmtId="41" fontId="56" fillId="0" borderId="192" xfId="52" applyNumberFormat="1" applyFont="1" applyFill="1" applyBorder="1" applyAlignment="1">
      <alignment horizontal="left" indent="1"/>
    </xf>
    <xf numFmtId="41" fontId="56" fillId="0" borderId="0" xfId="0" applyNumberFormat="1" applyFont="1" applyAlignment="1">
      <alignment horizontal="left" indent="1"/>
    </xf>
    <xf numFmtId="41" fontId="56" fillId="0" borderId="255" xfId="0" applyNumberFormat="1" applyFont="1" applyBorder="1" applyAlignment="1">
      <alignment horizontal="left"/>
    </xf>
    <xf numFmtId="41" fontId="56" fillId="0" borderId="236" xfId="0" quotePrefix="1" applyNumberFormat="1" applyFont="1" applyBorder="1" applyAlignment="1">
      <alignment horizontal="left" indent="1"/>
    </xf>
    <xf numFmtId="41" fontId="56" fillId="0" borderId="284" xfId="0" applyNumberFormat="1" applyFont="1" applyBorder="1" applyAlignment="1">
      <alignment horizontal="left"/>
    </xf>
    <xf numFmtId="41" fontId="56" fillId="0" borderId="236" xfId="0" applyNumberFormat="1" applyFont="1" applyBorder="1" applyAlignment="1">
      <alignment horizontal="left" indent="1"/>
    </xf>
    <xf numFmtId="41" fontId="56" fillId="0" borderId="236" xfId="0" quotePrefix="1" applyNumberFormat="1" applyFont="1" applyBorder="1" applyAlignment="1">
      <alignment horizontal="left" indent="2"/>
    </xf>
    <xf numFmtId="41" fontId="56" fillId="0" borderId="236" xfId="0" applyNumberFormat="1" applyFont="1" applyBorder="1" applyAlignment="1">
      <alignment horizontal="left" indent="2"/>
    </xf>
    <xf numFmtId="41" fontId="186" fillId="0" borderId="236" xfId="0" applyNumberFormat="1" applyFont="1" applyBorder="1" applyAlignment="1">
      <alignment horizontal="left" indent="1"/>
    </xf>
    <xf numFmtId="41" fontId="186" fillId="0" borderId="284" xfId="0" applyNumberFormat="1" applyFont="1" applyBorder="1" applyAlignment="1">
      <alignment horizontal="left" indent="1"/>
    </xf>
    <xf numFmtId="41" fontId="56" fillId="0" borderId="0" xfId="0" applyNumberFormat="1" applyFont="1" applyAlignment="1">
      <alignment horizontal="left"/>
    </xf>
    <xf numFmtId="41" fontId="186" fillId="51" borderId="0" xfId="0" applyNumberFormat="1" applyFont="1" applyFill="1"/>
    <xf numFmtId="41" fontId="185" fillId="51" borderId="78" xfId="0" applyNumberFormat="1" applyFont="1" applyFill="1" applyBorder="1" applyAlignment="1">
      <alignment horizontal="left"/>
    </xf>
    <xf numFmtId="41" fontId="185" fillId="51" borderId="139" xfId="0" applyNumberFormat="1" applyFont="1" applyFill="1" applyBorder="1" applyAlignment="1">
      <alignment horizontal="left"/>
    </xf>
    <xf numFmtId="41" fontId="56" fillId="51" borderId="106" xfId="46" applyNumberFormat="1" applyFont="1" applyFill="1" applyBorder="1" applyAlignment="1">
      <alignment horizontal="left" indent="1"/>
    </xf>
    <xf numFmtId="41" fontId="185" fillId="51" borderId="106" xfId="0" applyNumberFormat="1" applyFont="1" applyFill="1" applyBorder="1" applyAlignment="1">
      <alignment horizontal="left"/>
    </xf>
    <xf numFmtId="41" fontId="56" fillId="51" borderId="106" xfId="0" applyNumberFormat="1" applyFont="1" applyFill="1" applyBorder="1" applyAlignment="1">
      <alignment horizontal="left"/>
    </xf>
    <xf numFmtId="41" fontId="185" fillId="51" borderId="106" xfId="46" applyNumberFormat="1" applyFont="1" applyFill="1" applyBorder="1" applyAlignment="1">
      <alignment horizontal="left"/>
    </xf>
    <xf numFmtId="41" fontId="185" fillId="51" borderId="106" xfId="46" applyNumberFormat="1" applyFont="1" applyFill="1" applyBorder="1" applyAlignment="1">
      <alignment horizontal="left" indent="1"/>
    </xf>
    <xf numFmtId="41" fontId="56" fillId="51" borderId="106" xfId="46" applyNumberFormat="1" applyFont="1" applyFill="1" applyBorder="1" applyAlignment="1">
      <alignment horizontal="left"/>
    </xf>
    <xf numFmtId="41" fontId="56" fillId="51" borderId="140" xfId="46" applyNumberFormat="1" applyFont="1" applyFill="1" applyBorder="1" applyAlignment="1">
      <alignment horizontal="left"/>
    </xf>
    <xf numFmtId="41" fontId="56" fillId="51" borderId="106" xfId="52" applyNumberFormat="1" applyFont="1" applyFill="1" applyBorder="1" applyAlignment="1">
      <alignment horizontal="left" indent="1"/>
    </xf>
    <xf numFmtId="41" fontId="56" fillId="51" borderId="140" xfId="0" applyNumberFormat="1" applyFont="1" applyFill="1" applyBorder="1" applyAlignment="1">
      <alignment horizontal="left"/>
    </xf>
    <xf numFmtId="41" fontId="56" fillId="51" borderId="106" xfId="0" applyNumberFormat="1" applyFont="1" applyFill="1" applyBorder="1" applyAlignment="1">
      <alignment horizontal="left" indent="1"/>
    </xf>
    <xf numFmtId="41" fontId="56" fillId="51" borderId="106" xfId="52" applyNumberFormat="1" applyFont="1" applyFill="1" applyBorder="1" applyAlignment="1">
      <alignment horizontal="left"/>
    </xf>
    <xf numFmtId="41" fontId="56" fillId="51" borderId="140" xfId="52" applyNumberFormat="1" applyFont="1" applyFill="1" applyBorder="1" applyAlignment="1">
      <alignment horizontal="left" indent="1"/>
    </xf>
    <xf numFmtId="41" fontId="56" fillId="0" borderId="126" xfId="0" applyNumberFormat="1" applyFont="1" applyBorder="1" applyAlignment="1">
      <alignment horizontal="left"/>
    </xf>
    <xf numFmtId="41" fontId="56" fillId="0" borderId="126" xfId="0" applyNumberFormat="1" applyFont="1" applyFill="1" applyBorder="1" applyAlignment="1">
      <alignment horizontal="left"/>
    </xf>
    <xf numFmtId="41" fontId="56" fillId="0" borderId="166" xfId="0" applyNumberFormat="1" applyFont="1" applyFill="1" applyBorder="1" applyAlignment="1">
      <alignment horizontal="left"/>
    </xf>
    <xf numFmtId="41" fontId="56" fillId="0" borderId="0" xfId="0" applyNumberFormat="1" applyFont="1" applyBorder="1" applyAlignment="1">
      <alignment horizontal="left"/>
    </xf>
    <xf numFmtId="37" fontId="218" fillId="0" borderId="0" xfId="0" applyNumberFormat="1" applyFont="1" applyFill="1" applyBorder="1" applyAlignment="1">
      <alignment horizontal="right"/>
    </xf>
    <xf numFmtId="7" fontId="56" fillId="0" borderId="106" xfId="0" applyNumberFormat="1" applyFont="1" applyFill="1" applyBorder="1" applyAlignment="1">
      <alignment horizontal="right"/>
    </xf>
    <xf numFmtId="7" fontId="56" fillId="0" borderId="53" xfId="0" applyNumberFormat="1" applyFont="1" applyFill="1" applyBorder="1" applyAlignment="1">
      <alignment horizontal="right"/>
    </xf>
    <xf numFmtId="7" fontId="187" fillId="0" borderId="0" xfId="0" applyNumberFormat="1" applyFont="1" applyFill="1" applyBorder="1" applyAlignment="1">
      <alignment horizontal="right"/>
    </xf>
    <xf numFmtId="7" fontId="213" fillId="0" borderId="0" xfId="0" applyNumberFormat="1" applyFont="1" applyFill="1" applyBorder="1" applyAlignment="1">
      <alignment horizontal="right"/>
    </xf>
    <xf numFmtId="165" fontId="186" fillId="0" borderId="106" xfId="0" applyNumberFormat="1" applyFont="1" applyBorder="1" applyAlignment="1">
      <alignment horizontal="right"/>
    </xf>
    <xf numFmtId="165" fontId="56" fillId="0" borderId="53" xfId="0" applyNumberFormat="1" applyFont="1" applyFill="1" applyBorder="1" applyAlignment="1">
      <alignment horizontal="right"/>
    </xf>
    <xf numFmtId="43" fontId="186" fillId="0" borderId="255" xfId="0" applyNumberFormat="1" applyFont="1" applyBorder="1" applyAlignment="1">
      <alignment horizontal="left"/>
    </xf>
    <xf numFmtId="165" fontId="186" fillId="0" borderId="256" xfId="0" applyNumberFormat="1" applyFont="1" applyFill="1" applyBorder="1" applyAlignment="1">
      <alignment horizontal="right"/>
    </xf>
    <xf numFmtId="165" fontId="186" fillId="0" borderId="139" xfId="0" applyNumberFormat="1" applyFont="1" applyBorder="1" applyAlignment="1">
      <alignment horizontal="right"/>
    </xf>
    <xf numFmtId="43" fontId="56" fillId="0" borderId="64" xfId="0" applyNumberFormat="1" applyFont="1" applyBorder="1" applyAlignment="1">
      <alignment horizontal="left"/>
    </xf>
    <xf numFmtId="304" fontId="186" fillId="0" borderId="106" xfId="0" applyNumberFormat="1" applyFont="1" applyFill="1" applyBorder="1" applyAlignment="1"/>
    <xf numFmtId="304" fontId="186" fillId="0" borderId="0" xfId="0" applyNumberFormat="1" applyFont="1" applyBorder="1" applyAlignment="1"/>
    <xf numFmtId="304" fontId="186" fillId="0" borderId="0" xfId="0" applyNumberFormat="1" applyFont="1" applyFill="1" applyBorder="1" applyAlignment="1"/>
    <xf numFmtId="304" fontId="186" fillId="0" borderId="53" xfId="0" applyNumberFormat="1" applyFont="1" applyFill="1" applyBorder="1" applyAlignment="1"/>
    <xf numFmtId="304" fontId="186" fillId="0" borderId="106" xfId="0" applyNumberFormat="1" applyFont="1" applyBorder="1" applyAlignment="1"/>
    <xf numFmtId="304" fontId="56" fillId="0" borderId="0" xfId="0" applyNumberFormat="1" applyFont="1" applyFill="1" applyBorder="1" applyAlignment="1"/>
    <xf numFmtId="304" fontId="56" fillId="0" borderId="106" xfId="0" applyNumberFormat="1" applyFont="1" applyBorder="1" applyAlignment="1"/>
    <xf numFmtId="43" fontId="56" fillId="0" borderId="103" xfId="39" applyNumberFormat="1" applyFont="1" applyBorder="1" applyAlignment="1">
      <alignment horizontal="left" indent="1"/>
    </xf>
    <xf numFmtId="165" fontId="56" fillId="0" borderId="234" xfId="0" applyNumberFormat="1" applyFont="1" applyBorder="1"/>
    <xf numFmtId="165" fontId="191" fillId="0" borderId="235" xfId="0" applyNumberFormat="1" applyFont="1" applyBorder="1"/>
    <xf numFmtId="177" fontId="56" fillId="0" borderId="235" xfId="10" applyNumberFormat="1" applyFont="1" applyBorder="1"/>
    <xf numFmtId="177" fontId="56" fillId="0" borderId="234" xfId="10" applyNumberFormat="1" applyFont="1" applyBorder="1"/>
    <xf numFmtId="177" fontId="56" fillId="0" borderId="234" xfId="10" applyNumberFormat="1" applyFont="1" applyBorder="1" applyAlignment="1">
      <alignment horizontal="right"/>
    </xf>
    <xf numFmtId="177" fontId="187" fillId="0" borderId="235" xfId="10" applyNumberFormat="1" applyFont="1" applyBorder="1" applyAlignment="1">
      <alignment horizontal="right"/>
    </xf>
    <xf numFmtId="165" fontId="56" fillId="0" borderId="235" xfId="0" applyNumberFormat="1" applyFont="1" applyFill="1" applyBorder="1"/>
    <xf numFmtId="165" fontId="56" fillId="0" borderId="234" xfId="0" applyNumberFormat="1" applyFont="1" applyFill="1" applyBorder="1"/>
    <xf numFmtId="43" fontId="56" fillId="51" borderId="0" xfId="0" applyNumberFormat="1" applyFont="1" applyFill="1" applyBorder="1"/>
    <xf numFmtId="43" fontId="56" fillId="0" borderId="235" xfId="10" applyFont="1" applyBorder="1"/>
    <xf numFmtId="43" fontId="56" fillId="0" borderId="234" xfId="10" applyFont="1" applyBorder="1"/>
    <xf numFmtId="43" fontId="189" fillId="0" borderId="235" xfId="10" applyFont="1" applyBorder="1" applyAlignment="1">
      <alignment horizontal="right"/>
    </xf>
    <xf numFmtId="43" fontId="187" fillId="0" borderId="22" xfId="10" applyFont="1" applyBorder="1" applyAlignment="1">
      <alignment horizontal="right"/>
    </xf>
    <xf numFmtId="41" fontId="191" fillId="0" borderId="235" xfId="0" applyNumberFormat="1" applyFont="1" applyBorder="1"/>
    <xf numFmtId="41" fontId="56" fillId="0" borderId="235" xfId="0" applyNumberFormat="1" applyFont="1" applyBorder="1"/>
    <xf numFmtId="195" fontId="190" fillId="0" borderId="234" xfId="0" applyNumberFormat="1" applyFont="1" applyBorder="1"/>
    <xf numFmtId="177" fontId="190" fillId="0" borderId="234" xfId="10" applyNumberFormat="1" applyFont="1" applyBorder="1"/>
    <xf numFmtId="177" fontId="190" fillId="0" borderId="234" xfId="10" applyNumberFormat="1" applyFont="1" applyBorder="1" applyAlignment="1">
      <alignment horizontal="right"/>
    </xf>
    <xf numFmtId="37" fontId="56" fillId="0" borderId="235" xfId="0" applyNumberFormat="1" applyFont="1" applyFill="1" applyBorder="1"/>
    <xf numFmtId="37" fontId="56" fillId="0" borderId="235" xfId="0" applyNumberFormat="1" applyFont="1" applyFill="1" applyBorder="1" applyAlignment="1">
      <alignment horizontal="right"/>
    </xf>
    <xf numFmtId="37" fontId="187" fillId="0" borderId="235" xfId="0" applyNumberFormat="1" applyFont="1" applyFill="1" applyBorder="1" applyAlignment="1">
      <alignment horizontal="right"/>
    </xf>
    <xf numFmtId="43" fontId="56" fillId="0" borderId="283" xfId="39" applyNumberFormat="1" applyFont="1" applyFill="1" applyBorder="1"/>
    <xf numFmtId="165" fontId="56" fillId="0" borderId="139" xfId="0" applyNumberFormat="1" applyFont="1" applyFill="1" applyBorder="1"/>
    <xf numFmtId="165" fontId="191" fillId="0" borderId="283" xfId="0" applyNumberFormat="1" applyFont="1" applyFill="1" applyBorder="1"/>
    <xf numFmtId="37" fontId="191" fillId="0" borderId="283" xfId="0" applyNumberFormat="1" applyFont="1" applyFill="1" applyBorder="1"/>
    <xf numFmtId="37" fontId="56" fillId="0" borderId="139" xfId="0" applyNumberFormat="1" applyFont="1" applyFill="1" applyBorder="1"/>
    <xf numFmtId="37" fontId="56" fillId="0" borderId="283" xfId="0" applyNumberFormat="1" applyFont="1" applyFill="1" applyBorder="1"/>
    <xf numFmtId="37" fontId="56" fillId="0" borderId="252" xfId="0" applyNumberFormat="1" applyFont="1" applyFill="1" applyBorder="1"/>
    <xf numFmtId="37" fontId="56" fillId="0" borderId="252" xfId="0" applyNumberFormat="1" applyFont="1" applyFill="1" applyBorder="1" applyAlignment="1">
      <alignment horizontal="right"/>
    </xf>
    <xf numFmtId="37" fontId="56" fillId="0" borderId="151" xfId="0" applyNumberFormat="1" applyFont="1" applyFill="1" applyBorder="1" applyAlignment="1">
      <alignment horizontal="right"/>
    </xf>
    <xf numFmtId="37" fontId="56" fillId="0" borderId="293" xfId="0" applyNumberFormat="1" applyFont="1" applyFill="1" applyBorder="1" applyAlignment="1">
      <alignment horizontal="right"/>
    </xf>
    <xf numFmtId="0" fontId="56" fillId="0" borderId="235" xfId="0" applyFont="1" applyFill="1" applyBorder="1"/>
    <xf numFmtId="165" fontId="56" fillId="51" borderId="234" xfId="0" applyNumberFormat="1" applyFont="1" applyFill="1" applyBorder="1"/>
    <xf numFmtId="165" fontId="191" fillId="51" borderId="235" xfId="0" applyNumberFormat="1" applyFont="1" applyFill="1" applyBorder="1"/>
    <xf numFmtId="165" fontId="191" fillId="51" borderId="0" xfId="0" applyNumberFormat="1" applyFont="1" applyFill="1" applyBorder="1"/>
    <xf numFmtId="43" fontId="56" fillId="51" borderId="235" xfId="10" applyFont="1" applyFill="1" applyBorder="1"/>
    <xf numFmtId="43" fontId="56" fillId="51" borderId="0" xfId="10" applyFont="1" applyFill="1" applyBorder="1"/>
    <xf numFmtId="43" fontId="56" fillId="51" borderId="234" xfId="10" applyFont="1" applyFill="1" applyBorder="1"/>
    <xf numFmtId="177" fontId="56" fillId="51" borderId="235" xfId="10" applyNumberFormat="1" applyFont="1" applyFill="1" applyBorder="1"/>
    <xf numFmtId="177" fontId="56" fillId="51" borderId="234" xfId="10" applyNumberFormat="1" applyFont="1" applyFill="1" applyBorder="1"/>
    <xf numFmtId="177" fontId="56" fillId="51" borderId="22" xfId="10" applyNumberFormat="1" applyFont="1" applyFill="1" applyBorder="1"/>
    <xf numFmtId="177" fontId="56" fillId="51" borderId="234" xfId="10" applyNumberFormat="1" applyFont="1" applyFill="1" applyBorder="1" applyAlignment="1">
      <alignment horizontal="right"/>
    </xf>
    <xf numFmtId="43" fontId="189" fillId="51" borderId="235" xfId="10" applyFont="1" applyFill="1" applyBorder="1" applyAlignment="1">
      <alignment horizontal="right"/>
    </xf>
    <xf numFmtId="177" fontId="56" fillId="51" borderId="22" xfId="10" applyNumberFormat="1" applyFont="1" applyFill="1" applyBorder="1" applyAlignment="1">
      <alignment horizontal="right"/>
    </xf>
    <xf numFmtId="43" fontId="56" fillId="51" borderId="235" xfId="10" applyFont="1" applyFill="1" applyBorder="1" applyAlignment="1">
      <alignment horizontal="right"/>
    </xf>
    <xf numFmtId="165" fontId="56" fillId="51" borderId="22" xfId="10" applyNumberFormat="1" applyFont="1" applyFill="1" applyBorder="1" applyAlignment="1">
      <alignment horizontal="right"/>
    </xf>
    <xf numFmtId="177" fontId="187" fillId="51" borderId="235" xfId="10" applyNumberFormat="1" applyFont="1" applyFill="1" applyBorder="1" applyAlignment="1">
      <alignment horizontal="right"/>
    </xf>
    <xf numFmtId="165" fontId="187" fillId="51" borderId="0" xfId="10" applyNumberFormat="1" applyFont="1" applyFill="1" applyBorder="1" applyAlignment="1">
      <alignment horizontal="right"/>
    </xf>
    <xf numFmtId="43" fontId="187" fillId="51" borderId="22" xfId="10" applyFont="1" applyFill="1" applyBorder="1" applyAlignment="1">
      <alignment horizontal="right"/>
    </xf>
    <xf numFmtId="43" fontId="187" fillId="51" borderId="0" xfId="10" applyFont="1" applyFill="1" applyBorder="1" applyAlignment="1">
      <alignment horizontal="right"/>
    </xf>
    <xf numFmtId="177" fontId="56" fillId="51" borderId="58" xfId="10" applyNumberFormat="1" applyFont="1" applyFill="1" applyBorder="1" applyAlignment="1">
      <alignment horizontal="right"/>
    </xf>
    <xf numFmtId="37" fontId="56" fillId="51" borderId="58" xfId="10" applyNumberFormat="1" applyFont="1" applyFill="1" applyBorder="1" applyAlignment="1">
      <alignment horizontal="right"/>
    </xf>
    <xf numFmtId="37" fontId="187" fillId="51" borderId="0" xfId="10" applyNumberFormat="1" applyFont="1" applyFill="1" applyBorder="1" applyAlignment="1">
      <alignment horizontal="right"/>
    </xf>
    <xf numFmtId="37" fontId="187" fillId="51" borderId="61" xfId="10" applyNumberFormat="1" applyFont="1" applyFill="1" applyBorder="1" applyAlignment="1">
      <alignment horizontal="right"/>
    </xf>
    <xf numFmtId="37" fontId="56" fillId="51" borderId="106" xfId="10" applyNumberFormat="1" applyFont="1" applyFill="1" applyBorder="1" applyAlignment="1">
      <alignment horizontal="right"/>
    </xf>
    <xf numFmtId="178" fontId="190" fillId="51" borderId="0" xfId="10" applyNumberFormat="1" applyFont="1" applyFill="1" applyBorder="1" applyAlignment="1">
      <alignment horizontal="right"/>
    </xf>
    <xf numFmtId="178" fontId="187" fillId="51" borderId="0" xfId="10" applyNumberFormat="1" applyFont="1" applyFill="1" applyBorder="1" applyAlignment="1">
      <alignment horizontal="right"/>
    </xf>
    <xf numFmtId="178" fontId="56" fillId="51" borderId="106" xfId="10" applyNumberFormat="1" applyFont="1" applyFill="1" applyBorder="1" applyAlignment="1">
      <alignment horizontal="right"/>
    </xf>
    <xf numFmtId="165" fontId="56" fillId="51" borderId="235" xfId="0" applyNumberFormat="1" applyFont="1" applyFill="1" applyBorder="1"/>
    <xf numFmtId="165" fontId="56" fillId="51" borderId="0" xfId="0" applyNumberFormat="1" applyFont="1" applyFill="1" applyBorder="1"/>
    <xf numFmtId="195" fontId="56" fillId="51" borderId="235" xfId="0" applyNumberFormat="1" applyFont="1" applyFill="1" applyBorder="1"/>
    <xf numFmtId="195" fontId="56" fillId="51" borderId="234" xfId="0" applyNumberFormat="1" applyFont="1" applyFill="1" applyBorder="1"/>
    <xf numFmtId="177" fontId="56" fillId="51" borderId="235" xfId="10" applyNumberFormat="1" applyFont="1" applyFill="1" applyBorder="1" applyAlignment="1">
      <alignment horizontal="right"/>
    </xf>
    <xf numFmtId="177" fontId="187" fillId="51" borderId="22" xfId="10" applyNumberFormat="1" applyFont="1" applyFill="1" applyBorder="1" applyAlignment="1">
      <alignment horizontal="right"/>
    </xf>
    <xf numFmtId="43" fontId="193" fillId="0" borderId="0" xfId="10" applyFont="1" applyFill="1" applyBorder="1" applyAlignment="1">
      <alignment horizontal="right"/>
    </xf>
    <xf numFmtId="43" fontId="186" fillId="62" borderId="64" xfId="0" applyNumberFormat="1" applyFont="1" applyFill="1" applyBorder="1"/>
    <xf numFmtId="165" fontId="186" fillId="62" borderId="0" xfId="46" applyNumberFormat="1" applyFont="1" applyFill="1" applyBorder="1"/>
    <xf numFmtId="37" fontId="186" fillId="62" borderId="53" xfId="0" applyNumberFormat="1" applyFont="1" applyFill="1" applyBorder="1" applyAlignment="1">
      <alignment horizontal="right"/>
    </xf>
    <xf numFmtId="165" fontId="186" fillId="62" borderId="0" xfId="0" applyNumberFormat="1" applyFont="1" applyFill="1" applyBorder="1"/>
    <xf numFmtId="165" fontId="186" fillId="62" borderId="235" xfId="0" applyNumberFormat="1" applyFont="1" applyFill="1" applyBorder="1"/>
    <xf numFmtId="165" fontId="186" fillId="62" borderId="235" xfId="0" applyNumberFormat="1" applyFont="1" applyFill="1" applyBorder="1" applyAlignment="1">
      <alignment horizontal="right"/>
    </xf>
    <xf numFmtId="165" fontId="186" fillId="62" borderId="0" xfId="0" applyNumberFormat="1" applyFont="1" applyFill="1" applyBorder="1" applyAlignment="1">
      <alignment horizontal="right"/>
    </xf>
    <xf numFmtId="37" fontId="186" fillId="62" borderId="0" xfId="0" applyNumberFormat="1" applyFont="1" applyFill="1" applyBorder="1" applyAlignment="1">
      <alignment horizontal="right"/>
    </xf>
    <xf numFmtId="37" fontId="186" fillId="62" borderId="106" xfId="0" applyNumberFormat="1" applyFont="1" applyFill="1" applyBorder="1" applyAlignment="1">
      <alignment horizontal="right"/>
    </xf>
    <xf numFmtId="43" fontId="186" fillId="0" borderId="284" xfId="0" applyNumberFormat="1" applyFont="1" applyBorder="1" applyAlignment="1">
      <alignment horizontal="left"/>
    </xf>
    <xf numFmtId="37" fontId="218" fillId="0" borderId="176" xfId="0" applyNumberFormat="1" applyFont="1" applyFill="1" applyBorder="1" applyAlignment="1">
      <alignment horizontal="right"/>
    </xf>
    <xf numFmtId="43" fontId="186" fillId="0" borderId="0" xfId="0" applyNumberFormat="1" applyFont="1" applyBorder="1" applyAlignment="1">
      <alignment horizontal="left"/>
    </xf>
    <xf numFmtId="37" fontId="218" fillId="0" borderId="106" xfId="0" applyNumberFormat="1" applyFont="1" applyFill="1" applyBorder="1" applyAlignment="1">
      <alignment horizontal="right"/>
    </xf>
    <xf numFmtId="165" fontId="218" fillId="0" borderId="0" xfId="0" applyNumberFormat="1" applyFont="1" applyFill="1" applyBorder="1" applyAlignment="1">
      <alignment horizontal="right"/>
    </xf>
    <xf numFmtId="165" fontId="218" fillId="0" borderId="53" xfId="0" applyNumberFormat="1" applyFont="1" applyFill="1" applyBorder="1" applyAlignment="1">
      <alignment horizontal="right"/>
    </xf>
    <xf numFmtId="186" fontId="240" fillId="0" borderId="0" xfId="10" applyNumberFormat="1" applyFont="1" applyFill="1" applyBorder="1" applyAlignment="1">
      <alignment horizontal="right"/>
    </xf>
    <xf numFmtId="165" fontId="187" fillId="0" borderId="106" xfId="10" applyNumberFormat="1" applyFont="1" applyFill="1" applyBorder="1" applyAlignment="1">
      <alignment horizontal="right"/>
    </xf>
    <xf numFmtId="165" fontId="187" fillId="0" borderId="0" xfId="10" applyNumberFormat="1" applyFont="1" applyFill="1" applyBorder="1" applyAlignment="1">
      <alignment horizontal="right"/>
    </xf>
    <xf numFmtId="7" fontId="56" fillId="0" borderId="139" xfId="52" applyNumberFormat="1" applyFont="1" applyFill="1" applyBorder="1" applyAlignment="1">
      <alignment horizontal="right"/>
    </xf>
    <xf numFmtId="193" fontId="213" fillId="0" borderId="126" xfId="46" applyNumberFormat="1" applyFont="1" applyFill="1" applyBorder="1" applyAlignment="1">
      <alignment horizontal="right"/>
    </xf>
    <xf numFmtId="193" fontId="213" fillId="0" borderId="0" xfId="46" applyNumberFormat="1" applyFont="1" applyFill="1" applyBorder="1" applyAlignment="1">
      <alignment horizontal="right"/>
    </xf>
    <xf numFmtId="193" fontId="213" fillId="0" borderId="53" xfId="46" applyNumberFormat="1" applyFont="1" applyFill="1" applyBorder="1" applyAlignment="1">
      <alignment horizontal="right"/>
    </xf>
    <xf numFmtId="41" fontId="186" fillId="62" borderId="255" xfId="0" applyNumberFormat="1" applyFont="1" applyFill="1" applyBorder="1" applyAlignment="1">
      <alignment horizontal="left"/>
    </xf>
    <xf numFmtId="0" fontId="186" fillId="62" borderId="266" xfId="0" applyFont="1" applyFill="1" applyBorder="1"/>
    <xf numFmtId="7" fontId="186" fillId="62" borderId="139" xfId="52" applyNumberFormat="1" applyFont="1" applyFill="1" applyBorder="1" applyAlignment="1">
      <alignment horizontal="right"/>
    </xf>
    <xf numFmtId="7" fontId="186" fillId="62" borderId="266" xfId="52" applyNumberFormat="1" applyFont="1" applyFill="1" applyBorder="1" applyAlignment="1">
      <alignment horizontal="right"/>
    </xf>
    <xf numFmtId="7" fontId="186" fillId="62" borderId="254" xfId="52" applyNumberFormat="1" applyFont="1" applyFill="1" applyBorder="1" applyAlignment="1">
      <alignment horizontal="right"/>
    </xf>
    <xf numFmtId="41" fontId="195" fillId="62" borderId="284" xfId="0" applyNumberFormat="1" applyFont="1" applyFill="1" applyBorder="1" applyAlignment="1">
      <alignment horizontal="left" indent="1"/>
    </xf>
    <xf numFmtId="0" fontId="195" fillId="62" borderId="273" xfId="0" applyFont="1" applyFill="1" applyBorder="1"/>
    <xf numFmtId="0" fontId="195" fillId="62" borderId="192" xfId="0" applyFont="1" applyFill="1" applyBorder="1"/>
    <xf numFmtId="166" fontId="195" fillId="62" borderId="273" xfId="52" applyNumberFormat="1" applyFont="1" applyFill="1" applyBorder="1" applyAlignment="1">
      <alignment horizontal="right"/>
    </xf>
    <xf numFmtId="166" fontId="195" fillId="62" borderId="181" xfId="52" applyNumberFormat="1" applyFont="1" applyFill="1" applyBorder="1" applyAlignment="1">
      <alignment horizontal="right"/>
    </xf>
    <xf numFmtId="166" fontId="195" fillId="62" borderId="192" xfId="52" applyNumberFormat="1" applyFont="1" applyFill="1" applyBorder="1" applyAlignment="1">
      <alignment horizontal="right"/>
    </xf>
    <xf numFmtId="41" fontId="186" fillId="51" borderId="0" xfId="0" applyNumberFormat="1" applyFont="1" applyFill="1" applyAlignment="1">
      <alignment horizontal="left"/>
    </xf>
    <xf numFmtId="166" fontId="56" fillId="51" borderId="0" xfId="52" applyNumberFormat="1" applyFont="1" applyFill="1" applyBorder="1"/>
    <xf numFmtId="41" fontId="186" fillId="51" borderId="5" xfId="52" applyNumberFormat="1" applyFont="1" applyFill="1" applyBorder="1" applyAlignment="1">
      <alignment horizontal="left"/>
    </xf>
    <xf numFmtId="165" fontId="56" fillId="51" borderId="208" xfId="52" applyNumberFormat="1" applyFont="1" applyFill="1" applyBorder="1" applyAlignment="1">
      <alignment horizontal="right"/>
    </xf>
    <xf numFmtId="165" fontId="186" fillId="51" borderId="5" xfId="52" applyNumberFormat="1" applyFont="1" applyFill="1" applyBorder="1" applyAlignment="1">
      <alignment horizontal="center"/>
    </xf>
    <xf numFmtId="165" fontId="186" fillId="51" borderId="208" xfId="52" applyNumberFormat="1" applyFont="1" applyFill="1" applyBorder="1" applyAlignment="1">
      <alignment horizontal="center"/>
    </xf>
    <xf numFmtId="166" fontId="214" fillId="0" borderId="237" xfId="52" applyNumberFormat="1" applyFont="1" applyFill="1" applyBorder="1" applyAlignment="1">
      <alignment horizontal="right"/>
    </xf>
    <xf numFmtId="177" fontId="213" fillId="0" borderId="237" xfId="10" applyNumberFormat="1" applyFont="1" applyFill="1" applyBorder="1" applyAlignment="1">
      <alignment horizontal="right"/>
    </xf>
    <xf numFmtId="166" fontId="214" fillId="0" borderId="157" xfId="52" applyNumberFormat="1" applyFont="1" applyFill="1" applyBorder="1" applyAlignment="1">
      <alignment horizontal="right"/>
    </xf>
    <xf numFmtId="177" fontId="240" fillId="67" borderId="65" xfId="10" applyNumberFormat="1" applyFont="1" applyFill="1" applyBorder="1"/>
    <xf numFmtId="186" fontId="240" fillId="0" borderId="106" xfId="52" applyNumberFormat="1" applyFont="1" applyFill="1" applyBorder="1" applyAlignment="1">
      <alignment horizontal="right"/>
    </xf>
    <xf numFmtId="165" fontId="240" fillId="67" borderId="0" xfId="42" applyNumberFormat="1" applyFont="1" applyFill="1" applyBorder="1" applyAlignment="1">
      <alignment horizontal="right"/>
    </xf>
    <xf numFmtId="165" fontId="240" fillId="67" borderId="106" xfId="42" applyNumberFormat="1" applyFont="1" applyFill="1" applyBorder="1" applyAlignment="1">
      <alignment horizontal="right"/>
    </xf>
    <xf numFmtId="166" fontId="186" fillId="51" borderId="5" xfId="52" applyNumberFormat="1" applyFont="1" applyFill="1" applyBorder="1"/>
    <xf numFmtId="166" fontId="186" fillId="51" borderId="208" xfId="52" applyNumberFormat="1" applyFont="1" applyFill="1" applyBorder="1"/>
    <xf numFmtId="43" fontId="186" fillId="51" borderId="294" xfId="52" applyNumberFormat="1" applyFont="1" applyFill="1" applyBorder="1" applyAlignment="1">
      <alignment horizontal="left"/>
    </xf>
    <xf numFmtId="166" fontId="186" fillId="51" borderId="5" xfId="52" applyNumberFormat="1" applyFont="1" applyFill="1" applyBorder="1" applyAlignment="1">
      <alignment horizontal="right"/>
    </xf>
    <xf numFmtId="166" fontId="186" fillId="51" borderId="208" xfId="52" applyNumberFormat="1" applyFont="1" applyFill="1" applyBorder="1" applyAlignment="1">
      <alignment horizontal="right"/>
    </xf>
    <xf numFmtId="165" fontId="185" fillId="0" borderId="121" xfId="42" applyNumberFormat="1" applyFont="1" applyFill="1" applyBorder="1" applyAlignment="1">
      <alignment horizontal="right"/>
    </xf>
    <xf numFmtId="165" fontId="185" fillId="0" borderId="122" xfId="42" applyNumberFormat="1" applyFont="1" applyFill="1" applyBorder="1" applyAlignment="1">
      <alignment horizontal="right"/>
    </xf>
    <xf numFmtId="41" fontId="185" fillId="67" borderId="237" xfId="0" applyNumberFormat="1" applyFont="1" applyFill="1" applyBorder="1" applyAlignment="1">
      <alignment horizontal="left"/>
    </xf>
    <xf numFmtId="166" fontId="206" fillId="67" borderId="266" xfId="52" applyNumberFormat="1" applyFont="1" applyFill="1" applyBorder="1" applyAlignment="1">
      <alignment horizontal="right"/>
    </xf>
    <xf numFmtId="166" fontId="206" fillId="67" borderId="144" xfId="52" applyNumberFormat="1" applyFont="1" applyFill="1" applyBorder="1" applyAlignment="1">
      <alignment horizontal="right"/>
    </xf>
    <xf numFmtId="166" fontId="206" fillId="67" borderId="285" xfId="52" applyNumberFormat="1" applyFont="1" applyFill="1" applyBorder="1" applyAlignment="1">
      <alignment horizontal="right"/>
    </xf>
    <xf numFmtId="166" fontId="206" fillId="67" borderId="253" xfId="52" applyNumberFormat="1" applyFont="1" applyFill="1" applyBorder="1" applyAlignment="1">
      <alignment horizontal="right"/>
    </xf>
    <xf numFmtId="43" fontId="188" fillId="0" borderId="181" xfId="0" applyNumberFormat="1" applyFont="1" applyBorder="1" applyAlignment="1">
      <alignment horizontal="left" indent="1"/>
    </xf>
    <xf numFmtId="0" fontId="188" fillId="0" borderId="273" xfId="0" applyFont="1" applyBorder="1"/>
    <xf numFmtId="9" fontId="188" fillId="0" borderId="181" xfId="52" applyFont="1" applyBorder="1"/>
    <xf numFmtId="9" fontId="188" fillId="0" borderId="273" xfId="52" applyFont="1" applyBorder="1" applyAlignment="1">
      <alignment horizontal="right"/>
    </xf>
    <xf numFmtId="9" fontId="188" fillId="0" borderId="273" xfId="52" applyFont="1" applyBorder="1"/>
    <xf numFmtId="200" fontId="189" fillId="0" borderId="0" xfId="52" applyNumberFormat="1" applyFont="1" applyFill="1" applyBorder="1" applyAlignment="1">
      <alignment horizontal="right"/>
    </xf>
    <xf numFmtId="200" fontId="189" fillId="0" borderId="106" xfId="52" applyNumberFormat="1" applyFont="1" applyFill="1" applyBorder="1" applyAlignment="1">
      <alignment horizontal="right"/>
    </xf>
    <xf numFmtId="200" fontId="189" fillId="51" borderId="106" xfId="52" applyNumberFormat="1" applyFont="1" applyFill="1" applyBorder="1" applyAlignment="1">
      <alignment horizontal="right"/>
    </xf>
    <xf numFmtId="200" fontId="189" fillId="0" borderId="65" xfId="52" applyNumberFormat="1" applyFont="1" applyFill="1" applyBorder="1" applyAlignment="1">
      <alignment horizontal="right"/>
    </xf>
    <xf numFmtId="165" fontId="184" fillId="0" borderId="22" xfId="52" applyNumberFormat="1" applyFont="1" applyFill="1" applyBorder="1" applyAlignment="1">
      <alignment horizontal="right"/>
    </xf>
    <xf numFmtId="37" fontId="56" fillId="0" borderId="106" xfId="52" applyNumberFormat="1" applyFont="1" applyFill="1" applyBorder="1" applyAlignment="1">
      <alignment horizontal="right"/>
    </xf>
    <xf numFmtId="37" fontId="56" fillId="0" borderId="235" xfId="52" applyNumberFormat="1" applyFont="1" applyFill="1" applyBorder="1" applyAlignment="1">
      <alignment horizontal="right"/>
    </xf>
    <xf numFmtId="37" fontId="56" fillId="0" borderId="64" xfId="52" applyNumberFormat="1" applyFont="1" applyFill="1" applyBorder="1" applyAlignment="1">
      <alignment horizontal="right"/>
    </xf>
    <xf numFmtId="166" fontId="189" fillId="0" borderId="0" xfId="39" applyNumberFormat="1" applyFont="1" applyFill="1" applyBorder="1" applyAlignment="1">
      <alignment horizontal="right"/>
    </xf>
    <xf numFmtId="0" fontId="185" fillId="51" borderId="273" xfId="0" applyFont="1" applyFill="1" applyBorder="1" applyAlignment="1">
      <alignment horizontal="center"/>
    </xf>
    <xf numFmtId="170" fontId="185" fillId="67" borderId="266" xfId="20" applyNumberFormat="1" applyFont="1" applyFill="1" applyBorder="1" applyAlignment="1">
      <alignment horizontal="right"/>
    </xf>
    <xf numFmtId="192" fontId="56" fillId="0" borderId="14" xfId="0" applyNumberFormat="1" applyFont="1" applyFill="1" applyBorder="1" applyAlignment="1">
      <alignment horizontal="right"/>
    </xf>
    <xf numFmtId="166" fontId="189" fillId="0" borderId="266" xfId="52" applyNumberFormat="1" applyFont="1" applyFill="1" applyBorder="1" applyAlignment="1">
      <alignment horizontal="right"/>
    </xf>
    <xf numFmtId="166" fontId="185" fillId="51" borderId="266" xfId="52" applyNumberFormat="1" applyFont="1" applyFill="1" applyBorder="1" applyAlignment="1">
      <alignment horizontal="right"/>
    </xf>
    <xf numFmtId="166" fontId="184" fillId="51" borderId="236" xfId="52" applyNumberFormat="1" applyFont="1" applyFill="1" applyBorder="1" applyAlignment="1">
      <alignment horizontal="right"/>
    </xf>
    <xf numFmtId="166" fontId="184" fillId="51" borderId="273" xfId="52" applyNumberFormat="1" applyFont="1" applyFill="1" applyBorder="1" applyAlignment="1">
      <alignment horizontal="right"/>
    </xf>
    <xf numFmtId="0" fontId="191" fillId="51" borderId="266" xfId="0" applyFont="1" applyFill="1" applyBorder="1" applyAlignment="1">
      <alignment horizontal="right"/>
    </xf>
    <xf numFmtId="166" fontId="56" fillId="51" borderId="236" xfId="52" applyNumberFormat="1" applyFont="1" applyFill="1" applyBorder="1" applyAlignment="1">
      <alignment horizontal="right"/>
    </xf>
    <xf numFmtId="166" fontId="56" fillId="51" borderId="273" xfId="52" applyNumberFormat="1" applyFont="1" applyFill="1" applyBorder="1" applyAlignment="1">
      <alignment horizontal="right"/>
    </xf>
    <xf numFmtId="166" fontId="189" fillId="51" borderId="266" xfId="52" applyNumberFormat="1" applyFont="1" applyFill="1" applyBorder="1" applyAlignment="1">
      <alignment horizontal="right"/>
    </xf>
    <xf numFmtId="0" fontId="56" fillId="0" borderId="273" xfId="0" applyFont="1" applyFill="1" applyBorder="1" applyAlignment="1">
      <alignment horizontal="right"/>
    </xf>
    <xf numFmtId="166" fontId="184" fillId="0" borderId="266" xfId="52" applyNumberFormat="1" applyFont="1" applyBorder="1" applyAlignment="1">
      <alignment horizontal="right"/>
    </xf>
    <xf numFmtId="0" fontId="56" fillId="0" borderId="266" xfId="0" applyFont="1" applyFill="1" applyBorder="1" applyAlignment="1">
      <alignment horizontal="right"/>
    </xf>
    <xf numFmtId="166" fontId="184" fillId="51" borderId="266" xfId="52" applyNumberFormat="1" applyFont="1" applyFill="1" applyBorder="1" applyAlignment="1">
      <alignment horizontal="right"/>
    </xf>
    <xf numFmtId="9" fontId="56" fillId="51" borderId="273" xfId="52" applyNumberFormat="1" applyFont="1" applyFill="1" applyBorder="1" applyAlignment="1">
      <alignment horizontal="right"/>
    </xf>
    <xf numFmtId="0" fontId="56" fillId="51" borderId="266" xfId="0" applyFont="1" applyFill="1" applyBorder="1" applyAlignment="1">
      <alignment horizontal="right"/>
    </xf>
    <xf numFmtId="171" fontId="56" fillId="0" borderId="273" xfId="52" applyNumberFormat="1" applyFont="1" applyBorder="1" applyAlignment="1">
      <alignment horizontal="right"/>
    </xf>
    <xf numFmtId="171" fontId="56" fillId="0" borderId="176" xfId="52" applyNumberFormat="1" applyFont="1" applyBorder="1" applyAlignment="1">
      <alignment horizontal="right"/>
    </xf>
    <xf numFmtId="37" fontId="56" fillId="0" borderId="273" xfId="0" applyNumberFormat="1" applyFont="1" applyFill="1" applyBorder="1" applyAlignment="1">
      <alignment horizontal="right"/>
    </xf>
    <xf numFmtId="165" fontId="186" fillId="67" borderId="266" xfId="0" applyNumberFormat="1" applyFont="1" applyFill="1" applyBorder="1" applyAlignment="1">
      <alignment horizontal="right"/>
    </xf>
    <xf numFmtId="165" fontId="186" fillId="67" borderId="286" xfId="0" applyNumberFormat="1" applyFont="1" applyFill="1" applyBorder="1" applyAlignment="1">
      <alignment horizontal="right"/>
    </xf>
    <xf numFmtId="37" fontId="186" fillId="0" borderId="266" xfId="0" applyNumberFormat="1" applyFont="1" applyFill="1" applyBorder="1" applyAlignment="1">
      <alignment horizontal="right"/>
    </xf>
    <xf numFmtId="37" fontId="186" fillId="0" borderId="273" xfId="0" applyNumberFormat="1" applyFont="1" applyFill="1" applyBorder="1" applyAlignment="1">
      <alignment horizontal="right"/>
    </xf>
    <xf numFmtId="166" fontId="195" fillId="51" borderId="106" xfId="0" applyNumberFormat="1" applyFont="1" applyFill="1" applyBorder="1" applyAlignment="1">
      <alignment horizontal="right"/>
    </xf>
    <xf numFmtId="166" fontId="195" fillId="51" borderId="65" xfId="0" applyNumberFormat="1" applyFont="1" applyFill="1" applyBorder="1" applyAlignment="1">
      <alignment horizontal="right"/>
    </xf>
    <xf numFmtId="166" fontId="195" fillId="51" borderId="65" xfId="52" applyNumberFormat="1" applyFont="1" applyFill="1" applyBorder="1" applyAlignment="1">
      <alignment horizontal="right"/>
    </xf>
    <xf numFmtId="165" fontId="56" fillId="51" borderId="65" xfId="0" applyNumberFormat="1" applyFont="1" applyFill="1" applyBorder="1" applyAlignment="1">
      <alignment horizontal="right"/>
    </xf>
    <xf numFmtId="166" fontId="195" fillId="51" borderId="236" xfId="0" applyNumberFormat="1" applyFont="1" applyFill="1" applyBorder="1" applyAlignment="1">
      <alignment horizontal="right"/>
    </xf>
    <xf numFmtId="166" fontId="195" fillId="51" borderId="236" xfId="52" applyNumberFormat="1" applyFont="1" applyFill="1" applyBorder="1" applyAlignment="1">
      <alignment horizontal="right"/>
    </xf>
    <xf numFmtId="166" fontId="184" fillId="51" borderId="236" xfId="0" applyNumberFormat="1" applyFont="1" applyFill="1" applyBorder="1" applyAlignment="1">
      <alignment horizontal="right"/>
    </xf>
    <xf numFmtId="165" fontId="186" fillId="51" borderId="236" xfId="52" applyNumberFormat="1" applyFont="1" applyFill="1" applyBorder="1" applyAlignment="1">
      <alignment horizontal="left"/>
    </xf>
    <xf numFmtId="0" fontId="188" fillId="0" borderId="286" xfId="67" applyFont="1" applyFill="1" applyBorder="1" applyAlignment="1">
      <alignment horizontal="right"/>
    </xf>
    <xf numFmtId="166" fontId="214" fillId="0" borderId="53" xfId="52" applyNumberFormat="1" applyFont="1" applyFill="1" applyBorder="1" applyAlignment="1">
      <alignment horizontal="right"/>
    </xf>
    <xf numFmtId="9" fontId="56" fillId="67" borderId="0" xfId="52" applyFont="1" applyFill="1" applyBorder="1" applyAlignment="1">
      <alignment horizontal="right"/>
    </xf>
    <xf numFmtId="165" fontId="56" fillId="0" borderId="235" xfId="39" applyNumberFormat="1" applyFont="1" applyFill="1" applyBorder="1"/>
    <xf numFmtId="165" fontId="56" fillId="0" borderId="235" xfId="39" applyNumberFormat="1" applyFont="1" applyFill="1" applyBorder="1" applyAlignment="1">
      <alignment horizontal="right"/>
    </xf>
    <xf numFmtId="178" fontId="56" fillId="0" borderId="235" xfId="10" applyNumberFormat="1" applyFont="1" applyBorder="1" applyAlignment="1">
      <alignment horizontal="right"/>
    </xf>
    <xf numFmtId="178" fontId="56" fillId="0" borderId="236" xfId="10" applyNumberFormat="1" applyFont="1" applyBorder="1" applyAlignment="1">
      <alignment horizontal="right"/>
    </xf>
    <xf numFmtId="43" fontId="56" fillId="0" borderId="17" xfId="39" applyNumberFormat="1" applyFont="1" applyFill="1" applyBorder="1"/>
    <xf numFmtId="165" fontId="56" fillId="0" borderId="208" xfId="39" applyNumberFormat="1" applyFont="1" applyFill="1" applyBorder="1"/>
    <xf numFmtId="37" fontId="56" fillId="0" borderId="138" xfId="39" applyNumberFormat="1" applyFont="1" applyFill="1" applyBorder="1" applyAlignment="1">
      <alignment horizontal="right"/>
    </xf>
    <xf numFmtId="165" fontId="56" fillId="0" borderId="87" xfId="39" applyNumberFormat="1" applyFont="1" applyFill="1" applyBorder="1"/>
    <xf numFmtId="37" fontId="56" fillId="0" borderId="87" xfId="39" applyNumberFormat="1" applyFont="1" applyFill="1" applyBorder="1"/>
    <xf numFmtId="37" fontId="56" fillId="0" borderId="208" xfId="39" applyNumberFormat="1" applyFont="1" applyFill="1" applyBorder="1"/>
    <xf numFmtId="37" fontId="56" fillId="0" borderId="87" xfId="39" applyNumberFormat="1" applyFont="1" applyFill="1" applyBorder="1" applyAlignment="1">
      <alignment horizontal="right"/>
    </xf>
    <xf numFmtId="37" fontId="56" fillId="0" borderId="208" xfId="39" applyNumberFormat="1" applyFont="1" applyFill="1" applyBorder="1" applyAlignment="1">
      <alignment horizontal="right"/>
    </xf>
    <xf numFmtId="37" fontId="56" fillId="0" borderId="17" xfId="39" applyNumberFormat="1" applyFont="1" applyFill="1" applyBorder="1" applyAlignment="1">
      <alignment horizontal="right"/>
    </xf>
    <xf numFmtId="37" fontId="56" fillId="0" borderId="5" xfId="39" applyNumberFormat="1" applyFont="1" applyFill="1" applyBorder="1" applyAlignment="1">
      <alignment horizontal="right"/>
    </xf>
    <xf numFmtId="165" fontId="56" fillId="0" borderId="60" xfId="39" applyNumberFormat="1" applyFont="1" applyFill="1" applyBorder="1" applyAlignment="1">
      <alignment horizontal="right"/>
    </xf>
    <xf numFmtId="165" fontId="56" fillId="51" borderId="235" xfId="52" applyNumberFormat="1" applyFont="1" applyFill="1" applyBorder="1" applyAlignment="1">
      <alignment horizontal="right"/>
    </xf>
    <xf numFmtId="9" fontId="56" fillId="51" borderId="0" xfId="52" applyFont="1" applyFill="1" applyBorder="1" applyAlignment="1">
      <alignment horizontal="right"/>
    </xf>
    <xf numFmtId="43" fontId="56" fillId="0" borderId="86" xfId="39" applyNumberFormat="1" applyFont="1" applyFill="1" applyBorder="1" applyAlignment="1">
      <alignment horizontal="left" indent="1"/>
    </xf>
    <xf numFmtId="43" fontId="56" fillId="0" borderId="89" xfId="39" applyNumberFormat="1" applyFont="1" applyFill="1" applyBorder="1" applyAlignment="1">
      <alignment horizontal="left" indent="1"/>
    </xf>
    <xf numFmtId="165" fontId="56" fillId="0" borderId="237" xfId="0" applyNumberFormat="1" applyFont="1" applyFill="1" applyBorder="1"/>
    <xf numFmtId="37" fontId="56" fillId="0" borderId="237" xfId="0" applyNumberFormat="1" applyFont="1" applyFill="1" applyBorder="1"/>
    <xf numFmtId="43" fontId="56" fillId="0" borderId="0" xfId="39" applyNumberFormat="1" applyFont="1" applyFill="1" applyBorder="1" applyAlignment="1">
      <alignment horizontal="left" indent="2"/>
    </xf>
    <xf numFmtId="43" fontId="184" fillId="0" borderId="0" xfId="39" applyNumberFormat="1" applyFont="1" applyFill="1" applyBorder="1" applyAlignment="1">
      <alignment horizontal="left" indent="2"/>
    </xf>
    <xf numFmtId="165" fontId="184" fillId="0" borderId="0" xfId="0" applyNumberFormat="1" applyFont="1" applyFill="1"/>
    <xf numFmtId="9" fontId="184" fillId="0" borderId="237" xfId="52" applyFont="1" applyFill="1" applyBorder="1"/>
    <xf numFmtId="9" fontId="184" fillId="0" borderId="235" xfId="52" applyFont="1" applyFill="1" applyBorder="1"/>
    <xf numFmtId="9" fontId="184" fillId="0" borderId="22" xfId="52" applyFont="1" applyFill="1" applyBorder="1"/>
    <xf numFmtId="165" fontId="56" fillId="51" borderId="188" xfId="0" applyNumberFormat="1" applyFont="1" applyFill="1" applyBorder="1" applyAlignment="1">
      <alignment horizontal="right"/>
    </xf>
    <xf numFmtId="165" fontId="185" fillId="51" borderId="0" xfId="42" applyNumberFormat="1" applyFont="1" applyFill="1" applyBorder="1" applyAlignment="1">
      <alignment horizontal="right"/>
    </xf>
    <xf numFmtId="166" fontId="188" fillId="51" borderId="0" xfId="52" applyNumberFormat="1" applyFont="1" applyFill="1" applyBorder="1" applyAlignment="1">
      <alignment horizontal="right"/>
    </xf>
    <xf numFmtId="37" fontId="188" fillId="51" borderId="0" xfId="42" applyNumberFormat="1" applyFont="1" applyFill="1" applyBorder="1"/>
    <xf numFmtId="166" fontId="56" fillId="51" borderId="284" xfId="52" applyNumberFormat="1" applyFont="1" applyFill="1" applyBorder="1" applyAlignment="1">
      <alignment horizontal="right"/>
    </xf>
    <xf numFmtId="165" fontId="185" fillId="51" borderId="236" xfId="42" applyNumberFormat="1" applyFont="1" applyFill="1" applyBorder="1" applyAlignment="1">
      <alignment horizontal="right"/>
    </xf>
    <xf numFmtId="165" fontId="185" fillId="51" borderId="237" xfId="42" applyNumberFormat="1" applyFont="1" applyFill="1" applyBorder="1" applyAlignment="1">
      <alignment horizontal="right"/>
    </xf>
    <xf numFmtId="166" fontId="184" fillId="51" borderId="237" xfId="52" applyNumberFormat="1" applyFont="1" applyFill="1" applyBorder="1" applyAlignment="1">
      <alignment horizontal="right"/>
    </xf>
    <xf numFmtId="165" fontId="184" fillId="51" borderId="237" xfId="0" applyNumberFormat="1" applyFont="1" applyFill="1" applyBorder="1" applyAlignment="1">
      <alignment horizontal="right"/>
    </xf>
    <xf numFmtId="165" fontId="56" fillId="51" borderId="237" xfId="0" applyNumberFormat="1" applyFont="1" applyFill="1" applyBorder="1" applyAlignment="1">
      <alignment horizontal="right"/>
    </xf>
    <xf numFmtId="166" fontId="188" fillId="51" borderId="236" xfId="52" applyNumberFormat="1" applyFont="1" applyFill="1" applyBorder="1" applyAlignment="1">
      <alignment horizontal="right"/>
    </xf>
    <xf numFmtId="166" fontId="188" fillId="51" borderId="237" xfId="52" applyNumberFormat="1" applyFont="1" applyFill="1" applyBorder="1" applyAlignment="1">
      <alignment horizontal="right"/>
    </xf>
    <xf numFmtId="37" fontId="188" fillId="51" borderId="236" xfId="42" applyNumberFormat="1" applyFont="1" applyFill="1" applyBorder="1"/>
    <xf numFmtId="37" fontId="188" fillId="51" borderId="237" xfId="42" applyNumberFormat="1" applyFont="1" applyFill="1" applyBorder="1"/>
    <xf numFmtId="166" fontId="184" fillId="51" borderId="236" xfId="52" applyNumberFormat="1" applyFont="1" applyFill="1" applyBorder="1"/>
    <xf numFmtId="166" fontId="184" fillId="51" borderId="237" xfId="52" applyNumberFormat="1" applyFont="1" applyFill="1" applyBorder="1"/>
    <xf numFmtId="165" fontId="56" fillId="51" borderId="236" xfId="0" applyNumberFormat="1" applyFont="1" applyFill="1" applyBorder="1"/>
    <xf numFmtId="165" fontId="56" fillId="51" borderId="237" xfId="0" applyNumberFormat="1" applyFont="1" applyFill="1" applyBorder="1"/>
    <xf numFmtId="43" fontId="186" fillId="62" borderId="0" xfId="39" applyNumberFormat="1" applyFont="1" applyFill="1" applyBorder="1"/>
    <xf numFmtId="165" fontId="186" fillId="62" borderId="106" xfId="0" applyNumberFormat="1" applyFont="1" applyFill="1" applyBorder="1"/>
    <xf numFmtId="37" fontId="186" fillId="62" borderId="106" xfId="0" applyNumberFormat="1" applyFont="1" applyFill="1" applyBorder="1"/>
    <xf numFmtId="37" fontId="186" fillId="62" borderId="0" xfId="0" applyNumberFormat="1" applyFont="1" applyFill="1" applyBorder="1"/>
    <xf numFmtId="37" fontId="186" fillId="62" borderId="21" xfId="0" applyNumberFormat="1" applyFont="1" applyFill="1" applyBorder="1"/>
    <xf numFmtId="37" fontId="186" fillId="62" borderId="22" xfId="0" applyNumberFormat="1" applyFont="1" applyFill="1" applyBorder="1"/>
    <xf numFmtId="37" fontId="186" fillId="62" borderId="21" xfId="0" applyNumberFormat="1" applyFont="1" applyFill="1" applyBorder="1" applyAlignment="1">
      <alignment horizontal="right"/>
    </xf>
    <xf numFmtId="37" fontId="186" fillId="62" borderId="22" xfId="0" applyNumberFormat="1" applyFont="1" applyFill="1" applyBorder="1" applyAlignment="1">
      <alignment horizontal="right"/>
    </xf>
    <xf numFmtId="37" fontId="218" fillId="62" borderId="0" xfId="0" applyNumberFormat="1" applyFont="1" applyFill="1" applyBorder="1" applyAlignment="1">
      <alignment horizontal="right"/>
    </xf>
    <xf numFmtId="43" fontId="184" fillId="62" borderId="0" xfId="52" applyNumberFormat="1" applyFont="1" applyFill="1" applyBorder="1" applyAlignment="1">
      <alignment horizontal="left" indent="1"/>
    </xf>
    <xf numFmtId="166" fontId="184" fillId="62" borderId="106" xfId="52" applyNumberFormat="1" applyFont="1" applyFill="1" applyBorder="1"/>
    <xf numFmtId="166" fontId="184" fillId="62" borderId="0" xfId="52" applyNumberFormat="1" applyFont="1" applyFill="1" applyBorder="1"/>
    <xf numFmtId="166" fontId="184" fillId="62" borderId="0" xfId="52" applyNumberFormat="1" applyFont="1" applyFill="1" applyBorder="1" applyAlignment="1">
      <alignment horizontal="right"/>
    </xf>
    <xf numFmtId="166" fontId="184" fillId="62" borderId="21" xfId="52" applyNumberFormat="1" applyFont="1" applyFill="1" applyBorder="1"/>
    <xf numFmtId="166" fontId="184" fillId="62" borderId="21" xfId="52" applyNumberFormat="1" applyFont="1" applyFill="1" applyBorder="1" applyAlignment="1">
      <alignment horizontal="right"/>
    </xf>
    <xf numFmtId="166" fontId="184" fillId="62" borderId="22" xfId="52" applyNumberFormat="1" applyFont="1" applyFill="1" applyBorder="1" applyAlignment="1">
      <alignment horizontal="right"/>
    </xf>
    <xf numFmtId="166" fontId="184" fillId="62" borderId="61" xfId="52" applyNumberFormat="1" applyFont="1" applyFill="1" applyBorder="1" applyAlignment="1">
      <alignment horizontal="right"/>
    </xf>
    <xf numFmtId="166" fontId="184" fillId="62" borderId="62" xfId="52" applyNumberFormat="1" applyFont="1" applyFill="1" applyBorder="1" applyAlignment="1">
      <alignment horizontal="right"/>
    </xf>
    <xf numFmtId="43" fontId="56" fillId="62" borderId="0" xfId="39" applyNumberFormat="1" applyFont="1" applyFill="1" applyBorder="1"/>
    <xf numFmtId="166" fontId="56" fillId="62" borderId="106" xfId="0" applyNumberFormat="1" applyFont="1" applyFill="1" applyBorder="1"/>
    <xf numFmtId="166" fontId="56" fillId="62" borderId="0" xfId="0" applyNumberFormat="1" applyFont="1" applyFill="1" applyBorder="1"/>
    <xf numFmtId="166" fontId="56" fillId="62" borderId="21" xfId="0" applyNumberFormat="1" applyFont="1" applyFill="1" applyBorder="1"/>
    <xf numFmtId="166" fontId="56" fillId="62" borderId="21" xfId="0" applyNumberFormat="1" applyFont="1" applyFill="1" applyBorder="1" applyAlignment="1">
      <alignment horizontal="right"/>
    </xf>
    <xf numFmtId="166" fontId="56" fillId="62" borderId="0" xfId="0" applyNumberFormat="1" applyFont="1" applyFill="1" applyBorder="1" applyAlignment="1">
      <alignment horizontal="right"/>
    </xf>
    <xf numFmtId="166" fontId="213" fillId="62" borderId="0" xfId="0" applyNumberFormat="1" applyFont="1" applyFill="1" applyBorder="1" applyAlignment="1">
      <alignment horizontal="right"/>
    </xf>
    <xf numFmtId="166" fontId="213" fillId="62" borderId="106" xfId="0" applyNumberFormat="1" applyFont="1" applyFill="1" applyBorder="1"/>
    <xf numFmtId="166" fontId="56" fillId="62" borderId="22" xfId="0" applyNumberFormat="1" applyFont="1" applyFill="1" applyBorder="1"/>
    <xf numFmtId="166" fontId="56" fillId="62" borderId="22" xfId="0" applyNumberFormat="1" applyFont="1" applyFill="1" applyBorder="1" applyAlignment="1">
      <alignment horizontal="right"/>
    </xf>
    <xf numFmtId="166" fontId="56" fillId="62" borderId="61" xfId="0" applyNumberFormat="1" applyFont="1" applyFill="1" applyBorder="1" applyAlignment="1">
      <alignment horizontal="right"/>
    </xf>
    <xf numFmtId="166" fontId="56" fillId="62" borderId="62" xfId="0" applyNumberFormat="1" applyFont="1" applyFill="1" applyBorder="1" applyAlignment="1">
      <alignment horizontal="right"/>
    </xf>
    <xf numFmtId="0" fontId="56" fillId="62" borderId="0" xfId="0" applyFont="1" applyFill="1" applyBorder="1" applyAlignment="1">
      <alignment horizontal="right"/>
    </xf>
    <xf numFmtId="0" fontId="56" fillId="62" borderId="106" xfId="0" applyFont="1" applyFill="1" applyBorder="1" applyAlignment="1">
      <alignment horizontal="right"/>
    </xf>
    <xf numFmtId="166" fontId="189" fillId="62" borderId="106" xfId="52" applyNumberFormat="1" applyFont="1" applyFill="1" applyBorder="1" applyAlignment="1">
      <alignment horizontal="right"/>
    </xf>
    <xf numFmtId="43" fontId="56" fillId="62" borderId="235" xfId="10" applyFont="1" applyFill="1" applyBorder="1" applyAlignment="1">
      <alignment horizontal="right"/>
    </xf>
    <xf numFmtId="43" fontId="56" fillId="62" borderId="0" xfId="10" applyFont="1" applyFill="1" applyBorder="1" applyAlignment="1">
      <alignment horizontal="right"/>
    </xf>
    <xf numFmtId="43" fontId="56" fillId="62" borderId="22" xfId="10" applyFont="1" applyFill="1" applyBorder="1" applyAlignment="1">
      <alignment horizontal="right"/>
    </xf>
    <xf numFmtId="166" fontId="56" fillId="62" borderId="106" xfId="52" applyNumberFormat="1" applyFont="1" applyFill="1" applyBorder="1" applyAlignment="1">
      <alignment horizontal="right"/>
    </xf>
    <xf numFmtId="166" fontId="56" fillId="62" borderId="235" xfId="52" applyNumberFormat="1" applyFont="1" applyFill="1" applyBorder="1" applyAlignment="1">
      <alignment horizontal="right"/>
    </xf>
    <xf numFmtId="166" fontId="56" fillId="62" borderId="0" xfId="52" applyNumberFormat="1" applyFont="1" applyFill="1" applyBorder="1" applyAlignment="1">
      <alignment horizontal="right"/>
    </xf>
    <xf numFmtId="166" fontId="56" fillId="62" borderId="157" xfId="52" applyNumberFormat="1" applyFont="1" applyFill="1" applyBorder="1" applyAlignment="1">
      <alignment horizontal="right"/>
    </xf>
    <xf numFmtId="167" fontId="56" fillId="62" borderId="126" xfId="52" applyNumberFormat="1" applyFont="1" applyFill="1" applyBorder="1" applyAlignment="1">
      <alignment horizontal="right"/>
    </xf>
    <xf numFmtId="167" fontId="56" fillId="62" borderId="0" xfId="52" applyNumberFormat="1" applyFont="1" applyFill="1" applyBorder="1" applyAlignment="1">
      <alignment horizontal="right"/>
    </xf>
    <xf numFmtId="167" fontId="56" fillId="62" borderId="157" xfId="52" applyNumberFormat="1" applyFont="1" applyFill="1" applyBorder="1" applyAlignment="1">
      <alignment horizontal="right"/>
    </xf>
    <xf numFmtId="9" fontId="56" fillId="0" borderId="106" xfId="52" applyFont="1" applyBorder="1"/>
    <xf numFmtId="0" fontId="56" fillId="62" borderId="273" xfId="0" applyFont="1" applyFill="1" applyBorder="1" applyAlignment="1">
      <alignment horizontal="right"/>
    </xf>
    <xf numFmtId="0" fontId="56" fillId="62" borderId="192" xfId="0" applyFont="1" applyFill="1" applyBorder="1" applyAlignment="1">
      <alignment horizontal="right"/>
    </xf>
    <xf numFmtId="166" fontId="189" fillId="62" borderId="192" xfId="52" applyNumberFormat="1" applyFont="1" applyFill="1" applyBorder="1" applyAlignment="1">
      <alignment horizontal="right"/>
    </xf>
    <xf numFmtId="43" fontId="56" fillId="62" borderId="187" xfId="10" applyFont="1" applyFill="1" applyBorder="1" applyAlignment="1">
      <alignment horizontal="right"/>
    </xf>
    <xf numFmtId="43" fontId="56" fillId="62" borderId="273" xfId="10" applyFont="1" applyFill="1" applyBorder="1" applyAlignment="1">
      <alignment horizontal="right"/>
    </xf>
    <xf numFmtId="43" fontId="56" fillId="62" borderId="167" xfId="10" applyFont="1" applyFill="1" applyBorder="1" applyAlignment="1">
      <alignment horizontal="right"/>
    </xf>
    <xf numFmtId="166" fontId="56" fillId="62" borderId="192" xfId="52" applyNumberFormat="1" applyFont="1" applyFill="1" applyBorder="1" applyAlignment="1">
      <alignment horizontal="right"/>
    </xf>
    <xf numFmtId="166" fontId="56" fillId="62" borderId="187" xfId="52" applyNumberFormat="1" applyFont="1" applyFill="1" applyBorder="1" applyAlignment="1">
      <alignment horizontal="right"/>
    </xf>
    <xf numFmtId="166" fontId="56" fillId="62" borderId="273" xfId="52" applyNumberFormat="1" applyFont="1" applyFill="1" applyBorder="1" applyAlignment="1">
      <alignment horizontal="right"/>
    </xf>
    <xf numFmtId="166" fontId="56" fillId="62" borderId="188" xfId="52" applyNumberFormat="1" applyFont="1" applyFill="1" applyBorder="1" applyAlignment="1">
      <alignment horizontal="right"/>
    </xf>
    <xf numFmtId="167" fontId="56" fillId="62" borderId="273" xfId="52" applyNumberFormat="1" applyFont="1" applyFill="1" applyBorder="1" applyAlignment="1">
      <alignment horizontal="right"/>
    </xf>
    <xf numFmtId="10" fontId="56" fillId="62" borderId="188" xfId="52" applyNumberFormat="1" applyFont="1" applyFill="1" applyBorder="1" applyAlignment="1">
      <alignment horizontal="right"/>
    </xf>
    <xf numFmtId="10" fontId="189" fillId="62" borderId="188" xfId="52" applyNumberFormat="1" applyFont="1" applyFill="1" applyBorder="1" applyAlignment="1">
      <alignment horizontal="right"/>
    </xf>
    <xf numFmtId="166" fontId="184" fillId="67" borderId="157" xfId="10" applyNumberFormat="1" applyFont="1" applyFill="1" applyBorder="1" applyAlignment="1">
      <alignment horizontal="right"/>
    </xf>
    <xf numFmtId="166" fontId="184" fillId="67" borderId="235" xfId="10" quotePrefix="1" applyNumberFormat="1" applyFont="1" applyFill="1" applyBorder="1" applyAlignment="1">
      <alignment horizontal="right"/>
    </xf>
    <xf numFmtId="166" fontId="184" fillId="67" borderId="235" xfId="52" applyNumberFormat="1" applyFont="1" applyFill="1" applyBorder="1" applyAlignment="1">
      <alignment horizontal="right"/>
    </xf>
    <xf numFmtId="0" fontId="184" fillId="0" borderId="208" xfId="0" applyFont="1" applyFill="1" applyBorder="1" applyAlignment="1">
      <alignment horizontal="right"/>
    </xf>
    <xf numFmtId="0" fontId="184" fillId="0" borderId="5" xfId="0" applyFont="1" applyFill="1" applyBorder="1" applyAlignment="1">
      <alignment horizontal="right"/>
    </xf>
    <xf numFmtId="166" fontId="56" fillId="0" borderId="5" xfId="52" applyNumberFormat="1" applyFont="1" applyFill="1" applyBorder="1" applyAlignment="1">
      <alignment horizontal="right"/>
    </xf>
    <xf numFmtId="166" fontId="56" fillId="0" borderId="87" xfId="0" quotePrefix="1" applyNumberFormat="1" applyFont="1" applyFill="1" applyBorder="1" applyAlignment="1">
      <alignment horizontal="right"/>
    </xf>
    <xf numFmtId="177" fontId="56" fillId="0" borderId="208" xfId="10" applyNumberFormat="1" applyFont="1" applyFill="1" applyBorder="1" applyAlignment="1">
      <alignment horizontal="right"/>
    </xf>
    <xf numFmtId="43" fontId="56" fillId="0" borderId="208" xfId="10" applyFont="1" applyFill="1" applyBorder="1" applyAlignment="1">
      <alignment horizontal="right"/>
    </xf>
    <xf numFmtId="166" fontId="56" fillId="0" borderId="127" xfId="52" applyNumberFormat="1" applyFont="1" applyFill="1" applyBorder="1" applyAlignment="1">
      <alignment horizontal="right"/>
    </xf>
    <xf numFmtId="166" fontId="56" fillId="0" borderId="295" xfId="52" applyNumberFormat="1" applyFont="1" applyFill="1" applyBorder="1" applyAlignment="1">
      <alignment horizontal="right"/>
    </xf>
    <xf numFmtId="0" fontId="241" fillId="67" borderId="106" xfId="0" applyFont="1" applyFill="1" applyBorder="1" applyAlignment="1">
      <alignment horizontal="right"/>
    </xf>
    <xf numFmtId="0" fontId="241" fillId="0" borderId="0" xfId="0" applyFont="1" applyFill="1" applyBorder="1" applyAlignment="1">
      <alignment horizontal="right"/>
    </xf>
    <xf numFmtId="0" fontId="186" fillId="67" borderId="0" xfId="52" applyNumberFormat="1" applyFont="1" applyFill="1" applyBorder="1" applyAlignment="1">
      <alignment horizontal="right"/>
    </xf>
    <xf numFmtId="41" fontId="186" fillId="67" borderId="106" xfId="46" applyNumberFormat="1" applyFont="1" applyFill="1" applyBorder="1" applyAlignment="1">
      <alignment horizontal="left"/>
    </xf>
    <xf numFmtId="41" fontId="186" fillId="0" borderId="237" xfId="46" applyNumberFormat="1" applyFont="1" applyFill="1" applyBorder="1" applyAlignment="1">
      <alignment horizontal="left"/>
    </xf>
    <xf numFmtId="166" fontId="186" fillId="0" borderId="237" xfId="52" applyNumberFormat="1" applyFont="1" applyFill="1" applyBorder="1" applyAlignment="1">
      <alignment horizontal="right"/>
    </xf>
    <xf numFmtId="0" fontId="257" fillId="67" borderId="106" xfId="0" applyFont="1" applyFill="1" applyBorder="1" applyAlignment="1">
      <alignment horizontal="right"/>
    </xf>
    <xf numFmtId="0" fontId="205" fillId="0" borderId="106" xfId="0" applyFont="1" applyBorder="1" applyAlignment="1">
      <alignment horizontal="right"/>
    </xf>
    <xf numFmtId="0" fontId="52" fillId="0" borderId="0" xfId="0" applyFont="1" applyFill="1" applyBorder="1" applyAlignment="1">
      <alignment horizontal="left"/>
    </xf>
    <xf numFmtId="41" fontId="56" fillId="51" borderId="237" xfId="0" applyNumberFormat="1" applyFont="1" applyFill="1" applyBorder="1" applyAlignment="1">
      <alignment horizontal="left" indent="2"/>
    </xf>
    <xf numFmtId="166" fontId="56" fillId="51" borderId="237" xfId="0" applyNumberFormat="1" applyFont="1" applyFill="1" applyBorder="1" applyAlignment="1">
      <alignment horizontal="right"/>
    </xf>
    <xf numFmtId="38" fontId="56" fillId="51" borderId="237" xfId="0" applyNumberFormat="1" applyFont="1" applyFill="1" applyBorder="1" applyAlignment="1">
      <alignment horizontal="right"/>
    </xf>
    <xf numFmtId="38" fontId="56" fillId="51" borderId="236" xfId="0" applyNumberFormat="1" applyFont="1" applyFill="1" applyBorder="1" applyAlignment="1">
      <alignment horizontal="right"/>
    </xf>
    <xf numFmtId="38" fontId="56" fillId="51" borderId="234" xfId="0" applyNumberFormat="1" applyFont="1" applyFill="1" applyBorder="1" applyAlignment="1">
      <alignment horizontal="right"/>
    </xf>
    <xf numFmtId="9" fontId="56" fillId="51" borderId="237" xfId="52" applyFont="1" applyFill="1" applyBorder="1" applyAlignment="1">
      <alignment horizontal="right"/>
    </xf>
    <xf numFmtId="166" fontId="195" fillId="0" borderId="106" xfId="42" applyNumberFormat="1" applyFont="1" applyFill="1" applyBorder="1" applyAlignment="1">
      <alignment horizontal="right"/>
    </xf>
    <xf numFmtId="166" fontId="195" fillId="0" borderId="0" xfId="42" applyNumberFormat="1" applyFont="1" applyFill="1" applyBorder="1" applyAlignment="1">
      <alignment horizontal="right"/>
    </xf>
    <xf numFmtId="166" fontId="189" fillId="0" borderId="237" xfId="52" applyNumberFormat="1" applyFont="1" applyFill="1" applyBorder="1" applyAlignment="1">
      <alignment horizontal="right"/>
    </xf>
    <xf numFmtId="37" fontId="202" fillId="0" borderId="237" xfId="0" applyNumberFormat="1" applyFont="1" applyBorder="1"/>
    <xf numFmtId="37" fontId="188" fillId="0" borderId="237" xfId="0" applyNumberFormat="1" applyFont="1" applyBorder="1"/>
    <xf numFmtId="37" fontId="188" fillId="0" borderId="237" xfId="0" applyNumberFormat="1" applyFont="1" applyFill="1" applyBorder="1"/>
    <xf numFmtId="37" fontId="188" fillId="60" borderId="106" xfId="0" applyNumberFormat="1" applyFont="1" applyFill="1" applyBorder="1"/>
    <xf numFmtId="9" fontId="188" fillId="0" borderId="237" xfId="52" applyFont="1" applyFill="1" applyBorder="1"/>
    <xf numFmtId="166" fontId="188" fillId="0" borderId="237" xfId="52" applyNumberFormat="1" applyFont="1" applyFill="1" applyBorder="1"/>
    <xf numFmtId="43" fontId="184" fillId="0" borderId="190" xfId="0" applyNumberFormat="1" applyFont="1" applyBorder="1" applyAlignment="1">
      <alignment horizontal="left" indent="3"/>
    </xf>
    <xf numFmtId="165" fontId="184" fillId="0" borderId="189" xfId="42" applyNumberFormat="1" applyFont="1" applyFill="1" applyBorder="1" applyAlignment="1">
      <alignment horizontal="right"/>
    </xf>
    <xf numFmtId="9" fontId="184" fillId="0" borderId="192" xfId="52" applyFont="1" applyFill="1" applyBorder="1" applyAlignment="1">
      <alignment horizontal="right"/>
    </xf>
    <xf numFmtId="9" fontId="184" fillId="0" borderId="273" xfId="52" applyFont="1" applyFill="1" applyBorder="1" applyAlignment="1">
      <alignment horizontal="right"/>
    </xf>
    <xf numFmtId="9" fontId="184" fillId="0" borderId="187" xfId="52" applyFont="1" applyFill="1" applyBorder="1" applyAlignment="1">
      <alignment horizontal="right"/>
    </xf>
    <xf numFmtId="9" fontId="184" fillId="0" borderId="167" xfId="52" applyFont="1" applyFill="1" applyBorder="1" applyAlignment="1">
      <alignment horizontal="right"/>
    </xf>
    <xf numFmtId="9" fontId="184" fillId="0" borderId="284" xfId="52" applyFont="1" applyFill="1" applyBorder="1" applyAlignment="1">
      <alignment horizontal="right"/>
    </xf>
    <xf numFmtId="9" fontId="214" fillId="51" borderId="273" xfId="52" applyFont="1" applyFill="1" applyBorder="1" applyAlignment="1">
      <alignment horizontal="right"/>
    </xf>
    <xf numFmtId="9" fontId="214" fillId="51" borderId="192" xfId="52" applyFont="1" applyFill="1" applyBorder="1" applyAlignment="1">
      <alignment horizontal="right"/>
    </xf>
    <xf numFmtId="166" fontId="195" fillId="0" borderId="22" xfId="52" applyNumberFormat="1" applyFont="1" applyBorder="1" applyAlignment="1">
      <alignment horizontal="right"/>
    </xf>
    <xf numFmtId="43" fontId="188" fillId="0" borderId="149" xfId="42" applyNumberFormat="1" applyFont="1" applyFill="1" applyBorder="1" applyAlignment="1">
      <alignment horizontal="left" indent="2"/>
    </xf>
    <xf numFmtId="177" fontId="201" fillId="0" borderId="252" xfId="10" applyNumberFormat="1" applyFont="1" applyFill="1" applyBorder="1" applyAlignment="1">
      <alignment horizontal="right"/>
    </xf>
    <xf numFmtId="177" fontId="201" fillId="0" borderId="266" xfId="10" applyNumberFormat="1" applyFont="1" applyFill="1" applyBorder="1" applyAlignment="1">
      <alignment horizontal="right"/>
    </xf>
    <xf numFmtId="177" fontId="188" fillId="0" borderId="253" xfId="10" applyNumberFormat="1" applyFont="1" applyFill="1" applyBorder="1" applyAlignment="1">
      <alignment horizontal="right"/>
    </xf>
    <xf numFmtId="177" fontId="188" fillId="0" borderId="139" xfId="10" applyNumberFormat="1" applyFont="1" applyFill="1" applyBorder="1" applyAlignment="1">
      <alignment horizontal="right"/>
    </xf>
    <xf numFmtId="177" fontId="188" fillId="0" borderId="266" xfId="10" applyNumberFormat="1" applyFont="1" applyFill="1" applyBorder="1" applyAlignment="1">
      <alignment horizontal="right"/>
    </xf>
    <xf numFmtId="177" fontId="188" fillId="0" borderId="252" xfId="10" applyNumberFormat="1" applyFont="1" applyFill="1" applyBorder="1" applyAlignment="1">
      <alignment horizontal="right"/>
    </xf>
    <xf numFmtId="177" fontId="188" fillId="0" borderId="254" xfId="10" applyNumberFormat="1" applyFont="1" applyFill="1" applyBorder="1" applyAlignment="1">
      <alignment horizontal="right"/>
    </xf>
    <xf numFmtId="177" fontId="188" fillId="0" borderId="255" xfId="10" applyNumberFormat="1" applyFont="1" applyFill="1" applyBorder="1" applyAlignment="1">
      <alignment horizontal="right"/>
    </xf>
    <xf numFmtId="177" fontId="188" fillId="0" borderId="151" xfId="10" applyNumberFormat="1" applyFont="1" applyFill="1" applyBorder="1" applyAlignment="1">
      <alignment horizontal="right"/>
    </xf>
    <xf numFmtId="43" fontId="184" fillId="0" borderId="190" xfId="0" applyNumberFormat="1" applyFont="1" applyBorder="1" applyAlignment="1">
      <alignment horizontal="left" indent="2"/>
    </xf>
    <xf numFmtId="165" fontId="184" fillId="0" borderId="192" xfId="42" applyNumberFormat="1" applyFont="1" applyFill="1" applyBorder="1" applyAlignment="1">
      <alignment horizontal="right"/>
    </xf>
    <xf numFmtId="165" fontId="184" fillId="0" borderId="192" xfId="0" applyNumberFormat="1" applyFont="1" applyFill="1" applyBorder="1" applyAlignment="1">
      <alignment horizontal="right"/>
    </xf>
    <xf numFmtId="166" fontId="184" fillId="0" borderId="167" xfId="52" applyNumberFormat="1" applyFont="1" applyFill="1" applyBorder="1" applyAlignment="1">
      <alignment horizontal="right"/>
    </xf>
    <xf numFmtId="165" fontId="184" fillId="0" borderId="273" xfId="0" applyNumberFormat="1" applyFont="1" applyFill="1" applyBorder="1" applyAlignment="1">
      <alignment horizontal="right"/>
    </xf>
    <xf numFmtId="166" fontId="184" fillId="0" borderId="284" xfId="52" applyNumberFormat="1" applyFont="1" applyFill="1" applyBorder="1" applyAlignment="1">
      <alignment horizontal="right"/>
    </xf>
    <xf numFmtId="166" fontId="214" fillId="51" borderId="273" xfId="52" applyNumberFormat="1" applyFont="1" applyFill="1" applyBorder="1" applyAlignment="1">
      <alignment horizontal="right"/>
    </xf>
    <xf numFmtId="178" fontId="187" fillId="0" borderId="53" xfId="0" applyNumberFormat="1" applyFont="1" applyBorder="1" applyAlignment="1">
      <alignment horizontal="right"/>
    </xf>
    <xf numFmtId="9" fontId="186" fillId="67" borderId="237" xfId="52" applyNumberFormat="1" applyFont="1" applyFill="1" applyBorder="1" applyAlignment="1">
      <alignment horizontal="right"/>
    </xf>
    <xf numFmtId="43" fontId="186" fillId="0" borderId="0" xfId="0" applyNumberFormat="1" applyFont="1" applyBorder="1"/>
    <xf numFmtId="37" fontId="186" fillId="0" borderId="109" xfId="0" applyNumberFormat="1" applyFont="1" applyBorder="1" applyAlignment="1">
      <alignment horizontal="right"/>
    </xf>
    <xf numFmtId="165" fontId="186" fillId="0" borderId="21" xfId="0" applyNumberFormat="1" applyFont="1" applyBorder="1"/>
    <xf numFmtId="165" fontId="241" fillId="0" borderId="0" xfId="0" applyNumberFormat="1" applyFont="1" applyBorder="1"/>
    <xf numFmtId="165" fontId="186" fillId="0" borderId="21" xfId="0" applyNumberFormat="1" applyFont="1" applyBorder="1" applyAlignment="1">
      <alignment horizontal="right"/>
    </xf>
    <xf numFmtId="165" fontId="186" fillId="0" borderId="25" xfId="0" applyNumberFormat="1" applyFont="1" applyBorder="1" applyAlignment="1">
      <alignment horizontal="right"/>
    </xf>
    <xf numFmtId="165" fontId="186" fillId="0" borderId="13" xfId="0" applyNumberFormat="1" applyFont="1" applyBorder="1" applyAlignment="1">
      <alignment horizontal="right"/>
    </xf>
    <xf numFmtId="37" fontId="186" fillId="0" borderId="13" xfId="0" applyNumberFormat="1" applyFont="1" applyBorder="1" applyAlignment="1">
      <alignment horizontal="right"/>
    </xf>
    <xf numFmtId="37" fontId="186" fillId="0" borderId="266" xfId="0" applyNumberFormat="1" applyFont="1" applyBorder="1" applyAlignment="1">
      <alignment horizontal="right"/>
    </xf>
    <xf numFmtId="37" fontId="186" fillId="0" borderId="18" xfId="0" applyNumberFormat="1" applyFont="1" applyBorder="1" applyAlignment="1">
      <alignment horizontal="right"/>
    </xf>
    <xf numFmtId="37" fontId="186" fillId="0" borderId="14" xfId="0" applyNumberFormat="1" applyFont="1" applyFill="1" applyBorder="1" applyAlignment="1">
      <alignment horizontal="right"/>
    </xf>
    <xf numFmtId="37" fontId="186" fillId="0" borderId="12" xfId="0" applyNumberFormat="1" applyFont="1" applyFill="1" applyBorder="1" applyAlignment="1">
      <alignment horizontal="right"/>
    </xf>
    <xf numFmtId="9" fontId="56" fillId="0" borderId="0" xfId="52" applyFont="1"/>
    <xf numFmtId="165" fontId="186" fillId="51" borderId="235" xfId="52" applyNumberFormat="1" applyFont="1" applyFill="1" applyBorder="1" applyAlignment="1">
      <alignment horizontal="right"/>
    </xf>
    <xf numFmtId="165" fontId="218" fillId="0" borderId="106" xfId="52" applyNumberFormat="1" applyFont="1" applyFill="1" applyBorder="1" applyAlignment="1">
      <alignment horizontal="right"/>
    </xf>
    <xf numFmtId="165" fontId="185" fillId="51" borderId="65" xfId="42" applyNumberFormat="1" applyFont="1" applyFill="1" applyBorder="1" applyAlignment="1">
      <alignment horizontal="right"/>
    </xf>
    <xf numFmtId="165" fontId="185" fillId="51" borderId="121" xfId="42" applyNumberFormat="1" applyFont="1" applyFill="1" applyBorder="1" applyAlignment="1">
      <alignment horizontal="right"/>
    </xf>
    <xf numFmtId="165" fontId="185" fillId="51" borderId="22" xfId="42" applyNumberFormat="1" applyFont="1" applyFill="1" applyBorder="1" applyAlignment="1">
      <alignment horizontal="right"/>
    </xf>
    <xf numFmtId="165" fontId="185" fillId="51" borderId="184" xfId="42" applyNumberFormat="1" applyFont="1" applyFill="1" applyBorder="1" applyAlignment="1">
      <alignment horizontal="right"/>
    </xf>
    <xf numFmtId="165" fontId="185" fillId="51" borderId="126" xfId="42" applyNumberFormat="1" applyFont="1" applyFill="1" applyBorder="1" applyAlignment="1">
      <alignment horizontal="right"/>
    </xf>
    <xf numFmtId="165" fontId="185" fillId="51" borderId="61" xfId="42" applyNumberFormat="1" applyFont="1" applyFill="1" applyBorder="1" applyAlignment="1">
      <alignment horizontal="right"/>
    </xf>
    <xf numFmtId="0" fontId="0" fillId="0" borderId="0" xfId="0" applyBorder="1" applyAlignment="1">
      <alignment horizontal="center"/>
    </xf>
    <xf numFmtId="165" fontId="218" fillId="0" borderId="266" xfId="52" applyNumberFormat="1" applyFont="1" applyFill="1" applyBorder="1" applyAlignment="1">
      <alignment horizontal="right"/>
    </xf>
    <xf numFmtId="165" fontId="186" fillId="0" borderId="157" xfId="52" applyNumberFormat="1" applyFont="1" applyFill="1" applyBorder="1" applyAlignment="1">
      <alignment horizontal="right"/>
    </xf>
    <xf numFmtId="9" fontId="56" fillId="0" borderId="0" xfId="52" applyFont="1" applyFill="1" applyAlignment="1">
      <alignment horizontal="center"/>
    </xf>
    <xf numFmtId="181" fontId="188" fillId="51" borderId="0" xfId="0" applyNumberFormat="1" applyFont="1" applyFill="1" applyBorder="1" applyAlignment="1">
      <alignment horizontal="right"/>
    </xf>
    <xf numFmtId="43" fontId="56" fillId="51" borderId="0" xfId="0" applyNumberFormat="1" applyFont="1" applyFill="1" applyBorder="1" applyAlignment="1">
      <alignment horizontal="left" indent="1"/>
    </xf>
    <xf numFmtId="181" fontId="56" fillId="51" borderId="0" xfId="0" applyNumberFormat="1" applyFont="1" applyFill="1" applyBorder="1"/>
    <xf numFmtId="181" fontId="56" fillId="51" borderId="0" xfId="0" applyNumberFormat="1" applyFont="1" applyFill="1" applyBorder="1" applyAlignment="1">
      <alignment horizontal="right"/>
    </xf>
    <xf numFmtId="167" fontId="188" fillId="51" borderId="0" xfId="0" applyNumberFormat="1" applyFont="1" applyFill="1" applyBorder="1"/>
    <xf numFmtId="7" fontId="56" fillId="51" borderId="0" xfId="0" applyNumberFormat="1" applyFont="1" applyFill="1" applyBorder="1" applyAlignment="1">
      <alignment horizontal="right"/>
    </xf>
    <xf numFmtId="37" fontId="187" fillId="0" borderId="273" xfId="10" applyNumberFormat="1" applyFont="1" applyBorder="1" applyAlignment="1">
      <alignment horizontal="right"/>
    </xf>
    <xf numFmtId="177" fontId="56" fillId="0" borderId="235" xfId="10" applyNumberFormat="1" applyFont="1" applyBorder="1" applyAlignment="1">
      <alignment horizontal="right"/>
    </xf>
    <xf numFmtId="37" fontId="56" fillId="0" borderId="237" xfId="0" applyNumberFormat="1" applyFont="1" applyBorder="1" applyAlignment="1">
      <alignment horizontal="right"/>
    </xf>
    <xf numFmtId="178" fontId="56" fillId="0" borderId="237" xfId="0" applyNumberFormat="1" applyFont="1" applyFill="1" applyBorder="1" applyAlignment="1">
      <alignment horizontal="right"/>
    </xf>
    <xf numFmtId="43" fontId="186" fillId="0" borderId="121" xfId="10" applyFont="1" applyBorder="1" applyAlignment="1">
      <alignment horizontal="right"/>
    </xf>
    <xf numFmtId="43" fontId="186" fillId="0" borderId="0" xfId="10" applyFont="1" applyBorder="1" applyAlignment="1">
      <alignment horizontal="right"/>
    </xf>
    <xf numFmtId="43" fontId="186" fillId="0" borderId="22" xfId="10" applyFont="1" applyBorder="1" applyAlignment="1">
      <alignment horizontal="right"/>
    </xf>
    <xf numFmtId="43" fontId="186" fillId="0" borderId="121" xfId="10" applyFont="1" applyBorder="1" applyAlignment="1">
      <alignment horizontal="right" indent="1"/>
    </xf>
    <xf numFmtId="43" fontId="186" fillId="0" borderId="0" xfId="10" applyFont="1" applyBorder="1" applyAlignment="1">
      <alignment horizontal="right" indent="1"/>
    </xf>
    <xf numFmtId="43" fontId="186" fillId="0" borderId="22" xfId="10" applyFont="1" applyBorder="1" applyAlignment="1">
      <alignment horizontal="right" indent="1"/>
    </xf>
    <xf numFmtId="43" fontId="248" fillId="0" borderId="121" xfId="10" applyFont="1" applyBorder="1" applyAlignment="1">
      <alignment horizontal="right" indent="1"/>
    </xf>
    <xf numFmtId="43" fontId="186" fillId="0" borderId="22" xfId="10" applyFont="1" applyFill="1" applyBorder="1" applyAlignment="1">
      <alignment horizontal="right" indent="1"/>
    </xf>
    <xf numFmtId="177" fontId="186" fillId="0" borderId="121" xfId="10" applyNumberFormat="1" applyFont="1" applyBorder="1" applyAlignment="1">
      <alignment horizontal="right" indent="1"/>
    </xf>
    <xf numFmtId="177" fontId="186" fillId="0" borderId="0" xfId="10" applyNumberFormat="1" applyFont="1" applyBorder="1" applyAlignment="1">
      <alignment horizontal="right" indent="1"/>
    </xf>
    <xf numFmtId="168" fontId="247" fillId="0" borderId="0" xfId="0" applyNumberFormat="1" applyFont="1" applyFill="1" applyBorder="1" applyAlignment="1">
      <alignment horizontal="right"/>
    </xf>
    <xf numFmtId="168" fontId="186" fillId="0" borderId="22" xfId="0" applyNumberFormat="1" applyFont="1" applyFill="1" applyBorder="1" applyAlignment="1">
      <alignment horizontal="right"/>
    </xf>
    <xf numFmtId="168" fontId="247" fillId="0" borderId="121" xfId="0" applyNumberFormat="1" applyFont="1" applyFill="1" applyBorder="1" applyAlignment="1">
      <alignment horizontal="right"/>
    </xf>
    <xf numFmtId="168" fontId="186" fillId="0" borderId="0" xfId="0" applyNumberFormat="1" applyFont="1" applyFill="1" applyBorder="1" applyAlignment="1">
      <alignment horizontal="right"/>
    </xf>
    <xf numFmtId="168" fontId="218" fillId="0" borderId="121" xfId="0" applyNumberFormat="1" applyFont="1" applyFill="1" applyBorder="1" applyAlignment="1">
      <alignment horizontal="right"/>
    </xf>
    <xf numFmtId="168" fontId="218" fillId="0" borderId="0" xfId="0" applyNumberFormat="1" applyFont="1" applyFill="1" applyBorder="1" applyAlignment="1">
      <alignment horizontal="right"/>
    </xf>
    <xf numFmtId="165" fontId="186" fillId="0" borderId="65" xfId="52" applyNumberFormat="1" applyFont="1" applyBorder="1" applyAlignment="1">
      <alignment horizontal="right"/>
    </xf>
    <xf numFmtId="168" fontId="218" fillId="0" borderId="64" xfId="0" applyNumberFormat="1" applyFont="1" applyFill="1" applyBorder="1" applyAlignment="1">
      <alignment horizontal="right"/>
    </xf>
    <xf numFmtId="165" fontId="218" fillId="0" borderId="61" xfId="52" applyNumberFormat="1" applyFont="1" applyBorder="1" applyAlignment="1">
      <alignment horizontal="right"/>
    </xf>
    <xf numFmtId="165" fontId="218" fillId="0" borderId="0" xfId="52" applyNumberFormat="1" applyFont="1" applyBorder="1" applyAlignment="1">
      <alignment horizontal="right"/>
    </xf>
    <xf numFmtId="165" fontId="247" fillId="0" borderId="0" xfId="52" applyNumberFormat="1" applyFont="1" applyBorder="1" applyAlignment="1">
      <alignment horizontal="right"/>
    </xf>
    <xf numFmtId="0" fontId="186" fillId="0" borderId="106" xfId="0" applyFont="1" applyFill="1" applyBorder="1" applyAlignment="1">
      <alignment horizontal="right"/>
    </xf>
    <xf numFmtId="166" fontId="196" fillId="0" borderId="106" xfId="52" applyNumberFormat="1" applyFont="1" applyFill="1" applyBorder="1" applyAlignment="1">
      <alignment horizontal="right"/>
    </xf>
    <xf numFmtId="166" fontId="186" fillId="0" borderId="106" xfId="52" applyNumberFormat="1" applyFont="1" applyFill="1" applyBorder="1" applyAlignment="1">
      <alignment horizontal="right"/>
    </xf>
    <xf numFmtId="166" fontId="186" fillId="0" borderId="121" xfId="52" applyNumberFormat="1" applyFont="1" applyFill="1" applyBorder="1" applyAlignment="1">
      <alignment horizontal="right"/>
    </xf>
    <xf numFmtId="166" fontId="186" fillId="0" borderId="65" xfId="52" applyNumberFormat="1" applyFont="1" applyFill="1" applyBorder="1" applyAlignment="1">
      <alignment horizontal="right"/>
    </xf>
    <xf numFmtId="166" fontId="186" fillId="0" borderId="64" xfId="52" applyNumberFormat="1" applyFont="1" applyFill="1" applyBorder="1" applyAlignment="1">
      <alignment horizontal="right"/>
    </xf>
    <xf numFmtId="10" fontId="186" fillId="0" borderId="106" xfId="52" applyNumberFormat="1" applyFont="1" applyFill="1" applyBorder="1" applyAlignment="1">
      <alignment horizontal="right"/>
    </xf>
    <xf numFmtId="41" fontId="56" fillId="0" borderId="237" xfId="0" applyNumberFormat="1" applyFont="1" applyFill="1" applyBorder="1" applyAlignment="1">
      <alignment horizontal="left"/>
    </xf>
    <xf numFmtId="0" fontId="56" fillId="0" borderId="237" xfId="0" applyFont="1" applyBorder="1" applyAlignment="1">
      <alignment horizontal="right"/>
    </xf>
    <xf numFmtId="0" fontId="184" fillId="0" borderId="0" xfId="52" applyNumberFormat="1" applyFont="1" applyBorder="1" applyAlignment="1">
      <alignment horizontal="right"/>
    </xf>
    <xf numFmtId="0" fontId="191" fillId="0" borderId="237" xfId="0" applyFont="1" applyBorder="1" applyAlignment="1">
      <alignment horizontal="right"/>
    </xf>
    <xf numFmtId="0" fontId="191" fillId="0" borderId="234" xfId="0" applyFont="1" applyBorder="1" applyAlignment="1">
      <alignment horizontal="right"/>
    </xf>
    <xf numFmtId="0" fontId="205" fillId="0" borderId="237" xfId="0" applyFont="1" applyBorder="1" applyAlignment="1">
      <alignment horizontal="right"/>
    </xf>
    <xf numFmtId="166" fontId="184" fillId="0" borderId="237" xfId="52" applyNumberFormat="1" applyFont="1" applyFill="1" applyBorder="1" applyAlignment="1">
      <alignment horizontal="right"/>
    </xf>
    <xf numFmtId="166" fontId="184" fillId="0" borderId="237" xfId="52" applyNumberFormat="1" applyFont="1" applyBorder="1" applyAlignment="1">
      <alignment horizontal="right"/>
    </xf>
    <xf numFmtId="166" fontId="184" fillId="0" borderId="236" xfId="52" applyNumberFormat="1" applyFont="1" applyBorder="1" applyAlignment="1">
      <alignment horizontal="right"/>
    </xf>
    <xf numFmtId="166" fontId="195" fillId="0" borderId="237" xfId="52" applyNumberFormat="1" applyFont="1" applyFill="1" applyBorder="1" applyAlignment="1">
      <alignment horizontal="right"/>
    </xf>
    <xf numFmtId="166" fontId="195" fillId="0" borderId="237" xfId="52" applyNumberFormat="1" applyFont="1" applyBorder="1" applyAlignment="1">
      <alignment horizontal="right"/>
    </xf>
    <xf numFmtId="166" fontId="195" fillId="0" borderId="236" xfId="52" applyNumberFormat="1" applyFont="1" applyBorder="1" applyAlignment="1">
      <alignment horizontal="right"/>
    </xf>
    <xf numFmtId="166" fontId="201" fillId="0" borderId="237" xfId="52" applyNumberFormat="1" applyFont="1" applyFill="1" applyBorder="1" applyAlignment="1">
      <alignment horizontal="right"/>
    </xf>
    <xf numFmtId="166" fontId="201" fillId="0" borderId="236" xfId="52" applyNumberFormat="1" applyFont="1" applyFill="1" applyBorder="1" applyAlignment="1">
      <alignment horizontal="right"/>
    </xf>
    <xf numFmtId="166" fontId="201" fillId="0" borderId="22" xfId="52" applyNumberFormat="1" applyFont="1" applyFill="1" applyBorder="1" applyAlignment="1">
      <alignment horizontal="right"/>
    </xf>
    <xf numFmtId="166" fontId="201" fillId="0" borderId="234" xfId="52" applyNumberFormat="1" applyFont="1" applyFill="1" applyBorder="1" applyAlignment="1">
      <alignment horizontal="right"/>
    </xf>
    <xf numFmtId="41" fontId="188" fillId="0" borderId="106" xfId="0" applyNumberFormat="1" applyFont="1" applyFill="1" applyBorder="1" applyAlignment="1">
      <alignment horizontal="left"/>
    </xf>
    <xf numFmtId="166" fontId="201" fillId="0" borderId="106" xfId="52" applyNumberFormat="1" applyFont="1" applyFill="1" applyBorder="1" applyAlignment="1">
      <alignment horizontal="right"/>
    </xf>
    <xf numFmtId="166" fontId="201" fillId="0" borderId="126" xfId="52" applyNumberFormat="1" applyFont="1" applyFill="1" applyBorder="1" applyAlignment="1">
      <alignment horizontal="right"/>
    </xf>
    <xf numFmtId="166" fontId="201" fillId="0" borderId="160" xfId="52" applyNumberFormat="1" applyFont="1" applyFill="1" applyBorder="1" applyAlignment="1">
      <alignment horizontal="right"/>
    </xf>
    <xf numFmtId="41" fontId="185" fillId="62" borderId="106" xfId="0" applyNumberFormat="1" applyFont="1" applyFill="1" applyBorder="1" applyAlignment="1">
      <alignment horizontal="left"/>
    </xf>
    <xf numFmtId="166" fontId="195" fillId="62" borderId="0" xfId="52" applyNumberFormat="1" applyFont="1" applyFill="1" applyBorder="1" applyAlignment="1">
      <alignment horizontal="right"/>
    </xf>
    <xf numFmtId="166" fontId="195" fillId="62" borderId="237" xfId="52" applyNumberFormat="1" applyFont="1" applyFill="1" applyBorder="1" applyAlignment="1">
      <alignment horizontal="right"/>
    </xf>
    <xf numFmtId="166" fontId="195" fillId="62" borderId="236" xfId="52" applyNumberFormat="1" applyFont="1" applyFill="1" applyBorder="1" applyAlignment="1">
      <alignment horizontal="right"/>
    </xf>
    <xf numFmtId="166" fontId="195" fillId="62" borderId="22" xfId="52" applyNumberFormat="1" applyFont="1" applyFill="1" applyBorder="1" applyAlignment="1">
      <alignment horizontal="right"/>
    </xf>
    <xf numFmtId="166" fontId="195" fillId="62" borderId="234" xfId="52" applyNumberFormat="1" applyFont="1" applyFill="1" applyBorder="1" applyAlignment="1">
      <alignment horizontal="right"/>
    </xf>
    <xf numFmtId="43" fontId="187" fillId="0" borderId="273" xfId="10" applyFont="1" applyFill="1" applyBorder="1" applyAlignment="1">
      <alignment horizontal="right"/>
    </xf>
    <xf numFmtId="37" fontId="56" fillId="0" borderId="0" xfId="0" applyNumberFormat="1" applyFont="1" applyFill="1" applyBorder="1" applyAlignment="1">
      <alignment horizontal="center"/>
    </xf>
    <xf numFmtId="0" fontId="21" fillId="0" borderId="0" xfId="0" applyFont="1" applyFill="1" applyAlignment="1">
      <alignment vertical="top"/>
    </xf>
    <xf numFmtId="0" fontId="0" fillId="0" borderId="0" xfId="0" applyFill="1" applyBorder="1" applyAlignment="1">
      <alignment vertical="top"/>
    </xf>
    <xf numFmtId="7" fontId="184" fillId="51" borderId="0" xfId="0" applyNumberFormat="1" applyFont="1" applyFill="1" applyAlignment="1">
      <alignment horizontal="center"/>
    </xf>
    <xf numFmtId="0" fontId="201" fillId="51" borderId="0" xfId="0" applyFont="1" applyFill="1" applyAlignment="1">
      <alignment horizontal="center"/>
    </xf>
    <xf numFmtId="166" fontId="184" fillId="51" borderId="0" xfId="52" applyNumberFormat="1" applyFont="1" applyFill="1" applyAlignment="1">
      <alignment horizontal="center"/>
    </xf>
    <xf numFmtId="166" fontId="225" fillId="51" borderId="0" xfId="0" applyNumberFormat="1" applyFont="1" applyFill="1" applyAlignment="1">
      <alignment horizontal="center"/>
    </xf>
    <xf numFmtId="166" fontId="184" fillId="51" borderId="0" xfId="52" applyNumberFormat="1" applyFont="1" applyFill="1" applyBorder="1" applyAlignment="1">
      <alignment horizontal="center"/>
    </xf>
    <xf numFmtId="0" fontId="195" fillId="51" borderId="0" xfId="0" applyFont="1" applyFill="1" applyAlignment="1">
      <alignment horizontal="center"/>
    </xf>
    <xf numFmtId="165" fontId="225" fillId="51" borderId="0" xfId="0" applyNumberFormat="1" applyFont="1" applyFill="1" applyAlignment="1">
      <alignment horizontal="center"/>
    </xf>
    <xf numFmtId="0" fontId="226" fillId="51" borderId="0" xfId="0" applyFont="1" applyFill="1" applyAlignment="1">
      <alignment horizontal="center"/>
    </xf>
    <xf numFmtId="193" fontId="184" fillId="51" borderId="0" xfId="0" applyNumberFormat="1" applyFont="1" applyFill="1" applyAlignment="1">
      <alignment horizontal="center"/>
    </xf>
    <xf numFmtId="37" fontId="225" fillId="51" borderId="0" xfId="0" applyNumberFormat="1" applyFont="1" applyFill="1" applyAlignment="1">
      <alignment horizontal="center"/>
    </xf>
    <xf numFmtId="9" fontId="195" fillId="51" borderId="0" xfId="52" applyFont="1" applyFill="1" applyAlignment="1">
      <alignment horizontal="center"/>
    </xf>
    <xf numFmtId="9" fontId="184" fillId="51" borderId="0" xfId="52" applyFont="1" applyFill="1" applyBorder="1" applyAlignment="1">
      <alignment horizontal="center"/>
    </xf>
    <xf numFmtId="9" fontId="206" fillId="51" borderId="0" xfId="52" applyFont="1" applyFill="1" applyAlignment="1">
      <alignment horizontal="center"/>
    </xf>
    <xf numFmtId="7" fontId="195" fillId="51" borderId="0" xfId="52" applyNumberFormat="1" applyFont="1" applyFill="1" applyAlignment="1">
      <alignment horizontal="center"/>
    </xf>
    <xf numFmtId="9" fontId="195" fillId="51" borderId="0" xfId="52" applyFont="1" applyFill="1" applyAlignment="1">
      <alignment horizontal="center" vertical="top"/>
    </xf>
    <xf numFmtId="171" fontId="184" fillId="51" borderId="0" xfId="52" applyNumberFormat="1" applyFont="1" applyFill="1" applyAlignment="1">
      <alignment horizontal="center"/>
    </xf>
    <xf numFmtId="9" fontId="184" fillId="51" borderId="0" xfId="52" applyFont="1" applyFill="1" applyBorder="1" applyAlignment="1">
      <alignment horizontal="center" vertical="top"/>
    </xf>
    <xf numFmtId="165" fontId="184" fillId="51" borderId="0" xfId="0" applyNumberFormat="1" applyFont="1" applyFill="1" applyBorder="1" applyAlignment="1">
      <alignment horizontal="center"/>
    </xf>
    <xf numFmtId="0" fontId="201" fillId="51" borderId="0" xfId="0" applyFont="1" applyFill="1" applyBorder="1" applyAlignment="1">
      <alignment horizontal="center"/>
    </xf>
    <xf numFmtId="0" fontId="57" fillId="51" borderId="0" xfId="0" applyFont="1" applyFill="1" applyAlignment="1">
      <alignment horizontal="center"/>
    </xf>
    <xf numFmtId="0" fontId="225" fillId="51" borderId="0" xfId="0" applyFont="1" applyFill="1" applyBorder="1" applyAlignment="1">
      <alignment horizontal="center"/>
    </xf>
    <xf numFmtId="166" fontId="197" fillId="51" borderId="0" xfId="52" applyNumberFormat="1" applyFont="1" applyFill="1" applyBorder="1" applyAlignment="1">
      <alignment horizontal="right"/>
    </xf>
    <xf numFmtId="37" fontId="184" fillId="51" borderId="0" xfId="0" applyNumberFormat="1" applyFont="1" applyFill="1" applyBorder="1" applyAlignment="1">
      <alignment horizontal="right"/>
    </xf>
    <xf numFmtId="0" fontId="205" fillId="51" borderId="0" xfId="0" applyFont="1" applyFill="1" applyBorder="1" applyAlignment="1">
      <alignment horizontal="right"/>
    </xf>
    <xf numFmtId="166" fontId="206" fillId="51" borderId="0" xfId="0" applyNumberFormat="1" applyFont="1" applyFill="1" applyBorder="1" applyAlignment="1">
      <alignment horizontal="right"/>
    </xf>
    <xf numFmtId="166" fontId="201" fillId="51" borderId="0" xfId="0" applyNumberFormat="1" applyFont="1" applyFill="1" applyAlignment="1">
      <alignment horizontal="center"/>
    </xf>
    <xf numFmtId="165" fontId="195" fillId="51" borderId="0" xfId="0" applyNumberFormat="1" applyFont="1" applyFill="1" applyAlignment="1">
      <alignment horizontal="center"/>
    </xf>
    <xf numFmtId="178" fontId="56" fillId="0" borderId="212" xfId="10" applyNumberFormat="1" applyFont="1" applyFill="1" applyBorder="1" applyAlignment="1">
      <alignment horizontal="right"/>
    </xf>
    <xf numFmtId="178" fontId="56" fillId="0" borderId="237" xfId="10" applyNumberFormat="1" applyFont="1" applyFill="1" applyBorder="1" applyAlignment="1">
      <alignment horizontal="right"/>
    </xf>
    <xf numFmtId="5" fontId="196" fillId="0" borderId="67" xfId="0" applyNumberFormat="1" applyFont="1" applyBorder="1" applyAlignment="1">
      <alignment horizontal="right"/>
    </xf>
    <xf numFmtId="5" fontId="186" fillId="0" borderId="266" xfId="0" applyNumberFormat="1" applyFont="1" applyBorder="1" applyAlignment="1">
      <alignment horizontal="right"/>
    </xf>
    <xf numFmtId="0" fontId="185" fillId="67" borderId="0" xfId="45" quotePrefix="1" applyFont="1" applyFill="1" applyBorder="1" applyAlignment="1">
      <alignment horizontal="center"/>
    </xf>
    <xf numFmtId="165" fontId="248" fillId="51" borderId="0" xfId="52" applyNumberFormat="1" applyFont="1" applyFill="1" applyBorder="1" applyAlignment="1">
      <alignment horizontal="right"/>
    </xf>
    <xf numFmtId="165" fontId="248" fillId="51" borderId="106" xfId="52" applyNumberFormat="1" applyFont="1" applyFill="1" applyBorder="1" applyAlignment="1">
      <alignment horizontal="right"/>
    </xf>
    <xf numFmtId="165" fontId="213" fillId="51" borderId="0" xfId="52" applyNumberFormat="1" applyFont="1" applyFill="1" applyBorder="1" applyAlignment="1">
      <alignment horizontal="right"/>
    </xf>
    <xf numFmtId="165" fontId="56" fillId="51" borderId="22" xfId="52" applyNumberFormat="1" applyFont="1" applyFill="1" applyBorder="1" applyAlignment="1">
      <alignment horizontal="right"/>
    </xf>
    <xf numFmtId="177" fontId="56" fillId="0" borderId="237" xfId="10" applyNumberFormat="1" applyFont="1" applyFill="1" applyBorder="1" applyAlignment="1">
      <alignment horizontal="right"/>
    </xf>
    <xf numFmtId="165" fontId="56" fillId="51" borderId="273" xfId="46" applyNumberFormat="1" applyFont="1" applyFill="1" applyBorder="1" applyAlignment="1">
      <alignment horizontal="right"/>
    </xf>
    <xf numFmtId="166" fontId="56" fillId="0" borderId="237" xfId="0" applyNumberFormat="1" applyFont="1" applyFill="1" applyBorder="1" applyAlignment="1">
      <alignment horizontal="right"/>
    </xf>
    <xf numFmtId="166" fontId="184" fillId="0" borderId="237" xfId="0" applyNumberFormat="1" applyFont="1" applyFill="1" applyBorder="1" applyAlignment="1">
      <alignment horizontal="right"/>
    </xf>
    <xf numFmtId="166" fontId="184" fillId="0" borderId="14" xfId="0" applyNumberFormat="1" applyFont="1" applyFill="1" applyBorder="1" applyAlignment="1">
      <alignment horizontal="right"/>
    </xf>
    <xf numFmtId="177" fontId="185" fillId="0" borderId="14" xfId="10" applyNumberFormat="1" applyFont="1" applyFill="1" applyBorder="1"/>
    <xf numFmtId="166" fontId="56" fillId="0" borderId="14" xfId="0" applyNumberFormat="1" applyFont="1" applyFill="1" applyBorder="1" applyAlignment="1">
      <alignment horizontal="right"/>
    </xf>
    <xf numFmtId="177" fontId="188" fillId="0" borderId="14" xfId="10" applyNumberFormat="1" applyFont="1" applyFill="1" applyBorder="1" applyAlignment="1">
      <alignment horizontal="right"/>
    </xf>
    <xf numFmtId="166" fontId="206" fillId="49" borderId="14" xfId="52" applyNumberFormat="1" applyFont="1" applyFill="1" applyBorder="1" applyAlignment="1">
      <alignment horizontal="right"/>
    </xf>
    <xf numFmtId="166" fontId="56" fillId="0" borderId="237" xfId="0" applyNumberFormat="1" applyFont="1" applyFill="1" applyBorder="1"/>
    <xf numFmtId="166" fontId="184" fillId="0" borderId="237" xfId="0" applyNumberFormat="1" applyFont="1" applyFill="1" applyBorder="1"/>
    <xf numFmtId="0" fontId="186" fillId="0" borderId="0" xfId="0" applyFont="1" applyBorder="1" applyAlignment="1">
      <alignment horizontal="center"/>
    </xf>
    <xf numFmtId="166" fontId="186" fillId="0" borderId="208" xfId="52" applyNumberFormat="1" applyFont="1" applyFill="1" applyBorder="1" applyAlignment="1">
      <alignment horizontal="right"/>
    </xf>
    <xf numFmtId="309" fontId="56" fillId="0" borderId="0" xfId="67" applyNumberFormat="1" applyFont="1"/>
    <xf numFmtId="166" fontId="195" fillId="0" borderId="237" xfId="0" applyNumberFormat="1" applyFont="1" applyFill="1" applyBorder="1" applyAlignment="1">
      <alignment horizontal="right"/>
    </xf>
    <xf numFmtId="177" fontId="188" fillId="0" borderId="237" xfId="10" applyNumberFormat="1" applyFont="1" applyFill="1" applyBorder="1" applyAlignment="1">
      <alignment horizontal="right"/>
    </xf>
    <xf numFmtId="177" fontId="185" fillId="0" borderId="237" xfId="10" applyNumberFormat="1" applyFont="1" applyFill="1" applyBorder="1" applyAlignment="1">
      <alignment horizontal="right"/>
    </xf>
    <xf numFmtId="0" fontId="186" fillId="51" borderId="0" xfId="0" applyFont="1" applyFill="1" applyBorder="1" applyAlignment="1">
      <alignment horizontal="center"/>
    </xf>
    <xf numFmtId="7" fontId="186" fillId="67" borderId="181" xfId="52" applyNumberFormat="1" applyFont="1" applyFill="1" applyBorder="1" applyAlignment="1">
      <alignment horizontal="right"/>
    </xf>
    <xf numFmtId="165" fontId="56" fillId="51" borderId="0" xfId="0" applyNumberFormat="1" applyFont="1" applyFill="1"/>
    <xf numFmtId="178" fontId="56" fillId="51" borderId="0" xfId="0" applyNumberFormat="1" applyFont="1" applyFill="1"/>
    <xf numFmtId="166" fontId="184" fillId="51" borderId="0" xfId="52" applyNumberFormat="1" applyFont="1" applyFill="1"/>
    <xf numFmtId="9" fontId="191" fillId="51" borderId="0" xfId="0" applyNumberFormat="1" applyFont="1" applyFill="1"/>
    <xf numFmtId="0" fontId="186" fillId="51" borderId="0" xfId="0" applyFont="1" applyFill="1" applyBorder="1"/>
    <xf numFmtId="166" fontId="201" fillId="51" borderId="0" xfId="52" applyNumberFormat="1" applyFont="1" applyFill="1" applyAlignment="1">
      <alignment horizontal="center"/>
    </xf>
    <xf numFmtId="166" fontId="56" fillId="51" borderId="0" xfId="0" applyNumberFormat="1" applyFont="1" applyFill="1"/>
    <xf numFmtId="166" fontId="184" fillId="51" borderId="0" xfId="0" applyNumberFormat="1" applyFont="1" applyFill="1"/>
    <xf numFmtId="7" fontId="56" fillId="51" borderId="0" xfId="0" applyNumberFormat="1" applyFont="1" applyFill="1"/>
    <xf numFmtId="165" fontId="188" fillId="51" borderId="0" xfId="0" applyNumberFormat="1" applyFont="1" applyFill="1" applyBorder="1"/>
    <xf numFmtId="171" fontId="56" fillId="51" borderId="0" xfId="0" applyNumberFormat="1" applyFont="1" applyFill="1" applyBorder="1"/>
    <xf numFmtId="165" fontId="188" fillId="0" borderId="212" xfId="0" applyNumberFormat="1" applyFont="1" applyBorder="1"/>
    <xf numFmtId="166" fontId="184" fillId="0" borderId="192" xfId="52" applyNumberFormat="1" applyFont="1" applyFill="1" applyBorder="1" applyAlignment="1">
      <alignment horizontal="right"/>
    </xf>
    <xf numFmtId="310" fontId="56" fillId="51" borderId="0" xfId="0" applyNumberFormat="1" applyFont="1" applyFill="1" applyBorder="1" applyAlignment="1">
      <alignment horizontal="right"/>
    </xf>
    <xf numFmtId="311" fontId="56" fillId="0" borderId="0" xfId="0" applyNumberFormat="1" applyFont="1" applyFill="1" applyBorder="1" applyAlignment="1">
      <alignment horizontal="left"/>
    </xf>
    <xf numFmtId="166" fontId="213" fillId="0" borderId="14" xfId="0" applyNumberFormat="1" applyFont="1" applyFill="1" applyBorder="1"/>
    <xf numFmtId="5" fontId="56" fillId="0" borderId="0" xfId="0" applyNumberFormat="1" applyFont="1" applyFill="1" applyBorder="1" applyAlignment="1">
      <alignment horizontal="right"/>
    </xf>
    <xf numFmtId="5" fontId="213" fillId="0" borderId="0" xfId="0" applyNumberFormat="1" applyFont="1" applyFill="1" applyBorder="1" applyAlignment="1">
      <alignment horizontal="right"/>
    </xf>
    <xf numFmtId="5" fontId="56" fillId="0" borderId="106" xfId="0" applyNumberFormat="1" applyFont="1" applyFill="1" applyBorder="1"/>
    <xf numFmtId="5" fontId="56" fillId="0" borderId="61" xfId="0" applyNumberFormat="1" applyFont="1" applyFill="1" applyBorder="1" applyAlignment="1">
      <alignment horizontal="right"/>
    </xf>
    <xf numFmtId="5" fontId="56" fillId="0" borderId="62" xfId="0" applyNumberFormat="1" applyFont="1" applyFill="1" applyBorder="1" applyAlignment="1">
      <alignment horizontal="right"/>
    </xf>
    <xf numFmtId="37" fontId="52" fillId="0" borderId="0" xfId="0" applyNumberFormat="1" applyFont="1" applyBorder="1" applyAlignment="1">
      <alignment horizontal="right"/>
    </xf>
    <xf numFmtId="9" fontId="56" fillId="0" borderId="0" xfId="52" applyFont="1" applyFill="1" applyBorder="1" applyAlignment="1">
      <alignment horizontal="left"/>
    </xf>
    <xf numFmtId="9" fontId="32" fillId="0" borderId="0" xfId="52" applyFont="1" applyFill="1" applyBorder="1" applyAlignment="1">
      <alignment horizontal="right"/>
    </xf>
    <xf numFmtId="9" fontId="56" fillId="0" borderId="106" xfId="52" applyFont="1" applyBorder="1" applyAlignment="1">
      <alignment horizontal="right"/>
    </xf>
    <xf numFmtId="0" fontId="262" fillId="0" borderId="0" xfId="0" applyFont="1" applyBorder="1" applyAlignment="1">
      <alignment horizontal="right"/>
    </xf>
    <xf numFmtId="165" fontId="261" fillId="0" borderId="0" xfId="0" applyNumberFormat="1" applyFont="1" applyFill="1" applyBorder="1" applyAlignment="1">
      <alignment horizontal="left"/>
    </xf>
    <xf numFmtId="200" fontId="263" fillId="0" borderId="0" xfId="52" applyNumberFormat="1" applyFont="1" applyFill="1" applyBorder="1" applyAlignment="1">
      <alignment horizontal="right"/>
    </xf>
    <xf numFmtId="165" fontId="261" fillId="0" borderId="0" xfId="0" applyNumberFormat="1" applyFont="1" applyFill="1" applyBorder="1" applyAlignment="1">
      <alignment horizontal="right"/>
    </xf>
    <xf numFmtId="0" fontId="261" fillId="0" borderId="0" xfId="0" applyFont="1" applyBorder="1" applyAlignment="1">
      <alignment horizontal="right"/>
    </xf>
    <xf numFmtId="0" fontId="260" fillId="0" borderId="19" xfId="0" applyFont="1" applyFill="1" applyBorder="1" applyAlignment="1">
      <alignment horizontal="center"/>
    </xf>
    <xf numFmtId="165" fontId="259" fillId="67" borderId="54" xfId="0" applyNumberFormat="1" applyFont="1" applyFill="1" applyBorder="1" applyAlignment="1">
      <alignment horizontal="right"/>
    </xf>
    <xf numFmtId="37" fontId="261" fillId="0" borderId="12" xfId="0" applyNumberFormat="1" applyFont="1" applyBorder="1" applyAlignment="1">
      <alignment horizontal="right"/>
    </xf>
    <xf numFmtId="37" fontId="261" fillId="0" borderId="12" xfId="10" applyNumberFormat="1" applyFont="1" applyBorder="1" applyAlignment="1">
      <alignment horizontal="right"/>
    </xf>
    <xf numFmtId="37" fontId="261" fillId="0" borderId="91" xfId="10" applyNumberFormat="1" applyFont="1" applyBorder="1" applyAlignment="1">
      <alignment horizontal="right"/>
    </xf>
    <xf numFmtId="37" fontId="264" fillId="0" borderId="12" xfId="0" applyNumberFormat="1" applyFont="1" applyBorder="1" applyAlignment="1">
      <alignment horizontal="right"/>
    </xf>
    <xf numFmtId="37" fontId="261" fillId="0" borderId="237" xfId="0" applyNumberFormat="1" applyFont="1" applyBorder="1" applyAlignment="1">
      <alignment horizontal="right"/>
    </xf>
    <xf numFmtId="37" fontId="260" fillId="67" borderId="12" xfId="0" applyNumberFormat="1" applyFont="1" applyFill="1" applyBorder="1" applyAlignment="1">
      <alignment horizontal="right"/>
    </xf>
    <xf numFmtId="37" fontId="261" fillId="0" borderId="12" xfId="10" applyNumberFormat="1" applyFont="1" applyFill="1" applyBorder="1" applyAlignment="1">
      <alignment horizontal="right"/>
    </xf>
    <xf numFmtId="37" fontId="259" fillId="0" borderId="12" xfId="0" applyNumberFormat="1" applyFont="1" applyFill="1" applyBorder="1" applyAlignment="1">
      <alignment horizontal="right"/>
    </xf>
    <xf numFmtId="178" fontId="261" fillId="0" borderId="12" xfId="0" applyNumberFormat="1" applyFont="1" applyFill="1" applyBorder="1" applyAlignment="1">
      <alignment horizontal="right"/>
    </xf>
    <xf numFmtId="310" fontId="261" fillId="51" borderId="12" xfId="0" applyNumberFormat="1" applyFont="1" applyFill="1" applyBorder="1" applyAlignment="1">
      <alignment horizontal="right"/>
    </xf>
    <xf numFmtId="178" fontId="259" fillId="67" borderId="12" xfId="0" applyNumberFormat="1" applyFont="1" applyFill="1" applyBorder="1" applyAlignment="1">
      <alignment horizontal="right"/>
    </xf>
    <xf numFmtId="178" fontId="261" fillId="0" borderId="106" xfId="0" applyNumberFormat="1" applyFont="1" applyBorder="1" applyAlignment="1">
      <alignment horizontal="right"/>
    </xf>
    <xf numFmtId="173" fontId="261" fillId="0" borderId="12" xfId="0" applyNumberFormat="1" applyFont="1" applyBorder="1" applyAlignment="1">
      <alignment horizontal="right"/>
    </xf>
    <xf numFmtId="166" fontId="261" fillId="0" borderId="12" xfId="52" applyNumberFormat="1" applyFont="1" applyBorder="1" applyAlignment="1">
      <alignment horizontal="right"/>
    </xf>
    <xf numFmtId="171" fontId="261" fillId="0" borderId="90" xfId="52" applyNumberFormat="1" applyFont="1" applyBorder="1" applyAlignment="1">
      <alignment horizontal="right"/>
    </xf>
    <xf numFmtId="0" fontId="261" fillId="0" borderId="0" xfId="0" applyFont="1" applyAlignment="1">
      <alignment horizontal="right"/>
    </xf>
    <xf numFmtId="0" fontId="260" fillId="0" borderId="102" xfId="0" applyFont="1" applyFill="1" applyBorder="1" applyAlignment="1">
      <alignment horizontal="center"/>
    </xf>
    <xf numFmtId="37" fontId="261" fillId="0" borderId="92" xfId="39" applyNumberFormat="1" applyFont="1" applyFill="1" applyBorder="1" applyAlignment="1">
      <alignment horizontal="right"/>
    </xf>
    <xf numFmtId="165" fontId="261" fillId="0" borderId="92" xfId="39" applyNumberFormat="1" applyFont="1" applyFill="1" applyBorder="1" applyAlignment="1">
      <alignment horizontal="right"/>
    </xf>
    <xf numFmtId="166" fontId="261" fillId="0" borderId="135" xfId="39" applyNumberFormat="1" applyFont="1" applyFill="1" applyBorder="1" applyAlignment="1">
      <alignment horizontal="right"/>
    </xf>
    <xf numFmtId="37" fontId="261" fillId="0" borderId="106" xfId="39" applyNumberFormat="1" applyFont="1" applyFill="1" applyBorder="1" applyAlignment="1">
      <alignment horizontal="right"/>
    </xf>
    <xf numFmtId="166" fontId="261" fillId="0" borderId="106" xfId="52" applyNumberFormat="1" applyFont="1" applyFill="1" applyBorder="1" applyAlignment="1">
      <alignment horizontal="right"/>
    </xf>
    <xf numFmtId="37" fontId="261" fillId="0" borderId="111" xfId="0" applyNumberFormat="1" applyFont="1" applyFill="1" applyBorder="1" applyAlignment="1">
      <alignment horizontal="right"/>
    </xf>
    <xf numFmtId="165" fontId="261" fillId="0" borderId="106" xfId="39" applyNumberFormat="1" applyFont="1" applyFill="1" applyBorder="1" applyAlignment="1">
      <alignment horizontal="right"/>
    </xf>
    <xf numFmtId="37" fontId="261" fillId="0" borderId="92" xfId="0" applyNumberFormat="1" applyFont="1" applyFill="1" applyBorder="1" applyAlignment="1">
      <alignment horizontal="right"/>
    </xf>
    <xf numFmtId="166" fontId="261" fillId="0" borderId="92" xfId="52" applyNumberFormat="1" applyFont="1" applyFill="1" applyBorder="1" applyAlignment="1">
      <alignment horizontal="right"/>
    </xf>
    <xf numFmtId="166" fontId="261" fillId="0" borderId="135" xfId="52" applyNumberFormat="1" applyFont="1" applyFill="1" applyBorder="1" applyAlignment="1">
      <alignment horizontal="right"/>
    </xf>
    <xf numFmtId="37" fontId="261" fillId="0" borderId="5" xfId="39" applyNumberFormat="1" applyFont="1" applyFill="1" applyBorder="1" applyAlignment="1">
      <alignment horizontal="right"/>
    </xf>
    <xf numFmtId="178" fontId="261" fillId="0" borderId="106" xfId="10" applyNumberFormat="1" applyFont="1" applyBorder="1" applyAlignment="1">
      <alignment horizontal="right"/>
    </xf>
    <xf numFmtId="178" fontId="261" fillId="0" borderId="92" xfId="10" applyNumberFormat="1" applyFont="1" applyBorder="1" applyAlignment="1">
      <alignment horizontal="right"/>
    </xf>
    <xf numFmtId="43" fontId="259" fillId="67" borderId="92" xfId="10" applyFont="1" applyFill="1" applyBorder="1" applyAlignment="1">
      <alignment horizontal="right"/>
    </xf>
    <xf numFmtId="165" fontId="264" fillId="0" borderId="65" xfId="46" applyNumberFormat="1" applyFont="1" applyFill="1" applyBorder="1" applyAlignment="1">
      <alignment horizontal="right"/>
    </xf>
    <xf numFmtId="0" fontId="259" fillId="67" borderId="92" xfId="0" applyFont="1" applyFill="1" applyBorder="1" applyAlignment="1">
      <alignment horizontal="right"/>
    </xf>
    <xf numFmtId="165" fontId="260" fillId="0" borderId="0" xfId="46" applyNumberFormat="1" applyFont="1" applyFill="1" applyBorder="1" applyAlignment="1">
      <alignment horizontal="right"/>
    </xf>
    <xf numFmtId="1" fontId="261" fillId="0" borderId="0" xfId="0" applyNumberFormat="1" applyFont="1" applyAlignment="1">
      <alignment horizontal="right"/>
    </xf>
    <xf numFmtId="0" fontId="259" fillId="0" borderId="0" xfId="0" applyFont="1" applyAlignment="1">
      <alignment horizontal="center"/>
    </xf>
    <xf numFmtId="165" fontId="259" fillId="67" borderId="120" xfId="0" applyNumberFormat="1" applyFont="1" applyFill="1" applyBorder="1" applyAlignment="1">
      <alignment horizontal="right"/>
    </xf>
    <xf numFmtId="37" fontId="261" fillId="0" borderId="65" xfId="0" applyNumberFormat="1" applyFont="1" applyBorder="1" applyAlignment="1">
      <alignment horizontal="right"/>
    </xf>
    <xf numFmtId="37" fontId="261" fillId="0" borderId="106" xfId="0" applyNumberFormat="1" applyFont="1" applyBorder="1" applyAlignment="1">
      <alignment horizontal="right"/>
    </xf>
    <xf numFmtId="37" fontId="259" fillId="0" borderId="131" xfId="0" applyNumberFormat="1" applyFont="1" applyBorder="1" applyAlignment="1">
      <alignment horizontal="right"/>
    </xf>
    <xf numFmtId="200" fontId="261" fillId="0" borderId="106" xfId="52" applyNumberFormat="1" applyFont="1" applyFill="1" applyBorder="1" applyAlignment="1">
      <alignment horizontal="right"/>
    </xf>
    <xf numFmtId="166" fontId="261" fillId="0" borderId="65" xfId="52" applyNumberFormat="1" applyFont="1" applyFill="1" applyBorder="1" applyAlignment="1">
      <alignment horizontal="right"/>
    </xf>
    <xf numFmtId="166" fontId="259" fillId="0" borderId="128" xfId="52" applyNumberFormat="1" applyFont="1" applyFill="1" applyBorder="1" applyAlignment="1">
      <alignment horizontal="right"/>
    </xf>
    <xf numFmtId="165" fontId="259" fillId="0" borderId="254" xfId="0" applyNumberFormat="1" applyFont="1" applyBorder="1" applyAlignment="1">
      <alignment horizontal="right"/>
    </xf>
    <xf numFmtId="165" fontId="259" fillId="0" borderId="148" xfId="0" applyNumberFormat="1" applyFont="1" applyBorder="1" applyAlignment="1">
      <alignment horizontal="right"/>
    </xf>
    <xf numFmtId="37" fontId="259" fillId="0" borderId="139" xfId="0" applyNumberFormat="1" applyFont="1" applyBorder="1" applyAlignment="1">
      <alignment horizontal="right"/>
    </xf>
    <xf numFmtId="37" fontId="261" fillId="0" borderId="192" xfId="0" applyNumberFormat="1" applyFont="1" applyBorder="1" applyAlignment="1">
      <alignment horizontal="right"/>
    </xf>
    <xf numFmtId="37" fontId="259" fillId="0" borderId="106" xfId="0" applyNumberFormat="1" applyFont="1" applyBorder="1" applyAlignment="1">
      <alignment horizontal="right"/>
    </xf>
    <xf numFmtId="37" fontId="259" fillId="62" borderId="106" xfId="0" applyNumberFormat="1" applyFont="1" applyFill="1" applyBorder="1" applyAlignment="1">
      <alignment horizontal="right"/>
    </xf>
    <xf numFmtId="304" fontId="261" fillId="0" borderId="106" xfId="0" applyNumberFormat="1" applyFont="1" applyBorder="1" applyAlignment="1"/>
    <xf numFmtId="165" fontId="261" fillId="0" borderId="106" xfId="0" applyNumberFormat="1" applyFont="1" applyBorder="1" applyAlignment="1">
      <alignment horizontal="right"/>
    </xf>
    <xf numFmtId="7" fontId="261" fillId="0" borderId="106" xfId="0" applyNumberFormat="1" applyFont="1" applyBorder="1" applyAlignment="1">
      <alignment horizontal="right"/>
    </xf>
    <xf numFmtId="165" fontId="259" fillId="0" borderId="139" xfId="0" applyNumberFormat="1" applyFont="1" applyBorder="1" applyAlignment="1">
      <alignment horizontal="right"/>
    </xf>
    <xf numFmtId="37" fontId="259" fillId="0" borderId="192" xfId="0" applyNumberFormat="1" applyFont="1" applyBorder="1" applyAlignment="1">
      <alignment horizontal="right"/>
    </xf>
    <xf numFmtId="165" fontId="186" fillId="0" borderId="139" xfId="52" applyNumberFormat="1" applyFont="1" applyBorder="1" applyAlignment="1">
      <alignment horizontal="right"/>
    </xf>
    <xf numFmtId="165" fontId="218" fillId="0" borderId="139" xfId="52" applyNumberFormat="1" applyFont="1" applyFill="1" applyBorder="1" applyAlignment="1">
      <alignment horizontal="right"/>
    </xf>
    <xf numFmtId="165" fontId="218" fillId="0" borderId="252" xfId="52" applyNumberFormat="1" applyFont="1" applyFill="1" applyBorder="1" applyAlignment="1">
      <alignment horizontal="right"/>
    </xf>
    <xf numFmtId="165" fontId="218" fillId="0" borderId="285" xfId="52" applyNumberFormat="1" applyFont="1" applyFill="1" applyBorder="1" applyAlignment="1">
      <alignment horizontal="right"/>
    </xf>
    <xf numFmtId="165" fontId="218" fillId="0" borderId="255" xfId="52" applyNumberFormat="1" applyFont="1" applyFill="1" applyBorder="1" applyAlignment="1">
      <alignment horizontal="right"/>
    </xf>
    <xf numFmtId="165" fontId="218" fillId="0" borderId="151" xfId="52" applyNumberFormat="1" applyFont="1" applyFill="1" applyBorder="1" applyAlignment="1">
      <alignment horizontal="right"/>
    </xf>
    <xf numFmtId="165" fontId="247" fillId="0" borderId="266" xfId="52" applyNumberFormat="1" applyFont="1" applyFill="1" applyBorder="1" applyAlignment="1">
      <alignment horizontal="right"/>
    </xf>
    <xf numFmtId="165" fontId="185" fillId="67" borderId="252" xfId="42" applyNumberFormat="1" applyFont="1" applyFill="1" applyBorder="1" applyAlignment="1">
      <alignment horizontal="right"/>
    </xf>
    <xf numFmtId="165" fontId="185" fillId="67" borderId="253" xfId="42" applyNumberFormat="1" applyFont="1" applyFill="1" applyBorder="1" applyAlignment="1">
      <alignment horizontal="right"/>
    </xf>
    <xf numFmtId="165" fontId="185" fillId="67" borderId="285" xfId="42" applyNumberFormat="1" applyFont="1" applyFill="1" applyBorder="1" applyAlignment="1">
      <alignment horizontal="right"/>
    </xf>
    <xf numFmtId="192" fontId="185" fillId="67" borderId="252" xfId="42" applyNumberFormat="1" applyFont="1" applyFill="1" applyBorder="1" applyAlignment="1">
      <alignment horizontal="right"/>
    </xf>
    <xf numFmtId="165" fontId="185" fillId="67" borderId="255" xfId="42" applyNumberFormat="1" applyFont="1" applyFill="1" applyBorder="1" applyAlignment="1">
      <alignment horizontal="right"/>
    </xf>
    <xf numFmtId="166" fontId="184" fillId="51" borderId="65" xfId="52" applyNumberFormat="1" applyFont="1" applyFill="1" applyBorder="1" applyAlignment="1">
      <alignment horizontal="right"/>
    </xf>
    <xf numFmtId="10" fontId="248" fillId="51" borderId="0" xfId="52" applyNumberFormat="1" applyFont="1" applyFill="1" applyBorder="1" applyAlignment="1">
      <alignment horizontal="right"/>
    </xf>
    <xf numFmtId="10" fontId="186" fillId="51" borderId="106" xfId="52" applyNumberFormat="1" applyFont="1" applyFill="1" applyBorder="1" applyAlignment="1">
      <alignment horizontal="right"/>
    </xf>
    <xf numFmtId="167" fontId="213" fillId="51" borderId="0" xfId="52" applyNumberFormat="1" applyFont="1" applyFill="1" applyBorder="1" applyAlignment="1">
      <alignment horizontal="right"/>
    </xf>
    <xf numFmtId="167" fontId="56" fillId="51" borderId="157" xfId="52" applyNumberFormat="1" applyFont="1" applyFill="1" applyBorder="1" applyAlignment="1">
      <alignment horizontal="right"/>
    </xf>
    <xf numFmtId="10" fontId="56" fillId="51" borderId="65" xfId="52" applyNumberFormat="1" applyFont="1" applyFill="1" applyBorder="1" applyAlignment="1">
      <alignment horizontal="right"/>
    </xf>
    <xf numFmtId="167" fontId="56" fillId="51" borderId="0" xfId="52" applyNumberFormat="1" applyFont="1" applyFill="1" applyBorder="1" applyAlignment="1">
      <alignment horizontal="right"/>
    </xf>
    <xf numFmtId="165" fontId="56" fillId="51" borderId="65" xfId="52" applyNumberFormat="1" applyFont="1" applyFill="1" applyBorder="1" applyAlignment="1">
      <alignment horizontal="right"/>
    </xf>
    <xf numFmtId="166" fontId="188" fillId="0" borderId="237" xfId="52" applyNumberFormat="1" applyFont="1" applyFill="1" applyBorder="1" applyAlignment="1">
      <alignment horizontal="right"/>
    </xf>
    <xf numFmtId="9" fontId="190" fillId="0" borderId="235" xfId="52" applyFont="1" applyFill="1" applyBorder="1" applyAlignment="1">
      <alignment horizontal="right"/>
    </xf>
    <xf numFmtId="9" fontId="190" fillId="0" borderId="0" xfId="52" applyFont="1" applyFill="1" applyBorder="1" applyAlignment="1">
      <alignment horizontal="right"/>
    </xf>
    <xf numFmtId="9" fontId="187" fillId="0" borderId="235" xfId="52" applyFont="1" applyFill="1" applyBorder="1" applyAlignment="1">
      <alignment horizontal="right"/>
    </xf>
    <xf numFmtId="9" fontId="187" fillId="48" borderId="0" xfId="52" applyFont="1" applyFill="1" applyBorder="1" applyAlignment="1">
      <alignment horizontal="right"/>
    </xf>
    <xf numFmtId="9" fontId="202" fillId="0" borderId="0" xfId="52" applyFont="1" applyFill="1" applyBorder="1" applyAlignment="1">
      <alignment horizontal="right"/>
    </xf>
    <xf numFmtId="186" fontId="198" fillId="51" borderId="0" xfId="10" applyNumberFormat="1" applyFont="1" applyFill="1" applyBorder="1" applyAlignment="1">
      <alignment horizontal="right"/>
    </xf>
    <xf numFmtId="166" fontId="184" fillId="67" borderId="284" xfId="52" applyNumberFormat="1" applyFont="1" applyFill="1" applyBorder="1"/>
    <xf numFmtId="166" fontId="184" fillId="67" borderId="192" xfId="0" applyNumberFormat="1" applyFont="1" applyFill="1" applyBorder="1"/>
    <xf numFmtId="165" fontId="248" fillId="0" borderId="0" xfId="52" applyNumberFormat="1" applyFont="1" applyFill="1" applyBorder="1" applyAlignment="1">
      <alignment horizontal="right"/>
    </xf>
    <xf numFmtId="177" fontId="242" fillId="0" borderId="0" xfId="10" applyNumberFormat="1" applyFont="1" applyFill="1" applyBorder="1"/>
    <xf numFmtId="165" fontId="185" fillId="67" borderId="297" xfId="42" applyNumberFormat="1" applyFont="1" applyFill="1" applyBorder="1" applyAlignment="1">
      <alignment horizontal="right"/>
    </xf>
    <xf numFmtId="165" fontId="198" fillId="67" borderId="252" xfId="42" applyNumberFormat="1" applyFont="1" applyFill="1" applyBorder="1" applyAlignment="1">
      <alignment horizontal="right"/>
    </xf>
    <xf numFmtId="165" fontId="198" fillId="67" borderId="266" xfId="42" applyNumberFormat="1" applyFont="1" applyFill="1" applyBorder="1" applyAlignment="1">
      <alignment horizontal="right"/>
    </xf>
    <xf numFmtId="165" fontId="198" fillId="67" borderId="285" xfId="42" applyNumberFormat="1" applyFont="1" applyFill="1" applyBorder="1" applyAlignment="1">
      <alignment horizontal="right"/>
    </xf>
    <xf numFmtId="165" fontId="198" fillId="67" borderId="255" xfId="42" applyNumberFormat="1" applyFont="1" applyFill="1" applyBorder="1" applyAlignment="1">
      <alignment horizontal="right"/>
    </xf>
    <xf numFmtId="165" fontId="185" fillId="67" borderId="87" xfId="42" applyNumberFormat="1" applyFont="1" applyFill="1" applyBorder="1" applyAlignment="1">
      <alignment horizontal="right"/>
    </xf>
    <xf numFmtId="165" fontId="185" fillId="67" borderId="208" xfId="42" applyNumberFormat="1" applyFont="1" applyFill="1" applyBorder="1" applyAlignment="1">
      <alignment horizontal="right"/>
    </xf>
    <xf numFmtId="165" fontId="185" fillId="67" borderId="298" xfId="42" applyNumberFormat="1" applyFont="1" applyFill="1" applyBorder="1" applyAlignment="1">
      <alignment horizontal="right"/>
    </xf>
    <xf numFmtId="165" fontId="185" fillId="67" borderId="133" xfId="42" applyNumberFormat="1" applyFont="1" applyFill="1" applyBorder="1" applyAlignment="1">
      <alignment horizontal="right"/>
    </xf>
    <xf numFmtId="192" fontId="185" fillId="67" borderId="87" xfId="42" applyNumberFormat="1" applyFont="1" applyFill="1" applyBorder="1" applyAlignment="1">
      <alignment horizontal="right"/>
    </xf>
    <xf numFmtId="165" fontId="198" fillId="67" borderId="87" xfId="42" applyNumberFormat="1" applyFont="1" applyFill="1" applyBorder="1" applyAlignment="1">
      <alignment horizontal="right"/>
    </xf>
    <xf numFmtId="165" fontId="198" fillId="67" borderId="208" xfId="42" applyNumberFormat="1" applyFont="1" applyFill="1" applyBorder="1" applyAlignment="1">
      <alignment horizontal="right"/>
    </xf>
    <xf numFmtId="165" fontId="198" fillId="67" borderId="133" xfId="42" applyNumberFormat="1" applyFont="1" applyFill="1" applyBorder="1" applyAlignment="1">
      <alignment horizontal="right"/>
    </xf>
    <xf numFmtId="165" fontId="198" fillId="67" borderId="127" xfId="42" applyNumberFormat="1" applyFont="1" applyFill="1" applyBorder="1" applyAlignment="1">
      <alignment horizontal="right"/>
    </xf>
    <xf numFmtId="165" fontId="198" fillId="67" borderId="295" xfId="42" applyNumberFormat="1" applyFont="1" applyFill="1" applyBorder="1" applyAlignment="1">
      <alignment horizontal="right"/>
    </xf>
    <xf numFmtId="165" fontId="198" fillId="67" borderId="298" xfId="42" applyNumberFormat="1" applyFont="1" applyFill="1" applyBorder="1" applyAlignment="1">
      <alignment horizontal="right"/>
    </xf>
    <xf numFmtId="37" fontId="184" fillId="0" borderId="106" xfId="52" applyNumberFormat="1" applyFont="1" applyFill="1" applyBorder="1" applyAlignment="1">
      <alignment horizontal="right"/>
    </xf>
    <xf numFmtId="37" fontId="184" fillId="0" borderId="235" xfId="52" applyNumberFormat="1" applyFont="1" applyFill="1" applyBorder="1" applyAlignment="1">
      <alignment horizontal="right"/>
    </xf>
    <xf numFmtId="37" fontId="184" fillId="0" borderId="0" xfId="52" applyNumberFormat="1" applyFont="1" applyFill="1" applyBorder="1" applyAlignment="1">
      <alignment horizontal="right"/>
    </xf>
    <xf numFmtId="37" fontId="184" fillId="0" borderId="157" xfId="52" applyNumberFormat="1" applyFont="1" applyFill="1" applyBorder="1" applyAlignment="1">
      <alignment horizontal="right"/>
    </xf>
    <xf numFmtId="37" fontId="184" fillId="0" borderId="64" xfId="52" applyNumberFormat="1" applyFont="1" applyFill="1" applyBorder="1" applyAlignment="1">
      <alignment horizontal="right"/>
    </xf>
    <xf numFmtId="9" fontId="195" fillId="0" borderId="157" xfId="52" applyFont="1" applyFill="1" applyBorder="1" applyAlignment="1">
      <alignment horizontal="right"/>
    </xf>
    <xf numFmtId="9" fontId="195" fillId="0" borderId="0" xfId="52" applyFont="1" applyFill="1" applyBorder="1" applyAlignment="1">
      <alignment horizontal="right"/>
    </xf>
    <xf numFmtId="166" fontId="249" fillId="0" borderId="157" xfId="52" applyNumberFormat="1" applyFont="1" applyFill="1" applyBorder="1" applyAlignment="1">
      <alignment horizontal="right"/>
    </xf>
    <xf numFmtId="177" fontId="240" fillId="0" borderId="0" xfId="10" applyNumberFormat="1" applyFont="1" applyFill="1" applyBorder="1" applyAlignment="1">
      <alignment horizontal="right"/>
    </xf>
    <xf numFmtId="165" fontId="240" fillId="67" borderId="266" xfId="42" applyNumberFormat="1" applyFont="1" applyFill="1" applyBorder="1" applyAlignment="1">
      <alignment horizontal="right"/>
    </xf>
    <xf numFmtId="37" fontId="188" fillId="0" borderId="273" xfId="42" applyNumberFormat="1" applyFont="1" applyFill="1" applyBorder="1"/>
    <xf numFmtId="37" fontId="188" fillId="0" borderId="192" xfId="42" applyNumberFormat="1" applyFont="1" applyBorder="1"/>
    <xf numFmtId="37" fontId="189" fillId="0" borderId="192" xfId="0" applyNumberFormat="1" applyFont="1" applyFill="1" applyBorder="1"/>
    <xf numFmtId="37" fontId="56" fillId="0" borderId="187" xfId="52" applyNumberFormat="1" applyFont="1" applyFill="1" applyBorder="1" applyAlignment="1">
      <alignment horizontal="right"/>
    </xf>
    <xf numFmtId="37" fontId="56" fillId="0" borderId="273" xfId="52" applyNumberFormat="1" applyFont="1" applyFill="1" applyBorder="1"/>
    <xf numFmtId="37" fontId="56" fillId="0" borderId="187" xfId="52" applyNumberFormat="1" applyFont="1" applyFill="1" applyBorder="1"/>
    <xf numFmtId="37" fontId="189" fillId="0" borderId="273" xfId="0" applyNumberFormat="1" applyFont="1" applyFill="1" applyBorder="1"/>
    <xf numFmtId="37" fontId="189" fillId="0" borderId="188" xfId="0" applyNumberFormat="1" applyFont="1" applyFill="1" applyBorder="1"/>
    <xf numFmtId="37" fontId="56" fillId="0" borderId="273" xfId="42" applyNumberFormat="1" applyFont="1" applyFill="1" applyBorder="1"/>
    <xf numFmtId="37" fontId="56" fillId="0" borderId="188" xfId="0" applyNumberFormat="1" applyFont="1" applyFill="1" applyBorder="1"/>
    <xf numFmtId="37" fontId="213" fillId="0" borderId="273" xfId="42" applyNumberFormat="1" applyFont="1" applyFill="1" applyBorder="1"/>
    <xf numFmtId="43" fontId="185" fillId="67" borderId="237" xfId="0" applyNumberFormat="1" applyFont="1" applyFill="1" applyBorder="1" applyAlignment="1">
      <alignment horizontal="left"/>
    </xf>
    <xf numFmtId="43" fontId="185" fillId="67" borderId="237" xfId="0" applyNumberFormat="1" applyFont="1" applyFill="1" applyBorder="1" applyAlignment="1">
      <alignment horizontal="left" vertical="top"/>
    </xf>
    <xf numFmtId="43" fontId="188" fillId="0" borderId="5" xfId="0" applyNumberFormat="1" applyFont="1" applyFill="1" applyBorder="1" applyAlignment="1">
      <alignment horizontal="left" indent="1"/>
    </xf>
    <xf numFmtId="43" fontId="188" fillId="0" borderId="237" xfId="0" applyNumberFormat="1" applyFont="1" applyFill="1" applyBorder="1" applyAlignment="1">
      <alignment horizontal="left"/>
    </xf>
    <xf numFmtId="43" fontId="185" fillId="67" borderId="139" xfId="0" applyNumberFormat="1" applyFont="1" applyFill="1" applyBorder="1" applyAlignment="1">
      <alignment horizontal="left" vertical="top"/>
    </xf>
    <xf numFmtId="43" fontId="188" fillId="51" borderId="237" xfId="0" applyNumberFormat="1" applyFont="1" applyFill="1" applyBorder="1" applyAlignment="1">
      <alignment horizontal="left" indent="1"/>
    </xf>
    <xf numFmtId="43" fontId="188" fillId="51" borderId="192" xfId="0" applyNumberFormat="1" applyFont="1" applyFill="1" applyBorder="1" applyAlignment="1">
      <alignment horizontal="left" indent="1"/>
    </xf>
    <xf numFmtId="43" fontId="188" fillId="0" borderId="139" xfId="0" applyNumberFormat="1" applyFont="1" applyFill="1" applyBorder="1" applyAlignment="1">
      <alignment horizontal="left"/>
    </xf>
    <xf numFmtId="43" fontId="188" fillId="0" borderId="192" xfId="0" applyNumberFormat="1" applyFont="1" applyBorder="1" applyAlignment="1">
      <alignment horizontal="left"/>
    </xf>
    <xf numFmtId="43" fontId="185" fillId="0" borderId="5" xfId="0" applyNumberFormat="1" applyFont="1" applyFill="1" applyBorder="1" applyAlignment="1">
      <alignment horizontal="left" indent="1"/>
    </xf>
    <xf numFmtId="43" fontId="188" fillId="0" borderId="237" xfId="0" applyNumberFormat="1" applyFont="1" applyBorder="1" applyAlignment="1">
      <alignment horizontal="left"/>
    </xf>
    <xf numFmtId="43" fontId="188" fillId="0" borderId="192" xfId="0" applyNumberFormat="1" applyFont="1" applyFill="1" applyBorder="1" applyAlignment="1">
      <alignment horizontal="left"/>
    </xf>
    <xf numFmtId="43" fontId="188" fillId="0" borderId="237" xfId="0" applyNumberFormat="1" applyFont="1" applyBorder="1" applyAlignment="1">
      <alignment horizontal="left" vertical="top"/>
    </xf>
    <xf numFmtId="43" fontId="188" fillId="67" borderId="139" xfId="0" applyNumberFormat="1" applyFont="1" applyFill="1" applyBorder="1" applyAlignment="1">
      <alignment horizontal="left"/>
    </xf>
    <xf numFmtId="43" fontId="185" fillId="67" borderId="192" xfId="0" applyNumberFormat="1" applyFont="1" applyFill="1" applyBorder="1" applyAlignment="1">
      <alignment horizontal="left" indent="1"/>
    </xf>
    <xf numFmtId="166" fontId="52" fillId="0" borderId="0" xfId="52" applyNumberFormat="1" applyFont="1" applyBorder="1" applyAlignment="1">
      <alignment horizontal="right"/>
    </xf>
    <xf numFmtId="166" fontId="56" fillId="0" borderId="0" xfId="52" applyNumberFormat="1" applyFont="1" applyFill="1" applyBorder="1" applyAlignment="1">
      <alignment horizontal="left"/>
    </xf>
    <xf numFmtId="0" fontId="14" fillId="0" borderId="0" xfId="1379"/>
    <xf numFmtId="37" fontId="14" fillId="0" borderId="0" xfId="1379" applyNumberFormat="1"/>
    <xf numFmtId="167" fontId="56" fillId="51" borderId="14" xfId="52" applyNumberFormat="1" applyFont="1" applyFill="1" applyBorder="1" applyAlignment="1">
      <alignment horizontal="right"/>
    </xf>
    <xf numFmtId="0" fontId="56" fillId="62" borderId="237" xfId="0" applyFont="1" applyFill="1" applyBorder="1" applyAlignment="1">
      <alignment horizontal="right"/>
    </xf>
    <xf numFmtId="166" fontId="189" fillId="62" borderId="237" xfId="52" applyNumberFormat="1" applyFont="1" applyFill="1" applyBorder="1" applyAlignment="1">
      <alignment horizontal="right"/>
    </xf>
    <xf numFmtId="166" fontId="56" fillId="62" borderId="237" xfId="52" applyNumberFormat="1" applyFont="1" applyFill="1" applyBorder="1" applyAlignment="1">
      <alignment horizontal="right"/>
    </xf>
    <xf numFmtId="10" fontId="56" fillId="62" borderId="157" xfId="52" applyNumberFormat="1" applyFont="1" applyFill="1" applyBorder="1" applyAlignment="1">
      <alignment horizontal="right"/>
    </xf>
    <xf numFmtId="10" fontId="189" fillId="62" borderId="157" xfId="52" applyNumberFormat="1" applyFont="1" applyFill="1" applyBorder="1" applyAlignment="1">
      <alignment horizontal="right"/>
    </xf>
    <xf numFmtId="10" fontId="186" fillId="51" borderId="65" xfId="52" applyNumberFormat="1" applyFont="1" applyFill="1" applyBorder="1" applyAlignment="1">
      <alignment horizontal="right"/>
    </xf>
    <xf numFmtId="165" fontId="218" fillId="51" borderId="0" xfId="52" applyNumberFormat="1" applyFont="1" applyFill="1" applyBorder="1" applyAlignment="1">
      <alignment horizontal="right"/>
    </xf>
    <xf numFmtId="165" fontId="184" fillId="51" borderId="106" xfId="0" applyNumberFormat="1" applyFont="1" applyFill="1" applyBorder="1" applyAlignment="1">
      <alignment horizontal="right"/>
    </xf>
    <xf numFmtId="166" fontId="249" fillId="51" borderId="0" xfId="52" applyNumberFormat="1" applyFont="1" applyFill="1" applyBorder="1" applyAlignment="1">
      <alignment horizontal="right"/>
    </xf>
    <xf numFmtId="166" fontId="249" fillId="51" borderId="106" xfId="52" applyNumberFormat="1" applyFont="1" applyFill="1" applyBorder="1" applyAlignment="1">
      <alignment horizontal="right"/>
    </xf>
    <xf numFmtId="9" fontId="56" fillId="51" borderId="188" xfId="52" applyFont="1" applyFill="1" applyBorder="1" applyAlignment="1">
      <alignment horizontal="right"/>
    </xf>
    <xf numFmtId="166" fontId="187" fillId="0" borderId="106" xfId="0" applyNumberFormat="1" applyFont="1" applyFill="1" applyBorder="1" applyAlignment="1">
      <alignment horizontal="right"/>
    </xf>
    <xf numFmtId="37" fontId="56" fillId="0" borderId="12" xfId="0" applyNumberFormat="1" applyFont="1" applyFill="1" applyBorder="1" applyAlignment="1">
      <alignment horizontal="right"/>
    </xf>
    <xf numFmtId="43" fontId="56" fillId="0" borderId="299" xfId="39" applyNumberFormat="1" applyFont="1" applyBorder="1"/>
    <xf numFmtId="165" fontId="56" fillId="0" borderId="299" xfId="0" applyNumberFormat="1" applyFont="1" applyBorder="1"/>
    <xf numFmtId="37" fontId="56" fillId="0" borderId="301" xfId="0" applyNumberFormat="1" applyFont="1" applyFill="1" applyBorder="1" applyAlignment="1">
      <alignment horizontal="right"/>
    </xf>
    <xf numFmtId="165" fontId="56" fillId="0" borderId="302" xfId="0" applyNumberFormat="1" applyFont="1" applyBorder="1"/>
    <xf numFmtId="37" fontId="56" fillId="0" borderId="302" xfId="0" applyNumberFormat="1" applyFont="1" applyBorder="1"/>
    <xf numFmtId="37" fontId="56" fillId="0" borderId="299" xfId="0" applyNumberFormat="1" applyFont="1" applyBorder="1"/>
    <xf numFmtId="37" fontId="56" fillId="0" borderId="299" xfId="0" applyNumberFormat="1" applyFont="1" applyBorder="1" applyAlignment="1">
      <alignment horizontal="right"/>
    </xf>
    <xf numFmtId="37" fontId="56" fillId="0" borderId="302" xfId="0" applyNumberFormat="1" applyFont="1" applyBorder="1" applyAlignment="1">
      <alignment horizontal="right"/>
    </xf>
    <xf numFmtId="37" fontId="56" fillId="0" borderId="303" xfId="0" applyNumberFormat="1" applyFont="1" applyBorder="1" applyAlignment="1">
      <alignment horizontal="right"/>
    </xf>
    <xf numFmtId="37" fontId="56" fillId="0" borderId="299" xfId="0" applyNumberFormat="1" applyFont="1" applyFill="1" applyBorder="1" applyAlignment="1">
      <alignment horizontal="right"/>
    </xf>
    <xf numFmtId="37" fontId="56" fillId="0" borderId="300" xfId="0" applyNumberFormat="1" applyFont="1" applyFill="1" applyBorder="1" applyAlignment="1">
      <alignment horizontal="right"/>
    </xf>
    <xf numFmtId="37" fontId="56" fillId="0" borderId="303" xfId="0" applyNumberFormat="1" applyFont="1" applyFill="1" applyBorder="1" applyAlignment="1">
      <alignment horizontal="right"/>
    </xf>
    <xf numFmtId="37" fontId="261" fillId="0" borderId="300" xfId="0" applyNumberFormat="1" applyFont="1" applyFill="1" applyBorder="1" applyAlignment="1">
      <alignment horizontal="right"/>
    </xf>
    <xf numFmtId="0" fontId="186" fillId="67" borderId="235" xfId="0" applyFont="1" applyFill="1" applyBorder="1"/>
    <xf numFmtId="0" fontId="186" fillId="67" borderId="235" xfId="0" applyFont="1" applyFill="1" applyBorder="1" applyAlignment="1">
      <alignment horizontal="right"/>
    </xf>
    <xf numFmtId="0" fontId="186" fillId="67" borderId="236" xfId="0" applyFont="1" applyFill="1" applyBorder="1" applyAlignment="1">
      <alignment horizontal="right"/>
    </xf>
    <xf numFmtId="178" fontId="259" fillId="67" borderId="106" xfId="0" applyNumberFormat="1" applyFont="1" applyFill="1" applyBorder="1" applyAlignment="1">
      <alignment horizontal="right"/>
    </xf>
    <xf numFmtId="166" fontId="189" fillId="0" borderId="299" xfId="39" applyNumberFormat="1" applyFont="1" applyFill="1" applyBorder="1" applyAlignment="1">
      <alignment horizontal="right"/>
    </xf>
    <xf numFmtId="9" fontId="201" fillId="0" borderId="212" xfId="52" applyNumberFormat="1" applyFont="1" applyFill="1" applyBorder="1" applyAlignment="1">
      <alignment horizontal="right"/>
    </xf>
    <xf numFmtId="37" fontId="56" fillId="0" borderId="157" xfId="52" applyNumberFormat="1" applyFont="1" applyFill="1" applyBorder="1" applyAlignment="1">
      <alignment horizontal="right"/>
    </xf>
    <xf numFmtId="165" fontId="240" fillId="67" borderId="297" xfId="42" applyNumberFormat="1" applyFont="1" applyFill="1" applyBorder="1" applyAlignment="1">
      <alignment horizontal="right"/>
    </xf>
    <xf numFmtId="168" fontId="186" fillId="65" borderId="139" xfId="52" applyNumberFormat="1" applyFont="1" applyFill="1" applyBorder="1" applyAlignment="1">
      <alignment horizontal="right"/>
    </xf>
    <xf numFmtId="168" fontId="186" fillId="65" borderId="143" xfId="52" applyNumberFormat="1" applyFont="1" applyFill="1" applyBorder="1" applyAlignment="1">
      <alignment horizontal="right"/>
    </xf>
    <xf numFmtId="10" fontId="186" fillId="51" borderId="0" xfId="52" applyNumberFormat="1" applyFont="1" applyFill="1" applyBorder="1" applyAlignment="1">
      <alignment horizontal="right"/>
    </xf>
    <xf numFmtId="0" fontId="185" fillId="65" borderId="87" xfId="0" applyFont="1" applyFill="1" applyBorder="1" applyAlignment="1">
      <alignment horizontal="center"/>
    </xf>
    <xf numFmtId="0" fontId="185" fillId="65" borderId="208" xfId="0" applyFont="1" applyFill="1" applyBorder="1" applyAlignment="1">
      <alignment horizontal="center"/>
    </xf>
    <xf numFmtId="0" fontId="185" fillId="65" borderId="5" xfId="0" applyFont="1" applyFill="1" applyBorder="1" applyAlignment="1">
      <alignment horizontal="center"/>
    </xf>
    <xf numFmtId="0" fontId="185" fillId="65" borderId="133" xfId="0" applyFont="1" applyFill="1" applyBorder="1" applyAlignment="1">
      <alignment horizontal="center"/>
    </xf>
    <xf numFmtId="0" fontId="185" fillId="65" borderId="128" xfId="0" applyFont="1" applyFill="1" applyBorder="1" applyAlignment="1">
      <alignment horizontal="center"/>
    </xf>
    <xf numFmtId="0" fontId="185" fillId="65" borderId="295" xfId="0" applyFont="1" applyFill="1" applyBorder="1" applyAlignment="1">
      <alignment horizontal="center"/>
    </xf>
    <xf numFmtId="166" fontId="184" fillId="0" borderId="302" xfId="52" applyNumberFormat="1" applyFont="1" applyFill="1" applyBorder="1"/>
    <xf numFmtId="166" fontId="184" fillId="0" borderId="299" xfId="52" applyNumberFormat="1" applyFont="1" applyFill="1" applyBorder="1"/>
    <xf numFmtId="166" fontId="184" fillId="0" borderId="300" xfId="0" applyNumberFormat="1" applyFont="1" applyFill="1" applyBorder="1"/>
    <xf numFmtId="166" fontId="184" fillId="0" borderId="299" xfId="0" applyNumberFormat="1" applyFont="1" applyFill="1" applyBorder="1"/>
    <xf numFmtId="166" fontId="184" fillId="0" borderId="302" xfId="0" applyNumberFormat="1" applyFont="1" applyFill="1" applyBorder="1"/>
    <xf numFmtId="166" fontId="184" fillId="0" borderId="302" xfId="0" applyNumberFormat="1" applyFont="1" applyFill="1" applyBorder="1" applyAlignment="1">
      <alignment horizontal="right"/>
    </xf>
    <xf numFmtId="166" fontId="184" fillId="0" borderId="299" xfId="0" applyNumberFormat="1" applyFont="1" applyFill="1" applyBorder="1" applyAlignment="1">
      <alignment horizontal="right"/>
    </xf>
    <xf numFmtId="166" fontId="184" fillId="0" borderId="304" xfId="0" applyNumberFormat="1" applyFont="1" applyFill="1" applyBorder="1"/>
    <xf numFmtId="166" fontId="184" fillId="51" borderId="299" xfId="52" applyNumberFormat="1" applyFont="1" applyFill="1" applyBorder="1"/>
    <xf numFmtId="43" fontId="188" fillId="0" borderId="304" xfId="0" applyNumberFormat="1" applyFont="1" applyFill="1" applyBorder="1" applyAlignment="1">
      <alignment horizontal="left" indent="1"/>
    </xf>
    <xf numFmtId="0" fontId="188" fillId="0" borderId="299" xfId="0" applyFont="1" applyFill="1" applyBorder="1"/>
    <xf numFmtId="9" fontId="201" fillId="0" borderId="304" xfId="52" applyFont="1" applyFill="1" applyBorder="1"/>
    <xf numFmtId="9" fontId="201" fillId="0" borderId="299" xfId="52" applyFont="1" applyFill="1" applyBorder="1"/>
    <xf numFmtId="9" fontId="201" fillId="0" borderId="299" xfId="52" applyFont="1" applyFill="1" applyBorder="1" applyAlignment="1">
      <alignment horizontal="right"/>
    </xf>
    <xf numFmtId="166" fontId="201" fillId="0" borderId="304" xfId="52" applyNumberFormat="1" applyFont="1" applyFill="1" applyBorder="1"/>
    <xf numFmtId="166" fontId="201" fillId="0" borderId="299" xfId="52" applyNumberFormat="1" applyFont="1" applyFill="1" applyBorder="1"/>
    <xf numFmtId="43" fontId="185" fillId="67" borderId="304" xfId="0" applyNumberFormat="1" applyFont="1" applyFill="1" applyBorder="1" applyAlignment="1">
      <alignment horizontal="left"/>
    </xf>
    <xf numFmtId="0" fontId="185" fillId="67" borderId="299" xfId="0" applyFont="1" applyFill="1" applyBorder="1"/>
    <xf numFmtId="9" fontId="206" fillId="67" borderId="304" xfId="52" applyFont="1" applyFill="1" applyBorder="1"/>
    <xf numFmtId="9" fontId="206" fillId="67" borderId="299" xfId="52" applyFont="1" applyFill="1" applyBorder="1"/>
    <xf numFmtId="9" fontId="206" fillId="67" borderId="299" xfId="52" applyFont="1" applyFill="1" applyBorder="1" applyAlignment="1">
      <alignment horizontal="right"/>
    </xf>
    <xf numFmtId="9" fontId="206" fillId="67" borderId="304" xfId="52" applyFont="1" applyFill="1" applyBorder="1" applyAlignment="1">
      <alignment horizontal="right"/>
    </xf>
    <xf numFmtId="43" fontId="185" fillId="0" borderId="304" xfId="0" applyNumberFormat="1" applyFont="1" applyFill="1" applyBorder="1" applyAlignment="1">
      <alignment horizontal="left" indent="1"/>
    </xf>
    <xf numFmtId="0" fontId="188" fillId="0" borderId="299" xfId="0" applyFont="1" applyFill="1" applyBorder="1" applyAlignment="1">
      <alignment horizontal="left" indent="1"/>
    </xf>
    <xf numFmtId="37" fontId="202" fillId="0" borderId="304" xfId="0" applyNumberFormat="1" applyFont="1" applyFill="1" applyBorder="1" applyAlignment="1">
      <alignment horizontal="left" indent="1"/>
    </xf>
    <xf numFmtId="37" fontId="188" fillId="0" borderId="299" xfId="0" applyNumberFormat="1" applyFont="1" applyFill="1" applyBorder="1" applyAlignment="1">
      <alignment horizontal="left" indent="1"/>
    </xf>
    <xf numFmtId="37" fontId="202" fillId="0" borderId="299" xfId="0" applyNumberFormat="1" applyFont="1" applyFill="1" applyBorder="1" applyAlignment="1">
      <alignment horizontal="left" indent="1"/>
    </xf>
    <xf numFmtId="37" fontId="202" fillId="0" borderId="299" xfId="0" applyNumberFormat="1" applyFont="1" applyFill="1" applyBorder="1" applyAlignment="1"/>
    <xf numFmtId="37" fontId="188" fillId="0" borderId="304" xfId="0" applyNumberFormat="1" applyFont="1" applyFill="1" applyBorder="1" applyAlignment="1"/>
    <xf numFmtId="37" fontId="207" fillId="0" borderId="299" xfId="0" applyNumberFormat="1" applyFont="1" applyFill="1" applyBorder="1" applyAlignment="1"/>
    <xf numFmtId="37" fontId="188" fillId="0" borderId="299" xfId="0" applyNumberFormat="1" applyFont="1" applyFill="1" applyBorder="1" applyAlignment="1"/>
    <xf numFmtId="186" fontId="56" fillId="0" borderId="235" xfId="0" applyNumberFormat="1" applyFont="1" applyBorder="1"/>
    <xf numFmtId="186" fontId="56" fillId="0" borderId="235" xfId="0" applyNumberFormat="1" applyFont="1" applyBorder="1" applyAlignment="1">
      <alignment horizontal="right"/>
    </xf>
    <xf numFmtId="178" fontId="261" fillId="0" borderId="237" xfId="0" applyNumberFormat="1" applyFont="1" applyBorder="1" applyAlignment="1">
      <alignment horizontal="right"/>
    </xf>
    <xf numFmtId="10" fontId="248" fillId="51" borderId="65" xfId="52" applyNumberFormat="1" applyFont="1" applyFill="1" applyBorder="1" applyAlignment="1">
      <alignment horizontal="right"/>
    </xf>
    <xf numFmtId="166" fontId="186" fillId="67" borderId="121" xfId="52" applyNumberFormat="1" applyFont="1" applyFill="1" applyBorder="1" applyAlignment="1">
      <alignment horizontal="right"/>
    </xf>
    <xf numFmtId="166" fontId="186" fillId="67" borderId="65" xfId="52" applyNumberFormat="1" applyFont="1" applyFill="1" applyBorder="1" applyAlignment="1">
      <alignment horizontal="right"/>
    </xf>
    <xf numFmtId="166" fontId="186" fillId="67" borderId="64" xfId="52" applyNumberFormat="1" applyFont="1" applyFill="1" applyBorder="1" applyAlignment="1">
      <alignment horizontal="right"/>
    </xf>
    <xf numFmtId="166" fontId="186" fillId="67" borderId="61" xfId="52" applyNumberFormat="1" applyFont="1" applyFill="1" applyBorder="1" applyAlignment="1">
      <alignment horizontal="right"/>
    </xf>
    <xf numFmtId="7" fontId="195" fillId="51" borderId="0" xfId="0" applyNumberFormat="1" applyFont="1" applyFill="1" applyAlignment="1">
      <alignment horizontal="center"/>
    </xf>
    <xf numFmtId="0" fontId="186" fillId="0" borderId="0" xfId="0" applyFont="1" applyFill="1" applyAlignment="1">
      <alignment horizontal="center"/>
    </xf>
    <xf numFmtId="9" fontId="60" fillId="0" borderId="0" xfId="52" applyFont="1" applyFill="1" applyBorder="1" applyAlignment="1">
      <alignment horizontal="right"/>
    </xf>
    <xf numFmtId="166" fontId="242" fillId="0" borderId="299" xfId="52" applyNumberFormat="1" applyFont="1" applyFill="1" applyBorder="1"/>
    <xf numFmtId="166" fontId="242" fillId="0" borderId="304" xfId="52" applyNumberFormat="1" applyFont="1" applyFill="1" applyBorder="1"/>
    <xf numFmtId="41" fontId="188" fillId="0" borderId="237" xfId="0" applyNumberFormat="1" applyFont="1" applyFill="1" applyBorder="1" applyAlignment="1">
      <alignment horizontal="left"/>
    </xf>
    <xf numFmtId="170" fontId="188" fillId="0" borderId="237" xfId="20" applyNumberFormat="1" applyFont="1" applyFill="1" applyBorder="1" applyAlignment="1">
      <alignment horizontal="right"/>
    </xf>
    <xf numFmtId="170" fontId="188" fillId="58" borderId="297" xfId="20" applyNumberFormat="1" applyFont="1" applyFill="1" applyBorder="1" applyAlignment="1">
      <alignment horizontal="right"/>
    </xf>
    <xf numFmtId="41" fontId="185" fillId="58" borderId="297" xfId="0" applyNumberFormat="1" applyFont="1" applyFill="1" applyBorder="1" applyAlignment="1">
      <alignment horizontal="left"/>
    </xf>
    <xf numFmtId="41" fontId="188" fillId="0" borderId="237" xfId="0" applyNumberFormat="1" applyFont="1" applyFill="1" applyBorder="1" applyAlignment="1">
      <alignment horizontal="left" indent="1"/>
    </xf>
    <xf numFmtId="41" fontId="188" fillId="62" borderId="237" xfId="0" applyNumberFormat="1" applyFont="1" applyFill="1" applyBorder="1" applyAlignment="1">
      <alignment horizontal="left"/>
    </xf>
    <xf numFmtId="41" fontId="188" fillId="0" borderId="192" xfId="0" applyNumberFormat="1" applyFont="1" applyFill="1" applyBorder="1" applyAlignment="1">
      <alignment horizontal="left"/>
    </xf>
    <xf numFmtId="170" fontId="188" fillId="0" borderId="192" xfId="20" applyNumberFormat="1" applyFont="1" applyFill="1" applyBorder="1" applyAlignment="1">
      <alignment horizontal="right"/>
    </xf>
    <xf numFmtId="37" fontId="188" fillId="62" borderId="237" xfId="20" applyNumberFormat="1" applyFont="1" applyFill="1" applyBorder="1" applyAlignment="1">
      <alignment horizontal="right"/>
    </xf>
    <xf numFmtId="37" fontId="188" fillId="0" borderId="237" xfId="20" applyNumberFormat="1" applyFont="1" applyFill="1" applyBorder="1" applyAlignment="1">
      <alignment horizontal="right"/>
    </xf>
    <xf numFmtId="7" fontId="188" fillId="62" borderId="237" xfId="20" applyNumberFormat="1" applyFont="1" applyFill="1" applyBorder="1" applyAlignment="1">
      <alignment horizontal="right"/>
    </xf>
    <xf numFmtId="37" fontId="188" fillId="64" borderId="237" xfId="20" applyNumberFormat="1" applyFont="1" applyFill="1" applyBorder="1" applyAlignment="1">
      <alignment horizontal="right"/>
    </xf>
    <xf numFmtId="41" fontId="185" fillId="64" borderId="237" xfId="0" applyNumberFormat="1" applyFont="1" applyFill="1" applyBorder="1" applyAlignment="1">
      <alignment horizontal="left"/>
    </xf>
    <xf numFmtId="9" fontId="188" fillId="0" borderId="237" xfId="52" applyFont="1" applyFill="1" applyBorder="1" applyAlignment="1">
      <alignment horizontal="right"/>
    </xf>
    <xf numFmtId="41" fontId="201" fillId="0" borderId="237" xfId="0" applyNumberFormat="1" applyFont="1" applyFill="1" applyBorder="1" applyAlignment="1">
      <alignment horizontal="left"/>
    </xf>
    <xf numFmtId="41" fontId="206" fillId="64" borderId="237" xfId="0" applyNumberFormat="1" applyFont="1" applyFill="1" applyBorder="1" applyAlignment="1">
      <alignment horizontal="left"/>
    </xf>
    <xf numFmtId="37" fontId="242" fillId="0" borderId="237" xfId="20" applyNumberFormat="1" applyFont="1" applyFill="1" applyBorder="1" applyAlignment="1">
      <alignment horizontal="right"/>
    </xf>
    <xf numFmtId="9" fontId="242" fillId="0" borderId="237" xfId="52" applyFont="1" applyFill="1" applyBorder="1" applyAlignment="1">
      <alignment horizontal="right"/>
    </xf>
    <xf numFmtId="37" fontId="185" fillId="62" borderId="237" xfId="20" applyNumberFormat="1" applyFont="1" applyFill="1" applyBorder="1" applyAlignment="1">
      <alignment horizontal="right"/>
    </xf>
    <xf numFmtId="9" fontId="188" fillId="58" borderId="297" xfId="52" applyFont="1" applyFill="1" applyBorder="1" applyAlignment="1">
      <alignment horizontal="right"/>
    </xf>
    <xf numFmtId="166" fontId="268" fillId="0" borderId="0" xfId="52" applyNumberFormat="1" applyFont="1" applyFill="1" applyBorder="1" applyAlignment="1">
      <alignment horizontal="center"/>
    </xf>
    <xf numFmtId="166" fontId="270" fillId="0" borderId="237" xfId="52" applyNumberFormat="1" applyFont="1" applyFill="1" applyBorder="1" applyAlignment="1">
      <alignment horizontal="right"/>
    </xf>
    <xf numFmtId="41" fontId="201" fillId="0" borderId="237" xfId="0" applyNumberFormat="1" applyFont="1" applyFill="1" applyBorder="1" applyAlignment="1">
      <alignment horizontal="left" indent="1"/>
    </xf>
    <xf numFmtId="9" fontId="242" fillId="0" borderId="237" xfId="52" applyNumberFormat="1" applyFont="1" applyFill="1" applyBorder="1" applyAlignment="1">
      <alignment horizontal="right"/>
    </xf>
    <xf numFmtId="43" fontId="21" fillId="0" borderId="0" xfId="1391" applyNumberFormat="1" applyFont="1" applyFill="1" applyBorder="1" applyAlignment="1">
      <alignment vertical="center"/>
    </xf>
    <xf numFmtId="0" fontId="21" fillId="0" borderId="0" xfId="1391" applyFont="1" applyFill="1" applyBorder="1" applyAlignment="1">
      <alignment vertical="center"/>
    </xf>
    <xf numFmtId="9" fontId="188" fillId="0" borderId="237" xfId="52" applyNumberFormat="1" applyFont="1" applyFill="1" applyBorder="1" applyAlignment="1">
      <alignment horizontal="right"/>
    </xf>
    <xf numFmtId="9" fontId="188" fillId="0" borderId="237" xfId="20" applyNumberFormat="1" applyFont="1" applyFill="1" applyBorder="1" applyAlignment="1">
      <alignment horizontal="right"/>
    </xf>
    <xf numFmtId="0" fontId="52" fillId="0" borderId="0" xfId="0" applyFont="1" applyFill="1" applyBorder="1"/>
    <xf numFmtId="0" fontId="55" fillId="0" borderId="0" xfId="0" applyFont="1" applyFill="1" applyBorder="1" applyAlignment="1">
      <alignment horizontal="right"/>
    </xf>
    <xf numFmtId="37" fontId="14" fillId="0" borderId="0" xfId="1379" applyNumberFormat="1" applyFill="1" applyBorder="1"/>
    <xf numFmtId="0" fontId="14" fillId="0" borderId="0" xfId="1379" applyFill="1" applyBorder="1"/>
    <xf numFmtId="0" fontId="271" fillId="0" borderId="299" xfId="67" applyFont="1" applyFill="1" applyBorder="1" applyAlignment="1">
      <alignment horizontal="center" wrapText="1"/>
    </xf>
    <xf numFmtId="0" fontId="12" fillId="0" borderId="0" xfId="1379" applyFont="1"/>
    <xf numFmtId="0" fontId="269" fillId="62" borderId="0" xfId="1379" applyFont="1" applyFill="1"/>
    <xf numFmtId="0" fontId="12" fillId="0" borderId="0" xfId="1379" applyFont="1" applyAlignment="1">
      <alignment horizontal="left" indent="1"/>
    </xf>
    <xf numFmtId="0" fontId="273" fillId="0" borderId="0" xfId="1379" applyFont="1" applyAlignment="1">
      <alignment horizontal="left" indent="1"/>
    </xf>
    <xf numFmtId="0" fontId="273" fillId="0" borderId="0" xfId="1379" applyFont="1"/>
    <xf numFmtId="0" fontId="269" fillId="62" borderId="0" xfId="1379" quotePrefix="1" applyFont="1" applyFill="1" applyAlignment="1">
      <alignment horizontal="right"/>
    </xf>
    <xf numFmtId="37" fontId="14" fillId="0" borderId="0" xfId="1379" applyNumberFormat="1" applyAlignment="1">
      <alignment horizontal="right"/>
    </xf>
    <xf numFmtId="9" fontId="273" fillId="0" borderId="0" xfId="52" applyFont="1" applyAlignment="1">
      <alignment horizontal="right"/>
    </xf>
    <xf numFmtId="9" fontId="14" fillId="0" borderId="0" xfId="52" applyFont="1" applyAlignment="1">
      <alignment horizontal="right"/>
    </xf>
    <xf numFmtId="0" fontId="14" fillId="0" borderId="0" xfId="1379" applyAlignment="1">
      <alignment horizontal="right"/>
    </xf>
    <xf numFmtId="0" fontId="11" fillId="0" borderId="0" xfId="1379" applyFont="1"/>
    <xf numFmtId="0" fontId="11" fillId="0" borderId="0" xfId="1379" applyFont="1" applyAlignment="1">
      <alignment horizontal="left" indent="1"/>
    </xf>
    <xf numFmtId="0" fontId="17" fillId="0" borderId="0" xfId="0" applyFont="1" applyAlignment="1">
      <alignment horizontal="right"/>
    </xf>
    <xf numFmtId="9" fontId="242" fillId="51" borderId="237" xfId="52" applyFont="1" applyFill="1" applyBorder="1" applyAlignment="1">
      <alignment horizontal="right"/>
    </xf>
    <xf numFmtId="166" fontId="0" fillId="0" borderId="0" xfId="52" applyNumberFormat="1" applyFont="1"/>
    <xf numFmtId="165" fontId="0" fillId="0" borderId="0" xfId="0" applyNumberFormat="1"/>
    <xf numFmtId="37" fontId="269" fillId="62" borderId="306" xfId="1379" applyNumberFormat="1" applyFont="1" applyFill="1" applyBorder="1" applyAlignment="1">
      <alignment vertical="center"/>
    </xf>
    <xf numFmtId="0" fontId="269" fillId="0" borderId="266" xfId="1379" applyFont="1" applyBorder="1" applyAlignment="1">
      <alignment vertical="center"/>
    </xf>
    <xf numFmtId="37" fontId="269" fillId="0" borderId="266" xfId="1379" applyNumberFormat="1" applyFont="1" applyBorder="1" applyAlignment="1">
      <alignment vertical="center"/>
    </xf>
    <xf numFmtId="181" fontId="269" fillId="0" borderId="266" xfId="1379" applyNumberFormat="1" applyFont="1" applyBorder="1" applyAlignment="1">
      <alignment vertical="center"/>
    </xf>
    <xf numFmtId="41" fontId="52" fillId="0" borderId="0" xfId="41" applyNumberFormat="1" applyFont="1" applyFill="1"/>
    <xf numFmtId="41" fontId="253" fillId="0" borderId="0" xfId="0" applyNumberFormat="1" applyFont="1" applyFill="1" applyBorder="1" applyAlignment="1">
      <alignment vertical="center"/>
    </xf>
    <xf numFmtId="41" fontId="59" fillId="0" borderId="0" xfId="45" applyNumberFormat="1" applyFont="1" applyBorder="1"/>
    <xf numFmtId="41" fontId="185" fillId="0" borderId="0" xfId="41" applyNumberFormat="1" applyFont="1" applyFill="1" applyBorder="1" applyProtection="1">
      <protection locked="0"/>
    </xf>
    <xf numFmtId="41" fontId="186" fillId="0" borderId="0" xfId="41" applyNumberFormat="1" applyFont="1" applyFill="1"/>
    <xf numFmtId="41" fontId="184" fillId="0" borderId="0" xfId="41" applyNumberFormat="1" applyFont="1" applyFill="1"/>
    <xf numFmtId="41" fontId="186" fillId="0" borderId="0" xfId="41" applyNumberFormat="1" applyFont="1" applyFill="1" applyAlignment="1">
      <alignment horizontal="left"/>
    </xf>
    <xf numFmtId="41" fontId="184" fillId="0" borderId="0" xfId="41" applyNumberFormat="1" applyFont="1" applyFill="1" applyAlignment="1">
      <alignment horizontal="left" indent="1"/>
    </xf>
    <xf numFmtId="41" fontId="56" fillId="0" borderId="0" xfId="41" applyNumberFormat="1" applyFont="1" applyFill="1" applyBorder="1" applyAlignment="1">
      <alignment horizontal="left" indent="1"/>
    </xf>
    <xf numFmtId="41" fontId="56" fillId="0" borderId="0" xfId="41" applyNumberFormat="1" applyFont="1" applyFill="1" applyAlignment="1">
      <alignment horizontal="left" indent="1"/>
    </xf>
    <xf numFmtId="41" fontId="186" fillId="0" borderId="266" xfId="41" applyNumberFormat="1" applyFont="1" applyFill="1" applyBorder="1" applyAlignment="1">
      <alignment horizontal="left"/>
    </xf>
    <xf numFmtId="41" fontId="56" fillId="0" borderId="0" xfId="39" applyNumberFormat="1" applyFont="1" applyBorder="1"/>
    <xf numFmtId="41" fontId="56" fillId="0" borderId="0" xfId="41" applyNumberFormat="1" applyFont="1" applyFill="1"/>
    <xf numFmtId="41" fontId="188" fillId="0" borderId="283" xfId="41" applyNumberFormat="1" applyFont="1" applyFill="1" applyBorder="1"/>
    <xf numFmtId="41" fontId="185" fillId="50" borderId="0" xfId="41" applyNumberFormat="1" applyFont="1" applyFill="1"/>
    <xf numFmtId="41" fontId="56" fillId="0" borderId="273" xfId="41" applyNumberFormat="1" applyFont="1" applyFill="1" applyBorder="1"/>
    <xf numFmtId="41" fontId="188" fillId="0" borderId="255" xfId="0" applyNumberFormat="1" applyFont="1" applyFill="1" applyBorder="1"/>
    <xf numFmtId="41" fontId="56" fillId="0" borderId="236" xfId="0" applyNumberFormat="1" applyFont="1" applyFill="1" applyBorder="1"/>
    <xf numFmtId="41" fontId="56" fillId="0" borderId="236" xfId="0" applyNumberFormat="1" applyFont="1" applyBorder="1"/>
    <xf numFmtId="41" fontId="188" fillId="0" borderId="236" xfId="0" applyNumberFormat="1" applyFont="1" applyBorder="1"/>
    <xf numFmtId="41" fontId="56" fillId="0" borderId="236" xfId="52" applyNumberFormat="1" applyFont="1" applyFill="1" applyBorder="1"/>
    <xf numFmtId="41" fontId="56" fillId="0" borderId="236" xfId="41" applyNumberFormat="1" applyFont="1" applyFill="1" applyBorder="1"/>
    <xf numFmtId="41" fontId="56" fillId="0" borderId="127" xfId="41" applyNumberFormat="1" applyFont="1" applyFill="1" applyBorder="1"/>
    <xf numFmtId="41" fontId="188" fillId="0" borderId="255" xfId="0" applyNumberFormat="1" applyFont="1" applyBorder="1"/>
    <xf numFmtId="41" fontId="56" fillId="0" borderId="284" xfId="41" applyNumberFormat="1" applyFont="1" applyFill="1" applyBorder="1"/>
    <xf numFmtId="0" fontId="56" fillId="0" borderId="266" xfId="0" applyFont="1" applyFill="1" applyBorder="1"/>
    <xf numFmtId="10" fontId="213" fillId="0" borderId="0" xfId="0" applyNumberFormat="1" applyFont="1" applyFill="1" applyBorder="1"/>
    <xf numFmtId="39" fontId="213" fillId="0" borderId="0" xfId="0" applyNumberFormat="1" applyFont="1" applyFill="1" applyBorder="1"/>
    <xf numFmtId="10" fontId="213" fillId="0" borderId="0" xfId="0" applyNumberFormat="1" applyFont="1" applyBorder="1"/>
    <xf numFmtId="5" fontId="213" fillId="0" borderId="0" xfId="41" applyNumberFormat="1" applyFont="1" applyFill="1" applyBorder="1"/>
    <xf numFmtId="5" fontId="56" fillId="0" borderId="0" xfId="41" applyNumberFormat="1" applyFont="1" applyFill="1" applyBorder="1"/>
    <xf numFmtId="5" fontId="56" fillId="0" borderId="208" xfId="41" applyNumberFormat="1" applyFont="1" applyFill="1" applyBorder="1"/>
    <xf numFmtId="166" fontId="189" fillId="0" borderId="0" xfId="0" applyNumberFormat="1" applyFont="1" applyBorder="1"/>
    <xf numFmtId="166" fontId="189" fillId="0" borderId="0" xfId="41" applyNumberFormat="1" applyFont="1" applyFill="1" applyBorder="1"/>
    <xf numFmtId="181" fontId="56" fillId="0" borderId="299" xfId="41" applyNumberFormat="1" applyFont="1" applyFill="1" applyBorder="1"/>
    <xf numFmtId="9" fontId="242" fillId="62" borderId="237" xfId="52" applyFont="1" applyFill="1" applyBorder="1" applyAlignment="1">
      <alignment horizontal="right"/>
    </xf>
    <xf numFmtId="9" fontId="242" fillId="62" borderId="237" xfId="52" applyNumberFormat="1" applyFont="1" applyFill="1" applyBorder="1" applyAlignment="1">
      <alignment horizontal="right"/>
    </xf>
    <xf numFmtId="41" fontId="188" fillId="51" borderId="237" xfId="0" applyNumberFormat="1" applyFont="1" applyFill="1" applyBorder="1" applyAlignment="1">
      <alignment horizontal="left" indent="1"/>
    </xf>
    <xf numFmtId="9" fontId="188" fillId="62" borderId="237" xfId="52" applyFont="1" applyFill="1" applyBorder="1" applyAlignment="1">
      <alignment horizontal="right"/>
    </xf>
    <xf numFmtId="37" fontId="56" fillId="51" borderId="65" xfId="0" applyNumberFormat="1" applyFont="1" applyFill="1" applyBorder="1" applyAlignment="1">
      <alignment horizontal="right"/>
    </xf>
    <xf numFmtId="1" fontId="57" fillId="0" borderId="0" xfId="10" applyNumberFormat="1" applyFont="1" applyFill="1" applyBorder="1" applyAlignment="1">
      <alignment horizontal="right"/>
    </xf>
    <xf numFmtId="37" fontId="187" fillId="0" borderId="237" xfId="0" applyNumberFormat="1" applyFont="1" applyFill="1" applyBorder="1"/>
    <xf numFmtId="0" fontId="10" fillId="0" borderId="0" xfId="1379" applyFont="1" applyFill="1" applyBorder="1"/>
    <xf numFmtId="43" fontId="17" fillId="0" borderId="0" xfId="0" applyNumberFormat="1" applyFont="1" applyBorder="1" applyAlignment="1">
      <alignment horizontal="left"/>
    </xf>
    <xf numFmtId="43" fontId="274" fillId="0" borderId="0" xfId="0" applyNumberFormat="1" applyFont="1" applyFill="1" applyBorder="1" applyAlignment="1">
      <alignment vertical="center"/>
    </xf>
    <xf numFmtId="0" fontId="275" fillId="0" borderId="0" xfId="0" applyFont="1" applyAlignment="1">
      <alignment horizontal="right"/>
    </xf>
    <xf numFmtId="43" fontId="276" fillId="0" borderId="0" xfId="0" applyNumberFormat="1" applyFont="1" applyFill="1" applyBorder="1" applyAlignment="1">
      <alignment horizontal="left"/>
    </xf>
    <xf numFmtId="0" fontId="277" fillId="0" borderId="0" xfId="0" applyFont="1" applyFill="1" applyBorder="1" applyAlignment="1">
      <alignment horizontal="right"/>
    </xf>
    <xf numFmtId="41" fontId="32" fillId="0" borderId="0" xfId="0" applyNumberFormat="1" applyFont="1" applyFill="1" applyBorder="1" applyAlignment="1">
      <alignment horizontal="left"/>
    </xf>
    <xf numFmtId="43" fontId="29" fillId="0" borderId="0" xfId="0" applyNumberFormat="1" applyFont="1" applyBorder="1" applyAlignment="1">
      <alignment horizontal="left"/>
    </xf>
    <xf numFmtId="0" fontId="10" fillId="0" borderId="0" xfId="1379" applyFont="1" applyAlignment="1">
      <alignment vertical="center"/>
    </xf>
    <xf numFmtId="37" fontId="10" fillId="0" borderId="0" xfId="1379" applyNumberFormat="1" applyFont="1" applyAlignment="1">
      <alignment vertical="center"/>
    </xf>
    <xf numFmtId="43" fontId="17" fillId="0" borderId="0" xfId="1391" quotePrefix="1" applyNumberFormat="1" applyFont="1" applyFill="1" applyBorder="1" applyAlignment="1">
      <alignment horizontal="left" vertical="center"/>
    </xf>
    <xf numFmtId="37" fontId="17" fillId="0" borderId="0" xfId="1391" applyNumberFormat="1" applyFont="1" applyFill="1" applyBorder="1" applyAlignment="1">
      <alignment vertical="center"/>
    </xf>
    <xf numFmtId="37" fontId="17" fillId="0" borderId="0" xfId="70" applyNumberFormat="1" applyFont="1" applyFill="1" applyBorder="1" applyAlignment="1">
      <alignment vertical="center"/>
    </xf>
    <xf numFmtId="166" fontId="22" fillId="0" borderId="0" xfId="129" applyNumberFormat="1" applyFont="1" applyFill="1" applyBorder="1" applyAlignment="1">
      <alignment vertical="center"/>
    </xf>
    <xf numFmtId="0" fontId="17" fillId="0" borderId="0" xfId="1391" applyFont="1" applyFill="1" applyBorder="1" applyAlignment="1">
      <alignment horizontal="left" vertical="center"/>
    </xf>
    <xf numFmtId="43" fontId="21" fillId="0" borderId="266" xfId="1391" applyNumberFormat="1" applyFont="1" applyFill="1" applyBorder="1" applyAlignment="1">
      <alignment horizontal="left" vertical="center"/>
    </xf>
    <xf numFmtId="0" fontId="21" fillId="0" borderId="266" xfId="1391" applyFont="1" applyFill="1" applyBorder="1" applyAlignment="1">
      <alignment vertical="center"/>
    </xf>
    <xf numFmtId="0" fontId="21" fillId="0" borderId="266" xfId="1391" applyFont="1" applyFill="1" applyBorder="1" applyAlignment="1">
      <alignment horizontal="left" vertical="center"/>
    </xf>
    <xf numFmtId="5" fontId="21" fillId="0" borderId="266" xfId="1391" applyNumberFormat="1" applyFont="1" applyFill="1" applyBorder="1" applyAlignment="1">
      <alignment vertical="center"/>
    </xf>
    <xf numFmtId="43" fontId="17" fillId="0" borderId="0" xfId="1391" applyNumberFormat="1" applyFont="1" applyFill="1" applyBorder="1" applyAlignment="1">
      <alignment vertical="center"/>
    </xf>
    <xf numFmtId="166" fontId="17" fillId="0" borderId="0" xfId="129" applyNumberFormat="1" applyFont="1" applyFill="1" applyBorder="1" applyAlignment="1">
      <alignment vertical="center"/>
    </xf>
    <xf numFmtId="0" fontId="17" fillId="0" borderId="0" xfId="1391" applyFont="1" applyFill="1" applyBorder="1" applyAlignment="1">
      <alignment vertical="center"/>
    </xf>
    <xf numFmtId="43" fontId="21" fillId="0" borderId="306" xfId="1391" applyNumberFormat="1" applyFont="1" applyFill="1" applyBorder="1" applyAlignment="1">
      <alignment vertical="center"/>
    </xf>
    <xf numFmtId="0" fontId="17" fillId="0" borderId="3" xfId="1391" applyFont="1" applyFill="1" applyBorder="1" applyAlignment="1">
      <alignment vertical="center"/>
    </xf>
    <xf numFmtId="43" fontId="21" fillId="62" borderId="0" xfId="67" applyNumberFormat="1" applyFont="1" applyFill="1" applyBorder="1" applyAlignment="1">
      <alignment vertical="center"/>
    </xf>
    <xf numFmtId="0" fontId="21" fillId="62" borderId="0" xfId="67" applyFont="1" applyFill="1" applyBorder="1" applyAlignment="1">
      <alignment vertical="center"/>
    </xf>
    <xf numFmtId="0" fontId="21" fillId="62" borderId="0" xfId="67" quotePrefix="1" applyFont="1" applyFill="1" applyBorder="1" applyAlignment="1">
      <alignment horizontal="center" vertical="center"/>
    </xf>
    <xf numFmtId="0" fontId="21" fillId="62" borderId="0" xfId="67" applyFont="1" applyFill="1" applyBorder="1" applyAlignment="1">
      <alignment horizontal="center" vertical="center"/>
    </xf>
    <xf numFmtId="43" fontId="21" fillId="62" borderId="299" xfId="67" applyNumberFormat="1" applyFont="1" applyFill="1" applyBorder="1" applyAlignment="1">
      <alignment vertical="center"/>
    </xf>
    <xf numFmtId="0" fontId="21" fillId="62" borderId="299" xfId="67" applyFont="1" applyFill="1" applyBorder="1" applyAlignment="1">
      <alignment vertical="center"/>
    </xf>
    <xf numFmtId="0" fontId="21" fillId="62" borderId="299" xfId="67" quotePrefix="1" applyFont="1" applyFill="1" applyBorder="1" applyAlignment="1">
      <alignment horizontal="center" vertical="center"/>
    </xf>
    <xf numFmtId="0" fontId="21" fillId="62" borderId="299" xfId="67" applyFont="1" applyFill="1" applyBorder="1" applyAlignment="1">
      <alignment horizontal="center" vertical="center"/>
    </xf>
    <xf numFmtId="0" fontId="14" fillId="0" borderId="0" xfId="1379" applyNumberFormat="1" applyFill="1" applyBorder="1"/>
    <xf numFmtId="0" fontId="21" fillId="0" borderId="0" xfId="1391" applyNumberFormat="1" applyFont="1" applyFill="1" applyBorder="1" applyAlignment="1">
      <alignment vertical="center"/>
    </xf>
    <xf numFmtId="0" fontId="17" fillId="0" borderId="0" xfId="70" applyNumberFormat="1" applyFont="1" applyFill="1" applyBorder="1" applyAlignment="1">
      <alignment horizontal="left"/>
    </xf>
    <xf numFmtId="0" fontId="10" fillId="0" borderId="0" xfId="1379" applyNumberFormat="1" applyFont="1" applyFill="1" applyBorder="1"/>
    <xf numFmtId="0" fontId="17" fillId="0" borderId="0" xfId="1391" applyNumberFormat="1" applyFont="1" applyFill="1" applyBorder="1" applyAlignment="1">
      <alignment vertical="center"/>
    </xf>
    <xf numFmtId="0" fontId="14" fillId="0" borderId="0" xfId="1379" applyNumberFormat="1"/>
    <xf numFmtId="0" fontId="0" fillId="0" borderId="0" xfId="0" applyNumberFormat="1"/>
    <xf numFmtId="0" fontId="0" fillId="0" borderId="0" xfId="1380" applyNumberFormat="1" applyFont="1"/>
    <xf numFmtId="0" fontId="272" fillId="0" borderId="0" xfId="1391" applyNumberFormat="1" applyFont="1" applyFill="1" applyBorder="1"/>
    <xf numFmtId="0" fontId="54" fillId="0" borderId="0" xfId="129" applyNumberFormat="1" applyFont="1" applyFill="1" applyBorder="1"/>
    <xf numFmtId="0" fontId="54" fillId="0" borderId="0" xfId="545" applyNumberFormat="1" applyFont="1" applyFill="1" applyBorder="1"/>
    <xf numFmtId="5" fontId="21" fillId="0" borderId="307" xfId="545" applyNumberFormat="1" applyFont="1" applyFill="1" applyBorder="1" applyAlignment="1">
      <alignment vertical="center"/>
    </xf>
    <xf numFmtId="37" fontId="10" fillId="0" borderId="0" xfId="1379" applyNumberFormat="1" applyFont="1" applyAlignment="1">
      <alignment horizontal="right" vertical="center"/>
    </xf>
    <xf numFmtId="37" fontId="235" fillId="0" borderId="0" xfId="1379" applyNumberFormat="1" applyFont="1" applyAlignment="1">
      <alignment horizontal="right" vertical="center"/>
    </xf>
    <xf numFmtId="37" fontId="269" fillId="0" borderId="266" xfId="1379" applyNumberFormat="1" applyFont="1" applyBorder="1" applyAlignment="1">
      <alignment horizontal="right" vertical="center"/>
    </xf>
    <xf numFmtId="37" fontId="21" fillId="0" borderId="0" xfId="1391" applyNumberFormat="1" applyFont="1" applyFill="1" applyBorder="1" applyAlignment="1">
      <alignment horizontal="right" vertical="center"/>
    </xf>
    <xf numFmtId="37" fontId="17" fillId="0" borderId="0" xfId="70" applyNumberFormat="1" applyFont="1" applyFill="1" applyAlignment="1">
      <alignment horizontal="right" vertical="center"/>
    </xf>
    <xf numFmtId="37" fontId="21" fillId="0" borderId="266" xfId="1391" applyNumberFormat="1" applyFont="1" applyFill="1" applyBorder="1" applyAlignment="1">
      <alignment horizontal="right" vertical="center"/>
    </xf>
    <xf numFmtId="37" fontId="17" fillId="0" borderId="0" xfId="129" applyNumberFormat="1" applyFont="1" applyFill="1" applyBorder="1" applyAlignment="1">
      <alignment horizontal="right" vertical="center"/>
    </xf>
    <xf numFmtId="37" fontId="17" fillId="0" borderId="0" xfId="1391" applyNumberFormat="1" applyFont="1" applyFill="1" applyBorder="1" applyAlignment="1">
      <alignment horizontal="right" vertical="center"/>
    </xf>
    <xf numFmtId="9" fontId="0" fillId="0" borderId="0" xfId="0" applyNumberFormat="1"/>
    <xf numFmtId="9" fontId="14" fillId="0" borderId="0" xfId="1379" applyNumberFormat="1" applyFill="1" applyBorder="1"/>
    <xf numFmtId="9" fontId="14" fillId="0" borderId="0" xfId="52" applyNumberFormat="1" applyFont="1" applyAlignment="1">
      <alignment horizontal="right"/>
    </xf>
    <xf numFmtId="0" fontId="271" fillId="0" borderId="0" xfId="67" applyFont="1" applyFill="1" applyBorder="1" applyAlignment="1">
      <alignment horizontal="center"/>
    </xf>
    <xf numFmtId="9" fontId="188" fillId="62" borderId="237" xfId="52" applyNumberFormat="1" applyFont="1" applyFill="1" applyBorder="1" applyAlignment="1">
      <alignment horizontal="right"/>
    </xf>
    <xf numFmtId="1" fontId="14" fillId="0" borderId="0" xfId="1379" applyNumberFormat="1" applyFill="1" applyBorder="1"/>
    <xf numFmtId="0" fontId="14" fillId="0" borderId="266" xfId="1379" applyBorder="1"/>
    <xf numFmtId="0" fontId="14" fillId="0" borderId="17" xfId="1379" applyBorder="1"/>
    <xf numFmtId="0" fontId="14" fillId="0" borderId="138" xfId="1379" applyBorder="1"/>
    <xf numFmtId="0" fontId="14" fillId="0" borderId="299" xfId="1379" applyBorder="1"/>
    <xf numFmtId="313" fontId="56" fillId="0" borderId="0" xfId="0" applyNumberFormat="1" applyFont="1" applyFill="1" applyBorder="1" applyAlignment="1">
      <alignment horizontal="right"/>
    </xf>
    <xf numFmtId="313" fontId="56" fillId="0" borderId="0" xfId="0" applyNumberFormat="1" applyFont="1" applyBorder="1" applyAlignment="1">
      <alignment horizontal="right"/>
    </xf>
    <xf numFmtId="0" fontId="8" fillId="0" borderId="0" xfId="1379" applyFont="1" applyFill="1" applyBorder="1" applyAlignment="1">
      <alignment horizontal="right"/>
    </xf>
    <xf numFmtId="168" fontId="277" fillId="0" borderId="0" xfId="0" applyNumberFormat="1" applyFont="1" applyFill="1" applyBorder="1" applyAlignment="1">
      <alignment horizontal="right"/>
    </xf>
    <xf numFmtId="194" fontId="56" fillId="51" borderId="12" xfId="0" applyNumberFormat="1" applyFont="1" applyFill="1" applyBorder="1" applyAlignment="1">
      <alignment horizontal="right"/>
    </xf>
    <xf numFmtId="165" fontId="218" fillId="0" borderId="299" xfId="0" applyNumberFormat="1" applyFont="1" applyBorder="1" applyAlignment="1">
      <alignment horizontal="right"/>
    </xf>
    <xf numFmtId="166" fontId="186" fillId="67" borderId="208" xfId="129" applyNumberFormat="1" applyFont="1" applyFill="1" applyBorder="1" applyAlignment="1">
      <alignment horizontal="right"/>
    </xf>
    <xf numFmtId="37" fontId="56" fillId="0" borderId="299" xfId="67" applyNumberFormat="1" applyFont="1" applyBorder="1"/>
    <xf numFmtId="9" fontId="52" fillId="0" borderId="0" xfId="52" applyFont="1" applyFill="1" applyBorder="1" applyAlignment="1">
      <alignment horizontal="right"/>
    </xf>
    <xf numFmtId="0" fontId="7" fillId="0" borderId="255" xfId="1379" applyFont="1" applyBorder="1" applyAlignment="1">
      <alignment horizontal="left"/>
    </xf>
    <xf numFmtId="0" fontId="14" fillId="0" borderId="286" xfId="1379" applyBorder="1" applyAlignment="1">
      <alignment horizontal="left"/>
    </xf>
    <xf numFmtId="0" fontId="10" fillId="0" borderId="255" xfId="1379" applyFont="1" applyBorder="1" applyAlignment="1">
      <alignment vertical="center"/>
    </xf>
    <xf numFmtId="0" fontId="14" fillId="0" borderId="308" xfId="1379" applyBorder="1"/>
    <xf numFmtId="0" fontId="10" fillId="0" borderId="17" xfId="1379" applyFont="1" applyBorder="1" applyAlignment="1">
      <alignment vertical="center"/>
    </xf>
    <xf numFmtId="0" fontId="14" fillId="0" borderId="208" xfId="1379" applyBorder="1"/>
    <xf numFmtId="0" fontId="9" fillId="0" borderId="17" xfId="1379" applyFont="1" applyBorder="1"/>
    <xf numFmtId="318" fontId="14" fillId="0" borderId="255" xfId="1379" applyNumberFormat="1" applyFill="1" applyBorder="1"/>
    <xf numFmtId="318" fontId="14" fillId="0" borderId="286" xfId="1379" applyNumberFormat="1" applyFill="1" applyBorder="1"/>
    <xf numFmtId="316" fontId="14" fillId="0" borderId="308" xfId="52" applyNumberFormat="1" applyFont="1" applyFill="1" applyBorder="1" applyAlignment="1">
      <alignment horizontal="center"/>
    </xf>
    <xf numFmtId="316" fontId="14" fillId="0" borderId="301" xfId="52" applyNumberFormat="1" applyFont="1" applyFill="1" applyBorder="1" applyAlignment="1">
      <alignment horizontal="center"/>
    </xf>
    <xf numFmtId="317" fontId="14" fillId="0" borderId="308" xfId="52" applyNumberFormat="1" applyFont="1" applyFill="1" applyBorder="1" applyAlignment="1">
      <alignment horizontal="center"/>
    </xf>
    <xf numFmtId="317" fontId="14" fillId="0" borderId="301" xfId="52" applyNumberFormat="1" applyFont="1" applyFill="1" applyBorder="1" applyAlignment="1">
      <alignment horizontal="center"/>
    </xf>
    <xf numFmtId="318" fontId="14" fillId="0" borderId="255" xfId="1379" applyNumberFormat="1" applyFill="1" applyBorder="1" applyAlignment="1">
      <alignment horizontal="center"/>
    </xf>
    <xf numFmtId="318" fontId="14" fillId="0" borderId="286" xfId="1379" applyNumberFormat="1" applyFill="1" applyBorder="1" applyAlignment="1">
      <alignment horizontal="center"/>
    </xf>
    <xf numFmtId="9" fontId="56" fillId="0" borderId="237" xfId="52" applyFont="1" applyFill="1" applyBorder="1"/>
    <xf numFmtId="9" fontId="56" fillId="0" borderId="14" xfId="52" applyFont="1" applyFill="1" applyBorder="1"/>
    <xf numFmtId="43" fontId="56" fillId="0" borderId="299" xfId="39" applyNumberFormat="1" applyFont="1" applyFill="1" applyBorder="1"/>
    <xf numFmtId="37" fontId="187" fillId="0" borderId="300" xfId="0" applyNumberFormat="1" applyFont="1" applyFill="1" applyBorder="1"/>
    <xf numFmtId="37" fontId="187" fillId="0" borderId="299" xfId="0" applyNumberFormat="1" applyFont="1" applyFill="1" applyBorder="1"/>
    <xf numFmtId="37" fontId="187" fillId="0" borderId="299" xfId="0" applyNumberFormat="1" applyFont="1" applyFill="1" applyBorder="1" applyAlignment="1">
      <alignment horizontal="right"/>
    </xf>
    <xf numFmtId="37" fontId="56" fillId="0" borderId="300" xfId="0" applyNumberFormat="1" applyFont="1" applyFill="1" applyBorder="1"/>
    <xf numFmtId="37" fontId="56" fillId="0" borderId="301" xfId="0" applyNumberFormat="1" applyFont="1" applyFill="1" applyBorder="1"/>
    <xf numFmtId="0" fontId="185" fillId="0" borderId="299" xfId="0" applyFont="1" applyFill="1" applyBorder="1" applyAlignment="1">
      <alignment horizontal="center"/>
    </xf>
    <xf numFmtId="37" fontId="56" fillId="0" borderId="299" xfId="10" applyNumberFormat="1" applyFont="1" applyBorder="1" applyAlignment="1">
      <alignment horizontal="right"/>
    </xf>
    <xf numFmtId="171" fontId="56" fillId="0" borderId="299" xfId="52" applyNumberFormat="1" applyFont="1" applyBorder="1" applyAlignment="1">
      <alignment horizontal="right"/>
    </xf>
    <xf numFmtId="171" fontId="56" fillId="0" borderId="301" xfId="52" applyNumberFormat="1" applyFont="1" applyBorder="1" applyAlignment="1">
      <alignment horizontal="right"/>
    </xf>
    <xf numFmtId="5" fontId="56" fillId="0" borderId="237" xfId="0" applyNumberFormat="1" applyFont="1" applyFill="1" applyBorder="1"/>
    <xf numFmtId="0" fontId="56" fillId="0" borderId="297" xfId="0" applyFont="1" applyBorder="1" applyAlignment="1">
      <alignment horizontal="right"/>
    </xf>
    <xf numFmtId="165" fontId="56" fillId="0" borderId="237" xfId="39" applyNumberFormat="1" applyFont="1" applyFill="1" applyBorder="1" applyAlignment="1">
      <alignment horizontal="right"/>
    </xf>
    <xf numFmtId="177" fontId="56" fillId="0" borderId="309" xfId="10" applyNumberFormat="1" applyFont="1" applyFill="1" applyBorder="1" applyAlignment="1">
      <alignment horizontal="right"/>
    </xf>
    <xf numFmtId="165" fontId="188" fillId="0" borderId="310" xfId="0" applyNumberFormat="1" applyFont="1" applyFill="1" applyBorder="1" applyAlignment="1">
      <alignment horizontal="right"/>
    </xf>
    <xf numFmtId="171" fontId="56" fillId="0" borderId="237" xfId="0" applyNumberFormat="1" applyFont="1" applyFill="1" applyBorder="1" applyAlignment="1">
      <alignment horizontal="right"/>
    </xf>
    <xf numFmtId="166" fontId="56" fillId="0" borderId="300" xfId="0" applyNumberFormat="1" applyFont="1" applyFill="1" applyBorder="1" applyAlignment="1">
      <alignment horizontal="right"/>
    </xf>
    <xf numFmtId="37" fontId="56" fillId="0" borderId="237" xfId="0" applyNumberFormat="1" applyFont="1" applyFill="1" applyBorder="1" applyAlignment="1">
      <alignment horizontal="right"/>
    </xf>
    <xf numFmtId="200" fontId="189" fillId="51" borderId="0" xfId="52" applyNumberFormat="1" applyFont="1" applyFill="1" applyBorder="1" applyAlignment="1">
      <alignment horizontal="right"/>
    </xf>
    <xf numFmtId="200" fontId="261" fillId="51" borderId="106" xfId="52" applyNumberFormat="1" applyFont="1" applyFill="1" applyBorder="1" applyAlignment="1">
      <alignment horizontal="right"/>
    </xf>
    <xf numFmtId="37" fontId="56" fillId="51" borderId="0" xfId="0" applyNumberFormat="1" applyFont="1" applyFill="1" applyBorder="1" applyAlignment="1">
      <alignment horizontal="right"/>
    </xf>
    <xf numFmtId="37" fontId="261" fillId="51" borderId="106" xfId="0" applyNumberFormat="1" applyFont="1" applyFill="1" applyBorder="1" applyAlignment="1">
      <alignment horizontal="right"/>
    </xf>
    <xf numFmtId="9" fontId="195" fillId="0" borderId="0" xfId="52" applyFont="1" applyFill="1" applyBorder="1"/>
    <xf numFmtId="166" fontId="270" fillId="0" borderId="106" xfId="52" applyNumberFormat="1" applyFont="1" applyFill="1" applyBorder="1"/>
    <xf numFmtId="37" fontId="189" fillId="0" borderId="139" xfId="52" applyNumberFormat="1" applyFont="1" applyFill="1" applyBorder="1" applyAlignment="1">
      <alignment horizontal="right"/>
    </xf>
    <xf numFmtId="37" fontId="189" fillId="0" borderId="266" xfId="52" applyNumberFormat="1" applyFont="1" applyFill="1" applyBorder="1" applyAlignment="1">
      <alignment horizontal="right"/>
    </xf>
    <xf numFmtId="165" fontId="56" fillId="0" borderId="235" xfId="46" applyNumberFormat="1" applyFont="1" applyBorder="1"/>
    <xf numFmtId="37" fontId="56" fillId="0" borderId="157" xfId="0" applyNumberFormat="1" applyFont="1" applyBorder="1" applyAlignment="1">
      <alignment horizontal="right"/>
    </xf>
    <xf numFmtId="37" fontId="261" fillId="0" borderId="157" xfId="0" applyNumberFormat="1" applyFont="1" applyBorder="1" applyAlignment="1">
      <alignment horizontal="right"/>
    </xf>
    <xf numFmtId="43" fontId="56" fillId="0" borderId="235" xfId="10" applyFont="1" applyFill="1" applyBorder="1"/>
    <xf numFmtId="166" fontId="189" fillId="0" borderId="157" xfId="52" applyNumberFormat="1" applyFont="1" applyFill="1" applyBorder="1" applyAlignment="1">
      <alignment horizontal="right"/>
    </xf>
    <xf numFmtId="166" fontId="261" fillId="0" borderId="157" xfId="52" applyNumberFormat="1" applyFont="1" applyFill="1" applyBorder="1" applyAlignment="1">
      <alignment horizontal="right"/>
    </xf>
    <xf numFmtId="170" fontId="188" fillId="0" borderId="0" xfId="20" applyNumberFormat="1" applyFont="1" applyFill="1" applyBorder="1" applyAlignment="1">
      <alignment horizontal="center"/>
    </xf>
    <xf numFmtId="9" fontId="188" fillId="0" borderId="0" xfId="52" applyFont="1" applyFill="1" applyBorder="1" applyAlignment="1">
      <alignment horizontal="center"/>
    </xf>
    <xf numFmtId="37" fontId="188" fillId="0" borderId="0" xfId="20" applyNumberFormat="1" applyFont="1" applyFill="1" applyBorder="1" applyAlignment="1">
      <alignment horizontal="center"/>
    </xf>
    <xf numFmtId="166" fontId="201" fillId="0" borderId="0" xfId="52" applyNumberFormat="1" applyFont="1" applyFill="1" applyBorder="1" applyAlignment="1">
      <alignment horizontal="center"/>
    </xf>
    <xf numFmtId="9" fontId="188" fillId="0" borderId="0" xfId="52" applyNumberFormat="1" applyFont="1" applyFill="1" applyBorder="1" applyAlignment="1">
      <alignment horizontal="center"/>
    </xf>
    <xf numFmtId="9" fontId="242" fillId="0" borderId="0" xfId="52" applyNumberFormat="1" applyFont="1" applyFill="1" applyBorder="1" applyAlignment="1">
      <alignment horizontal="center"/>
    </xf>
    <xf numFmtId="9" fontId="188" fillId="0" borderId="0" xfId="20" applyNumberFormat="1" applyFont="1" applyFill="1" applyBorder="1" applyAlignment="1">
      <alignment horizontal="center"/>
    </xf>
    <xf numFmtId="37" fontId="242" fillId="0" borderId="0" xfId="20" applyNumberFormat="1" applyFont="1" applyFill="1" applyBorder="1" applyAlignment="1">
      <alignment horizontal="center"/>
    </xf>
    <xf numFmtId="166" fontId="270" fillId="0" borderId="0" xfId="52" applyNumberFormat="1" applyFont="1" applyFill="1" applyBorder="1" applyAlignment="1">
      <alignment horizontal="center"/>
    </xf>
    <xf numFmtId="9" fontId="242" fillId="0" borderId="0" xfId="52" applyFont="1" applyFill="1" applyBorder="1" applyAlignment="1">
      <alignment horizontal="center"/>
    </xf>
    <xf numFmtId="7" fontId="188" fillId="0" borderId="0" xfId="20" applyNumberFormat="1" applyFont="1" applyFill="1" applyBorder="1" applyAlignment="1">
      <alignment horizontal="center"/>
    </xf>
    <xf numFmtId="37" fontId="185" fillId="0" borderId="0" xfId="20" applyNumberFormat="1" applyFont="1" applyFill="1" applyBorder="1" applyAlignment="1">
      <alignment horizontal="center"/>
    </xf>
    <xf numFmtId="0" fontId="0" fillId="0" borderId="0" xfId="0" applyFill="1" applyBorder="1" applyAlignment="1">
      <alignment horizontal="center"/>
    </xf>
    <xf numFmtId="9" fontId="188" fillId="64" borderId="237" xfId="52" applyFont="1" applyFill="1" applyBorder="1" applyAlignment="1">
      <alignment horizontal="right"/>
    </xf>
    <xf numFmtId="165" fontId="188" fillId="0" borderId="237" xfId="20" applyNumberFormat="1" applyFont="1" applyFill="1" applyBorder="1" applyAlignment="1">
      <alignment horizontal="right"/>
    </xf>
    <xf numFmtId="41" fontId="188" fillId="0" borderId="237" xfId="0" applyNumberFormat="1" applyFont="1" applyFill="1" applyBorder="1" applyAlignment="1">
      <alignment horizontal="left" indent="2"/>
    </xf>
    <xf numFmtId="37" fontId="187" fillId="0" borderId="0" xfId="52" applyNumberFormat="1" applyFont="1" applyFill="1" applyBorder="1" applyAlignment="1">
      <alignment horizontal="right"/>
    </xf>
    <xf numFmtId="37" fontId="213" fillId="0" borderId="0" xfId="52" applyNumberFormat="1" applyFont="1" applyFill="1" applyBorder="1" applyAlignment="1">
      <alignment horizontal="right"/>
    </xf>
    <xf numFmtId="41" fontId="201" fillId="51" borderId="237" xfId="0" applyNumberFormat="1" applyFont="1" applyFill="1" applyBorder="1" applyAlignment="1">
      <alignment horizontal="left" indent="2"/>
    </xf>
    <xf numFmtId="166" fontId="201" fillId="51" borderId="237" xfId="52" applyNumberFormat="1" applyFont="1" applyFill="1" applyBorder="1" applyAlignment="1">
      <alignment horizontal="right"/>
    </xf>
    <xf numFmtId="166" fontId="242" fillId="62" borderId="237" xfId="52" applyNumberFormat="1" applyFont="1" applyFill="1" applyBorder="1" applyAlignment="1">
      <alignment horizontal="right"/>
    </xf>
    <xf numFmtId="0" fontId="188" fillId="0" borderId="311" xfId="0" applyFont="1" applyFill="1" applyBorder="1"/>
    <xf numFmtId="37" fontId="202" fillId="0" borderId="304" xfId="0" applyNumberFormat="1" applyFont="1" applyFill="1" applyBorder="1"/>
    <xf numFmtId="37" fontId="188" fillId="0" borderId="311" xfId="0" applyNumberFormat="1" applyFont="1" applyFill="1" applyBorder="1"/>
    <xf numFmtId="37" fontId="202" fillId="0" borderId="311" xfId="0" applyNumberFormat="1" applyFont="1" applyFill="1" applyBorder="1"/>
    <xf numFmtId="37" fontId="188" fillId="0" borderId="304" xfId="0" applyNumberFormat="1" applyFont="1" applyFill="1" applyBorder="1"/>
    <xf numFmtId="37" fontId="207" fillId="0" borderId="311" xfId="0" applyNumberFormat="1" applyFont="1" applyFill="1" applyBorder="1"/>
    <xf numFmtId="43" fontId="188" fillId="51" borderId="237" xfId="0" applyNumberFormat="1" applyFont="1" applyFill="1" applyBorder="1" applyAlignment="1">
      <alignment horizontal="left"/>
    </xf>
    <xf numFmtId="37" fontId="202" fillId="51" borderId="237" xfId="0" applyNumberFormat="1" applyFont="1" applyFill="1" applyBorder="1"/>
    <xf numFmtId="37" fontId="188" fillId="51" borderId="0" xfId="0" applyNumberFormat="1" applyFont="1" applyFill="1" applyBorder="1"/>
    <xf numFmtId="37" fontId="202" fillId="51" borderId="0" xfId="0" applyNumberFormat="1" applyFont="1" applyFill="1" applyBorder="1"/>
    <xf numFmtId="37" fontId="188" fillId="51" borderId="237" xfId="0" applyNumberFormat="1" applyFont="1" applyFill="1" applyBorder="1"/>
    <xf numFmtId="37" fontId="207" fillId="51" borderId="0" xfId="0" applyNumberFormat="1" applyFont="1" applyFill="1" applyBorder="1"/>
    <xf numFmtId="43" fontId="188" fillId="51" borderId="304" xfId="0" applyNumberFormat="1" applyFont="1" applyFill="1" applyBorder="1" applyAlignment="1">
      <alignment horizontal="left"/>
    </xf>
    <xf numFmtId="0" fontId="188" fillId="51" borderId="311" xfId="0" applyFont="1" applyFill="1" applyBorder="1"/>
    <xf numFmtId="37" fontId="202" fillId="51" borderId="304" xfId="0" applyNumberFormat="1" applyFont="1" applyFill="1" applyBorder="1"/>
    <xf numFmtId="37" fontId="188" fillId="51" borderId="311" xfId="0" applyNumberFormat="1" applyFont="1" applyFill="1" applyBorder="1"/>
    <xf numFmtId="37" fontId="202" fillId="51" borderId="311" xfId="0" applyNumberFormat="1" applyFont="1" applyFill="1" applyBorder="1"/>
    <xf numFmtId="37" fontId="188" fillId="51" borderId="304" xfId="0" applyNumberFormat="1" applyFont="1" applyFill="1" applyBorder="1"/>
    <xf numFmtId="37" fontId="207" fillId="51" borderId="311" xfId="0" applyNumberFormat="1" applyFont="1" applyFill="1" applyBorder="1"/>
    <xf numFmtId="37" fontId="188" fillId="51" borderId="237" xfId="0" applyNumberFormat="1" applyFont="1" applyFill="1" applyBorder="1" applyAlignment="1">
      <alignment horizontal="right"/>
    </xf>
    <xf numFmtId="37" fontId="188" fillId="51" borderId="0" xfId="0" applyNumberFormat="1" applyFont="1" applyFill="1" applyBorder="1" applyAlignment="1">
      <alignment horizontal="right"/>
    </xf>
    <xf numFmtId="37" fontId="188" fillId="51" borderId="304" xfId="0" applyNumberFormat="1" applyFont="1" applyFill="1" applyBorder="1" applyAlignment="1">
      <alignment horizontal="right"/>
    </xf>
    <xf numFmtId="37" fontId="188" fillId="51" borderId="311" xfId="0" applyNumberFormat="1" applyFont="1" applyFill="1" applyBorder="1" applyAlignment="1">
      <alignment horizontal="right"/>
    </xf>
    <xf numFmtId="43" fontId="185" fillId="0" borderId="304" xfId="0" applyNumberFormat="1" applyFont="1" applyFill="1" applyBorder="1" applyAlignment="1">
      <alignment horizontal="left"/>
    </xf>
    <xf numFmtId="37" fontId="188" fillId="0" borderId="311" xfId="0" applyNumberFormat="1" applyFont="1" applyFill="1" applyBorder="1" applyAlignment="1">
      <alignment horizontal="right"/>
    </xf>
    <xf numFmtId="43" fontId="188" fillId="0" borderId="312" xfId="52" applyNumberFormat="1" applyFont="1" applyFill="1" applyBorder="1" applyAlignment="1">
      <alignment horizontal="left" indent="2"/>
    </xf>
    <xf numFmtId="37" fontId="188" fillId="0" borderId="313" xfId="52" applyNumberFormat="1" applyFont="1" applyFill="1" applyBorder="1"/>
    <xf numFmtId="37" fontId="188" fillId="0" borderId="312" xfId="52" applyNumberFormat="1" applyFont="1" applyFill="1" applyBorder="1"/>
    <xf numFmtId="37" fontId="188" fillId="0" borderId="313" xfId="52" applyNumberFormat="1" applyFont="1" applyFill="1" applyBorder="1" applyAlignment="1">
      <alignment horizontal="right"/>
    </xf>
    <xf numFmtId="43" fontId="188" fillId="0" borderId="237" xfId="0" applyNumberFormat="1" applyFont="1" applyBorder="1" applyAlignment="1">
      <alignment horizontal="left" vertical="top" indent="2"/>
    </xf>
    <xf numFmtId="37" fontId="56" fillId="0" borderId="0" xfId="52" applyNumberFormat="1" applyFont="1" applyFill="1" applyBorder="1" applyAlignment="1">
      <alignment horizontal="left"/>
    </xf>
    <xf numFmtId="9" fontId="55" fillId="0" borderId="0" xfId="52" applyFont="1" applyAlignment="1">
      <alignment horizontal="right"/>
    </xf>
    <xf numFmtId="181" fontId="188" fillId="51" borderId="305" xfId="0" applyNumberFormat="1" applyFont="1" applyFill="1" applyBorder="1" applyAlignment="1">
      <alignment horizontal="right"/>
    </xf>
    <xf numFmtId="181" fontId="188" fillId="51" borderId="296" xfId="0" applyNumberFormat="1" applyFont="1" applyFill="1" applyBorder="1" applyAlignment="1">
      <alignment horizontal="right"/>
    </xf>
    <xf numFmtId="170" fontId="185" fillId="67" borderId="234" xfId="20" applyNumberFormat="1" applyFont="1" applyFill="1" applyBorder="1" applyAlignment="1">
      <alignment horizontal="right"/>
    </xf>
    <xf numFmtId="170" fontId="185" fillId="67" borderId="235" xfId="20" applyNumberFormat="1" applyFont="1" applyFill="1" applyBorder="1" applyAlignment="1">
      <alignment horizontal="right"/>
    </xf>
    <xf numFmtId="170" fontId="185" fillId="67" borderId="237" xfId="20" applyNumberFormat="1" applyFont="1" applyFill="1" applyBorder="1" applyAlignment="1">
      <alignment horizontal="right"/>
    </xf>
    <xf numFmtId="170" fontId="198" fillId="67" borderId="236" xfId="20" applyNumberFormat="1" applyFont="1" applyFill="1" applyBorder="1" applyAlignment="1">
      <alignment horizontal="right"/>
    </xf>
    <xf numFmtId="170" fontId="198" fillId="67" borderId="0" xfId="20" applyNumberFormat="1" applyFont="1" applyFill="1" applyBorder="1" applyAlignment="1">
      <alignment horizontal="right"/>
    </xf>
    <xf numFmtId="170" fontId="198" fillId="67" borderId="22" xfId="20" applyNumberFormat="1" applyFont="1" applyFill="1" applyBorder="1" applyAlignment="1">
      <alignment horizontal="right"/>
    </xf>
    <xf numFmtId="41" fontId="56" fillId="0" borderId="237" xfId="0" applyNumberFormat="1" applyFont="1" applyBorder="1" applyAlignment="1">
      <alignment horizontal="left" indent="1"/>
    </xf>
    <xf numFmtId="170" fontId="56" fillId="0" borderId="234" xfId="20" applyNumberFormat="1" applyFont="1" applyFill="1" applyBorder="1" applyAlignment="1">
      <alignment horizontal="right"/>
    </xf>
    <xf numFmtId="170" fontId="56" fillId="0" borderId="235" xfId="20" applyNumberFormat="1" applyFont="1" applyFill="1" applyBorder="1" applyAlignment="1">
      <alignment horizontal="right"/>
    </xf>
    <xf numFmtId="170" fontId="56" fillId="0" borderId="237" xfId="20" applyNumberFormat="1" applyFont="1" applyFill="1" applyBorder="1" applyAlignment="1">
      <alignment horizontal="right"/>
    </xf>
    <xf numFmtId="37" fontId="185" fillId="67" borderId="237" xfId="20" applyNumberFormat="1" applyFont="1" applyFill="1" applyBorder="1" applyAlignment="1">
      <alignment horizontal="right"/>
    </xf>
    <xf numFmtId="37" fontId="185" fillId="67" borderId="0" xfId="20" applyNumberFormat="1" applyFont="1" applyFill="1" applyBorder="1" applyAlignment="1">
      <alignment horizontal="right"/>
    </xf>
    <xf numFmtId="37" fontId="56" fillId="0" borderId="237" xfId="20" applyNumberFormat="1" applyFont="1" applyFill="1" applyBorder="1" applyAlignment="1">
      <alignment horizontal="right"/>
    </xf>
    <xf numFmtId="37" fontId="187" fillId="0" borderId="0" xfId="20" applyNumberFormat="1" applyFont="1" applyFill="1" applyBorder="1" applyAlignment="1">
      <alignment horizontal="right"/>
    </xf>
    <xf numFmtId="37" fontId="56" fillId="0" borderId="0" xfId="20" applyNumberFormat="1" applyFont="1" applyFill="1" applyBorder="1" applyAlignment="1">
      <alignment horizontal="right"/>
    </xf>
    <xf numFmtId="170" fontId="56" fillId="0" borderId="236" xfId="20" applyNumberFormat="1" applyFont="1" applyFill="1" applyBorder="1" applyAlignment="1">
      <alignment horizontal="right"/>
    </xf>
    <xf numFmtId="43" fontId="185" fillId="51" borderId="237" xfId="0" applyNumberFormat="1" applyFont="1" applyFill="1" applyBorder="1"/>
    <xf numFmtId="0" fontId="188" fillId="51" borderId="212" xfId="0" applyFont="1" applyFill="1" applyBorder="1"/>
    <xf numFmtId="0" fontId="250" fillId="51" borderId="0" xfId="0" applyFont="1" applyFill="1" applyBorder="1"/>
    <xf numFmtId="0" fontId="250" fillId="51" borderId="212" xfId="0" applyFont="1" applyFill="1" applyBorder="1"/>
    <xf numFmtId="9" fontId="188" fillId="51" borderId="0" xfId="52" applyFont="1" applyFill="1" applyBorder="1"/>
    <xf numFmtId="0" fontId="188" fillId="58" borderId="251" xfId="0" applyFont="1" applyFill="1" applyBorder="1"/>
    <xf numFmtId="37" fontId="202" fillId="58" borderId="254" xfId="0" applyNumberFormat="1" applyFont="1" applyFill="1" applyBorder="1"/>
    <xf numFmtId="37" fontId="188" fillId="58" borderId="251" xfId="0" applyNumberFormat="1" applyFont="1" applyFill="1" applyBorder="1"/>
    <xf numFmtId="37" fontId="188" fillId="58" borderId="254" xfId="0" applyNumberFormat="1" applyFont="1" applyFill="1" applyBorder="1"/>
    <xf numFmtId="9" fontId="188" fillId="58" borderId="254" xfId="52" applyFont="1" applyFill="1" applyBorder="1"/>
    <xf numFmtId="37" fontId="198" fillId="67" borderId="237" xfId="0" applyNumberFormat="1" applyFont="1" applyFill="1" applyBorder="1"/>
    <xf numFmtId="37" fontId="185" fillId="67" borderId="237" xfId="0" applyNumberFormat="1" applyFont="1" applyFill="1" applyBorder="1"/>
    <xf numFmtId="9" fontId="195" fillId="51" borderId="0" xfId="52" applyFont="1" applyFill="1" applyBorder="1" applyAlignment="1">
      <alignment horizontal="center"/>
    </xf>
    <xf numFmtId="43" fontId="185" fillId="62" borderId="237" xfId="0" applyNumberFormat="1" applyFont="1" applyFill="1" applyBorder="1" applyAlignment="1">
      <alignment horizontal="left"/>
    </xf>
    <xf numFmtId="0" fontId="185" fillId="62" borderId="0" xfId="0" applyFont="1" applyFill="1" applyBorder="1"/>
    <xf numFmtId="37" fontId="185" fillId="62" borderId="237" xfId="0" applyNumberFormat="1" applyFont="1" applyFill="1" applyBorder="1"/>
    <xf numFmtId="37" fontId="185" fillId="62" borderId="0" xfId="0" applyNumberFormat="1" applyFont="1" applyFill="1" applyBorder="1" applyAlignment="1">
      <alignment horizontal="right"/>
    </xf>
    <xf numFmtId="37" fontId="185" fillId="62" borderId="0" xfId="0" applyNumberFormat="1" applyFont="1" applyFill="1" applyBorder="1"/>
    <xf numFmtId="9" fontId="185" fillId="51" borderId="0" xfId="52" applyFont="1" applyFill="1" applyBorder="1" applyAlignment="1">
      <alignment horizontal="center"/>
    </xf>
    <xf numFmtId="43" fontId="243" fillId="59" borderId="237" xfId="0" applyNumberFormat="1" applyFont="1" applyFill="1" applyBorder="1"/>
    <xf numFmtId="0" fontId="228" fillId="59" borderId="0" xfId="0" applyFont="1" applyFill="1" applyBorder="1"/>
    <xf numFmtId="37" fontId="228" fillId="59" borderId="237" xfId="0" applyNumberFormat="1" applyFont="1" applyFill="1" applyBorder="1"/>
    <xf numFmtId="37" fontId="228" fillId="59" borderId="0" xfId="0" applyNumberFormat="1" applyFont="1" applyFill="1" applyBorder="1"/>
    <xf numFmtId="37" fontId="187" fillId="0" borderId="237" xfId="20" applyNumberFormat="1" applyFont="1" applyFill="1" applyBorder="1" applyAlignment="1">
      <alignment horizontal="right"/>
    </xf>
    <xf numFmtId="9" fontId="201" fillId="51" borderId="212" xfId="52" applyFont="1" applyFill="1" applyBorder="1"/>
    <xf numFmtId="9" fontId="201" fillId="51" borderId="0" xfId="52" applyFont="1" applyFill="1" applyBorder="1"/>
    <xf numFmtId="5" fontId="187" fillId="0" borderId="0" xfId="0" applyNumberFormat="1" applyFont="1" applyFill="1" applyBorder="1" applyAlignment="1">
      <alignment horizontal="right"/>
    </xf>
    <xf numFmtId="166" fontId="214" fillId="0" borderId="106" xfId="52" applyNumberFormat="1" applyFont="1" applyBorder="1" applyAlignment="1">
      <alignment horizontal="right"/>
    </xf>
    <xf numFmtId="37" fontId="52" fillId="0" borderId="0" xfId="52" applyNumberFormat="1" applyFont="1" applyBorder="1" applyAlignment="1">
      <alignment horizontal="right"/>
    </xf>
    <xf numFmtId="37" fontId="193" fillId="0" borderId="0" xfId="10" applyNumberFormat="1" applyFont="1" applyFill="1" applyBorder="1" applyAlignment="1">
      <alignment horizontal="right"/>
    </xf>
    <xf numFmtId="37" fontId="188" fillId="58" borderId="237" xfId="0" applyNumberFormat="1" applyFont="1" applyFill="1" applyBorder="1"/>
    <xf numFmtId="41" fontId="185" fillId="52" borderId="0" xfId="0" applyNumberFormat="1" applyFont="1" applyFill="1" applyBorder="1" applyAlignment="1">
      <alignment horizontal="left"/>
    </xf>
    <xf numFmtId="0" fontId="185" fillId="52" borderId="0" xfId="0" applyFont="1" applyFill="1" applyBorder="1" applyAlignment="1">
      <alignment horizontal="center"/>
    </xf>
    <xf numFmtId="0" fontId="185" fillId="52" borderId="0" xfId="0" quotePrefix="1" applyFont="1" applyFill="1" applyBorder="1" applyAlignment="1">
      <alignment horizontal="center"/>
    </xf>
    <xf numFmtId="41" fontId="56" fillId="0" borderId="313" xfId="0" applyNumberFormat="1" applyFont="1" applyBorder="1" applyAlignment="1">
      <alignment horizontal="left" indent="1"/>
    </xf>
    <xf numFmtId="170" fontId="56" fillId="0" borderId="313" xfId="20" applyNumberFormat="1" applyFont="1" applyFill="1" applyBorder="1" applyAlignment="1">
      <alignment horizontal="right"/>
    </xf>
    <xf numFmtId="43" fontId="56" fillId="0" borderId="313" xfId="10" applyFont="1" applyFill="1" applyBorder="1" applyAlignment="1">
      <alignment horizontal="right"/>
    </xf>
    <xf numFmtId="37" fontId="56" fillId="0" borderId="313" xfId="20" applyNumberFormat="1" applyFont="1" applyFill="1" applyBorder="1" applyAlignment="1">
      <alignment horizontal="right"/>
    </xf>
    <xf numFmtId="41" fontId="56" fillId="0" borderId="237" xfId="0" applyNumberFormat="1" applyFont="1" applyBorder="1" applyAlignment="1">
      <alignment horizontal="left"/>
    </xf>
    <xf numFmtId="41" fontId="56" fillId="51" borderId="237" xfId="0" applyNumberFormat="1" applyFont="1" applyFill="1" applyBorder="1" applyAlignment="1">
      <alignment horizontal="left"/>
    </xf>
    <xf numFmtId="170" fontId="56" fillId="51" borderId="0" xfId="20" applyNumberFormat="1" applyFont="1" applyFill="1" applyBorder="1" applyAlignment="1">
      <alignment horizontal="right"/>
    </xf>
    <xf numFmtId="170" fontId="56" fillId="51" borderId="22" xfId="20" applyNumberFormat="1" applyFont="1" applyFill="1" applyBorder="1" applyAlignment="1">
      <alignment horizontal="right"/>
    </xf>
    <xf numFmtId="170" fontId="56" fillId="51" borderId="234" xfId="20" applyNumberFormat="1" applyFont="1" applyFill="1" applyBorder="1" applyAlignment="1">
      <alignment horizontal="right"/>
    </xf>
    <xf numFmtId="43" fontId="56" fillId="51" borderId="234" xfId="10" applyFont="1" applyFill="1" applyBorder="1" applyAlignment="1">
      <alignment horizontal="right"/>
    </xf>
    <xf numFmtId="170" fontId="56" fillId="51" borderId="235" xfId="20" applyNumberFormat="1" applyFont="1" applyFill="1" applyBorder="1" applyAlignment="1">
      <alignment horizontal="right"/>
    </xf>
    <xf numFmtId="170" fontId="56" fillId="51" borderId="237" xfId="20" applyNumberFormat="1" applyFont="1" applyFill="1" applyBorder="1" applyAlignment="1">
      <alignment horizontal="right"/>
    </xf>
    <xf numFmtId="170" fontId="56" fillId="51" borderId="236" xfId="20" applyNumberFormat="1" applyFont="1" applyFill="1" applyBorder="1" applyAlignment="1">
      <alignment horizontal="right"/>
    </xf>
    <xf numFmtId="37" fontId="56" fillId="51" borderId="237" xfId="20" applyNumberFormat="1" applyFont="1" applyFill="1" applyBorder="1" applyAlignment="1">
      <alignment horizontal="right"/>
    </xf>
    <xf numFmtId="37" fontId="56" fillId="51" borderId="0" xfId="20" applyNumberFormat="1" applyFont="1" applyFill="1" applyBorder="1" applyAlignment="1">
      <alignment horizontal="right"/>
    </xf>
    <xf numFmtId="41" fontId="186" fillId="51" borderId="237" xfId="0" applyNumberFormat="1" applyFont="1" applyFill="1" applyBorder="1" applyAlignment="1">
      <alignment horizontal="left"/>
    </xf>
    <xf numFmtId="170" fontId="186" fillId="51" borderId="0" xfId="20" applyNumberFormat="1" applyFont="1" applyFill="1" applyBorder="1" applyAlignment="1">
      <alignment horizontal="right"/>
    </xf>
    <xf numFmtId="170" fontId="186" fillId="51" borderId="22" xfId="20" applyNumberFormat="1" applyFont="1" applyFill="1" applyBorder="1" applyAlignment="1">
      <alignment horizontal="right"/>
    </xf>
    <xf numFmtId="170" fontId="186" fillId="51" borderId="234" xfId="20" applyNumberFormat="1" applyFont="1" applyFill="1" applyBorder="1" applyAlignment="1">
      <alignment horizontal="right"/>
    </xf>
    <xf numFmtId="43" fontId="186" fillId="51" borderId="234" xfId="10" applyFont="1" applyFill="1" applyBorder="1" applyAlignment="1">
      <alignment horizontal="right"/>
    </xf>
    <xf numFmtId="43" fontId="186" fillId="51" borderId="0" xfId="10" applyFont="1" applyFill="1" applyBorder="1" applyAlignment="1">
      <alignment horizontal="right"/>
    </xf>
    <xf numFmtId="170" fontId="186" fillId="51" borderId="235" xfId="20" applyNumberFormat="1" applyFont="1" applyFill="1" applyBorder="1" applyAlignment="1">
      <alignment horizontal="right"/>
    </xf>
    <xf numFmtId="170" fontId="186" fillId="51" borderId="237" xfId="20" applyNumberFormat="1" applyFont="1" applyFill="1" applyBorder="1" applyAlignment="1">
      <alignment horizontal="right"/>
    </xf>
    <xf numFmtId="170" fontId="186" fillId="51" borderId="236" xfId="20" applyNumberFormat="1" applyFont="1" applyFill="1" applyBorder="1" applyAlignment="1">
      <alignment horizontal="right"/>
    </xf>
    <xf numFmtId="37" fontId="186" fillId="51" borderId="237" xfId="20" applyNumberFormat="1" applyFont="1" applyFill="1" applyBorder="1" applyAlignment="1">
      <alignment horizontal="right"/>
    </xf>
    <xf numFmtId="37" fontId="186" fillId="51" borderId="0" xfId="20" applyNumberFormat="1" applyFont="1" applyFill="1" applyBorder="1" applyAlignment="1">
      <alignment horizontal="right"/>
    </xf>
    <xf numFmtId="41" fontId="56" fillId="62" borderId="237" xfId="0" applyNumberFormat="1" applyFont="1" applyFill="1" applyBorder="1" applyAlignment="1">
      <alignment horizontal="left"/>
    </xf>
    <xf numFmtId="170" fontId="56" fillId="62" borderId="0" xfId="20" applyNumberFormat="1" applyFont="1" applyFill="1" applyBorder="1" applyAlignment="1">
      <alignment horizontal="right"/>
    </xf>
    <xf numFmtId="170" fontId="56" fillId="62" borderId="22" xfId="20" applyNumberFormat="1" applyFont="1" applyFill="1" applyBorder="1" applyAlignment="1">
      <alignment horizontal="right"/>
    </xf>
    <xf numFmtId="170" fontId="56" fillId="62" borderId="234" xfId="20" applyNumberFormat="1" applyFont="1" applyFill="1" applyBorder="1" applyAlignment="1">
      <alignment horizontal="right"/>
    </xf>
    <xf numFmtId="43" fontId="56" fillId="62" borderId="234" xfId="10" applyFont="1" applyFill="1" applyBorder="1" applyAlignment="1">
      <alignment horizontal="right"/>
    </xf>
    <xf numFmtId="170" fontId="56" fillId="62" borderId="235" xfId="20" applyNumberFormat="1" applyFont="1" applyFill="1" applyBorder="1" applyAlignment="1">
      <alignment horizontal="right"/>
    </xf>
    <xf numFmtId="170" fontId="56" fillId="62" borderId="237" xfId="20" applyNumberFormat="1" applyFont="1" applyFill="1" applyBorder="1" applyAlignment="1">
      <alignment horizontal="right"/>
    </xf>
    <xf numFmtId="170" fontId="56" fillId="62" borderId="236" xfId="20" applyNumberFormat="1" applyFont="1" applyFill="1" applyBorder="1" applyAlignment="1">
      <alignment horizontal="right"/>
    </xf>
    <xf numFmtId="37" fontId="56" fillId="62" borderId="237" xfId="20" applyNumberFormat="1" applyFont="1" applyFill="1" applyBorder="1" applyAlignment="1">
      <alignment horizontal="right"/>
    </xf>
    <xf numFmtId="37" fontId="56" fillId="62" borderId="0" xfId="20" applyNumberFormat="1" applyFont="1" applyFill="1" applyBorder="1" applyAlignment="1">
      <alignment horizontal="right"/>
    </xf>
    <xf numFmtId="7" fontId="56" fillId="62" borderId="237" xfId="20" applyNumberFormat="1" applyFont="1" applyFill="1" applyBorder="1" applyAlignment="1">
      <alignment horizontal="right"/>
    </xf>
    <xf numFmtId="7" fontId="56" fillId="62" borderId="0" xfId="20" applyNumberFormat="1" applyFont="1" applyFill="1" applyBorder="1" applyAlignment="1">
      <alignment horizontal="right"/>
    </xf>
    <xf numFmtId="9" fontId="184" fillId="0" borderId="237" xfId="52" applyFont="1" applyFill="1" applyBorder="1" applyAlignment="1">
      <alignment horizontal="right"/>
    </xf>
    <xf numFmtId="37" fontId="213" fillId="0" borderId="237" xfId="20" applyNumberFormat="1" applyFont="1" applyFill="1" applyBorder="1" applyAlignment="1">
      <alignment horizontal="right"/>
    </xf>
    <xf numFmtId="37" fontId="213" fillId="0" borderId="0" xfId="20" applyNumberFormat="1" applyFont="1" applyFill="1" applyBorder="1" applyAlignment="1">
      <alignment horizontal="right"/>
    </xf>
    <xf numFmtId="41" fontId="56" fillId="0" borderId="192" xfId="0" applyNumberFormat="1" applyFont="1" applyBorder="1" applyAlignment="1">
      <alignment horizontal="left"/>
    </xf>
    <xf numFmtId="170" fontId="56" fillId="0" borderId="311" xfId="20" applyNumberFormat="1" applyFont="1" applyFill="1" applyBorder="1" applyAlignment="1">
      <alignment horizontal="right"/>
    </xf>
    <xf numFmtId="170" fontId="56" fillId="0" borderId="167" xfId="20" applyNumberFormat="1" applyFont="1" applyFill="1" applyBorder="1" applyAlignment="1">
      <alignment horizontal="right"/>
    </xf>
    <xf numFmtId="170" fontId="56" fillId="0" borderId="189" xfId="20" applyNumberFormat="1" applyFont="1" applyFill="1" applyBorder="1" applyAlignment="1">
      <alignment horizontal="right"/>
    </xf>
    <xf numFmtId="43" fontId="56" fillId="0" borderId="189" xfId="10" applyFont="1" applyFill="1" applyBorder="1" applyAlignment="1">
      <alignment horizontal="right"/>
    </xf>
    <xf numFmtId="43" fontId="56" fillId="0" borderId="311" xfId="10" applyFont="1" applyFill="1" applyBorder="1" applyAlignment="1">
      <alignment horizontal="right"/>
    </xf>
    <xf numFmtId="170" fontId="56" fillId="0" borderId="187" xfId="20" applyNumberFormat="1" applyFont="1" applyFill="1" applyBorder="1" applyAlignment="1">
      <alignment horizontal="right"/>
    </xf>
    <xf numFmtId="170" fontId="56" fillId="0" borderId="192" xfId="20" applyNumberFormat="1" applyFont="1" applyFill="1" applyBorder="1" applyAlignment="1">
      <alignment horizontal="right"/>
    </xf>
    <xf numFmtId="170" fontId="56" fillId="0" borderId="191" xfId="20" applyNumberFormat="1" applyFont="1" applyFill="1" applyBorder="1" applyAlignment="1">
      <alignment horizontal="right"/>
    </xf>
    <xf numFmtId="37" fontId="56" fillId="0" borderId="192" xfId="20" applyNumberFormat="1" applyFont="1" applyFill="1" applyBorder="1" applyAlignment="1">
      <alignment horizontal="right"/>
    </xf>
    <xf numFmtId="37" fontId="56" fillId="0" borderId="311" xfId="20" applyNumberFormat="1" applyFont="1" applyFill="1" applyBorder="1" applyAlignment="1">
      <alignment horizontal="right"/>
    </xf>
    <xf numFmtId="41" fontId="56" fillId="0" borderId="192" xfId="0" applyNumberFormat="1" applyFont="1" applyBorder="1" applyAlignment="1">
      <alignment horizontal="left" indent="1"/>
    </xf>
    <xf numFmtId="37" fontId="188" fillId="51" borderId="237" xfId="20" applyNumberFormat="1" applyFont="1" applyFill="1" applyBorder="1" applyAlignment="1">
      <alignment horizontal="right"/>
    </xf>
    <xf numFmtId="37" fontId="242" fillId="51" borderId="237" xfId="20" applyNumberFormat="1" applyFont="1" applyFill="1" applyBorder="1" applyAlignment="1">
      <alignment horizontal="right"/>
    </xf>
    <xf numFmtId="7" fontId="188" fillId="51" borderId="237" xfId="20" applyNumberFormat="1" applyFont="1" applyFill="1" applyBorder="1" applyAlignment="1">
      <alignment horizontal="right"/>
    </xf>
    <xf numFmtId="170" fontId="188" fillId="51" borderId="237" xfId="20" applyNumberFormat="1" applyFont="1" applyFill="1" applyBorder="1" applyAlignment="1">
      <alignment horizontal="right"/>
    </xf>
    <xf numFmtId="9" fontId="188" fillId="51" borderId="237" xfId="52" applyFont="1" applyFill="1" applyBorder="1" applyAlignment="1">
      <alignment horizontal="right"/>
    </xf>
    <xf numFmtId="9" fontId="188" fillId="51" borderId="237" xfId="52" applyNumberFormat="1" applyFont="1" applyFill="1" applyBorder="1" applyAlignment="1">
      <alignment horizontal="right"/>
    </xf>
    <xf numFmtId="41" fontId="185" fillId="52" borderId="297" xfId="0" applyNumberFormat="1" applyFont="1" applyFill="1" applyBorder="1" applyAlignment="1">
      <alignment horizontal="left"/>
    </xf>
    <xf numFmtId="170" fontId="188" fillId="52" borderId="297" xfId="20" applyNumberFormat="1" applyFont="1" applyFill="1" applyBorder="1" applyAlignment="1">
      <alignment horizontal="right"/>
    </xf>
    <xf numFmtId="37" fontId="185" fillId="64" borderId="237" xfId="20" applyNumberFormat="1" applyFont="1" applyFill="1" applyBorder="1" applyAlignment="1">
      <alignment horizontal="right"/>
    </xf>
    <xf numFmtId="9" fontId="185" fillId="64" borderId="237" xfId="52" applyFont="1" applyFill="1" applyBorder="1" applyAlignment="1">
      <alignment horizontal="right"/>
    </xf>
    <xf numFmtId="41" fontId="56" fillId="64" borderId="237" xfId="0" applyNumberFormat="1" applyFont="1" applyFill="1" applyBorder="1" applyAlignment="1">
      <alignment horizontal="left" indent="1"/>
    </xf>
    <xf numFmtId="170" fontId="56" fillId="64" borderId="0" xfId="20" applyNumberFormat="1" applyFont="1" applyFill="1" applyBorder="1" applyAlignment="1">
      <alignment horizontal="right"/>
    </xf>
    <xf numFmtId="170" fontId="56" fillId="64" borderId="22" xfId="20" applyNumberFormat="1" applyFont="1" applyFill="1" applyBorder="1" applyAlignment="1">
      <alignment horizontal="right"/>
    </xf>
    <xf numFmtId="170" fontId="56" fillId="64" borderId="234" xfId="20" applyNumberFormat="1" applyFont="1" applyFill="1" applyBorder="1" applyAlignment="1">
      <alignment horizontal="right"/>
    </xf>
    <xf numFmtId="43" fontId="56" fillId="64" borderId="234" xfId="10" applyFont="1" applyFill="1" applyBorder="1" applyAlignment="1">
      <alignment horizontal="right"/>
    </xf>
    <xf numFmtId="43" fontId="56" fillId="64" borderId="0" xfId="10" applyFont="1" applyFill="1" applyBorder="1" applyAlignment="1">
      <alignment horizontal="right"/>
    </xf>
    <xf numFmtId="170" fontId="56" fillId="64" borderId="235" xfId="20" applyNumberFormat="1" applyFont="1" applyFill="1" applyBorder="1" applyAlignment="1">
      <alignment horizontal="right"/>
    </xf>
    <xf numFmtId="170" fontId="56" fillId="64" borderId="237" xfId="20" applyNumberFormat="1" applyFont="1" applyFill="1" applyBorder="1" applyAlignment="1">
      <alignment horizontal="right"/>
    </xf>
    <xf numFmtId="170" fontId="56" fillId="64" borderId="236" xfId="20" applyNumberFormat="1" applyFont="1" applyFill="1" applyBorder="1" applyAlignment="1">
      <alignment horizontal="right"/>
    </xf>
    <xf numFmtId="37" fontId="56" fillId="64" borderId="237" xfId="20" applyNumberFormat="1" applyFont="1" applyFill="1" applyBorder="1" applyAlignment="1">
      <alignment horizontal="right"/>
    </xf>
    <xf numFmtId="37" fontId="56" fillId="64" borderId="0" xfId="20" applyNumberFormat="1" applyFont="1" applyFill="1" applyBorder="1" applyAlignment="1">
      <alignment horizontal="right"/>
    </xf>
    <xf numFmtId="9" fontId="56" fillId="64" borderId="237" xfId="52" applyFont="1" applyFill="1" applyBorder="1" applyAlignment="1">
      <alignment horizontal="right"/>
    </xf>
    <xf numFmtId="9" fontId="56" fillId="64" borderId="0" xfId="52" applyFont="1" applyFill="1" applyBorder="1" applyAlignment="1">
      <alignment horizontal="right"/>
    </xf>
    <xf numFmtId="9" fontId="213" fillId="64" borderId="237" xfId="52" applyFont="1" applyFill="1" applyBorder="1" applyAlignment="1">
      <alignment horizontal="right"/>
    </xf>
    <xf numFmtId="41" fontId="56" fillId="64" borderId="237" xfId="0" applyNumberFormat="1" applyFont="1" applyFill="1" applyBorder="1" applyAlignment="1">
      <alignment horizontal="left"/>
    </xf>
    <xf numFmtId="166" fontId="56" fillId="64" borderId="237" xfId="52" applyNumberFormat="1" applyFont="1" applyFill="1" applyBorder="1" applyAlignment="1">
      <alignment horizontal="right"/>
    </xf>
    <xf numFmtId="166" fontId="56" fillId="64" borderId="0" xfId="52" applyNumberFormat="1" applyFont="1" applyFill="1" applyBorder="1" applyAlignment="1">
      <alignment horizontal="right"/>
    </xf>
    <xf numFmtId="166" fontId="213" fillId="64" borderId="237" xfId="52" applyNumberFormat="1" applyFont="1" applyFill="1" applyBorder="1" applyAlignment="1">
      <alignment horizontal="right"/>
    </xf>
    <xf numFmtId="170" fontId="188" fillId="51" borderId="192" xfId="20" applyNumberFormat="1" applyFont="1" applyFill="1" applyBorder="1" applyAlignment="1">
      <alignment horizontal="right"/>
    </xf>
    <xf numFmtId="41" fontId="185" fillId="58" borderId="237" xfId="0" applyNumberFormat="1" applyFont="1" applyFill="1" applyBorder="1" applyAlignment="1">
      <alignment horizontal="left"/>
    </xf>
    <xf numFmtId="170" fontId="188" fillId="58" borderId="237" xfId="20" applyNumberFormat="1" applyFont="1" applyFill="1" applyBorder="1" applyAlignment="1">
      <alignment horizontal="right"/>
    </xf>
    <xf numFmtId="9" fontId="188" fillId="58" borderId="237" xfId="52" applyFont="1" applyFill="1" applyBorder="1" applyAlignment="1">
      <alignment horizontal="right"/>
    </xf>
    <xf numFmtId="170" fontId="185" fillId="51" borderId="298" xfId="20" applyNumberFormat="1" applyFont="1" applyFill="1" applyBorder="1" applyAlignment="1">
      <alignment horizontal="left"/>
    </xf>
    <xf numFmtId="0" fontId="0" fillId="51" borderId="208" xfId="0" applyFill="1" applyBorder="1"/>
    <xf numFmtId="0" fontId="0" fillId="51" borderId="138" xfId="0" applyFill="1" applyBorder="1"/>
    <xf numFmtId="41" fontId="185" fillId="62" borderId="298" xfId="0" applyNumberFormat="1" applyFont="1" applyFill="1" applyBorder="1" applyAlignment="1">
      <alignment horizontal="left"/>
    </xf>
    <xf numFmtId="37" fontId="240" fillId="62" borderId="298" xfId="20" applyNumberFormat="1" applyFont="1" applyFill="1" applyBorder="1" applyAlignment="1">
      <alignment horizontal="right"/>
    </xf>
    <xf numFmtId="166" fontId="185" fillId="62" borderId="298" xfId="52" applyNumberFormat="1" applyFont="1" applyFill="1" applyBorder="1" applyAlignment="1">
      <alignment horizontal="right"/>
    </xf>
    <xf numFmtId="41" fontId="188" fillId="0" borderId="298" xfId="0" applyNumberFormat="1" applyFont="1" applyFill="1" applyBorder="1" applyAlignment="1">
      <alignment horizontal="left"/>
    </xf>
    <xf numFmtId="9" fontId="188" fillId="0" borderId="298" xfId="52" applyFont="1" applyFill="1" applyBorder="1" applyAlignment="1">
      <alignment horizontal="right"/>
    </xf>
    <xf numFmtId="9" fontId="54" fillId="0" borderId="0" xfId="52" applyNumberFormat="1" applyFont="1" applyFill="1" applyBorder="1"/>
    <xf numFmtId="0" fontId="4" fillId="0" borderId="0" xfId="1379" applyFont="1"/>
    <xf numFmtId="9" fontId="14" fillId="0" borderId="0" xfId="52" applyFont="1"/>
    <xf numFmtId="43" fontId="185" fillId="58" borderId="316" xfId="0" applyNumberFormat="1" applyFont="1" applyFill="1" applyBorder="1"/>
    <xf numFmtId="0" fontId="188" fillId="58" borderId="266" xfId="0" applyFont="1" applyFill="1" applyBorder="1"/>
    <xf numFmtId="37" fontId="188" fillId="58" borderId="316" xfId="0" applyNumberFormat="1" applyFont="1" applyFill="1" applyBorder="1"/>
    <xf numFmtId="37" fontId="188" fillId="58" borderId="266" xfId="0" applyNumberFormat="1" applyFont="1" applyFill="1" applyBorder="1"/>
    <xf numFmtId="9" fontId="188" fillId="51" borderId="237" xfId="52" applyFont="1" applyFill="1" applyBorder="1"/>
    <xf numFmtId="38" fontId="188" fillId="51" borderId="237" xfId="52" applyNumberFormat="1" applyFont="1" applyFill="1" applyBorder="1"/>
    <xf numFmtId="9" fontId="56" fillId="0" borderId="311" xfId="52" applyFont="1" applyFill="1" applyBorder="1" applyAlignment="1">
      <alignment horizontal="right"/>
    </xf>
    <xf numFmtId="166" fontId="56" fillId="0" borderId="192" xfId="52" applyNumberFormat="1" applyFont="1" applyFill="1" applyBorder="1" applyAlignment="1">
      <alignment horizontal="right"/>
    </xf>
    <xf numFmtId="166" fontId="56" fillId="0" borderId="311" xfId="52" applyNumberFormat="1" applyFont="1" applyFill="1" applyBorder="1" applyAlignment="1">
      <alignment horizontal="right"/>
    </xf>
    <xf numFmtId="0" fontId="10" fillId="0" borderId="0" xfId="1379" applyNumberFormat="1" applyFont="1" applyFill="1" applyBorder="1" applyAlignment="1">
      <alignment vertical="center" wrapText="1"/>
    </xf>
    <xf numFmtId="0" fontId="14" fillId="0" borderId="0" xfId="1379" applyNumberFormat="1" applyFill="1" applyBorder="1" applyAlignment="1">
      <alignment vertical="center" wrapText="1"/>
    </xf>
    <xf numFmtId="181" fontId="10" fillId="0" borderId="0" xfId="1379" applyNumberFormat="1" applyFont="1" applyAlignment="1">
      <alignment horizontal="center" vertical="center"/>
    </xf>
    <xf numFmtId="181" fontId="245" fillId="62" borderId="307" xfId="1379" applyNumberFormat="1" applyFont="1" applyFill="1" applyBorder="1" applyAlignment="1">
      <alignment horizontal="center" vertical="center"/>
    </xf>
    <xf numFmtId="181" fontId="269" fillId="0" borderId="266" xfId="1379" applyNumberFormat="1" applyFont="1" applyBorder="1" applyAlignment="1">
      <alignment horizontal="center" vertical="center"/>
    </xf>
    <xf numFmtId="5" fontId="14" fillId="0" borderId="0" xfId="1379" applyNumberFormat="1"/>
    <xf numFmtId="325" fontId="14" fillId="0" borderId="266" xfId="1379" applyNumberFormat="1" applyBorder="1"/>
    <xf numFmtId="0" fontId="3" fillId="0" borderId="0" xfId="1379" applyFont="1" applyAlignment="1">
      <alignment vertical="center"/>
    </xf>
    <xf numFmtId="37" fontId="213" fillId="0" borderId="0" xfId="10" applyNumberFormat="1" applyFont="1" applyFill="1" applyBorder="1" applyAlignment="1">
      <alignment horizontal="right"/>
    </xf>
    <xf numFmtId="37" fontId="213" fillId="0" borderId="0" xfId="10" applyNumberFormat="1" applyFont="1" applyBorder="1" applyAlignment="1">
      <alignment horizontal="right"/>
    </xf>
    <xf numFmtId="37" fontId="187" fillId="0" borderId="299" xfId="10" applyNumberFormat="1" applyFont="1" applyBorder="1" applyAlignment="1">
      <alignment horizontal="right"/>
    </xf>
    <xf numFmtId="37" fontId="189" fillId="0" borderId="12" xfId="10" applyNumberFormat="1" applyFont="1" applyBorder="1" applyAlignment="1">
      <alignment horizontal="right"/>
    </xf>
    <xf numFmtId="37" fontId="259" fillId="67" borderId="12" xfId="0" applyNumberFormat="1" applyFont="1" applyFill="1" applyBorder="1" applyAlignment="1">
      <alignment horizontal="right"/>
    </xf>
    <xf numFmtId="37" fontId="186" fillId="67" borderId="14" xfId="0" applyNumberFormat="1" applyFont="1" applyFill="1" applyBorder="1" applyAlignment="1">
      <alignment horizontal="right"/>
    </xf>
    <xf numFmtId="37" fontId="186" fillId="67" borderId="12" xfId="0" applyNumberFormat="1" applyFont="1" applyFill="1" applyBorder="1" applyAlignment="1">
      <alignment horizontal="right"/>
    </xf>
    <xf numFmtId="37" fontId="261" fillId="0" borderId="212" xfId="10" applyNumberFormat="1" applyFont="1" applyFill="1" applyBorder="1" applyAlignment="1">
      <alignment horizontal="right"/>
    </xf>
    <xf numFmtId="37" fontId="189" fillId="0" borderId="0" xfId="10" applyNumberFormat="1" applyFont="1" applyFill="1" applyBorder="1" applyAlignment="1">
      <alignment horizontal="right"/>
    </xf>
    <xf numFmtId="37" fontId="189" fillId="0" borderId="212" xfId="10" applyNumberFormat="1" applyFont="1" applyFill="1" applyBorder="1" applyAlignment="1">
      <alignment horizontal="right"/>
    </xf>
    <xf numFmtId="37" fontId="261" fillId="0" borderId="66" xfId="10" applyNumberFormat="1" applyFont="1" applyFill="1" applyBorder="1" applyAlignment="1">
      <alignment horizontal="right"/>
    </xf>
    <xf numFmtId="37" fontId="187" fillId="0" borderId="273" xfId="10" applyNumberFormat="1" applyFont="1" applyFill="1" applyBorder="1" applyAlignment="1">
      <alignment horizontal="right"/>
    </xf>
    <xf numFmtId="37" fontId="187" fillId="0" borderId="299" xfId="10" applyNumberFormat="1" applyFont="1" applyFill="1" applyBorder="1" applyAlignment="1">
      <alignment horizontal="right"/>
    </xf>
    <xf numFmtId="37" fontId="189" fillId="0" borderId="299" xfId="10" applyNumberFormat="1" applyFont="1" applyFill="1" applyBorder="1" applyAlignment="1">
      <alignment horizontal="right"/>
    </xf>
    <xf numFmtId="37" fontId="189" fillId="0" borderId="66" xfId="10" applyNumberFormat="1" applyFont="1" applyFill="1" applyBorder="1" applyAlignment="1">
      <alignment horizontal="right"/>
    </xf>
    <xf numFmtId="37" fontId="261" fillId="0" borderId="12" xfId="0" applyNumberFormat="1" applyFont="1" applyFill="1" applyBorder="1" applyAlignment="1">
      <alignment horizontal="right"/>
    </xf>
    <xf numFmtId="37" fontId="189" fillId="0" borderId="12" xfId="10" applyNumberFormat="1" applyFont="1" applyFill="1" applyBorder="1" applyAlignment="1">
      <alignment horizontal="right"/>
    </xf>
    <xf numFmtId="37" fontId="56" fillId="67" borderId="0" xfId="10" applyNumberFormat="1" applyFont="1" applyFill="1" applyBorder="1" applyAlignment="1">
      <alignment horizontal="right"/>
    </xf>
    <xf numFmtId="37" fontId="56" fillId="67" borderId="12" xfId="10" applyNumberFormat="1" applyFont="1" applyFill="1" applyBorder="1" applyAlignment="1">
      <alignment horizontal="right"/>
    </xf>
    <xf numFmtId="37" fontId="261" fillId="0" borderId="237" xfId="10" applyNumberFormat="1" applyFont="1" applyFill="1" applyBorder="1" applyAlignment="1">
      <alignment horizontal="right"/>
    </xf>
    <xf numFmtId="37" fontId="56" fillId="0" borderId="237" xfId="10" applyNumberFormat="1" applyFont="1" applyFill="1" applyBorder="1" applyAlignment="1">
      <alignment horizontal="right"/>
    </xf>
    <xf numFmtId="37" fontId="261" fillId="0" borderId="237" xfId="0" applyNumberFormat="1" applyFont="1" applyFill="1" applyBorder="1" applyAlignment="1">
      <alignment horizontal="right"/>
    </xf>
    <xf numFmtId="37" fontId="189" fillId="0" borderId="0" xfId="10" applyNumberFormat="1" applyFont="1" applyBorder="1" applyAlignment="1">
      <alignment horizontal="right"/>
    </xf>
    <xf numFmtId="37" fontId="56" fillId="0" borderId="53" xfId="0" applyNumberFormat="1" applyFont="1" applyBorder="1" applyAlignment="1">
      <alignment horizontal="right"/>
    </xf>
    <xf numFmtId="37" fontId="261" fillId="0" borderId="106" xfId="0" applyNumberFormat="1" applyFont="1" applyFill="1" applyBorder="1" applyAlignment="1">
      <alignment horizontal="right"/>
    </xf>
    <xf numFmtId="37" fontId="261" fillId="0" borderId="106" xfId="46" applyNumberFormat="1" applyFont="1" applyFill="1" applyBorder="1" applyAlignment="1">
      <alignment horizontal="right"/>
    </xf>
    <xf numFmtId="37" fontId="56" fillId="0" borderId="0" xfId="46" applyNumberFormat="1" applyFont="1" applyFill="1" applyBorder="1" applyAlignment="1">
      <alignment horizontal="right"/>
    </xf>
    <xf numFmtId="37" fontId="56" fillId="0" borderId="92" xfId="46" applyNumberFormat="1" applyFont="1" applyFill="1" applyBorder="1" applyAlignment="1">
      <alignment horizontal="right"/>
    </xf>
    <xf numFmtId="37" fontId="56" fillId="0" borderId="60" xfId="10" applyNumberFormat="1" applyFont="1" applyFill="1" applyBorder="1" applyAlignment="1">
      <alignment horizontal="right"/>
    </xf>
    <xf numFmtId="37" fontId="213" fillId="0" borderId="92" xfId="10" applyNumberFormat="1" applyFont="1" applyFill="1" applyBorder="1" applyAlignment="1">
      <alignment horizontal="right"/>
    </xf>
    <xf numFmtId="37" fontId="260" fillId="67" borderId="106" xfId="46" applyNumberFormat="1" applyFont="1" applyFill="1" applyBorder="1" applyAlignment="1">
      <alignment horizontal="right"/>
    </xf>
    <xf numFmtId="37" fontId="185" fillId="67" borderId="0" xfId="46" applyNumberFormat="1" applyFont="1" applyFill="1" applyBorder="1" applyAlignment="1">
      <alignment horizontal="right"/>
    </xf>
    <xf numFmtId="37" fontId="240" fillId="67" borderId="0" xfId="46" applyNumberFormat="1" applyFont="1" applyFill="1" applyBorder="1" applyAlignment="1">
      <alignment horizontal="right"/>
    </xf>
    <xf numFmtId="37" fontId="240" fillId="67" borderId="92" xfId="46" applyNumberFormat="1" applyFont="1" applyFill="1" applyBorder="1" applyAlignment="1">
      <alignment horizontal="right"/>
    </xf>
    <xf numFmtId="37" fontId="261" fillId="0" borderId="92" xfId="0" applyNumberFormat="1" applyFont="1" applyBorder="1" applyAlignment="1">
      <alignment horizontal="right"/>
    </xf>
    <xf numFmtId="37" fontId="261" fillId="0" borderId="92" xfId="46" applyNumberFormat="1" applyFont="1" applyBorder="1" applyAlignment="1">
      <alignment horizontal="right"/>
    </xf>
    <xf numFmtId="37" fontId="56" fillId="0" borderId="0" xfId="46" applyNumberFormat="1" applyFont="1" applyBorder="1" applyAlignment="1">
      <alignment horizontal="right"/>
    </xf>
    <xf numFmtId="37" fontId="56" fillId="0" borderId="92" xfId="46" applyNumberFormat="1" applyFont="1" applyBorder="1" applyAlignment="1">
      <alignment horizontal="right"/>
    </xf>
    <xf numFmtId="37" fontId="261" fillId="0" borderId="92" xfId="10" applyNumberFormat="1" applyFont="1" applyFill="1" applyBorder="1" applyAlignment="1">
      <alignment horizontal="right"/>
    </xf>
    <xf numFmtId="37" fontId="189" fillId="0" borderId="92" xfId="10" applyNumberFormat="1" applyFont="1" applyFill="1" applyBorder="1" applyAlignment="1">
      <alignment horizontal="right"/>
    </xf>
    <xf numFmtId="37" fontId="260" fillId="67" borderId="135" xfId="46" applyNumberFormat="1" applyFont="1" applyFill="1" applyBorder="1" applyAlignment="1">
      <alignment horizontal="right"/>
    </xf>
    <xf numFmtId="37" fontId="185" fillId="67" borderId="136" xfId="46" applyNumberFormat="1" applyFont="1" applyFill="1" applyBorder="1" applyAlignment="1">
      <alignment horizontal="right"/>
    </xf>
    <xf numFmtId="37" fontId="185" fillId="67" borderId="273" xfId="46" applyNumberFormat="1" applyFont="1" applyFill="1" applyBorder="1" applyAlignment="1">
      <alignment horizontal="right"/>
    </xf>
    <xf numFmtId="37" fontId="185" fillId="67" borderId="299" xfId="46" applyNumberFormat="1" applyFont="1" applyFill="1" applyBorder="1" applyAlignment="1">
      <alignment horizontal="right"/>
    </xf>
    <xf numFmtId="37" fontId="185" fillId="67" borderId="135" xfId="46" applyNumberFormat="1" applyFont="1" applyFill="1" applyBorder="1" applyAlignment="1">
      <alignment horizontal="right"/>
    </xf>
    <xf numFmtId="37" fontId="213" fillId="0" borderId="92" xfId="10" applyNumberFormat="1" applyFont="1" applyBorder="1" applyAlignment="1">
      <alignment horizontal="right"/>
    </xf>
    <xf numFmtId="37" fontId="189" fillId="0" borderId="92" xfId="10" applyNumberFormat="1" applyFont="1" applyBorder="1" applyAlignment="1">
      <alignment horizontal="right"/>
    </xf>
    <xf numFmtId="37" fontId="189" fillId="0" borderId="106" xfId="10" applyNumberFormat="1" applyFont="1" applyBorder="1" applyAlignment="1">
      <alignment horizontal="right"/>
    </xf>
    <xf numFmtId="37" fontId="56" fillId="0" borderId="92" xfId="10" applyNumberFormat="1" applyFont="1" applyFill="1" applyBorder="1" applyAlignment="1">
      <alignment horizontal="right"/>
    </xf>
    <xf numFmtId="37" fontId="189" fillId="64" borderId="0" xfId="10" applyNumberFormat="1" applyFont="1" applyFill="1" applyBorder="1" applyAlignment="1">
      <alignment horizontal="right"/>
    </xf>
    <xf numFmtId="37" fontId="189" fillId="64" borderId="106" xfId="10" applyNumberFormat="1" applyFont="1" applyFill="1" applyBorder="1" applyAlignment="1">
      <alignment horizontal="right"/>
    </xf>
    <xf numFmtId="37" fontId="189" fillId="0" borderId="106" xfId="10" applyNumberFormat="1" applyFont="1" applyFill="1" applyBorder="1" applyAlignment="1">
      <alignment horizontal="right"/>
    </xf>
    <xf numFmtId="37" fontId="186" fillId="67" borderId="90" xfId="0" applyNumberFormat="1" applyFont="1" applyFill="1" applyBorder="1" applyAlignment="1">
      <alignment horizontal="right"/>
    </xf>
    <xf numFmtId="37" fontId="186" fillId="67" borderId="118" xfId="0" applyNumberFormat="1" applyFont="1" applyFill="1" applyBorder="1" applyAlignment="1">
      <alignment horizontal="right"/>
    </xf>
    <xf numFmtId="165" fontId="56" fillId="0" borderId="106" xfId="20" applyNumberFormat="1" applyFont="1" applyFill="1" applyBorder="1" applyAlignment="1">
      <alignment horizontal="right"/>
    </xf>
    <xf numFmtId="165" fontId="187" fillId="0" borderId="0" xfId="20" applyNumberFormat="1" applyFont="1" applyFill="1" applyBorder="1" applyAlignment="1">
      <alignment horizontal="right"/>
    </xf>
    <xf numFmtId="165" fontId="56" fillId="0" borderId="0" xfId="20" applyNumberFormat="1" applyFont="1" applyFill="1" applyBorder="1" applyAlignment="1">
      <alignment horizontal="right"/>
    </xf>
    <xf numFmtId="165" fontId="213" fillId="0" borderId="106" xfId="10" applyNumberFormat="1" applyFont="1" applyFill="1" applyBorder="1" applyAlignment="1">
      <alignment horizontal="right"/>
    </xf>
    <xf numFmtId="165" fontId="213" fillId="0" borderId="106" xfId="46" applyNumberFormat="1" applyFont="1" applyFill="1" applyBorder="1" applyAlignment="1">
      <alignment horizontal="right"/>
    </xf>
    <xf numFmtId="165" fontId="189" fillId="0" borderId="237" xfId="52" applyNumberFormat="1" applyFont="1" applyFill="1" applyBorder="1" applyAlignment="1">
      <alignment horizontal="right"/>
    </xf>
    <xf numFmtId="9" fontId="195" fillId="0" borderId="0" xfId="52" applyNumberFormat="1" applyFont="1" applyFill="1" applyBorder="1" applyAlignment="1">
      <alignment horizontal="right"/>
    </xf>
    <xf numFmtId="9" fontId="195" fillId="0" borderId="157" xfId="52" applyNumberFormat="1" applyFont="1" applyFill="1" applyBorder="1" applyAlignment="1">
      <alignment horizontal="right"/>
    </xf>
    <xf numFmtId="9" fontId="195" fillId="0" borderId="0" xfId="0" applyNumberFormat="1" applyFont="1" applyFill="1" applyBorder="1" applyAlignment="1">
      <alignment horizontal="right"/>
    </xf>
    <xf numFmtId="9" fontId="195" fillId="0" borderId="106" xfId="0" applyNumberFormat="1" applyFont="1" applyFill="1" applyBorder="1" applyAlignment="1">
      <alignment horizontal="right"/>
    </xf>
    <xf numFmtId="9" fontId="195" fillId="57" borderId="106" xfId="0" applyNumberFormat="1" applyFont="1" applyFill="1" applyBorder="1"/>
    <xf numFmtId="9" fontId="195" fillId="57" borderId="0" xfId="52" applyNumberFormat="1" applyFont="1" applyFill="1" applyBorder="1"/>
    <xf numFmtId="9" fontId="195" fillId="0" borderId="237" xfId="0" applyNumberFormat="1" applyFont="1" applyFill="1" applyBorder="1" applyAlignment="1">
      <alignment horizontal="right"/>
    </xf>
    <xf numFmtId="9" fontId="195" fillId="0" borderId="157" xfId="0" applyNumberFormat="1" applyFont="1" applyFill="1" applyBorder="1" applyAlignment="1">
      <alignment horizontal="right"/>
    </xf>
    <xf numFmtId="9" fontId="195" fillId="0" borderId="106" xfId="52" applyNumberFormat="1" applyFont="1" applyFill="1" applyBorder="1" applyAlignment="1">
      <alignment horizontal="right"/>
    </xf>
    <xf numFmtId="9" fontId="206" fillId="49" borderId="0" xfId="52" applyNumberFormat="1" applyFont="1" applyFill="1" applyBorder="1" applyAlignment="1">
      <alignment horizontal="right"/>
    </xf>
    <xf numFmtId="37" fontId="57" fillId="0" borderId="0" xfId="52" applyNumberFormat="1" applyFont="1" applyFill="1" applyBorder="1" applyAlignment="1">
      <alignment horizontal="right"/>
    </xf>
    <xf numFmtId="5" fontId="14" fillId="9" borderId="0" xfId="1379" applyNumberFormat="1" applyFill="1"/>
    <xf numFmtId="181" fontId="185" fillId="51" borderId="305" xfId="0" applyNumberFormat="1" applyFont="1" applyFill="1" applyBorder="1" applyAlignment="1">
      <alignment horizontal="right"/>
    </xf>
    <xf numFmtId="165" fontId="56" fillId="0" borderId="234" xfId="42" applyNumberFormat="1" applyFont="1" applyFill="1" applyBorder="1" applyAlignment="1">
      <alignment horizontal="right"/>
    </xf>
    <xf numFmtId="165" fontId="56" fillId="0" borderId="237" xfId="42" applyNumberFormat="1" applyFont="1" applyFill="1" applyBorder="1" applyAlignment="1">
      <alignment horizontal="right"/>
    </xf>
    <xf numFmtId="43" fontId="56" fillId="0" borderId="125" xfId="52" applyNumberFormat="1" applyFont="1" applyBorder="1" applyAlignment="1">
      <alignment horizontal="left"/>
    </xf>
    <xf numFmtId="165" fontId="56" fillId="0" borderId="87" xfId="52" applyNumberFormat="1" applyFont="1" applyBorder="1" applyAlignment="1">
      <alignment horizontal="right"/>
    </xf>
    <xf numFmtId="165" fontId="56" fillId="0" borderId="208" xfId="52" applyNumberFormat="1" applyFont="1" applyBorder="1" applyAlignment="1">
      <alignment horizontal="right"/>
    </xf>
    <xf numFmtId="165" fontId="56" fillId="0" borderId="208" xfId="52" applyNumberFormat="1" applyFont="1" applyFill="1" applyBorder="1" applyAlignment="1">
      <alignment horizontal="right"/>
    </xf>
    <xf numFmtId="165" fontId="56" fillId="0" borderId="134" xfId="52" applyNumberFormat="1" applyFont="1" applyBorder="1" applyAlignment="1">
      <alignment horizontal="right"/>
    </xf>
    <xf numFmtId="165" fontId="56" fillId="0" borderId="298" xfId="52" applyNumberFormat="1" applyFont="1" applyBorder="1" applyAlignment="1">
      <alignment horizontal="right"/>
    </xf>
    <xf numFmtId="166" fontId="56" fillId="0" borderId="298" xfId="52" applyNumberFormat="1" applyFont="1" applyBorder="1" applyAlignment="1">
      <alignment horizontal="right"/>
    </xf>
    <xf numFmtId="166" fontId="189" fillId="0" borderId="87" xfId="52" applyNumberFormat="1" applyFont="1" applyBorder="1" applyAlignment="1">
      <alignment horizontal="right"/>
    </xf>
    <xf numFmtId="166" fontId="189" fillId="0" borderId="208" xfId="52" applyNumberFormat="1" applyFont="1" applyBorder="1" applyAlignment="1">
      <alignment horizontal="right"/>
    </xf>
    <xf numFmtId="166" fontId="56" fillId="0" borderId="208" xfId="52" applyNumberFormat="1" applyFont="1" applyBorder="1" applyAlignment="1">
      <alignment horizontal="right"/>
    </xf>
    <xf numFmtId="166" fontId="56" fillId="0" borderId="87" xfId="52" applyNumberFormat="1" applyFont="1" applyBorder="1" applyAlignment="1">
      <alignment horizontal="right"/>
    </xf>
    <xf numFmtId="166" fontId="56" fillId="0" borderId="133" xfId="52" applyNumberFormat="1" applyFont="1" applyBorder="1" applyAlignment="1">
      <alignment horizontal="right"/>
    </xf>
    <xf numFmtId="166" fontId="56" fillId="0" borderId="127" xfId="52" applyNumberFormat="1" applyFont="1" applyBorder="1" applyAlignment="1">
      <alignment horizontal="right"/>
    </xf>
    <xf numFmtId="166" fontId="56" fillId="0" borderId="295" xfId="52" applyNumberFormat="1" applyFont="1" applyBorder="1" applyAlignment="1">
      <alignment horizontal="right"/>
    </xf>
    <xf numFmtId="9" fontId="188" fillId="58" borderId="0" xfId="52" applyFont="1" applyFill="1" applyBorder="1"/>
    <xf numFmtId="166" fontId="186" fillId="67" borderId="266" xfId="52" applyNumberFormat="1" applyFont="1" applyFill="1" applyBorder="1" applyAlignment="1">
      <alignment horizontal="right"/>
    </xf>
    <xf numFmtId="43" fontId="185" fillId="65" borderId="266" xfId="0" applyNumberFormat="1" applyFont="1" applyFill="1" applyBorder="1" applyAlignment="1">
      <alignment horizontal="right"/>
    </xf>
    <xf numFmtId="166" fontId="185" fillId="65" borderId="266" xfId="52" applyNumberFormat="1" applyFont="1" applyFill="1" applyBorder="1" applyAlignment="1">
      <alignment horizontal="right"/>
    </xf>
    <xf numFmtId="177" fontId="195" fillId="67" borderId="266" xfId="10" applyNumberFormat="1" applyFont="1" applyFill="1" applyBorder="1" applyAlignment="1">
      <alignment horizontal="right"/>
    </xf>
    <xf numFmtId="177" fontId="186" fillId="67" borderId="266" xfId="10" applyNumberFormat="1" applyFont="1" applyFill="1" applyBorder="1" applyAlignment="1">
      <alignment horizontal="right"/>
    </xf>
    <xf numFmtId="186" fontId="240" fillId="0" borderId="157" xfId="52" applyNumberFormat="1" applyFont="1" applyFill="1" applyBorder="1" applyAlignment="1">
      <alignment horizontal="right"/>
    </xf>
    <xf numFmtId="166" fontId="56" fillId="51" borderId="298" xfId="52" applyNumberFormat="1" applyFont="1" applyFill="1" applyBorder="1" applyAlignment="1">
      <alignment horizontal="right"/>
    </xf>
    <xf numFmtId="166" fontId="240" fillId="65" borderId="266" xfId="52" applyNumberFormat="1" applyFont="1" applyFill="1" applyBorder="1" applyAlignment="1">
      <alignment horizontal="right"/>
    </xf>
    <xf numFmtId="177" fontId="185" fillId="67" borderId="237" xfId="10" applyNumberFormat="1" applyFont="1" applyFill="1" applyBorder="1" applyAlignment="1">
      <alignment horizontal="right"/>
    </xf>
    <xf numFmtId="166" fontId="206" fillId="49" borderId="237" xfId="52" applyNumberFormat="1" applyFont="1" applyFill="1" applyBorder="1" applyAlignment="1">
      <alignment horizontal="right"/>
    </xf>
    <xf numFmtId="9" fontId="206" fillId="49" borderId="237" xfId="52" applyNumberFormat="1" applyFont="1" applyFill="1" applyBorder="1" applyAlignment="1">
      <alignment horizontal="right"/>
    </xf>
    <xf numFmtId="177" fontId="188" fillId="67" borderId="237" xfId="10" applyNumberFormat="1" applyFont="1" applyFill="1" applyBorder="1" applyAlignment="1">
      <alignment horizontal="right"/>
    </xf>
    <xf numFmtId="41" fontId="188" fillId="0" borderId="299" xfId="0" applyNumberFormat="1" applyFont="1" applyFill="1" applyBorder="1" applyAlignment="1">
      <alignment horizontal="left"/>
    </xf>
    <xf numFmtId="0" fontId="185" fillId="0" borderId="299" xfId="0" quotePrefix="1" applyFont="1" applyFill="1" applyBorder="1" applyAlignment="1">
      <alignment horizontal="center"/>
    </xf>
    <xf numFmtId="43" fontId="243" fillId="59" borderId="157" xfId="0" applyNumberFormat="1" applyFont="1" applyFill="1" applyBorder="1"/>
    <xf numFmtId="37" fontId="228" fillId="59" borderId="157" xfId="0" applyNumberFormat="1" applyFont="1" applyFill="1" applyBorder="1"/>
    <xf numFmtId="43" fontId="185" fillId="58" borderId="157" xfId="0" applyNumberFormat="1" applyFont="1" applyFill="1" applyBorder="1"/>
    <xf numFmtId="37" fontId="188" fillId="58" borderId="157" xfId="0" applyNumberFormat="1" applyFont="1" applyFill="1" applyBorder="1"/>
    <xf numFmtId="41" fontId="56" fillId="0" borderId="157" xfId="0" applyNumberFormat="1" applyFont="1" applyBorder="1" applyAlignment="1">
      <alignment horizontal="left" indent="1"/>
    </xf>
    <xf numFmtId="165" fontId="56" fillId="0" borderId="0" xfId="0" applyNumberFormat="1" applyFont="1" applyFill="1" applyAlignment="1">
      <alignment horizontal="center"/>
    </xf>
    <xf numFmtId="37" fontId="188" fillId="0" borderId="0" xfId="52" applyNumberFormat="1" applyFont="1" applyFill="1" applyBorder="1" applyAlignment="1">
      <alignment horizontal="right"/>
    </xf>
    <xf numFmtId="37" fontId="32" fillId="0" borderId="0" xfId="52" applyNumberFormat="1" applyFont="1" applyFill="1" applyBorder="1" applyAlignment="1">
      <alignment horizontal="right"/>
    </xf>
    <xf numFmtId="166" fontId="242" fillId="0" borderId="237" xfId="52" applyNumberFormat="1" applyFont="1" applyFill="1" applyBorder="1" applyAlignment="1">
      <alignment horizontal="right"/>
    </xf>
    <xf numFmtId="166" fontId="186" fillId="65" borderId="316" xfId="52" applyNumberFormat="1" applyFont="1" applyFill="1" applyBorder="1" applyAlignment="1">
      <alignment horizontal="right"/>
    </xf>
    <xf numFmtId="166" fontId="56" fillId="0" borderId="304" xfId="0" applyNumberFormat="1" applyFont="1" applyFill="1" applyBorder="1" applyAlignment="1">
      <alignment horizontal="right"/>
    </xf>
    <xf numFmtId="165" fontId="56" fillId="0" borderId="237" xfId="0" applyNumberFormat="1" applyFont="1" applyBorder="1" applyAlignment="1">
      <alignment horizontal="right"/>
    </xf>
    <xf numFmtId="9" fontId="56" fillId="0" borderId="237" xfId="0" applyNumberFormat="1" applyFont="1" applyBorder="1" applyAlignment="1">
      <alignment horizontal="right"/>
    </xf>
    <xf numFmtId="37" fontId="56" fillId="0" borderId="316" xfId="0" applyNumberFormat="1" applyFont="1" applyFill="1" applyBorder="1"/>
    <xf numFmtId="171" fontId="56" fillId="0" borderId="317" xfId="52" applyNumberFormat="1" applyFont="1" applyBorder="1" applyAlignment="1">
      <alignment horizontal="right"/>
    </xf>
    <xf numFmtId="165" fontId="186" fillId="0" borderId="299" xfId="0" applyNumberFormat="1" applyFont="1" applyBorder="1" applyAlignment="1">
      <alignment horizontal="right"/>
    </xf>
    <xf numFmtId="37" fontId="186" fillId="0" borderId="299" xfId="0" applyNumberFormat="1" applyFont="1" applyFill="1" applyBorder="1" applyAlignment="1">
      <alignment horizontal="right"/>
    </xf>
    <xf numFmtId="0" fontId="240" fillId="0" borderId="0" xfId="67" applyFont="1" applyFill="1" applyBorder="1" applyAlignment="1">
      <alignment horizontal="center"/>
    </xf>
    <xf numFmtId="174" fontId="186" fillId="0" borderId="318" xfId="41" applyFont="1" applyFill="1" applyBorder="1"/>
    <xf numFmtId="166" fontId="184" fillId="0" borderId="318" xfId="41" applyNumberFormat="1" applyFont="1" applyFill="1" applyBorder="1"/>
    <xf numFmtId="166" fontId="189" fillId="0" borderId="318" xfId="41" applyNumberFormat="1" applyFont="1" applyFill="1" applyBorder="1" applyProtection="1"/>
    <xf numFmtId="174" fontId="56" fillId="0" borderId="318" xfId="41" applyFont="1" applyFill="1" applyBorder="1"/>
    <xf numFmtId="174" fontId="188" fillId="0" borderId="318" xfId="41" applyFont="1" applyFill="1" applyBorder="1"/>
    <xf numFmtId="174" fontId="185" fillId="50" borderId="26" xfId="41" applyFont="1" applyFill="1" applyBorder="1"/>
    <xf numFmtId="174" fontId="186" fillId="0" borderId="19" xfId="41" applyFont="1" applyFill="1" applyBorder="1"/>
    <xf numFmtId="41" fontId="185" fillId="47" borderId="299" xfId="41" applyNumberFormat="1" applyFont="1" applyFill="1" applyBorder="1" applyAlignment="1">
      <alignment horizontal="left"/>
    </xf>
    <xf numFmtId="49" fontId="185" fillId="47" borderId="299" xfId="41" applyNumberFormat="1" applyFont="1" applyFill="1" applyBorder="1" applyAlignment="1">
      <alignment horizontal="center"/>
    </xf>
    <xf numFmtId="0" fontId="185" fillId="47" borderId="299" xfId="41" quotePrefix="1" applyNumberFormat="1" applyFont="1" applyFill="1" applyBorder="1" applyAlignment="1">
      <alignment horizontal="center"/>
    </xf>
    <xf numFmtId="0" fontId="56" fillId="0" borderId="316" xfId="0" applyFont="1" applyFill="1" applyBorder="1"/>
    <xf numFmtId="0" fontId="56" fillId="0" borderId="316" xfId="0" applyFont="1" applyBorder="1" applyAlignment="1">
      <alignment horizontal="right"/>
    </xf>
    <xf numFmtId="177" fontId="56" fillId="0" borderId="319" xfId="10" applyNumberFormat="1" applyFont="1" applyFill="1" applyBorder="1" applyAlignment="1">
      <alignment horizontal="right"/>
    </xf>
    <xf numFmtId="5" fontId="213" fillId="0" borderId="106" xfId="0" applyNumberFormat="1" applyFont="1" applyFill="1" applyBorder="1"/>
    <xf numFmtId="165" fontId="188" fillId="0" borderId="235" xfId="46" applyNumberFormat="1" applyFont="1" applyFill="1" applyBorder="1"/>
    <xf numFmtId="166" fontId="188" fillId="0" borderId="235" xfId="52" applyNumberFormat="1" applyFont="1" applyFill="1" applyBorder="1"/>
    <xf numFmtId="166" fontId="188" fillId="0" borderId="235" xfId="52" applyNumberFormat="1" applyFont="1" applyFill="1" applyBorder="1" applyAlignment="1">
      <alignment horizontal="right"/>
    </xf>
    <xf numFmtId="166" fontId="264" fillId="0" borderId="157" xfId="52" applyNumberFormat="1" applyFont="1" applyFill="1" applyBorder="1" applyAlignment="1">
      <alignment horizontal="right"/>
    </xf>
    <xf numFmtId="166" fontId="242" fillId="0" borderId="157" xfId="52" applyNumberFormat="1" applyFont="1" applyFill="1" applyBorder="1" applyAlignment="1">
      <alignment horizontal="right"/>
    </xf>
    <xf numFmtId="43" fontId="201" fillId="0" borderId="0" xfId="39" applyNumberFormat="1" applyFont="1" applyFill="1" applyBorder="1" applyAlignment="1">
      <alignment horizontal="left" indent="1"/>
    </xf>
    <xf numFmtId="0" fontId="201" fillId="0" borderId="0" xfId="0" applyFont="1" applyFill="1"/>
    <xf numFmtId="165" fontId="201" fillId="0" borderId="0" xfId="46" applyNumberFormat="1" applyFont="1" applyFill="1" applyBorder="1"/>
    <xf numFmtId="166" fontId="201" fillId="0" borderId="14" xfId="52" applyNumberFormat="1" applyFont="1" applyFill="1" applyBorder="1" applyAlignment="1">
      <alignment horizontal="right"/>
    </xf>
    <xf numFmtId="165" fontId="201" fillId="0" borderId="235" xfId="46" applyNumberFormat="1" applyFont="1" applyFill="1" applyBorder="1"/>
    <xf numFmtId="166" fontId="201" fillId="0" borderId="235" xfId="52" applyNumberFormat="1" applyFont="1" applyFill="1" applyBorder="1"/>
    <xf numFmtId="166" fontId="201" fillId="0" borderId="235" xfId="52" applyNumberFormat="1" applyFont="1" applyFill="1" applyBorder="1" applyAlignment="1">
      <alignment horizontal="right"/>
    </xf>
    <xf numFmtId="166" fontId="201" fillId="0" borderId="157" xfId="52" applyNumberFormat="1" applyFont="1" applyFill="1" applyBorder="1" applyAlignment="1">
      <alignment horizontal="right"/>
    </xf>
    <xf numFmtId="166" fontId="270" fillId="0" borderId="0" xfId="52" applyNumberFormat="1" applyFont="1" applyFill="1" applyBorder="1" applyAlignment="1">
      <alignment horizontal="right"/>
    </xf>
    <xf numFmtId="166" fontId="279" fillId="0" borderId="157" xfId="52" applyNumberFormat="1" applyFont="1" applyFill="1" applyBorder="1" applyAlignment="1">
      <alignment horizontal="right"/>
    </xf>
    <xf numFmtId="39" fontId="184" fillId="0" borderId="106" xfId="0" applyNumberFormat="1" applyFont="1" applyFill="1" applyBorder="1" applyAlignment="1">
      <alignment horizontal="right"/>
    </xf>
    <xf numFmtId="177" fontId="198" fillId="67" borderId="0" xfId="10" applyNumberFormat="1" applyFont="1" applyFill="1" applyBorder="1"/>
    <xf numFmtId="166" fontId="195" fillId="0" borderId="0" xfId="0" applyNumberFormat="1" applyFont="1" applyFill="1" applyBorder="1"/>
    <xf numFmtId="165" fontId="186" fillId="0" borderId="181" xfId="52" applyNumberFormat="1" applyFont="1" applyFill="1" applyBorder="1" applyAlignment="1">
      <alignment horizontal="right"/>
    </xf>
    <xf numFmtId="165" fontId="186" fillId="0" borderId="273" xfId="52" applyNumberFormat="1" applyFont="1" applyFill="1" applyBorder="1" applyAlignment="1">
      <alignment horizontal="right"/>
    </xf>
    <xf numFmtId="165" fontId="186" fillId="0" borderId="192" xfId="52" applyNumberFormat="1" applyFont="1" applyFill="1" applyBorder="1" applyAlignment="1">
      <alignment horizontal="right"/>
    </xf>
    <xf numFmtId="41" fontId="186" fillId="0" borderId="236" xfId="0" applyNumberFormat="1" applyFont="1" applyBorder="1" applyAlignment="1">
      <alignment horizontal="left" indent="2"/>
    </xf>
    <xf numFmtId="37" fontId="186" fillId="0" borderId="0" xfId="0" applyNumberFormat="1" applyFont="1" applyBorder="1"/>
    <xf numFmtId="165" fontId="186" fillId="0" borderId="237" xfId="52" applyNumberFormat="1" applyFont="1" applyFill="1" applyBorder="1" applyAlignment="1">
      <alignment horizontal="right"/>
    </xf>
    <xf numFmtId="41" fontId="186" fillId="0" borderId="236" xfId="0" quotePrefix="1" applyNumberFormat="1" applyFont="1" applyBorder="1" applyAlignment="1">
      <alignment horizontal="left" indent="2"/>
    </xf>
    <xf numFmtId="37" fontId="56" fillId="0" borderId="212" xfId="10" applyNumberFormat="1" applyFont="1" applyFill="1" applyBorder="1" applyAlignment="1">
      <alignment horizontal="right"/>
    </xf>
    <xf numFmtId="37" fontId="56" fillId="0" borderId="66" xfId="10" applyNumberFormat="1" applyFont="1" applyFill="1" applyBorder="1" applyAlignment="1">
      <alignment horizontal="right"/>
    </xf>
    <xf numFmtId="9" fontId="187" fillId="0" borderId="0" xfId="0" applyNumberFormat="1" applyFont="1" applyFill="1" applyBorder="1" applyAlignment="1">
      <alignment horizontal="right"/>
    </xf>
    <xf numFmtId="9" fontId="213" fillId="51" borderId="0" xfId="0" applyNumberFormat="1" applyFont="1" applyFill="1" applyBorder="1" applyAlignment="1">
      <alignment horizontal="right"/>
    </xf>
    <xf numFmtId="9" fontId="187" fillId="0" borderId="106" xfId="0" applyNumberFormat="1" applyFont="1" applyFill="1" applyBorder="1" applyAlignment="1">
      <alignment horizontal="right"/>
    </xf>
    <xf numFmtId="9" fontId="213" fillId="0" borderId="0" xfId="0" applyNumberFormat="1" applyFont="1" applyFill="1" applyBorder="1" applyAlignment="1">
      <alignment horizontal="right"/>
    </xf>
    <xf numFmtId="9" fontId="213" fillId="0" borderId="65" xfId="0" applyNumberFormat="1" applyFont="1" applyFill="1" applyBorder="1" applyAlignment="1">
      <alignment horizontal="right"/>
    </xf>
    <xf numFmtId="9" fontId="56" fillId="51" borderId="0" xfId="0" applyNumberFormat="1" applyFont="1" applyFill="1" applyBorder="1" applyAlignment="1">
      <alignment horizontal="right"/>
    </xf>
    <xf numFmtId="9" fontId="56" fillId="0" borderId="65" xfId="0" applyNumberFormat="1" applyFont="1" applyFill="1" applyBorder="1" applyAlignment="1">
      <alignment horizontal="right"/>
    </xf>
    <xf numFmtId="9" fontId="184" fillId="0" borderId="0" xfId="0" applyNumberFormat="1" applyFont="1" applyFill="1" applyBorder="1" applyAlignment="1">
      <alignment horizontal="right"/>
    </xf>
    <xf numFmtId="9" fontId="184" fillId="51" borderId="0" xfId="0" applyNumberFormat="1" applyFont="1" applyFill="1" applyBorder="1" applyAlignment="1">
      <alignment horizontal="right"/>
    </xf>
    <xf numFmtId="9" fontId="184" fillId="0" borderId="65" xfId="0" applyNumberFormat="1" applyFont="1" applyFill="1" applyBorder="1" applyAlignment="1">
      <alignment horizontal="right"/>
    </xf>
    <xf numFmtId="9" fontId="209" fillId="0" borderId="0" xfId="0" applyNumberFormat="1" applyFont="1" applyFill="1" applyBorder="1" applyAlignment="1">
      <alignment horizontal="right"/>
    </xf>
    <xf numFmtId="9" fontId="56" fillId="67" borderId="143" xfId="52" applyNumberFormat="1" applyFont="1" applyFill="1" applyBorder="1" applyAlignment="1">
      <alignment horizontal="right"/>
    </xf>
    <xf numFmtId="9" fontId="56" fillId="67" borderId="182" xfId="52" applyNumberFormat="1" applyFont="1" applyFill="1" applyBorder="1" applyAlignment="1">
      <alignment horizontal="right"/>
    </xf>
    <xf numFmtId="9" fontId="56" fillId="0" borderId="0" xfId="52" applyNumberFormat="1" applyFont="1" applyFill="1" applyBorder="1" applyAlignment="1">
      <alignment horizontal="right"/>
    </xf>
    <xf numFmtId="9" fontId="56" fillId="0" borderId="65" xfId="52" applyNumberFormat="1" applyFont="1" applyFill="1" applyBorder="1" applyAlignment="1">
      <alignment horizontal="right"/>
    </xf>
    <xf numFmtId="9" fontId="213" fillId="0" borderId="106" xfId="0" applyNumberFormat="1" applyFont="1" applyFill="1" applyBorder="1" applyAlignment="1">
      <alignment horizontal="right"/>
    </xf>
    <xf numFmtId="166" fontId="184" fillId="0" borderId="320" xfId="52" applyNumberFormat="1" applyFont="1" applyFill="1" applyBorder="1" applyAlignment="1">
      <alignment horizontal="right"/>
    </xf>
    <xf numFmtId="0" fontId="185" fillId="0" borderId="320" xfId="0" applyFont="1" applyFill="1" applyBorder="1" applyAlignment="1">
      <alignment horizontal="right"/>
    </xf>
    <xf numFmtId="0" fontId="185" fillId="0" borderId="320" xfId="0" quotePrefix="1" applyFont="1" applyFill="1" applyBorder="1" applyAlignment="1">
      <alignment horizontal="right"/>
    </xf>
    <xf numFmtId="0" fontId="185" fillId="0" borderId="320" xfId="0" applyFont="1" applyFill="1" applyBorder="1" applyAlignment="1">
      <alignment horizontal="center"/>
    </xf>
    <xf numFmtId="0" fontId="185" fillId="65" borderId="324" xfId="0" applyFont="1" applyFill="1" applyBorder="1" applyAlignment="1">
      <alignment horizontal="right"/>
    </xf>
    <xf numFmtId="0" fontId="185" fillId="65" borderId="323" xfId="0" applyFont="1" applyFill="1" applyBorder="1" applyAlignment="1">
      <alignment horizontal="right"/>
    </xf>
    <xf numFmtId="166" fontId="185" fillId="65" borderId="323" xfId="52" applyNumberFormat="1" applyFont="1" applyFill="1" applyBorder="1" applyAlignment="1">
      <alignment horizontal="right"/>
    </xf>
    <xf numFmtId="165" fontId="56" fillId="0" borderId="322" xfId="42" applyNumberFormat="1" applyFont="1" applyFill="1" applyBorder="1" applyAlignment="1">
      <alignment horizontal="right"/>
    </xf>
    <xf numFmtId="165" fontId="234" fillId="0" borderId="322" xfId="42" applyNumberFormat="1" applyFont="1" applyFill="1" applyBorder="1" applyAlignment="1">
      <alignment horizontal="right"/>
    </xf>
    <xf numFmtId="165" fontId="234" fillId="0" borderId="320" xfId="42" applyNumberFormat="1" applyFont="1" applyFill="1" applyBorder="1" applyAlignment="1">
      <alignment horizontal="right"/>
    </xf>
    <xf numFmtId="177" fontId="186" fillId="67" borderId="323" xfId="10" applyNumberFormat="1" applyFont="1" applyFill="1" applyBorder="1" applyAlignment="1">
      <alignment horizontal="right"/>
    </xf>
    <xf numFmtId="166" fontId="186" fillId="67" borderId="323" xfId="52" applyNumberFormat="1" applyFont="1" applyFill="1" applyBorder="1" applyAlignment="1">
      <alignment horizontal="right"/>
    </xf>
    <xf numFmtId="165" fontId="240" fillId="0" borderId="106" xfId="42" applyNumberFormat="1" applyFont="1" applyBorder="1" applyAlignment="1">
      <alignment horizontal="right"/>
    </xf>
    <xf numFmtId="177" fontId="186" fillId="67" borderId="325" xfId="10" applyNumberFormat="1" applyFont="1" applyFill="1" applyBorder="1" applyAlignment="1">
      <alignment horizontal="right"/>
    </xf>
    <xf numFmtId="166" fontId="56" fillId="0" borderId="320" xfId="52" applyNumberFormat="1" applyFont="1" applyBorder="1" applyAlignment="1">
      <alignment horizontal="right"/>
    </xf>
    <xf numFmtId="166" fontId="189" fillId="0" borderId="320" xfId="52" applyNumberFormat="1" applyFont="1" applyBorder="1" applyAlignment="1">
      <alignment horizontal="right"/>
    </xf>
    <xf numFmtId="166" fontId="56" fillId="0" borderId="327" xfId="52" applyNumberFormat="1" applyFont="1" applyBorder="1" applyAlignment="1">
      <alignment horizontal="right"/>
    </xf>
    <xf numFmtId="166" fontId="56" fillId="0" borderId="327" xfId="52" applyNumberFormat="1" applyFont="1" applyFill="1" applyBorder="1" applyAlignment="1">
      <alignment horizontal="right"/>
    </xf>
    <xf numFmtId="166" fontId="56" fillId="0" borderId="320" xfId="52" applyNumberFormat="1" applyFont="1" applyFill="1" applyBorder="1" applyAlignment="1">
      <alignment horizontal="right"/>
    </xf>
    <xf numFmtId="43" fontId="185" fillId="0" borderId="320" xfId="0" applyNumberFormat="1" applyFont="1" applyFill="1" applyBorder="1" applyAlignment="1">
      <alignment horizontal="left"/>
    </xf>
    <xf numFmtId="166" fontId="240" fillId="65" borderId="323" xfId="52" applyNumberFormat="1" applyFont="1" applyFill="1" applyBorder="1" applyAlignment="1">
      <alignment horizontal="right"/>
    </xf>
    <xf numFmtId="177" fontId="185" fillId="67" borderId="157" xfId="10" applyNumberFormat="1" applyFont="1" applyFill="1" applyBorder="1" applyAlignment="1">
      <alignment horizontal="right"/>
    </xf>
    <xf numFmtId="166" fontId="56" fillId="0" borderId="322" xfId="0" applyNumberFormat="1" applyFont="1" applyFill="1" applyBorder="1" applyAlignment="1">
      <alignment horizontal="right"/>
    </xf>
    <xf numFmtId="166" fontId="56" fillId="0" borderId="320" xfId="0" applyNumberFormat="1" applyFont="1" applyFill="1" applyBorder="1" applyAlignment="1">
      <alignment horizontal="right"/>
    </xf>
    <xf numFmtId="166" fontId="56" fillId="0" borderId="321" xfId="0" applyNumberFormat="1" applyFont="1" applyFill="1" applyBorder="1" applyAlignment="1">
      <alignment horizontal="right"/>
    </xf>
    <xf numFmtId="177" fontId="56" fillId="0" borderId="321" xfId="10" applyNumberFormat="1" applyFont="1" applyFill="1" applyBorder="1" applyAlignment="1">
      <alignment horizontal="right"/>
    </xf>
    <xf numFmtId="177" fontId="56" fillId="0" borderId="320" xfId="10" applyNumberFormat="1" applyFont="1" applyFill="1" applyBorder="1" applyAlignment="1">
      <alignment horizontal="right"/>
    </xf>
    <xf numFmtId="166" fontId="52" fillId="0" borderId="0" xfId="52" applyNumberFormat="1" applyFont="1" applyFill="1" applyAlignment="1">
      <alignment horizontal="right"/>
    </xf>
    <xf numFmtId="37" fontId="52" fillId="0" borderId="0" xfId="52" applyNumberFormat="1" applyFont="1" applyFill="1" applyBorder="1" applyAlignment="1">
      <alignment horizontal="right"/>
    </xf>
    <xf numFmtId="37" fontId="187" fillId="0" borderId="320" xfId="10" applyNumberFormat="1" applyFont="1" applyBorder="1" applyAlignment="1">
      <alignment horizontal="right"/>
    </xf>
    <xf numFmtId="37" fontId="187" fillId="0" borderId="320" xfId="10" applyNumberFormat="1" applyFont="1" applyFill="1" applyBorder="1" applyAlignment="1">
      <alignment horizontal="right"/>
    </xf>
    <xf numFmtId="171" fontId="56" fillId="0" borderId="320" xfId="52" applyNumberFormat="1" applyFont="1" applyBorder="1" applyAlignment="1">
      <alignment horizontal="right"/>
    </xf>
    <xf numFmtId="37" fontId="56" fillId="0" borderId="320" xfId="0" applyNumberFormat="1" applyFont="1" applyFill="1" applyBorder="1" applyAlignment="1">
      <alignment horizontal="right"/>
    </xf>
    <xf numFmtId="37" fontId="186" fillId="0" borderId="320" xfId="0" applyNumberFormat="1" applyFont="1" applyFill="1" applyBorder="1" applyAlignment="1">
      <alignment horizontal="right"/>
    </xf>
    <xf numFmtId="165" fontId="218" fillId="0" borderId="320" xfId="0" applyNumberFormat="1" applyFont="1" applyBorder="1" applyAlignment="1">
      <alignment horizontal="right"/>
    </xf>
    <xf numFmtId="10" fontId="56" fillId="0" borderId="192" xfId="52" applyNumberFormat="1" applyFont="1" applyFill="1" applyBorder="1" applyAlignment="1">
      <alignment horizontal="right"/>
    </xf>
    <xf numFmtId="10" fontId="56" fillId="0" borderId="311" xfId="52" applyNumberFormat="1" applyFont="1" applyFill="1" applyBorder="1" applyAlignment="1">
      <alignment horizontal="right"/>
    </xf>
    <xf numFmtId="10" fontId="213" fillId="0" borderId="311" xfId="52" applyNumberFormat="1" applyFont="1" applyFill="1" applyBorder="1" applyAlignment="1">
      <alignment horizontal="right"/>
    </xf>
    <xf numFmtId="10" fontId="213" fillId="0" borderId="192" xfId="52" applyNumberFormat="1" applyFont="1" applyFill="1" applyBorder="1" applyAlignment="1">
      <alignment horizontal="right"/>
    </xf>
    <xf numFmtId="165" fontId="52" fillId="0" borderId="0" xfId="52" applyNumberFormat="1" applyFont="1" applyFill="1" applyAlignment="1">
      <alignment horizontal="right"/>
    </xf>
    <xf numFmtId="10" fontId="52" fillId="0" borderId="0" xfId="52" applyNumberFormat="1" applyFont="1" applyFill="1" applyAlignment="1">
      <alignment horizontal="right"/>
    </xf>
    <xf numFmtId="5" fontId="56" fillId="0" borderId="0" xfId="0" applyNumberFormat="1" applyFont="1" applyBorder="1" applyAlignment="1">
      <alignment horizontal="right"/>
    </xf>
    <xf numFmtId="165" fontId="187" fillId="0" borderId="82" xfId="0" applyNumberFormat="1" applyFont="1" applyFill="1" applyBorder="1" applyAlignment="1">
      <alignment horizontal="right"/>
    </xf>
    <xf numFmtId="9" fontId="184" fillId="0" borderId="106" xfId="42" applyNumberFormat="1" applyFont="1" applyFill="1" applyBorder="1" applyAlignment="1">
      <alignment horizontal="right"/>
    </xf>
    <xf numFmtId="9" fontId="184" fillId="0" borderId="0" xfId="52" applyNumberFormat="1" applyFont="1" applyFill="1" applyBorder="1" applyAlignment="1">
      <alignment horizontal="right"/>
    </xf>
    <xf numFmtId="9" fontId="195" fillId="0" borderId="106" xfId="42" applyNumberFormat="1" applyFont="1" applyFill="1" applyBorder="1" applyAlignment="1">
      <alignment horizontal="right"/>
    </xf>
    <xf numFmtId="9" fontId="234" fillId="0" borderId="322" xfId="42" applyNumberFormat="1" applyFont="1" applyFill="1" applyBorder="1" applyAlignment="1">
      <alignment horizontal="right"/>
    </xf>
    <xf numFmtId="9" fontId="184" fillId="0" borderId="320" xfId="52" applyNumberFormat="1" applyFont="1" applyFill="1" applyBorder="1" applyAlignment="1">
      <alignment horizontal="right"/>
    </xf>
    <xf numFmtId="3" fontId="185" fillId="67" borderId="106" xfId="42" applyNumberFormat="1" applyFont="1" applyFill="1" applyBorder="1" applyAlignment="1">
      <alignment horizontal="right"/>
    </xf>
    <xf numFmtId="3" fontId="185" fillId="67" borderId="0" xfId="42" applyNumberFormat="1" applyFont="1" applyFill="1" applyBorder="1" applyAlignment="1">
      <alignment horizontal="right"/>
    </xf>
    <xf numFmtId="3" fontId="185" fillId="0" borderId="106" xfId="42" applyNumberFormat="1" applyFont="1" applyBorder="1" applyAlignment="1">
      <alignment horizontal="right"/>
    </xf>
    <xf numFmtId="3" fontId="185" fillId="0" borderId="0" xfId="42" applyNumberFormat="1" applyFont="1" applyBorder="1" applyAlignment="1">
      <alignment horizontal="right"/>
    </xf>
    <xf numFmtId="3" fontId="185" fillId="0" borderId="106" xfId="0" applyNumberFormat="1" applyFont="1" applyFill="1" applyBorder="1" applyAlignment="1">
      <alignment horizontal="right"/>
    </xf>
    <xf numFmtId="3" fontId="185" fillId="0" borderId="0" xfId="42" applyNumberFormat="1" applyFont="1" applyFill="1" applyBorder="1" applyAlignment="1">
      <alignment horizontal="right"/>
    </xf>
    <xf numFmtId="3" fontId="185" fillId="0" borderId="0" xfId="0" applyNumberFormat="1" applyFont="1" applyBorder="1" applyAlignment="1">
      <alignment horizontal="right"/>
    </xf>
    <xf numFmtId="3" fontId="185" fillId="0" borderId="157" xfId="52" applyNumberFormat="1" applyFont="1" applyFill="1" applyBorder="1" applyAlignment="1">
      <alignment horizontal="right"/>
    </xf>
    <xf numFmtId="3" fontId="198" fillId="0" borderId="0" xfId="10" applyNumberFormat="1" applyFont="1" applyFill="1" applyBorder="1" applyAlignment="1">
      <alignment horizontal="right"/>
    </xf>
    <xf numFmtId="3" fontId="185" fillId="0" borderId="106" xfId="52" applyNumberFormat="1" applyFont="1" applyFill="1" applyBorder="1" applyAlignment="1">
      <alignment horizontal="right"/>
    </xf>
    <xf numFmtId="9" fontId="56" fillId="0" borderId="106" xfId="52" applyNumberFormat="1" applyFont="1" applyFill="1" applyBorder="1" applyAlignment="1">
      <alignment horizontal="right"/>
    </xf>
    <xf numFmtId="9" fontId="56" fillId="0" borderId="0" xfId="52" applyNumberFormat="1" applyFont="1" applyBorder="1" applyAlignment="1">
      <alignment horizontal="right"/>
    </xf>
    <xf numFmtId="9" fontId="184" fillId="0" borderId="106" xfId="52" applyNumberFormat="1" applyFont="1" applyFill="1" applyBorder="1" applyAlignment="1">
      <alignment horizontal="right"/>
    </xf>
    <xf numFmtId="9" fontId="184" fillId="0" borderId="157" xfId="52" applyNumberFormat="1" applyFont="1" applyFill="1" applyBorder="1" applyAlignment="1">
      <alignment horizontal="right"/>
    </xf>
    <xf numFmtId="9" fontId="56" fillId="0" borderId="157" xfId="52" applyNumberFormat="1" applyFont="1" applyFill="1" applyBorder="1" applyAlignment="1">
      <alignment horizontal="right"/>
    </xf>
    <xf numFmtId="9" fontId="56" fillId="0" borderId="327" xfId="52" applyNumberFormat="1" applyFont="1" applyFill="1" applyBorder="1" applyAlignment="1">
      <alignment horizontal="right"/>
    </xf>
    <xf numFmtId="9" fontId="56" fillId="0" borderId="320" xfId="52" applyNumberFormat="1" applyFont="1" applyBorder="1" applyAlignment="1">
      <alignment horizontal="right"/>
    </xf>
    <xf numFmtId="37" fontId="186" fillId="0" borderId="106" xfId="52" applyNumberFormat="1" applyFont="1" applyFill="1" applyBorder="1" applyAlignment="1">
      <alignment horizontal="right"/>
    </xf>
    <xf numFmtId="37" fontId="218" fillId="0" borderId="0" xfId="52" applyNumberFormat="1" applyFont="1" applyFill="1" applyBorder="1" applyAlignment="1">
      <alignment horizontal="right"/>
    </xf>
    <xf numFmtId="37" fontId="186" fillId="0" borderId="139" xfId="52" applyNumberFormat="1" applyFont="1" applyFill="1" applyBorder="1" applyAlignment="1">
      <alignment horizontal="right"/>
    </xf>
    <xf numFmtId="37" fontId="186" fillId="0" borderId="266" xfId="52" applyNumberFormat="1" applyFont="1" applyFill="1" applyBorder="1" applyAlignment="1">
      <alignment horizontal="right"/>
    </xf>
    <xf numFmtId="37" fontId="185" fillId="67" borderId="139" xfId="42" applyNumberFormat="1" applyFont="1" applyFill="1" applyBorder="1" applyAlignment="1">
      <alignment horizontal="right"/>
    </xf>
    <xf numFmtId="37" fontId="185" fillId="67" borderId="266" xfId="42" applyNumberFormat="1" applyFont="1" applyFill="1" applyBorder="1" applyAlignment="1">
      <alignment horizontal="right"/>
    </xf>
    <xf numFmtId="37" fontId="186" fillId="0" borderId="157" xfId="52" applyNumberFormat="1" applyFont="1" applyFill="1" applyBorder="1" applyAlignment="1">
      <alignment horizontal="right"/>
    </xf>
    <xf numFmtId="37" fontId="185" fillId="67" borderId="297" xfId="42" applyNumberFormat="1" applyFont="1" applyFill="1" applyBorder="1" applyAlignment="1">
      <alignment horizontal="right"/>
    </xf>
    <xf numFmtId="37" fontId="198" fillId="67" borderId="266" xfId="42" applyNumberFormat="1" applyFont="1" applyFill="1" applyBorder="1" applyAlignment="1">
      <alignment horizontal="right"/>
    </xf>
    <xf numFmtId="37" fontId="198" fillId="67" borderId="298" xfId="42" applyNumberFormat="1" applyFont="1" applyFill="1" applyBorder="1" applyAlignment="1">
      <alignment horizontal="right"/>
    </xf>
    <xf numFmtId="37" fontId="198" fillId="67" borderId="208" xfId="42" applyNumberFormat="1" applyFont="1" applyFill="1" applyBorder="1" applyAlignment="1">
      <alignment horizontal="right"/>
    </xf>
    <xf numFmtId="37" fontId="185" fillId="67" borderId="298" xfId="42" applyNumberFormat="1" applyFont="1" applyFill="1" applyBorder="1" applyAlignment="1">
      <alignment horizontal="right"/>
    </xf>
    <xf numFmtId="37" fontId="52" fillId="0" borderId="0" xfId="52" applyNumberFormat="1" applyFont="1" applyFill="1" applyAlignment="1">
      <alignment horizontal="right"/>
    </xf>
    <xf numFmtId="9" fontId="193" fillId="0" borderId="0" xfId="52" applyFont="1" applyFill="1" applyBorder="1" applyAlignment="1">
      <alignment horizontal="right"/>
    </xf>
    <xf numFmtId="37" fontId="193" fillId="0" borderId="0" xfId="52" applyNumberFormat="1" applyFont="1" applyFill="1" applyBorder="1" applyAlignment="1">
      <alignment horizontal="right"/>
    </xf>
    <xf numFmtId="0" fontId="56" fillId="0" borderId="315" xfId="0" applyFont="1" applyFill="1" applyBorder="1"/>
    <xf numFmtId="0" fontId="56" fillId="0" borderId="315" xfId="0" applyFont="1" applyBorder="1"/>
    <xf numFmtId="166" fontId="56" fillId="0" borderId="320" xfId="39" applyNumberFormat="1" applyFont="1" applyFill="1" applyBorder="1" applyAlignment="1">
      <alignment horizontal="right"/>
    </xf>
    <xf numFmtId="41" fontId="186" fillId="0" borderId="237" xfId="0" applyNumberFormat="1" applyFont="1" applyBorder="1" applyAlignment="1">
      <alignment horizontal="left"/>
    </xf>
    <xf numFmtId="170" fontId="186" fillId="0" borderId="0" xfId="20" applyNumberFormat="1" applyFont="1" applyFill="1" applyBorder="1" applyAlignment="1">
      <alignment horizontal="right"/>
    </xf>
    <xf numFmtId="170" fontId="186" fillId="0" borderId="22" xfId="20" applyNumberFormat="1" applyFont="1" applyFill="1" applyBorder="1" applyAlignment="1">
      <alignment horizontal="right"/>
    </xf>
    <xf numFmtId="170" fontId="186" fillId="0" borderId="234" xfId="20" applyNumberFormat="1" applyFont="1" applyFill="1" applyBorder="1" applyAlignment="1">
      <alignment horizontal="right"/>
    </xf>
    <xf numFmtId="43" fontId="186" fillId="0" borderId="234" xfId="10" applyFont="1" applyFill="1" applyBorder="1" applyAlignment="1">
      <alignment horizontal="right"/>
    </xf>
    <xf numFmtId="43" fontId="186" fillId="0" borderId="0" xfId="10" applyFont="1" applyFill="1" applyBorder="1" applyAlignment="1">
      <alignment horizontal="right"/>
    </xf>
    <xf numFmtId="170" fontId="186" fillId="0" borderId="235" xfId="20" applyNumberFormat="1" applyFont="1" applyFill="1" applyBorder="1" applyAlignment="1">
      <alignment horizontal="right"/>
    </xf>
    <xf numFmtId="170" fontId="186" fillId="0" borderId="237" xfId="20" applyNumberFormat="1" applyFont="1" applyFill="1" applyBorder="1" applyAlignment="1">
      <alignment horizontal="right"/>
    </xf>
    <xf numFmtId="170" fontId="186" fillId="0" borderId="236" xfId="20" applyNumberFormat="1" applyFont="1" applyFill="1" applyBorder="1" applyAlignment="1">
      <alignment horizontal="right"/>
    </xf>
    <xf numFmtId="9" fontId="195" fillId="0" borderId="237" xfId="52" applyFont="1" applyFill="1" applyBorder="1" applyAlignment="1">
      <alignment horizontal="right"/>
    </xf>
    <xf numFmtId="165" fontId="56" fillId="0" borderId="237" xfId="52" applyNumberFormat="1" applyFont="1" applyBorder="1" applyAlignment="1">
      <alignment horizontal="right"/>
    </xf>
    <xf numFmtId="5" fontId="56" fillId="0" borderId="237" xfId="52" applyNumberFormat="1" applyFont="1" applyFill="1" applyBorder="1" applyAlignment="1">
      <alignment horizontal="right"/>
    </xf>
    <xf numFmtId="197" fontId="56" fillId="0" borderId="0" xfId="52" applyNumberFormat="1" applyFont="1" applyBorder="1" applyAlignment="1">
      <alignment horizontal="right"/>
    </xf>
    <xf numFmtId="197" fontId="56" fillId="0" borderId="121" xfId="52" applyNumberFormat="1" applyFont="1" applyBorder="1" applyAlignment="1">
      <alignment horizontal="right"/>
    </xf>
    <xf numFmtId="197" fontId="56" fillId="0" borderId="0" xfId="52" applyNumberFormat="1" applyFont="1" applyFill="1" applyBorder="1" applyAlignment="1">
      <alignment horizontal="right"/>
    </xf>
    <xf numFmtId="5" fontId="56" fillId="0" borderId="0" xfId="52" applyNumberFormat="1" applyFont="1" applyFill="1" applyBorder="1" applyAlignment="1">
      <alignment horizontal="right"/>
    </xf>
    <xf numFmtId="5" fontId="56" fillId="0" borderId="65" xfId="52" applyNumberFormat="1" applyFont="1" applyFill="1" applyBorder="1" applyAlignment="1">
      <alignment horizontal="right"/>
    </xf>
    <xf numFmtId="9" fontId="187" fillId="0" borderId="65" xfId="52" applyFont="1" applyFill="1" applyBorder="1" applyAlignment="1">
      <alignment horizontal="right"/>
    </xf>
    <xf numFmtId="9" fontId="187" fillId="0" borderId="106" xfId="52" applyFont="1" applyFill="1" applyBorder="1" applyAlignment="1">
      <alignment horizontal="right"/>
    </xf>
    <xf numFmtId="165" fontId="188" fillId="0" borderId="266" xfId="42" applyNumberFormat="1" applyFont="1" applyFill="1" applyBorder="1"/>
    <xf numFmtId="165" fontId="188" fillId="0" borderId="316" xfId="42" applyNumberFormat="1" applyFont="1" applyBorder="1"/>
    <xf numFmtId="165" fontId="188" fillId="0" borderId="285" xfId="42" applyNumberFormat="1" applyFont="1" applyFill="1" applyBorder="1"/>
    <xf numFmtId="37" fontId="188" fillId="0" borderId="316" xfId="42" applyNumberFormat="1" applyFont="1" applyFill="1" applyBorder="1"/>
    <xf numFmtId="37" fontId="188" fillId="0" borderId="324" xfId="42" applyNumberFormat="1" applyFont="1" applyBorder="1"/>
    <xf numFmtId="37" fontId="188" fillId="0" borderId="266" xfId="42" applyNumberFormat="1" applyFont="1" applyBorder="1"/>
    <xf numFmtId="37" fontId="188" fillId="0" borderId="285" xfId="42" applyNumberFormat="1" applyFont="1" applyFill="1" applyBorder="1"/>
    <xf numFmtId="37" fontId="188" fillId="0" borderId="266" xfId="42" applyNumberFormat="1" applyFont="1" applyFill="1" applyBorder="1"/>
    <xf numFmtId="37" fontId="188" fillId="0" borderId="324" xfId="42" applyNumberFormat="1" applyFont="1" applyFill="1" applyBorder="1"/>
    <xf numFmtId="37" fontId="207" fillId="0" borderId="324" xfId="42" applyNumberFormat="1" applyFont="1" applyFill="1" applyBorder="1"/>
    <xf numFmtId="37" fontId="207" fillId="0" borderId="266" xfId="42" applyNumberFormat="1" applyFont="1" applyFill="1" applyBorder="1"/>
    <xf numFmtId="37" fontId="202" fillId="0" borderId="324" xfId="42" applyNumberFormat="1" applyFont="1" applyFill="1" applyBorder="1"/>
    <xf numFmtId="37" fontId="202" fillId="0" borderId="266" xfId="42" applyNumberFormat="1" applyFont="1" applyFill="1" applyBorder="1"/>
    <xf numFmtId="37" fontId="188" fillId="0" borderId="323" xfId="42" applyNumberFormat="1" applyFont="1" applyFill="1" applyBorder="1"/>
    <xf numFmtId="37" fontId="202" fillId="0" borderId="151" xfId="42" applyNumberFormat="1" applyFont="1" applyFill="1" applyBorder="1"/>
    <xf numFmtId="37" fontId="202" fillId="0" borderId="314" xfId="42" applyNumberFormat="1" applyFont="1" applyFill="1" applyBorder="1"/>
    <xf numFmtId="9" fontId="209" fillId="0" borderId="64" xfId="52" applyFont="1" applyFill="1" applyBorder="1" applyAlignment="1">
      <alignment horizontal="right"/>
    </xf>
    <xf numFmtId="9" fontId="187" fillId="0" borderId="61" xfId="52" applyFont="1" applyFill="1" applyBorder="1" applyAlignment="1">
      <alignment horizontal="right"/>
    </xf>
    <xf numFmtId="166" fontId="56" fillId="51" borderId="237" xfId="52" applyNumberFormat="1" applyFont="1" applyFill="1" applyBorder="1" applyAlignment="1">
      <alignment horizontal="right"/>
    </xf>
    <xf numFmtId="315" fontId="14" fillId="0" borderId="266" xfId="1379" applyNumberFormat="1" applyBorder="1"/>
    <xf numFmtId="327" fontId="14" fillId="0" borderId="266" xfId="1379" applyNumberFormat="1" applyBorder="1"/>
    <xf numFmtId="325" fontId="14" fillId="0" borderId="110" xfId="1379" applyNumberFormat="1" applyBorder="1"/>
    <xf numFmtId="0" fontId="281" fillId="0" borderId="308" xfId="1379" quotePrefix="1" applyFont="1" applyBorder="1" applyAlignment="1">
      <alignment horizontal="center"/>
    </xf>
    <xf numFmtId="0" fontId="281" fillId="0" borderId="301" xfId="1379" quotePrefix="1" applyFont="1" applyBorder="1" applyAlignment="1">
      <alignment horizontal="center"/>
    </xf>
    <xf numFmtId="0" fontId="35" fillId="56" borderId="299" xfId="659" applyBorder="1">
      <alignment horizontal="left"/>
    </xf>
    <xf numFmtId="165" fontId="188" fillId="0" borderId="53" xfId="46" applyNumberFormat="1" applyFont="1" applyFill="1" applyBorder="1" applyAlignment="1">
      <alignment horizontal="right"/>
    </xf>
    <xf numFmtId="43" fontId="188" fillId="0" borderId="0" xfId="39" applyNumberFormat="1" applyFont="1" applyFill="1" applyBorder="1" applyAlignment="1">
      <alignment horizontal="left"/>
    </xf>
    <xf numFmtId="166" fontId="188" fillId="0" borderId="53" xfId="52" applyNumberFormat="1" applyFont="1" applyFill="1" applyBorder="1" applyAlignment="1">
      <alignment horizontal="right"/>
    </xf>
    <xf numFmtId="166" fontId="188" fillId="0" borderId="65" xfId="52" applyNumberFormat="1" applyFont="1" applyFill="1" applyBorder="1" applyAlignment="1">
      <alignment horizontal="right"/>
    </xf>
    <xf numFmtId="166" fontId="188" fillId="0" borderId="121" xfId="52" applyNumberFormat="1" applyFont="1" applyFill="1" applyBorder="1"/>
    <xf numFmtId="166" fontId="264" fillId="0" borderId="65" xfId="52" applyNumberFormat="1" applyFont="1" applyFill="1" applyBorder="1" applyAlignment="1">
      <alignment horizontal="right"/>
    </xf>
    <xf numFmtId="166" fontId="242" fillId="0" borderId="65" xfId="52" applyNumberFormat="1" applyFont="1" applyFill="1" applyBorder="1" applyAlignment="1">
      <alignment horizontal="right"/>
    </xf>
    <xf numFmtId="0" fontId="56" fillId="0" borderId="121" xfId="0" applyFont="1" applyBorder="1"/>
    <xf numFmtId="0" fontId="56" fillId="0" borderId="236" xfId="0" applyFont="1" applyBorder="1" applyAlignment="1">
      <alignment horizontal="right"/>
    </xf>
    <xf numFmtId="165" fontId="261" fillId="0" borderId="237" xfId="0" applyNumberFormat="1" applyFont="1" applyBorder="1" applyAlignment="1">
      <alignment horizontal="right"/>
    </xf>
    <xf numFmtId="43" fontId="185" fillId="67" borderId="118" xfId="39" applyNumberFormat="1" applyFont="1" applyFill="1" applyBorder="1" applyAlignment="1">
      <alignment horizontal="left"/>
    </xf>
    <xf numFmtId="37" fontId="56" fillId="0" borderId="121" xfId="0" applyNumberFormat="1" applyFont="1" applyBorder="1"/>
    <xf numFmtId="37" fontId="56" fillId="0" borderId="121" xfId="0" applyNumberFormat="1" applyFont="1" applyBorder="1" applyAlignment="1">
      <alignment horizontal="right"/>
    </xf>
    <xf numFmtId="37" fontId="56" fillId="0" borderId="236" xfId="0" applyNumberFormat="1" applyFont="1" applyBorder="1" applyAlignment="1">
      <alignment horizontal="right"/>
    </xf>
    <xf numFmtId="37" fontId="185" fillId="67" borderId="0" xfId="46" applyNumberFormat="1" applyFont="1" applyFill="1" applyBorder="1"/>
    <xf numFmtId="37" fontId="185" fillId="67" borderId="14" xfId="46" applyNumberFormat="1" applyFont="1" applyFill="1" applyBorder="1" applyAlignment="1">
      <alignment horizontal="right"/>
    </xf>
    <xf numFmtId="37" fontId="185" fillId="67" borderId="21" xfId="46" applyNumberFormat="1" applyFont="1" applyFill="1" applyBorder="1"/>
    <xf numFmtId="37" fontId="185" fillId="67" borderId="21" xfId="46" applyNumberFormat="1" applyFont="1" applyFill="1" applyBorder="1" applyAlignment="1">
      <alignment horizontal="right"/>
    </xf>
    <xf numFmtId="37" fontId="185" fillId="67" borderId="106" xfId="46" applyNumberFormat="1" applyFont="1" applyFill="1" applyBorder="1" applyAlignment="1">
      <alignment horizontal="right"/>
    </xf>
    <xf numFmtId="37" fontId="185" fillId="65" borderId="0" xfId="42" applyNumberFormat="1" applyFont="1" applyFill="1" applyBorder="1"/>
    <xf numFmtId="37" fontId="185" fillId="65" borderId="106" xfId="42" applyNumberFormat="1" applyFont="1" applyFill="1" applyBorder="1"/>
    <xf numFmtId="37" fontId="186" fillId="65" borderId="106" xfId="0" applyNumberFormat="1" applyFont="1" applyFill="1" applyBorder="1"/>
    <xf numFmtId="37" fontId="186" fillId="65" borderId="121" xfId="52" applyNumberFormat="1" applyFont="1" applyFill="1" applyBorder="1" applyAlignment="1">
      <alignment horizontal="right"/>
    </xf>
    <xf numFmtId="37" fontId="186" fillId="65" borderId="0" xfId="52" applyNumberFormat="1" applyFont="1" applyFill="1" applyBorder="1"/>
    <xf numFmtId="37" fontId="186" fillId="65" borderId="121" xfId="52" applyNumberFormat="1" applyFont="1" applyFill="1" applyBorder="1"/>
    <xf numFmtId="37" fontId="196" fillId="65" borderId="121" xfId="42" applyNumberFormat="1" applyFont="1" applyFill="1" applyBorder="1"/>
    <xf numFmtId="37" fontId="196" fillId="65" borderId="0" xfId="42" applyNumberFormat="1" applyFont="1" applyFill="1" applyBorder="1"/>
    <xf numFmtId="37" fontId="196" fillId="65" borderId="22" xfId="42" applyNumberFormat="1" applyFont="1" applyFill="1" applyBorder="1"/>
    <xf numFmtId="10" fontId="196" fillId="65" borderId="0" xfId="52" applyNumberFormat="1" applyFont="1" applyFill="1" applyBorder="1"/>
    <xf numFmtId="37" fontId="186" fillId="65" borderId="0" xfId="0" applyNumberFormat="1" applyFont="1" applyFill="1" applyBorder="1"/>
    <xf numFmtId="37" fontId="186" fillId="65" borderId="0" xfId="42" applyNumberFormat="1" applyFont="1" applyFill="1" applyBorder="1"/>
    <xf numFmtId="166" fontId="186" fillId="65" borderId="0" xfId="52" applyNumberFormat="1" applyFont="1" applyFill="1" applyBorder="1"/>
    <xf numFmtId="3" fontId="56" fillId="51" borderId="0" xfId="42" applyNumberFormat="1" applyFont="1" applyFill="1" applyBorder="1"/>
    <xf numFmtId="3" fontId="56" fillId="51" borderId="106" xfId="42" applyNumberFormat="1" applyFont="1" applyFill="1" applyBorder="1"/>
    <xf numFmtId="3" fontId="56" fillId="51" borderId="85" xfId="14" applyNumberFormat="1" applyFont="1" applyFill="1" applyBorder="1"/>
    <xf numFmtId="3" fontId="56" fillId="51" borderId="22" xfId="14" applyNumberFormat="1" applyFont="1" applyFill="1" applyBorder="1"/>
    <xf numFmtId="3" fontId="56" fillId="51" borderId="157" xfId="14" applyNumberFormat="1" applyFont="1" applyFill="1" applyBorder="1"/>
    <xf numFmtId="3" fontId="56" fillId="0" borderId="299" xfId="42" applyNumberFormat="1" applyFont="1" applyFill="1" applyBorder="1"/>
    <xf numFmtId="3" fontId="56" fillId="0" borderId="327" xfId="42" applyNumberFormat="1" applyFont="1" applyBorder="1"/>
    <xf numFmtId="37" fontId="188" fillId="0" borderId="299" xfId="42" applyNumberFormat="1" applyFont="1" applyFill="1" applyBorder="1"/>
    <xf numFmtId="43" fontId="185" fillId="65" borderId="298" xfId="0" applyNumberFormat="1" applyFont="1" applyFill="1" applyBorder="1" applyAlignment="1">
      <alignment horizontal="left"/>
    </xf>
    <xf numFmtId="43" fontId="56" fillId="0" borderId="237" xfId="52" applyNumberFormat="1" applyFont="1" applyBorder="1" applyAlignment="1">
      <alignment horizontal="left" indent="1"/>
    </xf>
    <xf numFmtId="43" fontId="188" fillId="0" borderId="316" xfId="42" applyNumberFormat="1" applyFont="1" applyBorder="1" applyAlignment="1">
      <alignment horizontal="left"/>
    </xf>
    <xf numFmtId="43" fontId="184" fillId="0" borderId="237" xfId="0" applyNumberFormat="1" applyFont="1" applyBorder="1" applyAlignment="1">
      <alignment horizontal="left" indent="1"/>
    </xf>
    <xf numFmtId="43" fontId="56" fillId="0" borderId="327" xfId="0" applyNumberFormat="1" applyFont="1" applyBorder="1" applyAlignment="1">
      <alignment horizontal="left"/>
    </xf>
    <xf numFmtId="43" fontId="56" fillId="0" borderId="237" xfId="0" applyNumberFormat="1" applyFont="1" applyBorder="1" applyAlignment="1">
      <alignment horizontal="left" indent="1"/>
    </xf>
    <xf numFmtId="43" fontId="186" fillId="65" borderId="237" xfId="0" applyNumberFormat="1" applyFont="1" applyFill="1" applyBorder="1" applyAlignment="1">
      <alignment horizontal="left"/>
    </xf>
    <xf numFmtId="43" fontId="186" fillId="51" borderId="237" xfId="42" applyNumberFormat="1" applyFont="1" applyFill="1" applyBorder="1" applyAlignment="1">
      <alignment horizontal="left"/>
    </xf>
    <xf numFmtId="43" fontId="56" fillId="0" borderId="237" xfId="42" applyNumberFormat="1" applyFont="1" applyBorder="1" applyAlignment="1">
      <alignment horizontal="left"/>
    </xf>
    <xf numFmtId="43" fontId="184" fillId="0" borderId="237" xfId="52" applyNumberFormat="1" applyFont="1" applyFill="1" applyBorder="1" applyAlignment="1">
      <alignment horizontal="left" indent="1"/>
    </xf>
    <xf numFmtId="43" fontId="56" fillId="67" borderId="237" xfId="0" applyNumberFormat="1" applyFont="1" applyFill="1" applyBorder="1" applyAlignment="1">
      <alignment horizontal="left"/>
    </xf>
    <xf numFmtId="43" fontId="56" fillId="0" borderId="237" xfId="0" applyNumberFormat="1" applyFont="1" applyFill="1" applyBorder="1" applyAlignment="1">
      <alignment horizontal="left" indent="1"/>
    </xf>
    <xf numFmtId="43" fontId="56" fillId="0" borderId="327" xfId="42" applyNumberFormat="1" applyFont="1" applyBorder="1" applyAlignment="1">
      <alignment horizontal="left"/>
    </xf>
    <xf numFmtId="165" fontId="185" fillId="67" borderId="70" xfId="20" applyNumberFormat="1" applyFont="1" applyFill="1" applyBorder="1" applyAlignment="1">
      <alignment horizontal="right"/>
    </xf>
    <xf numFmtId="165" fontId="185" fillId="67" borderId="100" xfId="20" applyNumberFormat="1" applyFont="1" applyFill="1" applyBorder="1" applyAlignment="1">
      <alignment horizontal="right"/>
    </xf>
    <xf numFmtId="165" fontId="185" fillId="67" borderId="57" xfId="20" applyNumberFormat="1" applyFont="1" applyFill="1" applyBorder="1" applyAlignment="1">
      <alignment horizontal="right"/>
    </xf>
    <xf numFmtId="165" fontId="185" fillId="67" borderId="25" xfId="20" applyNumberFormat="1" applyFont="1" applyFill="1" applyBorder="1" applyAlignment="1">
      <alignment horizontal="right"/>
    </xf>
    <xf numFmtId="165" fontId="185" fillId="67" borderId="139" xfId="20" applyNumberFormat="1" applyFont="1" applyFill="1" applyBorder="1" applyAlignment="1">
      <alignment horizontal="right"/>
    </xf>
    <xf numFmtId="165" fontId="198" fillId="67" borderId="163" xfId="20" applyNumberFormat="1" applyFont="1" applyFill="1" applyBorder="1" applyAlignment="1">
      <alignment horizontal="right"/>
    </xf>
    <xf numFmtId="165" fontId="198" fillId="67" borderId="70" xfId="20" applyNumberFormat="1" applyFont="1" applyFill="1" applyBorder="1" applyAlignment="1">
      <alignment horizontal="right"/>
    </xf>
    <xf numFmtId="165" fontId="198" fillId="67" borderId="154" xfId="20" applyNumberFormat="1" applyFont="1" applyFill="1" applyBorder="1" applyAlignment="1">
      <alignment horizontal="right"/>
    </xf>
    <xf numFmtId="165" fontId="185" fillId="67" borderId="165" xfId="20" applyNumberFormat="1" applyFont="1" applyFill="1" applyBorder="1" applyAlignment="1">
      <alignment horizontal="right"/>
    </xf>
    <xf numFmtId="165" fontId="185" fillId="67" borderId="266" xfId="20" applyNumberFormat="1" applyFont="1" applyFill="1" applyBorder="1" applyAlignment="1">
      <alignment horizontal="right"/>
    </xf>
    <xf numFmtId="165" fontId="56" fillId="0" borderId="22" xfId="20" applyNumberFormat="1" applyFont="1" applyFill="1" applyBorder="1" applyAlignment="1">
      <alignment horizontal="right"/>
    </xf>
    <xf numFmtId="165" fontId="56" fillId="0" borderId="85" xfId="20" applyNumberFormat="1" applyFont="1" applyFill="1" applyBorder="1" applyAlignment="1">
      <alignment horizontal="right"/>
    </xf>
    <xf numFmtId="165" fontId="187" fillId="0" borderId="126" xfId="20" applyNumberFormat="1" applyFont="1" applyFill="1" applyBorder="1" applyAlignment="1">
      <alignment horizontal="right"/>
    </xf>
    <xf numFmtId="165" fontId="187" fillId="0" borderId="22" xfId="20" applyNumberFormat="1" applyFont="1" applyFill="1" applyBorder="1" applyAlignment="1">
      <alignment horizontal="right"/>
    </xf>
    <xf numFmtId="165" fontId="56" fillId="0" borderId="160" xfId="20" applyNumberFormat="1" applyFont="1" applyFill="1" applyBorder="1" applyAlignment="1">
      <alignment horizontal="right"/>
    </xf>
    <xf numFmtId="165" fontId="187" fillId="0" borderId="160" xfId="46" applyNumberFormat="1" applyFont="1" applyBorder="1" applyAlignment="1">
      <alignment horizontal="right"/>
    </xf>
    <xf numFmtId="192" fontId="56" fillId="51" borderId="162" xfId="46" applyNumberFormat="1" applyFont="1" applyFill="1" applyBorder="1" applyAlignment="1">
      <alignment horizontal="right"/>
    </xf>
    <xf numFmtId="165" fontId="52" fillId="0" borderId="0" xfId="0" applyNumberFormat="1" applyFont="1" applyAlignment="1">
      <alignment horizontal="right"/>
    </xf>
    <xf numFmtId="192" fontId="56" fillId="51" borderId="0" xfId="46" applyNumberFormat="1" applyFont="1" applyFill="1" applyBorder="1" applyAlignment="1">
      <alignment horizontal="right"/>
    </xf>
    <xf numFmtId="192" fontId="56" fillId="51" borderId="22" xfId="46" applyNumberFormat="1" applyFont="1" applyFill="1" applyBorder="1" applyAlignment="1">
      <alignment horizontal="right"/>
    </xf>
    <xf numFmtId="192" fontId="56" fillId="51" borderId="82" xfId="46" applyNumberFormat="1" applyFont="1" applyFill="1" applyBorder="1" applyAlignment="1">
      <alignment horizontal="right"/>
    </xf>
    <xf numFmtId="192" fontId="56" fillId="0" borderId="160" xfId="46" applyNumberFormat="1" applyFont="1" applyBorder="1" applyAlignment="1">
      <alignment horizontal="right"/>
    </xf>
    <xf numFmtId="192" fontId="187" fillId="0" borderId="160" xfId="46" applyNumberFormat="1" applyFont="1" applyBorder="1" applyAlignment="1">
      <alignment horizontal="right"/>
    </xf>
    <xf numFmtId="192" fontId="56" fillId="0" borderId="82" xfId="46" applyNumberFormat="1" applyFont="1" applyFill="1" applyBorder="1" applyAlignment="1">
      <alignment horizontal="right"/>
    </xf>
    <xf numFmtId="192" fontId="56" fillId="0" borderId="82" xfId="20" applyNumberFormat="1" applyFont="1" applyFill="1" applyBorder="1" applyAlignment="1">
      <alignment horizontal="right"/>
    </xf>
    <xf numFmtId="43" fontId="187" fillId="0" borderId="82" xfId="10" applyFont="1" applyFill="1" applyBorder="1" applyAlignment="1">
      <alignment horizontal="right"/>
    </xf>
    <xf numFmtId="177" fontId="187" fillId="0" borderId="82" xfId="10" applyNumberFormat="1" applyFont="1" applyFill="1" applyBorder="1" applyAlignment="1">
      <alignment horizontal="right"/>
    </xf>
    <xf numFmtId="165" fontId="187" fillId="51" borderId="85" xfId="46" applyNumberFormat="1" applyFont="1" applyFill="1" applyBorder="1" applyAlignment="1">
      <alignment horizontal="right"/>
    </xf>
    <xf numFmtId="165" fontId="187" fillId="0" borderId="22" xfId="0" applyNumberFormat="1" applyFont="1" applyBorder="1" applyAlignment="1">
      <alignment horizontal="right"/>
    </xf>
    <xf numFmtId="165" fontId="187" fillId="0" borderId="82" xfId="46" applyNumberFormat="1" applyFont="1" applyBorder="1" applyAlignment="1">
      <alignment horizontal="right"/>
    </xf>
    <xf numFmtId="43" fontId="187" fillId="0" borderId="82" xfId="10" applyFont="1" applyBorder="1" applyAlignment="1">
      <alignment horizontal="right"/>
    </xf>
    <xf numFmtId="165" fontId="187" fillId="0" borderId="85" xfId="46" applyNumberFormat="1" applyFont="1" applyBorder="1" applyAlignment="1">
      <alignment horizontal="right"/>
    </xf>
    <xf numFmtId="43" fontId="187" fillId="0" borderId="22" xfId="10" applyFont="1" applyFill="1" applyBorder="1" applyAlignment="1">
      <alignment horizontal="right"/>
    </xf>
    <xf numFmtId="192" fontId="187" fillId="0" borderId="82" xfId="20" applyNumberFormat="1" applyFont="1" applyFill="1" applyBorder="1" applyAlignment="1">
      <alignment horizontal="right"/>
    </xf>
    <xf numFmtId="192" fontId="187" fillId="51" borderId="82" xfId="46" applyNumberFormat="1" applyFont="1" applyFill="1" applyBorder="1" applyAlignment="1">
      <alignment horizontal="right"/>
    </xf>
    <xf numFmtId="192" fontId="187" fillId="51" borderId="162" xfId="46" applyNumberFormat="1" applyFont="1" applyFill="1" applyBorder="1" applyAlignment="1">
      <alignment horizontal="right"/>
    </xf>
    <xf numFmtId="192" fontId="56" fillId="51" borderId="106" xfId="46" applyNumberFormat="1" applyFont="1" applyFill="1" applyBorder="1" applyAlignment="1">
      <alignment horizontal="right"/>
    </xf>
    <xf numFmtId="192" fontId="56" fillId="0" borderId="106" xfId="20" applyNumberFormat="1" applyFont="1" applyFill="1" applyBorder="1" applyAlignment="1">
      <alignment horizontal="right"/>
    </xf>
    <xf numFmtId="192" fontId="187" fillId="0" borderId="82" xfId="10" applyNumberFormat="1" applyFont="1" applyFill="1" applyBorder="1" applyAlignment="1">
      <alignment horizontal="right"/>
    </xf>
    <xf numFmtId="43" fontId="187" fillId="0" borderId="85" xfId="10" applyFont="1" applyFill="1" applyBorder="1" applyAlignment="1">
      <alignment horizontal="right"/>
    </xf>
    <xf numFmtId="165" fontId="187" fillId="0" borderId="85" xfId="46" applyNumberFormat="1" applyFont="1" applyFill="1" applyBorder="1" applyAlignment="1">
      <alignment horizontal="right"/>
    </xf>
    <xf numFmtId="165" fontId="187" fillId="0" borderId="85" xfId="20" applyNumberFormat="1" applyFont="1" applyFill="1" applyBorder="1" applyAlignment="1">
      <alignment horizontal="right"/>
    </xf>
    <xf numFmtId="192" fontId="56" fillId="51" borderId="326" xfId="46" applyNumberFormat="1" applyFont="1" applyFill="1" applyBorder="1" applyAlignment="1">
      <alignment horizontal="right"/>
    </xf>
    <xf numFmtId="192" fontId="56" fillId="51" borderId="22" xfId="0" applyNumberFormat="1" applyFont="1" applyFill="1" applyBorder="1" applyAlignment="1">
      <alignment horizontal="right"/>
    </xf>
    <xf numFmtId="192" fontId="56" fillId="51" borderId="0" xfId="0" applyNumberFormat="1" applyFont="1" applyFill="1" applyBorder="1" applyAlignment="1">
      <alignment horizontal="right"/>
    </xf>
    <xf numFmtId="192" fontId="187" fillId="51" borderId="0" xfId="0" applyNumberFormat="1" applyFont="1" applyFill="1" applyBorder="1" applyAlignment="1">
      <alignment horizontal="right"/>
    </xf>
    <xf numFmtId="192" fontId="187" fillId="51" borderId="22" xfId="0" applyNumberFormat="1" applyFont="1" applyFill="1" applyBorder="1" applyAlignment="1">
      <alignment horizontal="right"/>
    </xf>
    <xf numFmtId="192" fontId="187" fillId="51" borderId="85" xfId="46" applyNumberFormat="1" applyFont="1" applyFill="1" applyBorder="1" applyAlignment="1">
      <alignment horizontal="right"/>
    </xf>
    <xf numFmtId="192" fontId="187" fillId="51" borderId="0" xfId="46" applyNumberFormat="1" applyFont="1" applyFill="1" applyBorder="1" applyAlignment="1">
      <alignment horizontal="right"/>
    </xf>
    <xf numFmtId="192" fontId="187" fillId="51" borderId="22" xfId="46" applyNumberFormat="1" applyFont="1" applyFill="1" applyBorder="1" applyAlignment="1">
      <alignment horizontal="right"/>
    </xf>
    <xf numFmtId="192" fontId="187" fillId="51" borderId="126" xfId="46" applyNumberFormat="1" applyFont="1" applyFill="1" applyBorder="1" applyAlignment="1">
      <alignment horizontal="right"/>
    </xf>
    <xf numFmtId="192" fontId="56" fillId="51" borderId="160" xfId="46" applyNumberFormat="1" applyFont="1" applyFill="1" applyBorder="1" applyAlignment="1">
      <alignment horizontal="right"/>
    </xf>
    <xf numFmtId="192" fontId="56" fillId="51" borderId="170" xfId="46" applyNumberFormat="1" applyFont="1" applyFill="1" applyBorder="1" applyAlignment="1">
      <alignment horizontal="right"/>
    </xf>
    <xf numFmtId="192" fontId="56" fillId="51" borderId="167" xfId="46" applyNumberFormat="1" applyFont="1" applyFill="1" applyBorder="1" applyAlignment="1">
      <alignment horizontal="right"/>
    </xf>
    <xf numFmtId="192" fontId="56" fillId="51" borderId="167" xfId="0" applyNumberFormat="1" applyFont="1" applyFill="1" applyBorder="1" applyAlignment="1">
      <alignment horizontal="right"/>
    </xf>
    <xf numFmtId="192" fontId="56" fillId="51" borderId="170" xfId="0" applyNumberFormat="1" applyFont="1" applyFill="1" applyBorder="1" applyAlignment="1">
      <alignment horizontal="right"/>
    </xf>
    <xf numFmtId="192" fontId="56" fillId="51" borderId="169" xfId="46" applyNumberFormat="1" applyFont="1" applyFill="1" applyBorder="1" applyAlignment="1">
      <alignment horizontal="right"/>
    </xf>
    <xf numFmtId="192" fontId="187" fillId="51" borderId="170" xfId="46" applyNumberFormat="1" applyFont="1" applyFill="1" applyBorder="1" applyAlignment="1">
      <alignment horizontal="right"/>
    </xf>
    <xf numFmtId="192" fontId="187" fillId="51" borderId="167" xfId="46" applyNumberFormat="1" applyFont="1" applyFill="1" applyBorder="1" applyAlignment="1">
      <alignment horizontal="right"/>
    </xf>
    <xf numFmtId="192" fontId="187" fillId="51" borderId="166" xfId="46" applyNumberFormat="1" applyFont="1" applyFill="1" applyBorder="1" applyAlignment="1">
      <alignment horizontal="right"/>
    </xf>
    <xf numFmtId="192" fontId="56" fillId="51" borderId="168" xfId="46" applyNumberFormat="1" applyFont="1" applyFill="1" applyBorder="1" applyAlignment="1">
      <alignment horizontal="right"/>
    </xf>
    <xf numFmtId="192" fontId="56" fillId="0" borderId="0" xfId="46" applyNumberFormat="1" applyFont="1" applyBorder="1" applyAlignment="1">
      <alignment horizontal="right"/>
    </xf>
    <xf numFmtId="192" fontId="56" fillId="0" borderId="22" xfId="46" applyNumberFormat="1" applyFont="1" applyBorder="1" applyAlignment="1">
      <alignment horizontal="right"/>
    </xf>
    <xf numFmtId="192" fontId="56" fillId="0" borderId="22" xfId="0" applyNumberFormat="1" applyFont="1" applyBorder="1" applyAlignment="1">
      <alignment horizontal="right"/>
    </xf>
    <xf numFmtId="192" fontId="56" fillId="0" borderId="161" xfId="46" applyNumberFormat="1" applyFont="1" applyBorder="1" applyAlignment="1">
      <alignment horizontal="right"/>
    </xf>
    <xf numFmtId="192" fontId="56" fillId="0" borderId="161" xfId="46" applyNumberFormat="1" applyFont="1" applyFill="1" applyBorder="1" applyAlignment="1">
      <alignment horizontal="right"/>
    </xf>
    <xf numFmtId="192" fontId="56" fillId="0" borderId="0" xfId="46" applyNumberFormat="1" applyFont="1" applyFill="1" applyBorder="1" applyAlignment="1">
      <alignment horizontal="right"/>
    </xf>
    <xf numFmtId="192" fontId="56" fillId="0" borderId="22" xfId="46" applyNumberFormat="1" applyFont="1" applyFill="1" applyBorder="1" applyAlignment="1">
      <alignment horizontal="right"/>
    </xf>
    <xf numFmtId="192" fontId="187" fillId="0" borderId="0" xfId="46" applyNumberFormat="1" applyFont="1" applyFill="1" applyBorder="1" applyAlignment="1">
      <alignment horizontal="right"/>
    </xf>
    <xf numFmtId="192" fontId="187" fillId="0" borderId="22" xfId="46" applyNumberFormat="1" applyFont="1" applyFill="1" applyBorder="1" applyAlignment="1">
      <alignment horizontal="right"/>
    </xf>
    <xf numFmtId="192" fontId="56" fillId="0" borderId="160" xfId="46" applyNumberFormat="1" applyFont="1" applyFill="1" applyBorder="1" applyAlignment="1">
      <alignment horizontal="right"/>
    </xf>
    <xf numFmtId="192" fontId="56" fillId="51" borderId="172" xfId="46" applyNumberFormat="1" applyFont="1" applyFill="1" applyBorder="1" applyAlignment="1">
      <alignment horizontal="right"/>
    </xf>
    <xf numFmtId="192" fontId="187" fillId="51" borderId="173" xfId="46" applyNumberFormat="1" applyFont="1" applyFill="1" applyBorder="1" applyAlignment="1">
      <alignment horizontal="right"/>
    </xf>
    <xf numFmtId="192" fontId="56" fillId="51" borderId="171" xfId="46" applyNumberFormat="1" applyFont="1" applyFill="1" applyBorder="1" applyAlignment="1">
      <alignment horizontal="right"/>
    </xf>
    <xf numFmtId="192" fontId="187" fillId="0" borderId="0" xfId="46" applyNumberFormat="1" applyFont="1" applyBorder="1" applyAlignment="1">
      <alignment horizontal="right"/>
    </xf>
    <xf numFmtId="192" fontId="187" fillId="0" borderId="22" xfId="46" applyNumberFormat="1" applyFont="1" applyBorder="1" applyAlignment="1">
      <alignment horizontal="right"/>
    </xf>
    <xf numFmtId="192" fontId="187" fillId="0" borderId="82" xfId="46" applyNumberFormat="1" applyFont="1" applyFill="1" applyBorder="1" applyAlignment="1">
      <alignment horizontal="right"/>
    </xf>
    <xf numFmtId="192" fontId="56" fillId="0" borderId="0" xfId="10" applyNumberFormat="1" applyFont="1" applyFill="1" applyBorder="1" applyAlignment="1">
      <alignment horizontal="right"/>
    </xf>
    <xf numFmtId="192" fontId="56" fillId="0" borderId="22" xfId="10" applyNumberFormat="1" applyFont="1" applyFill="1" applyBorder="1" applyAlignment="1">
      <alignment horizontal="right"/>
    </xf>
    <xf numFmtId="192" fontId="187" fillId="0" borderId="0" xfId="10" applyNumberFormat="1" applyFont="1" applyFill="1" applyBorder="1" applyAlignment="1">
      <alignment horizontal="right"/>
    </xf>
    <xf numFmtId="192" fontId="187" fillId="0" borderId="22" xfId="10" applyNumberFormat="1" applyFont="1" applyFill="1" applyBorder="1" applyAlignment="1">
      <alignment horizontal="right"/>
    </xf>
    <xf numFmtId="192" fontId="187" fillId="0" borderId="85" xfId="10" applyNumberFormat="1" applyFont="1" applyFill="1" applyBorder="1" applyAlignment="1">
      <alignment horizontal="right"/>
    </xf>
    <xf numFmtId="192" fontId="56" fillId="0" borderId="82" xfId="10" applyNumberFormat="1" applyFont="1" applyFill="1" applyBorder="1" applyAlignment="1">
      <alignment horizontal="right"/>
    </xf>
    <xf numFmtId="192" fontId="187" fillId="0" borderId="85" xfId="46" applyNumberFormat="1" applyFont="1" applyFill="1" applyBorder="1" applyAlignment="1">
      <alignment horizontal="right"/>
    </xf>
    <xf numFmtId="192" fontId="187" fillId="0" borderId="126" xfId="46" applyNumberFormat="1" applyFont="1" applyBorder="1" applyAlignment="1">
      <alignment horizontal="right"/>
    </xf>
    <xf numFmtId="165" fontId="52" fillId="0" borderId="0" xfId="0" applyNumberFormat="1" applyFont="1" applyBorder="1" applyAlignment="1">
      <alignment horizontal="right"/>
    </xf>
    <xf numFmtId="165" fontId="57" fillId="0" borderId="0" xfId="10" applyNumberFormat="1" applyFont="1" applyFill="1" applyBorder="1" applyAlignment="1">
      <alignment horizontal="right"/>
    </xf>
    <xf numFmtId="165" fontId="154" fillId="0" borderId="0" xfId="10" applyNumberFormat="1" applyFont="1" applyFill="1" applyBorder="1" applyAlignment="1">
      <alignment horizontal="right"/>
    </xf>
    <xf numFmtId="165" fontId="154" fillId="0" borderId="0" xfId="0" applyNumberFormat="1" applyFont="1" applyFill="1" applyBorder="1" applyAlignment="1">
      <alignment horizontal="right"/>
    </xf>
    <xf numFmtId="165" fontId="154" fillId="0" borderId="0" xfId="52" applyNumberFormat="1" applyFont="1" applyFill="1" applyBorder="1" applyAlignment="1">
      <alignment horizontal="right"/>
    </xf>
    <xf numFmtId="165" fontId="21" fillId="0" borderId="0" xfId="0" applyNumberFormat="1" applyFont="1" applyFill="1" applyBorder="1"/>
    <xf numFmtId="165" fontId="52" fillId="0" borderId="0" xfId="52" applyNumberFormat="1" applyFont="1" applyAlignment="1">
      <alignment horizontal="right"/>
    </xf>
    <xf numFmtId="37" fontId="185" fillId="67" borderId="139" xfId="20" applyNumberFormat="1" applyFont="1" applyFill="1" applyBorder="1" applyAlignment="1">
      <alignment horizontal="right"/>
    </xf>
    <xf numFmtId="37" fontId="187" fillId="0" borderId="106" xfId="20" applyNumberFormat="1" applyFont="1" applyFill="1" applyBorder="1" applyAlignment="1">
      <alignment horizontal="right"/>
    </xf>
    <xf numFmtId="37" fontId="185" fillId="67" borderId="106" xfId="20" applyNumberFormat="1" applyFont="1" applyFill="1" applyBorder="1" applyAlignment="1">
      <alignment horizontal="right"/>
    </xf>
    <xf numFmtId="37" fontId="56" fillId="51" borderId="106" xfId="46" applyNumberFormat="1" applyFont="1" applyFill="1" applyBorder="1" applyAlignment="1">
      <alignment horizontal="right"/>
    </xf>
    <xf numFmtId="37" fontId="56" fillId="51" borderId="140" xfId="46" applyNumberFormat="1" applyFont="1" applyFill="1" applyBorder="1" applyAlignment="1">
      <alignment horizontal="right"/>
    </xf>
    <xf numFmtId="37" fontId="187" fillId="0" borderId="106" xfId="46" applyNumberFormat="1" applyFont="1" applyFill="1" applyBorder="1" applyAlignment="1">
      <alignment horizontal="right"/>
    </xf>
    <xf numFmtId="37" fontId="56" fillId="51" borderId="162" xfId="46" applyNumberFormat="1" applyFont="1" applyFill="1" applyBorder="1" applyAlignment="1">
      <alignment horizontal="right"/>
    </xf>
    <xf numFmtId="37" fontId="56" fillId="0" borderId="106" xfId="46" applyNumberFormat="1" applyFont="1" applyBorder="1" applyAlignment="1">
      <alignment horizontal="right"/>
    </xf>
    <xf numFmtId="37" fontId="198" fillId="67" borderId="139" xfId="20" applyNumberFormat="1" applyFont="1" applyFill="1" applyBorder="1" applyAlignment="1">
      <alignment horizontal="right"/>
    </xf>
    <xf numFmtId="37" fontId="56" fillId="0" borderId="106" xfId="46" applyNumberFormat="1" applyFont="1" applyFill="1" applyBorder="1" applyAlignment="1">
      <alignment horizontal="right"/>
    </xf>
    <xf numFmtId="37" fontId="56" fillId="0" borderId="106" xfId="20" applyNumberFormat="1" applyFont="1" applyFill="1" applyBorder="1" applyAlignment="1">
      <alignment horizontal="right"/>
    </xf>
    <xf numFmtId="37" fontId="185" fillId="67" borderId="237" xfId="46" applyNumberFormat="1" applyFont="1" applyFill="1" applyBorder="1" applyAlignment="1">
      <alignment horizontal="right"/>
    </xf>
    <xf numFmtId="37" fontId="187" fillId="0" borderId="106" xfId="0" applyNumberFormat="1" applyFont="1" applyFill="1" applyBorder="1" applyAlignment="1">
      <alignment horizontal="right"/>
    </xf>
    <xf numFmtId="37" fontId="198" fillId="67" borderId="0" xfId="46" applyNumberFormat="1" applyFont="1" applyFill="1" applyBorder="1" applyAlignment="1">
      <alignment horizontal="right"/>
    </xf>
    <xf numFmtId="37" fontId="190" fillId="0" borderId="126" xfId="46" applyNumberFormat="1" applyFont="1" applyFill="1" applyBorder="1" applyAlignment="1">
      <alignment horizontal="right"/>
    </xf>
    <xf numFmtId="37" fontId="187" fillId="0" borderId="0" xfId="46" applyNumberFormat="1" applyFont="1" applyFill="1" applyBorder="1" applyAlignment="1">
      <alignment horizontal="right"/>
    </xf>
    <xf numFmtId="37" fontId="187" fillId="0" borderId="53" xfId="10" applyNumberFormat="1" applyFont="1" applyFill="1" applyBorder="1" applyAlignment="1">
      <alignment horizontal="right"/>
    </xf>
    <xf numFmtId="37" fontId="213" fillId="0" borderId="53" xfId="10" applyNumberFormat="1" applyFont="1" applyFill="1" applyBorder="1" applyAlignment="1">
      <alignment horizontal="right"/>
    </xf>
    <xf numFmtId="37" fontId="190" fillId="0" borderId="0" xfId="46" applyNumberFormat="1" applyFont="1" applyBorder="1" applyAlignment="1">
      <alignment horizontal="right"/>
    </xf>
    <xf numFmtId="37" fontId="187" fillId="0" borderId="0" xfId="46" applyNumberFormat="1" applyFont="1" applyBorder="1" applyAlignment="1">
      <alignment horizontal="right"/>
    </xf>
    <xf numFmtId="37" fontId="198" fillId="67" borderId="70" xfId="20" applyNumberFormat="1" applyFont="1" applyFill="1" applyBorder="1" applyAlignment="1">
      <alignment horizontal="right"/>
    </xf>
    <xf numFmtId="37" fontId="198" fillId="67" borderId="266" xfId="20" applyNumberFormat="1" applyFont="1" applyFill="1" applyBorder="1" applyAlignment="1">
      <alignment horizontal="right"/>
    </xf>
    <xf numFmtId="37" fontId="187" fillId="51" borderId="0" xfId="46" applyNumberFormat="1" applyFont="1" applyFill="1" applyBorder="1" applyAlignment="1">
      <alignment horizontal="right"/>
    </xf>
    <xf numFmtId="37" fontId="213" fillId="51" borderId="0" xfId="46" applyNumberFormat="1" applyFont="1" applyFill="1" applyBorder="1" applyAlignment="1">
      <alignment horizontal="right"/>
    </xf>
    <xf numFmtId="37" fontId="187" fillId="51" borderId="170" xfId="46" applyNumberFormat="1" applyFont="1" applyFill="1" applyBorder="1" applyAlignment="1">
      <alignment horizontal="right"/>
    </xf>
    <xf numFmtId="37" fontId="56" fillId="51" borderId="170" xfId="46" applyNumberFormat="1" applyFont="1" applyFill="1" applyBorder="1" applyAlignment="1">
      <alignment horizontal="right"/>
    </xf>
    <xf numFmtId="37" fontId="56" fillId="51" borderId="273" xfId="46" applyNumberFormat="1" applyFont="1" applyFill="1" applyBorder="1" applyAlignment="1">
      <alignment horizontal="right"/>
    </xf>
    <xf numFmtId="37" fontId="190" fillId="51" borderId="0" xfId="46" applyNumberFormat="1" applyFont="1" applyFill="1" applyBorder="1" applyAlignment="1">
      <alignment horizontal="right"/>
    </xf>
    <xf numFmtId="37" fontId="190" fillId="51" borderId="170" xfId="46" applyNumberFormat="1" applyFont="1" applyFill="1" applyBorder="1" applyAlignment="1">
      <alignment horizontal="right"/>
    </xf>
    <xf numFmtId="37" fontId="187" fillId="51" borderId="273" xfId="46" applyNumberFormat="1" applyFont="1" applyFill="1" applyBorder="1" applyAlignment="1">
      <alignment horizontal="right"/>
    </xf>
    <xf numFmtId="37" fontId="213" fillId="51" borderId="273" xfId="46" applyNumberFormat="1" applyFont="1" applyFill="1" applyBorder="1" applyAlignment="1">
      <alignment horizontal="right"/>
    </xf>
    <xf numFmtId="37" fontId="56" fillId="51" borderId="326" xfId="46" applyNumberFormat="1" applyFont="1" applyFill="1" applyBorder="1" applyAlignment="1">
      <alignment horizontal="right"/>
    </xf>
    <xf numFmtId="37" fontId="56" fillId="0" borderId="160" xfId="46" applyNumberFormat="1" applyFont="1" applyBorder="1" applyAlignment="1">
      <alignment horizontal="right"/>
    </xf>
    <xf numFmtId="37" fontId="56" fillId="0" borderId="160" xfId="46" applyNumberFormat="1" applyFont="1" applyFill="1" applyBorder="1" applyAlignment="1">
      <alignment horizontal="right"/>
    </xf>
    <xf numFmtId="328" fontId="56" fillId="0" borderId="106" xfId="46" applyNumberFormat="1" applyFont="1" applyFill="1" applyBorder="1" applyAlignment="1">
      <alignment horizontal="right"/>
    </xf>
    <xf numFmtId="328" fontId="56" fillId="0" borderId="0" xfId="46" applyNumberFormat="1" applyFont="1" applyFill="1" applyBorder="1" applyAlignment="1">
      <alignment horizontal="right"/>
    </xf>
    <xf numFmtId="328" fontId="187" fillId="0" borderId="22" xfId="46" applyNumberFormat="1" applyFont="1" applyFill="1" applyBorder="1" applyAlignment="1">
      <alignment horizontal="right"/>
    </xf>
    <xf numFmtId="328" fontId="56" fillId="0" borderId="160" xfId="0" applyNumberFormat="1" applyFont="1" applyFill="1" applyBorder="1" applyAlignment="1">
      <alignment horizontal="right"/>
    </xf>
    <xf numFmtId="328" fontId="187" fillId="0" borderId="0" xfId="46" applyNumberFormat="1" applyFont="1" applyFill="1" applyBorder="1" applyAlignment="1">
      <alignment horizontal="right"/>
    </xf>
    <xf numFmtId="328" fontId="187" fillId="0" borderId="106" xfId="0" applyNumberFormat="1" applyFont="1" applyFill="1" applyBorder="1" applyAlignment="1">
      <alignment horizontal="right"/>
    </xf>
    <xf numFmtId="328" fontId="56" fillId="0" borderId="106" xfId="0" applyNumberFormat="1" applyFont="1" applyFill="1" applyBorder="1" applyAlignment="1">
      <alignment horizontal="right"/>
    </xf>
    <xf numFmtId="328" fontId="187" fillId="0" borderId="0" xfId="0" applyNumberFormat="1" applyFont="1" applyFill="1" applyBorder="1" applyAlignment="1">
      <alignment horizontal="right"/>
    </xf>
    <xf numFmtId="328" fontId="190" fillId="0" borderId="126" xfId="46" applyNumberFormat="1" applyFont="1" applyFill="1" applyBorder="1" applyAlignment="1">
      <alignment horizontal="right"/>
    </xf>
    <xf numFmtId="328" fontId="56" fillId="0" borderId="53" xfId="46" applyNumberFormat="1" applyFont="1" applyFill="1" applyBorder="1" applyAlignment="1">
      <alignment horizontal="right"/>
    </xf>
    <xf numFmtId="328" fontId="213" fillId="0" borderId="106" xfId="46" applyNumberFormat="1" applyFont="1" applyFill="1" applyBorder="1" applyAlignment="1">
      <alignment horizontal="right"/>
    </xf>
    <xf numFmtId="328" fontId="185" fillId="67" borderId="106" xfId="20" applyNumberFormat="1" applyFont="1" applyFill="1" applyBorder="1" applyAlignment="1">
      <alignment horizontal="right"/>
    </xf>
    <xf numFmtId="328" fontId="185" fillId="67" borderId="0" xfId="20" applyNumberFormat="1" applyFont="1" applyFill="1" applyBorder="1" applyAlignment="1">
      <alignment horizontal="right"/>
    </xf>
    <xf numFmtId="328" fontId="185" fillId="67" borderId="22" xfId="20" applyNumberFormat="1" applyFont="1" applyFill="1" applyBorder="1" applyAlignment="1">
      <alignment horizontal="right"/>
    </xf>
    <xf numFmtId="328" fontId="185" fillId="67" borderId="160" xfId="20" applyNumberFormat="1" applyFont="1" applyFill="1" applyBorder="1" applyAlignment="1">
      <alignment horizontal="right"/>
    </xf>
    <xf numFmtId="37" fontId="56" fillId="0" borderId="22" xfId="10" applyNumberFormat="1" applyFont="1" applyFill="1" applyBorder="1" applyAlignment="1">
      <alignment horizontal="right"/>
    </xf>
    <xf numFmtId="37" fontId="56" fillId="0" borderId="160" xfId="0" applyNumberFormat="1" applyFont="1" applyBorder="1" applyAlignment="1">
      <alignment horizontal="right"/>
    </xf>
    <xf numFmtId="37" fontId="185" fillId="67" borderId="140" xfId="0" applyNumberFormat="1" applyFont="1" applyFill="1" applyBorder="1" applyAlignment="1">
      <alignment horizontal="right"/>
    </xf>
    <xf numFmtId="37" fontId="185" fillId="67" borderId="164" xfId="0" applyNumberFormat="1" applyFont="1" applyFill="1" applyBorder="1" applyAlignment="1">
      <alignment horizontal="right"/>
    </xf>
    <xf numFmtId="37" fontId="185" fillId="67" borderId="156" xfId="0" applyNumberFormat="1" applyFont="1" applyFill="1" applyBorder="1" applyAlignment="1">
      <alignment horizontal="right"/>
    </xf>
    <xf numFmtId="37" fontId="185" fillId="67" borderId="155" xfId="0" applyNumberFormat="1" applyFont="1" applyFill="1" applyBorder="1" applyAlignment="1">
      <alignment horizontal="right"/>
    </xf>
    <xf numFmtId="43" fontId="186" fillId="62" borderId="237" xfId="42" applyNumberFormat="1" applyFont="1" applyFill="1" applyBorder="1" applyAlignment="1">
      <alignment horizontal="left"/>
    </xf>
    <xf numFmtId="3" fontId="186" fillId="62" borderId="0" xfId="42" applyNumberFormat="1" applyFont="1" applyFill="1" applyBorder="1"/>
    <xf numFmtId="3" fontId="186" fillId="62" borderId="106" xfId="42" applyNumberFormat="1" applyFont="1" applyFill="1" applyBorder="1"/>
    <xf numFmtId="43" fontId="186" fillId="67" borderId="237" xfId="42" applyNumberFormat="1" applyFont="1" applyFill="1" applyBorder="1" applyAlignment="1">
      <alignment horizontal="left"/>
    </xf>
    <xf numFmtId="3" fontId="186" fillId="67" borderId="0" xfId="0" applyNumberFormat="1" applyFont="1" applyFill="1" applyBorder="1"/>
    <xf numFmtId="3" fontId="186" fillId="67" borderId="106" xfId="0" applyNumberFormat="1" applyFont="1" applyFill="1" applyBorder="1"/>
    <xf numFmtId="166" fontId="184" fillId="0" borderId="65" xfId="52" applyNumberFormat="1" applyFont="1" applyFill="1" applyBorder="1"/>
    <xf numFmtId="37" fontId="202" fillId="0" borderId="316" xfId="42" applyNumberFormat="1" applyFont="1" applyFill="1" applyBorder="1"/>
    <xf numFmtId="3" fontId="56" fillId="0" borderId="65" xfId="42" applyNumberFormat="1" applyFont="1" applyBorder="1"/>
    <xf numFmtId="3" fontId="186" fillId="62" borderId="106" xfId="14" applyNumberFormat="1" applyFont="1" applyFill="1" applyBorder="1" applyAlignment="1">
      <alignment horizontal="right"/>
    </xf>
    <xf numFmtId="3" fontId="186" fillId="62" borderId="85" xfId="14" applyNumberFormat="1" applyFont="1" applyFill="1" applyBorder="1" applyAlignment="1">
      <alignment horizontal="right"/>
    </xf>
    <xf numFmtId="3" fontId="186" fillId="62" borderId="0" xfId="14" applyNumberFormat="1" applyFont="1" applyFill="1" applyBorder="1" applyAlignment="1">
      <alignment horizontal="right"/>
    </xf>
    <xf numFmtId="3" fontId="186" fillId="62" borderId="22" xfId="14" applyNumberFormat="1" applyFont="1" applyFill="1" applyBorder="1" applyAlignment="1">
      <alignment horizontal="right"/>
    </xf>
    <xf numFmtId="3" fontId="186" fillId="62" borderId="157" xfId="14" applyNumberFormat="1" applyFont="1" applyFill="1" applyBorder="1" applyAlignment="1">
      <alignment horizontal="right"/>
    </xf>
    <xf numFmtId="3" fontId="56" fillId="0" borderId="106" xfId="14" applyNumberFormat="1" applyFont="1" applyBorder="1" applyAlignment="1">
      <alignment horizontal="right"/>
    </xf>
    <xf numFmtId="3" fontId="56" fillId="0" borderId="85" xfId="14" applyNumberFormat="1" applyFont="1" applyBorder="1" applyAlignment="1">
      <alignment horizontal="right"/>
    </xf>
    <xf numFmtId="3" fontId="56" fillId="0" borderId="0" xfId="14" applyNumberFormat="1" applyFont="1" applyBorder="1" applyAlignment="1">
      <alignment horizontal="right"/>
    </xf>
    <xf numFmtId="3" fontId="56" fillId="0" borderId="22" xfId="14" applyNumberFormat="1" applyFont="1" applyBorder="1" applyAlignment="1">
      <alignment horizontal="right"/>
    </xf>
    <xf numFmtId="3" fontId="56" fillId="0" borderId="157" xfId="14" applyNumberFormat="1" applyFont="1" applyBorder="1" applyAlignment="1">
      <alignment horizontal="right"/>
    </xf>
    <xf numFmtId="3" fontId="186" fillId="67" borderId="106" xfId="14" applyNumberFormat="1" applyFont="1" applyFill="1" applyBorder="1" applyAlignment="1">
      <alignment horizontal="right"/>
    </xf>
    <xf numFmtId="3" fontId="186" fillId="67" borderId="85" xfId="14" applyNumberFormat="1" applyFont="1" applyFill="1" applyBorder="1" applyAlignment="1">
      <alignment horizontal="right"/>
    </xf>
    <xf numFmtId="3" fontId="186" fillId="67" borderId="0" xfId="14" applyNumberFormat="1" applyFont="1" applyFill="1" applyBorder="1" applyAlignment="1">
      <alignment horizontal="right"/>
    </xf>
    <xf numFmtId="3" fontId="186" fillId="67" borderId="22" xfId="14" applyNumberFormat="1" applyFont="1" applyFill="1" applyBorder="1" applyAlignment="1">
      <alignment horizontal="right"/>
    </xf>
    <xf numFmtId="3" fontId="186" fillId="67" borderId="157" xfId="14" applyNumberFormat="1" applyFont="1" applyFill="1" applyBorder="1" applyAlignment="1">
      <alignment horizontal="right"/>
    </xf>
    <xf numFmtId="37" fontId="56" fillId="67" borderId="106" xfId="14" applyNumberFormat="1" applyFont="1" applyFill="1" applyBorder="1" applyAlignment="1">
      <alignment horizontal="right"/>
    </xf>
    <xf numFmtId="37" fontId="56" fillId="67" borderId="0" xfId="14" applyNumberFormat="1" applyFont="1" applyFill="1" applyBorder="1" applyAlignment="1">
      <alignment horizontal="right"/>
    </xf>
    <xf numFmtId="37" fontId="56" fillId="67" borderId="237" xfId="14" applyNumberFormat="1" applyFont="1" applyFill="1" applyBorder="1" applyAlignment="1">
      <alignment horizontal="right"/>
    </xf>
    <xf numFmtId="37" fontId="56" fillId="0" borderId="106" xfId="14" applyNumberFormat="1" applyFont="1" applyFill="1" applyBorder="1" applyAlignment="1">
      <alignment horizontal="right"/>
    </xf>
    <xf numFmtId="37" fontId="56" fillId="0" borderId="0" xfId="14" applyNumberFormat="1" applyFont="1" applyFill="1" applyBorder="1" applyAlignment="1">
      <alignment horizontal="right"/>
    </xf>
    <xf numFmtId="37" fontId="56" fillId="0" borderId="157" xfId="14" applyNumberFormat="1" applyFont="1" applyFill="1" applyBorder="1" applyAlignment="1">
      <alignment horizontal="right"/>
    </xf>
    <xf numFmtId="180" fontId="56" fillId="0" borderId="65" xfId="14" applyNumberFormat="1" applyFont="1" applyFill="1" applyBorder="1" applyAlignment="1">
      <alignment horizontal="right"/>
    </xf>
    <xf numFmtId="180" fontId="56" fillId="0" borderId="0" xfId="14" applyNumberFormat="1" applyFont="1" applyFill="1" applyBorder="1" applyAlignment="1">
      <alignment horizontal="right"/>
    </xf>
    <xf numFmtId="3" fontId="56" fillId="51" borderId="106" xfId="14" applyNumberFormat="1" applyFont="1" applyFill="1" applyBorder="1" applyAlignment="1">
      <alignment horizontal="right"/>
    </xf>
    <xf numFmtId="3" fontId="56" fillId="51" borderId="85" xfId="14" applyNumberFormat="1" applyFont="1" applyFill="1" applyBorder="1" applyAlignment="1">
      <alignment horizontal="right"/>
    </xf>
    <xf numFmtId="3" fontId="56" fillId="51" borderId="0" xfId="14" applyNumberFormat="1" applyFont="1" applyFill="1" applyBorder="1" applyAlignment="1">
      <alignment horizontal="right"/>
    </xf>
    <xf numFmtId="3" fontId="56" fillId="51" borderId="22" xfId="14" applyNumberFormat="1" applyFont="1" applyFill="1" applyBorder="1" applyAlignment="1">
      <alignment horizontal="right"/>
    </xf>
    <xf numFmtId="3" fontId="56" fillId="51" borderId="157" xfId="14" applyNumberFormat="1" applyFont="1" applyFill="1" applyBorder="1" applyAlignment="1">
      <alignment horizontal="right"/>
    </xf>
    <xf numFmtId="3" fontId="56" fillId="0" borderId="65" xfId="14" applyNumberFormat="1" applyFont="1" applyBorder="1" applyAlignment="1">
      <alignment horizontal="right"/>
    </xf>
    <xf numFmtId="3" fontId="56" fillId="0" borderId="235" xfId="14" applyNumberFormat="1" applyFont="1" applyBorder="1" applyAlignment="1">
      <alignment horizontal="right"/>
    </xf>
    <xf numFmtId="3" fontId="56" fillId="0" borderId="237" xfId="14" applyNumberFormat="1" applyFont="1" applyBorder="1" applyAlignment="1">
      <alignment horizontal="right"/>
    </xf>
    <xf numFmtId="3" fontId="56" fillId="0" borderId="327" xfId="14" applyNumberFormat="1" applyFont="1" applyBorder="1" applyAlignment="1">
      <alignment horizontal="right"/>
    </xf>
    <xf numFmtId="3" fontId="56" fillId="0" borderId="321" xfId="14" applyNumberFormat="1" applyFont="1" applyBorder="1" applyAlignment="1">
      <alignment horizontal="right"/>
    </xf>
    <xf numFmtId="3" fontId="56" fillId="0" borderId="299" xfId="14" applyNumberFormat="1" applyFont="1" applyBorder="1" applyAlignment="1">
      <alignment horizontal="right"/>
    </xf>
    <xf numFmtId="3" fontId="56" fillId="0" borderId="328" xfId="14" applyNumberFormat="1" applyFont="1" applyBorder="1" applyAlignment="1">
      <alignment horizontal="right"/>
    </xf>
    <xf numFmtId="3" fontId="56" fillId="0" borderId="237" xfId="42" applyNumberFormat="1" applyFont="1" applyBorder="1"/>
    <xf numFmtId="166" fontId="184" fillId="67" borderId="299" xfId="52" applyNumberFormat="1" applyFont="1" applyFill="1" applyBorder="1"/>
    <xf numFmtId="0" fontId="185" fillId="65" borderId="316" xfId="0" applyFont="1" applyFill="1" applyBorder="1" applyAlignment="1">
      <alignment horizontal="right"/>
    </xf>
    <xf numFmtId="165" fontId="185" fillId="0" borderId="237" xfId="42" applyNumberFormat="1" applyFont="1" applyFill="1" applyBorder="1" applyAlignment="1">
      <alignment horizontal="right"/>
    </xf>
    <xf numFmtId="0" fontId="195" fillId="0" borderId="237" xfId="0" applyFont="1" applyFill="1" applyBorder="1" applyAlignment="1">
      <alignment horizontal="right"/>
    </xf>
    <xf numFmtId="0" fontId="184" fillId="0" borderId="237" xfId="0" applyFont="1" applyFill="1" applyBorder="1" applyAlignment="1">
      <alignment horizontal="right"/>
    </xf>
    <xf numFmtId="177" fontId="185" fillId="0" borderId="237" xfId="10" applyNumberFormat="1" applyFont="1" applyFill="1" applyBorder="1"/>
    <xf numFmtId="177" fontId="185" fillId="67" borderId="237" xfId="10" applyNumberFormat="1" applyFont="1" applyFill="1" applyBorder="1"/>
    <xf numFmtId="166" fontId="195" fillId="57" borderId="237" xfId="0" applyNumberFormat="1" applyFont="1" applyFill="1" applyBorder="1"/>
    <xf numFmtId="177" fontId="56" fillId="67" borderId="237" xfId="10" applyNumberFormat="1" applyFont="1" applyFill="1" applyBorder="1"/>
    <xf numFmtId="166" fontId="184" fillId="67" borderId="237" xfId="0" applyNumberFormat="1" applyFont="1" applyFill="1" applyBorder="1"/>
    <xf numFmtId="9" fontId="56" fillId="0" borderId="237" xfId="10" applyNumberFormat="1" applyFont="1" applyFill="1" applyBorder="1" applyAlignment="1">
      <alignment horizontal="right"/>
    </xf>
    <xf numFmtId="166" fontId="185" fillId="0" borderId="237" xfId="0" applyNumberFormat="1" applyFont="1" applyFill="1" applyBorder="1" applyAlignment="1">
      <alignment horizontal="right"/>
    </xf>
    <xf numFmtId="166" fontId="184" fillId="0" borderId="327" xfId="0" applyNumberFormat="1" applyFont="1" applyFill="1" applyBorder="1"/>
    <xf numFmtId="166" fontId="184" fillId="67" borderId="327" xfId="0" applyNumberFormat="1" applyFont="1" applyFill="1" applyBorder="1"/>
    <xf numFmtId="0" fontId="185" fillId="65" borderId="298" xfId="0" quotePrefix="1" applyFont="1" applyFill="1" applyBorder="1" applyAlignment="1">
      <alignment horizontal="center"/>
    </xf>
    <xf numFmtId="165" fontId="188" fillId="0" borderId="237" xfId="42" applyNumberFormat="1" applyFont="1" applyBorder="1"/>
    <xf numFmtId="37" fontId="188" fillId="0" borderId="327" xfId="42" applyNumberFormat="1" applyFont="1" applyBorder="1"/>
    <xf numFmtId="37" fontId="188" fillId="0" borderId="237" xfId="42" applyNumberFormat="1" applyFont="1" applyBorder="1"/>
    <xf numFmtId="37" fontId="185" fillId="65" borderId="237" xfId="42" applyNumberFormat="1" applyFont="1" applyFill="1" applyBorder="1"/>
    <xf numFmtId="3" fontId="56" fillId="51" borderId="237" xfId="42" applyNumberFormat="1" applyFont="1" applyFill="1" applyBorder="1"/>
    <xf numFmtId="3" fontId="186" fillId="62" borderId="237" xfId="42" applyNumberFormat="1" applyFont="1" applyFill="1" applyBorder="1"/>
    <xf numFmtId="166" fontId="184" fillId="0" borderId="237" xfId="52" applyNumberFormat="1" applyFont="1" applyFill="1" applyBorder="1"/>
    <xf numFmtId="3" fontId="186" fillId="67" borderId="237" xfId="0" applyNumberFormat="1" applyFont="1" applyFill="1" applyBorder="1"/>
    <xf numFmtId="37" fontId="56" fillId="67" borderId="237" xfId="0" applyNumberFormat="1" applyFont="1" applyFill="1" applyBorder="1"/>
    <xf numFmtId="166" fontId="184" fillId="0" borderId="299" xfId="52" applyNumberFormat="1" applyFont="1" applyFill="1" applyBorder="1" applyAlignment="1">
      <alignment horizontal="right"/>
    </xf>
    <xf numFmtId="166" fontId="56" fillId="0" borderId="327" xfId="0" applyNumberFormat="1" applyFont="1" applyFill="1" applyBorder="1" applyAlignment="1">
      <alignment horizontal="right"/>
    </xf>
    <xf numFmtId="166" fontId="56" fillId="0" borderId="299" xfId="52" applyNumberFormat="1" applyFont="1" applyBorder="1" applyAlignment="1">
      <alignment horizontal="right"/>
    </xf>
    <xf numFmtId="0" fontId="185" fillId="65" borderId="316" xfId="0" quotePrefix="1" applyFont="1" applyFill="1" applyBorder="1" applyAlignment="1">
      <alignment horizontal="right"/>
    </xf>
    <xf numFmtId="165" fontId="185" fillId="67" borderId="237" xfId="42" applyNumberFormat="1" applyFont="1" applyFill="1" applyBorder="1" applyAlignment="1">
      <alignment horizontal="right"/>
    </xf>
    <xf numFmtId="165" fontId="56" fillId="0" borderId="327" xfId="42" applyNumberFormat="1" applyFont="1" applyFill="1" applyBorder="1" applyAlignment="1">
      <alignment horizontal="right"/>
    </xf>
    <xf numFmtId="177" fontId="186" fillId="67" borderId="316" xfId="10" applyNumberFormat="1" applyFont="1" applyFill="1" applyBorder="1" applyAlignment="1">
      <alignment horizontal="right"/>
    </xf>
    <xf numFmtId="165" fontId="185" fillId="0" borderId="237" xfId="42" applyNumberFormat="1" applyFont="1" applyBorder="1" applyAlignment="1">
      <alignment horizontal="right"/>
    </xf>
    <xf numFmtId="165" fontId="184" fillId="0" borderId="237" xfId="42" applyNumberFormat="1" applyFont="1" applyFill="1" applyBorder="1" applyAlignment="1">
      <alignment horizontal="right"/>
    </xf>
    <xf numFmtId="165" fontId="185" fillId="0" borderId="237" xfId="0" applyNumberFormat="1" applyFont="1" applyBorder="1" applyAlignment="1">
      <alignment horizontal="right"/>
    </xf>
    <xf numFmtId="186" fontId="185" fillId="0" borderId="237" xfId="52" applyNumberFormat="1" applyFont="1" applyFill="1" applyBorder="1" applyAlignment="1">
      <alignment horizontal="right"/>
    </xf>
    <xf numFmtId="0" fontId="188" fillId="67" borderId="266" xfId="0" applyFont="1" applyFill="1" applyBorder="1" applyAlignment="1">
      <alignment horizontal="right"/>
    </xf>
    <xf numFmtId="165" fontId="56" fillId="0" borderId="299" xfId="52" applyNumberFormat="1" applyFont="1" applyFill="1" applyBorder="1" applyAlignment="1">
      <alignment horizontal="right"/>
    </xf>
    <xf numFmtId="0" fontId="188" fillId="67" borderId="316" xfId="0" quotePrefix="1" applyFont="1" applyFill="1" applyBorder="1" applyAlignment="1">
      <alignment horizontal="right"/>
    </xf>
    <xf numFmtId="165" fontId="56" fillId="67" borderId="316" xfId="52" applyNumberFormat="1" applyFont="1" applyFill="1" applyBorder="1" applyAlignment="1">
      <alignment horizontal="right"/>
    </xf>
    <xf numFmtId="165" fontId="56" fillId="0" borderId="327" xfId="52" applyNumberFormat="1" applyFont="1" applyFill="1" applyBorder="1" applyAlignment="1">
      <alignment horizontal="right"/>
    </xf>
    <xf numFmtId="165" fontId="56" fillId="0" borderId="299" xfId="52" applyNumberFormat="1" applyFont="1" applyBorder="1" applyAlignment="1">
      <alignment horizontal="right"/>
    </xf>
    <xf numFmtId="165" fontId="185" fillId="47" borderId="299" xfId="42" applyNumberFormat="1" applyFont="1" applyFill="1" applyBorder="1" applyAlignment="1">
      <alignment horizontal="right"/>
    </xf>
    <xf numFmtId="0" fontId="56" fillId="62" borderId="299" xfId="0" applyFont="1" applyFill="1" applyBorder="1" applyAlignment="1">
      <alignment horizontal="right"/>
    </xf>
    <xf numFmtId="166" fontId="56" fillId="0" borderId="299" xfId="52" applyNumberFormat="1" applyFont="1" applyFill="1" applyBorder="1" applyAlignment="1">
      <alignment horizontal="right"/>
    </xf>
    <xf numFmtId="165" fontId="185" fillId="67" borderId="299" xfId="42" applyNumberFormat="1" applyFont="1" applyFill="1" applyBorder="1" applyAlignment="1">
      <alignment horizontal="right"/>
    </xf>
    <xf numFmtId="165" fontId="186" fillId="0" borderId="237" xfId="52" applyNumberFormat="1" applyFont="1" applyBorder="1" applyAlignment="1">
      <alignment horizontal="right"/>
    </xf>
    <xf numFmtId="165" fontId="186" fillId="0" borderId="316" xfId="52" applyNumberFormat="1" applyFont="1" applyBorder="1" applyAlignment="1">
      <alignment horizontal="right"/>
    </xf>
    <xf numFmtId="165" fontId="185" fillId="67" borderId="316" xfId="42" applyNumberFormat="1" applyFont="1" applyFill="1" applyBorder="1" applyAlignment="1">
      <alignment horizontal="right"/>
    </xf>
    <xf numFmtId="165" fontId="56" fillId="0" borderId="327" xfId="52" applyNumberFormat="1" applyFont="1" applyBorder="1" applyAlignment="1">
      <alignment horizontal="right"/>
    </xf>
    <xf numFmtId="165" fontId="186" fillId="67" borderId="316" xfId="52" applyNumberFormat="1" applyFont="1" applyFill="1" applyBorder="1" applyAlignment="1">
      <alignment horizontal="right"/>
    </xf>
    <xf numFmtId="165" fontId="188" fillId="0" borderId="237" xfId="42" applyNumberFormat="1" applyFont="1" applyFill="1" applyBorder="1" applyAlignment="1">
      <alignment horizontal="right"/>
    </xf>
    <xf numFmtId="165" fontId="185" fillId="47" borderId="327" xfId="42" applyNumberFormat="1" applyFont="1" applyFill="1" applyBorder="1" applyAlignment="1">
      <alignment horizontal="right"/>
    </xf>
    <xf numFmtId="0" fontId="195" fillId="65" borderId="316" xfId="0" applyFont="1" applyFill="1" applyBorder="1" applyAlignment="1">
      <alignment horizontal="right"/>
    </xf>
    <xf numFmtId="0" fontId="186" fillId="0" borderId="237" xfId="0" applyFont="1" applyFill="1" applyBorder="1" applyAlignment="1">
      <alignment horizontal="right"/>
    </xf>
    <xf numFmtId="0" fontId="56" fillId="0" borderId="237" xfId="0" applyFont="1" applyFill="1" applyBorder="1" applyAlignment="1">
      <alignment horizontal="right"/>
    </xf>
    <xf numFmtId="0" fontId="206" fillId="67" borderId="237" xfId="0" applyFont="1" applyFill="1" applyBorder="1" applyAlignment="1">
      <alignment horizontal="right"/>
    </xf>
    <xf numFmtId="166" fontId="184" fillId="67" borderId="237" xfId="10" applyNumberFormat="1" applyFont="1" applyFill="1" applyBorder="1" applyAlignment="1">
      <alignment horizontal="right"/>
    </xf>
    <xf numFmtId="0" fontId="186" fillId="67" borderId="237" xfId="0" applyFont="1" applyFill="1" applyBorder="1" applyAlignment="1">
      <alignment horizontal="right"/>
    </xf>
    <xf numFmtId="0" fontId="56" fillId="62" borderId="327" xfId="0" applyFont="1" applyFill="1" applyBorder="1" applyAlignment="1">
      <alignment horizontal="right"/>
    </xf>
    <xf numFmtId="0" fontId="184" fillId="0" borderId="298" xfId="0" applyFont="1" applyFill="1" applyBorder="1" applyAlignment="1">
      <alignment horizontal="right"/>
    </xf>
    <xf numFmtId="165" fontId="185" fillId="67" borderId="327" xfId="42" applyNumberFormat="1" applyFont="1" applyFill="1" applyBorder="1" applyAlignment="1">
      <alignment horizontal="right"/>
    </xf>
    <xf numFmtId="43" fontId="185" fillId="65" borderId="316" xfId="52" applyNumberFormat="1" applyFont="1" applyFill="1" applyBorder="1" applyAlignment="1">
      <alignment horizontal="left"/>
    </xf>
    <xf numFmtId="43" fontId="186" fillId="0" borderId="237" xfId="52" applyNumberFormat="1" applyFont="1" applyBorder="1" applyAlignment="1">
      <alignment horizontal="left" indent="3"/>
    </xf>
    <xf numFmtId="43" fontId="195" fillId="0" borderId="237" xfId="0" applyNumberFormat="1" applyFont="1" applyBorder="1" applyAlignment="1">
      <alignment horizontal="left" indent="4"/>
    </xf>
    <xf numFmtId="43" fontId="56" fillId="0" borderId="237" xfId="0" applyNumberFormat="1" applyFont="1" applyFill="1" applyBorder="1" applyAlignment="1">
      <alignment horizontal="left" indent="4"/>
    </xf>
    <xf numFmtId="43" fontId="56" fillId="0" borderId="237" xfId="0" applyNumberFormat="1" applyFont="1" applyBorder="1" applyAlignment="1">
      <alignment horizontal="left" indent="4"/>
    </xf>
    <xf numFmtId="43" fontId="195" fillId="0" borderId="237" xfId="0" applyNumberFormat="1" applyFont="1" applyFill="1" applyBorder="1" applyAlignment="1">
      <alignment horizontal="left" indent="4"/>
    </xf>
    <xf numFmtId="43" fontId="184" fillId="0" borderId="237" xfId="0" applyNumberFormat="1" applyFont="1" applyBorder="1" applyAlignment="1">
      <alignment horizontal="left" indent="4"/>
    </xf>
    <xf numFmtId="43" fontId="186" fillId="0" borderId="316" xfId="52" applyNumberFormat="1" applyFont="1" applyBorder="1" applyAlignment="1">
      <alignment horizontal="left" indent="2"/>
    </xf>
    <xf numFmtId="43" fontId="184" fillId="0" borderId="237" xfId="0" applyNumberFormat="1" applyFont="1" applyBorder="1" applyAlignment="1">
      <alignment horizontal="left" indent="3"/>
    </xf>
    <xf numFmtId="43" fontId="56" fillId="0" borderId="237" xfId="0" applyNumberFormat="1" applyFont="1" applyBorder="1" applyAlignment="1">
      <alignment horizontal="left" indent="3"/>
    </xf>
    <xf numFmtId="43" fontId="195" fillId="0" borderId="237" xfId="0" applyNumberFormat="1" applyFont="1" applyFill="1" applyBorder="1" applyAlignment="1">
      <alignment horizontal="left" indent="3"/>
    </xf>
    <xf numFmtId="43" fontId="186" fillId="0" borderId="237" xfId="0" applyNumberFormat="1" applyFont="1" applyFill="1" applyBorder="1" applyAlignment="1">
      <alignment horizontal="left" indent="2"/>
    </xf>
    <xf numFmtId="43" fontId="185" fillId="67" borderId="316" xfId="0" applyNumberFormat="1" applyFont="1" applyFill="1" applyBorder="1" applyAlignment="1">
      <alignment horizontal="left" indent="1"/>
    </xf>
    <xf numFmtId="43" fontId="184" fillId="0" borderId="237" xfId="0" applyNumberFormat="1" applyFont="1" applyBorder="1" applyAlignment="1">
      <alignment horizontal="left" indent="2"/>
    </xf>
    <xf numFmtId="43" fontId="56" fillId="0" borderId="237" xfId="0" applyNumberFormat="1" applyFont="1" applyBorder="1" applyAlignment="1">
      <alignment horizontal="left" indent="2"/>
    </xf>
    <xf numFmtId="43" fontId="184" fillId="0" borderId="237" xfId="0" applyNumberFormat="1" applyFont="1" applyFill="1" applyBorder="1" applyAlignment="1">
      <alignment horizontal="left" indent="2"/>
    </xf>
    <xf numFmtId="43" fontId="186" fillId="0" borderId="237" xfId="52" applyNumberFormat="1" applyFont="1" applyBorder="1" applyAlignment="1">
      <alignment horizontal="left" indent="1"/>
    </xf>
    <xf numFmtId="43" fontId="195" fillId="0" borderId="237" xfId="0" applyNumberFormat="1" applyFont="1" applyBorder="1" applyAlignment="1">
      <alignment horizontal="left" indent="2"/>
    </xf>
    <xf numFmtId="43" fontId="185" fillId="67" borderId="298" xfId="0" applyNumberFormat="1" applyFont="1" applyFill="1" applyBorder="1" applyAlignment="1">
      <alignment horizontal="left" indent="1"/>
    </xf>
    <xf numFmtId="43" fontId="185" fillId="67" borderId="316" xfId="0" applyNumberFormat="1" applyFont="1" applyFill="1" applyBorder="1" applyAlignment="1">
      <alignment horizontal="left"/>
    </xf>
    <xf numFmtId="43" fontId="195" fillId="0" borderId="237" xfId="0" applyNumberFormat="1" applyFont="1" applyFill="1" applyBorder="1" applyAlignment="1">
      <alignment horizontal="left" indent="1"/>
    </xf>
    <xf numFmtId="43" fontId="56" fillId="0" borderId="327" xfId="52" applyNumberFormat="1" applyFont="1" applyBorder="1" applyAlignment="1">
      <alignment horizontal="left"/>
    </xf>
    <xf numFmtId="43" fontId="185" fillId="67" borderId="316" xfId="52" applyNumberFormat="1" applyFont="1" applyFill="1" applyBorder="1" applyAlignment="1">
      <alignment horizontal="left"/>
    </xf>
    <xf numFmtId="43" fontId="56" fillId="0" borderId="237" xfId="52" applyNumberFormat="1" applyFont="1" applyBorder="1" applyAlignment="1">
      <alignment horizontal="left" indent="2"/>
    </xf>
    <xf numFmtId="43" fontId="185" fillId="47" borderId="327" xfId="0" applyNumberFormat="1" applyFont="1" applyFill="1" applyBorder="1" applyAlignment="1">
      <alignment horizontal="left"/>
    </xf>
    <xf numFmtId="43" fontId="56" fillId="0" borderId="237" xfId="0" applyNumberFormat="1" applyFont="1" applyFill="1" applyBorder="1" applyAlignment="1">
      <alignment horizontal="left"/>
    </xf>
    <xf numFmtId="43" fontId="186" fillId="0" borderId="237" xfId="52" applyNumberFormat="1" applyFont="1" applyBorder="1" applyAlignment="1">
      <alignment horizontal="left" indent="2"/>
    </xf>
    <xf numFmtId="43" fontId="56" fillId="0" borderId="237" xfId="52" applyNumberFormat="1" applyFont="1" applyBorder="1" applyAlignment="1">
      <alignment horizontal="left" indent="3"/>
    </xf>
    <xf numFmtId="43" fontId="185" fillId="67" borderId="237" xfId="52" applyNumberFormat="1" applyFont="1" applyFill="1" applyBorder="1" applyAlignment="1">
      <alignment horizontal="left"/>
    </xf>
    <xf numFmtId="43" fontId="184" fillId="67" borderId="237" xfId="0" applyNumberFormat="1" applyFont="1" applyFill="1" applyBorder="1" applyAlignment="1">
      <alignment horizontal="left" indent="1"/>
    </xf>
    <xf numFmtId="43" fontId="186" fillId="67" borderId="237" xfId="0" applyNumberFormat="1" applyFont="1" applyFill="1" applyBorder="1" applyAlignment="1">
      <alignment horizontal="left" indent="1"/>
    </xf>
    <xf numFmtId="43" fontId="56" fillId="62" borderId="237" xfId="52" applyNumberFormat="1" applyFont="1" applyFill="1" applyBorder="1" applyAlignment="1">
      <alignment horizontal="left" indent="2"/>
    </xf>
    <xf numFmtId="43" fontId="56" fillId="62" borderId="327" xfId="52" applyNumberFormat="1" applyFont="1" applyFill="1" applyBorder="1" applyAlignment="1">
      <alignment horizontal="left" indent="2"/>
    </xf>
    <xf numFmtId="43" fontId="56" fillId="0" borderId="298" xfId="0" applyNumberFormat="1" applyFont="1" applyFill="1" applyBorder="1" applyAlignment="1">
      <alignment horizontal="left" indent="1"/>
    </xf>
    <xf numFmtId="43" fontId="56" fillId="0" borderId="327" xfId="0" applyNumberFormat="1" applyFont="1" applyBorder="1" applyAlignment="1">
      <alignment horizontal="left" indent="1"/>
    </xf>
    <xf numFmtId="43" fontId="185" fillId="67" borderId="327" xfId="0" applyNumberFormat="1" applyFont="1" applyFill="1" applyBorder="1" applyAlignment="1">
      <alignment horizontal="left"/>
    </xf>
    <xf numFmtId="43" fontId="185" fillId="65" borderId="316" xfId="0" applyNumberFormat="1" applyFont="1" applyFill="1" applyBorder="1" applyAlignment="1">
      <alignment horizontal="left"/>
    </xf>
    <xf numFmtId="43" fontId="56" fillId="0" borderId="327" xfId="52" applyNumberFormat="1" applyFont="1" applyFill="1" applyBorder="1" applyAlignment="1">
      <alignment horizontal="left" indent="1"/>
    </xf>
    <xf numFmtId="43" fontId="195" fillId="0" borderId="237" xfId="0" applyNumberFormat="1" applyFont="1" applyBorder="1" applyAlignment="1">
      <alignment horizontal="left" indent="1"/>
    </xf>
    <xf numFmtId="43" fontId="184" fillId="0" borderId="327" xfId="0" applyNumberFormat="1" applyFont="1" applyBorder="1" applyAlignment="1">
      <alignment horizontal="left" indent="1"/>
    </xf>
    <xf numFmtId="43" fontId="185" fillId="0" borderId="237" xfId="42" applyNumberFormat="1" applyFont="1" applyBorder="1" applyAlignment="1">
      <alignment horizontal="left"/>
    </xf>
    <xf numFmtId="43" fontId="185" fillId="0" borderId="237" xfId="0" applyNumberFormat="1" applyFont="1" applyBorder="1" applyAlignment="1">
      <alignment horizontal="left"/>
    </xf>
    <xf numFmtId="43" fontId="185" fillId="0" borderId="237" xfId="52" applyNumberFormat="1" applyFont="1" applyFill="1" applyBorder="1" applyAlignment="1">
      <alignment horizontal="left" indent="1"/>
    </xf>
    <xf numFmtId="43" fontId="56" fillId="0" borderId="327" xfId="52" applyNumberFormat="1" applyFont="1" applyBorder="1" applyAlignment="1">
      <alignment horizontal="left" indent="2"/>
    </xf>
    <xf numFmtId="43" fontId="56" fillId="51" borderId="298" xfId="52" applyNumberFormat="1" applyFont="1" applyFill="1" applyBorder="1" applyAlignment="1">
      <alignment horizontal="left"/>
    </xf>
    <xf numFmtId="43" fontId="185" fillId="0" borderId="237" xfId="0" applyNumberFormat="1" applyFont="1" applyFill="1" applyBorder="1" applyAlignment="1">
      <alignment horizontal="left"/>
    </xf>
    <xf numFmtId="43" fontId="185" fillId="0" borderId="237" xfId="10" applyNumberFormat="1" applyFont="1" applyFill="1" applyBorder="1" applyAlignment="1">
      <alignment horizontal="left"/>
    </xf>
    <xf numFmtId="43" fontId="56" fillId="0" borderId="237" xfId="42" applyNumberFormat="1" applyFont="1" applyBorder="1" applyAlignment="1">
      <alignment horizontal="left" indent="2"/>
    </xf>
    <xf numFmtId="43" fontId="56" fillId="0" borderId="237" xfId="0" applyNumberFormat="1" applyFont="1" applyBorder="1" applyAlignment="1">
      <alignment horizontal="left"/>
    </xf>
    <xf numFmtId="43" fontId="188" fillId="0" borderId="237" xfId="42" applyNumberFormat="1" applyFont="1" applyBorder="1" applyAlignment="1">
      <alignment horizontal="left"/>
    </xf>
    <xf numFmtId="43" fontId="184" fillId="0" borderId="237" xfId="52" applyNumberFormat="1" applyFont="1" applyBorder="1" applyAlignment="1">
      <alignment horizontal="left" indent="1"/>
    </xf>
    <xf numFmtId="43" fontId="185" fillId="67" borderId="237" xfId="42" applyNumberFormat="1" applyFont="1" applyFill="1" applyBorder="1" applyAlignment="1">
      <alignment horizontal="left"/>
    </xf>
    <xf numFmtId="43" fontId="206" fillId="49" borderId="237" xfId="52" applyNumberFormat="1" applyFont="1" applyFill="1" applyBorder="1" applyAlignment="1">
      <alignment horizontal="left" indent="1"/>
    </xf>
    <xf numFmtId="43" fontId="188" fillId="67" borderId="237" xfId="0" applyNumberFormat="1" applyFont="1" applyFill="1" applyBorder="1" applyAlignment="1">
      <alignment horizontal="left" indent="2"/>
    </xf>
    <xf numFmtId="43" fontId="56" fillId="0" borderId="327" xfId="0" applyNumberFormat="1" applyFont="1" applyBorder="1" applyAlignment="1">
      <alignment horizontal="left" indent="2"/>
    </xf>
    <xf numFmtId="43" fontId="56" fillId="0" borderId="237" xfId="42" applyNumberFormat="1" applyFont="1" applyBorder="1" applyAlignment="1">
      <alignment horizontal="left" indent="1"/>
    </xf>
    <xf numFmtId="43" fontId="185" fillId="0" borderId="237" xfId="10" applyNumberFormat="1" applyFont="1" applyFill="1" applyBorder="1" applyAlignment="1">
      <alignment horizontal="left" indent="1"/>
    </xf>
    <xf numFmtId="43" fontId="56" fillId="0" borderId="237" xfId="42" applyNumberFormat="1" applyFont="1" applyBorder="1" applyAlignment="1">
      <alignment horizontal="left" indent="3"/>
    </xf>
    <xf numFmtId="43" fontId="185" fillId="67" borderId="237" xfId="10" applyNumberFormat="1" applyFont="1" applyFill="1" applyBorder="1" applyAlignment="1">
      <alignment horizontal="left" indent="1"/>
    </xf>
    <xf numFmtId="43" fontId="195" fillId="57" borderId="237" xfId="0" applyNumberFormat="1" applyFont="1" applyFill="1" applyBorder="1" applyAlignment="1">
      <alignment horizontal="left" indent="2"/>
    </xf>
    <xf numFmtId="43" fontId="56" fillId="67" borderId="237" xfId="10" applyNumberFormat="1" applyFont="1" applyFill="1" applyBorder="1" applyAlignment="1">
      <alignment horizontal="left" indent="3"/>
    </xf>
    <xf numFmtId="43" fontId="184" fillId="67" borderId="237" xfId="0" applyNumberFormat="1" applyFont="1" applyFill="1" applyBorder="1" applyAlignment="1">
      <alignment horizontal="left" indent="3"/>
    </xf>
    <xf numFmtId="43" fontId="185" fillId="0" borderId="237" xfId="42" applyNumberFormat="1" applyFont="1" applyBorder="1" applyAlignment="1">
      <alignment horizontal="left" indent="1"/>
    </xf>
    <xf numFmtId="43" fontId="184" fillId="0" borderId="237" xfId="0" applyNumberFormat="1" applyFont="1" applyFill="1" applyBorder="1" applyAlignment="1">
      <alignment horizontal="left" indent="3"/>
    </xf>
    <xf numFmtId="43" fontId="184" fillId="0" borderId="327" xfId="0" applyNumberFormat="1" applyFont="1" applyFill="1" applyBorder="1" applyAlignment="1">
      <alignment horizontal="left" indent="3"/>
    </xf>
    <xf numFmtId="43" fontId="184" fillId="67" borderId="327" xfId="0" applyNumberFormat="1" applyFont="1" applyFill="1" applyBorder="1" applyAlignment="1">
      <alignment horizontal="left" indent="3"/>
    </xf>
    <xf numFmtId="165" fontId="52" fillId="0" borderId="0" xfId="52" applyNumberFormat="1" applyFont="1" applyFill="1" applyBorder="1" applyAlignment="1">
      <alignment horizontal="right"/>
    </xf>
    <xf numFmtId="165" fontId="52" fillId="0" borderId="0" xfId="0" applyNumberFormat="1" applyFont="1" applyFill="1" applyBorder="1" applyAlignment="1">
      <alignment horizontal="left"/>
    </xf>
    <xf numFmtId="165" fontId="219" fillId="0" borderId="0" xfId="46" applyNumberFormat="1" applyFont="1" applyFill="1" applyBorder="1" applyAlignment="1">
      <alignment horizontal="right"/>
    </xf>
    <xf numFmtId="165" fontId="52" fillId="0" borderId="0" xfId="46" applyNumberFormat="1" applyFont="1" applyFill="1" applyBorder="1" applyAlignment="1">
      <alignment horizontal="right"/>
    </xf>
    <xf numFmtId="165" fontId="17" fillId="0" borderId="0" xfId="0" applyNumberFormat="1" applyFont="1" applyFill="1" applyBorder="1"/>
    <xf numFmtId="0" fontId="154" fillId="0" borderId="0" xfId="0" applyFont="1" applyFill="1" applyBorder="1" applyAlignment="1">
      <alignment horizontal="right"/>
    </xf>
    <xf numFmtId="0" fontId="154" fillId="0" borderId="0" xfId="0" applyFont="1" applyFill="1" applyBorder="1" applyAlignment="1">
      <alignment horizontal="center"/>
    </xf>
    <xf numFmtId="0" fontId="154" fillId="0" borderId="0" xfId="0" applyFont="1" applyFill="1" applyBorder="1"/>
    <xf numFmtId="165" fontId="52" fillId="0" borderId="0" xfId="0" applyNumberFormat="1" applyFont="1" applyFill="1" applyBorder="1" applyAlignment="1">
      <alignment horizontal="right"/>
    </xf>
    <xf numFmtId="165" fontId="54" fillId="0" borderId="0" xfId="0" applyNumberFormat="1" applyFont="1" applyFill="1" applyBorder="1" applyAlignment="1">
      <alignment horizontal="right"/>
    </xf>
    <xf numFmtId="165" fontId="52" fillId="0" borderId="0" xfId="10" applyNumberFormat="1" applyFont="1" applyFill="1" applyBorder="1" applyAlignment="1">
      <alignment horizontal="right"/>
    </xf>
    <xf numFmtId="165" fontId="272" fillId="57" borderId="0" xfId="0" applyNumberFormat="1" applyFont="1" applyFill="1" applyBorder="1" applyAlignment="1">
      <alignment horizontal="centerContinuous"/>
    </xf>
    <xf numFmtId="0" fontId="272" fillId="51" borderId="0" xfId="0" applyFont="1" applyFill="1" applyBorder="1" applyAlignment="1">
      <alignment horizontal="center"/>
    </xf>
    <xf numFmtId="37" fontId="56" fillId="51" borderId="237" xfId="52" applyNumberFormat="1" applyFont="1" applyFill="1" applyBorder="1" applyAlignment="1">
      <alignment horizontal="right"/>
    </xf>
    <xf numFmtId="41" fontId="56" fillId="51" borderId="237" xfId="0" applyNumberFormat="1" applyFont="1" applyFill="1" applyBorder="1" applyAlignment="1">
      <alignment horizontal="left" indent="1"/>
    </xf>
    <xf numFmtId="178" fontId="185" fillId="0" borderId="0" xfId="10" applyNumberFormat="1" applyFont="1" applyFill="1" applyBorder="1" applyAlignment="1">
      <alignment horizontal="right"/>
    </xf>
    <xf numFmtId="178" fontId="198" fillId="0" borderId="0" xfId="10" applyNumberFormat="1" applyFont="1" applyFill="1" applyBorder="1" applyAlignment="1">
      <alignment horizontal="right"/>
    </xf>
    <xf numFmtId="178" fontId="185" fillId="0" borderId="106" xfId="10" applyNumberFormat="1" applyFont="1" applyFill="1" applyBorder="1" applyAlignment="1">
      <alignment horizontal="right"/>
    </xf>
    <xf numFmtId="178" fontId="56" fillId="0" borderId="157" xfId="10" applyNumberFormat="1" applyFont="1" applyFill="1" applyBorder="1" applyAlignment="1">
      <alignment horizontal="right"/>
    </xf>
    <xf numFmtId="178" fontId="185" fillId="0" borderId="157" xfId="10" applyNumberFormat="1" applyFont="1" applyFill="1" applyBorder="1" applyAlignment="1">
      <alignment horizontal="right"/>
    </xf>
    <xf numFmtId="178" fontId="185" fillId="0" borderId="0" xfId="42" applyNumberFormat="1" applyFont="1" applyFill="1" applyBorder="1" applyAlignment="1">
      <alignment horizontal="right"/>
    </xf>
    <xf numFmtId="178" fontId="185" fillId="0" borderId="106" xfId="42" applyNumberFormat="1" applyFont="1" applyFill="1" applyBorder="1" applyAlignment="1">
      <alignment horizontal="right"/>
    </xf>
    <xf numFmtId="178" fontId="185" fillId="67" borderId="0" xfId="10" applyNumberFormat="1" applyFont="1" applyFill="1" applyBorder="1"/>
    <xf numFmtId="178" fontId="198" fillId="67" borderId="0" xfId="10" applyNumberFormat="1" applyFont="1" applyFill="1" applyBorder="1"/>
    <xf numFmtId="178" fontId="185" fillId="67" borderId="106" xfId="10" applyNumberFormat="1" applyFont="1" applyFill="1" applyBorder="1"/>
    <xf numFmtId="178" fontId="213" fillId="0" borderId="0" xfId="52" applyNumberFormat="1" applyFont="1" applyFill="1" applyBorder="1" applyAlignment="1">
      <alignment horizontal="right"/>
    </xf>
    <xf numFmtId="178" fontId="56" fillId="0" borderId="157" xfId="52" applyNumberFormat="1" applyFont="1" applyFill="1" applyBorder="1" applyAlignment="1">
      <alignment horizontal="right"/>
    </xf>
    <xf numFmtId="178" fontId="213" fillId="0" borderId="0" xfId="10" applyNumberFormat="1" applyFont="1" applyFill="1" applyBorder="1" applyAlignment="1">
      <alignment horizontal="right"/>
    </xf>
    <xf numFmtId="178" fontId="240" fillId="0" borderId="0" xfId="10" applyNumberFormat="1" applyFont="1" applyFill="1" applyBorder="1"/>
    <xf numFmtId="178" fontId="185" fillId="0" borderId="157" xfId="10" applyNumberFormat="1" applyFont="1" applyFill="1" applyBorder="1"/>
    <xf numFmtId="178" fontId="214" fillId="0" borderId="0" xfId="52" applyNumberFormat="1" applyFont="1" applyFill="1" applyBorder="1" applyAlignment="1">
      <alignment horizontal="right"/>
    </xf>
    <xf numFmtId="178" fontId="184" fillId="0" borderId="106" xfId="52" applyNumberFormat="1" applyFont="1" applyFill="1" applyBorder="1" applyAlignment="1">
      <alignment horizontal="right"/>
    </xf>
    <xf numFmtId="178" fontId="184" fillId="0" borderId="0" xfId="0" applyNumberFormat="1" applyFont="1" applyFill="1" applyBorder="1" applyAlignment="1">
      <alignment horizontal="right"/>
    </xf>
    <xf numFmtId="178" fontId="184" fillId="0" borderId="157" xfId="0" applyNumberFormat="1" applyFont="1" applyFill="1" applyBorder="1" applyAlignment="1">
      <alignment horizontal="right"/>
    </xf>
    <xf numFmtId="178" fontId="56" fillId="0" borderId="157" xfId="0" applyNumberFormat="1" applyFont="1" applyFill="1" applyBorder="1" applyAlignment="1">
      <alignment horizontal="right"/>
    </xf>
    <xf numFmtId="178" fontId="185" fillId="0" borderId="237" xfId="10" applyNumberFormat="1" applyFont="1" applyFill="1" applyBorder="1" applyAlignment="1">
      <alignment horizontal="right"/>
    </xf>
    <xf numFmtId="178" fontId="185" fillId="0" borderId="0" xfId="10" applyNumberFormat="1" applyFont="1" applyFill="1" applyBorder="1"/>
    <xf numFmtId="178" fontId="185" fillId="67" borderId="0" xfId="10" applyNumberFormat="1" applyFont="1" applyFill="1" applyBorder="1" applyAlignment="1">
      <alignment horizontal="right"/>
    </xf>
    <xf numFmtId="178" fontId="185" fillId="67" borderId="237" xfId="10" applyNumberFormat="1" applyFont="1" applyFill="1" applyBorder="1" applyAlignment="1">
      <alignment horizontal="right"/>
    </xf>
    <xf numFmtId="178" fontId="188" fillId="0" borderId="237" xfId="10" applyNumberFormat="1" applyFont="1" applyFill="1" applyBorder="1" applyAlignment="1">
      <alignment horizontal="right"/>
    </xf>
    <xf numFmtId="37" fontId="56" fillId="0" borderId="237" xfId="52" applyNumberFormat="1" applyFont="1" applyFill="1" applyBorder="1" applyAlignment="1">
      <alignment horizontal="right"/>
    </xf>
    <xf numFmtId="37" fontId="186" fillId="0" borderId="128" xfId="52" applyNumberFormat="1" applyFont="1" applyFill="1" applyBorder="1" applyAlignment="1">
      <alignment horizontal="right"/>
    </xf>
    <xf numFmtId="37" fontId="186" fillId="0" borderId="4" xfId="52" applyNumberFormat="1" applyFont="1" applyFill="1" applyBorder="1" applyAlignment="1">
      <alignment horizontal="right"/>
    </xf>
    <xf numFmtId="37" fontId="186" fillId="0" borderId="208" xfId="52" applyNumberFormat="1" applyFont="1" applyFill="1" applyBorder="1" applyAlignment="1">
      <alignment horizontal="right"/>
    </xf>
    <xf numFmtId="4" fontId="187" fillId="0" borderId="236" xfId="69" applyNumberFormat="1" applyFont="1" applyBorder="1"/>
    <xf numFmtId="0" fontId="186" fillId="58" borderId="0" xfId="0" applyFont="1" applyFill="1" applyBorder="1"/>
    <xf numFmtId="37" fontId="52" fillId="0" borderId="0" xfId="0" applyNumberFormat="1" applyFont="1" applyFill="1"/>
    <xf numFmtId="166" fontId="201" fillId="0" borderId="53" xfId="52" applyNumberFormat="1" applyFont="1" applyFill="1" applyBorder="1" applyAlignment="1">
      <alignment horizontal="right"/>
    </xf>
    <xf numFmtId="165" fontId="201" fillId="0" borderId="121" xfId="46" applyNumberFormat="1" applyFont="1" applyFill="1" applyBorder="1"/>
    <xf numFmtId="166" fontId="201" fillId="0" borderId="121" xfId="52" applyNumberFormat="1" applyFont="1" applyFill="1" applyBorder="1"/>
    <xf numFmtId="166" fontId="201" fillId="0" borderId="121" xfId="52" applyNumberFormat="1" applyFont="1" applyFill="1" applyBorder="1" applyAlignment="1">
      <alignment horizontal="right"/>
    </xf>
    <xf numFmtId="166" fontId="201" fillId="0" borderId="65" xfId="52" applyNumberFormat="1" applyFont="1" applyFill="1" applyBorder="1" applyAlignment="1">
      <alignment horizontal="right"/>
    </xf>
    <xf numFmtId="166" fontId="270" fillId="0" borderId="65" xfId="52" applyNumberFormat="1" applyFont="1" applyFill="1" applyBorder="1" applyAlignment="1">
      <alignment horizontal="right"/>
    </xf>
    <xf numFmtId="166" fontId="279" fillId="0" borderId="65" xfId="52" applyNumberFormat="1" applyFont="1" applyFill="1" applyBorder="1" applyAlignment="1">
      <alignment horizontal="right"/>
    </xf>
    <xf numFmtId="43" fontId="188" fillId="0" borderId="299" xfId="39" applyNumberFormat="1" applyFont="1" applyFill="1" applyBorder="1" applyAlignment="1">
      <alignment horizontal="left"/>
    </xf>
    <xf numFmtId="165" fontId="188" fillId="0" borderId="299" xfId="46" applyNumberFormat="1" applyFont="1" applyFill="1" applyBorder="1"/>
    <xf numFmtId="165" fontId="188" fillId="0" borderId="329" xfId="46" applyNumberFormat="1" applyFont="1" applyFill="1" applyBorder="1" applyAlignment="1">
      <alignment horizontal="right"/>
    </xf>
    <xf numFmtId="165" fontId="188" fillId="0" borderId="302" xfId="46" applyNumberFormat="1" applyFont="1" applyFill="1" applyBorder="1"/>
    <xf numFmtId="165" fontId="188" fillId="0" borderId="302" xfId="46" applyNumberFormat="1" applyFont="1" applyFill="1" applyBorder="1" applyAlignment="1">
      <alignment horizontal="right"/>
    </xf>
    <xf numFmtId="165" fontId="188" fillId="0" borderId="299" xfId="46" applyNumberFormat="1" applyFont="1" applyFill="1" applyBorder="1" applyAlignment="1">
      <alignment horizontal="right"/>
    </xf>
    <xf numFmtId="165" fontId="188" fillId="0" borderId="330" xfId="46" applyNumberFormat="1" applyFont="1" applyFill="1" applyBorder="1" applyAlignment="1">
      <alignment horizontal="right"/>
    </xf>
    <xf numFmtId="166" fontId="52" fillId="0" borderId="0" xfId="52" applyNumberFormat="1" applyFont="1" applyFill="1"/>
    <xf numFmtId="41" fontId="56" fillId="0" borderId="65" xfId="0" applyNumberFormat="1" applyFont="1" applyBorder="1" applyAlignment="1">
      <alignment horizontal="left" indent="1"/>
    </xf>
    <xf numFmtId="170" fontId="56" fillId="0" borderId="121" xfId="20" applyNumberFormat="1" applyFont="1" applyFill="1" applyBorder="1" applyAlignment="1">
      <alignment horizontal="right"/>
    </xf>
    <xf numFmtId="166" fontId="193" fillId="0" borderId="0" xfId="52" applyNumberFormat="1" applyFont="1" applyFill="1" applyBorder="1" applyAlignment="1">
      <alignment horizontal="right"/>
    </xf>
    <xf numFmtId="165" fontId="154" fillId="0" borderId="0" xfId="0" applyNumberFormat="1" applyFont="1" applyFill="1" applyBorder="1"/>
    <xf numFmtId="9" fontId="52" fillId="0" borderId="0" xfId="52" applyFont="1" applyFill="1" applyAlignment="1">
      <alignment horizontal="center"/>
    </xf>
    <xf numFmtId="37" fontId="52" fillId="0" borderId="0" xfId="0" applyNumberFormat="1" applyFont="1" applyFill="1" applyAlignment="1">
      <alignment horizontal="center"/>
    </xf>
    <xf numFmtId="4" fontId="187" fillId="0" borderId="0" xfId="69" applyNumberFormat="1" applyFont="1" applyBorder="1"/>
    <xf numFmtId="181" fontId="189" fillId="0" borderId="0" xfId="14" applyNumberFormat="1" applyFont="1" applyFill="1" applyBorder="1"/>
    <xf numFmtId="166" fontId="189" fillId="0" borderId="0" xfId="14" applyNumberFormat="1" applyFont="1" applyFill="1" applyBorder="1"/>
    <xf numFmtId="37" fontId="56" fillId="0" borderId="0" xfId="14" applyNumberFormat="1" applyFont="1" applyFill="1" applyBorder="1"/>
    <xf numFmtId="44" fontId="56" fillId="0" borderId="0" xfId="14" applyFont="1" applyFill="1" applyBorder="1"/>
    <xf numFmtId="5" fontId="188" fillId="0" borderId="266" xfId="14" applyNumberFormat="1" applyFont="1" applyFill="1" applyBorder="1"/>
    <xf numFmtId="165" fontId="56" fillId="0" borderId="0" xfId="14" applyNumberFormat="1" applyFont="1" applyFill="1" applyBorder="1"/>
    <xf numFmtId="174" fontId="56" fillId="0" borderId="299" xfId="41" applyFont="1" applyFill="1" applyBorder="1"/>
    <xf numFmtId="10" fontId="213" fillId="0" borderId="53" xfId="0" applyNumberFormat="1" applyFont="1" applyFill="1" applyBorder="1"/>
    <xf numFmtId="39" fontId="213" fillId="0" borderId="53" xfId="0" applyNumberFormat="1" applyFont="1" applyFill="1" applyBorder="1"/>
    <xf numFmtId="10" fontId="213" fillId="0" borderId="53" xfId="0" applyNumberFormat="1" applyFont="1" applyBorder="1"/>
    <xf numFmtId="166" fontId="56" fillId="0" borderId="53" xfId="0" applyNumberFormat="1" applyFont="1" applyBorder="1"/>
    <xf numFmtId="0" fontId="56" fillId="0" borderId="53" xfId="0" applyFont="1" applyBorder="1"/>
    <xf numFmtId="10" fontId="56" fillId="0" borderId="53" xfId="0" applyNumberFormat="1" applyFont="1" applyBorder="1"/>
    <xf numFmtId="166" fontId="56" fillId="0" borderId="53" xfId="52" applyNumberFormat="1" applyFont="1" applyBorder="1"/>
    <xf numFmtId="174" fontId="56" fillId="0" borderId="53" xfId="41" applyFont="1" applyFill="1" applyBorder="1"/>
    <xf numFmtId="5" fontId="213" fillId="0" borderId="53" xfId="41" applyNumberFormat="1" applyFont="1" applyFill="1" applyBorder="1"/>
    <xf numFmtId="5" fontId="56" fillId="0" borderId="53" xfId="10" applyNumberFormat="1" applyFont="1" applyFill="1" applyBorder="1"/>
    <xf numFmtId="5" fontId="56" fillId="0" borderId="53" xfId="41" applyNumberFormat="1" applyFont="1" applyFill="1" applyBorder="1"/>
    <xf numFmtId="5" fontId="56" fillId="0" borderId="110" xfId="41" applyNumberFormat="1" applyFont="1" applyFill="1" applyBorder="1"/>
    <xf numFmtId="166" fontId="189" fillId="0" borderId="53" xfId="0" applyNumberFormat="1" applyFont="1" applyBorder="1"/>
    <xf numFmtId="166" fontId="189" fillId="0" borderId="53" xfId="41" applyNumberFormat="1" applyFont="1" applyFill="1" applyBorder="1"/>
    <xf numFmtId="37" fontId="186" fillId="58" borderId="0" xfId="0" applyNumberFormat="1" applyFont="1" applyFill="1" applyBorder="1"/>
    <xf numFmtId="166" fontId="188" fillId="58" borderId="0" xfId="52" applyNumberFormat="1" applyFont="1" applyFill="1" applyBorder="1"/>
    <xf numFmtId="166" fontId="56" fillId="65" borderId="182" xfId="52" applyNumberFormat="1" applyFont="1" applyFill="1" applyBorder="1" applyAlignment="1">
      <alignment horizontal="right"/>
    </xf>
    <xf numFmtId="166" fontId="56" fillId="65" borderId="143" xfId="52" applyNumberFormat="1" applyFont="1" applyFill="1" applyBorder="1" applyAlignment="1">
      <alignment horizontal="right"/>
    </xf>
    <xf numFmtId="43" fontId="184" fillId="0" borderId="65" xfId="0" applyNumberFormat="1" applyFont="1" applyBorder="1" applyAlignment="1">
      <alignment horizontal="left" indent="2"/>
    </xf>
    <xf numFmtId="0" fontId="184" fillId="0" borderId="65" xfId="0" applyFont="1" applyFill="1" applyBorder="1" applyAlignment="1">
      <alignment horizontal="right"/>
    </xf>
    <xf numFmtId="43" fontId="184" fillId="0" borderId="237" xfId="52" applyNumberFormat="1" applyFont="1" applyBorder="1" applyAlignment="1">
      <alignment horizontal="left" indent="2"/>
    </xf>
    <xf numFmtId="43" fontId="184" fillId="0" borderId="235" xfId="10" applyFont="1" applyBorder="1" applyAlignment="1">
      <alignment horizontal="right"/>
    </xf>
    <xf numFmtId="43" fontId="184" fillId="0" borderId="0" xfId="10" applyFont="1" applyBorder="1" applyAlignment="1">
      <alignment horizontal="right"/>
    </xf>
    <xf numFmtId="43" fontId="184" fillId="0" borderId="22" xfId="10" applyFont="1" applyBorder="1" applyAlignment="1">
      <alignment horizontal="right"/>
    </xf>
    <xf numFmtId="167" fontId="184" fillId="0" borderId="0" xfId="52" applyNumberFormat="1" applyFont="1" applyFill="1" applyBorder="1" applyAlignment="1">
      <alignment horizontal="right"/>
    </xf>
    <xf numFmtId="10" fontId="184" fillId="0" borderId="65" xfId="52" applyNumberFormat="1" applyFont="1" applyFill="1" applyBorder="1" applyAlignment="1">
      <alignment horizontal="right"/>
    </xf>
    <xf numFmtId="167" fontId="184" fillId="51" borderId="0" xfId="52" applyNumberFormat="1" applyFont="1" applyFill="1" applyBorder="1" applyAlignment="1">
      <alignment horizontal="right"/>
    </xf>
    <xf numFmtId="165" fontId="0" fillId="0" borderId="0" xfId="52" applyNumberFormat="1" applyFont="1"/>
    <xf numFmtId="166" fontId="186" fillId="51" borderId="237" xfId="52" applyNumberFormat="1" applyFont="1" applyFill="1" applyBorder="1" applyAlignment="1">
      <alignment horizontal="right"/>
    </xf>
    <xf numFmtId="166" fontId="206" fillId="0" borderId="237" xfId="52" applyNumberFormat="1" applyFont="1" applyFill="1" applyBorder="1" applyAlignment="1">
      <alignment horizontal="right"/>
    </xf>
    <xf numFmtId="41" fontId="185" fillId="0" borderId="237" xfId="0" applyNumberFormat="1" applyFont="1" applyFill="1" applyBorder="1" applyAlignment="1">
      <alignment horizontal="left" indent="1"/>
    </xf>
    <xf numFmtId="37" fontId="185" fillId="0" borderId="237" xfId="20" applyNumberFormat="1" applyFont="1" applyFill="1" applyBorder="1" applyAlignment="1">
      <alignment horizontal="right"/>
    </xf>
    <xf numFmtId="166" fontId="188" fillId="64" borderId="237" xfId="52" applyNumberFormat="1" applyFont="1" applyFill="1" applyBorder="1" applyAlignment="1">
      <alignment horizontal="right"/>
    </xf>
    <xf numFmtId="9" fontId="213" fillId="0" borderId="236" xfId="129" applyFont="1" applyFill="1" applyBorder="1" applyAlignment="1">
      <alignment horizontal="right"/>
    </xf>
    <xf numFmtId="9" fontId="52" fillId="0" borderId="0" xfId="52" applyFont="1" applyFill="1"/>
    <xf numFmtId="166" fontId="248" fillId="51" borderId="0" xfId="52" applyNumberFormat="1" applyFont="1" applyFill="1" applyBorder="1" applyAlignment="1">
      <alignment horizontal="right"/>
    </xf>
    <xf numFmtId="166" fontId="196" fillId="51" borderId="65" xfId="52" applyNumberFormat="1" applyFont="1" applyFill="1" applyBorder="1" applyAlignment="1">
      <alignment horizontal="right"/>
    </xf>
    <xf numFmtId="0" fontId="21" fillId="0" borderId="0" xfId="0" applyFont="1" applyAlignment="1">
      <alignment horizontal="center"/>
    </xf>
    <xf numFmtId="170" fontId="185" fillId="67" borderId="299" xfId="20" applyNumberFormat="1" applyFont="1" applyFill="1" applyBorder="1" applyAlignment="1">
      <alignment horizontal="right"/>
    </xf>
    <xf numFmtId="170" fontId="185" fillId="67" borderId="302" xfId="20" applyNumberFormat="1" applyFont="1" applyFill="1" applyBorder="1" applyAlignment="1">
      <alignment horizontal="right"/>
    </xf>
    <xf numFmtId="170" fontId="198" fillId="67" borderId="299" xfId="20" applyNumberFormat="1" applyFont="1" applyFill="1" applyBorder="1" applyAlignment="1">
      <alignment horizontal="right"/>
    </xf>
    <xf numFmtId="166" fontId="185" fillId="67" borderId="299" xfId="52" applyNumberFormat="1" applyFont="1" applyFill="1" applyBorder="1" applyAlignment="1">
      <alignment horizontal="right"/>
    </xf>
    <xf numFmtId="0" fontId="56" fillId="0" borderId="237" xfId="0" applyFont="1" applyBorder="1"/>
    <xf numFmtId="9" fontId="213" fillId="0" borderId="157" xfId="129" applyFont="1" applyFill="1" applyBorder="1" applyAlignment="1">
      <alignment horizontal="right"/>
    </xf>
    <xf numFmtId="37" fontId="56" fillId="52" borderId="0" xfId="52" applyNumberFormat="1" applyFont="1" applyFill="1" applyBorder="1"/>
    <xf numFmtId="37" fontId="56" fillId="0" borderId="334" xfId="52" applyNumberFormat="1" applyFont="1" applyFill="1" applyBorder="1" applyAlignment="1">
      <alignment horizontal="right"/>
    </xf>
    <xf numFmtId="0" fontId="186" fillId="58" borderId="237" xfId="0" applyFont="1" applyFill="1" applyBorder="1"/>
    <xf numFmtId="166" fontId="56" fillId="0" borderId="237" xfId="52" applyNumberFormat="1" applyFont="1" applyBorder="1"/>
    <xf numFmtId="37" fontId="56" fillId="52" borderId="237" xfId="52" applyNumberFormat="1" applyFont="1" applyFill="1" applyBorder="1"/>
    <xf numFmtId="37" fontId="187" fillId="0" borderId="237" xfId="52" applyNumberFormat="1" applyFont="1" applyFill="1" applyBorder="1" applyAlignment="1">
      <alignment horizontal="right"/>
    </xf>
    <xf numFmtId="37" fontId="187" fillId="0" borderId="266" xfId="52" applyNumberFormat="1" applyFont="1" applyFill="1" applyBorder="1" applyAlignment="1">
      <alignment horizontal="right"/>
    </xf>
    <xf numFmtId="37" fontId="56" fillId="0" borderId="266" xfId="52" applyNumberFormat="1" applyFont="1" applyFill="1" applyBorder="1" applyAlignment="1">
      <alignment horizontal="right"/>
    </xf>
    <xf numFmtId="37" fontId="186" fillId="0" borderId="0" xfId="52" applyNumberFormat="1" applyFont="1" applyFill="1" applyBorder="1" applyAlignment="1">
      <alignment horizontal="right"/>
    </xf>
    <xf numFmtId="37" fontId="185" fillId="65" borderId="266" xfId="52" applyNumberFormat="1" applyFont="1" applyFill="1" applyBorder="1" applyAlignment="1">
      <alignment horizontal="right"/>
    </xf>
    <xf numFmtId="165" fontId="185" fillId="67" borderId="334" xfId="42" applyNumberFormat="1" applyFont="1" applyFill="1" applyBorder="1" applyAlignment="1">
      <alignment horizontal="right"/>
    </xf>
    <xf numFmtId="9" fontId="213" fillId="0" borderId="237" xfId="52" applyFont="1" applyFill="1" applyBorder="1" applyAlignment="1">
      <alignment horizontal="right"/>
    </xf>
    <xf numFmtId="177" fontId="213" fillId="0" borderId="53" xfId="10" applyNumberFormat="1" applyFont="1" applyFill="1" applyBorder="1" applyAlignment="1">
      <alignment horizontal="right"/>
    </xf>
    <xf numFmtId="166" fontId="259" fillId="67" borderId="92" xfId="52" applyNumberFormat="1" applyFont="1" applyFill="1" applyBorder="1" applyAlignment="1">
      <alignment horizontal="right"/>
    </xf>
    <xf numFmtId="166" fontId="186" fillId="67" borderId="92" xfId="52" applyNumberFormat="1" applyFont="1" applyFill="1" applyBorder="1" applyAlignment="1">
      <alignment horizontal="right"/>
    </xf>
    <xf numFmtId="4" fontId="187" fillId="0" borderId="0" xfId="69" applyNumberFormat="1" applyFont="1"/>
    <xf numFmtId="165" fontId="52" fillId="0" borderId="0" xfId="52" applyNumberFormat="1" applyFont="1" applyFill="1"/>
    <xf numFmtId="165" fontId="56" fillId="0" borderId="336" xfId="52" applyNumberFormat="1" applyFont="1" applyFill="1" applyBorder="1" applyAlignment="1">
      <alignment horizontal="right"/>
    </xf>
    <xf numFmtId="165" fontId="56" fillId="0" borderId="324" xfId="52" applyNumberFormat="1" applyFont="1" applyFill="1" applyBorder="1" applyAlignment="1">
      <alignment horizontal="right"/>
    </xf>
    <xf numFmtId="165" fontId="56" fillId="0" borderId="334" xfId="52" applyNumberFormat="1" applyFont="1" applyFill="1" applyBorder="1" applyAlignment="1">
      <alignment horizontal="right"/>
    </xf>
    <xf numFmtId="165" fontId="56" fillId="0" borderId="331" xfId="52" applyNumberFormat="1" applyFont="1" applyFill="1" applyBorder="1" applyAlignment="1">
      <alignment horizontal="right"/>
    </xf>
    <xf numFmtId="165" fontId="187" fillId="0" borderId="266" xfId="52" applyNumberFormat="1" applyFont="1" applyFill="1" applyBorder="1" applyAlignment="1">
      <alignment horizontal="right"/>
    </xf>
    <xf numFmtId="165" fontId="56" fillId="0" borderId="236" xfId="52" applyNumberFormat="1" applyFont="1" applyFill="1" applyBorder="1" applyAlignment="1">
      <alignment horizontal="right"/>
    </xf>
    <xf numFmtId="41" fontId="56" fillId="0" borderId="335" xfId="52" applyNumberFormat="1" applyFont="1" applyFill="1" applyBorder="1" applyAlignment="1">
      <alignment horizontal="left"/>
    </xf>
    <xf numFmtId="165" fontId="56" fillId="0" borderId="337" xfId="52" applyNumberFormat="1" applyFont="1" applyFill="1" applyBorder="1" applyAlignment="1">
      <alignment horizontal="right"/>
    </xf>
    <xf numFmtId="165" fontId="56" fillId="0" borderId="333" xfId="52" applyNumberFormat="1" applyFont="1" applyFill="1" applyBorder="1" applyAlignment="1">
      <alignment horizontal="right"/>
    </xf>
    <xf numFmtId="165" fontId="56" fillId="0" borderId="338" xfId="52" applyNumberFormat="1" applyFont="1" applyFill="1" applyBorder="1" applyAlignment="1">
      <alignment horizontal="right"/>
    </xf>
    <xf numFmtId="165" fontId="56" fillId="0" borderId="335" xfId="52" applyNumberFormat="1" applyFont="1" applyFill="1" applyBorder="1" applyAlignment="1">
      <alignment horizontal="right"/>
    </xf>
    <xf numFmtId="165" fontId="56" fillId="0" borderId="332" xfId="52" applyNumberFormat="1" applyFont="1" applyFill="1" applyBorder="1" applyAlignment="1">
      <alignment horizontal="right"/>
    </xf>
    <xf numFmtId="165" fontId="56" fillId="0" borderId="339" xfId="52" applyNumberFormat="1" applyFont="1" applyFill="1" applyBorder="1" applyAlignment="1">
      <alignment horizontal="right"/>
    </xf>
    <xf numFmtId="165" fontId="187" fillId="0" borderId="299" xfId="52" applyNumberFormat="1" applyFont="1" applyFill="1" applyBorder="1" applyAlignment="1">
      <alignment horizontal="right"/>
    </xf>
    <xf numFmtId="41" fontId="184" fillId="0" borderId="237" xfId="52" applyNumberFormat="1" applyFont="1" applyFill="1" applyBorder="1" applyAlignment="1">
      <alignment horizontal="left" indent="1"/>
    </xf>
    <xf numFmtId="165" fontId="184" fillId="0" borderId="234" xfId="52" applyNumberFormat="1" applyFont="1" applyFill="1" applyBorder="1" applyAlignment="1">
      <alignment horizontal="right"/>
    </xf>
    <xf numFmtId="165" fontId="184" fillId="0" borderId="235" xfId="52" applyNumberFormat="1" applyFont="1" applyFill="1" applyBorder="1" applyAlignment="1">
      <alignment horizontal="right"/>
    </xf>
    <xf numFmtId="165" fontId="184" fillId="0" borderId="237" xfId="52" applyNumberFormat="1" applyFont="1" applyFill="1" applyBorder="1" applyAlignment="1">
      <alignment horizontal="right"/>
    </xf>
    <xf numFmtId="165" fontId="184" fillId="0" borderId="236" xfId="52" applyNumberFormat="1" applyFont="1" applyFill="1" applyBorder="1" applyAlignment="1">
      <alignment horizontal="right"/>
    </xf>
    <xf numFmtId="165" fontId="209" fillId="0" borderId="0" xfId="52" applyNumberFormat="1" applyFont="1" applyFill="1" applyBorder="1" applyAlignment="1">
      <alignment horizontal="right"/>
    </xf>
    <xf numFmtId="41" fontId="186" fillId="0" borderId="334" xfId="52" applyNumberFormat="1" applyFont="1" applyFill="1" applyBorder="1" applyAlignment="1">
      <alignment horizontal="left"/>
    </xf>
    <xf numFmtId="165" fontId="186" fillId="0" borderId="336" xfId="52" applyNumberFormat="1" applyFont="1" applyFill="1" applyBorder="1" applyAlignment="1">
      <alignment horizontal="right"/>
    </xf>
    <xf numFmtId="165" fontId="186" fillId="0" borderId="324" xfId="52" applyNumberFormat="1" applyFont="1" applyFill="1" applyBorder="1" applyAlignment="1">
      <alignment horizontal="right"/>
    </xf>
    <xf numFmtId="165" fontId="186" fillId="0" borderId="334" xfId="52" applyNumberFormat="1" applyFont="1" applyFill="1" applyBorder="1" applyAlignment="1">
      <alignment horizontal="right"/>
    </xf>
    <xf numFmtId="165" fontId="186" fillId="0" borderId="331" xfId="52" applyNumberFormat="1" applyFont="1" applyFill="1" applyBorder="1" applyAlignment="1">
      <alignment horizontal="right"/>
    </xf>
    <xf numFmtId="37" fontId="186" fillId="0" borderId="334" xfId="52" applyNumberFormat="1" applyFont="1" applyFill="1" applyBorder="1" applyAlignment="1">
      <alignment horizontal="right"/>
    </xf>
    <xf numFmtId="37" fontId="218" fillId="0" borderId="266" xfId="52" applyNumberFormat="1" applyFont="1" applyFill="1" applyBorder="1" applyAlignment="1">
      <alignment horizontal="right"/>
    </xf>
    <xf numFmtId="41" fontId="186" fillId="0" borderId="237" xfId="52" applyNumberFormat="1" applyFont="1" applyFill="1" applyBorder="1" applyAlignment="1">
      <alignment horizontal="left"/>
    </xf>
    <xf numFmtId="165" fontId="186" fillId="0" borderId="234" xfId="52" applyNumberFormat="1" applyFont="1" applyFill="1" applyBorder="1" applyAlignment="1">
      <alignment horizontal="right"/>
    </xf>
    <xf numFmtId="165" fontId="186" fillId="0" borderId="236" xfId="52" applyNumberFormat="1" applyFont="1" applyFill="1" applyBorder="1" applyAlignment="1">
      <alignment horizontal="right"/>
    </xf>
    <xf numFmtId="37" fontId="186" fillId="0" borderId="237" xfId="52" applyNumberFormat="1" applyFont="1" applyFill="1" applyBorder="1" applyAlignment="1">
      <alignment horizontal="right"/>
    </xf>
    <xf numFmtId="165" fontId="186" fillId="0" borderId="0" xfId="0" applyNumberFormat="1" applyFont="1" applyFill="1" applyBorder="1"/>
    <xf numFmtId="41" fontId="186" fillId="0" borderId="237" xfId="52" applyNumberFormat="1" applyFont="1" applyFill="1" applyBorder="1" applyAlignment="1">
      <alignment horizontal="left" indent="1"/>
    </xf>
    <xf numFmtId="9" fontId="187" fillId="67" borderId="143" xfId="52" applyNumberFormat="1" applyFont="1" applyFill="1" applyBorder="1" applyAlignment="1">
      <alignment horizontal="right"/>
    </xf>
    <xf numFmtId="9" fontId="187" fillId="0" borderId="0" xfId="52" applyNumberFormat="1" applyFont="1" applyFill="1" applyBorder="1" applyAlignment="1">
      <alignment horizontal="right"/>
    </xf>
    <xf numFmtId="41" fontId="56" fillId="0" borderId="334" xfId="52" applyNumberFormat="1" applyFont="1" applyFill="1" applyBorder="1" applyAlignment="1">
      <alignment horizontal="left" indent="1"/>
    </xf>
    <xf numFmtId="0" fontId="186" fillId="58" borderId="208" xfId="0" applyFont="1" applyFill="1" applyBorder="1"/>
    <xf numFmtId="37" fontId="186" fillId="58" borderId="208" xfId="0" applyNumberFormat="1" applyFont="1" applyFill="1" applyBorder="1"/>
    <xf numFmtId="0" fontId="186" fillId="58" borderId="110" xfId="0" applyFont="1" applyFill="1" applyBorder="1"/>
    <xf numFmtId="0" fontId="56" fillId="58" borderId="208" xfId="0" applyFont="1" applyFill="1" applyBorder="1"/>
    <xf numFmtId="0" fontId="56" fillId="58" borderId="208" xfId="0" applyFont="1" applyFill="1" applyBorder="1" applyAlignment="1">
      <alignment horizontal="right"/>
    </xf>
    <xf numFmtId="0" fontId="56" fillId="58" borderId="0" xfId="0" applyFont="1" applyFill="1"/>
    <xf numFmtId="0" fontId="56" fillId="58" borderId="0" xfId="0" applyFont="1" applyFill="1" applyBorder="1" applyAlignment="1">
      <alignment horizontal="right"/>
    </xf>
    <xf numFmtId="0" fontId="56" fillId="0" borderId="299" xfId="0" applyFont="1" applyBorder="1"/>
    <xf numFmtId="0" fontId="56" fillId="0" borderId="299" xfId="0" applyFont="1" applyBorder="1" applyAlignment="1">
      <alignment horizontal="right"/>
    </xf>
    <xf numFmtId="0" fontId="56" fillId="51" borderId="208" xfId="0" applyFont="1" applyFill="1" applyBorder="1"/>
    <xf numFmtId="0" fontId="56" fillId="51" borderId="208" xfId="0" applyFont="1" applyFill="1" applyBorder="1" applyAlignment="1">
      <alignment horizontal="right"/>
    </xf>
    <xf numFmtId="0" fontId="186" fillId="51" borderId="208" xfId="0" applyFont="1" applyFill="1" applyBorder="1"/>
    <xf numFmtId="37" fontId="186" fillId="51" borderId="208" xfId="0" applyNumberFormat="1" applyFont="1" applyFill="1" applyBorder="1"/>
    <xf numFmtId="0" fontId="186" fillId="51" borderId="110" xfId="0" applyFont="1" applyFill="1" applyBorder="1"/>
    <xf numFmtId="37" fontId="187" fillId="51" borderId="0" xfId="52" applyNumberFormat="1" applyFont="1" applyFill="1" applyBorder="1" applyAlignment="1">
      <alignment horizontal="right"/>
    </xf>
    <xf numFmtId="0" fontId="56" fillId="0" borderId="335" xfId="0" applyFont="1" applyBorder="1"/>
    <xf numFmtId="0" fontId="186" fillId="0" borderId="0" xfId="0" applyFont="1" applyBorder="1" applyAlignment="1">
      <alignment horizontal="right"/>
    </xf>
    <xf numFmtId="0" fontId="186" fillId="0" borderId="266" xfId="0" applyFont="1" applyBorder="1"/>
    <xf numFmtId="0" fontId="186" fillId="0" borderId="266" xfId="0" applyFont="1" applyBorder="1" applyAlignment="1">
      <alignment horizontal="right"/>
    </xf>
    <xf numFmtId="37" fontId="186" fillId="0" borderId="237" xfId="0" applyNumberFormat="1" applyFont="1" applyBorder="1"/>
    <xf numFmtId="0" fontId="17" fillId="0" borderId="0" xfId="0" applyFont="1" applyBorder="1" applyAlignment="1">
      <alignment horizontal="center"/>
    </xf>
    <xf numFmtId="0" fontId="21" fillId="0" borderId="0" xfId="0" applyFont="1" applyFill="1" applyBorder="1" applyAlignment="1">
      <alignment horizontal="center"/>
    </xf>
    <xf numFmtId="0" fontId="56" fillId="58" borderId="0" xfId="0" applyFont="1" applyFill="1" applyBorder="1"/>
    <xf numFmtId="0" fontId="186" fillId="62" borderId="208" xfId="0" applyFont="1" applyFill="1" applyBorder="1"/>
    <xf numFmtId="0" fontId="186" fillId="62" borderId="208" xfId="0" applyFont="1" applyFill="1" applyBorder="1" applyAlignment="1">
      <alignment horizontal="right"/>
    </xf>
    <xf numFmtId="166" fontId="186" fillId="62" borderId="208" xfId="52" applyNumberFormat="1" applyFont="1" applyFill="1" applyBorder="1"/>
    <xf numFmtId="166" fontId="186" fillId="62" borderId="298" xfId="52" applyNumberFormat="1" applyFont="1" applyFill="1" applyBorder="1"/>
    <xf numFmtId="37" fontId="218" fillId="0" borderId="237" xfId="52" applyNumberFormat="1" applyFont="1" applyFill="1" applyBorder="1" applyAlignment="1">
      <alignment horizontal="right"/>
    </xf>
    <xf numFmtId="37" fontId="259" fillId="0" borderId="0" xfId="52" applyNumberFormat="1" applyFont="1" applyFill="1" applyBorder="1" applyAlignment="1">
      <alignment horizontal="right"/>
    </xf>
    <xf numFmtId="41" fontId="56" fillId="52" borderId="237" xfId="0" applyNumberFormat="1" applyFont="1" applyFill="1" applyBorder="1" applyAlignment="1">
      <alignment horizontal="left" indent="1"/>
    </xf>
    <xf numFmtId="37" fontId="56" fillId="0" borderId="237" xfId="0" applyNumberFormat="1" applyFont="1" applyBorder="1"/>
    <xf numFmtId="37" fontId="186" fillId="0" borderId="0" xfId="52" applyNumberFormat="1" applyFont="1" applyBorder="1"/>
    <xf numFmtId="37" fontId="218" fillId="0" borderId="0" xfId="0" applyNumberFormat="1" applyFont="1" applyBorder="1"/>
    <xf numFmtId="37" fontId="218" fillId="0" borderId="237" xfId="0" applyNumberFormat="1" applyFont="1" applyBorder="1"/>
    <xf numFmtId="37" fontId="56" fillId="0" borderId="0" xfId="52" applyNumberFormat="1" applyFont="1" applyBorder="1"/>
    <xf numFmtId="37" fontId="186" fillId="51" borderId="110" xfId="0" applyNumberFormat="1" applyFont="1" applyFill="1" applyBorder="1"/>
    <xf numFmtId="37" fontId="186" fillId="58" borderId="110" xfId="0" applyNumberFormat="1" applyFont="1" applyFill="1" applyBorder="1"/>
    <xf numFmtId="41" fontId="186" fillId="58" borderId="298" xfId="0" applyNumberFormat="1" applyFont="1" applyFill="1" applyBorder="1" applyAlignment="1">
      <alignment horizontal="left"/>
    </xf>
    <xf numFmtId="41" fontId="186" fillId="51" borderId="298" xfId="0" applyNumberFormat="1" applyFont="1" applyFill="1" applyBorder="1" applyAlignment="1">
      <alignment horizontal="left"/>
    </xf>
    <xf numFmtId="41" fontId="186" fillId="0" borderId="334" xfId="0" applyNumberFormat="1" applyFont="1" applyBorder="1" applyAlignment="1">
      <alignment horizontal="left"/>
    </xf>
    <xf numFmtId="41" fontId="186" fillId="0" borderId="237" xfId="0" applyNumberFormat="1" applyFont="1" applyFill="1" applyBorder="1" applyAlignment="1">
      <alignment horizontal="left"/>
    </xf>
    <xf numFmtId="41" fontId="186" fillId="0" borderId="237" xfId="0" applyNumberFormat="1" applyFont="1" applyBorder="1" applyAlignment="1">
      <alignment horizontal="left" indent="1"/>
    </xf>
    <xf numFmtId="41" fontId="186" fillId="58" borderId="237" xfId="0" applyNumberFormat="1" applyFont="1" applyFill="1" applyBorder="1" applyAlignment="1">
      <alignment horizontal="left"/>
    </xf>
    <xf numFmtId="41" fontId="56" fillId="0" borderId="237" xfId="0" quotePrefix="1" applyNumberFormat="1" applyFont="1" applyBorder="1" applyAlignment="1">
      <alignment horizontal="left" indent="1"/>
    </xf>
    <xf numFmtId="41" fontId="186" fillId="62" borderId="298" xfId="0" applyNumberFormat="1" applyFont="1" applyFill="1" applyBorder="1" applyAlignment="1">
      <alignment horizontal="left"/>
    </xf>
    <xf numFmtId="41" fontId="56" fillId="0" borderId="335" xfId="0" applyNumberFormat="1" applyFont="1" applyBorder="1" applyAlignment="1">
      <alignment horizontal="left"/>
    </xf>
    <xf numFmtId="37" fontId="218" fillId="0" borderId="0" xfId="52" applyNumberFormat="1" applyFont="1" applyBorder="1"/>
    <xf numFmtId="41" fontId="186" fillId="58" borderId="334" xfId="0" applyNumberFormat="1" applyFont="1" applyFill="1" applyBorder="1" applyAlignment="1">
      <alignment horizontal="left"/>
    </xf>
    <xf numFmtId="0" fontId="56" fillId="58" borderId="266" xfId="0" applyFont="1" applyFill="1" applyBorder="1"/>
    <xf numFmtId="0" fontId="56" fillId="58" borderId="266" xfId="0" applyFont="1" applyFill="1" applyBorder="1" applyAlignment="1">
      <alignment horizontal="right"/>
    </xf>
    <xf numFmtId="0" fontId="186" fillId="58" borderId="266" xfId="0" applyFont="1" applyFill="1" applyBorder="1"/>
    <xf numFmtId="0" fontId="186" fillId="58" borderId="334" xfId="0" applyFont="1" applyFill="1" applyBorder="1"/>
    <xf numFmtId="37" fontId="186" fillId="58" borderId="266" xfId="0" applyNumberFormat="1" applyFont="1" applyFill="1" applyBorder="1"/>
    <xf numFmtId="41" fontId="56" fillId="52" borderId="335" xfId="0" applyNumberFormat="1" applyFont="1" applyFill="1" applyBorder="1" applyAlignment="1">
      <alignment horizontal="left" indent="1"/>
    </xf>
    <xf numFmtId="37" fontId="56" fillId="52" borderId="299" xfId="52" applyNumberFormat="1" applyFont="1" applyFill="1" applyBorder="1"/>
    <xf numFmtId="37" fontId="56" fillId="52" borderId="335" xfId="52" applyNumberFormat="1" applyFont="1" applyFill="1" applyBorder="1"/>
    <xf numFmtId="9" fontId="14" fillId="0" borderId="0" xfId="52" applyNumberFormat="1" applyFont="1"/>
    <xf numFmtId="49" fontId="185" fillId="47" borderId="0" xfId="41" quotePrefix="1" applyNumberFormat="1" applyFont="1" applyFill="1" applyAlignment="1">
      <alignment horizontal="center"/>
    </xf>
    <xf numFmtId="37" fontId="185" fillId="67" borderId="121" xfId="0" applyNumberFormat="1" applyFont="1" applyFill="1" applyBorder="1" applyAlignment="1">
      <alignment horizontal="right"/>
    </xf>
    <xf numFmtId="37" fontId="198" fillId="67" borderId="0" xfId="0" applyNumberFormat="1" applyFont="1" applyFill="1" applyBorder="1" applyAlignment="1">
      <alignment horizontal="right"/>
    </xf>
    <xf numFmtId="37" fontId="198" fillId="67" borderId="121" xfId="0" applyNumberFormat="1" applyFont="1" applyFill="1" applyBorder="1" applyAlignment="1">
      <alignment horizontal="right"/>
    </xf>
    <xf numFmtId="37" fontId="185" fillId="67" borderId="65" xfId="0" applyNumberFormat="1" applyFont="1" applyFill="1" applyBorder="1" applyAlignment="1">
      <alignment horizontal="right"/>
    </xf>
    <xf numFmtId="37" fontId="198" fillId="67" borderId="64" xfId="0" applyNumberFormat="1" applyFont="1" applyFill="1" applyBorder="1" applyAlignment="1">
      <alignment horizontal="right"/>
    </xf>
    <xf numFmtId="37" fontId="198" fillId="67" borderId="61" xfId="0" applyNumberFormat="1" applyFont="1" applyFill="1" applyBorder="1" applyAlignment="1">
      <alignment horizontal="right"/>
    </xf>
    <xf numFmtId="37" fontId="236" fillId="67" borderId="0" xfId="0" applyNumberFormat="1" applyFont="1" applyFill="1" applyBorder="1" applyAlignment="1">
      <alignment horizontal="right"/>
    </xf>
    <xf numFmtId="37" fontId="213" fillId="51" borderId="0" xfId="52" applyNumberFormat="1" applyFont="1" applyFill="1" applyBorder="1" applyAlignment="1">
      <alignment horizontal="right"/>
    </xf>
    <xf numFmtId="37" fontId="154" fillId="0" borderId="0" xfId="0" applyNumberFormat="1" applyFont="1" applyFill="1" applyBorder="1"/>
    <xf numFmtId="7" fontId="52" fillId="0" borderId="0" xfId="0" applyNumberFormat="1" applyFont="1" applyAlignment="1">
      <alignment horizontal="right"/>
    </xf>
    <xf numFmtId="41" fontId="185" fillId="67" borderId="335" xfId="0" applyNumberFormat="1" applyFont="1" applyFill="1" applyBorder="1" applyAlignment="1">
      <alignment horizontal="left"/>
    </xf>
    <xf numFmtId="170" fontId="185" fillId="67" borderId="337" xfId="20" applyNumberFormat="1" applyFont="1" applyFill="1" applyBorder="1" applyAlignment="1">
      <alignment horizontal="right"/>
    </xf>
    <xf numFmtId="170" fontId="185" fillId="67" borderId="340" xfId="20" applyNumberFormat="1" applyFont="1" applyFill="1" applyBorder="1" applyAlignment="1">
      <alignment horizontal="right"/>
    </xf>
    <xf numFmtId="170" fontId="185" fillId="67" borderId="335" xfId="20" applyNumberFormat="1" applyFont="1" applyFill="1" applyBorder="1" applyAlignment="1">
      <alignment horizontal="right"/>
    </xf>
    <xf numFmtId="170" fontId="198" fillId="67" borderId="332" xfId="20" applyNumberFormat="1" applyFont="1" applyFill="1" applyBorder="1" applyAlignment="1">
      <alignment horizontal="right"/>
    </xf>
    <xf numFmtId="170" fontId="198" fillId="67" borderId="337" xfId="20" applyNumberFormat="1" applyFont="1" applyFill="1" applyBorder="1" applyAlignment="1">
      <alignment horizontal="right"/>
    </xf>
    <xf numFmtId="170" fontId="185" fillId="67" borderId="339" xfId="20" applyNumberFormat="1" applyFont="1" applyFill="1" applyBorder="1" applyAlignment="1">
      <alignment horizontal="right"/>
    </xf>
    <xf numFmtId="166" fontId="185" fillId="67" borderId="335" xfId="52" applyNumberFormat="1" applyFont="1" applyFill="1" applyBorder="1" applyAlignment="1">
      <alignment horizontal="right"/>
    </xf>
    <xf numFmtId="37" fontId="186" fillId="0" borderId="153" xfId="0" applyNumberFormat="1" applyFont="1" applyFill="1" applyBorder="1" applyAlignment="1">
      <alignment horizontal="right"/>
    </xf>
    <xf numFmtId="37" fontId="186" fillId="0" borderId="143" xfId="0" applyNumberFormat="1" applyFont="1" applyFill="1" applyBorder="1" applyAlignment="1">
      <alignment horizontal="right"/>
    </xf>
    <xf numFmtId="37" fontId="264" fillId="0" borderId="65" xfId="46" applyNumberFormat="1" applyFont="1" applyFill="1" applyBorder="1" applyAlignment="1">
      <alignment horizontal="right"/>
    </xf>
    <xf numFmtId="37" fontId="242" fillId="0" borderId="0" xfId="46" applyNumberFormat="1" applyFont="1" applyFill="1" applyBorder="1" applyAlignment="1">
      <alignment horizontal="right"/>
    </xf>
    <xf numFmtId="37" fontId="186" fillId="0" borderId="158" xfId="0" applyNumberFormat="1" applyFont="1" applyFill="1" applyBorder="1" applyAlignment="1">
      <alignment horizontal="right"/>
    </xf>
    <xf numFmtId="165" fontId="56" fillId="51" borderId="234" xfId="52" applyNumberFormat="1" applyFont="1" applyFill="1" applyBorder="1" applyAlignment="1">
      <alignment horizontal="right"/>
    </xf>
    <xf numFmtId="165" fontId="56" fillId="51" borderId="237" xfId="52" applyNumberFormat="1" applyFont="1" applyFill="1" applyBorder="1" applyAlignment="1">
      <alignment horizontal="right"/>
    </xf>
    <xf numFmtId="165" fontId="56" fillId="51" borderId="236" xfId="52" applyNumberFormat="1" applyFont="1" applyFill="1" applyBorder="1" applyAlignment="1">
      <alignment horizontal="right"/>
    </xf>
    <xf numFmtId="165" fontId="187" fillId="51" borderId="0" xfId="52" applyNumberFormat="1" applyFont="1" applyFill="1" applyBorder="1" applyAlignment="1">
      <alignment horizontal="right"/>
    </xf>
    <xf numFmtId="41" fontId="186" fillId="51" borderId="237" xfId="52" applyNumberFormat="1" applyFont="1" applyFill="1" applyBorder="1" applyAlignment="1">
      <alignment horizontal="left"/>
    </xf>
    <xf numFmtId="165" fontId="186" fillId="51" borderId="234" xfId="52" applyNumberFormat="1" applyFont="1" applyFill="1" applyBorder="1" applyAlignment="1">
      <alignment horizontal="right"/>
    </xf>
    <xf numFmtId="165" fontId="186" fillId="51" borderId="237" xfId="52" applyNumberFormat="1" applyFont="1" applyFill="1" applyBorder="1" applyAlignment="1">
      <alignment horizontal="right"/>
    </xf>
    <xf numFmtId="165" fontId="186" fillId="51" borderId="236" xfId="52" applyNumberFormat="1" applyFont="1" applyFill="1" applyBorder="1" applyAlignment="1">
      <alignment horizontal="right"/>
    </xf>
    <xf numFmtId="334" fontId="187" fillId="0" borderId="0" xfId="52" applyNumberFormat="1" applyFont="1" applyFill="1" applyBorder="1" applyAlignment="1">
      <alignment horizontal="right"/>
    </xf>
    <xf numFmtId="37" fontId="186" fillId="51" borderId="237" xfId="52" applyNumberFormat="1" applyFont="1" applyFill="1" applyBorder="1" applyAlignment="1">
      <alignment horizontal="right"/>
    </xf>
    <xf numFmtId="37" fontId="186" fillId="51" borderId="0" xfId="52" applyNumberFormat="1" applyFont="1" applyFill="1" applyBorder="1" applyAlignment="1">
      <alignment horizontal="right"/>
    </xf>
    <xf numFmtId="335" fontId="187" fillId="0" borderId="0" xfId="52" applyNumberFormat="1" applyFont="1" applyFill="1" applyBorder="1" applyAlignment="1">
      <alignment horizontal="right"/>
    </xf>
    <xf numFmtId="41" fontId="56" fillId="0" borderId="330" xfId="52" applyNumberFormat="1" applyFont="1" applyFill="1" applyBorder="1" applyAlignment="1">
      <alignment horizontal="left"/>
    </xf>
    <xf numFmtId="165" fontId="56" fillId="0" borderId="341" xfId="52" applyNumberFormat="1" applyFont="1" applyFill="1" applyBorder="1" applyAlignment="1">
      <alignment horizontal="right"/>
    </xf>
    <xf numFmtId="165" fontId="56" fillId="0" borderId="302" xfId="52" applyNumberFormat="1" applyFont="1" applyFill="1" applyBorder="1" applyAlignment="1">
      <alignment horizontal="right"/>
    </xf>
    <xf numFmtId="165" fontId="56" fillId="0" borderId="304" xfId="52" applyNumberFormat="1" applyFont="1" applyFill="1" applyBorder="1" applyAlignment="1">
      <alignment horizontal="right"/>
    </xf>
    <xf numFmtId="165" fontId="56" fillId="0" borderId="308" xfId="52" applyNumberFormat="1" applyFont="1" applyFill="1" applyBorder="1" applyAlignment="1">
      <alignment horizontal="right"/>
    </xf>
    <xf numFmtId="165" fontId="56" fillId="0" borderId="342" xfId="52" applyNumberFormat="1" applyFont="1" applyFill="1" applyBorder="1" applyAlignment="1">
      <alignment horizontal="right"/>
    </xf>
    <xf numFmtId="165" fontId="56" fillId="0" borderId="343" xfId="52" applyNumberFormat="1" applyFont="1" applyFill="1" applyBorder="1" applyAlignment="1">
      <alignment horizontal="right"/>
    </xf>
    <xf numFmtId="37" fontId="56" fillId="0" borderId="343" xfId="52" applyNumberFormat="1" applyFont="1" applyFill="1" applyBorder="1" applyAlignment="1">
      <alignment horizontal="right"/>
    </xf>
    <xf numFmtId="37" fontId="56" fillId="0" borderId="299" xfId="52" applyNumberFormat="1" applyFont="1" applyFill="1" applyBorder="1" applyAlignment="1">
      <alignment horizontal="right"/>
    </xf>
    <xf numFmtId="181" fontId="235" fillId="0" borderId="0" xfId="1379" applyNumberFormat="1" applyFont="1" applyAlignment="1">
      <alignment horizontal="center" vertical="center"/>
    </xf>
    <xf numFmtId="165" fontId="186" fillId="67" borderId="334" xfId="0" applyNumberFormat="1" applyFont="1" applyFill="1" applyBorder="1"/>
    <xf numFmtId="165" fontId="186" fillId="67" borderId="266" xfId="0" applyNumberFormat="1" applyFont="1" applyFill="1" applyBorder="1"/>
    <xf numFmtId="165" fontId="186" fillId="67" borderId="324" xfId="0" applyNumberFormat="1" applyFont="1" applyFill="1" applyBorder="1"/>
    <xf numFmtId="165" fontId="186" fillId="67" borderId="285" xfId="0" applyNumberFormat="1" applyFont="1" applyFill="1" applyBorder="1"/>
    <xf numFmtId="165" fontId="186" fillId="67" borderId="324" xfId="0" applyNumberFormat="1" applyFont="1" applyFill="1" applyBorder="1" applyAlignment="1">
      <alignment horizontal="right"/>
    </xf>
    <xf numFmtId="9" fontId="186" fillId="67" borderId="266" xfId="52" applyFont="1" applyFill="1" applyBorder="1" applyAlignment="1">
      <alignment horizontal="right"/>
    </xf>
    <xf numFmtId="165" fontId="186" fillId="67" borderId="285" xfId="0" applyNumberFormat="1" applyFont="1" applyFill="1" applyBorder="1" applyAlignment="1">
      <alignment horizontal="right"/>
    </xf>
    <xf numFmtId="165" fontId="186" fillId="67" borderId="151" xfId="0" applyNumberFormat="1" applyFont="1" applyFill="1" applyBorder="1" applyAlignment="1">
      <alignment horizontal="right"/>
    </xf>
    <xf numFmtId="165" fontId="186" fillId="67" borderId="293" xfId="0" applyNumberFormat="1" applyFont="1" applyFill="1" applyBorder="1" applyAlignment="1">
      <alignment horizontal="right"/>
    </xf>
    <xf numFmtId="165" fontId="186" fillId="67" borderId="334" xfId="0" applyNumberFormat="1" applyFont="1" applyFill="1" applyBorder="1" applyAlignment="1">
      <alignment horizontal="right"/>
    </xf>
    <xf numFmtId="37" fontId="187" fillId="67" borderId="266" xfId="0" applyNumberFormat="1" applyFont="1" applyFill="1" applyBorder="1" applyAlignment="1">
      <alignment horizontal="right"/>
    </xf>
    <xf numFmtId="9" fontId="56" fillId="67" borderId="334" xfId="52" applyFont="1" applyFill="1" applyBorder="1"/>
    <xf numFmtId="9" fontId="56" fillId="67" borderId="266" xfId="52" applyFont="1" applyFill="1" applyBorder="1" applyAlignment="1">
      <alignment horizontal="right"/>
    </xf>
    <xf numFmtId="9" fontId="186" fillId="67" borderId="334" xfId="52" applyFont="1" applyFill="1" applyBorder="1"/>
    <xf numFmtId="165" fontId="56" fillId="0" borderId="343" xfId="0" applyNumberFormat="1" applyFont="1" applyFill="1" applyBorder="1"/>
    <xf numFmtId="165" fontId="56" fillId="0" borderId="299" xfId="0" applyNumberFormat="1" applyFont="1" applyFill="1" applyBorder="1"/>
    <xf numFmtId="37" fontId="56" fillId="0" borderId="343" xfId="0" applyNumberFormat="1" applyFont="1" applyFill="1" applyBorder="1"/>
    <xf numFmtId="37" fontId="56" fillId="0" borderId="299" xfId="0" applyNumberFormat="1" applyFont="1" applyFill="1" applyBorder="1"/>
    <xf numFmtId="37" fontId="56" fillId="0" borderId="338" xfId="0" applyNumberFormat="1" applyFont="1" applyFill="1" applyBorder="1"/>
    <xf numFmtId="37" fontId="56" fillId="0" borderId="337" xfId="0" applyNumberFormat="1" applyFont="1" applyFill="1" applyBorder="1"/>
    <xf numFmtId="37" fontId="56" fillId="0" borderId="338" xfId="0" applyNumberFormat="1" applyFont="1" applyFill="1" applyBorder="1" applyAlignment="1">
      <alignment horizontal="right"/>
    </xf>
    <xf numFmtId="37" fontId="56" fillId="0" borderId="337" xfId="0" applyNumberFormat="1" applyFont="1" applyFill="1" applyBorder="1" applyAlignment="1">
      <alignment horizontal="right"/>
    </xf>
    <xf numFmtId="37" fontId="56" fillId="0" borderId="105" xfId="0" applyNumberFormat="1" applyFont="1" applyFill="1" applyBorder="1" applyAlignment="1">
      <alignment horizontal="right"/>
    </xf>
    <xf numFmtId="37" fontId="213" fillId="0" borderId="299" xfId="0" applyNumberFormat="1" applyFont="1" applyFill="1" applyBorder="1" applyAlignment="1">
      <alignment horizontal="right"/>
    </xf>
    <xf numFmtId="43" fontId="185" fillId="67" borderId="334" xfId="39" applyNumberFormat="1" applyFont="1" applyFill="1" applyBorder="1"/>
    <xf numFmtId="43" fontId="56" fillId="0" borderId="237" xfId="39" applyNumberFormat="1" applyFont="1" applyFill="1" applyBorder="1"/>
    <xf numFmtId="43" fontId="56" fillId="0" borderId="343" xfId="39" applyNumberFormat="1" applyFont="1" applyFill="1" applyBorder="1"/>
    <xf numFmtId="7" fontId="56" fillId="0" borderId="237" xfId="0" applyNumberFormat="1" applyFont="1" applyFill="1" applyBorder="1"/>
    <xf numFmtId="43" fontId="56" fillId="0" borderId="234" xfId="10" applyFont="1" applyBorder="1" applyAlignment="1">
      <alignment horizontal="right"/>
    </xf>
    <xf numFmtId="43" fontId="190" fillId="0" borderId="234" xfId="10" applyFont="1" applyBorder="1" applyAlignment="1">
      <alignment horizontal="right"/>
    </xf>
    <xf numFmtId="41" fontId="56" fillId="0" borderId="334" xfId="0" applyNumberFormat="1" applyFont="1" applyBorder="1" applyAlignment="1">
      <alignment horizontal="left"/>
    </xf>
    <xf numFmtId="166" fontId="56" fillId="0" borderId="266" xfId="52" applyNumberFormat="1" applyFont="1" applyBorder="1"/>
    <xf numFmtId="166" fontId="56" fillId="0" borderId="334" xfId="52" applyNumberFormat="1" applyFont="1" applyBorder="1"/>
    <xf numFmtId="166" fontId="56" fillId="0" borderId="106" xfId="52" applyNumberFormat="1" applyFont="1" applyBorder="1"/>
    <xf numFmtId="37" fontId="52" fillId="0" borderId="0" xfId="0" applyNumberFormat="1" applyFont="1" applyFill="1" applyAlignment="1">
      <alignment horizontal="right"/>
    </xf>
    <xf numFmtId="37" fontId="283" fillId="0" borderId="0" xfId="0" applyNumberFormat="1" applyFont="1" applyFill="1" applyBorder="1" applyAlignment="1">
      <alignment horizontal="right"/>
    </xf>
    <xf numFmtId="181" fontId="56" fillId="0" borderId="344" xfId="41" applyNumberFormat="1" applyFont="1" applyFill="1" applyBorder="1"/>
    <xf numFmtId="181" fontId="56" fillId="0" borderId="0" xfId="14" applyNumberFormat="1" applyFont="1" applyFill="1" applyBorder="1"/>
    <xf numFmtId="166" fontId="56" fillId="0" borderId="0" xfId="14" applyNumberFormat="1" applyFont="1" applyFill="1" applyBorder="1"/>
    <xf numFmtId="0" fontId="1" fillId="0" borderId="0" xfId="1379" applyFont="1" applyAlignment="1">
      <alignment vertical="center"/>
    </xf>
    <xf numFmtId="49" fontId="185" fillId="47" borderId="0" xfId="41" quotePrefix="1" applyNumberFormat="1" applyFont="1" applyFill="1" applyAlignment="1">
      <alignment horizontal="center"/>
    </xf>
    <xf numFmtId="9" fontId="14" fillId="0" borderId="0" xfId="52" applyFont="1" applyFill="1" applyBorder="1"/>
    <xf numFmtId="43" fontId="186" fillId="0" borderId="80" xfId="39" applyNumberFormat="1" applyFont="1" applyFill="1" applyBorder="1"/>
    <xf numFmtId="165" fontId="186" fillId="0" borderId="82" xfId="0" applyNumberFormat="1" applyFont="1" applyBorder="1"/>
    <xf numFmtId="165" fontId="241" fillId="0" borderId="85" xfId="0" applyNumberFormat="1" applyFont="1" applyBorder="1"/>
    <xf numFmtId="165" fontId="186" fillId="0" borderId="85" xfId="0" applyNumberFormat="1" applyFont="1" applyBorder="1"/>
    <xf numFmtId="165" fontId="186" fillId="0" borderId="82" xfId="0" applyNumberFormat="1" applyFont="1" applyBorder="1" applyAlignment="1">
      <alignment horizontal="right"/>
    </xf>
    <xf numFmtId="165" fontId="186" fillId="0" borderId="85" xfId="0" applyNumberFormat="1" applyFont="1" applyFill="1" applyBorder="1" applyAlignment="1">
      <alignment horizontal="right"/>
    </xf>
    <xf numFmtId="165" fontId="186" fillId="0" borderId="82" xfId="0" applyNumberFormat="1" applyFont="1" applyFill="1" applyBorder="1" applyAlignment="1">
      <alignment horizontal="right"/>
    </xf>
    <xf numFmtId="165" fontId="186" fillId="0" borderId="58" xfId="0" applyNumberFormat="1" applyFont="1" applyBorder="1" applyAlignment="1">
      <alignment horizontal="right"/>
    </xf>
    <xf numFmtId="37" fontId="186" fillId="0" borderId="58" xfId="0" applyNumberFormat="1" applyFont="1" applyBorder="1" applyAlignment="1">
      <alignment horizontal="right"/>
    </xf>
    <xf numFmtId="37" fontId="186" fillId="0" borderId="61" xfId="0" applyNumberFormat="1" applyFont="1" applyBorder="1" applyAlignment="1">
      <alignment horizontal="right"/>
    </xf>
    <xf numFmtId="37" fontId="186" fillId="0" borderId="92" xfId="0" applyNumberFormat="1" applyFont="1" applyFill="1" applyBorder="1" applyAlignment="1">
      <alignment horizontal="right"/>
    </xf>
    <xf numFmtId="43" fontId="186" fillId="0" borderId="149" xfId="39" applyNumberFormat="1" applyFont="1" applyBorder="1"/>
    <xf numFmtId="165" fontId="186" fillId="0" borderId="253" xfId="0" applyNumberFormat="1" applyFont="1" applyBorder="1"/>
    <xf numFmtId="165" fontId="241" fillId="0" borderId="283" xfId="0" applyNumberFormat="1" applyFont="1" applyBorder="1"/>
    <xf numFmtId="165" fontId="186" fillId="0" borderId="253" xfId="0" applyNumberFormat="1" applyFont="1" applyBorder="1" applyAlignment="1">
      <alignment horizontal="right"/>
    </xf>
    <xf numFmtId="165" fontId="186" fillId="0" borderId="94" xfId="0" applyNumberFormat="1" applyFont="1" applyBorder="1" applyAlignment="1">
      <alignment horizontal="right"/>
    </xf>
    <xf numFmtId="37" fontId="186" fillId="0" borderId="94" xfId="0" applyNumberFormat="1" applyFont="1" applyBorder="1" applyAlignment="1">
      <alignment horizontal="right"/>
    </xf>
    <xf numFmtId="37" fontId="186" fillId="0" borderId="283" xfId="10" applyNumberFormat="1" applyFont="1" applyBorder="1" applyAlignment="1">
      <alignment horizontal="right"/>
    </xf>
    <xf numFmtId="37" fontId="186" fillId="0" borderId="151" xfId="0" applyNumberFormat="1" applyFont="1" applyBorder="1" applyAlignment="1">
      <alignment horizontal="right"/>
    </xf>
    <xf numFmtId="43" fontId="186" fillId="0" borderId="149" xfId="39" applyNumberFormat="1" applyFont="1" applyFill="1" applyBorder="1"/>
    <xf numFmtId="195" fontId="186" fillId="0" borderId="283" xfId="0" applyNumberFormat="1" applyFont="1" applyFill="1" applyBorder="1"/>
    <xf numFmtId="195" fontId="186" fillId="0" borderId="283" xfId="0" applyNumberFormat="1" applyFont="1" applyBorder="1"/>
    <xf numFmtId="177" fontId="186" fillId="0" borderId="252" xfId="10" applyNumberFormat="1" applyFont="1" applyBorder="1"/>
    <xf numFmtId="177" fontId="186" fillId="0" borderId="283" xfId="0" applyNumberFormat="1" applyFont="1" applyFill="1" applyBorder="1"/>
    <xf numFmtId="177" fontId="186" fillId="0" borderId="283" xfId="0" applyNumberFormat="1" applyFont="1" applyBorder="1"/>
    <xf numFmtId="195" fontId="186" fillId="0" borderId="253" xfId="0" applyNumberFormat="1" applyFont="1" applyBorder="1"/>
    <xf numFmtId="177" fontId="186" fillId="0" borderId="283" xfId="10" applyNumberFormat="1" applyFont="1" applyBorder="1"/>
    <xf numFmtId="179" fontId="186" fillId="0" borderId="253" xfId="0" applyNumberFormat="1" applyFont="1" applyBorder="1"/>
    <xf numFmtId="177" fontId="186" fillId="0" borderId="253" xfId="10" applyNumberFormat="1" applyFont="1" applyBorder="1" applyAlignment="1">
      <alignment horizontal="right"/>
    </xf>
    <xf numFmtId="177" fontId="186" fillId="0" borderId="252" xfId="10" applyNumberFormat="1" applyFont="1" applyBorder="1" applyAlignment="1">
      <alignment horizontal="right"/>
    </xf>
    <xf numFmtId="177" fontId="186" fillId="0" borderId="283" xfId="10" applyNumberFormat="1" applyFont="1" applyBorder="1" applyAlignment="1">
      <alignment horizontal="right"/>
    </xf>
    <xf numFmtId="177" fontId="186" fillId="0" borderId="94" xfId="10" applyNumberFormat="1" applyFont="1" applyBorder="1" applyAlignment="1">
      <alignment horizontal="right"/>
    </xf>
    <xf numFmtId="177" fontId="186" fillId="0" borderId="283" xfId="10" applyNumberFormat="1" applyFont="1" applyFill="1" applyBorder="1" applyAlignment="1">
      <alignment horizontal="right"/>
    </xf>
    <xf numFmtId="178" fontId="186" fillId="0" borderId="94" xfId="10" applyNumberFormat="1" applyFont="1" applyBorder="1" applyAlignment="1">
      <alignment horizontal="right"/>
    </xf>
    <xf numFmtId="178" fontId="186" fillId="0" borderId="283" xfId="10" applyNumberFormat="1" applyFont="1" applyBorder="1" applyAlignment="1">
      <alignment horizontal="right"/>
    </xf>
    <xf numFmtId="178" fontId="186" fillId="0" borderId="283" xfId="10" applyNumberFormat="1" applyFont="1" applyFill="1" applyBorder="1" applyAlignment="1">
      <alignment horizontal="right"/>
    </xf>
    <xf numFmtId="178" fontId="186" fillId="0" borderId="151" xfId="10" applyNumberFormat="1" applyFont="1" applyBorder="1" applyAlignment="1">
      <alignment horizontal="right"/>
    </xf>
    <xf numFmtId="178" fontId="186" fillId="0" borderId="139" xfId="10" applyNumberFormat="1" applyFont="1" applyBorder="1" applyAlignment="1">
      <alignment horizontal="right"/>
    </xf>
    <xf numFmtId="37" fontId="186" fillId="0" borderId="139" xfId="10" applyNumberFormat="1" applyFont="1" applyBorder="1" applyAlignment="1">
      <alignment horizontal="right"/>
    </xf>
    <xf numFmtId="6" fontId="186" fillId="9" borderId="0" xfId="19" applyNumberFormat="1" applyFont="1" applyFill="1" applyBorder="1" applyAlignment="1">
      <alignment horizontal="center"/>
    </xf>
    <xf numFmtId="181" fontId="185" fillId="48" borderId="0" xfId="39" applyNumberFormat="1" applyFont="1" applyFill="1" applyBorder="1" applyAlignment="1">
      <alignment horizontal="center"/>
    </xf>
    <xf numFmtId="181" fontId="240" fillId="48" borderId="0" xfId="39" applyNumberFormat="1" applyFont="1" applyFill="1" applyBorder="1" applyAlignment="1">
      <alignment horizontal="center"/>
    </xf>
    <xf numFmtId="181" fontId="185" fillId="48" borderId="288" xfId="39" applyNumberFormat="1" applyFont="1" applyFill="1" applyBorder="1" applyAlignment="1">
      <alignment horizontal="center"/>
    </xf>
    <xf numFmtId="6" fontId="56" fillId="48" borderId="313" xfId="19" applyNumberFormat="1" applyFont="1" applyFill="1" applyBorder="1" applyAlignment="1">
      <alignment horizontal="center"/>
    </xf>
    <xf numFmtId="6" fontId="56" fillId="48" borderId="346" xfId="19" applyNumberFormat="1" applyFont="1" applyFill="1" applyBorder="1" applyAlignment="1">
      <alignment horizontal="center"/>
    </xf>
    <xf numFmtId="6" fontId="56" fillId="48" borderId="331" xfId="19" applyNumberFormat="1" applyFont="1" applyFill="1" applyBorder="1" applyAlignment="1">
      <alignment horizontal="center"/>
    </xf>
    <xf numFmtId="6" fontId="56" fillId="48" borderId="345" xfId="19" applyNumberFormat="1" applyFont="1" applyFill="1" applyBorder="1" applyAlignment="1">
      <alignment horizontal="center"/>
    </xf>
    <xf numFmtId="6" fontId="56" fillId="48" borderId="347" xfId="19" applyNumberFormat="1" applyFont="1" applyFill="1" applyBorder="1" applyAlignment="1">
      <alignment horizontal="center"/>
    </xf>
    <xf numFmtId="166" fontId="186" fillId="58" borderId="208" xfId="52" applyNumberFormat="1" applyFont="1" applyFill="1" applyBorder="1"/>
    <xf numFmtId="166" fontId="283" fillId="0" borderId="0" xfId="52" applyNumberFormat="1" applyFont="1" applyFill="1" applyBorder="1" applyAlignment="1">
      <alignment horizontal="right"/>
    </xf>
    <xf numFmtId="166" fontId="52" fillId="0" borderId="0" xfId="52" applyNumberFormat="1" applyFont="1" applyFill="1" applyBorder="1" applyAlignment="1">
      <alignment horizontal="right"/>
    </xf>
    <xf numFmtId="167" fontId="52" fillId="0" borderId="0" xfId="52" applyNumberFormat="1" applyFont="1" applyFill="1" applyAlignment="1">
      <alignment horizontal="right"/>
    </xf>
    <xf numFmtId="0" fontId="17" fillId="56" borderId="0" xfId="813" applyFill="1"/>
    <xf numFmtId="0" fontId="185" fillId="0" borderId="299" xfId="0" applyFont="1" applyBorder="1" applyAlignment="1">
      <alignment horizontal="center"/>
    </xf>
    <xf numFmtId="166" fontId="284" fillId="0" borderId="237" xfId="52" applyNumberFormat="1" applyFont="1" applyFill="1" applyBorder="1" applyAlignment="1">
      <alignment horizontal="right"/>
    </xf>
    <xf numFmtId="37" fontId="248" fillId="0" borderId="266" xfId="52" applyNumberFormat="1" applyFont="1" applyFill="1" applyBorder="1" applyAlignment="1">
      <alignment horizontal="right"/>
    </xf>
    <xf numFmtId="37" fontId="188" fillId="0" borderId="65" xfId="46" applyNumberFormat="1" applyFont="1" applyFill="1" applyBorder="1" applyAlignment="1">
      <alignment horizontal="right"/>
    </xf>
    <xf numFmtId="37" fontId="188" fillId="0" borderId="0" xfId="46" applyNumberFormat="1" applyFont="1" applyFill="1" applyBorder="1" applyAlignment="1">
      <alignment horizontal="right"/>
    </xf>
    <xf numFmtId="43" fontId="185" fillId="62" borderId="0" xfId="39" applyNumberFormat="1" applyFont="1" applyFill="1" applyBorder="1" applyAlignment="1">
      <alignment horizontal="left"/>
    </xf>
    <xf numFmtId="165" fontId="188" fillId="62" borderId="0" xfId="46" applyNumberFormat="1" applyFont="1" applyFill="1" applyBorder="1"/>
    <xf numFmtId="165" fontId="188" fillId="62" borderId="14" xfId="46" applyNumberFormat="1" applyFont="1" applyFill="1" applyBorder="1" applyAlignment="1">
      <alignment horizontal="right"/>
    </xf>
    <xf numFmtId="165" fontId="188" fillId="62" borderId="121" xfId="46" applyNumberFormat="1" applyFont="1" applyFill="1" applyBorder="1"/>
    <xf numFmtId="165" fontId="188" fillId="62" borderId="121" xfId="46" applyNumberFormat="1" applyFont="1" applyFill="1" applyBorder="1" applyAlignment="1">
      <alignment horizontal="right"/>
    </xf>
    <xf numFmtId="165" fontId="188" fillId="62" borderId="0" xfId="46" applyNumberFormat="1" applyFont="1" applyFill="1" applyBorder="1" applyAlignment="1">
      <alignment horizontal="right"/>
    </xf>
    <xf numFmtId="165" fontId="188" fillId="62" borderId="65" xfId="46" applyNumberFormat="1" applyFont="1" applyFill="1" applyBorder="1" applyAlignment="1">
      <alignment horizontal="right"/>
    </xf>
    <xf numFmtId="165" fontId="242" fillId="62" borderId="0" xfId="46" applyNumberFormat="1" applyFont="1" applyFill="1" applyBorder="1" applyAlignment="1">
      <alignment horizontal="right"/>
    </xf>
    <xf numFmtId="165" fontId="242" fillId="62" borderId="65" xfId="46" applyNumberFormat="1" applyFont="1" applyFill="1" applyBorder="1" applyAlignment="1">
      <alignment horizontal="right"/>
    </xf>
    <xf numFmtId="165" fontId="264" fillId="62" borderId="65" xfId="46" applyNumberFormat="1" applyFont="1" applyFill="1" applyBorder="1" applyAlignment="1">
      <alignment horizontal="right"/>
    </xf>
    <xf numFmtId="9" fontId="242" fillId="62" borderId="0" xfId="52" applyFont="1" applyFill="1" applyBorder="1" applyAlignment="1">
      <alignment horizontal="right"/>
    </xf>
    <xf numFmtId="167" fontId="242" fillId="62" borderId="0" xfId="52" applyNumberFormat="1" applyFont="1" applyFill="1" applyBorder="1" applyAlignment="1">
      <alignment horizontal="right"/>
    </xf>
    <xf numFmtId="9" fontId="188" fillId="0" borderId="65" xfId="52" applyFont="1" applyFill="1" applyBorder="1" applyAlignment="1">
      <alignment horizontal="right"/>
    </xf>
    <xf numFmtId="43" fontId="56" fillId="0" borderId="0" xfId="10" applyFont="1" applyFill="1" applyAlignment="1">
      <alignment horizontal="center"/>
    </xf>
    <xf numFmtId="43" fontId="184" fillId="0" borderId="237" xfId="39" applyNumberFormat="1" applyFont="1" applyFill="1" applyBorder="1" applyAlignment="1">
      <alignment horizontal="left" indent="1"/>
    </xf>
    <xf numFmtId="165" fontId="184" fillId="0" borderId="237" xfId="0" applyNumberFormat="1" applyFont="1" applyFill="1" applyBorder="1"/>
    <xf numFmtId="37" fontId="184" fillId="0" borderId="237" xfId="0" applyNumberFormat="1" applyFont="1" applyFill="1" applyBorder="1"/>
    <xf numFmtId="37" fontId="184" fillId="0" borderId="0" xfId="0" applyNumberFormat="1" applyFont="1" applyFill="1" applyBorder="1"/>
    <xf numFmtId="37" fontId="184" fillId="0" borderId="121" xfId="0" applyNumberFormat="1" applyFont="1" applyFill="1" applyBorder="1"/>
    <xf numFmtId="37" fontId="184" fillId="0" borderId="22" xfId="0" applyNumberFormat="1" applyFont="1" applyFill="1" applyBorder="1"/>
    <xf numFmtId="37" fontId="184" fillId="0" borderId="121" xfId="0" applyNumberFormat="1" applyFont="1" applyFill="1" applyBorder="1" applyAlignment="1">
      <alignment horizontal="right"/>
    </xf>
    <xf numFmtId="37" fontId="184" fillId="0" borderId="0" xfId="0" applyNumberFormat="1" applyFont="1" applyFill="1" applyBorder="1" applyAlignment="1">
      <alignment horizontal="right"/>
    </xf>
    <xf numFmtId="37" fontId="184" fillId="0" borderId="22" xfId="0" applyNumberFormat="1" applyFont="1" applyFill="1" applyBorder="1" applyAlignment="1">
      <alignment horizontal="right"/>
    </xf>
    <xf numFmtId="37" fontId="184" fillId="0" borderId="61" xfId="0" applyNumberFormat="1" applyFont="1" applyFill="1" applyBorder="1" applyAlignment="1">
      <alignment horizontal="right"/>
    </xf>
    <xf numFmtId="165" fontId="186" fillId="67" borderId="237" xfId="0" applyNumberFormat="1" applyFont="1" applyFill="1" applyBorder="1"/>
    <xf numFmtId="165" fontId="186" fillId="67" borderId="121" xfId="0" applyNumberFormat="1" applyFont="1" applyFill="1" applyBorder="1"/>
    <xf numFmtId="165" fontId="186" fillId="67" borderId="121" xfId="0" applyNumberFormat="1" applyFont="1" applyFill="1" applyBorder="1" applyAlignment="1">
      <alignment horizontal="right"/>
    </xf>
    <xf numFmtId="165" fontId="186" fillId="67" borderId="237" xfId="0" applyNumberFormat="1" applyFont="1" applyFill="1" applyBorder="1" applyAlignment="1">
      <alignment horizontal="right"/>
    </xf>
    <xf numFmtId="9" fontId="56" fillId="67" borderId="237" xfId="52" applyFont="1" applyFill="1" applyBorder="1"/>
    <xf numFmtId="9" fontId="186" fillId="67" borderId="237" xfId="52" applyFont="1" applyFill="1" applyBorder="1"/>
    <xf numFmtId="43" fontId="56" fillId="0" borderId="345" xfId="39" applyNumberFormat="1" applyFont="1" applyFill="1" applyBorder="1"/>
    <xf numFmtId="43" fontId="186" fillId="67" borderId="345" xfId="39" applyNumberFormat="1" applyFont="1" applyFill="1" applyBorder="1"/>
    <xf numFmtId="37" fontId="186" fillId="67" borderId="237" xfId="0" applyNumberFormat="1" applyFont="1" applyFill="1" applyBorder="1"/>
    <xf numFmtId="37" fontId="186" fillId="67" borderId="121" xfId="0" applyNumberFormat="1" applyFont="1" applyFill="1" applyBorder="1"/>
    <xf numFmtId="37" fontId="186" fillId="67" borderId="121" xfId="0" applyNumberFormat="1" applyFont="1" applyFill="1" applyBorder="1" applyAlignment="1">
      <alignment horizontal="right"/>
    </xf>
    <xf numFmtId="166" fontId="184" fillId="0" borderId="121" xfId="0" applyNumberFormat="1" applyFont="1" applyFill="1" applyBorder="1"/>
    <xf numFmtId="43" fontId="56" fillId="0" borderId="332" xfId="39" applyNumberFormat="1" applyFont="1" applyFill="1" applyBorder="1"/>
    <xf numFmtId="166" fontId="56" fillId="0" borderId="343" xfId="0" applyNumberFormat="1" applyFont="1" applyFill="1" applyBorder="1" applyAlignment="1">
      <alignment horizontal="right"/>
    </xf>
    <xf numFmtId="166" fontId="56" fillId="0" borderId="299" xfId="0" applyNumberFormat="1" applyFont="1" applyFill="1" applyBorder="1"/>
    <xf numFmtId="166" fontId="56" fillId="0" borderId="343" xfId="0" applyNumberFormat="1" applyFont="1" applyFill="1" applyBorder="1"/>
    <xf numFmtId="166" fontId="56" fillId="0" borderId="338" xfId="0" applyNumberFormat="1" applyFont="1" applyFill="1" applyBorder="1"/>
    <xf numFmtId="166" fontId="56" fillId="0" borderId="337" xfId="0" applyNumberFormat="1" applyFont="1" applyFill="1" applyBorder="1"/>
    <xf numFmtId="166" fontId="56" fillId="0" borderId="338" xfId="0" applyNumberFormat="1" applyFont="1" applyFill="1" applyBorder="1" applyAlignment="1">
      <alignment horizontal="right"/>
    </xf>
    <xf numFmtId="166" fontId="56" fillId="0" borderId="299" xfId="0" applyNumberFormat="1" applyFont="1" applyFill="1" applyBorder="1" applyAlignment="1">
      <alignment horizontal="right"/>
    </xf>
    <xf numFmtId="166" fontId="56" fillId="0" borderId="337" xfId="0" applyNumberFormat="1" applyFont="1" applyFill="1" applyBorder="1" applyAlignment="1">
      <alignment horizontal="right"/>
    </xf>
    <xf numFmtId="166" fontId="56" fillId="0" borderId="105" xfId="0" applyNumberFormat="1" applyFont="1" applyFill="1" applyBorder="1" applyAlignment="1">
      <alignment horizontal="right"/>
    </xf>
    <xf numFmtId="166" fontId="56" fillId="0" borderId="93" xfId="0" applyNumberFormat="1" applyFont="1" applyFill="1" applyBorder="1" applyAlignment="1">
      <alignment horizontal="right"/>
    </xf>
    <xf numFmtId="43" fontId="185" fillId="58" borderId="0" xfId="39" applyNumberFormat="1" applyFont="1" applyFill="1" applyBorder="1"/>
    <xf numFmtId="165" fontId="186" fillId="58" borderId="106" xfId="0" applyNumberFormat="1" applyFont="1" applyFill="1" applyBorder="1"/>
    <xf numFmtId="165" fontId="186" fillId="58" borderId="0" xfId="0" applyNumberFormat="1" applyFont="1" applyFill="1" applyBorder="1"/>
    <xf numFmtId="165" fontId="186" fillId="58" borderId="21" xfId="0" applyNumberFormat="1" applyFont="1" applyFill="1" applyBorder="1"/>
    <xf numFmtId="165" fontId="186" fillId="58" borderId="22" xfId="0" applyNumberFormat="1" applyFont="1" applyFill="1" applyBorder="1"/>
    <xf numFmtId="165" fontId="186" fillId="58" borderId="21" xfId="0" applyNumberFormat="1" applyFont="1" applyFill="1" applyBorder="1" applyAlignment="1">
      <alignment horizontal="right"/>
    </xf>
    <xf numFmtId="165" fontId="186" fillId="58" borderId="0" xfId="0" applyNumberFormat="1" applyFont="1" applyFill="1" applyBorder="1" applyAlignment="1">
      <alignment horizontal="right"/>
    </xf>
    <xf numFmtId="165" fontId="186" fillId="58" borderId="22" xfId="0" applyNumberFormat="1" applyFont="1" applyFill="1" applyBorder="1" applyAlignment="1">
      <alignment horizontal="right"/>
    </xf>
    <xf numFmtId="177" fontId="186" fillId="58" borderId="0" xfId="10" applyNumberFormat="1" applyFont="1" applyFill="1" applyBorder="1" applyAlignment="1">
      <alignment horizontal="right"/>
    </xf>
    <xf numFmtId="165" fontId="186" fillId="58" borderId="61" xfId="0" applyNumberFormat="1" applyFont="1" applyFill="1" applyBorder="1" applyAlignment="1">
      <alignment horizontal="right"/>
    </xf>
    <xf numFmtId="165" fontId="186" fillId="58" borderId="62" xfId="0" applyNumberFormat="1" applyFont="1" applyFill="1" applyBorder="1" applyAlignment="1">
      <alignment horizontal="right"/>
    </xf>
    <xf numFmtId="165" fontId="186" fillId="58" borderId="106" xfId="0" applyNumberFormat="1" applyFont="1" applyFill="1" applyBorder="1" applyAlignment="1">
      <alignment horizontal="right"/>
    </xf>
    <xf numFmtId="37" fontId="187" fillId="58" borderId="0" xfId="0" applyNumberFormat="1" applyFont="1" applyFill="1" applyBorder="1" applyAlignment="1">
      <alignment horizontal="right"/>
    </xf>
    <xf numFmtId="9" fontId="56" fillId="58" borderId="106" xfId="52" applyFont="1" applyFill="1" applyBorder="1"/>
    <xf numFmtId="37" fontId="56" fillId="58" borderId="106" xfId="52" applyNumberFormat="1" applyFont="1" applyFill="1" applyBorder="1"/>
    <xf numFmtId="37" fontId="56" fillId="58" borderId="0" xfId="52" applyNumberFormat="1" applyFont="1" applyFill="1" applyBorder="1" applyAlignment="1">
      <alignment horizontal="right"/>
    </xf>
    <xf numFmtId="37" fontId="186" fillId="58" borderId="106" xfId="52" applyNumberFormat="1" applyFont="1" applyFill="1" applyBorder="1"/>
    <xf numFmtId="43" fontId="185" fillId="58" borderId="270" xfId="0" applyNumberFormat="1" applyFont="1" applyFill="1" applyBorder="1" applyAlignment="1">
      <alignment horizontal="left"/>
    </xf>
    <xf numFmtId="0" fontId="185" fillId="58" borderId="270" xfId="0" applyFont="1" applyFill="1" applyBorder="1" applyAlignment="1">
      <alignment horizontal="center"/>
    </xf>
    <xf numFmtId="0" fontId="185" fillId="58" borderId="270" xfId="0" quotePrefix="1" applyFont="1" applyFill="1" applyBorder="1" applyAlignment="1">
      <alignment horizontal="center"/>
    </xf>
    <xf numFmtId="43" fontId="185" fillId="58" borderId="79" xfId="39" applyNumberFormat="1" applyFont="1" applyFill="1" applyBorder="1"/>
    <xf numFmtId="0" fontId="185" fillId="58" borderId="57" xfId="0" applyFont="1" applyFill="1" applyBorder="1"/>
    <xf numFmtId="0" fontId="185" fillId="58" borderId="25" xfId="0" applyFont="1" applyFill="1" applyBorder="1"/>
    <xf numFmtId="0" fontId="185" fillId="58" borderId="73" xfId="0" applyFont="1" applyFill="1" applyBorder="1"/>
    <xf numFmtId="0" fontId="185" fillId="58" borderId="57" xfId="0" applyFont="1" applyFill="1" applyBorder="1" applyAlignment="1">
      <alignment horizontal="right"/>
    </xf>
    <xf numFmtId="0" fontId="185" fillId="58" borderId="25" xfId="0" applyFont="1" applyFill="1" applyBorder="1" applyAlignment="1">
      <alignment horizontal="right"/>
    </xf>
    <xf numFmtId="0" fontId="185" fillId="58" borderId="73" xfId="0" applyFont="1" applyFill="1" applyBorder="1" applyAlignment="1">
      <alignment horizontal="right"/>
    </xf>
    <xf numFmtId="0" fontId="185" fillId="58" borderId="71" xfId="0" applyFont="1" applyFill="1" applyBorder="1" applyAlignment="1">
      <alignment horizontal="right"/>
    </xf>
    <xf numFmtId="0" fontId="185" fillId="58" borderId="94" xfId="0" applyFont="1" applyFill="1" applyBorder="1" applyAlignment="1">
      <alignment horizontal="right"/>
    </xf>
    <xf numFmtId="0" fontId="185" fillId="58" borderId="95" xfId="0" applyFont="1" applyFill="1" applyBorder="1" applyAlignment="1">
      <alignment horizontal="right"/>
    </xf>
    <xf numFmtId="0" fontId="185" fillId="58" borderId="96" xfId="0" applyFont="1" applyFill="1" applyBorder="1" applyAlignment="1">
      <alignment horizontal="right"/>
    </xf>
    <xf numFmtId="0" fontId="185" fillId="58" borderId="52" xfId="0" applyFont="1" applyFill="1" applyBorder="1" applyAlignment="1">
      <alignment horizontal="right"/>
    </xf>
    <xf numFmtId="0" fontId="185" fillId="58" borderId="99" xfId="0" applyFont="1" applyFill="1" applyBorder="1" applyAlignment="1">
      <alignment horizontal="right"/>
    </xf>
    <xf numFmtId="37" fontId="185" fillId="58" borderId="52" xfId="0" applyNumberFormat="1" applyFont="1" applyFill="1" applyBorder="1" applyAlignment="1">
      <alignment horizontal="right"/>
    </xf>
    <xf numFmtId="0" fontId="185" fillId="58" borderId="316" xfId="0" applyFont="1" applyFill="1" applyBorder="1" applyAlignment="1">
      <alignment horizontal="right"/>
    </xf>
    <xf numFmtId="43" fontId="185" fillId="58" borderId="80" xfId="39" applyNumberFormat="1" applyFont="1" applyFill="1" applyBorder="1"/>
    <xf numFmtId="165" fontId="185" fillId="58" borderId="82" xfId="0" applyNumberFormat="1" applyFont="1" applyFill="1" applyBorder="1"/>
    <xf numFmtId="165" fontId="185" fillId="58" borderId="85" xfId="0" applyNumberFormat="1" applyFont="1" applyFill="1" applyBorder="1"/>
    <xf numFmtId="165" fontId="185" fillId="58" borderId="0" xfId="0" applyNumberFormat="1" applyFont="1" applyFill="1" applyBorder="1"/>
    <xf numFmtId="165" fontId="185" fillId="58" borderId="22" xfId="0" applyNumberFormat="1" applyFont="1" applyFill="1" applyBorder="1"/>
    <xf numFmtId="165" fontId="185" fillId="58" borderId="82" xfId="0" applyNumberFormat="1" applyFont="1" applyFill="1" applyBorder="1" applyAlignment="1">
      <alignment horizontal="right"/>
    </xf>
    <xf numFmtId="165" fontId="185" fillId="58" borderId="85" xfId="0" applyNumberFormat="1" applyFont="1" applyFill="1" applyBorder="1" applyAlignment="1">
      <alignment horizontal="right"/>
    </xf>
    <xf numFmtId="165" fontId="185" fillId="58" borderId="0" xfId="0" applyNumberFormat="1" applyFont="1" applyFill="1" applyBorder="1" applyAlignment="1">
      <alignment horizontal="right"/>
    </xf>
    <xf numFmtId="165" fontId="185" fillId="58" borderId="22" xfId="0" applyNumberFormat="1" applyFont="1" applyFill="1" applyBorder="1" applyAlignment="1">
      <alignment horizontal="right"/>
    </xf>
    <xf numFmtId="165" fontId="211" fillId="58" borderId="0" xfId="0" applyNumberFormat="1" applyFont="1" applyFill="1" applyBorder="1" applyAlignment="1">
      <alignment horizontal="right"/>
    </xf>
    <xf numFmtId="165" fontId="185" fillId="58" borderId="58" xfId="0" applyNumberFormat="1" applyFont="1" applyFill="1" applyBorder="1" applyAlignment="1">
      <alignment horizontal="right"/>
    </xf>
    <xf numFmtId="165" fontId="185" fillId="58" borderId="61" xfId="0" applyNumberFormat="1" applyFont="1" applyFill="1" applyBorder="1" applyAlignment="1">
      <alignment horizontal="right"/>
    </xf>
    <xf numFmtId="165" fontId="185" fillId="58" borderId="62" xfId="0" applyNumberFormat="1" applyFont="1" applyFill="1" applyBorder="1" applyAlignment="1">
      <alignment horizontal="right"/>
    </xf>
    <xf numFmtId="165" fontId="185" fillId="58" borderId="92" xfId="0" applyNumberFormat="1" applyFont="1" applyFill="1" applyBorder="1" applyAlignment="1">
      <alignment horizontal="right"/>
    </xf>
    <xf numFmtId="165" fontId="185" fillId="58" borderId="237" xfId="0" applyNumberFormat="1" applyFont="1" applyFill="1" applyBorder="1" applyAlignment="1">
      <alignment horizontal="right"/>
    </xf>
    <xf numFmtId="41" fontId="56" fillId="0" borderId="65" xfId="52" applyNumberFormat="1" applyFont="1" applyFill="1" applyBorder="1" applyAlignment="1">
      <alignment horizontal="left"/>
    </xf>
    <xf numFmtId="165" fontId="56" fillId="0" borderId="345" xfId="52" applyNumberFormat="1" applyFont="1" applyFill="1" applyBorder="1" applyAlignment="1">
      <alignment horizontal="right"/>
    </xf>
    <xf numFmtId="37" fontId="187" fillId="0" borderId="0" xfId="52" quotePrefix="1" applyNumberFormat="1" applyFont="1" applyFill="1" applyBorder="1" applyAlignment="1">
      <alignment horizontal="right"/>
    </xf>
    <xf numFmtId="37" fontId="218" fillId="51" borderId="0" xfId="52" applyNumberFormat="1" applyFont="1" applyFill="1" applyBorder="1" applyAlignment="1">
      <alignment horizontal="right"/>
    </xf>
    <xf numFmtId="37" fontId="187" fillId="0" borderId="299" xfId="52" applyNumberFormat="1" applyFont="1" applyFill="1" applyBorder="1" applyAlignment="1">
      <alignment horizontal="right"/>
    </xf>
    <xf numFmtId="43" fontId="186" fillId="67" borderId="316" xfId="52" applyNumberFormat="1" applyFont="1" applyFill="1" applyBorder="1" applyAlignment="1">
      <alignment horizontal="left"/>
    </xf>
    <xf numFmtId="43" fontId="184" fillId="0" borderId="237" xfId="0" applyNumberFormat="1" applyFont="1" applyFill="1" applyBorder="1" applyAlignment="1">
      <alignment horizontal="left" indent="1"/>
    </xf>
    <xf numFmtId="194" fontId="185" fillId="67" borderId="316" xfId="0" applyNumberFormat="1" applyFont="1" applyFill="1" applyBorder="1" applyAlignment="1">
      <alignment horizontal="left"/>
    </xf>
    <xf numFmtId="194" fontId="185" fillId="0" borderId="237" xfId="0" applyNumberFormat="1" applyFont="1" applyFill="1" applyBorder="1" applyAlignment="1">
      <alignment horizontal="left"/>
    </xf>
    <xf numFmtId="194" fontId="184" fillId="0" borderId="237" xfId="0" applyNumberFormat="1" applyFont="1" applyFill="1" applyBorder="1" applyAlignment="1">
      <alignment horizontal="left" indent="1"/>
    </xf>
    <xf numFmtId="4" fontId="213" fillId="0" borderId="14" xfId="69" applyNumberFormat="1" applyFont="1" applyFill="1" applyBorder="1" applyAlignment="1"/>
    <xf numFmtId="41" fontId="185" fillId="0" borderId="334" xfId="46" applyNumberFormat="1" applyFont="1" applyFill="1" applyBorder="1" applyAlignment="1">
      <alignment horizontal="left" indent="1"/>
    </xf>
    <xf numFmtId="166" fontId="206" fillId="0" borderId="266" xfId="52" applyNumberFormat="1" applyFont="1" applyFill="1" applyBorder="1" applyAlignment="1">
      <alignment horizontal="right"/>
    </xf>
    <xf numFmtId="166" fontId="206" fillId="0" borderId="334" xfId="52" applyNumberFormat="1" applyFont="1" applyFill="1" applyBorder="1" applyAlignment="1">
      <alignment horizontal="right"/>
    </xf>
    <xf numFmtId="166" fontId="206" fillId="0" borderId="331" xfId="52" applyNumberFormat="1" applyFont="1" applyFill="1" applyBorder="1" applyAlignment="1">
      <alignment horizontal="right"/>
    </xf>
    <xf numFmtId="166" fontId="206" fillId="0" borderId="285" xfId="52" applyNumberFormat="1" applyFont="1" applyFill="1" applyBorder="1" applyAlignment="1">
      <alignment horizontal="right"/>
    </xf>
    <xf numFmtId="166" fontId="206" fillId="0" borderId="336" xfId="52" applyNumberFormat="1" applyFont="1" applyFill="1" applyBorder="1" applyAlignment="1">
      <alignment horizontal="right"/>
    </xf>
    <xf numFmtId="41" fontId="185" fillId="0" borderId="343" xfId="46" applyNumberFormat="1" applyFont="1" applyFill="1" applyBorder="1" applyAlignment="1">
      <alignment horizontal="left" indent="1"/>
    </xf>
    <xf numFmtId="166" fontId="206" fillId="0" borderId="299" xfId="52" applyNumberFormat="1" applyFont="1" applyFill="1" applyBorder="1" applyAlignment="1">
      <alignment horizontal="right"/>
    </xf>
    <xf numFmtId="166" fontId="206" fillId="0" borderId="343" xfId="52" applyNumberFormat="1" applyFont="1" applyFill="1" applyBorder="1" applyAlignment="1">
      <alignment horizontal="right"/>
    </xf>
    <xf numFmtId="166" fontId="206" fillId="0" borderId="337" xfId="52" applyNumberFormat="1" applyFont="1" applyFill="1" applyBorder="1" applyAlignment="1">
      <alignment horizontal="right"/>
    </xf>
    <xf numFmtId="166" fontId="206" fillId="0" borderId="342" xfId="52" applyNumberFormat="1" applyFont="1" applyFill="1" applyBorder="1" applyAlignment="1">
      <alignment horizontal="right"/>
    </xf>
    <xf numFmtId="41" fontId="56" fillId="0" borderId="106" xfId="46" applyNumberFormat="1" applyFont="1" applyBorder="1" applyAlignment="1">
      <alignment horizontal="left" indent="2"/>
    </xf>
    <xf numFmtId="41" fontId="188" fillId="62" borderId="106" xfId="0" applyNumberFormat="1" applyFont="1" applyFill="1" applyBorder="1" applyAlignment="1">
      <alignment horizontal="left"/>
    </xf>
    <xf numFmtId="166" fontId="201" fillId="62" borderId="0" xfId="52" applyNumberFormat="1" applyFont="1" applyFill="1" applyBorder="1" applyAlignment="1">
      <alignment horizontal="right"/>
    </xf>
    <xf numFmtId="166" fontId="201" fillId="62" borderId="106" xfId="52" applyNumberFormat="1" applyFont="1" applyFill="1" applyBorder="1" applyAlignment="1">
      <alignment horizontal="right"/>
    </xf>
    <xf numFmtId="166" fontId="201" fillId="62" borderId="126" xfId="52" applyNumberFormat="1" applyFont="1" applyFill="1" applyBorder="1" applyAlignment="1">
      <alignment horizontal="right"/>
    </xf>
    <xf numFmtId="166" fontId="201" fillId="62" borderId="22" xfId="52" applyNumberFormat="1" applyFont="1" applyFill="1" applyBorder="1" applyAlignment="1">
      <alignment horizontal="right"/>
    </xf>
    <xf numFmtId="166" fontId="201" fillId="62" borderId="160" xfId="52" applyNumberFormat="1" applyFont="1" applyFill="1" applyBorder="1" applyAlignment="1">
      <alignment horizontal="right"/>
    </xf>
    <xf numFmtId="37" fontId="248" fillId="0" borderId="0" xfId="0" applyNumberFormat="1" applyFont="1" applyBorder="1"/>
    <xf numFmtId="9" fontId="187" fillId="0" borderId="0" xfId="52" quotePrefix="1" applyFont="1" applyFill="1" applyBorder="1" applyAlignment="1">
      <alignment horizontal="right"/>
    </xf>
    <xf numFmtId="41" fontId="188" fillId="0" borderId="237" xfId="46" applyNumberFormat="1" applyFont="1" applyFill="1" applyBorder="1" applyAlignment="1">
      <alignment horizontal="left" indent="1"/>
    </xf>
    <xf numFmtId="9" fontId="184" fillId="61" borderId="0" xfId="52" applyFont="1" applyFill="1" applyBorder="1" applyAlignment="1">
      <alignment horizontal="center"/>
    </xf>
    <xf numFmtId="10" fontId="188" fillId="64" borderId="237" xfId="52" applyNumberFormat="1" applyFont="1" applyFill="1" applyBorder="1" applyAlignment="1">
      <alignment horizontal="right"/>
    </xf>
    <xf numFmtId="7" fontId="60" fillId="0" borderId="0" xfId="0" applyNumberFormat="1" applyFont="1" applyFill="1" applyBorder="1" applyAlignment="1">
      <alignment horizontal="right"/>
    </xf>
    <xf numFmtId="9" fontId="214" fillId="51" borderId="0" xfId="0" applyNumberFormat="1" applyFont="1" applyFill="1" applyBorder="1" applyAlignment="1">
      <alignment horizontal="right"/>
    </xf>
    <xf numFmtId="9" fontId="213" fillId="67" borderId="143" xfId="52" applyNumberFormat="1" applyFont="1" applyFill="1" applyBorder="1" applyAlignment="1">
      <alignment horizontal="right"/>
    </xf>
    <xf numFmtId="9" fontId="213" fillId="0" borderId="0" xfId="52" applyNumberFormat="1" applyFont="1" applyFill="1" applyBorder="1" applyAlignment="1">
      <alignment horizontal="right"/>
    </xf>
    <xf numFmtId="166" fontId="56" fillId="0" borderId="106" xfId="0" applyNumberFormat="1" applyFont="1" applyFill="1" applyBorder="1" applyAlignment="1">
      <alignment horizontal="left"/>
    </xf>
    <xf numFmtId="166" fontId="187" fillId="51" borderId="106" xfId="0" applyNumberFormat="1" applyFont="1" applyFill="1" applyBorder="1" applyAlignment="1">
      <alignment horizontal="right"/>
    </xf>
    <xf numFmtId="9" fontId="187" fillId="51" borderId="0" xfId="0" applyNumberFormat="1" applyFont="1" applyFill="1" applyBorder="1" applyAlignment="1">
      <alignment horizontal="right"/>
    </xf>
    <xf numFmtId="9" fontId="209" fillId="51" borderId="0" xfId="0" applyNumberFormat="1" applyFont="1" applyFill="1" applyBorder="1" applyAlignment="1">
      <alignment horizontal="right"/>
    </xf>
    <xf numFmtId="166" fontId="213" fillId="0" borderId="237" xfId="0" applyNumberFormat="1" applyFont="1" applyFill="1" applyBorder="1" applyAlignment="1">
      <alignment horizontal="right"/>
    </xf>
    <xf numFmtId="166" fontId="187" fillId="51" borderId="65" xfId="0" applyNumberFormat="1" applyFont="1" applyFill="1" applyBorder="1" applyAlignment="1">
      <alignment horizontal="right"/>
    </xf>
    <xf numFmtId="9" fontId="187" fillId="0" borderId="65" xfId="0" applyNumberFormat="1" applyFont="1" applyFill="1" applyBorder="1" applyAlignment="1">
      <alignment horizontal="right"/>
    </xf>
    <xf numFmtId="43" fontId="184" fillId="0" borderId="65" xfId="0" applyNumberFormat="1" applyFont="1" applyFill="1" applyBorder="1" applyAlignment="1">
      <alignment horizontal="left" indent="1"/>
    </xf>
    <xf numFmtId="194" fontId="185" fillId="0" borderId="65" xfId="0" applyNumberFormat="1" applyFont="1" applyFill="1" applyBorder="1" applyAlignment="1">
      <alignment horizontal="left"/>
    </xf>
    <xf numFmtId="166" fontId="186" fillId="0" borderId="0" xfId="0" applyNumberFormat="1" applyFont="1" applyFill="1" applyBorder="1" applyAlignment="1">
      <alignment horizontal="right"/>
    </xf>
    <xf numFmtId="166" fontId="186" fillId="0" borderId="237" xfId="0" applyNumberFormat="1" applyFont="1" applyFill="1" applyBorder="1" applyAlignment="1">
      <alignment horizontal="right"/>
    </xf>
    <xf numFmtId="166" fontId="186" fillId="0" borderId="106" xfId="0" applyNumberFormat="1" applyFont="1" applyFill="1" applyBorder="1" applyAlignment="1">
      <alignment horizontal="right"/>
    </xf>
    <xf numFmtId="166" fontId="186" fillId="0" borderId="121" xfId="0" applyNumberFormat="1" applyFont="1" applyFill="1" applyBorder="1" applyAlignment="1">
      <alignment horizontal="right"/>
    </xf>
    <xf numFmtId="166" fontId="218" fillId="0" borderId="121" xfId="0" applyNumberFormat="1" applyFont="1" applyFill="1" applyBorder="1" applyAlignment="1">
      <alignment horizontal="right"/>
    </xf>
    <xf numFmtId="166" fontId="218" fillId="0" borderId="0" xfId="0" applyNumberFormat="1" applyFont="1" applyFill="1" applyBorder="1" applyAlignment="1">
      <alignment horizontal="right"/>
    </xf>
    <xf numFmtId="166" fontId="218" fillId="51" borderId="0" xfId="52" applyNumberFormat="1" applyFont="1" applyFill="1" applyBorder="1" applyAlignment="1">
      <alignment horizontal="right"/>
    </xf>
    <xf numFmtId="166" fontId="285" fillId="51" borderId="61" xfId="52" applyNumberFormat="1" applyFont="1" applyFill="1" applyBorder="1" applyAlignment="1">
      <alignment horizontal="right"/>
    </xf>
    <xf numFmtId="166" fontId="285" fillId="51" borderId="0" xfId="52" applyNumberFormat="1" applyFont="1" applyFill="1" applyBorder="1" applyAlignment="1">
      <alignment horizontal="right"/>
    </xf>
    <xf numFmtId="166" fontId="285" fillId="51" borderId="0" xfId="0" applyNumberFormat="1" applyFont="1" applyFill="1" applyBorder="1" applyAlignment="1">
      <alignment horizontal="right"/>
    </xf>
    <xf numFmtId="9" fontId="195" fillId="51" borderId="0" xfId="0" applyNumberFormat="1" applyFont="1" applyFill="1" applyBorder="1" applyAlignment="1">
      <alignment horizontal="right"/>
    </xf>
    <xf numFmtId="9" fontId="249" fillId="51" borderId="0" xfId="0" applyNumberFormat="1" applyFont="1" applyFill="1" applyBorder="1" applyAlignment="1">
      <alignment horizontal="right"/>
    </xf>
    <xf numFmtId="9" fontId="195" fillId="0" borderId="65" xfId="0" applyNumberFormat="1" applyFont="1" applyFill="1" applyBorder="1" applyAlignment="1">
      <alignment horizontal="right"/>
    </xf>
    <xf numFmtId="166" fontId="226" fillId="51" borderId="0" xfId="0" applyNumberFormat="1" applyFont="1" applyFill="1" applyAlignment="1">
      <alignment horizontal="center"/>
    </xf>
    <xf numFmtId="37" fontId="184" fillId="0" borderId="65" xfId="0" applyNumberFormat="1" applyFont="1" applyFill="1" applyBorder="1" applyAlignment="1">
      <alignment horizontal="right"/>
    </xf>
    <xf numFmtId="9" fontId="52" fillId="0" borderId="0" xfId="52" applyFont="1" applyFill="1" applyAlignment="1">
      <alignment horizontal="right"/>
    </xf>
    <xf numFmtId="37" fontId="52" fillId="0" borderId="0" xfId="52" applyNumberFormat="1" applyFont="1" applyFill="1"/>
    <xf numFmtId="9" fontId="242" fillId="62" borderId="65" xfId="52" applyFont="1" applyFill="1" applyBorder="1" applyAlignment="1">
      <alignment horizontal="right"/>
    </xf>
    <xf numFmtId="49" fontId="185" fillId="47" borderId="0" xfId="41" quotePrefix="1" applyNumberFormat="1" applyFont="1" applyFill="1" applyAlignment="1">
      <alignment horizontal="center"/>
    </xf>
    <xf numFmtId="43" fontId="52" fillId="0" borderId="0" xfId="10" applyFont="1" applyFill="1" applyAlignment="1">
      <alignment horizontal="right"/>
    </xf>
    <xf numFmtId="270" fontId="29" fillId="56" borderId="0" xfId="655" applyNumberFormat="1">
      <alignment horizontal="right"/>
    </xf>
    <xf numFmtId="0" fontId="0" fillId="0" borderId="299" xfId="0" applyBorder="1"/>
    <xf numFmtId="166" fontId="186" fillId="51" borderId="298" xfId="52" applyNumberFormat="1" applyFont="1" applyFill="1" applyBorder="1" applyAlignment="1">
      <alignment horizontal="right"/>
    </xf>
    <xf numFmtId="166" fontId="184" fillId="62" borderId="237" xfId="52" applyNumberFormat="1" applyFont="1" applyFill="1" applyBorder="1"/>
    <xf numFmtId="0" fontId="269" fillId="58" borderId="0" xfId="1379" applyFont="1" applyFill="1" applyAlignment="1">
      <alignment horizontal="center"/>
    </xf>
    <xf numFmtId="0" fontId="269" fillId="51" borderId="0" xfId="1379" quotePrefix="1" applyFont="1" applyFill="1" applyAlignment="1">
      <alignment horizontal="center"/>
    </xf>
    <xf numFmtId="9" fontId="14" fillId="51" borderId="0" xfId="52" applyFont="1" applyFill="1" applyAlignment="1">
      <alignment horizontal="center"/>
    </xf>
    <xf numFmtId="9" fontId="273" fillId="51" borderId="0" xfId="52" applyFont="1" applyFill="1" applyAlignment="1">
      <alignment horizontal="center"/>
    </xf>
    <xf numFmtId="0" fontId="14" fillId="51" borderId="0" xfId="1379" applyFill="1" applyAlignment="1">
      <alignment horizontal="center"/>
    </xf>
    <xf numFmtId="0" fontId="269" fillId="58" borderId="0" xfId="1379" quotePrefix="1" applyFont="1" applyFill="1" applyAlignment="1">
      <alignment horizontal="center"/>
    </xf>
    <xf numFmtId="4" fontId="213" fillId="0" borderId="126" xfId="69" applyNumberFormat="1" applyFont="1" applyFill="1" applyBorder="1" applyAlignment="1"/>
    <xf numFmtId="166" fontId="184" fillId="62" borderId="235" xfId="52" applyNumberFormat="1" applyFont="1" applyFill="1" applyBorder="1"/>
    <xf numFmtId="166" fontId="184" fillId="62" borderId="235" xfId="52" applyNumberFormat="1" applyFont="1" applyFill="1" applyBorder="1" applyAlignment="1">
      <alignment horizontal="right"/>
    </xf>
    <xf numFmtId="166" fontId="214" fillId="62" borderId="237" xfId="52" applyNumberFormat="1" applyFont="1" applyFill="1" applyBorder="1" applyAlignment="1">
      <alignment horizontal="right"/>
    </xf>
    <xf numFmtId="9" fontId="186" fillId="0" borderId="237" xfId="52" applyFont="1" applyFill="1" applyBorder="1" applyAlignment="1">
      <alignment horizontal="right"/>
    </xf>
    <xf numFmtId="9" fontId="186" fillId="0" borderId="0" xfId="52" applyFont="1" applyFill="1" applyBorder="1" applyAlignment="1">
      <alignment horizontal="right"/>
    </xf>
    <xf numFmtId="166" fontId="248" fillId="0" borderId="0" xfId="52" applyNumberFormat="1" applyFont="1" applyFill="1" applyBorder="1" applyAlignment="1">
      <alignment horizontal="right"/>
    </xf>
    <xf numFmtId="166" fontId="248" fillId="0" borderId="237" xfId="52" applyNumberFormat="1" applyFont="1" applyFill="1" applyBorder="1" applyAlignment="1">
      <alignment horizontal="right"/>
    </xf>
    <xf numFmtId="41" fontId="186" fillId="62" borderId="237" xfId="0" applyNumberFormat="1" applyFont="1" applyFill="1" applyBorder="1" applyAlignment="1">
      <alignment horizontal="left"/>
    </xf>
    <xf numFmtId="170" fontId="186" fillId="62" borderId="0" xfId="20" applyNumberFormat="1" applyFont="1" applyFill="1" applyBorder="1" applyAlignment="1">
      <alignment horizontal="right"/>
    </xf>
    <xf numFmtId="170" fontId="186" fillId="62" borderId="22" xfId="20" applyNumberFormat="1" applyFont="1" applyFill="1" applyBorder="1" applyAlignment="1">
      <alignment horizontal="right"/>
    </xf>
    <xf numFmtId="170" fontId="186" fillId="62" borderId="234" xfId="20" applyNumberFormat="1" applyFont="1" applyFill="1" applyBorder="1" applyAlignment="1">
      <alignment horizontal="right"/>
    </xf>
    <xf numFmtId="43" fontId="186" fillId="62" borderId="234" xfId="10" applyFont="1" applyFill="1" applyBorder="1" applyAlignment="1">
      <alignment horizontal="right"/>
    </xf>
    <xf numFmtId="43" fontId="186" fillId="62" borderId="0" xfId="10" applyFont="1" applyFill="1" applyBorder="1" applyAlignment="1">
      <alignment horizontal="right"/>
    </xf>
    <xf numFmtId="170" fontId="186" fillId="62" borderId="235" xfId="20" applyNumberFormat="1" applyFont="1" applyFill="1" applyBorder="1" applyAlignment="1">
      <alignment horizontal="right"/>
    </xf>
    <xf numFmtId="170" fontId="186" fillId="62" borderId="237" xfId="20" applyNumberFormat="1" applyFont="1" applyFill="1" applyBorder="1" applyAlignment="1">
      <alignment horizontal="right"/>
    </xf>
    <xf numFmtId="170" fontId="186" fillId="62" borderId="236" xfId="20" applyNumberFormat="1" applyFont="1" applyFill="1" applyBorder="1" applyAlignment="1">
      <alignment horizontal="right"/>
    </xf>
    <xf numFmtId="37" fontId="186" fillId="62" borderId="237" xfId="20" applyNumberFormat="1" applyFont="1" applyFill="1" applyBorder="1" applyAlignment="1">
      <alignment horizontal="right"/>
    </xf>
    <xf numFmtId="37" fontId="186" fillId="62" borderId="0" xfId="20" applyNumberFormat="1" applyFont="1" applyFill="1" applyBorder="1" applyAlignment="1">
      <alignment horizontal="right"/>
    </xf>
    <xf numFmtId="37" fontId="186" fillId="0" borderId="237" xfId="20" applyNumberFormat="1" applyFont="1" applyFill="1" applyBorder="1" applyAlignment="1">
      <alignment horizontal="right"/>
    </xf>
    <xf numFmtId="37" fontId="186" fillId="0" borderId="0" xfId="20" applyNumberFormat="1" applyFont="1" applyFill="1" applyBorder="1" applyAlignment="1">
      <alignment horizontal="right"/>
    </xf>
    <xf numFmtId="37" fontId="261" fillId="0" borderId="60" xfId="10" applyNumberFormat="1" applyFont="1" applyFill="1" applyBorder="1" applyAlignment="1">
      <alignment horizontal="right"/>
    </xf>
    <xf numFmtId="37" fontId="261" fillId="0" borderId="0" xfId="10" applyNumberFormat="1" applyFont="1" applyFill="1" applyBorder="1" applyAlignment="1">
      <alignment horizontal="right"/>
    </xf>
    <xf numFmtId="0" fontId="17" fillId="0" borderId="0" xfId="1405" applyFont="1" applyFill="1">
      <alignment vertical="top" wrapText="1"/>
    </xf>
    <xf numFmtId="0" fontId="32" fillId="0" borderId="0" xfId="1405" applyFont="1" applyFill="1">
      <alignment vertical="top" wrapText="1"/>
    </xf>
    <xf numFmtId="0" fontId="29" fillId="0" borderId="0" xfId="1405" applyFont="1" applyFill="1">
      <alignment vertical="top" wrapText="1"/>
    </xf>
    <xf numFmtId="10" fontId="278" fillId="52" borderId="0" xfId="52" applyNumberFormat="1" applyFont="1" applyFill="1" applyBorder="1" applyAlignment="1">
      <alignment horizontal="center" vertical="center"/>
    </xf>
    <xf numFmtId="37" fontId="282" fillId="52" borderId="0" xfId="10" applyNumberFormat="1" applyFont="1" applyFill="1" applyBorder="1" applyAlignment="1">
      <alignment horizontal="center" vertical="center" wrapText="1"/>
    </xf>
    <xf numFmtId="37" fontId="282" fillId="51" borderId="0" xfId="10" applyNumberFormat="1" applyFont="1" applyFill="1" applyBorder="1" applyAlignment="1">
      <alignment horizontal="center" vertical="center" wrapText="1"/>
    </xf>
    <xf numFmtId="0" fontId="188" fillId="0" borderId="292" xfId="0" applyFont="1" applyFill="1" applyBorder="1" applyAlignment="1">
      <alignment horizontal="center" vertical="center" textRotation="90"/>
    </xf>
    <xf numFmtId="0" fontId="32" fillId="0" borderId="292" xfId="0" applyFont="1" applyFill="1" applyBorder="1" applyAlignment="1">
      <alignment horizontal="center" vertical="center"/>
    </xf>
    <xf numFmtId="0" fontId="32" fillId="0" borderId="291" xfId="0" applyFont="1" applyFill="1" applyBorder="1" applyAlignment="1">
      <alignment horizontal="center" vertical="center"/>
    </xf>
    <xf numFmtId="49" fontId="185" fillId="47" borderId="0" xfId="41" quotePrefix="1" applyNumberFormat="1" applyFont="1" applyFill="1" applyAlignment="1">
      <alignment horizontal="center"/>
    </xf>
    <xf numFmtId="0" fontId="35" fillId="62" borderId="127" xfId="67" applyFont="1" applyFill="1" applyBorder="1" applyAlignment="1">
      <alignment horizontal="center" vertical="center"/>
    </xf>
    <xf numFmtId="0" fontId="35" fillId="62" borderId="208" xfId="67" applyFont="1" applyFill="1" applyBorder="1" applyAlignment="1">
      <alignment horizontal="center" vertical="center"/>
    </xf>
    <xf numFmtId="0" fontId="35" fillId="62" borderId="138" xfId="67" applyFont="1" applyFill="1" applyBorder="1" applyAlignment="1">
      <alignment horizontal="center" vertical="center"/>
    </xf>
    <xf numFmtId="0" fontId="280" fillId="58" borderId="0" xfId="1379" applyFont="1" applyFill="1" applyAlignment="1">
      <alignment horizontal="center" vertical="center"/>
    </xf>
  </cellXfs>
  <cellStyles count="1406">
    <cellStyle name="-" xfId="160" xr:uid="{00000000-0005-0000-0000-000000000000}"/>
    <cellStyle name="_x000a_386grabber=M" xfId="520" xr:uid="{00000000-0005-0000-0000-000001000000}"/>
    <cellStyle name="&quot;X&quot; Men" xfId="521" xr:uid="{00000000-0005-0000-0000-000002000000}"/>
    <cellStyle name="******************************************" xfId="522" xr:uid="{00000000-0005-0000-0000-000003000000}"/>
    <cellStyle name=";;;" xfId="71" xr:uid="{00000000-0005-0000-0000-000004000000}"/>
    <cellStyle name="£ BP" xfId="161" xr:uid="{00000000-0005-0000-0000-000005000000}"/>
    <cellStyle name="¥ JY" xfId="162" xr:uid="{00000000-0005-0000-0000-000006000000}"/>
    <cellStyle name="•W€_GE 3 MINIMUM" xfId="163" xr:uid="{00000000-0005-0000-0000-000007000000}"/>
    <cellStyle name="0.0 NORMAL" xfId="164" xr:uid="{00000000-0005-0000-0000-000008000000}"/>
    <cellStyle name="0.0 PERCENT" xfId="165" xr:uid="{00000000-0005-0000-0000-000009000000}"/>
    <cellStyle name="1,comma" xfId="166" xr:uid="{00000000-0005-0000-0000-00000A000000}"/>
    <cellStyle name="20% - Accent1 2" xfId="167" xr:uid="{00000000-0005-0000-0000-00000B000000}"/>
    <cellStyle name="20% - Accent2 2" xfId="168" xr:uid="{00000000-0005-0000-0000-00000C000000}"/>
    <cellStyle name="20% - Accent3 2" xfId="169" xr:uid="{00000000-0005-0000-0000-00000D000000}"/>
    <cellStyle name="20% - Accent4 2" xfId="170" xr:uid="{00000000-0005-0000-0000-00000E000000}"/>
    <cellStyle name="20% - Accent5 2" xfId="171" xr:uid="{00000000-0005-0000-0000-00000F000000}"/>
    <cellStyle name="20% - Accent6 2" xfId="172" xr:uid="{00000000-0005-0000-0000-000010000000}"/>
    <cellStyle name="40% - Accent1 2" xfId="173" xr:uid="{00000000-0005-0000-0000-000011000000}"/>
    <cellStyle name="40% - Accent2 2" xfId="174" xr:uid="{00000000-0005-0000-0000-000012000000}"/>
    <cellStyle name="40% - Accent3 2" xfId="175" xr:uid="{00000000-0005-0000-0000-000013000000}"/>
    <cellStyle name="40% - Accent4 2" xfId="176" xr:uid="{00000000-0005-0000-0000-000014000000}"/>
    <cellStyle name="40% - Accent5 2" xfId="177" xr:uid="{00000000-0005-0000-0000-000015000000}"/>
    <cellStyle name="40% - Accent6 2" xfId="178" xr:uid="{00000000-0005-0000-0000-000016000000}"/>
    <cellStyle name="60% - Accent1 2" xfId="179" xr:uid="{00000000-0005-0000-0000-000017000000}"/>
    <cellStyle name="60% - Accent2 2" xfId="180" xr:uid="{00000000-0005-0000-0000-000018000000}"/>
    <cellStyle name="60% - Accent3 2" xfId="181" xr:uid="{00000000-0005-0000-0000-000019000000}"/>
    <cellStyle name="60% - Accent4 2" xfId="182" xr:uid="{00000000-0005-0000-0000-00001A000000}"/>
    <cellStyle name="60% - Accent5 2" xfId="183" xr:uid="{00000000-0005-0000-0000-00001B000000}"/>
    <cellStyle name="60% - Accent6 2" xfId="184" xr:uid="{00000000-0005-0000-0000-00001C000000}"/>
    <cellStyle name="Accent1 - 20%" xfId="186" xr:uid="{00000000-0005-0000-0000-00001D000000}"/>
    <cellStyle name="Accent1 - 40%" xfId="187" xr:uid="{00000000-0005-0000-0000-00001E000000}"/>
    <cellStyle name="Accent1 - 60%" xfId="188" xr:uid="{00000000-0005-0000-0000-00001F000000}"/>
    <cellStyle name="Accent1 2" xfId="185" xr:uid="{00000000-0005-0000-0000-000020000000}"/>
    <cellStyle name="Accent2 - 20%" xfId="190" xr:uid="{00000000-0005-0000-0000-000021000000}"/>
    <cellStyle name="Accent2 - 40%" xfId="191" xr:uid="{00000000-0005-0000-0000-000022000000}"/>
    <cellStyle name="Accent2 - 60%" xfId="192" xr:uid="{00000000-0005-0000-0000-000023000000}"/>
    <cellStyle name="Accent2 2" xfId="189" xr:uid="{00000000-0005-0000-0000-000024000000}"/>
    <cellStyle name="Accent3 - 20%" xfId="194" xr:uid="{00000000-0005-0000-0000-000025000000}"/>
    <cellStyle name="Accent3 - 40%" xfId="195" xr:uid="{00000000-0005-0000-0000-000026000000}"/>
    <cellStyle name="Accent3 - 60%" xfId="196" xr:uid="{00000000-0005-0000-0000-000027000000}"/>
    <cellStyle name="Accent3 2" xfId="193" xr:uid="{00000000-0005-0000-0000-000028000000}"/>
    <cellStyle name="Accent4 - 20%" xfId="198" xr:uid="{00000000-0005-0000-0000-000029000000}"/>
    <cellStyle name="Accent4 - 40%" xfId="199" xr:uid="{00000000-0005-0000-0000-00002A000000}"/>
    <cellStyle name="Accent4 - 60%" xfId="200" xr:uid="{00000000-0005-0000-0000-00002B000000}"/>
    <cellStyle name="Accent4 2" xfId="197" xr:uid="{00000000-0005-0000-0000-00002C000000}"/>
    <cellStyle name="Accent5 - 20%" xfId="202" xr:uid="{00000000-0005-0000-0000-00002D000000}"/>
    <cellStyle name="Accent5 - 40%" xfId="203" xr:uid="{00000000-0005-0000-0000-00002E000000}"/>
    <cellStyle name="Accent5 - 60%" xfId="204" xr:uid="{00000000-0005-0000-0000-00002F000000}"/>
    <cellStyle name="Accent5 2" xfId="201" xr:uid="{00000000-0005-0000-0000-000030000000}"/>
    <cellStyle name="Accent6 - 20%" xfId="206" xr:uid="{00000000-0005-0000-0000-000031000000}"/>
    <cellStyle name="Accent6 - 40%" xfId="207" xr:uid="{00000000-0005-0000-0000-000032000000}"/>
    <cellStyle name="Accent6 - 60%" xfId="208" xr:uid="{00000000-0005-0000-0000-000033000000}"/>
    <cellStyle name="Accent6 2" xfId="205" xr:uid="{00000000-0005-0000-0000-000034000000}"/>
    <cellStyle name="active" xfId="1" xr:uid="{00000000-0005-0000-0000-000035000000}"/>
    <cellStyle name="active 2" xfId="663" xr:uid="{00000000-0005-0000-0000-000036000000}"/>
    <cellStyle name="adj_share" xfId="523" xr:uid="{00000000-0005-0000-0000-000037000000}"/>
    <cellStyle name="AFE" xfId="2" xr:uid="{00000000-0005-0000-0000-000038000000}"/>
    <cellStyle name="Afjusted" xfId="524" xr:uid="{00000000-0005-0000-0000-000039000000}"/>
    <cellStyle name="Afjusted 2" xfId="805" xr:uid="{00000000-0005-0000-0000-00003A000000}"/>
    <cellStyle name="Afjusted 2 2" xfId="1046" xr:uid="{00000000-0005-0000-0000-00003B000000}"/>
    <cellStyle name="Afjusted 2 2 2" xfId="1367" xr:uid="{00000000-0005-0000-0000-00003C000000}"/>
    <cellStyle name="Afjusted 2 3" xfId="1172" xr:uid="{00000000-0005-0000-0000-00003D000000}"/>
    <cellStyle name="Afjusted 3" xfId="722" xr:uid="{00000000-0005-0000-0000-00003E000000}"/>
    <cellStyle name="Afjusted 3 2" xfId="1013" xr:uid="{00000000-0005-0000-0000-00003F000000}"/>
    <cellStyle name="Afjusted 3 2 2" xfId="1337" xr:uid="{00000000-0005-0000-0000-000040000000}"/>
    <cellStyle name="Afjusted 3 3" xfId="1105" xr:uid="{00000000-0005-0000-0000-000041000000}"/>
    <cellStyle name="Afjusted 4" xfId="1063" xr:uid="{00000000-0005-0000-0000-000042000000}"/>
    <cellStyle name="Arial 10" xfId="3" xr:uid="{00000000-0005-0000-0000-000043000000}"/>
    <cellStyle name="Arial 10 2" xfId="664" xr:uid="{00000000-0005-0000-0000-000044000000}"/>
    <cellStyle name="Arial 12" xfId="4" xr:uid="{00000000-0005-0000-0000-000045000000}"/>
    <cellStyle name="ArialNormal" xfId="209" xr:uid="{00000000-0005-0000-0000-000046000000}"/>
    <cellStyle name="ArialNormal 2" xfId="718" xr:uid="{00000000-0005-0000-0000-000047000000}"/>
    <cellStyle name="ArialNormal 2 2" xfId="906" xr:uid="{00000000-0005-0000-0000-000048000000}"/>
    <cellStyle name="ArialNormal 2 2 2" xfId="1242" xr:uid="{00000000-0005-0000-0000-000049000000}"/>
    <cellStyle name="ArialNormal 2 3" xfId="1010" xr:uid="{00000000-0005-0000-0000-00004A000000}"/>
    <cellStyle name="ArialNormal 2 3 2" xfId="1334" xr:uid="{00000000-0005-0000-0000-00004B000000}"/>
    <cellStyle name="ArialNormal 2 4" xfId="1101" xr:uid="{00000000-0005-0000-0000-00004C000000}"/>
    <cellStyle name="ArialNormal 3" xfId="839" xr:uid="{00000000-0005-0000-0000-00004D000000}"/>
    <cellStyle name="ArialNormal 3 2" xfId="1000" xr:uid="{00000000-0005-0000-0000-00004E000000}"/>
    <cellStyle name="ArialNormal 3 2 2" xfId="1326" xr:uid="{00000000-0005-0000-0000-00004F000000}"/>
    <cellStyle name="ArialNormal 3 3" xfId="1057" xr:uid="{00000000-0005-0000-0000-000050000000}"/>
    <cellStyle name="ArialNormal 3 3 2" xfId="1376" xr:uid="{00000000-0005-0000-0000-000051000000}"/>
    <cellStyle name="ArialNormal 3 4" xfId="1192" xr:uid="{00000000-0005-0000-0000-000052000000}"/>
    <cellStyle name="ArialNormal 4" xfId="843" xr:uid="{00000000-0005-0000-0000-000053000000}"/>
    <cellStyle name="ArialNormal 4 2" xfId="1002" xr:uid="{00000000-0005-0000-0000-000054000000}"/>
    <cellStyle name="ArialNormal 4 2 2" xfId="1328" xr:uid="{00000000-0005-0000-0000-000055000000}"/>
    <cellStyle name="ArialNormal 4 3" xfId="1059" xr:uid="{00000000-0005-0000-0000-000056000000}"/>
    <cellStyle name="ArialNormal 4 3 2" xfId="1378" xr:uid="{00000000-0005-0000-0000-000057000000}"/>
    <cellStyle name="ArialNormal 4 4" xfId="1195" xr:uid="{00000000-0005-0000-0000-000058000000}"/>
    <cellStyle name="b" xfId="525" xr:uid="{00000000-0005-0000-0000-000059000000}"/>
    <cellStyle name="Bad 2" xfId="210" xr:uid="{00000000-0005-0000-0000-00005A000000}"/>
    <cellStyle name="BalanceSheet" xfId="211" xr:uid="{00000000-0005-0000-0000-00005B000000}"/>
    <cellStyle name="bch" xfId="5" xr:uid="{00000000-0005-0000-0000-00005C000000}"/>
    <cellStyle name="bci" xfId="6" xr:uid="{00000000-0005-0000-0000-00005D000000}"/>
    <cellStyle name="BlackStrike" xfId="526" xr:uid="{00000000-0005-0000-0000-00005E000000}"/>
    <cellStyle name="BlackText" xfId="527" xr:uid="{00000000-0005-0000-0000-00005F000000}"/>
    <cellStyle name="Blank [1%]" xfId="72" xr:uid="{00000000-0005-0000-0000-000060000000}"/>
    <cellStyle name="Blank [1,]" xfId="73" xr:uid="{00000000-0005-0000-0000-000061000000}"/>
    <cellStyle name="Blank [3$]" xfId="74" xr:uid="{00000000-0005-0000-0000-000062000000}"/>
    <cellStyle name="Blank [3%]" xfId="75" xr:uid="{00000000-0005-0000-0000-000063000000}"/>
    <cellStyle name="Blue" xfId="76" xr:uid="{00000000-0005-0000-0000-000064000000}"/>
    <cellStyle name="Body_Input%Red1dp" xfId="212" xr:uid="{00000000-0005-0000-0000-000065000000}"/>
    <cellStyle name="Bold/Border" xfId="213" xr:uid="{00000000-0005-0000-0000-000066000000}"/>
    <cellStyle name="Bold/Border 2" xfId="719" xr:uid="{00000000-0005-0000-0000-000067000000}"/>
    <cellStyle name="Bold/Border 2 2" xfId="907" xr:uid="{00000000-0005-0000-0000-000068000000}"/>
    <cellStyle name="Bold/Border 2 2 2" xfId="1243" xr:uid="{00000000-0005-0000-0000-000069000000}"/>
    <cellStyle name="Bold/Border 2 3" xfId="1011" xr:uid="{00000000-0005-0000-0000-00006A000000}"/>
    <cellStyle name="Bold/Border 2 3 2" xfId="1335" xr:uid="{00000000-0005-0000-0000-00006B000000}"/>
    <cellStyle name="Bold/Border 2 4" xfId="1102" xr:uid="{00000000-0005-0000-0000-00006C000000}"/>
    <cellStyle name="Bold/Border 3" xfId="765" xr:uid="{00000000-0005-0000-0000-00006D000000}"/>
    <cellStyle name="Bold/Border 3 2" xfId="946" xr:uid="{00000000-0005-0000-0000-00006E000000}"/>
    <cellStyle name="Bold/Border 3 2 2" xfId="1278" xr:uid="{00000000-0005-0000-0000-00006F000000}"/>
    <cellStyle name="Bold/Border 3 3" xfId="1140" xr:uid="{00000000-0005-0000-0000-000070000000}"/>
    <cellStyle name="Bold/Border 4" xfId="735" xr:uid="{00000000-0005-0000-0000-000071000000}"/>
    <cellStyle name="Bold/Border 4 2" xfId="919" xr:uid="{00000000-0005-0000-0000-000072000000}"/>
    <cellStyle name="Bold/Border 4 2 2" xfId="1252" xr:uid="{00000000-0005-0000-0000-000073000000}"/>
    <cellStyle name="Bold/Border 4 3" xfId="1113" xr:uid="{00000000-0005-0000-0000-000074000000}"/>
    <cellStyle name="Bold/Border 5" xfId="840" xr:uid="{00000000-0005-0000-0000-000075000000}"/>
    <cellStyle name="Bold/Border 5 2" xfId="1193" xr:uid="{00000000-0005-0000-0000-000076000000}"/>
    <cellStyle name="BoldText" xfId="528" xr:uid="{00000000-0005-0000-0000-000077000000}"/>
    <cellStyle name="BoldText 2" xfId="807" xr:uid="{00000000-0005-0000-0000-000078000000}"/>
    <cellStyle name="Border" xfId="529" xr:uid="{00000000-0005-0000-0000-000079000000}"/>
    <cellStyle name="Border 2" xfId="808" xr:uid="{00000000-0005-0000-0000-00007A000000}"/>
    <cellStyle name="Border 2 2" xfId="977" xr:uid="{00000000-0005-0000-0000-00007B000000}"/>
    <cellStyle name="Border 2 2 2" xfId="1306" xr:uid="{00000000-0005-0000-0000-00007C000000}"/>
    <cellStyle name="Border 2 3" xfId="1047" xr:uid="{00000000-0005-0000-0000-00007D000000}"/>
    <cellStyle name="Border 2 3 2" xfId="1368" xr:uid="{00000000-0005-0000-0000-00007E000000}"/>
    <cellStyle name="Border 3" xfId="665" xr:uid="{00000000-0005-0000-0000-00007F000000}"/>
    <cellStyle name="Border 3 2" xfId="867" xr:uid="{00000000-0005-0000-0000-000080000000}"/>
    <cellStyle name="Border 3 2 2" xfId="1206" xr:uid="{00000000-0005-0000-0000-000081000000}"/>
    <cellStyle name="Border 3 3" xfId="856" xr:uid="{00000000-0005-0000-0000-000082000000}"/>
    <cellStyle name="Border 4" xfId="864" xr:uid="{00000000-0005-0000-0000-000083000000}"/>
    <cellStyle name="Border 4 2" xfId="1203" xr:uid="{00000000-0005-0000-0000-000084000000}"/>
    <cellStyle name="Border Heavy" xfId="530" xr:uid="{00000000-0005-0000-0000-000085000000}"/>
    <cellStyle name="Border Thin" xfId="531" xr:uid="{00000000-0005-0000-0000-000086000000}"/>
    <cellStyle name="Border Thin 2" xfId="810" xr:uid="{00000000-0005-0000-0000-000087000000}"/>
    <cellStyle name="Border Thin 2 2" xfId="979" xr:uid="{00000000-0005-0000-0000-000088000000}"/>
    <cellStyle name="Border Thin 2 2 2" xfId="1308" xr:uid="{00000000-0005-0000-0000-000089000000}"/>
    <cellStyle name="Border Thin 2 3" xfId="1175" xr:uid="{00000000-0005-0000-0000-00008A000000}"/>
    <cellStyle name="Border Thin 3" xfId="809" xr:uid="{00000000-0005-0000-0000-00008B000000}"/>
    <cellStyle name="Border Thin 3 2" xfId="978" xr:uid="{00000000-0005-0000-0000-00008C000000}"/>
    <cellStyle name="Border Thin 3 2 2" xfId="1307" xr:uid="{00000000-0005-0000-0000-00008D000000}"/>
    <cellStyle name="Border Thin 3 3" xfId="1174" xr:uid="{00000000-0005-0000-0000-00008E000000}"/>
    <cellStyle name="Border Thin 4" xfId="736" xr:uid="{00000000-0005-0000-0000-00008F000000}"/>
    <cellStyle name="Border Thin 4 2" xfId="920" xr:uid="{00000000-0005-0000-0000-000090000000}"/>
    <cellStyle name="Border Thin 4 2 2" xfId="1253" xr:uid="{00000000-0005-0000-0000-000091000000}"/>
    <cellStyle name="Border Thin 4 3" xfId="1114" xr:uid="{00000000-0005-0000-0000-000092000000}"/>
    <cellStyle name="Border_Intelius pvt placement Valuation" xfId="532" xr:uid="{00000000-0005-0000-0000-000093000000}"/>
    <cellStyle name="British Pound" xfId="7" xr:uid="{00000000-0005-0000-0000-000094000000}"/>
    <cellStyle name="Bullet" xfId="214" xr:uid="{00000000-0005-0000-0000-000095000000}"/>
    <cellStyle name="Business Description" xfId="77" xr:uid="{00000000-0005-0000-0000-000096000000}"/>
    <cellStyle name="c" xfId="215" xr:uid="{00000000-0005-0000-0000-000097000000}"/>
    <cellStyle name="Calc Currency (0)" xfId="533" xr:uid="{00000000-0005-0000-0000-000098000000}"/>
    <cellStyle name="Calc Currency (2)" xfId="534" xr:uid="{00000000-0005-0000-0000-000099000000}"/>
    <cellStyle name="Calc Percent (0)" xfId="535" xr:uid="{00000000-0005-0000-0000-00009A000000}"/>
    <cellStyle name="Calc Percent (1)" xfId="536" xr:uid="{00000000-0005-0000-0000-00009B000000}"/>
    <cellStyle name="Calc Percent (2)" xfId="537" xr:uid="{00000000-0005-0000-0000-00009C000000}"/>
    <cellStyle name="Calc Units (0)" xfId="538" xr:uid="{00000000-0005-0000-0000-00009D000000}"/>
    <cellStyle name="Calc Units (1)" xfId="539" xr:uid="{00000000-0005-0000-0000-00009E000000}"/>
    <cellStyle name="Calc Units (2)" xfId="540" xr:uid="{00000000-0005-0000-0000-00009F000000}"/>
    <cellStyle name="Calculation 2" xfId="216" xr:uid="{00000000-0005-0000-0000-0000A0000000}"/>
    <cellStyle name="Calculation 2 2" xfId="720" xr:uid="{00000000-0005-0000-0000-0000A1000000}"/>
    <cellStyle name="Calculation 2 2 2" xfId="908" xr:uid="{00000000-0005-0000-0000-0000A2000000}"/>
    <cellStyle name="Calculation 2 2 2 2" xfId="1244" xr:uid="{00000000-0005-0000-0000-0000A3000000}"/>
    <cellStyle name="Calculation 2 2 3" xfId="1012" xr:uid="{00000000-0005-0000-0000-0000A4000000}"/>
    <cellStyle name="Calculation 2 2 3 2" xfId="1336" xr:uid="{00000000-0005-0000-0000-0000A5000000}"/>
    <cellStyle name="Calculation 2 2 4" xfId="1103" xr:uid="{00000000-0005-0000-0000-0000A6000000}"/>
    <cellStyle name="Calculation 2 3" xfId="841" xr:uid="{00000000-0005-0000-0000-0000A7000000}"/>
    <cellStyle name="Calculation 2 3 2" xfId="1001" xr:uid="{00000000-0005-0000-0000-0000A8000000}"/>
    <cellStyle name="Calculation 2 3 2 2" xfId="1327" xr:uid="{00000000-0005-0000-0000-0000A9000000}"/>
    <cellStyle name="Calculation 2 3 3" xfId="1058" xr:uid="{00000000-0005-0000-0000-0000AA000000}"/>
    <cellStyle name="Calculation 2 3 3 2" xfId="1377" xr:uid="{00000000-0005-0000-0000-0000AB000000}"/>
    <cellStyle name="Calculation 2 3 4" xfId="1194" xr:uid="{00000000-0005-0000-0000-0000AC000000}"/>
    <cellStyle name="Calculation 2 4" xfId="712" xr:uid="{00000000-0005-0000-0000-0000AD000000}"/>
    <cellStyle name="Calculation 2 4 2" xfId="900" xr:uid="{00000000-0005-0000-0000-0000AE000000}"/>
    <cellStyle name="Calculation 2 4 2 2" xfId="1236" xr:uid="{00000000-0005-0000-0000-0000AF000000}"/>
    <cellStyle name="Calculation 2 4 3" xfId="1009" xr:uid="{00000000-0005-0000-0000-0000B0000000}"/>
    <cellStyle name="Calculation 2 4 3 2" xfId="1333" xr:uid="{00000000-0005-0000-0000-0000B1000000}"/>
    <cellStyle name="Calculation 2 4 4" xfId="1095" xr:uid="{00000000-0005-0000-0000-0000B2000000}"/>
    <cellStyle name="Cash Flow Statement" xfId="217" xr:uid="{00000000-0005-0000-0000-0000B3000000}"/>
    <cellStyle name="CashFlow" xfId="218" xr:uid="{00000000-0005-0000-0000-0000B4000000}"/>
    <cellStyle name="cell" xfId="8" xr:uid="{00000000-0005-0000-0000-0000B5000000}"/>
    <cellStyle name="ch" xfId="9" xr:uid="{00000000-0005-0000-0000-0000B6000000}"/>
    <cellStyle name="Changeable" xfId="78" xr:uid="{00000000-0005-0000-0000-0000B7000000}"/>
    <cellStyle name="Check Cell 2" xfId="219" xr:uid="{00000000-0005-0000-0000-0000B8000000}"/>
    <cellStyle name="Co. Names" xfId="79" xr:uid="{00000000-0005-0000-0000-0000B9000000}"/>
    <cellStyle name="Colhead_left" xfId="220" xr:uid="{00000000-0005-0000-0000-0000BA000000}"/>
    <cellStyle name="ColHeading" xfId="221" xr:uid="{00000000-0005-0000-0000-0000BB000000}"/>
    <cellStyle name="Column Header" xfId="222" xr:uid="{00000000-0005-0000-0000-0000BC000000}"/>
    <cellStyle name="Comma" xfId="10" builtinId="3"/>
    <cellStyle name="Comma  - Style1" xfId="223" xr:uid="{00000000-0005-0000-0000-0000BE000000}"/>
    <cellStyle name="Comma  - Style2" xfId="224" xr:uid="{00000000-0005-0000-0000-0000BF000000}"/>
    <cellStyle name="Comma  - Style3" xfId="225" xr:uid="{00000000-0005-0000-0000-0000C0000000}"/>
    <cellStyle name="Comma  - Style4" xfId="226" xr:uid="{00000000-0005-0000-0000-0000C1000000}"/>
    <cellStyle name="Comma  - Style5" xfId="227" xr:uid="{00000000-0005-0000-0000-0000C2000000}"/>
    <cellStyle name="Comma  - Style6" xfId="228" xr:uid="{00000000-0005-0000-0000-0000C3000000}"/>
    <cellStyle name="Comma  - Style7" xfId="229" xr:uid="{00000000-0005-0000-0000-0000C4000000}"/>
    <cellStyle name="Comma  - Style8" xfId="230" xr:uid="{00000000-0005-0000-0000-0000C5000000}"/>
    <cellStyle name="comma (1)" xfId="80" xr:uid="{00000000-0005-0000-0000-0000C6000000}"/>
    <cellStyle name="Comma [00]" xfId="541" xr:uid="{00000000-0005-0000-0000-0000C7000000}"/>
    <cellStyle name="Comma [1]" xfId="11" xr:uid="{00000000-0005-0000-0000-0000C8000000}"/>
    <cellStyle name="Comma 0" xfId="81" xr:uid="{00000000-0005-0000-0000-0000C9000000}"/>
    <cellStyle name="Comma 0 2" xfId="231" xr:uid="{00000000-0005-0000-0000-0000CA000000}"/>
    <cellStyle name="Comma 0*" xfId="232" xr:uid="{00000000-0005-0000-0000-0000CB000000}"/>
    <cellStyle name="Comma 0_ACCC" xfId="233" xr:uid="{00000000-0005-0000-0000-0000CC000000}"/>
    <cellStyle name="Comma 2" xfId="70" xr:uid="{00000000-0005-0000-0000-0000CD000000}"/>
    <cellStyle name="Comma 2 2" xfId="234" xr:uid="{00000000-0005-0000-0000-0000CE000000}"/>
    <cellStyle name="Comma 2 3" xfId="1384" xr:uid="{00000000-0005-0000-0000-0000CF000000}"/>
    <cellStyle name="Comma 2 4" xfId="1396" xr:uid="{00000000-0005-0000-0000-0000D0000000}"/>
    <cellStyle name="Comma 2 5" xfId="1404" xr:uid="{1125622B-BBDD-4CA7-9C82-7CF83E0EC4AC}"/>
    <cellStyle name="Comma 3" xfId="517" xr:uid="{00000000-0005-0000-0000-0000D1000000}"/>
    <cellStyle name="Comma 3 2" xfId="803" xr:uid="{00000000-0005-0000-0000-0000D2000000}"/>
    <cellStyle name="Comma 4" xfId="542" xr:uid="{00000000-0005-0000-0000-0000D3000000}"/>
    <cellStyle name="Comma 5" xfId="1387" xr:uid="{00000000-0005-0000-0000-0000D4000000}"/>
    <cellStyle name="Comma Input" xfId="235" xr:uid="{00000000-0005-0000-0000-0000D5000000}"/>
    <cellStyle name="Comma[1]" xfId="12" xr:uid="{00000000-0005-0000-0000-0000D6000000}"/>
    <cellStyle name="Comma0" xfId="13" xr:uid="{00000000-0005-0000-0000-0000D7000000}"/>
    <cellStyle name="Company" xfId="236" xr:uid="{00000000-0005-0000-0000-0000D8000000}"/>
    <cellStyle name="CompanyName" xfId="237" xr:uid="{00000000-0005-0000-0000-0000D9000000}"/>
    <cellStyle name="Copied" xfId="543" xr:uid="{00000000-0005-0000-0000-0000DA000000}"/>
    <cellStyle name="Cover Date" xfId="82" xr:uid="{00000000-0005-0000-0000-0000DB000000}"/>
    <cellStyle name="Cover Date 2" xfId="238" xr:uid="{00000000-0005-0000-0000-0000DC000000}"/>
    <cellStyle name="Cover Subtitle" xfId="83" xr:uid="{00000000-0005-0000-0000-0000DD000000}"/>
    <cellStyle name="Cover Title" xfId="84" xr:uid="{00000000-0005-0000-0000-0000DE000000}"/>
    <cellStyle name="Cover Title 2" xfId="239" xr:uid="{00000000-0005-0000-0000-0000DF000000}"/>
    <cellStyle name="CurRatio" xfId="240" xr:uid="{00000000-0005-0000-0000-0000E0000000}"/>
    <cellStyle name="Currency" xfId="14" builtinId="4"/>
    <cellStyle name="Currency (1)" xfId="85" xr:uid="{00000000-0005-0000-0000-0000E2000000}"/>
    <cellStyle name="Currency (1) 2" xfId="241" xr:uid="{00000000-0005-0000-0000-0000E3000000}"/>
    <cellStyle name="Currency [00]" xfId="544" xr:uid="{00000000-0005-0000-0000-0000E4000000}"/>
    <cellStyle name="Currency [1]" xfId="86" xr:uid="{00000000-0005-0000-0000-0000E5000000}"/>
    <cellStyle name="Currency [2]" xfId="15" xr:uid="{00000000-0005-0000-0000-0000E6000000}"/>
    <cellStyle name="Currency [2] 2" xfId="242" xr:uid="{00000000-0005-0000-0000-0000E7000000}"/>
    <cellStyle name="Currency 0" xfId="87" xr:uid="{00000000-0005-0000-0000-0000E8000000}"/>
    <cellStyle name="Currency 0 2" xfId="243" xr:uid="{00000000-0005-0000-0000-0000E9000000}"/>
    <cellStyle name="Currency 0.0" xfId="244" xr:uid="{00000000-0005-0000-0000-0000EA000000}"/>
    <cellStyle name="Currency 0.0 2" xfId="730" xr:uid="{00000000-0005-0000-0000-0000EB000000}"/>
    <cellStyle name="Currency 0.0 2 2" xfId="915" xr:uid="{00000000-0005-0000-0000-0000EC000000}"/>
    <cellStyle name="Currency 0.0 3" xfId="760" xr:uid="{00000000-0005-0000-0000-0000ED000000}"/>
    <cellStyle name="Currency 0.0 3 2" xfId="1029" xr:uid="{00000000-0005-0000-0000-0000EE000000}"/>
    <cellStyle name="Currency 0.0 4" xfId="777" xr:uid="{00000000-0005-0000-0000-0000EF000000}"/>
    <cellStyle name="Currency 0.0 4 2" xfId="954" xr:uid="{00000000-0005-0000-0000-0000F0000000}"/>
    <cellStyle name="Currency 0_DISH_JF" xfId="245" xr:uid="{00000000-0005-0000-0000-0000F1000000}"/>
    <cellStyle name="Currency 2" xfId="88" xr:uid="{00000000-0005-0000-0000-0000F2000000}"/>
    <cellStyle name="Currency 2 2" xfId="246" xr:uid="{00000000-0005-0000-0000-0000F3000000}"/>
    <cellStyle name="Currency 3" xfId="545" xr:uid="{00000000-0005-0000-0000-0000F4000000}"/>
    <cellStyle name="Currency Input" xfId="247" xr:uid="{00000000-0005-0000-0000-0000F5000000}"/>
    <cellStyle name="Currency Per Share" xfId="546" xr:uid="{00000000-0005-0000-0000-0000F6000000}"/>
    <cellStyle name="Currency(1)" xfId="248" xr:uid="{00000000-0005-0000-0000-0000F7000000}"/>
    <cellStyle name="Currency*" xfId="89" xr:uid="{00000000-0005-0000-0000-0000F8000000}"/>
    <cellStyle name="Currency[0]" xfId="16" xr:uid="{00000000-0005-0000-0000-0000F9000000}"/>
    <cellStyle name="Currency[1]" xfId="17" xr:uid="{00000000-0005-0000-0000-0000FA000000}"/>
    <cellStyle name="Currency[2]" xfId="18" xr:uid="{00000000-0005-0000-0000-0000FB000000}"/>
    <cellStyle name="Currency_Aol4Q00" xfId="19" xr:uid="{00000000-0005-0000-0000-0000FC000000}"/>
    <cellStyle name="Currency_YHOO1Q01" xfId="20" xr:uid="{00000000-0005-0000-0000-0000FD000000}"/>
    <cellStyle name="Currency0" xfId="21" xr:uid="{00000000-0005-0000-0000-0000FE000000}"/>
    <cellStyle name="CURRENCY1" xfId="249" xr:uid="{00000000-0005-0000-0000-0000FF000000}"/>
    <cellStyle name="Currency2" xfId="250" xr:uid="{00000000-0005-0000-0000-000000010000}"/>
    <cellStyle name="Currsmall" xfId="547" xr:uid="{00000000-0005-0000-0000-000001010000}"/>
    <cellStyle name="CUS.Work.Area" xfId="251" xr:uid="{00000000-0005-0000-0000-000002010000}"/>
    <cellStyle name="Dash" xfId="252" xr:uid="{00000000-0005-0000-0000-000003010000}"/>
    <cellStyle name="Date" xfId="22" xr:uid="{00000000-0005-0000-0000-000004010000}"/>
    <cellStyle name="Date [M/D/Y]" xfId="90" xr:uid="{00000000-0005-0000-0000-000005010000}"/>
    <cellStyle name="Date [mmm-yy]" xfId="23" xr:uid="{00000000-0005-0000-0000-000006010000}"/>
    <cellStyle name="Date 2" xfId="253" xr:uid="{00000000-0005-0000-0000-000007010000}"/>
    <cellStyle name="Date Aligned" xfId="91" xr:uid="{00000000-0005-0000-0000-000008010000}"/>
    <cellStyle name="Date Aligned 2" xfId="254" xr:uid="{00000000-0005-0000-0000-000009010000}"/>
    <cellStyle name="Date Day" xfId="255" xr:uid="{00000000-0005-0000-0000-00000A010000}"/>
    <cellStyle name="Date Short" xfId="548" xr:uid="{00000000-0005-0000-0000-00000B010000}"/>
    <cellStyle name="Date Year" xfId="256" xr:uid="{00000000-0005-0000-0000-00000C010000}"/>
    <cellStyle name="Date_CABLE SATELLITE ENTERTAINMENT COMPS" xfId="549" xr:uid="{00000000-0005-0000-0000-00000D010000}"/>
    <cellStyle name="Dates" xfId="257" xr:uid="{00000000-0005-0000-0000-00000E010000}"/>
    <cellStyle name="DateYear" xfId="258" xr:uid="{00000000-0005-0000-0000-00000F010000}"/>
    <cellStyle name="Days.0" xfId="259" xr:uid="{00000000-0005-0000-0000-000010010000}"/>
    <cellStyle name="Decimal1" xfId="260" xr:uid="{00000000-0005-0000-0000-000011010000}"/>
    <cellStyle name="Decimal2" xfId="261" xr:uid="{00000000-0005-0000-0000-000012010000}"/>
    <cellStyle name="Dezimal [0]_Compiling Utility Macros" xfId="550" xr:uid="{00000000-0005-0000-0000-000013010000}"/>
    <cellStyle name="Dezimal_Compiling Utility Macros" xfId="551" xr:uid="{00000000-0005-0000-0000-000014010000}"/>
    <cellStyle name="Diseño" xfId="641" xr:uid="{00000000-0005-0000-0000-000015010000}"/>
    <cellStyle name="Dollar" xfId="262" xr:uid="{00000000-0005-0000-0000-000016010000}"/>
    <cellStyle name="Dollar (Canadian)" xfId="263" xr:uid="{00000000-0005-0000-0000-000017010000}"/>
    <cellStyle name="Dollar Whole" xfId="264" xr:uid="{00000000-0005-0000-0000-000018010000}"/>
    <cellStyle name="Dollar_Model Introduction (2)" xfId="265" xr:uid="{00000000-0005-0000-0000-000019010000}"/>
    <cellStyle name="Dollars" xfId="92" xr:uid="{00000000-0005-0000-0000-00001A010000}"/>
    <cellStyle name="DollarWhole" xfId="266" xr:uid="{00000000-0005-0000-0000-00001B010000}"/>
    <cellStyle name="Dotted Line" xfId="93" xr:uid="{00000000-0005-0000-0000-00001C010000}"/>
    <cellStyle name="Dotted Line 2" xfId="267" xr:uid="{00000000-0005-0000-0000-00001D010000}"/>
    <cellStyle name="Double Accounting" xfId="24" xr:uid="{00000000-0005-0000-0000-00001E010000}"/>
    <cellStyle name="E&amp;Y House" xfId="552" xr:uid="{00000000-0005-0000-0000-00001F010000}"/>
    <cellStyle name="Emphasis 1" xfId="268" xr:uid="{00000000-0005-0000-0000-000020010000}"/>
    <cellStyle name="Emphasis 2" xfId="269" xr:uid="{00000000-0005-0000-0000-000021010000}"/>
    <cellStyle name="Emphasis 3" xfId="270" xr:uid="{00000000-0005-0000-0000-000022010000}"/>
    <cellStyle name="Enter Currency (0)" xfId="553" xr:uid="{00000000-0005-0000-0000-000023010000}"/>
    <cellStyle name="Enter Currency (2)" xfId="554" xr:uid="{00000000-0005-0000-0000-000024010000}"/>
    <cellStyle name="Enter Units (0)" xfId="555" xr:uid="{00000000-0005-0000-0000-000025010000}"/>
    <cellStyle name="Enter Units (1)" xfId="556" xr:uid="{00000000-0005-0000-0000-000026010000}"/>
    <cellStyle name="Enter Units (2)" xfId="557" xr:uid="{00000000-0005-0000-0000-000027010000}"/>
    <cellStyle name="Entered" xfId="558" xr:uid="{00000000-0005-0000-0000-000028010000}"/>
    <cellStyle name="Euro" xfId="271" xr:uid="{00000000-0005-0000-0000-000029010000}"/>
    <cellStyle name="Explanatory Text 2" xfId="272" xr:uid="{00000000-0005-0000-0000-00002A010000}"/>
    <cellStyle name="EY House" xfId="559" xr:uid="{00000000-0005-0000-0000-00002B010000}"/>
    <cellStyle name="Fail" xfId="273" xr:uid="{00000000-0005-0000-0000-00002C010000}"/>
    <cellStyle name="FiscalPeriod" xfId="274" xr:uid="{00000000-0005-0000-0000-00002D010000}"/>
    <cellStyle name="Fixed" xfId="25" xr:uid="{00000000-0005-0000-0000-00002E010000}"/>
    <cellStyle name="Fixlong" xfId="560" xr:uid="{00000000-0005-0000-0000-00002F010000}"/>
    <cellStyle name="Footer SBILogo1" xfId="94" xr:uid="{00000000-0005-0000-0000-000030010000}"/>
    <cellStyle name="Footer SBILogo1 2" xfId="275" xr:uid="{00000000-0005-0000-0000-000031010000}"/>
    <cellStyle name="Footer SBILogo2" xfId="95" xr:uid="{00000000-0005-0000-0000-000032010000}"/>
    <cellStyle name="Footer SBILogo2 2" xfId="276" xr:uid="{00000000-0005-0000-0000-000033010000}"/>
    <cellStyle name="Footnote" xfId="96" xr:uid="{00000000-0005-0000-0000-000034010000}"/>
    <cellStyle name="Footnote 2" xfId="277" xr:uid="{00000000-0005-0000-0000-000035010000}"/>
    <cellStyle name="Footnote Reference" xfId="97" xr:uid="{00000000-0005-0000-0000-000036010000}"/>
    <cellStyle name="Footnote Reference 2" xfId="278" xr:uid="{00000000-0005-0000-0000-000037010000}"/>
    <cellStyle name="Footnote_ACCC" xfId="279" xr:uid="{00000000-0005-0000-0000-000038010000}"/>
    <cellStyle name="Footnotes" xfId="98" xr:uid="{00000000-0005-0000-0000-000039010000}"/>
    <cellStyle name="Format Number Column" xfId="561" xr:uid="{00000000-0005-0000-0000-00003A010000}"/>
    <cellStyle name="Formula" xfId="562" xr:uid="{00000000-0005-0000-0000-00003B010000}"/>
    <cellStyle name="fourdecplace" xfId="563" xr:uid="{00000000-0005-0000-0000-00003C010000}"/>
    <cellStyle name="general" xfId="26" xr:uid="{00000000-0005-0000-0000-00003D010000}"/>
    <cellStyle name="general 10" xfId="1061" xr:uid="{00000000-0005-0000-0000-00003E010000}"/>
    <cellStyle name="General 2" xfId="280" xr:uid="{00000000-0005-0000-0000-00003F010000}"/>
    <cellStyle name="general 3" xfId="670" xr:uid="{00000000-0005-0000-0000-000040010000}"/>
    <cellStyle name="general 3 2" xfId="872" xr:uid="{00000000-0005-0000-0000-000041010000}"/>
    <cellStyle name="general 3 2 2" xfId="1211" xr:uid="{00000000-0005-0000-0000-000042010000}"/>
    <cellStyle name="general 3 3" xfId="1068" xr:uid="{00000000-0005-0000-0000-000043010000}"/>
    <cellStyle name="general 4" xfId="708" xr:uid="{00000000-0005-0000-0000-000044010000}"/>
    <cellStyle name="general 4 2" xfId="898" xr:uid="{00000000-0005-0000-0000-000045010000}"/>
    <cellStyle name="general 4 2 2" xfId="1234" xr:uid="{00000000-0005-0000-0000-000046010000}"/>
    <cellStyle name="general 4 3" xfId="1093" xr:uid="{00000000-0005-0000-0000-000047010000}"/>
    <cellStyle name="general 5" xfId="770" xr:uid="{00000000-0005-0000-0000-000048010000}"/>
    <cellStyle name="general 5 2" xfId="949" xr:uid="{00000000-0005-0000-0000-000049010000}"/>
    <cellStyle name="general 5 2 2" xfId="1281" xr:uid="{00000000-0005-0000-0000-00004A010000}"/>
    <cellStyle name="general 5 3" xfId="1145" xr:uid="{00000000-0005-0000-0000-00004B010000}"/>
    <cellStyle name="general 6" xfId="731" xr:uid="{00000000-0005-0000-0000-00004C010000}"/>
    <cellStyle name="general 6 2" xfId="916" xr:uid="{00000000-0005-0000-0000-00004D010000}"/>
    <cellStyle name="general 6 2 2" xfId="1251" xr:uid="{00000000-0005-0000-0000-00004E010000}"/>
    <cellStyle name="general 6 3" xfId="1112" xr:uid="{00000000-0005-0000-0000-00004F010000}"/>
    <cellStyle name="general 7" xfId="716" xr:uid="{00000000-0005-0000-0000-000050010000}"/>
    <cellStyle name="general 7 2" xfId="904" xr:uid="{00000000-0005-0000-0000-000051010000}"/>
    <cellStyle name="general 7 2 2" xfId="1240" xr:uid="{00000000-0005-0000-0000-000052010000}"/>
    <cellStyle name="general 7 3" xfId="1099" xr:uid="{00000000-0005-0000-0000-000053010000}"/>
    <cellStyle name="general 8" xfId="846" xr:uid="{00000000-0005-0000-0000-000054010000}"/>
    <cellStyle name="general 9" xfId="862" xr:uid="{00000000-0005-0000-0000-000055010000}"/>
    <cellStyle name="general 9 2" xfId="1201" xr:uid="{00000000-0005-0000-0000-000056010000}"/>
    <cellStyle name="gen'l" xfId="281" xr:uid="{00000000-0005-0000-0000-000057010000}"/>
    <cellStyle name="Global" xfId="564" xr:uid="{00000000-0005-0000-0000-000058010000}"/>
    <cellStyle name="Good 2" xfId="282" xr:uid="{00000000-0005-0000-0000-000059010000}"/>
    <cellStyle name="GPSBlankCell" xfId="648" xr:uid="{00000000-0005-0000-0000-00005A010000}"/>
    <cellStyle name="GPSCalculatedCell" xfId="652" xr:uid="{00000000-0005-0000-0000-00005B010000}"/>
    <cellStyle name="GPSCoverPageAnalyst" xfId="656" xr:uid="{00000000-0005-0000-0000-00005C010000}"/>
    <cellStyle name="GPSCoverPageCompanyName" xfId="658" xr:uid="{00000000-0005-0000-0000-00005D010000}"/>
    <cellStyle name="GPSCoverPageCompanySubTitle" xfId="659" xr:uid="{00000000-0005-0000-0000-00005E010000}"/>
    <cellStyle name="GPSCoverPageDate" xfId="655" xr:uid="{00000000-0005-0000-0000-00005F010000}"/>
    <cellStyle name="GPSCoverPageDisclaimer" xfId="657" xr:uid="{00000000-0005-0000-0000-000060010000}"/>
    <cellStyle name="GPSCoverPageDisclaimer 2" xfId="834" xr:uid="{00000000-0005-0000-0000-000061010000}"/>
    <cellStyle name="GPSCoverPageDisclosure" xfId="1405" xr:uid="{5E72786D-92A6-4687-8593-B2B54B126F65}"/>
    <cellStyle name="GPSCoverPageEntity" xfId="654" xr:uid="{00000000-0005-0000-0000-000062010000}"/>
    <cellStyle name="GPSCoverPageUnderline" xfId="660" xr:uid="{00000000-0005-0000-0000-000063010000}"/>
    <cellStyle name="GPSDataItemTitle" xfId="651" xr:uid="{00000000-0005-0000-0000-000064010000}"/>
    <cellStyle name="GPSDivisionTitle" xfId="644" xr:uid="{00000000-0005-0000-0000-000065010000}"/>
    <cellStyle name="GPSFYTitle" xfId="650" xr:uid="{00000000-0005-0000-0000-000066010000}"/>
    <cellStyle name="GPSFYTitle 2" xfId="1401" xr:uid="{00000000-0005-0000-0000-000067010000}"/>
    <cellStyle name="GPSHeaderSubTitle" xfId="646" xr:uid="{00000000-0005-0000-0000-000068010000}"/>
    <cellStyle name="GPSHeaderSubTitle 2" xfId="1402" xr:uid="{00000000-0005-0000-0000-000069010000}"/>
    <cellStyle name="GPSHeaderTitle" xfId="643" xr:uid="{00000000-0005-0000-0000-00006A010000}"/>
    <cellStyle name="GPSHeaderTitle 2" xfId="1398" xr:uid="{00000000-0005-0000-0000-00006B010000}"/>
    <cellStyle name="GPSHidden" xfId="645" xr:uid="{00000000-0005-0000-0000-00006C010000}"/>
    <cellStyle name="GPSInterimTitle" xfId="649" xr:uid="{00000000-0005-0000-0000-00006D010000}"/>
    <cellStyle name="GPSInterimTitle 2" xfId="1400" xr:uid="{00000000-0005-0000-0000-00006E010000}"/>
    <cellStyle name="GPSPrice" xfId="653" xr:uid="{00000000-0005-0000-0000-00006F010000}"/>
    <cellStyle name="GPSSectionHeader" xfId="647" xr:uid="{00000000-0005-0000-0000-000070010000}"/>
    <cellStyle name="Grey" xfId="27" xr:uid="{00000000-0005-0000-0000-000071010000}"/>
    <cellStyle name="Grey 2" xfId="671" xr:uid="{00000000-0005-0000-0000-000072010000}"/>
    <cellStyle name="Growth" xfId="283" xr:uid="{00000000-0005-0000-0000-000073010000}"/>
    <cellStyle name="GrowthRate" xfId="284" xr:uid="{00000000-0005-0000-0000-000074010000}"/>
    <cellStyle name="GWN Table Body" xfId="285" xr:uid="{00000000-0005-0000-0000-000075010000}"/>
    <cellStyle name="GWN Table Header" xfId="286" xr:uid="{00000000-0005-0000-0000-000076010000}"/>
    <cellStyle name="GWN Table Left Header" xfId="287" xr:uid="{00000000-0005-0000-0000-000077010000}"/>
    <cellStyle name="GWN Table Note" xfId="288" xr:uid="{00000000-0005-0000-0000-000078010000}"/>
    <cellStyle name="GWN Table Title" xfId="289" xr:uid="{00000000-0005-0000-0000-000079010000}"/>
    <cellStyle name="hard no" xfId="290" xr:uid="{00000000-0005-0000-0000-00007A010000}"/>
    <cellStyle name="Hard Percent" xfId="99" xr:uid="{00000000-0005-0000-0000-00007B010000}"/>
    <cellStyle name="Hard Percent 2" xfId="291" xr:uid="{00000000-0005-0000-0000-00007C010000}"/>
    <cellStyle name="hardno" xfId="292" xr:uid="{00000000-0005-0000-0000-00007D010000}"/>
    <cellStyle name="Header" xfId="100" xr:uid="{00000000-0005-0000-0000-00007E010000}"/>
    <cellStyle name="Header Draft Stamp" xfId="101" xr:uid="{00000000-0005-0000-0000-00007F010000}"/>
    <cellStyle name="Header_ACCC" xfId="293" xr:uid="{00000000-0005-0000-0000-000080010000}"/>
    <cellStyle name="Header1" xfId="28" xr:uid="{00000000-0005-0000-0000-000081010000}"/>
    <cellStyle name="Header1 2" xfId="672" xr:uid="{00000000-0005-0000-0000-000082010000}"/>
    <cellStyle name="Header2" xfId="29" xr:uid="{00000000-0005-0000-0000-000083010000}"/>
    <cellStyle name="Header2 2" xfId="673" xr:uid="{00000000-0005-0000-0000-000084010000}"/>
    <cellStyle name="Header2 2 2" xfId="873" xr:uid="{00000000-0005-0000-0000-000085010000}"/>
    <cellStyle name="Header2 3" xfId="682" xr:uid="{00000000-0005-0000-0000-000086010000}"/>
    <cellStyle name="headers" xfId="102" xr:uid="{00000000-0005-0000-0000-000087010000}"/>
    <cellStyle name="heading" xfId="103" xr:uid="{00000000-0005-0000-0000-000088010000}"/>
    <cellStyle name="Heading 1" xfId="30" builtinId="16" customBuiltin="1"/>
    <cellStyle name="Heading 1 2" xfId="295" xr:uid="{00000000-0005-0000-0000-00008A010000}"/>
    <cellStyle name="Heading 1 Above" xfId="104" xr:uid="{00000000-0005-0000-0000-00008B010000}"/>
    <cellStyle name="Heading 1+" xfId="105" xr:uid="{00000000-0005-0000-0000-00008C010000}"/>
    <cellStyle name="Heading 1+ 2" xfId="296" xr:uid="{00000000-0005-0000-0000-00008D010000}"/>
    <cellStyle name="Heading 1+ 2 2" xfId="741" xr:uid="{00000000-0005-0000-0000-00008E010000}"/>
    <cellStyle name="Heading 1+ 2 2 2" xfId="925" xr:uid="{00000000-0005-0000-0000-00008F010000}"/>
    <cellStyle name="Heading 1+ 2 2 2 2" xfId="1258" xr:uid="{00000000-0005-0000-0000-000090010000}"/>
    <cellStyle name="Heading 1+ 2 2 3" xfId="1119" xr:uid="{00000000-0005-0000-0000-000091010000}"/>
    <cellStyle name="Heading 1+ 2 3" xfId="698" xr:uid="{00000000-0005-0000-0000-000092010000}"/>
    <cellStyle name="Heading 1+ 2 3 2" xfId="888" xr:uid="{00000000-0005-0000-0000-000093010000}"/>
    <cellStyle name="Heading 1+ 2 3 2 2" xfId="1224" xr:uid="{00000000-0005-0000-0000-000094010000}"/>
    <cellStyle name="Heading 1+ 2 3 3" xfId="1083" xr:uid="{00000000-0005-0000-0000-000095010000}"/>
    <cellStyle name="Heading 1+ 2 4" xfId="713" xr:uid="{00000000-0005-0000-0000-000096010000}"/>
    <cellStyle name="Heading 1+ 2 4 2" xfId="901" xr:uid="{00000000-0005-0000-0000-000097010000}"/>
    <cellStyle name="Heading 1+ 2 4 2 2" xfId="1237" xr:uid="{00000000-0005-0000-0000-000098010000}"/>
    <cellStyle name="Heading 1+ 2 4 3" xfId="1096" xr:uid="{00000000-0005-0000-0000-000099010000}"/>
    <cellStyle name="Heading 1+ 2 5" xfId="828" xr:uid="{00000000-0005-0000-0000-00009A010000}"/>
    <cellStyle name="Heading 1+ 2 5 2" xfId="992" xr:uid="{00000000-0005-0000-0000-00009B010000}"/>
    <cellStyle name="Heading 1+ 2 5 2 2" xfId="1319" xr:uid="{00000000-0005-0000-0000-00009C010000}"/>
    <cellStyle name="Heading 1+ 2 5 3" xfId="1187" xr:uid="{00000000-0005-0000-0000-00009D010000}"/>
    <cellStyle name="Heading 1+ 2 6" xfId="806" xr:uid="{00000000-0005-0000-0000-00009E010000}"/>
    <cellStyle name="Heading 1+ 2 6 2" xfId="976" xr:uid="{00000000-0005-0000-0000-00009F010000}"/>
    <cellStyle name="Heading 1+ 2 6 2 2" xfId="1305" xr:uid="{00000000-0005-0000-0000-0000A0010000}"/>
    <cellStyle name="Heading 1+ 2 6 3" xfId="1173" xr:uid="{00000000-0005-0000-0000-0000A1010000}"/>
    <cellStyle name="Heading 1+ 2 7" xfId="857" xr:uid="{00000000-0005-0000-0000-0000A2010000}"/>
    <cellStyle name="Heading 1+ 3" xfId="692" xr:uid="{00000000-0005-0000-0000-0000A3010000}"/>
    <cellStyle name="Heading 1+ 3 2" xfId="882" xr:uid="{00000000-0005-0000-0000-0000A4010000}"/>
    <cellStyle name="Heading 1+ 3 2 2" xfId="1220" xr:uid="{00000000-0005-0000-0000-0000A5010000}"/>
    <cellStyle name="Heading 1+ 3 3" xfId="1079" xr:uid="{00000000-0005-0000-0000-0000A6010000}"/>
    <cellStyle name="Heading 1+ 4" xfId="824" xr:uid="{00000000-0005-0000-0000-0000A7010000}"/>
    <cellStyle name="Heading 1+ 4 2" xfId="989" xr:uid="{00000000-0005-0000-0000-0000A8010000}"/>
    <cellStyle name="Heading 1+ 4 2 2" xfId="1316" xr:uid="{00000000-0005-0000-0000-0000A9010000}"/>
    <cellStyle name="Heading 1+ 4 3" xfId="1185" xr:uid="{00000000-0005-0000-0000-0000AA010000}"/>
    <cellStyle name="Heading 1+ 5" xfId="790" xr:uid="{00000000-0005-0000-0000-0000AB010000}"/>
    <cellStyle name="Heading 1+ 5 2" xfId="965" xr:uid="{00000000-0005-0000-0000-0000AC010000}"/>
    <cellStyle name="Heading 1+ 5 2 2" xfId="1295" xr:uid="{00000000-0005-0000-0000-0000AD010000}"/>
    <cellStyle name="Heading 1+ 5 3" xfId="1162" xr:uid="{00000000-0005-0000-0000-0000AE010000}"/>
    <cellStyle name="Heading 1+ 6" xfId="667" xr:uid="{00000000-0005-0000-0000-0000AF010000}"/>
    <cellStyle name="Heading 1+ 6 2" xfId="869" xr:uid="{00000000-0005-0000-0000-0000B0010000}"/>
    <cellStyle name="Heading 1+ 6 2 2" xfId="1208" xr:uid="{00000000-0005-0000-0000-0000B1010000}"/>
    <cellStyle name="Heading 1+ 6 3" xfId="1065" xr:uid="{00000000-0005-0000-0000-0000B2010000}"/>
    <cellStyle name="Heading 1+ 7" xfId="792" xr:uid="{00000000-0005-0000-0000-0000B3010000}"/>
    <cellStyle name="Heading 1+ 7 2" xfId="967" xr:uid="{00000000-0005-0000-0000-0000B4010000}"/>
    <cellStyle name="Heading 1+ 7 2 2" xfId="1297" xr:uid="{00000000-0005-0000-0000-0000B5010000}"/>
    <cellStyle name="Heading 1+ 7 3" xfId="1164" xr:uid="{00000000-0005-0000-0000-0000B6010000}"/>
    <cellStyle name="Heading 1+ 8" xfId="850" xr:uid="{00000000-0005-0000-0000-0000B7010000}"/>
    <cellStyle name="Heading 2" xfId="31" builtinId="17" customBuiltin="1"/>
    <cellStyle name="Heading 2 2" xfId="297" xr:uid="{00000000-0005-0000-0000-0000B9010000}"/>
    <cellStyle name="Heading 2 Below" xfId="106" xr:uid="{00000000-0005-0000-0000-0000BA010000}"/>
    <cellStyle name="Heading 2+" xfId="107" xr:uid="{00000000-0005-0000-0000-0000BB010000}"/>
    <cellStyle name="Heading 2+ 2" xfId="298" xr:uid="{00000000-0005-0000-0000-0000BC010000}"/>
    <cellStyle name="Heading 2+ 2 2" xfId="743" xr:uid="{00000000-0005-0000-0000-0000BD010000}"/>
    <cellStyle name="Heading 2+ 2 2 2" xfId="927" xr:uid="{00000000-0005-0000-0000-0000BE010000}"/>
    <cellStyle name="Heading 2+ 2 2 2 2" xfId="1260" xr:uid="{00000000-0005-0000-0000-0000BF010000}"/>
    <cellStyle name="Heading 2+ 2 2 3" xfId="1121" xr:uid="{00000000-0005-0000-0000-0000C0010000}"/>
    <cellStyle name="Heading 2+ 2 3" xfId="697" xr:uid="{00000000-0005-0000-0000-0000C1010000}"/>
    <cellStyle name="Heading 2+ 2 3 2" xfId="887" xr:uid="{00000000-0005-0000-0000-0000C2010000}"/>
    <cellStyle name="Heading 2+ 2 3 2 2" xfId="1223" xr:uid="{00000000-0005-0000-0000-0000C3010000}"/>
    <cellStyle name="Heading 2+ 2 3 3" xfId="1082" xr:uid="{00000000-0005-0000-0000-0000C4010000}"/>
    <cellStyle name="Heading 2+ 2 4" xfId="721" xr:uid="{00000000-0005-0000-0000-0000C5010000}"/>
    <cellStyle name="Heading 2+ 2 4 2" xfId="909" xr:uid="{00000000-0005-0000-0000-0000C6010000}"/>
    <cellStyle name="Heading 2+ 2 4 2 2" xfId="1245" xr:uid="{00000000-0005-0000-0000-0000C7010000}"/>
    <cellStyle name="Heading 2+ 2 4 3" xfId="1104" xr:uid="{00000000-0005-0000-0000-0000C8010000}"/>
    <cellStyle name="Heading 2+ 2 5" xfId="844" xr:uid="{00000000-0005-0000-0000-0000C9010000}"/>
    <cellStyle name="Heading 2+ 2 5 2" xfId="1003" xr:uid="{00000000-0005-0000-0000-0000CA010000}"/>
    <cellStyle name="Heading 2+ 2 5 2 2" xfId="1329" xr:uid="{00000000-0005-0000-0000-0000CB010000}"/>
    <cellStyle name="Heading 2+ 2 5 3" xfId="1196" xr:uid="{00000000-0005-0000-0000-0000CC010000}"/>
    <cellStyle name="Heading 2+ 2 6" xfId="822" xr:uid="{00000000-0005-0000-0000-0000CD010000}"/>
    <cellStyle name="Heading 2+ 2 6 2" xfId="988" xr:uid="{00000000-0005-0000-0000-0000CE010000}"/>
    <cellStyle name="Heading 2+ 2 6 2 2" xfId="1315" xr:uid="{00000000-0005-0000-0000-0000CF010000}"/>
    <cellStyle name="Heading 2+ 2 6 3" xfId="1183" xr:uid="{00000000-0005-0000-0000-0000D0010000}"/>
    <cellStyle name="Heading 2+ 2 7" xfId="858" xr:uid="{00000000-0005-0000-0000-0000D1010000}"/>
    <cellStyle name="Heading 2+ 3" xfId="694" xr:uid="{00000000-0005-0000-0000-0000D2010000}"/>
    <cellStyle name="Heading 2+ 3 2" xfId="884" xr:uid="{00000000-0005-0000-0000-0000D3010000}"/>
    <cellStyle name="Heading 2+ 3 2 2" xfId="1221" xr:uid="{00000000-0005-0000-0000-0000D4010000}"/>
    <cellStyle name="Heading 2+ 3 3" xfId="1080" xr:uid="{00000000-0005-0000-0000-0000D5010000}"/>
    <cellStyle name="Heading 2+ 4" xfId="700" xr:uid="{00000000-0005-0000-0000-0000D6010000}"/>
    <cellStyle name="Heading 2+ 4 2" xfId="890" xr:uid="{00000000-0005-0000-0000-0000D7010000}"/>
    <cellStyle name="Heading 2+ 4 2 2" xfId="1226" xr:uid="{00000000-0005-0000-0000-0000D8010000}"/>
    <cellStyle name="Heading 2+ 4 3" xfId="1085" xr:uid="{00000000-0005-0000-0000-0000D9010000}"/>
    <cellStyle name="Heading 2+ 5" xfId="668" xr:uid="{00000000-0005-0000-0000-0000DA010000}"/>
    <cellStyle name="Heading 2+ 5 2" xfId="870" xr:uid="{00000000-0005-0000-0000-0000DB010000}"/>
    <cellStyle name="Heading 2+ 5 2 2" xfId="1209" xr:uid="{00000000-0005-0000-0000-0000DC010000}"/>
    <cellStyle name="Heading 2+ 5 3" xfId="1066" xr:uid="{00000000-0005-0000-0000-0000DD010000}"/>
    <cellStyle name="Heading 2+ 6" xfId="699" xr:uid="{00000000-0005-0000-0000-0000DE010000}"/>
    <cellStyle name="Heading 2+ 6 2" xfId="889" xr:uid="{00000000-0005-0000-0000-0000DF010000}"/>
    <cellStyle name="Heading 2+ 6 2 2" xfId="1225" xr:uid="{00000000-0005-0000-0000-0000E0010000}"/>
    <cellStyle name="Heading 2+ 6 3" xfId="1084" xr:uid="{00000000-0005-0000-0000-0000E1010000}"/>
    <cellStyle name="Heading 2+ 7" xfId="711" xr:uid="{00000000-0005-0000-0000-0000E2010000}"/>
    <cellStyle name="Heading 2+ 7 2" xfId="899" xr:uid="{00000000-0005-0000-0000-0000E3010000}"/>
    <cellStyle name="Heading 2+ 7 2 2" xfId="1235" xr:uid="{00000000-0005-0000-0000-0000E4010000}"/>
    <cellStyle name="Heading 2+ 7 3" xfId="1094" xr:uid="{00000000-0005-0000-0000-0000E5010000}"/>
    <cellStyle name="Heading 2+ 8" xfId="851" xr:uid="{00000000-0005-0000-0000-0000E6010000}"/>
    <cellStyle name="Heading 3 2" xfId="299" xr:uid="{00000000-0005-0000-0000-0000E7010000}"/>
    <cellStyle name="Heading 3+" xfId="108" xr:uid="{00000000-0005-0000-0000-0000E8010000}"/>
    <cellStyle name="Heading 4 2" xfId="300" xr:uid="{00000000-0005-0000-0000-0000E9010000}"/>
    <cellStyle name="heading 5" xfId="294" xr:uid="{00000000-0005-0000-0000-0000EA010000}"/>
    <cellStyle name="heading 5 2" xfId="739" xr:uid="{00000000-0005-0000-0000-0000EB010000}"/>
    <cellStyle name="heading 5 2 2" xfId="923" xr:uid="{00000000-0005-0000-0000-0000EC010000}"/>
    <cellStyle name="heading 5 2 2 2" xfId="1256" xr:uid="{00000000-0005-0000-0000-0000ED010000}"/>
    <cellStyle name="heading 5 2 3" xfId="1018" xr:uid="{00000000-0005-0000-0000-0000EE010000}"/>
    <cellStyle name="heading 5 2 3 2" xfId="1341" xr:uid="{00000000-0005-0000-0000-0000EF010000}"/>
    <cellStyle name="heading 5 2 4" xfId="1117" xr:uid="{00000000-0005-0000-0000-0000F0010000}"/>
    <cellStyle name="heading 5 3" xfId="755" xr:uid="{00000000-0005-0000-0000-0000F1010000}"/>
    <cellStyle name="heading 5 3 2" xfId="938" xr:uid="{00000000-0005-0000-0000-0000F2010000}"/>
    <cellStyle name="heading 5 3 2 2" xfId="1271" xr:uid="{00000000-0005-0000-0000-0000F3010000}"/>
    <cellStyle name="heading 5 3 3" xfId="1132" xr:uid="{00000000-0005-0000-0000-0000F4010000}"/>
    <cellStyle name="heading 5 4" xfId="706" xr:uid="{00000000-0005-0000-0000-0000F5010000}"/>
    <cellStyle name="heading 5 4 2" xfId="896" xr:uid="{00000000-0005-0000-0000-0000F6010000}"/>
    <cellStyle name="heading 5 4 2 2" xfId="1232" xr:uid="{00000000-0005-0000-0000-0000F7010000}"/>
    <cellStyle name="heading 5 4 3" xfId="1091" xr:uid="{00000000-0005-0000-0000-0000F8010000}"/>
    <cellStyle name="heading 5 5" xfId="685" xr:uid="{00000000-0005-0000-0000-0000F9010000}"/>
    <cellStyle name="heading 5 5 2" xfId="1072" xr:uid="{00000000-0005-0000-0000-0000FA010000}"/>
    <cellStyle name="Heading2" xfId="301" xr:uid="{00000000-0005-0000-0000-0000FB010000}"/>
    <cellStyle name="Heading2 2" xfId="744" xr:uid="{00000000-0005-0000-0000-0000FC010000}"/>
    <cellStyle name="Heading2 2 2" xfId="928" xr:uid="{00000000-0005-0000-0000-0000FD010000}"/>
    <cellStyle name="Heading2 2 2 2" xfId="1261" xr:uid="{00000000-0005-0000-0000-0000FE010000}"/>
    <cellStyle name="Heading2 2 3" xfId="1020" xr:uid="{00000000-0005-0000-0000-0000FF010000}"/>
    <cellStyle name="Heading2 2 3 2" xfId="1343" xr:uid="{00000000-0005-0000-0000-000000020000}"/>
    <cellStyle name="Heading2 2 4" xfId="1122" xr:uid="{00000000-0005-0000-0000-000001020000}"/>
    <cellStyle name="Heading2 3" xfId="752" xr:uid="{00000000-0005-0000-0000-000002020000}"/>
    <cellStyle name="Heading2 3 2" xfId="935" xr:uid="{00000000-0005-0000-0000-000003020000}"/>
    <cellStyle name="Heading2 3 2 2" xfId="1268" xr:uid="{00000000-0005-0000-0000-000004020000}"/>
    <cellStyle name="Heading2 3 3" xfId="1129" xr:uid="{00000000-0005-0000-0000-000005020000}"/>
    <cellStyle name="Heading2 4" xfId="707" xr:uid="{00000000-0005-0000-0000-000006020000}"/>
    <cellStyle name="Heading2 4 2" xfId="897" xr:uid="{00000000-0005-0000-0000-000007020000}"/>
    <cellStyle name="Heading2 4 2 2" xfId="1233" xr:uid="{00000000-0005-0000-0000-000008020000}"/>
    <cellStyle name="Heading2 4 3" xfId="1092" xr:uid="{00000000-0005-0000-0000-000009020000}"/>
    <cellStyle name="Heading2 5" xfId="763" xr:uid="{00000000-0005-0000-0000-00000A020000}"/>
    <cellStyle name="Heading2 5 2" xfId="1138" xr:uid="{00000000-0005-0000-0000-00000B020000}"/>
    <cellStyle name="heads" xfId="302" xr:uid="{00000000-0005-0000-0000-00000C020000}"/>
    <cellStyle name="heads 2" xfId="745" xr:uid="{00000000-0005-0000-0000-00000D020000}"/>
    <cellStyle name="heads 2 2" xfId="929" xr:uid="{00000000-0005-0000-0000-00000E020000}"/>
    <cellStyle name="heads 2 2 2" xfId="1262" xr:uid="{00000000-0005-0000-0000-00000F020000}"/>
    <cellStyle name="heads 2 3" xfId="1021" xr:uid="{00000000-0005-0000-0000-000010020000}"/>
    <cellStyle name="heads 2 3 2" xfId="1344" xr:uid="{00000000-0005-0000-0000-000011020000}"/>
    <cellStyle name="heads 2 4" xfId="1123" xr:uid="{00000000-0005-0000-0000-000012020000}"/>
    <cellStyle name="heads 3" xfId="751" xr:uid="{00000000-0005-0000-0000-000013020000}"/>
    <cellStyle name="heads 3 2" xfId="934" xr:uid="{00000000-0005-0000-0000-000014020000}"/>
    <cellStyle name="heads 3 2 2" xfId="1267" xr:uid="{00000000-0005-0000-0000-000015020000}"/>
    <cellStyle name="heads 3 3" xfId="1128" xr:uid="{00000000-0005-0000-0000-000016020000}"/>
    <cellStyle name="heads 4" xfId="747" xr:uid="{00000000-0005-0000-0000-000017020000}"/>
    <cellStyle name="heads 4 2" xfId="930" xr:uid="{00000000-0005-0000-0000-000018020000}"/>
    <cellStyle name="heads 4 2 2" xfId="1263" xr:uid="{00000000-0005-0000-0000-000019020000}"/>
    <cellStyle name="heads 4 3" xfId="1124" xr:uid="{00000000-0005-0000-0000-00001A020000}"/>
    <cellStyle name="heads 5" xfId="727" xr:uid="{00000000-0005-0000-0000-00001B020000}"/>
    <cellStyle name="heads 5 2" xfId="1110" xr:uid="{00000000-0005-0000-0000-00001C020000}"/>
    <cellStyle name="Hidden" xfId="303" xr:uid="{00000000-0005-0000-0000-00001D020000}"/>
    <cellStyle name="Hyperlink 2" xfId="518" xr:uid="{00000000-0005-0000-0000-00001F020000}"/>
    <cellStyle name="Hyperlink 3" xfId="1394" xr:uid="{00000000-0005-0000-0000-000020020000}"/>
    <cellStyle name="IncomeStatement" xfId="304" xr:uid="{00000000-0005-0000-0000-000021020000}"/>
    <cellStyle name="Input" xfId="32" builtinId="20" customBuiltin="1"/>
    <cellStyle name="Input [yellow]" xfId="33" xr:uid="{00000000-0005-0000-0000-000023020000}"/>
    <cellStyle name="Input [yellow] 2" xfId="676" xr:uid="{00000000-0005-0000-0000-000024020000}"/>
    <cellStyle name="Input 0" xfId="306" xr:uid="{00000000-0005-0000-0000-000025020000}"/>
    <cellStyle name="Input 10" xfId="1062" xr:uid="{00000000-0005-0000-0000-000026020000}"/>
    <cellStyle name="Input 2" xfId="305" xr:uid="{00000000-0005-0000-0000-000027020000}"/>
    <cellStyle name="Input 2 2" xfId="307" xr:uid="{00000000-0005-0000-0000-000028020000}"/>
    <cellStyle name="Input 3" xfId="675" xr:uid="{00000000-0005-0000-0000-000029020000}"/>
    <cellStyle name="Input 4" xfId="794" xr:uid="{00000000-0005-0000-0000-00002A020000}"/>
    <cellStyle name="Input 5" xfId="684" xr:uid="{00000000-0005-0000-0000-00002B020000}"/>
    <cellStyle name="Input 6" xfId="799" xr:uid="{00000000-0005-0000-0000-00002C020000}"/>
    <cellStyle name="Input 7" xfId="729" xr:uid="{00000000-0005-0000-0000-00002D020000}"/>
    <cellStyle name="Input 8" xfId="847" xr:uid="{00000000-0005-0000-0000-00002E020000}"/>
    <cellStyle name="Input 9" xfId="861" xr:uid="{00000000-0005-0000-0000-00002F020000}"/>
    <cellStyle name="Input Currency" xfId="109" xr:uid="{00000000-0005-0000-0000-000030020000}"/>
    <cellStyle name="Input Currency 0" xfId="309" xr:uid="{00000000-0005-0000-0000-000031020000}"/>
    <cellStyle name="Input Currency 2" xfId="110" xr:uid="{00000000-0005-0000-0000-000032020000}"/>
    <cellStyle name="Input Currency 2 2" xfId="310" xr:uid="{00000000-0005-0000-0000-000033020000}"/>
    <cellStyle name="Input Currency 3" xfId="308" xr:uid="{00000000-0005-0000-0000-000034020000}"/>
    <cellStyle name="Input Currency_COX COMMUNICATIONS" xfId="565" xr:uid="{00000000-0005-0000-0000-000035020000}"/>
    <cellStyle name="Input Multiple" xfId="111" xr:uid="{00000000-0005-0000-0000-000036020000}"/>
    <cellStyle name="Input Multiple 2" xfId="311" xr:uid="{00000000-0005-0000-0000-000037020000}"/>
    <cellStyle name="Input Normal" xfId="312" xr:uid="{00000000-0005-0000-0000-000038020000}"/>
    <cellStyle name="Input Percent" xfId="112" xr:uid="{00000000-0005-0000-0000-000039020000}"/>
    <cellStyle name="Input Percent 2" xfId="313" xr:uid="{00000000-0005-0000-0000-00003A020000}"/>
    <cellStyle name="Input Years" xfId="314" xr:uid="{00000000-0005-0000-0000-00003B020000}"/>
    <cellStyle name="Input0" xfId="315" xr:uid="{00000000-0005-0000-0000-00003C020000}"/>
    <cellStyle name="Input1" xfId="566" xr:uid="{00000000-0005-0000-0000-00003D020000}"/>
    <cellStyle name="Input2" xfId="567" xr:uid="{00000000-0005-0000-0000-00003E020000}"/>
    <cellStyle name="Input2 2" xfId="814" xr:uid="{00000000-0005-0000-0000-00003F020000}"/>
    <cellStyle name="Input2 2 2" xfId="981" xr:uid="{00000000-0005-0000-0000-000040020000}"/>
    <cellStyle name="Input2 2 2 2" xfId="1310" xr:uid="{00000000-0005-0000-0000-000041020000}"/>
    <cellStyle name="Input2 2 3" xfId="1048" xr:uid="{00000000-0005-0000-0000-000042020000}"/>
    <cellStyle name="Input2 2 3 2" xfId="1369" xr:uid="{00000000-0005-0000-0000-000043020000}"/>
    <cellStyle name="Input2 2 4" xfId="1178" xr:uid="{00000000-0005-0000-0000-000044020000}"/>
    <cellStyle name="Input2 3" xfId="715" xr:uid="{00000000-0005-0000-0000-000045020000}"/>
    <cellStyle name="Input2 3 2" xfId="903" xr:uid="{00000000-0005-0000-0000-000046020000}"/>
    <cellStyle name="Input2 3 2 2" xfId="1239" xr:uid="{00000000-0005-0000-0000-000047020000}"/>
    <cellStyle name="Input2 3 3" xfId="1098" xr:uid="{00000000-0005-0000-0000-000048020000}"/>
    <cellStyle name="Input2 4" xfId="766" xr:uid="{00000000-0005-0000-0000-000049020000}"/>
    <cellStyle name="Input2 4 2" xfId="947" xr:uid="{00000000-0005-0000-0000-00004A020000}"/>
    <cellStyle name="Input2 4 2 2" xfId="1279" xr:uid="{00000000-0005-0000-0000-00004B020000}"/>
    <cellStyle name="Input2 4 3" xfId="1141" xr:uid="{00000000-0005-0000-0000-00004C020000}"/>
    <cellStyle name="Input2 5" xfId="773" xr:uid="{00000000-0005-0000-0000-00004D020000}"/>
    <cellStyle name="Input2 5 2" xfId="1147" xr:uid="{00000000-0005-0000-0000-00004E020000}"/>
    <cellStyle name="InputCurrency" xfId="316" xr:uid="{00000000-0005-0000-0000-00004F020000}"/>
    <cellStyle name="InputCurrency2" xfId="317" xr:uid="{00000000-0005-0000-0000-000050020000}"/>
    <cellStyle name="InputDateDMth" xfId="318" xr:uid="{00000000-0005-0000-0000-000051020000}"/>
    <cellStyle name="InputDateNorm" xfId="319" xr:uid="{00000000-0005-0000-0000-000052020000}"/>
    <cellStyle name="InputMultiple1" xfId="320" xr:uid="{00000000-0005-0000-0000-000053020000}"/>
    <cellStyle name="InputPercent1" xfId="321" xr:uid="{00000000-0005-0000-0000-000054020000}"/>
    <cellStyle name="Inputs" xfId="322" xr:uid="{00000000-0005-0000-0000-000055020000}"/>
    <cellStyle name="InputUlineNumeric" xfId="323" xr:uid="{00000000-0005-0000-0000-000056020000}"/>
    <cellStyle name="InputUlineNumeric 2" xfId="749" xr:uid="{00000000-0005-0000-0000-000057020000}"/>
    <cellStyle name="InputUlineNumeric 2 2" xfId="932" xr:uid="{00000000-0005-0000-0000-000058020000}"/>
    <cellStyle name="InputUlineNumeric 2 2 2" xfId="1265" xr:uid="{00000000-0005-0000-0000-000059020000}"/>
    <cellStyle name="InputUlineNumeric 2 3" xfId="1023" xr:uid="{00000000-0005-0000-0000-00005A020000}"/>
    <cellStyle name="InputUlineNumeric 2 3 2" xfId="1345" xr:uid="{00000000-0005-0000-0000-00005B020000}"/>
    <cellStyle name="InputUlineNumeric 2 4" xfId="1126" xr:uid="{00000000-0005-0000-0000-00005C020000}"/>
    <cellStyle name="InputUlineNumeric 3" xfId="748" xr:uid="{00000000-0005-0000-0000-00005D020000}"/>
    <cellStyle name="InputUlineNumeric 3 2" xfId="931" xr:uid="{00000000-0005-0000-0000-00005E020000}"/>
    <cellStyle name="InputUlineNumeric 3 2 2" xfId="1264" xr:uid="{00000000-0005-0000-0000-00005F020000}"/>
    <cellStyle name="InputUlineNumeric 3 3" xfId="1125" xr:uid="{00000000-0005-0000-0000-000060020000}"/>
    <cellStyle name="InputUlineNumeric 4" xfId="714" xr:uid="{00000000-0005-0000-0000-000061020000}"/>
    <cellStyle name="InputUlineNumeric 4 2" xfId="902" xr:uid="{00000000-0005-0000-0000-000062020000}"/>
    <cellStyle name="InputUlineNumeric 4 2 2" xfId="1238" xr:uid="{00000000-0005-0000-0000-000063020000}"/>
    <cellStyle name="InputUlineNumeric 4 3" xfId="1097" xr:uid="{00000000-0005-0000-0000-000064020000}"/>
    <cellStyle name="InputUlineNumeric 5" xfId="823" xr:uid="{00000000-0005-0000-0000-000065020000}"/>
    <cellStyle name="InputUlineNumeric 5 2" xfId="1184" xr:uid="{00000000-0005-0000-0000-000066020000}"/>
    <cellStyle name="Integer" xfId="324" xr:uid="{00000000-0005-0000-0000-000067020000}"/>
    <cellStyle name="Italic" xfId="325" xr:uid="{00000000-0005-0000-0000-000068020000}"/>
    <cellStyle name="Item" xfId="326" xr:uid="{00000000-0005-0000-0000-000069020000}"/>
    <cellStyle name="Item Descriptions" xfId="113" xr:uid="{00000000-0005-0000-0000-00006A020000}"/>
    <cellStyle name="Item Descriptions - Bold" xfId="114" xr:uid="{00000000-0005-0000-0000-00006B020000}"/>
    <cellStyle name="Item Descriptions_6079BX" xfId="115" xr:uid="{00000000-0005-0000-0000-00006C020000}"/>
    <cellStyle name="ItemTypeClass" xfId="327" xr:uid="{00000000-0005-0000-0000-00006D020000}"/>
    <cellStyle name="ItemTypeClass 2" xfId="750" xr:uid="{00000000-0005-0000-0000-00006E020000}"/>
    <cellStyle name="ItemTypeClass 2 2" xfId="933" xr:uid="{00000000-0005-0000-0000-00006F020000}"/>
    <cellStyle name="ItemTypeClass 2 2 2" xfId="1266" xr:uid="{00000000-0005-0000-0000-000070020000}"/>
    <cellStyle name="ItemTypeClass 2 3" xfId="1024" xr:uid="{00000000-0005-0000-0000-000071020000}"/>
    <cellStyle name="ItemTypeClass 2 3 2" xfId="1346" xr:uid="{00000000-0005-0000-0000-000072020000}"/>
    <cellStyle name="ItemTypeClass 2 4" xfId="1127" xr:uid="{00000000-0005-0000-0000-000073020000}"/>
    <cellStyle name="ItemTypeClass 3" xfId="801" xr:uid="{00000000-0005-0000-0000-000074020000}"/>
    <cellStyle name="ItemTypeClass 3 2" xfId="974" xr:uid="{00000000-0005-0000-0000-000075020000}"/>
    <cellStyle name="ItemTypeClass 3 2 2" xfId="1303" xr:uid="{00000000-0005-0000-0000-000076020000}"/>
    <cellStyle name="ItemTypeClass 3 3" xfId="1045" xr:uid="{00000000-0005-0000-0000-000077020000}"/>
    <cellStyle name="ItemTypeClass 3 3 2" xfId="1366" xr:uid="{00000000-0005-0000-0000-000078020000}"/>
    <cellStyle name="ItemTypeClass 3 4" xfId="1170" xr:uid="{00000000-0005-0000-0000-000079020000}"/>
    <cellStyle name="ItemTypeClass 4" xfId="832" xr:uid="{00000000-0005-0000-0000-00007A020000}"/>
    <cellStyle name="ItemTypeClass 4 2" xfId="995" xr:uid="{00000000-0005-0000-0000-00007B020000}"/>
    <cellStyle name="ItemTypeClass 4 2 2" xfId="1321" xr:uid="{00000000-0005-0000-0000-00007C020000}"/>
    <cellStyle name="ItemTypeClass 4 3" xfId="1054" xr:uid="{00000000-0005-0000-0000-00007D020000}"/>
    <cellStyle name="ItemTypeClass 4 3 2" xfId="1375" xr:uid="{00000000-0005-0000-0000-00007E020000}"/>
    <cellStyle name="ItemTypeClass 4 4" xfId="1188" xr:uid="{00000000-0005-0000-0000-00007F020000}"/>
    <cellStyle name="'Jul 29" xfId="34" xr:uid="{00000000-0005-0000-0000-000080020000}"/>
    <cellStyle name="KP_Normal" xfId="328" xr:uid="{00000000-0005-0000-0000-000081020000}"/>
    <cellStyle name="l]_x000d__x000a_Path=M:\RIOCEN01_x000d__x000a_Name=Carlos Emilio Brousse_x000d__x000a_DDEApps=nsf,nsg,nsh,ntf,ns2,ors,org_x000d__x000a_SmartIcons=Todos_x000d__x000a_" xfId="329" xr:uid="{00000000-0005-0000-0000-000082020000}"/>
    <cellStyle name="LeftSubtitle" xfId="330" xr:uid="{00000000-0005-0000-0000-000083020000}"/>
    <cellStyle name="Link Currency (0)" xfId="568" xr:uid="{00000000-0005-0000-0000-000084020000}"/>
    <cellStyle name="Link Currency (2)" xfId="569" xr:uid="{00000000-0005-0000-0000-000085020000}"/>
    <cellStyle name="Link Units (0)" xfId="570" xr:uid="{00000000-0005-0000-0000-000086020000}"/>
    <cellStyle name="Link Units (1)" xfId="571" xr:uid="{00000000-0005-0000-0000-000087020000}"/>
    <cellStyle name="Link Units (2)" xfId="572" xr:uid="{00000000-0005-0000-0000-000088020000}"/>
    <cellStyle name="Linked" xfId="116" xr:uid="{00000000-0005-0000-0000-000089020000}"/>
    <cellStyle name="Linked Cell 2" xfId="331" xr:uid="{00000000-0005-0000-0000-00008A020000}"/>
    <cellStyle name="margin" xfId="332" xr:uid="{00000000-0005-0000-0000-00008B020000}"/>
    <cellStyle name="Margins" xfId="333" xr:uid="{00000000-0005-0000-0000-00008C020000}"/>
    <cellStyle name="MetricLabel" xfId="334" xr:uid="{00000000-0005-0000-0000-00008D020000}"/>
    <cellStyle name="MetricLabelBlue" xfId="335" xr:uid="{00000000-0005-0000-0000-00008E020000}"/>
    <cellStyle name="MetricValue" xfId="336" xr:uid="{00000000-0005-0000-0000-00008F020000}"/>
    <cellStyle name="Multiple" xfId="117" xr:uid="{00000000-0005-0000-0000-000090020000}"/>
    <cellStyle name="Multiple [0]" xfId="118" xr:uid="{00000000-0005-0000-0000-000091020000}"/>
    <cellStyle name="Multiple [1]" xfId="119" xr:uid="{00000000-0005-0000-0000-000092020000}"/>
    <cellStyle name="Multiple 2" xfId="337" xr:uid="{00000000-0005-0000-0000-000093020000}"/>
    <cellStyle name="Multiple Without" xfId="338" xr:uid="{00000000-0005-0000-0000-000094020000}"/>
    <cellStyle name="Multiple_ACCC" xfId="339" xr:uid="{00000000-0005-0000-0000-000095020000}"/>
    <cellStyle name="Multiple1" xfId="340" xr:uid="{00000000-0005-0000-0000-000096020000}"/>
    <cellStyle name="Name" xfId="341" xr:uid="{00000000-0005-0000-0000-000097020000}"/>
    <cellStyle name="Neutral 2" xfId="342" xr:uid="{00000000-0005-0000-0000-000098020000}"/>
    <cellStyle name="NewAcct" xfId="343" xr:uid="{00000000-0005-0000-0000-000099020000}"/>
    <cellStyle name="Noríal_silicon_object_tcsi" xfId="120" xr:uid="{00000000-0005-0000-0000-00009A020000}"/>
    <cellStyle name="Normal" xfId="0" builtinId="0"/>
    <cellStyle name="Normal - Style1" xfId="35" xr:uid="{00000000-0005-0000-0000-00009C020000}"/>
    <cellStyle name="Normal - Style1 2" xfId="344" xr:uid="{00000000-0005-0000-0000-00009D020000}"/>
    <cellStyle name="Normal [2]" xfId="36" xr:uid="{00000000-0005-0000-0000-00009E020000}"/>
    <cellStyle name="Normal [3]" xfId="37" xr:uid="{00000000-0005-0000-0000-00009F020000}"/>
    <cellStyle name="Normal 0.0" xfId="345" xr:uid="{00000000-0005-0000-0000-0000A0020000}"/>
    <cellStyle name="Normal 0.0 2" xfId="756" xr:uid="{00000000-0005-0000-0000-0000A1020000}"/>
    <cellStyle name="Normal 0.0 2 2" xfId="939" xr:uid="{00000000-0005-0000-0000-0000A2020000}"/>
    <cellStyle name="Normal 0.0 3" xfId="746" xr:uid="{00000000-0005-0000-0000-0000A3020000}"/>
    <cellStyle name="Normal 0.0 3 2" xfId="1022" xr:uid="{00000000-0005-0000-0000-0000A4020000}"/>
    <cellStyle name="Normal 0.0 4" xfId="696" xr:uid="{00000000-0005-0000-0000-0000A5020000}"/>
    <cellStyle name="Normal 0.0 4 2" xfId="886" xr:uid="{00000000-0005-0000-0000-0000A6020000}"/>
    <cellStyle name="Normal 10" xfId="813" xr:uid="{00000000-0005-0000-0000-0000A7020000}"/>
    <cellStyle name="Normal 11" xfId="825" xr:uid="{00000000-0005-0000-0000-0000A8020000}"/>
    <cellStyle name="Normal 11 4" xfId="1386" xr:uid="{00000000-0005-0000-0000-0000A9020000}"/>
    <cellStyle name="Normal 12" xfId="845" xr:uid="{00000000-0005-0000-0000-0000AA020000}"/>
    <cellStyle name="Normal 13" xfId="848" xr:uid="{00000000-0005-0000-0000-0000AB020000}"/>
    <cellStyle name="Normal 14" xfId="1060" xr:uid="{00000000-0005-0000-0000-0000AC020000}"/>
    <cellStyle name="Normal 15" xfId="1379" xr:uid="{00000000-0005-0000-0000-0000AD020000}"/>
    <cellStyle name="Normal 16" xfId="1381" xr:uid="{00000000-0005-0000-0000-0000AE020000}"/>
    <cellStyle name="Normal 17" xfId="1392" xr:uid="{00000000-0005-0000-0000-0000AF020000}"/>
    <cellStyle name="Normal 18" xfId="1399" xr:uid="{00000000-0005-0000-0000-0000B0020000}"/>
    <cellStyle name="Normal 2" xfId="69" xr:uid="{00000000-0005-0000-0000-0000B1020000}"/>
    <cellStyle name="Normal 2 2" xfId="1382" xr:uid="{00000000-0005-0000-0000-0000B2020000}"/>
    <cellStyle name="Normal 2 3" xfId="1395" xr:uid="{00000000-0005-0000-0000-0000B3020000}"/>
    <cellStyle name="Normal 2 4" xfId="1403" xr:uid="{983345FD-E5B3-41DF-88AB-715A33605748}"/>
    <cellStyle name="Normal 200" xfId="1390" xr:uid="{00000000-0005-0000-0000-0000B4020000}"/>
    <cellStyle name="Normal 3" xfId="516" xr:uid="{00000000-0005-0000-0000-0000B5020000}"/>
    <cellStyle name="Normal 3 2" xfId="802" xr:uid="{00000000-0005-0000-0000-0000B6020000}"/>
    <cellStyle name="Normal 4" xfId="519" xr:uid="{00000000-0005-0000-0000-0000B7020000}"/>
    <cellStyle name="Normal 4 2" xfId="1388" xr:uid="{00000000-0005-0000-0000-0000B8020000}"/>
    <cellStyle name="Normal 5" xfId="573" xr:uid="{00000000-0005-0000-0000-0000B9020000}"/>
    <cellStyle name="Normal 6" xfId="661" xr:uid="{00000000-0005-0000-0000-0000BA020000}"/>
    <cellStyle name="Normal 7" xfId="662" xr:uid="{00000000-0005-0000-0000-0000BB020000}"/>
    <cellStyle name="Normal 7 2" xfId="1383" xr:uid="{00000000-0005-0000-0000-0000BC020000}"/>
    <cellStyle name="Normal 8" xfId="681" xr:uid="{00000000-0005-0000-0000-0000BD020000}"/>
    <cellStyle name="Normal 9" xfId="788" xr:uid="{00000000-0005-0000-0000-0000BE020000}"/>
    <cellStyle name="Normal Bold" xfId="38" xr:uid="{00000000-0005-0000-0000-0000BF020000}"/>
    <cellStyle name="Normal_Aol4Q00" xfId="39" xr:uid="{00000000-0005-0000-0000-0000C0020000}"/>
    <cellStyle name="Normal_AOLTW" xfId="1391" xr:uid="{00000000-0005-0000-0000-0000C1020000}"/>
    <cellStyle name="Normal_CMCSA" xfId="40" xr:uid="{00000000-0005-0000-0000-0000C2020000}"/>
    <cellStyle name="Normal_EBAY 061209 v7" xfId="642" xr:uid="{00000000-0005-0000-0000-0000C3020000}"/>
    <cellStyle name="Normal_EBAY 072309" xfId="67" xr:uid="{00000000-0005-0000-0000-0000C4020000}"/>
    <cellStyle name="Normal_MODELv2" xfId="41" xr:uid="{00000000-0005-0000-0000-0000C5020000}"/>
    <cellStyle name="Normal_NSOLQTR" xfId="42" xr:uid="{00000000-0005-0000-0000-0000C6020000}"/>
    <cellStyle name="Normal_Sheet1" xfId="43" xr:uid="{00000000-0005-0000-0000-0000C7020000}"/>
    <cellStyle name="Normal_Val Sum" xfId="44" xr:uid="{00000000-0005-0000-0000-0000C9020000}"/>
    <cellStyle name="Normal_Yahoo! model 060403" xfId="45" xr:uid="{00000000-0005-0000-0000-0000CA020000}"/>
    <cellStyle name="Normal_YHOO1Q01" xfId="46" xr:uid="{00000000-0005-0000-0000-0000CB020000}"/>
    <cellStyle name="Normal2" xfId="346" xr:uid="{00000000-0005-0000-0000-0000CC020000}"/>
    <cellStyle name="NormalBlue" xfId="574" xr:uid="{00000000-0005-0000-0000-0000CD020000}"/>
    <cellStyle name="NormalBold" xfId="575" xr:uid="{00000000-0005-0000-0000-0000CE020000}"/>
    <cellStyle name="NormalGB" xfId="121" xr:uid="{00000000-0005-0000-0000-0000CF020000}"/>
    <cellStyle name="NormalHelv" xfId="576" xr:uid="{00000000-0005-0000-0000-0000D0020000}"/>
    <cellStyle name="NormalItalic" xfId="347" xr:uid="{00000000-0005-0000-0000-0000D1020000}"/>
    <cellStyle name="Note 2" xfId="348" xr:uid="{00000000-0005-0000-0000-0000D2020000}"/>
    <cellStyle name="Note 2 2" xfId="757" xr:uid="{00000000-0005-0000-0000-0000D3020000}"/>
    <cellStyle name="Note 2 2 2" xfId="940" xr:uid="{00000000-0005-0000-0000-0000D4020000}"/>
    <cellStyle name="Note 2 2 2 2" xfId="1272" xr:uid="{00000000-0005-0000-0000-0000D5020000}"/>
    <cellStyle name="Note 2 2 3" xfId="1027" xr:uid="{00000000-0005-0000-0000-0000D6020000}"/>
    <cellStyle name="Note 2 2 3 2" xfId="1349" xr:uid="{00000000-0005-0000-0000-0000D7020000}"/>
    <cellStyle name="Note 2 2 4" xfId="1133" xr:uid="{00000000-0005-0000-0000-0000D8020000}"/>
    <cellStyle name="Note 2 3" xfId="695" xr:uid="{00000000-0005-0000-0000-0000D9020000}"/>
    <cellStyle name="Note 2 3 2" xfId="885" xr:uid="{00000000-0005-0000-0000-0000DA020000}"/>
    <cellStyle name="Note 2 3 2 2" xfId="1222" xr:uid="{00000000-0005-0000-0000-0000DB020000}"/>
    <cellStyle name="Note 2 3 3" xfId="1004" xr:uid="{00000000-0005-0000-0000-0000DC020000}"/>
    <cellStyle name="Note 2 3 3 2" xfId="1330" xr:uid="{00000000-0005-0000-0000-0000DD020000}"/>
    <cellStyle name="Note 2 3 4" xfId="1081" xr:uid="{00000000-0005-0000-0000-0000DE020000}"/>
    <cellStyle name="Note 2 4" xfId="769" xr:uid="{00000000-0005-0000-0000-0000DF020000}"/>
    <cellStyle name="Note 2 4 2" xfId="948" xr:uid="{00000000-0005-0000-0000-0000E0020000}"/>
    <cellStyle name="Note 2 4 2 2" xfId="1280" xr:uid="{00000000-0005-0000-0000-0000E1020000}"/>
    <cellStyle name="Note 2 4 3" xfId="1031" xr:uid="{00000000-0005-0000-0000-0000E2020000}"/>
    <cellStyle name="Note 2 4 3 2" xfId="1352" xr:uid="{00000000-0005-0000-0000-0000E3020000}"/>
    <cellStyle name="Note 2 4 4" xfId="1144" xr:uid="{00000000-0005-0000-0000-0000E4020000}"/>
    <cellStyle name="number" xfId="349" xr:uid="{00000000-0005-0000-0000-0000E5020000}"/>
    <cellStyle name="Numbers" xfId="122" xr:uid="{00000000-0005-0000-0000-0000E6020000}"/>
    <cellStyle name="Numbers - Bold" xfId="123" xr:uid="{00000000-0005-0000-0000-0000E7020000}"/>
    <cellStyle name="Numbers_6079BX" xfId="124" xr:uid="{00000000-0005-0000-0000-0000E8020000}"/>
    <cellStyle name="Œ…‹æØ‚è [0.00]_GE 3 MINIMUM" xfId="125" xr:uid="{00000000-0005-0000-0000-0000E9020000}"/>
    <cellStyle name="Œ…‹æØ‚è_GE 3 MINIMUM" xfId="126" xr:uid="{00000000-0005-0000-0000-0000EA020000}"/>
    <cellStyle name="Original L1" xfId="350" xr:uid="{00000000-0005-0000-0000-0000EB020000}"/>
    <cellStyle name="Original L3" xfId="351" xr:uid="{00000000-0005-0000-0000-0000EC020000}"/>
    <cellStyle name="OSW_ColumnLabels" xfId="577" xr:uid="{00000000-0005-0000-0000-0000ED020000}"/>
    <cellStyle name="Output 2" xfId="352" xr:uid="{00000000-0005-0000-0000-0000EE020000}"/>
    <cellStyle name="Output 2 2" xfId="758" xr:uid="{00000000-0005-0000-0000-0000EF020000}"/>
    <cellStyle name="Output 2 2 2" xfId="941" xr:uid="{00000000-0005-0000-0000-0000F0020000}"/>
    <cellStyle name="Output 2 2 2 2" xfId="1273" xr:uid="{00000000-0005-0000-0000-0000F1020000}"/>
    <cellStyle name="Output 2 2 3" xfId="1028" xr:uid="{00000000-0005-0000-0000-0000F2020000}"/>
    <cellStyle name="Output 2 2 3 2" xfId="1350" xr:uid="{00000000-0005-0000-0000-0000F3020000}"/>
    <cellStyle name="Output 2 2 4" xfId="1134" xr:uid="{00000000-0005-0000-0000-0000F4020000}"/>
    <cellStyle name="Output 2 3" xfId="821" xr:uid="{00000000-0005-0000-0000-0000F5020000}"/>
    <cellStyle name="Output 2 3 2" xfId="987" xr:uid="{00000000-0005-0000-0000-0000F6020000}"/>
    <cellStyle name="Output 2 3 2 2" xfId="1314" xr:uid="{00000000-0005-0000-0000-0000F7020000}"/>
    <cellStyle name="Output 2 3 3" xfId="1050" xr:uid="{00000000-0005-0000-0000-0000F8020000}"/>
    <cellStyle name="Output 2 3 3 2" xfId="1371" xr:uid="{00000000-0005-0000-0000-0000F9020000}"/>
    <cellStyle name="Output 2 3 4" xfId="1182" xr:uid="{00000000-0005-0000-0000-0000FA020000}"/>
    <cellStyle name="Output 2 4" xfId="725" xr:uid="{00000000-0005-0000-0000-0000FB020000}"/>
    <cellStyle name="Output 2 4 2" xfId="912" xr:uid="{00000000-0005-0000-0000-0000FC020000}"/>
    <cellStyle name="Output 2 4 2 2" xfId="1248" xr:uid="{00000000-0005-0000-0000-0000FD020000}"/>
    <cellStyle name="Output 2 4 3" xfId="1015" xr:uid="{00000000-0005-0000-0000-0000FE020000}"/>
    <cellStyle name="Output 2 4 3 2" xfId="1339" xr:uid="{00000000-0005-0000-0000-0000FF020000}"/>
    <cellStyle name="Output 2 4 4" xfId="1108" xr:uid="{00000000-0005-0000-0000-000000030000}"/>
    <cellStyle name="Output Amounts" xfId="578" xr:uid="{00000000-0005-0000-0000-000001030000}"/>
    <cellStyle name="Output Column Headings" xfId="579" xr:uid="{00000000-0005-0000-0000-000002030000}"/>
    <cellStyle name="Output Line Items" xfId="580" xr:uid="{00000000-0005-0000-0000-000003030000}"/>
    <cellStyle name="Output Line Items 2" xfId="815" xr:uid="{00000000-0005-0000-0000-000004030000}"/>
    <cellStyle name="Output Report Heading" xfId="581" xr:uid="{00000000-0005-0000-0000-000005030000}"/>
    <cellStyle name="Output Report Title" xfId="582" xr:uid="{00000000-0005-0000-0000-000006030000}"/>
    <cellStyle name="p" xfId="353" xr:uid="{00000000-0005-0000-0000-000007030000}"/>
    <cellStyle name="p_ATT Comcast Initiation Model1" xfId="354" xr:uid="{00000000-0005-0000-0000-000008030000}"/>
    <cellStyle name="p_CHTR model" xfId="355" xr:uid="{00000000-0005-0000-0000-000009030000}"/>
    <cellStyle name="p_CMCSA debt analysis" xfId="356" xr:uid="{00000000-0005-0000-0000-00000A030000}"/>
    <cellStyle name="p_ComcastSynergyAnalysis" xfId="357" xr:uid="{00000000-0005-0000-0000-00000B030000}"/>
    <cellStyle name="p_CVC_DCF" xfId="358" xr:uid="{00000000-0005-0000-0000-00000C030000}"/>
    <cellStyle name="p_DCF" xfId="359" xr:uid="{00000000-0005-0000-0000-00000D030000}"/>
    <cellStyle name="p_DCF_ATT Comcast Initiation Model1" xfId="360" xr:uid="{00000000-0005-0000-0000-00000E030000}"/>
    <cellStyle name="p_DCF_CHTR model" xfId="361" xr:uid="{00000000-0005-0000-0000-00000F030000}"/>
    <cellStyle name="p_DCF_CMCSA debt analysis" xfId="362" xr:uid="{00000000-0005-0000-0000-000010030000}"/>
    <cellStyle name="p_DCF_ComcastSynergyAnalysis" xfId="363" xr:uid="{00000000-0005-0000-0000-000011030000}"/>
    <cellStyle name="p_DCF_CVC_DCF" xfId="364" xr:uid="{00000000-0005-0000-0000-000012030000}"/>
    <cellStyle name="p_DCF_Disclosure" xfId="365" xr:uid="{00000000-0005-0000-0000-000013030000}"/>
    <cellStyle name="p_DCF_DISH_DCF" xfId="366" xr:uid="{00000000-0005-0000-0000-000014030000}"/>
    <cellStyle name="p_DCF_dISH_JF" xfId="367" xr:uid="{00000000-0005-0000-0000-000015030000}"/>
    <cellStyle name="p_DCF_Disney Model" xfId="368" xr:uid="{00000000-0005-0000-0000-000016030000}"/>
    <cellStyle name="p_DCF_Disney Model MCM" xfId="369" xr:uid="{00000000-0005-0000-0000-000017030000}"/>
    <cellStyle name="p_DCF_DTV DCF" xfId="370" xr:uid="{00000000-0005-0000-0000-000018030000}"/>
    <cellStyle name="p_DCF_ERTS" xfId="371" xr:uid="{00000000-0005-0000-0000-000019030000}"/>
    <cellStyle name="p_DCF_KNOL DCF" xfId="372" xr:uid="{00000000-0005-0000-0000-00001A030000}"/>
    <cellStyle name="p_DCF_News Corp Model" xfId="373" xr:uid="{00000000-0005-0000-0000-00001B030000}"/>
    <cellStyle name="p_DCF_NTLI model - DCF" xfId="374" xr:uid="{00000000-0005-0000-0000-00001C030000}"/>
    <cellStyle name="p_DCF_RCI050503" xfId="375" xr:uid="{00000000-0005-0000-0000-00001D030000}"/>
    <cellStyle name="p_DCF_TLWT model" xfId="376" xr:uid="{00000000-0005-0000-0000-00001E030000}"/>
    <cellStyle name="p_DCF_UBS-ATT Comcast Email Model" xfId="377" xr:uid="{00000000-0005-0000-0000-00001F030000}"/>
    <cellStyle name="p_DCF_valuation comp" xfId="378" xr:uid="{00000000-0005-0000-0000-000020030000}"/>
    <cellStyle name="p_DCF_VCLK" xfId="379" xr:uid="{00000000-0005-0000-0000-000021030000}"/>
    <cellStyle name="p_DCF_VERA" xfId="380" xr:uid="{00000000-0005-0000-0000-000022030000}"/>
    <cellStyle name="p_DCF_VERA_ATT Comcast Amortization Schedule2" xfId="381" xr:uid="{00000000-0005-0000-0000-000023030000}"/>
    <cellStyle name="p_DCF_VERA_ATT Comcast Initiation Model1" xfId="382" xr:uid="{00000000-0005-0000-0000-000024030000}"/>
    <cellStyle name="p_DCF_VERA_Book7" xfId="383" xr:uid="{00000000-0005-0000-0000-000025030000}"/>
    <cellStyle name="p_DCF_VERA_Book7_1" xfId="384" xr:uid="{00000000-0005-0000-0000-000026030000}"/>
    <cellStyle name="p_DCF_VERA_Cable equity price perf and comps_S.xls Chart 1" xfId="385" xr:uid="{00000000-0005-0000-0000-000027030000}"/>
    <cellStyle name="p_DCF_VERA_Cable equity price perf and comps_S.xls Chart 2" xfId="386" xr:uid="{00000000-0005-0000-0000-000028030000}"/>
    <cellStyle name="p_DCF_VERA_CableRevComp" xfId="387" xr:uid="{00000000-0005-0000-0000-000029030000}"/>
    <cellStyle name="p_DCF_VERA_CHTR model_initiation" xfId="388" xr:uid="{00000000-0005-0000-0000-00002A030000}"/>
    <cellStyle name="p_DCF_VERA_ComcastSynergyAnalysis" xfId="389" xr:uid="{00000000-0005-0000-0000-00002B030000}"/>
    <cellStyle name="p_DCF_VERA_Cox Initiation Model.xls Chart 3" xfId="390" xr:uid="{00000000-0005-0000-0000-00002C030000}"/>
    <cellStyle name="p_DCF_VERA_CVC_DCF" xfId="391" xr:uid="{00000000-0005-0000-0000-00002D030000}"/>
    <cellStyle name="p_DCF_VERA_Disclosure" xfId="392" xr:uid="{00000000-0005-0000-0000-00002E030000}"/>
    <cellStyle name="p_DCF_VERA_DISH_DCF" xfId="393" xr:uid="{00000000-0005-0000-0000-00002F030000}"/>
    <cellStyle name="p_DCF_VERA_DISH_JF" xfId="394" xr:uid="{00000000-0005-0000-0000-000030030000}"/>
    <cellStyle name="p_DCF_VERA_DTV DCF" xfId="395" xr:uid="{00000000-0005-0000-0000-000031030000}"/>
    <cellStyle name="p_DCF_VERA_KNOL DCF" xfId="396" xr:uid="{00000000-0005-0000-0000-000032030000}"/>
    <cellStyle name="p_DCF_VERA_RCI050503" xfId="397" xr:uid="{00000000-0005-0000-0000-000033030000}"/>
    <cellStyle name="p_DCF_VERA_UBS-ATT Comcast Email Model" xfId="398" xr:uid="{00000000-0005-0000-0000-000034030000}"/>
    <cellStyle name="p_Disclosure" xfId="399" xr:uid="{00000000-0005-0000-0000-000035030000}"/>
    <cellStyle name="p_DISH_DCF" xfId="400" xr:uid="{00000000-0005-0000-0000-000036030000}"/>
    <cellStyle name="p_dISH_JF" xfId="401" xr:uid="{00000000-0005-0000-0000-000037030000}"/>
    <cellStyle name="p_Disney Model" xfId="402" xr:uid="{00000000-0005-0000-0000-000038030000}"/>
    <cellStyle name="p_Disney Model MCM" xfId="403" xr:uid="{00000000-0005-0000-0000-000039030000}"/>
    <cellStyle name="p_DTV DCF" xfId="404" xr:uid="{00000000-0005-0000-0000-00003A030000}"/>
    <cellStyle name="p_ERTS" xfId="405" xr:uid="{00000000-0005-0000-0000-00003B030000}"/>
    <cellStyle name="p_KNOL DCF" xfId="406" xr:uid="{00000000-0005-0000-0000-00003C030000}"/>
    <cellStyle name="p_News Corp Model" xfId="407" xr:uid="{00000000-0005-0000-0000-00003D030000}"/>
    <cellStyle name="p_NTLI model - DCF" xfId="408" xr:uid="{00000000-0005-0000-0000-00003E030000}"/>
    <cellStyle name="p_RCI050503" xfId="409" xr:uid="{00000000-0005-0000-0000-00003F030000}"/>
    <cellStyle name="p_TLWT model" xfId="410" xr:uid="{00000000-0005-0000-0000-000040030000}"/>
    <cellStyle name="p_UBS-ATT Comcast Email Model" xfId="411" xr:uid="{00000000-0005-0000-0000-000041030000}"/>
    <cellStyle name="p_valuation comp" xfId="412" xr:uid="{00000000-0005-0000-0000-000042030000}"/>
    <cellStyle name="p_VCLK" xfId="413" xr:uid="{00000000-0005-0000-0000-000043030000}"/>
    <cellStyle name="p_VERA" xfId="414" xr:uid="{00000000-0005-0000-0000-000044030000}"/>
    <cellStyle name="p_VERA_ATT Comcast Amortization Schedule2" xfId="415" xr:uid="{00000000-0005-0000-0000-000045030000}"/>
    <cellStyle name="p_VERA_ATT Comcast Initiation Model1" xfId="416" xr:uid="{00000000-0005-0000-0000-000046030000}"/>
    <cellStyle name="p_VERA_Book7" xfId="417" xr:uid="{00000000-0005-0000-0000-000047030000}"/>
    <cellStyle name="p_VERA_Book7_1" xfId="418" xr:uid="{00000000-0005-0000-0000-000048030000}"/>
    <cellStyle name="p_VERA_Cable equity price perf and comps_S.xls Chart 1" xfId="419" xr:uid="{00000000-0005-0000-0000-000049030000}"/>
    <cellStyle name="p_VERA_Cable equity price perf and comps_S.xls Chart 2" xfId="420" xr:uid="{00000000-0005-0000-0000-00004A030000}"/>
    <cellStyle name="p_VERA_CableRevComp" xfId="421" xr:uid="{00000000-0005-0000-0000-00004B030000}"/>
    <cellStyle name="p_VERA_CHTR model_initiation" xfId="422" xr:uid="{00000000-0005-0000-0000-00004C030000}"/>
    <cellStyle name="p_VERA_ComcastSynergyAnalysis" xfId="423" xr:uid="{00000000-0005-0000-0000-00004D030000}"/>
    <cellStyle name="p_VERA_Cox Initiation Model.xls Chart 3" xfId="424" xr:uid="{00000000-0005-0000-0000-00004E030000}"/>
    <cellStyle name="p_VERA_CVC_DCF" xfId="425" xr:uid="{00000000-0005-0000-0000-00004F030000}"/>
    <cellStyle name="p_VERA_Disclosure" xfId="426" xr:uid="{00000000-0005-0000-0000-000050030000}"/>
    <cellStyle name="p_VERA_DISH_DCF" xfId="427" xr:uid="{00000000-0005-0000-0000-000051030000}"/>
    <cellStyle name="p_VERA_DISH_JF" xfId="428" xr:uid="{00000000-0005-0000-0000-000052030000}"/>
    <cellStyle name="p_VERA_DTV DCF" xfId="429" xr:uid="{00000000-0005-0000-0000-000053030000}"/>
    <cellStyle name="p_VERA_KNOL DCF" xfId="430" xr:uid="{00000000-0005-0000-0000-000054030000}"/>
    <cellStyle name="p_VERA_RCI050503" xfId="431" xr:uid="{00000000-0005-0000-0000-000055030000}"/>
    <cellStyle name="p_VERA_UBS-ATT Comcast Email Model" xfId="432" xr:uid="{00000000-0005-0000-0000-000056030000}"/>
    <cellStyle name="Page Header" xfId="433" xr:uid="{00000000-0005-0000-0000-000057030000}"/>
    <cellStyle name="Page Heading Large" xfId="583" xr:uid="{00000000-0005-0000-0000-000058030000}"/>
    <cellStyle name="Page Heading Small" xfId="584" xr:uid="{00000000-0005-0000-0000-000059030000}"/>
    <cellStyle name="Page Number" xfId="127" xr:uid="{00000000-0005-0000-0000-00005A030000}"/>
    <cellStyle name="Pass" xfId="434" xr:uid="{00000000-0005-0000-0000-00005B030000}"/>
    <cellStyle name="PB Table Heading" xfId="47" xr:uid="{00000000-0005-0000-0000-00005C030000}"/>
    <cellStyle name="PB Table Highlight1" xfId="48" xr:uid="{00000000-0005-0000-0000-00005D030000}"/>
    <cellStyle name="PB Table Highlight1 2" xfId="677" xr:uid="{00000000-0005-0000-0000-00005E030000}"/>
    <cellStyle name="PB Table Highlight2" xfId="585" xr:uid="{00000000-0005-0000-0000-00005F030000}"/>
    <cellStyle name="PB Table Highlight2 2" xfId="818" xr:uid="{00000000-0005-0000-0000-000060030000}"/>
    <cellStyle name="PB Table Highlight2 2 2" xfId="984" xr:uid="{00000000-0005-0000-0000-000061030000}"/>
    <cellStyle name="PB Table Highlight2 3" xfId="710" xr:uid="{00000000-0005-0000-0000-000062030000}"/>
    <cellStyle name="PB Table Highlight2 3 2" xfId="1008" xr:uid="{00000000-0005-0000-0000-000063030000}"/>
    <cellStyle name="PB Table Highlight2 4" xfId="734" xr:uid="{00000000-0005-0000-0000-000064030000}"/>
    <cellStyle name="PB Table Highlight2 4 2" xfId="918" xr:uid="{00000000-0005-0000-0000-000065030000}"/>
    <cellStyle name="PB Table Highlight3" xfId="586" xr:uid="{00000000-0005-0000-0000-000066030000}"/>
    <cellStyle name="PB Table Highlight3 2" xfId="819" xr:uid="{00000000-0005-0000-0000-000067030000}"/>
    <cellStyle name="PB Table Highlight3 2 2" xfId="985" xr:uid="{00000000-0005-0000-0000-000068030000}"/>
    <cellStyle name="PB Table Highlight3 3" xfId="709" xr:uid="{00000000-0005-0000-0000-000069030000}"/>
    <cellStyle name="PB Table Highlight3 3 2" xfId="1007" xr:uid="{00000000-0005-0000-0000-00006A030000}"/>
    <cellStyle name="PB Table Highlight3 4" xfId="733" xr:uid="{00000000-0005-0000-0000-00006B030000}"/>
    <cellStyle name="PB Table Highlight3 4 2" xfId="917" xr:uid="{00000000-0005-0000-0000-00006C030000}"/>
    <cellStyle name="PB Table Standard Row" xfId="49" xr:uid="{00000000-0005-0000-0000-00006D030000}"/>
    <cellStyle name="PB Table Standard Row 2" xfId="678" xr:uid="{00000000-0005-0000-0000-00006E030000}"/>
    <cellStyle name="PB Table Standard Row 2 2" xfId="875" xr:uid="{00000000-0005-0000-0000-00006F030000}"/>
    <cellStyle name="PB Table Standard Row 2 2 2" xfId="1213" xr:uid="{00000000-0005-0000-0000-000070030000}"/>
    <cellStyle name="PB Table Standard Row 2 3" xfId="854" xr:uid="{00000000-0005-0000-0000-000071030000}"/>
    <cellStyle name="PB Table Standard Row 2 3 2" xfId="1199" xr:uid="{00000000-0005-0000-0000-000072030000}"/>
    <cellStyle name="PB Table Standard Row 2 4" xfId="1070" xr:uid="{00000000-0005-0000-0000-000073030000}"/>
    <cellStyle name="PB Table Standard Row 3" xfId="705" xr:uid="{00000000-0005-0000-0000-000074030000}"/>
    <cellStyle name="PB Table Standard Row 3 2" xfId="895" xr:uid="{00000000-0005-0000-0000-000075030000}"/>
    <cellStyle name="PB Table Standard Row 3 2 2" xfId="1231" xr:uid="{00000000-0005-0000-0000-000076030000}"/>
    <cellStyle name="PB Table Standard Row 3 3" xfId="1090" xr:uid="{00000000-0005-0000-0000-000077030000}"/>
    <cellStyle name="PB Table Standard Row 4" xfId="837" xr:uid="{00000000-0005-0000-0000-000078030000}"/>
    <cellStyle name="PB Table Standard Row 4 2" xfId="998" xr:uid="{00000000-0005-0000-0000-000079030000}"/>
    <cellStyle name="PB Table Standard Row 4 2 2" xfId="1324" xr:uid="{00000000-0005-0000-0000-00007A030000}"/>
    <cellStyle name="PB Table Standard Row 4 3" xfId="1191" xr:uid="{00000000-0005-0000-0000-00007B030000}"/>
    <cellStyle name="PB Table Standard Row 5" xfId="811" xr:uid="{00000000-0005-0000-0000-00007C030000}"/>
    <cellStyle name="PB Table Standard Row 5 2" xfId="1176" xr:uid="{00000000-0005-0000-0000-00007D030000}"/>
    <cellStyle name="PB Table Subtotal Row" xfId="50" xr:uid="{00000000-0005-0000-0000-00007E030000}"/>
    <cellStyle name="PB Table Subtotal Row 2" xfId="679" xr:uid="{00000000-0005-0000-0000-00007F030000}"/>
    <cellStyle name="PB Table Total Row" xfId="51" xr:uid="{00000000-0005-0000-0000-000080030000}"/>
    <cellStyle name="pb_table_format_bottomonly" xfId="435" xr:uid="{00000000-0005-0000-0000-000081030000}"/>
    <cellStyle name="pct_sub" xfId="587" xr:uid="{00000000-0005-0000-0000-000082030000}"/>
    <cellStyle name="Percent" xfId="52" builtinId="5"/>
    <cellStyle name="Percent (1)" xfId="128" xr:uid="{00000000-0005-0000-0000-000084030000}"/>
    <cellStyle name="Percent [0]" xfId="129" xr:uid="{00000000-0005-0000-0000-000085030000}"/>
    <cellStyle name="Percent [0] 2" xfId="436" xr:uid="{00000000-0005-0000-0000-000086030000}"/>
    <cellStyle name="Percent [00]" xfId="588" xr:uid="{00000000-0005-0000-0000-000087030000}"/>
    <cellStyle name="Percent [1]" xfId="130" xr:uid="{00000000-0005-0000-0000-000088030000}"/>
    <cellStyle name="Percent [1] 2" xfId="437" xr:uid="{00000000-0005-0000-0000-000089030000}"/>
    <cellStyle name="Percent [2]" xfId="53" xr:uid="{00000000-0005-0000-0000-00008A030000}"/>
    <cellStyle name="Percent 0.0" xfId="438" xr:uid="{00000000-0005-0000-0000-00008B030000}"/>
    <cellStyle name="Percent 0.0 2" xfId="771" xr:uid="{00000000-0005-0000-0000-00008C030000}"/>
    <cellStyle name="Percent 0.0 2 2" xfId="950" xr:uid="{00000000-0005-0000-0000-00008D030000}"/>
    <cellStyle name="Percent 0.0 3" xfId="732" xr:uid="{00000000-0005-0000-0000-00008E030000}"/>
    <cellStyle name="Percent 0.0 3 2" xfId="1016" xr:uid="{00000000-0005-0000-0000-00008F030000}"/>
    <cellStyle name="Percent 0.0 4" xfId="693" xr:uid="{00000000-0005-0000-0000-000090030000}"/>
    <cellStyle name="Percent 0.0 4 2" xfId="883" xr:uid="{00000000-0005-0000-0000-000091030000}"/>
    <cellStyle name="Percent 2" xfId="68" xr:uid="{00000000-0005-0000-0000-000092030000}"/>
    <cellStyle name="Percent 2 2" xfId="589" xr:uid="{00000000-0005-0000-0000-000093030000}"/>
    <cellStyle name="Percent 2 3" xfId="590" xr:uid="{00000000-0005-0000-0000-000094030000}"/>
    <cellStyle name="Percent 2 4" xfId="1385" xr:uid="{00000000-0005-0000-0000-000095030000}"/>
    <cellStyle name="Percent 3" xfId="591" xr:uid="{00000000-0005-0000-0000-000096030000}"/>
    <cellStyle name="Percent 4" xfId="592" xr:uid="{00000000-0005-0000-0000-000097030000}"/>
    <cellStyle name="Percent 5" xfId="1380" xr:uid="{00000000-0005-0000-0000-000098030000}"/>
    <cellStyle name="Percent 6" xfId="1389" xr:uid="{00000000-0005-0000-0000-000099030000}"/>
    <cellStyle name="Percent 7" xfId="1393" xr:uid="{00000000-0005-0000-0000-00009A030000}"/>
    <cellStyle name="Percent 8" xfId="1397" xr:uid="{00000000-0005-0000-0000-00009B030000}"/>
    <cellStyle name="Percent Hard" xfId="593" xr:uid="{00000000-0005-0000-0000-00009C030000}"/>
    <cellStyle name="Percent Input" xfId="439" xr:uid="{00000000-0005-0000-0000-00009D030000}"/>
    <cellStyle name="Percent(1)" xfId="54" xr:uid="{00000000-0005-0000-0000-00009E030000}"/>
    <cellStyle name="Percent.1" xfId="440" xr:uid="{00000000-0005-0000-0000-00009F030000}"/>
    <cellStyle name="Percent[0]" xfId="55" xr:uid="{00000000-0005-0000-0000-0000A0030000}"/>
    <cellStyle name="Percent[1]" xfId="56" xr:uid="{00000000-0005-0000-0000-0000A1030000}"/>
    <cellStyle name="Percent[1] 2" xfId="441" xr:uid="{00000000-0005-0000-0000-0000A2030000}"/>
    <cellStyle name="Percent0" xfId="442" xr:uid="{00000000-0005-0000-0000-0000A3030000}"/>
    <cellStyle name="Percent1" xfId="443" xr:uid="{00000000-0005-0000-0000-0000A4030000}"/>
    <cellStyle name="Percent2" xfId="444" xr:uid="{00000000-0005-0000-0000-0000A5030000}"/>
    <cellStyle name="percentage" xfId="131" xr:uid="{00000000-0005-0000-0000-0000A6030000}"/>
    <cellStyle name="PercentChange" xfId="445" xr:uid="{00000000-0005-0000-0000-0000A7030000}"/>
    <cellStyle name="PercentPresentation" xfId="446" xr:uid="{00000000-0005-0000-0000-0000A8030000}"/>
    <cellStyle name="Perlong" xfId="594" xr:uid="{00000000-0005-0000-0000-0000A9030000}"/>
    <cellStyle name="PlainDollar" xfId="447" xr:uid="{00000000-0005-0000-0000-0000AA030000}"/>
    <cellStyle name="POPS" xfId="448" xr:uid="{00000000-0005-0000-0000-0000AB030000}"/>
    <cellStyle name="ppt" xfId="57" xr:uid="{00000000-0005-0000-0000-0000AC030000}"/>
    <cellStyle name="ppt[1]" xfId="58" xr:uid="{00000000-0005-0000-0000-0000AD030000}"/>
    <cellStyle name="ppt_DIS" xfId="595" xr:uid="{00000000-0005-0000-0000-0000AE030000}"/>
    <cellStyle name="PrePop Currency (0)" xfId="596" xr:uid="{00000000-0005-0000-0000-0000AF030000}"/>
    <cellStyle name="PrePop Currency (2)" xfId="597" xr:uid="{00000000-0005-0000-0000-0000B0030000}"/>
    <cellStyle name="PrePop Units (0)" xfId="598" xr:uid="{00000000-0005-0000-0000-0000B1030000}"/>
    <cellStyle name="PrePop Units (1)" xfId="599" xr:uid="{00000000-0005-0000-0000-0000B2030000}"/>
    <cellStyle name="PrePop Units (2)" xfId="600" xr:uid="{00000000-0005-0000-0000-0000B3030000}"/>
    <cellStyle name="PresentationZero" xfId="449" xr:uid="{00000000-0005-0000-0000-0000B4030000}"/>
    <cellStyle name="Price" xfId="450" xr:uid="{00000000-0005-0000-0000-0000B5030000}"/>
    <cellStyle name="Private" xfId="601" xr:uid="{00000000-0005-0000-0000-0000B6030000}"/>
    <cellStyle name="Private1" xfId="602" xr:uid="{00000000-0005-0000-0000-0000B7030000}"/>
    <cellStyle name="PROJECT" xfId="603" xr:uid="{00000000-0005-0000-0000-0000B8030000}"/>
    <cellStyle name="PROJECT R" xfId="604" xr:uid="{00000000-0005-0000-0000-0000B9030000}"/>
    <cellStyle name="PSChar" xfId="605" xr:uid="{00000000-0005-0000-0000-0000BA030000}"/>
    <cellStyle name="PSDate" xfId="606" xr:uid="{00000000-0005-0000-0000-0000BB030000}"/>
    <cellStyle name="PSDec" xfId="607" xr:uid="{00000000-0005-0000-0000-0000BC030000}"/>
    <cellStyle name="PSHeading" xfId="608" xr:uid="{00000000-0005-0000-0000-0000BD030000}"/>
    <cellStyle name="PSInt" xfId="609" xr:uid="{00000000-0005-0000-0000-0000BE030000}"/>
    <cellStyle name="PSSpacer" xfId="610" xr:uid="{00000000-0005-0000-0000-0000BF030000}"/>
    <cellStyle name="Rate" xfId="611" xr:uid="{00000000-0005-0000-0000-0000C0030000}"/>
    <cellStyle name="Ratio" xfId="451" xr:uid="{00000000-0005-0000-0000-0000C1030000}"/>
    <cellStyle name="RatioX" xfId="452" xr:uid="{00000000-0005-0000-0000-0000C2030000}"/>
    <cellStyle name="RevList" xfId="612" xr:uid="{00000000-0005-0000-0000-0000C3030000}"/>
    <cellStyle name="rh" xfId="59" xr:uid="{00000000-0005-0000-0000-0000C4030000}"/>
    <cellStyle name="Right" xfId="453" xr:uid="{00000000-0005-0000-0000-0000C5030000}"/>
    <cellStyle name="Row Title 1" xfId="132" xr:uid="{00000000-0005-0000-0000-0000C6030000}"/>
    <cellStyle name="Row Title 2" xfId="133" xr:uid="{00000000-0005-0000-0000-0000C7030000}"/>
    <cellStyle name="s" xfId="613" xr:uid="{00000000-0005-0000-0000-0000C8030000}"/>
    <cellStyle name="Salomon Logo" xfId="134" xr:uid="{00000000-0005-0000-0000-0000C9030000}"/>
    <cellStyle name="Salomon Logo 2" xfId="454" xr:uid="{00000000-0005-0000-0000-0000CA030000}"/>
    <cellStyle name="ScripFactor" xfId="455" xr:uid="{00000000-0005-0000-0000-0000CB030000}"/>
    <cellStyle name="SectionHeading" xfId="456" xr:uid="{00000000-0005-0000-0000-0000CC030000}"/>
    <cellStyle name="Shaded" xfId="614" xr:uid="{00000000-0005-0000-0000-0000CD030000}"/>
    <cellStyle name="Shares" xfId="457" xr:uid="{00000000-0005-0000-0000-0000CE030000}"/>
    <cellStyle name="Shares 2" xfId="778" xr:uid="{00000000-0005-0000-0000-0000CF030000}"/>
    <cellStyle name="Shares 2 2" xfId="955" xr:uid="{00000000-0005-0000-0000-0000D0030000}"/>
    <cellStyle name="Shares 2 2 2" xfId="1285" xr:uid="{00000000-0005-0000-0000-0000D1030000}"/>
    <cellStyle name="Shares 2 3" xfId="1033" xr:uid="{00000000-0005-0000-0000-0000D2030000}"/>
    <cellStyle name="Shares 2 3 2" xfId="1354" xr:uid="{00000000-0005-0000-0000-0000D3030000}"/>
    <cellStyle name="Shares 2 4" xfId="1151" xr:uid="{00000000-0005-0000-0000-0000D4030000}"/>
    <cellStyle name="Shares 3" xfId="669" xr:uid="{00000000-0005-0000-0000-0000D5030000}"/>
    <cellStyle name="Shares 3 2" xfId="871" xr:uid="{00000000-0005-0000-0000-0000D6030000}"/>
    <cellStyle name="Shares 3 2 2" xfId="1210" xr:uid="{00000000-0005-0000-0000-0000D7030000}"/>
    <cellStyle name="Shares 3 3" xfId="1067" xr:uid="{00000000-0005-0000-0000-0000D8030000}"/>
    <cellStyle name="Shares 4" xfId="717" xr:uid="{00000000-0005-0000-0000-0000D9030000}"/>
    <cellStyle name="Shares 4 2" xfId="905" xr:uid="{00000000-0005-0000-0000-0000DA030000}"/>
    <cellStyle name="Shares 4 2 2" xfId="1241" xr:uid="{00000000-0005-0000-0000-0000DB030000}"/>
    <cellStyle name="Shares 4 3" xfId="1100" xr:uid="{00000000-0005-0000-0000-0000DC030000}"/>
    <cellStyle name="Shares 5" xfId="691" xr:uid="{00000000-0005-0000-0000-0000DD030000}"/>
    <cellStyle name="Shares 5 2" xfId="1078" xr:uid="{00000000-0005-0000-0000-0000DE030000}"/>
    <cellStyle name="Sheet Title" xfId="458" xr:uid="{00000000-0005-0000-0000-0000DF030000}"/>
    <cellStyle name="Sheetmult" xfId="459" xr:uid="{00000000-0005-0000-0000-0000E0030000}"/>
    <cellStyle name="Shtmultx" xfId="460" xr:uid="{00000000-0005-0000-0000-0000E1030000}"/>
    <cellStyle name="Single Accounting" xfId="60" xr:uid="{00000000-0005-0000-0000-0000E2030000}"/>
    <cellStyle name="SPOl" xfId="61" xr:uid="{00000000-0005-0000-0000-0000E3030000}"/>
    <cellStyle name="srh" xfId="62" xr:uid="{00000000-0005-0000-0000-0000E4030000}"/>
    <cellStyle name="SSComma0" xfId="461" xr:uid="{00000000-0005-0000-0000-0000E5030000}"/>
    <cellStyle name="SSComma0 2" xfId="780" xr:uid="{00000000-0005-0000-0000-0000E6030000}"/>
    <cellStyle name="SSComma0 2 2" xfId="957" xr:uid="{00000000-0005-0000-0000-0000E7030000}"/>
    <cellStyle name="SSComma0 2 2 2" xfId="1287" xr:uid="{00000000-0005-0000-0000-0000E8030000}"/>
    <cellStyle name="SSComma0 2 3" xfId="1035" xr:uid="{00000000-0005-0000-0000-0000E9030000}"/>
    <cellStyle name="SSComma0 2 3 2" xfId="1356" xr:uid="{00000000-0005-0000-0000-0000EA030000}"/>
    <cellStyle name="SSComma0 2 4" xfId="1153" xr:uid="{00000000-0005-0000-0000-0000EB030000}"/>
    <cellStyle name="SSComma0 3" xfId="740" xr:uid="{00000000-0005-0000-0000-0000EC030000}"/>
    <cellStyle name="SSComma0 3 2" xfId="924" xr:uid="{00000000-0005-0000-0000-0000ED030000}"/>
    <cellStyle name="SSComma0 3 2 2" xfId="1257" xr:uid="{00000000-0005-0000-0000-0000EE030000}"/>
    <cellStyle name="SSComma0 3 3" xfId="1019" xr:uid="{00000000-0005-0000-0000-0000EF030000}"/>
    <cellStyle name="SSComma0 3 3 2" xfId="1342" xr:uid="{00000000-0005-0000-0000-0000F0030000}"/>
    <cellStyle name="SSComma0 3 4" xfId="1118" xr:uid="{00000000-0005-0000-0000-0000F1030000}"/>
    <cellStyle name="SSComma0 4" xfId="753" xr:uid="{00000000-0005-0000-0000-0000F2030000}"/>
    <cellStyle name="SSComma0 4 2" xfId="936" xr:uid="{00000000-0005-0000-0000-0000F3030000}"/>
    <cellStyle name="SSComma0 4 2 2" xfId="1269" xr:uid="{00000000-0005-0000-0000-0000F4030000}"/>
    <cellStyle name="SSComma0 4 3" xfId="1025" xr:uid="{00000000-0005-0000-0000-0000F5030000}"/>
    <cellStyle name="SSComma0 4 3 2" xfId="1347" xr:uid="{00000000-0005-0000-0000-0000F6030000}"/>
    <cellStyle name="SSComma0 4 4" xfId="1130" xr:uid="{00000000-0005-0000-0000-0000F7030000}"/>
    <cellStyle name="SSComma2" xfId="462" xr:uid="{00000000-0005-0000-0000-0000F8030000}"/>
    <cellStyle name="SSComma2 2" xfId="781" xr:uid="{00000000-0005-0000-0000-0000F9030000}"/>
    <cellStyle name="SSComma2 2 2" xfId="958" xr:uid="{00000000-0005-0000-0000-0000FA030000}"/>
    <cellStyle name="SSComma2 2 2 2" xfId="1288" xr:uid="{00000000-0005-0000-0000-0000FB030000}"/>
    <cellStyle name="SSComma2 2 3" xfId="1036" xr:uid="{00000000-0005-0000-0000-0000FC030000}"/>
    <cellStyle name="SSComma2 2 3 2" xfId="1357" xr:uid="{00000000-0005-0000-0000-0000FD030000}"/>
    <cellStyle name="SSComma2 2 4" xfId="1154" xr:uid="{00000000-0005-0000-0000-0000FE030000}"/>
    <cellStyle name="SSComma2 3" xfId="674" xr:uid="{00000000-0005-0000-0000-0000FF030000}"/>
    <cellStyle name="SSComma2 3 2" xfId="874" xr:uid="{00000000-0005-0000-0000-000000040000}"/>
    <cellStyle name="SSComma2 3 2 2" xfId="1212" xr:uid="{00000000-0005-0000-0000-000001040000}"/>
    <cellStyle name="SSComma2 3 3" xfId="855" xr:uid="{00000000-0005-0000-0000-000002040000}"/>
    <cellStyle name="SSComma2 3 3 2" xfId="1200" xr:uid="{00000000-0005-0000-0000-000003040000}"/>
    <cellStyle name="SSComma2 3 4" xfId="1069" xr:uid="{00000000-0005-0000-0000-000004040000}"/>
    <cellStyle name="SSComma2 4" xfId="826" xr:uid="{00000000-0005-0000-0000-000005040000}"/>
    <cellStyle name="SSComma2 4 2" xfId="990" xr:uid="{00000000-0005-0000-0000-000006040000}"/>
    <cellStyle name="SSComma2 4 2 2" xfId="1317" xr:uid="{00000000-0005-0000-0000-000007040000}"/>
    <cellStyle name="SSComma2 4 3" xfId="1051" xr:uid="{00000000-0005-0000-0000-000008040000}"/>
    <cellStyle name="SSComma2 4 3 2" xfId="1372" xr:uid="{00000000-0005-0000-0000-000009040000}"/>
    <cellStyle name="SSComma2 4 4" xfId="1186" xr:uid="{00000000-0005-0000-0000-00000A040000}"/>
    <cellStyle name="SSDecs3" xfId="463" xr:uid="{00000000-0005-0000-0000-00000B040000}"/>
    <cellStyle name="SSDecs3 2" xfId="782" xr:uid="{00000000-0005-0000-0000-00000C040000}"/>
    <cellStyle name="SSDecs3 2 2" xfId="959" xr:uid="{00000000-0005-0000-0000-00000D040000}"/>
    <cellStyle name="SSDecs3 2 2 2" xfId="1289" xr:uid="{00000000-0005-0000-0000-00000E040000}"/>
    <cellStyle name="SSDecs3 2 3" xfId="1037" xr:uid="{00000000-0005-0000-0000-00000F040000}"/>
    <cellStyle name="SSDecs3 2 3 2" xfId="1358" xr:uid="{00000000-0005-0000-0000-000010040000}"/>
    <cellStyle name="SSDecs3 2 4" xfId="1155" xr:uid="{00000000-0005-0000-0000-000011040000}"/>
    <cellStyle name="SSDecs3 3" xfId="690" xr:uid="{00000000-0005-0000-0000-000012040000}"/>
    <cellStyle name="SSDecs3 3 2" xfId="881" xr:uid="{00000000-0005-0000-0000-000013040000}"/>
    <cellStyle name="SSDecs3 3 2 2" xfId="1219" xr:uid="{00000000-0005-0000-0000-000014040000}"/>
    <cellStyle name="SSDecs3 3 3" xfId="863" xr:uid="{00000000-0005-0000-0000-000015040000}"/>
    <cellStyle name="SSDecs3 3 3 2" xfId="1202" xr:uid="{00000000-0005-0000-0000-000016040000}"/>
    <cellStyle name="SSDecs3 3 4" xfId="1077" xr:uid="{00000000-0005-0000-0000-000017040000}"/>
    <cellStyle name="SSDecs3 4" xfId="816" xr:uid="{00000000-0005-0000-0000-000018040000}"/>
    <cellStyle name="SSDecs3 4 2" xfId="982" xr:uid="{00000000-0005-0000-0000-000019040000}"/>
    <cellStyle name="SSDecs3 4 2 2" xfId="1311" xr:uid="{00000000-0005-0000-0000-00001A040000}"/>
    <cellStyle name="SSDecs3 4 3" xfId="1049" xr:uid="{00000000-0005-0000-0000-00001B040000}"/>
    <cellStyle name="SSDecs3 4 3 2" xfId="1370" xr:uid="{00000000-0005-0000-0000-00001C040000}"/>
    <cellStyle name="SSDecs3 4 4" xfId="1179" xr:uid="{00000000-0005-0000-0000-00001D040000}"/>
    <cellStyle name="SSDflt" xfId="464" xr:uid="{00000000-0005-0000-0000-00001E040000}"/>
    <cellStyle name="SSDfltPct" xfId="465" xr:uid="{00000000-0005-0000-0000-00001F040000}"/>
    <cellStyle name="SSDfltPct 2" xfId="783" xr:uid="{00000000-0005-0000-0000-000020040000}"/>
    <cellStyle name="SSDfltPct 2 2" xfId="960" xr:uid="{00000000-0005-0000-0000-000021040000}"/>
    <cellStyle name="SSDfltPct 2 2 2" xfId="1290" xr:uid="{00000000-0005-0000-0000-000022040000}"/>
    <cellStyle name="SSDfltPct 2 3" xfId="1038" xr:uid="{00000000-0005-0000-0000-000023040000}"/>
    <cellStyle name="SSDfltPct 2 3 2" xfId="1359" xr:uid="{00000000-0005-0000-0000-000024040000}"/>
    <cellStyle name="SSDfltPct 2 4" xfId="1156" xr:uid="{00000000-0005-0000-0000-000025040000}"/>
    <cellStyle name="SSDfltPct 3" xfId="738" xr:uid="{00000000-0005-0000-0000-000026040000}"/>
    <cellStyle name="SSDfltPct 3 2" xfId="922" xr:uid="{00000000-0005-0000-0000-000027040000}"/>
    <cellStyle name="SSDfltPct 3 2 2" xfId="1255" xr:uid="{00000000-0005-0000-0000-000028040000}"/>
    <cellStyle name="SSDfltPct 3 3" xfId="1017" xr:uid="{00000000-0005-0000-0000-000029040000}"/>
    <cellStyle name="SSDfltPct 3 3 2" xfId="1340" xr:uid="{00000000-0005-0000-0000-00002A040000}"/>
    <cellStyle name="SSDfltPct 3 4" xfId="1116" xr:uid="{00000000-0005-0000-0000-00002B040000}"/>
    <cellStyle name="SSDfltPct 4" xfId="776" xr:uid="{00000000-0005-0000-0000-00002C040000}"/>
    <cellStyle name="SSDfltPct 4 2" xfId="953" xr:uid="{00000000-0005-0000-0000-00002D040000}"/>
    <cellStyle name="SSDfltPct 4 2 2" xfId="1284" xr:uid="{00000000-0005-0000-0000-00002E040000}"/>
    <cellStyle name="SSDfltPct 4 3" xfId="1032" xr:uid="{00000000-0005-0000-0000-00002F040000}"/>
    <cellStyle name="SSDfltPct 4 3 2" xfId="1353" xr:uid="{00000000-0005-0000-0000-000030040000}"/>
    <cellStyle name="SSDfltPct 4 4" xfId="1150" xr:uid="{00000000-0005-0000-0000-000031040000}"/>
    <cellStyle name="SSDfltPct0" xfId="466" xr:uid="{00000000-0005-0000-0000-000032040000}"/>
    <cellStyle name="SSDfltPct0 2" xfId="784" xr:uid="{00000000-0005-0000-0000-000033040000}"/>
    <cellStyle name="SSDfltPct0 2 2" xfId="961" xr:uid="{00000000-0005-0000-0000-000034040000}"/>
    <cellStyle name="SSDfltPct0 2 2 2" xfId="1291" xr:uid="{00000000-0005-0000-0000-000035040000}"/>
    <cellStyle name="SSDfltPct0 2 3" xfId="1039" xr:uid="{00000000-0005-0000-0000-000036040000}"/>
    <cellStyle name="SSDfltPct0 2 3 2" xfId="1360" xr:uid="{00000000-0005-0000-0000-000037040000}"/>
    <cellStyle name="SSDfltPct0 2 4" xfId="1157" xr:uid="{00000000-0005-0000-0000-000038040000}"/>
    <cellStyle name="SSDfltPct0 3" xfId="683" xr:uid="{00000000-0005-0000-0000-000039040000}"/>
    <cellStyle name="SSDfltPct0 3 2" xfId="876" xr:uid="{00000000-0005-0000-0000-00003A040000}"/>
    <cellStyle name="SSDfltPct0 3 2 2" xfId="1214" xr:uid="{00000000-0005-0000-0000-00003B040000}"/>
    <cellStyle name="SSDfltPct0 3 3" xfId="853" xr:uid="{00000000-0005-0000-0000-00003C040000}"/>
    <cellStyle name="SSDfltPct0 3 3 2" xfId="1198" xr:uid="{00000000-0005-0000-0000-00003D040000}"/>
    <cellStyle name="SSDfltPct0 3 4" xfId="1071" xr:uid="{00000000-0005-0000-0000-00003E040000}"/>
    <cellStyle name="SSDfltPct0 4" xfId="754" xr:uid="{00000000-0005-0000-0000-00003F040000}"/>
    <cellStyle name="SSDfltPct0 4 2" xfId="937" xr:uid="{00000000-0005-0000-0000-000040040000}"/>
    <cellStyle name="SSDfltPct0 4 2 2" xfId="1270" xr:uid="{00000000-0005-0000-0000-000041040000}"/>
    <cellStyle name="SSDfltPct0 4 3" xfId="1026" xr:uid="{00000000-0005-0000-0000-000042040000}"/>
    <cellStyle name="SSDfltPct0 4 3 2" xfId="1348" xr:uid="{00000000-0005-0000-0000-000043040000}"/>
    <cellStyle name="SSDfltPct0 4 4" xfId="1131" xr:uid="{00000000-0005-0000-0000-000044040000}"/>
    <cellStyle name="SSFixed2" xfId="467" xr:uid="{00000000-0005-0000-0000-000045040000}"/>
    <cellStyle name="SSFixed2 2" xfId="785" xr:uid="{00000000-0005-0000-0000-000046040000}"/>
    <cellStyle name="SSFixed2 2 2" xfId="962" xr:uid="{00000000-0005-0000-0000-000047040000}"/>
    <cellStyle name="SSFixed2 2 2 2" xfId="1292" xr:uid="{00000000-0005-0000-0000-000048040000}"/>
    <cellStyle name="SSFixed2 2 3" xfId="1040" xr:uid="{00000000-0005-0000-0000-000049040000}"/>
    <cellStyle name="SSFixed2 2 3 2" xfId="1361" xr:uid="{00000000-0005-0000-0000-00004A040000}"/>
    <cellStyle name="SSFixed2 2 4" xfId="1158" xr:uid="{00000000-0005-0000-0000-00004B040000}"/>
    <cellStyle name="SSFixed2 3" xfId="689" xr:uid="{00000000-0005-0000-0000-00004C040000}"/>
    <cellStyle name="SSFixed2 3 2" xfId="880" xr:uid="{00000000-0005-0000-0000-00004D040000}"/>
    <cellStyle name="SSFixed2 3 2 2" xfId="1218" xr:uid="{00000000-0005-0000-0000-00004E040000}"/>
    <cellStyle name="SSFixed2 3 3" xfId="849" xr:uid="{00000000-0005-0000-0000-00004F040000}"/>
    <cellStyle name="SSFixed2 3 3 2" xfId="1197" xr:uid="{00000000-0005-0000-0000-000050040000}"/>
    <cellStyle name="SSFixed2 3 4" xfId="1076" xr:uid="{00000000-0005-0000-0000-000051040000}"/>
    <cellStyle name="SSFixed2 4" xfId="764" xr:uid="{00000000-0005-0000-0000-000052040000}"/>
    <cellStyle name="SSFixed2 4 2" xfId="945" xr:uid="{00000000-0005-0000-0000-000053040000}"/>
    <cellStyle name="SSFixed2 4 2 2" xfId="1277" xr:uid="{00000000-0005-0000-0000-000054040000}"/>
    <cellStyle name="SSFixed2 4 3" xfId="1030" xr:uid="{00000000-0005-0000-0000-000055040000}"/>
    <cellStyle name="SSFixed2 4 3 2" xfId="1351" xr:uid="{00000000-0005-0000-0000-000056040000}"/>
    <cellStyle name="SSFixed2 4 4" xfId="1139" xr:uid="{00000000-0005-0000-0000-000057040000}"/>
    <cellStyle name="Standard" xfId="468" xr:uid="{00000000-0005-0000-0000-000058040000}"/>
    <cellStyle name="Style 1" xfId="159" xr:uid="{00000000-0005-0000-0000-000059040000}"/>
    <cellStyle name="STYLE1" xfId="615" xr:uid="{00000000-0005-0000-0000-00005A040000}"/>
    <cellStyle name="STYLE2" xfId="616" xr:uid="{00000000-0005-0000-0000-00005B040000}"/>
    <cellStyle name="STYLE3" xfId="617" xr:uid="{00000000-0005-0000-0000-00005C040000}"/>
    <cellStyle name="STYLE4" xfId="618" xr:uid="{00000000-0005-0000-0000-00005D040000}"/>
    <cellStyle name="Subhead" xfId="469" xr:uid="{00000000-0005-0000-0000-00005E040000}"/>
    <cellStyle name="Subscribers" xfId="470" xr:uid="{00000000-0005-0000-0000-00005F040000}"/>
    <cellStyle name="Subtitle" xfId="619" xr:uid="{00000000-0005-0000-0000-000060040000}"/>
    <cellStyle name="Subtotal" xfId="620" xr:uid="{00000000-0005-0000-0000-000061040000}"/>
    <cellStyle name="Summ" xfId="471" xr:uid="{00000000-0005-0000-0000-000062040000}"/>
    <cellStyle name="Summary" xfId="621" xr:uid="{00000000-0005-0000-0000-000063040000}"/>
    <cellStyle name="Table Col Head" xfId="622" xr:uid="{00000000-0005-0000-0000-000064040000}"/>
    <cellStyle name="Table Head" xfId="135" xr:uid="{00000000-0005-0000-0000-000065040000}"/>
    <cellStyle name="Table Head 2" xfId="472" xr:uid="{00000000-0005-0000-0000-000066040000}"/>
    <cellStyle name="Table Head Aligned" xfId="136" xr:uid="{00000000-0005-0000-0000-000067040000}"/>
    <cellStyle name="Table Head Aligned 2" xfId="473" xr:uid="{00000000-0005-0000-0000-000068040000}"/>
    <cellStyle name="Table Head Aligned 2 2" xfId="786" xr:uid="{00000000-0005-0000-0000-000069040000}"/>
    <cellStyle name="Table Head Aligned 2 2 2" xfId="963" xr:uid="{00000000-0005-0000-0000-00006A040000}"/>
    <cellStyle name="Table Head Aligned 2 2 2 2" xfId="1293" xr:uid="{00000000-0005-0000-0000-00006B040000}"/>
    <cellStyle name="Table Head Aligned 2 2 3" xfId="1041" xr:uid="{00000000-0005-0000-0000-00006C040000}"/>
    <cellStyle name="Table Head Aligned 2 2 3 2" xfId="1362" xr:uid="{00000000-0005-0000-0000-00006D040000}"/>
    <cellStyle name="Table Head Aligned 2 2 4" xfId="1159" xr:uid="{00000000-0005-0000-0000-00006E040000}"/>
    <cellStyle name="Table Head Aligned 2 3" xfId="686" xr:uid="{00000000-0005-0000-0000-00006F040000}"/>
    <cellStyle name="Table Head Aligned 2 3 2" xfId="877" xr:uid="{00000000-0005-0000-0000-000070040000}"/>
    <cellStyle name="Table Head Aligned 2 3 2 2" xfId="1215" xr:uid="{00000000-0005-0000-0000-000071040000}"/>
    <cellStyle name="Table Head Aligned 2 3 3" xfId="1073" xr:uid="{00000000-0005-0000-0000-000072040000}"/>
    <cellStyle name="Table Head Aligned 2 4" xfId="817" xr:uid="{00000000-0005-0000-0000-000073040000}"/>
    <cellStyle name="Table Head Aligned 2 4 2" xfId="983" xr:uid="{00000000-0005-0000-0000-000074040000}"/>
    <cellStyle name="Table Head Aligned 2 4 2 2" xfId="1312" xr:uid="{00000000-0005-0000-0000-000075040000}"/>
    <cellStyle name="Table Head Aligned 2 4 3" xfId="1180" xr:uid="{00000000-0005-0000-0000-000076040000}"/>
    <cellStyle name="Table Head Aligned 2 5" xfId="789" xr:uid="{00000000-0005-0000-0000-000077040000}"/>
    <cellStyle name="Table Head Aligned 2 5 2" xfId="1161" xr:uid="{00000000-0005-0000-0000-000078040000}"/>
    <cellStyle name="Table Head Aligned 3" xfId="701" xr:uid="{00000000-0005-0000-0000-000079040000}"/>
    <cellStyle name="Table Head Aligned 3 2" xfId="891" xr:uid="{00000000-0005-0000-0000-00007A040000}"/>
    <cellStyle name="Table Head Aligned 3 2 2" xfId="1227" xr:uid="{00000000-0005-0000-0000-00007B040000}"/>
    <cellStyle name="Table Head Aligned 3 3" xfId="1005" xr:uid="{00000000-0005-0000-0000-00007C040000}"/>
    <cellStyle name="Table Head Aligned 3 3 2" xfId="1331" xr:uid="{00000000-0005-0000-0000-00007D040000}"/>
    <cellStyle name="Table Head Aligned 3 4" xfId="1086" xr:uid="{00000000-0005-0000-0000-00007E040000}"/>
    <cellStyle name="Table Head Aligned 4" xfId="820" xr:uid="{00000000-0005-0000-0000-00007F040000}"/>
    <cellStyle name="Table Head Aligned 4 2" xfId="986" xr:uid="{00000000-0005-0000-0000-000080040000}"/>
    <cellStyle name="Table Head Aligned 4 2 2" xfId="1313" xr:uid="{00000000-0005-0000-0000-000081040000}"/>
    <cellStyle name="Table Head Aligned 4 3" xfId="1181" xr:uid="{00000000-0005-0000-0000-000082040000}"/>
    <cellStyle name="Table Head Aligned 5" xfId="835" xr:uid="{00000000-0005-0000-0000-000083040000}"/>
    <cellStyle name="Table Head Aligned 5 2" xfId="996" xr:uid="{00000000-0005-0000-0000-000084040000}"/>
    <cellStyle name="Table Head Aligned 5 2 2" xfId="1322" xr:uid="{00000000-0005-0000-0000-000085040000}"/>
    <cellStyle name="Table Head Aligned 5 3" xfId="1190" xr:uid="{00000000-0005-0000-0000-000086040000}"/>
    <cellStyle name="Table Head Aligned 6" xfId="768" xr:uid="{00000000-0005-0000-0000-000087040000}"/>
    <cellStyle name="Table Head Aligned 6 2" xfId="1143" xr:uid="{00000000-0005-0000-0000-000088040000}"/>
    <cellStyle name="Table Head Blue" xfId="137" xr:uid="{00000000-0005-0000-0000-000089040000}"/>
    <cellStyle name="Table Head Green" xfId="138" xr:uid="{00000000-0005-0000-0000-00008A040000}"/>
    <cellStyle name="Table Head Green 2" xfId="702" xr:uid="{00000000-0005-0000-0000-00008B040000}"/>
    <cellStyle name="Table Head Green 2 2" xfId="892" xr:uid="{00000000-0005-0000-0000-00008C040000}"/>
    <cellStyle name="Table Head Green 2 2 2" xfId="1228" xr:uid="{00000000-0005-0000-0000-00008D040000}"/>
    <cellStyle name="Table Head Green 2 3" xfId="1006" xr:uid="{00000000-0005-0000-0000-00008E040000}"/>
    <cellStyle name="Table Head Green 2 3 2" xfId="1332" xr:uid="{00000000-0005-0000-0000-00008F040000}"/>
    <cellStyle name="Table Head Green 2 4" xfId="1087" xr:uid="{00000000-0005-0000-0000-000090040000}"/>
    <cellStyle name="Table Head Green 3" xfId="774" xr:uid="{00000000-0005-0000-0000-000091040000}"/>
    <cellStyle name="Table Head Green 3 2" xfId="952" xr:uid="{00000000-0005-0000-0000-000092040000}"/>
    <cellStyle name="Table Head Green 3 2 2" xfId="1283" xr:uid="{00000000-0005-0000-0000-000093040000}"/>
    <cellStyle name="Table Head Green 3 3" xfId="1148" xr:uid="{00000000-0005-0000-0000-000094040000}"/>
    <cellStyle name="Table Head Green 4" xfId="804" xr:uid="{00000000-0005-0000-0000-000095040000}"/>
    <cellStyle name="Table Head Green 4 2" xfId="975" xr:uid="{00000000-0005-0000-0000-000096040000}"/>
    <cellStyle name="Table Head Green 4 2 2" xfId="1304" xr:uid="{00000000-0005-0000-0000-000097040000}"/>
    <cellStyle name="Table Head Green 4 3" xfId="1171" xr:uid="{00000000-0005-0000-0000-000098040000}"/>
    <cellStyle name="Table Head Green 5" xfId="767" xr:uid="{00000000-0005-0000-0000-000099040000}"/>
    <cellStyle name="Table Head Green 5 2" xfId="1142" xr:uid="{00000000-0005-0000-0000-00009A040000}"/>
    <cellStyle name="Table Head_3Q01 NTL HY model" xfId="474" xr:uid="{00000000-0005-0000-0000-00009B040000}"/>
    <cellStyle name="Table Heading" xfId="475" xr:uid="{00000000-0005-0000-0000-00009C040000}"/>
    <cellStyle name="Table Source" xfId="139" xr:uid="{00000000-0005-0000-0000-00009D040000}"/>
    <cellStyle name="Table Source 2" xfId="476" xr:uid="{00000000-0005-0000-0000-00009E040000}"/>
    <cellStyle name="Table Sub Head" xfId="623" xr:uid="{00000000-0005-0000-0000-00009F040000}"/>
    <cellStyle name="Table Text" xfId="140" xr:uid="{00000000-0005-0000-0000-0000A0040000}"/>
    <cellStyle name="Table Text 2" xfId="477" xr:uid="{00000000-0005-0000-0000-0000A1040000}"/>
    <cellStyle name="Table Title" xfId="141" xr:uid="{00000000-0005-0000-0000-0000A2040000}"/>
    <cellStyle name="Table Title 2" xfId="478" xr:uid="{00000000-0005-0000-0000-0000A3040000}"/>
    <cellStyle name="Table Units" xfId="142" xr:uid="{00000000-0005-0000-0000-0000A4040000}"/>
    <cellStyle name="Table Units 2" xfId="479" xr:uid="{00000000-0005-0000-0000-0000A5040000}"/>
    <cellStyle name="Table Units 2 2" xfId="787" xr:uid="{00000000-0005-0000-0000-0000A6040000}"/>
    <cellStyle name="Table Units 2 2 2" xfId="964" xr:uid="{00000000-0005-0000-0000-0000A7040000}"/>
    <cellStyle name="Table Units 2 2 2 2" xfId="1294" xr:uid="{00000000-0005-0000-0000-0000A8040000}"/>
    <cellStyle name="Table Units 2 2 3" xfId="1160" xr:uid="{00000000-0005-0000-0000-0000A9040000}"/>
    <cellStyle name="Table Units 2 3" xfId="728" xr:uid="{00000000-0005-0000-0000-0000AA040000}"/>
    <cellStyle name="Table Units 2 3 2" xfId="914" xr:uid="{00000000-0005-0000-0000-0000AB040000}"/>
    <cellStyle name="Table Units 2 3 2 2" xfId="1250" xr:uid="{00000000-0005-0000-0000-0000AC040000}"/>
    <cellStyle name="Table Units 2 3 3" xfId="1111" xr:uid="{00000000-0005-0000-0000-0000AD040000}"/>
    <cellStyle name="Table Units 2 4" xfId="796" xr:uid="{00000000-0005-0000-0000-0000AE040000}"/>
    <cellStyle name="Table Units 2 4 2" xfId="970" xr:uid="{00000000-0005-0000-0000-0000AF040000}"/>
    <cellStyle name="Table Units 2 4 2 2" xfId="1299" xr:uid="{00000000-0005-0000-0000-0000B0040000}"/>
    <cellStyle name="Table Units 2 4 3" xfId="1166" xr:uid="{00000000-0005-0000-0000-0000B1040000}"/>
    <cellStyle name="Table Units 2 5" xfId="737" xr:uid="{00000000-0005-0000-0000-0000B2040000}"/>
    <cellStyle name="Table Units 2 5 2" xfId="921" xr:uid="{00000000-0005-0000-0000-0000B3040000}"/>
    <cellStyle name="Table Units 2 5 2 2" xfId="1254" xr:uid="{00000000-0005-0000-0000-0000B4040000}"/>
    <cellStyle name="Table Units 2 5 3" xfId="1115" xr:uid="{00000000-0005-0000-0000-0000B5040000}"/>
    <cellStyle name="Table Units 2 6" xfId="688" xr:uid="{00000000-0005-0000-0000-0000B6040000}"/>
    <cellStyle name="Table Units 2 6 2" xfId="879" xr:uid="{00000000-0005-0000-0000-0000B7040000}"/>
    <cellStyle name="Table Units 2 6 2 2" xfId="1217" xr:uid="{00000000-0005-0000-0000-0000B8040000}"/>
    <cellStyle name="Table Units 2 6 3" xfId="1075" xr:uid="{00000000-0005-0000-0000-0000B9040000}"/>
    <cellStyle name="Table Units 2 7" xfId="859" xr:uid="{00000000-0005-0000-0000-0000BA040000}"/>
    <cellStyle name="Table Units 3" xfId="703" xr:uid="{00000000-0005-0000-0000-0000BB040000}"/>
    <cellStyle name="Table Units 3 2" xfId="893" xr:uid="{00000000-0005-0000-0000-0000BC040000}"/>
    <cellStyle name="Table Units 3 2 2" xfId="1229" xr:uid="{00000000-0005-0000-0000-0000BD040000}"/>
    <cellStyle name="Table Units 3 3" xfId="1088" xr:uid="{00000000-0005-0000-0000-0000BE040000}"/>
    <cellStyle name="Table Units 4" xfId="772" xr:uid="{00000000-0005-0000-0000-0000BF040000}"/>
    <cellStyle name="Table Units 4 2" xfId="951" xr:uid="{00000000-0005-0000-0000-0000C0040000}"/>
    <cellStyle name="Table Units 4 2 2" xfId="1282" xr:uid="{00000000-0005-0000-0000-0000C1040000}"/>
    <cellStyle name="Table Units 4 3" xfId="1146" xr:uid="{00000000-0005-0000-0000-0000C2040000}"/>
    <cellStyle name="Table Units 5" xfId="704" xr:uid="{00000000-0005-0000-0000-0000C3040000}"/>
    <cellStyle name="Table Units 5 2" xfId="894" xr:uid="{00000000-0005-0000-0000-0000C4040000}"/>
    <cellStyle name="Table Units 5 2 2" xfId="1230" xr:uid="{00000000-0005-0000-0000-0000C5040000}"/>
    <cellStyle name="Table Units 5 3" xfId="1089" xr:uid="{00000000-0005-0000-0000-0000C6040000}"/>
    <cellStyle name="Table Units 6" xfId="812" xr:uid="{00000000-0005-0000-0000-0000C7040000}"/>
    <cellStyle name="Table Units 6 2" xfId="980" xr:uid="{00000000-0005-0000-0000-0000C8040000}"/>
    <cellStyle name="Table Units 6 2 2" xfId="1309" xr:uid="{00000000-0005-0000-0000-0000C9040000}"/>
    <cellStyle name="Table Units 6 3" xfId="1177" xr:uid="{00000000-0005-0000-0000-0000CA040000}"/>
    <cellStyle name="Table Units 7" xfId="742" xr:uid="{00000000-0005-0000-0000-0000CB040000}"/>
    <cellStyle name="Table Units 7 2" xfId="926" xr:uid="{00000000-0005-0000-0000-0000CC040000}"/>
    <cellStyle name="Table Units 7 2 2" xfId="1259" xr:uid="{00000000-0005-0000-0000-0000CD040000}"/>
    <cellStyle name="Table Units 7 3" xfId="1120" xr:uid="{00000000-0005-0000-0000-0000CE040000}"/>
    <cellStyle name="Table Units 8" xfId="852" xr:uid="{00000000-0005-0000-0000-0000CF040000}"/>
    <cellStyle name="TableBase" xfId="624" xr:uid="{00000000-0005-0000-0000-0000D0040000}"/>
    <cellStyle name="TableBase 2" xfId="827" xr:uid="{00000000-0005-0000-0000-0000D1040000}"/>
    <cellStyle name="TableBase 2 2" xfId="991" xr:uid="{00000000-0005-0000-0000-0000D2040000}"/>
    <cellStyle name="TableBase 2 2 2" xfId="1318" xr:uid="{00000000-0005-0000-0000-0000D3040000}"/>
    <cellStyle name="TableBase 2 3" xfId="1052" xr:uid="{00000000-0005-0000-0000-0000D4040000}"/>
    <cellStyle name="TableBase 2 3 2" xfId="1373" xr:uid="{00000000-0005-0000-0000-0000D5040000}"/>
    <cellStyle name="TableBase 3" xfId="836" xr:uid="{00000000-0005-0000-0000-0000D6040000}"/>
    <cellStyle name="TableBase 3 2" xfId="997" xr:uid="{00000000-0005-0000-0000-0000D7040000}"/>
    <cellStyle name="TableBase 3 2 2" xfId="1323" xr:uid="{00000000-0005-0000-0000-0000D8040000}"/>
    <cellStyle name="TableBase 3 3" xfId="1055" xr:uid="{00000000-0005-0000-0000-0000D9040000}"/>
    <cellStyle name="TableBase 4" xfId="865" xr:uid="{00000000-0005-0000-0000-0000DA040000}"/>
    <cellStyle name="TableBase 4 2" xfId="1204" xr:uid="{00000000-0005-0000-0000-0000DB040000}"/>
    <cellStyle name="TableBody" xfId="480" xr:uid="{00000000-0005-0000-0000-0000DC040000}"/>
    <cellStyle name="TableBodyR" xfId="481" xr:uid="{00000000-0005-0000-0000-0000DD040000}"/>
    <cellStyle name="TableColHeads" xfId="482" xr:uid="{00000000-0005-0000-0000-0000DE040000}"/>
    <cellStyle name="TableHead" xfId="625" xr:uid="{00000000-0005-0000-0000-0000DF040000}"/>
    <cellStyle name="TableName" xfId="483" xr:uid="{00000000-0005-0000-0000-0000E0040000}"/>
    <cellStyle name="tabnote" xfId="484" xr:uid="{00000000-0005-0000-0000-0000E1040000}"/>
    <cellStyle name="Tabsub" xfId="485" xr:uid="{00000000-0005-0000-0000-0000E2040000}"/>
    <cellStyle name="Text" xfId="486" xr:uid="{00000000-0005-0000-0000-0000E3040000}"/>
    <cellStyle name="Text 1" xfId="143" xr:uid="{00000000-0005-0000-0000-0000E4040000}"/>
    <cellStyle name="Text 1 2" xfId="487" xr:uid="{00000000-0005-0000-0000-0000E5040000}"/>
    <cellStyle name="Text 2" xfId="144" xr:uid="{00000000-0005-0000-0000-0000E6040000}"/>
    <cellStyle name="Text 2 2" xfId="488" xr:uid="{00000000-0005-0000-0000-0000E7040000}"/>
    <cellStyle name="Text 3" xfId="791" xr:uid="{00000000-0005-0000-0000-0000E8040000}"/>
    <cellStyle name="Text 3 2" xfId="966" xr:uid="{00000000-0005-0000-0000-0000E9040000}"/>
    <cellStyle name="Text 3 2 2" xfId="1296" xr:uid="{00000000-0005-0000-0000-0000EA040000}"/>
    <cellStyle name="Text 3 3" xfId="1163" xr:uid="{00000000-0005-0000-0000-0000EB040000}"/>
    <cellStyle name="Text 4" xfId="726" xr:uid="{00000000-0005-0000-0000-0000EC040000}"/>
    <cellStyle name="Text 4 2" xfId="913" xr:uid="{00000000-0005-0000-0000-0000ED040000}"/>
    <cellStyle name="Text 4 2 2" xfId="1249" xr:uid="{00000000-0005-0000-0000-0000EE040000}"/>
    <cellStyle name="Text 4 3" xfId="1109" xr:uid="{00000000-0005-0000-0000-0000EF040000}"/>
    <cellStyle name="Text 5" xfId="759" xr:uid="{00000000-0005-0000-0000-0000F0040000}"/>
    <cellStyle name="Text 5 2" xfId="942" xr:uid="{00000000-0005-0000-0000-0000F1040000}"/>
    <cellStyle name="Text 5 2 2" xfId="1274" xr:uid="{00000000-0005-0000-0000-0000F2040000}"/>
    <cellStyle name="Text 5 3" xfId="1135" xr:uid="{00000000-0005-0000-0000-0000F3040000}"/>
    <cellStyle name="Text 6" xfId="687" xr:uid="{00000000-0005-0000-0000-0000F4040000}"/>
    <cellStyle name="Text 6 2" xfId="878" xr:uid="{00000000-0005-0000-0000-0000F5040000}"/>
    <cellStyle name="Text 6 2 2" xfId="1216" xr:uid="{00000000-0005-0000-0000-0000F6040000}"/>
    <cellStyle name="Text 6 3" xfId="1074" xr:uid="{00000000-0005-0000-0000-0000F7040000}"/>
    <cellStyle name="Text 7" xfId="800" xr:uid="{00000000-0005-0000-0000-0000F8040000}"/>
    <cellStyle name="Text 7 2" xfId="973" xr:uid="{00000000-0005-0000-0000-0000F9040000}"/>
    <cellStyle name="Text 7 2 2" xfId="1302" xr:uid="{00000000-0005-0000-0000-0000FA040000}"/>
    <cellStyle name="Text 7 3" xfId="1169" xr:uid="{00000000-0005-0000-0000-0000FB040000}"/>
    <cellStyle name="Text 8" xfId="860" xr:uid="{00000000-0005-0000-0000-0000FC040000}"/>
    <cellStyle name="Text Head" xfId="489" xr:uid="{00000000-0005-0000-0000-0000FD040000}"/>
    <cellStyle name="Text Head 1" xfId="145" xr:uid="{00000000-0005-0000-0000-0000FE040000}"/>
    <cellStyle name="Text Head 1 2" xfId="490" xr:uid="{00000000-0005-0000-0000-0000FF040000}"/>
    <cellStyle name="Text Head 2" xfId="146" xr:uid="{00000000-0005-0000-0000-000000050000}"/>
    <cellStyle name="Text Head 2 2" xfId="491" xr:uid="{00000000-0005-0000-0000-000001050000}"/>
    <cellStyle name="Text Indent 1" xfId="147" xr:uid="{00000000-0005-0000-0000-000002050000}"/>
    <cellStyle name="Text Indent 1 2" xfId="492" xr:uid="{00000000-0005-0000-0000-000003050000}"/>
    <cellStyle name="Text Indent 2" xfId="148" xr:uid="{00000000-0005-0000-0000-000004050000}"/>
    <cellStyle name="Text Indent 2 2" xfId="493" xr:uid="{00000000-0005-0000-0000-000005050000}"/>
    <cellStyle name="Text Indent A" xfId="626" xr:uid="{00000000-0005-0000-0000-000006050000}"/>
    <cellStyle name="Text Indent B" xfId="627" xr:uid="{00000000-0005-0000-0000-000007050000}"/>
    <cellStyle name="Text Indent C" xfId="628" xr:uid="{00000000-0005-0000-0000-000008050000}"/>
    <cellStyle name="threedecplace" xfId="629" xr:uid="{00000000-0005-0000-0000-000009050000}"/>
    <cellStyle name="Time" xfId="630" xr:uid="{00000000-0005-0000-0000-00000A050000}"/>
    <cellStyle name="Time Strip" xfId="494" xr:uid="{00000000-0005-0000-0000-00000B050000}"/>
    <cellStyle name="Time Strip 2" xfId="793" xr:uid="{00000000-0005-0000-0000-00000C050000}"/>
    <cellStyle name="Time Strip 2 2" xfId="968" xr:uid="{00000000-0005-0000-0000-00000D050000}"/>
    <cellStyle name="Time Strip 3" xfId="830" xr:uid="{00000000-0005-0000-0000-00000E050000}"/>
    <cellStyle name="Times [1]" xfId="149" xr:uid="{00000000-0005-0000-0000-00000F050000}"/>
    <cellStyle name="Times [2]" xfId="150" xr:uid="{00000000-0005-0000-0000-000010050000}"/>
    <cellStyle name="Times 10" xfId="63" xr:uid="{00000000-0005-0000-0000-000011050000}"/>
    <cellStyle name="Times 10 2" xfId="680" xr:uid="{00000000-0005-0000-0000-000012050000}"/>
    <cellStyle name="Times 12" xfId="64" xr:uid="{00000000-0005-0000-0000-000013050000}"/>
    <cellStyle name="Title - PROJECT" xfId="151" xr:uid="{00000000-0005-0000-0000-000014050000}"/>
    <cellStyle name="Title - Underline" xfId="152" xr:uid="{00000000-0005-0000-0000-000015050000}"/>
    <cellStyle name="Title 2" xfId="495" xr:uid="{00000000-0005-0000-0000-000016050000}"/>
    <cellStyle name="Title II" xfId="496" xr:uid="{00000000-0005-0000-0000-000017050000}"/>
    <cellStyle name="title1" xfId="497" xr:uid="{00000000-0005-0000-0000-000018050000}"/>
    <cellStyle name="title2" xfId="498" xr:uid="{00000000-0005-0000-0000-000019050000}"/>
    <cellStyle name="TitleII" xfId="499" xr:uid="{00000000-0005-0000-0000-00001A050000}"/>
    <cellStyle name="Titles" xfId="500" xr:uid="{00000000-0005-0000-0000-00001B050000}"/>
    <cellStyle name="Titles - Col. Headings" xfId="153" xr:uid="{00000000-0005-0000-0000-00001C050000}"/>
    <cellStyle name="Titles - Other" xfId="154" xr:uid="{00000000-0005-0000-0000-00001D050000}"/>
    <cellStyle name="TOC 1" xfId="155" xr:uid="{00000000-0005-0000-0000-00001E050000}"/>
    <cellStyle name="TOC 1 2" xfId="501" xr:uid="{00000000-0005-0000-0000-00001F050000}"/>
    <cellStyle name="TOC 2" xfId="156" xr:uid="{00000000-0005-0000-0000-000020050000}"/>
    <cellStyle name="TOC 2 2" xfId="502" xr:uid="{00000000-0005-0000-0000-000021050000}"/>
    <cellStyle name="Top Row" xfId="631" xr:uid="{00000000-0005-0000-0000-000022050000}"/>
    <cellStyle name="Top Row 2" xfId="829" xr:uid="{00000000-0005-0000-0000-000023050000}"/>
    <cellStyle name="Top Row 2 2" xfId="993" xr:uid="{00000000-0005-0000-0000-000024050000}"/>
    <cellStyle name="Top Row 3" xfId="842" xr:uid="{00000000-0005-0000-0000-000025050000}"/>
    <cellStyle name="Total" xfId="65" builtinId="25" customBuiltin="1"/>
    <cellStyle name="Total 2" xfId="503" xr:uid="{00000000-0005-0000-0000-000027050000}"/>
    <cellStyle name="Total 2 2" xfId="795" xr:uid="{00000000-0005-0000-0000-000028050000}"/>
    <cellStyle name="Total 2 2 2" xfId="969" xr:uid="{00000000-0005-0000-0000-000029050000}"/>
    <cellStyle name="Total 2 2 2 2" xfId="1298" xr:uid="{00000000-0005-0000-0000-00002A050000}"/>
    <cellStyle name="Total 2 2 3" xfId="1042" xr:uid="{00000000-0005-0000-0000-00002B050000}"/>
    <cellStyle name="Total 2 2 3 2" xfId="1363" xr:uid="{00000000-0005-0000-0000-00002C050000}"/>
    <cellStyle name="Total 2 2 4" xfId="1165" xr:uid="{00000000-0005-0000-0000-00002D050000}"/>
    <cellStyle name="Total 2 3" xfId="723" xr:uid="{00000000-0005-0000-0000-00002E050000}"/>
    <cellStyle name="Total 2 3 2" xfId="910" xr:uid="{00000000-0005-0000-0000-00002F050000}"/>
    <cellStyle name="Total 2 3 2 2" xfId="1246" xr:uid="{00000000-0005-0000-0000-000030050000}"/>
    <cellStyle name="Total 2 3 3" xfId="1014" xr:uid="{00000000-0005-0000-0000-000031050000}"/>
    <cellStyle name="Total 2 3 3 2" xfId="1338" xr:uid="{00000000-0005-0000-0000-000032050000}"/>
    <cellStyle name="Total 2 3 4" xfId="1106" xr:uid="{00000000-0005-0000-0000-000033050000}"/>
    <cellStyle name="Total 2 4" xfId="779" xr:uid="{00000000-0005-0000-0000-000034050000}"/>
    <cellStyle name="Total 2 4 2" xfId="956" xr:uid="{00000000-0005-0000-0000-000035050000}"/>
    <cellStyle name="Total 2 4 2 2" xfId="1286" xr:uid="{00000000-0005-0000-0000-000036050000}"/>
    <cellStyle name="Total 2 4 3" xfId="1034" xr:uid="{00000000-0005-0000-0000-000037050000}"/>
    <cellStyle name="Total 2 4 3 2" xfId="1355" xr:uid="{00000000-0005-0000-0000-000038050000}"/>
    <cellStyle name="Total 2 4 4" xfId="1152" xr:uid="{00000000-0005-0000-0000-000039050000}"/>
    <cellStyle name="Total Currency" xfId="157" xr:uid="{00000000-0005-0000-0000-00003A050000}"/>
    <cellStyle name="Total Currency 2" xfId="504" xr:uid="{00000000-0005-0000-0000-00003B050000}"/>
    <cellStyle name="Total Normal" xfId="158" xr:uid="{00000000-0005-0000-0000-00003C050000}"/>
    <cellStyle name="Total Normal 2" xfId="505" xr:uid="{00000000-0005-0000-0000-00003D050000}"/>
    <cellStyle name="TotalCurrency" xfId="506" xr:uid="{00000000-0005-0000-0000-00003E050000}"/>
    <cellStyle name="twodecplace" xfId="632" xr:uid="{00000000-0005-0000-0000-00003F050000}"/>
    <cellStyle name="UnderLine" xfId="507" xr:uid="{00000000-0005-0000-0000-000040050000}"/>
    <cellStyle name="UnderLine 2" xfId="797" xr:uid="{00000000-0005-0000-0000-000041050000}"/>
    <cellStyle name="UnderLine 2 2" xfId="971" xr:uid="{00000000-0005-0000-0000-000042050000}"/>
    <cellStyle name="UnderLine 2 2 2" xfId="1300" xr:uid="{00000000-0005-0000-0000-000043050000}"/>
    <cellStyle name="UnderLine 2 3" xfId="1043" xr:uid="{00000000-0005-0000-0000-000044050000}"/>
    <cellStyle name="UnderLine 2 3 2" xfId="1364" xr:uid="{00000000-0005-0000-0000-000045050000}"/>
    <cellStyle name="UnderLine 2 4" xfId="1167" xr:uid="{00000000-0005-0000-0000-000046050000}"/>
    <cellStyle name="UnderLine 3" xfId="724" xr:uid="{00000000-0005-0000-0000-000047050000}"/>
    <cellStyle name="UnderLine 3 2" xfId="911" xr:uid="{00000000-0005-0000-0000-000048050000}"/>
    <cellStyle name="UnderLine 3 2 2" xfId="1247" xr:uid="{00000000-0005-0000-0000-000049050000}"/>
    <cellStyle name="UnderLine 3 3" xfId="1107" xr:uid="{00000000-0005-0000-0000-00004A050000}"/>
    <cellStyle name="UnderLine 4" xfId="761" xr:uid="{00000000-0005-0000-0000-00004B050000}"/>
    <cellStyle name="UnderLine 4 2" xfId="943" xr:uid="{00000000-0005-0000-0000-00004C050000}"/>
    <cellStyle name="UnderLine 4 2 2" xfId="1275" xr:uid="{00000000-0005-0000-0000-00004D050000}"/>
    <cellStyle name="UnderLine 4 3" xfId="1136" xr:uid="{00000000-0005-0000-0000-00004E050000}"/>
    <cellStyle name="UnderLine 5" xfId="775" xr:uid="{00000000-0005-0000-0000-00004F050000}"/>
    <cellStyle name="UnderLine 5 2" xfId="1149" xr:uid="{00000000-0005-0000-0000-000050050000}"/>
    <cellStyle name="UnderlineNormal" xfId="508" xr:uid="{00000000-0005-0000-0000-000051050000}"/>
    <cellStyle name="UnderlineNormal 2" xfId="798" xr:uid="{00000000-0005-0000-0000-000052050000}"/>
    <cellStyle name="UnderlineNormal 2 2" xfId="972" xr:uid="{00000000-0005-0000-0000-000053050000}"/>
    <cellStyle name="UnderlineNormal 2 2 2" xfId="1301" xr:uid="{00000000-0005-0000-0000-000054050000}"/>
    <cellStyle name="UnderlineNormal 2 3" xfId="1044" xr:uid="{00000000-0005-0000-0000-000055050000}"/>
    <cellStyle name="UnderlineNormal 2 3 2" xfId="1365" xr:uid="{00000000-0005-0000-0000-000056050000}"/>
    <cellStyle name="UnderlineNormal 2 4" xfId="1168" xr:uid="{00000000-0005-0000-0000-000057050000}"/>
    <cellStyle name="UnderlineNormal 3" xfId="666" xr:uid="{00000000-0005-0000-0000-000058050000}"/>
    <cellStyle name="UnderlineNormal 3 2" xfId="868" xr:uid="{00000000-0005-0000-0000-000059050000}"/>
    <cellStyle name="UnderlineNormal 3 2 2" xfId="1207" xr:uid="{00000000-0005-0000-0000-00005A050000}"/>
    <cellStyle name="UnderlineNormal 3 3" xfId="1064" xr:uid="{00000000-0005-0000-0000-00005B050000}"/>
    <cellStyle name="UnderlineNormal 4" xfId="762" xr:uid="{00000000-0005-0000-0000-00005C050000}"/>
    <cellStyle name="UnderlineNormal 4 2" xfId="944" xr:uid="{00000000-0005-0000-0000-00005D050000}"/>
    <cellStyle name="UnderlineNormal 4 2 2" xfId="1276" xr:uid="{00000000-0005-0000-0000-00005E050000}"/>
    <cellStyle name="UnderlineNormal 4 3" xfId="1137" xr:uid="{00000000-0005-0000-0000-00005F050000}"/>
    <cellStyle name="UnderlineNormal 5" xfId="833" xr:uid="{00000000-0005-0000-0000-000060050000}"/>
    <cellStyle name="UnderlineNormal 5 2" xfId="1189" xr:uid="{00000000-0005-0000-0000-000061050000}"/>
    <cellStyle name="Units" xfId="509" xr:uid="{00000000-0005-0000-0000-000062050000}"/>
    <cellStyle name="Valuation" xfId="510" xr:uid="{00000000-0005-0000-0000-000063050000}"/>
    <cellStyle name="Valuation Bold" xfId="511" xr:uid="{00000000-0005-0000-0000-000064050000}"/>
    <cellStyle name="Valuta_Company Summary (2)" xfId="512" xr:uid="{00000000-0005-0000-0000-000065050000}"/>
    <cellStyle name="Währung [0]_Compiling Utility Macros" xfId="633" xr:uid="{00000000-0005-0000-0000-000066050000}"/>
    <cellStyle name="Währung_Compiling Utility Macros" xfId="634" xr:uid="{00000000-0005-0000-0000-000067050000}"/>
    <cellStyle name="Warning Text 2" xfId="513" xr:uid="{00000000-0005-0000-0000-000068050000}"/>
    <cellStyle name="WhiteCells" xfId="514" xr:uid="{00000000-0005-0000-0000-000069050000}"/>
    <cellStyle name="WhitePattern" xfId="635" xr:uid="{00000000-0005-0000-0000-00006A050000}"/>
    <cellStyle name="WhitePattern1" xfId="636" xr:uid="{00000000-0005-0000-0000-00006B050000}"/>
    <cellStyle name="WhitePattern1 2" xfId="831" xr:uid="{00000000-0005-0000-0000-00006C050000}"/>
    <cellStyle name="WhitePattern1 2 2" xfId="994" xr:uid="{00000000-0005-0000-0000-00006D050000}"/>
    <cellStyle name="WhitePattern1 2 2 2" xfId="1320" xr:uid="{00000000-0005-0000-0000-00006E050000}"/>
    <cellStyle name="WhitePattern1 2 3" xfId="1053" xr:uid="{00000000-0005-0000-0000-00006F050000}"/>
    <cellStyle name="WhitePattern1 2 3 2" xfId="1374" xr:uid="{00000000-0005-0000-0000-000070050000}"/>
    <cellStyle name="WhitePattern1 3" xfId="838" xr:uid="{00000000-0005-0000-0000-000071050000}"/>
    <cellStyle name="WhitePattern1 3 2" xfId="999" xr:uid="{00000000-0005-0000-0000-000072050000}"/>
    <cellStyle name="WhitePattern1 3 2 2" xfId="1325" xr:uid="{00000000-0005-0000-0000-000073050000}"/>
    <cellStyle name="WhitePattern1 3 3" xfId="1056" xr:uid="{00000000-0005-0000-0000-000074050000}"/>
    <cellStyle name="WhitePattern1 4" xfId="866" xr:uid="{00000000-0005-0000-0000-000075050000}"/>
    <cellStyle name="WhitePattern1 4 2" xfId="1205" xr:uid="{00000000-0005-0000-0000-000076050000}"/>
    <cellStyle name="WhiteText" xfId="637" xr:uid="{00000000-0005-0000-0000-000077050000}"/>
    <cellStyle name="WholeNumber" xfId="515" xr:uid="{00000000-0005-0000-0000-000078050000}"/>
    <cellStyle name="WP" xfId="638" xr:uid="{00000000-0005-0000-0000-000079050000}"/>
    <cellStyle name="x Men" xfId="639" xr:uid="{00000000-0005-0000-0000-00007A050000}"/>
    <cellStyle name="Year" xfId="640" xr:uid="{00000000-0005-0000-0000-00007B050000}"/>
    <cellStyle name="Yen" xfId="66" xr:uid="{00000000-0005-0000-0000-00007C05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4E8ABE"/>
      <rgbColor rgb="00616265"/>
      <rgbColor rgb="00333333"/>
      <rgbColor rgb="00969696"/>
      <rgbColor rgb="009AB0CB"/>
      <rgbColor rgb="004D4D4D"/>
      <rgbColor rgb="00808080"/>
      <rgbColor rgb="00B2B2B2"/>
      <rgbColor rgb="004E8ABE"/>
      <rgbColor rgb="00616265"/>
      <rgbColor rgb="00333333"/>
      <rgbColor rgb="00969696"/>
      <rgbColor rgb="009AB0CB"/>
      <rgbColor rgb="004D4D4D"/>
      <rgbColor rgb="00808080"/>
      <rgbColor rgb="00B2B2B2"/>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0000"/>
      <color rgb="FFFFFFB3"/>
      <color rgb="FF0000FF"/>
      <color rgb="FF5FA364"/>
      <color rgb="FF00B050"/>
      <color rgb="FFD2B4E6"/>
      <color rgb="FFFFB7B7"/>
      <color rgb="FFD5FFD5"/>
      <color rgb="FFE1F0DC"/>
      <color rgb="FF64C8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b">
        <v>0</v>
        <stp/>
        <stp>BDH|17182719312727564863</stp>
        <tr r="FF17" s="39"/>
        <tr r="FF17" s="39"/>
        <tr r="FF17" s="39"/>
      </tp>
      <tp t="b">
        <v>0</v>
        <stp/>
        <stp>BDH|14760796138137938847</stp>
        <tr r="FF59" s="39"/>
        <tr r="FF59" s="39"/>
        <tr r="FF59" s="39"/>
      </tp>
      <tp t="b">
        <v>0</v>
        <stp/>
        <stp>BDH|15076100397739022905</stp>
        <tr r="FF106" s="39"/>
        <tr r="FF106" s="39"/>
        <tr r="FF106" s="39"/>
      </tp>
      <tp t="b">
        <v>0</v>
        <stp/>
        <stp>BDH|13024284534592810332</stp>
        <tr r="FF61" s="39"/>
        <tr r="FF61" s="39"/>
        <tr r="FF61" s="39"/>
      </tp>
      <tp t="b">
        <v>0</v>
        <stp/>
        <stp>BDH|12314547505880747782</stp>
        <tr r="FF107" s="39"/>
        <tr r="FF107" s="39"/>
        <tr r="FF107" s="39"/>
      </tp>
      <tp t="b">
        <v>0</v>
        <stp/>
        <stp>BDH|17911888790412901372</stp>
        <tr r="FF105" s="39"/>
        <tr r="FF105" s="39"/>
        <tr r="FF105" s="39"/>
      </tp>
      <tp t="b">
        <v>0</v>
        <stp/>
        <stp>BDH|15261631170485610681</stp>
        <tr r="FF20" s="39"/>
        <tr r="FF20" s="39"/>
        <tr r="FF20" s="39"/>
      </tp>
    </main>
    <main first="bofaddin.rtdserver">
      <tp t="b">
        <v>0</v>
        <stp/>
        <stp>BDH|2569283296482299791</stp>
        <tr r="FF64" s="39"/>
        <tr r="FF64" s="39"/>
        <tr r="FF64" s="39"/>
      </tp>
      <tp t="b">
        <v>0</v>
        <stp/>
        <stp>BDH|9783216570313884021</stp>
        <tr r="FF18" s="39"/>
        <tr r="FF18" s="39"/>
        <tr r="FF18" s="39"/>
      </tp>
      <tp t="b">
        <v>0</v>
        <stp/>
        <stp>BDH|4051996806931966312</stp>
        <tr r="FF19" s="39"/>
        <tr r="FF19" s="39"/>
        <tr r="FF19" s="39"/>
      </tp>
      <tp t="b">
        <v>0</v>
        <stp/>
        <stp>BDH|2622660891916421407</stp>
        <tr r="FF62" s="39"/>
        <tr r="FF62" s="39"/>
        <tr r="FF62" s="39"/>
      </tp>
      <tp t="b">
        <v>0</v>
        <stp/>
        <stp>BDH|1564512481902035692</stp>
        <tr r="FF60" s="39"/>
        <tr r="FF60" s="39"/>
        <tr r="FF60" s="39"/>
      </tp>
      <tp t="b">
        <v>0</v>
        <stp/>
        <stp>BDH|2476359651820297622</stp>
        <tr r="FF108" s="39"/>
        <tr r="FF108" s="39"/>
        <tr r="FF108" s="39"/>
      </tp>
      <tp t="b">
        <v>0</v>
        <stp/>
        <stp>BDH|5090333822842177415</stp>
        <tr r="FF63" s="39"/>
        <tr r="FF63" s="39"/>
        <tr r="FF63" s="39"/>
      </tp>
    </main>
  </volType>
</volTypes>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externalLink" Target="externalLinks/externalLink27.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42" Type="http://schemas.openxmlformats.org/officeDocument/2006/relationships/externalLink" Target="externalLinks/externalLink30.xml"/><Relationship Id="rId47" Type="http://schemas.openxmlformats.org/officeDocument/2006/relationships/externalLink" Target="externalLinks/externalLink35.xml"/><Relationship Id="rId50" Type="http://schemas.openxmlformats.org/officeDocument/2006/relationships/sharedStrings" Target="sharedStrings.xml"/><Relationship Id="rId55"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externalLink" Target="externalLinks/externalLink26.xml"/><Relationship Id="rId46" Type="http://schemas.openxmlformats.org/officeDocument/2006/relationships/externalLink" Target="externalLinks/externalLink34.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41" Type="http://schemas.openxmlformats.org/officeDocument/2006/relationships/externalLink" Target="externalLinks/externalLink29.xml"/><Relationship Id="rId54"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externalLink" Target="externalLinks/externalLink25.xml"/><Relationship Id="rId40" Type="http://schemas.openxmlformats.org/officeDocument/2006/relationships/externalLink" Target="externalLinks/externalLink28.xml"/><Relationship Id="rId45" Type="http://schemas.openxmlformats.org/officeDocument/2006/relationships/externalLink" Target="externalLinks/externalLink33.xml"/><Relationship Id="rId53"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49" Type="http://schemas.openxmlformats.org/officeDocument/2006/relationships/styles" Target="styles.xml"/><Relationship Id="rId57" Type="http://schemas.openxmlformats.org/officeDocument/2006/relationships/volatileDependencies" Target="volatileDependencies.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4" Type="http://schemas.openxmlformats.org/officeDocument/2006/relationships/externalLink" Target="externalLinks/externalLink32.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43" Type="http://schemas.openxmlformats.org/officeDocument/2006/relationships/externalLink" Target="externalLinks/externalLink31.xml"/><Relationship Id="rId48" Type="http://schemas.openxmlformats.org/officeDocument/2006/relationships/theme" Target="theme/theme1.xml"/><Relationship Id="rId56" Type="http://schemas.openxmlformats.org/officeDocument/2006/relationships/customXml" Target="../customXml/item4.xml"/><Relationship Id="rId8" Type="http://schemas.openxmlformats.org/officeDocument/2006/relationships/worksheet" Target="worksheets/sheet8.xml"/><Relationship Id="rId51" Type="http://schemas.microsoft.com/office/2017/10/relationships/person" Target="persons/person.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mp"/><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243840</xdr:colOff>
      <xdr:row>3</xdr:row>
      <xdr:rowOff>133350</xdr:rowOff>
    </xdr:to>
    <xdr:pic>
      <xdr:nvPicPr>
        <xdr:cNvPr id="2" name="./assets/JPM.jpg">
          <a:extLst>
            <a:ext uri="{FF2B5EF4-FFF2-40B4-BE49-F238E27FC236}">
              <a16:creationId xmlns:a16="http://schemas.microsoft.com/office/drawing/2014/main" id="{E492D551-6943-382F-C42E-A0EB66245673}"/>
            </a:ext>
          </a:extLst>
        </xdr:cNvPr>
        <xdr:cNvPicPr>
          <a:picLocks noChangeAspect="1"/>
        </xdr:cNvPicPr>
      </xdr:nvPicPr>
      <xdr:blipFill>
        <a:blip xmlns:r="http://schemas.openxmlformats.org/officeDocument/2006/relationships" r:embed="rId1"/>
        <a:stretch>
          <a:fillRect/>
        </a:stretch>
      </xdr:blipFill>
      <xdr:spPr>
        <a:xfrm>
          <a:off x="609600" y="161925"/>
          <a:ext cx="3291840" cy="457200"/>
        </a:xfrm>
        <a:prstGeom prst="rect">
          <a:avLst/>
        </a:prstGeom>
      </xdr:spPr>
    </xdr:pic>
    <xdr:clientData/>
  </xdr:twoCellAnchor>
  <xdr:twoCellAnchor editAs="oneCell">
    <xdr:from>
      <xdr:col>0</xdr:col>
      <xdr:colOff>1</xdr:colOff>
      <xdr:row>0</xdr:row>
      <xdr:rowOff>0</xdr:rowOff>
    </xdr:from>
    <xdr:to>
      <xdr:col>0</xdr:col>
      <xdr:colOff>580340</xdr:colOff>
      <xdr:row>28</xdr:row>
      <xdr:rowOff>982980</xdr:rowOff>
    </xdr:to>
    <xdr:pic>
      <xdr:nvPicPr>
        <xdr:cNvPr id="3" name="./assets/NEW_JPMSPINE.jpg">
          <a:extLst>
            <a:ext uri="{FF2B5EF4-FFF2-40B4-BE49-F238E27FC236}">
              <a16:creationId xmlns:a16="http://schemas.microsoft.com/office/drawing/2014/main" id="{58071BE6-D052-9086-58CC-0334FE9F779C}"/>
            </a:ext>
          </a:extLst>
        </xdr:cNvPr>
        <xdr:cNvPicPr>
          <a:picLocks noChangeAspect="1"/>
        </xdr:cNvPicPr>
      </xdr:nvPicPr>
      <xdr:blipFill>
        <a:blip xmlns:r="http://schemas.openxmlformats.org/officeDocument/2006/relationships" r:embed="rId2"/>
        <a:stretch>
          <a:fillRect/>
        </a:stretch>
      </xdr:blipFill>
      <xdr:spPr>
        <a:xfrm>
          <a:off x="1" y="0"/>
          <a:ext cx="580339" cy="70408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135</xdr:col>
      <xdr:colOff>445035</xdr:colOff>
      <xdr:row>79</xdr:row>
      <xdr:rowOff>106965</xdr:rowOff>
    </xdr:from>
    <xdr:to>
      <xdr:col>135</xdr:col>
      <xdr:colOff>464835</xdr:colOff>
      <xdr:row>79</xdr:row>
      <xdr:rowOff>116325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31D683DE-7C85-8FF9-452B-02E7BF50B3C7}"/>
                </a:ext>
              </a:extLst>
            </xdr14:cNvPr>
            <xdr14:cNvContentPartPr/>
          </xdr14:nvContentPartPr>
          <xdr14:nvPr macro=""/>
          <xdr14:xfrm>
            <a:off x="5969535" y="11746515"/>
            <a:ext cx="19800" cy="9360"/>
          </xdr14:xfrm>
        </xdr:contentPart>
      </mc:Choice>
      <mc:Fallback xmlns="">
        <xdr:pic>
          <xdr:nvPicPr>
            <xdr:cNvPr id="2" name="Ink 1">
              <a:extLst>
                <a:ext uri="{FF2B5EF4-FFF2-40B4-BE49-F238E27FC236}">
                  <a16:creationId xmlns:a16="http://schemas.microsoft.com/office/drawing/2014/main" id="{31D683DE-7C85-8FF9-452B-02E7BF50B3C7}"/>
                </a:ext>
              </a:extLst>
            </xdr:cNvPr>
            <xdr:cNvPicPr/>
          </xdr:nvPicPr>
          <xdr:blipFill>
            <a:blip xmlns:r="http://schemas.openxmlformats.org/officeDocument/2006/relationships" r:embed="rId2"/>
            <a:stretch>
              <a:fillRect/>
            </a:stretch>
          </xdr:blipFill>
          <xdr:spPr>
            <a:xfrm>
              <a:off x="5960535" y="11737515"/>
              <a:ext cx="37440" cy="270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56029</xdr:colOff>
      <xdr:row>26</xdr:row>
      <xdr:rowOff>145676</xdr:rowOff>
    </xdr:from>
    <xdr:to>
      <xdr:col>14</xdr:col>
      <xdr:colOff>218289</xdr:colOff>
      <xdr:row>69</xdr:row>
      <xdr:rowOff>86414</xdr:rowOff>
    </xdr:to>
    <xdr:grpSp>
      <xdr:nvGrpSpPr>
        <xdr:cNvPr id="178" name="Group 177">
          <a:extLst>
            <a:ext uri="{FF2B5EF4-FFF2-40B4-BE49-F238E27FC236}">
              <a16:creationId xmlns:a16="http://schemas.microsoft.com/office/drawing/2014/main" id="{00000000-0008-0000-0A00-0000B2000000}"/>
            </a:ext>
          </a:extLst>
        </xdr:cNvPr>
        <xdr:cNvGrpSpPr/>
      </xdr:nvGrpSpPr>
      <xdr:grpSpPr>
        <a:xfrm>
          <a:off x="56029" y="6656294"/>
          <a:ext cx="11704319" cy="6686679"/>
          <a:chOff x="310715" y="114342"/>
          <a:chExt cx="11704320" cy="6686679"/>
        </a:xfrm>
      </xdr:grpSpPr>
      <xdr:sp macro="" textlink="">
        <xdr:nvSpPr>
          <xdr:cNvPr id="179" name="Rounded Rectangle 178">
            <a:extLst>
              <a:ext uri="{FF2B5EF4-FFF2-40B4-BE49-F238E27FC236}">
                <a16:creationId xmlns:a16="http://schemas.microsoft.com/office/drawing/2014/main" id="{00000000-0008-0000-0A00-0000B3000000}"/>
              </a:ext>
            </a:extLst>
          </xdr:cNvPr>
          <xdr:cNvSpPr/>
        </xdr:nvSpPr>
        <xdr:spPr>
          <a:xfrm>
            <a:off x="310715" y="5188196"/>
            <a:ext cx="11704320" cy="548640"/>
          </a:xfrm>
          <a:prstGeom prst="roundRect">
            <a:avLst>
              <a:gd name="adj" fmla="val 20755"/>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80" name="Rounded Rectangle 179">
            <a:extLst>
              <a:ext uri="{FF2B5EF4-FFF2-40B4-BE49-F238E27FC236}">
                <a16:creationId xmlns:a16="http://schemas.microsoft.com/office/drawing/2014/main" id="{00000000-0008-0000-0A00-0000B4000000}"/>
              </a:ext>
            </a:extLst>
          </xdr:cNvPr>
          <xdr:cNvSpPr/>
        </xdr:nvSpPr>
        <xdr:spPr>
          <a:xfrm>
            <a:off x="310715" y="4174057"/>
            <a:ext cx="11704320" cy="416305"/>
          </a:xfrm>
          <a:prstGeom prst="roundRect">
            <a:avLst>
              <a:gd name="adj" fmla="val 20755"/>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81" name="Rounded Rectangle 180">
            <a:extLst>
              <a:ext uri="{FF2B5EF4-FFF2-40B4-BE49-F238E27FC236}">
                <a16:creationId xmlns:a16="http://schemas.microsoft.com/office/drawing/2014/main" id="{00000000-0008-0000-0A00-0000B5000000}"/>
              </a:ext>
            </a:extLst>
          </xdr:cNvPr>
          <xdr:cNvSpPr/>
        </xdr:nvSpPr>
        <xdr:spPr>
          <a:xfrm>
            <a:off x="310715" y="4656040"/>
            <a:ext cx="11704320" cy="416305"/>
          </a:xfrm>
          <a:prstGeom prst="roundRect">
            <a:avLst>
              <a:gd name="adj" fmla="val 20755"/>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82" name="TextBox 5">
            <a:extLst>
              <a:ext uri="{FF2B5EF4-FFF2-40B4-BE49-F238E27FC236}">
                <a16:creationId xmlns:a16="http://schemas.microsoft.com/office/drawing/2014/main" id="{00000000-0008-0000-0A00-0000B6000000}"/>
              </a:ext>
            </a:extLst>
          </xdr:cNvPr>
          <xdr:cNvSpPr txBox="1"/>
        </xdr:nvSpPr>
        <xdr:spPr>
          <a:xfrm>
            <a:off x="1588620" y="114342"/>
            <a:ext cx="10329167" cy="435865"/>
          </a:xfrm>
          <a:prstGeom prst="roundRect">
            <a:avLst/>
          </a:prstGeom>
          <a:noFill/>
          <a:ln w="38100">
            <a:solidFill>
              <a:srgbClr val="FF0000"/>
            </a:solidFill>
          </a:ln>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600" b="1">
                <a:latin typeface="Arial" panose="020B0604020202020204" pitchFamily="34" charset="0"/>
                <a:cs typeface="Arial" panose="020B0604020202020204" pitchFamily="34" charset="0"/>
              </a:rPr>
              <a:t>ALPHABET</a:t>
            </a:r>
          </a:p>
        </xdr:txBody>
      </xdr:sp>
      <xdr:sp macro="" textlink="">
        <xdr:nvSpPr>
          <xdr:cNvPr id="183" name="TextBox 10">
            <a:extLst>
              <a:ext uri="{FF2B5EF4-FFF2-40B4-BE49-F238E27FC236}">
                <a16:creationId xmlns:a16="http://schemas.microsoft.com/office/drawing/2014/main" id="{00000000-0008-0000-0A00-0000B7000000}"/>
              </a:ext>
            </a:extLst>
          </xdr:cNvPr>
          <xdr:cNvSpPr txBox="1"/>
        </xdr:nvSpPr>
        <xdr:spPr>
          <a:xfrm>
            <a:off x="1580224" y="876045"/>
            <a:ext cx="6858567" cy="435865"/>
          </a:xfrm>
          <a:prstGeom prst="roundRect">
            <a:avLst/>
          </a:prstGeom>
          <a:noFill/>
          <a:ln w="38100">
            <a:solidFill>
              <a:schemeClr val="tx1">
                <a:lumMod val="50000"/>
                <a:lumOff val="50000"/>
              </a:schemeClr>
            </a:solidFill>
          </a:ln>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latin typeface="Arial" panose="020B0604020202020204" pitchFamily="34" charset="0"/>
                <a:cs typeface="Arial" panose="020B0604020202020204" pitchFamily="34" charset="0"/>
              </a:rPr>
              <a:t>GOOGLE SERVICES</a:t>
            </a:r>
          </a:p>
        </xdr:txBody>
      </xdr:sp>
      <xdr:sp macro="" textlink="">
        <xdr:nvSpPr>
          <xdr:cNvPr id="184" name="TextBox 11">
            <a:extLst>
              <a:ext uri="{FF2B5EF4-FFF2-40B4-BE49-F238E27FC236}">
                <a16:creationId xmlns:a16="http://schemas.microsoft.com/office/drawing/2014/main" id="{00000000-0008-0000-0A00-0000B8000000}"/>
              </a:ext>
            </a:extLst>
          </xdr:cNvPr>
          <xdr:cNvSpPr txBox="1"/>
        </xdr:nvSpPr>
        <xdr:spPr>
          <a:xfrm>
            <a:off x="10256724" y="3354358"/>
            <a:ext cx="1652667" cy="435865"/>
          </a:xfrm>
          <a:prstGeom prst="roundRect">
            <a:avLst/>
          </a:prstGeom>
          <a:noFill/>
          <a:ln w="38100">
            <a:solidFill>
              <a:srgbClr val="FFC000"/>
            </a:solidFill>
          </a:ln>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latin typeface="Arial" panose="020B0604020202020204" pitchFamily="34" charset="0"/>
                <a:cs typeface="Arial" panose="020B0604020202020204" pitchFamily="34" charset="0"/>
              </a:rPr>
              <a:t>OTHER BETS</a:t>
            </a:r>
          </a:p>
        </xdr:txBody>
      </xdr:sp>
      <xdr:sp macro="" textlink="">
        <xdr:nvSpPr>
          <xdr:cNvPr id="185" name="TextBox 18">
            <a:extLst>
              <a:ext uri="{FF2B5EF4-FFF2-40B4-BE49-F238E27FC236}">
                <a16:creationId xmlns:a16="http://schemas.microsoft.com/office/drawing/2014/main" id="{00000000-0008-0000-0A00-0000B9000000}"/>
              </a:ext>
            </a:extLst>
          </xdr:cNvPr>
          <xdr:cNvSpPr txBox="1"/>
        </xdr:nvSpPr>
        <xdr:spPr>
          <a:xfrm>
            <a:off x="1580224" y="1660737"/>
            <a:ext cx="4214300" cy="435865"/>
          </a:xfrm>
          <a:prstGeom prst="roundRect">
            <a:avLst/>
          </a:prstGeom>
          <a:noFill/>
          <a:ln w="38100">
            <a:solidFill>
              <a:schemeClr val="tx1">
                <a:lumMod val="50000"/>
                <a:lumOff val="50000"/>
              </a:schemeClr>
            </a:solidFill>
          </a:ln>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latin typeface="Arial" panose="020B0604020202020204" pitchFamily="34" charset="0"/>
                <a:cs typeface="Arial" panose="020B0604020202020204" pitchFamily="34" charset="0"/>
              </a:rPr>
              <a:t>GOOGLE ADVERTISING</a:t>
            </a:r>
          </a:p>
        </xdr:txBody>
      </xdr:sp>
      <xdr:sp macro="" textlink="">
        <xdr:nvSpPr>
          <xdr:cNvPr id="186" name="TextBox 19">
            <a:extLst>
              <a:ext uri="{FF2B5EF4-FFF2-40B4-BE49-F238E27FC236}">
                <a16:creationId xmlns:a16="http://schemas.microsoft.com/office/drawing/2014/main" id="{00000000-0008-0000-0A00-0000BA000000}"/>
              </a:ext>
            </a:extLst>
          </xdr:cNvPr>
          <xdr:cNvSpPr txBox="1"/>
        </xdr:nvSpPr>
        <xdr:spPr>
          <a:xfrm>
            <a:off x="6786124" y="3354358"/>
            <a:ext cx="1652667" cy="435865"/>
          </a:xfrm>
          <a:prstGeom prst="roundRect">
            <a:avLst/>
          </a:prstGeom>
          <a:noFill/>
          <a:ln w="38100">
            <a:solidFill>
              <a:schemeClr val="accent2">
                <a:lumMod val="75000"/>
              </a:schemeClr>
            </a:solidFill>
          </a:ln>
        </xdr:spPr>
        <xdr:txBody>
          <a:bodyPr wrap="square" lIns="45720" rIns="4572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latin typeface="Arial" panose="020B0604020202020204" pitchFamily="34" charset="0"/>
                <a:cs typeface="Arial" panose="020B0604020202020204" pitchFamily="34" charset="0"/>
              </a:rPr>
              <a:t>PLAY, DEVICES, GOOGLE ONE,</a:t>
            </a:r>
            <a:r>
              <a:rPr lang="en-US" sz="1200" b="1" baseline="0">
                <a:latin typeface="Arial" panose="020B0604020202020204" pitchFamily="34" charset="0"/>
                <a:cs typeface="Arial" panose="020B0604020202020204" pitchFamily="34" charset="0"/>
              </a:rPr>
              <a:t> </a:t>
            </a:r>
            <a:r>
              <a:rPr lang="en-US" sz="1200" b="1">
                <a:latin typeface="Arial" panose="020B0604020202020204" pitchFamily="34" charset="0"/>
                <a:cs typeface="Arial" panose="020B0604020202020204" pitchFamily="34" charset="0"/>
              </a:rPr>
              <a:t>ETC.</a:t>
            </a:r>
          </a:p>
        </xdr:txBody>
      </xdr:sp>
      <xdr:sp macro="" textlink="">
        <xdr:nvSpPr>
          <xdr:cNvPr id="187" name="TextBox 20">
            <a:extLst>
              <a:ext uri="{FF2B5EF4-FFF2-40B4-BE49-F238E27FC236}">
                <a16:creationId xmlns:a16="http://schemas.microsoft.com/office/drawing/2014/main" id="{00000000-0008-0000-0A00-0000BB000000}"/>
              </a:ext>
            </a:extLst>
          </xdr:cNvPr>
          <xdr:cNvSpPr txBox="1"/>
        </xdr:nvSpPr>
        <xdr:spPr>
          <a:xfrm>
            <a:off x="5959791" y="1660739"/>
            <a:ext cx="2479000" cy="435865"/>
          </a:xfrm>
          <a:prstGeom prst="roundRect">
            <a:avLst/>
          </a:prstGeom>
          <a:noFill/>
          <a:ln w="38100">
            <a:solidFill>
              <a:schemeClr val="tx1">
                <a:lumMod val="50000"/>
                <a:lumOff val="50000"/>
              </a:schemeClr>
            </a:solidFill>
          </a:ln>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latin typeface="Arial" panose="020B0604020202020204" pitchFamily="34" charset="0"/>
                <a:cs typeface="Arial" panose="020B0604020202020204" pitchFamily="34" charset="0"/>
              </a:rPr>
              <a:t>SUBSCRIPTIONS, PLATFORMS, &amp; DEVICES</a:t>
            </a:r>
          </a:p>
        </xdr:txBody>
      </xdr:sp>
      <xdr:sp macro="" textlink="">
        <xdr:nvSpPr>
          <xdr:cNvPr id="188" name="TextBox 21">
            <a:extLst>
              <a:ext uri="{FF2B5EF4-FFF2-40B4-BE49-F238E27FC236}">
                <a16:creationId xmlns:a16="http://schemas.microsoft.com/office/drawing/2014/main" id="{00000000-0008-0000-0A00-0000BC000000}"/>
              </a:ext>
            </a:extLst>
          </xdr:cNvPr>
          <xdr:cNvSpPr txBox="1"/>
        </xdr:nvSpPr>
        <xdr:spPr>
          <a:xfrm>
            <a:off x="1580224" y="3354358"/>
            <a:ext cx="1652667" cy="435865"/>
          </a:xfrm>
          <a:prstGeom prst="roundRect">
            <a:avLst/>
          </a:prstGeom>
          <a:noFill/>
          <a:ln w="38100">
            <a:solidFill>
              <a:schemeClr val="accent1"/>
            </a:solidFill>
          </a:ln>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latin typeface="Arial" panose="020B0604020202020204" pitchFamily="34" charset="0"/>
                <a:cs typeface="Arial" panose="020B0604020202020204" pitchFamily="34" charset="0"/>
              </a:rPr>
              <a:t>SEARCH &amp; OTHER</a:t>
            </a:r>
          </a:p>
        </xdr:txBody>
      </xdr:sp>
      <xdr:sp macro="" textlink="">
        <xdr:nvSpPr>
          <xdr:cNvPr id="189" name="TextBox 22">
            <a:extLst>
              <a:ext uri="{FF2B5EF4-FFF2-40B4-BE49-F238E27FC236}">
                <a16:creationId xmlns:a16="http://schemas.microsoft.com/office/drawing/2014/main" id="{00000000-0008-0000-0A00-0000BD000000}"/>
              </a:ext>
            </a:extLst>
          </xdr:cNvPr>
          <xdr:cNvSpPr txBox="1"/>
        </xdr:nvSpPr>
        <xdr:spPr>
          <a:xfrm>
            <a:off x="4555024" y="2407776"/>
            <a:ext cx="1239500" cy="435865"/>
          </a:xfrm>
          <a:prstGeom prst="roundRect">
            <a:avLst/>
          </a:prstGeom>
          <a:noFill/>
          <a:ln w="38100">
            <a:solidFill>
              <a:schemeClr val="tx1">
                <a:lumMod val="50000"/>
                <a:lumOff val="50000"/>
              </a:schemeClr>
            </a:solidFill>
          </a:ln>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latin typeface="Arial" panose="020B0604020202020204" pitchFamily="34" charset="0"/>
                <a:cs typeface="Arial" panose="020B0604020202020204" pitchFamily="34" charset="0"/>
              </a:rPr>
              <a:t>YOUTUBE ADS</a:t>
            </a:r>
          </a:p>
        </xdr:txBody>
      </xdr:sp>
      <xdr:sp macro="" textlink="">
        <xdr:nvSpPr>
          <xdr:cNvPr id="190" name="TextBox 23">
            <a:extLst>
              <a:ext uri="{FF2B5EF4-FFF2-40B4-BE49-F238E27FC236}">
                <a16:creationId xmlns:a16="http://schemas.microsoft.com/office/drawing/2014/main" id="{00000000-0008-0000-0A00-0000BE000000}"/>
              </a:ext>
            </a:extLst>
          </xdr:cNvPr>
          <xdr:cNvSpPr txBox="1"/>
        </xdr:nvSpPr>
        <xdr:spPr>
          <a:xfrm>
            <a:off x="3315524" y="3354358"/>
            <a:ext cx="1652667" cy="435865"/>
          </a:xfrm>
          <a:prstGeom prst="roundRect">
            <a:avLst/>
          </a:prstGeom>
          <a:noFill/>
          <a:ln w="38100">
            <a:solidFill>
              <a:schemeClr val="accent2"/>
            </a:solidFill>
          </a:ln>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latin typeface="Arial" panose="020B0604020202020204" pitchFamily="34" charset="0"/>
                <a:cs typeface="Arial" panose="020B0604020202020204" pitchFamily="34" charset="0"/>
              </a:rPr>
              <a:t>GOOGLE NETWORK</a:t>
            </a:r>
          </a:p>
        </xdr:txBody>
      </xdr:sp>
      <xdr:sp macro="" textlink="">
        <xdr:nvSpPr>
          <xdr:cNvPr id="191" name="TextBox 28">
            <a:extLst>
              <a:ext uri="{FF2B5EF4-FFF2-40B4-BE49-F238E27FC236}">
                <a16:creationId xmlns:a16="http://schemas.microsoft.com/office/drawing/2014/main" id="{00000000-0008-0000-0A00-0000BF000000}"/>
              </a:ext>
            </a:extLst>
          </xdr:cNvPr>
          <xdr:cNvSpPr txBox="1"/>
        </xdr:nvSpPr>
        <xdr:spPr>
          <a:xfrm>
            <a:off x="5959791" y="2411578"/>
            <a:ext cx="1239500" cy="435865"/>
          </a:xfrm>
          <a:prstGeom prst="roundRect">
            <a:avLst/>
          </a:prstGeom>
          <a:noFill/>
          <a:ln w="38100">
            <a:solidFill>
              <a:schemeClr val="tx1">
                <a:lumMod val="50000"/>
                <a:lumOff val="50000"/>
              </a:schemeClr>
            </a:solidFill>
          </a:ln>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latin typeface="Arial" panose="020B0604020202020204" pitchFamily="34" charset="0"/>
                <a:cs typeface="Arial" panose="020B0604020202020204" pitchFamily="34" charset="0"/>
              </a:rPr>
              <a:t>YOUTUBE SUBS</a:t>
            </a:r>
          </a:p>
        </xdr:txBody>
      </xdr:sp>
      <xdr:sp macro="" textlink="">
        <xdr:nvSpPr>
          <xdr:cNvPr id="192" name="TextBox 29">
            <a:extLst>
              <a:ext uri="{FF2B5EF4-FFF2-40B4-BE49-F238E27FC236}">
                <a16:creationId xmlns:a16="http://schemas.microsoft.com/office/drawing/2014/main" id="{00000000-0008-0000-0A00-0000C0000000}"/>
              </a:ext>
            </a:extLst>
          </xdr:cNvPr>
          <xdr:cNvSpPr txBox="1"/>
        </xdr:nvSpPr>
        <xdr:spPr>
          <a:xfrm>
            <a:off x="8521424" y="3354358"/>
            <a:ext cx="1652667" cy="435865"/>
          </a:xfrm>
          <a:prstGeom prst="roundRect">
            <a:avLst/>
          </a:prstGeom>
          <a:noFill/>
          <a:ln w="38100">
            <a:solidFill>
              <a:srgbClr val="00B050"/>
            </a:solidFill>
          </a:ln>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latin typeface="Arial" panose="020B0604020202020204" pitchFamily="34" charset="0"/>
                <a:cs typeface="Arial" panose="020B0604020202020204" pitchFamily="34" charset="0"/>
              </a:rPr>
              <a:t>GOOGLE CLOUD</a:t>
            </a:r>
          </a:p>
        </xdr:txBody>
      </xdr:sp>
      <xdr:sp macro="" textlink="">
        <xdr:nvSpPr>
          <xdr:cNvPr id="193" name="TextBox 32">
            <a:extLst>
              <a:ext uri="{FF2B5EF4-FFF2-40B4-BE49-F238E27FC236}">
                <a16:creationId xmlns:a16="http://schemas.microsoft.com/office/drawing/2014/main" id="{00000000-0008-0000-0A00-0000C1000000}"/>
              </a:ext>
            </a:extLst>
          </xdr:cNvPr>
          <xdr:cNvSpPr txBox="1"/>
        </xdr:nvSpPr>
        <xdr:spPr>
          <a:xfrm>
            <a:off x="5050824" y="3354358"/>
            <a:ext cx="1652667" cy="435865"/>
          </a:xfrm>
          <a:prstGeom prst="roundRect">
            <a:avLst/>
          </a:prstGeom>
          <a:noFill/>
          <a:ln w="38100">
            <a:solidFill>
              <a:srgbClr val="FF0000"/>
            </a:solidFill>
          </a:ln>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latin typeface="Arial" panose="020B0604020202020204" pitchFamily="34" charset="0"/>
                <a:cs typeface="Arial" panose="020B0604020202020204" pitchFamily="34" charset="0"/>
              </a:rPr>
              <a:t>YOUTUBE</a:t>
            </a:r>
          </a:p>
        </xdr:txBody>
      </xdr:sp>
      <xdr:cxnSp macro="">
        <xdr:nvCxnSpPr>
          <xdr:cNvPr id="194" name="Straight Connector 193">
            <a:extLst>
              <a:ext uri="{FF2B5EF4-FFF2-40B4-BE49-F238E27FC236}">
                <a16:creationId xmlns:a16="http://schemas.microsoft.com/office/drawing/2014/main" id="{00000000-0008-0000-0A00-0000C2000000}"/>
              </a:ext>
            </a:extLst>
          </xdr:cNvPr>
          <xdr:cNvCxnSpPr>
            <a:stCxn id="184" idx="0"/>
          </xdr:cNvCxnSpPr>
        </xdr:nvCxnSpPr>
        <xdr:spPr>
          <a:xfrm flipV="1">
            <a:off x="11083058" y="550208"/>
            <a:ext cx="0" cy="2804150"/>
          </a:xfrm>
          <a:prstGeom prst="line">
            <a:avLst/>
          </a:prstGeom>
          <a:ln w="38100">
            <a:solidFill>
              <a:schemeClr val="tx1">
                <a:lumMod val="50000"/>
                <a:lumOff val="50000"/>
              </a:schemeClr>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195" name="Straight Connector 194">
            <a:extLst>
              <a:ext uri="{FF2B5EF4-FFF2-40B4-BE49-F238E27FC236}">
                <a16:creationId xmlns:a16="http://schemas.microsoft.com/office/drawing/2014/main" id="{00000000-0008-0000-0A00-0000C3000000}"/>
              </a:ext>
            </a:extLst>
          </xdr:cNvPr>
          <xdr:cNvCxnSpPr>
            <a:stCxn id="185" idx="0"/>
          </xdr:cNvCxnSpPr>
        </xdr:nvCxnSpPr>
        <xdr:spPr>
          <a:xfrm flipV="1">
            <a:off x="3687374" y="1311911"/>
            <a:ext cx="0" cy="348826"/>
          </a:xfrm>
          <a:prstGeom prst="line">
            <a:avLst/>
          </a:prstGeom>
          <a:ln w="38100">
            <a:solidFill>
              <a:schemeClr val="tx1">
                <a:lumMod val="50000"/>
                <a:lumOff val="50000"/>
              </a:schemeClr>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196" name="Straight Connector 195">
            <a:extLst>
              <a:ext uri="{FF2B5EF4-FFF2-40B4-BE49-F238E27FC236}">
                <a16:creationId xmlns:a16="http://schemas.microsoft.com/office/drawing/2014/main" id="{00000000-0008-0000-0A00-0000C4000000}"/>
              </a:ext>
            </a:extLst>
          </xdr:cNvPr>
          <xdr:cNvCxnSpPr>
            <a:stCxn id="188" idx="0"/>
          </xdr:cNvCxnSpPr>
        </xdr:nvCxnSpPr>
        <xdr:spPr>
          <a:xfrm flipH="1" flipV="1">
            <a:off x="2406557" y="2096602"/>
            <a:ext cx="1" cy="1257756"/>
          </a:xfrm>
          <a:prstGeom prst="line">
            <a:avLst/>
          </a:prstGeom>
          <a:ln w="38100">
            <a:solidFill>
              <a:schemeClr val="tx1">
                <a:lumMod val="50000"/>
                <a:lumOff val="50000"/>
              </a:schemeClr>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197" name="Straight Connector 196">
            <a:extLst>
              <a:ext uri="{FF2B5EF4-FFF2-40B4-BE49-F238E27FC236}">
                <a16:creationId xmlns:a16="http://schemas.microsoft.com/office/drawing/2014/main" id="{00000000-0008-0000-0A00-0000C5000000}"/>
              </a:ext>
            </a:extLst>
          </xdr:cNvPr>
          <xdr:cNvCxnSpPr>
            <a:stCxn id="190" idx="0"/>
          </xdr:cNvCxnSpPr>
        </xdr:nvCxnSpPr>
        <xdr:spPr>
          <a:xfrm flipH="1" flipV="1">
            <a:off x="4141857" y="2096602"/>
            <a:ext cx="1" cy="1257756"/>
          </a:xfrm>
          <a:prstGeom prst="line">
            <a:avLst/>
          </a:prstGeom>
          <a:ln w="38100">
            <a:solidFill>
              <a:schemeClr val="tx1">
                <a:lumMod val="50000"/>
                <a:lumOff val="50000"/>
              </a:schemeClr>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198" name="Straight Connector 197">
            <a:extLst>
              <a:ext uri="{FF2B5EF4-FFF2-40B4-BE49-F238E27FC236}">
                <a16:creationId xmlns:a16="http://schemas.microsoft.com/office/drawing/2014/main" id="{00000000-0008-0000-0A00-0000C6000000}"/>
              </a:ext>
            </a:extLst>
          </xdr:cNvPr>
          <xdr:cNvCxnSpPr>
            <a:stCxn id="189" idx="0"/>
          </xdr:cNvCxnSpPr>
        </xdr:nvCxnSpPr>
        <xdr:spPr>
          <a:xfrm flipV="1">
            <a:off x="5174774" y="2096603"/>
            <a:ext cx="0" cy="311173"/>
          </a:xfrm>
          <a:prstGeom prst="line">
            <a:avLst/>
          </a:prstGeom>
          <a:ln w="38100">
            <a:solidFill>
              <a:schemeClr val="tx1">
                <a:lumMod val="50000"/>
                <a:lumOff val="50000"/>
              </a:schemeClr>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199" name="Straight Connector 198">
            <a:extLst>
              <a:ext uri="{FF2B5EF4-FFF2-40B4-BE49-F238E27FC236}">
                <a16:creationId xmlns:a16="http://schemas.microsoft.com/office/drawing/2014/main" id="{00000000-0008-0000-0A00-0000C7000000}"/>
              </a:ext>
            </a:extLst>
          </xdr:cNvPr>
          <xdr:cNvCxnSpPr>
            <a:stCxn id="186" idx="0"/>
          </xdr:cNvCxnSpPr>
        </xdr:nvCxnSpPr>
        <xdr:spPr>
          <a:xfrm flipV="1">
            <a:off x="7612458" y="2096602"/>
            <a:ext cx="0" cy="1257756"/>
          </a:xfrm>
          <a:prstGeom prst="line">
            <a:avLst/>
          </a:prstGeom>
          <a:ln w="38100">
            <a:solidFill>
              <a:schemeClr val="tx1">
                <a:lumMod val="50000"/>
                <a:lumOff val="50000"/>
              </a:schemeClr>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200" name="Elbow Connector 199">
            <a:extLst>
              <a:ext uri="{FF2B5EF4-FFF2-40B4-BE49-F238E27FC236}">
                <a16:creationId xmlns:a16="http://schemas.microsoft.com/office/drawing/2014/main" id="{00000000-0008-0000-0A00-0000C8000000}"/>
              </a:ext>
            </a:extLst>
          </xdr:cNvPr>
          <xdr:cNvCxnSpPr>
            <a:stCxn id="189" idx="2"/>
            <a:endCxn id="193" idx="0"/>
          </xdr:cNvCxnSpPr>
        </xdr:nvCxnSpPr>
        <xdr:spPr>
          <a:xfrm rot="16200000" flipH="1">
            <a:off x="5270608" y="2747807"/>
            <a:ext cx="510717" cy="702384"/>
          </a:xfrm>
          <a:prstGeom prst="bentConnector3">
            <a:avLst>
              <a:gd name="adj1" fmla="val 50000"/>
            </a:avLst>
          </a:prstGeom>
          <a:ln w="381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01" name="Elbow Connector 200">
            <a:extLst>
              <a:ext uri="{FF2B5EF4-FFF2-40B4-BE49-F238E27FC236}">
                <a16:creationId xmlns:a16="http://schemas.microsoft.com/office/drawing/2014/main" id="{00000000-0008-0000-0A00-0000C9000000}"/>
              </a:ext>
            </a:extLst>
          </xdr:cNvPr>
          <xdr:cNvCxnSpPr>
            <a:stCxn id="191" idx="2"/>
            <a:endCxn id="193" idx="0"/>
          </xdr:cNvCxnSpPr>
        </xdr:nvCxnSpPr>
        <xdr:spPr>
          <a:xfrm rot="5400000">
            <a:off x="5974893" y="2749709"/>
            <a:ext cx="506915" cy="702383"/>
          </a:xfrm>
          <a:prstGeom prst="bentConnector3">
            <a:avLst>
              <a:gd name="adj1" fmla="val 50000"/>
            </a:avLst>
          </a:prstGeom>
          <a:ln w="381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02" name="Straight Connector 201">
            <a:extLst>
              <a:ext uri="{FF2B5EF4-FFF2-40B4-BE49-F238E27FC236}">
                <a16:creationId xmlns:a16="http://schemas.microsoft.com/office/drawing/2014/main" id="{00000000-0008-0000-0A00-0000CA000000}"/>
              </a:ext>
            </a:extLst>
          </xdr:cNvPr>
          <xdr:cNvCxnSpPr>
            <a:stCxn id="191" idx="0"/>
          </xdr:cNvCxnSpPr>
        </xdr:nvCxnSpPr>
        <xdr:spPr>
          <a:xfrm flipV="1">
            <a:off x="6579541" y="2096602"/>
            <a:ext cx="0" cy="314976"/>
          </a:xfrm>
          <a:prstGeom prst="line">
            <a:avLst/>
          </a:prstGeom>
          <a:ln w="38100">
            <a:solidFill>
              <a:schemeClr val="tx1">
                <a:lumMod val="50000"/>
                <a:lumOff val="50000"/>
              </a:schemeClr>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203" name="Straight Connector 202">
            <a:extLst>
              <a:ext uri="{FF2B5EF4-FFF2-40B4-BE49-F238E27FC236}">
                <a16:creationId xmlns:a16="http://schemas.microsoft.com/office/drawing/2014/main" id="{00000000-0008-0000-0A00-0000CB000000}"/>
              </a:ext>
            </a:extLst>
          </xdr:cNvPr>
          <xdr:cNvCxnSpPr>
            <a:stCxn id="187" idx="0"/>
          </xdr:cNvCxnSpPr>
        </xdr:nvCxnSpPr>
        <xdr:spPr>
          <a:xfrm flipV="1">
            <a:off x="7199291" y="1311911"/>
            <a:ext cx="0" cy="348828"/>
          </a:xfrm>
          <a:prstGeom prst="line">
            <a:avLst/>
          </a:prstGeom>
          <a:ln w="38100">
            <a:solidFill>
              <a:schemeClr val="tx1">
                <a:lumMod val="50000"/>
                <a:lumOff val="50000"/>
              </a:schemeClr>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204" name="TextBox 164">
            <a:extLst>
              <a:ext uri="{FF2B5EF4-FFF2-40B4-BE49-F238E27FC236}">
                <a16:creationId xmlns:a16="http://schemas.microsoft.com/office/drawing/2014/main" id="{00000000-0008-0000-0A00-0000CC000000}"/>
              </a:ext>
            </a:extLst>
          </xdr:cNvPr>
          <xdr:cNvSpPr txBox="1"/>
        </xdr:nvSpPr>
        <xdr:spPr>
          <a:xfrm>
            <a:off x="1580224" y="3878582"/>
            <a:ext cx="1652667" cy="2004978"/>
          </a:xfrm>
          <a:prstGeom prst="roundRect">
            <a:avLst>
              <a:gd name="adj" fmla="val 6141"/>
            </a:avLst>
          </a:prstGeom>
          <a:noFill/>
          <a:ln w="38100">
            <a:solidFill>
              <a:schemeClr val="accent1"/>
            </a:solidFill>
          </a:ln>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sz="1400">
              <a:latin typeface="Arial" panose="020B0604020202020204" pitchFamily="34" charset="0"/>
              <a:cs typeface="Arial" panose="020B0604020202020204" pitchFamily="34" charset="0"/>
            </a:endParaRPr>
          </a:p>
        </xdr:txBody>
      </xdr:sp>
      <xdr:sp macro="" textlink="">
        <xdr:nvSpPr>
          <xdr:cNvPr id="205" name="TextBox 168">
            <a:extLst>
              <a:ext uri="{FF2B5EF4-FFF2-40B4-BE49-F238E27FC236}">
                <a16:creationId xmlns:a16="http://schemas.microsoft.com/office/drawing/2014/main" id="{00000000-0008-0000-0A00-0000CD000000}"/>
              </a:ext>
            </a:extLst>
          </xdr:cNvPr>
          <xdr:cNvSpPr txBox="1"/>
        </xdr:nvSpPr>
        <xdr:spPr>
          <a:xfrm>
            <a:off x="3315524" y="3878582"/>
            <a:ext cx="1652667" cy="2004978"/>
          </a:xfrm>
          <a:prstGeom prst="roundRect">
            <a:avLst>
              <a:gd name="adj" fmla="val 6141"/>
            </a:avLst>
          </a:prstGeom>
          <a:noFill/>
          <a:ln w="38100">
            <a:solidFill>
              <a:schemeClr val="accent2"/>
            </a:solidFill>
          </a:ln>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sz="1400">
              <a:latin typeface="Arial" panose="020B0604020202020204" pitchFamily="34" charset="0"/>
              <a:cs typeface="Arial" panose="020B0604020202020204" pitchFamily="34" charset="0"/>
            </a:endParaRPr>
          </a:p>
        </xdr:txBody>
      </xdr:sp>
      <xdr:sp macro="" textlink="">
        <xdr:nvSpPr>
          <xdr:cNvPr id="206" name="TextBox 169">
            <a:extLst>
              <a:ext uri="{FF2B5EF4-FFF2-40B4-BE49-F238E27FC236}">
                <a16:creationId xmlns:a16="http://schemas.microsoft.com/office/drawing/2014/main" id="{00000000-0008-0000-0A00-0000CE000000}"/>
              </a:ext>
            </a:extLst>
          </xdr:cNvPr>
          <xdr:cNvSpPr txBox="1"/>
        </xdr:nvSpPr>
        <xdr:spPr>
          <a:xfrm>
            <a:off x="5050824" y="3878582"/>
            <a:ext cx="1652667" cy="2004978"/>
          </a:xfrm>
          <a:prstGeom prst="roundRect">
            <a:avLst>
              <a:gd name="adj" fmla="val 6141"/>
            </a:avLst>
          </a:prstGeom>
          <a:noFill/>
          <a:ln w="38100">
            <a:solidFill>
              <a:srgbClr val="FF0000"/>
            </a:solidFill>
          </a:ln>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sz="1400">
              <a:latin typeface="Arial" panose="020B0604020202020204" pitchFamily="34" charset="0"/>
              <a:cs typeface="Arial" panose="020B0604020202020204" pitchFamily="34" charset="0"/>
            </a:endParaRPr>
          </a:p>
        </xdr:txBody>
      </xdr:sp>
      <xdr:sp macro="" textlink="">
        <xdr:nvSpPr>
          <xdr:cNvPr id="207" name="TextBox 170">
            <a:extLst>
              <a:ext uri="{FF2B5EF4-FFF2-40B4-BE49-F238E27FC236}">
                <a16:creationId xmlns:a16="http://schemas.microsoft.com/office/drawing/2014/main" id="{00000000-0008-0000-0A00-0000CF000000}"/>
              </a:ext>
            </a:extLst>
          </xdr:cNvPr>
          <xdr:cNvSpPr txBox="1"/>
        </xdr:nvSpPr>
        <xdr:spPr>
          <a:xfrm>
            <a:off x="6786124" y="3878582"/>
            <a:ext cx="1652667" cy="2004978"/>
          </a:xfrm>
          <a:prstGeom prst="roundRect">
            <a:avLst>
              <a:gd name="adj" fmla="val 6141"/>
            </a:avLst>
          </a:prstGeom>
          <a:noFill/>
          <a:ln w="38100">
            <a:solidFill>
              <a:schemeClr val="accent2">
                <a:lumMod val="75000"/>
              </a:schemeClr>
            </a:solidFill>
          </a:ln>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sz="1400">
              <a:latin typeface="Arial" panose="020B0604020202020204" pitchFamily="34" charset="0"/>
              <a:cs typeface="Arial" panose="020B0604020202020204" pitchFamily="34" charset="0"/>
            </a:endParaRPr>
          </a:p>
        </xdr:txBody>
      </xdr:sp>
      <xdr:sp macro="" textlink="">
        <xdr:nvSpPr>
          <xdr:cNvPr id="208" name="TextBox 171">
            <a:extLst>
              <a:ext uri="{FF2B5EF4-FFF2-40B4-BE49-F238E27FC236}">
                <a16:creationId xmlns:a16="http://schemas.microsoft.com/office/drawing/2014/main" id="{00000000-0008-0000-0A00-0000D0000000}"/>
              </a:ext>
            </a:extLst>
          </xdr:cNvPr>
          <xdr:cNvSpPr txBox="1"/>
        </xdr:nvSpPr>
        <xdr:spPr>
          <a:xfrm>
            <a:off x="8521424" y="3878582"/>
            <a:ext cx="1652667" cy="2004978"/>
          </a:xfrm>
          <a:prstGeom prst="roundRect">
            <a:avLst>
              <a:gd name="adj" fmla="val 6141"/>
            </a:avLst>
          </a:prstGeom>
          <a:noFill/>
          <a:ln w="38100">
            <a:solidFill>
              <a:srgbClr val="00B050"/>
            </a:solidFill>
          </a:ln>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sz="1400">
              <a:latin typeface="Arial" panose="020B0604020202020204" pitchFamily="34" charset="0"/>
              <a:cs typeface="Arial" panose="020B0604020202020204" pitchFamily="34" charset="0"/>
            </a:endParaRPr>
          </a:p>
        </xdr:txBody>
      </xdr:sp>
      <xdr:sp macro="" textlink="">
        <xdr:nvSpPr>
          <xdr:cNvPr id="209" name="TextBox 172">
            <a:extLst>
              <a:ext uri="{FF2B5EF4-FFF2-40B4-BE49-F238E27FC236}">
                <a16:creationId xmlns:a16="http://schemas.microsoft.com/office/drawing/2014/main" id="{00000000-0008-0000-0A00-0000D1000000}"/>
              </a:ext>
            </a:extLst>
          </xdr:cNvPr>
          <xdr:cNvSpPr txBox="1"/>
        </xdr:nvSpPr>
        <xdr:spPr>
          <a:xfrm>
            <a:off x="10256724" y="3878582"/>
            <a:ext cx="1652667" cy="2004978"/>
          </a:xfrm>
          <a:prstGeom prst="roundRect">
            <a:avLst>
              <a:gd name="adj" fmla="val 6141"/>
            </a:avLst>
          </a:prstGeom>
          <a:noFill/>
          <a:ln w="38100">
            <a:solidFill>
              <a:srgbClr val="FFC000"/>
            </a:solidFill>
          </a:ln>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sz="1400">
              <a:latin typeface="Arial" panose="020B0604020202020204" pitchFamily="34" charset="0"/>
              <a:cs typeface="Arial" panose="020B0604020202020204" pitchFamily="34" charset="0"/>
            </a:endParaRPr>
          </a:p>
        </xdr:txBody>
      </xdr:sp>
      <xdr:sp macro="" textlink="">
        <xdr:nvSpPr>
          <xdr:cNvPr id="210" name="TextBox 4">
            <a:extLst>
              <a:ext uri="{FF2B5EF4-FFF2-40B4-BE49-F238E27FC236}">
                <a16:creationId xmlns:a16="http://schemas.microsoft.com/office/drawing/2014/main" id="{00000000-0008-0000-0A00-0000D2000000}"/>
              </a:ext>
            </a:extLst>
          </xdr:cNvPr>
          <xdr:cNvSpPr txBox="1"/>
        </xdr:nvSpPr>
        <xdr:spPr>
          <a:xfrm>
            <a:off x="491340" y="4216249"/>
            <a:ext cx="1097280" cy="36576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b="1">
                <a:latin typeface="Arial" panose="020B0604020202020204" pitchFamily="34" charset="0"/>
                <a:cs typeface="Arial" panose="020B0604020202020204" pitchFamily="34" charset="0"/>
              </a:rPr>
              <a:t>Gross Revenues</a:t>
            </a:r>
          </a:p>
          <a:p>
            <a:r>
              <a:rPr lang="en-US" sz="1000">
                <a:latin typeface="Arial" panose="020B0604020202020204" pitchFamily="34" charset="0"/>
                <a:cs typeface="Arial" panose="020B0604020202020204" pitchFamily="34" charset="0"/>
              </a:rPr>
              <a:t>Y/Y Growth</a:t>
            </a:r>
          </a:p>
        </xdr:txBody>
      </xdr:sp>
      <xdr:sp macro="" textlink="">
        <xdr:nvSpPr>
          <xdr:cNvPr id="211" name="TextBox 44">
            <a:extLst>
              <a:ext uri="{FF2B5EF4-FFF2-40B4-BE49-F238E27FC236}">
                <a16:creationId xmlns:a16="http://schemas.microsoft.com/office/drawing/2014/main" id="{00000000-0008-0000-0A00-0000D3000000}"/>
              </a:ext>
            </a:extLst>
          </xdr:cNvPr>
          <xdr:cNvSpPr txBox="1"/>
        </xdr:nvSpPr>
        <xdr:spPr>
          <a:xfrm>
            <a:off x="491340" y="4679525"/>
            <a:ext cx="1097280" cy="36576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b="1">
                <a:latin typeface="Arial" panose="020B0604020202020204" pitchFamily="34" charset="0"/>
                <a:cs typeface="Arial" panose="020B0604020202020204" pitchFamily="34" charset="0"/>
              </a:rPr>
              <a:t>EBITDA</a:t>
            </a:r>
          </a:p>
          <a:p>
            <a:r>
              <a:rPr lang="en-US" sz="1000">
                <a:latin typeface="Arial" panose="020B0604020202020204" pitchFamily="34" charset="0"/>
                <a:cs typeface="Arial" panose="020B0604020202020204" pitchFamily="34" charset="0"/>
              </a:rPr>
              <a:t>Margins</a:t>
            </a:r>
          </a:p>
        </xdr:txBody>
      </xdr:sp>
      <xdr:sp macro="" textlink="">
        <xdr:nvSpPr>
          <xdr:cNvPr id="212" name="TextBox 94">
            <a:extLst>
              <a:ext uri="{FF2B5EF4-FFF2-40B4-BE49-F238E27FC236}">
                <a16:creationId xmlns:a16="http://schemas.microsoft.com/office/drawing/2014/main" id="{00000000-0008-0000-0A00-0000D4000000}"/>
              </a:ext>
            </a:extLst>
          </xdr:cNvPr>
          <xdr:cNvSpPr txBox="1"/>
        </xdr:nvSpPr>
        <xdr:spPr>
          <a:xfrm>
            <a:off x="491340" y="5280092"/>
            <a:ext cx="1097280" cy="36576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b="1">
                <a:latin typeface="Arial" panose="020B0604020202020204" pitchFamily="34" charset="0"/>
                <a:cs typeface="Arial" panose="020B0604020202020204" pitchFamily="34" charset="0"/>
              </a:rPr>
              <a:t>YE26 EV</a:t>
            </a:r>
          </a:p>
          <a:p>
            <a:r>
              <a:rPr lang="en-US" sz="1000">
                <a:latin typeface="Arial" panose="020B0604020202020204" pitchFamily="34" charset="0"/>
                <a:cs typeface="Arial" panose="020B0604020202020204" pitchFamily="34" charset="0"/>
              </a:rPr>
              <a:t>Valuation Multiple</a:t>
            </a:r>
          </a:p>
        </xdr:txBody>
      </xdr:sp>
      <xdr:sp macro="" textlink="$S$51">
        <xdr:nvSpPr>
          <xdr:cNvPr id="213" name="TextBox 95">
            <a:extLst>
              <a:ext uri="{FF2B5EF4-FFF2-40B4-BE49-F238E27FC236}">
                <a16:creationId xmlns:a16="http://schemas.microsoft.com/office/drawing/2014/main" id="{00000000-0008-0000-0A00-0000D5000000}"/>
              </a:ext>
            </a:extLst>
          </xdr:cNvPr>
          <xdr:cNvSpPr txBox="1"/>
        </xdr:nvSpPr>
        <xdr:spPr>
          <a:xfrm>
            <a:off x="1718983" y="5230559"/>
            <a:ext cx="1371600" cy="27432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4F35AD3C-7CD3-4679-937D-4B84E5FFE1A8}" type="TxLink">
              <a:rPr lang="en-US" sz="1200" b="1" i="0" u="none" strike="noStrike">
                <a:solidFill>
                  <a:srgbClr val="000000"/>
                </a:solidFill>
                <a:latin typeface="Arial"/>
                <a:cs typeface="Arial"/>
              </a:rPr>
              <a:pPr algn="ctr"/>
              <a:t>$2.87T</a:t>
            </a:fld>
            <a:endParaRPr lang="en-US" sz="1800" b="1">
              <a:latin typeface="Arial" panose="020B0604020202020204" pitchFamily="34" charset="0"/>
              <a:cs typeface="Arial" panose="020B0604020202020204" pitchFamily="34" charset="0"/>
            </a:endParaRPr>
          </a:p>
        </xdr:txBody>
      </xdr:sp>
      <xdr:sp macro="" textlink="$P$69">
        <xdr:nvSpPr>
          <xdr:cNvPr id="214" name="TextBox 103">
            <a:extLst>
              <a:ext uri="{FF2B5EF4-FFF2-40B4-BE49-F238E27FC236}">
                <a16:creationId xmlns:a16="http://schemas.microsoft.com/office/drawing/2014/main" id="{00000000-0008-0000-0A00-0000D6000000}"/>
              </a:ext>
            </a:extLst>
          </xdr:cNvPr>
          <xdr:cNvSpPr txBox="1"/>
        </xdr:nvSpPr>
        <xdr:spPr>
          <a:xfrm>
            <a:off x="1588620" y="6343821"/>
            <a:ext cx="10329167" cy="457200"/>
          </a:xfrm>
          <a:prstGeom prst="roundRect">
            <a:avLst/>
          </a:prstGeom>
          <a:noFill/>
          <a:ln w="38100">
            <a:solidFill>
              <a:srgbClr val="FF0000"/>
            </a:solidFill>
          </a:ln>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43C8A3F9-6395-4EA7-8FA6-35C58F0338C7}" type="TxLink">
              <a:rPr lang="en-US" sz="1600" b="1" i="0" u="none" strike="noStrike">
                <a:solidFill>
                  <a:srgbClr val="000000"/>
                </a:solidFill>
                <a:latin typeface="Arial"/>
                <a:cs typeface="Arial"/>
              </a:rPr>
              <a:pPr algn="ctr"/>
              <a:t>Alphabet SOTP Enterprise Value = $4.17T and Equity Value = $4.29T, or $351 per share, 19% Upside</a:t>
            </a:fld>
            <a:endParaRPr lang="en-US" sz="3200" b="1">
              <a:latin typeface="Arial" panose="020B0604020202020204" pitchFamily="34" charset="0"/>
              <a:cs typeface="Arial" panose="020B0604020202020204" pitchFamily="34" charset="0"/>
            </a:endParaRPr>
          </a:p>
        </xdr:txBody>
      </xdr:sp>
      <xdr:sp macro="" textlink="">
        <xdr:nvSpPr>
          <xdr:cNvPr id="215" name="Left Brace 214">
            <a:extLst>
              <a:ext uri="{FF2B5EF4-FFF2-40B4-BE49-F238E27FC236}">
                <a16:creationId xmlns:a16="http://schemas.microsoft.com/office/drawing/2014/main" id="{00000000-0008-0000-0A00-0000D7000000}"/>
              </a:ext>
            </a:extLst>
          </xdr:cNvPr>
          <xdr:cNvSpPr/>
        </xdr:nvSpPr>
        <xdr:spPr>
          <a:xfrm rot="16200000">
            <a:off x="6586981" y="875734"/>
            <a:ext cx="332446" cy="10426417"/>
          </a:xfrm>
          <a:prstGeom prst="leftBrace">
            <a:avLst>
              <a:gd name="adj1" fmla="val 401189"/>
              <a:gd name="adj2" fmla="val 50000"/>
            </a:avLst>
          </a:prstGeom>
          <a:ln w="28575">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cxnSp macro="">
        <xdr:nvCxnSpPr>
          <xdr:cNvPr id="216" name="Straight Connector 215">
            <a:extLst>
              <a:ext uri="{FF2B5EF4-FFF2-40B4-BE49-F238E27FC236}">
                <a16:creationId xmlns:a16="http://schemas.microsoft.com/office/drawing/2014/main" id="{00000000-0008-0000-0A00-0000D8000000}"/>
              </a:ext>
            </a:extLst>
          </xdr:cNvPr>
          <xdr:cNvCxnSpPr/>
        </xdr:nvCxnSpPr>
        <xdr:spPr>
          <a:xfrm flipV="1">
            <a:off x="9347757" y="550208"/>
            <a:ext cx="0" cy="2804151"/>
          </a:xfrm>
          <a:prstGeom prst="line">
            <a:avLst/>
          </a:prstGeom>
          <a:ln w="38100">
            <a:solidFill>
              <a:schemeClr val="tx1">
                <a:lumMod val="50000"/>
                <a:lumOff val="50000"/>
              </a:schemeClr>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217" name="Straight Connector 216">
            <a:extLst>
              <a:ext uri="{FF2B5EF4-FFF2-40B4-BE49-F238E27FC236}">
                <a16:creationId xmlns:a16="http://schemas.microsoft.com/office/drawing/2014/main" id="{00000000-0008-0000-0A00-0000D9000000}"/>
              </a:ext>
            </a:extLst>
          </xdr:cNvPr>
          <xdr:cNvCxnSpPr/>
        </xdr:nvCxnSpPr>
        <xdr:spPr>
          <a:xfrm flipV="1">
            <a:off x="5009507" y="527217"/>
            <a:ext cx="0" cy="348829"/>
          </a:xfrm>
          <a:prstGeom prst="line">
            <a:avLst/>
          </a:prstGeom>
          <a:ln w="38100">
            <a:solidFill>
              <a:schemeClr val="tx1">
                <a:lumMod val="50000"/>
                <a:lumOff val="50000"/>
              </a:schemeClr>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X$51">
        <xdr:nvSpPr>
          <xdr:cNvPr id="218" name="Rectangle 217">
            <a:extLst>
              <a:ext uri="{FF2B5EF4-FFF2-40B4-BE49-F238E27FC236}">
                <a16:creationId xmlns:a16="http://schemas.microsoft.com/office/drawing/2014/main" id="{00000000-0008-0000-0A00-0000DA000000}"/>
              </a:ext>
            </a:extLst>
          </xdr:cNvPr>
          <xdr:cNvSpPr/>
        </xdr:nvSpPr>
        <xdr:spPr>
          <a:xfrm>
            <a:off x="1718983" y="5460055"/>
            <a:ext cx="1371600" cy="24885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43F6813A-3726-4911-B77F-C920B9ADC6A1}" type="TxLink">
              <a:rPr lang="en-US" sz="1000" b="0" i="0" u="none" strike="noStrike">
                <a:solidFill>
                  <a:srgbClr val="000000"/>
                </a:solidFill>
                <a:latin typeface="Arial"/>
                <a:cs typeface="Arial"/>
              </a:rPr>
              <a:pPr algn="ctr"/>
              <a:t>16.0x '27E EBITDA</a:t>
            </a:fld>
            <a:endParaRPr lang="en-US" sz="1000"/>
          </a:p>
        </xdr:txBody>
      </xdr:sp>
      <xdr:sp macro="" textlink="$S$53">
        <xdr:nvSpPr>
          <xdr:cNvPr id="219" name="TextBox 104">
            <a:extLst>
              <a:ext uri="{FF2B5EF4-FFF2-40B4-BE49-F238E27FC236}">
                <a16:creationId xmlns:a16="http://schemas.microsoft.com/office/drawing/2014/main" id="{00000000-0008-0000-0A00-0000DB000000}"/>
              </a:ext>
            </a:extLst>
          </xdr:cNvPr>
          <xdr:cNvSpPr txBox="1"/>
        </xdr:nvSpPr>
        <xdr:spPr>
          <a:xfrm>
            <a:off x="3454282" y="5230559"/>
            <a:ext cx="1371600" cy="27432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9BAF255D-FCEE-4448-AE89-F78179E5A199}" type="TxLink">
              <a:rPr lang="en-US" sz="1200" b="1" i="0" u="none" strike="noStrike">
                <a:solidFill>
                  <a:srgbClr val="000000"/>
                </a:solidFill>
                <a:latin typeface="Arial"/>
                <a:cs typeface="Arial"/>
              </a:rPr>
              <a:pPr algn="ctr"/>
              <a:t>$15B</a:t>
            </a:fld>
            <a:endParaRPr lang="en-US" sz="1800" b="1">
              <a:latin typeface="Arial" panose="020B0604020202020204" pitchFamily="34" charset="0"/>
              <a:cs typeface="Arial" panose="020B0604020202020204" pitchFamily="34" charset="0"/>
            </a:endParaRPr>
          </a:p>
        </xdr:txBody>
      </xdr:sp>
      <xdr:sp macro="" textlink="$X$53">
        <xdr:nvSpPr>
          <xdr:cNvPr id="220" name="Rectangle 219">
            <a:extLst>
              <a:ext uri="{FF2B5EF4-FFF2-40B4-BE49-F238E27FC236}">
                <a16:creationId xmlns:a16="http://schemas.microsoft.com/office/drawing/2014/main" id="{00000000-0008-0000-0A00-0000DC000000}"/>
              </a:ext>
            </a:extLst>
          </xdr:cNvPr>
          <xdr:cNvSpPr/>
        </xdr:nvSpPr>
        <xdr:spPr>
          <a:xfrm>
            <a:off x="3454993" y="5460055"/>
            <a:ext cx="1371600" cy="24885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E3DE754C-D238-47ED-8D4B-B23DBC525324}" type="TxLink">
              <a:rPr lang="en-US" sz="1000" b="0" i="0" u="none" strike="noStrike">
                <a:solidFill>
                  <a:srgbClr val="000000"/>
                </a:solidFill>
                <a:latin typeface="Arial"/>
                <a:cs typeface="Arial"/>
              </a:rPr>
              <a:pPr algn="ctr"/>
              <a:t>3.0x '27E EBITDA</a:t>
            </a:fld>
            <a:endParaRPr lang="en-US" sz="1000"/>
          </a:p>
        </xdr:txBody>
      </xdr:sp>
      <xdr:sp macro="" textlink="$S$55">
        <xdr:nvSpPr>
          <xdr:cNvPr id="221" name="TextBox 106">
            <a:extLst>
              <a:ext uri="{FF2B5EF4-FFF2-40B4-BE49-F238E27FC236}">
                <a16:creationId xmlns:a16="http://schemas.microsoft.com/office/drawing/2014/main" id="{00000000-0008-0000-0A00-0000DD000000}"/>
              </a:ext>
            </a:extLst>
          </xdr:cNvPr>
          <xdr:cNvSpPr txBox="1"/>
        </xdr:nvSpPr>
        <xdr:spPr>
          <a:xfrm>
            <a:off x="5191358" y="5230559"/>
            <a:ext cx="1371600" cy="27432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8A98583F-F540-4DDA-B878-FBC3171F9DE0}" type="TxLink">
              <a:rPr lang="en-US" sz="1200" b="1" i="0" u="none" strike="noStrike">
                <a:solidFill>
                  <a:srgbClr val="000000"/>
                </a:solidFill>
                <a:latin typeface="Arial"/>
                <a:cs typeface="Arial"/>
              </a:rPr>
              <a:pPr algn="ctr"/>
              <a:t>$230B</a:t>
            </a:fld>
            <a:endParaRPr lang="en-US" sz="1800" b="1">
              <a:latin typeface="Arial" panose="020B0604020202020204" pitchFamily="34" charset="0"/>
              <a:cs typeface="Arial" panose="020B0604020202020204" pitchFamily="34" charset="0"/>
            </a:endParaRPr>
          </a:p>
        </xdr:txBody>
      </xdr:sp>
      <xdr:sp macro="" textlink="$X$55">
        <xdr:nvSpPr>
          <xdr:cNvPr id="222" name="Rectangle 221">
            <a:extLst>
              <a:ext uri="{FF2B5EF4-FFF2-40B4-BE49-F238E27FC236}">
                <a16:creationId xmlns:a16="http://schemas.microsoft.com/office/drawing/2014/main" id="{00000000-0008-0000-0A00-0000DE000000}"/>
              </a:ext>
            </a:extLst>
          </xdr:cNvPr>
          <xdr:cNvSpPr/>
        </xdr:nvSpPr>
        <xdr:spPr>
          <a:xfrm>
            <a:off x="5191003" y="5460055"/>
            <a:ext cx="1371600" cy="24885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861BE464-0755-460F-965A-092017BD5ECD}" type="TxLink">
              <a:rPr lang="en-US" sz="1000" b="0" i="0" u="none" strike="noStrike">
                <a:solidFill>
                  <a:srgbClr val="000000"/>
                </a:solidFill>
                <a:latin typeface="Arial"/>
                <a:cs typeface="Arial"/>
              </a:rPr>
              <a:pPr algn="ctr"/>
              <a:t>5.0x '26E Revenue</a:t>
            </a:fld>
            <a:endParaRPr lang="en-US" sz="1000"/>
          </a:p>
        </xdr:txBody>
      </xdr:sp>
      <xdr:sp macro="" textlink="$S$57">
        <xdr:nvSpPr>
          <xdr:cNvPr id="223" name="TextBox 108">
            <a:extLst>
              <a:ext uri="{FF2B5EF4-FFF2-40B4-BE49-F238E27FC236}">
                <a16:creationId xmlns:a16="http://schemas.microsoft.com/office/drawing/2014/main" id="{00000000-0008-0000-0A00-0000DF000000}"/>
              </a:ext>
            </a:extLst>
          </xdr:cNvPr>
          <xdr:cNvSpPr txBox="1"/>
        </xdr:nvSpPr>
        <xdr:spPr>
          <a:xfrm>
            <a:off x="6928432" y="5230559"/>
            <a:ext cx="1371600" cy="27432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060E4E36-0828-4621-A5B9-2F26BB8E65AA}" type="TxLink">
              <a:rPr lang="en-US" sz="1200" b="1" i="0" u="none" strike="noStrike">
                <a:solidFill>
                  <a:srgbClr val="000000"/>
                </a:solidFill>
                <a:latin typeface="Arial"/>
                <a:cs typeface="Arial"/>
              </a:rPr>
              <a:pPr algn="ctr"/>
              <a:t>$272B</a:t>
            </a:fld>
            <a:endParaRPr lang="en-US" sz="1800" b="1">
              <a:latin typeface="Arial" panose="020B0604020202020204" pitchFamily="34" charset="0"/>
              <a:cs typeface="Arial" panose="020B0604020202020204" pitchFamily="34" charset="0"/>
            </a:endParaRPr>
          </a:p>
        </xdr:txBody>
      </xdr:sp>
      <xdr:sp macro="" textlink="$X$57">
        <xdr:nvSpPr>
          <xdr:cNvPr id="224" name="Rectangle 223">
            <a:extLst>
              <a:ext uri="{FF2B5EF4-FFF2-40B4-BE49-F238E27FC236}">
                <a16:creationId xmlns:a16="http://schemas.microsoft.com/office/drawing/2014/main" id="{00000000-0008-0000-0A00-0000E0000000}"/>
              </a:ext>
            </a:extLst>
          </xdr:cNvPr>
          <xdr:cNvSpPr/>
        </xdr:nvSpPr>
        <xdr:spPr>
          <a:xfrm>
            <a:off x="6927013" y="5460055"/>
            <a:ext cx="1371600" cy="24885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32516DAB-1D3F-4143-B798-802B92E442B6}" type="TxLink">
              <a:rPr lang="en-US" sz="1000" b="0" i="0" u="none" strike="noStrike">
                <a:solidFill>
                  <a:srgbClr val="000000"/>
                </a:solidFill>
                <a:latin typeface="Arial"/>
                <a:cs typeface="Arial"/>
              </a:rPr>
              <a:pPr algn="ctr"/>
              <a:t>10.0x '27E EBITDA</a:t>
            </a:fld>
            <a:endParaRPr lang="en-US" sz="1000"/>
          </a:p>
        </xdr:txBody>
      </xdr:sp>
      <xdr:sp macro="" textlink="$S$59">
        <xdr:nvSpPr>
          <xdr:cNvPr id="225" name="TextBox 110">
            <a:extLst>
              <a:ext uri="{FF2B5EF4-FFF2-40B4-BE49-F238E27FC236}">
                <a16:creationId xmlns:a16="http://schemas.microsoft.com/office/drawing/2014/main" id="{00000000-0008-0000-0A00-0000E1000000}"/>
              </a:ext>
            </a:extLst>
          </xdr:cNvPr>
          <xdr:cNvSpPr txBox="1"/>
        </xdr:nvSpPr>
        <xdr:spPr>
          <a:xfrm>
            <a:off x="8660184" y="5230559"/>
            <a:ext cx="1371600" cy="27432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0DBDA932-5D1F-4F77-9A30-50F60B718061}" type="TxLink">
              <a:rPr lang="en-US" sz="1200" b="1" i="0" u="none" strike="noStrike">
                <a:solidFill>
                  <a:srgbClr val="000000"/>
                </a:solidFill>
                <a:latin typeface="Arial"/>
                <a:cs typeface="Arial"/>
              </a:rPr>
              <a:pPr algn="ctr"/>
              <a:t>$993B</a:t>
            </a:fld>
            <a:endParaRPr lang="en-US" sz="1800" b="1">
              <a:latin typeface="Arial" panose="020B0604020202020204" pitchFamily="34" charset="0"/>
              <a:cs typeface="Arial" panose="020B0604020202020204" pitchFamily="34" charset="0"/>
            </a:endParaRPr>
          </a:p>
        </xdr:txBody>
      </xdr:sp>
      <xdr:sp macro="" textlink="$X$59">
        <xdr:nvSpPr>
          <xdr:cNvPr id="226" name="Rectangle 225">
            <a:extLst>
              <a:ext uri="{FF2B5EF4-FFF2-40B4-BE49-F238E27FC236}">
                <a16:creationId xmlns:a16="http://schemas.microsoft.com/office/drawing/2014/main" id="{00000000-0008-0000-0A00-0000E2000000}"/>
              </a:ext>
            </a:extLst>
          </xdr:cNvPr>
          <xdr:cNvSpPr/>
        </xdr:nvSpPr>
        <xdr:spPr>
          <a:xfrm>
            <a:off x="8663023" y="5460055"/>
            <a:ext cx="1371600" cy="24885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E1B6C1B5-3598-43DC-9FC4-D58FA03CAD77}" type="TxLink">
              <a:rPr lang="en-US" sz="1000" b="0" i="0" u="none" strike="noStrike">
                <a:solidFill>
                  <a:srgbClr val="000000"/>
                </a:solidFill>
                <a:latin typeface="Arial"/>
                <a:cs typeface="Arial"/>
              </a:rPr>
              <a:pPr algn="ctr"/>
              <a:t>12.0x '26E Revenue</a:t>
            </a:fld>
            <a:endParaRPr lang="en-US" sz="1000"/>
          </a:p>
        </xdr:txBody>
      </xdr:sp>
      <xdr:sp macro="" textlink="$S$61">
        <xdr:nvSpPr>
          <xdr:cNvPr id="227" name="TextBox 112">
            <a:extLst>
              <a:ext uri="{FF2B5EF4-FFF2-40B4-BE49-F238E27FC236}">
                <a16:creationId xmlns:a16="http://schemas.microsoft.com/office/drawing/2014/main" id="{00000000-0008-0000-0A00-0000E3000000}"/>
              </a:ext>
            </a:extLst>
          </xdr:cNvPr>
          <xdr:cNvSpPr txBox="1"/>
        </xdr:nvSpPr>
        <xdr:spPr>
          <a:xfrm>
            <a:off x="10399032" y="5230559"/>
            <a:ext cx="1371600" cy="27432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D539BA01-3F8C-4D50-AFD0-2361A7E8D295}" type="TxLink">
              <a:rPr lang="en-US" sz="1200" b="1" i="0" u="none" strike="noStrike">
                <a:solidFill>
                  <a:srgbClr val="000000"/>
                </a:solidFill>
                <a:latin typeface="Arial"/>
                <a:cs typeface="Arial"/>
              </a:rPr>
              <a:pPr algn="ctr"/>
              <a:t>$120B</a:t>
            </a:fld>
            <a:endParaRPr lang="en-US" sz="1800" b="1">
              <a:latin typeface="Arial" panose="020B0604020202020204" pitchFamily="34" charset="0"/>
              <a:cs typeface="Arial" panose="020B0604020202020204" pitchFamily="34" charset="0"/>
            </a:endParaRPr>
          </a:p>
        </xdr:txBody>
      </xdr:sp>
      <xdr:sp macro="" textlink="$X$61">
        <xdr:nvSpPr>
          <xdr:cNvPr id="228" name="Rectangle 227">
            <a:extLst>
              <a:ext uri="{FF2B5EF4-FFF2-40B4-BE49-F238E27FC236}">
                <a16:creationId xmlns:a16="http://schemas.microsoft.com/office/drawing/2014/main" id="{00000000-0008-0000-0A00-0000E4000000}"/>
              </a:ext>
            </a:extLst>
          </xdr:cNvPr>
          <xdr:cNvSpPr/>
        </xdr:nvSpPr>
        <xdr:spPr>
          <a:xfrm>
            <a:off x="10399032" y="5460055"/>
            <a:ext cx="1371600" cy="24885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DEDA41A2-56FE-4A05-B464-8B3BEE5118A5}" type="TxLink">
              <a:rPr lang="en-US" sz="1000" b="0" i="0" u="none" strike="noStrike">
                <a:solidFill>
                  <a:srgbClr val="000000"/>
                </a:solidFill>
                <a:latin typeface="Arial"/>
                <a:cs typeface="Arial"/>
              </a:rPr>
              <a:pPr algn="ctr"/>
              <a:t>N/A</a:t>
            </a:fld>
            <a:endParaRPr lang="en-US" sz="1000"/>
          </a:p>
        </xdr:txBody>
      </xdr:sp>
      <xdr:grpSp>
        <xdr:nvGrpSpPr>
          <xdr:cNvPr id="229" name="Group 228">
            <a:extLst>
              <a:ext uri="{FF2B5EF4-FFF2-40B4-BE49-F238E27FC236}">
                <a16:creationId xmlns:a16="http://schemas.microsoft.com/office/drawing/2014/main" id="{00000000-0008-0000-0A00-0000E5000000}"/>
              </a:ext>
            </a:extLst>
          </xdr:cNvPr>
          <xdr:cNvGrpSpPr/>
        </xdr:nvGrpSpPr>
        <xdr:grpSpPr>
          <a:xfrm>
            <a:off x="1670340" y="3946163"/>
            <a:ext cx="1463040" cy="1090778"/>
            <a:chOff x="1670340" y="3946163"/>
            <a:chExt cx="1463040" cy="1090778"/>
          </a:xfrm>
        </xdr:grpSpPr>
        <xdr:sp macro="" textlink="$T$50">
          <xdr:nvSpPr>
            <xdr:cNvPr id="285" name="TextBox 7">
              <a:extLst>
                <a:ext uri="{FF2B5EF4-FFF2-40B4-BE49-F238E27FC236}">
                  <a16:creationId xmlns:a16="http://schemas.microsoft.com/office/drawing/2014/main" id="{00000000-0008-0000-0A00-00001D010000}"/>
                </a:ext>
              </a:extLst>
            </xdr:cNvPr>
            <xdr:cNvSpPr txBox="1"/>
          </xdr:nvSpPr>
          <xdr:spPr>
            <a:xfrm>
              <a:off x="1716060" y="3946163"/>
              <a:ext cx="640080" cy="153888"/>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58A2516E-CAEC-45C9-AA39-42C2B45CC7A4}" type="TxLink">
                <a:rPr lang="en-US" sz="1000" b="0" i="0" u="sng" strike="noStrike">
                  <a:solidFill>
                    <a:srgbClr val="000000"/>
                  </a:solidFill>
                  <a:latin typeface="Arial"/>
                  <a:cs typeface="Arial"/>
                </a:rPr>
                <a:pPr algn="ctr"/>
                <a:t>'26E</a:t>
              </a:fld>
              <a:endParaRPr lang="en-US" sz="1000" u="sng">
                <a:latin typeface="Arial" panose="020B0604020202020204" pitchFamily="34" charset="0"/>
                <a:cs typeface="Arial" panose="020B0604020202020204" pitchFamily="34" charset="0"/>
              </a:endParaRPr>
            </a:p>
          </xdr:txBody>
        </xdr:sp>
        <xdr:sp macro="" textlink="$U$50">
          <xdr:nvSpPr>
            <xdr:cNvPr id="286" name="TextBox 38">
              <a:extLst>
                <a:ext uri="{FF2B5EF4-FFF2-40B4-BE49-F238E27FC236}">
                  <a16:creationId xmlns:a16="http://schemas.microsoft.com/office/drawing/2014/main" id="{00000000-0008-0000-0A00-00001E010000}"/>
                </a:ext>
              </a:extLst>
            </xdr:cNvPr>
            <xdr:cNvSpPr txBox="1"/>
          </xdr:nvSpPr>
          <xdr:spPr>
            <a:xfrm>
              <a:off x="2447580" y="3946163"/>
              <a:ext cx="640080" cy="153888"/>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95323468-38DE-4277-A48B-FC0FF74024E7}" type="TxLink">
                <a:rPr lang="en-US" sz="1000" b="0" i="0" u="sng" strike="noStrike">
                  <a:solidFill>
                    <a:srgbClr val="000000"/>
                  </a:solidFill>
                  <a:latin typeface="Arial"/>
                  <a:cs typeface="Arial"/>
                </a:rPr>
                <a:pPr algn="ctr"/>
                <a:t>'27E</a:t>
              </a:fld>
              <a:endParaRPr lang="en-US" sz="1000" u="sng">
                <a:latin typeface="Arial" panose="020B0604020202020204" pitchFamily="34" charset="0"/>
                <a:cs typeface="Arial" panose="020B0604020202020204" pitchFamily="34" charset="0"/>
              </a:endParaRPr>
            </a:p>
          </xdr:txBody>
        </xdr:sp>
        <xdr:sp macro="" textlink="$T$51">
          <xdr:nvSpPr>
            <xdr:cNvPr id="287" name="TextBox 39">
              <a:extLst>
                <a:ext uri="{FF2B5EF4-FFF2-40B4-BE49-F238E27FC236}">
                  <a16:creationId xmlns:a16="http://schemas.microsoft.com/office/drawing/2014/main" id="{00000000-0008-0000-0A00-00001F010000}"/>
                </a:ext>
              </a:extLst>
            </xdr:cNvPr>
            <xdr:cNvSpPr txBox="1"/>
          </xdr:nvSpPr>
          <xdr:spPr>
            <a:xfrm>
              <a:off x="1670340" y="4196469"/>
              <a:ext cx="731520" cy="18288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42E31475-95B7-4DDA-A806-A5B43DED7658}" type="TxLink">
                <a:rPr lang="en-US" sz="1000" b="0" i="0" u="none" strike="noStrike">
                  <a:solidFill>
                    <a:srgbClr val="000000"/>
                  </a:solidFill>
                  <a:latin typeface="Arial"/>
                  <a:cs typeface="Arial"/>
                </a:rPr>
                <a:pPr algn="ctr"/>
                <a:t>$252.0B </a:t>
              </a:fld>
              <a:endParaRPr lang="en-US" sz="1000">
                <a:latin typeface="Arial" panose="020B0604020202020204" pitchFamily="34" charset="0"/>
                <a:cs typeface="Arial" panose="020B0604020202020204" pitchFamily="34" charset="0"/>
              </a:endParaRPr>
            </a:p>
          </xdr:txBody>
        </xdr:sp>
        <xdr:sp macro="" textlink="$T$52">
          <xdr:nvSpPr>
            <xdr:cNvPr id="288" name="Rectangle 287">
              <a:extLst>
                <a:ext uri="{FF2B5EF4-FFF2-40B4-BE49-F238E27FC236}">
                  <a16:creationId xmlns:a16="http://schemas.microsoft.com/office/drawing/2014/main" id="{00000000-0008-0000-0A00-000020010000}"/>
                </a:ext>
              </a:extLst>
            </xdr:cNvPr>
            <xdr:cNvSpPr/>
          </xdr:nvSpPr>
          <xdr:spPr>
            <a:xfrm>
              <a:off x="1670340" y="4407482"/>
              <a:ext cx="731520" cy="147476"/>
            </a:xfrm>
            <a:prstGeom prst="rect">
              <a:avLst/>
            </a:prstGeom>
          </xdr:spPr>
          <xdr:txBody>
            <a:bodyPr wrap="square" lIns="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0A6A528F-CD2E-46E6-813B-A8D58A6FB823}" type="TxLink">
                <a:rPr lang="en-US" sz="1000" b="0" i="0" u="none" strike="noStrike">
                  <a:solidFill>
                    <a:srgbClr val="000000"/>
                  </a:solidFill>
                  <a:latin typeface="Arial"/>
                  <a:cs typeface="Arial"/>
                </a:rPr>
                <a:pPr algn="ctr"/>
                <a:t>+13% </a:t>
              </a:fld>
              <a:endParaRPr lang="en-US" sz="1000">
                <a:latin typeface="Arial" panose="020B0604020202020204" pitchFamily="34" charset="0"/>
                <a:cs typeface="Arial" panose="020B0604020202020204" pitchFamily="34" charset="0"/>
              </a:endParaRPr>
            </a:p>
          </xdr:txBody>
        </xdr:sp>
        <xdr:sp macro="" textlink="$U$51">
          <xdr:nvSpPr>
            <xdr:cNvPr id="289" name="TextBox 114">
              <a:extLst>
                <a:ext uri="{FF2B5EF4-FFF2-40B4-BE49-F238E27FC236}">
                  <a16:creationId xmlns:a16="http://schemas.microsoft.com/office/drawing/2014/main" id="{00000000-0008-0000-0A00-000021010000}"/>
                </a:ext>
              </a:extLst>
            </xdr:cNvPr>
            <xdr:cNvSpPr txBox="1"/>
          </xdr:nvSpPr>
          <xdr:spPr>
            <a:xfrm>
              <a:off x="2401860" y="4196469"/>
              <a:ext cx="731520" cy="18288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2A8E8CAA-54C0-45A4-A54D-5791B4F168C0}" type="TxLink">
                <a:rPr lang="en-US" sz="1000" b="0" i="0" u="none" strike="noStrike">
                  <a:solidFill>
                    <a:srgbClr val="000000"/>
                  </a:solidFill>
                  <a:latin typeface="Arial"/>
                  <a:cs typeface="Arial"/>
                </a:rPr>
                <a:pPr algn="ctr"/>
                <a:t>$277.2B </a:t>
              </a:fld>
              <a:endParaRPr lang="en-US" sz="1000">
                <a:latin typeface="Arial" panose="020B0604020202020204" pitchFamily="34" charset="0"/>
                <a:cs typeface="Arial" panose="020B0604020202020204" pitchFamily="34" charset="0"/>
              </a:endParaRPr>
            </a:p>
          </xdr:txBody>
        </xdr:sp>
        <xdr:sp macro="" textlink="$U$52">
          <xdr:nvSpPr>
            <xdr:cNvPr id="290" name="Rectangle 289">
              <a:extLst>
                <a:ext uri="{FF2B5EF4-FFF2-40B4-BE49-F238E27FC236}">
                  <a16:creationId xmlns:a16="http://schemas.microsoft.com/office/drawing/2014/main" id="{00000000-0008-0000-0A00-000022010000}"/>
                </a:ext>
              </a:extLst>
            </xdr:cNvPr>
            <xdr:cNvSpPr/>
          </xdr:nvSpPr>
          <xdr:spPr>
            <a:xfrm>
              <a:off x="2401860" y="4407482"/>
              <a:ext cx="731520" cy="147476"/>
            </a:xfrm>
            <a:prstGeom prst="rect">
              <a:avLst/>
            </a:prstGeom>
          </xdr:spPr>
          <xdr:txBody>
            <a:bodyPr wrap="square" lIns="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605B6BDC-989F-4BD3-A40B-132132D7B4B4}" type="TxLink">
                <a:rPr lang="en-US" sz="1000" b="0" i="0" u="none" strike="noStrike">
                  <a:solidFill>
                    <a:srgbClr val="000000"/>
                  </a:solidFill>
                  <a:latin typeface="Arial"/>
                  <a:cs typeface="Arial"/>
                </a:rPr>
                <a:pPr algn="ctr"/>
                <a:t>+10% </a:t>
              </a:fld>
              <a:endParaRPr lang="en-US" sz="1000">
                <a:latin typeface="Arial" panose="020B0604020202020204" pitchFamily="34" charset="0"/>
                <a:cs typeface="Arial" panose="020B0604020202020204" pitchFamily="34" charset="0"/>
              </a:endParaRPr>
            </a:p>
          </xdr:txBody>
        </xdr:sp>
        <xdr:sp macro="" textlink="$W$51">
          <xdr:nvSpPr>
            <xdr:cNvPr id="291" name="TextBox 116">
              <a:extLst>
                <a:ext uri="{FF2B5EF4-FFF2-40B4-BE49-F238E27FC236}">
                  <a16:creationId xmlns:a16="http://schemas.microsoft.com/office/drawing/2014/main" id="{00000000-0008-0000-0A00-000023010000}"/>
                </a:ext>
              </a:extLst>
            </xdr:cNvPr>
            <xdr:cNvSpPr txBox="1"/>
          </xdr:nvSpPr>
          <xdr:spPr>
            <a:xfrm>
              <a:off x="2401860" y="4678452"/>
              <a:ext cx="731520" cy="18288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3D9F495A-A57B-4B92-99F7-5B94380C4C30}" type="TxLink">
                <a:rPr lang="en-US" sz="1000" b="0" i="0" u="none" strike="noStrike">
                  <a:solidFill>
                    <a:srgbClr val="000000"/>
                  </a:solidFill>
                  <a:latin typeface="Arial"/>
                  <a:cs typeface="Arial"/>
                </a:rPr>
                <a:pPr algn="ctr"/>
                <a:t>$179.3B </a:t>
              </a:fld>
              <a:endParaRPr lang="en-US" sz="1000">
                <a:latin typeface="Arial" panose="020B0604020202020204" pitchFamily="34" charset="0"/>
                <a:cs typeface="Arial" panose="020B0604020202020204" pitchFamily="34" charset="0"/>
              </a:endParaRPr>
            </a:p>
          </xdr:txBody>
        </xdr:sp>
        <xdr:sp macro="" textlink="$W$52">
          <xdr:nvSpPr>
            <xdr:cNvPr id="292" name="Rectangle 291">
              <a:extLst>
                <a:ext uri="{FF2B5EF4-FFF2-40B4-BE49-F238E27FC236}">
                  <a16:creationId xmlns:a16="http://schemas.microsoft.com/office/drawing/2014/main" id="{00000000-0008-0000-0A00-000024010000}"/>
                </a:ext>
              </a:extLst>
            </xdr:cNvPr>
            <xdr:cNvSpPr/>
          </xdr:nvSpPr>
          <xdr:spPr>
            <a:xfrm>
              <a:off x="2401860" y="4889465"/>
              <a:ext cx="731520" cy="147476"/>
            </a:xfrm>
            <a:prstGeom prst="rect">
              <a:avLst/>
            </a:prstGeom>
          </xdr:spPr>
          <xdr:txBody>
            <a:bodyPr wrap="square" lIns="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D22C7B5E-6BAA-4095-AE5D-84A03A3AFEB2}" type="TxLink">
                <a:rPr lang="en-US" sz="1000" b="0" i="0" u="none" strike="noStrike">
                  <a:solidFill>
                    <a:srgbClr val="000000"/>
                  </a:solidFill>
                  <a:latin typeface="Arial"/>
                  <a:cs typeface="Arial"/>
                </a:rPr>
                <a:pPr algn="ctr"/>
                <a:t>65% </a:t>
              </a:fld>
              <a:endParaRPr lang="en-US" sz="1000">
                <a:latin typeface="Arial" panose="020B0604020202020204" pitchFamily="34" charset="0"/>
                <a:cs typeface="Arial" panose="020B0604020202020204" pitchFamily="34" charset="0"/>
              </a:endParaRPr>
            </a:p>
          </xdr:txBody>
        </xdr:sp>
        <xdr:sp macro="" textlink="$V$51">
          <xdr:nvSpPr>
            <xdr:cNvPr id="293" name="TextBox 118">
              <a:extLst>
                <a:ext uri="{FF2B5EF4-FFF2-40B4-BE49-F238E27FC236}">
                  <a16:creationId xmlns:a16="http://schemas.microsoft.com/office/drawing/2014/main" id="{00000000-0008-0000-0A00-000025010000}"/>
                </a:ext>
              </a:extLst>
            </xdr:cNvPr>
            <xdr:cNvSpPr txBox="1"/>
          </xdr:nvSpPr>
          <xdr:spPr>
            <a:xfrm>
              <a:off x="1670340" y="4678452"/>
              <a:ext cx="731520" cy="18288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B3B183EF-5834-4979-9FA6-CA4B94521D9E}" type="TxLink">
                <a:rPr lang="en-US" sz="1000" b="0" i="0" u="none" strike="noStrike">
                  <a:solidFill>
                    <a:srgbClr val="000000"/>
                  </a:solidFill>
                  <a:latin typeface="Arial"/>
                  <a:cs typeface="Arial"/>
                </a:rPr>
                <a:pPr algn="ctr"/>
                <a:t>$163.8B </a:t>
              </a:fld>
              <a:endParaRPr lang="en-US" sz="1000">
                <a:latin typeface="Arial" panose="020B0604020202020204" pitchFamily="34" charset="0"/>
                <a:cs typeface="Arial" panose="020B0604020202020204" pitchFamily="34" charset="0"/>
              </a:endParaRPr>
            </a:p>
          </xdr:txBody>
        </xdr:sp>
        <xdr:sp macro="" textlink="$V$52">
          <xdr:nvSpPr>
            <xdr:cNvPr id="294" name="Rectangle 293">
              <a:extLst>
                <a:ext uri="{FF2B5EF4-FFF2-40B4-BE49-F238E27FC236}">
                  <a16:creationId xmlns:a16="http://schemas.microsoft.com/office/drawing/2014/main" id="{00000000-0008-0000-0A00-000026010000}"/>
                </a:ext>
              </a:extLst>
            </xdr:cNvPr>
            <xdr:cNvSpPr/>
          </xdr:nvSpPr>
          <xdr:spPr>
            <a:xfrm>
              <a:off x="1670340" y="4889465"/>
              <a:ext cx="731520" cy="147476"/>
            </a:xfrm>
            <a:prstGeom prst="rect">
              <a:avLst/>
            </a:prstGeom>
          </xdr:spPr>
          <xdr:txBody>
            <a:bodyPr wrap="square" lIns="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2B2E4ADD-1C86-4E59-82DC-ACBFC26E2297}" type="TxLink">
                <a:rPr lang="en-US" sz="1000" b="0" i="0" u="none" strike="noStrike">
                  <a:solidFill>
                    <a:srgbClr val="000000"/>
                  </a:solidFill>
                  <a:latin typeface="Arial"/>
                  <a:cs typeface="Arial"/>
                </a:rPr>
                <a:pPr algn="ctr"/>
                <a:t>65% </a:t>
              </a:fld>
              <a:endParaRPr lang="en-US" sz="1000">
                <a:latin typeface="Arial" panose="020B0604020202020204" pitchFamily="34" charset="0"/>
                <a:cs typeface="Arial" panose="020B0604020202020204" pitchFamily="34" charset="0"/>
              </a:endParaRPr>
            </a:p>
          </xdr:txBody>
        </xdr:sp>
      </xdr:grpSp>
      <xdr:grpSp>
        <xdr:nvGrpSpPr>
          <xdr:cNvPr id="230" name="Group 229">
            <a:extLst>
              <a:ext uri="{FF2B5EF4-FFF2-40B4-BE49-F238E27FC236}">
                <a16:creationId xmlns:a16="http://schemas.microsoft.com/office/drawing/2014/main" id="{00000000-0008-0000-0A00-0000E6000000}"/>
              </a:ext>
            </a:extLst>
          </xdr:cNvPr>
          <xdr:cNvGrpSpPr/>
        </xdr:nvGrpSpPr>
        <xdr:grpSpPr>
          <a:xfrm>
            <a:off x="3408562" y="3946163"/>
            <a:ext cx="1463040" cy="1090778"/>
            <a:chOff x="1670340" y="3946163"/>
            <a:chExt cx="1463040" cy="1090778"/>
          </a:xfrm>
        </xdr:grpSpPr>
        <xdr:sp macro="" textlink="$T$50">
          <xdr:nvSpPr>
            <xdr:cNvPr id="275" name="TextBox 121">
              <a:extLst>
                <a:ext uri="{FF2B5EF4-FFF2-40B4-BE49-F238E27FC236}">
                  <a16:creationId xmlns:a16="http://schemas.microsoft.com/office/drawing/2014/main" id="{00000000-0008-0000-0A00-000013010000}"/>
                </a:ext>
              </a:extLst>
            </xdr:cNvPr>
            <xdr:cNvSpPr txBox="1"/>
          </xdr:nvSpPr>
          <xdr:spPr>
            <a:xfrm>
              <a:off x="1716060" y="3946163"/>
              <a:ext cx="640080" cy="153888"/>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0A6FDAAE-D8AA-4CB0-8E49-22340AA889C2}" type="TxLink">
                <a:rPr lang="en-US" sz="1000" b="0" i="0" u="sng" strike="noStrike">
                  <a:solidFill>
                    <a:srgbClr val="000000"/>
                  </a:solidFill>
                  <a:latin typeface="Arial"/>
                  <a:cs typeface="Arial"/>
                </a:rPr>
                <a:pPr algn="ctr"/>
                <a:t>'26E</a:t>
              </a:fld>
              <a:endParaRPr lang="en-US" sz="1000" u="sng">
                <a:latin typeface="Arial" panose="020B0604020202020204" pitchFamily="34" charset="0"/>
                <a:cs typeface="Arial" panose="020B0604020202020204" pitchFamily="34" charset="0"/>
              </a:endParaRPr>
            </a:p>
          </xdr:txBody>
        </xdr:sp>
        <xdr:sp macro="" textlink="$U$50">
          <xdr:nvSpPr>
            <xdr:cNvPr id="276" name="TextBox 122">
              <a:extLst>
                <a:ext uri="{FF2B5EF4-FFF2-40B4-BE49-F238E27FC236}">
                  <a16:creationId xmlns:a16="http://schemas.microsoft.com/office/drawing/2014/main" id="{00000000-0008-0000-0A00-000014010000}"/>
                </a:ext>
              </a:extLst>
            </xdr:cNvPr>
            <xdr:cNvSpPr txBox="1"/>
          </xdr:nvSpPr>
          <xdr:spPr>
            <a:xfrm>
              <a:off x="2447580" y="3946163"/>
              <a:ext cx="640080" cy="153888"/>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74EBB3C4-E9EA-45E2-B6A3-FD8D895E9614}" type="TxLink">
                <a:rPr lang="en-US" sz="1000" b="0" i="0" u="sng" strike="noStrike">
                  <a:solidFill>
                    <a:srgbClr val="000000"/>
                  </a:solidFill>
                  <a:latin typeface="Arial"/>
                  <a:cs typeface="Arial"/>
                </a:rPr>
                <a:pPr algn="ctr"/>
                <a:t>'27E</a:t>
              </a:fld>
              <a:endParaRPr lang="en-US" sz="1000" u="sng">
                <a:latin typeface="Arial" panose="020B0604020202020204" pitchFamily="34" charset="0"/>
                <a:cs typeface="Arial" panose="020B0604020202020204" pitchFamily="34" charset="0"/>
              </a:endParaRPr>
            </a:p>
          </xdr:txBody>
        </xdr:sp>
        <xdr:sp macro="" textlink="$T$53">
          <xdr:nvSpPr>
            <xdr:cNvPr id="277" name="TextBox 123">
              <a:extLst>
                <a:ext uri="{FF2B5EF4-FFF2-40B4-BE49-F238E27FC236}">
                  <a16:creationId xmlns:a16="http://schemas.microsoft.com/office/drawing/2014/main" id="{00000000-0008-0000-0A00-000015010000}"/>
                </a:ext>
              </a:extLst>
            </xdr:cNvPr>
            <xdr:cNvSpPr txBox="1"/>
          </xdr:nvSpPr>
          <xdr:spPr>
            <a:xfrm>
              <a:off x="1670340" y="4196469"/>
              <a:ext cx="731520" cy="18288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6279B1F3-2021-46F6-B642-F5BD371D845B}" type="TxLink">
                <a:rPr lang="en-US" sz="1000" b="0" i="0" u="none" strike="noStrike">
                  <a:solidFill>
                    <a:srgbClr val="000000"/>
                  </a:solidFill>
                  <a:latin typeface="Arial"/>
                  <a:cs typeface="Arial"/>
                </a:rPr>
                <a:pPr algn="ctr"/>
                <a:t>$29.4B </a:t>
              </a:fld>
              <a:endParaRPr lang="en-US" sz="1000">
                <a:latin typeface="Arial" panose="020B0604020202020204" pitchFamily="34" charset="0"/>
                <a:cs typeface="Arial" panose="020B0604020202020204" pitchFamily="34" charset="0"/>
              </a:endParaRPr>
            </a:p>
          </xdr:txBody>
        </xdr:sp>
        <xdr:sp macro="" textlink="$T$54">
          <xdr:nvSpPr>
            <xdr:cNvPr id="278" name="Rectangle 277">
              <a:extLst>
                <a:ext uri="{FF2B5EF4-FFF2-40B4-BE49-F238E27FC236}">
                  <a16:creationId xmlns:a16="http://schemas.microsoft.com/office/drawing/2014/main" id="{00000000-0008-0000-0A00-000016010000}"/>
                </a:ext>
              </a:extLst>
            </xdr:cNvPr>
            <xdr:cNvSpPr/>
          </xdr:nvSpPr>
          <xdr:spPr>
            <a:xfrm>
              <a:off x="1670340" y="4407482"/>
              <a:ext cx="731520" cy="147476"/>
            </a:xfrm>
            <a:prstGeom prst="rect">
              <a:avLst/>
            </a:prstGeom>
          </xdr:spPr>
          <xdr:txBody>
            <a:bodyPr wrap="square" lIns="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3452FEE5-D37C-43E3-B3C7-5A76CB563C86}" type="TxLink">
                <a:rPr lang="en-US" sz="1000" b="0" i="0" u="none" strike="noStrike">
                  <a:solidFill>
                    <a:srgbClr val="000000"/>
                  </a:solidFill>
                  <a:latin typeface="Arial"/>
                  <a:cs typeface="Arial"/>
                </a:rPr>
                <a:pPr algn="ctr"/>
                <a:t>(1%)</a:t>
              </a:fld>
              <a:endParaRPr lang="en-US" sz="1000">
                <a:latin typeface="Arial" panose="020B0604020202020204" pitchFamily="34" charset="0"/>
                <a:cs typeface="Arial" panose="020B0604020202020204" pitchFamily="34" charset="0"/>
              </a:endParaRPr>
            </a:p>
          </xdr:txBody>
        </xdr:sp>
        <xdr:sp macro="" textlink="$U$53">
          <xdr:nvSpPr>
            <xdr:cNvPr id="279" name="TextBox 125">
              <a:extLst>
                <a:ext uri="{FF2B5EF4-FFF2-40B4-BE49-F238E27FC236}">
                  <a16:creationId xmlns:a16="http://schemas.microsoft.com/office/drawing/2014/main" id="{00000000-0008-0000-0A00-000017010000}"/>
                </a:ext>
              </a:extLst>
            </xdr:cNvPr>
            <xdr:cNvSpPr txBox="1"/>
          </xdr:nvSpPr>
          <xdr:spPr>
            <a:xfrm>
              <a:off x="2401860" y="4196469"/>
              <a:ext cx="731520" cy="18288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8760F727-BD1E-49C0-8214-EF4DCF934A4F}" type="TxLink">
                <a:rPr lang="en-US" sz="1000" b="0" i="0" u="none" strike="noStrike">
                  <a:solidFill>
                    <a:srgbClr val="000000"/>
                  </a:solidFill>
                  <a:latin typeface="Arial"/>
                  <a:cs typeface="Arial"/>
                </a:rPr>
                <a:pPr algn="ctr"/>
                <a:t>$29.1B </a:t>
              </a:fld>
              <a:endParaRPr lang="en-US" sz="1000">
                <a:latin typeface="Arial" panose="020B0604020202020204" pitchFamily="34" charset="0"/>
                <a:cs typeface="Arial" panose="020B0604020202020204" pitchFamily="34" charset="0"/>
              </a:endParaRPr>
            </a:p>
          </xdr:txBody>
        </xdr:sp>
        <xdr:sp macro="" textlink="$U$54">
          <xdr:nvSpPr>
            <xdr:cNvPr id="280" name="Rectangle 279">
              <a:extLst>
                <a:ext uri="{FF2B5EF4-FFF2-40B4-BE49-F238E27FC236}">
                  <a16:creationId xmlns:a16="http://schemas.microsoft.com/office/drawing/2014/main" id="{00000000-0008-0000-0A00-000018010000}"/>
                </a:ext>
              </a:extLst>
            </xdr:cNvPr>
            <xdr:cNvSpPr/>
          </xdr:nvSpPr>
          <xdr:spPr>
            <a:xfrm>
              <a:off x="2401860" y="4407482"/>
              <a:ext cx="731520" cy="147476"/>
            </a:xfrm>
            <a:prstGeom prst="rect">
              <a:avLst/>
            </a:prstGeom>
          </xdr:spPr>
          <xdr:txBody>
            <a:bodyPr wrap="square" lIns="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298AE28A-2D92-4B5B-AD3A-ADEDBBE6CEF0}" type="TxLink">
                <a:rPr lang="en-US" sz="1000" b="0" i="0" u="none" strike="noStrike">
                  <a:solidFill>
                    <a:srgbClr val="000000"/>
                  </a:solidFill>
                  <a:latin typeface="Arial"/>
                  <a:cs typeface="Arial"/>
                </a:rPr>
                <a:pPr algn="ctr"/>
                <a:t>(1%)</a:t>
              </a:fld>
              <a:endParaRPr lang="en-US" sz="1000">
                <a:latin typeface="Arial" panose="020B0604020202020204" pitchFamily="34" charset="0"/>
                <a:cs typeface="Arial" panose="020B0604020202020204" pitchFamily="34" charset="0"/>
              </a:endParaRPr>
            </a:p>
          </xdr:txBody>
        </xdr:sp>
        <xdr:sp macro="" textlink="$W$53">
          <xdr:nvSpPr>
            <xdr:cNvPr id="281" name="TextBox 127">
              <a:extLst>
                <a:ext uri="{FF2B5EF4-FFF2-40B4-BE49-F238E27FC236}">
                  <a16:creationId xmlns:a16="http://schemas.microsoft.com/office/drawing/2014/main" id="{00000000-0008-0000-0A00-000019010000}"/>
                </a:ext>
              </a:extLst>
            </xdr:cNvPr>
            <xdr:cNvSpPr txBox="1"/>
          </xdr:nvSpPr>
          <xdr:spPr>
            <a:xfrm>
              <a:off x="2401860" y="4678452"/>
              <a:ext cx="731520" cy="18288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7897406D-E7DE-4935-824A-9E79F087A967}" type="TxLink">
                <a:rPr lang="en-US" sz="1000" b="0" i="0" u="none" strike="noStrike">
                  <a:solidFill>
                    <a:srgbClr val="000000"/>
                  </a:solidFill>
                  <a:latin typeface="Arial"/>
                  <a:cs typeface="Arial"/>
                </a:rPr>
                <a:pPr algn="ctr"/>
                <a:t>$4.9B </a:t>
              </a:fld>
              <a:endParaRPr lang="en-US" sz="1000">
                <a:latin typeface="Arial" panose="020B0604020202020204" pitchFamily="34" charset="0"/>
                <a:cs typeface="Arial" panose="020B0604020202020204" pitchFamily="34" charset="0"/>
              </a:endParaRPr>
            </a:p>
          </xdr:txBody>
        </xdr:sp>
        <xdr:sp macro="" textlink="$W$54">
          <xdr:nvSpPr>
            <xdr:cNvPr id="282" name="Rectangle 281">
              <a:extLst>
                <a:ext uri="{FF2B5EF4-FFF2-40B4-BE49-F238E27FC236}">
                  <a16:creationId xmlns:a16="http://schemas.microsoft.com/office/drawing/2014/main" id="{00000000-0008-0000-0A00-00001A010000}"/>
                </a:ext>
              </a:extLst>
            </xdr:cNvPr>
            <xdr:cNvSpPr/>
          </xdr:nvSpPr>
          <xdr:spPr>
            <a:xfrm>
              <a:off x="2401860" y="4889465"/>
              <a:ext cx="731520" cy="147476"/>
            </a:xfrm>
            <a:prstGeom prst="rect">
              <a:avLst/>
            </a:prstGeom>
          </xdr:spPr>
          <xdr:txBody>
            <a:bodyPr wrap="square" lIns="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6AC559E3-2E69-48AA-BDEF-8C9DE215153B}" type="TxLink">
                <a:rPr lang="en-US" sz="1000" b="0" i="0" u="none" strike="noStrike">
                  <a:solidFill>
                    <a:srgbClr val="000000"/>
                  </a:solidFill>
                  <a:latin typeface="Arial"/>
                  <a:cs typeface="Arial"/>
                </a:rPr>
                <a:pPr algn="ctr"/>
                <a:t>17% </a:t>
              </a:fld>
              <a:endParaRPr lang="en-US" sz="1000">
                <a:latin typeface="Arial" panose="020B0604020202020204" pitchFamily="34" charset="0"/>
                <a:cs typeface="Arial" panose="020B0604020202020204" pitchFamily="34" charset="0"/>
              </a:endParaRPr>
            </a:p>
          </xdr:txBody>
        </xdr:sp>
        <xdr:sp macro="" textlink="$V$53">
          <xdr:nvSpPr>
            <xdr:cNvPr id="283" name="TextBox 129">
              <a:extLst>
                <a:ext uri="{FF2B5EF4-FFF2-40B4-BE49-F238E27FC236}">
                  <a16:creationId xmlns:a16="http://schemas.microsoft.com/office/drawing/2014/main" id="{00000000-0008-0000-0A00-00001B010000}"/>
                </a:ext>
              </a:extLst>
            </xdr:cNvPr>
            <xdr:cNvSpPr txBox="1"/>
          </xdr:nvSpPr>
          <xdr:spPr>
            <a:xfrm>
              <a:off x="1670340" y="4678452"/>
              <a:ext cx="731520" cy="18288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A60C746-BF59-4C0F-943C-0897B0689354}" type="TxLink">
                <a:rPr lang="en-US" sz="1000" b="0" i="0" u="none" strike="noStrike">
                  <a:solidFill>
                    <a:srgbClr val="000000"/>
                  </a:solidFill>
                  <a:latin typeface="Arial"/>
                  <a:cs typeface="Arial"/>
                </a:rPr>
                <a:pPr algn="ctr"/>
                <a:t>$5.3B </a:t>
              </a:fld>
              <a:endParaRPr lang="en-US" sz="1000">
                <a:latin typeface="Arial" panose="020B0604020202020204" pitchFamily="34" charset="0"/>
                <a:cs typeface="Arial" panose="020B0604020202020204" pitchFamily="34" charset="0"/>
              </a:endParaRPr>
            </a:p>
          </xdr:txBody>
        </xdr:sp>
        <xdr:sp macro="" textlink="$V$54">
          <xdr:nvSpPr>
            <xdr:cNvPr id="284" name="Rectangle 283">
              <a:extLst>
                <a:ext uri="{FF2B5EF4-FFF2-40B4-BE49-F238E27FC236}">
                  <a16:creationId xmlns:a16="http://schemas.microsoft.com/office/drawing/2014/main" id="{00000000-0008-0000-0A00-00001C010000}"/>
                </a:ext>
              </a:extLst>
            </xdr:cNvPr>
            <xdr:cNvSpPr/>
          </xdr:nvSpPr>
          <xdr:spPr>
            <a:xfrm>
              <a:off x="1670340" y="4889465"/>
              <a:ext cx="731520" cy="147476"/>
            </a:xfrm>
            <a:prstGeom prst="rect">
              <a:avLst/>
            </a:prstGeom>
          </xdr:spPr>
          <xdr:txBody>
            <a:bodyPr wrap="square" lIns="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6A013F1B-C9C6-4912-B62E-178079CEE3BC}" type="TxLink">
                <a:rPr lang="en-US" sz="1000" b="0" i="0" u="none" strike="noStrike">
                  <a:solidFill>
                    <a:srgbClr val="000000"/>
                  </a:solidFill>
                  <a:latin typeface="Arial"/>
                  <a:cs typeface="Arial"/>
                </a:rPr>
                <a:pPr algn="ctr"/>
                <a:t>18% </a:t>
              </a:fld>
              <a:endParaRPr lang="en-US" sz="1000">
                <a:latin typeface="Arial" panose="020B0604020202020204" pitchFamily="34" charset="0"/>
                <a:cs typeface="Arial" panose="020B0604020202020204" pitchFamily="34" charset="0"/>
              </a:endParaRPr>
            </a:p>
          </xdr:txBody>
        </xdr:sp>
      </xdr:grpSp>
      <xdr:grpSp>
        <xdr:nvGrpSpPr>
          <xdr:cNvPr id="231" name="Group 230">
            <a:extLst>
              <a:ext uri="{FF2B5EF4-FFF2-40B4-BE49-F238E27FC236}">
                <a16:creationId xmlns:a16="http://schemas.microsoft.com/office/drawing/2014/main" id="{00000000-0008-0000-0A00-0000E7000000}"/>
              </a:ext>
            </a:extLst>
          </xdr:cNvPr>
          <xdr:cNvGrpSpPr/>
        </xdr:nvGrpSpPr>
        <xdr:grpSpPr>
          <a:xfrm>
            <a:off x="5145283" y="3946163"/>
            <a:ext cx="1463040" cy="1090778"/>
            <a:chOff x="1670340" y="3946163"/>
            <a:chExt cx="1463040" cy="1090778"/>
          </a:xfrm>
        </xdr:grpSpPr>
        <xdr:sp macro="" textlink="$T$50">
          <xdr:nvSpPr>
            <xdr:cNvPr id="265" name="TextBox 132">
              <a:extLst>
                <a:ext uri="{FF2B5EF4-FFF2-40B4-BE49-F238E27FC236}">
                  <a16:creationId xmlns:a16="http://schemas.microsoft.com/office/drawing/2014/main" id="{00000000-0008-0000-0A00-000009010000}"/>
                </a:ext>
              </a:extLst>
            </xdr:cNvPr>
            <xdr:cNvSpPr txBox="1"/>
          </xdr:nvSpPr>
          <xdr:spPr>
            <a:xfrm>
              <a:off x="1716060" y="3946163"/>
              <a:ext cx="640080" cy="153888"/>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1B8BE3C6-7255-48D8-96D5-C307B2074895}" type="TxLink">
                <a:rPr lang="en-US" sz="1000" b="0" i="0" u="sng" strike="noStrike">
                  <a:solidFill>
                    <a:srgbClr val="000000"/>
                  </a:solidFill>
                  <a:latin typeface="Arial"/>
                  <a:cs typeface="Arial"/>
                </a:rPr>
                <a:pPr algn="ctr"/>
                <a:t>'26E</a:t>
              </a:fld>
              <a:endParaRPr lang="en-US" sz="1000" u="sng">
                <a:latin typeface="Arial" panose="020B0604020202020204" pitchFamily="34" charset="0"/>
                <a:cs typeface="Arial" panose="020B0604020202020204" pitchFamily="34" charset="0"/>
              </a:endParaRPr>
            </a:p>
          </xdr:txBody>
        </xdr:sp>
        <xdr:sp macro="" textlink="$U$50">
          <xdr:nvSpPr>
            <xdr:cNvPr id="266" name="TextBox 133">
              <a:extLst>
                <a:ext uri="{FF2B5EF4-FFF2-40B4-BE49-F238E27FC236}">
                  <a16:creationId xmlns:a16="http://schemas.microsoft.com/office/drawing/2014/main" id="{00000000-0008-0000-0A00-00000A010000}"/>
                </a:ext>
              </a:extLst>
            </xdr:cNvPr>
            <xdr:cNvSpPr txBox="1"/>
          </xdr:nvSpPr>
          <xdr:spPr>
            <a:xfrm>
              <a:off x="2447580" y="3946163"/>
              <a:ext cx="640080" cy="153888"/>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070D57E3-6422-4724-AFA8-EFCA31533C30}" type="TxLink">
                <a:rPr lang="en-US" sz="1000" b="0" i="0" u="sng" strike="noStrike">
                  <a:solidFill>
                    <a:srgbClr val="000000"/>
                  </a:solidFill>
                  <a:latin typeface="Arial"/>
                  <a:cs typeface="Arial"/>
                </a:rPr>
                <a:pPr algn="ctr"/>
                <a:t>'27E</a:t>
              </a:fld>
              <a:endParaRPr lang="en-US" sz="1000" u="sng">
                <a:latin typeface="Arial" panose="020B0604020202020204" pitchFamily="34" charset="0"/>
                <a:cs typeface="Arial" panose="020B0604020202020204" pitchFamily="34" charset="0"/>
              </a:endParaRPr>
            </a:p>
          </xdr:txBody>
        </xdr:sp>
        <xdr:sp macro="" textlink="$T$55">
          <xdr:nvSpPr>
            <xdr:cNvPr id="267" name="TextBox 134">
              <a:extLst>
                <a:ext uri="{FF2B5EF4-FFF2-40B4-BE49-F238E27FC236}">
                  <a16:creationId xmlns:a16="http://schemas.microsoft.com/office/drawing/2014/main" id="{00000000-0008-0000-0A00-00000B010000}"/>
                </a:ext>
              </a:extLst>
            </xdr:cNvPr>
            <xdr:cNvSpPr txBox="1"/>
          </xdr:nvSpPr>
          <xdr:spPr>
            <a:xfrm>
              <a:off x="1670340" y="4196469"/>
              <a:ext cx="731520" cy="18288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14C95B53-51CA-4889-8D7E-5EDF147F766B}" type="TxLink">
                <a:rPr lang="en-US" sz="1000" b="0" i="0" u="none" strike="noStrike">
                  <a:solidFill>
                    <a:srgbClr val="000000"/>
                  </a:solidFill>
                  <a:latin typeface="Arial"/>
                  <a:cs typeface="Arial"/>
                </a:rPr>
                <a:pPr algn="ctr"/>
                <a:t>$70.8B </a:t>
              </a:fld>
              <a:endParaRPr lang="en-US" sz="1000">
                <a:latin typeface="Arial" panose="020B0604020202020204" pitchFamily="34" charset="0"/>
                <a:cs typeface="Arial" panose="020B0604020202020204" pitchFamily="34" charset="0"/>
              </a:endParaRPr>
            </a:p>
          </xdr:txBody>
        </xdr:sp>
        <xdr:sp macro="" textlink="$T$56">
          <xdr:nvSpPr>
            <xdr:cNvPr id="268" name="Rectangle 267">
              <a:extLst>
                <a:ext uri="{FF2B5EF4-FFF2-40B4-BE49-F238E27FC236}">
                  <a16:creationId xmlns:a16="http://schemas.microsoft.com/office/drawing/2014/main" id="{00000000-0008-0000-0A00-00000C010000}"/>
                </a:ext>
              </a:extLst>
            </xdr:cNvPr>
            <xdr:cNvSpPr/>
          </xdr:nvSpPr>
          <xdr:spPr>
            <a:xfrm>
              <a:off x="1670340" y="4407482"/>
              <a:ext cx="731520" cy="147476"/>
            </a:xfrm>
            <a:prstGeom prst="rect">
              <a:avLst/>
            </a:prstGeom>
          </xdr:spPr>
          <xdr:txBody>
            <a:bodyPr wrap="square" lIns="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3B0035C6-A768-4251-9C46-29454AE028FC}" type="TxLink">
                <a:rPr lang="en-US" sz="1000" b="0" i="0" u="none" strike="noStrike">
                  <a:solidFill>
                    <a:srgbClr val="000000"/>
                  </a:solidFill>
                  <a:latin typeface="Arial"/>
                  <a:cs typeface="Arial"/>
                </a:rPr>
                <a:pPr algn="ctr"/>
                <a:t>+14% </a:t>
              </a:fld>
              <a:endParaRPr lang="en-US" sz="1000">
                <a:latin typeface="Arial" panose="020B0604020202020204" pitchFamily="34" charset="0"/>
                <a:cs typeface="Arial" panose="020B0604020202020204" pitchFamily="34" charset="0"/>
              </a:endParaRPr>
            </a:p>
          </xdr:txBody>
        </xdr:sp>
        <xdr:sp macro="" textlink="$U$55">
          <xdr:nvSpPr>
            <xdr:cNvPr id="269" name="TextBox 136">
              <a:extLst>
                <a:ext uri="{FF2B5EF4-FFF2-40B4-BE49-F238E27FC236}">
                  <a16:creationId xmlns:a16="http://schemas.microsoft.com/office/drawing/2014/main" id="{00000000-0008-0000-0A00-00000D010000}"/>
                </a:ext>
              </a:extLst>
            </xdr:cNvPr>
            <xdr:cNvSpPr txBox="1"/>
          </xdr:nvSpPr>
          <xdr:spPr>
            <a:xfrm>
              <a:off x="2401860" y="4196469"/>
              <a:ext cx="731520" cy="18288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8438CA41-ACF6-4E6F-B444-D09433B17095}" type="TxLink">
                <a:rPr lang="en-US" sz="1000" b="0" i="0" u="none" strike="noStrike">
                  <a:solidFill>
                    <a:srgbClr val="000000"/>
                  </a:solidFill>
                  <a:latin typeface="Arial"/>
                  <a:cs typeface="Arial"/>
                </a:rPr>
                <a:pPr algn="ctr"/>
                <a:t>$78.8B </a:t>
              </a:fld>
              <a:endParaRPr lang="en-US" sz="1000">
                <a:latin typeface="Arial" panose="020B0604020202020204" pitchFamily="34" charset="0"/>
                <a:cs typeface="Arial" panose="020B0604020202020204" pitchFamily="34" charset="0"/>
              </a:endParaRPr>
            </a:p>
          </xdr:txBody>
        </xdr:sp>
        <xdr:sp macro="" textlink="$U$56">
          <xdr:nvSpPr>
            <xdr:cNvPr id="270" name="Rectangle 269">
              <a:extLst>
                <a:ext uri="{FF2B5EF4-FFF2-40B4-BE49-F238E27FC236}">
                  <a16:creationId xmlns:a16="http://schemas.microsoft.com/office/drawing/2014/main" id="{00000000-0008-0000-0A00-00000E010000}"/>
                </a:ext>
              </a:extLst>
            </xdr:cNvPr>
            <xdr:cNvSpPr/>
          </xdr:nvSpPr>
          <xdr:spPr>
            <a:xfrm>
              <a:off x="2401860" y="4407482"/>
              <a:ext cx="731520" cy="147476"/>
            </a:xfrm>
            <a:prstGeom prst="rect">
              <a:avLst/>
            </a:prstGeom>
          </xdr:spPr>
          <xdr:txBody>
            <a:bodyPr wrap="square" lIns="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DB45058A-3A49-42F3-ACBB-2FB17E4C7A14}" type="TxLink">
                <a:rPr lang="en-US" sz="1000" b="0" i="0" u="none" strike="noStrike">
                  <a:solidFill>
                    <a:srgbClr val="000000"/>
                  </a:solidFill>
                  <a:latin typeface="Arial"/>
                  <a:cs typeface="Arial"/>
                </a:rPr>
                <a:pPr algn="ctr"/>
                <a:t>+11% </a:t>
              </a:fld>
              <a:endParaRPr lang="en-US" sz="1000">
                <a:latin typeface="Arial" panose="020B0604020202020204" pitchFamily="34" charset="0"/>
                <a:cs typeface="Arial" panose="020B0604020202020204" pitchFamily="34" charset="0"/>
              </a:endParaRPr>
            </a:p>
          </xdr:txBody>
        </xdr:sp>
        <xdr:sp macro="" textlink="$W$55">
          <xdr:nvSpPr>
            <xdr:cNvPr id="271" name="TextBox 138">
              <a:extLst>
                <a:ext uri="{FF2B5EF4-FFF2-40B4-BE49-F238E27FC236}">
                  <a16:creationId xmlns:a16="http://schemas.microsoft.com/office/drawing/2014/main" id="{00000000-0008-0000-0A00-00000F010000}"/>
                </a:ext>
              </a:extLst>
            </xdr:cNvPr>
            <xdr:cNvSpPr txBox="1"/>
          </xdr:nvSpPr>
          <xdr:spPr>
            <a:xfrm>
              <a:off x="2401860" y="4678452"/>
              <a:ext cx="731520" cy="18288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9A7B75ED-89EE-4E9C-938F-FC3BA35966FF}" type="TxLink">
                <a:rPr lang="en-US" sz="1000" b="0" i="0" u="none" strike="noStrike">
                  <a:solidFill>
                    <a:srgbClr val="000000"/>
                  </a:solidFill>
                  <a:latin typeface="Arial"/>
                  <a:cs typeface="Arial"/>
                </a:rPr>
                <a:pPr algn="ctr"/>
                <a:t>$15.4B </a:t>
              </a:fld>
              <a:endParaRPr lang="en-US" sz="1000">
                <a:latin typeface="Arial" panose="020B0604020202020204" pitchFamily="34" charset="0"/>
                <a:cs typeface="Arial" panose="020B0604020202020204" pitchFamily="34" charset="0"/>
              </a:endParaRPr>
            </a:p>
          </xdr:txBody>
        </xdr:sp>
        <xdr:sp macro="" textlink="$W$56">
          <xdr:nvSpPr>
            <xdr:cNvPr id="272" name="Rectangle 271">
              <a:extLst>
                <a:ext uri="{FF2B5EF4-FFF2-40B4-BE49-F238E27FC236}">
                  <a16:creationId xmlns:a16="http://schemas.microsoft.com/office/drawing/2014/main" id="{00000000-0008-0000-0A00-000010010000}"/>
                </a:ext>
              </a:extLst>
            </xdr:cNvPr>
            <xdr:cNvSpPr/>
          </xdr:nvSpPr>
          <xdr:spPr>
            <a:xfrm>
              <a:off x="2401860" y="4889465"/>
              <a:ext cx="731520" cy="147476"/>
            </a:xfrm>
            <a:prstGeom prst="rect">
              <a:avLst/>
            </a:prstGeom>
          </xdr:spPr>
          <xdr:txBody>
            <a:bodyPr wrap="square" lIns="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2F93FFC1-F8FA-4B57-ADA8-D3D07FC47A33}" type="TxLink">
                <a:rPr lang="en-US" sz="1000" b="0" i="0" u="none" strike="noStrike">
                  <a:solidFill>
                    <a:srgbClr val="000000"/>
                  </a:solidFill>
                  <a:latin typeface="Arial"/>
                  <a:cs typeface="Arial"/>
                </a:rPr>
                <a:pPr algn="ctr"/>
                <a:t>20% </a:t>
              </a:fld>
              <a:endParaRPr lang="en-US" sz="1000">
                <a:latin typeface="Arial" panose="020B0604020202020204" pitchFamily="34" charset="0"/>
                <a:cs typeface="Arial" panose="020B0604020202020204" pitchFamily="34" charset="0"/>
              </a:endParaRPr>
            </a:p>
          </xdr:txBody>
        </xdr:sp>
        <xdr:sp macro="" textlink="$V$55">
          <xdr:nvSpPr>
            <xdr:cNvPr id="273" name="TextBox 140">
              <a:extLst>
                <a:ext uri="{FF2B5EF4-FFF2-40B4-BE49-F238E27FC236}">
                  <a16:creationId xmlns:a16="http://schemas.microsoft.com/office/drawing/2014/main" id="{00000000-0008-0000-0A00-000011010000}"/>
                </a:ext>
              </a:extLst>
            </xdr:cNvPr>
            <xdr:cNvSpPr txBox="1"/>
          </xdr:nvSpPr>
          <xdr:spPr>
            <a:xfrm>
              <a:off x="1670340" y="4678452"/>
              <a:ext cx="731520" cy="18288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9F8F5A77-4FBF-4521-8482-2CDA3FF819DB}" type="TxLink">
                <a:rPr lang="en-US" sz="1000" b="0" i="0" u="none" strike="noStrike">
                  <a:solidFill>
                    <a:srgbClr val="000000"/>
                  </a:solidFill>
                  <a:latin typeface="Arial"/>
                  <a:cs typeface="Arial"/>
                </a:rPr>
                <a:pPr algn="ctr"/>
                <a:t>$13.2B </a:t>
              </a:fld>
              <a:endParaRPr lang="en-US" sz="1000">
                <a:latin typeface="Arial" panose="020B0604020202020204" pitchFamily="34" charset="0"/>
                <a:cs typeface="Arial" panose="020B0604020202020204" pitchFamily="34" charset="0"/>
              </a:endParaRPr>
            </a:p>
          </xdr:txBody>
        </xdr:sp>
        <xdr:sp macro="" textlink="$V$56">
          <xdr:nvSpPr>
            <xdr:cNvPr id="274" name="Rectangle 273">
              <a:extLst>
                <a:ext uri="{FF2B5EF4-FFF2-40B4-BE49-F238E27FC236}">
                  <a16:creationId xmlns:a16="http://schemas.microsoft.com/office/drawing/2014/main" id="{00000000-0008-0000-0A00-000012010000}"/>
                </a:ext>
              </a:extLst>
            </xdr:cNvPr>
            <xdr:cNvSpPr/>
          </xdr:nvSpPr>
          <xdr:spPr>
            <a:xfrm>
              <a:off x="1670340" y="4889465"/>
              <a:ext cx="731520" cy="147476"/>
            </a:xfrm>
            <a:prstGeom prst="rect">
              <a:avLst/>
            </a:prstGeom>
          </xdr:spPr>
          <xdr:txBody>
            <a:bodyPr wrap="square" lIns="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7BE84DCD-D7B7-4554-B32A-7982B673A487}" type="TxLink">
                <a:rPr lang="en-US" sz="1000" b="0" i="0" u="none" strike="noStrike">
                  <a:solidFill>
                    <a:srgbClr val="000000"/>
                  </a:solidFill>
                  <a:latin typeface="Arial"/>
                  <a:cs typeface="Arial"/>
                </a:rPr>
                <a:pPr algn="ctr"/>
                <a:t>19% </a:t>
              </a:fld>
              <a:endParaRPr lang="en-US" sz="1000">
                <a:latin typeface="Arial" panose="020B0604020202020204" pitchFamily="34" charset="0"/>
                <a:cs typeface="Arial" panose="020B0604020202020204" pitchFamily="34" charset="0"/>
              </a:endParaRPr>
            </a:p>
          </xdr:txBody>
        </xdr:sp>
      </xdr:grpSp>
      <xdr:grpSp>
        <xdr:nvGrpSpPr>
          <xdr:cNvPr id="232" name="Group 231">
            <a:extLst>
              <a:ext uri="{FF2B5EF4-FFF2-40B4-BE49-F238E27FC236}">
                <a16:creationId xmlns:a16="http://schemas.microsoft.com/office/drawing/2014/main" id="{00000000-0008-0000-0A00-0000E8000000}"/>
              </a:ext>
            </a:extLst>
          </xdr:cNvPr>
          <xdr:cNvGrpSpPr/>
        </xdr:nvGrpSpPr>
        <xdr:grpSpPr>
          <a:xfrm>
            <a:off x="6880937" y="3946163"/>
            <a:ext cx="1463040" cy="1090778"/>
            <a:chOff x="1670340" y="3946163"/>
            <a:chExt cx="1463040" cy="1090778"/>
          </a:xfrm>
        </xdr:grpSpPr>
        <xdr:sp macro="" textlink="$T$50">
          <xdr:nvSpPr>
            <xdr:cNvPr id="255" name="TextBox 157">
              <a:extLst>
                <a:ext uri="{FF2B5EF4-FFF2-40B4-BE49-F238E27FC236}">
                  <a16:creationId xmlns:a16="http://schemas.microsoft.com/office/drawing/2014/main" id="{00000000-0008-0000-0A00-0000FF000000}"/>
                </a:ext>
              </a:extLst>
            </xdr:cNvPr>
            <xdr:cNvSpPr txBox="1"/>
          </xdr:nvSpPr>
          <xdr:spPr>
            <a:xfrm>
              <a:off x="1716060" y="3946163"/>
              <a:ext cx="640080" cy="153888"/>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6BF9DAC9-13F8-4EA9-B1B7-CDC097B6664F}" type="TxLink">
                <a:rPr lang="en-US" sz="1000" b="0" i="0" u="sng" strike="noStrike">
                  <a:solidFill>
                    <a:srgbClr val="000000"/>
                  </a:solidFill>
                  <a:latin typeface="Arial"/>
                  <a:cs typeface="Arial"/>
                </a:rPr>
                <a:pPr algn="ctr"/>
                <a:t>'26E</a:t>
              </a:fld>
              <a:endParaRPr lang="en-US" sz="1000" u="sng">
                <a:latin typeface="Arial" panose="020B0604020202020204" pitchFamily="34" charset="0"/>
                <a:cs typeface="Arial" panose="020B0604020202020204" pitchFamily="34" charset="0"/>
              </a:endParaRPr>
            </a:p>
          </xdr:txBody>
        </xdr:sp>
        <xdr:sp macro="" textlink="$U$50">
          <xdr:nvSpPr>
            <xdr:cNvPr id="256" name="TextBox 158">
              <a:extLst>
                <a:ext uri="{FF2B5EF4-FFF2-40B4-BE49-F238E27FC236}">
                  <a16:creationId xmlns:a16="http://schemas.microsoft.com/office/drawing/2014/main" id="{00000000-0008-0000-0A00-000000010000}"/>
                </a:ext>
              </a:extLst>
            </xdr:cNvPr>
            <xdr:cNvSpPr txBox="1"/>
          </xdr:nvSpPr>
          <xdr:spPr>
            <a:xfrm>
              <a:off x="2447580" y="3946163"/>
              <a:ext cx="640080" cy="153888"/>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90BAE338-CBA8-4E61-8F57-47F3AD4E2075}" type="TxLink">
                <a:rPr lang="en-US" sz="1000" b="0" i="0" u="sng" strike="noStrike">
                  <a:solidFill>
                    <a:srgbClr val="000000"/>
                  </a:solidFill>
                  <a:latin typeface="Arial"/>
                  <a:cs typeface="Arial"/>
                </a:rPr>
                <a:pPr algn="ctr"/>
                <a:t>'27E</a:t>
              </a:fld>
              <a:endParaRPr lang="en-US" sz="1000" u="sng">
                <a:latin typeface="Arial" panose="020B0604020202020204" pitchFamily="34" charset="0"/>
                <a:cs typeface="Arial" panose="020B0604020202020204" pitchFamily="34" charset="0"/>
              </a:endParaRPr>
            </a:p>
          </xdr:txBody>
        </xdr:sp>
        <xdr:sp macro="" textlink="$T$57">
          <xdr:nvSpPr>
            <xdr:cNvPr id="257" name="TextBox 159">
              <a:extLst>
                <a:ext uri="{FF2B5EF4-FFF2-40B4-BE49-F238E27FC236}">
                  <a16:creationId xmlns:a16="http://schemas.microsoft.com/office/drawing/2014/main" id="{00000000-0008-0000-0A00-000001010000}"/>
                </a:ext>
              </a:extLst>
            </xdr:cNvPr>
            <xdr:cNvSpPr txBox="1"/>
          </xdr:nvSpPr>
          <xdr:spPr>
            <a:xfrm>
              <a:off x="1670340" y="4196469"/>
              <a:ext cx="731520" cy="18288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5313821A-D07E-4C0C-B42F-B515A4428478}" type="TxLink">
                <a:rPr lang="en-US" sz="1000" b="0" i="0" u="none" strike="noStrike">
                  <a:solidFill>
                    <a:srgbClr val="000000"/>
                  </a:solidFill>
                  <a:latin typeface="Arial"/>
                  <a:cs typeface="Arial"/>
                </a:rPr>
                <a:pPr algn="ctr"/>
                <a:t>$32.3B </a:t>
              </a:fld>
              <a:endParaRPr lang="en-US" sz="1000">
                <a:latin typeface="Arial" panose="020B0604020202020204" pitchFamily="34" charset="0"/>
                <a:cs typeface="Arial" panose="020B0604020202020204" pitchFamily="34" charset="0"/>
              </a:endParaRPr>
            </a:p>
          </xdr:txBody>
        </xdr:sp>
        <xdr:sp macro="" textlink="$T$58">
          <xdr:nvSpPr>
            <xdr:cNvPr id="258" name="Rectangle 257">
              <a:extLst>
                <a:ext uri="{FF2B5EF4-FFF2-40B4-BE49-F238E27FC236}">
                  <a16:creationId xmlns:a16="http://schemas.microsoft.com/office/drawing/2014/main" id="{00000000-0008-0000-0A00-000002010000}"/>
                </a:ext>
              </a:extLst>
            </xdr:cNvPr>
            <xdr:cNvSpPr/>
          </xdr:nvSpPr>
          <xdr:spPr>
            <a:xfrm>
              <a:off x="1670340" y="4407482"/>
              <a:ext cx="731520" cy="147476"/>
            </a:xfrm>
            <a:prstGeom prst="rect">
              <a:avLst/>
            </a:prstGeom>
          </xdr:spPr>
          <xdr:txBody>
            <a:bodyPr wrap="square" lIns="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CE70D56B-3202-4FC3-9080-A1AC41B3F1F0}" type="TxLink">
                <a:rPr lang="en-US" sz="1000" b="0" i="0" u="none" strike="noStrike">
                  <a:solidFill>
                    <a:srgbClr val="000000"/>
                  </a:solidFill>
                  <a:latin typeface="Arial"/>
                  <a:cs typeface="Arial"/>
                </a:rPr>
                <a:pPr algn="ctr"/>
                <a:t>+19% </a:t>
              </a:fld>
              <a:endParaRPr lang="en-US" sz="1000">
                <a:latin typeface="Arial" panose="020B0604020202020204" pitchFamily="34" charset="0"/>
                <a:cs typeface="Arial" panose="020B0604020202020204" pitchFamily="34" charset="0"/>
              </a:endParaRPr>
            </a:p>
          </xdr:txBody>
        </xdr:sp>
        <xdr:sp macro="" textlink="$U$57">
          <xdr:nvSpPr>
            <xdr:cNvPr id="259" name="TextBox 161">
              <a:extLst>
                <a:ext uri="{FF2B5EF4-FFF2-40B4-BE49-F238E27FC236}">
                  <a16:creationId xmlns:a16="http://schemas.microsoft.com/office/drawing/2014/main" id="{00000000-0008-0000-0A00-000003010000}"/>
                </a:ext>
              </a:extLst>
            </xdr:cNvPr>
            <xdr:cNvSpPr txBox="1"/>
          </xdr:nvSpPr>
          <xdr:spPr>
            <a:xfrm>
              <a:off x="2401860" y="4196469"/>
              <a:ext cx="731520" cy="18288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024E71C5-C292-4778-BDD2-ECF1931DD4E4}" type="TxLink">
                <a:rPr lang="en-US" sz="1000" b="0" i="0" u="none" strike="noStrike">
                  <a:solidFill>
                    <a:srgbClr val="000000"/>
                  </a:solidFill>
                  <a:latin typeface="Arial"/>
                  <a:cs typeface="Arial"/>
                </a:rPr>
                <a:pPr algn="ctr"/>
                <a:t>$36.2B </a:t>
              </a:fld>
              <a:endParaRPr lang="en-US" sz="1000">
                <a:latin typeface="Arial" panose="020B0604020202020204" pitchFamily="34" charset="0"/>
                <a:cs typeface="Arial" panose="020B0604020202020204" pitchFamily="34" charset="0"/>
              </a:endParaRPr>
            </a:p>
          </xdr:txBody>
        </xdr:sp>
        <xdr:sp macro="" textlink="$U$58">
          <xdr:nvSpPr>
            <xdr:cNvPr id="260" name="Rectangle 259">
              <a:extLst>
                <a:ext uri="{FF2B5EF4-FFF2-40B4-BE49-F238E27FC236}">
                  <a16:creationId xmlns:a16="http://schemas.microsoft.com/office/drawing/2014/main" id="{00000000-0008-0000-0A00-000004010000}"/>
                </a:ext>
              </a:extLst>
            </xdr:cNvPr>
            <xdr:cNvSpPr/>
          </xdr:nvSpPr>
          <xdr:spPr>
            <a:xfrm>
              <a:off x="2401860" y="4407482"/>
              <a:ext cx="731520" cy="147476"/>
            </a:xfrm>
            <a:prstGeom prst="rect">
              <a:avLst/>
            </a:prstGeom>
          </xdr:spPr>
          <xdr:txBody>
            <a:bodyPr wrap="square" lIns="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325D8F4F-4F60-4964-981B-1E9CD9DC5105}" type="TxLink">
                <a:rPr lang="en-US" sz="1000" b="0" i="0" u="none" strike="noStrike">
                  <a:solidFill>
                    <a:srgbClr val="000000"/>
                  </a:solidFill>
                  <a:latin typeface="Arial"/>
                  <a:cs typeface="Arial"/>
                </a:rPr>
                <a:pPr algn="ctr"/>
                <a:t>+12% </a:t>
              </a:fld>
              <a:endParaRPr lang="en-US" sz="1000">
                <a:latin typeface="Arial" panose="020B0604020202020204" pitchFamily="34" charset="0"/>
                <a:cs typeface="Arial" panose="020B0604020202020204" pitchFamily="34" charset="0"/>
              </a:endParaRPr>
            </a:p>
          </xdr:txBody>
        </xdr:sp>
        <xdr:sp macro="" textlink="$W$57">
          <xdr:nvSpPr>
            <xdr:cNvPr id="261" name="TextBox 163">
              <a:extLst>
                <a:ext uri="{FF2B5EF4-FFF2-40B4-BE49-F238E27FC236}">
                  <a16:creationId xmlns:a16="http://schemas.microsoft.com/office/drawing/2014/main" id="{00000000-0008-0000-0A00-000005010000}"/>
                </a:ext>
              </a:extLst>
            </xdr:cNvPr>
            <xdr:cNvSpPr txBox="1"/>
          </xdr:nvSpPr>
          <xdr:spPr>
            <a:xfrm>
              <a:off x="2401860" y="4678452"/>
              <a:ext cx="731520" cy="18288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8521594A-B801-4BF9-B908-D9742E992752}" type="TxLink">
                <a:rPr lang="en-US" sz="1000" b="0" i="0" u="none" strike="noStrike">
                  <a:solidFill>
                    <a:srgbClr val="000000"/>
                  </a:solidFill>
                  <a:latin typeface="Arial"/>
                  <a:cs typeface="Arial"/>
                </a:rPr>
                <a:pPr algn="ctr"/>
                <a:t>$27.2B </a:t>
              </a:fld>
              <a:endParaRPr lang="en-US" sz="1000">
                <a:latin typeface="Arial" panose="020B0604020202020204" pitchFamily="34" charset="0"/>
                <a:cs typeface="Arial" panose="020B0604020202020204" pitchFamily="34" charset="0"/>
              </a:endParaRPr>
            </a:p>
          </xdr:txBody>
        </xdr:sp>
        <xdr:sp macro="" textlink="$W$58">
          <xdr:nvSpPr>
            <xdr:cNvPr id="262" name="Rectangle 261">
              <a:extLst>
                <a:ext uri="{FF2B5EF4-FFF2-40B4-BE49-F238E27FC236}">
                  <a16:creationId xmlns:a16="http://schemas.microsoft.com/office/drawing/2014/main" id="{00000000-0008-0000-0A00-000006010000}"/>
                </a:ext>
              </a:extLst>
            </xdr:cNvPr>
            <xdr:cNvSpPr/>
          </xdr:nvSpPr>
          <xdr:spPr>
            <a:xfrm>
              <a:off x="2401860" y="4889465"/>
              <a:ext cx="731520" cy="147476"/>
            </a:xfrm>
            <a:prstGeom prst="rect">
              <a:avLst/>
            </a:prstGeom>
          </xdr:spPr>
          <xdr:txBody>
            <a:bodyPr wrap="square" lIns="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7BFCC887-E9D9-44F7-A849-F5A0AA06563B}" type="TxLink">
                <a:rPr lang="en-US" sz="1000" b="0" i="0" u="none" strike="noStrike">
                  <a:solidFill>
                    <a:srgbClr val="000000"/>
                  </a:solidFill>
                  <a:latin typeface="Arial"/>
                  <a:cs typeface="Arial"/>
                </a:rPr>
                <a:pPr algn="ctr"/>
                <a:t>75% </a:t>
              </a:fld>
              <a:endParaRPr lang="en-US" sz="1000">
                <a:latin typeface="Arial" panose="020B0604020202020204" pitchFamily="34" charset="0"/>
                <a:cs typeface="Arial" panose="020B0604020202020204" pitchFamily="34" charset="0"/>
              </a:endParaRPr>
            </a:p>
          </xdr:txBody>
        </xdr:sp>
        <xdr:sp macro="" textlink="$V$57">
          <xdr:nvSpPr>
            <xdr:cNvPr id="263" name="TextBox 166">
              <a:extLst>
                <a:ext uri="{FF2B5EF4-FFF2-40B4-BE49-F238E27FC236}">
                  <a16:creationId xmlns:a16="http://schemas.microsoft.com/office/drawing/2014/main" id="{00000000-0008-0000-0A00-000007010000}"/>
                </a:ext>
              </a:extLst>
            </xdr:cNvPr>
            <xdr:cNvSpPr txBox="1"/>
          </xdr:nvSpPr>
          <xdr:spPr>
            <a:xfrm>
              <a:off x="1670340" y="4678452"/>
              <a:ext cx="731520" cy="18288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6F994593-1679-4203-A1C6-DEE53F1B3A05}" type="TxLink">
                <a:rPr lang="en-US" sz="1000" b="0" i="0" u="none" strike="noStrike">
                  <a:solidFill>
                    <a:srgbClr val="000000"/>
                  </a:solidFill>
                  <a:latin typeface="Arial"/>
                  <a:cs typeface="Arial"/>
                </a:rPr>
                <a:pPr algn="ctr"/>
                <a:t>$21.1B </a:t>
              </a:fld>
              <a:endParaRPr lang="en-US" sz="1000">
                <a:latin typeface="Arial" panose="020B0604020202020204" pitchFamily="34" charset="0"/>
                <a:cs typeface="Arial" panose="020B0604020202020204" pitchFamily="34" charset="0"/>
              </a:endParaRPr>
            </a:p>
          </xdr:txBody>
        </xdr:sp>
        <xdr:sp macro="" textlink="$V$58">
          <xdr:nvSpPr>
            <xdr:cNvPr id="264" name="Rectangle 263">
              <a:extLst>
                <a:ext uri="{FF2B5EF4-FFF2-40B4-BE49-F238E27FC236}">
                  <a16:creationId xmlns:a16="http://schemas.microsoft.com/office/drawing/2014/main" id="{00000000-0008-0000-0A00-000008010000}"/>
                </a:ext>
              </a:extLst>
            </xdr:cNvPr>
            <xdr:cNvSpPr/>
          </xdr:nvSpPr>
          <xdr:spPr>
            <a:xfrm>
              <a:off x="1670340" y="4889465"/>
              <a:ext cx="731520" cy="147476"/>
            </a:xfrm>
            <a:prstGeom prst="rect">
              <a:avLst/>
            </a:prstGeom>
          </xdr:spPr>
          <xdr:txBody>
            <a:bodyPr wrap="square" lIns="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079A5A7D-D7FD-4B1A-A0F9-4CD97C79E829}" type="TxLink">
                <a:rPr lang="en-US" sz="1000" b="0" i="0" u="none" strike="noStrike">
                  <a:solidFill>
                    <a:srgbClr val="000000"/>
                  </a:solidFill>
                  <a:latin typeface="Arial"/>
                  <a:cs typeface="Arial"/>
                </a:rPr>
                <a:pPr algn="ctr"/>
                <a:t>65% </a:t>
              </a:fld>
              <a:endParaRPr lang="en-US" sz="1000">
                <a:latin typeface="Arial" panose="020B0604020202020204" pitchFamily="34" charset="0"/>
                <a:cs typeface="Arial" panose="020B0604020202020204" pitchFamily="34" charset="0"/>
              </a:endParaRPr>
            </a:p>
          </xdr:txBody>
        </xdr:sp>
      </xdr:grpSp>
      <xdr:grpSp>
        <xdr:nvGrpSpPr>
          <xdr:cNvPr id="233" name="Group 232">
            <a:extLst>
              <a:ext uri="{FF2B5EF4-FFF2-40B4-BE49-F238E27FC236}">
                <a16:creationId xmlns:a16="http://schemas.microsoft.com/office/drawing/2014/main" id="{00000000-0008-0000-0A00-0000E9000000}"/>
              </a:ext>
            </a:extLst>
          </xdr:cNvPr>
          <xdr:cNvGrpSpPr/>
        </xdr:nvGrpSpPr>
        <xdr:grpSpPr>
          <a:xfrm>
            <a:off x="8614464" y="3946163"/>
            <a:ext cx="1463040" cy="1090778"/>
            <a:chOff x="1670340" y="3946163"/>
            <a:chExt cx="1463040" cy="1090778"/>
          </a:xfrm>
        </xdr:grpSpPr>
        <xdr:sp macro="" textlink="$T$50">
          <xdr:nvSpPr>
            <xdr:cNvPr id="245" name="TextBox 174">
              <a:extLst>
                <a:ext uri="{FF2B5EF4-FFF2-40B4-BE49-F238E27FC236}">
                  <a16:creationId xmlns:a16="http://schemas.microsoft.com/office/drawing/2014/main" id="{00000000-0008-0000-0A00-0000F5000000}"/>
                </a:ext>
              </a:extLst>
            </xdr:cNvPr>
            <xdr:cNvSpPr txBox="1"/>
          </xdr:nvSpPr>
          <xdr:spPr>
            <a:xfrm>
              <a:off x="1716060" y="3946163"/>
              <a:ext cx="640080" cy="153888"/>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0AA4D845-24F7-4684-A76D-62CC3B770469}" type="TxLink">
                <a:rPr lang="en-US" sz="1000" b="0" i="0" u="sng" strike="noStrike">
                  <a:solidFill>
                    <a:srgbClr val="000000"/>
                  </a:solidFill>
                  <a:latin typeface="Arial"/>
                  <a:cs typeface="Arial"/>
                </a:rPr>
                <a:pPr algn="ctr"/>
                <a:t>'26E</a:t>
              </a:fld>
              <a:endParaRPr lang="en-US" sz="1000" u="sng">
                <a:latin typeface="Arial" panose="020B0604020202020204" pitchFamily="34" charset="0"/>
                <a:cs typeface="Arial" panose="020B0604020202020204" pitchFamily="34" charset="0"/>
              </a:endParaRPr>
            </a:p>
          </xdr:txBody>
        </xdr:sp>
        <xdr:sp macro="" textlink="$U$50">
          <xdr:nvSpPr>
            <xdr:cNvPr id="246" name="TextBox 175">
              <a:extLst>
                <a:ext uri="{FF2B5EF4-FFF2-40B4-BE49-F238E27FC236}">
                  <a16:creationId xmlns:a16="http://schemas.microsoft.com/office/drawing/2014/main" id="{00000000-0008-0000-0A00-0000F6000000}"/>
                </a:ext>
              </a:extLst>
            </xdr:cNvPr>
            <xdr:cNvSpPr txBox="1"/>
          </xdr:nvSpPr>
          <xdr:spPr>
            <a:xfrm>
              <a:off x="2447580" y="3946163"/>
              <a:ext cx="640080" cy="153888"/>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5867F68C-BBFE-4B3F-87F6-3ED3D3ADFFC1}" type="TxLink">
                <a:rPr lang="en-US" sz="1000" b="0" i="0" u="sng" strike="noStrike">
                  <a:solidFill>
                    <a:srgbClr val="000000"/>
                  </a:solidFill>
                  <a:latin typeface="Arial"/>
                  <a:cs typeface="Arial"/>
                </a:rPr>
                <a:pPr algn="ctr"/>
                <a:t>'27E</a:t>
              </a:fld>
              <a:endParaRPr lang="en-US" sz="1000" u="sng">
                <a:latin typeface="Arial" panose="020B0604020202020204" pitchFamily="34" charset="0"/>
                <a:cs typeface="Arial" panose="020B0604020202020204" pitchFamily="34" charset="0"/>
              </a:endParaRPr>
            </a:p>
          </xdr:txBody>
        </xdr:sp>
        <xdr:sp macro="" textlink="$T$59">
          <xdr:nvSpPr>
            <xdr:cNvPr id="247" name="TextBox 176">
              <a:extLst>
                <a:ext uri="{FF2B5EF4-FFF2-40B4-BE49-F238E27FC236}">
                  <a16:creationId xmlns:a16="http://schemas.microsoft.com/office/drawing/2014/main" id="{00000000-0008-0000-0A00-0000F7000000}"/>
                </a:ext>
              </a:extLst>
            </xdr:cNvPr>
            <xdr:cNvSpPr txBox="1"/>
          </xdr:nvSpPr>
          <xdr:spPr>
            <a:xfrm>
              <a:off x="1670340" y="4196469"/>
              <a:ext cx="731520" cy="18288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39942310-EF73-44DB-9A71-20138936DBBB}" type="TxLink">
                <a:rPr lang="en-US" sz="1000" b="0" i="0" u="none" strike="noStrike">
                  <a:solidFill>
                    <a:srgbClr val="000000"/>
                  </a:solidFill>
                  <a:latin typeface="Arial"/>
                  <a:cs typeface="Arial"/>
                </a:rPr>
                <a:pPr algn="ctr"/>
                <a:t>$82.8B </a:t>
              </a:fld>
              <a:endParaRPr lang="en-US" sz="1000">
                <a:latin typeface="Arial" panose="020B0604020202020204" pitchFamily="34" charset="0"/>
                <a:cs typeface="Arial" panose="020B0604020202020204" pitchFamily="34" charset="0"/>
              </a:endParaRPr>
            </a:p>
          </xdr:txBody>
        </xdr:sp>
        <xdr:sp macro="" textlink="$T$60">
          <xdr:nvSpPr>
            <xdr:cNvPr id="248" name="Rectangle 247">
              <a:extLst>
                <a:ext uri="{FF2B5EF4-FFF2-40B4-BE49-F238E27FC236}">
                  <a16:creationId xmlns:a16="http://schemas.microsoft.com/office/drawing/2014/main" id="{00000000-0008-0000-0A00-0000F8000000}"/>
                </a:ext>
              </a:extLst>
            </xdr:cNvPr>
            <xdr:cNvSpPr/>
          </xdr:nvSpPr>
          <xdr:spPr>
            <a:xfrm>
              <a:off x="1670340" y="4407482"/>
              <a:ext cx="731520" cy="147476"/>
            </a:xfrm>
            <a:prstGeom prst="rect">
              <a:avLst/>
            </a:prstGeom>
          </xdr:spPr>
          <xdr:txBody>
            <a:bodyPr wrap="square" lIns="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6284206F-88A4-493C-8EEF-01D016362324}" type="TxLink">
                <a:rPr lang="en-US" sz="1000" b="0" i="0" u="none" strike="noStrike">
                  <a:solidFill>
                    <a:srgbClr val="000000"/>
                  </a:solidFill>
                  <a:latin typeface="Arial"/>
                  <a:cs typeface="Arial"/>
                </a:rPr>
                <a:pPr algn="ctr"/>
                <a:t>+44% </a:t>
              </a:fld>
              <a:endParaRPr lang="en-US" sz="1000">
                <a:latin typeface="Arial" panose="020B0604020202020204" pitchFamily="34" charset="0"/>
                <a:cs typeface="Arial" panose="020B0604020202020204" pitchFamily="34" charset="0"/>
              </a:endParaRPr>
            </a:p>
          </xdr:txBody>
        </xdr:sp>
        <xdr:sp macro="" textlink="$U$59">
          <xdr:nvSpPr>
            <xdr:cNvPr id="249" name="TextBox 178">
              <a:extLst>
                <a:ext uri="{FF2B5EF4-FFF2-40B4-BE49-F238E27FC236}">
                  <a16:creationId xmlns:a16="http://schemas.microsoft.com/office/drawing/2014/main" id="{00000000-0008-0000-0A00-0000F9000000}"/>
                </a:ext>
              </a:extLst>
            </xdr:cNvPr>
            <xdr:cNvSpPr txBox="1"/>
          </xdr:nvSpPr>
          <xdr:spPr>
            <a:xfrm>
              <a:off x="2401860" y="4196469"/>
              <a:ext cx="731520" cy="18288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87427E5E-50BD-411A-82F3-07D1CED12962}" type="TxLink">
                <a:rPr lang="en-US" sz="1000" b="0" i="0" u="none" strike="noStrike">
                  <a:solidFill>
                    <a:srgbClr val="000000"/>
                  </a:solidFill>
                  <a:latin typeface="Arial"/>
                  <a:cs typeface="Arial"/>
                </a:rPr>
                <a:pPr algn="ctr"/>
                <a:t>$107.6B </a:t>
              </a:fld>
              <a:endParaRPr lang="en-US" sz="1000">
                <a:latin typeface="Arial" panose="020B0604020202020204" pitchFamily="34" charset="0"/>
                <a:cs typeface="Arial" panose="020B0604020202020204" pitchFamily="34" charset="0"/>
              </a:endParaRPr>
            </a:p>
          </xdr:txBody>
        </xdr:sp>
        <xdr:sp macro="" textlink="$U$60">
          <xdr:nvSpPr>
            <xdr:cNvPr id="250" name="Rectangle 249">
              <a:extLst>
                <a:ext uri="{FF2B5EF4-FFF2-40B4-BE49-F238E27FC236}">
                  <a16:creationId xmlns:a16="http://schemas.microsoft.com/office/drawing/2014/main" id="{00000000-0008-0000-0A00-0000FA000000}"/>
                </a:ext>
              </a:extLst>
            </xdr:cNvPr>
            <xdr:cNvSpPr/>
          </xdr:nvSpPr>
          <xdr:spPr>
            <a:xfrm>
              <a:off x="2401860" y="4407482"/>
              <a:ext cx="731520" cy="147476"/>
            </a:xfrm>
            <a:prstGeom prst="rect">
              <a:avLst/>
            </a:prstGeom>
          </xdr:spPr>
          <xdr:txBody>
            <a:bodyPr wrap="square" lIns="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838EDC22-BA64-4EEC-B1D6-BDFC69F49832}" type="TxLink">
                <a:rPr lang="en-US" sz="1000" b="0" i="0" u="none" strike="noStrike">
                  <a:solidFill>
                    <a:srgbClr val="000000"/>
                  </a:solidFill>
                  <a:latin typeface="Arial"/>
                  <a:cs typeface="Arial"/>
                </a:rPr>
                <a:pPr algn="ctr"/>
                <a:t>+30% </a:t>
              </a:fld>
              <a:endParaRPr lang="en-US" sz="1000">
                <a:latin typeface="Arial" panose="020B0604020202020204" pitchFamily="34" charset="0"/>
                <a:cs typeface="Arial" panose="020B0604020202020204" pitchFamily="34" charset="0"/>
              </a:endParaRPr>
            </a:p>
          </xdr:txBody>
        </xdr:sp>
        <xdr:sp macro="" textlink="$W$59">
          <xdr:nvSpPr>
            <xdr:cNvPr id="251" name="TextBox 180">
              <a:extLst>
                <a:ext uri="{FF2B5EF4-FFF2-40B4-BE49-F238E27FC236}">
                  <a16:creationId xmlns:a16="http://schemas.microsoft.com/office/drawing/2014/main" id="{00000000-0008-0000-0A00-0000FB000000}"/>
                </a:ext>
              </a:extLst>
            </xdr:cNvPr>
            <xdr:cNvSpPr txBox="1"/>
          </xdr:nvSpPr>
          <xdr:spPr>
            <a:xfrm>
              <a:off x="2401860" y="4678452"/>
              <a:ext cx="731520" cy="18288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6B20E2B4-3F92-4B26-9534-9BF1FF7F6CE6}" type="TxLink">
                <a:rPr lang="en-US" sz="1000" b="0" i="0" u="none" strike="noStrike">
                  <a:solidFill>
                    <a:srgbClr val="000000"/>
                  </a:solidFill>
                  <a:latin typeface="Arial"/>
                  <a:cs typeface="Arial"/>
                </a:rPr>
                <a:pPr algn="ctr"/>
                <a:t>$58.4B </a:t>
              </a:fld>
              <a:endParaRPr lang="en-US" sz="1000">
                <a:latin typeface="Arial" panose="020B0604020202020204" pitchFamily="34" charset="0"/>
                <a:cs typeface="Arial" panose="020B0604020202020204" pitchFamily="34" charset="0"/>
              </a:endParaRPr>
            </a:p>
          </xdr:txBody>
        </xdr:sp>
        <xdr:sp macro="" textlink="$W$60">
          <xdr:nvSpPr>
            <xdr:cNvPr id="252" name="Rectangle 251">
              <a:extLst>
                <a:ext uri="{FF2B5EF4-FFF2-40B4-BE49-F238E27FC236}">
                  <a16:creationId xmlns:a16="http://schemas.microsoft.com/office/drawing/2014/main" id="{00000000-0008-0000-0A00-0000FC000000}"/>
                </a:ext>
              </a:extLst>
            </xdr:cNvPr>
            <xdr:cNvSpPr/>
          </xdr:nvSpPr>
          <xdr:spPr>
            <a:xfrm>
              <a:off x="2401860" y="4889465"/>
              <a:ext cx="731520" cy="147476"/>
            </a:xfrm>
            <a:prstGeom prst="rect">
              <a:avLst/>
            </a:prstGeom>
          </xdr:spPr>
          <xdr:txBody>
            <a:bodyPr wrap="square" lIns="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8D09E1AD-438B-418A-B84D-BDCB797389C0}" type="TxLink">
                <a:rPr lang="en-US" sz="1000" b="0" i="0" u="none" strike="noStrike">
                  <a:solidFill>
                    <a:srgbClr val="000000"/>
                  </a:solidFill>
                  <a:latin typeface="Arial"/>
                  <a:cs typeface="Arial"/>
                </a:rPr>
                <a:pPr algn="ctr"/>
                <a:t>54% </a:t>
              </a:fld>
              <a:endParaRPr lang="en-US" sz="1000">
                <a:latin typeface="Arial" panose="020B0604020202020204" pitchFamily="34" charset="0"/>
                <a:cs typeface="Arial" panose="020B0604020202020204" pitchFamily="34" charset="0"/>
              </a:endParaRPr>
            </a:p>
          </xdr:txBody>
        </xdr:sp>
        <xdr:sp macro="" textlink="$V$59">
          <xdr:nvSpPr>
            <xdr:cNvPr id="253" name="TextBox 182">
              <a:extLst>
                <a:ext uri="{FF2B5EF4-FFF2-40B4-BE49-F238E27FC236}">
                  <a16:creationId xmlns:a16="http://schemas.microsoft.com/office/drawing/2014/main" id="{00000000-0008-0000-0A00-0000FD000000}"/>
                </a:ext>
              </a:extLst>
            </xdr:cNvPr>
            <xdr:cNvSpPr txBox="1"/>
          </xdr:nvSpPr>
          <xdr:spPr>
            <a:xfrm>
              <a:off x="1670340" y="4678452"/>
              <a:ext cx="731520" cy="18288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D8503A4A-4BA5-4B0B-A623-3BCF22213512}" type="TxLink">
                <a:rPr lang="en-US" sz="1000" b="0" i="0" u="none" strike="noStrike">
                  <a:solidFill>
                    <a:srgbClr val="000000"/>
                  </a:solidFill>
                  <a:latin typeface="Arial"/>
                  <a:cs typeface="Arial"/>
                </a:rPr>
                <a:pPr algn="ctr"/>
                <a:t>$44.6B </a:t>
              </a:fld>
              <a:endParaRPr lang="en-US" sz="1000">
                <a:latin typeface="Arial" panose="020B0604020202020204" pitchFamily="34" charset="0"/>
                <a:cs typeface="Arial" panose="020B0604020202020204" pitchFamily="34" charset="0"/>
              </a:endParaRPr>
            </a:p>
          </xdr:txBody>
        </xdr:sp>
        <xdr:sp macro="" textlink="$V$60">
          <xdr:nvSpPr>
            <xdr:cNvPr id="254" name="Rectangle 253">
              <a:extLst>
                <a:ext uri="{FF2B5EF4-FFF2-40B4-BE49-F238E27FC236}">
                  <a16:creationId xmlns:a16="http://schemas.microsoft.com/office/drawing/2014/main" id="{00000000-0008-0000-0A00-0000FE000000}"/>
                </a:ext>
              </a:extLst>
            </xdr:cNvPr>
            <xdr:cNvSpPr/>
          </xdr:nvSpPr>
          <xdr:spPr>
            <a:xfrm>
              <a:off x="1670340" y="4889465"/>
              <a:ext cx="731520" cy="147476"/>
            </a:xfrm>
            <a:prstGeom prst="rect">
              <a:avLst/>
            </a:prstGeom>
          </xdr:spPr>
          <xdr:txBody>
            <a:bodyPr wrap="square" lIns="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9DBB3876-3D4A-483C-9CC8-98D7AEC70F2C}" type="TxLink">
                <a:rPr lang="en-US" sz="1000" b="0" i="0" u="none" strike="noStrike">
                  <a:solidFill>
                    <a:srgbClr val="000000"/>
                  </a:solidFill>
                  <a:latin typeface="Arial"/>
                  <a:cs typeface="Arial"/>
                </a:rPr>
                <a:pPr algn="ctr"/>
                <a:t>54% </a:t>
              </a:fld>
              <a:endParaRPr lang="en-US" sz="1000">
                <a:latin typeface="Arial" panose="020B0604020202020204" pitchFamily="34" charset="0"/>
                <a:cs typeface="Arial" panose="020B0604020202020204" pitchFamily="34" charset="0"/>
              </a:endParaRPr>
            </a:p>
          </xdr:txBody>
        </xdr:sp>
      </xdr:grpSp>
      <xdr:grpSp>
        <xdr:nvGrpSpPr>
          <xdr:cNvPr id="234" name="Group 233">
            <a:extLst>
              <a:ext uri="{FF2B5EF4-FFF2-40B4-BE49-F238E27FC236}">
                <a16:creationId xmlns:a16="http://schemas.microsoft.com/office/drawing/2014/main" id="{00000000-0008-0000-0A00-0000EA000000}"/>
              </a:ext>
            </a:extLst>
          </xdr:cNvPr>
          <xdr:cNvGrpSpPr/>
        </xdr:nvGrpSpPr>
        <xdr:grpSpPr>
          <a:xfrm>
            <a:off x="10351537" y="3935831"/>
            <a:ext cx="1463040" cy="1090778"/>
            <a:chOff x="1670340" y="3946163"/>
            <a:chExt cx="1463040" cy="1090778"/>
          </a:xfrm>
        </xdr:grpSpPr>
        <xdr:sp macro="" textlink="$T$50">
          <xdr:nvSpPr>
            <xdr:cNvPr id="235" name="TextBox 185">
              <a:extLst>
                <a:ext uri="{FF2B5EF4-FFF2-40B4-BE49-F238E27FC236}">
                  <a16:creationId xmlns:a16="http://schemas.microsoft.com/office/drawing/2014/main" id="{00000000-0008-0000-0A00-0000EB000000}"/>
                </a:ext>
              </a:extLst>
            </xdr:cNvPr>
            <xdr:cNvSpPr txBox="1"/>
          </xdr:nvSpPr>
          <xdr:spPr>
            <a:xfrm>
              <a:off x="1716060" y="3946163"/>
              <a:ext cx="640080" cy="153888"/>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82BAF4A2-6679-495A-8035-E7FF462B8245}" type="TxLink">
                <a:rPr lang="en-US" sz="1000" b="0" i="0" u="sng" strike="noStrike">
                  <a:solidFill>
                    <a:srgbClr val="000000"/>
                  </a:solidFill>
                  <a:latin typeface="Arial"/>
                  <a:cs typeface="Arial"/>
                </a:rPr>
                <a:pPr algn="ctr"/>
                <a:t>'26E</a:t>
              </a:fld>
              <a:endParaRPr lang="en-US" sz="1000" u="sng">
                <a:latin typeface="Arial" panose="020B0604020202020204" pitchFamily="34" charset="0"/>
                <a:cs typeface="Arial" panose="020B0604020202020204" pitchFamily="34" charset="0"/>
              </a:endParaRPr>
            </a:p>
          </xdr:txBody>
        </xdr:sp>
        <xdr:sp macro="" textlink="$U$50">
          <xdr:nvSpPr>
            <xdr:cNvPr id="236" name="TextBox 186">
              <a:extLst>
                <a:ext uri="{FF2B5EF4-FFF2-40B4-BE49-F238E27FC236}">
                  <a16:creationId xmlns:a16="http://schemas.microsoft.com/office/drawing/2014/main" id="{00000000-0008-0000-0A00-0000EC000000}"/>
                </a:ext>
              </a:extLst>
            </xdr:cNvPr>
            <xdr:cNvSpPr txBox="1"/>
          </xdr:nvSpPr>
          <xdr:spPr>
            <a:xfrm>
              <a:off x="2447580" y="3946163"/>
              <a:ext cx="640080" cy="153888"/>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D3F3C79F-618A-46A7-AD12-EE8E1E9D719D}" type="TxLink">
                <a:rPr lang="en-US" sz="1000" b="0" i="0" u="sng" strike="noStrike">
                  <a:solidFill>
                    <a:srgbClr val="000000"/>
                  </a:solidFill>
                  <a:latin typeface="Arial"/>
                  <a:cs typeface="Arial"/>
                </a:rPr>
                <a:pPr algn="ctr"/>
                <a:t>'27E</a:t>
              </a:fld>
              <a:endParaRPr lang="en-US" sz="1000" u="sng">
                <a:latin typeface="Arial" panose="020B0604020202020204" pitchFamily="34" charset="0"/>
                <a:cs typeface="Arial" panose="020B0604020202020204" pitchFamily="34" charset="0"/>
              </a:endParaRPr>
            </a:p>
          </xdr:txBody>
        </xdr:sp>
        <xdr:sp macro="" textlink="$T$61">
          <xdr:nvSpPr>
            <xdr:cNvPr id="237" name="TextBox 187">
              <a:extLst>
                <a:ext uri="{FF2B5EF4-FFF2-40B4-BE49-F238E27FC236}">
                  <a16:creationId xmlns:a16="http://schemas.microsoft.com/office/drawing/2014/main" id="{00000000-0008-0000-0A00-0000ED000000}"/>
                </a:ext>
              </a:extLst>
            </xdr:cNvPr>
            <xdr:cNvSpPr txBox="1"/>
          </xdr:nvSpPr>
          <xdr:spPr>
            <a:xfrm>
              <a:off x="1670340" y="4196469"/>
              <a:ext cx="731520" cy="18288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34FCCD34-34E8-4401-87AD-5F6534123158}" type="TxLink">
                <a:rPr lang="en-US" sz="1000" b="0" i="0" u="none" strike="noStrike">
                  <a:solidFill>
                    <a:srgbClr val="000000"/>
                  </a:solidFill>
                  <a:latin typeface="Arial"/>
                  <a:cs typeface="Arial"/>
                </a:rPr>
                <a:pPr algn="ctr"/>
                <a:t>$1.7B </a:t>
              </a:fld>
              <a:endParaRPr lang="en-US" sz="1000">
                <a:latin typeface="Arial" panose="020B0604020202020204" pitchFamily="34" charset="0"/>
                <a:cs typeface="Arial" panose="020B0604020202020204" pitchFamily="34" charset="0"/>
              </a:endParaRPr>
            </a:p>
          </xdr:txBody>
        </xdr:sp>
        <xdr:sp macro="" textlink="$T$62">
          <xdr:nvSpPr>
            <xdr:cNvPr id="238" name="Rectangle 237">
              <a:extLst>
                <a:ext uri="{FF2B5EF4-FFF2-40B4-BE49-F238E27FC236}">
                  <a16:creationId xmlns:a16="http://schemas.microsoft.com/office/drawing/2014/main" id="{00000000-0008-0000-0A00-0000EE000000}"/>
                </a:ext>
              </a:extLst>
            </xdr:cNvPr>
            <xdr:cNvSpPr/>
          </xdr:nvSpPr>
          <xdr:spPr>
            <a:xfrm>
              <a:off x="1670340" y="4407482"/>
              <a:ext cx="731520" cy="147476"/>
            </a:xfrm>
            <a:prstGeom prst="rect">
              <a:avLst/>
            </a:prstGeom>
          </xdr:spPr>
          <xdr:txBody>
            <a:bodyPr wrap="square" lIns="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4AFD3256-9B03-4BA1-B1C9-F0AC96BA4170}" type="TxLink">
                <a:rPr lang="en-US" sz="1000" b="0" i="0" u="none" strike="noStrike">
                  <a:solidFill>
                    <a:srgbClr val="000000"/>
                  </a:solidFill>
                  <a:latin typeface="Arial"/>
                  <a:cs typeface="Arial"/>
                </a:rPr>
                <a:pPr algn="ctr"/>
                <a:t>+10% </a:t>
              </a:fld>
              <a:endParaRPr lang="en-US" sz="1000">
                <a:latin typeface="Arial" panose="020B0604020202020204" pitchFamily="34" charset="0"/>
                <a:cs typeface="Arial" panose="020B0604020202020204" pitchFamily="34" charset="0"/>
              </a:endParaRPr>
            </a:p>
          </xdr:txBody>
        </xdr:sp>
        <xdr:sp macro="" textlink="$U$61">
          <xdr:nvSpPr>
            <xdr:cNvPr id="239" name="TextBox 189">
              <a:extLst>
                <a:ext uri="{FF2B5EF4-FFF2-40B4-BE49-F238E27FC236}">
                  <a16:creationId xmlns:a16="http://schemas.microsoft.com/office/drawing/2014/main" id="{00000000-0008-0000-0A00-0000EF000000}"/>
                </a:ext>
              </a:extLst>
            </xdr:cNvPr>
            <xdr:cNvSpPr txBox="1"/>
          </xdr:nvSpPr>
          <xdr:spPr>
            <a:xfrm>
              <a:off x="2401860" y="4196469"/>
              <a:ext cx="731520" cy="18288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8F4C0DE7-5134-4DD0-A7B7-6ED7F78B07C3}" type="TxLink">
                <a:rPr lang="en-US" sz="1000" b="0" i="0" u="none" strike="noStrike">
                  <a:solidFill>
                    <a:srgbClr val="000000"/>
                  </a:solidFill>
                  <a:latin typeface="Arial"/>
                  <a:cs typeface="Arial"/>
                </a:rPr>
                <a:pPr algn="ctr"/>
                <a:t>$1.9B </a:t>
              </a:fld>
              <a:endParaRPr lang="en-US" sz="1000">
                <a:latin typeface="Arial" panose="020B0604020202020204" pitchFamily="34" charset="0"/>
                <a:cs typeface="Arial" panose="020B0604020202020204" pitchFamily="34" charset="0"/>
              </a:endParaRPr>
            </a:p>
          </xdr:txBody>
        </xdr:sp>
        <xdr:sp macro="" textlink="$U$62">
          <xdr:nvSpPr>
            <xdr:cNvPr id="240" name="Rectangle 239">
              <a:extLst>
                <a:ext uri="{FF2B5EF4-FFF2-40B4-BE49-F238E27FC236}">
                  <a16:creationId xmlns:a16="http://schemas.microsoft.com/office/drawing/2014/main" id="{00000000-0008-0000-0A00-0000F0000000}"/>
                </a:ext>
              </a:extLst>
            </xdr:cNvPr>
            <xdr:cNvSpPr/>
          </xdr:nvSpPr>
          <xdr:spPr>
            <a:xfrm>
              <a:off x="2401860" y="4407482"/>
              <a:ext cx="731520" cy="147476"/>
            </a:xfrm>
            <a:prstGeom prst="rect">
              <a:avLst/>
            </a:prstGeom>
          </xdr:spPr>
          <xdr:txBody>
            <a:bodyPr wrap="square" lIns="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FD985CBA-0945-495D-89A5-0F7096B74996}" type="TxLink">
                <a:rPr lang="en-US" sz="1000" b="0" i="0" u="none" strike="noStrike">
                  <a:solidFill>
                    <a:srgbClr val="000000"/>
                  </a:solidFill>
                  <a:latin typeface="Arial"/>
                  <a:cs typeface="Arial"/>
                </a:rPr>
                <a:pPr algn="ctr"/>
                <a:t>+12% </a:t>
              </a:fld>
              <a:endParaRPr lang="en-US" sz="1000">
                <a:latin typeface="Arial" panose="020B0604020202020204" pitchFamily="34" charset="0"/>
                <a:cs typeface="Arial" panose="020B0604020202020204" pitchFamily="34" charset="0"/>
              </a:endParaRPr>
            </a:p>
          </xdr:txBody>
        </xdr:sp>
        <xdr:sp macro="" textlink="$W$61">
          <xdr:nvSpPr>
            <xdr:cNvPr id="241" name="TextBox 191">
              <a:extLst>
                <a:ext uri="{FF2B5EF4-FFF2-40B4-BE49-F238E27FC236}">
                  <a16:creationId xmlns:a16="http://schemas.microsoft.com/office/drawing/2014/main" id="{00000000-0008-0000-0A00-0000F1000000}"/>
                </a:ext>
              </a:extLst>
            </xdr:cNvPr>
            <xdr:cNvSpPr txBox="1"/>
          </xdr:nvSpPr>
          <xdr:spPr>
            <a:xfrm>
              <a:off x="2401860" y="4678452"/>
              <a:ext cx="731520" cy="18288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2CCE116C-752E-4C71-9758-400B9854B636}" type="TxLink">
                <a:rPr lang="en-US" sz="1000" b="0" i="0" u="none" strike="noStrike">
                  <a:solidFill>
                    <a:srgbClr val="000000"/>
                  </a:solidFill>
                  <a:latin typeface="Arial"/>
                  <a:cs typeface="Arial"/>
                </a:rPr>
                <a:pPr algn="ctr"/>
                <a:t>($4.4B)</a:t>
              </a:fld>
              <a:endParaRPr lang="en-US" sz="1000">
                <a:latin typeface="Arial" panose="020B0604020202020204" pitchFamily="34" charset="0"/>
                <a:cs typeface="Arial" panose="020B0604020202020204" pitchFamily="34" charset="0"/>
              </a:endParaRPr>
            </a:p>
          </xdr:txBody>
        </xdr:sp>
        <xdr:sp macro="" textlink="$W$62">
          <xdr:nvSpPr>
            <xdr:cNvPr id="242" name="Rectangle 241">
              <a:extLst>
                <a:ext uri="{FF2B5EF4-FFF2-40B4-BE49-F238E27FC236}">
                  <a16:creationId xmlns:a16="http://schemas.microsoft.com/office/drawing/2014/main" id="{00000000-0008-0000-0A00-0000F2000000}"/>
                </a:ext>
              </a:extLst>
            </xdr:cNvPr>
            <xdr:cNvSpPr/>
          </xdr:nvSpPr>
          <xdr:spPr>
            <a:xfrm>
              <a:off x="2401860" y="4889465"/>
              <a:ext cx="731520" cy="147476"/>
            </a:xfrm>
            <a:prstGeom prst="rect">
              <a:avLst/>
            </a:prstGeom>
          </xdr:spPr>
          <xdr:txBody>
            <a:bodyPr wrap="square" lIns="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357E78FE-427A-45AB-8C50-F28B38EDCC3D}" type="TxLink">
                <a:rPr lang="en-US" sz="1000" b="0" i="0" u="none" strike="noStrike">
                  <a:solidFill>
                    <a:srgbClr val="000000"/>
                  </a:solidFill>
                  <a:latin typeface="Arial"/>
                  <a:cs typeface="Arial"/>
                </a:rPr>
                <a:pPr algn="ctr"/>
                <a:t>(232%)</a:t>
              </a:fld>
              <a:endParaRPr lang="en-US" sz="1000">
                <a:latin typeface="Arial" panose="020B0604020202020204" pitchFamily="34" charset="0"/>
                <a:cs typeface="Arial" panose="020B0604020202020204" pitchFamily="34" charset="0"/>
              </a:endParaRPr>
            </a:p>
          </xdr:txBody>
        </xdr:sp>
        <xdr:sp macro="" textlink="$V$61">
          <xdr:nvSpPr>
            <xdr:cNvPr id="243" name="TextBox 193">
              <a:extLst>
                <a:ext uri="{FF2B5EF4-FFF2-40B4-BE49-F238E27FC236}">
                  <a16:creationId xmlns:a16="http://schemas.microsoft.com/office/drawing/2014/main" id="{00000000-0008-0000-0A00-0000F3000000}"/>
                </a:ext>
              </a:extLst>
            </xdr:cNvPr>
            <xdr:cNvSpPr txBox="1"/>
          </xdr:nvSpPr>
          <xdr:spPr>
            <a:xfrm>
              <a:off x="1670340" y="4678452"/>
              <a:ext cx="731520" cy="182880"/>
            </a:xfrm>
            <a:prstGeom prst="rect">
              <a:avLst/>
            </a:prstGeom>
            <a:noFill/>
          </xdr:spPr>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75174960-6D03-43BB-804E-24E0F6C43BFE}" type="TxLink">
                <a:rPr lang="en-US" sz="1000" b="0" i="0" u="none" strike="noStrike">
                  <a:solidFill>
                    <a:srgbClr val="000000"/>
                  </a:solidFill>
                  <a:latin typeface="Arial"/>
                  <a:cs typeface="Arial"/>
                </a:rPr>
                <a:pPr algn="ctr"/>
                <a:t>($4.4B)</a:t>
              </a:fld>
              <a:endParaRPr lang="en-US" sz="1000">
                <a:latin typeface="Arial" panose="020B0604020202020204" pitchFamily="34" charset="0"/>
                <a:cs typeface="Arial" panose="020B0604020202020204" pitchFamily="34" charset="0"/>
              </a:endParaRPr>
            </a:p>
          </xdr:txBody>
        </xdr:sp>
        <xdr:sp macro="" textlink="$V$62">
          <xdr:nvSpPr>
            <xdr:cNvPr id="244" name="Rectangle 243">
              <a:extLst>
                <a:ext uri="{FF2B5EF4-FFF2-40B4-BE49-F238E27FC236}">
                  <a16:creationId xmlns:a16="http://schemas.microsoft.com/office/drawing/2014/main" id="{00000000-0008-0000-0A00-0000F4000000}"/>
                </a:ext>
              </a:extLst>
            </xdr:cNvPr>
            <xdr:cNvSpPr/>
          </xdr:nvSpPr>
          <xdr:spPr>
            <a:xfrm>
              <a:off x="1670340" y="4889465"/>
              <a:ext cx="731520" cy="147476"/>
            </a:xfrm>
            <a:prstGeom prst="rect">
              <a:avLst/>
            </a:prstGeom>
          </xdr:spPr>
          <xdr:txBody>
            <a:bodyPr wrap="square" lIns="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B7B9C067-2D78-4A93-9F7A-327EEACC1D81}" type="TxLink">
                <a:rPr lang="en-US" sz="1000" b="0" i="0" u="none" strike="noStrike">
                  <a:solidFill>
                    <a:srgbClr val="000000"/>
                  </a:solidFill>
                  <a:latin typeface="Arial"/>
                  <a:cs typeface="Arial"/>
                </a:rPr>
                <a:pPr algn="ctr"/>
                <a:t>(259%)</a:t>
              </a:fld>
              <a:endParaRPr lang="en-US" sz="1000">
                <a:latin typeface="Arial" panose="020B0604020202020204" pitchFamily="34" charset="0"/>
                <a:cs typeface="Arial" panose="020B0604020202020204" pitchFamily="34" charset="0"/>
              </a:endParaRPr>
            </a:p>
          </xdr:txBody>
        </xdr:sp>
      </xdr:grp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ffile01\users\Documents%20and%20Settings\BSze\Desktop\Temp\Cache\Temporary%20Internet%20Files\OLKC35\WINNT\Temporary%20Internet%20Files\OLK5\Collina%20Mode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ax/Tax%20Provision/063004/Q4%20FY2004/ETR%206-30-04%20Q4%20v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ccounting/Budget%20restricted/Budget%202002/LaborSummary.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GDS\STAFFING\STAFFPLN\COMP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shan/Local%20Settings/Temporary%20Internet%20Files/Content.IE5/I2WJA9WQ/FV%20Tool%20List%20-%20Owned%20Only.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Q:\my%20documents\Industry%20Books\Txtma.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TEMP\~941348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bg.ads.db.com/NYC-CORPFIN-G/Everyone-Q-Z/Taras/Templates/Football%20Field%20v3.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sters/Industry%20dynamics%20(All)/3%20-%20Mobile%20media/backups/mobile%20backup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echnology/SFPG/John%20Loof/pandora/roadshow/1.10.09/Management%20presentation%20v11.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Startup" Target="finance/1998/98_MTD/1998/98_MTD/1998/98_MTD/1998/98_MTD/0598MTD%20%25%20ME%20Factor.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WMO\FY03\Plan\WW%20Model\FY03_Plan_WW_Model_8_20_0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omc/LINKY.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joanncheng/Library/Application%20Support/Microsoft/Office/Office%202011%20AutoRecovery/FY03_Plan_WW_Model_8_20_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k/dash/TS/FDNA_TeamSpace/Ahmad/Project%20Key%2020151109%201553.xlsb"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h2/FINANCE/Plans/2002/2002%20Board%20Approved%20Operating%20Plan/Summar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ealthCare/Projects/Danaher/2010/August/Precedent/TopGun_model_12.14.08_v2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ublic/Bloomberg/Res%20REIT%20Comps%20-%20DW%20IMH.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srsfo2/cfddata/common/Mergers%20&amp;%20Acquisitions/Clients/Project%20Alpine/Analysis/Model/Merger%20Model/Copy%20of%20Merger%20model%20v3.xl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98%20Credit%20Info.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hdata1/Finance/Accounting/2003/01-2003/FS_01-2003.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sf-bdc/data/Clients/Hewlett%20Packard/Oct%2099%20valuation/lumileds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ocuments%20and%20Settings/szupcic001/Local%20Settings/Temp/notesEA312D/DOCUME~1/ldawes/LOCALS~1/Temp/AMT%20Calculation.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Paperboy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aottfsr02/fas/My%20Documents/coxdata/forecast%20pre-launch/Quarterly%20Treasury%20Cashflow%20December%206%20200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sers/dellner/Downloads/JournalEntry%20(5).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sers/dellner/Desktop/CY15/Q3/7.%20July%202015/Reversing%20entries%20for%20Oracle/July%202015%20Deferred%20Rent%20Reversal.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Users/sarar/Box%20Documents/Laura's%20files/Oracle%20FA%20recons/WEB%20ADI%20Template%20for%20FA%20Asset%20Additions-%20Asset%20conversion%204.30.13.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Users/Connor%20Group/Dropbox/FO_Client_A10%20Networks/Working%20Files/Inter%20Co%20Close/2013%20Interco%20Packages/2012-09%20EMEA%20JE%20Upload.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Applications/Microsoft%20Office%202011/Office/Startup/Excel/health/RubinJ/Company/WLA/WLAwork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USHDCNAS21/SJO-Share1/Users/stelkala/Documents/PROJECTS/PROJECTS/EVENT%20BRITE/2011%20Provision.xlsx"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Worksheet%20in%205632%20Pruebas%20Globales%20%20Amortizaciones%20+%20Valor%20Residual%2012-02"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Worksheet%20in%205641%20Inventario%20de%20bienes%20de%20uso"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Worksheet%20in%205640%20Prueba%20global%20de%20bienes%20de%20uso"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Worksheet%20in%205620%20Prueba%20global%20de%20bienes%20de%20uso"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Div. Discount"/>
      <sheetName val="Projections"/>
      <sheetName val="LBO"/>
      <sheetName val="DCF-Enterprise"/>
      <sheetName val="WACC"/>
      <sheetName val="DCF-Equity"/>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 Sheet - Sch 2"/>
      <sheetName val="CFWD Sch - Return Basis "/>
      <sheetName val="CFWD Sch - Book Basis"/>
      <sheetName val="Def Tax Sch - Sch 6 &amp; 8"/>
      <sheetName val="Stock - Sch 5A-5C"/>
      <sheetName val="Alt Min w stock - Sch 11-13"/>
      <sheetName val="Alt Min wo stock - Sch 11-13"/>
      <sheetName val="Rate Calc w stock-Sch 16 &amp; 18"/>
      <sheetName val="Rate Calc wo stock-Sch 16&amp;18"/>
      <sheetName val="R&amp;D Credit w stock- Sch 10A-10C"/>
      <sheetName val="R&amp;D Credit wo stock-Sch 10A-10C"/>
      <sheetName val="Sch 4a &amp; 4b - with stock"/>
      <sheetName val="Sch 4a &amp; 4b - without stock"/>
      <sheetName val="Footnote"/>
      <sheetName val="Misc"/>
      <sheetName val="Timing"/>
      <sheetName val="bal sheet classification"/>
      <sheetName val="chg to def tax"/>
      <sheetName val="FTC Sch"/>
      <sheetName val="Acct Bals"/>
      <sheetName val="DeptSummary"/>
      <sheetName val="Headcou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48-HR"/>
      <sheetName val="49-Purch"/>
      <sheetName val="50-Mis"/>
      <sheetName val="51-Fac"/>
      <sheetName val="53-Mat"/>
      <sheetName val="55-Test"/>
      <sheetName val="68-Sales"/>
      <sheetName val="69-Mrkt"/>
      <sheetName val="70-Mktdev"/>
      <sheetName val="71-S&amp;M"/>
      <sheetName val="90-Acct"/>
      <sheetName val="91-Admin"/>
      <sheetName val="DeptSummary"/>
      <sheetName val="4%VS3%"/>
      <sheetName val="Newhires"/>
      <sheetName val="Headcount"/>
      <sheetName val="CompanySummary"/>
      <sheetName val="400-S&amp;M Adm"/>
      <sheetName val="405-Sales"/>
      <sheetName val="410-Clin Spec"/>
      <sheetName val="415-Mkt VAD"/>
      <sheetName val="425-MktComm.Wo"/>
      <sheetName val="435-Cust Svc"/>
      <sheetName val="440-Tech Svc"/>
      <sheetName val="450-MktRes"/>
      <sheetName val="600-CorpAdm"/>
      <sheetName val="610-InvesRel"/>
      <sheetName val="620-Fin&amp;Acct"/>
      <sheetName val="630-HR"/>
      <sheetName val="640-HR.Wo"/>
      <sheetName val="650-MIS"/>
      <sheetName val="660-MIS.Wo"/>
      <sheetName val="920-Fac"/>
      <sheetName val="930-Fac.Wo"/>
      <sheetName val="All Dept Summary"/>
      <sheetName val="NewHire-Open"/>
      <sheetName val="HeadCnt by Dept"/>
      <sheetName val="BS vs Dec 2005"/>
      <sheetName val="Sheet1 (2)"/>
    </sheetNames>
    <sheetDataSet>
      <sheetData sheetId="0" refreshError="1"/>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Transaction"/>
      <sheetName val="Sheet1 (2)"/>
      <sheetName val="WACC"/>
      <sheetName val="Multiples"/>
      <sheetName val="Sheet1"/>
      <sheetName val="Abl to Pay"/>
      <sheetName val="Data"/>
      <sheetName val="Transaction matrix"/>
      <sheetName val="__FDSCACHE__"/>
      <sheetName val="Margins"/>
      <sheetName val=""/>
      <sheetName val="FINAL OUTPUT"/>
      <sheetName val="Assumptions"/>
      <sheetName val="Betas"/>
      <sheetName val="Main"/>
      <sheetName val="Graph_Detail"/>
      <sheetName val="Sum"/>
      <sheetName val="Summary"/>
      <sheetName val="Graphs"/>
      <sheetName val="Footnotes"/>
      <sheetName val="Implied Value"/>
      <sheetName val="Ranking"/>
      <sheetName val="Descriptions"/>
      <sheetName val="Help"/>
      <sheetName val="Stock - Sch 5A-5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4">
          <cell r="B4">
            <v>1</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s Tools-Leased"/>
      <sheetName val="Process Tools-Owned"/>
      <sheetName val="Met  &amp; Def Tools-Leased"/>
      <sheetName val="Met  &amp; Def Tools-Owned"/>
      <sheetName val="FA Tools-Leased"/>
      <sheetName val="FA Tools-Owned"/>
      <sheetName val="Test-Leased"/>
      <sheetName val="Test-Owned"/>
      <sheetName val="Others-Owned"/>
      <sheetName val="AUC as of DEC"/>
      <sheetName val="Capitalized as of DEC"/>
      <sheetName val="Internal Order"/>
      <sheetName val="Total Leased Tool List"/>
      <sheetName val="Total Owned Tool List"/>
      <sheetName val="Comp. Transac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Transaction"/>
      <sheetName val="#REF"/>
      <sheetName val="Txtma"/>
      <sheetName val="T2 Current"/>
      <sheetName val="G-3"/>
      <sheetName val="G-1"/>
      <sheetName val="0696FS"/>
      <sheetName val="Subsidiary"/>
      <sheetName val="Summary"/>
      <sheetName val="Process Tools-Own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ditional Tools"/>
      <sheetName val="175 &amp; 130 Tools"/>
      <sheetName val="175 Tools"/>
      <sheetName val="130 Tools"/>
      <sheetName val="FV-Process Tools"/>
      <sheetName val="D -Process Tools"/>
      <sheetName val="FV-Metrology  &amp; Defects Tools"/>
      <sheetName val="D-Metrology &amp; Defects Tools"/>
      <sheetName val="FV-FA Tools"/>
      <sheetName val="D-FA Tools"/>
      <sheetName val="FV-Material Handling"/>
      <sheetName val="D-Material Handling"/>
      <sheetName val="FV-Test"/>
      <sheetName val="D-Test"/>
      <sheetName val="FV-Others"/>
      <sheetName val="D-Others"/>
      <sheetName val="$"/>
      <sheetName val="desc"/>
      <sheetName val="175 Tools Backup"/>
      <sheetName val="Comp. Transac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tball Field"/>
      <sheetName val="FV-Process Tools"/>
    </sheetNames>
    <sheetDataSet>
      <sheetData sheetId="0" refreshError="1"/>
      <sheetData sheetId="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bile data apps"/>
      <sheetName val="Converged devices"/>
      <sheetName val="Mobile search &amp; ads"/>
      <sheetName val="Mobile messaging"/>
      <sheetName val="Mobile Music"/>
      <sheetName val="Mobile gaming"/>
      <sheetName val="Mobile TV &amp; Video"/>
      <sheetName val="Mobile LBS"/>
      <sheetName val="Mobile SNS"/>
      <sheetName val="Mobile enterprise"/>
      <sheetName val="Voice 2 text"/>
      <sheetName val="Mobile payments"/>
      <sheetName val="iPhone &amp; Android"/>
      <sheetName val="Device mfr share"/>
      <sheetName val="Operator share"/>
      <sheetName val="16"/>
      <sheetName val="17"/>
      <sheetName val="18"/>
      <sheetName val="19"/>
      <sheetName val="20"/>
      <sheetName val="Shareholdings Input"/>
      <sheetName val="Checks"/>
      <sheetName val="Inputs"/>
      <sheetName val="Balance Sheet Inputs"/>
      <sheetName val="Income Statement Summary"/>
      <sheetName val="Options Input"/>
      <sheetName val="Interloper"/>
      <sheetName val="Stock Prices Input"/>
    </sheetNames>
    <sheetDataSet>
      <sheetData sheetId="0">
        <row r="1">
          <cell r="A1" t="str">
            <v>Frost &amp; Sullivan</v>
          </cell>
        </row>
        <row r="2">
          <cell r="A2" t="str">
            <v>World Smart &amp; Feature Phone Markets</v>
          </cell>
        </row>
        <row r="3">
          <cell r="A3" t="str">
            <v>8/1/2008, Pg. 54</v>
          </cell>
        </row>
        <row r="5">
          <cell r="B5">
            <v>2007</v>
          </cell>
          <cell r="C5">
            <v>2008</v>
          </cell>
          <cell r="D5">
            <v>2009</v>
          </cell>
          <cell r="E5">
            <v>2010</v>
          </cell>
          <cell r="F5">
            <v>2011</v>
          </cell>
          <cell r="G5">
            <v>2012</v>
          </cell>
        </row>
        <row r="6">
          <cell r="A6" t="str">
            <v>Mobile subscribers</v>
          </cell>
          <cell r="B6">
            <v>3</v>
          </cell>
          <cell r="C6">
            <v>3.5</v>
          </cell>
          <cell r="D6">
            <v>4</v>
          </cell>
          <cell r="E6">
            <v>4.4000000000000004</v>
          </cell>
          <cell r="F6">
            <v>4.7</v>
          </cell>
          <cell r="G6">
            <v>5</v>
          </cell>
          <cell r="H6">
            <v>0.10756634324829006</v>
          </cell>
        </row>
        <row r="7">
          <cell r="A7" t="str">
            <v>Mobile penetration</v>
          </cell>
          <cell r="B7">
            <v>0.45112781954887216</v>
          </cell>
          <cell r="C7">
            <v>0.52083333333333337</v>
          </cell>
          <cell r="D7">
            <v>0.5891016200294551</v>
          </cell>
          <cell r="E7">
            <v>0.64046579330422126</v>
          </cell>
          <cell r="F7">
            <v>0.67625899280575541</v>
          </cell>
          <cell r="G7">
            <v>0.71123755334281646</v>
          </cell>
        </row>
        <row r="9">
          <cell r="A9" t="str">
            <v>World population</v>
          </cell>
          <cell r="B9">
            <v>6.65</v>
          </cell>
          <cell r="C9">
            <v>6.72</v>
          </cell>
          <cell r="D9">
            <v>6.79</v>
          </cell>
          <cell r="E9">
            <v>6.87</v>
          </cell>
          <cell r="F9">
            <v>6.95</v>
          </cell>
          <cell r="G9">
            <v>7.03</v>
          </cell>
        </row>
        <row r="25">
          <cell r="A25" t="str">
            <v>IDC, U.S. Consumer Mobile Subscriber, Revenue, and ARPU 2008–2012 Forecast: Mobile Services in Transition</v>
          </cell>
        </row>
        <row r="26">
          <cell r="A26" t="str">
            <v>March 2008</v>
          </cell>
        </row>
        <row r="27">
          <cell r="A27" t="str">
            <v>Forecast tab, Table 2</v>
          </cell>
        </row>
        <row r="29">
          <cell r="B29">
            <v>2007</v>
          </cell>
          <cell r="C29">
            <v>2008</v>
          </cell>
          <cell r="D29">
            <v>2009</v>
          </cell>
          <cell r="E29">
            <v>2010</v>
          </cell>
          <cell r="F29">
            <v>2011</v>
          </cell>
          <cell r="G29">
            <v>2012</v>
          </cell>
        </row>
        <row r="30">
          <cell r="A30" t="str">
            <v>Mobile subscribers</v>
          </cell>
          <cell r="B30">
            <v>256.2</v>
          </cell>
          <cell r="C30">
            <v>274</v>
          </cell>
          <cell r="D30">
            <v>288.89999999999998</v>
          </cell>
          <cell r="E30">
            <v>302.10000000000002</v>
          </cell>
          <cell r="F30">
            <v>312.2</v>
          </cell>
          <cell r="G30">
            <v>321.7</v>
          </cell>
          <cell r="H30">
            <v>4.6584713472560102E-2</v>
          </cell>
        </row>
        <row r="31">
          <cell r="A31" t="str">
            <v>Mobile penetration</v>
          </cell>
          <cell r="B31">
            <v>0.84304047384007896</v>
          </cell>
          <cell r="C31">
            <v>0.89279895731508641</v>
          </cell>
          <cell r="D31">
            <v>0.93223620522749273</v>
          </cell>
          <cell r="E31">
            <v>0.96517571884984033</v>
          </cell>
          <cell r="F31">
            <v>0.98766213223663391</v>
          </cell>
          <cell r="G31">
            <v>1.0078320802005012</v>
          </cell>
        </row>
        <row r="33">
          <cell r="A33" t="str">
            <v>World population</v>
          </cell>
          <cell r="B33">
            <v>303.89999999999998</v>
          </cell>
          <cell r="C33">
            <v>306.89999999999998</v>
          </cell>
          <cell r="D33">
            <v>309.89999999999998</v>
          </cell>
          <cell r="E33">
            <v>313</v>
          </cell>
          <cell r="F33">
            <v>316.10000000000002</v>
          </cell>
          <cell r="G33">
            <v>319.2</v>
          </cell>
        </row>
        <row r="48">
          <cell r="A48" t="str">
            <v>Gartner</v>
          </cell>
        </row>
        <row r="49">
          <cell r="A49" t="str">
            <v>Forecast: Mobile Services, Worldwide, 2003-2012</v>
          </cell>
        </row>
        <row r="50">
          <cell r="A50" t="str">
            <v>July 2008, Table 1-13</v>
          </cell>
        </row>
        <row r="52">
          <cell r="A52" t="str">
            <v>ARPU</v>
          </cell>
        </row>
        <row r="53">
          <cell r="B53">
            <v>2007</v>
          </cell>
          <cell r="C53">
            <v>2008</v>
          </cell>
          <cell r="D53">
            <v>2009</v>
          </cell>
          <cell r="E53">
            <v>2010</v>
          </cell>
          <cell r="F53">
            <v>2011</v>
          </cell>
          <cell r="G53">
            <v>2012</v>
          </cell>
          <cell r="H53" t="str">
            <v>CAGR</v>
          </cell>
        </row>
        <row r="54">
          <cell r="A54" t="str">
            <v>Voice</v>
          </cell>
          <cell r="B54">
            <v>17.615898069617696</v>
          </cell>
          <cell r="C54">
            <v>15.921146111966745</v>
          </cell>
          <cell r="D54">
            <v>14.446581496454426</v>
          </cell>
          <cell r="E54">
            <v>13.400321545174164</v>
          </cell>
          <cell r="F54">
            <v>12.602384405934075</v>
          </cell>
          <cell r="G54">
            <v>11.914341240947955</v>
          </cell>
          <cell r="H54">
            <v>-7.523145516740648E-2</v>
          </cell>
        </row>
        <row r="55">
          <cell r="A55" t="str">
            <v>Data</v>
          </cell>
          <cell r="B55">
            <v>3.8507685970489707</v>
          </cell>
          <cell r="C55">
            <v>4.1955205546999217</v>
          </cell>
          <cell r="D55">
            <v>4.4700851702122426</v>
          </cell>
          <cell r="E55">
            <v>4.7496784548258351</v>
          </cell>
          <cell r="F55">
            <v>5.0809489273992599</v>
          </cell>
          <cell r="G55">
            <v>5.4273254257187107</v>
          </cell>
          <cell r="H55">
            <v>7.1044926432900279E-2</v>
          </cell>
        </row>
        <row r="56">
          <cell r="B56">
            <v>21.466666666666669</v>
          </cell>
          <cell r="C56">
            <v>20.116666666666667</v>
          </cell>
          <cell r="D56">
            <v>18.916666666666668</v>
          </cell>
          <cell r="E56">
            <v>18.149999999999999</v>
          </cell>
          <cell r="F56">
            <v>17.683333333333334</v>
          </cell>
          <cell r="G56">
            <v>17.341666666666665</v>
          </cell>
          <cell r="H56">
            <v>-4.1779971142622441E-2</v>
          </cell>
        </row>
        <row r="57">
          <cell r="A57" t="str">
            <v>Voice Revenue ($M)</v>
          </cell>
          <cell r="B57">
            <v>632280.36499999999</v>
          </cell>
          <cell r="C57">
            <v>686849.25300000003</v>
          </cell>
          <cell r="D57">
            <v>719652.37300000002</v>
          </cell>
          <cell r="E57">
            <v>745481.98</v>
          </cell>
          <cell r="F57">
            <v>763995.33</v>
          </cell>
          <cell r="G57">
            <v>773214.42299999995</v>
          </cell>
        </row>
        <row r="58">
          <cell r="A58" t="str">
            <v>Data Revenue ($M)</v>
          </cell>
          <cell r="B58">
            <v>138214.09299999999</v>
          </cell>
          <cell r="C58">
            <v>180997.658</v>
          </cell>
          <cell r="D58">
            <v>222676.02900000001</v>
          </cell>
          <cell r="E58">
            <v>264232.44300000003</v>
          </cell>
          <cell r="F58">
            <v>308022.76199999999</v>
          </cell>
          <cell r="G58">
            <v>352221.429</v>
          </cell>
        </row>
        <row r="59">
          <cell r="A59" t="str">
            <v>Voice %</v>
          </cell>
          <cell r="B59">
            <v>0.8206163697026877</v>
          </cell>
          <cell r="C59">
            <v>0.79144056894615133</v>
          </cell>
          <cell r="D59">
            <v>0.76369593813855996</v>
          </cell>
          <cell r="E59">
            <v>0.73830972700684105</v>
          </cell>
          <cell r="F59">
            <v>0.71267018318194575</v>
          </cell>
          <cell r="G59">
            <v>0.68703553527811378</v>
          </cell>
        </row>
        <row r="60">
          <cell r="A60" t="str">
            <v>Data %</v>
          </cell>
          <cell r="B60">
            <v>0.17938363029731227</v>
          </cell>
          <cell r="C60">
            <v>0.20855943105384861</v>
          </cell>
          <cell r="D60">
            <v>0.23630406186144012</v>
          </cell>
          <cell r="E60">
            <v>0.261690272993159</v>
          </cell>
          <cell r="F60">
            <v>0.28732981681805425</v>
          </cell>
          <cell r="G60">
            <v>0.31296446472188627</v>
          </cell>
        </row>
        <row r="77">
          <cell r="J77" t="str">
            <v>2007-12E CAGRs</v>
          </cell>
        </row>
        <row r="78">
          <cell r="J78" t="str">
            <v>Voice</v>
          </cell>
          <cell r="K78">
            <v>-7.523145516740648E-2</v>
          </cell>
        </row>
        <row r="79">
          <cell r="J79" t="str">
            <v>Data</v>
          </cell>
          <cell r="K79">
            <v>7.1044926432900279E-2</v>
          </cell>
        </row>
        <row r="80">
          <cell r="J80" t="str">
            <v>Total</v>
          </cell>
          <cell r="K80">
            <v>-4.1779971142622441E-2</v>
          </cell>
        </row>
        <row r="84">
          <cell r="A84" t="str">
            <v>Informa</v>
          </cell>
        </row>
        <row r="85">
          <cell r="A85" t="str">
            <v>MAPOS, 4th Edition</v>
          </cell>
        </row>
        <row r="86">
          <cell r="A86" t="str">
            <v>2008, Table 5.2 (Total)</v>
          </cell>
        </row>
        <row r="88">
          <cell r="A88" t="str">
            <v>Handset sales</v>
          </cell>
        </row>
        <row r="89">
          <cell r="B89">
            <v>2007</v>
          </cell>
          <cell r="C89">
            <v>2008</v>
          </cell>
          <cell r="D89">
            <v>2009</v>
          </cell>
          <cell r="E89">
            <v>2010</v>
          </cell>
          <cell r="F89">
            <v>2011</v>
          </cell>
          <cell r="G89">
            <v>2012</v>
          </cell>
          <cell r="H89" t="str">
            <v>CAGR</v>
          </cell>
        </row>
        <row r="90">
          <cell r="A90" t="str">
            <v>BREW</v>
          </cell>
          <cell r="B90">
            <v>99.8</v>
          </cell>
          <cell r="C90">
            <v>126.1</v>
          </cell>
          <cell r="D90">
            <v>150.1</v>
          </cell>
          <cell r="E90">
            <v>168.9</v>
          </cell>
          <cell r="F90">
            <v>186.4</v>
          </cell>
          <cell r="G90">
            <v>208</v>
          </cell>
          <cell r="H90">
            <v>0.15820799562334176</v>
          </cell>
        </row>
        <row r="91">
          <cell r="A91" t="str">
            <v>Java</v>
          </cell>
          <cell r="B91">
            <v>556.9</v>
          </cell>
          <cell r="C91">
            <v>739.8</v>
          </cell>
          <cell r="D91">
            <v>906.8</v>
          </cell>
          <cell r="E91">
            <v>1040.9000000000001</v>
          </cell>
          <cell r="F91">
            <v>1126.3</v>
          </cell>
          <cell r="G91">
            <v>1174.7</v>
          </cell>
          <cell r="H91">
            <v>0.16099393278204754</v>
          </cell>
        </row>
        <row r="92">
          <cell r="A92" t="str">
            <v>Other</v>
          </cell>
          <cell r="B92">
            <v>448.80000000000007</v>
          </cell>
          <cell r="C92">
            <v>339.6</v>
          </cell>
          <cell r="D92">
            <v>235.00000000000023</v>
          </cell>
          <cell r="E92">
            <v>146.29999999999973</v>
          </cell>
          <cell r="F92">
            <v>98.399999999999864</v>
          </cell>
          <cell r="G92">
            <v>69.599999999999909</v>
          </cell>
          <cell r="H92">
            <v>-0.31117122925979768</v>
          </cell>
        </row>
        <row r="93">
          <cell r="B93">
            <v>1105.5</v>
          </cell>
          <cell r="C93">
            <v>1205.5</v>
          </cell>
          <cell r="D93">
            <v>1291.9000000000001</v>
          </cell>
          <cell r="E93">
            <v>1356.1</v>
          </cell>
          <cell r="F93">
            <v>1411.1</v>
          </cell>
          <cell r="G93">
            <v>1452.3</v>
          </cell>
          <cell r="H93">
            <v>5.6086565746741535E-2</v>
          </cell>
        </row>
        <row r="95">
          <cell r="J95" t="str">
            <v>2007-12E CAGRs</v>
          </cell>
        </row>
        <row r="96">
          <cell r="J96" t="str">
            <v>BREW</v>
          </cell>
          <cell r="K96">
            <v>0.15820799562334176</v>
          </cell>
        </row>
        <row r="97">
          <cell r="J97" t="str">
            <v>Java</v>
          </cell>
          <cell r="K97">
            <v>0.16099393278204754</v>
          </cell>
        </row>
        <row r="98">
          <cell r="J98" t="str">
            <v>Other</v>
          </cell>
          <cell r="K98">
            <v>-0.31117122925979768</v>
          </cell>
        </row>
        <row r="99">
          <cell r="J99" t="str">
            <v>Total</v>
          </cell>
          <cell r="K99">
            <v>5.6086565746741535E-2</v>
          </cell>
        </row>
      </sheetData>
      <sheetData sheetId="1">
        <row r="1">
          <cell r="A1" t="str">
            <v>Gartner</v>
          </cell>
        </row>
        <row r="2">
          <cell r="A2" t="str">
            <v>Forecast: Mobile Devices Sales to End Users by Device Category, 2003-2012</v>
          </cell>
        </row>
        <row r="3">
          <cell r="A3" t="str">
            <v>Table 2-1</v>
          </cell>
        </row>
        <row r="4">
          <cell r="A4" t="str">
            <v>mm of units</v>
          </cell>
        </row>
        <row r="5">
          <cell r="B5">
            <v>2007</v>
          </cell>
          <cell r="C5">
            <v>2008</v>
          </cell>
          <cell r="D5">
            <v>2009</v>
          </cell>
          <cell r="E5">
            <v>2010</v>
          </cell>
          <cell r="F5">
            <v>2011</v>
          </cell>
          <cell r="G5">
            <v>2012</v>
          </cell>
        </row>
        <row r="6">
          <cell r="A6" t="str">
            <v>Basic</v>
          </cell>
          <cell r="B6">
            <v>0.31645020000000001</v>
          </cell>
          <cell r="C6">
            <v>0.37279980000000001</v>
          </cell>
          <cell r="D6">
            <v>0.40461449999999999</v>
          </cell>
          <cell r="E6">
            <v>0.4247706</v>
          </cell>
          <cell r="F6">
            <v>0.42113290000000003</v>
          </cell>
          <cell r="G6">
            <v>0.41202699999999998</v>
          </cell>
          <cell r="H6">
            <v>5.4202545001164504E-2</v>
          </cell>
        </row>
        <row r="7">
          <cell r="A7" t="str">
            <v>Enhanced</v>
          </cell>
          <cell r="B7">
            <v>0.71407030000000005</v>
          </cell>
          <cell r="C7">
            <v>0.71630190000000005</v>
          </cell>
          <cell r="D7">
            <v>0.71434310000000001</v>
          </cell>
          <cell r="E7">
            <v>0.70460690000000004</v>
          </cell>
          <cell r="F7">
            <v>0.68117950000000005</v>
          </cell>
          <cell r="G7">
            <v>0.65348190000000006</v>
          </cell>
          <cell r="H7">
            <v>-1.7577006318137745E-2</v>
          </cell>
        </row>
        <row r="8">
          <cell r="A8" t="str">
            <v>Smartphones</v>
          </cell>
          <cell r="B8">
            <v>0.12244139999999981</v>
          </cell>
          <cell r="C8">
            <v>0.18657410000000008</v>
          </cell>
          <cell r="D8">
            <v>0.28825710000000004</v>
          </cell>
          <cell r="E8">
            <v>0.41027790000000008</v>
          </cell>
          <cell r="F8">
            <v>0.56280189999999974</v>
          </cell>
          <cell r="G8">
            <v>0.73365340000000012</v>
          </cell>
          <cell r="H8">
            <v>0.43058125307141393</v>
          </cell>
        </row>
        <row r="9">
          <cell r="B9">
            <v>1.1529619</v>
          </cell>
          <cell r="C9">
            <v>1.2756758000000001</v>
          </cell>
          <cell r="D9">
            <v>1.4072146999999999</v>
          </cell>
          <cell r="E9">
            <v>1.5396554</v>
          </cell>
          <cell r="F9">
            <v>1.6651142999999999</v>
          </cell>
          <cell r="G9">
            <v>1.7991623000000001</v>
          </cell>
          <cell r="H9">
            <v>9.3077808019314645E-2</v>
          </cell>
        </row>
        <row r="11">
          <cell r="J11" t="str">
            <v>2007-12E CAGRs</v>
          </cell>
        </row>
        <row r="12">
          <cell r="J12" t="str">
            <v>Basic</v>
          </cell>
          <cell r="K12">
            <v>5.4202545001164504E-2</v>
          </cell>
        </row>
        <row r="13">
          <cell r="J13" t="str">
            <v>Enhanced</v>
          </cell>
          <cell r="K13">
            <v>-1.7577006318137745E-2</v>
          </cell>
        </row>
        <row r="14">
          <cell r="J14" t="str">
            <v>Smartphones</v>
          </cell>
          <cell r="K14">
            <v>0.43058125307141393</v>
          </cell>
        </row>
        <row r="15">
          <cell r="J15" t="str">
            <v>Total</v>
          </cell>
          <cell r="K15">
            <v>9.3077808019314645E-2</v>
          </cell>
        </row>
        <row r="32">
          <cell r="A32" t="str">
            <v>Informa</v>
          </cell>
        </row>
        <row r="33">
          <cell r="A33" t="str">
            <v>MAPOS, 4th Edition</v>
          </cell>
        </row>
        <row r="34">
          <cell r="A34" t="str">
            <v>2008, Table 5.2 (Total)</v>
          </cell>
        </row>
        <row r="35">
          <cell r="A35" t="str">
            <v>bn of units</v>
          </cell>
        </row>
        <row r="36">
          <cell r="B36">
            <v>2007</v>
          </cell>
          <cell r="C36">
            <v>2008</v>
          </cell>
          <cell r="D36">
            <v>2009</v>
          </cell>
          <cell r="E36">
            <v>2010</v>
          </cell>
          <cell r="F36">
            <v>2011</v>
          </cell>
          <cell r="G36">
            <v>2012</v>
          </cell>
          <cell r="H36">
            <v>4.9776032623549682E-4</v>
          </cell>
        </row>
        <row r="37">
          <cell r="A37" t="str">
            <v>2G</v>
          </cell>
          <cell r="B37">
            <v>0.13419999999999999</v>
          </cell>
          <cell r="C37">
            <v>7.9000000000000001E-2</v>
          </cell>
          <cell r="D37">
            <v>4.7299999999999995E-2</v>
          </cell>
          <cell r="E37">
            <v>3.0699999999999998E-2</v>
          </cell>
          <cell r="F37">
            <v>1.1900000000000001E-2</v>
          </cell>
          <cell r="G37">
            <v>6.7999999999999996E-3</v>
          </cell>
          <cell r="H37">
            <v>-0.44925409160096075</v>
          </cell>
        </row>
        <row r="38">
          <cell r="A38" t="str">
            <v>2.5G</v>
          </cell>
          <cell r="B38">
            <v>0.7288</v>
          </cell>
          <cell r="C38">
            <v>0.73580000000000001</v>
          </cell>
          <cell r="D38">
            <v>0.69170000000000009</v>
          </cell>
          <cell r="E38">
            <v>0.62909999999999999</v>
          </cell>
          <cell r="F38">
            <v>0.54849999999999999</v>
          </cell>
          <cell r="G38">
            <v>0.41760000000000003</v>
          </cell>
          <cell r="H38">
            <v>-0.10539684553828843</v>
          </cell>
        </row>
        <row r="39">
          <cell r="A39" t="str">
            <v>3G</v>
          </cell>
          <cell r="B39">
            <v>0.22259999999999999</v>
          </cell>
          <cell r="C39">
            <v>0.34499999999999997</v>
          </cell>
          <cell r="D39">
            <v>0.45380000000000004</v>
          </cell>
          <cell r="E39">
            <v>0.49539999999999995</v>
          </cell>
          <cell r="F39">
            <v>0.50280000000000002</v>
          </cell>
          <cell r="G39">
            <v>0.50819999999999999</v>
          </cell>
          <cell r="H39">
            <v>0.17951074121676669</v>
          </cell>
        </row>
        <row r="40">
          <cell r="A40" t="str">
            <v>3.5G+</v>
          </cell>
          <cell r="B40">
            <v>0.02</v>
          </cell>
          <cell r="C40">
            <v>4.58E-2</v>
          </cell>
          <cell r="D40">
            <v>9.9199999999999997E-2</v>
          </cell>
          <cell r="E40">
            <v>0.20100000000000001</v>
          </cell>
          <cell r="F40">
            <v>0.34789999999999999</v>
          </cell>
          <cell r="G40">
            <v>0.51970000000000005</v>
          </cell>
          <cell r="H40">
            <v>0.91842375838193391</v>
          </cell>
        </row>
        <row r="41">
          <cell r="B41">
            <v>1.1054999999999999</v>
          </cell>
          <cell r="C41">
            <v>1.2055</v>
          </cell>
          <cell r="D41">
            <v>1.2919</v>
          </cell>
          <cell r="E41">
            <v>1.3560999999999999</v>
          </cell>
          <cell r="F41">
            <v>1.4110999999999998</v>
          </cell>
          <cell r="G41">
            <v>1.4522999999999999</v>
          </cell>
          <cell r="H41">
            <v>5.6086565746741535E-2</v>
          </cell>
        </row>
        <row r="43">
          <cell r="J43" t="str">
            <v>2007-12E CAGRs</v>
          </cell>
        </row>
        <row r="44">
          <cell r="J44" t="str">
            <v>2G</v>
          </cell>
          <cell r="K44">
            <v>-0.44925409160096075</v>
          </cell>
        </row>
        <row r="45">
          <cell r="J45" t="str">
            <v>2.5G</v>
          </cell>
          <cell r="K45">
            <v>-0.10539684553828843</v>
          </cell>
        </row>
        <row r="46">
          <cell r="J46" t="str">
            <v>3G</v>
          </cell>
          <cell r="K46">
            <v>0.17951074121676669</v>
          </cell>
        </row>
        <row r="47">
          <cell r="J47" t="str">
            <v>3.5G+</v>
          </cell>
          <cell r="K47">
            <v>0.91842375838193391</v>
          </cell>
        </row>
        <row r="48">
          <cell r="J48" t="str">
            <v>Total</v>
          </cell>
          <cell r="K48">
            <v>5.6086565746741535E-2</v>
          </cell>
        </row>
        <row r="66">
          <cell r="A66" t="str">
            <v>Informa</v>
          </cell>
        </row>
        <row r="67">
          <cell r="A67" t="str">
            <v>MAPOS, 4th Edition</v>
          </cell>
        </row>
        <row r="68">
          <cell r="A68" t="str">
            <v>2008, Table 6.5</v>
          </cell>
        </row>
        <row r="69">
          <cell r="A69" t="str">
            <v>$US MMM</v>
          </cell>
        </row>
        <row r="70">
          <cell r="B70">
            <v>2007</v>
          </cell>
          <cell r="C70">
            <v>2008</v>
          </cell>
          <cell r="D70">
            <v>2009</v>
          </cell>
          <cell r="E70">
            <v>2010</v>
          </cell>
          <cell r="F70">
            <v>2011</v>
          </cell>
          <cell r="G70">
            <v>2012</v>
          </cell>
        </row>
        <row r="71">
          <cell r="A71" t="str">
            <v>P2P msg</v>
          </cell>
          <cell r="B71">
            <v>79501.2</v>
          </cell>
          <cell r="C71">
            <v>85621.3</v>
          </cell>
          <cell r="D71">
            <v>89515.1</v>
          </cell>
          <cell r="E71">
            <v>92350.3</v>
          </cell>
          <cell r="F71">
            <v>94785.600000000006</v>
          </cell>
          <cell r="G71">
            <v>94926.7</v>
          </cell>
        </row>
        <row r="72">
          <cell r="A72" t="str">
            <v>Entertainment</v>
          </cell>
          <cell r="B72">
            <v>17723.399999999998</v>
          </cell>
          <cell r="C72">
            <v>21143.100000000002</v>
          </cell>
          <cell r="D72">
            <v>24796.399999999998</v>
          </cell>
          <cell r="E72">
            <v>28423.000000000004</v>
          </cell>
          <cell r="F72">
            <v>31456.1</v>
          </cell>
          <cell r="G72">
            <v>34781.1</v>
          </cell>
        </row>
        <row r="73">
          <cell r="A73" t="str">
            <v>Games</v>
          </cell>
          <cell r="B73">
            <v>3229.3</v>
          </cell>
          <cell r="C73">
            <v>3985.9</v>
          </cell>
          <cell r="D73">
            <v>4794.5</v>
          </cell>
          <cell r="E73">
            <v>5599.6</v>
          </cell>
          <cell r="F73">
            <v>6398.2</v>
          </cell>
          <cell r="G73">
            <v>7205.3</v>
          </cell>
        </row>
        <row r="74">
          <cell r="A74" t="str">
            <v>Music</v>
          </cell>
          <cell r="B74">
            <v>9775.2000000000007</v>
          </cell>
          <cell r="C74">
            <v>11190.1</v>
          </cell>
          <cell r="D74">
            <v>12569</v>
          </cell>
          <cell r="E74">
            <v>13767.2</v>
          </cell>
          <cell r="F74">
            <v>14733</v>
          </cell>
          <cell r="G74">
            <v>15472.8</v>
          </cell>
        </row>
        <row r="75">
          <cell r="A75" t="str">
            <v>Video &amp; TV</v>
          </cell>
          <cell r="B75">
            <v>1861.9</v>
          </cell>
          <cell r="C75">
            <v>2882.3</v>
          </cell>
          <cell r="D75">
            <v>4174.1000000000004</v>
          </cell>
          <cell r="E75">
            <v>5666.2</v>
          </cell>
          <cell r="F75">
            <v>6830.8</v>
          </cell>
          <cell r="G75">
            <v>8513</v>
          </cell>
        </row>
        <row r="76">
          <cell r="A76" t="str">
            <v>Images</v>
          </cell>
          <cell r="B76">
            <v>2399.9</v>
          </cell>
          <cell r="C76">
            <v>2539.4</v>
          </cell>
          <cell r="D76">
            <v>2614.6999999999998</v>
          </cell>
          <cell r="E76">
            <v>2630.1</v>
          </cell>
          <cell r="F76">
            <v>2606.8000000000002</v>
          </cell>
          <cell r="G76">
            <v>2557.9</v>
          </cell>
        </row>
        <row r="77">
          <cell r="A77" t="str">
            <v>Gambling</v>
          </cell>
          <cell r="B77">
            <v>457.1</v>
          </cell>
          <cell r="C77">
            <v>545.4</v>
          </cell>
          <cell r="D77">
            <v>644.1</v>
          </cell>
          <cell r="E77">
            <v>759.9</v>
          </cell>
          <cell r="F77">
            <v>887.3</v>
          </cell>
          <cell r="G77">
            <v>1032.0999999999999</v>
          </cell>
        </row>
        <row r="78">
          <cell r="A78" t="str">
            <v>Enterprise</v>
          </cell>
          <cell r="B78">
            <v>3535.8</v>
          </cell>
          <cell r="C78">
            <v>4982.1000000000004</v>
          </cell>
          <cell r="D78">
            <v>6339.7</v>
          </cell>
          <cell r="E78">
            <v>7221.4</v>
          </cell>
          <cell r="F78">
            <v>7800</v>
          </cell>
          <cell r="G78">
            <v>8230</v>
          </cell>
        </row>
        <row r="79">
          <cell r="A79" t="str">
            <v>Browsing</v>
          </cell>
          <cell r="B79">
            <v>14469.6</v>
          </cell>
          <cell r="C79">
            <v>21596.400000000001</v>
          </cell>
          <cell r="D79">
            <v>29841.3</v>
          </cell>
          <cell r="E79">
            <v>38043.699999999997</v>
          </cell>
          <cell r="F79">
            <v>46403.6</v>
          </cell>
          <cell r="G79">
            <v>55613.5</v>
          </cell>
        </row>
        <row r="80">
          <cell r="A80" t="str">
            <v>Infotainment</v>
          </cell>
          <cell r="B80">
            <v>19488</v>
          </cell>
          <cell r="C80">
            <v>24551.9</v>
          </cell>
          <cell r="D80">
            <v>29228.7</v>
          </cell>
          <cell r="E80">
            <v>33957.800000000003</v>
          </cell>
          <cell r="F80">
            <v>38449.599999999999</v>
          </cell>
          <cell r="G80">
            <v>42854.1</v>
          </cell>
        </row>
        <row r="81">
          <cell r="A81" t="str">
            <v>m-commerce</v>
          </cell>
          <cell r="B81">
            <v>697.8</v>
          </cell>
          <cell r="C81">
            <v>1138.8</v>
          </cell>
          <cell r="D81">
            <v>1697.2</v>
          </cell>
          <cell r="E81">
            <v>2244.6</v>
          </cell>
          <cell r="F81">
            <v>2736</v>
          </cell>
          <cell r="G81">
            <v>3230</v>
          </cell>
        </row>
        <row r="82">
          <cell r="A82" t="str">
            <v>Total</v>
          </cell>
          <cell r="B82">
            <v>135415.79999999999</v>
          </cell>
          <cell r="C82">
            <v>159033.60000000001</v>
          </cell>
          <cell r="D82">
            <v>181418.40000000002</v>
          </cell>
          <cell r="E82">
            <v>202240.80000000002</v>
          </cell>
          <cell r="F82">
            <v>221630.90000000002</v>
          </cell>
          <cell r="G82">
            <v>239635.4</v>
          </cell>
        </row>
        <row r="85">
          <cell r="A85" t="str">
            <v>Worldwide mobile data market by application</v>
          </cell>
        </row>
        <row r="86">
          <cell r="A86" t="str">
            <v>$bn</v>
          </cell>
        </row>
        <row r="87">
          <cell r="B87">
            <v>2007</v>
          </cell>
          <cell r="C87">
            <v>2008</v>
          </cell>
          <cell r="D87">
            <v>2009</v>
          </cell>
          <cell r="E87">
            <v>2010</v>
          </cell>
          <cell r="F87">
            <v>2011</v>
          </cell>
          <cell r="G87">
            <v>2012</v>
          </cell>
        </row>
        <row r="88">
          <cell r="A88" t="str">
            <v>P2P msg</v>
          </cell>
          <cell r="B88">
            <v>79.501199999999997</v>
          </cell>
          <cell r="C88">
            <v>85.621300000000005</v>
          </cell>
          <cell r="D88">
            <v>89.515100000000004</v>
          </cell>
          <cell r="E88">
            <v>92.350300000000004</v>
          </cell>
          <cell r="F88">
            <v>94.785600000000002</v>
          </cell>
          <cell r="G88">
            <v>94.926699999999997</v>
          </cell>
        </row>
        <row r="89">
          <cell r="A89" t="str">
            <v>Entertainment</v>
          </cell>
          <cell r="B89">
            <v>17.723399999999998</v>
          </cell>
          <cell r="C89">
            <v>21.1431</v>
          </cell>
          <cell r="D89">
            <v>24.796399999999998</v>
          </cell>
          <cell r="E89">
            <v>28.423000000000005</v>
          </cell>
          <cell r="F89">
            <v>31.456099999999999</v>
          </cell>
          <cell r="G89">
            <v>34.781099999999995</v>
          </cell>
        </row>
        <row r="90">
          <cell r="A90" t="str">
            <v>Enterprise</v>
          </cell>
          <cell r="B90">
            <v>3.5358000000000001</v>
          </cell>
          <cell r="C90">
            <v>4.9821</v>
          </cell>
          <cell r="D90">
            <v>6.3396999999999997</v>
          </cell>
          <cell r="E90">
            <v>7.2214</v>
          </cell>
          <cell r="F90">
            <v>7.8</v>
          </cell>
          <cell r="G90">
            <v>8.23</v>
          </cell>
        </row>
        <row r="91">
          <cell r="A91" t="str">
            <v>Browsing</v>
          </cell>
          <cell r="B91">
            <v>14.4696</v>
          </cell>
          <cell r="C91">
            <v>21.596400000000003</v>
          </cell>
          <cell r="D91">
            <v>29.8413</v>
          </cell>
          <cell r="E91">
            <v>38.043699999999994</v>
          </cell>
          <cell r="F91">
            <v>46.403599999999997</v>
          </cell>
          <cell r="G91">
            <v>55.613500000000002</v>
          </cell>
        </row>
        <row r="92">
          <cell r="A92" t="str">
            <v>Infotainment</v>
          </cell>
          <cell r="B92">
            <v>19.488</v>
          </cell>
          <cell r="C92">
            <v>24.5519</v>
          </cell>
          <cell r="D92">
            <v>29.2287</v>
          </cell>
          <cell r="E92">
            <v>33.957800000000006</v>
          </cell>
          <cell r="F92">
            <v>38.449599999999997</v>
          </cell>
          <cell r="G92">
            <v>42.854099999999995</v>
          </cell>
        </row>
        <row r="93">
          <cell r="A93" t="str">
            <v>m-commerce</v>
          </cell>
          <cell r="B93">
            <v>0.69779999999999998</v>
          </cell>
          <cell r="C93">
            <v>1.1388</v>
          </cell>
          <cell r="D93">
            <v>1.6972</v>
          </cell>
          <cell r="E93">
            <v>2.2445999999999997</v>
          </cell>
          <cell r="F93">
            <v>2.7360000000000002</v>
          </cell>
          <cell r="G93">
            <v>3.23</v>
          </cell>
        </row>
        <row r="94">
          <cell r="B94">
            <v>135.41579999999999</v>
          </cell>
          <cell r="C94">
            <v>159.03360000000001</v>
          </cell>
          <cell r="D94">
            <v>181.41839999999999</v>
          </cell>
          <cell r="E94">
            <v>202.24079999999998</v>
          </cell>
          <cell r="F94">
            <v>221.63090000000003</v>
          </cell>
          <cell r="G94">
            <v>239.63539999999995</v>
          </cell>
          <cell r="H94">
            <v>0.12092441041708923</v>
          </cell>
        </row>
        <row r="110">
          <cell r="A110" t="str">
            <v>Worldwide wireless entertainment market by type</v>
          </cell>
        </row>
        <row r="111">
          <cell r="A111" t="str">
            <v>$bn</v>
          </cell>
        </row>
        <row r="113">
          <cell r="B113">
            <v>2007</v>
          </cell>
          <cell r="C113">
            <v>2008</v>
          </cell>
          <cell r="D113">
            <v>2009</v>
          </cell>
          <cell r="E113">
            <v>2010</v>
          </cell>
          <cell r="F113">
            <v>2011</v>
          </cell>
          <cell r="G113">
            <v>2012</v>
          </cell>
        </row>
        <row r="114">
          <cell r="A114" t="str">
            <v>Games</v>
          </cell>
          <cell r="B114">
            <v>3.2293000000000003</v>
          </cell>
          <cell r="C114">
            <v>3.9859</v>
          </cell>
          <cell r="D114">
            <v>4.7945000000000002</v>
          </cell>
          <cell r="E114">
            <v>5.5996000000000006</v>
          </cell>
          <cell r="F114">
            <v>6.3982000000000001</v>
          </cell>
          <cell r="G114">
            <v>7.2053000000000003</v>
          </cell>
          <cell r="H114">
            <v>0.17410985956600422</v>
          </cell>
        </row>
        <row r="115">
          <cell r="A115" t="str">
            <v>Music</v>
          </cell>
          <cell r="B115">
            <v>9.7751999999999999</v>
          </cell>
          <cell r="C115">
            <v>11.190100000000001</v>
          </cell>
          <cell r="D115">
            <v>12.569000000000001</v>
          </cell>
          <cell r="E115">
            <v>13.767200000000001</v>
          </cell>
          <cell r="F115">
            <v>14.733000000000001</v>
          </cell>
          <cell r="G115">
            <v>15.472799999999999</v>
          </cell>
          <cell r="H115">
            <v>9.6197108121403474E-2</v>
          </cell>
        </row>
        <row r="116">
          <cell r="A116" t="str">
            <v>Video &amp; TV</v>
          </cell>
          <cell r="B116">
            <v>1.8619000000000001</v>
          </cell>
          <cell r="C116">
            <v>2.8823000000000003</v>
          </cell>
          <cell r="D116">
            <v>4.1741000000000001</v>
          </cell>
          <cell r="E116">
            <v>5.6661999999999999</v>
          </cell>
          <cell r="F116">
            <v>6.8308</v>
          </cell>
          <cell r="G116">
            <v>8.5129999999999999</v>
          </cell>
          <cell r="H116">
            <v>0.35526822535934044</v>
          </cell>
        </row>
        <row r="117">
          <cell r="A117" t="str">
            <v>Images</v>
          </cell>
          <cell r="B117">
            <v>2.3999000000000001</v>
          </cell>
          <cell r="C117">
            <v>2.5394000000000001</v>
          </cell>
          <cell r="D117">
            <v>2.6147</v>
          </cell>
          <cell r="E117">
            <v>2.6301000000000001</v>
          </cell>
          <cell r="F117">
            <v>2.6068000000000002</v>
          </cell>
          <cell r="G117">
            <v>2.5579000000000001</v>
          </cell>
          <cell r="H117">
            <v>1.2833560189002391E-2</v>
          </cell>
        </row>
        <row r="118">
          <cell r="A118" t="str">
            <v>Gambling</v>
          </cell>
          <cell r="B118">
            <v>0.45710000000000001</v>
          </cell>
          <cell r="C118">
            <v>0.5454</v>
          </cell>
          <cell r="D118">
            <v>0.64410000000000001</v>
          </cell>
          <cell r="E118">
            <v>0.75990000000000002</v>
          </cell>
          <cell r="F118">
            <v>0.88729999999999998</v>
          </cell>
          <cell r="G118">
            <v>1.0321</v>
          </cell>
          <cell r="H118">
            <v>0.17690690624053551</v>
          </cell>
        </row>
        <row r="119">
          <cell r="B119">
            <v>17.723400000000002</v>
          </cell>
          <cell r="C119">
            <v>21.143100000000004</v>
          </cell>
          <cell r="D119">
            <v>24.796400000000002</v>
          </cell>
          <cell r="E119">
            <v>28.423000000000002</v>
          </cell>
          <cell r="F119">
            <v>31.456099999999999</v>
          </cell>
          <cell r="G119">
            <v>34.781099999999995</v>
          </cell>
          <cell r="H119">
            <v>0.14435100344119633</v>
          </cell>
        </row>
        <row r="138">
          <cell r="A138" t="str">
            <v>http://www.gartner.com/it/page.jsp?id=754112</v>
          </cell>
        </row>
        <row r="140">
          <cell r="A140" t="str">
            <v>Table 1</v>
          </cell>
        </row>
        <row r="141">
          <cell r="A141" t="str">
            <v>Worldwide: Preliminary Smartphone Sales to End Users byVendor, 2Q08 (Units)</v>
          </cell>
        </row>
        <row r="143">
          <cell r="A143" t="str">
            <v>Company</v>
          </cell>
          <cell r="B143" t="str">
            <v>2Q08</v>
          </cell>
          <cell r="C143" t="str">
            <v>2Q08 Market Share (%)</v>
          </cell>
          <cell r="D143" t="str">
            <v>2Q07</v>
          </cell>
          <cell r="E143" t="str">
            <v>2Q07 Market Share (%)</v>
          </cell>
          <cell r="F143" t="str">
            <v>2Q08- 2Q07 Growth (%)</v>
          </cell>
        </row>
        <row r="145">
          <cell r="B145" t="str">
            <v>Sales</v>
          </cell>
          <cell r="D145" t="str">
            <v>Sales</v>
          </cell>
        </row>
        <row r="146">
          <cell r="A146" t="str">
            <v>Nokia</v>
          </cell>
          <cell r="B146">
            <v>15297900</v>
          </cell>
          <cell r="C146">
            <v>47.5</v>
          </cell>
          <cell r="D146">
            <v>14151689</v>
          </cell>
          <cell r="E146">
            <v>50.8</v>
          </cell>
          <cell r="F146">
            <v>8.1</v>
          </cell>
        </row>
        <row r="147">
          <cell r="A147" t="str">
            <v>RIM</v>
          </cell>
          <cell r="B147">
            <v>5594159</v>
          </cell>
          <cell r="C147">
            <v>17.399999999999999</v>
          </cell>
          <cell r="D147">
            <v>2471200</v>
          </cell>
          <cell r="E147">
            <v>8.9</v>
          </cell>
          <cell r="F147">
            <v>126.4</v>
          </cell>
        </row>
        <row r="148">
          <cell r="A148" t="str">
            <v>HTC</v>
          </cell>
          <cell r="B148">
            <v>1330825</v>
          </cell>
          <cell r="C148">
            <v>4.0999999999999996</v>
          </cell>
          <cell r="D148">
            <v>605900</v>
          </cell>
          <cell r="E148">
            <v>2.2000000000000002</v>
          </cell>
          <cell r="F148">
            <v>119.6</v>
          </cell>
        </row>
        <row r="149">
          <cell r="A149" t="str">
            <v>Sharp</v>
          </cell>
          <cell r="B149">
            <v>1328090</v>
          </cell>
          <cell r="C149">
            <v>4.0999999999999996</v>
          </cell>
          <cell r="D149">
            <v>2275401</v>
          </cell>
          <cell r="E149">
            <v>8.1999999999999993</v>
          </cell>
          <cell r="F149">
            <v>-41.6</v>
          </cell>
        </row>
        <row r="150">
          <cell r="A150" t="str">
            <v>Fujitsu</v>
          </cell>
          <cell r="B150">
            <v>1071490</v>
          </cell>
          <cell r="C150">
            <v>3.3</v>
          </cell>
          <cell r="D150">
            <v>877955</v>
          </cell>
          <cell r="E150">
            <v>3.2</v>
          </cell>
          <cell r="F150">
            <v>22</v>
          </cell>
        </row>
        <row r="151">
          <cell r="A151" t="str">
            <v>Others</v>
          </cell>
          <cell r="B151">
            <v>7598711</v>
          </cell>
          <cell r="C151">
            <v>23.6</v>
          </cell>
          <cell r="D151">
            <v>7472441</v>
          </cell>
          <cell r="E151">
            <v>26.8</v>
          </cell>
          <cell r="F151">
            <v>1.7</v>
          </cell>
        </row>
        <row r="152">
          <cell r="A152" t="str">
            <v>Total</v>
          </cell>
          <cell r="B152">
            <v>32221175</v>
          </cell>
          <cell r="C152">
            <v>100</v>
          </cell>
          <cell r="D152">
            <v>27854586</v>
          </cell>
          <cell r="E152">
            <v>100</v>
          </cell>
          <cell r="F152">
            <v>15.7</v>
          </cell>
        </row>
        <row r="164">
          <cell r="A164" t="str">
            <v>http://www.gartner.com/it/page.jsp?id=827912</v>
          </cell>
        </row>
        <row r="165">
          <cell r="A165" t="str">
            <v>Table 1</v>
          </cell>
        </row>
        <row r="166">
          <cell r="A166" t="str">
            <v>Worldwide: Preliminary Smartphone Sales to End Users byVendor, 3Q08 (Thousands of Units)</v>
          </cell>
        </row>
        <row r="168">
          <cell r="A168" t="str">
            <v>Company</v>
          </cell>
          <cell r="B168" t="str">
            <v>3Q08</v>
          </cell>
          <cell r="C168" t="str">
            <v>3Q08 Market Share (%)</v>
          </cell>
          <cell r="D168" t="str">
            <v>3Q07</v>
          </cell>
          <cell r="E168" t="str">
            <v>3Q07 Market Share (%)</v>
          </cell>
          <cell r="F168" t="str">
            <v>3Q08- 3Q07 Growth (%)</v>
          </cell>
        </row>
        <row r="170">
          <cell r="B170" t="str">
            <v>Sales</v>
          </cell>
          <cell r="D170" t="str">
            <v>Sales</v>
          </cell>
        </row>
        <row r="171">
          <cell r="A171" t="str">
            <v>Nokia</v>
          </cell>
          <cell r="B171">
            <v>15472</v>
          </cell>
          <cell r="C171">
            <v>42.4</v>
          </cell>
          <cell r="D171">
            <v>15964</v>
          </cell>
          <cell r="E171">
            <v>48.7</v>
          </cell>
          <cell r="F171">
            <v>-3.1</v>
          </cell>
          <cell r="H171">
            <v>1</v>
          </cell>
        </row>
        <row r="172">
          <cell r="A172" t="str">
            <v>RIM</v>
          </cell>
          <cell r="B172">
            <v>5800</v>
          </cell>
          <cell r="C172">
            <v>15.9</v>
          </cell>
          <cell r="D172">
            <v>3192</v>
          </cell>
          <cell r="E172">
            <v>9.6999999999999993</v>
          </cell>
          <cell r="F172">
            <v>81.7</v>
          </cell>
        </row>
        <row r="173">
          <cell r="A173" t="str">
            <v>Apple</v>
          </cell>
          <cell r="B173">
            <v>4720</v>
          </cell>
          <cell r="C173">
            <v>12.9</v>
          </cell>
          <cell r="D173">
            <v>1104</v>
          </cell>
          <cell r="E173">
            <v>3.4</v>
          </cell>
          <cell r="F173">
            <v>327.5</v>
          </cell>
        </row>
        <row r="174">
          <cell r="A174" t="str">
            <v>HTC</v>
          </cell>
          <cell r="B174">
            <v>1656</v>
          </cell>
          <cell r="C174">
            <v>4.5</v>
          </cell>
          <cell r="D174">
            <v>1315</v>
          </cell>
          <cell r="E174">
            <v>4</v>
          </cell>
          <cell r="F174">
            <v>25.9</v>
          </cell>
        </row>
        <row r="175">
          <cell r="A175" t="str">
            <v>Sharp</v>
          </cell>
          <cell r="B175">
            <v>1239</v>
          </cell>
          <cell r="C175">
            <v>3.4</v>
          </cell>
          <cell r="D175">
            <v>1535</v>
          </cell>
          <cell r="E175">
            <v>4.7</v>
          </cell>
          <cell r="F175">
            <v>-19.3</v>
          </cell>
        </row>
        <row r="176">
          <cell r="A176" t="str">
            <v>Others</v>
          </cell>
          <cell r="B176">
            <v>7626</v>
          </cell>
          <cell r="C176">
            <v>20.9</v>
          </cell>
          <cell r="D176">
            <v>9643</v>
          </cell>
          <cell r="E176">
            <v>29.4</v>
          </cell>
          <cell r="F176">
            <v>-20.9</v>
          </cell>
        </row>
        <row r="177">
          <cell r="A177" t="str">
            <v>Total</v>
          </cell>
          <cell r="B177" t="str">
            <v>36,515</v>
          </cell>
          <cell r="C177" t="str">
            <v>100.0</v>
          </cell>
          <cell r="D177" t="str">
            <v>32,753</v>
          </cell>
          <cell r="E177" t="str">
            <v>100.0</v>
          </cell>
          <cell r="F177" t="str">
            <v>11.5</v>
          </cell>
        </row>
      </sheetData>
      <sheetData sheetId="2"/>
      <sheetData sheetId="3"/>
      <sheetData sheetId="4">
        <row r="1">
          <cell r="A1" t="str">
            <v>eMarketer</v>
          </cell>
        </row>
        <row r="2">
          <cell r="A2" t="str">
            <v>Mobile Music: Ads to the rescue</v>
          </cell>
        </row>
        <row r="3">
          <cell r="A3" t="str">
            <v>7/1/2008, pg1</v>
          </cell>
        </row>
        <row r="5">
          <cell r="B5">
            <v>2007</v>
          </cell>
          <cell r="C5">
            <v>2008</v>
          </cell>
          <cell r="D5">
            <v>2009</v>
          </cell>
          <cell r="E5">
            <v>2010</v>
          </cell>
          <cell r="F5">
            <v>2011</v>
          </cell>
          <cell r="G5">
            <v>2012</v>
          </cell>
        </row>
        <row r="6">
          <cell r="A6" t="str">
            <v>Mastertones, ringback tones &amp; other</v>
          </cell>
          <cell r="B6">
            <v>1.796</v>
          </cell>
          <cell r="C6">
            <v>2.3519999999999999</v>
          </cell>
          <cell r="D6">
            <v>3.0840000000000001</v>
          </cell>
          <cell r="E6">
            <v>4.2539999999999996</v>
          </cell>
          <cell r="F6">
            <v>5.8453999999999997</v>
          </cell>
          <cell r="G6">
            <v>8.0693999999999999</v>
          </cell>
          <cell r="H6">
            <v>0.35053854083336855</v>
          </cell>
        </row>
        <row r="7">
          <cell r="A7" t="str">
            <v>Full-track downloads</v>
          </cell>
          <cell r="B7">
            <v>0.63100000000000001</v>
          </cell>
          <cell r="C7">
            <v>0.96099999999999997</v>
          </cell>
          <cell r="D7">
            <v>1.4510000000000001</v>
          </cell>
          <cell r="E7">
            <v>2.1909999999999998</v>
          </cell>
          <cell r="F7">
            <v>3.4333999999999998</v>
          </cell>
          <cell r="G7">
            <v>5.3794000000000004</v>
          </cell>
          <cell r="H7">
            <v>0.53511493129849819</v>
          </cell>
        </row>
        <row r="8">
          <cell r="B8">
            <v>2.427</v>
          </cell>
          <cell r="C8">
            <v>3.3129999999999997</v>
          </cell>
          <cell r="D8">
            <v>4.5350000000000001</v>
          </cell>
          <cell r="E8">
            <v>6.4449999999999994</v>
          </cell>
          <cell r="F8">
            <v>9.2788000000000004</v>
          </cell>
          <cell r="G8">
            <v>13.4488</v>
          </cell>
          <cell r="H8">
            <v>0.40838941295571418</v>
          </cell>
        </row>
        <row r="10">
          <cell r="J10" t="str">
            <v>2007-12E CAGRs</v>
          </cell>
        </row>
        <row r="11">
          <cell r="J11" t="str">
            <v>Mastertones, ringback tones &amp; other</v>
          </cell>
          <cell r="K11">
            <v>0.35053854083336855</v>
          </cell>
        </row>
        <row r="12">
          <cell r="J12" t="str">
            <v>Full-track downloads</v>
          </cell>
          <cell r="K12">
            <v>0.53511493129849819</v>
          </cell>
        </row>
        <row r="13">
          <cell r="J13" t="str">
            <v>Total</v>
          </cell>
          <cell r="K13">
            <v>0.40838941295571418</v>
          </cell>
        </row>
        <row r="27">
          <cell r="B27">
            <v>2007</v>
          </cell>
          <cell r="C27">
            <v>2008</v>
          </cell>
          <cell r="D27">
            <v>2009</v>
          </cell>
          <cell r="E27">
            <v>2010</v>
          </cell>
          <cell r="F27">
            <v>2011</v>
          </cell>
          <cell r="G27">
            <v>2012</v>
          </cell>
        </row>
        <row r="28">
          <cell r="A28" t="str">
            <v>Ad-supported mobile music</v>
          </cell>
          <cell r="B28">
            <v>4.2000000000000003E-2</v>
          </cell>
          <cell r="C28">
            <v>0.11600000000000001</v>
          </cell>
          <cell r="D28">
            <v>0.22700000000000001</v>
          </cell>
          <cell r="E28">
            <v>0.41899999999999998</v>
          </cell>
          <cell r="F28">
            <v>0.83499999999999996</v>
          </cell>
          <cell r="G28">
            <v>1.5469999999999999</v>
          </cell>
        </row>
        <row r="29">
          <cell r="A29" t="str">
            <v>% of total</v>
          </cell>
          <cell r="B29">
            <v>1.73053152039555E-2</v>
          </cell>
          <cell r="C29">
            <v>3.5013582855418057E-2</v>
          </cell>
          <cell r="D29">
            <v>5.0055126791620726E-2</v>
          </cell>
          <cell r="E29">
            <v>6.5011636927851058E-2</v>
          </cell>
          <cell r="F29">
            <v>8.9990084924774755E-2</v>
          </cell>
          <cell r="G29">
            <v>0.11502885015763488</v>
          </cell>
        </row>
        <row r="46">
          <cell r="A46" t="str">
            <v>Gartner</v>
          </cell>
        </row>
        <row r="47">
          <cell r="A47" t="str">
            <v>Dataquest insight:  Outlook for Mobile Music</v>
          </cell>
        </row>
        <row r="48">
          <cell r="A48" t="str">
            <v>january 2008, Tables 3-6</v>
          </cell>
        </row>
        <row r="50">
          <cell r="B50">
            <v>2007</v>
          </cell>
          <cell r="C50">
            <v>2011</v>
          </cell>
          <cell r="E50">
            <v>1000</v>
          </cell>
        </row>
        <row r="51">
          <cell r="A51" t="str">
            <v>Real tones</v>
          </cell>
          <cell r="B51">
            <v>1.4332</v>
          </cell>
          <cell r="C51">
            <v>6.2774999999999999</v>
          </cell>
        </row>
        <row r="52">
          <cell r="A52" t="str">
            <v>Ring-back tones</v>
          </cell>
          <cell r="B52">
            <v>0.3634</v>
          </cell>
          <cell r="C52">
            <v>2.3056000000000001</v>
          </cell>
        </row>
        <row r="53">
          <cell r="A53" t="str">
            <v>Full tracks</v>
          </cell>
          <cell r="B53">
            <v>0.59339999999999993</v>
          </cell>
          <cell r="C53">
            <v>4.5270000000000001</v>
          </cell>
        </row>
        <row r="54">
          <cell r="B54">
            <v>2.3899999999999997</v>
          </cell>
          <cell r="C54">
            <v>13.110099999999999</v>
          </cell>
        </row>
        <row r="74">
          <cell r="A74" t="str">
            <v>eMarketer</v>
          </cell>
        </row>
        <row r="75">
          <cell r="A75" t="str">
            <v>Mobile Music: Ads to the rescue</v>
          </cell>
        </row>
        <row r="76">
          <cell r="A76" t="str">
            <v>7/1/2008, pg5</v>
          </cell>
        </row>
        <row r="78">
          <cell r="A78" t="str">
            <v>Online and mobile music revenues of the top 5 digital music countries worldwide</v>
          </cell>
        </row>
        <row r="79">
          <cell r="B79" t="str">
            <v>1H2007</v>
          </cell>
        </row>
        <row r="80">
          <cell r="B80" t="str">
            <v>Online</v>
          </cell>
          <cell r="C80" t="str">
            <v>Mobile</v>
          </cell>
        </row>
        <row r="81">
          <cell r="A81" t="str">
            <v>US</v>
          </cell>
          <cell r="B81">
            <v>0.67</v>
          </cell>
          <cell r="C81">
            <v>0.32999999999999996</v>
          </cell>
        </row>
        <row r="82">
          <cell r="A82" t="str">
            <v>Japan</v>
          </cell>
          <cell r="B82">
            <v>0.09</v>
          </cell>
          <cell r="C82">
            <v>0.91</v>
          </cell>
        </row>
        <row r="83">
          <cell r="A83" t="str">
            <v>UK</v>
          </cell>
          <cell r="B83">
            <v>0.71</v>
          </cell>
          <cell r="C83">
            <v>0.29000000000000004</v>
          </cell>
        </row>
        <row r="84">
          <cell r="A84" t="str">
            <v>S. Korea</v>
          </cell>
          <cell r="B84">
            <v>0.63</v>
          </cell>
          <cell r="C84">
            <v>0.37</v>
          </cell>
        </row>
        <row r="85">
          <cell r="A85" t="str">
            <v>Germany</v>
          </cell>
          <cell r="B85">
            <v>0.69</v>
          </cell>
          <cell r="C85">
            <v>0.31000000000000005</v>
          </cell>
        </row>
        <row r="86">
          <cell r="A86" t="str">
            <v>France</v>
          </cell>
          <cell r="B86">
            <v>0.39</v>
          </cell>
          <cell r="C86">
            <v>0.61</v>
          </cell>
        </row>
      </sheetData>
      <sheetData sheetId="5">
        <row r="1">
          <cell r="A1" t="str">
            <v>eMarketer</v>
          </cell>
        </row>
        <row r="2">
          <cell r="A2" t="str">
            <v>Mobile Games:  consumers don't pay to play</v>
          </cell>
        </row>
        <row r="3">
          <cell r="A3" t="str">
            <v>8/1/2008, pg 1</v>
          </cell>
        </row>
        <row r="5">
          <cell r="B5">
            <v>2007</v>
          </cell>
          <cell r="C5">
            <v>2008</v>
          </cell>
          <cell r="D5">
            <v>2009</v>
          </cell>
          <cell r="E5">
            <v>2010</v>
          </cell>
          <cell r="F5">
            <v>2011</v>
          </cell>
          <cell r="G5">
            <v>2012</v>
          </cell>
        </row>
        <row r="6">
          <cell r="A6" t="str">
            <v>Mobile gamers</v>
          </cell>
          <cell r="B6">
            <v>155</v>
          </cell>
          <cell r="C6">
            <v>204</v>
          </cell>
          <cell r="D6">
            <v>266</v>
          </cell>
          <cell r="E6">
            <v>336</v>
          </cell>
          <cell r="F6">
            <v>423</v>
          </cell>
          <cell r="G6">
            <v>500</v>
          </cell>
          <cell r="H6">
            <v>0.26394350119070853</v>
          </cell>
        </row>
        <row r="7">
          <cell r="A7" t="str">
            <v>Mobile game spending</v>
          </cell>
          <cell r="B7">
            <v>1.9379999999999999</v>
          </cell>
          <cell r="C7">
            <v>2.665</v>
          </cell>
          <cell r="D7">
            <v>3.5910000000000002</v>
          </cell>
          <cell r="E7">
            <v>4.641</v>
          </cell>
          <cell r="F7">
            <v>5.9219999999999997</v>
          </cell>
          <cell r="G7">
            <v>7.0309999999999997</v>
          </cell>
        </row>
        <row r="8">
          <cell r="A8" t="str">
            <v>ad supported</v>
          </cell>
          <cell r="B8">
            <v>9.7000000000000003E-2</v>
          </cell>
          <cell r="C8">
            <v>0.2</v>
          </cell>
          <cell r="D8">
            <v>0.35899999999999999</v>
          </cell>
          <cell r="E8">
            <v>0.57999999999999996</v>
          </cell>
          <cell r="F8">
            <v>0.88800000000000001</v>
          </cell>
          <cell r="G8">
            <v>1.266</v>
          </cell>
        </row>
        <row r="23">
          <cell r="B23">
            <v>2007</v>
          </cell>
          <cell r="C23">
            <v>2008</v>
          </cell>
          <cell r="D23">
            <v>2009</v>
          </cell>
          <cell r="E23">
            <v>2010</v>
          </cell>
          <cell r="F23">
            <v>2011</v>
          </cell>
          <cell r="G23">
            <v>2012</v>
          </cell>
        </row>
        <row r="24">
          <cell r="A24" t="str">
            <v>Mobile game spending</v>
          </cell>
          <cell r="B24">
            <v>1.9379999999999999</v>
          </cell>
          <cell r="C24">
            <v>2.665</v>
          </cell>
          <cell r="D24">
            <v>3.5910000000000002</v>
          </cell>
          <cell r="E24">
            <v>4.641</v>
          </cell>
          <cell r="F24">
            <v>5.9219999999999997</v>
          </cell>
          <cell r="G24">
            <v>7.0309999999999997</v>
          </cell>
        </row>
        <row r="25">
          <cell r="A25" t="str">
            <v>% ad-supported</v>
          </cell>
          <cell r="B25">
            <v>5.0051599587203302E-2</v>
          </cell>
          <cell r="C25">
            <v>7.5046904315197005E-2</v>
          </cell>
          <cell r="D25">
            <v>9.9972152603731546E-2</v>
          </cell>
          <cell r="E25">
            <v>0.12497306614953672</v>
          </cell>
          <cell r="F25">
            <v>0.14994934143870314</v>
          </cell>
          <cell r="G25">
            <v>0.1800597354572607</v>
          </cell>
        </row>
        <row r="42">
          <cell r="A42" t="str">
            <v>Gartner</v>
          </cell>
        </row>
        <row r="43">
          <cell r="A43" t="str">
            <v>Dataquest insight:  Outlook for Mobile Gaming</v>
          </cell>
        </row>
        <row r="44">
          <cell r="A44" t="str">
            <v>May 2008, Table 1</v>
          </cell>
        </row>
        <row r="46">
          <cell r="B46">
            <v>2007</v>
          </cell>
          <cell r="C46">
            <v>2011</v>
          </cell>
          <cell r="E46">
            <v>1000000</v>
          </cell>
        </row>
        <row r="47">
          <cell r="A47" t="str">
            <v>N. America</v>
          </cell>
          <cell r="B47">
            <v>0.74616080000000007</v>
          </cell>
          <cell r="C47">
            <v>1.1566078</v>
          </cell>
        </row>
        <row r="48">
          <cell r="A48" t="str">
            <v>W. Europe</v>
          </cell>
          <cell r="B48">
            <v>0.62918750000000001</v>
          </cell>
          <cell r="C48">
            <v>0.86160650000000005</v>
          </cell>
        </row>
        <row r="49">
          <cell r="A49" t="str">
            <v>APAC &amp; Japan</v>
          </cell>
          <cell r="B49">
            <v>1.9640093000000001</v>
          </cell>
          <cell r="C49">
            <v>3.3562846</v>
          </cell>
        </row>
        <row r="50">
          <cell r="A50" t="str">
            <v>ROW</v>
          </cell>
          <cell r="B50">
            <v>0.54317709999999997</v>
          </cell>
          <cell r="C50">
            <v>0.93112050000000002</v>
          </cell>
        </row>
        <row r="51">
          <cell r="B51">
            <v>3.8825347000000003</v>
          </cell>
          <cell r="C51">
            <v>6.3056193999999994</v>
          </cell>
        </row>
      </sheetData>
      <sheetData sheetId="6">
        <row r="1">
          <cell r="A1" t="str">
            <v>eMarketer</v>
          </cell>
        </row>
        <row r="2">
          <cell r="A2" t="str">
            <v>Mobile Video and TV:  Ads wait for a clearer picture</v>
          </cell>
        </row>
        <row r="3">
          <cell r="A3" t="str">
            <v>8/1/2008, Pg 4</v>
          </cell>
        </row>
        <row r="5">
          <cell r="B5">
            <v>2007</v>
          </cell>
          <cell r="C5">
            <v>2008</v>
          </cell>
          <cell r="D5">
            <v>2009</v>
          </cell>
          <cell r="E5">
            <v>2010</v>
          </cell>
          <cell r="F5">
            <v>2011</v>
          </cell>
          <cell r="G5">
            <v>2012</v>
          </cell>
        </row>
        <row r="6">
          <cell r="A6" t="str">
            <v>Mobile TV (broadcast)</v>
          </cell>
          <cell r="B6">
            <v>218.8</v>
          </cell>
          <cell r="C6">
            <v>533.6</v>
          </cell>
          <cell r="D6">
            <v>1101.8</v>
          </cell>
          <cell r="E6">
            <v>2027.6</v>
          </cell>
          <cell r="F6">
            <v>3194.4</v>
          </cell>
          <cell r="G6">
            <v>4393.7</v>
          </cell>
        </row>
        <row r="7">
          <cell r="A7" t="str">
            <v>Mobile TV (streaming)</v>
          </cell>
          <cell r="B7">
            <v>532.1</v>
          </cell>
          <cell r="C7">
            <v>863.7</v>
          </cell>
          <cell r="D7">
            <v>1135.3</v>
          </cell>
          <cell r="E7">
            <v>1138.4000000000001</v>
          </cell>
          <cell r="F7">
            <v>813.7</v>
          </cell>
          <cell r="G7">
            <v>453.1</v>
          </cell>
        </row>
        <row r="8">
          <cell r="A8" t="str">
            <v>Video</v>
          </cell>
          <cell r="B8">
            <v>1536.5</v>
          </cell>
          <cell r="C8">
            <v>2051.1</v>
          </cell>
          <cell r="D8">
            <v>2625.8</v>
          </cell>
          <cell r="E8">
            <v>3210.9</v>
          </cell>
          <cell r="F8">
            <v>3800.6</v>
          </cell>
          <cell r="G8">
            <v>4405.3</v>
          </cell>
        </row>
        <row r="10">
          <cell r="B10">
            <v>2007</v>
          </cell>
          <cell r="C10">
            <v>2008</v>
          </cell>
          <cell r="D10">
            <v>2009</v>
          </cell>
          <cell r="E10">
            <v>2010</v>
          </cell>
          <cell r="F10">
            <v>2011</v>
          </cell>
          <cell r="G10">
            <v>2012</v>
          </cell>
        </row>
        <row r="11">
          <cell r="A11" t="str">
            <v>TV</v>
          </cell>
          <cell r="B11">
            <v>0.75090000000000012</v>
          </cell>
          <cell r="C11">
            <v>1.3973000000000002</v>
          </cell>
          <cell r="D11">
            <v>2.2370999999999999</v>
          </cell>
          <cell r="E11">
            <v>3.1659999999999999</v>
          </cell>
          <cell r="F11">
            <v>4.0081000000000007</v>
          </cell>
          <cell r="G11">
            <v>4.8468</v>
          </cell>
          <cell r="H11">
            <v>0.45202668894574183</v>
          </cell>
        </row>
        <row r="12">
          <cell r="A12" t="str">
            <v>Video</v>
          </cell>
          <cell r="B12">
            <v>1.5365</v>
          </cell>
          <cell r="C12">
            <v>2.0510999999999999</v>
          </cell>
          <cell r="D12">
            <v>2.6258000000000004</v>
          </cell>
          <cell r="E12">
            <v>3.2109000000000001</v>
          </cell>
          <cell r="F12">
            <v>3.8005999999999998</v>
          </cell>
          <cell r="G12">
            <v>4.4053000000000004</v>
          </cell>
          <cell r="H12">
            <v>0.23449286705295225</v>
          </cell>
        </row>
        <row r="13">
          <cell r="B13">
            <v>2.2873999999999999</v>
          </cell>
          <cell r="C13">
            <v>3.4484000000000004</v>
          </cell>
          <cell r="D13">
            <v>4.8628999999999998</v>
          </cell>
          <cell r="E13">
            <v>6.3769</v>
          </cell>
          <cell r="F13">
            <v>7.8087</v>
          </cell>
          <cell r="G13">
            <v>9.2521000000000004</v>
          </cell>
          <cell r="H13">
            <v>0.3224511550702378</v>
          </cell>
        </row>
        <row r="15">
          <cell r="J15" t="str">
            <v>2007-12E CAGRs</v>
          </cell>
        </row>
        <row r="16">
          <cell r="J16" t="str">
            <v>TV</v>
          </cell>
          <cell r="K16">
            <v>0.45202668894574183</v>
          </cell>
        </row>
        <row r="17">
          <cell r="J17" t="str">
            <v>Video</v>
          </cell>
          <cell r="K17">
            <v>0.23449286705295225</v>
          </cell>
        </row>
        <row r="18">
          <cell r="J18" t="str">
            <v>Total</v>
          </cell>
          <cell r="K18">
            <v>0.3224511550702378</v>
          </cell>
        </row>
        <row r="34">
          <cell r="A34" t="str">
            <v>eMarketer</v>
          </cell>
        </row>
        <row r="35">
          <cell r="A35" t="str">
            <v>Mobile Video and TV:  Ads wait for a clearer picture</v>
          </cell>
        </row>
        <row r="36">
          <cell r="A36" t="str">
            <v>8/1/2008, Pg 4</v>
          </cell>
        </row>
        <row r="38">
          <cell r="B38">
            <v>2007</v>
          </cell>
          <cell r="C38">
            <v>2012</v>
          </cell>
          <cell r="D38" t="str">
            <v>CAGR</v>
          </cell>
        </row>
        <row r="39">
          <cell r="A39" t="str">
            <v>Video &amp; TV</v>
          </cell>
          <cell r="B39">
            <v>0.75090000000000012</v>
          </cell>
          <cell r="C39">
            <v>4.8468</v>
          </cell>
          <cell r="D39">
            <v>0.45202668894574183</v>
          </cell>
        </row>
        <row r="40">
          <cell r="A40" t="str">
            <v>Gambling</v>
          </cell>
          <cell r="B40">
            <v>0.1075</v>
          </cell>
          <cell r="C40">
            <v>0.26300000000000001</v>
          </cell>
          <cell r="D40">
            <v>0.19594017924279705</v>
          </cell>
        </row>
        <row r="41">
          <cell r="A41" t="str">
            <v>Games</v>
          </cell>
          <cell r="B41">
            <v>3.2131999999999996</v>
          </cell>
          <cell r="C41">
            <v>7.2442000000000002</v>
          </cell>
          <cell r="D41">
            <v>0.17655039703381359</v>
          </cell>
        </row>
        <row r="42">
          <cell r="A42" t="str">
            <v>Music</v>
          </cell>
          <cell r="B42">
            <v>7.3566000000000003</v>
          </cell>
          <cell r="C42">
            <v>11.956200000000001</v>
          </cell>
          <cell r="D42">
            <v>0.10200408823949036</v>
          </cell>
        </row>
        <row r="43">
          <cell r="A43" t="str">
            <v>Images</v>
          </cell>
          <cell r="B43">
            <v>2.722</v>
          </cell>
          <cell r="C43">
            <v>2.9434999999999998</v>
          </cell>
          <cell r="D43">
            <v>1.5769536275912932E-2</v>
          </cell>
        </row>
        <row r="62">
          <cell r="A62" t="str">
            <v>eMarketer</v>
          </cell>
        </row>
        <row r="63">
          <cell r="A63" t="str">
            <v>Mobile Video and TV:  Ads wait for a clearer picture</v>
          </cell>
        </row>
        <row r="64">
          <cell r="A64" t="str">
            <v>8/1/2008, Pg 6</v>
          </cell>
        </row>
        <row r="67">
          <cell r="A67" t="str">
            <v>Brazil</v>
          </cell>
          <cell r="B67">
            <v>0.51</v>
          </cell>
        </row>
        <row r="68">
          <cell r="A68" t="str">
            <v>France</v>
          </cell>
          <cell r="B68">
            <v>0.26</v>
          </cell>
        </row>
        <row r="69">
          <cell r="A69" t="str">
            <v>Germany</v>
          </cell>
          <cell r="B69">
            <v>0.25</v>
          </cell>
        </row>
        <row r="70">
          <cell r="A70" t="str">
            <v>Italy</v>
          </cell>
          <cell r="B70">
            <v>0.44</v>
          </cell>
        </row>
        <row r="71">
          <cell r="A71" t="str">
            <v>Mexico</v>
          </cell>
          <cell r="B71">
            <v>0.66</v>
          </cell>
        </row>
        <row r="72">
          <cell r="A72" t="str">
            <v>Spain</v>
          </cell>
          <cell r="B72">
            <v>0.41</v>
          </cell>
        </row>
        <row r="73">
          <cell r="A73" t="str">
            <v>UK</v>
          </cell>
          <cell r="B73">
            <v>0.31</v>
          </cell>
        </row>
        <row r="74">
          <cell r="A74" t="str">
            <v>US</v>
          </cell>
          <cell r="B74">
            <v>0.23</v>
          </cell>
        </row>
        <row r="82">
          <cell r="A82" t="str">
            <v>eMarketer</v>
          </cell>
        </row>
        <row r="83">
          <cell r="A83" t="str">
            <v>Mobile Video and TV:  Ads wait for a clearer picture</v>
          </cell>
        </row>
        <row r="84">
          <cell r="A84" t="str">
            <v>8/1/2008, Pg 10</v>
          </cell>
        </row>
        <row r="86">
          <cell r="B86" t="str">
            <v>iPhone</v>
          </cell>
          <cell r="C86" t="str">
            <v>Smartphone</v>
          </cell>
          <cell r="D86" t="str">
            <v>All mobile</v>
          </cell>
        </row>
        <row r="87">
          <cell r="A87" t="str">
            <v>News/info via browser</v>
          </cell>
          <cell r="B87">
            <v>0.84799999999999998</v>
          </cell>
          <cell r="C87">
            <v>0.58199999999999996</v>
          </cell>
          <cell r="D87">
            <v>0.13100000000000001</v>
          </cell>
        </row>
        <row r="88">
          <cell r="A88" t="str">
            <v>Web search</v>
          </cell>
          <cell r="B88">
            <v>0.58599999999999997</v>
          </cell>
          <cell r="C88">
            <v>0.37</v>
          </cell>
          <cell r="D88">
            <v>6.0999999999999999E-2</v>
          </cell>
        </row>
        <row r="89">
          <cell r="A89" t="str">
            <v>Mobile TV/video</v>
          </cell>
          <cell r="B89">
            <v>0.309</v>
          </cell>
          <cell r="C89">
            <v>0.14199999999999999</v>
          </cell>
          <cell r="D89">
            <v>4.5999999999999999E-2</v>
          </cell>
        </row>
        <row r="90">
          <cell r="A90" t="str">
            <v>On-demand TV/video</v>
          </cell>
          <cell r="B90">
            <v>0.20899999999999999</v>
          </cell>
          <cell r="C90">
            <v>7.0000000000000007E-2</v>
          </cell>
          <cell r="D90">
            <v>1.4E-2</v>
          </cell>
        </row>
        <row r="91">
          <cell r="A91" t="str">
            <v>SNS/blog use</v>
          </cell>
          <cell r="B91">
            <v>0.497</v>
          </cell>
          <cell r="C91">
            <v>0.19400000000000001</v>
          </cell>
          <cell r="D91">
            <v>4.2000000000000003E-2</v>
          </cell>
        </row>
        <row r="92">
          <cell r="A92" t="str">
            <v>Music</v>
          </cell>
          <cell r="B92">
            <v>0.74099999999999999</v>
          </cell>
          <cell r="C92">
            <v>0.27900000000000003</v>
          </cell>
          <cell r="D92">
            <v>6.7000000000000004E-2</v>
          </cell>
        </row>
      </sheetData>
      <sheetData sheetId="7">
        <row r="1">
          <cell r="A1" t="str">
            <v>Gartner</v>
          </cell>
          <cell r="J1" t="str">
            <v>eMarketer</v>
          </cell>
        </row>
        <row r="2">
          <cell r="A2" t="str">
            <v>Publication Date: 29 January 2008</v>
          </cell>
          <cell r="J2" t="str">
            <v>Mobile Location-Based Services</v>
          </cell>
        </row>
        <row r="3">
          <cell r="A3" t="str">
            <v>Dataquest Insight: Location- Based Services Subscriber</v>
          </cell>
          <cell r="J3">
            <v>39722</v>
          </cell>
        </row>
        <row r="4">
          <cell r="A4" t="str">
            <v>and Revenue Forecast, 2006-2011</v>
          </cell>
        </row>
        <row r="7">
          <cell r="A7" t="str">
            <v>Table 1 - subscriber forecasts</v>
          </cell>
          <cell r="J7" t="str">
            <v>Mobile LBS Users worldwide (MM)</v>
          </cell>
        </row>
        <row r="8">
          <cell r="A8" t="str">
            <v>MM</v>
          </cell>
        </row>
        <row r="9">
          <cell r="B9">
            <v>2006</v>
          </cell>
          <cell r="C9">
            <v>2007</v>
          </cell>
          <cell r="D9">
            <v>2008</v>
          </cell>
          <cell r="E9">
            <v>2009</v>
          </cell>
          <cell r="F9">
            <v>2010</v>
          </cell>
          <cell r="G9">
            <v>2011</v>
          </cell>
          <cell r="K9">
            <v>2007</v>
          </cell>
          <cell r="L9">
            <v>2008</v>
          </cell>
          <cell r="M9">
            <v>2009</v>
          </cell>
          <cell r="N9">
            <v>2010</v>
          </cell>
          <cell r="O9">
            <v>2011</v>
          </cell>
          <cell r="P9">
            <v>2012</v>
          </cell>
        </row>
        <row r="10">
          <cell r="A10" t="str">
            <v>Total</v>
          </cell>
          <cell r="B10">
            <v>6.9876000000000005</v>
          </cell>
          <cell r="C10">
            <v>16.077200000000001</v>
          </cell>
          <cell r="D10">
            <v>43.160499999999999</v>
          </cell>
          <cell r="E10">
            <v>95.32419999999999</v>
          </cell>
          <cell r="F10">
            <v>181.87679999999997</v>
          </cell>
          <cell r="G10">
            <v>297.96089999999998</v>
          </cell>
          <cell r="H10">
            <v>1.0748524394833328</v>
          </cell>
          <cell r="J10" t="str">
            <v>Users</v>
          </cell>
          <cell r="K10">
            <v>18.899999999999999</v>
          </cell>
          <cell r="L10">
            <v>61.3</v>
          </cell>
          <cell r="M10">
            <v>134</v>
          </cell>
          <cell r="N10">
            <v>215.3</v>
          </cell>
          <cell r="O10">
            <v>329</v>
          </cell>
          <cell r="P10">
            <v>486</v>
          </cell>
          <cell r="Q10">
            <v>0.91440973045081053</v>
          </cell>
        </row>
        <row r="11">
          <cell r="A11" t="str">
            <v>Western Europe</v>
          </cell>
          <cell r="B11">
            <v>5.4999999999999997E-3</v>
          </cell>
          <cell r="C11">
            <v>0.26200000000000001</v>
          </cell>
          <cell r="D11">
            <v>3.5871</v>
          </cell>
          <cell r="E11">
            <v>12.119399999999999</v>
          </cell>
          <cell r="F11">
            <v>29.5106</v>
          </cell>
          <cell r="G11">
            <v>55.266300000000001</v>
          </cell>
          <cell r="J11" t="str">
            <v>Growth</v>
          </cell>
          <cell r="L11">
            <v>2.2433862433862433</v>
          </cell>
          <cell r="M11">
            <v>1.1859706362153344</v>
          </cell>
          <cell r="N11">
            <v>0.60671641791044784</v>
          </cell>
          <cell r="O11">
            <v>0.52810032512772875</v>
          </cell>
          <cell r="P11">
            <v>0.47720364741641341</v>
          </cell>
        </row>
        <row r="12">
          <cell r="A12" t="str">
            <v>North America</v>
          </cell>
          <cell r="B12">
            <v>2.0352999999999999</v>
          </cell>
          <cell r="C12">
            <v>4.8551000000000002</v>
          </cell>
          <cell r="D12">
            <v>14.733700000000001</v>
          </cell>
          <cell r="E12">
            <v>27.152799999999999</v>
          </cell>
          <cell r="F12">
            <v>48.6967</v>
          </cell>
          <cell r="G12">
            <v>71.456600000000009</v>
          </cell>
        </row>
        <row r="13">
          <cell r="A13" t="str">
            <v>Asia/Pacific</v>
          </cell>
          <cell r="B13">
            <v>1.6259000000000001</v>
          </cell>
          <cell r="C13">
            <v>5.4368999999999996</v>
          </cell>
          <cell r="D13">
            <v>15.4108</v>
          </cell>
          <cell r="E13">
            <v>36.051199999999994</v>
          </cell>
          <cell r="F13">
            <v>68.115899999999996</v>
          </cell>
          <cell r="G13">
            <v>117.15349999999999</v>
          </cell>
        </row>
        <row r="14">
          <cell r="A14" t="str">
            <v>Japan</v>
          </cell>
          <cell r="B14">
            <v>3.3209</v>
          </cell>
          <cell r="C14">
            <v>5.5232000000000001</v>
          </cell>
          <cell r="D14">
            <v>9.4289000000000005</v>
          </cell>
          <cell r="E14">
            <v>20.000799999999998</v>
          </cell>
          <cell r="F14">
            <v>35.553599999999996</v>
          </cell>
          <cell r="G14">
            <v>54.084499999999998</v>
          </cell>
        </row>
        <row r="30">
          <cell r="A30" t="str">
            <v>Table 2 - revenue forecast</v>
          </cell>
        </row>
        <row r="31">
          <cell r="A31" t="str">
            <v>bn</v>
          </cell>
        </row>
        <row r="32">
          <cell r="B32">
            <v>2006</v>
          </cell>
          <cell r="C32">
            <v>2007</v>
          </cell>
          <cell r="D32">
            <v>2008</v>
          </cell>
          <cell r="E32">
            <v>2009</v>
          </cell>
          <cell r="F32">
            <v>2010</v>
          </cell>
          <cell r="G32">
            <v>2011</v>
          </cell>
        </row>
        <row r="33">
          <cell r="A33" t="str">
            <v>Total</v>
          </cell>
          <cell r="B33">
            <v>0.2046</v>
          </cell>
          <cell r="C33">
            <v>0.48519999999999996</v>
          </cell>
          <cell r="D33">
            <v>1.3073000000000001</v>
          </cell>
          <cell r="E33">
            <v>2.7176000000000005</v>
          </cell>
          <cell r="F33">
            <v>5.1031000000000004</v>
          </cell>
          <cell r="G33">
            <v>8.0903000000000009</v>
          </cell>
          <cell r="H33">
            <v>1.020742420477065</v>
          </cell>
        </row>
        <row r="34">
          <cell r="A34" t="str">
            <v>Western Europe</v>
          </cell>
          <cell r="B34">
            <v>2.0000000000000001E-4</v>
          </cell>
          <cell r="C34">
            <v>1.1599999999999999E-2</v>
          </cell>
          <cell r="D34">
            <v>0.16119999999999998</v>
          </cell>
          <cell r="E34">
            <v>0.51919999999999999</v>
          </cell>
          <cell r="F34">
            <v>1.2255999999999998</v>
          </cell>
          <cell r="G34">
            <v>2.2918000000000003</v>
          </cell>
        </row>
        <row r="35">
          <cell r="A35" t="str">
            <v>North America</v>
          </cell>
          <cell r="B35">
            <v>5.5E-2</v>
          </cell>
          <cell r="C35">
            <v>0.14909999999999998</v>
          </cell>
          <cell r="D35">
            <v>0.49130000000000001</v>
          </cell>
          <cell r="E35">
            <v>0.86260000000000003</v>
          </cell>
          <cell r="F35">
            <v>1.5225</v>
          </cell>
          <cell r="G35">
            <v>2.1739000000000002</v>
          </cell>
        </row>
        <row r="36">
          <cell r="A36" t="str">
            <v>Asia/Pacific</v>
          </cell>
          <cell r="B36">
            <v>4.7700000000000006E-2</v>
          </cell>
          <cell r="C36">
            <v>0.15869999999999998</v>
          </cell>
          <cell r="D36">
            <v>0.38600000000000001</v>
          </cell>
          <cell r="E36">
            <v>0.81110000000000004</v>
          </cell>
          <cell r="F36">
            <v>1.5250999999999999</v>
          </cell>
          <cell r="G36">
            <v>2.5516000000000001</v>
          </cell>
        </row>
        <row r="37">
          <cell r="A37" t="str">
            <v>Japan</v>
          </cell>
          <cell r="B37">
            <v>0.1017</v>
          </cell>
          <cell r="C37">
            <v>0.1658</v>
          </cell>
          <cell r="D37">
            <v>0.26880000000000004</v>
          </cell>
          <cell r="E37">
            <v>0.52470000000000006</v>
          </cell>
          <cell r="F37">
            <v>0.82989999999999997</v>
          </cell>
          <cell r="G37">
            <v>1.073</v>
          </cell>
        </row>
        <row r="53">
          <cell r="A53" t="str">
            <v>Gartner</v>
          </cell>
        </row>
        <row r="54">
          <cell r="A54" t="str">
            <v>LBS usage rate</v>
          </cell>
        </row>
        <row r="55">
          <cell r="A55" t="str">
            <v>Hype Cycle for Consumer Mobile Applications, 2008</v>
          </cell>
        </row>
        <row r="56">
          <cell r="A56">
            <v>39630</v>
          </cell>
        </row>
        <row r="58">
          <cell r="A58" t="str">
            <v>South Korea</v>
          </cell>
          <cell r="B58">
            <v>0.12</v>
          </cell>
        </row>
        <row r="59">
          <cell r="A59" t="str">
            <v>Japan</v>
          </cell>
          <cell r="B59">
            <v>0.08</v>
          </cell>
        </row>
        <row r="60">
          <cell r="A60" t="str">
            <v>Australia</v>
          </cell>
          <cell r="B60">
            <v>7.0000000000000007E-2</v>
          </cell>
        </row>
        <row r="61">
          <cell r="A61" t="str">
            <v>Europe</v>
          </cell>
          <cell r="B61">
            <v>0.05</v>
          </cell>
        </row>
        <row r="62">
          <cell r="A62" t="str">
            <v>N. America</v>
          </cell>
          <cell r="B62">
            <v>0.05</v>
          </cell>
        </row>
        <row r="72">
          <cell r="J72" t="str">
            <v>Parks Associates (cited in eMarketer report)</v>
          </cell>
        </row>
        <row r="73">
          <cell r="A73" t="str">
            <v>Gartner</v>
          </cell>
          <cell r="J73" t="str">
            <v>GPS integrated mobile device shipments worldwidw (MM)</v>
          </cell>
        </row>
        <row r="74">
          <cell r="A74" t="str">
            <v>Mobile Business 2.0 Trends</v>
          </cell>
        </row>
        <row r="75">
          <cell r="A75" t="str">
            <v>Page 6</v>
          </cell>
          <cell r="K75">
            <v>2007</v>
          </cell>
          <cell r="L75">
            <v>2008</v>
          </cell>
          <cell r="M75">
            <v>2009</v>
          </cell>
          <cell r="N75">
            <v>2010</v>
          </cell>
          <cell r="O75">
            <v>2011</v>
          </cell>
          <cell r="P75">
            <v>2012</v>
          </cell>
        </row>
        <row r="76">
          <cell r="J76" t="str">
            <v>Units</v>
          </cell>
          <cell r="K76">
            <v>162</v>
          </cell>
          <cell r="L76">
            <v>271</v>
          </cell>
          <cell r="M76">
            <v>394</v>
          </cell>
          <cell r="N76">
            <v>508</v>
          </cell>
          <cell r="O76">
            <v>680</v>
          </cell>
          <cell r="P76">
            <v>834</v>
          </cell>
          <cell r="Q76">
            <v>0.38781062218130447</v>
          </cell>
        </row>
        <row r="78">
          <cell r="A78" t="str">
            <v>GPS in device</v>
          </cell>
          <cell r="B78">
            <v>0.4</v>
          </cell>
        </row>
        <row r="79">
          <cell r="A79" t="str">
            <v>No GPS in device</v>
          </cell>
          <cell r="B79">
            <v>0.6</v>
          </cell>
        </row>
      </sheetData>
      <sheetData sheetId="8">
        <row r="1">
          <cell r="A1" t="str">
            <v>eMarketer</v>
          </cell>
        </row>
        <row r="2">
          <cell r="A2" t="str">
            <v>Mobile Social Networks</v>
          </cell>
        </row>
        <row r="3">
          <cell r="A3">
            <v>39569</v>
          </cell>
        </row>
        <row r="4">
          <cell r="A4" t="str">
            <v>Pg 1</v>
          </cell>
        </row>
        <row r="6">
          <cell r="B6">
            <v>2007</v>
          </cell>
          <cell r="C6">
            <v>2008</v>
          </cell>
          <cell r="D6">
            <v>2009</v>
          </cell>
          <cell r="E6">
            <v>2010</v>
          </cell>
          <cell r="F6">
            <v>2011</v>
          </cell>
          <cell r="G6">
            <v>2012</v>
          </cell>
        </row>
        <row r="7">
          <cell r="A7" t="str">
            <v>Mobile social network users</v>
          </cell>
          <cell r="B7">
            <v>82</v>
          </cell>
          <cell r="C7">
            <v>147</v>
          </cell>
          <cell r="D7">
            <v>243</v>
          </cell>
          <cell r="E7">
            <v>369</v>
          </cell>
          <cell r="F7">
            <v>554</v>
          </cell>
          <cell r="G7">
            <v>803</v>
          </cell>
          <cell r="H7">
            <v>0.57826650080191233</v>
          </cell>
        </row>
        <row r="8">
          <cell r="A8" t="str">
            <v>% of mobile subscribers</v>
          </cell>
          <cell r="B8">
            <v>2.7E-2</v>
          </cell>
          <cell r="C8">
            <v>4.2999999999999997E-2</v>
          </cell>
          <cell r="D8">
            <v>6.6000000000000003E-2</v>
          </cell>
          <cell r="E8">
            <v>9.5000000000000001E-2</v>
          </cell>
          <cell r="F8">
            <v>0.13300000000000001</v>
          </cell>
          <cell r="G8">
            <v>0.188</v>
          </cell>
        </row>
        <row r="25">
          <cell r="A25" t="str">
            <v>eMarketer</v>
          </cell>
        </row>
        <row r="26">
          <cell r="A26" t="str">
            <v>Mobile Social Networks</v>
          </cell>
        </row>
        <row r="27">
          <cell r="A27">
            <v>39569</v>
          </cell>
        </row>
        <row r="28">
          <cell r="A28" t="str">
            <v>Pg 7</v>
          </cell>
        </row>
        <row r="30">
          <cell r="B30" t="str">
            <v>Online</v>
          </cell>
          <cell r="C30" t="str">
            <v>Mobile</v>
          </cell>
        </row>
        <row r="31">
          <cell r="A31" t="str">
            <v>Several times a day</v>
          </cell>
          <cell r="B31">
            <v>0.12</v>
          </cell>
          <cell r="C31">
            <v>0</v>
          </cell>
        </row>
        <row r="32">
          <cell r="A32" t="str">
            <v>Once a day</v>
          </cell>
          <cell r="B32">
            <v>0.08</v>
          </cell>
          <cell r="C32">
            <v>0</v>
          </cell>
        </row>
        <row r="33">
          <cell r="A33" t="str">
            <v>Several times a week</v>
          </cell>
          <cell r="B33">
            <v>0.23</v>
          </cell>
          <cell r="C33">
            <v>7.0000000000000007E-2</v>
          </cell>
        </row>
        <row r="34">
          <cell r="A34" t="str">
            <v>Once a week</v>
          </cell>
          <cell r="B34">
            <v>0.08</v>
          </cell>
          <cell r="C34">
            <v>7.0000000000000007E-2</v>
          </cell>
        </row>
        <row r="35">
          <cell r="A35" t="str">
            <v>Several times a month</v>
          </cell>
          <cell r="B35">
            <v>0.26</v>
          </cell>
          <cell r="C35">
            <v>0.11</v>
          </cell>
        </row>
        <row r="36">
          <cell r="A36" t="str">
            <v>Once in awhile</v>
          </cell>
          <cell r="B36">
            <v>0.15</v>
          </cell>
          <cell r="C36">
            <v>0.42</v>
          </cell>
        </row>
        <row r="37">
          <cell r="A37" t="str">
            <v>Never</v>
          </cell>
          <cell r="B37">
            <v>0.08</v>
          </cell>
          <cell r="C37">
            <v>0.33</v>
          </cell>
        </row>
        <row r="53">
          <cell r="A53" t="str">
            <v>eMarketer</v>
          </cell>
        </row>
        <row r="54">
          <cell r="A54" t="str">
            <v>Mobile Social Networks</v>
          </cell>
        </row>
        <row r="55">
          <cell r="A55">
            <v>39569</v>
          </cell>
        </row>
        <row r="56">
          <cell r="A56" t="str">
            <v>Pg 6</v>
          </cell>
        </row>
        <row r="58">
          <cell r="B58" t="str">
            <v>Social network users</v>
          </cell>
          <cell r="C58" t="str">
            <v>Non-social network users</v>
          </cell>
        </row>
        <row r="59">
          <cell r="A59" t="str">
            <v>Sent/received SMS text</v>
          </cell>
          <cell r="B59">
            <v>0.6</v>
          </cell>
          <cell r="C59">
            <v>0.25</v>
          </cell>
        </row>
        <row r="60">
          <cell r="A60" t="str">
            <v>Sent/received email</v>
          </cell>
          <cell r="B60">
            <v>0.59</v>
          </cell>
          <cell r="C60">
            <v>0.42</v>
          </cell>
        </row>
        <row r="61">
          <cell r="A61" t="str">
            <v>Browsed Internet for news/info</v>
          </cell>
          <cell r="B61">
            <v>0.59</v>
          </cell>
          <cell r="C61">
            <v>0.39</v>
          </cell>
        </row>
        <row r="62">
          <cell r="A62" t="str">
            <v>Sent/received digital pics</v>
          </cell>
          <cell r="B62">
            <v>0.54</v>
          </cell>
          <cell r="C62">
            <v>0.28999999999999998</v>
          </cell>
        </row>
        <row r="63">
          <cell r="A63" t="str">
            <v>Played video game</v>
          </cell>
          <cell r="B63">
            <v>0.42</v>
          </cell>
          <cell r="C63">
            <v>0.17</v>
          </cell>
        </row>
        <row r="85">
          <cell r="A85" t="str">
            <v>Frost, Insight into US mobile SNS, March 2008</v>
          </cell>
        </row>
        <row r="86">
          <cell r="A86" t="str">
            <v>F i g u r e 4 - 1</v>
          </cell>
        </row>
        <row r="87">
          <cell r="A87" t="str">
            <v>An Insight into U.S. Mobile Social Networking Market: Application Revenues from On-deck</v>
          </cell>
        </row>
        <row r="88">
          <cell r="A88" t="str">
            <v>Mobile Social Networking Services (U.S.), 2007-2012</v>
          </cell>
        </row>
        <row r="90">
          <cell r="B90" t="str">
            <v>Revenues (MM)</v>
          </cell>
        </row>
        <row r="91">
          <cell r="A91">
            <v>2007</v>
          </cell>
          <cell r="B91">
            <v>57.4</v>
          </cell>
        </row>
        <row r="92">
          <cell r="A92">
            <v>2008</v>
          </cell>
          <cell r="B92">
            <v>140.9</v>
          </cell>
        </row>
        <row r="93">
          <cell r="A93">
            <v>2009</v>
          </cell>
          <cell r="B93">
            <v>216</v>
          </cell>
        </row>
        <row r="94">
          <cell r="A94">
            <v>2010</v>
          </cell>
          <cell r="B94">
            <v>294</v>
          </cell>
        </row>
        <row r="95">
          <cell r="A95">
            <v>2011</v>
          </cell>
          <cell r="B95">
            <v>365.4</v>
          </cell>
        </row>
        <row r="96">
          <cell r="A96">
            <v>2012</v>
          </cell>
          <cell r="B96">
            <v>412.1</v>
          </cell>
        </row>
        <row r="97">
          <cell r="B97">
            <v>0.48326293525306396</v>
          </cell>
        </row>
      </sheetData>
      <sheetData sheetId="9">
        <row r="1">
          <cell r="A1" t="str">
            <v>IDC</v>
          </cell>
        </row>
        <row r="2">
          <cell r="A2" t="str">
            <v>Worldwide Mobile Worker Population by Segment, 2006–2011 (M)</v>
          </cell>
        </row>
        <row r="3">
          <cell r="A3" t="str">
            <v>Figure 4</v>
          </cell>
        </row>
        <row r="5">
          <cell r="B5">
            <v>2006</v>
          </cell>
          <cell r="C5">
            <v>2011</v>
          </cell>
        </row>
        <row r="6">
          <cell r="A6" t="str">
            <v>APAC</v>
          </cell>
          <cell r="B6">
            <v>0.63300000000000001</v>
          </cell>
          <cell r="C6">
            <v>0.66800000000000004</v>
          </cell>
        </row>
        <row r="7">
          <cell r="A7" t="str">
            <v>US</v>
          </cell>
          <cell r="B7">
            <v>0.13900000000000001</v>
          </cell>
          <cell r="C7">
            <v>0.11899999999999999</v>
          </cell>
        </row>
        <row r="8">
          <cell r="A8" t="str">
            <v>W. Europe</v>
          </cell>
          <cell r="B8">
            <v>0.113</v>
          </cell>
          <cell r="C8">
            <v>9.2999999999999999E-2</v>
          </cell>
        </row>
        <row r="9">
          <cell r="A9" t="str">
            <v>Japan</v>
          </cell>
          <cell r="B9">
            <v>4.5999999999999999E-2</v>
          </cell>
          <cell r="C9">
            <v>5.2999999999999999E-2</v>
          </cell>
        </row>
        <row r="10">
          <cell r="A10" t="str">
            <v>ROW</v>
          </cell>
          <cell r="B10">
            <v>6.9000000000000006E-2</v>
          </cell>
          <cell r="C10">
            <v>6.7000000000000004E-2</v>
          </cell>
        </row>
        <row r="29">
          <cell r="A29" t="str">
            <v>IDC</v>
          </cell>
        </row>
        <row r="30">
          <cell r="A30" t="str">
            <v>Worldwide Mobile Worker Population by Segment, 2006–2011 (M)</v>
          </cell>
        </row>
        <row r="31">
          <cell r="A31" t="str">
            <v>Table 2</v>
          </cell>
        </row>
        <row r="32">
          <cell r="B32">
            <v>2006</v>
          </cell>
          <cell r="C32">
            <v>2007</v>
          </cell>
          <cell r="D32">
            <v>2008</v>
          </cell>
          <cell r="E32">
            <v>2009</v>
          </cell>
          <cell r="F32">
            <v>2010</v>
          </cell>
          <cell r="G32">
            <v>2011</v>
          </cell>
        </row>
        <row r="33">
          <cell r="A33" t="str">
            <v>Mobile office</v>
          </cell>
          <cell r="B33">
            <v>472.7</v>
          </cell>
          <cell r="C33">
            <v>498.7</v>
          </cell>
          <cell r="D33">
            <v>527.6</v>
          </cell>
          <cell r="E33">
            <v>556.70000000000005</v>
          </cell>
          <cell r="F33">
            <v>588.29999999999995</v>
          </cell>
          <cell r="G33">
            <v>622.9</v>
          </cell>
        </row>
        <row r="34">
          <cell r="A34" t="str">
            <v>Mobile nonoffice</v>
          </cell>
          <cell r="B34">
            <v>240.5</v>
          </cell>
          <cell r="C34">
            <v>254.7</v>
          </cell>
          <cell r="D34">
            <v>269.8</v>
          </cell>
          <cell r="E34">
            <v>286.7</v>
          </cell>
          <cell r="F34">
            <v>304</v>
          </cell>
          <cell r="G34">
            <v>324.39999999999998</v>
          </cell>
        </row>
        <row r="35">
          <cell r="A35" t="str">
            <v>Mobile home based</v>
          </cell>
          <cell r="B35">
            <v>45.4</v>
          </cell>
          <cell r="C35">
            <v>47.7</v>
          </cell>
          <cell r="D35">
            <v>50.5</v>
          </cell>
          <cell r="E35">
            <v>53.1</v>
          </cell>
          <cell r="F35">
            <v>55.4</v>
          </cell>
          <cell r="G35">
            <v>58</v>
          </cell>
        </row>
        <row r="36">
          <cell r="B36">
            <v>758.6</v>
          </cell>
          <cell r="C36">
            <v>801.1</v>
          </cell>
          <cell r="D36">
            <v>847.90000000000009</v>
          </cell>
          <cell r="E36">
            <v>896.50000000000011</v>
          </cell>
          <cell r="F36">
            <v>947.69999999999993</v>
          </cell>
          <cell r="G36">
            <v>1005.3</v>
          </cell>
          <cell r="H36">
            <v>5.7929113618942152E-2</v>
          </cell>
        </row>
        <row r="58">
          <cell r="A58" t="str">
            <v>IDC</v>
          </cell>
        </row>
        <row r="59">
          <cell r="A59" t="str">
            <v>Wor ldwi d e Corporate Mob ile Emai l 2008-2012, Forecast a n d Anal ysi s</v>
          </cell>
        </row>
        <row r="60">
          <cell r="A60" t="str">
            <v>Table 2, Page 11</v>
          </cell>
        </row>
        <row r="61">
          <cell r="A61" t="str">
            <v>March 2008</v>
          </cell>
        </row>
        <row r="62">
          <cell r="A62" t="str">
            <v>$bn</v>
          </cell>
        </row>
        <row r="63">
          <cell r="B63">
            <v>2007</v>
          </cell>
          <cell r="C63">
            <v>2008</v>
          </cell>
          <cell r="D63">
            <v>2009</v>
          </cell>
          <cell r="E63">
            <v>2010</v>
          </cell>
          <cell r="F63">
            <v>2011</v>
          </cell>
          <cell r="G63">
            <v>2012</v>
          </cell>
        </row>
        <row r="64">
          <cell r="A64" t="str">
            <v>Americas</v>
          </cell>
          <cell r="B64">
            <v>262.74</v>
          </cell>
          <cell r="C64">
            <v>335.6</v>
          </cell>
          <cell r="D64">
            <v>442.8</v>
          </cell>
          <cell r="E64">
            <v>563.26</v>
          </cell>
          <cell r="F64">
            <v>692.04</v>
          </cell>
          <cell r="G64">
            <v>824.9</v>
          </cell>
          <cell r="H64">
            <v>0.25711503805619373</v>
          </cell>
        </row>
        <row r="65">
          <cell r="A65" t="str">
            <v>EMEA</v>
          </cell>
          <cell r="B65">
            <v>120.54</v>
          </cell>
          <cell r="C65">
            <v>157.19999999999999</v>
          </cell>
          <cell r="D65">
            <v>217.5</v>
          </cell>
          <cell r="E65">
            <v>284.36</v>
          </cell>
          <cell r="F65">
            <v>356.24</v>
          </cell>
          <cell r="G65">
            <v>430.8</v>
          </cell>
          <cell r="H65">
            <v>0.29011641623541728</v>
          </cell>
        </row>
        <row r="66">
          <cell r="A66" t="str">
            <v>Asia/Pacific</v>
          </cell>
          <cell r="B66">
            <v>26.6</v>
          </cell>
          <cell r="C66">
            <v>36.5</v>
          </cell>
          <cell r="D66">
            <v>50.5</v>
          </cell>
          <cell r="E66">
            <v>66.8</v>
          </cell>
          <cell r="F66">
            <v>86.2</v>
          </cell>
          <cell r="G66">
            <v>107.7</v>
          </cell>
          <cell r="H66">
            <v>0.32271662859300854</v>
          </cell>
        </row>
        <row r="67">
          <cell r="B67">
            <v>409.88000000000005</v>
          </cell>
          <cell r="C67">
            <v>529.29999999999995</v>
          </cell>
          <cell r="D67">
            <v>710.8</v>
          </cell>
          <cell r="E67">
            <v>914.42</v>
          </cell>
          <cell r="F67">
            <v>1134.48</v>
          </cell>
          <cell r="G67">
            <v>1363.4</v>
          </cell>
          <cell r="H67">
            <v>0.27172530320923505</v>
          </cell>
        </row>
        <row r="69">
          <cell r="J69" t="str">
            <v>2007-12E CAGRs</v>
          </cell>
        </row>
        <row r="70">
          <cell r="J70" t="str">
            <v>Americas</v>
          </cell>
          <cell r="K70">
            <v>0.25711503805619373</v>
          </cell>
        </row>
        <row r="71">
          <cell r="J71" t="str">
            <v>EMEA</v>
          </cell>
          <cell r="K71">
            <v>0.29011641623541728</v>
          </cell>
        </row>
        <row r="72">
          <cell r="J72" t="str">
            <v>Asia/Pacific</v>
          </cell>
          <cell r="K72">
            <v>0.32271662859300854</v>
          </cell>
        </row>
        <row r="73">
          <cell r="J73" t="str">
            <v>Total</v>
          </cell>
          <cell r="K73">
            <v>0.27172530320923505</v>
          </cell>
        </row>
      </sheetData>
      <sheetData sheetId="10"/>
      <sheetData sheetId="11"/>
      <sheetData sheetId="12"/>
      <sheetData sheetId="13"/>
      <sheetData sheetId="14">
        <row r="1">
          <cell r="A1" t="str">
            <v>Merrill Lynch, 2008.09.25</v>
          </cell>
        </row>
        <row r="2">
          <cell r="A2" t="str">
            <v>Global wireless matrix, Q2 2008, Page 190</v>
          </cell>
        </row>
        <row r="4">
          <cell r="A4" t="str">
            <v>US</v>
          </cell>
          <cell r="B4">
            <v>2006</v>
          </cell>
          <cell r="C4">
            <v>2007</v>
          </cell>
          <cell r="D4">
            <v>2008</v>
          </cell>
          <cell r="E4">
            <v>2009</v>
          </cell>
          <cell r="F4">
            <v>2010</v>
          </cell>
        </row>
        <row r="6">
          <cell r="A6" t="str">
            <v>Population (mn)</v>
          </cell>
          <cell r="B6">
            <v>299.10000000000002</v>
          </cell>
          <cell r="C6">
            <v>302</v>
          </cell>
          <cell r="D6">
            <v>305</v>
          </cell>
          <cell r="E6">
            <v>308</v>
          </cell>
          <cell r="F6">
            <v>311.10000000000002</v>
          </cell>
        </row>
        <row r="7">
          <cell r="A7" t="str">
            <v>Wireless Penetration</v>
          </cell>
          <cell r="B7">
            <v>0.77900000000000003</v>
          </cell>
          <cell r="C7">
            <v>0.84</v>
          </cell>
          <cell r="D7">
            <v>0.89400000000000002</v>
          </cell>
          <cell r="E7">
            <v>0.93300000000000005</v>
          </cell>
          <cell r="F7">
            <v>0.96499999999999997</v>
          </cell>
        </row>
        <row r="8">
          <cell r="A8" t="str">
            <v>Increase</v>
          </cell>
          <cell r="B8">
            <v>7.8E-2</v>
          </cell>
          <cell r="C8">
            <v>0.06</v>
          </cell>
          <cell r="D8">
            <v>3.3000000000000002E-2</v>
          </cell>
          <cell r="E8">
            <v>0.03</v>
          </cell>
          <cell r="F8">
            <v>2.7E-2</v>
          </cell>
        </row>
        <row r="10">
          <cell r="A10" t="str">
            <v>Subscribers (MMs)</v>
          </cell>
        </row>
        <row r="11">
          <cell r="B11">
            <v>2006</v>
          </cell>
          <cell r="C11">
            <v>2007</v>
          </cell>
          <cell r="D11">
            <v>2008</v>
          </cell>
          <cell r="E11">
            <v>2009</v>
          </cell>
          <cell r="F11">
            <v>2010</v>
          </cell>
        </row>
        <row r="12">
          <cell r="A12" t="str">
            <v>Verizon Wireless</v>
          </cell>
          <cell r="B12">
            <v>59.052</v>
          </cell>
          <cell r="C12">
            <v>65.706999999999994</v>
          </cell>
          <cell r="D12">
            <v>72.656999999999996</v>
          </cell>
          <cell r="E12">
            <v>88.507000000000005</v>
          </cell>
          <cell r="F12">
            <v>91.007000000000005</v>
          </cell>
        </row>
        <row r="13">
          <cell r="A13" t="str">
            <v>AT&amp;T Mobility</v>
          </cell>
          <cell r="B13">
            <v>60.962000000000003</v>
          </cell>
          <cell r="C13">
            <v>70.052000000000007</v>
          </cell>
          <cell r="D13">
            <v>76.152000000000001</v>
          </cell>
          <cell r="E13">
            <v>81.152000000000001</v>
          </cell>
          <cell r="F13">
            <v>84.652000000000001</v>
          </cell>
        </row>
        <row r="14">
          <cell r="A14" t="str">
            <v>T-Mobile USA</v>
          </cell>
          <cell r="B14">
            <v>25.041</v>
          </cell>
          <cell r="C14">
            <v>28.684999999999999</v>
          </cell>
          <cell r="D14">
            <v>32.835000000000001</v>
          </cell>
          <cell r="E14">
            <v>35.5</v>
          </cell>
          <cell r="F14">
            <v>37.710999999999999</v>
          </cell>
        </row>
        <row r="15">
          <cell r="A15" t="str">
            <v>Sprint</v>
          </cell>
          <cell r="B15">
            <v>41.805</v>
          </cell>
          <cell r="C15">
            <v>40.747999999999998</v>
          </cell>
          <cell r="D15">
            <v>37.548000000000002</v>
          </cell>
          <cell r="E15">
            <v>36.798000000000002</v>
          </cell>
          <cell r="F15">
            <v>37.298000000000002</v>
          </cell>
        </row>
        <row r="16">
          <cell r="A16" t="str">
            <v>Others</v>
          </cell>
          <cell r="B16">
            <v>46.180999999999997</v>
          </cell>
          <cell r="C16">
            <v>50.203000000000003</v>
          </cell>
          <cell r="D16">
            <v>53.671999999999997</v>
          </cell>
          <cell r="E16">
            <v>48.112000000000002</v>
          </cell>
          <cell r="F16">
            <v>53.545000000000002</v>
          </cell>
        </row>
        <row r="17">
          <cell r="B17">
            <v>233.041</v>
          </cell>
          <cell r="C17">
            <v>255.39500000000001</v>
          </cell>
          <cell r="D17">
            <v>272.86400000000003</v>
          </cell>
          <cell r="E17">
            <v>290.06900000000002</v>
          </cell>
          <cell r="F17">
            <v>304.21300000000002</v>
          </cell>
        </row>
        <row r="18">
          <cell r="A18" t="str">
            <v>YoY growth</v>
          </cell>
          <cell r="B18">
            <v>0.121</v>
          </cell>
          <cell r="C18">
            <v>9.6000000000000002E-2</v>
          </cell>
          <cell r="D18">
            <v>6.8000000000000005E-2</v>
          </cell>
          <cell r="E18">
            <v>6.3E-2</v>
          </cell>
          <cell r="F18">
            <v>4.9000000000000002E-2</v>
          </cell>
        </row>
        <row r="20">
          <cell r="A20" t="str">
            <v>Subscriber market share (%)</v>
          </cell>
        </row>
        <row r="21">
          <cell r="B21">
            <v>2006</v>
          </cell>
          <cell r="C21">
            <v>2007</v>
          </cell>
          <cell r="D21">
            <v>2008</v>
          </cell>
          <cell r="E21">
            <v>2009</v>
          </cell>
          <cell r="F21">
            <v>2010</v>
          </cell>
        </row>
        <row r="22">
          <cell r="A22" t="str">
            <v>Verizon Wireless</v>
          </cell>
          <cell r="B22">
            <v>0.25339747083131292</v>
          </cell>
          <cell r="C22">
            <v>0.25727598425967613</v>
          </cell>
          <cell r="D22">
            <v>0.26627550721238413</v>
          </cell>
          <cell r="E22">
            <v>0.30512395326629183</v>
          </cell>
          <cell r="F22">
            <v>0.29915552589797278</v>
          </cell>
        </row>
        <row r="23">
          <cell r="A23" t="str">
            <v>AT&amp;T Mobility</v>
          </cell>
          <cell r="B23">
            <v>0.2615934535124721</v>
          </cell>
          <cell r="C23">
            <v>0.27428884668846298</v>
          </cell>
          <cell r="D23">
            <v>0.27908408584496303</v>
          </cell>
          <cell r="E23">
            <v>0.27976791728864508</v>
          </cell>
          <cell r="F23">
            <v>0.27826555735619452</v>
          </cell>
        </row>
        <row r="24">
          <cell r="A24" t="str">
            <v>T-Mobile USA</v>
          </cell>
          <cell r="B24">
            <v>0.10745319493136402</v>
          </cell>
          <cell r="C24">
            <v>0.11231621605747959</v>
          </cell>
          <cell r="D24">
            <v>0.12033467221766153</v>
          </cell>
          <cell r="E24">
            <v>0.12238467399136067</v>
          </cell>
          <cell r="F24">
            <v>0.12396248681022834</v>
          </cell>
        </row>
        <row r="25">
          <cell r="A25" t="str">
            <v>Sprint</v>
          </cell>
          <cell r="B25">
            <v>0.17938903454756888</v>
          </cell>
          <cell r="C25">
            <v>0.15954893400418957</v>
          </cell>
          <cell r="D25">
            <v>0.13760701301747388</v>
          </cell>
          <cell r="E25">
            <v>0.12685947136715747</v>
          </cell>
          <cell r="F25">
            <v>0.12260488539280044</v>
          </cell>
        </row>
        <row r="26">
          <cell r="A26" t="str">
            <v>Others</v>
          </cell>
          <cell r="B26">
            <v>0.19816684617728211</v>
          </cell>
          <cell r="C26">
            <v>0.19657001899019166</v>
          </cell>
          <cell r="D26">
            <v>0.19669872170751726</v>
          </cell>
          <cell r="E26">
            <v>0.16586398408654493</v>
          </cell>
          <cell r="F26">
            <v>0.17601154454280388</v>
          </cell>
        </row>
        <row r="28">
          <cell r="A28">
            <v>1000</v>
          </cell>
        </row>
        <row r="29">
          <cell r="A29" t="str">
            <v>Net subscriber adds (000)</v>
          </cell>
          <cell r="B29">
            <v>2006</v>
          </cell>
          <cell r="C29">
            <v>2007</v>
          </cell>
          <cell r="D29">
            <v>2008</v>
          </cell>
          <cell r="E29">
            <v>2009</v>
          </cell>
          <cell r="F29">
            <v>2010</v>
          </cell>
        </row>
        <row r="30">
          <cell r="A30" t="str">
            <v>Verizon Wireless</v>
          </cell>
          <cell r="B30">
            <v>7.7149999999999999</v>
          </cell>
          <cell r="C30">
            <v>6.6550000000000002</v>
          </cell>
          <cell r="D30">
            <v>6.25</v>
          </cell>
          <cell r="E30">
            <v>4.3499999999999996</v>
          </cell>
          <cell r="F30">
            <v>2.5</v>
          </cell>
        </row>
        <row r="31">
          <cell r="A31" t="str">
            <v>AT&amp;T Mobility</v>
          </cell>
          <cell r="B31">
            <v>6.8179999999999996</v>
          </cell>
          <cell r="C31">
            <v>7.3150000000000004</v>
          </cell>
          <cell r="D31">
            <v>6.1</v>
          </cell>
          <cell r="E31">
            <v>5</v>
          </cell>
          <cell r="F31">
            <v>3.5</v>
          </cell>
        </row>
        <row r="32">
          <cell r="A32" t="str">
            <v>T-Mobile USA</v>
          </cell>
          <cell r="B32">
            <v>3.351</v>
          </cell>
          <cell r="C32">
            <v>3.6440000000000001</v>
          </cell>
          <cell r="D32">
            <v>3.15</v>
          </cell>
          <cell r="E32">
            <v>2.665</v>
          </cell>
          <cell r="F32">
            <v>2.2109999999999999</v>
          </cell>
        </row>
        <row r="33">
          <cell r="A33" t="str">
            <v>Sprint</v>
          </cell>
          <cell r="B33">
            <v>4.8280000000000003</v>
          </cell>
          <cell r="C33">
            <v>-1.0569999999999999</v>
          </cell>
          <cell r="D33">
            <v>-3.2</v>
          </cell>
          <cell r="E33">
            <v>-0.75</v>
          </cell>
          <cell r="F33">
            <v>0.5</v>
          </cell>
        </row>
        <row r="34">
          <cell r="A34" t="str">
            <v>Others</v>
          </cell>
          <cell r="B34">
            <v>2.4329999999999998</v>
          </cell>
          <cell r="C34">
            <v>4.9340000000000002</v>
          </cell>
          <cell r="D34">
            <v>5.1689999999999996</v>
          </cell>
          <cell r="E34">
            <v>5.94</v>
          </cell>
          <cell r="F34">
            <v>5.4340000000000002</v>
          </cell>
        </row>
        <row r="35">
          <cell r="B35">
            <v>25.145</v>
          </cell>
          <cell r="C35">
            <v>21.491</v>
          </cell>
          <cell r="D35">
            <v>17.469000000000001</v>
          </cell>
          <cell r="E35">
            <v>17.204999999999998</v>
          </cell>
          <cell r="F35">
            <v>14.144</v>
          </cell>
        </row>
        <row r="36">
          <cell r="A36" t="str">
            <v>YoY growth</v>
          </cell>
          <cell r="B36">
            <v>-2.4E-2</v>
          </cell>
          <cell r="C36">
            <v>-0.14499999999999999</v>
          </cell>
          <cell r="D36">
            <v>-0.187</v>
          </cell>
          <cell r="E36">
            <v>-1.4999999999999999E-2</v>
          </cell>
          <cell r="F36">
            <v>-0.17799999999999999</v>
          </cell>
        </row>
        <row r="39">
          <cell r="A39" t="str">
            <v>Market share of net adds</v>
          </cell>
          <cell r="B39">
            <v>2006</v>
          </cell>
          <cell r="C39">
            <v>2007</v>
          </cell>
          <cell r="D39">
            <v>2008</v>
          </cell>
          <cell r="E39">
            <v>2009</v>
          </cell>
          <cell r="F39">
            <v>2010</v>
          </cell>
        </row>
        <row r="40">
          <cell r="A40" t="str">
            <v>Verizon Wireless</v>
          </cell>
          <cell r="B40">
            <v>0.30682044143965004</v>
          </cell>
          <cell r="C40">
            <v>0.30966451072541995</v>
          </cell>
          <cell r="D40">
            <v>0.35777663289255252</v>
          </cell>
          <cell r="E40">
            <v>0.25283347863993028</v>
          </cell>
          <cell r="F40">
            <v>0.17675339366515838</v>
          </cell>
        </row>
        <row r="41">
          <cell r="A41" t="str">
            <v>AT&amp;T Mobility</v>
          </cell>
          <cell r="B41">
            <v>0.27114734539669916</v>
          </cell>
          <cell r="C41">
            <v>0.3403750407147178</v>
          </cell>
          <cell r="D41">
            <v>0.3491899937031312</v>
          </cell>
          <cell r="E41">
            <v>0.29061319383900031</v>
          </cell>
          <cell r="F41">
            <v>0.24745475113122173</v>
          </cell>
        </row>
        <row r="42">
          <cell r="A42" t="str">
            <v>T-Mobile USA</v>
          </cell>
          <cell r="B42">
            <v>0.13326705110359913</v>
          </cell>
          <cell r="C42">
            <v>0.16955935042575962</v>
          </cell>
          <cell r="D42">
            <v>0.18031942297784645</v>
          </cell>
          <cell r="E42">
            <v>0.15489683231618717</v>
          </cell>
          <cell r="F42">
            <v>0.15632070135746606</v>
          </cell>
        </row>
        <row r="43">
          <cell r="A43" t="str">
            <v>Sprint</v>
          </cell>
          <cell r="B43">
            <v>0.1920063630940545</v>
          </cell>
          <cell r="C43">
            <v>-4.9183379088920939E-2</v>
          </cell>
          <cell r="D43">
            <v>-0.18318163604098689</v>
          </cell>
          <cell r="E43">
            <v>-4.3591979075850044E-2</v>
          </cell>
          <cell r="F43">
            <v>3.5350678733031674E-2</v>
          </cell>
        </row>
        <row r="44">
          <cell r="A44" t="str">
            <v>Others</v>
          </cell>
          <cell r="B44">
            <v>9.6758798965997206E-2</v>
          </cell>
          <cell r="C44">
            <v>0.22958447722302361</v>
          </cell>
          <cell r="D44">
            <v>0.29589558646745662</v>
          </cell>
          <cell r="E44">
            <v>0.34524847428073241</v>
          </cell>
          <cell r="F44">
            <v>0.38419117647058826</v>
          </cell>
        </row>
        <row r="50">
          <cell r="H50" t="str">
            <v>Subscriber CAGR 2007-2010</v>
          </cell>
        </row>
        <row r="51">
          <cell r="H51" t="str">
            <v>Verizon Wireless</v>
          </cell>
          <cell r="I51">
            <v>0.11469072227119881</v>
          </cell>
        </row>
        <row r="52">
          <cell r="H52" t="str">
            <v>AT&amp;T Mobility</v>
          </cell>
          <cell r="I52">
            <v>6.5137221346260876E-2</v>
          </cell>
        </row>
        <row r="53">
          <cell r="H53" t="str">
            <v>T-Mobile USA</v>
          </cell>
          <cell r="I53">
            <v>9.5479861560993529E-2</v>
          </cell>
        </row>
        <row r="54">
          <cell r="H54" t="str">
            <v>Sprint</v>
          </cell>
          <cell r="I54">
            <v>-2.9058459154990057E-2</v>
          </cell>
        </row>
        <row r="55">
          <cell r="H55" t="str">
            <v>Others</v>
          </cell>
          <cell r="I55">
            <v>2.1714956482499881E-2</v>
          </cell>
        </row>
        <row r="56">
          <cell r="H56" t="str">
            <v>Total</v>
          </cell>
          <cell r="I56">
            <v>6.0038875615728626E-2</v>
          </cell>
        </row>
        <row r="64">
          <cell r="A64" t="str">
            <v>Churn</v>
          </cell>
        </row>
        <row r="65">
          <cell r="B65">
            <v>2006</v>
          </cell>
          <cell r="C65">
            <v>2007</v>
          </cell>
          <cell r="D65">
            <v>2008</v>
          </cell>
          <cell r="E65">
            <v>2009</v>
          </cell>
          <cell r="F65">
            <v>2010</v>
          </cell>
        </row>
        <row r="66">
          <cell r="A66" t="str">
            <v>Verizon Wireless</v>
          </cell>
          <cell r="B66">
            <v>1.2E-2</v>
          </cell>
          <cell r="C66">
            <v>1.2E-2</v>
          </cell>
          <cell r="D66">
            <v>1.2999999999999999E-2</v>
          </cell>
          <cell r="E66">
            <v>1.4E-2</v>
          </cell>
          <cell r="F66">
            <v>1.4E-2</v>
          </cell>
        </row>
        <row r="67">
          <cell r="A67" t="str">
            <v>AT&amp;T Mobility</v>
          </cell>
          <cell r="B67">
            <v>1.7999999999999999E-2</v>
          </cell>
          <cell r="C67">
            <v>1.7000000000000001E-2</v>
          </cell>
          <cell r="D67">
            <v>1.6E-2</v>
          </cell>
          <cell r="E67">
            <v>1.6E-2</v>
          </cell>
          <cell r="F67">
            <v>1.7000000000000001E-2</v>
          </cell>
        </row>
        <row r="68">
          <cell r="A68" t="str">
            <v>T-Mobile USA</v>
          </cell>
          <cell r="B68">
            <v>2.9000000000000001E-2</v>
          </cell>
          <cell r="C68">
            <v>2.8000000000000001E-2</v>
          </cell>
          <cell r="D68">
            <v>2.7E-2</v>
          </cell>
          <cell r="E68">
            <v>2.5999999999999999E-2</v>
          </cell>
          <cell r="F68">
            <v>2.5000000000000001E-2</v>
          </cell>
        </row>
        <row r="69">
          <cell r="A69" t="str">
            <v>Sprint</v>
          </cell>
          <cell r="B69">
            <v>2.3E-2</v>
          </cell>
          <cell r="C69">
            <v>2.1999999999999999E-2</v>
          </cell>
          <cell r="D69">
            <v>2.1000000000000001E-2</v>
          </cell>
          <cell r="E69">
            <v>1.9E-2</v>
          </cell>
          <cell r="F69">
            <v>1.7999999999999999E-2</v>
          </cell>
        </row>
      </sheetData>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
      <sheetName val="Loyal &amp; Fast Growing  (2)"/>
      <sheetName val="CapTable"/>
      <sheetName val="Captable 2"/>
      <sheetName val="Roadshow"/>
      <sheetName val="Loyal &amp; Fast Growing "/>
      <sheetName val="Univque visitors vs peers"/>
      <sheetName val="Summary "/>
      <sheetName val="Rapid viral growth"/>
      <sheetName val="user data"/>
      <sheetName val="industry dynamics"/>
      <sheetName val="Sheet3"/>
      <sheetName val="graph of user growth"/>
      <sheetName val="Mobile search &amp; ads"/>
      <sheetName val="usage rates"/>
      <sheetName val="secular industry"/>
      <sheetName val="Sheet2"/>
      <sheetName val="Mobile Music"/>
      <sheetName val="Operator share"/>
      <sheetName val="Mobile TV &amp; Video"/>
      <sheetName val="Mobile SNS"/>
      <sheetName val="Mobile LBS"/>
      <sheetName val="Mobile data apps"/>
      <sheetName val="Mobile enterprise"/>
      <sheetName val="Mobile gaming"/>
      <sheetName val="Converged devic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eMarketer</v>
          </cell>
        </row>
        <row r="3">
          <cell r="A3" t="str">
            <v>Mobile Social Networking Users</v>
          </cell>
        </row>
        <row r="7">
          <cell r="B7">
            <v>2007</v>
          </cell>
          <cell r="C7">
            <v>2008</v>
          </cell>
          <cell r="D7">
            <v>2009</v>
          </cell>
          <cell r="E7">
            <v>2010</v>
          </cell>
          <cell r="F7">
            <v>2011</v>
          </cell>
          <cell r="G7">
            <v>2012</v>
          </cell>
        </row>
        <row r="8">
          <cell r="A8" t="str">
            <v>Mobile Internet users</v>
          </cell>
          <cell r="B8">
            <v>82</v>
          </cell>
          <cell r="C8">
            <v>406.49</v>
          </cell>
          <cell r="D8">
            <v>596</v>
          </cell>
          <cell r="E8">
            <v>757</v>
          </cell>
          <cell r="F8">
            <v>982</v>
          </cell>
          <cell r="G8">
            <v>1228</v>
          </cell>
          <cell r="H8">
            <v>0.71821261346718424</v>
          </cell>
        </row>
      </sheetData>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ME Factor"/>
      <sheetName val="Football Field"/>
    </sheetNames>
    <sheetDataSet>
      <sheetData sheetId="0" refreshError="1"/>
      <sheetData sheetId="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XXXXXXXXXXXXXXXXXXX"/>
      <sheetName val="WW Spend Input"/>
      <sheetName val="FID Input"/>
      <sheetName val="Other STD COGS Input"/>
      <sheetName val="Matl Var Input"/>
      <sheetName val="Inventory"/>
      <sheetName val="HPC Flows"/>
      <sheetName val="VOLUME Flows"/>
      <sheetName val="RPG Flows "/>
      <sheetName val="IA32 Flows"/>
      <sheetName val="Total P&amp;L's"/>
      <sheetName val="HPC"/>
      <sheetName val="Origin"/>
      <sheetName val="Gfx"/>
      <sheetName val="Storage"/>
      <sheetName val="Volume Prod"/>
      <sheetName val="RPG"/>
      <sheetName val="IA32"/>
      <sheetName val="Stop Here"/>
      <sheetName val="Inv By Bus UnitNot Updated"/>
      <sheetName val="Summary-Not updated"/>
      <sheetName val="Assumptions (NZ)"/>
      <sheetName val="WW_Spend_Input"/>
      <sheetName val="FID_Input"/>
      <sheetName val="Other_STD_COGS_Input"/>
      <sheetName val="Matl_Var_Input"/>
      <sheetName val="HPC_Flows"/>
      <sheetName val="VOLUME_Flows"/>
      <sheetName val="RPG_Flows_"/>
      <sheetName val="IA32_Flows"/>
      <sheetName val="Total_P&amp;L's"/>
      <sheetName val="Volume_Prod"/>
      <sheetName val="Stop_Here"/>
      <sheetName val="Inv_By_Bus_UnitNot_Updated"/>
      <sheetName val="Summary-Not_updated"/>
      <sheetName val="Assumptions_(NZ)"/>
      <sheetName val="NRV0803"/>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Y"/>
      <sheetName val="#REF"/>
      <sheetName val="Bull Spread with Calls"/>
    </sheetNames>
    <sheetDataSet>
      <sheetData sheetId="0" refreshError="1"/>
      <sheetData sheetId="1" refreshError="1"/>
      <sheetData sheetId="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ory"/>
      <sheetName val="XXXXXXXXXXXXXXXXXXXXXXXXX"/>
      <sheetName val="WW Spend Input"/>
      <sheetName val="FID Input"/>
      <sheetName val="Other STD COGS Input"/>
      <sheetName val="Matl Var Input"/>
      <sheetName val="HPC Flows"/>
      <sheetName val="VOLUME Flows"/>
      <sheetName val="RPG Flows "/>
      <sheetName val="IA32 Flows"/>
      <sheetName val="Total P&amp;L's"/>
      <sheetName val="HPC"/>
      <sheetName val="Origin"/>
      <sheetName val="Gfx"/>
      <sheetName val="Storage"/>
      <sheetName val="Volume Prod"/>
      <sheetName val="RPG"/>
      <sheetName val="IA32"/>
      <sheetName val="Stop Here"/>
      <sheetName val="Inv By Bus UnitNot Updated"/>
      <sheetName val="Summary-Not updated"/>
      <sheetName val="Entry"/>
      <sheetName val="Template"/>
      <sheetName val="COMP 1"/>
      <sheetName val="BS"/>
      <sheetName val="PL"/>
      <sheetName val="ChartofAccounts"/>
      <sheetName val="TB (Download)"/>
      <sheetName val="10001-cash"/>
      <sheetName val="10101-SVB Operating acct"/>
      <sheetName val="10101-SVB OP#2404 Bank Register"/>
      <sheetName val="10102-SVB Payroll"/>
      <sheetName val="10102-SVB PR#7211 Bank Register"/>
      <sheetName val="10103-US Bank-Milestone Account"/>
      <sheetName val="10103-USB #8000 Bank Register"/>
      <sheetName val="10104-US Bank-Collection Acct"/>
      <sheetName val="10104-USB #7900 Bank Register"/>
      <sheetName val="10105-BoA"/>
      <sheetName val="10105-GL"/>
      <sheetName val="10105-BofA #88082 Bank Register"/>
      <sheetName val="TB"/>
      <sheetName val="10201-3 Investment "/>
      <sheetName val="BS Classification (MSSB-THERAV)"/>
      <sheetName val="Transactions xxxxxx"/>
      <sheetName val="Income Detail (MSSB-THERAVANCE)"/>
      <sheetName val="12000- Accounts Receivable "/>
      <sheetName val="12100-Receivable from Collabora"/>
      <sheetName val="12100-Royalty Summary"/>
      <sheetName val="12100-Anoro QRoy"/>
      <sheetName val="12100-RevlarBreo QRoy"/>
      <sheetName val="14150"/>
      <sheetName val="14150-Options Exercised"/>
      <sheetName val="14200-Other Receivables"/>
      <sheetName val="14300-Prepaid Insurance"/>
      <sheetName val="14300-prepaid insurance schedul"/>
      <sheetName val="14505-Prepaid Expense"/>
      <sheetName val="14505-prepaid expense schedule"/>
      <sheetName val="17110 Fixed Assets"/>
      <sheetName val="17110-17610 F.A. Deprec &amp;Recon "/>
      <sheetName val="Fixed Assets - New Purchases"/>
      <sheetName val="20000-Accounts Payable"/>
      <sheetName val="20000-AP Aging"/>
      <sheetName val="20000-AP Aging (201504)"/>
      <sheetName val="20000-GL"/>
      <sheetName val="20000- American Express CC"/>
      <sheetName val="20000-AMEX"/>
      <sheetName val="21700-Acrued Use Tax"/>
      <sheetName val="21740-Payable to TBPH"/>
      <sheetName val="21740-GL"/>
      <sheetName val="21800-Other Acc Liab (Non-Reers"/>
      <sheetName val="21800-Supporting"/>
      <sheetName val="21900-Other Acc Liab"/>
      <sheetName val="2220-AMEX#51003"/>
      <sheetName val="2220-AMEX#81007"/>
      <sheetName val="2220-AMEX#51003 Stmt 201505"/>
      <sheetName val="2220-AMEX#87100 stmt 201505"/>
      <sheetName val="2220-AMEX#31009 stmt 201505"/>
      <sheetName val="2230-Summary"/>
      <sheetName val="2230-Support"/>
      <sheetName val="2240-Vendor Accrual Listing"/>
      <sheetName val="2250-Legal Supporting"/>
      <sheetName val="21600-Deferred Rent - LT"/>
      <sheetName val="21600-TBUS - Sublease Charges"/>
      <sheetName val="22120-Accured Bonus"/>
      <sheetName val="22120-Bonus Reg"/>
      <sheetName val="22120-bonus TFIO"/>
      <sheetName val="22130-Accrued Vacation"/>
      <sheetName val="22130-schedule"/>
      <sheetName val="22140-accrued 401K Plan"/>
      <sheetName val="22140-schedule"/>
      <sheetName val="22140-GL"/>
      <sheetName val="22145-Accrued ESPP Liability"/>
      <sheetName val="22145-Supporting"/>
      <sheetName val="Sheet10"/>
      <sheetName val="ADP"/>
      <sheetName val="22151-Accrued Flex Benefit"/>
      <sheetName val="22151-2015FSA Payroll "/>
      <sheetName val="22151-FSA Statement Balance2014"/>
      <sheetName val="22151-FSA Statement Balance2015"/>
      <sheetName val="22151-payments2014"/>
      <sheetName val="22151-payments2015"/>
      <sheetName val="22115-supporting"/>
      <sheetName val="22160-Accrued Other Personal"/>
      <sheetName val="22160-GL"/>
      <sheetName val="input"/>
    </sheetNames>
    <sheetDataSet>
      <sheetData sheetId="0">
        <row r="37">
          <cell r="A37" t="str">
            <v>Net Inventory</v>
          </cell>
          <cell r="C37">
            <v>25039</v>
          </cell>
          <cell r="D37">
            <v>25837</v>
          </cell>
          <cell r="E37">
            <v>23117</v>
          </cell>
          <cell r="F37">
            <v>23117</v>
          </cell>
          <cell r="G37">
            <v>28779</v>
          </cell>
          <cell r="H37">
            <v>28518</v>
          </cell>
          <cell r="I37">
            <v>21436</v>
          </cell>
          <cell r="J37">
            <v>21436</v>
          </cell>
          <cell r="K37">
            <v>25849</v>
          </cell>
          <cell r="L37">
            <v>25552</v>
          </cell>
          <cell r="M37">
            <v>19206</v>
          </cell>
          <cell r="N37">
            <v>19206</v>
          </cell>
          <cell r="O37">
            <v>25619</v>
          </cell>
          <cell r="P37">
            <v>25283</v>
          </cell>
          <cell r="Q37">
            <v>16625</v>
          </cell>
          <cell r="R37">
            <v>16625</v>
          </cell>
          <cell r="S37">
            <v>16625</v>
          </cell>
        </row>
        <row r="38">
          <cell r="A38" t="str">
            <v>Net Turns</v>
          </cell>
          <cell r="C38">
            <v>1.2244897959183674</v>
          </cell>
          <cell r="D38">
            <v>1.9776289816929209</v>
          </cell>
          <cell r="E38">
            <v>5.3051866591685775</v>
          </cell>
          <cell r="F38">
            <v>2.9472682441493272</v>
          </cell>
          <cell r="G38">
            <v>1.837589909308871</v>
          </cell>
          <cell r="H38">
            <v>3.0911003576688407</v>
          </cell>
          <cell r="I38">
            <v>9.8693786154133232</v>
          </cell>
          <cell r="J38">
            <v>5.4829259190147415</v>
          </cell>
          <cell r="K38">
            <v>1.6299276567758907</v>
          </cell>
          <cell r="L38">
            <v>2.7478083907326236</v>
          </cell>
          <cell r="M38">
            <v>8.7741330834114333</v>
          </cell>
          <cell r="N38">
            <v>4.8745183796730185</v>
          </cell>
          <cell r="O38">
            <v>2.3649635036496353</v>
          </cell>
          <cell r="P38">
            <v>3.9944626824348375</v>
          </cell>
          <cell r="Q38">
            <v>14.579007518796992</v>
          </cell>
          <cell r="R38">
            <v>8.0993684210526311</v>
          </cell>
          <cell r="S38">
            <v>6.2246015037593985</v>
          </cell>
        </row>
        <row r="40">
          <cell r="F40" t="str">
            <v>Total</v>
          </cell>
          <cell r="J40" t="str">
            <v>Total</v>
          </cell>
          <cell r="N40" t="str">
            <v>Total</v>
          </cell>
          <cell r="R40" t="str">
            <v>Total</v>
          </cell>
          <cell r="S40" t="str">
            <v>Total</v>
          </cell>
        </row>
        <row r="41">
          <cell r="A41" t="str">
            <v>RPG</v>
          </cell>
          <cell r="C41" t="str">
            <v>Jul</v>
          </cell>
          <cell r="D41" t="str">
            <v>Aug</v>
          </cell>
          <cell r="E41" t="str">
            <v>Sep</v>
          </cell>
          <cell r="F41" t="str">
            <v>Q1 '03</v>
          </cell>
          <cell r="G41" t="str">
            <v>Oct</v>
          </cell>
          <cell r="H41" t="str">
            <v>Nov</v>
          </cell>
          <cell r="I41" t="str">
            <v>Dec</v>
          </cell>
          <cell r="J41" t="str">
            <v>Q2 '03</v>
          </cell>
          <cell r="K41" t="str">
            <v>Jan</v>
          </cell>
          <cell r="L41" t="str">
            <v>Feb</v>
          </cell>
          <cell r="M41" t="str">
            <v>Mar</v>
          </cell>
          <cell r="N41" t="str">
            <v>Q3 '03</v>
          </cell>
          <cell r="O41" t="str">
            <v>Apr</v>
          </cell>
          <cell r="P41" t="str">
            <v>May</v>
          </cell>
          <cell r="Q41" t="str">
            <v>Jun</v>
          </cell>
          <cell r="R41" t="str">
            <v>Q4 '03</v>
          </cell>
          <cell r="S41" t="str">
            <v>FY03</v>
          </cell>
        </row>
        <row r="42">
          <cell r="A42" t="str">
            <v>Beginning Gross Inventory</v>
          </cell>
          <cell r="C42">
            <v>40848</v>
          </cell>
          <cell r="D42">
            <v>41506</v>
          </cell>
          <cell r="E42">
            <v>43903</v>
          </cell>
          <cell r="F42">
            <v>40848</v>
          </cell>
          <cell r="G42">
            <v>37936</v>
          </cell>
          <cell r="H42">
            <v>38395</v>
          </cell>
          <cell r="I42">
            <v>38750</v>
          </cell>
          <cell r="J42">
            <v>37936</v>
          </cell>
          <cell r="K42">
            <v>35244</v>
          </cell>
          <cell r="L42">
            <v>36141</v>
          </cell>
          <cell r="M42">
            <v>36512</v>
          </cell>
          <cell r="N42">
            <v>35244</v>
          </cell>
          <cell r="O42">
            <v>33297</v>
          </cell>
          <cell r="P42">
            <v>32714</v>
          </cell>
          <cell r="Q42">
            <v>32852</v>
          </cell>
          <cell r="R42">
            <v>33297</v>
          </cell>
          <cell r="S42">
            <v>40848</v>
          </cell>
        </row>
        <row r="43">
          <cell r="A43" t="str">
            <v xml:space="preserve">Std Reval </v>
          </cell>
          <cell r="C43">
            <v>-500</v>
          </cell>
          <cell r="D43">
            <v>0</v>
          </cell>
          <cell r="E43">
            <v>0</v>
          </cell>
          <cell r="F43">
            <v>-500</v>
          </cell>
          <cell r="G43">
            <v>-1000</v>
          </cell>
          <cell r="H43">
            <v>0</v>
          </cell>
          <cell r="I43">
            <v>0</v>
          </cell>
          <cell r="J43">
            <v>-1000</v>
          </cell>
          <cell r="K43">
            <v>-500</v>
          </cell>
          <cell r="L43">
            <v>0</v>
          </cell>
          <cell r="M43">
            <v>0</v>
          </cell>
          <cell r="N43">
            <v>-500</v>
          </cell>
          <cell r="O43">
            <v>-2000</v>
          </cell>
          <cell r="P43">
            <v>0</v>
          </cell>
          <cell r="Q43">
            <v>0</v>
          </cell>
          <cell r="R43">
            <v>-2000</v>
          </cell>
          <cell r="S43">
            <v>-4000</v>
          </cell>
        </row>
        <row r="44">
          <cell r="A44" t="str">
            <v xml:space="preserve">Inventory Adj </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row>
        <row r="45">
          <cell r="A45" t="str">
            <v>Miscellaneous</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row>
        <row r="46">
          <cell r="A46" t="str">
            <v>Local Purchases</v>
          </cell>
          <cell r="C46">
            <v>2000</v>
          </cell>
          <cell r="D46">
            <v>2000</v>
          </cell>
          <cell r="E46">
            <v>2000</v>
          </cell>
          <cell r="F46">
            <v>6000</v>
          </cell>
          <cell r="G46">
            <v>2000</v>
          </cell>
          <cell r="H46">
            <v>2000</v>
          </cell>
          <cell r="I46">
            <v>2000</v>
          </cell>
          <cell r="J46">
            <v>6000</v>
          </cell>
          <cell r="K46">
            <v>2000</v>
          </cell>
          <cell r="L46">
            <v>2000</v>
          </cell>
          <cell r="M46">
            <v>2000</v>
          </cell>
          <cell r="N46">
            <v>6000</v>
          </cell>
          <cell r="O46">
            <v>2000</v>
          </cell>
          <cell r="P46">
            <v>2000</v>
          </cell>
          <cell r="Q46">
            <v>2000</v>
          </cell>
          <cell r="R46">
            <v>6000</v>
          </cell>
          <cell r="S46">
            <v>24000</v>
          </cell>
        </row>
        <row r="47">
          <cell r="A47" t="str">
            <v>Vendor Sales</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row>
        <row r="48">
          <cell r="A48" t="str">
            <v>RMA Returns</v>
          </cell>
          <cell r="C48">
            <v>750</v>
          </cell>
          <cell r="D48">
            <v>3500</v>
          </cell>
          <cell r="E48">
            <v>3500</v>
          </cell>
          <cell r="F48">
            <v>7750</v>
          </cell>
          <cell r="G48">
            <v>2225</v>
          </cell>
          <cell r="H48">
            <v>2225</v>
          </cell>
          <cell r="I48">
            <v>2225</v>
          </cell>
          <cell r="J48">
            <v>6675</v>
          </cell>
          <cell r="K48">
            <v>2000</v>
          </cell>
          <cell r="L48">
            <v>2000</v>
          </cell>
          <cell r="M48">
            <v>2000</v>
          </cell>
          <cell r="N48">
            <v>6000</v>
          </cell>
          <cell r="O48">
            <v>2500</v>
          </cell>
          <cell r="P48">
            <v>2500</v>
          </cell>
          <cell r="Q48">
            <v>2500</v>
          </cell>
          <cell r="R48">
            <v>7500</v>
          </cell>
          <cell r="S48">
            <v>27925</v>
          </cell>
        </row>
        <row r="49">
          <cell r="A49" t="str">
            <v>RMA Disposals</v>
          </cell>
          <cell r="C49">
            <v>-150</v>
          </cell>
          <cell r="D49">
            <v>-700</v>
          </cell>
          <cell r="E49">
            <v>-700</v>
          </cell>
          <cell r="F49">
            <v>-1550</v>
          </cell>
          <cell r="G49">
            <v>-445</v>
          </cell>
          <cell r="H49">
            <v>-445</v>
          </cell>
          <cell r="I49">
            <v>-445</v>
          </cell>
          <cell r="J49">
            <v>-1335</v>
          </cell>
          <cell r="K49">
            <v>-400</v>
          </cell>
          <cell r="L49">
            <v>-400</v>
          </cell>
          <cell r="M49">
            <v>-400</v>
          </cell>
          <cell r="N49">
            <v>-1200</v>
          </cell>
          <cell r="O49">
            <v>-500</v>
          </cell>
          <cell r="P49">
            <v>-500</v>
          </cell>
          <cell r="Q49">
            <v>-500</v>
          </cell>
          <cell r="R49">
            <v>-1500</v>
          </cell>
          <cell r="S49">
            <v>-5585</v>
          </cell>
        </row>
        <row r="50">
          <cell r="A50" t="str">
            <v>Total Factory Flow</v>
          </cell>
          <cell r="C50">
            <v>-1442</v>
          </cell>
          <cell r="D50">
            <v>-2403</v>
          </cell>
          <cell r="E50">
            <v>-5767</v>
          </cell>
          <cell r="F50">
            <v>-9612</v>
          </cell>
          <cell r="G50">
            <v>-1655</v>
          </cell>
          <cell r="H50">
            <v>-2758</v>
          </cell>
          <cell r="I50">
            <v>-6619</v>
          </cell>
          <cell r="J50">
            <v>-11032</v>
          </cell>
          <cell r="K50">
            <v>-1537</v>
          </cell>
          <cell r="L50">
            <v>-2562</v>
          </cell>
          <cell r="M50">
            <v>-6148</v>
          </cell>
          <cell r="N50">
            <v>-10247</v>
          </cell>
          <cell r="O50">
            <v>-1917</v>
          </cell>
          <cell r="P50">
            <v>-3195</v>
          </cell>
          <cell r="Q50">
            <v>-7668</v>
          </cell>
          <cell r="R50">
            <v>-12780</v>
          </cell>
          <cell r="S50">
            <v>-43671</v>
          </cell>
        </row>
        <row r="51">
          <cell r="A51" t="str">
            <v>Flow to another Org.</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A52" t="str">
            <v>Disposals</v>
          </cell>
          <cell r="C52">
            <v>0</v>
          </cell>
          <cell r="D52">
            <v>0</v>
          </cell>
          <cell r="E52">
            <v>-5000</v>
          </cell>
          <cell r="F52">
            <v>-5000</v>
          </cell>
          <cell r="G52">
            <v>-666</v>
          </cell>
          <cell r="H52">
            <v>-667</v>
          </cell>
          <cell r="I52">
            <v>-667</v>
          </cell>
          <cell r="J52">
            <v>-2000</v>
          </cell>
          <cell r="K52">
            <v>-666</v>
          </cell>
          <cell r="L52">
            <v>-667</v>
          </cell>
          <cell r="M52">
            <v>-667</v>
          </cell>
          <cell r="N52">
            <v>-2000</v>
          </cell>
          <cell r="O52">
            <v>-666</v>
          </cell>
          <cell r="P52">
            <v>-667</v>
          </cell>
          <cell r="Q52">
            <v>-586</v>
          </cell>
          <cell r="R52">
            <v>-1919</v>
          </cell>
          <cell r="S52">
            <v>-10919</v>
          </cell>
        </row>
        <row r="53">
          <cell r="A53" t="str">
            <v>Ending Gross Inv</v>
          </cell>
          <cell r="C53">
            <v>41506</v>
          </cell>
          <cell r="D53">
            <v>43903</v>
          </cell>
          <cell r="E53">
            <v>37936</v>
          </cell>
          <cell r="F53">
            <v>37936</v>
          </cell>
          <cell r="G53">
            <v>38395</v>
          </cell>
          <cell r="H53">
            <v>38750</v>
          </cell>
          <cell r="I53">
            <v>35244</v>
          </cell>
          <cell r="J53">
            <v>35244</v>
          </cell>
          <cell r="K53">
            <v>36141</v>
          </cell>
          <cell r="L53">
            <v>36512</v>
          </cell>
          <cell r="M53">
            <v>33297</v>
          </cell>
          <cell r="N53">
            <v>33297</v>
          </cell>
          <cell r="O53">
            <v>32714</v>
          </cell>
          <cell r="P53">
            <v>32852</v>
          </cell>
          <cell r="Q53">
            <v>28598</v>
          </cell>
          <cell r="R53">
            <v>28598</v>
          </cell>
          <cell r="S53">
            <v>28598</v>
          </cell>
        </row>
        <row r="54">
          <cell r="A54" t="str">
            <v>Reserves</v>
          </cell>
          <cell r="C54">
            <v>-18263</v>
          </cell>
          <cell r="D54">
            <v>-19317</v>
          </cell>
          <cell r="E54">
            <v>-16692</v>
          </cell>
          <cell r="F54">
            <v>-16692</v>
          </cell>
          <cell r="G54">
            <v>-16126</v>
          </cell>
          <cell r="H54">
            <v>-16275</v>
          </cell>
          <cell r="I54">
            <v>-14803</v>
          </cell>
          <cell r="J54">
            <v>-14803</v>
          </cell>
          <cell r="K54">
            <v>-15179</v>
          </cell>
          <cell r="L54">
            <v>-15336</v>
          </cell>
          <cell r="M54">
            <v>-13985</v>
          </cell>
          <cell r="N54">
            <v>-13985</v>
          </cell>
          <cell r="O54">
            <v>-13086</v>
          </cell>
          <cell r="P54">
            <v>-13141</v>
          </cell>
          <cell r="Q54">
            <v>-11440</v>
          </cell>
          <cell r="R54">
            <v>-11440</v>
          </cell>
          <cell r="S54">
            <v>-11440</v>
          </cell>
        </row>
        <row r="55">
          <cell r="A55" t="str">
            <v>Net Inventory</v>
          </cell>
          <cell r="C55">
            <v>23243</v>
          </cell>
          <cell r="D55">
            <v>24586</v>
          </cell>
          <cell r="E55">
            <v>21244</v>
          </cell>
          <cell r="F55">
            <v>21244</v>
          </cell>
          <cell r="G55">
            <v>22269</v>
          </cell>
          <cell r="H55">
            <v>22475</v>
          </cell>
          <cell r="I55">
            <v>20441</v>
          </cell>
          <cell r="J55">
            <v>20441</v>
          </cell>
          <cell r="K55">
            <v>20962</v>
          </cell>
          <cell r="L55">
            <v>21176</v>
          </cell>
          <cell r="M55">
            <v>19312</v>
          </cell>
          <cell r="N55">
            <v>19312</v>
          </cell>
          <cell r="O55">
            <v>19628</v>
          </cell>
          <cell r="P55">
            <v>19711</v>
          </cell>
          <cell r="Q55">
            <v>17158</v>
          </cell>
          <cell r="R55">
            <v>17158</v>
          </cell>
          <cell r="S55">
            <v>17158</v>
          </cell>
        </row>
        <row r="56">
          <cell r="A56" t="str">
            <v>Net Turns</v>
          </cell>
          <cell r="C56">
            <v>0.74448220969754331</v>
          </cell>
          <cell r="D56">
            <v>1.1728626047344017</v>
          </cell>
          <cell r="E56">
            <v>3.2575786104311804</v>
          </cell>
          <cell r="F56">
            <v>1.8098286575032951</v>
          </cell>
          <cell r="G56">
            <v>0.89182271318873774</v>
          </cell>
          <cell r="H56">
            <v>1.4725695216907675</v>
          </cell>
          <cell r="I56">
            <v>3.8857198767183601</v>
          </cell>
          <cell r="J56">
            <v>2.1587984932244018</v>
          </cell>
          <cell r="K56">
            <v>0.87987787424864039</v>
          </cell>
          <cell r="L56">
            <v>1.4518322629391764</v>
          </cell>
          <cell r="M56">
            <v>3.8202154101077053</v>
          </cell>
          <cell r="N56">
            <v>2.1224109362054682</v>
          </cell>
          <cell r="O56">
            <v>1.1719991848379865</v>
          </cell>
          <cell r="P56">
            <v>1.945106793161179</v>
          </cell>
          <cell r="Q56">
            <v>5.3628628045226714</v>
          </cell>
          <cell r="R56">
            <v>2.9793682247348174</v>
          </cell>
          <cell r="S56">
            <v>2.5452267164005127</v>
          </cell>
        </row>
      </sheetData>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row r="37">
          <cell r="A37" t="str">
            <v>Bill Payment</v>
          </cell>
        </row>
      </sheetData>
      <sheetData sheetId="16">
        <row r="37">
          <cell r="A37" t="str">
            <v>Bill Payment</v>
          </cell>
        </row>
      </sheetData>
      <sheetData sheetId="17"/>
      <sheetData sheetId="18"/>
      <sheetData sheetId="19"/>
      <sheetData sheetId="20"/>
      <sheetData sheetId="21" refreshError="1"/>
      <sheetData sheetId="22" refreshError="1"/>
      <sheetData sheetId="23" refreshError="1"/>
      <sheetData sheetId="24">
        <row r="37">
          <cell r="A37" t="str">
            <v>Net Inventory</v>
          </cell>
        </row>
      </sheetData>
      <sheetData sheetId="25">
        <row r="37">
          <cell r="A37" t="str">
            <v>Net Inventory</v>
          </cell>
        </row>
      </sheetData>
      <sheetData sheetId="26"/>
      <sheetData sheetId="27">
        <row r="37">
          <cell r="A37" t="str">
            <v>Net Inventory</v>
          </cell>
        </row>
      </sheetData>
      <sheetData sheetId="28">
        <row r="37">
          <cell r="A37" t="str">
            <v>Net Inventory</v>
          </cell>
        </row>
      </sheetData>
      <sheetData sheetId="29"/>
      <sheetData sheetId="30"/>
      <sheetData sheetId="31"/>
      <sheetData sheetId="32"/>
      <sheetData sheetId="33"/>
      <sheetData sheetId="34"/>
      <sheetData sheetId="35"/>
      <sheetData sheetId="36">
        <row r="37">
          <cell r="A37" t="str">
            <v>Bill Payment</v>
          </cell>
        </row>
      </sheetData>
      <sheetData sheetId="37">
        <row r="37">
          <cell r="A37" t="str">
            <v>Bill Payment</v>
          </cell>
        </row>
      </sheetData>
      <sheetData sheetId="38">
        <row r="37">
          <cell r="A37" t="str">
            <v>Bill Payment</v>
          </cell>
        </row>
      </sheetData>
      <sheetData sheetId="39"/>
      <sheetData sheetId="40">
        <row r="37">
          <cell r="A37" t="str">
            <v>Bill Payment</v>
          </cell>
        </row>
      </sheetData>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BFS.Act"/>
      <sheetName val="Links"/>
    </sheetNames>
    <sheetDataSet>
      <sheetData sheetId="0" refreshError="1"/>
      <sheetData sheetId="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MONTH"/>
      <sheetName val="CASHMNTH"/>
      <sheetName val="BSMONTH"/>
      <sheetName val="Debt Amort"/>
      <sheetName val="prt_fs"/>
      <sheetName val="Debt_Amort"/>
      <sheetName val="C01-General"/>
      <sheetName val="C02-Book to Tax - Net"/>
    </sheetNames>
    <sheetDataSet>
      <sheetData sheetId="0"/>
      <sheetData sheetId="1"/>
      <sheetData sheetId="2" refreshError="1"/>
      <sheetData sheetId="3"/>
      <sheetData sheetId="4" refreshError="1"/>
      <sheetData sheetId="5"/>
      <sheetData sheetId="6" refreshError="1"/>
      <sheetData sheetId="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football_field"/>
      <sheetName val="Maverick_IS"/>
      <sheetName val="Ace_IS"/>
      <sheetName val="Ace_IS_Syn"/>
      <sheetName val="Combined_IS"/>
      <sheetName val="AVP"/>
      <sheetName val="FSP"/>
      <sheetName val="DCF"/>
      <sheetName val="DCF_syn"/>
      <sheetName val="Acc_dil"/>
      <sheetName val="Mav_FSP"/>
      <sheetName val="Acc_dil_output1"/>
      <sheetName val="SG&amp;A_value"/>
      <sheetName val="2009-Acc_dil_IGNORE"/>
      <sheetName val="Backup &gt;&gt;&gt;"/>
      <sheetName val="Ace Income Statement"/>
      <sheetName val="Ace Balance Sheet"/>
      <sheetName val="Ace Cash Flow"/>
      <sheetName val="Maverick Income Statement"/>
      <sheetName val="Maverick Balance Sheet"/>
      <sheetName val="Maverick Cash Flow"/>
      <sheetName val="BSMONTH"/>
      <sheetName val="Backup_&gt;&gt;&gt;"/>
      <sheetName val="Ace_Income_Statement"/>
      <sheetName val="Ace_Balance_Sheet"/>
      <sheetName val="Ace_Cash_Flow"/>
      <sheetName val="Maverick_Income_Statement"/>
      <sheetName val="Maverick_Balance_Sheet"/>
      <sheetName val="Maverick_Cash_Flow"/>
    </sheetNames>
    <sheetDataSet>
      <sheetData sheetId="0" refreshError="1"/>
      <sheetData sheetId="1"/>
      <sheetData sheetId="2">
        <row r="49">
          <cell r="K49">
            <v>1.0932999999999997</v>
          </cell>
        </row>
      </sheetData>
      <sheetData sheetId="3" refreshError="1"/>
      <sheetData sheetId="4" refreshError="1"/>
      <sheetData sheetId="5" refreshError="1"/>
      <sheetData sheetId="6">
        <row r="10">
          <cell r="I10">
            <v>4.46</v>
          </cell>
        </row>
      </sheetData>
      <sheetData sheetId="7" refreshError="1"/>
      <sheetData sheetId="8" refreshError="1"/>
      <sheetData sheetId="9" refreshError="1"/>
      <sheetData sheetId="10">
        <row r="23">
          <cell r="F23">
            <v>7.0000000000000007E-2</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vateStockValAddinData"/>
      <sheetName val="Sheet1"/>
      <sheetName val="Bloomberg Input"/>
      <sheetName val="Bloomberg and Stock Val"/>
      <sheetName val="Book Value"/>
      <sheetName val="football_field"/>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WF 03 All "/>
      <sheetName val="WF 03 Acq"/>
      <sheetName val="WF 03 MOE"/>
      <sheetName val="CA 3 yrs"/>
      <sheetName val="CA 2 yrs"/>
      <sheetName val="Model"/>
      <sheetName val="Inputs----&gt;"/>
      <sheetName val="A"/>
      <sheetName val="B"/>
      <sheetName val="C"/>
      <sheetName val="WF 04 All "/>
      <sheetName val="Pres&gt;&gt;&gt;"/>
      <sheetName val="Implied Value of Offer Buildup"/>
      <sheetName val="Pro Forma Credit"/>
      <sheetName val="Downhill BS"/>
      <sheetName val="Capitalization"/>
      <sheetName val="Forecast Summary"/>
      <sheetName val="Historical Prices and Volume"/>
      <sheetName val="Exchange Ratio Graph"/>
      <sheetName val="Liquidity Analysis"/>
      <sheetName val="Comps&gt;&gt;&gt;"/>
      <sheetName val="Inputs"/>
      <sheetName val="Output"/>
      <sheetName val="Graphs data"/>
      <sheetName val="Alpine Graphs&gt;&gt;&gt;"/>
      <sheetName val="Alpine_EV_03_Rev"/>
      <sheetName val="Alpine_EV_03_EBITDA"/>
      <sheetName val="Alpine_EV_03_EBIT"/>
      <sheetName val="Alpine_Price_03_Earnings"/>
      <sheetName val="Alpine Gross Margin"/>
      <sheetName val="Alpine EBITDA Margin"/>
      <sheetName val="Rev Growth"/>
      <sheetName val="Alpine Earnings Growth"/>
      <sheetName val="Downhill Graphs&gt;&gt;&gt;"/>
      <sheetName val="Downhill_EV_03_Rev"/>
      <sheetName val="Downhill_EV_03_EBITDA"/>
      <sheetName val="Downhill_EV_03_EBIT"/>
      <sheetName val="Downhill_Price_03_Earnings"/>
      <sheetName val="Downhill Gross Margin"/>
      <sheetName val="Downhill EBITDA Margin"/>
      <sheetName val="Downhill Rev Growth"/>
      <sheetName val="Downhill Earnings Growth"/>
      <sheetName val="Precedents&gt;&gt;&gt;"/>
      <sheetName val="Natural Food Precedent "/>
      <sheetName val="Premium Paid"/>
      <sheetName val="Rev &amp; GM Graph"/>
      <sheetName val="Rev &amp; GM"/>
      <sheetName val="Rev Growth Comp"/>
      <sheetName val="Precedent Transactions Data"/>
      <sheetName val="TSM"/>
      <sheetName val="Alpine Options"/>
      <sheetName val="Alpine Historical Prices"/>
      <sheetName val="Premiums Prices ---&gt;"/>
      <sheetName val="Odwalla"/>
      <sheetName val="Dreyer's"/>
      <sheetName val="B&amp;J"/>
      <sheetName val="Celestial"/>
      <sheetName val="Balance Bar"/>
      <sheetName val="Saratoga"/>
      <sheetName val="Worthington"/>
      <sheetName val="Not Used ---&gt;"/>
      <sheetName val="Value Summary"/>
      <sheetName val="Sheet Data"/>
      <sheetName val="ALL Precedent Transaction (old)"/>
      <sheetName val="D"/>
      <sheetName val="E"/>
      <sheetName val="F"/>
      <sheetName val="G"/>
      <sheetName val="H"/>
      <sheetName val="__FDSCACHE__"/>
      <sheetName val="Data Input page"/>
      <sheetName val="Bloomberg 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xed Base"/>
      <sheetName val="R &amp; E"/>
      <sheetName val="Gross Receipts"/>
      <sheetName val="Datenimport"/>
      <sheetName val="Data"/>
      <sheetName val="Grouping"/>
      <sheetName val="M-1"/>
      <sheetName val="M-2"/>
      <sheetName val="Unicap"/>
      <sheetName val="wsFilter"/>
      <sheetName val="Pipeline"/>
      <sheetName val="98 Credit Info"/>
      <sheetName val="Sheet1"/>
      <sheetName val="Model"/>
      <sheetName val="Costs"/>
      <sheetName val="C01-General"/>
      <sheetName val="C02-Book to Tax - Net"/>
      <sheetName val="M1s list"/>
      <sheetName val="Domestic Dfds"/>
      <sheetName val="Consult_Staff"/>
      <sheetName val="Lab"/>
      <sheetName val="Control"/>
      <sheetName val="Cost Sheet"/>
      <sheetName val="costelement"/>
      <sheetName val="U.S. Agent Report"/>
      <sheetName val="Results"/>
      <sheetName val="Oracle"/>
      <sheetName val="Main Menu"/>
      <sheetName val="International"/>
      <sheetName val="Def_Table"/>
      <sheetName val="Targets"/>
      <sheetName val="U.S. Bookings"/>
      <sheetName val="CRITERIA1"/>
      <sheetName val="Earnings (Asset)"/>
      <sheetName val="Macro"/>
      <sheetName val="Delmia Trial Balance"/>
      <sheetName val="&lt;= Results"/>
      <sheetName val="BSG"/>
      <sheetName val="R &amp;#38; E"/>
      <sheetName val="98%20Credit%20Info.xls"/>
      <sheetName val="Data Validation"/>
      <sheetName val="Odwalla"/>
    </sheetNames>
    <sheetDataSet>
      <sheetData sheetId="0">
        <row r="49">
          <cell r="B49" t="str">
            <v>ATD - Dal Vict</v>
          </cell>
        </row>
      </sheetData>
      <sheetData sheetId="1">
        <row r="49">
          <cell r="B49" t="str">
            <v>ATD - Dal Vict</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Table"/>
      <sheetName val="1. BS"/>
      <sheetName val="2. IS TOT (bud vs act)"/>
      <sheetName val="3. SCF (bud vs act)"/>
      <sheetName val="4. IS TOT Detail"/>
      <sheetName val="5. IS 100 G&amp;A"/>
      <sheetName val="6. IS R&amp;D"/>
      <sheetName val="6a. IS 200"/>
      <sheetName val="6b. IS 201"/>
      <sheetName val="6c. IS 202"/>
      <sheetName val="6d. IS 203"/>
      <sheetName val="6e. IS 204"/>
      <sheetName val="7. IS 300"/>
      <sheetName val="7. Clinical"/>
      <sheetName val="8. Shop-Lab CapX"/>
      <sheetName val="9. Software CapX"/>
      <sheetName val="R&amp;D Consulting"/>
      <sheetName val="R&amp;D NRE"/>
      <sheetName val="R&amp;D Prototype Parts"/>
      <sheetName val="IS TOT"/>
      <sheetName val="SCF"/>
      <sheetName val="Salaries Compare"/>
      <sheetName val="10. Fixed Asset Detail"/>
      <sheetName val="R&amp;D Recruiting"/>
      <sheetName val="R&amp;D Consulting Exp"/>
      <sheetName val="R&amp;D Cons Bud vs Act"/>
      <sheetName val="Title_Page"/>
      <sheetName val="1__BS"/>
      <sheetName val="2__IS_TOT_(bud_vs_act)"/>
      <sheetName val="3__SCF_(bud_vs_act)"/>
      <sheetName val="4__IS_TOT_Detail"/>
      <sheetName val="5__IS_100_G&amp;A"/>
      <sheetName val="6__IS_R&amp;D"/>
      <sheetName val="6a__IS_200"/>
      <sheetName val="6b__IS_201"/>
      <sheetName val="6c__IS_202"/>
      <sheetName val="6d__IS_203"/>
      <sheetName val="6e__IS_204"/>
      <sheetName val="7__IS_300"/>
      <sheetName val="7__Clinical"/>
      <sheetName val="8__Shop-Lab_CapX"/>
      <sheetName val="9__Software_CapX"/>
      <sheetName val="R&amp;D_Consulting"/>
      <sheetName val="R&amp;D_NRE"/>
      <sheetName val="R&amp;D_Prototype_Parts"/>
      <sheetName val="IS_TOT"/>
      <sheetName val="Salaries_Compare"/>
      <sheetName val="10__Fixed_Asset_Detail"/>
      <sheetName val="R&amp;D_Recruiting"/>
      <sheetName val="R&amp;D_Consulting_Exp"/>
      <sheetName val="R&amp;D_Cons_Bud_vs_Act"/>
      <sheetName val="Gross Receipts"/>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row r="30">
          <cell r="A30" t="str">
            <v xml:space="preserve">    ORGANIZATION COSTS,NET</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ileds1"/>
      <sheetName val="Guide"/>
      <sheetName val="AACLIENT"/>
      <sheetName val="Cash Flow Details current param"/>
      <sheetName val="Cash Flow Details old param."/>
      <sheetName val="Index"/>
      <sheetName val="Replevels"/>
      <sheetName val="Sheet1"/>
      <sheetName val="T-6"/>
      <sheetName val="T-8"/>
      <sheetName val="Sheet2"/>
      <sheetName val="Sheet3"/>
      <sheetName val="gross_w2"/>
      <sheetName val="List"/>
      <sheetName val="Assumptions"/>
      <sheetName val="1. B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deral"/>
      <sheetName val="states"/>
      <sheetName val="AMT"/>
      <sheetName val="Demand"/>
      <sheetName val="ROB12"/>
      <sheetName val="AACLIENT"/>
    </sheetNames>
    <sheetDataSet>
      <sheetData sheetId="0" refreshError="1"/>
      <sheetData sheetId="1" refreshError="1"/>
      <sheetData sheetId="2"/>
      <sheetData sheetId="3" refreshError="1"/>
      <sheetData sheetId="4" refreshError="1"/>
      <sheetData sheetId="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tSettings"/>
      <sheetName val="SectList"/>
      <sheetName val="AcList"/>
      <sheetName val="DepList"/>
      <sheetName val="CurList"/>
      <sheetName val="SectTB"/>
      <sheetName val="SectCDTB"/>
      <sheetName val="AcTB"/>
      <sheetName val="AcCDTB"/>
      <sheetName val="Settings"/>
      <sheetName val="TB Scheme A"/>
      <sheetName val="TB Scheme B"/>
      <sheetName val="TB Scheme C"/>
      <sheetName val="TB Scheme D"/>
      <sheetName val="Check List"/>
      <sheetName val="History"/>
      <sheetName val="TB"/>
      <sheetName val="Data"/>
      <sheetName val="CFWorkings"/>
      <sheetName val="Cover"/>
      <sheetName val="Contents"/>
      <sheetName val="Information"/>
      <sheetName val="Director"/>
      <sheetName val="Responsibilities"/>
      <sheetName val="Audit"/>
      <sheetName val="Compilation"/>
      <sheetName val="Accountant"/>
      <sheetName val="PL"/>
      <sheetName val="RGL"/>
      <sheetName val="BS"/>
      <sheetName val="CF"/>
      <sheetName val="Notes"/>
      <sheetName val="DetailPL1"/>
      <sheetName val="DetailPL2"/>
      <sheetName val="AbbCover"/>
      <sheetName val="AbbAudit"/>
      <sheetName val="AbbCompilation"/>
      <sheetName val="AbbAccountant"/>
      <sheetName val="AbbBS"/>
      <sheetName val="AbbNotes"/>
      <sheetName val="Library"/>
      <sheetName val="Workings"/>
      <sheetName val="Shareholding"/>
      <sheetName val="VT_Results"/>
      <sheetName val="st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59">
          <cell r="C59" t="b">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easury Cashflow"/>
      <sheetName val="Reference"/>
      <sheetName val="I&amp;E-2003-MFC PEG"/>
      <sheetName val="DS_Industry_Specif"/>
    </sheetNames>
    <sheetDataSet>
      <sheetData sheetId="0" refreshError="1"/>
      <sheetData sheetId="1" refreshError="1"/>
      <sheetData sheetId="2" refreshError="1"/>
      <sheetData sheetId="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gle Journal"/>
      <sheetName val="Multiple Journals"/>
      <sheetName val="Bulk Journals"/>
      <sheetName val="."/>
      <sheetName val="_ADFDI_Parameters"/>
      <sheetName val="_ADFDI_Metadata"/>
      <sheetName val="_ADFDI_WorkbookData"/>
      <sheetName val="_ADFDI_BCMetadata"/>
      <sheetName val="_ADFDI_DynamicTable"/>
      <sheetName val="_ADFDI_LOV"/>
      <sheetName val="Links"/>
      <sheetName val="Reference"/>
    </sheetNames>
    <sheetDataSet>
      <sheetData sheetId="0"/>
      <sheetData sheetId="1"/>
      <sheetData sheetId="2"/>
      <sheetData sheetId="3"/>
      <sheetData sheetId="4"/>
      <sheetData sheetId="5"/>
      <sheetData sheetId="6"/>
      <sheetData sheetId="7"/>
      <sheetData sheetId="8"/>
      <sheetData sheetId="9">
        <row r="14">
          <cell r="D14" t="str">
            <v>Pandora Consolidated Adjustmnt</v>
          </cell>
        </row>
      </sheetData>
      <sheetData sheetId="10" refreshError="1"/>
      <sheetData sheetId="1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gle Journal"/>
      <sheetName val="Multiple Journals"/>
      <sheetName val="Bulk Journals"/>
      <sheetName val="."/>
      <sheetName val="a. Upload Sheet"/>
      <sheetName val="PPD Rent Reclass"/>
      <sheetName val="_ADFDI_Parameters"/>
      <sheetName val="_ADFDI_Metadata"/>
      <sheetName val="_ADFDI_WorkbookData"/>
      <sheetName val="_ADFDI_BCMetadata"/>
      <sheetName val="_ADFDI_DynamicTable"/>
      <sheetName val="_ADFDI_LOV"/>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ow r="16">
          <cell r="D16" t="str">
            <v>Pandora Consolidated Adjustmnt</v>
          </cell>
        </row>
        <row r="20">
          <cell r="D20" t="str">
            <v>Accrual</v>
          </cell>
          <cell r="E20" t="str">
            <v>Accrual Clearing</v>
          </cell>
          <cell r="F20" t="str">
            <v>Acquisition Cost</v>
          </cell>
          <cell r="G20" t="str">
            <v>Addition</v>
          </cell>
          <cell r="H20" t="str">
            <v>Adjust Retirement</v>
          </cell>
          <cell r="I20" t="str">
            <v>Adjustment</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Cache"/>
      <sheetName val="BneWorkBookProperties"/>
      <sheetName val="Sheet1"/>
      <sheetName val="Department (2)"/>
      <sheetName val="WEB ADI Template for FA Asset A"/>
      <sheetName val="_ADFDI_LOV"/>
      <sheetName val="Master Switches"/>
    </sheetNames>
    <sheetDataSet>
      <sheetData sheetId="0">
        <row r="1">
          <cell r="A1" t="str">
            <v>CIP</v>
          </cell>
          <cell r="B1" t="str">
            <v>No</v>
          </cell>
        </row>
        <row r="2">
          <cell r="A2" t="str">
            <v>Capitalized</v>
          </cell>
          <cell r="B2" t="str">
            <v>Yes</v>
          </cell>
        </row>
        <row r="3">
          <cell r="A3" t="str">
            <v>Expensed</v>
          </cell>
        </row>
        <row r="4">
          <cell r="A4" t="str">
            <v>Group Asset</v>
          </cell>
        </row>
      </sheetData>
      <sheetData sheetId="1"/>
      <sheetData sheetId="2"/>
      <sheetData sheetId="3"/>
      <sheetData sheetId="4" refreshError="1"/>
      <sheetData sheetId="5" refreshError="1"/>
      <sheetData sheetId="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Cache"/>
      <sheetName val="BneWorkBookProperties"/>
      <sheetName val="Sept 2012 Rcls"/>
      <sheetName val="Sept 2012"/>
      <sheetName val="August 2012 Rcls"/>
      <sheetName val="August 2012"/>
      <sheetName val="June 2012"/>
      <sheetName val="BneLog"/>
      <sheetName val="Sheet1"/>
      <sheetName val="1010-Supporting(Statement)"/>
      <sheetName val="LBR_EXP template(Orig)"/>
    </sheetNames>
    <sheetDataSet>
      <sheetData sheetId="0">
        <row r="1">
          <cell r="A1" t="str">
            <v>No</v>
          </cell>
        </row>
        <row r="2">
          <cell r="A2" t="str">
            <v>Yes</v>
          </cell>
        </row>
      </sheetData>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Y UPLOAD"/>
      <sheetName val="Valuations"/>
      <sheetName val="Five Year Sales &amp; Earnings"/>
      <sheetName val="Qtr Income"/>
      <sheetName val="Qtr Margin"/>
      <sheetName val="Q Preview"/>
      <sheetName val="Qtr Sales"/>
      <sheetName val="Annual Product Sales"/>
      <sheetName val="Annual Prod Sales"/>
      <sheetName val="CF2"/>
      <sheetName val="BS2"/>
      <sheetName val="P&amp;L"/>
      <sheetName val="QTR"/>
      <sheetName val="blank"/>
      <sheetName val="Balance"/>
      <sheetName val="Cash flow"/>
      <sheetName val="IS-COMPS"/>
      <sheetName val="Paul - SEGS-MARGIN"/>
      <sheetName val="CF"/>
      <sheetName val="Qtr Link"/>
      <sheetName val="JV"/>
      <sheetName val="Stat SHeet"/>
      <sheetName val="Qtr detail"/>
      <sheetName val="Rx Data"/>
      <sheetName val="Celexa"/>
      <sheetName val="Disclaimer"/>
      <sheetName val="IndexInformation"/>
      <sheetName val="MainCode"/>
      <sheetName val="NY UPLOAD shadow"/>
      <sheetName val="Module1"/>
      <sheetName val="Module2"/>
      <sheetName val="Module3"/>
      <sheetName val="Prices"/>
    </sheetNames>
    <sheetDataSet>
      <sheetData sheetId="0" refreshError="1"/>
      <sheetData sheetId="1" refreshError="1"/>
      <sheetData sheetId="2" refreshError="1"/>
      <sheetData sheetId="3" refreshError="1"/>
      <sheetData sheetId="4" refreshError="1"/>
      <sheetData sheetId="5" refreshError="1"/>
      <sheetData sheetId="6" refreshError="1">
        <row r="2">
          <cell r="EM2" t="str">
            <v>Table 4 Continued</v>
          </cell>
        </row>
        <row r="3">
          <cell r="EM3" t="str">
            <v>Warner Lambert</v>
          </cell>
        </row>
        <row r="4">
          <cell r="EM4" t="str">
            <v>Quarterly/Annual Sales Analysis 1998-2005E -- Confectionery</v>
          </cell>
        </row>
        <row r="5">
          <cell r="EM5" t="str">
            <v>($ Millions)</v>
          </cell>
        </row>
        <row r="6">
          <cell r="EN6" t="str">
            <v>Bubblicious</v>
          </cell>
          <cell r="ER6" t="str">
            <v>Dentyne</v>
          </cell>
          <cell r="EV6" t="str">
            <v>Bubbaloo</v>
          </cell>
          <cell r="EZ6" t="str">
            <v>Other</v>
          </cell>
          <cell r="FD6" t="str">
            <v>Total</v>
          </cell>
          <cell r="FH6" t="str">
            <v>Total Corporate Sales</v>
          </cell>
        </row>
        <row r="7">
          <cell r="EN7" t="str">
            <v>U.S.</v>
          </cell>
          <cell r="EO7" t="str">
            <v>Intl</v>
          </cell>
          <cell r="EP7" t="str">
            <v>W/W</v>
          </cell>
          <cell r="ER7" t="str">
            <v>U.S.</v>
          </cell>
          <cell r="ES7" t="str">
            <v>Intl</v>
          </cell>
          <cell r="ET7" t="str">
            <v>W/W</v>
          </cell>
          <cell r="EV7" t="str">
            <v>U.S.</v>
          </cell>
          <cell r="EW7" t="str">
            <v>Intl</v>
          </cell>
          <cell r="EX7" t="str">
            <v>W/W</v>
          </cell>
          <cell r="EZ7" t="str">
            <v>U.S.</v>
          </cell>
          <cell r="FA7" t="str">
            <v>Intl</v>
          </cell>
          <cell r="FB7" t="str">
            <v>W/W</v>
          </cell>
          <cell r="FD7" t="str">
            <v>U.S.</v>
          </cell>
          <cell r="FE7" t="str">
            <v>Intl</v>
          </cell>
          <cell r="FF7" t="str">
            <v>W/W</v>
          </cell>
          <cell r="FH7" t="str">
            <v>U.S.</v>
          </cell>
          <cell r="FI7" t="str">
            <v>Intl</v>
          </cell>
          <cell r="FJ7" t="str">
            <v>W/W</v>
          </cell>
        </row>
        <row r="10">
          <cell r="EM10" t="str">
            <v xml:space="preserve">1994 </v>
          </cell>
        </row>
        <row r="11">
          <cell r="EM11" t="str">
            <v xml:space="preserve"> 1Q</v>
          </cell>
          <cell r="EN11">
            <v>15.1</v>
          </cell>
          <cell r="EO11">
            <v>7.8</v>
          </cell>
          <cell r="EP11">
            <v>22.9</v>
          </cell>
          <cell r="ER11">
            <v>12</v>
          </cell>
          <cell r="ES11">
            <v>9</v>
          </cell>
          <cell r="ET11">
            <v>21</v>
          </cell>
          <cell r="EV11">
            <v>0</v>
          </cell>
          <cell r="EW11">
            <v>9</v>
          </cell>
          <cell r="EX11">
            <v>9</v>
          </cell>
          <cell r="EZ11">
            <v>14.799999999999997</v>
          </cell>
          <cell r="FA11">
            <v>53.499999999999986</v>
          </cell>
          <cell r="FB11">
            <v>68.299999999999983</v>
          </cell>
          <cell r="FD11">
            <v>129.6</v>
          </cell>
          <cell r="FE11">
            <v>280.39999999999998</v>
          </cell>
          <cell r="FF11">
            <v>410</v>
          </cell>
          <cell r="FH11">
            <v>658.6</v>
          </cell>
          <cell r="FI11">
            <v>814.4</v>
          </cell>
          <cell r="FJ11">
            <v>1473</v>
          </cell>
        </row>
        <row r="12">
          <cell r="EM12" t="str">
            <v xml:space="preserve"> 2Q</v>
          </cell>
          <cell r="EN12">
            <v>17.2</v>
          </cell>
          <cell r="EO12">
            <v>11.1</v>
          </cell>
          <cell r="EP12">
            <v>28.299999999999997</v>
          </cell>
          <cell r="ER12">
            <v>15</v>
          </cell>
          <cell r="ES12">
            <v>10</v>
          </cell>
          <cell r="ET12">
            <v>25</v>
          </cell>
          <cell r="EV12">
            <v>0</v>
          </cell>
          <cell r="EW12">
            <v>9</v>
          </cell>
          <cell r="EX12">
            <v>9</v>
          </cell>
          <cell r="EZ12">
            <v>17.799999999999983</v>
          </cell>
          <cell r="FA12">
            <v>49.500000000000028</v>
          </cell>
          <cell r="FB12">
            <v>67.300000000000011</v>
          </cell>
          <cell r="FD12">
            <v>151.19999999999999</v>
          </cell>
          <cell r="FE12">
            <v>285.90000000000003</v>
          </cell>
          <cell r="FF12">
            <v>437.1</v>
          </cell>
          <cell r="FH12">
            <v>723.8</v>
          </cell>
          <cell r="FI12">
            <v>828.40000000000009</v>
          </cell>
          <cell r="FJ12">
            <v>1552.2</v>
          </cell>
        </row>
        <row r="13">
          <cell r="EM13" t="str">
            <v xml:space="preserve"> 3Q</v>
          </cell>
          <cell r="EN13">
            <v>9.1</v>
          </cell>
          <cell r="EO13">
            <v>8.1999999999999993</v>
          </cell>
          <cell r="EP13">
            <v>17.299999999999997</v>
          </cell>
          <cell r="ER13">
            <v>13</v>
          </cell>
          <cell r="ES13">
            <v>10</v>
          </cell>
          <cell r="ET13">
            <v>23</v>
          </cell>
          <cell r="EV13">
            <v>0</v>
          </cell>
          <cell r="EW13">
            <v>11</v>
          </cell>
          <cell r="EX13">
            <v>11</v>
          </cell>
          <cell r="EZ13">
            <v>29.699999999999996</v>
          </cell>
          <cell r="FA13">
            <v>51.500000000000014</v>
          </cell>
          <cell r="FB13">
            <v>81.200000000000017</v>
          </cell>
          <cell r="FD13">
            <v>182.1</v>
          </cell>
          <cell r="FE13">
            <v>270.8</v>
          </cell>
          <cell r="FF13">
            <v>452.9</v>
          </cell>
          <cell r="FH13">
            <v>825.00000000000011</v>
          </cell>
          <cell r="FI13">
            <v>845.90000000000009</v>
          </cell>
          <cell r="FJ13">
            <v>1670.9</v>
          </cell>
        </row>
        <row r="14">
          <cell r="EM14" t="str">
            <v xml:space="preserve"> 4Q</v>
          </cell>
          <cell r="EN14">
            <v>9.6</v>
          </cell>
          <cell r="EO14">
            <v>10.6</v>
          </cell>
          <cell r="EP14">
            <v>20.2</v>
          </cell>
          <cell r="ER14">
            <v>12</v>
          </cell>
          <cell r="ES14">
            <v>11</v>
          </cell>
          <cell r="ET14">
            <v>23</v>
          </cell>
          <cell r="EV14">
            <v>0</v>
          </cell>
          <cell r="EW14">
            <v>14</v>
          </cell>
          <cell r="EX14">
            <v>14</v>
          </cell>
          <cell r="EZ14">
            <v>22.599999999999994</v>
          </cell>
          <cell r="FA14">
            <v>61.199999999999974</v>
          </cell>
          <cell r="FB14">
            <v>83.799999999999969</v>
          </cell>
          <cell r="FD14">
            <v>173.7</v>
          </cell>
          <cell r="FE14">
            <v>337.7</v>
          </cell>
          <cell r="FF14">
            <v>511.4</v>
          </cell>
          <cell r="FH14">
            <v>746.8</v>
          </cell>
          <cell r="FI14">
            <v>974</v>
          </cell>
          <cell r="FJ14">
            <v>1720.8</v>
          </cell>
        </row>
        <row r="16">
          <cell r="EM16" t="str">
            <v>1994</v>
          </cell>
          <cell r="EN16">
            <v>51</v>
          </cell>
          <cell r="EO16">
            <v>37.699999999999996</v>
          </cell>
          <cell r="EP16">
            <v>88.7</v>
          </cell>
          <cell r="ER16">
            <v>52</v>
          </cell>
          <cell r="ES16">
            <v>40</v>
          </cell>
          <cell r="ET16">
            <v>92</v>
          </cell>
          <cell r="EV16">
            <v>0</v>
          </cell>
          <cell r="EW16">
            <v>43</v>
          </cell>
          <cell r="EX16">
            <v>43</v>
          </cell>
          <cell r="EZ16">
            <v>84.899999999999977</v>
          </cell>
          <cell r="FA16">
            <v>215.7</v>
          </cell>
          <cell r="FB16">
            <v>300.59999999999997</v>
          </cell>
          <cell r="FD16">
            <v>636.59999999999991</v>
          </cell>
          <cell r="FE16">
            <v>1174.8</v>
          </cell>
          <cell r="FF16">
            <v>1811.4</v>
          </cell>
          <cell r="FH16">
            <v>2954.2</v>
          </cell>
          <cell r="FI16">
            <v>3462.7000000000003</v>
          </cell>
          <cell r="FJ16">
            <v>6416.9000000000005</v>
          </cell>
        </row>
        <row r="18">
          <cell r="EM18" t="str">
            <v>1995/94 % Change</v>
          </cell>
        </row>
        <row r="19">
          <cell r="EM19" t="str">
            <v xml:space="preserve"> 1Q</v>
          </cell>
          <cell r="EN19">
            <v>5.2980132450331174E-2</v>
          </cell>
          <cell r="EO19">
            <v>0.11538461538461542</v>
          </cell>
          <cell r="EP19">
            <v>7.4235807860262071E-2</v>
          </cell>
          <cell r="ER19">
            <v>-0.25</v>
          </cell>
          <cell r="ES19">
            <v>0</v>
          </cell>
          <cell r="ET19">
            <v>-0.1428571428571429</v>
          </cell>
          <cell r="EV19" t="str">
            <v>NM</v>
          </cell>
          <cell r="EW19">
            <v>0.55555555555555558</v>
          </cell>
          <cell r="EX19">
            <v>0.55555555555555558</v>
          </cell>
          <cell r="EZ19">
            <v>4.4408920985006262E-16</v>
          </cell>
          <cell r="FA19">
            <v>0.19252336448598073</v>
          </cell>
          <cell r="FB19">
            <v>0.15080527086383588</v>
          </cell>
          <cell r="FD19">
            <v>-9.6450617283950657E-2</v>
          </cell>
          <cell r="FE19">
            <v>3.3166904422254007E-2</v>
          </cell>
          <cell r="FF19">
            <v>-7.8048780487806058E-3</v>
          </cell>
          <cell r="FH19">
            <v>3.0367446097783191E-2</v>
          </cell>
          <cell r="FI19">
            <v>0.13670186640471527</v>
          </cell>
          <cell r="FJ19">
            <v>8.9158180583842395E-2</v>
          </cell>
        </row>
        <row r="20">
          <cell r="EM20" t="str">
            <v xml:space="preserve"> 2Q</v>
          </cell>
          <cell r="EN20">
            <v>-0.19186046511627897</v>
          </cell>
          <cell r="EO20">
            <v>9.009009009008917E-3</v>
          </cell>
          <cell r="EP20">
            <v>-0.11307420494699638</v>
          </cell>
          <cell r="ER20">
            <v>-0.19999999999999996</v>
          </cell>
          <cell r="ES20">
            <v>0</v>
          </cell>
          <cell r="ET20">
            <v>-0.12</v>
          </cell>
          <cell r="EV20" t="str">
            <v>NM</v>
          </cell>
          <cell r="EW20">
            <v>1</v>
          </cell>
          <cell r="EX20">
            <v>1</v>
          </cell>
          <cell r="EZ20">
            <v>-0.11235955056179547</v>
          </cell>
          <cell r="FA20">
            <v>0.34343434343434232</v>
          </cell>
          <cell r="FB20">
            <v>0.2228826151560177</v>
          </cell>
          <cell r="FD20">
            <v>-0.12830687830687815</v>
          </cell>
          <cell r="FE20">
            <v>0.14585519412381953</v>
          </cell>
          <cell r="FF20">
            <v>5.1018073667353114E-2</v>
          </cell>
          <cell r="FH20">
            <v>5.8856037579442022E-2</v>
          </cell>
          <cell r="FI20">
            <v>0.24725977788507958</v>
          </cell>
          <cell r="FJ20">
            <v>0.15940600438087871</v>
          </cell>
        </row>
        <row r="21">
          <cell r="EM21" t="str">
            <v xml:space="preserve"> 3Q</v>
          </cell>
          <cell r="EN21">
            <v>0.23076923076923084</v>
          </cell>
          <cell r="EO21">
            <v>0.19512195121951237</v>
          </cell>
          <cell r="EP21">
            <v>0.21387283236994237</v>
          </cell>
          <cell r="ER21">
            <v>-0.30000000000000004</v>
          </cell>
          <cell r="ES21">
            <v>0.10000000000000009</v>
          </cell>
          <cell r="ET21">
            <v>-0.12608695652173907</v>
          </cell>
          <cell r="EV21" t="str">
            <v>NM</v>
          </cell>
          <cell r="EW21">
            <v>0.81818181818181812</v>
          </cell>
          <cell r="EX21">
            <v>0.81818181818181812</v>
          </cell>
          <cell r="EZ21">
            <v>-8.0808080808080995E-2</v>
          </cell>
          <cell r="FA21">
            <v>0.13980582524271767</v>
          </cell>
          <cell r="FB21">
            <v>5.9113300492610321E-2</v>
          </cell>
          <cell r="FD21">
            <v>-5.4914881933003867E-2</v>
          </cell>
          <cell r="FE21">
            <v>0.16248153618906946</v>
          </cell>
          <cell r="FF21">
            <v>7.5071759770368729E-2</v>
          </cell>
          <cell r="FH21">
            <v>-2.6666666666666838E-2</v>
          </cell>
          <cell r="FI21">
            <v>0.15013594987587164</v>
          </cell>
          <cell r="FJ21">
            <v>6.2840385421030431E-2</v>
          </cell>
        </row>
        <row r="22">
          <cell r="EM22" t="str">
            <v xml:space="preserve"> 4Q</v>
          </cell>
          <cell r="EN22">
            <v>0.11458333333333326</v>
          </cell>
          <cell r="EO22">
            <v>8.4905660377358583E-2</v>
          </cell>
          <cell r="EP22">
            <v>9.9009900990099098E-2</v>
          </cell>
          <cell r="ER22">
            <v>-0.16666666666666663</v>
          </cell>
          <cell r="ES22">
            <v>9.0909090909090828E-2</v>
          </cell>
          <cell r="ET22">
            <v>-4.3478260869565188E-2</v>
          </cell>
          <cell r="EV22" t="str">
            <v>NM</v>
          </cell>
          <cell r="EW22">
            <v>0.71428571428571419</v>
          </cell>
          <cell r="EX22">
            <v>0.71428571428571419</v>
          </cell>
          <cell r="EZ22">
            <v>-4.4247787610617317E-3</v>
          </cell>
          <cell r="FA22">
            <v>6.6993464052287788E-2</v>
          </cell>
          <cell r="FB22">
            <v>4.7732696897374804E-2</v>
          </cell>
          <cell r="FD22">
            <v>-5.526770293609673E-2</v>
          </cell>
          <cell r="FE22">
            <v>0.12289013917678404</v>
          </cell>
          <cell r="FF22">
            <v>6.2377786468517771E-2</v>
          </cell>
          <cell r="FH22">
            <v>3.6957686127477185E-2</v>
          </cell>
          <cell r="FI22">
            <v>0.11447638603696109</v>
          </cell>
          <cell r="FJ22">
            <v>8.0834495583449684E-2</v>
          </cell>
        </row>
        <row r="24">
          <cell r="EM24" t="str">
            <v>1995/94</v>
          </cell>
          <cell r="EN24">
            <v>1.3725490196078383E-2</v>
          </cell>
          <cell r="EO24">
            <v>9.2838196286472385E-2</v>
          </cell>
          <cell r="EP24">
            <v>4.7350620067643678E-2</v>
          </cell>
          <cell r="ER24">
            <v>-0.22884615384615381</v>
          </cell>
          <cell r="ES24">
            <v>5.0000000000000044E-2</v>
          </cell>
          <cell r="ET24">
            <v>-0.10760869565217401</v>
          </cell>
          <cell r="EV24" t="str">
            <v>NM</v>
          </cell>
          <cell r="EW24">
            <v>0.76744186046511631</v>
          </cell>
          <cell r="EX24">
            <v>0.76744186046511631</v>
          </cell>
          <cell r="EZ24">
            <v>-5.3003533568904082E-2</v>
          </cell>
          <cell r="FA24">
            <v>0.17895224849327751</v>
          </cell>
          <cell r="FB24">
            <v>0.1134397870924817</v>
          </cell>
          <cell r="FD24">
            <v>-8.0898523405592004E-2</v>
          </cell>
          <cell r="FE24">
            <v>0.11618998978549544</v>
          </cell>
          <cell r="FF24">
            <v>4.6925030363254905E-2</v>
          </cell>
          <cell r="FH24">
            <v>2.3085776183061402E-2</v>
          </cell>
          <cell r="FI24">
            <v>0.16018136136540839</v>
          </cell>
          <cell r="FJ24">
            <v>9.7065561252318133E-2</v>
          </cell>
        </row>
        <row r="26">
          <cell r="EM26" t="str">
            <v xml:space="preserve">1995 </v>
          </cell>
        </row>
        <row r="27">
          <cell r="EM27" t="str">
            <v xml:space="preserve"> 1Q</v>
          </cell>
          <cell r="EN27">
            <v>15.9</v>
          </cell>
          <cell r="EO27">
            <v>8.6999999999999993</v>
          </cell>
          <cell r="EP27">
            <v>24.6</v>
          </cell>
          <cell r="ER27">
            <v>9</v>
          </cell>
          <cell r="ES27">
            <v>9</v>
          </cell>
          <cell r="ET27">
            <v>18</v>
          </cell>
          <cell r="EV27">
            <v>0</v>
          </cell>
          <cell r="EW27">
            <v>14</v>
          </cell>
          <cell r="EX27">
            <v>14</v>
          </cell>
          <cell r="EZ27">
            <v>14.800000000000004</v>
          </cell>
          <cell r="FA27">
            <v>63.799999999999955</v>
          </cell>
          <cell r="FB27">
            <v>78.599999999999966</v>
          </cell>
          <cell r="FD27">
            <v>117.1</v>
          </cell>
          <cell r="FE27">
            <v>289.7</v>
          </cell>
          <cell r="FF27">
            <v>406.79999999999995</v>
          </cell>
          <cell r="FH27">
            <v>678.6</v>
          </cell>
          <cell r="FI27">
            <v>925.73</v>
          </cell>
          <cell r="FJ27">
            <v>1604.33</v>
          </cell>
        </row>
        <row r="28">
          <cell r="EM28" t="str">
            <v xml:space="preserve"> 2Q</v>
          </cell>
          <cell r="EN28">
            <v>13.9</v>
          </cell>
          <cell r="EO28">
            <v>11.2</v>
          </cell>
          <cell r="EP28">
            <v>25.1</v>
          </cell>
          <cell r="ER28">
            <v>12</v>
          </cell>
          <cell r="ES28">
            <v>10</v>
          </cell>
          <cell r="ET28">
            <v>22</v>
          </cell>
          <cell r="EV28">
            <v>0</v>
          </cell>
          <cell r="EW28">
            <v>18</v>
          </cell>
          <cell r="EX28">
            <v>18</v>
          </cell>
          <cell r="EZ28">
            <v>15.800000000000026</v>
          </cell>
          <cell r="FA28">
            <v>66.499999999999986</v>
          </cell>
          <cell r="FB28">
            <v>82.300000000000011</v>
          </cell>
          <cell r="FD28">
            <v>131.80000000000001</v>
          </cell>
          <cell r="FE28">
            <v>327.60000000000002</v>
          </cell>
          <cell r="FF28">
            <v>459.40000000000003</v>
          </cell>
          <cell r="FH28">
            <v>766.40000000000009</v>
          </cell>
          <cell r="FI28">
            <v>1033.23</v>
          </cell>
          <cell r="FJ28">
            <v>1799.63</v>
          </cell>
        </row>
        <row r="29">
          <cell r="EM29" t="str">
            <v xml:space="preserve"> 3Q</v>
          </cell>
          <cell r="EN29">
            <v>11.2</v>
          </cell>
          <cell r="EO29">
            <v>9.8000000000000007</v>
          </cell>
          <cell r="EP29">
            <v>21</v>
          </cell>
          <cell r="ER29">
            <v>9.1</v>
          </cell>
          <cell r="ES29">
            <v>11</v>
          </cell>
          <cell r="ET29">
            <v>20.100000000000001</v>
          </cell>
          <cell r="EV29">
            <v>0</v>
          </cell>
          <cell r="EW29">
            <v>20</v>
          </cell>
          <cell r="EX29">
            <v>20</v>
          </cell>
          <cell r="EZ29">
            <v>27.29999999999999</v>
          </cell>
          <cell r="FA29">
            <v>58.699999999999974</v>
          </cell>
          <cell r="FB29">
            <v>85.999999999999972</v>
          </cell>
          <cell r="FD29">
            <v>172.1</v>
          </cell>
          <cell r="FE29">
            <v>314.8</v>
          </cell>
          <cell r="FF29">
            <v>486.9</v>
          </cell>
          <cell r="FH29">
            <v>803</v>
          </cell>
          <cell r="FI29">
            <v>972.89999999999986</v>
          </cell>
          <cell r="FJ29">
            <v>1775.8999999999999</v>
          </cell>
        </row>
        <row r="30">
          <cell r="EM30" t="str">
            <v xml:space="preserve"> 4Q</v>
          </cell>
          <cell r="EN30">
            <v>10.7</v>
          </cell>
          <cell r="EO30">
            <v>11.5</v>
          </cell>
          <cell r="EP30">
            <v>22.2</v>
          </cell>
          <cell r="ER30">
            <v>10</v>
          </cell>
          <cell r="ES30">
            <v>12</v>
          </cell>
          <cell r="ET30">
            <v>22</v>
          </cell>
          <cell r="EV30">
            <v>0</v>
          </cell>
          <cell r="EW30">
            <v>24</v>
          </cell>
          <cell r="EX30">
            <v>24</v>
          </cell>
          <cell r="EZ30">
            <v>22.5</v>
          </cell>
          <cell r="FA30">
            <v>65.299999999999983</v>
          </cell>
          <cell r="FB30">
            <v>87.799999999999983</v>
          </cell>
          <cell r="FD30">
            <v>164.1</v>
          </cell>
          <cell r="FE30">
            <v>379.2</v>
          </cell>
          <cell r="FF30">
            <v>543.29999999999995</v>
          </cell>
          <cell r="FH30">
            <v>774.4</v>
          </cell>
          <cell r="FI30">
            <v>1085.5</v>
          </cell>
          <cell r="FJ30">
            <v>1859.9</v>
          </cell>
        </row>
        <row r="32">
          <cell r="EM32" t="str">
            <v xml:space="preserve">1995 </v>
          </cell>
          <cell r="EN32">
            <v>51.7</v>
          </cell>
          <cell r="EO32">
            <v>41.2</v>
          </cell>
          <cell r="EP32">
            <v>92.9</v>
          </cell>
          <cell r="ER32">
            <v>40.1</v>
          </cell>
          <cell r="ES32">
            <v>42</v>
          </cell>
          <cell r="ET32">
            <v>82.1</v>
          </cell>
          <cell r="EV32">
            <v>0</v>
          </cell>
          <cell r="EW32">
            <v>76</v>
          </cell>
          <cell r="EX32">
            <v>76</v>
          </cell>
          <cell r="EZ32">
            <v>80.40000000000002</v>
          </cell>
          <cell r="FA32">
            <v>254.29999999999993</v>
          </cell>
          <cell r="FB32">
            <v>334.69999999999993</v>
          </cell>
          <cell r="FD32">
            <v>585.1</v>
          </cell>
          <cell r="FE32">
            <v>1311.3</v>
          </cell>
          <cell r="FF32">
            <v>1896.3999999999999</v>
          </cell>
          <cell r="FH32">
            <v>3022.4</v>
          </cell>
          <cell r="FI32">
            <v>4017.3599999999997</v>
          </cell>
          <cell r="FJ32">
            <v>7039.76</v>
          </cell>
        </row>
        <row r="34">
          <cell r="EM34" t="str">
            <v xml:space="preserve">1996/95 </v>
          </cell>
        </row>
        <row r="35">
          <cell r="EM35" t="str">
            <v xml:space="preserve"> 1Q</v>
          </cell>
          <cell r="EN35">
            <v>-2.515723270440251E-2</v>
          </cell>
          <cell r="EO35">
            <v>-9.1954022988505635E-2</v>
          </cell>
          <cell r="EP35">
            <v>-4.8780487804878203E-2</v>
          </cell>
          <cell r="ER35">
            <v>-2.2222222222222143E-2</v>
          </cell>
          <cell r="ES35">
            <v>0.29999999999999982</v>
          </cell>
          <cell r="ET35">
            <v>0.13888888888888884</v>
          </cell>
          <cell r="EV35" t="str">
            <v>NM</v>
          </cell>
          <cell r="EW35">
            <v>0.56428571428571428</v>
          </cell>
          <cell r="EX35">
            <v>0.56428571428571428</v>
          </cell>
          <cell r="EZ35">
            <v>0.12837837837837851</v>
          </cell>
          <cell r="FA35">
            <v>-0.14122257053291454</v>
          </cell>
          <cell r="FB35">
            <v>-9.0458015267174896E-2</v>
          </cell>
          <cell r="FD35">
            <v>0.10589239965841157</v>
          </cell>
          <cell r="FE35">
            <v>0.17224715222644127</v>
          </cell>
          <cell r="FF35">
            <v>0.15314650934119989</v>
          </cell>
          <cell r="FH35">
            <v>0.15384615384615374</v>
          </cell>
          <cell r="FI35">
            <v>0.1301351365949035</v>
          </cell>
          <cell r="FJ35">
            <v>0.14016443001128209</v>
          </cell>
        </row>
        <row r="36">
          <cell r="EM36" t="str">
            <v xml:space="preserve"> 2Q</v>
          </cell>
          <cell r="EN36">
            <v>0.19424460431654689</v>
          </cell>
          <cell r="EO36">
            <v>-0.2767857142857143</v>
          </cell>
          <cell r="EP36">
            <v>-1.5936254980079667E-2</v>
          </cell>
          <cell r="ER36">
            <v>-0.125</v>
          </cell>
          <cell r="ES36">
            <v>0.29000000000000004</v>
          </cell>
          <cell r="ET36">
            <v>6.3636363636363491E-2</v>
          </cell>
          <cell r="EV36" t="str">
            <v>NM</v>
          </cell>
          <cell r="EW36">
            <v>-5.555555555555558E-2</v>
          </cell>
          <cell r="EX36">
            <v>-5.555555555555558E-2</v>
          </cell>
          <cell r="EZ36">
            <v>3.7974683544301557E-2</v>
          </cell>
          <cell r="FA36">
            <v>-0.184962406015037</v>
          </cell>
          <cell r="FB36">
            <v>-0.14216281895504235</v>
          </cell>
          <cell r="FD36">
            <v>4.7799696509863265E-2</v>
          </cell>
          <cell r="FE36">
            <v>-9.157509157509125E-4</v>
          </cell>
          <cell r="FF36">
            <v>1.3060513713539335E-2</v>
          </cell>
          <cell r="FH36">
            <v>1.1090814196242027E-2</v>
          </cell>
          <cell r="FI36">
            <v>-1.6385509518693886E-2</v>
          </cell>
          <cell r="FJ36">
            <v>-4.6842962164446167E-3</v>
          </cell>
        </row>
        <row r="37">
          <cell r="EM37" t="str">
            <v xml:space="preserve"> 3Q</v>
          </cell>
          <cell r="EN37">
            <v>1.7857142857143016E-2</v>
          </cell>
          <cell r="EO37">
            <v>-0.18367346938775519</v>
          </cell>
          <cell r="EP37">
            <v>-7.6190476190476253E-2</v>
          </cell>
          <cell r="ER37">
            <v>1.098901098901095E-2</v>
          </cell>
          <cell r="ES37">
            <v>0.15454545454545454</v>
          </cell>
          <cell r="ET37">
            <v>8.9552238805969964E-2</v>
          </cell>
          <cell r="EV37" t="str">
            <v>NM</v>
          </cell>
          <cell r="EW37">
            <v>-5.0000000000000044E-2</v>
          </cell>
          <cell r="EX37">
            <v>-5.0000000000000044E-2</v>
          </cell>
          <cell r="EZ37">
            <v>-0.24542124542124499</v>
          </cell>
          <cell r="FA37">
            <v>-0.21124361158432681</v>
          </cell>
          <cell r="FB37">
            <v>-0.22209302325581359</v>
          </cell>
          <cell r="FD37">
            <v>-9.0644973852411326E-2</v>
          </cell>
          <cell r="FE37">
            <v>5.0825921219821435E-3</v>
          </cell>
          <cell r="FF37">
            <v>-2.8753337440952986E-2</v>
          </cell>
          <cell r="FH37">
            <v>6.6002490660024282E-3</v>
          </cell>
          <cell r="FI37">
            <v>-1.3464898756295529E-2</v>
          </cell>
          <cell r="FJ37">
            <v>-4.3921391970268564E-3</v>
          </cell>
        </row>
        <row r="38">
          <cell r="EM38" t="str">
            <v xml:space="preserve"> 4Q</v>
          </cell>
          <cell r="EN38">
            <v>0.11214953271028039</v>
          </cell>
          <cell r="EO38">
            <v>-0.13043478260869568</v>
          </cell>
          <cell r="EP38">
            <v>-1.3513513513513598E-2</v>
          </cell>
          <cell r="ER38">
            <v>-0.13000000000000012</v>
          </cell>
          <cell r="ES38">
            <v>0.16666666666666674</v>
          </cell>
          <cell r="ET38">
            <v>3.1818181818181746E-2</v>
          </cell>
          <cell r="EV38" t="str">
            <v>NM</v>
          </cell>
          <cell r="EW38">
            <v>-0.24583333333333324</v>
          </cell>
          <cell r="EX38">
            <v>-0.24583333333333324</v>
          </cell>
          <cell r="EZ38">
            <v>-0.21333333333333271</v>
          </cell>
          <cell r="FA38">
            <v>-0.2404287901990807</v>
          </cell>
          <cell r="FB38">
            <v>-0.23348519362186748</v>
          </cell>
          <cell r="FD38">
            <v>7.3126142595978383E-3</v>
          </cell>
          <cell r="FE38">
            <v>-5.959915611814337E-2</v>
          </cell>
          <cell r="FF38">
            <v>-3.9388919565617297E-2</v>
          </cell>
          <cell r="FH38">
            <v>4.2613636363636243E-2</v>
          </cell>
          <cell r="FI38">
            <v>-4.6061722708429342E-2</v>
          </cell>
          <cell r="FJ38">
            <v>-9.1402763589440994E-3</v>
          </cell>
        </row>
        <row r="40">
          <cell r="EM40" t="str">
            <v>1996/95</v>
          </cell>
          <cell r="EN40">
            <v>7.1566731141199158E-2</v>
          </cell>
          <cell r="EO40">
            <v>-0.17475728155339809</v>
          </cell>
          <cell r="EP40">
            <v>-3.7674919268030127E-2</v>
          </cell>
          <cell r="ER40">
            <v>-7.2319201995012405E-2</v>
          </cell>
          <cell r="ES40">
            <v>0.22142857142857131</v>
          </cell>
          <cell r="ET40">
            <v>7.795371498172976E-2</v>
          </cell>
          <cell r="EV40" t="str">
            <v>NM</v>
          </cell>
          <cell r="EW40">
            <v>0</v>
          </cell>
          <cell r="EX40">
            <v>0</v>
          </cell>
          <cell r="EZ40">
            <v>-0.11194029850746268</v>
          </cell>
          <cell r="FA40">
            <v>-0.19429807314195791</v>
          </cell>
          <cell r="FB40">
            <v>-0.17451449058858637</v>
          </cell>
          <cell r="FD40">
            <v>7.3491710818665013E-3</v>
          </cell>
          <cell r="FE40">
            <v>2.1810417143293126E-2</v>
          </cell>
          <cell r="FF40">
            <v>1.7348660620122525E-2</v>
          </cell>
          <cell r="FH40">
            <v>5.0026469031233312E-2</v>
          </cell>
          <cell r="FI40">
            <v>1.0066312205030403E-2</v>
          </cell>
          <cell r="FJ40">
            <v>2.7222518949509666E-2</v>
          </cell>
        </row>
        <row r="42">
          <cell r="EM42" t="str">
            <v>1996</v>
          </cell>
        </row>
        <row r="43">
          <cell r="EM43" t="str">
            <v xml:space="preserve"> 1Q</v>
          </cell>
          <cell r="EN43">
            <v>15.5</v>
          </cell>
          <cell r="EO43">
            <v>7.9</v>
          </cell>
          <cell r="EP43">
            <v>23.4</v>
          </cell>
          <cell r="ER43">
            <v>8.8000000000000007</v>
          </cell>
          <cell r="ES43">
            <v>11.7</v>
          </cell>
          <cell r="ET43">
            <v>20.5</v>
          </cell>
          <cell r="EV43">
            <v>0</v>
          </cell>
          <cell r="EW43">
            <v>21.9</v>
          </cell>
          <cell r="EX43">
            <v>21.9</v>
          </cell>
          <cell r="EZ43">
            <v>16.700000000000006</v>
          </cell>
          <cell r="FA43">
            <v>54.790000000000013</v>
          </cell>
          <cell r="FB43">
            <v>71.490000000000023</v>
          </cell>
          <cell r="FD43">
            <v>129.5</v>
          </cell>
          <cell r="FE43">
            <v>339.6</v>
          </cell>
          <cell r="FF43">
            <v>469.1</v>
          </cell>
          <cell r="FH43">
            <v>783</v>
          </cell>
          <cell r="FI43">
            <v>1046.2</v>
          </cell>
          <cell r="FJ43">
            <v>1829.2</v>
          </cell>
        </row>
        <row r="44">
          <cell r="EM44" t="str">
            <v xml:space="preserve"> 2Q</v>
          </cell>
          <cell r="EN44">
            <v>16.600000000000001</v>
          </cell>
          <cell r="EO44">
            <v>8.1</v>
          </cell>
          <cell r="EP44">
            <v>24.700000000000003</v>
          </cell>
          <cell r="ER44">
            <v>10.5</v>
          </cell>
          <cell r="ES44">
            <v>12.9</v>
          </cell>
          <cell r="ET44">
            <v>23.4</v>
          </cell>
          <cell r="EV44">
            <v>0</v>
          </cell>
          <cell r="EW44">
            <v>17</v>
          </cell>
          <cell r="EX44">
            <v>17</v>
          </cell>
          <cell r="EZ44">
            <v>16.399999999999991</v>
          </cell>
          <cell r="FA44">
            <v>54.200000000000031</v>
          </cell>
          <cell r="FB44">
            <v>70.600000000000023</v>
          </cell>
          <cell r="FD44">
            <v>138.1</v>
          </cell>
          <cell r="FE44">
            <v>327.3</v>
          </cell>
          <cell r="FF44">
            <v>465.4</v>
          </cell>
          <cell r="FH44">
            <v>774.9</v>
          </cell>
          <cell r="FI44">
            <v>1016.3</v>
          </cell>
          <cell r="FJ44">
            <v>1791.1999999999998</v>
          </cell>
        </row>
        <row r="45">
          <cell r="EM45" t="str">
            <v xml:space="preserve"> 3Q</v>
          </cell>
          <cell r="EN45">
            <v>11.4</v>
          </cell>
          <cell r="EO45">
            <v>8</v>
          </cell>
          <cell r="EP45">
            <v>19.399999999999999</v>
          </cell>
          <cell r="ER45">
            <v>9.1999999999999993</v>
          </cell>
          <cell r="ES45">
            <v>12.7</v>
          </cell>
          <cell r="ET45">
            <v>21.9</v>
          </cell>
          <cell r="EV45">
            <v>0</v>
          </cell>
          <cell r="EW45">
            <v>19</v>
          </cell>
          <cell r="EX45">
            <v>19</v>
          </cell>
          <cell r="EZ45">
            <v>20.600000000000005</v>
          </cell>
          <cell r="FA45">
            <v>46.3</v>
          </cell>
          <cell r="FB45">
            <v>66.900000000000006</v>
          </cell>
          <cell r="FD45">
            <v>156.5</v>
          </cell>
          <cell r="FE45">
            <v>316.39999999999998</v>
          </cell>
          <cell r="FF45">
            <v>472.9</v>
          </cell>
          <cell r="FH45">
            <v>808.3</v>
          </cell>
          <cell r="FI45">
            <v>959.8</v>
          </cell>
          <cell r="FJ45">
            <v>1768.1</v>
          </cell>
        </row>
        <row r="46">
          <cell r="EM46" t="str">
            <v xml:space="preserve"> 4Q</v>
          </cell>
          <cell r="EN46">
            <v>11.9</v>
          </cell>
          <cell r="EO46">
            <v>10</v>
          </cell>
          <cell r="EP46">
            <v>21.9</v>
          </cell>
          <cell r="ER46">
            <v>8.6999999999999993</v>
          </cell>
          <cell r="ES46">
            <v>14</v>
          </cell>
          <cell r="ET46">
            <v>22.7</v>
          </cell>
          <cell r="EV46">
            <v>0</v>
          </cell>
          <cell r="EW46">
            <v>18.100000000000001</v>
          </cell>
          <cell r="EX46">
            <v>18.100000000000001</v>
          </cell>
          <cell r="EZ46">
            <v>17.700000000000014</v>
          </cell>
          <cell r="FA46">
            <v>49.600000000000016</v>
          </cell>
          <cell r="FB46">
            <v>67.300000000000026</v>
          </cell>
          <cell r="FD46">
            <v>165.3</v>
          </cell>
          <cell r="FE46">
            <v>356.6</v>
          </cell>
          <cell r="FF46">
            <v>521.90000000000009</v>
          </cell>
          <cell r="FH46">
            <v>807.39999999999986</v>
          </cell>
          <cell r="FI46">
            <v>1035.5</v>
          </cell>
          <cell r="FJ46">
            <v>1842.8999999999999</v>
          </cell>
        </row>
        <row r="48">
          <cell r="EM48" t="str">
            <v>1996</v>
          </cell>
          <cell r="EN48">
            <v>55.4</v>
          </cell>
          <cell r="EO48">
            <v>34</v>
          </cell>
          <cell r="EP48">
            <v>89.4</v>
          </cell>
          <cell r="ER48">
            <v>37.200000000000003</v>
          </cell>
          <cell r="ES48">
            <v>51.3</v>
          </cell>
          <cell r="ET48">
            <v>88.5</v>
          </cell>
          <cell r="EV48">
            <v>0</v>
          </cell>
          <cell r="EW48">
            <v>76</v>
          </cell>
          <cell r="EX48">
            <v>76</v>
          </cell>
          <cell r="EZ48">
            <v>71.40000000000002</v>
          </cell>
          <cell r="FA48">
            <v>204.89000000000004</v>
          </cell>
          <cell r="FB48">
            <v>276.29000000000008</v>
          </cell>
          <cell r="FD48">
            <v>589.40000000000009</v>
          </cell>
          <cell r="FE48">
            <v>1339.9</v>
          </cell>
          <cell r="FF48">
            <v>1929.3000000000002</v>
          </cell>
          <cell r="FH48">
            <v>3173.5999999999995</v>
          </cell>
          <cell r="FI48">
            <v>4057.8</v>
          </cell>
          <cell r="FJ48">
            <v>7231.4</v>
          </cell>
        </row>
        <row r="50">
          <cell r="EM50" t="str">
            <v xml:space="preserve">1997/96 </v>
          </cell>
        </row>
        <row r="51">
          <cell r="EM51" t="str">
            <v xml:space="preserve"> 1Q</v>
          </cell>
          <cell r="EN51">
            <v>-0.18709677419354842</v>
          </cell>
          <cell r="EO51">
            <v>-3.7974683544303889E-2</v>
          </cell>
          <cell r="EP51">
            <v>-0.13675213675213671</v>
          </cell>
          <cell r="ER51">
            <v>0.72727272727272707</v>
          </cell>
          <cell r="ES51">
            <v>0.11965811965811968</v>
          </cell>
          <cell r="ET51">
            <v>0.38048780487804867</v>
          </cell>
          <cell r="EV51" t="str">
            <v>NM</v>
          </cell>
          <cell r="EW51">
            <v>-5.9360730593607136E-2</v>
          </cell>
          <cell r="EX51">
            <v>-5.9360730593607136E-2</v>
          </cell>
          <cell r="EZ51">
            <v>0.17365269461077748</v>
          </cell>
          <cell r="FA51">
            <v>-0.36302244935207129</v>
          </cell>
          <cell r="FB51">
            <v>-0.23765561617009379</v>
          </cell>
          <cell r="FD51">
            <v>-7.7220077220077066E-3</v>
          </cell>
          <cell r="FE51">
            <v>-0.11484098939929333</v>
          </cell>
          <cell r="FF51">
            <v>-8.5269665316563659E-2</v>
          </cell>
          <cell r="FH51">
            <v>5.6960408684546548E-2</v>
          </cell>
          <cell r="FI51">
            <v>-9.2142993691454733E-2</v>
          </cell>
          <cell r="FJ51">
            <v>-2.8318390553247252E-2</v>
          </cell>
        </row>
        <row r="52">
          <cell r="EM52" t="str">
            <v xml:space="preserve"> 2Q</v>
          </cell>
          <cell r="EN52">
            <v>6.0240963855420215E-3</v>
          </cell>
          <cell r="EO52">
            <v>-8.6419753086419693E-2</v>
          </cell>
          <cell r="EP52">
            <v>-2.4291497975708509E-2</v>
          </cell>
          <cell r="ER52">
            <v>0.31428571428571428</v>
          </cell>
          <cell r="ES52">
            <v>0.17829457364341073</v>
          </cell>
          <cell r="ET52">
            <v>0.23931623931623935</v>
          </cell>
          <cell r="EV52" t="str">
            <v>NM</v>
          </cell>
          <cell r="EW52">
            <v>0.43529411764705883</v>
          </cell>
          <cell r="EX52">
            <v>0.43529411764705883</v>
          </cell>
          <cell r="EZ52">
            <v>-0.12804878048780499</v>
          </cell>
          <cell r="FA52">
            <v>-0.14575645756457711</v>
          </cell>
          <cell r="FB52">
            <v>-0.14164305949008615</v>
          </cell>
          <cell r="FD52">
            <v>4.9963794351918889E-2</v>
          </cell>
          <cell r="FE52">
            <v>-1.5582034830430858E-2</v>
          </cell>
          <cell r="FF52">
            <v>3.8676407391491363E-3</v>
          </cell>
          <cell r="FH52">
            <v>0.2238998580461995</v>
          </cell>
          <cell r="FI52">
            <v>2.0663190002954135E-3</v>
          </cell>
          <cell r="FJ52">
            <v>9.8034836980795292E-2</v>
          </cell>
        </row>
        <row r="53">
          <cell r="EM53" t="str">
            <v xml:space="preserve"> 3Q</v>
          </cell>
          <cell r="EN53">
            <v>0.13157894736842102</v>
          </cell>
          <cell r="EO53">
            <v>-5.0000000000000044E-2</v>
          </cell>
          <cell r="EP53">
            <v>5.6701030927835072E-2</v>
          </cell>
          <cell r="ER53">
            <v>0.92391304347826098</v>
          </cell>
          <cell r="ES53">
            <v>-5.5118110236220375E-2</v>
          </cell>
          <cell r="ET53">
            <v>0.35616438356164393</v>
          </cell>
          <cell r="EV53" t="str">
            <v>NM</v>
          </cell>
          <cell r="EW53">
            <v>0.28947368421052633</v>
          </cell>
          <cell r="EX53">
            <v>0.28947368421052633</v>
          </cell>
          <cell r="EZ53">
            <v>0.2135922330097082</v>
          </cell>
          <cell r="FA53">
            <v>-0.10799136069114446</v>
          </cell>
          <cell r="FB53">
            <v>-8.9686098654707669E-3</v>
          </cell>
          <cell r="FD53">
            <v>0.15974440894568698</v>
          </cell>
          <cell r="FE53">
            <v>-2.970922882427296E-2</v>
          </cell>
          <cell r="FF53">
            <v>3.2987946711778404E-2</v>
          </cell>
          <cell r="FH53">
            <v>0.39762464431522959</v>
          </cell>
          <cell r="FI53">
            <v>1.9483225672014992E-2</v>
          </cell>
          <cell r="FJ53">
            <v>0.19235337367795946</v>
          </cell>
        </row>
        <row r="54">
          <cell r="EM54" t="str">
            <v xml:space="preserve"> 4Q</v>
          </cell>
          <cell r="EN54">
            <v>-0.30252100840336127</v>
          </cell>
          <cell r="EO54">
            <v>-0.38</v>
          </cell>
          <cell r="EP54">
            <v>-0.33789954337899542</v>
          </cell>
          <cell r="ER54">
            <v>0.931034482758621</v>
          </cell>
          <cell r="ES54">
            <v>-2.1428571428571463E-2</v>
          </cell>
          <cell r="ET54">
            <v>0.34361233480176212</v>
          </cell>
          <cell r="EV54" t="str">
            <v>NM</v>
          </cell>
          <cell r="EW54">
            <v>9.3922651933701529E-2</v>
          </cell>
          <cell r="EX54">
            <v>0.11049723756906071</v>
          </cell>
          <cell r="EZ54">
            <v>0.1977401129943499</v>
          </cell>
          <cell r="FA54">
            <v>-0.2883064516129038</v>
          </cell>
          <cell r="FB54">
            <v>-0.16047548291233327</v>
          </cell>
          <cell r="FD54">
            <v>9.1954022988505635E-2</v>
          </cell>
          <cell r="FE54">
            <v>-0.14974761637689293</v>
          </cell>
          <cell r="FF54">
            <v>-7.3194098486300208E-2</v>
          </cell>
          <cell r="FH54">
            <v>0.60589546693088936</v>
          </cell>
          <cell r="FI54">
            <v>-4.6354418155479804E-3</v>
          </cell>
          <cell r="FJ54">
            <v>0.26284660046665609</v>
          </cell>
        </row>
        <row r="56">
          <cell r="EM56" t="str">
            <v>Year</v>
          </cell>
          <cell r="EN56">
            <v>-8.8447653429602813E-2</v>
          </cell>
          <cell r="EO56">
            <v>-0.15294117647058825</v>
          </cell>
          <cell r="EP56">
            <v>-0.11297539149888147</v>
          </cell>
          <cell r="ER56">
            <v>0.70698924731182777</v>
          </cell>
          <cell r="ES56">
            <v>5.2631578947368585E-2</v>
          </cell>
          <cell r="ET56">
            <v>0.32768361581920913</v>
          </cell>
          <cell r="EV56" t="str">
            <v>NM</v>
          </cell>
          <cell r="EW56">
            <v>0.17500000000000004</v>
          </cell>
          <cell r="EX56">
            <v>0.17894736842105252</v>
          </cell>
          <cell r="EZ56">
            <v>0.12184873949579789</v>
          </cell>
          <cell r="FA56">
            <v>-0.22983064083166616</v>
          </cell>
          <cell r="FB56">
            <v>-0.13894820659452056</v>
          </cell>
          <cell r="FD56">
            <v>7.8215134034611333E-2</v>
          </cell>
          <cell r="FE56">
            <v>-7.9782073289051514E-2</v>
          </cell>
          <cell r="FF56">
            <v>-3.1514020629243911E-2</v>
          </cell>
          <cell r="FH56">
            <v>0.32414292916561638</v>
          </cell>
          <cell r="FI56">
            <v>-1.9813692148454742E-2</v>
          </cell>
          <cell r="FJ56">
            <v>0.13113643277926812</v>
          </cell>
        </row>
        <row r="58">
          <cell r="EM58" t="str">
            <v>1997</v>
          </cell>
        </row>
        <row r="59">
          <cell r="EM59" t="str">
            <v xml:space="preserve"> 1Q</v>
          </cell>
          <cell r="EN59">
            <v>12.6</v>
          </cell>
          <cell r="EO59">
            <v>7.6</v>
          </cell>
          <cell r="EP59">
            <v>20.2</v>
          </cell>
          <cell r="ER59">
            <v>15.2</v>
          </cell>
          <cell r="ES59">
            <v>13.1</v>
          </cell>
          <cell r="ET59">
            <v>28.299999999999997</v>
          </cell>
          <cell r="EV59">
            <v>0</v>
          </cell>
          <cell r="EW59">
            <v>20.6</v>
          </cell>
          <cell r="EX59">
            <v>20.6</v>
          </cell>
          <cell r="EZ59">
            <v>19.599999999999991</v>
          </cell>
          <cell r="FA59">
            <v>34.90000000000002</v>
          </cell>
          <cell r="FB59">
            <v>54.500000000000014</v>
          </cell>
          <cell r="FD59">
            <v>128.5</v>
          </cell>
          <cell r="FE59">
            <v>300.60000000000002</v>
          </cell>
          <cell r="FF59">
            <v>429.1</v>
          </cell>
          <cell r="FH59">
            <v>827.6</v>
          </cell>
          <cell r="FI59">
            <v>949.80000000000007</v>
          </cell>
          <cell r="FJ59">
            <v>1777.4</v>
          </cell>
        </row>
        <row r="60">
          <cell r="EM60" t="str">
            <v xml:space="preserve"> 2Q</v>
          </cell>
          <cell r="EN60">
            <v>16.7</v>
          </cell>
          <cell r="EO60">
            <v>7.4</v>
          </cell>
          <cell r="EP60">
            <v>24.1</v>
          </cell>
          <cell r="ER60">
            <v>13.8</v>
          </cell>
          <cell r="ES60">
            <v>15.2</v>
          </cell>
          <cell r="ET60">
            <v>29</v>
          </cell>
          <cell r="EV60">
            <v>0</v>
          </cell>
          <cell r="EW60">
            <v>24.4</v>
          </cell>
          <cell r="EX60">
            <v>24.4</v>
          </cell>
          <cell r="EZ60">
            <v>14.29999999999999</v>
          </cell>
          <cell r="FA60">
            <v>46.299999999999947</v>
          </cell>
          <cell r="FB60">
            <v>60.599999999999937</v>
          </cell>
          <cell r="FD60">
            <v>145</v>
          </cell>
          <cell r="FE60">
            <v>322.2</v>
          </cell>
          <cell r="FF60">
            <v>467.2</v>
          </cell>
          <cell r="FH60">
            <v>948.4</v>
          </cell>
          <cell r="FI60">
            <v>1018.4000000000001</v>
          </cell>
          <cell r="FJ60">
            <v>1966.8000000000002</v>
          </cell>
        </row>
        <row r="61">
          <cell r="EM61" t="str">
            <v xml:space="preserve"> 3Q</v>
          </cell>
          <cell r="EN61">
            <v>12.9</v>
          </cell>
          <cell r="EO61">
            <v>7.6</v>
          </cell>
          <cell r="EP61">
            <v>20.5</v>
          </cell>
          <cell r="ER61">
            <v>17.7</v>
          </cell>
          <cell r="ES61">
            <v>12</v>
          </cell>
          <cell r="ET61">
            <v>29.7</v>
          </cell>
          <cell r="EV61">
            <v>0</v>
          </cell>
          <cell r="EW61">
            <v>24.5</v>
          </cell>
          <cell r="EX61">
            <v>24.5</v>
          </cell>
          <cell r="EZ61">
            <v>24.999999999999996</v>
          </cell>
          <cell r="FA61">
            <v>41.300000000000011</v>
          </cell>
          <cell r="FB61">
            <v>66.300000000000011</v>
          </cell>
          <cell r="FD61">
            <v>181.5</v>
          </cell>
          <cell r="FE61">
            <v>307</v>
          </cell>
          <cell r="FF61">
            <v>488.5</v>
          </cell>
          <cell r="FH61">
            <v>1129.7</v>
          </cell>
          <cell r="FI61">
            <v>978.5</v>
          </cell>
          <cell r="FJ61">
            <v>2108.1999999999998</v>
          </cell>
        </row>
        <row r="62">
          <cell r="EM62" t="str">
            <v xml:space="preserve"> 4Q</v>
          </cell>
          <cell r="EN62">
            <v>8.3000000000000007</v>
          </cell>
          <cell r="EO62">
            <v>6.2</v>
          </cell>
          <cell r="EP62">
            <v>14.5</v>
          </cell>
          <cell r="ER62">
            <v>16.8</v>
          </cell>
          <cell r="ES62">
            <v>13.7</v>
          </cell>
          <cell r="ET62">
            <v>30.5</v>
          </cell>
          <cell r="EV62">
            <v>0.3</v>
          </cell>
          <cell r="EW62">
            <v>19.8</v>
          </cell>
          <cell r="EX62">
            <v>20.100000000000001</v>
          </cell>
          <cell r="EZ62">
            <v>21.20000000000001</v>
          </cell>
          <cell r="FA62">
            <v>35.299999999999983</v>
          </cell>
          <cell r="FB62">
            <v>56.499999999999993</v>
          </cell>
          <cell r="FD62">
            <v>180.5</v>
          </cell>
          <cell r="FE62">
            <v>303.2</v>
          </cell>
          <cell r="FF62">
            <v>483.7</v>
          </cell>
          <cell r="FH62">
            <v>1296.5999999999999</v>
          </cell>
          <cell r="FI62">
            <v>1030.7</v>
          </cell>
          <cell r="FJ62">
            <v>2327.3000000000002</v>
          </cell>
        </row>
        <row r="64">
          <cell r="EM64" t="str">
            <v>Year</v>
          </cell>
          <cell r="EN64">
            <v>50.5</v>
          </cell>
          <cell r="EO64">
            <v>28.8</v>
          </cell>
          <cell r="EP64">
            <v>79.3</v>
          </cell>
          <cell r="ER64">
            <v>63.5</v>
          </cell>
          <cell r="ES64">
            <v>54</v>
          </cell>
          <cell r="ET64">
            <v>117.5</v>
          </cell>
          <cell r="EV64">
            <v>0.3</v>
          </cell>
          <cell r="EW64">
            <v>89.3</v>
          </cell>
          <cell r="EX64">
            <v>89.6</v>
          </cell>
          <cell r="EZ64">
            <v>80.099999999999994</v>
          </cell>
          <cell r="FA64">
            <v>157.79999999999995</v>
          </cell>
          <cell r="FB64">
            <v>237.89999999999998</v>
          </cell>
          <cell r="FD64">
            <v>635.5</v>
          </cell>
          <cell r="FE64">
            <v>1233</v>
          </cell>
          <cell r="FF64">
            <v>1868.5</v>
          </cell>
          <cell r="FH64">
            <v>4202.2999999999993</v>
          </cell>
          <cell r="FI64">
            <v>3977.4000000000005</v>
          </cell>
          <cell r="FJ64">
            <v>8179.7</v>
          </cell>
        </row>
        <row r="66">
          <cell r="EM66" t="str">
            <v>1998/97 % Change</v>
          </cell>
        </row>
        <row r="67">
          <cell r="EM67" t="str">
            <v xml:space="preserve"> 1Q</v>
          </cell>
          <cell r="EN67">
            <v>0.26984126984126977</v>
          </cell>
          <cell r="EO67">
            <v>0.25</v>
          </cell>
          <cell r="EP67">
            <v>0.26237623762376239</v>
          </cell>
          <cell r="ER67">
            <v>0.31578947368421062</v>
          </cell>
          <cell r="ES67">
            <v>-3.0534351145038219E-2</v>
          </cell>
          <cell r="ET67">
            <v>0.15547703180212036</v>
          </cell>
          <cell r="EV67" t="str">
            <v>NM</v>
          </cell>
          <cell r="EW67">
            <v>0.23300970873786397</v>
          </cell>
          <cell r="EX67">
            <v>0.26213592233009697</v>
          </cell>
          <cell r="EZ67">
            <v>-0.28061224489795866</v>
          </cell>
          <cell r="FA67">
            <v>0.17765042979942591</v>
          </cell>
          <cell r="FB67">
            <v>1.2844036697247319E-2</v>
          </cell>
          <cell r="FD67">
            <v>0.17120622568093391</v>
          </cell>
          <cell r="FE67">
            <v>-2.2288755821690098E-2</v>
          </cell>
          <cell r="FF67">
            <v>3.5656024236774497E-2</v>
          </cell>
          <cell r="FH67">
            <v>0.58107781536974379</v>
          </cell>
          <cell r="FI67">
            <v>7.5910718045904213E-2</v>
          </cell>
          <cell r="FJ67">
            <v>0.31112861483065157</v>
          </cell>
        </row>
        <row r="68">
          <cell r="EM68" t="str">
            <v xml:space="preserve"> 2Q</v>
          </cell>
          <cell r="EN68">
            <v>-5.9880239520956335E-3</v>
          </cell>
          <cell r="EO68">
            <v>0.49999999999999978</v>
          </cell>
          <cell r="EP68">
            <v>0.14937759336099599</v>
          </cell>
          <cell r="ER68">
            <v>0.53623188405797095</v>
          </cell>
          <cell r="ES68">
            <v>-6.5789473684210176E-3</v>
          </cell>
          <cell r="ET68">
            <v>0.25172413793103443</v>
          </cell>
          <cell r="EV68" t="str">
            <v>NM</v>
          </cell>
          <cell r="EW68">
            <v>0.20901639344262302</v>
          </cell>
          <cell r="EX68">
            <v>0.22540983606557385</v>
          </cell>
          <cell r="EZ68">
            <v>2.0979020979023488E-2</v>
          </cell>
          <cell r="FA68">
            <v>-0.11879049676025732</v>
          </cell>
          <cell r="FB68">
            <v>-8.5808580858083849E-2</v>
          </cell>
          <cell r="FD68">
            <v>7.1034482758620676E-2</v>
          </cell>
          <cell r="FE68">
            <v>-2.8243327126008633E-2</v>
          </cell>
          <cell r="FF68">
            <v>2.5684931506850806E-3</v>
          </cell>
          <cell r="FH68">
            <v>0.67302825811893729</v>
          </cell>
          <cell r="FI68">
            <v>7.6296150824822995E-2</v>
          </cell>
          <cell r="FJ68">
            <v>0.36404311572096804</v>
          </cell>
        </row>
        <row r="69">
          <cell r="EM69" t="str">
            <v xml:space="preserve"> 3Q</v>
          </cell>
          <cell r="EN69">
            <v>-0.17829457364341095</v>
          </cell>
          <cell r="EO69">
            <v>0.23684210526315796</v>
          </cell>
          <cell r="EP69">
            <v>-2.4390243902439046E-2</v>
          </cell>
          <cell r="ER69">
            <v>0.12429378531073443</v>
          </cell>
          <cell r="ES69">
            <v>-8.3333333333333037E-3</v>
          </cell>
          <cell r="ET69">
            <v>7.0707070707070718E-2</v>
          </cell>
          <cell r="EV69" t="str">
            <v>NM</v>
          </cell>
          <cell r="EW69">
            <v>0.25306122448979584</v>
          </cell>
          <cell r="EX69">
            <v>0.27755102040816326</v>
          </cell>
          <cell r="EZ69">
            <v>-0.21599999999999953</v>
          </cell>
          <cell r="FA69">
            <v>6.2953995157385201E-2</v>
          </cell>
          <cell r="FB69">
            <v>-4.2232277526394912E-2</v>
          </cell>
          <cell r="FD69">
            <v>-0.10523415977961426</v>
          </cell>
          <cell r="FE69">
            <v>2.6058631921823672E-3</v>
          </cell>
          <cell r="FF69">
            <v>-3.7461617195496344E-2</v>
          </cell>
          <cell r="FH69">
            <v>0.41037443569089138</v>
          </cell>
          <cell r="FI69">
            <v>0.12488502810424129</v>
          </cell>
          <cell r="FJ69">
            <v>0.27786737501185854</v>
          </cell>
        </row>
        <row r="70">
          <cell r="EM70" t="str">
            <v xml:space="preserve"> 4Q</v>
          </cell>
          <cell r="EN70">
            <v>0.54216867469879504</v>
          </cell>
          <cell r="EO70">
            <v>0.56451612903225801</v>
          </cell>
          <cell r="EP70">
            <v>0.55172413793103448</v>
          </cell>
          <cell r="ER70">
            <v>0.27976190476190466</v>
          </cell>
          <cell r="ES70">
            <v>0</v>
          </cell>
          <cell r="ET70">
            <v>0.15409836065573779</v>
          </cell>
          <cell r="EV70" t="str">
            <v>NM</v>
          </cell>
          <cell r="EW70">
            <v>0.34343434343434343</v>
          </cell>
          <cell r="EX70">
            <v>0.3383084577114428</v>
          </cell>
          <cell r="EZ70">
            <v>-0.25943396226415061</v>
          </cell>
          <cell r="FA70">
            <v>0.23796033994334365</v>
          </cell>
          <cell r="FB70">
            <v>5.1327433628319152E-2</v>
          </cell>
          <cell r="FD70">
            <v>6.094182825484773E-2</v>
          </cell>
          <cell r="FE70">
            <v>3.2321899736147852E-2</v>
          </cell>
          <cell r="FF70">
            <v>4.3001860657432278E-2</v>
          </cell>
          <cell r="FH70">
            <v>0.4022828937220424</v>
          </cell>
          <cell r="FI70">
            <v>0.18162413893470464</v>
          </cell>
          <cell r="FJ70">
            <v>0.30455893095002806</v>
          </cell>
        </row>
        <row r="72">
          <cell r="EM72" t="str">
            <v>Year</v>
          </cell>
          <cell r="EN72">
            <v>0.10891089108910901</v>
          </cell>
          <cell r="EO72">
            <v>0.37847222222222232</v>
          </cell>
          <cell r="EP72">
            <v>0.20680958385876425</v>
          </cell>
          <cell r="ER72">
            <v>0.3007874015748031</v>
          </cell>
          <cell r="ES72">
            <v>-1.1111111111111294E-2</v>
          </cell>
          <cell r="ET72">
            <v>0.15744680851063819</v>
          </cell>
          <cell r="EV72" t="str">
            <v>NM</v>
          </cell>
          <cell r="EW72">
            <v>0.25643896976483749</v>
          </cell>
          <cell r="EX72">
            <v>0.27343750000000022</v>
          </cell>
          <cell r="EZ72">
            <v>-0.20099875156054858</v>
          </cell>
          <cell r="FA72">
            <v>7.4144486692015787E-2</v>
          </cell>
          <cell r="FB72">
            <v>-1.8495166036149091E-2</v>
          </cell>
          <cell r="FD72">
            <v>3.8080251770259643E-2</v>
          </cell>
          <cell r="FE72">
            <v>-4.2173560421735479E-3</v>
          </cell>
          <cell r="FF72">
            <v>1.0168584426010208E-2</v>
          </cell>
          <cell r="FH72">
            <v>0.50077338600290333</v>
          </cell>
          <cell r="FI72">
            <v>0.1154523055262231</v>
          </cell>
          <cell r="FJ72">
            <v>0.31341002726261369</v>
          </cell>
        </row>
        <row r="74">
          <cell r="EM74" t="str">
            <v>1998</v>
          </cell>
        </row>
        <row r="75">
          <cell r="EM75" t="str">
            <v xml:space="preserve"> 1Q</v>
          </cell>
          <cell r="EN75">
            <v>16</v>
          </cell>
          <cell r="EO75">
            <v>9.5</v>
          </cell>
          <cell r="EP75">
            <v>25.5</v>
          </cell>
          <cell r="ER75">
            <v>20</v>
          </cell>
          <cell r="ES75">
            <v>12.7</v>
          </cell>
          <cell r="ET75">
            <v>32.700000000000003</v>
          </cell>
          <cell r="EV75">
            <v>0.6</v>
          </cell>
          <cell r="EW75">
            <v>25.4</v>
          </cell>
          <cell r="EX75">
            <v>26</v>
          </cell>
          <cell r="EZ75">
            <v>14.100000000000003</v>
          </cell>
          <cell r="FA75">
            <v>41.099999999999987</v>
          </cell>
          <cell r="FB75">
            <v>55.199999999999989</v>
          </cell>
          <cell r="FD75">
            <v>150.5</v>
          </cell>
          <cell r="FE75">
            <v>293.89999999999998</v>
          </cell>
          <cell r="FF75">
            <v>444.4</v>
          </cell>
          <cell r="FH75">
            <v>1308.5</v>
          </cell>
          <cell r="FI75">
            <v>1021.9</v>
          </cell>
          <cell r="FJ75">
            <v>2330.4</v>
          </cell>
        </row>
        <row r="76">
          <cell r="EM76" t="str">
            <v xml:space="preserve"> 2Q</v>
          </cell>
          <cell r="EN76">
            <v>16.600000000000001</v>
          </cell>
          <cell r="EO76">
            <v>11.1</v>
          </cell>
          <cell r="EP76">
            <v>27.700000000000003</v>
          </cell>
          <cell r="ER76">
            <v>21.2</v>
          </cell>
          <cell r="ES76">
            <v>15.1</v>
          </cell>
          <cell r="ET76">
            <v>36.299999999999997</v>
          </cell>
          <cell r="EV76">
            <v>0.4</v>
          </cell>
          <cell r="EW76">
            <v>29.5</v>
          </cell>
          <cell r="EX76">
            <v>29.9</v>
          </cell>
          <cell r="EZ76">
            <v>14.600000000000025</v>
          </cell>
          <cell r="FA76">
            <v>40.80000000000004</v>
          </cell>
          <cell r="FB76">
            <v>55.400000000000063</v>
          </cell>
          <cell r="FD76">
            <v>155.30000000000001</v>
          </cell>
          <cell r="FE76">
            <v>313.10000000000002</v>
          </cell>
          <cell r="FF76">
            <v>468.40000000000003</v>
          </cell>
          <cell r="FH76">
            <v>1586.7</v>
          </cell>
          <cell r="FI76">
            <v>1096.0999999999999</v>
          </cell>
          <cell r="FJ76">
            <v>2682.8</v>
          </cell>
        </row>
        <row r="77">
          <cell r="EM77" t="str">
            <v xml:space="preserve"> 3Q</v>
          </cell>
          <cell r="EN77">
            <v>10.6</v>
          </cell>
          <cell r="EO77">
            <v>9.4</v>
          </cell>
          <cell r="EP77">
            <v>20</v>
          </cell>
          <cell r="ER77">
            <v>19.899999999999999</v>
          </cell>
          <cell r="ES77">
            <v>11.9</v>
          </cell>
          <cell r="ET77">
            <v>31.799999999999997</v>
          </cell>
          <cell r="EV77">
            <v>0.6</v>
          </cell>
          <cell r="EW77">
            <v>30.7</v>
          </cell>
          <cell r="EX77">
            <v>31.3</v>
          </cell>
          <cell r="EZ77">
            <v>19.600000000000009</v>
          </cell>
          <cell r="FA77">
            <v>43.90000000000002</v>
          </cell>
          <cell r="FB77">
            <v>63.500000000000028</v>
          </cell>
          <cell r="FD77">
            <v>162.4</v>
          </cell>
          <cell r="FE77">
            <v>307.8</v>
          </cell>
          <cell r="FF77">
            <v>470.20000000000005</v>
          </cell>
          <cell r="FH77">
            <v>1593.3000000000002</v>
          </cell>
          <cell r="FI77">
            <v>1100.7</v>
          </cell>
          <cell r="FJ77">
            <v>2694</v>
          </cell>
        </row>
        <row r="78">
          <cell r="EM78" t="str">
            <v xml:space="preserve"> 4Q</v>
          </cell>
          <cell r="EN78">
            <v>12.8</v>
          </cell>
          <cell r="EO78">
            <v>9.6999999999999993</v>
          </cell>
          <cell r="EP78">
            <v>22.5</v>
          </cell>
          <cell r="ER78">
            <v>21.5</v>
          </cell>
          <cell r="ES78">
            <v>13.7</v>
          </cell>
          <cell r="ET78">
            <v>35.200000000000003</v>
          </cell>
          <cell r="EV78">
            <v>0.3</v>
          </cell>
          <cell r="EW78">
            <v>26.6</v>
          </cell>
          <cell r="EX78">
            <v>26.900000000000002</v>
          </cell>
          <cell r="EZ78">
            <v>15.700000000000014</v>
          </cell>
          <cell r="FA78">
            <v>43.70000000000001</v>
          </cell>
          <cell r="FB78">
            <v>59.40000000000002</v>
          </cell>
          <cell r="FD78">
            <v>191.5</v>
          </cell>
          <cell r="FE78">
            <v>313</v>
          </cell>
          <cell r="FF78">
            <v>504.5</v>
          </cell>
          <cell r="FH78">
            <v>1818.2</v>
          </cell>
          <cell r="FI78">
            <v>1217.9000000000001</v>
          </cell>
          <cell r="FJ78">
            <v>3036.1000000000004</v>
          </cell>
        </row>
        <row r="80">
          <cell r="EM80" t="str">
            <v>Year</v>
          </cell>
          <cell r="EN80">
            <v>56</v>
          </cell>
          <cell r="EO80">
            <v>39.700000000000003</v>
          </cell>
          <cell r="EP80">
            <v>95.7</v>
          </cell>
          <cell r="ER80">
            <v>82.6</v>
          </cell>
          <cell r="ES80">
            <v>53.399999999999991</v>
          </cell>
          <cell r="ET80">
            <v>136</v>
          </cell>
          <cell r="EV80">
            <v>1.9000000000000001</v>
          </cell>
          <cell r="EW80">
            <v>112.19999999999999</v>
          </cell>
          <cell r="EX80">
            <v>114.10000000000001</v>
          </cell>
          <cell r="EZ80">
            <v>64.000000000000057</v>
          </cell>
          <cell r="FA80">
            <v>169.50000000000006</v>
          </cell>
          <cell r="FB80">
            <v>233.50000000000011</v>
          </cell>
          <cell r="FD80">
            <v>659.7</v>
          </cell>
          <cell r="FE80">
            <v>1227.8</v>
          </cell>
          <cell r="FF80">
            <v>1887.5</v>
          </cell>
          <cell r="FH80">
            <v>6306.7</v>
          </cell>
          <cell r="FI80">
            <v>4436.6000000000004</v>
          </cell>
          <cell r="FJ80">
            <v>10743.300000000001</v>
          </cell>
        </row>
        <row r="82">
          <cell r="EM82" t="str">
            <v xml:space="preserve">1999/98 </v>
          </cell>
        </row>
        <row r="83">
          <cell r="EM83" t="str">
            <v xml:space="preserve"> 1Q</v>
          </cell>
          <cell r="EN83">
            <v>-0.16249999999999998</v>
          </cell>
          <cell r="EO83">
            <v>-5.2631578947368474E-2</v>
          </cell>
          <cell r="EP83">
            <v>-0.1215686274509804</v>
          </cell>
          <cell r="ER83">
            <v>0.125</v>
          </cell>
          <cell r="ES83">
            <v>-6.2992125984251857E-2</v>
          </cell>
          <cell r="ET83">
            <v>5.1987767584097622E-2</v>
          </cell>
          <cell r="EV83">
            <v>0</v>
          </cell>
          <cell r="EW83">
            <v>0.15748031496062986</v>
          </cell>
          <cell r="EX83">
            <v>0.15384615384615374</v>
          </cell>
          <cell r="EZ83">
            <v>-7.092198581560516E-3</v>
          </cell>
          <cell r="FA83">
            <v>2.1897810218978409E-2</v>
          </cell>
          <cell r="FB83">
            <v>1.4492753623188692E-2</v>
          </cell>
          <cell r="FD83">
            <v>2.6578073089700949E-2</v>
          </cell>
          <cell r="FE83">
            <v>4.0830214358625661E-2</v>
          </cell>
          <cell r="FF83">
            <v>3.6003600360036137E-2</v>
          </cell>
          <cell r="FH83">
            <v>0.35552158960641966</v>
          </cell>
          <cell r="FI83">
            <v>0.2062824151091105</v>
          </cell>
          <cell r="FJ83">
            <v>0.29007895640233428</v>
          </cell>
        </row>
        <row r="84">
          <cell r="EM84" t="str">
            <v xml:space="preserve"> 2Q</v>
          </cell>
          <cell r="EN84">
            <v>-2.4096385542168752E-2</v>
          </cell>
          <cell r="EO84">
            <v>-9.9099099099099086E-2</v>
          </cell>
          <cell r="EP84">
            <v>-5.4151624548736566E-2</v>
          </cell>
          <cell r="ER84">
            <v>0.27830188679245293</v>
          </cell>
          <cell r="ES84">
            <v>-8.6092715231787964E-2</v>
          </cell>
          <cell r="ET84">
            <v>0.12672176308539962</v>
          </cell>
          <cell r="EV84">
            <v>0.49999999999999978</v>
          </cell>
          <cell r="EW84">
            <v>3.7288135593220417E-2</v>
          </cell>
          <cell r="EX84">
            <v>4.347826086956541E-2</v>
          </cell>
          <cell r="EZ84">
            <v>-6.8493150684940662E-3</v>
          </cell>
          <cell r="FA84">
            <v>0.28186274509803688</v>
          </cell>
          <cell r="FB84">
            <v>0.2057761732851966</v>
          </cell>
          <cell r="FD84">
            <v>5.9884095299420403E-2</v>
          </cell>
          <cell r="FE84">
            <v>1.5649952091983277E-2</v>
          </cell>
          <cell r="FF84">
            <v>3.0315969257045161E-2</v>
          </cell>
          <cell r="FH84">
            <v>0.19108842251213209</v>
          </cell>
          <cell r="FI84">
            <v>0.15026001277255752</v>
          </cell>
          <cell r="FJ84">
            <v>0.17440733561950195</v>
          </cell>
        </row>
        <row r="85">
          <cell r="EM85" t="str">
            <v xml:space="preserve"> 3Q</v>
          </cell>
          <cell r="EN85">
            <v>5.6603773584905648E-2</v>
          </cell>
          <cell r="EO85">
            <v>-1.0638297872340385E-2</v>
          </cell>
          <cell r="EP85">
            <v>2.4999999999999911E-2</v>
          </cell>
          <cell r="ER85">
            <v>0.31658291457286447</v>
          </cell>
          <cell r="ES85">
            <v>3.3613445378151363E-2</v>
          </cell>
          <cell r="ET85">
            <v>0.21069182389937113</v>
          </cell>
          <cell r="EV85">
            <v>0.16666666666666674</v>
          </cell>
          <cell r="EW85">
            <v>-9.4462540716612309E-2</v>
          </cell>
          <cell r="EX85">
            <v>-8.9456869009584716E-2</v>
          </cell>
          <cell r="EZ85">
            <v>2.0408163265307033E-2</v>
          </cell>
          <cell r="FA85">
            <v>0.2733485193621854</v>
          </cell>
          <cell r="FB85">
            <v>0.19527559055118049</v>
          </cell>
          <cell r="FD85">
            <v>4.0640394088669929E-2</v>
          </cell>
          <cell r="FE85">
            <v>1.5269655620532729E-2</v>
          </cell>
          <cell r="FF85">
            <v>2.4032326669502169E-2</v>
          </cell>
          <cell r="FH85">
            <v>0.25387560409213572</v>
          </cell>
          <cell r="FI85">
            <v>0.12637412555646388</v>
          </cell>
          <cell r="FJ85">
            <v>0.20178173719376402</v>
          </cell>
        </row>
        <row r="86">
          <cell r="EM86" t="str">
            <v xml:space="preserve"> 4Q</v>
          </cell>
          <cell r="EN86">
            <v>-8.5937500000000111E-2</v>
          </cell>
          <cell r="EO86">
            <v>5.1546391752577359E-2</v>
          </cell>
          <cell r="EP86">
            <v>-2.6666666666666727E-2</v>
          </cell>
          <cell r="ER86">
            <v>0.36279069767441863</v>
          </cell>
          <cell r="ES86">
            <v>8.7591240875912524E-2</v>
          </cell>
          <cell r="ET86">
            <v>0.25568181818181812</v>
          </cell>
          <cell r="EV86">
            <v>0.33333333333333348</v>
          </cell>
          <cell r="EW86">
            <v>-2.6315789473684292E-2</v>
          </cell>
          <cell r="EX86">
            <v>-2.230483271375483E-2</v>
          </cell>
          <cell r="EZ86">
            <v>-0.70063694267516108</v>
          </cell>
          <cell r="FA86">
            <v>0.22883295194508091</v>
          </cell>
          <cell r="FB86">
            <v>-1.6835016835016869E-2</v>
          </cell>
          <cell r="FD86">
            <v>7.571801566579639E-2</v>
          </cell>
          <cell r="FE86">
            <v>2.4600638977635647E-2</v>
          </cell>
          <cell r="FF86">
            <v>4.4003964321110089E-2</v>
          </cell>
          <cell r="FH86">
            <v>0.21075789242107579</v>
          </cell>
          <cell r="FI86">
            <v>9.4753263814763011E-2</v>
          </cell>
          <cell r="FJ86">
            <v>0.16422383979447308</v>
          </cell>
        </row>
        <row r="88">
          <cell r="EM88" t="str">
            <v>Year</v>
          </cell>
          <cell r="EN88">
            <v>-6.25E-2</v>
          </cell>
          <cell r="EO88">
            <v>-3.0226700251889227E-2</v>
          </cell>
          <cell r="EP88">
            <v>-4.9111807732497459E-2</v>
          </cell>
          <cell r="ER88">
            <v>0.2723970944309928</v>
          </cell>
          <cell r="ES88">
            <v>-9.3632958801497246E-3</v>
          </cell>
          <cell r="ET88">
            <v>0.16176470588235303</v>
          </cell>
          <cell r="EV88">
            <v>0.21052631578947345</v>
          </cell>
          <cell r="EW88">
            <v>1.3368983957219305E-2</v>
          </cell>
          <cell r="EX88">
            <v>1.6652059596844904E-2</v>
          </cell>
          <cell r="EZ88">
            <v>-0.16875000000000051</v>
          </cell>
          <cell r="FA88">
            <v>0.20294985250737407</v>
          </cell>
          <cell r="FB88">
            <v>0.10107066381156238</v>
          </cell>
          <cell r="FD88">
            <v>5.2144914355009897E-2</v>
          </cell>
          <cell r="FE88">
            <v>2.3863821469294777E-2</v>
          </cell>
          <cell r="FF88">
            <v>3.374834437086105E-2</v>
          </cell>
          <cell r="FH88">
            <v>0.24673759652433147</v>
          </cell>
          <cell r="FI88">
            <v>0.14200063111391614</v>
          </cell>
          <cell r="FJ88">
            <v>0.20348496272095162</v>
          </cell>
        </row>
        <row r="90">
          <cell r="EM90" t="str">
            <v>1999</v>
          </cell>
          <cell r="EQ90">
            <v>0</v>
          </cell>
          <cell r="EU90">
            <v>0</v>
          </cell>
          <cell r="EY90">
            <v>0</v>
          </cell>
          <cell r="FC90">
            <v>0</v>
          </cell>
        </row>
        <row r="91">
          <cell r="EM91" t="str">
            <v xml:space="preserve"> 1Q</v>
          </cell>
          <cell r="EN91">
            <v>13.4</v>
          </cell>
          <cell r="EO91">
            <v>9</v>
          </cell>
          <cell r="EP91">
            <v>22.4</v>
          </cell>
          <cell r="ER91">
            <v>22.5</v>
          </cell>
          <cell r="ES91">
            <v>11.9</v>
          </cell>
          <cell r="ET91">
            <v>34.4</v>
          </cell>
          <cell r="EV91">
            <v>0.6</v>
          </cell>
          <cell r="EW91">
            <v>29.4</v>
          </cell>
          <cell r="EX91">
            <v>30</v>
          </cell>
          <cell r="EZ91">
            <v>14</v>
          </cell>
          <cell r="FA91">
            <v>42</v>
          </cell>
          <cell r="FB91">
            <v>56</v>
          </cell>
          <cell r="FD91">
            <v>154.5</v>
          </cell>
          <cell r="FE91">
            <v>305.90000000000003</v>
          </cell>
          <cell r="FF91">
            <v>460.40000000000003</v>
          </cell>
          <cell r="FH91">
            <v>1773.7</v>
          </cell>
          <cell r="FI91">
            <v>1232.7</v>
          </cell>
          <cell r="FJ91">
            <v>3006.4</v>
          </cell>
        </row>
        <row r="92">
          <cell r="EM92" t="str">
            <v xml:space="preserve"> 2Q</v>
          </cell>
          <cell r="EN92">
            <v>16.2</v>
          </cell>
          <cell r="EO92">
            <v>10</v>
          </cell>
          <cell r="EP92">
            <v>26.2</v>
          </cell>
          <cell r="ER92">
            <v>27.1</v>
          </cell>
          <cell r="ES92">
            <v>13.8</v>
          </cell>
          <cell r="ET92">
            <v>40.900000000000006</v>
          </cell>
          <cell r="EV92">
            <v>0.6</v>
          </cell>
          <cell r="EW92">
            <v>30.6</v>
          </cell>
          <cell r="EX92">
            <v>31.200000000000003</v>
          </cell>
          <cell r="EZ92">
            <v>14.500000000000011</v>
          </cell>
          <cell r="FA92">
            <v>52.299999999999955</v>
          </cell>
          <cell r="FB92">
            <v>66.799999999999969</v>
          </cell>
          <cell r="FD92">
            <v>164.6</v>
          </cell>
          <cell r="FE92">
            <v>318</v>
          </cell>
          <cell r="FF92">
            <v>482.6</v>
          </cell>
          <cell r="FH92">
            <v>1889.9</v>
          </cell>
          <cell r="FI92">
            <v>1260.8000000000002</v>
          </cell>
          <cell r="FJ92">
            <v>3150.7000000000003</v>
          </cell>
        </row>
        <row r="93">
          <cell r="EM93" t="str">
            <v xml:space="preserve"> 3Q</v>
          </cell>
          <cell r="EN93">
            <v>11.2</v>
          </cell>
          <cell r="EO93">
            <v>9.3000000000000007</v>
          </cell>
          <cell r="EP93">
            <v>20.5</v>
          </cell>
          <cell r="ER93">
            <v>26.2</v>
          </cell>
          <cell r="ES93">
            <v>12.3</v>
          </cell>
          <cell r="ET93">
            <v>38.5</v>
          </cell>
          <cell r="EV93">
            <v>0.7</v>
          </cell>
          <cell r="EW93">
            <v>27.8</v>
          </cell>
          <cell r="EX93">
            <v>28.5</v>
          </cell>
          <cell r="EZ93">
            <v>20.000000000000028</v>
          </cell>
          <cell r="FA93">
            <v>55.899999999999963</v>
          </cell>
          <cell r="FB93">
            <v>75.899999999999991</v>
          </cell>
          <cell r="FD93">
            <v>169</v>
          </cell>
          <cell r="FE93">
            <v>312.5</v>
          </cell>
          <cell r="FF93">
            <v>481.5</v>
          </cell>
          <cell r="FH93">
            <v>1997.8000000000002</v>
          </cell>
          <cell r="FI93">
            <v>1239.8</v>
          </cell>
          <cell r="FJ93">
            <v>3237.6000000000004</v>
          </cell>
        </row>
        <row r="94">
          <cell r="EM94" t="str">
            <v xml:space="preserve"> 4Q</v>
          </cell>
          <cell r="EN94">
            <v>11.7</v>
          </cell>
          <cell r="EO94">
            <v>10.199999999999999</v>
          </cell>
          <cell r="EP94">
            <v>21.9</v>
          </cell>
          <cell r="ER94">
            <v>29.3</v>
          </cell>
          <cell r="ES94">
            <v>14.9</v>
          </cell>
          <cell r="ET94">
            <v>44.2</v>
          </cell>
          <cell r="EV94">
            <v>0.4</v>
          </cell>
          <cell r="EW94">
            <v>25.9</v>
          </cell>
          <cell r="EX94">
            <v>26.299999999999997</v>
          </cell>
          <cell r="EZ94">
            <v>4.6999999999999744</v>
          </cell>
          <cell r="FA94">
            <v>53.700000000000045</v>
          </cell>
          <cell r="FB94">
            <v>58.40000000000002</v>
          </cell>
          <cell r="FD94">
            <v>206</v>
          </cell>
          <cell r="FE94">
            <v>320.7</v>
          </cell>
          <cell r="FF94">
            <v>526.70000000000005</v>
          </cell>
          <cell r="FH94">
            <v>2201.4</v>
          </cell>
          <cell r="FI94">
            <v>1333.3</v>
          </cell>
          <cell r="FJ94">
            <v>3534.7</v>
          </cell>
        </row>
        <row r="96">
          <cell r="EM96" t="str">
            <v>Year</v>
          </cell>
          <cell r="EN96">
            <v>52.5</v>
          </cell>
          <cell r="EO96">
            <v>38.5</v>
          </cell>
          <cell r="EP96">
            <v>91</v>
          </cell>
          <cell r="ER96">
            <v>105.1</v>
          </cell>
          <cell r="ES96">
            <v>52.9</v>
          </cell>
          <cell r="ET96">
            <v>158</v>
          </cell>
          <cell r="EV96">
            <v>2.2999999999999998</v>
          </cell>
          <cell r="EW96">
            <v>113.69999999999999</v>
          </cell>
          <cell r="EX96">
            <v>116</v>
          </cell>
          <cell r="EZ96">
            <v>53.200000000000017</v>
          </cell>
          <cell r="FA96">
            <v>203.89999999999998</v>
          </cell>
          <cell r="FB96">
            <v>257.09999999999997</v>
          </cell>
          <cell r="FD96">
            <v>694.1</v>
          </cell>
          <cell r="FE96">
            <v>1257.1000000000001</v>
          </cell>
          <cell r="FF96">
            <v>1951.2</v>
          </cell>
          <cell r="FH96">
            <v>7862.8000000000011</v>
          </cell>
          <cell r="FI96">
            <v>5066.6000000000004</v>
          </cell>
          <cell r="FJ96">
            <v>12929.400000000001</v>
          </cell>
        </row>
        <row r="98">
          <cell r="EM98" t="str">
            <v>2000E/99</v>
          </cell>
        </row>
        <row r="99">
          <cell r="EM99" t="str">
            <v xml:space="preserve"> 1QA</v>
          </cell>
          <cell r="EN99">
            <v>-4.4776119402985093E-2</v>
          </cell>
          <cell r="EO99">
            <v>-1.1111111111111072E-2</v>
          </cell>
          <cell r="EP99">
            <v>-3.1249999999999778E-2</v>
          </cell>
          <cell r="ER99">
            <v>0.27555555555555555</v>
          </cell>
          <cell r="ES99">
            <v>0.2100840336134453</v>
          </cell>
          <cell r="ET99">
            <v>0.25290697674418605</v>
          </cell>
          <cell r="EV99">
            <v>0.33333333333333348</v>
          </cell>
          <cell r="EW99">
            <v>9.5238095238095344E-2</v>
          </cell>
          <cell r="EX99">
            <v>0.10000000000000009</v>
          </cell>
          <cell r="EZ99">
            <v>0.17142857142857193</v>
          </cell>
          <cell r="FA99">
            <v>0.37380952380952492</v>
          </cell>
          <cell r="FB99">
            <v>0.32321428571428656</v>
          </cell>
          <cell r="FD99">
            <v>4.5307443365695699E-2</v>
          </cell>
          <cell r="FE99">
            <v>0.10722458319712302</v>
          </cell>
          <cell r="FF99">
            <v>8.6446568201563823E-2</v>
          </cell>
          <cell r="FH99">
            <v>0.17894796188757955</v>
          </cell>
          <cell r="FI99">
            <v>6.7494118601443942E-2</v>
          </cell>
          <cell r="FJ99">
            <v>0.13324906865353903</v>
          </cell>
        </row>
        <row r="100">
          <cell r="EM100" t="str">
            <v xml:space="preserve"> 2QE</v>
          </cell>
          <cell r="EN100">
            <v>0.03</v>
          </cell>
          <cell r="EO100">
            <v>0.03</v>
          </cell>
          <cell r="EP100">
            <v>3.0000000000000027E-2</v>
          </cell>
          <cell r="ER100">
            <v>0.2</v>
          </cell>
          <cell r="ES100">
            <v>-0.02</v>
          </cell>
          <cell r="ET100">
            <v>0.12577017114914413</v>
          </cell>
          <cell r="EV100">
            <v>0.26</v>
          </cell>
          <cell r="EW100">
            <v>0.08</v>
          </cell>
          <cell r="EX100">
            <v>8.3461538461538476E-2</v>
          </cell>
          <cell r="EZ100">
            <v>0</v>
          </cell>
          <cell r="FA100">
            <v>0.2</v>
          </cell>
          <cell r="FB100">
            <v>0.15658682634730514</v>
          </cell>
          <cell r="FD100">
            <v>4.5595382746051127E-2</v>
          </cell>
          <cell r="FE100">
            <v>7.5830188679245181E-2</v>
          </cell>
          <cell r="FF100">
            <v>6.551802735184431E-2</v>
          </cell>
          <cell r="FH100">
            <v>0.10382665749510567</v>
          </cell>
          <cell r="FI100">
            <v>0.15752934644670025</v>
          </cell>
          <cell r="FJ100">
            <v>0.12531659631193071</v>
          </cell>
        </row>
        <row r="101">
          <cell r="EM101" t="str">
            <v xml:space="preserve"> 3QE</v>
          </cell>
          <cell r="EN101">
            <v>0.03</v>
          </cell>
          <cell r="EO101">
            <v>0.03</v>
          </cell>
          <cell r="EP101">
            <v>3.0000000000000027E-2</v>
          </cell>
          <cell r="ER101">
            <v>0.2</v>
          </cell>
          <cell r="ES101">
            <v>-0.02</v>
          </cell>
          <cell r="ET101">
            <v>0.12971428571428567</v>
          </cell>
          <cell r="EV101">
            <v>0.26</v>
          </cell>
          <cell r="EW101">
            <v>0.08</v>
          </cell>
          <cell r="EX101">
            <v>8.4421052631579174E-2</v>
          </cell>
          <cell r="EZ101">
            <v>0</v>
          </cell>
          <cell r="FA101">
            <v>0.2</v>
          </cell>
          <cell r="FB101">
            <v>0.14729907773386031</v>
          </cell>
          <cell r="FD101">
            <v>8.1295857988165965E-2</v>
          </cell>
          <cell r="FE101">
            <v>7.8534400000000115E-2</v>
          </cell>
          <cell r="FF101">
            <v>7.9503634475597273E-2</v>
          </cell>
          <cell r="FH101">
            <v>0.11604615076584235</v>
          </cell>
          <cell r="FI101">
            <v>0.18815212130988912</v>
          </cell>
          <cell r="FJ101">
            <v>0.14365826538176441</v>
          </cell>
        </row>
        <row r="102">
          <cell r="EM102" t="str">
            <v xml:space="preserve"> 4QE</v>
          </cell>
          <cell r="EN102">
            <v>9.9118140426551538E-2</v>
          </cell>
          <cell r="EO102">
            <v>5.6949250288351072E-2</v>
          </cell>
          <cell r="EP102">
            <v>7.9477835430677546E-2</v>
          </cell>
          <cell r="ER102">
            <v>0.14197952218429966</v>
          </cell>
          <cell r="ES102">
            <v>-0.20375838926174505</v>
          </cell>
          <cell r="ET102">
            <v>2.5429864253392997E-2</v>
          </cell>
          <cell r="EV102">
            <v>0.15499999999999936</v>
          </cell>
          <cell r="EW102">
            <v>5.5903470977028746E-2</v>
          </cell>
          <cell r="EX102">
            <v>5.7410642521104283E-2</v>
          </cell>
          <cell r="EZ102">
            <v>-0.51063829787234361</v>
          </cell>
          <cell r="FA102">
            <v>6.4059590316573489E-2</v>
          </cell>
          <cell r="FB102">
            <v>1.7808219178081952E-2</v>
          </cell>
          <cell r="FD102">
            <v>4.7751565193718815E-3</v>
          </cell>
          <cell r="FE102">
            <v>4.1736950876155587E-2</v>
          </cell>
          <cell r="FF102">
            <v>2.7280657658958818E-2</v>
          </cell>
          <cell r="FH102">
            <v>0.11790550660624621</v>
          </cell>
          <cell r="FI102">
            <v>0.25027371195228665</v>
          </cell>
          <cell r="FJ102">
            <v>0.16783521158485137</v>
          </cell>
        </row>
        <row r="104">
          <cell r="EM104" t="str">
            <v>Year</v>
          </cell>
          <cell r="EN104">
            <v>2.6317757009345799E-2</v>
          </cell>
          <cell r="EO104">
            <v>2.7529411764706024E-2</v>
          </cell>
          <cell r="EP104">
            <v>2.6830380175075108E-2</v>
          </cell>
          <cell r="ER104">
            <v>0.2</v>
          </cell>
          <cell r="ES104">
            <v>-0.02</v>
          </cell>
          <cell r="ET104">
            <v>0.12634177215189868</v>
          </cell>
          <cell r="EV104">
            <v>0.26086956521739135</v>
          </cell>
          <cell r="EW104">
            <v>7.8451186440677834E-2</v>
          </cell>
          <cell r="EX104">
            <v>8.2068102571595247E-2</v>
          </cell>
          <cell r="EZ104">
            <v>0</v>
          </cell>
          <cell r="FA104">
            <v>0.2</v>
          </cell>
          <cell r="FB104">
            <v>0.15861532477635176</v>
          </cell>
          <cell r="FD104">
            <v>4.2108748369097615E-2</v>
          </cell>
          <cell r="FE104">
            <v>7.5444308444819752E-2</v>
          </cell>
          <cell r="FF104">
            <v>6.3585856082909675E-2</v>
          </cell>
          <cell r="FH104">
            <v>0.12781912070038537</v>
          </cell>
          <cell r="FI104">
            <v>0.16752337665218953</v>
          </cell>
          <cell r="FJ104">
            <v>0.1433778924303506</v>
          </cell>
        </row>
        <row r="106">
          <cell r="EM106" t="str">
            <v>2000E</v>
          </cell>
        </row>
        <row r="107">
          <cell r="EM107" t="str">
            <v xml:space="preserve"> 1QA</v>
          </cell>
          <cell r="EN107">
            <v>12.8</v>
          </cell>
          <cell r="EO107">
            <v>8.9</v>
          </cell>
          <cell r="EP107">
            <v>21.700000000000003</v>
          </cell>
          <cell r="ER107">
            <v>28.7</v>
          </cell>
          <cell r="ES107">
            <v>14.4</v>
          </cell>
          <cell r="ET107">
            <v>43.1</v>
          </cell>
          <cell r="EV107">
            <v>0.8</v>
          </cell>
          <cell r="EW107">
            <v>32.200000000000003</v>
          </cell>
          <cell r="EX107">
            <v>33</v>
          </cell>
          <cell r="EZ107">
            <v>16.400000000000006</v>
          </cell>
          <cell r="FA107">
            <v>57.700000000000045</v>
          </cell>
          <cell r="FB107">
            <v>74.100000000000051</v>
          </cell>
          <cell r="FD107">
            <v>161.5</v>
          </cell>
          <cell r="FE107">
            <v>338.7</v>
          </cell>
          <cell r="FF107">
            <v>500.2</v>
          </cell>
          <cell r="FH107">
            <v>2091.1</v>
          </cell>
          <cell r="FI107">
            <v>1315.9</v>
          </cell>
          <cell r="FJ107">
            <v>3407</v>
          </cell>
        </row>
        <row r="108">
          <cell r="EM108" t="str">
            <v xml:space="preserve"> 2QE</v>
          </cell>
          <cell r="EN108">
            <v>16.686</v>
          </cell>
          <cell r="EO108">
            <v>10.3</v>
          </cell>
          <cell r="EP108">
            <v>26.986000000000001</v>
          </cell>
          <cell r="ER108">
            <v>32.520000000000003</v>
          </cell>
          <cell r="ES108">
            <v>13.524000000000001</v>
          </cell>
          <cell r="ET108">
            <v>46.044000000000004</v>
          </cell>
          <cell r="EV108">
            <v>0.75600000000000001</v>
          </cell>
          <cell r="EW108">
            <v>33.048000000000002</v>
          </cell>
          <cell r="EX108">
            <v>33.804000000000002</v>
          </cell>
          <cell r="EZ108">
            <v>14.500000000000011</v>
          </cell>
          <cell r="FA108">
            <v>62.759999999999941</v>
          </cell>
          <cell r="FB108">
            <v>77.259999999999948</v>
          </cell>
          <cell r="FD108">
            <v>172.10500000000002</v>
          </cell>
          <cell r="FE108">
            <v>342.11399999999998</v>
          </cell>
          <cell r="FF108">
            <v>514.21900000000005</v>
          </cell>
          <cell r="FH108">
            <v>2086.1220000000003</v>
          </cell>
          <cell r="FI108">
            <v>1459.413</v>
          </cell>
          <cell r="FJ108">
            <v>3545.5350000000003</v>
          </cell>
        </row>
        <row r="109">
          <cell r="EM109" t="str">
            <v xml:space="preserve"> 3QE</v>
          </cell>
          <cell r="EN109">
            <v>11.536</v>
          </cell>
          <cell r="EO109">
            <v>9.5790000000000006</v>
          </cell>
          <cell r="EP109">
            <v>21.115000000000002</v>
          </cell>
          <cell r="ER109">
            <v>31.439999999999998</v>
          </cell>
          <cell r="ES109">
            <v>12.054</v>
          </cell>
          <cell r="ET109">
            <v>43.494</v>
          </cell>
          <cell r="EV109">
            <v>0.8819999999999999</v>
          </cell>
          <cell r="EW109">
            <v>30.024000000000004</v>
          </cell>
          <cell r="EX109">
            <v>30.906000000000006</v>
          </cell>
          <cell r="EZ109">
            <v>20.000000000000028</v>
          </cell>
          <cell r="FA109">
            <v>67.079999999999956</v>
          </cell>
          <cell r="FB109">
            <v>87.079999999999984</v>
          </cell>
          <cell r="FD109">
            <v>182.73900000000003</v>
          </cell>
          <cell r="FE109">
            <v>337.04200000000003</v>
          </cell>
          <cell r="FF109">
            <v>519.78100000000006</v>
          </cell>
          <cell r="FH109">
            <v>2229.6370000000002</v>
          </cell>
          <cell r="FI109">
            <v>1473.0710000000004</v>
          </cell>
          <cell r="FJ109">
            <v>3702.7080000000005</v>
          </cell>
        </row>
        <row r="110">
          <cell r="EM110" t="str">
            <v xml:space="preserve"> 4QE</v>
          </cell>
          <cell r="EN110">
            <v>12.859682242990653</v>
          </cell>
          <cell r="EO110">
            <v>10.78088235294118</v>
          </cell>
          <cell r="EP110">
            <v>23.640564595931835</v>
          </cell>
          <cell r="ER110">
            <v>33.45999999999998</v>
          </cell>
          <cell r="ES110">
            <v>11.863999999999999</v>
          </cell>
          <cell r="ET110">
            <v>45.323999999999977</v>
          </cell>
          <cell r="EV110">
            <v>0.46199999999999974</v>
          </cell>
          <cell r="EW110">
            <v>27.347899898305041</v>
          </cell>
          <cell r="EX110">
            <v>27.809899898305041</v>
          </cell>
          <cell r="EZ110">
            <v>2.2999999999999723</v>
          </cell>
          <cell r="FA110">
            <v>57.140000000000043</v>
          </cell>
          <cell r="FB110">
            <v>59.440000000000012</v>
          </cell>
          <cell r="FD110">
            <v>206.98368224299062</v>
          </cell>
          <cell r="FE110">
            <v>334.0850401459831</v>
          </cell>
          <cell r="FF110">
            <v>541.0687223889737</v>
          </cell>
          <cell r="FH110">
            <v>2460.9571822429907</v>
          </cell>
          <cell r="FI110">
            <v>1666.9899401459836</v>
          </cell>
          <cell r="FJ110">
            <v>4127.9471223889741</v>
          </cell>
        </row>
        <row r="112">
          <cell r="EM112" t="str">
            <v>Year</v>
          </cell>
          <cell r="EN112">
            <v>53.881682242990657</v>
          </cell>
          <cell r="EO112">
            <v>39.55988235294118</v>
          </cell>
          <cell r="EP112">
            <v>93.441564595931837</v>
          </cell>
          <cell r="ER112">
            <v>126.11999999999999</v>
          </cell>
          <cell r="ES112">
            <v>51.841999999999999</v>
          </cell>
          <cell r="ET112">
            <v>177.96199999999999</v>
          </cell>
          <cell r="EV112">
            <v>2.9</v>
          </cell>
          <cell r="EW112">
            <v>122.61989989830505</v>
          </cell>
          <cell r="EX112">
            <v>125.51989989830506</v>
          </cell>
          <cell r="EZ112">
            <v>53.200000000000017</v>
          </cell>
          <cell r="FA112">
            <v>244.67999999999998</v>
          </cell>
          <cell r="FB112">
            <v>297.88</v>
          </cell>
          <cell r="FD112">
            <v>723.3276822429907</v>
          </cell>
          <cell r="FE112">
            <v>1351.9410401459829</v>
          </cell>
          <cell r="FF112">
            <v>2075.2687223889734</v>
          </cell>
          <cell r="FH112">
            <v>8867.816182242992</v>
          </cell>
          <cell r="FI112">
            <v>5915.3739401459834</v>
          </cell>
          <cell r="FJ112">
            <v>14783.190122388976</v>
          </cell>
        </row>
        <row r="114">
          <cell r="EM114" t="str">
            <v>% Change</v>
          </cell>
        </row>
        <row r="115">
          <cell r="EM115" t="str">
            <v xml:space="preserve">2001E/00E </v>
          </cell>
          <cell r="EN115">
            <v>0</v>
          </cell>
          <cell r="EO115">
            <v>0</v>
          </cell>
          <cell r="EP115">
            <v>0</v>
          </cell>
          <cell r="ER115">
            <v>0.03</v>
          </cell>
          <cell r="ES115">
            <v>0.05</v>
          </cell>
          <cell r="ET115">
            <v>3.5826187613085869E-2</v>
          </cell>
          <cell r="EV115" t="str">
            <v>NM</v>
          </cell>
          <cell r="EW115">
            <v>0.04</v>
          </cell>
          <cell r="EX115">
            <v>4.3059275862322277E-2</v>
          </cell>
          <cell r="EZ115">
            <v>0</v>
          </cell>
          <cell r="FA115">
            <v>0</v>
          </cell>
          <cell r="FB115">
            <v>0</v>
          </cell>
          <cell r="FD115">
            <v>2.272042174445521E-2</v>
          </cell>
          <cell r="FE115">
            <v>2.4501276438986253E-2</v>
          </cell>
          <cell r="FF115">
            <v>2.3880565740314053E-2</v>
          </cell>
          <cell r="FH115">
            <v>0.12732994480208082</v>
          </cell>
          <cell r="FI115">
            <v>0.12971485951716022</v>
          </cell>
          <cell r="FJ115">
            <v>0.12828424913276026</v>
          </cell>
        </row>
        <row r="116">
          <cell r="EM116" t="str">
            <v xml:space="preserve">2002E/01E </v>
          </cell>
          <cell r="EN116">
            <v>0</v>
          </cell>
          <cell r="EO116">
            <v>0</v>
          </cell>
          <cell r="EP116">
            <v>0</v>
          </cell>
          <cell r="ER116">
            <v>0.03</v>
          </cell>
          <cell r="ES116">
            <v>0.05</v>
          </cell>
          <cell r="ET116">
            <v>3.5905910727973556E-2</v>
          </cell>
          <cell r="EV116" t="str">
            <v>NM</v>
          </cell>
          <cell r="EW116">
            <v>0.04</v>
          </cell>
          <cell r="EX116">
            <v>4.2780224139638667E-2</v>
          </cell>
          <cell r="EZ116">
            <v>0</v>
          </cell>
          <cell r="FA116">
            <v>0</v>
          </cell>
          <cell r="FB116">
            <v>0</v>
          </cell>
          <cell r="FD116">
            <v>2.2300195026214942E-2</v>
          </cell>
          <cell r="FE116">
            <v>2.2006113955851836E-2</v>
          </cell>
          <cell r="FF116">
            <v>2.2108498745950333E-2</v>
          </cell>
          <cell r="FH116">
            <v>0.11030698289999319</v>
          </cell>
          <cell r="FI116">
            <v>0.12549334831380476</v>
          </cell>
          <cell r="FJ116">
            <v>0.11639138913769598</v>
          </cell>
        </row>
        <row r="117">
          <cell r="EM117" t="str">
            <v xml:space="preserve">2003E/02E </v>
          </cell>
          <cell r="EN117">
            <v>0</v>
          </cell>
          <cell r="EO117">
            <v>0</v>
          </cell>
          <cell r="EP117">
            <v>0</v>
          </cell>
          <cell r="ER117">
            <v>0.03</v>
          </cell>
          <cell r="ES117">
            <v>0.05</v>
          </cell>
          <cell r="ET117">
            <v>3.5986264003469826E-2</v>
          </cell>
          <cell r="EV117" t="str">
            <v>NM</v>
          </cell>
          <cell r="EW117">
            <v>0.04</v>
          </cell>
          <cell r="EX117">
            <v>4.2519672420614052E-2</v>
          </cell>
          <cell r="EZ117">
            <v>0</v>
          </cell>
          <cell r="FA117">
            <v>0</v>
          </cell>
          <cell r="FB117">
            <v>0</v>
          </cell>
          <cell r="FD117">
            <v>2.2401366120483601E-2</v>
          </cell>
          <cell r="FE117">
            <v>2.2321665336997087E-2</v>
          </cell>
          <cell r="FF117">
            <v>2.2349418495037243E-2</v>
          </cell>
          <cell r="FH117">
            <v>7.308325301845553E-3</v>
          </cell>
          <cell r="FI117">
            <v>9.2159086665294376E-2</v>
          </cell>
          <cell r="FJ117">
            <v>4.1580886092527747E-2</v>
          </cell>
        </row>
        <row r="118">
          <cell r="EM118" t="str">
            <v xml:space="preserve">2004E/03E </v>
          </cell>
          <cell r="EN118">
            <v>0</v>
          </cell>
          <cell r="EO118">
            <v>0</v>
          </cell>
          <cell r="EP118">
            <v>0</v>
          </cell>
          <cell r="ER118">
            <v>0.03</v>
          </cell>
          <cell r="ES118">
            <v>0.05</v>
          </cell>
          <cell r="ET118">
            <v>3.6067239906592219E-2</v>
          </cell>
          <cell r="EV118" t="str">
            <v>NM</v>
          </cell>
          <cell r="EW118">
            <v>3.9999999999999813E-2</v>
          </cell>
          <cell r="EX118">
            <v>4.2276388542874965E-2</v>
          </cell>
          <cell r="EZ118">
            <v>0</v>
          </cell>
          <cell r="FA118">
            <v>0</v>
          </cell>
          <cell r="FB118">
            <v>0</v>
          </cell>
          <cell r="FD118">
            <v>2.2501610682441386E-2</v>
          </cell>
          <cell r="FE118">
            <v>2.2637076921179888E-2</v>
          </cell>
          <cell r="FF118">
            <v>2.2589902893498159E-2</v>
          </cell>
          <cell r="FH118">
            <v>3.7415214464936897E-2</v>
          </cell>
          <cell r="FI118">
            <v>7.1399019090570448E-2</v>
          </cell>
          <cell r="FJ118">
            <v>5.1808359840511242E-2</v>
          </cell>
        </row>
        <row r="119">
          <cell r="EM119" t="str">
            <v xml:space="preserve">2005E/04E </v>
          </cell>
          <cell r="EN119">
            <v>0</v>
          </cell>
          <cell r="EO119">
            <v>0</v>
          </cell>
          <cell r="EP119">
            <v>0</v>
          </cell>
          <cell r="ER119">
            <v>0.03</v>
          </cell>
          <cell r="ES119">
            <v>0.05</v>
          </cell>
          <cell r="ET119">
            <v>3.6148830555144285E-2</v>
          </cell>
          <cell r="EV119" t="str">
            <v>NM</v>
          </cell>
          <cell r="EW119">
            <v>0.04</v>
          </cell>
          <cell r="EX119">
            <v>4.2049236416621394E-2</v>
          </cell>
          <cell r="EZ119">
            <v>0</v>
          </cell>
          <cell r="FA119">
            <v>0</v>
          </cell>
          <cell r="FB119">
            <v>0</v>
          </cell>
          <cell r="FD119">
            <v>2.26009193891612E-2</v>
          </cell>
          <cell r="FE119">
            <v>2.2952221361577818E-2</v>
          </cell>
          <cell r="FF119">
            <v>2.2829896432196017E-2</v>
          </cell>
          <cell r="FH119">
            <v>4.6076622029444181E-2</v>
          </cell>
          <cell r="FI119">
            <v>6.6667584743925756E-2</v>
          </cell>
          <cell r="FJ119">
            <v>5.4959935589752984E-2</v>
          </cell>
        </row>
        <row r="121">
          <cell r="EM121" t="str">
            <v>2001E</v>
          </cell>
          <cell r="EN121">
            <v>53.881682242990657</v>
          </cell>
          <cell r="EO121">
            <v>39.55988235294118</v>
          </cell>
          <cell r="EP121">
            <v>93.441564595931837</v>
          </cell>
          <cell r="ER121">
            <v>129.90359999999998</v>
          </cell>
          <cell r="ES121">
            <v>54.434100000000001</v>
          </cell>
          <cell r="ET121">
            <v>184.33769999999998</v>
          </cell>
          <cell r="EV121">
            <v>3.4</v>
          </cell>
          <cell r="EW121">
            <v>127.52469589423725</v>
          </cell>
          <cell r="EX121">
            <v>130.92469589423726</v>
          </cell>
          <cell r="EZ121">
            <v>53.200000000000017</v>
          </cell>
          <cell r="FA121">
            <v>244.67999999999998</v>
          </cell>
          <cell r="FB121">
            <v>297.88</v>
          </cell>
          <cell r="FD121">
            <v>739.76199224299069</v>
          </cell>
          <cell r="FE121">
            <v>1385.0653212998102</v>
          </cell>
          <cell r="FF121">
            <v>2124.8273135428008</v>
          </cell>
          <cell r="FH121">
            <v>9996.9547272429918</v>
          </cell>
          <cell r="FI121">
            <v>6682.6858397834903</v>
          </cell>
          <cell r="FJ121">
            <v>16679.640567026483</v>
          </cell>
        </row>
        <row r="122">
          <cell r="EM122" t="str">
            <v>2002E</v>
          </cell>
          <cell r="EN122">
            <v>53.881682242990657</v>
          </cell>
          <cell r="EO122">
            <v>39.55988235294118</v>
          </cell>
          <cell r="EP122">
            <v>93.441564595931837</v>
          </cell>
          <cell r="ER122">
            <v>133.80070799999999</v>
          </cell>
          <cell r="ES122">
            <v>57.155805000000001</v>
          </cell>
          <cell r="ET122">
            <v>190.95651299999997</v>
          </cell>
          <cell r="EV122">
            <v>3.9</v>
          </cell>
          <cell r="EW122">
            <v>132.62568373000676</v>
          </cell>
          <cell r="EX122">
            <v>136.52568373000676</v>
          </cell>
          <cell r="EZ122">
            <v>53.200000000000017</v>
          </cell>
          <cell r="FA122">
            <v>244.67999999999998</v>
          </cell>
          <cell r="FB122">
            <v>297.88</v>
          </cell>
          <cell r="FD122">
            <v>756.2588289429907</v>
          </cell>
          <cell r="FE122">
            <v>1415.5452265966323</v>
          </cell>
          <cell r="FF122">
            <v>2171.8040555396228</v>
          </cell>
          <cell r="FH122">
            <v>11099.688641392991</v>
          </cell>
          <cell r="FI122">
            <v>7521.318461547171</v>
          </cell>
          <cell r="FJ122">
            <v>18621.007102940162</v>
          </cell>
        </row>
        <row r="123">
          <cell r="EM123" t="str">
            <v>2003E</v>
          </cell>
          <cell r="EN123">
            <v>53.881682242990657</v>
          </cell>
          <cell r="EO123">
            <v>39.55988235294118</v>
          </cell>
          <cell r="EP123">
            <v>93.441564595931837</v>
          </cell>
          <cell r="ER123">
            <v>137.81472923999999</v>
          </cell>
          <cell r="ES123">
            <v>60.013595250000002</v>
          </cell>
          <cell r="ET123">
            <v>197.82832449</v>
          </cell>
          <cell r="EV123">
            <v>4.4000000000000004</v>
          </cell>
          <cell r="EW123">
            <v>137.93071107920701</v>
          </cell>
          <cell r="EX123">
            <v>142.33071107920702</v>
          </cell>
          <cell r="EZ123">
            <v>53.200000000000017</v>
          </cell>
          <cell r="FA123">
            <v>244.67999999999998</v>
          </cell>
          <cell r="FB123">
            <v>297.88</v>
          </cell>
          <cell r="FD123">
            <v>773.20005985199077</v>
          </cell>
          <cell r="FE123">
            <v>1447.142553414106</v>
          </cell>
          <cell r="FF123">
            <v>2220.342613266097</v>
          </cell>
          <cell r="FH123">
            <v>11180.808776733491</v>
          </cell>
          <cell r="FI123">
            <v>8214.4763014821747</v>
          </cell>
          <cell r="FJ123">
            <v>19395.285078215667</v>
          </cell>
        </row>
        <row r="124">
          <cell r="EM124" t="str">
            <v>2004E</v>
          </cell>
          <cell r="EN124">
            <v>53.881682242990657</v>
          </cell>
          <cell r="EO124">
            <v>39.55988235294118</v>
          </cell>
          <cell r="EP124">
            <v>93.441564595931837</v>
          </cell>
          <cell r="ER124">
            <v>141.9491711172</v>
          </cell>
          <cell r="ES124">
            <v>63.014275012500001</v>
          </cell>
          <cell r="ET124">
            <v>204.9634461297</v>
          </cell>
          <cell r="EV124">
            <v>4.9000000000000004</v>
          </cell>
          <cell r="EW124">
            <v>143.44793952237526</v>
          </cell>
          <cell r="EX124">
            <v>148.34793952237527</v>
          </cell>
          <cell r="EZ124">
            <v>53.200000000000017</v>
          </cell>
          <cell r="FA124">
            <v>244.67999999999998</v>
          </cell>
          <cell r="FB124">
            <v>297.88</v>
          </cell>
          <cell r="FD124">
            <v>790.59830657842065</v>
          </cell>
          <cell r="FE124">
            <v>1479.9016307116538</v>
          </cell>
          <cell r="FF124">
            <v>2270.4999372900743</v>
          </cell>
          <cell r="FH124">
            <v>11599.141135006425</v>
          </cell>
          <cell r="FI124">
            <v>8800.9818517507392</v>
          </cell>
          <cell r="FJ124">
            <v>20400.122986757164</v>
          </cell>
        </row>
        <row r="125">
          <cell r="EM125" t="str">
            <v>2005E</v>
          </cell>
          <cell r="EN125">
            <v>53.881682242990657</v>
          </cell>
          <cell r="EO125">
            <v>39.55988235294118</v>
          </cell>
          <cell r="EP125">
            <v>93.441564595931837</v>
          </cell>
          <cell r="ER125">
            <v>146.20764625071598</v>
          </cell>
          <cell r="ES125">
            <v>66.164988763124995</v>
          </cell>
          <cell r="ET125">
            <v>212.37263501384098</v>
          </cell>
          <cell r="EV125">
            <v>5.4</v>
          </cell>
          <cell r="EW125">
            <v>149.18585710327028</v>
          </cell>
          <cell r="EX125">
            <v>154.58585710327029</v>
          </cell>
          <cell r="EZ125">
            <v>53.200000000000017</v>
          </cell>
          <cell r="FA125">
            <v>244.67999999999998</v>
          </cell>
          <cell r="FB125">
            <v>297.88</v>
          </cell>
          <cell r="FD125">
            <v>808.46655517460692</v>
          </cell>
          <cell r="FE125">
            <v>1513.8686605331075</v>
          </cell>
          <cell r="FF125">
            <v>2322.3352157077143</v>
          </cell>
          <cell r="FH125">
            <v>12133.590376950295</v>
          </cell>
          <cell r="FI125">
            <v>9387.7220551820847</v>
          </cell>
          <cell r="FJ125">
            <v>21521.312432132378</v>
          </cell>
        </row>
        <row r="127">
          <cell r="EM127" t="str">
            <v>E = Morgan Stanley Dean Witter Research Estimates             NM = Not Meaningful             A = Actual</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6.1 State Taxes Paid"/>
      <sheetName val="Index"/>
      <sheetName val="A-5 PBC TB"/>
      <sheetName val="B-1 Corresp"/>
      <sheetName val="J-1 Tax Footnote"/>
      <sheetName val="J-2 DTA-DTL Summary"/>
      <sheetName val="J-3 Rate Rec"/>
      <sheetName val="State Tax Calc"/>
      <sheetName val="FAS 109 Cons J4"/>
      <sheetName val="J-4 Current Calc"/>
      <sheetName val="Cost Plus J-5"/>
      <sheetName val="J-5 Tax Account Rollforward"/>
      <sheetName val="G-1 FA KPMG Modified"/>
      <sheetName val="G-1A FA PBC"/>
      <sheetName val="G-1.1 Computers 2011"/>
      <sheetName val="G-1.2 Furniture 2011"/>
      <sheetName val="G-1.3 LHI 2011"/>
      <sheetName val="G-1.4 Software 2011"/>
      <sheetName val="G-2 FA Disp &amp; Depr-Tax"/>
      <sheetName val="FAS 109 foreign J4.2"/>
      <sheetName val="PY True-Up J5"/>
      <sheetName val="M-82 Accrued Commission"/>
      <sheetName val="M-89 Accrued Vacation"/>
      <sheetName val="M-123.1 Accruals"/>
      <sheetName val="M-123.2 Accruals"/>
      <sheetName val="M-180 Prepaid Other"/>
      <sheetName val="M-187.1 Accrual to Cash Adj"/>
      <sheetName val="M-187.1 Cash to Accrual Adj"/>
      <sheetName val="M-187.2 2009 TB"/>
      <sheetName val="N-1"/>
      <sheetName val="S-6.2 Other Taxes #8054"/>
      <sheetName val="Sheet1"/>
      <sheetName val="A-5.2|CW_TB"/>
    </sheetNames>
    <sheetDataSet>
      <sheetData sheetId="0" refreshError="1"/>
      <sheetData sheetId="1"/>
      <sheetData sheetId="2"/>
      <sheetData sheetId="3"/>
      <sheetData sheetId="4"/>
      <sheetData sheetId="5"/>
      <sheetData sheetId="6"/>
      <sheetData sheetId="7"/>
      <sheetData sheetId="8"/>
      <sheetData sheetId="9">
        <row r="34">
          <cell r="I34">
            <v>0</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 Amortizacion"/>
      <sheetName val="PG Valor Residual"/>
      <sheetName val="Diferencia amortizacion 2001"/>
      <sheetName val="Bs Agotaron Vida Util"/>
      <sheetName val="Amort"/>
      <sheetName val="Tildes"/>
      <sheetName val="XREF"/>
      <sheetName val="ConsBvA"/>
      <sheetName val="JAN-DEC97"/>
      <sheetName val="Earnings (Asset)"/>
      <sheetName val="Option Activity '01"/>
      <sheetName val="US"/>
      <sheetName val="S-6.1 State Taxes Paid"/>
      <sheetName val="Worksheet in 5632 Pruebas Globa"/>
      <sheetName val="pivot"/>
      <sheetName val="Inventory"/>
      <sheetName val="S-31 Trial Balance"/>
      <sheetName val="EXCHANGE_R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 Bs de uso"/>
      <sheetName val="Inventario bs uso"/>
      <sheetName val="Bienes de uso en u$s"/>
      <sheetName val="XREF"/>
      <sheetName val="Tickmarks"/>
      <sheetName val="PG Valor Residual"/>
      <sheetName val="Diferencia amortizacion 2001"/>
    </sheetNames>
    <sheetDataSet>
      <sheetData sheetId="0">
        <row r="2">
          <cell r="A2" t="e">
            <v>#REF!</v>
          </cell>
        </row>
      </sheetData>
      <sheetData sheetId="1" refreshError="1"/>
      <sheetData sheetId="2" refreshError="1"/>
      <sheetData sheetId="3">
        <row r="2">
          <cell r="A2" t="e">
            <v>#REF!</v>
          </cell>
          <cell r="B2">
            <v>15647277.029999986</v>
          </cell>
          <cell r="D2" t="str">
            <v>Bienes de uso Combined Leadsheet</v>
          </cell>
          <cell r="E2" t="e">
            <v>#REF!</v>
          </cell>
        </row>
      </sheetData>
      <sheetData sheetId="4"/>
      <sheetData sheetId="5" refreshError="1"/>
      <sheetData sheetId="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ueba Global"/>
      <sheetName val="Cálculo amortizaciones sept"/>
      <sheetName val="Neto_Rte"/>
      <sheetName val="Rdo_Amortiz."/>
      <sheetName val="XREF"/>
      <sheetName val="Tickmarks"/>
      <sheetName val="Memo"/>
      <sheetName val="PG"/>
      <sheetName val="Aux"/>
      <sheetName val="Umbral"/>
      <sheetName val="Anexo"/>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ueba Global"/>
      <sheetName val="Rdo_Amortiz."/>
      <sheetName val="Neto_Rte"/>
      <sheetName val="XREF"/>
      <sheetName val="Tickmarks"/>
      <sheetName val="PG Valor Residual"/>
    </sheetNames>
    <sheetDataSet>
      <sheetData sheetId="0" refreshError="1"/>
      <sheetData sheetId="1" refreshError="1"/>
      <sheetData sheetId="2" refreshError="1"/>
      <sheetData sheetId="3" refreshError="1"/>
      <sheetData sheetId="4" refreshError="1"/>
      <sheetData sheetId="5"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4-09T12:11:03.249"/>
    </inkml:context>
    <inkml:brush xml:id="br0">
      <inkml:brushProperty name="width" value="0.05" units="cm"/>
      <inkml:brushProperty name="height" value="0.05" units="cm"/>
    </inkml:brush>
  </inkml:definitions>
  <inkml:trace contextRef="#ctx0" brushRef="#br0">54 24 2784,'-4'1'397,"1"-1"1,-1 0-1,0 0 0,0-1 1,1 1-1,-1-1 0,0 1 0,1-1 1,-1-1-1,1 1 0,-5-2 1,2-13-3166,11 40-672,17-24 3440</inkml:trace>
</inkm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JPMColours">
      <a:dk1>
        <a:sysClr val="windowText" lastClr="000000"/>
      </a:dk1>
      <a:lt1>
        <a:sysClr val="window" lastClr="FFFFFF"/>
      </a:lt1>
      <a:dk2>
        <a:srgbClr val="000000"/>
      </a:dk2>
      <a:lt2>
        <a:srgbClr val="F8F8F8"/>
      </a:lt2>
      <a:accent1>
        <a:srgbClr val="4E8ABE"/>
      </a:accent1>
      <a:accent2>
        <a:srgbClr val="616265"/>
      </a:accent2>
      <a:accent3>
        <a:srgbClr val="333333"/>
      </a:accent3>
      <a:accent4>
        <a:srgbClr val="969696"/>
      </a:accent4>
      <a:accent5>
        <a:srgbClr val="9AB0CB"/>
      </a:accent5>
      <a:accent6>
        <a:srgbClr val="4D4D4D"/>
      </a:accent6>
      <a:hlink>
        <a:srgbClr val="5F5F5F"/>
      </a:hlink>
      <a:folHlink>
        <a:srgbClr val="919191"/>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4EFC00D-A1EC-47CB-8F21-35E837004A73}">
  <we:reference id="05c2e1c9-3e1d-406e-9a91-e9ac64854143"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dae.k.lee@jpmorgan.com" TargetMode="External"/><Relationship Id="rId1" Type="http://schemas.openxmlformats.org/officeDocument/2006/relationships/hyperlink" Target="mailto:dae.k.lee@jpmorgan.com"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0A95C-D3CF-4935-8C31-A7F9ECEAA661}">
  <sheetPr>
    <pageSetUpPr autoPageBreaks="0"/>
  </sheetPr>
  <dimension ref="B2:N30"/>
  <sheetViews>
    <sheetView showGridLines="0" tabSelected="1" workbookViewId="0"/>
  </sheetViews>
  <sheetFormatPr defaultRowHeight="12.75"/>
  <sheetData>
    <row r="2" spans="2:14">
      <c r="N2" s="817" t="s">
        <v>1181</v>
      </c>
    </row>
    <row r="3" spans="2:14">
      <c r="N3" s="6232">
        <v>45960</v>
      </c>
    </row>
    <row r="7" spans="2:14" ht="15.75">
      <c r="B7" s="5319" t="s">
        <v>356</v>
      </c>
      <c r="C7" s="6233"/>
      <c r="D7" s="6233"/>
      <c r="E7" s="6233"/>
      <c r="F7" s="6233"/>
      <c r="G7" s="6233"/>
      <c r="H7" s="6233"/>
      <c r="I7" s="6233"/>
      <c r="J7" s="6233"/>
      <c r="K7" s="6233"/>
      <c r="L7" s="6233"/>
      <c r="M7" s="6233"/>
      <c r="N7" s="6233"/>
    </row>
    <row r="9" spans="2:14" ht="23.25">
      <c r="B9" s="819" t="s">
        <v>1182</v>
      </c>
    </row>
    <row r="11" spans="2:14">
      <c r="B11" s="818" t="s">
        <v>4</v>
      </c>
    </row>
    <row r="12" spans="2:14">
      <c r="B12" s="818" t="s">
        <v>861</v>
      </c>
    </row>
    <row r="13" spans="2:14">
      <c r="B13" s="818" t="s">
        <v>357</v>
      </c>
    </row>
    <row r="14" spans="2:14">
      <c r="B14" s="818" t="s">
        <v>355</v>
      </c>
    </row>
    <row r="15" spans="2:14">
      <c r="B15" s="6062"/>
    </row>
    <row r="16" spans="2:14">
      <c r="B16" s="818" t="s">
        <v>491</v>
      </c>
    </row>
    <row r="17" spans="2:14">
      <c r="B17" s="818" t="s">
        <v>860</v>
      </c>
    </row>
    <row r="18" spans="2:14">
      <c r="B18" s="818" t="s">
        <v>872</v>
      </c>
    </row>
    <row r="19" spans="2:14">
      <c r="B19" s="818" t="s">
        <v>355</v>
      </c>
    </row>
    <row r="20" spans="2:14">
      <c r="B20" s="6062"/>
    </row>
    <row r="21" spans="2:14">
      <c r="B21" s="818" t="s">
        <v>1116</v>
      </c>
    </row>
    <row r="22" spans="2:14">
      <c r="B22" s="818" t="s">
        <v>1117</v>
      </c>
    </row>
    <row r="23" spans="2:14">
      <c r="B23" s="818" t="s">
        <v>1118</v>
      </c>
    </row>
    <row r="24" spans="2:14">
      <c r="B24" s="818" t="s">
        <v>355</v>
      </c>
    </row>
    <row r="26" spans="2:14" ht="24" customHeight="1">
      <c r="B26" s="6265" t="s">
        <v>1183</v>
      </c>
      <c r="C26" s="6265"/>
      <c r="D26" s="6265"/>
      <c r="E26" s="6265"/>
      <c r="F26" s="6265"/>
      <c r="G26" s="6265"/>
      <c r="H26" s="6265"/>
      <c r="I26" s="6265"/>
      <c r="J26" s="6265"/>
      <c r="K26" s="6265"/>
      <c r="L26" s="6265"/>
      <c r="M26" s="6265"/>
      <c r="N26" s="6265"/>
    </row>
    <row r="27" spans="2:14" ht="13.5" customHeight="1">
      <c r="B27" s="6266" t="s">
        <v>492</v>
      </c>
      <c r="C27" s="6266"/>
      <c r="D27" s="6266"/>
      <c r="E27" s="6266"/>
      <c r="F27" s="6266"/>
      <c r="G27" s="6266"/>
      <c r="H27" s="6266"/>
      <c r="I27" s="6266"/>
      <c r="J27" s="6266"/>
      <c r="K27" s="6266"/>
      <c r="L27" s="6266"/>
      <c r="M27" s="6266"/>
      <c r="N27" s="6266"/>
    </row>
    <row r="28" spans="2:14" ht="107.25" customHeight="1">
      <c r="B28" s="6266" t="s">
        <v>1184</v>
      </c>
      <c r="C28" s="6266"/>
      <c r="D28" s="6266"/>
      <c r="E28" s="6266"/>
      <c r="F28" s="6266"/>
      <c r="G28" s="6266"/>
      <c r="H28" s="6266"/>
      <c r="I28" s="6266"/>
      <c r="J28" s="6266"/>
      <c r="K28" s="6266"/>
      <c r="L28" s="6266"/>
      <c r="M28" s="6266"/>
      <c r="N28" s="6266"/>
    </row>
    <row r="29" spans="2:14" ht="84.4" customHeight="1">
      <c r="B29" s="6267" t="s">
        <v>1185</v>
      </c>
      <c r="C29" s="6267"/>
      <c r="D29" s="6267"/>
      <c r="E29" s="6267"/>
      <c r="F29" s="6267"/>
      <c r="G29" s="6267"/>
      <c r="H29" s="6267"/>
      <c r="I29" s="6267"/>
      <c r="J29" s="6267"/>
      <c r="K29" s="6267"/>
      <c r="L29" s="6267"/>
      <c r="M29" s="6267"/>
      <c r="N29" s="6267"/>
    </row>
    <row r="30" spans="2:14" ht="1.1499999999999999" customHeight="1">
      <c r="B30" s="6266" t="s">
        <v>1186</v>
      </c>
      <c r="C30" s="6266"/>
      <c r="D30" s="6266"/>
      <c r="E30" s="6266"/>
      <c r="F30" s="6266"/>
      <c r="G30" s="6266"/>
      <c r="H30" s="6266"/>
      <c r="I30" s="6266"/>
      <c r="J30" s="6266"/>
      <c r="K30" s="6266"/>
      <c r="L30" s="6266"/>
      <c r="M30" s="6266"/>
      <c r="N30" s="6266"/>
    </row>
  </sheetData>
  <mergeCells count="5">
    <mergeCell ref="B26:N26"/>
    <mergeCell ref="B27:N27"/>
    <mergeCell ref="B28:N28"/>
    <mergeCell ref="B29:N29"/>
    <mergeCell ref="B30:N30"/>
  </mergeCells>
  <hyperlinks>
    <hyperlink ref="B18" r:id="rId1" xr:uid="{1B3840CD-FF26-4B65-9B5A-0B672A19EA67}"/>
    <hyperlink ref="B23" r:id="rId2" display="dae.k.lee@jpmorgan.com" xr:uid="{31460CBD-E6DA-4067-9E5E-6BA0E7B13005}"/>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autoPageBreaks="0"/>
  </sheetPr>
  <dimension ref="A1:FT528"/>
  <sheetViews>
    <sheetView showGridLines="0" zoomScaleNormal="100" zoomScaleSheetLayoutView="85" workbookViewId="0">
      <pane xSplit="1" ySplit="6" topLeftCell="EF7" activePane="bottomRight" state="frozen"/>
      <selection activeCell="L42" sqref="L42"/>
      <selection pane="topRight" activeCell="L42" sqref="L42"/>
      <selection pane="bottomLeft" activeCell="L42" sqref="L42"/>
      <selection pane="bottomRight" activeCell="EF7" sqref="EF7"/>
    </sheetView>
  </sheetViews>
  <sheetFormatPr defaultColWidth="9.140625" defaultRowHeight="11.25" customHeight="1" outlineLevelRow="2" outlineLevelCol="2"/>
  <cols>
    <col min="1" max="1" width="42.7109375" style="3814" customWidth="1"/>
    <col min="2" max="5" width="10.7109375" style="121" hidden="1" customWidth="1" outlineLevel="2"/>
    <col min="6" max="6" width="9.7109375" style="121" hidden="1" customWidth="1" outlineLevel="1" collapsed="1"/>
    <col min="7" max="7" width="10.7109375" style="121" hidden="1" customWidth="1" outlineLevel="2"/>
    <col min="8" max="9" width="10.7109375" style="32" hidden="1" customWidth="1" outlineLevel="2"/>
    <col min="10" max="10" width="10.7109375" style="121" hidden="1" customWidth="1" outlineLevel="2"/>
    <col min="11" max="11" width="9.7109375" style="121" hidden="1" customWidth="1" outlineLevel="1" collapsed="1"/>
    <col min="12" max="15" width="10.7109375" style="121" hidden="1" customWidth="1" outlineLevel="2"/>
    <col min="16" max="16" width="9.7109375" style="121" hidden="1" customWidth="1" outlineLevel="1" collapsed="1"/>
    <col min="17" max="17" width="10.7109375" style="121" hidden="1" customWidth="1" outlineLevel="2"/>
    <col min="18" max="19" width="10.7109375" style="32" hidden="1" customWidth="1" outlineLevel="2"/>
    <col min="20" max="20" width="10.7109375" style="121" hidden="1" customWidth="1" outlineLevel="2"/>
    <col min="21" max="21" width="9.7109375" style="121" hidden="1" customWidth="1" outlineLevel="1" collapsed="1"/>
    <col min="22" max="24" width="10.7109375" style="121" hidden="1" customWidth="1" outlineLevel="2"/>
    <col min="25" max="25" width="10.7109375" style="32" hidden="1" customWidth="1" outlineLevel="2"/>
    <col min="26" max="26" width="9.7109375" style="121" hidden="1" customWidth="1" outlineLevel="1" collapsed="1"/>
    <col min="27" max="30" width="10.7109375" style="121" hidden="1" customWidth="1" outlineLevel="2"/>
    <col min="31" max="31" width="9.7109375" style="121" hidden="1" customWidth="1" outlineLevel="1" collapsed="1"/>
    <col min="32" max="35" width="10.7109375" style="121" hidden="1" customWidth="1" outlineLevel="2"/>
    <col min="36" max="36" width="9.7109375" style="32" hidden="1" customWidth="1" outlineLevel="1" collapsed="1"/>
    <col min="37" max="40" width="10.7109375" style="32" hidden="1" customWidth="1" outlineLevel="2"/>
    <col min="41" max="41" width="9.7109375" style="32" hidden="1" customWidth="1" outlineLevel="1" collapsed="1"/>
    <col min="42" max="44" width="10.7109375" style="32" hidden="1" customWidth="1" outlineLevel="2"/>
    <col min="45" max="45" width="11.140625" style="32" hidden="1" customWidth="1" outlineLevel="2"/>
    <col min="46" max="46" width="9.7109375" style="121" hidden="1" customWidth="1" outlineLevel="1" collapsed="1"/>
    <col min="47" max="50" width="10.7109375" style="32" hidden="1" customWidth="1" outlineLevel="2"/>
    <col min="51" max="51" width="9.7109375" style="121" hidden="1" customWidth="1" outlineLevel="1" collapsed="1"/>
    <col min="52" max="55" width="10.7109375" style="32" hidden="1" customWidth="1" outlineLevel="2"/>
    <col min="56" max="56" width="9.7109375" style="121" hidden="1" customWidth="1" outlineLevel="1" collapsed="1"/>
    <col min="57" max="60" width="10.7109375" style="32" hidden="1" customWidth="1" outlineLevel="2"/>
    <col min="61" max="61" width="10.42578125" style="121" hidden="1" customWidth="1" outlineLevel="1" collapsed="1"/>
    <col min="62" max="65" width="9.7109375" style="32" hidden="1" customWidth="1" outlineLevel="2"/>
    <col min="66" max="66" width="10.42578125" style="121" hidden="1" customWidth="1" outlineLevel="1" collapsed="1"/>
    <col min="67" max="67" width="9.7109375" style="121" hidden="1" customWidth="1" collapsed="1"/>
    <col min="68" max="71" width="9.7109375" style="121" hidden="1" customWidth="1"/>
    <col min="72" max="75" width="9.7109375" style="32" hidden="1" customWidth="1" outlineLevel="2"/>
    <col min="76" max="76" width="10.42578125" style="121" hidden="1" customWidth="1" outlineLevel="1" collapsed="1"/>
    <col min="77" max="77" width="9.7109375" style="32" hidden="1" customWidth="1" collapsed="1"/>
    <col min="78" max="80" width="9.7109375" style="32" hidden="1" customWidth="1"/>
    <col min="81" max="81" width="10.42578125" style="121" hidden="1" customWidth="1"/>
    <col min="82" max="83" width="9.7109375" style="32" hidden="1" customWidth="1" outlineLevel="2"/>
    <col min="84" max="85" width="10" style="32" hidden="1" customWidth="1" outlineLevel="2"/>
    <col min="86" max="86" width="10" style="121" hidden="1" customWidth="1" outlineLevel="1" collapsed="1"/>
    <col min="87" max="89" width="10" style="32" hidden="1" customWidth="1" outlineLevel="2"/>
    <col min="90" max="90" width="9.7109375" style="32" hidden="1" customWidth="1" outlineLevel="2"/>
    <col min="91" max="91" width="9.28515625" style="121" hidden="1" customWidth="1" outlineLevel="1" collapsed="1"/>
    <col min="92" max="95" width="9.28515625" style="121" hidden="1" customWidth="1" outlineLevel="2"/>
    <col min="96" max="96" width="9.28515625" style="121" hidden="1" customWidth="1" outlineLevel="1" collapsed="1"/>
    <col min="97" max="100" width="9.28515625" style="121" hidden="1" customWidth="1" outlineLevel="2"/>
    <col min="101" max="101" width="9.7109375" style="121" hidden="1" customWidth="1" outlineLevel="1" collapsed="1"/>
    <col min="102" max="102" width="9.28515625" style="121" hidden="1" customWidth="1" outlineLevel="2"/>
    <col min="103" max="104" width="9.28515625" style="32" hidden="1" customWidth="1" outlineLevel="2"/>
    <col min="105" max="105" width="9.28515625" style="121" hidden="1" customWidth="1" outlineLevel="2" collapsed="1"/>
    <col min="106" max="106" width="9.7109375" style="121" hidden="1" customWidth="1" outlineLevel="1" collapsed="1"/>
    <col min="107" max="107" width="9.28515625" style="121" hidden="1" customWidth="1" outlineLevel="2"/>
    <col min="108" max="109" width="9.28515625" style="32" hidden="1" customWidth="1" outlineLevel="2"/>
    <col min="110" max="110" width="9.28515625" style="121" hidden="1" customWidth="1" outlineLevel="2"/>
    <col min="111" max="111" width="9.7109375" style="121" hidden="1" customWidth="1" outlineLevel="1" collapsed="1"/>
    <col min="112" max="115" width="9.7109375" style="32" hidden="1" customWidth="1" outlineLevel="2"/>
    <col min="116" max="116" width="9.7109375" style="121" hidden="1" customWidth="1" outlineLevel="1" collapsed="1"/>
    <col min="117" max="120" width="9.7109375" style="32" hidden="1" customWidth="1" outlineLevel="2"/>
    <col min="121" max="121" width="9.7109375" style="121" hidden="1" customWidth="1" outlineLevel="1" collapsed="1"/>
    <col min="122" max="125" width="9.7109375" style="32" hidden="1" customWidth="1" outlineLevel="2"/>
    <col min="126" max="126" width="9.7109375" style="121" hidden="1" customWidth="1" outlineLevel="1" collapsed="1"/>
    <col min="127" max="130" width="9.7109375" style="32" hidden="1" customWidth="1" outlineLevel="2"/>
    <col min="131" max="131" width="9.7109375" style="121" hidden="1" customWidth="1" outlineLevel="1" collapsed="1"/>
    <col min="132" max="135" width="9.7109375" style="32" hidden="1" customWidth="1" outlineLevel="2"/>
    <col min="136" max="136" width="9.7109375" style="121" customWidth="1" collapsed="1"/>
    <col min="137" max="140" width="9.7109375" style="32" customWidth="1"/>
    <col min="141" max="141" width="9.7109375" style="121" customWidth="1"/>
    <col min="142" max="145" width="9.7109375" style="32" customWidth="1"/>
    <col min="146" max="146" width="9.7109375" style="121" customWidth="1"/>
    <col min="147" max="150" width="9.7109375" style="32" customWidth="1"/>
    <col min="151" max="155" width="9.7109375" style="121" customWidth="1"/>
    <col min="156" max="156" width="3.7109375" style="171" customWidth="1"/>
    <col min="157" max="158" width="9.28515625" style="596" hidden="1" customWidth="1" outlineLevel="1"/>
    <col min="159" max="159" width="9.28515625" style="596" hidden="1" customWidth="1" outlineLevel="1" collapsed="1"/>
    <col min="160" max="161" width="10.7109375" style="596" hidden="1" customWidth="1" outlineLevel="1"/>
    <col min="162" max="162" width="10.7109375" style="596" customWidth="1" collapsed="1"/>
    <col min="163" max="165" width="9.28515625" hidden="1" customWidth="1" outlineLevel="1"/>
    <col min="166" max="166" width="10.7109375" hidden="1" customWidth="1" outlineLevel="1"/>
    <col min="167" max="167" width="10.7109375" hidden="1" customWidth="1" outlineLevel="1" collapsed="1"/>
    <col min="168" max="168" width="10.7109375" customWidth="1" collapsed="1"/>
    <col min="169" max="16384" width="9.140625" style="35"/>
  </cols>
  <sheetData>
    <row r="1" spans="1:176" s="2" customFormat="1" ht="11.25" customHeight="1">
      <c r="A1" s="3725"/>
      <c r="B1" s="20"/>
      <c r="C1" s="20"/>
      <c r="D1" s="20"/>
      <c r="E1" s="20"/>
      <c r="F1" s="20"/>
      <c r="G1" s="20"/>
      <c r="H1" s="22"/>
      <c r="I1" s="22"/>
      <c r="J1" s="20"/>
      <c r="K1" s="20"/>
      <c r="L1" s="20"/>
      <c r="M1" s="20"/>
      <c r="N1" s="20"/>
      <c r="O1" s="20"/>
      <c r="P1" s="5390"/>
      <c r="Q1" s="5390"/>
      <c r="R1" s="5390"/>
      <c r="S1" s="5390"/>
      <c r="T1" s="5390"/>
      <c r="U1" s="5390"/>
      <c r="V1" s="5390"/>
      <c r="W1" s="5390"/>
      <c r="X1" s="5390"/>
      <c r="Y1" s="5390"/>
      <c r="Z1" s="5390"/>
      <c r="AA1" s="5390"/>
      <c r="AB1" s="5390"/>
      <c r="AC1" s="5390"/>
      <c r="AD1" s="5390"/>
      <c r="AE1" s="5390"/>
      <c r="AF1" s="5390"/>
      <c r="AG1" s="5390"/>
      <c r="AH1" s="5390"/>
      <c r="AI1" s="5390"/>
      <c r="AJ1" s="5390"/>
      <c r="AK1" s="5390"/>
      <c r="AL1" s="5390"/>
      <c r="AM1" s="5390"/>
      <c r="AN1" s="5390"/>
      <c r="AO1" s="5390"/>
      <c r="AP1" s="5458"/>
      <c r="AQ1" s="5458"/>
      <c r="AR1" s="5458"/>
      <c r="AS1" s="5458"/>
      <c r="AT1" s="5390"/>
      <c r="AU1" s="5458"/>
      <c r="AV1" s="5458"/>
      <c r="AW1" s="5458"/>
      <c r="AX1" s="5458"/>
      <c r="AY1" s="5390"/>
      <c r="AZ1" s="5458"/>
      <c r="BA1" s="5458"/>
      <c r="BB1" s="5458"/>
      <c r="BC1" s="5458"/>
      <c r="BD1" s="5390"/>
      <c r="BE1" s="5458"/>
      <c r="BF1" s="5458"/>
      <c r="BG1" s="5458"/>
      <c r="BH1" s="5458"/>
      <c r="BI1" s="5390"/>
      <c r="BJ1" s="5458"/>
      <c r="BK1" s="5458"/>
      <c r="BL1" s="5458"/>
      <c r="BM1" s="5458"/>
      <c r="BN1" s="5390"/>
      <c r="BO1" s="5390"/>
      <c r="BP1" s="5390"/>
      <c r="BQ1" s="5390"/>
      <c r="BR1" s="5390"/>
      <c r="BS1" s="5390"/>
      <c r="BT1" s="5458"/>
      <c r="BU1" s="5458"/>
      <c r="BV1" s="5458"/>
      <c r="BW1" s="5458"/>
      <c r="BX1" s="5390"/>
      <c r="BY1" s="5458"/>
      <c r="BZ1" s="5458"/>
      <c r="CA1" s="5458"/>
      <c r="CB1" s="5458"/>
      <c r="CC1" s="5390"/>
      <c r="CD1" s="5458"/>
      <c r="CE1" s="5458"/>
      <c r="CF1" s="5458"/>
      <c r="CG1" s="5458"/>
      <c r="CH1" s="5390"/>
      <c r="CI1" s="5390"/>
      <c r="CJ1" s="5390"/>
      <c r="CK1" s="5390"/>
      <c r="CL1" s="5390"/>
      <c r="CM1" s="5390"/>
      <c r="CN1" s="5390"/>
      <c r="CO1" s="5390"/>
      <c r="CP1" s="5390"/>
      <c r="CQ1" s="5390"/>
      <c r="CR1" s="5390"/>
      <c r="CS1" s="5390"/>
      <c r="CT1" s="5390"/>
      <c r="CU1" s="5390"/>
      <c r="CV1" s="5390"/>
      <c r="CW1" s="5390"/>
      <c r="CX1" s="5390"/>
      <c r="CY1" s="5458"/>
      <c r="CZ1" s="5458"/>
      <c r="DA1" s="5390"/>
      <c r="DB1" s="5390"/>
      <c r="DC1" s="5738"/>
      <c r="DD1" s="5738"/>
      <c r="DE1" s="5738"/>
      <c r="DF1" s="5738"/>
      <c r="DG1" s="5390"/>
      <c r="DH1" s="5738"/>
      <c r="DI1" s="5738"/>
      <c r="DJ1" s="5738"/>
      <c r="DK1" s="5738"/>
      <c r="DL1" s="5232"/>
      <c r="DM1" s="5738"/>
      <c r="DN1" s="5738"/>
      <c r="DO1" s="5738"/>
      <c r="DP1" s="5738"/>
      <c r="DQ1" s="5221"/>
      <c r="DR1" s="5738"/>
      <c r="DS1" s="5738"/>
      <c r="DT1" s="5738"/>
      <c r="DU1" s="5738"/>
      <c r="DV1" s="5738"/>
      <c r="DW1" s="5738"/>
      <c r="DX1" s="5738"/>
      <c r="DY1" s="5738"/>
      <c r="DZ1" s="5738"/>
      <c r="EA1" s="5738"/>
      <c r="EB1" s="5738"/>
      <c r="EC1" s="6002"/>
      <c r="ED1" s="5753"/>
      <c r="EE1" s="6002"/>
      <c r="EF1" s="5802"/>
      <c r="EG1" s="5738"/>
      <c r="EH1" s="6002"/>
      <c r="EI1" s="6002"/>
      <c r="EJ1" s="5270"/>
      <c r="EK1" s="5270"/>
      <c r="EL1" s="5753"/>
      <c r="EM1" s="5753"/>
      <c r="EN1" s="6002"/>
      <c r="EO1" s="5753"/>
      <c r="EP1" s="5753"/>
      <c r="EQ1" s="5828"/>
      <c r="ER1" s="5828"/>
      <c r="ES1" s="5828"/>
      <c r="ET1" s="5828"/>
      <c r="EU1" s="5828"/>
      <c r="EV1" s="6228"/>
      <c r="EW1" s="6228"/>
      <c r="EX1" s="6228"/>
      <c r="EY1" s="6228"/>
      <c r="FA1" s="6"/>
      <c r="FB1" s="6"/>
      <c r="FC1" s="6"/>
      <c r="FD1" s="6"/>
      <c r="FE1" s="6"/>
      <c r="FF1" s="6"/>
      <c r="FN1" s="5221"/>
      <c r="FO1" s="5221"/>
      <c r="FP1" s="5221"/>
      <c r="FQ1" s="5221"/>
      <c r="FR1" s="5221"/>
      <c r="FS1" s="5221"/>
      <c r="FT1" s="5221"/>
    </row>
    <row r="2" spans="1:176" s="2" customFormat="1" ht="28.5" customHeight="1">
      <c r="A2" s="3726" t="s">
        <v>495</v>
      </c>
      <c r="B2" s="18"/>
      <c r="C2" s="18"/>
      <c r="D2" s="18"/>
      <c r="E2" s="18"/>
      <c r="F2" s="18"/>
      <c r="G2" s="20"/>
      <c r="H2" s="20"/>
      <c r="I2" s="20"/>
      <c r="J2" s="20"/>
      <c r="K2" s="20"/>
      <c r="L2" s="20"/>
      <c r="M2" s="20"/>
      <c r="N2" s="20"/>
      <c r="O2" s="20"/>
      <c r="P2" s="5390"/>
      <c r="Q2" s="5390"/>
      <c r="R2" s="5390"/>
      <c r="S2" s="5390"/>
      <c r="T2" s="5390"/>
      <c r="U2" s="5390"/>
      <c r="V2" s="5390"/>
      <c r="W2" s="5390"/>
      <c r="X2" s="5390"/>
      <c r="Y2" s="5390"/>
      <c r="Z2" s="5390"/>
      <c r="AA2" s="5390"/>
      <c r="AB2" s="5390"/>
      <c r="AC2" s="5390"/>
      <c r="AD2" s="5390"/>
      <c r="AE2" s="5390"/>
      <c r="AF2" s="5390"/>
      <c r="AG2" s="5390"/>
      <c r="AH2" s="5390"/>
      <c r="AI2" s="5390"/>
      <c r="AJ2" s="5390"/>
      <c r="AK2" s="5390"/>
      <c r="AL2" s="5390"/>
      <c r="AM2" s="5390"/>
      <c r="AN2" s="5390"/>
      <c r="AO2" s="5390"/>
      <c r="AP2" s="5390"/>
      <c r="AQ2" s="5390"/>
      <c r="AR2" s="5390"/>
      <c r="AS2" s="5390"/>
      <c r="AT2" s="5390"/>
      <c r="AU2" s="5390"/>
      <c r="AV2" s="5390"/>
      <c r="AW2" s="5390"/>
      <c r="AX2" s="5390"/>
      <c r="AY2" s="5390"/>
      <c r="AZ2" s="5390"/>
      <c r="BA2" s="5390"/>
      <c r="BB2" s="5390"/>
      <c r="BC2" s="5390"/>
      <c r="BD2" s="5390"/>
      <c r="BE2" s="5390"/>
      <c r="BF2" s="5390"/>
      <c r="BG2" s="5390"/>
      <c r="BH2" s="5390"/>
      <c r="BI2" s="5390"/>
      <c r="BJ2" s="5390"/>
      <c r="BK2" s="5390"/>
      <c r="BL2" s="5390"/>
      <c r="BM2" s="5390"/>
      <c r="BN2" s="5390"/>
      <c r="BO2" s="5693"/>
      <c r="BP2" s="5390"/>
      <c r="BQ2" s="5390"/>
      <c r="BR2" s="5390"/>
      <c r="BS2" s="5390"/>
      <c r="BT2" s="5693"/>
      <c r="BU2" s="5693"/>
      <c r="BV2" s="5693"/>
      <c r="BW2" s="5693"/>
      <c r="BX2" s="5693"/>
      <c r="BY2" s="5693"/>
      <c r="BZ2" s="5693"/>
      <c r="CA2" s="5693"/>
      <c r="CB2" s="5693"/>
      <c r="CC2" s="5693"/>
      <c r="CD2" s="5693"/>
      <c r="CE2" s="5693"/>
      <c r="CF2" s="5693"/>
      <c r="CG2" s="5459"/>
      <c r="CH2" s="5460"/>
      <c r="CI2" s="5460"/>
      <c r="CJ2" s="5460"/>
      <c r="CK2" s="5460"/>
      <c r="CL2" s="5694"/>
      <c r="CM2" s="5695"/>
      <c r="CN2" s="5694"/>
      <c r="CO2" s="5694"/>
      <c r="CP2" s="5694"/>
      <c r="CQ2" s="5694"/>
      <c r="CR2" s="5695"/>
      <c r="CS2" s="5696"/>
      <c r="CT2" s="5696"/>
      <c r="CU2" s="5696"/>
      <c r="CV2" s="5696"/>
      <c r="CW2" s="5696"/>
      <c r="CX2" s="5696"/>
      <c r="CY2" s="5696"/>
      <c r="CZ2" s="5696"/>
      <c r="DA2" s="5696"/>
      <c r="DB2" s="5692"/>
      <c r="DC2" s="5692"/>
      <c r="DD2" s="4746"/>
      <c r="DE2" s="5692"/>
      <c r="DF2" s="5692"/>
      <c r="DG2" s="5692"/>
      <c r="DH2" s="5802"/>
      <c r="DI2" s="5802"/>
      <c r="DJ2" s="5802"/>
      <c r="DK2" s="5802"/>
      <c r="DL2" s="5232"/>
      <c r="DM2" s="5802"/>
      <c r="DN2" s="5802"/>
      <c r="DO2" s="5802"/>
      <c r="DP2" s="5802"/>
      <c r="DQ2" s="5221"/>
      <c r="DR2" s="5802"/>
      <c r="DS2" s="5802"/>
      <c r="DT2" s="5802"/>
      <c r="DU2" s="5802"/>
      <c r="DV2" s="5270"/>
      <c r="DW2" s="5802"/>
      <c r="DX2" s="5802"/>
      <c r="DY2" s="5802"/>
      <c r="DZ2" s="5802"/>
      <c r="EA2" s="5270"/>
      <c r="EB2" s="5802"/>
      <c r="EC2" s="5828"/>
      <c r="ED2" s="5828"/>
      <c r="EE2" s="5753"/>
      <c r="EF2" s="5753"/>
      <c r="EG2" s="5738"/>
      <c r="EH2" s="6002"/>
      <c r="EI2" s="6002"/>
      <c r="EJ2" s="5220"/>
      <c r="EK2" s="5220"/>
      <c r="EL2" s="5220"/>
      <c r="EM2" s="5220"/>
      <c r="EN2" s="6002"/>
      <c r="EO2" s="5220"/>
      <c r="EP2" s="5220"/>
      <c r="EQ2" s="5220"/>
      <c r="ER2" s="5220"/>
      <c r="ES2" s="5220"/>
      <c r="ET2" s="5220"/>
      <c r="EU2" s="5828"/>
      <c r="EV2" s="6228"/>
      <c r="EW2" s="6228"/>
      <c r="EX2" s="6228"/>
      <c r="EY2" s="6228"/>
      <c r="FA2" s="6"/>
      <c r="FB2" s="6"/>
      <c r="FC2" s="6"/>
      <c r="FD2" s="6"/>
      <c r="FE2" s="6"/>
      <c r="FF2" s="6"/>
      <c r="FN2" s="5221"/>
      <c r="FO2" s="5221"/>
      <c r="FP2" s="5221"/>
      <c r="FQ2" s="5221"/>
      <c r="FR2" s="5221"/>
      <c r="FS2" s="5221"/>
      <c r="FT2" s="5221"/>
    </row>
    <row r="3" spans="1:176" s="5699" customFormat="1" ht="20.25" customHeight="1">
      <c r="A3" s="3727" t="s">
        <v>123</v>
      </c>
      <c r="B3" s="19"/>
      <c r="C3" s="19"/>
      <c r="D3" s="19"/>
      <c r="E3" s="19"/>
      <c r="F3" s="19"/>
      <c r="G3" s="5697"/>
      <c r="H3" s="5697"/>
      <c r="I3" s="5697"/>
      <c r="J3" s="5697"/>
      <c r="K3" s="5697"/>
      <c r="L3" s="5697"/>
      <c r="M3" s="5697"/>
      <c r="N3" s="5697"/>
      <c r="O3" s="5697"/>
      <c r="P3" s="5461"/>
      <c r="Q3" s="5461"/>
      <c r="R3" s="5461"/>
      <c r="S3" s="5461"/>
      <c r="T3" s="5461"/>
      <c r="U3" s="5461"/>
      <c r="V3" s="5461"/>
      <c r="W3" s="5461"/>
      <c r="X3" s="5461"/>
      <c r="Y3" s="5461"/>
      <c r="Z3" s="5461"/>
      <c r="AA3" s="5461"/>
      <c r="AB3" s="5461"/>
      <c r="AC3" s="5461"/>
      <c r="AD3" s="5461"/>
      <c r="AE3" s="5461"/>
      <c r="AF3" s="5461"/>
      <c r="AG3" s="5461"/>
      <c r="AH3" s="5461"/>
      <c r="AI3" s="5461"/>
      <c r="AJ3" s="5461"/>
      <c r="AK3" s="5461"/>
      <c r="AL3" s="5461"/>
      <c r="AM3" s="5461"/>
      <c r="AN3" s="5461"/>
      <c r="AO3" s="5461"/>
      <c r="AP3" s="5461"/>
      <c r="AQ3" s="5461"/>
      <c r="AR3" s="5461"/>
      <c r="AS3" s="5461"/>
      <c r="AT3" s="5461"/>
      <c r="AU3" s="5461"/>
      <c r="AV3" s="5461"/>
      <c r="AW3" s="5461"/>
      <c r="AX3" s="5461"/>
      <c r="AY3" s="5461"/>
      <c r="AZ3" s="5461"/>
      <c r="BA3" s="5461"/>
      <c r="BB3" s="5461"/>
      <c r="BC3" s="5461"/>
      <c r="BD3" s="5461"/>
      <c r="BE3" s="5460"/>
      <c r="BF3" s="5460"/>
      <c r="BG3" s="5460"/>
      <c r="BH3" s="5460"/>
      <c r="BI3" s="5460"/>
      <c r="BJ3" s="5460"/>
      <c r="BK3" s="5462"/>
      <c r="BL3" s="5460"/>
      <c r="BM3" s="5460"/>
      <c r="BN3" s="5460"/>
      <c r="BO3" s="5460"/>
      <c r="BP3" s="5460"/>
      <c r="BQ3" s="5460"/>
      <c r="BR3" s="5460"/>
      <c r="BS3" s="5460"/>
      <c r="BT3" s="5460"/>
      <c r="BU3" s="5460"/>
      <c r="BV3" s="5460"/>
      <c r="BW3" s="5460"/>
      <c r="BX3" s="5460"/>
      <c r="BY3" s="5459"/>
      <c r="BZ3" s="5459"/>
      <c r="CA3" s="5459"/>
      <c r="CB3" s="5459"/>
      <c r="CC3" s="5460"/>
      <c r="CD3" s="5463"/>
      <c r="CE3" s="5463"/>
      <c r="CF3" s="5463"/>
      <c r="CG3" s="5463"/>
      <c r="CH3" s="5460"/>
      <c r="CI3" s="5463"/>
      <c r="CJ3" s="5463"/>
      <c r="CK3" s="5463"/>
      <c r="CL3" s="5463"/>
      <c r="CM3" s="5460"/>
      <c r="CN3" s="5463"/>
      <c r="CO3" s="5463"/>
      <c r="CP3" s="5463"/>
      <c r="CQ3" s="5463"/>
      <c r="CR3" s="5463"/>
      <c r="CS3" s="5463"/>
      <c r="CT3" s="5463"/>
      <c r="CU3" s="5463"/>
      <c r="CV3" s="5463"/>
      <c r="CW3" s="5463"/>
      <c r="CX3" s="5463"/>
      <c r="CY3" s="5463"/>
      <c r="CZ3" s="5463"/>
      <c r="DA3" s="5463"/>
      <c r="DB3" s="5692"/>
      <c r="DC3" s="5692"/>
      <c r="DD3" s="5692"/>
      <c r="DE3" s="5692"/>
      <c r="DF3" s="5692"/>
      <c r="DG3" s="5692"/>
      <c r="DH3" s="5232"/>
      <c r="DI3" s="5232"/>
      <c r="DJ3" s="5232"/>
      <c r="DK3" s="5232"/>
      <c r="DL3" s="5232"/>
      <c r="DM3" s="5757"/>
      <c r="DN3" s="5757"/>
      <c r="DO3" s="5757"/>
      <c r="DP3" s="5757"/>
      <c r="DQ3" s="5221"/>
      <c r="DR3" s="5757"/>
      <c r="DS3" s="5757"/>
      <c r="DT3" s="5757"/>
      <c r="DU3" s="5757"/>
      <c r="DV3" s="5270"/>
      <c r="DW3" s="5757"/>
      <c r="DX3" s="5757"/>
      <c r="DY3" s="5757"/>
      <c r="DZ3" s="5757"/>
      <c r="EA3" s="5270"/>
      <c r="EB3" s="5757"/>
      <c r="EC3" s="5757"/>
      <c r="EF3" s="5931"/>
      <c r="EH3" s="6003"/>
      <c r="EI3" s="6003"/>
      <c r="EJ3" s="6059"/>
      <c r="EK3" s="6059"/>
      <c r="EL3" s="5220"/>
      <c r="EM3" s="5220"/>
      <c r="EN3" s="6003"/>
      <c r="EO3" s="5220"/>
      <c r="EP3" s="5220"/>
      <c r="EQ3" s="6231"/>
      <c r="ER3" s="6231"/>
      <c r="ES3" s="6231"/>
      <c r="ET3" s="6231"/>
      <c r="EU3" s="5220"/>
      <c r="EV3" s="5220"/>
      <c r="EW3" s="5220"/>
      <c r="EX3" s="5220"/>
      <c r="EY3" s="5220"/>
      <c r="EZ3" s="470"/>
      <c r="FA3" s="5698"/>
      <c r="FB3" s="5698"/>
      <c r="FC3" s="5698"/>
      <c r="FD3" s="5698"/>
      <c r="FE3" s="5698"/>
      <c r="FF3" s="5698"/>
      <c r="FN3" s="5221"/>
      <c r="FO3" s="5221"/>
      <c r="FP3" s="5221"/>
      <c r="FQ3" s="5221"/>
      <c r="FR3" s="5221"/>
      <c r="FS3" s="5221"/>
      <c r="FT3" s="5221"/>
    </row>
    <row r="4" spans="1:176" s="6" customFormat="1" ht="12.75">
      <c r="A4" s="3728"/>
      <c r="B4" s="20"/>
      <c r="C4" s="20"/>
      <c r="D4" s="20"/>
      <c r="E4" s="20"/>
      <c r="F4" s="20"/>
      <c r="G4" s="20"/>
      <c r="H4" s="22"/>
      <c r="I4" s="22"/>
      <c r="J4" s="20"/>
      <c r="K4" s="20"/>
      <c r="L4" s="20"/>
      <c r="M4" s="20"/>
      <c r="N4" s="20"/>
      <c r="O4" s="20"/>
      <c r="P4" s="5390"/>
      <c r="Q4" s="5390"/>
      <c r="R4" s="5458"/>
      <c r="S4" s="5458"/>
      <c r="T4" s="5390"/>
      <c r="U4" s="5390"/>
      <c r="V4" s="5390"/>
      <c r="W4" s="5390"/>
      <c r="X4" s="5390"/>
      <c r="Y4" s="5458"/>
      <c r="Z4" s="5464"/>
      <c r="AA4" s="5464"/>
      <c r="AB4" s="5464"/>
      <c r="AC4" s="5464"/>
      <c r="AD4" s="5464"/>
      <c r="AE4" s="5464"/>
      <c r="AF4" s="5464"/>
      <c r="AG4" s="5464"/>
      <c r="AH4" s="5464"/>
      <c r="AI4" s="5464"/>
      <c r="AJ4" s="5462"/>
      <c r="AK4" s="5464"/>
      <c r="AL4" s="5464"/>
      <c r="AM4" s="5464"/>
      <c r="AN4" s="5464"/>
      <c r="AO4" s="5462"/>
      <c r="AP4" s="5464"/>
      <c r="AQ4" s="5464"/>
      <c r="AR4" s="5464"/>
      <c r="AS4" s="5464"/>
      <c r="AT4" s="5462"/>
      <c r="AU4" s="5464"/>
      <c r="AV4" s="5464"/>
      <c r="AW4" s="5464"/>
      <c r="AX4" s="5464"/>
      <c r="AY4" s="5462"/>
      <c r="AZ4" s="5464"/>
      <c r="BA4" s="5464"/>
      <c r="BB4" s="5464"/>
      <c r="BC4" s="5464"/>
      <c r="BD4" s="5462"/>
      <c r="BE4" s="5464"/>
      <c r="BF4" s="5700"/>
      <c r="BG4" s="5700"/>
      <c r="BH4" s="5700"/>
      <c r="BI4" s="5462"/>
      <c r="EH4" s="6002"/>
      <c r="EI4" s="6002"/>
      <c r="EJ4" s="5220"/>
      <c r="EK4" s="5220"/>
      <c r="EL4" s="5270"/>
      <c r="EM4" s="5220"/>
      <c r="EN4" s="6002"/>
      <c r="EO4" s="5220"/>
      <c r="EP4" s="5220"/>
      <c r="EQ4" s="5220"/>
      <c r="ER4" s="5220"/>
      <c r="ES4" s="5220"/>
      <c r="ET4" s="5220"/>
      <c r="EU4" s="5220"/>
      <c r="EV4" s="5220"/>
      <c r="EW4" s="5220"/>
      <c r="EX4" s="5220"/>
      <c r="EY4" s="5220"/>
      <c r="EZ4" s="470"/>
      <c r="FN4" s="5221"/>
      <c r="FO4" s="5221"/>
      <c r="FP4" s="5221"/>
      <c r="FQ4" s="5221"/>
      <c r="FR4" s="5221"/>
      <c r="FS4" s="5221"/>
      <c r="FT4" s="5221"/>
    </row>
    <row r="5" spans="1:176" s="4609" customFormat="1" ht="11.25" customHeight="1">
      <c r="A5" s="525"/>
      <c r="B5" s="174"/>
      <c r="C5" s="174"/>
      <c r="D5" s="174"/>
      <c r="E5" s="174"/>
      <c r="F5" s="174"/>
      <c r="G5" s="13"/>
      <c r="H5" s="13"/>
      <c r="I5" s="13"/>
      <c r="J5" s="13"/>
      <c r="K5" s="13"/>
      <c r="L5" s="13"/>
      <c r="M5" s="13"/>
      <c r="N5" s="13"/>
      <c r="O5" s="13"/>
      <c r="P5" s="5700"/>
      <c r="Q5" s="5700"/>
      <c r="R5" s="5700"/>
      <c r="S5" s="5700"/>
      <c r="T5" s="5700"/>
      <c r="U5" s="5700"/>
      <c r="V5" s="5692"/>
      <c r="W5" s="5692"/>
      <c r="X5" s="5692"/>
      <c r="Y5" s="5701"/>
      <c r="Z5" s="5700"/>
      <c r="AA5" s="5692"/>
      <c r="AB5" s="5692"/>
      <c r="AC5" s="5702"/>
      <c r="AD5" s="5692"/>
      <c r="AE5" s="5700"/>
      <c r="AF5" s="5700"/>
      <c r="AG5" s="5700"/>
      <c r="AH5" s="5700"/>
      <c r="AI5" s="5700"/>
      <c r="AJ5" s="5700"/>
      <c r="AK5" s="5700"/>
      <c r="AL5" s="5700"/>
      <c r="AM5" s="5700"/>
      <c r="AN5" s="5700"/>
      <c r="AO5" s="5700"/>
      <c r="AP5" s="5700"/>
      <c r="AQ5" s="5700"/>
      <c r="AR5" s="5700"/>
      <c r="AS5" s="5700"/>
      <c r="AT5" s="5700"/>
      <c r="AU5" s="5700"/>
      <c r="AV5" s="5700"/>
      <c r="AW5" s="5700"/>
      <c r="AX5" s="5700"/>
      <c r="AY5" s="5700"/>
      <c r="AZ5" s="5700"/>
      <c r="BA5" s="5700"/>
      <c r="BB5" s="5700"/>
      <c r="BC5" s="5700"/>
      <c r="BD5" s="5700"/>
      <c r="BE5" s="5700"/>
      <c r="BF5" s="5700"/>
      <c r="BG5" s="5700"/>
      <c r="BH5" s="5700"/>
      <c r="BI5" s="5700"/>
      <c r="BJ5" s="5700"/>
      <c r="BK5" s="5700"/>
      <c r="BL5" s="5700"/>
      <c r="BM5" s="5700"/>
      <c r="BN5" s="5700"/>
      <c r="BO5" s="5703" t="s">
        <v>391</v>
      </c>
      <c r="BP5" s="5703"/>
      <c r="BQ5" s="5703"/>
      <c r="BR5" s="5703"/>
      <c r="BS5" s="5703"/>
      <c r="BT5" s="7"/>
      <c r="BU5" s="5700"/>
      <c r="BV5" s="5700"/>
      <c r="BW5" s="5700"/>
      <c r="BX5" s="5700"/>
      <c r="BY5" s="5703" t="s">
        <v>688</v>
      </c>
      <c r="BZ5" s="5703"/>
      <c r="CA5" s="5703"/>
      <c r="CB5" s="5703"/>
      <c r="CC5" s="5703"/>
      <c r="CD5" s="7"/>
      <c r="CE5" s="5700"/>
      <c r="CF5" s="5700"/>
      <c r="CG5" s="5700"/>
      <c r="CH5" s="5700"/>
      <c r="CI5" s="5700"/>
      <c r="CJ5" s="5700"/>
      <c r="CK5" s="5700"/>
      <c r="CL5" s="5700"/>
      <c r="CM5" s="5700"/>
      <c r="CN5" s="5692"/>
      <c r="CO5" s="5692"/>
      <c r="CP5" s="5692"/>
      <c r="CQ5" s="5692"/>
      <c r="CR5" s="5700"/>
      <c r="CS5" s="5692"/>
      <c r="CT5" s="5692"/>
      <c r="CU5" s="5692"/>
      <c r="CV5" s="5692"/>
      <c r="CW5" s="5700"/>
      <c r="CX5" s="5692"/>
      <c r="CY5" s="5692"/>
      <c r="CZ5" s="5692"/>
      <c r="DA5" s="5692"/>
      <c r="DB5" s="5700"/>
      <c r="DC5" s="5692"/>
      <c r="DD5" s="5692"/>
      <c r="DE5" s="5692"/>
      <c r="DF5" s="5692"/>
      <c r="DG5" s="5692"/>
      <c r="DH5" s="5221"/>
      <c r="DI5" s="5221"/>
      <c r="DJ5" s="5221"/>
      <c r="DK5" s="5221"/>
      <c r="DL5" s="5221"/>
      <c r="DM5" s="5221"/>
      <c r="DN5" s="5221"/>
      <c r="DO5" s="5221"/>
      <c r="DP5" s="5221"/>
      <c r="DQ5" s="5221"/>
      <c r="DR5" s="5221"/>
      <c r="DS5" s="5221"/>
      <c r="DT5" s="5221"/>
      <c r="DU5" s="5221"/>
      <c r="DV5" s="4746"/>
      <c r="DW5" s="5220"/>
      <c r="DX5" s="5233"/>
      <c r="DY5" s="5220"/>
      <c r="DZ5" s="5220"/>
      <c r="EA5" s="5759"/>
      <c r="EB5" s="8"/>
      <c r="EJ5" s="6060"/>
      <c r="EK5" s="6060"/>
      <c r="EL5" s="5270"/>
      <c r="EM5" s="5220"/>
      <c r="EO5" s="5220"/>
      <c r="EP5" s="5220"/>
      <c r="EQ5" s="5220"/>
      <c r="ER5" s="5220"/>
      <c r="ES5" s="5220"/>
      <c r="ET5" s="5220"/>
      <c r="EU5" s="5220"/>
      <c r="EV5" s="5220"/>
      <c r="EW5" s="5220"/>
      <c r="EX5" s="5220"/>
      <c r="EY5" s="5220"/>
      <c r="EZ5" s="13"/>
      <c r="FA5" s="5704" t="s">
        <v>853</v>
      </c>
      <c r="FB5" s="5704" t="s">
        <v>853</v>
      </c>
      <c r="FC5" s="5704" t="s">
        <v>853</v>
      </c>
      <c r="FD5" s="5704" t="s">
        <v>853</v>
      </c>
      <c r="FE5" s="5704" t="s">
        <v>853</v>
      </c>
      <c r="FF5" s="5704" t="s">
        <v>853</v>
      </c>
      <c r="FG5" s="5704" t="s">
        <v>854</v>
      </c>
      <c r="FH5" s="5704" t="s">
        <v>854</v>
      </c>
      <c r="FI5" s="5704" t="s">
        <v>854</v>
      </c>
      <c r="FJ5" s="5704" t="s">
        <v>854</v>
      </c>
      <c r="FK5" s="5704" t="s">
        <v>854</v>
      </c>
      <c r="FL5" s="5704" t="s">
        <v>854</v>
      </c>
      <c r="FN5" s="5221"/>
      <c r="FO5" s="5221"/>
      <c r="FP5" s="5221"/>
      <c r="FQ5" s="5221"/>
      <c r="FR5" s="5221"/>
      <c r="FS5" s="5221"/>
      <c r="FT5" s="5221"/>
    </row>
    <row r="6" spans="1:176" s="30" customFormat="1" ht="11.25" customHeight="1">
      <c r="A6" s="2915" t="s">
        <v>690</v>
      </c>
      <c r="B6" s="1724" t="s">
        <v>37</v>
      </c>
      <c r="C6" s="1724" t="s">
        <v>38</v>
      </c>
      <c r="D6" s="1724" t="s">
        <v>39</v>
      </c>
      <c r="E6" s="1724" t="s">
        <v>40</v>
      </c>
      <c r="F6" s="1725" t="s">
        <v>41</v>
      </c>
      <c r="G6" s="1724" t="s">
        <v>42</v>
      </c>
      <c r="H6" s="1724" t="s">
        <v>43</v>
      </c>
      <c r="I6" s="1724" t="s">
        <v>44</v>
      </c>
      <c r="J6" s="1724" t="s">
        <v>109</v>
      </c>
      <c r="K6" s="1725" t="s">
        <v>104</v>
      </c>
      <c r="L6" s="1724" t="s">
        <v>111</v>
      </c>
      <c r="M6" s="1724" t="s">
        <v>112</v>
      </c>
      <c r="N6" s="1724" t="s">
        <v>114</v>
      </c>
      <c r="O6" s="1724" t="s">
        <v>115</v>
      </c>
      <c r="P6" s="1725" t="s">
        <v>113</v>
      </c>
      <c r="Q6" s="1724" t="s">
        <v>118</v>
      </c>
      <c r="R6" s="1724" t="s">
        <v>120</v>
      </c>
      <c r="S6" s="1724" t="s">
        <v>122</v>
      </c>
      <c r="T6" s="1724" t="s">
        <v>124</v>
      </c>
      <c r="U6" s="1725" t="s">
        <v>129</v>
      </c>
      <c r="V6" s="1724" t="s">
        <v>125</v>
      </c>
      <c r="W6" s="1724" t="s">
        <v>126</v>
      </c>
      <c r="X6" s="1724" t="s">
        <v>127</v>
      </c>
      <c r="Y6" s="1724" t="s">
        <v>128</v>
      </c>
      <c r="Z6" s="1725" t="s">
        <v>184</v>
      </c>
      <c r="AA6" s="1724" t="s">
        <v>130</v>
      </c>
      <c r="AB6" s="1724" t="s">
        <v>233</v>
      </c>
      <c r="AC6" s="1724" t="s">
        <v>254</v>
      </c>
      <c r="AD6" s="1724" t="s">
        <v>255</v>
      </c>
      <c r="AE6" s="1725" t="s">
        <v>256</v>
      </c>
      <c r="AF6" s="1724" t="s">
        <v>258</v>
      </c>
      <c r="AG6" s="1724" t="s">
        <v>261</v>
      </c>
      <c r="AH6" s="1724" t="s">
        <v>263</v>
      </c>
      <c r="AI6" s="1724" t="s">
        <v>265</v>
      </c>
      <c r="AJ6" s="1725" t="s">
        <v>266</v>
      </c>
      <c r="AK6" s="1724" t="s">
        <v>267</v>
      </c>
      <c r="AL6" s="1724" t="s">
        <v>269</v>
      </c>
      <c r="AM6" s="1724" t="s">
        <v>273</v>
      </c>
      <c r="AN6" s="1724" t="s">
        <v>275</v>
      </c>
      <c r="AO6" s="1725" t="s">
        <v>276</v>
      </c>
      <c r="AP6" s="1724" t="s">
        <v>277</v>
      </c>
      <c r="AQ6" s="1724" t="s">
        <v>278</v>
      </c>
      <c r="AR6" s="1724" t="s">
        <v>281</v>
      </c>
      <c r="AS6" s="1724" t="s">
        <v>285</v>
      </c>
      <c r="AT6" s="1725" t="s">
        <v>286</v>
      </c>
      <c r="AU6" s="1724" t="s">
        <v>300</v>
      </c>
      <c r="AV6" s="1724" t="s">
        <v>2</v>
      </c>
      <c r="AW6" s="1724" t="s">
        <v>5</v>
      </c>
      <c r="AX6" s="1724" t="s">
        <v>10</v>
      </c>
      <c r="AY6" s="1724" t="s">
        <v>11</v>
      </c>
      <c r="AZ6" s="1724" t="s">
        <v>13</v>
      </c>
      <c r="BA6" s="1724" t="s">
        <v>28</v>
      </c>
      <c r="BB6" s="1724" t="s">
        <v>32</v>
      </c>
      <c r="BC6" s="1724" t="s">
        <v>302</v>
      </c>
      <c r="BD6" s="1724" t="s">
        <v>309</v>
      </c>
      <c r="BE6" s="1724" t="s">
        <v>310</v>
      </c>
      <c r="BF6" s="1724" t="s">
        <v>313</v>
      </c>
      <c r="BG6" s="1724" t="s">
        <v>328</v>
      </c>
      <c r="BH6" s="1724" t="s">
        <v>331</v>
      </c>
      <c r="BI6" s="1724" t="s">
        <v>335</v>
      </c>
      <c r="BJ6" s="1724" t="s">
        <v>339</v>
      </c>
      <c r="BK6" s="1724" t="s">
        <v>361</v>
      </c>
      <c r="BL6" s="1724" t="s">
        <v>365</v>
      </c>
      <c r="BM6" s="1724" t="s">
        <v>369</v>
      </c>
      <c r="BN6" s="1724" t="s">
        <v>370</v>
      </c>
      <c r="BO6" s="1726" t="s">
        <v>377</v>
      </c>
      <c r="BP6" s="1726" t="s">
        <v>381</v>
      </c>
      <c r="BQ6" s="1726" t="s">
        <v>383</v>
      </c>
      <c r="BR6" s="1726" t="s">
        <v>384</v>
      </c>
      <c r="BS6" s="1726" t="s">
        <v>385</v>
      </c>
      <c r="BT6" s="1724" t="s">
        <v>377</v>
      </c>
      <c r="BU6" s="1724" t="s">
        <v>381</v>
      </c>
      <c r="BV6" s="1724" t="s">
        <v>383</v>
      </c>
      <c r="BW6" s="1724" t="s">
        <v>384</v>
      </c>
      <c r="BX6" s="1724" t="s">
        <v>385</v>
      </c>
      <c r="BY6" s="1726" t="s">
        <v>386</v>
      </c>
      <c r="BZ6" s="1726" t="s">
        <v>387</v>
      </c>
      <c r="CA6" s="1726" t="s">
        <v>388</v>
      </c>
      <c r="CB6" s="1726" t="s">
        <v>389</v>
      </c>
      <c r="CC6" s="1726" t="s">
        <v>390</v>
      </c>
      <c r="CD6" s="1724" t="s">
        <v>386</v>
      </c>
      <c r="CE6" s="1724" t="s">
        <v>387</v>
      </c>
      <c r="CF6" s="1724" t="s">
        <v>388</v>
      </c>
      <c r="CG6" s="1724" t="s">
        <v>389</v>
      </c>
      <c r="CH6" s="1724" t="s">
        <v>390</v>
      </c>
      <c r="CI6" s="1724" t="s">
        <v>393</v>
      </c>
      <c r="CJ6" s="1724" t="s">
        <v>394</v>
      </c>
      <c r="CK6" s="1724" t="s">
        <v>395</v>
      </c>
      <c r="CL6" s="1724" t="s">
        <v>411</v>
      </c>
      <c r="CM6" s="1724" t="s">
        <v>410</v>
      </c>
      <c r="CN6" s="1724" t="s">
        <v>412</v>
      </c>
      <c r="CO6" s="1724" t="s">
        <v>414</v>
      </c>
      <c r="CP6" s="1724" t="s">
        <v>429</v>
      </c>
      <c r="CQ6" s="1724" t="s">
        <v>475</v>
      </c>
      <c r="CR6" s="1724" t="s">
        <v>476</v>
      </c>
      <c r="CS6" s="1724" t="s">
        <v>493</v>
      </c>
      <c r="CT6" s="1724" t="s">
        <v>513</v>
      </c>
      <c r="CU6" s="1724" t="s">
        <v>519</v>
      </c>
      <c r="CV6" s="1724" t="s">
        <v>531</v>
      </c>
      <c r="CW6" s="1724" t="s">
        <v>532</v>
      </c>
      <c r="CX6" s="1724" t="s">
        <v>542</v>
      </c>
      <c r="CY6" s="1724" t="s">
        <v>664</v>
      </c>
      <c r="CZ6" s="1724" t="s">
        <v>679</v>
      </c>
      <c r="DA6" s="1724" t="s">
        <v>682</v>
      </c>
      <c r="DB6" s="1724" t="s">
        <v>683</v>
      </c>
      <c r="DC6" s="1724" t="s">
        <v>724</v>
      </c>
      <c r="DD6" s="1724" t="s">
        <v>733</v>
      </c>
      <c r="DE6" s="1724" t="s">
        <v>821</v>
      </c>
      <c r="DF6" s="1724" t="s">
        <v>846</v>
      </c>
      <c r="DG6" s="1724" t="s">
        <v>847</v>
      </c>
      <c r="DH6" s="2897" t="s">
        <v>848</v>
      </c>
      <c r="DI6" s="2897" t="s">
        <v>852</v>
      </c>
      <c r="DJ6" s="2897" t="s">
        <v>857</v>
      </c>
      <c r="DK6" s="2897" t="s">
        <v>868</v>
      </c>
      <c r="DL6" s="1724" t="s">
        <v>871</v>
      </c>
      <c r="DM6" s="2897" t="s">
        <v>881</v>
      </c>
      <c r="DN6" s="2897" t="s">
        <v>926</v>
      </c>
      <c r="DO6" s="2897" t="s">
        <v>933</v>
      </c>
      <c r="DP6" s="2897" t="s">
        <v>967</v>
      </c>
      <c r="DQ6" s="1724" t="s">
        <v>968</v>
      </c>
      <c r="DR6" s="2897" t="s">
        <v>993</v>
      </c>
      <c r="DS6" s="2897" t="s">
        <v>998</v>
      </c>
      <c r="DT6" s="2897" t="s">
        <v>999</v>
      </c>
      <c r="DU6" s="2897" t="s">
        <v>1004</v>
      </c>
      <c r="DV6" s="1724" t="s">
        <v>1005</v>
      </c>
      <c r="DW6" s="2897" t="s">
        <v>1006</v>
      </c>
      <c r="DX6" s="2897" t="s">
        <v>1009</v>
      </c>
      <c r="DY6" s="2897" t="s">
        <v>1010</v>
      </c>
      <c r="DZ6" s="2897" t="s">
        <v>1011</v>
      </c>
      <c r="EA6" s="1724" t="s">
        <v>1012</v>
      </c>
      <c r="EB6" s="2897" t="s">
        <v>1036</v>
      </c>
      <c r="EC6" s="2897" t="s">
        <v>1048</v>
      </c>
      <c r="ED6" s="2897" t="s">
        <v>1057</v>
      </c>
      <c r="EE6" s="2897" t="s">
        <v>1080</v>
      </c>
      <c r="EF6" s="1724" t="s">
        <v>1081</v>
      </c>
      <c r="EG6" s="2897" t="s">
        <v>1097</v>
      </c>
      <c r="EH6" s="2897" t="s">
        <v>1102</v>
      </c>
      <c r="EI6" s="2897" t="s">
        <v>1115</v>
      </c>
      <c r="EJ6" s="2897" t="s">
        <v>1119</v>
      </c>
      <c r="EK6" s="1724" t="s">
        <v>1120</v>
      </c>
      <c r="EL6" s="6063" t="s">
        <v>1133</v>
      </c>
      <c r="EM6" s="6063" t="s">
        <v>1168</v>
      </c>
      <c r="EN6" s="2897" t="s">
        <v>1197</v>
      </c>
      <c r="EO6" s="6063" t="s">
        <v>1052</v>
      </c>
      <c r="EP6" s="6063" t="s">
        <v>862</v>
      </c>
      <c r="EQ6" s="6063" t="s">
        <v>1194</v>
      </c>
      <c r="ER6" s="6063" t="s">
        <v>1195</v>
      </c>
      <c r="ES6" s="6063" t="s">
        <v>1193</v>
      </c>
      <c r="ET6" s="6063" t="s">
        <v>1196</v>
      </c>
      <c r="EU6" s="6063" t="s">
        <v>918</v>
      </c>
      <c r="EV6" s="6063" t="s">
        <v>997</v>
      </c>
      <c r="EW6" s="6063" t="s">
        <v>1053</v>
      </c>
      <c r="EX6" s="6063" t="s">
        <v>1110</v>
      </c>
      <c r="EY6" s="6063" t="s">
        <v>1201</v>
      </c>
      <c r="EZ6" s="492"/>
      <c r="FA6" s="1341" t="s">
        <v>863</v>
      </c>
      <c r="FB6" s="1341" t="s">
        <v>983</v>
      </c>
      <c r="FC6" s="1341" t="s">
        <v>1056</v>
      </c>
      <c r="FD6" s="1341" t="s">
        <v>1046</v>
      </c>
      <c r="FE6" s="1341" t="s">
        <v>1083</v>
      </c>
      <c r="FF6" s="1341" t="s">
        <v>1131</v>
      </c>
      <c r="FG6" s="1341" t="s">
        <v>864</v>
      </c>
      <c r="FH6" s="1341" t="s">
        <v>984</v>
      </c>
      <c r="FI6" s="1341" t="s">
        <v>1001</v>
      </c>
      <c r="FJ6" s="1341" t="s">
        <v>1047</v>
      </c>
      <c r="FK6" s="1341" t="s">
        <v>1084</v>
      </c>
      <c r="FL6" s="1341" t="s">
        <v>1132</v>
      </c>
    </row>
    <row r="7" spans="1:176" s="151" customFormat="1" ht="11.25" customHeight="1">
      <c r="A7" s="3729" t="s">
        <v>179</v>
      </c>
      <c r="B7" s="5373"/>
      <c r="C7" s="5373"/>
      <c r="D7" s="5373"/>
      <c r="E7" s="5374"/>
      <c r="F7" s="5375">
        <v>0.22</v>
      </c>
      <c r="G7" s="5373"/>
      <c r="H7" s="5373"/>
      <c r="I7" s="5373"/>
      <c r="J7" s="5374"/>
      <c r="K7" s="5375">
        <v>19.108000000000001</v>
      </c>
      <c r="L7" s="5373"/>
      <c r="M7" s="5373"/>
      <c r="N7" s="5373"/>
      <c r="O7" s="5374"/>
      <c r="P7" s="5375">
        <v>86.426000000000002</v>
      </c>
      <c r="Q7" s="5373">
        <v>42.284999999999997</v>
      </c>
      <c r="R7" s="5373">
        <v>78.525000000000006</v>
      </c>
      <c r="S7" s="5373">
        <v>130.78700000000001</v>
      </c>
      <c r="T7" s="5374">
        <v>187.911</v>
      </c>
      <c r="U7" s="5375">
        <f>SUM(Q7:T7)</f>
        <v>439.50800000000004</v>
      </c>
      <c r="V7" s="5376">
        <v>248.61799999999999</v>
      </c>
      <c r="W7" s="5373">
        <v>311.19900000000001</v>
      </c>
      <c r="X7" s="5373">
        <v>393.94200000000001</v>
      </c>
      <c r="Y7" s="5374">
        <v>512.17499999999995</v>
      </c>
      <c r="Z7" s="5375">
        <f>Z9+Z8</f>
        <v>1465.934</v>
      </c>
      <c r="AA7" s="5376">
        <v>651.62300000000005</v>
      </c>
      <c r="AB7" s="5373">
        <v>700.21199999999999</v>
      </c>
      <c r="AC7" s="5373">
        <v>805.88699999999994</v>
      </c>
      <c r="AD7" s="5374">
        <v>1031.501</v>
      </c>
      <c r="AE7" s="5375">
        <f>SUM(AA7:AD7)</f>
        <v>3189.223</v>
      </c>
      <c r="AF7" s="5376">
        <v>1256.5160000000001</v>
      </c>
      <c r="AG7" s="5373">
        <v>1384.4949999999999</v>
      </c>
      <c r="AH7" s="5373">
        <v>1578.4559999999999</v>
      </c>
      <c r="AI7" s="5374">
        <v>1919.0930000000001</v>
      </c>
      <c r="AJ7" s="5375">
        <f>SUM(AF7:AI7)</f>
        <v>6138.5599999999995</v>
      </c>
      <c r="AK7" s="5373">
        <v>2253.7550000000001</v>
      </c>
      <c r="AL7" s="5373">
        <v>2455.991</v>
      </c>
      <c r="AM7" s="5373">
        <v>2689.6729999999998</v>
      </c>
      <c r="AN7" s="5374">
        <v>3205.498</v>
      </c>
      <c r="AO7" s="5375">
        <f>SUM(AK7:AN7)</f>
        <v>10604.916999999999</v>
      </c>
      <c r="AP7" s="5373">
        <v>3663.971</v>
      </c>
      <c r="AQ7" s="5373">
        <v>3871.9850000000001</v>
      </c>
      <c r="AR7" s="5373">
        <v>4231.3509999999997</v>
      </c>
      <c r="AS7" s="5374">
        <v>4826.6790000000001</v>
      </c>
      <c r="AT7" s="5375">
        <f>SUM(AP7:AS7)</f>
        <v>16593.986000000001</v>
      </c>
      <c r="AU7" s="5373">
        <v>5186.0429999999997</v>
      </c>
      <c r="AV7" s="5373">
        <v>5367.2120000000004</v>
      </c>
      <c r="AW7" s="5373">
        <v>5541.3909999999996</v>
      </c>
      <c r="AX7" s="5374">
        <f>5700.904</f>
        <v>5700.9040000000005</v>
      </c>
      <c r="AY7" s="5375">
        <f>SUM(AU7:AX7)</f>
        <v>21795.550000000003</v>
      </c>
      <c r="AZ7" s="5373">
        <v>5508.99</v>
      </c>
      <c r="BA7" s="5373">
        <v>5522.8969999999999</v>
      </c>
      <c r="BB7" s="5373">
        <v>5944.8509999999997</v>
      </c>
      <c r="BC7" s="5373">
        <f>6673.825</f>
        <v>6673.8249999999998</v>
      </c>
      <c r="BD7" s="5377">
        <f>SUM(AZ7:BC7)</f>
        <v>23650.562999999998</v>
      </c>
      <c r="BE7" s="5378">
        <v>6775</v>
      </c>
      <c r="BF7" s="5379">
        <v>6820</v>
      </c>
      <c r="BG7" s="5379">
        <v>7286</v>
      </c>
      <c r="BH7" s="5379">
        <f>8440</f>
        <v>8440</v>
      </c>
      <c r="BI7" s="5465">
        <f>SUM(BE7:BH7)</f>
        <v>29321</v>
      </c>
      <c r="BJ7" s="5379">
        <v>8575</v>
      </c>
      <c r="BK7" s="5379">
        <v>9026</v>
      </c>
      <c r="BL7" s="5379">
        <v>9720</v>
      </c>
      <c r="BM7" s="5379">
        <v>10584</v>
      </c>
      <c r="BN7" s="5465">
        <f>SUM(BJ7:BM7)</f>
        <v>37905</v>
      </c>
      <c r="BO7" s="5379">
        <v>10645</v>
      </c>
      <c r="BP7" s="5379">
        <v>12214</v>
      </c>
      <c r="BQ7" s="5379">
        <v>14101</v>
      </c>
      <c r="BR7" s="5380">
        <v>14419</v>
      </c>
      <c r="BS7" s="5381">
        <v>51379</v>
      </c>
      <c r="BT7" s="5379">
        <f>'Revenue Drivers'!BT69</f>
        <v>10645</v>
      </c>
      <c r="BU7" s="5379">
        <f>'Revenue Drivers'!BU69</f>
        <v>10964</v>
      </c>
      <c r="BV7" s="5379">
        <f>'Revenue Drivers'!BV69</f>
        <v>11526</v>
      </c>
      <c r="BW7" s="5379">
        <f>'Revenue Drivers'!BW69</f>
        <v>12905</v>
      </c>
      <c r="BX7" s="5473">
        <v>46039</v>
      </c>
      <c r="BY7" s="5485">
        <f>'Revenue Drivers'!BY69</f>
        <v>0</v>
      </c>
      <c r="BZ7" s="5485">
        <f>'Revenue Drivers'!BZ69</f>
        <v>0</v>
      </c>
      <c r="CA7" s="5485">
        <f>'Revenue Drivers'!CA69</f>
        <v>0</v>
      </c>
      <c r="CB7" s="5485">
        <f>'Revenue Drivers'!CB69</f>
        <v>0</v>
      </c>
      <c r="CC7" s="5465">
        <f>'Revenue Drivers'!CC69</f>
        <v>0</v>
      </c>
      <c r="CD7" s="5485">
        <f>'Revenue Drivers'!CD69</f>
        <v>12951</v>
      </c>
      <c r="CE7" s="5485">
        <f>'Revenue Drivers'!CE69</f>
        <v>13107</v>
      </c>
      <c r="CF7" s="5485">
        <f>'Revenue Drivers'!CF69</f>
        <v>13754</v>
      </c>
      <c r="CG7" s="5485">
        <f>'Revenue Drivers'!CG69</f>
        <v>15707</v>
      </c>
      <c r="CH7" s="5465">
        <f>'Revenue Drivers'!CH69</f>
        <v>55519</v>
      </c>
      <c r="CI7" s="5485">
        <f>'Revenue Drivers'!CI69</f>
        <v>15420</v>
      </c>
      <c r="CJ7" s="5485">
        <f>'Revenue Drivers'!CJ69</f>
        <v>15955</v>
      </c>
      <c r="CK7" s="5485">
        <f>'Revenue Drivers'!CK69</f>
        <v>16523</v>
      </c>
      <c r="CL7" s="5485">
        <f>'Revenue Drivers'!CL69</f>
        <v>18103</v>
      </c>
      <c r="CM7" s="5465">
        <f>'Revenue Drivers'!CM69</f>
        <v>66001</v>
      </c>
      <c r="CN7" s="5485">
        <f>'Revenue Drivers'!CN69</f>
        <v>17258</v>
      </c>
      <c r="CO7" s="5485">
        <f>'Revenue Drivers'!CO69</f>
        <v>17727</v>
      </c>
      <c r="CP7" s="5485">
        <f>'Revenue Drivers'!CP69</f>
        <v>18675</v>
      </c>
      <c r="CQ7" s="5485">
        <f>'Revenue Drivers'!CQ69</f>
        <v>21329</v>
      </c>
      <c r="CR7" s="5465">
        <f>'Revenue Drivers'!CR69</f>
        <v>74989</v>
      </c>
      <c r="CS7" s="5485">
        <f>'Revenue Drivers'!CS69</f>
        <v>20257</v>
      </c>
      <c r="CT7" s="5485">
        <f>'Revenue Drivers'!CT69</f>
        <v>21500</v>
      </c>
      <c r="CU7" s="5485">
        <f>'Revenue Drivers'!CU69</f>
        <v>22451</v>
      </c>
      <c r="CV7" s="5485">
        <f>'Revenue Drivers'!CV69</f>
        <v>26064</v>
      </c>
      <c r="CW7" s="5465">
        <f>'Revenue Drivers'!CW69</f>
        <v>90272</v>
      </c>
      <c r="CX7" s="5485">
        <f>'Revenue Drivers'!CX69</f>
        <v>24750</v>
      </c>
      <c r="CY7" s="5485">
        <f>'Revenue Drivers'!CY69</f>
        <v>26010</v>
      </c>
      <c r="CZ7" s="5485">
        <f>'Revenue Drivers'!CZ69</f>
        <v>27772</v>
      </c>
      <c r="DA7" s="5485">
        <f>'Revenue Drivers'!DA69</f>
        <v>32323</v>
      </c>
      <c r="DB7" s="5465">
        <f>'Revenue Drivers'!DB69</f>
        <v>110855</v>
      </c>
      <c r="DC7" s="5485">
        <f>'Revenue Drivers'!DC69</f>
        <v>31146</v>
      </c>
      <c r="DD7" s="5485">
        <f>'Revenue Drivers'!DD69</f>
        <v>32657</v>
      </c>
      <c r="DE7" s="5485">
        <f>'Revenue Drivers'!DE69</f>
        <v>33740</v>
      </c>
      <c r="DF7" s="5485">
        <f>'Revenue Drivers'!DF69</f>
        <v>39276</v>
      </c>
      <c r="DG7" s="5465">
        <f>'Revenue Drivers'!DG69</f>
        <v>136819</v>
      </c>
      <c r="DH7" s="5485">
        <f>'Revenue Drivers'!DH69</f>
        <v>36339</v>
      </c>
      <c r="DI7" s="5485">
        <f>'Revenue Drivers'!DI69</f>
        <v>38944</v>
      </c>
      <c r="DJ7" s="5485">
        <f>'Revenue Drivers'!DJ69</f>
        <v>40499</v>
      </c>
      <c r="DK7" s="5485">
        <f>'Revenue Drivers'!DK69</f>
        <v>46075</v>
      </c>
      <c r="DL7" s="5465">
        <f>'Revenue Drivers'!DL69</f>
        <v>161857</v>
      </c>
      <c r="DM7" s="5485">
        <f>'Revenue Drivers'!DM69</f>
        <v>41159</v>
      </c>
      <c r="DN7" s="5485">
        <f>'Revenue Drivers'!DN69</f>
        <v>38297</v>
      </c>
      <c r="DO7" s="5485">
        <f>'Revenue Drivers'!DO69</f>
        <v>46173</v>
      </c>
      <c r="DP7" s="5486">
        <f>'Revenue Drivers'!DP69</f>
        <v>56898</v>
      </c>
      <c r="DQ7" s="5465">
        <f>'Revenue Drivers'!DQ69</f>
        <v>182527</v>
      </c>
      <c r="DR7" s="5486">
        <f>'Revenue Drivers'!DR69</f>
        <v>55314</v>
      </c>
      <c r="DS7" s="5485">
        <f>'Revenue Drivers'!DS69</f>
        <v>61880</v>
      </c>
      <c r="DT7" s="5485">
        <f>'Revenue Drivers'!DT69</f>
        <v>65118</v>
      </c>
      <c r="DU7" s="5486">
        <f>'Revenue Drivers'!DU69</f>
        <v>75325</v>
      </c>
      <c r="DV7" s="5465">
        <f>'Revenue Drivers'!DV69</f>
        <v>257637</v>
      </c>
      <c r="DW7" s="5486">
        <f>'Revenue Drivers'!DW69</f>
        <v>68011</v>
      </c>
      <c r="DX7" s="5485">
        <f>'Revenue Drivers'!DX69</f>
        <v>69685</v>
      </c>
      <c r="DY7" s="5485">
        <f>'Revenue Drivers'!DY69</f>
        <v>69092</v>
      </c>
      <c r="DZ7" s="5486">
        <f>'Revenue Drivers'!DZ69</f>
        <v>76048</v>
      </c>
      <c r="EA7" s="5465">
        <f>'Revenue Drivers'!EA69</f>
        <v>282836</v>
      </c>
      <c r="EB7" s="5486">
        <f>'Revenue Drivers'!EB69</f>
        <v>69787</v>
      </c>
      <c r="EC7" s="5485">
        <f>'Revenue Drivers'!EC69</f>
        <v>74604</v>
      </c>
      <c r="ED7" s="5485">
        <f>'Revenue Drivers'!ED69</f>
        <v>76693</v>
      </c>
      <c r="EE7" s="5486">
        <f>'Revenue Drivers'!EE69</f>
        <v>86310</v>
      </c>
      <c r="EF7" s="5377">
        <f>'Revenue Drivers'!EF69</f>
        <v>307394</v>
      </c>
      <c r="EG7" s="5486">
        <f>'Revenue Drivers'!EG69</f>
        <v>80539</v>
      </c>
      <c r="EH7" s="5485">
        <f>'Revenue Drivers'!EH69</f>
        <v>84742</v>
      </c>
      <c r="EI7" s="5485">
        <f>'Revenue Drivers'!EI69</f>
        <v>88268</v>
      </c>
      <c r="EJ7" s="5486">
        <f>'Revenue Drivers'!EJ69</f>
        <v>96469</v>
      </c>
      <c r="EK7" s="5377">
        <f>'Revenue Drivers'!EK69</f>
        <v>350018</v>
      </c>
      <c r="EL7" s="5486">
        <f>'Revenue Drivers'!EL69</f>
        <v>90234</v>
      </c>
      <c r="EM7" s="5485">
        <f>'Revenue Drivers'!EM69</f>
        <v>96428</v>
      </c>
      <c r="EN7" s="5485">
        <f>'Revenue Drivers'!EN69</f>
        <v>102346</v>
      </c>
      <c r="EO7" s="5382">
        <f>'Revenue Drivers'!EO69</f>
        <v>112246.33430067294</v>
      </c>
      <c r="EP7" s="5377">
        <f>'Revenue Drivers'!EP69</f>
        <v>401254.33430067293</v>
      </c>
      <c r="EQ7" s="5382">
        <f>'Revenue Drivers'!EQ69</f>
        <v>106324.51246813085</v>
      </c>
      <c r="ER7" s="5382">
        <f>'Revenue Drivers'!ER69</f>
        <v>112613.41348835241</v>
      </c>
      <c r="ES7" s="5382">
        <f>'Revenue Drivers'!ES69</f>
        <v>118888.45645648654</v>
      </c>
      <c r="ET7" s="5382">
        <f>'Revenue Drivers'!ET69</f>
        <v>130475.26993554858</v>
      </c>
      <c r="EU7" s="5377">
        <f>'Revenue Drivers'!EU69</f>
        <v>468301.65234851843</v>
      </c>
      <c r="EV7" s="5377">
        <f>'Revenue Drivers'!EV69</f>
        <v>530735.52121275011</v>
      </c>
      <c r="EW7" s="5377">
        <f>'Revenue Drivers'!EW69</f>
        <v>594221.93512936914</v>
      </c>
      <c r="EX7" s="5377">
        <f>'Revenue Drivers'!EX69</f>
        <v>657093.77916525898</v>
      </c>
      <c r="EY7" s="5377">
        <f>'Revenue Drivers'!EY69</f>
        <v>722335.86960670422</v>
      </c>
      <c r="EZ7" s="619"/>
      <c r="FA7" s="1319">
        <f t="shared" ref="FA7:FA13" si="0">(EA7/DL7)^(1/3)-1</f>
        <v>0.20448408696845743</v>
      </c>
      <c r="FB7" s="1319">
        <f>(EF7/DQ7)^(1/3)-1</f>
        <v>0.18975103192175369</v>
      </c>
      <c r="FC7" s="1319">
        <f>(EK7/DV7)^(1/3)-1</f>
        <v>0.10754330242226517</v>
      </c>
      <c r="FD7" s="1319">
        <f>(EP7/EA7)^(1/3)-1</f>
        <v>0.12364299847511973</v>
      </c>
      <c r="FE7" s="1319">
        <f>(EU7/EF7)^(1/3)-1</f>
        <v>0.15065051086396708</v>
      </c>
      <c r="FF7" s="1319">
        <f>(EV7/EK7)^(1/3)-1</f>
        <v>0.14884805174012783</v>
      </c>
      <c r="FG7" s="1319">
        <f t="shared" ref="FG7:FG13" si="1">(EK7/DL7)^(1/5)-1</f>
        <v>0.16678752868181101</v>
      </c>
      <c r="FH7" s="1319">
        <f>(EP7/DQ7)^(1/5)-1</f>
        <v>0.17062696618692219</v>
      </c>
      <c r="FI7" s="1319">
        <f>(EU7/DV7)^(1/5)-1</f>
        <v>0.12694699885021232</v>
      </c>
      <c r="FJ7" s="1319">
        <f>(EV7/EA7)^(1/5)-1</f>
        <v>0.13414529045922707</v>
      </c>
      <c r="FK7" s="1319">
        <f t="shared" ref="FK7:FK13" si="2">(EW7/EF7)^(1/5)-1</f>
        <v>0.14090808724642967</v>
      </c>
      <c r="FL7" s="1319">
        <f>(EX7/EK7)^(1/5)-1</f>
        <v>0.13424636296782211</v>
      </c>
    </row>
    <row r="8" spans="1:176" s="4" customFormat="1" ht="11.25" customHeight="1">
      <c r="A8" s="3730" t="s">
        <v>176</v>
      </c>
      <c r="B8" s="5070"/>
      <c r="C8" s="5070"/>
      <c r="D8" s="5070"/>
      <c r="E8" s="5383"/>
      <c r="F8" s="5406">
        <v>0</v>
      </c>
      <c r="G8" s="5070"/>
      <c r="H8" s="5070"/>
      <c r="I8" s="5070"/>
      <c r="J8" s="5383"/>
      <c r="K8" s="5406">
        <v>0</v>
      </c>
      <c r="L8" s="5070"/>
      <c r="M8" s="5070"/>
      <c r="N8" s="5070"/>
      <c r="O8" s="5383"/>
      <c r="P8" s="5411">
        <v>0</v>
      </c>
      <c r="Q8" s="501">
        <f>'Revenue Drivers'!Q105</f>
        <v>0</v>
      </c>
      <c r="R8" s="5070">
        <f>'Revenue Drivers'!R105</f>
        <v>14</v>
      </c>
      <c r="S8" s="5070">
        <f>'Revenue Drivers'!S105</f>
        <v>29</v>
      </c>
      <c r="T8" s="5383">
        <f>'Revenue Drivers'!T105</f>
        <v>51.5</v>
      </c>
      <c r="U8" s="5406">
        <v>94.5</v>
      </c>
      <c r="V8" s="5384">
        <f>'Revenue Drivers'!V105</f>
        <v>70.131</v>
      </c>
      <c r="W8" s="5070">
        <f>'Revenue Drivers'!W105</f>
        <v>96.558999999999997</v>
      </c>
      <c r="X8" s="5070">
        <f>'Revenue Drivers'!X105</f>
        <v>143.48699999999999</v>
      </c>
      <c r="Y8" s="5383">
        <f>'Revenue Drivers'!Y105</f>
        <v>216.35599999999999</v>
      </c>
      <c r="Z8" s="5397">
        <f>SUM(V8:Y8)</f>
        <v>526.53300000000002</v>
      </c>
      <c r="AA8" s="5384">
        <f>'Revenue Drivers'!AA105</f>
        <v>271.00200000000001</v>
      </c>
      <c r="AB8" s="5070">
        <f>'Revenue Drivers'!AB105</f>
        <v>277.03399999999999</v>
      </c>
      <c r="AC8" s="5070">
        <f>'Revenue Drivers'!AC105</f>
        <v>302.89999999999998</v>
      </c>
      <c r="AD8" s="5383">
        <f>'Revenue Drivers'!AD105</f>
        <v>377.70800000000003</v>
      </c>
      <c r="AE8" s="5397">
        <f>SUM(AA8:AD8)</f>
        <v>1228.644</v>
      </c>
      <c r="AF8" s="5414">
        <v>461.80700000000002</v>
      </c>
      <c r="AG8" s="5069">
        <v>494.32</v>
      </c>
      <c r="AH8" s="5069">
        <v>529.87400000000002</v>
      </c>
      <c r="AI8" s="5386">
        <v>628.94100000000003</v>
      </c>
      <c r="AJ8" s="5397">
        <f>SUM(AF8:AI8)</f>
        <v>2114.942</v>
      </c>
      <c r="AK8" s="5069">
        <v>722.73599999999999</v>
      </c>
      <c r="AL8" s="5069">
        <v>785.15899999999999</v>
      </c>
      <c r="AM8" s="5069">
        <v>825.26400000000001</v>
      </c>
      <c r="AN8" s="5386">
        <v>975.61800000000005</v>
      </c>
      <c r="AO8" s="5397">
        <f>SUM(AK8:AN8)</f>
        <v>3308.777</v>
      </c>
      <c r="AP8" s="5069">
        <v>1125.0319999999999</v>
      </c>
      <c r="AQ8" s="5069">
        <v>1147.913</v>
      </c>
      <c r="AR8" s="5069">
        <v>1221.1199999999999</v>
      </c>
      <c r="AS8" s="5386">
        <f>1439.814</f>
        <v>1439.8140000000001</v>
      </c>
      <c r="AT8" s="5397">
        <f>SUM(AP8:AS8)</f>
        <v>4933.8789999999999</v>
      </c>
      <c r="AU8" s="5069">
        <f>1486.384</f>
        <v>1486.384</v>
      </c>
      <c r="AV8" s="5069">
        <v>1473.98</v>
      </c>
      <c r="AW8" s="5069">
        <v>1495.2059999999999</v>
      </c>
      <c r="AX8" s="5386">
        <v>1483.3820000000001</v>
      </c>
      <c r="AY8" s="5397">
        <f>SUM(AU8:AX8)</f>
        <v>5938.9519999999993</v>
      </c>
      <c r="AZ8" s="5069">
        <v>1435.96</v>
      </c>
      <c r="BA8" s="5069">
        <v>1453.354</v>
      </c>
      <c r="BB8" s="5069">
        <v>1559.2159999999999</v>
      </c>
      <c r="BC8" s="5069">
        <v>1720.886</v>
      </c>
      <c r="BD8" s="5410">
        <f>SUM(AZ8:BC8)</f>
        <v>6169.4160000000011</v>
      </c>
      <c r="BE8" s="5385">
        <v>1711</v>
      </c>
      <c r="BF8" s="5069">
        <v>1732</v>
      </c>
      <c r="BG8" s="5069">
        <v>1805</v>
      </c>
      <c r="BH8" s="5069">
        <f>2069</f>
        <v>2069</v>
      </c>
      <c r="BI8" s="5475">
        <f>SUM(BE8:BH8)</f>
        <v>7317</v>
      </c>
      <c r="BJ8" s="5069">
        <v>2038</v>
      </c>
      <c r="BK8" s="5069">
        <v>2110</v>
      </c>
      <c r="BL8" s="5069">
        <v>2210</v>
      </c>
      <c r="BM8" s="5069">
        <v>2450</v>
      </c>
      <c r="BN8" s="5475">
        <f>SUM(BJ8:BM8)</f>
        <v>8808</v>
      </c>
      <c r="BO8" s="5069">
        <v>2510</v>
      </c>
      <c r="BP8" s="5069">
        <v>2600</v>
      </c>
      <c r="BQ8" s="5069">
        <v>2770</v>
      </c>
      <c r="BR8" s="5386">
        <v>3080</v>
      </c>
      <c r="BS8" s="5387">
        <v>10960</v>
      </c>
      <c r="BT8" s="5069">
        <f>+'Revenue Drivers'!BT105</f>
        <v>2510</v>
      </c>
      <c r="BU8" s="5069">
        <f>+'Revenue Drivers'!BU105</f>
        <v>2600</v>
      </c>
      <c r="BV8" s="5069">
        <f>+'Revenue Drivers'!BV105</f>
        <v>2770</v>
      </c>
      <c r="BW8" s="5069">
        <f>+'Revenue Drivers'!BW105</f>
        <v>3080</v>
      </c>
      <c r="BX8" s="5466">
        <v>10956</v>
      </c>
      <c r="BY8" s="4864">
        <v>2962</v>
      </c>
      <c r="BZ8" s="4864">
        <v>3013</v>
      </c>
      <c r="CA8" s="4864">
        <v>2972</v>
      </c>
      <c r="CB8" s="4864">
        <v>3310</v>
      </c>
      <c r="CC8" s="5475">
        <v>12257</v>
      </c>
      <c r="CD8" s="4864">
        <f>'Revenue Drivers'!CD105</f>
        <v>2962</v>
      </c>
      <c r="CE8" s="4864">
        <f>'Revenue Drivers'!CE105</f>
        <v>3013</v>
      </c>
      <c r="CF8" s="4864">
        <f>'Revenue Drivers'!CF105</f>
        <v>2972</v>
      </c>
      <c r="CG8" s="4864">
        <f>'Revenue Drivers'!CG105</f>
        <v>3310</v>
      </c>
      <c r="CH8" s="5466">
        <v>12258</v>
      </c>
      <c r="CI8" s="4864">
        <v>3232</v>
      </c>
      <c r="CJ8" s="4864">
        <f>'Revenue Drivers'!CJ105</f>
        <v>3293</v>
      </c>
      <c r="CK8" s="4864">
        <f>'Revenue Drivers'!CK105</f>
        <v>3348</v>
      </c>
      <c r="CL8" s="4864">
        <f>'Revenue Drivers'!CL105</f>
        <v>3620</v>
      </c>
      <c r="CM8" s="5466">
        <v>13497</v>
      </c>
      <c r="CN8" s="4864">
        <v>3345</v>
      </c>
      <c r="CO8" s="4864">
        <f>'Revenue Drivers'!CO105</f>
        <v>3377</v>
      </c>
      <c r="CP8" s="4864">
        <f>'Revenue Drivers'!CP105</f>
        <v>3566</v>
      </c>
      <c r="CQ8" s="4864">
        <f>'Revenue Drivers'!CQ105</f>
        <v>4055</v>
      </c>
      <c r="CR8" s="5475">
        <f>'Revenue Drivers'!CR105</f>
        <v>14343</v>
      </c>
      <c r="CS8" s="4864">
        <f>'Revenue Drivers'!CS105</f>
        <v>3788</v>
      </c>
      <c r="CT8" s="4864">
        <f>'Revenue Drivers'!CT105</f>
        <v>3975</v>
      </c>
      <c r="CU8" s="4864">
        <f>'Revenue Drivers'!CU105</f>
        <v>4182</v>
      </c>
      <c r="CV8" s="4864">
        <f>'Revenue Drivers'!CV105</f>
        <v>4848</v>
      </c>
      <c r="CW8" s="5475">
        <f>'Revenue Drivers'!CW105</f>
        <v>16793</v>
      </c>
      <c r="CX8" s="4864">
        <f>'Revenue Drivers'!CX105</f>
        <v>4629</v>
      </c>
      <c r="CY8" s="4864">
        <f>'Revenue Drivers'!CY105</f>
        <v>5091</v>
      </c>
      <c r="CZ8" s="4864">
        <f>'Revenue Drivers'!CZ105</f>
        <v>5502</v>
      </c>
      <c r="DA8" s="4864">
        <f>'Revenue Drivers'!DA105</f>
        <v>6450</v>
      </c>
      <c r="DB8" s="5475">
        <f>'Revenue Drivers'!DB105</f>
        <v>21672</v>
      </c>
      <c r="DC8" s="4864">
        <f>'Revenue Drivers'!DC105</f>
        <v>6288</v>
      </c>
      <c r="DD8" s="4864">
        <f>'Revenue Drivers'!DD105</f>
        <v>6420</v>
      </c>
      <c r="DE8" s="4864">
        <f>'Revenue Drivers'!DE105</f>
        <v>6582</v>
      </c>
      <c r="DF8" s="4864">
        <f>'Revenue Drivers'!DF105</f>
        <v>7436</v>
      </c>
      <c r="DG8" s="5475">
        <f>'Revenue Drivers'!DG105</f>
        <v>26726</v>
      </c>
      <c r="DH8" s="4864">
        <f>'Revenue Drivers'!DH105</f>
        <v>6860</v>
      </c>
      <c r="DI8" s="4864">
        <f>'Revenue Drivers'!DI105</f>
        <v>7238</v>
      </c>
      <c r="DJ8" s="4864">
        <f>'Revenue Drivers'!DJ105</f>
        <v>7490</v>
      </c>
      <c r="DK8" s="4864">
        <f>'Revenue Drivers'!DK105</f>
        <v>8501</v>
      </c>
      <c r="DL8" s="5475">
        <f>'Revenue Drivers'!DL105</f>
        <v>30089</v>
      </c>
      <c r="DM8" s="4864">
        <f>'Revenue Drivers'!DM105</f>
        <v>7452</v>
      </c>
      <c r="DN8" s="4864">
        <f>'Revenue Drivers'!DN105</f>
        <v>6694</v>
      </c>
      <c r="DO8" s="4864">
        <f>'Revenue Drivers'!DO105</f>
        <v>8166</v>
      </c>
      <c r="DP8" s="4864">
        <f>'Revenue Drivers'!DP105</f>
        <v>10466</v>
      </c>
      <c r="DQ8" s="5475">
        <f>'Revenue Drivers'!DQ105</f>
        <v>32778</v>
      </c>
      <c r="DR8" s="4864">
        <f>'Revenue Drivers'!DR105</f>
        <v>9712</v>
      </c>
      <c r="DS8" s="4864">
        <f>'Revenue Drivers'!DS105</f>
        <v>10929</v>
      </c>
      <c r="DT8" s="4864">
        <f>'Revenue Drivers'!DT105</f>
        <v>11498</v>
      </c>
      <c r="DU8" s="4864">
        <f>'Revenue Drivers'!DU105</f>
        <v>13427</v>
      </c>
      <c r="DV8" s="5475">
        <f>'Revenue Drivers'!DV105</f>
        <v>45566</v>
      </c>
      <c r="DW8" s="4864">
        <f>'Revenue Drivers'!DW105</f>
        <v>11990</v>
      </c>
      <c r="DX8" s="4864">
        <f>'Revenue Drivers'!DX105</f>
        <v>12214</v>
      </c>
      <c r="DY8" s="4864">
        <f>'Revenue Drivers'!DY105</f>
        <v>11826</v>
      </c>
      <c r="DZ8" s="4864">
        <f>'Revenue Drivers'!DZ105</f>
        <v>12925</v>
      </c>
      <c r="EA8" s="5475">
        <f>'Revenue Drivers'!EA105</f>
        <v>48955</v>
      </c>
      <c r="EB8" s="4864">
        <f>'Revenue Drivers'!EB105</f>
        <v>11721</v>
      </c>
      <c r="EC8" s="4864">
        <f>'Revenue Drivers'!EC105</f>
        <v>12537</v>
      </c>
      <c r="ED8" s="4864">
        <f>'Revenue Drivers'!ED105</f>
        <v>12642</v>
      </c>
      <c r="EE8" s="4864">
        <f>'Revenue Drivers'!EE105</f>
        <v>13986</v>
      </c>
      <c r="EF8" s="5475">
        <f>'Revenue Drivers'!EF105</f>
        <v>50886</v>
      </c>
      <c r="EG8" s="4864">
        <f>'Revenue Drivers'!EG105</f>
        <v>12946</v>
      </c>
      <c r="EH8" s="4864">
        <f>'Revenue Drivers'!EH105</f>
        <v>13387</v>
      </c>
      <c r="EI8" s="4864">
        <f>'Revenue Drivers'!EI105</f>
        <v>13719</v>
      </c>
      <c r="EJ8" s="4864">
        <f>'Revenue Drivers'!EJ105</f>
        <v>14848</v>
      </c>
      <c r="EK8" s="5068">
        <f>'Revenue Drivers'!EK105</f>
        <v>54900</v>
      </c>
      <c r="EL8" s="4864">
        <f>'Revenue Drivers'!EL105</f>
        <v>13748</v>
      </c>
      <c r="EM8" s="4864">
        <f>'Revenue Drivers'!EM105</f>
        <v>14705</v>
      </c>
      <c r="EN8" s="4864">
        <f>'Revenue Drivers'!EN105</f>
        <v>14876</v>
      </c>
      <c r="EO8" s="5070">
        <f>'Revenue Drivers'!EO105</f>
        <v>16258.297203300754</v>
      </c>
      <c r="EP8" s="5068">
        <f>'Revenue Drivers'!EP105</f>
        <v>59587.297203300754</v>
      </c>
      <c r="EQ8" s="5070">
        <f>'Revenue Drivers'!EQ105</f>
        <v>15444.782506115487</v>
      </c>
      <c r="ER8" s="5070">
        <f>'Revenue Drivers'!ER105</f>
        <v>15894.085868995453</v>
      </c>
      <c r="ES8" s="5070">
        <f>'Revenue Drivers'!ES105</f>
        <v>16168.651554713349</v>
      </c>
      <c r="ET8" s="5070">
        <f>'Revenue Drivers'!ET105</f>
        <v>17560.522184742083</v>
      </c>
      <c r="EU8" s="5068">
        <f>'Revenue Drivers'!EU105</f>
        <v>65068.042114566371</v>
      </c>
      <c r="EV8" s="5068">
        <f>'Revenue Drivers'!EV105</f>
        <v>70196.900175195173</v>
      </c>
      <c r="EW8" s="5068">
        <f>'Revenue Drivers'!EW105</f>
        <v>75419.857670370227</v>
      </c>
      <c r="EX8" s="5068">
        <f>'Revenue Drivers'!EX105</f>
        <v>80229.579235217301</v>
      </c>
      <c r="EY8" s="5068">
        <f>'Revenue Drivers'!EY105</f>
        <v>85065.791930375693</v>
      </c>
      <c r="EZ8" s="170"/>
      <c r="FA8" s="1319">
        <f t="shared" si="0"/>
        <v>0.17615104883617239</v>
      </c>
      <c r="FB8" s="1319">
        <f>(EF8/DQ8)^(1/3)-1</f>
        <v>0.15790240035146264</v>
      </c>
      <c r="FC8" s="1319">
        <f>(EK8/DV8)^(1/3)-1</f>
        <v>6.4087021514628306E-2</v>
      </c>
      <c r="FD8" s="1319">
        <f>(EP8/EA8)^(1/3)-1</f>
        <v>6.7707296604800016E-2</v>
      </c>
      <c r="FE8" s="1319">
        <f t="shared" ref="FE8:FE13" si="3">(EU8/EF8)^(1/3)-1</f>
        <v>8.5399978145171307E-2</v>
      </c>
      <c r="FF8" s="1319">
        <f t="shared" ref="FF8:FF13" si="4">(EV8/EK8)^(1/3)-1</f>
        <v>8.538012164230091E-2</v>
      </c>
      <c r="FG8" s="1319">
        <f t="shared" si="1"/>
        <v>0.12780214961219238</v>
      </c>
      <c r="FH8" s="1319">
        <f>(EP8/DQ8)^(1/5)-1</f>
        <v>0.12697490948438039</v>
      </c>
      <c r="FI8" s="1319">
        <f>(EU8/DV8)^(1/5)-1</f>
        <v>7.3854315194485265E-2</v>
      </c>
      <c r="FJ8" s="1319">
        <f>(EV8/EA8)^(1/5)-1</f>
        <v>7.4741888297167103E-2</v>
      </c>
      <c r="FK8" s="1319">
        <f t="shared" si="2"/>
        <v>8.1875980897306411E-2</v>
      </c>
      <c r="FL8" s="1319">
        <f t="shared" ref="FL8:FL13" si="5">(EX8/EK8)^(1/5)-1</f>
        <v>7.8828557365533181E-2</v>
      </c>
    </row>
    <row r="9" spans="1:176" s="287" customFormat="1" ht="11.25" customHeight="1">
      <c r="A9" s="3731" t="s">
        <v>180</v>
      </c>
      <c r="B9" s="3436"/>
      <c r="C9" s="3436"/>
      <c r="D9" s="3436"/>
      <c r="E9" s="3437"/>
      <c r="F9" s="3438">
        <f>F7-F8</f>
        <v>0.22</v>
      </c>
      <c r="G9" s="3436"/>
      <c r="H9" s="3436"/>
      <c r="I9" s="3436"/>
      <c r="J9" s="3437"/>
      <c r="K9" s="3438">
        <f>K7-K8</f>
        <v>19.108000000000001</v>
      </c>
      <c r="L9" s="3436"/>
      <c r="M9" s="3436"/>
      <c r="N9" s="3436"/>
      <c r="O9" s="3437"/>
      <c r="P9" s="3438">
        <f t="shared" ref="P9:AF9" si="6">P7-P8</f>
        <v>86.426000000000002</v>
      </c>
      <c r="Q9" s="3439">
        <f t="shared" si="6"/>
        <v>42.284999999999997</v>
      </c>
      <c r="R9" s="3436">
        <f t="shared" si="6"/>
        <v>64.525000000000006</v>
      </c>
      <c r="S9" s="3436">
        <f t="shared" si="6"/>
        <v>101.78700000000001</v>
      </c>
      <c r="T9" s="3437">
        <f t="shared" si="6"/>
        <v>136.411</v>
      </c>
      <c r="U9" s="3438">
        <f t="shared" si="6"/>
        <v>345.00800000000004</v>
      </c>
      <c r="V9" s="3439">
        <f t="shared" si="6"/>
        <v>178.48699999999999</v>
      </c>
      <c r="W9" s="3436">
        <f t="shared" si="6"/>
        <v>214.64000000000001</v>
      </c>
      <c r="X9" s="3436">
        <f t="shared" si="6"/>
        <v>250.45500000000001</v>
      </c>
      <c r="Y9" s="3437">
        <f t="shared" si="6"/>
        <v>295.81899999999996</v>
      </c>
      <c r="Z9" s="3438">
        <f>SUM(V9:Y9)</f>
        <v>939.40099999999995</v>
      </c>
      <c r="AA9" s="3439">
        <f t="shared" si="6"/>
        <v>380.62100000000004</v>
      </c>
      <c r="AB9" s="3436">
        <f>AB7-AB8</f>
        <v>423.178</v>
      </c>
      <c r="AC9" s="3436">
        <f t="shared" si="6"/>
        <v>502.98699999999997</v>
      </c>
      <c r="AD9" s="3437">
        <f t="shared" si="6"/>
        <v>653.79299999999989</v>
      </c>
      <c r="AE9" s="3438">
        <f>SUM(AA9:AD9)</f>
        <v>1960.579</v>
      </c>
      <c r="AF9" s="3439">
        <f t="shared" si="6"/>
        <v>794.70900000000006</v>
      </c>
      <c r="AG9" s="3436">
        <f>AG7-AG8</f>
        <v>890.17499999999995</v>
      </c>
      <c r="AH9" s="3436">
        <f>AH7-AH8</f>
        <v>1048.5819999999999</v>
      </c>
      <c r="AI9" s="3437">
        <f>AI7-AI8</f>
        <v>1290.152</v>
      </c>
      <c r="AJ9" s="3438">
        <f>SUM(AF9:AI9)</f>
        <v>4023.6179999999999</v>
      </c>
      <c r="AK9" s="3439">
        <f>AK7-AK8</f>
        <v>1531.0190000000002</v>
      </c>
      <c r="AL9" s="3436">
        <f>AL7-AL8</f>
        <v>1670.8319999999999</v>
      </c>
      <c r="AM9" s="3436">
        <f>AM7-AM8</f>
        <v>1864.4089999999997</v>
      </c>
      <c r="AN9" s="3437">
        <f>AN7-AN8</f>
        <v>2229.88</v>
      </c>
      <c r="AO9" s="3438">
        <f>SUM(AK9:AN9)</f>
        <v>7296.14</v>
      </c>
      <c r="AP9" s="3436">
        <f>AP7-AP8</f>
        <v>2538.9390000000003</v>
      </c>
      <c r="AQ9" s="3436">
        <f>AQ7-AQ8</f>
        <v>2724.0720000000001</v>
      </c>
      <c r="AR9" s="3436">
        <f>AR7-AR8</f>
        <v>3010.2309999999998</v>
      </c>
      <c r="AS9" s="3437">
        <f>AS7-AS8</f>
        <v>3386.8649999999998</v>
      </c>
      <c r="AT9" s="3438">
        <f>SUM(AP9:AS9)</f>
        <v>11660.107</v>
      </c>
      <c r="AU9" s="3436">
        <f>AU7-AU8</f>
        <v>3699.6589999999997</v>
      </c>
      <c r="AV9" s="3436">
        <f>AV7-AV8</f>
        <v>3893.2320000000004</v>
      </c>
      <c r="AW9" s="3436">
        <f>AW7-AW8</f>
        <v>4046.1849999999995</v>
      </c>
      <c r="AX9" s="3437">
        <f>AX7-AX8</f>
        <v>4217.5220000000008</v>
      </c>
      <c r="AY9" s="3438">
        <f>SUM(AU9:AX9)</f>
        <v>15856.598</v>
      </c>
      <c r="AZ9" s="3436">
        <f>AZ7-AZ8</f>
        <v>4073.0299999999997</v>
      </c>
      <c r="BA9" s="3436">
        <f>BA7-BA8</f>
        <v>4069.5429999999997</v>
      </c>
      <c r="BB9" s="3436">
        <f>BB7-BB8</f>
        <v>4385.6350000000002</v>
      </c>
      <c r="BC9" s="3436">
        <f>BC7-BC8</f>
        <v>4952.9390000000003</v>
      </c>
      <c r="BD9" s="3440">
        <f>SUM(AZ9:BC9)</f>
        <v>17481.146999999997</v>
      </c>
      <c r="BE9" s="3441">
        <f>BE7-BE8</f>
        <v>5064</v>
      </c>
      <c r="BF9" s="3436">
        <f>BF7-BF8</f>
        <v>5088</v>
      </c>
      <c r="BG9" s="3436">
        <f>BG7-BG8</f>
        <v>5481</v>
      </c>
      <c r="BH9" s="3436">
        <f>BH7-BH8</f>
        <v>6371</v>
      </c>
      <c r="BI9" s="5467">
        <f>SUM(BE9:BH9)</f>
        <v>22004</v>
      </c>
      <c r="BJ9" s="3436">
        <f>BJ7-BJ8</f>
        <v>6537</v>
      </c>
      <c r="BK9" s="3436">
        <f>BK7-BK8</f>
        <v>6916</v>
      </c>
      <c r="BL9" s="3436">
        <f>BL7-BL8</f>
        <v>7510</v>
      </c>
      <c r="BM9" s="3436">
        <f>BM7-BM8</f>
        <v>8134</v>
      </c>
      <c r="BN9" s="5467">
        <f>SUM(BJ9:BM9)</f>
        <v>29097</v>
      </c>
      <c r="BO9" s="3436">
        <v>8135</v>
      </c>
      <c r="BP9" s="3436">
        <v>9614</v>
      </c>
      <c r="BQ9" s="3436">
        <v>11331</v>
      </c>
      <c r="BR9" s="3437">
        <v>11339</v>
      </c>
      <c r="BS9" s="3442">
        <v>40419</v>
      </c>
      <c r="BT9" s="3436">
        <f>BT7-BT8</f>
        <v>8135</v>
      </c>
      <c r="BU9" s="3436">
        <f>BU7-BU8</f>
        <v>8364</v>
      </c>
      <c r="BV9" s="3436">
        <f>BV7-BV8</f>
        <v>8756</v>
      </c>
      <c r="BW9" s="3436">
        <f>BW7-BW8</f>
        <v>9825</v>
      </c>
      <c r="BX9" s="5467">
        <f>BX7-BX8</f>
        <v>35083</v>
      </c>
      <c r="BY9" s="4862">
        <v>11007</v>
      </c>
      <c r="BZ9" s="4862">
        <v>11092</v>
      </c>
      <c r="CA9" s="4862">
        <v>11921</v>
      </c>
      <c r="CB9" s="4862">
        <v>13548</v>
      </c>
      <c r="CC9" s="5467">
        <v>47568</v>
      </c>
      <c r="CD9" s="5045">
        <f t="shared" ref="CD9:CQ9" si="7">CD7-CD8</f>
        <v>9989</v>
      </c>
      <c r="CE9" s="5045">
        <f t="shared" si="7"/>
        <v>10094</v>
      </c>
      <c r="CF9" s="5045">
        <f t="shared" si="7"/>
        <v>10782</v>
      </c>
      <c r="CG9" s="5045">
        <f t="shared" si="7"/>
        <v>12397</v>
      </c>
      <c r="CH9" s="5338">
        <f t="shared" si="7"/>
        <v>43261</v>
      </c>
      <c r="CI9" s="5045">
        <f t="shared" si="7"/>
        <v>12188</v>
      </c>
      <c r="CJ9" s="5045">
        <f t="shared" si="7"/>
        <v>12662</v>
      </c>
      <c r="CK9" s="5045">
        <f t="shared" si="7"/>
        <v>13175</v>
      </c>
      <c r="CL9" s="5045">
        <f t="shared" si="7"/>
        <v>14483</v>
      </c>
      <c r="CM9" s="5338">
        <f t="shared" si="7"/>
        <v>52504</v>
      </c>
      <c r="CN9" s="5045">
        <f t="shared" si="7"/>
        <v>13913</v>
      </c>
      <c r="CO9" s="5045">
        <f t="shared" si="7"/>
        <v>14350</v>
      </c>
      <c r="CP9" s="5045">
        <f t="shared" si="7"/>
        <v>15109</v>
      </c>
      <c r="CQ9" s="5045">
        <f t="shared" si="7"/>
        <v>17274</v>
      </c>
      <c r="CR9" s="5338">
        <f t="shared" ref="CR9:DL9" si="8">CR7-CR8</f>
        <v>60646</v>
      </c>
      <c r="CS9" s="5045">
        <f t="shared" si="8"/>
        <v>16469</v>
      </c>
      <c r="CT9" s="5045">
        <f t="shared" si="8"/>
        <v>17525</v>
      </c>
      <c r="CU9" s="5045">
        <f t="shared" si="8"/>
        <v>18269</v>
      </c>
      <c r="CV9" s="5045">
        <f t="shared" si="8"/>
        <v>21216</v>
      </c>
      <c r="CW9" s="5338">
        <f t="shared" si="8"/>
        <v>73479</v>
      </c>
      <c r="CX9" s="5045">
        <f>CX7-CX8</f>
        <v>20121</v>
      </c>
      <c r="CY9" s="5045">
        <f>CY7-CY8</f>
        <v>20919</v>
      </c>
      <c r="CZ9" s="5045">
        <f>CZ7-CZ8</f>
        <v>22270</v>
      </c>
      <c r="DA9" s="5045">
        <f>DA7-DA8</f>
        <v>25873</v>
      </c>
      <c r="DB9" s="5338">
        <f t="shared" si="8"/>
        <v>89183</v>
      </c>
      <c r="DC9" s="5045">
        <f t="shared" si="8"/>
        <v>24858</v>
      </c>
      <c r="DD9" s="5045">
        <f t="shared" si="8"/>
        <v>26237</v>
      </c>
      <c r="DE9" s="5045">
        <f t="shared" si="8"/>
        <v>27158</v>
      </c>
      <c r="DF9" s="5045">
        <f t="shared" si="8"/>
        <v>31840</v>
      </c>
      <c r="DG9" s="5338">
        <f>DG7-DG8</f>
        <v>110093</v>
      </c>
      <c r="DH9" s="5045">
        <f t="shared" si="8"/>
        <v>29479</v>
      </c>
      <c r="DI9" s="5045">
        <f t="shared" si="8"/>
        <v>31706</v>
      </c>
      <c r="DJ9" s="5045">
        <f t="shared" si="8"/>
        <v>33009</v>
      </c>
      <c r="DK9" s="5045">
        <f t="shared" si="8"/>
        <v>37574</v>
      </c>
      <c r="DL9" s="5338">
        <f t="shared" si="8"/>
        <v>131768</v>
      </c>
      <c r="DM9" s="5045">
        <f t="shared" ref="DM9:EV9" si="9">DM7-DM8</f>
        <v>33707</v>
      </c>
      <c r="DN9" s="5045">
        <f t="shared" si="9"/>
        <v>31603</v>
      </c>
      <c r="DO9" s="5045">
        <f t="shared" si="9"/>
        <v>38007</v>
      </c>
      <c r="DP9" s="5045">
        <f t="shared" si="9"/>
        <v>46432</v>
      </c>
      <c r="DQ9" s="5338">
        <f t="shared" si="9"/>
        <v>149749</v>
      </c>
      <c r="DR9" s="5045">
        <f t="shared" si="9"/>
        <v>45602</v>
      </c>
      <c r="DS9" s="5045">
        <f t="shared" si="9"/>
        <v>50951</v>
      </c>
      <c r="DT9" s="5045">
        <f t="shared" si="9"/>
        <v>53620</v>
      </c>
      <c r="DU9" s="5045">
        <f t="shared" si="9"/>
        <v>61898</v>
      </c>
      <c r="DV9" s="5338">
        <f t="shared" si="9"/>
        <v>212071</v>
      </c>
      <c r="DW9" s="5045">
        <f t="shared" si="9"/>
        <v>56021</v>
      </c>
      <c r="DX9" s="5045">
        <f>DX7-DX8</f>
        <v>57471</v>
      </c>
      <c r="DY9" s="5045">
        <f>DY7-DY8</f>
        <v>57266</v>
      </c>
      <c r="DZ9" s="5045">
        <f>DZ7-DZ8</f>
        <v>63123</v>
      </c>
      <c r="EA9" s="5338">
        <f t="shared" si="9"/>
        <v>233881</v>
      </c>
      <c r="EB9" s="5045">
        <f t="shared" ref="EB9:EN9" si="10">EB7-EB8</f>
        <v>58066</v>
      </c>
      <c r="EC9" s="5045">
        <f t="shared" si="10"/>
        <v>62067</v>
      </c>
      <c r="ED9" s="5045">
        <f t="shared" si="10"/>
        <v>64051</v>
      </c>
      <c r="EE9" s="5045">
        <f>EE7-EE8</f>
        <v>72324</v>
      </c>
      <c r="EF9" s="5338">
        <f t="shared" si="10"/>
        <v>256508</v>
      </c>
      <c r="EG9" s="5045">
        <f t="shared" ref="EG9:EI9" si="11">EG7-EG8</f>
        <v>67593</v>
      </c>
      <c r="EH9" s="5045">
        <f t="shared" si="11"/>
        <v>71355</v>
      </c>
      <c r="EI9" s="5045">
        <f t="shared" si="11"/>
        <v>74549</v>
      </c>
      <c r="EJ9" s="5045">
        <f>EJ7-EJ8</f>
        <v>81621</v>
      </c>
      <c r="EK9" s="3181">
        <f t="shared" si="10"/>
        <v>295118</v>
      </c>
      <c r="EL9" s="5045">
        <f t="shared" si="10"/>
        <v>76486</v>
      </c>
      <c r="EM9" s="5045">
        <f t="shared" si="10"/>
        <v>81723</v>
      </c>
      <c r="EN9" s="5045">
        <f t="shared" si="10"/>
        <v>87470</v>
      </c>
      <c r="EO9" s="3180">
        <f t="shared" ref="EO9:EP9" si="12">EO7-EO8</f>
        <v>95988.037097372187</v>
      </c>
      <c r="EP9" s="3181">
        <f t="shared" si="12"/>
        <v>341667.03709737217</v>
      </c>
      <c r="EQ9" s="3180">
        <f t="shared" ref="EQ9:EU9" si="13">EQ7-EQ8</f>
        <v>90879.729962015364</v>
      </c>
      <c r="ER9" s="3180">
        <f t="shared" si="13"/>
        <v>96719.327619356962</v>
      </c>
      <c r="ES9" s="3180">
        <f t="shared" si="13"/>
        <v>102719.8049017732</v>
      </c>
      <c r="ET9" s="3180">
        <f t="shared" si="13"/>
        <v>112914.74775080651</v>
      </c>
      <c r="EU9" s="3181">
        <f t="shared" si="13"/>
        <v>403233.61023395206</v>
      </c>
      <c r="EV9" s="3181">
        <f t="shared" si="9"/>
        <v>460538.62103755493</v>
      </c>
      <c r="EW9" s="3181">
        <f>EW7-EW8</f>
        <v>518802.07745899889</v>
      </c>
      <c r="EX9" s="3181">
        <f>EX7-EX8</f>
        <v>576864.19993004168</v>
      </c>
      <c r="EY9" s="3181">
        <f>EY7-EY8</f>
        <v>637270.07767632848</v>
      </c>
      <c r="EZ9" s="619"/>
      <c r="FA9" s="1319">
        <f t="shared" si="0"/>
        <v>0.21077003065681432</v>
      </c>
      <c r="FB9" s="1319">
        <f>(EF9/DQ9)^(1/3)-1</f>
        <v>0.19649896659634547</v>
      </c>
      <c r="FC9" s="1319">
        <f>(EK9/DV9)^(1/3)-1</f>
        <v>0.11644706992602227</v>
      </c>
      <c r="FD9" s="1319">
        <f>(EP9/EA9)^(1/3)-1</f>
        <v>0.13466949651635063</v>
      </c>
      <c r="FE9" s="1319">
        <f t="shared" si="3"/>
        <v>0.16274711305954881</v>
      </c>
      <c r="FF9" s="1319">
        <f t="shared" si="4"/>
        <v>0.15990775585861572</v>
      </c>
      <c r="FG9" s="1319">
        <f t="shared" si="1"/>
        <v>0.17499805840814187</v>
      </c>
      <c r="FH9" s="1319">
        <f>(EP9/DQ9)^(1/5)-1</f>
        <v>0.17936390029623328</v>
      </c>
      <c r="FI9" s="1319">
        <f>(EU9/DV9)^(1/5)-1</f>
        <v>0.13714301491672587</v>
      </c>
      <c r="FJ9" s="1319">
        <f>(EV9/EA9)^(1/5)-1</f>
        <v>0.1451284981409946</v>
      </c>
      <c r="FK9" s="1319">
        <f t="shared" si="2"/>
        <v>0.15127787455058694</v>
      </c>
      <c r="FL9" s="1319">
        <f t="shared" si="5"/>
        <v>0.14344578443648581</v>
      </c>
    </row>
    <row r="10" spans="1:176" s="31" customFormat="1" ht="11.25" hidden="1" customHeight="1">
      <c r="A10" s="3732" t="s">
        <v>569</v>
      </c>
      <c r="B10" s="1702"/>
      <c r="C10" s="1702"/>
      <c r="D10" s="1702"/>
      <c r="E10" s="1703"/>
      <c r="F10" s="5407">
        <f>0.908-F8</f>
        <v>0.90800000000000003</v>
      </c>
      <c r="G10" s="1702"/>
      <c r="H10" s="1702"/>
      <c r="I10" s="1702"/>
      <c r="J10" s="1703"/>
      <c r="K10" s="5407">
        <f>6.081-K8</f>
        <v>6.0810000000000004</v>
      </c>
      <c r="L10" s="1702"/>
      <c r="M10" s="1702"/>
      <c r="N10" s="1702"/>
      <c r="O10" s="1703"/>
      <c r="P10" s="5407">
        <f>14.228-P8</f>
        <v>14.228</v>
      </c>
      <c r="Q10" s="1705">
        <f>5.692-Q8</f>
        <v>5.6920000000000002</v>
      </c>
      <c r="R10" s="1705">
        <f>20.407-R8</f>
        <v>6.407</v>
      </c>
      <c r="S10" s="1705">
        <f>39.622-S8</f>
        <v>10.622</v>
      </c>
      <c r="T10" s="1706">
        <f>65.789-T8</f>
        <v>14.289000000000001</v>
      </c>
      <c r="U10" s="5393">
        <f>SUM(Q10:T10)</f>
        <v>37.010000000000005</v>
      </c>
      <c r="V10" s="5400">
        <f>87.195-V8</f>
        <v>17.063999999999993</v>
      </c>
      <c r="W10" s="1705">
        <f>117.401-W8</f>
        <v>20.841999999999999</v>
      </c>
      <c r="X10" s="1705">
        <f>170.39-X8</f>
        <v>26.902999999999992</v>
      </c>
      <c r="Y10" s="1706">
        <f>250.868-Y8</f>
        <v>34.512</v>
      </c>
      <c r="Z10" s="5393">
        <f>SUM(V10:Y10)</f>
        <v>99.320999999999984</v>
      </c>
      <c r="AA10" s="5400">
        <f>315.398-AA8</f>
        <v>44.396000000000015</v>
      </c>
      <c r="AB10" s="1705">
        <f>326.377-AB8</f>
        <v>49.343000000000018</v>
      </c>
      <c r="AC10" s="1705">
        <f>362.099-AC8</f>
        <v>59.199000000000012</v>
      </c>
      <c r="AD10" s="1706">
        <f>453.779-AD8</f>
        <v>76.07099999999997</v>
      </c>
      <c r="AE10" s="5393">
        <f>SUM(AA10:AD10)</f>
        <v>229.00900000000001</v>
      </c>
      <c r="AF10" s="5400">
        <v>83.400999999999996</v>
      </c>
      <c r="AG10" s="1705">
        <f>597.095-AG8</f>
        <v>102.77500000000003</v>
      </c>
      <c r="AH10" s="1705">
        <f>653.826-AH8</f>
        <v>123.952</v>
      </c>
      <c r="AI10" s="1706">
        <v>146.44</v>
      </c>
      <c r="AJ10" s="5393">
        <f>SUM(AF10:AI10)</f>
        <v>456.56800000000004</v>
      </c>
      <c r="AK10" s="1705">
        <f>181.383-2.283</f>
        <v>179.10000000000002</v>
      </c>
      <c r="AL10" s="1705">
        <f>203.873-2.322</f>
        <v>201.55099999999999</v>
      </c>
      <c r="AM10" s="1705">
        <f>1048.728-2.149-AM8</f>
        <v>221.31500000000017</v>
      </c>
      <c r="AN10" s="1706">
        <f>1283.148-10.874-AN8</f>
        <v>296.65599999999984</v>
      </c>
      <c r="AO10" s="5393">
        <f>SUM(AK10:AN10)</f>
        <v>898.62199999999996</v>
      </c>
      <c r="AP10" s="1705">
        <f>345.394-4.389</f>
        <v>341.005</v>
      </c>
      <c r="AQ10" s="1705">
        <f>412.342-7.659</f>
        <v>404.68299999999999</v>
      </c>
      <c r="AR10" s="1705">
        <f>1662.579-AR8-4.031</f>
        <v>437.42800000000005</v>
      </c>
      <c r="AS10" s="1706">
        <f>516.011-6.255</f>
        <v>509.75599999999997</v>
      </c>
      <c r="AT10" s="5393">
        <f>SUM(AP10:AS10)</f>
        <v>1692.8719999999998</v>
      </c>
      <c r="AU10" s="1705">
        <f>624.152-9.148</f>
        <v>615.00400000000002</v>
      </c>
      <c r="AV10" s="1705">
        <f>673.595-9.363</f>
        <v>664.23199999999997</v>
      </c>
      <c r="AW10" s="1705">
        <f>678.184-10.729</f>
        <v>667.45499999999993</v>
      </c>
      <c r="AX10" s="1706">
        <f>706.623-12.099</f>
        <v>694.524</v>
      </c>
      <c r="AY10" s="5393">
        <f>SUM(AU10:AX10)</f>
        <v>2641.2149999999997</v>
      </c>
      <c r="AZ10" s="1702">
        <f>665.544-12.537</f>
        <v>653.00699999999995</v>
      </c>
      <c r="BA10" s="1702">
        <f>654.617-13.592</f>
        <v>641.02499999999998</v>
      </c>
      <c r="BB10" s="1702">
        <f>667.024-14.871</f>
        <v>652.15300000000002</v>
      </c>
      <c r="BC10" s="1702">
        <f>2408.4-BC8-6.051</f>
        <v>681.46300000000008</v>
      </c>
      <c r="BD10" s="5409">
        <f>SUM(AZ10:BC10)</f>
        <v>2627.6480000000001</v>
      </c>
      <c r="BE10" s="1727">
        <f>741-6</f>
        <v>735</v>
      </c>
      <c r="BF10" s="1705">
        <f>735-8</f>
        <v>727</v>
      </c>
      <c r="BG10" s="1705">
        <f>747-8</f>
        <v>739</v>
      </c>
      <c r="BH10" s="1705">
        <f>2946-BH8-45</f>
        <v>832</v>
      </c>
      <c r="BI10" s="5468">
        <f>SUM(BE10:BH10)</f>
        <v>3033</v>
      </c>
      <c r="BJ10" s="1705">
        <f>2936-BJ8-49</f>
        <v>849</v>
      </c>
      <c r="BK10" s="1705">
        <f>3172-BK8-51</f>
        <v>1011</v>
      </c>
      <c r="BL10" s="1705">
        <f>3378-BL8-72</f>
        <v>1096</v>
      </c>
      <c r="BM10" s="1705">
        <f>3702-BM8-77</f>
        <v>1175</v>
      </c>
      <c r="BN10" s="5468">
        <f>SUM(BJ10:BM10)</f>
        <v>4131</v>
      </c>
      <c r="BO10" s="1705">
        <v>1205</v>
      </c>
      <c r="BP10" s="1705">
        <v>2318</v>
      </c>
      <c r="BQ10" s="1705">
        <v>3590</v>
      </c>
      <c r="BR10" s="1706">
        <v>2962</v>
      </c>
      <c r="BS10" s="1709">
        <v>10075</v>
      </c>
      <c r="BT10" s="1705">
        <v>1205</v>
      </c>
      <c r="BU10" s="1705">
        <v>1302</v>
      </c>
      <c r="BV10" s="1705">
        <v>1567</v>
      </c>
      <c r="BW10" s="1705">
        <v>1782</v>
      </c>
      <c r="BX10" s="5468" t="e">
        <f>+#REF!</f>
        <v>#REF!</v>
      </c>
      <c r="BY10" s="5487">
        <v>2982</v>
      </c>
      <c r="BZ10" s="5487">
        <v>2935</v>
      </c>
      <c r="CA10" s="5487">
        <v>3304</v>
      </c>
      <c r="CB10" s="5487">
        <v>3959</v>
      </c>
      <c r="CC10" s="5468">
        <v>13180</v>
      </c>
      <c r="CD10" s="5487">
        <v>2075</v>
      </c>
      <c r="CE10" s="5487">
        <v>2072</v>
      </c>
      <c r="CF10" s="5487">
        <v>2304</v>
      </c>
      <c r="CG10" s="5487">
        <f>6253-127-CG8</f>
        <v>2816</v>
      </c>
      <c r="CH10" s="5468">
        <f>21993-CH8-469</f>
        <v>9266</v>
      </c>
      <c r="CI10" s="5487">
        <f>2729-95</f>
        <v>2634</v>
      </c>
      <c r="CJ10" s="5487">
        <f>6114-100-CJ8</f>
        <v>2721</v>
      </c>
      <c r="CK10" s="5487">
        <f>6695-169-CK8</f>
        <v>3178</v>
      </c>
      <c r="CL10" s="5487">
        <f>6921-171-CL8</f>
        <v>3130</v>
      </c>
      <c r="CM10" s="5468">
        <f>SUM(CI10:CL10)</f>
        <v>11663</v>
      </c>
      <c r="CN10" s="5487">
        <f>3011-160</f>
        <v>2851</v>
      </c>
      <c r="CO10" s="5487">
        <f>6583-163-CO8</f>
        <v>3043</v>
      </c>
      <c r="CP10" s="5487">
        <f>7037-231-CP8</f>
        <v>3240</v>
      </c>
      <c r="CQ10" s="5487">
        <f>8188-252-CQ8</f>
        <v>3881</v>
      </c>
      <c r="CR10" s="5468">
        <f>SUM(CN10:CQ10)</f>
        <v>13015</v>
      </c>
      <c r="CS10" s="5487">
        <f>7648-241-CS8</f>
        <v>3619</v>
      </c>
      <c r="CT10" s="5487">
        <f>8130-255-CT8</f>
        <v>3900</v>
      </c>
      <c r="CU10" s="5487">
        <f>8699-325-CU8</f>
        <v>4192</v>
      </c>
      <c r="CV10" s="5487">
        <f>10661-336-CV8</f>
        <v>5477</v>
      </c>
      <c r="CW10" s="5468">
        <f>SUM(CS10:CV10)</f>
        <v>17188</v>
      </c>
      <c r="CX10" s="5488">
        <f>CX12-CX11</f>
        <v>4800.3315276273024</v>
      </c>
      <c r="CY10" s="5488">
        <f>CY12-CY11</f>
        <v>4917.4236186348862</v>
      </c>
      <c r="CZ10" s="5488">
        <f>CZ12-CZ11</f>
        <v>5314.7323943661968</v>
      </c>
      <c r="DA10" s="5488">
        <f>DA12-DA11</f>
        <v>7480.8179848320697</v>
      </c>
      <c r="DB10" s="5468">
        <f>SUM(CX10:DA10)</f>
        <v>22513.305525460455</v>
      </c>
      <c r="DC10" s="5488"/>
      <c r="DD10" s="5488"/>
      <c r="DE10" s="5488"/>
      <c r="DF10" s="5488"/>
      <c r="DG10" s="5468"/>
      <c r="DH10" s="5488"/>
      <c r="DI10" s="5488"/>
      <c r="DJ10" s="5488"/>
      <c r="DK10" s="5488"/>
      <c r="DL10" s="5468"/>
      <c r="DM10" s="5488"/>
      <c r="DN10" s="5488"/>
      <c r="DO10" s="5488"/>
      <c r="DP10" s="5488"/>
      <c r="DQ10" s="5468"/>
      <c r="DR10" s="5488"/>
      <c r="DS10" s="5488"/>
      <c r="DT10" s="5488"/>
      <c r="DU10" s="5488"/>
      <c r="DV10" s="5468"/>
      <c r="DW10" s="5488"/>
      <c r="DX10" s="5488"/>
      <c r="DY10" s="5488"/>
      <c r="DZ10" s="5488"/>
      <c r="EA10" s="5468"/>
      <c r="EB10" s="5488"/>
      <c r="EC10" s="5488"/>
      <c r="ED10" s="5488"/>
      <c r="EE10" s="5488"/>
      <c r="EF10" s="5468"/>
      <c r="EG10" s="5488"/>
      <c r="EH10" s="5488"/>
      <c r="EI10" s="5488"/>
      <c r="EJ10" s="5488"/>
      <c r="EK10" s="1707"/>
      <c r="EL10" s="5488"/>
      <c r="EM10" s="5488"/>
      <c r="EN10" s="5488"/>
      <c r="EO10" s="1708"/>
      <c r="EP10" s="1707"/>
      <c r="EQ10" s="1708"/>
      <c r="ER10" s="1708"/>
      <c r="ES10" s="1708"/>
      <c r="ET10" s="1708"/>
      <c r="EU10" s="1707"/>
      <c r="EV10" s="1707"/>
      <c r="EW10" s="1707"/>
      <c r="EX10" s="1707"/>
      <c r="EY10" s="1707"/>
      <c r="EZ10" s="150"/>
      <c r="FA10" s="1319"/>
      <c r="FB10" s="1319"/>
      <c r="FC10" s="1319"/>
      <c r="FD10" s="1319"/>
      <c r="FE10" s="1319" t="e">
        <f t="shared" si="3"/>
        <v>#DIV/0!</v>
      </c>
      <c r="FF10" s="1319" t="e">
        <f t="shared" si="4"/>
        <v>#DIV/0!</v>
      </c>
      <c r="FG10" s="1319"/>
      <c r="FH10" s="1319"/>
      <c r="FI10" s="1319"/>
      <c r="FJ10" s="1319"/>
      <c r="FK10" s="1319" t="e">
        <f t="shared" si="2"/>
        <v>#DIV/0!</v>
      </c>
      <c r="FL10" s="1319" t="e">
        <f t="shared" si="5"/>
        <v>#DIV/0!</v>
      </c>
    </row>
    <row r="11" spans="1:176" s="31" customFormat="1" ht="11.25" hidden="1" customHeight="1">
      <c r="A11" s="3733" t="str">
        <f>CONCATENATE("SBC in ",A10)</f>
        <v>SBC in Other cost of revenues - non-GAAP</v>
      </c>
      <c r="B11" s="1842"/>
      <c r="C11" s="1842"/>
      <c r="D11" s="1842"/>
      <c r="E11" s="1843"/>
      <c r="F11" s="1844"/>
      <c r="G11" s="1842"/>
      <c r="H11" s="1842"/>
      <c r="I11" s="1842"/>
      <c r="J11" s="1843"/>
      <c r="K11" s="1844"/>
      <c r="L11" s="1842"/>
      <c r="M11" s="1842"/>
      <c r="N11" s="1842"/>
      <c r="O11" s="1843"/>
      <c r="P11" s="5408">
        <v>0.876</v>
      </c>
      <c r="Q11" s="1842"/>
      <c r="R11" s="1842"/>
      <c r="S11" s="1842"/>
      <c r="T11" s="1843"/>
      <c r="U11" s="5408">
        <v>1.0649999999999999</v>
      </c>
      <c r="V11" s="1848"/>
      <c r="W11" s="1842"/>
      <c r="X11" s="1842"/>
      <c r="Y11" s="1843"/>
      <c r="Z11" s="5408">
        <v>8.5570000000000004</v>
      </c>
      <c r="AA11" s="1848"/>
      <c r="AB11" s="1842"/>
      <c r="AC11" s="1842"/>
      <c r="AD11" s="1843"/>
      <c r="AE11" s="5408">
        <v>11.314</v>
      </c>
      <c r="AF11" s="1848"/>
      <c r="AG11" s="1842"/>
      <c r="AH11" s="1842"/>
      <c r="AI11" s="1843"/>
      <c r="AJ11" s="5408">
        <v>5.5789999999999997</v>
      </c>
      <c r="AK11" s="1845">
        <v>2.2829999999999999</v>
      </c>
      <c r="AL11" s="1845">
        <v>2.3220000000000001</v>
      </c>
      <c r="AM11" s="1845">
        <v>2.149</v>
      </c>
      <c r="AN11" s="1846">
        <v>10.874000000000001</v>
      </c>
      <c r="AO11" s="5415">
        <f>SUM(AK11:AN11)</f>
        <v>17.628</v>
      </c>
      <c r="AP11" s="1845">
        <v>4.3890000000000002</v>
      </c>
      <c r="AQ11" s="1845">
        <v>7.6589999999999998</v>
      </c>
      <c r="AR11" s="1845">
        <v>4.0309999999999997</v>
      </c>
      <c r="AS11" s="1846">
        <v>6.2549999999999999</v>
      </c>
      <c r="AT11" s="5415">
        <f>SUM(AP11:AS11)</f>
        <v>22.334</v>
      </c>
      <c r="AU11" s="1845">
        <v>9.1479999999999997</v>
      </c>
      <c r="AV11" s="1845">
        <v>9.3629999999999995</v>
      </c>
      <c r="AW11" s="1845">
        <v>10.728999999999999</v>
      </c>
      <c r="AX11" s="1846">
        <v>12.099</v>
      </c>
      <c r="AY11" s="5415">
        <f>SUM(AU11:AX11)</f>
        <v>41.338999999999999</v>
      </c>
      <c r="AZ11" s="1845">
        <v>12.537000000000001</v>
      </c>
      <c r="BA11" s="1845">
        <v>13.592000000000001</v>
      </c>
      <c r="BB11" s="1845">
        <v>14.871</v>
      </c>
      <c r="BC11" s="1845">
        <v>6.0510000000000002</v>
      </c>
      <c r="BD11" s="5415">
        <f>SUM(AZ11:BC11)</f>
        <v>47.051000000000002</v>
      </c>
      <c r="BE11" s="1850">
        <v>6</v>
      </c>
      <c r="BF11" s="1845">
        <v>8</v>
      </c>
      <c r="BG11" s="1845">
        <v>8</v>
      </c>
      <c r="BH11" s="1845">
        <v>45</v>
      </c>
      <c r="BI11" s="5496">
        <f>SUM(BE11:BH11)</f>
        <v>67</v>
      </c>
      <c r="BJ11" s="1845">
        <v>49</v>
      </c>
      <c r="BK11" s="1845">
        <v>51</v>
      </c>
      <c r="BL11" s="1845">
        <v>72</v>
      </c>
      <c r="BM11" s="1845">
        <v>77</v>
      </c>
      <c r="BN11" s="5496">
        <f>SUM(BJ11:BM11)</f>
        <v>249</v>
      </c>
      <c r="BO11" s="1845"/>
      <c r="BP11" s="1845"/>
      <c r="BQ11" s="1845"/>
      <c r="BR11" s="1846"/>
      <c r="BS11" s="1847"/>
      <c r="BT11" s="1842"/>
      <c r="BU11" s="1842"/>
      <c r="BV11" s="1842"/>
      <c r="BW11" s="1842"/>
      <c r="BX11" s="5469" t="e">
        <f>BX12-BX10</f>
        <v>#REF!</v>
      </c>
      <c r="BY11" s="5489"/>
      <c r="BZ11" s="5489"/>
      <c r="CA11" s="5489"/>
      <c r="CB11" s="5489"/>
      <c r="CC11" s="5469"/>
      <c r="CD11" s="5490">
        <f>CD12-CD10</f>
        <v>99</v>
      </c>
      <c r="CE11" s="5490">
        <f>CE12-CE10</f>
        <v>110</v>
      </c>
      <c r="CF11" s="5490">
        <f>CF12-CF10</f>
        <v>133</v>
      </c>
      <c r="CG11" s="5489">
        <v>127</v>
      </c>
      <c r="CH11" s="5469">
        <f>CH12-CH10</f>
        <v>469</v>
      </c>
      <c r="CI11" s="5489">
        <v>95</v>
      </c>
      <c r="CJ11" s="5489">
        <v>100</v>
      </c>
      <c r="CK11" s="5489">
        <v>169</v>
      </c>
      <c r="CL11" s="5489">
        <v>171</v>
      </c>
      <c r="CM11" s="5469">
        <f>CM12-CM10</f>
        <v>531</v>
      </c>
      <c r="CN11" s="5489">
        <v>160</v>
      </c>
      <c r="CO11" s="5489">
        <v>163</v>
      </c>
      <c r="CP11" s="5489">
        <v>231</v>
      </c>
      <c r="CQ11" s="5489">
        <v>252</v>
      </c>
      <c r="CR11" s="5469">
        <f>SUM(CN11:CQ11)</f>
        <v>806</v>
      </c>
      <c r="CS11" s="5489">
        <v>241</v>
      </c>
      <c r="CT11" s="5489">
        <v>255</v>
      </c>
      <c r="CU11" s="5489">
        <v>325</v>
      </c>
      <c r="CV11" s="5489">
        <v>336</v>
      </c>
      <c r="CW11" s="5469">
        <f>SUM(CS11:CV11)</f>
        <v>1157</v>
      </c>
      <c r="CX11" s="5490">
        <f>CV11/CV$24*CX$24</f>
        <v>365.66847237269775</v>
      </c>
      <c r="CY11" s="5490">
        <f>CX11/CX$24*CY$24</f>
        <v>364.57638136511378</v>
      </c>
      <c r="CZ11" s="5490">
        <f>CY11/CY$24*CZ$24</f>
        <v>331.26760563380282</v>
      </c>
      <c r="DA11" s="5490">
        <f>CZ11/CZ$24*DA$24</f>
        <v>336.18201516793067</v>
      </c>
      <c r="DB11" s="5471">
        <f>SUM(CX11:DA11)</f>
        <v>1397.6944745395449</v>
      </c>
      <c r="DC11" s="5490"/>
      <c r="DD11" s="5490"/>
      <c r="DE11" s="5490"/>
      <c r="DF11" s="5490"/>
      <c r="DG11" s="5471"/>
      <c r="DH11" s="5490"/>
      <c r="DI11" s="5490"/>
      <c r="DJ11" s="5490"/>
      <c r="DK11" s="5490"/>
      <c r="DL11" s="5471"/>
      <c r="DM11" s="5491"/>
      <c r="DN11" s="5491"/>
      <c r="DO11" s="5491"/>
      <c r="DP11" s="5491"/>
      <c r="DQ11" s="5471"/>
      <c r="DR11" s="5491"/>
      <c r="DS11" s="5491"/>
      <c r="DT11" s="5491"/>
      <c r="DU11" s="5491"/>
      <c r="DV11" s="5471"/>
      <c r="DW11" s="5491"/>
      <c r="DX11" s="5491"/>
      <c r="DY11" s="5491"/>
      <c r="DZ11" s="5491"/>
      <c r="EA11" s="5471"/>
      <c r="EB11" s="5491"/>
      <c r="EC11" s="5491"/>
      <c r="ED11" s="5491"/>
      <c r="EE11" s="5491"/>
      <c r="EF11" s="5471"/>
      <c r="EG11" s="5491"/>
      <c r="EH11" s="5491"/>
      <c r="EI11" s="5491"/>
      <c r="EJ11" s="5491"/>
      <c r="EK11" s="1844"/>
      <c r="EL11" s="5491"/>
      <c r="EM11" s="5491"/>
      <c r="EN11" s="5491"/>
      <c r="EO11" s="4302"/>
      <c r="EP11" s="1844"/>
      <c r="EQ11" s="4302"/>
      <c r="ER11" s="4302"/>
      <c r="ES11" s="4302"/>
      <c r="ET11" s="4302"/>
      <c r="EU11" s="1844"/>
      <c r="EV11" s="1849"/>
      <c r="EW11" s="1849"/>
      <c r="EX11" s="1849"/>
      <c r="EY11" s="1849"/>
      <c r="EZ11" s="150"/>
      <c r="FA11" s="1319"/>
      <c r="FB11" s="1319"/>
      <c r="FC11" s="1319"/>
      <c r="FD11" s="1319"/>
      <c r="FE11" s="1319" t="e">
        <f t="shared" si="3"/>
        <v>#DIV/0!</v>
      </c>
      <c r="FF11" s="1319" t="e">
        <f t="shared" si="4"/>
        <v>#DIV/0!</v>
      </c>
      <c r="FG11" s="1319"/>
      <c r="FH11" s="1319"/>
      <c r="FI11" s="1319"/>
      <c r="FJ11" s="1319"/>
      <c r="FK11" s="1319" t="e">
        <f t="shared" si="2"/>
        <v>#DIV/0!</v>
      </c>
      <c r="FL11" s="1319" t="e">
        <f t="shared" si="5"/>
        <v>#DIV/0!</v>
      </c>
    </row>
    <row r="12" spans="1:176" s="31" customFormat="1" ht="11.25" customHeight="1">
      <c r="A12" s="3734" t="s">
        <v>178</v>
      </c>
      <c r="B12" s="147"/>
      <c r="C12" s="147"/>
      <c r="D12" s="147"/>
      <c r="E12" s="145"/>
      <c r="F12" s="5388"/>
      <c r="G12" s="147"/>
      <c r="H12" s="147"/>
      <c r="I12" s="147"/>
      <c r="J12" s="145"/>
      <c r="K12" s="5388"/>
      <c r="L12" s="147"/>
      <c r="M12" s="147"/>
      <c r="N12" s="147"/>
      <c r="O12" s="145"/>
      <c r="P12" s="5394">
        <f>SUM(P10:P11)</f>
        <v>15.103999999999999</v>
      </c>
      <c r="Q12" s="147"/>
      <c r="R12" s="147"/>
      <c r="S12" s="147"/>
      <c r="T12" s="145"/>
      <c r="U12" s="5394">
        <f>SUM(U10:U11)</f>
        <v>38.075000000000003</v>
      </c>
      <c r="V12" s="1681"/>
      <c r="W12" s="147"/>
      <c r="X12" s="147"/>
      <c r="Y12" s="145"/>
      <c r="Z12" s="5394">
        <f>SUM(Z10:Z11)</f>
        <v>107.87799999999999</v>
      </c>
      <c r="AA12" s="1681"/>
      <c r="AB12" s="147"/>
      <c r="AC12" s="147"/>
      <c r="AD12" s="145"/>
      <c r="AE12" s="5394">
        <f>SUM(AE10:AE11)</f>
        <v>240.32300000000001</v>
      </c>
      <c r="AF12" s="1681"/>
      <c r="AG12" s="147"/>
      <c r="AH12" s="147"/>
      <c r="AI12" s="145"/>
      <c r="AJ12" s="5394">
        <f t="shared" ref="AJ12:BN12" si="14">SUM(AJ10:AJ11)</f>
        <v>462.14700000000005</v>
      </c>
      <c r="AK12" s="147">
        <f t="shared" si="14"/>
        <v>181.38300000000001</v>
      </c>
      <c r="AL12" s="147">
        <f t="shared" si="14"/>
        <v>203.87299999999999</v>
      </c>
      <c r="AM12" s="147">
        <f t="shared" si="14"/>
        <v>223.46400000000017</v>
      </c>
      <c r="AN12" s="145">
        <f t="shared" si="14"/>
        <v>307.52999999999986</v>
      </c>
      <c r="AO12" s="5394">
        <f t="shared" si="14"/>
        <v>916.25</v>
      </c>
      <c r="AP12" s="147">
        <f t="shared" si="14"/>
        <v>345.39400000000001</v>
      </c>
      <c r="AQ12" s="147">
        <f t="shared" si="14"/>
        <v>412.34199999999998</v>
      </c>
      <c r="AR12" s="147">
        <f t="shared" si="14"/>
        <v>441.45900000000006</v>
      </c>
      <c r="AS12" s="147">
        <f t="shared" si="14"/>
        <v>516.01099999999997</v>
      </c>
      <c r="AT12" s="5394">
        <f t="shared" si="14"/>
        <v>1715.2059999999999</v>
      </c>
      <c r="AU12" s="147">
        <f t="shared" si="14"/>
        <v>624.15200000000004</v>
      </c>
      <c r="AV12" s="147">
        <f t="shared" si="14"/>
        <v>673.59500000000003</v>
      </c>
      <c r="AW12" s="147">
        <f t="shared" si="14"/>
        <v>678.18399999999997</v>
      </c>
      <c r="AX12" s="147">
        <f t="shared" si="14"/>
        <v>706.62300000000005</v>
      </c>
      <c r="AY12" s="5394">
        <f t="shared" si="14"/>
        <v>2682.5539999999996</v>
      </c>
      <c r="AZ12" s="147">
        <f t="shared" si="14"/>
        <v>665.54399999999998</v>
      </c>
      <c r="BA12" s="147">
        <f t="shared" si="14"/>
        <v>654.61699999999996</v>
      </c>
      <c r="BB12" s="147">
        <f t="shared" si="14"/>
        <v>667.024</v>
      </c>
      <c r="BC12" s="147">
        <f t="shared" si="14"/>
        <v>687.51400000000012</v>
      </c>
      <c r="BD12" s="5394">
        <f t="shared" si="14"/>
        <v>2674.6990000000001</v>
      </c>
      <c r="BE12" s="147">
        <f t="shared" si="14"/>
        <v>741</v>
      </c>
      <c r="BF12" s="147">
        <f t="shared" si="14"/>
        <v>735</v>
      </c>
      <c r="BG12" s="147">
        <f t="shared" si="14"/>
        <v>747</v>
      </c>
      <c r="BH12" s="147">
        <f t="shared" si="14"/>
        <v>877</v>
      </c>
      <c r="BI12" s="5497">
        <f t="shared" si="14"/>
        <v>3100</v>
      </c>
      <c r="BJ12" s="147">
        <f t="shared" si="14"/>
        <v>898</v>
      </c>
      <c r="BK12" s="147">
        <f t="shared" si="14"/>
        <v>1062</v>
      </c>
      <c r="BL12" s="147">
        <f t="shared" si="14"/>
        <v>1168</v>
      </c>
      <c r="BM12" s="147">
        <f t="shared" si="14"/>
        <v>1252</v>
      </c>
      <c r="BN12" s="5497">
        <f t="shared" si="14"/>
        <v>4380</v>
      </c>
      <c r="BO12" s="288"/>
      <c r="BP12" s="288"/>
      <c r="BQ12" s="288"/>
      <c r="BR12" s="289"/>
      <c r="BS12" s="1679"/>
      <c r="BT12" s="290"/>
      <c r="BU12" s="290"/>
      <c r="BV12" s="290"/>
      <c r="BW12" s="290"/>
      <c r="BX12" s="5470">
        <v>6220</v>
      </c>
      <c r="BY12" s="5040">
        <f>SUM(BY10,BY11)</f>
        <v>2982</v>
      </c>
      <c r="BZ12" s="5040">
        <f>SUM(BZ10,BZ11)</f>
        <v>2935</v>
      </c>
      <c r="CA12" s="5040">
        <f>SUM(CA10,CA11)</f>
        <v>3304</v>
      </c>
      <c r="CB12" s="5040">
        <f>SUM(CB10,CB11)</f>
        <v>3959</v>
      </c>
      <c r="CC12" s="5474">
        <f>SUM(BY12:CB12)</f>
        <v>13180</v>
      </c>
      <c r="CD12" s="5480">
        <f>5136-CD8</f>
        <v>2174</v>
      </c>
      <c r="CE12" s="5480">
        <f>5195-CE8</f>
        <v>2182</v>
      </c>
      <c r="CF12" s="5480">
        <f>5409-CF8</f>
        <v>2437</v>
      </c>
      <c r="CG12" s="5040">
        <f>SUM(CG10,CG11)</f>
        <v>2943</v>
      </c>
      <c r="CH12" s="5470">
        <v>9735</v>
      </c>
      <c r="CI12" s="5040">
        <f>SUM(CI10,CI11)</f>
        <v>2729</v>
      </c>
      <c r="CJ12" s="5040">
        <f>SUM(CJ10,CJ11)</f>
        <v>2821</v>
      </c>
      <c r="CK12" s="5040">
        <f>SUM(CK10,CK11)</f>
        <v>3347</v>
      </c>
      <c r="CL12" s="5040">
        <f>SUM(CL10,CL11)</f>
        <v>3301</v>
      </c>
      <c r="CM12" s="5470">
        <v>12194</v>
      </c>
      <c r="CN12" s="5040">
        <f>SUM(CN10,CN11)</f>
        <v>3011</v>
      </c>
      <c r="CO12" s="5040">
        <f>SUM(CO10,CO11)</f>
        <v>3206</v>
      </c>
      <c r="CP12" s="5040">
        <f>SUM(CP10,CP11)</f>
        <v>3471</v>
      </c>
      <c r="CQ12" s="5040">
        <f>SUM(CQ10,CQ11)</f>
        <v>4133</v>
      </c>
      <c r="CR12" s="5474">
        <f>SUM(CN12:CQ12)</f>
        <v>13821</v>
      </c>
      <c r="CS12" s="5040">
        <f>SUM(CS10,CS11)</f>
        <v>3860</v>
      </c>
      <c r="CT12" s="5040">
        <f>SUM(CT10,CT11)</f>
        <v>4155</v>
      </c>
      <c r="CU12" s="5040">
        <f>SUM(CU10,CU11)</f>
        <v>4517</v>
      </c>
      <c r="CV12" s="5040">
        <f>SUM(CV10,CV11)</f>
        <v>5813</v>
      </c>
      <c r="CW12" s="5474">
        <f>SUM(CS12:CV12)</f>
        <v>18345</v>
      </c>
      <c r="CX12" s="5480">
        <f>9795-CX8</f>
        <v>5166</v>
      </c>
      <c r="CY12" s="5480">
        <f>10373-CY8</f>
        <v>5282</v>
      </c>
      <c r="CZ12" s="5480">
        <f>11148-CZ8</f>
        <v>5646</v>
      </c>
      <c r="DA12" s="5480">
        <f>14267-DA8</f>
        <v>7817</v>
      </c>
      <c r="DB12" s="5474">
        <f>SUM(CX12:DA12)</f>
        <v>23911</v>
      </c>
      <c r="DC12" s="5480">
        <f>13467-DC8</f>
        <v>7179</v>
      </c>
      <c r="DD12" s="5480">
        <f>13883-DD8</f>
        <v>7463</v>
      </c>
      <c r="DE12" s="5480">
        <f>14281-DE8</f>
        <v>7699</v>
      </c>
      <c r="DF12" s="5480">
        <f>17918-DF8</f>
        <v>10482</v>
      </c>
      <c r="DG12" s="5474">
        <f>SUM(DC12:DF12)</f>
        <v>32823</v>
      </c>
      <c r="DH12" s="5480">
        <f>16012-DH8</f>
        <v>9152</v>
      </c>
      <c r="DI12" s="5480">
        <f>17296-DI8</f>
        <v>10058</v>
      </c>
      <c r="DJ12" s="5480">
        <f>17568-DJ8</f>
        <v>10078</v>
      </c>
      <c r="DK12" s="5480">
        <f>21020-DK8</f>
        <v>12519</v>
      </c>
      <c r="DL12" s="5474">
        <f>SUM(DH12:DK12)</f>
        <v>41807</v>
      </c>
      <c r="DM12" s="5480">
        <f>18982-DM8</f>
        <v>11530</v>
      </c>
      <c r="DN12" s="5480">
        <f>18553-DN8</f>
        <v>11859</v>
      </c>
      <c r="DO12" s="5480">
        <f>21117-DO8</f>
        <v>12951</v>
      </c>
      <c r="DP12" s="5480">
        <f>26080-DP8</f>
        <v>15614</v>
      </c>
      <c r="DQ12" s="5474">
        <f>SUM(DM12:DP12)</f>
        <v>51954</v>
      </c>
      <c r="DR12" s="5480">
        <f>24103-DR8</f>
        <v>14391</v>
      </c>
      <c r="DS12" s="5480">
        <f>26227-DS8</f>
        <v>15298</v>
      </c>
      <c r="DT12" s="5480">
        <f>27621-DT8</f>
        <v>16123</v>
      </c>
      <c r="DU12" s="5480">
        <f>32988-DU8</f>
        <v>19561</v>
      </c>
      <c r="DV12" s="5474">
        <f>SUM(DR12:DU12)</f>
        <v>65373</v>
      </c>
      <c r="DW12" s="5480">
        <f>29599-DW8</f>
        <v>17609</v>
      </c>
      <c r="DX12" s="5480">
        <f>30104-DX8</f>
        <v>17890</v>
      </c>
      <c r="DY12" s="5480">
        <f>31158-DY8</f>
        <v>19332</v>
      </c>
      <c r="DZ12" s="5480">
        <f>35342-DZ8</f>
        <v>22417</v>
      </c>
      <c r="EA12" s="5474">
        <f>SUM(DW12:DZ12)</f>
        <v>77248</v>
      </c>
      <c r="EB12" s="5480">
        <f>30612-EB8</f>
        <v>18891</v>
      </c>
      <c r="EC12" s="5480">
        <f>31916-EC8</f>
        <v>19379</v>
      </c>
      <c r="ED12" s="5480">
        <f>33229-ED8</f>
        <v>20587</v>
      </c>
      <c r="EE12" s="5480">
        <f>37575-EE8</f>
        <v>23589</v>
      </c>
      <c r="EF12" s="5474">
        <f>SUM(EB12:EE12)</f>
        <v>82446</v>
      </c>
      <c r="EG12" s="5480">
        <f>33712-EG8</f>
        <v>20766</v>
      </c>
      <c r="EH12" s="5480">
        <f>35507-EH8</f>
        <v>22120</v>
      </c>
      <c r="EI12" s="5480">
        <f>36474-EI8</f>
        <v>22755</v>
      </c>
      <c r="EJ12" s="5480">
        <f>40613-EJ8</f>
        <v>25765</v>
      </c>
      <c r="EK12" s="999">
        <f>SUM(EG12:EJ12)</f>
        <v>91406</v>
      </c>
      <c r="EL12" s="5480">
        <f>36361-EL8</f>
        <v>22613</v>
      </c>
      <c r="EM12" s="5480">
        <f>39039-EM8</f>
        <v>24334</v>
      </c>
      <c r="EN12" s="5480">
        <f>41369-EN8</f>
        <v>26493</v>
      </c>
      <c r="EO12" s="150">
        <f>EO9*EO114</f>
        <v>30428.207759866982</v>
      </c>
      <c r="EP12" s="999">
        <f>SUM(EL12:EO12)</f>
        <v>103868.20775986699</v>
      </c>
      <c r="EQ12" s="150">
        <f t="shared" ref="EQ12:ET12" si="15">EQ9*EQ114</f>
        <v>27263.918988604608</v>
      </c>
      <c r="ER12" s="150">
        <f t="shared" si="15"/>
        <v>29692.833579142585</v>
      </c>
      <c r="ES12" s="150">
        <f t="shared" si="15"/>
        <v>32870.337568567425</v>
      </c>
      <c r="ET12" s="150">
        <f t="shared" si="15"/>
        <v>37487.696253267764</v>
      </c>
      <c r="EU12" s="999">
        <f>SUM(EQ12:ET12)</f>
        <v>127314.78638958238</v>
      </c>
      <c r="EV12" s="999">
        <f>EV9*EV114</f>
        <v>153359.3608055058</v>
      </c>
      <c r="EW12" s="999">
        <f>EW9*EW114</f>
        <v>176392.70633605964</v>
      </c>
      <c r="EX12" s="999">
        <f>EX9*EX114</f>
        <v>197287.55637607427</v>
      </c>
      <c r="EY12" s="999">
        <f>EY9*EY114</f>
        <v>217309.09648762803</v>
      </c>
      <c r="EZ12" s="150"/>
      <c r="FA12" s="1319">
        <f t="shared" si="0"/>
        <v>0.22709846606418549</v>
      </c>
      <c r="FB12" s="1319">
        <f>(EF12/DQ12)^(1/3)-1</f>
        <v>0.1664072220084869</v>
      </c>
      <c r="FC12" s="1319">
        <f>(EK12/DV12)^(1/3)-1</f>
        <v>0.11821529849913914</v>
      </c>
      <c r="FD12" s="1319">
        <f>(EP12/EA12)^(1/3)-1</f>
        <v>0.10373580518974546</v>
      </c>
      <c r="FE12" s="1319">
        <f t="shared" si="3"/>
        <v>0.15585427934572627</v>
      </c>
      <c r="FF12" s="1319">
        <f t="shared" si="4"/>
        <v>0.18826105055383113</v>
      </c>
      <c r="FG12" s="1319">
        <f t="shared" si="1"/>
        <v>0.16935166932199786</v>
      </c>
      <c r="FH12" s="1319">
        <f>(EP12/DQ12)^(1/5)-1</f>
        <v>0.14861036122512616</v>
      </c>
      <c r="FI12" s="1319">
        <f>(EU12/DV12)^(1/5)-1</f>
        <v>0.14260491021503108</v>
      </c>
      <c r="FJ12" s="1319">
        <f>(EV12/EA12)^(1/5)-1</f>
        <v>0.14700314612955911</v>
      </c>
      <c r="FK12" s="1319">
        <f t="shared" si="2"/>
        <v>0.16429278637693101</v>
      </c>
      <c r="FL12" s="1319">
        <f t="shared" si="5"/>
        <v>0.16633953732735485</v>
      </c>
    </row>
    <row r="13" spans="1:176" s="157" customFormat="1" ht="11.25" customHeight="1">
      <c r="A13" s="3731" t="s">
        <v>49</v>
      </c>
      <c r="B13" s="3180"/>
      <c r="C13" s="3180"/>
      <c r="D13" s="3180"/>
      <c r="E13" s="3443"/>
      <c r="F13" s="3444">
        <f>F9-F10</f>
        <v>-0.68800000000000006</v>
      </c>
      <c r="G13" s="3180"/>
      <c r="H13" s="3180"/>
      <c r="I13" s="3180"/>
      <c r="J13" s="3443"/>
      <c r="K13" s="3444">
        <f t="shared" ref="K13:AA13" si="16">K9-K10</f>
        <v>13.027000000000001</v>
      </c>
      <c r="L13" s="3180"/>
      <c r="M13" s="3180"/>
      <c r="N13" s="3180"/>
      <c r="O13" s="3443"/>
      <c r="P13" s="3444">
        <f t="shared" si="16"/>
        <v>72.198000000000008</v>
      </c>
      <c r="Q13" s="3180">
        <f>Q9-Q10</f>
        <v>36.592999999999996</v>
      </c>
      <c r="R13" s="3180">
        <f t="shared" si="16"/>
        <v>58.118000000000009</v>
      </c>
      <c r="S13" s="3180">
        <f t="shared" si="16"/>
        <v>91.165000000000006</v>
      </c>
      <c r="T13" s="3443">
        <f t="shared" si="16"/>
        <v>122.122</v>
      </c>
      <c r="U13" s="3444">
        <f t="shared" si="16"/>
        <v>307.99800000000005</v>
      </c>
      <c r="V13" s="3445">
        <f t="shared" si="16"/>
        <v>161.423</v>
      </c>
      <c r="W13" s="3180">
        <f t="shared" si="16"/>
        <v>193.798</v>
      </c>
      <c r="X13" s="3180">
        <f t="shared" si="16"/>
        <v>223.55200000000002</v>
      </c>
      <c r="Y13" s="3443">
        <f t="shared" si="16"/>
        <v>261.30699999999996</v>
      </c>
      <c r="Z13" s="3444">
        <f t="shared" si="16"/>
        <v>840.07999999999993</v>
      </c>
      <c r="AA13" s="3445">
        <f t="shared" si="16"/>
        <v>336.22500000000002</v>
      </c>
      <c r="AB13" s="3180">
        <f t="shared" ref="AB13:BD13" si="17">AB9-AB10</f>
        <v>373.83499999999998</v>
      </c>
      <c r="AC13" s="3180">
        <f t="shared" si="17"/>
        <v>443.78799999999995</v>
      </c>
      <c r="AD13" s="3443">
        <f t="shared" si="17"/>
        <v>577.72199999999998</v>
      </c>
      <c r="AE13" s="3444">
        <f t="shared" si="17"/>
        <v>1731.57</v>
      </c>
      <c r="AF13" s="3445">
        <f t="shared" si="17"/>
        <v>711.30800000000011</v>
      </c>
      <c r="AG13" s="3180">
        <f t="shared" si="17"/>
        <v>787.39999999999986</v>
      </c>
      <c r="AH13" s="3180">
        <f t="shared" si="17"/>
        <v>924.62999999999988</v>
      </c>
      <c r="AI13" s="3443">
        <f t="shared" si="17"/>
        <v>1143.712</v>
      </c>
      <c r="AJ13" s="3444">
        <f t="shared" si="17"/>
        <v>3567.0499999999997</v>
      </c>
      <c r="AK13" s="3180">
        <f t="shared" si="17"/>
        <v>1351.9190000000003</v>
      </c>
      <c r="AL13" s="3180">
        <f t="shared" si="17"/>
        <v>1469.2809999999999</v>
      </c>
      <c r="AM13" s="3180">
        <f t="shared" si="17"/>
        <v>1643.0939999999996</v>
      </c>
      <c r="AN13" s="3443">
        <f t="shared" si="17"/>
        <v>1933.2240000000002</v>
      </c>
      <c r="AO13" s="3444">
        <f t="shared" si="17"/>
        <v>6397.518</v>
      </c>
      <c r="AP13" s="3180">
        <f t="shared" si="17"/>
        <v>2197.9340000000002</v>
      </c>
      <c r="AQ13" s="3180">
        <f t="shared" si="17"/>
        <v>2319.3890000000001</v>
      </c>
      <c r="AR13" s="3180">
        <f t="shared" si="17"/>
        <v>2572.8029999999999</v>
      </c>
      <c r="AS13" s="3443">
        <f t="shared" si="17"/>
        <v>2877.1089999999999</v>
      </c>
      <c r="AT13" s="3444">
        <f t="shared" si="17"/>
        <v>9967.2350000000006</v>
      </c>
      <c r="AU13" s="3180">
        <f t="shared" si="17"/>
        <v>3084.6549999999997</v>
      </c>
      <c r="AV13" s="3180">
        <f t="shared" si="17"/>
        <v>3229.0000000000005</v>
      </c>
      <c r="AW13" s="3180">
        <f t="shared" si="17"/>
        <v>3378.7299999999996</v>
      </c>
      <c r="AX13" s="3443">
        <f t="shared" si="17"/>
        <v>3522.998000000001</v>
      </c>
      <c r="AY13" s="3444">
        <f t="shared" si="17"/>
        <v>13215.383</v>
      </c>
      <c r="AZ13" s="3180">
        <f t="shared" si="17"/>
        <v>3420.0229999999997</v>
      </c>
      <c r="BA13" s="3180">
        <f t="shared" si="17"/>
        <v>3428.5179999999996</v>
      </c>
      <c r="BB13" s="3180">
        <f t="shared" si="17"/>
        <v>3733.482</v>
      </c>
      <c r="BC13" s="3180">
        <f t="shared" si="17"/>
        <v>4271.4760000000006</v>
      </c>
      <c r="BD13" s="3181">
        <f t="shared" si="17"/>
        <v>14853.498999999996</v>
      </c>
      <c r="BE13" s="3446">
        <f t="shared" ref="BE13:BV13" si="18">BE9-BE10</f>
        <v>4329</v>
      </c>
      <c r="BF13" s="3180">
        <f t="shared" si="18"/>
        <v>4361</v>
      </c>
      <c r="BG13" s="3180">
        <f t="shared" si="18"/>
        <v>4742</v>
      </c>
      <c r="BH13" s="3180">
        <f t="shared" si="18"/>
        <v>5539</v>
      </c>
      <c r="BI13" s="5338">
        <f t="shared" si="18"/>
        <v>18971</v>
      </c>
      <c r="BJ13" s="3180">
        <f t="shared" si="18"/>
        <v>5688</v>
      </c>
      <c r="BK13" s="3180">
        <f>BK9-BK10</f>
        <v>5905</v>
      </c>
      <c r="BL13" s="3180">
        <f t="shared" si="18"/>
        <v>6414</v>
      </c>
      <c r="BM13" s="3180">
        <f>BM9-BM10</f>
        <v>6959</v>
      </c>
      <c r="BN13" s="5338">
        <f t="shared" si="18"/>
        <v>24966</v>
      </c>
      <c r="BO13" s="3180">
        <v>6930</v>
      </c>
      <c r="BP13" s="3180">
        <v>7296</v>
      </c>
      <c r="BQ13" s="3180">
        <v>7741</v>
      </c>
      <c r="BR13" s="3443">
        <v>8377</v>
      </c>
      <c r="BS13" s="3447">
        <v>30344</v>
      </c>
      <c r="BT13" s="3180">
        <f t="shared" si="18"/>
        <v>6930</v>
      </c>
      <c r="BU13" s="3180">
        <f>BU9-BU10</f>
        <v>7062</v>
      </c>
      <c r="BV13" s="3180">
        <f t="shared" si="18"/>
        <v>7189</v>
      </c>
      <c r="BW13" s="3180">
        <f>BW9-BW10</f>
        <v>8043</v>
      </c>
      <c r="BX13" s="5338">
        <f>BX9-BX12</f>
        <v>28863</v>
      </c>
      <c r="BY13" s="5045">
        <v>8025</v>
      </c>
      <c r="BZ13" s="5045">
        <v>8157</v>
      </c>
      <c r="CA13" s="5045">
        <v>8617</v>
      </c>
      <c r="CB13" s="5045">
        <v>9589</v>
      </c>
      <c r="CC13" s="5338">
        <v>34388</v>
      </c>
      <c r="CD13" s="5045">
        <f>CD9-CD12</f>
        <v>7815</v>
      </c>
      <c r="CE13" s="5045">
        <f>CE9-CE12</f>
        <v>7912</v>
      </c>
      <c r="CF13" s="5045">
        <f>CF9-CF12</f>
        <v>8345</v>
      </c>
      <c r="CG13" s="5045">
        <f>CG9-CG12</f>
        <v>9454</v>
      </c>
      <c r="CH13" s="5338">
        <f t="shared" ref="CH13:DA13" si="19">CH9-CH12</f>
        <v>33526</v>
      </c>
      <c r="CI13" s="5045">
        <f t="shared" si="19"/>
        <v>9459</v>
      </c>
      <c r="CJ13" s="5045">
        <f t="shared" si="19"/>
        <v>9841</v>
      </c>
      <c r="CK13" s="5045">
        <f t="shared" si="19"/>
        <v>9828</v>
      </c>
      <c r="CL13" s="5045">
        <f t="shared" si="19"/>
        <v>11182</v>
      </c>
      <c r="CM13" s="5338">
        <f t="shared" si="19"/>
        <v>40310</v>
      </c>
      <c r="CN13" s="5045">
        <f t="shared" si="19"/>
        <v>10902</v>
      </c>
      <c r="CO13" s="5045">
        <f t="shared" si="19"/>
        <v>11144</v>
      </c>
      <c r="CP13" s="5045">
        <f t="shared" si="19"/>
        <v>11638</v>
      </c>
      <c r="CQ13" s="5045">
        <f t="shared" si="19"/>
        <v>13141</v>
      </c>
      <c r="CR13" s="5338">
        <f t="shared" si="19"/>
        <v>46825</v>
      </c>
      <c r="CS13" s="5045">
        <f t="shared" si="19"/>
        <v>12609</v>
      </c>
      <c r="CT13" s="5045">
        <f t="shared" si="19"/>
        <v>13370</v>
      </c>
      <c r="CU13" s="5045">
        <f t="shared" si="19"/>
        <v>13752</v>
      </c>
      <c r="CV13" s="5045">
        <f t="shared" si="19"/>
        <v>15403</v>
      </c>
      <c r="CW13" s="5338">
        <f t="shared" si="19"/>
        <v>55134</v>
      </c>
      <c r="CX13" s="5045">
        <f t="shared" si="19"/>
        <v>14955</v>
      </c>
      <c r="CY13" s="5045">
        <f t="shared" si="19"/>
        <v>15637</v>
      </c>
      <c r="CZ13" s="5045">
        <f t="shared" si="19"/>
        <v>16624</v>
      </c>
      <c r="DA13" s="5045">
        <f t="shared" si="19"/>
        <v>18056</v>
      </c>
      <c r="DB13" s="5338">
        <f t="shared" ref="DB13:DK13" si="20">DB9-DB12</f>
        <v>65272</v>
      </c>
      <c r="DC13" s="5045">
        <f t="shared" si="20"/>
        <v>17679</v>
      </c>
      <c r="DD13" s="5045">
        <f t="shared" si="20"/>
        <v>18774</v>
      </c>
      <c r="DE13" s="5045">
        <f t="shared" si="20"/>
        <v>19459</v>
      </c>
      <c r="DF13" s="5045">
        <f t="shared" si="20"/>
        <v>21358</v>
      </c>
      <c r="DG13" s="5338">
        <f>DG9-DG12</f>
        <v>77270</v>
      </c>
      <c r="DH13" s="5045">
        <f t="shared" si="20"/>
        <v>20327</v>
      </c>
      <c r="DI13" s="5045">
        <f t="shared" si="20"/>
        <v>21648</v>
      </c>
      <c r="DJ13" s="5045">
        <f t="shared" si="20"/>
        <v>22931</v>
      </c>
      <c r="DK13" s="5045">
        <f t="shared" si="20"/>
        <v>25055</v>
      </c>
      <c r="DL13" s="5338">
        <f t="shared" ref="DL13:DQ13" si="21">DL9-DL12</f>
        <v>89961</v>
      </c>
      <c r="DM13" s="5045">
        <f t="shared" si="21"/>
        <v>22177</v>
      </c>
      <c r="DN13" s="5045">
        <f t="shared" si="21"/>
        <v>19744</v>
      </c>
      <c r="DO13" s="5045">
        <f t="shared" si="21"/>
        <v>25056</v>
      </c>
      <c r="DP13" s="5045">
        <f t="shared" si="21"/>
        <v>30818</v>
      </c>
      <c r="DQ13" s="5338">
        <f t="shared" si="21"/>
        <v>97795</v>
      </c>
      <c r="DR13" s="5045">
        <f t="shared" ref="DR13:DW13" si="22">DR9-DR12</f>
        <v>31211</v>
      </c>
      <c r="DS13" s="5045">
        <f t="shared" si="22"/>
        <v>35653</v>
      </c>
      <c r="DT13" s="5045">
        <f t="shared" si="22"/>
        <v>37497</v>
      </c>
      <c r="DU13" s="5045">
        <f t="shared" si="22"/>
        <v>42337</v>
      </c>
      <c r="DV13" s="5338">
        <f t="shared" si="22"/>
        <v>146698</v>
      </c>
      <c r="DW13" s="5045">
        <f t="shared" si="22"/>
        <v>38412</v>
      </c>
      <c r="DX13" s="5045">
        <f t="shared" ref="DX13:EV13" si="23">DX9-DX12</f>
        <v>39581</v>
      </c>
      <c r="DY13" s="5045">
        <f t="shared" si="23"/>
        <v>37934</v>
      </c>
      <c r="DZ13" s="5045">
        <f t="shared" si="23"/>
        <v>40706</v>
      </c>
      <c r="EA13" s="5338">
        <f t="shared" si="23"/>
        <v>156633</v>
      </c>
      <c r="EB13" s="5045">
        <f t="shared" si="23"/>
        <v>39175</v>
      </c>
      <c r="EC13" s="5045">
        <f>EC9-EC12</f>
        <v>42688</v>
      </c>
      <c r="ED13" s="5045">
        <f>ED9-ED12</f>
        <v>43464</v>
      </c>
      <c r="EE13" s="5045">
        <f t="shared" ref="EE13" si="24">EE9-EE12</f>
        <v>48735</v>
      </c>
      <c r="EF13" s="5338">
        <f t="shared" si="23"/>
        <v>174062</v>
      </c>
      <c r="EG13" s="5045">
        <f t="shared" ref="EG13" si="25">EG9-EG12</f>
        <v>46827</v>
      </c>
      <c r="EH13" s="5045">
        <f>EH9-EH12</f>
        <v>49235</v>
      </c>
      <c r="EI13" s="5045">
        <f>EI9-EI12</f>
        <v>51794</v>
      </c>
      <c r="EJ13" s="5045">
        <f t="shared" ref="EJ13" si="26">EJ9-EJ12</f>
        <v>55856</v>
      </c>
      <c r="EK13" s="3181">
        <f>EK9-EK12</f>
        <v>203712</v>
      </c>
      <c r="EL13" s="5045">
        <f t="shared" ref="EL13" si="27">EL9-EL12</f>
        <v>53873</v>
      </c>
      <c r="EM13" s="5045">
        <f>EM9-EM12</f>
        <v>57389</v>
      </c>
      <c r="EN13" s="5045">
        <f>EN9-EN12</f>
        <v>60977</v>
      </c>
      <c r="EO13" s="3180">
        <f t="shared" ref="EO13" si="28">EO9-EO12</f>
        <v>65559.829337505202</v>
      </c>
      <c r="EP13" s="3181">
        <f>EP9-EP12</f>
        <v>237798.82933750519</v>
      </c>
      <c r="EQ13" s="3180">
        <f t="shared" ref="EQ13:ET13" si="29">EQ9-EQ12</f>
        <v>63615.810973410757</v>
      </c>
      <c r="ER13" s="3180">
        <f t="shared" si="29"/>
        <v>67026.494040214369</v>
      </c>
      <c r="ES13" s="3180">
        <f t="shared" si="29"/>
        <v>69849.467333205772</v>
      </c>
      <c r="ET13" s="3180">
        <f t="shared" si="29"/>
        <v>75427.051497538749</v>
      </c>
      <c r="EU13" s="3181">
        <f>EU9-EU12</f>
        <v>275918.82384436968</v>
      </c>
      <c r="EV13" s="3181">
        <f t="shared" si="23"/>
        <v>307179.26023204916</v>
      </c>
      <c r="EW13" s="3181">
        <f>EW9-EW12</f>
        <v>342409.37112293928</v>
      </c>
      <c r="EX13" s="3181">
        <f>EX9-EX12</f>
        <v>379576.64355396741</v>
      </c>
      <c r="EY13" s="3181">
        <f>EY9-EY12</f>
        <v>419960.98118870042</v>
      </c>
      <c r="EZ13" s="620"/>
      <c r="FA13" s="1319">
        <f t="shared" si="0"/>
        <v>0.20302964840760795</v>
      </c>
      <c r="FB13" s="1319">
        <f>(EF13/DQ13)^(1/3)-1</f>
        <v>0.21188787242373808</v>
      </c>
      <c r="FC13" s="1319">
        <f>(EK13/DV13)^(1/3)-1</f>
        <v>0.11565728736543068</v>
      </c>
      <c r="FD13" s="1319">
        <f>(EP13/EA13)^(1/3)-1</f>
        <v>0.14932313481968995</v>
      </c>
      <c r="FE13" s="1319">
        <f t="shared" si="3"/>
        <v>0.16598363125481086</v>
      </c>
      <c r="FF13" s="1319">
        <f t="shared" si="4"/>
        <v>0.14672274268190688</v>
      </c>
      <c r="FG13" s="1319">
        <f t="shared" si="1"/>
        <v>0.17758554943318483</v>
      </c>
      <c r="FH13" s="1319">
        <f>(EP13/DQ13)^(1/5)-1</f>
        <v>0.19447925683941714</v>
      </c>
      <c r="FI13" s="1319">
        <f>(EU13/DV13)^(1/5)-1</f>
        <v>0.13467484626863824</v>
      </c>
      <c r="FJ13" s="1319">
        <f>(EV13/EA13)^(1/5)-1</f>
        <v>0.14419942404224773</v>
      </c>
      <c r="FK13" s="1319">
        <f t="shared" si="2"/>
        <v>0.14490205406754519</v>
      </c>
      <c r="FL13" s="1319">
        <f t="shared" si="5"/>
        <v>0.13254788587764166</v>
      </c>
    </row>
    <row r="14" spans="1:176" ht="11.25" customHeight="1">
      <c r="A14" s="3735" t="s">
        <v>50</v>
      </c>
      <c r="B14" s="43"/>
      <c r="C14" s="43"/>
      <c r="D14" s="43"/>
      <c r="E14" s="40"/>
      <c r="F14" s="878"/>
      <c r="G14" s="43"/>
      <c r="H14" s="43"/>
      <c r="I14" s="43"/>
      <c r="J14" s="40"/>
      <c r="K14" s="878"/>
      <c r="L14" s="43"/>
      <c r="M14" s="43"/>
      <c r="N14" s="43"/>
      <c r="O14" s="40"/>
      <c r="P14" s="878"/>
      <c r="Q14" s="43"/>
      <c r="R14" s="43"/>
      <c r="S14" s="43"/>
      <c r="T14" s="40"/>
      <c r="U14" s="878"/>
      <c r="V14" s="909"/>
      <c r="W14" s="44"/>
      <c r="X14" s="44"/>
      <c r="Y14" s="5401"/>
      <c r="Z14" s="878"/>
      <c r="AA14" s="904"/>
      <c r="AB14" s="43"/>
      <c r="AC14" s="43"/>
      <c r="AD14" s="40"/>
      <c r="AE14" s="878"/>
      <c r="AF14" s="904"/>
      <c r="AG14" s="43"/>
      <c r="AH14" s="43"/>
      <c r="AI14" s="40"/>
      <c r="AJ14" s="878"/>
      <c r="AK14" s="904"/>
      <c r="AL14" s="43"/>
      <c r="AM14" s="43"/>
      <c r="AN14" s="40"/>
      <c r="AO14" s="878"/>
      <c r="AP14" s="904"/>
      <c r="AQ14" s="43"/>
      <c r="AR14" s="43"/>
      <c r="AS14" s="43"/>
      <c r="AT14" s="878"/>
      <c r="AU14" s="904"/>
      <c r="AV14" s="43"/>
      <c r="AW14" s="43"/>
      <c r="AX14" s="43"/>
      <c r="AY14" s="878"/>
      <c r="AZ14" s="904"/>
      <c r="BA14" s="43"/>
      <c r="BB14" s="43"/>
      <c r="BC14" s="43"/>
      <c r="BD14" s="1009"/>
      <c r="BE14" s="1287"/>
      <c r="BF14" s="43"/>
      <c r="BG14" s="43"/>
      <c r="BH14" s="43"/>
      <c r="BI14" s="1254"/>
      <c r="BJ14" s="43"/>
      <c r="BK14" s="43"/>
      <c r="BL14" s="43"/>
      <c r="BM14" s="43"/>
      <c r="BN14" s="1254"/>
      <c r="BO14" s="43"/>
      <c r="BP14" s="43"/>
      <c r="BQ14" s="43"/>
      <c r="BR14" s="43"/>
      <c r="BS14" s="1749"/>
      <c r="BT14" s="43"/>
      <c r="BU14" s="43"/>
      <c r="BV14" s="43"/>
      <c r="BW14" s="43"/>
      <c r="BX14" s="1254"/>
      <c r="BY14" s="537"/>
      <c r="BZ14" s="537"/>
      <c r="CA14" s="537"/>
      <c r="CB14" s="537"/>
      <c r="CC14" s="1254"/>
      <c r="CD14" s="537"/>
      <c r="CE14" s="537"/>
      <c r="CF14" s="537"/>
      <c r="CG14" s="537"/>
      <c r="CH14" s="1254"/>
      <c r="CI14" s="537"/>
      <c r="CJ14" s="537"/>
      <c r="CK14" s="537"/>
      <c r="CL14" s="537"/>
      <c r="CM14" s="1254"/>
      <c r="CN14" s="537"/>
      <c r="CO14" s="537"/>
      <c r="CP14" s="537"/>
      <c r="CQ14" s="5037"/>
      <c r="CR14" s="1254"/>
      <c r="CS14" s="1431"/>
      <c r="CT14" s="537"/>
      <c r="CU14" s="537"/>
      <c r="CV14" s="5037"/>
      <c r="CW14" s="1254"/>
      <c r="CX14" s="537"/>
      <c r="CY14" s="537"/>
      <c r="CZ14" s="537"/>
      <c r="DA14" s="537"/>
      <c r="DB14" s="1254"/>
      <c r="DC14" s="537"/>
      <c r="DD14" s="537"/>
      <c r="DE14" s="537"/>
      <c r="DF14" s="537"/>
      <c r="DG14" s="1254"/>
      <c r="DH14" s="537"/>
      <c r="DI14" s="537"/>
      <c r="DJ14" s="537"/>
      <c r="DK14" s="537"/>
      <c r="DL14" s="1254"/>
      <c r="DM14" s="537"/>
      <c r="DN14" s="537"/>
      <c r="DO14" s="537"/>
      <c r="DP14" s="537"/>
      <c r="DQ14" s="1254"/>
      <c r="DR14" s="537"/>
      <c r="DS14" s="537"/>
      <c r="DT14" s="537"/>
      <c r="DU14" s="537"/>
      <c r="DV14" s="1254"/>
      <c r="DW14" s="537"/>
      <c r="DX14" s="537"/>
      <c r="DY14" s="537"/>
      <c r="DZ14" s="537"/>
      <c r="EA14" s="1254"/>
      <c r="EB14" s="537"/>
      <c r="EC14" s="537"/>
      <c r="ED14" s="537"/>
      <c r="EE14" s="537"/>
      <c r="EF14" s="1254"/>
      <c r="EG14" s="537"/>
      <c r="EH14" s="537"/>
      <c r="EI14" s="537"/>
      <c r="EJ14" s="537"/>
      <c r="EK14" s="1009"/>
      <c r="EL14" s="537"/>
      <c r="EM14" s="537"/>
      <c r="EN14" s="537"/>
      <c r="EO14" s="43"/>
      <c r="EP14" s="1009"/>
      <c r="EQ14" s="43"/>
      <c r="ER14" s="43"/>
      <c r="ES14" s="43"/>
      <c r="ET14" s="43"/>
      <c r="EU14" s="1009"/>
      <c r="EV14" s="1009"/>
      <c r="EW14" s="1009"/>
      <c r="EX14" s="1009"/>
      <c r="EY14" s="1009"/>
      <c r="EZ14" s="174"/>
      <c r="FA14" s="725"/>
      <c r="FB14" s="725"/>
      <c r="FC14" s="725"/>
      <c r="FD14" s="725"/>
      <c r="FE14" s="725"/>
      <c r="FF14" s="725"/>
      <c r="FG14" s="725"/>
      <c r="FH14" s="725"/>
      <c r="FI14" s="725"/>
      <c r="FJ14" s="725"/>
      <c r="FK14" s="725"/>
      <c r="FL14" s="725"/>
    </row>
    <row r="15" spans="1:176" ht="11.25" hidden="1" customHeight="1">
      <c r="A15" s="3736" t="s">
        <v>568</v>
      </c>
      <c r="B15" s="5391"/>
      <c r="C15" s="5391"/>
      <c r="D15" s="5391"/>
      <c r="E15" s="5392"/>
      <c r="F15" s="5407">
        <v>2.93</v>
      </c>
      <c r="G15" s="5391"/>
      <c r="H15" s="5391"/>
      <c r="I15" s="5391"/>
      <c r="J15" s="5416"/>
      <c r="K15" s="5407">
        <v>10.516</v>
      </c>
      <c r="L15" s="5417"/>
      <c r="M15" s="5417"/>
      <c r="N15" s="5417"/>
      <c r="O15" s="5416"/>
      <c r="P15" s="5407">
        <v>16.5</v>
      </c>
      <c r="Q15" s="5418">
        <v>6.1829999999999998</v>
      </c>
      <c r="R15" s="5418">
        <v>6.4569999999999999</v>
      </c>
      <c r="S15" s="5418">
        <v>9.0530000000000008</v>
      </c>
      <c r="T15" s="5419">
        <v>10.055</v>
      </c>
      <c r="U15" s="5393">
        <f>SUM(Q15:T15)</f>
        <v>31.748000000000001</v>
      </c>
      <c r="V15" s="5420">
        <v>12.505000000000001</v>
      </c>
      <c r="W15" s="5421">
        <v>17.492000000000001</v>
      </c>
      <c r="X15" s="5421">
        <v>32.774000000000001</v>
      </c>
      <c r="Y15" s="5422">
        <v>28.457000000000001</v>
      </c>
      <c r="Z15" s="5393">
        <f>SUM(V15:Y15)</f>
        <v>91.228000000000009</v>
      </c>
      <c r="AA15" s="5420">
        <v>35.018999999999998</v>
      </c>
      <c r="AB15" s="5421">
        <v>45.762</v>
      </c>
      <c r="AC15" s="5421">
        <v>57.408999999999999</v>
      </c>
      <c r="AD15" s="5422">
        <v>87.441999999999993</v>
      </c>
      <c r="AE15" s="5393">
        <f>SUM(AA15:AD15)</f>
        <v>225.63200000000001</v>
      </c>
      <c r="AF15" s="5420">
        <v>79.412000000000006</v>
      </c>
      <c r="AG15" s="5421">
        <v>95.772000000000006</v>
      </c>
      <c r="AH15" s="5421">
        <f>151.721</f>
        <v>151.721</v>
      </c>
      <c r="AI15" s="5422">
        <v>157.072</v>
      </c>
      <c r="AJ15" s="5393">
        <f>SUM(AF15:AI15)</f>
        <v>483.97700000000003</v>
      </c>
      <c r="AK15" s="5421">
        <f>246.599-73.086</f>
        <v>173.51299999999998</v>
      </c>
      <c r="AL15" s="5421">
        <f>282.552-70.564</f>
        <v>211.98800000000003</v>
      </c>
      <c r="AM15" s="5421">
        <f>312.632-61.714</f>
        <v>250.91800000000001</v>
      </c>
      <c r="AN15" s="5422">
        <f>386.806-82.122</f>
        <v>304.68399999999997</v>
      </c>
      <c r="AO15" s="5393">
        <f>SUM(AK15:AN15)</f>
        <v>941.10299999999995</v>
      </c>
      <c r="AP15" s="5421">
        <f>408.384-120.787</f>
        <v>287.59699999999998</v>
      </c>
      <c r="AQ15" s="5421">
        <f>532.106-156.983</f>
        <v>375.12299999999999</v>
      </c>
      <c r="AR15" s="5421">
        <f>548.712-130.65</f>
        <v>418.06200000000001</v>
      </c>
      <c r="AS15" s="5422">
        <f>630.783-161.372</f>
        <v>469.411</v>
      </c>
      <c r="AT15" s="5393">
        <f>SUM(AP15:AS15)</f>
        <v>1550.1930000000002</v>
      </c>
      <c r="AU15" s="5421">
        <f>673.069-193.8</f>
        <v>479.26899999999995</v>
      </c>
      <c r="AV15" s="5421">
        <f>682.21-187.281</f>
        <v>494.92900000000003</v>
      </c>
      <c r="AW15" s="5421">
        <f>704.571-169.263</f>
        <v>535.30799999999999</v>
      </c>
      <c r="AX15" s="5422">
        <f>733.342-182.075</f>
        <v>551.26700000000005</v>
      </c>
      <c r="AY15" s="5393">
        <f>SUM(AU15:AX15)</f>
        <v>2060.7730000000001</v>
      </c>
      <c r="AZ15" s="5421">
        <f>641.643-168.561</f>
        <v>473.08199999999999</v>
      </c>
      <c r="BA15" s="5421">
        <f>707.626-182.209</f>
        <v>525.41699999999992</v>
      </c>
      <c r="BB15" s="5421">
        <f>757.524-195.624</f>
        <v>561.9</v>
      </c>
      <c r="BC15" s="5421">
        <f>736.234-178.948</f>
        <v>557.28600000000006</v>
      </c>
      <c r="BD15" s="5409">
        <f>SUM(AZ15:BC15)</f>
        <v>2117.6849999999999</v>
      </c>
      <c r="BE15" s="5423">
        <f>818-191</f>
        <v>627</v>
      </c>
      <c r="BF15" s="5421">
        <f>898-202</f>
        <v>696</v>
      </c>
      <c r="BG15" s="5421">
        <f>994-244</f>
        <v>750</v>
      </c>
      <c r="BH15" s="5421">
        <f>1051-224</f>
        <v>827</v>
      </c>
      <c r="BI15" s="5468">
        <f>SUM(BE15:BH15)</f>
        <v>2900</v>
      </c>
      <c r="BJ15" s="5421">
        <f>1226-237</f>
        <v>989</v>
      </c>
      <c r="BK15" s="5421">
        <f>1234-247</f>
        <v>987</v>
      </c>
      <c r="BL15" s="5421">
        <f>1404-311</f>
        <v>1093</v>
      </c>
      <c r="BM15" s="5421">
        <f>1298-266</f>
        <v>1032</v>
      </c>
      <c r="BN15" s="5468">
        <f>SUM(BJ15:BM15)</f>
        <v>4101</v>
      </c>
      <c r="BO15" s="5421">
        <v>1142</v>
      </c>
      <c r="BP15" s="5421">
        <v>1281</v>
      </c>
      <c r="BQ15" s="5421">
        <v>1527</v>
      </c>
      <c r="BR15" s="5422">
        <v>1487</v>
      </c>
      <c r="BS15" s="5424">
        <v>5437</v>
      </c>
      <c r="BT15" s="5421">
        <v>1142</v>
      </c>
      <c r="BU15" s="5421">
        <v>1163</v>
      </c>
      <c r="BV15" s="5421">
        <v>1190</v>
      </c>
      <c r="BW15" s="5421">
        <v>1314</v>
      </c>
      <c r="BX15" s="5468">
        <f>SUM(BT15:BW15)</f>
        <v>4809</v>
      </c>
      <c r="BY15" s="5487">
        <v>1476</v>
      </c>
      <c r="BZ15" s="5487">
        <v>1566</v>
      </c>
      <c r="CA15" s="5487">
        <v>1564</v>
      </c>
      <c r="CB15" s="5487">
        <v>1642</v>
      </c>
      <c r="CC15" s="5468">
        <v>6248</v>
      </c>
      <c r="CD15" s="5487">
        <v>1279</v>
      </c>
      <c r="CE15" s="5487">
        <v>1365</v>
      </c>
      <c r="CF15" s="5487">
        <v>1385</v>
      </c>
      <c r="CG15" s="5487">
        <f>1933-466</f>
        <v>1467</v>
      </c>
      <c r="CH15" s="5468">
        <f>7137-1641</f>
        <v>5496</v>
      </c>
      <c r="CI15" s="5487">
        <f>2126-456</f>
        <v>1670</v>
      </c>
      <c r="CJ15" s="5487">
        <f>2238-447</f>
        <v>1791</v>
      </c>
      <c r="CK15" s="5487">
        <f>2655-666</f>
        <v>1989</v>
      </c>
      <c r="CL15" s="5487">
        <f>2813-631</f>
        <v>2182</v>
      </c>
      <c r="CM15" s="5468">
        <f t="shared" ref="CM15:CM25" si="30">SUM(CI15:CL15)</f>
        <v>7632</v>
      </c>
      <c r="CN15" s="5487">
        <f>2753-615</f>
        <v>2138</v>
      </c>
      <c r="CO15" s="5487">
        <f>2789-583</f>
        <v>2206</v>
      </c>
      <c r="CP15" s="5487">
        <f>3230-741</f>
        <v>2489</v>
      </c>
      <c r="CQ15" s="5487">
        <f>3510-739</f>
        <v>2771</v>
      </c>
      <c r="CR15" s="5468">
        <f t="shared" ref="CR15:CR25" si="31">SUM(CN15:CQ15)</f>
        <v>9604</v>
      </c>
      <c r="CS15" s="5492">
        <f>3367-739</f>
        <v>2628</v>
      </c>
      <c r="CT15" s="5487">
        <f>3363-739</f>
        <v>2624</v>
      </c>
      <c r="CU15" s="5487">
        <f>3596-922</f>
        <v>2674</v>
      </c>
      <c r="CV15" s="5487">
        <f>3622-907</f>
        <v>2715</v>
      </c>
      <c r="CW15" s="5468">
        <f t="shared" ref="CW15:CW25" si="32">SUM(CS15:CV15)</f>
        <v>10641</v>
      </c>
      <c r="CX15" s="5488">
        <f>CX17-CX16</f>
        <v>2954.9127843986998</v>
      </c>
      <c r="CY15" s="5488">
        <f>CY17-CY16</f>
        <v>3187.8607800650052</v>
      </c>
      <c r="CZ15" s="5488">
        <f>CZ17-CZ16</f>
        <v>3310.7746478873241</v>
      </c>
      <c r="DA15" s="5488">
        <f>DA17-DA16</f>
        <v>3398.5086673889491</v>
      </c>
      <c r="DB15" s="5468">
        <f>SUM(CX15:DA15)</f>
        <v>12852.056879739979</v>
      </c>
      <c r="DC15" s="5488"/>
      <c r="DD15" s="5488"/>
      <c r="DE15" s="5488"/>
      <c r="DF15" s="5488"/>
      <c r="DG15" s="5468"/>
      <c r="DH15" s="5488"/>
      <c r="DI15" s="5488"/>
      <c r="DJ15" s="5488"/>
      <c r="DK15" s="5488"/>
      <c r="DL15" s="5468"/>
      <c r="DM15" s="5488"/>
      <c r="DN15" s="5488"/>
      <c r="DO15" s="5488"/>
      <c r="DP15" s="5488"/>
      <c r="DQ15" s="5468"/>
      <c r="DR15" s="5488"/>
      <c r="DS15" s="5488"/>
      <c r="DT15" s="5488"/>
      <c r="DU15" s="5488"/>
      <c r="DV15" s="5468"/>
      <c r="DW15" s="5488"/>
      <c r="DX15" s="5488"/>
      <c r="DY15" s="5488"/>
      <c r="DZ15" s="5488"/>
      <c r="EA15" s="5468"/>
      <c r="EB15" s="5488"/>
      <c r="EC15" s="5488"/>
      <c r="ED15" s="5488"/>
      <c r="EE15" s="5488"/>
      <c r="EF15" s="5468"/>
      <c r="EG15" s="5488"/>
      <c r="EH15" s="5488"/>
      <c r="EI15" s="5488"/>
      <c r="EJ15" s="5488"/>
      <c r="EK15" s="1707"/>
      <c r="EL15" s="5488"/>
      <c r="EM15" s="5488"/>
      <c r="EN15" s="5488"/>
      <c r="EO15" s="1708"/>
      <c r="EP15" s="1707"/>
      <c r="EQ15" s="1708"/>
      <c r="ER15" s="1708"/>
      <c r="ES15" s="1708"/>
      <c r="ET15" s="1708"/>
      <c r="EU15" s="1707"/>
      <c r="EV15" s="1707"/>
      <c r="EW15" s="1707"/>
      <c r="EX15" s="1707"/>
      <c r="EY15" s="1707"/>
      <c r="EZ15" s="150"/>
      <c r="FA15" s="725"/>
      <c r="FB15" s="725"/>
      <c r="FC15" s="725"/>
      <c r="FD15" s="725"/>
      <c r="FE15" s="725"/>
      <c r="FF15" s="725"/>
      <c r="FG15" s="725"/>
      <c r="FH15" s="725"/>
      <c r="FI15" s="725"/>
      <c r="FJ15" s="725"/>
      <c r="FK15" s="725"/>
      <c r="FL15" s="725"/>
    </row>
    <row r="16" spans="1:176" ht="11.25" hidden="1" customHeight="1">
      <c r="A16" s="3737" t="str">
        <f>CONCATENATE("SBC in ",A15)</f>
        <v>SBC in Research &amp; development - non-GAAP</v>
      </c>
      <c r="B16" s="5425"/>
      <c r="C16" s="5425"/>
      <c r="D16" s="5425"/>
      <c r="E16" s="5426"/>
      <c r="F16" s="5389"/>
      <c r="G16" s="5425"/>
      <c r="H16" s="5425"/>
      <c r="I16" s="5425"/>
      <c r="J16" s="5427"/>
      <c r="K16" s="5389"/>
      <c r="L16" s="5428"/>
      <c r="M16" s="5428"/>
      <c r="N16" s="5428"/>
      <c r="O16" s="5427"/>
      <c r="P16" s="5408">
        <v>4.4400000000000004</v>
      </c>
      <c r="Q16" s="5428"/>
      <c r="R16" s="5428"/>
      <c r="S16" s="5428"/>
      <c r="T16" s="5427"/>
      <c r="U16" s="5408">
        <v>8.7460000000000004</v>
      </c>
      <c r="V16" s="5429"/>
      <c r="W16" s="5425"/>
      <c r="X16" s="5425"/>
      <c r="Y16" s="5426"/>
      <c r="Z16" s="5408">
        <v>138.37700000000001</v>
      </c>
      <c r="AA16" s="5429"/>
      <c r="AB16" s="5425"/>
      <c r="AC16" s="5425"/>
      <c r="AD16" s="5426"/>
      <c r="AE16" s="5408">
        <v>169.53200000000001</v>
      </c>
      <c r="AF16" s="5429"/>
      <c r="AG16" s="5425"/>
      <c r="AH16" s="5425"/>
      <c r="AI16" s="5426"/>
      <c r="AJ16" s="5408">
        <v>115.532</v>
      </c>
      <c r="AK16" s="5425">
        <f>AK17-AK15</f>
        <v>73.086000000000013</v>
      </c>
      <c r="AL16" s="5425">
        <f>AL17-AL15</f>
        <v>70.563999999999993</v>
      </c>
      <c r="AM16" s="5425">
        <f>AM17-AM15</f>
        <v>61.713999999999999</v>
      </c>
      <c r="AN16" s="5425">
        <f>AN17-AN15</f>
        <v>82.122000000000014</v>
      </c>
      <c r="AO16" s="5389">
        <f>SUM(AK16:AN16)</f>
        <v>287.48599999999999</v>
      </c>
      <c r="AP16" s="5430">
        <v>120.78700000000001</v>
      </c>
      <c r="AQ16" s="5430">
        <v>156.983</v>
      </c>
      <c r="AR16" s="5430">
        <v>130.65</v>
      </c>
      <c r="AS16" s="5431">
        <v>161.37200000000001</v>
      </c>
      <c r="AT16" s="5389">
        <f>SUM(AP16:AS16)</f>
        <v>569.79199999999992</v>
      </c>
      <c r="AU16" s="5430">
        <v>193.8</v>
      </c>
      <c r="AV16" s="5430">
        <v>187.28100000000001</v>
      </c>
      <c r="AW16" s="5430">
        <v>169.26300000000001</v>
      </c>
      <c r="AX16" s="5431">
        <v>182.07499999999999</v>
      </c>
      <c r="AY16" s="5389">
        <f>SUM(AU16:AX16)</f>
        <v>732.4190000000001</v>
      </c>
      <c r="AZ16" s="5430">
        <v>168.56100000000001</v>
      </c>
      <c r="BA16" s="5430">
        <v>182.209</v>
      </c>
      <c r="BB16" s="5430">
        <v>195.624</v>
      </c>
      <c r="BC16" s="5430">
        <v>178.94800000000001</v>
      </c>
      <c r="BD16" s="5389">
        <f>SUM(AZ16:BC16)</f>
        <v>725.34199999999998</v>
      </c>
      <c r="BE16" s="5432">
        <v>191</v>
      </c>
      <c r="BF16" s="5430">
        <v>202</v>
      </c>
      <c r="BG16" s="5430">
        <v>244</v>
      </c>
      <c r="BH16" s="5430">
        <v>224</v>
      </c>
      <c r="BI16" s="5471">
        <f>SUM(BE16:BH16)</f>
        <v>861</v>
      </c>
      <c r="BJ16" s="5430">
        <v>237</v>
      </c>
      <c r="BK16" s="5430">
        <v>247</v>
      </c>
      <c r="BL16" s="5430">
        <v>311</v>
      </c>
      <c r="BM16" s="5430">
        <v>266</v>
      </c>
      <c r="BN16" s="5471">
        <f>SUM(BJ16:BM16)</f>
        <v>1061</v>
      </c>
      <c r="BO16" s="5430"/>
      <c r="BP16" s="5430"/>
      <c r="BQ16" s="5430"/>
      <c r="BR16" s="5431"/>
      <c r="BS16" s="5433"/>
      <c r="BT16" s="5425"/>
      <c r="BU16" s="5425"/>
      <c r="BV16" s="5425"/>
      <c r="BW16" s="5425"/>
      <c r="BX16" s="5471">
        <f>BX17-BX15</f>
        <v>1274</v>
      </c>
      <c r="BY16" s="5489"/>
      <c r="BZ16" s="5489"/>
      <c r="CA16" s="5489"/>
      <c r="CB16" s="5489"/>
      <c r="CC16" s="5471"/>
      <c r="CD16" s="5490">
        <f>CD17-CD15</f>
        <v>338</v>
      </c>
      <c r="CE16" s="5490">
        <f>CE17-CE15</f>
        <v>401</v>
      </c>
      <c r="CF16" s="5490">
        <f>CF17-CF15</f>
        <v>436</v>
      </c>
      <c r="CG16" s="5489">
        <v>466</v>
      </c>
      <c r="CH16" s="5471">
        <f>SUM(CD16:CG16)</f>
        <v>1641</v>
      </c>
      <c r="CI16" s="5489">
        <v>456</v>
      </c>
      <c r="CJ16" s="5489">
        <v>447</v>
      </c>
      <c r="CK16" s="5489">
        <v>666</v>
      </c>
      <c r="CL16" s="5489">
        <v>631</v>
      </c>
      <c r="CM16" s="5471">
        <f>SUM(CI16:CL16)</f>
        <v>2200</v>
      </c>
      <c r="CN16" s="5489">
        <v>615</v>
      </c>
      <c r="CO16" s="5489">
        <v>583</v>
      </c>
      <c r="CP16" s="5489">
        <v>741</v>
      </c>
      <c r="CQ16" s="5489">
        <v>739</v>
      </c>
      <c r="CR16" s="5471">
        <f t="shared" si="31"/>
        <v>2678</v>
      </c>
      <c r="CS16" s="5493">
        <v>739</v>
      </c>
      <c r="CT16" s="5489">
        <v>739</v>
      </c>
      <c r="CU16" s="5489">
        <v>922</v>
      </c>
      <c r="CV16" s="5489">
        <v>907</v>
      </c>
      <c r="CW16" s="5471">
        <f t="shared" si="32"/>
        <v>3307</v>
      </c>
      <c r="CX16" s="5490">
        <f>CV16/CV$24*CX$24</f>
        <v>987.08721560130016</v>
      </c>
      <c r="CY16" s="5490">
        <f>CX16/CX$24*CY$24</f>
        <v>984.13921993499457</v>
      </c>
      <c r="CZ16" s="5490">
        <f>CY16/CY$24*CZ$24</f>
        <v>894.22535211267609</v>
      </c>
      <c r="DA16" s="5490">
        <f>CZ16/CZ$24*DA$24</f>
        <v>907.49133261105089</v>
      </c>
      <c r="DB16" s="5471">
        <f>SUM(CX16:DA16)</f>
        <v>3772.9431202600217</v>
      </c>
      <c r="DC16" s="5490"/>
      <c r="DD16" s="5490"/>
      <c r="DE16" s="5490"/>
      <c r="DF16" s="5490"/>
      <c r="DG16" s="5471"/>
      <c r="DH16" s="5490"/>
      <c r="DI16" s="5490"/>
      <c r="DJ16" s="5490"/>
      <c r="DK16" s="5490"/>
      <c r="DL16" s="5471"/>
      <c r="DM16" s="5491"/>
      <c r="DN16" s="5491"/>
      <c r="DO16" s="5491"/>
      <c r="DP16" s="5491"/>
      <c r="DQ16" s="5471"/>
      <c r="DR16" s="5491"/>
      <c r="DS16" s="5491"/>
      <c r="DT16" s="5491"/>
      <c r="DU16" s="5491"/>
      <c r="DV16" s="5471"/>
      <c r="DW16" s="5491"/>
      <c r="DX16" s="5491"/>
      <c r="DY16" s="5491"/>
      <c r="DZ16" s="5491"/>
      <c r="EA16" s="5471"/>
      <c r="EB16" s="5491"/>
      <c r="EC16" s="5491"/>
      <c r="ED16" s="5491"/>
      <c r="EE16" s="5491"/>
      <c r="EF16" s="5471"/>
      <c r="EG16" s="5491"/>
      <c r="EH16" s="5491"/>
      <c r="EI16" s="5491"/>
      <c r="EJ16" s="5491"/>
      <c r="EK16" s="1844"/>
      <c r="EL16" s="5491"/>
      <c r="EM16" s="5491"/>
      <c r="EN16" s="5491"/>
      <c r="EO16" s="4302"/>
      <c r="EP16" s="1844"/>
      <c r="EQ16" s="4302"/>
      <c r="ER16" s="4302"/>
      <c r="ES16" s="4302"/>
      <c r="ET16" s="4302"/>
      <c r="EU16" s="1844"/>
      <c r="EV16" s="1844"/>
      <c r="EW16" s="1844"/>
      <c r="EX16" s="1844"/>
      <c r="EY16" s="1844"/>
      <c r="EZ16" s="150"/>
      <c r="FA16" s="725"/>
      <c r="FB16" s="725"/>
      <c r="FC16" s="725"/>
      <c r="FD16" s="725"/>
      <c r="FE16" s="725"/>
      <c r="FF16" s="725"/>
      <c r="FG16" s="725"/>
      <c r="FH16" s="725"/>
      <c r="FI16" s="725"/>
      <c r="FJ16" s="725"/>
      <c r="FK16" s="725"/>
      <c r="FL16" s="725"/>
    </row>
    <row r="17" spans="1:168" ht="11.25" customHeight="1">
      <c r="A17" s="3738" t="s">
        <v>187</v>
      </c>
      <c r="B17" s="5434"/>
      <c r="C17" s="5434"/>
      <c r="D17" s="5434"/>
      <c r="E17" s="5435"/>
      <c r="F17" s="5395"/>
      <c r="G17" s="5434"/>
      <c r="H17" s="5434"/>
      <c r="I17" s="5434"/>
      <c r="J17" s="5436"/>
      <c r="K17" s="5395"/>
      <c r="L17" s="71"/>
      <c r="M17" s="71"/>
      <c r="N17" s="71"/>
      <c r="O17" s="5436"/>
      <c r="P17" s="5394">
        <f>SUM(P15:P16)</f>
        <v>20.94</v>
      </c>
      <c r="Q17" s="5434"/>
      <c r="R17" s="5434"/>
      <c r="S17" s="5434"/>
      <c r="T17" s="5435"/>
      <c r="U17" s="5394">
        <f>SUM(U15:U16)</f>
        <v>40.494</v>
      </c>
      <c r="V17" s="5437"/>
      <c r="W17" s="5434"/>
      <c r="X17" s="5434"/>
      <c r="Y17" s="5435"/>
      <c r="Z17" s="5394">
        <f>SUM(Z15:Z16)</f>
        <v>229.60500000000002</v>
      </c>
      <c r="AA17" s="5438"/>
      <c r="AB17" s="5439"/>
      <c r="AC17" s="5439"/>
      <c r="AD17" s="5440"/>
      <c r="AE17" s="5394">
        <f>SUM(AE15:AE16)</f>
        <v>395.16399999999999</v>
      </c>
      <c r="AF17" s="5438"/>
      <c r="AG17" s="5439"/>
      <c r="AH17" s="5439"/>
      <c r="AI17" s="5440"/>
      <c r="AJ17" s="5394">
        <f>SUM(AJ15:AJ16)</f>
        <v>599.50900000000001</v>
      </c>
      <c r="AK17" s="5441">
        <f>246.599</f>
        <v>246.59899999999999</v>
      </c>
      <c r="AL17" s="5441">
        <f>282.552</f>
        <v>282.55200000000002</v>
      </c>
      <c r="AM17" s="5441">
        <f>312.632</f>
        <v>312.63200000000001</v>
      </c>
      <c r="AN17" s="5442">
        <f>386.806</f>
        <v>386.80599999999998</v>
      </c>
      <c r="AO17" s="5443">
        <f t="shared" ref="AO17:BN17" si="33">SUM(AO15:AO16)</f>
        <v>1228.5889999999999</v>
      </c>
      <c r="AP17" s="5434">
        <f t="shared" si="33"/>
        <v>408.38400000000001</v>
      </c>
      <c r="AQ17" s="5434">
        <f t="shared" si="33"/>
        <v>532.10599999999999</v>
      </c>
      <c r="AR17" s="5434">
        <f t="shared" si="33"/>
        <v>548.71199999999999</v>
      </c>
      <c r="AS17" s="5434">
        <f t="shared" si="33"/>
        <v>630.78300000000002</v>
      </c>
      <c r="AT17" s="5443">
        <f t="shared" si="33"/>
        <v>2119.9850000000001</v>
      </c>
      <c r="AU17" s="5434">
        <f t="shared" si="33"/>
        <v>673.06899999999996</v>
      </c>
      <c r="AV17" s="5434">
        <f t="shared" si="33"/>
        <v>682.21</v>
      </c>
      <c r="AW17" s="5434">
        <f t="shared" si="33"/>
        <v>704.57100000000003</v>
      </c>
      <c r="AX17" s="5434">
        <f t="shared" si="33"/>
        <v>733.3420000000001</v>
      </c>
      <c r="AY17" s="5443">
        <f t="shared" si="33"/>
        <v>2793.192</v>
      </c>
      <c r="AZ17" s="5434">
        <f t="shared" si="33"/>
        <v>641.64300000000003</v>
      </c>
      <c r="BA17" s="5434">
        <f t="shared" si="33"/>
        <v>707.62599999999998</v>
      </c>
      <c r="BB17" s="5434">
        <f t="shared" si="33"/>
        <v>757.524</v>
      </c>
      <c r="BC17" s="5434">
        <f t="shared" si="33"/>
        <v>736.23400000000004</v>
      </c>
      <c r="BD17" s="5443">
        <f t="shared" si="33"/>
        <v>2843.027</v>
      </c>
      <c r="BE17" s="5434">
        <f t="shared" si="33"/>
        <v>818</v>
      </c>
      <c r="BF17" s="5434">
        <f t="shared" si="33"/>
        <v>898</v>
      </c>
      <c r="BG17" s="5434">
        <f t="shared" si="33"/>
        <v>994</v>
      </c>
      <c r="BH17" s="5434">
        <f t="shared" si="33"/>
        <v>1051</v>
      </c>
      <c r="BI17" s="5498">
        <f t="shared" si="33"/>
        <v>3761</v>
      </c>
      <c r="BJ17" s="5434">
        <f t="shared" si="33"/>
        <v>1226</v>
      </c>
      <c r="BK17" s="5434">
        <f t="shared" si="33"/>
        <v>1234</v>
      </c>
      <c r="BL17" s="5434">
        <f t="shared" si="33"/>
        <v>1404</v>
      </c>
      <c r="BM17" s="5434">
        <f t="shared" si="33"/>
        <v>1298</v>
      </c>
      <c r="BN17" s="5498">
        <f t="shared" si="33"/>
        <v>5162</v>
      </c>
      <c r="BO17" s="5441"/>
      <c r="BP17" s="5441"/>
      <c r="BQ17" s="5441"/>
      <c r="BR17" s="5442"/>
      <c r="BS17" s="5443"/>
      <c r="BT17" s="5441"/>
      <c r="BU17" s="5441"/>
      <c r="BV17" s="5441"/>
      <c r="BW17" s="5441"/>
      <c r="BX17" s="5470">
        <v>6083</v>
      </c>
      <c r="BY17" s="5040"/>
      <c r="BZ17" s="5040"/>
      <c r="CA17" s="5040"/>
      <c r="CB17" s="5040"/>
      <c r="CC17" s="5474"/>
      <c r="CD17" s="5480">
        <f>1617</f>
        <v>1617</v>
      </c>
      <c r="CE17" s="5480">
        <v>1766</v>
      </c>
      <c r="CF17" s="5480">
        <v>1821</v>
      </c>
      <c r="CG17" s="5040">
        <f t="shared" ref="CG17:CL17" si="34">SUM(CG15,CG16)</f>
        <v>1933</v>
      </c>
      <c r="CH17" s="5474">
        <f>SUM(CH15:CH16)</f>
        <v>7137</v>
      </c>
      <c r="CI17" s="5040">
        <f t="shared" si="34"/>
        <v>2126</v>
      </c>
      <c r="CJ17" s="5040">
        <f t="shared" si="34"/>
        <v>2238</v>
      </c>
      <c r="CK17" s="5040">
        <f t="shared" si="34"/>
        <v>2655</v>
      </c>
      <c r="CL17" s="5040">
        <f t="shared" si="34"/>
        <v>2813</v>
      </c>
      <c r="CM17" s="5474">
        <f>SUM(CM15:CM16)</f>
        <v>9832</v>
      </c>
      <c r="CN17" s="5040">
        <f>SUM(CN15,CN16)</f>
        <v>2753</v>
      </c>
      <c r="CO17" s="5040">
        <f>SUM(CO15,CO16)</f>
        <v>2789</v>
      </c>
      <c r="CP17" s="5040">
        <f>SUM(CP15,CP16)</f>
        <v>3230</v>
      </c>
      <c r="CQ17" s="5040">
        <f>SUM(CQ15,CQ16)</f>
        <v>3510</v>
      </c>
      <c r="CR17" s="5474">
        <f t="shared" si="31"/>
        <v>12282</v>
      </c>
      <c r="CS17" s="5040">
        <f>SUM(CS15,CS16)</f>
        <v>3367</v>
      </c>
      <c r="CT17" s="5040">
        <f>SUM(CT15,CT16)</f>
        <v>3363</v>
      </c>
      <c r="CU17" s="5040">
        <f>SUM(CU15,CU16)</f>
        <v>3596</v>
      </c>
      <c r="CV17" s="5040">
        <f>SUM(CV15,CV16)</f>
        <v>3622</v>
      </c>
      <c r="CW17" s="5474">
        <f t="shared" si="32"/>
        <v>13948</v>
      </c>
      <c r="CX17" s="5480">
        <v>3942</v>
      </c>
      <c r="CY17" s="5480">
        <v>4172</v>
      </c>
      <c r="CZ17" s="5480">
        <v>4205</v>
      </c>
      <c r="DA17" s="5480">
        <v>4306</v>
      </c>
      <c r="DB17" s="5474">
        <f t="shared" ref="DB17:DB25" si="35">SUM(CX17:DA17)</f>
        <v>16625</v>
      </c>
      <c r="DC17" s="5480">
        <v>5039</v>
      </c>
      <c r="DD17" s="5480">
        <v>5114</v>
      </c>
      <c r="DE17" s="5480">
        <v>5232</v>
      </c>
      <c r="DF17" s="5480">
        <v>6034</v>
      </c>
      <c r="DG17" s="5474">
        <f>SUM(DC17:DF17)</f>
        <v>21419</v>
      </c>
      <c r="DH17" s="5480">
        <v>6029</v>
      </c>
      <c r="DI17" s="5480">
        <v>6213</v>
      </c>
      <c r="DJ17" s="5480">
        <v>6554</v>
      </c>
      <c r="DK17" s="5480">
        <v>7222</v>
      </c>
      <c r="DL17" s="5474">
        <f>SUM(DH17:DK17)</f>
        <v>26018</v>
      </c>
      <c r="DM17" s="5480">
        <v>6820</v>
      </c>
      <c r="DN17" s="5480">
        <v>6875</v>
      </c>
      <c r="DO17" s="5480">
        <v>6856</v>
      </c>
      <c r="DP17" s="5480">
        <v>7022</v>
      </c>
      <c r="DQ17" s="5474">
        <f>SUM(DM17:DP17)</f>
        <v>27573</v>
      </c>
      <c r="DR17" s="5480">
        <v>7485</v>
      </c>
      <c r="DS17" s="5480">
        <v>7675</v>
      </c>
      <c r="DT17" s="5480">
        <v>7694</v>
      </c>
      <c r="DU17" s="5480">
        <v>8708</v>
      </c>
      <c r="DV17" s="5474">
        <f>SUM(DR17:DU17)</f>
        <v>31562</v>
      </c>
      <c r="DW17" s="5480">
        <v>9119</v>
      </c>
      <c r="DX17" s="5480">
        <v>9841</v>
      </c>
      <c r="DY17" s="5480">
        <v>10273</v>
      </c>
      <c r="DZ17" s="5480">
        <v>10267</v>
      </c>
      <c r="EA17" s="5474">
        <f>SUM(DW17:DZ17)</f>
        <v>39500</v>
      </c>
      <c r="EB17" s="5480">
        <f>11468</f>
        <v>11468</v>
      </c>
      <c r="EC17" s="5480">
        <v>10588</v>
      </c>
      <c r="ED17" s="5480">
        <v>11258</v>
      </c>
      <c r="EE17" s="5480">
        <v>12113</v>
      </c>
      <c r="EF17" s="5474">
        <f>SUM(EB17:EE17)</f>
        <v>45427</v>
      </c>
      <c r="EG17" s="5480">
        <v>11903</v>
      </c>
      <c r="EH17" s="5480">
        <v>11860</v>
      </c>
      <c r="EI17" s="5480">
        <v>12447</v>
      </c>
      <c r="EJ17" s="5480">
        <v>13116</v>
      </c>
      <c r="EK17" s="999">
        <f>SUM(EG17:EJ17)</f>
        <v>49326</v>
      </c>
      <c r="EL17" s="5480">
        <v>13556</v>
      </c>
      <c r="EM17" s="5480">
        <v>13808</v>
      </c>
      <c r="EN17" s="5480">
        <v>15151</v>
      </c>
      <c r="EO17" s="150">
        <f>EO9*EO117</f>
        <v>15742.038083969039</v>
      </c>
      <c r="EP17" s="999">
        <f>SUM(EL17:EO17)</f>
        <v>58257.038083969041</v>
      </c>
      <c r="EQ17" s="150">
        <f t="shared" ref="EQ17:ET17" si="36">EQ9*EQ117</f>
        <v>16267.471663200749</v>
      </c>
      <c r="ER17" s="150">
        <f t="shared" si="36"/>
        <v>16539.005022910042</v>
      </c>
      <c r="ES17" s="150">
        <f t="shared" si="36"/>
        <v>17975.965857810308</v>
      </c>
      <c r="ET17" s="150">
        <f t="shared" si="36"/>
        <v>18630.933378883074</v>
      </c>
      <c r="EU17" s="999">
        <f>SUM(EQ17:ET17)</f>
        <v>69413.375922804174</v>
      </c>
      <c r="EV17" s="999">
        <f>EV9*EV117</f>
        <v>77831.026955346795</v>
      </c>
      <c r="EW17" s="999">
        <f>EW9*EW117</f>
        <v>85083.540703275823</v>
      </c>
      <c r="EX17" s="999">
        <f>EX9*EX117</f>
        <v>92298.271988806664</v>
      </c>
      <c r="EY17" s="999">
        <f>EY9*EY117</f>
        <v>99414.132117507237</v>
      </c>
      <c r="EZ17" s="150"/>
      <c r="FA17" s="1319">
        <f t="shared" ref="FA17:FA24" si="37">(EA17/DL17)^(1/3)-1</f>
        <v>0.14932025910035263</v>
      </c>
      <c r="FB17" s="1319">
        <f>(EF17/DQ17)^(1/3)-1</f>
        <v>0.18107282949306036</v>
      </c>
      <c r="FC17" s="1319">
        <f>(EK17/DV17)^(1/3)-1</f>
        <v>0.16047857731939619</v>
      </c>
      <c r="FD17" s="1319">
        <f>(EP17/EA17)^(1/3)-1</f>
        <v>0.1382834851582575</v>
      </c>
      <c r="FE17" s="1319">
        <f t="shared" ref="FE17:FE23" si="38">(EU17/EF17)^(1/3)-1</f>
        <v>0.15179813231111172</v>
      </c>
      <c r="FF17" s="1319">
        <f t="shared" ref="FF17:FF23" si="39">(EV17/EK17)^(1/3)-1</f>
        <v>0.16419470785837742</v>
      </c>
      <c r="FG17" s="1319">
        <f t="shared" ref="FG17:FG24" si="40">(EK17/DL17)^(1/5)-1</f>
        <v>0.13647633778589818</v>
      </c>
      <c r="FH17" s="1319">
        <f>(EP17/DQ17)^(1/5)-1</f>
        <v>0.16137607721810565</v>
      </c>
      <c r="FI17" s="1319">
        <f>(EU17/DV17)^(1/5)-1</f>
        <v>0.17072725836648162</v>
      </c>
      <c r="FJ17" s="1319">
        <f>(EV17/EA17)^(1/5)-1</f>
        <v>0.1452785663054359</v>
      </c>
      <c r="FK17" s="1319">
        <f t="shared" ref="FK17:FK24" si="41">(EW17/EF17)^(1/5)-1</f>
        <v>0.13372128280792617</v>
      </c>
      <c r="FL17" s="1319">
        <f t="shared" ref="FL17:FL23" si="42">(EX17/EK17)^(1/5)-1</f>
        <v>0.13350524572020928</v>
      </c>
    </row>
    <row r="18" spans="1:168" ht="11.25" hidden="1" customHeight="1">
      <c r="A18" s="3736" t="s">
        <v>567</v>
      </c>
      <c r="B18" s="5391"/>
      <c r="C18" s="5391"/>
      <c r="D18" s="5391"/>
      <c r="E18" s="5392"/>
      <c r="F18" s="5407">
        <v>1.677</v>
      </c>
      <c r="G18" s="5391"/>
      <c r="H18" s="5391"/>
      <c r="I18" s="5391"/>
      <c r="J18" s="5416"/>
      <c r="K18" s="5407">
        <v>10.385</v>
      </c>
      <c r="L18" s="5417"/>
      <c r="M18" s="5417"/>
      <c r="N18" s="5417"/>
      <c r="O18" s="5416"/>
      <c r="P18" s="5407">
        <v>20.076000000000001</v>
      </c>
      <c r="Q18" s="5418">
        <v>7.2939999999999996</v>
      </c>
      <c r="R18" s="5418">
        <v>11.176</v>
      </c>
      <c r="S18" s="5418">
        <v>11.704000000000001</v>
      </c>
      <c r="T18" s="5419">
        <v>13.675000000000001</v>
      </c>
      <c r="U18" s="5393">
        <f>SUM(Q18:T18)</f>
        <v>43.849000000000004</v>
      </c>
      <c r="V18" s="5420">
        <v>17.766999999999999</v>
      </c>
      <c r="W18" s="5421">
        <v>24.821999999999999</v>
      </c>
      <c r="X18" s="5421">
        <v>36.575000000000003</v>
      </c>
      <c r="Y18" s="5422">
        <v>41.164000000000001</v>
      </c>
      <c r="Z18" s="5393">
        <f>SUM(V18:Y18)</f>
        <v>120.328</v>
      </c>
      <c r="AA18" s="5420">
        <v>47.904000000000003</v>
      </c>
      <c r="AB18" s="5421">
        <v>56.777000000000001</v>
      </c>
      <c r="AC18" s="5421">
        <v>65.512</v>
      </c>
      <c r="AD18" s="5422">
        <v>76.106999999999999</v>
      </c>
      <c r="AE18" s="5393">
        <f>SUM(AA18:AD18)</f>
        <v>246.3</v>
      </c>
      <c r="AF18" s="5420">
        <v>82.951999999999998</v>
      </c>
      <c r="AG18" s="5421">
        <v>97.024000000000001</v>
      </c>
      <c r="AH18" s="5421">
        <v>104.996</v>
      </c>
      <c r="AI18" s="5422">
        <v>154.76900000000001</v>
      </c>
      <c r="AJ18" s="5393">
        <f>SUM(AF18:AI18)</f>
        <v>439.74099999999999</v>
      </c>
      <c r="AK18" s="5421">
        <f>190.943-15.929</f>
        <v>175.01400000000001</v>
      </c>
      <c r="AL18" s="5421">
        <f>196.397-14.285</f>
        <v>182.11199999999999</v>
      </c>
      <c r="AM18" s="5421">
        <f>206.972-14.673</f>
        <v>192.29900000000001</v>
      </c>
      <c r="AN18" s="5422">
        <f>255.206-14.502</f>
        <v>240.70399999999998</v>
      </c>
      <c r="AO18" s="5393">
        <f>SUM(AK18:AN18)</f>
        <v>790.12899999999991</v>
      </c>
      <c r="AP18" s="5421">
        <f>302.552-27.25</f>
        <v>275.30200000000002</v>
      </c>
      <c r="AQ18" s="5421">
        <f>355.604-36.385</f>
        <v>319.21899999999999</v>
      </c>
      <c r="AR18" s="5421">
        <f>380.82-29.918</f>
        <v>350.90199999999999</v>
      </c>
      <c r="AS18" s="5422">
        <f>422.291-38.085</f>
        <v>384.20600000000002</v>
      </c>
      <c r="AT18" s="5393">
        <f>SUM(AP18:AS18)</f>
        <v>1329.6289999999999</v>
      </c>
      <c r="AU18" s="5421">
        <f>446.898-42.576</f>
        <v>404.322</v>
      </c>
      <c r="AV18" s="5421">
        <f>484.552-42.593</f>
        <v>441.959</v>
      </c>
      <c r="AW18" s="5421">
        <f>508.801-64.497</f>
        <v>444.30399999999997</v>
      </c>
      <c r="AX18" s="5422">
        <f>505.993-56.354</f>
        <v>449.63900000000001</v>
      </c>
      <c r="AY18" s="5393">
        <f>SUM(AU18:AX18)</f>
        <v>1740.2240000000002</v>
      </c>
      <c r="AZ18" s="5421">
        <f>433.941-59.026</f>
        <v>374.91499999999996</v>
      </c>
      <c r="BA18" s="5421">
        <f>469.039-57.294</f>
        <v>411.745</v>
      </c>
      <c r="BB18" s="5421">
        <f>497.812-62.26</f>
        <v>435.55200000000002</v>
      </c>
      <c r="BC18" s="5421">
        <f>583.149-52.439</f>
        <v>530.71</v>
      </c>
      <c r="BD18" s="5409">
        <f>SUM(AZ18:BC18)</f>
        <v>1752.922</v>
      </c>
      <c r="BE18" s="5423">
        <f>607-54</f>
        <v>553</v>
      </c>
      <c r="BF18" s="5421">
        <f>629-56</f>
        <v>573</v>
      </c>
      <c r="BG18" s="5421">
        <f>661-75</f>
        <v>586</v>
      </c>
      <c r="BH18" s="5421">
        <f>902-76</f>
        <v>826</v>
      </c>
      <c r="BI18" s="5468">
        <f>SUM(BE18:BH18)</f>
        <v>2538</v>
      </c>
      <c r="BJ18" s="5421">
        <f>1026-78</f>
        <v>948</v>
      </c>
      <c r="BK18" s="5421">
        <f>1091-74</f>
        <v>1017</v>
      </c>
      <c r="BL18" s="5421">
        <f>1204-104</f>
        <v>1100</v>
      </c>
      <c r="BM18" s="5421">
        <f>1268-105</f>
        <v>1163</v>
      </c>
      <c r="BN18" s="5468">
        <f>SUM(BJ18:BM18)</f>
        <v>4228</v>
      </c>
      <c r="BO18" s="5421">
        <v>1172</v>
      </c>
      <c r="BP18" s="5421">
        <v>1294</v>
      </c>
      <c r="BQ18" s="5421">
        <v>1521</v>
      </c>
      <c r="BR18" s="5422">
        <v>1611</v>
      </c>
      <c r="BS18" s="5424">
        <v>5598</v>
      </c>
      <c r="BT18" s="5421">
        <v>1172</v>
      </c>
      <c r="BU18" s="5421">
        <v>1185</v>
      </c>
      <c r="BV18" s="5421">
        <v>1259</v>
      </c>
      <c r="BW18" s="5421">
        <v>1401</v>
      </c>
      <c r="BX18" s="5468">
        <f>SUM(BT18:BW18)</f>
        <v>5017</v>
      </c>
      <c r="BY18" s="5487">
        <v>1461</v>
      </c>
      <c r="BZ18" s="5487">
        <v>1601</v>
      </c>
      <c r="CA18" s="5487">
        <v>1646</v>
      </c>
      <c r="CB18" s="5487">
        <v>1970</v>
      </c>
      <c r="CC18" s="5468">
        <v>6678</v>
      </c>
      <c r="CD18" s="5487">
        <v>1317</v>
      </c>
      <c r="CE18" s="5487">
        <v>1458</v>
      </c>
      <c r="CF18" s="5487">
        <v>1473</v>
      </c>
      <c r="CG18" s="5487">
        <f>1908-154</f>
        <v>1754</v>
      </c>
      <c r="CH18" s="5468">
        <f>6554-552</f>
        <v>6002</v>
      </c>
      <c r="CI18" s="5487">
        <f>1729-147</f>
        <v>1582</v>
      </c>
      <c r="CJ18" s="5487">
        <f>1941-158</f>
        <v>1783</v>
      </c>
      <c r="CK18" s="5487">
        <f>2084-197</f>
        <v>1887</v>
      </c>
      <c r="CL18" s="5487">
        <f>2377-213</f>
        <v>2164</v>
      </c>
      <c r="CM18" s="5468">
        <f t="shared" si="30"/>
        <v>7416</v>
      </c>
      <c r="CN18" s="5487">
        <f>2065-205</f>
        <v>1860</v>
      </c>
      <c r="CO18" s="5487">
        <f>2080-196</f>
        <v>1884</v>
      </c>
      <c r="CP18" s="5487">
        <f>2223-250</f>
        <v>1973</v>
      </c>
      <c r="CQ18" s="5487">
        <f>2679-240</f>
        <v>2439</v>
      </c>
      <c r="CR18" s="5468">
        <f t="shared" si="31"/>
        <v>8156</v>
      </c>
      <c r="CS18" s="5492">
        <f>2387-242</f>
        <v>2145</v>
      </c>
      <c r="CT18" s="5487">
        <f>2415-238</f>
        <v>2177</v>
      </c>
      <c r="CU18" s="5487">
        <f>2565-297</f>
        <v>2268</v>
      </c>
      <c r="CV18" s="5487">
        <f>3118-301</f>
        <v>2817</v>
      </c>
      <c r="CW18" s="5468">
        <f t="shared" si="32"/>
        <v>9407</v>
      </c>
      <c r="CX18" s="5488">
        <f>CX20-CX19</f>
        <v>2316.421993499458</v>
      </c>
      <c r="CY18" s="5488">
        <f>CY20-CY19</f>
        <v>2570.4003250270857</v>
      </c>
      <c r="CZ18" s="5488">
        <f>CZ20-CZ19</f>
        <v>2745.2394366197182</v>
      </c>
      <c r="DA18" s="5488">
        <f>DA20-DA19</f>
        <v>4008.8369447453956</v>
      </c>
      <c r="DB18" s="5468">
        <f>SUM(CX18:DA18)</f>
        <v>11640.898699891657</v>
      </c>
      <c r="DC18" s="5488"/>
      <c r="DD18" s="5488"/>
      <c r="DE18" s="5488"/>
      <c r="DF18" s="5488"/>
      <c r="DG18" s="5468"/>
      <c r="DH18" s="5488"/>
      <c r="DI18" s="5487"/>
      <c r="DJ18" s="5488"/>
      <c r="DK18" s="5488"/>
      <c r="DL18" s="5468"/>
      <c r="DM18" s="5487"/>
      <c r="DN18" s="5487"/>
      <c r="DO18" s="5488"/>
      <c r="DP18" s="5488"/>
      <c r="DQ18" s="5468"/>
      <c r="DR18" s="5488"/>
      <c r="DS18" s="5488"/>
      <c r="DT18" s="5488"/>
      <c r="DU18" s="5488"/>
      <c r="DV18" s="5468"/>
      <c r="DW18" s="5488"/>
      <c r="DX18" s="5488"/>
      <c r="DY18" s="5488"/>
      <c r="DZ18" s="5488"/>
      <c r="EA18" s="5468"/>
      <c r="EB18" s="5488"/>
      <c r="EC18" s="5488"/>
      <c r="ED18" s="5488"/>
      <c r="EE18" s="5488"/>
      <c r="EF18" s="5468"/>
      <c r="EG18" s="5488"/>
      <c r="EH18" s="5488"/>
      <c r="EI18" s="5488"/>
      <c r="EJ18" s="5488"/>
      <c r="EK18" s="1707"/>
      <c r="EL18" s="5488"/>
      <c r="EM18" s="5488"/>
      <c r="EN18" s="5488"/>
      <c r="EO18" s="1708"/>
      <c r="EP18" s="1707"/>
      <c r="EQ18" s="1708"/>
      <c r="ER18" s="1708"/>
      <c r="ES18" s="1708"/>
      <c r="ET18" s="1708"/>
      <c r="EU18" s="1707"/>
      <c r="EV18" s="1710"/>
      <c r="EW18" s="1710"/>
      <c r="EX18" s="1710"/>
      <c r="EY18" s="1710"/>
      <c r="EZ18" s="42"/>
      <c r="FA18" s="1319"/>
      <c r="FB18" s="1319"/>
      <c r="FC18" s="1319"/>
      <c r="FD18" s="1319"/>
      <c r="FE18" s="1319" t="e">
        <f t="shared" si="38"/>
        <v>#DIV/0!</v>
      </c>
      <c r="FF18" s="1319" t="e">
        <f t="shared" si="39"/>
        <v>#DIV/0!</v>
      </c>
      <c r="FG18" s="1319"/>
      <c r="FH18" s="1319"/>
      <c r="FI18" s="1319"/>
      <c r="FJ18" s="1319"/>
      <c r="FK18" s="1319" t="e">
        <f t="shared" si="41"/>
        <v>#DIV/0!</v>
      </c>
      <c r="FL18" s="1319" t="e">
        <f t="shared" si="42"/>
        <v>#DIV/0!</v>
      </c>
    </row>
    <row r="19" spans="1:168" ht="11.25" hidden="1" customHeight="1">
      <c r="A19" s="3737" t="str">
        <f>CONCATENATE("SBC in ",A18)</f>
        <v>SBC in Sales &amp; marketing - non-GAAP</v>
      </c>
      <c r="B19" s="5425"/>
      <c r="C19" s="5425"/>
      <c r="D19" s="5425"/>
      <c r="E19" s="5426"/>
      <c r="F19" s="5389"/>
      <c r="G19" s="5425"/>
      <c r="H19" s="5425"/>
      <c r="I19" s="5425"/>
      <c r="J19" s="5427"/>
      <c r="K19" s="5389"/>
      <c r="L19" s="5428"/>
      <c r="M19" s="5428"/>
      <c r="N19" s="5428"/>
      <c r="O19" s="5427"/>
      <c r="P19" s="5408">
        <v>1.667</v>
      </c>
      <c r="Q19" s="5428"/>
      <c r="R19" s="5428"/>
      <c r="S19" s="5428"/>
      <c r="T19" s="5427"/>
      <c r="U19" s="5408">
        <v>4.9340000000000002</v>
      </c>
      <c r="V19" s="5444"/>
      <c r="W19" s="5425"/>
      <c r="X19" s="5425"/>
      <c r="Y19" s="5426"/>
      <c r="Z19" s="5408">
        <v>44.606999999999999</v>
      </c>
      <c r="AA19" s="5444"/>
      <c r="AB19" s="5425"/>
      <c r="AC19" s="5425"/>
      <c r="AD19" s="5426"/>
      <c r="AE19" s="5408">
        <v>49.448999999999998</v>
      </c>
      <c r="AF19" s="5444"/>
      <c r="AG19" s="5425"/>
      <c r="AH19" s="5425"/>
      <c r="AI19" s="5426"/>
      <c r="AJ19" s="5408">
        <v>28.411000000000001</v>
      </c>
      <c r="AK19" s="5425">
        <f>AK20-AK18</f>
        <v>15.929000000000002</v>
      </c>
      <c r="AL19" s="5425">
        <f>AL20-AL18</f>
        <v>14.284999999999997</v>
      </c>
      <c r="AM19" s="5425">
        <f>AM20-AM18</f>
        <v>14.673000000000002</v>
      </c>
      <c r="AN19" s="5425">
        <f>AN20-AN18</f>
        <v>14.50200000000001</v>
      </c>
      <c r="AO19" s="5389">
        <f>SUM(AK19:AN19)</f>
        <v>59.38900000000001</v>
      </c>
      <c r="AP19" s="5430">
        <v>27.25</v>
      </c>
      <c r="AQ19" s="5430">
        <v>36.384999999999998</v>
      </c>
      <c r="AR19" s="5430">
        <v>29.818000000000001</v>
      </c>
      <c r="AS19" s="5431">
        <v>38.085000000000001</v>
      </c>
      <c r="AT19" s="5389">
        <f>SUM(AP19:AS19)</f>
        <v>131.53800000000001</v>
      </c>
      <c r="AU19" s="5430">
        <v>42.576000000000001</v>
      </c>
      <c r="AV19" s="5430">
        <v>42.593000000000004</v>
      </c>
      <c r="AW19" s="5430">
        <v>64.497</v>
      </c>
      <c r="AX19" s="5431">
        <v>56.353999999999999</v>
      </c>
      <c r="AY19" s="5389">
        <f>SUM(AU19:AX19)</f>
        <v>206.01999999999998</v>
      </c>
      <c r="AZ19" s="5430">
        <v>59.026000000000003</v>
      </c>
      <c r="BA19" s="5430">
        <v>57.293999999999997</v>
      </c>
      <c r="BB19" s="5430">
        <v>62.26</v>
      </c>
      <c r="BC19" s="5430">
        <v>52.439</v>
      </c>
      <c r="BD19" s="5389">
        <f>SUM(AZ19:BC19)</f>
        <v>231.01899999999998</v>
      </c>
      <c r="BE19" s="5445">
        <v>54</v>
      </c>
      <c r="BF19" s="5430">
        <v>56</v>
      </c>
      <c r="BG19" s="5430">
        <v>75</v>
      </c>
      <c r="BH19" s="5430">
        <v>76</v>
      </c>
      <c r="BI19" s="5471">
        <f>SUM(BE19:BH19)</f>
        <v>261</v>
      </c>
      <c r="BJ19" s="5430">
        <v>78</v>
      </c>
      <c r="BK19" s="5430">
        <v>74</v>
      </c>
      <c r="BL19" s="5430">
        <v>104</v>
      </c>
      <c r="BM19" s="5430">
        <v>105</v>
      </c>
      <c r="BN19" s="5471">
        <f>SUM(BJ19:BM19)</f>
        <v>361</v>
      </c>
      <c r="BO19" s="5430"/>
      <c r="BP19" s="5430"/>
      <c r="BQ19" s="5430"/>
      <c r="BR19" s="5431"/>
      <c r="BS19" s="5446"/>
      <c r="BT19" s="5425"/>
      <c r="BU19" s="5425"/>
      <c r="BV19" s="5425"/>
      <c r="BW19" s="5425"/>
      <c r="BX19" s="5471">
        <f>BX20-BX18</f>
        <v>448</v>
      </c>
      <c r="BY19" s="5489"/>
      <c r="BZ19" s="5489"/>
      <c r="CA19" s="5489"/>
      <c r="CB19" s="5489"/>
      <c r="CC19" s="5469"/>
      <c r="CD19" s="5490">
        <f>CD20-CD18</f>
        <v>118</v>
      </c>
      <c r="CE19" s="5490">
        <f>CE20-CE18</f>
        <v>125</v>
      </c>
      <c r="CF19" s="5490">
        <f>CF20-CF18</f>
        <v>155</v>
      </c>
      <c r="CG19" s="5489">
        <v>154</v>
      </c>
      <c r="CH19" s="5469">
        <f>SUM(CD19:CG19)</f>
        <v>552</v>
      </c>
      <c r="CI19" s="5489">
        <v>147</v>
      </c>
      <c r="CJ19" s="5489">
        <v>158</v>
      </c>
      <c r="CK19" s="5489">
        <v>197</v>
      </c>
      <c r="CL19" s="5489">
        <v>213</v>
      </c>
      <c r="CM19" s="5469">
        <f t="shared" si="30"/>
        <v>715</v>
      </c>
      <c r="CN19" s="5489">
        <v>205</v>
      </c>
      <c r="CO19" s="5489">
        <v>196</v>
      </c>
      <c r="CP19" s="5489">
        <v>250</v>
      </c>
      <c r="CQ19" s="5489">
        <v>240</v>
      </c>
      <c r="CR19" s="5469">
        <f t="shared" si="31"/>
        <v>891</v>
      </c>
      <c r="CS19" s="5493">
        <v>242</v>
      </c>
      <c r="CT19" s="5489">
        <v>238</v>
      </c>
      <c r="CU19" s="5489">
        <v>297</v>
      </c>
      <c r="CV19" s="5489">
        <v>301</v>
      </c>
      <c r="CW19" s="5469">
        <f t="shared" si="32"/>
        <v>1078</v>
      </c>
      <c r="CX19" s="5490">
        <f>CV19/CV$24*CX$24</f>
        <v>327.57800650054173</v>
      </c>
      <c r="CY19" s="5490">
        <f>CX19/CX$24*CY$24</f>
        <v>326.59967497291444</v>
      </c>
      <c r="CZ19" s="5490">
        <f>CY19/CY$24*CZ$24</f>
        <v>296.76056338028172</v>
      </c>
      <c r="DA19" s="5490">
        <f>CZ19/CZ$24*DA$24</f>
        <v>301.16305525460456</v>
      </c>
      <c r="DB19" s="5471">
        <f>SUM(CX19:DA19)</f>
        <v>1252.1013001083425</v>
      </c>
      <c r="DC19" s="5490"/>
      <c r="DD19" s="5490"/>
      <c r="DE19" s="5490"/>
      <c r="DF19" s="5490"/>
      <c r="DG19" s="5471"/>
      <c r="DH19" s="5490"/>
      <c r="DI19" s="5489"/>
      <c r="DJ19" s="5490"/>
      <c r="DK19" s="5490"/>
      <c r="DL19" s="5471"/>
      <c r="DM19" s="5494"/>
      <c r="DN19" s="5494"/>
      <c r="DO19" s="5491"/>
      <c r="DP19" s="5491"/>
      <c r="DQ19" s="5471"/>
      <c r="DR19" s="5495"/>
      <c r="DS19" s="5491"/>
      <c r="DT19" s="5495"/>
      <c r="DU19" s="5491"/>
      <c r="DV19" s="5471"/>
      <c r="DW19" s="5495"/>
      <c r="DX19" s="5491"/>
      <c r="DY19" s="5495"/>
      <c r="DZ19" s="5491"/>
      <c r="EA19" s="5471"/>
      <c r="EB19" s="5495"/>
      <c r="EC19" s="5491"/>
      <c r="ED19" s="5495"/>
      <c r="EE19" s="5491"/>
      <c r="EF19" s="5471"/>
      <c r="EG19" s="5495"/>
      <c r="EH19" s="5491"/>
      <c r="EI19" s="5495"/>
      <c r="EJ19" s="5491"/>
      <c r="EK19" s="1844"/>
      <c r="EL19" s="5495"/>
      <c r="EM19" s="5491"/>
      <c r="EN19" s="5495"/>
      <c r="EO19" s="4302"/>
      <c r="EP19" s="1844"/>
      <c r="EQ19" s="4302"/>
      <c r="ER19" s="4302"/>
      <c r="ES19" s="4302"/>
      <c r="ET19" s="4302"/>
      <c r="EU19" s="1844"/>
      <c r="EV19" s="1849"/>
      <c r="EW19" s="1849"/>
      <c r="EX19" s="1849"/>
      <c r="EY19" s="1849"/>
      <c r="EZ19" s="42"/>
      <c r="FA19" s="1319"/>
      <c r="FB19" s="1319"/>
      <c r="FC19" s="1319"/>
      <c r="FD19" s="1319"/>
      <c r="FE19" s="1319" t="e">
        <f t="shared" si="38"/>
        <v>#DIV/0!</v>
      </c>
      <c r="FF19" s="1319" t="e">
        <f t="shared" si="39"/>
        <v>#DIV/0!</v>
      </c>
      <c r="FG19" s="1319"/>
      <c r="FH19" s="1319"/>
      <c r="FI19" s="1319"/>
      <c r="FJ19" s="1319"/>
      <c r="FK19" s="1319" t="e">
        <f t="shared" si="41"/>
        <v>#DIV/0!</v>
      </c>
      <c r="FL19" s="1319" t="e">
        <f t="shared" si="42"/>
        <v>#DIV/0!</v>
      </c>
    </row>
    <row r="20" spans="1:168" ht="11.25" customHeight="1">
      <c r="A20" s="3738" t="s">
        <v>47</v>
      </c>
      <c r="B20" s="5434"/>
      <c r="C20" s="5434"/>
      <c r="D20" s="5434"/>
      <c r="E20" s="5435"/>
      <c r="F20" s="5395"/>
      <c r="G20" s="5434"/>
      <c r="H20" s="5434"/>
      <c r="I20" s="5434"/>
      <c r="J20" s="5436"/>
      <c r="K20" s="5395"/>
      <c r="L20" s="71"/>
      <c r="M20" s="71"/>
      <c r="N20" s="71"/>
      <c r="O20" s="5436"/>
      <c r="P20" s="5394">
        <f>SUM(P18:P19)</f>
        <v>21.743000000000002</v>
      </c>
      <c r="Q20" s="5434"/>
      <c r="R20" s="5434"/>
      <c r="S20" s="5434"/>
      <c r="T20" s="5435"/>
      <c r="U20" s="5394">
        <f>SUM(U18:U19)</f>
        <v>48.783000000000001</v>
      </c>
      <c r="V20" s="5437"/>
      <c r="W20" s="5434"/>
      <c r="X20" s="5434"/>
      <c r="Y20" s="5435"/>
      <c r="Z20" s="5394">
        <f>SUM(Z18:Z19)</f>
        <v>164.935</v>
      </c>
      <c r="AA20" s="5438"/>
      <c r="AB20" s="5439"/>
      <c r="AC20" s="5439"/>
      <c r="AD20" s="5440"/>
      <c r="AE20" s="5394">
        <f>SUM(AE18:AE19)</f>
        <v>295.74900000000002</v>
      </c>
      <c r="AF20" s="5438"/>
      <c r="AG20" s="5439"/>
      <c r="AH20" s="5439"/>
      <c r="AI20" s="5440"/>
      <c r="AJ20" s="5394">
        <f>SUM(AJ18:AJ19)</f>
        <v>468.15199999999999</v>
      </c>
      <c r="AK20" s="5441">
        <f>190.943</f>
        <v>190.94300000000001</v>
      </c>
      <c r="AL20" s="5441">
        <f>196.397</f>
        <v>196.39699999999999</v>
      </c>
      <c r="AM20" s="5441">
        <f>206.972</f>
        <v>206.97200000000001</v>
      </c>
      <c r="AN20" s="5442">
        <f>255.206</f>
        <v>255.20599999999999</v>
      </c>
      <c r="AO20" s="5443">
        <f t="shared" ref="AO20:BN20" si="43">SUM(AO18:AO19)</f>
        <v>849.51799999999992</v>
      </c>
      <c r="AP20" s="5434">
        <f t="shared" si="43"/>
        <v>302.55200000000002</v>
      </c>
      <c r="AQ20" s="5434">
        <f t="shared" si="43"/>
        <v>355.60399999999998</v>
      </c>
      <c r="AR20" s="5434">
        <f t="shared" si="43"/>
        <v>380.71999999999997</v>
      </c>
      <c r="AS20" s="5434">
        <f t="shared" si="43"/>
        <v>422.291</v>
      </c>
      <c r="AT20" s="5443">
        <f t="shared" si="43"/>
        <v>1461.1669999999999</v>
      </c>
      <c r="AU20" s="5434">
        <f t="shared" si="43"/>
        <v>446.89800000000002</v>
      </c>
      <c r="AV20" s="5434">
        <f t="shared" si="43"/>
        <v>484.55200000000002</v>
      </c>
      <c r="AW20" s="5434">
        <f t="shared" si="43"/>
        <v>508.80099999999999</v>
      </c>
      <c r="AX20" s="5434">
        <f t="shared" si="43"/>
        <v>505.99299999999999</v>
      </c>
      <c r="AY20" s="5443">
        <f t="shared" si="43"/>
        <v>1946.2440000000001</v>
      </c>
      <c r="AZ20" s="5434">
        <f t="shared" si="43"/>
        <v>433.94099999999997</v>
      </c>
      <c r="BA20" s="5434">
        <f t="shared" si="43"/>
        <v>469.03899999999999</v>
      </c>
      <c r="BB20" s="5434">
        <f t="shared" si="43"/>
        <v>497.81200000000001</v>
      </c>
      <c r="BC20" s="5434">
        <f t="shared" si="43"/>
        <v>583.149</v>
      </c>
      <c r="BD20" s="5443">
        <f t="shared" si="43"/>
        <v>1983.941</v>
      </c>
      <c r="BE20" s="5434">
        <f t="shared" si="43"/>
        <v>607</v>
      </c>
      <c r="BF20" s="5434">
        <f t="shared" si="43"/>
        <v>629</v>
      </c>
      <c r="BG20" s="5434">
        <f t="shared" si="43"/>
        <v>661</v>
      </c>
      <c r="BH20" s="5434">
        <f t="shared" si="43"/>
        <v>902</v>
      </c>
      <c r="BI20" s="5498">
        <f t="shared" si="43"/>
        <v>2799</v>
      </c>
      <c r="BJ20" s="5434">
        <f t="shared" si="43"/>
        <v>1026</v>
      </c>
      <c r="BK20" s="5434">
        <f t="shared" si="43"/>
        <v>1091</v>
      </c>
      <c r="BL20" s="5434">
        <f t="shared" si="43"/>
        <v>1204</v>
      </c>
      <c r="BM20" s="5434">
        <f t="shared" si="43"/>
        <v>1268</v>
      </c>
      <c r="BN20" s="5498">
        <f t="shared" si="43"/>
        <v>4589</v>
      </c>
      <c r="BO20" s="5447"/>
      <c r="BP20" s="5447"/>
      <c r="BQ20" s="5447"/>
      <c r="BR20" s="5448"/>
      <c r="BS20" s="5443"/>
      <c r="BT20" s="5441"/>
      <c r="BU20" s="5441"/>
      <c r="BV20" s="5441"/>
      <c r="BW20" s="5441"/>
      <c r="BX20" s="5470">
        <v>5465</v>
      </c>
      <c r="BY20" s="5040"/>
      <c r="BZ20" s="5040"/>
      <c r="CA20" s="5040"/>
      <c r="CB20" s="5040"/>
      <c r="CC20" s="5474"/>
      <c r="CD20" s="5480">
        <v>1435</v>
      </c>
      <c r="CE20" s="5480">
        <v>1583</v>
      </c>
      <c r="CF20" s="5480">
        <v>1628</v>
      </c>
      <c r="CG20" s="5040">
        <f t="shared" ref="CG20:CL20" si="44">SUM(CG18,CG19)</f>
        <v>1908</v>
      </c>
      <c r="CH20" s="5474">
        <f t="shared" si="44"/>
        <v>6554</v>
      </c>
      <c r="CI20" s="5040">
        <f t="shared" si="44"/>
        <v>1729</v>
      </c>
      <c r="CJ20" s="5040">
        <f t="shared" si="44"/>
        <v>1941</v>
      </c>
      <c r="CK20" s="5040">
        <f t="shared" si="44"/>
        <v>2084</v>
      </c>
      <c r="CL20" s="5040">
        <f t="shared" si="44"/>
        <v>2377</v>
      </c>
      <c r="CM20" s="5474">
        <f t="shared" si="30"/>
        <v>8131</v>
      </c>
      <c r="CN20" s="5040">
        <f>SUM(CN18,CN19)</f>
        <v>2065</v>
      </c>
      <c r="CO20" s="5040">
        <f>SUM(CO18,CO19)</f>
        <v>2080</v>
      </c>
      <c r="CP20" s="5040">
        <f>SUM(CP18,CP19)</f>
        <v>2223</v>
      </c>
      <c r="CQ20" s="5040">
        <f>SUM(CQ18,CQ19)</f>
        <v>2679</v>
      </c>
      <c r="CR20" s="5474">
        <f t="shared" si="31"/>
        <v>9047</v>
      </c>
      <c r="CS20" s="5040">
        <f>SUM(CS18,CS19)</f>
        <v>2387</v>
      </c>
      <c r="CT20" s="5040">
        <f>SUM(CT18,CT19)</f>
        <v>2415</v>
      </c>
      <c r="CU20" s="5040">
        <f>SUM(CU18,CU19)</f>
        <v>2565</v>
      </c>
      <c r="CV20" s="5040">
        <f>SUM(CV18,CV19)</f>
        <v>3118</v>
      </c>
      <c r="CW20" s="5474">
        <f t="shared" si="32"/>
        <v>10485</v>
      </c>
      <c r="CX20" s="5480">
        <v>2644</v>
      </c>
      <c r="CY20" s="5480">
        <v>2897</v>
      </c>
      <c r="CZ20" s="5480">
        <v>3042</v>
      </c>
      <c r="DA20" s="5480">
        <v>4310</v>
      </c>
      <c r="DB20" s="5474">
        <f t="shared" si="35"/>
        <v>12893</v>
      </c>
      <c r="DC20" s="5480">
        <v>3604</v>
      </c>
      <c r="DD20" s="5480">
        <v>3780</v>
      </c>
      <c r="DE20" s="5480">
        <v>3849</v>
      </c>
      <c r="DF20" s="5480">
        <v>5100</v>
      </c>
      <c r="DG20" s="5474">
        <f>SUM(DC20:DF20)</f>
        <v>16333</v>
      </c>
      <c r="DH20" s="5480">
        <v>3905</v>
      </c>
      <c r="DI20" s="5480">
        <v>4212</v>
      </c>
      <c r="DJ20" s="5480">
        <v>4609</v>
      </c>
      <c r="DK20" s="5480">
        <v>5738</v>
      </c>
      <c r="DL20" s="5474">
        <f>SUM(DH20:DK20)</f>
        <v>18464</v>
      </c>
      <c r="DM20" s="5480">
        <v>4500</v>
      </c>
      <c r="DN20" s="5480">
        <v>3901</v>
      </c>
      <c r="DO20" s="5480">
        <v>4231</v>
      </c>
      <c r="DP20" s="5480">
        <v>5314</v>
      </c>
      <c r="DQ20" s="5474">
        <f>SUM(DM20:DP20)</f>
        <v>17946</v>
      </c>
      <c r="DR20" s="5480">
        <v>4516</v>
      </c>
      <c r="DS20" s="5480">
        <v>5276</v>
      </c>
      <c r="DT20" s="5480">
        <v>5516</v>
      </c>
      <c r="DU20" s="5480">
        <v>7604</v>
      </c>
      <c r="DV20" s="5474">
        <f>SUM(DR20:DU20)</f>
        <v>22912</v>
      </c>
      <c r="DW20" s="5480">
        <v>5825</v>
      </c>
      <c r="DX20" s="5480">
        <v>6630</v>
      </c>
      <c r="DY20" s="5480">
        <v>6929</v>
      </c>
      <c r="DZ20" s="5480">
        <v>7183</v>
      </c>
      <c r="EA20" s="5474">
        <f>SUM(DW20:DZ20)</f>
        <v>26567</v>
      </c>
      <c r="EB20" s="5480">
        <f>6533</f>
        <v>6533</v>
      </c>
      <c r="EC20" s="5480">
        <v>6781</v>
      </c>
      <c r="ED20" s="5480">
        <v>6884</v>
      </c>
      <c r="EE20" s="5480">
        <v>7719</v>
      </c>
      <c r="EF20" s="5474">
        <f>SUM(EB20:EE20)</f>
        <v>27917</v>
      </c>
      <c r="EG20" s="5480">
        <v>6426</v>
      </c>
      <c r="EH20" s="5480">
        <v>6792</v>
      </c>
      <c r="EI20" s="5480">
        <v>7227</v>
      </c>
      <c r="EJ20" s="5480">
        <v>7363</v>
      </c>
      <c r="EK20" s="999">
        <f>SUM(EG20:EJ20)</f>
        <v>27808</v>
      </c>
      <c r="EL20" s="5480">
        <v>6172</v>
      </c>
      <c r="EM20" s="5480">
        <v>7101</v>
      </c>
      <c r="EN20" s="5480">
        <v>7205</v>
      </c>
      <c r="EO20" s="150">
        <f>EO9*EO120</f>
        <v>7583.0549306924031</v>
      </c>
      <c r="EP20" s="999">
        <f>SUM(EL20:EO20)</f>
        <v>28061.054930692404</v>
      </c>
      <c r="EQ20" s="150">
        <f t="shared" ref="EQ20:ET20" si="45">EQ9*EQ120</f>
        <v>6452.4608273030899</v>
      </c>
      <c r="ER20" s="150">
        <f t="shared" si="45"/>
        <v>7737.5462095485573</v>
      </c>
      <c r="ES20" s="150">
        <f t="shared" si="45"/>
        <v>7703.9853676329894</v>
      </c>
      <c r="ET20" s="150">
        <f t="shared" si="45"/>
        <v>8016.9470903072615</v>
      </c>
      <c r="EU20" s="999">
        <f>SUM(EQ20:ET20)</f>
        <v>29910.939494791895</v>
      </c>
      <c r="EV20" s="1001">
        <f>EV9*EV120</f>
        <v>32237.703472628848</v>
      </c>
      <c r="EW20" s="1001">
        <f>EW9*EW120</f>
        <v>34240.937112293926</v>
      </c>
      <c r="EX20" s="1001">
        <f>EX9*EX120</f>
        <v>36342.444595592628</v>
      </c>
      <c r="EY20" s="1001">
        <f>EY9*EY120</f>
        <v>38236.204660579708</v>
      </c>
      <c r="EZ20" s="42"/>
      <c r="FA20" s="1319">
        <f t="shared" si="37"/>
        <v>0.12894358839260489</v>
      </c>
      <c r="FB20" s="1319">
        <f>(EF20/DQ20)^(1/3)-1</f>
        <v>0.15868938339259975</v>
      </c>
      <c r="FC20" s="1319">
        <f>(EK20/DV20)^(1/3)-1</f>
        <v>6.6683518316947188E-2</v>
      </c>
      <c r="FD20" s="1319">
        <f>(EP20/EA20)^(1/3)-1</f>
        <v>1.8404929277702875E-2</v>
      </c>
      <c r="FE20" s="1319">
        <f t="shared" si="38"/>
        <v>2.3262603597392184E-2</v>
      </c>
      <c r="FF20" s="1319">
        <f t="shared" si="39"/>
        <v>5.0504975834944732E-2</v>
      </c>
      <c r="FG20" s="1319">
        <f t="shared" si="40"/>
        <v>8.5347456085656859E-2</v>
      </c>
      <c r="FH20" s="1319">
        <f>(EP20/DQ20)^(1/5)-1</f>
        <v>9.3521348598532672E-2</v>
      </c>
      <c r="FI20" s="1319">
        <f>(EU20/DV20)^(1/5)-1</f>
        <v>5.4759415159046254E-2</v>
      </c>
      <c r="FJ20" s="1319">
        <f>(EV20/EA20)^(1/5)-1</f>
        <v>3.9451705366104761E-2</v>
      </c>
      <c r="FK20" s="1319">
        <f t="shared" si="41"/>
        <v>4.1682526155578437E-2</v>
      </c>
      <c r="FL20" s="1319">
        <f t="shared" si="42"/>
        <v>5.499129567120753E-2</v>
      </c>
    </row>
    <row r="21" spans="1:168" ht="11.25" hidden="1" customHeight="1">
      <c r="A21" s="3736" t="s">
        <v>566</v>
      </c>
      <c r="B21" s="5391"/>
      <c r="C21" s="5391"/>
      <c r="D21" s="5391"/>
      <c r="E21" s="5392"/>
      <c r="F21" s="5407">
        <v>1.2210000000000001</v>
      </c>
      <c r="G21" s="5391"/>
      <c r="H21" s="5391"/>
      <c r="I21" s="5391"/>
      <c r="J21" s="5416"/>
      <c r="K21" s="5407">
        <v>4.3570000000000002</v>
      </c>
      <c r="L21" s="5417"/>
      <c r="M21" s="5417"/>
      <c r="N21" s="5417"/>
      <c r="O21" s="5416"/>
      <c r="P21" s="5407">
        <v>12.275</v>
      </c>
      <c r="Q21" s="5418">
        <v>4.1349999999999998</v>
      </c>
      <c r="R21" s="5418">
        <v>5.6529999999999996</v>
      </c>
      <c r="S21" s="5418">
        <v>7.3129999999999997</v>
      </c>
      <c r="T21" s="5419">
        <v>7.1989999999999998</v>
      </c>
      <c r="U21" s="5393">
        <f>SUM(Q21:T21)</f>
        <v>24.299999999999997</v>
      </c>
      <c r="V21" s="5420">
        <v>10.026999999999999</v>
      </c>
      <c r="W21" s="5421">
        <v>12.535</v>
      </c>
      <c r="X21" s="5421">
        <v>13.853</v>
      </c>
      <c r="Y21" s="5422">
        <v>20.283999999999999</v>
      </c>
      <c r="Z21" s="5393">
        <f>SUM(V21:Y21)</f>
        <v>56.698999999999998</v>
      </c>
      <c r="AA21" s="5420">
        <v>21.506</v>
      </c>
      <c r="AB21" s="5421">
        <v>25.577000000000002</v>
      </c>
      <c r="AC21" s="5421">
        <v>40.774000000000001</v>
      </c>
      <c r="AD21" s="5422">
        <v>51.843000000000004</v>
      </c>
      <c r="AE21" s="5393">
        <f>SUM(AA21:AD21)</f>
        <v>139.69999999999999</v>
      </c>
      <c r="AF21" s="5420">
        <v>57.265999999999998</v>
      </c>
      <c r="AG21" s="5421">
        <v>71.567999999999998</v>
      </c>
      <c r="AH21" s="5421">
        <v>92.433999999999997</v>
      </c>
      <c r="AI21" s="5422">
        <v>114.077</v>
      </c>
      <c r="AJ21" s="5393">
        <f>SUM(AF21:AI21)</f>
        <v>335.34500000000003</v>
      </c>
      <c r="AK21" s="5421">
        <f>169.395-23.366</f>
        <v>146.029</v>
      </c>
      <c r="AL21" s="5421">
        <f>172.638-21.978</f>
        <v>150.66</v>
      </c>
      <c r="AM21" s="5421">
        <f>190.01-21.324</f>
        <v>168.68599999999998</v>
      </c>
      <c r="AN21" s="5422">
        <f>219.744-26.929</f>
        <v>192.815</v>
      </c>
      <c r="AO21" s="5393">
        <f>SUM(AK21:AN21)</f>
        <v>658.18999999999994</v>
      </c>
      <c r="AP21" s="5421">
        <f>261.4-31.44</f>
        <v>229.95999999999998</v>
      </c>
      <c r="AQ21" s="5421">
        <f>319.405-40.497</f>
        <v>278.90799999999996</v>
      </c>
      <c r="AR21" s="5421">
        <f>321.398-33.352</f>
        <v>288.04600000000005</v>
      </c>
      <c r="AS21" s="5422">
        <f>377.046-39.588</f>
        <v>337.45799999999997</v>
      </c>
      <c r="AT21" s="5393">
        <f>SUM(AP21:AS21)</f>
        <v>1134.3719999999998</v>
      </c>
      <c r="AU21" s="5421">
        <f>409.305-35.255</f>
        <v>374.05</v>
      </c>
      <c r="AV21" s="5421">
        <f>474.91-33.539</f>
        <v>441.37100000000004</v>
      </c>
      <c r="AW21" s="5421">
        <f>507.064-35.55</f>
        <v>471.51400000000001</v>
      </c>
      <c r="AX21" s="5422">
        <f>411.36-35.644</f>
        <v>375.71600000000001</v>
      </c>
      <c r="AY21" s="5393">
        <f>SUM(AU21:AX21)</f>
        <v>1662.6509999999998</v>
      </c>
      <c r="AZ21" s="5421">
        <f>448.311-37.359</f>
        <v>410.952</v>
      </c>
      <c r="BA21" s="5421">
        <f>364.367-39.975</f>
        <v>324.392</v>
      </c>
      <c r="BB21" s="5421">
        <f>389.557-44.772</f>
        <v>344.78500000000003</v>
      </c>
      <c r="BC21" s="5421">
        <f>465.059-38.536</f>
        <v>426.52300000000002</v>
      </c>
      <c r="BD21" s="5409">
        <f>SUM(AZ21:BC21)</f>
        <v>1506.652</v>
      </c>
      <c r="BE21" s="5423">
        <f>410-40</f>
        <v>370</v>
      </c>
      <c r="BF21" s="5421">
        <f>461-43</f>
        <v>418</v>
      </c>
      <c r="BG21" s="5421">
        <f>532-53</f>
        <v>479</v>
      </c>
      <c r="BH21" s="5421">
        <f>559-51</f>
        <v>508</v>
      </c>
      <c r="BI21" s="5468">
        <f>SUM(BE21:BH21)</f>
        <v>1775</v>
      </c>
      <c r="BJ21" s="5421">
        <f>591-68</f>
        <v>523</v>
      </c>
      <c r="BK21" s="5421">
        <f>648-63</f>
        <v>585</v>
      </c>
      <c r="BL21" s="5421">
        <f>676-84</f>
        <v>592</v>
      </c>
      <c r="BM21" s="5421">
        <f>809-88</f>
        <v>721</v>
      </c>
      <c r="BN21" s="5468">
        <f>SUM(BJ21:BM21)</f>
        <v>2421</v>
      </c>
      <c r="BO21" s="5421">
        <v>671</v>
      </c>
      <c r="BP21" s="5421">
        <v>771</v>
      </c>
      <c r="BQ21" s="5421">
        <v>893</v>
      </c>
      <c r="BR21" s="5422">
        <v>1007</v>
      </c>
      <c r="BS21" s="5424">
        <v>3342</v>
      </c>
      <c r="BT21" s="5421">
        <v>671</v>
      </c>
      <c r="BU21" s="5421">
        <v>726</v>
      </c>
      <c r="BV21" s="5421">
        <v>789</v>
      </c>
      <c r="BW21" s="5421">
        <v>904</v>
      </c>
      <c r="BX21" s="5468">
        <f>SUM(BT21:BW21)</f>
        <v>3090</v>
      </c>
      <c r="BY21" s="5487">
        <v>1018</v>
      </c>
      <c r="BZ21" s="5487">
        <v>1084</v>
      </c>
      <c r="CA21" s="5487">
        <v>1077</v>
      </c>
      <c r="CB21" s="5487">
        <v>1138</v>
      </c>
      <c r="CC21" s="5468">
        <v>4317</v>
      </c>
      <c r="CD21" s="5487">
        <v>915</v>
      </c>
      <c r="CE21" s="5487">
        <v>991</v>
      </c>
      <c r="CF21" s="5487">
        <v>1003</v>
      </c>
      <c r="CG21" s="5487">
        <f>1184-126</f>
        <v>1058</v>
      </c>
      <c r="CH21" s="5468">
        <f>4432-465</f>
        <v>3967</v>
      </c>
      <c r="CI21" s="5487">
        <f>1489-141</f>
        <v>1348</v>
      </c>
      <c r="CJ21" s="5487">
        <f>1404-175</f>
        <v>1229</v>
      </c>
      <c r="CK21" s="5487">
        <f>1365-223</f>
        <v>1142</v>
      </c>
      <c r="CL21" s="5487">
        <f>1593-186</f>
        <v>1407</v>
      </c>
      <c r="CM21" s="5468">
        <f t="shared" si="30"/>
        <v>5126</v>
      </c>
      <c r="CN21" s="5487">
        <f>1637-223</f>
        <v>1414</v>
      </c>
      <c r="CO21" s="5487">
        <f>1450-190</f>
        <v>1260</v>
      </c>
      <c r="CP21" s="5487">
        <f>1477-210</f>
        <v>1267</v>
      </c>
      <c r="CQ21" s="5487">
        <f>1572-205</f>
        <v>1367</v>
      </c>
      <c r="CR21" s="5468">
        <f t="shared" si="31"/>
        <v>5308</v>
      </c>
      <c r="CS21" s="5492">
        <f>1513-272</f>
        <v>1241</v>
      </c>
      <c r="CT21" s="5487">
        <f>1624-271</f>
        <v>1353</v>
      </c>
      <c r="CU21" s="5487">
        <f>1824-316</f>
        <v>1508</v>
      </c>
      <c r="CV21" s="5487">
        <f>2024-302</f>
        <v>1722</v>
      </c>
      <c r="CW21" s="5468">
        <f t="shared" si="32"/>
        <v>5824</v>
      </c>
      <c r="CX21" s="5488">
        <f>CX23-CX22</f>
        <v>1472.3336944745397</v>
      </c>
      <c r="CY21" s="5488">
        <f>CY23-CY22</f>
        <v>1372.3152762730228</v>
      </c>
      <c r="CZ21" s="5488">
        <f>CZ23-CZ22</f>
        <v>1297.2535211267605</v>
      </c>
      <c r="DA21" s="5488">
        <f>DA23-DA22</f>
        <v>1473.8364030335861</v>
      </c>
      <c r="DB21" s="5468">
        <f>SUM(CX21:DA21)</f>
        <v>5615.7388949079095</v>
      </c>
      <c r="DC21" s="5488"/>
      <c r="DD21" s="5488"/>
      <c r="DE21" s="5488"/>
      <c r="DF21" s="5488"/>
      <c r="DG21" s="5468"/>
      <c r="DH21" s="5488"/>
      <c r="DI21" s="5487"/>
      <c r="DJ21" s="5488"/>
      <c r="DK21" s="5488"/>
      <c r="DL21" s="5468"/>
      <c r="DM21" s="5487"/>
      <c r="DN21" s="5487"/>
      <c r="DO21" s="5488"/>
      <c r="DP21" s="5488"/>
      <c r="DQ21" s="5468"/>
      <c r="DR21" s="5488"/>
      <c r="DS21" s="5488"/>
      <c r="DT21" s="5488"/>
      <c r="DU21" s="5488"/>
      <c r="DV21" s="5468"/>
      <c r="DW21" s="5488"/>
      <c r="DX21" s="5488"/>
      <c r="DY21" s="5488"/>
      <c r="DZ21" s="5488"/>
      <c r="EA21" s="5468"/>
      <c r="EB21" s="5488"/>
      <c r="EC21" s="5488"/>
      <c r="ED21" s="5488"/>
      <c r="EE21" s="5488"/>
      <c r="EF21" s="5468"/>
      <c r="EG21" s="5488"/>
      <c r="EH21" s="5488"/>
      <c r="EI21" s="5488"/>
      <c r="EJ21" s="5488"/>
      <c r="EK21" s="1707"/>
      <c r="EL21" s="5488"/>
      <c r="EM21" s="5488"/>
      <c r="EN21" s="5488"/>
      <c r="EO21" s="1708"/>
      <c r="EP21" s="1707"/>
      <c r="EQ21" s="1708"/>
      <c r="ER21" s="1708"/>
      <c r="ES21" s="1708"/>
      <c r="ET21" s="1708"/>
      <c r="EU21" s="1707"/>
      <c r="EV21" s="1710"/>
      <c r="EW21" s="1710"/>
      <c r="EX21" s="1710"/>
      <c r="EY21" s="1710"/>
      <c r="EZ21" s="42"/>
      <c r="FA21" s="1319"/>
      <c r="FB21" s="1319"/>
      <c r="FC21" s="1319"/>
      <c r="FD21" s="1319"/>
      <c r="FE21" s="1319" t="e">
        <f t="shared" si="38"/>
        <v>#DIV/0!</v>
      </c>
      <c r="FF21" s="1319" t="e">
        <f t="shared" si="39"/>
        <v>#DIV/0!</v>
      </c>
      <c r="FG21" s="1319"/>
      <c r="FH21" s="1319"/>
      <c r="FI21" s="1319"/>
      <c r="FJ21" s="1319"/>
      <c r="FK21" s="1319" t="e">
        <f t="shared" si="41"/>
        <v>#DIV/0!</v>
      </c>
      <c r="FL21" s="1319" t="e">
        <f t="shared" si="42"/>
        <v>#DIV/0!</v>
      </c>
    </row>
    <row r="22" spans="1:168" ht="11.25" hidden="1" customHeight="1">
      <c r="A22" s="3733" t="str">
        <f>CONCATENATE("SBC in ",A21)</f>
        <v>SBC in General &amp; administrative - non-GAAP</v>
      </c>
      <c r="B22" s="5425"/>
      <c r="C22" s="5425"/>
      <c r="D22" s="5425"/>
      <c r="E22" s="5426"/>
      <c r="F22" s="5389"/>
      <c r="G22" s="5425"/>
      <c r="H22" s="5425"/>
      <c r="I22" s="5425"/>
      <c r="J22" s="5427"/>
      <c r="K22" s="5389"/>
      <c r="L22" s="5428"/>
      <c r="M22" s="5428"/>
      <c r="N22" s="5428"/>
      <c r="O22" s="5427"/>
      <c r="P22" s="5408">
        <v>5.4</v>
      </c>
      <c r="Q22" s="5428"/>
      <c r="R22" s="5428"/>
      <c r="S22" s="5428"/>
      <c r="T22" s="5427"/>
      <c r="U22" s="5408">
        <v>6.89</v>
      </c>
      <c r="V22" s="5444"/>
      <c r="W22" s="5425"/>
      <c r="X22" s="5425"/>
      <c r="Y22" s="5426"/>
      <c r="Z22" s="5408">
        <v>37.82</v>
      </c>
      <c r="AA22" s="5444"/>
      <c r="AB22" s="5425"/>
      <c r="AC22" s="5425"/>
      <c r="AD22" s="5426"/>
      <c r="AE22" s="5408">
        <v>48.451000000000001</v>
      </c>
      <c r="AF22" s="5444"/>
      <c r="AG22" s="5425"/>
      <c r="AH22" s="5425"/>
      <c r="AI22" s="5426"/>
      <c r="AJ22" s="5408">
        <v>51.186999999999998</v>
      </c>
      <c r="AK22" s="5425">
        <f>AK23-AK21</f>
        <v>23.366000000000014</v>
      </c>
      <c r="AL22" s="5425">
        <f>AL23-AL21</f>
        <v>21.978000000000009</v>
      </c>
      <c r="AM22" s="5425">
        <f>AM23-AM21</f>
        <v>21.324000000000012</v>
      </c>
      <c r="AN22" s="5425">
        <f>AN23-AN21</f>
        <v>26.929000000000002</v>
      </c>
      <c r="AO22" s="5389">
        <f>SUM(AK22:AN22)</f>
        <v>93.597000000000037</v>
      </c>
      <c r="AP22" s="5430">
        <v>31.44</v>
      </c>
      <c r="AQ22" s="5430">
        <v>40.497</v>
      </c>
      <c r="AR22" s="5430">
        <v>33.351999999999997</v>
      </c>
      <c r="AS22" s="5431">
        <v>39.588000000000001</v>
      </c>
      <c r="AT22" s="5389">
        <f>SUM(AP22:AS22)</f>
        <v>144.87699999999998</v>
      </c>
      <c r="AU22" s="5430">
        <v>35.255000000000003</v>
      </c>
      <c r="AV22" s="5430">
        <v>33.539000000000001</v>
      </c>
      <c r="AW22" s="5430">
        <v>35.549999999999997</v>
      </c>
      <c r="AX22" s="5431">
        <v>35.643999999999998</v>
      </c>
      <c r="AY22" s="5389">
        <f>SUM(AU22:AX22)</f>
        <v>139.988</v>
      </c>
      <c r="AZ22" s="5430">
        <v>37.359000000000002</v>
      </c>
      <c r="BA22" s="5430">
        <v>39.975000000000001</v>
      </c>
      <c r="BB22" s="5430">
        <v>44.771999999999998</v>
      </c>
      <c r="BC22" s="5430">
        <v>38.536000000000001</v>
      </c>
      <c r="BD22" s="5389">
        <f>SUM(AZ22:BC22)</f>
        <v>160.642</v>
      </c>
      <c r="BE22" s="5445">
        <v>40</v>
      </c>
      <c r="BF22" s="5430">
        <v>43</v>
      </c>
      <c r="BG22" s="5430">
        <v>53</v>
      </c>
      <c r="BH22" s="5430">
        <v>51</v>
      </c>
      <c r="BI22" s="5471">
        <f>SUM(BE22:BH22)</f>
        <v>187</v>
      </c>
      <c r="BJ22" s="5430">
        <v>68</v>
      </c>
      <c r="BK22" s="5430">
        <v>63</v>
      </c>
      <c r="BL22" s="5430">
        <v>84</v>
      </c>
      <c r="BM22" s="5430">
        <v>88</v>
      </c>
      <c r="BN22" s="5471">
        <f>SUM(BJ22:BM22)</f>
        <v>303</v>
      </c>
      <c r="BO22" s="5430"/>
      <c r="BP22" s="5430"/>
      <c r="BQ22" s="5430"/>
      <c r="BR22" s="5431"/>
      <c r="BS22" s="5446"/>
      <c r="BT22" s="5425"/>
      <c r="BU22" s="5425"/>
      <c r="BV22" s="5425"/>
      <c r="BW22" s="5425"/>
      <c r="BX22" s="5471">
        <f>BX23-BX21</f>
        <v>391</v>
      </c>
      <c r="BY22" s="5489"/>
      <c r="BZ22" s="5489"/>
      <c r="CA22" s="5489"/>
      <c r="CB22" s="5489"/>
      <c r="CC22" s="5469"/>
      <c r="CD22" s="5490">
        <f>CD23-CD21</f>
        <v>100</v>
      </c>
      <c r="CE22" s="5490">
        <f>CE23-CE21</f>
        <v>107</v>
      </c>
      <c r="CF22" s="5490">
        <f>CF23-CF21</f>
        <v>132</v>
      </c>
      <c r="CG22" s="5489">
        <v>126</v>
      </c>
      <c r="CH22" s="5469">
        <f>SUM(CD22:CG22)</f>
        <v>465</v>
      </c>
      <c r="CI22" s="5489">
        <v>141</v>
      </c>
      <c r="CJ22" s="5489">
        <v>175</v>
      </c>
      <c r="CK22" s="5489">
        <v>223</v>
      </c>
      <c r="CL22" s="5489">
        <v>186</v>
      </c>
      <c r="CM22" s="5469">
        <f t="shared" si="30"/>
        <v>725</v>
      </c>
      <c r="CN22" s="5489">
        <v>223</v>
      </c>
      <c r="CO22" s="5489">
        <v>190</v>
      </c>
      <c r="CP22" s="5489">
        <v>210</v>
      </c>
      <c r="CQ22" s="5489">
        <v>205</v>
      </c>
      <c r="CR22" s="5469">
        <f t="shared" si="31"/>
        <v>828</v>
      </c>
      <c r="CS22" s="5493">
        <v>272</v>
      </c>
      <c r="CT22" s="5489">
        <v>271</v>
      </c>
      <c r="CU22" s="5489">
        <v>316</v>
      </c>
      <c r="CV22" s="5489">
        <v>302</v>
      </c>
      <c r="CW22" s="5469">
        <f t="shared" si="32"/>
        <v>1161</v>
      </c>
      <c r="CX22" s="5490">
        <f>CV22/CV$24*CX$24</f>
        <v>328.66630552546042</v>
      </c>
      <c r="CY22" s="5490">
        <f>CX22/CX$24*CY$24</f>
        <v>327.68472372697721</v>
      </c>
      <c r="CZ22" s="5490">
        <f>CY22/CY$24*CZ$24</f>
        <v>297.74647887323943</v>
      </c>
      <c r="DA22" s="5490">
        <f>CZ22/CZ$24*DA$24</f>
        <v>302.16359696641382</v>
      </c>
      <c r="DB22" s="5471">
        <f>SUM(CX22:DA22)</f>
        <v>1256.2611050920909</v>
      </c>
      <c r="DC22" s="5490"/>
      <c r="DD22" s="5490"/>
      <c r="DE22" s="5490"/>
      <c r="DF22" s="5490"/>
      <c r="DG22" s="5471"/>
      <c r="DH22" s="5490"/>
      <c r="DI22" s="5489"/>
      <c r="DJ22" s="5490"/>
      <c r="DK22" s="5490"/>
      <c r="DL22" s="5471"/>
      <c r="DM22" s="5494"/>
      <c r="DN22" s="5494"/>
      <c r="DO22" s="5491"/>
      <c r="DP22" s="5491"/>
      <c r="DQ22" s="5471"/>
      <c r="DR22" s="5495"/>
      <c r="DS22" s="5491"/>
      <c r="DT22" s="5495"/>
      <c r="DU22" s="5491"/>
      <c r="DV22" s="5471"/>
      <c r="DW22" s="5495"/>
      <c r="DX22" s="5491"/>
      <c r="DY22" s="5495"/>
      <c r="DZ22" s="5491"/>
      <c r="EA22" s="5471"/>
      <c r="EB22" s="5495"/>
      <c r="EC22" s="5491"/>
      <c r="ED22" s="5495"/>
      <c r="EE22" s="5491"/>
      <c r="EF22" s="5471"/>
      <c r="EG22" s="5495"/>
      <c r="EH22" s="5491"/>
      <c r="EI22" s="5495"/>
      <c r="EJ22" s="5491"/>
      <c r="EK22" s="1844"/>
      <c r="EL22" s="5495"/>
      <c r="EM22" s="5491"/>
      <c r="EN22" s="5495"/>
      <c r="EO22" s="4302"/>
      <c r="EP22" s="1844"/>
      <c r="EQ22" s="4302"/>
      <c r="ER22" s="4302"/>
      <c r="ES22" s="4302"/>
      <c r="ET22" s="4302"/>
      <c r="EU22" s="1844"/>
      <c r="EV22" s="1849"/>
      <c r="EW22" s="1849"/>
      <c r="EX22" s="1849"/>
      <c r="EY22" s="1849"/>
      <c r="EZ22" s="42"/>
      <c r="FA22" s="1319"/>
      <c r="FB22" s="1319"/>
      <c r="FC22" s="1319"/>
      <c r="FD22" s="1319"/>
      <c r="FE22" s="1319" t="e">
        <f t="shared" si="38"/>
        <v>#DIV/0!</v>
      </c>
      <c r="FF22" s="1319" t="e">
        <f t="shared" si="39"/>
        <v>#DIV/0!</v>
      </c>
      <c r="FG22" s="1319"/>
      <c r="FH22" s="1319"/>
      <c r="FI22" s="1319"/>
      <c r="FJ22" s="1319"/>
      <c r="FK22" s="1319" t="e">
        <f t="shared" si="41"/>
        <v>#DIV/0!</v>
      </c>
      <c r="FL22" s="1319" t="e">
        <f t="shared" si="42"/>
        <v>#DIV/0!</v>
      </c>
    </row>
    <row r="23" spans="1:168" ht="11.25" customHeight="1">
      <c r="A23" s="3738" t="s">
        <v>51</v>
      </c>
      <c r="B23" s="5434"/>
      <c r="C23" s="5434"/>
      <c r="D23" s="5434"/>
      <c r="E23" s="5435"/>
      <c r="F23" s="5395"/>
      <c r="G23" s="5434"/>
      <c r="H23" s="5434"/>
      <c r="I23" s="5434"/>
      <c r="J23" s="5436"/>
      <c r="K23" s="5395"/>
      <c r="L23" s="71"/>
      <c r="M23" s="71"/>
      <c r="N23" s="71"/>
      <c r="O23" s="5436"/>
      <c r="P23" s="5394">
        <f>SUM(P21:P22)</f>
        <v>17.675000000000001</v>
      </c>
      <c r="Q23" s="5434"/>
      <c r="R23" s="5434"/>
      <c r="S23" s="5434"/>
      <c r="T23" s="5435"/>
      <c r="U23" s="5394">
        <f>SUM(U21:U22)</f>
        <v>31.189999999999998</v>
      </c>
      <c r="V23" s="5437"/>
      <c r="W23" s="5434"/>
      <c r="X23" s="5434"/>
      <c r="Y23" s="5435"/>
      <c r="Z23" s="5394">
        <f>SUM(Z21:Z22)</f>
        <v>94.519000000000005</v>
      </c>
      <c r="AA23" s="5438"/>
      <c r="AB23" s="5439"/>
      <c r="AC23" s="5439"/>
      <c r="AD23" s="5440"/>
      <c r="AE23" s="5394">
        <f>SUM(AE21:AE22)</f>
        <v>188.15099999999998</v>
      </c>
      <c r="AF23" s="5438"/>
      <c r="AG23" s="5439"/>
      <c r="AH23" s="5439"/>
      <c r="AI23" s="5440"/>
      <c r="AJ23" s="5394">
        <f>SUM(AJ21:AJ22)</f>
        <v>386.53200000000004</v>
      </c>
      <c r="AK23" s="5441">
        <f>169.395</f>
        <v>169.39500000000001</v>
      </c>
      <c r="AL23" s="5441">
        <f>172.638</f>
        <v>172.63800000000001</v>
      </c>
      <c r="AM23" s="5441">
        <f>190.01</f>
        <v>190.01</v>
      </c>
      <c r="AN23" s="5442">
        <f>219.744</f>
        <v>219.744</v>
      </c>
      <c r="AO23" s="5443">
        <f t="shared" ref="AO23:BN23" si="46">SUM(AO21:AO22)</f>
        <v>751.78700000000003</v>
      </c>
      <c r="AP23" s="5434">
        <f t="shared" si="46"/>
        <v>261.39999999999998</v>
      </c>
      <c r="AQ23" s="5434">
        <f t="shared" si="46"/>
        <v>319.40499999999997</v>
      </c>
      <c r="AR23" s="5434">
        <f t="shared" si="46"/>
        <v>321.39800000000002</v>
      </c>
      <c r="AS23" s="5434">
        <f t="shared" si="46"/>
        <v>377.04599999999999</v>
      </c>
      <c r="AT23" s="5443">
        <f t="shared" si="46"/>
        <v>1279.2489999999998</v>
      </c>
      <c r="AU23" s="5434">
        <f t="shared" si="46"/>
        <v>409.30500000000001</v>
      </c>
      <c r="AV23" s="5434">
        <f t="shared" si="46"/>
        <v>474.91</v>
      </c>
      <c r="AW23" s="5434">
        <f t="shared" si="46"/>
        <v>507.06400000000002</v>
      </c>
      <c r="AX23" s="5434">
        <f t="shared" si="46"/>
        <v>411.36</v>
      </c>
      <c r="AY23" s="5443">
        <f t="shared" si="46"/>
        <v>1802.6389999999999</v>
      </c>
      <c r="AZ23" s="5434">
        <f t="shared" si="46"/>
        <v>448.31099999999998</v>
      </c>
      <c r="BA23" s="5434">
        <f t="shared" si="46"/>
        <v>364.36700000000002</v>
      </c>
      <c r="BB23" s="5434">
        <f t="shared" si="46"/>
        <v>389.55700000000002</v>
      </c>
      <c r="BC23" s="5434">
        <f t="shared" si="46"/>
        <v>465.05900000000003</v>
      </c>
      <c r="BD23" s="5443">
        <f t="shared" si="46"/>
        <v>1667.2940000000001</v>
      </c>
      <c r="BE23" s="5434">
        <f t="shared" si="46"/>
        <v>410</v>
      </c>
      <c r="BF23" s="5434">
        <f t="shared" si="46"/>
        <v>461</v>
      </c>
      <c r="BG23" s="5434">
        <f t="shared" si="46"/>
        <v>532</v>
      </c>
      <c r="BH23" s="5434">
        <f t="shared" si="46"/>
        <v>559</v>
      </c>
      <c r="BI23" s="5498">
        <f t="shared" si="46"/>
        <v>1962</v>
      </c>
      <c r="BJ23" s="5434">
        <f t="shared" si="46"/>
        <v>591</v>
      </c>
      <c r="BK23" s="5434">
        <f t="shared" si="46"/>
        <v>648</v>
      </c>
      <c r="BL23" s="5434">
        <f t="shared" si="46"/>
        <v>676</v>
      </c>
      <c r="BM23" s="5434">
        <f t="shared" si="46"/>
        <v>809</v>
      </c>
      <c r="BN23" s="5498">
        <f t="shared" si="46"/>
        <v>2724</v>
      </c>
      <c r="BO23" s="5447"/>
      <c r="BP23" s="5447"/>
      <c r="BQ23" s="5447"/>
      <c r="BR23" s="5448"/>
      <c r="BS23" s="5443"/>
      <c r="BT23" s="5441"/>
      <c r="BU23" s="5441"/>
      <c r="BV23" s="5441"/>
      <c r="BW23" s="5441"/>
      <c r="BX23" s="5470">
        <v>3481</v>
      </c>
      <c r="BY23" s="5040"/>
      <c r="BZ23" s="5040"/>
      <c r="CA23" s="5040"/>
      <c r="CB23" s="5040"/>
      <c r="CC23" s="5474"/>
      <c r="CD23" s="5480">
        <v>1015</v>
      </c>
      <c r="CE23" s="5480">
        <v>1098</v>
      </c>
      <c r="CF23" s="5480">
        <v>1135</v>
      </c>
      <c r="CG23" s="5040">
        <f t="shared" ref="CG23:CL23" si="47">SUM(CG21,CG22)</f>
        <v>1184</v>
      </c>
      <c r="CH23" s="5474">
        <f t="shared" si="47"/>
        <v>4432</v>
      </c>
      <c r="CI23" s="5040">
        <f t="shared" si="47"/>
        <v>1489</v>
      </c>
      <c r="CJ23" s="5040">
        <f t="shared" si="47"/>
        <v>1404</v>
      </c>
      <c r="CK23" s="5040">
        <f t="shared" si="47"/>
        <v>1365</v>
      </c>
      <c r="CL23" s="5040">
        <f t="shared" si="47"/>
        <v>1593</v>
      </c>
      <c r="CM23" s="5474">
        <f t="shared" si="30"/>
        <v>5851</v>
      </c>
      <c r="CN23" s="5040">
        <f>SUM(CN21,CN22)</f>
        <v>1637</v>
      </c>
      <c r="CO23" s="5040">
        <f>SUM(CO21,CO22)</f>
        <v>1450</v>
      </c>
      <c r="CP23" s="5040">
        <f>SUM(CP21,CP22)</f>
        <v>1477</v>
      </c>
      <c r="CQ23" s="5040">
        <f>SUM(CQ21,CQ22)</f>
        <v>1572</v>
      </c>
      <c r="CR23" s="5474">
        <f t="shared" si="31"/>
        <v>6136</v>
      </c>
      <c r="CS23" s="5040">
        <f>SUM(CS21,CS22)</f>
        <v>1513</v>
      </c>
      <c r="CT23" s="5040">
        <f>SUM(CT21,CT22)</f>
        <v>1624</v>
      </c>
      <c r="CU23" s="5040">
        <f>SUM(CU21,CU22)</f>
        <v>1824</v>
      </c>
      <c r="CV23" s="5040">
        <f>SUM(CV21,CV22)</f>
        <v>2024</v>
      </c>
      <c r="CW23" s="5474">
        <f t="shared" si="32"/>
        <v>6985</v>
      </c>
      <c r="CX23" s="5480">
        <v>1801</v>
      </c>
      <c r="CY23" s="5480">
        <v>1700</v>
      </c>
      <c r="CZ23" s="5480">
        <v>1595</v>
      </c>
      <c r="DA23" s="5480">
        <v>1776</v>
      </c>
      <c r="DB23" s="5474">
        <f t="shared" si="35"/>
        <v>6872</v>
      </c>
      <c r="DC23" s="5480">
        <f>2035-632</f>
        <v>1403</v>
      </c>
      <c r="DD23" s="5480">
        <f>2002-238</f>
        <v>1764</v>
      </c>
      <c r="DE23" s="5480">
        <f>2068-315</f>
        <v>1753</v>
      </c>
      <c r="DF23" s="5480">
        <f>2021-18</f>
        <v>2003</v>
      </c>
      <c r="DG23" s="5474">
        <f>SUM(DC23:DF23)</f>
        <v>6923</v>
      </c>
      <c r="DH23" s="5480">
        <v>2088</v>
      </c>
      <c r="DI23" s="5480">
        <v>2043</v>
      </c>
      <c r="DJ23" s="5480">
        <f>2591</f>
        <v>2591</v>
      </c>
      <c r="DK23" s="5480">
        <v>2829</v>
      </c>
      <c r="DL23" s="5474">
        <f>SUM(DH23:DK23)</f>
        <v>9551</v>
      </c>
      <c r="DM23" s="5480">
        <v>2880</v>
      </c>
      <c r="DN23" s="5480">
        <v>2585</v>
      </c>
      <c r="DO23" s="5480">
        <v>2756</v>
      </c>
      <c r="DP23" s="5480">
        <v>2831</v>
      </c>
      <c r="DQ23" s="5474">
        <f>SUM(DM23:DP23)</f>
        <v>11052</v>
      </c>
      <c r="DR23" s="5480">
        <v>2773</v>
      </c>
      <c r="DS23" s="5480">
        <v>3341</v>
      </c>
      <c r="DT23" s="5480">
        <v>3256</v>
      </c>
      <c r="DU23" s="5480">
        <v>4140</v>
      </c>
      <c r="DV23" s="5474">
        <f>SUM(DR23:DU23)</f>
        <v>13510</v>
      </c>
      <c r="DW23" s="5480">
        <v>3374</v>
      </c>
      <c r="DX23" s="5480">
        <v>3657</v>
      </c>
      <c r="DY23" s="5480">
        <v>3597</v>
      </c>
      <c r="DZ23" s="5480">
        <v>5096</v>
      </c>
      <c r="EA23" s="5474">
        <f>SUM(DW23:DZ23)</f>
        <v>15724</v>
      </c>
      <c r="EB23" s="5480">
        <f>3759</f>
        <v>3759</v>
      </c>
      <c r="EC23" s="5480">
        <v>3481</v>
      </c>
      <c r="ED23" s="5480">
        <v>3979</v>
      </c>
      <c r="EE23" s="5480">
        <v>5206</v>
      </c>
      <c r="EF23" s="5474">
        <f>SUM(EB23:EE23)</f>
        <v>16425</v>
      </c>
      <c r="EG23" s="5480">
        <v>3026</v>
      </c>
      <c r="EH23" s="5480">
        <v>3158</v>
      </c>
      <c r="EI23" s="5480">
        <v>3599</v>
      </c>
      <c r="EJ23" s="5480">
        <v>4405</v>
      </c>
      <c r="EK23" s="999">
        <f>SUM(EG23:EJ23)</f>
        <v>14188</v>
      </c>
      <c r="EL23" s="5480">
        <v>3539</v>
      </c>
      <c r="EM23" s="5480">
        <v>5209</v>
      </c>
      <c r="EN23" s="5480">
        <f>7393-EN25</f>
        <v>3936</v>
      </c>
      <c r="EO23" s="150">
        <f>EO9*EO123</f>
        <v>4895.3898919659814</v>
      </c>
      <c r="EP23" s="999">
        <f>SUM(EL23:EO23)</f>
        <v>17579.38989196598</v>
      </c>
      <c r="EQ23" s="150">
        <f t="shared" ref="EQ23:ET23" si="48">EQ9*EQ123</f>
        <v>3771.5087934236376</v>
      </c>
      <c r="ER23" s="150">
        <f t="shared" si="48"/>
        <v>3820.4134409645999</v>
      </c>
      <c r="ES23" s="150">
        <f t="shared" si="48"/>
        <v>4057.4322936200415</v>
      </c>
      <c r="ET23" s="150">
        <f t="shared" si="48"/>
        <v>5194.0783965370993</v>
      </c>
      <c r="EU23" s="999">
        <f>SUM(EQ23:ET23)</f>
        <v>16843.432924545377</v>
      </c>
      <c r="EV23" s="1001">
        <f>EV9*EV123</f>
        <v>18421.544841502197</v>
      </c>
      <c r="EW23" s="1001">
        <f>EW9*EW123</f>
        <v>19714.478943441958</v>
      </c>
      <c r="EX23" s="1001">
        <f>EX9*EX123</f>
        <v>20767.111197481499</v>
      </c>
      <c r="EY23" s="1001">
        <f>EY9*EY123</f>
        <v>21667.182640995168</v>
      </c>
      <c r="EZ23" s="42"/>
      <c r="FA23" s="1319">
        <f t="shared" si="37"/>
        <v>0.18078654758229518</v>
      </c>
      <c r="FB23" s="1319">
        <f>(EF23/DQ23)^(1/3)-1</f>
        <v>0.14118179277013443</v>
      </c>
      <c r="FC23" s="1319">
        <f>(EK23/DV23)^(1/3)-1</f>
        <v>1.6456061951202638E-2</v>
      </c>
      <c r="FD23" s="1319">
        <f>(EP23/EA23)^(1/3)-1</f>
        <v>3.7879469316875802E-2</v>
      </c>
      <c r="FE23" s="1319">
        <f t="shared" si="38"/>
        <v>8.4206825128190221E-3</v>
      </c>
      <c r="FF23" s="1319">
        <f t="shared" si="39"/>
        <v>9.0941901237773903E-2</v>
      </c>
      <c r="FG23" s="1319">
        <f t="shared" si="40"/>
        <v>8.2366811199444223E-2</v>
      </c>
      <c r="FH23" s="1319">
        <f>(EP23/DQ23)^(1/5)-1</f>
        <v>9.7267672888907031E-2</v>
      </c>
      <c r="FI23" s="1319">
        <f>(EU23/DV23)^(1/5)-1</f>
        <v>4.5093273413496338E-2</v>
      </c>
      <c r="FJ23" s="1319">
        <f>(EV23/EA23)^(1/5)-1</f>
        <v>3.2173256809360673E-2</v>
      </c>
      <c r="FK23" s="1319">
        <f t="shared" si="41"/>
        <v>3.718442132119093E-2</v>
      </c>
      <c r="FL23" s="1319">
        <f t="shared" si="42"/>
        <v>7.9172777826811425E-2</v>
      </c>
    </row>
    <row r="24" spans="1:168" s="129" customFormat="1" ht="11.25" hidden="1" customHeight="1" outlineLevel="1">
      <c r="A24" s="3739" t="s">
        <v>823</v>
      </c>
      <c r="B24" s="5439"/>
      <c r="C24" s="5439"/>
      <c r="D24" s="5439"/>
      <c r="E24" s="5440"/>
      <c r="F24" s="5411">
        <v>0</v>
      </c>
      <c r="G24" s="5439"/>
      <c r="H24" s="5439"/>
      <c r="I24" s="5439"/>
      <c r="J24" s="301"/>
      <c r="K24" s="5449">
        <v>2.5059999999999998</v>
      </c>
      <c r="L24" s="5450"/>
      <c r="M24" s="5450"/>
      <c r="N24" s="5450"/>
      <c r="O24" s="5451"/>
      <c r="P24" s="5411">
        <v>12.382999999999999</v>
      </c>
      <c r="Q24" s="5452">
        <v>3.774</v>
      </c>
      <c r="R24" s="5452">
        <v>3.7349999999999999</v>
      </c>
      <c r="S24" s="5452">
        <v>6.1820000000000004</v>
      </c>
      <c r="T24" s="5453">
        <v>7.944</v>
      </c>
      <c r="U24" s="5396">
        <f>SUM(Q24:T24)</f>
        <v>21.635000000000002</v>
      </c>
      <c r="V24" s="5454">
        <v>36.417999999999999</v>
      </c>
      <c r="W24" s="5452">
        <v>34.164999999999999</v>
      </c>
      <c r="X24" s="5452">
        <v>73.793999999999997</v>
      </c>
      <c r="Y24" s="5453">
        <v>84.983999999999995</v>
      </c>
      <c r="Z24" s="5396">
        <f>SUM(V24:Y24)</f>
        <v>229.36099999999999</v>
      </c>
      <c r="AA24" s="5454">
        <v>76.472999999999999</v>
      </c>
      <c r="AB24" s="5441">
        <v>74.760999999999996</v>
      </c>
      <c r="AC24" s="5441">
        <v>67.980999999999995</v>
      </c>
      <c r="AD24" s="5442">
        <v>59.530999999999999</v>
      </c>
      <c r="AE24" s="5455">
        <f>SUM(AA24:AD24)</f>
        <v>278.74599999999998</v>
      </c>
      <c r="AF24" s="5456">
        <v>48.908000000000001</v>
      </c>
      <c r="AG24" s="5441">
        <v>47.338000000000001</v>
      </c>
      <c r="AH24" s="5441">
        <v>46.308</v>
      </c>
      <c r="AI24" s="5442">
        <v>58.154000000000003</v>
      </c>
      <c r="AJ24" s="5455">
        <f>SUM(AF24:AI24)</f>
        <v>200.708</v>
      </c>
      <c r="AK24" s="5441">
        <f>2.283+73.086+15.929+23.366</f>
        <v>114.664</v>
      </c>
      <c r="AL24" s="5441">
        <f>2.322+70.564+14.285+21.978</f>
        <v>109.149</v>
      </c>
      <c r="AM24" s="5441">
        <f>2.149+61.714+14.673+21.324</f>
        <v>99.86</v>
      </c>
      <c r="AN24" s="5442">
        <f>10.874+82.122+14.502+26.929</f>
        <v>134.42699999999999</v>
      </c>
      <c r="AO24" s="5396">
        <f>SUM(AK24:AN24)</f>
        <v>458.1</v>
      </c>
      <c r="AP24" s="5441">
        <f>4.389+120.787+27.25+31.44</f>
        <v>183.86599999999999</v>
      </c>
      <c r="AQ24" s="5441">
        <f>7.659+156.983+36.385+40.497</f>
        <v>241.524</v>
      </c>
      <c r="AR24" s="5441">
        <f>4.031+130.655+29.918+33.352</f>
        <v>197.95600000000002</v>
      </c>
      <c r="AS24" s="5442">
        <f>6.255+161.372+38.085+39.588</f>
        <v>245.3</v>
      </c>
      <c r="AT24" s="907">
        <f>SUM(AP24:AS24)</f>
        <v>868.64599999999996</v>
      </c>
      <c r="AU24" s="5441">
        <f>9.148+193.8+42.576+35.255</f>
        <v>280.779</v>
      </c>
      <c r="AV24" s="5447">
        <f>9.363+187.281+42.593+33.539</f>
        <v>272.77600000000001</v>
      </c>
      <c r="AW24" s="5447">
        <f>10.729+169.263+64.497+35.55</f>
        <v>280.03900000000004</v>
      </c>
      <c r="AX24" s="5448">
        <f>12.099+182.075+56.354+35.644</f>
        <v>286.17199999999997</v>
      </c>
      <c r="AY24" s="907">
        <f>SUM(AU24:AX24)</f>
        <v>1119.7660000000001</v>
      </c>
      <c r="AZ24" s="5447">
        <f>12.537+168.561+59.026+37.359</f>
        <v>277.483</v>
      </c>
      <c r="BA24" s="5447">
        <f>13.592+182.209+57.294+39.975</f>
        <v>293.07000000000005</v>
      </c>
      <c r="BB24" s="5447">
        <f>14.871+195.624+62.26+44.772</f>
        <v>317.52699999999999</v>
      </c>
      <c r="BC24" s="5447">
        <f>6.051+178.948+52.439+38.536</f>
        <v>275.97399999999999</v>
      </c>
      <c r="BD24" s="1005">
        <f>SUM(AZ24:BC24)</f>
        <v>1164.0540000000001</v>
      </c>
      <c r="BE24" s="5457">
        <f>6+191+54+40</f>
        <v>291</v>
      </c>
      <c r="BF24" s="5447">
        <f>8+202+56+43</f>
        <v>309</v>
      </c>
      <c r="BG24" s="5447">
        <f>8+244+75+53</f>
        <v>380</v>
      </c>
      <c r="BH24" s="5447">
        <f>45+224+76+51</f>
        <v>396</v>
      </c>
      <c r="BI24" s="1255">
        <f>SUM(BE24:BH24)</f>
        <v>1376</v>
      </c>
      <c r="BJ24" s="5447">
        <f>49+237+78+68</f>
        <v>432</v>
      </c>
      <c r="BK24" s="5447">
        <v>435</v>
      </c>
      <c r="BL24" s="5447">
        <v>571</v>
      </c>
      <c r="BM24" s="5447">
        <f>77+266+105+88</f>
        <v>536</v>
      </c>
      <c r="BN24" s="1255">
        <f>SUM(BJ24:BM24)</f>
        <v>1974</v>
      </c>
      <c r="BO24" s="5447">
        <v>556</v>
      </c>
      <c r="BP24" s="5447">
        <v>747</v>
      </c>
      <c r="BQ24" s="5447">
        <v>1064</v>
      </c>
      <c r="BR24" s="5448">
        <v>878</v>
      </c>
      <c r="BS24" s="1740">
        <v>3245</v>
      </c>
      <c r="BT24" s="5447">
        <v>556</v>
      </c>
      <c r="BU24" s="5447">
        <v>552</v>
      </c>
      <c r="BV24" s="5447">
        <v>688</v>
      </c>
      <c r="BW24" s="5447">
        <v>677</v>
      </c>
      <c r="BX24" s="1255">
        <f>SUM(BT24:BW24)</f>
        <v>2473</v>
      </c>
      <c r="BY24" s="5484">
        <v>593</v>
      </c>
      <c r="BZ24" s="5484">
        <v>783</v>
      </c>
      <c r="CA24" s="5484">
        <v>886</v>
      </c>
      <c r="CB24" s="5484">
        <v>917</v>
      </c>
      <c r="CC24" s="1255">
        <v>3179</v>
      </c>
      <c r="CD24" s="5040">
        <f>SUM(CD11,CD16,CD19,CD22)</f>
        <v>655</v>
      </c>
      <c r="CE24" s="5480">
        <v>743</v>
      </c>
      <c r="CF24" s="5480">
        <v>856</v>
      </c>
      <c r="CG24" s="5040">
        <f>SUM(CG11,CG16,CG19,CG22)</f>
        <v>873</v>
      </c>
      <c r="CH24" s="1255">
        <f>469+1641+552+465</f>
        <v>3127</v>
      </c>
      <c r="CI24" s="5040">
        <f>SUM(CI11,CI16,CI19,CI22)</f>
        <v>839</v>
      </c>
      <c r="CJ24" s="5040">
        <f>SUM(CJ11,CJ16,CJ19,CJ22)</f>
        <v>880</v>
      </c>
      <c r="CK24" s="5040">
        <f>SUM(CK11,CK16,CK19,CK22)</f>
        <v>1255</v>
      </c>
      <c r="CL24" s="5040">
        <f>SUM(CL11,CL16,CL19,CL22)</f>
        <v>1201</v>
      </c>
      <c r="CM24" s="1255">
        <f t="shared" si="30"/>
        <v>4175</v>
      </c>
      <c r="CN24" s="5040">
        <f>SUM(CN11,CN16,CN19,CN22)</f>
        <v>1203</v>
      </c>
      <c r="CO24" s="5040">
        <f>SUM(CO11,CO16,CO19,CO22)</f>
        <v>1132</v>
      </c>
      <c r="CP24" s="5040">
        <f>SUM(CP11,CP16,CP19,CP22)</f>
        <v>1432</v>
      </c>
      <c r="CQ24" s="5040">
        <f>SUM(CQ11,CQ16,CQ19,CQ22)</f>
        <v>1436</v>
      </c>
      <c r="CR24" s="1255">
        <f t="shared" si="31"/>
        <v>5203</v>
      </c>
      <c r="CS24" s="5040">
        <f>SUM(CS11,CS16,CS19,CS22)</f>
        <v>1494</v>
      </c>
      <c r="CT24" s="5040">
        <f>SUM(CT11,CT16,CT19,CT22)</f>
        <v>1503</v>
      </c>
      <c r="CU24" s="5040">
        <f>SUM(CU11,CU16,CU19,CU22)</f>
        <v>1860</v>
      </c>
      <c r="CV24" s="5040">
        <f>SUM(CV11,CV16,CV19,CV22)</f>
        <v>1846</v>
      </c>
      <c r="CW24" s="1255">
        <f t="shared" si="32"/>
        <v>6703</v>
      </c>
      <c r="CX24" s="656">
        <v>2009</v>
      </c>
      <c r="CY24" s="656">
        <v>2003</v>
      </c>
      <c r="CZ24" s="656">
        <v>1820</v>
      </c>
      <c r="DA24" s="656">
        <v>1847</v>
      </c>
      <c r="DB24" s="1255">
        <f t="shared" si="35"/>
        <v>7679</v>
      </c>
      <c r="DC24" s="656">
        <v>2457</v>
      </c>
      <c r="DD24" s="656">
        <v>2413</v>
      </c>
      <c r="DE24" s="656">
        <f>2230</f>
        <v>2230</v>
      </c>
      <c r="DF24" s="656">
        <v>2253</v>
      </c>
      <c r="DG24" s="1255">
        <f>SUM(DC24:DF24)</f>
        <v>9353</v>
      </c>
      <c r="DH24" s="656">
        <v>2769</v>
      </c>
      <c r="DI24" s="656">
        <v>2756</v>
      </c>
      <c r="DJ24" s="656">
        <v>2624</v>
      </c>
      <c r="DK24" s="656">
        <v>2645</v>
      </c>
      <c r="DL24" s="1255">
        <f>SUM(DH24:DK24)</f>
        <v>10794</v>
      </c>
      <c r="DM24" s="656">
        <v>3191</v>
      </c>
      <c r="DN24" s="656">
        <v>3382</v>
      </c>
      <c r="DO24" s="656">
        <v>3195</v>
      </c>
      <c r="DP24" s="656">
        <v>3223</v>
      </c>
      <c r="DQ24" s="1255">
        <f>SUM(DM24:DP24)</f>
        <v>12991</v>
      </c>
      <c r="DR24" s="656">
        <v>3745</v>
      </c>
      <c r="DS24" s="656">
        <v>3803</v>
      </c>
      <c r="DT24" s="656">
        <v>3874</v>
      </c>
      <c r="DU24" s="656">
        <v>3954</v>
      </c>
      <c r="DV24" s="1255">
        <f>SUM(DR24:DU24)</f>
        <v>15376</v>
      </c>
      <c r="DW24" s="656">
        <v>4504</v>
      </c>
      <c r="DX24" s="656">
        <v>4782</v>
      </c>
      <c r="DY24" s="656">
        <v>4976</v>
      </c>
      <c r="DZ24" s="656">
        <v>5100</v>
      </c>
      <c r="EA24" s="1255">
        <f>SUM(DW24:DZ24)</f>
        <v>19362</v>
      </c>
      <c r="EB24" s="656">
        <v>5284</v>
      </c>
      <c r="EC24" s="656">
        <v>5774</v>
      </c>
      <c r="ED24" s="656">
        <v>5743</v>
      </c>
      <c r="EE24" s="656">
        <v>5659</v>
      </c>
      <c r="EF24" s="1255">
        <f>SUM(EB24:EE24)</f>
        <v>22460</v>
      </c>
      <c r="EG24" s="656">
        <v>5264</v>
      </c>
      <c r="EH24" s="656">
        <v>5865</v>
      </c>
      <c r="EI24" s="656">
        <v>5846</v>
      </c>
      <c r="EJ24" s="656">
        <v>5810</v>
      </c>
      <c r="EK24" s="1001">
        <f>SUM(EG24:EJ24)</f>
        <v>22785</v>
      </c>
      <c r="EL24" s="656">
        <v>5516</v>
      </c>
      <c r="EM24" s="656">
        <v>5998</v>
      </c>
      <c r="EN24" s="656">
        <v>6368</v>
      </c>
      <c r="EO24" s="42">
        <f>EO9*EO126</f>
        <v>6527.1865226213095</v>
      </c>
      <c r="EP24" s="1001">
        <f>SUM(EL24:EO24)</f>
        <v>24409.186522621309</v>
      </c>
      <c r="EQ24" s="42">
        <f t="shared" ref="EQ24:ET24" si="49">EQ9*EQ126</f>
        <v>6452.4608273030899</v>
      </c>
      <c r="ER24" s="42">
        <f t="shared" si="49"/>
        <v>7098.6445316606469</v>
      </c>
      <c r="ES24" s="42">
        <f t="shared" si="49"/>
        <v>7478.2178760088218</v>
      </c>
      <c r="ET24" s="42">
        <f t="shared" si="49"/>
        <v>7452.3733515532294</v>
      </c>
      <c r="EU24" s="1001">
        <f>SUM(EQ24:ET24)</f>
        <v>28481.696586525788</v>
      </c>
      <c r="EV24" s="1001">
        <f>EV9*EV126</f>
        <v>30856.08760951618</v>
      </c>
      <c r="EW24" s="1001">
        <f>EW9*EW126</f>
        <v>33307.093372867726</v>
      </c>
      <c r="EX24" s="1001">
        <f>EX9*EX126</f>
        <v>35765.580395662582</v>
      </c>
      <c r="EY24" s="2880">
        <f>EY9*EY126</f>
        <v>38299.931668347344</v>
      </c>
      <c r="EZ24" s="42"/>
      <c r="FA24" s="1319">
        <f t="shared" si="37"/>
        <v>0.2150363402716291</v>
      </c>
      <c r="FB24" s="1319">
        <f>(EF24/DQ24)^(1/3)-1</f>
        <v>0.20020580521216136</v>
      </c>
      <c r="FC24" s="1319">
        <f>(EK24/DV24)^(1/3)-1</f>
        <v>0.14007972118946088</v>
      </c>
      <c r="FD24" s="1319">
        <f>(EP24/EA24)^(1/3)-1</f>
        <v>8.0275093952768328E-2</v>
      </c>
      <c r="FE24" s="1319">
        <f>(EU24/EB24)^(1/3)-1</f>
        <v>0.75334622331519907</v>
      </c>
      <c r="FF24" s="1319">
        <f>(EV24/EC24)^(1/3)-1</f>
        <v>0.7483217474133208</v>
      </c>
      <c r="FG24" s="1319">
        <f t="shared" si="40"/>
        <v>0.16116336115958729</v>
      </c>
      <c r="FH24" s="1319">
        <f>(EP24/DQ24)^(1/5)-1</f>
        <v>0.13444160245034764</v>
      </c>
      <c r="FI24" s="1319">
        <f>(EU24/DV24)^(1/5)-1</f>
        <v>0.13121328554618694</v>
      </c>
      <c r="FJ24" s="1319">
        <f>(EV24/EA24)^(1/5)-1</f>
        <v>9.7686008662440482E-2</v>
      </c>
      <c r="FK24" s="1319">
        <f t="shared" si="41"/>
        <v>8.1995355432042283E-2</v>
      </c>
      <c r="FL24" s="1319">
        <f>(EX24/EG24)^(1/5)-1</f>
        <v>0.46699920771346837</v>
      </c>
    </row>
    <row r="25" spans="1:168" s="129" customFormat="1" ht="11.25" customHeight="1" collapsed="1">
      <c r="A25" s="3739" t="s">
        <v>834</v>
      </c>
      <c r="B25" s="150"/>
      <c r="C25" s="150"/>
      <c r="D25" s="150"/>
      <c r="E25" s="148"/>
      <c r="F25" s="965"/>
      <c r="G25" s="150"/>
      <c r="H25" s="150"/>
      <c r="I25" s="150"/>
      <c r="J25" s="63"/>
      <c r="K25" s="968"/>
      <c r="L25" s="82"/>
      <c r="M25" s="82"/>
      <c r="N25" s="82"/>
      <c r="O25" s="81"/>
      <c r="P25" s="918"/>
      <c r="Q25" s="51"/>
      <c r="R25" s="51"/>
      <c r="S25" s="51"/>
      <c r="T25" s="52"/>
      <c r="U25" s="968"/>
      <c r="V25" s="926"/>
      <c r="W25" s="51"/>
      <c r="X25" s="51"/>
      <c r="Y25" s="52"/>
      <c r="Z25" s="968"/>
      <c r="AA25" s="926"/>
      <c r="AB25" s="150"/>
      <c r="AC25" s="150"/>
      <c r="AD25" s="148"/>
      <c r="AE25" s="5399"/>
      <c r="AF25" s="969"/>
      <c r="AG25" s="150"/>
      <c r="AH25" s="150"/>
      <c r="AI25" s="148"/>
      <c r="AJ25" s="918"/>
      <c r="AK25" s="150"/>
      <c r="AL25" s="150"/>
      <c r="AM25" s="150"/>
      <c r="AN25" s="148"/>
      <c r="AO25" s="968"/>
      <c r="AP25" s="150"/>
      <c r="AQ25" s="150"/>
      <c r="AR25" s="150"/>
      <c r="AS25" s="148"/>
      <c r="AT25" s="880"/>
      <c r="AU25" s="150"/>
      <c r="AV25" s="147"/>
      <c r="AW25" s="147"/>
      <c r="AX25" s="145"/>
      <c r="AY25" s="880"/>
      <c r="AZ25" s="147"/>
      <c r="BA25" s="147"/>
      <c r="BB25" s="147"/>
      <c r="BC25" s="147"/>
      <c r="BD25" s="1001"/>
      <c r="BE25" s="1729"/>
      <c r="BF25" s="288"/>
      <c r="BG25" s="288"/>
      <c r="BH25" s="288"/>
      <c r="BI25" s="1255"/>
      <c r="BJ25" s="288"/>
      <c r="BK25" s="288"/>
      <c r="BL25" s="288"/>
      <c r="BM25" s="288"/>
      <c r="BN25" s="1255"/>
      <c r="BO25" s="288"/>
      <c r="BP25" s="288"/>
      <c r="BQ25" s="288"/>
      <c r="BR25" s="289"/>
      <c r="BS25" s="1730"/>
      <c r="BT25" s="288"/>
      <c r="BU25" s="288"/>
      <c r="BV25" s="288"/>
      <c r="BW25" s="288"/>
      <c r="BX25" s="1255">
        <v>0</v>
      </c>
      <c r="BY25" s="5484"/>
      <c r="BZ25" s="5484"/>
      <c r="CA25" s="5484"/>
      <c r="CB25" s="5484"/>
      <c r="CC25" s="1255"/>
      <c r="CD25" s="5480">
        <v>0</v>
      </c>
      <c r="CE25" s="5480">
        <v>0</v>
      </c>
      <c r="CF25" s="5480">
        <v>0</v>
      </c>
      <c r="CG25" s="5480">
        <v>0</v>
      </c>
      <c r="CH25" s="1255">
        <v>0</v>
      </c>
      <c r="CI25" s="654">
        <v>0</v>
      </c>
      <c r="CJ25" s="654">
        <v>0</v>
      </c>
      <c r="CK25" s="5480">
        <f>CK47</f>
        <v>378</v>
      </c>
      <c r="CL25" s="654">
        <f>CL47</f>
        <v>0</v>
      </c>
      <c r="CM25" s="1255">
        <f t="shared" si="30"/>
        <v>378</v>
      </c>
      <c r="CN25" s="654">
        <v>0</v>
      </c>
      <c r="CO25" s="654">
        <v>0</v>
      </c>
      <c r="CP25" s="654">
        <v>0</v>
      </c>
      <c r="CQ25" s="654">
        <v>0</v>
      </c>
      <c r="CR25" s="1255">
        <f t="shared" si="31"/>
        <v>0</v>
      </c>
      <c r="CS25" s="654">
        <v>0</v>
      </c>
      <c r="CT25" s="654">
        <v>0</v>
      </c>
      <c r="CU25" s="654">
        <v>0</v>
      </c>
      <c r="CV25" s="5014">
        <v>0</v>
      </c>
      <c r="CW25" s="1255">
        <f t="shared" si="32"/>
        <v>0</v>
      </c>
      <c r="CX25" s="5014">
        <v>0</v>
      </c>
      <c r="CY25" s="654">
        <v>2736</v>
      </c>
      <c r="CZ25" s="5014">
        <v>0</v>
      </c>
      <c r="DA25" s="5014">
        <v>0</v>
      </c>
      <c r="DB25" s="1255">
        <f t="shared" si="35"/>
        <v>2736</v>
      </c>
      <c r="DC25" s="5014"/>
      <c r="DD25" s="654">
        <f>5071</f>
        <v>5071</v>
      </c>
      <c r="DE25" s="654">
        <v>0</v>
      </c>
      <c r="DF25" s="654">
        <v>0</v>
      </c>
      <c r="DG25" s="1255">
        <f>SUM(DC25:DF25)</f>
        <v>5071</v>
      </c>
      <c r="DH25" s="654">
        <v>1697</v>
      </c>
      <c r="DI25" s="654">
        <v>0</v>
      </c>
      <c r="DJ25" s="654">
        <v>0</v>
      </c>
      <c r="DK25" s="654">
        <v>0</v>
      </c>
      <c r="DL25" s="1255">
        <f>SUM(DH25:DK25)</f>
        <v>1697</v>
      </c>
      <c r="DM25" s="654">
        <v>0</v>
      </c>
      <c r="DN25" s="654">
        <v>0</v>
      </c>
      <c r="DO25" s="654">
        <v>0</v>
      </c>
      <c r="DP25" s="654">
        <v>0</v>
      </c>
      <c r="DQ25" s="1255">
        <f>SUM(DM25:DP25)</f>
        <v>0</v>
      </c>
      <c r="DR25" s="654">
        <v>0</v>
      </c>
      <c r="DS25" s="654">
        <v>0</v>
      </c>
      <c r="DT25" s="654">
        <v>0</v>
      </c>
      <c r="DU25" s="654">
        <v>0</v>
      </c>
      <c r="DV25" s="1255">
        <f>SUM(DR25:DU25)</f>
        <v>0</v>
      </c>
      <c r="DW25" s="654">
        <v>0</v>
      </c>
      <c r="DX25" s="654">
        <v>0</v>
      </c>
      <c r="DY25" s="654">
        <v>0</v>
      </c>
      <c r="DZ25" s="654">
        <v>0</v>
      </c>
      <c r="EA25" s="1255">
        <f>SUM(DW25:DZ25)</f>
        <v>0</v>
      </c>
      <c r="EB25" s="654">
        <v>0</v>
      </c>
      <c r="EC25" s="654">
        <v>0</v>
      </c>
      <c r="ED25" s="654">
        <v>0</v>
      </c>
      <c r="EE25" s="654">
        <v>0</v>
      </c>
      <c r="EF25" s="1255">
        <f>SUM(EB25:EE25)</f>
        <v>0</v>
      </c>
      <c r="EG25" s="654">
        <v>0</v>
      </c>
      <c r="EH25" s="654">
        <v>0</v>
      </c>
      <c r="EI25" s="654">
        <v>0</v>
      </c>
      <c r="EJ25" s="654">
        <v>0</v>
      </c>
      <c r="EK25" s="1001">
        <f>SUM(EG25:EJ25)</f>
        <v>0</v>
      </c>
      <c r="EL25" s="654">
        <v>0</v>
      </c>
      <c r="EM25" s="654">
        <v>0</v>
      </c>
      <c r="EN25" s="654">
        <v>3457</v>
      </c>
      <c r="EO25" s="1425">
        <v>0</v>
      </c>
      <c r="EP25" s="1001">
        <f>SUM(EL25:EO25)</f>
        <v>3457</v>
      </c>
      <c r="EQ25" s="1425">
        <v>0</v>
      </c>
      <c r="ER25" s="1425">
        <v>0</v>
      </c>
      <c r="ES25" s="1425">
        <v>0</v>
      </c>
      <c r="ET25" s="1425">
        <v>0</v>
      </c>
      <c r="EU25" s="1001">
        <f>SUM(EQ25:ET25)</f>
        <v>0</v>
      </c>
      <c r="EV25" s="1001"/>
      <c r="EW25" s="1001"/>
      <c r="EX25" s="1001"/>
      <c r="EY25" s="1001"/>
      <c r="EZ25" s="42"/>
      <c r="FA25" s="1100"/>
      <c r="FB25" s="1100"/>
      <c r="FC25" s="1100"/>
      <c r="FD25" s="1100"/>
      <c r="FE25" s="1100"/>
      <c r="FF25" s="1100"/>
      <c r="FG25" s="1319"/>
      <c r="FH25" s="1319"/>
      <c r="FI25" s="1319"/>
      <c r="FJ25" s="1319"/>
      <c r="FK25" s="1319"/>
      <c r="FL25" s="1319"/>
    </row>
    <row r="26" spans="1:168" ht="11.25" customHeight="1">
      <c r="A26" s="3740" t="s">
        <v>52</v>
      </c>
      <c r="B26" s="147"/>
      <c r="C26" s="147"/>
      <c r="D26" s="147"/>
      <c r="E26" s="145"/>
      <c r="F26" s="1002">
        <f>SUM(F15,F18,F21,F24)</f>
        <v>5.8280000000000003</v>
      </c>
      <c r="G26" s="147"/>
      <c r="H26" s="147"/>
      <c r="I26" s="147"/>
      <c r="J26" s="145"/>
      <c r="K26" s="1002">
        <f>SUM(K15,K18,K21,K24)</f>
        <v>27.763999999999999</v>
      </c>
      <c r="L26" s="147"/>
      <c r="M26" s="147"/>
      <c r="N26" s="147"/>
      <c r="O26" s="145"/>
      <c r="P26" s="1002">
        <f>SUM(P15,P18,P21,P24)</f>
        <v>61.233999999999995</v>
      </c>
      <c r="Q26" s="147">
        <f t="shared" ref="Q26:Y26" si="50">SUM(Q15:Q24)</f>
        <v>21.386000000000003</v>
      </c>
      <c r="R26" s="147">
        <f t="shared" si="50"/>
        <v>27.020999999999997</v>
      </c>
      <c r="S26" s="147">
        <f t="shared" si="50"/>
        <v>34.252000000000002</v>
      </c>
      <c r="T26" s="145">
        <f t="shared" si="50"/>
        <v>38.873000000000005</v>
      </c>
      <c r="U26" s="1002">
        <f>SUM(U15,U18,U21,U24)</f>
        <v>121.53200000000001</v>
      </c>
      <c r="V26" s="967">
        <f t="shared" si="50"/>
        <v>76.716999999999999</v>
      </c>
      <c r="W26" s="147">
        <f t="shared" si="50"/>
        <v>89.01400000000001</v>
      </c>
      <c r="X26" s="147">
        <f t="shared" si="50"/>
        <v>156.99599999999998</v>
      </c>
      <c r="Y26" s="145">
        <f t="shared" si="50"/>
        <v>174.88900000000001</v>
      </c>
      <c r="Z26" s="1002">
        <f t="shared" ref="Z26:BC26" si="51">SUM(Z15,Z18,Z21,Z24)</f>
        <v>497.61599999999999</v>
      </c>
      <c r="AA26" s="1731">
        <f t="shared" si="51"/>
        <v>180.90199999999999</v>
      </c>
      <c r="AB26" s="147">
        <f t="shared" si="51"/>
        <v>202.87700000000001</v>
      </c>
      <c r="AC26" s="147">
        <f t="shared" si="51"/>
        <v>231.67599999999999</v>
      </c>
      <c r="AD26" s="147">
        <f t="shared" si="51"/>
        <v>274.923</v>
      </c>
      <c r="AE26" s="1002">
        <f t="shared" si="51"/>
        <v>890.37800000000004</v>
      </c>
      <c r="AF26" s="1731">
        <f t="shared" si="51"/>
        <v>268.53800000000001</v>
      </c>
      <c r="AG26" s="147">
        <f t="shared" si="51"/>
        <v>311.702</v>
      </c>
      <c r="AH26" s="147">
        <f t="shared" si="51"/>
        <v>395.45899999999995</v>
      </c>
      <c r="AI26" s="147">
        <f t="shared" si="51"/>
        <v>484.072</v>
      </c>
      <c r="AJ26" s="1002">
        <f t="shared" si="51"/>
        <v>1459.7710000000002</v>
      </c>
      <c r="AK26" s="1731">
        <f t="shared" si="51"/>
        <v>609.22</v>
      </c>
      <c r="AL26" s="147">
        <f t="shared" si="51"/>
        <v>653.90899999999999</v>
      </c>
      <c r="AM26" s="147">
        <f t="shared" si="51"/>
        <v>711.76300000000003</v>
      </c>
      <c r="AN26" s="147">
        <f t="shared" si="51"/>
        <v>872.63</v>
      </c>
      <c r="AO26" s="1002">
        <f t="shared" si="51"/>
        <v>2847.5219999999999</v>
      </c>
      <c r="AP26" s="1731">
        <f t="shared" si="51"/>
        <v>976.72499999999991</v>
      </c>
      <c r="AQ26" s="147">
        <f t="shared" si="51"/>
        <v>1214.7739999999999</v>
      </c>
      <c r="AR26" s="147">
        <f t="shared" si="51"/>
        <v>1254.9659999999999</v>
      </c>
      <c r="AS26" s="147">
        <f t="shared" si="51"/>
        <v>1436.3749999999998</v>
      </c>
      <c r="AT26" s="1002">
        <f t="shared" si="51"/>
        <v>4882.84</v>
      </c>
      <c r="AU26" s="1731">
        <f t="shared" si="51"/>
        <v>1538.4199999999998</v>
      </c>
      <c r="AV26" s="147">
        <f t="shared" si="51"/>
        <v>1651.0350000000001</v>
      </c>
      <c r="AW26" s="147">
        <f t="shared" si="51"/>
        <v>1731.165</v>
      </c>
      <c r="AX26" s="147">
        <f t="shared" si="51"/>
        <v>1662.7940000000001</v>
      </c>
      <c r="AY26" s="1002">
        <f t="shared" si="51"/>
        <v>6583.4140000000007</v>
      </c>
      <c r="AZ26" s="1731">
        <f t="shared" si="51"/>
        <v>1536.432</v>
      </c>
      <c r="BA26" s="147">
        <f t="shared" si="51"/>
        <v>1554.6239999999998</v>
      </c>
      <c r="BB26" s="147">
        <f t="shared" si="51"/>
        <v>1659.7640000000001</v>
      </c>
      <c r="BC26" s="147">
        <f t="shared" si="51"/>
        <v>1790.4930000000002</v>
      </c>
      <c r="BD26" s="1002">
        <f t="shared" ref="BD26:BI26" si="52">SUM(BD15,BD18,BD21,BD24)</f>
        <v>6541.3130000000001</v>
      </c>
      <c r="BE26" s="1731">
        <f t="shared" si="52"/>
        <v>1841</v>
      </c>
      <c r="BF26" s="147">
        <f t="shared" si="52"/>
        <v>1996</v>
      </c>
      <c r="BG26" s="147">
        <f t="shared" si="52"/>
        <v>2195</v>
      </c>
      <c r="BH26" s="147">
        <f t="shared" si="52"/>
        <v>2557</v>
      </c>
      <c r="BI26" s="5472">
        <f t="shared" si="52"/>
        <v>8589</v>
      </c>
      <c r="BJ26" s="1731">
        <f t="shared" ref="BJ26:BW26" si="53">SUM(BJ15,BJ18,BJ21,BJ24)</f>
        <v>2892</v>
      </c>
      <c r="BK26" s="147">
        <f t="shared" si="53"/>
        <v>3024</v>
      </c>
      <c r="BL26" s="147">
        <f t="shared" si="53"/>
        <v>3356</v>
      </c>
      <c r="BM26" s="147">
        <f t="shared" si="53"/>
        <v>3452</v>
      </c>
      <c r="BN26" s="5472">
        <f t="shared" si="53"/>
        <v>12724</v>
      </c>
      <c r="BO26" s="147">
        <f t="shared" si="53"/>
        <v>3541</v>
      </c>
      <c r="BP26" s="147">
        <f t="shared" si="53"/>
        <v>4093</v>
      </c>
      <c r="BQ26" s="147">
        <f t="shared" si="53"/>
        <v>5005</v>
      </c>
      <c r="BR26" s="145">
        <f t="shared" si="53"/>
        <v>4983</v>
      </c>
      <c r="BS26" s="1679">
        <f t="shared" si="53"/>
        <v>17622</v>
      </c>
      <c r="BT26" s="147">
        <f t="shared" si="53"/>
        <v>3541</v>
      </c>
      <c r="BU26" s="147">
        <f t="shared" si="53"/>
        <v>3626</v>
      </c>
      <c r="BV26" s="147">
        <f t="shared" si="53"/>
        <v>3926</v>
      </c>
      <c r="BW26" s="147">
        <f t="shared" si="53"/>
        <v>4296</v>
      </c>
      <c r="BX26" s="5472">
        <f>SUM(BX17,BX20,BX23)</f>
        <v>15029</v>
      </c>
      <c r="BY26" s="5050">
        <v>4548</v>
      </c>
      <c r="BZ26" s="5050">
        <v>5034</v>
      </c>
      <c r="CA26" s="5050">
        <v>5173</v>
      </c>
      <c r="CB26" s="5050">
        <v>5667</v>
      </c>
      <c r="CC26" s="5472">
        <v>20422</v>
      </c>
      <c r="CD26" s="5050">
        <f>SUM(CD17,CD20,CD23)</f>
        <v>4067</v>
      </c>
      <c r="CE26" s="5050">
        <f>SUM(CE17,CE20,CE23)</f>
        <v>4447</v>
      </c>
      <c r="CF26" s="5050">
        <f>SUM(CF17,CF20,CF23)</f>
        <v>4584</v>
      </c>
      <c r="CG26" s="5050">
        <f>SUM(CG17,CG20,CG23)</f>
        <v>5025</v>
      </c>
      <c r="CH26" s="5472">
        <f t="shared" ref="CH26:CW26" si="54">SUM(CH17,CH20,CH23)</f>
        <v>18123</v>
      </c>
      <c r="CI26" s="5050">
        <f t="shared" si="54"/>
        <v>5344</v>
      </c>
      <c r="CJ26" s="5050">
        <f t="shared" si="54"/>
        <v>5583</v>
      </c>
      <c r="CK26" s="5050">
        <f t="shared" si="54"/>
        <v>6104</v>
      </c>
      <c r="CL26" s="5050">
        <f t="shared" si="54"/>
        <v>6783</v>
      </c>
      <c r="CM26" s="5472">
        <f t="shared" si="54"/>
        <v>23814</v>
      </c>
      <c r="CN26" s="5050">
        <f t="shared" si="54"/>
        <v>6455</v>
      </c>
      <c r="CO26" s="5050">
        <f t="shared" si="54"/>
        <v>6319</v>
      </c>
      <c r="CP26" s="5050">
        <f t="shared" si="54"/>
        <v>6930</v>
      </c>
      <c r="CQ26" s="5050">
        <f t="shared" si="54"/>
        <v>7761</v>
      </c>
      <c r="CR26" s="5472">
        <f t="shared" si="54"/>
        <v>27465</v>
      </c>
      <c r="CS26" s="5050">
        <f t="shared" si="54"/>
        <v>7267</v>
      </c>
      <c r="CT26" s="5050">
        <f t="shared" si="54"/>
        <v>7402</v>
      </c>
      <c r="CU26" s="5050">
        <f t="shared" si="54"/>
        <v>7985</v>
      </c>
      <c r="CV26" s="5050">
        <f t="shared" si="54"/>
        <v>8764</v>
      </c>
      <c r="CW26" s="5472">
        <f t="shared" si="54"/>
        <v>31418</v>
      </c>
      <c r="CX26" s="5050">
        <f>SUM(CX17,CX20,CX23,CX25)</f>
        <v>8387</v>
      </c>
      <c r="CY26" s="5050">
        <f t="shared" ref="CY26:DI26" si="55">SUM(CY17,CY20,CY23,CY25)</f>
        <v>11505</v>
      </c>
      <c r="CZ26" s="5050">
        <f t="shared" si="55"/>
        <v>8842</v>
      </c>
      <c r="DA26" s="5050">
        <f t="shared" si="55"/>
        <v>10392</v>
      </c>
      <c r="DB26" s="5472">
        <f>SUM(DB17,DB20,DB23,DB25)</f>
        <v>39126</v>
      </c>
      <c r="DC26" s="5050">
        <f t="shared" si="55"/>
        <v>10046</v>
      </c>
      <c r="DD26" s="5050">
        <f t="shared" si="55"/>
        <v>15729</v>
      </c>
      <c r="DE26" s="5050">
        <f t="shared" si="55"/>
        <v>10834</v>
      </c>
      <c r="DF26" s="5050">
        <f t="shared" si="55"/>
        <v>13137</v>
      </c>
      <c r="DG26" s="5472">
        <f>SUM(DG17,DG20,DG23,DG25)</f>
        <v>49746</v>
      </c>
      <c r="DH26" s="5050">
        <f>SUM(DH17,DH20,DH23,DH25)</f>
        <v>13719</v>
      </c>
      <c r="DI26" s="5050">
        <f t="shared" si="55"/>
        <v>12468</v>
      </c>
      <c r="DJ26" s="5050">
        <f>SUM(DJ17,DJ20,DJ23,DJ25)</f>
        <v>13754</v>
      </c>
      <c r="DK26" s="5050">
        <f>SUM(DK17,DK20,DK23,DK25)</f>
        <v>15789</v>
      </c>
      <c r="DL26" s="5472">
        <f t="shared" ref="DL26:DQ26" si="56">SUM(DL17,DL20,DL23,DL25)</f>
        <v>55730</v>
      </c>
      <c r="DM26" s="5050">
        <f>SUM(DM17,DM20,DM23,DM25)</f>
        <v>14200</v>
      </c>
      <c r="DN26" s="5050">
        <f t="shared" si="56"/>
        <v>13361</v>
      </c>
      <c r="DO26" s="5050">
        <f t="shared" si="56"/>
        <v>13843</v>
      </c>
      <c r="DP26" s="5050">
        <f t="shared" si="56"/>
        <v>15167</v>
      </c>
      <c r="DQ26" s="5472">
        <f t="shared" si="56"/>
        <v>56571</v>
      </c>
      <c r="DR26" s="5050">
        <f t="shared" ref="DR26:DW26" si="57">SUM(DR17,DR20,DR23,DR25)</f>
        <v>14774</v>
      </c>
      <c r="DS26" s="5050">
        <f t="shared" si="57"/>
        <v>16292</v>
      </c>
      <c r="DT26" s="5050">
        <f t="shared" si="57"/>
        <v>16466</v>
      </c>
      <c r="DU26" s="5050">
        <f t="shared" si="57"/>
        <v>20452</v>
      </c>
      <c r="DV26" s="5472">
        <f t="shared" si="57"/>
        <v>67984</v>
      </c>
      <c r="DW26" s="5050">
        <f t="shared" si="57"/>
        <v>18318</v>
      </c>
      <c r="DX26" s="5050">
        <f t="shared" ref="DX26:EV26" si="58">SUM(DX17,DX20,DX23,DX25)</f>
        <v>20128</v>
      </c>
      <c r="DY26" s="5050">
        <f t="shared" si="58"/>
        <v>20799</v>
      </c>
      <c r="DZ26" s="5050">
        <f t="shared" si="58"/>
        <v>22546</v>
      </c>
      <c r="EA26" s="5472">
        <f t="shared" si="58"/>
        <v>81791</v>
      </c>
      <c r="EB26" s="5050">
        <f t="shared" si="58"/>
        <v>21760</v>
      </c>
      <c r="EC26" s="5050">
        <f>SUM(EC17,EC20,EC23,EC25)</f>
        <v>20850</v>
      </c>
      <c r="ED26" s="5050">
        <f>SUM(ED17,ED20,ED23,ED25)</f>
        <v>22121</v>
      </c>
      <c r="EE26" s="5050">
        <f t="shared" ref="EE26" si="59">SUM(EE17,EE20,EE23,EE25)</f>
        <v>25038</v>
      </c>
      <c r="EF26" s="5472">
        <f t="shared" si="58"/>
        <v>89769</v>
      </c>
      <c r="EG26" s="5050">
        <f t="shared" ref="EG26" si="60">SUM(EG17,EG20,EG23,EG25)</f>
        <v>21355</v>
      </c>
      <c r="EH26" s="5050">
        <f>SUM(EH17,EH20,EH23,EH25)</f>
        <v>21810</v>
      </c>
      <c r="EI26" s="5050">
        <f>SUM(EI17,EI20,EI23,EI25)</f>
        <v>23273</v>
      </c>
      <c r="EJ26" s="5050">
        <f t="shared" ref="EJ26" si="61">SUM(EJ17,EJ20,EJ23,EJ25)</f>
        <v>24884</v>
      </c>
      <c r="EK26" s="1002">
        <f>SUM(EK17,EK20,EK23,EK25)</f>
        <v>91322</v>
      </c>
      <c r="EL26" s="5050">
        <f t="shared" ref="EL26" si="62">SUM(EL17,EL20,EL23,EL25)</f>
        <v>23267</v>
      </c>
      <c r="EM26" s="5050">
        <f>SUM(EM17,EM20,EM23,EM25)</f>
        <v>26118</v>
      </c>
      <c r="EN26" s="5050">
        <f>SUM(EN17,EN20,EN23,EN25)</f>
        <v>29749</v>
      </c>
      <c r="EO26" s="147">
        <f t="shared" ref="EO26" si="63">SUM(EO17,EO20,EO23,EO25)</f>
        <v>28220.482906627421</v>
      </c>
      <c r="EP26" s="1002">
        <f>SUM(EP17,EP20,EP23,EP25)</f>
        <v>107354.48290662743</v>
      </c>
      <c r="EQ26" s="147">
        <f t="shared" ref="EQ26:ET26" si="64">SUM(EQ17,EQ20,EQ23,EQ25)</f>
        <v>26491.441283927474</v>
      </c>
      <c r="ER26" s="147">
        <f t="shared" si="64"/>
        <v>28096.964673423197</v>
      </c>
      <c r="ES26" s="147">
        <f t="shared" si="64"/>
        <v>29737.38351906334</v>
      </c>
      <c r="ET26" s="147">
        <f t="shared" si="64"/>
        <v>31841.958865727436</v>
      </c>
      <c r="EU26" s="1002">
        <f>SUM(EU17,EU20,EU23,EU25)</f>
        <v>116167.74834214145</v>
      </c>
      <c r="EV26" s="1002">
        <f t="shared" si="58"/>
        <v>128490.27526947785</v>
      </c>
      <c r="EW26" s="1002">
        <f>SUM(EW17,EW20,EW23,EW25)</f>
        <v>139038.95675901172</v>
      </c>
      <c r="EX26" s="1002">
        <f>SUM(EX17,EX20,EX23,EX25)</f>
        <v>149407.8277818808</v>
      </c>
      <c r="EY26" s="1002">
        <f>SUM(EY17,EY20,EY23,EY25)</f>
        <v>159317.51941908212</v>
      </c>
      <c r="EZ26" s="150"/>
      <c r="FA26" s="1319">
        <f>(EA26/DL26)^(1/3)-1</f>
        <v>0.13641988661737758</v>
      </c>
      <c r="FB26" s="1319">
        <f>(EF26/DQ26)^(1/3)-1</f>
        <v>0.16639104631949375</v>
      </c>
      <c r="FC26" s="1319">
        <f>(EK26/DV26)^(1/3)-1</f>
        <v>0.10337439166612428</v>
      </c>
      <c r="FD26" s="1319">
        <f>(EP26/EA26)^(1/3)-1</f>
        <v>9.4892688056609664E-2</v>
      </c>
      <c r="FE26" s="1319">
        <f t="shared" ref="FE26:FE27" si="65">(EU26/EF26)^(1/3)-1</f>
        <v>8.9732060088349996E-2</v>
      </c>
      <c r="FF26" s="1319">
        <f t="shared" ref="FF26:FF27" si="66">(EV26/EK26)^(1/3)-1</f>
        <v>0.12055096800887855</v>
      </c>
      <c r="FG26" s="1319">
        <f>(EK26/DL26)^(1/5)-1</f>
        <v>0.10381749773776372</v>
      </c>
      <c r="FH26" s="1319">
        <f>(EP26/DQ26)^(1/5)-1</f>
        <v>0.13669844458937308</v>
      </c>
      <c r="FI26" s="1319">
        <f>(EU26/DV26)^(1/5)-1</f>
        <v>0.11310407215947871</v>
      </c>
      <c r="FJ26" s="1319">
        <f>(EV26/EA26)^(1/5)-1</f>
        <v>9.454330357256846E-2</v>
      </c>
      <c r="FK26" s="1319">
        <f t="shared" ref="FK26:FK27" si="67">(EW26/EF26)^(1/5)-1</f>
        <v>9.1445419630206581E-2</v>
      </c>
      <c r="FL26" s="1319">
        <f t="shared" ref="FL26:FL27" si="68">(EX26/EK26)^(1/5)-1</f>
        <v>0.10346760394800691</v>
      </c>
    </row>
    <row r="27" spans="1:168" s="151" customFormat="1" ht="11.25" customHeight="1">
      <c r="A27" s="3741" t="s">
        <v>561</v>
      </c>
      <c r="B27" s="3180"/>
      <c r="C27" s="3180"/>
      <c r="D27" s="3180"/>
      <c r="E27" s="3443"/>
      <c r="F27" s="3444">
        <f>F13-F26</f>
        <v>-6.516</v>
      </c>
      <c r="G27" s="3180"/>
      <c r="H27" s="3180"/>
      <c r="I27" s="3180"/>
      <c r="J27" s="3443"/>
      <c r="K27" s="3444">
        <f>K13-K26</f>
        <v>-14.736999999999998</v>
      </c>
      <c r="L27" s="3180"/>
      <c r="M27" s="3180"/>
      <c r="N27" s="3180"/>
      <c r="O27" s="3443"/>
      <c r="P27" s="3444">
        <f t="shared" ref="P27:AU27" si="69">P13-P26</f>
        <v>10.964000000000013</v>
      </c>
      <c r="Q27" s="3180">
        <f t="shared" si="69"/>
        <v>15.206999999999994</v>
      </c>
      <c r="R27" s="3180">
        <f t="shared" si="69"/>
        <v>31.097000000000012</v>
      </c>
      <c r="S27" s="3180">
        <f t="shared" si="69"/>
        <v>56.913000000000004</v>
      </c>
      <c r="T27" s="3443">
        <f t="shared" si="69"/>
        <v>83.248999999999995</v>
      </c>
      <c r="U27" s="3444">
        <f t="shared" si="69"/>
        <v>186.46600000000004</v>
      </c>
      <c r="V27" s="3445">
        <f t="shared" si="69"/>
        <v>84.706000000000003</v>
      </c>
      <c r="W27" s="3180">
        <f t="shared" si="69"/>
        <v>104.78399999999999</v>
      </c>
      <c r="X27" s="3180">
        <f t="shared" si="69"/>
        <v>66.55600000000004</v>
      </c>
      <c r="Y27" s="3443">
        <f t="shared" si="69"/>
        <v>86.41799999999995</v>
      </c>
      <c r="Z27" s="3444">
        <f t="shared" si="69"/>
        <v>342.46399999999994</v>
      </c>
      <c r="AA27" s="3445">
        <f t="shared" si="69"/>
        <v>155.32300000000004</v>
      </c>
      <c r="AB27" s="3180">
        <f t="shared" si="69"/>
        <v>170.95799999999997</v>
      </c>
      <c r="AC27" s="3180">
        <f t="shared" si="69"/>
        <v>212.11199999999997</v>
      </c>
      <c r="AD27" s="3443">
        <f t="shared" si="69"/>
        <v>302.79899999999998</v>
      </c>
      <c r="AE27" s="3444">
        <f t="shared" si="69"/>
        <v>841.19199999999989</v>
      </c>
      <c r="AF27" s="3445">
        <f t="shared" si="69"/>
        <v>442.7700000000001</v>
      </c>
      <c r="AG27" s="3180">
        <f t="shared" si="69"/>
        <v>475.69799999999987</v>
      </c>
      <c r="AH27" s="3180">
        <f t="shared" si="69"/>
        <v>529.17099999999994</v>
      </c>
      <c r="AI27" s="3443">
        <f t="shared" si="69"/>
        <v>659.64</v>
      </c>
      <c r="AJ27" s="3444">
        <f t="shared" si="69"/>
        <v>2107.2789999999995</v>
      </c>
      <c r="AK27" s="3180">
        <f t="shared" si="69"/>
        <v>742.6990000000003</v>
      </c>
      <c r="AL27" s="3180">
        <f t="shared" si="69"/>
        <v>815.37199999999996</v>
      </c>
      <c r="AM27" s="3180">
        <f t="shared" si="69"/>
        <v>931.33099999999956</v>
      </c>
      <c r="AN27" s="3443">
        <f t="shared" si="69"/>
        <v>1060.5940000000001</v>
      </c>
      <c r="AO27" s="3444">
        <f t="shared" si="69"/>
        <v>3549.9960000000001</v>
      </c>
      <c r="AP27" s="3180">
        <f t="shared" si="69"/>
        <v>1221.2090000000003</v>
      </c>
      <c r="AQ27" s="3180">
        <f t="shared" si="69"/>
        <v>1104.6150000000002</v>
      </c>
      <c r="AR27" s="3180">
        <f t="shared" si="69"/>
        <v>1317.837</v>
      </c>
      <c r="AS27" s="3443">
        <f t="shared" si="69"/>
        <v>1440.7340000000002</v>
      </c>
      <c r="AT27" s="3444">
        <f t="shared" si="69"/>
        <v>5084.3950000000004</v>
      </c>
      <c r="AU27" s="3180">
        <f t="shared" si="69"/>
        <v>1546.2349999999999</v>
      </c>
      <c r="AV27" s="3180">
        <f t="shared" ref="AV27:BD27" si="70">AV13-AV26</f>
        <v>1577.9650000000004</v>
      </c>
      <c r="AW27" s="3180">
        <f t="shared" si="70"/>
        <v>1647.5649999999996</v>
      </c>
      <c r="AX27" s="3443">
        <f t="shared" si="70"/>
        <v>1860.2040000000009</v>
      </c>
      <c r="AY27" s="3444">
        <f t="shared" si="70"/>
        <v>6631.9689999999991</v>
      </c>
      <c r="AZ27" s="3180">
        <f t="shared" si="70"/>
        <v>1883.5909999999997</v>
      </c>
      <c r="BA27" s="3180">
        <f t="shared" si="70"/>
        <v>1873.8939999999998</v>
      </c>
      <c r="BB27" s="3180">
        <f t="shared" si="70"/>
        <v>2073.7179999999998</v>
      </c>
      <c r="BC27" s="3180">
        <f t="shared" si="70"/>
        <v>2480.9830000000002</v>
      </c>
      <c r="BD27" s="3181">
        <f t="shared" si="70"/>
        <v>8312.1859999999961</v>
      </c>
      <c r="BE27" s="3446">
        <f t="shared" ref="BE27:BN27" si="71">BE13-BE26</f>
        <v>2488</v>
      </c>
      <c r="BF27" s="3180">
        <f t="shared" si="71"/>
        <v>2365</v>
      </c>
      <c r="BG27" s="3180">
        <f t="shared" si="71"/>
        <v>2547</v>
      </c>
      <c r="BH27" s="3180">
        <f t="shared" si="71"/>
        <v>2982</v>
      </c>
      <c r="BI27" s="5338">
        <f t="shared" si="71"/>
        <v>10382</v>
      </c>
      <c r="BJ27" s="3180">
        <f t="shared" si="71"/>
        <v>2796</v>
      </c>
      <c r="BK27" s="3180">
        <f t="shared" si="71"/>
        <v>2881</v>
      </c>
      <c r="BL27" s="3180">
        <f t="shared" si="71"/>
        <v>3058</v>
      </c>
      <c r="BM27" s="3180">
        <f t="shared" si="71"/>
        <v>3507</v>
      </c>
      <c r="BN27" s="5338">
        <f t="shared" si="71"/>
        <v>12242</v>
      </c>
      <c r="BO27" s="3180">
        <v>3389</v>
      </c>
      <c r="BP27" s="3180">
        <v>3203</v>
      </c>
      <c r="BQ27" s="3180">
        <v>2736</v>
      </c>
      <c r="BR27" s="3443">
        <v>3394</v>
      </c>
      <c r="BS27" s="3447">
        <v>12722</v>
      </c>
      <c r="BT27" s="3180">
        <f>BT13-BT26</f>
        <v>3389</v>
      </c>
      <c r="BU27" s="3180">
        <f>BU13-BU26</f>
        <v>3436</v>
      </c>
      <c r="BV27" s="3180">
        <f>BV13-BV26</f>
        <v>3263</v>
      </c>
      <c r="BW27" s="3180">
        <f>BW13-BW26</f>
        <v>3747</v>
      </c>
      <c r="BX27" s="5338">
        <f>BX13-BX26</f>
        <v>13834</v>
      </c>
      <c r="BY27" s="5045">
        <v>3477</v>
      </c>
      <c r="BZ27" s="5045">
        <v>3123</v>
      </c>
      <c r="CA27" s="5045">
        <v>3444</v>
      </c>
      <c r="CB27" s="5045">
        <v>3922</v>
      </c>
      <c r="CC27" s="5338">
        <v>13966</v>
      </c>
      <c r="CD27" s="5045">
        <f t="shared" ref="CD27:CW27" si="72">CD13-CD26</f>
        <v>3748</v>
      </c>
      <c r="CE27" s="5045">
        <f t="shared" si="72"/>
        <v>3465</v>
      </c>
      <c r="CF27" s="5045">
        <f t="shared" si="72"/>
        <v>3761</v>
      </c>
      <c r="CG27" s="5045">
        <f t="shared" si="72"/>
        <v>4429</v>
      </c>
      <c r="CH27" s="5338">
        <f>CH13-CH26</f>
        <v>15403</v>
      </c>
      <c r="CI27" s="5045">
        <f t="shared" si="72"/>
        <v>4115</v>
      </c>
      <c r="CJ27" s="5045">
        <f t="shared" si="72"/>
        <v>4258</v>
      </c>
      <c r="CK27" s="5045">
        <f t="shared" si="72"/>
        <v>3724</v>
      </c>
      <c r="CL27" s="5045">
        <f t="shared" si="72"/>
        <v>4399</v>
      </c>
      <c r="CM27" s="5338">
        <f t="shared" si="72"/>
        <v>16496</v>
      </c>
      <c r="CN27" s="5045">
        <f t="shared" si="72"/>
        <v>4447</v>
      </c>
      <c r="CO27" s="5045">
        <f t="shared" si="72"/>
        <v>4825</v>
      </c>
      <c r="CP27" s="5045">
        <f t="shared" si="72"/>
        <v>4708</v>
      </c>
      <c r="CQ27" s="5045">
        <f t="shared" si="72"/>
        <v>5380</v>
      </c>
      <c r="CR27" s="5338">
        <f t="shared" si="72"/>
        <v>19360</v>
      </c>
      <c r="CS27" s="5045">
        <f t="shared" si="72"/>
        <v>5342</v>
      </c>
      <c r="CT27" s="5045">
        <f t="shared" si="72"/>
        <v>5968</v>
      </c>
      <c r="CU27" s="5045">
        <f t="shared" si="72"/>
        <v>5767</v>
      </c>
      <c r="CV27" s="5045">
        <f t="shared" si="72"/>
        <v>6639</v>
      </c>
      <c r="CW27" s="5338">
        <f t="shared" si="72"/>
        <v>23716</v>
      </c>
      <c r="CX27" s="5045">
        <f t="shared" ref="CX27:DL27" si="73">CX13-CX26</f>
        <v>6568</v>
      </c>
      <c r="CY27" s="5045">
        <f t="shared" si="73"/>
        <v>4132</v>
      </c>
      <c r="CZ27" s="5045">
        <f t="shared" si="73"/>
        <v>7782</v>
      </c>
      <c r="DA27" s="5045">
        <f t="shared" si="73"/>
        <v>7664</v>
      </c>
      <c r="DB27" s="5338">
        <f t="shared" si="73"/>
        <v>26146</v>
      </c>
      <c r="DC27" s="5045">
        <f t="shared" si="73"/>
        <v>7633</v>
      </c>
      <c r="DD27" s="5045">
        <f t="shared" si="73"/>
        <v>3045</v>
      </c>
      <c r="DE27" s="5045">
        <f t="shared" si="73"/>
        <v>8625</v>
      </c>
      <c r="DF27" s="5045">
        <f t="shared" si="73"/>
        <v>8221</v>
      </c>
      <c r="DG27" s="5338">
        <f t="shared" si="73"/>
        <v>27524</v>
      </c>
      <c r="DH27" s="5045">
        <f>DH13-DH26</f>
        <v>6608</v>
      </c>
      <c r="DI27" s="5045">
        <f t="shared" si="73"/>
        <v>9180</v>
      </c>
      <c r="DJ27" s="5045">
        <f>DJ13-DJ26</f>
        <v>9177</v>
      </c>
      <c r="DK27" s="5045">
        <f t="shared" si="73"/>
        <v>9266</v>
      </c>
      <c r="DL27" s="5338">
        <f t="shared" si="73"/>
        <v>34231</v>
      </c>
      <c r="DM27" s="5045">
        <f t="shared" ref="DM27:DU27" si="74">DM13-DM26</f>
        <v>7977</v>
      </c>
      <c r="DN27" s="5045">
        <f t="shared" si="74"/>
        <v>6383</v>
      </c>
      <c r="DO27" s="5045">
        <f t="shared" si="74"/>
        <v>11213</v>
      </c>
      <c r="DP27" s="5045">
        <f t="shared" si="74"/>
        <v>15651</v>
      </c>
      <c r="DQ27" s="5338">
        <f t="shared" si="74"/>
        <v>41224</v>
      </c>
      <c r="DR27" s="5045">
        <f t="shared" si="74"/>
        <v>16437</v>
      </c>
      <c r="DS27" s="5045">
        <f t="shared" si="74"/>
        <v>19361</v>
      </c>
      <c r="DT27" s="5045">
        <f t="shared" si="74"/>
        <v>21031</v>
      </c>
      <c r="DU27" s="5045">
        <f t="shared" si="74"/>
        <v>21885</v>
      </c>
      <c r="DV27" s="5338">
        <f>DV13-DV26</f>
        <v>78714</v>
      </c>
      <c r="DW27" s="5045">
        <f>DW13-DW26</f>
        <v>20094</v>
      </c>
      <c r="DX27" s="5045">
        <f>DX13-DX26</f>
        <v>19453</v>
      </c>
      <c r="DY27" s="5045">
        <f>DY13-DY26</f>
        <v>17135</v>
      </c>
      <c r="DZ27" s="5045">
        <f>DZ13-DZ26</f>
        <v>18160</v>
      </c>
      <c r="EA27" s="5338">
        <f t="shared" ref="EA27:EF27" si="75">EA13-EA26</f>
        <v>74842</v>
      </c>
      <c r="EB27" s="5045">
        <f t="shared" si="75"/>
        <v>17415</v>
      </c>
      <c r="EC27" s="5045">
        <f t="shared" si="75"/>
        <v>21838</v>
      </c>
      <c r="ED27" s="5045">
        <f t="shared" si="75"/>
        <v>21343</v>
      </c>
      <c r="EE27" s="5045">
        <f>EE13-EE26</f>
        <v>23697</v>
      </c>
      <c r="EF27" s="5338">
        <f t="shared" si="75"/>
        <v>84293</v>
      </c>
      <c r="EG27" s="5045">
        <f t="shared" ref="EG27:EI27" si="76">EG13-EG26</f>
        <v>25472</v>
      </c>
      <c r="EH27" s="5045">
        <f t="shared" si="76"/>
        <v>27425</v>
      </c>
      <c r="EI27" s="5045">
        <f t="shared" si="76"/>
        <v>28521</v>
      </c>
      <c r="EJ27" s="5045">
        <f>EJ13-EJ26</f>
        <v>30972</v>
      </c>
      <c r="EK27" s="3181">
        <f t="shared" ref="EK27:EW27" si="77">EK13-EK26</f>
        <v>112390</v>
      </c>
      <c r="EL27" s="5045">
        <f t="shared" si="77"/>
        <v>30606</v>
      </c>
      <c r="EM27" s="5045">
        <f t="shared" si="77"/>
        <v>31271</v>
      </c>
      <c r="EN27" s="5045">
        <f t="shared" si="77"/>
        <v>31228</v>
      </c>
      <c r="EO27" s="3180">
        <f t="shared" ref="EO27:EP27" si="78">EO13-EO26</f>
        <v>37339.346430877777</v>
      </c>
      <c r="EP27" s="3181">
        <f t="shared" si="78"/>
        <v>130444.34643087776</v>
      </c>
      <c r="EQ27" s="3180">
        <f t="shared" ref="EQ27:EU27" si="79">EQ13-EQ26</f>
        <v>37124.369689483283</v>
      </c>
      <c r="ER27" s="3180">
        <f t="shared" si="79"/>
        <v>38929.529366791176</v>
      </c>
      <c r="ES27" s="3180">
        <f t="shared" si="79"/>
        <v>40112.083814142432</v>
      </c>
      <c r="ET27" s="3180">
        <f t="shared" si="79"/>
        <v>43585.092631811312</v>
      </c>
      <c r="EU27" s="3181">
        <f t="shared" si="79"/>
        <v>159751.07550222822</v>
      </c>
      <c r="EV27" s="3181">
        <f t="shared" si="77"/>
        <v>178688.9849625713</v>
      </c>
      <c r="EW27" s="3181">
        <f t="shared" si="77"/>
        <v>203370.41436392756</v>
      </c>
      <c r="EX27" s="3181">
        <f t="shared" ref="EX27:EY27" si="80">EX13-EX26</f>
        <v>230168.81577208661</v>
      </c>
      <c r="EY27" s="3181">
        <f t="shared" si="80"/>
        <v>260643.4617696183</v>
      </c>
      <c r="EZ27" s="620"/>
      <c r="FA27" s="1319">
        <f>(EA27/DL27)^(1/3)-1</f>
        <v>0.29790209279459523</v>
      </c>
      <c r="FB27" s="1319">
        <f>(EF27/DQ27)^(1/3)-1</f>
        <v>0.26924986851612087</v>
      </c>
      <c r="FC27" s="1319">
        <f>(EK27/DV27)^(1/3)-1</f>
        <v>0.12605230243238807</v>
      </c>
      <c r="FD27" s="1319">
        <f>(EP27/EA27)^(1/3)-1</f>
        <v>0.20344604919524301</v>
      </c>
      <c r="FE27" s="1319">
        <f t="shared" si="65"/>
        <v>0.23751582132188109</v>
      </c>
      <c r="FF27" s="1319">
        <f t="shared" si="66"/>
        <v>0.16714112022419902</v>
      </c>
      <c r="FG27" s="1319">
        <f>(EK27/DL27)^(1/5)-1</f>
        <v>0.26841572340325937</v>
      </c>
      <c r="FH27" s="1319">
        <f>(EP27/DQ27)^(1/5)-1</f>
        <v>0.25908493131139543</v>
      </c>
      <c r="FI27" s="1319">
        <f>(EU27/DV27)^(1/5)-1</f>
        <v>0.15206865754744903</v>
      </c>
      <c r="FJ27" s="1319">
        <f>(EV27/EA27)^(1/5)-1</f>
        <v>0.19011924875674602</v>
      </c>
      <c r="FK27" s="1319">
        <f t="shared" si="67"/>
        <v>0.19261221330642342</v>
      </c>
      <c r="FL27" s="1319">
        <f t="shared" si="68"/>
        <v>0.15415400357755438</v>
      </c>
    </row>
    <row r="28" spans="1:168" s="151" customFormat="1" ht="11.25" customHeight="1">
      <c r="A28" s="3742" t="s">
        <v>514</v>
      </c>
      <c r="B28" s="3180"/>
      <c r="C28" s="3180"/>
      <c r="D28" s="3180"/>
      <c r="E28" s="3443"/>
      <c r="F28" s="3589"/>
      <c r="G28" s="3180"/>
      <c r="H28" s="3180"/>
      <c r="I28" s="3180"/>
      <c r="J28" s="3443"/>
      <c r="K28" s="3589"/>
      <c r="L28" s="3180"/>
      <c r="M28" s="3180"/>
      <c r="N28" s="3180"/>
      <c r="O28" s="3443"/>
      <c r="P28" s="3589"/>
      <c r="Q28" s="3180"/>
      <c r="R28" s="3180"/>
      <c r="S28" s="3180"/>
      <c r="T28" s="3443"/>
      <c r="U28" s="3589"/>
      <c r="V28" s="3590"/>
      <c r="W28" s="3180"/>
      <c r="X28" s="3180"/>
      <c r="Y28" s="3443"/>
      <c r="Z28" s="3589"/>
      <c r="AA28" s="3590"/>
      <c r="AB28" s="3180"/>
      <c r="AC28" s="3180"/>
      <c r="AD28" s="3443"/>
      <c r="AE28" s="3589"/>
      <c r="AF28" s="3590"/>
      <c r="AG28" s="3180"/>
      <c r="AH28" s="3180"/>
      <c r="AI28" s="3443"/>
      <c r="AJ28" s="3589"/>
      <c r="AK28" s="3180"/>
      <c r="AL28" s="3180"/>
      <c r="AM28" s="3180"/>
      <c r="AN28" s="3443"/>
      <c r="AO28" s="3589"/>
      <c r="AP28" s="3180"/>
      <c r="AQ28" s="3180"/>
      <c r="AR28" s="3180"/>
      <c r="AS28" s="3443"/>
      <c r="AT28" s="3589"/>
      <c r="AU28" s="3180"/>
      <c r="AV28" s="3180"/>
      <c r="AW28" s="3180"/>
      <c r="AX28" s="3443"/>
      <c r="AY28" s="3589"/>
      <c r="AZ28" s="3180"/>
      <c r="BA28" s="3180"/>
      <c r="BB28" s="3180"/>
      <c r="BC28" s="3180"/>
      <c r="BD28" s="3591"/>
      <c r="BE28" s="3592"/>
      <c r="BF28" s="3180"/>
      <c r="BG28" s="3180"/>
      <c r="BH28" s="3180"/>
      <c r="BI28" s="5476"/>
      <c r="BJ28" s="3180"/>
      <c r="BK28" s="3180"/>
      <c r="BL28" s="3180"/>
      <c r="BM28" s="3180"/>
      <c r="BN28" s="5476"/>
      <c r="BO28" s="3180"/>
      <c r="BP28" s="3180"/>
      <c r="BQ28" s="3180"/>
      <c r="BR28" s="3443"/>
      <c r="BS28" s="3589"/>
      <c r="BT28" s="3180"/>
      <c r="BU28" s="3180"/>
      <c r="BV28" s="3180"/>
      <c r="BW28" s="3180"/>
      <c r="BX28" s="5476"/>
      <c r="BY28" s="5045"/>
      <c r="BZ28" s="5045"/>
      <c r="CA28" s="5045"/>
      <c r="CB28" s="5045"/>
      <c r="CC28" s="5476"/>
      <c r="CD28" s="5045"/>
      <c r="CE28" s="5045"/>
      <c r="CF28" s="5045"/>
      <c r="CG28" s="5045"/>
      <c r="CH28" s="5476"/>
      <c r="CI28" s="5045"/>
      <c r="CJ28" s="5045"/>
      <c r="CK28" s="5045"/>
      <c r="CL28" s="5045"/>
      <c r="CM28" s="5476"/>
      <c r="CN28" s="5045"/>
      <c r="CO28" s="5045"/>
      <c r="CP28" s="5045"/>
      <c r="CQ28" s="5045"/>
      <c r="CR28" s="5476">
        <f t="shared" ref="CR28:CX28" si="81">CR27</f>
        <v>19360</v>
      </c>
      <c r="CS28" s="5045">
        <f t="shared" si="81"/>
        <v>5342</v>
      </c>
      <c r="CT28" s="5045">
        <f t="shared" si="81"/>
        <v>5968</v>
      </c>
      <c r="CU28" s="5045">
        <f t="shared" si="81"/>
        <v>5767</v>
      </c>
      <c r="CV28" s="5045">
        <f t="shared" si="81"/>
        <v>6639</v>
      </c>
      <c r="CW28" s="5476">
        <f t="shared" si="81"/>
        <v>23716</v>
      </c>
      <c r="CX28" s="5045">
        <f t="shared" si="81"/>
        <v>6568</v>
      </c>
      <c r="CY28" s="5045">
        <f>CY27+CY25</f>
        <v>6868</v>
      </c>
      <c r="CZ28" s="5045">
        <f>CZ27</f>
        <v>7782</v>
      </c>
      <c r="DA28" s="5045">
        <f>DA27</f>
        <v>7664</v>
      </c>
      <c r="DB28" s="5476">
        <f>SUM(CX28:DA28)</f>
        <v>28882</v>
      </c>
      <c r="DC28" s="5045">
        <f>DC27</f>
        <v>7633</v>
      </c>
      <c r="DD28" s="5045">
        <f>DD27+DD25</f>
        <v>8116</v>
      </c>
      <c r="DE28" s="5045">
        <f>DE27</f>
        <v>8625</v>
      </c>
      <c r="DF28" s="5045">
        <f t="shared" ref="DF28:DK28" si="82">DF27</f>
        <v>8221</v>
      </c>
      <c r="DG28" s="5476">
        <f>SUM(DC28:DF28)</f>
        <v>32595</v>
      </c>
      <c r="DH28" s="5045">
        <f>DH27+DH25</f>
        <v>8305</v>
      </c>
      <c r="DI28" s="5045">
        <f t="shared" si="82"/>
        <v>9180</v>
      </c>
      <c r="DJ28" s="5045">
        <f t="shared" si="82"/>
        <v>9177</v>
      </c>
      <c r="DK28" s="5045">
        <f t="shared" si="82"/>
        <v>9266</v>
      </c>
      <c r="DL28" s="5476">
        <f>SUM(DH28:DK28)</f>
        <v>35928</v>
      </c>
      <c r="DM28" s="5045">
        <f>DM27</f>
        <v>7977</v>
      </c>
      <c r="DN28" s="5045">
        <f>DN27</f>
        <v>6383</v>
      </c>
      <c r="DO28" s="5045">
        <f>DO27</f>
        <v>11213</v>
      </c>
      <c r="DP28" s="5045">
        <f>DP27</f>
        <v>15651</v>
      </c>
      <c r="DQ28" s="5476">
        <f>SUM(DM28:DP28)</f>
        <v>41224</v>
      </c>
      <c r="DR28" s="5045">
        <f>DR27</f>
        <v>16437</v>
      </c>
      <c r="DS28" s="5045">
        <f>DS27</f>
        <v>19361</v>
      </c>
      <c r="DT28" s="5045">
        <f>DT27</f>
        <v>21031</v>
      </c>
      <c r="DU28" s="5045">
        <f>DU27</f>
        <v>21885</v>
      </c>
      <c r="DV28" s="5476">
        <f>SUM(DR28:DU28)</f>
        <v>78714</v>
      </c>
      <c r="DW28" s="5045">
        <f>DW27</f>
        <v>20094</v>
      </c>
      <c r="DX28" s="5045">
        <f>DX27</f>
        <v>19453</v>
      </c>
      <c r="DY28" s="5045">
        <f>DY27</f>
        <v>17135</v>
      </c>
      <c r="DZ28" s="5045">
        <f>DZ27</f>
        <v>18160</v>
      </c>
      <c r="EA28" s="5476">
        <f>SUM(DW28:DZ28)</f>
        <v>74842</v>
      </c>
      <c r="EB28" s="5045">
        <f>EB27</f>
        <v>17415</v>
      </c>
      <c r="EC28" s="5045">
        <f>EC27</f>
        <v>21838</v>
      </c>
      <c r="ED28" s="5045">
        <f>ED27</f>
        <v>21343</v>
      </c>
      <c r="EE28" s="5045">
        <f>EE27</f>
        <v>23697</v>
      </c>
      <c r="EF28" s="5476">
        <f>SUM(EB28:EE28)</f>
        <v>84293</v>
      </c>
      <c r="EG28" s="5045">
        <f>EG27</f>
        <v>25472</v>
      </c>
      <c r="EH28" s="5045">
        <f>EH27</f>
        <v>27425</v>
      </c>
      <c r="EI28" s="5045">
        <f>EI27</f>
        <v>28521</v>
      </c>
      <c r="EJ28" s="5045">
        <f>EJ27</f>
        <v>30972</v>
      </c>
      <c r="EK28" s="3591">
        <f>SUM(EG28:EJ28)</f>
        <v>112390</v>
      </c>
      <c r="EL28" s="5045">
        <f>EL27</f>
        <v>30606</v>
      </c>
      <c r="EM28" s="5045">
        <f>EM27</f>
        <v>31271</v>
      </c>
      <c r="EN28" s="5045">
        <f>EN27</f>
        <v>31228</v>
      </c>
      <c r="EO28" s="3180">
        <f t="shared" ref="EO28" si="83">EO27</f>
        <v>37339.346430877777</v>
      </c>
      <c r="EP28" s="3591">
        <f>SUM(EL28:EO28)</f>
        <v>130444.34643087778</v>
      </c>
      <c r="EQ28" s="3180">
        <f t="shared" ref="EQ28:ET28" si="84">EQ27</f>
        <v>37124.369689483283</v>
      </c>
      <c r="ER28" s="3180">
        <f t="shared" si="84"/>
        <v>38929.529366791176</v>
      </c>
      <c r="ES28" s="3180">
        <f t="shared" si="84"/>
        <v>40112.083814142432</v>
      </c>
      <c r="ET28" s="3180">
        <f t="shared" si="84"/>
        <v>43585.092631811312</v>
      </c>
      <c r="EU28" s="3591">
        <f>SUM(EQ28:ET28)</f>
        <v>159751.0755022282</v>
      </c>
      <c r="EV28" s="3591">
        <f>EV27</f>
        <v>178688.9849625713</v>
      </c>
      <c r="EW28" s="3591">
        <f>EW27</f>
        <v>203370.41436392756</v>
      </c>
      <c r="EX28" s="3591">
        <f>EX27</f>
        <v>230168.81577208661</v>
      </c>
      <c r="EY28" s="3591">
        <f>EY27</f>
        <v>260643.4617696183</v>
      </c>
      <c r="EZ28" s="620"/>
      <c r="FA28" s="1319"/>
      <c r="FB28" s="1319"/>
      <c r="FC28" s="1319"/>
      <c r="FD28" s="1319"/>
      <c r="FE28" s="1319"/>
      <c r="FF28" s="1319"/>
      <c r="FG28" s="1319"/>
      <c r="FH28" s="1319"/>
      <c r="FI28" s="1319"/>
      <c r="FJ28" s="1319"/>
      <c r="FK28" s="1319"/>
      <c r="FL28" s="1319"/>
    </row>
    <row r="29" spans="1:168" s="157" customFormat="1" ht="11.25" customHeight="1">
      <c r="A29" s="3743" t="s">
        <v>672</v>
      </c>
      <c r="B29" s="3180"/>
      <c r="C29" s="3180"/>
      <c r="D29" s="3180"/>
      <c r="E29" s="3443"/>
      <c r="F29" s="3444">
        <f>F13-SUM(F15:F21)</f>
        <v>-6.516</v>
      </c>
      <c r="G29" s="3180"/>
      <c r="H29" s="3180"/>
      <c r="I29" s="3180"/>
      <c r="J29" s="3443"/>
      <c r="K29" s="3444">
        <f>K13-SUM(K15:K21)</f>
        <v>-12.230999999999998</v>
      </c>
      <c r="L29" s="3180"/>
      <c r="M29" s="3180"/>
      <c r="N29" s="3180"/>
      <c r="O29" s="3443"/>
      <c r="P29" s="3444">
        <f>P13-SUM(P15:P21)</f>
        <v>-25.443000000000012</v>
      </c>
      <c r="Q29" s="3180">
        <f>Q13-SUM(Q15:Q21)</f>
        <v>18.980999999999995</v>
      </c>
      <c r="R29" s="3180">
        <f>R13-SUM(R15:R21)</f>
        <v>34.832000000000008</v>
      </c>
      <c r="S29" s="3180">
        <f>S13-SUM(S15:S21)</f>
        <v>63.095000000000006</v>
      </c>
      <c r="T29" s="3443">
        <f>T13-SUM(T15:T21)</f>
        <v>91.192999999999998</v>
      </c>
      <c r="U29" s="3444">
        <f>SUM(Q29:T29)</f>
        <v>208.101</v>
      </c>
      <c r="V29" s="3445">
        <f>V13-SUM(V15:V21)</f>
        <v>121.124</v>
      </c>
      <c r="W29" s="3180">
        <f>W13-SUM(W15:W21)</f>
        <v>138.94900000000001</v>
      </c>
      <c r="X29" s="3180">
        <f>X13-SUM(X15:X21)</f>
        <v>140.35000000000002</v>
      </c>
      <c r="Y29" s="3443">
        <f>Y13-SUM(Y15:Y21)</f>
        <v>171.40199999999996</v>
      </c>
      <c r="Z29" s="3444">
        <f>SUM(V29:Y29)</f>
        <v>571.82499999999993</v>
      </c>
      <c r="AA29" s="3445">
        <f>AA13-SUM(AA15:AA21)</f>
        <v>231.79600000000002</v>
      </c>
      <c r="AB29" s="3180">
        <f>AB13-SUM(AB15:AB21)</f>
        <v>245.71899999999997</v>
      </c>
      <c r="AC29" s="3180">
        <f>AC13-SUM(AC15:AC21)</f>
        <v>280.09299999999996</v>
      </c>
      <c r="AD29" s="3443">
        <f>AD13-SUM(AD15:AD21)</f>
        <v>362.33</v>
      </c>
      <c r="AE29" s="3444">
        <f>SUM(AA29:AD29)</f>
        <v>1119.9379999999999</v>
      </c>
      <c r="AF29" s="3445">
        <f>AF13-SUM(AF15:AF21)</f>
        <v>491.67800000000011</v>
      </c>
      <c r="AG29" s="3180">
        <f>AG13-SUM(AG15:AG21)</f>
        <v>523.03599999999983</v>
      </c>
      <c r="AH29" s="3180">
        <f>AH13-SUM(AH15:AH21)</f>
        <v>575.47899999999993</v>
      </c>
      <c r="AI29" s="3443">
        <f>AI13-SUM(AI15:AI21)</f>
        <v>717.79399999999998</v>
      </c>
      <c r="AJ29" s="3444">
        <f>SUM(AF29:AI29)</f>
        <v>2307.9869999999996</v>
      </c>
      <c r="AK29" s="3180">
        <f>AK13-SUM(AK15:AK21)</f>
        <v>330.80600000000038</v>
      </c>
      <c r="AL29" s="3180">
        <f>AL13-SUM(AL15:AL21)</f>
        <v>360.72299999999996</v>
      </c>
      <c r="AM29" s="3180">
        <f>AM13-SUM(AM15:AM21)</f>
        <v>435.19999999999959</v>
      </c>
      <c r="AN29" s="3443">
        <f>AN13-SUM(AN15:AN21)</f>
        <v>456.38500000000022</v>
      </c>
      <c r="AO29" s="3444">
        <f>SUM(AK29:AN29)</f>
        <v>1583.114</v>
      </c>
      <c r="AP29" s="3180">
        <f t="shared" ref="AP29:BD29" si="85">AP13-SUM(AP15:AP21)</f>
        <v>546.10199999999986</v>
      </c>
      <c r="AQ29" s="3180">
        <f t="shared" si="85"/>
        <v>265.06100000000015</v>
      </c>
      <c r="AR29" s="3180">
        <f t="shared" si="85"/>
        <v>425.89300000000003</v>
      </c>
      <c r="AS29" s="3443">
        <f t="shared" si="85"/>
        <v>433.5029999999997</v>
      </c>
      <c r="AT29" s="3444">
        <f t="shared" si="85"/>
        <v>1670.5590000000011</v>
      </c>
      <c r="AU29" s="3180">
        <f t="shared" si="85"/>
        <v>470.67099999999937</v>
      </c>
      <c r="AV29" s="3180">
        <f t="shared" si="85"/>
        <v>454.10500000000002</v>
      </c>
      <c r="AW29" s="3180">
        <f t="shared" si="85"/>
        <v>480.4719999999993</v>
      </c>
      <c r="AX29" s="3443">
        <f t="shared" si="85"/>
        <v>668.61200000000053</v>
      </c>
      <c r="AY29" s="3444">
        <f t="shared" si="85"/>
        <v>2073.8599999999988</v>
      </c>
      <c r="AZ29" s="3180">
        <f t="shared" si="85"/>
        <v>857.90299999999979</v>
      </c>
      <c r="BA29" s="3180">
        <f t="shared" si="85"/>
        <v>750.79599999999982</v>
      </c>
      <c r="BB29" s="3180">
        <f t="shared" si="85"/>
        <v>878.02500000000009</v>
      </c>
      <c r="BC29" s="3180">
        <f t="shared" si="85"/>
        <v>1206.1870000000004</v>
      </c>
      <c r="BD29" s="3181">
        <f t="shared" si="85"/>
        <v>3692.9109999999946</v>
      </c>
      <c r="BE29" s="3446">
        <f t="shared" ref="BE29:BN29" si="86">BE9-SUM(BE10,BE15,BE18,BE21)+BE25</f>
        <v>2779</v>
      </c>
      <c r="BF29" s="3180">
        <f t="shared" si="86"/>
        <v>2674</v>
      </c>
      <c r="BG29" s="3180">
        <f t="shared" si="86"/>
        <v>2927</v>
      </c>
      <c r="BH29" s="3180">
        <f t="shared" si="86"/>
        <v>3378</v>
      </c>
      <c r="BI29" s="5338">
        <f t="shared" si="86"/>
        <v>11758</v>
      </c>
      <c r="BJ29" s="3180">
        <f t="shared" si="86"/>
        <v>3228</v>
      </c>
      <c r="BK29" s="3180">
        <f t="shared" si="86"/>
        <v>3316</v>
      </c>
      <c r="BL29" s="3180">
        <f t="shared" si="86"/>
        <v>3629</v>
      </c>
      <c r="BM29" s="3180">
        <f t="shared" si="86"/>
        <v>4043</v>
      </c>
      <c r="BN29" s="5338">
        <f t="shared" si="86"/>
        <v>14216</v>
      </c>
      <c r="BO29" s="3180">
        <v>3945</v>
      </c>
      <c r="BP29" s="3180">
        <v>3950</v>
      </c>
      <c r="BQ29" s="3180">
        <v>3800</v>
      </c>
      <c r="BR29" s="3443">
        <v>4272</v>
      </c>
      <c r="BS29" s="3447">
        <v>15967</v>
      </c>
      <c r="BT29" s="3180">
        <f>BT9-SUM(BT10,BT15,BT18,BT21)+BT25</f>
        <v>3945</v>
      </c>
      <c r="BU29" s="3180">
        <f>BU9-SUM(BU10,BU15,BU18,BU21)+BU25</f>
        <v>3988</v>
      </c>
      <c r="BV29" s="3180">
        <f>BV9-SUM(BV10,BV15,BV18,BV21)+BV25</f>
        <v>3951</v>
      </c>
      <c r="BW29" s="3180">
        <f>BW9-SUM(BW10,BW15,BW18,BW21)+BW25</f>
        <v>4424</v>
      </c>
      <c r="BX29" s="5338" t="e">
        <f>BX9-SUM(BX10,BX15,BX18,BX21)+BX25</f>
        <v>#REF!</v>
      </c>
      <c r="BY29" s="5045">
        <v>4070</v>
      </c>
      <c r="BZ29" s="5045">
        <v>3990</v>
      </c>
      <c r="CA29" s="5045">
        <v>4342</v>
      </c>
      <c r="CB29" s="5045">
        <v>4839</v>
      </c>
      <c r="CC29" s="5338">
        <v>17241</v>
      </c>
      <c r="CD29" s="5045">
        <f>CD27+CD24+CD25</f>
        <v>4403</v>
      </c>
      <c r="CE29" s="5045">
        <f>CE27+CE24+CE25+84</f>
        <v>4292</v>
      </c>
      <c r="CF29" s="5045">
        <f>CF27+CF24+CF25+12</f>
        <v>4629</v>
      </c>
      <c r="CG29" s="5045">
        <f>CG27+CG24+CG25</f>
        <v>5302</v>
      </c>
      <c r="CH29" s="5338">
        <f>SUM(CD29:CG29)</f>
        <v>18626</v>
      </c>
      <c r="CI29" s="5045">
        <f t="shared" ref="CI29:DL29" si="87">CI27+CI24+CI25</f>
        <v>4954</v>
      </c>
      <c r="CJ29" s="5045">
        <f t="shared" si="87"/>
        <v>5138</v>
      </c>
      <c r="CK29" s="5045">
        <f t="shared" si="87"/>
        <v>5357</v>
      </c>
      <c r="CL29" s="5045">
        <f t="shared" si="87"/>
        <v>5600</v>
      </c>
      <c r="CM29" s="5338">
        <f t="shared" si="87"/>
        <v>21049</v>
      </c>
      <c r="CN29" s="5045">
        <f t="shared" si="87"/>
        <v>5650</v>
      </c>
      <c r="CO29" s="5045">
        <f t="shared" si="87"/>
        <v>5957</v>
      </c>
      <c r="CP29" s="5045">
        <f t="shared" si="87"/>
        <v>6140</v>
      </c>
      <c r="CQ29" s="5045">
        <f t="shared" si="87"/>
        <v>6816</v>
      </c>
      <c r="CR29" s="5338">
        <f t="shared" si="87"/>
        <v>24563</v>
      </c>
      <c r="CS29" s="5045">
        <f t="shared" si="87"/>
        <v>6836</v>
      </c>
      <c r="CT29" s="5045">
        <f t="shared" si="87"/>
        <v>7471</v>
      </c>
      <c r="CU29" s="5045">
        <f t="shared" si="87"/>
        <v>7627</v>
      </c>
      <c r="CV29" s="5045">
        <f t="shared" si="87"/>
        <v>8485</v>
      </c>
      <c r="CW29" s="5338">
        <f t="shared" si="87"/>
        <v>30419</v>
      </c>
      <c r="CX29" s="5045">
        <f t="shared" si="87"/>
        <v>8577</v>
      </c>
      <c r="CY29" s="5045">
        <f t="shared" si="87"/>
        <v>8871</v>
      </c>
      <c r="CZ29" s="5045">
        <f t="shared" si="87"/>
        <v>9602</v>
      </c>
      <c r="DA29" s="5045">
        <f t="shared" si="87"/>
        <v>9511</v>
      </c>
      <c r="DB29" s="5338">
        <f t="shared" si="87"/>
        <v>36561</v>
      </c>
      <c r="DC29" s="5478">
        <f>DC27+DC24+DC25</f>
        <v>10090</v>
      </c>
      <c r="DD29" s="5045">
        <f>DD27+DD24+DD25</f>
        <v>10529</v>
      </c>
      <c r="DE29" s="5045">
        <f>DE27+DE24+DE25</f>
        <v>10855</v>
      </c>
      <c r="DF29" s="5045">
        <f>DF27+DF24+DF25</f>
        <v>10474</v>
      </c>
      <c r="DG29" s="5338">
        <f t="shared" si="87"/>
        <v>41948</v>
      </c>
      <c r="DH29" s="5045">
        <f t="shared" si="87"/>
        <v>11074</v>
      </c>
      <c r="DI29" s="5045">
        <f t="shared" si="87"/>
        <v>11936</v>
      </c>
      <c r="DJ29" s="5045">
        <f t="shared" si="87"/>
        <v>11801</v>
      </c>
      <c r="DK29" s="5045">
        <f t="shared" si="87"/>
        <v>11911</v>
      </c>
      <c r="DL29" s="5338">
        <f t="shared" si="87"/>
        <v>46722</v>
      </c>
      <c r="DM29" s="5045">
        <f t="shared" ref="DM29:DU29" si="88">DM27+DM24+DM25</f>
        <v>11168</v>
      </c>
      <c r="DN29" s="5045">
        <f t="shared" si="88"/>
        <v>9765</v>
      </c>
      <c r="DO29" s="5045">
        <f t="shared" si="88"/>
        <v>14408</v>
      </c>
      <c r="DP29" s="5045">
        <f t="shared" si="88"/>
        <v>18874</v>
      </c>
      <c r="DQ29" s="5338">
        <f t="shared" si="88"/>
        <v>54215</v>
      </c>
      <c r="DR29" s="5045">
        <f t="shared" si="88"/>
        <v>20182</v>
      </c>
      <c r="DS29" s="5045">
        <f t="shared" si="88"/>
        <v>23164</v>
      </c>
      <c r="DT29" s="5045">
        <f t="shared" si="88"/>
        <v>24905</v>
      </c>
      <c r="DU29" s="5045">
        <f t="shared" si="88"/>
        <v>25839</v>
      </c>
      <c r="DV29" s="5338">
        <f t="shared" ref="DV29:EW29" si="89">DV27+DV24+DV25</f>
        <v>94090</v>
      </c>
      <c r="DW29" s="5045">
        <f t="shared" si="89"/>
        <v>24598</v>
      </c>
      <c r="DX29" s="5045">
        <f t="shared" si="89"/>
        <v>24235</v>
      </c>
      <c r="DY29" s="5045">
        <f t="shared" si="89"/>
        <v>22111</v>
      </c>
      <c r="DZ29" s="5045">
        <f t="shared" si="89"/>
        <v>23260</v>
      </c>
      <c r="EA29" s="5338">
        <f t="shared" si="89"/>
        <v>94204</v>
      </c>
      <c r="EB29" s="5045">
        <f t="shared" si="89"/>
        <v>22699</v>
      </c>
      <c r="EC29" s="5045">
        <f t="shared" si="89"/>
        <v>27612</v>
      </c>
      <c r="ED29" s="5045">
        <f t="shared" si="89"/>
        <v>27086</v>
      </c>
      <c r="EE29" s="5045">
        <f t="shared" ref="EE29" si="90">EE27+EE24+EE25</f>
        <v>29356</v>
      </c>
      <c r="EF29" s="5338">
        <f t="shared" si="89"/>
        <v>106753</v>
      </c>
      <c r="EG29" s="5045">
        <f t="shared" ref="EG29:EJ29" si="91">EG27+EG24+EG25</f>
        <v>30736</v>
      </c>
      <c r="EH29" s="5045">
        <f t="shared" si="91"/>
        <v>33290</v>
      </c>
      <c r="EI29" s="5045">
        <f t="shared" si="91"/>
        <v>34367</v>
      </c>
      <c r="EJ29" s="5045">
        <f t="shared" si="91"/>
        <v>36782</v>
      </c>
      <c r="EK29" s="3181">
        <f t="shared" si="89"/>
        <v>135175</v>
      </c>
      <c r="EL29" s="5045">
        <f t="shared" si="89"/>
        <v>36122</v>
      </c>
      <c r="EM29" s="5045">
        <f t="shared" si="89"/>
        <v>37269</v>
      </c>
      <c r="EN29" s="5045">
        <f t="shared" si="89"/>
        <v>41053</v>
      </c>
      <c r="EO29" s="3180">
        <f t="shared" ref="EO29:EP29" si="92">EO27+EO24+EO25</f>
        <v>43866.532953499089</v>
      </c>
      <c r="EP29" s="3181">
        <f t="shared" si="92"/>
        <v>158310.53295349906</v>
      </c>
      <c r="EQ29" s="3180">
        <f t="shared" ref="EQ29:EU29" si="93">EQ27+EQ24+EQ25</f>
        <v>43576.830516786373</v>
      </c>
      <c r="ER29" s="3180">
        <f t="shared" si="93"/>
        <v>46028.173898451823</v>
      </c>
      <c r="ES29" s="3180">
        <f t="shared" si="93"/>
        <v>47590.301690151253</v>
      </c>
      <c r="ET29" s="3180">
        <f t="shared" si="93"/>
        <v>51037.465983364542</v>
      </c>
      <c r="EU29" s="3181">
        <f t="shared" si="93"/>
        <v>188232.77208875402</v>
      </c>
      <c r="EV29" s="3181">
        <f t="shared" si="89"/>
        <v>209545.07257208746</v>
      </c>
      <c r="EW29" s="3181">
        <f t="shared" si="89"/>
        <v>236677.50773679529</v>
      </c>
      <c r="EX29" s="3181">
        <f t="shared" ref="EX29:EY29" si="94">EX27+EX24+EX25</f>
        <v>265934.39616774919</v>
      </c>
      <c r="EY29" s="3181">
        <f t="shared" si="94"/>
        <v>298943.39343796566</v>
      </c>
      <c r="EZ29" s="620"/>
      <c r="FA29" s="1319">
        <f>(EA29/DL29)^(1/3)-1</f>
        <v>0.26332756682958514</v>
      </c>
      <c r="FB29" s="1319">
        <f>(EF29/DQ29)^(1/3)-1</f>
        <v>0.25339187607616109</v>
      </c>
      <c r="FC29" s="1319">
        <f>(EK29/DV29)^(1/3)-1</f>
        <v>0.12836854208043169</v>
      </c>
      <c r="FD29" s="1319">
        <f>(EP29/EA29)^(1/3)-1</f>
        <v>0.18890409355831128</v>
      </c>
      <c r="FE29" s="1319">
        <f>(EU29/EF29)^(1/3)-1</f>
        <v>0.20810602399419453</v>
      </c>
      <c r="FF29" s="1319">
        <f>(EV29/EK29)^(1/3)-1</f>
        <v>0.15733838707425374</v>
      </c>
      <c r="FG29" s="1319">
        <f>(EK29/DL29)^(1/5)-1</f>
        <v>0.23673026999195468</v>
      </c>
      <c r="FH29" s="1319">
        <f>(EP29/DQ29)^(1/5)-1</f>
        <v>0.23901929545384681</v>
      </c>
      <c r="FI29" s="1319">
        <f>(EU29/DV29)^(1/5)-1</f>
        <v>0.14876277460890441</v>
      </c>
      <c r="FJ29" s="1319">
        <f>(EV29/EA29)^(1/5)-1</f>
        <v>0.17338794424299619</v>
      </c>
      <c r="FK29" s="1319">
        <f>(EW29/EF29)^(1/5)-1</f>
        <v>0.17261482296745134</v>
      </c>
      <c r="FL29" s="1319">
        <f>(EX29/EK29)^(1/5)-1</f>
        <v>0.1449212787157943</v>
      </c>
    </row>
    <row r="30" spans="1:168" ht="11.25" customHeight="1">
      <c r="A30" s="3744" t="s">
        <v>188</v>
      </c>
      <c r="B30" s="147"/>
      <c r="C30" s="147"/>
      <c r="D30" s="147"/>
      <c r="E30" s="145"/>
      <c r="F30" s="5402">
        <v>0.44</v>
      </c>
      <c r="G30" s="147"/>
      <c r="H30" s="147"/>
      <c r="I30" s="292"/>
      <c r="J30" s="293"/>
      <c r="K30" s="5402">
        <v>4.7E-2</v>
      </c>
      <c r="L30" s="294"/>
      <c r="M30" s="294"/>
      <c r="N30" s="294"/>
      <c r="O30" s="40"/>
      <c r="P30" s="5402">
        <v>-0.89600000000000002</v>
      </c>
      <c r="Q30" s="44">
        <v>-0.501</v>
      </c>
      <c r="R30" s="44">
        <v>-0.31</v>
      </c>
      <c r="S30" s="44">
        <v>-0.67700000000000005</v>
      </c>
      <c r="T30" s="5401">
        <v>-6.3E-2</v>
      </c>
      <c r="U30" s="968">
        <f>SUM(Q30:T30)</f>
        <v>-1.5509999999999999</v>
      </c>
      <c r="V30" s="5404">
        <v>-4.7E-2</v>
      </c>
      <c r="W30" s="290">
        <v>0.76600000000000001</v>
      </c>
      <c r="X30" s="290">
        <v>0.46400000000000002</v>
      </c>
      <c r="Y30" s="291">
        <v>3.0070000000000001</v>
      </c>
      <c r="Z30" s="966">
        <f>SUM(V30:Y30)</f>
        <v>4.1900000000000004</v>
      </c>
      <c r="AA30" s="5413">
        <v>0.3</v>
      </c>
      <c r="AB30" s="290">
        <v>-1.498</v>
      </c>
      <c r="AC30" s="290">
        <v>3.8660000000000001</v>
      </c>
      <c r="AD30" s="291">
        <v>7.3739999999999997</v>
      </c>
      <c r="AE30" s="966">
        <f>SUM(AA30:AD30)</f>
        <v>10.042</v>
      </c>
      <c r="AF30" s="5413">
        <v>13.686</v>
      </c>
      <c r="AG30" s="290">
        <v>19.722000000000001</v>
      </c>
      <c r="AH30" s="290">
        <v>20.797000000000001</v>
      </c>
      <c r="AI30" s="291">
        <v>70.192999999999998</v>
      </c>
      <c r="AJ30" s="966">
        <f>SUM(AF30:AI30)</f>
        <v>124.398</v>
      </c>
      <c r="AK30" s="290">
        <v>67.918999999999997</v>
      </c>
      <c r="AL30" s="290">
        <f>160.805</f>
        <v>160.80500000000001</v>
      </c>
      <c r="AM30" s="290">
        <v>108.18</v>
      </c>
      <c r="AN30" s="291">
        <v>124.139</v>
      </c>
      <c r="AO30" s="966">
        <f>SUM(AK30:AN30)</f>
        <v>461.04300000000001</v>
      </c>
      <c r="AP30" s="150">
        <v>130.72800000000001</v>
      </c>
      <c r="AQ30" s="150">
        <v>137.13</v>
      </c>
      <c r="AR30" s="150">
        <v>154.428</v>
      </c>
      <c r="AS30" s="148">
        <v>167.29400000000001</v>
      </c>
      <c r="AT30" s="966">
        <f>SUM(AP30:AS30)</f>
        <v>589.58000000000004</v>
      </c>
      <c r="AU30" s="290">
        <v>167.34299999999999</v>
      </c>
      <c r="AV30" s="290">
        <v>57.923000000000002</v>
      </c>
      <c r="AW30" s="290">
        <v>21.216999999999999</v>
      </c>
      <c r="AX30" s="291">
        <f>69.899</f>
        <v>69.899000000000001</v>
      </c>
      <c r="AY30" s="968">
        <f>SUM(AU30:AX30)</f>
        <v>316.38200000000001</v>
      </c>
      <c r="AZ30" s="290">
        <v>6.21</v>
      </c>
      <c r="BA30" s="290">
        <v>-17.718</v>
      </c>
      <c r="BB30" s="290">
        <v>-7.1769999999999996</v>
      </c>
      <c r="BC30" s="290">
        <v>87.688000000000002</v>
      </c>
      <c r="BD30" s="999">
        <f>SUM(AZ30:BC30)</f>
        <v>69.003</v>
      </c>
      <c r="BE30" s="1732">
        <v>18</v>
      </c>
      <c r="BF30" s="290">
        <v>69</v>
      </c>
      <c r="BG30" s="290">
        <v>167</v>
      </c>
      <c r="BH30" s="290">
        <v>160</v>
      </c>
      <c r="BI30" s="5474">
        <f>SUM(BE30:BH30)</f>
        <v>414</v>
      </c>
      <c r="BJ30" s="290">
        <v>96</v>
      </c>
      <c r="BK30" s="290">
        <v>204</v>
      </c>
      <c r="BL30" s="290">
        <v>302</v>
      </c>
      <c r="BM30" s="290">
        <v>-18</v>
      </c>
      <c r="BN30" s="5474">
        <f>SUM(BJ30:BM30)</f>
        <v>584</v>
      </c>
      <c r="BO30" s="290">
        <v>156</v>
      </c>
      <c r="BP30" s="290">
        <v>254</v>
      </c>
      <c r="BQ30" s="290">
        <v>63</v>
      </c>
      <c r="BR30" s="291">
        <v>152</v>
      </c>
      <c r="BS30" s="1680">
        <v>625</v>
      </c>
      <c r="BT30" s="290">
        <v>156</v>
      </c>
      <c r="BU30" s="585">
        <v>254</v>
      </c>
      <c r="BV30" s="585">
        <v>63</v>
      </c>
      <c r="BW30" s="585">
        <v>152</v>
      </c>
      <c r="BX30" s="5470">
        <v>635</v>
      </c>
      <c r="BY30" s="5480">
        <v>134</v>
      </c>
      <c r="BZ30" s="5480">
        <v>247</v>
      </c>
      <c r="CA30" s="5480">
        <v>24</v>
      </c>
      <c r="CB30" s="5480">
        <v>125</v>
      </c>
      <c r="CC30" s="5474">
        <v>530</v>
      </c>
      <c r="CD30" s="5480">
        <v>134</v>
      </c>
      <c r="CE30" s="5480">
        <v>236</v>
      </c>
      <c r="CF30" s="5480">
        <v>24</v>
      </c>
      <c r="CG30" s="5480">
        <v>112</v>
      </c>
      <c r="CH30" s="5474">
        <v>496</v>
      </c>
      <c r="CI30" s="5480">
        <v>357</v>
      </c>
      <c r="CJ30" s="5480">
        <v>145</v>
      </c>
      <c r="CK30" s="5480">
        <v>133</v>
      </c>
      <c r="CL30" s="5480">
        <v>128</v>
      </c>
      <c r="CM30" s="5474">
        <f>SUM(CI30:CL30)</f>
        <v>763</v>
      </c>
      <c r="CN30" s="5480">
        <v>157</v>
      </c>
      <c r="CO30" s="5480">
        <v>131</v>
      </c>
      <c r="CP30" s="5480">
        <v>183</v>
      </c>
      <c r="CQ30" s="5480">
        <v>-180</v>
      </c>
      <c r="CR30" s="5474">
        <f>SUM(CN30:CQ30)</f>
        <v>291</v>
      </c>
      <c r="CS30" s="5479">
        <v>-213</v>
      </c>
      <c r="CT30" s="5480">
        <v>151</v>
      </c>
      <c r="CU30" s="5480">
        <v>278</v>
      </c>
      <c r="CV30" s="5480">
        <v>218</v>
      </c>
      <c r="CW30" s="5474">
        <f>SUM(CS30:CV30)</f>
        <v>434</v>
      </c>
      <c r="CX30" s="5480">
        <v>251</v>
      </c>
      <c r="CY30" s="5480">
        <v>245</v>
      </c>
      <c r="CZ30" s="5480">
        <v>197</v>
      </c>
      <c r="DA30" s="5480">
        <v>354</v>
      </c>
      <c r="DB30" s="5474">
        <f>SUM(CX30:DA30)</f>
        <v>1047</v>
      </c>
      <c r="DC30" s="5480">
        <v>2910</v>
      </c>
      <c r="DD30" s="5480">
        <f>1408-DD221</f>
        <v>1170</v>
      </c>
      <c r="DE30" s="5480">
        <f>1773-DE221</f>
        <v>1458</v>
      </c>
      <c r="DF30" s="5480">
        <f>1869-DF221</f>
        <v>1851</v>
      </c>
      <c r="DG30" s="5474">
        <f>SUM(DC30:DF30)</f>
        <v>7389</v>
      </c>
      <c r="DH30" s="5480">
        <v>1538</v>
      </c>
      <c r="DI30" s="5480">
        <v>2967</v>
      </c>
      <c r="DJ30" s="5480">
        <v>-549</v>
      </c>
      <c r="DK30" s="5480">
        <v>1438</v>
      </c>
      <c r="DL30" s="5474">
        <f>SUM(DH30:DK30)</f>
        <v>5394</v>
      </c>
      <c r="DM30" s="5480">
        <v>-220</v>
      </c>
      <c r="DN30" s="5480">
        <v>1894</v>
      </c>
      <c r="DO30" s="5480">
        <v>2146</v>
      </c>
      <c r="DP30" s="5480">
        <v>3038</v>
      </c>
      <c r="DQ30" s="5474">
        <f>SUM(DM30:DP30)</f>
        <v>6858</v>
      </c>
      <c r="DR30" s="5480">
        <v>4846</v>
      </c>
      <c r="DS30" s="5480">
        <v>2624</v>
      </c>
      <c r="DT30" s="5480">
        <v>2033</v>
      </c>
      <c r="DU30" s="5480">
        <v>2517</v>
      </c>
      <c r="DV30" s="5474">
        <f>SUM(DR30:DU30)</f>
        <v>12020</v>
      </c>
      <c r="DW30" s="5480">
        <v>-1160</v>
      </c>
      <c r="DX30" s="5480">
        <v>-439</v>
      </c>
      <c r="DY30" s="5480">
        <v>-902</v>
      </c>
      <c r="DZ30" s="5480">
        <v>-1013</v>
      </c>
      <c r="EA30" s="5474">
        <f>SUM(DW30:DZ30)</f>
        <v>-3514</v>
      </c>
      <c r="EB30" s="5480">
        <v>790</v>
      </c>
      <c r="EC30" s="5480">
        <v>65</v>
      </c>
      <c r="ED30" s="5480">
        <v>-146</v>
      </c>
      <c r="EE30" s="5480">
        <v>715</v>
      </c>
      <c r="EF30" s="5474">
        <f>SUM(EB30:EE30)</f>
        <v>1424</v>
      </c>
      <c r="EG30" s="5480">
        <v>2843</v>
      </c>
      <c r="EH30" s="5480">
        <v>126</v>
      </c>
      <c r="EI30" s="5480">
        <v>3185</v>
      </c>
      <c r="EJ30" s="5480">
        <v>1271</v>
      </c>
      <c r="EK30" s="999">
        <f>SUM(EG30:EJ30)</f>
        <v>7425</v>
      </c>
      <c r="EL30" s="5480">
        <v>11183</v>
      </c>
      <c r="EM30" s="5480">
        <v>2662</v>
      </c>
      <c r="EN30" s="5480">
        <v>12759</v>
      </c>
      <c r="EO30" s="833">
        <f ca="1">EO198</f>
        <v>950.78376487847618</v>
      </c>
      <c r="EP30" s="999">
        <f ca="1">SUM(EL30:EO30)</f>
        <v>27554.783764878477</v>
      </c>
      <c r="EQ30" s="833">
        <f ca="1">EQ198</f>
        <v>937.4710461233858</v>
      </c>
      <c r="ER30" s="833">
        <f ca="1">ER198</f>
        <v>827.10195831727015</v>
      </c>
      <c r="ES30" s="833">
        <f ca="1">ES198</f>
        <v>733.790920491576</v>
      </c>
      <c r="ET30" s="833">
        <f ca="1">ET198</f>
        <v>745.27347776099884</v>
      </c>
      <c r="EU30" s="999">
        <f ca="1">SUM(EQ30:ET30)</f>
        <v>3243.6374026932308</v>
      </c>
      <c r="EV30" s="1324">
        <f ca="1">EV198</f>
        <v>2731.6578810745086</v>
      </c>
      <c r="EW30" s="1324">
        <f ca="1">EW198</f>
        <v>2450.3180952969096</v>
      </c>
      <c r="EX30" s="1324">
        <f ca="1">EX198</f>
        <v>2714.1655529124491</v>
      </c>
      <c r="EY30" s="1324">
        <f ca="1">EY198</f>
        <v>3638.3158607230607</v>
      </c>
      <c r="EZ30" s="150"/>
      <c r="FA30" s="725"/>
      <c r="FB30" s="725"/>
      <c r="FC30" s="725"/>
      <c r="FD30" s="725"/>
      <c r="FE30" s="725"/>
      <c r="FF30" s="1319"/>
      <c r="FG30" s="725"/>
      <c r="FH30" s="725"/>
      <c r="FI30" s="725"/>
      <c r="FJ30" s="725"/>
      <c r="FK30" s="725"/>
      <c r="FL30" s="725"/>
    </row>
    <row r="31" spans="1:168" ht="11.25" hidden="1" customHeight="1" outlineLevel="1">
      <c r="A31" s="3744" t="s">
        <v>246</v>
      </c>
      <c r="B31" s="147"/>
      <c r="C31" s="147"/>
      <c r="D31" s="147"/>
      <c r="E31" s="145"/>
      <c r="F31" s="5403">
        <v>0</v>
      </c>
      <c r="G31" s="147"/>
      <c r="H31" s="147"/>
      <c r="I31" s="292"/>
      <c r="J31" s="293"/>
      <c r="K31" s="5403">
        <v>0</v>
      </c>
      <c r="L31" s="295"/>
      <c r="M31" s="295"/>
      <c r="N31" s="295"/>
      <c r="O31" s="74"/>
      <c r="P31" s="5403">
        <v>0</v>
      </c>
      <c r="Q31" s="98">
        <v>0</v>
      </c>
      <c r="R31" s="98">
        <v>0</v>
      </c>
      <c r="S31" s="98">
        <v>0</v>
      </c>
      <c r="T31" s="3846">
        <v>0</v>
      </c>
      <c r="U31" s="965">
        <f>SUM(Q31:T31)</f>
        <v>0</v>
      </c>
      <c r="V31" s="917">
        <v>0</v>
      </c>
      <c r="W31" s="83">
        <v>0</v>
      </c>
      <c r="X31" s="83">
        <v>0</v>
      </c>
      <c r="Y31" s="5405">
        <v>0</v>
      </c>
      <c r="Z31" s="914">
        <f>SUM(V31:Y31)</f>
        <v>0</v>
      </c>
      <c r="AA31" s="5412">
        <v>0</v>
      </c>
      <c r="AB31" s="83">
        <v>0</v>
      </c>
      <c r="AC31" s="290">
        <v>-201</v>
      </c>
      <c r="AD31" s="5405">
        <v>0</v>
      </c>
      <c r="AE31" s="966">
        <f>SUM(AA31:AD31)</f>
        <v>-201</v>
      </c>
      <c r="AF31" s="5412">
        <v>0</v>
      </c>
      <c r="AG31" s="83">
        <v>0</v>
      </c>
      <c r="AH31" s="83">
        <v>0</v>
      </c>
      <c r="AI31" s="54">
        <v>-90</v>
      </c>
      <c r="AJ31" s="916">
        <f>SUM(AF31:AI31)</f>
        <v>-90</v>
      </c>
      <c r="AK31" s="83">
        <v>0</v>
      </c>
      <c r="AL31" s="83">
        <v>0</v>
      </c>
      <c r="AM31" s="83">
        <v>0</v>
      </c>
      <c r="AN31" s="5405">
        <v>0</v>
      </c>
      <c r="AO31" s="914">
        <f>SUM(AK31:AN31)</f>
        <v>0</v>
      </c>
      <c r="AP31" s="82">
        <v>0</v>
      </c>
      <c r="AQ31" s="82">
        <v>0</v>
      </c>
      <c r="AR31" s="82">
        <v>0</v>
      </c>
      <c r="AS31" s="81">
        <v>0</v>
      </c>
      <c r="AT31" s="914">
        <f>SUM(AP31:AS31)</f>
        <v>0</v>
      </c>
      <c r="AU31" s="83">
        <v>0</v>
      </c>
      <c r="AV31" s="83">
        <v>0</v>
      </c>
      <c r="AW31" s="83">
        <v>0</v>
      </c>
      <c r="AX31" s="54">
        <v>-1094.7570000000001</v>
      </c>
      <c r="AY31" s="914">
        <f>SUM(AU31:AX31)</f>
        <v>-1094.7570000000001</v>
      </c>
      <c r="AZ31" s="83">
        <v>0</v>
      </c>
      <c r="BA31" s="83">
        <v>0</v>
      </c>
      <c r="BB31" s="2607">
        <v>0</v>
      </c>
      <c r="BC31" s="2607">
        <v>0</v>
      </c>
      <c r="BD31" s="1266">
        <f>SUM(AZ31:BC31)</f>
        <v>0</v>
      </c>
      <c r="BE31" s="1733">
        <v>0</v>
      </c>
      <c r="BF31" s="53">
        <v>0</v>
      </c>
      <c r="BG31" s="83">
        <v>0</v>
      </c>
      <c r="BH31" s="53">
        <v>0</v>
      </c>
      <c r="BI31" s="1265">
        <f>SUM(BE31:BH31)</f>
        <v>0</v>
      </c>
      <c r="BJ31" s="83">
        <v>-500</v>
      </c>
      <c r="BK31" s="83">
        <v>0</v>
      </c>
      <c r="BL31" s="82">
        <v>0</v>
      </c>
      <c r="BM31" s="53">
        <v>0</v>
      </c>
      <c r="BN31" s="1265">
        <v>0</v>
      </c>
      <c r="BO31" s="51"/>
      <c r="BP31" s="83">
        <v>0</v>
      </c>
      <c r="BQ31" s="53">
        <v>0</v>
      </c>
      <c r="BR31" s="54">
        <v>0</v>
      </c>
      <c r="BS31" s="1734">
        <v>0</v>
      </c>
      <c r="BT31" s="51"/>
      <c r="BU31" s="83">
        <v>0</v>
      </c>
      <c r="BV31" s="53">
        <v>0</v>
      </c>
      <c r="BW31" s="53">
        <v>0</v>
      </c>
      <c r="BX31" s="1267">
        <v>0</v>
      </c>
      <c r="BY31" s="691"/>
      <c r="BZ31" s="654"/>
      <c r="CA31" s="654"/>
      <c r="CB31" s="654">
        <v>0</v>
      </c>
      <c r="CC31" s="1267">
        <v>0</v>
      </c>
      <c r="CD31" s="691">
        <v>0</v>
      </c>
      <c r="CE31" s="654">
        <v>0</v>
      </c>
      <c r="CF31" s="654">
        <v>0</v>
      </c>
      <c r="CG31" s="654">
        <v>0</v>
      </c>
      <c r="CH31" s="1267">
        <v>0</v>
      </c>
      <c r="CI31" s="691">
        <v>0</v>
      </c>
      <c r="CJ31" s="654">
        <v>0</v>
      </c>
      <c r="CK31" s="654">
        <f>-CK47</f>
        <v>-378</v>
      </c>
      <c r="CL31" s="654">
        <f>-CL47</f>
        <v>0</v>
      </c>
      <c r="CM31" s="1267">
        <f>SUM(CI31:CL31)</f>
        <v>-378</v>
      </c>
      <c r="CN31" s="654">
        <v>0</v>
      </c>
      <c r="CO31" s="654">
        <v>0</v>
      </c>
      <c r="CP31" s="654">
        <f>-CP47</f>
        <v>0</v>
      </c>
      <c r="CQ31" s="654">
        <f>-CQ47</f>
        <v>0</v>
      </c>
      <c r="CR31" s="1267">
        <f>SUM(CN31:CQ31)</f>
        <v>0</v>
      </c>
      <c r="CS31" s="654">
        <v>0</v>
      </c>
      <c r="CT31" s="654">
        <v>0</v>
      </c>
      <c r="CU31" s="654">
        <v>0</v>
      </c>
      <c r="CV31" s="5481">
        <v>0</v>
      </c>
      <c r="CW31" s="1267">
        <f>SUM(CS31:CV31)</f>
        <v>0</v>
      </c>
      <c r="CX31" s="5014">
        <v>0</v>
      </c>
      <c r="CY31" s="5014">
        <v>0</v>
      </c>
      <c r="CZ31" s="5014">
        <v>0</v>
      </c>
      <c r="DA31" s="5482">
        <v>0</v>
      </c>
      <c r="DB31" s="1267">
        <f>SUM(CX31:DA31)</f>
        <v>0</v>
      </c>
      <c r="DC31" s="654">
        <v>0</v>
      </c>
      <c r="DD31" s="654">
        <v>0</v>
      </c>
      <c r="DE31" s="654">
        <v>0</v>
      </c>
      <c r="DF31" s="654">
        <v>0</v>
      </c>
      <c r="DG31" s="1267">
        <f>SUM(DC31:DF31)</f>
        <v>0</v>
      </c>
      <c r="DH31" s="654">
        <v>0</v>
      </c>
      <c r="DI31" s="5014">
        <v>0</v>
      </c>
      <c r="DJ31" s="5014">
        <v>0</v>
      </c>
      <c r="DK31" s="5014">
        <v>0</v>
      </c>
      <c r="DL31" s="1267">
        <f>SUM(DH31:DK31)</f>
        <v>0</v>
      </c>
      <c r="DM31" s="654">
        <v>0</v>
      </c>
      <c r="DN31" s="654">
        <v>0</v>
      </c>
      <c r="DO31" s="654">
        <v>0</v>
      </c>
      <c r="DP31" s="654">
        <v>0</v>
      </c>
      <c r="DQ31" s="1267">
        <f>SUM(DM31:DP31)</f>
        <v>0</v>
      </c>
      <c r="DR31" s="654">
        <v>0</v>
      </c>
      <c r="DS31" s="654">
        <v>0</v>
      </c>
      <c r="DT31" s="654">
        <v>0</v>
      </c>
      <c r="DU31" s="654">
        <v>0</v>
      </c>
      <c r="DV31" s="1267">
        <f>SUM(DR31:DU31)</f>
        <v>0</v>
      </c>
      <c r="DW31" s="654">
        <v>0</v>
      </c>
      <c r="DX31" s="654">
        <v>0</v>
      </c>
      <c r="DY31" s="654">
        <v>0</v>
      </c>
      <c r="DZ31" s="654">
        <v>0</v>
      </c>
      <c r="EA31" s="1267">
        <f>SUM(DW31:DZ31)</f>
        <v>0</v>
      </c>
      <c r="EB31" s="654">
        <v>0</v>
      </c>
      <c r="EC31" s="654">
        <v>0</v>
      </c>
      <c r="ED31" s="654">
        <v>0</v>
      </c>
      <c r="EE31" s="654">
        <v>0</v>
      </c>
      <c r="EF31" s="1267">
        <f>SUM(EB31:EE31)</f>
        <v>0</v>
      </c>
      <c r="EG31" s="654">
        <v>0</v>
      </c>
      <c r="EH31" s="654">
        <v>0</v>
      </c>
      <c r="EI31" s="654">
        <v>0</v>
      </c>
      <c r="EJ31" s="654">
        <v>0</v>
      </c>
      <c r="EK31" s="1010">
        <f>SUM(EG31:EJ31)</f>
        <v>0</v>
      </c>
      <c r="EL31" s="654">
        <v>0</v>
      </c>
      <c r="EM31" s="654">
        <v>0</v>
      </c>
      <c r="EN31" s="654">
        <v>0</v>
      </c>
      <c r="EO31" s="1425"/>
      <c r="EP31" s="1010">
        <f>SUM(EL31:EO31)</f>
        <v>0</v>
      </c>
      <c r="EQ31" s="1425"/>
      <c r="ER31" s="1425"/>
      <c r="ES31" s="1425"/>
      <c r="ET31" s="1425"/>
      <c r="EU31" s="1010">
        <f>SUM(EQ31:ET31)</f>
        <v>0</v>
      </c>
      <c r="EV31" s="5071"/>
      <c r="EW31" s="5071"/>
      <c r="EX31" s="5071"/>
      <c r="EY31" s="5071"/>
      <c r="EZ31" s="82"/>
      <c r="FA31" s="725"/>
      <c r="FB31" s="725"/>
      <c r="FC31" s="725"/>
      <c r="FD31" s="725"/>
      <c r="FE31" s="725"/>
      <c r="FF31" s="725"/>
      <c r="FG31" s="725"/>
      <c r="FH31" s="725"/>
      <c r="FI31" s="725"/>
      <c r="FJ31" s="725"/>
      <c r="FK31" s="725"/>
      <c r="FL31" s="725"/>
    </row>
    <row r="32" spans="1:168" ht="11.25" customHeight="1" collapsed="1">
      <c r="A32" s="3735" t="s">
        <v>225</v>
      </c>
      <c r="B32" s="147"/>
      <c r="C32" s="147"/>
      <c r="D32" s="147"/>
      <c r="E32" s="145"/>
      <c r="F32" s="966">
        <f>F27+F30</f>
        <v>-6.0759999999999996</v>
      </c>
      <c r="G32" s="147"/>
      <c r="H32" s="147"/>
      <c r="I32" s="292"/>
      <c r="J32" s="296"/>
      <c r="K32" s="966">
        <f>K27+K30</f>
        <v>-14.689999999999998</v>
      </c>
      <c r="L32" s="292"/>
      <c r="M32" s="292"/>
      <c r="N32" s="292"/>
      <c r="O32" s="296"/>
      <c r="P32" s="966">
        <f>P27+P30</f>
        <v>10.068000000000012</v>
      </c>
      <c r="Q32" s="147">
        <f>Q27+Q30</f>
        <v>14.705999999999994</v>
      </c>
      <c r="R32" s="147">
        <f>R27+R30</f>
        <v>30.787000000000013</v>
      </c>
      <c r="S32" s="147">
        <f>S27+S30</f>
        <v>56.236000000000004</v>
      </c>
      <c r="T32" s="145">
        <f>T27+T30</f>
        <v>83.185999999999993</v>
      </c>
      <c r="U32" s="966">
        <f>SUM(Q32:T32)</f>
        <v>184.91500000000002</v>
      </c>
      <c r="V32" s="967">
        <f>V27+V30</f>
        <v>84.659000000000006</v>
      </c>
      <c r="W32" s="147">
        <f>W27+W30</f>
        <v>105.55</v>
      </c>
      <c r="X32" s="147">
        <f>X27+X30</f>
        <v>67.020000000000039</v>
      </c>
      <c r="Y32" s="145">
        <f>Y27+Y30</f>
        <v>89.424999999999955</v>
      </c>
      <c r="Z32" s="966">
        <f>SUM(V32:Y32)</f>
        <v>346.654</v>
      </c>
      <c r="AA32" s="967">
        <f>AA27+AA30</f>
        <v>155.62300000000005</v>
      </c>
      <c r="AB32" s="147">
        <f>AB27+AB30</f>
        <v>169.45999999999998</v>
      </c>
      <c r="AC32" s="150">
        <f>AC27+AC30+AC31</f>
        <v>14.97799999999998</v>
      </c>
      <c r="AD32" s="145">
        <f>AD27+AD30</f>
        <v>310.173</v>
      </c>
      <c r="AE32" s="966">
        <f>SUM(AA32:AD32)</f>
        <v>650.23400000000004</v>
      </c>
      <c r="AF32" s="967">
        <f>AF27+AF30</f>
        <v>456.45600000000007</v>
      </c>
      <c r="AG32" s="147">
        <f>AG27+AG30</f>
        <v>495.41999999999985</v>
      </c>
      <c r="AH32" s="147">
        <f>AH27+AH30</f>
        <v>549.96799999999996</v>
      </c>
      <c r="AI32" s="145">
        <f>AI27+AI30+AI31</f>
        <v>639.83299999999997</v>
      </c>
      <c r="AJ32" s="966">
        <f>SUM(AF32:AI32)</f>
        <v>2141.6770000000001</v>
      </c>
      <c r="AK32" s="967">
        <f>AK27+AK30</f>
        <v>810.61800000000028</v>
      </c>
      <c r="AL32" s="147">
        <f>AL27+AL30</f>
        <v>976.17699999999991</v>
      </c>
      <c r="AM32" s="147">
        <f>AM27+AM30</f>
        <v>1039.5109999999995</v>
      </c>
      <c r="AN32" s="145">
        <f>AN27+AN30</f>
        <v>1184.7329999999999</v>
      </c>
      <c r="AO32" s="966">
        <f>SUM(AK32:AN32)</f>
        <v>4011.0389999999998</v>
      </c>
      <c r="AP32" s="967">
        <f>AP27+AP30+AP31</f>
        <v>1351.9370000000004</v>
      </c>
      <c r="AQ32" s="147">
        <f>AQ27+AQ30+AQ31</f>
        <v>1241.7450000000003</v>
      </c>
      <c r="AR32" s="147">
        <f>AR27+AR30+AR31</f>
        <v>1472.2649999999999</v>
      </c>
      <c r="AS32" s="145">
        <f>AS27+AS30+AS31</f>
        <v>1608.0280000000002</v>
      </c>
      <c r="AT32" s="966">
        <f>SUM(AP32:AS32)</f>
        <v>5673.9750000000004</v>
      </c>
      <c r="AU32" s="969">
        <f>AU27+AU30+AU31</f>
        <v>1713.578</v>
      </c>
      <c r="AV32" s="150">
        <f>AV27+AV30+AV31</f>
        <v>1635.8880000000004</v>
      </c>
      <c r="AW32" s="150">
        <f>AW27+AW30+AW31</f>
        <v>1668.7819999999997</v>
      </c>
      <c r="AX32" s="148">
        <f>AX27+AX30+AX31</f>
        <v>835.34600000000091</v>
      </c>
      <c r="AY32" s="968">
        <f>SUM(AU32:AX32)</f>
        <v>5853.594000000001</v>
      </c>
      <c r="AZ32" s="969">
        <f>AZ27+AZ30+AZ31</f>
        <v>1889.8009999999997</v>
      </c>
      <c r="BA32" s="150">
        <f>BA27+BA30+BA31</f>
        <v>1856.1759999999997</v>
      </c>
      <c r="BB32" s="150">
        <f>BB27+BB30+BB31</f>
        <v>2066.5409999999997</v>
      </c>
      <c r="BC32" s="150">
        <f>BC27+BC30+BC31</f>
        <v>2568.6710000000003</v>
      </c>
      <c r="BD32" s="999">
        <f>SUM(AZ32:BC32)</f>
        <v>8381.1889999999985</v>
      </c>
      <c r="BE32" s="1728">
        <f>BE27+BE30+BE31</f>
        <v>2506</v>
      </c>
      <c r="BF32" s="150">
        <f>BF27+BF30+BF31</f>
        <v>2434</v>
      </c>
      <c r="BG32" s="150">
        <f>BG27+BG30+BG31</f>
        <v>2714</v>
      </c>
      <c r="BH32" s="150">
        <f>BH27+BH30+BH31</f>
        <v>3142</v>
      </c>
      <c r="BI32" s="5474">
        <f>SUM(BE32:BH32)</f>
        <v>10796</v>
      </c>
      <c r="BJ32" s="150">
        <f>BJ27+BJ30+BJ31</f>
        <v>2392</v>
      </c>
      <c r="BK32" s="150">
        <f>BK27+BK30+BK31</f>
        <v>3085</v>
      </c>
      <c r="BL32" s="150">
        <f>BL27+BL30+BL31</f>
        <v>3360</v>
      </c>
      <c r="BM32" s="150">
        <f>BM27+BM30+BM31</f>
        <v>3489</v>
      </c>
      <c r="BN32" s="5474">
        <f>SUM(BJ32:BM32)</f>
        <v>12326</v>
      </c>
      <c r="BO32" s="150">
        <v>3545</v>
      </c>
      <c r="BP32" s="150">
        <v>3457</v>
      </c>
      <c r="BQ32" s="150">
        <v>2799</v>
      </c>
      <c r="BR32" s="148">
        <v>3546</v>
      </c>
      <c r="BS32" s="1680">
        <v>13347</v>
      </c>
      <c r="BT32" s="150">
        <f>BT27+BT30</f>
        <v>3545</v>
      </c>
      <c r="BU32" s="150">
        <f>BU27+BU30+BU31</f>
        <v>3690</v>
      </c>
      <c r="BV32" s="150">
        <f>BV27+BV30</f>
        <v>3326</v>
      </c>
      <c r="BW32" s="150">
        <f>BW27+BW30</f>
        <v>3899</v>
      </c>
      <c r="BX32" s="5474">
        <f>BX27+BX30</f>
        <v>14469</v>
      </c>
      <c r="BY32" s="5040">
        <v>3611</v>
      </c>
      <c r="BZ32" s="5040">
        <v>3370</v>
      </c>
      <c r="CA32" s="5040">
        <v>3468</v>
      </c>
      <c r="CB32" s="5040">
        <v>4047</v>
      </c>
      <c r="CC32" s="5474">
        <v>14496</v>
      </c>
      <c r="CD32" s="5040">
        <f>CD27+CD30</f>
        <v>3882</v>
      </c>
      <c r="CE32" s="5040">
        <f>CE27+CE30+CE31</f>
        <v>3701</v>
      </c>
      <c r="CF32" s="5040">
        <f t="shared" ref="CF32:CM32" si="95">CF27+CF30</f>
        <v>3785</v>
      </c>
      <c r="CG32" s="5040">
        <f t="shared" si="95"/>
        <v>4541</v>
      </c>
      <c r="CH32" s="5474">
        <f t="shared" si="95"/>
        <v>15899</v>
      </c>
      <c r="CI32" s="5040">
        <f t="shared" si="95"/>
        <v>4472</v>
      </c>
      <c r="CJ32" s="5040">
        <f t="shared" si="95"/>
        <v>4403</v>
      </c>
      <c r="CK32" s="5040">
        <f t="shared" si="95"/>
        <v>3857</v>
      </c>
      <c r="CL32" s="5040">
        <f t="shared" si="95"/>
        <v>4527</v>
      </c>
      <c r="CM32" s="5474">
        <f t="shared" si="95"/>
        <v>17259</v>
      </c>
      <c r="CN32" s="5040">
        <f>CN27+CN30</f>
        <v>4604</v>
      </c>
      <c r="CO32" s="5040">
        <f>CO27+CO30</f>
        <v>4956</v>
      </c>
      <c r="CP32" s="5040">
        <f>CP27+CP30</f>
        <v>4891</v>
      </c>
      <c r="CQ32" s="5040">
        <f>CQ27+CQ30</f>
        <v>5200</v>
      </c>
      <c r="CR32" s="5474">
        <f>SUM(CN32:CQ32)</f>
        <v>19651</v>
      </c>
      <c r="CS32" s="5040">
        <f>CS27+CS30</f>
        <v>5129</v>
      </c>
      <c r="CT32" s="5040">
        <f>CT27+CT30</f>
        <v>6119</v>
      </c>
      <c r="CU32" s="5040">
        <f>CU27+CU30</f>
        <v>6045</v>
      </c>
      <c r="CV32" s="5040">
        <f>CV27+CV30+CV31</f>
        <v>6857</v>
      </c>
      <c r="CW32" s="5474">
        <f>SUM(CS32:CV32)</f>
        <v>24150</v>
      </c>
      <c r="CX32" s="5040">
        <f>CX27+CX30</f>
        <v>6819</v>
      </c>
      <c r="CY32" s="5040">
        <f>CY27+CY30</f>
        <v>4377</v>
      </c>
      <c r="CZ32" s="5040">
        <f>CZ27+CZ30</f>
        <v>7979</v>
      </c>
      <c r="DA32" s="5040">
        <f>DA27+DA30</f>
        <v>8018</v>
      </c>
      <c r="DB32" s="5474">
        <f>SUM(CX32:DA32)</f>
        <v>27193</v>
      </c>
      <c r="DC32" s="5040">
        <f>DC27+DC30</f>
        <v>10543</v>
      </c>
      <c r="DD32" s="5040">
        <f>DD27+DD30</f>
        <v>4215</v>
      </c>
      <c r="DE32" s="5040">
        <f>DE27+DE30</f>
        <v>10083</v>
      </c>
      <c r="DF32" s="5040">
        <f>DF27+DF30</f>
        <v>10072</v>
      </c>
      <c r="DG32" s="5474">
        <f>SUM(DC32:DF32)</f>
        <v>34913</v>
      </c>
      <c r="DH32" s="5040">
        <f>DH27+DH30</f>
        <v>8146</v>
      </c>
      <c r="DI32" s="5040">
        <f>DI27+DI30</f>
        <v>12147</v>
      </c>
      <c r="DJ32" s="5040">
        <f>DJ27+DJ30</f>
        <v>8628</v>
      </c>
      <c r="DK32" s="5040">
        <f>DK27+DK30</f>
        <v>10704</v>
      </c>
      <c r="DL32" s="5474">
        <f>SUM(DH32:DK32)</f>
        <v>39625</v>
      </c>
      <c r="DM32" s="5040">
        <f>DM27+DM30</f>
        <v>7757</v>
      </c>
      <c r="DN32" s="5040">
        <f>DN27+DN30</f>
        <v>8277</v>
      </c>
      <c r="DO32" s="5040">
        <f>DO27+DO30</f>
        <v>13359</v>
      </c>
      <c r="DP32" s="5040">
        <f>DP27+DP30</f>
        <v>18689</v>
      </c>
      <c r="DQ32" s="5474">
        <f>SUM(DM32:DP32)</f>
        <v>48082</v>
      </c>
      <c r="DR32" s="5040">
        <f>DR27+DR30</f>
        <v>21283</v>
      </c>
      <c r="DS32" s="5040">
        <f>DS27+DS30</f>
        <v>21985</v>
      </c>
      <c r="DT32" s="5040">
        <f>DT27+DT30</f>
        <v>23064</v>
      </c>
      <c r="DU32" s="5040">
        <f>DU27+DU30</f>
        <v>24402</v>
      </c>
      <c r="DV32" s="5474">
        <f>SUM(DR32:DU32)</f>
        <v>90734</v>
      </c>
      <c r="DW32" s="5040">
        <f>DW27+DW30</f>
        <v>18934</v>
      </c>
      <c r="DX32" s="5040">
        <f>DX27+DX30</f>
        <v>19014</v>
      </c>
      <c r="DY32" s="5040">
        <f>DY27+DY30</f>
        <v>16233</v>
      </c>
      <c r="DZ32" s="5040">
        <f>DZ27+DZ30</f>
        <v>17147</v>
      </c>
      <c r="EA32" s="5474">
        <f>SUM(DW32:DZ32)</f>
        <v>71328</v>
      </c>
      <c r="EB32" s="5040">
        <f>EB27+EB30</f>
        <v>18205</v>
      </c>
      <c r="EC32" s="5040">
        <f>EC27+EC30</f>
        <v>21903</v>
      </c>
      <c r="ED32" s="5040">
        <f>ED27+ED30</f>
        <v>21197</v>
      </c>
      <c r="EE32" s="5040">
        <f>EE27+EE30</f>
        <v>24412</v>
      </c>
      <c r="EF32" s="5474">
        <f>SUM(EB32:EE32)</f>
        <v>85717</v>
      </c>
      <c r="EG32" s="5040">
        <f>EG27+EG30</f>
        <v>28315</v>
      </c>
      <c r="EH32" s="5040">
        <f>EH27+EH30</f>
        <v>27551</v>
      </c>
      <c r="EI32" s="5040">
        <f>EI27+EI30</f>
        <v>31706</v>
      </c>
      <c r="EJ32" s="5040">
        <f>EJ27+EJ30</f>
        <v>32243</v>
      </c>
      <c r="EK32" s="999">
        <f>SUM(EG32:EJ32)</f>
        <v>119815</v>
      </c>
      <c r="EL32" s="5040">
        <f>EL27+EL30</f>
        <v>41789</v>
      </c>
      <c r="EM32" s="5040">
        <f>EM27+EM30</f>
        <v>33933</v>
      </c>
      <c r="EN32" s="5040">
        <f>EN27+EN30</f>
        <v>43987</v>
      </c>
      <c r="EO32" s="150">
        <f t="shared" ref="EO32" ca="1" si="96">EO27+EO30</f>
        <v>38290.130195756254</v>
      </c>
      <c r="EP32" s="999">
        <f ca="1">SUM(EL32:EO32)</f>
        <v>157999.13019575627</v>
      </c>
      <c r="EQ32" s="150">
        <f t="shared" ref="EQ32:ET32" ca="1" si="97">EQ27+EQ30</f>
        <v>38061.840735606667</v>
      </c>
      <c r="ER32" s="150">
        <f t="shared" ca="1" si="97"/>
        <v>39756.631325108443</v>
      </c>
      <c r="ES32" s="150">
        <f t="shared" ca="1" si="97"/>
        <v>40845.87473463401</v>
      </c>
      <c r="ET32" s="150">
        <f t="shared" ca="1" si="97"/>
        <v>44330.366109572315</v>
      </c>
      <c r="EU32" s="999">
        <f ca="1">SUM(EQ32:ET32)</f>
        <v>162994.71290492144</v>
      </c>
      <c r="EV32" s="1002">
        <f ca="1">EV27+EV30</f>
        <v>181420.64284364579</v>
      </c>
      <c r="EW32" s="1002">
        <f ca="1">EW27+EW30</f>
        <v>205820.73245922447</v>
      </c>
      <c r="EX32" s="1002">
        <f ca="1">EX27+EX30</f>
        <v>232882.98132499907</v>
      </c>
      <c r="EY32" s="1002">
        <f ca="1">EY27+EY30</f>
        <v>264281.77763034136</v>
      </c>
      <c r="EZ32" s="150"/>
      <c r="FA32" s="725"/>
      <c r="FB32" s="725"/>
      <c r="FC32" s="725"/>
      <c r="FD32" s="725"/>
      <c r="FE32" s="725"/>
      <c r="FF32" s="725"/>
      <c r="FG32" s="725"/>
      <c r="FH32" s="725"/>
      <c r="FI32" s="725"/>
      <c r="FJ32" s="725"/>
      <c r="FK32" s="725"/>
      <c r="FL32" s="725"/>
    </row>
    <row r="33" spans="1:168" ht="11.25" customHeight="1">
      <c r="A33" s="3744" t="s">
        <v>119</v>
      </c>
      <c r="B33" s="147"/>
      <c r="C33" s="147"/>
      <c r="D33" s="147"/>
      <c r="E33" s="145"/>
      <c r="F33" s="5402">
        <v>0</v>
      </c>
      <c r="G33" s="147"/>
      <c r="H33" s="147"/>
      <c r="I33" s="292"/>
      <c r="J33" s="40"/>
      <c r="K33" s="5402">
        <v>0</v>
      </c>
      <c r="L33" s="43"/>
      <c r="M33" s="43"/>
      <c r="N33" s="43"/>
      <c r="O33" s="40"/>
      <c r="P33" s="5402">
        <v>3.0830000000000002</v>
      </c>
      <c r="Q33" s="44">
        <v>6.78</v>
      </c>
      <c r="R33" s="44">
        <v>14.194000000000001</v>
      </c>
      <c r="S33" s="44">
        <v>25.928999999999998</v>
      </c>
      <c r="T33" s="5401">
        <v>38.356000000000002</v>
      </c>
      <c r="U33" s="966">
        <f>SUM(Q33:T33)</f>
        <v>85.259</v>
      </c>
      <c r="V33" s="5404">
        <v>58.859000000000002</v>
      </c>
      <c r="W33" s="288">
        <v>73.382000000000005</v>
      </c>
      <c r="X33" s="288">
        <v>46.594000000000001</v>
      </c>
      <c r="Y33" s="289">
        <v>62.170999999999999</v>
      </c>
      <c r="Z33" s="966">
        <f>SUM(V33:Y33)</f>
        <v>241.006</v>
      </c>
      <c r="AA33" s="5404">
        <v>91.65</v>
      </c>
      <c r="AB33" s="288">
        <v>90.397000000000006</v>
      </c>
      <c r="AC33" s="288">
        <f>-37.005</f>
        <v>-37.005000000000003</v>
      </c>
      <c r="AD33" s="289">
        <f>106.073</f>
        <v>106.07299999999999</v>
      </c>
      <c r="AE33" s="966">
        <f>SUM(AA33:AD33)</f>
        <v>251.11500000000001</v>
      </c>
      <c r="AF33" s="5404">
        <v>87.263000000000005</v>
      </c>
      <c r="AG33" s="288">
        <v>152.60599999999999</v>
      </c>
      <c r="AH33" s="288">
        <v>168.786</v>
      </c>
      <c r="AI33" s="289">
        <v>267.625</v>
      </c>
      <c r="AJ33" s="966">
        <f>SUM(AF33:AI33)</f>
        <v>676.28</v>
      </c>
      <c r="AK33" s="288">
        <v>218.327</v>
      </c>
      <c r="AL33" s="288">
        <v>255.1</v>
      </c>
      <c r="AM33" s="288">
        <v>306.14999999999998</v>
      </c>
      <c r="AN33" s="289">
        <v>154.017</v>
      </c>
      <c r="AO33" s="966">
        <f>SUM(AK33:AN33)</f>
        <v>933.59400000000005</v>
      </c>
      <c r="AP33" s="967">
        <v>349.77499999999998</v>
      </c>
      <c r="AQ33" s="147">
        <v>316.625</v>
      </c>
      <c r="AR33" s="150">
        <v>402.28100000000001</v>
      </c>
      <c r="AS33" s="145">
        <v>401.57900000000001</v>
      </c>
      <c r="AT33" s="966">
        <f>SUM(AP33:AS33)</f>
        <v>1470.26</v>
      </c>
      <c r="AU33" s="290">
        <v>406.49200000000002</v>
      </c>
      <c r="AV33" s="290">
        <v>388.49700000000001</v>
      </c>
      <c r="AW33" s="290">
        <f>378.844</f>
        <v>378.84399999999999</v>
      </c>
      <c r="AX33" s="289">
        <f>452.904</f>
        <v>452.904</v>
      </c>
      <c r="AY33" s="966">
        <f>SUM(AU33:AX33)</f>
        <v>1626.7370000000001</v>
      </c>
      <c r="AZ33" s="288">
        <v>466.97300000000001</v>
      </c>
      <c r="BA33" s="288">
        <f>371.631</f>
        <v>371.63099999999997</v>
      </c>
      <c r="BB33" s="288">
        <v>427.56599999999997</v>
      </c>
      <c r="BC33" s="288">
        <v>594.57100000000003</v>
      </c>
      <c r="BD33" s="1002">
        <f>SUM(AZ33:BC33)</f>
        <v>1860.741</v>
      </c>
      <c r="BE33" s="1729">
        <v>551</v>
      </c>
      <c r="BF33" s="288">
        <v>594</v>
      </c>
      <c r="BG33" s="288">
        <v>547</v>
      </c>
      <c r="BH33" s="288">
        <v>599</v>
      </c>
      <c r="BI33" s="5472">
        <f>SUM(BE33:BH33)</f>
        <v>2291</v>
      </c>
      <c r="BJ33" s="288">
        <v>594</v>
      </c>
      <c r="BK33" s="288">
        <v>580</v>
      </c>
      <c r="BL33" s="288">
        <v>631</v>
      </c>
      <c r="BM33" s="288">
        <v>784</v>
      </c>
      <c r="BN33" s="5472">
        <f>SUM(BJ33:BM33)</f>
        <v>2589</v>
      </c>
      <c r="BO33" s="288">
        <v>655</v>
      </c>
      <c r="BP33" s="288">
        <v>672</v>
      </c>
      <c r="BQ33" s="288">
        <v>623</v>
      </c>
      <c r="BR33" s="289">
        <v>639</v>
      </c>
      <c r="BS33" s="1730">
        <v>2589</v>
      </c>
      <c r="BT33" s="288">
        <v>655</v>
      </c>
      <c r="BU33" s="586">
        <v>672</v>
      </c>
      <c r="BV33" s="586">
        <v>623</v>
      </c>
      <c r="BW33" s="586">
        <v>639</v>
      </c>
      <c r="BX33" s="5477">
        <v>2916</v>
      </c>
      <c r="BY33" s="5484">
        <v>287</v>
      </c>
      <c r="BZ33" s="5484">
        <v>816</v>
      </c>
      <c r="CA33" s="5484">
        <v>513</v>
      </c>
      <c r="CB33" s="5484">
        <v>666</v>
      </c>
      <c r="CC33" s="1255">
        <v>2282</v>
      </c>
      <c r="CD33" s="5484">
        <v>354</v>
      </c>
      <c r="CE33" s="5480">
        <v>927</v>
      </c>
      <c r="CF33" s="5484">
        <v>513</v>
      </c>
      <c r="CG33" s="5484">
        <v>659</v>
      </c>
      <c r="CH33" s="5477">
        <v>2552</v>
      </c>
      <c r="CI33" s="5050">
        <f t="shared" ref="CI33:CN33" si="98">+CI32*CI34</f>
        <v>903.34400000000005</v>
      </c>
      <c r="CJ33" s="5050">
        <f t="shared" si="98"/>
        <v>982.74959999999999</v>
      </c>
      <c r="CK33" s="5050">
        <f t="shared" si="98"/>
        <v>933.39400000000001</v>
      </c>
      <c r="CL33" s="5050">
        <f t="shared" si="98"/>
        <v>819.38699999999994</v>
      </c>
      <c r="CM33" s="5477">
        <v>3331</v>
      </c>
      <c r="CN33" s="5050">
        <f t="shared" si="98"/>
        <v>1089.7667999999999</v>
      </c>
      <c r="CO33" s="5484">
        <v>1025</v>
      </c>
      <c r="CP33" s="5484">
        <v>912</v>
      </c>
      <c r="CQ33" s="5484">
        <v>277</v>
      </c>
      <c r="CR33" s="1255">
        <f>SUM(CN33:CQ33)</f>
        <v>3303.7667999999999</v>
      </c>
      <c r="CS33" s="5483">
        <v>922</v>
      </c>
      <c r="CT33" s="5484">
        <v>1242</v>
      </c>
      <c r="CU33" s="5484">
        <v>984</v>
      </c>
      <c r="CV33" s="5484">
        <v>1524</v>
      </c>
      <c r="CW33" s="1255">
        <f>SUM(CS33:CV33)</f>
        <v>4672</v>
      </c>
      <c r="CX33" s="5484">
        <v>1393</v>
      </c>
      <c r="CY33" s="5484">
        <v>853</v>
      </c>
      <c r="CZ33" s="5484">
        <v>1247</v>
      </c>
      <c r="DA33" s="5484">
        <v>11038</v>
      </c>
      <c r="DB33" s="1255">
        <f>SUM(CX33:DA33)</f>
        <v>14531</v>
      </c>
      <c r="DC33" s="5484">
        <v>1142</v>
      </c>
      <c r="DD33" s="5484">
        <v>1020</v>
      </c>
      <c r="DE33" s="5484">
        <v>891</v>
      </c>
      <c r="DF33" s="5484">
        <v>1124</v>
      </c>
      <c r="DG33" s="1255">
        <f>SUM(DC33:DF33)</f>
        <v>4177</v>
      </c>
      <c r="DH33" s="5484">
        <v>1489</v>
      </c>
      <c r="DI33" s="5484">
        <v>2200</v>
      </c>
      <c r="DJ33" s="5484">
        <v>1560</v>
      </c>
      <c r="DK33" s="5484">
        <v>33</v>
      </c>
      <c r="DL33" s="1255">
        <f>SUM(DH33:DK33)</f>
        <v>5282</v>
      </c>
      <c r="DM33" s="5484">
        <v>921</v>
      </c>
      <c r="DN33" s="5484">
        <v>1318</v>
      </c>
      <c r="DO33" s="5484">
        <v>2112</v>
      </c>
      <c r="DP33" s="5484">
        <v>3462</v>
      </c>
      <c r="DQ33" s="1255">
        <f>SUM(DM33:DP33)</f>
        <v>7813</v>
      </c>
      <c r="DR33" s="5484">
        <v>3353</v>
      </c>
      <c r="DS33" s="5484">
        <v>3460</v>
      </c>
      <c r="DT33" s="5484">
        <v>4128</v>
      </c>
      <c r="DU33" s="5484">
        <v>3760</v>
      </c>
      <c r="DV33" s="1255">
        <f>SUM(DR33:DU33)</f>
        <v>14701</v>
      </c>
      <c r="DW33" s="5484">
        <v>2498</v>
      </c>
      <c r="DX33" s="5484">
        <v>3012</v>
      </c>
      <c r="DY33" s="5484">
        <v>2323</v>
      </c>
      <c r="DZ33" s="5484">
        <v>3523</v>
      </c>
      <c r="EA33" s="1255">
        <f>SUM(DW33:DZ33)</f>
        <v>11356</v>
      </c>
      <c r="EB33" s="5484">
        <v>3154</v>
      </c>
      <c r="EC33" s="5484">
        <v>3535</v>
      </c>
      <c r="ED33" s="5484">
        <v>1508</v>
      </c>
      <c r="EE33" s="5484">
        <v>3725</v>
      </c>
      <c r="EF33" s="1255">
        <f>SUM(EB33:EE33)</f>
        <v>11922</v>
      </c>
      <c r="EG33" s="5484">
        <v>4653</v>
      </c>
      <c r="EH33" s="5484">
        <v>3932</v>
      </c>
      <c r="EI33" s="5484">
        <v>5405</v>
      </c>
      <c r="EJ33" s="5484">
        <v>5707</v>
      </c>
      <c r="EK33" s="1001">
        <f>SUM(EG33:EJ33)</f>
        <v>19697</v>
      </c>
      <c r="EL33" s="5484">
        <v>7249</v>
      </c>
      <c r="EM33" s="5484">
        <v>5737</v>
      </c>
      <c r="EN33" s="5484">
        <v>9008</v>
      </c>
      <c r="EO33" s="147">
        <f t="shared" ref="EO33:ET33" ca="1" si="99">+EO32*EO34</f>
        <v>6509.3221332785633</v>
      </c>
      <c r="EP33" s="1001">
        <f ca="1">SUM(EL33:EO33)</f>
        <v>28503.322133278562</v>
      </c>
      <c r="EQ33" s="147">
        <f t="shared" ca="1" si="99"/>
        <v>6470.5129250531336</v>
      </c>
      <c r="ER33" s="147">
        <f t="shared" ca="1" si="99"/>
        <v>6758.6273252684359</v>
      </c>
      <c r="ES33" s="147">
        <f t="shared" ca="1" si="99"/>
        <v>6943.7987048877822</v>
      </c>
      <c r="ET33" s="147">
        <f t="shared" ca="1" si="99"/>
        <v>7536.1622386272938</v>
      </c>
      <c r="EU33" s="1001">
        <f ca="1">SUM(EQ33:ET33)</f>
        <v>27709.101193836643</v>
      </c>
      <c r="EV33" s="1009">
        <f ca="1">+EV32*EV34</f>
        <v>30841.509283419786</v>
      </c>
      <c r="EW33" s="1009">
        <f ca="1">+EW32*EW34</f>
        <v>34989.52451806816</v>
      </c>
      <c r="EX33" s="1009">
        <f ca="1">+EX32*EX34</f>
        <v>39590.106825249844</v>
      </c>
      <c r="EY33" s="1009">
        <f ca="1">+EY32*EY34</f>
        <v>44927.902197158037</v>
      </c>
      <c r="EZ33" s="42"/>
      <c r="FA33" s="1319">
        <f>(EA33/DL33)^(1/3)-1</f>
        <v>0.29065151540324896</v>
      </c>
      <c r="FB33" s="1319">
        <f>(EF33/DQ33)^(1/3)-1</f>
        <v>0.15126976100014944</v>
      </c>
      <c r="FC33" s="1319">
        <f>(EK33/DV33)^(1/3)-1</f>
        <v>0.10243011701293026</v>
      </c>
      <c r="FD33" s="1319">
        <f ca="1">(EP33/EA33)^(1/3)-1</f>
        <v>0.35901223216196065</v>
      </c>
      <c r="FE33" s="1319">
        <f ca="1">(EU33/EF33)^(1/3)-1</f>
        <v>0.32461938706639271</v>
      </c>
      <c r="FF33" s="1319">
        <f ca="1">(EV33/EK33)^(1/3)-1</f>
        <v>0.16121288446031845</v>
      </c>
      <c r="FG33" s="1319">
        <f>(EK33/DL33)^(1/5)-1</f>
        <v>0.30112894286781233</v>
      </c>
      <c r="FH33" s="1319">
        <f ca="1">(EP33/DQ33)^(1/5)-1</f>
        <v>0.29543471581548064</v>
      </c>
      <c r="FI33" s="1319">
        <f ca="1">(EU33/DV33)^(1/5)-1</f>
        <v>0.13515485834873053</v>
      </c>
      <c r="FJ33" s="1319">
        <f ca="1">(EV33/EA33)^(1/5)-1</f>
        <v>0.22118664958365208</v>
      </c>
      <c r="FK33" s="1319">
        <f ca="1">(EW33/EF33)^(1/5)-1</f>
        <v>0.24027441416807904</v>
      </c>
      <c r="FL33" s="1319">
        <f ca="1">(EX33/EK33)^(1/5)-1</f>
        <v>0.14983974892449492</v>
      </c>
    </row>
    <row r="34" spans="1:168" s="28" customFormat="1" ht="11.25" customHeight="1">
      <c r="A34" s="3745" t="s">
        <v>56</v>
      </c>
      <c r="B34" s="181"/>
      <c r="C34" s="181"/>
      <c r="D34" s="181"/>
      <c r="E34" s="190"/>
      <c r="F34" s="934">
        <f>+F33/F32</f>
        <v>0</v>
      </c>
      <c r="G34" s="181"/>
      <c r="H34" s="181"/>
      <c r="I34" s="181"/>
      <c r="J34" s="190"/>
      <c r="K34" s="934">
        <f>+K33/K32</f>
        <v>0</v>
      </c>
      <c r="L34" s="181"/>
      <c r="M34" s="181"/>
      <c r="N34" s="181"/>
      <c r="O34" s="190"/>
      <c r="P34" s="934">
        <f t="shared" ref="P34:AB34" si="100">+P33/P32</f>
        <v>0.30621771950734966</v>
      </c>
      <c r="Q34" s="181">
        <f t="shared" si="100"/>
        <v>0.46103631170950654</v>
      </c>
      <c r="R34" s="181">
        <f t="shared" si="100"/>
        <v>0.46103875012180451</v>
      </c>
      <c r="S34" s="181">
        <f t="shared" si="100"/>
        <v>0.46107475638381101</v>
      </c>
      <c r="T34" s="190">
        <f t="shared" si="100"/>
        <v>0.46108720217344268</v>
      </c>
      <c r="U34" s="934">
        <f t="shared" si="100"/>
        <v>0.46107130303112237</v>
      </c>
      <c r="V34" s="935">
        <f t="shared" si="100"/>
        <v>0.6952479948971757</v>
      </c>
      <c r="W34" s="181">
        <f t="shared" si="100"/>
        <v>0.69523448602558036</v>
      </c>
      <c r="X34" s="181">
        <f t="shared" si="100"/>
        <v>0.69522530587884179</v>
      </c>
      <c r="Y34" s="190">
        <f t="shared" si="100"/>
        <v>0.69523064020128633</v>
      </c>
      <c r="Z34" s="934">
        <f t="shared" si="100"/>
        <v>0.69523501820258815</v>
      </c>
      <c r="AA34" s="935">
        <f t="shared" si="100"/>
        <v>0.58892323114192613</v>
      </c>
      <c r="AB34" s="181">
        <f t="shared" si="100"/>
        <v>0.53344152012274293</v>
      </c>
      <c r="AC34" s="181" t="s">
        <v>116</v>
      </c>
      <c r="AD34" s="190">
        <f t="shared" ref="AD34:BN34" si="101">+AD33/AD32</f>
        <v>0.34198012077131146</v>
      </c>
      <c r="AE34" s="934">
        <f t="shared" si="101"/>
        <v>0.3861917402042957</v>
      </c>
      <c r="AF34" s="935">
        <f t="shared" si="101"/>
        <v>0.19117505301715826</v>
      </c>
      <c r="AG34" s="181">
        <f t="shared" si="101"/>
        <v>0.3080335876629931</v>
      </c>
      <c r="AH34" s="181">
        <f t="shared" si="101"/>
        <v>0.30690149245046988</v>
      </c>
      <c r="AI34" s="190">
        <f t="shared" si="101"/>
        <v>0.41827320566460313</v>
      </c>
      <c r="AJ34" s="961">
        <f t="shared" si="101"/>
        <v>0.31577123908040283</v>
      </c>
      <c r="AK34" s="935">
        <f t="shared" si="101"/>
        <v>0.26933401429526599</v>
      </c>
      <c r="AL34" s="181">
        <f t="shared" si="101"/>
        <v>0.26132555878698227</v>
      </c>
      <c r="AM34" s="181">
        <f t="shared" si="101"/>
        <v>0.29451347797185418</v>
      </c>
      <c r="AN34" s="190">
        <f t="shared" si="101"/>
        <v>0.13000144336318817</v>
      </c>
      <c r="AO34" s="934">
        <f t="shared" si="101"/>
        <v>0.23275615121169355</v>
      </c>
      <c r="AP34" s="935">
        <f t="shared" si="101"/>
        <v>0.25872137533035927</v>
      </c>
      <c r="AQ34" s="181">
        <f t="shared" si="101"/>
        <v>0.25498391376651397</v>
      </c>
      <c r="AR34" s="181">
        <f t="shared" si="101"/>
        <v>0.27323953228528836</v>
      </c>
      <c r="AS34" s="190">
        <f t="shared" si="101"/>
        <v>0.24973383548047667</v>
      </c>
      <c r="AT34" s="934">
        <f t="shared" si="101"/>
        <v>0.25912345401592357</v>
      </c>
      <c r="AU34" s="935">
        <f t="shared" si="101"/>
        <v>0.23721826494037623</v>
      </c>
      <c r="AV34" s="181">
        <f t="shared" si="101"/>
        <v>0.23748386197588095</v>
      </c>
      <c r="AW34" s="181">
        <f t="shared" si="101"/>
        <v>0.22701826841372932</v>
      </c>
      <c r="AX34" s="190">
        <f t="shared" si="101"/>
        <v>0.54217533812336383</v>
      </c>
      <c r="AY34" s="934">
        <f t="shared" si="101"/>
        <v>0.27790396805791445</v>
      </c>
      <c r="AZ34" s="935">
        <f t="shared" si="101"/>
        <v>0.24710167895984819</v>
      </c>
      <c r="BA34" s="181">
        <f t="shared" si="101"/>
        <v>0.2002132340898708</v>
      </c>
      <c r="BB34" s="181">
        <f t="shared" si="101"/>
        <v>0.20689935500916751</v>
      </c>
      <c r="BC34" s="181">
        <f t="shared" si="101"/>
        <v>0.23147028171377337</v>
      </c>
      <c r="BD34" s="992">
        <f t="shared" si="101"/>
        <v>0.22201396484436758</v>
      </c>
      <c r="BE34" s="1692">
        <f t="shared" si="101"/>
        <v>0.21987230646448525</v>
      </c>
      <c r="BF34" s="181">
        <f t="shared" si="101"/>
        <v>0.24404272801972063</v>
      </c>
      <c r="BG34" s="181">
        <f t="shared" si="101"/>
        <v>0.20154753131908623</v>
      </c>
      <c r="BH34" s="181">
        <f t="shared" si="101"/>
        <v>0.19064290260980268</v>
      </c>
      <c r="BI34" s="992">
        <f t="shared" si="101"/>
        <v>0.21220822526861802</v>
      </c>
      <c r="BJ34" s="181">
        <f t="shared" si="101"/>
        <v>0.24832775919732442</v>
      </c>
      <c r="BK34" s="181">
        <f t="shared" si="101"/>
        <v>0.18800648298217179</v>
      </c>
      <c r="BL34" s="181">
        <f t="shared" si="101"/>
        <v>0.18779761904761905</v>
      </c>
      <c r="BM34" s="181">
        <f t="shared" si="101"/>
        <v>0.22470621954714817</v>
      </c>
      <c r="BN34" s="992">
        <f t="shared" si="101"/>
        <v>0.2100438098328736</v>
      </c>
      <c r="BO34" s="181">
        <v>0.18476727785613539</v>
      </c>
      <c r="BP34" s="181">
        <v>0.19438819785941569</v>
      </c>
      <c r="BQ34" s="181">
        <v>0.2225794926759557</v>
      </c>
      <c r="BR34" s="181">
        <v>0.1802030456852792</v>
      </c>
      <c r="BS34" s="1735">
        <v>0.19397617442121826</v>
      </c>
      <c r="BT34" s="1736">
        <f>+BT33/BT32</f>
        <v>0.18476727785613539</v>
      </c>
      <c r="BU34" s="181">
        <f>+BU33/BU32</f>
        <v>0.1821138211382114</v>
      </c>
      <c r="BV34" s="181">
        <f>+BV33/BV32</f>
        <v>0.18731208659049911</v>
      </c>
      <c r="BW34" s="181">
        <f>+BW33/BW32</f>
        <v>0.16388817645550141</v>
      </c>
      <c r="BX34" s="992">
        <f>+BX33/BX32</f>
        <v>0.20153431474186193</v>
      </c>
      <c r="BY34" s="181">
        <v>7.9479368595956792E-2</v>
      </c>
      <c r="BZ34" s="181">
        <v>0.24213649851632046</v>
      </c>
      <c r="CA34" s="181">
        <v>0.14792387543252594</v>
      </c>
      <c r="CB34" s="181">
        <v>0.16456634544106746</v>
      </c>
      <c r="CC34" s="992">
        <v>0.15742273730684328</v>
      </c>
      <c r="CD34" s="181">
        <f>+CD33/CD32</f>
        <v>9.1190108191653782E-2</v>
      </c>
      <c r="CE34" s="181">
        <f>+CE33/CE32</f>
        <v>0.25047284517697921</v>
      </c>
      <c r="CF34" s="181">
        <f>+CF33/CF32</f>
        <v>0.13553500660501983</v>
      </c>
      <c r="CG34" s="181">
        <f>+CG33/CG32</f>
        <v>0.14512221977537987</v>
      </c>
      <c r="CH34" s="1737">
        <v>0.17150000000000001</v>
      </c>
      <c r="CI34" s="711">
        <v>0.20200000000000001</v>
      </c>
      <c r="CJ34" s="711">
        <v>0.22320000000000001</v>
      </c>
      <c r="CK34" s="711">
        <v>0.24199999999999999</v>
      </c>
      <c r="CL34" s="711">
        <v>0.18099999999999999</v>
      </c>
      <c r="CM34" s="992">
        <f>+CM33/CM32</f>
        <v>0.19300075323019875</v>
      </c>
      <c r="CN34" s="711">
        <v>0.23669999999999999</v>
      </c>
      <c r="CO34" s="181">
        <f t="shared" ref="CO34:DU34" si="102">+CO33/CO32</f>
        <v>0.20682001614205003</v>
      </c>
      <c r="CP34" s="181">
        <f t="shared" si="102"/>
        <v>0.18646493559599264</v>
      </c>
      <c r="CQ34" s="181">
        <f t="shared" si="102"/>
        <v>5.326923076923077E-2</v>
      </c>
      <c r="CR34" s="992">
        <f t="shared" si="102"/>
        <v>0.16812207012365782</v>
      </c>
      <c r="CS34" s="181">
        <f t="shared" si="102"/>
        <v>0.17976213686878534</v>
      </c>
      <c r="CT34" s="181">
        <f t="shared" si="102"/>
        <v>0.20297434221277988</v>
      </c>
      <c r="CU34" s="181">
        <f t="shared" si="102"/>
        <v>0.16277915632754342</v>
      </c>
      <c r="CV34" s="181">
        <f t="shared" si="102"/>
        <v>0.22225463030479803</v>
      </c>
      <c r="CW34" s="992">
        <f>+CW33/CW32</f>
        <v>0.19345755693581781</v>
      </c>
      <c r="CX34" s="181">
        <f t="shared" si="102"/>
        <v>0.20428215280832968</v>
      </c>
      <c r="CY34" s="169">
        <f t="shared" si="102"/>
        <v>0.19488233950194198</v>
      </c>
      <c r="CZ34" s="181">
        <f t="shared" si="102"/>
        <v>0.15628524877804237</v>
      </c>
      <c r="DA34" s="181">
        <f t="shared" si="102"/>
        <v>1.3766525318034422</v>
      </c>
      <c r="DB34" s="992">
        <f>+DB33/DB32</f>
        <v>0.53436546169970212</v>
      </c>
      <c r="DC34" s="181">
        <f t="shared" si="102"/>
        <v>0.10831831546998008</v>
      </c>
      <c r="DD34" s="2612">
        <f t="shared" si="102"/>
        <v>0.24199288256227758</v>
      </c>
      <c r="DE34" s="2612">
        <f t="shared" si="102"/>
        <v>8.8366557572151144E-2</v>
      </c>
      <c r="DF34" s="2612">
        <f t="shared" si="102"/>
        <v>0.11159650516282764</v>
      </c>
      <c r="DG34" s="2588">
        <f>+DG33/DG32</f>
        <v>0.1196402486179933</v>
      </c>
      <c r="DH34" s="2612">
        <f t="shared" si="102"/>
        <v>0.18278909894426712</v>
      </c>
      <c r="DI34" s="2612">
        <f t="shared" si="102"/>
        <v>0.18111467852144564</v>
      </c>
      <c r="DJ34" s="2612">
        <f t="shared" si="102"/>
        <v>0.1808066759388039</v>
      </c>
      <c r="DK34" s="2612">
        <f t="shared" si="102"/>
        <v>3.0829596412556052E-3</v>
      </c>
      <c r="DL34" s="2588">
        <f>+DL33/DL32</f>
        <v>0.13329968454258675</v>
      </c>
      <c r="DM34" s="2612">
        <f t="shared" si="102"/>
        <v>0.11873146835116669</v>
      </c>
      <c r="DN34" s="2612">
        <f t="shared" si="102"/>
        <v>0.15923643832306392</v>
      </c>
      <c r="DO34" s="2612">
        <f t="shared" si="102"/>
        <v>0.15809566584325174</v>
      </c>
      <c r="DP34" s="2612">
        <f t="shared" si="102"/>
        <v>0.18524265610787094</v>
      </c>
      <c r="DQ34" s="2588">
        <f>+DQ33/DQ32</f>
        <v>0.16249324071378063</v>
      </c>
      <c r="DR34" s="2612">
        <f t="shared" si="102"/>
        <v>0.15754357938260583</v>
      </c>
      <c r="DS34" s="2612">
        <f t="shared" si="102"/>
        <v>0.15738003183989083</v>
      </c>
      <c r="DT34" s="2612">
        <f t="shared" si="102"/>
        <v>0.17898022892819979</v>
      </c>
      <c r="DU34" s="2612">
        <f t="shared" si="102"/>
        <v>0.15408573067781328</v>
      </c>
      <c r="DV34" s="2588">
        <f t="shared" ref="DV34:EA34" si="103">+DV33/DV32</f>
        <v>0.16202305640663919</v>
      </c>
      <c r="DW34" s="2612">
        <f t="shared" si="103"/>
        <v>0.13193197422625963</v>
      </c>
      <c r="DX34" s="2612">
        <f t="shared" si="103"/>
        <v>0.15840959293152415</v>
      </c>
      <c r="DY34" s="2612">
        <f t="shared" si="103"/>
        <v>0.14310355448777182</v>
      </c>
      <c r="DZ34" s="2612">
        <f t="shared" si="103"/>
        <v>0.20545868081880211</v>
      </c>
      <c r="EA34" s="2588">
        <f t="shared" si="103"/>
        <v>0.1592081650964558</v>
      </c>
      <c r="EB34" s="2612">
        <f>+EB33/EB32</f>
        <v>0.17324910738808019</v>
      </c>
      <c r="EC34" s="2612">
        <f>+EC33/EC32</f>
        <v>0.16139341642697347</v>
      </c>
      <c r="ED34" s="2612">
        <f>+ED33/ED32</f>
        <v>7.1142142756050381E-2</v>
      </c>
      <c r="EE34" s="2612">
        <f t="shared" ref="EE34" si="104">+EE33/EE32</f>
        <v>0.15258889070948714</v>
      </c>
      <c r="EF34" s="2588">
        <f>+EF33/EF32</f>
        <v>0.13908559562280529</v>
      </c>
      <c r="EG34" s="2612">
        <f>+EG33/EG32</f>
        <v>0.16432986049796927</v>
      </c>
      <c r="EH34" s="2612">
        <f>+EH33/EH32</f>
        <v>0.14271714275343908</v>
      </c>
      <c r="EI34" s="2612">
        <f>+EI33/EI32</f>
        <v>0.17047246577934777</v>
      </c>
      <c r="EJ34" s="2612">
        <f t="shared" ref="EJ34" si="105">+EJ33/EJ32</f>
        <v>0.17699965884067859</v>
      </c>
      <c r="EK34" s="2588">
        <f>+EK33/EK32</f>
        <v>0.16439510912657013</v>
      </c>
      <c r="EL34" s="2612">
        <f>+EL33/EL32</f>
        <v>0.173466701763622</v>
      </c>
      <c r="EM34" s="2612">
        <f>+EM33/EM32</f>
        <v>0.16906845843279403</v>
      </c>
      <c r="EN34" s="2612">
        <f>+EN33/EN32</f>
        <v>0.20478777820719757</v>
      </c>
      <c r="EO34" s="2628">
        <v>0.17</v>
      </c>
      <c r="EP34" s="2588">
        <f ca="1">+EP33/EP32</f>
        <v>0.18040176612341971</v>
      </c>
      <c r="EQ34" s="2628">
        <v>0.17</v>
      </c>
      <c r="ER34" s="2628">
        <v>0.17</v>
      </c>
      <c r="ES34" s="2628">
        <v>0.17</v>
      </c>
      <c r="ET34" s="2628">
        <v>0.17</v>
      </c>
      <c r="EU34" s="2588">
        <f ca="1">+EU33/EU32</f>
        <v>0.16999999999999998</v>
      </c>
      <c r="EV34" s="1323">
        <f>ET34</f>
        <v>0.17</v>
      </c>
      <c r="EW34" s="1323">
        <f>EV34</f>
        <v>0.17</v>
      </c>
      <c r="EX34" s="1323">
        <f>EW34</f>
        <v>0.17</v>
      </c>
      <c r="EY34" s="1323">
        <f>EX34</f>
        <v>0.17</v>
      </c>
      <c r="EZ34" s="182"/>
      <c r="FA34" s="1319"/>
      <c r="FB34" s="1319"/>
      <c r="FC34" s="1319"/>
      <c r="FD34" s="1319"/>
      <c r="FE34" s="1319"/>
      <c r="FF34" s="1319"/>
      <c r="FG34" s="1319"/>
      <c r="FH34" s="1319"/>
      <c r="FI34" s="1319"/>
      <c r="FJ34" s="1319"/>
      <c r="FK34" s="1319"/>
      <c r="FL34" s="1319"/>
    </row>
    <row r="35" spans="1:168" s="129" customFormat="1" ht="11.25" customHeight="1">
      <c r="A35" s="3746" t="s">
        <v>392</v>
      </c>
      <c r="B35" s="1832"/>
      <c r="C35" s="1832"/>
      <c r="D35" s="1832"/>
      <c r="E35" s="1833"/>
      <c r="F35" s="1834"/>
      <c r="G35" s="1832"/>
      <c r="H35" s="1832"/>
      <c r="I35" s="1835"/>
      <c r="J35" s="1836"/>
      <c r="K35" s="1834"/>
      <c r="L35" s="1835"/>
      <c r="M35" s="1835"/>
      <c r="N35" s="1835"/>
      <c r="O35" s="1836"/>
      <c r="P35" s="1834"/>
      <c r="Q35" s="1832"/>
      <c r="R35" s="1832"/>
      <c r="S35" s="1832"/>
      <c r="T35" s="1833"/>
      <c r="U35" s="1834"/>
      <c r="V35" s="1837"/>
      <c r="W35" s="1832"/>
      <c r="X35" s="1832"/>
      <c r="Y35" s="1833"/>
      <c r="Z35" s="1834"/>
      <c r="AA35" s="1837"/>
      <c r="AB35" s="1832"/>
      <c r="AC35" s="1832"/>
      <c r="AD35" s="1833"/>
      <c r="AE35" s="1834"/>
      <c r="AF35" s="1837"/>
      <c r="AG35" s="1832"/>
      <c r="AH35" s="1832"/>
      <c r="AI35" s="1833"/>
      <c r="AJ35" s="1834"/>
      <c r="AK35" s="1837"/>
      <c r="AL35" s="1832"/>
      <c r="AM35" s="1832"/>
      <c r="AN35" s="1833"/>
      <c r="AO35" s="1834"/>
      <c r="AP35" s="1837"/>
      <c r="AQ35" s="1832"/>
      <c r="AR35" s="1832"/>
      <c r="AS35" s="1833"/>
      <c r="AT35" s="1834"/>
      <c r="AU35" s="1837"/>
      <c r="AV35" s="1832"/>
      <c r="AW35" s="1832"/>
      <c r="AX35" s="1833"/>
      <c r="AY35" s="1834"/>
      <c r="AZ35" s="1837"/>
      <c r="BA35" s="1832"/>
      <c r="BB35" s="1832"/>
      <c r="BC35" s="1832"/>
      <c r="BD35" s="1838"/>
      <c r="BE35" s="1839"/>
      <c r="BF35" s="1832"/>
      <c r="BG35" s="1832"/>
      <c r="BH35" s="1832"/>
      <c r="BI35" s="5499"/>
      <c r="BJ35" s="5500"/>
      <c r="BK35" s="5500"/>
      <c r="BL35" s="5500"/>
      <c r="BM35" s="5500"/>
      <c r="BN35" s="5499"/>
      <c r="BO35" s="5500"/>
      <c r="BP35" s="5500"/>
      <c r="BQ35" s="5500"/>
      <c r="BR35" s="5501">
        <v>-21</v>
      </c>
      <c r="BS35" s="5502">
        <v>-21</v>
      </c>
      <c r="BT35" s="5500"/>
      <c r="BU35" s="5503">
        <v>-199</v>
      </c>
      <c r="BV35" s="5503">
        <v>-523</v>
      </c>
      <c r="BW35" s="5503">
        <v>-355</v>
      </c>
      <c r="BX35" s="5504">
        <v>-816</v>
      </c>
      <c r="BY35" s="5503">
        <v>22</v>
      </c>
      <c r="BZ35" s="5503">
        <v>674</v>
      </c>
      <c r="CA35" s="5503">
        <v>15</v>
      </c>
      <c r="CB35" s="5503">
        <v>-5</v>
      </c>
      <c r="CC35" s="5505">
        <v>706</v>
      </c>
      <c r="CD35" s="5503">
        <v>-182</v>
      </c>
      <c r="CE35" s="5503">
        <v>454</v>
      </c>
      <c r="CF35" s="5503">
        <v>-302</v>
      </c>
      <c r="CG35" s="5503">
        <v>-506</v>
      </c>
      <c r="CH35" s="5504">
        <v>-427</v>
      </c>
      <c r="CI35" s="5506">
        <v>-198</v>
      </c>
      <c r="CJ35" s="5503">
        <v>-68</v>
      </c>
      <c r="CK35" s="5503">
        <v>-185</v>
      </c>
      <c r="CL35" s="5503">
        <v>967</v>
      </c>
      <c r="CM35" s="5504">
        <v>516</v>
      </c>
      <c r="CN35" s="5506">
        <v>0</v>
      </c>
      <c r="CO35" s="5503">
        <v>0</v>
      </c>
      <c r="CP35" s="5503">
        <v>0</v>
      </c>
      <c r="CQ35" s="5503">
        <v>0</v>
      </c>
      <c r="CR35" s="5499">
        <f>SUM(CN35:CQ35)</f>
        <v>0</v>
      </c>
      <c r="CS35" s="5507">
        <v>0</v>
      </c>
      <c r="CT35" s="5503">
        <v>0</v>
      </c>
      <c r="CU35" s="5503">
        <v>0</v>
      </c>
      <c r="CV35" s="5508">
        <v>0</v>
      </c>
      <c r="CW35" s="5509">
        <f>SUM(CS35:CV35)</f>
        <v>0</v>
      </c>
      <c r="CX35" s="5500">
        <v>0</v>
      </c>
      <c r="CY35" s="5500">
        <v>0</v>
      </c>
      <c r="CZ35" s="5500">
        <v>0</v>
      </c>
      <c r="DA35" s="5508">
        <v>0</v>
      </c>
      <c r="DB35" s="5509">
        <f>SUM(CX35:DA35)</f>
        <v>0</v>
      </c>
      <c r="DC35" s="5500"/>
      <c r="DD35" s="5500"/>
      <c r="DE35" s="5500"/>
      <c r="DF35" s="5500"/>
      <c r="DG35" s="5509"/>
      <c r="DH35" s="5500"/>
      <c r="DI35" s="5500"/>
      <c r="DJ35" s="5500"/>
      <c r="DK35" s="5500"/>
      <c r="DL35" s="5509"/>
      <c r="DM35" s="5500"/>
      <c r="DN35" s="5500"/>
      <c r="DO35" s="5500"/>
      <c r="DP35" s="5500"/>
      <c r="DQ35" s="5509"/>
      <c r="DR35" s="5500"/>
      <c r="DS35" s="5500"/>
      <c r="DT35" s="5500"/>
      <c r="DU35" s="5500"/>
      <c r="DV35" s="5509"/>
      <c r="DW35" s="5500"/>
      <c r="DX35" s="5500"/>
      <c r="DY35" s="5500"/>
      <c r="DZ35" s="5500"/>
      <c r="EA35" s="5509"/>
      <c r="EB35" s="5500"/>
      <c r="EC35" s="5500"/>
      <c r="ED35" s="5500"/>
      <c r="EE35" s="5500"/>
      <c r="EF35" s="5509"/>
      <c r="EG35" s="5500"/>
      <c r="EH35" s="5500"/>
      <c r="EI35" s="5500"/>
      <c r="EJ35" s="5500"/>
      <c r="EK35" s="5072"/>
      <c r="EL35" s="5500"/>
      <c r="EM35" s="5500"/>
      <c r="EN35" s="5500"/>
      <c r="EO35" s="150"/>
      <c r="EP35" s="5072"/>
      <c r="EQ35" s="150"/>
      <c r="ER35" s="150"/>
      <c r="ES35" s="150"/>
      <c r="ET35" s="150"/>
      <c r="EU35" s="5072"/>
      <c r="EV35" s="5072"/>
      <c r="EW35" s="5072"/>
      <c r="EX35" s="5072"/>
      <c r="EY35" s="5072"/>
      <c r="EZ35" s="150"/>
      <c r="FA35" s="1100"/>
      <c r="FB35" s="1100"/>
      <c r="FC35" s="1100"/>
      <c r="FD35" s="1100"/>
      <c r="FE35" s="1100"/>
      <c r="FF35" s="1100"/>
      <c r="FG35" s="1100"/>
      <c r="FH35" s="1100"/>
      <c r="FI35" s="1100"/>
      <c r="FJ35" s="1100"/>
      <c r="FK35" s="1100"/>
      <c r="FL35" s="1100"/>
    </row>
    <row r="36" spans="1:168" s="297" customFormat="1" ht="11.25" customHeight="1">
      <c r="A36" s="3741" t="s">
        <v>189</v>
      </c>
      <c r="B36" s="3436"/>
      <c r="C36" s="3436"/>
      <c r="D36" s="3436"/>
      <c r="E36" s="3437"/>
      <c r="F36" s="3438">
        <f>F32-F33</f>
        <v>-6.0759999999999996</v>
      </c>
      <c r="G36" s="3436"/>
      <c r="H36" s="3436"/>
      <c r="I36" s="3436"/>
      <c r="J36" s="3437"/>
      <c r="K36" s="3438">
        <f>K32-K33</f>
        <v>-14.689999999999998</v>
      </c>
      <c r="L36" s="3436"/>
      <c r="M36" s="3436"/>
      <c r="N36" s="3436"/>
      <c r="O36" s="3437"/>
      <c r="P36" s="3438">
        <f t="shared" ref="P36:AU36" si="106">P32-P33</f>
        <v>6.9850000000000119</v>
      </c>
      <c r="Q36" s="3436">
        <f t="shared" si="106"/>
        <v>7.9259999999999939</v>
      </c>
      <c r="R36" s="3436">
        <f t="shared" si="106"/>
        <v>16.593000000000011</v>
      </c>
      <c r="S36" s="3436">
        <f t="shared" si="106"/>
        <v>30.307000000000006</v>
      </c>
      <c r="T36" s="3437">
        <f t="shared" si="106"/>
        <v>44.829999999999991</v>
      </c>
      <c r="U36" s="3438">
        <f t="shared" si="106"/>
        <v>99.65600000000002</v>
      </c>
      <c r="V36" s="3436">
        <f t="shared" si="106"/>
        <v>25.800000000000004</v>
      </c>
      <c r="W36" s="3436">
        <f t="shared" si="106"/>
        <v>32.167999999999992</v>
      </c>
      <c r="X36" s="3436">
        <f t="shared" si="106"/>
        <v>20.426000000000037</v>
      </c>
      <c r="Y36" s="3437">
        <f t="shared" si="106"/>
        <v>27.253999999999955</v>
      </c>
      <c r="Z36" s="3438">
        <f t="shared" si="106"/>
        <v>105.648</v>
      </c>
      <c r="AA36" s="3436">
        <f t="shared" si="106"/>
        <v>63.973000000000042</v>
      </c>
      <c r="AB36" s="3436">
        <f t="shared" si="106"/>
        <v>79.062999999999974</v>
      </c>
      <c r="AC36" s="3436">
        <f t="shared" si="106"/>
        <v>51.982999999999983</v>
      </c>
      <c r="AD36" s="3437">
        <f t="shared" si="106"/>
        <v>204.10000000000002</v>
      </c>
      <c r="AE36" s="3438">
        <f t="shared" si="106"/>
        <v>399.11900000000003</v>
      </c>
      <c r="AF36" s="3439">
        <f t="shared" si="106"/>
        <v>369.1930000000001</v>
      </c>
      <c r="AG36" s="3436">
        <f t="shared" si="106"/>
        <v>342.81399999999985</v>
      </c>
      <c r="AH36" s="3436">
        <f t="shared" si="106"/>
        <v>381.18199999999996</v>
      </c>
      <c r="AI36" s="3437">
        <f t="shared" si="106"/>
        <v>372.20799999999997</v>
      </c>
      <c r="AJ36" s="3438">
        <f t="shared" si="106"/>
        <v>1465.3970000000002</v>
      </c>
      <c r="AK36" s="3436">
        <f t="shared" si="106"/>
        <v>592.29100000000028</v>
      </c>
      <c r="AL36" s="3436">
        <f t="shared" si="106"/>
        <v>721.07699999999988</v>
      </c>
      <c r="AM36" s="3436">
        <f t="shared" si="106"/>
        <v>733.36099999999954</v>
      </c>
      <c r="AN36" s="3437">
        <f t="shared" si="106"/>
        <v>1030.7159999999999</v>
      </c>
      <c r="AO36" s="3438">
        <f t="shared" si="106"/>
        <v>3077.4449999999997</v>
      </c>
      <c r="AP36" s="3436">
        <f t="shared" si="106"/>
        <v>1002.1620000000004</v>
      </c>
      <c r="AQ36" s="3436">
        <f t="shared" si="106"/>
        <v>925.12000000000035</v>
      </c>
      <c r="AR36" s="3436">
        <f t="shared" si="106"/>
        <v>1069.9839999999999</v>
      </c>
      <c r="AS36" s="3437">
        <f t="shared" si="106"/>
        <v>1206.4490000000003</v>
      </c>
      <c r="AT36" s="3438">
        <f t="shared" si="106"/>
        <v>4203.7150000000001</v>
      </c>
      <c r="AU36" s="3436">
        <f t="shared" si="106"/>
        <v>1307.086</v>
      </c>
      <c r="AV36" s="3436">
        <f t="shared" ref="AV36:BV36" si="107">AV32-AV33</f>
        <v>1247.3910000000003</v>
      </c>
      <c r="AW36" s="3436">
        <f t="shared" si="107"/>
        <v>1289.9379999999996</v>
      </c>
      <c r="AX36" s="3437">
        <f t="shared" si="107"/>
        <v>382.44200000000092</v>
      </c>
      <c r="AY36" s="3438">
        <f t="shared" si="107"/>
        <v>4226.8570000000009</v>
      </c>
      <c r="AZ36" s="3436">
        <f t="shared" si="107"/>
        <v>1422.8279999999997</v>
      </c>
      <c r="BA36" s="3436">
        <f t="shared" si="107"/>
        <v>1484.5449999999996</v>
      </c>
      <c r="BB36" s="3436">
        <f t="shared" si="107"/>
        <v>1638.9749999999997</v>
      </c>
      <c r="BC36" s="3436">
        <f t="shared" si="107"/>
        <v>1974.1000000000004</v>
      </c>
      <c r="BD36" s="3440">
        <f t="shared" si="107"/>
        <v>6520.4479999999985</v>
      </c>
      <c r="BE36" s="3441">
        <f t="shared" si="107"/>
        <v>1955</v>
      </c>
      <c r="BF36" s="3436">
        <f t="shared" si="107"/>
        <v>1840</v>
      </c>
      <c r="BG36" s="3436">
        <f t="shared" si="107"/>
        <v>2167</v>
      </c>
      <c r="BH36" s="3436">
        <f t="shared" si="107"/>
        <v>2543</v>
      </c>
      <c r="BI36" s="5510">
        <f t="shared" si="107"/>
        <v>8505</v>
      </c>
      <c r="BJ36" s="5511">
        <f t="shared" si="107"/>
        <v>1798</v>
      </c>
      <c r="BK36" s="5511">
        <f t="shared" si="107"/>
        <v>2505</v>
      </c>
      <c r="BL36" s="5511">
        <f t="shared" si="107"/>
        <v>2729</v>
      </c>
      <c r="BM36" s="5511">
        <f t="shared" si="107"/>
        <v>2705</v>
      </c>
      <c r="BN36" s="5510">
        <f t="shared" si="107"/>
        <v>9737</v>
      </c>
      <c r="BO36" s="5511">
        <v>2890</v>
      </c>
      <c r="BP36" s="5511">
        <v>2785</v>
      </c>
      <c r="BQ36" s="5511">
        <v>2176</v>
      </c>
      <c r="BR36" s="5512">
        <v>2886</v>
      </c>
      <c r="BS36" s="5513">
        <v>10737</v>
      </c>
      <c r="BT36" s="5511">
        <f t="shared" si="107"/>
        <v>2890</v>
      </c>
      <c r="BU36" s="5511">
        <f>BU32-BU33</f>
        <v>3018</v>
      </c>
      <c r="BV36" s="5511">
        <f t="shared" si="107"/>
        <v>2703</v>
      </c>
      <c r="BW36" s="5511">
        <f>BW32-BW33+BW35</f>
        <v>2905</v>
      </c>
      <c r="BX36" s="5510">
        <f>BX32-BX33+BX35</f>
        <v>10737</v>
      </c>
      <c r="BY36" s="5511">
        <v>3346</v>
      </c>
      <c r="BZ36" s="5511">
        <v>3228</v>
      </c>
      <c r="CA36" s="5511">
        <v>2970</v>
      </c>
      <c r="CB36" s="5511">
        <v>3376</v>
      </c>
      <c r="CC36" s="5510">
        <v>12920</v>
      </c>
      <c r="CD36" s="5511">
        <f t="shared" ref="CD36:CR36" si="108">CD32-CD33+CD35</f>
        <v>3346</v>
      </c>
      <c r="CE36" s="5511">
        <f t="shared" si="108"/>
        <v>3228</v>
      </c>
      <c r="CF36" s="5511">
        <f t="shared" si="108"/>
        <v>2970</v>
      </c>
      <c r="CG36" s="5511">
        <f t="shared" si="108"/>
        <v>3376</v>
      </c>
      <c r="CH36" s="5510">
        <f t="shared" si="108"/>
        <v>12920</v>
      </c>
      <c r="CI36" s="5511">
        <f t="shared" si="108"/>
        <v>3370.6559999999999</v>
      </c>
      <c r="CJ36" s="5511">
        <f t="shared" si="108"/>
        <v>3352.2503999999999</v>
      </c>
      <c r="CK36" s="5511">
        <f>CK32-CK33+CK35</f>
        <v>2738.6059999999998</v>
      </c>
      <c r="CL36" s="5511">
        <f>CL32-CL33+CL35</f>
        <v>4674.6130000000003</v>
      </c>
      <c r="CM36" s="5510">
        <f t="shared" si="108"/>
        <v>14444</v>
      </c>
      <c r="CN36" s="5511">
        <f>CN32-CN33+CN35</f>
        <v>3514.2332000000001</v>
      </c>
      <c r="CO36" s="5511">
        <f>CO32-CO33+CO35</f>
        <v>3931</v>
      </c>
      <c r="CP36" s="5511">
        <f>CP32-CP33+CP35</f>
        <v>3979</v>
      </c>
      <c r="CQ36" s="5511">
        <f>CQ32-CQ33+CQ35</f>
        <v>4923</v>
      </c>
      <c r="CR36" s="5510">
        <f t="shared" si="108"/>
        <v>16347.233200000001</v>
      </c>
      <c r="CS36" s="5511">
        <f t="shared" ref="CS36:CX36" si="109">CS32-CS33+CS35</f>
        <v>4207</v>
      </c>
      <c r="CT36" s="5511">
        <f t="shared" si="109"/>
        <v>4877</v>
      </c>
      <c r="CU36" s="5511">
        <f t="shared" si="109"/>
        <v>5061</v>
      </c>
      <c r="CV36" s="5511">
        <f t="shared" si="109"/>
        <v>5333</v>
      </c>
      <c r="CW36" s="5510">
        <f t="shared" si="109"/>
        <v>19478</v>
      </c>
      <c r="CX36" s="5511">
        <f t="shared" si="109"/>
        <v>5426</v>
      </c>
      <c r="CY36" s="5511">
        <f t="shared" ref="CY36:DK36" si="110">CY32-CY33+CY35</f>
        <v>3524</v>
      </c>
      <c r="CZ36" s="5511">
        <f t="shared" si="110"/>
        <v>6732</v>
      </c>
      <c r="DA36" s="5511">
        <f t="shared" si="110"/>
        <v>-3020</v>
      </c>
      <c r="DB36" s="5510">
        <f t="shared" si="110"/>
        <v>12662</v>
      </c>
      <c r="DC36" s="5511">
        <f t="shared" si="110"/>
        <v>9401</v>
      </c>
      <c r="DD36" s="5511">
        <f t="shared" si="110"/>
        <v>3195</v>
      </c>
      <c r="DE36" s="5511">
        <f t="shared" si="110"/>
        <v>9192</v>
      </c>
      <c r="DF36" s="5511">
        <f t="shared" si="110"/>
        <v>8948</v>
      </c>
      <c r="DG36" s="5510">
        <f t="shared" si="110"/>
        <v>30736</v>
      </c>
      <c r="DH36" s="5511">
        <f t="shared" si="110"/>
        <v>6657</v>
      </c>
      <c r="DI36" s="5511">
        <f t="shared" si="110"/>
        <v>9947</v>
      </c>
      <c r="DJ36" s="5511">
        <f t="shared" si="110"/>
        <v>7068</v>
      </c>
      <c r="DK36" s="5511">
        <f t="shared" si="110"/>
        <v>10671</v>
      </c>
      <c r="DL36" s="5510">
        <f>DL32-DL33+DL35</f>
        <v>34343</v>
      </c>
      <c r="DM36" s="5511">
        <f>DM32-DM33+DM35</f>
        <v>6836</v>
      </c>
      <c r="DN36" s="5511">
        <f>DN32-DN33+DN35</f>
        <v>6959</v>
      </c>
      <c r="DO36" s="5511">
        <f>DO32-DO33+DO35</f>
        <v>11247</v>
      </c>
      <c r="DP36" s="5511">
        <f>DP32-DP33+DP35</f>
        <v>15227</v>
      </c>
      <c r="DQ36" s="5510">
        <f t="shared" ref="DQ36:DV36" si="111">DQ32-DQ33+DQ35</f>
        <v>40269</v>
      </c>
      <c r="DR36" s="5511">
        <f t="shared" si="111"/>
        <v>17930</v>
      </c>
      <c r="DS36" s="5511">
        <f t="shared" si="111"/>
        <v>18525</v>
      </c>
      <c r="DT36" s="5511">
        <f t="shared" si="111"/>
        <v>18936</v>
      </c>
      <c r="DU36" s="5511">
        <f t="shared" si="111"/>
        <v>20642</v>
      </c>
      <c r="DV36" s="5510">
        <f t="shared" si="111"/>
        <v>76033</v>
      </c>
      <c r="DW36" s="5511">
        <f t="shared" ref="DW36:EW36" si="112">DW32-DW33+DW35</f>
        <v>16436</v>
      </c>
      <c r="DX36" s="5511">
        <f t="shared" si="112"/>
        <v>16002</v>
      </c>
      <c r="DY36" s="5511">
        <f t="shared" si="112"/>
        <v>13910</v>
      </c>
      <c r="DZ36" s="5511">
        <f t="shared" si="112"/>
        <v>13624</v>
      </c>
      <c r="EA36" s="5510">
        <f t="shared" si="112"/>
        <v>59972</v>
      </c>
      <c r="EB36" s="5511">
        <f t="shared" si="112"/>
        <v>15051</v>
      </c>
      <c r="EC36" s="5511">
        <f t="shared" si="112"/>
        <v>18368</v>
      </c>
      <c r="ED36" s="5511">
        <f t="shared" si="112"/>
        <v>19689</v>
      </c>
      <c r="EE36" s="5511">
        <f t="shared" ref="EE36" si="113">EE32-EE33+EE35</f>
        <v>20687</v>
      </c>
      <c r="EF36" s="5510">
        <f t="shared" si="112"/>
        <v>73795</v>
      </c>
      <c r="EG36" s="5511">
        <f t="shared" ref="EG36:EJ36" si="114">EG32-EG33+EG35</f>
        <v>23662</v>
      </c>
      <c r="EH36" s="5511">
        <f t="shared" si="114"/>
        <v>23619</v>
      </c>
      <c r="EI36" s="5511">
        <f t="shared" si="114"/>
        <v>26301</v>
      </c>
      <c r="EJ36" s="5511">
        <f t="shared" si="114"/>
        <v>26536</v>
      </c>
      <c r="EK36" s="3440">
        <f t="shared" si="112"/>
        <v>100118</v>
      </c>
      <c r="EL36" s="5511">
        <f t="shared" si="112"/>
        <v>34540</v>
      </c>
      <c r="EM36" s="5511">
        <f t="shared" si="112"/>
        <v>28196</v>
      </c>
      <c r="EN36" s="5511">
        <f t="shared" si="112"/>
        <v>34979</v>
      </c>
      <c r="EO36" s="3436">
        <f t="shared" ref="EO36:EP36" ca="1" si="115">EO32-EO33+EO35</f>
        <v>31780.808062477692</v>
      </c>
      <c r="EP36" s="3440">
        <f t="shared" ca="1" si="115"/>
        <v>129495.80806247771</v>
      </c>
      <c r="EQ36" s="3436">
        <f t="shared" ref="EQ36:EU36" ca="1" si="116">EQ32-EQ33+EQ35</f>
        <v>31591.327810553536</v>
      </c>
      <c r="ER36" s="3436">
        <f t="shared" ca="1" si="116"/>
        <v>32998.00399984001</v>
      </c>
      <c r="ES36" s="3436">
        <f t="shared" ca="1" si="116"/>
        <v>33902.076029746226</v>
      </c>
      <c r="ET36" s="3436">
        <f t="shared" ca="1" si="116"/>
        <v>36794.203870945021</v>
      </c>
      <c r="EU36" s="3440">
        <f t="shared" ca="1" si="116"/>
        <v>135285.61171108478</v>
      </c>
      <c r="EV36" s="3440">
        <f t="shared" ca="1" si="112"/>
        <v>150579.13356022601</v>
      </c>
      <c r="EW36" s="3440">
        <f t="shared" ca="1" si="112"/>
        <v>170831.20794115632</v>
      </c>
      <c r="EX36" s="3440">
        <f t="shared" ref="EX36:EY36" ca="1" si="117">EX32-EX33+EX35</f>
        <v>193292.87449974922</v>
      </c>
      <c r="EY36" s="3440">
        <f t="shared" ca="1" si="117"/>
        <v>219353.87543318333</v>
      </c>
      <c r="EZ36" s="621"/>
      <c r="FA36" s="1319">
        <f>(EA36/DL36)^(1/3)-1</f>
        <v>0.20421334066598074</v>
      </c>
      <c r="FB36" s="1319">
        <f>(EF36/DQ36)^(1/3)-1</f>
        <v>0.22372931548442154</v>
      </c>
      <c r="FC36" s="1319">
        <f>(EK36/DV36)^(1/3)-1</f>
        <v>9.6065933027534411E-2</v>
      </c>
      <c r="FD36" s="1319">
        <f ca="1">(EP36/EA36)^(1/3)-1</f>
        <v>0.29251539876773558</v>
      </c>
      <c r="FE36" s="1319">
        <f t="shared" ref="FE36:FE37" ca="1" si="118">(EU36/EF36)^(1/3)-1</f>
        <v>0.2238876644029788</v>
      </c>
      <c r="FF36" s="1319">
        <f ca="1">(EV36/EK36)^(1/3)-1</f>
        <v>0.14573507740331104</v>
      </c>
      <c r="FG36" s="1319">
        <f>(EK36/DL36)^(1/5)-1</f>
        <v>0.23861058497103316</v>
      </c>
      <c r="FH36" s="1319">
        <f ca="1">(EP36/DQ36)^(1/5)-1</f>
        <v>0.26315595259785907</v>
      </c>
      <c r="FI36" s="1319">
        <f ca="1">(EU36/DV36)^(1/5)-1</f>
        <v>0.12214737177754653</v>
      </c>
      <c r="FJ36" s="1319">
        <f ca="1">(EV36/EA36)^(1/5)-1</f>
        <v>0.20216270969087979</v>
      </c>
      <c r="FK36" s="1319">
        <f t="shared" ref="FK36:FK37" ca="1" si="119">(EW36/EF36)^(1/5)-1</f>
        <v>0.18279111893987898</v>
      </c>
      <c r="FL36" s="1319">
        <f ca="1">(EX36/EK36)^(1/5)-1</f>
        <v>0.1406193525205941</v>
      </c>
    </row>
    <row r="37" spans="1:168" s="298" customFormat="1" ht="11.25" customHeight="1">
      <c r="A37" s="3747" t="s">
        <v>686</v>
      </c>
      <c r="B37" s="3276"/>
      <c r="C37" s="3276"/>
      <c r="D37" s="3276"/>
      <c r="E37" s="3429"/>
      <c r="F37" s="3430">
        <f>F36/F38</f>
        <v>-7.1574979385086567E-3</v>
      </c>
      <c r="G37" s="3276"/>
      <c r="H37" s="3276"/>
      <c r="I37" s="3276"/>
      <c r="J37" s="3429"/>
      <c r="K37" s="3430">
        <f>K36/K38</f>
        <v>-1.0957453156701276E-2</v>
      </c>
      <c r="L37" s="3276"/>
      <c r="M37" s="3276"/>
      <c r="N37" s="3276"/>
      <c r="O37" s="3429"/>
      <c r="P37" s="3430">
        <f>P36/P38</f>
        <v>1.8698869233734559E-3</v>
      </c>
      <c r="Q37" s="3276">
        <f t="shared" ref="Q37:AV37" si="120">+Q36/Q38</f>
        <v>1.9814999999999985E-3</v>
      </c>
      <c r="R37" s="3276">
        <f t="shared" si="120"/>
        <v>3.8678321678321703E-3</v>
      </c>
      <c r="S37" s="3276">
        <f t="shared" si="120"/>
        <v>6.5884782608695664E-3</v>
      </c>
      <c r="T37" s="3429">
        <f t="shared" si="120"/>
        <v>9.4168802251816987E-3</v>
      </c>
      <c r="U37" s="3430">
        <f t="shared" si="120"/>
        <v>2.2584110264556985E-2</v>
      </c>
      <c r="V37" s="3431">
        <f t="shared" si="120"/>
        <v>5.1872434023491386E-3</v>
      </c>
      <c r="W37" s="3276">
        <f t="shared" si="120"/>
        <v>6.2495871557850637E-3</v>
      </c>
      <c r="X37" s="3276">
        <f t="shared" si="120"/>
        <v>3.9683557337747448E-3</v>
      </c>
      <c r="Y37" s="3429">
        <f t="shared" si="120"/>
        <v>5.1900320306519166E-3</v>
      </c>
      <c r="Z37" s="3430">
        <f t="shared" si="120"/>
        <v>2.058307811002268E-2</v>
      </c>
      <c r="AA37" s="3431">
        <f t="shared" si="120"/>
        <v>1.2107705643436566E-2</v>
      </c>
      <c r="AB37" s="3276">
        <f t="shared" si="120"/>
        <v>1.4844723995493799E-2</v>
      </c>
      <c r="AC37" s="3276">
        <f t="shared" si="120"/>
        <v>9.460571095783207E-3</v>
      </c>
      <c r="AD37" s="3429">
        <f t="shared" si="120"/>
        <v>3.5688806199815348E-2</v>
      </c>
      <c r="AE37" s="3430">
        <f t="shared" si="120"/>
        <v>7.3154856932334519E-2</v>
      </c>
      <c r="AF37" s="3431">
        <f t="shared" si="120"/>
        <v>6.4406410059592772E-2</v>
      </c>
      <c r="AG37" s="3276">
        <f t="shared" si="120"/>
        <v>5.9674207451660265E-2</v>
      </c>
      <c r="AH37" s="3276">
        <f t="shared" si="120"/>
        <v>6.5795224270125269E-2</v>
      </c>
      <c r="AI37" s="3429">
        <f t="shared" si="120"/>
        <v>6.1224060110799679E-2</v>
      </c>
      <c r="AJ37" s="3430">
        <f t="shared" si="120"/>
        <v>0.25103268108214599</v>
      </c>
      <c r="AK37" s="3276">
        <f t="shared" si="120"/>
        <v>9.737688369508396E-2</v>
      </c>
      <c r="AL37" s="3276">
        <f t="shared" si="120"/>
        <v>0.11628848721769587</v>
      </c>
      <c r="AM37" s="3276">
        <f t="shared" si="120"/>
        <v>0.11806542080148363</v>
      </c>
      <c r="AN37" s="3429">
        <f t="shared" si="120"/>
        <v>0.16441001853511941</v>
      </c>
      <c r="AO37" s="3430">
        <f t="shared" si="120"/>
        <v>0.49708607859511517</v>
      </c>
      <c r="AP37" s="3276">
        <f t="shared" si="120"/>
        <v>0.15913900975005565</v>
      </c>
      <c r="AQ37" s="3276">
        <f t="shared" si="120"/>
        <v>0.14662613442208272</v>
      </c>
      <c r="AR37" s="3276">
        <f t="shared" si="120"/>
        <v>0.16899322753462043</v>
      </c>
      <c r="AS37" s="3429">
        <f t="shared" si="120"/>
        <v>0.1897379885193049</v>
      </c>
      <c r="AT37" s="3430">
        <f t="shared" si="120"/>
        <v>0.66470304544448311</v>
      </c>
      <c r="AU37" s="3276">
        <f t="shared" si="120"/>
        <v>0.20591035690880677</v>
      </c>
      <c r="AV37" s="3276">
        <f t="shared" si="120"/>
        <v>0.19611647585237549</v>
      </c>
      <c r="AW37" s="3276">
        <f t="shared" ref="AW37:BN37" si="121">+AW36/AW38</f>
        <v>0.20296340818689887</v>
      </c>
      <c r="AX37" s="3429">
        <f t="shared" si="121"/>
        <v>6.0347972631791716E-2</v>
      </c>
      <c r="AY37" s="3430">
        <f t="shared" si="121"/>
        <v>0.66561794567951804</v>
      </c>
      <c r="AZ37" s="3276">
        <f t="shared" si="121"/>
        <v>0.22426447177204531</v>
      </c>
      <c r="BA37" s="3276">
        <f t="shared" si="121"/>
        <v>0.23302625134992583</v>
      </c>
      <c r="BB37" s="3276">
        <f t="shared" si="121"/>
        <v>0.25629327653825218</v>
      </c>
      <c r="BC37" s="3276">
        <f t="shared" si="121"/>
        <v>0.30638217299938236</v>
      </c>
      <c r="BD37" s="3432">
        <f t="shared" si="121"/>
        <v>1.020681148281319</v>
      </c>
      <c r="BE37" s="3433">
        <f t="shared" si="121"/>
        <v>0.30299930565888011</v>
      </c>
      <c r="BF37" s="3276">
        <f t="shared" si="121"/>
        <v>0.28528370223823674</v>
      </c>
      <c r="BG37" s="3276">
        <f t="shared" si="121"/>
        <v>0.33609717814856516</v>
      </c>
      <c r="BH37" s="3276">
        <f t="shared" si="121"/>
        <v>0.39058660178904941</v>
      </c>
      <c r="BI37" s="3432">
        <f t="shared" si="121"/>
        <v>1.3155381216033633</v>
      </c>
      <c r="BJ37" s="3276">
        <f t="shared" si="121"/>
        <v>0.27544326757214682</v>
      </c>
      <c r="BK37" s="3276">
        <f t="shared" si="121"/>
        <v>0.3841600314075746</v>
      </c>
      <c r="BL37" s="3276">
        <f t="shared" si="121"/>
        <v>0.41671883923417791</v>
      </c>
      <c r="BM37" s="3276">
        <f t="shared" si="121"/>
        <v>0.41109172588616477</v>
      </c>
      <c r="BN37" s="3432">
        <f t="shared" si="121"/>
        <v>1.4878596641352013</v>
      </c>
      <c r="BO37" s="3276">
        <v>8.7539680616473206</v>
      </c>
      <c r="BP37" s="3276">
        <v>8.4191624369318578</v>
      </c>
      <c r="BQ37" s="3276">
        <v>6.5283786459614657</v>
      </c>
      <c r="BR37" s="3429">
        <v>8.6155168862339817</v>
      </c>
      <c r="BS37" s="3434">
        <v>32.31067844299664</v>
      </c>
      <c r="BT37" s="3276">
        <f>+BT36/BT38</f>
        <v>0.21884920154118298</v>
      </c>
      <c r="BU37" s="3276">
        <f>+BU36/BU38</f>
        <v>0.22808826063429397</v>
      </c>
      <c r="BV37" s="3276">
        <f>+BV36/BV38</f>
        <v>0.20273675873200644</v>
      </c>
      <c r="BW37" s="3276">
        <f>+BW36/BW38</f>
        <v>0.21680592995937037</v>
      </c>
      <c r="BX37" s="3432">
        <f>+BX36/BX38</f>
        <v>0.80776696107491608</v>
      </c>
      <c r="BY37" s="3276">
        <v>9.9387221048942109</v>
      </c>
      <c r="BZ37" s="3276">
        <v>9.5407833018558428</v>
      </c>
      <c r="CA37" s="3276">
        <v>8.7549928515630757</v>
      </c>
      <c r="CB37" s="3276">
        <v>9.900206156544078</v>
      </c>
      <c r="CC37" s="3432">
        <v>38.133523410648166</v>
      </c>
      <c r="CD37" s="3276">
        <f>+CD36/CD38</f>
        <v>0.24846805262235527</v>
      </c>
      <c r="CE37" s="3276">
        <f>+CE36/CE38</f>
        <v>0.23851958254639605</v>
      </c>
      <c r="CF37" s="3276">
        <f>+CF36/CF38</f>
        <v>0.2188748212890769</v>
      </c>
      <c r="CG37" s="3276">
        <f>+CG36/CG38</f>
        <v>0.24750515391360195</v>
      </c>
      <c r="CH37" s="3432">
        <f>+CH$36/CH38</f>
        <v>0.95333949216225067</v>
      </c>
      <c r="CI37" s="3276">
        <f>+CI36/CI38</f>
        <v>0.24595716362235337</v>
      </c>
      <c r="CJ37" s="3276">
        <f>+CJ36/CJ38</f>
        <v>0.24420389793738881</v>
      </c>
      <c r="CK37" s="3276">
        <f>+CK36/CK38</f>
        <v>0.19896442245519202</v>
      </c>
      <c r="CL37" s="3276">
        <f>+CL36/CL38</f>
        <v>0.33948250594415907</v>
      </c>
      <c r="CM37" s="3432">
        <f>+CM$36/CM38</f>
        <v>1.0511301614100454</v>
      </c>
      <c r="CN37" s="3276">
        <f>+CN36/CN38</f>
        <v>0.25483998503258892</v>
      </c>
      <c r="CO37" s="3276">
        <f>+CO36/CO38</f>
        <v>0.28449306534583529</v>
      </c>
      <c r="CP37" s="3276">
        <f>+CP36/CP38</f>
        <v>0.28653976054234437</v>
      </c>
      <c r="CQ37" s="3276">
        <f>+CQ36/CQ38</f>
        <v>0.35314371794411964</v>
      </c>
      <c r="CR37" s="3432">
        <f>+CR36/CR38</f>
        <v>1.1795732036425035</v>
      </c>
      <c r="CS37" s="3276">
        <f t="shared" ref="CS37:CX37" si="122">+CS36/CS38</f>
        <v>0.30079606927389957</v>
      </c>
      <c r="CT37" s="3276">
        <f t="shared" si="122"/>
        <v>0.34993334261322789</v>
      </c>
      <c r="CU37" s="3276">
        <f t="shared" si="122"/>
        <v>0.36230742798236065</v>
      </c>
      <c r="CV37" s="3435">
        <f>+(CV36-36)/CV38</f>
        <v>0.37823772780307929</v>
      </c>
      <c r="CW37" s="3432">
        <f>+(CW36-36)/CW38</f>
        <v>1.3912861775911471</v>
      </c>
      <c r="CX37" s="3276">
        <f t="shared" si="122"/>
        <v>0.38644741865089544</v>
      </c>
      <c r="CY37" s="3276">
        <f t="shared" ref="CY37:DF37" si="123">+CY36/CY38</f>
        <v>0.25046090777153757</v>
      </c>
      <c r="CZ37" s="3276">
        <f t="shared" si="123"/>
        <v>0.47831795781252667</v>
      </c>
      <c r="DA37" s="3276">
        <f t="shared" si="123"/>
        <v>-0.21739005246154644</v>
      </c>
      <c r="DB37" s="3432">
        <f t="shared" si="123"/>
        <v>0.8998214854232045</v>
      </c>
      <c r="DC37" s="3276">
        <f t="shared" si="123"/>
        <v>0.66661088530690615</v>
      </c>
      <c r="DD37" s="3276">
        <f t="shared" si="123"/>
        <v>0.22716058511447615</v>
      </c>
      <c r="DE37" s="3276">
        <f t="shared" si="123"/>
        <v>0.65297168893201618</v>
      </c>
      <c r="DF37" s="3276">
        <f t="shared" si="123"/>
        <v>0.63832306794559557</v>
      </c>
      <c r="DG37" s="3432">
        <f t="shared" ref="DG37:DQ37" si="124">+DG36/DG38</f>
        <v>2.1851746394330318</v>
      </c>
      <c r="DH37" s="3276">
        <f t="shared" si="124"/>
        <v>0.4749036566939514</v>
      </c>
      <c r="DI37" s="3276">
        <f t="shared" si="124"/>
        <v>0.71054669306840168</v>
      </c>
      <c r="DJ37" s="3276">
        <f t="shared" si="124"/>
        <v>0.50615941873305459</v>
      </c>
      <c r="DK37" s="3276">
        <f t="shared" si="124"/>
        <v>0.76748360889190648</v>
      </c>
      <c r="DL37" s="3432">
        <f t="shared" si="124"/>
        <v>2.4581404653739534</v>
      </c>
      <c r="DM37" s="3276">
        <f t="shared" si="124"/>
        <v>0.49374013205887324</v>
      </c>
      <c r="DN37" s="3276">
        <f t="shared" si="124"/>
        <v>0.50645974521996318</v>
      </c>
      <c r="DO37" s="3276">
        <f t="shared" si="124"/>
        <v>0.81993027640114247</v>
      </c>
      <c r="DP37" s="3276">
        <f t="shared" si="124"/>
        <v>1.1147650918270082</v>
      </c>
      <c r="DQ37" s="3432">
        <f t="shared" si="124"/>
        <v>2.9306676477041864</v>
      </c>
      <c r="DR37" s="3276">
        <f t="shared" ref="DR37:DW37" si="125">+DR36/DR38</f>
        <v>1.3143792948241459</v>
      </c>
      <c r="DS37" s="3276">
        <f t="shared" si="125"/>
        <v>1.3629100133605647</v>
      </c>
      <c r="DT37" s="3276">
        <f t="shared" si="125"/>
        <v>1.3995172345492144</v>
      </c>
      <c r="DU37" s="3276">
        <f t="shared" si="125"/>
        <v>1.5347371645504115</v>
      </c>
      <c r="DV37" s="3432">
        <f t="shared" si="125"/>
        <v>5.6098528237223304</v>
      </c>
      <c r="DW37" s="3276">
        <f t="shared" si="125"/>
        <v>1.2310669896382449</v>
      </c>
      <c r="DX37" s="3276">
        <f t="shared" ref="DX37:EV37" si="126">+DX36/DX38</f>
        <v>1.2087015635622025</v>
      </c>
      <c r="DY37" s="3276">
        <f t="shared" si="126"/>
        <v>1.0620752844162786</v>
      </c>
      <c r="DZ37" s="3276">
        <f t="shared" si="126"/>
        <v>1.0522901058160192</v>
      </c>
      <c r="EA37" s="3432">
        <f t="shared" si="126"/>
        <v>4.5576606157006436</v>
      </c>
      <c r="EB37" s="3276">
        <f t="shared" si="126"/>
        <v>1.1737502924432659</v>
      </c>
      <c r="EC37" s="3276">
        <f>+EC36/EC38</f>
        <v>1.439047320589157</v>
      </c>
      <c r="ED37" s="3276">
        <f>+ED36/ED38</f>
        <v>1.5508034026465027</v>
      </c>
      <c r="EE37" s="3276">
        <f t="shared" ref="EE37" si="127">+EE36/EE38</f>
        <v>1.6415648309792097</v>
      </c>
      <c r="EF37" s="3432">
        <f t="shared" si="126"/>
        <v>5.8009236513707378</v>
      </c>
      <c r="EG37" s="3276">
        <f t="shared" ref="EG37" si="128">+EG36/EG38</f>
        <v>1.8888800191586175</v>
      </c>
      <c r="EH37" s="3276">
        <f>+EH36/EH38</f>
        <v>1.8902761104441776</v>
      </c>
      <c r="EI37" s="3276">
        <f>+EI36/EI38</f>
        <v>2.1178033658104516</v>
      </c>
      <c r="EJ37" s="3276">
        <f t="shared" ref="EJ37" si="129">+EJ36/EJ38</f>
        <v>2.1490119857466796</v>
      </c>
      <c r="EK37" s="3432">
        <f>+EK36/EK38</f>
        <v>8.0433830765831811</v>
      </c>
      <c r="EL37" s="3276">
        <f t="shared" ref="EL37" si="130">+EL36/EL38</f>
        <v>2.8101863151899762</v>
      </c>
      <c r="EM37" s="3276">
        <f>+EM36/EM38</f>
        <v>2.3115264797507789</v>
      </c>
      <c r="EN37" s="3276">
        <f>+EN36/EN38</f>
        <v>2.8664262886175531</v>
      </c>
      <c r="EO37" s="3276">
        <f t="shared" ref="EO37" ca="1" si="131">+EO36/EO38</f>
        <v>2.6031751318245901</v>
      </c>
      <c r="EP37" s="3432">
        <f ca="1">+EP36/EP38</f>
        <v>10.592600448367341</v>
      </c>
      <c r="EQ37" s="3276">
        <f t="shared" ref="EQ37:ET37" ca="1" si="132">+EQ36/EQ38</f>
        <v>2.5871954711755261</v>
      </c>
      <c r="ER37" s="3276">
        <f t="shared" ca="1" si="132"/>
        <v>2.7019147953424647</v>
      </c>
      <c r="ES37" s="3276">
        <f t="shared" ca="1" si="132"/>
        <v>2.7754447909694702</v>
      </c>
      <c r="ET37" s="3276">
        <f t="shared" ca="1" si="132"/>
        <v>3.0116724322072157</v>
      </c>
      <c r="EU37" s="3432">
        <f ca="1">+EU36/EU38</f>
        <v>11.07634799455249</v>
      </c>
      <c r="EV37" s="3432">
        <f t="shared" ca="1" si="126"/>
        <v>12.427235330968529</v>
      </c>
      <c r="EW37" s="3432">
        <f ca="1">+EW36/EW38</f>
        <v>14.223395842785607</v>
      </c>
      <c r="EX37" s="3432">
        <f ca="1">+EX36/EX38</f>
        <v>16.254902495792145</v>
      </c>
      <c r="EY37" s="3432">
        <f ca="1">+EY36/EY38</f>
        <v>18.653054084757528</v>
      </c>
      <c r="EZ37" s="622"/>
      <c r="FA37" s="1319">
        <f>(EA37/DL37)^(1/3)-1</f>
        <v>0.22850924423445473</v>
      </c>
      <c r="FB37" s="1319">
        <f>(EF37/DQ37)^(1/3)-1</f>
        <v>0.25557750569668825</v>
      </c>
      <c r="FC37" s="1319">
        <f>(EK37/DV37)^(1/3)-1</f>
        <v>0.12761911299090278</v>
      </c>
      <c r="FD37" s="1319">
        <f ca="1">(EP37/EA37)^(1/3)-1</f>
        <v>0.32460646239730151</v>
      </c>
      <c r="FE37" s="1319">
        <f t="shared" ca="1" si="118"/>
        <v>0.24060391526860525</v>
      </c>
      <c r="FF37" s="1319">
        <f ca="1">(EV37/EK37)^(1/3)-1</f>
        <v>0.15605524872073562</v>
      </c>
      <c r="FG37" s="1319">
        <f>(EK37/DL37)^(1/5)-1</f>
        <v>0.26755382862929844</v>
      </c>
      <c r="FH37" s="1319">
        <f ca="1">(EP37/DQ37)^(1/5)-1</f>
        <v>0.29302584068572046</v>
      </c>
      <c r="FI37" s="1319">
        <f ca="1">(EU37/DV37)^(1/5)-1</f>
        <v>0.14574778114565756</v>
      </c>
      <c r="FJ37" s="1319">
        <f ca="1">(EV37/EA37)^(1/5)-1</f>
        <v>0.22215561668836781</v>
      </c>
      <c r="FK37" s="1319">
        <f t="shared" ca="1" si="119"/>
        <v>0.19646839042707254</v>
      </c>
      <c r="FL37" s="1319">
        <f ca="1">(EX37/EK37)^(1/5)-1</f>
        <v>0.15108958150393037</v>
      </c>
    </row>
    <row r="38" spans="1:168" s="77" customFormat="1" ht="11.25" customHeight="1">
      <c r="A38" s="3746" t="s">
        <v>145</v>
      </c>
      <c r="B38" s="150"/>
      <c r="C38" s="150"/>
      <c r="D38" s="150"/>
      <c r="E38" s="148"/>
      <c r="F38" s="5235">
        <v>848.90000000000009</v>
      </c>
      <c r="G38" s="150"/>
      <c r="H38" s="42"/>
      <c r="I38" s="42"/>
      <c r="J38" s="63"/>
      <c r="K38" s="5235">
        <v>1340.6399999999999</v>
      </c>
      <c r="L38" s="42"/>
      <c r="M38" s="42"/>
      <c r="N38" s="42"/>
      <c r="O38" s="63"/>
      <c r="P38" s="5235">
        <v>3735.52</v>
      </c>
      <c r="Q38" s="65">
        <v>4000</v>
      </c>
      <c r="R38" s="65">
        <v>4290</v>
      </c>
      <c r="S38" s="65">
        <v>4600</v>
      </c>
      <c r="T38" s="66">
        <v>4760.5999999999995</v>
      </c>
      <c r="U38" s="5235">
        <v>4412.66</v>
      </c>
      <c r="V38" s="944">
        <v>4973.74</v>
      </c>
      <c r="W38" s="65">
        <v>5147.2199999999993</v>
      </c>
      <c r="X38" s="65">
        <v>5147.2199999999993</v>
      </c>
      <c r="Y38" s="66">
        <v>5251.2199999999993</v>
      </c>
      <c r="Z38" s="5235">
        <v>5132.7599999999993</v>
      </c>
      <c r="AA38" s="944">
        <v>5283.66</v>
      </c>
      <c r="AB38" s="65">
        <v>5326</v>
      </c>
      <c r="AC38" s="65">
        <v>5494.7</v>
      </c>
      <c r="AD38" s="66">
        <v>5718.880000000001</v>
      </c>
      <c r="AE38" s="880">
        <f>AVERAGE(AA38:AD38)</f>
        <v>5455.81</v>
      </c>
      <c r="AF38" s="944">
        <v>5732.2400000000007</v>
      </c>
      <c r="AG38" s="65">
        <v>5744.76</v>
      </c>
      <c r="AH38" s="65">
        <v>5793.46</v>
      </c>
      <c r="AI38" s="66">
        <v>6079.44</v>
      </c>
      <c r="AJ38" s="880">
        <f>AVERAGE(AF38:AI38)</f>
        <v>5837.4749999999995</v>
      </c>
      <c r="AK38" s="944">
        <v>6082.4599999999991</v>
      </c>
      <c r="AL38" s="65">
        <v>6200.76</v>
      </c>
      <c r="AM38" s="65">
        <v>6211.48</v>
      </c>
      <c r="AN38" s="66">
        <v>6269.18</v>
      </c>
      <c r="AO38" s="880">
        <f>AVERAGE(AK38:AN38)</f>
        <v>6190.9699999999993</v>
      </c>
      <c r="AP38" s="944">
        <v>6297.4</v>
      </c>
      <c r="AQ38" s="65">
        <v>6309.38</v>
      </c>
      <c r="AR38" s="65">
        <v>6331.52</v>
      </c>
      <c r="AS38" s="66">
        <v>6358.5</v>
      </c>
      <c r="AT38" s="880">
        <f>AVERAGE(AP38:AS38)</f>
        <v>6324.2</v>
      </c>
      <c r="AU38" s="944">
        <v>6347.84</v>
      </c>
      <c r="AV38" s="65">
        <v>6360.4600000000009</v>
      </c>
      <c r="AW38" s="65">
        <v>6355.52</v>
      </c>
      <c r="AX38" s="66">
        <v>6337.2799999999988</v>
      </c>
      <c r="AY38" s="880">
        <f>AVERAGE(AU38:AX38)</f>
        <v>6350.2749999999996</v>
      </c>
      <c r="AZ38" s="944">
        <v>6344.42</v>
      </c>
      <c r="BA38" s="65">
        <v>6370.72</v>
      </c>
      <c r="BB38" s="65">
        <v>6394.92</v>
      </c>
      <c r="BC38" s="65">
        <v>6443.26</v>
      </c>
      <c r="BD38" s="1001">
        <f>AVERAGE(AZ38:BC38)</f>
        <v>6388.33</v>
      </c>
      <c r="BE38" s="1738">
        <v>6452.16</v>
      </c>
      <c r="BF38" s="65">
        <v>6449.7199999999993</v>
      </c>
      <c r="BG38" s="65">
        <v>6447.5400000000009</v>
      </c>
      <c r="BH38" s="65">
        <v>6510.72</v>
      </c>
      <c r="BI38" s="1001">
        <f>AVERAGE(BE38:BH38)</f>
        <v>6465.0349999999999</v>
      </c>
      <c r="BJ38" s="65">
        <v>6527.66</v>
      </c>
      <c r="BK38" s="65">
        <v>6520.72</v>
      </c>
      <c r="BL38" s="65">
        <v>6548.7800000000007</v>
      </c>
      <c r="BM38" s="65">
        <v>6580.0400000000009</v>
      </c>
      <c r="BN38" s="1001">
        <f>AVERAGE(BJ38:BM38)</f>
        <v>6544.3000000000011</v>
      </c>
      <c r="BO38" s="65">
        <v>330.13600000000002</v>
      </c>
      <c r="BP38" s="65">
        <v>330.79300000000001</v>
      </c>
      <c r="BQ38" s="65">
        <v>333.31400000000002</v>
      </c>
      <c r="BR38" s="66">
        <v>334.97699999999998</v>
      </c>
      <c r="BS38" s="1730">
        <v>332.30500000000006</v>
      </c>
      <c r="BT38" s="65">
        <v>13205.440000000002</v>
      </c>
      <c r="BU38" s="65">
        <v>13231.72</v>
      </c>
      <c r="BV38" s="65">
        <v>13332.560000000001</v>
      </c>
      <c r="BW38" s="65">
        <v>13399.079999999998</v>
      </c>
      <c r="BX38" s="1001">
        <f>AVERAGE(BT38:BW38)</f>
        <v>13292.2</v>
      </c>
      <c r="BY38" s="65">
        <v>336.66300000000001</v>
      </c>
      <c r="BZ38" s="65">
        <v>338.33699999999999</v>
      </c>
      <c r="CA38" s="65">
        <v>339.23500000000001</v>
      </c>
      <c r="CB38" s="65">
        <v>341.00299999999999</v>
      </c>
      <c r="CC38" s="1001">
        <v>338.80950000000001</v>
      </c>
      <c r="CD38" s="65">
        <v>13466.52</v>
      </c>
      <c r="CE38" s="65">
        <v>13533.48</v>
      </c>
      <c r="CF38" s="65">
        <v>13569.4</v>
      </c>
      <c r="CG38" s="65">
        <v>13640.119999999999</v>
      </c>
      <c r="CH38" s="1004">
        <v>13552.36</v>
      </c>
      <c r="CI38" s="65">
        <v>13704.24</v>
      </c>
      <c r="CJ38" s="65">
        <v>13727.26</v>
      </c>
      <c r="CK38" s="65">
        <v>13764.300000000001</v>
      </c>
      <c r="CL38" s="65">
        <v>13769.82</v>
      </c>
      <c r="CM38" s="1004">
        <v>13741.400000000001</v>
      </c>
      <c r="CN38" s="65">
        <v>13789.960000000001</v>
      </c>
      <c r="CO38" s="65">
        <v>13817.560000000001</v>
      </c>
      <c r="CP38" s="65">
        <v>13886.38</v>
      </c>
      <c r="CQ38" s="65">
        <v>13940.5</v>
      </c>
      <c r="CR38" s="1001">
        <f>AVERAGE(CN38:CQ38)</f>
        <v>13858.6</v>
      </c>
      <c r="CS38" s="820">
        <v>13986.220000000001</v>
      </c>
      <c r="CT38" s="65">
        <v>13936.939999999999</v>
      </c>
      <c r="CU38" s="65">
        <v>13968.800000000001</v>
      </c>
      <c r="CV38" s="65">
        <v>14004.42</v>
      </c>
      <c r="CW38" s="1004">
        <v>13974.119999999999</v>
      </c>
      <c r="CX38" s="65">
        <v>14040.72</v>
      </c>
      <c r="CY38" s="65">
        <v>14070.060000000001</v>
      </c>
      <c r="CZ38" s="65">
        <v>14074.32</v>
      </c>
      <c r="DA38" s="65">
        <v>13892.08</v>
      </c>
      <c r="DB38" s="1004">
        <v>14071.680000000002</v>
      </c>
      <c r="DC38" s="65">
        <v>14102.68</v>
      </c>
      <c r="DD38" s="65">
        <v>14064.939999999999</v>
      </c>
      <c r="DE38" s="65">
        <v>14077.18</v>
      </c>
      <c r="DF38" s="65">
        <v>14017.98</v>
      </c>
      <c r="DG38" s="1001">
        <f>AVERAGE(DC38:DF38)</f>
        <v>14065.695</v>
      </c>
      <c r="DH38" s="65">
        <v>14017.580000000002</v>
      </c>
      <c r="DI38" s="65">
        <v>13999.079999999998</v>
      </c>
      <c r="DJ38" s="65">
        <v>13963.98</v>
      </c>
      <c r="DK38" s="65">
        <v>13903.88</v>
      </c>
      <c r="DL38" s="1001">
        <f>AVERAGE(DH38:DK38)</f>
        <v>13971.13</v>
      </c>
      <c r="DM38" s="65">
        <v>13845.34</v>
      </c>
      <c r="DN38" s="65">
        <v>13740.48</v>
      </c>
      <c r="DO38" s="65">
        <v>13717.02</v>
      </c>
      <c r="DP38" s="65">
        <v>13659.380000000001</v>
      </c>
      <c r="DQ38" s="1001">
        <f>AVERAGE(DM38:DP38)</f>
        <v>13740.555</v>
      </c>
      <c r="DR38" s="65">
        <v>13641.42</v>
      </c>
      <c r="DS38" s="65">
        <v>13592.239999999998</v>
      </c>
      <c r="DT38" s="65">
        <v>13530.380000000001</v>
      </c>
      <c r="DU38" s="65">
        <v>13449.86</v>
      </c>
      <c r="DV38" s="1001">
        <f>AVERAGE(DR38:DU38)</f>
        <v>13553.474999999999</v>
      </c>
      <c r="DW38" s="656">
        <v>13351.02</v>
      </c>
      <c r="DX38" s="656">
        <v>13239</v>
      </c>
      <c r="DY38" s="656">
        <v>13097</v>
      </c>
      <c r="DZ38" s="656">
        <v>12947</v>
      </c>
      <c r="EA38" s="1255">
        <f>AVERAGE(DW38:DZ38)</f>
        <v>13158.505000000001</v>
      </c>
      <c r="EB38" s="656">
        <v>12823</v>
      </c>
      <c r="EC38" s="656">
        <v>12764</v>
      </c>
      <c r="ED38" s="656">
        <v>12696</v>
      </c>
      <c r="EE38" s="656">
        <v>12602</v>
      </c>
      <c r="EF38" s="1255">
        <f>AVERAGE(EB38:EE38)</f>
        <v>12721.25</v>
      </c>
      <c r="EG38" s="656">
        <v>12527</v>
      </c>
      <c r="EH38" s="656">
        <v>12495</v>
      </c>
      <c r="EI38" s="656">
        <v>12419</v>
      </c>
      <c r="EJ38" s="656">
        <v>12348</v>
      </c>
      <c r="EK38" s="1001">
        <f>AVERAGE(EG38:EJ38)</f>
        <v>12447.25</v>
      </c>
      <c r="EL38" s="656">
        <v>12291</v>
      </c>
      <c r="EM38" s="656">
        <v>12198</v>
      </c>
      <c r="EN38" s="656">
        <v>12203</v>
      </c>
      <c r="EO38" s="579">
        <f>EN38*(1.004)-CF!DQ102</f>
        <v>12208.478666666666</v>
      </c>
      <c r="EP38" s="1001">
        <f>AVERAGE(EL38:EO38)</f>
        <v>12225.119666666666</v>
      </c>
      <c r="EQ38" s="579">
        <f>EO38*(1.004)-CF!DS102</f>
        <v>12210.645914666666</v>
      </c>
      <c r="ER38" s="579">
        <f>EQ38*(1.004)-CF!DT102</f>
        <v>12212.821831658666</v>
      </c>
      <c r="ES38" s="579">
        <f>ER38*(1.004)-CF!DU102</f>
        <v>12215.006452318636</v>
      </c>
      <c r="ET38" s="579">
        <f>ES38*(1.004)-CF!DV102</f>
        <v>12217.199811461243</v>
      </c>
      <c r="EU38" s="1001">
        <f>AVERAGE(EQ38:ET38)</f>
        <v>12213.918502526303</v>
      </c>
      <c r="EV38" s="1322">
        <f ca="1">EU38*1.01-CF!DX102</f>
        <v>12116.865058874722</v>
      </c>
      <c r="EW38" s="1322">
        <f ca="1">EV38*1.01-CF!DY102</f>
        <v>12010.578193097632</v>
      </c>
      <c r="EX38" s="1322">
        <f ca="1">EW38*1.01-CF!DZ102</f>
        <v>11891.358594724659</v>
      </c>
      <c r="EY38" s="1322">
        <f ca="1">EX38*1.01-CF!EA102</f>
        <v>11759.676160078787</v>
      </c>
      <c r="EZ38" s="302"/>
      <c r="FA38" s="4282"/>
      <c r="FB38" s="4282"/>
      <c r="FC38" s="4282"/>
      <c r="FD38" s="4282"/>
      <c r="FE38" s="4282"/>
      <c r="FF38" s="4282"/>
      <c r="FG38" s="4282"/>
      <c r="FH38" s="4282"/>
      <c r="FI38" s="4282"/>
      <c r="FJ38" s="4282"/>
      <c r="FK38" s="4282"/>
      <c r="FL38" s="4282"/>
    </row>
    <row r="39" spans="1:168" s="77" customFormat="1" ht="11.25" customHeight="1">
      <c r="A39" s="3748"/>
      <c r="B39" s="150"/>
      <c r="C39" s="150"/>
      <c r="D39" s="150"/>
      <c r="E39" s="148"/>
      <c r="F39" s="2878"/>
      <c r="G39" s="150"/>
      <c r="H39" s="42"/>
      <c r="I39" s="42"/>
      <c r="J39" s="63"/>
      <c r="K39" s="2878"/>
      <c r="L39" s="42"/>
      <c r="M39" s="42"/>
      <c r="N39" s="42"/>
      <c r="O39" s="63"/>
      <c r="P39" s="2878"/>
      <c r="Q39" s="42"/>
      <c r="R39" s="42"/>
      <c r="S39" s="42"/>
      <c r="T39" s="63"/>
      <c r="U39" s="2878"/>
      <c r="V39" s="2879"/>
      <c r="W39" s="42"/>
      <c r="X39" s="42"/>
      <c r="Y39" s="63"/>
      <c r="Z39" s="2878"/>
      <c r="AA39" s="2879"/>
      <c r="AB39" s="42"/>
      <c r="AC39" s="42"/>
      <c r="AD39" s="63"/>
      <c r="AE39" s="2878"/>
      <c r="AF39" s="2879"/>
      <c r="AG39" s="42"/>
      <c r="AH39" s="42"/>
      <c r="AI39" s="63"/>
      <c r="AJ39" s="2878"/>
      <c r="AK39" s="2879"/>
      <c r="AL39" s="42"/>
      <c r="AM39" s="42"/>
      <c r="AN39" s="63"/>
      <c r="AO39" s="2878"/>
      <c r="AP39" s="2879"/>
      <c r="AQ39" s="42"/>
      <c r="AR39" s="42"/>
      <c r="AS39" s="63"/>
      <c r="AT39" s="2878"/>
      <c r="AU39" s="2879"/>
      <c r="AV39" s="42"/>
      <c r="AW39" s="42"/>
      <c r="AX39" s="63"/>
      <c r="AY39" s="2878"/>
      <c r="AZ39" s="2879"/>
      <c r="BA39" s="42"/>
      <c r="BB39" s="42"/>
      <c r="BC39" s="42"/>
      <c r="BD39" s="2880"/>
      <c r="BE39" s="2881"/>
      <c r="BF39" s="65"/>
      <c r="BG39" s="65"/>
      <c r="BH39" s="65"/>
      <c r="BI39" s="2880"/>
      <c r="BJ39" s="65"/>
      <c r="BK39" s="65"/>
      <c r="BL39" s="65"/>
      <c r="BM39" s="65"/>
      <c r="BN39" s="2880"/>
      <c r="BO39" s="65"/>
      <c r="BP39" s="65"/>
      <c r="BQ39" s="65"/>
      <c r="BR39" s="66"/>
      <c r="BS39" s="2878"/>
      <c r="BT39" s="65"/>
      <c r="BU39" s="65"/>
      <c r="BV39" s="65"/>
      <c r="BW39" s="65"/>
      <c r="BX39" s="2880"/>
      <c r="BY39" s="65"/>
      <c r="BZ39" s="65"/>
      <c r="CA39" s="65"/>
      <c r="CB39" s="65"/>
      <c r="CC39" s="2880"/>
      <c r="CD39" s="65"/>
      <c r="CE39" s="65"/>
      <c r="CF39" s="65"/>
      <c r="CG39" s="65"/>
      <c r="CH39" s="2880"/>
      <c r="CI39" s="65"/>
      <c r="CJ39" s="65"/>
      <c r="CK39" s="65"/>
      <c r="CL39" s="65"/>
      <c r="CM39" s="2882"/>
      <c r="CN39" s="65"/>
      <c r="CO39" s="65"/>
      <c r="CP39" s="65"/>
      <c r="CQ39" s="65"/>
      <c r="CR39" s="2880"/>
      <c r="CS39" s="820"/>
      <c r="CT39" s="65"/>
      <c r="CU39" s="65"/>
      <c r="CV39" s="65"/>
      <c r="CW39" s="2880"/>
      <c r="CX39" s="65"/>
      <c r="CY39" s="65"/>
      <c r="CZ39" s="65"/>
      <c r="DA39" s="65"/>
      <c r="DB39" s="2880"/>
      <c r="DC39" s="579"/>
      <c r="DD39" s="579"/>
      <c r="DE39" s="579"/>
      <c r="DF39" s="579"/>
      <c r="DG39" s="2880"/>
      <c r="DH39" s="579"/>
      <c r="DI39" s="579"/>
      <c r="DJ39" s="579"/>
      <c r="DK39" s="579"/>
      <c r="DL39" s="2883"/>
      <c r="DM39" s="579"/>
      <c r="DN39" s="579"/>
      <c r="DO39" s="579"/>
      <c r="DP39" s="579"/>
      <c r="DQ39" s="2883"/>
      <c r="DR39" s="579"/>
      <c r="DS39" s="579"/>
      <c r="DT39" s="579"/>
      <c r="DU39" s="579"/>
      <c r="DV39" s="2883"/>
      <c r="DW39" s="579"/>
      <c r="DX39" s="579"/>
      <c r="DY39" s="579"/>
      <c r="DZ39" s="579"/>
      <c r="EA39" s="2883"/>
      <c r="EB39" s="579"/>
      <c r="EC39" s="579"/>
      <c r="ED39" s="579"/>
      <c r="EE39" s="579"/>
      <c r="EF39" s="2883"/>
      <c r="EG39" s="579"/>
      <c r="EH39" s="579"/>
      <c r="EI39" s="579"/>
      <c r="EJ39" s="579"/>
      <c r="EK39" s="2883"/>
      <c r="EL39" s="579"/>
      <c r="EM39" s="579"/>
      <c r="EN39" s="579"/>
      <c r="EO39" s="579"/>
      <c r="EP39" s="2883"/>
      <c r="EQ39" s="579"/>
      <c r="ER39" s="579"/>
      <c r="ES39" s="579"/>
      <c r="ET39" s="579"/>
      <c r="EU39" s="2883"/>
      <c r="EV39" s="5073"/>
      <c r="EW39" s="5073"/>
      <c r="EX39" s="5073"/>
      <c r="EY39" s="5073"/>
      <c r="EZ39" s="302"/>
      <c r="FA39" s="4282"/>
      <c r="FB39" s="4282"/>
      <c r="FC39" s="4282"/>
      <c r="FD39" s="4282"/>
      <c r="FE39" s="4282"/>
      <c r="FF39" s="4282"/>
      <c r="FG39" s="4282"/>
      <c r="FH39" s="4282"/>
      <c r="FI39" s="4282"/>
      <c r="FJ39" s="4282"/>
      <c r="FK39" s="4282"/>
      <c r="FL39" s="4282"/>
    </row>
    <row r="40" spans="1:168" s="77" customFormat="1" ht="11.25" customHeight="1">
      <c r="A40" s="3748" t="s">
        <v>687</v>
      </c>
      <c r="B40" s="150"/>
      <c r="C40" s="150"/>
      <c r="D40" s="150"/>
      <c r="E40" s="148"/>
      <c r="F40" s="2878"/>
      <c r="G40" s="150"/>
      <c r="H40" s="42"/>
      <c r="I40" s="42"/>
      <c r="J40" s="63"/>
      <c r="K40" s="2878"/>
      <c r="L40" s="42"/>
      <c r="M40" s="42"/>
      <c r="N40" s="42"/>
      <c r="O40" s="63"/>
      <c r="P40" s="2878"/>
      <c r="Q40" s="42"/>
      <c r="R40" s="42"/>
      <c r="S40" s="42"/>
      <c r="T40" s="63"/>
      <c r="U40" s="2878"/>
      <c r="V40" s="2879"/>
      <c r="W40" s="42"/>
      <c r="X40" s="42"/>
      <c r="Y40" s="63"/>
      <c r="Z40" s="2878"/>
      <c r="AA40" s="2879"/>
      <c r="AB40" s="42"/>
      <c r="AC40" s="42"/>
      <c r="AD40" s="63"/>
      <c r="AE40" s="2878"/>
      <c r="AF40" s="2879"/>
      <c r="AG40" s="42"/>
      <c r="AH40" s="42"/>
      <c r="AI40" s="63"/>
      <c r="AJ40" s="2878"/>
      <c r="AK40" s="2879"/>
      <c r="AL40" s="42"/>
      <c r="AM40" s="42"/>
      <c r="AN40" s="63"/>
      <c r="AO40" s="2878"/>
      <c r="AP40" s="2879"/>
      <c r="AQ40" s="42"/>
      <c r="AR40" s="42"/>
      <c r="AS40" s="63"/>
      <c r="AT40" s="2878"/>
      <c r="AU40" s="2879"/>
      <c r="AV40" s="42"/>
      <c r="AW40" s="42"/>
      <c r="AX40" s="63"/>
      <c r="AY40" s="2878"/>
      <c r="AZ40" s="2879"/>
      <c r="BA40" s="42"/>
      <c r="BB40" s="42"/>
      <c r="BC40" s="42"/>
      <c r="BD40" s="2880"/>
      <c r="BE40" s="2881"/>
      <c r="BF40" s="65"/>
      <c r="BG40" s="65"/>
      <c r="BH40" s="65"/>
      <c r="BI40" s="2880"/>
      <c r="BJ40" s="65"/>
      <c r="BK40" s="65"/>
      <c r="BL40" s="65"/>
      <c r="BM40" s="65"/>
      <c r="BN40" s="2880"/>
      <c r="BO40" s="65"/>
      <c r="BP40" s="65"/>
      <c r="BQ40" s="65"/>
      <c r="BR40" s="66"/>
      <c r="BS40" s="2878"/>
      <c r="BT40" s="65"/>
      <c r="BU40" s="65"/>
      <c r="BV40" s="65"/>
      <c r="BW40" s="65"/>
      <c r="BX40" s="2880"/>
      <c r="BY40" s="65"/>
      <c r="BZ40" s="65"/>
      <c r="CA40" s="65"/>
      <c r="CB40" s="65"/>
      <c r="CC40" s="2880"/>
      <c r="CD40" s="65"/>
      <c r="CE40" s="65"/>
      <c r="CF40" s="65"/>
      <c r="CG40" s="65"/>
      <c r="CH40" s="2880"/>
      <c r="CI40" s="65"/>
      <c r="CJ40" s="65"/>
      <c r="CK40" s="65"/>
      <c r="CL40" s="65"/>
      <c r="CM40" s="2882"/>
      <c r="CN40" s="65"/>
      <c r="CO40" s="65"/>
      <c r="CP40" s="65"/>
      <c r="CQ40" s="65"/>
      <c r="CR40" s="2880"/>
      <c r="CS40" s="820"/>
      <c r="CT40" s="65"/>
      <c r="CU40" s="65"/>
      <c r="CV40" s="65"/>
      <c r="CW40" s="2880"/>
      <c r="CX40" s="65"/>
      <c r="CY40" s="65"/>
      <c r="CZ40" s="65"/>
      <c r="DA40" s="65"/>
      <c r="DB40" s="2880"/>
      <c r="DC40" s="579"/>
      <c r="DD40" s="579"/>
      <c r="DE40" s="579"/>
      <c r="DF40" s="579"/>
      <c r="DG40" s="2880"/>
      <c r="DH40" s="579"/>
      <c r="DI40" s="579"/>
      <c r="DJ40" s="579"/>
      <c r="DK40" s="579"/>
      <c r="DL40" s="2883"/>
      <c r="DM40" s="579"/>
      <c r="DN40" s="579"/>
      <c r="DO40" s="579"/>
      <c r="DP40" s="579"/>
      <c r="DQ40" s="2883"/>
      <c r="DR40" s="579"/>
      <c r="DS40" s="579"/>
      <c r="DT40" s="579"/>
      <c r="DU40" s="579"/>
      <c r="DV40" s="2883"/>
      <c r="DW40" s="579"/>
      <c r="DX40" s="579"/>
      <c r="DY40" s="579"/>
      <c r="DZ40" s="579"/>
      <c r="EA40" s="2883"/>
      <c r="EB40" s="579"/>
      <c r="EC40" s="579"/>
      <c r="ED40" s="579"/>
      <c r="EE40" s="579"/>
      <c r="EF40" s="2883"/>
      <c r="EG40" s="579"/>
      <c r="EH40" s="579"/>
      <c r="EI40" s="579"/>
      <c r="EJ40" s="579"/>
      <c r="EK40" s="2883"/>
      <c r="EL40" s="579"/>
      <c r="EM40" s="579"/>
      <c r="EN40" s="579"/>
      <c r="EO40" s="579"/>
      <c r="EP40" s="2883"/>
      <c r="EQ40" s="579"/>
      <c r="ER40" s="579"/>
      <c r="ES40" s="579"/>
      <c r="ET40" s="579"/>
      <c r="EU40" s="2883"/>
      <c r="EV40" s="2883"/>
      <c r="EW40" s="2883"/>
      <c r="EX40" s="2883"/>
      <c r="EY40" s="2883"/>
      <c r="EZ40" s="302"/>
      <c r="FA40" s="4282"/>
      <c r="FB40" s="4282"/>
      <c r="FC40" s="4282"/>
      <c r="FD40" s="4282"/>
      <c r="FE40" s="4282"/>
      <c r="FF40" s="4282"/>
      <c r="FG40" s="4282"/>
      <c r="FH40" s="4282"/>
      <c r="FI40" s="4282"/>
      <c r="FJ40" s="4282"/>
      <c r="FK40" s="4282"/>
      <c r="FL40" s="4282"/>
    </row>
    <row r="41" spans="1:168" s="129" customFormat="1" ht="11.25" customHeight="1">
      <c r="A41" s="3739" t="s">
        <v>726</v>
      </c>
      <c r="B41" s="1832"/>
      <c r="C41" s="1832"/>
      <c r="D41" s="1832"/>
      <c r="E41" s="1833"/>
      <c r="F41" s="1834"/>
      <c r="G41" s="1832"/>
      <c r="H41" s="1832"/>
      <c r="I41" s="1835"/>
      <c r="J41" s="1836"/>
      <c r="K41" s="1834"/>
      <c r="L41" s="1835"/>
      <c r="M41" s="1835"/>
      <c r="N41" s="1835"/>
      <c r="O41" s="1836"/>
      <c r="P41" s="1834"/>
      <c r="Q41" s="1832"/>
      <c r="R41" s="1832"/>
      <c r="S41" s="1832"/>
      <c r="T41" s="1833"/>
      <c r="U41" s="1834"/>
      <c r="V41" s="1837"/>
      <c r="W41" s="1832"/>
      <c r="X41" s="1832"/>
      <c r="Y41" s="1833"/>
      <c r="Z41" s="1834"/>
      <c r="AA41" s="1837"/>
      <c r="AB41" s="1832"/>
      <c r="AC41" s="1832"/>
      <c r="AD41" s="1833"/>
      <c r="AE41" s="1834"/>
      <c r="AF41" s="1837"/>
      <c r="AG41" s="1832"/>
      <c r="AH41" s="1832"/>
      <c r="AI41" s="1833"/>
      <c r="AJ41" s="1834"/>
      <c r="AK41" s="1837"/>
      <c r="AL41" s="1832"/>
      <c r="AM41" s="1832"/>
      <c r="AN41" s="1833"/>
      <c r="AO41" s="1834"/>
      <c r="AP41" s="1837"/>
      <c r="AQ41" s="1832"/>
      <c r="AR41" s="1832"/>
      <c r="AS41" s="1833"/>
      <c r="AT41" s="1834"/>
      <c r="AU41" s="1837"/>
      <c r="AV41" s="1832"/>
      <c r="AW41" s="1832"/>
      <c r="AX41" s="1833"/>
      <c r="AY41" s="1834"/>
      <c r="AZ41" s="1837"/>
      <c r="BA41" s="1832"/>
      <c r="BB41" s="1832"/>
      <c r="BC41" s="1832"/>
      <c r="BD41" s="1838"/>
      <c r="BE41" s="1839"/>
      <c r="BF41" s="1832"/>
      <c r="BG41" s="1832"/>
      <c r="BH41" s="1832"/>
      <c r="BI41" s="1838"/>
      <c r="BJ41" s="1832"/>
      <c r="BK41" s="1832"/>
      <c r="BL41" s="1832"/>
      <c r="BM41" s="1832"/>
      <c r="BN41" s="1838"/>
      <c r="BO41" s="1832"/>
      <c r="BP41" s="1832"/>
      <c r="BQ41" s="1832"/>
      <c r="BR41" s="1840"/>
      <c r="BS41" s="1841"/>
      <c r="BT41" s="1832"/>
      <c r="BU41" s="1723"/>
      <c r="BV41" s="1723"/>
      <c r="BW41" s="1723"/>
      <c r="BX41" s="1722"/>
      <c r="BY41" s="1723"/>
      <c r="BZ41" s="1723"/>
      <c r="CA41" s="1723"/>
      <c r="CB41" s="1723"/>
      <c r="CC41" s="1722"/>
      <c r="CD41" s="3918">
        <f>CD25</f>
        <v>0</v>
      </c>
      <c r="CE41" s="3919">
        <f>CE25</f>
        <v>0</v>
      </c>
      <c r="CF41" s="3919">
        <f>CF25</f>
        <v>0</v>
      </c>
      <c r="CG41" s="3920">
        <f>CG25</f>
        <v>0</v>
      </c>
      <c r="CH41" s="1722">
        <f>SUM(CD41:CG41)</f>
        <v>0</v>
      </c>
      <c r="CI41" s="3918">
        <f>CI25</f>
        <v>0</v>
      </c>
      <c r="CJ41" s="3919">
        <f>CJ25</f>
        <v>0</v>
      </c>
      <c r="CK41" s="3919">
        <f>CK25</f>
        <v>378</v>
      </c>
      <c r="CL41" s="3920">
        <f>CL25</f>
        <v>0</v>
      </c>
      <c r="CM41" s="1838">
        <f>SUM(CI41:CL41)</f>
        <v>378</v>
      </c>
      <c r="CN41" s="3918">
        <f>CN25</f>
        <v>0</v>
      </c>
      <c r="CO41" s="3919">
        <f>CO25</f>
        <v>0</v>
      </c>
      <c r="CP41" s="3919">
        <f>CP25</f>
        <v>0</v>
      </c>
      <c r="CQ41" s="3920">
        <f>CQ25</f>
        <v>0</v>
      </c>
      <c r="CR41" s="1838">
        <f>SUM(CN41:CQ41)</f>
        <v>0</v>
      </c>
      <c r="CS41" s="3918">
        <f>CS25</f>
        <v>0</v>
      </c>
      <c r="CT41" s="3919">
        <f>CT25</f>
        <v>0</v>
      </c>
      <c r="CU41" s="3919">
        <f>CU25</f>
        <v>0</v>
      </c>
      <c r="CV41" s="3920">
        <f>CV25</f>
        <v>0</v>
      </c>
      <c r="CW41" s="1838">
        <f>SUM(CS41:CV41)</f>
        <v>0</v>
      </c>
      <c r="CX41" s="1723">
        <f>CX25</f>
        <v>0</v>
      </c>
      <c r="CY41" s="1723">
        <v>2736</v>
      </c>
      <c r="CZ41" s="1723">
        <v>0</v>
      </c>
      <c r="DA41" s="2884">
        <v>9857</v>
      </c>
      <c r="DB41" s="1838">
        <f>SUM(CX41:DA41)</f>
        <v>12593</v>
      </c>
      <c r="DC41" s="1723">
        <v>0</v>
      </c>
      <c r="DD41" s="1723">
        <f>DD25</f>
        <v>5071</v>
      </c>
      <c r="DE41" s="1723">
        <v>0</v>
      </c>
      <c r="DF41" s="1723">
        <v>0</v>
      </c>
      <c r="DG41" s="1838">
        <f>SUM(DC41:DF41)</f>
        <v>5071</v>
      </c>
      <c r="DH41" s="1723">
        <v>1682</v>
      </c>
      <c r="DI41" s="1723">
        <f>DI25</f>
        <v>0</v>
      </c>
      <c r="DJ41" s="1723">
        <v>0</v>
      </c>
      <c r="DK41" s="1723">
        <f>DK25</f>
        <v>0</v>
      </c>
      <c r="DL41" s="999">
        <f>SUM(DH41:DK41)</f>
        <v>1682</v>
      </c>
      <c r="DM41" s="150">
        <f>DM25</f>
        <v>0</v>
      </c>
      <c r="DN41" s="150">
        <f>DN25</f>
        <v>0</v>
      </c>
      <c r="DO41" s="150">
        <f>DO25</f>
        <v>0</v>
      </c>
      <c r="DP41" s="150">
        <f>DP25</f>
        <v>0</v>
      </c>
      <c r="DQ41" s="999">
        <f>SUM(DM41:DP41)</f>
        <v>0</v>
      </c>
      <c r="DR41" s="150">
        <f>DR25</f>
        <v>0</v>
      </c>
      <c r="DS41" s="150">
        <f>DS25</f>
        <v>0</v>
      </c>
      <c r="DT41" s="150">
        <f>DT25</f>
        <v>0</v>
      </c>
      <c r="DU41" s="150">
        <f>DU25</f>
        <v>0</v>
      </c>
      <c r="DV41" s="999">
        <f>SUM(DR41:DU41)</f>
        <v>0</v>
      </c>
      <c r="DW41" s="150">
        <f>DW25</f>
        <v>0</v>
      </c>
      <c r="DX41" s="150">
        <f>DX25</f>
        <v>0</v>
      </c>
      <c r="DY41" s="150">
        <f>DY25</f>
        <v>0</v>
      </c>
      <c r="DZ41" s="150">
        <f>DZ25</f>
        <v>0</v>
      </c>
      <c r="EA41" s="999">
        <f>SUM(DW41:DZ41)</f>
        <v>0</v>
      </c>
      <c r="EB41" s="150">
        <f>EB25</f>
        <v>0</v>
      </c>
      <c r="EC41" s="150">
        <f>EC25</f>
        <v>0</v>
      </c>
      <c r="ED41" s="150">
        <f>ED25</f>
        <v>0</v>
      </c>
      <c r="EE41" s="150">
        <f>EE25</f>
        <v>0</v>
      </c>
      <c r="EF41" s="999">
        <f>SUM(EB41:EE41)</f>
        <v>0</v>
      </c>
      <c r="EG41" s="150">
        <f>EG25</f>
        <v>0</v>
      </c>
      <c r="EH41" s="150">
        <f>EH25</f>
        <v>0</v>
      </c>
      <c r="EI41" s="150">
        <f>EI25</f>
        <v>0</v>
      </c>
      <c r="EJ41" s="150">
        <f>EJ25</f>
        <v>0</v>
      </c>
      <c r="EK41" s="999">
        <f>SUM(EG41:EJ41)</f>
        <v>0</v>
      </c>
      <c r="EL41" s="150">
        <f>EL25</f>
        <v>0</v>
      </c>
      <c r="EM41" s="150">
        <f>EM25</f>
        <v>0</v>
      </c>
      <c r="EN41" s="150">
        <f>EN25</f>
        <v>3457</v>
      </c>
      <c r="EO41" s="150">
        <f t="shared" ref="EO41" si="133">EO25</f>
        <v>0</v>
      </c>
      <c r="EP41" s="999">
        <f>SUM(EL41:EO41)</f>
        <v>3457</v>
      </c>
      <c r="EQ41" s="150">
        <f t="shared" ref="EQ41:ET41" si="134">EQ25</f>
        <v>0</v>
      </c>
      <c r="ER41" s="150">
        <f t="shared" si="134"/>
        <v>0</v>
      </c>
      <c r="ES41" s="150">
        <f t="shared" si="134"/>
        <v>0</v>
      </c>
      <c r="ET41" s="150">
        <f t="shared" si="134"/>
        <v>0</v>
      </c>
      <c r="EU41" s="999">
        <f>SUM(EQ41:ET41)</f>
        <v>0</v>
      </c>
      <c r="EV41" s="5072">
        <f>EV25</f>
        <v>0</v>
      </c>
      <c r="EW41" s="5072">
        <f>EW25</f>
        <v>0</v>
      </c>
      <c r="EX41" s="5072">
        <f>EX25</f>
        <v>0</v>
      </c>
      <c r="EY41" s="5072">
        <f>EY25</f>
        <v>0</v>
      </c>
      <c r="EZ41" s="150"/>
      <c r="FA41" s="1100"/>
      <c r="FB41" s="1100"/>
      <c r="FC41" s="1100"/>
      <c r="FD41" s="1100"/>
      <c r="FE41" s="1100"/>
      <c r="FF41" s="1100"/>
      <c r="FG41" s="1100"/>
      <c r="FH41" s="1100"/>
      <c r="FI41" s="1100"/>
      <c r="FJ41" s="1100"/>
      <c r="FK41" s="1100"/>
      <c r="FL41" s="1100"/>
    </row>
    <row r="42" spans="1:168" s="297" customFormat="1" ht="11.25" customHeight="1">
      <c r="A42" s="3741" t="s">
        <v>684</v>
      </c>
      <c r="B42" s="3436"/>
      <c r="C42" s="3436"/>
      <c r="D42" s="3436"/>
      <c r="E42" s="3437"/>
      <c r="F42" s="3438"/>
      <c r="G42" s="3436"/>
      <c r="H42" s="3436"/>
      <c r="I42" s="3436"/>
      <c r="J42" s="3437"/>
      <c r="K42" s="3438"/>
      <c r="L42" s="3436"/>
      <c r="M42" s="3436"/>
      <c r="N42" s="3436"/>
      <c r="O42" s="3437"/>
      <c r="P42" s="3438"/>
      <c r="Q42" s="3436"/>
      <c r="R42" s="3436"/>
      <c r="S42" s="3436"/>
      <c r="T42" s="3437"/>
      <c r="U42" s="3438"/>
      <c r="V42" s="3436"/>
      <c r="W42" s="3436"/>
      <c r="X42" s="3436"/>
      <c r="Y42" s="3437"/>
      <c r="Z42" s="3438"/>
      <c r="AA42" s="3436"/>
      <c r="AB42" s="3436"/>
      <c r="AC42" s="3436"/>
      <c r="AD42" s="3437"/>
      <c r="AE42" s="3438"/>
      <c r="AF42" s="3439"/>
      <c r="AG42" s="3436"/>
      <c r="AH42" s="3436"/>
      <c r="AI42" s="3437"/>
      <c r="AJ42" s="3438"/>
      <c r="AK42" s="3436"/>
      <c r="AL42" s="3436"/>
      <c r="AM42" s="3436"/>
      <c r="AN42" s="3437"/>
      <c r="AO42" s="3438"/>
      <c r="AP42" s="3436"/>
      <c r="AQ42" s="3436"/>
      <c r="AR42" s="3436"/>
      <c r="AS42" s="3437"/>
      <c r="AT42" s="3438"/>
      <c r="AU42" s="3436"/>
      <c r="AV42" s="3436"/>
      <c r="AW42" s="3436"/>
      <c r="AX42" s="3437"/>
      <c r="AY42" s="3438"/>
      <c r="AZ42" s="3436"/>
      <c r="BA42" s="3436"/>
      <c r="BB42" s="3436"/>
      <c r="BC42" s="3436"/>
      <c r="BD42" s="3440"/>
      <c r="BE42" s="3441"/>
      <c r="BF42" s="3436"/>
      <c r="BG42" s="3436"/>
      <c r="BH42" s="3436"/>
      <c r="BI42" s="3440"/>
      <c r="BJ42" s="3436"/>
      <c r="BK42" s="3436"/>
      <c r="BL42" s="3436"/>
      <c r="BM42" s="3436"/>
      <c r="BN42" s="3440"/>
      <c r="BO42" s="3436"/>
      <c r="BP42" s="3436"/>
      <c r="BQ42" s="3436"/>
      <c r="BR42" s="3437"/>
      <c r="BS42" s="3442"/>
      <c r="BT42" s="3436"/>
      <c r="BU42" s="3436"/>
      <c r="BV42" s="3436"/>
      <c r="BW42" s="3436"/>
      <c r="BX42" s="3440"/>
      <c r="BY42" s="3436"/>
      <c r="BZ42" s="3436"/>
      <c r="CA42" s="3436"/>
      <c r="CB42" s="3436"/>
      <c r="CC42" s="3440"/>
      <c r="CD42" s="3436">
        <f t="shared" ref="CD42:CW42" si="135">CD36+CD41</f>
        <v>3346</v>
      </c>
      <c r="CE42" s="3436">
        <f t="shared" si="135"/>
        <v>3228</v>
      </c>
      <c r="CF42" s="3436">
        <f t="shared" si="135"/>
        <v>2970</v>
      </c>
      <c r="CG42" s="3436">
        <f t="shared" si="135"/>
        <v>3376</v>
      </c>
      <c r="CH42" s="3440">
        <f t="shared" si="135"/>
        <v>12920</v>
      </c>
      <c r="CI42" s="3436">
        <f t="shared" si="135"/>
        <v>3370.6559999999999</v>
      </c>
      <c r="CJ42" s="3436">
        <f t="shared" si="135"/>
        <v>3352.2503999999999</v>
      </c>
      <c r="CK42" s="3436">
        <f t="shared" si="135"/>
        <v>3116.6059999999998</v>
      </c>
      <c r="CL42" s="3436">
        <f t="shared" si="135"/>
        <v>4674.6130000000003</v>
      </c>
      <c r="CM42" s="3440">
        <f t="shared" si="135"/>
        <v>14822</v>
      </c>
      <c r="CN42" s="3436">
        <f t="shared" si="135"/>
        <v>3514.2332000000001</v>
      </c>
      <c r="CO42" s="3436">
        <f t="shared" si="135"/>
        <v>3931</v>
      </c>
      <c r="CP42" s="3436">
        <f t="shared" si="135"/>
        <v>3979</v>
      </c>
      <c r="CQ42" s="3436">
        <f t="shared" si="135"/>
        <v>4923</v>
      </c>
      <c r="CR42" s="3440">
        <f t="shared" si="135"/>
        <v>16347.233200000001</v>
      </c>
      <c r="CS42" s="3436">
        <f t="shared" si="135"/>
        <v>4207</v>
      </c>
      <c r="CT42" s="3436">
        <f t="shared" si="135"/>
        <v>4877</v>
      </c>
      <c r="CU42" s="3436">
        <f t="shared" si="135"/>
        <v>5061</v>
      </c>
      <c r="CV42" s="3436">
        <f t="shared" si="135"/>
        <v>5333</v>
      </c>
      <c r="CW42" s="3440">
        <f t="shared" si="135"/>
        <v>19478</v>
      </c>
      <c r="CX42" s="3436">
        <f t="shared" ref="CX42:DL42" si="136">CX36+CX41</f>
        <v>5426</v>
      </c>
      <c r="CY42" s="3436">
        <f t="shared" si="136"/>
        <v>6260</v>
      </c>
      <c r="CZ42" s="3436">
        <f t="shared" si="136"/>
        <v>6732</v>
      </c>
      <c r="DA42" s="3436">
        <f t="shared" si="136"/>
        <v>6837</v>
      </c>
      <c r="DB42" s="3440">
        <f t="shared" si="136"/>
        <v>25255</v>
      </c>
      <c r="DC42" s="3436">
        <f t="shared" si="136"/>
        <v>9401</v>
      </c>
      <c r="DD42" s="3436">
        <f t="shared" si="136"/>
        <v>8266</v>
      </c>
      <c r="DE42" s="3436">
        <f t="shared" si="136"/>
        <v>9192</v>
      </c>
      <c r="DF42" s="3436">
        <f t="shared" si="136"/>
        <v>8948</v>
      </c>
      <c r="DG42" s="3440">
        <f t="shared" si="136"/>
        <v>35807</v>
      </c>
      <c r="DH42" s="3436">
        <f t="shared" si="136"/>
        <v>8339</v>
      </c>
      <c r="DI42" s="3436">
        <f t="shared" si="136"/>
        <v>9947</v>
      </c>
      <c r="DJ42" s="3436">
        <f t="shared" si="136"/>
        <v>7068</v>
      </c>
      <c r="DK42" s="3436">
        <f t="shared" si="136"/>
        <v>10671</v>
      </c>
      <c r="DL42" s="5467">
        <f t="shared" si="136"/>
        <v>36025</v>
      </c>
      <c r="DM42" s="3436">
        <f t="shared" ref="DM42:DU42" si="137">DM36+DM41</f>
        <v>6836</v>
      </c>
      <c r="DN42" s="3436">
        <f t="shared" si="137"/>
        <v>6959</v>
      </c>
      <c r="DO42" s="3436">
        <f t="shared" si="137"/>
        <v>11247</v>
      </c>
      <c r="DP42" s="3436">
        <f t="shared" si="137"/>
        <v>15227</v>
      </c>
      <c r="DQ42" s="5467">
        <f t="shared" si="137"/>
        <v>40269</v>
      </c>
      <c r="DR42" s="3436">
        <f t="shared" si="137"/>
        <v>17930</v>
      </c>
      <c r="DS42" s="3436">
        <f t="shared" si="137"/>
        <v>18525</v>
      </c>
      <c r="DT42" s="3436">
        <f t="shared" si="137"/>
        <v>18936</v>
      </c>
      <c r="DU42" s="3436">
        <f t="shared" si="137"/>
        <v>20642</v>
      </c>
      <c r="DV42" s="5467">
        <f t="shared" ref="DV42:EW42" si="138">DV36+DV41</f>
        <v>76033</v>
      </c>
      <c r="DW42" s="3436">
        <f t="shared" si="138"/>
        <v>16436</v>
      </c>
      <c r="DX42" s="3436">
        <f t="shared" si="138"/>
        <v>16002</v>
      </c>
      <c r="DY42" s="3436">
        <f t="shared" si="138"/>
        <v>13910</v>
      </c>
      <c r="DZ42" s="3436">
        <f t="shared" si="138"/>
        <v>13624</v>
      </c>
      <c r="EA42" s="5467">
        <f t="shared" si="138"/>
        <v>59972</v>
      </c>
      <c r="EB42" s="3436">
        <f t="shared" si="138"/>
        <v>15051</v>
      </c>
      <c r="EC42" s="3436">
        <f t="shared" si="138"/>
        <v>18368</v>
      </c>
      <c r="ED42" s="3436">
        <f t="shared" si="138"/>
        <v>19689</v>
      </c>
      <c r="EE42" s="3436">
        <f t="shared" ref="EE42" si="139">EE36+EE41</f>
        <v>20687</v>
      </c>
      <c r="EF42" s="5467">
        <f t="shared" si="138"/>
        <v>73795</v>
      </c>
      <c r="EG42" s="3436">
        <f t="shared" ref="EG42:EJ42" si="140">EG36+EG41</f>
        <v>23662</v>
      </c>
      <c r="EH42" s="3436">
        <f t="shared" si="140"/>
        <v>23619</v>
      </c>
      <c r="EI42" s="3436">
        <f t="shared" si="140"/>
        <v>26301</v>
      </c>
      <c r="EJ42" s="3436">
        <f t="shared" si="140"/>
        <v>26536</v>
      </c>
      <c r="EK42" s="3440">
        <f t="shared" si="138"/>
        <v>100118</v>
      </c>
      <c r="EL42" s="3436">
        <f t="shared" si="138"/>
        <v>34540</v>
      </c>
      <c r="EM42" s="3436">
        <f t="shared" si="138"/>
        <v>28196</v>
      </c>
      <c r="EN42" s="3436">
        <f t="shared" si="138"/>
        <v>38436</v>
      </c>
      <c r="EO42" s="3436">
        <f t="shared" ref="EO42:EP42" ca="1" si="141">EO36+EO41</f>
        <v>31780.808062477692</v>
      </c>
      <c r="EP42" s="3440">
        <f t="shared" ca="1" si="141"/>
        <v>132952.80806247771</v>
      </c>
      <c r="EQ42" s="3436">
        <f t="shared" ref="EQ42:EU42" ca="1" si="142">EQ36+EQ41</f>
        <v>31591.327810553536</v>
      </c>
      <c r="ER42" s="3436">
        <f t="shared" ca="1" si="142"/>
        <v>32998.00399984001</v>
      </c>
      <c r="ES42" s="3436">
        <f t="shared" ca="1" si="142"/>
        <v>33902.076029746226</v>
      </c>
      <c r="ET42" s="3436">
        <f t="shared" ca="1" si="142"/>
        <v>36794.203870945021</v>
      </c>
      <c r="EU42" s="3440">
        <f t="shared" ca="1" si="142"/>
        <v>135285.61171108478</v>
      </c>
      <c r="EV42" s="3440">
        <f t="shared" ca="1" si="138"/>
        <v>150579.13356022601</v>
      </c>
      <c r="EW42" s="3440">
        <f t="shared" ca="1" si="138"/>
        <v>170831.20794115632</v>
      </c>
      <c r="EX42" s="3440">
        <f t="shared" ref="EX42:EY42" ca="1" si="143">EX36+EX41</f>
        <v>193292.87449974922</v>
      </c>
      <c r="EY42" s="3440">
        <f t="shared" ca="1" si="143"/>
        <v>219353.87543318333</v>
      </c>
      <c r="EZ42" s="621"/>
      <c r="FA42" s="1319">
        <f>(EA42/DL42)^(1/3)-1</f>
        <v>0.18517235932308052</v>
      </c>
      <c r="FB42" s="1319">
        <f>(EF42/DQ42)^(1/3)-1</f>
        <v>0.22372931548442154</v>
      </c>
      <c r="FC42" s="1319">
        <f>(EK42/DV42)^(1/3)-1</f>
        <v>9.6065933027534411E-2</v>
      </c>
      <c r="FD42" s="1319">
        <f ca="1">(EP42/EA42)^(1/3)-1</f>
        <v>0.30391613876723267</v>
      </c>
      <c r="FE42" s="1319">
        <f t="shared" ref="FE42:FE43" ca="1" si="144">(EU42/EF42)^(1/3)-1</f>
        <v>0.2238876644029788</v>
      </c>
      <c r="FF42" s="1319">
        <f ca="1">(EV42/EK42)^(1/3)-1</f>
        <v>0.14573507740331104</v>
      </c>
      <c r="FG42" s="1319">
        <f>(EK42/DL42)^(1/5)-1</f>
        <v>0.2268222254400758</v>
      </c>
      <c r="FH42" s="1319">
        <f ca="1">(EP42/DQ42)^(1/5)-1</f>
        <v>0.269829271186246</v>
      </c>
      <c r="FI42" s="1319">
        <f ca="1">(EU42/DV42)^(1/5)-1</f>
        <v>0.12214737177754653</v>
      </c>
      <c r="FJ42" s="1319">
        <f ca="1">(EV42/EA42)^(1/5)-1</f>
        <v>0.20216270969087979</v>
      </c>
      <c r="FK42" s="1319">
        <f t="shared" ref="FK42:FK43" ca="1" si="145">(EW42/EF42)^(1/5)-1</f>
        <v>0.18279111893987898</v>
      </c>
      <c r="FL42" s="1319">
        <f ca="1">(EX42/EK42)^(1/5)-1</f>
        <v>0.1406193525205941</v>
      </c>
    </row>
    <row r="43" spans="1:168" s="298" customFormat="1" ht="11.25" customHeight="1">
      <c r="A43" s="3747" t="s">
        <v>685</v>
      </c>
      <c r="B43" s="3276"/>
      <c r="C43" s="3276"/>
      <c r="D43" s="3276"/>
      <c r="E43" s="3429"/>
      <c r="F43" s="3430"/>
      <c r="G43" s="3276"/>
      <c r="H43" s="3276"/>
      <c r="I43" s="3276"/>
      <c r="J43" s="3429"/>
      <c r="K43" s="3430"/>
      <c r="L43" s="3276"/>
      <c r="M43" s="3276"/>
      <c r="N43" s="3276"/>
      <c r="O43" s="3429"/>
      <c r="P43" s="3430"/>
      <c r="Q43" s="3276"/>
      <c r="R43" s="3276"/>
      <c r="S43" s="3276"/>
      <c r="T43" s="3429"/>
      <c r="U43" s="3430"/>
      <c r="V43" s="3431"/>
      <c r="W43" s="3276"/>
      <c r="X43" s="3276"/>
      <c r="Y43" s="3429"/>
      <c r="Z43" s="3430"/>
      <c r="AA43" s="3431"/>
      <c r="AB43" s="3276"/>
      <c r="AC43" s="3276"/>
      <c r="AD43" s="3429"/>
      <c r="AE43" s="3430"/>
      <c r="AF43" s="3431"/>
      <c r="AG43" s="3276"/>
      <c r="AH43" s="3276"/>
      <c r="AI43" s="3429"/>
      <c r="AJ43" s="3430"/>
      <c r="AK43" s="3276"/>
      <c r="AL43" s="3276"/>
      <c r="AM43" s="3276"/>
      <c r="AN43" s="3429"/>
      <c r="AO43" s="3430"/>
      <c r="AP43" s="3276"/>
      <c r="AQ43" s="3276"/>
      <c r="AR43" s="3276"/>
      <c r="AS43" s="3429"/>
      <c r="AT43" s="3430"/>
      <c r="AU43" s="3276"/>
      <c r="AV43" s="3276"/>
      <c r="AW43" s="3276"/>
      <c r="AX43" s="3429"/>
      <c r="AY43" s="3430"/>
      <c r="AZ43" s="3276"/>
      <c r="BA43" s="3276"/>
      <c r="BB43" s="3276"/>
      <c r="BC43" s="3276"/>
      <c r="BD43" s="3432"/>
      <c r="BE43" s="3433"/>
      <c r="BF43" s="3276"/>
      <c r="BG43" s="3276"/>
      <c r="BH43" s="3276"/>
      <c r="BI43" s="3432"/>
      <c r="BJ43" s="3276"/>
      <c r="BK43" s="3276"/>
      <c r="BL43" s="3276"/>
      <c r="BM43" s="3276"/>
      <c r="BN43" s="3432"/>
      <c r="BO43" s="3276"/>
      <c r="BP43" s="3276"/>
      <c r="BQ43" s="3276"/>
      <c r="BR43" s="3429"/>
      <c r="BS43" s="3434"/>
      <c r="BT43" s="3276"/>
      <c r="BU43" s="3276"/>
      <c r="BV43" s="3276"/>
      <c r="BW43" s="3276"/>
      <c r="BX43" s="3432"/>
      <c r="BY43" s="3276"/>
      <c r="BZ43" s="3276"/>
      <c r="CA43" s="3276"/>
      <c r="CB43" s="3276"/>
      <c r="CC43" s="3432"/>
      <c r="CD43" s="3276">
        <f t="shared" ref="CD43:CW43" si="146">+CD42/CD52</f>
        <v>0.24846805262235527</v>
      </c>
      <c r="CE43" s="3276">
        <f t="shared" si="146"/>
        <v>0.23851958254639605</v>
      </c>
      <c r="CF43" s="3276">
        <f t="shared" si="146"/>
        <v>0.2188748212890769</v>
      </c>
      <c r="CG43" s="3276">
        <f t="shared" si="146"/>
        <v>0.24750515391360195</v>
      </c>
      <c r="CH43" s="3432">
        <f t="shared" si="146"/>
        <v>0.95333949216225067</v>
      </c>
      <c r="CI43" s="3276">
        <f t="shared" si="146"/>
        <v>0.24595716362235337</v>
      </c>
      <c r="CJ43" s="3276">
        <f t="shared" si="146"/>
        <v>0.24420389793738881</v>
      </c>
      <c r="CK43" s="3276">
        <f t="shared" si="146"/>
        <v>0.22642677070392242</v>
      </c>
      <c r="CL43" s="3276">
        <f t="shared" si="146"/>
        <v>0.33948250594415907</v>
      </c>
      <c r="CM43" s="3432">
        <f t="shared" si="146"/>
        <v>1.0786382755759965</v>
      </c>
      <c r="CN43" s="3276">
        <f t="shared" si="146"/>
        <v>0.25483998503258892</v>
      </c>
      <c r="CO43" s="3276">
        <f t="shared" si="146"/>
        <v>0.28449306534583529</v>
      </c>
      <c r="CP43" s="3276">
        <f t="shared" si="146"/>
        <v>0.28653976054234437</v>
      </c>
      <c r="CQ43" s="3276">
        <f t="shared" si="146"/>
        <v>0.35314371794411964</v>
      </c>
      <c r="CR43" s="3432">
        <f t="shared" si="146"/>
        <v>1.1795732036425035</v>
      </c>
      <c r="CS43" s="3276">
        <f t="shared" si="146"/>
        <v>0.30079606927389957</v>
      </c>
      <c r="CT43" s="3276">
        <f t="shared" si="146"/>
        <v>0.34993334261322789</v>
      </c>
      <c r="CU43" s="3276">
        <f t="shared" si="146"/>
        <v>0.36230742798236065</v>
      </c>
      <c r="CV43" s="3276">
        <f t="shared" si="146"/>
        <v>0.38080834479400077</v>
      </c>
      <c r="CW43" s="3432">
        <f t="shared" si="146"/>
        <v>1.3938623684353648</v>
      </c>
      <c r="CX43" s="3276">
        <f t="shared" ref="CX43:DL43" si="147">+CX42/CX52</f>
        <v>0.38644741865089544</v>
      </c>
      <c r="CY43" s="3276">
        <f t="shared" si="147"/>
        <v>0.44491636851584138</v>
      </c>
      <c r="CZ43" s="3276">
        <f t="shared" si="147"/>
        <v>0.47831795781252667</v>
      </c>
      <c r="DA43" s="3276">
        <f t="shared" si="147"/>
        <v>9.6967857502492638</v>
      </c>
      <c r="DB43" s="3432">
        <f t="shared" si="147"/>
        <v>1.7947395051621411</v>
      </c>
      <c r="DC43" s="3276">
        <f t="shared" si="147"/>
        <v>0.66661088530690615</v>
      </c>
      <c r="DD43" s="3276">
        <f t="shared" si="147"/>
        <v>0.58770247153560562</v>
      </c>
      <c r="DE43" s="3276">
        <f t="shared" si="147"/>
        <v>0.65297168893201618</v>
      </c>
      <c r="DF43" s="3276">
        <f t="shared" si="147"/>
        <v>0.63832306794559557</v>
      </c>
      <c r="DG43" s="3432">
        <f t="shared" si="147"/>
        <v>2.545697173157814</v>
      </c>
      <c r="DH43" s="3276">
        <f t="shared" si="147"/>
        <v>0.59489583794064305</v>
      </c>
      <c r="DI43" s="3276">
        <f t="shared" si="147"/>
        <v>0.71054669306840168</v>
      </c>
      <c r="DJ43" s="3276">
        <f t="shared" si="147"/>
        <v>0.50615941873305459</v>
      </c>
      <c r="DK43" s="3276">
        <f t="shared" si="147"/>
        <v>0.76748360889190648</v>
      </c>
      <c r="DL43" s="3432">
        <f t="shared" si="147"/>
        <v>2.5785315862066991</v>
      </c>
      <c r="DM43" s="3276">
        <f t="shared" ref="DM43:DU43" si="148">+DM42/DM52</f>
        <v>0.49374013205887324</v>
      </c>
      <c r="DN43" s="3276">
        <f t="shared" si="148"/>
        <v>0.50645974521996318</v>
      </c>
      <c r="DO43" s="3276">
        <f t="shared" si="148"/>
        <v>0.81993027640114247</v>
      </c>
      <c r="DP43" s="3276">
        <f t="shared" si="148"/>
        <v>1.1147650918270082</v>
      </c>
      <c r="DQ43" s="3432">
        <f t="shared" si="148"/>
        <v>2.9306676477041864</v>
      </c>
      <c r="DR43" s="3276">
        <f t="shared" si="148"/>
        <v>1.3143792948241459</v>
      </c>
      <c r="DS43" s="3276">
        <f t="shared" si="148"/>
        <v>1.3629100133605647</v>
      </c>
      <c r="DT43" s="3276">
        <f t="shared" si="148"/>
        <v>1.3995172345492144</v>
      </c>
      <c r="DU43" s="3276">
        <f t="shared" si="148"/>
        <v>1.5347371645504115</v>
      </c>
      <c r="DV43" s="3432">
        <f t="shared" ref="DV43:EW43" si="149">+DV42/DV52</f>
        <v>5.6098528237223304</v>
      </c>
      <c r="DW43" s="3276">
        <f t="shared" si="149"/>
        <v>1.2310669896382449</v>
      </c>
      <c r="DX43" s="3276">
        <f t="shared" si="149"/>
        <v>1.2087015635622025</v>
      </c>
      <c r="DY43" s="3276">
        <f t="shared" si="149"/>
        <v>1.0620752844162786</v>
      </c>
      <c r="DZ43" s="3276">
        <f t="shared" si="149"/>
        <v>1.0522901058160192</v>
      </c>
      <c r="EA43" s="3432">
        <f t="shared" si="149"/>
        <v>4.5576606157006436</v>
      </c>
      <c r="EB43" s="3276">
        <f t="shared" si="149"/>
        <v>1.1737502924432659</v>
      </c>
      <c r="EC43" s="3276">
        <f t="shared" si="149"/>
        <v>1.439047320589157</v>
      </c>
      <c r="ED43" s="3276">
        <f t="shared" si="149"/>
        <v>1.5508034026465027</v>
      </c>
      <c r="EE43" s="3276">
        <f t="shared" ref="EE43" si="150">+EE42/EE52</f>
        <v>1.6415648309792097</v>
      </c>
      <c r="EF43" s="3432">
        <f t="shared" si="149"/>
        <v>5.8009236513707378</v>
      </c>
      <c r="EG43" s="3276">
        <f t="shared" ref="EG43:EJ43" si="151">+EG42/EG52</f>
        <v>1.8888800191586175</v>
      </c>
      <c r="EH43" s="3276">
        <f t="shared" si="151"/>
        <v>1.8902761104441776</v>
      </c>
      <c r="EI43" s="3276">
        <f t="shared" si="151"/>
        <v>2.1178033658104516</v>
      </c>
      <c r="EJ43" s="3276">
        <f t="shared" si="151"/>
        <v>2.1490119857466796</v>
      </c>
      <c r="EK43" s="3432">
        <f t="shared" si="149"/>
        <v>8.0433830765831811</v>
      </c>
      <c r="EL43" s="3276">
        <f t="shared" si="149"/>
        <v>2.8101863151899762</v>
      </c>
      <c r="EM43" s="3276">
        <f t="shared" si="149"/>
        <v>2.3115264797507789</v>
      </c>
      <c r="EN43" s="3276">
        <f t="shared" si="149"/>
        <v>3.1497172826354176</v>
      </c>
      <c r="EO43" s="3276">
        <f t="shared" ref="EO43:EP43" ca="1" si="152">+EO42/EO52</f>
        <v>2.6031751318245901</v>
      </c>
      <c r="EP43" s="3432">
        <f t="shared" ca="1" si="152"/>
        <v>10.875378866432722</v>
      </c>
      <c r="EQ43" s="3276">
        <f t="shared" ref="EQ43:EU43" ca="1" si="153">+EQ42/EQ52</f>
        <v>2.5871954711755261</v>
      </c>
      <c r="ER43" s="3276">
        <f t="shared" ca="1" si="153"/>
        <v>2.7019147953424647</v>
      </c>
      <c r="ES43" s="3276">
        <f t="shared" ca="1" si="153"/>
        <v>2.7754447909694702</v>
      </c>
      <c r="ET43" s="3276">
        <f t="shared" ca="1" si="153"/>
        <v>3.0116724322072157</v>
      </c>
      <c r="EU43" s="3432">
        <f t="shared" ca="1" si="153"/>
        <v>11.07634799455249</v>
      </c>
      <c r="EV43" s="3432">
        <f t="shared" ca="1" si="149"/>
        <v>12.427235330968529</v>
      </c>
      <c r="EW43" s="3432">
        <f t="shared" ca="1" si="149"/>
        <v>14.223395842785607</v>
      </c>
      <c r="EX43" s="3432">
        <f t="shared" ref="EX43:EY43" ca="1" si="154">+EX42/EX52</f>
        <v>16.254902495792145</v>
      </c>
      <c r="EY43" s="3432">
        <f t="shared" ca="1" si="154"/>
        <v>18.653054084757528</v>
      </c>
      <c r="EZ43" s="622"/>
      <c r="FA43" s="1319">
        <f>(EA43/DL43)^(1/3)-1</f>
        <v>0.20908409687135365</v>
      </c>
      <c r="FB43" s="1319">
        <f>(EF43/DQ43)^(1/3)-1</f>
        <v>0.25557750569668825</v>
      </c>
      <c r="FC43" s="1319">
        <f>(EK43/DV43)^(1/3)-1</f>
        <v>0.12761911299090278</v>
      </c>
      <c r="FD43" s="1319">
        <f ca="1">(EP43/EA43)^(1/3)-1</f>
        <v>0.33629026430313758</v>
      </c>
      <c r="FE43" s="1319">
        <f t="shared" ca="1" si="144"/>
        <v>0.24060391526860525</v>
      </c>
      <c r="FF43" s="1319">
        <f ca="1">(EV43/EK43)^(1/3)-1</f>
        <v>0.15605524872073562</v>
      </c>
      <c r="FG43" s="1319">
        <f>(EK43/DL43)^(1/5)-1</f>
        <v>0.25549000450408044</v>
      </c>
      <c r="FH43" s="1319">
        <f ca="1">(EP43/DQ43)^(1/5)-1</f>
        <v>0.29985696344626822</v>
      </c>
      <c r="FI43" s="1319">
        <f ca="1">(EU43/DV43)^(1/5)-1</f>
        <v>0.14574778114565756</v>
      </c>
      <c r="FJ43" s="1319">
        <f ca="1">(EV43/EA43)^(1/5)-1</f>
        <v>0.22215561668836781</v>
      </c>
      <c r="FK43" s="1319">
        <f t="shared" ca="1" si="145"/>
        <v>0.19646839042707254</v>
      </c>
      <c r="FL43" s="1319">
        <f ca="1">(EX43/EK43)^(1/5)-1</f>
        <v>0.15108958150393037</v>
      </c>
    </row>
    <row r="44" spans="1:168" s="77" customFormat="1" ht="11.25" customHeight="1">
      <c r="A44" s="3748"/>
      <c r="B44" s="150"/>
      <c r="C44" s="150"/>
      <c r="D44" s="150"/>
      <c r="E44" s="148"/>
      <c r="F44" s="2878"/>
      <c r="G44" s="150"/>
      <c r="H44" s="42"/>
      <c r="I44" s="42"/>
      <c r="J44" s="63"/>
      <c r="K44" s="2878"/>
      <c r="L44" s="42"/>
      <c r="M44" s="42"/>
      <c r="N44" s="42"/>
      <c r="O44" s="63"/>
      <c r="P44" s="2878"/>
      <c r="Q44" s="42"/>
      <c r="R44" s="42"/>
      <c r="S44" s="42"/>
      <c r="T44" s="63"/>
      <c r="U44" s="2878"/>
      <c r="V44" s="2879"/>
      <c r="W44" s="42"/>
      <c r="X44" s="42"/>
      <c r="Y44" s="63"/>
      <c r="Z44" s="2878"/>
      <c r="AA44" s="2879"/>
      <c r="AB44" s="42"/>
      <c r="AC44" s="42"/>
      <c r="AD44" s="63"/>
      <c r="AE44" s="2878"/>
      <c r="AF44" s="2879"/>
      <c r="AG44" s="42"/>
      <c r="AH44" s="42"/>
      <c r="AI44" s="63"/>
      <c r="AJ44" s="2878"/>
      <c r="AK44" s="2879"/>
      <c r="AL44" s="42"/>
      <c r="AM44" s="42"/>
      <c r="AN44" s="63"/>
      <c r="AO44" s="2878"/>
      <c r="AP44" s="42"/>
      <c r="AQ44" s="42"/>
      <c r="AR44" s="42"/>
      <c r="AS44" s="63"/>
      <c r="AT44" s="2878"/>
      <c r="AU44" s="42"/>
      <c r="AV44" s="42"/>
      <c r="AW44" s="42"/>
      <c r="AX44" s="63"/>
      <c r="AY44" s="2878"/>
      <c r="AZ44" s="42"/>
      <c r="BA44" s="42"/>
      <c r="BB44" s="42"/>
      <c r="BC44" s="42"/>
      <c r="BD44" s="2880"/>
      <c r="BE44" s="2881"/>
      <c r="BF44" s="65"/>
      <c r="BG44" s="65"/>
      <c r="BH44" s="65"/>
      <c r="BI44" s="2880"/>
      <c r="BJ44" s="65"/>
      <c r="BK44" s="65"/>
      <c r="BL44" s="65"/>
      <c r="BM44" s="65"/>
      <c r="BN44" s="2880"/>
      <c r="BO44" s="65"/>
      <c r="BP44" s="65"/>
      <c r="BQ44" s="65"/>
      <c r="BR44" s="66"/>
      <c r="BS44" s="2878"/>
      <c r="BT44" s="65"/>
      <c r="BU44" s="65"/>
      <c r="BV44" s="65"/>
      <c r="BW44" s="65"/>
      <c r="BX44" s="2880"/>
      <c r="BY44" s="65"/>
      <c r="BZ44" s="65"/>
      <c r="CA44" s="65"/>
      <c r="CB44" s="65"/>
      <c r="CC44" s="2880"/>
      <c r="CD44" s="65"/>
      <c r="CE44" s="65"/>
      <c r="CF44" s="65"/>
      <c r="CG44" s="65"/>
      <c r="CH44" s="2880"/>
      <c r="CI44" s="65"/>
      <c r="CJ44" s="65"/>
      <c r="CK44" s="65"/>
      <c r="CL44" s="65"/>
      <c r="CM44" s="2882"/>
      <c r="CN44" s="65"/>
      <c r="CO44" s="65"/>
      <c r="CP44" s="65"/>
      <c r="CQ44" s="65"/>
      <c r="CR44" s="2880"/>
      <c r="CS44" s="42"/>
      <c r="CT44" s="42"/>
      <c r="CU44" s="42"/>
      <c r="CV44" s="42"/>
      <c r="CW44" s="2880"/>
      <c r="CX44" s="2618"/>
      <c r="CY44" s="2618"/>
      <c r="CZ44" s="2618"/>
      <c r="DA44" s="2618"/>
      <c r="DB44" s="2880"/>
      <c r="DC44" s="2618"/>
      <c r="DD44" s="42"/>
      <c r="DE44" s="42"/>
      <c r="DF44" s="42"/>
      <c r="DG44" s="2958"/>
      <c r="DH44" s="42"/>
      <c r="DI44" s="42"/>
      <c r="DJ44" s="42"/>
      <c r="DK44" s="42"/>
      <c r="DL44" s="2880"/>
      <c r="DM44" s="42"/>
      <c r="DN44" s="42"/>
      <c r="DO44" s="42"/>
      <c r="DP44" s="42"/>
      <c r="DQ44" s="2880"/>
      <c r="DR44" s="42"/>
      <c r="DS44" s="42"/>
      <c r="DT44" s="42"/>
      <c r="DU44" s="42"/>
      <c r="DV44" s="2880"/>
      <c r="DW44" s="42"/>
      <c r="DX44" s="42"/>
      <c r="DY44" s="42"/>
      <c r="DZ44" s="42"/>
      <c r="EA44" s="2880"/>
      <c r="EB44" s="42"/>
      <c r="EC44" s="42"/>
      <c r="ED44" s="42"/>
      <c r="EE44" s="42"/>
      <c r="EF44" s="2880"/>
      <c r="EG44" s="42"/>
      <c r="EH44" s="42"/>
      <c r="EI44" s="42"/>
      <c r="EJ44" s="42"/>
      <c r="EK44" s="2880"/>
      <c r="EL44" s="42"/>
      <c r="EM44" s="42"/>
      <c r="EN44" s="42"/>
      <c r="EO44" s="42"/>
      <c r="EP44" s="2880"/>
      <c r="EQ44" s="42"/>
      <c r="ER44" s="42"/>
      <c r="ES44" s="42"/>
      <c r="ET44" s="42"/>
      <c r="EU44" s="2880"/>
      <c r="EV44" s="2880"/>
      <c r="EW44" s="2880"/>
      <c r="EX44" s="2880"/>
      <c r="EY44" s="2880"/>
      <c r="EZ44" s="302"/>
      <c r="FA44" s="4282"/>
      <c r="FB44" s="4282"/>
      <c r="FC44" s="4282"/>
      <c r="FD44" s="4282"/>
      <c r="FE44" s="4282"/>
      <c r="FF44" s="4282"/>
      <c r="FG44" s="4282"/>
      <c r="FH44" s="4282"/>
      <c r="FI44" s="4282"/>
      <c r="FJ44" s="4282"/>
      <c r="FK44" s="4282"/>
      <c r="FL44" s="4282"/>
    </row>
    <row r="45" spans="1:168" s="84" customFormat="1" ht="11.25" customHeight="1">
      <c r="A45" s="3749" t="s">
        <v>242</v>
      </c>
      <c r="B45" s="42"/>
      <c r="C45" s="42"/>
      <c r="D45" s="42"/>
      <c r="E45" s="63"/>
      <c r="F45" s="880"/>
      <c r="G45" s="42"/>
      <c r="H45" s="42"/>
      <c r="I45" s="42"/>
      <c r="J45" s="63"/>
      <c r="K45" s="880"/>
      <c r="L45" s="303"/>
      <c r="M45" s="42"/>
      <c r="N45" s="42"/>
      <c r="O45" s="63"/>
      <c r="P45" s="880"/>
      <c r="Q45" s="42"/>
      <c r="R45" s="42"/>
      <c r="S45" s="42"/>
      <c r="T45" s="63"/>
      <c r="U45" s="880"/>
      <c r="V45" s="879"/>
      <c r="W45" s="42"/>
      <c r="X45" s="42"/>
      <c r="Y45" s="301"/>
      <c r="Z45" s="971"/>
      <c r="AA45" s="879"/>
      <c r="AB45" s="186"/>
      <c r="AC45" s="299"/>
      <c r="AD45" s="63"/>
      <c r="AE45" s="880"/>
      <c r="AF45" s="879"/>
      <c r="AG45" s="42"/>
      <c r="AH45" s="42"/>
      <c r="AI45" s="300"/>
      <c r="AJ45" s="972"/>
      <c r="AK45" s="973"/>
      <c r="AL45" s="304"/>
      <c r="AM45" s="304"/>
      <c r="AN45" s="305"/>
      <c r="AO45" s="907"/>
      <c r="AP45" s="127"/>
      <c r="AQ45" s="127"/>
      <c r="AR45" s="127"/>
      <c r="AS45" s="125"/>
      <c r="AT45" s="964"/>
      <c r="AU45" s="127"/>
      <c r="AV45" s="127"/>
      <c r="AW45" s="127"/>
      <c r="AX45" s="125"/>
      <c r="AY45" s="964"/>
      <c r="AZ45" s="127"/>
      <c r="BA45" s="127"/>
      <c r="BB45" s="127"/>
      <c r="BC45" s="127"/>
      <c r="BD45" s="1005"/>
      <c r="BE45" s="1739"/>
      <c r="BF45" s="186"/>
      <c r="BG45" s="186"/>
      <c r="BH45" s="186"/>
      <c r="BI45" s="1005"/>
      <c r="BJ45" s="186"/>
      <c r="BK45" s="186"/>
      <c r="BL45" s="186"/>
      <c r="BM45" s="186"/>
      <c r="BN45" s="1005"/>
      <c r="BO45" s="186"/>
      <c r="BP45" s="186"/>
      <c r="BQ45" s="186"/>
      <c r="BR45" s="301"/>
      <c r="BS45" s="1740"/>
      <c r="BT45" s="186"/>
      <c r="BU45" s="186"/>
      <c r="BV45" s="186"/>
      <c r="BW45" s="186"/>
      <c r="BX45" s="1005"/>
      <c r="BY45" s="186"/>
      <c r="BZ45" s="186"/>
      <c r="CA45" s="186"/>
      <c r="CB45" s="186"/>
      <c r="CC45" s="1005"/>
      <c r="CD45" s="186"/>
      <c r="CE45" s="186"/>
      <c r="CF45" s="186"/>
      <c r="CG45" s="186"/>
      <c r="CH45" s="1005"/>
      <c r="CI45" s="186"/>
      <c r="CJ45" s="186"/>
      <c r="CK45" s="186"/>
      <c r="CL45" s="186"/>
      <c r="CM45" s="1005"/>
      <c r="CN45" s="1741"/>
      <c r="CO45" s="726"/>
      <c r="CP45" s="726"/>
      <c r="CQ45" s="759"/>
      <c r="CR45" s="1005"/>
      <c r="CS45" s="1739"/>
      <c r="CT45" s="186"/>
      <c r="CU45" s="186"/>
      <c r="CV45" s="633"/>
      <c r="CW45" s="1005"/>
      <c r="CX45" s="186"/>
      <c r="CY45" s="186"/>
      <c r="CZ45" s="186"/>
      <c r="DA45" s="633"/>
      <c r="DB45" s="1005"/>
      <c r="DC45" s="186"/>
      <c r="DD45" s="186"/>
      <c r="DE45" s="186"/>
      <c r="DF45" s="633"/>
      <c r="DG45" s="1005"/>
      <c r="DH45" s="186"/>
      <c r="DI45" s="186"/>
      <c r="DJ45" s="186"/>
      <c r="DK45" s="3973"/>
      <c r="DL45" s="1005"/>
      <c r="DM45" s="186"/>
      <c r="DN45" s="186"/>
      <c r="DO45" s="186"/>
      <c r="DP45" s="3973"/>
      <c r="DQ45" s="1005"/>
      <c r="DR45" s="186"/>
      <c r="DS45" s="186"/>
      <c r="DT45" s="186"/>
      <c r="DU45" s="186"/>
      <c r="DV45" s="1005"/>
      <c r="DW45" s="186"/>
      <c r="DX45" s="186"/>
      <c r="DY45" s="186"/>
      <c r="DZ45" s="186"/>
      <c r="EA45" s="1005"/>
      <c r="EB45" s="186"/>
      <c r="EC45" s="186"/>
      <c r="ED45" s="186"/>
      <c r="EE45" s="186"/>
      <c r="EF45" s="1005"/>
      <c r="EG45" s="186"/>
      <c r="EH45" s="186"/>
      <c r="EI45" s="186"/>
      <c r="EJ45" s="186"/>
      <c r="EK45" s="1005"/>
      <c r="EL45" s="186"/>
      <c r="EM45" s="186"/>
      <c r="EN45" s="186"/>
      <c r="EO45" s="186"/>
      <c r="EP45" s="1005"/>
      <c r="EQ45" s="186"/>
      <c r="ER45" s="186"/>
      <c r="ES45" s="186"/>
      <c r="ET45" s="186"/>
      <c r="EU45" s="1005"/>
      <c r="EV45" s="1005"/>
      <c r="EW45" s="1005"/>
      <c r="EX45" s="1005"/>
      <c r="EY45" s="1005"/>
      <c r="EZ45" s="186"/>
      <c r="FA45" s="1104"/>
      <c r="FB45" s="1104"/>
      <c r="FC45" s="1104"/>
      <c r="FD45" s="1104"/>
      <c r="FE45" s="1104"/>
      <c r="FF45" s="1104"/>
      <c r="FG45" s="1104"/>
      <c r="FH45" s="1104"/>
      <c r="FI45" s="1104"/>
      <c r="FJ45" s="1104"/>
      <c r="FK45" s="1104"/>
      <c r="FL45" s="1104"/>
    </row>
    <row r="46" spans="1:168" s="84" customFormat="1" ht="11.25" customHeight="1">
      <c r="A46" s="3746" t="s">
        <v>243</v>
      </c>
      <c r="B46" s="42"/>
      <c r="C46" s="42"/>
      <c r="D46" s="42"/>
      <c r="E46" s="63"/>
      <c r="F46" s="965">
        <f>F24</f>
        <v>0</v>
      </c>
      <c r="G46" s="42"/>
      <c r="H46" s="42"/>
      <c r="I46" s="42"/>
      <c r="J46" s="63"/>
      <c r="K46" s="880">
        <f>K24</f>
        <v>2.5059999999999998</v>
      </c>
      <c r="L46" s="167"/>
      <c r="M46" s="42"/>
      <c r="N46" s="42"/>
      <c r="O46" s="63"/>
      <c r="P46" s="880">
        <f t="shared" ref="P46:BD46" si="155">P24</f>
        <v>12.382999999999999</v>
      </c>
      <c r="Q46" s="42">
        <f t="shared" si="155"/>
        <v>3.774</v>
      </c>
      <c r="R46" s="42">
        <f t="shared" si="155"/>
        <v>3.7349999999999999</v>
      </c>
      <c r="S46" s="42">
        <f t="shared" si="155"/>
        <v>6.1820000000000004</v>
      </c>
      <c r="T46" s="63">
        <f t="shared" si="155"/>
        <v>7.944</v>
      </c>
      <c r="U46" s="880">
        <f t="shared" si="155"/>
        <v>21.635000000000002</v>
      </c>
      <c r="V46" s="879">
        <f t="shared" si="155"/>
        <v>36.417999999999999</v>
      </c>
      <c r="W46" s="42">
        <f t="shared" si="155"/>
        <v>34.164999999999999</v>
      </c>
      <c r="X46" s="42">
        <f t="shared" si="155"/>
        <v>73.793999999999997</v>
      </c>
      <c r="Y46" s="63">
        <f t="shared" si="155"/>
        <v>84.983999999999995</v>
      </c>
      <c r="Z46" s="880">
        <f t="shared" si="155"/>
        <v>229.36099999999999</v>
      </c>
      <c r="AA46" s="879">
        <f t="shared" si="155"/>
        <v>76.472999999999999</v>
      </c>
      <c r="AB46" s="42">
        <f t="shared" si="155"/>
        <v>74.760999999999996</v>
      </c>
      <c r="AC46" s="42">
        <f t="shared" si="155"/>
        <v>67.980999999999995</v>
      </c>
      <c r="AD46" s="63">
        <f t="shared" si="155"/>
        <v>59.530999999999999</v>
      </c>
      <c r="AE46" s="880">
        <f t="shared" si="155"/>
        <v>278.74599999999998</v>
      </c>
      <c r="AF46" s="879">
        <f t="shared" si="155"/>
        <v>48.908000000000001</v>
      </c>
      <c r="AG46" s="42">
        <f t="shared" si="155"/>
        <v>47.338000000000001</v>
      </c>
      <c r="AH46" s="42">
        <f t="shared" si="155"/>
        <v>46.308</v>
      </c>
      <c r="AI46" s="63">
        <f t="shared" si="155"/>
        <v>58.154000000000003</v>
      </c>
      <c r="AJ46" s="880">
        <f t="shared" si="155"/>
        <v>200.708</v>
      </c>
      <c r="AK46" s="879">
        <f t="shared" si="155"/>
        <v>114.664</v>
      </c>
      <c r="AL46" s="42">
        <f t="shared" si="155"/>
        <v>109.149</v>
      </c>
      <c r="AM46" s="42">
        <f t="shared" si="155"/>
        <v>99.86</v>
      </c>
      <c r="AN46" s="63">
        <f t="shared" si="155"/>
        <v>134.42699999999999</v>
      </c>
      <c r="AO46" s="880">
        <f t="shared" si="155"/>
        <v>458.1</v>
      </c>
      <c r="AP46" s="879">
        <f t="shared" si="155"/>
        <v>183.86599999999999</v>
      </c>
      <c r="AQ46" s="42">
        <f t="shared" si="155"/>
        <v>241.524</v>
      </c>
      <c r="AR46" s="42">
        <f t="shared" si="155"/>
        <v>197.95600000000002</v>
      </c>
      <c r="AS46" s="63">
        <f t="shared" si="155"/>
        <v>245.3</v>
      </c>
      <c r="AT46" s="880">
        <f t="shared" si="155"/>
        <v>868.64599999999996</v>
      </c>
      <c r="AU46" s="879">
        <f t="shared" si="155"/>
        <v>280.779</v>
      </c>
      <c r="AV46" s="42">
        <f t="shared" si="155"/>
        <v>272.77600000000001</v>
      </c>
      <c r="AW46" s="42">
        <f t="shared" si="155"/>
        <v>280.03900000000004</v>
      </c>
      <c r="AX46" s="63">
        <f t="shared" si="155"/>
        <v>286.17199999999997</v>
      </c>
      <c r="AY46" s="880">
        <f t="shared" si="155"/>
        <v>1119.7660000000001</v>
      </c>
      <c r="AZ46" s="42">
        <f t="shared" si="155"/>
        <v>277.483</v>
      </c>
      <c r="BA46" s="42">
        <f t="shared" si="155"/>
        <v>293.07000000000005</v>
      </c>
      <c r="BB46" s="42">
        <f t="shared" si="155"/>
        <v>317.52699999999999</v>
      </c>
      <c r="BC46" s="42">
        <f t="shared" si="155"/>
        <v>275.97399999999999</v>
      </c>
      <c r="BD46" s="1001">
        <f t="shared" si="155"/>
        <v>1164.0540000000001</v>
      </c>
      <c r="BE46" s="1738">
        <v>291</v>
      </c>
      <c r="BF46" s="42">
        <f t="shared" ref="BF46:BN46" si="156">BF24</f>
        <v>309</v>
      </c>
      <c r="BG46" s="42">
        <f t="shared" si="156"/>
        <v>380</v>
      </c>
      <c r="BH46" s="42">
        <f t="shared" si="156"/>
        <v>396</v>
      </c>
      <c r="BI46" s="1001">
        <f t="shared" si="156"/>
        <v>1376</v>
      </c>
      <c r="BJ46" s="42">
        <f t="shared" si="156"/>
        <v>432</v>
      </c>
      <c r="BK46" s="42">
        <f t="shared" si="156"/>
        <v>435</v>
      </c>
      <c r="BL46" s="42">
        <f t="shared" si="156"/>
        <v>571</v>
      </c>
      <c r="BM46" s="42">
        <f t="shared" si="156"/>
        <v>536</v>
      </c>
      <c r="BN46" s="1001">
        <f t="shared" si="156"/>
        <v>1974</v>
      </c>
      <c r="BO46" s="42">
        <v>556</v>
      </c>
      <c r="BP46" s="42">
        <v>747</v>
      </c>
      <c r="BQ46" s="42">
        <v>1064</v>
      </c>
      <c r="BR46" s="63">
        <v>878</v>
      </c>
      <c r="BS46" s="1730">
        <v>3245</v>
      </c>
      <c r="BT46" s="42">
        <f>BT24</f>
        <v>556</v>
      </c>
      <c r="BU46" s="42">
        <f>BU24</f>
        <v>552</v>
      </c>
      <c r="BV46" s="42">
        <f>BV24</f>
        <v>688</v>
      </c>
      <c r="BW46" s="42">
        <f>BW24</f>
        <v>677</v>
      </c>
      <c r="BX46" s="1001">
        <f>BX24</f>
        <v>2473</v>
      </c>
      <c r="BY46" s="42">
        <v>681</v>
      </c>
      <c r="BZ46" s="42">
        <v>778</v>
      </c>
      <c r="CA46" s="42">
        <v>886</v>
      </c>
      <c r="CB46" s="42">
        <v>917</v>
      </c>
      <c r="CC46" s="1001">
        <v>3262</v>
      </c>
      <c r="CD46" s="42">
        <f>CD24</f>
        <v>655</v>
      </c>
      <c r="CE46" s="42">
        <v>778</v>
      </c>
      <c r="CF46" s="42">
        <v>886</v>
      </c>
      <c r="CG46" s="42">
        <v>917</v>
      </c>
      <c r="CH46" s="1001">
        <f>SUM(CD46:CG46)</f>
        <v>3236</v>
      </c>
      <c r="CI46" s="42">
        <f>CI24</f>
        <v>839</v>
      </c>
      <c r="CJ46" s="42">
        <f>CJ24</f>
        <v>880</v>
      </c>
      <c r="CK46" s="42">
        <f>CK24</f>
        <v>1255</v>
      </c>
      <c r="CL46" s="42">
        <f>CL24</f>
        <v>1201</v>
      </c>
      <c r="CM46" s="1001">
        <f>SUM(CI46:CL46)</f>
        <v>4175</v>
      </c>
      <c r="CN46" s="42">
        <f>CN24</f>
        <v>1203</v>
      </c>
      <c r="CO46" s="42">
        <f>+CO24</f>
        <v>1132</v>
      </c>
      <c r="CP46" s="42">
        <f>+CP24</f>
        <v>1432</v>
      </c>
      <c r="CQ46" s="42">
        <f>+CQ24</f>
        <v>1436</v>
      </c>
      <c r="CR46" s="1001">
        <f>SUM(CN46:CQ46)</f>
        <v>5203</v>
      </c>
      <c r="CS46" s="42">
        <f>CS24</f>
        <v>1494</v>
      </c>
      <c r="CT46" s="42">
        <f>CT24</f>
        <v>1503</v>
      </c>
      <c r="CU46" s="42">
        <f>CU24</f>
        <v>1860</v>
      </c>
      <c r="CV46" s="42">
        <f>CV24</f>
        <v>1846</v>
      </c>
      <c r="CW46" s="1001">
        <f>SUM(CS46:CV46)</f>
        <v>6703</v>
      </c>
      <c r="CX46" s="42">
        <f>CX24</f>
        <v>2009</v>
      </c>
      <c r="CY46" s="42">
        <f>CY24</f>
        <v>2003</v>
      </c>
      <c r="CZ46" s="42">
        <f>CZ24</f>
        <v>1820</v>
      </c>
      <c r="DA46" s="42">
        <f>DA24</f>
        <v>1847</v>
      </c>
      <c r="DB46" s="1001">
        <f>SUM(CX46:DA46)</f>
        <v>7679</v>
      </c>
      <c r="DC46" s="42">
        <f>DC24</f>
        <v>2457</v>
      </c>
      <c r="DD46" s="42">
        <f>DD24</f>
        <v>2413</v>
      </c>
      <c r="DE46" s="42">
        <f>DE24</f>
        <v>2230</v>
      </c>
      <c r="DF46" s="42">
        <f>DF24</f>
        <v>2253</v>
      </c>
      <c r="DG46" s="1001">
        <f>SUM(DC46:DF46)</f>
        <v>9353</v>
      </c>
      <c r="DH46" s="42">
        <f>DH24</f>
        <v>2769</v>
      </c>
      <c r="DI46" s="42">
        <f>DI24</f>
        <v>2756</v>
      </c>
      <c r="DJ46" s="42">
        <f>DJ24</f>
        <v>2624</v>
      </c>
      <c r="DK46" s="42">
        <f>DK24</f>
        <v>2645</v>
      </c>
      <c r="DL46" s="1001">
        <f>SUM(DH46:DK46)</f>
        <v>10794</v>
      </c>
      <c r="DM46" s="42">
        <f>DM24</f>
        <v>3191</v>
      </c>
      <c r="DN46" s="42">
        <f>DN24</f>
        <v>3382</v>
      </c>
      <c r="DO46" s="42">
        <f>DO24</f>
        <v>3195</v>
      </c>
      <c r="DP46" s="42">
        <f>DP24</f>
        <v>3223</v>
      </c>
      <c r="DQ46" s="1001">
        <f>SUM(DM46:DP46)</f>
        <v>12991</v>
      </c>
      <c r="DR46" s="42">
        <f>DR24</f>
        <v>3745</v>
      </c>
      <c r="DS46" s="42">
        <f>DS24</f>
        <v>3803</v>
      </c>
      <c r="DT46" s="42">
        <f>DT24</f>
        <v>3874</v>
      </c>
      <c r="DU46" s="42">
        <f>DU24</f>
        <v>3954</v>
      </c>
      <c r="DV46" s="1001">
        <f>SUM(DR46:DU46)</f>
        <v>15376</v>
      </c>
      <c r="DW46" s="42">
        <f>DW24</f>
        <v>4504</v>
      </c>
      <c r="DX46" s="42">
        <f>DX24</f>
        <v>4782</v>
      </c>
      <c r="DY46" s="42">
        <f>DY24</f>
        <v>4976</v>
      </c>
      <c r="DZ46" s="42">
        <f>DZ24</f>
        <v>5100</v>
      </c>
      <c r="EA46" s="1001">
        <f>SUM(DW46:DZ46)</f>
        <v>19362</v>
      </c>
      <c r="EB46" s="42">
        <f>EB24</f>
        <v>5284</v>
      </c>
      <c r="EC46" s="42">
        <f>EC24</f>
        <v>5774</v>
      </c>
      <c r="ED46" s="42">
        <f>ED24</f>
        <v>5743</v>
      </c>
      <c r="EE46" s="42">
        <f>EE24</f>
        <v>5659</v>
      </c>
      <c r="EF46" s="1001">
        <f>SUM(EB46:EE46)</f>
        <v>22460</v>
      </c>
      <c r="EG46" s="42">
        <f>EG24</f>
        <v>5264</v>
      </c>
      <c r="EH46" s="42">
        <f>EH24</f>
        <v>5865</v>
      </c>
      <c r="EI46" s="42">
        <f>EI24</f>
        <v>5846</v>
      </c>
      <c r="EJ46" s="42">
        <f>EJ24</f>
        <v>5810</v>
      </c>
      <c r="EK46" s="1001">
        <f>SUM(EG46:EJ46)</f>
        <v>22785</v>
      </c>
      <c r="EL46" s="42">
        <f>EL24</f>
        <v>5516</v>
      </c>
      <c r="EM46" s="42">
        <f>EM24</f>
        <v>5998</v>
      </c>
      <c r="EN46" s="42">
        <f>EN24</f>
        <v>6368</v>
      </c>
      <c r="EO46" s="42">
        <f t="shared" ref="EO46" si="157">EO24</f>
        <v>6527.1865226213095</v>
      </c>
      <c r="EP46" s="1001">
        <f>SUM(EL46:EO46)</f>
        <v>24409.186522621309</v>
      </c>
      <c r="EQ46" s="42">
        <f t="shared" ref="EQ46:ET46" si="158">EQ24</f>
        <v>6452.4608273030899</v>
      </c>
      <c r="ER46" s="42">
        <f t="shared" si="158"/>
        <v>7098.6445316606469</v>
      </c>
      <c r="ES46" s="42">
        <f t="shared" si="158"/>
        <v>7478.2178760088218</v>
      </c>
      <c r="ET46" s="42">
        <f t="shared" si="158"/>
        <v>7452.3733515532294</v>
      </c>
      <c r="EU46" s="1001">
        <f>SUM(EQ46:ET46)</f>
        <v>28481.696586525788</v>
      </c>
      <c r="EV46" s="1001">
        <f>EV24</f>
        <v>30856.08760951618</v>
      </c>
      <c r="EW46" s="1001">
        <f>EW24</f>
        <v>33307.093372867726</v>
      </c>
      <c r="EX46" s="1001">
        <f>EX24</f>
        <v>35765.580395662582</v>
      </c>
      <c r="EY46" s="1001">
        <f>EY24</f>
        <v>38299.931668347344</v>
      </c>
      <c r="EZ46" s="42"/>
      <c r="FA46" s="1104"/>
      <c r="FB46" s="1104"/>
      <c r="FC46" s="1104"/>
      <c r="FD46" s="1104"/>
      <c r="FE46" s="1104"/>
      <c r="FF46" s="1104"/>
      <c r="FG46" s="1104"/>
      <c r="FH46" s="1104"/>
      <c r="FI46" s="1104"/>
      <c r="FJ46" s="1104"/>
      <c r="FK46" s="1104"/>
      <c r="FL46" s="1104"/>
    </row>
    <row r="47" spans="1:168" s="84" customFormat="1" ht="11.25" customHeight="1">
      <c r="A47" s="3735" t="s">
        <v>245</v>
      </c>
      <c r="B47" s="42"/>
      <c r="C47" s="42"/>
      <c r="D47" s="42"/>
      <c r="E47" s="63"/>
      <c r="F47" s="5398">
        <v>0</v>
      </c>
      <c r="G47" s="42"/>
      <c r="H47" s="42"/>
      <c r="I47" s="42"/>
      <c r="J47" s="63"/>
      <c r="K47" s="5398">
        <v>0</v>
      </c>
      <c r="L47" s="303"/>
      <c r="M47" s="42"/>
      <c r="N47" s="42"/>
      <c r="O47" s="63"/>
      <c r="P47" s="5398">
        <v>0</v>
      </c>
      <c r="Q47" s="5412">
        <v>0</v>
      </c>
      <c r="R47" s="83">
        <v>0</v>
      </c>
      <c r="S47" s="83">
        <v>0</v>
      </c>
      <c r="T47" s="5405">
        <v>0</v>
      </c>
      <c r="U47" s="965">
        <f>SUM(Q47:T47)</f>
        <v>0</v>
      </c>
      <c r="V47" s="5412">
        <v>0</v>
      </c>
      <c r="W47" s="83">
        <v>0</v>
      </c>
      <c r="X47" s="83">
        <v>0</v>
      </c>
      <c r="Y47" s="5405">
        <v>0</v>
      </c>
      <c r="Z47" s="965">
        <f>SUM(V47:Y47)</f>
        <v>0</v>
      </c>
      <c r="AA47" s="5412">
        <v>0</v>
      </c>
      <c r="AB47" s="83">
        <v>0</v>
      </c>
      <c r="AC47" s="65">
        <f>(AC31*-1)-82-46</f>
        <v>73</v>
      </c>
      <c r="AD47" s="54">
        <f>-66+10.4</f>
        <v>-55.6</v>
      </c>
      <c r="AE47" s="927">
        <f>SUM(AA47:AD47)</f>
        <v>17.399999999999999</v>
      </c>
      <c r="AF47" s="928">
        <v>-49</v>
      </c>
      <c r="AG47" s="83">
        <v>0</v>
      </c>
      <c r="AH47" s="2607">
        <v>20.812000000000001</v>
      </c>
      <c r="AI47" s="52">
        <f>-AI31</f>
        <v>90</v>
      </c>
      <c r="AJ47" s="918">
        <f>SUM(AF47:AI47)</f>
        <v>61.811999999999998</v>
      </c>
      <c r="AK47" s="2607">
        <f>4+30</f>
        <v>34</v>
      </c>
      <c r="AL47" s="2607">
        <v>-54.85</v>
      </c>
      <c r="AM47" s="83">
        <v>0</v>
      </c>
      <c r="AN47" s="54">
        <f>-90.33-42.839</f>
        <v>-133.16899999999998</v>
      </c>
      <c r="AO47" s="918">
        <f>SUM(AK47:AN47)</f>
        <v>-154.01899999999998</v>
      </c>
      <c r="AP47" s="5412">
        <v>0</v>
      </c>
      <c r="AQ47" s="83">
        <v>0</v>
      </c>
      <c r="AR47" s="83">
        <v>0</v>
      </c>
      <c r="AS47" s="81">
        <v>0</v>
      </c>
      <c r="AT47" s="918">
        <f>SUM(AP47:AS47)</f>
        <v>0</v>
      </c>
      <c r="AU47" s="5412">
        <v>0</v>
      </c>
      <c r="AV47" s="83">
        <v>0</v>
      </c>
      <c r="AW47" s="2607">
        <v>95.1</v>
      </c>
      <c r="AX47" s="52">
        <f>-AX31</f>
        <v>1094.7570000000001</v>
      </c>
      <c r="AY47" s="918">
        <f>SUM(AU47:AX47)</f>
        <v>1189.857</v>
      </c>
      <c r="AZ47" s="51">
        <f>-AZ31</f>
        <v>0</v>
      </c>
      <c r="BA47" s="51">
        <f>-BA31</f>
        <v>0</v>
      </c>
      <c r="BB47" s="51">
        <f>-BB31</f>
        <v>0</v>
      </c>
      <c r="BC47" s="51">
        <f>-BC31</f>
        <v>0</v>
      </c>
      <c r="BD47" s="1006">
        <f>SUM(AZ47:BC47)</f>
        <v>0</v>
      </c>
      <c r="BE47" s="1742">
        <f>-BE31</f>
        <v>0</v>
      </c>
      <c r="BF47" s="51">
        <f>-BF31</f>
        <v>0</v>
      </c>
      <c r="BG47" s="51">
        <f>-BG31</f>
        <v>0</v>
      </c>
      <c r="BH47" s="51">
        <f>-BH31</f>
        <v>0</v>
      </c>
      <c r="BI47" s="1006">
        <f>SUM(BE47:BH47)</f>
        <v>0</v>
      </c>
      <c r="BJ47" s="51">
        <f>-BJ31</f>
        <v>500</v>
      </c>
      <c r="BK47" s="51">
        <f>-BK31</f>
        <v>0</v>
      </c>
      <c r="BL47" s="51">
        <f>-BL31</f>
        <v>0</v>
      </c>
      <c r="BM47" s="51">
        <f>-BM31</f>
        <v>0</v>
      </c>
      <c r="BN47" s="1006">
        <f>SUM(BJ47:BM47)</f>
        <v>500</v>
      </c>
      <c r="BO47" s="51">
        <v>0</v>
      </c>
      <c r="BP47" s="51">
        <v>0</v>
      </c>
      <c r="BQ47" s="51">
        <v>0</v>
      </c>
      <c r="BR47" s="52">
        <v>0</v>
      </c>
      <c r="BS47" s="1734">
        <v>0</v>
      </c>
      <c r="BT47" s="51">
        <v>0</v>
      </c>
      <c r="BU47" s="51">
        <v>0</v>
      </c>
      <c r="BV47" s="51">
        <v>0</v>
      </c>
      <c r="BW47" s="51">
        <v>0</v>
      </c>
      <c r="BX47" s="1003">
        <v>0</v>
      </c>
      <c r="BY47" s="51">
        <v>0</v>
      </c>
      <c r="BZ47" s="51">
        <v>0</v>
      </c>
      <c r="CA47" s="51">
        <v>0</v>
      </c>
      <c r="CB47" s="51">
        <v>0</v>
      </c>
      <c r="CC47" s="1003">
        <v>0</v>
      </c>
      <c r="CD47" s="51">
        <v>0</v>
      </c>
      <c r="CE47" s="51">
        <v>0</v>
      </c>
      <c r="CF47" s="51">
        <v>0</v>
      </c>
      <c r="CG47" s="51">
        <v>0</v>
      </c>
      <c r="CH47" s="1003">
        <v>0</v>
      </c>
      <c r="CI47" s="82">
        <v>0</v>
      </c>
      <c r="CJ47" s="51">
        <v>0</v>
      </c>
      <c r="CK47" s="53">
        <v>378</v>
      </c>
      <c r="CL47" s="53">
        <v>0</v>
      </c>
      <c r="CM47" s="1003">
        <f>SUM(CI47:CL47)</f>
        <v>378</v>
      </c>
      <c r="CN47" s="82">
        <v>0</v>
      </c>
      <c r="CO47" s="51">
        <v>0</v>
      </c>
      <c r="CP47" s="51">
        <v>0</v>
      </c>
      <c r="CQ47" s="631">
        <v>0</v>
      </c>
      <c r="CR47" s="2590">
        <f>SUM(CN47:CQ47)</f>
        <v>0</v>
      </c>
      <c r="CS47" s="82">
        <v>0</v>
      </c>
      <c r="CT47" s="82">
        <v>0</v>
      </c>
      <c r="CU47" s="82">
        <v>0</v>
      </c>
      <c r="CV47" s="83">
        <v>-36</v>
      </c>
      <c r="CW47" s="2590">
        <f>SUM(CS47:CV47)</f>
        <v>-36</v>
      </c>
      <c r="CX47" s="82">
        <v>0</v>
      </c>
      <c r="CY47" s="2607">
        <f>CY25</f>
        <v>2736</v>
      </c>
      <c r="CZ47" s="82">
        <v>0</v>
      </c>
      <c r="DA47" s="2607">
        <v>9857</v>
      </c>
      <c r="DB47" s="2590">
        <f>SUM(CX47:DA47)</f>
        <v>12593</v>
      </c>
      <c r="DC47" s="2606">
        <f>DC25-SUM(DC191:DC197)</f>
        <v>-2511</v>
      </c>
      <c r="DD47" s="2635">
        <f>DD25-SUM(DD192:DD197)</f>
        <v>4330</v>
      </c>
      <c r="DE47" s="2635">
        <f>DE25-SUM(DE192:DE197)</f>
        <v>-1005</v>
      </c>
      <c r="DF47" s="650">
        <f>DF25-SUM(DF192:DF197)</f>
        <v>-1338</v>
      </c>
      <c r="DG47" s="2590">
        <f>SUM(DC47:DF47)</f>
        <v>-524</v>
      </c>
      <c r="DH47" s="650">
        <f>DH25-SUM(DH192:DH197)</f>
        <v>646</v>
      </c>
      <c r="DI47" s="650">
        <f>DI25-SUM(DI192:DI197)</f>
        <v>-2339</v>
      </c>
      <c r="DJ47" s="2608">
        <f>DJ25-SUM(DJ191:DJ197)</f>
        <v>1180</v>
      </c>
      <c r="DK47" s="2608">
        <f>DK25-SUM(DK191:DK197)</f>
        <v>-817</v>
      </c>
      <c r="DL47" s="1010">
        <f>SUM(DH47:DK47)</f>
        <v>-1330</v>
      </c>
      <c r="DM47" s="501">
        <f>DM25-SUM(DM191:DM197)</f>
        <v>806</v>
      </c>
      <c r="DN47" s="501">
        <f>DN25-SUM(DN191:DN197)</f>
        <v>-1461</v>
      </c>
      <c r="DO47" s="501">
        <f>DO25-SUM(DO191:DO197)</f>
        <v>-1686</v>
      </c>
      <c r="DP47" s="501">
        <f>DP25-SUM(DP191:DP197)</f>
        <v>-2652</v>
      </c>
      <c r="DQ47" s="1010">
        <f>SUM(DM47:DP47)</f>
        <v>-4993</v>
      </c>
      <c r="DR47" s="501">
        <f>DR25-SUM(DR191:DR197)</f>
        <v>-4501</v>
      </c>
      <c r="DS47" s="501">
        <f>DS25-SUM(DS191:DS197)</f>
        <v>-2235</v>
      </c>
      <c r="DT47" s="501">
        <f>DT25-SUM(DT191:DT197)</f>
        <v>-1646</v>
      </c>
      <c r="DU47" s="501">
        <f>DU25-SUM(DU191:DU197)</f>
        <v>-2139</v>
      </c>
      <c r="DV47" s="1010">
        <f>SUM(DR47:DU47)</f>
        <v>-10521</v>
      </c>
      <c r="DW47" s="501">
        <f>DW25-SUM(DW191:DW197)</f>
        <v>1574</v>
      </c>
      <c r="DX47" s="501">
        <f>DX25-SUM(DX191:DX197)</f>
        <v>925</v>
      </c>
      <c r="DY47" s="501">
        <f>DY25-SUM(DY191:DY197)</f>
        <v>1517</v>
      </c>
      <c r="DZ47" s="501">
        <f>DZ25-SUM(DZ191:DZ197)</f>
        <v>1672</v>
      </c>
      <c r="EA47" s="1010">
        <f>SUM(DW47:DZ47)</f>
        <v>5688</v>
      </c>
      <c r="EB47" s="501">
        <f>EB25-SUM(EB191:EB197)</f>
        <v>7</v>
      </c>
      <c r="EC47" s="501">
        <f>EC25-SUM(EC191:EC197)</f>
        <v>827</v>
      </c>
      <c r="ED47" s="501">
        <f>ED25-SUM(ED191:ED197)</f>
        <v>1212</v>
      </c>
      <c r="EE47" s="501">
        <f>EE25-SUM(EE191:EE197)</f>
        <v>395</v>
      </c>
      <c r="EF47" s="1010">
        <f>SUM(EB47:EE47)</f>
        <v>2441</v>
      </c>
      <c r="EG47" s="501">
        <f>EG25-SUM(EG191:EG197)</f>
        <v>-1782</v>
      </c>
      <c r="EH47" s="501">
        <f>EH25-SUM(EH191:EH197)</f>
        <v>964</v>
      </c>
      <c r="EI47" s="501">
        <f>EI25-SUM(EI191:EI197)</f>
        <v>-1942</v>
      </c>
      <c r="EJ47" s="501">
        <f>EJ25-SUM(EJ191:EJ197)</f>
        <v>-183</v>
      </c>
      <c r="EK47" s="1010">
        <f>SUM(EG47:EJ47)</f>
        <v>-2943</v>
      </c>
      <c r="EL47" s="501">
        <f>EL25-SUM(EL191:EL197)</f>
        <v>-10182</v>
      </c>
      <c r="EM47" s="501">
        <f>EM25-SUM(EM191:EM197)</f>
        <v>-1612</v>
      </c>
      <c r="EN47" s="501">
        <f>EN25-SUM(EN191:EN197)</f>
        <v>-8226</v>
      </c>
      <c r="EO47" s="501">
        <f>EO25-SUM(EO191:EO197)</f>
        <v>143</v>
      </c>
      <c r="EP47" s="1010">
        <f>SUM(EL47:EO47)</f>
        <v>-19877</v>
      </c>
      <c r="EQ47" s="501">
        <f t="shared" ref="EQ47:ET47" si="159">EQ25-SUM(EQ191:EQ197)</f>
        <v>143</v>
      </c>
      <c r="ER47" s="501">
        <f t="shared" si="159"/>
        <v>143</v>
      </c>
      <c r="ES47" s="501">
        <f t="shared" si="159"/>
        <v>143</v>
      </c>
      <c r="ET47" s="501">
        <f t="shared" si="159"/>
        <v>143</v>
      </c>
      <c r="EU47" s="1010">
        <f>SUM(EQ47:ET47)</f>
        <v>572</v>
      </c>
      <c r="EV47" s="1010">
        <f>EV25-SUM(EV191:EV197)</f>
        <v>503.41056495564698</v>
      </c>
      <c r="EW47" s="1010">
        <f>EW25-SUM(EW191:EW197)</f>
        <v>429.64558144361985</v>
      </c>
      <c r="EX47" s="1010">
        <f>EX25-SUM(EX191:EX197)</f>
        <v>429.64558144361985</v>
      </c>
      <c r="EY47" s="1010">
        <f>EY25-SUM(EY191:EY197)</f>
        <v>429.64558144361985</v>
      </c>
      <c r="EZ47" s="82"/>
      <c r="FA47" s="1104"/>
      <c r="FB47" s="1104"/>
      <c r="FC47" s="1104"/>
      <c r="FD47" s="1104"/>
      <c r="FE47" s="1104"/>
      <c r="FF47" s="1104"/>
      <c r="FG47" s="1104"/>
      <c r="FH47" s="1104"/>
      <c r="FI47" s="1104"/>
      <c r="FJ47" s="1104"/>
      <c r="FK47" s="1104"/>
      <c r="FL47" s="1104"/>
    </row>
    <row r="48" spans="1:168" s="84" customFormat="1" ht="11.25" customHeight="1">
      <c r="A48" s="3746" t="s">
        <v>244</v>
      </c>
      <c r="B48" s="42"/>
      <c r="C48" s="42"/>
      <c r="D48" s="42"/>
      <c r="E48" s="63"/>
      <c r="F48" s="918">
        <f>-(F32+F46)*F34</f>
        <v>0</v>
      </c>
      <c r="G48" s="42"/>
      <c r="H48" s="42"/>
      <c r="I48" s="42"/>
      <c r="J48" s="63"/>
      <c r="K48" s="918">
        <f>-(K32+K46)*K34</f>
        <v>0</v>
      </c>
      <c r="L48" s="303"/>
      <c r="M48" s="42"/>
      <c r="N48" s="42"/>
      <c r="O48" s="63"/>
      <c r="P48" s="918">
        <f>-(P46*P34)</f>
        <v>-3.7918940206595106</v>
      </c>
      <c r="Q48" s="5412">
        <v>0</v>
      </c>
      <c r="R48" s="83">
        <v>0</v>
      </c>
      <c r="S48" s="83">
        <v>0</v>
      </c>
      <c r="T48" s="5405">
        <v>0</v>
      </c>
      <c r="U48" s="965">
        <f>SUM(Q48:T48)</f>
        <v>0</v>
      </c>
      <c r="V48" s="5412">
        <v>0</v>
      </c>
      <c r="W48" s="83">
        <v>0</v>
      </c>
      <c r="X48" s="83">
        <v>0</v>
      </c>
      <c r="Y48" s="5405">
        <v>0</v>
      </c>
      <c r="Z48" s="965">
        <f>SUM(V48:Y48)</f>
        <v>0</v>
      </c>
      <c r="AA48" s="5412">
        <v>0</v>
      </c>
      <c r="AB48" s="83">
        <v>0</v>
      </c>
      <c r="AC48" s="42">
        <f>-(AC46*0.24)</f>
        <v>-16.315439999999999</v>
      </c>
      <c r="AD48" s="63">
        <f>-(AD46*0.24)</f>
        <v>-14.287439999999998</v>
      </c>
      <c r="AE48" s="927">
        <f>SUM(AA48:AD48)</f>
        <v>-30.602879999999999</v>
      </c>
      <c r="AF48" s="879">
        <f>-(AF46*0.24)</f>
        <v>-11.737919999999999</v>
      </c>
      <c r="AG48" s="2607">
        <v>-9.4030000000000005</v>
      </c>
      <c r="AH48" s="2607">
        <v>-11.11</v>
      </c>
      <c r="AI48" s="66">
        <f>-37.026-13.881</f>
        <v>-50.907000000000004</v>
      </c>
      <c r="AJ48" s="918">
        <f>SUM(AF48:AI48)</f>
        <v>-83.157920000000004</v>
      </c>
      <c r="AK48" s="2607">
        <f>-27.444-12.342-(4*0.41)</f>
        <v>-41.426000000000002</v>
      </c>
      <c r="AL48" s="2607">
        <f>-25.813+22.582</f>
        <v>-3.2309999999999981</v>
      </c>
      <c r="AM48" s="2607">
        <v>-20.937999999999999</v>
      </c>
      <c r="AN48" s="54">
        <f>-34.676</f>
        <v>-34.676000000000002</v>
      </c>
      <c r="AO48" s="918">
        <f>SUM(AK48:AN48)</f>
        <v>-100.271</v>
      </c>
      <c r="AP48" s="2607">
        <v>-26.768000000000001</v>
      </c>
      <c r="AQ48" s="2607">
        <v>-42.997</v>
      </c>
      <c r="AR48" s="2607">
        <v>-31.010999999999999</v>
      </c>
      <c r="AS48" s="52">
        <v>-42.253</v>
      </c>
      <c r="AT48" s="918">
        <f>SUM(AP48:AS48)</f>
        <v>-143.029</v>
      </c>
      <c r="AU48" s="2607">
        <v>-50.735999999999997</v>
      </c>
      <c r="AV48" s="2607">
        <f>-47.764</f>
        <v>-47.764000000000003</v>
      </c>
      <c r="AW48" s="2607">
        <f>-63.1-38.9</f>
        <v>-102</v>
      </c>
      <c r="AX48" s="54">
        <f>-65.161+-82.275</f>
        <v>-147.43600000000001</v>
      </c>
      <c r="AY48" s="918">
        <f>SUM(AU48:AX48)</f>
        <v>-347.93600000000004</v>
      </c>
      <c r="AZ48" s="2607">
        <v>-64.016000000000005</v>
      </c>
      <c r="BA48" s="2607">
        <v>-69.400000000000006</v>
      </c>
      <c r="BB48" s="2607">
        <v>-72.581999999999994</v>
      </c>
      <c r="BC48" s="2607">
        <v>-62.011000000000003</v>
      </c>
      <c r="BD48" s="1006">
        <f>SUM(AZ48:BC48)</f>
        <v>-268.00900000000001</v>
      </c>
      <c r="BE48" s="1743">
        <v>-65</v>
      </c>
      <c r="BF48" s="53">
        <v>-70</v>
      </c>
      <c r="BG48" s="53">
        <v>-85</v>
      </c>
      <c r="BH48" s="53">
        <v>-89</v>
      </c>
      <c r="BI48" s="1006">
        <f>SUM(BE48:BH48)</f>
        <v>-309</v>
      </c>
      <c r="BJ48" s="53">
        <v>-92</v>
      </c>
      <c r="BK48" s="53">
        <v>-91</v>
      </c>
      <c r="BL48" s="53">
        <v>-116</v>
      </c>
      <c r="BM48" s="53">
        <v>-114</v>
      </c>
      <c r="BN48" s="1006">
        <f>SUM(BJ48:BM48)</f>
        <v>-413</v>
      </c>
      <c r="BO48" s="53">
        <v>-118</v>
      </c>
      <c r="BP48" s="53">
        <v>-186</v>
      </c>
      <c r="BQ48" s="53">
        <v>-231</v>
      </c>
      <c r="BR48" s="54">
        <v>-217</v>
      </c>
      <c r="BS48" s="1744">
        <v>-752</v>
      </c>
      <c r="BT48" s="53">
        <v>-118</v>
      </c>
      <c r="BU48" s="53">
        <f>-135-51</f>
        <v>-186</v>
      </c>
      <c r="BV48" s="53">
        <f>-155-76</f>
        <v>-231</v>
      </c>
      <c r="BW48" s="53">
        <f>-152-65</f>
        <v>-217</v>
      </c>
      <c r="BX48" s="1006">
        <f>SUM(BT48:BW48)</f>
        <v>-752</v>
      </c>
      <c r="BY48" s="53">
        <v>-106</v>
      </c>
      <c r="BZ48" s="53">
        <v>-99</v>
      </c>
      <c r="CA48" s="53">
        <v>-198</v>
      </c>
      <c r="CB48" s="53">
        <v>-202</v>
      </c>
      <c r="CC48" s="1006">
        <v>-605</v>
      </c>
      <c r="CD48" s="53">
        <v>-141</v>
      </c>
      <c r="CE48" s="53">
        <v>-160</v>
      </c>
      <c r="CF48" s="53">
        <f>12-3-207</f>
        <v>-198</v>
      </c>
      <c r="CG48" s="53">
        <f>-191-11</f>
        <v>-202</v>
      </c>
      <c r="CH48" s="1006">
        <f>SUM(CD48:CG48)</f>
        <v>-701</v>
      </c>
      <c r="CI48" s="53">
        <v>-190</v>
      </c>
      <c r="CJ48" s="53">
        <v>-195</v>
      </c>
      <c r="CK48" s="53">
        <v>-258</v>
      </c>
      <c r="CL48" s="53">
        <v>-255</v>
      </c>
      <c r="CM48" s="1006">
        <f>SUM(CI48:CL48)</f>
        <v>-898</v>
      </c>
      <c r="CN48" s="53">
        <v>-257</v>
      </c>
      <c r="CO48" s="53">
        <v>-234</v>
      </c>
      <c r="CP48" s="53">
        <v>-309</v>
      </c>
      <c r="CQ48" s="53">
        <v>-316</v>
      </c>
      <c r="CR48" s="1006">
        <f>SUM(CN48:CQ48)</f>
        <v>-1116</v>
      </c>
      <c r="CS48" s="250">
        <v>-453</v>
      </c>
      <c r="CT48" s="53">
        <v>-516</v>
      </c>
      <c r="CU48" s="53">
        <f>-595</f>
        <v>-595</v>
      </c>
      <c r="CV48" s="53">
        <v>-586</v>
      </c>
      <c r="CW48" s="1006">
        <f>SUM(CS48:CV48)</f>
        <v>-2150</v>
      </c>
      <c r="CX48" s="533">
        <f>-(CX46+CX47)*CX34</f>
        <v>-410.40284499193433</v>
      </c>
      <c r="CY48" s="533">
        <f>-CY46*(CY33/(CY32+CY47))</f>
        <v>-240.20230563756502</v>
      </c>
      <c r="CZ48" s="2635">
        <f>-(CZ46+CZ47)*CZ34</f>
        <v>-284.43915277603713</v>
      </c>
      <c r="DA48" s="2635">
        <f>-(DA46)*0.15</f>
        <v>-277.05</v>
      </c>
      <c r="DB48" s="1006">
        <f>SUM(CX48:DA48)</f>
        <v>-1212.0943034055365</v>
      </c>
      <c r="DC48" s="2606">
        <f>-(DC46+DC47)*DC34</f>
        <v>5.8491890353789247</v>
      </c>
      <c r="DD48" s="2635">
        <f>-(DD46+DD47-DD25)*DD34</f>
        <v>-404.61209964412814</v>
      </c>
      <c r="DE48" s="2635">
        <f>-(DE46+DE47)*DE34</f>
        <v>-108.24903302588515</v>
      </c>
      <c r="DF48" s="2635">
        <f>-(DF46+DF47)*DF34</f>
        <v>-102.11080222398729</v>
      </c>
      <c r="DG48" s="2590">
        <f>SUM(DC48:DF48)</f>
        <v>-609.12274585862167</v>
      </c>
      <c r="DH48" s="2635">
        <f>-(DH46+DH47-DH25)*DH34</f>
        <v>-314.0316719862509</v>
      </c>
      <c r="DI48" s="2635">
        <f>-(DI46+DI47)*DI34</f>
        <v>-75.524820943442833</v>
      </c>
      <c r="DJ48" s="2606">
        <f>-(DJ46+DJ47)*DJ34</f>
        <v>-687.78859527121006</v>
      </c>
      <c r="DK48" s="2606">
        <f>-(DK46+DK47)*DK34</f>
        <v>-5.6356502242152464</v>
      </c>
      <c r="DL48" s="1010">
        <f>SUM(DH48:DK48)</f>
        <v>-1082.9807384251189</v>
      </c>
      <c r="DM48" s="501">
        <f>-(DM46+DM47)*DM34</f>
        <v>-474.56967899961325</v>
      </c>
      <c r="DN48" s="501">
        <f>-(DN46+DN47)*DN34</f>
        <v>-305.8931980186058</v>
      </c>
      <c r="DO48" s="501">
        <f>-(DO46+DO47)*DO34</f>
        <v>-238.56635975746687</v>
      </c>
      <c r="DP48" s="501">
        <f>-(DP46+DP47)*DP34</f>
        <v>-105.77355663759431</v>
      </c>
      <c r="DQ48" s="1010">
        <f>SUM(DM48:DP48)</f>
        <v>-1124.8027934132801</v>
      </c>
      <c r="DR48" s="501">
        <f>-(DR46+DR47)*DR34</f>
        <v>119.10294601325</v>
      </c>
      <c r="DS48" s="501">
        <f>-(DS46+DS47)*DS34</f>
        <v>-246.77188992494882</v>
      </c>
      <c r="DT48" s="501">
        <f>-(DT46+DT47)*DT34</f>
        <v>-398.76795005202911</v>
      </c>
      <c r="DU48" s="501">
        <f>-(DU46+DU47)*DU34</f>
        <v>-279.66560118023108</v>
      </c>
      <c r="DV48" s="1010">
        <f>SUM(DR48:DU48)</f>
        <v>-806.102495143959</v>
      </c>
      <c r="DW48" s="501">
        <f>-(DW46+DW47)*DW34</f>
        <v>-801.88253934720603</v>
      </c>
      <c r="DX48" s="501">
        <f>-(DX46+DX47)*DX34</f>
        <v>-904.04354686020838</v>
      </c>
      <c r="DY48" s="501">
        <f>-(DY46+DY47)*DY34</f>
        <v>-929.17137928910245</v>
      </c>
      <c r="DZ48" s="501">
        <f>-(DZ46+DZ47)*DZ34</f>
        <v>-1391.366186504928</v>
      </c>
      <c r="EA48" s="1010">
        <f>SUM(DW48:DZ48)</f>
        <v>-4026.4636520014446</v>
      </c>
      <c r="EB48" s="501">
        <f>-(EB46+EB47)*EB34</f>
        <v>-916.66102719033233</v>
      </c>
      <c r="EC48" s="501">
        <f>-(EC46+EC47)*EC34</f>
        <v>-1065.3579418344518</v>
      </c>
      <c r="ED48" s="501">
        <f>-(ED46+ED47)*ED34</f>
        <v>-494.79360286833042</v>
      </c>
      <c r="EE48" s="501">
        <f>-(EE46+EE47)*EE34</f>
        <v>-923.7731443552351</v>
      </c>
      <c r="EF48" s="1010">
        <f>SUM(EB48:EE48)</f>
        <v>-3400.5857162483499</v>
      </c>
      <c r="EG48" s="501">
        <f>-(EG46+EG47)*EG34</f>
        <v>-572.19657425392904</v>
      </c>
      <c r="EH48" s="501">
        <f>-(EH46+EH47)*EH34</f>
        <v>-974.61536786323552</v>
      </c>
      <c r="EI48" s="501">
        <f>-(EI46+EI47)*EI34</f>
        <v>-665.52450640257371</v>
      </c>
      <c r="EJ48" s="501">
        <f>-(EJ46+EJ47)*EJ34</f>
        <v>-995.97708029649846</v>
      </c>
      <c r="EK48" s="1010">
        <f>SUM(EG48:EJ48)</f>
        <v>-3208.3135288162366</v>
      </c>
      <c r="EL48" s="501">
        <f>-(EL46+EL47)*EL34</f>
        <v>809.39563042906025</v>
      </c>
      <c r="EM48" s="501">
        <f>-(EM46+EM47)*EM34</f>
        <v>-741.53425868623458</v>
      </c>
      <c r="EN48" s="501">
        <f>-(EN46+EN47)*EN34</f>
        <v>380.49569190897307</v>
      </c>
      <c r="EO48" s="501">
        <f t="shared" ref="EO48:ET48" si="160">-(EO46+EO47)*EO34</f>
        <v>-1133.9317088456228</v>
      </c>
      <c r="EP48" s="1010">
        <f>SUM(EL48:EO48)</f>
        <v>-685.57464519382404</v>
      </c>
      <c r="EQ48" s="501">
        <f t="shared" si="160"/>
        <v>-1121.2283406415254</v>
      </c>
      <c r="ER48" s="501">
        <f t="shared" si="160"/>
        <v>-1231.0795703823101</v>
      </c>
      <c r="ES48" s="501">
        <f t="shared" si="160"/>
        <v>-1295.6070389214999</v>
      </c>
      <c r="ET48" s="501">
        <f t="shared" si="160"/>
        <v>-1291.213469764049</v>
      </c>
      <c r="EU48" s="1010">
        <f>SUM(EQ48:ET48)</f>
        <v>-4939.1284197093846</v>
      </c>
      <c r="EV48" s="1010">
        <f>-(EV46+EV47)*EV34</f>
        <v>-5331.1146896602113</v>
      </c>
      <c r="EW48" s="1010">
        <f>-(EW46+EW47)*EW34</f>
        <v>-5735.2456222329292</v>
      </c>
      <c r="EX48" s="1010">
        <f>-(EX46+EX47)*EX34</f>
        <v>-6153.1884161080543</v>
      </c>
      <c r="EY48" s="1010">
        <f>-(EY46+EY47)*EY34</f>
        <v>-6584.0281324644648</v>
      </c>
      <c r="EZ48" s="51"/>
      <c r="FA48" s="1104"/>
      <c r="FB48" s="1104"/>
      <c r="FC48" s="1104"/>
      <c r="FD48" s="1104"/>
      <c r="FE48" s="1104"/>
      <c r="FF48" s="1104"/>
      <c r="FG48" s="1104"/>
      <c r="FH48" s="1104"/>
      <c r="FI48" s="1104"/>
      <c r="FJ48" s="1104"/>
      <c r="FK48" s="1104"/>
      <c r="FL48" s="1104"/>
    </row>
    <row r="49" spans="1:170" s="84" customFormat="1" ht="11.25" hidden="1" customHeight="1" outlineLevel="1">
      <c r="A49" s="3746" t="s">
        <v>392</v>
      </c>
      <c r="B49" s="150"/>
      <c r="C49" s="150"/>
      <c r="D49" s="150"/>
      <c r="E49" s="148"/>
      <c r="F49" s="968"/>
      <c r="G49" s="150"/>
      <c r="H49" s="150"/>
      <c r="I49" s="581"/>
      <c r="J49" s="582"/>
      <c r="K49" s="968"/>
      <c r="L49" s="581"/>
      <c r="M49" s="581"/>
      <c r="N49" s="581"/>
      <c r="O49" s="582"/>
      <c r="P49" s="968"/>
      <c r="Q49" s="150"/>
      <c r="R49" s="150"/>
      <c r="S49" s="150"/>
      <c r="T49" s="148"/>
      <c r="U49" s="968"/>
      <c r="V49" s="969"/>
      <c r="W49" s="150"/>
      <c r="X49" s="150"/>
      <c r="Y49" s="148"/>
      <c r="Z49" s="968"/>
      <c r="AA49" s="969"/>
      <c r="AB49" s="150"/>
      <c r="AC49" s="150"/>
      <c r="AD49" s="148"/>
      <c r="AE49" s="968"/>
      <c r="AF49" s="969"/>
      <c r="AG49" s="150"/>
      <c r="AH49" s="150"/>
      <c r="AI49" s="148"/>
      <c r="AJ49" s="968"/>
      <c r="AK49" s="969"/>
      <c r="AL49" s="150"/>
      <c r="AM49" s="150"/>
      <c r="AN49" s="148"/>
      <c r="AO49" s="968"/>
      <c r="AP49" s="969"/>
      <c r="AQ49" s="150"/>
      <c r="AR49" s="150"/>
      <c r="AS49" s="148"/>
      <c r="AT49" s="968"/>
      <c r="AU49" s="969"/>
      <c r="AV49" s="150"/>
      <c r="AW49" s="150"/>
      <c r="AX49" s="148"/>
      <c r="AY49" s="968"/>
      <c r="AZ49" s="969"/>
      <c r="BA49" s="150"/>
      <c r="BB49" s="150"/>
      <c r="BC49" s="150"/>
      <c r="BD49" s="999"/>
      <c r="BE49" s="1728"/>
      <c r="BF49" s="150"/>
      <c r="BG49" s="150"/>
      <c r="BH49" s="150"/>
      <c r="BI49" s="999"/>
      <c r="BJ49" s="150"/>
      <c r="BK49" s="150"/>
      <c r="BL49" s="150"/>
      <c r="BM49" s="150"/>
      <c r="BN49" s="999"/>
      <c r="BO49" s="150"/>
      <c r="BP49" s="150"/>
      <c r="BQ49" s="150"/>
      <c r="BR49" s="51">
        <v>21</v>
      </c>
      <c r="BS49" s="1730">
        <v>21</v>
      </c>
      <c r="BT49" s="150"/>
      <c r="BU49" s="150">
        <f>-BU35</f>
        <v>199</v>
      </c>
      <c r="BV49" s="150">
        <f>-BV35</f>
        <v>523</v>
      </c>
      <c r="BW49" s="51">
        <f>-BW35</f>
        <v>355</v>
      </c>
      <c r="BX49" s="1001">
        <f>SUM(BT49:BW49)</f>
        <v>1077</v>
      </c>
      <c r="BY49" s="51">
        <v>-22</v>
      </c>
      <c r="BZ49" s="51">
        <v>-674</v>
      </c>
      <c r="CA49" s="51">
        <v>-15</v>
      </c>
      <c r="CB49" s="51">
        <v>5</v>
      </c>
      <c r="CC49" s="1001">
        <v>-706</v>
      </c>
      <c r="CD49" s="51">
        <f>-CD35</f>
        <v>182</v>
      </c>
      <c r="CE49" s="51">
        <f>-CE35</f>
        <v>-454</v>
      </c>
      <c r="CF49" s="51">
        <f>-CF35</f>
        <v>302</v>
      </c>
      <c r="CG49" s="51">
        <f>-CG35</f>
        <v>506</v>
      </c>
      <c r="CH49" s="1001">
        <f>SUM(CD49:CG49)</f>
        <v>536</v>
      </c>
      <c r="CI49" s="42">
        <f>-CI35</f>
        <v>198</v>
      </c>
      <c r="CJ49" s="51">
        <f>-CJ35</f>
        <v>68</v>
      </c>
      <c r="CK49" s="51">
        <f>-CK35</f>
        <v>185</v>
      </c>
      <c r="CL49" s="51">
        <f>-CL35</f>
        <v>-967</v>
      </c>
      <c r="CM49" s="1003">
        <f>SUM(CI49:CL49)</f>
        <v>-516</v>
      </c>
      <c r="CN49" s="82">
        <f>-CN35</f>
        <v>0</v>
      </c>
      <c r="CO49" s="51">
        <f>-CO35</f>
        <v>0</v>
      </c>
      <c r="CP49" s="51">
        <f>-CP35</f>
        <v>0</v>
      </c>
      <c r="CQ49" s="51">
        <f>-CQ35</f>
        <v>0</v>
      </c>
      <c r="CR49" s="1003">
        <v>0</v>
      </c>
      <c r="CS49" s="51">
        <f>-CS35</f>
        <v>0</v>
      </c>
      <c r="CT49" s="51">
        <f>-CT35</f>
        <v>0</v>
      </c>
      <c r="CU49" s="51">
        <f>-CU35</f>
        <v>0</v>
      </c>
      <c r="CV49" s="82">
        <v>0</v>
      </c>
      <c r="CW49" s="1003">
        <v>0</v>
      </c>
      <c r="CX49" s="82">
        <v>0</v>
      </c>
      <c r="CY49" s="82">
        <v>0</v>
      </c>
      <c r="CZ49" s="82">
        <v>0</v>
      </c>
      <c r="DA49" s="82">
        <v>0</v>
      </c>
      <c r="DB49" s="1003">
        <v>0</v>
      </c>
      <c r="DC49" s="2608"/>
      <c r="DD49" s="2608"/>
      <c r="DE49" s="2608"/>
      <c r="DF49" s="2608"/>
      <c r="DG49" s="2589"/>
      <c r="DH49" s="2608"/>
      <c r="DI49" s="2608"/>
      <c r="DJ49" s="2608"/>
      <c r="DK49" s="2608"/>
      <c r="DL49" s="1010"/>
      <c r="DM49" s="501"/>
      <c r="DN49" s="501"/>
      <c r="DO49" s="501"/>
      <c r="DP49" s="501"/>
      <c r="DQ49" s="1010"/>
      <c r="DR49" s="501"/>
      <c r="DS49" s="501"/>
      <c r="DT49" s="501"/>
      <c r="DU49" s="501"/>
      <c r="DV49" s="1010"/>
      <c r="DW49" s="501"/>
      <c r="DX49" s="501"/>
      <c r="DY49" s="501"/>
      <c r="DZ49" s="501"/>
      <c r="EA49" s="1010"/>
      <c r="EB49" s="501"/>
      <c r="EC49" s="501"/>
      <c r="ED49" s="501"/>
      <c r="EE49" s="501"/>
      <c r="EF49" s="1010"/>
      <c r="EG49" s="501"/>
      <c r="EH49" s="501"/>
      <c r="EI49" s="501"/>
      <c r="EJ49" s="501"/>
      <c r="EK49" s="1010"/>
      <c r="EL49" s="501"/>
      <c r="EM49" s="501"/>
      <c r="EN49" s="501"/>
      <c r="EO49" s="501"/>
      <c r="EP49" s="1010"/>
      <c r="EQ49" s="501"/>
      <c r="ER49" s="501"/>
      <c r="ES49" s="501"/>
      <c r="ET49" s="501"/>
      <c r="EU49" s="1010"/>
      <c r="EV49" s="1010"/>
      <c r="EW49" s="1010"/>
      <c r="EX49" s="1010"/>
      <c r="EY49" s="1010"/>
      <c r="EZ49" s="51"/>
      <c r="FA49" s="1104"/>
      <c r="FB49" s="1104"/>
      <c r="FC49" s="1104"/>
      <c r="FD49" s="1104"/>
      <c r="FE49" s="1104"/>
      <c r="FF49" s="1104"/>
      <c r="FG49" s="1104"/>
      <c r="FH49" s="1104"/>
      <c r="FI49" s="1104"/>
      <c r="FJ49" s="1104"/>
      <c r="FK49" s="1104"/>
      <c r="FL49" s="1104"/>
    </row>
    <row r="50" spans="1:170" s="297" customFormat="1" ht="11.25" customHeight="1" collapsed="1">
      <c r="A50" s="3741" t="s">
        <v>920</v>
      </c>
      <c r="B50" s="3055"/>
      <c r="C50" s="3055"/>
      <c r="D50" s="3055"/>
      <c r="E50" s="3099"/>
      <c r="F50" s="3097">
        <f>F36+SUM(F46:F48)</f>
        <v>-6.0759999999999996</v>
      </c>
      <c r="G50" s="3055"/>
      <c r="H50" s="3055"/>
      <c r="I50" s="3055"/>
      <c r="J50" s="3099"/>
      <c r="K50" s="3097">
        <f>K36+SUM(K46:K48)</f>
        <v>-12.183999999999997</v>
      </c>
      <c r="L50" s="3055"/>
      <c r="M50" s="3055"/>
      <c r="N50" s="3055"/>
      <c r="O50" s="3099"/>
      <c r="P50" s="3097">
        <f t="shared" ref="P50:AU50" si="161">P36+SUM(P46:P48)</f>
        <v>15.5761059793405</v>
      </c>
      <c r="Q50" s="3098">
        <f t="shared" si="161"/>
        <v>11.699999999999994</v>
      </c>
      <c r="R50" s="3055">
        <f t="shared" si="161"/>
        <v>20.32800000000001</v>
      </c>
      <c r="S50" s="3055">
        <f t="shared" si="161"/>
        <v>36.489000000000004</v>
      </c>
      <c r="T50" s="3099">
        <f t="shared" si="161"/>
        <v>52.773999999999994</v>
      </c>
      <c r="U50" s="3097">
        <f t="shared" si="161"/>
        <v>121.29100000000003</v>
      </c>
      <c r="V50" s="3098">
        <f t="shared" si="161"/>
        <v>62.218000000000004</v>
      </c>
      <c r="W50" s="3055">
        <f t="shared" si="161"/>
        <v>66.332999999999998</v>
      </c>
      <c r="X50" s="3055">
        <f t="shared" si="161"/>
        <v>94.220000000000027</v>
      </c>
      <c r="Y50" s="3099">
        <f t="shared" si="161"/>
        <v>112.23799999999994</v>
      </c>
      <c r="Z50" s="3097">
        <f t="shared" si="161"/>
        <v>335.00900000000001</v>
      </c>
      <c r="AA50" s="3098">
        <f t="shared" si="161"/>
        <v>140.44600000000003</v>
      </c>
      <c r="AB50" s="3055">
        <f t="shared" si="161"/>
        <v>153.82399999999996</v>
      </c>
      <c r="AC50" s="3055">
        <f t="shared" si="161"/>
        <v>176.64855999999997</v>
      </c>
      <c r="AD50" s="3099">
        <f t="shared" si="161"/>
        <v>193.74356000000003</v>
      </c>
      <c r="AE50" s="3097">
        <f t="shared" si="161"/>
        <v>664.66211999999996</v>
      </c>
      <c r="AF50" s="3098">
        <f t="shared" si="161"/>
        <v>357.36308000000008</v>
      </c>
      <c r="AG50" s="3055">
        <f t="shared" si="161"/>
        <v>380.74899999999985</v>
      </c>
      <c r="AH50" s="3055">
        <f t="shared" si="161"/>
        <v>437.19199999999995</v>
      </c>
      <c r="AI50" s="3099">
        <f t="shared" si="161"/>
        <v>469.45499999999993</v>
      </c>
      <c r="AJ50" s="3097">
        <f t="shared" si="161"/>
        <v>1644.7590800000003</v>
      </c>
      <c r="AK50" s="3427">
        <f t="shared" si="161"/>
        <v>699.52900000000022</v>
      </c>
      <c r="AL50" s="3055">
        <f t="shared" si="161"/>
        <v>772.14499999999987</v>
      </c>
      <c r="AM50" s="3055">
        <f t="shared" si="161"/>
        <v>812.28299999999956</v>
      </c>
      <c r="AN50" s="3099">
        <f t="shared" si="161"/>
        <v>997.29799999999989</v>
      </c>
      <c r="AO50" s="3097">
        <f t="shared" si="161"/>
        <v>3281.2549999999997</v>
      </c>
      <c r="AP50" s="3055">
        <f t="shared" si="161"/>
        <v>1159.2600000000004</v>
      </c>
      <c r="AQ50" s="3055">
        <f t="shared" si="161"/>
        <v>1123.6470000000004</v>
      </c>
      <c r="AR50" s="3055">
        <f t="shared" si="161"/>
        <v>1236.9289999999999</v>
      </c>
      <c r="AS50" s="3099">
        <f t="shared" si="161"/>
        <v>1409.4960000000003</v>
      </c>
      <c r="AT50" s="3097">
        <f t="shared" si="161"/>
        <v>4929.3320000000003</v>
      </c>
      <c r="AU50" s="3055">
        <f t="shared" si="161"/>
        <v>1537.1289999999999</v>
      </c>
      <c r="AV50" s="3055">
        <f t="shared" ref="AV50:BN50" si="162">AV36+SUM(AV46:AV48)</f>
        <v>1472.4030000000002</v>
      </c>
      <c r="AW50" s="3055">
        <f t="shared" si="162"/>
        <v>1563.0769999999998</v>
      </c>
      <c r="AX50" s="3099">
        <f t="shared" si="162"/>
        <v>1615.9350000000011</v>
      </c>
      <c r="AY50" s="3097">
        <f t="shared" si="162"/>
        <v>6188.5440000000008</v>
      </c>
      <c r="AZ50" s="3055">
        <f t="shared" si="162"/>
        <v>1636.2949999999996</v>
      </c>
      <c r="BA50" s="3055">
        <f t="shared" si="162"/>
        <v>1708.2149999999997</v>
      </c>
      <c r="BB50" s="3055">
        <f t="shared" si="162"/>
        <v>1883.9199999999996</v>
      </c>
      <c r="BC50" s="3055">
        <f t="shared" si="162"/>
        <v>2188.0630000000006</v>
      </c>
      <c r="BD50" s="3053">
        <f t="shared" si="162"/>
        <v>7416.4929999999986</v>
      </c>
      <c r="BE50" s="3304">
        <f t="shared" si="162"/>
        <v>2181</v>
      </c>
      <c r="BF50" s="3055">
        <f t="shared" si="162"/>
        <v>2079</v>
      </c>
      <c r="BG50" s="3055">
        <f t="shared" si="162"/>
        <v>2462</v>
      </c>
      <c r="BH50" s="3055">
        <f t="shared" si="162"/>
        <v>2850</v>
      </c>
      <c r="BI50" s="3053">
        <f t="shared" si="162"/>
        <v>9572</v>
      </c>
      <c r="BJ50" s="3055">
        <f t="shared" si="162"/>
        <v>2638</v>
      </c>
      <c r="BK50" s="3055">
        <f t="shared" si="162"/>
        <v>2849</v>
      </c>
      <c r="BL50" s="3055">
        <f t="shared" si="162"/>
        <v>3184</v>
      </c>
      <c r="BM50" s="3055">
        <f t="shared" si="162"/>
        <v>3127</v>
      </c>
      <c r="BN50" s="3053">
        <f t="shared" si="162"/>
        <v>11798</v>
      </c>
      <c r="BO50" s="3055">
        <v>3328</v>
      </c>
      <c r="BP50" s="3055">
        <v>3346</v>
      </c>
      <c r="BQ50" s="3055">
        <v>3009</v>
      </c>
      <c r="BR50" s="3099">
        <v>3568</v>
      </c>
      <c r="BS50" s="3428">
        <v>13251</v>
      </c>
      <c r="BT50" s="3055">
        <f>BT36+SUM(BT46:BT48)</f>
        <v>3328</v>
      </c>
      <c r="BU50" s="3055">
        <f>BU36+SUM(BU46:BU48)</f>
        <v>3384</v>
      </c>
      <c r="BV50" s="3055">
        <f>BV36+SUM(BV46:BV48)</f>
        <v>3160</v>
      </c>
      <c r="BW50" s="3055">
        <f>BW36+SUM(BW46:BW48)+BW49</f>
        <v>3720</v>
      </c>
      <c r="BX50" s="3053">
        <f>BX36+SUM(BX46:BX48)+BX49</f>
        <v>13535</v>
      </c>
      <c r="BY50" s="3055">
        <v>3899</v>
      </c>
      <c r="BZ50" s="3055">
        <v>3233</v>
      </c>
      <c r="CA50" s="3055">
        <v>3643</v>
      </c>
      <c r="CB50" s="3055">
        <v>4096</v>
      </c>
      <c r="CC50" s="3053">
        <v>14871</v>
      </c>
      <c r="CD50" s="3055">
        <f t="shared" ref="CD50:DP50" si="163">CD36+SUM(CD46:CD48)+CD49</f>
        <v>4042</v>
      </c>
      <c r="CE50" s="3055">
        <f t="shared" si="163"/>
        <v>3392</v>
      </c>
      <c r="CF50" s="3055">
        <f t="shared" si="163"/>
        <v>3960</v>
      </c>
      <c r="CG50" s="3055">
        <f t="shared" si="163"/>
        <v>4597</v>
      </c>
      <c r="CH50" s="3053">
        <f t="shared" si="163"/>
        <v>15991</v>
      </c>
      <c r="CI50" s="3055">
        <f t="shared" si="163"/>
        <v>4217.6559999999999</v>
      </c>
      <c r="CJ50" s="3055">
        <f t="shared" si="163"/>
        <v>4105.2503999999999</v>
      </c>
      <c r="CK50" s="3055">
        <f t="shared" si="163"/>
        <v>4298.6059999999998</v>
      </c>
      <c r="CL50" s="3055">
        <f t="shared" si="163"/>
        <v>4653.6130000000003</v>
      </c>
      <c r="CM50" s="3053">
        <f t="shared" si="163"/>
        <v>17583</v>
      </c>
      <c r="CN50" s="3055">
        <f t="shared" si="163"/>
        <v>4460.2332000000006</v>
      </c>
      <c r="CO50" s="3055">
        <f t="shared" si="163"/>
        <v>4829</v>
      </c>
      <c r="CP50" s="3055">
        <f t="shared" si="163"/>
        <v>5102</v>
      </c>
      <c r="CQ50" s="3055">
        <f t="shared" si="163"/>
        <v>6043</v>
      </c>
      <c r="CR50" s="3053">
        <f t="shared" si="163"/>
        <v>20434.233200000002</v>
      </c>
      <c r="CS50" s="3055">
        <f t="shared" si="163"/>
        <v>5248</v>
      </c>
      <c r="CT50" s="3055">
        <f t="shared" si="163"/>
        <v>5864</v>
      </c>
      <c r="CU50" s="3055">
        <f t="shared" si="163"/>
        <v>6326</v>
      </c>
      <c r="CV50" s="3055">
        <f t="shared" si="163"/>
        <v>6557</v>
      </c>
      <c r="CW50" s="3053">
        <f t="shared" si="163"/>
        <v>23995</v>
      </c>
      <c r="CX50" s="3055">
        <f t="shared" si="163"/>
        <v>7024.5971550080658</v>
      </c>
      <c r="CY50" s="3055">
        <f t="shared" si="163"/>
        <v>8022.7976943624353</v>
      </c>
      <c r="CZ50" s="3055">
        <f t="shared" si="163"/>
        <v>8267.5608472239619</v>
      </c>
      <c r="DA50" s="3055">
        <f t="shared" si="163"/>
        <v>8406.9500000000007</v>
      </c>
      <c r="DB50" s="3053">
        <f t="shared" si="163"/>
        <v>31721.905696594462</v>
      </c>
      <c r="DC50" s="3055">
        <f t="shared" si="163"/>
        <v>9352.8491890353798</v>
      </c>
      <c r="DD50" s="3055">
        <f t="shared" si="163"/>
        <v>9533.3879003558723</v>
      </c>
      <c r="DE50" s="3055">
        <f t="shared" si="163"/>
        <v>10308.750966974116</v>
      </c>
      <c r="DF50" s="3055">
        <f t="shared" si="163"/>
        <v>9760.8891977760122</v>
      </c>
      <c r="DG50" s="3053">
        <f t="shared" si="163"/>
        <v>38955.877254141378</v>
      </c>
      <c r="DH50" s="3055">
        <f>DH36+SUM(DH46:DH48)+DH49</f>
        <v>9757.9683280137488</v>
      </c>
      <c r="DI50" s="3055">
        <f>DI36+SUM(DI46:DI48)+DI49</f>
        <v>10288.475179056557</v>
      </c>
      <c r="DJ50" s="3055">
        <f>DJ36+SUM(DJ46:DJ48)+DJ49</f>
        <v>10184.211404728791</v>
      </c>
      <c r="DK50" s="3055">
        <f>DK36+SUM(DK46:DK48)+DK49</f>
        <v>12493.364349775784</v>
      </c>
      <c r="DL50" s="3150">
        <f t="shared" si="163"/>
        <v>42724.019261574882</v>
      </c>
      <c r="DM50" s="3055">
        <f t="shared" si="163"/>
        <v>10358.430321000387</v>
      </c>
      <c r="DN50" s="3055">
        <f t="shared" si="163"/>
        <v>8574.1068019813938</v>
      </c>
      <c r="DO50" s="3055">
        <f t="shared" si="163"/>
        <v>12517.433640242532</v>
      </c>
      <c r="DP50" s="3055">
        <f t="shared" si="163"/>
        <v>15692.226443362406</v>
      </c>
      <c r="DQ50" s="3150">
        <f t="shared" ref="DQ50:DV50" si="164">DQ36+SUM(DQ46:DQ48)+DQ49</f>
        <v>47142.197206586716</v>
      </c>
      <c r="DR50" s="3055">
        <f t="shared" si="164"/>
        <v>17293.102946013249</v>
      </c>
      <c r="DS50" s="3055">
        <f t="shared" si="164"/>
        <v>19846.228110075052</v>
      </c>
      <c r="DT50" s="3055">
        <f t="shared" si="164"/>
        <v>20765.232049947972</v>
      </c>
      <c r="DU50" s="3055">
        <f t="shared" si="164"/>
        <v>22177.33439881977</v>
      </c>
      <c r="DV50" s="3150">
        <f t="shared" si="164"/>
        <v>80081.897504856039</v>
      </c>
      <c r="DW50" s="3055">
        <f t="shared" ref="DW50:EW50" si="165">DW36+SUM(DW46:DW48)+DW49</f>
        <v>21712.117460652793</v>
      </c>
      <c r="DX50" s="3055">
        <f t="shared" si="165"/>
        <v>20804.956453139792</v>
      </c>
      <c r="DY50" s="3055">
        <f t="shared" si="165"/>
        <v>19473.828620710898</v>
      </c>
      <c r="DZ50" s="3055">
        <f t="shared" si="165"/>
        <v>19004.633813495071</v>
      </c>
      <c r="EA50" s="3150">
        <f t="shared" si="165"/>
        <v>80995.536347998554</v>
      </c>
      <c r="EB50" s="3055">
        <f t="shared" si="165"/>
        <v>19425.338972809666</v>
      </c>
      <c r="EC50" s="3055">
        <f t="shared" si="165"/>
        <v>23903.642058165547</v>
      </c>
      <c r="ED50" s="3055">
        <f t="shared" si="165"/>
        <v>26149.206397131667</v>
      </c>
      <c r="EE50" s="3055">
        <f t="shared" ref="EE50" si="166">EE36+SUM(EE46:EE48)+EE49</f>
        <v>25817.226855644767</v>
      </c>
      <c r="EF50" s="3150">
        <f t="shared" si="165"/>
        <v>95295.414283751656</v>
      </c>
      <c r="EG50" s="3055">
        <f t="shared" ref="EG50:EJ50" si="167">EG36+SUM(EG46:EG48)+EG49</f>
        <v>26571.803425746071</v>
      </c>
      <c r="EH50" s="3055">
        <f t="shared" si="167"/>
        <v>29473.384632136764</v>
      </c>
      <c r="EI50" s="3055">
        <f t="shared" si="167"/>
        <v>29539.475493597427</v>
      </c>
      <c r="EJ50" s="3055">
        <f t="shared" si="167"/>
        <v>31167.022919703501</v>
      </c>
      <c r="EK50" s="3053">
        <f t="shared" si="165"/>
        <v>116751.68647118376</v>
      </c>
      <c r="EL50" s="3055">
        <f t="shared" si="165"/>
        <v>30683.395630429062</v>
      </c>
      <c r="EM50" s="3055">
        <f t="shared" si="165"/>
        <v>31840.465741313765</v>
      </c>
      <c r="EN50" s="3055">
        <f t="shared" si="165"/>
        <v>33501.495691908975</v>
      </c>
      <c r="EO50" s="3055">
        <f t="shared" ref="EO50:EP50" ca="1" si="168">EO36+SUM(EO46:EO48)+EO49</f>
        <v>37317.062876253382</v>
      </c>
      <c r="EP50" s="3053">
        <f t="shared" ca="1" si="168"/>
        <v>133342.4199399052</v>
      </c>
      <c r="EQ50" s="3055">
        <f t="shared" ref="EQ50:EU50" ca="1" si="169">EQ36+SUM(EQ46:EQ48)+EQ49</f>
        <v>37065.560297215103</v>
      </c>
      <c r="ER50" s="3055">
        <f t="shared" ca="1" si="169"/>
        <v>39008.568961118348</v>
      </c>
      <c r="ES50" s="3055">
        <f t="shared" ca="1" si="169"/>
        <v>40227.686866833545</v>
      </c>
      <c r="ET50" s="3055">
        <f t="shared" ca="1" si="169"/>
        <v>43098.3637527342</v>
      </c>
      <c r="EU50" s="3053">
        <f t="shared" ca="1" si="169"/>
        <v>159400.17987790119</v>
      </c>
      <c r="EV50" s="3053">
        <f t="shared" ca="1" si="165"/>
        <v>176607.51704503762</v>
      </c>
      <c r="EW50" s="3053">
        <f t="shared" ca="1" si="165"/>
        <v>198832.70127323474</v>
      </c>
      <c r="EX50" s="3053">
        <f t="shared" ref="EX50:EY50" ca="1" si="170">EX36+SUM(EX46:EX48)+EX49</f>
        <v>223334.91206074736</v>
      </c>
      <c r="EY50" s="3053">
        <f t="shared" ca="1" si="170"/>
        <v>251499.42455050984</v>
      </c>
      <c r="EZ50" s="623"/>
      <c r="FA50" s="1319">
        <f>(EA50/DL50)^(1/3)-1</f>
        <v>0.23764567300391071</v>
      </c>
      <c r="FB50" s="1319">
        <f>(EF50/DQ50)^(1/3)-1</f>
        <v>0.26440846308823729</v>
      </c>
      <c r="FC50" s="1319">
        <f>(EK50/DV50)^(1/3)-1</f>
        <v>0.13390395269354505</v>
      </c>
      <c r="FD50" s="1319">
        <f ca="1">(EP50/EA50)^(1/3)-1</f>
        <v>0.18078025511705786</v>
      </c>
      <c r="FE50" s="1319">
        <f t="shared" ref="FE50:FE51" ca="1" si="171">(EU50/EF50)^(1/3)-1</f>
        <v>0.18705889928647523</v>
      </c>
      <c r="FF50" s="1319">
        <f ca="1">(EV50/EK50)^(1/3)-1</f>
        <v>0.14792982771803764</v>
      </c>
      <c r="FG50" s="1319">
        <f>(EK50/DL50)^(1/5)-1</f>
        <v>0.22269521355196265</v>
      </c>
      <c r="FH50" s="1319">
        <f ca="1">(EP50/DQ50)^(1/5)-1</f>
        <v>0.23115207802282534</v>
      </c>
      <c r="FI50" s="1319">
        <f ca="1">(EU50/DV50)^(1/5)-1</f>
        <v>0.14760092711357697</v>
      </c>
      <c r="FJ50" s="1319">
        <f ca="1">(EV50/EA50)^(1/5)-1</f>
        <v>0.168717695774522</v>
      </c>
      <c r="FK50" s="1319">
        <f t="shared" ref="FK50:FK51" ca="1" si="172">(EW50/EF50)^(1/5)-1</f>
        <v>0.1584656530255828</v>
      </c>
      <c r="FL50" s="1319">
        <f ca="1">(EX50/EK50)^(1/5)-1</f>
        <v>0.13851482756041245</v>
      </c>
    </row>
    <row r="51" spans="1:170" s="306" customFormat="1" ht="11.25" customHeight="1">
      <c r="A51" s="3747" t="s">
        <v>919</v>
      </c>
      <c r="B51" s="3276"/>
      <c r="C51" s="3276"/>
      <c r="D51" s="3276"/>
      <c r="E51" s="3429"/>
      <c r="F51" s="3430">
        <f>F50/F52</f>
        <v>-7.1574979385086567E-3</v>
      </c>
      <c r="G51" s="3276"/>
      <c r="H51" s="3276"/>
      <c r="I51" s="3276"/>
      <c r="J51" s="3429"/>
      <c r="K51" s="3430">
        <f>K50/K52</f>
        <v>-9.0881966821816443E-3</v>
      </c>
      <c r="L51" s="3276"/>
      <c r="M51" s="3276"/>
      <c r="N51" s="3276"/>
      <c r="O51" s="3429"/>
      <c r="P51" s="3430">
        <f t="shared" ref="P51:AU51" si="173">P50/P52</f>
        <v>4.1697289746382028E-3</v>
      </c>
      <c r="Q51" s="3276">
        <f t="shared" si="173"/>
        <v>2.9249999999999983E-3</v>
      </c>
      <c r="R51" s="3276">
        <f t="shared" si="173"/>
        <v>4.7384615384615412E-3</v>
      </c>
      <c r="S51" s="3276">
        <f t="shared" si="173"/>
        <v>7.9323913043478269E-3</v>
      </c>
      <c r="T51" s="3429">
        <f t="shared" si="173"/>
        <v>1.1085577448220812E-2</v>
      </c>
      <c r="U51" s="3430">
        <f t="shared" si="173"/>
        <v>2.7487048628265044E-2</v>
      </c>
      <c r="V51" s="3431">
        <f t="shared" si="173"/>
        <v>1.2509298837494522E-2</v>
      </c>
      <c r="W51" s="3276">
        <f t="shared" si="173"/>
        <v>1.2887150733794166E-2</v>
      </c>
      <c r="X51" s="3276">
        <f t="shared" si="173"/>
        <v>1.8305026791161062E-2</v>
      </c>
      <c r="Y51" s="3429">
        <f t="shared" si="173"/>
        <v>2.1373699825945201E-2</v>
      </c>
      <c r="Z51" s="3430">
        <f t="shared" si="173"/>
        <v>6.5268783266702532E-2</v>
      </c>
      <c r="AA51" s="3431">
        <f t="shared" si="173"/>
        <v>2.6581195610618401E-2</v>
      </c>
      <c r="AB51" s="3276">
        <f t="shared" si="173"/>
        <v>2.8881712354487412E-2</v>
      </c>
      <c r="AC51" s="3276">
        <f t="shared" si="173"/>
        <v>3.2148899848945346E-2</v>
      </c>
      <c r="AD51" s="3429">
        <f t="shared" si="173"/>
        <v>3.3877885180315023E-2</v>
      </c>
      <c r="AE51" s="3430">
        <f t="shared" si="173"/>
        <v>0.12182647856138684</v>
      </c>
      <c r="AF51" s="3431">
        <f t="shared" si="173"/>
        <v>6.2342658367409605E-2</v>
      </c>
      <c r="AG51" s="3276">
        <f t="shared" si="173"/>
        <v>6.6277616471358214E-2</v>
      </c>
      <c r="AH51" s="3276">
        <f t="shared" si="173"/>
        <v>7.5463022097330426E-2</v>
      </c>
      <c r="AI51" s="3429">
        <f t="shared" si="173"/>
        <v>7.7220105799218342E-2</v>
      </c>
      <c r="AJ51" s="3430">
        <f t="shared" si="173"/>
        <v>0.28175865078651308</v>
      </c>
      <c r="AK51" s="3276">
        <f t="shared" si="173"/>
        <v>0.11500757917026998</v>
      </c>
      <c r="AL51" s="3276">
        <f t="shared" si="173"/>
        <v>0.12452425186590028</v>
      </c>
      <c r="AM51" s="3276">
        <f t="shared" si="173"/>
        <v>0.13077124936408063</v>
      </c>
      <c r="AN51" s="3429">
        <f t="shared" si="173"/>
        <v>0.15907949684009709</v>
      </c>
      <c r="AO51" s="3430">
        <f t="shared" si="173"/>
        <v>0.53000660639608976</v>
      </c>
      <c r="AP51" s="3276">
        <f t="shared" si="173"/>
        <v>0.18408549560135937</v>
      </c>
      <c r="AQ51" s="3276">
        <f t="shared" si="173"/>
        <v>0.1780915081989039</v>
      </c>
      <c r="AR51" s="3276">
        <f t="shared" si="173"/>
        <v>0.19536051374709387</v>
      </c>
      <c r="AS51" s="3429">
        <f t="shared" si="173"/>
        <v>0.22167114885586228</v>
      </c>
      <c r="AT51" s="3430">
        <f t="shared" si="173"/>
        <v>0.77943961291546759</v>
      </c>
      <c r="AU51" s="3276">
        <f t="shared" si="173"/>
        <v>0.24214992816454098</v>
      </c>
      <c r="AV51" s="3276">
        <f t="shared" ref="AV51:BN51" si="174">AV50/AV52</f>
        <v>0.23149316244422574</v>
      </c>
      <c r="AW51" s="3276">
        <f t="shared" si="174"/>
        <v>0.24594006469966259</v>
      </c>
      <c r="AX51" s="3429">
        <f t="shared" si="174"/>
        <v>0.25498873333669986</v>
      </c>
      <c r="AY51" s="3430">
        <f t="shared" si="174"/>
        <v>0.97453165414096254</v>
      </c>
      <c r="AZ51" s="3276">
        <f t="shared" si="174"/>
        <v>0.25791088862338868</v>
      </c>
      <c r="BA51" s="3276">
        <f t="shared" si="174"/>
        <v>0.26813531280608777</v>
      </c>
      <c r="BB51" s="3276">
        <f t="shared" si="174"/>
        <v>0.29459633584157419</v>
      </c>
      <c r="BC51" s="3276">
        <f t="shared" si="174"/>
        <v>0.33958943143688142</v>
      </c>
      <c r="BD51" s="3432">
        <f t="shared" si="174"/>
        <v>1.1609439399655306</v>
      </c>
      <c r="BE51" s="3433">
        <f t="shared" si="174"/>
        <v>0.33802633536676091</v>
      </c>
      <c r="BF51" s="3276">
        <f t="shared" si="174"/>
        <v>0.32233957443113814</v>
      </c>
      <c r="BG51" s="3276">
        <f t="shared" si="174"/>
        <v>0.38185106257580403</v>
      </c>
      <c r="BH51" s="3276">
        <f t="shared" si="174"/>
        <v>0.43773960483633145</v>
      </c>
      <c r="BI51" s="3432">
        <f t="shared" si="174"/>
        <v>1.480579764842727</v>
      </c>
      <c r="BJ51" s="3276">
        <f t="shared" si="174"/>
        <v>0.40412644040896739</v>
      </c>
      <c r="BK51" s="3276">
        <f t="shared" si="174"/>
        <v>0.43691494190825553</v>
      </c>
      <c r="BL51" s="3276">
        <f t="shared" si="174"/>
        <v>0.48619742913947328</v>
      </c>
      <c r="BM51" s="3276">
        <f t="shared" si="174"/>
        <v>0.47522507461960711</v>
      </c>
      <c r="BN51" s="3432">
        <f t="shared" si="174"/>
        <v>1.8027902143850372</v>
      </c>
      <c r="BO51" s="3276">
        <v>10.080694017011171</v>
      </c>
      <c r="BP51" s="3276">
        <v>10.11508707862621</v>
      </c>
      <c r="BQ51" s="3276">
        <v>9.0275235963685887</v>
      </c>
      <c r="BR51" s="3429">
        <v>10.65147756413127</v>
      </c>
      <c r="BS51" s="3434">
        <v>39.876017514030778</v>
      </c>
      <c r="BT51" s="3276">
        <f>BT50/BT52</f>
        <v>0.25201735042527923</v>
      </c>
      <c r="BU51" s="3276">
        <f>BU50/BU52</f>
        <v>0.25574906361380079</v>
      </c>
      <c r="BV51" s="3276">
        <f>BV50/BV52</f>
        <v>0.23701374679731421</v>
      </c>
      <c r="BW51" s="3276">
        <f>BW50/BW52</f>
        <v>0.27763100153144848</v>
      </c>
      <c r="BX51" s="3432">
        <f>BX50/BX52</f>
        <v>1.018266351694979</v>
      </c>
      <c r="BY51" s="3276">
        <v>11.581314251937396</v>
      </c>
      <c r="BZ51" s="3276">
        <v>9.5555614668215423</v>
      </c>
      <c r="CA51" s="3276">
        <v>10.738868336109187</v>
      </c>
      <c r="CB51" s="3276">
        <v>12.011624531162482</v>
      </c>
      <c r="CC51" s="3432">
        <v>43.891921566544028</v>
      </c>
      <c r="CD51" s="3276">
        <f>CD50/CD52</f>
        <v>0.30015178383130903</v>
      </c>
      <c r="CE51" s="3276">
        <f>CE50/CE52</f>
        <v>0.25063767781826995</v>
      </c>
      <c r="CF51" s="3276">
        <f>CF50/CF52</f>
        <v>0.29183309505210253</v>
      </c>
      <c r="CG51" s="3276">
        <f>CG50/CG52</f>
        <v>0.33702049542086143</v>
      </c>
      <c r="CH51" s="3432">
        <f>CH$50/CH52</f>
        <v>1.1799420912667609</v>
      </c>
      <c r="CI51" s="3276">
        <f>CI50/CI52</f>
        <v>0.30776285295645728</v>
      </c>
      <c r="CJ51" s="3276">
        <f>CJ50/CJ52</f>
        <v>0.29905825343149323</v>
      </c>
      <c r="CK51" s="3276">
        <f>CK50/CK52</f>
        <v>0.31230109776741277</v>
      </c>
      <c r="CL51" s="3276">
        <f>CL50/CL52</f>
        <v>0.33795743154231506</v>
      </c>
      <c r="CM51" s="3432">
        <f>CM$50/CM52</f>
        <v>1.2795639454495173</v>
      </c>
      <c r="CN51" s="3276">
        <f>CN50/CN52</f>
        <v>0.32344061911709682</v>
      </c>
      <c r="CO51" s="3276">
        <f>CO50/CO52</f>
        <v>0.34948283199059743</v>
      </c>
      <c r="CP51" s="3276">
        <f>CP50/CP52</f>
        <v>0.36741036900905782</v>
      </c>
      <c r="CQ51" s="3276">
        <f>CQ50/CQ52</f>
        <v>0.43348516911158136</v>
      </c>
      <c r="CR51" s="3432">
        <f>CR50/CR52</f>
        <v>1.4744803371191897</v>
      </c>
      <c r="CS51" s="3276">
        <f t="shared" ref="CS51:CX51" si="175">CS50/CS52</f>
        <v>0.37522647291405392</v>
      </c>
      <c r="CT51" s="3276">
        <f t="shared" si="175"/>
        <v>0.42075233157350184</v>
      </c>
      <c r="CU51" s="3276">
        <f t="shared" si="175"/>
        <v>0.45286638795028916</v>
      </c>
      <c r="CV51" s="3276">
        <f>CV50/CV52</f>
        <v>0.46820932248532965</v>
      </c>
      <c r="CW51" s="3432">
        <f t="shared" si="175"/>
        <v>1.7171027585279075</v>
      </c>
      <c r="CX51" s="3276">
        <f t="shared" si="175"/>
        <v>0.50030177619153904</v>
      </c>
      <c r="CY51" s="3276">
        <f t="shared" ref="CY51:DQ51" si="176">CY50/CY52</f>
        <v>0.57020351685511184</v>
      </c>
      <c r="CZ51" s="3276">
        <f t="shared" si="176"/>
        <v>0.58742169051321569</v>
      </c>
      <c r="DA51" s="3276">
        <f t="shared" si="176"/>
        <v>11.923415673988307</v>
      </c>
      <c r="DB51" s="3432">
        <f t="shared" si="176"/>
        <v>2.2543083481570401</v>
      </c>
      <c r="DC51" s="3276">
        <f t="shared" si="176"/>
        <v>0.66319658313422547</v>
      </c>
      <c r="DD51" s="3276">
        <f t="shared" si="176"/>
        <v>0.67781219829987704</v>
      </c>
      <c r="DE51" s="3276">
        <f t="shared" si="176"/>
        <v>0.73230227694567485</v>
      </c>
      <c r="DF51" s="3276">
        <f t="shared" si="176"/>
        <v>0.69631210757726947</v>
      </c>
      <c r="DG51" s="3432">
        <f t="shared" si="176"/>
        <v>2.7695664703479905</v>
      </c>
      <c r="DH51" s="3276">
        <f t="shared" si="176"/>
        <v>0.69612360535939499</v>
      </c>
      <c r="DI51" s="3276">
        <f t="shared" si="176"/>
        <v>0.73493938023474104</v>
      </c>
      <c r="DJ51" s="3276">
        <f t="shared" si="176"/>
        <v>0.72932010821619564</v>
      </c>
      <c r="DK51" s="3276">
        <f t="shared" si="176"/>
        <v>0.89855237169594271</v>
      </c>
      <c r="DL51" s="3432">
        <f t="shared" si="176"/>
        <v>3.0580217392275988</v>
      </c>
      <c r="DM51" s="3276">
        <f t="shared" si="176"/>
        <v>0.74815283127755527</v>
      </c>
      <c r="DN51" s="3276">
        <f t="shared" si="176"/>
        <v>0.6240034410720291</v>
      </c>
      <c r="DO51" s="3276">
        <f t="shared" si="176"/>
        <v>0.91254759709051469</v>
      </c>
      <c r="DP51" s="3276">
        <f t="shared" si="176"/>
        <v>1.148824210422611</v>
      </c>
      <c r="DQ51" s="3432">
        <f t="shared" si="176"/>
        <v>3.4308801359615178</v>
      </c>
      <c r="DR51" s="3276">
        <f t="shared" ref="DR51:EA51" si="177">DR50/DR52</f>
        <v>1.2676908229504882</v>
      </c>
      <c r="DS51" s="3276">
        <f t="shared" si="177"/>
        <v>1.4601146028965832</v>
      </c>
      <c r="DT51" s="3276">
        <f t="shared" si="177"/>
        <v>1.5347116673698722</v>
      </c>
      <c r="DU51" s="3276">
        <f t="shared" si="177"/>
        <v>1.648889609172123</v>
      </c>
      <c r="DV51" s="3432">
        <f t="shared" si="177"/>
        <v>5.9085878348435399</v>
      </c>
      <c r="DW51" s="3276">
        <f t="shared" si="177"/>
        <v>1.6262515868190439</v>
      </c>
      <c r="DX51" s="3276">
        <f t="shared" si="177"/>
        <v>1.5714900259188602</v>
      </c>
      <c r="DY51" s="3276">
        <f t="shared" si="177"/>
        <v>1.4868923127976559</v>
      </c>
      <c r="DZ51" s="3276">
        <f>DZ50/DZ52</f>
        <v>1.4678793398853072</v>
      </c>
      <c r="EA51" s="3432">
        <f t="shared" si="177"/>
        <v>6.155375276142582</v>
      </c>
      <c r="EB51" s="3276">
        <f t="shared" ref="EB51:EN51" si="178">EB50/EB52</f>
        <v>1.5148825526639371</v>
      </c>
      <c r="EC51" s="3276">
        <f t="shared" si="178"/>
        <v>1.8727391145538661</v>
      </c>
      <c r="ED51" s="3276">
        <f t="shared" si="178"/>
        <v>2.0596413356278882</v>
      </c>
      <c r="EE51" s="3276">
        <f>EE50/EE52</f>
        <v>2.0486610740870312</v>
      </c>
      <c r="EF51" s="3432">
        <f t="shared" si="178"/>
        <v>7.4910417045299527</v>
      </c>
      <c r="EG51" s="3276">
        <f t="shared" ref="EG51:EI51" si="179">EG50/EG52</f>
        <v>2.1211625629237703</v>
      </c>
      <c r="EH51" s="3276">
        <f t="shared" si="179"/>
        <v>2.3588142962894567</v>
      </c>
      <c r="EI51" s="3276">
        <f t="shared" si="179"/>
        <v>2.3785711807389829</v>
      </c>
      <c r="EJ51" s="3276">
        <f>EJ50/EJ52</f>
        <v>2.5240543342811388</v>
      </c>
      <c r="EK51" s="3432">
        <f t="shared" si="178"/>
        <v>9.3797173248053785</v>
      </c>
      <c r="EL51" s="3276">
        <f t="shared" si="178"/>
        <v>2.4964116532771183</v>
      </c>
      <c r="EM51" s="3276">
        <f t="shared" si="178"/>
        <v>2.610302159478092</v>
      </c>
      <c r="EN51" s="3276">
        <f t="shared" si="178"/>
        <v>2.7453491511848704</v>
      </c>
      <c r="EO51" s="3276">
        <f t="shared" ref="EO51:EP51" ca="1" si="180">EO50/EO52</f>
        <v>3.0566513564168942</v>
      </c>
      <c r="EP51" s="3432">
        <f t="shared" ca="1" si="180"/>
        <v>10.90724864669261</v>
      </c>
      <c r="EQ51" s="3276">
        <f t="shared" ref="EQ51:EU51" ca="1" si="181">EQ50/EQ52</f>
        <v>3.0355118440290094</v>
      </c>
      <c r="ER51" s="3276">
        <f t="shared" ca="1" si="181"/>
        <v>3.1940668175473133</v>
      </c>
      <c r="ES51" s="3276">
        <f t="shared" ca="1" si="181"/>
        <v>3.2933005008112444</v>
      </c>
      <c r="ET51" s="3276">
        <f t="shared" ca="1" si="181"/>
        <v>3.5276793715285404</v>
      </c>
      <c r="EU51" s="3432">
        <f t="shared" ca="1" si="181"/>
        <v>13.05069948231038</v>
      </c>
      <c r="EV51" s="3432">
        <f ca="1">EV50/EV52</f>
        <v>14.575347351556536</v>
      </c>
      <c r="EW51" s="3432">
        <f ca="1">EW50/EW52</f>
        <v>16.554798451543494</v>
      </c>
      <c r="EX51" s="3432">
        <f ca="1">EX50/EX52</f>
        <v>18.78127804167179</v>
      </c>
      <c r="EY51" s="3432">
        <f ca="1">EY50/EY52</f>
        <v>21.386594420370916</v>
      </c>
      <c r="EZ51" s="622"/>
      <c r="FA51" s="1319">
        <f>(EA51/DL51)^(1/3)-1</f>
        <v>0.26261609884773351</v>
      </c>
      <c r="FB51" s="1319">
        <f>(EF51/DQ51)^(1/3)-1</f>
        <v>0.29731534921811087</v>
      </c>
      <c r="FC51" s="1319">
        <f>(EK51/DV51)^(1/3)-1</f>
        <v>0.16654640092810324</v>
      </c>
      <c r="FD51" s="1319">
        <f ca="1">(EP51/EA51)^(1/3)-1</f>
        <v>0.21009711612747406</v>
      </c>
      <c r="FE51" s="1319">
        <f t="shared" ca="1" si="171"/>
        <v>0.2032721310477632</v>
      </c>
      <c r="FF51" s="1319">
        <f ca="1">(EV51/EK51)^(1/3)-1</f>
        <v>0.15826976817729421</v>
      </c>
      <c r="FG51" s="1319">
        <f>(EK51/DL51)^(1/5)-1</f>
        <v>0.2512665546296402</v>
      </c>
      <c r="FH51" s="1319">
        <f ca="1">(EP51/DQ51)^(1/5)-1</f>
        <v>0.26026516949347722</v>
      </c>
      <c r="FI51" s="1319">
        <f ca="1">(EU51/DV51)^(1/5)-1</f>
        <v>0.17173666218035488</v>
      </c>
      <c r="FJ51" s="1319">
        <f ca="1">(EV51/EA51)^(1/5)-1</f>
        <v>0.18815438600753276</v>
      </c>
      <c r="FK51" s="1319">
        <f t="shared" ca="1" si="172"/>
        <v>0.17186163562242673</v>
      </c>
      <c r="FL51" s="1319">
        <f ca="1">(EX51/EK51)^(1/5)-1</f>
        <v>0.14896573821622305</v>
      </c>
    </row>
    <row r="52" spans="1:170" s="84" customFormat="1" ht="11.25" customHeight="1">
      <c r="A52" s="3750" t="str">
        <f>A38</f>
        <v>Diluted shares outstanding</v>
      </c>
      <c r="B52" s="176"/>
      <c r="C52" s="176"/>
      <c r="D52" s="176"/>
      <c r="E52" s="178"/>
      <c r="F52" s="974">
        <f>F38</f>
        <v>848.90000000000009</v>
      </c>
      <c r="G52" s="176"/>
      <c r="H52" s="176"/>
      <c r="I52" s="176"/>
      <c r="J52" s="178"/>
      <c r="K52" s="974">
        <f>K38</f>
        <v>1340.6399999999999</v>
      </c>
      <c r="L52" s="176"/>
      <c r="M52" s="176"/>
      <c r="N52" s="176"/>
      <c r="O52" s="178"/>
      <c r="P52" s="974">
        <f t="shared" ref="P52:AU52" si="182">P38</f>
        <v>3735.52</v>
      </c>
      <c r="Q52" s="176">
        <f t="shared" si="182"/>
        <v>4000</v>
      </c>
      <c r="R52" s="176">
        <f t="shared" si="182"/>
        <v>4290</v>
      </c>
      <c r="S52" s="176">
        <f t="shared" si="182"/>
        <v>4600</v>
      </c>
      <c r="T52" s="178">
        <f t="shared" si="182"/>
        <v>4760.5999999999995</v>
      </c>
      <c r="U52" s="974">
        <f t="shared" si="182"/>
        <v>4412.66</v>
      </c>
      <c r="V52" s="975">
        <f t="shared" si="182"/>
        <v>4973.74</v>
      </c>
      <c r="W52" s="176">
        <f t="shared" si="182"/>
        <v>5147.2199999999993</v>
      </c>
      <c r="X52" s="176">
        <f t="shared" si="182"/>
        <v>5147.2199999999993</v>
      </c>
      <c r="Y52" s="178">
        <f t="shared" si="182"/>
        <v>5251.2199999999993</v>
      </c>
      <c r="Z52" s="974">
        <f t="shared" si="182"/>
        <v>5132.7599999999993</v>
      </c>
      <c r="AA52" s="975">
        <f t="shared" si="182"/>
        <v>5283.66</v>
      </c>
      <c r="AB52" s="176">
        <f t="shared" si="182"/>
        <v>5326</v>
      </c>
      <c r="AC52" s="176">
        <f t="shared" si="182"/>
        <v>5494.7</v>
      </c>
      <c r="AD52" s="178">
        <f t="shared" si="182"/>
        <v>5718.880000000001</v>
      </c>
      <c r="AE52" s="974">
        <f t="shared" si="182"/>
        <v>5455.81</v>
      </c>
      <c r="AF52" s="975">
        <f t="shared" si="182"/>
        <v>5732.2400000000007</v>
      </c>
      <c r="AG52" s="176">
        <f t="shared" si="182"/>
        <v>5744.76</v>
      </c>
      <c r="AH52" s="176">
        <f t="shared" si="182"/>
        <v>5793.46</v>
      </c>
      <c r="AI52" s="178">
        <f t="shared" si="182"/>
        <v>6079.44</v>
      </c>
      <c r="AJ52" s="974">
        <f t="shared" si="182"/>
        <v>5837.4749999999995</v>
      </c>
      <c r="AK52" s="176">
        <f t="shared" si="182"/>
        <v>6082.4599999999991</v>
      </c>
      <c r="AL52" s="176">
        <f t="shared" si="182"/>
        <v>6200.76</v>
      </c>
      <c r="AM52" s="176">
        <f t="shared" si="182"/>
        <v>6211.48</v>
      </c>
      <c r="AN52" s="178">
        <f t="shared" si="182"/>
        <v>6269.18</v>
      </c>
      <c r="AO52" s="974">
        <f t="shared" si="182"/>
        <v>6190.9699999999993</v>
      </c>
      <c r="AP52" s="176">
        <f t="shared" si="182"/>
        <v>6297.4</v>
      </c>
      <c r="AQ52" s="176">
        <f t="shared" si="182"/>
        <v>6309.38</v>
      </c>
      <c r="AR52" s="176">
        <f t="shared" si="182"/>
        <v>6331.52</v>
      </c>
      <c r="AS52" s="178">
        <f t="shared" si="182"/>
        <v>6358.5</v>
      </c>
      <c r="AT52" s="974">
        <f t="shared" si="182"/>
        <v>6324.2</v>
      </c>
      <c r="AU52" s="176">
        <f t="shared" si="182"/>
        <v>6347.84</v>
      </c>
      <c r="AV52" s="176">
        <f t="shared" ref="AV52:BN52" si="183">AV38</f>
        <v>6360.4600000000009</v>
      </c>
      <c r="AW52" s="176">
        <f t="shared" si="183"/>
        <v>6355.52</v>
      </c>
      <c r="AX52" s="178">
        <f t="shared" si="183"/>
        <v>6337.2799999999988</v>
      </c>
      <c r="AY52" s="974">
        <f t="shared" si="183"/>
        <v>6350.2749999999996</v>
      </c>
      <c r="AZ52" s="176">
        <f t="shared" si="183"/>
        <v>6344.42</v>
      </c>
      <c r="BA52" s="176">
        <f t="shared" si="183"/>
        <v>6370.72</v>
      </c>
      <c r="BB52" s="176">
        <f t="shared" si="183"/>
        <v>6394.92</v>
      </c>
      <c r="BC52" s="176">
        <f t="shared" si="183"/>
        <v>6443.26</v>
      </c>
      <c r="BD52" s="1007">
        <f t="shared" si="183"/>
        <v>6388.33</v>
      </c>
      <c r="BE52" s="1699">
        <f t="shared" si="183"/>
        <v>6452.16</v>
      </c>
      <c r="BF52" s="176">
        <f t="shared" si="183"/>
        <v>6449.7199999999993</v>
      </c>
      <c r="BG52" s="176">
        <f t="shared" si="183"/>
        <v>6447.5400000000009</v>
      </c>
      <c r="BH52" s="176">
        <f t="shared" si="183"/>
        <v>6510.72</v>
      </c>
      <c r="BI52" s="1007">
        <f t="shared" si="183"/>
        <v>6465.0349999999999</v>
      </c>
      <c r="BJ52" s="176">
        <f t="shared" si="183"/>
        <v>6527.66</v>
      </c>
      <c r="BK52" s="176">
        <f t="shared" si="183"/>
        <v>6520.72</v>
      </c>
      <c r="BL52" s="176">
        <f t="shared" si="183"/>
        <v>6548.7800000000007</v>
      </c>
      <c r="BM52" s="176">
        <f t="shared" si="183"/>
        <v>6580.0400000000009</v>
      </c>
      <c r="BN52" s="1007">
        <f t="shared" si="183"/>
        <v>6544.3000000000011</v>
      </c>
      <c r="BO52" s="176">
        <v>330.13600000000002</v>
      </c>
      <c r="BP52" s="176">
        <v>330.79300000000001</v>
      </c>
      <c r="BQ52" s="176">
        <v>333.31400000000002</v>
      </c>
      <c r="BR52" s="178">
        <v>334.97699999999998</v>
      </c>
      <c r="BS52" s="1745">
        <v>332.30500000000006</v>
      </c>
      <c r="BT52" s="176">
        <f>BT38</f>
        <v>13205.440000000002</v>
      </c>
      <c r="BU52" s="176">
        <f>BU38</f>
        <v>13231.72</v>
      </c>
      <c r="BV52" s="176">
        <f>BV38</f>
        <v>13332.560000000001</v>
      </c>
      <c r="BW52" s="176">
        <f>BW38</f>
        <v>13399.079999999998</v>
      </c>
      <c r="BX52" s="1007">
        <f>BX38</f>
        <v>13292.2</v>
      </c>
      <c r="BY52" s="176">
        <v>336.66300000000001</v>
      </c>
      <c r="BZ52" s="176">
        <v>338.33699999999999</v>
      </c>
      <c r="CA52" s="176">
        <v>339.23500000000001</v>
      </c>
      <c r="CB52" s="176">
        <v>341.00299999999999</v>
      </c>
      <c r="CC52" s="1007">
        <v>338.80950000000001</v>
      </c>
      <c r="CD52" s="176">
        <f t="shared" ref="CD52:CZ52" si="184">CD38</f>
        <v>13466.52</v>
      </c>
      <c r="CE52" s="176">
        <f t="shared" si="184"/>
        <v>13533.48</v>
      </c>
      <c r="CF52" s="176">
        <f t="shared" si="184"/>
        <v>13569.4</v>
      </c>
      <c r="CG52" s="176">
        <f t="shared" si="184"/>
        <v>13640.119999999999</v>
      </c>
      <c r="CH52" s="1007">
        <f t="shared" si="184"/>
        <v>13552.36</v>
      </c>
      <c r="CI52" s="176">
        <f t="shared" si="184"/>
        <v>13704.24</v>
      </c>
      <c r="CJ52" s="176">
        <f t="shared" si="184"/>
        <v>13727.26</v>
      </c>
      <c r="CK52" s="176">
        <f t="shared" si="184"/>
        <v>13764.300000000001</v>
      </c>
      <c r="CL52" s="176">
        <f t="shared" si="184"/>
        <v>13769.82</v>
      </c>
      <c r="CM52" s="1007">
        <f t="shared" si="184"/>
        <v>13741.400000000001</v>
      </c>
      <c r="CN52" s="176">
        <f t="shared" si="184"/>
        <v>13789.960000000001</v>
      </c>
      <c r="CO52" s="176">
        <f t="shared" si="184"/>
        <v>13817.560000000001</v>
      </c>
      <c r="CP52" s="176">
        <f t="shared" si="184"/>
        <v>13886.38</v>
      </c>
      <c r="CQ52" s="176">
        <f t="shared" si="184"/>
        <v>13940.5</v>
      </c>
      <c r="CR52" s="1007">
        <f t="shared" si="184"/>
        <v>13858.6</v>
      </c>
      <c r="CS52" s="176">
        <f t="shared" si="184"/>
        <v>13986.220000000001</v>
      </c>
      <c r="CT52" s="176">
        <f t="shared" si="184"/>
        <v>13936.939999999999</v>
      </c>
      <c r="CU52" s="176">
        <f t="shared" si="184"/>
        <v>13968.800000000001</v>
      </c>
      <c r="CV52" s="176">
        <f t="shared" si="184"/>
        <v>14004.42</v>
      </c>
      <c r="CW52" s="1007">
        <f t="shared" si="184"/>
        <v>13974.119999999999</v>
      </c>
      <c r="CX52" s="176">
        <f t="shared" si="184"/>
        <v>14040.72</v>
      </c>
      <c r="CY52" s="176">
        <f t="shared" si="184"/>
        <v>14070.060000000001</v>
      </c>
      <c r="CZ52" s="176">
        <f t="shared" si="184"/>
        <v>14074.32</v>
      </c>
      <c r="DA52" s="179">
        <v>705.07899999999995</v>
      </c>
      <c r="DB52" s="1007">
        <f>DB38</f>
        <v>14071.680000000002</v>
      </c>
      <c r="DC52" s="176">
        <f t="shared" ref="DC52:DP52" si="185">DC38</f>
        <v>14102.68</v>
      </c>
      <c r="DD52" s="176">
        <f t="shared" si="185"/>
        <v>14064.939999999999</v>
      </c>
      <c r="DE52" s="176">
        <f t="shared" si="185"/>
        <v>14077.18</v>
      </c>
      <c r="DF52" s="176">
        <f t="shared" si="185"/>
        <v>14017.98</v>
      </c>
      <c r="DG52" s="1007">
        <f t="shared" si="185"/>
        <v>14065.695</v>
      </c>
      <c r="DH52" s="176">
        <f>DH38</f>
        <v>14017.580000000002</v>
      </c>
      <c r="DI52" s="176">
        <f>DI38</f>
        <v>13999.079999999998</v>
      </c>
      <c r="DJ52" s="176">
        <f>DJ38</f>
        <v>13963.98</v>
      </c>
      <c r="DK52" s="176">
        <f>DK38</f>
        <v>13903.88</v>
      </c>
      <c r="DL52" s="1007">
        <f t="shared" si="185"/>
        <v>13971.13</v>
      </c>
      <c r="DM52" s="176">
        <f t="shared" si="185"/>
        <v>13845.34</v>
      </c>
      <c r="DN52" s="176">
        <f t="shared" si="185"/>
        <v>13740.48</v>
      </c>
      <c r="DO52" s="176">
        <f t="shared" si="185"/>
        <v>13717.02</v>
      </c>
      <c r="DP52" s="176">
        <f t="shared" si="185"/>
        <v>13659.380000000001</v>
      </c>
      <c r="DQ52" s="1007">
        <f t="shared" ref="DQ52:DV52" si="186">DQ38</f>
        <v>13740.555</v>
      </c>
      <c r="DR52" s="176">
        <f t="shared" si="186"/>
        <v>13641.42</v>
      </c>
      <c r="DS52" s="176">
        <f t="shared" si="186"/>
        <v>13592.239999999998</v>
      </c>
      <c r="DT52" s="176">
        <f t="shared" si="186"/>
        <v>13530.380000000001</v>
      </c>
      <c r="DU52" s="176">
        <f t="shared" si="186"/>
        <v>13449.86</v>
      </c>
      <c r="DV52" s="1007">
        <f t="shared" si="186"/>
        <v>13553.474999999999</v>
      </c>
      <c r="DW52" s="176">
        <f t="shared" ref="DW52:EW52" si="187">DW38</f>
        <v>13351.02</v>
      </c>
      <c r="DX52" s="176">
        <f t="shared" si="187"/>
        <v>13239</v>
      </c>
      <c r="DY52" s="176">
        <f t="shared" si="187"/>
        <v>13097</v>
      </c>
      <c r="DZ52" s="176">
        <f t="shared" si="187"/>
        <v>12947</v>
      </c>
      <c r="EA52" s="1007">
        <f t="shared" si="187"/>
        <v>13158.505000000001</v>
      </c>
      <c r="EB52" s="176">
        <f t="shared" si="187"/>
        <v>12823</v>
      </c>
      <c r="EC52" s="176">
        <f t="shared" si="187"/>
        <v>12764</v>
      </c>
      <c r="ED52" s="176">
        <f t="shared" si="187"/>
        <v>12696</v>
      </c>
      <c r="EE52" s="176">
        <f t="shared" ref="EE52" si="188">EE38</f>
        <v>12602</v>
      </c>
      <c r="EF52" s="1007">
        <f t="shared" si="187"/>
        <v>12721.25</v>
      </c>
      <c r="EG52" s="176">
        <f t="shared" ref="EG52:EJ52" si="189">EG38</f>
        <v>12527</v>
      </c>
      <c r="EH52" s="176">
        <f t="shared" si="189"/>
        <v>12495</v>
      </c>
      <c r="EI52" s="176">
        <f t="shared" si="189"/>
        <v>12419</v>
      </c>
      <c r="EJ52" s="176">
        <f t="shared" si="189"/>
        <v>12348</v>
      </c>
      <c r="EK52" s="1007">
        <f t="shared" si="187"/>
        <v>12447.25</v>
      </c>
      <c r="EL52" s="176">
        <f t="shared" si="187"/>
        <v>12291</v>
      </c>
      <c r="EM52" s="176">
        <f t="shared" si="187"/>
        <v>12198</v>
      </c>
      <c r="EN52" s="176">
        <f t="shared" si="187"/>
        <v>12203</v>
      </c>
      <c r="EO52" s="176">
        <f t="shared" ref="EO52:EP52" si="190">EO38</f>
        <v>12208.478666666666</v>
      </c>
      <c r="EP52" s="1007">
        <f t="shared" si="190"/>
        <v>12225.119666666666</v>
      </c>
      <c r="EQ52" s="176">
        <f t="shared" ref="EQ52:EU52" si="191">EQ38</f>
        <v>12210.645914666666</v>
      </c>
      <c r="ER52" s="176">
        <f t="shared" si="191"/>
        <v>12212.821831658666</v>
      </c>
      <c r="ES52" s="176">
        <f t="shared" si="191"/>
        <v>12215.006452318636</v>
      </c>
      <c r="ET52" s="176">
        <f t="shared" si="191"/>
        <v>12217.199811461243</v>
      </c>
      <c r="EU52" s="1007">
        <f t="shared" si="191"/>
        <v>12213.918502526303</v>
      </c>
      <c r="EV52" s="1007">
        <f t="shared" ca="1" si="187"/>
        <v>12116.865058874722</v>
      </c>
      <c r="EW52" s="1007">
        <f t="shared" ca="1" si="187"/>
        <v>12010.578193097632</v>
      </c>
      <c r="EX52" s="1007">
        <f t="shared" ref="EX52:EY52" ca="1" si="192">EX38</f>
        <v>11891.358594724659</v>
      </c>
      <c r="EY52" s="1007">
        <f t="shared" ca="1" si="192"/>
        <v>11759.676160078787</v>
      </c>
      <c r="EZ52" s="176"/>
      <c r="FA52" s="1104"/>
      <c r="FB52" s="1104"/>
      <c r="FC52" s="1104"/>
      <c r="FD52" s="1104"/>
      <c r="FE52" s="1104"/>
      <c r="FF52" s="1104"/>
      <c r="FG52" s="1104"/>
      <c r="FH52" s="1104"/>
      <c r="FI52" s="1104"/>
      <c r="FJ52" s="1104"/>
      <c r="FK52" s="1104"/>
      <c r="FL52" s="1104"/>
    </row>
    <row r="53" spans="1:170" s="309" customFormat="1" ht="11.25" customHeight="1">
      <c r="A53" s="3751" t="s">
        <v>921</v>
      </c>
      <c r="B53" s="118"/>
      <c r="C53" s="118"/>
      <c r="D53" s="118"/>
      <c r="E53" s="117"/>
      <c r="F53" s="976"/>
      <c r="G53" s="118"/>
      <c r="H53" s="118"/>
      <c r="I53" s="118"/>
      <c r="J53" s="117"/>
      <c r="K53" s="976"/>
      <c r="L53" s="118"/>
      <c r="M53" s="118"/>
      <c r="N53" s="118"/>
      <c r="O53" s="117"/>
      <c r="P53" s="976"/>
      <c r="Q53" s="118"/>
      <c r="R53" s="118"/>
      <c r="S53" s="118"/>
      <c r="T53" s="307"/>
      <c r="U53" s="976"/>
      <c r="V53" s="977"/>
      <c r="W53" s="118"/>
      <c r="X53" s="118"/>
      <c r="Y53" s="117"/>
      <c r="Z53" s="976"/>
      <c r="AA53" s="977"/>
      <c r="AB53" s="118"/>
      <c r="AC53" s="118"/>
      <c r="AD53" s="117"/>
      <c r="AE53" s="976"/>
      <c r="AF53" s="977"/>
      <c r="AG53" s="118"/>
      <c r="AH53" s="118"/>
      <c r="AI53" s="117"/>
      <c r="AJ53" s="976"/>
      <c r="AK53" s="977"/>
      <c r="AL53" s="118"/>
      <c r="AM53" s="118"/>
      <c r="AN53" s="117"/>
      <c r="AO53" s="976"/>
      <c r="AP53" s="977"/>
      <c r="AQ53" s="118"/>
      <c r="AR53" s="118"/>
      <c r="AS53" s="117"/>
      <c r="AT53" s="976"/>
      <c r="AU53" s="977"/>
      <c r="AV53" s="186"/>
      <c r="AW53" s="308"/>
      <c r="AX53" s="117"/>
      <c r="AY53" s="976"/>
      <c r="AZ53" s="977"/>
      <c r="BA53" s="186"/>
      <c r="BB53" s="308"/>
      <c r="BC53" s="118"/>
      <c r="BD53" s="1008"/>
      <c r="BE53" s="1746"/>
      <c r="BF53" s="118"/>
      <c r="BG53" s="308"/>
      <c r="BH53" s="118"/>
      <c r="BI53" s="1008"/>
      <c r="BJ53" s="308"/>
      <c r="BK53" s="308"/>
      <c r="BL53" s="308"/>
      <c r="BM53" s="118"/>
      <c r="BN53" s="1008"/>
      <c r="BO53" s="118"/>
      <c r="BP53" s="118"/>
      <c r="BQ53" s="118"/>
      <c r="BR53" s="117"/>
      <c r="BS53" s="1747"/>
      <c r="BT53" s="118"/>
      <c r="BU53" s="118"/>
      <c r="BV53" s="118"/>
      <c r="BW53" s="118"/>
      <c r="BX53" s="1008"/>
      <c r="BY53" s="118"/>
      <c r="BZ53" s="118"/>
      <c r="CA53" s="118"/>
      <c r="CB53" s="118"/>
      <c r="CC53" s="1008"/>
      <c r="CD53" s="118"/>
      <c r="CE53" s="118"/>
      <c r="CF53" s="118"/>
      <c r="CG53" s="118"/>
      <c r="CH53" s="1008"/>
      <c r="CI53" s="118"/>
      <c r="CJ53" s="118"/>
      <c r="CK53" s="118"/>
      <c r="CL53" s="118"/>
      <c r="CM53" s="1008"/>
      <c r="CN53" s="1748"/>
      <c r="CO53" s="118"/>
      <c r="CP53" s="118"/>
      <c r="CQ53" s="118"/>
      <c r="CR53" s="1008"/>
      <c r="CS53" s="124"/>
      <c r="CT53" s="124"/>
      <c r="CU53" s="124"/>
      <c r="CV53" s="124"/>
      <c r="CW53" s="1008"/>
      <c r="CX53" s="124"/>
      <c r="CY53" s="124"/>
      <c r="CZ53" s="124"/>
      <c r="DA53" s="124"/>
      <c r="DB53" s="4344"/>
      <c r="DC53" s="2287"/>
      <c r="DD53" s="2287"/>
      <c r="DE53" s="2287"/>
      <c r="DF53" s="2287"/>
      <c r="DG53" s="4344"/>
      <c r="DH53" s="2287"/>
      <c r="DI53" s="2287"/>
      <c r="DJ53" s="2287"/>
      <c r="DK53" s="2287"/>
      <c r="DL53" s="1014"/>
      <c r="DM53" s="175"/>
      <c r="DN53" s="175"/>
      <c r="DO53" s="175"/>
      <c r="DP53" s="175"/>
      <c r="DQ53" s="1014"/>
      <c r="DR53" s="175"/>
      <c r="DS53" s="175"/>
      <c r="DT53" s="175"/>
      <c r="DU53" s="175"/>
      <c r="DV53" s="1014"/>
      <c r="DW53" s="175"/>
      <c r="DX53" s="175"/>
      <c r="DY53" s="175"/>
      <c r="DZ53" s="175"/>
      <c r="EA53" s="1014"/>
      <c r="EB53" s="175"/>
      <c r="EC53" s="175"/>
      <c r="ED53" s="175"/>
      <c r="EE53" s="175"/>
      <c r="EF53" s="1014"/>
      <c r="EG53" s="175"/>
      <c r="EH53" s="175"/>
      <c r="EI53" s="175"/>
      <c r="EJ53" s="175"/>
      <c r="EK53" s="1014"/>
      <c r="EL53" s="175"/>
      <c r="EM53" s="175"/>
      <c r="EN53" s="175"/>
      <c r="EO53" s="175"/>
      <c r="EP53" s="1014"/>
      <c r="EQ53" s="175"/>
      <c r="ER53" s="175"/>
      <c r="ES53" s="175"/>
      <c r="ET53" s="175"/>
      <c r="EU53" s="1014"/>
      <c r="EV53" s="1014"/>
      <c r="EW53" s="1014"/>
      <c r="EX53" s="1014"/>
      <c r="EY53" s="1014"/>
      <c r="EZ53" s="119"/>
      <c r="FA53" s="4265"/>
      <c r="FB53" s="4265"/>
      <c r="FC53" s="4265"/>
      <c r="FD53" s="4265"/>
      <c r="FE53" s="4265"/>
      <c r="FF53" s="4265"/>
      <c r="FG53" s="4265"/>
      <c r="FH53" s="4265"/>
      <c r="FI53" s="4265"/>
      <c r="FJ53" s="4265"/>
      <c r="FK53" s="4265"/>
      <c r="FL53" s="4265"/>
    </row>
    <row r="54" spans="1:170" ht="11.25" customHeight="1">
      <c r="A54" s="3730" t="s">
        <v>731</v>
      </c>
      <c r="B54" s="43"/>
      <c r="C54" s="43"/>
      <c r="D54" s="43"/>
      <c r="E54" s="40"/>
      <c r="F54" s="878"/>
      <c r="G54" s="43"/>
      <c r="H54" s="43"/>
      <c r="I54" s="43"/>
      <c r="J54" s="40"/>
      <c r="K54" s="878"/>
      <c r="L54" s="904"/>
      <c r="M54" s="43"/>
      <c r="N54" s="43"/>
      <c r="O54" s="40"/>
      <c r="P54" s="878">
        <f>P27</f>
        <v>10.964000000000013</v>
      </c>
      <c r="Q54" s="904">
        <f>Q27</f>
        <v>15.206999999999994</v>
      </c>
      <c r="R54" s="43">
        <f>R27</f>
        <v>31.097000000000012</v>
      </c>
      <c r="S54" s="43">
        <f>S27</f>
        <v>56.913000000000004</v>
      </c>
      <c r="T54" s="40">
        <f>T27</f>
        <v>83.248999999999995</v>
      </c>
      <c r="U54" s="878">
        <f>SUM(Q54:T54)</f>
        <v>186.46600000000001</v>
      </c>
      <c r="V54" s="904">
        <f>V27</f>
        <v>84.706000000000003</v>
      </c>
      <c r="W54" s="43">
        <f>W27</f>
        <v>104.78399999999999</v>
      </c>
      <c r="X54" s="43">
        <f>X27</f>
        <v>66.55600000000004</v>
      </c>
      <c r="Y54" s="40">
        <f>Y27</f>
        <v>86.41799999999995</v>
      </c>
      <c r="Z54" s="878">
        <f>SUM(V54:Y54)</f>
        <v>342.464</v>
      </c>
      <c r="AA54" s="904">
        <f>AA27</f>
        <v>155.32300000000004</v>
      </c>
      <c r="AB54" s="43">
        <f>AB27</f>
        <v>170.95799999999997</v>
      </c>
      <c r="AC54" s="43">
        <f>AC27</f>
        <v>212.11199999999997</v>
      </c>
      <c r="AD54" s="40">
        <f>AD27</f>
        <v>302.79899999999998</v>
      </c>
      <c r="AE54" s="878">
        <f>SUM(AA54:AD54)</f>
        <v>841.19200000000001</v>
      </c>
      <c r="AF54" s="904">
        <f>AF27</f>
        <v>442.7700000000001</v>
      </c>
      <c r="AG54" s="43">
        <f>AG27</f>
        <v>475.69799999999987</v>
      </c>
      <c r="AH54" s="43">
        <f>AH27</f>
        <v>529.17099999999994</v>
      </c>
      <c r="AI54" s="40">
        <f>AI27</f>
        <v>659.64</v>
      </c>
      <c r="AJ54" s="878">
        <f>SUM(AF54:AI54)</f>
        <v>2107.279</v>
      </c>
      <c r="AK54" s="43">
        <f>AK27+30</f>
        <v>772.6990000000003</v>
      </c>
      <c r="AL54" s="43">
        <f>AL27</f>
        <v>815.37199999999996</v>
      </c>
      <c r="AM54" s="43">
        <f>AM27</f>
        <v>931.33099999999956</v>
      </c>
      <c r="AN54" s="40">
        <f>AN27</f>
        <v>1060.5940000000001</v>
      </c>
      <c r="AO54" s="878">
        <f>SUM(AK54:AN54)</f>
        <v>3579.9960000000001</v>
      </c>
      <c r="AP54" s="43">
        <f>AP27</f>
        <v>1221.2090000000003</v>
      </c>
      <c r="AQ54" s="43">
        <f>AQ27</f>
        <v>1104.6150000000002</v>
      </c>
      <c r="AR54" s="43">
        <f>AR27</f>
        <v>1317.837</v>
      </c>
      <c r="AS54" s="40">
        <f>AS27</f>
        <v>1440.7340000000002</v>
      </c>
      <c r="AT54" s="878">
        <f>SUM(AP54:AS54)</f>
        <v>5084.3950000000004</v>
      </c>
      <c r="AU54" s="42">
        <f>AU27</f>
        <v>1546.2349999999999</v>
      </c>
      <c r="AV54" s="43">
        <f>AV27</f>
        <v>1577.9650000000004</v>
      </c>
      <c r="AW54" s="43">
        <f>AW27+AW47</f>
        <v>1742.6649999999995</v>
      </c>
      <c r="AX54" s="40">
        <f>AX27</f>
        <v>1860.2040000000009</v>
      </c>
      <c r="AY54" s="878">
        <f>SUM(AU54:AX54)</f>
        <v>6727.0690000000004</v>
      </c>
      <c r="AZ54" s="42">
        <f>AZ27</f>
        <v>1883.5909999999997</v>
      </c>
      <c r="BA54" s="42">
        <f>BA27</f>
        <v>1873.8939999999998</v>
      </c>
      <c r="BB54" s="42">
        <f>BB27</f>
        <v>2073.7179999999998</v>
      </c>
      <c r="BC54" s="42">
        <f>BC27</f>
        <v>2480.9830000000002</v>
      </c>
      <c r="BD54" s="1009">
        <f>SUM(AZ54:BC54)</f>
        <v>8312.1859999999997</v>
      </c>
      <c r="BE54" s="1687">
        <f>BE27</f>
        <v>2488</v>
      </c>
      <c r="BF54" s="42">
        <f>BF27</f>
        <v>2365</v>
      </c>
      <c r="BG54" s="42">
        <f>BG27</f>
        <v>2547</v>
      </c>
      <c r="BH54" s="42">
        <f>BH27</f>
        <v>2982</v>
      </c>
      <c r="BI54" s="1254">
        <f>SUM(BE54:BH54)</f>
        <v>10382</v>
      </c>
      <c r="BJ54" s="226">
        <f>BJ27</f>
        <v>2796</v>
      </c>
      <c r="BK54" s="226">
        <f>BK27</f>
        <v>2881</v>
      </c>
      <c r="BL54" s="226">
        <f>BL27</f>
        <v>3058</v>
      </c>
      <c r="BM54" s="226">
        <f>BM27</f>
        <v>3507</v>
      </c>
      <c r="BN54" s="1254">
        <f>SUM(BJ54:BM54)</f>
        <v>12242</v>
      </c>
      <c r="BO54" s="226">
        <v>3389</v>
      </c>
      <c r="BP54" s="226">
        <v>3203</v>
      </c>
      <c r="BQ54" s="226">
        <v>2736</v>
      </c>
      <c r="BR54" s="1471">
        <v>3394</v>
      </c>
      <c r="BS54" s="5515">
        <v>12722</v>
      </c>
      <c r="BT54" s="226">
        <f>BT27</f>
        <v>3389</v>
      </c>
      <c r="BU54" s="226">
        <f>BU27</f>
        <v>3436</v>
      </c>
      <c r="BV54" s="226">
        <f>BV27</f>
        <v>3263</v>
      </c>
      <c r="BW54" s="226">
        <f>BW27</f>
        <v>3747</v>
      </c>
      <c r="BX54" s="1254">
        <f>SUM(BT54:BW54)</f>
        <v>13835</v>
      </c>
      <c r="BY54" s="226">
        <v>3477</v>
      </c>
      <c r="BZ54" s="226">
        <v>3123</v>
      </c>
      <c r="CA54" s="226">
        <v>3444</v>
      </c>
      <c r="CB54" s="226">
        <v>3922</v>
      </c>
      <c r="CC54" s="1254">
        <v>13966</v>
      </c>
      <c r="CD54" s="226">
        <f>CD27</f>
        <v>3748</v>
      </c>
      <c r="CE54" s="226">
        <f>CE27</f>
        <v>3465</v>
      </c>
      <c r="CF54" s="226">
        <f>CF27</f>
        <v>3761</v>
      </c>
      <c r="CG54" s="226">
        <f>CG27</f>
        <v>4429</v>
      </c>
      <c r="CH54" s="1254">
        <f>SUM(CD54:CG54)</f>
        <v>15403</v>
      </c>
      <c r="CI54" s="537">
        <f>CI27</f>
        <v>4115</v>
      </c>
      <c r="CJ54" s="226">
        <f>CJ27</f>
        <v>4258</v>
      </c>
      <c r="CK54" s="226">
        <f>CK27</f>
        <v>3724</v>
      </c>
      <c r="CL54" s="226">
        <f>CL27</f>
        <v>4399</v>
      </c>
      <c r="CM54" s="1254">
        <f>SUM(CI54:CL54)</f>
        <v>16496</v>
      </c>
      <c r="CN54" s="537">
        <f>CN27</f>
        <v>4447</v>
      </c>
      <c r="CO54" s="537">
        <f>CO27</f>
        <v>4825</v>
      </c>
      <c r="CP54" s="537">
        <f>CP27</f>
        <v>4708</v>
      </c>
      <c r="CQ54" s="226">
        <f>CQ27</f>
        <v>5380</v>
      </c>
      <c r="CR54" s="1254">
        <f>SUM(CN54:CQ54)</f>
        <v>19360</v>
      </c>
      <c r="CS54" s="537">
        <f>CS27</f>
        <v>5342</v>
      </c>
      <c r="CT54" s="537">
        <f>CT27</f>
        <v>5968</v>
      </c>
      <c r="CU54" s="537">
        <f>CU27</f>
        <v>5767</v>
      </c>
      <c r="CV54" s="537">
        <f>CV27</f>
        <v>6639</v>
      </c>
      <c r="CW54" s="1254">
        <f>SUM(CS54:CV54)</f>
        <v>23716</v>
      </c>
      <c r="CX54" s="537">
        <f>CX27</f>
        <v>6568</v>
      </c>
      <c r="CY54" s="652">
        <f>CY27+CY25</f>
        <v>6868</v>
      </c>
      <c r="CZ54" s="537">
        <f>CZ27</f>
        <v>7782</v>
      </c>
      <c r="DA54" s="537">
        <f>DA27</f>
        <v>7664</v>
      </c>
      <c r="DB54" s="1254">
        <f>SUM(CX54:DA54)</f>
        <v>28882</v>
      </c>
      <c r="DC54" s="652">
        <f>DC27+DC25</f>
        <v>7633</v>
      </c>
      <c r="DD54" s="652">
        <f>DD27+DD25</f>
        <v>8116</v>
      </c>
      <c r="DE54" s="652">
        <f>DE27+DE25</f>
        <v>8625</v>
      </c>
      <c r="DF54" s="537">
        <f>DF27+DF25</f>
        <v>8221</v>
      </c>
      <c r="DG54" s="1254">
        <f>SUM(DC54:DF54)</f>
        <v>32595</v>
      </c>
      <c r="DH54" s="537">
        <f>DH27+DH25</f>
        <v>8305</v>
      </c>
      <c r="DI54" s="537">
        <f>DI27+DI25</f>
        <v>9180</v>
      </c>
      <c r="DJ54" s="537">
        <f>DJ27+DJ25</f>
        <v>9177</v>
      </c>
      <c r="DK54" s="537">
        <f>DK27+DK25</f>
        <v>9266</v>
      </c>
      <c r="DL54" s="1254">
        <f>SUM(DH54:DK54)</f>
        <v>35928</v>
      </c>
      <c r="DM54" s="537">
        <f>DM27+DM25</f>
        <v>7977</v>
      </c>
      <c r="DN54" s="537">
        <f>DN27+DN25</f>
        <v>6383</v>
      </c>
      <c r="DO54" s="537">
        <f>DO27+DO25</f>
        <v>11213</v>
      </c>
      <c r="DP54" s="537">
        <f>DP27+DP25</f>
        <v>15651</v>
      </c>
      <c r="DQ54" s="1254">
        <f>SUM(DM54:DP54)</f>
        <v>41224</v>
      </c>
      <c r="DR54" s="537">
        <f>DR27+DR25</f>
        <v>16437</v>
      </c>
      <c r="DS54" s="537">
        <f>DS27+DS25</f>
        <v>19361</v>
      </c>
      <c r="DT54" s="537">
        <f>DT27+DT25</f>
        <v>21031</v>
      </c>
      <c r="DU54" s="537">
        <f>DU27+DU25</f>
        <v>21885</v>
      </c>
      <c r="DV54" s="1254">
        <f>SUM(DR54:DU54)</f>
        <v>78714</v>
      </c>
      <c r="DW54" s="537">
        <f>DW27+DW25</f>
        <v>20094</v>
      </c>
      <c r="DX54" s="537">
        <f>DX27+DX25</f>
        <v>19453</v>
      </c>
      <c r="DY54" s="537">
        <f>DY27+DY25</f>
        <v>17135</v>
      </c>
      <c r="DZ54" s="537">
        <f>DZ27+DZ25</f>
        <v>18160</v>
      </c>
      <c r="EA54" s="1254">
        <f>SUM(DW54:DZ54)</f>
        <v>74842</v>
      </c>
      <c r="EB54" s="537">
        <f>EB27+EB25</f>
        <v>17415</v>
      </c>
      <c r="EC54" s="537">
        <f>EC27+EC25</f>
        <v>21838</v>
      </c>
      <c r="ED54" s="537">
        <f>ED27+ED25</f>
        <v>21343</v>
      </c>
      <c r="EE54" s="537">
        <f>EE27+EE25</f>
        <v>23697</v>
      </c>
      <c r="EF54" s="1254">
        <f>SUM(EB54:EE54)</f>
        <v>84293</v>
      </c>
      <c r="EG54" s="537">
        <f>EG27+EG25</f>
        <v>25472</v>
      </c>
      <c r="EH54" s="537">
        <f>EH27+EH25</f>
        <v>27425</v>
      </c>
      <c r="EI54" s="537">
        <f>EI27+EI25</f>
        <v>28521</v>
      </c>
      <c r="EJ54" s="537">
        <f>EJ27+EJ25</f>
        <v>30972</v>
      </c>
      <c r="EK54" s="1009">
        <f>SUM(EG54:EJ54)</f>
        <v>112390</v>
      </c>
      <c r="EL54" s="537">
        <f>EL27+EL25</f>
        <v>30606</v>
      </c>
      <c r="EM54" s="537">
        <f>EM27+EM25</f>
        <v>31271</v>
      </c>
      <c r="EN54" s="537">
        <f>EN27+EN25</f>
        <v>34685</v>
      </c>
      <c r="EO54" s="43">
        <f t="shared" ref="EO54" si="193">EO27+EO25</f>
        <v>37339.346430877777</v>
      </c>
      <c r="EP54" s="1009">
        <f>SUM(EL54:EO54)</f>
        <v>133901.34643087778</v>
      </c>
      <c r="EQ54" s="43">
        <f t="shared" ref="EQ54:ET54" si="194">EQ27+EQ25</f>
        <v>37124.369689483283</v>
      </c>
      <c r="ER54" s="43">
        <f t="shared" si="194"/>
        <v>38929.529366791176</v>
      </c>
      <c r="ES54" s="43">
        <f t="shared" si="194"/>
        <v>40112.083814142432</v>
      </c>
      <c r="ET54" s="43">
        <f t="shared" si="194"/>
        <v>43585.092631811312</v>
      </c>
      <c r="EU54" s="1009">
        <f>SUM(EQ54:ET54)</f>
        <v>159751.0755022282</v>
      </c>
      <c r="EV54" s="1009">
        <f>EV27+EV25</f>
        <v>178688.9849625713</v>
      </c>
      <c r="EW54" s="1009">
        <f>EW27+EW25</f>
        <v>203370.41436392756</v>
      </c>
      <c r="EX54" s="1009">
        <f>EX27+EX25</f>
        <v>230168.81577208661</v>
      </c>
      <c r="EY54" s="1009">
        <f>EY27+EY25</f>
        <v>260643.4617696183</v>
      </c>
      <c r="EZ54" s="42"/>
      <c r="FA54" s="1319">
        <f>(EA54/DL54)^(1/3)-1</f>
        <v>0.27713688376821022</v>
      </c>
      <c r="FB54" s="1319">
        <f>(EF54/DQ54)^(1/3)-1</f>
        <v>0.26924986851612087</v>
      </c>
      <c r="FC54" s="1319">
        <f>(EK54/DV54)^(1/3)-1</f>
        <v>0.12605230243238807</v>
      </c>
      <c r="FD54" s="1319">
        <f>(EP54/EA54)^(1/3)-1</f>
        <v>0.21398462499146764</v>
      </c>
      <c r="FE54" s="1319">
        <f t="shared" ref="FE54:FE57" si="195">(EU54/EF54)^(1/3)-1</f>
        <v>0.23751582132188109</v>
      </c>
      <c r="FF54" s="1319">
        <f>(EV54/EK54)^(1/3)-1</f>
        <v>0.16714112022419902</v>
      </c>
      <c r="FG54" s="1319">
        <f>(EK54/DL54)^(1/5)-1</f>
        <v>0.25620039559101482</v>
      </c>
      <c r="FH54" s="1319">
        <f>(EP54/DQ54)^(1/5)-1</f>
        <v>0.26568887531418128</v>
      </c>
      <c r="FI54" s="1319">
        <f>(EU54/DV54)^(1/5)-1</f>
        <v>0.15206865754744903</v>
      </c>
      <c r="FJ54" s="1319">
        <f>(EV54/EA54)^(1/5)-1</f>
        <v>0.19011924875674602</v>
      </c>
      <c r="FK54" s="1319">
        <f t="shared" ref="FK54:FK57" si="196">(EW54/EF54)^(1/5)-1</f>
        <v>0.19261221330642342</v>
      </c>
      <c r="FL54" s="1319">
        <f t="shared" ref="FL54:FL57" si="197">(EX54/EK54)^(1/5)-1</f>
        <v>0.15415400357755438</v>
      </c>
    </row>
    <row r="55" spans="1:170" ht="11.25" customHeight="1">
      <c r="A55" s="3730" t="s">
        <v>92</v>
      </c>
      <c r="B55" s="43"/>
      <c r="C55" s="43"/>
      <c r="D55" s="43"/>
      <c r="E55" s="40"/>
      <c r="F55" s="878"/>
      <c r="G55" s="43"/>
      <c r="H55" s="43"/>
      <c r="I55" s="43"/>
      <c r="J55" s="40"/>
      <c r="K55" s="878"/>
      <c r="L55" s="43"/>
      <c r="M55" s="43"/>
      <c r="N55" s="43"/>
      <c r="O55" s="40"/>
      <c r="P55" s="878">
        <f>SUM(CF!B11:B14)</f>
        <v>14.182</v>
      </c>
      <c r="Q55" s="43"/>
      <c r="R55" s="43"/>
      <c r="S55" s="43"/>
      <c r="T55" s="40"/>
      <c r="U55" s="878">
        <f>SUM(CF!G11:G14)</f>
        <v>28.983000000000001</v>
      </c>
      <c r="V55" s="904">
        <f>SUM(CF!H11:H14)</f>
        <v>10.694000000000001</v>
      </c>
      <c r="W55" s="42">
        <f>SUM(CF!I11:I14)</f>
        <v>12.037000000000001</v>
      </c>
      <c r="X55" s="42">
        <f>SUM(CF!J11:J14)</f>
        <v>26.065000000000001</v>
      </c>
      <c r="Y55" s="63">
        <f>SUM(CF!K11:K14)</f>
        <v>17.870999999999999</v>
      </c>
      <c r="Z55" s="878">
        <f>SUM(CF!L11:L14)</f>
        <v>66.666999999999987</v>
      </c>
      <c r="AA55" s="904">
        <f>SUM(CF!M11:M14)</f>
        <v>23.675000000000004</v>
      </c>
      <c r="AB55" s="43">
        <f>SUM(CF!N11:N14)</f>
        <v>31.961999999999996</v>
      </c>
      <c r="AC55" s="43">
        <f>SUM(CF!O11:O14)</f>
        <v>41.326000000000008</v>
      </c>
      <c r="AD55" s="40">
        <f>SUM(CF!P11:P14)+0.001</f>
        <v>62.853999999999992</v>
      </c>
      <c r="AE55" s="878">
        <f>SUM(AA55:AD55)</f>
        <v>159.81700000000001</v>
      </c>
      <c r="AF55" s="909">
        <f>46.478+9.715</f>
        <v>56.192999999999998</v>
      </c>
      <c r="AG55" s="43">
        <f>SUM(CF!S11:S14)</f>
        <v>66.928999999999988</v>
      </c>
      <c r="AH55" s="43">
        <f>SUM(CF!T11:T14)+0.001</f>
        <v>96.778000000000006</v>
      </c>
      <c r="AI55" s="40">
        <f>SUM(CF!U11:U14)</f>
        <v>95.953000000000003</v>
      </c>
      <c r="AJ55" s="878">
        <f>SUM(AF55:AI55)</f>
        <v>315.85299999999995</v>
      </c>
      <c r="AK55" s="44">
        <f>95.868+15.29+4</f>
        <v>115.15799999999999</v>
      </c>
      <c r="AL55" s="44">
        <f>206.079+31.3+4-AK55</f>
        <v>126.22100000000003</v>
      </c>
      <c r="AM55" s="44">
        <f>335.629+47.06+10.8-AL55-AK55</f>
        <v>152.11000000000004</v>
      </c>
      <c r="AN55" s="5401">
        <f>494.43+77.509+10.8-AM55-AL55-AK55</f>
        <v>189.24999999999991</v>
      </c>
      <c r="AO55" s="878">
        <f>SUM(AK55:AN55)</f>
        <v>582.73899999999992</v>
      </c>
      <c r="AP55" s="44">
        <f>170.289+34.7032</f>
        <v>204.9922</v>
      </c>
      <c r="AQ55" s="65">
        <f>358.426+69.921+3.66-AP55</f>
        <v>227.01480000000001</v>
      </c>
      <c r="AR55" s="44">
        <f>(565.841+111.881)-AQ55-AP55</f>
        <v>245.71499999999995</v>
      </c>
      <c r="AS55" s="40">
        <f>(807.743+159.915)-AR55-AQ55-AP55</f>
        <v>289.93600000000004</v>
      </c>
      <c r="AT55" s="878">
        <f>SUM(AP55:AS55)</f>
        <v>967.65800000000002</v>
      </c>
      <c r="AU55" s="65">
        <f>280.564+55.96</f>
        <v>336.524</v>
      </c>
      <c r="AV55" s="44">
        <f>308.716+82.891</f>
        <v>391.60700000000003</v>
      </c>
      <c r="AW55" s="44">
        <f>309.482+76.764</f>
        <v>386.24600000000004</v>
      </c>
      <c r="AX55" s="5401">
        <f>313.475+72.035</f>
        <v>385.51</v>
      </c>
      <c r="AY55" s="878">
        <f>SUM(CF!AK11:AK14)</f>
        <v>1499.8870000000002</v>
      </c>
      <c r="AZ55" s="44">
        <f>321.129+82.093</f>
        <v>403.22200000000004</v>
      </c>
      <c r="BA55" s="44">
        <f>310.982+65.975</f>
        <v>376.95699999999999</v>
      </c>
      <c r="BB55" s="44">
        <f>311.102+67.521</f>
        <v>378.62299999999999</v>
      </c>
      <c r="BC55" s="44">
        <f>296.817+68.689</f>
        <v>365.50599999999997</v>
      </c>
      <c r="BD55" s="1009">
        <f>SUM(AZ55:BC55)</f>
        <v>1524.308</v>
      </c>
      <c r="BE55" s="1738">
        <f>264+67</f>
        <v>331</v>
      </c>
      <c r="BF55" s="65">
        <f>266+76</f>
        <v>342</v>
      </c>
      <c r="BG55" s="65">
        <f>257+85</f>
        <v>342</v>
      </c>
      <c r="BH55" s="65">
        <f>280+101</f>
        <v>381</v>
      </c>
      <c r="BI55" s="1255">
        <f>SUM(BE55:BH55)</f>
        <v>1396</v>
      </c>
      <c r="BJ55" s="226">
        <f>SUM(CF!AV11:AV14)</f>
        <v>401</v>
      </c>
      <c r="BK55" s="226">
        <f>SUM(CF!AW11:AW14)</f>
        <v>455</v>
      </c>
      <c r="BL55" s="226">
        <f>SUM(CF!AX11:AX14)</f>
        <v>492</v>
      </c>
      <c r="BM55" s="226">
        <f>SUM(CF!AY11:AY14)</f>
        <v>503</v>
      </c>
      <c r="BN55" s="1255">
        <f>SUM(BJ55:BM55)</f>
        <v>1851</v>
      </c>
      <c r="BO55" s="226">
        <v>511</v>
      </c>
      <c r="BP55" s="226">
        <v>670</v>
      </c>
      <c r="BQ55" s="226">
        <v>828</v>
      </c>
      <c r="BR55" s="1471">
        <v>953</v>
      </c>
      <c r="BS55" s="5515">
        <v>2962</v>
      </c>
      <c r="BT55" s="226">
        <f>SUM(CF!BA11:BA14)</f>
        <v>511</v>
      </c>
      <c r="BU55" s="226">
        <f>SUM(CF!BB11:BB14)</f>
        <v>670</v>
      </c>
      <c r="BV55" s="226">
        <f>SUM(CF!BC11:BC14)</f>
        <v>828</v>
      </c>
      <c r="BW55" s="226">
        <f>SUM(CF!BD11:BD14)</f>
        <v>953</v>
      </c>
      <c r="BX55" s="1254">
        <f>SUM(BT55:BW55)</f>
        <v>2962</v>
      </c>
      <c r="BY55" s="226">
        <v>899</v>
      </c>
      <c r="BZ55" s="226">
        <v>1030</v>
      </c>
      <c r="CA55" s="226">
        <v>974</v>
      </c>
      <c r="CB55" s="226">
        <v>1036</v>
      </c>
      <c r="CC55" s="1254">
        <v>3939</v>
      </c>
      <c r="CD55" s="226">
        <f>SUM(CF!BF11:BF14)</f>
        <v>899</v>
      </c>
      <c r="CE55" s="226">
        <f>SUM(CF!BG11:BG14)</f>
        <v>1030</v>
      </c>
      <c r="CF55" s="226">
        <f>SUM(CF!BH11:BH14)</f>
        <v>974</v>
      </c>
      <c r="CG55" s="226">
        <f>SUM(CF!BI11:BI14)</f>
        <v>1036</v>
      </c>
      <c r="CH55" s="1254">
        <f>SUM(CD55:CG55)</f>
        <v>3939</v>
      </c>
      <c r="CI55" s="537">
        <f>SUM(CF!BK11:BK14)</f>
        <v>1086</v>
      </c>
      <c r="CJ55" s="226">
        <f>SUM(CF!BL11:BL14)</f>
        <v>1079</v>
      </c>
      <c r="CK55" s="226">
        <f>SUM(CF!BM11:BM14)</f>
        <v>1547</v>
      </c>
      <c r="CL55" s="226">
        <f>SUM(CF!BN11:BN14)</f>
        <v>1267</v>
      </c>
      <c r="CM55" s="1254">
        <f>SUM(CI55:CL55)</f>
        <v>4979</v>
      </c>
      <c r="CN55" s="537">
        <f>SUM(CF!BP11:BP14)</f>
        <v>1177</v>
      </c>
      <c r="CO55" s="537">
        <f>SUM(CF!BQ11:BQ14)</f>
        <v>1234</v>
      </c>
      <c r="CP55" s="537">
        <f>SUM(CF!BR11:BR14)</f>
        <v>1248</v>
      </c>
      <c r="CQ55" s="226">
        <f>SUM(CF!BS11:BS14)</f>
        <v>1404</v>
      </c>
      <c r="CR55" s="1254">
        <f>SUM(CN55:CQ55)</f>
        <v>5063</v>
      </c>
      <c r="CS55" s="226">
        <f>SUM(CF!BU11:BU14)</f>
        <v>1371</v>
      </c>
      <c r="CT55" s="226">
        <f>SUM(CF!BV11:BV14)</f>
        <v>1490</v>
      </c>
      <c r="CU55" s="226">
        <f>SUM(CF!BW11:BW14)</f>
        <v>1596</v>
      </c>
      <c r="CV55" s="226">
        <f>SUM(CF!BX11:BX14)</f>
        <v>1687</v>
      </c>
      <c r="CW55" s="1254">
        <f>SUM(CS55:CV55)</f>
        <v>6144</v>
      </c>
      <c r="CX55" s="226">
        <f>SUM(CF!BZ11:BZ14)</f>
        <v>1503</v>
      </c>
      <c r="CY55" s="226">
        <f>SUM(CF!CA11:CA14)</f>
        <v>1625</v>
      </c>
      <c r="CZ55" s="226">
        <f>SUM(CF!CB11:CB14)</f>
        <v>1761</v>
      </c>
      <c r="DA55" s="226">
        <f>SUM(CF!CC11:CC14)</f>
        <v>2026</v>
      </c>
      <c r="DB55" s="1255">
        <f>SUM(CX55:DA55)</f>
        <v>6915</v>
      </c>
      <c r="DC55" s="226">
        <f>SUM(CF!CE11:CE14)</f>
        <v>1986</v>
      </c>
      <c r="DD55" s="226">
        <f>SUM(CF!CF11:CF14)</f>
        <v>2114</v>
      </c>
      <c r="DE55" s="226">
        <f>SUM(CF!CG11:CG14)</f>
        <v>2355</v>
      </c>
      <c r="DF55" s="226">
        <f>SUM(CF!CH11:CH14)</f>
        <v>2580</v>
      </c>
      <c r="DG55" s="1255">
        <f>SUM(DC55:DF55)</f>
        <v>9035</v>
      </c>
      <c r="DH55" s="226">
        <f>SUM(CF!CJ11:CJ14)</f>
        <v>2613</v>
      </c>
      <c r="DI55" s="226">
        <f>SUM(CF!CK11:CK14)</f>
        <v>2835</v>
      </c>
      <c r="DJ55" s="226">
        <f>SUM(CF!CL11:CL14)</f>
        <v>2920</v>
      </c>
      <c r="DK55" s="226">
        <f>SUM(CF!CM11:CM14)</f>
        <v>3413</v>
      </c>
      <c r="DL55" s="1255">
        <f>SUM(DH55:DK55)</f>
        <v>11781</v>
      </c>
      <c r="DM55" s="226">
        <f>SUM(CF!CO11:CO14)</f>
        <v>3108</v>
      </c>
      <c r="DN55" s="226">
        <f>SUM(CF!CP11:CP14)</f>
        <v>3386</v>
      </c>
      <c r="DO55" s="226">
        <f>SUM(CF!CQ11:CQ14)</f>
        <v>3478</v>
      </c>
      <c r="DP55" s="226">
        <f>SUM(CF!CR11:CR14)</f>
        <v>3725</v>
      </c>
      <c r="DQ55" s="1255">
        <f>SUM(DM55:DP55)</f>
        <v>13697</v>
      </c>
      <c r="DR55" s="226">
        <f>SUM(CF!CT11,CF!CT13)</f>
        <v>2753</v>
      </c>
      <c r="DS55" s="226">
        <f>SUM(CF!CU11,CF!CU13)</f>
        <v>2945</v>
      </c>
      <c r="DT55" s="226">
        <f>SUM(CF!CV11,CF!CV13)</f>
        <v>3304</v>
      </c>
      <c r="DU55" s="226">
        <f>SUM(CF!CW11,CF!CW13)</f>
        <v>3439</v>
      </c>
      <c r="DV55" s="1255">
        <f>SUM(CF!CX11,CF!CX13)</f>
        <v>12441</v>
      </c>
      <c r="DW55" s="226">
        <f>SUM(CF!CY11,CF!CY13)</f>
        <v>3782</v>
      </c>
      <c r="DX55" s="226">
        <f>SUM(CF!CZ11,CF!CZ13)</f>
        <v>3899</v>
      </c>
      <c r="DY55" s="226">
        <f>SUM(CF!DA11,CF!DA13)</f>
        <v>4046</v>
      </c>
      <c r="DZ55" s="226">
        <f>SUM(CF!DB11,CF!DB13)</f>
        <v>4201</v>
      </c>
      <c r="EA55" s="1255">
        <f>SUM(CF!DC11,CF!DC13)</f>
        <v>15928</v>
      </c>
      <c r="EB55" s="226">
        <f>SUM(CF!DD11,CF!DD13)</f>
        <v>3186</v>
      </c>
      <c r="EC55" s="226">
        <f>SUM(CF!DE11,CF!DE13)</f>
        <v>3397</v>
      </c>
      <c r="ED55" s="226">
        <f>SUM(CF!DF11,CF!DF13)</f>
        <v>3800</v>
      </c>
      <c r="EE55" s="226">
        <f>SUM(CF!DG11,CF!DG13)</f>
        <v>3316</v>
      </c>
      <c r="EF55" s="1255">
        <f>SUM(CF!DH11,CF!DH13)</f>
        <v>13699</v>
      </c>
      <c r="EG55" s="226">
        <f>SUM(CF!DI11,CF!DI13)</f>
        <v>3413</v>
      </c>
      <c r="EH55" s="226">
        <f>SUM(CF!DJ11,CF!DJ13)</f>
        <v>3708</v>
      </c>
      <c r="EI55" s="226">
        <f>SUM(CF!DK11,CF!DK13)</f>
        <v>3985</v>
      </c>
      <c r="EJ55" s="226">
        <f>SUM(CF!DL11,CF!DL13)</f>
        <v>4205</v>
      </c>
      <c r="EK55" s="1001">
        <f>SUM(CF!DM11,CF!DM13)</f>
        <v>15311</v>
      </c>
      <c r="EL55" s="226">
        <f>SUM(CF!DN11,CF!DN13)</f>
        <v>4487</v>
      </c>
      <c r="EM55" s="226">
        <f>SUM(CF!DO11,CF!DO13)</f>
        <v>4998</v>
      </c>
      <c r="EN55" s="226">
        <f>SUM(CF!DP11,CF!DP13)</f>
        <v>5611</v>
      </c>
      <c r="EO55" s="42">
        <f>SUM(CF!DQ11,CF!DQ13)</f>
        <v>6431.1984855239371</v>
      </c>
      <c r="EP55" s="1001">
        <f>SUM(CF!DR11,CF!DR13)</f>
        <v>21527.198485523935</v>
      </c>
      <c r="EQ55" s="42">
        <f>SUM(CF!DS11,CF!DS13)</f>
        <v>7543.0175868472752</v>
      </c>
      <c r="ER55" s="42">
        <f>SUM(CF!DT11,CF!DT13)</f>
        <v>8704.7394857421259</v>
      </c>
      <c r="ES55" s="42">
        <f>SUM(CF!DU11,CF!DU13)</f>
        <v>9655.6616607666801</v>
      </c>
      <c r="ET55" s="42">
        <f>SUM(CF!DV11,CF!DV13)</f>
        <v>10952.730531828231</v>
      </c>
      <c r="EU55" s="1001">
        <f>SUM(CF!DW11,CF!DW13)</f>
        <v>36856.149265184315</v>
      </c>
      <c r="EV55" s="1001">
        <f>SUM(CF!DX11,CF!DX13)</f>
        <v>50659.248314131044</v>
      </c>
      <c r="EW55" s="1001">
        <f>SUM(CF!DY11,CF!DY13)</f>
        <v>57068.22852048988</v>
      </c>
      <c r="EX55" s="1001">
        <f>SUM(CF!DZ11,CF!DZ13)</f>
        <v>61724.46939251446</v>
      </c>
      <c r="EY55" s="1001">
        <f>SUM(CF!EA11,CF!EA13)</f>
        <v>66276.088078338158</v>
      </c>
      <c r="EZ55" s="42"/>
      <c r="FA55" s="1319">
        <f>(EA55/DL55)^(1/3)-1</f>
        <v>0.10575699912442182</v>
      </c>
      <c r="FB55" s="1319">
        <f>(EF55/DQ55)^(1/3)-1</f>
        <v>4.8670089873192879E-5</v>
      </c>
      <c r="FC55" s="1319">
        <f>(EK55/DV55)^(1/3)-1</f>
        <v>7.16412496518255E-2</v>
      </c>
      <c r="FD55" s="1319">
        <f>(EP55/EA55)^(1/3)-1</f>
        <v>0.10562730593739822</v>
      </c>
      <c r="FE55" s="1319">
        <f t="shared" si="195"/>
        <v>0.39082887175814274</v>
      </c>
      <c r="FF55" s="1319">
        <f>(EV55/EK55)^(1/3)-1</f>
        <v>0.49011022554086403</v>
      </c>
      <c r="FG55" s="1319">
        <f>(EK55/DL55)^(1/5)-1</f>
        <v>5.3814767233383298E-2</v>
      </c>
      <c r="FH55" s="1319">
        <f>(EP55/DQ55)^(1/5)-1</f>
        <v>9.4642767313815046E-2</v>
      </c>
      <c r="FI55" s="1319">
        <f>(EU55/DV55)^(1/5)-1</f>
        <v>0.24259881068622469</v>
      </c>
      <c r="FJ55" s="1319">
        <f>(EV55/EA55)^(1/5)-1</f>
        <v>0.26037418357664932</v>
      </c>
      <c r="FK55" s="1319">
        <f t="shared" si="196"/>
        <v>0.33027400688129771</v>
      </c>
      <c r="FL55" s="1319">
        <f t="shared" si="197"/>
        <v>0.32157179620303</v>
      </c>
    </row>
    <row r="56" spans="1:170" s="4" customFormat="1" ht="11.25" customHeight="1">
      <c r="A56" s="3752" t="s">
        <v>53</v>
      </c>
      <c r="B56" s="82"/>
      <c r="C56" s="82"/>
      <c r="D56" s="82"/>
      <c r="E56" s="81"/>
      <c r="F56" s="965"/>
      <c r="G56" s="42"/>
      <c r="H56" s="82"/>
      <c r="I56" s="42"/>
      <c r="J56" s="81"/>
      <c r="K56" s="880"/>
      <c r="L56" s="82"/>
      <c r="M56" s="42"/>
      <c r="N56" s="42"/>
      <c r="O56" s="63"/>
      <c r="P56" s="880">
        <f>P24</f>
        <v>12.382999999999999</v>
      </c>
      <c r="Q56" s="51">
        <f>Q24</f>
        <v>3.774</v>
      </c>
      <c r="R56" s="51">
        <f>R24</f>
        <v>3.7349999999999999</v>
      </c>
      <c r="S56" s="51">
        <f>S24</f>
        <v>6.1820000000000004</v>
      </c>
      <c r="T56" s="52">
        <f>T24</f>
        <v>7.944</v>
      </c>
      <c r="U56" s="927">
        <f>SUM(Q56:T56)</f>
        <v>21.635000000000002</v>
      </c>
      <c r="V56" s="926">
        <f>V24</f>
        <v>36.417999999999999</v>
      </c>
      <c r="W56" s="51">
        <f>W24</f>
        <v>34.164999999999999</v>
      </c>
      <c r="X56" s="51">
        <f>X24</f>
        <v>73.793999999999997</v>
      </c>
      <c r="Y56" s="52">
        <f>Y24</f>
        <v>84.983999999999995</v>
      </c>
      <c r="Z56" s="927">
        <f>SUM(V56:Y56)</f>
        <v>229.36099999999999</v>
      </c>
      <c r="AA56" s="926">
        <f>AA24</f>
        <v>76.472999999999999</v>
      </c>
      <c r="AB56" s="51">
        <f>AB24</f>
        <v>74.760999999999996</v>
      </c>
      <c r="AC56" s="51">
        <f>AC24</f>
        <v>67.980999999999995</v>
      </c>
      <c r="AD56" s="52">
        <f>AD24</f>
        <v>59.530999999999999</v>
      </c>
      <c r="AE56" s="927">
        <f>SUM(AA56:AD56)</f>
        <v>278.74599999999998</v>
      </c>
      <c r="AF56" s="926">
        <f>AF24</f>
        <v>48.908000000000001</v>
      </c>
      <c r="AG56" s="51">
        <f>AG24</f>
        <v>47.338000000000001</v>
      </c>
      <c r="AH56" s="51">
        <f>AH24</f>
        <v>46.308</v>
      </c>
      <c r="AI56" s="52">
        <f>AI24</f>
        <v>58.154000000000003</v>
      </c>
      <c r="AJ56" s="927">
        <f>SUM(AF56:AI56)</f>
        <v>200.708</v>
      </c>
      <c r="AK56" s="51">
        <f>AK24</f>
        <v>114.664</v>
      </c>
      <c r="AL56" s="51">
        <f>AL24</f>
        <v>109.149</v>
      </c>
      <c r="AM56" s="51">
        <f>AM24</f>
        <v>99.86</v>
      </c>
      <c r="AN56" s="52">
        <f>AN24</f>
        <v>134.42699999999999</v>
      </c>
      <c r="AO56" s="927">
        <f>SUM(AK56:AN56)</f>
        <v>458.1</v>
      </c>
      <c r="AP56" s="51">
        <f>AP24</f>
        <v>183.86599999999999</v>
      </c>
      <c r="AQ56" s="51">
        <f>AQ24</f>
        <v>241.524</v>
      </c>
      <c r="AR56" s="51">
        <f>AR24</f>
        <v>197.95600000000002</v>
      </c>
      <c r="AS56" s="52">
        <f>AS24</f>
        <v>245.3</v>
      </c>
      <c r="AT56" s="927">
        <f>SUM(AP56:AS56)</f>
        <v>868.64599999999996</v>
      </c>
      <c r="AU56" s="51">
        <f>AU24</f>
        <v>280.779</v>
      </c>
      <c r="AV56" s="51">
        <f>AV24</f>
        <v>272.77600000000001</v>
      </c>
      <c r="AW56" s="51">
        <f>AW24</f>
        <v>280.03900000000004</v>
      </c>
      <c r="AX56" s="52">
        <v>286.17200000000003</v>
      </c>
      <c r="AY56" s="927">
        <f>AY24</f>
        <v>1119.7660000000001</v>
      </c>
      <c r="AZ56" s="51">
        <f>AZ24</f>
        <v>277.483</v>
      </c>
      <c r="BA56" s="51">
        <f>BA24</f>
        <v>293.07000000000005</v>
      </c>
      <c r="BB56" s="51">
        <f>BB24</f>
        <v>317.52699999999999</v>
      </c>
      <c r="BC56" s="51">
        <f>BC24</f>
        <v>275.97399999999999</v>
      </c>
      <c r="BD56" s="1010">
        <f>SUM(AZ56:BC56)</f>
        <v>1164.0540000000001</v>
      </c>
      <c r="BE56" s="1742">
        <f>BE24</f>
        <v>291</v>
      </c>
      <c r="BF56" s="51">
        <f>BF24</f>
        <v>309</v>
      </c>
      <c r="BG56" s="51">
        <f>BG24</f>
        <v>380</v>
      </c>
      <c r="BH56" s="51">
        <f>BH24</f>
        <v>396</v>
      </c>
      <c r="BI56" s="1267">
        <f>SUM(BE56:BH56)</f>
        <v>1376</v>
      </c>
      <c r="BJ56" s="691">
        <f>BJ24</f>
        <v>432</v>
      </c>
      <c r="BK56" s="691">
        <f>BK24</f>
        <v>435</v>
      </c>
      <c r="BL56" s="691">
        <f>BL24</f>
        <v>571</v>
      </c>
      <c r="BM56" s="691">
        <f>BM24</f>
        <v>536</v>
      </c>
      <c r="BN56" s="1267">
        <f>SUM(BJ56:BM56)</f>
        <v>1974</v>
      </c>
      <c r="BO56" s="691">
        <v>556</v>
      </c>
      <c r="BP56" s="691">
        <v>747</v>
      </c>
      <c r="BQ56" s="691">
        <v>1064</v>
      </c>
      <c r="BR56" s="5514">
        <v>878</v>
      </c>
      <c r="BS56" s="5515">
        <v>3245</v>
      </c>
      <c r="BT56" s="691">
        <f>BT24</f>
        <v>556</v>
      </c>
      <c r="BU56" s="691">
        <f>BU24</f>
        <v>552</v>
      </c>
      <c r="BV56" s="691">
        <f>BV24</f>
        <v>688</v>
      </c>
      <c r="BW56" s="691">
        <f>BW24</f>
        <v>677</v>
      </c>
      <c r="BX56" s="1254">
        <f>SUM(BT56:BW56)</f>
        <v>2473</v>
      </c>
      <c r="BY56" s="691">
        <v>593</v>
      </c>
      <c r="BZ56" s="691">
        <v>783</v>
      </c>
      <c r="CA56" s="691">
        <v>886</v>
      </c>
      <c r="CB56" s="691">
        <v>917</v>
      </c>
      <c r="CC56" s="1254">
        <v>3179</v>
      </c>
      <c r="CD56" s="691">
        <f>CD24</f>
        <v>655</v>
      </c>
      <c r="CE56" s="691">
        <f>CE24</f>
        <v>743</v>
      </c>
      <c r="CF56" s="691">
        <f>CF24</f>
        <v>856</v>
      </c>
      <c r="CG56" s="691">
        <f>CG24</f>
        <v>873</v>
      </c>
      <c r="CH56" s="1254">
        <f>SUM(CD56:CG56)</f>
        <v>3127</v>
      </c>
      <c r="CI56" s="537">
        <f>CI24</f>
        <v>839</v>
      </c>
      <c r="CJ56" s="691">
        <f>CJ24</f>
        <v>880</v>
      </c>
      <c r="CK56" s="691">
        <f>CK24</f>
        <v>1255</v>
      </c>
      <c r="CL56" s="691">
        <f>CL24</f>
        <v>1201</v>
      </c>
      <c r="CM56" s="1254">
        <f>SUM(CI56:CL56)</f>
        <v>4175</v>
      </c>
      <c r="CN56" s="537">
        <f>CN24</f>
        <v>1203</v>
      </c>
      <c r="CO56" s="537">
        <f>CO24</f>
        <v>1132</v>
      </c>
      <c r="CP56" s="537">
        <f>CP24</f>
        <v>1432</v>
      </c>
      <c r="CQ56" s="691">
        <f>CQ24</f>
        <v>1436</v>
      </c>
      <c r="CR56" s="1254">
        <f>SUM(CN56:CQ56)</f>
        <v>5203</v>
      </c>
      <c r="CS56" s="537">
        <f>CS24</f>
        <v>1494</v>
      </c>
      <c r="CT56" s="537">
        <f>CT24</f>
        <v>1503</v>
      </c>
      <c r="CU56" s="537">
        <f>CU24</f>
        <v>1860</v>
      </c>
      <c r="CV56" s="537">
        <f>CV24</f>
        <v>1846</v>
      </c>
      <c r="CW56" s="1254">
        <f>SUM(CS56:CV56)</f>
        <v>6703</v>
      </c>
      <c r="CX56" s="537">
        <f>CX24</f>
        <v>2009</v>
      </c>
      <c r="CY56" s="537">
        <f>CY24</f>
        <v>2003</v>
      </c>
      <c r="CZ56" s="537">
        <f>CZ24</f>
        <v>1820</v>
      </c>
      <c r="DA56" s="537">
        <f>DA24</f>
        <v>1847</v>
      </c>
      <c r="DB56" s="1267">
        <f>SUM(CX56:DA56)</f>
        <v>7679</v>
      </c>
      <c r="DC56" s="537">
        <f>DC24</f>
        <v>2457</v>
      </c>
      <c r="DD56" s="537">
        <f>DD24</f>
        <v>2413</v>
      </c>
      <c r="DE56" s="537">
        <f>DE24</f>
        <v>2230</v>
      </c>
      <c r="DF56" s="537">
        <f>DF24</f>
        <v>2253</v>
      </c>
      <c r="DG56" s="1267">
        <f>SUM(DC56:DF56)</f>
        <v>9353</v>
      </c>
      <c r="DH56" s="537">
        <f>DH24</f>
        <v>2769</v>
      </c>
      <c r="DI56" s="537">
        <f>DI24</f>
        <v>2756</v>
      </c>
      <c r="DJ56" s="537">
        <f>DJ24</f>
        <v>2624</v>
      </c>
      <c r="DK56" s="537">
        <f>DK24</f>
        <v>2645</v>
      </c>
      <c r="DL56" s="1267">
        <f>SUM(DH56:DK56)</f>
        <v>10794</v>
      </c>
      <c r="DM56" s="537">
        <f>DM24</f>
        <v>3191</v>
      </c>
      <c r="DN56" s="537">
        <f>DN24</f>
        <v>3382</v>
      </c>
      <c r="DO56" s="537">
        <f>DO24</f>
        <v>3195</v>
      </c>
      <c r="DP56" s="537">
        <f>DP24</f>
        <v>3223</v>
      </c>
      <c r="DQ56" s="1267">
        <f>SUM(DM56:DP56)</f>
        <v>12991</v>
      </c>
      <c r="DR56" s="537">
        <f>DR24</f>
        <v>3745</v>
      </c>
      <c r="DS56" s="537">
        <f>DS24</f>
        <v>3803</v>
      </c>
      <c r="DT56" s="537">
        <f>DT24</f>
        <v>3874</v>
      </c>
      <c r="DU56" s="537">
        <f>DU24</f>
        <v>3954</v>
      </c>
      <c r="DV56" s="1267">
        <f>SUM(DR56:DU56)</f>
        <v>15376</v>
      </c>
      <c r="DW56" s="537">
        <f>DW24</f>
        <v>4504</v>
      </c>
      <c r="DX56" s="537">
        <f>DX24</f>
        <v>4782</v>
      </c>
      <c r="DY56" s="537">
        <f>DY24</f>
        <v>4976</v>
      </c>
      <c r="DZ56" s="537">
        <f>DZ24</f>
        <v>5100</v>
      </c>
      <c r="EA56" s="1267">
        <f>SUM(DW56:DZ56)</f>
        <v>19362</v>
      </c>
      <c r="EB56" s="537">
        <f>EB24</f>
        <v>5284</v>
      </c>
      <c r="EC56" s="537">
        <f>EC24</f>
        <v>5774</v>
      </c>
      <c r="ED56" s="537">
        <f>ED24</f>
        <v>5743</v>
      </c>
      <c r="EE56" s="537">
        <f>EE24</f>
        <v>5659</v>
      </c>
      <c r="EF56" s="1267">
        <f>SUM(EB56:EE56)</f>
        <v>22460</v>
      </c>
      <c r="EG56" s="537">
        <f>EG24</f>
        <v>5264</v>
      </c>
      <c r="EH56" s="537">
        <f>EH24</f>
        <v>5865</v>
      </c>
      <c r="EI56" s="537">
        <f>EI24</f>
        <v>5846</v>
      </c>
      <c r="EJ56" s="537">
        <f>EJ24</f>
        <v>5810</v>
      </c>
      <c r="EK56" s="1010">
        <f>SUM(EG56:EJ56)</f>
        <v>22785</v>
      </c>
      <c r="EL56" s="537">
        <f>EL24</f>
        <v>5516</v>
      </c>
      <c r="EM56" s="537">
        <f>EM24</f>
        <v>5998</v>
      </c>
      <c r="EN56" s="537">
        <f>EN24</f>
        <v>6368</v>
      </c>
      <c r="EO56" s="43">
        <f t="shared" ref="EO56" si="198">EO24</f>
        <v>6527.1865226213095</v>
      </c>
      <c r="EP56" s="1010">
        <f>SUM(EL56:EO56)</f>
        <v>24409.186522621309</v>
      </c>
      <c r="EQ56" s="43">
        <f t="shared" ref="EQ56:ET56" si="199">EQ24</f>
        <v>6452.4608273030899</v>
      </c>
      <c r="ER56" s="43">
        <f t="shared" si="199"/>
        <v>7098.6445316606469</v>
      </c>
      <c r="ES56" s="43">
        <f t="shared" si="199"/>
        <v>7478.2178760088218</v>
      </c>
      <c r="ET56" s="43">
        <f t="shared" si="199"/>
        <v>7452.3733515532294</v>
      </c>
      <c r="EU56" s="1010">
        <f>SUM(EQ56:ET56)</f>
        <v>28481.696586525788</v>
      </c>
      <c r="EV56" s="1010">
        <f>EV24</f>
        <v>30856.08760951618</v>
      </c>
      <c r="EW56" s="1010">
        <f>EW24</f>
        <v>33307.093372867726</v>
      </c>
      <c r="EX56" s="1010">
        <f>EX24</f>
        <v>35765.580395662582</v>
      </c>
      <c r="EY56" s="1010">
        <f>EY24</f>
        <v>38299.931668347344</v>
      </c>
      <c r="EZ56" s="501"/>
      <c r="FA56" s="1319">
        <f>(EA56/DL56)^(1/3)-1</f>
        <v>0.2150363402716291</v>
      </c>
      <c r="FB56" s="1319">
        <f>(EF56/DQ56)^(1/3)-1</f>
        <v>0.20020580521216136</v>
      </c>
      <c r="FC56" s="1319">
        <f>(EK56/DV56)^(1/3)-1</f>
        <v>0.14007972118946088</v>
      </c>
      <c r="FD56" s="1319">
        <f>(EP56/EA56)^(1/3)-1</f>
        <v>8.0275093952768328E-2</v>
      </c>
      <c r="FE56" s="1319">
        <f t="shared" si="195"/>
        <v>8.2393979344245638E-2</v>
      </c>
      <c r="FF56" s="1319">
        <f>(EV56/EK56)^(1/3)-1</f>
        <v>0.10636206270457582</v>
      </c>
      <c r="FG56" s="1319">
        <f>(EK56/DL56)^(1/5)-1</f>
        <v>0.16116336115958729</v>
      </c>
      <c r="FH56" s="1319">
        <f>(EP56/DQ56)^(1/5)-1</f>
        <v>0.13444160245034764</v>
      </c>
      <c r="FI56" s="1319">
        <f>(EU56/DV56)^(1/5)-1</f>
        <v>0.13121328554618694</v>
      </c>
      <c r="FJ56" s="1319">
        <f>(EV56/EA56)^(1/5)-1</f>
        <v>9.7686008662440482E-2</v>
      </c>
      <c r="FK56" s="1319">
        <f t="shared" si="196"/>
        <v>8.1995355432042283E-2</v>
      </c>
      <c r="FL56" s="1319">
        <f t="shared" si="197"/>
        <v>9.4367655555318342E-2</v>
      </c>
    </row>
    <row r="57" spans="1:170" s="157" customFormat="1" ht="11.25" customHeight="1">
      <c r="A57" s="3753" t="s">
        <v>897</v>
      </c>
      <c r="B57" s="3419"/>
      <c r="C57" s="3419"/>
      <c r="D57" s="3419"/>
      <c r="E57" s="3420"/>
      <c r="F57" s="3421"/>
      <c r="G57" s="3419"/>
      <c r="H57" s="3419"/>
      <c r="I57" s="3419"/>
      <c r="J57" s="3420"/>
      <c r="K57" s="3421"/>
      <c r="L57" s="3419"/>
      <c r="M57" s="3419"/>
      <c r="N57" s="3419"/>
      <c r="O57" s="3420"/>
      <c r="P57" s="3421">
        <f>SUM(P54:P56)</f>
        <v>37.529000000000011</v>
      </c>
      <c r="Q57" s="3419">
        <f>SUM(Q54:Q56)</f>
        <v>18.980999999999995</v>
      </c>
      <c r="R57" s="3419">
        <f>SUM(R54:R56)</f>
        <v>34.832000000000015</v>
      </c>
      <c r="S57" s="3419">
        <f>SUM(S54:S56)</f>
        <v>63.095000000000006</v>
      </c>
      <c r="T57" s="3420">
        <f>SUM(T54:T56)</f>
        <v>91.192999999999998</v>
      </c>
      <c r="U57" s="3421">
        <f t="shared" ref="U57:AD57" si="200">SUM(U54:U56)</f>
        <v>237.084</v>
      </c>
      <c r="V57" s="3422">
        <f t="shared" si="200"/>
        <v>131.81800000000001</v>
      </c>
      <c r="W57" s="3419">
        <f t="shared" si="200"/>
        <v>150.98599999999999</v>
      </c>
      <c r="X57" s="3419">
        <f t="shared" si="200"/>
        <v>166.41500000000002</v>
      </c>
      <c r="Y57" s="3420">
        <f t="shared" si="200"/>
        <v>189.27299999999994</v>
      </c>
      <c r="Z57" s="3421">
        <f t="shared" si="200"/>
        <v>638.49199999999996</v>
      </c>
      <c r="AA57" s="3422">
        <f t="shared" si="200"/>
        <v>255.47100000000006</v>
      </c>
      <c r="AB57" s="3419">
        <f t="shared" si="200"/>
        <v>277.68099999999993</v>
      </c>
      <c r="AC57" s="3419">
        <f t="shared" si="200"/>
        <v>321.41899999999998</v>
      </c>
      <c r="AD57" s="3420">
        <f t="shared" si="200"/>
        <v>425.18399999999997</v>
      </c>
      <c r="AE57" s="3421">
        <f>SUM(AA57:AD57)</f>
        <v>1279.7550000000001</v>
      </c>
      <c r="AF57" s="3422">
        <f>SUM(AF54:AF56)</f>
        <v>547.87100000000009</v>
      </c>
      <c r="AG57" s="3419">
        <f>SUM(AG54:AG56)</f>
        <v>589.9649999999998</v>
      </c>
      <c r="AH57" s="3419">
        <f>SUM(AH54:AH56)</f>
        <v>672.25699999999995</v>
      </c>
      <c r="AI57" s="3420">
        <f>SUM(AI54:AI56)</f>
        <v>813.74699999999996</v>
      </c>
      <c r="AJ57" s="3421">
        <f>SUM(AF57:AI57)</f>
        <v>2623.8399999999997</v>
      </c>
      <c r="AK57" s="3419">
        <f t="shared" ref="AK57:AT57" si="201">SUM(AK54:AK56)</f>
        <v>1002.5210000000003</v>
      </c>
      <c r="AL57" s="3419">
        <f t="shared" si="201"/>
        <v>1050.742</v>
      </c>
      <c r="AM57" s="3419">
        <f t="shared" si="201"/>
        <v>1183.3009999999995</v>
      </c>
      <c r="AN57" s="3420">
        <f t="shared" si="201"/>
        <v>1384.271</v>
      </c>
      <c r="AO57" s="3421">
        <f t="shared" si="201"/>
        <v>4620.835</v>
      </c>
      <c r="AP57" s="3419">
        <f t="shared" si="201"/>
        <v>1610.0672000000002</v>
      </c>
      <c r="AQ57" s="3419">
        <f t="shared" si="201"/>
        <v>1573.1538</v>
      </c>
      <c r="AR57" s="3419">
        <f t="shared" si="201"/>
        <v>1761.5079999999998</v>
      </c>
      <c r="AS57" s="3420">
        <f t="shared" si="201"/>
        <v>1975.97</v>
      </c>
      <c r="AT57" s="3421">
        <f t="shared" si="201"/>
        <v>6920.6990000000005</v>
      </c>
      <c r="AU57" s="3419">
        <f t="shared" ref="AU57:BD57" si="202">SUM(AU54:AU56)</f>
        <v>2163.538</v>
      </c>
      <c r="AV57" s="3419">
        <f t="shared" si="202"/>
        <v>2242.3480000000004</v>
      </c>
      <c r="AW57" s="3419">
        <f t="shared" si="202"/>
        <v>2408.9499999999998</v>
      </c>
      <c r="AX57" s="3420">
        <f t="shared" si="202"/>
        <v>2531.8860000000009</v>
      </c>
      <c r="AY57" s="3421">
        <f t="shared" si="202"/>
        <v>9346.7219999999998</v>
      </c>
      <c r="AZ57" s="3419">
        <f t="shared" si="202"/>
        <v>2564.2959999999998</v>
      </c>
      <c r="BA57" s="3419">
        <f t="shared" si="202"/>
        <v>2543.9209999999998</v>
      </c>
      <c r="BB57" s="3419">
        <f t="shared" si="202"/>
        <v>2769.8679999999999</v>
      </c>
      <c r="BC57" s="3423">
        <f t="shared" si="202"/>
        <v>3122.4630000000002</v>
      </c>
      <c r="BD57" s="3424">
        <f t="shared" si="202"/>
        <v>11000.547999999999</v>
      </c>
      <c r="BE57" s="3425">
        <f>SUM(BE54:BE56)</f>
        <v>3110</v>
      </c>
      <c r="BF57" s="3426">
        <f>SUM(BF54:BF56)</f>
        <v>3016</v>
      </c>
      <c r="BG57" s="3426">
        <f>SUM(BG54:BG56)</f>
        <v>3269</v>
      </c>
      <c r="BH57" s="3426">
        <f>SUM(BH54:BH56)</f>
        <v>3759</v>
      </c>
      <c r="BI57" s="5516">
        <f t="shared" ref="BI57:BN57" si="203">SUM(BI54:BI56)</f>
        <v>13154</v>
      </c>
      <c r="BJ57" s="5517">
        <f t="shared" si="203"/>
        <v>3629</v>
      </c>
      <c r="BK57" s="5517">
        <f>SUM(BK54:BK56)</f>
        <v>3771</v>
      </c>
      <c r="BL57" s="5517">
        <f t="shared" si="203"/>
        <v>4121</v>
      </c>
      <c r="BM57" s="5517">
        <f t="shared" si="203"/>
        <v>4546</v>
      </c>
      <c r="BN57" s="5516">
        <f t="shared" si="203"/>
        <v>16067</v>
      </c>
      <c r="BO57" s="5517">
        <v>4456</v>
      </c>
      <c r="BP57" s="5517">
        <v>4620</v>
      </c>
      <c r="BQ57" s="5517">
        <v>4628</v>
      </c>
      <c r="BR57" s="5518">
        <v>5225</v>
      </c>
      <c r="BS57" s="5519">
        <v>18929</v>
      </c>
      <c r="BT57" s="5517">
        <f>SUM(BT54:BT56)</f>
        <v>4456</v>
      </c>
      <c r="BU57" s="5517">
        <f>SUM(BU54:BU56)</f>
        <v>4658</v>
      </c>
      <c r="BV57" s="5517">
        <f>SUM(BV54:BV56)</f>
        <v>4779</v>
      </c>
      <c r="BW57" s="5517">
        <f>SUM(BW54:BW56)</f>
        <v>5377</v>
      </c>
      <c r="BX57" s="5516">
        <f>SUM(BX54:BX56)</f>
        <v>19270</v>
      </c>
      <c r="BY57" s="5517">
        <v>4969</v>
      </c>
      <c r="BZ57" s="5517">
        <v>4936</v>
      </c>
      <c r="CA57" s="5517">
        <v>5304</v>
      </c>
      <c r="CB57" s="5517">
        <v>5875</v>
      </c>
      <c r="CC57" s="5516">
        <v>21084</v>
      </c>
      <c r="CD57" s="5517">
        <f t="shared" ref="CD57:CR57" si="204">SUM(CD54:CD56)</f>
        <v>5302</v>
      </c>
      <c r="CE57" s="5517">
        <f t="shared" si="204"/>
        <v>5238</v>
      </c>
      <c r="CF57" s="5517">
        <f t="shared" si="204"/>
        <v>5591</v>
      </c>
      <c r="CG57" s="5517">
        <f t="shared" si="204"/>
        <v>6338</v>
      </c>
      <c r="CH57" s="5516">
        <f t="shared" si="204"/>
        <v>22469</v>
      </c>
      <c r="CI57" s="5517">
        <f t="shared" si="204"/>
        <v>6040</v>
      </c>
      <c r="CJ57" s="5517">
        <f t="shared" si="204"/>
        <v>6217</v>
      </c>
      <c r="CK57" s="5517">
        <f>SUM(CK54:CK56)</f>
        <v>6526</v>
      </c>
      <c r="CL57" s="5517">
        <f>SUM(CL54:CL56)</f>
        <v>6867</v>
      </c>
      <c r="CM57" s="5516">
        <f t="shared" si="204"/>
        <v>25650</v>
      </c>
      <c r="CN57" s="5517">
        <f t="shared" si="204"/>
        <v>6827</v>
      </c>
      <c r="CO57" s="5517">
        <f t="shared" si="204"/>
        <v>7191</v>
      </c>
      <c r="CP57" s="5517">
        <f t="shared" si="204"/>
        <v>7388</v>
      </c>
      <c r="CQ57" s="5517">
        <f>SUM(CQ54:CQ56)</f>
        <v>8220</v>
      </c>
      <c r="CR57" s="5516">
        <f t="shared" si="204"/>
        <v>29626</v>
      </c>
      <c r="CS57" s="5517">
        <f t="shared" ref="CS57:CX57" si="205">SUM(CS54:CS56)</f>
        <v>8207</v>
      </c>
      <c r="CT57" s="5517">
        <f t="shared" si="205"/>
        <v>8961</v>
      </c>
      <c r="CU57" s="5517">
        <f t="shared" si="205"/>
        <v>9223</v>
      </c>
      <c r="CV57" s="5517">
        <f t="shared" si="205"/>
        <v>10172</v>
      </c>
      <c r="CW57" s="5516">
        <f t="shared" si="205"/>
        <v>36563</v>
      </c>
      <c r="CX57" s="5517">
        <f t="shared" si="205"/>
        <v>10080</v>
      </c>
      <c r="CY57" s="5517">
        <f t="shared" ref="CY57:DQ57" si="206">SUM(CY54:CY56)</f>
        <v>10496</v>
      </c>
      <c r="CZ57" s="5517">
        <f t="shared" si="206"/>
        <v>11363</v>
      </c>
      <c r="DA57" s="5517">
        <f t="shared" si="206"/>
        <v>11537</v>
      </c>
      <c r="DB57" s="5516">
        <f t="shared" si="206"/>
        <v>43476</v>
      </c>
      <c r="DC57" s="5517">
        <f t="shared" si="206"/>
        <v>12076</v>
      </c>
      <c r="DD57" s="5517">
        <f t="shared" si="206"/>
        <v>12643</v>
      </c>
      <c r="DE57" s="5517">
        <f t="shared" si="206"/>
        <v>13210</v>
      </c>
      <c r="DF57" s="5517">
        <f t="shared" si="206"/>
        <v>13054</v>
      </c>
      <c r="DG57" s="5516">
        <f t="shared" si="206"/>
        <v>50983</v>
      </c>
      <c r="DH57" s="5517">
        <f t="shared" si="206"/>
        <v>13687</v>
      </c>
      <c r="DI57" s="5517">
        <f t="shared" si="206"/>
        <v>14771</v>
      </c>
      <c r="DJ57" s="5517">
        <f t="shared" si="206"/>
        <v>14721</v>
      </c>
      <c r="DK57" s="5517">
        <f t="shared" si="206"/>
        <v>15324</v>
      </c>
      <c r="DL57" s="5516">
        <f t="shared" si="206"/>
        <v>58503</v>
      </c>
      <c r="DM57" s="5517">
        <f t="shared" si="206"/>
        <v>14276</v>
      </c>
      <c r="DN57" s="5517">
        <f t="shared" si="206"/>
        <v>13151</v>
      </c>
      <c r="DO57" s="5517">
        <f t="shared" si="206"/>
        <v>17886</v>
      </c>
      <c r="DP57" s="5517">
        <f t="shared" si="206"/>
        <v>22599</v>
      </c>
      <c r="DQ57" s="5516">
        <f t="shared" si="206"/>
        <v>67912</v>
      </c>
      <c r="DR57" s="5517">
        <f t="shared" ref="DR57:EA57" si="207">SUM(DR54:DR56)</f>
        <v>22935</v>
      </c>
      <c r="DS57" s="5517">
        <f t="shared" si="207"/>
        <v>26109</v>
      </c>
      <c r="DT57" s="5517">
        <f t="shared" si="207"/>
        <v>28209</v>
      </c>
      <c r="DU57" s="5517">
        <f t="shared" si="207"/>
        <v>29278</v>
      </c>
      <c r="DV57" s="5516">
        <f t="shared" si="207"/>
        <v>106531</v>
      </c>
      <c r="DW57" s="5517">
        <f t="shared" si="207"/>
        <v>28380</v>
      </c>
      <c r="DX57" s="5517">
        <f t="shared" si="207"/>
        <v>28134</v>
      </c>
      <c r="DY57" s="5517">
        <f t="shared" si="207"/>
        <v>26157</v>
      </c>
      <c r="DZ57" s="5517">
        <f>SUM(DZ54:DZ56)</f>
        <v>27461</v>
      </c>
      <c r="EA57" s="5516">
        <f t="shared" si="207"/>
        <v>110132</v>
      </c>
      <c r="EB57" s="5517">
        <f t="shared" ref="EB57:EN57" si="208">SUM(EB54:EB56)</f>
        <v>25885</v>
      </c>
      <c r="EC57" s="5517">
        <f t="shared" si="208"/>
        <v>31009</v>
      </c>
      <c r="ED57" s="5517">
        <f t="shared" si="208"/>
        <v>30886</v>
      </c>
      <c r="EE57" s="5517">
        <f>SUM(EE54:EE56)</f>
        <v>32672</v>
      </c>
      <c r="EF57" s="5516">
        <f t="shared" si="208"/>
        <v>120452</v>
      </c>
      <c r="EG57" s="5517">
        <f t="shared" ref="EG57:EI57" si="209">SUM(EG54:EG56)</f>
        <v>34149</v>
      </c>
      <c r="EH57" s="5517">
        <f t="shared" si="209"/>
        <v>36998</v>
      </c>
      <c r="EI57" s="5517">
        <f t="shared" si="209"/>
        <v>38352</v>
      </c>
      <c r="EJ57" s="5517">
        <f>SUM(EJ54:EJ56)</f>
        <v>40987</v>
      </c>
      <c r="EK57" s="3424">
        <f t="shared" si="208"/>
        <v>150486</v>
      </c>
      <c r="EL57" s="5517">
        <f t="shared" si="208"/>
        <v>40609</v>
      </c>
      <c r="EM57" s="5517">
        <f t="shared" si="208"/>
        <v>42267</v>
      </c>
      <c r="EN57" s="5517">
        <f t="shared" si="208"/>
        <v>46664</v>
      </c>
      <c r="EO57" s="3426">
        <f t="shared" ref="EO57:EP57" si="210">SUM(EO54:EO56)</f>
        <v>50297.731439023024</v>
      </c>
      <c r="EP57" s="3424">
        <f t="shared" si="210"/>
        <v>179837.73143902302</v>
      </c>
      <c r="EQ57" s="3426">
        <f t="shared" ref="EQ57:EU57" si="211">SUM(EQ54:EQ56)</f>
        <v>51119.848103633645</v>
      </c>
      <c r="ER57" s="3426">
        <f t="shared" si="211"/>
        <v>54732.913384193947</v>
      </c>
      <c r="ES57" s="3426">
        <f t="shared" si="211"/>
        <v>57245.963350917933</v>
      </c>
      <c r="ET57" s="3426">
        <f t="shared" si="211"/>
        <v>61990.196515192772</v>
      </c>
      <c r="EU57" s="3424">
        <f t="shared" si="211"/>
        <v>225088.92135393832</v>
      </c>
      <c r="EV57" s="3424">
        <f>SUM(EV54:EV56)</f>
        <v>260204.32088621851</v>
      </c>
      <c r="EW57" s="3424">
        <f>SUM(EW54:EW56)</f>
        <v>293745.73625728517</v>
      </c>
      <c r="EX57" s="3424">
        <f>SUM(EX54:EX56)</f>
        <v>327658.86556026363</v>
      </c>
      <c r="EY57" s="3424">
        <f>SUM(EY54:EY56)</f>
        <v>365219.48151630379</v>
      </c>
      <c r="EZ57" s="623"/>
      <c r="FA57" s="1319">
        <f>(EA57/DL57)^(1/3)-1</f>
        <v>0.23474837427896311</v>
      </c>
      <c r="FB57" s="1319">
        <f>(EF57/DQ57)^(1/3)-1</f>
        <v>0.21047502025853171</v>
      </c>
      <c r="FC57" s="1319">
        <f>(EK57/DV57)^(1/3)-1</f>
        <v>0.12203575971908109</v>
      </c>
      <c r="FD57" s="1319">
        <f>(EP57/EA57)^(1/3)-1</f>
        <v>0.17757640857127699</v>
      </c>
      <c r="FE57" s="1319">
        <f t="shared" si="195"/>
        <v>0.23172389928858173</v>
      </c>
      <c r="FF57" s="1319">
        <f>(EV57/EK57)^(1/3)-1</f>
        <v>0.20025300465635598</v>
      </c>
      <c r="FG57" s="1319">
        <f>(EK57/DL57)^(1/5)-1</f>
        <v>0.20799070425080179</v>
      </c>
      <c r="FH57" s="1319">
        <f>(EP57/DQ57)^(1/5)-1</f>
        <v>0.21502960235288926</v>
      </c>
      <c r="FI57" s="1319">
        <f>(EU57/DV57)^(1/5)-1</f>
        <v>0.16138342409796191</v>
      </c>
      <c r="FJ57" s="1319">
        <f>(EV57/EA57)^(1/5)-1</f>
        <v>0.18762736405733249</v>
      </c>
      <c r="FK57" s="1319">
        <f t="shared" si="196"/>
        <v>0.19517503018520821</v>
      </c>
      <c r="FL57" s="1319">
        <f t="shared" si="197"/>
        <v>0.16838282672036353</v>
      </c>
    </row>
    <row r="58" spans="1:170" s="31" customFormat="1" ht="11.25" hidden="1" customHeight="1" outlineLevel="1">
      <c r="A58" s="3754"/>
      <c r="B58" s="160"/>
      <c r="C58" s="160"/>
      <c r="D58" s="160"/>
      <c r="E58" s="160"/>
      <c r="F58" s="512"/>
      <c r="G58" s="164"/>
      <c r="H58" s="164"/>
      <c r="I58" s="164"/>
      <c r="J58" s="164"/>
      <c r="K58" s="512"/>
      <c r="L58" s="160"/>
      <c r="M58" s="160"/>
      <c r="N58" s="160"/>
      <c r="O58" s="160"/>
      <c r="P58" s="583"/>
      <c r="Q58" s="160"/>
      <c r="R58" s="160"/>
      <c r="S58" s="160"/>
      <c r="T58" s="160"/>
      <c r="U58" s="583"/>
      <c r="V58" s="160"/>
      <c r="W58" s="160"/>
      <c r="X58" s="160"/>
      <c r="Y58" s="160"/>
      <c r="Z58" s="583"/>
      <c r="AA58" s="160"/>
      <c r="AB58" s="160"/>
      <c r="AC58" s="160"/>
      <c r="AD58" s="160"/>
      <c r="AE58" s="583"/>
      <c r="AF58" s="160"/>
      <c r="AG58" s="160"/>
      <c r="AH58" s="160"/>
      <c r="AI58" s="160"/>
      <c r="AJ58" s="583"/>
      <c r="AK58" s="160"/>
      <c r="AL58" s="160"/>
      <c r="AM58" s="160"/>
      <c r="AN58" s="160"/>
      <c r="AO58" s="583"/>
      <c r="AP58" s="160"/>
      <c r="AQ58" s="160"/>
      <c r="AR58" s="160"/>
      <c r="AS58" s="160"/>
      <c r="AT58" s="160"/>
      <c r="AU58" s="160"/>
      <c r="AV58" s="160"/>
      <c r="AW58" s="160"/>
      <c r="AX58" s="160"/>
      <c r="AY58" s="160"/>
      <c r="AZ58" s="160"/>
      <c r="BA58" s="160"/>
      <c r="BB58" s="160"/>
      <c r="BC58" s="160"/>
      <c r="BD58" s="160"/>
      <c r="BE58" s="160"/>
      <c r="BF58" s="160"/>
      <c r="BG58" s="160"/>
      <c r="BH58" s="160"/>
      <c r="BI58" s="160"/>
      <c r="BJ58" s="160"/>
      <c r="BK58" s="160"/>
      <c r="BL58" s="160"/>
      <c r="BM58" s="160"/>
      <c r="BN58" s="160"/>
      <c r="BO58" s="160"/>
      <c r="BP58" s="160"/>
      <c r="BQ58" s="160"/>
      <c r="BR58" s="160"/>
      <c r="BS58" s="160"/>
      <c r="BT58" s="160"/>
      <c r="BU58" s="160"/>
      <c r="BV58" s="160"/>
      <c r="BW58" s="160"/>
      <c r="BX58" s="160"/>
      <c r="BY58" s="160" t="s">
        <v>386</v>
      </c>
      <c r="BZ58" s="160" t="s">
        <v>387</v>
      </c>
      <c r="CA58" s="160" t="s">
        <v>388</v>
      </c>
      <c r="CB58" s="160" t="s">
        <v>389</v>
      </c>
      <c r="CC58" s="160" t="s">
        <v>390</v>
      </c>
      <c r="CD58" s="160"/>
      <c r="CE58" s="160"/>
      <c r="CF58" s="160"/>
      <c r="CG58" s="160"/>
      <c r="CH58" s="283"/>
      <c r="CM58" s="283"/>
      <c r="CR58" s="283"/>
      <c r="CS58" s="283"/>
      <c r="CT58" s="62"/>
      <c r="CU58" s="283"/>
      <c r="CV58" s="283"/>
      <c r="CW58" s="283"/>
      <c r="CX58" s="283"/>
      <c r="CY58" s="283"/>
      <c r="CZ58" s="283"/>
      <c r="DA58" s="283"/>
      <c r="DC58" s="283"/>
      <c r="DD58" s="283"/>
      <c r="DE58" s="283"/>
      <c r="DF58" s="283"/>
      <c r="DH58" s="283"/>
      <c r="DI58" s="283"/>
      <c r="DJ58" s="283"/>
      <c r="DK58" s="283"/>
      <c r="DM58" s="283"/>
      <c r="DN58" s="283"/>
      <c r="DO58" s="283"/>
      <c r="DP58" s="283"/>
      <c r="DR58" s="283"/>
      <c r="DS58" s="283"/>
      <c r="DT58" s="283"/>
      <c r="DU58" s="283"/>
      <c r="DW58" s="283"/>
      <c r="DX58" s="283"/>
      <c r="DY58" s="283"/>
      <c r="DZ58" s="283"/>
      <c r="EB58" s="283"/>
      <c r="EC58" s="283"/>
      <c r="ED58" s="283"/>
      <c r="EE58" s="283"/>
      <c r="EG58" s="283"/>
      <c r="EH58" s="283"/>
      <c r="EI58" s="283"/>
      <c r="EJ58" s="283"/>
      <c r="EL58" s="283"/>
      <c r="EM58" s="283"/>
      <c r="EN58" s="283"/>
      <c r="EO58" s="283"/>
      <c r="EQ58" s="283"/>
      <c r="ER58" s="283"/>
      <c r="ES58" s="283"/>
      <c r="ET58" s="283"/>
      <c r="EZ58" s="160"/>
      <c r="FA58" s="717"/>
      <c r="FB58" s="1319"/>
      <c r="FC58" s="1319"/>
      <c r="FD58" s="1319"/>
      <c r="FE58" s="1319"/>
      <c r="FF58" s="1319"/>
      <c r="FG58" s="1319"/>
      <c r="FH58" s="1319"/>
      <c r="FI58" s="1319"/>
      <c r="FJ58" s="1319"/>
      <c r="FK58" s="1319"/>
      <c r="FL58" s="1319"/>
    </row>
    <row r="59" spans="1:170" s="4" customFormat="1" ht="11.25" customHeight="1" collapsed="1">
      <c r="A59" s="3755" t="s">
        <v>322</v>
      </c>
      <c r="B59" s="960" t="str">
        <f t="shared" ref="B59:AG59" si="212">B6</f>
        <v>3/99A</v>
      </c>
      <c r="C59" s="960" t="str">
        <f t="shared" si="212"/>
        <v>6/99A</v>
      </c>
      <c r="D59" s="960" t="str">
        <f t="shared" si="212"/>
        <v>9/99A</v>
      </c>
      <c r="E59" s="960" t="str">
        <f t="shared" si="212"/>
        <v>12/99A</v>
      </c>
      <c r="F59" s="960" t="str">
        <f t="shared" si="212"/>
        <v>1999A</v>
      </c>
      <c r="G59" s="960" t="str">
        <f t="shared" si="212"/>
        <v>3/00A</v>
      </c>
      <c r="H59" s="960" t="str">
        <f t="shared" si="212"/>
        <v>6/00A</v>
      </c>
      <c r="I59" s="960" t="str">
        <f t="shared" si="212"/>
        <v>9/00A</v>
      </c>
      <c r="J59" s="960" t="str">
        <f t="shared" si="212"/>
        <v>12/00A</v>
      </c>
      <c r="K59" s="960" t="str">
        <f t="shared" si="212"/>
        <v>2000A</v>
      </c>
      <c r="L59" s="960" t="str">
        <f t="shared" si="212"/>
        <v>3/01A</v>
      </c>
      <c r="M59" s="960" t="str">
        <f t="shared" si="212"/>
        <v>6/01A</v>
      </c>
      <c r="N59" s="960" t="str">
        <f t="shared" si="212"/>
        <v>9/01A</v>
      </c>
      <c r="O59" s="960" t="str">
        <f t="shared" si="212"/>
        <v>12/01A</v>
      </c>
      <c r="P59" s="960" t="str">
        <f t="shared" si="212"/>
        <v>2001A</v>
      </c>
      <c r="Q59" s="960" t="str">
        <f t="shared" si="212"/>
        <v>3/02A</v>
      </c>
      <c r="R59" s="960" t="str">
        <f t="shared" si="212"/>
        <v>6/02A</v>
      </c>
      <c r="S59" s="960" t="str">
        <f t="shared" si="212"/>
        <v>9/02A</v>
      </c>
      <c r="T59" s="960" t="str">
        <f t="shared" si="212"/>
        <v>12/02A</v>
      </c>
      <c r="U59" s="960" t="str">
        <f t="shared" si="212"/>
        <v>2002A</v>
      </c>
      <c r="V59" s="960" t="str">
        <f t="shared" si="212"/>
        <v>3/03A</v>
      </c>
      <c r="W59" s="960" t="str">
        <f t="shared" si="212"/>
        <v>6/03A</v>
      </c>
      <c r="X59" s="960" t="str">
        <f t="shared" si="212"/>
        <v>9/03A</v>
      </c>
      <c r="Y59" s="960" t="str">
        <f t="shared" si="212"/>
        <v>12/03A</v>
      </c>
      <c r="Z59" s="960" t="str">
        <f t="shared" si="212"/>
        <v>2003A</v>
      </c>
      <c r="AA59" s="960" t="str">
        <f t="shared" si="212"/>
        <v>3/04A</v>
      </c>
      <c r="AB59" s="960" t="str">
        <f t="shared" si="212"/>
        <v>6/04A</v>
      </c>
      <c r="AC59" s="960" t="str">
        <f t="shared" si="212"/>
        <v>9/04A</v>
      </c>
      <c r="AD59" s="960" t="str">
        <f t="shared" si="212"/>
        <v>12/04A</v>
      </c>
      <c r="AE59" s="960" t="str">
        <f t="shared" si="212"/>
        <v>2004A</v>
      </c>
      <c r="AF59" s="960" t="str">
        <f t="shared" si="212"/>
        <v>3/05A</v>
      </c>
      <c r="AG59" s="960" t="str">
        <f t="shared" si="212"/>
        <v>6/05A</v>
      </c>
      <c r="AH59" s="960" t="str">
        <f t="shared" ref="AH59:BM59" si="213">AH6</f>
        <v>9/05A</v>
      </c>
      <c r="AI59" s="960" t="str">
        <f t="shared" si="213"/>
        <v>12/05A</v>
      </c>
      <c r="AJ59" s="960" t="str">
        <f t="shared" si="213"/>
        <v>2005A</v>
      </c>
      <c r="AK59" s="960" t="str">
        <f t="shared" si="213"/>
        <v>3/06A</v>
      </c>
      <c r="AL59" s="960" t="str">
        <f t="shared" si="213"/>
        <v>6/06A</v>
      </c>
      <c r="AM59" s="960" t="str">
        <f t="shared" si="213"/>
        <v>9/06A</v>
      </c>
      <c r="AN59" s="960" t="str">
        <f t="shared" si="213"/>
        <v>12/06A</v>
      </c>
      <c r="AO59" s="960" t="str">
        <f t="shared" si="213"/>
        <v>2006A</v>
      </c>
      <c r="AP59" s="960" t="str">
        <f t="shared" si="213"/>
        <v>3/07A</v>
      </c>
      <c r="AQ59" s="960" t="str">
        <f t="shared" si="213"/>
        <v>6/07A</v>
      </c>
      <c r="AR59" s="960" t="str">
        <f t="shared" si="213"/>
        <v>9/07A</v>
      </c>
      <c r="AS59" s="960" t="str">
        <f t="shared" si="213"/>
        <v>12/07A</v>
      </c>
      <c r="AT59" s="960" t="str">
        <f t="shared" si="213"/>
        <v>2007A</v>
      </c>
      <c r="AU59" s="960" t="str">
        <f t="shared" si="213"/>
        <v>3/08A</v>
      </c>
      <c r="AV59" s="960" t="str">
        <f t="shared" si="213"/>
        <v>6/08A</v>
      </c>
      <c r="AW59" s="960" t="str">
        <f t="shared" si="213"/>
        <v>9/08A</v>
      </c>
      <c r="AX59" s="960" t="str">
        <f t="shared" si="213"/>
        <v>12/08A</v>
      </c>
      <c r="AY59" s="960" t="str">
        <f t="shared" si="213"/>
        <v>2008A</v>
      </c>
      <c r="AZ59" s="960" t="str">
        <f t="shared" si="213"/>
        <v>3/09A</v>
      </c>
      <c r="BA59" s="960" t="str">
        <f t="shared" si="213"/>
        <v>6/09A</v>
      </c>
      <c r="BB59" s="960" t="str">
        <f t="shared" si="213"/>
        <v>9/09A</v>
      </c>
      <c r="BC59" s="960" t="str">
        <f t="shared" si="213"/>
        <v>12/09A</v>
      </c>
      <c r="BD59" s="960" t="str">
        <f t="shared" si="213"/>
        <v>2009A</v>
      </c>
      <c r="BE59" s="960" t="str">
        <f t="shared" si="213"/>
        <v>3/10A</v>
      </c>
      <c r="BF59" s="960" t="str">
        <f t="shared" si="213"/>
        <v>6/10A</v>
      </c>
      <c r="BG59" s="960" t="str">
        <f t="shared" si="213"/>
        <v>9/10A</v>
      </c>
      <c r="BH59" s="960" t="str">
        <f t="shared" si="213"/>
        <v>12/10A</v>
      </c>
      <c r="BI59" s="960" t="str">
        <f t="shared" si="213"/>
        <v>2010A</v>
      </c>
      <c r="BJ59" s="960" t="str">
        <f t="shared" si="213"/>
        <v>3/11A</v>
      </c>
      <c r="BK59" s="960" t="str">
        <f t="shared" si="213"/>
        <v>6/11A</v>
      </c>
      <c r="BL59" s="960" t="str">
        <f t="shared" si="213"/>
        <v>9/11A</v>
      </c>
      <c r="BM59" s="960" t="str">
        <f t="shared" si="213"/>
        <v>12/11A</v>
      </c>
      <c r="BN59" s="960" t="str">
        <f t="shared" ref="BN59:CS59" si="214">BN6</f>
        <v>2011A</v>
      </c>
      <c r="BO59" s="959" t="str">
        <f t="shared" si="214"/>
        <v>3/12A</v>
      </c>
      <c r="BP59" s="959" t="str">
        <f t="shared" si="214"/>
        <v>6/12A</v>
      </c>
      <c r="BQ59" s="959" t="str">
        <f t="shared" si="214"/>
        <v>9/12A</v>
      </c>
      <c r="BR59" s="959" t="str">
        <f t="shared" si="214"/>
        <v>12/12A</v>
      </c>
      <c r="BS59" s="959" t="str">
        <f t="shared" si="214"/>
        <v>2012A</v>
      </c>
      <c r="BT59" s="960" t="str">
        <f t="shared" si="214"/>
        <v>3/12A</v>
      </c>
      <c r="BU59" s="960" t="str">
        <f t="shared" si="214"/>
        <v>6/12A</v>
      </c>
      <c r="BV59" s="960" t="str">
        <f t="shared" si="214"/>
        <v>9/12A</v>
      </c>
      <c r="BW59" s="960" t="str">
        <f t="shared" si="214"/>
        <v>12/12A</v>
      </c>
      <c r="BX59" s="960" t="str">
        <f t="shared" si="214"/>
        <v>2012A</v>
      </c>
      <c r="BY59" s="959" t="str">
        <f t="shared" si="214"/>
        <v>3/13A</v>
      </c>
      <c r="BZ59" s="959" t="str">
        <f t="shared" si="214"/>
        <v>6/13A</v>
      </c>
      <c r="CA59" s="959" t="str">
        <f t="shared" si="214"/>
        <v>9/13A</v>
      </c>
      <c r="CB59" s="959" t="str">
        <f t="shared" si="214"/>
        <v>12/13A</v>
      </c>
      <c r="CC59" s="959" t="str">
        <f t="shared" si="214"/>
        <v>2013A</v>
      </c>
      <c r="CD59" s="960" t="str">
        <f t="shared" si="214"/>
        <v>3/13A</v>
      </c>
      <c r="CE59" s="960" t="str">
        <f t="shared" si="214"/>
        <v>6/13A</v>
      </c>
      <c r="CF59" s="960" t="str">
        <f t="shared" si="214"/>
        <v>9/13A</v>
      </c>
      <c r="CG59" s="960" t="str">
        <f t="shared" si="214"/>
        <v>12/13A</v>
      </c>
      <c r="CH59" s="958" t="str">
        <f t="shared" si="214"/>
        <v>2013A</v>
      </c>
      <c r="CI59" s="958" t="str">
        <f t="shared" si="214"/>
        <v>3/14A</v>
      </c>
      <c r="CJ59" s="958" t="str">
        <f t="shared" si="214"/>
        <v>6/14A</v>
      </c>
      <c r="CK59" s="958" t="str">
        <f t="shared" si="214"/>
        <v>9/14A</v>
      </c>
      <c r="CL59" s="958" t="str">
        <f t="shared" si="214"/>
        <v>12/14A</v>
      </c>
      <c r="CM59" s="958" t="str">
        <f t="shared" si="214"/>
        <v>2014A</v>
      </c>
      <c r="CN59" s="958" t="str">
        <f t="shared" si="214"/>
        <v>3/15A</v>
      </c>
      <c r="CO59" s="958" t="str">
        <f t="shared" si="214"/>
        <v>6/15A</v>
      </c>
      <c r="CP59" s="958" t="str">
        <f t="shared" si="214"/>
        <v>9/15A</v>
      </c>
      <c r="CQ59" s="958" t="str">
        <f t="shared" si="214"/>
        <v>12/15A</v>
      </c>
      <c r="CR59" s="958" t="str">
        <f t="shared" si="214"/>
        <v>2015A</v>
      </c>
      <c r="CS59" s="958" t="str">
        <f t="shared" si="214"/>
        <v>3/16A</v>
      </c>
      <c r="CT59" s="958" t="str">
        <f t="shared" ref="CT59:DZ59" si="215">CT6</f>
        <v>6/16A</v>
      </c>
      <c r="CU59" s="958" t="str">
        <f t="shared" si="215"/>
        <v>9/16A</v>
      </c>
      <c r="CV59" s="958" t="str">
        <f t="shared" si="215"/>
        <v>12/16A</v>
      </c>
      <c r="CW59" s="958" t="str">
        <f t="shared" si="215"/>
        <v>2016A</v>
      </c>
      <c r="CX59" s="1018" t="str">
        <f t="shared" si="215"/>
        <v>3/17A</v>
      </c>
      <c r="CY59" s="1018" t="str">
        <f t="shared" si="215"/>
        <v>6/17A</v>
      </c>
      <c r="CZ59" s="1018" t="str">
        <f t="shared" si="215"/>
        <v>9/17A</v>
      </c>
      <c r="DA59" s="1018" t="str">
        <f t="shared" si="215"/>
        <v>12/17A</v>
      </c>
      <c r="DB59" s="958" t="str">
        <f t="shared" si="215"/>
        <v>2017A</v>
      </c>
      <c r="DC59" s="1018" t="str">
        <f t="shared" si="215"/>
        <v>3/18A</v>
      </c>
      <c r="DD59" s="1018" t="str">
        <f t="shared" si="215"/>
        <v>6/18A</v>
      </c>
      <c r="DE59" s="1018" t="str">
        <f t="shared" si="215"/>
        <v>9/18A</v>
      </c>
      <c r="DF59" s="1018" t="str">
        <f t="shared" si="215"/>
        <v>12/18A</v>
      </c>
      <c r="DG59" s="958" t="str">
        <f t="shared" si="215"/>
        <v>2018A</v>
      </c>
      <c r="DH59" s="958" t="str">
        <f t="shared" si="215"/>
        <v>3/19A</v>
      </c>
      <c r="DI59" s="958" t="str">
        <f t="shared" si="215"/>
        <v>6/19A</v>
      </c>
      <c r="DJ59" s="958" t="str">
        <f t="shared" si="215"/>
        <v>9/19A</v>
      </c>
      <c r="DK59" s="958" t="str">
        <f t="shared" si="215"/>
        <v>12/19A</v>
      </c>
      <c r="DL59" s="958" t="str">
        <f t="shared" si="215"/>
        <v>2019A</v>
      </c>
      <c r="DM59" s="958" t="str">
        <f t="shared" ref="DM59:DU59" si="216">DM6</f>
        <v>3/20A</v>
      </c>
      <c r="DN59" s="958" t="str">
        <f t="shared" si="216"/>
        <v>6/20A</v>
      </c>
      <c r="DO59" s="958" t="str">
        <f t="shared" si="216"/>
        <v>9/20A</v>
      </c>
      <c r="DP59" s="958" t="str">
        <f t="shared" si="216"/>
        <v>12/20A</v>
      </c>
      <c r="DQ59" s="958" t="str">
        <f t="shared" si="216"/>
        <v>2020A</v>
      </c>
      <c r="DR59" s="958" t="str">
        <f t="shared" si="216"/>
        <v>3/21A</v>
      </c>
      <c r="DS59" s="958" t="str">
        <f t="shared" si="216"/>
        <v>6/21A</v>
      </c>
      <c r="DT59" s="958" t="str">
        <f t="shared" si="216"/>
        <v>9/21A</v>
      </c>
      <c r="DU59" s="958" t="str">
        <f t="shared" si="216"/>
        <v>12/21A</v>
      </c>
      <c r="DV59" s="958" t="str">
        <f t="shared" si="215"/>
        <v>2021A</v>
      </c>
      <c r="DW59" s="958" t="str">
        <f t="shared" si="215"/>
        <v>3/22A</v>
      </c>
      <c r="DX59" s="958" t="str">
        <f t="shared" si="215"/>
        <v>6/22A</v>
      </c>
      <c r="DY59" s="958" t="str">
        <f t="shared" si="215"/>
        <v>9/22A</v>
      </c>
      <c r="DZ59" s="958" t="str">
        <f t="shared" si="215"/>
        <v>12/22A</v>
      </c>
      <c r="EA59" s="958" t="str">
        <f t="shared" ref="EA59:EV59" si="217">EA6</f>
        <v>2022A</v>
      </c>
      <c r="EB59" s="958" t="str">
        <f t="shared" si="217"/>
        <v>3/23A</v>
      </c>
      <c r="EC59" s="958" t="str">
        <f t="shared" si="217"/>
        <v>6/23A</v>
      </c>
      <c r="ED59" s="958" t="str">
        <f t="shared" si="217"/>
        <v>9/23A</v>
      </c>
      <c r="EE59" s="958" t="str">
        <f t="shared" si="217"/>
        <v>12/23A</v>
      </c>
      <c r="EF59" s="958" t="str">
        <f>EF6</f>
        <v>2023A</v>
      </c>
      <c r="EG59" s="958" t="str">
        <f t="shared" ref="EG59:EJ59" si="218">EG6</f>
        <v>3/24A</v>
      </c>
      <c r="EH59" s="958" t="str">
        <f t="shared" si="218"/>
        <v>6/24A</v>
      </c>
      <c r="EI59" s="958" t="str">
        <f t="shared" si="218"/>
        <v>9/24A</v>
      </c>
      <c r="EJ59" s="958" t="str">
        <f t="shared" si="218"/>
        <v>12/24A</v>
      </c>
      <c r="EK59" s="958" t="str">
        <f t="shared" si="217"/>
        <v>2024A</v>
      </c>
      <c r="EL59" s="958" t="str">
        <f t="shared" si="217"/>
        <v>3/25A</v>
      </c>
      <c r="EM59" s="958" t="str">
        <f t="shared" si="217"/>
        <v>6/25A</v>
      </c>
      <c r="EN59" s="958" t="str">
        <f t="shared" si="217"/>
        <v>9/25A</v>
      </c>
      <c r="EO59" s="958" t="str">
        <f t="shared" si="217"/>
        <v>12/25E</v>
      </c>
      <c r="EP59" s="958" t="str">
        <f t="shared" ref="EP59:ET59" si="219">EP6</f>
        <v>2025E</v>
      </c>
      <c r="EQ59" s="958" t="str">
        <f t="shared" si="219"/>
        <v>3/26E</v>
      </c>
      <c r="ER59" s="958" t="str">
        <f t="shared" si="219"/>
        <v>6/26E</v>
      </c>
      <c r="ES59" s="958" t="str">
        <f t="shared" si="219"/>
        <v>9/26E</v>
      </c>
      <c r="ET59" s="958" t="str">
        <f t="shared" si="219"/>
        <v>12/26E</v>
      </c>
      <c r="EU59" s="958" t="str">
        <f t="shared" ref="EU59" si="220">EU6</f>
        <v>2026E</v>
      </c>
      <c r="EV59" s="958" t="str">
        <f t="shared" si="217"/>
        <v>2027E</v>
      </c>
      <c r="EW59" s="958" t="str">
        <f>EW6</f>
        <v>2028E</v>
      </c>
      <c r="EX59" s="958" t="str">
        <f>EX6</f>
        <v>2029E</v>
      </c>
      <c r="EY59" s="958" t="str">
        <f>EY6</f>
        <v>2030E</v>
      </c>
      <c r="EZ59" s="174"/>
      <c r="FA59" s="717"/>
      <c r="FB59" s="1319"/>
      <c r="FC59" s="1319"/>
      <c r="FD59" s="1319"/>
      <c r="FE59" s="1319"/>
      <c r="FF59" s="1319"/>
      <c r="FG59" s="1319"/>
      <c r="FH59" s="1319"/>
      <c r="FI59" s="1319"/>
      <c r="FJ59" s="1319"/>
      <c r="FK59" s="1319"/>
      <c r="FL59" s="1319"/>
    </row>
    <row r="60" spans="1:170" s="151" customFormat="1" ht="11.25" customHeight="1">
      <c r="A60" s="3756" t="s">
        <v>824</v>
      </c>
      <c r="B60" s="3953"/>
      <c r="C60" s="3953"/>
      <c r="D60" s="3953"/>
      <c r="E60" s="3953"/>
      <c r="F60" s="3418"/>
      <c r="G60" s="3953"/>
      <c r="H60" s="3953"/>
      <c r="I60" s="3953"/>
      <c r="J60" s="3953"/>
      <c r="K60" s="3418"/>
      <c r="L60" s="3953"/>
      <c r="M60" s="3953"/>
      <c r="N60" s="3953"/>
      <c r="O60" s="3953"/>
      <c r="P60" s="3418"/>
      <c r="Q60" s="3953"/>
      <c r="R60" s="3953"/>
      <c r="S60" s="3953"/>
      <c r="T60" s="3953"/>
      <c r="U60" s="3418"/>
      <c r="V60" s="3953"/>
      <c r="W60" s="3953"/>
      <c r="X60" s="3953"/>
      <c r="Y60" s="3953"/>
      <c r="Z60" s="3418"/>
      <c r="AA60" s="3953"/>
      <c r="AB60" s="3953"/>
      <c r="AC60" s="3953"/>
      <c r="AD60" s="3953"/>
      <c r="AE60" s="3418"/>
      <c r="AF60" s="3953"/>
      <c r="AG60" s="3953"/>
      <c r="AH60" s="3953"/>
      <c r="AI60" s="3953"/>
      <c r="AJ60" s="3418"/>
      <c r="AK60" s="3953"/>
      <c r="AL60" s="3953"/>
      <c r="AM60" s="3953"/>
      <c r="AN60" s="3953"/>
      <c r="AO60" s="3418"/>
      <c r="AP60" s="3953"/>
      <c r="AQ60" s="3953"/>
      <c r="AR60" s="3953"/>
      <c r="AS60" s="3953"/>
      <c r="AT60" s="3418"/>
      <c r="AU60" s="3953"/>
      <c r="AV60" s="3953"/>
      <c r="AW60" s="3953"/>
      <c r="AX60" s="3953"/>
      <c r="AY60" s="3418"/>
      <c r="AZ60" s="3953"/>
      <c r="BA60" s="3953"/>
      <c r="BB60" s="3953"/>
      <c r="BC60" s="3953"/>
      <c r="BD60" s="3418"/>
      <c r="BE60" s="3954"/>
      <c r="BF60" s="3953"/>
      <c r="BG60" s="3953"/>
      <c r="BH60" s="3953"/>
      <c r="BI60" s="3418"/>
      <c r="BJ60" s="3953"/>
      <c r="BK60" s="3953"/>
      <c r="BL60" s="3953"/>
      <c r="BM60" s="3953"/>
      <c r="BN60" s="3418"/>
      <c r="BO60" s="3953"/>
      <c r="BP60" s="3953"/>
      <c r="BQ60" s="3953"/>
      <c r="BR60" s="3955"/>
      <c r="BS60" s="3956"/>
      <c r="BT60" s="3953"/>
      <c r="BU60" s="3953"/>
      <c r="BV60" s="3953"/>
      <c r="BW60" s="3953"/>
      <c r="BX60" s="3418"/>
      <c r="BY60" s="3953"/>
      <c r="BZ60" s="3953"/>
      <c r="CA60" s="3953"/>
      <c r="CB60" s="3953"/>
      <c r="CC60" s="3418"/>
      <c r="CD60" s="3953">
        <f>'Revenue Drivers'!CD226</f>
        <v>0.22794117647058831</v>
      </c>
      <c r="CE60" s="3953">
        <f>'Revenue Drivers'!CE226</f>
        <v>0.22107874666911687</v>
      </c>
      <c r="CF60" s="3953">
        <f>'Revenue Drivers'!CF226</f>
        <v>0.20961270062805304</v>
      </c>
      <c r="CG60" s="3953">
        <f>'Revenue Drivers'!CG226</f>
        <v>0.23134908299658075</v>
      </c>
      <c r="CH60" s="3418">
        <f>'Revenue Drivers'!CH226</f>
        <v>0.2226829321519761</v>
      </c>
      <c r="CI60" s="3953">
        <f>'Revenue Drivers'!CI226</f>
        <v>0.20586868999690311</v>
      </c>
      <c r="CJ60" s="3953">
        <f>'Revenue Drivers'!CJ226</f>
        <v>0.21090881272949824</v>
      </c>
      <c r="CK60" s="3953">
        <f>'Revenue Drivers'!CK226</f>
        <v>0.1948004660646665</v>
      </c>
      <c r="CL60" s="3953">
        <f>'Revenue Drivers'!CL226</f>
        <v>0.18256495160468678</v>
      </c>
      <c r="CM60" s="3418">
        <f>'Revenue Drivers'!CM226</f>
        <v>0.19771218244803701</v>
      </c>
      <c r="CN60" s="3953">
        <f>'Revenue Drivers'!CN226</f>
        <v>0.17135997923695823</v>
      </c>
      <c r="CO60" s="3953">
        <f>'Revenue Drivers'!CO226</f>
        <v>0.18063828453194564</v>
      </c>
      <c r="CP60" s="3953">
        <f>'Revenue Drivers'!CP226</f>
        <v>0.20910797553442739</v>
      </c>
      <c r="CQ60" s="3953">
        <f>'Revenue Drivers'!CQ226</f>
        <v>0.24366471734892792</v>
      </c>
      <c r="CR60" s="3418">
        <f>'Revenue Drivers'!CR226</f>
        <v>0.20279815886615316</v>
      </c>
      <c r="CS60" s="3953">
        <f>'Revenue Drivers'!CS226</f>
        <v>0.2303062488936094</v>
      </c>
      <c r="CT60" s="3953">
        <f>'Revenue Drivers'!CT226</f>
        <v>0.24797171998145573</v>
      </c>
      <c r="CU60" s="3953">
        <f>'Revenue Drivers'!CU226</f>
        <v>0.22584153570069065</v>
      </c>
      <c r="CV60" s="3953">
        <f>'Revenue Drivers'!CV226</f>
        <v>0.24203457636805248</v>
      </c>
      <c r="CW60" s="3418">
        <f>'Revenue Drivers'!CW226</f>
        <v>0.23667939501827728</v>
      </c>
      <c r="CX60" s="3953">
        <f>'Revenue Drivers'!CX226</f>
        <v>0.23640979689366781</v>
      </c>
      <c r="CY60" s="3953">
        <f>'Revenue Drivers'!CY226</f>
        <v>0.23102418074876296</v>
      </c>
      <c r="CZ60" s="3953">
        <f>'Revenue Drivers'!CZ226</f>
        <v>0.23995345923207734</v>
      </c>
      <c r="DA60" s="3953">
        <f>'Revenue Drivers'!DA226</f>
        <v>0.23588514897399238</v>
      </c>
      <c r="DB60" s="3418">
        <f>'Revenue Drivers'!DB226</f>
        <v>0.23585525949204866</v>
      </c>
      <c r="DC60" s="3953">
        <f>'Revenue Drivers'!DC226</f>
        <v>0.22585904699792114</v>
      </c>
      <c r="DD60" s="3953">
        <f>'Revenue Drivers'!DD226</f>
        <v>0.23013034952128275</v>
      </c>
      <c r="DE60" s="3953">
        <f>'Revenue Drivers'!DE226</f>
        <v>0.21750169867324676</v>
      </c>
      <c r="DF60" s="3953">
        <f>'Revenue Drivers'!DF226</f>
        <v>0.22616155714768915</v>
      </c>
      <c r="DG60" s="3418">
        <f>'Revenue Drivers'!DG226</f>
        <v>0.22484327712926944</v>
      </c>
      <c r="DH60" s="3953">
        <f>'Revenue Drivers'!DH226</f>
        <v>0.19021825712920193</v>
      </c>
      <c r="DI60" s="3953">
        <f>'Revenue Drivers'!DI226</f>
        <v>0.22261904761904772</v>
      </c>
      <c r="DJ60" s="3953">
        <f>'Revenue Drivers'!DJ226</f>
        <v>0.21565656565656566</v>
      </c>
      <c r="DK60" s="3953">
        <f>'Revenue Drivers'!DK226</f>
        <v>0.18515018389865134</v>
      </c>
      <c r="DL60" s="3418">
        <f>'Revenue Drivers'!DL226</f>
        <v>0.20277167286082487</v>
      </c>
      <c r="DM60" s="3953">
        <f>'Revenue Drivers'!DM226</f>
        <v>0.14640075133970498</v>
      </c>
      <c r="DN60" s="3953">
        <f>'Revenue Drivers'!DN226</f>
        <v>4.1198887630033987E-4</v>
      </c>
      <c r="DO60" s="3953">
        <f>'Revenue Drivers'!DO226</f>
        <v>0.14536899455175822</v>
      </c>
      <c r="DP60" s="3953">
        <f>'Revenue Drivers'!DP226</f>
        <v>0.23110212247738349</v>
      </c>
      <c r="DQ60" s="3418">
        <f>'Revenue Drivers'!DQ226</f>
        <v>0.13514702420044356</v>
      </c>
      <c r="DR60" s="3953">
        <f>'Revenue Drivers'!DR226</f>
        <v>0.3213816589637557</v>
      </c>
      <c r="DS60" s="3953">
        <f>'Revenue Drivers'!DS226</f>
        <v>0.5729041052797148</v>
      </c>
      <c r="DT60" s="3953">
        <f>'Revenue Drivers'!DT226</f>
        <v>0.39497781145145572</v>
      </c>
      <c r="DU60" s="3953">
        <f>'Revenue Drivers'!DU226</f>
        <v>0.3250439367311071</v>
      </c>
      <c r="DV60" s="3418">
        <f>'Revenue Drivers'!DV226</f>
        <v>0.39378451448031537</v>
      </c>
      <c r="DW60" s="3953">
        <f>'Revenue Drivers'!DW226</f>
        <v>0.25803366833264163</v>
      </c>
      <c r="DX60" s="3953">
        <f>'Revenue Drivers'!DX226</f>
        <v>0.16328146460484438</v>
      </c>
      <c r="DY60" s="3953">
        <f>'Revenue Drivers'!DY226</f>
        <v>0.11245696015740281</v>
      </c>
      <c r="DZ60" s="3953">
        <f>'Revenue Drivers'!DZ226</f>
        <v>6.6425281542024983E-2</v>
      </c>
      <c r="EA60" s="3418">
        <f>'Revenue Drivers'!EA226</f>
        <v>0.14257751817560438</v>
      </c>
      <c r="EB60" s="3953">
        <f>'Revenue Drivers'!EB226</f>
        <v>6.1181403451788574E-2</v>
      </c>
      <c r="EC60" s="3953">
        <f>'Revenue Drivers'!EC226</f>
        <v>9.2872601356225548E-2</v>
      </c>
      <c r="ED60" s="3953">
        <f>'Revenue Drivers'!ED226</f>
        <v>0.11413503958862892</v>
      </c>
      <c r="EE60" s="3953">
        <f>'Revenue Drivers'!EE226</f>
        <v>0.13055360246222425</v>
      </c>
      <c r="EF60" s="3418">
        <f>'Revenue Drivers'!EF226</f>
        <v>0.10052478673863208</v>
      </c>
      <c r="EG60" s="3953">
        <f>'Revenue Drivers'!EG226</f>
        <v>0.16002180680888922</v>
      </c>
      <c r="EH60" s="3953">
        <f>'Revenue Drivers'!EH226</f>
        <v>0.15155292824492972</v>
      </c>
      <c r="EI60" s="3953">
        <f>'Revenue Drivers'!EI226</f>
        <v>0.16395024382611423</v>
      </c>
      <c r="EJ60" s="3953">
        <f>'Revenue Drivers'!EJ226</f>
        <v>0.12249303621169916</v>
      </c>
      <c r="EK60" s="3418">
        <f>'Revenue Drivers'!EK226</f>
        <v>0.14841872912312226</v>
      </c>
      <c r="EL60" s="3953">
        <f>'Revenue Drivers'!EL226</f>
        <v>0.13809387699305309</v>
      </c>
      <c r="EM60" s="3953">
        <f>'Revenue Drivers'!EM226</f>
        <v>0.13418005671077515</v>
      </c>
      <c r="EN60" s="3953">
        <f>'Revenue Drivers'!EN226</f>
        <v>0.14688785396199466</v>
      </c>
      <c r="EO60" s="3953">
        <f>'Revenue Drivers'!EO226</f>
        <v>0.15567927091001477</v>
      </c>
      <c r="EP60" s="3418">
        <f>'Revenue Drivers'!EP226</f>
        <v>0.14421412378826037</v>
      </c>
      <c r="EQ60" s="3953">
        <f>'Revenue Drivers'!EQ226</f>
        <v>0.15286261586680583</v>
      </c>
      <c r="ER60" s="3953">
        <f>'Revenue Drivers'!ER226</f>
        <v>0.16110832815413323</v>
      </c>
      <c r="ES60" s="3953">
        <f>'Revenue Drivers'!ES226</f>
        <v>0.16474337171998865</v>
      </c>
      <c r="ET60" s="3953">
        <f>'Revenue Drivers'!ET226</f>
        <v>0.16227208801947146</v>
      </c>
      <c r="EU60" s="3418">
        <f>'Revenue Drivers'!EU226</f>
        <v>0.16051491729564482</v>
      </c>
      <c r="EV60" s="3418">
        <f>'Revenue Drivers'!EV226</f>
        <v>0.13190302624226624</v>
      </c>
      <c r="EW60" s="3418">
        <f>'Revenue Drivers'!EW226</f>
        <v>0.11961968132743461</v>
      </c>
      <c r="EX60" s="3418">
        <f>'Revenue Drivers'!EX226</f>
        <v>0.10580532343054938</v>
      </c>
      <c r="EY60" s="3418">
        <f>'Revenue Drivers'!EY226</f>
        <v>9.9288857253108764E-2</v>
      </c>
      <c r="EZ60" s="624"/>
      <c r="FA60" s="4266"/>
      <c r="FB60" s="1319"/>
      <c r="FC60" s="1319"/>
      <c r="FD60" s="1319"/>
      <c r="FE60" s="1319"/>
      <c r="FF60" s="1319"/>
      <c r="FG60" s="1319"/>
      <c r="FH60" s="1319"/>
      <c r="FI60" s="1319"/>
      <c r="FJ60" s="1319"/>
      <c r="FK60" s="1319"/>
      <c r="FL60" s="1319"/>
    </row>
    <row r="61" spans="1:170" s="151" customFormat="1" ht="11.25" customHeight="1">
      <c r="A61" s="3952" t="s">
        <v>179</v>
      </c>
      <c r="B61" s="3412"/>
      <c r="C61" s="3412"/>
      <c r="D61" s="3412"/>
      <c r="E61" s="3412"/>
      <c r="F61" s="3417"/>
      <c r="G61" s="3412"/>
      <c r="H61" s="3412"/>
      <c r="I61" s="3412"/>
      <c r="J61" s="3412"/>
      <c r="K61" s="3417">
        <f>K7/F7-1</f>
        <v>85.854545454545459</v>
      </c>
      <c r="L61" s="3412"/>
      <c r="M61" s="3412"/>
      <c r="N61" s="3412"/>
      <c r="O61" s="3412"/>
      <c r="P61" s="3417">
        <f>P7/K7-1</f>
        <v>3.5230270043960648</v>
      </c>
      <c r="Q61" s="3412"/>
      <c r="R61" s="3412"/>
      <c r="S61" s="3412"/>
      <c r="T61" s="3412"/>
      <c r="U61" s="3417">
        <f t="shared" ref="U61:BN61" si="221">U7/P7-1</f>
        <v>4.0853678291254951</v>
      </c>
      <c r="V61" s="3412">
        <f t="shared" si="221"/>
        <v>4.8795790469433609</v>
      </c>
      <c r="W61" s="3412">
        <f t="shared" si="221"/>
        <v>2.9630563514804202</v>
      </c>
      <c r="X61" s="3412">
        <f t="shared" si="221"/>
        <v>2.0120883574055526</v>
      </c>
      <c r="Y61" s="3412">
        <f t="shared" si="221"/>
        <v>1.7256254290595012</v>
      </c>
      <c r="Z61" s="3417">
        <f t="shared" si="221"/>
        <v>2.3353977629531197</v>
      </c>
      <c r="AA61" s="3412">
        <f t="shared" si="221"/>
        <v>1.6209807817615784</v>
      </c>
      <c r="AB61" s="3412">
        <f t="shared" si="221"/>
        <v>1.250045790635574</v>
      </c>
      <c r="AC61" s="3412">
        <f t="shared" si="221"/>
        <v>1.0456996207563547</v>
      </c>
      <c r="AD61" s="3412">
        <f t="shared" si="221"/>
        <v>1.0139620246985896</v>
      </c>
      <c r="AE61" s="3417">
        <f t="shared" si="221"/>
        <v>1.1755570168916201</v>
      </c>
      <c r="AF61" s="3412">
        <f t="shared" si="221"/>
        <v>0.9282867547646414</v>
      </c>
      <c r="AG61" s="3412">
        <f t="shared" si="221"/>
        <v>0.97725117535831996</v>
      </c>
      <c r="AH61" s="3412">
        <f t="shared" si="221"/>
        <v>0.9586567347531354</v>
      </c>
      <c r="AI61" s="3412">
        <f t="shared" si="221"/>
        <v>0.86048583568993164</v>
      </c>
      <c r="AJ61" s="3417">
        <f t="shared" si="221"/>
        <v>0.92478230590962118</v>
      </c>
      <c r="AK61" s="3412">
        <f t="shared" si="221"/>
        <v>0.79365404021914565</v>
      </c>
      <c r="AL61" s="3412">
        <f t="shared" si="221"/>
        <v>0.77392551074579563</v>
      </c>
      <c r="AM61" s="3412">
        <f t="shared" si="221"/>
        <v>0.70398984830745981</v>
      </c>
      <c r="AN61" s="3412">
        <f t="shared" si="221"/>
        <v>0.67031926019218457</v>
      </c>
      <c r="AO61" s="3417">
        <f t="shared" si="221"/>
        <v>0.72759034692175373</v>
      </c>
      <c r="AP61" s="3412">
        <f t="shared" si="221"/>
        <v>0.62571841216103774</v>
      </c>
      <c r="AQ61" s="3412">
        <f t="shared" si="221"/>
        <v>0.57654690102691752</v>
      </c>
      <c r="AR61" s="3412">
        <f t="shared" si="221"/>
        <v>0.57318417517668507</v>
      </c>
      <c r="AS61" s="3412">
        <f t="shared" si="221"/>
        <v>0.50575012057408864</v>
      </c>
      <c r="AT61" s="3417">
        <f t="shared" si="221"/>
        <v>0.56474454255511874</v>
      </c>
      <c r="AU61" s="3412">
        <f t="shared" si="221"/>
        <v>0.41541595170922463</v>
      </c>
      <c r="AV61" s="3412">
        <f t="shared" si="221"/>
        <v>0.386165493926242</v>
      </c>
      <c r="AW61" s="3412">
        <f t="shared" si="221"/>
        <v>0.30960324492106661</v>
      </c>
      <c r="AX61" s="3412">
        <f t="shared" si="221"/>
        <v>0.1811235012728214</v>
      </c>
      <c r="AY61" s="3417">
        <f t="shared" si="221"/>
        <v>0.31346079236176294</v>
      </c>
      <c r="AZ61" s="3412">
        <f t="shared" si="221"/>
        <v>6.2272333646288702E-2</v>
      </c>
      <c r="BA61" s="3412">
        <f t="shared" si="221"/>
        <v>2.9006679818125214E-2</v>
      </c>
      <c r="BB61" s="3412">
        <f t="shared" si="221"/>
        <v>7.2808433839084863E-2</v>
      </c>
      <c r="BC61" s="3412">
        <f t="shared" si="221"/>
        <v>0.17066082852824738</v>
      </c>
      <c r="BD61" s="3417">
        <f t="shared" si="221"/>
        <v>8.5109712762467371E-2</v>
      </c>
      <c r="BE61" s="3617">
        <f t="shared" si="221"/>
        <v>0.22980800473408025</v>
      </c>
      <c r="BF61" s="3412">
        <f t="shared" si="221"/>
        <v>0.2348591690194477</v>
      </c>
      <c r="BG61" s="3412">
        <f t="shared" si="221"/>
        <v>0.22559842122199547</v>
      </c>
      <c r="BH61" s="3412">
        <f t="shared" si="221"/>
        <v>0.26464209055526622</v>
      </c>
      <c r="BI61" s="3417">
        <f t="shared" si="221"/>
        <v>0.23975907042889433</v>
      </c>
      <c r="BJ61" s="3412">
        <f t="shared" si="221"/>
        <v>0.26568265682656822</v>
      </c>
      <c r="BK61" s="3412">
        <f t="shared" si="221"/>
        <v>0.32346041055718477</v>
      </c>
      <c r="BL61" s="3412">
        <f t="shared" si="221"/>
        <v>0.33406533077134237</v>
      </c>
      <c r="BM61" s="3412">
        <f t="shared" si="221"/>
        <v>0.2540284360189573</v>
      </c>
      <c r="BN61" s="3417">
        <f t="shared" si="221"/>
        <v>0.2927594556802291</v>
      </c>
      <c r="BO61" s="3412">
        <v>0.24139941690962097</v>
      </c>
      <c r="BP61" s="3412">
        <v>0.35320186128960773</v>
      </c>
      <c r="BQ61" s="3412">
        <v>0.45072016460905351</v>
      </c>
      <c r="BR61" s="3415">
        <v>0.36233938019652312</v>
      </c>
      <c r="BS61" s="3618">
        <v>0.35546761640944458</v>
      </c>
      <c r="BT61" s="3412">
        <f t="shared" ref="BT61:BX63" si="222">BT7/BJ7-1</f>
        <v>0.24139941690962097</v>
      </c>
      <c r="BU61" s="3412">
        <f t="shared" si="222"/>
        <v>0.21471305118546424</v>
      </c>
      <c r="BV61" s="3412">
        <f t="shared" si="222"/>
        <v>0.18580246913580245</v>
      </c>
      <c r="BW61" s="3412">
        <f t="shared" si="222"/>
        <v>0.21929327286470146</v>
      </c>
      <c r="BX61" s="3417">
        <f t="shared" si="222"/>
        <v>0.21458910433979694</v>
      </c>
      <c r="BY61" s="3412">
        <v>0.31225927665570685</v>
      </c>
      <c r="BZ61" s="3412">
        <v>0.15482233502538079</v>
      </c>
      <c r="CA61" s="3412">
        <v>5.616622934543658E-2</v>
      </c>
      <c r="CB61" s="3412">
        <v>0.16915181357930509</v>
      </c>
      <c r="CC61" s="3417">
        <v>0.16259561299363545</v>
      </c>
      <c r="CD61" s="3412">
        <f t="shared" ref="CD61:CH63" si="223">CD7/BT7-1</f>
        <v>0.21662752465946444</v>
      </c>
      <c r="CE61" s="3412">
        <f t="shared" si="223"/>
        <v>0.1954578620941263</v>
      </c>
      <c r="CF61" s="3412">
        <f t="shared" si="223"/>
        <v>0.19330209960090228</v>
      </c>
      <c r="CG61" s="3412">
        <f t="shared" si="223"/>
        <v>0.21712514529252225</v>
      </c>
      <c r="CH61" s="3417">
        <f t="shared" si="223"/>
        <v>0.2059123786355046</v>
      </c>
      <c r="CI61" s="3412">
        <f t="shared" ref="CI61:CR63" si="224">CI7/CD7-1</f>
        <v>0.19064164929349081</v>
      </c>
      <c r="CJ61" s="3412">
        <f t="shared" si="224"/>
        <v>0.21728847180895694</v>
      </c>
      <c r="CK61" s="3412">
        <f t="shared" si="224"/>
        <v>0.20132325141776941</v>
      </c>
      <c r="CL61" s="3412">
        <f t="shared" si="224"/>
        <v>0.15254345196409247</v>
      </c>
      <c r="CM61" s="3417">
        <f t="shared" si="224"/>
        <v>0.18880023055170292</v>
      </c>
      <c r="CN61" s="3412">
        <f t="shared" si="224"/>
        <v>0.11919584954604412</v>
      </c>
      <c r="CO61" s="3412">
        <f t="shared" si="224"/>
        <v>0.11106236289564397</v>
      </c>
      <c r="CP61" s="3412">
        <f t="shared" si="224"/>
        <v>0.13024269200508387</v>
      </c>
      <c r="CQ61" s="3412">
        <f t="shared" si="224"/>
        <v>0.17820250787162339</v>
      </c>
      <c r="CR61" s="3417">
        <f t="shared" si="224"/>
        <v>0.13617975485219924</v>
      </c>
      <c r="CS61" s="3412">
        <f t="shared" ref="CS61:DB63" si="225">CS7/CN7-1</f>
        <v>0.17377448139993046</v>
      </c>
      <c r="CT61" s="3412">
        <f t="shared" si="225"/>
        <v>0.21283917188469559</v>
      </c>
      <c r="CU61" s="3412">
        <f t="shared" si="225"/>
        <v>0.20219544846050863</v>
      </c>
      <c r="CV61" s="3412">
        <f t="shared" si="225"/>
        <v>0.22199821838811018</v>
      </c>
      <c r="CW61" s="3417">
        <f t="shared" si="225"/>
        <v>0.20380322447292265</v>
      </c>
      <c r="CX61" s="3412">
        <f t="shared" si="225"/>
        <v>0.22179987164930637</v>
      </c>
      <c r="CY61" s="3412">
        <f t="shared" si="225"/>
        <v>0.20976744186046514</v>
      </c>
      <c r="CZ61" s="3412">
        <f t="shared" si="225"/>
        <v>0.23700503318337707</v>
      </c>
      <c r="DA61" s="3412">
        <f t="shared" si="225"/>
        <v>0.24013965623081646</v>
      </c>
      <c r="DB61" s="3417">
        <f t="shared" si="225"/>
        <v>0.22801090038993266</v>
      </c>
      <c r="DC61" s="3412">
        <f t="shared" ref="DC61:DG63" si="226">DC7/CX7-1</f>
        <v>0.25842424242424245</v>
      </c>
      <c r="DD61" s="3412">
        <f t="shared" si="226"/>
        <v>0.25555555555555554</v>
      </c>
      <c r="DE61" s="3412">
        <f t="shared" si="226"/>
        <v>0.21489269768111763</v>
      </c>
      <c r="DF61" s="3412">
        <f t="shared" si="226"/>
        <v>0.21510998360300704</v>
      </c>
      <c r="DG61" s="3417">
        <f t="shared" si="226"/>
        <v>0.23421586757475987</v>
      </c>
      <c r="DH61" s="3412">
        <f t="shared" ref="DH61:DQ63" si="227">DH7/DC7-1</f>
        <v>0.16673088036987083</v>
      </c>
      <c r="DI61" s="3412">
        <f t="shared" si="227"/>
        <v>0.19251615273907574</v>
      </c>
      <c r="DJ61" s="3412">
        <f t="shared" si="227"/>
        <v>0.2003260225251926</v>
      </c>
      <c r="DK61" s="3412">
        <f t="shared" si="227"/>
        <v>0.17310825949689379</v>
      </c>
      <c r="DL61" s="3417">
        <f t="shared" si="227"/>
        <v>0.18300089899794614</v>
      </c>
      <c r="DM61" s="3412">
        <f t="shared" si="227"/>
        <v>0.13263986350752632</v>
      </c>
      <c r="DN61" s="3412">
        <f t="shared" si="227"/>
        <v>-1.6613599013968749E-2</v>
      </c>
      <c r="DO61" s="3412">
        <f t="shared" si="227"/>
        <v>0.14010222474628997</v>
      </c>
      <c r="DP61" s="3412">
        <f t="shared" si="227"/>
        <v>0.23489962018448174</v>
      </c>
      <c r="DQ61" s="3417">
        <f t="shared" si="227"/>
        <v>0.12770532012826141</v>
      </c>
      <c r="DR61" s="3412">
        <f t="shared" ref="DR61:DV63" si="228">DR7/DM7-1</f>
        <v>0.34391020189994892</v>
      </c>
      <c r="DS61" s="3412">
        <f t="shared" si="228"/>
        <v>0.61579235971486024</v>
      </c>
      <c r="DT61" s="3412">
        <f t="shared" si="228"/>
        <v>0.41030472353973102</v>
      </c>
      <c r="DU61" s="3412">
        <f t="shared" si="228"/>
        <v>0.32386024113325607</v>
      </c>
      <c r="DV61" s="3417">
        <f t="shared" si="228"/>
        <v>0.41150076427049154</v>
      </c>
      <c r="DW61" s="3412">
        <f t="shared" ref="DW61:ED63" si="229">DW7/DR7-1</f>
        <v>0.22954405756228069</v>
      </c>
      <c r="DX61" s="3412">
        <f t="shared" si="229"/>
        <v>0.12613122171945701</v>
      </c>
      <c r="DY61" s="3412">
        <f t="shared" si="229"/>
        <v>6.1027672840074931E-2</v>
      </c>
      <c r="DZ61" s="3412">
        <f t="shared" si="229"/>
        <v>9.5984069034185104E-3</v>
      </c>
      <c r="EA61" s="3417">
        <f>EA7/DV7-1</f>
        <v>9.7808156437157789E-2</v>
      </c>
      <c r="EB61" s="3412">
        <f t="shared" si="229"/>
        <v>2.6113422828660138E-2</v>
      </c>
      <c r="EC61" s="3412">
        <f t="shared" si="229"/>
        <v>7.0589079428858392E-2</v>
      </c>
      <c r="ED61" s="3412">
        <f t="shared" si="229"/>
        <v>0.11001273664100042</v>
      </c>
      <c r="EE61" s="3412">
        <f t="shared" ref="EE61:EN63" si="230">EE7/DZ7-1</f>
        <v>0.13494108983799702</v>
      </c>
      <c r="EF61" s="3417">
        <f t="shared" si="230"/>
        <v>8.6827702272695095E-2</v>
      </c>
      <c r="EG61" s="3412">
        <f t="shared" si="230"/>
        <v>0.15406880937710454</v>
      </c>
      <c r="EH61" s="3412">
        <f t="shared" si="230"/>
        <v>0.13589083695244231</v>
      </c>
      <c r="EI61" s="3412">
        <f t="shared" si="230"/>
        <v>0.15092642092498654</v>
      </c>
      <c r="EJ61" s="3412">
        <f t="shared" si="230"/>
        <v>0.11770362646275045</v>
      </c>
      <c r="EK61" s="3417">
        <f t="shared" ref="EK61:EK63" si="231">EK7/EF7-1</f>
        <v>0.13866243322901561</v>
      </c>
      <c r="EL61" s="3412">
        <f t="shared" si="230"/>
        <v>0.12037646357665222</v>
      </c>
      <c r="EM61" s="3412">
        <f t="shared" si="230"/>
        <v>0.13790092280097244</v>
      </c>
      <c r="EN61" s="3412">
        <f t="shared" si="230"/>
        <v>0.1594915484660353</v>
      </c>
      <c r="EO61" s="3412">
        <f t="shared" ref="EO61:EP63" si="232">EO7/EJ7-1</f>
        <v>0.16354823104492566</v>
      </c>
      <c r="EP61" s="3417">
        <f t="shared" si="232"/>
        <v>0.14638199835629284</v>
      </c>
      <c r="EQ61" s="3412">
        <f t="shared" ref="EQ61:EQ63" si="233">EQ7/EL7-1</f>
        <v>0.17831984028338388</v>
      </c>
      <c r="ER61" s="3412">
        <f t="shared" ref="ER61:ER63" si="234">ER7/EM7-1</f>
        <v>0.16784972713685242</v>
      </c>
      <c r="ES61" s="3412">
        <f t="shared" ref="ES61:ES63" si="235">ES7/EN7-1</f>
        <v>0.16163266230714002</v>
      </c>
      <c r="ET61" s="3412">
        <f t="shared" ref="ET61:EU63" si="236">ET7/EO7-1</f>
        <v>0.16240116658104853</v>
      </c>
      <c r="EU61" s="3417">
        <f t="shared" si="236"/>
        <v>0.16709431479338188</v>
      </c>
      <c r="EV61" s="3417">
        <f t="shared" ref="EV61:EY63" si="237">EV7/EU7-1</f>
        <v>0.13331977060325917</v>
      </c>
      <c r="EW61" s="3417">
        <f t="shared" si="237"/>
        <v>0.11961968132743461</v>
      </c>
      <c r="EX61" s="3417">
        <f t="shared" si="237"/>
        <v>0.10580532343054938</v>
      </c>
      <c r="EY61" s="3417">
        <f t="shared" si="237"/>
        <v>9.9288857253108764E-2</v>
      </c>
      <c r="EZ61" s="624"/>
      <c r="FA61" s="4266"/>
      <c r="FB61" s="1319"/>
      <c r="FC61" s="1319"/>
      <c r="FD61" s="1319"/>
      <c r="FE61" s="1319"/>
      <c r="FF61" s="1319"/>
      <c r="FG61" s="1319"/>
      <c r="FH61" s="1319"/>
      <c r="FI61" s="1319"/>
      <c r="FJ61" s="1319"/>
      <c r="FK61" s="1319"/>
      <c r="FL61" s="1319"/>
    </row>
    <row r="62" spans="1:170" ht="11.25" customHeight="1">
      <c r="A62" s="3738" t="s">
        <v>176</v>
      </c>
      <c r="B62" s="181"/>
      <c r="C62" s="181"/>
      <c r="D62" s="181"/>
      <c r="E62" s="181"/>
      <c r="F62" s="991"/>
      <c r="G62" s="181"/>
      <c r="H62" s="181"/>
      <c r="I62" s="181"/>
      <c r="J62" s="181"/>
      <c r="K62" s="991"/>
      <c r="L62" s="181"/>
      <c r="M62" s="181"/>
      <c r="N62" s="181"/>
      <c r="O62" s="181"/>
      <c r="P62" s="991"/>
      <c r="Q62" s="181"/>
      <c r="R62" s="181"/>
      <c r="S62" s="181"/>
      <c r="T62" s="181"/>
      <c r="U62" s="991"/>
      <c r="V62" s="181" t="e">
        <f t="shared" ref="V62:AE63" si="238">V8/Q8-1</f>
        <v>#DIV/0!</v>
      </c>
      <c r="W62" s="181">
        <f t="shared" si="238"/>
        <v>5.8970714285714285</v>
      </c>
      <c r="X62" s="181">
        <f t="shared" si="238"/>
        <v>3.9478275862068966</v>
      </c>
      <c r="Y62" s="181">
        <f t="shared" si="238"/>
        <v>3.2010873786407767</v>
      </c>
      <c r="Z62" s="991">
        <f t="shared" si="238"/>
        <v>4.5717777777777782</v>
      </c>
      <c r="AA62" s="181">
        <f t="shared" si="238"/>
        <v>2.8642255208110536</v>
      </c>
      <c r="AB62" s="181">
        <f t="shared" si="238"/>
        <v>1.8690645097815843</v>
      </c>
      <c r="AC62" s="181">
        <f t="shared" si="238"/>
        <v>1.110992633478991</v>
      </c>
      <c r="AD62" s="181">
        <f t="shared" si="238"/>
        <v>0.74577085913956642</v>
      </c>
      <c r="AE62" s="991">
        <f t="shared" si="238"/>
        <v>1.3334605808182962</v>
      </c>
      <c r="AF62" s="181">
        <f t="shared" ref="AF62:AO63" si="239">AF8/AA8-1</f>
        <v>0.70407229466941201</v>
      </c>
      <c r="AG62" s="181">
        <f t="shared" si="239"/>
        <v>0.78432972126165024</v>
      </c>
      <c r="AH62" s="181">
        <f t="shared" si="239"/>
        <v>0.74933641465830325</v>
      </c>
      <c r="AI62" s="181">
        <f t="shared" si="239"/>
        <v>0.66515138678555918</v>
      </c>
      <c r="AJ62" s="991">
        <f t="shared" si="239"/>
        <v>0.72136273810802809</v>
      </c>
      <c r="AK62" s="181">
        <f t="shared" si="239"/>
        <v>0.5650174206973908</v>
      </c>
      <c r="AL62" s="181">
        <f t="shared" si="239"/>
        <v>0.58836178993364618</v>
      </c>
      <c r="AM62" s="181">
        <f t="shared" si="239"/>
        <v>0.55747215375730819</v>
      </c>
      <c r="AN62" s="181">
        <f t="shared" si="239"/>
        <v>0.55120750595047863</v>
      </c>
      <c r="AO62" s="991">
        <f t="shared" si="239"/>
        <v>0.56447647264085732</v>
      </c>
      <c r="AP62" s="181">
        <f t="shared" ref="AP62:AY63" si="240">AP8/AK8-1</f>
        <v>0.55662925328197277</v>
      </c>
      <c r="AQ62" s="181">
        <f t="shared" si="240"/>
        <v>0.46201342657983924</v>
      </c>
      <c r="AR62" s="181">
        <f t="shared" si="240"/>
        <v>0.47967195951840846</v>
      </c>
      <c r="AS62" s="181">
        <f t="shared" si="240"/>
        <v>0.47579687951636807</v>
      </c>
      <c r="AT62" s="991">
        <f t="shared" si="240"/>
        <v>0.49114884442197226</v>
      </c>
      <c r="AU62" s="181">
        <f t="shared" si="240"/>
        <v>0.32119264163152694</v>
      </c>
      <c r="AV62" s="181">
        <f t="shared" si="240"/>
        <v>0.28405201439481909</v>
      </c>
      <c r="AW62" s="181">
        <f t="shared" si="240"/>
        <v>0.22445459905660381</v>
      </c>
      <c r="AX62" s="181">
        <f t="shared" si="240"/>
        <v>3.025946406966451E-2</v>
      </c>
      <c r="AY62" s="991">
        <f t="shared" si="240"/>
        <v>0.20370848170374667</v>
      </c>
      <c r="AZ62" s="181">
        <f t="shared" ref="AZ62:BI63" si="241">AZ8/AU8-1</f>
        <v>-3.3923938901387563E-2</v>
      </c>
      <c r="BA62" s="181">
        <f t="shared" si="241"/>
        <v>-1.3993405609302734E-2</v>
      </c>
      <c r="BB62" s="181">
        <f t="shared" si="241"/>
        <v>4.2810154587394678E-2</v>
      </c>
      <c r="BC62" s="181">
        <f t="shared" si="241"/>
        <v>0.16010980313904311</v>
      </c>
      <c r="BD62" s="991">
        <f t="shared" si="241"/>
        <v>3.8805499690854894E-2</v>
      </c>
      <c r="BE62" s="1692">
        <f t="shared" si="241"/>
        <v>0.1915373687289339</v>
      </c>
      <c r="BF62" s="181">
        <f t="shared" si="241"/>
        <v>0.19172617270121384</v>
      </c>
      <c r="BG62" s="181">
        <f t="shared" si="241"/>
        <v>0.15763306687463441</v>
      </c>
      <c r="BH62" s="181">
        <f t="shared" si="241"/>
        <v>0.20228765879901411</v>
      </c>
      <c r="BI62" s="991">
        <f t="shared" si="241"/>
        <v>0.18601177161663252</v>
      </c>
      <c r="BJ62" s="181">
        <f t="shared" ref="BJ62:BN63" si="242">BJ8/BE8-1</f>
        <v>0.19111630625365295</v>
      </c>
      <c r="BK62" s="181">
        <f t="shared" si="242"/>
        <v>0.21824480369515009</v>
      </c>
      <c r="BL62" s="181">
        <f t="shared" si="242"/>
        <v>0.22437673130193914</v>
      </c>
      <c r="BM62" s="181">
        <f t="shared" si="242"/>
        <v>0.18414693088448519</v>
      </c>
      <c r="BN62" s="991">
        <f t="shared" si="242"/>
        <v>0.20377203772037711</v>
      </c>
      <c r="BO62" s="181">
        <v>0.23159960745829244</v>
      </c>
      <c r="BP62" s="181">
        <v>0.23222748815165883</v>
      </c>
      <c r="BQ62" s="181">
        <v>0.25339366515837103</v>
      </c>
      <c r="BR62" s="190">
        <v>0.25714285714285712</v>
      </c>
      <c r="BS62" s="1752">
        <v>0.24432334241598541</v>
      </c>
      <c r="BT62" s="181">
        <f t="shared" si="222"/>
        <v>0.23159960745829244</v>
      </c>
      <c r="BU62" s="181">
        <f t="shared" si="222"/>
        <v>0.23222748815165883</v>
      </c>
      <c r="BV62" s="181">
        <f t="shared" si="222"/>
        <v>0.25339366515837103</v>
      </c>
      <c r="BW62" s="181">
        <f t="shared" si="222"/>
        <v>0.25714285714285712</v>
      </c>
      <c r="BX62" s="991">
        <f t="shared" si="222"/>
        <v>0.2438692098092643</v>
      </c>
      <c r="BY62" s="181">
        <v>0.18007968127490037</v>
      </c>
      <c r="BZ62" s="181">
        <v>0.15884615384615386</v>
      </c>
      <c r="CA62" s="181">
        <v>7.2924187725631695E-2</v>
      </c>
      <c r="CB62" s="181">
        <v>7.4675324675324672E-2</v>
      </c>
      <c r="CC62" s="991">
        <v>0.11833941605839415</v>
      </c>
      <c r="CD62" s="181">
        <f t="shared" si="223"/>
        <v>0.18007968127490037</v>
      </c>
      <c r="CE62" s="181">
        <f t="shared" si="223"/>
        <v>0.15884615384615386</v>
      </c>
      <c r="CF62" s="181">
        <f t="shared" si="223"/>
        <v>7.2924187725631695E-2</v>
      </c>
      <c r="CG62" s="181">
        <f t="shared" si="223"/>
        <v>7.4675324675324672E-2</v>
      </c>
      <c r="CH62" s="991">
        <f t="shared" si="223"/>
        <v>0.11883899233296824</v>
      </c>
      <c r="CI62" s="181">
        <f t="shared" si="224"/>
        <v>9.1154625253207389E-2</v>
      </c>
      <c r="CJ62" s="181">
        <f t="shared" si="224"/>
        <v>9.2930633919681371E-2</v>
      </c>
      <c r="CK62" s="181">
        <f t="shared" si="224"/>
        <v>0.12651413189771188</v>
      </c>
      <c r="CL62" s="181">
        <f t="shared" si="224"/>
        <v>9.3655589123867067E-2</v>
      </c>
      <c r="CM62" s="991">
        <f t="shared" si="224"/>
        <v>0.10107684777288295</v>
      </c>
      <c r="CN62" s="181">
        <f t="shared" si="224"/>
        <v>3.4962871287128605E-2</v>
      </c>
      <c r="CO62" s="181">
        <f t="shared" si="224"/>
        <v>2.5508654722137925E-2</v>
      </c>
      <c r="CP62" s="181">
        <f t="shared" si="224"/>
        <v>6.5113500597371532E-2</v>
      </c>
      <c r="CQ62" s="181">
        <f t="shared" si="224"/>
        <v>0.12016574585635365</v>
      </c>
      <c r="CR62" s="991">
        <f t="shared" si="224"/>
        <v>6.2680595687930607E-2</v>
      </c>
      <c r="CS62" s="181">
        <f t="shared" si="225"/>
        <v>0.13243647234678635</v>
      </c>
      <c r="CT62" s="181">
        <f t="shared" si="225"/>
        <v>0.17708024874148642</v>
      </c>
      <c r="CU62" s="181">
        <f t="shared" si="225"/>
        <v>0.17274256870443083</v>
      </c>
      <c r="CV62" s="181">
        <f t="shared" si="225"/>
        <v>0.19556103575832307</v>
      </c>
      <c r="CW62" s="991">
        <f t="shared" si="225"/>
        <v>0.17081503172279167</v>
      </c>
      <c r="CX62" s="181">
        <f t="shared" si="225"/>
        <v>0.22201689545934533</v>
      </c>
      <c r="CY62" s="181">
        <f t="shared" si="225"/>
        <v>0.28075471698113197</v>
      </c>
      <c r="CZ62" s="181">
        <f t="shared" si="225"/>
        <v>0.31563845050215211</v>
      </c>
      <c r="DA62" s="181">
        <f t="shared" si="225"/>
        <v>0.33044554455445541</v>
      </c>
      <c r="DB62" s="991">
        <f t="shared" si="225"/>
        <v>0.29053772405168821</v>
      </c>
      <c r="DC62" s="181">
        <f t="shared" si="226"/>
        <v>0.35839274141283206</v>
      </c>
      <c r="DD62" s="181">
        <f t="shared" si="226"/>
        <v>0.26104890984089568</v>
      </c>
      <c r="DE62" s="181">
        <f t="shared" si="226"/>
        <v>0.19629225736095957</v>
      </c>
      <c r="DF62" s="181">
        <f t="shared" si="226"/>
        <v>0.15286821705426346</v>
      </c>
      <c r="DG62" s="991">
        <f t="shared" si="226"/>
        <v>0.23320413436692511</v>
      </c>
      <c r="DH62" s="181">
        <f t="shared" si="227"/>
        <v>9.0966921119592925E-2</v>
      </c>
      <c r="DI62" s="181">
        <f t="shared" si="227"/>
        <v>0.12741433021806858</v>
      </c>
      <c r="DJ62" s="181">
        <f t="shared" si="227"/>
        <v>0.13795199027651162</v>
      </c>
      <c r="DK62" s="181">
        <f t="shared" si="227"/>
        <v>0.14322216245293173</v>
      </c>
      <c r="DL62" s="991">
        <f t="shared" si="227"/>
        <v>0.1258325226371324</v>
      </c>
      <c r="DM62" s="181">
        <f t="shared" si="227"/>
        <v>8.6297376093294353E-2</v>
      </c>
      <c r="DN62" s="181">
        <f t="shared" si="227"/>
        <v>-7.5158883669521948E-2</v>
      </c>
      <c r="DO62" s="181">
        <f t="shared" si="227"/>
        <v>9.0253671562082749E-2</v>
      </c>
      <c r="DP62" s="181">
        <f t="shared" si="227"/>
        <v>0.23114927655569928</v>
      </c>
      <c r="DQ62" s="991">
        <f t="shared" si="227"/>
        <v>8.9368207650636355E-2</v>
      </c>
      <c r="DR62" s="181">
        <f t="shared" si="228"/>
        <v>0.30327428878153517</v>
      </c>
      <c r="DS62" s="181">
        <f t="shared" si="228"/>
        <v>0.63265610994920829</v>
      </c>
      <c r="DT62" s="181">
        <f t="shared" si="228"/>
        <v>0.40803330884153799</v>
      </c>
      <c r="DU62" s="181">
        <f t="shared" si="228"/>
        <v>0.28291610930632527</v>
      </c>
      <c r="DV62" s="991">
        <f t="shared" si="228"/>
        <v>0.39013972786625173</v>
      </c>
      <c r="DW62" s="181">
        <f t="shared" si="229"/>
        <v>0.23455518945634268</v>
      </c>
      <c r="DX62" s="181">
        <f t="shared" si="229"/>
        <v>0.11757708848019033</v>
      </c>
      <c r="DY62" s="181">
        <f t="shared" si="229"/>
        <v>2.85267002957037E-2</v>
      </c>
      <c r="DZ62" s="181">
        <f t="shared" si="229"/>
        <v>-3.7387353839279047E-2</v>
      </c>
      <c r="EA62" s="991">
        <f>EA8/DV8-1</f>
        <v>7.437563095290356E-2</v>
      </c>
      <c r="EB62" s="181">
        <f t="shared" si="229"/>
        <v>-2.2435362802335268E-2</v>
      </c>
      <c r="EC62" s="181">
        <f t="shared" si="229"/>
        <v>2.6445063042410455E-2</v>
      </c>
      <c r="ED62" s="181">
        <f t="shared" si="229"/>
        <v>6.9000507356671736E-2</v>
      </c>
      <c r="EE62" s="181">
        <f t="shared" si="230"/>
        <v>8.2088974854932273E-2</v>
      </c>
      <c r="EF62" s="991">
        <f t="shared" si="230"/>
        <v>3.9444387702992634E-2</v>
      </c>
      <c r="EG62" s="181">
        <f t="shared" si="230"/>
        <v>0.10451326678611039</v>
      </c>
      <c r="EH62" s="181">
        <f t="shared" si="230"/>
        <v>6.7799314030469793E-2</v>
      </c>
      <c r="EI62" s="181">
        <f t="shared" si="230"/>
        <v>8.5192216421452249E-2</v>
      </c>
      <c r="EJ62" s="181">
        <f t="shared" si="230"/>
        <v>6.1633061633061592E-2</v>
      </c>
      <c r="EK62" s="991">
        <f t="shared" si="231"/>
        <v>7.8882207286876449E-2</v>
      </c>
      <c r="EL62" s="181">
        <f t="shared" si="230"/>
        <v>6.1949636953499088E-2</v>
      </c>
      <c r="EM62" s="181">
        <f t="shared" si="230"/>
        <v>9.8453723761858569E-2</v>
      </c>
      <c r="EN62" s="181">
        <f t="shared" si="230"/>
        <v>8.4335592973248774E-2</v>
      </c>
      <c r="EO62" s="181">
        <f t="shared" si="232"/>
        <v>9.4982300868854619E-2</v>
      </c>
      <c r="EP62" s="991">
        <f t="shared" si="232"/>
        <v>8.5378819732254252E-2</v>
      </c>
      <c r="EQ62" s="181">
        <f t="shared" si="233"/>
        <v>0.12342031612710858</v>
      </c>
      <c r="ER62" s="181">
        <f t="shared" si="234"/>
        <v>8.0862690853142016E-2</v>
      </c>
      <c r="ES62" s="181">
        <f t="shared" si="235"/>
        <v>8.6895103167071053E-2</v>
      </c>
      <c r="ET62" s="181">
        <f t="shared" si="236"/>
        <v>8.0096025134597237E-2</v>
      </c>
      <c r="EU62" s="991">
        <f t="shared" si="236"/>
        <v>9.1978410978540204E-2</v>
      </c>
      <c r="EV62" s="991">
        <f t="shared" si="237"/>
        <v>7.8822996573315374E-2</v>
      </c>
      <c r="EW62" s="991">
        <f t="shared" si="237"/>
        <v>7.4404389398103898E-2</v>
      </c>
      <c r="EX62" s="991">
        <f t="shared" si="237"/>
        <v>6.377261524237321E-2</v>
      </c>
      <c r="EY62" s="991">
        <f t="shared" si="237"/>
        <v>6.0279671677942792E-2</v>
      </c>
      <c r="EZ62" s="169"/>
      <c r="FA62" s="725"/>
      <c r="FB62" s="1319"/>
      <c r="FC62" s="1319"/>
      <c r="FD62" s="1319"/>
      <c r="FE62" s="1319"/>
      <c r="FF62" s="1319"/>
      <c r="FG62" s="1319"/>
      <c r="FH62" s="1319"/>
      <c r="FI62" s="1319"/>
      <c r="FJ62" s="1319"/>
      <c r="FK62" s="1319"/>
      <c r="FL62" s="1319"/>
    </row>
    <row r="63" spans="1:170" s="151" customFormat="1" ht="11.25" customHeight="1">
      <c r="A63" s="3757" t="s">
        <v>228</v>
      </c>
      <c r="B63" s="3412"/>
      <c r="C63" s="3412"/>
      <c r="D63" s="3412"/>
      <c r="E63" s="3412"/>
      <c r="F63" s="3413"/>
      <c r="G63" s="3412"/>
      <c r="H63" s="3412"/>
      <c r="I63" s="3412"/>
      <c r="J63" s="3412"/>
      <c r="K63" s="3413">
        <f>K9/F9-1</f>
        <v>85.854545454545459</v>
      </c>
      <c r="L63" s="3412"/>
      <c r="M63" s="3412"/>
      <c r="N63" s="3412"/>
      <c r="O63" s="3412"/>
      <c r="P63" s="3413">
        <f>P9/K9-1</f>
        <v>3.5230270043960648</v>
      </c>
      <c r="Q63" s="3412"/>
      <c r="R63" s="3412"/>
      <c r="S63" s="3412"/>
      <c r="T63" s="3412"/>
      <c r="U63" s="3413">
        <f>U9/P9-1</f>
        <v>2.9919468678406966</v>
      </c>
      <c r="V63" s="3412">
        <f t="shared" si="238"/>
        <v>3.2210476528319738</v>
      </c>
      <c r="W63" s="3412">
        <f t="shared" si="238"/>
        <v>2.3264626113909337</v>
      </c>
      <c r="X63" s="3412">
        <f t="shared" si="238"/>
        <v>1.4605794453122698</v>
      </c>
      <c r="Y63" s="3412">
        <f t="shared" si="238"/>
        <v>1.1685861110907476</v>
      </c>
      <c r="Z63" s="3413">
        <f t="shared" si="238"/>
        <v>1.7228383109956864</v>
      </c>
      <c r="AA63" s="3412">
        <f t="shared" si="238"/>
        <v>1.1324858393048234</v>
      </c>
      <c r="AB63" s="3412">
        <f t="shared" si="238"/>
        <v>0.97157100260901963</v>
      </c>
      <c r="AC63" s="3412">
        <f t="shared" si="238"/>
        <v>1.0082929069094244</v>
      </c>
      <c r="AD63" s="3412">
        <f t="shared" si="238"/>
        <v>1.210111588505133</v>
      </c>
      <c r="AE63" s="3413">
        <f t="shared" si="238"/>
        <v>1.087052281187693</v>
      </c>
      <c r="AF63" s="3412">
        <f t="shared" si="239"/>
        <v>1.0879273608129871</v>
      </c>
      <c r="AG63" s="3412">
        <f t="shared" si="239"/>
        <v>1.1035474433926149</v>
      </c>
      <c r="AH63" s="3412">
        <f t="shared" si="239"/>
        <v>1.0847099428017026</v>
      </c>
      <c r="AI63" s="3412">
        <f t="shared" si="239"/>
        <v>0.97333406751066498</v>
      </c>
      <c r="AJ63" s="3413">
        <f t="shared" si="239"/>
        <v>1.0522600721521549</v>
      </c>
      <c r="AK63" s="3412">
        <f t="shared" si="239"/>
        <v>0.92651524016967235</v>
      </c>
      <c r="AL63" s="3412">
        <f t="shared" si="239"/>
        <v>0.87697025865700562</v>
      </c>
      <c r="AM63" s="3412">
        <f t="shared" si="239"/>
        <v>0.77802880461423118</v>
      </c>
      <c r="AN63" s="3412">
        <f t="shared" si="239"/>
        <v>0.72838549256211671</v>
      </c>
      <c r="AO63" s="3413">
        <f t="shared" si="239"/>
        <v>0.81332820362171576</v>
      </c>
      <c r="AP63" s="3412">
        <f t="shared" si="240"/>
        <v>0.6583327835905366</v>
      </c>
      <c r="AQ63" s="3412">
        <f t="shared" si="240"/>
        <v>0.63036858283777208</v>
      </c>
      <c r="AR63" s="3412">
        <f t="shared" si="240"/>
        <v>0.61457652264068696</v>
      </c>
      <c r="AS63" s="3412">
        <f t="shared" si="240"/>
        <v>0.51885527472330328</v>
      </c>
      <c r="AT63" s="3413">
        <f t="shared" si="240"/>
        <v>0.59811996480330687</v>
      </c>
      <c r="AU63" s="3412">
        <f t="shared" si="240"/>
        <v>0.45716734431193462</v>
      </c>
      <c r="AV63" s="3412">
        <f t="shared" si="240"/>
        <v>0.42919570407830632</v>
      </c>
      <c r="AW63" s="3412">
        <f t="shared" si="240"/>
        <v>0.34414435304134461</v>
      </c>
      <c r="AX63" s="3412">
        <f t="shared" si="240"/>
        <v>0.24525837315629673</v>
      </c>
      <c r="AY63" s="3413">
        <f t="shared" si="240"/>
        <v>0.35990158580877507</v>
      </c>
      <c r="AZ63" s="3412">
        <f t="shared" si="241"/>
        <v>0.10092038212170373</v>
      </c>
      <c r="BA63" s="3412">
        <f t="shared" si="241"/>
        <v>4.5286538279763144E-2</v>
      </c>
      <c r="BB63" s="3412">
        <f t="shared" si="241"/>
        <v>8.3893840741340542E-2</v>
      </c>
      <c r="BC63" s="3412">
        <f t="shared" si="241"/>
        <v>0.17437182307525578</v>
      </c>
      <c r="BD63" s="3413">
        <f t="shared" si="241"/>
        <v>0.1024525563427916</v>
      </c>
      <c r="BE63" s="3414">
        <f t="shared" si="241"/>
        <v>0.24330044217695423</v>
      </c>
      <c r="BF63" s="3412">
        <f t="shared" si="241"/>
        <v>0.2502632359456578</v>
      </c>
      <c r="BG63" s="3412">
        <f t="shared" si="241"/>
        <v>0.24976200709817387</v>
      </c>
      <c r="BH63" s="3412">
        <f t="shared" si="241"/>
        <v>0.28630697854344644</v>
      </c>
      <c r="BI63" s="3413">
        <f t="shared" si="241"/>
        <v>0.25872747366062443</v>
      </c>
      <c r="BJ63" s="3412">
        <f t="shared" si="242"/>
        <v>0.29087677725118488</v>
      </c>
      <c r="BK63" s="3412">
        <f t="shared" si="242"/>
        <v>0.35927672955974832</v>
      </c>
      <c r="BL63" s="3412">
        <f t="shared" si="242"/>
        <v>0.37018792191205985</v>
      </c>
      <c r="BM63" s="3412">
        <f t="shared" si="242"/>
        <v>0.27672264950557213</v>
      </c>
      <c r="BN63" s="3413">
        <f t="shared" si="242"/>
        <v>0.32235048173059444</v>
      </c>
      <c r="BO63" s="3412">
        <v>0.24445464280250873</v>
      </c>
      <c r="BP63" s="3412">
        <v>0.39010989010989006</v>
      </c>
      <c r="BQ63" s="3412">
        <v>0.50878828229027961</v>
      </c>
      <c r="BR63" s="3415">
        <v>0.39402507991148261</v>
      </c>
      <c r="BS63" s="3416">
        <v>0.38911227961645523</v>
      </c>
      <c r="BT63" s="3412">
        <f t="shared" si="222"/>
        <v>0.24445464280250873</v>
      </c>
      <c r="BU63" s="3412">
        <f t="shared" si="222"/>
        <v>0.20936957779063037</v>
      </c>
      <c r="BV63" s="3412">
        <f t="shared" si="222"/>
        <v>0.1659121171770972</v>
      </c>
      <c r="BW63" s="3412">
        <f t="shared" si="222"/>
        <v>0.20789279567248586</v>
      </c>
      <c r="BX63" s="3413">
        <f t="shared" si="222"/>
        <v>0.20572567618654847</v>
      </c>
      <c r="BY63" s="3412">
        <v>0.35304240934234787</v>
      </c>
      <c r="BZ63" s="3412">
        <v>0.153734137715831</v>
      </c>
      <c r="CA63" s="3412">
        <v>5.2069543729591494E-2</v>
      </c>
      <c r="CB63" s="3412">
        <v>0.19481435752711884</v>
      </c>
      <c r="CC63" s="3413">
        <v>0.17687226304460779</v>
      </c>
      <c r="CD63" s="3412">
        <f t="shared" si="223"/>
        <v>0.22790411800860477</v>
      </c>
      <c r="CE63" s="3412">
        <f t="shared" si="223"/>
        <v>0.20683883309421325</v>
      </c>
      <c r="CF63" s="3412">
        <f t="shared" si="223"/>
        <v>0.23138419369575147</v>
      </c>
      <c r="CG63" s="3412">
        <f t="shared" si="223"/>
        <v>0.2617811704834605</v>
      </c>
      <c r="CH63" s="3413">
        <f t="shared" si="223"/>
        <v>0.23310435253541595</v>
      </c>
      <c r="CI63" s="3412">
        <f t="shared" si="224"/>
        <v>0.22014215637200918</v>
      </c>
      <c r="CJ63" s="3412">
        <f t="shared" si="224"/>
        <v>0.25440855954032093</v>
      </c>
      <c r="CK63" s="3412">
        <f t="shared" si="224"/>
        <v>0.22194398070858834</v>
      </c>
      <c r="CL63" s="3412">
        <f t="shared" si="224"/>
        <v>0.16826651609260312</v>
      </c>
      <c r="CM63" s="3413">
        <f t="shared" si="224"/>
        <v>0.21365664224127978</v>
      </c>
      <c r="CN63" s="3412">
        <f t="shared" si="224"/>
        <v>0.14153265507056112</v>
      </c>
      <c r="CO63" s="3412">
        <f t="shared" si="224"/>
        <v>0.13331227294266301</v>
      </c>
      <c r="CP63" s="3412">
        <f t="shared" si="224"/>
        <v>0.14679316888045535</v>
      </c>
      <c r="CQ63" s="3412">
        <f t="shared" si="224"/>
        <v>0.19270869295035564</v>
      </c>
      <c r="CR63" s="3413">
        <f t="shared" si="224"/>
        <v>0.15507389913149483</v>
      </c>
      <c r="CS63" s="3412">
        <f t="shared" si="225"/>
        <v>0.18371307410335658</v>
      </c>
      <c r="CT63" s="3412">
        <f t="shared" si="225"/>
        <v>0.22125435540069693</v>
      </c>
      <c r="CU63" s="3412">
        <f t="shared" si="225"/>
        <v>0.20914686610629429</v>
      </c>
      <c r="CV63" s="3412">
        <f t="shared" si="225"/>
        <v>0.22820423758249397</v>
      </c>
      <c r="CW63" s="3413">
        <f t="shared" si="225"/>
        <v>0.21160505227055371</v>
      </c>
      <c r="CX63" s="3412">
        <f t="shared" si="225"/>
        <v>0.22174995445989443</v>
      </c>
      <c r="CY63" s="3412">
        <f t="shared" si="225"/>
        <v>0.19366619115549222</v>
      </c>
      <c r="CZ63" s="3412">
        <f t="shared" si="225"/>
        <v>0.21900487164048399</v>
      </c>
      <c r="DA63" s="3412">
        <f t="shared" si="225"/>
        <v>0.21950414781297134</v>
      </c>
      <c r="DB63" s="3413">
        <f t="shared" si="225"/>
        <v>0.21372092706759749</v>
      </c>
      <c r="DC63" s="3412">
        <f t="shared" si="226"/>
        <v>0.23542567466825703</v>
      </c>
      <c r="DD63" s="3412">
        <f t="shared" si="226"/>
        <v>0.25421865289927825</v>
      </c>
      <c r="DE63" s="3412">
        <f t="shared" si="226"/>
        <v>0.21948810058374502</v>
      </c>
      <c r="DF63" s="3412">
        <f t="shared" si="226"/>
        <v>0.2306265218567618</v>
      </c>
      <c r="DG63" s="3413">
        <f t="shared" si="226"/>
        <v>0.23446172476817329</v>
      </c>
      <c r="DH63" s="3412">
        <f t="shared" si="227"/>
        <v>0.18589588864751794</v>
      </c>
      <c r="DI63" s="3412">
        <f t="shared" si="227"/>
        <v>0.20844608758623329</v>
      </c>
      <c r="DJ63" s="3412">
        <f t="shared" si="227"/>
        <v>0.21544296339936664</v>
      </c>
      <c r="DK63" s="3412">
        <f t="shared" si="227"/>
        <v>0.18008793969849246</v>
      </c>
      <c r="DL63" s="3413">
        <f t="shared" si="227"/>
        <v>0.1968790022980571</v>
      </c>
      <c r="DM63" s="3412">
        <f t="shared" si="227"/>
        <v>0.14342413243325747</v>
      </c>
      <c r="DN63" s="3412">
        <f t="shared" si="227"/>
        <v>-3.2485964801615141E-3</v>
      </c>
      <c r="DO63" s="3412">
        <f t="shared" si="227"/>
        <v>0.15141325093156421</v>
      </c>
      <c r="DP63" s="3412">
        <f t="shared" si="227"/>
        <v>0.23574812370256026</v>
      </c>
      <c r="DQ63" s="3413">
        <f t="shared" si="227"/>
        <v>0.13645953494019802</v>
      </c>
      <c r="DR63" s="3412">
        <f t="shared" si="228"/>
        <v>0.3528940576141455</v>
      </c>
      <c r="DS63" s="3412">
        <f t="shared" si="228"/>
        <v>0.61222035882669368</v>
      </c>
      <c r="DT63" s="3412">
        <f t="shared" si="228"/>
        <v>0.41079274870418603</v>
      </c>
      <c r="DU63" s="3412">
        <f t="shared" si="228"/>
        <v>0.3330892487939352</v>
      </c>
      <c r="DV63" s="3413">
        <f t="shared" si="228"/>
        <v>0.41617640184575522</v>
      </c>
      <c r="DW63" s="3412">
        <f t="shared" si="229"/>
        <v>0.22847682119205293</v>
      </c>
      <c r="DX63" s="3412">
        <f t="shared" si="229"/>
        <v>0.12796608506211848</v>
      </c>
      <c r="DY63" s="3412">
        <f t="shared" si="229"/>
        <v>6.7997016038791491E-2</v>
      </c>
      <c r="DZ63" s="3412">
        <f t="shared" si="229"/>
        <v>1.9790623283466369E-2</v>
      </c>
      <c r="EA63" s="3413">
        <f>EA9/DV9-1</f>
        <v>0.10284291581592964</v>
      </c>
      <c r="EB63" s="3412">
        <f t="shared" si="229"/>
        <v>3.6504168079827259E-2</v>
      </c>
      <c r="EC63" s="3412">
        <f t="shared" si="229"/>
        <v>7.9970767865532144E-2</v>
      </c>
      <c r="ED63" s="3412">
        <f t="shared" si="229"/>
        <v>0.11848217092166391</v>
      </c>
      <c r="EE63" s="3412">
        <f t="shared" si="230"/>
        <v>0.14576303407632718</v>
      </c>
      <c r="EF63" s="3413">
        <f t="shared" si="230"/>
        <v>9.6745780974085038E-2</v>
      </c>
      <c r="EG63" s="3412">
        <f t="shared" si="230"/>
        <v>0.16407191816209132</v>
      </c>
      <c r="EH63" s="3412">
        <f t="shared" si="230"/>
        <v>0.14964473875006035</v>
      </c>
      <c r="EI63" s="3412">
        <f t="shared" si="230"/>
        <v>0.16390064167616436</v>
      </c>
      <c r="EJ63" s="3412">
        <f t="shared" si="230"/>
        <v>0.12854654056744641</v>
      </c>
      <c r="EK63" s="3413">
        <f t="shared" si="231"/>
        <v>0.15052162115801448</v>
      </c>
      <c r="EL63" s="3412">
        <f t="shared" si="230"/>
        <v>0.13156687822703539</v>
      </c>
      <c r="EM63" s="3412">
        <f t="shared" si="230"/>
        <v>0.14530166071053174</v>
      </c>
      <c r="EN63" s="3412">
        <f t="shared" si="230"/>
        <v>0.17332224442983812</v>
      </c>
      <c r="EO63" s="3412">
        <f t="shared" si="232"/>
        <v>0.17602133148787913</v>
      </c>
      <c r="EP63" s="3413">
        <f t="shared" si="232"/>
        <v>0.15773025399119045</v>
      </c>
      <c r="EQ63" s="3412">
        <f t="shared" si="233"/>
        <v>0.18818777242914209</v>
      </c>
      <c r="ER63" s="3412">
        <f t="shared" si="234"/>
        <v>0.18350192258430265</v>
      </c>
      <c r="ES63" s="3412">
        <f t="shared" si="235"/>
        <v>0.17434325942349593</v>
      </c>
      <c r="ET63" s="3412">
        <f t="shared" si="236"/>
        <v>0.17634187723063377</v>
      </c>
      <c r="EU63" s="3413">
        <f t="shared" si="236"/>
        <v>0.18019465283984637</v>
      </c>
      <c r="EV63" s="3413">
        <f t="shared" si="237"/>
        <v>0.14211367641292383</v>
      </c>
      <c r="EW63" s="3413">
        <f t="shared" si="237"/>
        <v>0.12651155355913746</v>
      </c>
      <c r="EX63" s="3413">
        <f t="shared" si="237"/>
        <v>0.11191574782317915</v>
      </c>
      <c r="EY63" s="3413">
        <f t="shared" si="237"/>
        <v>0.10471420787355568</v>
      </c>
      <c r="EZ63" s="624"/>
      <c r="FA63" s="4266"/>
      <c r="FB63" s="1319"/>
      <c r="FC63" s="1319"/>
      <c r="FD63" s="1319"/>
      <c r="FE63" s="1319"/>
      <c r="FF63" s="1319"/>
      <c r="FG63" s="1319"/>
      <c r="FH63" s="1319"/>
      <c r="FI63" s="1319"/>
      <c r="FJ63" s="1319"/>
      <c r="FK63" s="1319"/>
      <c r="FL63" s="1319"/>
    </row>
    <row r="64" spans="1:170" ht="11.25" customHeight="1">
      <c r="A64" s="3738" t="s">
        <v>178</v>
      </c>
      <c r="B64" s="181"/>
      <c r="C64" s="181"/>
      <c r="D64" s="181"/>
      <c r="E64" s="181"/>
      <c r="F64" s="991"/>
      <c r="G64" s="181"/>
      <c r="H64" s="181"/>
      <c r="I64" s="181"/>
      <c r="J64" s="181"/>
      <c r="K64" s="991"/>
      <c r="L64" s="181"/>
      <c r="M64" s="181"/>
      <c r="N64" s="181"/>
      <c r="O64" s="181"/>
      <c r="P64" s="991"/>
      <c r="Q64" s="181"/>
      <c r="R64" s="181"/>
      <c r="S64" s="181"/>
      <c r="T64" s="181"/>
      <c r="U64" s="991"/>
      <c r="V64" s="181"/>
      <c r="W64" s="181"/>
      <c r="X64" s="181"/>
      <c r="Y64" s="181"/>
      <c r="Z64" s="991"/>
      <c r="AA64" s="181"/>
      <c r="AB64" s="181"/>
      <c r="AC64" s="181"/>
      <c r="AD64" s="181"/>
      <c r="AE64" s="991"/>
      <c r="AF64" s="181"/>
      <c r="AG64" s="181"/>
      <c r="AH64" s="181"/>
      <c r="AI64" s="181"/>
      <c r="AJ64" s="991"/>
      <c r="AK64" s="181"/>
      <c r="AL64" s="181"/>
      <c r="AM64" s="181"/>
      <c r="AN64" s="181"/>
      <c r="AO64" s="991"/>
      <c r="AP64" s="181"/>
      <c r="AQ64" s="181"/>
      <c r="AR64" s="181"/>
      <c r="AS64" s="181"/>
      <c r="AT64" s="991"/>
      <c r="AU64" s="181"/>
      <c r="AV64" s="181"/>
      <c r="AW64" s="181"/>
      <c r="AX64" s="181"/>
      <c r="AY64" s="991"/>
      <c r="AZ64" s="181"/>
      <c r="BA64" s="181"/>
      <c r="BB64" s="181"/>
      <c r="BC64" s="181"/>
      <c r="BD64" s="991"/>
      <c r="BE64" s="1692"/>
      <c r="BF64" s="181"/>
      <c r="BG64" s="181"/>
      <c r="BH64" s="181"/>
      <c r="BI64" s="991"/>
      <c r="BJ64" s="181"/>
      <c r="BK64" s="181"/>
      <c r="BL64" s="181"/>
      <c r="BM64" s="181"/>
      <c r="BN64" s="991"/>
      <c r="BO64" s="181"/>
      <c r="BP64" s="181"/>
      <c r="BQ64" s="181"/>
      <c r="BR64" s="190"/>
      <c r="BS64" s="1752"/>
      <c r="BT64" s="181"/>
      <c r="BU64" s="181"/>
      <c r="BV64" s="181"/>
      <c r="BW64" s="181"/>
      <c r="BX64" s="991"/>
      <c r="BY64" s="181" t="e">
        <f>+#REF!/#REF!-1</f>
        <v>#REF!</v>
      </c>
      <c r="BZ64" s="181" t="e">
        <f>+#REF!/#REF!-1</f>
        <v>#REF!</v>
      </c>
      <c r="CA64" s="181" t="e">
        <f>+#REF!/#REF!-1</f>
        <v>#REF!</v>
      </c>
      <c r="CB64" s="181" t="e">
        <f>+#REF!/#REF!-1</f>
        <v>#REF!</v>
      </c>
      <c r="CC64" s="991" t="e">
        <f>+#REF!/#REF!-1</f>
        <v>#REF!</v>
      </c>
      <c r="CD64" s="181"/>
      <c r="CE64" s="181"/>
      <c r="CF64" s="181"/>
      <c r="CG64" s="181"/>
      <c r="CH64" s="991"/>
      <c r="CI64" s="181">
        <f t="shared" ref="CI64:CR65" si="243">CI12/CD12-1</f>
        <v>0.25528978840846372</v>
      </c>
      <c r="CJ64" s="181">
        <f t="shared" si="243"/>
        <v>0.29285059578368466</v>
      </c>
      <c r="CK64" s="181">
        <f t="shared" si="243"/>
        <v>0.37340993024210101</v>
      </c>
      <c r="CL64" s="181">
        <f t="shared" si="243"/>
        <v>0.12164458036017667</v>
      </c>
      <c r="CM64" s="991">
        <f t="shared" si="243"/>
        <v>0.25259373394966622</v>
      </c>
      <c r="CN64" s="181">
        <f t="shared" si="243"/>
        <v>0.10333455478197151</v>
      </c>
      <c r="CO64" s="181">
        <f t="shared" si="243"/>
        <v>0.13647642679900751</v>
      </c>
      <c r="CP64" s="181">
        <f t="shared" si="243"/>
        <v>3.7048102778607817E-2</v>
      </c>
      <c r="CQ64" s="181">
        <f t="shared" si="243"/>
        <v>0.25204483489851559</v>
      </c>
      <c r="CR64" s="991">
        <f t="shared" si="243"/>
        <v>0.13342627521732009</v>
      </c>
      <c r="CS64" s="181">
        <f t="shared" ref="CS64:DB65" si="244">CS12/CN12-1</f>
        <v>0.28196612421122547</v>
      </c>
      <c r="CT64" s="181">
        <f t="shared" si="244"/>
        <v>0.29600748596381776</v>
      </c>
      <c r="CU64" s="181">
        <f t="shared" si="244"/>
        <v>0.3013540766349756</v>
      </c>
      <c r="CV64" s="181">
        <f t="shared" si="244"/>
        <v>0.40648439390273405</v>
      </c>
      <c r="CW64" s="991">
        <f t="shared" si="244"/>
        <v>0.32732797916214462</v>
      </c>
      <c r="CX64" s="181">
        <f t="shared" si="244"/>
        <v>0.33834196891191715</v>
      </c>
      <c r="CY64" s="181">
        <f t="shared" si="244"/>
        <v>0.27123947051744879</v>
      </c>
      <c r="CZ64" s="181">
        <f t="shared" si="244"/>
        <v>0.24994465353110473</v>
      </c>
      <c r="DA64" s="181">
        <f t="shared" si="244"/>
        <v>0.3447445381042491</v>
      </c>
      <c r="DB64" s="991">
        <f t="shared" si="244"/>
        <v>0.30340692286726623</v>
      </c>
      <c r="DC64" s="181">
        <f t="shared" ref="DC64:DG65" si="245">DC12/CX12-1</f>
        <v>0.38966318234610919</v>
      </c>
      <c r="DD64" s="181">
        <f t="shared" si="245"/>
        <v>0.41291177584248384</v>
      </c>
      <c r="DE64" s="181">
        <f t="shared" si="245"/>
        <v>0.36362026213248311</v>
      </c>
      <c r="DF64" s="181">
        <f t="shared" si="245"/>
        <v>0.34092362799027764</v>
      </c>
      <c r="DG64" s="991">
        <f t="shared" si="245"/>
        <v>0.3727154865961273</v>
      </c>
      <c r="DH64" s="181">
        <f t="shared" ref="DH64:DQ65" si="246">DH12/DC12-1</f>
        <v>0.27482936342108921</v>
      </c>
      <c r="DI64" s="181">
        <f t="shared" si="246"/>
        <v>0.34771539595336987</v>
      </c>
      <c r="DJ64" s="181">
        <f t="shared" si="246"/>
        <v>0.3090011689829848</v>
      </c>
      <c r="DK64" s="181">
        <f t="shared" si="246"/>
        <v>0.19433314253005141</v>
      </c>
      <c r="DL64" s="991">
        <f t="shared" si="246"/>
        <v>0.27371050787557505</v>
      </c>
      <c r="DM64" s="181">
        <f t="shared" si="246"/>
        <v>0.25983391608391604</v>
      </c>
      <c r="DN64" s="181">
        <f t="shared" si="246"/>
        <v>0.17906144362696352</v>
      </c>
      <c r="DO64" s="181">
        <f t="shared" si="246"/>
        <v>0.28507640404842238</v>
      </c>
      <c r="DP64" s="181">
        <f t="shared" si="246"/>
        <v>0.2472242191868359</v>
      </c>
      <c r="DQ64" s="991">
        <f t="shared" si="246"/>
        <v>0.24271055086468762</v>
      </c>
      <c r="DR64" s="181">
        <f t="shared" ref="DR64:DV65" si="247">DR12/DM12-1</f>
        <v>0.24813529921942767</v>
      </c>
      <c r="DS64" s="181">
        <f t="shared" si="247"/>
        <v>0.28999072434437978</v>
      </c>
      <c r="DT64" s="181">
        <f t="shared" si="247"/>
        <v>0.24492317195583357</v>
      </c>
      <c r="DU64" s="181">
        <f t="shared" si="247"/>
        <v>0.25278596131676689</v>
      </c>
      <c r="DV64" s="991">
        <f t="shared" si="247"/>
        <v>0.25828617623282124</v>
      </c>
      <c r="DW64" s="181">
        <f t="shared" ref="DW64:ED65" si="248">DW12/DR12-1</f>
        <v>0.22361197970954061</v>
      </c>
      <c r="DX64" s="181">
        <f t="shared" si="248"/>
        <v>0.16943391292979482</v>
      </c>
      <c r="DY64" s="181">
        <f t="shared" si="248"/>
        <v>0.19903243813186133</v>
      </c>
      <c r="DZ64" s="181">
        <f t="shared" si="248"/>
        <v>0.14600480548029249</v>
      </c>
      <c r="EA64" s="991">
        <f t="shared" si="248"/>
        <v>0.18164991663224872</v>
      </c>
      <c r="EB64" s="181">
        <f t="shared" si="248"/>
        <v>7.2803679936396248E-2</v>
      </c>
      <c r="EC64" s="181">
        <f t="shared" si="248"/>
        <v>8.3230855226383404E-2</v>
      </c>
      <c r="ED64" s="181">
        <f t="shared" si="248"/>
        <v>6.491827022553287E-2</v>
      </c>
      <c r="EE64" s="181">
        <f t="shared" ref="EE64:EN65" si="249">EE12/DZ12-1</f>
        <v>5.2281750457242371E-2</v>
      </c>
      <c r="EF64" s="991">
        <f t="shared" si="249"/>
        <v>6.7289768019884066E-2</v>
      </c>
      <c r="EG64" s="181">
        <f t="shared" si="249"/>
        <v>9.9253612831507132E-2</v>
      </c>
      <c r="EH64" s="181">
        <f t="shared" si="249"/>
        <v>0.14144176686103505</v>
      </c>
      <c r="EI64" s="181">
        <f t="shared" si="249"/>
        <v>0.10530917569339882</v>
      </c>
      <c r="EJ64" s="181">
        <f t="shared" si="249"/>
        <v>9.2246386027385663E-2</v>
      </c>
      <c r="EK64" s="991">
        <f t="shared" si="249"/>
        <v>0.10867719476991011</v>
      </c>
      <c r="EL64" s="181">
        <f t="shared" si="249"/>
        <v>8.8943465279784251E-2</v>
      </c>
      <c r="EM64" s="181">
        <f t="shared" si="249"/>
        <v>0.10009041591320078</v>
      </c>
      <c r="EN64" s="181">
        <f t="shared" si="249"/>
        <v>0.16427158866183267</v>
      </c>
      <c r="EO64" s="181">
        <f t="shared" ref="EO64:EP65" si="250">EO12/EJ12-1</f>
        <v>0.18099001590789765</v>
      </c>
      <c r="EP64" s="991">
        <f t="shared" si="250"/>
        <v>0.13633905607801444</v>
      </c>
      <c r="EQ64" s="181">
        <f t="shared" ref="EQ64:EQ65" si="251">EQ12/EL12-1</f>
        <v>0.20567456722259791</v>
      </c>
      <c r="ER64" s="181">
        <f t="shared" ref="ER64:ER65" si="252">ER12/EM12-1</f>
        <v>0.22022000407424125</v>
      </c>
      <c r="ES64" s="181">
        <f t="shared" ref="ES64:ES65" si="253">ES12/EN12-1</f>
        <v>0.24071783371333666</v>
      </c>
      <c r="ET64" s="181">
        <f t="shared" ref="ET64:EU65" si="254">ET12/EO12-1</f>
        <v>0.23200474208381849</v>
      </c>
      <c r="EU64" s="991">
        <f t="shared" si="254"/>
        <v>0.22573392894119793</v>
      </c>
      <c r="EV64" s="991">
        <f t="shared" ref="EV64:EY65" si="255">EV12/EU12-1</f>
        <v>0.20456833926757878</v>
      </c>
      <c r="EW64" s="991">
        <f t="shared" si="255"/>
        <v>0.15019197660692729</v>
      </c>
      <c r="EX64" s="991">
        <f t="shared" si="255"/>
        <v>0.11845642869272721</v>
      </c>
      <c r="EY64" s="991">
        <f t="shared" si="255"/>
        <v>0.10148404937100142</v>
      </c>
      <c r="EZ64" s="169"/>
      <c r="FA64" s="725"/>
      <c r="FB64" s="1319"/>
      <c r="FC64" s="1319"/>
      <c r="FD64" s="1319"/>
      <c r="FE64" s="1319"/>
      <c r="FF64" s="1319"/>
      <c r="FG64" s="1319"/>
      <c r="FH64" s="1319"/>
      <c r="FI64" s="1319"/>
      <c r="FJ64" s="1319"/>
      <c r="FK64" s="1319"/>
      <c r="FL64" s="1319"/>
      <c r="FM64" s="4184"/>
      <c r="FN64" s="4184"/>
    </row>
    <row r="65" spans="1:170" ht="11.25" customHeight="1">
      <c r="A65" s="3757" t="s">
        <v>49</v>
      </c>
      <c r="B65" s="3412"/>
      <c r="C65" s="3412"/>
      <c r="D65" s="3412"/>
      <c r="E65" s="3412"/>
      <c r="F65" s="3413"/>
      <c r="G65" s="3412"/>
      <c r="H65" s="3412"/>
      <c r="I65" s="3412"/>
      <c r="J65" s="3412"/>
      <c r="K65" s="3413"/>
      <c r="L65" s="3412"/>
      <c r="M65" s="3412"/>
      <c r="N65" s="3412"/>
      <c r="O65" s="3412"/>
      <c r="P65" s="3413"/>
      <c r="Q65" s="3412"/>
      <c r="R65" s="3412"/>
      <c r="S65" s="3412"/>
      <c r="T65" s="3412"/>
      <c r="U65" s="3413"/>
      <c r="V65" s="3412">
        <f t="shared" ref="V65:BN65" si="256">V13/Q13-1</f>
        <v>3.4113081736944233</v>
      </c>
      <c r="W65" s="3412">
        <f t="shared" si="256"/>
        <v>2.3345607212911657</v>
      </c>
      <c r="X65" s="3412">
        <f t="shared" si="256"/>
        <v>1.4521691438600342</v>
      </c>
      <c r="Y65" s="3412">
        <f t="shared" si="256"/>
        <v>1.1397209348029018</v>
      </c>
      <c r="Z65" s="3413">
        <f t="shared" si="256"/>
        <v>1.7275501788972649</v>
      </c>
      <c r="AA65" s="3412">
        <f t="shared" si="256"/>
        <v>1.0828816215780899</v>
      </c>
      <c r="AB65" s="3412">
        <f t="shared" si="256"/>
        <v>0.9289930752639346</v>
      </c>
      <c r="AC65" s="3412">
        <f t="shared" si="256"/>
        <v>0.98516676209561949</v>
      </c>
      <c r="AD65" s="3412">
        <f t="shared" si="256"/>
        <v>1.2108936997478064</v>
      </c>
      <c r="AE65" s="3413">
        <f t="shared" si="256"/>
        <v>1.0611965527092657</v>
      </c>
      <c r="AF65" s="3412">
        <f t="shared" si="256"/>
        <v>1.1155714179492899</v>
      </c>
      <c r="AG65" s="3412">
        <f t="shared" si="256"/>
        <v>1.1062768333623119</v>
      </c>
      <c r="AH65" s="3412">
        <f t="shared" si="256"/>
        <v>1.083494821851875</v>
      </c>
      <c r="AI65" s="3412">
        <f t="shared" si="256"/>
        <v>0.97969265494476576</v>
      </c>
      <c r="AJ65" s="3413">
        <f t="shared" si="256"/>
        <v>1.0600091246672094</v>
      </c>
      <c r="AK65" s="3412">
        <f t="shared" si="256"/>
        <v>0.9006098623943497</v>
      </c>
      <c r="AL65" s="3412">
        <f t="shared" si="256"/>
        <v>0.86599060198120426</v>
      </c>
      <c r="AM65" s="3412">
        <f t="shared" si="256"/>
        <v>0.77702864929755666</v>
      </c>
      <c r="AN65" s="3412">
        <f t="shared" si="256"/>
        <v>0.69030665062533236</v>
      </c>
      <c r="AO65" s="3413">
        <f t="shared" si="256"/>
        <v>0.79350387575167169</v>
      </c>
      <c r="AP65" s="3412">
        <f t="shared" si="256"/>
        <v>0.62578823139551965</v>
      </c>
      <c r="AQ65" s="3412">
        <f t="shared" si="256"/>
        <v>0.57858775823004605</v>
      </c>
      <c r="AR65" s="3412">
        <f t="shared" si="256"/>
        <v>0.56582824841427248</v>
      </c>
      <c r="AS65" s="3412">
        <f t="shared" si="256"/>
        <v>0.48824399034979904</v>
      </c>
      <c r="AT65" s="3413">
        <f t="shared" si="256"/>
        <v>0.55798467468165014</v>
      </c>
      <c r="AU65" s="3412">
        <f t="shared" si="256"/>
        <v>0.40343386107135126</v>
      </c>
      <c r="AV65" s="3412">
        <f t="shared" si="256"/>
        <v>0.39217699144041829</v>
      </c>
      <c r="AW65" s="3412">
        <f t="shared" si="256"/>
        <v>0.31324862416593868</v>
      </c>
      <c r="AX65" s="3412">
        <f t="shared" si="256"/>
        <v>0.2244923636886893</v>
      </c>
      <c r="AY65" s="3413">
        <f t="shared" si="256"/>
        <v>0.32588255418879952</v>
      </c>
      <c r="AZ65" s="3412">
        <f t="shared" si="256"/>
        <v>0.10872139672021675</v>
      </c>
      <c r="BA65" s="3412">
        <f t="shared" si="256"/>
        <v>6.1789408485598996E-2</v>
      </c>
      <c r="BB65" s="3412">
        <f t="shared" si="256"/>
        <v>0.10499566405128569</v>
      </c>
      <c r="BC65" s="3412">
        <f t="shared" si="256"/>
        <v>0.21245484669591064</v>
      </c>
      <c r="BD65" s="3413">
        <f t="shared" si="256"/>
        <v>0.12395524215983733</v>
      </c>
      <c r="BE65" s="3414">
        <f t="shared" si="256"/>
        <v>0.26578096112219129</v>
      </c>
      <c r="BF65" s="3412">
        <f t="shared" si="256"/>
        <v>0.27197815499291544</v>
      </c>
      <c r="BG65" s="3412">
        <f t="shared" si="256"/>
        <v>0.27012799311741698</v>
      </c>
      <c r="BH65" s="3412">
        <f t="shared" si="256"/>
        <v>0.29674145424204634</v>
      </c>
      <c r="BI65" s="3413">
        <f t="shared" si="256"/>
        <v>0.27720747818409697</v>
      </c>
      <c r="BJ65" s="3412">
        <f t="shared" si="256"/>
        <v>0.313929313929314</v>
      </c>
      <c r="BK65" s="3412">
        <f t="shared" si="256"/>
        <v>0.3540472368722769</v>
      </c>
      <c r="BL65" s="3412">
        <f t="shared" si="256"/>
        <v>0.3525938422606496</v>
      </c>
      <c r="BM65" s="3412">
        <f t="shared" si="256"/>
        <v>0.25636396461455147</v>
      </c>
      <c r="BN65" s="3413">
        <f t="shared" si="256"/>
        <v>0.31600864477360191</v>
      </c>
      <c r="BO65" s="3412">
        <v>0.21835443037974689</v>
      </c>
      <c r="BP65" s="3412">
        <v>0.23556308213378485</v>
      </c>
      <c r="BQ65" s="3412">
        <v>0.2068911755534768</v>
      </c>
      <c r="BR65" s="3415">
        <v>0.20376490875125741</v>
      </c>
      <c r="BS65" s="3416">
        <v>0.21541296162781376</v>
      </c>
      <c r="BT65" s="3412">
        <f>BT13/BJ13-1</f>
        <v>0.21835443037974689</v>
      </c>
      <c r="BU65" s="3412">
        <f>BU13/BK13-1</f>
        <v>0.19593564775613892</v>
      </c>
      <c r="BV65" s="3412">
        <f>BV13/BL13-1</f>
        <v>0.12082943560960402</v>
      </c>
      <c r="BW65" s="3412">
        <f>BW13/BM13-1</f>
        <v>0.1557695071130909</v>
      </c>
      <c r="BX65" s="3413">
        <f>BX13/BN13-1</f>
        <v>0.15609228550829135</v>
      </c>
      <c r="BY65" s="3412">
        <v>0.15800865800865793</v>
      </c>
      <c r="BZ65" s="3412">
        <v>0.11800986842105265</v>
      </c>
      <c r="CA65" s="3412">
        <v>0.11316367394393478</v>
      </c>
      <c r="CB65" s="3412">
        <v>0.14468186701683172</v>
      </c>
      <c r="CC65" s="3413">
        <v>0.13327181650408648</v>
      </c>
      <c r="CD65" s="3412">
        <f>CD13/BT13-1</f>
        <v>0.12770562770562766</v>
      </c>
      <c r="CE65" s="3412">
        <f>CE13/BU13-1</f>
        <v>0.12036250354007372</v>
      </c>
      <c r="CF65" s="3412">
        <f>CF13/BV13-1</f>
        <v>0.1608012240923633</v>
      </c>
      <c r="CG65" s="3412">
        <f>CG13/BW13-1</f>
        <v>0.17543205271664797</v>
      </c>
      <c r="CH65" s="3413">
        <f>CH13/BX13-1</f>
        <v>0.1615563177770849</v>
      </c>
      <c r="CI65" s="3412">
        <f t="shared" si="243"/>
        <v>0.2103646833013435</v>
      </c>
      <c r="CJ65" s="3412">
        <f t="shared" si="243"/>
        <v>0.24380687563195136</v>
      </c>
      <c r="CK65" s="3412">
        <f t="shared" si="243"/>
        <v>0.17771120431396037</v>
      </c>
      <c r="CL65" s="3412">
        <f t="shared" si="243"/>
        <v>0.18277977575629367</v>
      </c>
      <c r="CM65" s="3413">
        <f t="shared" si="243"/>
        <v>0.20235041460359127</v>
      </c>
      <c r="CN65" s="3412">
        <f t="shared" si="243"/>
        <v>0.15255312400888044</v>
      </c>
      <c r="CO65" s="3412">
        <f t="shared" si="243"/>
        <v>0.13240524336957615</v>
      </c>
      <c r="CP65" s="3412">
        <f t="shared" si="243"/>
        <v>0.18416768416768425</v>
      </c>
      <c r="CQ65" s="3412">
        <f t="shared" si="243"/>
        <v>0.17519227329636911</v>
      </c>
      <c r="CR65" s="3413">
        <f t="shared" si="243"/>
        <v>0.16162242619697342</v>
      </c>
      <c r="CS65" s="3412">
        <f t="shared" si="244"/>
        <v>0.15657677490368749</v>
      </c>
      <c r="CT65" s="3412">
        <f t="shared" si="244"/>
        <v>0.19974874371859297</v>
      </c>
      <c r="CU65" s="3412">
        <f t="shared" si="244"/>
        <v>0.18164633098470517</v>
      </c>
      <c r="CV65" s="3412">
        <f t="shared" si="244"/>
        <v>0.1721330187961343</v>
      </c>
      <c r="CW65" s="3413">
        <f t="shared" si="244"/>
        <v>0.17744794447410572</v>
      </c>
      <c r="CX65" s="3412">
        <f t="shared" si="244"/>
        <v>0.1860575779205329</v>
      </c>
      <c r="CY65" s="3412">
        <f t="shared" si="244"/>
        <v>0.16955871353777119</v>
      </c>
      <c r="CZ65" s="3412">
        <f t="shared" si="244"/>
        <v>0.20884235020360675</v>
      </c>
      <c r="DA65" s="3412">
        <f t="shared" si="244"/>
        <v>0.17223917418684676</v>
      </c>
      <c r="DB65" s="3413">
        <f t="shared" si="244"/>
        <v>0.18387927594587739</v>
      </c>
      <c r="DC65" s="3412">
        <f t="shared" si="245"/>
        <v>0.18214643931795393</v>
      </c>
      <c r="DD65" s="3412">
        <f t="shared" si="245"/>
        <v>0.20061392850290982</v>
      </c>
      <c r="DE65" s="3412">
        <f t="shared" si="245"/>
        <v>0.17053657362848895</v>
      </c>
      <c r="DF65" s="3412">
        <f t="shared" si="245"/>
        <v>0.18287549844926887</v>
      </c>
      <c r="DG65" s="3413">
        <f t="shared" si="245"/>
        <v>0.18381541855619554</v>
      </c>
      <c r="DH65" s="3412">
        <f t="shared" si="246"/>
        <v>0.14978222750155545</v>
      </c>
      <c r="DI65" s="3412">
        <f t="shared" si="246"/>
        <v>0.15308405241291156</v>
      </c>
      <c r="DJ65" s="3412">
        <f t="shared" si="246"/>
        <v>0.17842643506860578</v>
      </c>
      <c r="DK65" s="3412">
        <f t="shared" si="246"/>
        <v>0.1730967319037362</v>
      </c>
      <c r="DL65" s="3413">
        <f t="shared" si="246"/>
        <v>0.1642422673741426</v>
      </c>
      <c r="DM65" s="3412">
        <f t="shared" si="246"/>
        <v>9.1011954543218421E-2</v>
      </c>
      <c r="DN65" s="3412">
        <f t="shared" si="246"/>
        <v>-8.7952697708795324E-2</v>
      </c>
      <c r="DO65" s="3412">
        <f t="shared" si="246"/>
        <v>9.2669312284680228E-2</v>
      </c>
      <c r="DP65" s="3412">
        <f t="shared" si="246"/>
        <v>0.23001396926761131</v>
      </c>
      <c r="DQ65" s="3413">
        <f t="shared" si="246"/>
        <v>8.7082180055801928E-2</v>
      </c>
      <c r="DR65" s="3412">
        <f t="shared" si="247"/>
        <v>0.40735897551517342</v>
      </c>
      <c r="DS65" s="3412">
        <f t="shared" si="247"/>
        <v>0.80576377633711505</v>
      </c>
      <c r="DT65" s="3412">
        <f t="shared" si="247"/>
        <v>0.49652777777777768</v>
      </c>
      <c r="DU65" s="3412">
        <f t="shared" si="247"/>
        <v>0.37377506651956649</v>
      </c>
      <c r="DV65" s="3413">
        <f t="shared" si="247"/>
        <v>0.50005624009407423</v>
      </c>
      <c r="DW65" s="3412">
        <f t="shared" si="248"/>
        <v>0.23071993848322703</v>
      </c>
      <c r="DX65" s="3412">
        <f t="shared" si="248"/>
        <v>0.1101730569657533</v>
      </c>
      <c r="DY65" s="3412">
        <f t="shared" si="248"/>
        <v>1.1654265674587272E-2</v>
      </c>
      <c r="DZ65" s="3412">
        <f t="shared" si="248"/>
        <v>-3.852422231145336E-2</v>
      </c>
      <c r="EA65" s="3413">
        <f t="shared" si="248"/>
        <v>6.7724168018650666E-2</v>
      </c>
      <c r="EB65" s="3412">
        <f t="shared" si="248"/>
        <v>1.9863584296573977E-2</v>
      </c>
      <c r="EC65" s="3412">
        <f t="shared" si="248"/>
        <v>7.8497258785781066E-2</v>
      </c>
      <c r="ED65" s="3412">
        <f t="shared" si="248"/>
        <v>0.14577951178362425</v>
      </c>
      <c r="EE65" s="3412">
        <f t="shared" si="249"/>
        <v>0.19724364958482776</v>
      </c>
      <c r="EF65" s="3413">
        <f t="shared" si="249"/>
        <v>0.11127284799499471</v>
      </c>
      <c r="EG65" s="3412">
        <f t="shared" si="249"/>
        <v>0.19532865347798345</v>
      </c>
      <c r="EH65" s="3412">
        <f t="shared" si="249"/>
        <v>0.15336862818590702</v>
      </c>
      <c r="EI65" s="3412">
        <f t="shared" si="249"/>
        <v>0.19165286213878141</v>
      </c>
      <c r="EJ65" s="3412">
        <f t="shared" si="249"/>
        <v>0.14611675387298662</v>
      </c>
      <c r="EK65" s="3413">
        <f t="shared" si="249"/>
        <v>0.17034160241752949</v>
      </c>
      <c r="EL65" s="3412">
        <f t="shared" si="249"/>
        <v>0.15046874666324994</v>
      </c>
      <c r="EM65" s="3412">
        <f t="shared" si="249"/>
        <v>0.16561389255610837</v>
      </c>
      <c r="EN65" s="3412">
        <f t="shared" si="249"/>
        <v>0.17729852878711827</v>
      </c>
      <c r="EO65" s="3412">
        <f t="shared" si="250"/>
        <v>0.17372939948269117</v>
      </c>
      <c r="EP65" s="3413">
        <f t="shared" si="250"/>
        <v>0.16732852918583685</v>
      </c>
      <c r="EQ65" s="3412">
        <f t="shared" si="251"/>
        <v>0.18084775255528296</v>
      </c>
      <c r="ER65" s="3412">
        <f t="shared" si="252"/>
        <v>0.16793277527425765</v>
      </c>
      <c r="ES65" s="3412">
        <f t="shared" si="253"/>
        <v>0.14550514674722881</v>
      </c>
      <c r="ET65" s="3412">
        <f t="shared" si="254"/>
        <v>0.1505071361494339</v>
      </c>
      <c r="EU65" s="3413">
        <f t="shared" si="254"/>
        <v>0.16030354149793236</v>
      </c>
      <c r="EV65" s="3413">
        <f t="shared" si="255"/>
        <v>0.11329577283683889</v>
      </c>
      <c r="EW65" s="3413">
        <f t="shared" si="255"/>
        <v>0.11468909347680767</v>
      </c>
      <c r="EX65" s="3413">
        <f t="shared" si="255"/>
        <v>0.1085463061631089</v>
      </c>
      <c r="EY65" s="3413">
        <f t="shared" si="255"/>
        <v>0.10639310484600784</v>
      </c>
      <c r="EZ65" s="169"/>
      <c r="FA65" s="725"/>
      <c r="FB65" s="1319"/>
      <c r="FC65" s="1319"/>
      <c r="FD65" s="1319"/>
      <c r="FE65" s="1319"/>
      <c r="FF65" s="1319"/>
      <c r="FG65" s="1319"/>
      <c r="FH65" s="1319"/>
      <c r="FI65" s="1319"/>
      <c r="FJ65" s="1319"/>
      <c r="FK65" s="1319"/>
      <c r="FL65" s="1319"/>
      <c r="FM65" s="4184"/>
      <c r="FN65" s="4184"/>
    </row>
    <row r="66" spans="1:170" ht="11.25" customHeight="1">
      <c r="A66" s="6187" t="s">
        <v>187</v>
      </c>
      <c r="B66" s="181"/>
      <c r="C66" s="181"/>
      <c r="D66" s="181"/>
      <c r="E66" s="181"/>
      <c r="F66" s="991"/>
      <c r="G66" s="181"/>
      <c r="H66" s="181"/>
      <c r="I66" s="181"/>
      <c r="J66" s="181"/>
      <c r="K66" s="991"/>
      <c r="L66" s="181"/>
      <c r="M66" s="181"/>
      <c r="N66" s="181"/>
      <c r="O66" s="181"/>
      <c r="P66" s="991"/>
      <c r="Q66" s="181"/>
      <c r="R66" s="181"/>
      <c r="S66" s="181"/>
      <c r="T66" s="181"/>
      <c r="U66" s="991"/>
      <c r="V66" s="181"/>
      <c r="W66" s="181"/>
      <c r="X66" s="181"/>
      <c r="Y66" s="181"/>
      <c r="Z66" s="991"/>
      <c r="AA66" s="181"/>
      <c r="AB66" s="181"/>
      <c r="AC66" s="181"/>
      <c r="AD66" s="181"/>
      <c r="AE66" s="991"/>
      <c r="AF66" s="181"/>
      <c r="AG66" s="181"/>
      <c r="AH66" s="181"/>
      <c r="AI66" s="181"/>
      <c r="AJ66" s="991"/>
      <c r="AK66" s="181"/>
      <c r="AL66" s="181"/>
      <c r="AM66" s="181"/>
      <c r="AN66" s="181"/>
      <c r="AO66" s="991"/>
      <c r="AP66" s="181"/>
      <c r="AQ66" s="181"/>
      <c r="AR66" s="181"/>
      <c r="AS66" s="181"/>
      <c r="AT66" s="991"/>
      <c r="AU66" s="181"/>
      <c r="AV66" s="181"/>
      <c r="AW66" s="181"/>
      <c r="AX66" s="181"/>
      <c r="AY66" s="991"/>
      <c r="AZ66" s="181"/>
      <c r="BA66" s="181"/>
      <c r="BB66" s="181"/>
      <c r="BC66" s="181"/>
      <c r="BD66" s="991"/>
      <c r="BE66" s="1692"/>
      <c r="BF66" s="181"/>
      <c r="BG66" s="181"/>
      <c r="BH66" s="181"/>
      <c r="BI66" s="991"/>
      <c r="BJ66" s="181"/>
      <c r="BK66" s="181"/>
      <c r="BL66" s="181"/>
      <c r="BM66" s="181"/>
      <c r="BN66" s="991"/>
      <c r="BO66" s="181">
        <v>0.15470171890798778</v>
      </c>
      <c r="BP66" s="181">
        <v>0.2978723404255319</v>
      </c>
      <c r="BQ66" s="181">
        <v>0.39707227813357737</v>
      </c>
      <c r="BR66" s="190">
        <v>0.44089147286821695</v>
      </c>
      <c r="BS66" s="1752">
        <v>0.32577420141428926</v>
      </c>
      <c r="BT66" s="181"/>
      <c r="BU66" s="181"/>
      <c r="BV66" s="181"/>
      <c r="BW66" s="181"/>
      <c r="BX66" s="991"/>
      <c r="BY66" s="181">
        <v>0.29246935201401048</v>
      </c>
      <c r="BZ66" s="181">
        <v>0.22248243559718972</v>
      </c>
      <c r="CA66" s="181">
        <v>2.4230517354289383E-2</v>
      </c>
      <c r="CB66" s="181">
        <v>0.10423671822461333</v>
      </c>
      <c r="CC66" s="991">
        <v>0.14916314143829323</v>
      </c>
      <c r="CD66" s="181"/>
      <c r="CE66" s="181"/>
      <c r="CF66" s="181"/>
      <c r="CG66" s="181"/>
      <c r="CH66" s="991"/>
      <c r="CI66" s="181">
        <f t="shared" ref="CI66:DG66" si="257">CI17/CD17-1</f>
        <v>0.31478045763760054</v>
      </c>
      <c r="CJ66" s="181">
        <f t="shared" si="257"/>
        <v>0.26727066817667033</v>
      </c>
      <c r="CK66" s="181">
        <f t="shared" si="257"/>
        <v>0.457990115321252</v>
      </c>
      <c r="CL66" s="181">
        <f t="shared" si="257"/>
        <v>0.45525090532850498</v>
      </c>
      <c r="CM66" s="991">
        <f t="shared" si="257"/>
        <v>0.37760963990472196</v>
      </c>
      <c r="CN66" s="181">
        <f t="shared" si="257"/>
        <v>0.29492003762935082</v>
      </c>
      <c r="CO66" s="181">
        <f t="shared" si="257"/>
        <v>0.24620196604110811</v>
      </c>
      <c r="CP66" s="181">
        <f t="shared" si="257"/>
        <v>0.21657250470809797</v>
      </c>
      <c r="CQ66" s="181">
        <f t="shared" si="257"/>
        <v>0.24777817276928538</v>
      </c>
      <c r="CR66" s="991">
        <f t="shared" si="257"/>
        <v>0.24918633034987803</v>
      </c>
      <c r="CS66" s="181">
        <f t="shared" si="257"/>
        <v>0.22302942244823831</v>
      </c>
      <c r="CT66" s="181">
        <f t="shared" si="257"/>
        <v>0.20580853352456074</v>
      </c>
      <c r="CU66" s="181">
        <f t="shared" si="257"/>
        <v>0.11331269349845208</v>
      </c>
      <c r="CV66" s="181">
        <f t="shared" si="257"/>
        <v>3.1908831908831869E-2</v>
      </c>
      <c r="CW66" s="991">
        <f t="shared" si="257"/>
        <v>0.13564566031590952</v>
      </c>
      <c r="CX66" s="181">
        <f t="shared" si="257"/>
        <v>0.17077517077517079</v>
      </c>
      <c r="CY66" s="181">
        <f t="shared" si="257"/>
        <v>0.24055902468034485</v>
      </c>
      <c r="CZ66" s="181">
        <f t="shared" si="257"/>
        <v>0.16935483870967749</v>
      </c>
      <c r="DA66" s="181">
        <f t="shared" si="257"/>
        <v>0.18884594146880174</v>
      </c>
      <c r="DB66" s="991">
        <f t="shared" si="257"/>
        <v>0.19192715801548599</v>
      </c>
      <c r="DC66" s="181">
        <f t="shared" si="257"/>
        <v>0.27828513444951808</v>
      </c>
      <c r="DD66" s="181">
        <f t="shared" si="257"/>
        <v>0.22579098753595406</v>
      </c>
      <c r="DE66" s="181">
        <f t="shared" si="257"/>
        <v>0.24423305588585009</v>
      </c>
      <c r="DF66" s="181">
        <f>DF17/DA17-1</f>
        <v>0.4013005109150023</v>
      </c>
      <c r="DG66" s="991">
        <f t="shared" si="257"/>
        <v>0.28836090225563904</v>
      </c>
      <c r="DH66" s="181">
        <f t="shared" ref="DH66:DQ66" si="258">DH17/DC17-1</f>
        <v>0.19646755308592967</v>
      </c>
      <c r="DI66" s="181">
        <f t="shared" si="258"/>
        <v>0.21490027375831056</v>
      </c>
      <c r="DJ66" s="181">
        <f t="shared" si="258"/>
        <v>0.25267584097859319</v>
      </c>
      <c r="DK66" s="181">
        <f t="shared" si="258"/>
        <v>0.19688432217434548</v>
      </c>
      <c r="DL66" s="991">
        <f t="shared" si="258"/>
        <v>0.21471590643820915</v>
      </c>
      <c r="DM66" s="181">
        <f t="shared" si="258"/>
        <v>0.1311992038480676</v>
      </c>
      <c r="DN66" s="181">
        <f t="shared" si="258"/>
        <v>0.10655078062127799</v>
      </c>
      <c r="DO66" s="181">
        <f t="shared" si="258"/>
        <v>4.607873054623135E-2</v>
      </c>
      <c r="DP66" s="181">
        <f t="shared" si="258"/>
        <v>-2.7693159789532018E-2</v>
      </c>
      <c r="DQ66" s="991">
        <f t="shared" si="258"/>
        <v>5.9766315627642452E-2</v>
      </c>
      <c r="DR66" s="181">
        <f t="shared" ref="DR66:ED66" si="259">DR17/DM17-1</f>
        <v>9.7507331378299034E-2</v>
      </c>
      <c r="DS66" s="181">
        <f t="shared" si="259"/>
        <v>0.11636363636363645</v>
      </c>
      <c r="DT66" s="181">
        <f t="shared" si="259"/>
        <v>0.12222870478413062</v>
      </c>
      <c r="DU66" s="181">
        <f t="shared" si="259"/>
        <v>0.24010253489034472</v>
      </c>
      <c r="DV66" s="991">
        <f t="shared" si="259"/>
        <v>0.14467051100714468</v>
      </c>
      <c r="DW66" s="181">
        <f t="shared" si="259"/>
        <v>0.21830327321309295</v>
      </c>
      <c r="DX66" s="181">
        <f t="shared" si="259"/>
        <v>0.28221498371335496</v>
      </c>
      <c r="DY66" s="181">
        <f t="shared" si="259"/>
        <v>0.33519625682349874</v>
      </c>
      <c r="DZ66" s="181">
        <f t="shared" si="259"/>
        <v>0.17903077629765729</v>
      </c>
      <c r="EA66" s="991">
        <f t="shared" si="259"/>
        <v>0.25150497433622721</v>
      </c>
      <c r="EB66" s="181">
        <f t="shared" si="259"/>
        <v>0.25759403443360007</v>
      </c>
      <c r="EC66" s="181">
        <f t="shared" si="259"/>
        <v>7.590692002845234E-2</v>
      </c>
      <c r="ED66" s="181">
        <f t="shared" si="259"/>
        <v>9.5882410201499013E-2</v>
      </c>
      <c r="EE66" s="181">
        <f t="shared" ref="EE66:EN66" si="260">EE17/DZ17-1</f>
        <v>0.17979935716372841</v>
      </c>
      <c r="EF66" s="991">
        <f t="shared" si="260"/>
        <v>0.15005063291139242</v>
      </c>
      <c r="EG66" s="181">
        <f t="shared" si="260"/>
        <v>3.7931635856295776E-2</v>
      </c>
      <c r="EH66" s="181">
        <f t="shared" si="260"/>
        <v>0.12013600302228933</v>
      </c>
      <c r="EI66" s="181">
        <f t="shared" si="260"/>
        <v>0.10561378575235381</v>
      </c>
      <c r="EJ66" s="181">
        <f t="shared" si="260"/>
        <v>8.2803599438619591E-2</v>
      </c>
      <c r="EK66" s="991">
        <f t="shared" si="260"/>
        <v>8.583001298787063E-2</v>
      </c>
      <c r="EL66" s="181">
        <f t="shared" si="260"/>
        <v>0.13887255313786451</v>
      </c>
      <c r="EM66" s="181">
        <f t="shared" si="260"/>
        <v>0.16424957841483989</v>
      </c>
      <c r="EN66" s="181">
        <f t="shared" si="260"/>
        <v>0.21724110227364024</v>
      </c>
      <c r="EO66" s="181">
        <f t="shared" ref="EO66:EP66" si="261">EO17/EJ17-1</f>
        <v>0.20021638334622138</v>
      </c>
      <c r="EP66" s="991">
        <f t="shared" si="261"/>
        <v>0.18106147029901143</v>
      </c>
      <c r="EQ66" s="181">
        <f t="shared" ref="EQ66" si="262">EQ17/EL17-1</f>
        <v>0.20002004007087271</v>
      </c>
      <c r="ER66" s="181">
        <f t="shared" ref="ER66" si="263">ER17/EM17-1</f>
        <v>0.19778425716324177</v>
      </c>
      <c r="ES66" s="181">
        <f t="shared" ref="ES66" si="264">ES17/EN17-1</f>
        <v>0.18645408605440617</v>
      </c>
      <c r="ET66" s="181">
        <f t="shared" ref="ET66:EU66" si="265">ET17/EO17-1</f>
        <v>0.18351469355521077</v>
      </c>
      <c r="EU66" s="991">
        <f t="shared" si="265"/>
        <v>0.19150197479581599</v>
      </c>
      <c r="EV66" s="991">
        <f>EV17/EU17-1</f>
        <v>0.12126842875217658</v>
      </c>
      <c r="EW66" s="991">
        <f>EW17/EV17-1</f>
        <v>9.3182809370997211E-2</v>
      </c>
      <c r="EX66" s="991">
        <f>EX17/EW17-1</f>
        <v>8.4795851534808842E-2</v>
      </c>
      <c r="EY66" s="991">
        <f>EY17/EX17-1</f>
        <v>7.7096352676716773E-2</v>
      </c>
      <c r="EZ66" s="169"/>
      <c r="FA66" s="725"/>
      <c r="FB66" s="1319"/>
      <c r="FC66" s="1319"/>
      <c r="FD66" s="1319"/>
      <c r="FE66" s="1319"/>
      <c r="FF66" s="1319"/>
      <c r="FG66" s="1319"/>
      <c r="FH66" s="1319"/>
      <c r="FI66" s="1319"/>
      <c r="FJ66" s="1319"/>
      <c r="FK66" s="1319"/>
      <c r="FL66" s="1319"/>
      <c r="FM66" s="4184"/>
      <c r="FN66" s="4184"/>
    </row>
    <row r="67" spans="1:170" ht="11.25" customHeight="1">
      <c r="A67" s="6187" t="s">
        <v>47</v>
      </c>
      <c r="B67" s="181"/>
      <c r="C67" s="181"/>
      <c r="D67" s="181"/>
      <c r="E67" s="181"/>
      <c r="F67" s="991"/>
      <c r="G67" s="181"/>
      <c r="H67" s="181"/>
      <c r="I67" s="181"/>
      <c r="J67" s="181"/>
      <c r="K67" s="991"/>
      <c r="L67" s="181"/>
      <c r="M67" s="181"/>
      <c r="N67" s="181"/>
      <c r="O67" s="181"/>
      <c r="P67" s="991"/>
      <c r="Q67" s="181"/>
      <c r="R67" s="181"/>
      <c r="S67" s="181"/>
      <c r="T67" s="181"/>
      <c r="U67" s="991"/>
      <c r="V67" s="181"/>
      <c r="W67" s="181"/>
      <c r="X67" s="181"/>
      <c r="Y67" s="181"/>
      <c r="Z67" s="991"/>
      <c r="AA67" s="181"/>
      <c r="AB67" s="181"/>
      <c r="AC67" s="181"/>
      <c r="AD67" s="181"/>
      <c r="AE67" s="991"/>
      <c r="AF67" s="181"/>
      <c r="AG67" s="181"/>
      <c r="AH67" s="181"/>
      <c r="AI67" s="181"/>
      <c r="AJ67" s="991"/>
      <c r="AK67" s="181"/>
      <c r="AL67" s="181"/>
      <c r="AM67" s="181"/>
      <c r="AN67" s="181"/>
      <c r="AO67" s="991"/>
      <c r="AP67" s="181"/>
      <c r="AQ67" s="181"/>
      <c r="AR67" s="181"/>
      <c r="AS67" s="181"/>
      <c r="AT67" s="991"/>
      <c r="AU67" s="181"/>
      <c r="AV67" s="181"/>
      <c r="AW67" s="181"/>
      <c r="AX67" s="181"/>
      <c r="AY67" s="991"/>
      <c r="AZ67" s="181"/>
      <c r="BA67" s="181"/>
      <c r="BB67" s="181"/>
      <c r="BC67" s="181"/>
      <c r="BD67" s="991"/>
      <c r="BE67" s="1692"/>
      <c r="BF67" s="181"/>
      <c r="BG67" s="181"/>
      <c r="BH67" s="181"/>
      <c r="BI67" s="991"/>
      <c r="BJ67" s="181"/>
      <c r="BK67" s="181"/>
      <c r="BL67" s="181"/>
      <c r="BM67" s="181"/>
      <c r="BN67" s="991"/>
      <c r="BO67" s="181">
        <v>0.23628691983122363</v>
      </c>
      <c r="BP67" s="181">
        <v>0.27236971484759098</v>
      </c>
      <c r="BQ67" s="181">
        <v>0.3827272727272728</v>
      </c>
      <c r="BR67" s="190">
        <v>0.38521066208082555</v>
      </c>
      <c r="BS67" s="1752">
        <v>0.32403027436140008</v>
      </c>
      <c r="BT67" s="181"/>
      <c r="BU67" s="181"/>
      <c r="BV67" s="181"/>
      <c r="BW67" s="181"/>
      <c r="BX67" s="991"/>
      <c r="BY67" s="181">
        <v>0.2465870307167235</v>
      </c>
      <c r="BZ67" s="181">
        <v>0.23724884080370945</v>
      </c>
      <c r="CA67" s="181">
        <v>8.2182774490466848E-2</v>
      </c>
      <c r="CB67" s="181">
        <v>0.22284295468653004</v>
      </c>
      <c r="CC67" s="991">
        <v>0.19292604501607724</v>
      </c>
      <c r="CD67" s="181"/>
      <c r="CE67" s="181"/>
      <c r="CF67" s="181"/>
      <c r="CG67" s="181"/>
      <c r="CH67" s="991"/>
      <c r="CI67" s="181">
        <f t="shared" ref="CI67:DG67" si="266">CI20/CD20-1</f>
        <v>0.20487804878048776</v>
      </c>
      <c r="CJ67" s="181">
        <f t="shared" si="266"/>
        <v>0.22615287428932396</v>
      </c>
      <c r="CK67" s="181">
        <f t="shared" si="266"/>
        <v>0.28009828009828008</v>
      </c>
      <c r="CL67" s="181">
        <f t="shared" si="266"/>
        <v>0.24580712788259951</v>
      </c>
      <c r="CM67" s="991">
        <f t="shared" si="266"/>
        <v>0.24061641745498941</v>
      </c>
      <c r="CN67" s="181">
        <f t="shared" si="266"/>
        <v>0.19433198380566807</v>
      </c>
      <c r="CO67" s="181">
        <f t="shared" si="266"/>
        <v>7.1612570839773237E-2</v>
      </c>
      <c r="CP67" s="181">
        <f t="shared" si="266"/>
        <v>6.6698656429942327E-2</v>
      </c>
      <c r="CQ67" s="181">
        <f t="shared" si="266"/>
        <v>0.12705090450147249</v>
      </c>
      <c r="CR67" s="991">
        <f t="shared" si="266"/>
        <v>0.11265526995449515</v>
      </c>
      <c r="CS67" s="181">
        <f t="shared" si="266"/>
        <v>0.15593220338983049</v>
      </c>
      <c r="CT67" s="181">
        <f t="shared" si="266"/>
        <v>0.16105769230769229</v>
      </c>
      <c r="CU67" s="181">
        <f t="shared" si="266"/>
        <v>0.15384615384615374</v>
      </c>
      <c r="CV67" s="181">
        <f t="shared" si="266"/>
        <v>0.16386711459499814</v>
      </c>
      <c r="CW67" s="991">
        <f t="shared" si="266"/>
        <v>0.15894771747540615</v>
      </c>
      <c r="CX67" s="181">
        <f t="shared" si="266"/>
        <v>0.1076665270213657</v>
      </c>
      <c r="CY67" s="181">
        <f t="shared" si="266"/>
        <v>0.19958592132505171</v>
      </c>
      <c r="CZ67" s="181">
        <f t="shared" si="266"/>
        <v>0.18596491228070167</v>
      </c>
      <c r="DA67" s="181">
        <f t="shared" si="266"/>
        <v>0.38229634381013478</v>
      </c>
      <c r="DB67" s="991">
        <f t="shared" si="266"/>
        <v>0.22966142107773013</v>
      </c>
      <c r="DC67" s="181">
        <f t="shared" si="266"/>
        <v>0.36308623298033282</v>
      </c>
      <c r="DD67" s="181">
        <f t="shared" si="266"/>
        <v>0.30479806696582679</v>
      </c>
      <c r="DE67" s="181">
        <f t="shared" si="266"/>
        <v>0.26528599605522674</v>
      </c>
      <c r="DF67" s="181">
        <f>DF20/DA20-1</f>
        <v>0.18329466357308588</v>
      </c>
      <c r="DG67" s="991">
        <f t="shared" si="266"/>
        <v>0.2668114480725976</v>
      </c>
      <c r="DH67" s="181">
        <f t="shared" ref="DH67:DQ67" si="267">DH20/DC20-1</f>
        <v>8.3518312985571663E-2</v>
      </c>
      <c r="DI67" s="181">
        <f t="shared" si="267"/>
        <v>0.11428571428571432</v>
      </c>
      <c r="DJ67" s="181">
        <f t="shared" si="267"/>
        <v>0.19745388412574694</v>
      </c>
      <c r="DK67" s="181">
        <f t="shared" si="267"/>
        <v>0.12509803921568619</v>
      </c>
      <c r="DL67" s="991">
        <f t="shared" si="267"/>
        <v>0.1304720504500092</v>
      </c>
      <c r="DM67" s="181">
        <f t="shared" si="267"/>
        <v>0.15236875800256078</v>
      </c>
      <c r="DN67" s="181">
        <f t="shared" si="267"/>
        <v>-7.3836657169990549E-2</v>
      </c>
      <c r="DO67" s="181">
        <f t="shared" si="267"/>
        <v>-8.2013451941852944E-2</v>
      </c>
      <c r="DP67" s="181">
        <f t="shared" si="267"/>
        <v>-7.3893342628093439E-2</v>
      </c>
      <c r="DQ67" s="991">
        <f t="shared" si="267"/>
        <v>-2.805459272097055E-2</v>
      </c>
      <c r="DR67" s="181">
        <f t="shared" ref="DR67:ED67" si="268">DR20/DM20-1</f>
        <v>3.555555555555534E-3</v>
      </c>
      <c r="DS67" s="181">
        <f t="shared" si="268"/>
        <v>0.35247372468597793</v>
      </c>
      <c r="DT67" s="181">
        <f t="shared" si="268"/>
        <v>0.30371070668872613</v>
      </c>
      <c r="DU67" s="181">
        <f t="shared" si="268"/>
        <v>0.43093714715844933</v>
      </c>
      <c r="DV67" s="991">
        <f t="shared" si="268"/>
        <v>0.27671904602696973</v>
      </c>
      <c r="DW67" s="181">
        <f t="shared" si="268"/>
        <v>0.28985828166519045</v>
      </c>
      <c r="DX67" s="181">
        <f t="shared" si="268"/>
        <v>0.25663381349507208</v>
      </c>
      <c r="DY67" s="181">
        <f t="shared" si="268"/>
        <v>0.25616388687454683</v>
      </c>
      <c r="DZ67" s="181">
        <f t="shared" si="268"/>
        <v>-5.5365597054181981E-2</v>
      </c>
      <c r="EA67" s="991">
        <f t="shared" si="268"/>
        <v>0.15952339385474867</v>
      </c>
      <c r="EB67" s="181">
        <f t="shared" si="268"/>
        <v>0.12154506437768231</v>
      </c>
      <c r="EC67" s="181">
        <f t="shared" si="268"/>
        <v>2.2775263951734459E-2</v>
      </c>
      <c r="ED67" s="181">
        <f t="shared" si="268"/>
        <v>-6.4944436426612739E-3</v>
      </c>
      <c r="EE67" s="181">
        <f t="shared" ref="EE67:EN67" si="269">EE20/DZ20-1</f>
        <v>7.4620632047890822E-2</v>
      </c>
      <c r="EF67" s="991">
        <f t="shared" si="269"/>
        <v>5.081492076636418E-2</v>
      </c>
      <c r="EG67" s="181">
        <f t="shared" si="269"/>
        <v>-1.6378386652380228E-2</v>
      </c>
      <c r="EH67" s="181">
        <f t="shared" si="269"/>
        <v>1.6221796195250437E-3</v>
      </c>
      <c r="EI67" s="181">
        <f t="shared" si="269"/>
        <v>4.9825682742591582E-2</v>
      </c>
      <c r="EJ67" s="181">
        <f t="shared" si="269"/>
        <v>-4.6119963725871238E-2</v>
      </c>
      <c r="EK67" s="991">
        <f t="shared" si="269"/>
        <v>-3.9044309918687681E-3</v>
      </c>
      <c r="EL67" s="181">
        <f t="shared" si="269"/>
        <v>-3.9526921879863064E-2</v>
      </c>
      <c r="EM67" s="181">
        <f t="shared" si="269"/>
        <v>4.5494699646643211E-2</v>
      </c>
      <c r="EN67" s="181">
        <f t="shared" si="269"/>
        <v>-3.0441400304414001E-3</v>
      </c>
      <c r="EO67" s="181">
        <f t="shared" ref="EO67:EP67" si="270">EO20/EJ20-1</f>
        <v>2.9886585724895109E-2</v>
      </c>
      <c r="EP67" s="991">
        <f t="shared" si="270"/>
        <v>9.1000766215623141E-3</v>
      </c>
      <c r="EQ67" s="181">
        <f t="shared" ref="EQ67" si="271">EQ20/EL20-1</f>
        <v>4.5440833976521322E-2</v>
      </c>
      <c r="ER67" s="181">
        <f t="shared" ref="ER67" si="272">ER20/EM20-1</f>
        <v>8.9641770109640584E-2</v>
      </c>
      <c r="ES67" s="181">
        <f t="shared" ref="ES67" si="273">ES20/EN20-1</f>
        <v>6.9255429234280186E-2</v>
      </c>
      <c r="ET67" s="181">
        <f t="shared" ref="ET67:EU67" si="274">ET20/EO20-1</f>
        <v>5.7218649156645318E-2</v>
      </c>
      <c r="EU67" s="991">
        <f t="shared" si="274"/>
        <v>6.5923557352654649E-2</v>
      </c>
      <c r="EV67" s="991">
        <f>EV20/EU20-1</f>
        <v>7.7789732356688068E-2</v>
      </c>
      <c r="EW67" s="991">
        <f>EW20/EV20-1</f>
        <v>6.2139464784329634E-2</v>
      </c>
      <c r="EX67" s="991">
        <f>EX20/EW20-1</f>
        <v>6.1374122922125629E-2</v>
      </c>
      <c r="EY67" s="991">
        <f>EY20/EX20-1</f>
        <v>5.2108769403386379E-2</v>
      </c>
      <c r="EZ67" s="169"/>
      <c r="FA67" s="725"/>
      <c r="FB67" s="1319"/>
      <c r="FC67" s="1319"/>
      <c r="FD67" s="1319"/>
      <c r="FE67" s="1319"/>
      <c r="FF67" s="1319"/>
      <c r="FG67" s="1319"/>
      <c r="FH67" s="1319"/>
      <c r="FI67" s="1319"/>
      <c r="FJ67" s="1319"/>
      <c r="FK67" s="1319"/>
      <c r="FL67" s="1319"/>
      <c r="FM67" s="4184"/>
      <c r="FN67" s="4184"/>
    </row>
    <row r="68" spans="1:170" ht="11.25" customHeight="1">
      <c r="A68" s="6187" t="s">
        <v>51</v>
      </c>
      <c r="B68" s="181"/>
      <c r="C68" s="181"/>
      <c r="D68" s="181"/>
      <c r="E68" s="181"/>
      <c r="F68" s="991"/>
      <c r="G68" s="181"/>
      <c r="H68" s="181"/>
      <c r="I68" s="181"/>
      <c r="J68" s="181"/>
      <c r="K68" s="991"/>
      <c r="L68" s="181"/>
      <c r="M68" s="181"/>
      <c r="N68" s="181"/>
      <c r="O68" s="181"/>
      <c r="P68" s="991"/>
      <c r="Q68" s="181"/>
      <c r="R68" s="181"/>
      <c r="S68" s="181"/>
      <c r="T68" s="181"/>
      <c r="U68" s="991"/>
      <c r="V68" s="181"/>
      <c r="W68" s="181"/>
      <c r="X68" s="181"/>
      <c r="Y68" s="181"/>
      <c r="Z68" s="991"/>
      <c r="AA68" s="181"/>
      <c r="AB68" s="181"/>
      <c r="AC68" s="181"/>
      <c r="AD68" s="181"/>
      <c r="AE68" s="991"/>
      <c r="AF68" s="181"/>
      <c r="AG68" s="181"/>
      <c r="AH68" s="181"/>
      <c r="AI68" s="181"/>
      <c r="AJ68" s="991"/>
      <c r="AK68" s="181"/>
      <c r="AL68" s="181"/>
      <c r="AM68" s="181"/>
      <c r="AN68" s="181"/>
      <c r="AO68" s="991"/>
      <c r="AP68" s="181"/>
      <c r="AQ68" s="181"/>
      <c r="AR68" s="181"/>
      <c r="AS68" s="181"/>
      <c r="AT68" s="991"/>
      <c r="AU68" s="181"/>
      <c r="AV68" s="181"/>
      <c r="AW68" s="181"/>
      <c r="AX68" s="181"/>
      <c r="AY68" s="991"/>
      <c r="AZ68" s="181"/>
      <c r="BA68" s="181"/>
      <c r="BB68" s="181"/>
      <c r="BC68" s="181"/>
      <c r="BD68" s="991"/>
      <c r="BE68" s="1692"/>
      <c r="BF68" s="181"/>
      <c r="BG68" s="181"/>
      <c r="BH68" s="181"/>
      <c r="BI68" s="991"/>
      <c r="BJ68" s="181"/>
      <c r="BK68" s="181"/>
      <c r="BL68" s="181"/>
      <c r="BM68" s="181"/>
      <c r="BN68" s="991"/>
      <c r="BO68" s="181">
        <v>0.28298279158699802</v>
      </c>
      <c r="BP68" s="181">
        <v>0.31794871794871793</v>
      </c>
      <c r="BQ68" s="181">
        <v>0.50844594594594605</v>
      </c>
      <c r="BR68" s="190">
        <v>0.39667128987517342</v>
      </c>
      <c r="BS68" s="1752">
        <v>0.3804213135068153</v>
      </c>
      <c r="BT68" s="181"/>
      <c r="BU68" s="181"/>
      <c r="BV68" s="181"/>
      <c r="BW68" s="181"/>
      <c r="BX68" s="991"/>
      <c r="BY68" s="181">
        <v>0.51713859910581217</v>
      </c>
      <c r="BZ68" s="181">
        <v>0.40596627756160819</v>
      </c>
      <c r="CA68" s="181">
        <v>0.20604703247480405</v>
      </c>
      <c r="CB68" s="181">
        <v>0.13008937437934454</v>
      </c>
      <c r="CC68" s="991">
        <v>0.29174147217235191</v>
      </c>
      <c r="CD68" s="181"/>
      <c r="CE68" s="181"/>
      <c r="CF68" s="181"/>
      <c r="CG68" s="181"/>
      <c r="CH68" s="991"/>
      <c r="CI68" s="181">
        <f t="shared" ref="CI68:CR68" si="275">CI23/CD23-1</f>
        <v>0.46699507389162553</v>
      </c>
      <c r="CJ68" s="181">
        <f t="shared" si="275"/>
        <v>0.27868852459016402</v>
      </c>
      <c r="CK68" s="181">
        <f t="shared" si="275"/>
        <v>0.20264317180616742</v>
      </c>
      <c r="CL68" s="181">
        <f t="shared" si="275"/>
        <v>0.34543918918918926</v>
      </c>
      <c r="CM68" s="991">
        <f t="shared" si="275"/>
        <v>0.32017148014440444</v>
      </c>
      <c r="CN68" s="181">
        <f t="shared" si="275"/>
        <v>9.9395567494963144E-2</v>
      </c>
      <c r="CO68" s="181">
        <f t="shared" si="275"/>
        <v>3.2763532763532721E-2</v>
      </c>
      <c r="CP68" s="181">
        <f t="shared" si="275"/>
        <v>8.2051282051281982E-2</v>
      </c>
      <c r="CQ68" s="181">
        <f t="shared" si="275"/>
        <v>-1.3182674199623379E-2</v>
      </c>
      <c r="CR68" s="991">
        <f t="shared" si="275"/>
        <v>4.8709622286788656E-2</v>
      </c>
      <c r="CS68" s="181">
        <f t="shared" ref="CS68:DB68" si="276">CS23/CN23-1</f>
        <v>-7.5748320097739796E-2</v>
      </c>
      <c r="CT68" s="181">
        <f t="shared" si="276"/>
        <v>0.12000000000000011</v>
      </c>
      <c r="CU68" s="181">
        <f t="shared" si="276"/>
        <v>0.2349356804333107</v>
      </c>
      <c r="CV68" s="181">
        <f t="shared" si="276"/>
        <v>0.28753180661577615</v>
      </c>
      <c r="CW68" s="991">
        <f t="shared" si="276"/>
        <v>0.13836375488917851</v>
      </c>
      <c r="CX68" s="181">
        <f t="shared" si="276"/>
        <v>0.19035029742233966</v>
      </c>
      <c r="CY68" s="181">
        <f t="shared" si="276"/>
        <v>4.6798029556650356E-2</v>
      </c>
      <c r="CZ68" s="181">
        <f t="shared" si="276"/>
        <v>-0.1255482456140351</v>
      </c>
      <c r="DA68" s="181">
        <f t="shared" si="276"/>
        <v>-0.12252964426877466</v>
      </c>
      <c r="DB68" s="991">
        <f t="shared" si="276"/>
        <v>-1.6177523264137461E-2</v>
      </c>
      <c r="DC68" s="181">
        <f t="shared" ref="DC68:DG68" si="277">DC23/CX23-1</f>
        <v>-0.22098833981121602</v>
      </c>
      <c r="DD68" s="181">
        <f t="shared" si="277"/>
        <v>3.7647058823529367E-2</v>
      </c>
      <c r="DE68" s="181">
        <f t="shared" si="277"/>
        <v>9.9059561128526541E-2</v>
      </c>
      <c r="DF68" s="181">
        <f t="shared" si="277"/>
        <v>0.12781531531531543</v>
      </c>
      <c r="DG68" s="991">
        <f t="shared" si="277"/>
        <v>7.4214202561118103E-3</v>
      </c>
      <c r="DH68" s="181">
        <f t="shared" ref="DH68:DQ68" si="278">DH23/DC23-1</f>
        <v>0.48823948681397011</v>
      </c>
      <c r="DI68" s="181">
        <f t="shared" si="278"/>
        <v>0.15816326530612246</v>
      </c>
      <c r="DJ68" s="181">
        <f t="shared" si="278"/>
        <v>0.47803764974329721</v>
      </c>
      <c r="DK68" s="181">
        <f t="shared" si="278"/>
        <v>0.41238142785821275</v>
      </c>
      <c r="DL68" s="991">
        <f t="shared" si="278"/>
        <v>0.3796042178246426</v>
      </c>
      <c r="DM68" s="181">
        <f t="shared" si="278"/>
        <v>0.3793103448275863</v>
      </c>
      <c r="DN68" s="181">
        <f t="shared" si="278"/>
        <v>0.26529613313754274</v>
      </c>
      <c r="DO68" s="181">
        <f t="shared" si="278"/>
        <v>6.3681976071015001E-2</v>
      </c>
      <c r="DP68" s="181">
        <f t="shared" si="278"/>
        <v>7.0696359137500941E-4</v>
      </c>
      <c r="DQ68" s="991">
        <f t="shared" si="278"/>
        <v>0.15715631871008262</v>
      </c>
      <c r="DR68" s="181">
        <f t="shared" ref="DR68:DV68" si="279">DR23/DM23-1</f>
        <v>-3.7152777777777812E-2</v>
      </c>
      <c r="DS68" s="181">
        <f t="shared" si="279"/>
        <v>0.29245647969052224</v>
      </c>
      <c r="DT68" s="181">
        <f t="shared" si="279"/>
        <v>0.1814223512336719</v>
      </c>
      <c r="DU68" s="181">
        <f t="shared" si="279"/>
        <v>0.46238078417520301</v>
      </c>
      <c r="DV68" s="991">
        <f t="shared" si="279"/>
        <v>0.22240318494390166</v>
      </c>
      <c r="DW68" s="181">
        <f t="shared" ref="DW68:ED68" si="280">DW23/DR23-1</f>
        <v>0.21673278038225741</v>
      </c>
      <c r="DX68" s="181">
        <f t="shared" si="280"/>
        <v>9.4582460341215313E-2</v>
      </c>
      <c r="DY68" s="181">
        <f t="shared" si="280"/>
        <v>0.10472972972972983</v>
      </c>
      <c r="DZ68" s="181">
        <f t="shared" si="280"/>
        <v>0.23091787439613531</v>
      </c>
      <c r="EA68" s="991">
        <f t="shared" si="280"/>
        <v>0.16387860843819402</v>
      </c>
      <c r="EB68" s="181">
        <f t="shared" si="280"/>
        <v>0.11410788381742742</v>
      </c>
      <c r="EC68" s="181">
        <f t="shared" si="280"/>
        <v>-4.8126879956248314E-2</v>
      </c>
      <c r="ED68" s="181">
        <f t="shared" si="280"/>
        <v>0.10619961078676665</v>
      </c>
      <c r="EE68" s="181">
        <f t="shared" ref="EE68:EN68" si="281">EE23/DZ23-1</f>
        <v>2.1585557299842906E-2</v>
      </c>
      <c r="EF68" s="991">
        <f t="shared" si="281"/>
        <v>4.4581531416942211E-2</v>
      </c>
      <c r="EG68" s="181">
        <f t="shared" si="281"/>
        <v>-0.19499866985900505</v>
      </c>
      <c r="EH68" s="181">
        <f t="shared" si="281"/>
        <v>-9.2789428325193879E-2</v>
      </c>
      <c r="EI68" s="181">
        <f t="shared" si="281"/>
        <v>-9.5501382256848455E-2</v>
      </c>
      <c r="EJ68" s="181">
        <f t="shared" si="281"/>
        <v>-0.153860929696504</v>
      </c>
      <c r="EK68" s="991">
        <f t="shared" si="281"/>
        <v>-0.13619482496194824</v>
      </c>
      <c r="EL68" s="181">
        <f t="shared" si="281"/>
        <v>0.16953073364177129</v>
      </c>
      <c r="EM68" s="181">
        <f t="shared" si="281"/>
        <v>0.64946168461051301</v>
      </c>
      <c r="EN68" s="181">
        <f t="shared" si="281"/>
        <v>9.3637121422617486E-2</v>
      </c>
      <c r="EO68" s="181">
        <f t="shared" ref="EO68:EP68" si="282">EO23/EJ23-1</f>
        <v>0.11132574164948505</v>
      </c>
      <c r="EP68" s="991">
        <f t="shared" si="282"/>
        <v>0.23903227318621223</v>
      </c>
      <c r="EQ68" s="181">
        <f t="shared" ref="EQ68" si="283">EQ23/EL23-1</f>
        <v>6.5699009161807709E-2</v>
      </c>
      <c r="ER68" s="181">
        <f t="shared" ref="ER68" si="284">ER23/EM23-1</f>
        <v>-0.26657449779907849</v>
      </c>
      <c r="ES68" s="181">
        <f t="shared" ref="ES68" si="285">ES23/EN23-1</f>
        <v>3.0851700614847877E-2</v>
      </c>
      <c r="ET68" s="181">
        <f t="shared" ref="ET68:EU68" si="286">ET23/EO23-1</f>
        <v>6.1014242208022651E-2</v>
      </c>
      <c r="EU68" s="991">
        <f t="shared" si="286"/>
        <v>-4.1864761629579972E-2</v>
      </c>
      <c r="EV68" s="991">
        <f t="shared" ref="EV68:EY68" si="287">EV23/EU23-1</f>
        <v>9.3693009259240068E-2</v>
      </c>
      <c r="EW68" s="991">
        <f t="shared" si="287"/>
        <v>7.0185975881180696E-2</v>
      </c>
      <c r="EX68" s="991">
        <f t="shared" si="287"/>
        <v>5.3393866358801167E-2</v>
      </c>
      <c r="EY68" s="991">
        <f t="shared" si="287"/>
        <v>4.3341196325024978E-2</v>
      </c>
      <c r="EZ68" s="169"/>
      <c r="FA68" s="725"/>
      <c r="FB68" s="1319"/>
      <c r="FC68" s="1319"/>
      <c r="FD68" s="1319"/>
      <c r="FE68" s="1319"/>
      <c r="FF68" s="1319"/>
      <c r="FG68" s="1319"/>
      <c r="FH68" s="1319"/>
      <c r="FI68" s="1319"/>
      <c r="FJ68" s="1319"/>
      <c r="FK68" s="1319"/>
      <c r="FL68" s="1319"/>
      <c r="FM68" s="4184"/>
      <c r="FN68" s="4184"/>
    </row>
    <row r="69" spans="1:170" s="151" customFormat="1" ht="11.25" customHeight="1">
      <c r="A69" s="6176" t="s">
        <v>52</v>
      </c>
      <c r="B69" s="6177"/>
      <c r="C69" s="6177"/>
      <c r="D69" s="6177"/>
      <c r="E69" s="6177"/>
      <c r="F69" s="6178"/>
      <c r="G69" s="6177"/>
      <c r="H69" s="6177"/>
      <c r="I69" s="6177"/>
      <c r="J69" s="6177"/>
      <c r="K69" s="6178">
        <f>K26/F26-1</f>
        <v>3.763898421413864</v>
      </c>
      <c r="L69" s="6177"/>
      <c r="M69" s="6177"/>
      <c r="N69" s="6177"/>
      <c r="O69" s="6177"/>
      <c r="P69" s="6178">
        <f>P26/K26-1</f>
        <v>1.2055179368967006</v>
      </c>
      <c r="Q69" s="6177"/>
      <c r="R69" s="6177"/>
      <c r="S69" s="6177"/>
      <c r="T69" s="6177"/>
      <c r="U69" s="6178">
        <f t="shared" ref="U69:BN69" si="288">U26/P26-1</f>
        <v>0.98471437436718201</v>
      </c>
      <c r="V69" s="6177">
        <f t="shared" si="288"/>
        <v>2.5872533433087059</v>
      </c>
      <c r="W69" s="6177">
        <f t="shared" si="288"/>
        <v>2.2942526183338892</v>
      </c>
      <c r="X69" s="6177">
        <f t="shared" si="288"/>
        <v>3.5835571645451347</v>
      </c>
      <c r="Y69" s="6177">
        <f t="shared" si="288"/>
        <v>3.4989838705528253</v>
      </c>
      <c r="Z69" s="6178">
        <f t="shared" si="288"/>
        <v>3.0945265444491978</v>
      </c>
      <c r="AA69" s="6177">
        <f t="shared" si="288"/>
        <v>1.3580431977267096</v>
      </c>
      <c r="AB69" s="6177">
        <f t="shared" si="288"/>
        <v>1.2791583346439883</v>
      </c>
      <c r="AC69" s="6177">
        <f t="shared" si="288"/>
        <v>0.47568090906774696</v>
      </c>
      <c r="AD69" s="6177">
        <f t="shared" si="288"/>
        <v>0.57198565947543867</v>
      </c>
      <c r="AE69" s="6178">
        <f t="shared" si="288"/>
        <v>0.78928732195106277</v>
      </c>
      <c r="AF69" s="6177">
        <f t="shared" si="288"/>
        <v>0.48443908856729068</v>
      </c>
      <c r="AG69" s="6177">
        <f t="shared" si="288"/>
        <v>0.53640875998757864</v>
      </c>
      <c r="AH69" s="6177">
        <f t="shared" si="288"/>
        <v>0.70694849703896812</v>
      </c>
      <c r="AI69" s="6177">
        <f t="shared" si="288"/>
        <v>0.7607548295340878</v>
      </c>
      <c r="AJ69" s="6178">
        <f t="shared" si="288"/>
        <v>0.63949580964489261</v>
      </c>
      <c r="AK69" s="6177">
        <f t="shared" si="288"/>
        <v>1.2686547155337418</v>
      </c>
      <c r="AL69" s="6177">
        <f t="shared" si="288"/>
        <v>1.0978659103887689</v>
      </c>
      <c r="AM69" s="6177">
        <f t="shared" si="288"/>
        <v>0.79984018570825333</v>
      </c>
      <c r="AN69" s="6177">
        <f t="shared" si="288"/>
        <v>0.80268637723313896</v>
      </c>
      <c r="AO69" s="6178">
        <f t="shared" si="288"/>
        <v>0.95066349447961329</v>
      </c>
      <c r="AP69" s="6177">
        <f t="shared" si="288"/>
        <v>0.60323856734841241</v>
      </c>
      <c r="AQ69" s="6177">
        <f t="shared" si="288"/>
        <v>0.85771108824010667</v>
      </c>
      <c r="AR69" s="6177">
        <f t="shared" si="288"/>
        <v>0.7631795977031679</v>
      </c>
      <c r="AS69" s="6177">
        <f t="shared" si="288"/>
        <v>0.64602981790678737</v>
      </c>
      <c r="AT69" s="6178">
        <f t="shared" si="288"/>
        <v>0.7147681387536251</v>
      </c>
      <c r="AU69" s="6177">
        <f t="shared" si="288"/>
        <v>0.57507998669021476</v>
      </c>
      <c r="AV69" s="6177">
        <f t="shared" si="288"/>
        <v>0.35912935245568334</v>
      </c>
      <c r="AW69" s="6177">
        <f t="shared" si="288"/>
        <v>0.37945171422970825</v>
      </c>
      <c r="AX69" s="6177">
        <f t="shared" si="288"/>
        <v>0.15763223392220027</v>
      </c>
      <c r="AY69" s="6178">
        <f t="shared" si="288"/>
        <v>0.34827559371185624</v>
      </c>
      <c r="AZ69" s="6177">
        <f t="shared" si="288"/>
        <v>-1.2922348903419145E-3</v>
      </c>
      <c r="BA69" s="6177">
        <f t="shared" si="288"/>
        <v>-5.8394279951666905E-2</v>
      </c>
      <c r="BB69" s="6177">
        <f t="shared" si="288"/>
        <v>-4.124447987337998E-2</v>
      </c>
      <c r="BC69" s="6177">
        <f t="shared" si="288"/>
        <v>7.6797847478400794E-2</v>
      </c>
      <c r="BD69" s="6178">
        <f t="shared" si="288"/>
        <v>-6.3950102484821025E-3</v>
      </c>
      <c r="BE69" s="6179">
        <f t="shared" si="288"/>
        <v>0.19823070594728565</v>
      </c>
      <c r="BF69" s="6177">
        <f t="shared" si="288"/>
        <v>0.28391173685727233</v>
      </c>
      <c r="BG69" s="6177">
        <f t="shared" si="288"/>
        <v>0.3224771714532908</v>
      </c>
      <c r="BH69" s="6177">
        <f t="shared" si="288"/>
        <v>0.42809829471547767</v>
      </c>
      <c r="BI69" s="6178">
        <f t="shared" si="288"/>
        <v>0.31303914061290139</v>
      </c>
      <c r="BJ69" s="6177">
        <f t="shared" si="288"/>
        <v>0.57088538837588265</v>
      </c>
      <c r="BK69" s="6177">
        <f t="shared" si="288"/>
        <v>0.51503006012024044</v>
      </c>
      <c r="BL69" s="6177">
        <f t="shared" si="288"/>
        <v>0.52892938496583142</v>
      </c>
      <c r="BM69" s="6177">
        <f t="shared" si="288"/>
        <v>0.35001955416503705</v>
      </c>
      <c r="BN69" s="6178">
        <f t="shared" si="288"/>
        <v>0.48142973570846426</v>
      </c>
      <c r="BO69" s="6177">
        <v>0.22441217150760728</v>
      </c>
      <c r="BP69" s="6177">
        <v>0.35350529100529093</v>
      </c>
      <c r="BQ69" s="6177">
        <v>0.49135876042908233</v>
      </c>
      <c r="BR69" s="6180">
        <v>0.44351100811123989</v>
      </c>
      <c r="BS69" s="6181">
        <v>0.3849418421879911</v>
      </c>
      <c r="BT69" s="6177">
        <f>BT26/BJ26-1</f>
        <v>0.22441217150760728</v>
      </c>
      <c r="BU69" s="6177">
        <f>BU26/BK26-1</f>
        <v>0.19907407407407418</v>
      </c>
      <c r="BV69" s="6177">
        <f>BV26/BL26-1</f>
        <v>0.16984505363528002</v>
      </c>
      <c r="BW69" s="6177">
        <f>BW26/BM26-1</f>
        <v>0.24449594438006961</v>
      </c>
      <c r="BX69" s="6178">
        <f>BX26/BN26-1</f>
        <v>0.18115372524363416</v>
      </c>
      <c r="BY69" s="6177">
        <v>0.28438294267156161</v>
      </c>
      <c r="BZ69" s="6177">
        <v>0.22990471536770096</v>
      </c>
      <c r="CA69" s="6177">
        <v>3.3566433566433629E-2</v>
      </c>
      <c r="CB69" s="6177">
        <v>0.13726670680313058</v>
      </c>
      <c r="CC69" s="6178">
        <v>0.15889229372375446</v>
      </c>
      <c r="CD69" s="6177">
        <f>CD26/BT26-1</f>
        <v>0.14854560858514554</v>
      </c>
      <c r="CE69" s="6177">
        <f>CE26/BU26-1</f>
        <v>0.22642029784886919</v>
      </c>
      <c r="CF69" s="6177">
        <f>CF26/BV26-1</f>
        <v>0.16760061130922055</v>
      </c>
      <c r="CG69" s="6177">
        <f>CG26/BW26-1</f>
        <v>0.16969273743016755</v>
      </c>
      <c r="CH69" s="6178">
        <f>CH26/BX26-1</f>
        <v>0.20586865393572418</v>
      </c>
      <c r="CI69" s="6177">
        <f t="shared" ref="CI69:CX69" si="289">CI26/CD26-1</f>
        <v>0.31399065650356528</v>
      </c>
      <c r="CJ69" s="6177">
        <f t="shared" si="289"/>
        <v>0.25545311445918606</v>
      </c>
      <c r="CK69" s="6177">
        <f t="shared" si="289"/>
        <v>0.331588132635253</v>
      </c>
      <c r="CL69" s="6177">
        <f t="shared" si="289"/>
        <v>0.34985074626865664</v>
      </c>
      <c r="CM69" s="6178">
        <f t="shared" si="289"/>
        <v>0.31402085747392805</v>
      </c>
      <c r="CN69" s="6177">
        <f t="shared" si="289"/>
        <v>0.20789670658682624</v>
      </c>
      <c r="CO69" s="6177">
        <f t="shared" si="289"/>
        <v>0.13182876589647141</v>
      </c>
      <c r="CP69" s="6177">
        <f t="shared" si="289"/>
        <v>0.1353211009174311</v>
      </c>
      <c r="CQ69" s="6177">
        <f t="shared" si="289"/>
        <v>0.1441839893852277</v>
      </c>
      <c r="CR69" s="6178">
        <f t="shared" si="289"/>
        <v>0.15331317712270098</v>
      </c>
      <c r="CS69" s="6177">
        <f t="shared" si="289"/>
        <v>0.12579395817195982</v>
      </c>
      <c r="CT69" s="6177">
        <f t="shared" si="289"/>
        <v>0.1713878778287703</v>
      </c>
      <c r="CU69" s="6177">
        <f t="shared" si="289"/>
        <v>0.15223665223665228</v>
      </c>
      <c r="CV69" s="6177">
        <f t="shared" si="289"/>
        <v>0.12923592320577248</v>
      </c>
      <c r="CW69" s="6178">
        <f t="shared" si="289"/>
        <v>0.14392863644638632</v>
      </c>
      <c r="CX69" s="6177">
        <f t="shared" si="289"/>
        <v>0.15412137057933117</v>
      </c>
      <c r="CY69" s="6177">
        <f>(CY26-CY25)/CT26-1</f>
        <v>0.18467981626587404</v>
      </c>
      <c r="CZ69" s="6177">
        <f t="shared" ref="CZ69:EP69" si="290">CZ26/CU26-1</f>
        <v>0.10732623669380081</v>
      </c>
      <c r="DA69" s="6177">
        <f t="shared" si="290"/>
        <v>0.18575992697398447</v>
      </c>
      <c r="DB69" s="6178">
        <f t="shared" si="290"/>
        <v>0.24533706792284682</v>
      </c>
      <c r="DC69" s="6177">
        <f t="shared" si="290"/>
        <v>0.19780612853225232</v>
      </c>
      <c r="DD69" s="6177">
        <f t="shared" si="290"/>
        <v>0.3671447196870925</v>
      </c>
      <c r="DE69" s="6177">
        <f t="shared" si="290"/>
        <v>0.22528839629043196</v>
      </c>
      <c r="DF69" s="6177">
        <f t="shared" si="290"/>
        <v>0.26414549653579678</v>
      </c>
      <c r="DG69" s="6178">
        <f t="shared" si="290"/>
        <v>0.27143076215304407</v>
      </c>
      <c r="DH69" s="6177">
        <f t="shared" si="290"/>
        <v>0.36561815648019103</v>
      </c>
      <c r="DI69" s="6177">
        <f t="shared" si="290"/>
        <v>-0.20732405111577346</v>
      </c>
      <c r="DJ69" s="6177">
        <f t="shared" si="290"/>
        <v>0.26952187557688756</v>
      </c>
      <c r="DK69" s="6177">
        <f t="shared" si="290"/>
        <v>0.20187257364695133</v>
      </c>
      <c r="DL69" s="6178">
        <f t="shared" si="290"/>
        <v>0.12029107867969291</v>
      </c>
      <c r="DM69" s="6177">
        <f t="shared" si="290"/>
        <v>3.5060864494496746E-2</v>
      </c>
      <c r="DN69" s="6177">
        <f t="shared" si="290"/>
        <v>7.1623355790824572E-2</v>
      </c>
      <c r="DO69" s="6177">
        <f t="shared" si="290"/>
        <v>6.4708448451360479E-3</v>
      </c>
      <c r="DP69" s="6177">
        <f t="shared" si="290"/>
        <v>-3.9394515168788447E-2</v>
      </c>
      <c r="DQ69" s="6178">
        <f t="shared" si="290"/>
        <v>1.5090615467432178E-2</v>
      </c>
      <c r="DR69" s="6177">
        <f t="shared" si="290"/>
        <v>4.0422535211267707E-2</v>
      </c>
      <c r="DS69" s="6177">
        <f t="shared" si="290"/>
        <v>0.21936980764912817</v>
      </c>
      <c r="DT69" s="6177">
        <f t="shared" si="290"/>
        <v>0.18948204868886798</v>
      </c>
      <c r="DU69" s="6177">
        <f t="shared" si="290"/>
        <v>0.34845388013450251</v>
      </c>
      <c r="DV69" s="6178">
        <f t="shared" si="290"/>
        <v>0.20174647787735767</v>
      </c>
      <c r="DW69" s="6177">
        <f t="shared" si="290"/>
        <v>0.23988087180181394</v>
      </c>
      <c r="DX69" s="6177">
        <f t="shared" si="290"/>
        <v>0.23545298305917006</v>
      </c>
      <c r="DY69" s="6177">
        <f t="shared" si="290"/>
        <v>0.26314830559941704</v>
      </c>
      <c r="DZ69" s="6177">
        <f t="shared" si="290"/>
        <v>0.10238607471151973</v>
      </c>
      <c r="EA69" s="6178">
        <f t="shared" si="290"/>
        <v>0.2030919039774064</v>
      </c>
      <c r="EB69" s="6177">
        <f t="shared" si="290"/>
        <v>0.18790260945518078</v>
      </c>
      <c r="EC69" s="6177">
        <f t="shared" si="290"/>
        <v>3.5870429252782277E-2</v>
      </c>
      <c r="ED69" s="6177">
        <f t="shared" si="290"/>
        <v>6.3560748112890142E-2</v>
      </c>
      <c r="EE69" s="6177">
        <f t="shared" si="290"/>
        <v>0.11052958396167845</v>
      </c>
      <c r="EF69" s="6178">
        <f t="shared" si="290"/>
        <v>9.7541294274431145E-2</v>
      </c>
      <c r="EG69" s="6177">
        <f t="shared" si="290"/>
        <v>-1.8612132352941124E-2</v>
      </c>
      <c r="EH69" s="6177">
        <f t="shared" si="290"/>
        <v>4.6043165467625879E-2</v>
      </c>
      <c r="EI69" s="6177">
        <f t="shared" si="290"/>
        <v>5.2077211699290249E-2</v>
      </c>
      <c r="EJ69" s="6177">
        <f t="shared" si="290"/>
        <v>-6.150651010464081E-3</v>
      </c>
      <c r="EK69" s="6178">
        <f t="shared" si="290"/>
        <v>1.7299958783098868E-2</v>
      </c>
      <c r="EL69" s="6177">
        <f t="shared" si="290"/>
        <v>8.9534066963240511E-2</v>
      </c>
      <c r="EM69" s="6177">
        <f t="shared" si="290"/>
        <v>0.1975240715268225</v>
      </c>
      <c r="EN69" s="6177">
        <f t="shared" si="290"/>
        <v>0.27826236411292049</v>
      </c>
      <c r="EO69" s="6177">
        <f t="shared" si="290"/>
        <v>0.13408145421264361</v>
      </c>
      <c r="EP69" s="6178">
        <f t="shared" si="290"/>
        <v>0.17555991882161393</v>
      </c>
      <c r="EQ69" s="6177">
        <f t="shared" ref="EQ69" si="291">EQ26/EL26-1</f>
        <v>0.13858431615281197</v>
      </c>
      <c r="ER69" s="6177">
        <f t="shared" ref="ER69" si="292">ER26/EM26-1</f>
        <v>7.5770146007473782E-2</v>
      </c>
      <c r="ES69" s="6177">
        <f t="shared" ref="ES69" si="293">ES26/EN26-1</f>
        <v>-3.9048307293221285E-4</v>
      </c>
      <c r="ET69" s="6177">
        <f t="shared" ref="ET69:EU69" si="294">ET26/EO26-1</f>
        <v>0.12832792305795482</v>
      </c>
      <c r="EU69" s="6178">
        <f t="shared" si="294"/>
        <v>8.2094992187512483E-2</v>
      </c>
      <c r="EV69" s="6178">
        <f>EV26/EU26-1</f>
        <v>0.10607528426085744</v>
      </c>
      <c r="EW69" s="6178">
        <f>EW26/EV26-1</f>
        <v>8.2097119547845265E-2</v>
      </c>
      <c r="EX69" s="6178">
        <f>EX26/EW26-1</f>
        <v>7.4575293605236403E-2</v>
      </c>
      <c r="EY69" s="6178">
        <f>EY26/EX26-1</f>
        <v>6.6326455476405144E-2</v>
      </c>
      <c r="EZ69" s="624"/>
      <c r="FA69" s="4266"/>
      <c r="FB69" s="1319"/>
      <c r="FC69" s="1319"/>
      <c r="FD69" s="1319"/>
      <c r="FE69" s="1319"/>
      <c r="FF69" s="1319"/>
      <c r="FG69" s="1319"/>
      <c r="FH69" s="1319"/>
      <c r="FI69" s="1319"/>
      <c r="FJ69" s="1319"/>
      <c r="FK69" s="1319"/>
      <c r="FL69" s="1319"/>
    </row>
    <row r="70" spans="1:170" s="151" customFormat="1" ht="11.25" hidden="1" customHeight="1" outlineLevel="1">
      <c r="A70" s="6182" t="s">
        <v>689</v>
      </c>
      <c r="B70" s="6183"/>
      <c r="C70" s="6183"/>
      <c r="D70" s="6183"/>
      <c r="E70" s="6183"/>
      <c r="F70" s="6184"/>
      <c r="G70" s="6183"/>
      <c r="H70" s="6183"/>
      <c r="I70" s="6183"/>
      <c r="J70" s="6183"/>
      <c r="K70" s="6184"/>
      <c r="L70" s="6183"/>
      <c r="M70" s="6183"/>
      <c r="N70" s="6183"/>
      <c r="O70" s="6183"/>
      <c r="P70" s="6184"/>
      <c r="Q70" s="6183"/>
      <c r="R70" s="6183"/>
      <c r="S70" s="6183"/>
      <c r="T70" s="6183"/>
      <c r="U70" s="6184"/>
      <c r="V70" s="6183"/>
      <c r="W70" s="6183"/>
      <c r="X70" s="6183"/>
      <c r="Y70" s="6183"/>
      <c r="Z70" s="6184"/>
      <c r="AA70" s="6183"/>
      <c r="AB70" s="6183"/>
      <c r="AC70" s="6183"/>
      <c r="AD70" s="6183"/>
      <c r="AE70" s="6184"/>
      <c r="AF70" s="6183"/>
      <c r="AG70" s="6183"/>
      <c r="AH70" s="6183"/>
      <c r="AI70" s="6183"/>
      <c r="AJ70" s="6184"/>
      <c r="AK70" s="6183"/>
      <c r="AL70" s="6183"/>
      <c r="AM70" s="6183"/>
      <c r="AN70" s="6183"/>
      <c r="AO70" s="6184"/>
      <c r="AP70" s="6183"/>
      <c r="AQ70" s="6183"/>
      <c r="AR70" s="6183"/>
      <c r="AS70" s="6183"/>
      <c r="AT70" s="6184"/>
      <c r="AU70" s="6183"/>
      <c r="AV70" s="6183"/>
      <c r="AW70" s="6183"/>
      <c r="AX70" s="6183"/>
      <c r="AY70" s="6184"/>
      <c r="AZ70" s="6183"/>
      <c r="BA70" s="6183"/>
      <c r="BB70" s="6183"/>
      <c r="BC70" s="6183"/>
      <c r="BD70" s="6184"/>
      <c r="BE70" s="6183"/>
      <c r="BF70" s="6183"/>
      <c r="BG70" s="6183"/>
      <c r="BH70" s="6183"/>
      <c r="BI70" s="6184"/>
      <c r="BJ70" s="6183"/>
      <c r="BK70" s="6183"/>
      <c r="BL70" s="6183"/>
      <c r="BM70" s="6183"/>
      <c r="BN70" s="6184"/>
      <c r="BO70" s="6183"/>
      <c r="BP70" s="6183"/>
      <c r="BQ70" s="6183"/>
      <c r="BR70" s="6185"/>
      <c r="BS70" s="6186"/>
      <c r="BT70" s="6183"/>
      <c r="BU70" s="6183"/>
      <c r="BV70" s="6183"/>
      <c r="BW70" s="6183"/>
      <c r="BX70" s="6184"/>
      <c r="BY70" s="6183"/>
      <c r="BZ70" s="6183"/>
      <c r="CA70" s="6183"/>
      <c r="CB70" s="6183"/>
      <c r="CC70" s="6184"/>
      <c r="CD70" s="6183"/>
      <c r="CE70" s="6183"/>
      <c r="CF70" s="6183"/>
      <c r="CG70" s="6183"/>
      <c r="CH70" s="6184"/>
      <c r="CI70" s="6183"/>
      <c r="CJ70" s="6183"/>
      <c r="CK70" s="6183"/>
      <c r="CL70" s="6183"/>
      <c r="CM70" s="6184">
        <f t="shared" ref="CM70:DR70" si="295">(SUM(CM12,CM17,CM20,CM23)-CM24)/(SUM(CH12,CH17,CH20,CH23)-CH24)-1</f>
        <v>0.2871699486474466</v>
      </c>
      <c r="CN70" s="6183">
        <f t="shared" si="295"/>
        <v>0.14224495438208451</v>
      </c>
      <c r="CO70" s="6183">
        <f t="shared" si="295"/>
        <v>0.11549707602339176</v>
      </c>
      <c r="CP70" s="6183">
        <f t="shared" si="295"/>
        <v>9.4314299658369904E-2</v>
      </c>
      <c r="CQ70" s="6183">
        <f t="shared" si="295"/>
        <v>0.17730496453900702</v>
      </c>
      <c r="CR70" s="6184">
        <f t="shared" si="295"/>
        <v>0.13350925140577385</v>
      </c>
      <c r="CS70" s="6183">
        <f t="shared" si="295"/>
        <v>0.1657993464843277</v>
      </c>
      <c r="CT70" s="6183">
        <f t="shared" si="295"/>
        <v>0.19790301441677594</v>
      </c>
      <c r="CU70" s="6183">
        <f t="shared" si="295"/>
        <v>0.18653138588471396</v>
      </c>
      <c r="CV70" s="6183">
        <f t="shared" si="295"/>
        <v>0.21734557276725952</v>
      </c>
      <c r="CW70" s="6184">
        <f t="shared" si="295"/>
        <v>0.19335975390072879</v>
      </c>
      <c r="CX70" s="6183">
        <f t="shared" si="295"/>
        <v>0.19838056680161942</v>
      </c>
      <c r="CY70" s="6183">
        <f t="shared" si="295"/>
        <v>0.19832902327431867</v>
      </c>
      <c r="CZ70" s="6183">
        <f t="shared" si="295"/>
        <v>0.19037774854350675</v>
      </c>
      <c r="DA70" s="6183">
        <f t="shared" si="295"/>
        <v>0.28520933155290229</v>
      </c>
      <c r="DB70" s="6184">
        <f t="shared" si="295"/>
        <v>0.22206223873664643</v>
      </c>
      <c r="DC70" s="6183">
        <f t="shared" si="295"/>
        <v>0.27927927927927931</v>
      </c>
      <c r="DD70" s="6183">
        <f t="shared" si="295"/>
        <v>0.30378486055776888</v>
      </c>
      <c r="DE70" s="6183">
        <f t="shared" si="295"/>
        <v>0.28694347963372269</v>
      </c>
      <c r="DF70" s="6183">
        <f t="shared" si="295"/>
        <v>0.3058305830583059</v>
      </c>
      <c r="DG70" s="6184">
        <f t="shared" si="295"/>
        <v>0.29499068830527153</v>
      </c>
      <c r="DH70" s="6183">
        <f t="shared" si="295"/>
        <v>0.24627573131094249</v>
      </c>
      <c r="DI70" s="6183">
        <f t="shared" si="295"/>
        <v>0.258594346829641</v>
      </c>
      <c r="DJ70" s="6183">
        <f t="shared" si="295"/>
        <v>0.30086487149604357</v>
      </c>
      <c r="DK70" s="6183">
        <f t="shared" si="295"/>
        <v>0.20111391931105493</v>
      </c>
      <c r="DL70" s="6184">
        <f t="shared" si="295"/>
        <v>0.24801526157458365</v>
      </c>
      <c r="DM70" s="6183">
        <f t="shared" si="295"/>
        <v>0.22461287693561527</v>
      </c>
      <c r="DN70" s="6183">
        <f t="shared" si="295"/>
        <v>0.10460293373798679</v>
      </c>
      <c r="DO70" s="6183">
        <f t="shared" si="295"/>
        <v>0.11274047529234243</v>
      </c>
      <c r="DP70" s="6183">
        <f t="shared" si="295"/>
        <v>7.3841717647975758E-2</v>
      </c>
      <c r="DQ70" s="6184">
        <f t="shared" si="295"/>
        <v>0.123321496601839</v>
      </c>
      <c r="DR70" s="6183">
        <f t="shared" si="295"/>
        <v>0.1278228847774967</v>
      </c>
      <c r="DS70" s="6183">
        <f t="shared" ref="DS70:EP70" si="296">(SUM(DS12,DS17,DS20,DS23)-DS24)/(SUM(DN12,DN17,DN20,DN23)-DN24)-1</f>
        <v>0.27241505632383922</v>
      </c>
      <c r="DT70" s="6183">
        <f t="shared" si="296"/>
        <v>0.21678884698504164</v>
      </c>
      <c r="DU70" s="6183">
        <f t="shared" si="296"/>
        <v>0.30847666739240864</v>
      </c>
      <c r="DV70" s="6184">
        <f t="shared" si="296"/>
        <v>0.23496346850336014</v>
      </c>
      <c r="DW70" s="6183">
        <f t="shared" si="296"/>
        <v>0.23615263571990552</v>
      </c>
      <c r="DX70" s="6183">
        <f t="shared" si="296"/>
        <v>0.19609889516680457</v>
      </c>
      <c r="DY70" s="6183">
        <f t="shared" si="296"/>
        <v>0.22427302803412852</v>
      </c>
      <c r="DZ70" s="6183">
        <f t="shared" si="296"/>
        <v>0.10549377409245952</v>
      </c>
      <c r="EA70" s="6184">
        <f t="shared" si="296"/>
        <v>0.18389401683321882</v>
      </c>
      <c r="EB70" s="6183">
        <f t="shared" si="296"/>
        <v>0.12551315915094041</v>
      </c>
      <c r="EC70" s="6183">
        <f t="shared" si="296"/>
        <v>3.667709712360101E-2</v>
      </c>
      <c r="ED70" s="6183">
        <f t="shared" si="296"/>
        <v>5.1486275067557985E-2</v>
      </c>
      <c r="EE70" s="6183">
        <f t="shared" si="296"/>
        <v>7.7891779344254175E-2</v>
      </c>
      <c r="EF70" s="6184">
        <f t="shared" si="296"/>
        <v>7.2152179671671091E-2</v>
      </c>
      <c r="EG70" s="6183">
        <f t="shared" si="296"/>
        <v>4.2129668900387385E-2</v>
      </c>
      <c r="EH70" s="6183">
        <f t="shared" si="296"/>
        <v>0.10477434334639391</v>
      </c>
      <c r="EI70" s="6183">
        <f t="shared" si="296"/>
        <v>8.7028269985121032E-2</v>
      </c>
      <c r="EJ70" s="6183">
        <f t="shared" si="296"/>
        <v>4.3544032768571883E-2</v>
      </c>
      <c r="EK70" s="6184">
        <f t="shared" si="296"/>
        <v>6.8031117491903492E-2</v>
      </c>
      <c r="EL70" s="6183">
        <f t="shared" si="296"/>
        <v>9.5151531595083716E-2</v>
      </c>
      <c r="EM70" s="6183">
        <f t="shared" si="296"/>
        <v>0.16784447655326407</v>
      </c>
      <c r="EN70" s="6183">
        <f t="shared" si="296"/>
        <v>0.15516898113583188</v>
      </c>
      <c r="EO70" s="6183">
        <f t="shared" si="296"/>
        <v>0.16241450843848204</v>
      </c>
      <c r="EP70" s="6184">
        <f t="shared" si="296"/>
        <v>0.14638655110803911</v>
      </c>
      <c r="EQ70" s="6183">
        <f t="shared" ref="EQ70" si="297">(SUM(EQ12,EQ17,EQ20,EQ23)-EQ24)/(SUM(EL12,EL17,EL20,EL23)-EL24)-1</f>
        <v>0.17190812221853613</v>
      </c>
      <c r="ER70" s="6183">
        <f t="shared" ref="ER70" si="298">(SUM(ER12,ER17,ER20,ER23)-ER24)/(SUM(EM12,EM17,EM20,EM23)-EM24)-1</f>
        <v>0.14030579297487589</v>
      </c>
      <c r="ES70" s="6183">
        <f t="shared" ref="ES70" si="299">(SUM(ES12,ES17,ES20,ES23)-ES24)/(SUM(EN12,EN17,EN20,EN23)-EN24)-1</f>
        <v>0.18770069611612006</v>
      </c>
      <c r="ET70" s="6183">
        <f t="shared" ref="ET70:EU70" si="300">(SUM(ET12,ET17,ET20,ET23)-ET24)/(SUM(EO12,EO17,EO20,EO23)-EO24)-1</f>
        <v>0.18717375455319973</v>
      </c>
      <c r="EU70" s="6184">
        <f t="shared" si="300"/>
        <v>0.17258364599106235</v>
      </c>
      <c r="EV70" s="6184">
        <f>(SUM(EV12,EV17,EV20,EV23)-EV24)/(SUM(EU12,EU17,EU20,EU23)-EU24)-1</f>
        <v>0.16740730236578072</v>
      </c>
      <c r="EW70" s="6184">
        <f>(SUM(EW12,EW17,EW20,EW23)-EW24)/(SUM(EV12,EV17,EV20,EV23)-EV24)-1</f>
        <v>0.12403116114763102</v>
      </c>
      <c r="EX70" s="6184">
        <f>(SUM(EX12,EX17,EX20,EX23)-EX24)/(SUM(EW12,EW17,EW20,EW23)-EW24)-1</f>
        <v>0.10210111819914247</v>
      </c>
      <c r="EY70" s="6184">
        <f>(SUM(EY12,EY17,EY20,EY23)-EY24)/(SUM(EX12,EX17,EX20,EX23)-EX24)-1</f>
        <v>8.8112751317385607E-2</v>
      </c>
      <c r="EZ70" s="624"/>
      <c r="FA70" s="4266"/>
      <c r="FB70" s="1319"/>
      <c r="FC70" s="1319"/>
      <c r="FD70" s="1319"/>
      <c r="FE70" s="1319"/>
      <c r="FF70" s="1319"/>
      <c r="FG70" s="1319"/>
      <c r="FH70" s="1319"/>
      <c r="FI70" s="1319"/>
      <c r="FJ70" s="1319"/>
      <c r="FK70" s="1319"/>
      <c r="FL70" s="1319"/>
      <c r="FM70" s="312"/>
      <c r="FN70" s="312"/>
    </row>
    <row r="71" spans="1:170" s="151" customFormat="1" ht="11.25" customHeight="1" collapsed="1">
      <c r="A71" s="3759" t="s">
        <v>561</v>
      </c>
      <c r="B71" s="3412"/>
      <c r="C71" s="3412"/>
      <c r="D71" s="3412"/>
      <c r="E71" s="3412"/>
      <c r="F71" s="3413"/>
      <c r="G71" s="3412"/>
      <c r="H71" s="3412"/>
      <c r="I71" s="3412"/>
      <c r="J71" s="3412"/>
      <c r="K71" s="3413">
        <f>K27/F27-1</f>
        <v>1.2616635972989561</v>
      </c>
      <c r="L71" s="3412"/>
      <c r="M71" s="3412"/>
      <c r="N71" s="3412"/>
      <c r="O71" s="3412"/>
      <c r="P71" s="3413">
        <f>P27/K27-1</f>
        <v>-1.7439777430956105</v>
      </c>
      <c r="Q71" s="3412"/>
      <c r="R71" s="3412"/>
      <c r="S71" s="3412"/>
      <c r="T71" s="3412"/>
      <c r="U71" s="3413">
        <f t="shared" ref="U71:BN71" si="301">U27/P27-1</f>
        <v>16.007114191900751</v>
      </c>
      <c r="V71" s="3412">
        <f t="shared" si="301"/>
        <v>4.570197935161441</v>
      </c>
      <c r="W71" s="3412">
        <f t="shared" si="301"/>
        <v>2.3695854905617888</v>
      </c>
      <c r="X71" s="3412">
        <f t="shared" si="301"/>
        <v>0.1694340484599306</v>
      </c>
      <c r="Y71" s="3412">
        <f t="shared" si="301"/>
        <v>3.8066523321600876E-2</v>
      </c>
      <c r="Z71" s="3413">
        <f t="shared" si="301"/>
        <v>0.83660291956710542</v>
      </c>
      <c r="AA71" s="3412">
        <f t="shared" si="301"/>
        <v>0.83367175878922417</v>
      </c>
      <c r="AB71" s="3412">
        <f t="shared" si="301"/>
        <v>0.63152771415483255</v>
      </c>
      <c r="AC71" s="3412">
        <f t="shared" si="301"/>
        <v>2.1869703708155512</v>
      </c>
      <c r="AD71" s="3412">
        <f t="shared" si="301"/>
        <v>2.5038880788724591</v>
      </c>
      <c r="AE71" s="3413">
        <f t="shared" si="301"/>
        <v>1.4562932162212672</v>
      </c>
      <c r="AF71" s="3412">
        <f t="shared" si="301"/>
        <v>1.8506402786451459</v>
      </c>
      <c r="AG71" s="3412">
        <f t="shared" si="301"/>
        <v>1.7825430807566769</v>
      </c>
      <c r="AH71" s="3412">
        <f t="shared" si="301"/>
        <v>1.4947716300822207</v>
      </c>
      <c r="AI71" s="3412">
        <f t="shared" si="301"/>
        <v>1.1784748298376151</v>
      </c>
      <c r="AJ71" s="3413">
        <f t="shared" si="301"/>
        <v>1.5051106049510694</v>
      </c>
      <c r="AK71" s="3412">
        <f t="shared" si="301"/>
        <v>0.67739232558664808</v>
      </c>
      <c r="AL71" s="3412">
        <f t="shared" si="301"/>
        <v>0.71405387451702595</v>
      </c>
      <c r="AM71" s="3412">
        <f t="shared" si="301"/>
        <v>0.75998117810688726</v>
      </c>
      <c r="AN71" s="3412">
        <f t="shared" si="301"/>
        <v>0.6078376083924566</v>
      </c>
      <c r="AO71" s="3413">
        <f t="shared" si="301"/>
        <v>0.6846350198526161</v>
      </c>
      <c r="AP71" s="3412">
        <f t="shared" si="301"/>
        <v>0.6442852353375994</v>
      </c>
      <c r="AQ71" s="3412">
        <f t="shared" si="301"/>
        <v>0.3547374695231138</v>
      </c>
      <c r="AR71" s="3412">
        <f t="shared" si="301"/>
        <v>0.41500390301622159</v>
      </c>
      <c r="AS71" s="3412">
        <f t="shared" si="301"/>
        <v>0.3584217900534985</v>
      </c>
      <c r="AT71" s="3413">
        <f t="shared" si="301"/>
        <v>0.432225557437248</v>
      </c>
      <c r="AU71" s="3412">
        <f t="shared" si="301"/>
        <v>0.26615100281769921</v>
      </c>
      <c r="AV71" s="3412">
        <f t="shared" si="301"/>
        <v>0.42852034419232043</v>
      </c>
      <c r="AW71" s="3412">
        <f t="shared" si="301"/>
        <v>0.25020393265631458</v>
      </c>
      <c r="AX71" s="3412">
        <f t="shared" si="301"/>
        <v>0.29115020538142411</v>
      </c>
      <c r="AY71" s="3413">
        <f t="shared" si="301"/>
        <v>0.30437721695501607</v>
      </c>
      <c r="AZ71" s="3412">
        <f t="shared" si="301"/>
        <v>0.21817899607756885</v>
      </c>
      <c r="BA71" s="3412">
        <f t="shared" si="301"/>
        <v>0.18753838012883639</v>
      </c>
      <c r="BB71" s="3412">
        <f t="shared" si="301"/>
        <v>0.25865625938885595</v>
      </c>
      <c r="BC71" s="3412">
        <f t="shared" si="301"/>
        <v>0.3337155494773687</v>
      </c>
      <c r="BD71" s="3413">
        <f t="shared" si="301"/>
        <v>0.25335115408410336</v>
      </c>
      <c r="BE71" s="3414">
        <f t="shared" si="301"/>
        <v>0.32088123164742255</v>
      </c>
      <c r="BF71" s="3412">
        <f t="shared" si="301"/>
        <v>0.26207779095295702</v>
      </c>
      <c r="BG71" s="3412">
        <f t="shared" si="301"/>
        <v>0.2282287176944986</v>
      </c>
      <c r="BH71" s="3412">
        <f t="shared" si="301"/>
        <v>0.20194293955258846</v>
      </c>
      <c r="BI71" s="3413">
        <f t="shared" si="301"/>
        <v>0.249009586647845</v>
      </c>
      <c r="BJ71" s="3412">
        <f t="shared" si="301"/>
        <v>0.1237942122186495</v>
      </c>
      <c r="BK71" s="3412">
        <f t="shared" si="301"/>
        <v>0.21818181818181825</v>
      </c>
      <c r="BL71" s="3412">
        <f t="shared" si="301"/>
        <v>0.20062819002748333</v>
      </c>
      <c r="BM71" s="3412">
        <f t="shared" si="301"/>
        <v>0.176056338028169</v>
      </c>
      <c r="BN71" s="3413">
        <f t="shared" si="301"/>
        <v>0.17915623193989605</v>
      </c>
      <c r="BO71" s="3412">
        <v>0.21208869814020037</v>
      </c>
      <c r="BP71" s="3412">
        <v>0.11176674765706363</v>
      </c>
      <c r="BQ71" s="3412">
        <v>-0.10529758011772405</v>
      </c>
      <c r="BR71" s="3415">
        <v>-3.2221271742229773E-2</v>
      </c>
      <c r="BS71" s="3416">
        <v>3.9209279529488716E-2</v>
      </c>
      <c r="BT71" s="3412">
        <f>BT27/BJ27-1</f>
        <v>0.21208869814020037</v>
      </c>
      <c r="BU71" s="3412">
        <f>BU27/BK27-1</f>
        <v>0.19264144394307525</v>
      </c>
      <c r="BV71" s="3412">
        <f>BV27/BL27-1</f>
        <v>6.7037279267495142E-2</v>
      </c>
      <c r="BW71" s="3412">
        <f>BW27/BM27-1</f>
        <v>6.8434559452523525E-2</v>
      </c>
      <c r="BX71" s="3413">
        <f>BX27/BN27-1</f>
        <v>0.13004411043947073</v>
      </c>
      <c r="BY71" s="3412">
        <v>2.5966361758630763E-2</v>
      </c>
      <c r="BZ71" s="3412">
        <v>-2.4976584452076178E-2</v>
      </c>
      <c r="CA71" s="3412">
        <v>0.25877192982456143</v>
      </c>
      <c r="CB71" s="3412">
        <v>0.15556865055981151</v>
      </c>
      <c r="CC71" s="3413">
        <v>9.7783367395063658E-2</v>
      </c>
      <c r="CD71" s="3412">
        <f>CD27/BT27-1</f>
        <v>0.10593095308350553</v>
      </c>
      <c r="CE71" s="3412">
        <f>CE27/BU27-1</f>
        <v>8.4400465657741286E-3</v>
      </c>
      <c r="CF71" s="3412">
        <f>CF27/BV27-1</f>
        <v>0.15262028807845551</v>
      </c>
      <c r="CG71" s="3412">
        <f>CG27/BW27-1</f>
        <v>0.18201227648785689</v>
      </c>
      <c r="CH71" s="3413">
        <f>CH27/BX27-1</f>
        <v>0.11341622090501668</v>
      </c>
      <c r="CI71" s="3412">
        <f t="shared" ref="CI71:DN71" si="302">CI27/CD27-1</f>
        <v>9.7918890074706555E-2</v>
      </c>
      <c r="CJ71" s="3412">
        <f t="shared" si="302"/>
        <v>0.22886002886002887</v>
      </c>
      <c r="CK71" s="3412">
        <f t="shared" si="302"/>
        <v>-9.8378090933262108E-3</v>
      </c>
      <c r="CL71" s="3412">
        <f t="shared" si="302"/>
        <v>-6.7735380447053739E-3</v>
      </c>
      <c r="CM71" s="3413">
        <f t="shared" si="302"/>
        <v>7.0960202557943219E-2</v>
      </c>
      <c r="CN71" s="3412">
        <f t="shared" si="302"/>
        <v>8.0680437424058393E-2</v>
      </c>
      <c r="CO71" s="3412">
        <f t="shared" si="302"/>
        <v>0.13316110850164398</v>
      </c>
      <c r="CP71" s="3412">
        <f t="shared" si="302"/>
        <v>0.26423200859291085</v>
      </c>
      <c r="CQ71" s="3412">
        <f t="shared" si="302"/>
        <v>0.22300522846101378</v>
      </c>
      <c r="CR71" s="3413">
        <f t="shared" si="302"/>
        <v>0.17361784675072744</v>
      </c>
      <c r="CS71" s="3412">
        <f t="shared" si="302"/>
        <v>0.20125927591634807</v>
      </c>
      <c r="CT71" s="3412">
        <f t="shared" si="302"/>
        <v>0.23689119170984463</v>
      </c>
      <c r="CU71" s="3412">
        <f t="shared" si="302"/>
        <v>0.22493627867459653</v>
      </c>
      <c r="CV71" s="3412">
        <f t="shared" si="302"/>
        <v>0.23401486988847586</v>
      </c>
      <c r="CW71" s="3413">
        <f t="shared" si="302"/>
        <v>0.22500000000000009</v>
      </c>
      <c r="CX71" s="3412">
        <f t="shared" si="302"/>
        <v>0.229502059153875</v>
      </c>
      <c r="CY71" s="3412">
        <f t="shared" si="302"/>
        <v>-0.30764075067024133</v>
      </c>
      <c r="CZ71" s="3412">
        <f t="shared" si="302"/>
        <v>0.34940176868389106</v>
      </c>
      <c r="DA71" s="3412">
        <f t="shared" si="302"/>
        <v>0.15439072149420086</v>
      </c>
      <c r="DB71" s="3413">
        <f t="shared" si="302"/>
        <v>0.10246247259234265</v>
      </c>
      <c r="DC71" s="3412">
        <f t="shared" si="302"/>
        <v>0.16214981729598055</v>
      </c>
      <c r="DD71" s="3412">
        <f t="shared" si="302"/>
        <v>-0.26306873184898349</v>
      </c>
      <c r="DE71" s="3412">
        <f t="shared" si="302"/>
        <v>0.10832690824980729</v>
      </c>
      <c r="DF71" s="3412">
        <f t="shared" si="302"/>
        <v>7.2677453027139904E-2</v>
      </c>
      <c r="DG71" s="3413">
        <f t="shared" si="302"/>
        <v>5.2704046508070146E-2</v>
      </c>
      <c r="DH71" s="3412">
        <f t="shared" si="302"/>
        <v>-0.13428533997117775</v>
      </c>
      <c r="DI71" s="3412">
        <f t="shared" si="302"/>
        <v>2.0147783251231526</v>
      </c>
      <c r="DJ71" s="3412">
        <f t="shared" si="302"/>
        <v>6.4000000000000057E-2</v>
      </c>
      <c r="DK71" s="3412">
        <f t="shared" si="302"/>
        <v>0.12711348984308479</v>
      </c>
      <c r="DL71" s="3413">
        <f t="shared" si="302"/>
        <v>0.24367824444121489</v>
      </c>
      <c r="DM71" s="3412">
        <f t="shared" si="302"/>
        <v>0.20717312348668271</v>
      </c>
      <c r="DN71" s="3412">
        <f t="shared" si="302"/>
        <v>-0.30468409586056644</v>
      </c>
      <c r="DO71" s="3412">
        <f t="shared" ref="DO71:EP73" si="303">DO27/DJ27-1</f>
        <v>0.22185899531437281</v>
      </c>
      <c r="DP71" s="3412">
        <f t="shared" si="303"/>
        <v>0.68907835096050074</v>
      </c>
      <c r="DQ71" s="3413">
        <f t="shared" si="303"/>
        <v>0.20428851041453644</v>
      </c>
      <c r="DR71" s="3412">
        <f t="shared" si="303"/>
        <v>1.0605490786009777</v>
      </c>
      <c r="DS71" s="3412">
        <f t="shared" si="303"/>
        <v>2.0332132226225914</v>
      </c>
      <c r="DT71" s="3412">
        <f t="shared" si="303"/>
        <v>0.87559083206991883</v>
      </c>
      <c r="DU71" s="3412">
        <f t="shared" si="303"/>
        <v>0.39831320682384508</v>
      </c>
      <c r="DV71" s="3413">
        <f t="shared" si="303"/>
        <v>0.90942169609935952</v>
      </c>
      <c r="DW71" s="3412">
        <f t="shared" si="303"/>
        <v>0.22248585508304441</v>
      </c>
      <c r="DX71" s="3412">
        <f t="shared" si="303"/>
        <v>4.751820670420015E-3</v>
      </c>
      <c r="DY71" s="3412">
        <f t="shared" si="303"/>
        <v>-0.18525034472920932</v>
      </c>
      <c r="DZ71" s="3412">
        <f t="shared" si="303"/>
        <v>-0.17020790495773364</v>
      </c>
      <c r="EA71" s="3413">
        <f t="shared" si="303"/>
        <v>-4.9190741164214735E-2</v>
      </c>
      <c r="EB71" s="3412">
        <f t="shared" si="303"/>
        <v>-0.13332338011346667</v>
      </c>
      <c r="EC71" s="3412">
        <f t="shared" si="303"/>
        <v>0.12260319745026482</v>
      </c>
      <c r="ED71" s="3412">
        <f t="shared" si="303"/>
        <v>0.24557922381091335</v>
      </c>
      <c r="EE71" s="3412">
        <f t="shared" si="303"/>
        <v>0.30490088105726865</v>
      </c>
      <c r="EF71" s="3413">
        <f t="shared" si="303"/>
        <v>0.12627936185564259</v>
      </c>
      <c r="EG71" s="3412">
        <f t="shared" si="303"/>
        <v>0.46264714326729828</v>
      </c>
      <c r="EH71" s="3412">
        <f t="shared" si="303"/>
        <v>0.25583844674420742</v>
      </c>
      <c r="EI71" s="3412">
        <f t="shared" si="303"/>
        <v>0.33631635665089266</v>
      </c>
      <c r="EJ71" s="3412">
        <f t="shared" si="303"/>
        <v>0.30700088618812504</v>
      </c>
      <c r="EK71" s="3413">
        <f t="shared" si="303"/>
        <v>0.33332542441246593</v>
      </c>
      <c r="EL71" s="3412">
        <f t="shared" si="303"/>
        <v>0.20155464824120606</v>
      </c>
      <c r="EM71" s="3412">
        <f t="shared" si="303"/>
        <v>0.14023701002734734</v>
      </c>
      <c r="EN71" s="3412">
        <f t="shared" si="303"/>
        <v>9.491252059885702E-2</v>
      </c>
      <c r="EO71" s="3412">
        <f t="shared" si="303"/>
        <v>0.20558396070249829</v>
      </c>
      <c r="EP71" s="3413">
        <f t="shared" si="303"/>
        <v>0.16064014975422869</v>
      </c>
      <c r="EQ71" s="3412">
        <f t="shared" ref="EQ71:EQ73" si="304">EQ27/EL27-1</f>
        <v>0.21297685713530945</v>
      </c>
      <c r="ER71" s="3412">
        <f t="shared" ref="ER71:ER73" si="305">ER27/EM27-1</f>
        <v>0.24490836131851168</v>
      </c>
      <c r="ES71" s="3412">
        <f t="shared" ref="ES71:ES73" si="306">ES27/EN27-1</f>
        <v>0.28449096369099625</v>
      </c>
      <c r="ET71" s="3412">
        <f t="shared" ref="ET71:EU73" si="307">ET27/EO27-1</f>
        <v>0.16726983190494771</v>
      </c>
      <c r="EU71" s="3413">
        <f t="shared" si="307"/>
        <v>0.22466844959723908</v>
      </c>
      <c r="EV71" s="3413">
        <f t="shared" ref="EV71:EY73" si="308">EV27/EU27-1</f>
        <v>0.11854636596846535</v>
      </c>
      <c r="EW71" s="3413">
        <f t="shared" si="308"/>
        <v>0.13812507472985036</v>
      </c>
      <c r="EX71" s="3413">
        <f t="shared" si="308"/>
        <v>0.13177138617716455</v>
      </c>
      <c r="EY71" s="3413">
        <f t="shared" si="308"/>
        <v>0.13240128075259205</v>
      </c>
      <c r="EZ71" s="624"/>
      <c r="FA71" s="4266"/>
      <c r="FB71" s="1319"/>
      <c r="FC71" s="1319"/>
      <c r="FD71" s="1319"/>
      <c r="FE71" s="1319"/>
      <c r="FF71" s="1319"/>
      <c r="FG71" s="1319"/>
      <c r="FH71" s="1319"/>
      <c r="FI71" s="1319"/>
      <c r="FJ71" s="1319"/>
      <c r="FK71" s="1319"/>
      <c r="FL71" s="1319"/>
    </row>
    <row r="72" spans="1:170" s="151" customFormat="1" ht="11.25" customHeight="1">
      <c r="A72" s="3759" t="s">
        <v>514</v>
      </c>
      <c r="B72" s="3412"/>
      <c r="C72" s="3412"/>
      <c r="D72" s="3412"/>
      <c r="E72" s="3412"/>
      <c r="F72" s="3413"/>
      <c r="G72" s="3412"/>
      <c r="H72" s="3412"/>
      <c r="I72" s="3412"/>
      <c r="J72" s="3412"/>
      <c r="K72" s="3413"/>
      <c r="L72" s="3412"/>
      <c r="M72" s="3412"/>
      <c r="N72" s="3412"/>
      <c r="O72" s="3412"/>
      <c r="P72" s="3413"/>
      <c r="Q72" s="3412"/>
      <c r="R72" s="3412"/>
      <c r="S72" s="3412"/>
      <c r="T72" s="3412"/>
      <c r="U72" s="3413"/>
      <c r="V72" s="3412"/>
      <c r="W72" s="3412"/>
      <c r="X72" s="3412"/>
      <c r="Y72" s="3412"/>
      <c r="Z72" s="3413"/>
      <c r="AA72" s="3412"/>
      <c r="AB72" s="3412"/>
      <c r="AC72" s="3412"/>
      <c r="AD72" s="3412"/>
      <c r="AE72" s="3413"/>
      <c r="AF72" s="3412"/>
      <c r="AG72" s="3412"/>
      <c r="AH72" s="3412"/>
      <c r="AI72" s="3412"/>
      <c r="AJ72" s="3413"/>
      <c r="AK72" s="3412"/>
      <c r="AL72" s="3412"/>
      <c r="AM72" s="3412"/>
      <c r="AN72" s="3412"/>
      <c r="AO72" s="3413"/>
      <c r="AP72" s="3412"/>
      <c r="AQ72" s="3412"/>
      <c r="AR72" s="3412"/>
      <c r="AS72" s="3412"/>
      <c r="AT72" s="3413"/>
      <c r="AU72" s="3412"/>
      <c r="AV72" s="3412"/>
      <c r="AW72" s="3412"/>
      <c r="AX72" s="3412"/>
      <c r="AY72" s="3413"/>
      <c r="AZ72" s="3412"/>
      <c r="BA72" s="3412"/>
      <c r="BB72" s="3412"/>
      <c r="BC72" s="3412"/>
      <c r="BD72" s="3413"/>
      <c r="BE72" s="3617"/>
      <c r="BF72" s="3412"/>
      <c r="BG72" s="3412"/>
      <c r="BH72" s="3412"/>
      <c r="BI72" s="3413"/>
      <c r="BJ72" s="3412"/>
      <c r="BK72" s="3412"/>
      <c r="BL72" s="3412"/>
      <c r="BM72" s="3412"/>
      <c r="BN72" s="3413"/>
      <c r="BO72" s="3412"/>
      <c r="BP72" s="3412"/>
      <c r="BQ72" s="3412"/>
      <c r="BR72" s="3415"/>
      <c r="BS72" s="3618"/>
      <c r="BT72" s="3412"/>
      <c r="BU72" s="3412"/>
      <c r="BV72" s="3412"/>
      <c r="BW72" s="3412"/>
      <c r="BX72" s="3413"/>
      <c r="BY72" s="3412"/>
      <c r="BZ72" s="3412"/>
      <c r="CA72" s="3412"/>
      <c r="CB72" s="3412"/>
      <c r="CC72" s="3413"/>
      <c r="CD72" s="3412"/>
      <c r="CE72" s="3412"/>
      <c r="CF72" s="3412"/>
      <c r="CG72" s="3412"/>
      <c r="CH72" s="3413"/>
      <c r="CI72" s="3412"/>
      <c r="CJ72" s="3412"/>
      <c r="CK72" s="3412"/>
      <c r="CL72" s="3412"/>
      <c r="CM72" s="3413"/>
      <c r="CN72" s="3412"/>
      <c r="CO72" s="3412"/>
      <c r="CP72" s="3412"/>
      <c r="CQ72" s="3412"/>
      <c r="CR72" s="3413"/>
      <c r="CS72" s="3412"/>
      <c r="CT72" s="3412"/>
      <c r="CU72" s="3412"/>
      <c r="CV72" s="3412"/>
      <c r="CW72" s="3413">
        <f t="shared" ref="CW72:DF73" si="309">CW28/CR28-1</f>
        <v>0.22500000000000009</v>
      </c>
      <c r="CX72" s="3412">
        <f t="shared" si="309"/>
        <v>0.229502059153875</v>
      </c>
      <c r="CY72" s="3412">
        <f t="shared" si="309"/>
        <v>0.15080428954423586</v>
      </c>
      <c r="CZ72" s="3412">
        <f t="shared" si="309"/>
        <v>0.34940176868389106</v>
      </c>
      <c r="DA72" s="3412">
        <f t="shared" si="309"/>
        <v>0.15439072149420086</v>
      </c>
      <c r="DB72" s="3413">
        <f t="shared" si="309"/>
        <v>0.21782762691853597</v>
      </c>
      <c r="DC72" s="3412">
        <f t="shared" si="309"/>
        <v>0.16214981729598055</v>
      </c>
      <c r="DD72" s="3412">
        <f t="shared" si="309"/>
        <v>0.18171228887594637</v>
      </c>
      <c r="DE72" s="3412">
        <f t="shared" si="309"/>
        <v>0.10832690824980729</v>
      </c>
      <c r="DF72" s="3412">
        <f t="shared" si="309"/>
        <v>7.2677453027139904E-2</v>
      </c>
      <c r="DG72" s="3413">
        <f t="shared" ref="DG72:DP73" si="310">DG28/DB28-1</f>
        <v>0.12855757911501975</v>
      </c>
      <c r="DH72" s="3412">
        <f t="shared" si="310"/>
        <v>8.8038778985982002E-2</v>
      </c>
      <c r="DI72" s="3412">
        <f t="shared" si="310"/>
        <v>0.13109906357811729</v>
      </c>
      <c r="DJ72" s="3412">
        <f t="shared" si="310"/>
        <v>6.4000000000000057E-2</v>
      </c>
      <c r="DK72" s="3412">
        <f t="shared" si="310"/>
        <v>0.12711348984308479</v>
      </c>
      <c r="DL72" s="3413">
        <f t="shared" si="310"/>
        <v>0.10225494707777272</v>
      </c>
      <c r="DM72" s="3412">
        <f t="shared" si="310"/>
        <v>-3.9494280553883154E-2</v>
      </c>
      <c r="DN72" s="3412">
        <f t="shared" si="310"/>
        <v>-0.30468409586056644</v>
      </c>
      <c r="DO72" s="3412">
        <f t="shared" si="310"/>
        <v>0.22185899531437281</v>
      </c>
      <c r="DP72" s="3412">
        <f t="shared" si="310"/>
        <v>0.68907835096050074</v>
      </c>
      <c r="DQ72" s="3413">
        <f t="shared" ref="DQ72:DZ73" si="311">DQ28/DL28-1</f>
        <v>0.14740592295702526</v>
      </c>
      <c r="DR72" s="3412">
        <f t="shared" si="311"/>
        <v>1.0605490786009777</v>
      </c>
      <c r="DS72" s="3412">
        <f t="shared" si="311"/>
        <v>2.0332132226225914</v>
      </c>
      <c r="DT72" s="3412">
        <f t="shared" si="311"/>
        <v>0.87559083206991883</v>
      </c>
      <c r="DU72" s="3412">
        <f t="shared" si="311"/>
        <v>0.39831320682384508</v>
      </c>
      <c r="DV72" s="3413">
        <f t="shared" si="311"/>
        <v>0.90942169609935952</v>
      </c>
      <c r="DW72" s="3412">
        <f t="shared" si="311"/>
        <v>0.22248585508304441</v>
      </c>
      <c r="DX72" s="3412">
        <f t="shared" si="311"/>
        <v>4.751820670420015E-3</v>
      </c>
      <c r="DY72" s="3412">
        <f t="shared" si="311"/>
        <v>-0.18525034472920932</v>
      </c>
      <c r="DZ72" s="3412">
        <f t="shared" si="311"/>
        <v>-0.17020790495773364</v>
      </c>
      <c r="EA72" s="3413">
        <f t="shared" ref="EA72:EJ73" si="312">EA28/DV28-1</f>
        <v>-4.9190741164214735E-2</v>
      </c>
      <c r="EB72" s="3412">
        <f t="shared" si="312"/>
        <v>-0.13332338011346667</v>
      </c>
      <c r="EC72" s="3412">
        <f t="shared" si="312"/>
        <v>0.12260319745026482</v>
      </c>
      <c r="ED72" s="3412">
        <f t="shared" si="312"/>
        <v>0.24557922381091335</v>
      </c>
      <c r="EE72" s="3412">
        <f t="shared" si="312"/>
        <v>0.30490088105726865</v>
      </c>
      <c r="EF72" s="3413">
        <f t="shared" si="312"/>
        <v>0.12627936185564259</v>
      </c>
      <c r="EG72" s="3412">
        <f t="shared" si="312"/>
        <v>0.46264714326729828</v>
      </c>
      <c r="EH72" s="3412">
        <f t="shared" si="312"/>
        <v>0.25583844674420742</v>
      </c>
      <c r="EI72" s="3412">
        <f t="shared" si="312"/>
        <v>0.33631635665089266</v>
      </c>
      <c r="EJ72" s="3412">
        <f t="shared" si="312"/>
        <v>0.30700088618812504</v>
      </c>
      <c r="EK72" s="3413">
        <f t="shared" ref="EK72:EP73" si="313">EK28/EF28-1</f>
        <v>0.33332542441246593</v>
      </c>
      <c r="EL72" s="3412">
        <f t="shared" si="313"/>
        <v>0.20155464824120606</v>
      </c>
      <c r="EM72" s="3412">
        <f t="shared" si="313"/>
        <v>0.14023701002734734</v>
      </c>
      <c r="EN72" s="3412">
        <f t="shared" si="303"/>
        <v>9.491252059885702E-2</v>
      </c>
      <c r="EO72" s="3412">
        <f t="shared" si="313"/>
        <v>0.20558396070249829</v>
      </c>
      <c r="EP72" s="3413">
        <f t="shared" si="313"/>
        <v>0.16064014975422891</v>
      </c>
      <c r="EQ72" s="3412">
        <f t="shared" si="304"/>
        <v>0.21297685713530945</v>
      </c>
      <c r="ER72" s="3412">
        <f t="shared" si="305"/>
        <v>0.24490836131851168</v>
      </c>
      <c r="ES72" s="3412">
        <f t="shared" si="306"/>
        <v>0.28449096369099625</v>
      </c>
      <c r="ET72" s="3412">
        <f t="shared" si="307"/>
        <v>0.16726983190494771</v>
      </c>
      <c r="EU72" s="3413">
        <f t="shared" si="307"/>
        <v>0.22466844959723886</v>
      </c>
      <c r="EV72" s="3413">
        <f t="shared" si="308"/>
        <v>0.11854636596846535</v>
      </c>
      <c r="EW72" s="3413">
        <f t="shared" si="308"/>
        <v>0.13812507472985036</v>
      </c>
      <c r="EX72" s="3413">
        <f t="shared" si="308"/>
        <v>0.13177138617716455</v>
      </c>
      <c r="EY72" s="3413">
        <f t="shared" si="308"/>
        <v>0.13240128075259205</v>
      </c>
      <c r="EZ72" s="624"/>
      <c r="FA72" s="4266"/>
      <c r="FB72" s="1319"/>
      <c r="FC72" s="1319"/>
      <c r="FD72" s="1319"/>
      <c r="FE72" s="1319"/>
      <c r="FF72" s="1319"/>
      <c r="FG72" s="1319"/>
      <c r="FH72" s="1319"/>
      <c r="FI72" s="1319"/>
      <c r="FJ72" s="1319"/>
      <c r="FK72" s="1319"/>
      <c r="FL72" s="1319"/>
      <c r="FM72" s="312"/>
      <c r="FN72" s="312"/>
    </row>
    <row r="73" spans="1:170" s="151" customFormat="1" ht="11.25" customHeight="1">
      <c r="A73" s="3759" t="str">
        <f>A29</f>
        <v>JPMe Adjusted Operating income</v>
      </c>
      <c r="B73" s="3412"/>
      <c r="C73" s="3412"/>
      <c r="D73" s="3412"/>
      <c r="E73" s="3412"/>
      <c r="F73" s="3413"/>
      <c r="G73" s="3412"/>
      <c r="H73" s="3412"/>
      <c r="I73" s="3412"/>
      <c r="J73" s="3412"/>
      <c r="K73" s="3413">
        <f>K29/F29-1</f>
        <v>0.87707182320441968</v>
      </c>
      <c r="L73" s="3412"/>
      <c r="M73" s="3412"/>
      <c r="N73" s="3412"/>
      <c r="O73" s="3412"/>
      <c r="P73" s="3413">
        <f>P29/K29-1</f>
        <v>1.0802060338484192</v>
      </c>
      <c r="Q73" s="3412"/>
      <c r="R73" s="3412"/>
      <c r="S73" s="3412"/>
      <c r="T73" s="3412"/>
      <c r="U73" s="3413">
        <f t="shared" ref="U73:BN73" si="314">U29/P29-1</f>
        <v>-9.1791062374719932</v>
      </c>
      <c r="V73" s="3412">
        <f t="shared" si="314"/>
        <v>5.381328697118172</v>
      </c>
      <c r="W73" s="3412">
        <f t="shared" si="314"/>
        <v>2.9891192007349559</v>
      </c>
      <c r="X73" s="3412">
        <f t="shared" si="314"/>
        <v>1.2244234883905225</v>
      </c>
      <c r="Y73" s="3412">
        <f t="shared" si="314"/>
        <v>0.87955215860866476</v>
      </c>
      <c r="Z73" s="3413">
        <f t="shared" si="314"/>
        <v>1.7478243737415964</v>
      </c>
      <c r="AA73" s="3412">
        <f t="shared" si="314"/>
        <v>0.91370826590931631</v>
      </c>
      <c r="AB73" s="3412">
        <f t="shared" si="314"/>
        <v>0.76841143153243241</v>
      </c>
      <c r="AC73" s="3412">
        <f t="shared" si="314"/>
        <v>0.9956750979693616</v>
      </c>
      <c r="AD73" s="3412">
        <f t="shared" si="314"/>
        <v>1.1139193241619121</v>
      </c>
      <c r="AE73" s="3413">
        <f t="shared" si="314"/>
        <v>0.95853276789227482</v>
      </c>
      <c r="AF73" s="3412">
        <f t="shared" si="314"/>
        <v>1.1211668881257659</v>
      </c>
      <c r="AG73" s="3412">
        <f t="shared" si="314"/>
        <v>1.1285940444165892</v>
      </c>
      <c r="AH73" s="3412">
        <f t="shared" si="314"/>
        <v>1.0545997222351149</v>
      </c>
      <c r="AI73" s="3412">
        <f t="shared" si="314"/>
        <v>0.98105042364695172</v>
      </c>
      <c r="AJ73" s="3413">
        <f t="shared" si="314"/>
        <v>1.0608167594991866</v>
      </c>
      <c r="AK73" s="3412">
        <f t="shared" si="314"/>
        <v>-0.32718974613466478</v>
      </c>
      <c r="AL73" s="3412">
        <f t="shared" si="314"/>
        <v>-0.31032854335074433</v>
      </c>
      <c r="AM73" s="3412">
        <f t="shared" si="314"/>
        <v>-0.24376041523669911</v>
      </c>
      <c r="AN73" s="3412">
        <f t="shared" si="314"/>
        <v>-0.36418387448209344</v>
      </c>
      <c r="AO73" s="3413">
        <f t="shared" si="314"/>
        <v>-0.31407152639941205</v>
      </c>
      <c r="AP73" s="3412">
        <f t="shared" si="314"/>
        <v>0.65082253647152477</v>
      </c>
      <c r="AQ73" s="3412">
        <f t="shared" si="314"/>
        <v>-0.265195177463039</v>
      </c>
      <c r="AR73" s="3412">
        <f t="shared" si="314"/>
        <v>-2.1385569852940156E-2</v>
      </c>
      <c r="AS73" s="3412">
        <f t="shared" si="314"/>
        <v>-5.0137493563549462E-2</v>
      </c>
      <c r="AT73" s="3413">
        <f t="shared" si="314"/>
        <v>5.5236072702282479E-2</v>
      </c>
      <c r="AU73" s="3412">
        <f t="shared" si="314"/>
        <v>-0.13812621085438348</v>
      </c>
      <c r="AV73" s="3412">
        <f t="shared" si="314"/>
        <v>0.71320941217304612</v>
      </c>
      <c r="AW73" s="3412">
        <f t="shared" si="314"/>
        <v>0.12815190669956844</v>
      </c>
      <c r="AX73" s="3412">
        <f t="shared" si="314"/>
        <v>0.54234688110578477</v>
      </c>
      <c r="AY73" s="3413">
        <f t="shared" si="314"/>
        <v>0.24141679521644988</v>
      </c>
      <c r="AZ73" s="3412">
        <f t="shared" si="314"/>
        <v>0.82272330353899203</v>
      </c>
      <c r="BA73" s="3412">
        <f t="shared" si="314"/>
        <v>0.65335329934706676</v>
      </c>
      <c r="BB73" s="3412">
        <f t="shared" si="314"/>
        <v>0.82742178524451249</v>
      </c>
      <c r="BC73" s="3412">
        <f t="shared" si="314"/>
        <v>0.80401638020256794</v>
      </c>
      <c r="BD73" s="3413">
        <f t="shared" si="314"/>
        <v>0.78069445382041058</v>
      </c>
      <c r="BE73" s="3414">
        <f t="shared" si="314"/>
        <v>2.2392939528128477</v>
      </c>
      <c r="BF73" s="3412">
        <f t="shared" si="314"/>
        <v>2.5615533380572093</v>
      </c>
      <c r="BG73" s="3412">
        <f t="shared" si="314"/>
        <v>2.3336180632669907</v>
      </c>
      <c r="BH73" s="3412">
        <f t="shared" si="314"/>
        <v>1.8005607754021549</v>
      </c>
      <c r="BI73" s="3413">
        <f t="shared" si="314"/>
        <v>2.1839380911156585</v>
      </c>
      <c r="BJ73" s="3412">
        <f t="shared" si="314"/>
        <v>0.16156890967974102</v>
      </c>
      <c r="BK73" s="3412">
        <f t="shared" si="314"/>
        <v>0.24008975317875847</v>
      </c>
      <c r="BL73" s="3412">
        <f t="shared" si="314"/>
        <v>0.23983600956610873</v>
      </c>
      <c r="BM73" s="3412">
        <f t="shared" si="314"/>
        <v>0.19686204854943745</v>
      </c>
      <c r="BN73" s="3413">
        <f t="shared" si="314"/>
        <v>0.20904915802007151</v>
      </c>
      <c r="BO73" s="3412">
        <v>0.21208869814020037</v>
      </c>
      <c r="BP73" s="3412">
        <v>0.11176674765706363</v>
      </c>
      <c r="BQ73" s="3412">
        <v>-0.10529758011772405</v>
      </c>
      <c r="BR73" s="3415">
        <v>-3.2221271742229773E-2</v>
      </c>
      <c r="BS73" s="3416">
        <v>3.9209279529488716E-2</v>
      </c>
      <c r="BT73" s="3412">
        <f>BT29/BJ29-1</f>
        <v>0.22211895910780677</v>
      </c>
      <c r="BU73" s="3412">
        <f>BU29/BK29-1</f>
        <v>0.20265379975874542</v>
      </c>
      <c r="BV73" s="3412">
        <f>BV29/BL29-1</f>
        <v>8.8729677597134238E-2</v>
      </c>
      <c r="BW73" s="3412">
        <f>BW29/BM29-1</f>
        <v>9.4236952757853043E-2</v>
      </c>
      <c r="BX73" s="3413" t="e">
        <f>BX29/BN29-1</f>
        <v>#REF!</v>
      </c>
      <c r="BY73" s="3412">
        <v>2.5966361758630763E-2</v>
      </c>
      <c r="BZ73" s="3412">
        <v>-2.4976584452076178E-2</v>
      </c>
      <c r="CA73" s="3412">
        <v>0.25877192982456143</v>
      </c>
      <c r="CB73" s="3412">
        <v>0.15556865055981151</v>
      </c>
      <c r="CC73" s="3413">
        <v>9.7783367395063658E-2</v>
      </c>
      <c r="CD73" s="3412">
        <f>CD29/BT29-1</f>
        <v>0.11609632446134355</v>
      </c>
      <c r="CE73" s="3412">
        <f>CE29/BU29-1</f>
        <v>7.6228686058174455E-2</v>
      </c>
      <c r="CF73" s="3412">
        <f>CF29/BV29-1</f>
        <v>0.17160212604403946</v>
      </c>
      <c r="CG73" s="3412">
        <f>CG29/BW29-1</f>
        <v>0.19846292947558775</v>
      </c>
      <c r="CH73" s="3413" t="e">
        <f>CH29/BX29-1</f>
        <v>#REF!</v>
      </c>
      <c r="CI73" s="3412">
        <f t="shared" ref="CI73:CV73" si="315">CI29/CD29-1</f>
        <v>0.12514194867136053</v>
      </c>
      <c r="CJ73" s="3412">
        <f t="shared" si="315"/>
        <v>0.19711090400745568</v>
      </c>
      <c r="CK73" s="3412">
        <f t="shared" si="315"/>
        <v>0.15726938863685458</v>
      </c>
      <c r="CL73" s="3412">
        <f t="shared" si="315"/>
        <v>5.6205205582798845E-2</v>
      </c>
      <c r="CM73" s="3413">
        <f t="shared" si="315"/>
        <v>0.13008697519596257</v>
      </c>
      <c r="CN73" s="3412">
        <f t="shared" si="315"/>
        <v>0.14049253128784822</v>
      </c>
      <c r="CO73" s="3412">
        <f t="shared" si="315"/>
        <v>0.15940054495912803</v>
      </c>
      <c r="CP73" s="3412">
        <f t="shared" si="315"/>
        <v>0.14616389770393878</v>
      </c>
      <c r="CQ73" s="3412">
        <f t="shared" si="315"/>
        <v>0.21714285714285708</v>
      </c>
      <c r="CR73" s="3413">
        <f t="shared" si="315"/>
        <v>0.16694379780512136</v>
      </c>
      <c r="CS73" s="3412">
        <f t="shared" si="315"/>
        <v>0.20991150442477879</v>
      </c>
      <c r="CT73" s="3412">
        <f t="shared" si="315"/>
        <v>0.25415477589390623</v>
      </c>
      <c r="CU73" s="3412">
        <f t="shared" si="315"/>
        <v>0.24218241042345268</v>
      </c>
      <c r="CV73" s="3412">
        <f t="shared" si="315"/>
        <v>0.24486502347417849</v>
      </c>
      <c r="CW73" s="3413">
        <f t="shared" si="309"/>
        <v>0.23840736066441393</v>
      </c>
      <c r="CX73" s="3412">
        <f t="shared" si="309"/>
        <v>0.25468110005851385</v>
      </c>
      <c r="CY73" s="3412">
        <f t="shared" si="309"/>
        <v>0.18739124615178682</v>
      </c>
      <c r="CZ73" s="3412">
        <f t="shared" si="309"/>
        <v>0.25894847253179498</v>
      </c>
      <c r="DA73" s="3412">
        <f t="shared" si="309"/>
        <v>0.12091926929876262</v>
      </c>
      <c r="DB73" s="3413">
        <f t="shared" si="309"/>
        <v>0.20191327788553215</v>
      </c>
      <c r="DC73" s="3412">
        <f t="shared" si="309"/>
        <v>0.17640200536318051</v>
      </c>
      <c r="DD73" s="3412">
        <f t="shared" si="309"/>
        <v>0.1869011385413144</v>
      </c>
      <c r="DE73" s="3412">
        <f t="shared" si="309"/>
        <v>0.13049364715684231</v>
      </c>
      <c r="DF73" s="3412">
        <f t="shared" si="309"/>
        <v>0.10125118284092105</v>
      </c>
      <c r="DG73" s="3413">
        <f t="shared" si="310"/>
        <v>0.1473427969694483</v>
      </c>
      <c r="DH73" s="3412">
        <f t="shared" si="310"/>
        <v>9.7522299306243898E-2</v>
      </c>
      <c r="DI73" s="3412">
        <f t="shared" si="310"/>
        <v>0.13363092411435074</v>
      </c>
      <c r="DJ73" s="3412">
        <f t="shared" si="310"/>
        <v>8.7148779364348172E-2</v>
      </c>
      <c r="DK73" s="3412">
        <f t="shared" si="310"/>
        <v>0.13719686843612755</v>
      </c>
      <c r="DL73" s="3413">
        <f t="shared" si="310"/>
        <v>0.11380757127872609</v>
      </c>
      <c r="DM73" s="3412">
        <f t="shared" si="310"/>
        <v>8.4883510926494488E-3</v>
      </c>
      <c r="DN73" s="3412">
        <f t="shared" si="310"/>
        <v>-0.18188672922252014</v>
      </c>
      <c r="DO73" s="3412">
        <f t="shared" si="310"/>
        <v>0.22091348190831295</v>
      </c>
      <c r="DP73" s="3412">
        <f t="shared" si="310"/>
        <v>0.58458567710519693</v>
      </c>
      <c r="DQ73" s="3413">
        <f t="shared" si="311"/>
        <v>0.1603741278198707</v>
      </c>
      <c r="DR73" s="3412">
        <f t="shared" si="311"/>
        <v>0.80712750716332371</v>
      </c>
      <c r="DS73" s="3412">
        <f t="shared" si="311"/>
        <v>1.3721454173067076</v>
      </c>
      <c r="DT73" s="3412">
        <f t="shared" si="311"/>
        <v>0.72855358134369785</v>
      </c>
      <c r="DU73" s="3412">
        <f t="shared" si="311"/>
        <v>0.36902617357210987</v>
      </c>
      <c r="DV73" s="3413">
        <f t="shared" si="311"/>
        <v>0.7354975560269299</v>
      </c>
      <c r="DW73" s="3412">
        <f t="shared" si="311"/>
        <v>0.21880883956000385</v>
      </c>
      <c r="DX73" s="3412">
        <f t="shared" si="311"/>
        <v>4.6235537903643653E-2</v>
      </c>
      <c r="DY73" s="3412">
        <f t="shared" si="311"/>
        <v>-0.11218630797028706</v>
      </c>
      <c r="DZ73" s="3412">
        <f t="shared" si="311"/>
        <v>-9.9810364178180233E-2</v>
      </c>
      <c r="EA73" s="3413">
        <f t="shared" si="312"/>
        <v>1.2116059092357467E-3</v>
      </c>
      <c r="EB73" s="3412">
        <f t="shared" si="312"/>
        <v>-7.7201398487681927E-2</v>
      </c>
      <c r="EC73" s="3412">
        <f t="shared" si="312"/>
        <v>0.13934392407674845</v>
      </c>
      <c r="ED73" s="3412">
        <f t="shared" si="312"/>
        <v>0.22500113065894811</v>
      </c>
      <c r="EE73" s="3412">
        <f t="shared" si="312"/>
        <v>0.26208082545141864</v>
      </c>
      <c r="EF73" s="3413">
        <f t="shared" si="312"/>
        <v>0.133210903995584</v>
      </c>
      <c r="EG73" s="3412">
        <f t="shared" si="312"/>
        <v>0.35406846116569013</v>
      </c>
      <c r="EH73" s="3412">
        <f t="shared" si="312"/>
        <v>0.20563523105895998</v>
      </c>
      <c r="EI73" s="3412">
        <f t="shared" si="312"/>
        <v>0.26881045558591143</v>
      </c>
      <c r="EJ73" s="3412">
        <f t="shared" si="312"/>
        <v>0.25296361902166509</v>
      </c>
      <c r="EK73" s="3413">
        <f t="shared" si="313"/>
        <v>0.26624076138375496</v>
      </c>
      <c r="EL73" s="3412">
        <f t="shared" si="313"/>
        <v>0.1752342529932327</v>
      </c>
      <c r="EM73" s="3412">
        <f t="shared" si="313"/>
        <v>0.11952538299789728</v>
      </c>
      <c r="EN73" s="3412">
        <f t="shared" si="303"/>
        <v>0.19454709459656061</v>
      </c>
      <c r="EO73" s="3412">
        <f t="shared" si="313"/>
        <v>0.19260869320589125</v>
      </c>
      <c r="EP73" s="3413">
        <f t="shared" si="313"/>
        <v>0.17115245388199796</v>
      </c>
      <c r="EQ73" s="3412">
        <f t="shared" si="304"/>
        <v>0.20637922918959006</v>
      </c>
      <c r="ER73" s="3412">
        <f t="shared" si="305"/>
        <v>0.23502572911674102</v>
      </c>
      <c r="ES73" s="3412">
        <f t="shared" si="306"/>
        <v>0.15924053516554837</v>
      </c>
      <c r="ET73" s="3412">
        <f t="shared" si="307"/>
        <v>0.16347161599178661</v>
      </c>
      <c r="EU73" s="3413">
        <f t="shared" si="307"/>
        <v>0.18900978082136888</v>
      </c>
      <c r="EV73" s="3413">
        <f t="shared" si="308"/>
        <v>0.113223113312513</v>
      </c>
      <c r="EW73" s="3413">
        <f t="shared" si="308"/>
        <v>0.12948257304105182</v>
      </c>
      <c r="EX73" s="3413">
        <f t="shared" si="308"/>
        <v>0.12361499286822797</v>
      </c>
      <c r="EY73" s="3413">
        <f t="shared" si="308"/>
        <v>0.12412458766482648</v>
      </c>
      <c r="EZ73" s="624"/>
      <c r="FA73" s="4266"/>
      <c r="FB73" s="1319"/>
      <c r="FC73" s="1319"/>
      <c r="FD73" s="1319"/>
      <c r="FE73" s="1319"/>
      <c r="FF73" s="1319"/>
      <c r="FG73" s="1319"/>
      <c r="FH73" s="1319"/>
      <c r="FI73" s="1319"/>
      <c r="FJ73" s="1319"/>
      <c r="FK73" s="1319"/>
      <c r="FL73" s="1319"/>
      <c r="FM73" s="312"/>
      <c r="FN73" s="312"/>
    </row>
    <row r="74" spans="1:170" s="287" customFormat="1" ht="11.25" customHeight="1">
      <c r="A74" s="6196" t="str">
        <f>A55</f>
        <v>Depreciation &amp; amortization</v>
      </c>
      <c r="B74" s="2617"/>
      <c r="C74" s="2617"/>
      <c r="D74" s="2617"/>
      <c r="E74" s="2617"/>
      <c r="F74" s="4247"/>
      <c r="G74" s="2617"/>
      <c r="H74" s="2617"/>
      <c r="I74" s="2617"/>
      <c r="J74" s="2617"/>
      <c r="K74" s="4247"/>
      <c r="L74" s="2617"/>
      <c r="M74" s="2617"/>
      <c r="N74" s="2617"/>
      <c r="O74" s="2617"/>
      <c r="P74" s="4247"/>
      <c r="Q74" s="2617"/>
      <c r="R74" s="2617"/>
      <c r="S74" s="2617"/>
      <c r="T74" s="2617"/>
      <c r="U74" s="4247"/>
      <c r="V74" s="2617"/>
      <c r="W74" s="2617"/>
      <c r="X74" s="2617"/>
      <c r="Y74" s="2617"/>
      <c r="Z74" s="4247"/>
      <c r="AA74" s="2617"/>
      <c r="AB74" s="2617"/>
      <c r="AC74" s="2617"/>
      <c r="AD74" s="2617"/>
      <c r="AE74" s="4247"/>
      <c r="AF74" s="2617"/>
      <c r="AG74" s="2617"/>
      <c r="AH74" s="2617"/>
      <c r="AI74" s="2617"/>
      <c r="AJ74" s="4247"/>
      <c r="AK74" s="2617"/>
      <c r="AL74" s="2617"/>
      <c r="AM74" s="2617"/>
      <c r="AN74" s="2617"/>
      <c r="AO74" s="4247"/>
      <c r="AP74" s="2617"/>
      <c r="AQ74" s="2617"/>
      <c r="AR74" s="2617"/>
      <c r="AS74" s="2617"/>
      <c r="AT74" s="4247"/>
      <c r="AU74" s="2617"/>
      <c r="AV74" s="2617"/>
      <c r="AW74" s="2617"/>
      <c r="AX74" s="2617"/>
      <c r="AY74" s="4247"/>
      <c r="AZ74" s="2617"/>
      <c r="BA74" s="2617"/>
      <c r="BB74" s="2617"/>
      <c r="BC74" s="2617"/>
      <c r="BD74" s="4247"/>
      <c r="BE74" s="4248"/>
      <c r="BF74" s="2617"/>
      <c r="BG74" s="2617"/>
      <c r="BH74" s="2617"/>
      <c r="BI74" s="4247"/>
      <c r="BJ74" s="2617"/>
      <c r="BK74" s="2617"/>
      <c r="BL74" s="2617"/>
      <c r="BM74" s="2617"/>
      <c r="BN74" s="4247"/>
      <c r="BO74" s="2617"/>
      <c r="BP74" s="2617"/>
      <c r="BQ74" s="2617"/>
      <c r="BR74" s="4249"/>
      <c r="BS74" s="4250"/>
      <c r="BT74" s="2617"/>
      <c r="BU74" s="2617"/>
      <c r="BV74" s="2617"/>
      <c r="BW74" s="2617"/>
      <c r="BX74" s="4247"/>
      <c r="BY74" s="2617"/>
      <c r="BZ74" s="2617"/>
      <c r="CA74" s="2617"/>
      <c r="CB74" s="2617"/>
      <c r="CC74" s="4247"/>
      <c r="CD74" s="2617"/>
      <c r="CE74" s="2617"/>
      <c r="CF74" s="2617"/>
      <c r="CG74" s="2617"/>
      <c r="CH74" s="4247"/>
      <c r="CI74" s="2617">
        <f t="shared" ref="CI74:DN74" si="316">CI55/CD55-1</f>
        <v>0.20800889877641815</v>
      </c>
      <c r="CJ74" s="2617">
        <f t="shared" si="316"/>
        <v>4.7572815533980517E-2</v>
      </c>
      <c r="CK74" s="2617">
        <f t="shared" si="316"/>
        <v>0.5882956878850103</v>
      </c>
      <c r="CL74" s="2617">
        <f t="shared" si="316"/>
        <v>0.22297297297297303</v>
      </c>
      <c r="CM74" s="4247">
        <f t="shared" si="316"/>
        <v>0.26402640264026411</v>
      </c>
      <c r="CN74" s="2617">
        <f t="shared" si="316"/>
        <v>8.3793738489871039E-2</v>
      </c>
      <c r="CO74" s="2617">
        <f t="shared" si="316"/>
        <v>0.14365152919369795</v>
      </c>
      <c r="CP74" s="2617">
        <f t="shared" si="316"/>
        <v>-0.19327731092436973</v>
      </c>
      <c r="CQ74" s="2617">
        <f t="shared" si="316"/>
        <v>0.10812943962115229</v>
      </c>
      <c r="CR74" s="4247">
        <f t="shared" si="316"/>
        <v>1.687085760192808E-2</v>
      </c>
      <c r="CS74" s="2617">
        <f t="shared" si="316"/>
        <v>0.16482582837723014</v>
      </c>
      <c r="CT74" s="2617">
        <f t="shared" si="316"/>
        <v>0.20745542949756879</v>
      </c>
      <c r="CU74" s="2617">
        <f t="shared" si="316"/>
        <v>0.27884615384615374</v>
      </c>
      <c r="CV74" s="2617">
        <f t="shared" si="316"/>
        <v>0.20156695156695159</v>
      </c>
      <c r="CW74" s="4247">
        <f t="shared" si="316"/>
        <v>0.21350977681216676</v>
      </c>
      <c r="CX74" s="2617">
        <f t="shared" si="316"/>
        <v>9.6280087527352398E-2</v>
      </c>
      <c r="CY74" s="2617">
        <f t="shared" si="316"/>
        <v>9.060402684563762E-2</v>
      </c>
      <c r="CZ74" s="2617">
        <f t="shared" si="316"/>
        <v>0.10338345864661647</v>
      </c>
      <c r="DA74" s="2617">
        <f t="shared" si="316"/>
        <v>0.20094842916419675</v>
      </c>
      <c r="DB74" s="4247">
        <f t="shared" si="316"/>
        <v>0.12548828125</v>
      </c>
      <c r="DC74" s="2617">
        <f t="shared" si="316"/>
        <v>0.32135728542914177</v>
      </c>
      <c r="DD74" s="2617">
        <f t="shared" si="316"/>
        <v>0.30092307692307685</v>
      </c>
      <c r="DE74" s="2617">
        <f t="shared" si="316"/>
        <v>0.33730834752981265</v>
      </c>
      <c r="DF74" s="2617">
        <f t="shared" si="316"/>
        <v>0.2734452122408686</v>
      </c>
      <c r="DG74" s="4247">
        <f t="shared" si="316"/>
        <v>0.30657989877078817</v>
      </c>
      <c r="DH74" s="2617">
        <f t="shared" si="316"/>
        <v>0.31570996978851973</v>
      </c>
      <c r="DI74" s="2617">
        <f t="shared" si="316"/>
        <v>0.3410596026490067</v>
      </c>
      <c r="DJ74" s="2617">
        <f t="shared" si="316"/>
        <v>0.23991507430997872</v>
      </c>
      <c r="DK74" s="2617">
        <f t="shared" si="316"/>
        <v>0.32286821705426361</v>
      </c>
      <c r="DL74" s="4247">
        <f t="shared" si="316"/>
        <v>0.30392916436081907</v>
      </c>
      <c r="DM74" s="2617">
        <f t="shared" si="316"/>
        <v>0.18943742824339838</v>
      </c>
      <c r="DN74" s="2617">
        <f t="shared" si="316"/>
        <v>0.19435626102292769</v>
      </c>
      <c r="DO74" s="2617">
        <f t="shared" ref="DO74:EJ74" si="317">DO55/DJ55-1</f>
        <v>0.19109589041095898</v>
      </c>
      <c r="DP74" s="2617">
        <f t="shared" si="317"/>
        <v>9.1415177263404646E-2</v>
      </c>
      <c r="DQ74" s="4247">
        <f t="shared" si="317"/>
        <v>0.16263475087004498</v>
      </c>
      <c r="DR74" s="2617">
        <f t="shared" si="317"/>
        <v>-0.1142213642213642</v>
      </c>
      <c r="DS74" s="2617">
        <f t="shared" si="317"/>
        <v>-0.13024217365623159</v>
      </c>
      <c r="DT74" s="2617">
        <f t="shared" si="317"/>
        <v>-5.0028752156411782E-2</v>
      </c>
      <c r="DU74" s="2617">
        <f t="shared" si="317"/>
        <v>-7.6778523489932859E-2</v>
      </c>
      <c r="DV74" s="4247">
        <f t="shared" si="317"/>
        <v>-9.1698912170548263E-2</v>
      </c>
      <c r="DW74" s="2617">
        <f t="shared" si="317"/>
        <v>0.37377406465673801</v>
      </c>
      <c r="DX74" s="2617">
        <f t="shared" si="317"/>
        <v>0.32393887945670619</v>
      </c>
      <c r="DY74" s="2617">
        <f t="shared" si="317"/>
        <v>0.22457627118644075</v>
      </c>
      <c r="DZ74" s="2617">
        <f t="shared" si="317"/>
        <v>0.22157603954637972</v>
      </c>
      <c r="EA74" s="4247">
        <f t="shared" si="317"/>
        <v>0.28028293545534932</v>
      </c>
      <c r="EB74" s="2617">
        <f t="shared" si="317"/>
        <v>-0.15758857747223687</v>
      </c>
      <c r="EC74" s="2617">
        <f t="shared" si="317"/>
        <v>-0.12875096178507306</v>
      </c>
      <c r="ED74" s="2617">
        <f t="shared" si="317"/>
        <v>-6.0800790904597113E-2</v>
      </c>
      <c r="EE74" s="2617">
        <f t="shared" si="317"/>
        <v>-0.21066412758866937</v>
      </c>
      <c r="EF74" s="4247">
        <f t="shared" si="317"/>
        <v>-0.1399422400803616</v>
      </c>
      <c r="EG74" s="2617">
        <f t="shared" si="317"/>
        <v>7.1249215317011894E-2</v>
      </c>
      <c r="EH74" s="2617">
        <f t="shared" si="317"/>
        <v>9.1551368854871917E-2</v>
      </c>
      <c r="EI74" s="2617">
        <f t="shared" si="317"/>
        <v>4.8684210526315885E-2</v>
      </c>
      <c r="EJ74" s="2617">
        <f t="shared" si="317"/>
        <v>0.26809408926417366</v>
      </c>
      <c r="EK74" s="6064">
        <f>EK55/(11946)-1</f>
        <v>0.28168424577264362</v>
      </c>
      <c r="EL74" s="2617">
        <f>EL55/EG55-1</f>
        <v>0.31467916788748895</v>
      </c>
      <c r="EM74" s="2617">
        <f>EM55/EH55-1</f>
        <v>0.34789644012944976</v>
      </c>
      <c r="EN74" s="2617">
        <f t="shared" ref="EN74" si="318">EN55/EI55-1</f>
        <v>0.40803011292346292</v>
      </c>
      <c r="EO74" s="2617">
        <f>EO55/EJ55-1</f>
        <v>0.52941700012459858</v>
      </c>
      <c r="EP74" s="4247">
        <f>EP55/EK55-1</f>
        <v>0.40599559045940414</v>
      </c>
      <c r="EQ74" s="2617">
        <f t="shared" ref="EQ74:ET74" si="319">EQ55/EL55-1</f>
        <v>0.68108259122961345</v>
      </c>
      <c r="ER74" s="2617">
        <f t="shared" si="319"/>
        <v>0.74164455497041337</v>
      </c>
      <c r="ES74" s="2617">
        <f t="shared" si="319"/>
        <v>0.72084506518743185</v>
      </c>
      <c r="ET74" s="2617">
        <f t="shared" si="319"/>
        <v>0.70306212076673802</v>
      </c>
      <c r="EU74" s="4247">
        <f>EU55/EP55-1</f>
        <v>0.71207364906159998</v>
      </c>
      <c r="EV74" s="4247">
        <f>EV55/EU55-1</f>
        <v>0.37451278346068695</v>
      </c>
      <c r="EW74" s="4247">
        <f>EW55/EV55-1</f>
        <v>0.12651155355913746</v>
      </c>
      <c r="EX74" s="4247">
        <f>EX55/EW55-1</f>
        <v>8.1590772882546903E-2</v>
      </c>
      <c r="EY74" s="4247">
        <f>EY55/EX55-1</f>
        <v>7.3740912325698904E-2</v>
      </c>
      <c r="EZ74" s="189"/>
      <c r="FA74" s="4266"/>
      <c r="FB74" s="1319"/>
      <c r="FC74" s="1319"/>
      <c r="FD74" s="1319"/>
      <c r="FE74" s="1319"/>
      <c r="FF74" s="1319"/>
      <c r="FG74" s="1319"/>
      <c r="FH74" s="1319"/>
      <c r="FI74" s="1319"/>
      <c r="FJ74" s="1319"/>
      <c r="FK74" s="1319"/>
      <c r="FL74" s="1319"/>
      <c r="FM74" s="312"/>
      <c r="FN74" s="312"/>
    </row>
    <row r="75" spans="1:170" ht="11.25" customHeight="1">
      <c r="A75" s="3758" t="s">
        <v>53</v>
      </c>
      <c r="B75" s="2612"/>
      <c r="C75" s="2612"/>
      <c r="D75" s="2612"/>
      <c r="E75" s="2612"/>
      <c r="F75" s="2588"/>
      <c r="G75" s="2612"/>
      <c r="H75" s="2612"/>
      <c r="I75" s="2612"/>
      <c r="J75" s="2612"/>
      <c r="K75" s="2588"/>
      <c r="L75" s="2612"/>
      <c r="M75" s="2612"/>
      <c r="N75" s="2612"/>
      <c r="O75" s="2612"/>
      <c r="P75" s="2588"/>
      <c r="Q75" s="2612"/>
      <c r="R75" s="2612"/>
      <c r="S75" s="2612"/>
      <c r="T75" s="2612"/>
      <c r="U75" s="2588"/>
      <c r="V75" s="2612">
        <f t="shared" ref="V75:BN75" si="320">V24/Q24-1</f>
        <v>8.6497085320614726</v>
      </c>
      <c r="W75" s="2612">
        <f t="shared" si="320"/>
        <v>8.1472556894243642</v>
      </c>
      <c r="X75" s="2612">
        <f t="shared" si="320"/>
        <v>10.93691362018764</v>
      </c>
      <c r="Y75" s="2612">
        <f t="shared" si="320"/>
        <v>9.6978851963746209</v>
      </c>
      <c r="Z75" s="2588">
        <f t="shared" si="320"/>
        <v>9.6013866420152514</v>
      </c>
      <c r="AA75" s="2612">
        <f t="shared" si="320"/>
        <v>1.0998681970454172</v>
      </c>
      <c r="AB75" s="2612">
        <f t="shared" si="320"/>
        <v>1.1882335723693838</v>
      </c>
      <c r="AC75" s="2612">
        <f t="shared" si="320"/>
        <v>-7.877334200612518E-2</v>
      </c>
      <c r="AD75" s="2612">
        <f t="shared" si="320"/>
        <v>-0.29950343594088291</v>
      </c>
      <c r="AE75" s="2588">
        <f t="shared" si="320"/>
        <v>0.21531559419430502</v>
      </c>
      <c r="AF75" s="2612">
        <f t="shared" si="320"/>
        <v>-0.36045401645025044</v>
      </c>
      <c r="AG75" s="2612">
        <f t="shared" si="320"/>
        <v>-0.36680889768729685</v>
      </c>
      <c r="AH75" s="2612">
        <f t="shared" si="320"/>
        <v>-0.31880966740706962</v>
      </c>
      <c r="AI75" s="2612">
        <f t="shared" si="320"/>
        <v>-2.3130805798659448E-2</v>
      </c>
      <c r="AJ75" s="2588">
        <f t="shared" si="320"/>
        <v>-0.27996096804976567</v>
      </c>
      <c r="AK75" s="2612">
        <f t="shared" si="320"/>
        <v>1.3444835200785148</v>
      </c>
      <c r="AL75" s="2612">
        <f t="shared" si="320"/>
        <v>1.3057374625036968</v>
      </c>
      <c r="AM75" s="2612">
        <f t="shared" si="320"/>
        <v>1.1564308542800381</v>
      </c>
      <c r="AN75" s="2612">
        <f t="shared" si="320"/>
        <v>1.3115692815627469</v>
      </c>
      <c r="AO75" s="2588">
        <f t="shared" si="320"/>
        <v>1.2824202323773841</v>
      </c>
      <c r="AP75" s="2612">
        <f t="shared" si="320"/>
        <v>0.60351984929882074</v>
      </c>
      <c r="AQ75" s="2612">
        <f t="shared" si="320"/>
        <v>1.2127916884259133</v>
      </c>
      <c r="AR75" s="2612">
        <f t="shared" si="320"/>
        <v>0.98233526937712812</v>
      </c>
      <c r="AS75" s="2612">
        <f t="shared" si="320"/>
        <v>0.82478222380920507</v>
      </c>
      <c r="AT75" s="2588">
        <f t="shared" si="320"/>
        <v>0.89619297096703754</v>
      </c>
      <c r="AU75" s="2612">
        <f t="shared" si="320"/>
        <v>0.52708494229493219</v>
      </c>
      <c r="AV75" s="2612">
        <f t="shared" si="320"/>
        <v>0.12939500836355822</v>
      </c>
      <c r="AW75" s="2612">
        <f t="shared" si="320"/>
        <v>0.41465275111640976</v>
      </c>
      <c r="AX75" s="2612">
        <f t="shared" si="320"/>
        <v>0.16662046473705638</v>
      </c>
      <c r="AY75" s="2588">
        <f t="shared" si="320"/>
        <v>0.28909360084545388</v>
      </c>
      <c r="AZ75" s="2612">
        <f t="shared" si="320"/>
        <v>-1.1738769637330448E-2</v>
      </c>
      <c r="BA75" s="2612">
        <f t="shared" si="320"/>
        <v>7.4398040883362215E-2</v>
      </c>
      <c r="BB75" s="2612">
        <f t="shared" si="320"/>
        <v>0.1338670685154566</v>
      </c>
      <c r="BC75" s="2612">
        <f t="shared" si="320"/>
        <v>-3.5635911270145204E-2</v>
      </c>
      <c r="BD75" s="2588">
        <f t="shared" si="320"/>
        <v>3.9551120501962078E-2</v>
      </c>
      <c r="BE75" s="1689">
        <f t="shared" si="320"/>
        <v>4.8712894123243533E-2</v>
      </c>
      <c r="BF75" s="2612">
        <f t="shared" si="320"/>
        <v>5.4355614699559629E-2</v>
      </c>
      <c r="BG75" s="2612">
        <f t="shared" si="320"/>
        <v>0.196748622951749</v>
      </c>
      <c r="BH75" s="2612">
        <f t="shared" si="320"/>
        <v>0.43491778210990906</v>
      </c>
      <c r="BI75" s="2588">
        <f t="shared" si="320"/>
        <v>0.18207574562692108</v>
      </c>
      <c r="BJ75" s="2612">
        <f t="shared" si="320"/>
        <v>0.48453608247422686</v>
      </c>
      <c r="BK75" s="2612">
        <f t="shared" si="320"/>
        <v>0.40776699029126218</v>
      </c>
      <c r="BL75" s="2612">
        <f t="shared" si="320"/>
        <v>0.50263157894736832</v>
      </c>
      <c r="BM75" s="2612">
        <f t="shared" si="320"/>
        <v>0.35353535353535359</v>
      </c>
      <c r="BN75" s="2588">
        <f t="shared" si="320"/>
        <v>0.43459302325581395</v>
      </c>
      <c r="BO75" s="2612">
        <v>0.28298279158699802</v>
      </c>
      <c r="BP75" s="2612">
        <v>0.31794871794871793</v>
      </c>
      <c r="BQ75" s="2612">
        <v>0.50844594594594605</v>
      </c>
      <c r="BR75" s="184">
        <v>0.39667128987517342</v>
      </c>
      <c r="BS75" s="1735">
        <v>0.3804213135068153</v>
      </c>
      <c r="BT75" s="2612">
        <f>BT24/BJ24-1</f>
        <v>0.28703703703703698</v>
      </c>
      <c r="BU75" s="2612">
        <f>BU24/BK24-1</f>
        <v>0.2689655172413794</v>
      </c>
      <c r="BV75" s="2612">
        <f>BV24/BL24-1</f>
        <v>0.20490367775831864</v>
      </c>
      <c r="BW75" s="2612">
        <f>BW24/BM24-1</f>
        <v>0.26305970149253732</v>
      </c>
      <c r="BX75" s="2588">
        <f>BX24/BN24-1</f>
        <v>0.25278622087132718</v>
      </c>
      <c r="BY75" s="2612">
        <v>0.51713859910581217</v>
      </c>
      <c r="BZ75" s="2612">
        <v>0.40596627756160819</v>
      </c>
      <c r="CA75" s="2612">
        <v>0.20604703247480405</v>
      </c>
      <c r="CB75" s="2612">
        <v>0.13008937437934454</v>
      </c>
      <c r="CC75" s="2588">
        <v>0.29174147217235191</v>
      </c>
      <c r="CD75" s="2612">
        <f>CD24/BT24-1</f>
        <v>0.17805755395683454</v>
      </c>
      <c r="CE75" s="2612">
        <f>CE24/BU24-1</f>
        <v>0.34601449275362328</v>
      </c>
      <c r="CF75" s="2612">
        <f>CF24/BV24-1</f>
        <v>0.2441860465116279</v>
      </c>
      <c r="CG75" s="2612">
        <f>CG24/BW24-1</f>
        <v>0.28951255539143284</v>
      </c>
      <c r="CH75" s="2588">
        <f>CH24/BX24-1</f>
        <v>0.26445612616255554</v>
      </c>
      <c r="CI75" s="2612">
        <f t="shared" ref="CI75:DN75" si="321">CI24/CD24-1</f>
        <v>0.28091603053435121</v>
      </c>
      <c r="CJ75" s="2612">
        <f t="shared" si="321"/>
        <v>0.18438761776581436</v>
      </c>
      <c r="CK75" s="2612">
        <f t="shared" si="321"/>
        <v>0.4661214953271029</v>
      </c>
      <c r="CL75" s="2612">
        <f t="shared" si="321"/>
        <v>0.37571592210767468</v>
      </c>
      <c r="CM75" s="2588">
        <f t="shared" si="321"/>
        <v>0.33514550687559952</v>
      </c>
      <c r="CN75" s="2612">
        <f t="shared" si="321"/>
        <v>0.43384982121573312</v>
      </c>
      <c r="CO75" s="2612">
        <f t="shared" si="321"/>
        <v>0.28636363636363638</v>
      </c>
      <c r="CP75" s="2612">
        <f t="shared" si="321"/>
        <v>0.1410358565737051</v>
      </c>
      <c r="CQ75" s="2612">
        <f t="shared" si="321"/>
        <v>0.19567027477102417</v>
      </c>
      <c r="CR75" s="2588">
        <f t="shared" si="321"/>
        <v>0.24622754491017962</v>
      </c>
      <c r="CS75" s="2612">
        <f t="shared" si="321"/>
        <v>0.24189526184538646</v>
      </c>
      <c r="CT75" s="2612">
        <f t="shared" si="321"/>
        <v>0.32773851590106018</v>
      </c>
      <c r="CU75" s="2612">
        <f t="shared" si="321"/>
        <v>0.2988826815642458</v>
      </c>
      <c r="CV75" s="2612">
        <f t="shared" si="321"/>
        <v>0.28551532033426175</v>
      </c>
      <c r="CW75" s="2588">
        <f t="shared" si="321"/>
        <v>0.2882952142994426</v>
      </c>
      <c r="CX75" s="2612">
        <f t="shared" si="321"/>
        <v>0.34471218206157972</v>
      </c>
      <c r="CY75" s="2612">
        <f t="shared" si="321"/>
        <v>0.33266799733865593</v>
      </c>
      <c r="CZ75" s="2612">
        <f t="shared" si="321"/>
        <v>-2.1505376344086002E-2</v>
      </c>
      <c r="DA75" s="2612">
        <f t="shared" si="321"/>
        <v>5.4171180931739116E-4</v>
      </c>
      <c r="DB75" s="2588">
        <f t="shared" si="321"/>
        <v>0.14560644487542884</v>
      </c>
      <c r="DC75" s="2612">
        <f t="shared" si="321"/>
        <v>0.22299651567944245</v>
      </c>
      <c r="DD75" s="2612">
        <f t="shared" si="321"/>
        <v>0.2046929605591612</v>
      </c>
      <c r="DE75" s="2612">
        <f t="shared" si="321"/>
        <v>0.22527472527472536</v>
      </c>
      <c r="DF75" s="2612">
        <f t="shared" si="321"/>
        <v>0.21981591770438547</v>
      </c>
      <c r="DG75" s="2588">
        <f t="shared" si="321"/>
        <v>0.21799713504362539</v>
      </c>
      <c r="DH75" s="2612">
        <f t="shared" si="321"/>
        <v>0.12698412698412698</v>
      </c>
      <c r="DI75" s="2612">
        <f t="shared" si="321"/>
        <v>0.14214670534604235</v>
      </c>
      <c r="DJ75" s="2612">
        <f t="shared" si="321"/>
        <v>0.17668161434977581</v>
      </c>
      <c r="DK75" s="2612">
        <f t="shared" si="321"/>
        <v>0.1739902352418996</v>
      </c>
      <c r="DL75" s="2588">
        <f t="shared" si="321"/>
        <v>0.15406821340746291</v>
      </c>
      <c r="DM75" s="2612">
        <f t="shared" si="321"/>
        <v>0.15240158902130729</v>
      </c>
      <c r="DN75" s="2612">
        <f t="shared" si="321"/>
        <v>0.22714078374455737</v>
      </c>
      <c r="DO75" s="2612">
        <f t="shared" ref="DO75:EP75" si="322">DO24/DJ24-1</f>
        <v>0.2176067073170731</v>
      </c>
      <c r="DP75" s="2612">
        <f t="shared" si="322"/>
        <v>0.21852551984877122</v>
      </c>
      <c r="DQ75" s="2588">
        <f t="shared" si="322"/>
        <v>0.20353900314989803</v>
      </c>
      <c r="DR75" s="2612">
        <f t="shared" si="322"/>
        <v>0.17361328737073012</v>
      </c>
      <c r="DS75" s="2612">
        <f t="shared" si="322"/>
        <v>0.12448255470136016</v>
      </c>
      <c r="DT75" s="2612">
        <f t="shared" si="322"/>
        <v>0.21251956181533638</v>
      </c>
      <c r="DU75" s="2612">
        <f t="shared" si="322"/>
        <v>0.22680732237046231</v>
      </c>
      <c r="DV75" s="2588">
        <f t="shared" si="322"/>
        <v>0.18358863828804561</v>
      </c>
      <c r="DW75" s="2612">
        <f t="shared" si="322"/>
        <v>0.20267022696929238</v>
      </c>
      <c r="DX75" s="2612">
        <f t="shared" si="322"/>
        <v>0.2574283460425979</v>
      </c>
      <c r="DY75" s="2612">
        <f t="shared" si="322"/>
        <v>0.28446050593701599</v>
      </c>
      <c r="DZ75" s="2612">
        <f t="shared" si="322"/>
        <v>0.28983308042488609</v>
      </c>
      <c r="EA75" s="2588">
        <f t="shared" si="322"/>
        <v>0.25923517169614985</v>
      </c>
      <c r="EB75" s="2612">
        <f t="shared" si="322"/>
        <v>0.17317939609236244</v>
      </c>
      <c r="EC75" s="2612">
        <f t="shared" si="322"/>
        <v>0.20744458385612718</v>
      </c>
      <c r="ED75" s="2612">
        <f t="shared" si="322"/>
        <v>0.15413987138263674</v>
      </c>
      <c r="EE75" s="2612">
        <f t="shared" si="322"/>
        <v>0.10960784313725491</v>
      </c>
      <c r="EF75" s="2588">
        <f t="shared" si="322"/>
        <v>0.16000413180456574</v>
      </c>
      <c r="EG75" s="2612">
        <f t="shared" si="322"/>
        <v>-3.7850113550340625E-3</v>
      </c>
      <c r="EH75" s="2612">
        <f t="shared" si="322"/>
        <v>1.5760304814686599E-2</v>
      </c>
      <c r="EI75" s="2612">
        <f t="shared" si="322"/>
        <v>1.7934877241859715E-2</v>
      </c>
      <c r="EJ75" s="2612">
        <f t="shared" si="322"/>
        <v>2.6683159568828385E-2</v>
      </c>
      <c r="EK75" s="2588">
        <f t="shared" si="322"/>
        <v>1.4470169189670479E-2</v>
      </c>
      <c r="EL75" s="2612">
        <f t="shared" si="322"/>
        <v>4.7872340425531901E-2</v>
      </c>
      <c r="EM75" s="2612">
        <f t="shared" si="322"/>
        <v>2.2676896845694738E-2</v>
      </c>
      <c r="EN75" s="2612">
        <f t="shared" si="322"/>
        <v>8.9291823469038745E-2</v>
      </c>
      <c r="EO75" s="2612">
        <f t="shared" si="322"/>
        <v>0.12344002110521668</v>
      </c>
      <c r="EP75" s="2588">
        <f t="shared" si="322"/>
        <v>7.1283147799925839E-2</v>
      </c>
      <c r="EQ75" s="2612">
        <f t="shared" ref="EQ75" si="323">EQ24/EL24-1</f>
        <v>0.16977172358649195</v>
      </c>
      <c r="ER75" s="2612">
        <f t="shared" ref="ER75" si="324">ER24/EM24-1</f>
        <v>0.18350192258430265</v>
      </c>
      <c r="ES75" s="2612">
        <f t="shared" ref="ES75" si="325">ES24/EN24-1</f>
        <v>0.17434325942349593</v>
      </c>
      <c r="ET75" s="2612">
        <f t="shared" ref="ET75:EU75" si="326">ET24/EO24-1</f>
        <v>0.14174358672385012</v>
      </c>
      <c r="EU75" s="2588">
        <f t="shared" si="326"/>
        <v>0.16684333417380648</v>
      </c>
      <c r="EV75" s="2588">
        <f>EV24/EU24-1</f>
        <v>8.3365505133345064E-2</v>
      </c>
      <c r="EW75" s="2588">
        <f>EW24/EV24-1</f>
        <v>7.9433458783531696E-2</v>
      </c>
      <c r="EX75" s="2588">
        <f>EX24/EW24-1</f>
        <v>7.3812715966310227E-2</v>
      </c>
      <c r="EY75" s="2588">
        <f>EY24/EX24-1</f>
        <v>7.086006279355983E-2</v>
      </c>
      <c r="EZ75" s="169"/>
      <c r="FA75" s="725"/>
      <c r="FB75" s="1319"/>
      <c r="FC75" s="1319"/>
      <c r="FD75" s="1319"/>
      <c r="FE75" s="1319"/>
      <c r="FF75" s="1319"/>
      <c r="FG75" s="1319"/>
      <c r="FH75" s="1319"/>
      <c r="FI75" s="1319"/>
      <c r="FJ75" s="1319"/>
      <c r="FK75" s="1319"/>
      <c r="FL75" s="1319"/>
      <c r="FM75" s="4184"/>
      <c r="FN75" s="4184"/>
    </row>
    <row r="76" spans="1:170" s="287" customFormat="1" ht="11.25" customHeight="1">
      <c r="A76" s="4251" t="s">
        <v>54</v>
      </c>
      <c r="B76" s="2617"/>
      <c r="C76" s="2617"/>
      <c r="D76" s="2617"/>
      <c r="E76" s="2617"/>
      <c r="F76" s="4252"/>
      <c r="G76" s="2617"/>
      <c r="H76" s="2617"/>
      <c r="I76" s="2617"/>
      <c r="J76" s="2617"/>
      <c r="K76" s="4252"/>
      <c r="L76" s="2617"/>
      <c r="M76" s="2617"/>
      <c r="N76" s="2617"/>
      <c r="O76" s="2617"/>
      <c r="P76" s="4252"/>
      <c r="Q76" s="2617"/>
      <c r="R76" s="2617"/>
      <c r="S76" s="2617"/>
      <c r="T76" s="2617"/>
      <c r="U76" s="4252">
        <f t="shared" ref="U76:BN76" si="327">U57/P57-1</f>
        <v>5.3173545791254746</v>
      </c>
      <c r="V76" s="2617">
        <f t="shared" si="327"/>
        <v>5.9447342078921048</v>
      </c>
      <c r="W76" s="2617">
        <f t="shared" si="327"/>
        <v>3.3346922370234244</v>
      </c>
      <c r="X76" s="2617">
        <f t="shared" si="327"/>
        <v>1.6375307076630476</v>
      </c>
      <c r="Y76" s="2617">
        <f t="shared" si="327"/>
        <v>1.075521147456493</v>
      </c>
      <c r="Z76" s="4252">
        <f t="shared" si="327"/>
        <v>1.693104553660306</v>
      </c>
      <c r="AA76" s="2617">
        <f t="shared" si="327"/>
        <v>0.9380585352531523</v>
      </c>
      <c r="AB76" s="2617">
        <f t="shared" si="327"/>
        <v>0.83911753407600664</v>
      </c>
      <c r="AC76" s="2617">
        <f t="shared" si="327"/>
        <v>0.93143045999459151</v>
      </c>
      <c r="AD76" s="2617">
        <f t="shared" si="327"/>
        <v>1.246405985005786</v>
      </c>
      <c r="AE76" s="4252">
        <f t="shared" si="327"/>
        <v>1.0043399134209987</v>
      </c>
      <c r="AF76" s="2617">
        <f t="shared" si="327"/>
        <v>1.1445526106681383</v>
      </c>
      <c r="AG76" s="2617">
        <f t="shared" si="327"/>
        <v>1.1246142155927124</v>
      </c>
      <c r="AH76" s="2617">
        <f t="shared" si="327"/>
        <v>1.0915285032932092</v>
      </c>
      <c r="AI76" s="2617">
        <f t="shared" si="327"/>
        <v>0.91387023030029346</v>
      </c>
      <c r="AJ76" s="4252">
        <f t="shared" si="327"/>
        <v>1.0502674340010389</v>
      </c>
      <c r="AK76" s="2617">
        <f t="shared" si="327"/>
        <v>0.82984863225102279</v>
      </c>
      <c r="AL76" s="2617">
        <f t="shared" si="327"/>
        <v>0.7810242980515798</v>
      </c>
      <c r="AM76" s="2617">
        <f t="shared" si="327"/>
        <v>0.76019141489043562</v>
      </c>
      <c r="AN76" s="2617">
        <f t="shared" si="327"/>
        <v>0.70110734663230723</v>
      </c>
      <c r="AO76" s="4252">
        <f t="shared" si="327"/>
        <v>0.76109633209342054</v>
      </c>
      <c r="AP76" s="2617">
        <f t="shared" si="327"/>
        <v>0.60601842754416091</v>
      </c>
      <c r="AQ76" s="2617">
        <f t="shared" si="327"/>
        <v>0.4971837044678904</v>
      </c>
      <c r="AR76" s="2617">
        <f t="shared" si="327"/>
        <v>0.48863898534692396</v>
      </c>
      <c r="AS76" s="2617">
        <f t="shared" si="327"/>
        <v>0.42744448160800896</v>
      </c>
      <c r="AT76" s="4252">
        <f t="shared" si="327"/>
        <v>0.497716105422505</v>
      </c>
      <c r="AU76" s="2617">
        <f t="shared" si="327"/>
        <v>0.34375633513930337</v>
      </c>
      <c r="AV76" s="2617">
        <f t="shared" si="327"/>
        <v>0.42538383723193518</v>
      </c>
      <c r="AW76" s="2617">
        <f t="shared" si="327"/>
        <v>0.3675498493336391</v>
      </c>
      <c r="AX76" s="2617">
        <f t="shared" si="327"/>
        <v>0.28133827942731959</v>
      </c>
      <c r="AY76" s="4252">
        <f t="shared" si="327"/>
        <v>0.35054594918808046</v>
      </c>
      <c r="AZ76" s="2617">
        <f t="shared" si="327"/>
        <v>0.18523270679784676</v>
      </c>
      <c r="BA76" s="2617">
        <f t="shared" si="327"/>
        <v>0.13448982941095644</v>
      </c>
      <c r="BB76" s="2617">
        <f t="shared" si="327"/>
        <v>0.14982378214574821</v>
      </c>
      <c r="BC76" s="2617">
        <f t="shared" si="327"/>
        <v>0.23325576270021608</v>
      </c>
      <c r="BD76" s="4252">
        <f t="shared" si="327"/>
        <v>0.17694181981661594</v>
      </c>
      <c r="BE76" s="4253">
        <f t="shared" si="327"/>
        <v>0.21280850572632803</v>
      </c>
      <c r="BF76" s="2617">
        <f t="shared" si="327"/>
        <v>0.18557140728819821</v>
      </c>
      <c r="BG76" s="2617">
        <f t="shared" si="327"/>
        <v>0.18020064494048094</v>
      </c>
      <c r="BH76" s="2617">
        <f t="shared" si="327"/>
        <v>0.20385733954253404</v>
      </c>
      <c r="BI76" s="4252">
        <f t="shared" si="327"/>
        <v>0.19575861129827365</v>
      </c>
      <c r="BJ76" s="2617">
        <f t="shared" si="327"/>
        <v>0.16688102893890666</v>
      </c>
      <c r="BK76" s="2617">
        <f t="shared" si="327"/>
        <v>0.25033156498673748</v>
      </c>
      <c r="BL76" s="2617">
        <f t="shared" si="327"/>
        <v>0.2606301621290914</v>
      </c>
      <c r="BM76" s="2617">
        <f t="shared" si="327"/>
        <v>0.20936419260441608</v>
      </c>
      <c r="BN76" s="4252">
        <f t="shared" si="327"/>
        <v>0.22145355025087432</v>
      </c>
      <c r="BO76" s="2617">
        <v>0.22788647010195651</v>
      </c>
      <c r="BP76" s="2617">
        <v>0.22513922036595058</v>
      </c>
      <c r="BQ76" s="2617">
        <v>0.12302839116719233</v>
      </c>
      <c r="BR76" s="4249">
        <v>0.1493620765508139</v>
      </c>
      <c r="BS76" s="4254">
        <v>0.17812908445882858</v>
      </c>
      <c r="BT76" s="2617">
        <f>BT57/BJ57-1</f>
        <v>0.22788647010195651</v>
      </c>
      <c r="BU76" s="2617">
        <f>BU57/BK57-1</f>
        <v>0.2352161230442853</v>
      </c>
      <c r="BV76" s="2617">
        <f>BV57/BL57-1</f>
        <v>0.15966998301383151</v>
      </c>
      <c r="BW76" s="2617">
        <f>BW57/BM57-1</f>
        <v>0.18279806423229217</v>
      </c>
      <c r="BX76" s="4252">
        <f>BX57/BN57-1</f>
        <v>0.19935271052467796</v>
      </c>
      <c r="BY76" s="2617">
        <v>0.11512567324955114</v>
      </c>
      <c r="BZ76" s="2617">
        <v>6.8398268398268458E-2</v>
      </c>
      <c r="CA76" s="2617">
        <v>0.14606741573033699</v>
      </c>
      <c r="CB76" s="2617">
        <v>0.12440191387559807</v>
      </c>
      <c r="CC76" s="4252">
        <v>0.11384647894764655</v>
      </c>
      <c r="CD76" s="2617">
        <f>CD57/BT57-1</f>
        <v>0.18985637342908435</v>
      </c>
      <c r="CE76" s="2617">
        <f>CE57/BU57-1</f>
        <v>0.12451696006869906</v>
      </c>
      <c r="CF76" s="2617">
        <f>CF57/BV57-1</f>
        <v>0.16991002301736757</v>
      </c>
      <c r="CG76" s="2617">
        <f>CG57/BW57-1</f>
        <v>0.17872419564813091</v>
      </c>
      <c r="CH76" s="4252">
        <f>CH57/BX57-1</f>
        <v>0.16600934094447317</v>
      </c>
      <c r="CI76" s="2617">
        <f t="shared" ref="CI76:DN76" si="328">CI57/CD57-1</f>
        <v>0.13919275745001891</v>
      </c>
      <c r="CJ76" s="2617">
        <f t="shared" si="328"/>
        <v>0.18690339824360436</v>
      </c>
      <c r="CK76" s="2617">
        <f t="shared" si="328"/>
        <v>0.16723305312108749</v>
      </c>
      <c r="CL76" s="2617">
        <f t="shared" si="328"/>
        <v>8.3464815399179493E-2</v>
      </c>
      <c r="CM76" s="4252">
        <f t="shared" si="328"/>
        <v>0.14157283368196172</v>
      </c>
      <c r="CN76" s="2617">
        <f t="shared" si="328"/>
        <v>0.1302980132450331</v>
      </c>
      <c r="CO76" s="2617">
        <f t="shared" si="328"/>
        <v>0.15666720283094748</v>
      </c>
      <c r="CP76" s="2617">
        <f t="shared" si="328"/>
        <v>0.13208703646950659</v>
      </c>
      <c r="CQ76" s="2617">
        <f t="shared" si="328"/>
        <v>0.19702927042376595</v>
      </c>
      <c r="CR76" s="4252">
        <f t="shared" si="328"/>
        <v>0.15500974658869393</v>
      </c>
      <c r="CS76" s="2617">
        <f t="shared" si="328"/>
        <v>0.20213856745276115</v>
      </c>
      <c r="CT76" s="2617">
        <f t="shared" si="328"/>
        <v>0.24614100959532759</v>
      </c>
      <c r="CU76" s="2617">
        <f t="shared" si="328"/>
        <v>0.24837574445046018</v>
      </c>
      <c r="CV76" s="2617">
        <f t="shared" si="328"/>
        <v>0.23746958637469584</v>
      </c>
      <c r="CW76" s="4252">
        <f t="shared" si="328"/>
        <v>0.23415243367312488</v>
      </c>
      <c r="CX76" s="2617">
        <f t="shared" si="328"/>
        <v>0.22821981235530653</v>
      </c>
      <c r="CY76" s="2617">
        <f t="shared" si="328"/>
        <v>0.17129784622251987</v>
      </c>
      <c r="CZ76" s="2617">
        <f t="shared" si="328"/>
        <v>0.23202862409194402</v>
      </c>
      <c r="DA76" s="2617">
        <f t="shared" si="328"/>
        <v>0.13419189933149833</v>
      </c>
      <c r="DB76" s="4252">
        <f t="shared" si="328"/>
        <v>0.18907091868829151</v>
      </c>
      <c r="DC76" s="2617">
        <f t="shared" si="328"/>
        <v>0.19801587301587298</v>
      </c>
      <c r="DD76" s="2617">
        <f t="shared" si="328"/>
        <v>0.20455411585365857</v>
      </c>
      <c r="DE76" s="2617">
        <f t="shared" si="328"/>
        <v>0.16254510252574139</v>
      </c>
      <c r="DF76" s="2617">
        <f t="shared" si="328"/>
        <v>0.13148998873190609</v>
      </c>
      <c r="DG76" s="4252">
        <f t="shared" si="328"/>
        <v>0.17266997883889967</v>
      </c>
      <c r="DH76" s="2617">
        <f t="shared" si="328"/>
        <v>0.13340510102683001</v>
      </c>
      <c r="DI76" s="2617">
        <f t="shared" si="328"/>
        <v>0.16831448232223356</v>
      </c>
      <c r="DJ76" s="2617">
        <f t="shared" si="328"/>
        <v>0.1143830431491295</v>
      </c>
      <c r="DK76" s="2617">
        <f t="shared" si="328"/>
        <v>0.17389305959859036</v>
      </c>
      <c r="DL76" s="4252">
        <f t="shared" si="328"/>
        <v>0.14750014710785941</v>
      </c>
      <c r="DM76" s="2617">
        <f t="shared" si="328"/>
        <v>4.303353547161537E-2</v>
      </c>
      <c r="DN76" s="2617">
        <f t="shared" si="328"/>
        <v>-0.10967436192539437</v>
      </c>
      <c r="DO76" s="2617">
        <f t="shared" ref="DO76:EP76" si="329">DO57/DJ57-1</f>
        <v>0.21499898104748327</v>
      </c>
      <c r="DP76" s="2617">
        <f t="shared" si="329"/>
        <v>0.47474549725920134</v>
      </c>
      <c r="DQ76" s="4252">
        <f t="shared" si="329"/>
        <v>0.16082935917816177</v>
      </c>
      <c r="DR76" s="2617">
        <f t="shared" si="329"/>
        <v>0.60654244886522846</v>
      </c>
      <c r="DS76" s="2617">
        <f t="shared" si="329"/>
        <v>0.98532430993840769</v>
      </c>
      <c r="DT76" s="2617">
        <f t="shared" si="329"/>
        <v>0.5771553170077155</v>
      </c>
      <c r="DU76" s="2617">
        <f t="shared" si="329"/>
        <v>0.29554405062170885</v>
      </c>
      <c r="DV76" s="4252">
        <f t="shared" si="329"/>
        <v>0.5686623866179763</v>
      </c>
      <c r="DW76" s="2617">
        <f t="shared" si="329"/>
        <v>0.23741007194244612</v>
      </c>
      <c r="DX76" s="2617">
        <f t="shared" si="329"/>
        <v>7.755946225439514E-2</v>
      </c>
      <c r="DY76" s="2617">
        <f t="shared" si="329"/>
        <v>-7.2742741678187839E-2</v>
      </c>
      <c r="DZ76" s="2617">
        <f t="shared" si="329"/>
        <v>-6.2060250017077712E-2</v>
      </c>
      <c r="EA76" s="4252">
        <f t="shared" si="329"/>
        <v>3.380236738601905E-2</v>
      </c>
      <c r="EB76" s="2617">
        <f t="shared" si="329"/>
        <v>-8.7914023960535603E-2</v>
      </c>
      <c r="EC76" s="2617">
        <f t="shared" si="329"/>
        <v>0.10218952157531813</v>
      </c>
      <c r="ED76" s="2617">
        <f t="shared" si="329"/>
        <v>0.18079290438505935</v>
      </c>
      <c r="EE76" s="2617">
        <f t="shared" si="329"/>
        <v>0.18976002330577901</v>
      </c>
      <c r="EF76" s="4252">
        <f t="shared" si="329"/>
        <v>9.3705734936258223E-2</v>
      </c>
      <c r="EG76" s="2617">
        <f t="shared" si="329"/>
        <v>0.31925825767819194</v>
      </c>
      <c r="EH76" s="2617">
        <f t="shared" si="329"/>
        <v>0.19313747621658228</v>
      </c>
      <c r="EI76" s="2617">
        <f t="shared" si="329"/>
        <v>0.24172764359256615</v>
      </c>
      <c r="EJ76" s="2617">
        <f t="shared" si="329"/>
        <v>0.25449926542605295</v>
      </c>
      <c r="EK76" s="4252">
        <f t="shared" si="329"/>
        <v>0.24934413708365155</v>
      </c>
      <c r="EL76" s="2617">
        <f t="shared" si="329"/>
        <v>0.1891709859732349</v>
      </c>
      <c r="EM76" s="2617">
        <f t="shared" si="329"/>
        <v>0.14241310341099522</v>
      </c>
      <c r="EN76" s="2617">
        <f t="shared" si="329"/>
        <v>0.21672924488944512</v>
      </c>
      <c r="EO76" s="2617">
        <f t="shared" si="329"/>
        <v>0.22716303801261439</v>
      </c>
      <c r="EP76" s="4252">
        <f t="shared" si="329"/>
        <v>0.19504625971201994</v>
      </c>
      <c r="EQ76" s="2617">
        <f t="shared" ref="EQ76" si="330">EQ57/EL57-1</f>
        <v>0.25883050810494335</v>
      </c>
      <c r="ER76" s="2617">
        <f t="shared" ref="ER76" si="331">ER57/EM57-1</f>
        <v>0.29493253328114011</v>
      </c>
      <c r="ES76" s="2617">
        <f t="shared" ref="ES76" si="332">ES57/EN57-1</f>
        <v>0.22676931576628512</v>
      </c>
      <c r="ET76" s="2617">
        <f t="shared" ref="ET76:EU76" si="333">ET57/EO57-1</f>
        <v>0.23246505839621734</v>
      </c>
      <c r="EU76" s="4252">
        <f t="shared" si="333"/>
        <v>0.2516223350507425</v>
      </c>
      <c r="EV76" s="4252">
        <f>EV57/EU57-1</f>
        <v>0.15600678754448083</v>
      </c>
      <c r="EW76" s="4252">
        <f>EW57/EV57-1</f>
        <v>0.12890414446935172</v>
      </c>
      <c r="EX76" s="4252">
        <f>EX57/EW57-1</f>
        <v>0.11545062656934957</v>
      </c>
      <c r="EY76" s="4252">
        <f>EY57/EX57-1</f>
        <v>0.11463329671185707</v>
      </c>
      <c r="EZ76" s="189"/>
      <c r="FA76" s="1319"/>
      <c r="FB76" s="1319"/>
      <c r="FC76" s="1319"/>
      <c r="FD76" s="1319"/>
      <c r="FE76" s="1319"/>
      <c r="FF76" s="1319"/>
      <c r="FG76" s="1319"/>
      <c r="FH76" s="1319"/>
      <c r="FI76" s="1319"/>
      <c r="FJ76" s="1319"/>
      <c r="FK76" s="1319"/>
      <c r="FL76" s="1319"/>
      <c r="FM76" s="312"/>
      <c r="FN76" s="312"/>
    </row>
    <row r="77" spans="1:170" s="287" customFormat="1" ht="11.25" customHeight="1">
      <c r="A77" s="6188" t="s">
        <v>189</v>
      </c>
      <c r="B77" s="6189"/>
      <c r="C77" s="6189"/>
      <c r="D77" s="6189"/>
      <c r="E77" s="6189"/>
      <c r="F77" s="6190"/>
      <c r="G77" s="6189"/>
      <c r="H77" s="6189"/>
      <c r="I77" s="6189"/>
      <c r="J77" s="6189"/>
      <c r="K77" s="6190">
        <f>K36/F36-1</f>
        <v>1.4177090190915074</v>
      </c>
      <c r="L77" s="6189"/>
      <c r="M77" s="6189"/>
      <c r="N77" s="6189"/>
      <c r="O77" s="6189"/>
      <c r="P77" s="6190">
        <f>P36/K36-1</f>
        <v>-1.4754935330156578</v>
      </c>
      <c r="Q77" s="6189"/>
      <c r="R77" s="6189"/>
      <c r="S77" s="6189"/>
      <c r="T77" s="6189"/>
      <c r="U77" s="6190">
        <f t="shared" ref="U77:AD78" si="334">U36/P36-1</f>
        <v>13.267143879742283</v>
      </c>
      <c r="V77" s="6189">
        <f t="shared" si="334"/>
        <v>2.2551097653292991</v>
      </c>
      <c r="W77" s="6189">
        <f t="shared" si="334"/>
        <v>0.9386488278189582</v>
      </c>
      <c r="X77" s="6189">
        <f t="shared" si="334"/>
        <v>-0.32603029003200468</v>
      </c>
      <c r="Y77" s="6189">
        <f t="shared" si="334"/>
        <v>-0.3920588891367397</v>
      </c>
      <c r="Z77" s="6190">
        <f t="shared" si="334"/>
        <v>6.0126836316930055E-2</v>
      </c>
      <c r="AA77" s="6189">
        <f t="shared" si="334"/>
        <v>1.4795736434108537</v>
      </c>
      <c r="AB77" s="6189">
        <f t="shared" si="334"/>
        <v>1.4578152200945036</v>
      </c>
      <c r="AC77" s="6189">
        <f t="shared" si="334"/>
        <v>1.5449427200626595</v>
      </c>
      <c r="AD77" s="6189">
        <f t="shared" si="334"/>
        <v>6.4888089821677681</v>
      </c>
      <c r="AE77" s="6190">
        <f t="shared" ref="AE77:AN78" si="335">AE36/Z36-1</f>
        <v>2.7778187944873545</v>
      </c>
      <c r="AF77" s="6189">
        <f t="shared" si="335"/>
        <v>4.7710752973910848</v>
      </c>
      <c r="AG77" s="6189">
        <f t="shared" si="335"/>
        <v>3.3359599306881851</v>
      </c>
      <c r="AH77" s="6189">
        <f t="shared" si="335"/>
        <v>6.3328203451128271</v>
      </c>
      <c r="AI77" s="6189">
        <f t="shared" si="335"/>
        <v>0.82365507104360569</v>
      </c>
      <c r="AJ77" s="6190">
        <f t="shared" si="335"/>
        <v>2.6715791530846693</v>
      </c>
      <c r="AK77" s="6189">
        <f t="shared" si="335"/>
        <v>0.6042855633774209</v>
      </c>
      <c r="AL77" s="6189">
        <f t="shared" si="335"/>
        <v>1.1034059285793467</v>
      </c>
      <c r="AM77" s="6189">
        <f t="shared" si="335"/>
        <v>0.92391298644741782</v>
      </c>
      <c r="AN77" s="6189">
        <f t="shared" si="335"/>
        <v>1.769193569187121</v>
      </c>
      <c r="AO77" s="6190">
        <f t="shared" ref="AO77:AX78" si="336">AO36/AJ36-1</f>
        <v>1.100075952114</v>
      </c>
      <c r="AP77" s="6189">
        <f t="shared" si="336"/>
        <v>0.69200950208596779</v>
      </c>
      <c r="AQ77" s="6189">
        <f t="shared" si="336"/>
        <v>0.28296977992641636</v>
      </c>
      <c r="AR77" s="6189">
        <f t="shared" si="336"/>
        <v>0.4590140462882546</v>
      </c>
      <c r="AS77" s="6189">
        <f t="shared" si="336"/>
        <v>0.17049604352702441</v>
      </c>
      <c r="AT77" s="6190">
        <f t="shared" si="336"/>
        <v>0.36597567137674281</v>
      </c>
      <c r="AU77" s="6189">
        <f t="shared" si="336"/>
        <v>0.30426617652634946</v>
      </c>
      <c r="AV77" s="6189">
        <f t="shared" si="336"/>
        <v>0.34835588896575564</v>
      </c>
      <c r="AW77" s="6189">
        <f t="shared" si="336"/>
        <v>0.20556755988874587</v>
      </c>
      <c r="AX77" s="6189">
        <f t="shared" si="336"/>
        <v>-0.6830019337742409</v>
      </c>
      <c r="AY77" s="6190">
        <f t="shared" ref="AY77:BH78" si="337">AY36/AT36-1</f>
        <v>5.5051305809268314E-3</v>
      </c>
      <c r="AZ77" s="6189">
        <f t="shared" si="337"/>
        <v>8.8549644017302365E-2</v>
      </c>
      <c r="BA77" s="6189">
        <f t="shared" si="337"/>
        <v>0.19012001850261817</v>
      </c>
      <c r="BB77" s="6189">
        <f t="shared" si="337"/>
        <v>0.27058432265736809</v>
      </c>
      <c r="BC77" s="6189">
        <f t="shared" si="337"/>
        <v>4.1618284602632443</v>
      </c>
      <c r="BD77" s="6190">
        <f t="shared" si="337"/>
        <v>0.54262327776880004</v>
      </c>
      <c r="BE77" s="6191">
        <f t="shared" si="337"/>
        <v>0.37402412659857709</v>
      </c>
      <c r="BF77" s="6189">
        <f t="shared" si="337"/>
        <v>0.23943699921524808</v>
      </c>
      <c r="BG77" s="6189">
        <f t="shared" si="337"/>
        <v>0.32216781830107255</v>
      </c>
      <c r="BH77" s="6189">
        <f t="shared" si="337"/>
        <v>0.28818195633453203</v>
      </c>
      <c r="BI77" s="6190">
        <f t="shared" ref="BI77:BN78" si="338">BI36/BD36-1</f>
        <v>0.3043582281462871</v>
      </c>
      <c r="BJ77" s="6189">
        <f t="shared" si="338"/>
        <v>-8.0306905370843951E-2</v>
      </c>
      <c r="BK77" s="6189">
        <f t="shared" si="338"/>
        <v>0.36141304347826098</v>
      </c>
      <c r="BL77" s="6189">
        <f t="shared" si="338"/>
        <v>0.25934471619750799</v>
      </c>
      <c r="BM77" s="6189">
        <f t="shared" si="338"/>
        <v>6.3704286276051958E-2</v>
      </c>
      <c r="BN77" s="6190">
        <f t="shared" si="338"/>
        <v>0.14485596707818926</v>
      </c>
      <c r="BO77" s="6189">
        <v>0.58906916455207847</v>
      </c>
      <c r="BP77" s="6189">
        <v>9.5788440833339372E-2</v>
      </c>
      <c r="BQ77" s="6189">
        <v>-0.2166926436588581</v>
      </c>
      <c r="BR77" s="6192">
        <v>4.7882545879760707E-2</v>
      </c>
      <c r="BS77" s="6193">
        <v>8.5810685706598111E-2</v>
      </c>
      <c r="BT77" s="6189">
        <f t="shared" ref="BT77:BX78" si="339">BT36/BJ36-1</f>
        <v>0.60734149054505004</v>
      </c>
      <c r="BU77" s="6189">
        <f t="shared" si="339"/>
        <v>0.20479041916167673</v>
      </c>
      <c r="BV77" s="6189">
        <f t="shared" si="339"/>
        <v>-9.5272993770612047E-3</v>
      </c>
      <c r="BW77" s="6189">
        <f t="shared" si="339"/>
        <v>7.3937153419593393E-2</v>
      </c>
      <c r="BX77" s="6190">
        <f t="shared" si="339"/>
        <v>0.10270103728047664</v>
      </c>
      <c r="BY77" s="6189">
        <v>0.13533908678939643</v>
      </c>
      <c r="BZ77" s="6189">
        <v>0.1332223808871813</v>
      </c>
      <c r="CA77" s="6189">
        <v>0.34106695189609137</v>
      </c>
      <c r="CB77" s="6189">
        <v>0.14911342955671003</v>
      </c>
      <c r="CC77" s="6190">
        <v>0.18021425882233788</v>
      </c>
      <c r="CD77" s="6189">
        <f t="shared" ref="CD77:CH78" si="340">CD36/BT36-1</f>
        <v>0.15778546712802766</v>
      </c>
      <c r="CE77" s="6189">
        <f t="shared" si="340"/>
        <v>6.9582504970178816E-2</v>
      </c>
      <c r="CF77" s="6189">
        <f t="shared" si="340"/>
        <v>9.8779134295227555E-2</v>
      </c>
      <c r="CG77" s="6189">
        <f t="shared" si="340"/>
        <v>0.16213425129087788</v>
      </c>
      <c r="CH77" s="6190">
        <f t="shared" si="340"/>
        <v>0.2033156375151346</v>
      </c>
      <c r="CI77" s="6189">
        <f t="shared" ref="CI77:CR78" si="341">CI36/CD36-1</f>
        <v>7.3687985654513621E-3</v>
      </c>
      <c r="CJ77" s="6189">
        <f t="shared" si="341"/>
        <v>3.8491449814126444E-2</v>
      </c>
      <c r="CK77" s="6189">
        <f t="shared" si="341"/>
        <v>-7.7910437710437819E-2</v>
      </c>
      <c r="CL77" s="6189">
        <f t="shared" si="341"/>
        <v>0.38466024881516603</v>
      </c>
      <c r="CM77" s="6190">
        <f t="shared" si="341"/>
        <v>0.11795665634674912</v>
      </c>
      <c r="CN77" s="6189">
        <f t="shared" si="341"/>
        <v>4.2596218658919938E-2</v>
      </c>
      <c r="CO77" s="6189">
        <f t="shared" si="341"/>
        <v>0.17264509834945518</v>
      </c>
      <c r="CP77" s="6189">
        <f t="shared" si="341"/>
        <v>0.45292897189299963</v>
      </c>
      <c r="CQ77" s="6189">
        <f t="shared" si="341"/>
        <v>5.3135307671458465E-2</v>
      </c>
      <c r="CR77" s="6190">
        <f t="shared" si="341"/>
        <v>0.13176635281085569</v>
      </c>
      <c r="CS77" s="6189">
        <f t="shared" ref="CS77:DB78" si="342">CS36/CN36-1</f>
        <v>0.19713170998441409</v>
      </c>
      <c r="CT77" s="6189">
        <f t="shared" si="342"/>
        <v>0.24065123378275244</v>
      </c>
      <c r="CU77" s="6189">
        <f t="shared" si="342"/>
        <v>0.27192762000502646</v>
      </c>
      <c r="CV77" s="6189">
        <f t="shared" si="342"/>
        <v>8.3282551289863838E-2</v>
      </c>
      <c r="CW77" s="6190">
        <f t="shared" si="342"/>
        <v>0.19151661701381983</v>
      </c>
      <c r="CX77" s="6189">
        <f t="shared" si="342"/>
        <v>0.28975516995483708</v>
      </c>
      <c r="CY77" s="6189">
        <f t="shared" si="342"/>
        <v>-0.27742464629895425</v>
      </c>
      <c r="CZ77" s="6189">
        <f t="shared" si="342"/>
        <v>0.33017190278601061</v>
      </c>
      <c r="DA77" s="6189">
        <f t="shared" si="342"/>
        <v>-1.5662853928370524</v>
      </c>
      <c r="DB77" s="6190">
        <f t="shared" si="342"/>
        <v>-0.34993325803470587</v>
      </c>
      <c r="DC77" s="6189">
        <f t="shared" ref="DC77:DL78" si="343">IF(AND(DC36&gt;=0,CX36&gt;0),DC36/CX36-1,"NA")</f>
        <v>0.73258385551050487</v>
      </c>
      <c r="DD77" s="6189">
        <f t="shared" si="343"/>
        <v>-9.3359818388195182E-2</v>
      </c>
      <c r="DE77" s="6189">
        <f t="shared" si="343"/>
        <v>0.36541889483065959</v>
      </c>
      <c r="DF77" s="6189" t="str">
        <f t="shared" si="343"/>
        <v>NA</v>
      </c>
      <c r="DG77" s="6190">
        <f t="shared" si="343"/>
        <v>1.4274206286526616</v>
      </c>
      <c r="DH77" s="6189">
        <f t="shared" si="343"/>
        <v>-0.29188384214445273</v>
      </c>
      <c r="DI77" s="6189">
        <f t="shared" si="343"/>
        <v>2.1133020344287949</v>
      </c>
      <c r="DJ77" s="6189">
        <f t="shared" si="343"/>
        <v>-0.2310704960835509</v>
      </c>
      <c r="DK77" s="6189">
        <f t="shared" si="343"/>
        <v>0.19255699597675457</v>
      </c>
      <c r="DL77" s="6190">
        <f t="shared" si="343"/>
        <v>0.11735424258198845</v>
      </c>
      <c r="DM77" s="6189">
        <f t="shared" ref="DM77:DU78" si="344">IF(AND(DM36&gt;=0,DH36&gt;0),DM36/DH36-1,"NA")</f>
        <v>2.6888989034099531E-2</v>
      </c>
      <c r="DN77" s="6189">
        <f t="shared" si="344"/>
        <v>-0.30039207801347145</v>
      </c>
      <c r="DO77" s="6189">
        <f t="shared" si="344"/>
        <v>0.59125636672325976</v>
      </c>
      <c r="DP77" s="6189">
        <f t="shared" si="344"/>
        <v>0.42695155093243375</v>
      </c>
      <c r="DQ77" s="6190">
        <f t="shared" si="344"/>
        <v>0.17255335876306677</v>
      </c>
      <c r="DR77" s="6189">
        <f t="shared" si="344"/>
        <v>1.6228788765359861</v>
      </c>
      <c r="DS77" s="6189">
        <f t="shared" si="344"/>
        <v>1.6620204052306367</v>
      </c>
      <c r="DT77" s="6189">
        <f t="shared" si="344"/>
        <v>0.68364897305948258</v>
      </c>
      <c r="DU77" s="6189">
        <f t="shared" si="344"/>
        <v>0.35561830958166407</v>
      </c>
      <c r="DV77" s="6190">
        <f>DV36/DQ36-1</f>
        <v>0.88812734361419454</v>
      </c>
      <c r="DW77" s="6189">
        <f t="shared" ref="DW77:DZ78" si="345">IF(AND(DW36&gt;=0,DR36&gt;0),DW36/DR36-1,"NA")</f>
        <v>-8.3324037925264882E-2</v>
      </c>
      <c r="DX77" s="6189">
        <f t="shared" si="345"/>
        <v>-0.13619433198380571</v>
      </c>
      <c r="DY77" s="6189">
        <f t="shared" si="345"/>
        <v>-0.26542036332910857</v>
      </c>
      <c r="DZ77" s="6189">
        <f t="shared" si="345"/>
        <v>-0.33998643542292417</v>
      </c>
      <c r="EA77" s="6190">
        <f>EA36/DV36-1</f>
        <v>-0.21123722594136751</v>
      </c>
      <c r="EB77" s="6189">
        <f t="shared" ref="EB77:EE78" si="346">IF(AND(EB36&gt;=0,DW36&gt;0),EB36/DW36-1,"NA")</f>
        <v>-8.4266244828425374E-2</v>
      </c>
      <c r="EC77" s="6189">
        <f t="shared" si="346"/>
        <v>0.147856517935258</v>
      </c>
      <c r="ED77" s="6189">
        <f t="shared" si="346"/>
        <v>0.41545650611071161</v>
      </c>
      <c r="EE77" s="6189">
        <f t="shared" si="346"/>
        <v>0.51842337052260712</v>
      </c>
      <c r="EF77" s="6190">
        <f>EF36/EA36-1</f>
        <v>0.23049089575135073</v>
      </c>
      <c r="EG77" s="6189">
        <f t="shared" ref="EG77:EJ78" si="347">IF(AND(EG36&gt;=0,EB36&gt;0),EG36/EB36-1,"NA")</f>
        <v>0.57212145372400514</v>
      </c>
      <c r="EH77" s="6189">
        <f t="shared" si="347"/>
        <v>0.28587761324041816</v>
      </c>
      <c r="EI77" s="6189">
        <f t="shared" si="347"/>
        <v>0.33582203260703936</v>
      </c>
      <c r="EJ77" s="6189">
        <f t="shared" si="347"/>
        <v>0.28273795137042579</v>
      </c>
      <c r="EK77" s="6190">
        <f>EK36/EF36-1</f>
        <v>0.35670438376583768</v>
      </c>
      <c r="EL77" s="6189">
        <f t="shared" ref="EL77:EO78" si="348">IF(AND(EL36&gt;=0,EG36&gt;0),EL36/EG36-1,"NA")</f>
        <v>0.45972445270898477</v>
      </c>
      <c r="EM77" s="6189">
        <f t="shared" si="348"/>
        <v>0.19378466488843737</v>
      </c>
      <c r="EN77" s="6189">
        <f t="shared" si="348"/>
        <v>0.32994943158054824</v>
      </c>
      <c r="EO77" s="6189">
        <f t="shared" ca="1" si="348"/>
        <v>0.19764878137163455</v>
      </c>
      <c r="EP77" s="6190">
        <f ca="1">EP36/EK36-1</f>
        <v>0.2934318310641213</v>
      </c>
      <c r="EQ77" s="6189">
        <f t="shared" ref="EQ77:EQ78" ca="1" si="349">IF(AND(EQ36&gt;=0,EL36&gt;0),EQ36/EL36-1,"NA")</f>
        <v>-8.5369779659712375E-2</v>
      </c>
      <c r="ER77" s="6189">
        <f t="shared" ref="ER77:ER78" ca="1" si="350">IF(AND(ER36&gt;=0,EM36&gt;0),ER36/EM36-1,"NA")</f>
        <v>0.17030798694282923</v>
      </c>
      <c r="ES77" s="6189">
        <f t="shared" ref="ES77:ES78" ca="1" si="351">IF(AND(ES36&gt;=0,EN36&gt;0),ES36/EN36-1,"NA")</f>
        <v>-3.0787728930323222E-2</v>
      </c>
      <c r="ET77" s="6189">
        <f t="shared" ref="ET77:ET78" ca="1" si="352">IF(AND(ET36&gt;=0,EO36&gt;0),ET36/EO36-1,"NA")</f>
        <v>0.15774916102232273</v>
      </c>
      <c r="EU77" s="6190">
        <f ca="1">EU36/EP36-1</f>
        <v>4.4710355765444465E-2</v>
      </c>
      <c r="EV77" s="6190">
        <f t="shared" ref="EV77:EY78" ca="1" si="353">EV36/EU36-1</f>
        <v>0.11304618174623027</v>
      </c>
      <c r="EW77" s="6190">
        <f t="shared" ca="1" si="353"/>
        <v>0.13449456044871066</v>
      </c>
      <c r="EX77" s="6190">
        <f t="shared" ca="1" si="353"/>
        <v>0.13148456203816061</v>
      </c>
      <c r="EY77" s="6190">
        <f t="shared" ca="1" si="353"/>
        <v>0.13482649580788308</v>
      </c>
      <c r="EZ77" s="189"/>
      <c r="FA77" s="1319"/>
      <c r="FB77" s="1319"/>
      <c r="FC77" s="1319"/>
      <c r="FD77" s="1319"/>
      <c r="FE77" s="1319"/>
      <c r="FF77" s="1319"/>
      <c r="FG77" s="1319"/>
      <c r="FH77" s="1319"/>
      <c r="FI77" s="1319"/>
      <c r="FJ77" s="1319"/>
      <c r="FK77" s="1319"/>
      <c r="FL77" s="1319"/>
    </row>
    <row r="78" spans="1:170" s="151" customFormat="1" ht="11.25" customHeight="1">
      <c r="A78" s="3757" t="s">
        <v>121</v>
      </c>
      <c r="B78" s="3412"/>
      <c r="C78" s="3412"/>
      <c r="D78" s="3412"/>
      <c r="E78" s="3412"/>
      <c r="F78" s="3413"/>
      <c r="G78" s="3412"/>
      <c r="H78" s="3412"/>
      <c r="I78" s="3412"/>
      <c r="J78" s="3412"/>
      <c r="K78" s="3413">
        <f>K37/F37-1</f>
        <v>0.53090552743971609</v>
      </c>
      <c r="L78" s="3412"/>
      <c r="M78" s="3412"/>
      <c r="N78" s="3412"/>
      <c r="O78" s="3412"/>
      <c r="P78" s="3413">
        <f>P37/K37-1</f>
        <v>-1.1706497756944445</v>
      </c>
      <c r="Q78" s="3412"/>
      <c r="R78" s="3412"/>
      <c r="S78" s="3412"/>
      <c r="T78" s="3412"/>
      <c r="U78" s="3413">
        <f t="shared" si="334"/>
        <v>11.077794642155729</v>
      </c>
      <c r="V78" s="3412">
        <f t="shared" si="334"/>
        <v>1.6178366905622723</v>
      </c>
      <c r="W78" s="3412">
        <f t="shared" si="334"/>
        <v>0.61578550583486447</v>
      </c>
      <c r="X78" s="3412">
        <f t="shared" si="334"/>
        <v>-0.39768250320507403</v>
      </c>
      <c r="Y78" s="3412">
        <f t="shared" si="334"/>
        <v>-0.44885865525046809</v>
      </c>
      <c r="Z78" s="3413">
        <f t="shared" si="334"/>
        <v>-8.8603541653561657E-2</v>
      </c>
      <c r="AA78" s="3412">
        <f t="shared" si="334"/>
        <v>1.3341310025963633</v>
      </c>
      <c r="AB78" s="3412">
        <f t="shared" si="334"/>
        <v>1.3753127407387966</v>
      </c>
      <c r="AC78" s="3412">
        <f t="shared" si="334"/>
        <v>1.3840027785977256</v>
      </c>
      <c r="AD78" s="3412">
        <f t="shared" si="334"/>
        <v>5.8764134766491027</v>
      </c>
      <c r="AE78" s="3413">
        <f t="shared" si="335"/>
        <v>2.5541261876042074</v>
      </c>
      <c r="AF78" s="3412">
        <f t="shared" si="335"/>
        <v>4.3194562170832649</v>
      </c>
      <c r="AG78" s="3412">
        <f t="shared" si="335"/>
        <v>3.0198933620978545</v>
      </c>
      <c r="AH78" s="3412">
        <f t="shared" si="335"/>
        <v>5.9546778523182082</v>
      </c>
      <c r="AI78" s="3412">
        <f t="shared" si="335"/>
        <v>0.71549756436281275</v>
      </c>
      <c r="AJ78" s="3413">
        <f t="shared" si="335"/>
        <v>2.4315244620646546</v>
      </c>
      <c r="AK78" s="3412">
        <f t="shared" si="335"/>
        <v>0.51191292303025238</v>
      </c>
      <c r="AL78" s="3412">
        <f t="shared" si="335"/>
        <v>0.94872277628314738</v>
      </c>
      <c r="AM78" s="3412">
        <f t="shared" si="335"/>
        <v>0.79443754635991071</v>
      </c>
      <c r="AN78" s="3412">
        <f t="shared" si="335"/>
        <v>1.6853824825988326</v>
      </c>
      <c r="AO78" s="3413">
        <f t="shared" si="336"/>
        <v>0.98016479946868973</v>
      </c>
      <c r="AP78" s="3412">
        <f t="shared" si="336"/>
        <v>0.63425860133671264</v>
      </c>
      <c r="AQ78" s="3412">
        <f t="shared" si="336"/>
        <v>0.26088263705412018</v>
      </c>
      <c r="AR78" s="3412">
        <f t="shared" si="336"/>
        <v>0.4313524348400648</v>
      </c>
      <c r="AS78" s="3412">
        <f t="shared" si="336"/>
        <v>0.15405368973165845</v>
      </c>
      <c r="AT78" s="3413">
        <f t="shared" si="336"/>
        <v>0.33719907691459361</v>
      </c>
      <c r="AU78" s="3412">
        <f t="shared" si="336"/>
        <v>0.29390246446933643</v>
      </c>
      <c r="AV78" s="3412">
        <f t="shared" si="336"/>
        <v>0.33752742391631418</v>
      </c>
      <c r="AW78" s="3412">
        <f t="shared" si="336"/>
        <v>0.20101504153661542</v>
      </c>
      <c r="AX78" s="3412">
        <f t="shared" si="336"/>
        <v>-0.68194048486156689</v>
      </c>
      <c r="AY78" s="3413">
        <f t="shared" si="337"/>
        <v>1.3764044580586443E-3</v>
      </c>
      <c r="AZ78" s="3412">
        <f t="shared" si="337"/>
        <v>8.9136433634405154E-2</v>
      </c>
      <c r="BA78" s="3412">
        <f t="shared" si="337"/>
        <v>0.1882033385371138</v>
      </c>
      <c r="BB78" s="3412">
        <f t="shared" si="337"/>
        <v>0.26275607424883463</v>
      </c>
      <c r="BC78" s="3412">
        <f t="shared" si="337"/>
        <v>4.0769256967213874</v>
      </c>
      <c r="BD78" s="3413">
        <f t="shared" si="337"/>
        <v>0.53343393895325786</v>
      </c>
      <c r="BE78" s="3414">
        <f t="shared" si="337"/>
        <v>0.35108028152968074</v>
      </c>
      <c r="BF78" s="3412">
        <f t="shared" si="337"/>
        <v>0.22425563894875555</v>
      </c>
      <c r="BG78" s="3412">
        <f t="shared" si="337"/>
        <v>0.31137727328715981</v>
      </c>
      <c r="BH78" s="3412">
        <f t="shared" si="337"/>
        <v>0.2748346222801834</v>
      </c>
      <c r="BI78" s="3413">
        <f t="shared" si="338"/>
        <v>0.28888255046009359</v>
      </c>
      <c r="BJ78" s="3412">
        <f t="shared" si="338"/>
        <v>-9.0944228491916634E-2</v>
      </c>
      <c r="BK78" s="3412">
        <f t="shared" si="338"/>
        <v>0.3465894770489466</v>
      </c>
      <c r="BL78" s="3412">
        <f t="shared" si="338"/>
        <v>0.2398760427853861</v>
      </c>
      <c r="BM78" s="3412">
        <f t="shared" si="338"/>
        <v>5.249827823891895E-2</v>
      </c>
      <c r="BN78" s="3413">
        <f t="shared" si="338"/>
        <v>0.13098939491150174</v>
      </c>
      <c r="BO78" s="3412">
        <v>0.58906916455207847</v>
      </c>
      <c r="BP78" s="3412">
        <v>9.5788440833339372E-2</v>
      </c>
      <c r="BQ78" s="3412">
        <v>-0.2166926436588581</v>
      </c>
      <c r="BR78" s="3415">
        <v>4.7882545879760707E-2</v>
      </c>
      <c r="BS78" s="3416">
        <v>8.5810685706598111E-2</v>
      </c>
      <c r="BT78" s="3412">
        <f t="shared" si="339"/>
        <v>-0.20546541772396076</v>
      </c>
      <c r="BU78" s="3412">
        <f t="shared" si="339"/>
        <v>-0.4062675916633719</v>
      </c>
      <c r="BV78" s="3412">
        <f t="shared" si="339"/>
        <v>-0.51349269664749375</v>
      </c>
      <c r="BW78" s="3412">
        <f t="shared" si="339"/>
        <v>-0.47260935624034917</v>
      </c>
      <c r="BX78" s="3413">
        <f t="shared" si="339"/>
        <v>-0.45709465714670083</v>
      </c>
      <c r="BY78" s="3412">
        <v>0.13533908678939643</v>
      </c>
      <c r="BZ78" s="3412">
        <v>0.1332223808871813</v>
      </c>
      <c r="CA78" s="3412">
        <v>0.34106695189609137</v>
      </c>
      <c r="CB78" s="3412">
        <v>0.14911342955671003</v>
      </c>
      <c r="CC78" s="3413">
        <v>0.18021425882233788</v>
      </c>
      <c r="CD78" s="3412">
        <f t="shared" si="340"/>
        <v>0.13533908678939643</v>
      </c>
      <c r="CE78" s="3412">
        <f t="shared" si="340"/>
        <v>4.573370800887977E-2</v>
      </c>
      <c r="CF78" s="3412">
        <f t="shared" si="340"/>
        <v>7.9601068193080105E-2</v>
      </c>
      <c r="CG78" s="3412">
        <f t="shared" si="340"/>
        <v>0.1415977134942048</v>
      </c>
      <c r="CH78" s="3413">
        <f t="shared" si="340"/>
        <v>0.18021600053265052</v>
      </c>
      <c r="CI78" s="3412">
        <f t="shared" si="341"/>
        <v>-1.0105480255919175E-2</v>
      </c>
      <c r="CJ78" s="3412">
        <f t="shared" si="341"/>
        <v>2.3831650761366951E-2</v>
      </c>
      <c r="CK78" s="3412">
        <f t="shared" si="341"/>
        <v>-9.0967059237884618E-2</v>
      </c>
      <c r="CL78" s="3412">
        <f t="shared" si="341"/>
        <v>0.37161792623786805</v>
      </c>
      <c r="CM78" s="3413">
        <f t="shared" si="341"/>
        <v>0.10257696240611791</v>
      </c>
      <c r="CN78" s="3412">
        <f t="shared" si="341"/>
        <v>3.6115318941774666E-2</v>
      </c>
      <c r="CO78" s="3412">
        <f t="shared" si="341"/>
        <v>0.16498167207296666</v>
      </c>
      <c r="CP78" s="3412">
        <f t="shared" si="341"/>
        <v>0.44015576758138675</v>
      </c>
      <c r="CQ78" s="3412">
        <f t="shared" si="341"/>
        <v>4.0241284192145343E-2</v>
      </c>
      <c r="CR78" s="3413">
        <f t="shared" si="341"/>
        <v>0.12219518281176267</v>
      </c>
      <c r="CS78" s="3412">
        <f t="shared" si="342"/>
        <v>0.18033309896574434</v>
      </c>
      <c r="CT78" s="3412">
        <f t="shared" si="342"/>
        <v>0.23002415608212501</v>
      </c>
      <c r="CU78" s="3412">
        <f t="shared" si="342"/>
        <v>0.26442287554302424</v>
      </c>
      <c r="CV78" s="3412">
        <f t="shared" si="342"/>
        <v>7.1058916197202393E-2</v>
      </c>
      <c r="CW78" s="3413">
        <f t="shared" si="342"/>
        <v>0.17948269195576616</v>
      </c>
      <c r="CX78" s="3412">
        <f t="shared" si="342"/>
        <v>0.28474889842727058</v>
      </c>
      <c r="CY78" s="3412">
        <f t="shared" si="342"/>
        <v>-0.28426109412395884</v>
      </c>
      <c r="CZ78" s="3412">
        <f t="shared" si="342"/>
        <v>0.32019914821016071</v>
      </c>
      <c r="DA78" s="3412">
        <f t="shared" si="342"/>
        <v>-1.5747444966006288</v>
      </c>
      <c r="DB78" s="3413">
        <f t="shared" si="342"/>
        <v>-0.35324486082285211</v>
      </c>
      <c r="DC78" s="3412">
        <f t="shared" si="343"/>
        <v>0.72497176364658733</v>
      </c>
      <c r="DD78" s="3412">
        <f t="shared" si="343"/>
        <v>-9.3029778037517996E-2</v>
      </c>
      <c r="DE78" s="3412">
        <f t="shared" si="343"/>
        <v>0.36514148855758366</v>
      </c>
      <c r="DF78" s="3412" t="str">
        <f t="shared" si="343"/>
        <v>NA</v>
      </c>
      <c r="DG78" s="3413">
        <f t="shared" si="343"/>
        <v>1.4284535042028912</v>
      </c>
      <c r="DH78" s="3412">
        <f t="shared" si="343"/>
        <v>-0.2875849057350649</v>
      </c>
      <c r="DI78" s="3412">
        <f t="shared" si="343"/>
        <v>2.1279488592192441</v>
      </c>
      <c r="DJ78" s="3412">
        <f t="shared" si="343"/>
        <v>-0.22483711420794372</v>
      </c>
      <c r="DK78" s="3412">
        <f t="shared" si="343"/>
        <v>0.20234352701995606</v>
      </c>
      <c r="DL78" s="3413">
        <f t="shared" si="343"/>
        <v>0.12491716726666091</v>
      </c>
      <c r="DM78" s="3412">
        <f t="shared" si="344"/>
        <v>3.9663782536551118E-2</v>
      </c>
      <c r="DN78" s="3412">
        <f t="shared" si="344"/>
        <v>-0.28722524478597755</v>
      </c>
      <c r="DO78" s="3412">
        <f t="shared" si="344"/>
        <v>0.6199052038851196</v>
      </c>
      <c r="DP78" s="3412">
        <f t="shared" si="344"/>
        <v>0.45249368053150607</v>
      </c>
      <c r="DQ78" s="3413">
        <f t="shared" si="344"/>
        <v>0.19222952837170282</v>
      </c>
      <c r="DR78" s="3412">
        <f t="shared" si="344"/>
        <v>1.6620872185196811</v>
      </c>
      <c r="DS78" s="3412">
        <f t="shared" si="344"/>
        <v>1.6910529933008438</v>
      </c>
      <c r="DT78" s="3412">
        <f t="shared" si="344"/>
        <v>0.70687346818318364</v>
      </c>
      <c r="DU78" s="3412">
        <f t="shared" si="344"/>
        <v>0.37673593818326667</v>
      </c>
      <c r="DV78" s="3413">
        <f>DV37/DQ37-1</f>
        <v>0.91418935822250336</v>
      </c>
      <c r="DW78" s="3412">
        <f t="shared" si="345"/>
        <v>-6.338528422805656E-2</v>
      </c>
      <c r="DX78" s="3412">
        <f t="shared" si="345"/>
        <v>-0.11314646476044754</v>
      </c>
      <c r="DY78" s="3412">
        <f t="shared" si="345"/>
        <v>-0.24111310800800967</v>
      </c>
      <c r="DZ78" s="3412">
        <f t="shared" si="345"/>
        <v>-0.31435158402235031</v>
      </c>
      <c r="EA78" s="3413">
        <f>EA37/DV37-1</f>
        <v>-0.18756146392509476</v>
      </c>
      <c r="EB78" s="3412">
        <f t="shared" si="346"/>
        <v>-4.6558552603073067E-2</v>
      </c>
      <c r="EC78" s="3412">
        <f t="shared" si="346"/>
        <v>0.19057289571802594</v>
      </c>
      <c r="ED78" s="3412">
        <f t="shared" si="346"/>
        <v>0.4601633475529292</v>
      </c>
      <c r="EE78" s="3412">
        <f t="shared" si="346"/>
        <v>0.55999265022664613</v>
      </c>
      <c r="EF78" s="3413">
        <f>EF37/EA37-1</f>
        <v>0.2727853476819202</v>
      </c>
      <c r="EG78" s="3412">
        <f t="shared" si="347"/>
        <v>0.60926905093820705</v>
      </c>
      <c r="EH78" s="3412">
        <f t="shared" si="347"/>
        <v>0.31356077274115224</v>
      </c>
      <c r="EI78" s="3412">
        <f t="shared" si="347"/>
        <v>0.36561691971809096</v>
      </c>
      <c r="EJ78" s="3412">
        <f t="shared" si="347"/>
        <v>0.30912404139699601</v>
      </c>
      <c r="EK78" s="3413">
        <f>EK37/EF37-1</f>
        <v>0.38656937411726799</v>
      </c>
      <c r="EL78" s="3412">
        <f t="shared" si="348"/>
        <v>0.48775268237616554</v>
      </c>
      <c r="EM78" s="3412">
        <f t="shared" si="348"/>
        <v>0.22285123690613418</v>
      </c>
      <c r="EN78" s="3412">
        <f t="shared" si="348"/>
        <v>0.35349028851912068</v>
      </c>
      <c r="EO78" s="3412">
        <f t="shared" ca="1" si="348"/>
        <v>0.21133579016317605</v>
      </c>
      <c r="EP78" s="3413">
        <f ca="1">EP37/EK37-1</f>
        <v>0.31693347780559322</v>
      </c>
      <c r="EQ78" s="3412">
        <f t="shared" ca="1" si="349"/>
        <v>-7.9350910937510344E-2</v>
      </c>
      <c r="ER78" s="3412">
        <f t="shared" ca="1" si="350"/>
        <v>0.16888766752686135</v>
      </c>
      <c r="ES78" s="3412">
        <f t="shared" ca="1" si="351"/>
        <v>-3.1740393258799737E-2</v>
      </c>
      <c r="ET78" s="3412">
        <f t="shared" ca="1" si="352"/>
        <v>0.15692271157196624</v>
      </c>
      <c r="EU78" s="3413">
        <f ca="1">EU37/EP37-1</f>
        <v>4.5668440770812779E-2</v>
      </c>
      <c r="EV78" s="3413">
        <f t="shared" ca="1" si="353"/>
        <v>0.12196143865111719</v>
      </c>
      <c r="EW78" s="3413">
        <f t="shared" ca="1" si="353"/>
        <v>0.14453419960118286</v>
      </c>
      <c r="EX78" s="3413">
        <f t="shared" ca="1" si="353"/>
        <v>0.14282852530163948</v>
      </c>
      <c r="EY78" s="3413">
        <f t="shared" ca="1" si="353"/>
        <v>0.14753404947130178</v>
      </c>
      <c r="EZ78" s="624"/>
      <c r="FA78" s="4266"/>
      <c r="FB78" s="1319"/>
      <c r="FC78" s="1319"/>
      <c r="FD78" s="1319"/>
      <c r="FE78" s="1319"/>
      <c r="FF78" s="1319"/>
      <c r="FG78" s="1319"/>
      <c r="FH78" s="1319"/>
      <c r="FI78" s="1319"/>
      <c r="FJ78" s="1319"/>
      <c r="FK78" s="1319"/>
      <c r="FL78" s="1319"/>
    </row>
    <row r="79" spans="1:170" ht="11.25" customHeight="1">
      <c r="A79" s="3748" t="s">
        <v>684</v>
      </c>
      <c r="B79" s="181"/>
      <c r="C79" s="181"/>
      <c r="D79" s="181"/>
      <c r="E79" s="181"/>
      <c r="F79" s="4242"/>
      <c r="G79" s="181"/>
      <c r="H79" s="181"/>
      <c r="I79" s="181"/>
      <c r="J79" s="181"/>
      <c r="K79" s="4242" t="e">
        <f>K42/F42-1</f>
        <v>#DIV/0!</v>
      </c>
      <c r="L79" s="181"/>
      <c r="M79" s="181"/>
      <c r="N79" s="181"/>
      <c r="O79" s="181"/>
      <c r="P79" s="4242" t="e">
        <f>P42/K42-1</f>
        <v>#DIV/0!</v>
      </c>
      <c r="Q79" s="181"/>
      <c r="R79" s="181"/>
      <c r="S79" s="181"/>
      <c r="T79" s="181"/>
      <c r="U79" s="4242" t="e">
        <f t="shared" ref="U79:AD80" si="354">U42/P42-1</f>
        <v>#DIV/0!</v>
      </c>
      <c r="V79" s="181" t="e">
        <f t="shared" si="354"/>
        <v>#DIV/0!</v>
      </c>
      <c r="W79" s="181" t="e">
        <f t="shared" si="354"/>
        <v>#DIV/0!</v>
      </c>
      <c r="X79" s="181" t="e">
        <f t="shared" si="354"/>
        <v>#DIV/0!</v>
      </c>
      <c r="Y79" s="181" t="e">
        <f t="shared" si="354"/>
        <v>#DIV/0!</v>
      </c>
      <c r="Z79" s="4242" t="e">
        <f t="shared" si="354"/>
        <v>#DIV/0!</v>
      </c>
      <c r="AA79" s="181" t="e">
        <f t="shared" si="354"/>
        <v>#DIV/0!</v>
      </c>
      <c r="AB79" s="181" t="e">
        <f t="shared" si="354"/>
        <v>#DIV/0!</v>
      </c>
      <c r="AC79" s="181" t="e">
        <f t="shared" si="354"/>
        <v>#DIV/0!</v>
      </c>
      <c r="AD79" s="181" t="e">
        <f t="shared" si="354"/>
        <v>#DIV/0!</v>
      </c>
      <c r="AE79" s="4242" t="e">
        <f t="shared" ref="AE79:AN80" si="355">AE42/Z42-1</f>
        <v>#DIV/0!</v>
      </c>
      <c r="AF79" s="181" t="e">
        <f t="shared" si="355"/>
        <v>#DIV/0!</v>
      </c>
      <c r="AG79" s="181" t="e">
        <f t="shared" si="355"/>
        <v>#DIV/0!</v>
      </c>
      <c r="AH79" s="181" t="e">
        <f t="shared" si="355"/>
        <v>#DIV/0!</v>
      </c>
      <c r="AI79" s="181" t="e">
        <f t="shared" si="355"/>
        <v>#DIV/0!</v>
      </c>
      <c r="AJ79" s="4242" t="e">
        <f t="shared" si="355"/>
        <v>#DIV/0!</v>
      </c>
      <c r="AK79" s="181" t="e">
        <f t="shared" si="355"/>
        <v>#DIV/0!</v>
      </c>
      <c r="AL79" s="181" t="e">
        <f t="shared" si="355"/>
        <v>#DIV/0!</v>
      </c>
      <c r="AM79" s="181" t="e">
        <f t="shared" si="355"/>
        <v>#DIV/0!</v>
      </c>
      <c r="AN79" s="181" t="e">
        <f t="shared" si="355"/>
        <v>#DIV/0!</v>
      </c>
      <c r="AO79" s="4242" t="e">
        <f t="shared" ref="AO79:AX80" si="356">AO42/AJ42-1</f>
        <v>#DIV/0!</v>
      </c>
      <c r="AP79" s="181" t="e">
        <f t="shared" si="356"/>
        <v>#DIV/0!</v>
      </c>
      <c r="AQ79" s="181" t="e">
        <f t="shared" si="356"/>
        <v>#DIV/0!</v>
      </c>
      <c r="AR79" s="181" t="e">
        <f t="shared" si="356"/>
        <v>#DIV/0!</v>
      </c>
      <c r="AS79" s="181" t="e">
        <f t="shared" si="356"/>
        <v>#DIV/0!</v>
      </c>
      <c r="AT79" s="4242" t="e">
        <f t="shared" si="356"/>
        <v>#DIV/0!</v>
      </c>
      <c r="AU79" s="181" t="e">
        <f t="shared" si="356"/>
        <v>#DIV/0!</v>
      </c>
      <c r="AV79" s="181" t="e">
        <f t="shared" si="356"/>
        <v>#DIV/0!</v>
      </c>
      <c r="AW79" s="181" t="e">
        <f t="shared" si="356"/>
        <v>#DIV/0!</v>
      </c>
      <c r="AX79" s="181" t="e">
        <f t="shared" si="356"/>
        <v>#DIV/0!</v>
      </c>
      <c r="AY79" s="4242" t="e">
        <f t="shared" ref="AY79:BH80" si="357">AY42/AT42-1</f>
        <v>#DIV/0!</v>
      </c>
      <c r="AZ79" s="181" t="e">
        <f t="shared" si="357"/>
        <v>#DIV/0!</v>
      </c>
      <c r="BA79" s="181" t="e">
        <f t="shared" si="357"/>
        <v>#DIV/0!</v>
      </c>
      <c r="BB79" s="181" t="e">
        <f t="shared" si="357"/>
        <v>#DIV/0!</v>
      </c>
      <c r="BC79" s="181" t="e">
        <f t="shared" si="357"/>
        <v>#DIV/0!</v>
      </c>
      <c r="BD79" s="4242" t="e">
        <f t="shared" si="357"/>
        <v>#DIV/0!</v>
      </c>
      <c r="BE79" s="4243" t="e">
        <f t="shared" si="357"/>
        <v>#DIV/0!</v>
      </c>
      <c r="BF79" s="181" t="e">
        <f t="shared" si="357"/>
        <v>#DIV/0!</v>
      </c>
      <c r="BG79" s="181" t="e">
        <f t="shared" si="357"/>
        <v>#DIV/0!</v>
      </c>
      <c r="BH79" s="181" t="e">
        <f t="shared" si="357"/>
        <v>#DIV/0!</v>
      </c>
      <c r="BI79" s="4242" t="e">
        <f t="shared" ref="BI79:BN80" si="358">BI42/BD42-1</f>
        <v>#DIV/0!</v>
      </c>
      <c r="BJ79" s="181" t="e">
        <f t="shared" si="358"/>
        <v>#DIV/0!</v>
      </c>
      <c r="BK79" s="181" t="e">
        <f t="shared" si="358"/>
        <v>#DIV/0!</v>
      </c>
      <c r="BL79" s="181" t="e">
        <f t="shared" si="358"/>
        <v>#DIV/0!</v>
      </c>
      <c r="BM79" s="181" t="e">
        <f t="shared" si="358"/>
        <v>#DIV/0!</v>
      </c>
      <c r="BN79" s="4242" t="e">
        <f t="shared" si="358"/>
        <v>#DIV/0!</v>
      </c>
      <c r="BO79" s="181">
        <v>0.24722030149892227</v>
      </c>
      <c r="BP79" s="181">
        <v>0.15755792585713402</v>
      </c>
      <c r="BQ79" s="181">
        <v>-7.1619566937394907E-2</v>
      </c>
      <c r="BR79" s="190">
        <v>0.12067714152680398</v>
      </c>
      <c r="BS79" s="2904">
        <v>0.10595279461379725</v>
      </c>
      <c r="BT79" s="181" t="e">
        <f t="shared" ref="BT79:BX80" si="359">BT42/BJ42-1</f>
        <v>#DIV/0!</v>
      </c>
      <c r="BU79" s="181" t="e">
        <f t="shared" si="359"/>
        <v>#DIV/0!</v>
      </c>
      <c r="BV79" s="181" t="e">
        <f t="shared" si="359"/>
        <v>#DIV/0!</v>
      </c>
      <c r="BW79" s="181" t="e">
        <f t="shared" si="359"/>
        <v>#DIV/0!</v>
      </c>
      <c r="BX79" s="4242" t="e">
        <f t="shared" si="359"/>
        <v>#DIV/0!</v>
      </c>
      <c r="BY79" s="181">
        <v>0.14886080585264549</v>
      </c>
      <c r="BZ79" s="181">
        <v>-5.531594611646784E-2</v>
      </c>
      <c r="CA79" s="181">
        <v>0.18956967782715117</v>
      </c>
      <c r="CB79" s="181">
        <v>0.127695613943453</v>
      </c>
      <c r="CC79" s="4242">
        <v>0.10070975746512834</v>
      </c>
      <c r="CD79" s="181"/>
      <c r="CE79" s="181"/>
      <c r="CF79" s="181"/>
      <c r="CG79" s="181"/>
      <c r="CH79" s="4242"/>
      <c r="CI79" s="181">
        <f t="shared" ref="CI79:CR80" si="360">CI42/CD42-1</f>
        <v>7.3687985654513621E-3</v>
      </c>
      <c r="CJ79" s="181">
        <f t="shared" si="360"/>
        <v>3.8491449814126444E-2</v>
      </c>
      <c r="CK79" s="181">
        <f t="shared" si="360"/>
        <v>4.9362289562289385E-2</v>
      </c>
      <c r="CL79" s="181">
        <f t="shared" si="360"/>
        <v>0.38466024881516603</v>
      </c>
      <c r="CM79" s="4242">
        <f t="shared" si="360"/>
        <v>0.14721362229102164</v>
      </c>
      <c r="CN79" s="181">
        <f t="shared" si="360"/>
        <v>4.2596218658919938E-2</v>
      </c>
      <c r="CO79" s="181">
        <f t="shared" si="360"/>
        <v>0.17264509834945518</v>
      </c>
      <c r="CP79" s="181">
        <f t="shared" si="360"/>
        <v>0.27670934343320908</v>
      </c>
      <c r="CQ79" s="181">
        <f t="shared" si="360"/>
        <v>5.3135307671458465E-2</v>
      </c>
      <c r="CR79" s="4241">
        <f t="shared" si="360"/>
        <v>0.10290333288355158</v>
      </c>
      <c r="CS79" s="181">
        <f t="shared" ref="CS79:DB80" si="361">CS42/CN42-1</f>
        <v>0.19713170998441409</v>
      </c>
      <c r="CT79" s="181">
        <f t="shared" si="361"/>
        <v>0.24065123378275244</v>
      </c>
      <c r="CU79" s="181">
        <f t="shared" si="361"/>
        <v>0.27192762000502646</v>
      </c>
      <c r="CV79" s="181">
        <f t="shared" si="361"/>
        <v>8.3282551289863838E-2</v>
      </c>
      <c r="CW79" s="4241">
        <f t="shared" si="361"/>
        <v>0.19151661701381983</v>
      </c>
      <c r="CX79" s="181">
        <f t="shared" si="361"/>
        <v>0.28975516995483708</v>
      </c>
      <c r="CY79" s="181">
        <f t="shared" si="361"/>
        <v>0.28357596883329905</v>
      </c>
      <c r="CZ79" s="181">
        <f t="shared" si="361"/>
        <v>0.33017190278601061</v>
      </c>
      <c r="DA79" s="181">
        <f t="shared" si="361"/>
        <v>0.28201762610163139</v>
      </c>
      <c r="DB79" s="4242">
        <f t="shared" si="361"/>
        <v>0.29659102577266649</v>
      </c>
      <c r="DC79" s="181">
        <f t="shared" ref="DC79:DL80" si="362">DC42/CX42-1</f>
        <v>0.73258385551050487</v>
      </c>
      <c r="DD79" s="181">
        <f t="shared" si="362"/>
        <v>0.32044728434504788</v>
      </c>
      <c r="DE79" s="181">
        <f t="shared" si="362"/>
        <v>0.36541889483065959</v>
      </c>
      <c r="DF79" s="181">
        <f t="shared" si="362"/>
        <v>0.30876115255228909</v>
      </c>
      <c r="DG79" s="4242">
        <f t="shared" si="362"/>
        <v>0.41781825381112658</v>
      </c>
      <c r="DH79" s="181">
        <f t="shared" si="362"/>
        <v>-0.11296670566960965</v>
      </c>
      <c r="DI79" s="181">
        <f t="shared" si="362"/>
        <v>0.20336317444955232</v>
      </c>
      <c r="DJ79" s="181">
        <f t="shared" si="362"/>
        <v>-0.2310704960835509</v>
      </c>
      <c r="DK79" s="181">
        <f t="shared" si="362"/>
        <v>0.19255699597675457</v>
      </c>
      <c r="DL79" s="4242">
        <f t="shared" si="362"/>
        <v>6.0881950456614931E-3</v>
      </c>
      <c r="DM79" s="181">
        <f t="shared" ref="DM79:DV80" si="363">DM42/DH42-1</f>
        <v>-0.18023743854179153</v>
      </c>
      <c r="DN79" s="181">
        <f t="shared" si="363"/>
        <v>-0.30039207801347145</v>
      </c>
      <c r="DO79" s="181">
        <f t="shared" si="363"/>
        <v>0.59125636672325976</v>
      </c>
      <c r="DP79" s="181">
        <f t="shared" si="363"/>
        <v>0.42695155093243375</v>
      </c>
      <c r="DQ79" s="4242">
        <f t="shared" si="363"/>
        <v>0.11780707841776539</v>
      </c>
      <c r="DR79" s="181">
        <f t="shared" si="363"/>
        <v>1.6228788765359861</v>
      </c>
      <c r="DS79" s="181">
        <f t="shared" si="363"/>
        <v>1.6620204052306367</v>
      </c>
      <c r="DT79" s="181">
        <f t="shared" si="363"/>
        <v>0.68364897305948258</v>
      </c>
      <c r="DU79" s="181">
        <f t="shared" si="363"/>
        <v>0.35561830958166407</v>
      </c>
      <c r="DV79" s="4242">
        <f t="shared" si="363"/>
        <v>0.88812734361419454</v>
      </c>
      <c r="DW79" s="181">
        <f t="shared" ref="DW79:EF80" si="364">DW42/DR42-1</f>
        <v>-8.3324037925264882E-2</v>
      </c>
      <c r="DX79" s="181">
        <f t="shared" si="364"/>
        <v>-0.13619433198380571</v>
      </c>
      <c r="DY79" s="181">
        <f t="shared" si="364"/>
        <v>-0.26542036332910857</v>
      </c>
      <c r="DZ79" s="181">
        <f t="shared" si="364"/>
        <v>-0.33998643542292417</v>
      </c>
      <c r="EA79" s="4242">
        <f t="shared" si="364"/>
        <v>-0.21123722594136751</v>
      </c>
      <c r="EB79" s="181">
        <f t="shared" si="364"/>
        <v>-8.4266244828425374E-2</v>
      </c>
      <c r="EC79" s="181">
        <f t="shared" si="364"/>
        <v>0.147856517935258</v>
      </c>
      <c r="ED79" s="181">
        <f t="shared" si="364"/>
        <v>0.41545650611071161</v>
      </c>
      <c r="EE79" s="181">
        <f t="shared" si="364"/>
        <v>0.51842337052260712</v>
      </c>
      <c r="EF79" s="4242">
        <f t="shared" si="364"/>
        <v>0.23049089575135073</v>
      </c>
      <c r="EG79" s="181">
        <f t="shared" ref="EG79:EP80" si="365">EG42/EB42-1</f>
        <v>0.57212145372400514</v>
      </c>
      <c r="EH79" s="181">
        <f t="shared" si="365"/>
        <v>0.28587761324041816</v>
      </c>
      <c r="EI79" s="181">
        <f t="shared" si="365"/>
        <v>0.33582203260703936</v>
      </c>
      <c r="EJ79" s="181">
        <f t="shared" si="365"/>
        <v>0.28273795137042579</v>
      </c>
      <c r="EK79" s="4242">
        <f t="shared" si="365"/>
        <v>0.35670438376583768</v>
      </c>
      <c r="EL79" s="181">
        <f t="shared" si="365"/>
        <v>0.45972445270898477</v>
      </c>
      <c r="EM79" s="181">
        <f t="shared" si="365"/>
        <v>0.19378466488843737</v>
      </c>
      <c r="EN79" s="181">
        <f t="shared" si="365"/>
        <v>0.46138930078704221</v>
      </c>
      <c r="EO79" s="181">
        <f t="shared" ca="1" si="365"/>
        <v>0.19764878137163455</v>
      </c>
      <c r="EP79" s="4242">
        <f t="shared" ca="1" si="365"/>
        <v>0.32796108654265677</v>
      </c>
      <c r="EQ79" s="181">
        <f t="shared" ref="EQ79:EQ80" ca="1" si="366">EQ42/EL42-1</f>
        <v>-8.5369779659712375E-2</v>
      </c>
      <c r="ER79" s="181">
        <f t="shared" ref="ER79:ER80" ca="1" si="367">ER42/EM42-1</f>
        <v>0.17030798694282923</v>
      </c>
      <c r="ES79" s="181">
        <f t="shared" ref="ES79:ES80" ca="1" si="368">ES42/EN42-1</f>
        <v>-0.11796034889826656</v>
      </c>
      <c r="ET79" s="181">
        <f t="shared" ref="ET79:EU80" ca="1" si="369">ET42/EO42-1</f>
        <v>0.15774916102232273</v>
      </c>
      <c r="EU79" s="4242">
        <f t="shared" ca="1" si="369"/>
        <v>1.7546102881188075E-2</v>
      </c>
      <c r="EV79" s="4242">
        <f t="shared" ref="EV79:EY80" ca="1" si="370">EV42/EU42-1</f>
        <v>0.11304618174623027</v>
      </c>
      <c r="EW79" s="4242">
        <f t="shared" ca="1" si="370"/>
        <v>0.13449456044871066</v>
      </c>
      <c r="EX79" s="4242">
        <f t="shared" ca="1" si="370"/>
        <v>0.13148456203816061</v>
      </c>
      <c r="EY79" s="4242">
        <f t="shared" ca="1" si="370"/>
        <v>0.13482649580788308</v>
      </c>
      <c r="EZ79" s="2612"/>
      <c r="FA79" s="725"/>
      <c r="FB79" s="725"/>
      <c r="FC79" s="725"/>
      <c r="FD79" s="725"/>
      <c r="FE79" s="725"/>
      <c r="FF79" s="725"/>
      <c r="FG79" s="725"/>
      <c r="FH79" s="725"/>
      <c r="FI79" s="725"/>
      <c r="FJ79" s="725"/>
      <c r="FK79" s="725"/>
      <c r="FL79" s="725"/>
    </row>
    <row r="80" spans="1:170" ht="11.25" customHeight="1">
      <c r="A80" s="3748" t="s">
        <v>490</v>
      </c>
      <c r="B80" s="181"/>
      <c r="C80" s="181"/>
      <c r="D80" s="181"/>
      <c r="E80" s="181"/>
      <c r="F80" s="4242"/>
      <c r="G80" s="181"/>
      <c r="H80" s="181"/>
      <c r="I80" s="181"/>
      <c r="J80" s="181"/>
      <c r="K80" s="4242" t="e">
        <f>K43/F43-1</f>
        <v>#DIV/0!</v>
      </c>
      <c r="L80" s="181"/>
      <c r="M80" s="181"/>
      <c r="N80" s="181"/>
      <c r="O80" s="181"/>
      <c r="P80" s="4242" t="e">
        <f>P43/K43-1</f>
        <v>#DIV/0!</v>
      </c>
      <c r="Q80" s="181"/>
      <c r="R80" s="181"/>
      <c r="S80" s="181"/>
      <c r="T80" s="181"/>
      <c r="U80" s="4242" t="e">
        <f t="shared" si="354"/>
        <v>#DIV/0!</v>
      </c>
      <c r="V80" s="181" t="e">
        <f t="shared" si="354"/>
        <v>#DIV/0!</v>
      </c>
      <c r="W80" s="181" t="e">
        <f t="shared" si="354"/>
        <v>#DIV/0!</v>
      </c>
      <c r="X80" s="181" t="e">
        <f t="shared" si="354"/>
        <v>#DIV/0!</v>
      </c>
      <c r="Y80" s="181" t="e">
        <f t="shared" si="354"/>
        <v>#DIV/0!</v>
      </c>
      <c r="Z80" s="4242" t="e">
        <f t="shared" si="354"/>
        <v>#DIV/0!</v>
      </c>
      <c r="AA80" s="181" t="e">
        <f t="shared" si="354"/>
        <v>#DIV/0!</v>
      </c>
      <c r="AB80" s="181" t="e">
        <f t="shared" si="354"/>
        <v>#DIV/0!</v>
      </c>
      <c r="AC80" s="181" t="e">
        <f t="shared" si="354"/>
        <v>#DIV/0!</v>
      </c>
      <c r="AD80" s="181" t="e">
        <f t="shared" si="354"/>
        <v>#DIV/0!</v>
      </c>
      <c r="AE80" s="4242" t="e">
        <f t="shared" si="355"/>
        <v>#DIV/0!</v>
      </c>
      <c r="AF80" s="181" t="e">
        <f t="shared" si="355"/>
        <v>#DIV/0!</v>
      </c>
      <c r="AG80" s="181" t="e">
        <f t="shared" si="355"/>
        <v>#DIV/0!</v>
      </c>
      <c r="AH80" s="181" t="e">
        <f t="shared" si="355"/>
        <v>#DIV/0!</v>
      </c>
      <c r="AI80" s="181" t="e">
        <f t="shared" si="355"/>
        <v>#DIV/0!</v>
      </c>
      <c r="AJ80" s="4242" t="e">
        <f t="shared" si="355"/>
        <v>#DIV/0!</v>
      </c>
      <c r="AK80" s="181" t="e">
        <f t="shared" si="355"/>
        <v>#DIV/0!</v>
      </c>
      <c r="AL80" s="181" t="e">
        <f t="shared" si="355"/>
        <v>#DIV/0!</v>
      </c>
      <c r="AM80" s="181" t="e">
        <f t="shared" si="355"/>
        <v>#DIV/0!</v>
      </c>
      <c r="AN80" s="181" t="e">
        <f t="shared" si="355"/>
        <v>#DIV/0!</v>
      </c>
      <c r="AO80" s="4242" t="e">
        <f t="shared" si="356"/>
        <v>#DIV/0!</v>
      </c>
      <c r="AP80" s="181" t="e">
        <f t="shared" si="356"/>
        <v>#DIV/0!</v>
      </c>
      <c r="AQ80" s="181" t="e">
        <f t="shared" si="356"/>
        <v>#DIV/0!</v>
      </c>
      <c r="AR80" s="181" t="e">
        <f t="shared" si="356"/>
        <v>#DIV/0!</v>
      </c>
      <c r="AS80" s="181" t="e">
        <f t="shared" si="356"/>
        <v>#DIV/0!</v>
      </c>
      <c r="AT80" s="4242" t="e">
        <f t="shared" si="356"/>
        <v>#DIV/0!</v>
      </c>
      <c r="AU80" s="181" t="e">
        <f t="shared" si="356"/>
        <v>#DIV/0!</v>
      </c>
      <c r="AV80" s="181" t="e">
        <f t="shared" si="356"/>
        <v>#DIV/0!</v>
      </c>
      <c r="AW80" s="181" t="e">
        <f t="shared" si="356"/>
        <v>#DIV/0!</v>
      </c>
      <c r="AX80" s="181" t="e">
        <f t="shared" si="356"/>
        <v>#DIV/0!</v>
      </c>
      <c r="AY80" s="4242" t="e">
        <f t="shared" si="357"/>
        <v>#DIV/0!</v>
      </c>
      <c r="AZ80" s="181" t="e">
        <f t="shared" si="357"/>
        <v>#DIV/0!</v>
      </c>
      <c r="BA80" s="181" t="e">
        <f t="shared" si="357"/>
        <v>#DIV/0!</v>
      </c>
      <c r="BB80" s="181" t="e">
        <f t="shared" si="357"/>
        <v>#DIV/0!</v>
      </c>
      <c r="BC80" s="181" t="e">
        <f t="shared" si="357"/>
        <v>#DIV/0!</v>
      </c>
      <c r="BD80" s="4242" t="e">
        <f t="shared" si="357"/>
        <v>#DIV/0!</v>
      </c>
      <c r="BE80" s="4243" t="e">
        <f t="shared" si="357"/>
        <v>#DIV/0!</v>
      </c>
      <c r="BF80" s="181" t="e">
        <f t="shared" si="357"/>
        <v>#DIV/0!</v>
      </c>
      <c r="BG80" s="181" t="e">
        <f t="shared" si="357"/>
        <v>#DIV/0!</v>
      </c>
      <c r="BH80" s="181" t="e">
        <f t="shared" si="357"/>
        <v>#DIV/0!</v>
      </c>
      <c r="BI80" s="4242" t="e">
        <f t="shared" si="358"/>
        <v>#DIV/0!</v>
      </c>
      <c r="BJ80" s="181" t="e">
        <f t="shared" si="358"/>
        <v>#DIV/0!</v>
      </c>
      <c r="BK80" s="181" t="e">
        <f t="shared" si="358"/>
        <v>#DIV/0!</v>
      </c>
      <c r="BL80" s="181" t="e">
        <f t="shared" si="358"/>
        <v>#DIV/0!</v>
      </c>
      <c r="BM80" s="181" t="e">
        <f t="shared" si="358"/>
        <v>#DIV/0!</v>
      </c>
      <c r="BN80" s="4242" t="e">
        <f t="shared" si="358"/>
        <v>#DIV/0!</v>
      </c>
      <c r="BO80" s="181">
        <v>0.24722030149892227</v>
      </c>
      <c r="BP80" s="181">
        <v>0.15755792585713402</v>
      </c>
      <c r="BQ80" s="181">
        <v>-7.1619566937394907E-2</v>
      </c>
      <c r="BR80" s="190">
        <v>0.12067714152680398</v>
      </c>
      <c r="BS80" s="2904">
        <v>0.10595279461379725</v>
      </c>
      <c r="BT80" s="181" t="e">
        <f t="shared" si="359"/>
        <v>#DIV/0!</v>
      </c>
      <c r="BU80" s="181" t="e">
        <f t="shared" si="359"/>
        <v>#DIV/0!</v>
      </c>
      <c r="BV80" s="181" t="e">
        <f t="shared" si="359"/>
        <v>#DIV/0!</v>
      </c>
      <c r="BW80" s="181" t="e">
        <f t="shared" si="359"/>
        <v>#DIV/0!</v>
      </c>
      <c r="BX80" s="4242" t="e">
        <f t="shared" si="359"/>
        <v>#DIV/0!</v>
      </c>
      <c r="BY80" s="181">
        <v>0.14886080585264549</v>
      </c>
      <c r="BZ80" s="181">
        <v>-5.531594611646784E-2</v>
      </c>
      <c r="CA80" s="181">
        <v>0.18956967782715117</v>
      </c>
      <c r="CB80" s="181">
        <v>0.127695613943453</v>
      </c>
      <c r="CC80" s="4242">
        <v>0.10070975746512834</v>
      </c>
      <c r="CD80" s="181"/>
      <c r="CE80" s="181"/>
      <c r="CF80" s="181"/>
      <c r="CG80" s="181"/>
      <c r="CH80" s="4242"/>
      <c r="CI80" s="181">
        <f t="shared" si="360"/>
        <v>-1.0105480255919175E-2</v>
      </c>
      <c r="CJ80" s="181">
        <f t="shared" si="360"/>
        <v>2.3831650761366951E-2</v>
      </c>
      <c r="CK80" s="181">
        <f t="shared" si="360"/>
        <v>3.4503509222156392E-2</v>
      </c>
      <c r="CL80" s="181">
        <f t="shared" si="360"/>
        <v>0.37161792623786805</v>
      </c>
      <c r="CM80" s="4242">
        <f t="shared" si="360"/>
        <v>0.13143144120627803</v>
      </c>
      <c r="CN80" s="181">
        <f t="shared" si="360"/>
        <v>3.6115318941774666E-2</v>
      </c>
      <c r="CO80" s="181">
        <f t="shared" si="360"/>
        <v>0.16498167207296666</v>
      </c>
      <c r="CP80" s="181">
        <f t="shared" si="360"/>
        <v>0.26548534721199646</v>
      </c>
      <c r="CQ80" s="181">
        <f t="shared" si="360"/>
        <v>4.0241284192145343E-2</v>
      </c>
      <c r="CR80" s="4241">
        <f t="shared" si="360"/>
        <v>9.3576252903326163E-2</v>
      </c>
      <c r="CS80" s="181">
        <f t="shared" si="361"/>
        <v>0.18033309896574434</v>
      </c>
      <c r="CT80" s="181">
        <f t="shared" si="361"/>
        <v>0.23002415608212501</v>
      </c>
      <c r="CU80" s="181">
        <f t="shared" si="361"/>
        <v>0.26442287554302424</v>
      </c>
      <c r="CV80" s="181">
        <f t="shared" si="361"/>
        <v>7.833815368693231E-2</v>
      </c>
      <c r="CW80" s="4241">
        <f t="shared" si="361"/>
        <v>0.18166669447147465</v>
      </c>
      <c r="CX80" s="181">
        <f t="shared" si="361"/>
        <v>0.28474889842727058</v>
      </c>
      <c r="CY80" s="181">
        <f t="shared" si="361"/>
        <v>0.27143176809989122</v>
      </c>
      <c r="CZ80" s="181">
        <f t="shared" si="361"/>
        <v>0.32019914821016071</v>
      </c>
      <c r="DA80" s="181">
        <f t="shared" si="361"/>
        <v>24.463690286237725</v>
      </c>
      <c r="DB80" s="4242">
        <f t="shared" si="361"/>
        <v>0.28760166412754784</v>
      </c>
      <c r="DC80" s="181">
        <f t="shared" si="362"/>
        <v>0.72497176364658733</v>
      </c>
      <c r="DD80" s="181">
        <f t="shared" si="362"/>
        <v>0.32092796112687938</v>
      </c>
      <c r="DE80" s="181">
        <f t="shared" si="362"/>
        <v>0.36514148855758366</v>
      </c>
      <c r="DF80" s="181">
        <f t="shared" si="362"/>
        <v>-0.93417168488752189</v>
      </c>
      <c r="DG80" s="4242">
        <f t="shared" si="362"/>
        <v>0.41842154019328248</v>
      </c>
      <c r="DH80" s="181">
        <f t="shared" si="362"/>
        <v>-0.10758157261900347</v>
      </c>
      <c r="DI80" s="181">
        <f t="shared" si="362"/>
        <v>0.20902451067087879</v>
      </c>
      <c r="DJ80" s="181">
        <f t="shared" si="362"/>
        <v>-0.22483711420794372</v>
      </c>
      <c r="DK80" s="181">
        <f t="shared" si="362"/>
        <v>0.20234352701995606</v>
      </c>
      <c r="DL80" s="4242">
        <f t="shared" si="362"/>
        <v>1.2898004285464726E-2</v>
      </c>
      <c r="DM80" s="181">
        <f t="shared" si="363"/>
        <v>-0.17003935719560848</v>
      </c>
      <c r="DN80" s="181">
        <f t="shared" si="363"/>
        <v>-0.28722524478597755</v>
      </c>
      <c r="DO80" s="181">
        <f t="shared" si="363"/>
        <v>0.6199052038851196</v>
      </c>
      <c r="DP80" s="181">
        <f t="shared" si="363"/>
        <v>0.45249368053150607</v>
      </c>
      <c r="DQ80" s="4242">
        <f t="shared" si="363"/>
        <v>0.13656457162718638</v>
      </c>
      <c r="DR80" s="181">
        <f t="shared" si="363"/>
        <v>1.6620872185196811</v>
      </c>
      <c r="DS80" s="181">
        <f t="shared" si="363"/>
        <v>1.6910529933008438</v>
      </c>
      <c r="DT80" s="181">
        <f t="shared" si="363"/>
        <v>0.70687346818318364</v>
      </c>
      <c r="DU80" s="181">
        <f t="shared" si="363"/>
        <v>0.37673593818326667</v>
      </c>
      <c r="DV80" s="4242">
        <f t="shared" si="363"/>
        <v>0.91418935822250336</v>
      </c>
      <c r="DW80" s="181">
        <f t="shared" si="364"/>
        <v>-6.338528422805656E-2</v>
      </c>
      <c r="DX80" s="181">
        <f t="shared" si="364"/>
        <v>-0.11314646476044754</v>
      </c>
      <c r="DY80" s="181">
        <f t="shared" si="364"/>
        <v>-0.24111310800800967</v>
      </c>
      <c r="DZ80" s="181">
        <f t="shared" si="364"/>
        <v>-0.31435158402235031</v>
      </c>
      <c r="EA80" s="4242">
        <f t="shared" si="364"/>
        <v>-0.18756146392509476</v>
      </c>
      <c r="EB80" s="181">
        <f t="shared" si="364"/>
        <v>-4.6558552603073067E-2</v>
      </c>
      <c r="EC80" s="181">
        <f t="shared" si="364"/>
        <v>0.19057289571802594</v>
      </c>
      <c r="ED80" s="181">
        <f t="shared" si="364"/>
        <v>0.4601633475529292</v>
      </c>
      <c r="EE80" s="181">
        <f t="shared" si="364"/>
        <v>0.55999265022664613</v>
      </c>
      <c r="EF80" s="4242">
        <f t="shared" si="364"/>
        <v>0.2727853476819202</v>
      </c>
      <c r="EG80" s="181">
        <f t="shared" si="365"/>
        <v>0.60926905093820705</v>
      </c>
      <c r="EH80" s="181">
        <f t="shared" si="365"/>
        <v>0.31356077274115224</v>
      </c>
      <c r="EI80" s="181">
        <f t="shared" si="365"/>
        <v>0.36561691971809096</v>
      </c>
      <c r="EJ80" s="181">
        <f t="shared" si="365"/>
        <v>0.30912404139699601</v>
      </c>
      <c r="EK80" s="4242">
        <f t="shared" si="365"/>
        <v>0.38656937411726799</v>
      </c>
      <c r="EL80" s="181">
        <f t="shared" si="365"/>
        <v>0.48775268237616554</v>
      </c>
      <c r="EM80" s="181">
        <f t="shared" si="365"/>
        <v>0.22285123690613418</v>
      </c>
      <c r="EN80" s="181">
        <f t="shared" si="365"/>
        <v>0.48725671773123658</v>
      </c>
      <c r="EO80" s="181">
        <f t="shared" ca="1" si="365"/>
        <v>0.21133579016317605</v>
      </c>
      <c r="EP80" s="4242">
        <f t="shared" ca="1" si="365"/>
        <v>0.35209012959912012</v>
      </c>
      <c r="EQ80" s="181">
        <f t="shared" ca="1" si="366"/>
        <v>-7.9350910937510344E-2</v>
      </c>
      <c r="ER80" s="181">
        <f t="shared" ca="1" si="367"/>
        <v>0.16888766752686135</v>
      </c>
      <c r="ES80" s="181">
        <f t="shared" ca="1" si="368"/>
        <v>-0.11882732895721604</v>
      </c>
      <c r="ET80" s="181">
        <f t="shared" ca="1" si="369"/>
        <v>0.15692271157196624</v>
      </c>
      <c r="EU80" s="4242">
        <f t="shared" ca="1" si="369"/>
        <v>1.8479276040678227E-2</v>
      </c>
      <c r="EV80" s="4242">
        <f t="shared" ca="1" si="370"/>
        <v>0.12196143865111719</v>
      </c>
      <c r="EW80" s="4242">
        <f t="shared" ca="1" si="370"/>
        <v>0.14453419960118286</v>
      </c>
      <c r="EX80" s="4242">
        <f t="shared" ca="1" si="370"/>
        <v>0.14282852530163948</v>
      </c>
      <c r="EY80" s="4242">
        <f t="shared" ca="1" si="370"/>
        <v>0.14753404947130178</v>
      </c>
      <c r="EZ80" s="2612"/>
      <c r="FA80" s="725"/>
      <c r="FB80" s="725"/>
      <c r="FC80" s="725"/>
      <c r="FD80" s="725"/>
      <c r="FE80" s="725"/>
      <c r="FF80" s="725"/>
      <c r="FG80" s="725"/>
      <c r="FH80" s="725"/>
      <c r="FI80" s="725"/>
      <c r="FJ80" s="725"/>
      <c r="FK80" s="725"/>
      <c r="FL80" s="725"/>
    </row>
    <row r="81" spans="1:168" ht="11.25" customHeight="1">
      <c r="A81" s="3748" t="s">
        <v>668</v>
      </c>
      <c r="B81" s="181"/>
      <c r="C81" s="181"/>
      <c r="D81" s="181"/>
      <c r="E81" s="181"/>
      <c r="F81" s="4242"/>
      <c r="G81" s="181"/>
      <c r="H81" s="181"/>
      <c r="I81" s="181"/>
      <c r="J81" s="181"/>
      <c r="K81" s="4242">
        <f>K50/F50-1</f>
        <v>1.005266622778143</v>
      </c>
      <c r="L81" s="181"/>
      <c r="M81" s="181"/>
      <c r="N81" s="181"/>
      <c r="O81" s="181"/>
      <c r="P81" s="4242">
        <f>P50/K50-1</f>
        <v>-2.2784065971224967</v>
      </c>
      <c r="Q81" s="181"/>
      <c r="R81" s="181"/>
      <c r="S81" s="181"/>
      <c r="T81" s="181"/>
      <c r="U81" s="4242">
        <f t="shared" ref="U81:AD82" si="371">U50/P50-1</f>
        <v>6.7869911877124727</v>
      </c>
      <c r="V81" s="181">
        <f t="shared" si="371"/>
        <v>4.3177777777777813</v>
      </c>
      <c r="W81" s="181">
        <f t="shared" si="371"/>
        <v>2.2631345926800455</v>
      </c>
      <c r="X81" s="181">
        <f t="shared" si="371"/>
        <v>1.582148044616186</v>
      </c>
      <c r="Y81" s="181">
        <f t="shared" si="371"/>
        <v>1.1267669685830137</v>
      </c>
      <c r="Z81" s="4242">
        <f t="shared" si="371"/>
        <v>1.7620268610201908</v>
      </c>
      <c r="AA81" s="181">
        <f t="shared" si="371"/>
        <v>1.2573210324986341</v>
      </c>
      <c r="AB81" s="181">
        <f t="shared" si="371"/>
        <v>1.318966426966969</v>
      </c>
      <c r="AC81" s="181">
        <f t="shared" si="371"/>
        <v>0.87485204839736697</v>
      </c>
      <c r="AD81" s="181">
        <f t="shared" si="371"/>
        <v>0.72618507100981966</v>
      </c>
      <c r="AE81" s="4242">
        <f t="shared" ref="AE81:AN82" si="372">AE50/Z50-1</f>
        <v>0.98401272801626205</v>
      </c>
      <c r="AF81" s="181">
        <f t="shared" si="372"/>
        <v>1.5444874186520088</v>
      </c>
      <c r="AG81" s="181">
        <f t="shared" si="372"/>
        <v>1.475224932390264</v>
      </c>
      <c r="AH81" s="181">
        <f t="shared" si="372"/>
        <v>1.4749253546137031</v>
      </c>
      <c r="AI81" s="181">
        <f t="shared" si="372"/>
        <v>1.4230740882432422</v>
      </c>
      <c r="AJ81" s="4242">
        <f t="shared" si="372"/>
        <v>1.4745792343333788</v>
      </c>
      <c r="AK81" s="181">
        <f t="shared" si="372"/>
        <v>0.95747417444465732</v>
      </c>
      <c r="AL81" s="181">
        <f t="shared" si="372"/>
        <v>1.0279633039088747</v>
      </c>
      <c r="AM81" s="181">
        <f t="shared" si="372"/>
        <v>0.85795485736243959</v>
      </c>
      <c r="AN81" s="181">
        <f t="shared" si="372"/>
        <v>1.1243740081583966</v>
      </c>
      <c r="AO81" s="4242">
        <f t="shared" ref="AO81:AX82" si="373">AO50/AJ50-1</f>
        <v>0.99497606664679372</v>
      </c>
      <c r="AP81" s="181">
        <f t="shared" si="373"/>
        <v>0.65720077366342222</v>
      </c>
      <c r="AQ81" s="181">
        <f t="shared" si="373"/>
        <v>0.45522796884005023</v>
      </c>
      <c r="AR81" s="181">
        <f t="shared" si="373"/>
        <v>0.52278085347101988</v>
      </c>
      <c r="AS81" s="181">
        <f t="shared" si="373"/>
        <v>0.41331477652617421</v>
      </c>
      <c r="AT81" s="4242">
        <f t="shared" si="373"/>
        <v>0.50227032034998831</v>
      </c>
      <c r="AU81" s="181">
        <f t="shared" si="373"/>
        <v>0.32595707606576552</v>
      </c>
      <c r="AV81" s="181">
        <f t="shared" si="373"/>
        <v>0.31037861534805833</v>
      </c>
      <c r="AW81" s="181">
        <f t="shared" si="373"/>
        <v>0.26367560304593063</v>
      </c>
      <c r="AX81" s="181">
        <f t="shared" si="373"/>
        <v>0.14646299102658022</v>
      </c>
      <c r="AY81" s="4242">
        <f t="shared" ref="AY81:BH82" si="374">AY50/AT50-1</f>
        <v>0.25545286866455741</v>
      </c>
      <c r="AZ81" s="181">
        <f t="shared" si="374"/>
        <v>6.4513778609342376E-2</v>
      </c>
      <c r="BA81" s="181">
        <f t="shared" si="374"/>
        <v>0.16015452291254451</v>
      </c>
      <c r="BB81" s="181">
        <f t="shared" si="374"/>
        <v>0.20526372021339956</v>
      </c>
      <c r="BC81" s="181">
        <f t="shared" si="374"/>
        <v>0.3540538449875763</v>
      </c>
      <c r="BD81" s="4242">
        <f t="shared" si="374"/>
        <v>0.19842292468147549</v>
      </c>
      <c r="BE81" s="4243">
        <f t="shared" si="374"/>
        <v>0.33288924063203784</v>
      </c>
      <c r="BF81" s="181">
        <f t="shared" si="374"/>
        <v>0.21705991341839304</v>
      </c>
      <c r="BG81" s="181">
        <f t="shared" si="374"/>
        <v>0.3068495477514972</v>
      </c>
      <c r="BH81" s="181">
        <f t="shared" si="374"/>
        <v>0.30252191093218039</v>
      </c>
      <c r="BI81" s="4242">
        <f t="shared" ref="BI81:BN82" si="375">BI50/BD50-1</f>
        <v>0.29063696278011752</v>
      </c>
      <c r="BJ81" s="181">
        <f t="shared" si="375"/>
        <v>0.20953690967446126</v>
      </c>
      <c r="BK81" s="181">
        <f t="shared" si="375"/>
        <v>0.37037037037037046</v>
      </c>
      <c r="BL81" s="181">
        <f t="shared" si="375"/>
        <v>0.29325751421608448</v>
      </c>
      <c r="BM81" s="181">
        <f t="shared" si="375"/>
        <v>9.7192982456140387E-2</v>
      </c>
      <c r="BN81" s="4242">
        <f t="shared" si="375"/>
        <v>0.23255328040117007</v>
      </c>
      <c r="BO81" s="181">
        <v>0.24722030149892227</v>
      </c>
      <c r="BP81" s="181">
        <v>0.15755792585713402</v>
      </c>
      <c r="BQ81" s="181">
        <v>-7.1619566937394907E-2</v>
      </c>
      <c r="BR81" s="190">
        <v>0.12067714152680398</v>
      </c>
      <c r="BS81" s="2904">
        <v>0.10595279461379725</v>
      </c>
      <c r="BT81" s="181">
        <f t="shared" ref="BT81:BX82" si="376">BT50/BJ50-1</f>
        <v>0.26156178923426832</v>
      </c>
      <c r="BU81" s="181">
        <f t="shared" si="376"/>
        <v>0.18778518778518771</v>
      </c>
      <c r="BV81" s="181">
        <f t="shared" si="376"/>
        <v>-7.5376884422110324E-3</v>
      </c>
      <c r="BW81" s="181">
        <f t="shared" si="376"/>
        <v>0.18963863127598346</v>
      </c>
      <c r="BX81" s="4242">
        <f t="shared" si="376"/>
        <v>0.14722834378708249</v>
      </c>
      <c r="BY81" s="181">
        <v>0.14886080585264549</v>
      </c>
      <c r="BZ81" s="181">
        <v>-5.531594611646784E-2</v>
      </c>
      <c r="CA81" s="181">
        <v>0.18956967782715117</v>
      </c>
      <c r="CB81" s="181">
        <v>0.12769561395045259</v>
      </c>
      <c r="CC81" s="4242">
        <v>0.10070975746512834</v>
      </c>
      <c r="CD81" s="181">
        <f t="shared" ref="CD81:CH82" si="377">CD50/BT50-1</f>
        <v>0.21454326923076916</v>
      </c>
      <c r="CE81" s="181">
        <f t="shared" si="377"/>
        <v>2.3640661938533203E-3</v>
      </c>
      <c r="CF81" s="181">
        <f t="shared" si="377"/>
        <v>0.25316455696202533</v>
      </c>
      <c r="CG81" s="181">
        <f t="shared" si="377"/>
        <v>0.23575268817204309</v>
      </c>
      <c r="CH81" s="4242">
        <f t="shared" si="377"/>
        <v>0.18145548577761361</v>
      </c>
      <c r="CI81" s="181">
        <f t="shared" ref="CI81:CR82" si="378">CI50/CD50-1</f>
        <v>4.3457694210786713E-2</v>
      </c>
      <c r="CJ81" s="181">
        <f t="shared" si="378"/>
        <v>0.21027429245283025</v>
      </c>
      <c r="CK81" s="181">
        <f t="shared" si="378"/>
        <v>8.550656565656567E-2</v>
      </c>
      <c r="CL81" s="181">
        <f t="shared" si="378"/>
        <v>1.2315205568849352E-2</v>
      </c>
      <c r="CM81" s="4242">
        <f t="shared" si="378"/>
        <v>9.9556000250140775E-2</v>
      </c>
      <c r="CN81" s="181">
        <f t="shared" si="378"/>
        <v>5.7514695366336355E-2</v>
      </c>
      <c r="CO81" s="181">
        <f t="shared" si="378"/>
        <v>0.17629852736875695</v>
      </c>
      <c r="CP81" s="181">
        <f t="shared" si="378"/>
        <v>0.18689640315953593</v>
      </c>
      <c r="CQ81" s="181">
        <f t="shared" si="378"/>
        <v>0.29856092459772654</v>
      </c>
      <c r="CR81" s="4241">
        <f t="shared" si="378"/>
        <v>0.16215851674913284</v>
      </c>
      <c r="CS81" s="181">
        <f t="shared" ref="CS81:DB82" si="379">CS50/CN50-1</f>
        <v>0.17662009242027965</v>
      </c>
      <c r="CT81" s="181">
        <f t="shared" si="379"/>
        <v>0.214330089045351</v>
      </c>
      <c r="CU81" s="181">
        <f t="shared" si="379"/>
        <v>0.23990591924735405</v>
      </c>
      <c r="CV81" s="181">
        <f t="shared" si="379"/>
        <v>8.5057090848916106E-2</v>
      </c>
      <c r="CW81" s="4241">
        <f t="shared" si="379"/>
        <v>0.17425497522461453</v>
      </c>
      <c r="CX81" s="181">
        <f t="shared" si="379"/>
        <v>0.33852842130489069</v>
      </c>
      <c r="CY81" s="181">
        <f t="shared" si="379"/>
        <v>0.36814421800177954</v>
      </c>
      <c r="CZ81" s="181">
        <f t="shared" si="379"/>
        <v>0.30691761732911194</v>
      </c>
      <c r="DA81" s="181">
        <f t="shared" si="379"/>
        <v>0.28213359768186685</v>
      </c>
      <c r="DB81" s="4242">
        <f t="shared" si="379"/>
        <v>0.32202149183556839</v>
      </c>
      <c r="DC81" s="181">
        <f t="shared" ref="DC81:DL82" si="380">DC50/CX50-1</f>
        <v>0.33144278350074874</v>
      </c>
      <c r="DD81" s="181">
        <f t="shared" si="380"/>
        <v>0.18828721146177196</v>
      </c>
      <c r="DE81" s="181">
        <f t="shared" si="380"/>
        <v>0.24689145413856051</v>
      </c>
      <c r="DF81" s="181">
        <f t="shared" si="380"/>
        <v>0.16104998813791105</v>
      </c>
      <c r="DG81" s="4242">
        <f t="shared" si="380"/>
        <v>0.22804341034036701</v>
      </c>
      <c r="DH81" s="181">
        <f t="shared" si="380"/>
        <v>4.3315050931570953E-2</v>
      </c>
      <c r="DI81" s="181">
        <f t="shared" si="380"/>
        <v>7.9204505952442883E-2</v>
      </c>
      <c r="DJ81" s="181">
        <f t="shared" si="380"/>
        <v>-1.2080955553617434E-2</v>
      </c>
      <c r="DK81" s="181">
        <f t="shared" si="380"/>
        <v>0.27994121197711763</v>
      </c>
      <c r="DL81" s="4242">
        <f t="shared" si="380"/>
        <v>9.6728459812387202E-2</v>
      </c>
      <c r="DM81" s="181">
        <f t="shared" ref="DM81:DV82" si="381">DM50/DH50-1</f>
        <v>6.1535554615687493E-2</v>
      </c>
      <c r="DN81" s="181">
        <f t="shared" si="381"/>
        <v>-0.16662997647746369</v>
      </c>
      <c r="DO81" s="181">
        <f t="shared" si="381"/>
        <v>0.22910190517356765</v>
      </c>
      <c r="DP81" s="181">
        <f t="shared" si="381"/>
        <v>0.25604488943316794</v>
      </c>
      <c r="DQ81" s="4242">
        <f t="shared" si="381"/>
        <v>0.10341203897418549</v>
      </c>
      <c r="DR81" s="181">
        <f t="shared" si="381"/>
        <v>0.66947137839540249</v>
      </c>
      <c r="DS81" s="181">
        <f t="shared" si="381"/>
        <v>1.3146700371738755</v>
      </c>
      <c r="DT81" s="181">
        <f t="shared" si="381"/>
        <v>0.65890490389255496</v>
      </c>
      <c r="DU81" s="181">
        <f t="shared" si="381"/>
        <v>0.41326882318859703</v>
      </c>
      <c r="DV81" s="4242">
        <f t="shared" si="381"/>
        <v>0.69873069670301624</v>
      </c>
      <c r="DW81" s="181">
        <f t="shared" ref="DW81:EF82" si="382">DW50/DR50-1</f>
        <v>0.25553624057146451</v>
      </c>
      <c r="DX81" s="181">
        <f t="shared" si="382"/>
        <v>4.8307836519224434E-2</v>
      </c>
      <c r="DY81" s="181">
        <f t="shared" si="382"/>
        <v>-6.2190657254914239E-2</v>
      </c>
      <c r="DZ81" s="181">
        <f t="shared" si="382"/>
        <v>-0.14306050169372675</v>
      </c>
      <c r="EA81" s="4242">
        <f t="shared" si="382"/>
        <v>1.1408806129838744E-2</v>
      </c>
      <c r="EB81" s="181">
        <f t="shared" si="382"/>
        <v>-0.10532268407202938</v>
      </c>
      <c r="EC81" s="181">
        <f t="shared" si="382"/>
        <v>0.14893977846120965</v>
      </c>
      <c r="ED81" s="181">
        <f t="shared" si="382"/>
        <v>0.34278712760783669</v>
      </c>
      <c r="EE81" s="181">
        <f t="shared" si="382"/>
        <v>0.35847010308149785</v>
      </c>
      <c r="EF81" s="4242">
        <f t="shared" si="382"/>
        <v>0.17655143209760915</v>
      </c>
      <c r="EG81" s="181">
        <f t="shared" ref="EG81:EP82" si="383">EG50/EB50-1</f>
        <v>0.36789393806407</v>
      </c>
      <c r="EH81" s="181">
        <f t="shared" si="383"/>
        <v>0.23300811484786177</v>
      </c>
      <c r="EI81" s="181">
        <f t="shared" si="383"/>
        <v>0.12965093643674175</v>
      </c>
      <c r="EJ81" s="181">
        <f t="shared" si="383"/>
        <v>0.20721807551104332</v>
      </c>
      <c r="EK81" s="4242">
        <f t="shared" si="383"/>
        <v>0.22515534822634686</v>
      </c>
      <c r="EL81" s="181">
        <f t="shared" si="383"/>
        <v>0.15473515812250693</v>
      </c>
      <c r="EM81" s="181">
        <f t="shared" si="383"/>
        <v>8.0312496807577904E-2</v>
      </c>
      <c r="EN81" s="181">
        <f t="shared" si="383"/>
        <v>0.13412628803007354</v>
      </c>
      <c r="EO81" s="181">
        <f t="shared" ca="1" si="383"/>
        <v>0.19732522969532273</v>
      </c>
      <c r="EP81" s="4242">
        <f t="shared" ca="1" si="383"/>
        <v>0.1421027307628342</v>
      </c>
      <c r="EQ81" s="181">
        <f t="shared" ref="EQ81:EQ82" ca="1" si="384">EQ50/EL50-1</f>
        <v>0.20800059887950528</v>
      </c>
      <c r="ER81" s="181">
        <f t="shared" ref="ER81:ER82" ca="1" si="385">ER50/EM50-1</f>
        <v>0.22512557693224311</v>
      </c>
      <c r="ES81" s="181">
        <f t="shared" ref="ES81:ES82" ca="1" si="386">ES50/EN50-1</f>
        <v>0.20077286210684098</v>
      </c>
      <c r="ET81" s="181">
        <f t="shared" ref="ET81:EU82" ca="1" si="387">ET50/EO50-1</f>
        <v>0.15492379171565873</v>
      </c>
      <c r="EU81" s="4242">
        <f t="shared" ca="1" si="387"/>
        <v>0.19541988175810587</v>
      </c>
      <c r="EV81" s="4242">
        <f t="shared" ref="EV81:EY82" ca="1" si="388">EV50/EU50-1</f>
        <v>0.10795055049697599</v>
      </c>
      <c r="EW81" s="4242">
        <f t="shared" ca="1" si="388"/>
        <v>0.12584506367602333</v>
      </c>
      <c r="EX81" s="4242">
        <f t="shared" ca="1" si="388"/>
        <v>0.12323028672150782</v>
      </c>
      <c r="EY81" s="4242">
        <f t="shared" ca="1" si="388"/>
        <v>0.12610886596226245</v>
      </c>
      <c r="EZ81" s="2612"/>
      <c r="FA81" s="725"/>
      <c r="FB81" s="725"/>
      <c r="FC81" s="725"/>
      <c r="FD81" s="725"/>
      <c r="FE81" s="725"/>
      <c r="FF81" s="725"/>
      <c r="FG81" s="725"/>
      <c r="FH81" s="725"/>
      <c r="FI81" s="725"/>
      <c r="FJ81" s="725"/>
      <c r="FK81" s="725"/>
      <c r="FL81" s="725"/>
    </row>
    <row r="82" spans="1:168" ht="11.25" customHeight="1">
      <c r="A82" s="3761" t="s">
        <v>669</v>
      </c>
      <c r="B82" s="1778"/>
      <c r="C82" s="1778"/>
      <c r="D82" s="1778"/>
      <c r="E82" s="1778"/>
      <c r="F82" s="1829"/>
      <c r="G82" s="1778"/>
      <c r="H82" s="1778"/>
      <c r="I82" s="1778"/>
      <c r="J82" s="1778"/>
      <c r="K82" s="1829">
        <f>K51/F51-1</f>
        <v>0.26974492486899271</v>
      </c>
      <c r="L82" s="1778"/>
      <c r="M82" s="1778"/>
      <c r="N82" s="1778"/>
      <c r="O82" s="1778"/>
      <c r="P82" s="1829">
        <f>P51/K51-1</f>
        <v>-1.4588070791660341</v>
      </c>
      <c r="Q82" s="1778"/>
      <c r="R82" s="1778"/>
      <c r="S82" s="1778"/>
      <c r="T82" s="1778"/>
      <c r="U82" s="1829">
        <f t="shared" si="371"/>
        <v>5.5920468201773303</v>
      </c>
      <c r="V82" s="1778">
        <f t="shared" si="371"/>
        <v>3.2766833632459926</v>
      </c>
      <c r="W82" s="1778">
        <f t="shared" si="371"/>
        <v>1.7196909016124038</v>
      </c>
      <c r="X82" s="1778">
        <f t="shared" si="371"/>
        <v>1.3076303335071082</v>
      </c>
      <c r="Y82" s="1778">
        <f t="shared" si="371"/>
        <v>0.92806373197776804</v>
      </c>
      <c r="Z82" s="1829">
        <f t="shared" si="371"/>
        <v>1.3745286061591342</v>
      </c>
      <c r="AA82" s="1778">
        <f t="shared" si="371"/>
        <v>1.1249149097746178</v>
      </c>
      <c r="AB82" s="1778">
        <f t="shared" si="371"/>
        <v>1.241124741309223</v>
      </c>
      <c r="AC82" s="1778">
        <f t="shared" si="371"/>
        <v>0.75628805222339612</v>
      </c>
      <c r="AD82" s="1778">
        <f t="shared" si="371"/>
        <v>0.58502671302565901</v>
      </c>
      <c r="AE82" s="1829">
        <f t="shared" si="372"/>
        <v>0.86653515607265397</v>
      </c>
      <c r="AF82" s="1778">
        <f t="shared" si="372"/>
        <v>1.3453669759875497</v>
      </c>
      <c r="AG82" s="1778">
        <f t="shared" si="372"/>
        <v>1.2947952551386908</v>
      </c>
      <c r="AH82" s="1778">
        <f t="shared" si="372"/>
        <v>1.3472971844106825</v>
      </c>
      <c r="AI82" s="1778">
        <f t="shared" si="372"/>
        <v>1.2793661820451416</v>
      </c>
      <c r="AJ82" s="1829">
        <f t="shared" si="372"/>
        <v>1.3127866299159128</v>
      </c>
      <c r="AK82" s="1778">
        <f t="shared" si="372"/>
        <v>0.84476540112366472</v>
      </c>
      <c r="AL82" s="1778">
        <f t="shared" si="372"/>
        <v>0.87882815489771393</v>
      </c>
      <c r="AM82" s="1778">
        <f t="shared" si="372"/>
        <v>0.73291826552367545</v>
      </c>
      <c r="AN82" s="1778">
        <f t="shared" si="372"/>
        <v>1.0600787216443748</v>
      </c>
      <c r="AO82" s="1829">
        <f t="shared" si="373"/>
        <v>0.88106595810494825</v>
      </c>
      <c r="AP82" s="1778">
        <f t="shared" si="373"/>
        <v>0.60063794864179143</v>
      </c>
      <c r="AQ82" s="1778">
        <f t="shared" si="373"/>
        <v>0.43017529140179067</v>
      </c>
      <c r="AR82" s="1778">
        <f t="shared" si="373"/>
        <v>0.49391027995144454</v>
      </c>
      <c r="AS82" s="1778">
        <f t="shared" si="373"/>
        <v>0.393461465864962</v>
      </c>
      <c r="AT82" s="1829">
        <f t="shared" si="373"/>
        <v>0.47062244792656238</v>
      </c>
      <c r="AU82" s="1778">
        <f t="shared" si="373"/>
        <v>0.31542100790450789</v>
      </c>
      <c r="AV82" s="1778">
        <f t="shared" si="373"/>
        <v>0.29985514068239283</v>
      </c>
      <c r="AW82" s="1778">
        <f t="shared" si="373"/>
        <v>0.25890365449205888</v>
      </c>
      <c r="AX82" s="1778">
        <f t="shared" si="373"/>
        <v>0.15030185323080425</v>
      </c>
      <c r="AY82" s="1829">
        <f t="shared" si="374"/>
        <v>0.25029782678835089</v>
      </c>
      <c r="AZ82" s="1778">
        <f t="shared" si="374"/>
        <v>6.5087611540145085E-2</v>
      </c>
      <c r="BA82" s="1778">
        <f t="shared" si="374"/>
        <v>0.15828610216809458</v>
      </c>
      <c r="BB82" s="1778">
        <f t="shared" si="374"/>
        <v>0.19783792120787536</v>
      </c>
      <c r="BC82" s="1778">
        <f t="shared" si="374"/>
        <v>0.33178210265655372</v>
      </c>
      <c r="BD82" s="1829">
        <f t="shared" si="374"/>
        <v>0.19128397218547821</v>
      </c>
      <c r="BE82" s="1754">
        <f t="shared" si="374"/>
        <v>0.31063227757072265</v>
      </c>
      <c r="BF82" s="1778">
        <f t="shared" si="374"/>
        <v>0.2021526409848533</v>
      </c>
      <c r="BG82" s="1778">
        <f t="shared" si="374"/>
        <v>0.29618401900678437</v>
      </c>
      <c r="BH82" s="1778">
        <f t="shared" si="374"/>
        <v>0.28902599525595929</v>
      </c>
      <c r="BI82" s="1829">
        <f t="shared" si="375"/>
        <v>0.27532408230382477</v>
      </c>
      <c r="BJ82" s="1778">
        <f t="shared" si="375"/>
        <v>0.19554720483682853</v>
      </c>
      <c r="BK82" s="1778">
        <f t="shared" si="375"/>
        <v>0.35544927326816422</v>
      </c>
      <c r="BL82" s="1778">
        <f t="shared" si="375"/>
        <v>0.27326457037933394</v>
      </c>
      <c r="BM82" s="1778">
        <f t="shared" si="375"/>
        <v>8.5634174676269659E-2</v>
      </c>
      <c r="BN82" s="1829">
        <f t="shared" si="375"/>
        <v>0.21762451250070725</v>
      </c>
      <c r="BO82" s="1778">
        <v>0.24722030149892227</v>
      </c>
      <c r="BP82" s="1778">
        <v>0.15755792585713402</v>
      </c>
      <c r="BQ82" s="1778">
        <v>-7.1619566937394907E-2</v>
      </c>
      <c r="BR82" s="1828">
        <v>0.12067714152680398</v>
      </c>
      <c r="BS82" s="1830">
        <v>0.10595279461379725</v>
      </c>
      <c r="BT82" s="1778">
        <f t="shared" si="376"/>
        <v>-0.37638984925053898</v>
      </c>
      <c r="BU82" s="1778">
        <f t="shared" si="376"/>
        <v>-0.41464793468312278</v>
      </c>
      <c r="BV82" s="1778">
        <f t="shared" si="376"/>
        <v>-0.512515425643431</v>
      </c>
      <c r="BW82" s="1778">
        <f t="shared" si="376"/>
        <v>-0.41579050357627356</v>
      </c>
      <c r="BX82" s="1829">
        <f t="shared" si="376"/>
        <v>-0.43517202191918525</v>
      </c>
      <c r="BY82" s="1778">
        <v>0.14886080585264549</v>
      </c>
      <c r="BZ82" s="1778">
        <v>-5.531594611646784E-2</v>
      </c>
      <c r="CA82" s="1778">
        <v>0.18956967782715117</v>
      </c>
      <c r="CB82" s="1778">
        <v>0.12769561395045259</v>
      </c>
      <c r="CC82" s="1829">
        <v>0.10070975746512834</v>
      </c>
      <c r="CD82" s="1778">
        <f t="shared" si="377"/>
        <v>0.19099650609294549</v>
      </c>
      <c r="CE82" s="1778">
        <f t="shared" si="377"/>
        <v>-1.9985941388428241E-2</v>
      </c>
      <c r="CF82" s="1778">
        <f t="shared" si="377"/>
        <v>0.23129185119236095</v>
      </c>
      <c r="CG82" s="1778">
        <f t="shared" si="377"/>
        <v>0.21391520961928889</v>
      </c>
      <c r="CH82" s="1829">
        <f t="shared" si="377"/>
        <v>0.15877549061958174</v>
      </c>
      <c r="CI82" s="1778">
        <f t="shared" si="378"/>
        <v>2.5357400938939012E-2</v>
      </c>
      <c r="CJ82" s="1778">
        <f t="shared" si="378"/>
        <v>0.19318953173645181</v>
      </c>
      <c r="CK82" s="1778">
        <f t="shared" si="378"/>
        <v>7.0135988900285495E-2</v>
      </c>
      <c r="CL82" s="1778">
        <f t="shared" si="378"/>
        <v>2.7800568042117835E-3</v>
      </c>
      <c r="CM82" s="1829">
        <f t="shared" si="378"/>
        <v>8.442944354650872E-2</v>
      </c>
      <c r="CN82" s="1778">
        <f t="shared" si="378"/>
        <v>5.0941060657692994E-2</v>
      </c>
      <c r="CO82" s="1778">
        <f t="shared" si="378"/>
        <v>0.16861122533993278</v>
      </c>
      <c r="CP82" s="1778">
        <f t="shared" si="378"/>
        <v>0.17646198375737976</v>
      </c>
      <c r="CQ82" s="1778">
        <f t="shared" si="378"/>
        <v>0.28266204158704955</v>
      </c>
      <c r="CR82" s="1831">
        <f t="shared" si="378"/>
        <v>0.15233032500083232</v>
      </c>
      <c r="CS82" s="1778">
        <f t="shared" si="379"/>
        <v>0.16010930828143399</v>
      </c>
      <c r="CT82" s="1778">
        <f t="shared" si="379"/>
        <v>0.20392847104095191</v>
      </c>
      <c r="CU82" s="1778">
        <f t="shared" si="379"/>
        <v>0.23259011217270409</v>
      </c>
      <c r="CV82" s="1778">
        <f t="shared" si="379"/>
        <v>8.0104593762491794E-2</v>
      </c>
      <c r="CW82" s="1831">
        <f t="shared" si="379"/>
        <v>0.16454774967209707</v>
      </c>
      <c r="CX82" s="1778">
        <f t="shared" si="379"/>
        <v>0.33333283311845041</v>
      </c>
      <c r="CY82" s="1778">
        <f t="shared" si="379"/>
        <v>0.35519989805570962</v>
      </c>
      <c r="CZ82" s="1778">
        <f t="shared" si="379"/>
        <v>0.29711920810006465</v>
      </c>
      <c r="DA82" s="1778">
        <f t="shared" si="379"/>
        <v>24.465993736939961</v>
      </c>
      <c r="DB82" s="1829">
        <f t="shared" si="379"/>
        <v>0.3128558188851116</v>
      </c>
      <c r="DC82" s="1778">
        <f t="shared" si="380"/>
        <v>0.32559310139311326</v>
      </c>
      <c r="DD82" s="1778">
        <f t="shared" si="380"/>
        <v>0.18871977857707334</v>
      </c>
      <c r="DE82" s="1778">
        <f t="shared" si="380"/>
        <v>0.24663812857485845</v>
      </c>
      <c r="DF82" s="1778">
        <f t="shared" si="380"/>
        <v>-0.94160128887426786</v>
      </c>
      <c r="DG82" s="1829">
        <f t="shared" si="380"/>
        <v>0.2285659468955028</v>
      </c>
      <c r="DH82" s="1778">
        <f t="shared" si="380"/>
        <v>4.9648962408036734E-2</v>
      </c>
      <c r="DI82" s="1778">
        <f t="shared" si="380"/>
        <v>8.4281725938472718E-2</v>
      </c>
      <c r="DJ82" s="1778">
        <f t="shared" si="380"/>
        <v>-4.0723193459364371E-3</v>
      </c>
      <c r="DK82" s="1778">
        <f t="shared" si="380"/>
        <v>0.29044484781737157</v>
      </c>
      <c r="DL82" s="1829">
        <f t="shared" si="380"/>
        <v>0.10415177680980681</v>
      </c>
      <c r="DM82" s="1778">
        <f t="shared" si="381"/>
        <v>7.4741361329499156E-2</v>
      </c>
      <c r="DN82" s="1778">
        <f t="shared" si="381"/>
        <v>-0.15094569993960427</v>
      </c>
      <c r="DO82" s="1778">
        <f t="shared" si="381"/>
        <v>0.25123054583324889</v>
      </c>
      <c r="DP82" s="1778">
        <f t="shared" si="381"/>
        <v>0.27852782610133353</v>
      </c>
      <c r="DQ82" s="1829">
        <f t="shared" si="381"/>
        <v>0.12192797453038917</v>
      </c>
      <c r="DR82" s="1778">
        <f t="shared" si="381"/>
        <v>0.69442762220890519</v>
      </c>
      <c r="DS82" s="1778">
        <f t="shared" si="381"/>
        <v>1.3399143446839443</v>
      </c>
      <c r="DT82" s="1778">
        <f t="shared" si="381"/>
        <v>0.68178807578148248</v>
      </c>
      <c r="DU82" s="1778">
        <f t="shared" si="381"/>
        <v>0.43528452326536193</v>
      </c>
      <c r="DV82" s="1829">
        <f t="shared" si="381"/>
        <v>0.72217845004591941</v>
      </c>
      <c r="DW82" s="1778">
        <f t="shared" si="382"/>
        <v>0.28284559403374332</v>
      </c>
      <c r="DX82" s="1778">
        <f t="shared" si="382"/>
        <v>7.6278548821667735E-2</v>
      </c>
      <c r="DY82" s="1778">
        <f t="shared" si="382"/>
        <v>-3.1158526770156958E-2</v>
      </c>
      <c r="DZ82" s="1778">
        <f t="shared" si="382"/>
        <v>-0.10977706953814681</v>
      </c>
      <c r="EA82" s="1829">
        <f t="shared" si="382"/>
        <v>4.1767584437640393E-2</v>
      </c>
      <c r="EB82" s="1778">
        <f t="shared" si="382"/>
        <v>-6.8482044880242121E-2</v>
      </c>
      <c r="EC82" s="1778">
        <f t="shared" si="382"/>
        <v>0.19169646874396395</v>
      </c>
      <c r="ED82" s="1778">
        <f t="shared" si="382"/>
        <v>0.38519872481725237</v>
      </c>
      <c r="EE82" s="1778">
        <f t="shared" si="382"/>
        <v>0.39566040506238309</v>
      </c>
      <c r="EF82" s="1829">
        <f t="shared" si="382"/>
        <v>0.21699187595665159</v>
      </c>
      <c r="EG82" s="1778">
        <f t="shared" si="383"/>
        <v>0.40021585118508574</v>
      </c>
      <c r="EH82" s="1778">
        <f t="shared" si="383"/>
        <v>0.25955306746043272</v>
      </c>
      <c r="EI82" s="1778">
        <f t="shared" si="383"/>
        <v>0.15484727345203919</v>
      </c>
      <c r="EJ82" s="1778">
        <f t="shared" si="383"/>
        <v>0.23205071166101132</v>
      </c>
      <c r="EK82" s="1829">
        <f t="shared" si="383"/>
        <v>0.25212456354812618</v>
      </c>
      <c r="EL82" s="1778">
        <f t="shared" si="383"/>
        <v>0.17690727571398956</v>
      </c>
      <c r="EM82" s="1778">
        <f t="shared" si="383"/>
        <v>0.1066162196762328</v>
      </c>
      <c r="EN82" s="1778">
        <f t="shared" si="383"/>
        <v>0.15420096460259636</v>
      </c>
      <c r="EO82" s="1778">
        <f t="shared" ca="1" si="383"/>
        <v>0.21100854086306398</v>
      </c>
      <c r="EP82" s="1829">
        <f t="shared" ca="1" si="383"/>
        <v>0.16285472887840213</v>
      </c>
      <c r="EQ82" s="1778">
        <f t="shared" ca="1" si="384"/>
        <v>0.21595003774485555</v>
      </c>
      <c r="ER82" s="1778">
        <f t="shared" ca="1" si="385"/>
        <v>0.22363872931321493</v>
      </c>
      <c r="ES82" s="1778">
        <f t="shared" ca="1" si="386"/>
        <v>0.1995925907602254</v>
      </c>
      <c r="ET82" s="1778">
        <f t="shared" ca="1" si="387"/>
        <v>0.15409935913129469</v>
      </c>
      <c r="EU82" s="1829">
        <f t="shared" ca="1" si="387"/>
        <v>0.19651617974875135</v>
      </c>
      <c r="EV82" s="1829">
        <f t="shared" ca="1" si="388"/>
        <v>0.11682499250808331</v>
      </c>
      <c r="EW82" s="1829">
        <f t="shared" ca="1" si="388"/>
        <v>0.13580815964400106</v>
      </c>
      <c r="EX82" s="1829">
        <f t="shared" ca="1" si="388"/>
        <v>0.13449149481615752</v>
      </c>
      <c r="EY82" s="1829">
        <f t="shared" ca="1" si="388"/>
        <v>0.13871880139990811</v>
      </c>
      <c r="EZ82" s="169"/>
      <c r="FA82" s="725"/>
      <c r="FB82" s="725"/>
      <c r="FC82" s="725"/>
      <c r="FD82" s="725"/>
      <c r="FE82" s="725"/>
      <c r="FF82" s="725"/>
      <c r="FG82" s="725"/>
      <c r="FH82" s="725"/>
      <c r="FI82" s="725"/>
      <c r="FJ82" s="725"/>
      <c r="FK82" s="725"/>
      <c r="FL82" s="725"/>
    </row>
    <row r="83" spans="1:168" ht="11.25" hidden="1" customHeight="1" outlineLevel="1">
      <c r="A83" s="3762" t="s">
        <v>323</v>
      </c>
      <c r="B83" s="1451"/>
      <c r="C83" s="1451"/>
      <c r="D83" s="1451"/>
      <c r="E83" s="1451"/>
      <c r="F83" s="1444"/>
      <c r="G83" s="1451"/>
      <c r="H83" s="1451"/>
      <c r="I83" s="1451"/>
      <c r="J83" s="1451"/>
      <c r="K83" s="1444"/>
      <c r="L83" s="1451"/>
      <c r="M83" s="1451"/>
      <c r="N83" s="1451"/>
      <c r="O83" s="1451"/>
      <c r="P83" s="1444"/>
      <c r="Q83" s="1451"/>
      <c r="R83" s="1451"/>
      <c r="S83" s="1451"/>
      <c r="T83" s="1451"/>
      <c r="U83" s="1444"/>
      <c r="V83" s="1451"/>
      <c r="W83" s="1451"/>
      <c r="X83" s="1451"/>
      <c r="Y83" s="1451"/>
      <c r="Z83" s="1444"/>
      <c r="AA83" s="1451"/>
      <c r="AB83" s="1451"/>
      <c r="AC83" s="1451"/>
      <c r="AD83" s="1784"/>
      <c r="AE83" s="1444"/>
      <c r="AF83" s="1451"/>
      <c r="AG83" s="1451"/>
      <c r="AH83" s="1451"/>
      <c r="AI83" s="1451"/>
      <c r="AJ83" s="1444"/>
      <c r="AK83" s="1451"/>
      <c r="AL83" s="1451"/>
      <c r="AM83" s="1451"/>
      <c r="AN83" s="1451"/>
      <c r="AO83" s="1444"/>
      <c r="AP83" s="1451"/>
      <c r="AQ83" s="1451"/>
      <c r="AR83" s="1451"/>
      <c r="AS83" s="1451"/>
      <c r="AT83" s="1444"/>
      <c r="AU83" s="1451"/>
      <c r="AV83" s="1451"/>
      <c r="AW83" s="1451"/>
      <c r="AX83" s="1451"/>
      <c r="AY83" s="1713"/>
      <c r="AZ83" s="1451"/>
      <c r="BA83" s="1451"/>
      <c r="BB83" s="1451"/>
      <c r="BC83" s="1451"/>
      <c r="BD83" s="1713"/>
      <c r="BE83" s="1755"/>
      <c r="BF83" s="1451"/>
      <c r="BG83" s="1451"/>
      <c r="BH83" s="1451"/>
      <c r="BI83" s="1713"/>
      <c r="BJ83" s="1451"/>
      <c r="BK83" s="1451"/>
      <c r="BL83" s="1451"/>
      <c r="BM83" s="1451"/>
      <c r="BN83" s="1713"/>
      <c r="BO83" s="1451"/>
      <c r="BP83" s="1451"/>
      <c r="BQ83" s="1451"/>
      <c r="BR83" s="1756"/>
      <c r="BS83" s="1757"/>
      <c r="BT83" s="1451"/>
      <c r="BU83" s="1451"/>
      <c r="BV83" s="1451"/>
      <c r="BW83" s="1451"/>
      <c r="BX83" s="1713"/>
      <c r="BY83" s="1451"/>
      <c r="BZ83" s="1451"/>
      <c r="CA83" s="1451"/>
      <c r="CB83" s="1451"/>
      <c r="CC83" s="1713"/>
      <c r="CD83" s="1451"/>
      <c r="CE83" s="1451"/>
      <c r="CF83" s="1451"/>
      <c r="CG83" s="1451"/>
      <c r="CH83" s="1713"/>
      <c r="CI83" s="1793"/>
      <c r="CJ83" s="1793"/>
      <c r="CK83" s="1793"/>
      <c r="CL83" s="1793"/>
      <c r="CM83" s="1713"/>
      <c r="CN83" s="1793"/>
      <c r="CO83" s="1793"/>
      <c r="CP83" s="1793"/>
      <c r="CQ83" s="1793"/>
      <c r="CR83" s="1713"/>
      <c r="CS83" s="1793"/>
      <c r="CT83" s="1793"/>
      <c r="CU83" s="1793"/>
      <c r="CV83" s="1793"/>
      <c r="CW83" s="1713"/>
      <c r="CX83" s="1793"/>
      <c r="CY83" s="1793"/>
      <c r="CZ83" s="1793"/>
      <c r="DA83" s="1793"/>
      <c r="DB83" s="1713"/>
      <c r="DC83" s="1793"/>
      <c r="DD83" s="1793"/>
      <c r="DE83" s="1793"/>
      <c r="DF83" s="1793"/>
      <c r="DG83" s="1713"/>
      <c r="DH83" s="3581"/>
      <c r="DI83" s="3581"/>
      <c r="DJ83" s="3581"/>
      <c r="DK83" s="3581"/>
      <c r="DL83" s="1713"/>
      <c r="DM83" s="3581"/>
      <c r="DN83" s="3581"/>
      <c r="DO83" s="3581"/>
      <c r="DP83" s="3581"/>
      <c r="DQ83" s="1713"/>
      <c r="DR83" s="3581"/>
      <c r="DS83" s="3581"/>
      <c r="DT83" s="3581"/>
      <c r="DU83" s="3581"/>
      <c r="DV83" s="1713"/>
      <c r="DW83" s="3581"/>
      <c r="DX83" s="3581"/>
      <c r="DY83" s="3581"/>
      <c r="DZ83" s="3581"/>
      <c r="EA83" s="1713"/>
      <c r="EB83" s="3581"/>
      <c r="EC83" s="3581"/>
      <c r="ED83" s="3581"/>
      <c r="EE83" s="3581"/>
      <c r="EF83" s="1713"/>
      <c r="EG83" s="3581"/>
      <c r="EH83" s="3581"/>
      <c r="EI83" s="3581"/>
      <c r="EJ83" s="3581"/>
      <c r="EK83" s="1713"/>
      <c r="EL83" s="3581"/>
      <c r="EM83" s="3581"/>
      <c r="EN83" s="3581"/>
      <c r="EO83" s="3581"/>
      <c r="EP83" s="1713"/>
      <c r="EQ83" s="3581"/>
      <c r="ER83" s="3581"/>
      <c r="ES83" s="3581"/>
      <c r="ET83" s="3581"/>
      <c r="EU83" s="1713"/>
      <c r="EV83" s="1713"/>
      <c r="EW83" s="1713"/>
      <c r="EX83" s="1713"/>
      <c r="EY83" s="1713"/>
      <c r="EZ83" s="208"/>
      <c r="FA83" s="725"/>
      <c r="FB83" s="725"/>
      <c r="FC83" s="725"/>
      <c r="FD83" s="725"/>
      <c r="FE83" s="725"/>
      <c r="FF83" s="725"/>
      <c r="FG83" s="725"/>
      <c r="FH83" s="725"/>
      <c r="FI83" s="725"/>
      <c r="FJ83" s="725"/>
      <c r="FK83" s="725"/>
      <c r="FL83" s="725"/>
    </row>
    <row r="84" spans="1:168" s="151" customFormat="1" ht="11.25" hidden="1" customHeight="1" outlineLevel="1">
      <c r="A84" s="3757" t="s">
        <v>232</v>
      </c>
      <c r="B84" s="3223"/>
      <c r="C84" s="3223"/>
      <c r="D84" s="3223"/>
      <c r="E84" s="3223"/>
      <c r="F84" s="3408"/>
      <c r="G84" s="3223"/>
      <c r="H84" s="3223"/>
      <c r="I84" s="3223"/>
      <c r="J84" s="3223"/>
      <c r="K84" s="3408"/>
      <c r="L84" s="3223"/>
      <c r="M84" s="3223"/>
      <c r="N84" s="3223"/>
      <c r="O84" s="3223"/>
      <c r="P84" s="3408"/>
      <c r="Q84" s="3015"/>
      <c r="R84" s="3015">
        <f>R7/Q7-1</f>
        <v>0.857041504079461</v>
      </c>
      <c r="S84" s="3015">
        <f>S7/R7-1</f>
        <v>0.66554600445717926</v>
      </c>
      <c r="T84" s="3015">
        <f>T7/S7-1</f>
        <v>0.43677123873167822</v>
      </c>
      <c r="U84" s="3410"/>
      <c r="V84" s="3015">
        <f>V7/T7-1</f>
        <v>0.32306251363677485</v>
      </c>
      <c r="W84" s="3015">
        <f t="shared" ref="W84:Y86" si="389">W7/V7-1</f>
        <v>0.25171548319108039</v>
      </c>
      <c r="X84" s="3015">
        <f t="shared" si="389"/>
        <v>0.265884530477283</v>
      </c>
      <c r="Y84" s="3015">
        <f t="shared" si="389"/>
        <v>0.30012793761518175</v>
      </c>
      <c r="Z84" s="3410"/>
      <c r="AA84" s="3015">
        <f>AA7/Y7-1</f>
        <v>0.27226631522428879</v>
      </c>
      <c r="AB84" s="3015">
        <f t="shared" ref="AB84:AD86" si="390">AB7/AA7-1</f>
        <v>7.4566121821973752E-2</v>
      </c>
      <c r="AC84" s="3015">
        <f t="shared" si="390"/>
        <v>0.15091857894466232</v>
      </c>
      <c r="AD84" s="3015">
        <f t="shared" si="390"/>
        <v>0.2799573637495083</v>
      </c>
      <c r="AE84" s="3410"/>
      <c r="AF84" s="3015">
        <f>AF7/AD7-1</f>
        <v>0.21814326888679703</v>
      </c>
      <c r="AG84" s="3015">
        <f t="shared" ref="AG84:AI86" si="391">AG7/AF7-1</f>
        <v>0.10185226451553331</v>
      </c>
      <c r="AH84" s="3015">
        <f t="shared" si="391"/>
        <v>0.14009512493725151</v>
      </c>
      <c r="AI84" s="3015">
        <f t="shared" si="391"/>
        <v>0.21580392484807942</v>
      </c>
      <c r="AJ84" s="3410"/>
      <c r="AK84" s="3015">
        <f>AK7/AI7-1</f>
        <v>0.17438550398547648</v>
      </c>
      <c r="AL84" s="3015">
        <f t="shared" ref="AL84:AN86" si="392">AL7/AK7-1</f>
        <v>8.9732912406184306E-2</v>
      </c>
      <c r="AM84" s="3015">
        <f t="shared" si="392"/>
        <v>9.5147742805246294E-2</v>
      </c>
      <c r="AN84" s="3015">
        <f t="shared" si="392"/>
        <v>0.19177981858761273</v>
      </c>
      <c r="AO84" s="3410"/>
      <c r="AP84" s="3015">
        <f>AP7/AN7-1</f>
        <v>0.14302707410829774</v>
      </c>
      <c r="AQ84" s="3015">
        <f t="shared" ref="AQ84:AS86" si="393">AQ7/AP7-1</f>
        <v>5.6772829260930413E-2</v>
      </c>
      <c r="AR84" s="3015">
        <f t="shared" si="393"/>
        <v>9.2811826492096294E-2</v>
      </c>
      <c r="AS84" s="3015">
        <f t="shared" si="393"/>
        <v>0.14069454413023186</v>
      </c>
      <c r="AT84" s="3410"/>
      <c r="AU84" s="3015">
        <f>AU7/AS7-1</f>
        <v>7.4453677155659204E-2</v>
      </c>
      <c r="AV84" s="3015">
        <f t="shared" ref="AV84:AX86" si="394">AV7/AU7-1</f>
        <v>3.4933956390257537E-2</v>
      </c>
      <c r="AW84" s="3015">
        <f t="shared" si="394"/>
        <v>3.2452416636421066E-2</v>
      </c>
      <c r="AX84" s="3015">
        <f t="shared" si="394"/>
        <v>2.8785732679755149E-2</v>
      </c>
      <c r="AY84" s="3410"/>
      <c r="AZ84" s="3015">
        <f>AZ7/AX7-1</f>
        <v>-3.3663783849017692E-2</v>
      </c>
      <c r="BA84" s="3015">
        <f t="shared" ref="BA84:BC86" si="395">BA7/AZ7-1</f>
        <v>2.5244191766549129E-3</v>
      </c>
      <c r="BB84" s="3015">
        <f t="shared" si="395"/>
        <v>7.6400845425869779E-2</v>
      </c>
      <c r="BC84" s="3015">
        <f t="shared" si="395"/>
        <v>0.12262275370736808</v>
      </c>
      <c r="BD84" s="3410"/>
      <c r="BE84" s="3015">
        <f>BE7/BC7-1</f>
        <v>1.515997198008634E-2</v>
      </c>
      <c r="BF84" s="3015">
        <f t="shared" ref="BF84:BH86" si="396">BF7/BE7-1</f>
        <v>6.6420664206641167E-3</v>
      </c>
      <c r="BG84" s="3015">
        <f t="shared" si="396"/>
        <v>6.8328445747800615E-2</v>
      </c>
      <c r="BH84" s="3015">
        <f t="shared" si="396"/>
        <v>0.15838594564919029</v>
      </c>
      <c r="BI84" s="3410"/>
      <c r="BJ84" s="3015">
        <f>BJ7/BH7-1</f>
        <v>1.5995260663507205E-2</v>
      </c>
      <c r="BK84" s="3015">
        <f t="shared" ref="BK84:BM86" si="397">BK7/BJ7-1</f>
        <v>5.2594752186588822E-2</v>
      </c>
      <c r="BL84" s="3015">
        <f t="shared" si="397"/>
        <v>7.6888987369820416E-2</v>
      </c>
      <c r="BM84" s="3015">
        <f t="shared" si="397"/>
        <v>8.8888888888888795E-2</v>
      </c>
      <c r="BN84" s="3410"/>
      <c r="BO84" s="3015">
        <v>5.7634164777022878E-3</v>
      </c>
      <c r="BP84" s="3015">
        <v>0.14739314232033829</v>
      </c>
      <c r="BQ84" s="3015">
        <v>0.15449484198460772</v>
      </c>
      <c r="BR84" s="3016">
        <v>2.2551592085667593E-2</v>
      </c>
      <c r="BS84" s="3411"/>
      <c r="BT84" s="3015">
        <f>BT7/BM7-1</f>
        <v>5.7634164777022878E-3</v>
      </c>
      <c r="BU84" s="3015">
        <f t="shared" ref="BU84:BW86" si="398">BU7/BT7-1</f>
        <v>2.9967120713950246E-2</v>
      </c>
      <c r="BV84" s="3015">
        <f t="shared" si="398"/>
        <v>5.125866472090479E-2</v>
      </c>
      <c r="BW84" s="3015">
        <f t="shared" si="398"/>
        <v>0.11964254728440049</v>
      </c>
      <c r="BX84" s="3410"/>
      <c r="BY84" s="3015">
        <v>-3.1208821693598732E-2</v>
      </c>
      <c r="BZ84" s="3015">
        <v>9.7358436538048654E-3</v>
      </c>
      <c r="CA84" s="3015">
        <v>5.5866713931230105E-2</v>
      </c>
      <c r="CB84" s="3015">
        <v>0.13194118042033165</v>
      </c>
      <c r="CC84" s="3410"/>
      <c r="CD84" s="3015">
        <f>CD7/BW7-1</f>
        <v>3.564509879891542E-3</v>
      </c>
      <c r="CE84" s="3015">
        <f t="shared" ref="CE84:CG86" si="399">CE7/CD7-1</f>
        <v>1.2045401899467123E-2</v>
      </c>
      <c r="CF84" s="3015">
        <f t="shared" si="399"/>
        <v>4.9362935835812971E-2</v>
      </c>
      <c r="CG84" s="3015">
        <f t="shared" si="399"/>
        <v>0.14199505598371376</v>
      </c>
      <c r="CH84" s="3410"/>
      <c r="CI84" s="3015">
        <f>CI7/CG7-1</f>
        <v>-1.8272107977334917E-2</v>
      </c>
      <c r="CJ84" s="3015">
        <f t="shared" ref="CJ84:CL86" si="400">CJ7/CI7-1</f>
        <v>3.4695201037613588E-2</v>
      </c>
      <c r="CK84" s="3015">
        <f t="shared" si="400"/>
        <v>3.5600125352553968E-2</v>
      </c>
      <c r="CL84" s="3015">
        <f t="shared" si="400"/>
        <v>9.5624281304847791E-2</v>
      </c>
      <c r="CM84" s="3410"/>
      <c r="CN84" s="3015">
        <f>CN7/CL7-1</f>
        <v>-4.6677346296194022E-2</v>
      </c>
      <c r="CO84" s="3015">
        <f t="shared" ref="CO84:CQ86" si="401">CO7/CN7-1</f>
        <v>2.7175802526364645E-2</v>
      </c>
      <c r="CP84" s="3015">
        <f t="shared" si="401"/>
        <v>5.3477745811474131E-2</v>
      </c>
      <c r="CQ84" s="3015">
        <f t="shared" si="401"/>
        <v>0.14211512717536823</v>
      </c>
      <c r="CR84" s="3410"/>
      <c r="CS84" s="3015">
        <f>CS7/CQ7-1</f>
        <v>-5.0260209104974418E-2</v>
      </c>
      <c r="CT84" s="3015">
        <f t="shared" ref="CT84:CV86" si="402">CT7/CS7-1</f>
        <v>6.1361504665053967E-2</v>
      </c>
      <c r="CU84" s="3015">
        <f t="shared" si="402"/>
        <v>4.4232558139534861E-2</v>
      </c>
      <c r="CV84" s="3015">
        <f t="shared" si="402"/>
        <v>0.16092824373079151</v>
      </c>
      <c r="CW84" s="4125"/>
      <c r="CX84" s="3412">
        <f>CX7/CV7-1</f>
        <v>-5.0414364640884002E-2</v>
      </c>
      <c r="CY84" s="3412">
        <f t="shared" ref="CY84:DA86" si="403">CY7/CX7-1</f>
        <v>5.0909090909091015E-2</v>
      </c>
      <c r="CZ84" s="3412">
        <f t="shared" si="403"/>
        <v>6.7743175701653113E-2</v>
      </c>
      <c r="DA84" s="3412">
        <f t="shared" si="403"/>
        <v>0.1638700849776753</v>
      </c>
      <c r="DB84" s="4125"/>
      <c r="DC84" s="3412">
        <f>DC7/DA7-1</f>
        <v>-3.6413699223463158E-2</v>
      </c>
      <c r="DD84" s="3412">
        <f t="shared" ref="DD84:DF86" si="404">DD7/DC7-1</f>
        <v>4.8513452770821308E-2</v>
      </c>
      <c r="DE84" s="3412">
        <f t="shared" si="404"/>
        <v>3.316287472823598E-2</v>
      </c>
      <c r="DF84" s="3412">
        <f t="shared" si="404"/>
        <v>0.16407824540604632</v>
      </c>
      <c r="DG84" s="4125"/>
      <c r="DH84" s="3412">
        <f>DH7/DF7-1</f>
        <v>-7.4778490681332133E-2</v>
      </c>
      <c r="DI84" s="3412">
        <f t="shared" ref="DI84:DK86" si="405">DI7/DH7-1</f>
        <v>7.1686067310603008E-2</v>
      </c>
      <c r="DJ84" s="3412">
        <f t="shared" si="405"/>
        <v>3.992912900575174E-2</v>
      </c>
      <c r="DK84" s="3412">
        <f t="shared" si="405"/>
        <v>0.13768241191140529</v>
      </c>
      <c r="DL84" s="4125"/>
      <c r="DM84" s="3412">
        <f>DM7/DK7-1</f>
        <v>-0.10669560499186115</v>
      </c>
      <c r="DN84" s="3412">
        <f t="shared" ref="DN84:DP86" si="406">DN7/DM7-1</f>
        <v>-6.9535217084963241E-2</v>
      </c>
      <c r="DO84" s="3412">
        <f t="shared" si="406"/>
        <v>0.20565579549311952</v>
      </c>
      <c r="DP84" s="3412">
        <f t="shared" si="406"/>
        <v>0.23227860437918268</v>
      </c>
      <c r="DQ84" s="4125"/>
      <c r="DR84" s="3412">
        <f>DR7/DP7-1</f>
        <v>-2.7839291363492613E-2</v>
      </c>
      <c r="DS84" s="3412">
        <f t="shared" ref="DS84:DU86" si="407">DS7/DR7-1</f>
        <v>0.11870412553783849</v>
      </c>
      <c r="DT84" s="3412">
        <f t="shared" si="407"/>
        <v>5.2327084680025893E-2</v>
      </c>
      <c r="DU84" s="3412">
        <f t="shared" si="407"/>
        <v>0.15674621456432947</v>
      </c>
      <c r="DV84" s="4125"/>
      <c r="DW84" s="3412">
        <f>DW7/DU7-1</f>
        <v>-9.7099236641221331E-2</v>
      </c>
      <c r="DX84" s="3412">
        <f t="shared" ref="DX84:DZ86" si="408">DX7/DW7-1</f>
        <v>2.4613665436473475E-2</v>
      </c>
      <c r="DY84" s="3412">
        <f t="shared" si="408"/>
        <v>-8.5097223218769669E-3</v>
      </c>
      <c r="DZ84" s="3412">
        <f t="shared" si="408"/>
        <v>0.10067735772593056</v>
      </c>
      <c r="EA84" s="4125"/>
      <c r="EB84" s="3412">
        <f>EB7/DZ7-1</f>
        <v>-8.2329581317062916E-2</v>
      </c>
      <c r="EC84" s="3412">
        <f t="shared" ref="EC84:EE86" si="409">EC7/EB7-1</f>
        <v>6.9024316849843004E-2</v>
      </c>
      <c r="ED84" s="3412">
        <f t="shared" si="409"/>
        <v>2.8001179561417677E-2</v>
      </c>
      <c r="EE84" s="3412">
        <f t="shared" si="409"/>
        <v>0.12539605961430644</v>
      </c>
      <c r="EF84" s="4125"/>
      <c r="EG84" s="3412">
        <f>EG7/EE7-1</f>
        <v>-6.6863631097207721E-2</v>
      </c>
      <c r="EH84" s="3412">
        <f t="shared" ref="EH84:EJ86" si="410">EH7/EG7-1</f>
        <v>5.218589751548941E-2</v>
      </c>
      <c r="EI84" s="3412">
        <f t="shared" si="410"/>
        <v>4.1608647423945655E-2</v>
      </c>
      <c r="EJ84" s="3412">
        <f t="shared" si="410"/>
        <v>9.2910227942176071E-2</v>
      </c>
      <c r="EK84" s="4125"/>
      <c r="EL84" s="3412">
        <f>EL7/EJ7-1</f>
        <v>-6.463216162705121E-2</v>
      </c>
      <c r="EM84" s="3412">
        <f t="shared" ref="EM84:EO86" si="411">EM7/EL7-1</f>
        <v>6.8643748476184152E-2</v>
      </c>
      <c r="EN84" s="3412">
        <f t="shared" si="411"/>
        <v>6.1372215539055031E-2</v>
      </c>
      <c r="EO84" s="3412">
        <f t="shared" si="411"/>
        <v>9.6733964206446199E-2</v>
      </c>
      <c r="EP84" s="4125"/>
      <c r="EQ84" s="3412">
        <f>EQ7/EO7-1</f>
        <v>-5.2757373943984387E-2</v>
      </c>
      <c r="ER84" s="3412">
        <f t="shared" ref="ER84:ER86" si="412">ER7/EQ7-1</f>
        <v>5.9148176410463771E-2</v>
      </c>
      <c r="ES84" s="3412">
        <f t="shared" ref="ES84:ES86" si="413">ES7/ER7-1</f>
        <v>5.5721985274721941E-2</v>
      </c>
      <c r="ET84" s="3412">
        <f t="shared" ref="ET84:ET86" si="414">ET7/ES7-1</f>
        <v>9.7459533283644317E-2</v>
      </c>
      <c r="EU84" s="4125"/>
      <c r="EV84" s="4125"/>
      <c r="EW84" s="4125"/>
      <c r="EX84" s="4125"/>
      <c r="EY84" s="4125"/>
      <c r="EZ84" s="625"/>
      <c r="FA84" s="4266"/>
      <c r="FB84" s="4266"/>
      <c r="FC84" s="4266"/>
      <c r="FD84" s="4266"/>
      <c r="FE84" s="4266"/>
      <c r="FF84" s="4266"/>
      <c r="FG84" s="4266"/>
      <c r="FH84" s="4266"/>
      <c r="FI84" s="4266"/>
      <c r="FJ84" s="4266"/>
      <c r="FK84" s="4266"/>
      <c r="FL84" s="4266"/>
    </row>
    <row r="85" spans="1:168" ht="11.25" hidden="1" customHeight="1" outlineLevel="1">
      <c r="A85" s="3738" t="s">
        <v>176</v>
      </c>
      <c r="B85" s="32"/>
      <c r="C85" s="32"/>
      <c r="D85" s="32"/>
      <c r="E85" s="32"/>
      <c r="F85" s="1000"/>
      <c r="G85" s="32"/>
      <c r="J85" s="32"/>
      <c r="K85" s="1000"/>
      <c r="L85" s="32"/>
      <c r="M85" s="32"/>
      <c r="N85" s="32"/>
      <c r="O85" s="32"/>
      <c r="P85" s="1000"/>
      <c r="Q85" s="181"/>
      <c r="R85" s="181"/>
      <c r="S85" s="181">
        <f>S8/R8-1</f>
        <v>1.0714285714285716</v>
      </c>
      <c r="T85" s="181">
        <f>T8/S8-1</f>
        <v>0.77586206896551735</v>
      </c>
      <c r="U85" s="993"/>
      <c r="V85" s="181">
        <f>V8/T8-1</f>
        <v>0.36176699029126214</v>
      </c>
      <c r="W85" s="181">
        <f t="shared" si="389"/>
        <v>0.37683763243073676</v>
      </c>
      <c r="X85" s="181">
        <f t="shared" si="389"/>
        <v>0.48600337617415268</v>
      </c>
      <c r="Y85" s="181">
        <f t="shared" si="389"/>
        <v>0.50784391617359059</v>
      </c>
      <c r="Z85" s="993"/>
      <c r="AA85" s="181">
        <f>AA8/Y8-1</f>
        <v>0.25257446061121502</v>
      </c>
      <c r="AB85" s="181">
        <f t="shared" si="390"/>
        <v>2.2258138316322285E-2</v>
      </c>
      <c r="AC85" s="181">
        <f t="shared" si="390"/>
        <v>9.3367601088675034E-2</v>
      </c>
      <c r="AD85" s="181">
        <f t="shared" si="390"/>
        <v>0.2469725982172335</v>
      </c>
      <c r="AE85" s="993"/>
      <c r="AF85" s="181">
        <f>AF8/AD8-1</f>
        <v>0.22265612589619499</v>
      </c>
      <c r="AG85" s="181">
        <f t="shared" si="391"/>
        <v>7.0403870014962955E-2</v>
      </c>
      <c r="AH85" s="181">
        <f t="shared" si="391"/>
        <v>7.1925068781356183E-2</v>
      </c>
      <c r="AI85" s="181">
        <f t="shared" si="391"/>
        <v>0.1869633158071542</v>
      </c>
      <c r="AJ85" s="993"/>
      <c r="AK85" s="181">
        <f>AK8/AI8-1</f>
        <v>0.14913163555882014</v>
      </c>
      <c r="AL85" s="181">
        <f t="shared" si="392"/>
        <v>8.6370403577516575E-2</v>
      </c>
      <c r="AM85" s="181">
        <f t="shared" si="392"/>
        <v>5.1078826072171291E-2</v>
      </c>
      <c r="AN85" s="181">
        <f t="shared" si="392"/>
        <v>0.18218897225615072</v>
      </c>
      <c r="AO85" s="993"/>
      <c r="AP85" s="181">
        <f>AP8/AN8-1</f>
        <v>0.15314805589892755</v>
      </c>
      <c r="AQ85" s="181">
        <f t="shared" si="393"/>
        <v>2.0338088161047985E-2</v>
      </c>
      <c r="AR85" s="181">
        <f t="shared" si="393"/>
        <v>6.3773996809862732E-2</v>
      </c>
      <c r="AS85" s="181">
        <f t="shared" si="393"/>
        <v>0.17909296383647821</v>
      </c>
      <c r="AT85" s="993"/>
      <c r="AU85" s="181">
        <f>AU8/AS8-1</f>
        <v>3.2344455603293243E-2</v>
      </c>
      <c r="AV85" s="181">
        <f t="shared" si="394"/>
        <v>-8.3450844465494667E-3</v>
      </c>
      <c r="AW85" s="181">
        <f t="shared" si="394"/>
        <v>1.4400466763456743E-2</v>
      </c>
      <c r="AX85" s="181">
        <f t="shared" si="394"/>
        <v>-7.9079404443266332E-3</v>
      </c>
      <c r="AY85" s="993"/>
      <c r="AZ85" s="181">
        <f>AZ8/AX8-1</f>
        <v>-3.1968838775177311E-2</v>
      </c>
      <c r="BA85" s="181">
        <f t="shared" si="395"/>
        <v>1.2113150784144322E-2</v>
      </c>
      <c r="BB85" s="181">
        <f t="shared" si="395"/>
        <v>7.2839789892895856E-2</v>
      </c>
      <c r="BC85" s="181">
        <f t="shared" si="395"/>
        <v>0.10368672461031703</v>
      </c>
      <c r="BD85" s="993"/>
      <c r="BE85" s="181">
        <f>BE8/BC8-1</f>
        <v>-5.7447152222750431E-3</v>
      </c>
      <c r="BF85" s="181">
        <f t="shared" si="396"/>
        <v>1.2273524254821755E-2</v>
      </c>
      <c r="BG85" s="181">
        <f t="shared" si="396"/>
        <v>4.2147806004618982E-2</v>
      </c>
      <c r="BH85" s="181">
        <f t="shared" si="396"/>
        <v>0.14626038781163442</v>
      </c>
      <c r="BI85" s="993"/>
      <c r="BJ85" s="181">
        <f>BJ8/BH8-1</f>
        <v>-1.4983083615273118E-2</v>
      </c>
      <c r="BK85" s="181">
        <f t="shared" si="397"/>
        <v>3.5328753680078595E-2</v>
      </c>
      <c r="BL85" s="181">
        <f t="shared" si="397"/>
        <v>4.7393364928909998E-2</v>
      </c>
      <c r="BM85" s="181">
        <f t="shared" si="397"/>
        <v>0.10859728506787336</v>
      </c>
      <c r="BN85" s="993"/>
      <c r="BO85" s="181">
        <v>2.4489795918367419E-2</v>
      </c>
      <c r="BP85" s="181">
        <v>3.5856573705179251E-2</v>
      </c>
      <c r="BQ85" s="181">
        <v>6.5384615384615374E-2</v>
      </c>
      <c r="BR85" s="190">
        <v>0.11191335740072206</v>
      </c>
      <c r="BS85" s="1753"/>
      <c r="BT85" s="181">
        <f>BT8/BM8-1</f>
        <v>2.4489795918367419E-2</v>
      </c>
      <c r="BU85" s="181">
        <f t="shared" si="398"/>
        <v>3.5856573705179251E-2</v>
      </c>
      <c r="BV85" s="181">
        <f t="shared" si="398"/>
        <v>6.5384615384615374E-2</v>
      </c>
      <c r="BW85" s="181">
        <f t="shared" si="398"/>
        <v>0.11191335740072206</v>
      </c>
      <c r="BX85" s="993"/>
      <c r="BY85" s="181">
        <v>-3.8311688311688297E-2</v>
      </c>
      <c r="BZ85" s="181">
        <v>1.721809588116141E-2</v>
      </c>
      <c r="CA85" s="181">
        <v>-1.3607699966810438E-2</v>
      </c>
      <c r="CB85" s="181">
        <v>0.11372812920592201</v>
      </c>
      <c r="CC85" s="993"/>
      <c r="CD85" s="181">
        <f>CD8/BW8-1</f>
        <v>-3.8311688311688297E-2</v>
      </c>
      <c r="CE85" s="181">
        <f t="shared" si="399"/>
        <v>1.721809588116141E-2</v>
      </c>
      <c r="CF85" s="181">
        <f t="shared" si="399"/>
        <v>-1.3607699966810438E-2</v>
      </c>
      <c r="CG85" s="181">
        <f t="shared" si="399"/>
        <v>0.11372812920592201</v>
      </c>
      <c r="CH85" s="993"/>
      <c r="CI85" s="181">
        <f>CI8/CG8-1</f>
        <v>-2.3564954682779415E-2</v>
      </c>
      <c r="CJ85" s="181">
        <f t="shared" si="400"/>
        <v>1.8873762376237613E-2</v>
      </c>
      <c r="CK85" s="181">
        <f t="shared" si="400"/>
        <v>1.6702095353780644E-2</v>
      </c>
      <c r="CL85" s="181">
        <f t="shared" si="400"/>
        <v>8.1242532855436034E-2</v>
      </c>
      <c r="CM85" s="993"/>
      <c r="CN85" s="181">
        <f>CN8/CL8-1</f>
        <v>-7.5966850828729227E-2</v>
      </c>
      <c r="CO85" s="181">
        <f t="shared" si="401"/>
        <v>9.5665171898355883E-3</v>
      </c>
      <c r="CP85" s="181">
        <f t="shared" si="401"/>
        <v>5.5966834468463178E-2</v>
      </c>
      <c r="CQ85" s="181">
        <f t="shared" si="401"/>
        <v>0.13712843522153673</v>
      </c>
      <c r="CR85" s="993"/>
      <c r="CS85" s="181">
        <f>CS8/CQ8-1</f>
        <v>-6.5844636251541355E-2</v>
      </c>
      <c r="CT85" s="181">
        <f t="shared" si="402"/>
        <v>4.9366420274551182E-2</v>
      </c>
      <c r="CU85" s="181">
        <f t="shared" si="402"/>
        <v>5.2075471698113107E-2</v>
      </c>
      <c r="CV85" s="181">
        <f t="shared" si="402"/>
        <v>0.15925394548063121</v>
      </c>
      <c r="CW85" s="4126"/>
      <c r="CX85" s="181">
        <f>CX8/CV8-1</f>
        <v>-4.5173267326732658E-2</v>
      </c>
      <c r="CY85" s="181">
        <f t="shared" si="403"/>
        <v>9.9805573558003902E-2</v>
      </c>
      <c r="CZ85" s="181">
        <f t="shared" si="403"/>
        <v>8.0730701237477831E-2</v>
      </c>
      <c r="DA85" s="181">
        <f t="shared" si="403"/>
        <v>0.17230098146128681</v>
      </c>
      <c r="DB85" s="4126"/>
      <c r="DC85" s="181">
        <f>DC8/DA8-1</f>
        <v>-2.5116279069767433E-2</v>
      </c>
      <c r="DD85" s="181">
        <f t="shared" si="404"/>
        <v>2.0992366412213803E-2</v>
      </c>
      <c r="DE85" s="181">
        <f t="shared" si="404"/>
        <v>2.5233644859813165E-2</v>
      </c>
      <c r="DF85" s="181">
        <f t="shared" si="404"/>
        <v>0.12974779702218164</v>
      </c>
      <c r="DG85" s="4126"/>
      <c r="DH85" s="181">
        <f>DH8/DF8-1</f>
        <v>-7.7461000537923597E-2</v>
      </c>
      <c r="DI85" s="181">
        <f t="shared" si="405"/>
        <v>5.5102040816326525E-2</v>
      </c>
      <c r="DJ85" s="181">
        <f t="shared" si="405"/>
        <v>3.481624758220514E-2</v>
      </c>
      <c r="DK85" s="181">
        <f t="shared" si="405"/>
        <v>0.13497997329773037</v>
      </c>
      <c r="DL85" s="4126"/>
      <c r="DM85" s="181">
        <f>DM8/DK8-1</f>
        <v>-0.12339724738266089</v>
      </c>
      <c r="DN85" s="181">
        <f t="shared" si="406"/>
        <v>-0.10171765968867419</v>
      </c>
      <c r="DO85" s="181">
        <f t="shared" si="406"/>
        <v>0.21989841649238118</v>
      </c>
      <c r="DP85" s="181">
        <f t="shared" si="406"/>
        <v>0.28165564535880483</v>
      </c>
      <c r="DQ85" s="4126"/>
      <c r="DR85" s="181">
        <f>DR8/DP8-1</f>
        <v>-7.2042805274221244E-2</v>
      </c>
      <c r="DS85" s="181">
        <f t="shared" si="407"/>
        <v>0.12530889621087304</v>
      </c>
      <c r="DT85" s="181">
        <f t="shared" si="407"/>
        <v>5.2063317778387797E-2</v>
      </c>
      <c r="DU85" s="181">
        <f t="shared" si="407"/>
        <v>0.16776830753174465</v>
      </c>
      <c r="DV85" s="4126"/>
      <c r="DW85" s="181">
        <f>DW8/DU8-1</f>
        <v>-0.10702316228494824</v>
      </c>
      <c r="DX85" s="181">
        <f t="shared" si="408"/>
        <v>1.8682235195996766E-2</v>
      </c>
      <c r="DY85" s="181">
        <f t="shared" si="408"/>
        <v>-3.1766824954969741E-2</v>
      </c>
      <c r="DZ85" s="181">
        <f t="shared" si="408"/>
        <v>9.2930830373752826E-2</v>
      </c>
      <c r="EA85" s="4126"/>
      <c r="EB85" s="181">
        <f>EB8/DZ8-1</f>
        <v>-9.3152804642166354E-2</v>
      </c>
      <c r="EC85" s="181">
        <f t="shared" si="409"/>
        <v>6.9618633222421344E-2</v>
      </c>
      <c r="ED85" s="181">
        <f t="shared" si="409"/>
        <v>8.3752093802345051E-3</v>
      </c>
      <c r="EE85" s="181">
        <f t="shared" si="409"/>
        <v>0.10631229235880402</v>
      </c>
      <c r="EF85" s="4126"/>
      <c r="EG85" s="181">
        <f>EG8/EE8-1</f>
        <v>-7.4360074360074413E-2</v>
      </c>
      <c r="EH85" s="181">
        <f t="shared" si="410"/>
        <v>3.4064575930789376E-2</v>
      </c>
      <c r="EI85" s="181">
        <f t="shared" si="410"/>
        <v>2.4800179278404499E-2</v>
      </c>
      <c r="EJ85" s="181">
        <f t="shared" si="410"/>
        <v>8.2294627888330085E-2</v>
      </c>
      <c r="EK85" s="4126"/>
      <c r="EL85" s="181">
        <f>EL8/EJ8-1</f>
        <v>-7.40840517241379E-2</v>
      </c>
      <c r="EM85" s="181">
        <f t="shared" si="411"/>
        <v>6.9610125109106802E-2</v>
      </c>
      <c r="EN85" s="181">
        <f t="shared" si="411"/>
        <v>1.1628697721863368E-2</v>
      </c>
      <c r="EO85" s="181">
        <f t="shared" si="411"/>
        <v>9.2921296269208975E-2</v>
      </c>
      <c r="EP85" s="4126"/>
      <c r="EQ85" s="181">
        <f>EQ8/EO8-1</f>
        <v>-5.0036894209321447E-2</v>
      </c>
      <c r="ER85" s="181">
        <f t="shared" si="412"/>
        <v>2.9090947878486428E-2</v>
      </c>
      <c r="ES85" s="181">
        <f t="shared" si="413"/>
        <v>1.7274707585007487E-2</v>
      </c>
      <c r="ET85" s="181">
        <f t="shared" si="414"/>
        <v>8.6084521354100607E-2</v>
      </c>
      <c r="EU85" s="4126"/>
      <c r="EV85" s="4126"/>
      <c r="EW85" s="4126"/>
      <c r="EX85" s="4126"/>
      <c r="EY85" s="4126"/>
      <c r="EZ85" s="208"/>
      <c r="FA85" s="725"/>
      <c r="FB85" s="725"/>
      <c r="FC85" s="725"/>
      <c r="FD85" s="725"/>
      <c r="FE85" s="725"/>
      <c r="FF85" s="725"/>
      <c r="FG85" s="725"/>
      <c r="FH85" s="725"/>
      <c r="FI85" s="725"/>
      <c r="FJ85" s="725"/>
      <c r="FK85" s="725"/>
      <c r="FL85" s="725"/>
    </row>
    <row r="86" spans="1:168" s="151" customFormat="1" ht="11.25" hidden="1" customHeight="1" outlineLevel="1">
      <c r="A86" s="3757" t="s">
        <v>48</v>
      </c>
      <c r="B86" s="3015"/>
      <c r="C86" s="3015"/>
      <c r="D86" s="3015"/>
      <c r="E86" s="3015"/>
      <c r="F86" s="3408"/>
      <c r="G86" s="3015"/>
      <c r="H86" s="3015"/>
      <c r="I86" s="3015"/>
      <c r="J86" s="3015"/>
      <c r="K86" s="3408"/>
      <c r="L86" s="3409"/>
      <c r="M86" s="3409"/>
      <c r="N86" s="3409"/>
      <c r="O86" s="3409"/>
      <c r="P86" s="3408"/>
      <c r="Q86" s="3015"/>
      <c r="R86" s="3015">
        <f>R9/Q9-1</f>
        <v>0.52595483031807988</v>
      </c>
      <c r="S86" s="3015">
        <f>S9/R9-1</f>
        <v>0.57748159628051132</v>
      </c>
      <c r="T86" s="3015">
        <f>T9/S9-1</f>
        <v>0.34016131726055376</v>
      </c>
      <c r="U86" s="3410"/>
      <c r="V86" s="3015">
        <f>V9/T9-1</f>
        <v>0.30845019829779119</v>
      </c>
      <c r="W86" s="3015">
        <f t="shared" si="389"/>
        <v>0.20255256685360856</v>
      </c>
      <c r="X86" s="3015">
        <f t="shared" si="389"/>
        <v>0.16686079016026834</v>
      </c>
      <c r="Y86" s="3015">
        <f t="shared" si="389"/>
        <v>0.18112635004292166</v>
      </c>
      <c r="Z86" s="3410"/>
      <c r="AA86" s="3015">
        <f>AA9/Y9-1</f>
        <v>0.28666853717982987</v>
      </c>
      <c r="AB86" s="3015">
        <f t="shared" si="390"/>
        <v>0.11180938518894101</v>
      </c>
      <c r="AC86" s="3015">
        <f t="shared" si="390"/>
        <v>0.18859439762936625</v>
      </c>
      <c r="AD86" s="3015">
        <f t="shared" si="390"/>
        <v>0.29982087012189163</v>
      </c>
      <c r="AE86" s="3410"/>
      <c r="AF86" s="3015">
        <f>AF9/AD9-1</f>
        <v>0.21553611005318229</v>
      </c>
      <c r="AG86" s="3015">
        <f t="shared" si="391"/>
        <v>0.12012698987931425</v>
      </c>
      <c r="AH86" s="3015">
        <f t="shared" si="391"/>
        <v>0.1779504030106438</v>
      </c>
      <c r="AI86" s="3015">
        <f t="shared" si="391"/>
        <v>0.23037778638199025</v>
      </c>
      <c r="AJ86" s="3410"/>
      <c r="AK86" s="3015">
        <f>AK9/AI9-1</f>
        <v>0.18669660629135176</v>
      </c>
      <c r="AL86" s="3015">
        <f t="shared" si="392"/>
        <v>9.1320225287863543E-2</v>
      </c>
      <c r="AM86" s="3015">
        <f t="shared" si="392"/>
        <v>0.11585665105767662</v>
      </c>
      <c r="AN86" s="3015">
        <f t="shared" si="392"/>
        <v>0.19602512109735604</v>
      </c>
      <c r="AO86" s="3410"/>
      <c r="AP86" s="3015">
        <f>AP9/AN9-1</f>
        <v>0.13859893805944723</v>
      </c>
      <c r="AQ86" s="3015">
        <f t="shared" si="393"/>
        <v>7.2917466705580525E-2</v>
      </c>
      <c r="AR86" s="3015">
        <f t="shared" si="393"/>
        <v>0.10504825129438555</v>
      </c>
      <c r="AS86" s="3015">
        <f t="shared" si="393"/>
        <v>0.12511797267385782</v>
      </c>
      <c r="AT86" s="3410"/>
      <c r="AU86" s="3015">
        <f>AU9/AS9-1</f>
        <v>9.2355024484294335E-2</v>
      </c>
      <c r="AV86" s="3015">
        <f t="shared" si="394"/>
        <v>5.2321849121770736E-2</v>
      </c>
      <c r="AW86" s="3015">
        <f t="shared" si="394"/>
        <v>3.9286895823315682E-2</v>
      </c>
      <c r="AX86" s="3015">
        <f t="shared" si="394"/>
        <v>4.2345320344967297E-2</v>
      </c>
      <c r="AY86" s="3410"/>
      <c r="AZ86" s="3015">
        <f>AZ9/AX9-1</f>
        <v>-3.4259927986149519E-2</v>
      </c>
      <c r="BA86" s="3015">
        <f t="shared" si="395"/>
        <v>-8.5611940005358989E-4</v>
      </c>
      <c r="BB86" s="3015">
        <f t="shared" si="395"/>
        <v>7.7672603533124107E-2</v>
      </c>
      <c r="BC86" s="3015">
        <f t="shared" si="395"/>
        <v>0.12935504208626569</v>
      </c>
      <c r="BD86" s="3410"/>
      <c r="BE86" s="3015">
        <f>BE9/BC9-1</f>
        <v>2.2423252133733085E-2</v>
      </c>
      <c r="BF86" s="3015">
        <f t="shared" si="396"/>
        <v>4.7393364928909332E-3</v>
      </c>
      <c r="BG86" s="3015">
        <f t="shared" si="396"/>
        <v>7.7240566037735769E-2</v>
      </c>
      <c r="BH86" s="3015">
        <f t="shared" si="396"/>
        <v>0.16237912789636932</v>
      </c>
      <c r="BI86" s="3410"/>
      <c r="BJ86" s="3015">
        <f>BJ9/BH9-1</f>
        <v>2.6055564275623944E-2</v>
      </c>
      <c r="BK86" s="3015">
        <f t="shared" si="397"/>
        <v>5.7977665595839056E-2</v>
      </c>
      <c r="BL86" s="3015">
        <f t="shared" si="397"/>
        <v>8.5887796414112261E-2</v>
      </c>
      <c r="BM86" s="3015">
        <f t="shared" si="397"/>
        <v>8.3089214380825505E-2</v>
      </c>
      <c r="BN86" s="3410"/>
      <c r="BO86" s="3015">
        <v>1.2294074256202769E-4</v>
      </c>
      <c r="BP86" s="3015">
        <v>0.18180700676090966</v>
      </c>
      <c r="BQ86" s="3015">
        <v>0.17859371749531938</v>
      </c>
      <c r="BR86" s="3016">
        <v>7.0602771158778665E-4</v>
      </c>
      <c r="BS86" s="3411"/>
      <c r="BT86" s="3015">
        <f>BT9/BM9-1</f>
        <v>1.2294074256202769E-4</v>
      </c>
      <c r="BU86" s="3015">
        <f t="shared" si="398"/>
        <v>2.8149969268592478E-2</v>
      </c>
      <c r="BV86" s="3015">
        <f t="shared" si="398"/>
        <v>4.6867527498804407E-2</v>
      </c>
      <c r="BW86" s="3015">
        <f t="shared" si="398"/>
        <v>0.12208771128369111</v>
      </c>
      <c r="BX86" s="3410"/>
      <c r="BY86" s="3015">
        <v>-2.9279477908104812E-2</v>
      </c>
      <c r="BZ86" s="3015">
        <v>7.7223584991368277E-3</v>
      </c>
      <c r="CA86" s="3015">
        <v>7.4738550306527207E-2</v>
      </c>
      <c r="CB86" s="3015">
        <v>0.13648183877191511</v>
      </c>
      <c r="CC86" s="3410"/>
      <c r="CD86" s="3015">
        <f>CD9/BW9-1</f>
        <v>1.6692111959287548E-2</v>
      </c>
      <c r="CE86" s="3015">
        <f t="shared" si="399"/>
        <v>1.0511562718990897E-2</v>
      </c>
      <c r="CF86" s="3015">
        <f t="shared" si="399"/>
        <v>6.8159302555973911E-2</v>
      </c>
      <c r="CG86" s="3015">
        <f t="shared" si="399"/>
        <v>0.1497866815062141</v>
      </c>
      <c r="CH86" s="3410"/>
      <c r="CI86" s="3015">
        <f>CI9/CG9-1</f>
        <v>-1.685891748003554E-2</v>
      </c>
      <c r="CJ86" s="3015">
        <f t="shared" si="400"/>
        <v>3.889071217591078E-2</v>
      </c>
      <c r="CK86" s="3015">
        <f t="shared" si="400"/>
        <v>4.0514926551887598E-2</v>
      </c>
      <c r="CL86" s="3015">
        <f t="shared" si="400"/>
        <v>9.9278937381404253E-2</v>
      </c>
      <c r="CM86" s="3410"/>
      <c r="CN86" s="3015">
        <f>CN9/CL9-1</f>
        <v>-3.9356486915694266E-2</v>
      </c>
      <c r="CO86" s="3015">
        <f t="shared" si="401"/>
        <v>3.1409473154603518E-2</v>
      </c>
      <c r="CP86" s="3015">
        <f t="shared" si="401"/>
        <v>5.2891986062717722E-2</v>
      </c>
      <c r="CQ86" s="3015">
        <f t="shared" si="401"/>
        <v>0.14329207756966045</v>
      </c>
      <c r="CR86" s="3410"/>
      <c r="CS86" s="3015">
        <f>CS9/CQ9-1</f>
        <v>-4.6601829338890788E-2</v>
      </c>
      <c r="CT86" s="3015">
        <f t="shared" si="402"/>
        <v>6.4120468759487625E-2</v>
      </c>
      <c r="CU86" s="3015">
        <f t="shared" si="402"/>
        <v>4.2453637660484933E-2</v>
      </c>
      <c r="CV86" s="3015">
        <f t="shared" si="402"/>
        <v>0.16131151130330057</v>
      </c>
      <c r="CW86" s="4125"/>
      <c r="CX86" s="3412">
        <f>CX9/CV9-1</f>
        <v>-5.1611990950226283E-2</v>
      </c>
      <c r="CY86" s="3412">
        <f t="shared" si="403"/>
        <v>3.966005665722383E-2</v>
      </c>
      <c r="CZ86" s="3412">
        <f t="shared" si="403"/>
        <v>6.4582437018978034E-2</v>
      </c>
      <c r="DA86" s="3412">
        <f t="shared" si="403"/>
        <v>0.16178715761113605</v>
      </c>
      <c r="DB86" s="4125"/>
      <c r="DC86" s="3412">
        <f>DC9/DA9-1</f>
        <v>-3.9230085417230276E-2</v>
      </c>
      <c r="DD86" s="3412">
        <f t="shared" si="404"/>
        <v>5.5475098559819802E-2</v>
      </c>
      <c r="DE86" s="3412">
        <f t="shared" si="404"/>
        <v>3.5103098677440325E-2</v>
      </c>
      <c r="DF86" s="3412">
        <f t="shared" si="404"/>
        <v>0.1723985565947419</v>
      </c>
      <c r="DG86" s="4125"/>
      <c r="DH86" s="3412">
        <f>DH9/DF9-1</f>
        <v>-7.4152010050251294E-2</v>
      </c>
      <c r="DI86" s="3412">
        <f t="shared" si="405"/>
        <v>7.5545303436344469E-2</v>
      </c>
      <c r="DJ86" s="3412">
        <f t="shared" si="405"/>
        <v>4.109632246262529E-2</v>
      </c>
      <c r="DK86" s="3412">
        <f t="shared" si="405"/>
        <v>0.13829561634705678</v>
      </c>
      <c r="DL86" s="4125"/>
      <c r="DM86" s="3412">
        <f>DM9/DK9-1</f>
        <v>-0.10291691062969077</v>
      </c>
      <c r="DN86" s="3412">
        <f t="shared" si="406"/>
        <v>-6.242026878689888E-2</v>
      </c>
      <c r="DO86" s="3412">
        <f t="shared" si="406"/>
        <v>0.20263898996930663</v>
      </c>
      <c r="DP86" s="3412">
        <f t="shared" si="406"/>
        <v>0.22166969242507961</v>
      </c>
      <c r="DQ86" s="4125"/>
      <c r="DR86" s="3412">
        <f>DR9/DP9-1</f>
        <v>-1.7875603032391441E-2</v>
      </c>
      <c r="DS86" s="3412">
        <f t="shared" si="407"/>
        <v>0.11729748695232667</v>
      </c>
      <c r="DT86" s="3412">
        <f t="shared" si="407"/>
        <v>5.2383662734784453E-2</v>
      </c>
      <c r="DU86" s="3412">
        <f t="shared" si="407"/>
        <v>0.15438269302499075</v>
      </c>
      <c r="DV86" s="4125"/>
      <c r="DW86" s="3412">
        <f>DW9/DU9-1</f>
        <v>-9.4946524928107512E-2</v>
      </c>
      <c r="DX86" s="3412">
        <f t="shared" si="408"/>
        <v>2.5883150961246715E-2</v>
      </c>
      <c r="DY86" s="3412">
        <f t="shared" si="408"/>
        <v>-3.5670164082755029E-3</v>
      </c>
      <c r="DZ86" s="3412">
        <f t="shared" si="408"/>
        <v>0.10227709286487618</v>
      </c>
      <c r="EA86" s="4125"/>
      <c r="EB86" s="3412">
        <f>EB9/DZ9-1</f>
        <v>-8.0113429336374997E-2</v>
      </c>
      <c r="EC86" s="3412">
        <f t="shared" si="409"/>
        <v>6.8904350222160904E-2</v>
      </c>
      <c r="ED86" s="3412">
        <f t="shared" si="409"/>
        <v>3.1965456683906046E-2</v>
      </c>
      <c r="EE86" s="3412">
        <f t="shared" si="409"/>
        <v>0.129162698474653</v>
      </c>
      <c r="EF86" s="4125"/>
      <c r="EG86" s="3412">
        <f>EG9/EE9-1</f>
        <v>-6.5413970466235316E-2</v>
      </c>
      <c r="EH86" s="3412">
        <f t="shared" si="410"/>
        <v>5.5656650836625188E-2</v>
      </c>
      <c r="EI86" s="3412">
        <f t="shared" si="410"/>
        <v>4.4762104968117056E-2</v>
      </c>
      <c r="EJ86" s="3412">
        <f t="shared" si="410"/>
        <v>9.4863780868958747E-2</v>
      </c>
      <c r="EK86" s="4125"/>
      <c r="EL86" s="3412">
        <f>EL9/EJ9-1</f>
        <v>-6.2912730792320626E-2</v>
      </c>
      <c r="EM86" s="3412">
        <f t="shared" si="411"/>
        <v>6.8470046805951368E-2</v>
      </c>
      <c r="EN86" s="3412">
        <f t="shared" si="411"/>
        <v>7.0322920108170317E-2</v>
      </c>
      <c r="EO86" s="3412">
        <f t="shared" si="411"/>
        <v>9.7382383644360138E-2</v>
      </c>
      <c r="EP86" s="4125"/>
      <c r="EQ86" s="3412">
        <f>EQ9/EO9-1</f>
        <v>-5.3218164365366194E-2</v>
      </c>
      <c r="ER86" s="3412">
        <f t="shared" si="412"/>
        <v>6.4256327123576984E-2</v>
      </c>
      <c r="ES86" s="3412">
        <f t="shared" si="413"/>
        <v>6.2040105427855874E-2</v>
      </c>
      <c r="ET86" s="3412">
        <f t="shared" si="414"/>
        <v>9.925002153949114E-2</v>
      </c>
      <c r="EU86" s="4125"/>
      <c r="EV86" s="4125"/>
      <c r="EW86" s="4125"/>
      <c r="EX86" s="4125"/>
      <c r="EY86" s="4125"/>
      <c r="EZ86" s="625"/>
      <c r="FA86" s="4283"/>
      <c r="FB86" s="4283"/>
      <c r="FC86" s="4283"/>
      <c r="FD86" s="4283"/>
      <c r="FE86" s="4283"/>
      <c r="FF86" s="4283"/>
      <c r="FG86" s="4283"/>
      <c r="FH86" s="4283"/>
      <c r="FI86" s="4283"/>
      <c r="FJ86" s="4283"/>
      <c r="FK86" s="4283"/>
      <c r="FL86" s="4283"/>
    </row>
    <row r="87" spans="1:168" ht="11.25" hidden="1" customHeight="1" outlineLevel="1">
      <c r="A87" s="3738" t="s">
        <v>178</v>
      </c>
      <c r="B87" s="32"/>
      <c r="C87" s="32"/>
      <c r="D87" s="32"/>
      <c r="E87" s="32"/>
      <c r="F87" s="1000"/>
      <c r="G87" s="32"/>
      <c r="J87" s="32"/>
      <c r="K87" s="1000"/>
      <c r="L87" s="32"/>
      <c r="M87" s="32"/>
      <c r="N87" s="32"/>
      <c r="O87" s="32"/>
      <c r="P87" s="1000"/>
      <c r="Q87" s="181"/>
      <c r="R87" s="181"/>
      <c r="S87" s="181"/>
      <c r="T87" s="181"/>
      <c r="U87" s="993"/>
      <c r="V87" s="181"/>
      <c r="W87" s="181"/>
      <c r="X87" s="181"/>
      <c r="Y87" s="181"/>
      <c r="Z87" s="993"/>
      <c r="AA87" s="181"/>
      <c r="AB87" s="181"/>
      <c r="AC87" s="181"/>
      <c r="AD87" s="181"/>
      <c r="AE87" s="993"/>
      <c r="AF87" s="181"/>
      <c r="AG87" s="181"/>
      <c r="AH87" s="181"/>
      <c r="AI87" s="181"/>
      <c r="AJ87" s="993"/>
      <c r="AK87" s="181"/>
      <c r="AL87" s="181"/>
      <c r="AM87" s="181"/>
      <c r="AN87" s="181"/>
      <c r="AO87" s="993"/>
      <c r="AP87" s="181"/>
      <c r="AQ87" s="181"/>
      <c r="AR87" s="181"/>
      <c r="AS87" s="181"/>
      <c r="AT87" s="993"/>
      <c r="AU87" s="181"/>
      <c r="AV87" s="181"/>
      <c r="AW87" s="181"/>
      <c r="AX87" s="181"/>
      <c r="AY87" s="993"/>
      <c r="AZ87" s="181"/>
      <c r="BA87" s="181"/>
      <c r="BB87" s="181"/>
      <c r="BC87" s="181"/>
      <c r="BD87" s="993"/>
      <c r="BE87" s="181"/>
      <c r="BF87" s="181"/>
      <c r="BG87" s="181"/>
      <c r="BH87" s="181"/>
      <c r="BI87" s="993"/>
      <c r="BJ87" s="181"/>
      <c r="BK87" s="181"/>
      <c r="BL87" s="181"/>
      <c r="BM87" s="181"/>
      <c r="BN87" s="993"/>
      <c r="BO87" s="181"/>
      <c r="BP87" s="181"/>
      <c r="BQ87" s="181"/>
      <c r="BR87" s="190"/>
      <c r="BS87" s="1753"/>
      <c r="BT87" s="181"/>
      <c r="BU87" s="181"/>
      <c r="BV87" s="181"/>
      <c r="BW87" s="181"/>
      <c r="BX87" s="993"/>
      <c r="BY87" s="181">
        <v>-3.8311688311688297E-2</v>
      </c>
      <c r="BZ87" s="181">
        <v>1.721809588116141E-2</v>
      </c>
      <c r="CA87" s="181">
        <v>-1.3607699966810438E-2</v>
      </c>
      <c r="CB87" s="181">
        <v>0.11372812920592201</v>
      </c>
      <c r="CC87" s="993"/>
      <c r="CD87" s="181"/>
      <c r="CE87" s="181">
        <f t="shared" ref="CE87:CG88" si="415">CE12/CD12-1</f>
        <v>3.6798528058876734E-3</v>
      </c>
      <c r="CF87" s="181">
        <f t="shared" si="415"/>
        <v>0.11686526122823104</v>
      </c>
      <c r="CG87" s="181">
        <f t="shared" si="415"/>
        <v>0.20763233483791543</v>
      </c>
      <c r="CH87" s="993"/>
      <c r="CI87" s="181">
        <f>CI12/CG12-1</f>
        <v>-7.2714916751614012E-2</v>
      </c>
      <c r="CJ87" s="181">
        <f t="shared" ref="CJ87:CL88" si="416">CJ12/CI12-1</f>
        <v>3.3711982411139596E-2</v>
      </c>
      <c r="CK87" s="181">
        <f t="shared" si="416"/>
        <v>0.18645870258773489</v>
      </c>
      <c r="CL87" s="181">
        <f t="shared" si="416"/>
        <v>-1.3743651030773796E-2</v>
      </c>
      <c r="CM87" s="993"/>
      <c r="CN87" s="181">
        <f>CN12/CL12-1</f>
        <v>-8.7852166010299881E-2</v>
      </c>
      <c r="CO87" s="181">
        <f t="shared" ref="CO87:CQ88" si="417">CO12/CN12-1</f>
        <v>6.4762537363002304E-2</v>
      </c>
      <c r="CP87" s="181">
        <f t="shared" si="417"/>
        <v>8.2657517155333649E-2</v>
      </c>
      <c r="CQ87" s="181">
        <f t="shared" si="417"/>
        <v>0.19072313454335932</v>
      </c>
      <c r="CR87" s="993"/>
      <c r="CS87" s="181">
        <f>CS12/CQ12-1</f>
        <v>-6.6053714009194242E-2</v>
      </c>
      <c r="CT87" s="181">
        <f t="shared" ref="CT87:CV88" si="418">CT12/CS12-1</f>
        <v>7.6424870466321293E-2</v>
      </c>
      <c r="CU87" s="181">
        <f t="shared" si="418"/>
        <v>8.7123947051744866E-2</v>
      </c>
      <c r="CV87" s="181">
        <f t="shared" si="418"/>
        <v>0.28691609475315483</v>
      </c>
      <c r="CW87" s="4126"/>
      <c r="CX87" s="181">
        <f>CX12/CV12-1</f>
        <v>-0.11130225356958545</v>
      </c>
      <c r="CY87" s="181">
        <f t="shared" ref="CY87:DA88" si="419">CY12/CX12-1</f>
        <v>2.2454510259388272E-2</v>
      </c>
      <c r="CZ87" s="181">
        <f t="shared" si="419"/>
        <v>6.891329042029537E-2</v>
      </c>
      <c r="DA87" s="181">
        <f t="shared" si="419"/>
        <v>0.38452001416932347</v>
      </c>
      <c r="DB87" s="4126"/>
      <c r="DC87" s="181">
        <f>DC12/DA12-1</f>
        <v>-8.1616988614558017E-2</v>
      </c>
      <c r="DD87" s="181">
        <f t="shared" ref="DD87:DF88" si="420">DD12/DC12-1</f>
        <v>3.9559827273993653E-2</v>
      </c>
      <c r="DE87" s="181">
        <f t="shared" si="420"/>
        <v>3.1622671847782335E-2</v>
      </c>
      <c r="DF87" s="181">
        <f t="shared" si="420"/>
        <v>0.36147551630081831</v>
      </c>
      <c r="DG87" s="4126"/>
      <c r="DH87" s="181">
        <f>DH12/DF12-1</f>
        <v>-0.12688418240793742</v>
      </c>
      <c r="DI87" s="181">
        <f t="shared" ref="DI87:DK88" si="421">DI12/DH12-1</f>
        <v>9.8994755244755206E-2</v>
      </c>
      <c r="DJ87" s="181">
        <f t="shared" si="421"/>
        <v>1.9884668920262527E-3</v>
      </c>
      <c r="DK87" s="181">
        <f t="shared" si="421"/>
        <v>0.24221075610240117</v>
      </c>
      <c r="DL87" s="4126"/>
      <c r="DM87" s="181">
        <f>DM12/DK12-1</f>
        <v>-7.8999920121415435E-2</v>
      </c>
      <c r="DN87" s="181">
        <f t="shared" ref="DN87:DP88" si="422">DN12/DM12-1</f>
        <v>2.8534258456201167E-2</v>
      </c>
      <c r="DO87" s="181">
        <f t="shared" si="422"/>
        <v>9.2081963066025896E-2</v>
      </c>
      <c r="DP87" s="181">
        <f t="shared" si="422"/>
        <v>0.20562118755308467</v>
      </c>
      <c r="DQ87" s="4126"/>
      <c r="DR87" s="181">
        <f>DR12/DP12-1</f>
        <v>-7.8327142308184938E-2</v>
      </c>
      <c r="DS87" s="181">
        <f t="shared" ref="DS87:DU88" si="423">DS12/DR12-1</f>
        <v>6.3025502049892212E-2</v>
      </c>
      <c r="DT87" s="181">
        <f t="shared" si="423"/>
        <v>5.3928618120015592E-2</v>
      </c>
      <c r="DU87" s="181">
        <f t="shared" si="423"/>
        <v>0.21323575017056373</v>
      </c>
      <c r="DV87" s="4126"/>
      <c r="DW87" s="181">
        <f>DW12/DU12-1</f>
        <v>-9.9790399263841367E-2</v>
      </c>
      <c r="DX87" s="181">
        <f t="shared" ref="DX87:DZ88" si="424">DX12/DW12-1</f>
        <v>1.5957748878414391E-2</v>
      </c>
      <c r="DY87" s="181">
        <f t="shared" si="424"/>
        <v>8.0603689211850238E-2</v>
      </c>
      <c r="DZ87" s="181">
        <f t="shared" si="424"/>
        <v>0.159579971032485</v>
      </c>
      <c r="EA87" s="4126"/>
      <c r="EB87" s="181">
        <f>EB12/DZ12-1</f>
        <v>-0.15729134139269307</v>
      </c>
      <c r="EC87" s="181">
        <f t="shared" ref="EC87:EE88" si="425">EC12/EB12-1</f>
        <v>2.5832406966280308E-2</v>
      </c>
      <c r="ED87" s="181">
        <f t="shared" si="425"/>
        <v>6.233551782857738E-2</v>
      </c>
      <c r="EE87" s="181">
        <f t="shared" si="425"/>
        <v>0.14582017778209555</v>
      </c>
      <c r="EF87" s="4126"/>
      <c r="EG87" s="181">
        <f>EG12/EE12-1</f>
        <v>-0.1196744245199034</v>
      </c>
      <c r="EH87" s="181">
        <f t="shared" ref="EH87:EJ88" si="426">EH12/EG12-1</f>
        <v>6.5202735240296628E-2</v>
      </c>
      <c r="EI87" s="181">
        <f t="shared" si="426"/>
        <v>2.8707052441229619E-2</v>
      </c>
      <c r="EJ87" s="181">
        <f t="shared" si="426"/>
        <v>0.13227862008349822</v>
      </c>
      <c r="EK87" s="4126"/>
      <c r="EL87" s="181">
        <f>EL12/EJ12-1</f>
        <v>-0.12233650300795651</v>
      </c>
      <c r="EM87" s="181">
        <f t="shared" ref="EM87:EO88" si="427">EM12/EL12-1</f>
        <v>7.6106664308141392E-2</v>
      </c>
      <c r="EN87" s="181">
        <f t="shared" si="427"/>
        <v>8.8723596613791367E-2</v>
      </c>
      <c r="EO87" s="181">
        <f t="shared" si="427"/>
        <v>0.1485376423910838</v>
      </c>
      <c r="EP87" s="4126"/>
      <c r="EQ87" s="181">
        <f>EQ12/EO12-1</f>
        <v>-0.10399195365807534</v>
      </c>
      <c r="ER87" s="181">
        <f t="shared" ref="ER87:ER88" si="428">ER12/EQ12-1</f>
        <v>8.9088974756460493E-2</v>
      </c>
      <c r="ES87" s="181">
        <f t="shared" ref="ES87:ES88" si="429">ES12/ER12-1</f>
        <v>0.10701248774239058</v>
      </c>
      <c r="ET87" s="181">
        <f t="shared" ref="ET87:ET88" si="430">ET12/ES12-1</f>
        <v>0.1404718973472221</v>
      </c>
      <c r="EU87" s="4126"/>
      <c r="EV87" s="4126"/>
      <c r="EW87" s="4126"/>
      <c r="EX87" s="4126"/>
      <c r="EY87" s="4126"/>
      <c r="EZ87" s="208"/>
      <c r="FA87" s="725"/>
      <c r="FB87" s="725"/>
      <c r="FC87" s="725"/>
      <c r="FD87" s="725"/>
      <c r="FE87" s="725"/>
      <c r="FF87" s="725"/>
      <c r="FG87" s="725"/>
      <c r="FH87" s="725"/>
      <c r="FI87" s="725"/>
      <c r="FJ87" s="725"/>
      <c r="FK87" s="725"/>
      <c r="FL87" s="725"/>
    </row>
    <row r="88" spans="1:168" s="151" customFormat="1" ht="11.25" hidden="1" customHeight="1" outlineLevel="1">
      <c r="A88" s="3757" t="s">
        <v>49</v>
      </c>
      <c r="B88" s="3015"/>
      <c r="C88" s="3015"/>
      <c r="D88" s="3015"/>
      <c r="E88" s="3015"/>
      <c r="F88" s="3408"/>
      <c r="G88" s="3015"/>
      <c r="H88" s="3015"/>
      <c r="I88" s="3015"/>
      <c r="J88" s="3015"/>
      <c r="K88" s="3408"/>
      <c r="L88" s="3409"/>
      <c r="M88" s="3409"/>
      <c r="N88" s="3409"/>
      <c r="O88" s="3409"/>
      <c r="P88" s="3408"/>
      <c r="Q88" s="3015"/>
      <c r="R88" s="3015">
        <f>R13/Q13-1</f>
        <v>0.58822725657912756</v>
      </c>
      <c r="S88" s="3015">
        <f>S13/R13-1</f>
        <v>0.5686190164837055</v>
      </c>
      <c r="T88" s="3015">
        <f>T13/S13-1</f>
        <v>0.339571107332858</v>
      </c>
      <c r="U88" s="3410"/>
      <c r="V88" s="3015">
        <f>V13/T13-1</f>
        <v>0.32181752673555963</v>
      </c>
      <c r="W88" s="3015">
        <f>W13/V13-1</f>
        <v>0.20056001932810075</v>
      </c>
      <c r="X88" s="3015">
        <f>X13/W13-1</f>
        <v>0.15353099619191135</v>
      </c>
      <c r="Y88" s="3015">
        <f>Y13/X13-1</f>
        <v>0.16888688090466619</v>
      </c>
      <c r="Z88" s="3410"/>
      <c r="AA88" s="3015">
        <f>AA13/Y13-1</f>
        <v>0.28670491031621848</v>
      </c>
      <c r="AB88" s="3015">
        <f>AB13/AA13-1</f>
        <v>0.11185961781545073</v>
      </c>
      <c r="AC88" s="3015">
        <f>AC13/AB13-1</f>
        <v>0.18712266106704822</v>
      </c>
      <c r="AD88" s="3015">
        <f>AD13/AC13-1</f>
        <v>0.30179725454496298</v>
      </c>
      <c r="AE88" s="3410"/>
      <c r="AF88" s="3015">
        <f>AF13/AD13-1</f>
        <v>0.23122886094003703</v>
      </c>
      <c r="AG88" s="3015">
        <f>AG13/AF13-1</f>
        <v>0.10697475636433129</v>
      </c>
      <c r="AH88" s="3015">
        <f>AH13/AG13-1</f>
        <v>0.17428244856489727</v>
      </c>
      <c r="AI88" s="3015">
        <f>AI13/AH13-1</f>
        <v>0.23694018147799678</v>
      </c>
      <c r="AJ88" s="3410"/>
      <c r="AK88" s="3015">
        <f>AK13/AI13-1</f>
        <v>0.18204495537338095</v>
      </c>
      <c r="AL88" s="3015">
        <f>AL13/AK13-1</f>
        <v>8.681141399743586E-2</v>
      </c>
      <c r="AM88" s="3015">
        <f>AM13/AL13-1</f>
        <v>0.1182979974558982</v>
      </c>
      <c r="AN88" s="3015">
        <f>AN13/AM13-1</f>
        <v>0.17657541199712279</v>
      </c>
      <c r="AO88" s="3410"/>
      <c r="AP88" s="3015">
        <f>AP13/AN13-1</f>
        <v>0.13692670895871362</v>
      </c>
      <c r="AQ88" s="3015">
        <f>AQ13/AP13-1</f>
        <v>5.5258711135093286E-2</v>
      </c>
      <c r="AR88" s="3015">
        <f>AR13/AQ13-1</f>
        <v>0.10925894707614803</v>
      </c>
      <c r="AS88" s="3015">
        <f>AS13/AR13-1</f>
        <v>0.11827800262981669</v>
      </c>
      <c r="AT88" s="3410"/>
      <c r="AU88" s="3015">
        <f>AU13/AS13-1</f>
        <v>7.2136995852433827E-2</v>
      </c>
      <c r="AV88" s="3015">
        <f>AV13/AU13-1</f>
        <v>4.679453617989715E-2</v>
      </c>
      <c r="AW88" s="3015">
        <f>AW13/AV13-1</f>
        <v>4.6370393310622093E-2</v>
      </c>
      <c r="AX88" s="3015">
        <f>AX13/AW13-1</f>
        <v>4.2698883900164075E-2</v>
      </c>
      <c r="AY88" s="3410"/>
      <c r="AZ88" s="3015">
        <f>AZ13/AX13-1</f>
        <v>-2.9229366579260452E-2</v>
      </c>
      <c r="BA88" s="3015">
        <f>BA13/AZ13-1</f>
        <v>2.4839014240547463E-3</v>
      </c>
      <c r="BB88" s="3015">
        <f>BB13/BA13-1</f>
        <v>8.894921945867007E-2</v>
      </c>
      <c r="BC88" s="3015">
        <f>BC13/BB13-1</f>
        <v>0.14409979745449442</v>
      </c>
      <c r="BD88" s="3410"/>
      <c r="BE88" s="3015">
        <f>BE13/BC13-1</f>
        <v>1.346700765730624E-2</v>
      </c>
      <c r="BF88" s="3015">
        <f>BF13/BE13-1</f>
        <v>7.3920073920072937E-3</v>
      </c>
      <c r="BG88" s="3015">
        <f>BG13/BF13-1</f>
        <v>8.7365283191928489E-2</v>
      </c>
      <c r="BH88" s="3015">
        <f>BH13/BG13-1</f>
        <v>0.16807254323070442</v>
      </c>
      <c r="BI88" s="3410"/>
      <c r="BJ88" s="3015">
        <f>BJ13/BH13-1</f>
        <v>2.6900162484202905E-2</v>
      </c>
      <c r="BK88" s="3015">
        <f>BK13/BJ13-1</f>
        <v>3.8150492264416247E-2</v>
      </c>
      <c r="BL88" s="3015">
        <f>BL13/BK13-1</f>
        <v>8.6198137171888289E-2</v>
      </c>
      <c r="BM88" s="3015">
        <f>BM13/BL13-1</f>
        <v>8.4970377299657063E-2</v>
      </c>
      <c r="BN88" s="3410"/>
      <c r="BO88" s="3015">
        <v>2.4489795918367419E-2</v>
      </c>
      <c r="BP88" s="3015">
        <v>3.5856573705179251E-2</v>
      </c>
      <c r="BQ88" s="3015">
        <v>6.5384615384615374E-2</v>
      </c>
      <c r="BR88" s="3016">
        <v>0.11191335740072206</v>
      </c>
      <c r="BS88" s="3411"/>
      <c r="BT88" s="3015">
        <f>BT13/BM13-1</f>
        <v>-4.1672654116970964E-3</v>
      </c>
      <c r="BU88" s="3015">
        <f>BU13/BT13-1</f>
        <v>1.904761904761898E-2</v>
      </c>
      <c r="BV88" s="3015">
        <f>BV13/BU13-1</f>
        <v>1.7983574058340501E-2</v>
      </c>
      <c r="BW88" s="3015">
        <f>BW13/BV13-1</f>
        <v>0.11879259980525814</v>
      </c>
      <c r="BX88" s="3410"/>
      <c r="BY88" s="3015">
        <v>-3.8311688311688297E-2</v>
      </c>
      <c r="BZ88" s="3015">
        <v>1.721809588116141E-2</v>
      </c>
      <c r="CA88" s="3015">
        <v>-1.3607699966810438E-2</v>
      </c>
      <c r="CB88" s="3015">
        <v>0.11372812920592201</v>
      </c>
      <c r="CC88" s="3410"/>
      <c r="CD88" s="3015">
        <f>CD13/BW13-1</f>
        <v>-2.834763148079078E-2</v>
      </c>
      <c r="CE88" s="3015">
        <f t="shared" si="415"/>
        <v>1.2412028150991627E-2</v>
      </c>
      <c r="CF88" s="3015">
        <f t="shared" si="415"/>
        <v>5.4726996966632857E-2</v>
      </c>
      <c r="CG88" s="3015">
        <f t="shared" si="415"/>
        <v>0.13289394847213898</v>
      </c>
      <c r="CH88" s="3410"/>
      <c r="CI88" s="3015">
        <f>CI13/CG13-1</f>
        <v>5.288766659614641E-4</v>
      </c>
      <c r="CJ88" s="3015">
        <f t="shared" si="416"/>
        <v>4.038481869119348E-2</v>
      </c>
      <c r="CK88" s="3015">
        <f t="shared" si="416"/>
        <v>-1.3210039630119352E-3</v>
      </c>
      <c r="CL88" s="3015">
        <f t="shared" si="416"/>
        <v>0.1377696377696378</v>
      </c>
      <c r="CM88" s="3410"/>
      <c r="CN88" s="3015">
        <f>CN13/CL13-1</f>
        <v>-2.5040243248077299E-2</v>
      </c>
      <c r="CO88" s="3015">
        <f t="shared" si="417"/>
        <v>2.2197761878554489E-2</v>
      </c>
      <c r="CP88" s="3015">
        <f t="shared" si="417"/>
        <v>4.4328786791098418E-2</v>
      </c>
      <c r="CQ88" s="3015">
        <f t="shared" si="417"/>
        <v>0.1291459013576215</v>
      </c>
      <c r="CR88" s="3410"/>
      <c r="CS88" s="3015">
        <f>CS13/CQ13-1</f>
        <v>-4.0483981432158922E-2</v>
      </c>
      <c r="CT88" s="3015">
        <f t="shared" si="418"/>
        <v>6.0353715599968272E-2</v>
      </c>
      <c r="CU88" s="3015">
        <f t="shared" si="418"/>
        <v>2.857142857142847E-2</v>
      </c>
      <c r="CV88" s="3015">
        <f t="shared" si="418"/>
        <v>0.12005526468877248</v>
      </c>
      <c r="CW88" s="4125"/>
      <c r="CX88" s="3412">
        <f>CX13/CV13-1</f>
        <v>-2.9085243134454375E-2</v>
      </c>
      <c r="CY88" s="3412">
        <f t="shared" si="419"/>
        <v>4.5603477097960532E-2</v>
      </c>
      <c r="CZ88" s="3412">
        <f t="shared" si="419"/>
        <v>6.3119524205410338E-2</v>
      </c>
      <c r="DA88" s="3412">
        <f t="shared" si="419"/>
        <v>8.6140519730510068E-2</v>
      </c>
      <c r="DB88" s="4125"/>
      <c r="DC88" s="3412">
        <f>DC13/DA13-1</f>
        <v>-2.0879486043420492E-2</v>
      </c>
      <c r="DD88" s="3412">
        <f t="shared" si="420"/>
        <v>6.1937892414729356E-2</v>
      </c>
      <c r="DE88" s="3412">
        <f t="shared" si="420"/>
        <v>3.6486630446362023E-2</v>
      </c>
      <c r="DF88" s="3412">
        <f t="shared" si="420"/>
        <v>9.758980420371044E-2</v>
      </c>
      <c r="DG88" s="4125"/>
      <c r="DH88" s="3412">
        <f>DH13/DF13-1</f>
        <v>-4.8272310141398989E-2</v>
      </c>
      <c r="DI88" s="3412">
        <f t="shared" si="421"/>
        <v>6.4987455108968417E-2</v>
      </c>
      <c r="DJ88" s="3412">
        <f t="shared" si="421"/>
        <v>5.9266444937176699E-2</v>
      </c>
      <c r="DK88" s="3412">
        <f t="shared" si="421"/>
        <v>9.2625703196546061E-2</v>
      </c>
      <c r="DL88" s="4125"/>
      <c r="DM88" s="3412">
        <f>DM13/DK13-1</f>
        <v>-0.11486729195769307</v>
      </c>
      <c r="DN88" s="3412">
        <f t="shared" si="422"/>
        <v>-0.10970825630157366</v>
      </c>
      <c r="DO88" s="3412">
        <f t="shared" si="422"/>
        <v>0.26904376012965958</v>
      </c>
      <c r="DP88" s="3412">
        <f t="shared" si="422"/>
        <v>0.22996487867177517</v>
      </c>
      <c r="DQ88" s="4125"/>
      <c r="DR88" s="3412">
        <f>DR13/DP13-1</f>
        <v>1.2752287624115732E-2</v>
      </c>
      <c r="DS88" s="3412">
        <f t="shared" si="423"/>
        <v>0.14232161737848825</v>
      </c>
      <c r="DT88" s="3412">
        <f t="shared" si="423"/>
        <v>5.1720752811825088E-2</v>
      </c>
      <c r="DU88" s="3412">
        <f t="shared" si="423"/>
        <v>0.12907699282609286</v>
      </c>
      <c r="DV88" s="4125"/>
      <c r="DW88" s="3412">
        <f>DW13/DU13-1</f>
        <v>-9.2708505562510313E-2</v>
      </c>
      <c r="DX88" s="3412">
        <f t="shared" si="424"/>
        <v>3.0433197958971148E-2</v>
      </c>
      <c r="DY88" s="3412">
        <f t="shared" si="424"/>
        <v>-4.1610873904145973E-2</v>
      </c>
      <c r="DZ88" s="3412">
        <f t="shared" si="424"/>
        <v>7.3074286919386333E-2</v>
      </c>
      <c r="EA88" s="4125"/>
      <c r="EB88" s="3412">
        <f>EB13/DZ13-1</f>
        <v>-3.7611162973517409E-2</v>
      </c>
      <c r="EC88" s="3412">
        <f t="shared" si="425"/>
        <v>8.967453733248254E-2</v>
      </c>
      <c r="ED88" s="3412">
        <f t="shared" si="425"/>
        <v>1.8178410794602806E-2</v>
      </c>
      <c r="EE88" s="3412">
        <f t="shared" si="425"/>
        <v>0.12127277747101051</v>
      </c>
      <c r="EF88" s="4125"/>
      <c r="EG88" s="3412">
        <f>EG13/EE13-1</f>
        <v>-3.9150507848568772E-2</v>
      </c>
      <c r="EH88" s="3412">
        <f t="shared" si="426"/>
        <v>5.1423324150596805E-2</v>
      </c>
      <c r="EI88" s="3412">
        <f t="shared" si="426"/>
        <v>5.1975220879455719E-2</v>
      </c>
      <c r="EJ88" s="3412">
        <f t="shared" si="426"/>
        <v>7.8426072518052337E-2</v>
      </c>
      <c r="EK88" s="4125"/>
      <c r="EL88" s="3412">
        <f>EL13/EJ13-1</f>
        <v>-3.5502005156115679E-2</v>
      </c>
      <c r="EM88" s="3412">
        <f t="shared" si="427"/>
        <v>6.5264603790395892E-2</v>
      </c>
      <c r="EN88" s="3412">
        <f t="shared" si="427"/>
        <v>6.2520692118698706E-2</v>
      </c>
      <c r="EO88" s="3412">
        <f t="shared" si="427"/>
        <v>7.5156687562608848E-2</v>
      </c>
      <c r="EP88" s="4125"/>
      <c r="EQ88" s="3412">
        <f>EQ13/EO13-1</f>
        <v>-2.9652584269042936E-2</v>
      </c>
      <c r="ER88" s="3412">
        <f t="shared" si="428"/>
        <v>5.3613763852341068E-2</v>
      </c>
      <c r="ES88" s="3412">
        <f t="shared" si="429"/>
        <v>4.2117275167304458E-2</v>
      </c>
      <c r="ET88" s="3412">
        <f t="shared" si="430"/>
        <v>7.9851491747617853E-2</v>
      </c>
      <c r="EU88" s="4125"/>
      <c r="EV88" s="4125"/>
      <c r="EW88" s="4125"/>
      <c r="EX88" s="4125"/>
      <c r="EY88" s="4125"/>
      <c r="EZ88" s="625"/>
      <c r="FA88" s="4283"/>
      <c r="FB88" s="4283"/>
      <c r="FC88" s="4283"/>
      <c r="FD88" s="4283"/>
      <c r="FE88" s="4283"/>
      <c r="FF88" s="4283"/>
      <c r="FG88" s="4283"/>
      <c r="FH88" s="4283"/>
      <c r="FI88" s="4283"/>
      <c r="FJ88" s="4283"/>
      <c r="FK88" s="4283"/>
      <c r="FL88" s="4283"/>
    </row>
    <row r="89" spans="1:168" s="743" customFormat="1" ht="11.25" hidden="1" customHeight="1" outlineLevel="1">
      <c r="A89" s="3763" t="s">
        <v>187</v>
      </c>
      <c r="B89" s="651"/>
      <c r="C89" s="651"/>
      <c r="D89" s="651"/>
      <c r="E89" s="651"/>
      <c r="F89" s="1780"/>
      <c r="G89" s="651"/>
      <c r="H89" s="651"/>
      <c r="I89" s="651"/>
      <c r="J89" s="651"/>
      <c r="K89" s="1780"/>
      <c r="L89" s="651"/>
      <c r="M89" s="651"/>
      <c r="N89" s="651"/>
      <c r="O89" s="651"/>
      <c r="P89" s="1780"/>
      <c r="Q89" s="227"/>
      <c r="R89" s="227"/>
      <c r="S89" s="227"/>
      <c r="T89" s="227"/>
      <c r="U89" s="994"/>
      <c r="V89" s="227"/>
      <c r="W89" s="227"/>
      <c r="X89" s="227"/>
      <c r="Y89" s="227"/>
      <c r="Z89" s="994"/>
      <c r="AA89" s="227"/>
      <c r="AB89" s="227"/>
      <c r="AC89" s="227"/>
      <c r="AD89" s="227"/>
      <c r="AE89" s="994"/>
      <c r="AF89" s="227"/>
      <c r="AG89" s="227"/>
      <c r="AH89" s="227"/>
      <c r="AI89" s="227"/>
      <c r="AJ89" s="994"/>
      <c r="AK89" s="227"/>
      <c r="AL89" s="227"/>
      <c r="AM89" s="227"/>
      <c r="AN89" s="227"/>
      <c r="AO89" s="994"/>
      <c r="AP89" s="227"/>
      <c r="AQ89" s="227"/>
      <c r="AR89" s="227"/>
      <c r="AS89" s="227"/>
      <c r="AT89" s="994"/>
      <c r="AU89" s="227"/>
      <c r="AV89" s="227"/>
      <c r="AW89" s="227"/>
      <c r="AX89" s="227"/>
      <c r="AY89" s="994"/>
      <c r="AZ89" s="227"/>
      <c r="BA89" s="227"/>
      <c r="BB89" s="227"/>
      <c r="BC89" s="227"/>
      <c r="BD89" s="994"/>
      <c r="BE89" s="227"/>
      <c r="BF89" s="227"/>
      <c r="BG89" s="227"/>
      <c r="BH89" s="227"/>
      <c r="BI89" s="994"/>
      <c r="BJ89" s="227"/>
      <c r="BK89" s="227"/>
      <c r="BL89" s="227"/>
      <c r="BM89" s="227"/>
      <c r="BN89" s="994"/>
      <c r="BO89" s="227"/>
      <c r="BP89" s="227"/>
      <c r="BQ89" s="227"/>
      <c r="BR89" s="227"/>
      <c r="BS89" s="994"/>
      <c r="BT89" s="227"/>
      <c r="BU89" s="227"/>
      <c r="BV89" s="227"/>
      <c r="BW89" s="227"/>
      <c r="BX89" s="994"/>
      <c r="BY89" s="227"/>
      <c r="BZ89" s="227"/>
      <c r="CA89" s="227"/>
      <c r="CB89" s="227"/>
      <c r="CC89" s="994"/>
      <c r="CD89" s="227"/>
      <c r="CE89" s="227">
        <f>CE17/CD17-1</f>
        <v>9.2145949288806372E-2</v>
      </c>
      <c r="CF89" s="227">
        <f>CF17/CE17-1</f>
        <v>3.1143827859569706E-2</v>
      </c>
      <c r="CG89" s="227">
        <f>CG17/CF17-1</f>
        <v>6.1504667764964216E-2</v>
      </c>
      <c r="CH89" s="994"/>
      <c r="CI89" s="227">
        <f>CI17/CG17-1</f>
        <v>9.9844800827728841E-2</v>
      </c>
      <c r="CJ89" s="227">
        <f>CJ17/CI17-1</f>
        <v>5.2681091251175927E-2</v>
      </c>
      <c r="CK89" s="227">
        <f>CK17/CJ17-1</f>
        <v>0.18632707774798929</v>
      </c>
      <c r="CL89" s="227">
        <f>CL17/CK17-1</f>
        <v>5.9510357815442561E-2</v>
      </c>
      <c r="CM89" s="994"/>
      <c r="CN89" s="227">
        <f>CN17/CL17-1</f>
        <v>-2.1329541414859543E-2</v>
      </c>
      <c r="CO89" s="227">
        <f>CO17/CN17-1</f>
        <v>1.3076643661460219E-2</v>
      </c>
      <c r="CP89" s="227">
        <f>CP17/CO17-1</f>
        <v>0.15812119039082106</v>
      </c>
      <c r="CQ89" s="227">
        <f>CQ17/CP17-1</f>
        <v>8.6687306501547878E-2</v>
      </c>
      <c r="CR89" s="994"/>
      <c r="CS89" s="227">
        <f>CS17/CQ17-1</f>
        <v>-4.0740740740740744E-2</v>
      </c>
      <c r="CT89" s="227">
        <f>CT17/CS17-1</f>
        <v>-1.1880011880012198E-3</v>
      </c>
      <c r="CU89" s="227">
        <f>CU17/CT17-1</f>
        <v>6.9283377936366408E-2</v>
      </c>
      <c r="CV89" s="227">
        <f>CV17/CU17-1</f>
        <v>7.230255839822064E-3</v>
      </c>
      <c r="CW89" s="994"/>
      <c r="CX89" s="2617">
        <f>CX17/CV17-1</f>
        <v>8.8348978464936501E-2</v>
      </c>
      <c r="CY89" s="2617">
        <f>CY17/CX17-1</f>
        <v>5.8346017250126891E-2</v>
      </c>
      <c r="CZ89" s="2617">
        <f>CZ17/CY17-1</f>
        <v>7.9098753595396865E-3</v>
      </c>
      <c r="DA89" s="2617">
        <f>DA17/CZ17-1</f>
        <v>2.4019024970273417E-2</v>
      </c>
      <c r="DB89" s="994"/>
      <c r="DC89" s="2617">
        <f>DC17/DA17-1</f>
        <v>0.1702275894101255</v>
      </c>
      <c r="DD89" s="2617">
        <f>DD17/DC17-1</f>
        <v>1.4883905536812847E-2</v>
      </c>
      <c r="DE89" s="2617">
        <f>DE17/DD17-1</f>
        <v>2.3073914743840351E-2</v>
      </c>
      <c r="DF89" s="2617">
        <f>DF17/DE17-1</f>
        <v>0.15328746177370034</v>
      </c>
      <c r="DG89" s="994"/>
      <c r="DH89" s="2617">
        <f>DH17/DF17-1</f>
        <v>-8.2863771958896493E-4</v>
      </c>
      <c r="DI89" s="2617">
        <f>DI17/DH17-1</f>
        <v>3.0519157405871633E-2</v>
      </c>
      <c r="DJ89" s="2617">
        <f>DJ17/DI17-1</f>
        <v>5.4884918718815401E-2</v>
      </c>
      <c r="DK89" s="2617">
        <f>DK17/DJ17-1</f>
        <v>0.10192249008239251</v>
      </c>
      <c r="DL89" s="994"/>
      <c r="DM89" s="2617">
        <f>DM17/DK17-1</f>
        <v>-5.566325117695925E-2</v>
      </c>
      <c r="DN89" s="2617">
        <f>DN17/DM17-1</f>
        <v>8.0645161290322509E-3</v>
      </c>
      <c r="DO89" s="2617">
        <f>DO17/DN17-1</f>
        <v>-2.7636363636364125E-3</v>
      </c>
      <c r="DP89" s="2617">
        <f>DP17/DO17-1</f>
        <v>2.421236872812127E-2</v>
      </c>
      <c r="DQ89" s="994"/>
      <c r="DR89" s="2617">
        <f>DR17/DP17-1</f>
        <v>6.5935630874394802E-2</v>
      </c>
      <c r="DS89" s="2617">
        <f>DS17/DR17-1</f>
        <v>2.5384101536406245E-2</v>
      </c>
      <c r="DT89" s="2617">
        <f>DT17/DS17-1</f>
        <v>2.4755700325733709E-3</v>
      </c>
      <c r="DU89" s="2617">
        <f>DU17/DT17-1</f>
        <v>0.13179100597868465</v>
      </c>
      <c r="DV89" s="994"/>
      <c r="DW89" s="2617">
        <f>DW17/DU17-1</f>
        <v>4.7197978870004542E-2</v>
      </c>
      <c r="DX89" s="2617">
        <f>DX17/DW17-1</f>
        <v>7.9175348174141957E-2</v>
      </c>
      <c r="DY89" s="2617">
        <f>DY17/DX17-1</f>
        <v>4.3897977847779712E-2</v>
      </c>
      <c r="DZ89" s="2617">
        <f>DZ17/DY17-1</f>
        <v>-5.8405529056748673E-4</v>
      </c>
      <c r="EA89" s="994"/>
      <c r="EB89" s="2617">
        <f>EB17/DZ17-1</f>
        <v>0.11697672153501504</v>
      </c>
      <c r="EC89" s="2617">
        <f>EC17/EB17-1</f>
        <v>-7.673526334147196E-2</v>
      </c>
      <c r="ED89" s="2617">
        <f>ED17/EC17-1</f>
        <v>6.3279183981866272E-2</v>
      </c>
      <c r="EE89" s="2617">
        <f>EE17/ED17-1</f>
        <v>7.5945993959850799E-2</v>
      </c>
      <c r="EF89" s="994"/>
      <c r="EG89" s="2617">
        <f>EG17/EE17-1</f>
        <v>-1.7336745645174623E-2</v>
      </c>
      <c r="EH89" s="2617">
        <f>EH17/EG17-1</f>
        <v>-3.6125346551290072E-3</v>
      </c>
      <c r="EI89" s="2617">
        <f>EI17/EH17-1</f>
        <v>4.9494097807757154E-2</v>
      </c>
      <c r="EJ89" s="2617">
        <f>EJ17/EI17-1</f>
        <v>5.3747891058086195E-2</v>
      </c>
      <c r="EK89" s="994"/>
      <c r="EL89" s="2617">
        <f>EL17/EJ17-1</f>
        <v>3.3546813052760083E-2</v>
      </c>
      <c r="EM89" s="2617">
        <f>EM17/EL17-1</f>
        <v>1.8589554440838096E-2</v>
      </c>
      <c r="EN89" s="2617">
        <f>EN17/EM17-1</f>
        <v>9.7262456546929332E-2</v>
      </c>
      <c r="EO89" s="2617">
        <f>EO17/EN17-1</f>
        <v>3.9009839876512409E-2</v>
      </c>
      <c r="EP89" s="994"/>
      <c r="EQ89" s="2617">
        <f>EQ17/EO17-1</f>
        <v>3.337773523536236E-2</v>
      </c>
      <c r="ER89" s="2617">
        <f>ER17/EQ17-1</f>
        <v>1.6691798537048497E-2</v>
      </c>
      <c r="ES89" s="2617">
        <f>ES17/ER17-1</f>
        <v>8.6883148829676848E-2</v>
      </c>
      <c r="ET89" s="2617">
        <f>ET17/ES17-1</f>
        <v>3.6435734594377323E-2</v>
      </c>
      <c r="EU89" s="994"/>
      <c r="EV89" s="994"/>
      <c r="EW89" s="994"/>
      <c r="EX89" s="994"/>
      <c r="EY89" s="994"/>
      <c r="EZ89" s="744"/>
      <c r="FA89" s="1851"/>
      <c r="FB89" s="1851"/>
      <c r="FC89" s="1851"/>
      <c r="FD89" s="1851"/>
      <c r="FE89" s="1851"/>
      <c r="FF89" s="1851"/>
      <c r="FG89" s="1851"/>
      <c r="FH89" s="1851"/>
      <c r="FI89" s="1851"/>
      <c r="FJ89" s="1851"/>
      <c r="FK89" s="1851"/>
      <c r="FL89" s="1851"/>
    </row>
    <row r="90" spans="1:168" s="743" customFormat="1" ht="11.25" hidden="1" customHeight="1" outlineLevel="1">
      <c r="A90" s="3763" t="s">
        <v>47</v>
      </c>
      <c r="B90" s="651"/>
      <c r="C90" s="651"/>
      <c r="D90" s="651"/>
      <c r="E90" s="651"/>
      <c r="F90" s="1780"/>
      <c r="G90" s="651"/>
      <c r="H90" s="651"/>
      <c r="I90" s="651"/>
      <c r="J90" s="651"/>
      <c r="K90" s="1780"/>
      <c r="L90" s="651"/>
      <c r="M90" s="651"/>
      <c r="N90" s="651"/>
      <c r="O90" s="651"/>
      <c r="P90" s="1780"/>
      <c r="Q90" s="227"/>
      <c r="R90" s="227"/>
      <c r="S90" s="227"/>
      <c r="T90" s="227"/>
      <c r="U90" s="994"/>
      <c r="V90" s="227"/>
      <c r="W90" s="227"/>
      <c r="X90" s="227"/>
      <c r="Y90" s="227"/>
      <c r="Z90" s="994"/>
      <c r="AA90" s="227"/>
      <c r="AB90" s="227"/>
      <c r="AC90" s="227"/>
      <c r="AD90" s="227"/>
      <c r="AE90" s="994"/>
      <c r="AF90" s="227"/>
      <c r="AG90" s="227"/>
      <c r="AH90" s="227"/>
      <c r="AI90" s="227"/>
      <c r="AJ90" s="994"/>
      <c r="AK90" s="227"/>
      <c r="AL90" s="227"/>
      <c r="AM90" s="227"/>
      <c r="AN90" s="227"/>
      <c r="AO90" s="994"/>
      <c r="AP90" s="227"/>
      <c r="AQ90" s="227"/>
      <c r="AR90" s="227"/>
      <c r="AS90" s="227"/>
      <c r="AT90" s="994"/>
      <c r="AU90" s="227"/>
      <c r="AV90" s="227"/>
      <c r="AW90" s="227"/>
      <c r="AX90" s="227"/>
      <c r="AY90" s="994"/>
      <c r="AZ90" s="227"/>
      <c r="BA90" s="227"/>
      <c r="BB90" s="227"/>
      <c r="BC90" s="227"/>
      <c r="BD90" s="994"/>
      <c r="BE90" s="227"/>
      <c r="BF90" s="227"/>
      <c r="BG90" s="227"/>
      <c r="BH90" s="227"/>
      <c r="BI90" s="994"/>
      <c r="BJ90" s="227"/>
      <c r="BK90" s="227"/>
      <c r="BL90" s="227"/>
      <c r="BM90" s="227"/>
      <c r="BN90" s="994"/>
      <c r="BO90" s="227"/>
      <c r="BP90" s="227"/>
      <c r="BQ90" s="227"/>
      <c r="BR90" s="227"/>
      <c r="BS90" s="994"/>
      <c r="BT90" s="227"/>
      <c r="BU90" s="227"/>
      <c r="BV90" s="227"/>
      <c r="BW90" s="227"/>
      <c r="BX90" s="994"/>
      <c r="BY90" s="227"/>
      <c r="BZ90" s="227"/>
      <c r="CA90" s="227"/>
      <c r="CB90" s="227"/>
      <c r="CC90" s="994"/>
      <c r="CD90" s="227"/>
      <c r="CE90" s="227">
        <f>CE20/CD20-1</f>
        <v>0.10313588850174216</v>
      </c>
      <c r="CF90" s="227">
        <f>CF20/CE20-1</f>
        <v>2.8427037271004485E-2</v>
      </c>
      <c r="CG90" s="227">
        <f>CG20/CF20-1</f>
        <v>0.17199017199017197</v>
      </c>
      <c r="CH90" s="994"/>
      <c r="CI90" s="227">
        <f>CI20/CG20-1</f>
        <v>-9.3815513626834379E-2</v>
      </c>
      <c r="CJ90" s="227">
        <f>CJ20/CI20-1</f>
        <v>0.12261422787738585</v>
      </c>
      <c r="CK90" s="227">
        <f>CK20/CJ20-1</f>
        <v>7.3673364245234518E-2</v>
      </c>
      <c r="CL90" s="227">
        <f>CL20/CK20-1</f>
        <v>0.14059500959692905</v>
      </c>
      <c r="CM90" s="994"/>
      <c r="CN90" s="227">
        <f>CN20/CL20-1</f>
        <v>-0.13125788809423644</v>
      </c>
      <c r="CO90" s="227">
        <f>CO20/CN20-1</f>
        <v>7.2639225181598821E-3</v>
      </c>
      <c r="CP90" s="227">
        <f>CP20/CO20-1</f>
        <v>6.8750000000000089E-2</v>
      </c>
      <c r="CQ90" s="227">
        <f>CQ20/CP20-1</f>
        <v>0.20512820512820507</v>
      </c>
      <c r="CR90" s="994"/>
      <c r="CS90" s="227">
        <f>CS20/CQ20-1</f>
        <v>-0.10899589399029486</v>
      </c>
      <c r="CT90" s="227">
        <f>CT20/CS20-1</f>
        <v>1.1730205278592365E-2</v>
      </c>
      <c r="CU90" s="227">
        <f>CU20/CT20-1</f>
        <v>6.211180124223592E-2</v>
      </c>
      <c r="CV90" s="227">
        <f>CV20/CU20-1</f>
        <v>0.21559454191033134</v>
      </c>
      <c r="CW90" s="994"/>
      <c r="CX90" s="2617">
        <f>CX20/CV20-1</f>
        <v>-0.15202052597819116</v>
      </c>
      <c r="CY90" s="2617">
        <f>CY20/CX20-1</f>
        <v>9.5688350983358594E-2</v>
      </c>
      <c r="CZ90" s="2617">
        <f>CZ20/CY20-1</f>
        <v>5.0051777701070055E-2</v>
      </c>
      <c r="DA90" s="2617">
        <f>DA20/CZ20-1</f>
        <v>0.41683103221564766</v>
      </c>
      <c r="DB90" s="994"/>
      <c r="DC90" s="2617">
        <f>DC20/DA20-1</f>
        <v>-0.16380510440835272</v>
      </c>
      <c r="DD90" s="2617">
        <f>DD20/DC20-1</f>
        <v>4.8834628190898899E-2</v>
      </c>
      <c r="DE90" s="2617">
        <f>DE20/DD20-1</f>
        <v>1.8253968253968189E-2</v>
      </c>
      <c r="DF90" s="2617">
        <f>DF20/DE20-1</f>
        <v>0.32501948558067029</v>
      </c>
      <c r="DG90" s="994"/>
      <c r="DH90" s="2617">
        <f>DH20/DF20-1</f>
        <v>-0.23431372549019602</v>
      </c>
      <c r="DI90" s="2617">
        <f>DI20/DH20-1</f>
        <v>7.8617157490396883E-2</v>
      </c>
      <c r="DJ90" s="2617">
        <f>DJ20/DI20-1</f>
        <v>9.4254510921177648E-2</v>
      </c>
      <c r="DK90" s="2617">
        <f>DK20/DJ20-1</f>
        <v>0.24495552180516378</v>
      </c>
      <c r="DL90" s="994"/>
      <c r="DM90" s="2617">
        <f>DM20/DK20-1</f>
        <v>-0.21575461833391429</v>
      </c>
      <c r="DN90" s="2617">
        <f>DN20/DM20-1</f>
        <v>-0.13311111111111107</v>
      </c>
      <c r="DO90" s="2617">
        <f>DO20/DN20-1</f>
        <v>8.4593693924634783E-2</v>
      </c>
      <c r="DP90" s="2617">
        <f>DP20/DO20-1</f>
        <v>0.2559678562987473</v>
      </c>
      <c r="DQ90" s="994"/>
      <c r="DR90" s="2617">
        <f>DR20/DP20-1</f>
        <v>-0.15016936394429803</v>
      </c>
      <c r="DS90" s="2617">
        <f>DS20/DR20-1</f>
        <v>0.16829052258635957</v>
      </c>
      <c r="DT90" s="2617">
        <f>DT20/DS20-1</f>
        <v>4.5489006823351108E-2</v>
      </c>
      <c r="DU90" s="2617">
        <f>DU20/DT20-1</f>
        <v>0.37853517041334306</v>
      </c>
      <c r="DV90" s="994"/>
      <c r="DW90" s="2617">
        <f>DW20/DU20-1</f>
        <v>-0.23395581273014199</v>
      </c>
      <c r="DX90" s="2617">
        <f>DX20/DW20-1</f>
        <v>0.13819742489270381</v>
      </c>
      <c r="DY90" s="2617">
        <f>DY20/DX20-1</f>
        <v>4.5098039215686336E-2</v>
      </c>
      <c r="DZ90" s="2617">
        <f>DZ20/DY20-1</f>
        <v>3.6657526338576885E-2</v>
      </c>
      <c r="EA90" s="994"/>
      <c r="EB90" s="2617">
        <f>EB20/DZ20-1</f>
        <v>-9.0491438117778045E-2</v>
      </c>
      <c r="EC90" s="2617">
        <f>EC20/EB20-1</f>
        <v>3.7961120465329845E-2</v>
      </c>
      <c r="ED90" s="2617">
        <f>ED20/EC20-1</f>
        <v>1.5189500073735429E-2</v>
      </c>
      <c r="EE90" s="2617">
        <f>EE20/ED20-1</f>
        <v>0.12129575828006978</v>
      </c>
      <c r="EF90" s="994"/>
      <c r="EG90" s="2617">
        <f>EG20/EE20-1</f>
        <v>-0.16750874465604348</v>
      </c>
      <c r="EH90" s="2617">
        <f>EH20/EG20-1</f>
        <v>5.6956115779645211E-2</v>
      </c>
      <c r="EI90" s="2617">
        <f>EI20/EH20-1</f>
        <v>6.4045936395759728E-2</v>
      </c>
      <c r="EJ90" s="2617">
        <f>EJ20/EI20-1</f>
        <v>1.8818320188183302E-2</v>
      </c>
      <c r="EK90" s="994"/>
      <c r="EL90" s="2617">
        <f>EL20/EJ20-1</f>
        <v>-0.16175471954366427</v>
      </c>
      <c r="EM90" s="2617">
        <f>EM20/EL20-1</f>
        <v>0.15051847051198952</v>
      </c>
      <c r="EN90" s="2617">
        <f>EN20/EM20-1</f>
        <v>1.4645824531756002E-2</v>
      </c>
      <c r="EO90" s="2617">
        <f>EO20/EN20-1</f>
        <v>5.2471190935795109E-2</v>
      </c>
      <c r="EP90" s="994"/>
      <c r="EQ90" s="2617">
        <f>EQ20/EO20-1</f>
        <v>-0.14909480594862046</v>
      </c>
      <c r="ER90" s="2617">
        <f>ER20/EQ20-1</f>
        <v>0.19916205873079118</v>
      </c>
      <c r="ES90" s="2617">
        <f>ES20/ER20-1</f>
        <v>-4.337401161385257E-3</v>
      </c>
      <c r="ET90" s="2617">
        <f>ET20/ES20-1</f>
        <v>4.0623353724051459E-2</v>
      </c>
      <c r="EU90" s="994"/>
      <c r="EV90" s="994"/>
      <c r="EW90" s="994"/>
      <c r="EX90" s="994"/>
      <c r="EY90" s="994"/>
      <c r="EZ90" s="744"/>
      <c r="FA90" s="1851"/>
      <c r="FB90" s="1851"/>
      <c r="FC90" s="1851"/>
      <c r="FD90" s="1851"/>
      <c r="FE90" s="1851"/>
      <c r="FF90" s="1851"/>
      <c r="FG90" s="1851"/>
      <c r="FH90" s="1851"/>
      <c r="FI90" s="1851"/>
      <c r="FJ90" s="1851"/>
      <c r="FK90" s="1851"/>
      <c r="FL90" s="1851"/>
    </row>
    <row r="91" spans="1:168" s="743" customFormat="1" ht="11.25" hidden="1" customHeight="1" outlineLevel="1">
      <c r="A91" s="3763" t="s">
        <v>51</v>
      </c>
      <c r="B91" s="651"/>
      <c r="C91" s="651"/>
      <c r="D91" s="651"/>
      <c r="E91" s="651"/>
      <c r="F91" s="1780"/>
      <c r="G91" s="651"/>
      <c r="H91" s="651"/>
      <c r="I91" s="651"/>
      <c r="J91" s="651"/>
      <c r="K91" s="1780"/>
      <c r="L91" s="651"/>
      <c r="M91" s="651"/>
      <c r="N91" s="651"/>
      <c r="O91" s="651"/>
      <c r="P91" s="1780"/>
      <c r="Q91" s="227"/>
      <c r="R91" s="227"/>
      <c r="S91" s="227"/>
      <c r="T91" s="227"/>
      <c r="U91" s="994"/>
      <c r="V91" s="227"/>
      <c r="W91" s="227"/>
      <c r="X91" s="227"/>
      <c r="Y91" s="227"/>
      <c r="Z91" s="994"/>
      <c r="AA91" s="227"/>
      <c r="AB91" s="227"/>
      <c r="AC91" s="227"/>
      <c r="AD91" s="227"/>
      <c r="AE91" s="994"/>
      <c r="AF91" s="227"/>
      <c r="AG91" s="227"/>
      <c r="AH91" s="227"/>
      <c r="AI91" s="227"/>
      <c r="AJ91" s="994"/>
      <c r="AK91" s="227"/>
      <c r="AL91" s="227"/>
      <c r="AM91" s="227"/>
      <c r="AN91" s="227"/>
      <c r="AO91" s="994"/>
      <c r="AP91" s="227"/>
      <c r="AQ91" s="227"/>
      <c r="AR91" s="227"/>
      <c r="AS91" s="227"/>
      <c r="AT91" s="994"/>
      <c r="AU91" s="227"/>
      <c r="AV91" s="227"/>
      <c r="AW91" s="227"/>
      <c r="AX91" s="227"/>
      <c r="AY91" s="994"/>
      <c r="AZ91" s="227"/>
      <c r="BA91" s="227"/>
      <c r="BB91" s="227"/>
      <c r="BC91" s="227"/>
      <c r="BD91" s="994"/>
      <c r="BE91" s="227"/>
      <c r="BF91" s="227"/>
      <c r="BG91" s="227"/>
      <c r="BH91" s="227"/>
      <c r="BI91" s="994"/>
      <c r="BJ91" s="227"/>
      <c r="BK91" s="227"/>
      <c r="BL91" s="227"/>
      <c r="BM91" s="227"/>
      <c r="BN91" s="994"/>
      <c r="BO91" s="227"/>
      <c r="BP91" s="227"/>
      <c r="BQ91" s="227"/>
      <c r="BR91" s="227"/>
      <c r="BS91" s="994"/>
      <c r="BT91" s="227"/>
      <c r="BU91" s="227"/>
      <c r="BV91" s="227"/>
      <c r="BW91" s="227"/>
      <c r="BX91" s="994"/>
      <c r="BY91" s="227"/>
      <c r="BZ91" s="227"/>
      <c r="CA91" s="227"/>
      <c r="CB91" s="227"/>
      <c r="CC91" s="994"/>
      <c r="CD91" s="227"/>
      <c r="CE91" s="227">
        <f t="shared" ref="CE91:CG92" si="431">CE23/CD23-1</f>
        <v>8.1773399014778425E-2</v>
      </c>
      <c r="CF91" s="227">
        <f t="shared" si="431"/>
        <v>3.3697632058287796E-2</v>
      </c>
      <c r="CG91" s="227">
        <f t="shared" si="431"/>
        <v>4.3171806167400906E-2</v>
      </c>
      <c r="CH91" s="994"/>
      <c r="CI91" s="227">
        <f>CI23/CG23-1</f>
        <v>0.25760135135135132</v>
      </c>
      <c r="CJ91" s="227">
        <f t="shared" ref="CJ91:CL92" si="432">CJ23/CI23-1</f>
        <v>-5.7085292142377453E-2</v>
      </c>
      <c r="CK91" s="227">
        <f t="shared" si="432"/>
        <v>-2.777777777777779E-2</v>
      </c>
      <c r="CL91" s="227">
        <f t="shared" si="432"/>
        <v>0.16703296703296711</v>
      </c>
      <c r="CM91" s="994"/>
      <c r="CN91" s="227">
        <f>CN23/CL23-1</f>
        <v>2.762084118016328E-2</v>
      </c>
      <c r="CO91" s="227">
        <f t="shared" ref="CO91:CQ92" si="433">CO23/CN23-1</f>
        <v>-0.11423335369578502</v>
      </c>
      <c r="CP91" s="227">
        <f t="shared" si="433"/>
        <v>1.8620689655172384E-2</v>
      </c>
      <c r="CQ91" s="227">
        <f t="shared" si="433"/>
        <v>6.4319566689234886E-2</v>
      </c>
      <c r="CR91" s="994"/>
      <c r="CS91" s="227">
        <f>CS23/CQ23-1</f>
        <v>-3.7531806615776042E-2</v>
      </c>
      <c r="CT91" s="227">
        <f t="shared" ref="CT91:CV92" si="434">CT23/CS23-1</f>
        <v>7.3364177131526764E-2</v>
      </c>
      <c r="CU91" s="227">
        <f t="shared" si="434"/>
        <v>0.12315270935960587</v>
      </c>
      <c r="CV91" s="227">
        <f t="shared" si="434"/>
        <v>0.10964912280701755</v>
      </c>
      <c r="CW91" s="994"/>
      <c r="CX91" s="2617">
        <f>CX23/CV23-1</f>
        <v>-0.1101778656126482</v>
      </c>
      <c r="CY91" s="2617">
        <f t="shared" ref="CY91:DA92" si="435">CY23/CX23-1</f>
        <v>-5.6079955580233154E-2</v>
      </c>
      <c r="CZ91" s="2617">
        <f t="shared" si="435"/>
        <v>-6.1764705882352944E-2</v>
      </c>
      <c r="DA91" s="2617">
        <f t="shared" si="435"/>
        <v>0.11347962382445131</v>
      </c>
      <c r="DB91" s="994"/>
      <c r="DC91" s="2617">
        <f>DC23/DA23-1</f>
        <v>-0.21002252252252251</v>
      </c>
      <c r="DD91" s="2617">
        <f t="shared" ref="DD91:DF92" si="436">DD23/DC23-1</f>
        <v>0.25730577334283677</v>
      </c>
      <c r="DE91" s="2617">
        <f t="shared" si="436"/>
        <v>-6.2358276643991184E-3</v>
      </c>
      <c r="DF91" s="2617">
        <f t="shared" si="436"/>
        <v>0.14261266400456352</v>
      </c>
      <c r="DG91" s="994"/>
      <c r="DH91" s="2617">
        <f>DH23/DF23-1</f>
        <v>4.2436345481777327E-2</v>
      </c>
      <c r="DI91" s="2617">
        <f t="shared" ref="DI91:DK92" si="437">DI23/DH23-1</f>
        <v>-2.155172413793105E-2</v>
      </c>
      <c r="DJ91" s="2617">
        <f t="shared" si="437"/>
        <v>0.26823299069995099</v>
      </c>
      <c r="DK91" s="2617">
        <f t="shared" si="437"/>
        <v>9.1856426090312526E-2</v>
      </c>
      <c r="DL91" s="994"/>
      <c r="DM91" s="2617">
        <f>DM23/DK23-1</f>
        <v>1.8027571580063517E-2</v>
      </c>
      <c r="DN91" s="2617">
        <f t="shared" ref="DN91:DP92" si="438">DN23/DM23-1</f>
        <v>-0.10243055555555558</v>
      </c>
      <c r="DO91" s="2617">
        <f t="shared" si="438"/>
        <v>6.6150870406189499E-2</v>
      </c>
      <c r="DP91" s="2617">
        <f t="shared" si="438"/>
        <v>2.7213352685050873E-2</v>
      </c>
      <c r="DQ91" s="994"/>
      <c r="DR91" s="2617">
        <f>DR23/DP23-1</f>
        <v>-2.0487460261391699E-2</v>
      </c>
      <c r="DS91" s="2617">
        <f t="shared" ref="DS91:DU92" si="439">DS23/DR23-1</f>
        <v>0.20483231157591053</v>
      </c>
      <c r="DT91" s="2617">
        <f t="shared" si="439"/>
        <v>-2.5441484585453478E-2</v>
      </c>
      <c r="DU91" s="2617">
        <f t="shared" si="439"/>
        <v>0.27149877149877155</v>
      </c>
      <c r="DV91" s="994"/>
      <c r="DW91" s="2617">
        <f>DW23/DU23-1</f>
        <v>-0.18502415458937194</v>
      </c>
      <c r="DX91" s="2617">
        <f t="shared" ref="DX91:DZ92" si="440">DX23/DW23-1</f>
        <v>8.387670420865434E-2</v>
      </c>
      <c r="DY91" s="2617">
        <f t="shared" si="440"/>
        <v>-1.6406890894175574E-2</v>
      </c>
      <c r="DZ91" s="2617">
        <f t="shared" si="440"/>
        <v>0.41673616902974708</v>
      </c>
      <c r="EA91" s="994"/>
      <c r="EB91" s="2617">
        <f>EB23/DZ23-1</f>
        <v>-0.26236263736263732</v>
      </c>
      <c r="EC91" s="2617">
        <f t="shared" ref="EC91:EE92" si="441">EC23/EB23-1</f>
        <v>-7.3955839318967764E-2</v>
      </c>
      <c r="ED91" s="2617">
        <f t="shared" si="441"/>
        <v>0.14306233840850324</v>
      </c>
      <c r="EE91" s="2617">
        <f t="shared" si="441"/>
        <v>0.30836893691882383</v>
      </c>
      <c r="EF91" s="994"/>
      <c r="EG91" s="2617">
        <f>EG23/EE23-1</f>
        <v>-0.41874759892431812</v>
      </c>
      <c r="EH91" s="2617">
        <f t="shared" ref="EH91:EJ92" si="442">EH23/EG23-1</f>
        <v>4.3621943159286136E-2</v>
      </c>
      <c r="EI91" s="2617">
        <f t="shared" si="442"/>
        <v>0.13964534515516158</v>
      </c>
      <c r="EJ91" s="2617">
        <f t="shared" si="442"/>
        <v>0.22395109752709086</v>
      </c>
      <c r="EK91" s="994"/>
      <c r="EL91" s="2617">
        <f>EL23/EJ23-1</f>
        <v>-0.19659477866061292</v>
      </c>
      <c r="EM91" s="2617">
        <f t="shared" ref="EM91:EO92" si="443">EM23/EL23-1</f>
        <v>0.47188471319581793</v>
      </c>
      <c r="EN91" s="2617">
        <f t="shared" si="443"/>
        <v>-0.24438471875599921</v>
      </c>
      <c r="EO91" s="2617">
        <f t="shared" si="443"/>
        <v>0.24374743190192616</v>
      </c>
      <c r="EP91" s="994"/>
      <c r="EQ91" s="2617">
        <f>EQ23/EO23-1</f>
        <v>-0.2295794866894646</v>
      </c>
      <c r="ER91" s="2617">
        <f t="shared" ref="ER91:ER92" si="444">ER23/EQ23-1</f>
        <v>1.296686557545268E-2</v>
      </c>
      <c r="ES91" s="2617">
        <f t="shared" ref="ES91:ES92" si="445">ES23/ER23-1</f>
        <v>6.2040105427855874E-2</v>
      </c>
      <c r="ET91" s="2617">
        <f t="shared" ref="ET91:ET92" si="446">ET23/ES23-1</f>
        <v>0.28013926559029323</v>
      </c>
      <c r="EU91" s="994"/>
      <c r="EV91" s="994"/>
      <c r="EW91" s="994"/>
      <c r="EX91" s="994"/>
      <c r="EY91" s="994"/>
      <c r="EZ91" s="744"/>
      <c r="FA91" s="1851"/>
      <c r="FB91" s="1851"/>
      <c r="FC91" s="1851"/>
      <c r="FD91" s="1851"/>
      <c r="FE91" s="1851"/>
      <c r="FF91" s="1851"/>
      <c r="FG91" s="1851"/>
      <c r="FH91" s="1851"/>
      <c r="FI91" s="1851"/>
      <c r="FJ91" s="1851"/>
      <c r="FK91" s="1851"/>
      <c r="FL91" s="1851"/>
    </row>
    <row r="92" spans="1:168" s="743" customFormat="1" ht="11.25" hidden="1" customHeight="1" outlineLevel="1">
      <c r="A92" s="3758" t="s">
        <v>53</v>
      </c>
      <c r="B92" s="651"/>
      <c r="C92" s="651"/>
      <c r="D92" s="651"/>
      <c r="E92" s="651"/>
      <c r="F92" s="1780"/>
      <c r="G92" s="651"/>
      <c r="H92" s="651"/>
      <c r="I92" s="651"/>
      <c r="J92" s="651"/>
      <c r="K92" s="1780"/>
      <c r="L92" s="651"/>
      <c r="M92" s="651"/>
      <c r="N92" s="651"/>
      <c r="O92" s="651"/>
      <c r="P92" s="1780"/>
      <c r="Q92" s="227"/>
      <c r="R92" s="227">
        <f>R24/Q24-1</f>
        <v>-1.0333863275039823E-2</v>
      </c>
      <c r="S92" s="227">
        <f>S24/R24-1</f>
        <v>0.65515394912985281</v>
      </c>
      <c r="T92" s="227">
        <f>T24/S24-1</f>
        <v>0.28502102879327063</v>
      </c>
      <c r="U92" s="994"/>
      <c r="V92" s="227">
        <f>V24/T24-1</f>
        <v>3.584340382678751</v>
      </c>
      <c r="W92" s="227">
        <f>W24/V24-1</f>
        <v>-6.1865011807348047E-2</v>
      </c>
      <c r="X92" s="227">
        <f>X24/W24-1</f>
        <v>1.1599297526708621</v>
      </c>
      <c r="Y92" s="227">
        <f>Y24/X24-1</f>
        <v>0.15163834458086023</v>
      </c>
      <c r="Z92" s="994"/>
      <c r="AA92" s="227">
        <f>AA24/Y24-1</f>
        <v>-0.10014826320248515</v>
      </c>
      <c r="AB92" s="227">
        <f>AB24/AA24-1</f>
        <v>-2.2386986256587305E-2</v>
      </c>
      <c r="AC92" s="227">
        <f>AC24/AB24-1</f>
        <v>-9.0688995599309874E-2</v>
      </c>
      <c r="AD92" s="227">
        <f>AD24/AC24-1</f>
        <v>-0.12429943660728726</v>
      </c>
      <c r="AE92" s="994"/>
      <c r="AF92" s="227">
        <f>AF24/AD24-1</f>
        <v>-0.1784448438628613</v>
      </c>
      <c r="AG92" s="227">
        <f>AG24/AF24-1</f>
        <v>-3.2101087756604252E-2</v>
      </c>
      <c r="AH92" s="227">
        <f>AH24/AG24-1</f>
        <v>-2.1758418184122719E-2</v>
      </c>
      <c r="AI92" s="227">
        <f>AI24/AH24-1</f>
        <v>0.25580893150211637</v>
      </c>
      <c r="AJ92" s="994"/>
      <c r="AK92" s="227">
        <f>AK24/AI24-1</f>
        <v>0.97173023351790055</v>
      </c>
      <c r="AL92" s="227">
        <f>AL24/AK24-1</f>
        <v>-4.8097048768576012E-2</v>
      </c>
      <c r="AM92" s="227">
        <f>AM24/AL24-1</f>
        <v>-8.5103848867144949E-2</v>
      </c>
      <c r="AN92" s="227">
        <f>AN24/AM24-1</f>
        <v>0.34615461646304824</v>
      </c>
      <c r="AO92" s="994"/>
      <c r="AP92" s="227">
        <f>AP24/AN24-1</f>
        <v>0.36777581884591637</v>
      </c>
      <c r="AQ92" s="227">
        <f>AQ24/AP24-1</f>
        <v>0.31358706884361442</v>
      </c>
      <c r="AR92" s="227">
        <f>AR24/AQ24-1</f>
        <v>-0.180387870356569</v>
      </c>
      <c r="AS92" s="227">
        <f>AS24/AR24-1</f>
        <v>0.23916425872416092</v>
      </c>
      <c r="AT92" s="994"/>
      <c r="AU92" s="227">
        <f>AU24/AS24-1</f>
        <v>0.14463514064410909</v>
      </c>
      <c r="AV92" s="227">
        <f>AV24/AU24-1</f>
        <v>-2.8502843873651429E-2</v>
      </c>
      <c r="AW92" s="227">
        <f>AW24/AV24-1</f>
        <v>2.662624277795711E-2</v>
      </c>
      <c r="AX92" s="227">
        <f>AX24/AW24-1</f>
        <v>2.1900520998860529E-2</v>
      </c>
      <c r="AY92" s="994"/>
      <c r="AZ92" s="227">
        <f>AZ24/AX24-1</f>
        <v>-3.0362858700361928E-2</v>
      </c>
      <c r="BA92" s="227">
        <f>BA24/AZ24-1</f>
        <v>5.6172810586594624E-2</v>
      </c>
      <c r="BB92" s="227">
        <f>BB24/BA24-1</f>
        <v>8.3451052649537338E-2</v>
      </c>
      <c r="BC92" s="227">
        <f>BC24/BB24-1</f>
        <v>-0.13086446191977374</v>
      </c>
      <c r="BD92" s="994"/>
      <c r="BE92" s="227">
        <f>BE24/BC24-1</f>
        <v>5.4447158065614953E-2</v>
      </c>
      <c r="BF92" s="227">
        <f>BF24/BE24-1</f>
        <v>6.1855670103092786E-2</v>
      </c>
      <c r="BG92" s="227">
        <f>BG24/BF24-1</f>
        <v>0.22977346278317157</v>
      </c>
      <c r="BH92" s="227">
        <f>BH24/BG24-1</f>
        <v>4.2105263157894646E-2</v>
      </c>
      <c r="BI92" s="994"/>
      <c r="BJ92" s="227">
        <f>BJ24/BH24-1</f>
        <v>9.0909090909090828E-2</v>
      </c>
      <c r="BK92" s="227">
        <f>BK24/BJ24-1</f>
        <v>6.9444444444444198E-3</v>
      </c>
      <c r="BL92" s="227">
        <f>BL24/BK24-1</f>
        <v>0.31264367816091965</v>
      </c>
      <c r="BM92" s="227">
        <f>BM24/BL24-1</f>
        <v>-6.1295971978984287E-2</v>
      </c>
      <c r="BN92" s="994"/>
      <c r="BO92" s="227"/>
      <c r="BP92" s="227"/>
      <c r="BQ92" s="227"/>
      <c r="BR92" s="227"/>
      <c r="BS92" s="994"/>
      <c r="BT92" s="227">
        <f>BT24/BM24-1</f>
        <v>3.7313432835820892E-2</v>
      </c>
      <c r="BU92" s="227">
        <f>BU24/BT24-1</f>
        <v>-7.194244604316502E-3</v>
      </c>
      <c r="BV92" s="227">
        <f>BV24/BU24-1</f>
        <v>0.24637681159420288</v>
      </c>
      <c r="BW92" s="227">
        <f>BW24/BV24-1</f>
        <v>-1.5988372093023284E-2</v>
      </c>
      <c r="BX92" s="994"/>
      <c r="BY92" s="227" t="e">
        <f>+#REF!/#REF!-1</f>
        <v>#REF!</v>
      </c>
      <c r="BZ92" s="227" t="e">
        <f>+#REF!/#REF!-1</f>
        <v>#REF!</v>
      </c>
      <c r="CA92" s="227" t="e">
        <f>+#REF!/#REF!-1</f>
        <v>#REF!</v>
      </c>
      <c r="CB92" s="227" t="e">
        <f>+#REF!/#REF!-1</f>
        <v>#REF!</v>
      </c>
      <c r="CC92" s="994"/>
      <c r="CD92" s="227">
        <f>CD24/BW24-1</f>
        <v>-3.2496307237813937E-2</v>
      </c>
      <c r="CE92" s="227">
        <f t="shared" si="431"/>
        <v>0.13435114503816803</v>
      </c>
      <c r="CF92" s="227">
        <f t="shared" si="431"/>
        <v>0.15208613728129206</v>
      </c>
      <c r="CG92" s="227">
        <f t="shared" si="431"/>
        <v>1.985981308411211E-2</v>
      </c>
      <c r="CH92" s="994"/>
      <c r="CI92" s="227">
        <f>CI24/CG24-1</f>
        <v>-3.8946162657502836E-2</v>
      </c>
      <c r="CJ92" s="227">
        <f t="shared" si="432"/>
        <v>4.8867699642431539E-2</v>
      </c>
      <c r="CK92" s="227">
        <f t="shared" si="432"/>
        <v>0.42613636363636354</v>
      </c>
      <c r="CL92" s="227">
        <f t="shared" si="432"/>
        <v>-4.302788844621519E-2</v>
      </c>
      <c r="CM92" s="994"/>
      <c r="CN92" s="227">
        <f>CN24/CL24-1</f>
        <v>1.6652789342215257E-3</v>
      </c>
      <c r="CO92" s="227">
        <f t="shared" si="433"/>
        <v>-5.9019118869492959E-2</v>
      </c>
      <c r="CP92" s="227">
        <f t="shared" si="433"/>
        <v>0.26501766784452307</v>
      </c>
      <c r="CQ92" s="227">
        <f t="shared" si="433"/>
        <v>2.7932960893854997E-3</v>
      </c>
      <c r="CR92" s="994"/>
      <c r="CS92" s="227">
        <f>CS24/CQ24-1</f>
        <v>4.0389972144846853E-2</v>
      </c>
      <c r="CT92" s="227">
        <f t="shared" si="434"/>
        <v>6.0240963855422436E-3</v>
      </c>
      <c r="CU92" s="227">
        <f t="shared" si="434"/>
        <v>0.23752495009980046</v>
      </c>
      <c r="CV92" s="227">
        <f t="shared" si="434"/>
        <v>-7.5268817204301453E-3</v>
      </c>
      <c r="CW92" s="994"/>
      <c r="CX92" s="2617">
        <f>CX24/CV24-1</f>
        <v>8.8299024918743196E-2</v>
      </c>
      <c r="CY92" s="2617">
        <f t="shared" si="435"/>
        <v>-2.9865604778497312E-3</v>
      </c>
      <c r="CZ92" s="2617">
        <f t="shared" si="435"/>
        <v>-9.1362955566649973E-2</v>
      </c>
      <c r="DA92" s="2617">
        <f t="shared" si="435"/>
        <v>1.4835164835164782E-2</v>
      </c>
      <c r="DB92" s="994"/>
      <c r="DC92" s="2617">
        <f>DC24/DA24-1</f>
        <v>0.33026529507309155</v>
      </c>
      <c r="DD92" s="2617">
        <f t="shared" si="436"/>
        <v>-1.7908017908017881E-2</v>
      </c>
      <c r="DE92" s="2617">
        <f t="shared" si="436"/>
        <v>-7.5839204309987585E-2</v>
      </c>
      <c r="DF92" s="2617">
        <f t="shared" si="436"/>
        <v>1.0313901345291532E-2</v>
      </c>
      <c r="DG92" s="994"/>
      <c r="DH92" s="2617">
        <f>DH24/DF24-1</f>
        <v>0.22902796271637826</v>
      </c>
      <c r="DI92" s="2617">
        <f t="shared" si="437"/>
        <v>-4.6948356807511304E-3</v>
      </c>
      <c r="DJ92" s="2617">
        <f t="shared" si="437"/>
        <v>-4.7895500725689377E-2</v>
      </c>
      <c r="DK92" s="2617">
        <f t="shared" si="437"/>
        <v>8.0030487804878536E-3</v>
      </c>
      <c r="DL92" s="994"/>
      <c r="DM92" s="2617">
        <f>DM24/DK24-1</f>
        <v>0.20642722117202261</v>
      </c>
      <c r="DN92" s="2617">
        <f t="shared" si="438"/>
        <v>5.9855844562832994E-2</v>
      </c>
      <c r="DO92" s="2617">
        <f t="shared" si="438"/>
        <v>-5.529272619751624E-2</v>
      </c>
      <c r="DP92" s="2617">
        <f t="shared" si="438"/>
        <v>8.7636932707355619E-3</v>
      </c>
      <c r="DQ92" s="994"/>
      <c r="DR92" s="2617">
        <f>DR24/DP24-1</f>
        <v>0.16196090598820967</v>
      </c>
      <c r="DS92" s="2617">
        <f t="shared" si="439"/>
        <v>1.5487316421895825E-2</v>
      </c>
      <c r="DT92" s="2617">
        <f t="shared" si="439"/>
        <v>1.8669471469892285E-2</v>
      </c>
      <c r="DU92" s="2617">
        <f t="shared" si="439"/>
        <v>2.065049044914824E-2</v>
      </c>
      <c r="DV92" s="994"/>
      <c r="DW92" s="2617">
        <f>DW24/DU24-1</f>
        <v>0.13909964592817392</v>
      </c>
      <c r="DX92" s="2617">
        <f t="shared" si="440"/>
        <v>6.1722912966252208E-2</v>
      </c>
      <c r="DY92" s="2617">
        <f t="shared" si="440"/>
        <v>4.0568799665412048E-2</v>
      </c>
      <c r="DZ92" s="2617">
        <f t="shared" si="440"/>
        <v>2.4919614147909996E-2</v>
      </c>
      <c r="EA92" s="994"/>
      <c r="EB92" s="2617">
        <f>EB24/DZ24-1</f>
        <v>3.6078431372549069E-2</v>
      </c>
      <c r="EC92" s="2617">
        <f t="shared" si="441"/>
        <v>9.2732778198334698E-2</v>
      </c>
      <c r="ED92" s="2617">
        <f t="shared" si="441"/>
        <v>-5.3688950467613017E-3</v>
      </c>
      <c r="EE92" s="2617">
        <f t="shared" si="441"/>
        <v>-1.462650182831271E-2</v>
      </c>
      <c r="EF92" s="994"/>
      <c r="EG92" s="2617">
        <f>EG24/EE24-1</f>
        <v>-6.9800318077398837E-2</v>
      </c>
      <c r="EH92" s="2617">
        <f t="shared" si="442"/>
        <v>0.11417173252279644</v>
      </c>
      <c r="EI92" s="2617">
        <f t="shared" si="442"/>
        <v>-3.2395566922420738E-3</v>
      </c>
      <c r="EJ92" s="2617">
        <f t="shared" si="442"/>
        <v>-6.1580567909681472E-3</v>
      </c>
      <c r="EK92" s="994"/>
      <c r="EL92" s="2617">
        <f>EL24/EJ24-1</f>
        <v>-5.0602409638554224E-2</v>
      </c>
      <c r="EM92" s="2617">
        <f t="shared" si="443"/>
        <v>8.7382160986221979E-2</v>
      </c>
      <c r="EN92" s="2617">
        <f t="shared" si="443"/>
        <v>6.1687229076358818E-2</v>
      </c>
      <c r="EO92" s="2617">
        <f t="shared" si="443"/>
        <v>2.4997883577466906E-2</v>
      </c>
      <c r="EP92" s="994"/>
      <c r="EQ92" s="2617">
        <f>EQ24/EO24-1</f>
        <v>-1.1448377499132634E-2</v>
      </c>
      <c r="ER92" s="2617">
        <f t="shared" si="444"/>
        <v>0.10014531225409073</v>
      </c>
      <c r="ES92" s="2617">
        <f t="shared" si="445"/>
        <v>5.3471242665447116E-2</v>
      </c>
      <c r="ET92" s="2617">
        <f t="shared" si="446"/>
        <v>-3.4559737204910013E-3</v>
      </c>
      <c r="EU92" s="994"/>
      <c r="EV92" s="994"/>
      <c r="EW92" s="994"/>
      <c r="EX92" s="994"/>
      <c r="EY92" s="994"/>
      <c r="EZ92" s="744"/>
      <c r="FA92" s="1851"/>
      <c r="FB92" s="1851"/>
      <c r="FC92" s="1851"/>
      <c r="FD92" s="1851"/>
      <c r="FE92" s="1851"/>
      <c r="FF92" s="1851"/>
      <c r="FG92" s="1851"/>
      <c r="FH92" s="1851"/>
      <c r="FI92" s="1851"/>
      <c r="FJ92" s="1851"/>
      <c r="FK92" s="1851"/>
      <c r="FL92" s="1851"/>
    </row>
    <row r="93" spans="1:168" s="151" customFormat="1" ht="11.25" hidden="1" customHeight="1" outlineLevel="1">
      <c r="A93" s="3759" t="s">
        <v>52</v>
      </c>
      <c r="B93" s="3015"/>
      <c r="C93" s="3015"/>
      <c r="D93" s="3015"/>
      <c r="E93" s="3015"/>
      <c r="F93" s="3017"/>
      <c r="G93" s="3015"/>
      <c r="H93" s="3015"/>
      <c r="I93" s="3015"/>
      <c r="J93" s="3015"/>
      <c r="K93" s="3017"/>
      <c r="L93" s="3015"/>
      <c r="M93" s="3015"/>
      <c r="N93" s="3015"/>
      <c r="O93" s="3015"/>
      <c r="P93" s="3017"/>
      <c r="Q93" s="3015"/>
      <c r="R93" s="3015">
        <f t="shared" ref="R93:T94" si="447">R26/Q26-1</f>
        <v>0.26349013373234786</v>
      </c>
      <c r="S93" s="3015">
        <f t="shared" si="447"/>
        <v>0.26760667628881252</v>
      </c>
      <c r="T93" s="3015">
        <f t="shared" si="447"/>
        <v>0.13491182996613338</v>
      </c>
      <c r="U93" s="3017"/>
      <c r="V93" s="3015">
        <f>V26/T26-1</f>
        <v>0.97352918478121042</v>
      </c>
      <c r="W93" s="3015">
        <f t="shared" ref="W93:Y94" si="448">W26/V26-1</f>
        <v>0.16029041802990229</v>
      </c>
      <c r="X93" s="3015">
        <f t="shared" si="448"/>
        <v>0.76372256049610132</v>
      </c>
      <c r="Y93" s="3015">
        <f t="shared" si="448"/>
        <v>0.11397105658742923</v>
      </c>
      <c r="Z93" s="3017"/>
      <c r="AA93" s="3015">
        <f>AA26/Y26-1</f>
        <v>3.4381807889575455E-2</v>
      </c>
      <c r="AB93" s="3015">
        <f t="shared" ref="AB93:AD94" si="449">AB26/AA26-1</f>
        <v>0.12147461056262521</v>
      </c>
      <c r="AC93" s="3015">
        <f t="shared" si="449"/>
        <v>0.14195300600856675</v>
      </c>
      <c r="AD93" s="3015">
        <f t="shared" si="449"/>
        <v>0.1866701773165973</v>
      </c>
      <c r="AE93" s="3017"/>
      <c r="AF93" s="3015">
        <f>AF26/AD26-1</f>
        <v>-2.3224684729906131E-2</v>
      </c>
      <c r="AG93" s="3015">
        <f t="shared" ref="AG93:AI94" si="450">AG26/AF26-1</f>
        <v>0.16073702790666489</v>
      </c>
      <c r="AH93" s="3015">
        <f t="shared" si="450"/>
        <v>0.26870857421511563</v>
      </c>
      <c r="AI93" s="3015">
        <f t="shared" si="450"/>
        <v>0.22407632649655218</v>
      </c>
      <c r="AJ93" s="3017"/>
      <c r="AK93" s="3015">
        <f>AK26/AI26-1</f>
        <v>0.25853178865953841</v>
      </c>
      <c r="AL93" s="3015">
        <f t="shared" ref="AL93:AN94" si="451">AL26/AK26-1</f>
        <v>7.3354453235284334E-2</v>
      </c>
      <c r="AM93" s="3015">
        <f t="shared" si="451"/>
        <v>8.8474084314484225E-2</v>
      </c>
      <c r="AN93" s="3015">
        <f t="shared" si="451"/>
        <v>0.22601202928502873</v>
      </c>
      <c r="AO93" s="3017"/>
      <c r="AP93" s="3015">
        <f>AP26/AN26-1</f>
        <v>0.11928881656601309</v>
      </c>
      <c r="AQ93" s="3015">
        <f t="shared" ref="AQ93:AS94" si="452">AQ26/AP26-1</f>
        <v>0.24372162072231185</v>
      </c>
      <c r="AR93" s="3015">
        <f t="shared" si="452"/>
        <v>3.3085989657335446E-2</v>
      </c>
      <c r="AS93" s="3015">
        <f t="shared" si="452"/>
        <v>0.14455292015879295</v>
      </c>
      <c r="AT93" s="3017"/>
      <c r="AU93" s="3015">
        <f>AU26/AS26-1</f>
        <v>7.1043425289357032E-2</v>
      </c>
      <c r="AV93" s="3015">
        <f t="shared" ref="AV93:AX94" si="453">AV26/AU26-1</f>
        <v>7.3201726446614268E-2</v>
      </c>
      <c r="AW93" s="3015">
        <f t="shared" si="453"/>
        <v>4.8533192815415793E-2</v>
      </c>
      <c r="AX93" s="3015">
        <f t="shared" si="453"/>
        <v>-3.9494213434305703E-2</v>
      </c>
      <c r="AY93" s="3017"/>
      <c r="AZ93" s="3015">
        <f>AZ26/AX26-1</f>
        <v>-7.5993779145221874E-2</v>
      </c>
      <c r="BA93" s="3015">
        <f t="shared" ref="BA93:BC94" si="454">BA26/AZ26-1</f>
        <v>1.1840419881907982E-2</v>
      </c>
      <c r="BB93" s="3015">
        <f t="shared" si="454"/>
        <v>6.7630501008604238E-2</v>
      </c>
      <c r="BC93" s="3015">
        <f t="shared" si="454"/>
        <v>7.8763607356226562E-2</v>
      </c>
      <c r="BD93" s="3017"/>
      <c r="BE93" s="3015">
        <f>BE26/BC26-1</f>
        <v>2.8208431979348525E-2</v>
      </c>
      <c r="BF93" s="3015">
        <f t="shared" ref="BF93:BH94" si="455">BF26/BE26-1</f>
        <v>8.4193373166757235E-2</v>
      </c>
      <c r="BG93" s="3015">
        <f t="shared" si="455"/>
        <v>9.9699398797595151E-2</v>
      </c>
      <c r="BH93" s="3015">
        <f t="shared" si="455"/>
        <v>0.16492027334851933</v>
      </c>
      <c r="BI93" s="3017"/>
      <c r="BJ93" s="3015">
        <f>BJ26/BH26-1</f>
        <v>0.13101290574892444</v>
      </c>
      <c r="BK93" s="3015">
        <f t="shared" ref="BK93:BM94" si="456">BK26/BJ26-1</f>
        <v>4.5643153526971014E-2</v>
      </c>
      <c r="BL93" s="3015">
        <f t="shared" si="456"/>
        <v>0.10978835978835977</v>
      </c>
      <c r="BM93" s="3015">
        <f t="shared" si="456"/>
        <v>2.8605482717520836E-2</v>
      </c>
      <c r="BN93" s="3017"/>
      <c r="BO93" s="3015">
        <v>0.22441217150760728</v>
      </c>
      <c r="BP93" s="3015">
        <v>0.35350529100529093</v>
      </c>
      <c r="BQ93" s="3015">
        <v>0.49135876042908233</v>
      </c>
      <c r="BR93" s="3016">
        <v>0.44351100811123989</v>
      </c>
      <c r="BS93" s="3405">
        <v>0.3849418421879911</v>
      </c>
      <c r="BT93" s="3015">
        <f>BT26/BM26-1</f>
        <v>2.5782155272305873E-2</v>
      </c>
      <c r="BU93" s="3015">
        <f t="shared" ref="BU93:BW94" si="457">BU26/BT26-1</f>
        <v>2.4004518497599658E-2</v>
      </c>
      <c r="BV93" s="3015">
        <f t="shared" si="457"/>
        <v>8.2735797021511237E-2</v>
      </c>
      <c r="BW93" s="3015">
        <f t="shared" si="457"/>
        <v>9.4243504839531367E-2</v>
      </c>
      <c r="BX93" s="3017"/>
      <c r="BY93" s="3015">
        <v>0.28438294267156161</v>
      </c>
      <c r="BZ93" s="3015">
        <v>0.22990471536770096</v>
      </c>
      <c r="CA93" s="3015">
        <v>3.3566433566433629E-2</v>
      </c>
      <c r="CB93" s="3015">
        <v>0.13726670680313058</v>
      </c>
      <c r="CC93" s="3017">
        <v>0.15889229372375446</v>
      </c>
      <c r="CD93" s="3015">
        <f>CD26/BW26-1</f>
        <v>-5.3305400372439471E-2</v>
      </c>
      <c r="CE93" s="3015">
        <f t="shared" ref="CE93:CG94" si="458">CE26/CD26-1</f>
        <v>9.3434964347184568E-2</v>
      </c>
      <c r="CF93" s="3015">
        <f t="shared" si="458"/>
        <v>3.0807285810658946E-2</v>
      </c>
      <c r="CG93" s="3015">
        <f t="shared" si="458"/>
        <v>9.6204188481675335E-2</v>
      </c>
      <c r="CH93" s="3017"/>
      <c r="CI93" s="3015">
        <f>CI26/CG26-1</f>
        <v>6.3482587064676688E-2</v>
      </c>
      <c r="CJ93" s="3015">
        <f t="shared" ref="CJ93:CL94" si="459">CJ26/CI26-1</f>
        <v>4.4723053892215647E-2</v>
      </c>
      <c r="CK93" s="3015">
        <f t="shared" si="459"/>
        <v>9.3319004119648996E-2</v>
      </c>
      <c r="CL93" s="3015">
        <f t="shared" si="459"/>
        <v>0.11123853211009171</v>
      </c>
      <c r="CM93" s="3017"/>
      <c r="CN93" s="3015">
        <f>CN26/CL26-1</f>
        <v>-4.8356184579094741E-2</v>
      </c>
      <c r="CO93" s="3015">
        <f t="shared" ref="CO93:CQ94" si="460">CO26/CN26-1</f>
        <v>-2.1068938807126236E-2</v>
      </c>
      <c r="CP93" s="3015">
        <f t="shared" si="460"/>
        <v>9.6692514638392124E-2</v>
      </c>
      <c r="CQ93" s="3015">
        <f t="shared" si="460"/>
        <v>0.11991341991341997</v>
      </c>
      <c r="CR93" s="3017"/>
      <c r="CS93" s="3015">
        <f>CS26/CQ26-1</f>
        <v>-6.3651591289782261E-2</v>
      </c>
      <c r="CT93" s="3015">
        <f t="shared" ref="CT93:CV94" si="461">CT26/CS26-1</f>
        <v>1.8577129489472988E-2</v>
      </c>
      <c r="CU93" s="3015">
        <f t="shared" si="461"/>
        <v>7.8762496622534428E-2</v>
      </c>
      <c r="CV93" s="3015">
        <f t="shared" si="461"/>
        <v>9.7557921102066292E-2</v>
      </c>
      <c r="CW93" s="3413"/>
      <c r="CX93" s="3412">
        <f>CX26/CV26-1</f>
        <v>-4.3016887266088544E-2</v>
      </c>
      <c r="CY93" s="3412">
        <f t="shared" ref="CY93:DA94" si="462">CY26/CX26-1</f>
        <v>0.3717658280672469</v>
      </c>
      <c r="CZ93" s="3412">
        <f t="shared" si="462"/>
        <v>-0.23146458061712294</v>
      </c>
      <c r="DA93" s="3412">
        <f t="shared" si="462"/>
        <v>0.17529970594888034</v>
      </c>
      <c r="DB93" s="3413"/>
      <c r="DC93" s="3412">
        <f>DC26/DA26-1</f>
        <v>-3.3294842186297191E-2</v>
      </c>
      <c r="DD93" s="3412">
        <f t="shared" ref="DD93:DF94" si="463">DD26/DC26-1</f>
        <v>0.5656977901652398</v>
      </c>
      <c r="DE93" s="3412">
        <f t="shared" si="463"/>
        <v>-0.31120859558776781</v>
      </c>
      <c r="DF93" s="3412">
        <f t="shared" si="463"/>
        <v>0.21257153405944251</v>
      </c>
      <c r="DG93" s="3413"/>
      <c r="DH93" s="3412">
        <f>DH26/DF26-1</f>
        <v>4.4302352135190626E-2</v>
      </c>
      <c r="DI93" s="3412">
        <f t="shared" ref="DI93:DK94" si="464">DI26/DH26-1</f>
        <v>-9.118740432976169E-2</v>
      </c>
      <c r="DJ93" s="3412">
        <f t="shared" si="464"/>
        <v>0.10314404876483807</v>
      </c>
      <c r="DK93" s="3412">
        <f t="shared" si="464"/>
        <v>0.1479569579758615</v>
      </c>
      <c r="DL93" s="3413"/>
      <c r="DM93" s="3412">
        <f>DM26/DK26-1</f>
        <v>-0.10063968585724237</v>
      </c>
      <c r="DN93" s="3412">
        <f t="shared" ref="DN93:DP94" si="465">DN26/DM26-1</f>
        <v>-5.9084507042253542E-2</v>
      </c>
      <c r="DO93" s="3412">
        <f t="shared" si="465"/>
        <v>3.6075144076042287E-2</v>
      </c>
      <c r="DP93" s="3412">
        <f t="shared" si="465"/>
        <v>9.5644007801777065E-2</v>
      </c>
      <c r="DQ93" s="3413"/>
      <c r="DR93" s="3412">
        <f>DR26/DP26-1</f>
        <v>-2.5911518428166413E-2</v>
      </c>
      <c r="DS93" s="3412">
        <f t="shared" ref="DS93:DU94" si="466">DS26/DR26-1</f>
        <v>0.10274807093542715</v>
      </c>
      <c r="DT93" s="3412">
        <f t="shared" si="466"/>
        <v>1.0680088386938458E-2</v>
      </c>
      <c r="DU93" s="3412">
        <f t="shared" si="466"/>
        <v>0.24207457791813436</v>
      </c>
      <c r="DV93" s="3413"/>
      <c r="DW93" s="3412">
        <f>DW26/DU26-1</f>
        <v>-0.10434187365538827</v>
      </c>
      <c r="DX93" s="3412">
        <f t="shared" ref="DX93:DZ94" si="467">DX26/DW26-1</f>
        <v>9.8809913746042088E-2</v>
      </c>
      <c r="DY93" s="3412">
        <f t="shared" si="467"/>
        <v>3.3336645468998505E-2</v>
      </c>
      <c r="DZ93" s="3412">
        <f t="shared" si="467"/>
        <v>8.3994422808788993E-2</v>
      </c>
      <c r="EA93" s="3413"/>
      <c r="EB93" s="3412">
        <f>EB26/DZ26-1</f>
        <v>-3.4862059788876021E-2</v>
      </c>
      <c r="EC93" s="3412">
        <f t="shared" ref="EC93:EE94" si="468">EC26/EB26-1</f>
        <v>-4.1819852941176516E-2</v>
      </c>
      <c r="ED93" s="3412">
        <f t="shared" si="468"/>
        <v>6.0959232613908787E-2</v>
      </c>
      <c r="EE93" s="3412">
        <f t="shared" si="468"/>
        <v>0.13186564802676193</v>
      </c>
      <c r="EF93" s="3413"/>
      <c r="EG93" s="3412">
        <f>EG26/EE26-1</f>
        <v>-0.14709641345155366</v>
      </c>
      <c r="EH93" s="3412">
        <f t="shared" ref="EH93:EJ94" si="469">EH26/EG26-1</f>
        <v>2.1306485600562031E-2</v>
      </c>
      <c r="EI93" s="3412">
        <f t="shared" si="469"/>
        <v>6.7079321412196302E-2</v>
      </c>
      <c r="EJ93" s="3412">
        <f t="shared" si="469"/>
        <v>6.9221845056503195E-2</v>
      </c>
      <c r="EK93" s="3413"/>
      <c r="EL93" s="3412">
        <f>EL26/EJ26-1</f>
        <v>-6.498151422600873E-2</v>
      </c>
      <c r="EM93" s="3412">
        <f t="shared" ref="EM93:EO94" si="470">EM26/EL26-1</f>
        <v>0.12253406111660281</v>
      </c>
      <c r="EN93" s="3412">
        <f t="shared" si="470"/>
        <v>0.13902289608698992</v>
      </c>
      <c r="EO93" s="3412">
        <f t="shared" si="470"/>
        <v>-5.1380452901696794E-2</v>
      </c>
      <c r="EP93" s="3413"/>
      <c r="EQ93" s="3412">
        <f>EQ26/EO26-1</f>
        <v>-6.1269030314640482E-2</v>
      </c>
      <c r="ER93" s="3412">
        <f t="shared" ref="ER93:ER94" si="471">ER26/EQ26-1</f>
        <v>6.0605362021952436E-2</v>
      </c>
      <c r="ES93" s="3412">
        <f t="shared" ref="ES93:ES94" si="472">ES26/ER26-1</f>
        <v>5.83842014504794E-2</v>
      </c>
      <c r="ET93" s="3412">
        <f t="shared" ref="ET93:ET94" si="473">ET26/ES26-1</f>
        <v>7.0772041706861799E-2</v>
      </c>
      <c r="EU93" s="3413"/>
      <c r="EV93" s="3413"/>
      <c r="EW93" s="3413"/>
      <c r="EX93" s="3413"/>
      <c r="EY93" s="3413"/>
      <c r="EZ93" s="624"/>
      <c r="FA93" s="4266"/>
      <c r="FB93" s="4266"/>
      <c r="FC93" s="4266"/>
      <c r="FD93" s="4266"/>
      <c r="FE93" s="4266"/>
      <c r="FF93" s="4266"/>
      <c r="FG93" s="4266"/>
      <c r="FH93" s="4266"/>
      <c r="FI93" s="4266"/>
      <c r="FJ93" s="4266"/>
      <c r="FK93" s="4266"/>
      <c r="FL93" s="4266"/>
    </row>
    <row r="94" spans="1:168" s="151" customFormat="1" ht="11.25" hidden="1" customHeight="1" outlineLevel="1">
      <c r="A94" s="3759" t="s">
        <v>627</v>
      </c>
      <c r="B94" s="3015"/>
      <c r="C94" s="3015"/>
      <c r="D94" s="3015"/>
      <c r="E94" s="3015"/>
      <c r="F94" s="3017"/>
      <c r="G94" s="3015"/>
      <c r="H94" s="3015"/>
      <c r="I94" s="3015"/>
      <c r="J94" s="3015"/>
      <c r="K94" s="3017"/>
      <c r="L94" s="3015"/>
      <c r="M94" s="3015"/>
      <c r="N94" s="3015"/>
      <c r="O94" s="3015"/>
      <c r="P94" s="3017"/>
      <c r="Q94" s="3015"/>
      <c r="R94" s="3015">
        <f t="shared" si="447"/>
        <v>1.0449135266653533</v>
      </c>
      <c r="S94" s="3015">
        <f t="shared" si="447"/>
        <v>0.83017654436119193</v>
      </c>
      <c r="T94" s="3015">
        <f t="shared" si="447"/>
        <v>0.46274137718974551</v>
      </c>
      <c r="U94" s="3017"/>
      <c r="V94" s="3015">
        <f>V27/T27-1</f>
        <v>1.7501711732273106E-2</v>
      </c>
      <c r="W94" s="3015">
        <f t="shared" si="448"/>
        <v>0.23703161523386762</v>
      </c>
      <c r="X94" s="3015">
        <f t="shared" si="448"/>
        <v>-0.36482669109787713</v>
      </c>
      <c r="Y94" s="3015">
        <f t="shared" si="448"/>
        <v>0.29842538614099245</v>
      </c>
      <c r="Z94" s="3017"/>
      <c r="AA94" s="3015">
        <f>AA27/Y27-1</f>
        <v>0.79734546043648469</v>
      </c>
      <c r="AB94" s="3015">
        <f t="shared" si="449"/>
        <v>0.1006612027838758</v>
      </c>
      <c r="AC94" s="3015">
        <f t="shared" si="449"/>
        <v>0.24072579229986313</v>
      </c>
      <c r="AD94" s="3015">
        <f t="shared" si="449"/>
        <v>0.42754299615297597</v>
      </c>
      <c r="AE94" s="3017"/>
      <c r="AF94" s="3015">
        <f>AF27/AD27-1</f>
        <v>0.46225714087563086</v>
      </c>
      <c r="AG94" s="3015">
        <f t="shared" si="450"/>
        <v>7.4368182126159699E-2</v>
      </c>
      <c r="AH94" s="3015">
        <f t="shared" si="450"/>
        <v>0.1124095539607064</v>
      </c>
      <c r="AI94" s="3015">
        <f t="shared" si="450"/>
        <v>0.24655357152980817</v>
      </c>
      <c r="AJ94" s="3017"/>
      <c r="AK94" s="3015">
        <f>AK27/AI27-1</f>
        <v>0.12591565096113078</v>
      </c>
      <c r="AL94" s="3015">
        <f t="shared" si="451"/>
        <v>9.7849869193306516E-2</v>
      </c>
      <c r="AM94" s="3015">
        <f t="shared" si="451"/>
        <v>0.14221606824860267</v>
      </c>
      <c r="AN94" s="3015">
        <f t="shared" si="451"/>
        <v>0.13879383377123777</v>
      </c>
      <c r="AO94" s="3017"/>
      <c r="AP94" s="3015">
        <f>AP27/AN27-1</f>
        <v>0.15143872207461118</v>
      </c>
      <c r="AQ94" s="3015">
        <f t="shared" si="452"/>
        <v>-9.547423905326613E-2</v>
      </c>
      <c r="AR94" s="3015">
        <f t="shared" si="452"/>
        <v>0.19302834019092607</v>
      </c>
      <c r="AS94" s="3015">
        <f t="shared" si="452"/>
        <v>9.3256601537216044E-2</v>
      </c>
      <c r="AT94" s="3017"/>
      <c r="AU94" s="3015">
        <f>AU27/AS27-1</f>
        <v>7.3227257772773946E-2</v>
      </c>
      <c r="AV94" s="3015">
        <f t="shared" si="453"/>
        <v>2.0520813459791398E-2</v>
      </c>
      <c r="AW94" s="3015">
        <f t="shared" si="453"/>
        <v>4.4107442180276069E-2</v>
      </c>
      <c r="AX94" s="3015">
        <f t="shared" si="453"/>
        <v>0.1290625863016035</v>
      </c>
      <c r="AY94" s="3017"/>
      <c r="AZ94" s="3015">
        <f>AZ27/AX27-1</f>
        <v>1.2572277019079037E-2</v>
      </c>
      <c r="BA94" s="3015">
        <f t="shared" si="454"/>
        <v>-5.1481452183621546E-3</v>
      </c>
      <c r="BB94" s="3015">
        <f t="shared" si="454"/>
        <v>0.1066357008454053</v>
      </c>
      <c r="BC94" s="3015">
        <f t="shared" si="454"/>
        <v>0.1963936272916571</v>
      </c>
      <c r="BD94" s="3017"/>
      <c r="BE94" s="3015">
        <f>BE27/BC27-1</f>
        <v>2.8283144221463719E-3</v>
      </c>
      <c r="BF94" s="3015">
        <f t="shared" si="455"/>
        <v>-4.9437299035369753E-2</v>
      </c>
      <c r="BG94" s="3015">
        <f t="shared" si="455"/>
        <v>7.6955602536997958E-2</v>
      </c>
      <c r="BH94" s="3015">
        <f t="shared" si="455"/>
        <v>0.17078916372202602</v>
      </c>
      <c r="BI94" s="3017"/>
      <c r="BJ94" s="3015">
        <f>BJ27/BH27-1</f>
        <v>-6.2374245472836987E-2</v>
      </c>
      <c r="BK94" s="3015">
        <f t="shared" si="456"/>
        <v>3.0400572246065849E-2</v>
      </c>
      <c r="BL94" s="3015">
        <f t="shared" si="456"/>
        <v>6.1437001041305006E-2</v>
      </c>
      <c r="BM94" s="3015">
        <f t="shared" si="456"/>
        <v>0.14682799215173326</v>
      </c>
      <c r="BN94" s="3017"/>
      <c r="BO94" s="3015">
        <v>0.21208869814020037</v>
      </c>
      <c r="BP94" s="3015">
        <v>0.11176674765706363</v>
      </c>
      <c r="BQ94" s="3015">
        <v>-0.10529758011772405</v>
      </c>
      <c r="BR94" s="3016">
        <v>-3.2221271742229773E-2</v>
      </c>
      <c r="BS94" s="3405">
        <v>3.9209279529488716E-2</v>
      </c>
      <c r="BT94" s="3015">
        <f>BT27/BM27-1</f>
        <v>-3.3646991730824083E-2</v>
      </c>
      <c r="BU94" s="3015">
        <f t="shared" si="457"/>
        <v>1.3868397757450523E-2</v>
      </c>
      <c r="BV94" s="3015">
        <f t="shared" si="457"/>
        <v>-5.0349243306169966E-2</v>
      </c>
      <c r="BW94" s="3015">
        <f t="shared" si="457"/>
        <v>0.14832975789151082</v>
      </c>
      <c r="BX94" s="3017"/>
      <c r="BY94" s="3015">
        <v>2.5966361758630763E-2</v>
      </c>
      <c r="BZ94" s="3015">
        <v>-2.4976584452076178E-2</v>
      </c>
      <c r="CA94" s="3015">
        <v>0.25877192982456143</v>
      </c>
      <c r="CB94" s="3015">
        <v>0.15556865055981151</v>
      </c>
      <c r="CC94" s="3017">
        <v>9.7783367395063658E-2</v>
      </c>
      <c r="CD94" s="3015">
        <f>CD27/BW27-1</f>
        <v>2.6688017080322979E-4</v>
      </c>
      <c r="CE94" s="3015">
        <f t="shared" si="458"/>
        <v>-7.5506937033084309E-2</v>
      </c>
      <c r="CF94" s="3015">
        <f t="shared" si="458"/>
        <v>8.5425685425685405E-2</v>
      </c>
      <c r="CG94" s="3015">
        <f t="shared" si="458"/>
        <v>0.17761233714437652</v>
      </c>
      <c r="CH94" s="3017"/>
      <c r="CI94" s="3015">
        <f>CI27/CG27-1</f>
        <v>-7.0896364867916062E-2</v>
      </c>
      <c r="CJ94" s="3015">
        <f t="shared" si="459"/>
        <v>3.4750911300121423E-2</v>
      </c>
      <c r="CK94" s="3015">
        <f t="shared" si="459"/>
        <v>-0.12541099107562237</v>
      </c>
      <c r="CL94" s="3015">
        <f t="shared" si="459"/>
        <v>0.18125671321160053</v>
      </c>
      <c r="CM94" s="3017"/>
      <c r="CN94" s="3015">
        <f>CN27/CL27-1</f>
        <v>1.0911570811548144E-2</v>
      </c>
      <c r="CO94" s="3015">
        <f t="shared" si="460"/>
        <v>8.5001124353496715E-2</v>
      </c>
      <c r="CP94" s="3015">
        <f t="shared" si="460"/>
        <v>-2.4248704663212384E-2</v>
      </c>
      <c r="CQ94" s="3015">
        <f t="shared" si="460"/>
        <v>0.1427357689039932</v>
      </c>
      <c r="CR94" s="3017"/>
      <c r="CS94" s="3015">
        <f>CS27/CQ27-1</f>
        <v>-7.0631970260223165E-3</v>
      </c>
      <c r="CT94" s="3015">
        <f t="shared" si="461"/>
        <v>0.11718457506551849</v>
      </c>
      <c r="CU94" s="3015">
        <f t="shared" si="461"/>
        <v>-3.3679624664879393E-2</v>
      </c>
      <c r="CV94" s="3015">
        <f t="shared" si="461"/>
        <v>0.15120513265129176</v>
      </c>
      <c r="CW94" s="3413"/>
      <c r="CX94" s="3412">
        <f>CX27/CV27-1</f>
        <v>-1.0694381683988508E-2</v>
      </c>
      <c r="CY94" s="3412">
        <f t="shared" si="462"/>
        <v>-0.37088915956151036</v>
      </c>
      <c r="CZ94" s="3412">
        <f t="shared" si="462"/>
        <v>0.88334946757018384</v>
      </c>
      <c r="DA94" s="3412">
        <f t="shared" si="462"/>
        <v>-1.5163197121562555E-2</v>
      </c>
      <c r="DB94" s="3413"/>
      <c r="DC94" s="3412">
        <f>DC27/DA27-1</f>
        <v>-4.0448851774530503E-3</v>
      </c>
      <c r="DD94" s="3412">
        <f t="shared" si="463"/>
        <v>-0.60107428271976948</v>
      </c>
      <c r="DE94" s="3412">
        <f t="shared" si="463"/>
        <v>1.8325123152709359</v>
      </c>
      <c r="DF94" s="3412">
        <f t="shared" si="463"/>
        <v>-4.6840579710144881E-2</v>
      </c>
      <c r="DG94" s="3413"/>
      <c r="DH94" s="3412">
        <f>DH27/DF27-1</f>
        <v>-0.19620484126018733</v>
      </c>
      <c r="DI94" s="3412">
        <f t="shared" si="464"/>
        <v>0.38922518159806296</v>
      </c>
      <c r="DJ94" s="3412">
        <f t="shared" si="464"/>
        <v>-3.2679738562091387E-4</v>
      </c>
      <c r="DK94" s="3412">
        <f t="shared" si="464"/>
        <v>9.6981584395772202E-3</v>
      </c>
      <c r="DL94" s="3413"/>
      <c r="DM94" s="3412">
        <f>DM27/DK27-1</f>
        <v>-0.13911072739045971</v>
      </c>
      <c r="DN94" s="3412">
        <f t="shared" si="465"/>
        <v>-0.19982449542434499</v>
      </c>
      <c r="DO94" s="3412">
        <f t="shared" si="465"/>
        <v>0.75669747767507434</v>
      </c>
      <c r="DP94" s="3412">
        <f t="shared" si="465"/>
        <v>0.39579060019620083</v>
      </c>
      <c r="DQ94" s="3413"/>
      <c r="DR94" s="3412">
        <f>DR27/DP27-1</f>
        <v>5.02204331991567E-2</v>
      </c>
      <c r="DS94" s="3412">
        <f t="shared" si="466"/>
        <v>0.17789134270243956</v>
      </c>
      <c r="DT94" s="3412">
        <f t="shared" si="466"/>
        <v>8.6255875213057109E-2</v>
      </c>
      <c r="DU94" s="3412">
        <f t="shared" si="466"/>
        <v>4.060672340830207E-2</v>
      </c>
      <c r="DV94" s="3413"/>
      <c r="DW94" s="3412">
        <f>DW27/DU27-1</f>
        <v>-8.1836874571624363E-2</v>
      </c>
      <c r="DX94" s="3412">
        <f t="shared" si="467"/>
        <v>-3.1900069672539111E-2</v>
      </c>
      <c r="DY94" s="3412">
        <f t="shared" si="467"/>
        <v>-0.11915899861203927</v>
      </c>
      <c r="DZ94" s="3412">
        <f t="shared" si="467"/>
        <v>5.9819083746717183E-2</v>
      </c>
      <c r="EA94" s="3413"/>
      <c r="EB94" s="3412">
        <f>EB27/DZ27-1</f>
        <v>-4.1024229074889895E-2</v>
      </c>
      <c r="EC94" s="3412">
        <f t="shared" si="468"/>
        <v>0.25397645707723226</v>
      </c>
      <c r="ED94" s="3412">
        <f t="shared" si="468"/>
        <v>-2.2666910889275527E-2</v>
      </c>
      <c r="EE94" s="3412">
        <f t="shared" si="468"/>
        <v>0.11029377313404853</v>
      </c>
      <c r="EF94" s="3413"/>
      <c r="EG94" s="3412">
        <f>EG27/EE27-1</f>
        <v>7.4903996286449726E-2</v>
      </c>
      <c r="EH94" s="3412">
        <f t="shared" si="469"/>
        <v>7.6672424623115631E-2</v>
      </c>
      <c r="EI94" s="3412">
        <f t="shared" si="469"/>
        <v>3.9963536918869558E-2</v>
      </c>
      <c r="EJ94" s="3412">
        <f t="shared" si="469"/>
        <v>8.5936678237088504E-2</v>
      </c>
      <c r="EK94" s="3413"/>
      <c r="EL94" s="3412">
        <f>EL27/EJ27-1</f>
        <v>-1.181712514529254E-2</v>
      </c>
      <c r="EM94" s="3412">
        <f t="shared" si="470"/>
        <v>2.1727765797556087E-2</v>
      </c>
      <c r="EN94" s="3412">
        <f t="shared" si="470"/>
        <v>-1.3750759489622455E-3</v>
      </c>
      <c r="EO94" s="3412">
        <f t="shared" si="470"/>
        <v>0.19570085919296076</v>
      </c>
      <c r="EP94" s="3413"/>
      <c r="EQ94" s="3412">
        <f>EQ27/EO27-1</f>
        <v>-5.757378260287882E-3</v>
      </c>
      <c r="ER94" s="3412">
        <f t="shared" si="471"/>
        <v>4.8624655244160708E-2</v>
      </c>
      <c r="ES94" s="3412">
        <f t="shared" si="472"/>
        <v>3.0376797936839006E-2</v>
      </c>
      <c r="ET94" s="3412">
        <f t="shared" si="473"/>
        <v>8.6582607718933557E-2</v>
      </c>
      <c r="EU94" s="3413"/>
      <c r="EV94" s="3413"/>
      <c r="EW94" s="3413"/>
      <c r="EX94" s="3413"/>
      <c r="EY94" s="3413"/>
      <c r="EZ94" s="624"/>
      <c r="FA94" s="4266"/>
      <c r="FB94" s="4266"/>
      <c r="FC94" s="4266"/>
      <c r="FD94" s="4266"/>
      <c r="FE94" s="4266"/>
      <c r="FF94" s="4266"/>
      <c r="FG94" s="4266"/>
      <c r="FH94" s="4266"/>
      <c r="FI94" s="4266"/>
      <c r="FJ94" s="4266"/>
      <c r="FK94" s="4266"/>
      <c r="FL94" s="4266"/>
    </row>
    <row r="95" spans="1:168" s="31" customFormat="1" ht="11.25" hidden="1" customHeight="1" outlineLevel="1">
      <c r="A95" s="4235" t="s">
        <v>54</v>
      </c>
      <c r="B95" s="181"/>
      <c r="C95" s="181"/>
      <c r="D95" s="181"/>
      <c r="E95" s="181"/>
      <c r="F95" s="4236"/>
      <c r="G95" s="181"/>
      <c r="H95" s="181"/>
      <c r="I95" s="181"/>
      <c r="J95" s="181"/>
      <c r="K95" s="4236"/>
      <c r="L95" s="4237"/>
      <c r="M95" s="4237"/>
      <c r="N95" s="4237"/>
      <c r="O95" s="4237"/>
      <c r="P95" s="4236"/>
      <c r="Q95" s="181"/>
      <c r="R95" s="181"/>
      <c r="S95" s="181"/>
      <c r="T95" s="181"/>
      <c r="U95" s="4238"/>
      <c r="V95" s="181">
        <f>V57/T57-1</f>
        <v>0.44548375423552256</v>
      </c>
      <c r="W95" s="181">
        <f>W57/V57-1</f>
        <v>0.14541261436222652</v>
      </c>
      <c r="X95" s="181">
        <f>X57/W57-1</f>
        <v>0.10218828235730482</v>
      </c>
      <c r="Y95" s="181">
        <f>Y57/X57-1</f>
        <v>0.13735540666406232</v>
      </c>
      <c r="Z95" s="4238"/>
      <c r="AA95" s="181">
        <f>AA57/Y57-1</f>
        <v>0.34974877557813389</v>
      </c>
      <c r="AB95" s="181">
        <f>AB57/AA57-1</f>
        <v>8.6937460611967055E-2</v>
      </c>
      <c r="AC95" s="181">
        <f>AC57/AB57-1</f>
        <v>0.15751167706829095</v>
      </c>
      <c r="AD95" s="181">
        <f>AD57/AC57-1</f>
        <v>0.3228340577252744</v>
      </c>
      <c r="AE95" s="4238"/>
      <c r="AF95" s="181">
        <f>AF57/AD57-1</f>
        <v>0.28855036878151608</v>
      </c>
      <c r="AG95" s="181">
        <f>AG57/AF57-1</f>
        <v>7.6831954967500948E-2</v>
      </c>
      <c r="AH95" s="181">
        <f>AH57/AG57-1</f>
        <v>0.1394862407091948</v>
      </c>
      <c r="AI95" s="181">
        <f>AI57/AH57-1</f>
        <v>0.21047010295169866</v>
      </c>
      <c r="AJ95" s="4238"/>
      <c r="AK95" s="181">
        <f>AK57/AI57-1</f>
        <v>0.23198119317183385</v>
      </c>
      <c r="AL95" s="181">
        <f>AL57/AK57-1</f>
        <v>4.8099740554062853E-2</v>
      </c>
      <c r="AM95" s="181">
        <f>AM57/AL57-1</f>
        <v>0.12615751535581476</v>
      </c>
      <c r="AN95" s="181">
        <f>AN57/AM57-1</f>
        <v>0.16983844347296295</v>
      </c>
      <c r="AO95" s="4238"/>
      <c r="AP95" s="181">
        <f>AP57/AN57-1</f>
        <v>0.16311560380879198</v>
      </c>
      <c r="AQ95" s="181">
        <f>AQ57/AP57-1</f>
        <v>-2.2926620702539702E-2</v>
      </c>
      <c r="AR95" s="181">
        <f>AR57/AQ57-1</f>
        <v>0.11973031498890929</v>
      </c>
      <c r="AS95" s="181">
        <f>AS57/AR57-1</f>
        <v>0.12174909225504527</v>
      </c>
      <c r="AT95" s="4238"/>
      <c r="AU95" s="181">
        <f>AU57/AS57-1</f>
        <v>9.4924518084788634E-2</v>
      </c>
      <c r="AV95" s="181">
        <f>AV57/AU57-1</f>
        <v>3.6426445941786234E-2</v>
      </c>
      <c r="AW95" s="181">
        <f>AW57/AV57-1</f>
        <v>7.4298012618915221E-2</v>
      </c>
      <c r="AX95" s="181">
        <f>AX57/AW57-1</f>
        <v>5.1033022686232998E-2</v>
      </c>
      <c r="AY95" s="4238"/>
      <c r="AZ95" s="181">
        <f>AZ57/AX57-1</f>
        <v>1.2800734314261764E-2</v>
      </c>
      <c r="BA95" s="181">
        <f>BA57/AZ57-1</f>
        <v>-7.9456505801202004E-3</v>
      </c>
      <c r="BB95" s="181">
        <f>BB57/BA57-1</f>
        <v>8.8818402772727678E-2</v>
      </c>
      <c r="BC95" s="181">
        <f>BC57/BB57-1</f>
        <v>0.12729667984178317</v>
      </c>
      <c r="BD95" s="4238"/>
      <c r="BE95" s="181">
        <f>BE57/BC57-1</f>
        <v>-3.9914003784833341E-3</v>
      </c>
      <c r="BF95" s="181">
        <f>BF57/BE57-1</f>
        <v>-3.0225080385852143E-2</v>
      </c>
      <c r="BG95" s="181">
        <f>BG57/BF57-1</f>
        <v>8.3885941644562312E-2</v>
      </c>
      <c r="BH95" s="181">
        <f>BH57/BG57-1</f>
        <v>0.1498929336188437</v>
      </c>
      <c r="BI95" s="4238"/>
      <c r="BJ95" s="181">
        <f>BJ57/BH57-1</f>
        <v>-3.4583665868582081E-2</v>
      </c>
      <c r="BK95" s="181">
        <f>BK57/BJ57-1</f>
        <v>3.9129236704326331E-2</v>
      </c>
      <c r="BL95" s="181">
        <f>BL57/BK57-1</f>
        <v>9.2813577300450811E-2</v>
      </c>
      <c r="BM95" s="181">
        <f>BM57/BL57-1</f>
        <v>0.10313030817762669</v>
      </c>
      <c r="BN95" s="4238"/>
      <c r="BO95" s="181">
        <v>-1.9797624285085802E-2</v>
      </c>
      <c r="BP95" s="181">
        <v>3.6804308797127483E-2</v>
      </c>
      <c r="BQ95" s="181">
        <v>1.7316017316018062E-3</v>
      </c>
      <c r="BR95" s="190">
        <v>0.12899740708729479</v>
      </c>
      <c r="BS95" s="4239"/>
      <c r="BT95" s="181">
        <f>BT57/BM57-1</f>
        <v>-1.9797624285085802E-2</v>
      </c>
      <c r="BU95" s="181">
        <f>BU57/BT57-1</f>
        <v>4.5332136445242366E-2</v>
      </c>
      <c r="BV95" s="181">
        <f>BV57/BU57-1</f>
        <v>2.5976814083297661E-2</v>
      </c>
      <c r="BW95" s="181">
        <f>BW57/BV57-1</f>
        <v>0.12513078049801218</v>
      </c>
      <c r="BX95" s="4238"/>
      <c r="BY95" s="181">
        <v>-4.8995215311004814E-2</v>
      </c>
      <c r="BZ95" s="181">
        <v>-6.6411752867779894E-3</v>
      </c>
      <c r="CA95" s="181">
        <v>7.4554294975688773E-2</v>
      </c>
      <c r="CB95" s="181">
        <v>0.10765460030165919</v>
      </c>
      <c r="CC95" s="4238"/>
      <c r="CD95" s="181">
        <f>CD57/BW57-1</f>
        <v>-1.3948298307606466E-2</v>
      </c>
      <c r="CE95" s="181">
        <f>CE57/CD57-1</f>
        <v>-1.2070916635231965E-2</v>
      </c>
      <c r="CF95" s="181">
        <f>CF57/CE57-1</f>
        <v>6.7392134402443737E-2</v>
      </c>
      <c r="CG95" s="181">
        <f>CG57/CF57-1</f>
        <v>0.13360758361652647</v>
      </c>
      <c r="CH95" s="4238"/>
      <c r="CI95" s="181">
        <f>CI57/CG57-1</f>
        <v>-4.7017986746607732E-2</v>
      </c>
      <c r="CJ95" s="181">
        <f>CJ57/CI57-1</f>
        <v>2.930463576158937E-2</v>
      </c>
      <c r="CK95" s="181">
        <f>CK57/CJ57-1</f>
        <v>4.9702428824191625E-2</v>
      </c>
      <c r="CL95" s="181">
        <f>CL57/CK57-1</f>
        <v>5.2252528348145866E-2</v>
      </c>
      <c r="CM95" s="4238"/>
      <c r="CN95" s="181">
        <f>CN57/CL57-1</f>
        <v>-5.8249599534002661E-3</v>
      </c>
      <c r="CO95" s="181">
        <f>CO57/CN57-1</f>
        <v>5.3317709096235566E-2</v>
      </c>
      <c r="CP95" s="181">
        <f>CP57/CO57-1</f>
        <v>2.7395355305242619E-2</v>
      </c>
      <c r="CQ95" s="181">
        <f>CQ57/CP57-1</f>
        <v>0.11261505143475903</v>
      </c>
      <c r="CR95" s="4238"/>
      <c r="CS95" s="181">
        <f>CS57/CQ57-1</f>
        <v>-1.5815085158150666E-3</v>
      </c>
      <c r="CT95" s="181">
        <f>CT57/CS57-1</f>
        <v>9.1872791519434616E-2</v>
      </c>
      <c r="CU95" s="181">
        <f>CU57/CT57-1</f>
        <v>2.9237808280325961E-2</v>
      </c>
      <c r="CV95" s="181">
        <f>CV57/CU57-1</f>
        <v>0.10289493657161453</v>
      </c>
      <c r="CW95" s="4240"/>
      <c r="CX95" s="181">
        <f>CX57/CV57-1</f>
        <v>-9.0444357058592217E-3</v>
      </c>
      <c r="CY95" s="181">
        <f>CY57/CX57-1</f>
        <v>4.1269841269841345E-2</v>
      </c>
      <c r="CZ95" s="181">
        <f>CZ57/CY57-1</f>
        <v>8.2602896341463339E-2</v>
      </c>
      <c r="DA95" s="181">
        <f>DA57/CZ57-1</f>
        <v>1.5312857520021206E-2</v>
      </c>
      <c r="DB95" s="4240"/>
      <c r="DC95" s="181">
        <f>DC57/DA57-1</f>
        <v>4.6719251105139969E-2</v>
      </c>
      <c r="DD95" s="181">
        <f>DD57/DC57-1</f>
        <v>4.6952633322292048E-2</v>
      </c>
      <c r="DE95" s="181">
        <f>DE57/DD57-1</f>
        <v>4.484695088191093E-2</v>
      </c>
      <c r="DF95" s="181">
        <f>DF57/DE57-1</f>
        <v>-1.1809235427706288E-2</v>
      </c>
      <c r="DG95" s="4240"/>
      <c r="DH95" s="181">
        <f>DH57/DF57-1</f>
        <v>4.8490884020223612E-2</v>
      </c>
      <c r="DI95" s="181">
        <f>DI57/DH57-1</f>
        <v>7.9199240154891548E-2</v>
      </c>
      <c r="DJ95" s="181">
        <f>DJ57/DI57-1</f>
        <v>-3.3850111705369113E-3</v>
      </c>
      <c r="DK95" s="181">
        <f>DK57/DJ57-1</f>
        <v>4.0961891175871123E-2</v>
      </c>
      <c r="DL95" s="4240"/>
      <c r="DM95" s="181">
        <f>DM57/DK57-1</f>
        <v>-6.8389454450535125E-2</v>
      </c>
      <c r="DN95" s="181">
        <f>DN57/DM57-1</f>
        <v>-7.8803586438778384E-2</v>
      </c>
      <c r="DO95" s="181">
        <f>DO57/DN57-1</f>
        <v>0.36004866550072245</v>
      </c>
      <c r="DP95" s="181">
        <f>DP57/DO57-1</f>
        <v>0.26350218047635021</v>
      </c>
      <c r="DQ95" s="4240"/>
      <c r="DR95" s="181">
        <f>DR57/DP57-1</f>
        <v>1.4867914509491653E-2</v>
      </c>
      <c r="DS95" s="181">
        <f>DS57/DR57-1</f>
        <v>0.13839110529758014</v>
      </c>
      <c r="DT95" s="181">
        <f>DT57/DS57-1</f>
        <v>8.0432034930483676E-2</v>
      </c>
      <c r="DU95" s="181">
        <f>DU57/DT57-1</f>
        <v>3.7895707043851257E-2</v>
      </c>
      <c r="DV95" s="4240"/>
      <c r="DW95" s="181">
        <f>DW57/DU57-1</f>
        <v>-3.067149395450508E-2</v>
      </c>
      <c r="DX95" s="181">
        <f>DX57/DW57-1</f>
        <v>-8.6680761099365844E-3</v>
      </c>
      <c r="DY95" s="181">
        <f>DY57/DX57-1</f>
        <v>-7.0270846662401354E-2</v>
      </c>
      <c r="DZ95" s="181">
        <f>DZ57/DY57-1</f>
        <v>4.9852811866804236E-2</v>
      </c>
      <c r="EA95" s="4240"/>
      <c r="EB95" s="181">
        <f>EB57/DZ57-1</f>
        <v>-5.7390481045846875E-2</v>
      </c>
      <c r="EC95" s="181">
        <f>EC57/EB57-1</f>
        <v>0.19795248213250916</v>
      </c>
      <c r="ED95" s="181">
        <f>ED57/EC57-1</f>
        <v>-3.9665903447386741E-3</v>
      </c>
      <c r="EE95" s="181">
        <f>EE57/ED57-1</f>
        <v>5.7825552030045912E-2</v>
      </c>
      <c r="EF95" s="4240"/>
      <c r="EG95" s="181">
        <f>EG57/EE57-1</f>
        <v>4.5206904995102937E-2</v>
      </c>
      <c r="EH95" s="181">
        <f>EH57/EG57-1</f>
        <v>8.3428504495007161E-2</v>
      </c>
      <c r="EI95" s="181">
        <f>EI57/EH57-1</f>
        <v>3.6596572787718218E-2</v>
      </c>
      <c r="EJ95" s="181">
        <f>EJ57/EI57-1</f>
        <v>6.870567375886516E-2</v>
      </c>
      <c r="EK95" s="4240"/>
      <c r="EL95" s="181">
        <f>EL57/EJ57-1</f>
        <v>-9.222436382267496E-3</v>
      </c>
      <c r="EM95" s="181">
        <f>EM57/EL57-1</f>
        <v>4.0828387795808885E-2</v>
      </c>
      <c r="EN95" s="181">
        <f>EN57/EM57-1</f>
        <v>0.1040291480351101</v>
      </c>
      <c r="EO95" s="181">
        <f>EO57/EN57-1</f>
        <v>7.7870123414688575E-2</v>
      </c>
      <c r="EP95" s="4240"/>
      <c r="EQ95" s="181">
        <f>EQ57/EO57-1</f>
        <v>1.6345004855880862E-2</v>
      </c>
      <c r="ER95" s="181">
        <f>ER57/EQ57-1</f>
        <v>7.0678325828270161E-2</v>
      </c>
      <c r="ES95" s="181">
        <f>ES57/ER57-1</f>
        <v>4.5914785297172189E-2</v>
      </c>
      <c r="ET95" s="181">
        <f>ET57/ES57-1</f>
        <v>8.2874544973462694E-2</v>
      </c>
      <c r="EU95" s="4240"/>
      <c r="EV95" s="4240"/>
      <c r="EW95" s="4240"/>
      <c r="EX95" s="4240"/>
      <c r="EY95" s="4240"/>
      <c r="EZ95" s="208"/>
      <c r="FA95" s="717"/>
      <c r="FB95" s="717"/>
      <c r="FC95" s="717"/>
      <c r="FD95" s="717"/>
      <c r="FE95" s="717"/>
      <c r="FF95" s="717"/>
      <c r="FG95" s="717"/>
      <c r="FH95" s="717"/>
      <c r="FI95" s="717"/>
      <c r="FJ95" s="717"/>
      <c r="FK95" s="717"/>
      <c r="FL95" s="717"/>
    </row>
    <row r="96" spans="1:168" s="129" customFormat="1" ht="11.25" hidden="1" customHeight="1" outlineLevel="1">
      <c r="A96" s="4255" t="s">
        <v>121</v>
      </c>
      <c r="B96" s="4256"/>
      <c r="C96" s="4256"/>
      <c r="D96" s="4256"/>
      <c r="E96" s="4256"/>
      <c r="F96" s="4257"/>
      <c r="G96" s="4256"/>
      <c r="H96" s="4256"/>
      <c r="I96" s="4256"/>
      <c r="J96" s="4256"/>
      <c r="K96" s="4257"/>
      <c r="L96" s="4256"/>
      <c r="M96" s="4256"/>
      <c r="N96" s="4256"/>
      <c r="O96" s="4256"/>
      <c r="P96" s="4257"/>
      <c r="Q96" s="4256"/>
      <c r="R96" s="4256"/>
      <c r="S96" s="4256"/>
      <c r="T96" s="4256"/>
      <c r="U96" s="4257"/>
      <c r="V96" s="4256">
        <f>V37/T37-1</f>
        <v>-0.44915478605346171</v>
      </c>
      <c r="W96" s="4256">
        <f>W37/V37-1</f>
        <v>0.20479928760520916</v>
      </c>
      <c r="X96" s="4256">
        <f>X37/W37-1</f>
        <v>-0.36502113902014288</v>
      </c>
      <c r="Y96" s="4256">
        <f>Y37/X37-1</f>
        <v>0.30785453191090295</v>
      </c>
      <c r="Z96" s="4257"/>
      <c r="AA96" s="4256">
        <f>AA37/Y37-1</f>
        <v>1.3328768631733712</v>
      </c>
      <c r="AB96" s="4256">
        <f>AB37/AA37-1</f>
        <v>0.22605590461648983</v>
      </c>
      <c r="AC96" s="4256">
        <f>AC37/AB37-1</f>
        <v>-0.36269808056687225</v>
      </c>
      <c r="AD96" s="4256">
        <f>AD37/AC37-1</f>
        <v>2.7723733417872274</v>
      </c>
      <c r="AE96" s="4257"/>
      <c r="AF96" s="4256">
        <f>AF37/AD37-1</f>
        <v>0.80466697874377235</v>
      </c>
      <c r="AG96" s="4256">
        <f>AG37/AF37-1</f>
        <v>-7.3474093705175991E-2</v>
      </c>
      <c r="AH96" s="4256">
        <f>AH37/AG37-1</f>
        <v>0.10257391056971144</v>
      </c>
      <c r="AI96" s="4256">
        <f>AI37/AH37-1</f>
        <v>-6.9475622433605055E-2</v>
      </c>
      <c r="AJ96" s="4257"/>
      <c r="AK96" s="4256">
        <f>AK37/AI37-1</f>
        <v>0.59050026278650969</v>
      </c>
      <c r="AL96" s="4256">
        <f>AL37/AK37-1</f>
        <v>0.19421039989151612</v>
      </c>
      <c r="AM96" s="4256">
        <f>AM37/AL37-1</f>
        <v>1.5280391260583448E-2</v>
      </c>
      <c r="AN96" s="4256">
        <f>AN37/AM37-1</f>
        <v>0.39253320251625623</v>
      </c>
      <c r="AO96" s="4257"/>
      <c r="AP96" s="4256">
        <f>AP37/AN37-1</f>
        <v>-3.2060143487775528E-2</v>
      </c>
      <c r="AQ96" s="4256">
        <f>AQ37/AP37-1</f>
        <v>-7.8628586087256092E-2</v>
      </c>
      <c r="AR96" s="4256">
        <f>AR37/AQ37-1</f>
        <v>0.15254506436179427</v>
      </c>
      <c r="AS96" s="4256">
        <f>AS37/AR37-1</f>
        <v>0.12275498425186671</v>
      </c>
      <c r="AT96" s="4257"/>
      <c r="AU96" s="4256">
        <f>AU37/AS37-1</f>
        <v>8.5235268465262637E-2</v>
      </c>
      <c r="AV96" s="4256">
        <f>AV37/AU37-1</f>
        <v>-4.7563809822197434E-2</v>
      </c>
      <c r="AW96" s="4256">
        <f>AW37/AV37-1</f>
        <v>3.4912580928067038E-2</v>
      </c>
      <c r="AX96" s="4256">
        <f>AX37/AW37-1</f>
        <v>-0.70266575058583824</v>
      </c>
      <c r="AY96" s="4257"/>
      <c r="AZ96" s="4256">
        <f>AZ37/AX37-1</f>
        <v>2.7161889951196354</v>
      </c>
      <c r="BA96" s="4256">
        <f>BA37/AZ37-1</f>
        <v>3.9068959557653216E-2</v>
      </c>
      <c r="BB96" s="4256">
        <f>BB37/BA37-1</f>
        <v>9.9847227741681532E-2</v>
      </c>
      <c r="BC96" s="4256">
        <f>BC37/BB37-1</f>
        <v>0.19543585823896681</v>
      </c>
      <c r="BD96" s="4257"/>
      <c r="BE96" s="4258">
        <f>BE37/BC37-1</f>
        <v>-1.104133216167591E-2</v>
      </c>
      <c r="BF96" s="4256">
        <f>BF37/BE37-1</f>
        <v>-5.8467472003344456E-2</v>
      </c>
      <c r="BG96" s="4256">
        <f>BG37/BF37-1</f>
        <v>0.17811559339584959</v>
      </c>
      <c r="BH96" s="4256">
        <f>BH37/BG37-1</f>
        <v>0.16212401407428145</v>
      </c>
      <c r="BI96" s="4257"/>
      <c r="BJ96" s="4256">
        <f>BJ37/BH37-1</f>
        <v>-0.2947959138626316</v>
      </c>
      <c r="BK96" s="4256">
        <f>BK37/BJ37-1</f>
        <v>0.39469748087762424</v>
      </c>
      <c r="BL96" s="4256">
        <f>BL37/BK37-1</f>
        <v>8.4753241265903778E-2</v>
      </c>
      <c r="BM96" s="4256">
        <f>BM37/BL37-1</f>
        <v>-1.350338122066741E-2</v>
      </c>
      <c r="BN96" s="4257"/>
      <c r="BO96" s="4256">
        <v>-1.9797624285083699E-2</v>
      </c>
      <c r="BP96" s="4256">
        <v>3.6804308797127483E-2</v>
      </c>
      <c r="BQ96" s="4256">
        <v>1.7316017316018062E-3</v>
      </c>
      <c r="BR96" s="4259">
        <v>0.12899740708729479</v>
      </c>
      <c r="BS96" s="4260"/>
      <c r="BT96" s="4256">
        <f>BT37/BM37-1</f>
        <v>-0.46763900180811613</v>
      </c>
      <c r="BU96" s="4256">
        <f>BU37/BT37-1</f>
        <v>4.2216553809872437E-2</v>
      </c>
      <c r="BV96" s="4256">
        <f>BV37/BU37-1</f>
        <v>-0.11114777162045586</v>
      </c>
      <c r="BW96" s="4256">
        <f>BW37/BV37-1</f>
        <v>6.9396252141732617E-2</v>
      </c>
      <c r="BX96" s="4257"/>
      <c r="BY96" s="4256">
        <v>-4.8995215311004814E-2</v>
      </c>
      <c r="BZ96" s="4256">
        <v>-6.6411752867779894E-3</v>
      </c>
      <c r="CA96" s="4256">
        <v>7.4554294975688773E-2</v>
      </c>
      <c r="CB96" s="4256">
        <v>0.10765460030165919</v>
      </c>
      <c r="CC96" s="4257"/>
      <c r="CD96" s="4256">
        <f>CD37/BW37-1</f>
        <v>0.14603900672328662</v>
      </c>
      <c r="CE96" s="4256">
        <f>CE37/CD37-1</f>
        <v>-4.0039232291484317E-2</v>
      </c>
      <c r="CF96" s="4256">
        <f>CF37/CE37-1</f>
        <v>-8.2361209287702519E-2</v>
      </c>
      <c r="CG96" s="4256">
        <f>CG37/CF37-1</f>
        <v>0.13080688064485857</v>
      </c>
      <c r="CH96" s="4257"/>
      <c r="CI96" s="4256">
        <f>CI37/CG37-1</f>
        <v>-6.254375986808558E-3</v>
      </c>
      <c r="CJ96" s="4256">
        <f>CJ37/CI37-1</f>
        <v>-7.1283375492837697E-3</v>
      </c>
      <c r="CK96" s="4256">
        <f>CK37/CJ37-1</f>
        <v>-0.18525288033606935</v>
      </c>
      <c r="CL96" s="4256">
        <f>CL37/CK37-1</f>
        <v>0.70624728660025915</v>
      </c>
      <c r="CM96" s="4257"/>
      <c r="CN96" s="4256">
        <f>CN37/CL37-1</f>
        <v>-0.24932807855934958</v>
      </c>
      <c r="CO96" s="4256">
        <f>CO37/CN37-1</f>
        <v>0.11635960624253827</v>
      </c>
      <c r="CP96" s="4256">
        <f>CP37/CO37-1</f>
        <v>7.1941830779638227E-3</v>
      </c>
      <c r="CQ96" s="4256">
        <f>CQ37/CP37-1</f>
        <v>0.23244228750562046</v>
      </c>
      <c r="CR96" s="4257"/>
      <c r="CS96" s="4256">
        <f>CS37/CQ37-1</f>
        <v>-0.14823327164070743</v>
      </c>
      <c r="CT96" s="4256">
        <f>CT37/CS37-1</f>
        <v>0.16335743169098671</v>
      </c>
      <c r="CU96" s="4256">
        <f>CU37/CT37-1</f>
        <v>3.5361264167414586E-2</v>
      </c>
      <c r="CV96" s="4256">
        <f>CV37/CU37-1</f>
        <v>4.3969012474936786E-2</v>
      </c>
      <c r="CW96" s="4257"/>
      <c r="CX96" s="4256">
        <f>CX37/CV37-1</f>
        <v>2.1705108307150001E-2</v>
      </c>
      <c r="CY96" s="4256">
        <f>CY37/CX37-1</f>
        <v>-0.35188878050755945</v>
      </c>
      <c r="CZ96" s="4256">
        <f>CZ37/CY37-1</f>
        <v>0.90975095502262193</v>
      </c>
      <c r="DA96" s="4256">
        <f>DA37/CZ37-1</f>
        <v>-1.4544885863280737</v>
      </c>
      <c r="DB96" s="4257"/>
      <c r="DC96" s="4256">
        <f>DC37/DA37-1</f>
        <v>-4.0664277309782664</v>
      </c>
      <c r="DD96" s="4256">
        <f>DD37/DC37-1</f>
        <v>-0.65923060945833201</v>
      </c>
      <c r="DE96" s="4256">
        <f>DE37/DD37-1</f>
        <v>1.8744937798208046</v>
      </c>
      <c r="DF96" s="4256">
        <f>DF37/DE37-1</f>
        <v>-2.2433776585903065E-2</v>
      </c>
      <c r="DG96" s="4257"/>
      <c r="DH96" s="4256">
        <f>DH37/DF37-1</f>
        <v>-0.25601363863850279</v>
      </c>
      <c r="DI96" s="4256">
        <f>DI37/DH37-1</f>
        <v>0.49619124437761264</v>
      </c>
      <c r="DJ96" s="4256">
        <f>DJ37/DI37-1</f>
        <v>-0.28764791438649551</v>
      </c>
      <c r="DK96" s="4256">
        <f>DK37/DJ37-1</f>
        <v>0.51628830855891406</v>
      </c>
      <c r="DL96" s="4257"/>
      <c r="DM96" s="4256">
        <f>DM37/DK37-1</f>
        <v>-0.35667664255170783</v>
      </c>
      <c r="DN96" s="4256">
        <f>DN37/DM37-1</f>
        <v>2.5761756712078032E-2</v>
      </c>
      <c r="DO96" s="4256">
        <f>DO37/DN37-1</f>
        <v>0.61894461334737327</v>
      </c>
      <c r="DP96" s="4256">
        <f>DP37/DO37-1</f>
        <v>0.35958522805129456</v>
      </c>
      <c r="DQ96" s="4257"/>
      <c r="DR96" s="4256">
        <f>DR37/DP37-1</f>
        <v>0.17906391621035289</v>
      </c>
      <c r="DS96" s="4256">
        <f>DS37/DR37-1</f>
        <v>3.6922917705358271E-2</v>
      </c>
      <c r="DT96" s="4256">
        <f>DT37/DS37-1</f>
        <v>2.6859602490105994E-2</v>
      </c>
      <c r="DU96" s="4256">
        <f>DU37/DT37-1</f>
        <v>9.6618981648162183E-2</v>
      </c>
      <c r="DV96" s="4257"/>
      <c r="DW96" s="4256">
        <f>DW37/DU37-1</f>
        <v>-0.19786461286426482</v>
      </c>
      <c r="DX96" s="4256">
        <f>DX37/DW37-1</f>
        <v>-1.816751343695322E-2</v>
      </c>
      <c r="DY96" s="4256">
        <f>DY37/DX37-1</f>
        <v>-0.12130891823602585</v>
      </c>
      <c r="DZ96" s="4256">
        <f>DZ37/DY37-1</f>
        <v>-9.2132626978862486E-3</v>
      </c>
      <c r="EA96" s="4257"/>
      <c r="EB96" s="4256">
        <f>EB37/DZ37-1</f>
        <v>0.11542462098230777</v>
      </c>
      <c r="EC96" s="4256">
        <f>EC37/EB37-1</f>
        <v>0.22602510078498184</v>
      </c>
      <c r="ED96" s="4256">
        <f>ED37/EC37-1</f>
        <v>7.7659768694466447E-2</v>
      </c>
      <c r="EE96" s="4256">
        <f>EE37/ED37-1</f>
        <v>5.8525425065368841E-2</v>
      </c>
      <c r="EF96" s="4257"/>
      <c r="EG96" s="4256">
        <f>EG37/EE37-1</f>
        <v>0.15065819120398793</v>
      </c>
      <c r="EH96" s="4256">
        <f>EH37/EG37-1</f>
        <v>7.3911062184994769E-4</v>
      </c>
      <c r="EI96" s="4256">
        <f>EI37/EH37-1</f>
        <v>0.12036720673193591</v>
      </c>
      <c r="EJ96" s="4256">
        <f>EJ37/EI37-1</f>
        <v>1.4736316147219375E-2</v>
      </c>
      <c r="EK96" s="4257"/>
      <c r="EL96" s="4256">
        <f>EL37/EJ37-1</f>
        <v>0.30766432845816349</v>
      </c>
      <c r="EM96" s="4256">
        <f>EM37/EL37-1</f>
        <v>-0.17744725064803635</v>
      </c>
      <c r="EN96" s="4256">
        <f>EN37/EM37-1</f>
        <v>0.24005773402457486</v>
      </c>
      <c r="EO96" s="4256">
        <f ca="1">EO37/EN37-1</f>
        <v>-9.1839499881200881E-2</v>
      </c>
      <c r="EP96" s="4257"/>
      <c r="EQ96" s="4256">
        <f ca="1">EQ37/EO37-1</f>
        <v>-6.1385269295591849E-3</v>
      </c>
      <c r="ER96" s="4256">
        <f ca="1">ER37/EQ37-1</f>
        <v>4.4341189309060836E-2</v>
      </c>
      <c r="ES96" s="4256">
        <f ca="1">ES37/ER37-1</f>
        <v>2.7214031972346397E-2</v>
      </c>
      <c r="ET96" s="4256">
        <f ca="1">ET37/ES37-1</f>
        <v>8.5113435513602953E-2</v>
      </c>
      <c r="EU96" s="4257"/>
      <c r="EV96" s="4257"/>
      <c r="EW96" s="4257"/>
      <c r="EX96" s="4257"/>
      <c r="EY96" s="4257"/>
      <c r="EZ96" s="2612"/>
      <c r="FA96" s="1100"/>
      <c r="FB96" s="1100"/>
      <c r="FC96" s="1100"/>
      <c r="FD96" s="1100"/>
      <c r="FE96" s="1100"/>
      <c r="FF96" s="1100"/>
      <c r="FG96" s="1100"/>
      <c r="FH96" s="1100"/>
      <c r="FI96" s="1100"/>
      <c r="FJ96" s="1100"/>
      <c r="FK96" s="1100"/>
      <c r="FL96" s="1100"/>
    </row>
    <row r="97" spans="1:168" ht="11.25" hidden="1" customHeight="1" outlineLevel="1">
      <c r="A97" s="3748" t="s">
        <v>490</v>
      </c>
      <c r="B97" s="1098"/>
      <c r="C97" s="1098"/>
      <c r="D97" s="1098"/>
      <c r="E97" s="1098"/>
      <c r="F97" s="4245"/>
      <c r="G97" s="1098"/>
      <c r="H97" s="1098"/>
      <c r="I97" s="1098"/>
      <c r="J97" s="1098"/>
      <c r="K97" s="4245"/>
      <c r="L97" s="1098"/>
      <c r="M97" s="1098"/>
      <c r="N97" s="1098"/>
      <c r="O97" s="1098"/>
      <c r="P97" s="4245"/>
      <c r="Q97" s="1098"/>
      <c r="R97" s="1098"/>
      <c r="S97" s="1098"/>
      <c r="T97" s="1098"/>
      <c r="U97" s="4245"/>
      <c r="V97" s="1098" t="e">
        <f>V43/T43-1</f>
        <v>#DIV/0!</v>
      </c>
      <c r="W97" s="1098" t="e">
        <f>W43/V43-1</f>
        <v>#DIV/0!</v>
      </c>
      <c r="X97" s="1098" t="e">
        <f>X43/W43-1</f>
        <v>#DIV/0!</v>
      </c>
      <c r="Y97" s="1098" t="e">
        <f>Y43/X43-1</f>
        <v>#DIV/0!</v>
      </c>
      <c r="Z97" s="4245"/>
      <c r="AA97" s="1098" t="e">
        <f>AA43/Y43-1</f>
        <v>#DIV/0!</v>
      </c>
      <c r="AB97" s="1098" t="e">
        <f>AB43/AA43-1</f>
        <v>#DIV/0!</v>
      </c>
      <c r="AC97" s="1098" t="e">
        <f>AC43/AB43-1</f>
        <v>#DIV/0!</v>
      </c>
      <c r="AD97" s="1098" t="e">
        <f>AD43/AC43-1</f>
        <v>#DIV/0!</v>
      </c>
      <c r="AE97" s="4245"/>
      <c r="AF97" s="1098" t="e">
        <f>AF43/AD43-1</f>
        <v>#DIV/0!</v>
      </c>
      <c r="AG97" s="1098" t="e">
        <f>AG43/AF43-1</f>
        <v>#DIV/0!</v>
      </c>
      <c r="AH97" s="1098" t="e">
        <f>AH43/AG43-1</f>
        <v>#DIV/0!</v>
      </c>
      <c r="AI97" s="1098" t="e">
        <f>AI43/AH43-1</f>
        <v>#DIV/0!</v>
      </c>
      <c r="AJ97" s="4245"/>
      <c r="AK97" s="1098" t="e">
        <f>AK43/AI43-1</f>
        <v>#DIV/0!</v>
      </c>
      <c r="AL97" s="1098" t="e">
        <f>AL43/AK43-1</f>
        <v>#DIV/0!</v>
      </c>
      <c r="AM97" s="1098" t="e">
        <f>AM43/AL43-1</f>
        <v>#DIV/0!</v>
      </c>
      <c r="AN97" s="1098" t="e">
        <f>AN43/AM43-1</f>
        <v>#DIV/0!</v>
      </c>
      <c r="AO97" s="4245"/>
      <c r="AP97" s="1098" t="e">
        <f>AP43/AN43-1</f>
        <v>#DIV/0!</v>
      </c>
      <c r="AQ97" s="1098" t="e">
        <f>AQ43/AP43-1</f>
        <v>#DIV/0!</v>
      </c>
      <c r="AR97" s="1098" t="e">
        <f>AR43/AQ43-1</f>
        <v>#DIV/0!</v>
      </c>
      <c r="AS97" s="1098" t="e">
        <f>AS43/AR43-1</f>
        <v>#DIV/0!</v>
      </c>
      <c r="AT97" s="4245"/>
      <c r="AU97" s="1098" t="e">
        <f>AU43/AS43-1</f>
        <v>#DIV/0!</v>
      </c>
      <c r="AV97" s="1098" t="e">
        <f>AV43/AU43-1</f>
        <v>#DIV/0!</v>
      </c>
      <c r="AW97" s="1098" t="e">
        <f>AW43/AV43-1</f>
        <v>#DIV/0!</v>
      </c>
      <c r="AX97" s="1098" t="e">
        <f>AX43/AW43-1</f>
        <v>#DIV/0!</v>
      </c>
      <c r="AY97" s="4245"/>
      <c r="AZ97" s="1098" t="e">
        <f>AZ43/AX43-1</f>
        <v>#DIV/0!</v>
      </c>
      <c r="BA97" s="1098" t="e">
        <f>BA43/AZ43-1</f>
        <v>#DIV/0!</v>
      </c>
      <c r="BB97" s="1098" t="e">
        <f>BB43/BA43-1</f>
        <v>#DIV/0!</v>
      </c>
      <c r="BC97" s="1098" t="e">
        <f>BC43/BB43-1</f>
        <v>#DIV/0!</v>
      </c>
      <c r="BD97" s="4245"/>
      <c r="BE97" s="4246" t="e">
        <f>BE43/BC43-1</f>
        <v>#DIV/0!</v>
      </c>
      <c r="BF97" s="1098" t="e">
        <f>BF43/BE43-1</f>
        <v>#DIV/0!</v>
      </c>
      <c r="BG97" s="1098" t="e">
        <f>BG43/BF43-1</f>
        <v>#DIV/0!</v>
      </c>
      <c r="BH97" s="1098" t="e">
        <f>BH43/BG43-1</f>
        <v>#DIV/0!</v>
      </c>
      <c r="BI97" s="4245"/>
      <c r="BJ97" s="1098" t="e">
        <f>BJ43/BH43-1</f>
        <v>#DIV/0!</v>
      </c>
      <c r="BK97" s="1098" t="e">
        <f>BK43/BJ43-1</f>
        <v>#DIV/0!</v>
      </c>
      <c r="BL97" s="1098" t="e">
        <f>BL43/BK43-1</f>
        <v>#DIV/0!</v>
      </c>
      <c r="BM97" s="1098" t="e">
        <f>BM43/BL43-1</f>
        <v>#DIV/0!</v>
      </c>
      <c r="BN97" s="4245"/>
      <c r="BO97" s="1098">
        <v>-1.9797624285085802E-2</v>
      </c>
      <c r="BP97" s="1098">
        <v>3.6804308797127483E-2</v>
      </c>
      <c r="BQ97" s="1098">
        <v>1.7316017316018062E-3</v>
      </c>
      <c r="BR97" s="4152">
        <v>0.12899740708729479</v>
      </c>
      <c r="BS97" s="2905"/>
      <c r="BT97" s="1098" t="e">
        <f>BT43/BM43-1</f>
        <v>#DIV/0!</v>
      </c>
      <c r="BU97" s="1098" t="e">
        <f>BU43/BT43-1</f>
        <v>#DIV/0!</v>
      </c>
      <c r="BV97" s="1098" t="e">
        <f>BV43/BU43-1</f>
        <v>#DIV/0!</v>
      </c>
      <c r="BW97" s="1098" t="e">
        <f>BW43/BV43-1</f>
        <v>#DIV/0!</v>
      </c>
      <c r="BX97" s="4245"/>
      <c r="BY97" s="1098">
        <v>-4.8995215311004814E-2</v>
      </c>
      <c r="BZ97" s="1098">
        <v>-6.6411752867779894E-3</v>
      </c>
      <c r="CA97" s="1098">
        <v>7.4554294975688773E-2</v>
      </c>
      <c r="CB97" s="1098">
        <v>0.10765460030164301</v>
      </c>
      <c r="CC97" s="4245"/>
      <c r="CD97" s="1098" t="e">
        <f>CD43/BW43-1</f>
        <v>#DIV/0!</v>
      </c>
      <c r="CE97" s="1098">
        <f>CE43/CD43-1</f>
        <v>-4.0039232291484317E-2</v>
      </c>
      <c r="CF97" s="1098">
        <f>CF43/CE43-1</f>
        <v>-8.2361209287702519E-2</v>
      </c>
      <c r="CG97" s="1098">
        <f>CG43/CF43-1</f>
        <v>0.13080688064485857</v>
      </c>
      <c r="CH97" s="4245"/>
      <c r="CI97" s="1098">
        <f>CI43/CG43-1</f>
        <v>-6.254375986808558E-3</v>
      </c>
      <c r="CJ97" s="1098">
        <f>CJ43/CI43-1</f>
        <v>-7.1283375492837697E-3</v>
      </c>
      <c r="CK97" s="1098">
        <f>CK43/CJ43-1</f>
        <v>-7.279624683969721E-2</v>
      </c>
      <c r="CL97" s="1098">
        <f>CL43/CK43-1</f>
        <v>0.49930374791269405</v>
      </c>
      <c r="CM97" s="4245"/>
      <c r="CN97" s="1098">
        <f>CN43/CL43-1</f>
        <v>-0.24932807855934958</v>
      </c>
      <c r="CO97" s="1098">
        <f>CO43/CN43-1</f>
        <v>0.11635960624253827</v>
      </c>
      <c r="CP97" s="1098">
        <f>CP43/CO43-1</f>
        <v>7.1941830779638227E-3</v>
      </c>
      <c r="CQ97" s="1098">
        <f>CQ43/CP43-1</f>
        <v>0.23244228750562046</v>
      </c>
      <c r="CR97" s="4244"/>
      <c r="CS97" s="1098">
        <f>CS43/CQ43-1</f>
        <v>-0.14823327164070743</v>
      </c>
      <c r="CT97" s="1098">
        <f>CT43/CS43-1</f>
        <v>0.16335743169098671</v>
      </c>
      <c r="CU97" s="1098">
        <f>CU43/CT43-1</f>
        <v>3.5361264167414586E-2</v>
      </c>
      <c r="CV97" s="1098">
        <f>CV43/CU43-1</f>
        <v>5.106413885762473E-2</v>
      </c>
      <c r="CW97" s="4244"/>
      <c r="CX97" s="1098">
        <f>CX43/CV43-1</f>
        <v>1.4808167767292879E-2</v>
      </c>
      <c r="CY97" s="1098">
        <f>CY43/CX43-1</f>
        <v>0.15129859081233765</v>
      </c>
      <c r="CZ97" s="1098">
        <f>CZ43/CY43-1</f>
        <v>7.5073860303469742E-2</v>
      </c>
      <c r="DA97" s="1098">
        <f>DA43/CZ43-1</f>
        <v>19.272677602562123</v>
      </c>
      <c r="DB97" s="4245"/>
      <c r="DC97" s="1098">
        <f>DC43/DA43-1</f>
        <v>-0.93125444838360272</v>
      </c>
      <c r="DD97" s="1098">
        <f>DD43/DC43-1</f>
        <v>-0.11837252512756569</v>
      </c>
      <c r="DE97" s="1098">
        <f>DE43/DD43-1</f>
        <v>0.11105826597235313</v>
      </c>
      <c r="DF97" s="1098">
        <f>DF43/DE43-1</f>
        <v>-2.2433776585903065E-2</v>
      </c>
      <c r="DG97" s="4245"/>
      <c r="DH97" s="1098">
        <f>DH43/DF43-1</f>
        <v>-6.8033308187843589E-2</v>
      </c>
      <c r="DI97" s="1098">
        <f>DI43/DH43-1</f>
        <v>0.1944052181102971</v>
      </c>
      <c r="DJ97" s="1098">
        <f>DJ43/DI43-1</f>
        <v>-0.28764791438649551</v>
      </c>
      <c r="DK97" s="1098">
        <f>DK43/DJ43-1</f>
        <v>0.51628830855891406</v>
      </c>
      <c r="DL97" s="4245"/>
      <c r="DM97" s="1098">
        <f>DM43/DK43-1</f>
        <v>-0.35667664255170783</v>
      </c>
      <c r="DN97" s="1098">
        <f>DN43/DM43-1</f>
        <v>2.5761756712078032E-2</v>
      </c>
      <c r="DO97" s="1098">
        <f>DO43/DN43-1</f>
        <v>0.61894461334737327</v>
      </c>
      <c r="DP97" s="1098">
        <f>DP43/DO43-1</f>
        <v>0.35958522805129456</v>
      </c>
      <c r="DQ97" s="4245"/>
      <c r="DR97" s="1098">
        <f>DR43/DP43-1</f>
        <v>0.17906391621035289</v>
      </c>
      <c r="DS97" s="1098">
        <f>DS43/DR43-1</f>
        <v>3.6922917705358271E-2</v>
      </c>
      <c r="DT97" s="1098">
        <f>DT43/DS43-1</f>
        <v>2.6859602490105994E-2</v>
      </c>
      <c r="DU97" s="1098">
        <f>DU43/DT43-1</f>
        <v>9.6618981648162183E-2</v>
      </c>
      <c r="DV97" s="4245"/>
      <c r="DW97" s="1098">
        <f>DW43/DU43-1</f>
        <v>-0.19786461286426482</v>
      </c>
      <c r="DX97" s="1098">
        <f>DX43/DW43-1</f>
        <v>-1.816751343695322E-2</v>
      </c>
      <c r="DY97" s="1098">
        <f>DY43/DX43-1</f>
        <v>-0.12130891823602585</v>
      </c>
      <c r="DZ97" s="1098">
        <f>DZ43/DY43-1</f>
        <v>-9.2132626978862486E-3</v>
      </c>
      <c r="EA97" s="4245"/>
      <c r="EB97" s="1098">
        <f>EB43/DZ43-1</f>
        <v>0.11542462098230777</v>
      </c>
      <c r="EC97" s="1098">
        <f>EC43/EB43-1</f>
        <v>0.22602510078498184</v>
      </c>
      <c r="ED97" s="1098">
        <f>ED43/EC43-1</f>
        <v>7.7659768694466447E-2</v>
      </c>
      <c r="EE97" s="1098">
        <f>EE43/ED43-1</f>
        <v>5.8525425065368841E-2</v>
      </c>
      <c r="EF97" s="4245"/>
      <c r="EG97" s="1098">
        <f>EG43/EE43-1</f>
        <v>0.15065819120398793</v>
      </c>
      <c r="EH97" s="1098">
        <f>EH43/EG43-1</f>
        <v>7.3911062184994769E-4</v>
      </c>
      <c r="EI97" s="1098">
        <f>EI43/EH43-1</f>
        <v>0.12036720673193591</v>
      </c>
      <c r="EJ97" s="1098">
        <f>EJ43/EI43-1</f>
        <v>1.4736316147219375E-2</v>
      </c>
      <c r="EK97" s="4245"/>
      <c r="EL97" s="1098">
        <f>EL43/EJ43-1</f>
        <v>0.30766432845816349</v>
      </c>
      <c r="EM97" s="1098">
        <f>EM43/EL43-1</f>
        <v>-0.17744725064803635</v>
      </c>
      <c r="EN97" s="1098">
        <f>EN43/EM43-1</f>
        <v>0.36261354140966184</v>
      </c>
      <c r="EO97" s="1098">
        <f ca="1">EO43/EN43-1</f>
        <v>-0.17352101848122925</v>
      </c>
      <c r="EP97" s="4245"/>
      <c r="EQ97" s="1098">
        <f ca="1">EQ43/EO43-1</f>
        <v>-6.1385269295591849E-3</v>
      </c>
      <c r="ER97" s="1098">
        <f ca="1">ER43/EQ43-1</f>
        <v>4.4341189309060836E-2</v>
      </c>
      <c r="ES97" s="1098">
        <f ca="1">ES43/ER43-1</f>
        <v>2.7214031972346397E-2</v>
      </c>
      <c r="ET97" s="1098">
        <f ca="1">ET43/ES43-1</f>
        <v>8.5113435513602953E-2</v>
      </c>
      <c r="EU97" s="4245"/>
      <c r="EV97" s="4245"/>
      <c r="EW97" s="4245"/>
      <c r="EX97" s="4245"/>
      <c r="EY97" s="4245"/>
      <c r="EZ97" s="2612"/>
      <c r="FA97" s="725"/>
      <c r="FB97" s="725"/>
      <c r="FC97" s="725"/>
      <c r="FD97" s="725"/>
      <c r="FE97" s="725"/>
      <c r="FF97" s="725"/>
      <c r="FG97" s="725"/>
      <c r="FH97" s="725"/>
      <c r="FI97" s="725"/>
      <c r="FJ97" s="725"/>
      <c r="FK97" s="725"/>
      <c r="FL97" s="725"/>
    </row>
    <row r="98" spans="1:168" ht="11.25" hidden="1" customHeight="1" outlineLevel="1">
      <c r="A98" s="3761" t="s">
        <v>669</v>
      </c>
      <c r="B98" s="1778"/>
      <c r="C98" s="1778"/>
      <c r="D98" s="1778"/>
      <c r="E98" s="1778"/>
      <c r="F98" s="1829"/>
      <c r="G98" s="1778"/>
      <c r="H98" s="1778"/>
      <c r="I98" s="1778"/>
      <c r="J98" s="1778"/>
      <c r="K98" s="1829"/>
      <c r="L98" s="1778"/>
      <c r="M98" s="1778"/>
      <c r="N98" s="1778"/>
      <c r="O98" s="1778"/>
      <c r="P98" s="1829"/>
      <c r="Q98" s="1778"/>
      <c r="R98" s="1778"/>
      <c r="S98" s="1778"/>
      <c r="T98" s="1778"/>
      <c r="U98" s="1829"/>
      <c r="V98" s="1778">
        <f>V51/T51-1</f>
        <v>0.12843006112434963</v>
      </c>
      <c r="W98" s="1778">
        <f>W51/V51-1</f>
        <v>3.0205681486087599E-2</v>
      </c>
      <c r="X98" s="1778">
        <f>X51/W51-1</f>
        <v>0.42040914778466276</v>
      </c>
      <c r="Y98" s="1778">
        <f>Y51/X51-1</f>
        <v>0.16764100210254296</v>
      </c>
      <c r="Z98" s="1829"/>
      <c r="AA98" s="1778">
        <f>AA51/Y51-1</f>
        <v>0.24364035366267767</v>
      </c>
      <c r="AB98" s="1778">
        <f>AB51/AA51-1</f>
        <v>8.6546774553286854E-2</v>
      </c>
      <c r="AC98" s="1778">
        <f>AC51/AB51-1</f>
        <v>0.11312305359035624</v>
      </c>
      <c r="AD98" s="1778">
        <f>AD51/AC51-1</f>
        <v>5.3780544264142138E-2</v>
      </c>
      <c r="AE98" s="1829"/>
      <c r="AF98" s="1778">
        <f>AF51/AD51-1</f>
        <v>0.84021694493593224</v>
      </c>
      <c r="AG98" s="1778">
        <f>AG51/AF51-1</f>
        <v>6.3118227662964932E-2</v>
      </c>
      <c r="AH98" s="1778">
        <f>AH51/AG51-1</f>
        <v>0.13858986057444711</v>
      </c>
      <c r="AI98" s="1778">
        <f>AI51/AH51-1</f>
        <v>2.3284035717807239E-2</v>
      </c>
      <c r="AJ98" s="1829"/>
      <c r="AK98" s="1778">
        <f>AK51/AI51-1</f>
        <v>0.48934759904763214</v>
      </c>
      <c r="AL98" s="1778">
        <f>AL51/AK51-1</f>
        <v>8.274822202405252E-2</v>
      </c>
      <c r="AM98" s="1778">
        <f>AM51/AL51-1</f>
        <v>5.0166914513228411E-2</v>
      </c>
      <c r="AN98" s="1778">
        <f>AN51/AM51-1</f>
        <v>0.21647149211829708</v>
      </c>
      <c r="AO98" s="1829"/>
      <c r="AP98" s="1778">
        <f>AP51/AN51-1</f>
        <v>0.1571918396649048</v>
      </c>
      <c r="AQ98" s="1778">
        <f>AQ51/AP51-1</f>
        <v>-3.2560889074256916E-2</v>
      </c>
      <c r="AR98" s="1778">
        <f>AR51/AQ51-1</f>
        <v>9.6967035221594333E-2</v>
      </c>
      <c r="AS98" s="1778">
        <f>AS51/AR51-1</f>
        <v>0.13467734397355824</v>
      </c>
      <c r="AT98" s="1829"/>
      <c r="AU98" s="1778">
        <f>AU51/AS51-1</f>
        <v>9.2383602531850739E-2</v>
      </c>
      <c r="AV98" s="1778">
        <f>AV51/AU51-1</f>
        <v>-4.4008956769435614E-2</v>
      </c>
      <c r="AW98" s="1778">
        <f>AW51/AV51-1</f>
        <v>6.2407468552845735E-2</v>
      </c>
      <c r="AX98" s="1778">
        <f>AX51/AW51-1</f>
        <v>3.6792169864992674E-2</v>
      </c>
      <c r="AY98" s="1829"/>
      <c r="AZ98" s="1778">
        <f>AZ51/AX51-1</f>
        <v>1.1459938831219985E-2</v>
      </c>
      <c r="BA98" s="1778">
        <f>BA51/AZ51-1</f>
        <v>3.9643243591894972E-2</v>
      </c>
      <c r="BB98" s="1778">
        <f>BB51/BA51-1</f>
        <v>9.8685334499834187E-2</v>
      </c>
      <c r="BC98" s="1778">
        <f>BC51/BB51-1</f>
        <v>0.15272795388569693</v>
      </c>
      <c r="BD98" s="1829"/>
      <c r="BE98" s="1754">
        <f>BE51/BC51-1</f>
        <v>-4.6028996353234541E-3</v>
      </c>
      <c r="BF98" s="1778">
        <f>BF51/BE51-1</f>
        <v>-4.640691950407505E-2</v>
      </c>
      <c r="BG98" s="1778">
        <f>BG51/BF51-1</f>
        <v>0.18462358601078144</v>
      </c>
      <c r="BH98" s="1778">
        <f>BH51/BG51-1</f>
        <v>0.14636214937710856</v>
      </c>
      <c r="BI98" s="1829"/>
      <c r="BJ98" s="1778">
        <f>BJ51/BH51-1</f>
        <v>-7.678803575457116E-2</v>
      </c>
      <c r="BK98" s="1778">
        <f>BK51/BJ51-1</f>
        <v>8.1134264479470586E-2</v>
      </c>
      <c r="BL98" s="1778">
        <f>BL51/BK51-1</f>
        <v>0.11279652514508465</v>
      </c>
      <c r="BM98" s="1778">
        <f>BM51/BL51-1</f>
        <v>-2.2567693414764167E-2</v>
      </c>
      <c r="BN98" s="1829"/>
      <c r="BO98" s="1778">
        <v>-1.9797624285085802E-2</v>
      </c>
      <c r="BP98" s="1778">
        <v>3.6804308797127483E-2</v>
      </c>
      <c r="BQ98" s="1778">
        <v>1.7315117315118099E-3</v>
      </c>
      <c r="BR98" s="1828">
        <v>0.12899740708729479</v>
      </c>
      <c r="BS98" s="1830"/>
      <c r="BT98" s="1778">
        <f>BT51/BM51-1</f>
        <v>-0.46968844052051339</v>
      </c>
      <c r="BU98" s="1778">
        <f>BU51/BT51-1</f>
        <v>1.4807366168338332E-2</v>
      </c>
      <c r="BV98" s="1778">
        <f>BV51/BU51-1</f>
        <v>-7.3256638955981557E-2</v>
      </c>
      <c r="BW98" s="1778">
        <f>BW51/BV51-1</f>
        <v>0.1713708815753574</v>
      </c>
      <c r="BX98" s="1829"/>
      <c r="BY98" s="1778">
        <v>-4.8995215311004814E-2</v>
      </c>
      <c r="BZ98" s="1778">
        <v>-6.6411752867779894E-3</v>
      </c>
      <c r="CA98" s="1778">
        <v>7.4554294975688773E-2</v>
      </c>
      <c r="CB98" s="1778">
        <v>0.107654510301659</v>
      </c>
      <c r="CC98" s="1829"/>
      <c r="CD98" s="1778">
        <f>CD51/BW51-1</f>
        <v>8.1117678413552552E-2</v>
      </c>
      <c r="CE98" s="1778">
        <f>CE51/CD51-1</f>
        <v>-0.16496355737424817</v>
      </c>
      <c r="CF98" s="1778">
        <f>CF51/CE51-1</f>
        <v>0.16436242783777377</v>
      </c>
      <c r="CG98" s="1778">
        <f>CG51/CF51-1</f>
        <v>0.1548398764050094</v>
      </c>
      <c r="CH98" s="1829"/>
      <c r="CI98" s="1778">
        <f>CI51/CG51-1</f>
        <v>-8.6812650452810169E-2</v>
      </c>
      <c r="CJ98" s="1778">
        <f>CJ51/CI51-1</f>
        <v>-2.8283463846741741E-2</v>
      </c>
      <c r="CK98" s="1778">
        <f>CK51/CJ51-1</f>
        <v>4.4281821966010826E-2</v>
      </c>
      <c r="CL98" s="1778">
        <f>CL51/CK51-1</f>
        <v>8.2152557126167869E-2</v>
      </c>
      <c r="CM98" s="1829"/>
      <c r="CN98" s="1778">
        <f>CN51/CL51-1</f>
        <v>-4.2954558977942203E-2</v>
      </c>
      <c r="CO98" s="1778">
        <f>CO51/CN51-1</f>
        <v>8.0516210192117077E-2</v>
      </c>
      <c r="CP98" s="1778">
        <f>CP51/CO51-1</f>
        <v>5.1297332450776167E-2</v>
      </c>
      <c r="CQ98" s="1778">
        <f>CQ51/CP51-1</f>
        <v>0.17983923611283426</v>
      </c>
      <c r="CR98" s="1831"/>
      <c r="CS98" s="1778">
        <f>CS51/CQ51-1</f>
        <v>-0.13439605400324861</v>
      </c>
      <c r="CT98" s="1778">
        <f>CT51/CS51-1</f>
        <v>0.12132901579648325</v>
      </c>
      <c r="CU98" s="1778">
        <f>CU51/CT51-1</f>
        <v>7.6325320068196145E-2</v>
      </c>
      <c r="CV98" s="1778">
        <f>CV51/CU51-1</f>
        <v>3.3879605427295845E-2</v>
      </c>
      <c r="CW98" s="1831"/>
      <c r="CX98" s="1778">
        <f>CX51/CV51-1</f>
        <v>6.8542961801481228E-2</v>
      </c>
      <c r="CY98" s="1778">
        <f>CY51/CX51-1</f>
        <v>0.13971915349908959</v>
      </c>
      <c r="CZ98" s="1778">
        <f>CZ51/CY51-1</f>
        <v>3.0196540619511714E-2</v>
      </c>
      <c r="DA98" s="1778">
        <f>DA51/CZ51-1</f>
        <v>19.297881175567618</v>
      </c>
      <c r="DB98" s="1829"/>
      <c r="DC98" s="1778">
        <f>DC51/DA51-1</f>
        <v>-0.94437864104821645</v>
      </c>
      <c r="DD98" s="1778">
        <f>DD51/DC51-1</f>
        <v>2.2038133997281939E-2</v>
      </c>
      <c r="DE98" s="1778">
        <f>DE51/DD51-1</f>
        <v>8.0391115389295997E-2</v>
      </c>
      <c r="DF98" s="1778">
        <f>DF51/DE51-1</f>
        <v>-4.9146603119295307E-2</v>
      </c>
      <c r="DG98" s="1829"/>
      <c r="DH98" s="1778">
        <f>DH51/DF51-1</f>
        <v>-2.7071512303633583E-4</v>
      </c>
      <c r="DI98" s="1778">
        <f>DI51/DH51-1</f>
        <v>5.5759888871037777E-2</v>
      </c>
      <c r="DJ98" s="1778">
        <f>DJ51/DI51-1</f>
        <v>-7.6458986545946406E-3</v>
      </c>
      <c r="DK98" s="1778">
        <f>DK51/DJ51-1</f>
        <v>0.23204113197106691</v>
      </c>
      <c r="DL98" s="1829"/>
      <c r="DM98" s="1778">
        <f>DM51/DK51-1</f>
        <v>-0.1673798268814547</v>
      </c>
      <c r="DN98" s="1778">
        <f>DN51/DM51-1</f>
        <v>-0.16594121550476137</v>
      </c>
      <c r="DO98" s="1778">
        <f>DO51/DN51-1</f>
        <v>0.46240795647339827</v>
      </c>
      <c r="DP98" s="1778">
        <f>DP51/DO51-1</f>
        <v>0.25891976931989036</v>
      </c>
      <c r="DQ98" s="1829"/>
      <c r="DR98" s="1778">
        <f>DR51/DP51-1</f>
        <v>0.10346806016923216</v>
      </c>
      <c r="DS98" s="1778">
        <f>DS51/DR51-1</f>
        <v>0.15179078089264553</v>
      </c>
      <c r="DT98" s="1778">
        <f>DT51/DS51-1</f>
        <v>5.1089869470042126E-2</v>
      </c>
      <c r="DU98" s="1778">
        <f>DU51/DT51-1</f>
        <v>7.4396998621848232E-2</v>
      </c>
      <c r="DV98" s="1829"/>
      <c r="DW98" s="1778">
        <f>DW51/DU51-1</f>
        <v>-1.3729252842126449E-2</v>
      </c>
      <c r="DX98" s="1778">
        <f>DX51/DW51-1</f>
        <v>-3.3673486528180807E-2</v>
      </c>
      <c r="DY98" s="1778">
        <f>DY51/DX51-1</f>
        <v>-5.3832803088737058E-2</v>
      </c>
      <c r="DZ98" s="1778">
        <f>DZ51/DY51-1</f>
        <v>-1.278705441456951E-2</v>
      </c>
      <c r="EA98" s="1829"/>
      <c r="EB98" s="1778">
        <f>EB51/DZ51-1</f>
        <v>3.2021169248354298E-2</v>
      </c>
      <c r="EC98" s="1778">
        <f>EC51/EB51-1</f>
        <v>0.23622726478738199</v>
      </c>
      <c r="ED98" s="1778">
        <f>ED51/EC51-1</f>
        <v>9.9801525808653313E-2</v>
      </c>
      <c r="EE98" s="1778">
        <f>EE51/ED51-1</f>
        <v>-5.3311522501122699E-3</v>
      </c>
      <c r="EF98" s="1829"/>
      <c r="EG98" s="1778">
        <f>EG51/EE51-1</f>
        <v>3.5389694153801665E-2</v>
      </c>
      <c r="EH98" s="1778">
        <f>EH51/EG51-1</f>
        <v>0.11203843473369246</v>
      </c>
      <c r="EI98" s="1778">
        <f>EI51/EH51-1</f>
        <v>8.3757693348751605E-3</v>
      </c>
      <c r="EJ98" s="1778">
        <f>EJ51/EI51-1</f>
        <v>6.1164094949202497E-2</v>
      </c>
      <c r="EK98" s="1829"/>
      <c r="EL98" s="1778">
        <f>EL51/EJ51-1</f>
        <v>-1.0951698078992878E-2</v>
      </c>
      <c r="EM98" s="1778">
        <f>EM51/EL51-1</f>
        <v>4.5621685050005967E-2</v>
      </c>
      <c r="EN98" s="1778">
        <f>EN51/EM51-1</f>
        <v>5.1736152926364687E-2</v>
      </c>
      <c r="EO98" s="1778">
        <f ca="1">EO51/EN51-1</f>
        <v>0.11339257343557496</v>
      </c>
      <c r="EP98" s="1829"/>
      <c r="EQ98" s="1778">
        <f ca="1">EQ51/EO51-1</f>
        <v>-6.9159056506415961E-3</v>
      </c>
      <c r="ER98" s="1778">
        <f ca="1">ER51/EQ51-1</f>
        <v>5.2233356898339522E-2</v>
      </c>
      <c r="ES98" s="1778">
        <f ca="1">ES51/ER51-1</f>
        <v>3.1068130046237208E-2</v>
      </c>
      <c r="ET98" s="1778">
        <f ca="1">ET51/ES51-1</f>
        <v>7.1168382800039343E-2</v>
      </c>
      <c r="EU98" s="1829"/>
      <c r="EV98" s="1829"/>
      <c r="EW98" s="1829"/>
      <c r="EX98" s="1829"/>
      <c r="EY98" s="1829"/>
      <c r="EZ98" s="2612"/>
      <c r="FA98" s="725"/>
      <c r="FB98" s="725"/>
      <c r="FC98" s="725"/>
      <c r="FD98" s="725"/>
      <c r="FE98" s="725"/>
      <c r="FF98" s="725"/>
      <c r="FG98" s="725"/>
      <c r="FH98" s="725"/>
      <c r="FI98" s="725"/>
      <c r="FJ98" s="725"/>
      <c r="FK98" s="725"/>
      <c r="FL98" s="725"/>
    </row>
    <row r="99" spans="1:168" s="31" customFormat="1" ht="11.25" hidden="1" customHeight="1" outlineLevel="1">
      <c r="A99" s="3762" t="s">
        <v>428</v>
      </c>
      <c r="B99" s="1823"/>
      <c r="C99" s="1823"/>
      <c r="D99" s="1823"/>
      <c r="E99" s="1823"/>
      <c r="F99" s="1444"/>
      <c r="G99" s="1823"/>
      <c r="H99" s="1823"/>
      <c r="I99" s="1823"/>
      <c r="J99" s="1823"/>
      <c r="K99" s="1444"/>
      <c r="L99" s="1824"/>
      <c r="M99" s="1824"/>
      <c r="N99" s="1824"/>
      <c r="O99" s="1824"/>
      <c r="P99" s="1444"/>
      <c r="Q99" s="1824"/>
      <c r="R99" s="1823"/>
      <c r="S99" s="1823"/>
      <c r="T99" s="1823"/>
      <c r="U99" s="1444"/>
      <c r="V99" s="1823"/>
      <c r="W99" s="1823"/>
      <c r="X99" s="1823"/>
      <c r="Y99" s="1823"/>
      <c r="Z99" s="1444"/>
      <c r="AA99" s="1823"/>
      <c r="AB99" s="1823"/>
      <c r="AC99" s="1823"/>
      <c r="AD99" s="1823"/>
      <c r="AE99" s="1444"/>
      <c r="AF99" s="1823"/>
      <c r="AG99" s="1823"/>
      <c r="AH99" s="1823"/>
      <c r="AI99" s="1823"/>
      <c r="AJ99" s="1444"/>
      <c r="AK99" s="1823"/>
      <c r="AL99" s="1823"/>
      <c r="AM99" s="1823"/>
      <c r="AN99" s="1823"/>
      <c r="AO99" s="1444"/>
      <c r="AP99" s="1823"/>
      <c r="AQ99" s="1823"/>
      <c r="AR99" s="1823"/>
      <c r="AS99" s="1823"/>
      <c r="AT99" s="1444"/>
      <c r="AU99" s="1823"/>
      <c r="AV99" s="1823"/>
      <c r="AW99" s="1823"/>
      <c r="AX99" s="1823"/>
      <c r="AY99" s="1713"/>
      <c r="AZ99" s="1823"/>
      <c r="BA99" s="1823"/>
      <c r="BB99" s="1823"/>
      <c r="BC99" s="1823"/>
      <c r="BD99" s="1713"/>
      <c r="BE99" s="1825"/>
      <c r="BF99" s="1823"/>
      <c r="BG99" s="1823"/>
      <c r="BH99" s="1823"/>
      <c r="BI99" s="1713"/>
      <c r="BJ99" s="1823"/>
      <c r="BK99" s="1823"/>
      <c r="BL99" s="1823"/>
      <c r="BM99" s="1823"/>
      <c r="BN99" s="1713"/>
      <c r="BO99" s="1823"/>
      <c r="BP99" s="1823"/>
      <c r="BQ99" s="1823"/>
      <c r="BR99" s="1826"/>
      <c r="BS99" s="1757"/>
      <c r="BT99" s="1823"/>
      <c r="BU99" s="1823"/>
      <c r="BV99" s="1823"/>
      <c r="BW99" s="1823"/>
      <c r="BX99" s="1713"/>
      <c r="BY99" s="1823"/>
      <c r="BZ99" s="1823"/>
      <c r="CA99" s="1823"/>
      <c r="CB99" s="1823"/>
      <c r="CC99" s="1713"/>
      <c r="CD99" s="1823"/>
      <c r="CE99" s="1823"/>
      <c r="CF99" s="1823"/>
      <c r="CG99" s="1823"/>
      <c r="CH99" s="1713"/>
      <c r="CI99" s="1823"/>
      <c r="CJ99" s="1823"/>
      <c r="CK99" s="1823"/>
      <c r="CL99" s="1823"/>
      <c r="CM99" s="1713"/>
      <c r="CN99" s="1823"/>
      <c r="CO99" s="1823"/>
      <c r="CP99" s="1823"/>
      <c r="CQ99" s="1823"/>
      <c r="CR99" s="1713"/>
      <c r="CS99" s="1823"/>
      <c r="CT99" s="1823"/>
      <c r="CU99" s="1823"/>
      <c r="CV99" s="1823"/>
      <c r="CW99" s="1713"/>
      <c r="CX99" s="1823"/>
      <c r="CY99" s="1823"/>
      <c r="CZ99" s="1823"/>
      <c r="DA99" s="1823"/>
      <c r="DB99" s="1713"/>
      <c r="DC99" s="1823"/>
      <c r="DD99" s="1823"/>
      <c r="DE99" s="1823"/>
      <c r="DF99" s="1823"/>
      <c r="DG99" s="1713"/>
      <c r="DH99" s="3983"/>
      <c r="DI99" s="3983"/>
      <c r="DJ99" s="3983"/>
      <c r="DK99" s="3983"/>
      <c r="DL99" s="1713"/>
      <c r="DM99" s="3983"/>
      <c r="DN99" s="3983"/>
      <c r="DO99" s="3983"/>
      <c r="DP99" s="3983"/>
      <c r="DQ99" s="1713"/>
      <c r="DR99" s="3983"/>
      <c r="DS99" s="3983"/>
      <c r="DT99" s="3983"/>
      <c r="DU99" s="3983"/>
      <c r="DV99" s="1713"/>
      <c r="DW99" s="3983"/>
      <c r="DX99" s="3983"/>
      <c r="DY99" s="3983"/>
      <c r="DZ99" s="3983"/>
      <c r="EA99" s="1713"/>
      <c r="EB99" s="3983"/>
      <c r="EC99" s="3983"/>
      <c r="ED99" s="3983"/>
      <c r="EE99" s="3983"/>
      <c r="EF99" s="1713"/>
      <c r="EG99" s="3983"/>
      <c r="EH99" s="3983"/>
      <c r="EI99" s="3983"/>
      <c r="EJ99" s="3983"/>
      <c r="EK99" s="1713"/>
      <c r="EL99" s="3983"/>
      <c r="EM99" s="3983"/>
      <c r="EN99" s="3983"/>
      <c r="EO99" s="3983"/>
      <c r="EP99" s="1713"/>
      <c r="EQ99" s="3983"/>
      <c r="ER99" s="3983"/>
      <c r="ES99" s="3983"/>
      <c r="ET99" s="3983"/>
      <c r="EU99" s="1713"/>
      <c r="EV99" s="1713"/>
      <c r="EW99" s="1713"/>
      <c r="EX99" s="1713"/>
      <c r="EY99" s="1713"/>
      <c r="EZ99" s="208"/>
      <c r="FA99" s="717"/>
      <c r="FB99" s="717"/>
      <c r="FC99" s="717"/>
      <c r="FD99" s="717"/>
      <c r="FE99" s="717"/>
      <c r="FF99" s="717"/>
      <c r="FG99" s="717"/>
      <c r="FH99" s="717"/>
      <c r="FI99" s="717"/>
      <c r="FJ99" s="717"/>
      <c r="FK99" s="717"/>
      <c r="FL99" s="717"/>
    </row>
    <row r="100" spans="1:168" ht="11.25" hidden="1" customHeight="1" outlineLevel="1">
      <c r="A100" s="3770" t="s">
        <v>232</v>
      </c>
      <c r="B100" s="3141"/>
      <c r="C100" s="3141"/>
      <c r="D100" s="3141"/>
      <c r="E100" s="3141"/>
      <c r="F100" s="3183"/>
      <c r="G100" s="3141"/>
      <c r="H100" s="3141"/>
      <c r="I100" s="3141"/>
      <c r="J100" s="3141"/>
      <c r="K100" s="3183"/>
      <c r="L100" s="3141"/>
      <c r="M100" s="3141"/>
      <c r="N100" s="3141"/>
      <c r="O100" s="3141"/>
      <c r="P100" s="3183"/>
      <c r="Q100" s="3333"/>
      <c r="R100" s="3333"/>
      <c r="S100" s="3333"/>
      <c r="T100" s="3333"/>
      <c r="U100" s="3401"/>
      <c r="V100" s="3333"/>
      <c r="W100" s="3333"/>
      <c r="X100" s="3333"/>
      <c r="Y100" s="3333"/>
      <c r="Z100" s="3401"/>
      <c r="AA100" s="3333"/>
      <c r="AB100" s="3333"/>
      <c r="AC100" s="3333"/>
      <c r="AD100" s="3333"/>
      <c r="AE100" s="3401"/>
      <c r="AF100" s="3333"/>
      <c r="AG100" s="3333"/>
      <c r="AH100" s="3333"/>
      <c r="AI100" s="3333"/>
      <c r="AJ100" s="3401"/>
      <c r="AK100" s="3333"/>
      <c r="AL100" s="3333"/>
      <c r="AM100" s="3333"/>
      <c r="AN100" s="3333"/>
      <c r="AO100" s="3401"/>
      <c r="AP100" s="3333"/>
      <c r="AQ100" s="3333"/>
      <c r="AR100" s="3333"/>
      <c r="AS100" s="3333"/>
      <c r="AT100" s="3401"/>
      <c r="AU100" s="3333"/>
      <c r="AV100" s="3333"/>
      <c r="AW100" s="3333"/>
      <c r="AX100" s="3333"/>
      <c r="AY100" s="3401"/>
      <c r="AZ100" s="3333"/>
      <c r="BA100" s="3333"/>
      <c r="BB100" s="3333"/>
      <c r="BC100" s="3333"/>
      <c r="BD100" s="3401"/>
      <c r="BE100" s="3333"/>
      <c r="BF100" s="3333"/>
      <c r="BG100" s="3333"/>
      <c r="BH100" s="3333"/>
      <c r="BI100" s="3401"/>
      <c r="BJ100" s="3333"/>
      <c r="BK100" s="3333"/>
      <c r="BL100" s="3333"/>
      <c r="BM100" s="3333"/>
      <c r="BN100" s="3401"/>
      <c r="BO100" s="3333"/>
      <c r="BP100" s="3333"/>
      <c r="BQ100" s="3333"/>
      <c r="BR100" s="3403"/>
      <c r="BS100" s="3404"/>
      <c r="BT100" s="3333"/>
      <c r="BU100" s="3333"/>
      <c r="BV100" s="3333"/>
      <c r="BW100" s="3333"/>
      <c r="BX100" s="3401"/>
      <c r="BY100" s="3333"/>
      <c r="BZ100" s="3333"/>
      <c r="CA100" s="3333"/>
      <c r="CB100" s="3333"/>
      <c r="CC100" s="3401"/>
      <c r="CD100" s="3333"/>
      <c r="CE100" s="3333"/>
      <c r="CF100" s="3333"/>
      <c r="CG100" s="3333"/>
      <c r="CH100" s="3401"/>
      <c r="CI100" s="3333">
        <f>CI7/CM7</f>
        <v>0.23363282374509478</v>
      </c>
      <c r="CJ100" s="3333">
        <f>CJ7/CM7</f>
        <v>0.24173876153391616</v>
      </c>
      <c r="CK100" s="3333">
        <f>CK7/CM7</f>
        <v>0.25034469174709473</v>
      </c>
      <c r="CL100" s="3333">
        <f>CL7/CM7</f>
        <v>0.27428372297389436</v>
      </c>
      <c r="CM100" s="3401">
        <f>SUM(CI100:CL100)</f>
        <v>1</v>
      </c>
      <c r="CN100" s="3333">
        <f>CN7/CR7</f>
        <v>0.2301404205950206</v>
      </c>
      <c r="CO100" s="3333">
        <f>CO7/CR7</f>
        <v>0.23639467121844537</v>
      </c>
      <c r="CP100" s="3333">
        <f>CP7/CR7</f>
        <v>0.24903652535705237</v>
      </c>
      <c r="CQ100" s="3333">
        <f>CQ7/CR7</f>
        <v>0.28442838282948163</v>
      </c>
      <c r="CR100" s="3401">
        <f>SUM(CN100:CQ100)</f>
        <v>1</v>
      </c>
      <c r="CS100" s="3333">
        <f>CS7/CW7</f>
        <v>0.22439959234314072</v>
      </c>
      <c r="CT100" s="3333">
        <f>CT7/CW7</f>
        <v>0.23816908897554059</v>
      </c>
      <c r="CU100" s="3333">
        <f>CU7/CW7</f>
        <v>0.24870391705069125</v>
      </c>
      <c r="CV100" s="3333">
        <f>CV7/CW7</f>
        <v>0.28872740163062743</v>
      </c>
      <c r="CW100" s="3401">
        <f>SUM(CS100:CV100)</f>
        <v>1</v>
      </c>
      <c r="CX100" s="3333">
        <f>CX7/DB7</f>
        <v>0.22326462496053404</v>
      </c>
      <c r="CY100" s="3333">
        <f>CY7/DB7</f>
        <v>0.23463082404943394</v>
      </c>
      <c r="CZ100" s="3333">
        <f>CZ7/DB7</f>
        <v>0.25052546118803842</v>
      </c>
      <c r="DA100" s="3333">
        <f>DA7/DB7</f>
        <v>0.2915790898019936</v>
      </c>
      <c r="DB100" s="3401">
        <f>SUM(CX100:DA100)</f>
        <v>1</v>
      </c>
      <c r="DC100" s="3333">
        <f>DC7/DG7</f>
        <v>0.22764382139907469</v>
      </c>
      <c r="DD100" s="3333">
        <f>DD7/DG7</f>
        <v>0.23868760917708798</v>
      </c>
      <c r="DE100" s="3333">
        <f>DE7/DG7</f>
        <v>0.24660317645940988</v>
      </c>
      <c r="DF100" s="3333">
        <f>DF7/DG7</f>
        <v>0.28706539296442746</v>
      </c>
      <c r="DG100" s="3401">
        <f>SUM(DC100:DF100)</f>
        <v>1</v>
      </c>
      <c r="DH100" s="3333">
        <f>DH7/DL7</f>
        <v>0.22451299603971406</v>
      </c>
      <c r="DI100" s="3333">
        <f>DI7/DL7</f>
        <v>0.24060744978592213</v>
      </c>
      <c r="DJ100" s="3333">
        <f>DJ7/DL7</f>
        <v>0.25021469568816918</v>
      </c>
      <c r="DK100" s="3333">
        <f>DK7/DL7</f>
        <v>0.28466485848619461</v>
      </c>
      <c r="DL100" s="3401">
        <f>SUM(DH100:DK100)</f>
        <v>1</v>
      </c>
      <c r="DM100" s="3333">
        <f>DM7/DQ7</f>
        <v>0.22549540615908878</v>
      </c>
      <c r="DN100" s="3333">
        <f>DN7/DQ7</f>
        <v>0.20981553414015461</v>
      </c>
      <c r="DO100" s="3333">
        <f>DO7/DQ7</f>
        <v>0.25296531472056188</v>
      </c>
      <c r="DP100" s="3333">
        <f>DP7/DQ7</f>
        <v>0.31172374498019473</v>
      </c>
      <c r="DQ100" s="3401">
        <f>SUM(DM100:DP100)</f>
        <v>1</v>
      </c>
      <c r="DR100" s="3333">
        <f>DR7/DV7</f>
        <v>0.21469742311857382</v>
      </c>
      <c r="DS100" s="3333">
        <f>DS7/DV7</f>
        <v>0.24018289298509143</v>
      </c>
      <c r="DT100" s="3333">
        <f>DT7/DV7</f>
        <v>0.25275096356501592</v>
      </c>
      <c r="DU100" s="3333">
        <f>DU7/DV7</f>
        <v>0.29236872033131889</v>
      </c>
      <c r="DV100" s="3401">
        <f>SUM(DR100:DU100)</f>
        <v>1</v>
      </c>
      <c r="DW100" s="3333">
        <f>DW7/EA7</f>
        <v>0.24046090313821436</v>
      </c>
      <c r="DX100" s="3333">
        <f>DX7/EA7</f>
        <v>0.24637952735861066</v>
      </c>
      <c r="DY100" s="3333">
        <f>DY7/EA7</f>
        <v>0.24428290599499355</v>
      </c>
      <c r="DZ100" s="3333">
        <f>DZ7/EA7</f>
        <v>0.2688766635081814</v>
      </c>
      <c r="EA100" s="3401">
        <f>SUM(DW100:DZ100)</f>
        <v>1</v>
      </c>
      <c r="EB100" s="3333">
        <f>EB7/EF7</f>
        <v>0.22702785350397209</v>
      </c>
      <c r="EC100" s="3333">
        <f>EC7/EF7</f>
        <v>0.24269829599797002</v>
      </c>
      <c r="ED100" s="3333">
        <f>ED7/EF7</f>
        <v>0.24949413456345929</v>
      </c>
      <c r="EE100" s="3333">
        <f>EE7/EF7</f>
        <v>0.28077971593459861</v>
      </c>
      <c r="EF100" s="3401">
        <f>SUM(EB100:EE100)</f>
        <v>1</v>
      </c>
      <c r="EG100" s="3333">
        <f>EG7/EK7</f>
        <v>0.23009959487797771</v>
      </c>
      <c r="EH100" s="3333">
        <f>EH7/EK7</f>
        <v>0.24210754875463547</v>
      </c>
      <c r="EI100" s="3333">
        <f>EI7/EK7</f>
        <v>0.25218131638944286</v>
      </c>
      <c r="EJ100" s="3333">
        <f>EJ7/EK7</f>
        <v>0.27561153997794396</v>
      </c>
      <c r="EK100" s="3401">
        <f>SUM(EG100:EJ100)</f>
        <v>1</v>
      </c>
      <c r="EL100" s="3333">
        <f>EL7/EP7</f>
        <v>0.22487981383992908</v>
      </c>
      <c r="EM100" s="3333">
        <f>EM7/EP7</f>
        <v>0.24031640721852829</v>
      </c>
      <c r="EN100" s="3333">
        <f>EN7/EP7</f>
        <v>0.25506515755991516</v>
      </c>
      <c r="EO100" s="3333">
        <f>EO7/EP7</f>
        <v>0.27973862138162753</v>
      </c>
      <c r="EP100" s="3401">
        <f>SUM(EL100:EO100)</f>
        <v>1</v>
      </c>
      <c r="EQ100" s="3333">
        <f>EQ7/EU7</f>
        <v>0.22704278734639666</v>
      </c>
      <c r="ER100" s="3333">
        <f>ER7/EU7</f>
        <v>0.24047195418508474</v>
      </c>
      <c r="ES100" s="3333">
        <f>ES7/EU7</f>
        <v>0.25387152887516962</v>
      </c>
      <c r="ET100" s="3333">
        <f>ET7/EU7</f>
        <v>0.27861372959334885</v>
      </c>
      <c r="EU100" s="3401">
        <f>SUM(EQ100:ET100)</f>
        <v>0.99999999999999989</v>
      </c>
      <c r="EV100" s="4119"/>
      <c r="EW100" s="4119"/>
      <c r="EX100" s="4119"/>
      <c r="EY100" s="4119"/>
      <c r="EZ100" s="4120"/>
      <c r="FA100" s="1100"/>
      <c r="FB100" s="1100"/>
      <c r="FC100" s="1100"/>
      <c r="FD100" s="1100"/>
      <c r="FE100" s="1100"/>
      <c r="FF100" s="1100"/>
      <c r="FG100" s="1100"/>
      <c r="FH100" s="1100"/>
      <c r="FI100" s="1100"/>
      <c r="FJ100" s="1100"/>
      <c r="FK100" s="1100"/>
      <c r="FL100" s="1100"/>
    </row>
    <row r="101" spans="1:168" ht="11.25" hidden="1" customHeight="1" outlineLevel="1">
      <c r="A101" s="3738" t="s">
        <v>176</v>
      </c>
      <c r="B101" s="32"/>
      <c r="C101" s="32"/>
      <c r="D101" s="32"/>
      <c r="E101" s="32"/>
      <c r="F101" s="1000"/>
      <c r="G101" s="32"/>
      <c r="J101" s="32"/>
      <c r="K101" s="1000"/>
      <c r="L101" s="32"/>
      <c r="M101" s="32"/>
      <c r="N101" s="32"/>
      <c r="O101" s="32"/>
      <c r="P101" s="1000"/>
      <c r="Q101" s="124"/>
      <c r="R101" s="124"/>
      <c r="S101" s="124"/>
      <c r="T101" s="124"/>
      <c r="U101" s="997"/>
      <c r="V101" s="124"/>
      <c r="W101" s="124"/>
      <c r="X101" s="124"/>
      <c r="Y101" s="124"/>
      <c r="Z101" s="997"/>
      <c r="AA101" s="124"/>
      <c r="AB101" s="124"/>
      <c r="AC101" s="124"/>
      <c r="AD101" s="124"/>
      <c r="AE101" s="997"/>
      <c r="AF101" s="124"/>
      <c r="AG101" s="124"/>
      <c r="AH101" s="124"/>
      <c r="AI101" s="124"/>
      <c r="AJ101" s="997"/>
      <c r="AK101" s="124"/>
      <c r="AL101" s="124"/>
      <c r="AM101" s="124"/>
      <c r="AN101" s="124"/>
      <c r="AO101" s="997"/>
      <c r="AP101" s="124"/>
      <c r="AQ101" s="124"/>
      <c r="AR101" s="124"/>
      <c r="AS101" s="124"/>
      <c r="AT101" s="997"/>
      <c r="AU101" s="124"/>
      <c r="AV101" s="124"/>
      <c r="AW101" s="124"/>
      <c r="AX101" s="124"/>
      <c r="AY101" s="997"/>
      <c r="AZ101" s="124"/>
      <c r="BA101" s="124"/>
      <c r="BB101" s="124"/>
      <c r="BC101" s="124"/>
      <c r="BD101" s="997"/>
      <c r="BE101" s="124"/>
      <c r="BF101" s="124"/>
      <c r="BG101" s="124"/>
      <c r="BH101" s="124"/>
      <c r="BI101" s="997"/>
      <c r="BJ101" s="124"/>
      <c r="BK101" s="124"/>
      <c r="BL101" s="124"/>
      <c r="BM101" s="124"/>
      <c r="BN101" s="997"/>
      <c r="BO101" s="124"/>
      <c r="BP101" s="124"/>
      <c r="BQ101" s="124"/>
      <c r="BR101" s="123"/>
      <c r="BS101" s="1761"/>
      <c r="BT101" s="124"/>
      <c r="BU101" s="124"/>
      <c r="BV101" s="124"/>
      <c r="BW101" s="124"/>
      <c r="BX101" s="997"/>
      <c r="BY101" s="124"/>
      <c r="BZ101" s="124"/>
      <c r="CA101" s="124"/>
      <c r="CB101" s="124"/>
      <c r="CC101" s="997"/>
      <c r="CD101" s="124"/>
      <c r="CE101" s="124"/>
      <c r="CF101" s="124"/>
      <c r="CG101" s="124"/>
      <c r="CH101" s="997"/>
      <c r="CI101" s="124">
        <f>CI8/CM8</f>
        <v>0.23946062087871378</v>
      </c>
      <c r="CJ101" s="124">
        <f>CJ8/CM8</f>
        <v>0.24398014373564494</v>
      </c>
      <c r="CK101" s="124">
        <f>CK8/CM8</f>
        <v>0.24805512336074684</v>
      </c>
      <c r="CL101" s="124">
        <f>CL8/CM8</f>
        <v>0.26820774987034157</v>
      </c>
      <c r="CM101" s="997">
        <f t="shared" ref="CM101:CM112" si="474">SUM(CI101:CL101)</f>
        <v>0.99970363784544714</v>
      </c>
      <c r="CN101" s="124">
        <f>CN8/CR8</f>
        <v>0.23321480861744404</v>
      </c>
      <c r="CO101" s="124">
        <f>CO8/CR8</f>
        <v>0.23544586209300705</v>
      </c>
      <c r="CP101" s="124">
        <f>CP8/CR8</f>
        <v>0.24862302168305098</v>
      </c>
      <c r="CQ101" s="124">
        <f>CQ8/CR8</f>
        <v>0.28271630760649796</v>
      </c>
      <c r="CR101" s="997">
        <f t="shared" ref="CR101:CR112" si="475">SUM(CN101:CQ101)</f>
        <v>1</v>
      </c>
      <c r="CS101" s="124">
        <f>CS8/CW8</f>
        <v>0.22557017805037813</v>
      </c>
      <c r="CT101" s="124">
        <f>CT8/CW8</f>
        <v>0.23670577026141845</v>
      </c>
      <c r="CU101" s="124">
        <f>CU8/CW8</f>
        <v>0.24903233490144702</v>
      </c>
      <c r="CV101" s="124">
        <f>CV8/CW8</f>
        <v>0.28869171678675637</v>
      </c>
      <c r="CW101" s="997">
        <f t="shared" ref="CW101:CW112" si="476">SUM(CS101:CV101)</f>
        <v>1</v>
      </c>
      <c r="CX101" s="124">
        <f>CX8/DB8</f>
        <v>0.21359357696567</v>
      </c>
      <c r="CY101" s="124">
        <f>CY8/DB8</f>
        <v>0.23491140642303432</v>
      </c>
      <c r="CZ101" s="124">
        <f>CZ8/DB8</f>
        <v>0.25387596899224807</v>
      </c>
      <c r="DA101" s="124">
        <f>DA8/DB8</f>
        <v>0.29761904761904762</v>
      </c>
      <c r="DB101" s="997">
        <f t="shared" ref="DB101:DB112" si="477">SUM(CX101:DA101)</f>
        <v>1</v>
      </c>
      <c r="DC101" s="124">
        <f>DC8/DG8</f>
        <v>0.23527650976577116</v>
      </c>
      <c r="DD101" s="124">
        <f>DD8/DG8</f>
        <v>0.24021552046696101</v>
      </c>
      <c r="DE101" s="124">
        <f>DE8/DG8</f>
        <v>0.24627703360023948</v>
      </c>
      <c r="DF101" s="124">
        <f>DF8/DG8</f>
        <v>0.27823093616702838</v>
      </c>
      <c r="DG101" s="997">
        <f t="shared" ref="DG101:DG112" si="478">SUM(DC101:DF101)</f>
        <v>1</v>
      </c>
      <c r="DH101" s="124">
        <f>DH8/DL8</f>
        <v>0.22799029545681146</v>
      </c>
      <c r="DI101" s="124">
        <f>DI8/DL8</f>
        <v>0.24055302602279902</v>
      </c>
      <c r="DJ101" s="124">
        <f>DJ8/DL8</f>
        <v>0.24892817973345741</v>
      </c>
      <c r="DK101" s="124">
        <f>DK8/DL8</f>
        <v>0.28252849878693209</v>
      </c>
      <c r="DL101" s="997">
        <f t="shared" ref="DL101:DL112" si="479">SUM(DH101:DK101)</f>
        <v>1</v>
      </c>
      <c r="DM101" s="124">
        <f>DM8/DQ8</f>
        <v>0.22734761120263591</v>
      </c>
      <c r="DN101" s="124">
        <f>DN8/DQ8</f>
        <v>0.20422234425529318</v>
      </c>
      <c r="DO101" s="124">
        <f>DO8/DQ8</f>
        <v>0.2491305143693941</v>
      </c>
      <c r="DP101" s="124">
        <f>DP8/DQ8</f>
        <v>0.31929953017267682</v>
      </c>
      <c r="DQ101" s="997">
        <f t="shared" ref="DQ101:DQ112" si="480">SUM(DM101:DP101)</f>
        <v>1</v>
      </c>
      <c r="DR101" s="124">
        <f>DR8/DV8</f>
        <v>0.21314137734275557</v>
      </c>
      <c r="DS101" s="124">
        <f>DS8/DV8</f>
        <v>0.23984988807444146</v>
      </c>
      <c r="DT101" s="124">
        <f>DT8/DV8</f>
        <v>0.25233726901637188</v>
      </c>
      <c r="DU101" s="124">
        <f>DU8/DV8</f>
        <v>0.29467146556643109</v>
      </c>
      <c r="DV101" s="997">
        <f t="shared" ref="DV101:DV112" si="481">SUM(DR101:DU101)</f>
        <v>1</v>
      </c>
      <c r="DW101" s="124">
        <f>DW8/EA8</f>
        <v>0.24491880298233071</v>
      </c>
      <c r="DX101" s="124">
        <f>DX8/EA8</f>
        <v>0.24949443366356858</v>
      </c>
      <c r="DY101" s="124">
        <f>DY8/EA8</f>
        <v>0.24156878766213871</v>
      </c>
      <c r="DZ101" s="124">
        <f>DZ8/EA8</f>
        <v>0.264017975691962</v>
      </c>
      <c r="EA101" s="997">
        <f t="shared" ref="EA101:EA112" si="482">SUM(DW101:DZ101)</f>
        <v>1</v>
      </c>
      <c r="EB101" s="124">
        <f>EB8/EF8</f>
        <v>0.23033840349015447</v>
      </c>
      <c r="EC101" s="124">
        <f>EC8/EF8</f>
        <v>0.24637424831977361</v>
      </c>
      <c r="ED101" s="124">
        <f>ED8/EF8</f>
        <v>0.24843768423534959</v>
      </c>
      <c r="EE101" s="124">
        <f>EE8/EF8</f>
        <v>0.27484966395472232</v>
      </c>
      <c r="EF101" s="997">
        <f t="shared" ref="EF101:EF112" si="483">SUM(EB101:EE101)</f>
        <v>1</v>
      </c>
      <c r="EG101" s="124">
        <f>EG8/EK8</f>
        <v>0.23581056466302369</v>
      </c>
      <c r="EH101" s="124">
        <f>EH8/EK8</f>
        <v>0.24384335154826958</v>
      </c>
      <c r="EI101" s="124">
        <f>EI8/EK8</f>
        <v>0.24989071038251365</v>
      </c>
      <c r="EJ101" s="124">
        <f>EJ8/EK8</f>
        <v>0.27045537340619308</v>
      </c>
      <c r="EK101" s="997">
        <f t="shared" ref="EK101:EK112" si="484">SUM(EG101:EJ101)</f>
        <v>1</v>
      </c>
      <c r="EL101" s="124">
        <f>EL8/EP8</f>
        <v>0.23072031532315329</v>
      </c>
      <c r="EM101" s="124">
        <f>EM8/EP8</f>
        <v>0.24678078533801057</v>
      </c>
      <c r="EN101" s="124">
        <f>EN8/EP8</f>
        <v>0.24965052449427033</v>
      </c>
      <c r="EO101" s="124">
        <f>EO8/EP8</f>
        <v>0.27284837484456581</v>
      </c>
      <c r="EP101" s="997">
        <f t="shared" ref="EP101:EP112" si="485">SUM(EL101:EO101)</f>
        <v>1</v>
      </c>
      <c r="EQ101" s="124">
        <f>EQ8/EU8</f>
        <v>0.23736356595641228</v>
      </c>
      <c r="ER101" s="124">
        <f>ER8/EU8</f>
        <v>0.24426869708190196</v>
      </c>
      <c r="ES101" s="124">
        <f>ES8/EU8</f>
        <v>0.24848836739616259</v>
      </c>
      <c r="ET101" s="124">
        <f>ET8/EU8</f>
        <v>0.26987936956552316</v>
      </c>
      <c r="EU101" s="997">
        <f t="shared" ref="EU101:EU112" si="486">SUM(EQ101:ET101)</f>
        <v>1</v>
      </c>
      <c r="EV101" s="993"/>
      <c r="EW101" s="993"/>
      <c r="EX101" s="993"/>
      <c r="EY101" s="993"/>
      <c r="EZ101" s="208"/>
      <c r="FA101" s="4284"/>
      <c r="FB101" s="4284"/>
      <c r="FC101" s="4284"/>
      <c r="FD101" s="4284"/>
      <c r="FE101" s="4284"/>
      <c r="FF101" s="4284"/>
      <c r="FG101" s="4284"/>
      <c r="FH101" s="4284"/>
      <c r="FI101" s="4284"/>
      <c r="FJ101" s="4284"/>
      <c r="FK101" s="4284"/>
      <c r="FL101" s="4284"/>
    </row>
    <row r="102" spans="1:168" ht="11.25" hidden="1" customHeight="1" outlineLevel="1">
      <c r="A102" s="3770" t="s">
        <v>48</v>
      </c>
      <c r="B102" s="3333"/>
      <c r="C102" s="3333"/>
      <c r="D102" s="3333"/>
      <c r="E102" s="3333"/>
      <c r="F102" s="3183"/>
      <c r="G102" s="3333"/>
      <c r="H102" s="3333"/>
      <c r="I102" s="3333"/>
      <c r="J102" s="3333"/>
      <c r="K102" s="3183"/>
      <c r="L102" s="4121"/>
      <c r="M102" s="4121"/>
      <c r="N102" s="4121"/>
      <c r="O102" s="4121"/>
      <c r="P102" s="3183"/>
      <c r="Q102" s="3333"/>
      <c r="R102" s="3333"/>
      <c r="S102" s="3333"/>
      <c r="T102" s="3333"/>
      <c r="U102" s="3401"/>
      <c r="V102" s="3333"/>
      <c r="W102" s="3333"/>
      <c r="X102" s="3333"/>
      <c r="Y102" s="3333"/>
      <c r="Z102" s="3401"/>
      <c r="AA102" s="3333"/>
      <c r="AB102" s="3333"/>
      <c r="AC102" s="3333"/>
      <c r="AD102" s="3333"/>
      <c r="AE102" s="3401"/>
      <c r="AF102" s="3333"/>
      <c r="AG102" s="3333"/>
      <c r="AH102" s="3333"/>
      <c r="AI102" s="3333"/>
      <c r="AJ102" s="3401"/>
      <c r="AK102" s="3333"/>
      <c r="AL102" s="3333"/>
      <c r="AM102" s="3333"/>
      <c r="AN102" s="3333"/>
      <c r="AO102" s="3401"/>
      <c r="AP102" s="3333"/>
      <c r="AQ102" s="3333"/>
      <c r="AR102" s="3333"/>
      <c r="AS102" s="3333"/>
      <c r="AT102" s="3401"/>
      <c r="AU102" s="3333"/>
      <c r="AV102" s="3333"/>
      <c r="AW102" s="3333"/>
      <c r="AX102" s="3333"/>
      <c r="AY102" s="3401"/>
      <c r="AZ102" s="3333"/>
      <c r="BA102" s="3333"/>
      <c r="BB102" s="3333"/>
      <c r="BC102" s="3333"/>
      <c r="BD102" s="3401"/>
      <c r="BE102" s="3333"/>
      <c r="BF102" s="3333"/>
      <c r="BG102" s="3333"/>
      <c r="BH102" s="3333"/>
      <c r="BI102" s="3401"/>
      <c r="BJ102" s="3333"/>
      <c r="BK102" s="3333"/>
      <c r="BL102" s="3333"/>
      <c r="BM102" s="3333"/>
      <c r="BN102" s="3401"/>
      <c r="BO102" s="3333"/>
      <c r="BP102" s="3333"/>
      <c r="BQ102" s="3333"/>
      <c r="BR102" s="3403"/>
      <c r="BS102" s="3404"/>
      <c r="BT102" s="3333"/>
      <c r="BU102" s="3333"/>
      <c r="BV102" s="3333"/>
      <c r="BW102" s="3333"/>
      <c r="BX102" s="3401"/>
      <c r="BY102" s="3333"/>
      <c r="BZ102" s="3333"/>
      <c r="CA102" s="3333"/>
      <c r="CB102" s="3333"/>
      <c r="CC102" s="3401"/>
      <c r="CD102" s="3333"/>
      <c r="CE102" s="3333"/>
      <c r="CF102" s="3333"/>
      <c r="CG102" s="3333"/>
      <c r="CH102" s="3401"/>
      <c r="CI102" s="3333">
        <f>CI9/CM9</f>
        <v>0.23213469449946672</v>
      </c>
      <c r="CJ102" s="3333">
        <f>CJ9/CM9</f>
        <v>0.24116257808928843</v>
      </c>
      <c r="CK102" s="3333">
        <f>CK9/CM9</f>
        <v>0.25093326222763979</v>
      </c>
      <c r="CL102" s="3333">
        <f>CL9/CM9</f>
        <v>0.27584564985524912</v>
      </c>
      <c r="CM102" s="3401">
        <f t="shared" si="474"/>
        <v>1.0000761846716439</v>
      </c>
      <c r="CN102" s="3333">
        <f>CN9/CR9</f>
        <v>0.22941331662434455</v>
      </c>
      <c r="CO102" s="3333">
        <f>CO9/CR9</f>
        <v>0.23661906803416549</v>
      </c>
      <c r="CP102" s="3333">
        <f>CP9/CR9</f>
        <v>0.24913432048280185</v>
      </c>
      <c r="CQ102" s="3333">
        <f>CQ9/CR9</f>
        <v>0.28483329485868814</v>
      </c>
      <c r="CR102" s="3401">
        <f t="shared" si="475"/>
        <v>1</v>
      </c>
      <c r="CS102" s="3333">
        <f>CS9/CW9</f>
        <v>0.22413206494372542</v>
      </c>
      <c r="CT102" s="3333">
        <f>CT9/CW9</f>
        <v>0.238503518011949</v>
      </c>
      <c r="CU102" s="3333">
        <f>CU9/CW9</f>
        <v>0.24862885994637923</v>
      </c>
      <c r="CV102" s="3333">
        <f>CV9/CW9</f>
        <v>0.28873555709794635</v>
      </c>
      <c r="CW102" s="3401">
        <f t="shared" si="476"/>
        <v>1</v>
      </c>
      <c r="CX102" s="3333">
        <f>CX9/DB9</f>
        <v>0.22561474720518485</v>
      </c>
      <c r="CY102" s="3333">
        <f>CY9/DB9</f>
        <v>0.2345626408620477</v>
      </c>
      <c r="CZ102" s="3333">
        <f>CZ9/DB9</f>
        <v>0.24971126784252604</v>
      </c>
      <c r="DA102" s="3333">
        <f>DA9/DB9</f>
        <v>0.29011134409024142</v>
      </c>
      <c r="DB102" s="3401">
        <f t="shared" si="477"/>
        <v>1</v>
      </c>
      <c r="DC102" s="3333">
        <f>DC9/DG9</f>
        <v>0.22579092222030464</v>
      </c>
      <c r="DD102" s="3333">
        <f>DD9/DG9</f>
        <v>0.23831669588438864</v>
      </c>
      <c r="DE102" s="3333">
        <f>DE9/DG9</f>
        <v>0.24668235037649988</v>
      </c>
      <c r="DF102" s="3333">
        <f>DF9/DG9</f>
        <v>0.28921003151880681</v>
      </c>
      <c r="DG102" s="3401">
        <f t="shared" si="478"/>
        <v>1</v>
      </c>
      <c r="DH102" s="3333">
        <f>DH9/DL9</f>
        <v>0.22371896059741364</v>
      </c>
      <c r="DI102" s="3333">
        <f>DI9/DL9</f>
        <v>0.24061987736020884</v>
      </c>
      <c r="DJ102" s="3333">
        <f>DJ9/DL9</f>
        <v>0.25050846943112137</v>
      </c>
      <c r="DK102" s="3333">
        <f>DK9/DL9</f>
        <v>0.28515269261125614</v>
      </c>
      <c r="DL102" s="3401">
        <f t="shared" si="479"/>
        <v>1</v>
      </c>
      <c r="DM102" s="3333">
        <f>DM9/DQ9</f>
        <v>0.22508998390640339</v>
      </c>
      <c r="DN102" s="3333">
        <f>DN9/DQ9</f>
        <v>0.21103980660972693</v>
      </c>
      <c r="DO102" s="3333">
        <f>DO9/DQ9</f>
        <v>0.25380469986443982</v>
      </c>
      <c r="DP102" s="3333">
        <f>DP9/DQ9</f>
        <v>0.31006550961942986</v>
      </c>
      <c r="DQ102" s="3401">
        <f t="shared" si="480"/>
        <v>1</v>
      </c>
      <c r="DR102" s="3333">
        <f>DR9/DV9</f>
        <v>0.2150317582319129</v>
      </c>
      <c r="DS102" s="3333">
        <f>DS9/DV9</f>
        <v>0.24025444308745655</v>
      </c>
      <c r="DT102" s="3333">
        <f>DT9/DV9</f>
        <v>0.25283985080468335</v>
      </c>
      <c r="DU102" s="3333">
        <f>DU9/DV9</f>
        <v>0.29187394787594723</v>
      </c>
      <c r="DV102" s="3401">
        <f t="shared" si="481"/>
        <v>1</v>
      </c>
      <c r="DW102" s="3333">
        <f>DW9/EA9</f>
        <v>0.23952779404911045</v>
      </c>
      <c r="DX102" s="3333">
        <f>DX9/EA9</f>
        <v>0.24572752810189796</v>
      </c>
      <c r="DY102" s="3333">
        <f>DY9/EA9</f>
        <v>0.24485101397719353</v>
      </c>
      <c r="DZ102" s="3333">
        <f>DZ9/EA9</f>
        <v>0.26989366387179803</v>
      </c>
      <c r="EA102" s="3401">
        <f t="shared" si="482"/>
        <v>1</v>
      </c>
      <c r="EB102" s="3333">
        <f>EB9/EF9</f>
        <v>0.22637110733388432</v>
      </c>
      <c r="EC102" s="3333">
        <f>EC9/EF9</f>
        <v>0.24196906139379667</v>
      </c>
      <c r="ED102" s="3333">
        <f>ED9/EF9</f>
        <v>0.24970371294462551</v>
      </c>
      <c r="EE102" s="3333">
        <f>EE9/EF9</f>
        <v>0.28195611832769346</v>
      </c>
      <c r="EF102" s="3401">
        <f t="shared" si="483"/>
        <v>1</v>
      </c>
      <c r="EG102" s="3333">
        <f>EG9/EK9</f>
        <v>0.22903719867985009</v>
      </c>
      <c r="EH102" s="3333">
        <f>EH9/EK9</f>
        <v>0.24178464207537323</v>
      </c>
      <c r="EI102" s="3333">
        <f>EI9/EK9</f>
        <v>0.25260743160362975</v>
      </c>
      <c r="EJ102" s="3333">
        <f>EJ9/EK9</f>
        <v>0.27657072764114693</v>
      </c>
      <c r="EK102" s="3401">
        <f t="shared" si="484"/>
        <v>1</v>
      </c>
      <c r="EL102" s="3333">
        <f>EL9/EP9</f>
        <v>0.22386122070711242</v>
      </c>
      <c r="EM102" s="3333">
        <f>EM9/EP9</f>
        <v>0.23918900896696582</v>
      </c>
      <c r="EN102" s="3333">
        <f>EN9/EP9</f>
        <v>0.2560094785353022</v>
      </c>
      <c r="EO102" s="3333">
        <f>EO9/EP9</f>
        <v>0.28094029179061958</v>
      </c>
      <c r="EP102" s="3401">
        <f t="shared" si="485"/>
        <v>1</v>
      </c>
      <c r="EQ102" s="3333">
        <f>EQ9/EU9</f>
        <v>0.22537736849189696</v>
      </c>
      <c r="ER102" s="3333">
        <f>ER9/EU9</f>
        <v>0.23985929040796322</v>
      </c>
      <c r="ES102" s="3333">
        <f>ES9/EU9</f>
        <v>0.25474018607272397</v>
      </c>
      <c r="ET102" s="3333">
        <f>ET9/EU9</f>
        <v>0.28002315502741576</v>
      </c>
      <c r="EU102" s="3401">
        <f t="shared" si="486"/>
        <v>1</v>
      </c>
      <c r="EV102" s="4119"/>
      <c r="EW102" s="4119"/>
      <c r="EX102" s="4119"/>
      <c r="EY102" s="4119"/>
      <c r="EZ102" s="4120"/>
      <c r="FA102" s="717"/>
      <c r="FB102" s="717"/>
      <c r="FC102" s="717"/>
      <c r="FD102" s="717"/>
      <c r="FE102" s="717"/>
      <c r="FF102" s="717"/>
      <c r="FG102" s="717"/>
      <c r="FH102" s="717"/>
      <c r="FI102" s="717"/>
      <c r="FJ102" s="717"/>
      <c r="FK102" s="717"/>
      <c r="FL102" s="717"/>
    </row>
    <row r="103" spans="1:168" s="31" customFormat="1" ht="11.25" hidden="1" customHeight="1" outlineLevel="1">
      <c r="A103" s="3765" t="s">
        <v>178</v>
      </c>
      <c r="B103" s="124"/>
      <c r="C103" s="124"/>
      <c r="D103" s="124"/>
      <c r="E103" s="124"/>
      <c r="F103" s="1000"/>
      <c r="G103" s="124"/>
      <c r="H103" s="124"/>
      <c r="I103" s="124"/>
      <c r="J103" s="124"/>
      <c r="K103" s="1000"/>
      <c r="L103" s="742"/>
      <c r="M103" s="742"/>
      <c r="N103" s="742"/>
      <c r="O103" s="742"/>
      <c r="P103" s="1000"/>
      <c r="Q103" s="124"/>
      <c r="R103" s="124"/>
      <c r="S103" s="124"/>
      <c r="T103" s="124"/>
      <c r="U103" s="997"/>
      <c r="V103" s="124"/>
      <c r="W103" s="124"/>
      <c r="X103" s="124"/>
      <c r="Y103" s="124"/>
      <c r="Z103" s="997"/>
      <c r="AA103" s="124"/>
      <c r="AB103" s="124"/>
      <c r="AC103" s="124"/>
      <c r="AD103" s="124"/>
      <c r="AE103" s="997"/>
      <c r="AF103" s="124"/>
      <c r="AG103" s="124"/>
      <c r="AH103" s="124"/>
      <c r="AI103" s="124"/>
      <c r="AJ103" s="997"/>
      <c r="AK103" s="124"/>
      <c r="AL103" s="124"/>
      <c r="AM103" s="124"/>
      <c r="AN103" s="124"/>
      <c r="AO103" s="997"/>
      <c r="AP103" s="124"/>
      <c r="AQ103" s="124"/>
      <c r="AR103" s="124"/>
      <c r="AS103" s="124"/>
      <c r="AT103" s="997"/>
      <c r="AU103" s="124"/>
      <c r="AV103" s="124"/>
      <c r="AW103" s="124"/>
      <c r="AX103" s="124"/>
      <c r="AY103" s="997"/>
      <c r="AZ103" s="124"/>
      <c r="BA103" s="124"/>
      <c r="BB103" s="124"/>
      <c r="BC103" s="124"/>
      <c r="BD103" s="997"/>
      <c r="BE103" s="1688"/>
      <c r="BF103" s="124"/>
      <c r="BG103" s="124"/>
      <c r="BH103" s="124"/>
      <c r="BI103" s="997"/>
      <c r="BJ103" s="124"/>
      <c r="BK103" s="124"/>
      <c r="BL103" s="124"/>
      <c r="BM103" s="124"/>
      <c r="BN103" s="997"/>
      <c r="BO103" s="124"/>
      <c r="BP103" s="124"/>
      <c r="BQ103" s="124"/>
      <c r="BR103" s="124"/>
      <c r="BS103" s="997"/>
      <c r="BT103" s="124"/>
      <c r="BU103" s="124"/>
      <c r="BV103" s="124"/>
      <c r="BW103" s="124"/>
      <c r="BX103" s="997"/>
      <c r="BY103" s="124"/>
      <c r="BZ103" s="124"/>
      <c r="CA103" s="124"/>
      <c r="CB103" s="124"/>
      <c r="CC103" s="997"/>
      <c r="CD103" s="124"/>
      <c r="CE103" s="124"/>
      <c r="CF103" s="124"/>
      <c r="CG103" s="124"/>
      <c r="CH103" s="997"/>
      <c r="CI103" s="124">
        <f>CI12/CM12</f>
        <v>0.22379858947023126</v>
      </c>
      <c r="CJ103" s="124">
        <f>CJ12/CM12</f>
        <v>0.23134328358208955</v>
      </c>
      <c r="CK103" s="124">
        <f>CK12/CM12</f>
        <v>0.27447925209119239</v>
      </c>
      <c r="CL103" s="124">
        <f>CL12/CM12</f>
        <v>0.27070690503526323</v>
      </c>
      <c r="CM103" s="997">
        <f t="shared" si="474"/>
        <v>1.0003280301787765</v>
      </c>
      <c r="CN103" s="124">
        <f>CN12/CR12</f>
        <v>0.21785688445119744</v>
      </c>
      <c r="CO103" s="124">
        <f>CO12/CR12</f>
        <v>0.23196584907025541</v>
      </c>
      <c r="CP103" s="124">
        <f>CP12/CR12</f>
        <v>0.25113957021923161</v>
      </c>
      <c r="CQ103" s="124">
        <f>CQ12/CR12</f>
        <v>0.29903769625931553</v>
      </c>
      <c r="CR103" s="997">
        <f t="shared" si="475"/>
        <v>1</v>
      </c>
      <c r="CS103" s="124">
        <f>CS12/CW12</f>
        <v>0.21041155628236577</v>
      </c>
      <c r="CT103" s="124">
        <f>CT12/CW12</f>
        <v>0.22649223221586262</v>
      </c>
      <c r="CU103" s="124">
        <f>CU12/CW12</f>
        <v>0.24622512946306896</v>
      </c>
      <c r="CV103" s="124">
        <f>CV12/CW12</f>
        <v>0.31687108203870262</v>
      </c>
      <c r="CW103" s="997">
        <f t="shared" si="476"/>
        <v>1</v>
      </c>
      <c r="CX103" s="124">
        <f>CX12/DB12</f>
        <v>0.21605118982894903</v>
      </c>
      <c r="CY103" s="124">
        <f>CY12/DB12</f>
        <v>0.22090251348751622</v>
      </c>
      <c r="CZ103" s="124">
        <f>CZ12/DB12</f>
        <v>0.23612563255405461</v>
      </c>
      <c r="DA103" s="124">
        <f>DA12/DB12</f>
        <v>0.32692066412948018</v>
      </c>
      <c r="DB103" s="997">
        <f t="shared" si="477"/>
        <v>1</v>
      </c>
      <c r="DC103" s="124">
        <f>DC12/DG12</f>
        <v>0.21871858148249704</v>
      </c>
      <c r="DD103" s="124">
        <f>DD12/DG12</f>
        <v>0.22737105078755751</v>
      </c>
      <c r="DE103" s="124">
        <f>DE12/DG12</f>
        <v>0.23456113091429789</v>
      </c>
      <c r="DF103" s="124">
        <f>DF12/DG12</f>
        <v>0.31934923681564759</v>
      </c>
      <c r="DG103" s="997">
        <f t="shared" si="478"/>
        <v>1</v>
      </c>
      <c r="DH103" s="124">
        <f>DH12/DL12</f>
        <v>0.21891070873298729</v>
      </c>
      <c r="DI103" s="124">
        <f>DI12/DL12</f>
        <v>0.24058172076446527</v>
      </c>
      <c r="DJ103" s="124">
        <f>DJ12/DL12</f>
        <v>0.24106010955103213</v>
      </c>
      <c r="DK103" s="124">
        <f>DK12/DL12</f>
        <v>0.29944746095151531</v>
      </c>
      <c r="DL103" s="997">
        <f t="shared" si="479"/>
        <v>1</v>
      </c>
      <c r="DM103" s="124">
        <f>DM12/DQ12</f>
        <v>0.22192708934826963</v>
      </c>
      <c r="DN103" s="124">
        <f>DN12/DQ12</f>
        <v>0.22825961427416561</v>
      </c>
      <c r="DO103" s="124">
        <f>DO12/DQ12</f>
        <v>0.24927820764522463</v>
      </c>
      <c r="DP103" s="124">
        <f>DP12/DQ12</f>
        <v>0.30053508873234014</v>
      </c>
      <c r="DQ103" s="997">
        <f t="shared" si="480"/>
        <v>1</v>
      </c>
      <c r="DR103" s="124">
        <f>DR12/DV12</f>
        <v>0.2201367537056583</v>
      </c>
      <c r="DS103" s="124">
        <f>DS12/DV12</f>
        <v>0.23401098312759089</v>
      </c>
      <c r="DT103" s="124">
        <f>DT12/DV12</f>
        <v>0.24663087207256817</v>
      </c>
      <c r="DU103" s="124">
        <f>DU12/DV12</f>
        <v>0.29922139109418261</v>
      </c>
      <c r="DV103" s="997">
        <f t="shared" si="481"/>
        <v>1</v>
      </c>
      <c r="DW103" s="124">
        <f>DW12/EA12</f>
        <v>0.2279541217895609</v>
      </c>
      <c r="DX103" s="124">
        <f>DX12/EA12</f>
        <v>0.2315917564208782</v>
      </c>
      <c r="DY103" s="124">
        <f>DY12/EA12</f>
        <v>0.25025890637945319</v>
      </c>
      <c r="DZ103" s="124">
        <f>DZ12/EA12</f>
        <v>0.29019521541010773</v>
      </c>
      <c r="EA103" s="997">
        <f t="shared" si="482"/>
        <v>1</v>
      </c>
      <c r="EB103" s="124">
        <f>EB12/EF12</f>
        <v>0.22913179535696093</v>
      </c>
      <c r="EC103" s="124">
        <f>EC12/EF12</f>
        <v>0.23505082114353637</v>
      </c>
      <c r="ED103" s="124">
        <f>ED12/EF12</f>
        <v>0.24970283579555103</v>
      </c>
      <c r="EE103" s="124">
        <f>EE12/EF12</f>
        <v>0.28611454770395167</v>
      </c>
      <c r="EF103" s="997">
        <f t="shared" si="483"/>
        <v>1</v>
      </c>
      <c r="EG103" s="124">
        <f>EG12/EK12</f>
        <v>0.22718421110211584</v>
      </c>
      <c r="EH103" s="124">
        <f>EH12/EK12</f>
        <v>0.24199724306938275</v>
      </c>
      <c r="EI103" s="124">
        <f>EI12/EK12</f>
        <v>0.24894427061680852</v>
      </c>
      <c r="EJ103" s="124">
        <f>EJ12/EK12</f>
        <v>0.28187427521169289</v>
      </c>
      <c r="EK103" s="997">
        <f t="shared" si="484"/>
        <v>1</v>
      </c>
      <c r="EL103" s="124">
        <f>EL12/EP12</f>
        <v>0.21770857982145045</v>
      </c>
      <c r="EM103" s="124">
        <f>EM12/EP12</f>
        <v>0.23427765362292377</v>
      </c>
      <c r="EN103" s="124">
        <f>EN12/EP12</f>
        <v>0.2550636096585896</v>
      </c>
      <c r="EO103" s="124">
        <f>EO12/EP12</f>
        <v>0.29295015689703618</v>
      </c>
      <c r="EP103" s="997">
        <f t="shared" si="485"/>
        <v>1</v>
      </c>
      <c r="EQ103" s="124">
        <f>EQ12/EU12</f>
        <v>0.21414573877677648</v>
      </c>
      <c r="ER103" s="124">
        <f>ER12/EU12</f>
        <v>0.2332237630928643</v>
      </c>
      <c r="ES103" s="124">
        <f>ES12/EU12</f>
        <v>0.25818161818207364</v>
      </c>
      <c r="ET103" s="124">
        <f>ET12/EU12</f>
        <v>0.29444887994828556</v>
      </c>
      <c r="EU103" s="997">
        <f t="shared" si="486"/>
        <v>1</v>
      </c>
      <c r="EV103" s="993"/>
      <c r="EW103" s="993"/>
      <c r="EX103" s="993"/>
      <c r="EY103" s="993"/>
      <c r="EZ103" s="208"/>
      <c r="FA103" s="717"/>
      <c r="FB103" s="717"/>
      <c r="FC103" s="717"/>
      <c r="FD103" s="717"/>
      <c r="FE103" s="717"/>
      <c r="FF103" s="717"/>
      <c r="FG103" s="717"/>
      <c r="FH103" s="717"/>
      <c r="FI103" s="717"/>
      <c r="FJ103" s="717"/>
      <c r="FK103" s="717"/>
      <c r="FL103" s="717"/>
    </row>
    <row r="104" spans="1:168" s="31" customFormat="1" ht="11.25" hidden="1" customHeight="1" outlineLevel="1">
      <c r="A104" s="3766" t="s">
        <v>362</v>
      </c>
      <c r="B104" s="3060"/>
      <c r="C104" s="3060"/>
      <c r="D104" s="3060"/>
      <c r="E104" s="3060"/>
      <c r="F104" s="3058"/>
      <c r="G104" s="3060"/>
      <c r="H104" s="3060"/>
      <c r="I104" s="3060"/>
      <c r="J104" s="3060"/>
      <c r="K104" s="3058"/>
      <c r="L104" s="3406"/>
      <c r="M104" s="3406"/>
      <c r="N104" s="3406"/>
      <c r="O104" s="3406"/>
      <c r="P104" s="3058"/>
      <c r="Q104" s="3060"/>
      <c r="R104" s="3060"/>
      <c r="S104" s="3060"/>
      <c r="T104" s="3060"/>
      <c r="U104" s="3059"/>
      <c r="V104" s="3060"/>
      <c r="W104" s="3060"/>
      <c r="X104" s="3060"/>
      <c r="Y104" s="3060"/>
      <c r="Z104" s="3059"/>
      <c r="AA104" s="3060"/>
      <c r="AB104" s="3060"/>
      <c r="AC104" s="3060"/>
      <c r="AD104" s="3060"/>
      <c r="AE104" s="3059"/>
      <c r="AF104" s="3060"/>
      <c r="AG104" s="3060"/>
      <c r="AH104" s="3060"/>
      <c r="AI104" s="3060"/>
      <c r="AJ104" s="3059"/>
      <c r="AK104" s="3060"/>
      <c r="AL104" s="3060"/>
      <c r="AM104" s="3060"/>
      <c r="AN104" s="3060"/>
      <c r="AO104" s="3059"/>
      <c r="AP104" s="3060"/>
      <c r="AQ104" s="3060"/>
      <c r="AR104" s="3060"/>
      <c r="AS104" s="3060"/>
      <c r="AT104" s="3059"/>
      <c r="AU104" s="3060"/>
      <c r="AV104" s="3060"/>
      <c r="AW104" s="3060"/>
      <c r="AX104" s="3060"/>
      <c r="AY104" s="3059"/>
      <c r="AZ104" s="3060"/>
      <c r="BA104" s="3060"/>
      <c r="BB104" s="3060"/>
      <c r="BC104" s="3060"/>
      <c r="BD104" s="3059"/>
      <c r="BE104" s="3310"/>
      <c r="BF104" s="3060"/>
      <c r="BG104" s="3060"/>
      <c r="BH104" s="3060"/>
      <c r="BI104" s="3059"/>
      <c r="BJ104" s="3060"/>
      <c r="BK104" s="3060"/>
      <c r="BL104" s="3060"/>
      <c r="BM104" s="3060"/>
      <c r="BN104" s="3059"/>
      <c r="BO104" s="3060"/>
      <c r="BP104" s="3060"/>
      <c r="BQ104" s="3060"/>
      <c r="BR104" s="3060"/>
      <c r="BS104" s="3059"/>
      <c r="BT104" s="3060"/>
      <c r="BU104" s="3060"/>
      <c r="BV104" s="3060"/>
      <c r="BW104" s="3060"/>
      <c r="BX104" s="3059"/>
      <c r="BY104" s="3060"/>
      <c r="BZ104" s="3060"/>
      <c r="CA104" s="3060"/>
      <c r="CB104" s="3060"/>
      <c r="CC104" s="3059"/>
      <c r="CD104" s="3060"/>
      <c r="CE104" s="3060"/>
      <c r="CF104" s="3060"/>
      <c r="CG104" s="3060"/>
      <c r="CH104" s="3059"/>
      <c r="CI104" s="3060">
        <f>CI13/CM13</f>
        <v>0.23465641280079386</v>
      </c>
      <c r="CJ104" s="3060">
        <f>CJ13/CM13</f>
        <v>0.24413296948647978</v>
      </c>
      <c r="CK104" s="3060">
        <f>CK13/CM13</f>
        <v>0.2438104688662863</v>
      </c>
      <c r="CL104" s="3060">
        <f>CL13/CM13</f>
        <v>0.2774001488464401</v>
      </c>
      <c r="CM104" s="3059">
        <f t="shared" si="474"/>
        <v>1</v>
      </c>
      <c r="CN104" s="3060">
        <f>CN13/CR13</f>
        <v>0.23282434596903365</v>
      </c>
      <c r="CO104" s="3060">
        <f>CO13/CR13</f>
        <v>0.2379925253603844</v>
      </c>
      <c r="CP104" s="3060">
        <f>CP13/CR13</f>
        <v>0.24854244527495994</v>
      </c>
      <c r="CQ104" s="3060">
        <f>CQ13/CR13</f>
        <v>0.28064068339562198</v>
      </c>
      <c r="CR104" s="3059">
        <f t="shared" si="475"/>
        <v>1</v>
      </c>
      <c r="CS104" s="3060">
        <f>CS13/CW13</f>
        <v>0.22869735553379039</v>
      </c>
      <c r="CT104" s="3060">
        <f>CT13/CW13</f>
        <v>0.24250009068814163</v>
      </c>
      <c r="CU104" s="3060">
        <f>CU13/CW13</f>
        <v>0.24942866470780281</v>
      </c>
      <c r="CV104" s="3060">
        <f>CV13/CW13</f>
        <v>0.27937388907026517</v>
      </c>
      <c r="CW104" s="3059">
        <f t="shared" si="476"/>
        <v>1</v>
      </c>
      <c r="CX104" s="3060">
        <f>CX13/DB13</f>
        <v>0.22911815173428116</v>
      </c>
      <c r="CY104" s="3060">
        <f>CY13/DB13</f>
        <v>0.23956673611962251</v>
      </c>
      <c r="CZ104" s="3060">
        <f>CZ13/DB13</f>
        <v>0.25468807451893616</v>
      </c>
      <c r="DA104" s="3060">
        <f>DA13/DB13</f>
        <v>0.27662703762716018</v>
      </c>
      <c r="DB104" s="3059">
        <f t="shared" si="477"/>
        <v>1</v>
      </c>
      <c r="DC104" s="3060">
        <f>DC13/DG13</f>
        <v>0.22879513394590398</v>
      </c>
      <c r="DD104" s="3060">
        <f>DD13/DG13</f>
        <v>0.24296622233725895</v>
      </c>
      <c r="DE104" s="3060">
        <f>DE13/DG13</f>
        <v>0.25183124110262717</v>
      </c>
      <c r="DF104" s="3060">
        <f>DF13/DG13</f>
        <v>0.27640740261420993</v>
      </c>
      <c r="DG104" s="3059">
        <f t="shared" si="478"/>
        <v>1</v>
      </c>
      <c r="DH104" s="3060">
        <f>DH13/DL13</f>
        <v>0.22595346872533653</v>
      </c>
      <c r="DI104" s="3060">
        <f>DI13/DL13</f>
        <v>0.24063760963084002</v>
      </c>
      <c r="DJ104" s="3060">
        <f>DJ13/DL13</f>
        <v>0.25489934527183999</v>
      </c>
      <c r="DK104" s="3060">
        <f>DK13/DL13</f>
        <v>0.27850957637198342</v>
      </c>
      <c r="DL104" s="3059">
        <f t="shared" si="479"/>
        <v>1</v>
      </c>
      <c r="DM104" s="3060">
        <f>DM13/DQ13</f>
        <v>0.22677028477938546</v>
      </c>
      <c r="DN104" s="3060">
        <f>DN13/DQ13</f>
        <v>0.20189171225522778</v>
      </c>
      <c r="DO104" s="3060">
        <f>DO13/DQ13</f>
        <v>0.25620941765938954</v>
      </c>
      <c r="DP104" s="3060">
        <f>DP13/DQ13</f>
        <v>0.31512858530599724</v>
      </c>
      <c r="DQ104" s="3059">
        <f t="shared" si="480"/>
        <v>1</v>
      </c>
      <c r="DR104" s="3060">
        <f>DR13/DV13</f>
        <v>0.21275682013388048</v>
      </c>
      <c r="DS104" s="3060">
        <f>DS13/DV13</f>
        <v>0.24303671488363848</v>
      </c>
      <c r="DT104" s="3060">
        <f>DT13/DV13</f>
        <v>0.25560675673833316</v>
      </c>
      <c r="DU104" s="3060">
        <f>DU13/DV13</f>
        <v>0.28859970824414782</v>
      </c>
      <c r="DV104" s="3059">
        <f t="shared" si="481"/>
        <v>1</v>
      </c>
      <c r="DW104" s="3060">
        <f>DW13/EA13</f>
        <v>0.24523567830533796</v>
      </c>
      <c r="DX104" s="3060">
        <f>DX13/EA13</f>
        <v>0.25269898424980686</v>
      </c>
      <c r="DY104" s="3060">
        <f>DY13/EA13</f>
        <v>0.2421839586804824</v>
      </c>
      <c r="DZ104" s="3060">
        <f>DZ13/EA13</f>
        <v>0.25988137876437278</v>
      </c>
      <c r="EA104" s="3059">
        <f t="shared" si="482"/>
        <v>1</v>
      </c>
      <c r="EB104" s="3060">
        <f>EB13/EF13</f>
        <v>0.22506348312670199</v>
      </c>
      <c r="EC104" s="3060">
        <f>EC13/EF13</f>
        <v>0.24524594684652595</v>
      </c>
      <c r="ED104" s="3060">
        <f>ED13/EF13</f>
        <v>0.2497041284140134</v>
      </c>
      <c r="EE104" s="3060">
        <f>EE13/EF13</f>
        <v>0.27998644161275865</v>
      </c>
      <c r="EF104" s="3059">
        <f t="shared" si="483"/>
        <v>1</v>
      </c>
      <c r="EG104" s="3060">
        <f>EG13/EK13</f>
        <v>0.22986863807728558</v>
      </c>
      <c r="EH104" s="3060">
        <f>EH13/EK13</f>
        <v>0.24168924756519009</v>
      </c>
      <c r="EI104" s="3060">
        <f>EI13/EK13</f>
        <v>0.25425109959158027</v>
      </c>
      <c r="EJ104" s="3060">
        <f>EJ13/EK13</f>
        <v>0.2741910147659441</v>
      </c>
      <c r="EK104" s="3059">
        <f t="shared" si="484"/>
        <v>1</v>
      </c>
      <c r="EL104" s="3060">
        <f>EL13/EP13</f>
        <v>0.22654863419675905</v>
      </c>
      <c r="EM104" s="3060">
        <f>EM13/EP13</f>
        <v>0.24133424104686588</v>
      </c>
      <c r="EN104" s="3060">
        <f>EN13/EP13</f>
        <v>0.25642262482905681</v>
      </c>
      <c r="EO104" s="3060">
        <f>EO13/EP13</f>
        <v>0.27569449992731832</v>
      </c>
      <c r="EP104" s="3059">
        <f t="shared" si="485"/>
        <v>1</v>
      </c>
      <c r="EQ104" s="3060">
        <f>EQ13/EU13</f>
        <v>0.23055988021061175</v>
      </c>
      <c r="ER104" s="3060">
        <f>ER13/EU13</f>
        <v>0.24292106318204754</v>
      </c>
      <c r="ES104" s="3060">
        <f>ES13/EU13</f>
        <v>0.25315223644401996</v>
      </c>
      <c r="ET104" s="3060">
        <f>ET13/EU13</f>
        <v>0.27336682016332065</v>
      </c>
      <c r="EU104" s="3059">
        <f t="shared" si="486"/>
        <v>0.99999999999999978</v>
      </c>
      <c r="EV104" s="3407"/>
      <c r="EW104" s="3407"/>
      <c r="EX104" s="3407"/>
      <c r="EY104" s="3407"/>
      <c r="EZ104" s="208"/>
      <c r="FA104" s="717"/>
      <c r="FB104" s="717"/>
      <c r="FC104" s="717"/>
      <c r="FD104" s="717"/>
      <c r="FE104" s="717"/>
      <c r="FF104" s="717"/>
      <c r="FG104" s="717"/>
      <c r="FH104" s="717"/>
      <c r="FI104" s="717"/>
      <c r="FJ104" s="717"/>
      <c r="FK104" s="717"/>
      <c r="FL104" s="717"/>
    </row>
    <row r="105" spans="1:168" s="31" customFormat="1" ht="11.25" hidden="1" customHeight="1" outlineLevel="1">
      <c r="A105" s="3765" t="s">
        <v>187</v>
      </c>
      <c r="B105" s="124"/>
      <c r="C105" s="124"/>
      <c r="D105" s="124"/>
      <c r="E105" s="124"/>
      <c r="F105" s="1000"/>
      <c r="G105" s="124"/>
      <c r="H105" s="124"/>
      <c r="I105" s="124"/>
      <c r="J105" s="124"/>
      <c r="K105" s="1000"/>
      <c r="L105" s="742"/>
      <c r="M105" s="742"/>
      <c r="N105" s="742"/>
      <c r="O105" s="742"/>
      <c r="P105" s="1000"/>
      <c r="Q105" s="124"/>
      <c r="R105" s="124"/>
      <c r="S105" s="124"/>
      <c r="T105" s="124"/>
      <c r="U105" s="997"/>
      <c r="V105" s="124"/>
      <c r="W105" s="124"/>
      <c r="X105" s="124"/>
      <c r="Y105" s="124"/>
      <c r="Z105" s="997"/>
      <c r="AA105" s="124"/>
      <c r="AB105" s="124"/>
      <c r="AC105" s="124"/>
      <c r="AD105" s="124"/>
      <c r="AE105" s="997"/>
      <c r="AF105" s="124"/>
      <c r="AG105" s="124"/>
      <c r="AH105" s="124"/>
      <c r="AI105" s="124"/>
      <c r="AJ105" s="997"/>
      <c r="AK105" s="124"/>
      <c r="AL105" s="124"/>
      <c r="AM105" s="124"/>
      <c r="AN105" s="124"/>
      <c r="AO105" s="997"/>
      <c r="AP105" s="124"/>
      <c r="AQ105" s="124"/>
      <c r="AR105" s="124"/>
      <c r="AS105" s="124"/>
      <c r="AT105" s="997"/>
      <c r="AU105" s="124"/>
      <c r="AV105" s="124"/>
      <c r="AW105" s="124"/>
      <c r="AX105" s="124"/>
      <c r="AY105" s="997"/>
      <c r="AZ105" s="124"/>
      <c r="BA105" s="124"/>
      <c r="BB105" s="124"/>
      <c r="BC105" s="124"/>
      <c r="BD105" s="997"/>
      <c r="BE105" s="1688"/>
      <c r="BF105" s="124"/>
      <c r="BG105" s="124"/>
      <c r="BH105" s="124"/>
      <c r="BI105" s="997"/>
      <c r="BJ105" s="124"/>
      <c r="BK105" s="124"/>
      <c r="BL105" s="124"/>
      <c r="BM105" s="124"/>
      <c r="BN105" s="997"/>
      <c r="BO105" s="124"/>
      <c r="BP105" s="124"/>
      <c r="BQ105" s="124"/>
      <c r="BR105" s="124"/>
      <c r="BS105" s="997"/>
      <c r="BT105" s="124"/>
      <c r="BU105" s="124"/>
      <c r="BV105" s="124"/>
      <c r="BW105" s="124"/>
      <c r="BX105" s="997"/>
      <c r="BY105" s="124"/>
      <c r="BZ105" s="124"/>
      <c r="CA105" s="124"/>
      <c r="CB105" s="124"/>
      <c r="CC105" s="997"/>
      <c r="CD105" s="124"/>
      <c r="CE105" s="124"/>
      <c r="CF105" s="124"/>
      <c r="CG105" s="124"/>
      <c r="CH105" s="997"/>
      <c r="CI105" s="124">
        <f>CI17/CM17</f>
        <v>0.2162327095199349</v>
      </c>
      <c r="CJ105" s="124">
        <f>CJ17/CM17</f>
        <v>0.2276240846216436</v>
      </c>
      <c r="CK105" s="124">
        <f>CK17/CM17</f>
        <v>0.27003661513425548</v>
      </c>
      <c r="CL105" s="124">
        <f>CL17/CM17</f>
        <v>0.286106590724166</v>
      </c>
      <c r="CM105" s="997">
        <f t="shared" si="474"/>
        <v>1</v>
      </c>
      <c r="CN105" s="124">
        <f>CN17/CR17</f>
        <v>0.22414916137436899</v>
      </c>
      <c r="CO105" s="124">
        <f>CO17/CR17</f>
        <v>0.22708028008467676</v>
      </c>
      <c r="CP105" s="124">
        <f>CP17/CR17</f>
        <v>0.2629864842859469</v>
      </c>
      <c r="CQ105" s="124">
        <f>CQ17/CR17</f>
        <v>0.28578407425500735</v>
      </c>
      <c r="CR105" s="997">
        <f t="shared" si="475"/>
        <v>1</v>
      </c>
      <c r="CS105" s="124">
        <f>CS17/CW17</f>
        <v>0.24139661600229423</v>
      </c>
      <c r="CT105" s="124">
        <f>CT17/CW17</f>
        <v>0.24110983653570403</v>
      </c>
      <c r="CU105" s="124">
        <f>CU17/CW17</f>
        <v>0.25781474046458275</v>
      </c>
      <c r="CV105" s="124">
        <f>CV17/CW17</f>
        <v>0.25967880699741896</v>
      </c>
      <c r="CW105" s="997">
        <f t="shared" si="476"/>
        <v>1</v>
      </c>
      <c r="CX105" s="124">
        <f>CX17/DB17</f>
        <v>0.23711278195488722</v>
      </c>
      <c r="CY105" s="124">
        <f>CY17/DB17</f>
        <v>0.25094736842105264</v>
      </c>
      <c r="CZ105" s="124">
        <f>CZ17/DB17</f>
        <v>0.25293233082706768</v>
      </c>
      <c r="DA105" s="124">
        <f>DA17/DB17</f>
        <v>0.25900751879699246</v>
      </c>
      <c r="DB105" s="997">
        <f t="shared" si="477"/>
        <v>1</v>
      </c>
      <c r="DC105" s="124">
        <f>DC17/DG17</f>
        <v>0.23525841542555676</v>
      </c>
      <c r="DD105" s="124">
        <f>DD17/DG17</f>
        <v>0.238759979457491</v>
      </c>
      <c r="DE105" s="124">
        <f>DE17/DG17</f>
        <v>0.24426910686773426</v>
      </c>
      <c r="DF105" s="124">
        <f>DF17/DG17</f>
        <v>0.28171249824921796</v>
      </c>
      <c r="DG105" s="997">
        <f t="shared" si="478"/>
        <v>1</v>
      </c>
      <c r="DH105" s="124">
        <f>DH17/DL17</f>
        <v>0.23172419094473057</v>
      </c>
      <c r="DI105" s="124">
        <f>DI17/DL17</f>
        <v>0.23879621800292106</v>
      </c>
      <c r="DJ105" s="124">
        <f>DJ17/DL17</f>
        <v>0.2519025290183719</v>
      </c>
      <c r="DK105" s="124">
        <f>DK17/DL17</f>
        <v>0.27757706203397647</v>
      </c>
      <c r="DL105" s="997">
        <f t="shared" si="479"/>
        <v>1</v>
      </c>
      <c r="DM105" s="124">
        <f>DM17/DQ17</f>
        <v>0.24734341566024734</v>
      </c>
      <c r="DN105" s="124">
        <f>DN17/DQ17</f>
        <v>0.24933812062524935</v>
      </c>
      <c r="DO105" s="124">
        <f>DO17/DQ17</f>
        <v>0.24864904072824864</v>
      </c>
      <c r="DP105" s="124">
        <f>DP17/DQ17</f>
        <v>0.25466942298625467</v>
      </c>
      <c r="DQ105" s="997">
        <f t="shared" si="480"/>
        <v>1</v>
      </c>
      <c r="DR105" s="124">
        <f>DR17/DV17</f>
        <v>0.23715227171915595</v>
      </c>
      <c r="DS105" s="124">
        <f>DS17/DV17</f>
        <v>0.24317216906406439</v>
      </c>
      <c r="DT105" s="124">
        <f>DT17/DV17</f>
        <v>0.24377415879855521</v>
      </c>
      <c r="DU105" s="124">
        <f>DU17/DV17</f>
        <v>0.27590140041822447</v>
      </c>
      <c r="DV105" s="997">
        <f t="shared" si="481"/>
        <v>1</v>
      </c>
      <c r="DW105" s="124">
        <f>DW17/EA17</f>
        <v>0.23086075949367088</v>
      </c>
      <c r="DX105" s="124">
        <f>DX17/EA17</f>
        <v>0.2491392405063291</v>
      </c>
      <c r="DY105" s="124">
        <f>DY17/EA17</f>
        <v>0.26007594936708861</v>
      </c>
      <c r="DZ105" s="124">
        <f>DZ17/EA17</f>
        <v>0.25992405063291141</v>
      </c>
      <c r="EA105" s="997">
        <f t="shared" si="482"/>
        <v>1</v>
      </c>
      <c r="EB105" s="124">
        <f>EB17/EF17</f>
        <v>0.25244898408435512</v>
      </c>
      <c r="EC105" s="124">
        <f>EC17/EF17</f>
        <v>0.23307724481035508</v>
      </c>
      <c r="ED105" s="124">
        <f>ED17/EF17</f>
        <v>0.24782618266669601</v>
      </c>
      <c r="EE105" s="124">
        <f>EE17/EF17</f>
        <v>0.26664758843859376</v>
      </c>
      <c r="EF105" s="997">
        <f t="shared" si="483"/>
        <v>1</v>
      </c>
      <c r="EG105" s="124">
        <f>EG17/EK17</f>
        <v>0.24131289786319587</v>
      </c>
      <c r="EH105" s="124">
        <f>EH17/EK17</f>
        <v>0.2404411466569355</v>
      </c>
      <c r="EI105" s="124">
        <f>EI17/EK17</f>
        <v>0.25234156428658316</v>
      </c>
      <c r="EJ105" s="124">
        <f>EJ17/EK17</f>
        <v>0.26590439119328546</v>
      </c>
      <c r="EK105" s="997">
        <f t="shared" si="484"/>
        <v>1</v>
      </c>
      <c r="EL105" s="124">
        <f>EL17/EP17</f>
        <v>0.23269291481075641</v>
      </c>
      <c r="EM105" s="124">
        <f>EM17/EP17</f>
        <v>0.23701857241862825</v>
      </c>
      <c r="EN105" s="124">
        <f>EN17/EP17</f>
        <v>0.26007158101931033</v>
      </c>
      <c r="EO105" s="124">
        <f>EO17/EP17</f>
        <v>0.27021693175130501</v>
      </c>
      <c r="EP105" s="997">
        <f t="shared" si="485"/>
        <v>1</v>
      </c>
      <c r="EQ105" s="124">
        <f>EQ17/EU17</f>
        <v>0.23435643990708777</v>
      </c>
      <c r="ER105" s="124">
        <f>ER17/EU17</f>
        <v>0.23826827038787679</v>
      </c>
      <c r="ES105" s="124">
        <f>ES17/EU17</f>
        <v>0.25896976798537635</v>
      </c>
      <c r="ET105" s="124">
        <f>ET17/EU17</f>
        <v>0.26840552171965903</v>
      </c>
      <c r="EU105" s="997">
        <f t="shared" si="486"/>
        <v>1</v>
      </c>
      <c r="EV105" s="993"/>
      <c r="EW105" s="993"/>
      <c r="EX105" s="993"/>
      <c r="EY105" s="993"/>
      <c r="EZ105" s="208"/>
      <c r="FA105" s="717"/>
      <c r="FB105" s="717"/>
      <c r="FC105" s="717"/>
      <c r="FD105" s="717"/>
      <c r="FE105" s="717"/>
      <c r="FF105" s="717"/>
      <c r="FG105" s="717"/>
      <c r="FH105" s="717"/>
      <c r="FI105" s="717"/>
      <c r="FJ105" s="717"/>
      <c r="FK105" s="717"/>
      <c r="FL105" s="717"/>
    </row>
    <row r="106" spans="1:168" s="31" customFormat="1" ht="11.25" hidden="1" customHeight="1" outlineLevel="1">
      <c r="A106" s="3765" t="s">
        <v>47</v>
      </c>
      <c r="B106" s="124"/>
      <c r="C106" s="124"/>
      <c r="D106" s="124"/>
      <c r="E106" s="124"/>
      <c r="F106" s="1000"/>
      <c r="G106" s="124"/>
      <c r="H106" s="124"/>
      <c r="I106" s="124"/>
      <c r="J106" s="124"/>
      <c r="K106" s="1000"/>
      <c r="L106" s="742"/>
      <c r="M106" s="742"/>
      <c r="N106" s="742"/>
      <c r="O106" s="742"/>
      <c r="P106" s="1000"/>
      <c r="Q106" s="124"/>
      <c r="R106" s="124"/>
      <c r="S106" s="124"/>
      <c r="T106" s="124"/>
      <c r="U106" s="997"/>
      <c r="V106" s="124"/>
      <c r="W106" s="124"/>
      <c r="X106" s="124"/>
      <c r="Y106" s="124"/>
      <c r="Z106" s="997"/>
      <c r="AA106" s="124"/>
      <c r="AB106" s="124"/>
      <c r="AC106" s="124"/>
      <c r="AD106" s="124"/>
      <c r="AE106" s="997"/>
      <c r="AF106" s="124"/>
      <c r="AG106" s="124"/>
      <c r="AH106" s="124"/>
      <c r="AI106" s="124"/>
      <c r="AJ106" s="997"/>
      <c r="AK106" s="124"/>
      <c r="AL106" s="124"/>
      <c r="AM106" s="124"/>
      <c r="AN106" s="124"/>
      <c r="AO106" s="997"/>
      <c r="AP106" s="124"/>
      <c r="AQ106" s="124"/>
      <c r="AR106" s="124"/>
      <c r="AS106" s="124"/>
      <c r="AT106" s="997"/>
      <c r="AU106" s="124"/>
      <c r="AV106" s="124"/>
      <c r="AW106" s="124"/>
      <c r="AX106" s="124"/>
      <c r="AY106" s="997"/>
      <c r="AZ106" s="124"/>
      <c r="BA106" s="124"/>
      <c r="BB106" s="124"/>
      <c r="BC106" s="124"/>
      <c r="BD106" s="997"/>
      <c r="BE106" s="1688"/>
      <c r="BF106" s="124"/>
      <c r="BG106" s="124"/>
      <c r="BH106" s="124"/>
      <c r="BI106" s="997"/>
      <c r="BJ106" s="124"/>
      <c r="BK106" s="124"/>
      <c r="BL106" s="124"/>
      <c r="BM106" s="124"/>
      <c r="BN106" s="997"/>
      <c r="BO106" s="124"/>
      <c r="BP106" s="124"/>
      <c r="BQ106" s="124"/>
      <c r="BR106" s="124"/>
      <c r="BS106" s="997"/>
      <c r="BT106" s="124"/>
      <c r="BU106" s="124"/>
      <c r="BV106" s="124"/>
      <c r="BW106" s="124"/>
      <c r="BX106" s="997"/>
      <c r="BY106" s="124"/>
      <c r="BZ106" s="124"/>
      <c r="CA106" s="124"/>
      <c r="CB106" s="124"/>
      <c r="CC106" s="997"/>
      <c r="CD106" s="124"/>
      <c r="CE106" s="124"/>
      <c r="CF106" s="124"/>
      <c r="CG106" s="124"/>
      <c r="CH106" s="997"/>
      <c r="CI106" s="124">
        <f>CI20/CM20</f>
        <v>0.2126429713442381</v>
      </c>
      <c r="CJ106" s="124">
        <f>CJ20/CM20</f>
        <v>0.23871602508916492</v>
      </c>
      <c r="CK106" s="124">
        <f>CK20/CM20</f>
        <v>0.25630303775673347</v>
      </c>
      <c r="CL106" s="2215">
        <f>CL20/CM20</f>
        <v>0.29233796580986349</v>
      </c>
      <c r="CM106" s="997">
        <f t="shared" si="474"/>
        <v>1</v>
      </c>
      <c r="CN106" s="124">
        <f>CN20/CR20</f>
        <v>0.22825245937879959</v>
      </c>
      <c r="CO106" s="124">
        <f>CO20/CR20</f>
        <v>0.22991046755830663</v>
      </c>
      <c r="CP106" s="124">
        <f>CP20/CR20</f>
        <v>0.2457168122029402</v>
      </c>
      <c r="CQ106" s="2215">
        <f>CQ20/CR20</f>
        <v>0.29612026085995358</v>
      </c>
      <c r="CR106" s="997">
        <f t="shared" si="475"/>
        <v>1</v>
      </c>
      <c r="CS106" s="124">
        <f>CS20/CW20</f>
        <v>0.22765855984740105</v>
      </c>
      <c r="CT106" s="124">
        <f>CT20/CW20</f>
        <v>0.23032904148783978</v>
      </c>
      <c r="CU106" s="124">
        <f>CU20/CW20</f>
        <v>0.24463519313304721</v>
      </c>
      <c r="CV106" s="2215">
        <f>CV20/CW20</f>
        <v>0.29737720553171199</v>
      </c>
      <c r="CW106" s="997">
        <f t="shared" si="476"/>
        <v>1</v>
      </c>
      <c r="CX106" s="124">
        <f>CX20/DB20</f>
        <v>0.20507251997207787</v>
      </c>
      <c r="CY106" s="124">
        <f>CY20/DB20</f>
        <v>0.22469557124020786</v>
      </c>
      <c r="CZ106" s="124">
        <f>CZ20/DB20</f>
        <v>0.23594198402233771</v>
      </c>
      <c r="DA106" s="2215">
        <f>DA20/DB20</f>
        <v>0.33428992476537656</v>
      </c>
      <c r="DB106" s="997">
        <f t="shared" si="477"/>
        <v>1</v>
      </c>
      <c r="DC106" s="124">
        <f>DC20/DG20</f>
        <v>0.2206575644400906</v>
      </c>
      <c r="DD106" s="124">
        <f>DD20/DG20</f>
        <v>0.23143329455703177</v>
      </c>
      <c r="DE106" s="124">
        <f>DE20/DG20</f>
        <v>0.23565787056878712</v>
      </c>
      <c r="DF106" s="2215">
        <f>DF20/DG20</f>
        <v>0.31225127043409051</v>
      </c>
      <c r="DG106" s="997">
        <f t="shared" si="478"/>
        <v>1</v>
      </c>
      <c r="DH106" s="124">
        <f>DH20/DL20</f>
        <v>0.21149263431542462</v>
      </c>
      <c r="DI106" s="124">
        <f>DI20/DL20</f>
        <v>0.22811958405545926</v>
      </c>
      <c r="DJ106" s="124">
        <f>DJ20/DL20</f>
        <v>0.24962088388214904</v>
      </c>
      <c r="DK106" s="2215">
        <f>DK20/DL20</f>
        <v>0.31076689774696709</v>
      </c>
      <c r="DL106" s="997">
        <f t="shared" si="479"/>
        <v>1</v>
      </c>
      <c r="DM106" s="124">
        <f>DM20/DQ20</f>
        <v>0.25075225677031093</v>
      </c>
      <c r="DN106" s="124">
        <f>DN20/DQ20</f>
        <v>0.2173743452579962</v>
      </c>
      <c r="DO106" s="124">
        <f>DO20/DQ20</f>
        <v>0.235762844087819</v>
      </c>
      <c r="DP106" s="2215">
        <f>DP20/DQ20</f>
        <v>0.29611055388387386</v>
      </c>
      <c r="DQ106" s="997">
        <f t="shared" si="480"/>
        <v>1</v>
      </c>
      <c r="DR106" s="124">
        <f>DR20/DV20</f>
        <v>0.19710195530726257</v>
      </c>
      <c r="DS106" s="124">
        <f>DS20/DV20</f>
        <v>0.23027234636871508</v>
      </c>
      <c r="DT106" s="124">
        <f>DT20/DV20</f>
        <v>0.24074720670391062</v>
      </c>
      <c r="DU106" s="2215">
        <f>DU20/DV20</f>
        <v>0.33187849162011174</v>
      </c>
      <c r="DV106" s="997">
        <f t="shared" si="481"/>
        <v>1</v>
      </c>
      <c r="DW106" s="124">
        <f>DW20/EA20</f>
        <v>0.2192569729363496</v>
      </c>
      <c r="DX106" s="124">
        <f>DX20/EA20</f>
        <v>0.24955772198592238</v>
      </c>
      <c r="DY106" s="124">
        <f>DY20/EA20</f>
        <v>0.26081228591862082</v>
      </c>
      <c r="DZ106" s="2215">
        <f>DZ20/EA20</f>
        <v>0.27037301915910716</v>
      </c>
      <c r="EA106" s="997">
        <f t="shared" si="482"/>
        <v>1</v>
      </c>
      <c r="EB106" s="124">
        <f>EB20/EF20</f>
        <v>0.23401511623741805</v>
      </c>
      <c r="EC106" s="124">
        <f>EC20/EF20</f>
        <v>0.24289859225561486</v>
      </c>
      <c r="ED106" s="124">
        <f>ED20/EF20</f>
        <v>0.24658810044059176</v>
      </c>
      <c r="EE106" s="2215">
        <f>EE20/EF20</f>
        <v>0.27649819106637535</v>
      </c>
      <c r="EF106" s="997">
        <f t="shared" si="483"/>
        <v>1</v>
      </c>
      <c r="EG106" s="124">
        <f>EG20/EK20</f>
        <v>0.23108457997698503</v>
      </c>
      <c r="EH106" s="124">
        <f>EH20/EK20</f>
        <v>0.24424626006904487</v>
      </c>
      <c r="EI106" s="124">
        <f>EI20/EK20</f>
        <v>0.25988924050632911</v>
      </c>
      <c r="EJ106" s="2215">
        <f>EJ20/EK20</f>
        <v>0.26477991944764095</v>
      </c>
      <c r="EK106" s="997">
        <f t="shared" si="484"/>
        <v>1</v>
      </c>
      <c r="EL106" s="124">
        <f>EL20/EP20</f>
        <v>0.21994896539863287</v>
      </c>
      <c r="EM106" s="124">
        <f>EM20/EP20</f>
        <v>0.2530553472611296</v>
      </c>
      <c r="EN106" s="124">
        <f>EN20/EP20</f>
        <v>0.25676155147393875</v>
      </c>
      <c r="EO106" s="2215">
        <f>EO20/EP20</f>
        <v>0.27023413586629874</v>
      </c>
      <c r="EP106" s="997">
        <f t="shared" si="485"/>
        <v>1</v>
      </c>
      <c r="EQ106" s="124">
        <f>EQ20/EU20</f>
        <v>0.21572243922417064</v>
      </c>
      <c r="ER106" s="124">
        <f>ER20/EU20</f>
        <v>0.25868616433448444</v>
      </c>
      <c r="ES106" s="124">
        <f>ES20/EU20</f>
        <v>0.25756413866486577</v>
      </c>
      <c r="ET106" s="2215">
        <f>ET20/EU20</f>
        <v>0.26802725777647923</v>
      </c>
      <c r="EU106" s="997">
        <f t="shared" si="486"/>
        <v>1.0000000000000002</v>
      </c>
      <c r="EV106" s="993"/>
      <c r="EW106" s="993"/>
      <c r="EX106" s="993"/>
      <c r="EY106" s="993"/>
      <c r="EZ106" s="208"/>
      <c r="FA106" s="717"/>
      <c r="FB106" s="717"/>
      <c r="FC106" s="717"/>
      <c r="FD106" s="717"/>
      <c r="FE106" s="717"/>
      <c r="FF106" s="717"/>
      <c r="FG106" s="717"/>
      <c r="FH106" s="717"/>
      <c r="FI106" s="717"/>
      <c r="FJ106" s="717"/>
      <c r="FK106" s="717"/>
      <c r="FL106" s="717"/>
    </row>
    <row r="107" spans="1:168" s="31" customFormat="1" ht="11.25" hidden="1" customHeight="1" outlineLevel="1">
      <c r="A107" s="3765" t="s">
        <v>51</v>
      </c>
      <c r="B107" s="124"/>
      <c r="C107" s="124"/>
      <c r="D107" s="124"/>
      <c r="E107" s="124"/>
      <c r="F107" s="1000"/>
      <c r="G107" s="124"/>
      <c r="H107" s="124"/>
      <c r="I107" s="124"/>
      <c r="J107" s="124"/>
      <c r="K107" s="1000"/>
      <c r="L107" s="742"/>
      <c r="M107" s="742"/>
      <c r="N107" s="742"/>
      <c r="O107" s="742"/>
      <c r="P107" s="1000"/>
      <c r="Q107" s="124"/>
      <c r="R107" s="124"/>
      <c r="S107" s="124"/>
      <c r="T107" s="124"/>
      <c r="U107" s="997"/>
      <c r="V107" s="124"/>
      <c r="W107" s="124"/>
      <c r="X107" s="124"/>
      <c r="Y107" s="124"/>
      <c r="Z107" s="997"/>
      <c r="AA107" s="124"/>
      <c r="AB107" s="124"/>
      <c r="AC107" s="124"/>
      <c r="AD107" s="124"/>
      <c r="AE107" s="997"/>
      <c r="AF107" s="124"/>
      <c r="AG107" s="124"/>
      <c r="AH107" s="124"/>
      <c r="AI107" s="124"/>
      <c r="AJ107" s="997"/>
      <c r="AK107" s="124"/>
      <c r="AL107" s="124"/>
      <c r="AM107" s="124"/>
      <c r="AN107" s="124"/>
      <c r="AO107" s="997"/>
      <c r="AP107" s="124"/>
      <c r="AQ107" s="124"/>
      <c r="AR107" s="124"/>
      <c r="AS107" s="124"/>
      <c r="AT107" s="997"/>
      <c r="AU107" s="124"/>
      <c r="AV107" s="124"/>
      <c r="AW107" s="124"/>
      <c r="AX107" s="124"/>
      <c r="AY107" s="997"/>
      <c r="AZ107" s="124"/>
      <c r="BA107" s="124"/>
      <c r="BB107" s="124"/>
      <c r="BC107" s="124"/>
      <c r="BD107" s="997"/>
      <c r="BE107" s="1688"/>
      <c r="BF107" s="124"/>
      <c r="BG107" s="124"/>
      <c r="BH107" s="124"/>
      <c r="BI107" s="997"/>
      <c r="BJ107" s="124"/>
      <c r="BK107" s="124"/>
      <c r="BL107" s="124"/>
      <c r="BM107" s="124"/>
      <c r="BN107" s="997"/>
      <c r="BO107" s="124"/>
      <c r="BP107" s="124"/>
      <c r="BQ107" s="124"/>
      <c r="BR107" s="124"/>
      <c r="BS107" s="997"/>
      <c r="BT107" s="124"/>
      <c r="BU107" s="124"/>
      <c r="BV107" s="124"/>
      <c r="BW107" s="124"/>
      <c r="BX107" s="997"/>
      <c r="BY107" s="124"/>
      <c r="BZ107" s="124"/>
      <c r="CA107" s="124"/>
      <c r="CB107" s="124"/>
      <c r="CC107" s="997"/>
      <c r="CD107" s="124"/>
      <c r="CE107" s="124"/>
      <c r="CF107" s="124"/>
      <c r="CG107" s="124"/>
      <c r="CH107" s="997"/>
      <c r="CI107" s="124">
        <f>CI23/CM23</f>
        <v>0.25448641257904631</v>
      </c>
      <c r="CJ107" s="124">
        <f>CJ23/CM23</f>
        <v>0.23995898137070587</v>
      </c>
      <c r="CK107" s="124">
        <f>CK23/CM23</f>
        <v>0.23329345411040847</v>
      </c>
      <c r="CL107" s="124">
        <f>CL23/CM23</f>
        <v>0.27226115193983935</v>
      </c>
      <c r="CM107" s="997">
        <f t="shared" si="474"/>
        <v>1</v>
      </c>
      <c r="CN107" s="124">
        <f>CN23/CR23</f>
        <v>0.26678617992177311</v>
      </c>
      <c r="CO107" s="124">
        <f>CO23/CR23</f>
        <v>0.2363102998696219</v>
      </c>
      <c r="CP107" s="124">
        <f>CP23/CR23</f>
        <v>0.24071056062581486</v>
      </c>
      <c r="CQ107" s="124">
        <f>CQ23/CR23</f>
        <v>0.25619295958279009</v>
      </c>
      <c r="CR107" s="997">
        <f t="shared" si="475"/>
        <v>1</v>
      </c>
      <c r="CS107" s="124">
        <f>CS23/CW23</f>
        <v>0.21660701503221189</v>
      </c>
      <c r="CT107" s="124">
        <f>CT23/CW23</f>
        <v>0.23249821045096636</v>
      </c>
      <c r="CU107" s="124">
        <f>CU23/CW23</f>
        <v>0.26113099498926273</v>
      </c>
      <c r="CV107" s="124">
        <f>CV23/CW23</f>
        <v>0.28976377952755905</v>
      </c>
      <c r="CW107" s="997">
        <f t="shared" si="476"/>
        <v>1</v>
      </c>
      <c r="CX107" s="124">
        <f>CX23/DB23</f>
        <v>0.2620779976717113</v>
      </c>
      <c r="CY107" s="124">
        <f>CY23/DB23</f>
        <v>0.24738067520372525</v>
      </c>
      <c r="CZ107" s="124">
        <f>CZ23/DB23</f>
        <v>0.23210128055878929</v>
      </c>
      <c r="DA107" s="124">
        <f>DA23/DB23</f>
        <v>0.25844004656577413</v>
      </c>
      <c r="DB107" s="997">
        <f t="shared" si="477"/>
        <v>1</v>
      </c>
      <c r="DC107" s="124">
        <f>DC23/DG23</f>
        <v>0.20265780730897009</v>
      </c>
      <c r="DD107" s="124">
        <f>DD23/DG23</f>
        <v>0.25480283114256824</v>
      </c>
      <c r="DE107" s="124">
        <f>DE23/DG23</f>
        <v>0.2532139245991622</v>
      </c>
      <c r="DF107" s="124">
        <f>DF23/DG23</f>
        <v>0.28932543694929946</v>
      </c>
      <c r="DG107" s="997">
        <f t="shared" si="478"/>
        <v>1</v>
      </c>
      <c r="DH107" s="124">
        <f>DH23/DL23</f>
        <v>0.21861585174327294</v>
      </c>
      <c r="DI107" s="124">
        <f>DI23/DL23</f>
        <v>0.2139043032143231</v>
      </c>
      <c r="DJ107" s="124">
        <f>DJ23/DL23</f>
        <v>0.27128049418909017</v>
      </c>
      <c r="DK107" s="124">
        <f>DK23/DL23</f>
        <v>0.29619935085331378</v>
      </c>
      <c r="DL107" s="997">
        <f t="shared" si="479"/>
        <v>1</v>
      </c>
      <c r="DM107" s="124">
        <f>DM23/DQ23</f>
        <v>0.26058631921824105</v>
      </c>
      <c r="DN107" s="124">
        <f>DN23/DQ23</f>
        <v>0.23389431777053926</v>
      </c>
      <c r="DO107" s="124">
        <f>DO23/DQ23</f>
        <v>0.24936663047412233</v>
      </c>
      <c r="DP107" s="124">
        <f>DP23/DQ23</f>
        <v>0.25615273253709736</v>
      </c>
      <c r="DQ107" s="997">
        <f t="shared" si="480"/>
        <v>1</v>
      </c>
      <c r="DR107" s="124">
        <f>DR23/DV23</f>
        <v>0.20525536639526276</v>
      </c>
      <c r="DS107" s="124">
        <f>DS23/DV23</f>
        <v>0.2472982975573649</v>
      </c>
      <c r="DT107" s="124">
        <f>DT23/DV23</f>
        <v>0.24100666173205032</v>
      </c>
      <c r="DU107" s="124">
        <f>DU23/DV23</f>
        <v>0.30643967431532199</v>
      </c>
      <c r="DV107" s="997">
        <f t="shared" si="481"/>
        <v>1</v>
      </c>
      <c r="DW107" s="124">
        <f>DW23/EA23</f>
        <v>0.21457644365301451</v>
      </c>
      <c r="DX107" s="124">
        <f>DX23/EA23</f>
        <v>0.23257440854744341</v>
      </c>
      <c r="DY107" s="124">
        <f>DY23/EA23</f>
        <v>0.22875858560162809</v>
      </c>
      <c r="DZ107" s="124">
        <f>DZ23/EA23</f>
        <v>0.32409056219791399</v>
      </c>
      <c r="EA107" s="997">
        <f t="shared" si="482"/>
        <v>1</v>
      </c>
      <c r="EB107" s="124">
        <f>EB23/EF23</f>
        <v>0.22885844748858447</v>
      </c>
      <c r="EC107" s="124">
        <f>EC23/EF23</f>
        <v>0.2119330289193303</v>
      </c>
      <c r="ED107" s="124">
        <f>ED23/EF23</f>
        <v>0.24225266362252665</v>
      </c>
      <c r="EE107" s="124">
        <f>EE23/EF23</f>
        <v>0.31695585996955861</v>
      </c>
      <c r="EF107" s="997">
        <f t="shared" si="483"/>
        <v>1</v>
      </c>
      <c r="EG107" s="124">
        <f>EG23/EK23</f>
        <v>0.21327882717789681</v>
      </c>
      <c r="EH107" s="124">
        <f>EH23/EK23</f>
        <v>0.22258246405413026</v>
      </c>
      <c r="EI107" s="124">
        <f>EI23/EK23</f>
        <v>0.25366506907245562</v>
      </c>
      <c r="EJ107" s="124">
        <f>EJ23/EK23</f>
        <v>0.31047363969551733</v>
      </c>
      <c r="EK107" s="997">
        <f t="shared" si="484"/>
        <v>1</v>
      </c>
      <c r="EL107" s="124">
        <f>EL23/EP23</f>
        <v>0.20131529147193958</v>
      </c>
      <c r="EM107" s="124">
        <f>EM23/EP23</f>
        <v>0.2963129000501083</v>
      </c>
      <c r="EN107" s="124">
        <f>EN23/EP23</f>
        <v>0.22389855530758809</v>
      </c>
      <c r="EO107" s="124">
        <f>EO23/EP23</f>
        <v>0.27847325317036409</v>
      </c>
      <c r="EP107" s="997">
        <f t="shared" si="485"/>
        <v>1</v>
      </c>
      <c r="EQ107" s="124">
        <f>EQ23/EU23</f>
        <v>0.22391568335974685</v>
      </c>
      <c r="ER107" s="124">
        <f>ER23/EU23</f>
        <v>0.22681916792610832</v>
      </c>
      <c r="ES107" s="124">
        <f>ES23/EU23</f>
        <v>0.24089105301730265</v>
      </c>
      <c r="ET107" s="124">
        <f>ET23/EU23</f>
        <v>0.30837409569684221</v>
      </c>
      <c r="EU107" s="997">
        <f t="shared" si="486"/>
        <v>1</v>
      </c>
      <c r="EV107" s="993"/>
      <c r="EW107" s="993"/>
      <c r="EX107" s="993"/>
      <c r="EY107" s="993"/>
      <c r="EZ107" s="208"/>
      <c r="FA107" s="717"/>
      <c r="FB107" s="717"/>
      <c r="FC107" s="717"/>
      <c r="FD107" s="717"/>
      <c r="FE107" s="717"/>
      <c r="FF107" s="717"/>
      <c r="FG107" s="717"/>
      <c r="FH107" s="717"/>
      <c r="FI107" s="717"/>
      <c r="FJ107" s="717"/>
      <c r="FK107" s="717"/>
      <c r="FL107" s="717"/>
    </row>
    <row r="108" spans="1:168" s="31" customFormat="1" ht="11.25" hidden="1" customHeight="1" outlineLevel="1">
      <c r="A108" s="3765" t="s">
        <v>53</v>
      </c>
      <c r="B108" s="124"/>
      <c r="C108" s="124"/>
      <c r="D108" s="124"/>
      <c r="E108" s="124"/>
      <c r="F108" s="1000"/>
      <c r="G108" s="124"/>
      <c r="H108" s="124"/>
      <c r="I108" s="124"/>
      <c r="J108" s="124"/>
      <c r="K108" s="1000"/>
      <c r="L108" s="742"/>
      <c r="M108" s="742"/>
      <c r="N108" s="742"/>
      <c r="O108" s="742"/>
      <c r="P108" s="1000"/>
      <c r="Q108" s="124"/>
      <c r="R108" s="124"/>
      <c r="S108" s="124"/>
      <c r="T108" s="124"/>
      <c r="U108" s="997"/>
      <c r="V108" s="124"/>
      <c r="W108" s="124"/>
      <c r="X108" s="124"/>
      <c r="Y108" s="124"/>
      <c r="Z108" s="997"/>
      <c r="AA108" s="124"/>
      <c r="AB108" s="124"/>
      <c r="AC108" s="124"/>
      <c r="AD108" s="124"/>
      <c r="AE108" s="997"/>
      <c r="AF108" s="124"/>
      <c r="AG108" s="124"/>
      <c r="AH108" s="124"/>
      <c r="AI108" s="124"/>
      <c r="AJ108" s="997"/>
      <c r="AK108" s="124"/>
      <c r="AL108" s="124"/>
      <c r="AM108" s="124"/>
      <c r="AN108" s="124"/>
      <c r="AO108" s="997"/>
      <c r="AP108" s="124"/>
      <c r="AQ108" s="124"/>
      <c r="AR108" s="124"/>
      <c r="AS108" s="124"/>
      <c r="AT108" s="997"/>
      <c r="AU108" s="124"/>
      <c r="AV108" s="124"/>
      <c r="AW108" s="124"/>
      <c r="AX108" s="124"/>
      <c r="AY108" s="997"/>
      <c r="AZ108" s="124"/>
      <c r="BA108" s="124"/>
      <c r="BB108" s="124"/>
      <c r="BC108" s="124"/>
      <c r="BD108" s="997"/>
      <c r="BE108" s="1688"/>
      <c r="BF108" s="124"/>
      <c r="BG108" s="124"/>
      <c r="BH108" s="124"/>
      <c r="BI108" s="997"/>
      <c r="BJ108" s="124"/>
      <c r="BK108" s="124"/>
      <c r="BL108" s="124"/>
      <c r="BM108" s="124"/>
      <c r="BN108" s="997"/>
      <c r="BO108" s="124"/>
      <c r="BP108" s="124"/>
      <c r="BQ108" s="124"/>
      <c r="BR108" s="124"/>
      <c r="BS108" s="997"/>
      <c r="BT108" s="124"/>
      <c r="BU108" s="124"/>
      <c r="BV108" s="124"/>
      <c r="BW108" s="124"/>
      <c r="BX108" s="997"/>
      <c r="BY108" s="124"/>
      <c r="BZ108" s="124"/>
      <c r="CA108" s="124"/>
      <c r="CB108" s="124"/>
      <c r="CC108" s="997"/>
      <c r="CD108" s="124"/>
      <c r="CE108" s="124"/>
      <c r="CF108" s="124"/>
      <c r="CG108" s="124"/>
      <c r="CH108" s="997"/>
      <c r="CI108" s="124">
        <f>CI24/CM24</f>
        <v>0.20095808383233532</v>
      </c>
      <c r="CJ108" s="124">
        <f>CJ24/CM24</f>
        <v>0.21077844311377245</v>
      </c>
      <c r="CK108" s="2215">
        <f>CK24/CM24</f>
        <v>0.30059880239520959</v>
      </c>
      <c r="CL108" s="2215">
        <f>CL24/CM24</f>
        <v>0.28766467065868262</v>
      </c>
      <c r="CM108" s="997">
        <f t="shared" si="474"/>
        <v>0.99999999999999989</v>
      </c>
      <c r="CN108" s="124">
        <f>CN24/CR24</f>
        <v>0.23121276186815298</v>
      </c>
      <c r="CO108" s="124">
        <f>CO24/CR24</f>
        <v>0.21756678839131272</v>
      </c>
      <c r="CP108" s="2215">
        <f>CP24/CR24</f>
        <v>0.2752258312512012</v>
      </c>
      <c r="CQ108" s="2215">
        <f>CQ24/CR24</f>
        <v>0.2759946184893331</v>
      </c>
      <c r="CR108" s="997">
        <f t="shared" si="475"/>
        <v>1</v>
      </c>
      <c r="CS108" s="124">
        <f>CS24/CW24</f>
        <v>0.2228852752498881</v>
      </c>
      <c r="CT108" s="124">
        <f>CT24/CW24</f>
        <v>0.22422795763091152</v>
      </c>
      <c r="CU108" s="2215">
        <f>CU24/CW24</f>
        <v>0.27748769207817398</v>
      </c>
      <c r="CV108" s="2215">
        <f>CV24/CW24</f>
        <v>0.2753990750410264</v>
      </c>
      <c r="CW108" s="997">
        <f t="shared" si="476"/>
        <v>1</v>
      </c>
      <c r="CX108" s="124">
        <f>CX24/DB24</f>
        <v>0.26162260711030083</v>
      </c>
      <c r="CY108" s="124">
        <f>CY24/DB24</f>
        <v>0.2608412553717932</v>
      </c>
      <c r="CZ108" s="127">
        <f>CZ24/DB24</f>
        <v>0.23701002734731086</v>
      </c>
      <c r="DA108" s="127">
        <f>DA24/DB24</f>
        <v>0.24052611017059514</v>
      </c>
      <c r="DB108" s="997">
        <f t="shared" si="477"/>
        <v>1</v>
      </c>
      <c r="DC108" s="124">
        <f>DC24/DG24</f>
        <v>0.26269646102854699</v>
      </c>
      <c r="DD108" s="124">
        <f>DD24/DG24</f>
        <v>0.25799208810007485</v>
      </c>
      <c r="DE108" s="127">
        <f>DE24/DG24</f>
        <v>0.23842617342029296</v>
      </c>
      <c r="DF108" s="127">
        <f>DF24/DG24</f>
        <v>0.24088527745108521</v>
      </c>
      <c r="DG108" s="997">
        <f t="shared" si="478"/>
        <v>1</v>
      </c>
      <c r="DH108" s="124">
        <f>DH24/DL24</f>
        <v>0.25653140633685378</v>
      </c>
      <c r="DI108" s="124">
        <f>DI24/DL24</f>
        <v>0.25532703353715025</v>
      </c>
      <c r="DJ108" s="127">
        <f>DJ24/DL24</f>
        <v>0.24309801741708356</v>
      </c>
      <c r="DK108" s="127">
        <f>DK24/DL24</f>
        <v>0.24504354270891235</v>
      </c>
      <c r="DL108" s="997">
        <f t="shared" si="479"/>
        <v>1</v>
      </c>
      <c r="DM108" s="124">
        <f>DM24/DQ24</f>
        <v>0.24563159110153182</v>
      </c>
      <c r="DN108" s="124">
        <f>DN24/DQ24</f>
        <v>0.26033407743822645</v>
      </c>
      <c r="DO108" s="127">
        <f>DO24/DQ24</f>
        <v>0.24593949657455161</v>
      </c>
      <c r="DP108" s="127">
        <f>DP24/DQ24</f>
        <v>0.24809483488569009</v>
      </c>
      <c r="DQ108" s="997">
        <f t="shared" si="480"/>
        <v>0.99999999999999989</v>
      </c>
      <c r="DR108" s="124">
        <f>DR24/DV24</f>
        <v>0.24356139438085328</v>
      </c>
      <c r="DS108" s="124">
        <f>DS24/DV24</f>
        <v>0.24733350676378771</v>
      </c>
      <c r="DT108" s="127">
        <f>DT24/DV24</f>
        <v>0.25195109261186266</v>
      </c>
      <c r="DU108" s="127">
        <f>DU24/DV24</f>
        <v>0.25715400624349638</v>
      </c>
      <c r="DV108" s="997">
        <f t="shared" si="481"/>
        <v>1</v>
      </c>
      <c r="DW108" s="124">
        <f>DW24/EA24</f>
        <v>0.23262059704575974</v>
      </c>
      <c r="DX108" s="124">
        <f>DX24/EA24</f>
        <v>0.24697861791137279</v>
      </c>
      <c r="DY108" s="127">
        <f>DY24/EA24</f>
        <v>0.25699824398305959</v>
      </c>
      <c r="DZ108" s="127">
        <f>DZ24/EA24</f>
        <v>0.26340254105980787</v>
      </c>
      <c r="EA108" s="997">
        <f t="shared" si="482"/>
        <v>1</v>
      </c>
      <c r="EB108" s="124">
        <f>EB24/EF24</f>
        <v>0.2352626892252894</v>
      </c>
      <c r="EC108" s="124">
        <f>EC24/EF24</f>
        <v>0.25707925200356191</v>
      </c>
      <c r="ED108" s="127">
        <f>ED24/EF24</f>
        <v>0.25569902048085486</v>
      </c>
      <c r="EE108" s="127">
        <f>EE24/EF24</f>
        <v>0.25195903829029387</v>
      </c>
      <c r="EF108" s="997">
        <f t="shared" si="483"/>
        <v>1</v>
      </c>
      <c r="EG108" s="124">
        <f>EG24/EK24</f>
        <v>0.23102918586789556</v>
      </c>
      <c r="EH108" s="124">
        <f>EH24/EK24</f>
        <v>0.25740618828176431</v>
      </c>
      <c r="EI108" s="127">
        <f>EI24/EK24</f>
        <v>0.2565723063418916</v>
      </c>
      <c r="EJ108" s="127">
        <f>EJ24/EK24</f>
        <v>0.25499231950844853</v>
      </c>
      <c r="EK108" s="997">
        <f t="shared" si="484"/>
        <v>1</v>
      </c>
      <c r="EL108" s="124">
        <f>EL24/EP24</f>
        <v>0.22598049283158311</v>
      </c>
      <c r="EM108" s="124">
        <f>EM24/EP24</f>
        <v>0.24572715663593828</v>
      </c>
      <c r="EN108" s="127">
        <f>EN24/EP24</f>
        <v>0.26088538403762168</v>
      </c>
      <c r="EO108" s="127">
        <f>EO24/EP24</f>
        <v>0.2674069664948569</v>
      </c>
      <c r="EP108" s="997">
        <f t="shared" si="485"/>
        <v>1</v>
      </c>
      <c r="EQ108" s="124">
        <f>EQ24/EU24</f>
        <v>0.22654762885001875</v>
      </c>
      <c r="ER108" s="124">
        <f>ER24/EU24</f>
        <v>0.24923531188162773</v>
      </c>
      <c r="ES108" s="127">
        <f>ES24/EU24</f>
        <v>0.26256223372404863</v>
      </c>
      <c r="ET108" s="127">
        <f>ET24/EU24</f>
        <v>0.26165482554430491</v>
      </c>
      <c r="EU108" s="997">
        <f t="shared" si="486"/>
        <v>1</v>
      </c>
      <c r="EV108" s="993"/>
      <c r="EW108" s="993"/>
      <c r="EX108" s="993"/>
      <c r="EY108" s="993"/>
      <c r="EZ108" s="208"/>
      <c r="FA108" s="717"/>
      <c r="FB108" s="717"/>
      <c r="FC108" s="717"/>
      <c r="FD108" s="717"/>
      <c r="FE108" s="717"/>
      <c r="FF108" s="717"/>
      <c r="FG108" s="717"/>
      <c r="FH108" s="717"/>
      <c r="FI108" s="717"/>
      <c r="FJ108" s="717"/>
      <c r="FK108" s="717"/>
      <c r="FL108" s="717"/>
    </row>
    <row r="109" spans="1:168" ht="11.25" hidden="1" customHeight="1" outlineLevel="1">
      <c r="A109" s="4122" t="s">
        <v>52</v>
      </c>
      <c r="B109" s="3333"/>
      <c r="C109" s="3333"/>
      <c r="D109" s="3333"/>
      <c r="E109" s="3333"/>
      <c r="F109" s="3401"/>
      <c r="G109" s="3333"/>
      <c r="H109" s="3333"/>
      <c r="I109" s="3333"/>
      <c r="J109" s="3333"/>
      <c r="K109" s="3401"/>
      <c r="L109" s="3333"/>
      <c r="M109" s="3333"/>
      <c r="N109" s="3333"/>
      <c r="O109" s="3333"/>
      <c r="P109" s="3401"/>
      <c r="Q109" s="3333"/>
      <c r="R109" s="3333"/>
      <c r="S109" s="3333"/>
      <c r="T109" s="3333"/>
      <c r="U109" s="3401"/>
      <c r="V109" s="3333"/>
      <c r="W109" s="3333"/>
      <c r="X109" s="3333"/>
      <c r="Y109" s="3333"/>
      <c r="Z109" s="3401"/>
      <c r="AA109" s="3333"/>
      <c r="AB109" s="3333"/>
      <c r="AC109" s="3333"/>
      <c r="AD109" s="3333"/>
      <c r="AE109" s="3401"/>
      <c r="AF109" s="3333"/>
      <c r="AG109" s="3333"/>
      <c r="AH109" s="3333"/>
      <c r="AI109" s="3333"/>
      <c r="AJ109" s="3401"/>
      <c r="AK109" s="3333"/>
      <c r="AL109" s="3333"/>
      <c r="AM109" s="3333"/>
      <c r="AN109" s="3333"/>
      <c r="AO109" s="3401"/>
      <c r="AP109" s="3333"/>
      <c r="AQ109" s="3333"/>
      <c r="AR109" s="3333"/>
      <c r="AS109" s="3333"/>
      <c r="AT109" s="3401"/>
      <c r="AU109" s="3333"/>
      <c r="AV109" s="3333"/>
      <c r="AW109" s="3333"/>
      <c r="AX109" s="3333"/>
      <c r="AY109" s="3401"/>
      <c r="AZ109" s="3333"/>
      <c r="BA109" s="3333"/>
      <c r="BB109" s="3333"/>
      <c r="BC109" s="3333"/>
      <c r="BD109" s="3401"/>
      <c r="BE109" s="3333"/>
      <c r="BF109" s="3333"/>
      <c r="BG109" s="3333"/>
      <c r="BH109" s="3333"/>
      <c r="BI109" s="3401"/>
      <c r="BJ109" s="3333"/>
      <c r="BK109" s="3333"/>
      <c r="BL109" s="3333"/>
      <c r="BM109" s="3333"/>
      <c r="BN109" s="3401"/>
      <c r="BO109" s="3333"/>
      <c r="BP109" s="3333"/>
      <c r="BQ109" s="3333"/>
      <c r="BR109" s="3403"/>
      <c r="BS109" s="3404"/>
      <c r="BT109" s="3333"/>
      <c r="BU109" s="3333"/>
      <c r="BV109" s="3333"/>
      <c r="BW109" s="3333"/>
      <c r="BX109" s="3401"/>
      <c r="BY109" s="3333"/>
      <c r="BZ109" s="3333"/>
      <c r="CA109" s="3333"/>
      <c r="CB109" s="3333"/>
      <c r="CC109" s="3401"/>
      <c r="CD109" s="3333"/>
      <c r="CE109" s="3333"/>
      <c r="CF109" s="3333"/>
      <c r="CG109" s="3333"/>
      <c r="CH109" s="3401"/>
      <c r="CI109" s="3333">
        <f>CI26/CM26</f>
        <v>0.22440581170739901</v>
      </c>
      <c r="CJ109" s="3333">
        <f>CJ26/CM26</f>
        <v>0.23444192491811539</v>
      </c>
      <c r="CK109" s="3333">
        <f>CK26/CM26</f>
        <v>0.25631981187536745</v>
      </c>
      <c r="CL109" s="3333">
        <f>CL26/CM26</f>
        <v>0.28483245149911818</v>
      </c>
      <c r="CM109" s="3401">
        <f t="shared" si="474"/>
        <v>1</v>
      </c>
      <c r="CN109" s="3333">
        <f>CN26/CR26</f>
        <v>0.2350263972328418</v>
      </c>
      <c r="CO109" s="3333">
        <f>CO26/CR26</f>
        <v>0.23007464045148371</v>
      </c>
      <c r="CP109" s="3333">
        <f>CP26/CR26</f>
        <v>0.2523211359912616</v>
      </c>
      <c r="CQ109" s="3333">
        <f>CQ26/CR26</f>
        <v>0.28257782632441286</v>
      </c>
      <c r="CR109" s="3401">
        <f t="shared" si="475"/>
        <v>1</v>
      </c>
      <c r="CS109" s="3333">
        <f>CS26/CW26</f>
        <v>0.23130052835953913</v>
      </c>
      <c r="CT109" s="3333">
        <f>CT26/CW26</f>
        <v>0.2355974282258578</v>
      </c>
      <c r="CU109" s="3333">
        <f>CU26/CW26</f>
        <v>0.2541536698707747</v>
      </c>
      <c r="CV109" s="3333">
        <f>CV26/CW26</f>
        <v>0.2789483735438284</v>
      </c>
      <c r="CW109" s="3401">
        <f t="shared" si="476"/>
        <v>1</v>
      </c>
      <c r="CX109" s="3333">
        <f>CX26/DB26</f>
        <v>0.21435873843480038</v>
      </c>
      <c r="CY109" s="3333">
        <f>CY26/DB26</f>
        <v>0.29404999233246437</v>
      </c>
      <c r="CZ109" s="3333">
        <f>CZ26/DB26</f>
        <v>0.22598783417676224</v>
      </c>
      <c r="DA109" s="3333">
        <f>DA26/DB26</f>
        <v>0.265603435055973</v>
      </c>
      <c r="DB109" s="3401">
        <f t="shared" si="477"/>
        <v>1</v>
      </c>
      <c r="DC109" s="3333">
        <f>DC26/DG26</f>
        <v>0.20194588509628916</v>
      </c>
      <c r="DD109" s="3333">
        <f>DD26/DG26</f>
        <v>0.31618622602822338</v>
      </c>
      <c r="DE109" s="3333">
        <f>DE26/DG26</f>
        <v>0.21778635468178345</v>
      </c>
      <c r="DF109" s="3333">
        <f>DF26/DG26</f>
        <v>0.264081534193704</v>
      </c>
      <c r="DG109" s="3401">
        <f t="shared" si="478"/>
        <v>1</v>
      </c>
      <c r="DH109" s="3333">
        <f>DH26/DL26</f>
        <v>0.24616902924816078</v>
      </c>
      <c r="DI109" s="3333">
        <f>DI26/DL26</f>
        <v>0.22372151444464383</v>
      </c>
      <c r="DJ109" s="3333">
        <f>DJ26/DL26</f>
        <v>0.24679705724026557</v>
      </c>
      <c r="DK109" s="3333">
        <f>DK26/DL26</f>
        <v>0.28331239906692984</v>
      </c>
      <c r="DL109" s="3401">
        <f t="shared" si="479"/>
        <v>1</v>
      </c>
      <c r="DM109" s="3333">
        <f>DM26/DQ26</f>
        <v>0.25101200261618145</v>
      </c>
      <c r="DN109" s="3333">
        <f>DN26/DQ26</f>
        <v>0.23618108217991551</v>
      </c>
      <c r="DO109" s="3333">
        <f>DO26/DQ26</f>
        <v>0.24470134874759153</v>
      </c>
      <c r="DP109" s="3333">
        <f>DP26/DQ26</f>
        <v>0.26810556645631156</v>
      </c>
      <c r="DQ109" s="3401">
        <f t="shared" si="480"/>
        <v>1</v>
      </c>
      <c r="DR109" s="3333">
        <f>DR26/DV26</f>
        <v>0.21731583902094612</v>
      </c>
      <c r="DS109" s="3333">
        <f>DS26/DV26</f>
        <v>0.23964462226406213</v>
      </c>
      <c r="DT109" s="3333">
        <f>DT26/DV26</f>
        <v>0.24220404801129677</v>
      </c>
      <c r="DU109" s="3333">
        <f>DU26/DV26</f>
        <v>0.30083549070369497</v>
      </c>
      <c r="DV109" s="3401">
        <f t="shared" si="481"/>
        <v>1</v>
      </c>
      <c r="DW109" s="3333">
        <f>DW26/EA26</f>
        <v>0.22396107151153549</v>
      </c>
      <c r="DX109" s="3333">
        <f>DX26/EA26</f>
        <v>0.2460906456700615</v>
      </c>
      <c r="DY109" s="3333">
        <f>DY26/EA26</f>
        <v>0.25429448227800122</v>
      </c>
      <c r="DZ109" s="3333">
        <f>DZ26/EA26</f>
        <v>0.27565380054040178</v>
      </c>
      <c r="EA109" s="3401">
        <f t="shared" si="482"/>
        <v>1</v>
      </c>
      <c r="EB109" s="3333">
        <f>EB26/EF26</f>
        <v>0.24239993761766312</v>
      </c>
      <c r="EC109" s="3333">
        <f>EC26/EF26</f>
        <v>0.23226280787354209</v>
      </c>
      <c r="ED109" s="3333">
        <f>ED26/EF26</f>
        <v>0.24642137040626497</v>
      </c>
      <c r="EE109" s="3333">
        <f>EE26/EF26</f>
        <v>0.27891588410252982</v>
      </c>
      <c r="EF109" s="3401">
        <f t="shared" si="483"/>
        <v>1</v>
      </c>
      <c r="EG109" s="3333">
        <f>EG26/EK26</f>
        <v>0.2338428856135433</v>
      </c>
      <c r="EH109" s="3333">
        <f>EH26/EK26</f>
        <v>0.23882525568866209</v>
      </c>
      <c r="EI109" s="3333">
        <f>EI26/EK26</f>
        <v>0.2548454917763518</v>
      </c>
      <c r="EJ109" s="3333">
        <f>EJ26/EK26</f>
        <v>0.27248636692144279</v>
      </c>
      <c r="EK109" s="3401">
        <f t="shared" si="484"/>
        <v>1</v>
      </c>
      <c r="EL109" s="3333">
        <f>EL26/EP26</f>
        <v>0.21673058609240095</v>
      </c>
      <c r="EM109" s="3333">
        <f>EM26/EP26</f>
        <v>0.24328746497448436</v>
      </c>
      <c r="EN109" s="3333">
        <f>EN26/EP26</f>
        <v>0.27710999293689925</v>
      </c>
      <c r="EO109" s="3333">
        <f>EO26/EP26</f>
        <v>0.26287195599621538</v>
      </c>
      <c r="EP109" s="3401">
        <f t="shared" si="485"/>
        <v>1</v>
      </c>
      <c r="EQ109" s="3333">
        <f>EQ26/EU26</f>
        <v>0.22804471690286984</v>
      </c>
      <c r="ER109" s="3333">
        <f>ER26/EU26</f>
        <v>0.24186544952796193</v>
      </c>
      <c r="ES109" s="3333">
        <f>ES26/EU26</f>
        <v>0.25598657065711322</v>
      </c>
      <c r="ET109" s="3333">
        <f>ET26/EU26</f>
        <v>0.27410326291205495</v>
      </c>
      <c r="EU109" s="3401">
        <f t="shared" si="486"/>
        <v>1</v>
      </c>
      <c r="EV109" s="3401"/>
      <c r="EW109" s="3401"/>
      <c r="EX109" s="3401"/>
      <c r="EY109" s="3401"/>
      <c r="EZ109" s="709"/>
      <c r="FA109" s="1100"/>
      <c r="FB109" s="1100"/>
      <c r="FC109" s="1100"/>
      <c r="FD109" s="1100"/>
      <c r="FE109" s="1100"/>
      <c r="FF109" s="1100"/>
      <c r="FG109" s="1100"/>
      <c r="FH109" s="1100"/>
      <c r="FI109" s="1100"/>
      <c r="FJ109" s="1100"/>
      <c r="FK109" s="1100"/>
      <c r="FL109" s="1100"/>
    </row>
    <row r="110" spans="1:168" ht="11.25" hidden="1" customHeight="1" outlineLevel="1">
      <c r="A110" s="4122" t="s">
        <v>627</v>
      </c>
      <c r="B110" s="3333"/>
      <c r="C110" s="3333"/>
      <c r="D110" s="3333"/>
      <c r="E110" s="3333"/>
      <c r="F110" s="3401"/>
      <c r="G110" s="3333"/>
      <c r="H110" s="3333"/>
      <c r="I110" s="3333"/>
      <c r="J110" s="3333"/>
      <c r="K110" s="3401"/>
      <c r="L110" s="3333"/>
      <c r="M110" s="3333"/>
      <c r="N110" s="3333"/>
      <c r="O110" s="3333"/>
      <c r="P110" s="3401"/>
      <c r="Q110" s="3333"/>
      <c r="R110" s="3333"/>
      <c r="S110" s="3333"/>
      <c r="T110" s="3333"/>
      <c r="U110" s="3401"/>
      <c r="V110" s="3333"/>
      <c r="W110" s="3333"/>
      <c r="X110" s="3333"/>
      <c r="Y110" s="3333"/>
      <c r="Z110" s="3401"/>
      <c r="AA110" s="3333"/>
      <c r="AB110" s="3333"/>
      <c r="AC110" s="3333"/>
      <c r="AD110" s="3333"/>
      <c r="AE110" s="3401"/>
      <c r="AF110" s="3333"/>
      <c r="AG110" s="3333"/>
      <c r="AH110" s="3333"/>
      <c r="AI110" s="3333"/>
      <c r="AJ110" s="3401"/>
      <c r="AK110" s="3333"/>
      <c r="AL110" s="3333"/>
      <c r="AM110" s="3333"/>
      <c r="AN110" s="3333"/>
      <c r="AO110" s="3401"/>
      <c r="AP110" s="3333"/>
      <c r="AQ110" s="3333"/>
      <c r="AR110" s="3333"/>
      <c r="AS110" s="3333"/>
      <c r="AT110" s="3401"/>
      <c r="AU110" s="3333"/>
      <c r="AV110" s="3333"/>
      <c r="AW110" s="3333"/>
      <c r="AX110" s="3333"/>
      <c r="AY110" s="3401"/>
      <c r="AZ110" s="3333"/>
      <c r="BA110" s="3333"/>
      <c r="BB110" s="3333"/>
      <c r="BC110" s="3333"/>
      <c r="BD110" s="3401"/>
      <c r="BE110" s="3333"/>
      <c r="BF110" s="3333"/>
      <c r="BG110" s="3333"/>
      <c r="BH110" s="3333"/>
      <c r="BI110" s="3401"/>
      <c r="BJ110" s="3333"/>
      <c r="BK110" s="3333"/>
      <c r="BL110" s="3333"/>
      <c r="BM110" s="3333"/>
      <c r="BN110" s="3401"/>
      <c r="BO110" s="3333"/>
      <c r="BP110" s="3333"/>
      <c r="BQ110" s="3333"/>
      <c r="BR110" s="3403"/>
      <c r="BS110" s="3404"/>
      <c r="BT110" s="3333"/>
      <c r="BU110" s="3333"/>
      <c r="BV110" s="3333"/>
      <c r="BW110" s="3333"/>
      <c r="BX110" s="3401"/>
      <c r="BY110" s="3333"/>
      <c r="BZ110" s="3333"/>
      <c r="CA110" s="3333"/>
      <c r="CB110" s="3333"/>
      <c r="CC110" s="3401"/>
      <c r="CD110" s="3333"/>
      <c r="CE110" s="3333"/>
      <c r="CF110" s="3333"/>
      <c r="CG110" s="3333"/>
      <c r="CH110" s="3401"/>
      <c r="CI110" s="3333">
        <f>CI27/CM27</f>
        <v>0.24945441319107661</v>
      </c>
      <c r="CJ110" s="3333">
        <f>CJ27/CM27</f>
        <v>0.25812318137730361</v>
      </c>
      <c r="CK110" s="3333">
        <f>CK27/CM27</f>
        <v>0.22575169738118331</v>
      </c>
      <c r="CL110" s="3333">
        <f>CL27/CM27</f>
        <v>0.26667070805043647</v>
      </c>
      <c r="CM110" s="3401">
        <f t="shared" si="474"/>
        <v>1</v>
      </c>
      <c r="CN110" s="3333">
        <f>CN27/CR27</f>
        <v>0.2297004132231405</v>
      </c>
      <c r="CO110" s="3333">
        <f>CO27/CR27</f>
        <v>0.24922520661157024</v>
      </c>
      <c r="CP110" s="3333">
        <f>CP27/CR27</f>
        <v>0.24318181818181819</v>
      </c>
      <c r="CQ110" s="3333">
        <f>CQ27/CR27</f>
        <v>0.27789256198347106</v>
      </c>
      <c r="CR110" s="3401">
        <f t="shared" si="475"/>
        <v>1</v>
      </c>
      <c r="CS110" s="3333">
        <f>CS27/CW27</f>
        <v>0.22524877719682915</v>
      </c>
      <c r="CT110" s="3333">
        <f>CT27/CW27</f>
        <v>0.25164445943666724</v>
      </c>
      <c r="CU110" s="3333">
        <f>CU27/CW27</f>
        <v>0.24316916849384382</v>
      </c>
      <c r="CV110" s="3333">
        <f>CV27/CW27</f>
        <v>0.27993759487265979</v>
      </c>
      <c r="CW110" s="3401">
        <f t="shared" si="476"/>
        <v>1</v>
      </c>
      <c r="CX110" s="3333">
        <f>CX27/DB27</f>
        <v>0.2512047731966649</v>
      </c>
      <c r="CY110" s="3333">
        <f>CY27/DB27</f>
        <v>0.15803564598791403</v>
      </c>
      <c r="CZ110" s="3333">
        <f>CZ27/DB27</f>
        <v>0.29763634972844794</v>
      </c>
      <c r="DA110" s="3333">
        <f>DA27/DB27</f>
        <v>0.29312323108697314</v>
      </c>
      <c r="DB110" s="3401">
        <f t="shared" si="477"/>
        <v>1</v>
      </c>
      <c r="DC110" s="3333">
        <f>DC27/DG27</f>
        <v>0.27732161023107105</v>
      </c>
      <c r="DD110" s="3333">
        <f>DD27/DG27</f>
        <v>0.11063072227873856</v>
      </c>
      <c r="DE110" s="3333">
        <f>DE27/DG27</f>
        <v>0.31336288330184564</v>
      </c>
      <c r="DF110" s="3333">
        <f>DF27/DG27</f>
        <v>0.29868478418834471</v>
      </c>
      <c r="DG110" s="3401">
        <f t="shared" si="478"/>
        <v>1</v>
      </c>
      <c r="DH110" s="3333">
        <f>DH27/DL27</f>
        <v>0.19304139522654903</v>
      </c>
      <c r="DI110" s="3333">
        <f>DI27/DL27</f>
        <v>0.26817796733954602</v>
      </c>
      <c r="DJ110" s="3333">
        <f>DJ27/DL27</f>
        <v>0.26809032748093831</v>
      </c>
      <c r="DK110" s="3333">
        <f>DK27/DL27</f>
        <v>0.27069030995296661</v>
      </c>
      <c r="DL110" s="3401">
        <f t="shared" si="479"/>
        <v>1</v>
      </c>
      <c r="DM110" s="3333">
        <f>DM27/DQ27</f>
        <v>0.19350378420337666</v>
      </c>
      <c r="DN110" s="3333">
        <f>DN27/DQ27</f>
        <v>0.15483698816223559</v>
      </c>
      <c r="DO110" s="3333">
        <f>DO27/DQ27</f>
        <v>0.2720017465554046</v>
      </c>
      <c r="DP110" s="3333">
        <f>DP27/DQ27</f>
        <v>0.37965748107898312</v>
      </c>
      <c r="DQ110" s="3401">
        <f t="shared" si="480"/>
        <v>0.99999999999999989</v>
      </c>
      <c r="DR110" s="3333">
        <f>DR27/DV27</f>
        <v>0.20881926976141474</v>
      </c>
      <c r="DS110" s="3333">
        <f>DS27/DV27</f>
        <v>0.24596641004141576</v>
      </c>
      <c r="DT110" s="3333">
        <f>DT27/DV27</f>
        <v>0.26718245801255175</v>
      </c>
      <c r="DU110" s="3333">
        <f>DU27/DV27</f>
        <v>0.27803186218461773</v>
      </c>
      <c r="DV110" s="3401">
        <f t="shared" si="481"/>
        <v>0.99999999999999989</v>
      </c>
      <c r="DW110" s="3333">
        <f>DW27/EA27</f>
        <v>0.26848560968440183</v>
      </c>
      <c r="DX110" s="3333">
        <f>DX27/EA27</f>
        <v>0.25992090002939527</v>
      </c>
      <c r="DY110" s="3333">
        <f>DY27/EA27</f>
        <v>0.22894898586355256</v>
      </c>
      <c r="DZ110" s="3333">
        <f>DZ27/EA27</f>
        <v>0.24264450442265037</v>
      </c>
      <c r="EA110" s="3401">
        <f t="shared" si="482"/>
        <v>1</v>
      </c>
      <c r="EB110" s="3333">
        <f>EB27/EF27</f>
        <v>0.20660078535584211</v>
      </c>
      <c r="EC110" s="3333">
        <f>EC27/EF27</f>
        <v>0.25907252084989263</v>
      </c>
      <c r="ED110" s="3333">
        <f>ED27/EF27</f>
        <v>0.25320014710592814</v>
      </c>
      <c r="EE110" s="3333">
        <f>EE27/EF27</f>
        <v>0.28112654668833709</v>
      </c>
      <c r="EF110" s="3401">
        <f t="shared" si="483"/>
        <v>1</v>
      </c>
      <c r="EG110" s="3333">
        <f>EG27/EK27</f>
        <v>0.22663938072782275</v>
      </c>
      <c r="EH110" s="3333">
        <f>EH27/EK27</f>
        <v>0.24401637156330636</v>
      </c>
      <c r="EI110" s="3333">
        <f>EI27/EK27</f>
        <v>0.25376812883708516</v>
      </c>
      <c r="EJ110" s="3333">
        <f>EJ27/EK27</f>
        <v>0.27557611887178574</v>
      </c>
      <c r="EK110" s="3401">
        <f t="shared" si="484"/>
        <v>1</v>
      </c>
      <c r="EL110" s="3333">
        <f>EL27/EP27</f>
        <v>0.23462879639799541</v>
      </c>
      <c r="EM110" s="3333">
        <f>EM27/EP27</f>
        <v>0.23972675593549353</v>
      </c>
      <c r="EN110" s="3333">
        <f>EN27/EP27</f>
        <v>0.23939711343908388</v>
      </c>
      <c r="EO110" s="3333">
        <f>EO27/EP27</f>
        <v>0.28624733422742726</v>
      </c>
      <c r="EP110" s="3401">
        <f t="shared" si="485"/>
        <v>1</v>
      </c>
      <c r="EQ110" s="3333">
        <f>EQ27/EU27</f>
        <v>0.23238885605477796</v>
      </c>
      <c r="ER110" s="3333">
        <f>ER27/EU27</f>
        <v>0.24368868406302643</v>
      </c>
      <c r="ES110" s="3333">
        <f>ES27/EU27</f>
        <v>0.25109116597830317</v>
      </c>
      <c r="ET110" s="3333">
        <f>ET27/EU27</f>
        <v>0.27283129390389227</v>
      </c>
      <c r="EU110" s="3401">
        <f t="shared" si="486"/>
        <v>0.99999999999999989</v>
      </c>
      <c r="EV110" s="3401"/>
      <c r="EW110" s="3401"/>
      <c r="EX110" s="3401"/>
      <c r="EY110" s="3401"/>
      <c r="EZ110" s="709"/>
      <c r="FA110" s="1100"/>
      <c r="FB110" s="1100"/>
      <c r="FC110" s="1100"/>
      <c r="FD110" s="1100"/>
      <c r="FE110" s="1100"/>
      <c r="FF110" s="1100"/>
      <c r="FG110" s="1100"/>
      <c r="FH110" s="1100"/>
      <c r="FI110" s="1100"/>
      <c r="FJ110" s="1100"/>
      <c r="FK110" s="1100"/>
      <c r="FL110" s="1100"/>
    </row>
    <row r="111" spans="1:168" s="129" customFormat="1" ht="11.25" hidden="1" customHeight="1" outlineLevel="1">
      <c r="A111" s="4123" t="str">
        <f>A55</f>
        <v>Depreciation &amp; amortization</v>
      </c>
      <c r="B111" s="709"/>
      <c r="C111" s="709"/>
      <c r="D111" s="709"/>
      <c r="E111" s="709"/>
      <c r="F111" s="4124"/>
      <c r="G111" s="709"/>
      <c r="H111" s="709"/>
      <c r="I111" s="709"/>
      <c r="J111" s="709"/>
      <c r="K111" s="4124"/>
      <c r="L111" s="709"/>
      <c r="M111" s="709"/>
      <c r="N111" s="709"/>
      <c r="O111" s="709"/>
      <c r="P111" s="4124"/>
      <c r="Q111" s="709"/>
      <c r="R111" s="709"/>
      <c r="S111" s="709"/>
      <c r="T111" s="709"/>
      <c r="U111" s="4124"/>
      <c r="V111" s="709"/>
      <c r="W111" s="709"/>
      <c r="X111" s="709"/>
      <c r="Y111" s="709"/>
      <c r="Z111" s="4124"/>
      <c r="AA111" s="709"/>
      <c r="AB111" s="709"/>
      <c r="AC111" s="709"/>
      <c r="AD111" s="709"/>
      <c r="AE111" s="4124"/>
      <c r="AF111" s="709"/>
      <c r="AG111" s="709"/>
      <c r="AH111" s="709"/>
      <c r="AI111" s="709"/>
      <c r="AJ111" s="4124"/>
      <c r="AK111" s="709"/>
      <c r="AL111" s="709"/>
      <c r="AM111" s="709"/>
      <c r="AN111" s="709"/>
      <c r="AO111" s="4124"/>
      <c r="AP111" s="709"/>
      <c r="AQ111" s="709"/>
      <c r="AR111" s="709"/>
      <c r="AS111" s="709"/>
      <c r="AT111" s="4124"/>
      <c r="AU111" s="709"/>
      <c r="AV111" s="709"/>
      <c r="AW111" s="709"/>
      <c r="AX111" s="709"/>
      <c r="AY111" s="4124"/>
      <c r="AZ111" s="709"/>
      <c r="BA111" s="709"/>
      <c r="BB111" s="709"/>
      <c r="BC111" s="709"/>
      <c r="BD111" s="4124"/>
      <c r="BE111" s="709"/>
      <c r="BF111" s="709"/>
      <c r="BG111" s="709"/>
      <c r="BH111" s="709"/>
      <c r="BI111" s="4124"/>
      <c r="BJ111" s="709"/>
      <c r="BK111" s="709"/>
      <c r="BL111" s="709"/>
      <c r="BM111" s="709"/>
      <c r="BN111" s="4124"/>
      <c r="BO111" s="709"/>
      <c r="BP111" s="709"/>
      <c r="BQ111" s="709"/>
      <c r="BR111" s="709"/>
      <c r="BS111" s="709"/>
      <c r="BT111" s="709"/>
      <c r="BU111" s="709"/>
      <c r="BV111" s="709"/>
      <c r="BW111" s="709"/>
      <c r="BX111" s="4124"/>
      <c r="BY111" s="709"/>
      <c r="BZ111" s="709"/>
      <c r="CA111" s="709"/>
      <c r="CB111" s="709"/>
      <c r="CC111" s="4124"/>
      <c r="CD111" s="709">
        <f>CD55/CH55</f>
        <v>0.22823051535922823</v>
      </c>
      <c r="CE111" s="709">
        <f>CE55/CH55</f>
        <v>0.2614876872302615</v>
      </c>
      <c r="CF111" s="709">
        <f>CF55/CH55</f>
        <v>0.24727088093424726</v>
      </c>
      <c r="CG111" s="709">
        <f>CG55/CH55</f>
        <v>0.26301091647626301</v>
      </c>
      <c r="CH111" s="4124">
        <f>SUM(CD111:CG111)</f>
        <v>1</v>
      </c>
      <c r="CI111" s="709">
        <f>CI55/CM55</f>
        <v>0.21811608756778469</v>
      </c>
      <c r="CJ111" s="709">
        <f>CJ55/CM55</f>
        <v>0.21671018276762402</v>
      </c>
      <c r="CK111" s="709">
        <f>CK55/CM55</f>
        <v>0.31070496083550914</v>
      </c>
      <c r="CL111" s="709">
        <f>CL55/CM55</f>
        <v>0.25446876882908215</v>
      </c>
      <c r="CM111" s="4124">
        <f t="shared" si="474"/>
        <v>1</v>
      </c>
      <c r="CN111" s="709">
        <f>CN55/CR55</f>
        <v>0.23247086707485681</v>
      </c>
      <c r="CO111" s="709">
        <f>CO55/CR55</f>
        <v>0.24372901441832906</v>
      </c>
      <c r="CP111" s="709">
        <f>CP55/CR55</f>
        <v>0.24649417341497137</v>
      </c>
      <c r="CQ111" s="709">
        <f>CQ55/CR55</f>
        <v>0.27730594509184275</v>
      </c>
      <c r="CR111" s="4124">
        <f t="shared" si="475"/>
        <v>1</v>
      </c>
      <c r="CS111" s="709">
        <f>CS55/CW55</f>
        <v>0.22314453125</v>
      </c>
      <c r="CT111" s="709">
        <f>CT55/CW55</f>
        <v>0.24251302083333334</v>
      </c>
      <c r="CU111" s="709">
        <f>CU55/CW55</f>
        <v>0.259765625</v>
      </c>
      <c r="CV111" s="709">
        <f>CV55/CW55</f>
        <v>0.27457682291666669</v>
      </c>
      <c r="CW111" s="4124">
        <f t="shared" si="476"/>
        <v>1</v>
      </c>
      <c r="CX111" s="709">
        <f>CX55/DB55</f>
        <v>0.217353579175705</v>
      </c>
      <c r="CY111" s="709">
        <f>CY55/DB55</f>
        <v>0.23499638467100506</v>
      </c>
      <c r="CZ111" s="709">
        <f>CZ55/DB55</f>
        <v>0.25466377440347071</v>
      </c>
      <c r="DA111" s="709">
        <f>DA55/DB55</f>
        <v>0.29298626174981923</v>
      </c>
      <c r="DB111" s="4124">
        <f t="shared" si="477"/>
        <v>1</v>
      </c>
      <c r="DC111" s="709">
        <f>DC55/DG55</f>
        <v>0.21981184283342556</v>
      </c>
      <c r="DD111" s="709">
        <f>DD55/DG55</f>
        <v>0.23397897066961815</v>
      </c>
      <c r="DE111" s="709">
        <f>DE55/DG55</f>
        <v>0.2606530160486995</v>
      </c>
      <c r="DF111" s="709">
        <f>DF55/DG55</f>
        <v>0.28555617044825676</v>
      </c>
      <c r="DG111" s="4124">
        <f t="shared" si="478"/>
        <v>1</v>
      </c>
      <c r="DH111" s="709">
        <f>DH55/DL55</f>
        <v>0.22179781003310414</v>
      </c>
      <c r="DI111" s="709">
        <f>DI55/DL55</f>
        <v>0.24064171122994651</v>
      </c>
      <c r="DJ111" s="709">
        <f>DJ55/DL55</f>
        <v>0.24785671844495374</v>
      </c>
      <c r="DK111" s="709">
        <f>DK55/DL55</f>
        <v>0.28970376029199557</v>
      </c>
      <c r="DL111" s="4124">
        <f t="shared" si="479"/>
        <v>1</v>
      </c>
      <c r="DM111" s="709">
        <f>DM55/DQ55</f>
        <v>0.22691100240928672</v>
      </c>
      <c r="DN111" s="709">
        <f>DN55/DQ55</f>
        <v>0.24720741768270424</v>
      </c>
      <c r="DO111" s="709">
        <f>DO55/DQ55</f>
        <v>0.25392421698182083</v>
      </c>
      <c r="DP111" s="709">
        <f>DP55/DQ55</f>
        <v>0.27195736292618822</v>
      </c>
      <c r="DQ111" s="4124">
        <f t="shared" si="480"/>
        <v>1</v>
      </c>
      <c r="DR111" s="709">
        <f>DR55/DV55</f>
        <v>0.221284462663773</v>
      </c>
      <c r="DS111" s="709">
        <f>DS55/DV55</f>
        <v>0.23671730568282293</v>
      </c>
      <c r="DT111" s="709">
        <f>DT55/DV55</f>
        <v>0.26557350695281728</v>
      </c>
      <c r="DU111" s="709">
        <f>DU55/DV55</f>
        <v>0.27642472470058677</v>
      </c>
      <c r="DV111" s="4124">
        <f t="shared" si="481"/>
        <v>0.99999999999999989</v>
      </c>
      <c r="DW111" s="709">
        <f>DW55/EA55</f>
        <v>0.23744349573078855</v>
      </c>
      <c r="DX111" s="709">
        <f>DX55/EA55</f>
        <v>0.24478905072827725</v>
      </c>
      <c r="DY111" s="709">
        <f>DY55/EA55</f>
        <v>0.25401808136614767</v>
      </c>
      <c r="DZ111" s="709">
        <f>DZ55/EA55</f>
        <v>0.26374937217478656</v>
      </c>
      <c r="EA111" s="4124">
        <f t="shared" si="482"/>
        <v>1</v>
      </c>
      <c r="EB111" s="709">
        <f>EB55/EF55</f>
        <v>0.23257172056354478</v>
      </c>
      <c r="EC111" s="709">
        <f>EC55/EF55</f>
        <v>0.24797430469377327</v>
      </c>
      <c r="ED111" s="709">
        <f>ED55/EF55</f>
        <v>0.27739251040221913</v>
      </c>
      <c r="EE111" s="709">
        <f>EE55/EF55</f>
        <v>0.2420614643404628</v>
      </c>
      <c r="EF111" s="4124">
        <f t="shared" si="483"/>
        <v>1</v>
      </c>
      <c r="EG111" s="709">
        <f>EG55/EK55</f>
        <v>0.22291163215988505</v>
      </c>
      <c r="EH111" s="709">
        <f>EH55/EK55</f>
        <v>0.24217882568088303</v>
      </c>
      <c r="EI111" s="709">
        <f>EI55/EK55</f>
        <v>0.26027039383449807</v>
      </c>
      <c r="EJ111" s="709">
        <f>EJ55/EK55</f>
        <v>0.27463914832473385</v>
      </c>
      <c r="EK111" s="4124">
        <f t="shared" si="484"/>
        <v>1</v>
      </c>
      <c r="EL111" s="709">
        <f>EL55/EP55</f>
        <v>0.20843399585957756</v>
      </c>
      <c r="EM111" s="709">
        <f>EM55/EP55</f>
        <v>0.23217140880458403</v>
      </c>
      <c r="EN111" s="709">
        <f>EN55/EP55</f>
        <v>0.26064701376601063</v>
      </c>
      <c r="EO111" s="709">
        <f>EO55/EP55</f>
        <v>0.29874758156982789</v>
      </c>
      <c r="EP111" s="4124">
        <f t="shared" si="485"/>
        <v>1.0000000000000002</v>
      </c>
      <c r="EQ111" s="709">
        <f>EQ55/EU55</f>
        <v>0.20466103315824938</v>
      </c>
      <c r="ER111" s="709">
        <f>ER55/EU55</f>
        <v>0.2361814692878115</v>
      </c>
      <c r="ES111" s="709">
        <f>ES55/EU55</f>
        <v>0.26198237887775694</v>
      </c>
      <c r="ET111" s="709">
        <f>ET55/EU55</f>
        <v>0.29717511867618213</v>
      </c>
      <c r="EU111" s="4124">
        <f t="shared" si="486"/>
        <v>1</v>
      </c>
      <c r="EV111" s="4124"/>
      <c r="EW111" s="4124"/>
      <c r="EX111" s="4124"/>
      <c r="EY111" s="4124"/>
      <c r="EZ111" s="709"/>
      <c r="FA111" s="1100"/>
      <c r="FB111" s="1100"/>
      <c r="FC111" s="1100"/>
      <c r="FD111" s="1100"/>
      <c r="FE111" s="1100"/>
      <c r="FF111" s="1100"/>
      <c r="FG111" s="1100"/>
      <c r="FH111" s="1100"/>
      <c r="FI111" s="1100"/>
      <c r="FJ111" s="1100"/>
      <c r="FK111" s="1100"/>
      <c r="FL111" s="1100"/>
    </row>
    <row r="112" spans="1:168" s="31" customFormat="1" ht="11.25" hidden="1" customHeight="1" outlineLevel="1">
      <c r="A112" s="3764" t="s">
        <v>54</v>
      </c>
      <c r="B112" s="1817"/>
      <c r="C112" s="1817"/>
      <c r="D112" s="1817"/>
      <c r="E112" s="1817"/>
      <c r="F112" s="1781"/>
      <c r="G112" s="1817"/>
      <c r="H112" s="1817"/>
      <c r="I112" s="1817"/>
      <c r="J112" s="1817"/>
      <c r="K112" s="1781"/>
      <c r="L112" s="1827"/>
      <c r="M112" s="1827"/>
      <c r="N112" s="1827"/>
      <c r="O112" s="1827"/>
      <c r="P112" s="1781"/>
      <c r="Q112" s="1817"/>
      <c r="R112" s="1817"/>
      <c r="S112" s="1817"/>
      <c r="T112" s="1817"/>
      <c r="U112" s="1818"/>
      <c r="V112" s="1817"/>
      <c r="W112" s="1817"/>
      <c r="X112" s="1817"/>
      <c r="Y112" s="1817"/>
      <c r="Z112" s="1818"/>
      <c r="AA112" s="1817"/>
      <c r="AB112" s="1817"/>
      <c r="AC112" s="1817"/>
      <c r="AD112" s="1817"/>
      <c r="AE112" s="1818"/>
      <c r="AF112" s="1817"/>
      <c r="AG112" s="1817"/>
      <c r="AH112" s="1817"/>
      <c r="AI112" s="1817"/>
      <c r="AJ112" s="1818"/>
      <c r="AK112" s="1817"/>
      <c r="AL112" s="1817"/>
      <c r="AM112" s="1817"/>
      <c r="AN112" s="1817"/>
      <c r="AO112" s="1818"/>
      <c r="AP112" s="1817"/>
      <c r="AQ112" s="1817"/>
      <c r="AR112" s="1817"/>
      <c r="AS112" s="1817"/>
      <c r="AT112" s="1818"/>
      <c r="AU112" s="1817"/>
      <c r="AV112" s="1817"/>
      <c r="AW112" s="1817"/>
      <c r="AX112" s="1817"/>
      <c r="AY112" s="1818"/>
      <c r="AZ112" s="1817"/>
      <c r="BA112" s="1817"/>
      <c r="BB112" s="1817"/>
      <c r="BC112" s="1817"/>
      <c r="BD112" s="1818"/>
      <c r="BE112" s="1819"/>
      <c r="BF112" s="1817"/>
      <c r="BG112" s="1817"/>
      <c r="BH112" s="1817"/>
      <c r="BI112" s="1818"/>
      <c r="BJ112" s="1817"/>
      <c r="BK112" s="1817"/>
      <c r="BL112" s="1817"/>
      <c r="BM112" s="1817"/>
      <c r="BN112" s="1818"/>
      <c r="BO112" s="1817"/>
      <c r="BP112" s="1817"/>
      <c r="BQ112" s="1817"/>
      <c r="BR112" s="1817"/>
      <c r="BS112" s="1818"/>
      <c r="BT112" s="1817"/>
      <c r="BU112" s="1817"/>
      <c r="BV112" s="1817"/>
      <c r="BW112" s="1817"/>
      <c r="BX112" s="1818"/>
      <c r="BY112" s="1817"/>
      <c r="BZ112" s="1817"/>
      <c r="CA112" s="1817"/>
      <c r="CB112" s="1817"/>
      <c r="CC112" s="1818"/>
      <c r="CD112" s="1817"/>
      <c r="CE112" s="1817"/>
      <c r="CF112" s="1817"/>
      <c r="CG112" s="1817"/>
      <c r="CH112" s="1818"/>
      <c r="CI112" s="1817">
        <f>CI57/CM57</f>
        <v>0.2354775828460039</v>
      </c>
      <c r="CJ112" s="1817">
        <f>CJ57/CM57</f>
        <v>0.24237816764132553</v>
      </c>
      <c r="CK112" s="1817">
        <f>CK57/CM57</f>
        <v>0.25442495126705655</v>
      </c>
      <c r="CL112" s="1817">
        <f>CL57/CM57</f>
        <v>0.26771929824561402</v>
      </c>
      <c r="CM112" s="1818">
        <f t="shared" si="474"/>
        <v>1</v>
      </c>
      <c r="CN112" s="1817">
        <f>CN57/CR57</f>
        <v>0.23043947883615742</v>
      </c>
      <c r="CO112" s="1817">
        <f>CO57/CR57</f>
        <v>0.2427259839330318</v>
      </c>
      <c r="CP112" s="1817">
        <f>CP57/CR57</f>
        <v>0.24937554850469182</v>
      </c>
      <c r="CQ112" s="1817">
        <f>CQ57/CR57</f>
        <v>0.27745898872611896</v>
      </c>
      <c r="CR112" s="1818">
        <f t="shared" si="475"/>
        <v>1</v>
      </c>
      <c r="CS112" s="1817">
        <f>CS57/CW57</f>
        <v>0.22446188770068101</v>
      </c>
      <c r="CT112" s="1817">
        <f>CT57/CW57</f>
        <v>0.24508382791346442</v>
      </c>
      <c r="CU112" s="1817">
        <f>CU57/CW57</f>
        <v>0.2522495418866067</v>
      </c>
      <c r="CV112" s="1817">
        <f>CV57/CW57</f>
        <v>0.27820474249924787</v>
      </c>
      <c r="CW112" s="1818">
        <f t="shared" si="476"/>
        <v>1</v>
      </c>
      <c r="CX112" s="1817">
        <f>CX57/DB57</f>
        <v>0.23185205630692796</v>
      </c>
      <c r="CY112" s="1817">
        <f>CY57/DB57</f>
        <v>0.24142055386880118</v>
      </c>
      <c r="CZ112" s="1817">
        <f>CZ57/DB57</f>
        <v>0.26136259085472446</v>
      </c>
      <c r="DA112" s="1817">
        <f>DA57/DB57</f>
        <v>0.2653647989695464</v>
      </c>
      <c r="DB112" s="1818">
        <f t="shared" si="477"/>
        <v>1</v>
      </c>
      <c r="DC112" s="1817">
        <f>DC57/DG57</f>
        <v>0.23686326814820627</v>
      </c>
      <c r="DD112" s="1817">
        <f>DD57/DG57</f>
        <v>0.24798462232508875</v>
      </c>
      <c r="DE112" s="1817">
        <f>DE57/DG57</f>
        <v>0.25910597650197126</v>
      </c>
      <c r="DF112" s="1817">
        <f>DF57/DG57</f>
        <v>0.25604613302473372</v>
      </c>
      <c r="DG112" s="1818">
        <f t="shared" si="478"/>
        <v>1</v>
      </c>
      <c r="DH112" s="1817">
        <f>DH57/DL57</f>
        <v>0.23395381433430765</v>
      </c>
      <c r="DI112" s="1817">
        <f>DI57/DL57</f>
        <v>0.25248277866092339</v>
      </c>
      <c r="DJ112" s="1817">
        <f>DJ57/DL57</f>
        <v>0.25162812163478798</v>
      </c>
      <c r="DK112" s="1817">
        <f>DK57/DL57</f>
        <v>0.26193528536998101</v>
      </c>
      <c r="DL112" s="1818">
        <f t="shared" si="479"/>
        <v>1</v>
      </c>
      <c r="DM112" s="1817">
        <f>DM57/DQ57</f>
        <v>0.21021321710448815</v>
      </c>
      <c r="DN112" s="1817">
        <f>DN57/DQ57</f>
        <v>0.19364766167982095</v>
      </c>
      <c r="DO112" s="1817">
        <f>DO57/DQ57</f>
        <v>0.26337024384497587</v>
      </c>
      <c r="DP112" s="1817">
        <f>DP57/DQ57</f>
        <v>0.33276887737071503</v>
      </c>
      <c r="DQ112" s="1818">
        <f t="shared" si="480"/>
        <v>1</v>
      </c>
      <c r="DR112" s="1817">
        <f>DR57/DV57</f>
        <v>0.21528944626446761</v>
      </c>
      <c r="DS112" s="1817">
        <f>DS57/DV57</f>
        <v>0.24508359069191127</v>
      </c>
      <c r="DT112" s="1817">
        <f>DT57/DV57</f>
        <v>0.26479616261933148</v>
      </c>
      <c r="DU112" s="1817">
        <f>DU57/DV57</f>
        <v>0.27483080042428965</v>
      </c>
      <c r="DV112" s="1818">
        <f t="shared" si="481"/>
        <v>1</v>
      </c>
      <c r="DW112" s="1817">
        <f>DW57/EA57</f>
        <v>0.25769077107471033</v>
      </c>
      <c r="DX112" s="1817">
        <f>DX57/EA57</f>
        <v>0.25545708785820653</v>
      </c>
      <c r="DY112" s="1817">
        <f>DY57/EA57</f>
        <v>0.23750590200849889</v>
      </c>
      <c r="DZ112" s="1817">
        <f>DZ57/EA57</f>
        <v>0.24934623905858425</v>
      </c>
      <c r="EA112" s="1818">
        <f t="shared" si="482"/>
        <v>0.99999999999999989</v>
      </c>
      <c r="EB112" s="1817">
        <f>EB57/EF57</f>
        <v>0.21489888088201109</v>
      </c>
      <c r="EC112" s="1817">
        <f>EC57/EF57</f>
        <v>0.25743864776010361</v>
      </c>
      <c r="ED112" s="1817">
        <f>ED57/EF57</f>
        <v>0.25641749410553583</v>
      </c>
      <c r="EE112" s="1817">
        <f>EE57/EF57</f>
        <v>0.27124497725234947</v>
      </c>
      <c r="EF112" s="1818">
        <f t="shared" si="483"/>
        <v>1</v>
      </c>
      <c r="EG112" s="1817">
        <f>EG57/EK57</f>
        <v>0.22692476376540011</v>
      </c>
      <c r="EH112" s="1817">
        <f>EH57/EK57</f>
        <v>0.24585675743923022</v>
      </c>
      <c r="EI112" s="1817">
        <f>EI57/EK57</f>
        <v>0.25485427215820738</v>
      </c>
      <c r="EJ112" s="1817">
        <f>EJ57/EK57</f>
        <v>0.27236420663716226</v>
      </c>
      <c r="EK112" s="1818">
        <f t="shared" si="484"/>
        <v>1</v>
      </c>
      <c r="EL112" s="1817">
        <f>EL57/EP57</f>
        <v>0.22580912067259457</v>
      </c>
      <c r="EM112" s="1817">
        <f>EM57/EP57</f>
        <v>0.23502854301924583</v>
      </c>
      <c r="EN112" s="1817">
        <f>EN57/EP57</f>
        <v>0.25947836211347119</v>
      </c>
      <c r="EO112" s="1817">
        <f>EO57/EP57</f>
        <v>0.27968397419468843</v>
      </c>
      <c r="EP112" s="1818">
        <f t="shared" si="485"/>
        <v>1</v>
      </c>
      <c r="EQ112" s="1817">
        <f>EQ57/EU57</f>
        <v>0.2271095698364064</v>
      </c>
      <c r="ER112" s="1817">
        <f>ER57/EU57</f>
        <v>0.24316129401202224</v>
      </c>
      <c r="ES112" s="1817">
        <f>ES57/EU57</f>
        <v>0.25432599261916677</v>
      </c>
      <c r="ET112" s="1817">
        <f>ET57/EU57</f>
        <v>0.27540314353240447</v>
      </c>
      <c r="EU112" s="1818">
        <f t="shared" si="486"/>
        <v>0.99999999999999989</v>
      </c>
      <c r="EV112" s="1712"/>
      <c r="EW112" s="1712"/>
      <c r="EX112" s="1712"/>
      <c r="EY112" s="1712"/>
      <c r="EZ112" s="208"/>
      <c r="FA112" s="717"/>
      <c r="FB112" s="717"/>
      <c r="FC112" s="717"/>
      <c r="FD112" s="717"/>
      <c r="FE112" s="717"/>
      <c r="FF112" s="717"/>
      <c r="FG112" s="717"/>
      <c r="FH112" s="717"/>
      <c r="FI112" s="717"/>
      <c r="FJ112" s="717"/>
      <c r="FK112" s="717"/>
      <c r="FL112" s="717"/>
    </row>
    <row r="113" spans="1:168" ht="11.25" customHeight="1" collapsed="1">
      <c r="A113" s="3767" t="s">
        <v>570</v>
      </c>
      <c r="B113" s="1451"/>
      <c r="C113" s="1451"/>
      <c r="D113" s="1451"/>
      <c r="E113" s="1451"/>
      <c r="F113" s="1444"/>
      <c r="G113" s="1451"/>
      <c r="H113" s="1451"/>
      <c r="I113" s="1451"/>
      <c r="J113" s="1451"/>
      <c r="K113" s="1444"/>
      <c r="L113" s="1451"/>
      <c r="M113" s="1451"/>
      <c r="N113" s="1451"/>
      <c r="O113" s="1451"/>
      <c r="P113" s="1444"/>
      <c r="Q113" s="1451"/>
      <c r="R113" s="1451"/>
      <c r="S113" s="1451"/>
      <c r="T113" s="1451"/>
      <c r="U113" s="1444"/>
      <c r="V113" s="1451"/>
      <c r="W113" s="1451"/>
      <c r="X113" s="1451"/>
      <c r="Y113" s="1451"/>
      <c r="Z113" s="1444"/>
      <c r="AA113" s="1451"/>
      <c r="AB113" s="1451"/>
      <c r="AC113" s="1451"/>
      <c r="AD113" s="1784"/>
      <c r="AE113" s="1444"/>
      <c r="AF113" s="1451"/>
      <c r="AG113" s="1451"/>
      <c r="AH113" s="1451"/>
      <c r="AI113" s="1451"/>
      <c r="AJ113" s="1444"/>
      <c r="AK113" s="1451"/>
      <c r="AL113" s="1451"/>
      <c r="AM113" s="1451"/>
      <c r="AN113" s="1451"/>
      <c r="AO113" s="1444"/>
      <c r="AP113" s="1451"/>
      <c r="AQ113" s="1451"/>
      <c r="AR113" s="1451"/>
      <c r="AS113" s="1451"/>
      <c r="AT113" s="1444"/>
      <c r="AU113" s="1451"/>
      <c r="AV113" s="1451"/>
      <c r="AW113" s="1451"/>
      <c r="AX113" s="1451"/>
      <c r="AY113" s="1713"/>
      <c r="AZ113" s="1451"/>
      <c r="BA113" s="1451"/>
      <c r="BB113" s="1451"/>
      <c r="BC113" s="1451"/>
      <c r="BD113" s="1713"/>
      <c r="BE113" s="1755"/>
      <c r="BF113" s="1451"/>
      <c r="BG113" s="1451"/>
      <c r="BH113" s="1451"/>
      <c r="BI113" s="1713"/>
      <c r="BJ113" s="1451"/>
      <c r="BK113" s="1451"/>
      <c r="BL113" s="1451"/>
      <c r="BM113" s="1451"/>
      <c r="BN113" s="1713"/>
      <c r="BO113" s="1451"/>
      <c r="BP113" s="1451"/>
      <c r="BQ113" s="1451"/>
      <c r="BR113" s="1756"/>
      <c r="BS113" s="1757"/>
      <c r="BT113" s="1451"/>
      <c r="BU113" s="1451"/>
      <c r="BV113" s="1451"/>
      <c r="BW113" s="1451"/>
      <c r="BX113" s="1713"/>
      <c r="BY113" s="1451"/>
      <c r="BZ113" s="1451"/>
      <c r="CA113" s="1451"/>
      <c r="CB113" s="1451"/>
      <c r="CC113" s="1713"/>
      <c r="CD113" s="1451"/>
      <c r="CE113" s="1451"/>
      <c r="CF113" s="1451"/>
      <c r="CG113" s="1451"/>
      <c r="CH113" s="1713"/>
      <c r="CI113" s="1793"/>
      <c r="CJ113" s="1793"/>
      <c r="CK113" s="1820"/>
      <c r="CL113" s="1451"/>
      <c r="CM113" s="1758"/>
      <c r="CN113" s="1793"/>
      <c r="CO113" s="1820"/>
      <c r="CP113" s="1820"/>
      <c r="CQ113" s="1820"/>
      <c r="CR113" s="1758"/>
      <c r="CS113" s="1820"/>
      <c r="CT113" s="1820"/>
      <c r="CU113" s="1820"/>
      <c r="CV113" s="1820"/>
      <c r="CW113" s="1758"/>
      <c r="CX113" s="1820"/>
      <c r="CY113" s="1820"/>
      <c r="CZ113" s="1820"/>
      <c r="DA113" s="1821"/>
      <c r="DB113" s="1759"/>
      <c r="DC113" s="1820"/>
      <c r="DD113" s="1820"/>
      <c r="DE113" s="1820"/>
      <c r="DF113" s="1821"/>
      <c r="DG113" s="1758"/>
      <c r="DH113" s="3984"/>
      <c r="DI113" s="3984"/>
      <c r="DJ113" s="3984"/>
      <c r="DK113" s="3984"/>
      <c r="DL113" s="1758"/>
      <c r="DM113" s="3984"/>
      <c r="DN113" s="3984"/>
      <c r="DO113" s="3984"/>
      <c r="DP113" s="3984"/>
      <c r="DQ113" s="1758"/>
      <c r="DR113" s="3984"/>
      <c r="DS113" s="3984"/>
      <c r="DT113" s="3984"/>
      <c r="DU113" s="3984"/>
      <c r="DV113" s="1758"/>
      <c r="DW113" s="3984"/>
      <c r="DX113" s="3984"/>
      <c r="DY113" s="3984"/>
      <c r="DZ113" s="3984"/>
      <c r="EA113" s="1758"/>
      <c r="EB113" s="3984"/>
      <c r="EC113" s="3984"/>
      <c r="ED113" s="3984"/>
      <c r="EE113" s="3984"/>
      <c r="EF113" s="1758"/>
      <c r="EG113" s="3984"/>
      <c r="EH113" s="3984"/>
      <c r="EI113" s="3984"/>
      <c r="EJ113" s="3984"/>
      <c r="EK113" s="1758"/>
      <c r="EL113" s="3984"/>
      <c r="EM113" s="3984"/>
      <c r="EN113" s="3984"/>
      <c r="EO113" s="3984"/>
      <c r="EP113" s="1758"/>
      <c r="EQ113" s="3984"/>
      <c r="ER113" s="3984"/>
      <c r="ES113" s="3984"/>
      <c r="ET113" s="3984"/>
      <c r="EU113" s="1758"/>
      <c r="EV113" s="1758"/>
      <c r="EW113" s="1758"/>
      <c r="EX113" s="1758"/>
      <c r="EY113" s="1758"/>
      <c r="EZ113" s="208"/>
      <c r="FA113" s="4285"/>
      <c r="FB113" s="4285"/>
      <c r="FC113" s="4285"/>
      <c r="FD113" s="4285"/>
      <c r="FE113" s="4285"/>
      <c r="FF113" s="4285"/>
      <c r="FG113" s="4285"/>
      <c r="FH113" s="4285"/>
      <c r="FI113" s="4285"/>
      <c r="FJ113" s="4285"/>
      <c r="FK113" s="4285"/>
      <c r="FL113" s="4285"/>
    </row>
    <row r="114" spans="1:168" s="310" customFormat="1" ht="11.25" customHeight="1">
      <c r="A114" s="3763" t="s">
        <v>181</v>
      </c>
      <c r="B114" s="124"/>
      <c r="C114" s="124"/>
      <c r="D114" s="124"/>
      <c r="E114" s="124"/>
      <c r="F114" s="997"/>
      <c r="G114" s="124"/>
      <c r="H114" s="124"/>
      <c r="I114" s="124"/>
      <c r="J114" s="124"/>
      <c r="K114" s="997"/>
      <c r="L114" s="124"/>
      <c r="M114" s="124"/>
      <c r="N114" s="124"/>
      <c r="O114" s="124"/>
      <c r="P114" s="997"/>
      <c r="Q114" s="124"/>
      <c r="R114" s="124"/>
      <c r="S114" s="124"/>
      <c r="T114" s="124"/>
      <c r="U114" s="997"/>
      <c r="V114" s="124"/>
      <c r="W114" s="124"/>
      <c r="X114" s="124"/>
      <c r="Y114" s="124"/>
      <c r="Z114" s="997"/>
      <c r="AA114" s="124"/>
      <c r="AB114" s="124"/>
      <c r="AC114" s="124"/>
      <c r="AD114" s="124"/>
      <c r="AE114" s="997"/>
      <c r="AF114" s="124"/>
      <c r="AG114" s="124"/>
      <c r="AH114" s="124"/>
      <c r="AI114" s="124"/>
      <c r="AJ114" s="997"/>
      <c r="AK114" s="124"/>
      <c r="AL114" s="124"/>
      <c r="AM114" s="124"/>
      <c r="AN114" s="124"/>
      <c r="AO114" s="997"/>
      <c r="AP114" s="124"/>
      <c r="AQ114" s="124"/>
      <c r="AR114" s="124"/>
      <c r="AS114" s="124"/>
      <c r="AT114" s="997"/>
      <c r="AU114" s="124"/>
      <c r="AV114" s="124"/>
      <c r="AW114" s="124"/>
      <c r="AX114" s="124"/>
      <c r="AY114" s="997"/>
      <c r="AZ114" s="124"/>
      <c r="BA114" s="124"/>
      <c r="BB114" s="124"/>
      <c r="BC114" s="124"/>
      <c r="BD114" s="997"/>
      <c r="BE114" s="1688"/>
      <c r="BF114" s="124"/>
      <c r="BG114" s="124"/>
      <c r="BH114" s="124"/>
      <c r="BI114" s="995"/>
      <c r="BJ114" s="124"/>
      <c r="BK114" s="124"/>
      <c r="BL114" s="124"/>
      <c r="BM114" s="124"/>
      <c r="BN114" s="995"/>
      <c r="BO114" s="124"/>
      <c r="BP114" s="124"/>
      <c r="BQ114" s="124"/>
      <c r="BR114" s="123"/>
      <c r="BS114" s="1760"/>
      <c r="BT114" s="1750"/>
      <c r="BU114" s="124"/>
      <c r="BV114" s="124"/>
      <c r="BW114" s="124"/>
      <c r="BX114" s="995"/>
      <c r="BY114" s="124"/>
      <c r="BZ114" s="124"/>
      <c r="CA114" s="124"/>
      <c r="CB114" s="124"/>
      <c r="CC114" s="995"/>
      <c r="CD114" s="124"/>
      <c r="CE114" s="124"/>
      <c r="CF114" s="124"/>
      <c r="CG114" s="124">
        <f>CG12/CG$9</f>
        <v>0.23739614422844235</v>
      </c>
      <c r="CH114" s="995"/>
      <c r="CI114" s="124">
        <f t="shared" ref="CI114:DN114" si="487">CI12/CI$9</f>
        <v>0.22390876271742699</v>
      </c>
      <c r="CJ114" s="124">
        <f t="shared" si="487"/>
        <v>0.22279260780287474</v>
      </c>
      <c r="CK114" s="124">
        <f t="shared" si="487"/>
        <v>0.25404174573055027</v>
      </c>
      <c r="CL114" s="124">
        <f t="shared" si="487"/>
        <v>0.22792239176966098</v>
      </c>
      <c r="CM114" s="995">
        <f t="shared" si="487"/>
        <v>0.2322489715069328</v>
      </c>
      <c r="CN114" s="124">
        <f t="shared" si="487"/>
        <v>0.21641630130094155</v>
      </c>
      <c r="CO114" s="124">
        <f t="shared" si="487"/>
        <v>0.22341463414634147</v>
      </c>
      <c r="CP114" s="124">
        <f t="shared" si="487"/>
        <v>0.22973062413131246</v>
      </c>
      <c r="CQ114" s="124">
        <f t="shared" si="487"/>
        <v>0.23926131758712516</v>
      </c>
      <c r="CR114" s="995">
        <f t="shared" si="487"/>
        <v>0.22789631632754015</v>
      </c>
      <c r="CS114" s="124">
        <f t="shared" si="487"/>
        <v>0.23437974376100554</v>
      </c>
      <c r="CT114" s="124">
        <f t="shared" si="487"/>
        <v>0.23708987161198289</v>
      </c>
      <c r="CU114" s="124">
        <f t="shared" si="487"/>
        <v>0.24724943894028134</v>
      </c>
      <c r="CV114" s="127">
        <f t="shared" si="487"/>
        <v>0.27399132730015086</v>
      </c>
      <c r="CW114" s="995">
        <f t="shared" si="487"/>
        <v>0.2496631690687135</v>
      </c>
      <c r="CX114" s="124">
        <f t="shared" si="487"/>
        <v>0.2567466825704488</v>
      </c>
      <c r="CY114" s="127">
        <f t="shared" si="487"/>
        <v>0.2524977293369664</v>
      </c>
      <c r="CZ114" s="124">
        <f t="shared" si="487"/>
        <v>0.25352492141894928</v>
      </c>
      <c r="DA114" s="127">
        <f t="shared" si="487"/>
        <v>0.30212963320836395</v>
      </c>
      <c r="DB114" s="995">
        <f t="shared" si="487"/>
        <v>0.26811163562562373</v>
      </c>
      <c r="DC114" s="127">
        <f t="shared" si="487"/>
        <v>0.28880038619357951</v>
      </c>
      <c r="DD114" s="127">
        <f t="shared" si="487"/>
        <v>0.28444563021686931</v>
      </c>
      <c r="DE114" s="127">
        <f t="shared" si="487"/>
        <v>0.28348921128212684</v>
      </c>
      <c r="DF114" s="127">
        <f t="shared" si="487"/>
        <v>0.32920854271356786</v>
      </c>
      <c r="DG114" s="995">
        <f t="shared" si="487"/>
        <v>0.298138846248172</v>
      </c>
      <c r="DH114" s="127">
        <f t="shared" si="487"/>
        <v>0.31045829234370231</v>
      </c>
      <c r="DI114" s="127">
        <f t="shared" si="487"/>
        <v>0.31722702327635149</v>
      </c>
      <c r="DJ114" s="127">
        <f t="shared" si="487"/>
        <v>0.30531067284679936</v>
      </c>
      <c r="DK114" s="127">
        <f t="shared" si="487"/>
        <v>0.33318251982754032</v>
      </c>
      <c r="DL114" s="995">
        <f t="shared" si="487"/>
        <v>0.31727733592374474</v>
      </c>
      <c r="DM114" s="127">
        <f t="shared" si="487"/>
        <v>0.34206544634645625</v>
      </c>
      <c r="DN114" s="127">
        <f t="shared" si="487"/>
        <v>0.37524918520393635</v>
      </c>
      <c r="DO114" s="127">
        <f t="shared" ref="DO114:EM114" si="488">DO12/DO$9</f>
        <v>0.34075301918067724</v>
      </c>
      <c r="DP114" s="127">
        <f t="shared" si="488"/>
        <v>0.33627670572019297</v>
      </c>
      <c r="DQ114" s="995">
        <f t="shared" si="488"/>
        <v>0.34694054718228501</v>
      </c>
      <c r="DR114" s="127">
        <f t="shared" si="488"/>
        <v>0.31557826411122319</v>
      </c>
      <c r="DS114" s="127">
        <f t="shared" si="488"/>
        <v>0.30024925909206884</v>
      </c>
      <c r="DT114" s="127">
        <f t="shared" si="488"/>
        <v>0.30069004102946661</v>
      </c>
      <c r="DU114" s="127">
        <f t="shared" si="488"/>
        <v>0.31601990371255939</v>
      </c>
      <c r="DV114" s="995">
        <f t="shared" si="488"/>
        <v>0.3082599695385036</v>
      </c>
      <c r="DW114" s="127">
        <f t="shared" si="488"/>
        <v>0.31432855536316739</v>
      </c>
      <c r="DX114" s="127">
        <f t="shared" si="488"/>
        <v>0.31128743192218683</v>
      </c>
      <c r="DY114" s="127">
        <f t="shared" si="488"/>
        <v>0.33758250969161457</v>
      </c>
      <c r="DZ114" s="127">
        <f t="shared" si="488"/>
        <v>0.35513204378752594</v>
      </c>
      <c r="EA114" s="995">
        <f t="shared" si="488"/>
        <v>0.33028762490326274</v>
      </c>
      <c r="EB114" s="127">
        <f t="shared" si="488"/>
        <v>0.32533668584025077</v>
      </c>
      <c r="EC114" s="127">
        <f t="shared" si="488"/>
        <v>0.31222710941402032</v>
      </c>
      <c r="ED114" s="127">
        <f t="shared" si="488"/>
        <v>0.32141574682674745</v>
      </c>
      <c r="EE114" s="127">
        <f t="shared" si="488"/>
        <v>0.32615729218516676</v>
      </c>
      <c r="EF114" s="995">
        <f t="shared" si="488"/>
        <v>0.32141687588691192</v>
      </c>
      <c r="EG114" s="127">
        <f t="shared" si="488"/>
        <v>0.30722116195464028</v>
      </c>
      <c r="EH114" s="127">
        <f t="shared" si="488"/>
        <v>0.30999929927825659</v>
      </c>
      <c r="EI114" s="127">
        <f t="shared" si="488"/>
        <v>0.30523548270265194</v>
      </c>
      <c r="EJ114" s="127">
        <f t="shared" si="488"/>
        <v>0.31566631136594747</v>
      </c>
      <c r="EK114" s="995">
        <f t="shared" si="488"/>
        <v>0.30972695667495714</v>
      </c>
      <c r="EL114" s="127">
        <f t="shared" si="488"/>
        <v>0.29564887691865177</v>
      </c>
      <c r="EM114" s="127">
        <f t="shared" si="488"/>
        <v>0.29776195195966865</v>
      </c>
      <c r="EN114" s="127">
        <f t="shared" ref="EN114" si="489">EN12/EN$9</f>
        <v>0.30288098776723449</v>
      </c>
      <c r="EO114" s="139">
        <v>0.317</v>
      </c>
      <c r="EP114" s="995">
        <f>EP12/EP$9</f>
        <v>0.30400418091917203</v>
      </c>
      <c r="EQ114" s="139">
        <v>0.3</v>
      </c>
      <c r="ER114" s="139">
        <v>0.307</v>
      </c>
      <c r="ES114" s="139">
        <v>0.32</v>
      </c>
      <c r="ET114" s="139">
        <v>0.33200000000000002</v>
      </c>
      <c r="EU114" s="995">
        <f>EU12/EU$9</f>
        <v>0.31573455971518749</v>
      </c>
      <c r="EV114" s="996">
        <v>0.33300000000000002</v>
      </c>
      <c r="EW114" s="996">
        <v>0.34</v>
      </c>
      <c r="EX114" s="996">
        <v>0.34200000000000003</v>
      </c>
      <c r="EY114" s="996">
        <v>0.34100000000000003</v>
      </c>
      <c r="EZ114" s="139"/>
      <c r="FA114" s="4286"/>
      <c r="FB114" s="4286"/>
      <c r="FC114" s="4286"/>
      <c r="FD114" s="4286"/>
      <c r="FE114" s="4286"/>
      <c r="FF114" s="4286"/>
      <c r="FG114" s="4286"/>
      <c r="FH114" s="4286"/>
      <c r="FI114" s="4286"/>
      <c r="FJ114" s="4286"/>
      <c r="FK114" s="4286"/>
      <c r="FL114" s="4286"/>
    </row>
    <row r="115" spans="1:168" s="259" customFormat="1" ht="11.25" hidden="1" customHeight="1" outlineLevel="1">
      <c r="A115" s="3768" t="s">
        <v>734</v>
      </c>
      <c r="B115" s="2008"/>
      <c r="C115" s="2008"/>
      <c r="D115" s="2008"/>
      <c r="E115" s="2008"/>
      <c r="F115" s="2009"/>
      <c r="G115" s="2008"/>
      <c r="H115" s="2008"/>
      <c r="I115" s="2008"/>
      <c r="J115" s="2008"/>
      <c r="K115" s="2009"/>
      <c r="L115" s="2008"/>
      <c r="M115" s="2008"/>
      <c r="N115" s="2008"/>
      <c r="O115" s="2008"/>
      <c r="P115" s="3582" t="s">
        <v>116</v>
      </c>
      <c r="Q115" s="3583" t="s">
        <v>116</v>
      </c>
      <c r="R115" s="3583" t="s">
        <v>116</v>
      </c>
      <c r="S115" s="3583" t="s">
        <v>116</v>
      </c>
      <c r="T115" s="3583" t="s">
        <v>116</v>
      </c>
      <c r="U115" s="3582">
        <f t="shared" ref="U115:BN115" si="490">(U114-P114)*10000</f>
        <v>0</v>
      </c>
      <c r="V115" s="3583">
        <f t="shared" si="490"/>
        <v>0</v>
      </c>
      <c r="W115" s="3583">
        <f t="shared" si="490"/>
        <v>0</v>
      </c>
      <c r="X115" s="3583">
        <f t="shared" si="490"/>
        <v>0</v>
      </c>
      <c r="Y115" s="3583">
        <f t="shared" si="490"/>
        <v>0</v>
      </c>
      <c r="Z115" s="3582">
        <f t="shared" si="490"/>
        <v>0</v>
      </c>
      <c r="AA115" s="3583">
        <f t="shared" si="490"/>
        <v>0</v>
      </c>
      <c r="AB115" s="3583">
        <f t="shared" si="490"/>
        <v>0</v>
      </c>
      <c r="AC115" s="3583">
        <f t="shared" si="490"/>
        <v>0</v>
      </c>
      <c r="AD115" s="3583">
        <f t="shared" si="490"/>
        <v>0</v>
      </c>
      <c r="AE115" s="3582">
        <f t="shared" si="490"/>
        <v>0</v>
      </c>
      <c r="AF115" s="3583">
        <f t="shared" si="490"/>
        <v>0</v>
      </c>
      <c r="AG115" s="3583">
        <f t="shared" si="490"/>
        <v>0</v>
      </c>
      <c r="AH115" s="3583">
        <f t="shared" si="490"/>
        <v>0</v>
      </c>
      <c r="AI115" s="3583">
        <f t="shared" si="490"/>
        <v>0</v>
      </c>
      <c r="AJ115" s="3582">
        <f t="shared" si="490"/>
        <v>0</v>
      </c>
      <c r="AK115" s="3583">
        <f t="shared" si="490"/>
        <v>0</v>
      </c>
      <c r="AL115" s="3583">
        <f t="shared" si="490"/>
        <v>0</v>
      </c>
      <c r="AM115" s="3583">
        <f t="shared" si="490"/>
        <v>0</v>
      </c>
      <c r="AN115" s="3583">
        <f t="shared" si="490"/>
        <v>0</v>
      </c>
      <c r="AO115" s="3582">
        <f t="shared" si="490"/>
        <v>0</v>
      </c>
      <c r="AP115" s="3583">
        <f t="shared" si="490"/>
        <v>0</v>
      </c>
      <c r="AQ115" s="3583">
        <f t="shared" si="490"/>
        <v>0</v>
      </c>
      <c r="AR115" s="3583">
        <f t="shared" si="490"/>
        <v>0</v>
      </c>
      <c r="AS115" s="3583">
        <f t="shared" si="490"/>
        <v>0</v>
      </c>
      <c r="AT115" s="3582">
        <f t="shared" si="490"/>
        <v>0</v>
      </c>
      <c r="AU115" s="3583">
        <f t="shared" si="490"/>
        <v>0</v>
      </c>
      <c r="AV115" s="3583">
        <f t="shared" si="490"/>
        <v>0</v>
      </c>
      <c r="AW115" s="3583">
        <f t="shared" si="490"/>
        <v>0</v>
      </c>
      <c r="AX115" s="3583">
        <f t="shared" si="490"/>
        <v>0</v>
      </c>
      <c r="AY115" s="3582">
        <f t="shared" si="490"/>
        <v>0</v>
      </c>
      <c r="AZ115" s="3583">
        <f t="shared" si="490"/>
        <v>0</v>
      </c>
      <c r="BA115" s="3583">
        <f t="shared" si="490"/>
        <v>0</v>
      </c>
      <c r="BB115" s="3583">
        <f t="shared" si="490"/>
        <v>0</v>
      </c>
      <c r="BC115" s="3583">
        <f t="shared" si="490"/>
        <v>0</v>
      </c>
      <c r="BD115" s="3582">
        <f t="shared" si="490"/>
        <v>0</v>
      </c>
      <c r="BE115" s="3584">
        <f t="shared" si="490"/>
        <v>0</v>
      </c>
      <c r="BF115" s="3583">
        <f t="shared" si="490"/>
        <v>0</v>
      </c>
      <c r="BG115" s="3583">
        <f t="shared" si="490"/>
        <v>0</v>
      </c>
      <c r="BH115" s="3583">
        <f t="shared" si="490"/>
        <v>0</v>
      </c>
      <c r="BI115" s="3582">
        <f t="shared" si="490"/>
        <v>0</v>
      </c>
      <c r="BJ115" s="3583">
        <f t="shared" si="490"/>
        <v>0</v>
      </c>
      <c r="BK115" s="3583">
        <f t="shared" si="490"/>
        <v>0</v>
      </c>
      <c r="BL115" s="3583">
        <f t="shared" si="490"/>
        <v>0</v>
      </c>
      <c r="BM115" s="3583">
        <f t="shared" si="490"/>
        <v>0</v>
      </c>
      <c r="BN115" s="3582">
        <f t="shared" si="490"/>
        <v>0</v>
      </c>
      <c r="BO115" s="3583">
        <v>-73.910139803692317</v>
      </c>
      <c r="BP115" s="3583">
        <v>-647.08175120074429</v>
      </c>
      <c r="BQ115" s="3583">
        <v>-1402.9798881989602</v>
      </c>
      <c r="BR115" s="3585">
        <v>-980.8960342866219</v>
      </c>
      <c r="BS115" s="3586">
        <v>-838.68155981038365</v>
      </c>
      <c r="BT115" s="3583">
        <f>(BT114-BJ114)*10000</f>
        <v>0</v>
      </c>
      <c r="BU115" s="3583">
        <f>(BU114-BK114)*10000</f>
        <v>0</v>
      </c>
      <c r="BV115" s="3583">
        <f>(BV114-BL114)*10000</f>
        <v>0</v>
      </c>
      <c r="BW115" s="3583">
        <f>(BW114-BM114)*10000</f>
        <v>0</v>
      </c>
      <c r="BX115" s="3582">
        <f>(BX114-BN114)*10000</f>
        <v>0</v>
      </c>
      <c r="BY115" s="3583">
        <v>-963.16614520714324</v>
      </c>
      <c r="BZ115" s="3583">
        <v>-355.43789780665304</v>
      </c>
      <c r="CA115" s="3583">
        <v>364.92085531369065</v>
      </c>
      <c r="CB115" s="3583">
        <v>-271.55670067847359</v>
      </c>
      <c r="CC115" s="3582">
        <v>-250.80202387558427</v>
      </c>
      <c r="CD115" s="3583">
        <f>(CD114-BT114)*10000</f>
        <v>0</v>
      </c>
      <c r="CE115" s="3583">
        <f>(CE114-BU114)*10000</f>
        <v>0</v>
      </c>
      <c r="CF115" s="3583">
        <f>(CF114-BV114)*10000</f>
        <v>0</v>
      </c>
      <c r="CG115" s="3583">
        <f>(CG114-BW114)*10000</f>
        <v>2373.9614422844234</v>
      </c>
      <c r="CH115" s="3582">
        <f>(CH114-BX114)*10000</f>
        <v>0</v>
      </c>
      <c r="CI115" s="3583">
        <f t="shared" ref="CI115:EN115" si="491">(CI114-CD114)*10000</f>
        <v>2239.08762717427</v>
      </c>
      <c r="CJ115" s="3583">
        <f t="shared" si="491"/>
        <v>2227.9260780287473</v>
      </c>
      <c r="CK115" s="3583">
        <f t="shared" si="491"/>
        <v>2540.4174573055029</v>
      </c>
      <c r="CL115" s="3583">
        <f t="shared" si="491"/>
        <v>-94.737524587813766</v>
      </c>
      <c r="CM115" s="3582">
        <f t="shared" si="491"/>
        <v>2322.4897150693282</v>
      </c>
      <c r="CN115" s="3583">
        <f t="shared" si="491"/>
        <v>-74.924614164854347</v>
      </c>
      <c r="CO115" s="3583">
        <f t="shared" si="491"/>
        <v>6.2202634346672507</v>
      </c>
      <c r="CP115" s="3583">
        <f t="shared" si="491"/>
        <v>-243.11121599237816</v>
      </c>
      <c r="CQ115" s="3583">
        <f t="shared" si="491"/>
        <v>113.3892581746418</v>
      </c>
      <c r="CR115" s="3582">
        <f t="shared" si="491"/>
        <v>-43.526551793926501</v>
      </c>
      <c r="CS115" s="3583">
        <f t="shared" si="491"/>
        <v>179.63442460063982</v>
      </c>
      <c r="CT115" s="3583">
        <f t="shared" si="491"/>
        <v>136.75237465641422</v>
      </c>
      <c r="CU115" s="3583">
        <f t="shared" si="491"/>
        <v>175.18814808968887</v>
      </c>
      <c r="CV115" s="3583">
        <f t="shared" si="491"/>
        <v>347.30009713025703</v>
      </c>
      <c r="CW115" s="3582">
        <f t="shared" si="491"/>
        <v>217.66852741173349</v>
      </c>
      <c r="CX115" s="3583">
        <f t="shared" si="491"/>
        <v>223.66938809443266</v>
      </c>
      <c r="CY115" s="3583">
        <f t="shared" si="491"/>
        <v>154.07857724983515</v>
      </c>
      <c r="CZ115" s="3583">
        <f t="shared" si="491"/>
        <v>62.754824786679379</v>
      </c>
      <c r="DA115" s="3583">
        <f t="shared" si="491"/>
        <v>281.3830590821309</v>
      </c>
      <c r="DB115" s="3582">
        <f t="shared" si="491"/>
        <v>184.48466556910236</v>
      </c>
      <c r="DC115" s="3583">
        <f t="shared" si="491"/>
        <v>320.53703623130701</v>
      </c>
      <c r="DD115" s="3583">
        <f t="shared" si="491"/>
        <v>319.47900879902903</v>
      </c>
      <c r="DE115" s="3583">
        <f t="shared" si="491"/>
        <v>299.64289863177561</v>
      </c>
      <c r="DF115" s="3583">
        <f t="shared" si="491"/>
        <v>270.78909505203916</v>
      </c>
      <c r="DG115" s="3582">
        <f t="shared" si="491"/>
        <v>300.27210622548262</v>
      </c>
      <c r="DH115" s="3583">
        <f t="shared" si="491"/>
        <v>216.57906150122807</v>
      </c>
      <c r="DI115" s="3583">
        <f t="shared" si="491"/>
        <v>327.8139305948219</v>
      </c>
      <c r="DJ115" s="3583">
        <f t="shared" si="491"/>
        <v>218.21461564672518</v>
      </c>
      <c r="DK115" s="3583">
        <f t="shared" si="491"/>
        <v>39.739771139724603</v>
      </c>
      <c r="DL115" s="3582">
        <f t="shared" si="491"/>
        <v>191.38489675572745</v>
      </c>
      <c r="DM115" s="3583">
        <f t="shared" si="491"/>
        <v>316.07154002753936</v>
      </c>
      <c r="DN115" s="3583">
        <f t="shared" si="491"/>
        <v>580.22161927584864</v>
      </c>
      <c r="DO115" s="3583">
        <f t="shared" si="491"/>
        <v>354.42346333877884</v>
      </c>
      <c r="DP115" s="3583">
        <f t="shared" si="491"/>
        <v>30.941858926526457</v>
      </c>
      <c r="DQ115" s="3582">
        <f t="shared" si="491"/>
        <v>296.63211258540269</v>
      </c>
      <c r="DR115" s="3583">
        <f t="shared" si="491"/>
        <v>-264.87182235233053</v>
      </c>
      <c r="DS115" s="3583">
        <f t="shared" si="491"/>
        <v>-749.99926111867512</v>
      </c>
      <c r="DT115" s="3583">
        <f t="shared" si="491"/>
        <v>-400.62978151210626</v>
      </c>
      <c r="DU115" s="3583">
        <f t="shared" si="491"/>
        <v>-202.56802007633578</v>
      </c>
      <c r="DV115" s="3582">
        <f>(DV114-DQ114)*10000</f>
        <v>-386.80577643781413</v>
      </c>
      <c r="DW115" s="3583">
        <f t="shared" si="491"/>
        <v>-12.497087480558001</v>
      </c>
      <c r="DX115" s="3583">
        <f t="shared" si="491"/>
        <v>110.38172830117988</v>
      </c>
      <c r="DY115" s="3583">
        <f t="shared" si="491"/>
        <v>368.92468662147957</v>
      </c>
      <c r="DZ115" s="3583">
        <f t="shared" si="491"/>
        <v>391.1214007496655</v>
      </c>
      <c r="EA115" s="3582">
        <f t="shared" ref="EA115:EF115" si="492">(EA114-DV114)*10000</f>
        <v>220.27655364759147</v>
      </c>
      <c r="EB115" s="3583">
        <f t="shared" si="491"/>
        <v>110.08130477083378</v>
      </c>
      <c r="EC115" s="3583">
        <f t="shared" si="491"/>
        <v>9.3967749183349056</v>
      </c>
      <c r="ED115" s="3583">
        <f t="shared" si="491"/>
        <v>-161.66762864867124</v>
      </c>
      <c r="EE115" s="3583">
        <f t="shared" si="491"/>
        <v>-289.74751602359186</v>
      </c>
      <c r="EF115" s="3582">
        <f t="shared" si="492"/>
        <v>-88.707490163508211</v>
      </c>
      <c r="EG115" s="3583">
        <f t="shared" si="491"/>
        <v>-181.15523885610497</v>
      </c>
      <c r="EH115" s="3583">
        <f t="shared" si="491"/>
        <v>-22.278101357637304</v>
      </c>
      <c r="EI115" s="3583">
        <f t="shared" si="491"/>
        <v>-161.80264124095513</v>
      </c>
      <c r="EJ115" s="3583">
        <f t="shared" si="491"/>
        <v>-104.90980819219287</v>
      </c>
      <c r="EK115" s="3582">
        <f>(EK114-EF114)*10000</f>
        <v>-116.89919211954781</v>
      </c>
      <c r="EL115" s="3583">
        <f t="shared" si="491"/>
        <v>-115.72285035988506</v>
      </c>
      <c r="EM115" s="3583">
        <f t="shared" si="491"/>
        <v>-122.37347318587943</v>
      </c>
      <c r="EN115" s="3583">
        <f t="shared" si="491"/>
        <v>-23.544949354174506</v>
      </c>
      <c r="EO115" s="3583">
        <f t="shared" ref="EO115" si="493">(EO114-EJ114)*10000</f>
        <v>13.336886340525322</v>
      </c>
      <c r="EP115" s="3582">
        <f>(EP114-EK114)*10000</f>
        <v>-57.227757557851142</v>
      </c>
      <c r="EQ115" s="3583">
        <f t="shared" ref="EQ115" si="494">(EQ114-EL114)*10000</f>
        <v>43.511230813482186</v>
      </c>
      <c r="ER115" s="3583">
        <f t="shared" ref="ER115" si="495">(ER114-EM114)*10000</f>
        <v>92.380480403313484</v>
      </c>
      <c r="ES115" s="3583">
        <f t="shared" ref="ES115" si="496">(ES114-EN114)*10000</f>
        <v>171.19012232765519</v>
      </c>
      <c r="ET115" s="3583">
        <f t="shared" ref="ET115" si="497">(ET114-EO114)*10000</f>
        <v>150.00000000000014</v>
      </c>
      <c r="EU115" s="3582">
        <f>(EU114-EP114)*10000</f>
        <v>117.30378796015461</v>
      </c>
      <c r="EV115" s="3582">
        <f>(EV114-EU114)*10000</f>
        <v>172.65440284812527</v>
      </c>
      <c r="EW115" s="3582">
        <f>(EW114-EV114)*10000</f>
        <v>70.000000000000057</v>
      </c>
      <c r="EX115" s="3582">
        <f>(EX114-EW114)*10000</f>
        <v>20.000000000000018</v>
      </c>
      <c r="EY115" s="3582">
        <f>(EY114-EX114)*10000</f>
        <v>-10.000000000000009</v>
      </c>
      <c r="EZ115" s="226"/>
      <c r="FA115" s="4287"/>
      <c r="FB115" s="4287"/>
      <c r="FC115" s="4287"/>
      <c r="FD115" s="4287"/>
      <c r="FE115" s="4287"/>
      <c r="FF115" s="4287"/>
      <c r="FG115" s="4287"/>
      <c r="FH115" s="4287"/>
      <c r="FI115" s="4287"/>
      <c r="FJ115" s="4287"/>
      <c r="FK115" s="4287"/>
      <c r="FL115" s="4287"/>
    </row>
    <row r="116" spans="1:168" s="259" customFormat="1" ht="11.25" hidden="1" customHeight="1" outlineLevel="1">
      <c r="A116" s="3768" t="s">
        <v>735</v>
      </c>
      <c r="B116" s="2008"/>
      <c r="C116" s="2008"/>
      <c r="D116" s="2008"/>
      <c r="E116" s="2008"/>
      <c r="F116" s="2009"/>
      <c r="G116" s="2008"/>
      <c r="H116" s="2008"/>
      <c r="I116" s="2008"/>
      <c r="J116" s="2008"/>
      <c r="K116" s="2009"/>
      <c r="L116" s="2008"/>
      <c r="M116" s="2008"/>
      <c r="N116" s="2008"/>
      <c r="O116" s="2008"/>
      <c r="P116" s="3582" t="s">
        <v>116</v>
      </c>
      <c r="Q116" s="3583" t="s">
        <v>116</v>
      </c>
      <c r="R116" s="3583">
        <f>(R114-Q114)*10000</f>
        <v>0</v>
      </c>
      <c r="S116" s="3583">
        <f>(S114-R114)*10000</f>
        <v>0</v>
      </c>
      <c r="T116" s="3583">
        <f>(T114-S114)*10000</f>
        <v>0</v>
      </c>
      <c r="U116" s="3582" t="s">
        <v>116</v>
      </c>
      <c r="V116" s="3583">
        <f>(V114-T114)*10000</f>
        <v>0</v>
      </c>
      <c r="W116" s="3583">
        <f>(W114-V114)*10000</f>
        <v>0</v>
      </c>
      <c r="X116" s="3583">
        <f>(X114-W114)*10000</f>
        <v>0</v>
      </c>
      <c r="Y116" s="3583">
        <f>(Y114-X114)*10000</f>
        <v>0</v>
      </c>
      <c r="Z116" s="3582" t="s">
        <v>116</v>
      </c>
      <c r="AA116" s="3583">
        <f>(AA114-Y114)*10000</f>
        <v>0</v>
      </c>
      <c r="AB116" s="3583">
        <f>(AB114-AA114)*10000</f>
        <v>0</v>
      </c>
      <c r="AC116" s="3583">
        <f>(AC114-AB114)*10000</f>
        <v>0</v>
      </c>
      <c r="AD116" s="3583">
        <f>(AD114-AC114)*10000</f>
        <v>0</v>
      </c>
      <c r="AE116" s="3582" t="s">
        <v>116</v>
      </c>
      <c r="AF116" s="3583">
        <f>(AF114-AD114)*10000</f>
        <v>0</v>
      </c>
      <c r="AG116" s="3583">
        <f>(AG114-AF114)*10000</f>
        <v>0</v>
      </c>
      <c r="AH116" s="3583">
        <f>(AH114-AG114)*10000</f>
        <v>0</v>
      </c>
      <c r="AI116" s="3583">
        <f>(AI114-AH114)*10000</f>
        <v>0</v>
      </c>
      <c r="AJ116" s="3582" t="s">
        <v>116</v>
      </c>
      <c r="AK116" s="3583">
        <f>(AK114-AI114)*10000</f>
        <v>0</v>
      </c>
      <c r="AL116" s="3583">
        <f>(AL114-AK114)*10000</f>
        <v>0</v>
      </c>
      <c r="AM116" s="3583">
        <f>(AM114-AL114)*10000</f>
        <v>0</v>
      </c>
      <c r="AN116" s="3583">
        <f>(AN114-AM114)*10000</f>
        <v>0</v>
      </c>
      <c r="AO116" s="3582" t="s">
        <v>116</v>
      </c>
      <c r="AP116" s="3583">
        <f>(AP114-AN114)*10000</f>
        <v>0</v>
      </c>
      <c r="AQ116" s="3583">
        <f>(AQ114-AP114)*10000</f>
        <v>0</v>
      </c>
      <c r="AR116" s="3583">
        <f>(AR114-AQ114)*10000</f>
        <v>0</v>
      </c>
      <c r="AS116" s="3583">
        <f>(AS114-AR114)*10000</f>
        <v>0</v>
      </c>
      <c r="AT116" s="3582" t="s">
        <v>116</v>
      </c>
      <c r="AU116" s="3583">
        <f>(AU114-AS114)*10000</f>
        <v>0</v>
      </c>
      <c r="AV116" s="3583">
        <f>(AV114-AU114)*10000</f>
        <v>0</v>
      </c>
      <c r="AW116" s="3583">
        <f>(AW114-AV114)*10000</f>
        <v>0</v>
      </c>
      <c r="AX116" s="3583">
        <f>(AX114-AW114)*10000</f>
        <v>0</v>
      </c>
      <c r="AY116" s="3582" t="s">
        <v>116</v>
      </c>
      <c r="AZ116" s="3583">
        <f>(AZ114-AX114)*10000</f>
        <v>0</v>
      </c>
      <c r="BA116" s="3583">
        <f>(BA114-AZ114)*10000</f>
        <v>0</v>
      </c>
      <c r="BB116" s="3583">
        <f>(BB114-BA114)*10000</f>
        <v>0</v>
      </c>
      <c r="BC116" s="3583">
        <f>(BC114-BB114)*10000</f>
        <v>0</v>
      </c>
      <c r="BD116" s="3582" t="s">
        <v>116</v>
      </c>
      <c r="BE116" s="3584">
        <f>(BE114-BD114)*10000</f>
        <v>0</v>
      </c>
      <c r="BF116" s="3583">
        <f>(BF114-BE114)*10000</f>
        <v>0</v>
      </c>
      <c r="BG116" s="3583">
        <f>(BG114-BF114)*10000</f>
        <v>0</v>
      </c>
      <c r="BH116" s="3583">
        <f>(BH114-BG114)*10000</f>
        <v>0</v>
      </c>
      <c r="BI116" s="3582" t="s">
        <v>116</v>
      </c>
      <c r="BJ116" s="3583">
        <f>(BJ114-BI114)*10000</f>
        <v>0</v>
      </c>
      <c r="BK116" s="3583">
        <f>(BK114-BJ114)*10000</f>
        <v>0</v>
      </c>
      <c r="BL116" s="3583">
        <f>(BL114-BK114)*10000</f>
        <v>0</v>
      </c>
      <c r="BM116" s="3583">
        <f>(BM114-BL114)*10000</f>
        <v>0</v>
      </c>
      <c r="BN116" s="3582" t="s">
        <v>116</v>
      </c>
      <c r="BO116" s="3583">
        <v>-44.309034873266654</v>
      </c>
      <c r="BP116" s="3583">
        <v>-672.07408167944016</v>
      </c>
      <c r="BQ116" s="3583">
        <v>-721.12167931195404</v>
      </c>
      <c r="BR116" s="3585">
        <v>523.61981105103814</v>
      </c>
      <c r="BS116" s="3586" t="s">
        <v>116</v>
      </c>
      <c r="BT116" s="3583">
        <f>(BT114-BN114)*10000</f>
        <v>0</v>
      </c>
      <c r="BU116" s="3583">
        <f>(BU114-BT114)*10000</f>
        <v>0</v>
      </c>
      <c r="BV116" s="3583">
        <f>(BV114-BU114)*10000</f>
        <v>0</v>
      </c>
      <c r="BW116" s="3583">
        <f>(BW114-BV114)*10000</f>
        <v>0</v>
      </c>
      <c r="BX116" s="3582" t="s">
        <v>116</v>
      </c>
      <c r="BY116" s="3583">
        <v>-168.79362027002631</v>
      </c>
      <c r="BZ116" s="3583">
        <v>-64.345834278949908</v>
      </c>
      <c r="CA116" s="3583">
        <v>-0.76292619161033581</v>
      </c>
      <c r="CB116" s="3583">
        <v>-112.8577449411261</v>
      </c>
      <c r="CC116" s="3582" t="s">
        <v>116</v>
      </c>
      <c r="CD116" s="3583">
        <f>(CD114-BX114)*10000</f>
        <v>0</v>
      </c>
      <c r="CE116" s="3583">
        <f>(CE114-CD114)*10000</f>
        <v>0</v>
      </c>
      <c r="CF116" s="3583">
        <f>(CF114-CE114)*10000</f>
        <v>0</v>
      </c>
      <c r="CG116" s="3583">
        <f>(CG114-CF114)*10000</f>
        <v>2373.9614422844234</v>
      </c>
      <c r="CH116" s="3582" t="s">
        <v>116</v>
      </c>
      <c r="CI116" s="3583">
        <f>(CI114-CH114)*10000</f>
        <v>2239.08762717427</v>
      </c>
      <c r="CJ116" s="3583">
        <f>(CJ114-CI114)*10000</f>
        <v>-11.161549145522475</v>
      </c>
      <c r="CK116" s="3583">
        <f>(CK114-CJ114)*10000</f>
        <v>312.49137927675531</v>
      </c>
      <c r="CL116" s="3583">
        <f>(CL114-CK114)*10000</f>
        <v>-261.19353960889299</v>
      </c>
      <c r="CM116" s="3582" t="s">
        <v>116</v>
      </c>
      <c r="CN116" s="3583">
        <f>(CN114-CM114)*10000</f>
        <v>-158.32670205991246</v>
      </c>
      <c r="CO116" s="3583">
        <f>(CO114-CN114)*10000</f>
        <v>69.983328453999121</v>
      </c>
      <c r="CP116" s="3583">
        <f>(CP114-CO114)*10000</f>
        <v>63.15989984970988</v>
      </c>
      <c r="CQ116" s="3583">
        <f>(CQ114-CP114)*10000</f>
        <v>95.306934558126997</v>
      </c>
      <c r="CR116" s="3582" t="s">
        <v>116</v>
      </c>
      <c r="CS116" s="3583">
        <f>(CS114-CR114)*10000</f>
        <v>64.834274334653884</v>
      </c>
      <c r="CT116" s="3583">
        <f>(CT114-CS114)*10000</f>
        <v>27.101278509773508</v>
      </c>
      <c r="CU116" s="3583">
        <f>(CU114-CT114)*10000</f>
        <v>101.59567328298452</v>
      </c>
      <c r="CV116" s="3583">
        <f>(CV114-CU114)*10000</f>
        <v>267.41888359869512</v>
      </c>
      <c r="CW116" s="3582"/>
      <c r="CX116" s="3583">
        <f>(CX114-CV114)*10000</f>
        <v>-172.44644729702051</v>
      </c>
      <c r="CY116" s="3583">
        <f>(CY114-CX114)*10000</f>
        <v>-42.489532334823998</v>
      </c>
      <c r="CZ116" s="3583">
        <f>(CZ114-CY114)*10000</f>
        <v>10.27192081982875</v>
      </c>
      <c r="DA116" s="3583">
        <f>(DA114-CZ114)*10000</f>
        <v>486.04711789414665</v>
      </c>
      <c r="DB116" s="3582"/>
      <c r="DC116" s="3583">
        <f>(DC114-DA114)*10000</f>
        <v>-133.2924701478444</v>
      </c>
      <c r="DD116" s="3583">
        <f>(DD114-DC114)*10000</f>
        <v>-43.547559767102008</v>
      </c>
      <c r="DE116" s="3583">
        <f>(DE114-DD114)*10000</f>
        <v>-9.5641893474246444</v>
      </c>
      <c r="DF116" s="3583">
        <f>(DF114-DE114)*10000</f>
        <v>457.19331431441026</v>
      </c>
      <c r="DG116" s="3582"/>
      <c r="DH116" s="3583">
        <f>(DH114-DF114)*10000</f>
        <v>-187.50250369865552</v>
      </c>
      <c r="DI116" s="3583">
        <f>(DI114-DH114)*10000</f>
        <v>67.6873093264918</v>
      </c>
      <c r="DJ116" s="3583">
        <f>(DJ114-DI114)*10000</f>
        <v>-119.16350429552136</v>
      </c>
      <c r="DK116" s="3583">
        <f>(DK114-DJ114)*10000</f>
        <v>278.71846980740969</v>
      </c>
      <c r="DL116" s="3582"/>
      <c r="DM116" s="3583">
        <f>(DM114-DK114)*10000</f>
        <v>88.82926518915923</v>
      </c>
      <c r="DN116" s="3583">
        <f>(DN114-DM114)*10000</f>
        <v>331.83738857480103</v>
      </c>
      <c r="DO116" s="3583">
        <f>(DO114-DN114)*10000</f>
        <v>-344.9616602325911</v>
      </c>
      <c r="DP116" s="3583">
        <f>(DP114-DO114)*10000</f>
        <v>-44.763134604842712</v>
      </c>
      <c r="DQ116" s="3582"/>
      <c r="DR116" s="3583">
        <f>(DR114-DP114)*10000</f>
        <v>-206.98441608969776</v>
      </c>
      <c r="DS116" s="3583">
        <f>(DS114-DR114)*10000</f>
        <v>-153.29005019154351</v>
      </c>
      <c r="DT116" s="3583">
        <f>(DT114-DS114)*10000</f>
        <v>4.4078193739777172</v>
      </c>
      <c r="DU116" s="3583">
        <f>(DU114-DT114)*10000</f>
        <v>153.29862683092776</v>
      </c>
      <c r="DV116" s="3582"/>
      <c r="DW116" s="3583">
        <f>(DW114-DU114)*10000</f>
        <v>-16.913483493919969</v>
      </c>
      <c r="DX116" s="3583">
        <f>(DX114-DW114)*10000</f>
        <v>-30.411234409805644</v>
      </c>
      <c r="DY116" s="3583">
        <f>(DY114-DX114)*10000</f>
        <v>262.95077769427746</v>
      </c>
      <c r="DZ116" s="3583">
        <f>(DZ114-DY114)*10000</f>
        <v>175.49534095911369</v>
      </c>
      <c r="EA116" s="3582"/>
      <c r="EB116" s="3583">
        <f>(EB114-DZ114)*10000</f>
        <v>-297.9535794727517</v>
      </c>
      <c r="EC116" s="3583">
        <f>(EC114-EB114)*10000</f>
        <v>-131.09576426230453</v>
      </c>
      <c r="ED116" s="3583">
        <f>(ED114-EC114)*10000</f>
        <v>91.886374127271296</v>
      </c>
      <c r="EE116" s="3583">
        <f>(EE114-ED114)*10000</f>
        <v>47.415453584193081</v>
      </c>
      <c r="EF116" s="3582"/>
      <c r="EG116" s="3583">
        <f>(EG114-EE114)*10000</f>
        <v>-189.36130230526481</v>
      </c>
      <c r="EH116" s="3583">
        <f>(EH114-EG114)*10000</f>
        <v>27.781373236163141</v>
      </c>
      <c r="EI116" s="3583">
        <f>(EI114-EH114)*10000</f>
        <v>-47.638165756046511</v>
      </c>
      <c r="EJ116" s="3583">
        <f>(EJ114-EI114)*10000</f>
        <v>104.30828663295533</v>
      </c>
      <c r="EK116" s="3582"/>
      <c r="EL116" s="3583">
        <f>(EL114-EJ114)*10000</f>
        <v>-200.17434447295702</v>
      </c>
      <c r="EM116" s="3583">
        <f>(EM114-EL114)*10000</f>
        <v>21.130750410168766</v>
      </c>
      <c r="EN116" s="3583">
        <f>(EN114-EM114)*10000</f>
        <v>51.190358075658416</v>
      </c>
      <c r="EO116" s="3583">
        <f>(EO114-EN114)*10000</f>
        <v>141.19012232765516</v>
      </c>
      <c r="EP116" s="3582"/>
      <c r="EQ116" s="3583">
        <f>(EQ114-EO114)*10000</f>
        <v>-170.00000000000014</v>
      </c>
      <c r="ER116" s="3583">
        <f>(ER114-EQ114)*10000</f>
        <v>70.000000000000057</v>
      </c>
      <c r="ES116" s="3583">
        <f>(ES114-ER114)*10000</f>
        <v>130.00000000000011</v>
      </c>
      <c r="ET116" s="3583">
        <f>(ET114-ES114)*10000</f>
        <v>120.00000000000011</v>
      </c>
      <c r="EU116" s="3582"/>
      <c r="EV116" s="3582"/>
      <c r="EW116" s="3582"/>
      <c r="EX116" s="3582"/>
      <c r="EY116" s="3582"/>
      <c r="EZ116" s="209"/>
      <c r="FA116" s="4287"/>
      <c r="FB116" s="4287"/>
      <c r="FC116" s="4287"/>
      <c r="FD116" s="4287"/>
      <c r="FE116" s="4287"/>
      <c r="FF116" s="4287"/>
      <c r="FG116" s="4287"/>
      <c r="FH116" s="4287"/>
      <c r="FI116" s="4287"/>
      <c r="FJ116" s="4287"/>
      <c r="FK116" s="4287"/>
      <c r="FL116" s="4287"/>
    </row>
    <row r="117" spans="1:168" s="310" customFormat="1" ht="11.25" customHeight="1" collapsed="1">
      <c r="A117" s="3763" t="s">
        <v>187</v>
      </c>
      <c r="B117" s="124"/>
      <c r="C117" s="124"/>
      <c r="D117" s="124"/>
      <c r="E117" s="124"/>
      <c r="F117" s="997"/>
      <c r="G117" s="124"/>
      <c r="H117" s="124"/>
      <c r="I117" s="124"/>
      <c r="J117" s="124"/>
      <c r="K117" s="997"/>
      <c r="L117" s="124"/>
      <c r="M117" s="124"/>
      <c r="N117" s="124"/>
      <c r="O117" s="124"/>
      <c r="P117" s="997"/>
      <c r="Q117" s="124"/>
      <c r="R117" s="124"/>
      <c r="S117" s="124"/>
      <c r="T117" s="124"/>
      <c r="U117" s="997"/>
      <c r="V117" s="124"/>
      <c r="W117" s="124"/>
      <c r="X117" s="124"/>
      <c r="Y117" s="124"/>
      <c r="Z117" s="997"/>
      <c r="AA117" s="124"/>
      <c r="AB117" s="124"/>
      <c r="AC117" s="124"/>
      <c r="AD117" s="127"/>
      <c r="AE117" s="997"/>
      <c r="AF117" s="124"/>
      <c r="AG117" s="124"/>
      <c r="AH117" s="124"/>
      <c r="AI117" s="127"/>
      <c r="AJ117" s="997"/>
      <c r="AK117" s="124"/>
      <c r="AL117" s="124"/>
      <c r="AM117" s="124"/>
      <c r="AN117" s="124"/>
      <c r="AO117" s="997"/>
      <c r="AP117" s="124"/>
      <c r="AQ117" s="124"/>
      <c r="AR117" s="124"/>
      <c r="AS117" s="124"/>
      <c r="AT117" s="997"/>
      <c r="AU117" s="124"/>
      <c r="AV117" s="124"/>
      <c r="AW117" s="124"/>
      <c r="AX117" s="124"/>
      <c r="AY117" s="997"/>
      <c r="AZ117" s="124"/>
      <c r="BA117" s="124"/>
      <c r="BB117" s="124"/>
      <c r="BC117" s="124"/>
      <c r="BD117" s="997"/>
      <c r="BE117" s="1688"/>
      <c r="BF117" s="124"/>
      <c r="BG117" s="124"/>
      <c r="BH117" s="124"/>
      <c r="BI117" s="995"/>
      <c r="BJ117" s="124"/>
      <c r="BK117" s="124"/>
      <c r="BL117" s="124"/>
      <c r="BM117" s="124"/>
      <c r="BN117" s="995"/>
      <c r="BO117" s="124"/>
      <c r="BP117" s="124"/>
      <c r="BQ117" s="124"/>
      <c r="BR117" s="123"/>
      <c r="BS117" s="1760"/>
      <c r="BT117" s="1750"/>
      <c r="BU117" s="124"/>
      <c r="BV117" s="124"/>
      <c r="BW117" s="124"/>
      <c r="BX117" s="995"/>
      <c r="BY117" s="124"/>
      <c r="BZ117" s="124"/>
      <c r="CA117" s="124"/>
      <c r="CB117" s="124"/>
      <c r="CC117" s="995"/>
      <c r="CD117" s="124"/>
      <c r="CE117" s="124"/>
      <c r="CF117" s="124"/>
      <c r="CG117" s="124">
        <f>CG17/CG$9</f>
        <v>0.15592482052109383</v>
      </c>
      <c r="CH117" s="995"/>
      <c r="CI117" s="124">
        <f t="shared" ref="CI117:DN117" si="498">CI17/CI$9</f>
        <v>0.17443386937971775</v>
      </c>
      <c r="CJ117" s="124">
        <f t="shared" si="498"/>
        <v>0.17674932870004739</v>
      </c>
      <c r="CK117" s="124">
        <f t="shared" si="498"/>
        <v>0.20151802656546489</v>
      </c>
      <c r="CL117" s="124">
        <f t="shared" si="498"/>
        <v>0.19422771525236485</v>
      </c>
      <c r="CM117" s="995">
        <f t="shared" si="498"/>
        <v>0.18726192290111229</v>
      </c>
      <c r="CN117" s="124">
        <f t="shared" si="498"/>
        <v>0.19787249335154172</v>
      </c>
      <c r="CO117" s="124">
        <f t="shared" si="498"/>
        <v>0.19435540069686411</v>
      </c>
      <c r="CP117" s="124">
        <f t="shared" si="498"/>
        <v>0.21377986630485141</v>
      </c>
      <c r="CQ117" s="124">
        <f t="shared" si="498"/>
        <v>0.20319555401180966</v>
      </c>
      <c r="CR117" s="995">
        <f t="shared" si="498"/>
        <v>0.2025195396233882</v>
      </c>
      <c r="CS117" s="124">
        <f t="shared" si="498"/>
        <v>0.20444471431173719</v>
      </c>
      <c r="CT117" s="124">
        <f t="shared" si="498"/>
        <v>0.19189728958630528</v>
      </c>
      <c r="CU117" s="124">
        <f t="shared" si="498"/>
        <v>0.19683617056215447</v>
      </c>
      <c r="CV117" s="127">
        <f t="shared" si="498"/>
        <v>0.17072021116138764</v>
      </c>
      <c r="CW117" s="995">
        <f t="shared" si="498"/>
        <v>0.18982294260945304</v>
      </c>
      <c r="CX117" s="124">
        <f t="shared" si="498"/>
        <v>0.19591471596839125</v>
      </c>
      <c r="CY117" s="127">
        <f t="shared" si="498"/>
        <v>0.19943591949902004</v>
      </c>
      <c r="CZ117" s="124">
        <f t="shared" si="498"/>
        <v>0.18881903906600808</v>
      </c>
      <c r="DA117" s="127">
        <f t="shared" si="498"/>
        <v>0.16642832296216134</v>
      </c>
      <c r="DB117" s="995">
        <f t="shared" si="498"/>
        <v>0.18641445118464281</v>
      </c>
      <c r="DC117" s="127">
        <f t="shared" si="498"/>
        <v>0.20271140075629576</v>
      </c>
      <c r="DD117" s="127">
        <f t="shared" si="498"/>
        <v>0.19491557723825131</v>
      </c>
      <c r="DE117" s="127">
        <f t="shared" si="498"/>
        <v>0.1926504160836586</v>
      </c>
      <c r="DF117" s="127">
        <f t="shared" si="498"/>
        <v>0.18951005025125628</v>
      </c>
      <c r="DG117" s="995">
        <f t="shared" si="498"/>
        <v>0.19455369551197624</v>
      </c>
      <c r="DH117" s="127">
        <f t="shared" si="498"/>
        <v>0.20451847077580651</v>
      </c>
      <c r="DI117" s="127">
        <f t="shared" si="498"/>
        <v>0.19595660127420678</v>
      </c>
      <c r="DJ117" s="127">
        <f t="shared" si="498"/>
        <v>0.19855191008512829</v>
      </c>
      <c r="DK117" s="127">
        <f t="shared" si="498"/>
        <v>0.1922073774418481</v>
      </c>
      <c r="DL117" s="995">
        <f t="shared" si="498"/>
        <v>0.19745309938680106</v>
      </c>
      <c r="DM117" s="127">
        <f t="shared" si="498"/>
        <v>0.20233185985106952</v>
      </c>
      <c r="DN117" s="127">
        <f t="shared" si="498"/>
        <v>0.21754263835711798</v>
      </c>
      <c r="DO117" s="127">
        <f t="shared" ref="DO117:EM117" si="499">DO17/DO$9</f>
        <v>0.18038782329570868</v>
      </c>
      <c r="DP117" s="127">
        <f t="shared" si="499"/>
        <v>0.15123190902825637</v>
      </c>
      <c r="DQ117" s="995">
        <f t="shared" si="499"/>
        <v>0.18412810770021837</v>
      </c>
      <c r="DR117" s="127">
        <f t="shared" si="499"/>
        <v>0.16413753782728827</v>
      </c>
      <c r="DS117" s="127">
        <f t="shared" si="499"/>
        <v>0.15063492375026988</v>
      </c>
      <c r="DT117" s="127">
        <f t="shared" si="499"/>
        <v>0.14349123461395002</v>
      </c>
      <c r="DU117" s="127">
        <f t="shared" si="499"/>
        <v>0.14068305922646934</v>
      </c>
      <c r="DV117" s="995">
        <f t="shared" si="499"/>
        <v>0.14882751531326774</v>
      </c>
      <c r="DW117" s="127">
        <f t="shared" si="499"/>
        <v>0.16277824387283341</v>
      </c>
      <c r="DX117" s="127">
        <f t="shared" si="499"/>
        <v>0.17123418767726331</v>
      </c>
      <c r="DY117" s="127">
        <f t="shared" si="499"/>
        <v>0.1793909125833828</v>
      </c>
      <c r="DZ117" s="127">
        <f t="shared" si="499"/>
        <v>0.16265069784389208</v>
      </c>
      <c r="EA117" s="995">
        <f t="shared" si="499"/>
        <v>0.16888930695524648</v>
      </c>
      <c r="EB117" s="127">
        <f t="shared" si="499"/>
        <v>0.19749939723762616</v>
      </c>
      <c r="EC117" s="127">
        <f t="shared" si="499"/>
        <v>0.17058984645624889</v>
      </c>
      <c r="ED117" s="127">
        <f t="shared" si="499"/>
        <v>0.17576618632027602</v>
      </c>
      <c r="EE117" s="127">
        <f t="shared" si="499"/>
        <v>0.16748244013052374</v>
      </c>
      <c r="EF117" s="995">
        <f t="shared" si="499"/>
        <v>0.17709779032232914</v>
      </c>
      <c r="EG117" s="127">
        <f t="shared" si="499"/>
        <v>0.17609811666888583</v>
      </c>
      <c r="EH117" s="127">
        <f t="shared" si="499"/>
        <v>0.16621119753345948</v>
      </c>
      <c r="EI117" s="127">
        <f t="shared" si="499"/>
        <v>0.16696401024829308</v>
      </c>
      <c r="EJ117" s="127">
        <f t="shared" si="499"/>
        <v>0.16069393905980078</v>
      </c>
      <c r="EK117" s="995">
        <f t="shared" si="499"/>
        <v>0.16713992369154032</v>
      </c>
      <c r="EL117" s="127">
        <f t="shared" si="499"/>
        <v>0.17723504955155192</v>
      </c>
      <c r="EM117" s="127">
        <f t="shared" si="499"/>
        <v>0.1689610024105821</v>
      </c>
      <c r="EN117" s="127">
        <f t="shared" ref="EN117" si="500">EN17/EN$9</f>
        <v>0.17321367325940323</v>
      </c>
      <c r="EO117" s="139">
        <v>0.16400000000000001</v>
      </c>
      <c r="EP117" s="995">
        <f>EP17/EP$9</f>
        <v>0.17050821928533388</v>
      </c>
      <c r="EQ117" s="139">
        <v>0.17899999999999999</v>
      </c>
      <c r="ER117" s="139">
        <v>0.17100000000000001</v>
      </c>
      <c r="ES117" s="139">
        <v>0.17499999999999999</v>
      </c>
      <c r="ET117" s="139">
        <v>0.16500000000000001</v>
      </c>
      <c r="EU117" s="995">
        <f>EU17/EU$9</f>
        <v>0.17214184076206157</v>
      </c>
      <c r="EV117" s="996">
        <v>0.16900000000000001</v>
      </c>
      <c r="EW117" s="996">
        <v>0.16400000000000001</v>
      </c>
      <c r="EX117" s="996">
        <v>0.16</v>
      </c>
      <c r="EY117" s="996">
        <v>0.156</v>
      </c>
      <c r="EZ117" s="139"/>
      <c r="FA117" s="4286"/>
      <c r="FB117" s="4286"/>
      <c r="FC117" s="4286"/>
      <c r="FD117" s="4286"/>
      <c r="FE117" s="4286"/>
      <c r="FF117" s="4286"/>
      <c r="FG117" s="4286"/>
      <c r="FH117" s="4286"/>
      <c r="FI117" s="4286"/>
      <c r="FJ117" s="4286"/>
      <c r="FK117" s="4286"/>
      <c r="FL117" s="4286"/>
    </row>
    <row r="118" spans="1:168" s="259" customFormat="1" ht="11.25" hidden="1" customHeight="1" outlineLevel="1">
      <c r="A118" s="3768" t="s">
        <v>734</v>
      </c>
      <c r="B118" s="2008"/>
      <c r="C118" s="2008"/>
      <c r="D118" s="2008"/>
      <c r="E118" s="2008"/>
      <c r="F118" s="2009"/>
      <c r="G118" s="2008"/>
      <c r="H118" s="2008"/>
      <c r="I118" s="2008"/>
      <c r="J118" s="2008"/>
      <c r="K118" s="2009"/>
      <c r="L118" s="2008"/>
      <c r="M118" s="2008"/>
      <c r="N118" s="2008"/>
      <c r="O118" s="2008"/>
      <c r="P118" s="3582" t="s">
        <v>116</v>
      </c>
      <c r="Q118" s="3583" t="s">
        <v>116</v>
      </c>
      <c r="R118" s="3583" t="s">
        <v>116</v>
      </c>
      <c r="S118" s="3583" t="s">
        <v>116</v>
      </c>
      <c r="T118" s="3583" t="s">
        <v>116</v>
      </c>
      <c r="U118" s="3582">
        <f t="shared" ref="U118:BN118" si="501">(U117-P117)*10000</f>
        <v>0</v>
      </c>
      <c r="V118" s="3583">
        <f t="shared" si="501"/>
        <v>0</v>
      </c>
      <c r="W118" s="3583">
        <f t="shared" si="501"/>
        <v>0</v>
      </c>
      <c r="X118" s="3583">
        <f t="shared" si="501"/>
        <v>0</v>
      </c>
      <c r="Y118" s="3583">
        <f t="shared" si="501"/>
        <v>0</v>
      </c>
      <c r="Z118" s="3582">
        <f t="shared" si="501"/>
        <v>0</v>
      </c>
      <c r="AA118" s="3583">
        <f t="shared" si="501"/>
        <v>0</v>
      </c>
      <c r="AB118" s="3583">
        <f t="shared" si="501"/>
        <v>0</v>
      </c>
      <c r="AC118" s="3583">
        <f t="shared" si="501"/>
        <v>0</v>
      </c>
      <c r="AD118" s="3583">
        <f t="shared" si="501"/>
        <v>0</v>
      </c>
      <c r="AE118" s="3582">
        <f t="shared" si="501"/>
        <v>0</v>
      </c>
      <c r="AF118" s="3583">
        <f t="shared" si="501"/>
        <v>0</v>
      </c>
      <c r="AG118" s="3583">
        <f t="shared" si="501"/>
        <v>0</v>
      </c>
      <c r="AH118" s="3583">
        <f t="shared" si="501"/>
        <v>0</v>
      </c>
      <c r="AI118" s="3583">
        <f t="shared" si="501"/>
        <v>0</v>
      </c>
      <c r="AJ118" s="3582">
        <f t="shared" si="501"/>
        <v>0</v>
      </c>
      <c r="AK118" s="3583">
        <f t="shared" si="501"/>
        <v>0</v>
      </c>
      <c r="AL118" s="3583">
        <f t="shared" si="501"/>
        <v>0</v>
      </c>
      <c r="AM118" s="3583">
        <f t="shared" si="501"/>
        <v>0</v>
      </c>
      <c r="AN118" s="3583">
        <f t="shared" si="501"/>
        <v>0</v>
      </c>
      <c r="AO118" s="3582">
        <f t="shared" si="501"/>
        <v>0</v>
      </c>
      <c r="AP118" s="3583">
        <f t="shared" si="501"/>
        <v>0</v>
      </c>
      <c r="AQ118" s="3583">
        <f t="shared" si="501"/>
        <v>0</v>
      </c>
      <c r="AR118" s="3583">
        <f t="shared" si="501"/>
        <v>0</v>
      </c>
      <c r="AS118" s="3583">
        <f t="shared" si="501"/>
        <v>0</v>
      </c>
      <c r="AT118" s="3582">
        <f t="shared" si="501"/>
        <v>0</v>
      </c>
      <c r="AU118" s="3583">
        <f t="shared" si="501"/>
        <v>0</v>
      </c>
      <c r="AV118" s="3583">
        <f t="shared" si="501"/>
        <v>0</v>
      </c>
      <c r="AW118" s="3583">
        <f t="shared" si="501"/>
        <v>0</v>
      </c>
      <c r="AX118" s="3583">
        <f t="shared" si="501"/>
        <v>0</v>
      </c>
      <c r="AY118" s="3582">
        <f t="shared" si="501"/>
        <v>0</v>
      </c>
      <c r="AZ118" s="3583">
        <f t="shared" si="501"/>
        <v>0</v>
      </c>
      <c r="BA118" s="3583">
        <f t="shared" si="501"/>
        <v>0</v>
      </c>
      <c r="BB118" s="3583">
        <f t="shared" si="501"/>
        <v>0</v>
      </c>
      <c r="BC118" s="3583">
        <f t="shared" si="501"/>
        <v>0</v>
      </c>
      <c r="BD118" s="3582">
        <f t="shared" si="501"/>
        <v>0</v>
      </c>
      <c r="BE118" s="3584">
        <f t="shared" si="501"/>
        <v>0</v>
      </c>
      <c r="BF118" s="3583">
        <f t="shared" si="501"/>
        <v>0</v>
      </c>
      <c r="BG118" s="3583">
        <f t="shared" si="501"/>
        <v>0</v>
      </c>
      <c r="BH118" s="3583">
        <f t="shared" si="501"/>
        <v>0</v>
      </c>
      <c r="BI118" s="3582">
        <f t="shared" si="501"/>
        <v>0</v>
      </c>
      <c r="BJ118" s="3583">
        <f t="shared" si="501"/>
        <v>0</v>
      </c>
      <c r="BK118" s="3583">
        <f t="shared" si="501"/>
        <v>0</v>
      </c>
      <c r="BL118" s="3583">
        <f t="shared" si="501"/>
        <v>0</v>
      </c>
      <c r="BM118" s="3583">
        <f t="shared" si="501"/>
        <v>0</v>
      </c>
      <c r="BN118" s="3582">
        <f t="shared" si="501"/>
        <v>0</v>
      </c>
      <c r="BO118" s="3583">
        <v>-73.910139803692317</v>
      </c>
      <c r="BP118" s="3583">
        <v>-647.08175120074429</v>
      </c>
      <c r="BQ118" s="3583">
        <v>-1402.9798881989602</v>
      </c>
      <c r="BR118" s="3585">
        <v>-980.8960342866219</v>
      </c>
      <c r="BS118" s="3586">
        <v>-838.68155981038365</v>
      </c>
      <c r="BT118" s="3583">
        <f>(BT117-BJ117)*10000</f>
        <v>0</v>
      </c>
      <c r="BU118" s="3583">
        <f>(BU117-BK117)*10000</f>
        <v>0</v>
      </c>
      <c r="BV118" s="3583">
        <f>(BV117-BL117)*10000</f>
        <v>0</v>
      </c>
      <c r="BW118" s="3583">
        <f>(BW117-BM117)*10000</f>
        <v>0</v>
      </c>
      <c r="BX118" s="3582">
        <f>(BX117-BN117)*10000</f>
        <v>0</v>
      </c>
      <c r="BY118" s="3583">
        <v>-963.16614520714324</v>
      </c>
      <c r="BZ118" s="3583">
        <v>-355.43789780665304</v>
      </c>
      <c r="CA118" s="3583">
        <v>364.92085531369065</v>
      </c>
      <c r="CB118" s="3583">
        <v>-271.55670067847359</v>
      </c>
      <c r="CC118" s="3582">
        <v>-250.80202387558427</v>
      </c>
      <c r="CD118" s="3583">
        <f>(CD117-BT117)*10000</f>
        <v>0</v>
      </c>
      <c r="CE118" s="3583">
        <f>(CE117-BU117)*10000</f>
        <v>0</v>
      </c>
      <c r="CF118" s="3583">
        <f>(CF117-BV117)*10000</f>
        <v>0</v>
      </c>
      <c r="CG118" s="3583">
        <f>(CG117-BW117)*10000</f>
        <v>1559.2482052109383</v>
      </c>
      <c r="CH118" s="3582">
        <f>(CH117-BX117)*10000</f>
        <v>0</v>
      </c>
      <c r="CI118" s="3583">
        <f t="shared" ref="CI118:EN118" si="502">(CI117-CD117)*10000</f>
        <v>1744.3386937971775</v>
      </c>
      <c r="CJ118" s="3583">
        <f t="shared" si="502"/>
        <v>1767.4932870004739</v>
      </c>
      <c r="CK118" s="3583">
        <f t="shared" si="502"/>
        <v>2015.1802656546488</v>
      </c>
      <c r="CL118" s="3583">
        <f t="shared" si="502"/>
        <v>383.02894731271022</v>
      </c>
      <c r="CM118" s="3582">
        <f t="shared" si="502"/>
        <v>1872.619229011123</v>
      </c>
      <c r="CN118" s="3583">
        <f t="shared" si="502"/>
        <v>234.38623971823975</v>
      </c>
      <c r="CO118" s="3583">
        <f t="shared" si="502"/>
        <v>176.06071996816712</v>
      </c>
      <c r="CP118" s="3583">
        <f t="shared" si="502"/>
        <v>122.61839739386521</v>
      </c>
      <c r="CQ118" s="3583">
        <f t="shared" si="502"/>
        <v>89.678387594448182</v>
      </c>
      <c r="CR118" s="3582">
        <f t="shared" si="502"/>
        <v>152.57616722275907</v>
      </c>
      <c r="CS118" s="3583">
        <f t="shared" si="502"/>
        <v>65.722209601954688</v>
      </c>
      <c r="CT118" s="3583">
        <f t="shared" si="502"/>
        <v>-24.581111105588249</v>
      </c>
      <c r="CU118" s="3583">
        <f t="shared" si="502"/>
        <v>-169.4369574269694</v>
      </c>
      <c r="CV118" s="3583">
        <f t="shared" si="502"/>
        <v>-324.75342850422027</v>
      </c>
      <c r="CW118" s="3582">
        <f t="shared" si="502"/>
        <v>-126.96597013935163</v>
      </c>
      <c r="CX118" s="3583">
        <f t="shared" si="502"/>
        <v>-85.29998343345946</v>
      </c>
      <c r="CY118" s="3583">
        <f t="shared" si="502"/>
        <v>75.386299127147566</v>
      </c>
      <c r="CZ118" s="3583">
        <f t="shared" si="502"/>
        <v>-80.17131496146385</v>
      </c>
      <c r="DA118" s="3583">
        <f t="shared" si="502"/>
        <v>-42.918881992262961</v>
      </c>
      <c r="DB118" s="3582">
        <f t="shared" si="502"/>
        <v>-34.08491424810228</v>
      </c>
      <c r="DC118" s="3583">
        <f t="shared" si="502"/>
        <v>67.966847879045162</v>
      </c>
      <c r="DD118" s="3583">
        <f t="shared" si="502"/>
        <v>-45.20342260768723</v>
      </c>
      <c r="DE118" s="3583">
        <f t="shared" si="502"/>
        <v>38.313770176505166</v>
      </c>
      <c r="DF118" s="3583">
        <f t="shared" si="502"/>
        <v>230.8172728909494</v>
      </c>
      <c r="DG118" s="3582">
        <f t="shared" si="502"/>
        <v>81.39244327333428</v>
      </c>
      <c r="DH118" s="3583">
        <f t="shared" si="502"/>
        <v>18.070700195107481</v>
      </c>
      <c r="DI118" s="3583">
        <f t="shared" si="502"/>
        <v>10.410240359554624</v>
      </c>
      <c r="DJ118" s="3583">
        <f t="shared" si="502"/>
        <v>59.014940014696926</v>
      </c>
      <c r="DK118" s="3583">
        <f t="shared" si="502"/>
        <v>26.973271905918196</v>
      </c>
      <c r="DL118" s="3582">
        <f t="shared" si="502"/>
        <v>28.994038748248187</v>
      </c>
      <c r="DM118" s="3583">
        <f t="shared" si="502"/>
        <v>-21.86610924736987</v>
      </c>
      <c r="DN118" s="3583">
        <f t="shared" si="502"/>
        <v>215.86037082911207</v>
      </c>
      <c r="DO118" s="3583">
        <f t="shared" si="502"/>
        <v>-181.64086789419608</v>
      </c>
      <c r="DP118" s="3583">
        <f t="shared" si="502"/>
        <v>-409.75468413591733</v>
      </c>
      <c r="DQ118" s="3582">
        <f t="shared" si="502"/>
        <v>-133.24991686582689</v>
      </c>
      <c r="DR118" s="3583">
        <f t="shared" si="502"/>
        <v>-381.94322023781257</v>
      </c>
      <c r="DS118" s="3583">
        <f t="shared" si="502"/>
        <v>-669.07714606848106</v>
      </c>
      <c r="DT118" s="3583">
        <f t="shared" si="502"/>
        <v>-368.96588681758658</v>
      </c>
      <c r="DU118" s="3583">
        <f t="shared" si="502"/>
        <v>-105.48849801787024</v>
      </c>
      <c r="DV118" s="3582">
        <f>(DV117-DQ117)*10000</f>
        <v>-353.00592386950632</v>
      </c>
      <c r="DW118" s="3583">
        <f t="shared" si="502"/>
        <v>-13.592939544548599</v>
      </c>
      <c r="DX118" s="3583">
        <f t="shared" si="502"/>
        <v>205.99263926993433</v>
      </c>
      <c r="DY118" s="3583">
        <f t="shared" si="502"/>
        <v>358.99677969432776</v>
      </c>
      <c r="DZ118" s="3583">
        <f t="shared" si="502"/>
        <v>219.67638617422736</v>
      </c>
      <c r="EA118" s="3582">
        <f t="shared" ref="EA118:EF118" si="503">(EA117-DV117)*10000</f>
        <v>200.61791641978743</v>
      </c>
      <c r="EB118" s="3583">
        <f t="shared" si="502"/>
        <v>347.21153364792758</v>
      </c>
      <c r="EC118" s="3583">
        <f t="shared" si="502"/>
        <v>-6.4434122101442171</v>
      </c>
      <c r="ED118" s="3583">
        <f t="shared" si="502"/>
        <v>-36.247262631067812</v>
      </c>
      <c r="EE118" s="3583">
        <f t="shared" si="502"/>
        <v>48.317422866316626</v>
      </c>
      <c r="EF118" s="3582">
        <f t="shared" si="503"/>
        <v>82.084833670826583</v>
      </c>
      <c r="EG118" s="3583">
        <f t="shared" si="502"/>
        <v>-214.01280568740327</v>
      </c>
      <c r="EH118" s="3583">
        <f t="shared" si="502"/>
        <v>-43.78648922789413</v>
      </c>
      <c r="EI118" s="3583">
        <f t="shared" si="502"/>
        <v>-88.021760719829416</v>
      </c>
      <c r="EJ118" s="3583">
        <f t="shared" si="502"/>
        <v>-67.885010707229583</v>
      </c>
      <c r="EK118" s="3582">
        <f>(EK117-EF117)*10000</f>
        <v>-99.578666307888199</v>
      </c>
      <c r="EL118" s="3583">
        <f t="shared" si="502"/>
        <v>11.369328826660862</v>
      </c>
      <c r="EM118" s="3583">
        <f t="shared" si="502"/>
        <v>27.498048771226191</v>
      </c>
      <c r="EN118" s="3583">
        <f t="shared" si="502"/>
        <v>62.496630111101567</v>
      </c>
      <c r="EO118" s="3583">
        <f t="shared" ref="EO118" si="504">(EO117-EJ117)*10000</f>
        <v>33.060609401992238</v>
      </c>
      <c r="EP118" s="3582">
        <f>(EP117-EK117)*10000</f>
        <v>33.682955937935631</v>
      </c>
      <c r="EQ118" s="3583">
        <f t="shared" ref="EQ118" si="505">(EQ117-EL117)*10000</f>
        <v>17.649504484480715</v>
      </c>
      <c r="ER118" s="3583">
        <f t="shared" ref="ER118" si="506">(ER117-EM117)*10000</f>
        <v>20.38997589417918</v>
      </c>
      <c r="ES118" s="3583">
        <f t="shared" ref="ES118" si="507">(ES117-EN117)*10000</f>
        <v>17.863267405967555</v>
      </c>
      <c r="ET118" s="3583">
        <f t="shared" ref="ET118" si="508">(ET117-EO117)*10000</f>
        <v>10.000000000000009</v>
      </c>
      <c r="EU118" s="3582">
        <f>(EU117-EP117)*10000</f>
        <v>16.336214767276868</v>
      </c>
      <c r="EV118" s="3582">
        <f>(EV117-EU117)*10000</f>
        <v>-31.418407620615596</v>
      </c>
      <c r="EW118" s="3582">
        <f>(EW117-EV117)*10000</f>
        <v>-50.000000000000043</v>
      </c>
      <c r="EX118" s="3582">
        <f>(EX117-EW117)*10000</f>
        <v>-40.000000000000036</v>
      </c>
      <c r="EY118" s="3582">
        <f>(EY117-EX117)*10000</f>
        <v>-40.000000000000036</v>
      </c>
      <c r="EZ118" s="226"/>
      <c r="FA118" s="4287"/>
      <c r="FB118" s="4287"/>
      <c r="FC118" s="4287"/>
      <c r="FD118" s="4287"/>
      <c r="FE118" s="4287"/>
      <c r="FF118" s="4287"/>
      <c r="FG118" s="4287"/>
      <c r="FH118" s="4287"/>
      <c r="FI118" s="4287"/>
      <c r="FJ118" s="4287"/>
      <c r="FK118" s="4287"/>
      <c r="FL118" s="4287"/>
    </row>
    <row r="119" spans="1:168" s="259" customFormat="1" ht="11.25" hidden="1" customHeight="1" outlineLevel="1">
      <c r="A119" s="3768" t="s">
        <v>735</v>
      </c>
      <c r="B119" s="2008"/>
      <c r="C119" s="2008"/>
      <c r="D119" s="2008"/>
      <c r="E119" s="2008"/>
      <c r="F119" s="2009"/>
      <c r="G119" s="2008"/>
      <c r="H119" s="2008"/>
      <c r="I119" s="2008"/>
      <c r="J119" s="2008"/>
      <c r="K119" s="2009"/>
      <c r="L119" s="2008"/>
      <c r="M119" s="2008"/>
      <c r="N119" s="2008"/>
      <c r="O119" s="2008"/>
      <c r="P119" s="3582" t="s">
        <v>116</v>
      </c>
      <c r="Q119" s="3583" t="s">
        <v>116</v>
      </c>
      <c r="R119" s="3583">
        <f>(R117-Q117)*10000</f>
        <v>0</v>
      </c>
      <c r="S119" s="3583">
        <f>(S117-R117)*10000</f>
        <v>0</v>
      </c>
      <c r="T119" s="3583">
        <f>(T117-S117)*10000</f>
        <v>0</v>
      </c>
      <c r="U119" s="3582" t="s">
        <v>116</v>
      </c>
      <c r="V119" s="3583">
        <f>(V117-T117)*10000</f>
        <v>0</v>
      </c>
      <c r="W119" s="3583">
        <f>(W117-V117)*10000</f>
        <v>0</v>
      </c>
      <c r="X119" s="3583">
        <f>(X117-W117)*10000</f>
        <v>0</v>
      </c>
      <c r="Y119" s="3583">
        <f>(Y117-X117)*10000</f>
        <v>0</v>
      </c>
      <c r="Z119" s="3582" t="s">
        <v>116</v>
      </c>
      <c r="AA119" s="3583">
        <f>(AA117-Y117)*10000</f>
        <v>0</v>
      </c>
      <c r="AB119" s="3583">
        <f>(AB117-AA117)*10000</f>
        <v>0</v>
      </c>
      <c r="AC119" s="3583">
        <f>(AC117-AB117)*10000</f>
        <v>0</v>
      </c>
      <c r="AD119" s="3583">
        <f>(AD117-AC117)*10000</f>
        <v>0</v>
      </c>
      <c r="AE119" s="3582" t="s">
        <v>116</v>
      </c>
      <c r="AF119" s="3583">
        <f>(AF117-AD117)*10000</f>
        <v>0</v>
      </c>
      <c r="AG119" s="3583">
        <f>(AG117-AF117)*10000</f>
        <v>0</v>
      </c>
      <c r="AH119" s="3583">
        <f>(AH117-AG117)*10000</f>
        <v>0</v>
      </c>
      <c r="AI119" s="3583">
        <f>(AI117-AH117)*10000</f>
        <v>0</v>
      </c>
      <c r="AJ119" s="3582" t="s">
        <v>116</v>
      </c>
      <c r="AK119" s="3583">
        <f>(AK117-AI117)*10000</f>
        <v>0</v>
      </c>
      <c r="AL119" s="3583">
        <f>(AL117-AK117)*10000</f>
        <v>0</v>
      </c>
      <c r="AM119" s="3583">
        <f>(AM117-AL117)*10000</f>
        <v>0</v>
      </c>
      <c r="AN119" s="3583">
        <f>(AN117-AM117)*10000</f>
        <v>0</v>
      </c>
      <c r="AO119" s="3582" t="s">
        <v>116</v>
      </c>
      <c r="AP119" s="3583">
        <f>(AP117-AN117)*10000</f>
        <v>0</v>
      </c>
      <c r="AQ119" s="3583">
        <f>(AQ117-AP117)*10000</f>
        <v>0</v>
      </c>
      <c r="AR119" s="3583">
        <f>(AR117-AQ117)*10000</f>
        <v>0</v>
      </c>
      <c r="AS119" s="3583">
        <f>(AS117-AR117)*10000</f>
        <v>0</v>
      </c>
      <c r="AT119" s="3582" t="s">
        <v>116</v>
      </c>
      <c r="AU119" s="3583">
        <f>(AU117-AS117)*10000</f>
        <v>0</v>
      </c>
      <c r="AV119" s="3583">
        <f>(AV117-AU117)*10000</f>
        <v>0</v>
      </c>
      <c r="AW119" s="3583">
        <f>(AW117-AV117)*10000</f>
        <v>0</v>
      </c>
      <c r="AX119" s="3583">
        <f>(AX117-AW117)*10000</f>
        <v>0</v>
      </c>
      <c r="AY119" s="3582" t="s">
        <v>116</v>
      </c>
      <c r="AZ119" s="3583">
        <f>(AZ117-AX117)*10000</f>
        <v>0</v>
      </c>
      <c r="BA119" s="3583">
        <f>(BA117-AZ117)*10000</f>
        <v>0</v>
      </c>
      <c r="BB119" s="3583">
        <f>(BB117-BA117)*10000</f>
        <v>0</v>
      </c>
      <c r="BC119" s="3583">
        <f>(BC117-BB117)*10000</f>
        <v>0</v>
      </c>
      <c r="BD119" s="3582" t="s">
        <v>116</v>
      </c>
      <c r="BE119" s="3584">
        <f>(BE117-BD117)*10000</f>
        <v>0</v>
      </c>
      <c r="BF119" s="3583">
        <f>(BF117-BE117)*10000</f>
        <v>0</v>
      </c>
      <c r="BG119" s="3583">
        <f>(BG117-BF117)*10000</f>
        <v>0</v>
      </c>
      <c r="BH119" s="3583">
        <f>(BH117-BG117)*10000</f>
        <v>0</v>
      </c>
      <c r="BI119" s="3582" t="s">
        <v>116</v>
      </c>
      <c r="BJ119" s="3583">
        <f>(BJ117-BI117)*10000</f>
        <v>0</v>
      </c>
      <c r="BK119" s="3583">
        <f>(BK117-BJ117)*10000</f>
        <v>0</v>
      </c>
      <c r="BL119" s="3583">
        <f>(BL117-BK117)*10000</f>
        <v>0</v>
      </c>
      <c r="BM119" s="3583">
        <f>(BM117-BL117)*10000</f>
        <v>0</v>
      </c>
      <c r="BN119" s="3582" t="s">
        <v>116</v>
      </c>
      <c r="BO119" s="3583">
        <v>-44.309034873266654</v>
      </c>
      <c r="BP119" s="3583">
        <v>-672.07408167944016</v>
      </c>
      <c r="BQ119" s="3583">
        <v>-721.12167931195404</v>
      </c>
      <c r="BR119" s="3585">
        <v>523.61981105103814</v>
      </c>
      <c r="BS119" s="3586" t="s">
        <v>116</v>
      </c>
      <c r="BT119" s="3583">
        <f>(BT117-BN117)*10000</f>
        <v>0</v>
      </c>
      <c r="BU119" s="3583">
        <f>(BU117-BT117)*10000</f>
        <v>0</v>
      </c>
      <c r="BV119" s="3583">
        <f>(BV117-BU117)*10000</f>
        <v>0</v>
      </c>
      <c r="BW119" s="3583">
        <f>(BW117-BV117)*10000</f>
        <v>0</v>
      </c>
      <c r="BX119" s="3582" t="s">
        <v>116</v>
      </c>
      <c r="BY119" s="3583">
        <v>-168.79362027002631</v>
      </c>
      <c r="BZ119" s="3583">
        <v>-64.345834278949908</v>
      </c>
      <c r="CA119" s="3583">
        <v>-0.76292619161033581</v>
      </c>
      <c r="CB119" s="3583">
        <v>-112.8577449411261</v>
      </c>
      <c r="CC119" s="3582" t="s">
        <v>116</v>
      </c>
      <c r="CD119" s="3583">
        <f>(CD117-BX117)*10000</f>
        <v>0</v>
      </c>
      <c r="CE119" s="3583">
        <f>(CE117-CD117)*10000</f>
        <v>0</v>
      </c>
      <c r="CF119" s="3583">
        <f>(CF117-CE117)*10000</f>
        <v>0</v>
      </c>
      <c r="CG119" s="3583">
        <f>(CG117-CF117)*10000</f>
        <v>1559.2482052109383</v>
      </c>
      <c r="CH119" s="3582" t="s">
        <v>116</v>
      </c>
      <c r="CI119" s="3583">
        <f>(CI117-CH117)*10000</f>
        <v>1744.3386937971775</v>
      </c>
      <c r="CJ119" s="3583">
        <f>(CJ117-CI117)*10000</f>
        <v>23.154593203296436</v>
      </c>
      <c r="CK119" s="3583">
        <f>(CK117-CJ117)*10000</f>
        <v>247.68697865417494</v>
      </c>
      <c r="CL119" s="3583">
        <f>(CL117-CK117)*10000</f>
        <v>-72.903113131000396</v>
      </c>
      <c r="CM119" s="3582" t="s">
        <v>116</v>
      </c>
      <c r="CN119" s="3583">
        <f>(CN117-CM117)*10000</f>
        <v>106.10570450429429</v>
      </c>
      <c r="CO119" s="3583">
        <f>(CO117-CN117)*10000</f>
        <v>-35.170926546776172</v>
      </c>
      <c r="CP119" s="3583">
        <f>(CP117-CO117)*10000</f>
        <v>194.24465607987301</v>
      </c>
      <c r="CQ119" s="3583">
        <f>(CQ117-CP117)*10000</f>
        <v>-105.84312293041742</v>
      </c>
      <c r="CR119" s="3582" t="s">
        <v>116</v>
      </c>
      <c r="CS119" s="3583">
        <f>(CS117-CR117)*10000</f>
        <v>19.251746883489908</v>
      </c>
      <c r="CT119" s="3583">
        <f>(CT117-CS117)*10000</f>
        <v>-125.47424725431911</v>
      </c>
      <c r="CU119" s="3583">
        <f>(CU117-CT117)*10000</f>
        <v>49.38880975849186</v>
      </c>
      <c r="CV119" s="3583">
        <f>(CV117-CU117)*10000</f>
        <v>-261.15959400766832</v>
      </c>
      <c r="CW119" s="3582"/>
      <c r="CX119" s="3583">
        <f>(CX117-CV117)*10000</f>
        <v>251.94504807003608</v>
      </c>
      <c r="CY119" s="3583">
        <f>(CY117-CX117)*10000</f>
        <v>35.212035306287916</v>
      </c>
      <c r="CZ119" s="3583">
        <f>(CZ117-CY117)*10000</f>
        <v>-106.16880433011954</v>
      </c>
      <c r="DA119" s="3583">
        <f>(DA117-CZ117)*10000</f>
        <v>-223.90716103846742</v>
      </c>
      <c r="DB119" s="3582"/>
      <c r="DC119" s="3583">
        <f>(DC117-DA117)*10000</f>
        <v>362.83077794134419</v>
      </c>
      <c r="DD119" s="3583">
        <f>(DD117-DC117)*10000</f>
        <v>-77.958235180444476</v>
      </c>
      <c r="DE119" s="3583">
        <f>(DE117-DD117)*10000</f>
        <v>-22.651611545927153</v>
      </c>
      <c r="DF119" s="3583">
        <f>(DF117-DE117)*10000</f>
        <v>-31.403658324023198</v>
      </c>
      <c r="DG119" s="3582"/>
      <c r="DH119" s="3583">
        <f>(DH117-DF117)*10000</f>
        <v>150.08420524550232</v>
      </c>
      <c r="DI119" s="3583">
        <f>(DI117-DH117)*10000</f>
        <v>-85.618695015997332</v>
      </c>
      <c r="DJ119" s="3583">
        <f>(DJ117-DI117)*10000</f>
        <v>25.953088109215152</v>
      </c>
      <c r="DK119" s="3583">
        <f>(DK117-DJ117)*10000</f>
        <v>-63.445326432801927</v>
      </c>
      <c r="DL119" s="3582"/>
      <c r="DM119" s="3583">
        <f>(DM117-DK117)*10000</f>
        <v>101.24482409221424</v>
      </c>
      <c r="DN119" s="3583">
        <f>(DN117-DM117)*10000</f>
        <v>152.10778506048462</v>
      </c>
      <c r="DO119" s="3583">
        <f>(DO117-DN117)*10000</f>
        <v>-371.548150614093</v>
      </c>
      <c r="DP119" s="3583">
        <f>(DP117-DO117)*10000</f>
        <v>-291.55914267452317</v>
      </c>
      <c r="DQ119" s="3582"/>
      <c r="DR119" s="3583">
        <f>(DR117-DP117)*10000</f>
        <v>129.05628799031899</v>
      </c>
      <c r="DS119" s="3583">
        <f>(DS117-DR117)*10000</f>
        <v>-135.02614077018387</v>
      </c>
      <c r="DT119" s="3583">
        <f>(DT117-DS117)*10000</f>
        <v>-71.436891363198527</v>
      </c>
      <c r="DU119" s="3583">
        <f>(DU117-DT117)*10000</f>
        <v>-28.081753874806825</v>
      </c>
      <c r="DV119" s="3582"/>
      <c r="DW119" s="3583">
        <f>(DW117-DU117)*10000</f>
        <v>220.95184646364063</v>
      </c>
      <c r="DX119" s="3583">
        <f>(DX117-DW117)*10000</f>
        <v>84.559438044299057</v>
      </c>
      <c r="DY119" s="3583">
        <f>(DY117-DX117)*10000</f>
        <v>81.567249061194886</v>
      </c>
      <c r="DZ119" s="3583">
        <f>(DZ117-DY117)*10000</f>
        <v>-167.40214739490722</v>
      </c>
      <c r="EA119" s="3582"/>
      <c r="EB119" s="3583">
        <f>(EB117-DZ117)*10000</f>
        <v>348.48699393734086</v>
      </c>
      <c r="EC119" s="3583">
        <f>(EC117-EB117)*10000</f>
        <v>-269.09550781377271</v>
      </c>
      <c r="ED119" s="3583">
        <f>(ED117-EC117)*10000</f>
        <v>51.763398640271298</v>
      </c>
      <c r="EE119" s="3583">
        <f>(EE117-ED117)*10000</f>
        <v>-82.837461897522786</v>
      </c>
      <c r="EF119" s="3582"/>
      <c r="EG119" s="3583">
        <f>(EG117-EE117)*10000</f>
        <v>86.156765383620936</v>
      </c>
      <c r="EH119" s="3583">
        <f>(EH117-EG117)*10000</f>
        <v>-98.869191354263592</v>
      </c>
      <c r="EI119" s="3583">
        <f>(EI117-EH117)*10000</f>
        <v>7.5281271483360062</v>
      </c>
      <c r="EJ119" s="3583">
        <f>(EJ117-EI117)*10000</f>
        <v>-62.700711884922931</v>
      </c>
      <c r="EK119" s="3582"/>
      <c r="EL119" s="3583">
        <f>(EL117-EJ117)*10000</f>
        <v>165.41110491751138</v>
      </c>
      <c r="EM119" s="3583">
        <f>(EM117-EL117)*10000</f>
        <v>-82.740471409698259</v>
      </c>
      <c r="EN119" s="3583">
        <f>(EN117-EM117)*10000</f>
        <v>42.526708488211383</v>
      </c>
      <c r="EO119" s="3583">
        <f>(EO117-EN117)*10000</f>
        <v>-92.136732594032267</v>
      </c>
      <c r="EP119" s="3582"/>
      <c r="EQ119" s="3583">
        <f>(EQ117-EO117)*10000</f>
        <v>149.99999999999986</v>
      </c>
      <c r="ER119" s="3583">
        <f>(ER117-EQ117)*10000</f>
        <v>-79.999999999999787</v>
      </c>
      <c r="ES119" s="3583">
        <f>(ES117-ER117)*10000</f>
        <v>39.999999999999758</v>
      </c>
      <c r="ET119" s="3583">
        <f>(ET117-ES117)*10000</f>
        <v>-99.999999999999815</v>
      </c>
      <c r="EU119" s="3582"/>
      <c r="EV119" s="3582"/>
      <c r="EW119" s="3582"/>
      <c r="EX119" s="3582"/>
      <c r="EY119" s="3582"/>
      <c r="EZ119" s="209"/>
      <c r="FA119" s="4287"/>
      <c r="FB119" s="4287"/>
      <c r="FC119" s="4287"/>
      <c r="FD119" s="4287"/>
      <c r="FE119" s="4287"/>
      <c r="FF119" s="4287"/>
      <c r="FG119" s="4287"/>
      <c r="FH119" s="4287"/>
      <c r="FI119" s="4287"/>
      <c r="FJ119" s="4287"/>
      <c r="FK119" s="4287"/>
      <c r="FL119" s="4287"/>
    </row>
    <row r="120" spans="1:168" s="310" customFormat="1" ht="11.25" customHeight="1" collapsed="1">
      <c r="A120" s="3763" t="s">
        <v>47</v>
      </c>
      <c r="B120" s="124"/>
      <c r="C120" s="124"/>
      <c r="D120" s="124"/>
      <c r="E120" s="124"/>
      <c r="F120" s="997"/>
      <c r="G120" s="124"/>
      <c r="H120" s="124"/>
      <c r="I120" s="124"/>
      <c r="J120" s="124"/>
      <c r="K120" s="997"/>
      <c r="L120" s="124"/>
      <c r="M120" s="124"/>
      <c r="N120" s="124"/>
      <c r="O120" s="124"/>
      <c r="P120" s="997"/>
      <c r="Q120" s="124"/>
      <c r="R120" s="124"/>
      <c r="S120" s="124"/>
      <c r="T120" s="124"/>
      <c r="U120" s="997"/>
      <c r="V120" s="124"/>
      <c r="W120" s="124"/>
      <c r="X120" s="124"/>
      <c r="Y120" s="124"/>
      <c r="Z120" s="997"/>
      <c r="AA120" s="124"/>
      <c r="AB120" s="124"/>
      <c r="AC120" s="124"/>
      <c r="AD120" s="124"/>
      <c r="AE120" s="997"/>
      <c r="AF120" s="124"/>
      <c r="AG120" s="124"/>
      <c r="AH120" s="124"/>
      <c r="AI120" s="124"/>
      <c r="AJ120" s="997"/>
      <c r="AK120" s="124"/>
      <c r="AL120" s="124"/>
      <c r="AM120" s="124"/>
      <c r="AN120" s="124"/>
      <c r="AO120" s="997"/>
      <c r="AP120" s="124"/>
      <c r="AQ120" s="124"/>
      <c r="AR120" s="124"/>
      <c r="AS120" s="124"/>
      <c r="AT120" s="997"/>
      <c r="AU120" s="124"/>
      <c r="AV120" s="124"/>
      <c r="AW120" s="124"/>
      <c r="AX120" s="124"/>
      <c r="AY120" s="997"/>
      <c r="AZ120" s="124"/>
      <c r="BA120" s="124"/>
      <c r="BB120" s="124"/>
      <c r="BC120" s="124"/>
      <c r="BD120" s="997"/>
      <c r="BE120" s="1688"/>
      <c r="BF120" s="124"/>
      <c r="BG120" s="124"/>
      <c r="BH120" s="124"/>
      <c r="BI120" s="995"/>
      <c r="BJ120" s="124"/>
      <c r="BK120" s="124"/>
      <c r="BL120" s="124"/>
      <c r="BM120" s="124"/>
      <c r="BN120" s="995"/>
      <c r="BO120" s="124"/>
      <c r="BP120" s="124"/>
      <c r="BQ120" s="124"/>
      <c r="BR120" s="123"/>
      <c r="BS120" s="1760"/>
      <c r="BT120" s="1750"/>
      <c r="BU120" s="124"/>
      <c r="BV120" s="124"/>
      <c r="BW120" s="124"/>
      <c r="BX120" s="995"/>
      <c r="BY120" s="124"/>
      <c r="BZ120" s="124"/>
      <c r="CA120" s="124"/>
      <c r="CB120" s="124"/>
      <c r="CC120" s="995"/>
      <c r="CD120" s="124"/>
      <c r="CE120" s="124"/>
      <c r="CF120" s="124"/>
      <c r="CG120" s="124">
        <f>CG20/CG$9</f>
        <v>0.15390820359764459</v>
      </c>
      <c r="CH120" s="995"/>
      <c r="CI120" s="124">
        <f t="shared" ref="CI120:DN120" si="509">CI20/CI$9</f>
        <v>0.14186084673449295</v>
      </c>
      <c r="CJ120" s="124">
        <f t="shared" si="509"/>
        <v>0.15329331859105985</v>
      </c>
      <c r="CK120" s="124">
        <f t="shared" si="509"/>
        <v>0.15817836812144212</v>
      </c>
      <c r="CL120" s="124">
        <f t="shared" si="509"/>
        <v>0.1641234550852724</v>
      </c>
      <c r="CM120" s="995">
        <f t="shared" si="509"/>
        <v>0.15486439128447357</v>
      </c>
      <c r="CN120" s="124">
        <f t="shared" si="509"/>
        <v>0.14842233881980882</v>
      </c>
      <c r="CO120" s="124">
        <f t="shared" si="509"/>
        <v>0.14494773519163764</v>
      </c>
      <c r="CP120" s="124">
        <f t="shared" si="509"/>
        <v>0.14713084916275068</v>
      </c>
      <c r="CQ120" s="124">
        <f t="shared" si="509"/>
        <v>0.15508857242097951</v>
      </c>
      <c r="CR120" s="995">
        <f t="shared" si="509"/>
        <v>0.14917719223032022</v>
      </c>
      <c r="CS120" s="124">
        <f t="shared" si="509"/>
        <v>0.14493897625842492</v>
      </c>
      <c r="CT120" s="124">
        <f t="shared" si="509"/>
        <v>0.13780313837375177</v>
      </c>
      <c r="CU120" s="124">
        <f t="shared" si="509"/>
        <v>0.14040177349608626</v>
      </c>
      <c r="CV120" s="127">
        <f t="shared" si="509"/>
        <v>0.14696455505279035</v>
      </c>
      <c r="CW120" s="995">
        <f t="shared" si="509"/>
        <v>0.14269383089045851</v>
      </c>
      <c r="CX120" s="124">
        <f t="shared" si="509"/>
        <v>0.13140499975150341</v>
      </c>
      <c r="CY120" s="127">
        <f t="shared" si="509"/>
        <v>0.13848654333381136</v>
      </c>
      <c r="CZ120" s="124">
        <f t="shared" si="509"/>
        <v>0.13659631791647958</v>
      </c>
      <c r="DA120" s="127">
        <f t="shared" si="509"/>
        <v>0.16658292428400262</v>
      </c>
      <c r="DB120" s="995">
        <f t="shared" si="509"/>
        <v>0.14456791092472782</v>
      </c>
      <c r="DC120" s="127">
        <f t="shared" si="509"/>
        <v>0.14498350631587417</v>
      </c>
      <c r="DD120" s="127">
        <f t="shared" si="509"/>
        <v>0.14407134962076457</v>
      </c>
      <c r="DE120" s="127">
        <f t="shared" si="509"/>
        <v>0.14172619485970986</v>
      </c>
      <c r="DF120" s="127">
        <f t="shared" si="509"/>
        <v>0.16017587939698494</v>
      </c>
      <c r="DG120" s="995">
        <f t="shared" si="509"/>
        <v>0.14835638959788541</v>
      </c>
      <c r="DH120" s="127">
        <f t="shared" si="509"/>
        <v>0.13246718002645952</v>
      </c>
      <c r="DI120" s="127">
        <f t="shared" si="509"/>
        <v>0.13284551819844825</v>
      </c>
      <c r="DJ120" s="127">
        <f t="shared" si="509"/>
        <v>0.13962858614317308</v>
      </c>
      <c r="DK120" s="127">
        <f t="shared" si="509"/>
        <v>0.15271198168946612</v>
      </c>
      <c r="DL120" s="995">
        <f t="shared" si="509"/>
        <v>0.14012506830186389</v>
      </c>
      <c r="DM120" s="127">
        <f t="shared" si="509"/>
        <v>0.13350342658794909</v>
      </c>
      <c r="DN120" s="127">
        <f t="shared" si="509"/>
        <v>0.12343764832452615</v>
      </c>
      <c r="DO120" s="127">
        <f t="shared" ref="DO120:EM120" si="510">DO20/DO$9</f>
        <v>0.11132159865287973</v>
      </c>
      <c r="DP120" s="127">
        <f t="shared" si="510"/>
        <v>0.11444693314955204</v>
      </c>
      <c r="DQ120" s="995">
        <f t="shared" si="510"/>
        <v>0.1198405331588191</v>
      </c>
      <c r="DR120" s="127">
        <f t="shared" si="510"/>
        <v>9.9030744265602391E-2</v>
      </c>
      <c r="DS120" s="127">
        <f t="shared" si="510"/>
        <v>0.10355047005946891</v>
      </c>
      <c r="DT120" s="127">
        <f t="shared" si="510"/>
        <v>0.10287206266318538</v>
      </c>
      <c r="DU120" s="127">
        <f t="shared" si="510"/>
        <v>0.12284726485508417</v>
      </c>
      <c r="DV120" s="995">
        <f t="shared" si="510"/>
        <v>0.1080392887287748</v>
      </c>
      <c r="DW120" s="127">
        <f t="shared" si="510"/>
        <v>0.10397886506845647</v>
      </c>
      <c r="DX120" s="127">
        <f t="shared" si="510"/>
        <v>0.11536253066764107</v>
      </c>
      <c r="DY120" s="127">
        <f t="shared" si="510"/>
        <v>0.12099675199944121</v>
      </c>
      <c r="DZ120" s="127">
        <f t="shared" si="510"/>
        <v>0.11379370435498946</v>
      </c>
      <c r="EA120" s="995">
        <f t="shared" si="510"/>
        <v>0.1135919548830388</v>
      </c>
      <c r="EB120" s="127">
        <f t="shared" si="510"/>
        <v>0.11250990252471325</v>
      </c>
      <c r="EC120" s="127">
        <f t="shared" si="510"/>
        <v>0.10925290411974158</v>
      </c>
      <c r="ED120" s="127">
        <f t="shared" si="510"/>
        <v>0.10747685438166461</v>
      </c>
      <c r="EE120" s="127">
        <f t="shared" si="510"/>
        <v>0.10672805707648914</v>
      </c>
      <c r="EF120" s="995">
        <f t="shared" si="510"/>
        <v>0.10883481216960095</v>
      </c>
      <c r="EG120" s="127">
        <f t="shared" si="510"/>
        <v>9.5069016022369182E-2</v>
      </c>
      <c r="EH120" s="127">
        <f t="shared" si="510"/>
        <v>9.5186041622871559E-2</v>
      </c>
      <c r="EI120" s="127">
        <f t="shared" si="510"/>
        <v>9.6942950274316222E-2</v>
      </c>
      <c r="EJ120" s="127">
        <f t="shared" si="510"/>
        <v>9.020962742431482E-2</v>
      </c>
      <c r="EK120" s="995">
        <f t="shared" si="510"/>
        <v>9.4226716093223722E-2</v>
      </c>
      <c r="EL120" s="127">
        <f t="shared" si="510"/>
        <v>8.0694506184138273E-2</v>
      </c>
      <c r="EM120" s="127">
        <f t="shared" si="510"/>
        <v>8.6891083293564847E-2</v>
      </c>
      <c r="EN120" s="127">
        <f t="shared" ref="EN120" si="511">EN20/EN$9</f>
        <v>8.2371098662398543E-2</v>
      </c>
      <c r="EO120" s="139">
        <v>7.9000000000000001E-2</v>
      </c>
      <c r="EP120" s="995">
        <f>EP20/EP$9</f>
        <v>8.2129827826192214E-2</v>
      </c>
      <c r="EQ120" s="139">
        <v>7.0999999999999994E-2</v>
      </c>
      <c r="ER120" s="139">
        <v>0.08</v>
      </c>
      <c r="ES120" s="139">
        <v>7.4999999999999997E-2</v>
      </c>
      <c r="ET120" s="139">
        <v>7.0999999999999994E-2</v>
      </c>
      <c r="EU120" s="995">
        <f>EU20/EU$9</f>
        <v>7.4177694357962551E-2</v>
      </c>
      <c r="EV120" s="996">
        <v>7.0000000000000007E-2</v>
      </c>
      <c r="EW120" s="996">
        <v>6.6000000000000003E-2</v>
      </c>
      <c r="EX120" s="996">
        <v>6.3E-2</v>
      </c>
      <c r="EY120" s="996">
        <v>0.06</v>
      </c>
      <c r="EZ120" s="139"/>
      <c r="FA120" s="4286"/>
      <c r="FB120" s="4286"/>
      <c r="FC120" s="4286"/>
      <c r="FD120" s="4286"/>
      <c r="FE120" s="4286"/>
      <c r="FF120" s="4286"/>
      <c r="FG120" s="4286"/>
      <c r="FH120" s="4286"/>
      <c r="FI120" s="4286"/>
      <c r="FJ120" s="4286"/>
      <c r="FK120" s="4286"/>
      <c r="FL120" s="4286"/>
    </row>
    <row r="121" spans="1:168" s="259" customFormat="1" ht="11.25" hidden="1" customHeight="1" outlineLevel="1">
      <c r="A121" s="3768" t="s">
        <v>734</v>
      </c>
      <c r="B121" s="2008"/>
      <c r="C121" s="2008"/>
      <c r="D121" s="2008"/>
      <c r="E121" s="2008"/>
      <c r="F121" s="2009"/>
      <c r="G121" s="2008"/>
      <c r="H121" s="2008"/>
      <c r="I121" s="2008"/>
      <c r="J121" s="2008"/>
      <c r="K121" s="2009"/>
      <c r="L121" s="2008"/>
      <c r="M121" s="2008"/>
      <c r="N121" s="2008"/>
      <c r="O121" s="2008"/>
      <c r="P121" s="3582" t="s">
        <v>116</v>
      </c>
      <c r="Q121" s="3583" t="s">
        <v>116</v>
      </c>
      <c r="R121" s="3583" t="s">
        <v>116</v>
      </c>
      <c r="S121" s="3583" t="s">
        <v>116</v>
      </c>
      <c r="T121" s="3583" t="s">
        <v>116</v>
      </c>
      <c r="U121" s="3582">
        <f t="shared" ref="U121:BN121" si="512">(U120-P120)*10000</f>
        <v>0</v>
      </c>
      <c r="V121" s="3583">
        <f t="shared" si="512"/>
        <v>0</v>
      </c>
      <c r="W121" s="3583">
        <f t="shared" si="512"/>
        <v>0</v>
      </c>
      <c r="X121" s="3583">
        <f t="shared" si="512"/>
        <v>0</v>
      </c>
      <c r="Y121" s="3583">
        <f t="shared" si="512"/>
        <v>0</v>
      </c>
      <c r="Z121" s="3582">
        <f t="shared" si="512"/>
        <v>0</v>
      </c>
      <c r="AA121" s="3583">
        <f t="shared" si="512"/>
        <v>0</v>
      </c>
      <c r="AB121" s="3583">
        <f t="shared" si="512"/>
        <v>0</v>
      </c>
      <c r="AC121" s="3583">
        <f t="shared" si="512"/>
        <v>0</v>
      </c>
      <c r="AD121" s="3583">
        <f t="shared" si="512"/>
        <v>0</v>
      </c>
      <c r="AE121" s="3582">
        <f t="shared" si="512"/>
        <v>0</v>
      </c>
      <c r="AF121" s="3583">
        <f t="shared" si="512"/>
        <v>0</v>
      </c>
      <c r="AG121" s="3583">
        <f t="shared" si="512"/>
        <v>0</v>
      </c>
      <c r="AH121" s="3583">
        <f t="shared" si="512"/>
        <v>0</v>
      </c>
      <c r="AI121" s="3583">
        <f t="shared" si="512"/>
        <v>0</v>
      </c>
      <c r="AJ121" s="3582">
        <f t="shared" si="512"/>
        <v>0</v>
      </c>
      <c r="AK121" s="3583">
        <f t="shared" si="512"/>
        <v>0</v>
      </c>
      <c r="AL121" s="3583">
        <f t="shared" si="512"/>
        <v>0</v>
      </c>
      <c r="AM121" s="3583">
        <f t="shared" si="512"/>
        <v>0</v>
      </c>
      <c r="AN121" s="3583">
        <f t="shared" si="512"/>
        <v>0</v>
      </c>
      <c r="AO121" s="3582">
        <f t="shared" si="512"/>
        <v>0</v>
      </c>
      <c r="AP121" s="3583">
        <f t="shared" si="512"/>
        <v>0</v>
      </c>
      <c r="AQ121" s="3583">
        <f t="shared" si="512"/>
        <v>0</v>
      </c>
      <c r="AR121" s="3583">
        <f t="shared" si="512"/>
        <v>0</v>
      </c>
      <c r="AS121" s="3583">
        <f t="shared" si="512"/>
        <v>0</v>
      </c>
      <c r="AT121" s="3582">
        <f t="shared" si="512"/>
        <v>0</v>
      </c>
      <c r="AU121" s="3583">
        <f t="shared" si="512"/>
        <v>0</v>
      </c>
      <c r="AV121" s="3583">
        <f t="shared" si="512"/>
        <v>0</v>
      </c>
      <c r="AW121" s="3583">
        <f t="shared" si="512"/>
        <v>0</v>
      </c>
      <c r="AX121" s="3583">
        <f t="shared" si="512"/>
        <v>0</v>
      </c>
      <c r="AY121" s="3582">
        <f t="shared" si="512"/>
        <v>0</v>
      </c>
      <c r="AZ121" s="3583">
        <f t="shared" si="512"/>
        <v>0</v>
      </c>
      <c r="BA121" s="3583">
        <f t="shared" si="512"/>
        <v>0</v>
      </c>
      <c r="BB121" s="3583">
        <f t="shared" si="512"/>
        <v>0</v>
      </c>
      <c r="BC121" s="3583">
        <f t="shared" si="512"/>
        <v>0</v>
      </c>
      <c r="BD121" s="3582">
        <f t="shared" si="512"/>
        <v>0</v>
      </c>
      <c r="BE121" s="3584">
        <f t="shared" si="512"/>
        <v>0</v>
      </c>
      <c r="BF121" s="3583">
        <f t="shared" si="512"/>
        <v>0</v>
      </c>
      <c r="BG121" s="3583">
        <f t="shared" si="512"/>
        <v>0</v>
      </c>
      <c r="BH121" s="3583">
        <f t="shared" si="512"/>
        <v>0</v>
      </c>
      <c r="BI121" s="3582">
        <f t="shared" si="512"/>
        <v>0</v>
      </c>
      <c r="BJ121" s="3583">
        <f t="shared" si="512"/>
        <v>0</v>
      </c>
      <c r="BK121" s="3583">
        <f t="shared" si="512"/>
        <v>0</v>
      </c>
      <c r="BL121" s="3583">
        <f t="shared" si="512"/>
        <v>0</v>
      </c>
      <c r="BM121" s="3583">
        <f t="shared" si="512"/>
        <v>0</v>
      </c>
      <c r="BN121" s="3582">
        <f t="shared" si="512"/>
        <v>0</v>
      </c>
      <c r="BO121" s="3583">
        <v>-73.910139803692317</v>
      </c>
      <c r="BP121" s="3583">
        <v>-647.08175120074429</v>
      </c>
      <c r="BQ121" s="3583">
        <v>-1402.9798881989602</v>
      </c>
      <c r="BR121" s="3585">
        <v>-980.8960342866219</v>
      </c>
      <c r="BS121" s="3586">
        <v>-838.68155981038365</v>
      </c>
      <c r="BT121" s="3583">
        <f>(BT120-BJ120)*10000</f>
        <v>0</v>
      </c>
      <c r="BU121" s="3583">
        <f>(BU120-BK120)*10000</f>
        <v>0</v>
      </c>
      <c r="BV121" s="3583">
        <f>(BV120-BL120)*10000</f>
        <v>0</v>
      </c>
      <c r="BW121" s="3583">
        <f>(BW120-BM120)*10000</f>
        <v>0</v>
      </c>
      <c r="BX121" s="3582">
        <f>(BX120-BN120)*10000</f>
        <v>0</v>
      </c>
      <c r="BY121" s="3583">
        <v>-963.16614520714324</v>
      </c>
      <c r="BZ121" s="3583">
        <v>-355.43789780665304</v>
      </c>
      <c r="CA121" s="3583">
        <v>364.92085531369065</v>
      </c>
      <c r="CB121" s="3583">
        <v>-271.55670067847359</v>
      </c>
      <c r="CC121" s="3582">
        <v>-250.80202387558427</v>
      </c>
      <c r="CD121" s="3583">
        <f>(CD120-BT120)*10000</f>
        <v>0</v>
      </c>
      <c r="CE121" s="3583">
        <f>(CE120-BU120)*10000</f>
        <v>0</v>
      </c>
      <c r="CF121" s="3583">
        <f>(CF120-BV120)*10000</f>
        <v>0</v>
      </c>
      <c r="CG121" s="3583">
        <f>(CG120-BW120)*10000</f>
        <v>1539.0820359764459</v>
      </c>
      <c r="CH121" s="3582">
        <f>(CH120-BX120)*10000</f>
        <v>0</v>
      </c>
      <c r="CI121" s="3583">
        <f t="shared" ref="CI121:EN121" si="513">(CI120-CD120)*10000</f>
        <v>1418.6084673449295</v>
      </c>
      <c r="CJ121" s="3583">
        <f t="shared" si="513"/>
        <v>1532.9331859105985</v>
      </c>
      <c r="CK121" s="3583">
        <f t="shared" si="513"/>
        <v>1581.7836812144212</v>
      </c>
      <c r="CL121" s="3583">
        <f t="shared" si="513"/>
        <v>102.15251487627808</v>
      </c>
      <c r="CM121" s="3582">
        <f t="shared" si="513"/>
        <v>1548.6439128447357</v>
      </c>
      <c r="CN121" s="3583">
        <f t="shared" si="513"/>
        <v>65.614920853158679</v>
      </c>
      <c r="CO121" s="3583">
        <f t="shared" si="513"/>
        <v>-83.455833994222075</v>
      </c>
      <c r="CP121" s="3583">
        <f t="shared" si="513"/>
        <v>-110.47518958691438</v>
      </c>
      <c r="CQ121" s="3583">
        <f t="shared" si="513"/>
        <v>-90.348826642928927</v>
      </c>
      <c r="CR121" s="3582">
        <f t="shared" si="513"/>
        <v>-56.871990541533521</v>
      </c>
      <c r="CS121" s="3583">
        <f t="shared" si="513"/>
        <v>-34.833625613839011</v>
      </c>
      <c r="CT121" s="3583">
        <f t="shared" si="513"/>
        <v>-71.445968178858735</v>
      </c>
      <c r="CU121" s="3583">
        <f t="shared" si="513"/>
        <v>-67.290756666644185</v>
      </c>
      <c r="CV121" s="3583">
        <f t="shared" si="513"/>
        <v>-81.240173681891577</v>
      </c>
      <c r="CW121" s="3582">
        <f t="shared" si="513"/>
        <v>-64.833613398617146</v>
      </c>
      <c r="CX121" s="3583">
        <f t="shared" si="513"/>
        <v>-135.33976506921508</v>
      </c>
      <c r="CY121" s="3583">
        <f t="shared" si="513"/>
        <v>6.8340496005958595</v>
      </c>
      <c r="CZ121" s="3583">
        <f t="shared" si="513"/>
        <v>-38.054555796066815</v>
      </c>
      <c r="DA121" s="3583">
        <f t="shared" si="513"/>
        <v>196.18369231212267</v>
      </c>
      <c r="DB121" s="3582">
        <f t="shared" si="513"/>
        <v>18.740800342693099</v>
      </c>
      <c r="DC121" s="3583">
        <f t="shared" si="513"/>
        <v>135.78506564370764</v>
      </c>
      <c r="DD121" s="3583">
        <f t="shared" si="513"/>
        <v>55.848062869532086</v>
      </c>
      <c r="DE121" s="3583">
        <f t="shared" si="513"/>
        <v>51.29876943230277</v>
      </c>
      <c r="DF121" s="3583">
        <f t="shared" si="513"/>
        <v>-64.070448870176818</v>
      </c>
      <c r="DG121" s="3582">
        <f t="shared" si="513"/>
        <v>37.884786731575971</v>
      </c>
      <c r="DH121" s="3583">
        <f t="shared" si="513"/>
        <v>-125.16326289414653</v>
      </c>
      <c r="DI121" s="3583">
        <f t="shared" si="513"/>
        <v>-112.25831422316313</v>
      </c>
      <c r="DJ121" s="3583">
        <f t="shared" si="513"/>
        <v>-20.976087165367751</v>
      </c>
      <c r="DK121" s="3583">
        <f t="shared" si="513"/>
        <v>-74.63897707518818</v>
      </c>
      <c r="DL121" s="3582">
        <f t="shared" si="513"/>
        <v>-82.313212960215267</v>
      </c>
      <c r="DM121" s="3583">
        <f t="shared" si="513"/>
        <v>10.362465614895678</v>
      </c>
      <c r="DN121" s="3583">
        <f t="shared" si="513"/>
        <v>-94.078698739221011</v>
      </c>
      <c r="DO121" s="3583">
        <f t="shared" si="513"/>
        <v>-283.06987490293352</v>
      </c>
      <c r="DP121" s="3583">
        <f t="shared" si="513"/>
        <v>-382.65048539914079</v>
      </c>
      <c r="DQ121" s="3582">
        <f t="shared" si="513"/>
        <v>-202.84535143044792</v>
      </c>
      <c r="DR121" s="3583">
        <f t="shared" si="513"/>
        <v>-344.72682322346697</v>
      </c>
      <c r="DS121" s="3583">
        <f t="shared" si="513"/>
        <v>-198.87178265057244</v>
      </c>
      <c r="DT121" s="3583">
        <f t="shared" si="513"/>
        <v>-84.495359896943484</v>
      </c>
      <c r="DU121" s="3583">
        <f t="shared" si="513"/>
        <v>84.003317055321304</v>
      </c>
      <c r="DV121" s="3582">
        <f>(DV120-DQ120)*10000</f>
        <v>-118.01244430044294</v>
      </c>
      <c r="DW121" s="3583">
        <f t="shared" si="513"/>
        <v>49.481208028540749</v>
      </c>
      <c r="DX121" s="3583">
        <f t="shared" si="513"/>
        <v>118.12060608172165</v>
      </c>
      <c r="DY121" s="3583">
        <f t="shared" si="513"/>
        <v>181.24689336255827</v>
      </c>
      <c r="DZ121" s="3583">
        <f t="shared" si="513"/>
        <v>-90.535605000947044</v>
      </c>
      <c r="EA121" s="3582">
        <f t="shared" ref="EA121:EF121" si="514">(EA120-DV120)*10000</f>
        <v>55.526661542640021</v>
      </c>
      <c r="EB121" s="3583">
        <f t="shared" si="513"/>
        <v>85.310374562567873</v>
      </c>
      <c r="EC121" s="3583">
        <f t="shared" si="513"/>
        <v>-61.096265478994965</v>
      </c>
      <c r="ED121" s="3583">
        <f t="shared" si="513"/>
        <v>-135.19897617776596</v>
      </c>
      <c r="EE121" s="3583">
        <f t="shared" si="513"/>
        <v>-70.656472785003288</v>
      </c>
      <c r="EF121" s="3582">
        <f t="shared" si="514"/>
        <v>-47.571427134378567</v>
      </c>
      <c r="EG121" s="3583">
        <f t="shared" si="513"/>
        <v>-174.40886502344071</v>
      </c>
      <c r="EH121" s="3583">
        <f t="shared" si="513"/>
        <v>-140.66862496870016</v>
      </c>
      <c r="EI121" s="3583">
        <f t="shared" si="513"/>
        <v>-105.33904107348391</v>
      </c>
      <c r="EJ121" s="3583">
        <f t="shared" si="513"/>
        <v>-165.18429652174316</v>
      </c>
      <c r="EK121" s="3582">
        <f>(EK120-EF120)*10000</f>
        <v>-146.08096076377225</v>
      </c>
      <c r="EL121" s="3583">
        <f t="shared" si="513"/>
        <v>-143.7450983823091</v>
      </c>
      <c r="EM121" s="3583">
        <f t="shared" si="513"/>
        <v>-82.949583293067121</v>
      </c>
      <c r="EN121" s="3583">
        <f t="shared" si="513"/>
        <v>-145.7185161191768</v>
      </c>
      <c r="EO121" s="3583">
        <f t="shared" ref="EO121" si="515">(EO120-EJ120)*10000</f>
        <v>-112.09627424314819</v>
      </c>
      <c r="EP121" s="3582">
        <f>(EP120-EK120)*10000</f>
        <v>-120.96888267031508</v>
      </c>
      <c r="EQ121" s="3583">
        <f t="shared" ref="EQ121" si="516">(EQ120-EL120)*10000</f>
        <v>-96.945061841382795</v>
      </c>
      <c r="ER121" s="3583">
        <f t="shared" ref="ER121" si="517">(ER120-EM120)*10000</f>
        <v>-68.910832935648457</v>
      </c>
      <c r="ES121" s="3583">
        <f t="shared" ref="ES121" si="518">(ES120-EN120)*10000</f>
        <v>-73.710986623985448</v>
      </c>
      <c r="ET121" s="3583">
        <f t="shared" ref="ET121" si="519">(ET120-EO120)*10000</f>
        <v>-80.000000000000071</v>
      </c>
      <c r="EU121" s="3582">
        <f>(EU120-EP120)*10000</f>
        <v>-79.52133468229664</v>
      </c>
      <c r="EV121" s="3582">
        <f>(EV120-EU120)*10000</f>
        <v>-41.776943579625438</v>
      </c>
      <c r="EW121" s="3582">
        <f>(EW120-EV120)*10000</f>
        <v>-40.000000000000036</v>
      </c>
      <c r="EX121" s="3582">
        <f>(EX120-EW120)*10000</f>
        <v>-30.000000000000028</v>
      </c>
      <c r="EY121" s="3582">
        <f>(EY120-EX120)*10000</f>
        <v>-30.000000000000028</v>
      </c>
      <c r="EZ121" s="226"/>
      <c r="FA121" s="4287"/>
      <c r="FB121" s="4287"/>
      <c r="FC121" s="4287"/>
      <c r="FD121" s="4287"/>
      <c r="FE121" s="4287"/>
      <c r="FF121" s="4287"/>
      <c r="FG121" s="4287"/>
      <c r="FH121" s="4287"/>
      <c r="FI121" s="4287"/>
      <c r="FJ121" s="4287"/>
      <c r="FK121" s="4287"/>
      <c r="FL121" s="4287"/>
    </row>
    <row r="122" spans="1:168" s="259" customFormat="1" ht="11.25" hidden="1" customHeight="1" outlineLevel="1">
      <c r="A122" s="3768" t="s">
        <v>735</v>
      </c>
      <c r="B122" s="2008"/>
      <c r="C122" s="2008"/>
      <c r="D122" s="2008"/>
      <c r="E122" s="2008"/>
      <c r="F122" s="2009"/>
      <c r="G122" s="2008"/>
      <c r="H122" s="2008"/>
      <c r="I122" s="2008"/>
      <c r="J122" s="2008"/>
      <c r="K122" s="2009"/>
      <c r="L122" s="2008"/>
      <c r="M122" s="2008"/>
      <c r="N122" s="2008"/>
      <c r="O122" s="2008"/>
      <c r="P122" s="3582" t="s">
        <v>116</v>
      </c>
      <c r="Q122" s="3583" t="s">
        <v>116</v>
      </c>
      <c r="R122" s="3583">
        <f>(R120-Q120)*10000</f>
        <v>0</v>
      </c>
      <c r="S122" s="3583">
        <f>(S120-R120)*10000</f>
        <v>0</v>
      </c>
      <c r="T122" s="3583">
        <f>(T120-S120)*10000</f>
        <v>0</v>
      </c>
      <c r="U122" s="3582" t="s">
        <v>116</v>
      </c>
      <c r="V122" s="3583">
        <f>(V120-T120)*10000</f>
        <v>0</v>
      </c>
      <c r="W122" s="3583">
        <f>(W120-V120)*10000</f>
        <v>0</v>
      </c>
      <c r="X122" s="3583">
        <f>(X120-W120)*10000</f>
        <v>0</v>
      </c>
      <c r="Y122" s="3583">
        <f>(Y120-X120)*10000</f>
        <v>0</v>
      </c>
      <c r="Z122" s="3582" t="s">
        <v>116</v>
      </c>
      <c r="AA122" s="3583">
        <f>(AA120-Y120)*10000</f>
        <v>0</v>
      </c>
      <c r="AB122" s="3583">
        <f>(AB120-AA120)*10000</f>
        <v>0</v>
      </c>
      <c r="AC122" s="3583">
        <f>(AC120-AB120)*10000</f>
        <v>0</v>
      </c>
      <c r="AD122" s="3583">
        <f>(AD120-AC120)*10000</f>
        <v>0</v>
      </c>
      <c r="AE122" s="3582" t="s">
        <v>116</v>
      </c>
      <c r="AF122" s="3583">
        <f>(AF120-AD120)*10000</f>
        <v>0</v>
      </c>
      <c r="AG122" s="3583">
        <f>(AG120-AF120)*10000</f>
        <v>0</v>
      </c>
      <c r="AH122" s="3583">
        <f>(AH120-AG120)*10000</f>
        <v>0</v>
      </c>
      <c r="AI122" s="3583">
        <f>(AI120-AH120)*10000</f>
        <v>0</v>
      </c>
      <c r="AJ122" s="3582" t="s">
        <v>116</v>
      </c>
      <c r="AK122" s="3583">
        <f>(AK120-AI120)*10000</f>
        <v>0</v>
      </c>
      <c r="AL122" s="3583">
        <f>(AL120-AK120)*10000</f>
        <v>0</v>
      </c>
      <c r="AM122" s="3583">
        <f>(AM120-AL120)*10000</f>
        <v>0</v>
      </c>
      <c r="AN122" s="3583">
        <f>(AN120-AM120)*10000</f>
        <v>0</v>
      </c>
      <c r="AO122" s="3582" t="s">
        <v>116</v>
      </c>
      <c r="AP122" s="3583">
        <f>(AP120-AN120)*10000</f>
        <v>0</v>
      </c>
      <c r="AQ122" s="3583">
        <f>(AQ120-AP120)*10000</f>
        <v>0</v>
      </c>
      <c r="AR122" s="3583">
        <f>(AR120-AQ120)*10000</f>
        <v>0</v>
      </c>
      <c r="AS122" s="3583">
        <f>(AS120-AR120)*10000</f>
        <v>0</v>
      </c>
      <c r="AT122" s="3582" t="s">
        <v>116</v>
      </c>
      <c r="AU122" s="3583">
        <f>(AU120-AS120)*10000</f>
        <v>0</v>
      </c>
      <c r="AV122" s="3583">
        <f>(AV120-AU120)*10000</f>
        <v>0</v>
      </c>
      <c r="AW122" s="3583">
        <f>(AW120-AV120)*10000</f>
        <v>0</v>
      </c>
      <c r="AX122" s="3583">
        <f>(AX120-AW120)*10000</f>
        <v>0</v>
      </c>
      <c r="AY122" s="3582" t="s">
        <v>116</v>
      </c>
      <c r="AZ122" s="3583">
        <f>(AZ120-AX120)*10000</f>
        <v>0</v>
      </c>
      <c r="BA122" s="3583">
        <f>(BA120-AZ120)*10000</f>
        <v>0</v>
      </c>
      <c r="BB122" s="3583">
        <f>(BB120-BA120)*10000</f>
        <v>0</v>
      </c>
      <c r="BC122" s="3583">
        <f>(BC120-BB120)*10000</f>
        <v>0</v>
      </c>
      <c r="BD122" s="3582" t="s">
        <v>116</v>
      </c>
      <c r="BE122" s="3584">
        <f>(BE120-BD120)*10000</f>
        <v>0</v>
      </c>
      <c r="BF122" s="3583">
        <f>(BF120-BE120)*10000</f>
        <v>0</v>
      </c>
      <c r="BG122" s="3583">
        <f>(BG120-BF120)*10000</f>
        <v>0</v>
      </c>
      <c r="BH122" s="3583">
        <f>(BH120-BG120)*10000</f>
        <v>0</v>
      </c>
      <c r="BI122" s="3582" t="s">
        <v>116</v>
      </c>
      <c r="BJ122" s="3583">
        <f>(BJ120-BI120)*10000</f>
        <v>0</v>
      </c>
      <c r="BK122" s="3583">
        <f>(BK120-BJ120)*10000</f>
        <v>0</v>
      </c>
      <c r="BL122" s="3583">
        <f>(BL120-BK120)*10000</f>
        <v>0</v>
      </c>
      <c r="BM122" s="3583">
        <f>(BM120-BL120)*10000</f>
        <v>0</v>
      </c>
      <c r="BN122" s="3582" t="s">
        <v>116</v>
      </c>
      <c r="BO122" s="3583">
        <v>-44.309034873266654</v>
      </c>
      <c r="BP122" s="3583">
        <v>-672.07408167944016</v>
      </c>
      <c r="BQ122" s="3583">
        <v>-721.12167931195404</v>
      </c>
      <c r="BR122" s="3585">
        <v>523.61981105103814</v>
      </c>
      <c r="BS122" s="3586" t="s">
        <v>116</v>
      </c>
      <c r="BT122" s="3583">
        <f>(BT120-BN120)*10000</f>
        <v>0</v>
      </c>
      <c r="BU122" s="3583">
        <f>(BU120-BT120)*10000</f>
        <v>0</v>
      </c>
      <c r="BV122" s="3583">
        <f>(BV120-BU120)*10000</f>
        <v>0</v>
      </c>
      <c r="BW122" s="3583">
        <f>(BW120-BV120)*10000</f>
        <v>0</v>
      </c>
      <c r="BX122" s="3582" t="s">
        <v>116</v>
      </c>
      <c r="BY122" s="3583">
        <v>-168.79362027002631</v>
      </c>
      <c r="BZ122" s="3583">
        <v>-64.345834278949908</v>
      </c>
      <c r="CA122" s="3583">
        <v>-0.76292619161033581</v>
      </c>
      <c r="CB122" s="3583">
        <v>-112.8577449411261</v>
      </c>
      <c r="CC122" s="3582" t="s">
        <v>116</v>
      </c>
      <c r="CD122" s="3583">
        <f>(CD120-BX120)*10000</f>
        <v>0</v>
      </c>
      <c r="CE122" s="3583">
        <f>(CE120-CD120)*10000</f>
        <v>0</v>
      </c>
      <c r="CF122" s="3583">
        <f>(CF120-CE120)*10000</f>
        <v>0</v>
      </c>
      <c r="CG122" s="3583">
        <f>(CG120-CF120)*10000</f>
        <v>1539.0820359764459</v>
      </c>
      <c r="CH122" s="3582" t="s">
        <v>116</v>
      </c>
      <c r="CI122" s="3583">
        <f>(CI120-CH120)*10000</f>
        <v>1418.6084673449295</v>
      </c>
      <c r="CJ122" s="3583">
        <f>(CJ120-CI120)*10000</f>
        <v>114.324718565669</v>
      </c>
      <c r="CK122" s="3583">
        <f>(CK120-CJ120)*10000</f>
        <v>48.850495303822683</v>
      </c>
      <c r="CL122" s="3583">
        <f>(CL120-CK120)*10000</f>
        <v>59.450869638302819</v>
      </c>
      <c r="CM122" s="3582" t="s">
        <v>116</v>
      </c>
      <c r="CN122" s="3583">
        <f>(CN120-CM120)*10000</f>
        <v>-64.42052464664755</v>
      </c>
      <c r="CO122" s="3583">
        <f>(CO120-CN120)*10000</f>
        <v>-34.746036281711746</v>
      </c>
      <c r="CP122" s="3583">
        <f>(CP120-CO120)*10000</f>
        <v>21.831139711130376</v>
      </c>
      <c r="CQ122" s="3583">
        <f>(CQ120-CP120)*10000</f>
        <v>79.577232582288275</v>
      </c>
      <c r="CR122" s="3582" t="s">
        <v>116</v>
      </c>
      <c r="CS122" s="3583">
        <f>(CS120-CR120)*10000</f>
        <v>-42.382159718953041</v>
      </c>
      <c r="CT122" s="3583">
        <f>(CT120-CS120)*10000</f>
        <v>-71.358378846731469</v>
      </c>
      <c r="CU122" s="3583">
        <f>(CU120-CT120)*10000</f>
        <v>25.986351223344919</v>
      </c>
      <c r="CV122" s="3583">
        <f>(CV120-CU120)*10000</f>
        <v>65.627815567040898</v>
      </c>
      <c r="CW122" s="3582"/>
      <c r="CX122" s="3583">
        <f>(CX120-CV120)*10000</f>
        <v>-155.59555301286943</v>
      </c>
      <c r="CY122" s="3583">
        <f>(CY120-CX120)*10000</f>
        <v>70.815435823079468</v>
      </c>
      <c r="CZ122" s="3583">
        <f>(CZ120-CY120)*10000</f>
        <v>-18.902254173317758</v>
      </c>
      <c r="DA122" s="3583">
        <f>(DA120-CZ120)*10000</f>
        <v>299.86606367523041</v>
      </c>
      <c r="DB122" s="3582"/>
      <c r="DC122" s="3583">
        <f>(DC120-DA120)*10000</f>
        <v>-215.99417968128449</v>
      </c>
      <c r="DD122" s="3583">
        <f>(DD120-DC120)*10000</f>
        <v>-9.1215669510960602</v>
      </c>
      <c r="DE122" s="3583">
        <f>(DE120-DD120)*10000</f>
        <v>-23.451547610547074</v>
      </c>
      <c r="DF122" s="3583">
        <f>(DF120-DE120)*10000</f>
        <v>184.49684537275078</v>
      </c>
      <c r="DG122" s="3582"/>
      <c r="DH122" s="3583">
        <f>(DH120-DF120)*10000</f>
        <v>-277.0869937052542</v>
      </c>
      <c r="DI122" s="3583">
        <f>(DI120-DH120)*10000</f>
        <v>3.7833817198873465</v>
      </c>
      <c r="DJ122" s="3583">
        <f>(DJ120-DI120)*10000</f>
        <v>67.830679447248301</v>
      </c>
      <c r="DK122" s="3583">
        <f>(DK120-DJ120)*10000</f>
        <v>130.83395546293036</v>
      </c>
      <c r="DL122" s="3582"/>
      <c r="DM122" s="3583">
        <f>(DM120-DK120)*10000</f>
        <v>-192.08555101517032</v>
      </c>
      <c r="DN122" s="3583">
        <f>(DN120-DM120)*10000</f>
        <v>-100.65778263422933</v>
      </c>
      <c r="DO122" s="3583">
        <f>(DO120-DN120)*10000</f>
        <v>-121.16049671646422</v>
      </c>
      <c r="DP122" s="3583">
        <f>(DP120-DO120)*10000</f>
        <v>31.25334496672308</v>
      </c>
      <c r="DQ122" s="3582"/>
      <c r="DR122" s="3583">
        <f>(DR120-DP120)*10000</f>
        <v>-154.16188883949647</v>
      </c>
      <c r="DS122" s="3583">
        <f>(DS120-DR120)*10000</f>
        <v>45.197257938665167</v>
      </c>
      <c r="DT122" s="3583">
        <f>(DT120-DS120)*10000</f>
        <v>-6.784073962835258</v>
      </c>
      <c r="DU122" s="3583">
        <f>(DU120-DT120)*10000</f>
        <v>199.75202191898785</v>
      </c>
      <c r="DV122" s="3582"/>
      <c r="DW122" s="3583">
        <f>(DW120-DU120)*10000</f>
        <v>-188.68399786627702</v>
      </c>
      <c r="DX122" s="3583">
        <f>(DX120-DW120)*10000</f>
        <v>113.83665599184606</v>
      </c>
      <c r="DY122" s="3583">
        <f>(DY120-DX120)*10000</f>
        <v>56.342213318001377</v>
      </c>
      <c r="DZ122" s="3583">
        <f>(DZ120-DY120)*10000</f>
        <v>-72.030476444517461</v>
      </c>
      <c r="EA122" s="3582"/>
      <c r="EB122" s="3583">
        <f>(EB120-DZ120)*10000</f>
        <v>-12.8380183027621</v>
      </c>
      <c r="EC122" s="3583">
        <f>(EC120-EB120)*10000</f>
        <v>-32.56998404971678</v>
      </c>
      <c r="ED122" s="3583">
        <f>(ED120-EC120)*10000</f>
        <v>-17.760497380769625</v>
      </c>
      <c r="EE122" s="3583">
        <f>(EE120-ED120)*10000</f>
        <v>-7.4879730517547758</v>
      </c>
      <c r="EF122" s="3582"/>
      <c r="EG122" s="3583">
        <f>(EG120-EE120)*10000</f>
        <v>-116.59041054119953</v>
      </c>
      <c r="EH122" s="3583">
        <f>(EH120-EG120)*10000</f>
        <v>1.1702560050237676</v>
      </c>
      <c r="EI122" s="3583">
        <f>(EI120-EH120)*10000</f>
        <v>17.569086514446635</v>
      </c>
      <c r="EJ122" s="3583">
        <f>(EJ120-EI120)*10000</f>
        <v>-67.33322850001403</v>
      </c>
      <c r="EK122" s="3582"/>
      <c r="EL122" s="3583">
        <f>(EL120-EJ120)*10000</f>
        <v>-95.151212401765463</v>
      </c>
      <c r="EM122" s="3583">
        <f>(EM120-EL120)*10000</f>
        <v>61.96577109426574</v>
      </c>
      <c r="EN122" s="3583">
        <f>(EN120-EM120)*10000</f>
        <v>-45.199846311663045</v>
      </c>
      <c r="EO122" s="3583">
        <f>(EO120-EN120)*10000</f>
        <v>-33.71098662398542</v>
      </c>
      <c r="EP122" s="3582"/>
      <c r="EQ122" s="3583">
        <f>(EQ120-EO120)*10000</f>
        <v>-80.000000000000071</v>
      </c>
      <c r="ER122" s="3583">
        <f>(ER120-EQ120)*10000</f>
        <v>90.000000000000085</v>
      </c>
      <c r="ES122" s="3583">
        <f>(ES120-ER120)*10000</f>
        <v>-50.000000000000043</v>
      </c>
      <c r="ET122" s="3583">
        <f>(ET120-ES120)*10000</f>
        <v>-40.000000000000036</v>
      </c>
      <c r="EU122" s="3582"/>
      <c r="EV122" s="3582"/>
      <c r="EW122" s="3582"/>
      <c r="EX122" s="3582"/>
      <c r="EY122" s="3582"/>
      <c r="EZ122" s="209"/>
      <c r="FA122" s="4287"/>
      <c r="FB122" s="4287"/>
      <c r="FC122" s="4287"/>
      <c r="FD122" s="4287"/>
      <c r="FE122" s="4287"/>
      <c r="FF122" s="4287"/>
      <c r="FG122" s="4287"/>
      <c r="FH122" s="4287"/>
      <c r="FI122" s="4287"/>
      <c r="FJ122" s="4287"/>
      <c r="FK122" s="4287"/>
      <c r="FL122" s="4287"/>
    </row>
    <row r="123" spans="1:168" s="285" customFormat="1" ht="11.25" customHeight="1" collapsed="1">
      <c r="A123" s="3763" t="s">
        <v>51</v>
      </c>
      <c r="B123" s="124"/>
      <c r="C123" s="124"/>
      <c r="D123" s="124"/>
      <c r="E123" s="124"/>
      <c r="F123" s="997"/>
      <c r="G123" s="124"/>
      <c r="H123" s="124"/>
      <c r="I123" s="124"/>
      <c r="J123" s="124"/>
      <c r="K123" s="997"/>
      <c r="L123" s="124"/>
      <c r="M123" s="124"/>
      <c r="N123" s="124"/>
      <c r="O123" s="124"/>
      <c r="P123" s="997"/>
      <c r="Q123" s="124"/>
      <c r="R123" s="124"/>
      <c r="S123" s="124"/>
      <c r="T123" s="124"/>
      <c r="U123" s="997"/>
      <c r="V123" s="124"/>
      <c r="W123" s="124"/>
      <c r="X123" s="124"/>
      <c r="Y123" s="124"/>
      <c r="Z123" s="997"/>
      <c r="AA123" s="124"/>
      <c r="AB123" s="124"/>
      <c r="AC123" s="124"/>
      <c r="AD123" s="124"/>
      <c r="AE123" s="997"/>
      <c r="AF123" s="124"/>
      <c r="AG123" s="124"/>
      <c r="AH123" s="124"/>
      <c r="AI123" s="124"/>
      <c r="AJ123" s="997"/>
      <c r="AK123" s="124"/>
      <c r="AL123" s="124"/>
      <c r="AM123" s="124"/>
      <c r="AN123" s="124"/>
      <c r="AO123" s="997"/>
      <c r="AP123" s="124"/>
      <c r="AQ123" s="124"/>
      <c r="AR123" s="124"/>
      <c r="AS123" s="124"/>
      <c r="AT123" s="997"/>
      <c r="AU123" s="124"/>
      <c r="AV123" s="124"/>
      <c r="AW123" s="124"/>
      <c r="AX123" s="124"/>
      <c r="AY123" s="997"/>
      <c r="AZ123" s="124"/>
      <c r="BA123" s="124"/>
      <c r="BB123" s="124"/>
      <c r="BC123" s="124"/>
      <c r="BD123" s="997"/>
      <c r="BE123" s="1688"/>
      <c r="BF123" s="124"/>
      <c r="BG123" s="124"/>
      <c r="BH123" s="124"/>
      <c r="BI123" s="995"/>
      <c r="BJ123" s="124"/>
      <c r="BK123" s="124"/>
      <c r="BL123" s="124"/>
      <c r="BM123" s="124"/>
      <c r="BN123" s="995"/>
      <c r="BO123" s="124"/>
      <c r="BP123" s="124"/>
      <c r="BQ123" s="124"/>
      <c r="BR123" s="123"/>
      <c r="BS123" s="1760"/>
      <c r="BT123" s="1750"/>
      <c r="BU123" s="124"/>
      <c r="BV123" s="124"/>
      <c r="BW123" s="124"/>
      <c r="BX123" s="995"/>
      <c r="BY123" s="124"/>
      <c r="BZ123" s="124"/>
      <c r="CA123" s="124"/>
      <c r="CB123" s="124"/>
      <c r="CC123" s="995"/>
      <c r="CD123" s="124"/>
      <c r="CE123" s="124"/>
      <c r="CF123" s="124"/>
      <c r="CG123" s="124">
        <f>CG23/CG$9</f>
        <v>9.550697749455514E-2</v>
      </c>
      <c r="CH123" s="995"/>
      <c r="CI123" s="124">
        <f t="shared" ref="CI123:DN123" si="520">CI23/CI$9</f>
        <v>0.12216934689858877</v>
      </c>
      <c r="CJ123" s="124">
        <f t="shared" si="520"/>
        <v>0.11088295687885011</v>
      </c>
      <c r="CK123" s="124">
        <f t="shared" si="520"/>
        <v>0.10360531309297913</v>
      </c>
      <c r="CL123" s="124">
        <f t="shared" si="520"/>
        <v>0.1099910239591245</v>
      </c>
      <c r="CM123" s="995">
        <f t="shared" si="520"/>
        <v>0.11143912844735639</v>
      </c>
      <c r="CN123" s="124">
        <f t="shared" si="520"/>
        <v>0.11765974268669589</v>
      </c>
      <c r="CO123" s="124">
        <f t="shared" si="520"/>
        <v>0.10104529616724739</v>
      </c>
      <c r="CP123" s="124">
        <f t="shared" si="520"/>
        <v>9.7756304189555887E-2</v>
      </c>
      <c r="CQ123" s="124">
        <f t="shared" si="520"/>
        <v>9.1003820771101071E-2</v>
      </c>
      <c r="CR123" s="995">
        <f t="shared" si="520"/>
        <v>0.10117732414338951</v>
      </c>
      <c r="CS123" s="124">
        <f t="shared" si="520"/>
        <v>9.1869573137409677E-2</v>
      </c>
      <c r="CT123" s="124">
        <f t="shared" si="520"/>
        <v>9.2667617689015686E-2</v>
      </c>
      <c r="CU123" s="124">
        <f t="shared" si="520"/>
        <v>9.9841261152772462E-2</v>
      </c>
      <c r="CV123" s="127">
        <f t="shared" si="520"/>
        <v>9.5399698340874806E-2</v>
      </c>
      <c r="CW123" s="995">
        <f t="shared" si="520"/>
        <v>9.5061173940853852E-2</v>
      </c>
      <c r="CX123" s="124">
        <f t="shared" si="520"/>
        <v>8.9508473733909841E-2</v>
      </c>
      <c r="CY123" s="127">
        <f t="shared" si="520"/>
        <v>8.1265834886944888E-2</v>
      </c>
      <c r="CZ123" s="124">
        <f t="shared" si="520"/>
        <v>7.1621014818140996E-2</v>
      </c>
      <c r="DA123" s="127">
        <f t="shared" si="520"/>
        <v>6.8642986897537978E-2</v>
      </c>
      <c r="DB123" s="995">
        <f t="shared" si="520"/>
        <v>7.705504412275882E-2</v>
      </c>
      <c r="DC123" s="127">
        <f t="shared" si="520"/>
        <v>5.6440582508649126E-2</v>
      </c>
      <c r="DD123" s="127">
        <f t="shared" si="520"/>
        <v>6.7233296489690134E-2</v>
      </c>
      <c r="DE123" s="127">
        <f t="shared" si="520"/>
        <v>6.4548199425583624E-2</v>
      </c>
      <c r="DF123" s="127">
        <f t="shared" si="520"/>
        <v>6.2908291457286436E-2</v>
      </c>
      <c r="DG123" s="995">
        <f t="shared" si="520"/>
        <v>6.2883198750147598E-2</v>
      </c>
      <c r="DH123" s="127">
        <f t="shared" si="520"/>
        <v>7.0830082431561456E-2</v>
      </c>
      <c r="DI123" s="127">
        <f t="shared" si="520"/>
        <v>6.443575348514477E-2</v>
      </c>
      <c r="DJ123" s="127">
        <f t="shared" si="520"/>
        <v>7.8493744130388676E-2</v>
      </c>
      <c r="DK123" s="127">
        <f t="shared" si="520"/>
        <v>7.5291424921488256E-2</v>
      </c>
      <c r="DL123" s="995">
        <f t="shared" si="520"/>
        <v>7.2483455770748592E-2</v>
      </c>
      <c r="DM123" s="127">
        <f t="shared" si="520"/>
        <v>8.5442193016287415E-2</v>
      </c>
      <c r="DN123" s="127">
        <f t="shared" si="520"/>
        <v>8.1796032022276366E-2</v>
      </c>
      <c r="DO123" s="127">
        <f t="shared" ref="DO123:EM123" si="521">DO23/DO$9</f>
        <v>7.2512958139290137E-2</v>
      </c>
      <c r="DP123" s="127">
        <f t="shared" si="521"/>
        <v>6.0970882150241212E-2</v>
      </c>
      <c r="DQ123" s="995">
        <f t="shared" si="521"/>
        <v>7.3803497853074149E-2</v>
      </c>
      <c r="DR123" s="127">
        <f t="shared" si="521"/>
        <v>6.0808736458927239E-2</v>
      </c>
      <c r="DS123" s="127">
        <f t="shared" si="521"/>
        <v>6.5572805244254281E-2</v>
      </c>
      <c r="DT123" s="127">
        <f t="shared" si="521"/>
        <v>6.0723610593062291E-2</v>
      </c>
      <c r="DU123" s="127">
        <f t="shared" si="521"/>
        <v>6.6884228892694436E-2</v>
      </c>
      <c r="DV123" s="995">
        <f t="shared" si="521"/>
        <v>6.3705079902485487E-2</v>
      </c>
      <c r="DW123" s="127">
        <f t="shared" si="521"/>
        <v>6.0227414719480198E-2</v>
      </c>
      <c r="DX123" s="127">
        <f t="shared" si="521"/>
        <v>6.3632092707626459E-2</v>
      </c>
      <c r="DY123" s="127">
        <f t="shared" si="521"/>
        <v>6.281213983864771E-2</v>
      </c>
      <c r="DZ123" s="127">
        <f t="shared" si="521"/>
        <v>8.0731270693724946E-2</v>
      </c>
      <c r="EA123" s="995">
        <f t="shared" si="521"/>
        <v>6.7230771204159379E-2</v>
      </c>
      <c r="EB123" s="127">
        <f t="shared" si="521"/>
        <v>6.473667895153791E-2</v>
      </c>
      <c r="EC123" s="127">
        <f t="shared" si="521"/>
        <v>5.6084553788647754E-2</v>
      </c>
      <c r="ED123" s="127">
        <f t="shared" si="521"/>
        <v>6.2122371235421775E-2</v>
      </c>
      <c r="EE123" s="127">
        <f t="shared" si="521"/>
        <v>7.1981638183728783E-2</v>
      </c>
      <c r="EF123" s="995">
        <f t="shared" si="521"/>
        <v>6.403309058586866E-2</v>
      </c>
      <c r="EG123" s="127">
        <f t="shared" si="521"/>
        <v>4.4767949343866971E-2</v>
      </c>
      <c r="EH123" s="127">
        <f t="shared" si="521"/>
        <v>4.4257585312872258E-2</v>
      </c>
      <c r="EI123" s="127">
        <f t="shared" si="521"/>
        <v>4.8276972192785955E-2</v>
      </c>
      <c r="EJ123" s="127">
        <f t="shared" si="521"/>
        <v>5.3968954068193235E-2</v>
      </c>
      <c r="EK123" s="995">
        <f t="shared" si="521"/>
        <v>4.8075684980245191E-2</v>
      </c>
      <c r="EL123" s="127">
        <f t="shared" si="521"/>
        <v>4.6269905603639881E-2</v>
      </c>
      <c r="EM123" s="127">
        <f t="shared" si="521"/>
        <v>6.3739706080295638E-2</v>
      </c>
      <c r="EN123" s="127">
        <f t="shared" ref="EN123" si="522">EN23/EN$9</f>
        <v>4.499828512632903E-2</v>
      </c>
      <c r="EO123" s="139">
        <v>5.0999999999999997E-2</v>
      </c>
      <c r="EP123" s="995">
        <f>EP23/EP$9</f>
        <v>5.1451817071121217E-2</v>
      </c>
      <c r="EQ123" s="139">
        <v>4.1500000000000002E-2</v>
      </c>
      <c r="ER123" s="139">
        <v>3.95E-2</v>
      </c>
      <c r="ES123" s="139">
        <v>3.95E-2</v>
      </c>
      <c r="ET123" s="139">
        <v>4.5999999999999999E-2</v>
      </c>
      <c r="EU123" s="995">
        <f>EU23/EU$9</f>
        <v>4.1770905244661989E-2</v>
      </c>
      <c r="EV123" s="996">
        <v>0.04</v>
      </c>
      <c r="EW123" s="996">
        <v>3.7999999999999999E-2</v>
      </c>
      <c r="EX123" s="996">
        <v>3.5999999999999997E-2</v>
      </c>
      <c r="EY123" s="996">
        <v>3.4000000000000002E-2</v>
      </c>
      <c r="EZ123" s="139"/>
      <c r="FA123" s="4286"/>
      <c r="FB123" s="4286"/>
      <c r="FC123" s="4286"/>
      <c r="FD123" s="4286"/>
      <c r="FE123" s="4286"/>
      <c r="FF123" s="4286"/>
      <c r="FG123" s="4286"/>
      <c r="FH123" s="4286"/>
      <c r="FI123" s="4286"/>
      <c r="FJ123" s="4286"/>
      <c r="FK123" s="4286"/>
      <c r="FL123" s="4286"/>
    </row>
    <row r="124" spans="1:168" s="259" customFormat="1" ht="11.25" hidden="1" customHeight="1" outlineLevel="1">
      <c r="A124" s="3768" t="s">
        <v>734</v>
      </c>
      <c r="B124" s="2008"/>
      <c r="C124" s="2008"/>
      <c r="D124" s="2008"/>
      <c r="E124" s="2008"/>
      <c r="F124" s="2009"/>
      <c r="G124" s="2008"/>
      <c r="H124" s="2008"/>
      <c r="I124" s="2008"/>
      <c r="J124" s="2008"/>
      <c r="K124" s="2009"/>
      <c r="L124" s="2008"/>
      <c r="M124" s="2008"/>
      <c r="N124" s="2008"/>
      <c r="O124" s="2008"/>
      <c r="P124" s="3582" t="s">
        <v>116</v>
      </c>
      <c r="Q124" s="3583" t="s">
        <v>116</v>
      </c>
      <c r="R124" s="3583" t="s">
        <v>116</v>
      </c>
      <c r="S124" s="3583" t="s">
        <v>116</v>
      </c>
      <c r="T124" s="3583" t="s">
        <v>116</v>
      </c>
      <c r="U124" s="3582">
        <f t="shared" ref="U124:BN124" si="523">(U123-P123)*10000</f>
        <v>0</v>
      </c>
      <c r="V124" s="3583">
        <f t="shared" si="523"/>
        <v>0</v>
      </c>
      <c r="W124" s="3583">
        <f t="shared" si="523"/>
        <v>0</v>
      </c>
      <c r="X124" s="3583">
        <f t="shared" si="523"/>
        <v>0</v>
      </c>
      <c r="Y124" s="3583">
        <f t="shared" si="523"/>
        <v>0</v>
      </c>
      <c r="Z124" s="3582">
        <f t="shared" si="523"/>
        <v>0</v>
      </c>
      <c r="AA124" s="3583">
        <f t="shared" si="523"/>
        <v>0</v>
      </c>
      <c r="AB124" s="3583">
        <f t="shared" si="523"/>
        <v>0</v>
      </c>
      <c r="AC124" s="3583">
        <f t="shared" si="523"/>
        <v>0</v>
      </c>
      <c r="AD124" s="3583">
        <f t="shared" si="523"/>
        <v>0</v>
      </c>
      <c r="AE124" s="3582">
        <f t="shared" si="523"/>
        <v>0</v>
      </c>
      <c r="AF124" s="3583">
        <f t="shared" si="523"/>
        <v>0</v>
      </c>
      <c r="AG124" s="3583">
        <f t="shared" si="523"/>
        <v>0</v>
      </c>
      <c r="AH124" s="3583">
        <f t="shared" si="523"/>
        <v>0</v>
      </c>
      <c r="AI124" s="3583">
        <f t="shared" si="523"/>
        <v>0</v>
      </c>
      <c r="AJ124" s="3582">
        <f t="shared" si="523"/>
        <v>0</v>
      </c>
      <c r="AK124" s="3583">
        <f t="shared" si="523"/>
        <v>0</v>
      </c>
      <c r="AL124" s="3583">
        <f t="shared" si="523"/>
        <v>0</v>
      </c>
      <c r="AM124" s="3583">
        <f t="shared" si="523"/>
        <v>0</v>
      </c>
      <c r="AN124" s="3583">
        <f t="shared" si="523"/>
        <v>0</v>
      </c>
      <c r="AO124" s="3582">
        <f t="shared" si="523"/>
        <v>0</v>
      </c>
      <c r="AP124" s="3583">
        <f t="shared" si="523"/>
        <v>0</v>
      </c>
      <c r="AQ124" s="3583">
        <f t="shared" si="523"/>
        <v>0</v>
      </c>
      <c r="AR124" s="3583">
        <f t="shared" si="523"/>
        <v>0</v>
      </c>
      <c r="AS124" s="3583">
        <f t="shared" si="523"/>
        <v>0</v>
      </c>
      <c r="AT124" s="3582">
        <f t="shared" si="523"/>
        <v>0</v>
      </c>
      <c r="AU124" s="3583">
        <f t="shared" si="523"/>
        <v>0</v>
      </c>
      <c r="AV124" s="3583">
        <f t="shared" si="523"/>
        <v>0</v>
      </c>
      <c r="AW124" s="3583">
        <f t="shared" si="523"/>
        <v>0</v>
      </c>
      <c r="AX124" s="3583">
        <f t="shared" si="523"/>
        <v>0</v>
      </c>
      <c r="AY124" s="3582">
        <f t="shared" si="523"/>
        <v>0</v>
      </c>
      <c r="AZ124" s="3583">
        <f t="shared" si="523"/>
        <v>0</v>
      </c>
      <c r="BA124" s="3583">
        <f t="shared" si="523"/>
        <v>0</v>
      </c>
      <c r="BB124" s="3583">
        <f t="shared" si="523"/>
        <v>0</v>
      </c>
      <c r="BC124" s="3583">
        <f t="shared" si="523"/>
        <v>0</v>
      </c>
      <c r="BD124" s="3582">
        <f t="shared" si="523"/>
        <v>0</v>
      </c>
      <c r="BE124" s="3584">
        <f t="shared" si="523"/>
        <v>0</v>
      </c>
      <c r="BF124" s="3583">
        <f t="shared" si="523"/>
        <v>0</v>
      </c>
      <c r="BG124" s="3583">
        <f t="shared" si="523"/>
        <v>0</v>
      </c>
      <c r="BH124" s="3583">
        <f t="shared" si="523"/>
        <v>0</v>
      </c>
      <c r="BI124" s="3582">
        <f t="shared" si="523"/>
        <v>0</v>
      </c>
      <c r="BJ124" s="3583">
        <f t="shared" si="523"/>
        <v>0</v>
      </c>
      <c r="BK124" s="3583">
        <f t="shared" si="523"/>
        <v>0</v>
      </c>
      <c r="BL124" s="3583">
        <f t="shared" si="523"/>
        <v>0</v>
      </c>
      <c r="BM124" s="3583">
        <f t="shared" si="523"/>
        <v>0</v>
      </c>
      <c r="BN124" s="3582">
        <f t="shared" si="523"/>
        <v>0</v>
      </c>
      <c r="BO124" s="3583">
        <v>-73.910139803692317</v>
      </c>
      <c r="BP124" s="3583">
        <v>-647.08175120074429</v>
      </c>
      <c r="BQ124" s="3583">
        <v>-1402.9798881989602</v>
      </c>
      <c r="BR124" s="3585">
        <v>-980.8960342866219</v>
      </c>
      <c r="BS124" s="3586">
        <v>-838.68155981038365</v>
      </c>
      <c r="BT124" s="3583">
        <f>(BT123-BJ123)*10000</f>
        <v>0</v>
      </c>
      <c r="BU124" s="3583">
        <f>(BU123-BK123)*10000</f>
        <v>0</v>
      </c>
      <c r="BV124" s="3583">
        <f>(BV123-BL123)*10000</f>
        <v>0</v>
      </c>
      <c r="BW124" s="3583">
        <f>(BW123-BM123)*10000</f>
        <v>0</v>
      </c>
      <c r="BX124" s="3582">
        <f>(BX123-BN123)*10000</f>
        <v>0</v>
      </c>
      <c r="BY124" s="3583">
        <v>-963.16614520714324</v>
      </c>
      <c r="BZ124" s="3583">
        <v>-355.43789780665304</v>
      </c>
      <c r="CA124" s="3583">
        <v>364.92085531369065</v>
      </c>
      <c r="CB124" s="3583">
        <v>-271.55670067847359</v>
      </c>
      <c r="CC124" s="3582">
        <v>-250.80202387558427</v>
      </c>
      <c r="CD124" s="3583">
        <f>(CD123-BT123)*10000</f>
        <v>0</v>
      </c>
      <c r="CE124" s="3583">
        <f>(CE123-BU123)*10000</f>
        <v>0</v>
      </c>
      <c r="CF124" s="3583">
        <f>(CF123-BV123)*10000</f>
        <v>0</v>
      </c>
      <c r="CG124" s="3583">
        <f>(CG123-BW123)*10000</f>
        <v>955.06977494555144</v>
      </c>
      <c r="CH124" s="3582">
        <f>(CH123-BX123)*10000</f>
        <v>0</v>
      </c>
      <c r="CI124" s="3583">
        <f t="shared" ref="CI124:EN124" si="524">(CI123-CD123)*10000</f>
        <v>1221.6934689858876</v>
      </c>
      <c r="CJ124" s="3583">
        <f t="shared" si="524"/>
        <v>1108.8295687885011</v>
      </c>
      <c r="CK124" s="3583">
        <f t="shared" si="524"/>
        <v>1036.0531309297912</v>
      </c>
      <c r="CL124" s="3583">
        <f t="shared" si="524"/>
        <v>144.84046464569354</v>
      </c>
      <c r="CM124" s="3582">
        <f t="shared" si="524"/>
        <v>1114.3912844735639</v>
      </c>
      <c r="CN124" s="3583">
        <f t="shared" si="524"/>
        <v>-45.096042118928786</v>
      </c>
      <c r="CO124" s="3583">
        <f t="shared" si="524"/>
        <v>-98.376607116027188</v>
      </c>
      <c r="CP124" s="3583">
        <f t="shared" si="524"/>
        <v>-58.490089034232419</v>
      </c>
      <c r="CQ124" s="3583">
        <f t="shared" si="524"/>
        <v>-189.87203188023423</v>
      </c>
      <c r="CR124" s="3582">
        <f t="shared" si="524"/>
        <v>-102.61804303966879</v>
      </c>
      <c r="CS124" s="3583">
        <f t="shared" si="524"/>
        <v>-257.90169549286213</v>
      </c>
      <c r="CT124" s="3583">
        <f t="shared" si="524"/>
        <v>-83.776784782317037</v>
      </c>
      <c r="CU124" s="3583">
        <f t="shared" si="524"/>
        <v>20.84956963216575</v>
      </c>
      <c r="CV124" s="3583">
        <f t="shared" si="524"/>
        <v>43.958775697737345</v>
      </c>
      <c r="CW124" s="3582">
        <f t="shared" si="524"/>
        <v>-61.161502025356555</v>
      </c>
      <c r="CX124" s="3583">
        <f t="shared" si="524"/>
        <v>-23.610994034998363</v>
      </c>
      <c r="CY124" s="3583">
        <f t="shared" si="524"/>
        <v>-114.01782802070798</v>
      </c>
      <c r="CZ124" s="3583">
        <f t="shared" si="524"/>
        <v>-282.20246334631463</v>
      </c>
      <c r="DA124" s="3583">
        <f t="shared" si="524"/>
        <v>-267.56711443336826</v>
      </c>
      <c r="DB124" s="3582">
        <f t="shared" si="524"/>
        <v>-180.06129818095033</v>
      </c>
      <c r="DC124" s="3583">
        <f t="shared" si="524"/>
        <v>-330.67891225260718</v>
      </c>
      <c r="DD124" s="3583">
        <f t="shared" si="524"/>
        <v>-140.32538397254754</v>
      </c>
      <c r="DE124" s="3583">
        <f t="shared" si="524"/>
        <v>-70.728153925573721</v>
      </c>
      <c r="DF124" s="3583">
        <f t="shared" si="524"/>
        <v>-57.346954402515415</v>
      </c>
      <c r="DG124" s="3582">
        <f t="shared" si="524"/>
        <v>-141.71845372611222</v>
      </c>
      <c r="DH124" s="3583">
        <f t="shared" si="524"/>
        <v>143.8949992291233</v>
      </c>
      <c r="DI124" s="3583">
        <f t="shared" si="524"/>
        <v>-27.975430045453635</v>
      </c>
      <c r="DJ124" s="3583">
        <f t="shared" si="524"/>
        <v>139.45544704805053</v>
      </c>
      <c r="DK124" s="3583">
        <f t="shared" si="524"/>
        <v>123.83133464201821</v>
      </c>
      <c r="DL124" s="3582">
        <f t="shared" si="524"/>
        <v>96.002570206009935</v>
      </c>
      <c r="DM124" s="3583">
        <f t="shared" si="524"/>
        <v>146.1211058472596</v>
      </c>
      <c r="DN124" s="3583">
        <f t="shared" si="524"/>
        <v>173.60278537131595</v>
      </c>
      <c r="DO124" s="3583">
        <f t="shared" si="524"/>
        <v>-59.807859910985393</v>
      </c>
      <c r="DP124" s="3583">
        <f t="shared" si="524"/>
        <v>-143.20542771247045</v>
      </c>
      <c r="DQ124" s="3582">
        <f t="shared" si="524"/>
        <v>13.200420823255566</v>
      </c>
      <c r="DR124" s="3583">
        <f t="shared" si="524"/>
        <v>-246.33456557360176</v>
      </c>
      <c r="DS124" s="3583">
        <f t="shared" si="524"/>
        <v>-162.23226778022084</v>
      </c>
      <c r="DT124" s="3583">
        <f t="shared" si="524"/>
        <v>-117.89347546227846</v>
      </c>
      <c r="DU124" s="3583">
        <f t="shared" si="524"/>
        <v>59.133467424532235</v>
      </c>
      <c r="DV124" s="3582">
        <f>(DV123-DQ123)*10000</f>
        <v>-100.98417950588662</v>
      </c>
      <c r="DW124" s="3583">
        <f t="shared" si="524"/>
        <v>-5.81321739447041</v>
      </c>
      <c r="DX124" s="3583">
        <f t="shared" si="524"/>
        <v>-19.407125366278226</v>
      </c>
      <c r="DY124" s="3583">
        <f t="shared" si="524"/>
        <v>20.885292455854188</v>
      </c>
      <c r="DZ124" s="3583">
        <f t="shared" si="524"/>
        <v>138.47041801030511</v>
      </c>
      <c r="EA124" s="3582">
        <f t="shared" ref="EA124:EF124" si="525">(EA123-DV123)*10000</f>
        <v>35.256913016738913</v>
      </c>
      <c r="EB124" s="3583">
        <f t="shared" si="524"/>
        <v>45.09264232057712</v>
      </c>
      <c r="EC124" s="3583">
        <f t="shared" si="524"/>
        <v>-75.475389189787052</v>
      </c>
      <c r="ED124" s="3583">
        <f t="shared" si="524"/>
        <v>-6.8976860322593483</v>
      </c>
      <c r="EE124" s="3583">
        <f t="shared" si="524"/>
        <v>-87.496325099961638</v>
      </c>
      <c r="EF124" s="3582">
        <f t="shared" si="525"/>
        <v>-31.976806182907186</v>
      </c>
      <c r="EG124" s="3583">
        <f t="shared" si="524"/>
        <v>-199.6872960767094</v>
      </c>
      <c r="EH124" s="3583">
        <f t="shared" si="524"/>
        <v>-118.26968475775496</v>
      </c>
      <c r="EI124" s="3583">
        <f t="shared" si="524"/>
        <v>-138.45399042635819</v>
      </c>
      <c r="EJ124" s="3583">
        <f t="shared" si="524"/>
        <v>-180.12684115535546</v>
      </c>
      <c r="EK124" s="3582">
        <f>(EK123-EF123)*10000</f>
        <v>-159.5740560562347</v>
      </c>
      <c r="EL124" s="3583">
        <f t="shared" si="524"/>
        <v>15.019562597729102</v>
      </c>
      <c r="EM124" s="3583">
        <f t="shared" si="524"/>
        <v>194.82120767423379</v>
      </c>
      <c r="EN124" s="3583">
        <f t="shared" si="524"/>
        <v>-32.786870664569257</v>
      </c>
      <c r="EO124" s="3583">
        <f t="shared" ref="EO124" si="526">(EO123-EJ123)*10000</f>
        <v>-29.689540681932385</v>
      </c>
      <c r="EP124" s="3582">
        <f>(EP123-EK123)*10000</f>
        <v>33.761320908760261</v>
      </c>
      <c r="EQ124" s="3583">
        <f t="shared" ref="EQ124" si="527">(EQ123-EL123)*10000</f>
        <v>-47.699056036398787</v>
      </c>
      <c r="ER124" s="3583">
        <f t="shared" ref="ER124" si="528">(ER123-EM123)*10000</f>
        <v>-242.39706080295639</v>
      </c>
      <c r="ES124" s="3583">
        <f t="shared" ref="ES124" si="529">(ES123-EN123)*10000</f>
        <v>-54.982851263290293</v>
      </c>
      <c r="ET124" s="3583">
        <f t="shared" ref="ET124" si="530">(ET123-EO123)*10000</f>
        <v>-49.999999999999972</v>
      </c>
      <c r="EU124" s="3582">
        <f>(EU123-EP123)*10000</f>
        <v>-96.809118264592271</v>
      </c>
      <c r="EV124" s="3582">
        <f>(EV123-EU123)*10000</f>
        <v>-17.709052446619882</v>
      </c>
      <c r="EW124" s="3582">
        <f>(EW123-EV123)*10000</f>
        <v>-20.000000000000018</v>
      </c>
      <c r="EX124" s="3582">
        <f>(EX123-EW123)*10000</f>
        <v>-20.000000000000018</v>
      </c>
      <c r="EY124" s="3582">
        <f>(EY123-EX123)*10000</f>
        <v>-19.999999999999947</v>
      </c>
      <c r="EZ124" s="226"/>
      <c r="FA124" s="4287"/>
      <c r="FB124" s="4287"/>
      <c r="FC124" s="4287"/>
      <c r="FD124" s="4287"/>
      <c r="FE124" s="4287"/>
      <c r="FF124" s="4287"/>
      <c r="FG124" s="4287"/>
      <c r="FH124" s="4287"/>
      <c r="FI124" s="4287"/>
      <c r="FJ124" s="4287"/>
      <c r="FK124" s="4287"/>
      <c r="FL124" s="4287"/>
    </row>
    <row r="125" spans="1:168" s="259" customFormat="1" ht="11.25" hidden="1" customHeight="1" outlineLevel="1">
      <c r="A125" s="3768" t="s">
        <v>735</v>
      </c>
      <c r="B125" s="2008"/>
      <c r="C125" s="2008"/>
      <c r="D125" s="2008"/>
      <c r="E125" s="2008"/>
      <c r="F125" s="2009"/>
      <c r="G125" s="2008"/>
      <c r="H125" s="2008"/>
      <c r="I125" s="2008"/>
      <c r="J125" s="2008"/>
      <c r="K125" s="2009"/>
      <c r="L125" s="2008"/>
      <c r="M125" s="2008"/>
      <c r="N125" s="2008"/>
      <c r="O125" s="2008"/>
      <c r="P125" s="3582" t="s">
        <v>116</v>
      </c>
      <c r="Q125" s="3583" t="s">
        <v>116</v>
      </c>
      <c r="R125" s="3583">
        <f>(R123-Q123)*10000</f>
        <v>0</v>
      </c>
      <c r="S125" s="3583">
        <f>(S123-R123)*10000</f>
        <v>0</v>
      </c>
      <c r="T125" s="3583">
        <f>(T123-S123)*10000</f>
        <v>0</v>
      </c>
      <c r="U125" s="3582" t="s">
        <v>116</v>
      </c>
      <c r="V125" s="3583">
        <f>(V123-T123)*10000</f>
        <v>0</v>
      </c>
      <c r="W125" s="3583">
        <f>(W123-V123)*10000</f>
        <v>0</v>
      </c>
      <c r="X125" s="3583">
        <f>(X123-W123)*10000</f>
        <v>0</v>
      </c>
      <c r="Y125" s="3583">
        <f>(Y123-X123)*10000</f>
        <v>0</v>
      </c>
      <c r="Z125" s="3582" t="s">
        <v>116</v>
      </c>
      <c r="AA125" s="3583">
        <f>(AA123-Y123)*10000</f>
        <v>0</v>
      </c>
      <c r="AB125" s="3583">
        <f>(AB123-AA123)*10000</f>
        <v>0</v>
      </c>
      <c r="AC125" s="3583">
        <f>(AC123-AB123)*10000</f>
        <v>0</v>
      </c>
      <c r="AD125" s="3583">
        <f>(AD123-AC123)*10000</f>
        <v>0</v>
      </c>
      <c r="AE125" s="3582" t="s">
        <v>116</v>
      </c>
      <c r="AF125" s="3583">
        <f>(AF123-AD123)*10000</f>
        <v>0</v>
      </c>
      <c r="AG125" s="3583">
        <f>(AG123-AF123)*10000</f>
        <v>0</v>
      </c>
      <c r="AH125" s="3583">
        <f>(AH123-AG123)*10000</f>
        <v>0</v>
      </c>
      <c r="AI125" s="3583">
        <f>(AI123-AH123)*10000</f>
        <v>0</v>
      </c>
      <c r="AJ125" s="3582" t="s">
        <v>116</v>
      </c>
      <c r="AK125" s="3583">
        <f>(AK123-AI123)*10000</f>
        <v>0</v>
      </c>
      <c r="AL125" s="3583">
        <f>(AL123-AK123)*10000</f>
        <v>0</v>
      </c>
      <c r="AM125" s="3583">
        <f>(AM123-AL123)*10000</f>
        <v>0</v>
      </c>
      <c r="AN125" s="3583">
        <f>(AN123-AM123)*10000</f>
        <v>0</v>
      </c>
      <c r="AO125" s="3582" t="s">
        <v>116</v>
      </c>
      <c r="AP125" s="3583">
        <f>(AP123-AN123)*10000</f>
        <v>0</v>
      </c>
      <c r="AQ125" s="3583">
        <f>(AQ123-AP123)*10000</f>
        <v>0</v>
      </c>
      <c r="AR125" s="3583">
        <f>(AR123-AQ123)*10000</f>
        <v>0</v>
      </c>
      <c r="AS125" s="3583">
        <f>(AS123-AR123)*10000</f>
        <v>0</v>
      </c>
      <c r="AT125" s="3582" t="s">
        <v>116</v>
      </c>
      <c r="AU125" s="3583">
        <f>(AU123-AS123)*10000</f>
        <v>0</v>
      </c>
      <c r="AV125" s="3583">
        <f>(AV123-AU123)*10000</f>
        <v>0</v>
      </c>
      <c r="AW125" s="3583">
        <f>(AW123-AV123)*10000</f>
        <v>0</v>
      </c>
      <c r="AX125" s="3583">
        <f>(AX123-AW123)*10000</f>
        <v>0</v>
      </c>
      <c r="AY125" s="3582" t="s">
        <v>116</v>
      </c>
      <c r="AZ125" s="3583">
        <f>(AZ123-AX123)*10000</f>
        <v>0</v>
      </c>
      <c r="BA125" s="3583">
        <f>(BA123-AZ123)*10000</f>
        <v>0</v>
      </c>
      <c r="BB125" s="3583">
        <f>(BB123-BA123)*10000</f>
        <v>0</v>
      </c>
      <c r="BC125" s="3583">
        <f>(BC123-BB123)*10000</f>
        <v>0</v>
      </c>
      <c r="BD125" s="3582" t="s">
        <v>116</v>
      </c>
      <c r="BE125" s="3584">
        <f>(BE123-BD123)*10000</f>
        <v>0</v>
      </c>
      <c r="BF125" s="3583">
        <f>(BF123-BE123)*10000</f>
        <v>0</v>
      </c>
      <c r="BG125" s="3583">
        <f>(BG123-BF123)*10000</f>
        <v>0</v>
      </c>
      <c r="BH125" s="3583">
        <f>(BH123-BG123)*10000</f>
        <v>0</v>
      </c>
      <c r="BI125" s="3582" t="s">
        <v>116</v>
      </c>
      <c r="BJ125" s="3583">
        <f>(BJ123-BI123)*10000</f>
        <v>0</v>
      </c>
      <c r="BK125" s="3583">
        <f>(BK123-BJ123)*10000</f>
        <v>0</v>
      </c>
      <c r="BL125" s="3583">
        <f>(BL123-BK123)*10000</f>
        <v>0</v>
      </c>
      <c r="BM125" s="3583">
        <f>(BM123-BL123)*10000</f>
        <v>0</v>
      </c>
      <c r="BN125" s="3582" t="s">
        <v>116</v>
      </c>
      <c r="BO125" s="3583">
        <v>-44.309034873266654</v>
      </c>
      <c r="BP125" s="3583">
        <v>-672.07408167944016</v>
      </c>
      <c r="BQ125" s="3583">
        <v>-721.12167931195404</v>
      </c>
      <c r="BR125" s="3585">
        <v>523.61981105103814</v>
      </c>
      <c r="BS125" s="3586" t="s">
        <v>116</v>
      </c>
      <c r="BT125" s="3583">
        <f>(BT123-BN123)*10000</f>
        <v>0</v>
      </c>
      <c r="BU125" s="3583">
        <f>(BU123-BT123)*10000</f>
        <v>0</v>
      </c>
      <c r="BV125" s="3583">
        <f>(BV123-BU123)*10000</f>
        <v>0</v>
      </c>
      <c r="BW125" s="3583">
        <f>(BW123-BV123)*10000</f>
        <v>0</v>
      </c>
      <c r="BX125" s="3582" t="s">
        <v>116</v>
      </c>
      <c r="BY125" s="3583">
        <v>-168.79362027002631</v>
      </c>
      <c r="BZ125" s="3583">
        <v>-64.345834278949908</v>
      </c>
      <c r="CA125" s="3583">
        <v>-0.76292619161033581</v>
      </c>
      <c r="CB125" s="3583">
        <v>-112.8577449411261</v>
      </c>
      <c r="CC125" s="3582" t="s">
        <v>116</v>
      </c>
      <c r="CD125" s="3583">
        <f>(CD123-BX123)*10000</f>
        <v>0</v>
      </c>
      <c r="CE125" s="3583">
        <f>(CE123-CD123)*10000</f>
        <v>0</v>
      </c>
      <c r="CF125" s="3583">
        <f>(CF123-CE123)*10000</f>
        <v>0</v>
      </c>
      <c r="CG125" s="3583">
        <f>(CG123-CF123)*10000</f>
        <v>955.06977494555144</v>
      </c>
      <c r="CH125" s="3582" t="s">
        <v>116</v>
      </c>
      <c r="CI125" s="3583">
        <f>(CI123-CH123)*10000</f>
        <v>1221.6934689858876</v>
      </c>
      <c r="CJ125" s="3583">
        <f>(CJ123-CI123)*10000</f>
        <v>-112.86390019738663</v>
      </c>
      <c r="CK125" s="3583">
        <f>(CK123-CJ123)*10000</f>
        <v>-72.776437858709798</v>
      </c>
      <c r="CL125" s="3583">
        <f>(CL123-CK123)*10000</f>
        <v>63.857108661453665</v>
      </c>
      <c r="CM125" s="3582" t="s">
        <v>116</v>
      </c>
      <c r="CN125" s="3583">
        <f>(CN123-CM123)*10000</f>
        <v>62.206142393395055</v>
      </c>
      <c r="CO125" s="3583">
        <f>(CO123-CN123)*10000</f>
        <v>-166.14446519448504</v>
      </c>
      <c r="CP125" s="3583">
        <f>(CP123-CO123)*10000</f>
        <v>-32.889919776915022</v>
      </c>
      <c r="CQ125" s="3583">
        <f>(CQ123-CP123)*10000</f>
        <v>-67.524834184548155</v>
      </c>
      <c r="CR125" s="3582" t="s">
        <v>116</v>
      </c>
      <c r="CS125" s="3583">
        <f>(CS123-CR123)*10000</f>
        <v>-93.077510059798314</v>
      </c>
      <c r="CT125" s="3583">
        <f>(CT123-CS123)*10000</f>
        <v>7.9804455160600867</v>
      </c>
      <c r="CU125" s="3583">
        <f>(CU123-CT123)*10000</f>
        <v>71.736434637567768</v>
      </c>
      <c r="CV125" s="3583">
        <f>(CV123-CU123)*10000</f>
        <v>-44.415628118976564</v>
      </c>
      <c r="CW125" s="3582"/>
      <c r="CX125" s="3583">
        <f>(CX123-CV123)*10000</f>
        <v>-58.912246069649647</v>
      </c>
      <c r="CY125" s="3583">
        <f>(CY123-CX123)*10000</f>
        <v>-82.426388469649524</v>
      </c>
      <c r="CZ125" s="3583">
        <f>(CZ123-CY123)*10000</f>
        <v>-96.448200688038909</v>
      </c>
      <c r="DA125" s="3583">
        <f>(DA123-CZ123)*10000</f>
        <v>-29.780279206030187</v>
      </c>
      <c r="DB125" s="3582"/>
      <c r="DC125" s="3583">
        <f>(DC123-DA123)*10000</f>
        <v>-122.02404388888851</v>
      </c>
      <c r="DD125" s="3583">
        <f>(DD123-DC123)*10000</f>
        <v>107.92713981041008</v>
      </c>
      <c r="DE125" s="3583">
        <f>(DE123-DD123)*10000</f>
        <v>-26.850970641065093</v>
      </c>
      <c r="DF125" s="3583">
        <f>(DF123-DE123)*10000</f>
        <v>-16.399079682971884</v>
      </c>
      <c r="DG125" s="3582"/>
      <c r="DH125" s="3583">
        <f>(DH123-DF123)*10000</f>
        <v>79.217909742750194</v>
      </c>
      <c r="DI125" s="3583">
        <f>(DI123-DH123)*10000</f>
        <v>-63.94328946416686</v>
      </c>
      <c r="DJ125" s="3583">
        <f>(DJ123-DI123)*10000</f>
        <v>140.57990645243908</v>
      </c>
      <c r="DK125" s="3583">
        <f>(DK123-DJ123)*10000</f>
        <v>-32.023192089004198</v>
      </c>
      <c r="DL125" s="3582"/>
      <c r="DM125" s="3583">
        <f>(DM123-DK123)*10000</f>
        <v>101.50768094799159</v>
      </c>
      <c r="DN125" s="3583">
        <f>(DN123-DM123)*10000</f>
        <v>-36.461609940110492</v>
      </c>
      <c r="DO125" s="3583">
        <f>(DO123-DN123)*10000</f>
        <v>-92.830738829862284</v>
      </c>
      <c r="DP125" s="3583">
        <f>(DP123-DO123)*10000</f>
        <v>-115.42075989048925</v>
      </c>
      <c r="DQ125" s="3582"/>
      <c r="DR125" s="3583">
        <f>(DR123-DP123)*10000</f>
        <v>-1.6214569131397378</v>
      </c>
      <c r="DS125" s="3583">
        <f>(DS123-DR123)*10000</f>
        <v>47.640687853270428</v>
      </c>
      <c r="DT125" s="3583">
        <f>(DT123-DS123)*10000</f>
        <v>-48.491946511919906</v>
      </c>
      <c r="DU125" s="3583">
        <f>(DU123-DT123)*10000</f>
        <v>61.606182996321451</v>
      </c>
      <c r="DV125" s="3582"/>
      <c r="DW125" s="3583">
        <f>(DW123-DU123)*10000</f>
        <v>-66.568141732142379</v>
      </c>
      <c r="DX125" s="3583">
        <f>(DX123-DW123)*10000</f>
        <v>34.046779881462612</v>
      </c>
      <c r="DY125" s="3583">
        <f>(DY123-DX123)*10000</f>
        <v>-8.1995286897874884</v>
      </c>
      <c r="DZ125" s="3583">
        <f>(DZ123-DY123)*10000</f>
        <v>179.19130855077236</v>
      </c>
      <c r="EA125" s="3582"/>
      <c r="EB125" s="3583">
        <f>(EB123-DZ123)*10000</f>
        <v>-159.94591742187038</v>
      </c>
      <c r="EC125" s="3583">
        <f>(EC123-EB123)*10000</f>
        <v>-86.521251628901567</v>
      </c>
      <c r="ED125" s="3583">
        <f>(ED123-EC123)*10000</f>
        <v>60.378174467740216</v>
      </c>
      <c r="EE125" s="3583">
        <f>(EE123-ED123)*10000</f>
        <v>98.592669483070082</v>
      </c>
      <c r="EF125" s="3582"/>
      <c r="EG125" s="3583">
        <f>(EG123-EE123)*10000</f>
        <v>-272.13688839861811</v>
      </c>
      <c r="EH125" s="3583">
        <f>(EH123-EG123)*10000</f>
        <v>-5.1036403099471297</v>
      </c>
      <c r="EI125" s="3583">
        <f>(EI123-EH123)*10000</f>
        <v>40.193868799136972</v>
      </c>
      <c r="EJ125" s="3583">
        <f>(EJ123-EI123)*10000</f>
        <v>56.9198187540728</v>
      </c>
      <c r="EK125" s="3582"/>
      <c r="EL125" s="3583">
        <f>(EL123-EJ123)*10000</f>
        <v>-76.990484645533542</v>
      </c>
      <c r="EM125" s="3583">
        <f>(EM123-EL123)*10000</f>
        <v>174.69800476655757</v>
      </c>
      <c r="EN125" s="3583">
        <f>(EN123-EM123)*10000</f>
        <v>-187.41420953966607</v>
      </c>
      <c r="EO125" s="3583">
        <f>(EO123-EN123)*10000</f>
        <v>60.017148736709672</v>
      </c>
      <c r="EP125" s="3582"/>
      <c r="EQ125" s="3583">
        <f>(EQ123-EO123)*10000</f>
        <v>-94.999999999999943</v>
      </c>
      <c r="ER125" s="3583">
        <f>(ER123-EQ123)*10000</f>
        <v>-20.000000000000018</v>
      </c>
      <c r="ES125" s="3583">
        <f>(ES123-ER123)*10000</f>
        <v>0</v>
      </c>
      <c r="ET125" s="3583">
        <f>(ET123-ES123)*10000</f>
        <v>64.999999999999986</v>
      </c>
      <c r="EU125" s="3582"/>
      <c r="EV125" s="3582"/>
      <c r="EW125" s="3582"/>
      <c r="EX125" s="3582"/>
      <c r="EY125" s="3582"/>
      <c r="EZ125" s="209"/>
      <c r="FA125" s="4287"/>
      <c r="FB125" s="4287"/>
      <c r="FC125" s="4287"/>
      <c r="FD125" s="4287"/>
      <c r="FE125" s="4287"/>
      <c r="FF125" s="4287"/>
      <c r="FG125" s="4287"/>
      <c r="FH125" s="4287"/>
      <c r="FI125" s="4287"/>
      <c r="FJ125" s="4287"/>
      <c r="FK125" s="4287"/>
      <c r="FL125" s="4287"/>
    </row>
    <row r="126" spans="1:168" s="285" customFormat="1" ht="11.25" customHeight="1" collapsed="1">
      <c r="A126" s="3769" t="s">
        <v>53</v>
      </c>
      <c r="B126" s="124"/>
      <c r="C126" s="124"/>
      <c r="D126" s="124"/>
      <c r="E126" s="124"/>
      <c r="F126" s="3574"/>
      <c r="G126" s="124"/>
      <c r="H126" s="124"/>
      <c r="I126" s="124"/>
      <c r="J126" s="124"/>
      <c r="K126" s="3574"/>
      <c r="L126" s="124"/>
      <c r="M126" s="124"/>
      <c r="N126" s="124"/>
      <c r="O126" s="124"/>
      <c r="P126" s="3574"/>
      <c r="Q126" s="124"/>
      <c r="R126" s="124"/>
      <c r="S126" s="124"/>
      <c r="T126" s="124"/>
      <c r="U126" s="3574"/>
      <c r="V126" s="124"/>
      <c r="W126" s="124"/>
      <c r="X126" s="124"/>
      <c r="Y126" s="124"/>
      <c r="Z126" s="3574"/>
      <c r="AA126" s="124"/>
      <c r="AB126" s="124"/>
      <c r="AC126" s="124"/>
      <c r="AD126" s="124"/>
      <c r="AE126" s="3574"/>
      <c r="AF126" s="124"/>
      <c r="AG126" s="124"/>
      <c r="AH126" s="124"/>
      <c r="AI126" s="124"/>
      <c r="AJ126" s="3574"/>
      <c r="AK126" s="124"/>
      <c r="AL126" s="124"/>
      <c r="AM126" s="124"/>
      <c r="AN126" s="124"/>
      <c r="AO126" s="3574"/>
      <c r="AP126" s="124"/>
      <c r="AQ126" s="124"/>
      <c r="AR126" s="124"/>
      <c r="AS126" s="124"/>
      <c r="AT126" s="3574"/>
      <c r="AU126" s="124"/>
      <c r="AV126" s="124"/>
      <c r="AW126" s="124"/>
      <c r="AX126" s="124"/>
      <c r="AY126" s="3574"/>
      <c r="AZ126" s="124"/>
      <c r="BA126" s="124"/>
      <c r="BB126" s="124"/>
      <c r="BC126" s="124"/>
      <c r="BD126" s="3574"/>
      <c r="BE126" s="3575"/>
      <c r="BF126" s="124"/>
      <c r="BG126" s="124"/>
      <c r="BH126" s="124"/>
      <c r="BI126" s="3574"/>
      <c r="BJ126" s="124"/>
      <c r="BK126" s="124"/>
      <c r="BL126" s="124"/>
      <c r="BM126" s="124"/>
      <c r="BN126" s="3574"/>
      <c r="BO126" s="124"/>
      <c r="BP126" s="124"/>
      <c r="BQ126" s="124"/>
      <c r="BR126" s="123"/>
      <c r="BS126" s="2901"/>
      <c r="BT126" s="2900"/>
      <c r="BU126" s="124"/>
      <c r="BV126" s="124"/>
      <c r="BW126" s="124"/>
      <c r="BX126" s="3574"/>
      <c r="BY126" s="124"/>
      <c r="BZ126" s="124"/>
      <c r="CA126" s="124"/>
      <c r="CB126" s="124"/>
      <c r="CC126" s="3574"/>
      <c r="CD126" s="124"/>
      <c r="CE126" s="124"/>
      <c r="CF126" s="124"/>
      <c r="CG126" s="124">
        <f>CG24/CG$9</f>
        <v>7.0420262966846822E-2</v>
      </c>
      <c r="CH126" s="3574"/>
      <c r="CI126" s="124">
        <f t="shared" ref="CI126:DN126" si="531">CI24/CI$9</f>
        <v>6.883820150968166E-2</v>
      </c>
      <c r="CJ126" s="124">
        <f t="shared" si="531"/>
        <v>6.9499289211814877E-2</v>
      </c>
      <c r="CK126" s="124">
        <f t="shared" si="531"/>
        <v>9.5256166982922205E-2</v>
      </c>
      <c r="CL126" s="124">
        <f t="shared" si="531"/>
        <v>8.2924808396050542E-2</v>
      </c>
      <c r="CM126" s="2958">
        <f t="shared" si="531"/>
        <v>7.9517751028493067E-2</v>
      </c>
      <c r="CN126" s="124">
        <f t="shared" si="531"/>
        <v>8.6465895205922516E-2</v>
      </c>
      <c r="CO126" s="124">
        <f t="shared" si="531"/>
        <v>7.8885017421602782E-2</v>
      </c>
      <c r="CP126" s="124">
        <f t="shared" si="531"/>
        <v>9.4777946919054862E-2</v>
      </c>
      <c r="CQ126" s="124">
        <f t="shared" si="531"/>
        <v>8.3130716684033809E-2</v>
      </c>
      <c r="CR126" s="2958">
        <f t="shared" si="531"/>
        <v>8.5792962437753514E-2</v>
      </c>
      <c r="CS126" s="124">
        <f t="shared" si="531"/>
        <v>9.0715890460865867E-2</v>
      </c>
      <c r="CT126" s="124">
        <f t="shared" si="531"/>
        <v>8.5763195435092726E-2</v>
      </c>
      <c r="CU126" s="124">
        <f t="shared" si="531"/>
        <v>0.10181181235973508</v>
      </c>
      <c r="CV126" s="127">
        <f t="shared" si="531"/>
        <v>8.7009803921568624E-2</v>
      </c>
      <c r="CW126" s="2958">
        <f t="shared" si="531"/>
        <v>9.1223342723771417E-2</v>
      </c>
      <c r="CX126" s="124">
        <f t="shared" si="531"/>
        <v>9.9845932110730076E-2</v>
      </c>
      <c r="CY126" s="127">
        <f t="shared" si="531"/>
        <v>9.5750274869735641E-2</v>
      </c>
      <c r="CZ126" s="124">
        <f t="shared" si="531"/>
        <v>8.1724292770543328E-2</v>
      </c>
      <c r="DA126" s="127">
        <f t="shared" si="531"/>
        <v>7.138716036022108E-2</v>
      </c>
      <c r="DB126" s="2958">
        <f t="shared" si="531"/>
        <v>8.6103853873496075E-2</v>
      </c>
      <c r="DC126" s="127">
        <f t="shared" si="531"/>
        <v>9.8841419261404773E-2</v>
      </c>
      <c r="DD126" s="127">
        <f t="shared" si="531"/>
        <v>9.1969356252620343E-2</v>
      </c>
      <c r="DE126" s="127">
        <f t="shared" si="531"/>
        <v>8.2112084836880483E-2</v>
      </c>
      <c r="DF126" s="127">
        <f t="shared" si="531"/>
        <v>7.0760050251256285E-2</v>
      </c>
      <c r="DG126" s="2958">
        <f t="shared" si="531"/>
        <v>8.4955446758649508E-2</v>
      </c>
      <c r="DH126" s="127">
        <f t="shared" si="531"/>
        <v>9.3931273109671296E-2</v>
      </c>
      <c r="DI126" s="127">
        <f t="shared" si="531"/>
        <v>8.6923610673058732E-2</v>
      </c>
      <c r="DJ126" s="127">
        <f t="shared" si="531"/>
        <v>7.9493471477475847E-2</v>
      </c>
      <c r="DK126" s="127">
        <f t="shared" si="531"/>
        <v>7.0394421674562196E-2</v>
      </c>
      <c r="DL126" s="2958">
        <f t="shared" si="531"/>
        <v>8.1916702082447945E-2</v>
      </c>
      <c r="DM126" s="127">
        <f t="shared" si="531"/>
        <v>9.4668763164921232E-2</v>
      </c>
      <c r="DN126" s="127">
        <f t="shared" si="531"/>
        <v>0.10701515678891245</v>
      </c>
      <c r="DO126" s="127">
        <f t="shared" ref="DO126:EM126" si="532">DO24/DO$9</f>
        <v>8.4063461993843236E-2</v>
      </c>
      <c r="DP126" s="127">
        <f t="shared" si="532"/>
        <v>6.9413335630599593E-2</v>
      </c>
      <c r="DQ126" s="2958">
        <f t="shared" si="532"/>
        <v>8.6751831397872445E-2</v>
      </c>
      <c r="DR126" s="127">
        <f t="shared" si="532"/>
        <v>8.2123591070567076E-2</v>
      </c>
      <c r="DS126" s="127">
        <f t="shared" si="532"/>
        <v>7.4640340719514822E-2</v>
      </c>
      <c r="DT126" s="127">
        <f t="shared" si="532"/>
        <v>7.2249160760910106E-2</v>
      </c>
      <c r="DU126" s="127">
        <f t="shared" si="532"/>
        <v>6.3879285275776271E-2</v>
      </c>
      <c r="DV126" s="2958">
        <f t="shared" si="532"/>
        <v>7.2504019880134482E-2</v>
      </c>
      <c r="DW126" s="127">
        <f t="shared" si="532"/>
        <v>8.0398422020313817E-2</v>
      </c>
      <c r="DX126" s="127">
        <f t="shared" si="532"/>
        <v>8.3207182753040662E-2</v>
      </c>
      <c r="DY126" s="127">
        <f t="shared" si="532"/>
        <v>8.6892746132085349E-2</v>
      </c>
      <c r="DZ126" s="127">
        <f t="shared" si="532"/>
        <v>8.0794639038068536E-2</v>
      </c>
      <c r="EA126" s="2958">
        <f t="shared" si="532"/>
        <v>8.2785690158670433E-2</v>
      </c>
      <c r="EB126" s="127">
        <f t="shared" si="532"/>
        <v>9.0999896669307342E-2</v>
      </c>
      <c r="EC126" s="127">
        <f t="shared" si="532"/>
        <v>9.3028501458101723E-2</v>
      </c>
      <c r="ED126" s="127">
        <f t="shared" si="532"/>
        <v>8.9662924856754769E-2</v>
      </c>
      <c r="EE126" s="127">
        <f t="shared" si="532"/>
        <v>7.8245119185885739E-2</v>
      </c>
      <c r="EF126" s="2958">
        <f t="shared" si="532"/>
        <v>8.7560621890935178E-2</v>
      </c>
      <c r="EG126" s="127">
        <f t="shared" si="532"/>
        <v>7.7877886763422249E-2</v>
      </c>
      <c r="EH126" s="127">
        <f t="shared" si="532"/>
        <v>8.219466050031532E-2</v>
      </c>
      <c r="EI126" s="127">
        <f t="shared" si="532"/>
        <v>7.8418221572388633E-2</v>
      </c>
      <c r="EJ126" s="127">
        <f t="shared" si="532"/>
        <v>7.1182661324904126E-2</v>
      </c>
      <c r="EK126" s="2958">
        <f t="shared" si="532"/>
        <v>7.7206405573363876E-2</v>
      </c>
      <c r="EL126" s="127">
        <f t="shared" si="532"/>
        <v>7.2117773187249948E-2</v>
      </c>
      <c r="EM126" s="127">
        <f t="shared" si="532"/>
        <v>7.3394270890691726E-2</v>
      </c>
      <c r="EN126" s="127">
        <f t="shared" ref="EN126" si="533">EN24/EN$9</f>
        <v>7.280210357836972E-2</v>
      </c>
      <c r="EO126" s="139">
        <v>6.8000000000000005E-2</v>
      </c>
      <c r="EP126" s="2958">
        <f>EP24/EP$9</f>
        <v>7.1441444073707644E-2</v>
      </c>
      <c r="EQ126" s="139">
        <v>7.0999999999999994E-2</v>
      </c>
      <c r="ER126" s="139">
        <v>7.3394270890691726E-2</v>
      </c>
      <c r="ES126" s="139">
        <v>7.280210357836972E-2</v>
      </c>
      <c r="ET126" s="139">
        <v>6.6000000000000003E-2</v>
      </c>
      <c r="EU126" s="2958">
        <f>EU24/EU$9</f>
        <v>7.0633240542624903E-2</v>
      </c>
      <c r="EV126" s="4136">
        <v>6.7000000000000004E-2</v>
      </c>
      <c r="EW126" s="4136">
        <v>6.4199999999999993E-2</v>
      </c>
      <c r="EX126" s="4136">
        <v>6.2E-2</v>
      </c>
      <c r="EY126" s="4136">
        <v>6.0100000000000001E-2</v>
      </c>
      <c r="EZ126" s="139"/>
      <c r="FA126" s="4286"/>
      <c r="FB126" s="4286"/>
      <c r="FC126" s="4286"/>
      <c r="FD126" s="4286"/>
      <c r="FE126" s="4286"/>
      <c r="FF126" s="4286"/>
      <c r="FG126" s="4286"/>
      <c r="FH126" s="4286"/>
      <c r="FI126" s="4286"/>
      <c r="FJ126" s="4286"/>
      <c r="FK126" s="4286"/>
      <c r="FL126" s="4286"/>
    </row>
    <row r="127" spans="1:168" s="259" customFormat="1" ht="11.25" hidden="1" customHeight="1" outlineLevel="1">
      <c r="A127" s="4128" t="s">
        <v>734</v>
      </c>
      <c r="B127" s="2008"/>
      <c r="C127" s="2008"/>
      <c r="D127" s="2008"/>
      <c r="E127" s="2008"/>
      <c r="F127" s="4129"/>
      <c r="G127" s="2008"/>
      <c r="H127" s="2008"/>
      <c r="I127" s="2008"/>
      <c r="J127" s="2008"/>
      <c r="K127" s="4129"/>
      <c r="L127" s="2008"/>
      <c r="M127" s="2008"/>
      <c r="N127" s="2008"/>
      <c r="O127" s="2008"/>
      <c r="P127" s="4130" t="s">
        <v>116</v>
      </c>
      <c r="Q127" s="3583" t="s">
        <v>116</v>
      </c>
      <c r="R127" s="3583" t="s">
        <v>116</v>
      </c>
      <c r="S127" s="3583" t="s">
        <v>116</v>
      </c>
      <c r="T127" s="3583" t="s">
        <v>116</v>
      </c>
      <c r="U127" s="4130">
        <f t="shared" ref="U127:BN127" si="534">(U126-P126)*10000</f>
        <v>0</v>
      </c>
      <c r="V127" s="3583">
        <f t="shared" si="534"/>
        <v>0</v>
      </c>
      <c r="W127" s="3583">
        <f t="shared" si="534"/>
        <v>0</v>
      </c>
      <c r="X127" s="3583">
        <f t="shared" si="534"/>
        <v>0</v>
      </c>
      <c r="Y127" s="3583">
        <f t="shared" si="534"/>
        <v>0</v>
      </c>
      <c r="Z127" s="4130">
        <f t="shared" si="534"/>
        <v>0</v>
      </c>
      <c r="AA127" s="3583">
        <f t="shared" si="534"/>
        <v>0</v>
      </c>
      <c r="AB127" s="3583">
        <f t="shared" si="534"/>
        <v>0</v>
      </c>
      <c r="AC127" s="3583">
        <f t="shared" si="534"/>
        <v>0</v>
      </c>
      <c r="AD127" s="3583">
        <f t="shared" si="534"/>
        <v>0</v>
      </c>
      <c r="AE127" s="4130">
        <f t="shared" si="534"/>
        <v>0</v>
      </c>
      <c r="AF127" s="3583">
        <f t="shared" si="534"/>
        <v>0</v>
      </c>
      <c r="AG127" s="3583">
        <f t="shared" si="534"/>
        <v>0</v>
      </c>
      <c r="AH127" s="3583">
        <f t="shared" si="534"/>
        <v>0</v>
      </c>
      <c r="AI127" s="3583">
        <f t="shared" si="534"/>
        <v>0</v>
      </c>
      <c r="AJ127" s="4130">
        <f t="shared" si="534"/>
        <v>0</v>
      </c>
      <c r="AK127" s="3583">
        <f t="shared" si="534"/>
        <v>0</v>
      </c>
      <c r="AL127" s="3583">
        <f t="shared" si="534"/>
        <v>0</v>
      </c>
      <c r="AM127" s="3583">
        <f t="shared" si="534"/>
        <v>0</v>
      </c>
      <c r="AN127" s="3583">
        <f t="shared" si="534"/>
        <v>0</v>
      </c>
      <c r="AO127" s="4130">
        <f t="shared" si="534"/>
        <v>0</v>
      </c>
      <c r="AP127" s="3583">
        <f t="shared" si="534"/>
        <v>0</v>
      </c>
      <c r="AQ127" s="3583">
        <f t="shared" si="534"/>
        <v>0</v>
      </c>
      <c r="AR127" s="3583">
        <f t="shared" si="534"/>
        <v>0</v>
      </c>
      <c r="AS127" s="3583">
        <f t="shared" si="534"/>
        <v>0</v>
      </c>
      <c r="AT127" s="4130">
        <f t="shared" si="534"/>
        <v>0</v>
      </c>
      <c r="AU127" s="3583">
        <f t="shared" si="534"/>
        <v>0</v>
      </c>
      <c r="AV127" s="3583">
        <f t="shared" si="534"/>
        <v>0</v>
      </c>
      <c r="AW127" s="3583">
        <f t="shared" si="534"/>
        <v>0</v>
      </c>
      <c r="AX127" s="3583">
        <f t="shared" si="534"/>
        <v>0</v>
      </c>
      <c r="AY127" s="4130">
        <f t="shared" si="534"/>
        <v>0</v>
      </c>
      <c r="AZ127" s="3583">
        <f t="shared" si="534"/>
        <v>0</v>
      </c>
      <c r="BA127" s="3583">
        <f t="shared" si="534"/>
        <v>0</v>
      </c>
      <c r="BB127" s="3583">
        <f t="shared" si="534"/>
        <v>0</v>
      </c>
      <c r="BC127" s="3583">
        <f t="shared" si="534"/>
        <v>0</v>
      </c>
      <c r="BD127" s="4130">
        <f t="shared" si="534"/>
        <v>0</v>
      </c>
      <c r="BE127" s="4131">
        <f t="shared" si="534"/>
        <v>0</v>
      </c>
      <c r="BF127" s="3583">
        <f t="shared" si="534"/>
        <v>0</v>
      </c>
      <c r="BG127" s="3583">
        <f t="shared" si="534"/>
        <v>0</v>
      </c>
      <c r="BH127" s="3583">
        <f t="shared" si="534"/>
        <v>0</v>
      </c>
      <c r="BI127" s="4130">
        <f t="shared" si="534"/>
        <v>0</v>
      </c>
      <c r="BJ127" s="3583">
        <f t="shared" si="534"/>
        <v>0</v>
      </c>
      <c r="BK127" s="3583">
        <f t="shared" si="534"/>
        <v>0</v>
      </c>
      <c r="BL127" s="3583">
        <f t="shared" si="534"/>
        <v>0</v>
      </c>
      <c r="BM127" s="3583">
        <f t="shared" si="534"/>
        <v>0</v>
      </c>
      <c r="BN127" s="4130">
        <f t="shared" si="534"/>
        <v>0</v>
      </c>
      <c r="BO127" s="3583">
        <v>-73.910139803692317</v>
      </c>
      <c r="BP127" s="3583">
        <v>-647.08175120074429</v>
      </c>
      <c r="BQ127" s="3583">
        <v>-1402.9798881989602</v>
      </c>
      <c r="BR127" s="3585">
        <v>-980.8960342866219</v>
      </c>
      <c r="BS127" s="4132">
        <v>-838.68155981038365</v>
      </c>
      <c r="BT127" s="3583">
        <f>(BT126-BJ126)*10000</f>
        <v>0</v>
      </c>
      <c r="BU127" s="3583">
        <f>(BU126-BK126)*10000</f>
        <v>0</v>
      </c>
      <c r="BV127" s="3583">
        <f>(BV126-BL126)*10000</f>
        <v>0</v>
      </c>
      <c r="BW127" s="3583">
        <f>(BW126-BM126)*10000</f>
        <v>0</v>
      </c>
      <c r="BX127" s="4130">
        <f>(BX126-BN126)*10000</f>
        <v>0</v>
      </c>
      <c r="BY127" s="3583">
        <v>-963.16614520714324</v>
      </c>
      <c r="BZ127" s="3583">
        <v>-355.43789780665304</v>
      </c>
      <c r="CA127" s="3583">
        <v>364.92085531369065</v>
      </c>
      <c r="CB127" s="3583">
        <v>-271.55670067847359</v>
      </c>
      <c r="CC127" s="4130">
        <v>-250.80202387558427</v>
      </c>
      <c r="CD127" s="3583">
        <f>(CD126-BT126)*10000</f>
        <v>0</v>
      </c>
      <c r="CE127" s="3583">
        <f>(CE126-BU126)*10000</f>
        <v>0</v>
      </c>
      <c r="CF127" s="3583">
        <f>(CF126-BV126)*10000</f>
        <v>0</v>
      </c>
      <c r="CG127" s="3583">
        <f>(CG126-BW126)*10000</f>
        <v>704.20262966846826</v>
      </c>
      <c r="CH127" s="4130">
        <f>(CH126-BX126)*10000</f>
        <v>0</v>
      </c>
      <c r="CI127" s="3583">
        <f t="shared" ref="CI127:DU127" si="535">(CI126-CD126)*10000</f>
        <v>688.38201509681664</v>
      </c>
      <c r="CJ127" s="3583">
        <f t="shared" si="535"/>
        <v>694.9928921181488</v>
      </c>
      <c r="CK127" s="3583">
        <f t="shared" si="535"/>
        <v>952.56166982922207</v>
      </c>
      <c r="CL127" s="3583">
        <f t="shared" si="535"/>
        <v>125.04545429203721</v>
      </c>
      <c r="CM127" s="4130">
        <f t="shared" si="535"/>
        <v>795.17751028493069</v>
      </c>
      <c r="CN127" s="3583">
        <f t="shared" si="535"/>
        <v>176.27693696240857</v>
      </c>
      <c r="CO127" s="3583">
        <f t="shared" si="535"/>
        <v>93.85728209787905</v>
      </c>
      <c r="CP127" s="3583">
        <f t="shared" si="535"/>
        <v>-4.7822006386734337</v>
      </c>
      <c r="CQ127" s="3583">
        <f t="shared" si="535"/>
        <v>2.059082879832669</v>
      </c>
      <c r="CR127" s="4130">
        <f t="shared" si="535"/>
        <v>62.752114092604479</v>
      </c>
      <c r="CS127" s="3583">
        <f t="shared" si="535"/>
        <v>42.499952549433509</v>
      </c>
      <c r="CT127" s="3583">
        <f t="shared" si="535"/>
        <v>68.781780134899435</v>
      </c>
      <c r="CU127" s="3583">
        <f t="shared" si="535"/>
        <v>70.338654406802149</v>
      </c>
      <c r="CV127" s="3583">
        <f t="shared" si="535"/>
        <v>38.790872375348144</v>
      </c>
      <c r="CW127" s="4130">
        <f t="shared" si="535"/>
        <v>54.303802860179026</v>
      </c>
      <c r="CX127" s="3583">
        <f t="shared" si="535"/>
        <v>91.300416498642093</v>
      </c>
      <c r="CY127" s="3583">
        <f t="shared" si="535"/>
        <v>99.87079434642915</v>
      </c>
      <c r="CZ127" s="3583">
        <f t="shared" si="535"/>
        <v>-200.87519589191749</v>
      </c>
      <c r="DA127" s="3583">
        <f t="shared" si="535"/>
        <v>-156.22643561347545</v>
      </c>
      <c r="DB127" s="4130">
        <f t="shared" si="535"/>
        <v>-51.194888502753415</v>
      </c>
      <c r="DC127" s="3583">
        <f t="shared" si="535"/>
        <v>-10.045128493253037</v>
      </c>
      <c r="DD127" s="3583">
        <f t="shared" si="535"/>
        <v>-37.809186171152973</v>
      </c>
      <c r="DE127" s="3583">
        <f t="shared" si="535"/>
        <v>3.8779206633715591</v>
      </c>
      <c r="DF127" s="3583">
        <f t="shared" si="535"/>
        <v>-6.2711010896479564</v>
      </c>
      <c r="DG127" s="4130">
        <f t="shared" si="535"/>
        <v>-11.484071148465668</v>
      </c>
      <c r="DH127" s="3583">
        <f t="shared" si="535"/>
        <v>-49.101461517334769</v>
      </c>
      <c r="DI127" s="3583">
        <f t="shared" si="535"/>
        <v>-50.457455795616113</v>
      </c>
      <c r="DJ127" s="3583">
        <f t="shared" si="535"/>
        <v>-26.186133594046368</v>
      </c>
      <c r="DK127" s="3583">
        <f t="shared" si="535"/>
        <v>-3.656285766940881</v>
      </c>
      <c r="DL127" s="4130">
        <f t="shared" si="535"/>
        <v>-30.387446762015628</v>
      </c>
      <c r="DM127" s="3583">
        <f t="shared" si="535"/>
        <v>7.3749005524993692</v>
      </c>
      <c r="DN127" s="3583">
        <f t="shared" si="535"/>
        <v>200.91546115853717</v>
      </c>
      <c r="DO127" s="3583">
        <f t="shared" si="535"/>
        <v>45.69990516367389</v>
      </c>
      <c r="DP127" s="3583">
        <f t="shared" si="535"/>
        <v>-9.810860439626035</v>
      </c>
      <c r="DQ127" s="4130">
        <f t="shared" si="535"/>
        <v>48.351293154244992</v>
      </c>
      <c r="DR127" s="3583">
        <f>(DR126-DM126)*10000</f>
        <v>-125.45172094354157</v>
      </c>
      <c r="DS127" s="3583">
        <f t="shared" si="535"/>
        <v>-323.74816069397627</v>
      </c>
      <c r="DT127" s="3583">
        <f t="shared" si="535"/>
        <v>-118.1430123293313</v>
      </c>
      <c r="DU127" s="3583">
        <f t="shared" si="535"/>
        <v>-55.340503548233222</v>
      </c>
      <c r="DV127" s="4130">
        <f t="shared" ref="DV127:EN127" si="536">(DV126-DQ126)*10000</f>
        <v>-142.47811517737964</v>
      </c>
      <c r="DW127" s="3583">
        <f t="shared" si="536"/>
        <v>-17.251690502532586</v>
      </c>
      <c r="DX127" s="3583">
        <f t="shared" si="536"/>
        <v>85.668420335258403</v>
      </c>
      <c r="DY127" s="3583">
        <f t="shared" si="536"/>
        <v>146.43585371175243</v>
      </c>
      <c r="DZ127" s="3583">
        <f t="shared" si="536"/>
        <v>169.15353762292264</v>
      </c>
      <c r="EA127" s="4130">
        <f t="shared" si="536"/>
        <v>102.81670278535951</v>
      </c>
      <c r="EB127" s="3583">
        <f t="shared" si="536"/>
        <v>106.01474648993525</v>
      </c>
      <c r="EC127" s="3583">
        <f t="shared" si="536"/>
        <v>98.2131870506106</v>
      </c>
      <c r="ED127" s="3583">
        <f t="shared" si="536"/>
        <v>27.701787246694199</v>
      </c>
      <c r="EE127" s="3583">
        <f t="shared" si="536"/>
        <v>-25.495198521827966</v>
      </c>
      <c r="EF127" s="4130">
        <f t="shared" ref="EF127:EK127" si="537">(EF126-EA126)*10000</f>
        <v>47.74931732264745</v>
      </c>
      <c r="EG127" s="3583">
        <f t="shared" si="536"/>
        <v>-131.22009905885093</v>
      </c>
      <c r="EH127" s="3583">
        <f t="shared" si="536"/>
        <v>-108.33840957786403</v>
      </c>
      <c r="EI127" s="3583">
        <f t="shared" si="536"/>
        <v>-112.44703284366136</v>
      </c>
      <c r="EJ127" s="3583">
        <f t="shared" si="536"/>
        <v>-70.62457860981614</v>
      </c>
      <c r="EK127" s="4130">
        <f t="shared" si="537"/>
        <v>-103.54216317571301</v>
      </c>
      <c r="EL127" s="3583">
        <f t="shared" si="536"/>
        <v>-57.601135761723015</v>
      </c>
      <c r="EM127" s="3583">
        <f t="shared" si="536"/>
        <v>-88.003896096235934</v>
      </c>
      <c r="EN127" s="3583">
        <f t="shared" si="536"/>
        <v>-56.161179940189129</v>
      </c>
      <c r="EO127" s="3583">
        <f t="shared" ref="EO127:EP127" si="538">(EO126-EJ126)*10000</f>
        <v>-31.826613249041209</v>
      </c>
      <c r="EP127" s="4130">
        <f t="shared" si="538"/>
        <v>-57.64961499656232</v>
      </c>
      <c r="EQ127" s="3583">
        <f t="shared" ref="EQ127" si="539">(EQ126-EL126)*10000</f>
        <v>-11.177731872499541</v>
      </c>
      <c r="ER127" s="3583">
        <f t="shared" ref="ER127" si="540">(ER126-EM126)*10000</f>
        <v>0</v>
      </c>
      <c r="ES127" s="3583">
        <f t="shared" ref="ES127" si="541">(ES126-EN126)*10000</f>
        <v>0</v>
      </c>
      <c r="ET127" s="3583">
        <f t="shared" ref="ET127:EU127" si="542">(ET126-EO126)*10000</f>
        <v>-20.000000000000018</v>
      </c>
      <c r="EU127" s="4130">
        <f t="shared" si="542"/>
        <v>-8.0820353108274077</v>
      </c>
      <c r="EV127" s="4130">
        <f>(EV126-EU126)*10000</f>
        <v>-36.332405426248989</v>
      </c>
      <c r="EW127" s="4130">
        <f>(EW126-EV126)*10000</f>
        <v>-28.000000000000107</v>
      </c>
      <c r="EX127" s="4130">
        <f>(EX126-EW126)*10000</f>
        <v>-21.999999999999936</v>
      </c>
      <c r="EY127" s="4130">
        <f>(EY126-EX126)*10000</f>
        <v>-18.999999999999989</v>
      </c>
      <c r="EZ127" s="226"/>
      <c r="FA127" s="4287"/>
      <c r="FB127" s="4287"/>
      <c r="FC127" s="4287"/>
      <c r="FD127" s="4287"/>
      <c r="FE127" s="4287"/>
      <c r="FF127" s="4287"/>
      <c r="FG127" s="4287"/>
      <c r="FH127" s="4287"/>
      <c r="FI127" s="4287"/>
      <c r="FJ127" s="4287"/>
      <c r="FK127" s="4287"/>
      <c r="FL127" s="4287"/>
    </row>
    <row r="128" spans="1:168" s="259" customFormat="1" ht="11.25" hidden="1" customHeight="1" outlineLevel="1">
      <c r="A128" s="3768" t="s">
        <v>735</v>
      </c>
      <c r="B128" s="2008"/>
      <c r="C128" s="2008"/>
      <c r="D128" s="2008"/>
      <c r="E128" s="2008"/>
      <c r="F128" s="2009"/>
      <c r="G128" s="2008"/>
      <c r="H128" s="2008"/>
      <c r="I128" s="2008"/>
      <c r="J128" s="2008"/>
      <c r="K128" s="2009"/>
      <c r="L128" s="2008"/>
      <c r="M128" s="2008"/>
      <c r="N128" s="2008"/>
      <c r="O128" s="2008"/>
      <c r="P128" s="3582" t="s">
        <v>116</v>
      </c>
      <c r="Q128" s="3583" t="s">
        <v>116</v>
      </c>
      <c r="R128" s="3583">
        <f>(R126-Q126)*10000</f>
        <v>0</v>
      </c>
      <c r="S128" s="3583">
        <f>(S126-R126)*10000</f>
        <v>0</v>
      </c>
      <c r="T128" s="3583">
        <f>(T126-S126)*10000</f>
        <v>0</v>
      </c>
      <c r="U128" s="3582" t="s">
        <v>116</v>
      </c>
      <c r="V128" s="3583">
        <f>(V126-T126)*10000</f>
        <v>0</v>
      </c>
      <c r="W128" s="3583">
        <f>(W126-V126)*10000</f>
        <v>0</v>
      </c>
      <c r="X128" s="3583">
        <f>(X126-W126)*10000</f>
        <v>0</v>
      </c>
      <c r="Y128" s="3583">
        <f>(Y126-X126)*10000</f>
        <v>0</v>
      </c>
      <c r="Z128" s="3582" t="s">
        <v>116</v>
      </c>
      <c r="AA128" s="3583">
        <f>(AA126-Y126)*10000</f>
        <v>0</v>
      </c>
      <c r="AB128" s="3583">
        <f>(AB126-AA126)*10000</f>
        <v>0</v>
      </c>
      <c r="AC128" s="3583">
        <f>(AC126-AB126)*10000</f>
        <v>0</v>
      </c>
      <c r="AD128" s="3583">
        <f>(AD126-AC126)*10000</f>
        <v>0</v>
      </c>
      <c r="AE128" s="3582" t="s">
        <v>116</v>
      </c>
      <c r="AF128" s="3583">
        <f>(AF126-AD126)*10000</f>
        <v>0</v>
      </c>
      <c r="AG128" s="3583">
        <f>(AG126-AF126)*10000</f>
        <v>0</v>
      </c>
      <c r="AH128" s="3583">
        <f>(AH126-AG126)*10000</f>
        <v>0</v>
      </c>
      <c r="AI128" s="3583">
        <f>(AI126-AH126)*10000</f>
        <v>0</v>
      </c>
      <c r="AJ128" s="3582" t="s">
        <v>116</v>
      </c>
      <c r="AK128" s="3583">
        <f>(AK126-AI126)*10000</f>
        <v>0</v>
      </c>
      <c r="AL128" s="3583">
        <f>(AL126-AK126)*10000</f>
        <v>0</v>
      </c>
      <c r="AM128" s="3583">
        <f>(AM126-AL126)*10000</f>
        <v>0</v>
      </c>
      <c r="AN128" s="3583">
        <f>(AN126-AM126)*10000</f>
        <v>0</v>
      </c>
      <c r="AO128" s="3582" t="s">
        <v>116</v>
      </c>
      <c r="AP128" s="3583">
        <f>(AP126-AN126)*10000</f>
        <v>0</v>
      </c>
      <c r="AQ128" s="3583">
        <f>(AQ126-AP126)*10000</f>
        <v>0</v>
      </c>
      <c r="AR128" s="3583">
        <f>(AR126-AQ126)*10000</f>
        <v>0</v>
      </c>
      <c r="AS128" s="3583">
        <f>(AS126-AR126)*10000</f>
        <v>0</v>
      </c>
      <c r="AT128" s="3582" t="s">
        <v>116</v>
      </c>
      <c r="AU128" s="3583">
        <f>(AU126-AS126)*10000</f>
        <v>0</v>
      </c>
      <c r="AV128" s="3583">
        <f>(AV126-AU126)*10000</f>
        <v>0</v>
      </c>
      <c r="AW128" s="3583">
        <f>(AW126-AV126)*10000</f>
        <v>0</v>
      </c>
      <c r="AX128" s="3583">
        <f>(AX126-AW126)*10000</f>
        <v>0</v>
      </c>
      <c r="AY128" s="3582" t="s">
        <v>116</v>
      </c>
      <c r="AZ128" s="3583">
        <f>(AZ126-AX126)*10000</f>
        <v>0</v>
      </c>
      <c r="BA128" s="3583">
        <f>(BA126-AZ126)*10000</f>
        <v>0</v>
      </c>
      <c r="BB128" s="3583">
        <f>(BB126-BA126)*10000</f>
        <v>0</v>
      </c>
      <c r="BC128" s="3583">
        <f>(BC126-BB126)*10000</f>
        <v>0</v>
      </c>
      <c r="BD128" s="3582" t="s">
        <v>116</v>
      </c>
      <c r="BE128" s="3584">
        <f>(BE126-BD126)*10000</f>
        <v>0</v>
      </c>
      <c r="BF128" s="3583">
        <f>(BF126-BE126)*10000</f>
        <v>0</v>
      </c>
      <c r="BG128" s="3583">
        <f>(BG126-BF126)*10000</f>
        <v>0</v>
      </c>
      <c r="BH128" s="3583">
        <f>(BH126-BG126)*10000</f>
        <v>0</v>
      </c>
      <c r="BI128" s="3582" t="s">
        <v>116</v>
      </c>
      <c r="BJ128" s="3583">
        <f>(BJ126-BI126)*10000</f>
        <v>0</v>
      </c>
      <c r="BK128" s="3583">
        <f>(BK126-BJ126)*10000</f>
        <v>0</v>
      </c>
      <c r="BL128" s="3583">
        <f>(BL126-BK126)*10000</f>
        <v>0</v>
      </c>
      <c r="BM128" s="3583">
        <f>(BM126-BL126)*10000</f>
        <v>0</v>
      </c>
      <c r="BN128" s="3582" t="s">
        <v>116</v>
      </c>
      <c r="BO128" s="3583">
        <v>-44.309034873266654</v>
      </c>
      <c r="BP128" s="3583">
        <v>-672.07408167944016</v>
      </c>
      <c r="BQ128" s="3583">
        <v>-721.12167931195404</v>
      </c>
      <c r="BR128" s="3585">
        <v>523.61981105103814</v>
      </c>
      <c r="BS128" s="3586" t="s">
        <v>116</v>
      </c>
      <c r="BT128" s="3583">
        <f>(BT126-BN126)*10000</f>
        <v>0</v>
      </c>
      <c r="BU128" s="3583">
        <f>(BU126-BT126)*10000</f>
        <v>0</v>
      </c>
      <c r="BV128" s="3583">
        <f>(BV126-BU126)*10000</f>
        <v>0</v>
      </c>
      <c r="BW128" s="3583">
        <f>(BW126-BV126)*10000</f>
        <v>0</v>
      </c>
      <c r="BX128" s="3582" t="s">
        <v>116</v>
      </c>
      <c r="BY128" s="3583">
        <v>-168.79362027002631</v>
      </c>
      <c r="BZ128" s="3583">
        <v>-64.345834278949908</v>
      </c>
      <c r="CA128" s="3583">
        <v>-0.76292619161033581</v>
      </c>
      <c r="CB128" s="3583">
        <v>-112.8577449411261</v>
      </c>
      <c r="CC128" s="3582" t="s">
        <v>116</v>
      </c>
      <c r="CD128" s="3583">
        <f>(CD126-BX126)*10000</f>
        <v>0</v>
      </c>
      <c r="CE128" s="3583">
        <f>(CE126-CD126)*10000</f>
        <v>0</v>
      </c>
      <c r="CF128" s="3583">
        <f>(CF126-CE126)*10000</f>
        <v>0</v>
      </c>
      <c r="CG128" s="3583">
        <f>(CG126-CF126)*10000</f>
        <v>704.20262966846826</v>
      </c>
      <c r="CH128" s="3582" t="s">
        <v>116</v>
      </c>
      <c r="CI128" s="3583">
        <f>(CI126-CH126)*10000</f>
        <v>688.38201509681664</v>
      </c>
      <c r="CJ128" s="3583">
        <f>(CJ126-CI126)*10000</f>
        <v>6.6108770213321737</v>
      </c>
      <c r="CK128" s="3583">
        <f>(CK126-CJ126)*10000</f>
        <v>257.56877771107327</v>
      </c>
      <c r="CL128" s="3583">
        <f>(CL126-CK126)*10000</f>
        <v>-123.31358586871663</v>
      </c>
      <c r="CM128" s="3582" t="s">
        <v>116</v>
      </c>
      <c r="CN128" s="3583">
        <f>(CN126-CM126)*10000</f>
        <v>69.481441774294495</v>
      </c>
      <c r="CO128" s="3583">
        <f>(CO126-CN126)*10000</f>
        <v>-75.808777843197333</v>
      </c>
      <c r="CP128" s="3583">
        <f>(CP126-CO126)*10000</f>
        <v>158.92929497452079</v>
      </c>
      <c r="CQ128" s="3583">
        <f>(CQ126-CP126)*10000</f>
        <v>-116.47230235021053</v>
      </c>
      <c r="CR128" s="3582" t="s">
        <v>116</v>
      </c>
      <c r="CS128" s="3583">
        <f>(CS126-CR126)*10000</f>
        <v>49.229280231123525</v>
      </c>
      <c r="CT128" s="3583">
        <f>(CT126-CS126)*10000</f>
        <v>-49.526950257731407</v>
      </c>
      <c r="CU128" s="3583">
        <f>(CU126-CT126)*10000</f>
        <v>160.48616924642351</v>
      </c>
      <c r="CV128" s="3583">
        <f>(CV126-CU126)*10000</f>
        <v>-148.02008438166453</v>
      </c>
      <c r="CW128" s="3582"/>
      <c r="CX128" s="3583">
        <f>(CX126-CV126)*10000</f>
        <v>128.36128189161454</v>
      </c>
      <c r="CY128" s="3583">
        <f>(CY126-CX126)*10000</f>
        <v>-40.95657240994435</v>
      </c>
      <c r="CZ128" s="3583">
        <f>(CZ126-CY126)*10000</f>
        <v>-140.25982099192314</v>
      </c>
      <c r="DA128" s="3583">
        <f>(DA126-CZ126)*10000</f>
        <v>-103.37132410322248</v>
      </c>
      <c r="DB128" s="3582"/>
      <c r="DC128" s="3583">
        <f>(DC126-DA126)*10000</f>
        <v>274.54258901183692</v>
      </c>
      <c r="DD128" s="3583">
        <f>(DD126-DC126)*10000</f>
        <v>-68.720630087844299</v>
      </c>
      <c r="DE128" s="3583">
        <f>(DE126-DD126)*10000</f>
        <v>-98.572714157398593</v>
      </c>
      <c r="DF128" s="3583">
        <f>(DF126-DE126)*10000</f>
        <v>-113.52034585624199</v>
      </c>
      <c r="DG128" s="3582"/>
      <c r="DH128" s="3583">
        <f>(DH126-DF126)*10000</f>
        <v>231.7122285841501</v>
      </c>
      <c r="DI128" s="3583">
        <f>(DI126-DH126)*10000</f>
        <v>-70.076624366125628</v>
      </c>
      <c r="DJ128" s="3583">
        <f>(DJ126-DI126)*10000</f>
        <v>-74.301391955828848</v>
      </c>
      <c r="DK128" s="3583">
        <f>(DK126-DJ126)*10000</f>
        <v>-90.990498029136504</v>
      </c>
      <c r="DL128" s="3582"/>
      <c r="DM128" s="3583">
        <f>(DM126-DK126)*10000</f>
        <v>242.74341490359035</v>
      </c>
      <c r="DN128" s="3583">
        <f>(DN126-DM126)*10000</f>
        <v>123.46393623991217</v>
      </c>
      <c r="DO128" s="3583">
        <f>(DO126-DN126)*10000</f>
        <v>-229.51694795069213</v>
      </c>
      <c r="DP128" s="3583">
        <f>(DP126-DO126)*10000</f>
        <v>-146.50126363243643</v>
      </c>
      <c r="DQ128" s="3582"/>
      <c r="DR128" s="3583">
        <f>(DR126-DP126)*10000</f>
        <v>127.10255439967483</v>
      </c>
      <c r="DS128" s="3583">
        <f>(DS126-DR126)*10000</f>
        <v>-74.832503510522542</v>
      </c>
      <c r="DT128" s="3583">
        <f>(DT126-DS126)*10000</f>
        <v>-23.911799586047167</v>
      </c>
      <c r="DU128" s="3583">
        <f>(DU126-DT126)*10000</f>
        <v>-83.69875485133835</v>
      </c>
      <c r="DV128" s="3582"/>
      <c r="DW128" s="3583">
        <f>(DW126-DU126)*10000</f>
        <v>165.19136744537548</v>
      </c>
      <c r="DX128" s="3583">
        <f>(DX126-DW126)*10000</f>
        <v>28.087607327268451</v>
      </c>
      <c r="DY128" s="3583">
        <f>(DY126-DX126)*10000</f>
        <v>36.855633790446873</v>
      </c>
      <c r="DZ128" s="3583">
        <f>(DZ126-DY126)*10000</f>
        <v>-60.981070940168138</v>
      </c>
      <c r="EA128" s="3582"/>
      <c r="EB128" s="3583">
        <f>(EB126-DZ126)*10000</f>
        <v>102.05257631238807</v>
      </c>
      <c r="EC128" s="3583">
        <f>(EC126-EB126)*10000</f>
        <v>20.286047887943802</v>
      </c>
      <c r="ED128" s="3583">
        <f>(ED126-EC126)*10000</f>
        <v>-33.655766013469531</v>
      </c>
      <c r="EE128" s="3583">
        <f>(EE126-ED126)*10000</f>
        <v>-114.17805670869031</v>
      </c>
      <c r="EF128" s="3582"/>
      <c r="EG128" s="3583">
        <f>(EG126-EE126)*10000</f>
        <v>-3.6723242246348988</v>
      </c>
      <c r="EH128" s="3583">
        <f>(EH126-EG126)*10000</f>
        <v>43.167737368930702</v>
      </c>
      <c r="EI128" s="3583">
        <f>(EI126-EH126)*10000</f>
        <v>-37.764389279266872</v>
      </c>
      <c r="EJ128" s="3583">
        <f>(EJ126-EI126)*10000</f>
        <v>-72.355602474845071</v>
      </c>
      <c r="EK128" s="3582"/>
      <c r="EL128" s="3583">
        <f>(EL126-EJ126)*10000</f>
        <v>9.3511186234582215</v>
      </c>
      <c r="EM128" s="3583">
        <f>(EM126-EL126)*10000</f>
        <v>12.764977034417784</v>
      </c>
      <c r="EN128" s="3583">
        <f>(EN126-EM126)*10000</f>
        <v>-5.9216731232200619</v>
      </c>
      <c r="EO128" s="3583">
        <f>(EO126-EN126)*10000</f>
        <v>-48.021035783697151</v>
      </c>
      <c r="EP128" s="3582"/>
      <c r="EQ128" s="3583">
        <f>(EQ126-EO126)*10000</f>
        <v>29.999999999999886</v>
      </c>
      <c r="ER128" s="3583">
        <f>(ER126-EQ126)*10000</f>
        <v>23.942708906917325</v>
      </c>
      <c r="ES128" s="3583">
        <f>(ES126-ER126)*10000</f>
        <v>-5.9216731232200619</v>
      </c>
      <c r="ET128" s="3583">
        <f>(ET126-ES126)*10000</f>
        <v>-68.021035783697172</v>
      </c>
      <c r="EU128" s="3582"/>
      <c r="EV128" s="3582"/>
      <c r="EW128" s="3582"/>
      <c r="EX128" s="3582"/>
      <c r="EY128" s="3582"/>
      <c r="EZ128" s="209"/>
      <c r="FA128" s="4287"/>
      <c r="FB128" s="4287"/>
      <c r="FC128" s="4287"/>
      <c r="FD128" s="4287"/>
      <c r="FE128" s="4287"/>
      <c r="FF128" s="4287"/>
      <c r="FG128" s="4287"/>
      <c r="FH128" s="4287"/>
      <c r="FI128" s="4287"/>
      <c r="FJ128" s="4287"/>
      <c r="FK128" s="4287"/>
      <c r="FL128" s="4287"/>
    </row>
    <row r="129" spans="1:168" s="285" customFormat="1" ht="11.25" customHeight="1" collapsed="1">
      <c r="A129" s="3767" t="s">
        <v>571</v>
      </c>
      <c r="B129" s="1808"/>
      <c r="C129" s="1808"/>
      <c r="D129" s="1808"/>
      <c r="E129" s="1808"/>
      <c r="F129" s="1809"/>
      <c r="G129" s="1808"/>
      <c r="H129" s="1808"/>
      <c r="I129" s="1808"/>
      <c r="J129" s="1808"/>
      <c r="K129" s="1809"/>
      <c r="L129" s="1808"/>
      <c r="M129" s="1808"/>
      <c r="N129" s="1808"/>
      <c r="O129" s="1808"/>
      <c r="P129" s="1809"/>
      <c r="Q129" s="1808"/>
      <c r="R129" s="1808"/>
      <c r="S129" s="1808"/>
      <c r="T129" s="1808"/>
      <c r="U129" s="1809"/>
      <c r="V129" s="1808"/>
      <c r="W129" s="1808"/>
      <c r="X129" s="1808"/>
      <c r="Y129" s="1808"/>
      <c r="Z129" s="1809"/>
      <c r="AA129" s="1808"/>
      <c r="AB129" s="1808"/>
      <c r="AC129" s="1810"/>
      <c r="AD129" s="1810"/>
      <c r="AE129" s="1809"/>
      <c r="AF129" s="1810"/>
      <c r="AG129" s="1810"/>
      <c r="AH129" s="1810"/>
      <c r="AI129" s="1810"/>
      <c r="AJ129" s="1809"/>
      <c r="AK129" s="1808"/>
      <c r="AL129" s="1808"/>
      <c r="AM129" s="1808"/>
      <c r="AN129" s="1808"/>
      <c r="AO129" s="1811"/>
      <c r="AP129" s="1810"/>
      <c r="AQ129" s="1810"/>
      <c r="AR129" s="1810"/>
      <c r="AS129" s="1810"/>
      <c r="AT129" s="1811"/>
      <c r="AU129" s="1810"/>
      <c r="AV129" s="1810"/>
      <c r="AW129" s="1810"/>
      <c r="AX129" s="1810"/>
      <c r="AY129" s="1811"/>
      <c r="AZ129" s="1810"/>
      <c r="BA129" s="1810"/>
      <c r="BB129" s="1810"/>
      <c r="BC129" s="1810"/>
      <c r="BD129" s="1811"/>
      <c r="BE129" s="1812"/>
      <c r="BF129" s="1810"/>
      <c r="BG129" s="1810"/>
      <c r="BH129" s="1810"/>
      <c r="BI129" s="1811"/>
      <c r="BJ129" s="1810"/>
      <c r="BK129" s="1810"/>
      <c r="BL129" s="1810"/>
      <c r="BM129" s="1810"/>
      <c r="BN129" s="1811"/>
      <c r="BO129" s="1810"/>
      <c r="BP129" s="1810"/>
      <c r="BQ129" s="1810"/>
      <c r="BR129" s="1813"/>
      <c r="BS129" s="1814"/>
      <c r="BT129" s="1810"/>
      <c r="BU129" s="1810"/>
      <c r="BV129" s="1810"/>
      <c r="BW129" s="1810"/>
      <c r="BX129" s="1811"/>
      <c r="BY129" s="1808"/>
      <c r="BZ129" s="1808"/>
      <c r="CA129" s="1808"/>
      <c r="CB129" s="1808"/>
      <c r="CC129" s="1811"/>
      <c r="CD129" s="1808"/>
      <c r="CE129" s="1808"/>
      <c r="CF129" s="1808"/>
      <c r="CG129" s="1808"/>
      <c r="CH129" s="1811"/>
      <c r="CI129" s="1810"/>
      <c r="CJ129" s="1810"/>
      <c r="CK129" s="1808"/>
      <c r="CL129" s="1808"/>
      <c r="CM129" s="1815"/>
      <c r="CN129" s="1810"/>
      <c r="CO129" s="1816"/>
      <c r="CP129" s="1816"/>
      <c r="CQ129" s="1816"/>
      <c r="CR129" s="1815"/>
      <c r="CS129" s="1816"/>
      <c r="CT129" s="1816"/>
      <c r="CU129" s="1816"/>
      <c r="CV129" s="1816"/>
      <c r="CW129" s="1815"/>
      <c r="CX129" s="1816"/>
      <c r="CY129" s="1816"/>
      <c r="CZ129" s="1816"/>
      <c r="DA129" s="1816"/>
      <c r="DB129" s="1815"/>
      <c r="DC129" s="1816"/>
      <c r="DD129" s="1816"/>
      <c r="DE129" s="1816"/>
      <c r="DF129" s="1816"/>
      <c r="DG129" s="1815"/>
      <c r="DH129" s="3974"/>
      <c r="DI129" s="3974"/>
      <c r="DJ129" s="3974"/>
      <c r="DK129" s="3974"/>
      <c r="DL129" s="4788"/>
      <c r="DM129" s="4789"/>
      <c r="DN129" s="4789"/>
      <c r="DO129" s="4789"/>
      <c r="DP129" s="4789"/>
      <c r="DQ129" s="4788"/>
      <c r="DR129" s="4789"/>
      <c r="DS129" s="4789"/>
      <c r="DT129" s="4789"/>
      <c r="DU129" s="4789"/>
      <c r="DV129" s="4788"/>
      <c r="DW129" s="4789"/>
      <c r="DX129" s="4789"/>
      <c r="DY129" s="4789"/>
      <c r="DZ129" s="4789"/>
      <c r="EA129" s="4788"/>
      <c r="EB129" s="4789"/>
      <c r="EC129" s="4789"/>
      <c r="ED129" s="4789"/>
      <c r="EE129" s="4789"/>
      <c r="EF129" s="4788"/>
      <c r="EG129" s="4789"/>
      <c r="EH129" s="4789"/>
      <c r="EI129" s="4789"/>
      <c r="EJ129" s="4789"/>
      <c r="EK129" s="4788"/>
      <c r="EL129" s="4789"/>
      <c r="EM129" s="4789"/>
      <c r="EN129" s="4789"/>
      <c r="EO129" s="4789"/>
      <c r="EP129" s="4788"/>
      <c r="EQ129" s="4789"/>
      <c r="ER129" s="4789"/>
      <c r="ES129" s="4789"/>
      <c r="ET129" s="4789"/>
      <c r="EU129" s="4788"/>
      <c r="EV129" s="4788"/>
      <c r="EW129" s="4788"/>
      <c r="EX129" s="4788"/>
      <c r="EY129" s="4788"/>
      <c r="EZ129" s="139"/>
      <c r="FA129" s="4286"/>
      <c r="FB129" s="4286"/>
      <c r="FC129" s="4286"/>
      <c r="FD129" s="4286"/>
      <c r="FE129" s="4286"/>
      <c r="FF129" s="4286"/>
      <c r="FG129" s="4286"/>
      <c r="FH129" s="4286"/>
      <c r="FI129" s="4286"/>
      <c r="FJ129" s="4286"/>
      <c r="FK129" s="4286"/>
      <c r="FL129" s="4286"/>
    </row>
    <row r="130" spans="1:168" ht="11.25" customHeight="1">
      <c r="A130" s="3765" t="s">
        <v>176</v>
      </c>
      <c r="B130" s="124"/>
      <c r="C130" s="124"/>
      <c r="D130" s="124"/>
      <c r="E130" s="124"/>
      <c r="F130" s="997"/>
      <c r="G130" s="124"/>
      <c r="H130" s="124"/>
      <c r="I130" s="124"/>
      <c r="J130" s="124"/>
      <c r="K130" s="997"/>
      <c r="L130" s="124"/>
      <c r="M130" s="124"/>
      <c r="N130" s="124"/>
      <c r="O130" s="124"/>
      <c r="P130" s="997"/>
      <c r="Q130" s="124"/>
      <c r="R130" s="124"/>
      <c r="S130" s="124"/>
      <c r="T130" s="124"/>
      <c r="U130" s="997"/>
      <c r="V130" s="124"/>
      <c r="W130" s="124"/>
      <c r="X130" s="124"/>
      <c r="Y130" s="124"/>
      <c r="Z130" s="997"/>
      <c r="AA130" s="124"/>
      <c r="AB130" s="124"/>
      <c r="AC130" s="124"/>
      <c r="AD130" s="124"/>
      <c r="AE130" s="997"/>
      <c r="AF130" s="124"/>
      <c r="AG130" s="124"/>
      <c r="AH130" s="124"/>
      <c r="AI130" s="124"/>
      <c r="AJ130" s="997"/>
      <c r="AK130" s="124"/>
      <c r="AL130" s="124"/>
      <c r="AM130" s="124"/>
      <c r="AN130" s="124"/>
      <c r="AO130" s="997"/>
      <c r="AP130" s="124"/>
      <c r="AQ130" s="124"/>
      <c r="AR130" s="124"/>
      <c r="AS130" s="124"/>
      <c r="AT130" s="997"/>
      <c r="AU130" s="124"/>
      <c r="AV130" s="124"/>
      <c r="AW130" s="124"/>
      <c r="AX130" s="124"/>
      <c r="AY130" s="997"/>
      <c r="AZ130" s="124"/>
      <c r="BA130" s="124"/>
      <c r="BB130" s="124"/>
      <c r="BC130" s="124"/>
      <c r="BD130" s="997"/>
      <c r="BE130" s="1688"/>
      <c r="BF130" s="124"/>
      <c r="BG130" s="124"/>
      <c r="BH130" s="124"/>
      <c r="BI130" s="997"/>
      <c r="BJ130" s="124"/>
      <c r="BK130" s="124"/>
      <c r="BL130" s="124"/>
      <c r="BM130" s="124"/>
      <c r="BN130" s="997"/>
      <c r="BO130" s="124"/>
      <c r="BP130" s="124"/>
      <c r="BQ130" s="124"/>
      <c r="BR130" s="123"/>
      <c r="BS130" s="1761"/>
      <c r="BT130" s="124"/>
      <c r="BU130" s="124"/>
      <c r="BV130" s="124"/>
      <c r="BW130" s="124"/>
      <c r="BX130" s="997"/>
      <c r="BY130" s="124"/>
      <c r="BZ130" s="124"/>
      <c r="CA130" s="124"/>
      <c r="CB130" s="124"/>
      <c r="CC130" s="997"/>
      <c r="CD130" s="124"/>
      <c r="CE130" s="124"/>
      <c r="CF130" s="124"/>
      <c r="CG130" s="124">
        <f>CG8/CG$7</f>
        <v>0.2107340676131661</v>
      </c>
      <c r="CH130" s="997"/>
      <c r="CI130" s="124">
        <f t="shared" ref="CI130:DN130" si="543">CI8/CI$7</f>
        <v>0.20959792477302205</v>
      </c>
      <c r="CJ130" s="124">
        <f t="shared" si="543"/>
        <v>0.20639298025697272</v>
      </c>
      <c r="CK130" s="124">
        <f t="shared" si="543"/>
        <v>0.20262664165103189</v>
      </c>
      <c r="CL130" s="124">
        <f t="shared" si="543"/>
        <v>0.19996685632215655</v>
      </c>
      <c r="CM130" s="997">
        <f t="shared" si="543"/>
        <v>0.20449690156209754</v>
      </c>
      <c r="CN130" s="124">
        <f t="shared" si="543"/>
        <v>0.19382315447908216</v>
      </c>
      <c r="CO130" s="124">
        <f t="shared" si="543"/>
        <v>0.19050036667230777</v>
      </c>
      <c r="CP130" s="124">
        <f t="shared" si="543"/>
        <v>0.19095046854082998</v>
      </c>
      <c r="CQ130" s="124">
        <f t="shared" si="543"/>
        <v>0.19011674246331287</v>
      </c>
      <c r="CR130" s="997">
        <f t="shared" si="543"/>
        <v>0.19126805264772168</v>
      </c>
      <c r="CS130" s="124">
        <f t="shared" si="543"/>
        <v>0.18699708742656859</v>
      </c>
      <c r="CT130" s="124">
        <f t="shared" si="543"/>
        <v>0.18488372093023256</v>
      </c>
      <c r="CU130" s="124">
        <f t="shared" si="543"/>
        <v>0.18627232639971494</v>
      </c>
      <c r="CV130" s="124">
        <f t="shared" si="543"/>
        <v>0.1860036832412523</v>
      </c>
      <c r="CW130" s="997">
        <f t="shared" si="543"/>
        <v>0.18602667493796526</v>
      </c>
      <c r="CX130" s="124">
        <f t="shared" si="543"/>
        <v>0.18703030303030302</v>
      </c>
      <c r="CY130" s="124">
        <f t="shared" si="543"/>
        <v>0.19573241061130334</v>
      </c>
      <c r="CZ130" s="124">
        <f t="shared" si="543"/>
        <v>0.19811320754716982</v>
      </c>
      <c r="DA130" s="124">
        <f t="shared" si="543"/>
        <v>0.19954830925347275</v>
      </c>
      <c r="DB130" s="997">
        <f t="shared" si="543"/>
        <v>0.19549862432907852</v>
      </c>
      <c r="DC130" s="124">
        <f t="shared" si="543"/>
        <v>0.20188788287420537</v>
      </c>
      <c r="DD130" s="124">
        <f t="shared" si="543"/>
        <v>0.19658878647763114</v>
      </c>
      <c r="DE130" s="124">
        <f t="shared" si="543"/>
        <v>0.19508002371072911</v>
      </c>
      <c r="DF130" s="124">
        <f t="shared" si="543"/>
        <v>0.18932681535797943</v>
      </c>
      <c r="DG130" s="997">
        <f t="shared" si="543"/>
        <v>0.19533836674730848</v>
      </c>
      <c r="DH130" s="124">
        <f t="shared" si="543"/>
        <v>0.18877789702523459</v>
      </c>
      <c r="DI130" s="124">
        <f t="shared" si="543"/>
        <v>0.18585661462612982</v>
      </c>
      <c r="DJ130" s="124">
        <f t="shared" si="543"/>
        <v>0.18494283809476778</v>
      </c>
      <c r="DK130" s="124">
        <f t="shared" si="543"/>
        <v>0.18450352685838306</v>
      </c>
      <c r="DL130" s="997">
        <f t="shared" si="543"/>
        <v>0.18589866363518415</v>
      </c>
      <c r="DM130" s="124">
        <f t="shared" si="543"/>
        <v>0.18105396146650793</v>
      </c>
      <c r="DN130" s="124">
        <f t="shared" si="543"/>
        <v>0.17479175914562498</v>
      </c>
      <c r="DO130" s="124">
        <f t="shared" ref="DO130:EX130" si="544">DO8/DO$7</f>
        <v>0.17685660450912871</v>
      </c>
      <c r="DP130" s="124">
        <f t="shared" si="544"/>
        <v>0.18394319659741995</v>
      </c>
      <c r="DQ130" s="997">
        <f t="shared" si="544"/>
        <v>0.17957891161307643</v>
      </c>
      <c r="DR130" s="124">
        <f t="shared" si="544"/>
        <v>0.17557941931518242</v>
      </c>
      <c r="DS130" s="124">
        <f t="shared" si="544"/>
        <v>0.17661603102779574</v>
      </c>
      <c r="DT130" s="124">
        <f t="shared" si="544"/>
        <v>0.17657176203200345</v>
      </c>
      <c r="DU130" s="124">
        <f t="shared" si="544"/>
        <v>0.17825423166279455</v>
      </c>
      <c r="DV130" s="997">
        <f t="shared" si="544"/>
        <v>0.17686124275628112</v>
      </c>
      <c r="DW130" s="124">
        <f t="shared" si="544"/>
        <v>0.1762950111011454</v>
      </c>
      <c r="DX130" s="124">
        <f t="shared" si="544"/>
        <v>0.17527444930759847</v>
      </c>
      <c r="DY130" s="124">
        <f t="shared" si="544"/>
        <v>0.17116308689862791</v>
      </c>
      <c r="DZ130" s="124">
        <f t="shared" si="544"/>
        <v>0.16995844729644435</v>
      </c>
      <c r="EA130" s="997">
        <f t="shared" si="544"/>
        <v>0.17308617007735932</v>
      </c>
      <c r="EB130" s="124">
        <f t="shared" si="544"/>
        <v>0.16795391691862382</v>
      </c>
      <c r="EC130" s="124">
        <f t="shared" si="544"/>
        <v>0.16804728968956087</v>
      </c>
      <c r="ED130" s="124">
        <f t="shared" si="544"/>
        <v>0.16483903354934609</v>
      </c>
      <c r="EE130" s="124">
        <f t="shared" si="544"/>
        <v>0.16204379562043797</v>
      </c>
      <c r="EF130" s="997">
        <f t="shared" si="544"/>
        <v>0.16553999102129516</v>
      </c>
      <c r="EG130" s="124">
        <f t="shared" si="544"/>
        <v>0.16074200076981338</v>
      </c>
      <c r="EH130" s="124">
        <f t="shared" si="544"/>
        <v>0.15797361402846286</v>
      </c>
      <c r="EI130" s="124">
        <f t="shared" si="544"/>
        <v>0.15542438935967734</v>
      </c>
      <c r="EJ130" s="124">
        <f t="shared" si="544"/>
        <v>0.15391472908395443</v>
      </c>
      <c r="EK130" s="997">
        <f t="shared" si="544"/>
        <v>0.15684907633321715</v>
      </c>
      <c r="EL130" s="124">
        <f t="shared" si="544"/>
        <v>0.15235942106079747</v>
      </c>
      <c r="EM130" s="124">
        <f t="shared" si="544"/>
        <v>0.1524971999834073</v>
      </c>
      <c r="EN130" s="124">
        <f t="shared" ref="EN130" si="545">EN8/EN$7</f>
        <v>0.14535008695992027</v>
      </c>
      <c r="EO130" s="124">
        <f t="shared" si="544"/>
        <v>0.14484479430526295</v>
      </c>
      <c r="EP130" s="997">
        <f t="shared" si="544"/>
        <v>0.14850256336084847</v>
      </c>
      <c r="EQ130" s="124">
        <f t="shared" ref="EQ130:EU130" si="546">EQ8/EQ$7</f>
        <v>0.14526078838823572</v>
      </c>
      <c r="ER130" s="124">
        <f t="shared" si="546"/>
        <v>0.14113847877135324</v>
      </c>
      <c r="ES130" s="124">
        <f t="shared" si="546"/>
        <v>0.13599849839610892</v>
      </c>
      <c r="ET130" s="124">
        <f t="shared" si="546"/>
        <v>0.13458889330841414</v>
      </c>
      <c r="EU130" s="997">
        <f t="shared" si="546"/>
        <v>0.13894472032770361</v>
      </c>
      <c r="EV130" s="997">
        <f t="shared" si="544"/>
        <v>0.1322634294663238</v>
      </c>
      <c r="EW130" s="997">
        <f t="shared" si="544"/>
        <v>0.12692203571036204</v>
      </c>
      <c r="EX130" s="997">
        <f t="shared" si="544"/>
        <v>0.12209760886358897</v>
      </c>
      <c r="EY130" s="997">
        <f t="shared" ref="EY130" si="547">EY8/EY$7</f>
        <v>0.11776487297618506</v>
      </c>
      <c r="EZ130" s="127"/>
      <c r="FA130" s="2660"/>
      <c r="FB130" s="2660"/>
      <c r="FC130" s="2660"/>
      <c r="FD130" s="2660"/>
      <c r="FE130" s="2660"/>
      <c r="FF130" s="2660"/>
      <c r="FG130" s="2660"/>
      <c r="FH130" s="2660"/>
      <c r="FI130" s="2660"/>
      <c r="FJ130" s="2660"/>
      <c r="FK130" s="2660"/>
      <c r="FL130" s="2660"/>
    </row>
    <row r="131" spans="1:168" s="259" customFormat="1" ht="11.25" hidden="1" customHeight="1" outlineLevel="1">
      <c r="A131" s="3768" t="s">
        <v>734</v>
      </c>
      <c r="B131" s="2008"/>
      <c r="C131" s="2008"/>
      <c r="D131" s="2008"/>
      <c r="E131" s="2008"/>
      <c r="F131" s="2009"/>
      <c r="G131" s="2008"/>
      <c r="H131" s="2008"/>
      <c r="I131" s="2008"/>
      <c r="J131" s="2008"/>
      <c r="K131" s="2009"/>
      <c r="L131" s="2008"/>
      <c r="M131" s="2008"/>
      <c r="N131" s="2008"/>
      <c r="O131" s="2008"/>
      <c r="P131" s="3582" t="s">
        <v>116</v>
      </c>
      <c r="Q131" s="3583" t="s">
        <v>116</v>
      </c>
      <c r="R131" s="3583" t="s">
        <v>116</v>
      </c>
      <c r="S131" s="3583" t="s">
        <v>116</v>
      </c>
      <c r="T131" s="3583" t="s">
        <v>116</v>
      </c>
      <c r="U131" s="3582">
        <f t="shared" ref="U131:BN131" si="548">(U130-P130)*10000</f>
        <v>0</v>
      </c>
      <c r="V131" s="3583">
        <f t="shared" si="548"/>
        <v>0</v>
      </c>
      <c r="W131" s="3583">
        <f t="shared" si="548"/>
        <v>0</v>
      </c>
      <c r="X131" s="3583">
        <f t="shared" si="548"/>
        <v>0</v>
      </c>
      <c r="Y131" s="3583">
        <f t="shared" si="548"/>
        <v>0</v>
      </c>
      <c r="Z131" s="3582">
        <f t="shared" si="548"/>
        <v>0</v>
      </c>
      <c r="AA131" s="3583">
        <f t="shared" si="548"/>
        <v>0</v>
      </c>
      <c r="AB131" s="3583">
        <f t="shared" si="548"/>
        <v>0</v>
      </c>
      <c r="AC131" s="3583">
        <f t="shared" si="548"/>
        <v>0</v>
      </c>
      <c r="AD131" s="3583">
        <f t="shared" si="548"/>
        <v>0</v>
      </c>
      <c r="AE131" s="3582">
        <f t="shared" si="548"/>
        <v>0</v>
      </c>
      <c r="AF131" s="3583">
        <f t="shared" si="548"/>
        <v>0</v>
      </c>
      <c r="AG131" s="3583">
        <f t="shared" si="548"/>
        <v>0</v>
      </c>
      <c r="AH131" s="3583">
        <f t="shared" si="548"/>
        <v>0</v>
      </c>
      <c r="AI131" s="3583">
        <f t="shared" si="548"/>
        <v>0</v>
      </c>
      <c r="AJ131" s="3582">
        <f t="shared" si="548"/>
        <v>0</v>
      </c>
      <c r="AK131" s="3583">
        <f t="shared" si="548"/>
        <v>0</v>
      </c>
      <c r="AL131" s="3583">
        <f t="shared" si="548"/>
        <v>0</v>
      </c>
      <c r="AM131" s="3583">
        <f t="shared" si="548"/>
        <v>0</v>
      </c>
      <c r="AN131" s="3583">
        <f t="shared" si="548"/>
        <v>0</v>
      </c>
      <c r="AO131" s="3582">
        <f t="shared" si="548"/>
        <v>0</v>
      </c>
      <c r="AP131" s="3583">
        <f t="shared" si="548"/>
        <v>0</v>
      </c>
      <c r="AQ131" s="3583">
        <f t="shared" si="548"/>
        <v>0</v>
      </c>
      <c r="AR131" s="3583">
        <f t="shared" si="548"/>
        <v>0</v>
      </c>
      <c r="AS131" s="3583">
        <f t="shared" si="548"/>
        <v>0</v>
      </c>
      <c r="AT131" s="3582">
        <f t="shared" si="548"/>
        <v>0</v>
      </c>
      <c r="AU131" s="3583">
        <f t="shared" si="548"/>
        <v>0</v>
      </c>
      <c r="AV131" s="3583">
        <f t="shared" si="548"/>
        <v>0</v>
      </c>
      <c r="AW131" s="3583">
        <f t="shared" si="548"/>
        <v>0</v>
      </c>
      <c r="AX131" s="3583">
        <f t="shared" si="548"/>
        <v>0</v>
      </c>
      <c r="AY131" s="3582">
        <f t="shared" si="548"/>
        <v>0</v>
      </c>
      <c r="AZ131" s="3583">
        <f t="shared" si="548"/>
        <v>0</v>
      </c>
      <c r="BA131" s="3583">
        <f t="shared" si="548"/>
        <v>0</v>
      </c>
      <c r="BB131" s="3583">
        <f t="shared" si="548"/>
        <v>0</v>
      </c>
      <c r="BC131" s="3583">
        <f t="shared" si="548"/>
        <v>0</v>
      </c>
      <c r="BD131" s="3582">
        <f t="shared" si="548"/>
        <v>0</v>
      </c>
      <c r="BE131" s="3584">
        <f t="shared" si="548"/>
        <v>0</v>
      </c>
      <c r="BF131" s="3583">
        <f t="shared" si="548"/>
        <v>0</v>
      </c>
      <c r="BG131" s="3583">
        <f t="shared" si="548"/>
        <v>0</v>
      </c>
      <c r="BH131" s="3583">
        <f t="shared" si="548"/>
        <v>0</v>
      </c>
      <c r="BI131" s="3582">
        <f t="shared" si="548"/>
        <v>0</v>
      </c>
      <c r="BJ131" s="3583">
        <f t="shared" si="548"/>
        <v>0</v>
      </c>
      <c r="BK131" s="3583">
        <f t="shared" si="548"/>
        <v>0</v>
      </c>
      <c r="BL131" s="3583">
        <f t="shared" si="548"/>
        <v>0</v>
      </c>
      <c r="BM131" s="3583">
        <f t="shared" si="548"/>
        <v>0</v>
      </c>
      <c r="BN131" s="3582">
        <f t="shared" si="548"/>
        <v>0</v>
      </c>
      <c r="BO131" s="3583">
        <v>-73.910139803692317</v>
      </c>
      <c r="BP131" s="3583">
        <v>-647.08175120074429</v>
      </c>
      <c r="BQ131" s="3583">
        <v>-1402.9798881989602</v>
      </c>
      <c r="BR131" s="3585">
        <v>-980.8960342866219</v>
      </c>
      <c r="BS131" s="3586">
        <v>-838.68155981038365</v>
      </c>
      <c r="BT131" s="3583">
        <f>(BT130-BJ130)*10000</f>
        <v>0</v>
      </c>
      <c r="BU131" s="3583">
        <f>(BU130-BK130)*10000</f>
        <v>0</v>
      </c>
      <c r="BV131" s="3583">
        <f>(BV130-BL130)*10000</f>
        <v>0</v>
      </c>
      <c r="BW131" s="3583">
        <f>(BW130-BM130)*10000</f>
        <v>0</v>
      </c>
      <c r="BX131" s="3582">
        <f>(BX130-BN130)*10000</f>
        <v>0</v>
      </c>
      <c r="BY131" s="3583">
        <v>-963.16614520714324</v>
      </c>
      <c r="BZ131" s="3583">
        <v>-355.43789780665304</v>
      </c>
      <c r="CA131" s="3583">
        <v>364.92085531369065</v>
      </c>
      <c r="CB131" s="3583">
        <v>-271.55670067847359</v>
      </c>
      <c r="CC131" s="3582">
        <v>-250.80202387558427</v>
      </c>
      <c r="CD131" s="3583">
        <f>(CD130-BT130)*10000</f>
        <v>0</v>
      </c>
      <c r="CE131" s="3583">
        <f>(CE130-BU130)*10000</f>
        <v>0</v>
      </c>
      <c r="CF131" s="3583">
        <f>(CF130-BV130)*10000</f>
        <v>0</v>
      </c>
      <c r="CG131" s="3583">
        <f>(CG130-BW130)*10000</f>
        <v>2107.340676131661</v>
      </c>
      <c r="CH131" s="3582">
        <f>(CH130-BX130)*10000</f>
        <v>0</v>
      </c>
      <c r="CI131" s="3583">
        <f t="shared" ref="CI131:DG131" si="549">(CI130-CD130)*10000</f>
        <v>2095.9792477302203</v>
      </c>
      <c r="CJ131" s="3583">
        <f t="shared" si="549"/>
        <v>2063.9298025697271</v>
      </c>
      <c r="CK131" s="3583">
        <f t="shared" si="549"/>
        <v>2026.266416510319</v>
      </c>
      <c r="CL131" s="3583">
        <f t="shared" si="549"/>
        <v>-107.67211291009548</v>
      </c>
      <c r="CM131" s="3582">
        <f t="shared" si="549"/>
        <v>2044.9690156209754</v>
      </c>
      <c r="CN131" s="3583">
        <f t="shared" si="549"/>
        <v>-157.74770293939895</v>
      </c>
      <c r="CO131" s="3583">
        <f t="shared" si="549"/>
        <v>-158.92613584664954</v>
      </c>
      <c r="CP131" s="3583">
        <f t="shared" si="549"/>
        <v>-116.76173110201916</v>
      </c>
      <c r="CQ131" s="3583">
        <f t="shared" si="549"/>
        <v>-98.501138588436845</v>
      </c>
      <c r="CR131" s="3582">
        <f t="shared" si="549"/>
        <v>-132.28848914375868</v>
      </c>
      <c r="CS131" s="3583">
        <f t="shared" si="549"/>
        <v>-68.26067052513568</v>
      </c>
      <c r="CT131" s="3583">
        <f t="shared" si="549"/>
        <v>-56.166457420752103</v>
      </c>
      <c r="CU131" s="3583">
        <f t="shared" si="549"/>
        <v>-46.781421411150326</v>
      </c>
      <c r="CV131" s="3583">
        <f t="shared" si="549"/>
        <v>-41.130592220605664</v>
      </c>
      <c r="CW131" s="3582">
        <f t="shared" si="549"/>
        <v>-52.413777097564122</v>
      </c>
      <c r="CX131" s="3583">
        <f t="shared" si="549"/>
        <v>0.33215603734426669</v>
      </c>
      <c r="CY131" s="3583">
        <f t="shared" si="549"/>
        <v>108.48689681070778</v>
      </c>
      <c r="CZ131" s="3583">
        <f t="shared" si="549"/>
        <v>118.4088114745488</v>
      </c>
      <c r="DA131" s="3583">
        <f t="shared" si="549"/>
        <v>135.44626012220451</v>
      </c>
      <c r="DB131" s="3582">
        <f t="shared" si="549"/>
        <v>94.719493911132602</v>
      </c>
      <c r="DC131" s="3583">
        <f t="shared" si="549"/>
        <v>148.57579843902346</v>
      </c>
      <c r="DD131" s="3583">
        <f t="shared" si="549"/>
        <v>8.563758663278076</v>
      </c>
      <c r="DE131" s="3583">
        <f t="shared" si="549"/>
        <v>-30.331838364407172</v>
      </c>
      <c r="DF131" s="3583">
        <f t="shared" si="549"/>
        <v>-102.21493895493316</v>
      </c>
      <c r="DG131" s="3582">
        <f t="shared" si="549"/>
        <v>-1.6025758177004579</v>
      </c>
      <c r="DH131" s="3583">
        <f t="shared" ref="DH131:DQ131" si="550">(DH130-DC130)*10000</f>
        <v>-131.09985848970774</v>
      </c>
      <c r="DI131" s="3583">
        <f t="shared" si="550"/>
        <v>-107.32171851501326</v>
      </c>
      <c r="DJ131" s="3583">
        <f t="shared" si="550"/>
        <v>-101.3718561596133</v>
      </c>
      <c r="DK131" s="3583">
        <f t="shared" si="550"/>
        <v>-48.23288499596373</v>
      </c>
      <c r="DL131" s="3582">
        <f t="shared" si="550"/>
        <v>-94.397031121243316</v>
      </c>
      <c r="DM131" s="3583">
        <f t="shared" si="550"/>
        <v>-77.23935558726663</v>
      </c>
      <c r="DN131" s="3583">
        <f t="shared" si="550"/>
        <v>-110.64855480504843</v>
      </c>
      <c r="DO131" s="3583">
        <f t="shared" si="550"/>
        <v>-80.862335856390629</v>
      </c>
      <c r="DP131" s="3583">
        <f t="shared" si="550"/>
        <v>-5.6033026096311005</v>
      </c>
      <c r="DQ131" s="3582">
        <f t="shared" si="550"/>
        <v>-63.197520221077163</v>
      </c>
      <c r="DR131" s="3583">
        <f t="shared" ref="DR131:EN131" si="551">(DR130-DM130)*10000</f>
        <v>-54.745421513255067</v>
      </c>
      <c r="DS131" s="3583">
        <f t="shared" si="551"/>
        <v>18.242718821707694</v>
      </c>
      <c r="DT131" s="3583">
        <f t="shared" si="551"/>
        <v>-2.8484247712526334</v>
      </c>
      <c r="DU131" s="3583">
        <f t="shared" si="551"/>
        <v>-56.889649346253954</v>
      </c>
      <c r="DV131" s="3582">
        <f t="shared" si="551"/>
        <v>-27.176688567953079</v>
      </c>
      <c r="DW131" s="3583">
        <f t="shared" si="551"/>
        <v>7.1559178596297679</v>
      </c>
      <c r="DX131" s="3583">
        <f t="shared" si="551"/>
        <v>-13.415817201972713</v>
      </c>
      <c r="DY131" s="3583">
        <f t="shared" si="551"/>
        <v>-54.086751333755345</v>
      </c>
      <c r="DZ131" s="3583">
        <f t="shared" si="551"/>
        <v>-82.957843663502004</v>
      </c>
      <c r="EA131" s="3582">
        <f t="shared" si="551"/>
        <v>-37.750726789217978</v>
      </c>
      <c r="EB131" s="3583">
        <f t="shared" si="551"/>
        <v>-83.410941825215744</v>
      </c>
      <c r="EC131" s="3583">
        <f t="shared" si="551"/>
        <v>-72.271596180376037</v>
      </c>
      <c r="ED131" s="3583">
        <f t="shared" si="551"/>
        <v>-63.240533492818216</v>
      </c>
      <c r="EE131" s="3583">
        <f t="shared" si="551"/>
        <v>-79.146516760063847</v>
      </c>
      <c r="EF131" s="3582">
        <f t="shared" ref="EF131:EK131" si="552">(EF130-EA130)*10000</f>
        <v>-75.461790560641674</v>
      </c>
      <c r="EG131" s="3583">
        <f t="shared" si="551"/>
        <v>-72.119161488104481</v>
      </c>
      <c r="EH131" s="3583">
        <f t="shared" si="551"/>
        <v>-100.73675661098014</v>
      </c>
      <c r="EI131" s="3583">
        <f t="shared" si="551"/>
        <v>-94.14644189668752</v>
      </c>
      <c r="EJ131" s="3583">
        <f t="shared" si="551"/>
        <v>-81.290665364835419</v>
      </c>
      <c r="EK131" s="3582">
        <f t="shared" si="552"/>
        <v>-86.909146880780057</v>
      </c>
      <c r="EL131" s="3583">
        <f t="shared" si="551"/>
        <v>-83.825797090159028</v>
      </c>
      <c r="EM131" s="3583">
        <f t="shared" si="551"/>
        <v>-54.764140450555551</v>
      </c>
      <c r="EN131" s="3583">
        <f t="shared" si="551"/>
        <v>-100.74302399757067</v>
      </c>
      <c r="EO131" s="3583">
        <f t="shared" ref="EO131:EP131" si="553">(EO130-EJ130)*10000</f>
        <v>-90.699347786914743</v>
      </c>
      <c r="EP131" s="3582">
        <f t="shared" si="553"/>
        <v>-83.465129723686857</v>
      </c>
      <c r="EQ131" s="3583">
        <f t="shared" ref="EQ131" si="554">(EQ130-EL130)*10000</f>
        <v>-70.986326725617502</v>
      </c>
      <c r="ER131" s="3583">
        <f t="shared" ref="ER131" si="555">(ER130-EM130)*10000</f>
        <v>-113.58721212054057</v>
      </c>
      <c r="ES131" s="3583">
        <f t="shared" ref="ES131" si="556">(ES130-EN130)*10000</f>
        <v>-93.515885638113531</v>
      </c>
      <c r="ET131" s="3583">
        <f t="shared" ref="ET131:EU131" si="557">(ET130-EO130)*10000</f>
        <v>-102.5590099684881</v>
      </c>
      <c r="EU131" s="3582">
        <f t="shared" si="557"/>
        <v>-95.578430331448587</v>
      </c>
      <c r="EV131" s="3582">
        <f>(EV130-EU130)*10000</f>
        <v>-66.812908613798072</v>
      </c>
      <c r="EW131" s="3582">
        <f>(EW130-EV130)*10000</f>
        <v>-53.413937559617651</v>
      </c>
      <c r="EX131" s="3582">
        <f>(EX130-EW130)*10000</f>
        <v>-48.244268467730613</v>
      </c>
      <c r="EY131" s="3582">
        <f>(EY130-EX130)*10000</f>
        <v>-43.327358874039184</v>
      </c>
      <c r="EZ131" s="226"/>
      <c r="FA131" s="4287"/>
      <c r="FB131" s="4287"/>
      <c r="FC131" s="4287"/>
      <c r="FD131" s="4287"/>
      <c r="FE131" s="4287"/>
      <c r="FF131" s="4287"/>
      <c r="FG131" s="4287"/>
      <c r="FH131" s="4287"/>
      <c r="FI131" s="4287"/>
      <c r="FJ131" s="4287"/>
      <c r="FK131" s="4287"/>
      <c r="FL131" s="4287"/>
    </row>
    <row r="132" spans="1:168" s="259" customFormat="1" ht="11.25" hidden="1" customHeight="1" outlineLevel="1">
      <c r="A132" s="3768" t="s">
        <v>735</v>
      </c>
      <c r="B132" s="2008"/>
      <c r="C132" s="2008"/>
      <c r="D132" s="2008"/>
      <c r="E132" s="2008"/>
      <c r="F132" s="2009"/>
      <c r="G132" s="2008"/>
      <c r="H132" s="2008"/>
      <c r="I132" s="2008"/>
      <c r="J132" s="2008"/>
      <c r="K132" s="2009"/>
      <c r="L132" s="2008"/>
      <c r="M132" s="2008"/>
      <c r="N132" s="2008"/>
      <c r="O132" s="2008"/>
      <c r="P132" s="3582" t="s">
        <v>116</v>
      </c>
      <c r="Q132" s="3583" t="s">
        <v>116</v>
      </c>
      <c r="R132" s="3583">
        <f>(R130-Q130)*10000</f>
        <v>0</v>
      </c>
      <c r="S132" s="3583">
        <f>(S130-R130)*10000</f>
        <v>0</v>
      </c>
      <c r="T132" s="3583">
        <f>(T130-S130)*10000</f>
        <v>0</v>
      </c>
      <c r="U132" s="3582" t="s">
        <v>116</v>
      </c>
      <c r="V132" s="3583">
        <f>(V130-T130)*10000</f>
        <v>0</v>
      </c>
      <c r="W132" s="3583">
        <f>(W130-V130)*10000</f>
        <v>0</v>
      </c>
      <c r="X132" s="3583">
        <f>(X130-W130)*10000</f>
        <v>0</v>
      </c>
      <c r="Y132" s="3583">
        <f>(Y130-X130)*10000</f>
        <v>0</v>
      </c>
      <c r="Z132" s="3582" t="s">
        <v>116</v>
      </c>
      <c r="AA132" s="3583">
        <f>(AA130-Y130)*10000</f>
        <v>0</v>
      </c>
      <c r="AB132" s="3583">
        <f>(AB130-AA130)*10000</f>
        <v>0</v>
      </c>
      <c r="AC132" s="3583">
        <f>(AC130-AB130)*10000</f>
        <v>0</v>
      </c>
      <c r="AD132" s="3583">
        <f>(AD130-AC130)*10000</f>
        <v>0</v>
      </c>
      <c r="AE132" s="3582" t="s">
        <v>116</v>
      </c>
      <c r="AF132" s="3583">
        <f>(AF130-AD130)*10000</f>
        <v>0</v>
      </c>
      <c r="AG132" s="3583">
        <f>(AG130-AF130)*10000</f>
        <v>0</v>
      </c>
      <c r="AH132" s="3583">
        <f>(AH130-AG130)*10000</f>
        <v>0</v>
      </c>
      <c r="AI132" s="3583">
        <f>(AI130-AH130)*10000</f>
        <v>0</v>
      </c>
      <c r="AJ132" s="3582" t="s">
        <v>116</v>
      </c>
      <c r="AK132" s="3583">
        <f>(AK130-AI130)*10000</f>
        <v>0</v>
      </c>
      <c r="AL132" s="3583">
        <f>(AL130-AK130)*10000</f>
        <v>0</v>
      </c>
      <c r="AM132" s="3583">
        <f>(AM130-AL130)*10000</f>
        <v>0</v>
      </c>
      <c r="AN132" s="3583">
        <f>(AN130-AM130)*10000</f>
        <v>0</v>
      </c>
      <c r="AO132" s="3582" t="s">
        <v>116</v>
      </c>
      <c r="AP132" s="3583">
        <f>(AP130-AN130)*10000</f>
        <v>0</v>
      </c>
      <c r="AQ132" s="3583">
        <f>(AQ130-AP130)*10000</f>
        <v>0</v>
      </c>
      <c r="AR132" s="3583">
        <f>(AR130-AQ130)*10000</f>
        <v>0</v>
      </c>
      <c r="AS132" s="3583">
        <f>(AS130-AR130)*10000</f>
        <v>0</v>
      </c>
      <c r="AT132" s="3582" t="s">
        <v>116</v>
      </c>
      <c r="AU132" s="3583">
        <f>(AU130-AS130)*10000</f>
        <v>0</v>
      </c>
      <c r="AV132" s="3583">
        <f>(AV130-AU130)*10000</f>
        <v>0</v>
      </c>
      <c r="AW132" s="3583">
        <f>(AW130-AV130)*10000</f>
        <v>0</v>
      </c>
      <c r="AX132" s="3583">
        <f>(AX130-AW130)*10000</f>
        <v>0</v>
      </c>
      <c r="AY132" s="3582" t="s">
        <v>116</v>
      </c>
      <c r="AZ132" s="3583">
        <f>(AZ130-AX130)*10000</f>
        <v>0</v>
      </c>
      <c r="BA132" s="3583">
        <f>(BA130-AZ130)*10000</f>
        <v>0</v>
      </c>
      <c r="BB132" s="3583">
        <f>(BB130-BA130)*10000</f>
        <v>0</v>
      </c>
      <c r="BC132" s="3583">
        <f>(BC130-BB130)*10000</f>
        <v>0</v>
      </c>
      <c r="BD132" s="3582" t="s">
        <v>116</v>
      </c>
      <c r="BE132" s="3584">
        <f>(BE130-BD130)*10000</f>
        <v>0</v>
      </c>
      <c r="BF132" s="3583">
        <f>(BF130-BE130)*10000</f>
        <v>0</v>
      </c>
      <c r="BG132" s="3583">
        <f>(BG130-BF130)*10000</f>
        <v>0</v>
      </c>
      <c r="BH132" s="3583">
        <f>(BH130-BG130)*10000</f>
        <v>0</v>
      </c>
      <c r="BI132" s="3582" t="s">
        <v>116</v>
      </c>
      <c r="BJ132" s="3583">
        <f>(BJ130-BI130)*10000</f>
        <v>0</v>
      </c>
      <c r="BK132" s="3583">
        <f>(BK130-BJ130)*10000</f>
        <v>0</v>
      </c>
      <c r="BL132" s="3583">
        <f>(BL130-BK130)*10000</f>
        <v>0</v>
      </c>
      <c r="BM132" s="3583">
        <f>(BM130-BL130)*10000</f>
        <v>0</v>
      </c>
      <c r="BN132" s="3582" t="s">
        <v>116</v>
      </c>
      <c r="BO132" s="3583">
        <v>-44.309034873266654</v>
      </c>
      <c r="BP132" s="3583">
        <v>-672.07408167944016</v>
      </c>
      <c r="BQ132" s="3583">
        <v>-721.12167931195404</v>
      </c>
      <c r="BR132" s="3585">
        <v>523.61981105103814</v>
      </c>
      <c r="BS132" s="3586" t="s">
        <v>116</v>
      </c>
      <c r="BT132" s="3583">
        <f>(BT130-BN130)*10000</f>
        <v>0</v>
      </c>
      <c r="BU132" s="3583">
        <f>(BU130-BT130)*10000</f>
        <v>0</v>
      </c>
      <c r="BV132" s="3583">
        <f>(BV130-BU130)*10000</f>
        <v>0</v>
      </c>
      <c r="BW132" s="3583">
        <f>(BW130-BV130)*10000</f>
        <v>0</v>
      </c>
      <c r="BX132" s="3582" t="s">
        <v>116</v>
      </c>
      <c r="BY132" s="3583">
        <v>-168.79362027002631</v>
      </c>
      <c r="BZ132" s="3583">
        <v>-64.345834278949908</v>
      </c>
      <c r="CA132" s="3583">
        <v>-0.76292619161033581</v>
      </c>
      <c r="CB132" s="3583">
        <v>-112.8577449411261</v>
      </c>
      <c r="CC132" s="3582" t="s">
        <v>116</v>
      </c>
      <c r="CD132" s="3583">
        <f>(CD130-BX130)*10000</f>
        <v>0</v>
      </c>
      <c r="CE132" s="3583">
        <f>(CE130-CD130)*10000</f>
        <v>0</v>
      </c>
      <c r="CF132" s="3583">
        <f>(CF130-CE130)*10000</f>
        <v>0</v>
      </c>
      <c r="CG132" s="3583">
        <f>(CG130-CF130)*10000</f>
        <v>2107.340676131661</v>
      </c>
      <c r="CH132" s="3582" t="s">
        <v>116</v>
      </c>
      <c r="CI132" s="3583">
        <f>(CI130-CH130)*10000</f>
        <v>2095.9792477302203</v>
      </c>
      <c r="CJ132" s="3583">
        <f>(CJ130-CI130)*10000</f>
        <v>-32.049445160493292</v>
      </c>
      <c r="CK132" s="3583">
        <f>(CK130-CJ130)*10000</f>
        <v>-37.663386059408332</v>
      </c>
      <c r="CL132" s="3583">
        <f>(CL130-CK130)*10000</f>
        <v>-26.597853288753413</v>
      </c>
      <c r="CM132" s="3582" t="s">
        <v>116</v>
      </c>
      <c r="CN132" s="3583">
        <f>(CN130-CM130)*10000</f>
        <v>-106.73747083015384</v>
      </c>
      <c r="CO132" s="3583">
        <f>(CO130-CN130)*10000</f>
        <v>-33.227878067743909</v>
      </c>
      <c r="CP132" s="3583">
        <f>(CP130-CO130)*10000</f>
        <v>4.5010186852220695</v>
      </c>
      <c r="CQ132" s="3583">
        <f>(CQ130-CP130)*10000</f>
        <v>-8.3372607751711065</v>
      </c>
      <c r="CR132" s="3582" t="s">
        <v>116</v>
      </c>
      <c r="CS132" s="3583">
        <f>(CS130-CR130)*10000</f>
        <v>-42.709652211530837</v>
      </c>
      <c r="CT132" s="3583">
        <f>(CT130-CS130)*10000</f>
        <v>-21.133664963360332</v>
      </c>
      <c r="CU132" s="3583">
        <f>(CU130-CT130)*10000</f>
        <v>13.886054694823846</v>
      </c>
      <c r="CV132" s="3583">
        <f>(CV130-CU130)*10000</f>
        <v>-2.6864315846264475</v>
      </c>
      <c r="CW132" s="3582"/>
      <c r="CX132" s="3583">
        <f>(CX130-CV130)*10000</f>
        <v>10.2661978905072</v>
      </c>
      <c r="CY132" s="3583">
        <f>(CY130-CX130)*10000</f>
        <v>87.021075810003182</v>
      </c>
      <c r="CZ132" s="3583">
        <f>(CZ130-CY130)*10000</f>
        <v>23.80796935866486</v>
      </c>
      <c r="DA132" s="3583">
        <f>(DA130-CZ130)*10000</f>
        <v>14.351017063029269</v>
      </c>
      <c r="DB132" s="3582"/>
      <c r="DC132" s="3583">
        <f>(DC130-DA130)*10000</f>
        <v>23.395736207326156</v>
      </c>
      <c r="DD132" s="3583">
        <f>(DD130-DC130)*10000</f>
        <v>-52.99096396574221</v>
      </c>
      <c r="DE132" s="3583">
        <f>(DE130-DD130)*10000</f>
        <v>-15.087627669020387</v>
      </c>
      <c r="DF132" s="3583">
        <f>(DF130-DE130)*10000</f>
        <v>-57.532083527496724</v>
      </c>
      <c r="DG132" s="3582"/>
      <c r="DH132" s="3583">
        <f>(DH130-DF130)*10000</f>
        <v>-5.4891833274484103</v>
      </c>
      <c r="DI132" s="3583">
        <f>(DI130-DH130)*10000</f>
        <v>-29.212823991047742</v>
      </c>
      <c r="DJ132" s="3583">
        <f>(DJ130-DI130)*10000</f>
        <v>-9.1377653136204273</v>
      </c>
      <c r="DK132" s="3583">
        <f>(DK130-DJ130)*10000</f>
        <v>-4.3931123638471519</v>
      </c>
      <c r="DL132" s="3582"/>
      <c r="DM132" s="3583">
        <f>(DM130-DK130)*10000</f>
        <v>-34.495653918751316</v>
      </c>
      <c r="DN132" s="3583">
        <f>(DN130-DM130)*10000</f>
        <v>-62.622023208829539</v>
      </c>
      <c r="DO132" s="3583">
        <f>(DO130-DN130)*10000</f>
        <v>20.648453635037367</v>
      </c>
      <c r="DP132" s="3583">
        <f>(DP130-DO130)*10000</f>
        <v>70.865920882912377</v>
      </c>
      <c r="DQ132" s="3582"/>
      <c r="DR132" s="3583">
        <f>(DR130-DP130)*10000</f>
        <v>-83.637772822375283</v>
      </c>
      <c r="DS132" s="3583">
        <f>(DS130-DR130)*10000</f>
        <v>10.366117126133222</v>
      </c>
      <c r="DT132" s="3583">
        <f>(DT130-DS130)*10000</f>
        <v>-0.44268995792295929</v>
      </c>
      <c r="DU132" s="3583">
        <f>(DU130-DT130)*10000</f>
        <v>16.824696307911058</v>
      </c>
      <c r="DV132" s="3582"/>
      <c r="DW132" s="3583">
        <f>(DW130-DU130)*10000</f>
        <v>-19.592205616491555</v>
      </c>
      <c r="DX132" s="3583">
        <f>(DX130-DW130)*10000</f>
        <v>-10.205617935469258</v>
      </c>
      <c r="DY132" s="3583">
        <f>(DY130-DX130)*10000</f>
        <v>-41.113624089705588</v>
      </c>
      <c r="DZ132" s="3583">
        <f>(DZ130-DY130)*10000</f>
        <v>-12.046396021835603</v>
      </c>
      <c r="EA132" s="3582"/>
      <c r="EB132" s="3583">
        <f>(EB130-DZ130)*10000</f>
        <v>-20.045303778205291</v>
      </c>
      <c r="EC132" s="3583">
        <f>(EC130-EB130)*10000</f>
        <v>0.93372770937044658</v>
      </c>
      <c r="ED132" s="3583">
        <f>(ED130-EC130)*10000</f>
        <v>-32.082561402147768</v>
      </c>
      <c r="EE132" s="3583">
        <f>(EE130-ED130)*10000</f>
        <v>-27.952379289081229</v>
      </c>
      <c r="EF132" s="3582"/>
      <c r="EG132" s="3583">
        <f>(EG130-EE130)*10000</f>
        <v>-13.017948506245936</v>
      </c>
      <c r="EH132" s="3583">
        <f>(EH130-EG130)*10000</f>
        <v>-27.683867413505205</v>
      </c>
      <c r="EI132" s="3583">
        <f>(EI130-EH130)*10000</f>
        <v>-25.492246687855157</v>
      </c>
      <c r="EJ132" s="3583">
        <f>(EJ130-EI130)*10000</f>
        <v>-15.096602757229128</v>
      </c>
      <c r="EK132" s="3582"/>
      <c r="EL132" s="3583">
        <f>(EL130-EJ130)*10000</f>
        <v>-15.553080231569538</v>
      </c>
      <c r="EM132" s="3583">
        <f>(EM130-EL130)*10000</f>
        <v>1.3777892260982694</v>
      </c>
      <c r="EN132" s="3583">
        <f>(EN130-EM130)*10000</f>
        <v>-71.471130234870287</v>
      </c>
      <c r="EO132" s="3583">
        <f>(EO130-EN130)*10000</f>
        <v>-5.0529265465731887</v>
      </c>
      <c r="EP132" s="3582"/>
      <c r="EQ132" s="3583">
        <f>(EQ130-EO130)*10000</f>
        <v>4.1599408297277041</v>
      </c>
      <c r="ER132" s="3583">
        <f>(ER130-EQ130)*10000</f>
        <v>-41.223096168824803</v>
      </c>
      <c r="ES132" s="3583">
        <f>(ES130-ER130)*10000</f>
        <v>-51.399803752443241</v>
      </c>
      <c r="ET132" s="3583">
        <f>(ET130-ES130)*10000</f>
        <v>-14.096050876947764</v>
      </c>
      <c r="EU132" s="3582"/>
      <c r="EV132" s="3582"/>
      <c r="EW132" s="3582"/>
      <c r="EX132" s="3582"/>
      <c r="EY132" s="3582"/>
      <c r="EZ132" s="209"/>
      <c r="FA132" s="4287"/>
      <c r="FB132" s="4287"/>
      <c r="FC132" s="4287"/>
      <c r="FD132" s="4287"/>
      <c r="FE132" s="4287"/>
      <c r="FF132" s="4287"/>
      <c r="FG132" s="4287"/>
      <c r="FH132" s="4287"/>
      <c r="FI132" s="4287"/>
      <c r="FJ132" s="4287"/>
      <c r="FK132" s="4287"/>
      <c r="FL132" s="4287"/>
    </row>
    <row r="133" spans="1:168" ht="11.25" customHeight="1" collapsed="1">
      <c r="A133" s="3765" t="s">
        <v>181</v>
      </c>
      <c r="B133" s="124"/>
      <c r="C133" s="124"/>
      <c r="D133" s="124"/>
      <c r="E133" s="124"/>
      <c r="F133" s="997"/>
      <c r="G133" s="124"/>
      <c r="H133" s="124"/>
      <c r="I133" s="124"/>
      <c r="J133" s="124"/>
      <c r="K133" s="997"/>
      <c r="L133" s="124"/>
      <c r="M133" s="124"/>
      <c r="N133" s="124"/>
      <c r="O133" s="124"/>
      <c r="P133" s="997"/>
      <c r="Q133" s="124"/>
      <c r="R133" s="124"/>
      <c r="S133" s="124"/>
      <c r="T133" s="124"/>
      <c r="U133" s="997"/>
      <c r="V133" s="124"/>
      <c r="W133" s="124"/>
      <c r="X133" s="124"/>
      <c r="Y133" s="124"/>
      <c r="Z133" s="997"/>
      <c r="AA133" s="124"/>
      <c r="AB133" s="124"/>
      <c r="AC133" s="124"/>
      <c r="AD133" s="124"/>
      <c r="AE133" s="997"/>
      <c r="AF133" s="124"/>
      <c r="AG133" s="124"/>
      <c r="AH133" s="124"/>
      <c r="AI133" s="124"/>
      <c r="AJ133" s="997"/>
      <c r="AK133" s="124"/>
      <c r="AL133" s="124"/>
      <c r="AM133" s="124"/>
      <c r="AN133" s="124"/>
      <c r="AO133" s="997"/>
      <c r="AP133" s="124"/>
      <c r="AQ133" s="124"/>
      <c r="AR133" s="124"/>
      <c r="AS133" s="124"/>
      <c r="AT133" s="997"/>
      <c r="AU133" s="124"/>
      <c r="AV133" s="124"/>
      <c r="AW133" s="124"/>
      <c r="AX133" s="124"/>
      <c r="AY133" s="997"/>
      <c r="AZ133" s="124"/>
      <c r="BA133" s="124"/>
      <c r="BB133" s="124"/>
      <c r="BC133" s="124"/>
      <c r="BD133" s="997"/>
      <c r="BE133" s="1688"/>
      <c r="BF133" s="124"/>
      <c r="BG133" s="124"/>
      <c r="BH133" s="124"/>
      <c r="BI133" s="997"/>
      <c r="BJ133" s="124"/>
      <c r="BK133" s="124"/>
      <c r="BL133" s="124"/>
      <c r="BM133" s="124"/>
      <c r="BN133" s="997"/>
      <c r="BO133" s="124"/>
      <c r="BP133" s="124"/>
      <c r="BQ133" s="124"/>
      <c r="BR133" s="123"/>
      <c r="BS133" s="1761"/>
      <c r="BT133" s="124"/>
      <c r="BU133" s="124"/>
      <c r="BV133" s="124"/>
      <c r="BW133" s="124"/>
      <c r="BX133" s="997"/>
      <c r="BY133" s="124"/>
      <c r="BZ133" s="124"/>
      <c r="CA133" s="124"/>
      <c r="CB133" s="124"/>
      <c r="CC133" s="997"/>
      <c r="CD133" s="124"/>
      <c r="CE133" s="124"/>
      <c r="CF133" s="124"/>
      <c r="CG133" s="124">
        <f>CG12/CG$7</f>
        <v>0.18736868911950086</v>
      </c>
      <c r="CH133" s="997"/>
      <c r="CI133" s="124">
        <f t="shared" ref="CI133:DN133" si="558">CI12/CI$7</f>
        <v>0.17697795071335928</v>
      </c>
      <c r="CJ133" s="124">
        <f t="shared" si="558"/>
        <v>0.17680977749921656</v>
      </c>
      <c r="CK133" s="124">
        <f t="shared" si="558"/>
        <v>0.2025661199540035</v>
      </c>
      <c r="CL133" s="124">
        <f t="shared" si="558"/>
        <v>0.18234546760205492</v>
      </c>
      <c r="CM133" s="997">
        <f t="shared" si="558"/>
        <v>0.18475477644278118</v>
      </c>
      <c r="CN133" s="124">
        <f t="shared" si="558"/>
        <v>0.17446981110209758</v>
      </c>
      <c r="CO133" s="124">
        <f t="shared" si="558"/>
        <v>0.18085406442150392</v>
      </c>
      <c r="CP133" s="124">
        <f t="shared" si="558"/>
        <v>0.18586345381526104</v>
      </c>
      <c r="CQ133" s="124">
        <f t="shared" si="558"/>
        <v>0.19377373528998076</v>
      </c>
      <c r="CR133" s="997">
        <f t="shared" si="558"/>
        <v>0.18430703169798238</v>
      </c>
      <c r="CS133" s="124">
        <f t="shared" si="558"/>
        <v>0.19055141432591202</v>
      </c>
      <c r="CT133" s="124">
        <f t="shared" si="558"/>
        <v>0.19325581395348837</v>
      </c>
      <c r="CU133" s="124">
        <f t="shared" si="558"/>
        <v>0.20119371074785086</v>
      </c>
      <c r="CV133" s="124">
        <f t="shared" si="558"/>
        <v>0.2230279312461633</v>
      </c>
      <c r="CW133" s="997">
        <f t="shared" si="558"/>
        <v>0.20321915987238567</v>
      </c>
      <c r="CX133" s="124">
        <f t="shared" si="558"/>
        <v>0.20872727272727273</v>
      </c>
      <c r="CY133" s="124">
        <f t="shared" si="558"/>
        <v>0.20307574009996154</v>
      </c>
      <c r="CZ133" s="124">
        <f t="shared" si="558"/>
        <v>0.20329828604349703</v>
      </c>
      <c r="DA133" s="124">
        <f t="shared" si="558"/>
        <v>0.24184017572626304</v>
      </c>
      <c r="DB133" s="997">
        <f t="shared" si="558"/>
        <v>0.21569617969419511</v>
      </c>
      <c r="DC133" s="124">
        <f t="shared" si="558"/>
        <v>0.23049508765170487</v>
      </c>
      <c r="DD133" s="124">
        <f t="shared" si="558"/>
        <v>0.22852680895366997</v>
      </c>
      <c r="DE133" s="124">
        <f t="shared" si="558"/>
        <v>0.22818612922347362</v>
      </c>
      <c r="DF133" s="124">
        <f t="shared" si="558"/>
        <v>0.26688053773296672</v>
      </c>
      <c r="DG133" s="997">
        <f t="shared" si="558"/>
        <v>0.23990089095812717</v>
      </c>
      <c r="DH133" s="124">
        <f t="shared" si="558"/>
        <v>0.25185062880101267</v>
      </c>
      <c r="DI133" s="124">
        <f t="shared" si="558"/>
        <v>0.2582682826622843</v>
      </c>
      <c r="DJ133" s="124">
        <f t="shared" si="558"/>
        <v>0.24884565050988913</v>
      </c>
      <c r="DK133" s="124">
        <f t="shared" si="558"/>
        <v>0.27170916983179599</v>
      </c>
      <c r="DL133" s="997">
        <f t="shared" si="558"/>
        <v>0.2582959031737892</v>
      </c>
      <c r="DM133" s="124">
        <f t="shared" si="558"/>
        <v>0.2801331422046211</v>
      </c>
      <c r="DN133" s="124">
        <f t="shared" si="558"/>
        <v>0.30965872000417788</v>
      </c>
      <c r="DO133" s="124">
        <f t="shared" ref="DO133:EX133" si="559">DO12/DO$7</f>
        <v>0.28048859723214864</v>
      </c>
      <c r="DP133" s="124">
        <f t="shared" si="559"/>
        <v>0.2744208935287708</v>
      </c>
      <c r="DQ133" s="997">
        <f t="shared" si="559"/>
        <v>0.28463734132484508</v>
      </c>
      <c r="DR133" s="124">
        <f t="shared" si="559"/>
        <v>0.26016921575008134</v>
      </c>
      <c r="DS133" s="124">
        <f t="shared" si="559"/>
        <v>0.24722042663219135</v>
      </c>
      <c r="DT133" s="124">
        <f t="shared" si="559"/>
        <v>0.24759667065941829</v>
      </c>
      <c r="DU133" s="124">
        <f t="shared" si="559"/>
        <v>0.25968801858612678</v>
      </c>
      <c r="DV133" s="997">
        <f t="shared" si="559"/>
        <v>0.25374072823391053</v>
      </c>
      <c r="DW133" s="124">
        <f t="shared" si="559"/>
        <v>0.25891399920601077</v>
      </c>
      <c r="DX133" s="124">
        <f t="shared" si="559"/>
        <v>0.25672669871564902</v>
      </c>
      <c r="DY133" s="124">
        <f t="shared" si="559"/>
        <v>0.27980084524981186</v>
      </c>
      <c r="DZ133" s="124">
        <f t="shared" si="559"/>
        <v>0.29477435304018512</v>
      </c>
      <c r="EA133" s="997">
        <f t="shared" si="559"/>
        <v>0.27311940488480957</v>
      </c>
      <c r="EB133" s="124">
        <f t="shared" si="559"/>
        <v>0.27069511513605687</v>
      </c>
      <c r="EC133" s="124">
        <f t="shared" si="559"/>
        <v>0.25975818990938826</v>
      </c>
      <c r="ED133" s="124">
        <f t="shared" si="559"/>
        <v>0.26843388575228511</v>
      </c>
      <c r="EE133" s="124">
        <f t="shared" si="559"/>
        <v>0.27330552659019813</v>
      </c>
      <c r="EF133" s="997">
        <f t="shared" si="559"/>
        <v>0.26820952913849977</v>
      </c>
      <c r="EG133" s="124">
        <f t="shared" si="559"/>
        <v>0.2578378177032245</v>
      </c>
      <c r="EH133" s="124">
        <f t="shared" si="559"/>
        <v>0.26102758962497935</v>
      </c>
      <c r="EI133" s="124">
        <f t="shared" si="559"/>
        <v>0.25779444419268593</v>
      </c>
      <c r="EJ133" s="124">
        <f t="shared" si="559"/>
        <v>0.26708061657112647</v>
      </c>
      <c r="EK133" s="997">
        <f t="shared" si="559"/>
        <v>0.26114656960499172</v>
      </c>
      <c r="EL133" s="124">
        <f t="shared" si="559"/>
        <v>0.25060398519405103</v>
      </c>
      <c r="EM133" s="124">
        <f t="shared" si="559"/>
        <v>0.25235408802422532</v>
      </c>
      <c r="EN133" s="124">
        <f t="shared" ref="EN133" si="560">EN12/EN$7</f>
        <v>0.25885720985676042</v>
      </c>
      <c r="EO133" s="124">
        <f t="shared" si="559"/>
        <v>0.27108420020523161</v>
      </c>
      <c r="EP133" s="997">
        <f t="shared" si="559"/>
        <v>0.25885878078025981</v>
      </c>
      <c r="EQ133" s="124">
        <f t="shared" ref="EQ133:EU133" si="561">EQ12/EQ$7</f>
        <v>0.25642176348352924</v>
      </c>
      <c r="ER133" s="124">
        <f t="shared" si="561"/>
        <v>0.26367048701719453</v>
      </c>
      <c r="ES133" s="124">
        <f t="shared" si="561"/>
        <v>0.2764804805132452</v>
      </c>
      <c r="ET133" s="124">
        <f t="shared" si="561"/>
        <v>0.28731648742160654</v>
      </c>
      <c r="EU133" s="997">
        <f t="shared" si="561"/>
        <v>0.27186490961777016</v>
      </c>
      <c r="EV133" s="997">
        <f t="shared" si="559"/>
        <v>0.28895627798771417</v>
      </c>
      <c r="EW133" s="997">
        <f t="shared" si="559"/>
        <v>0.29684650785847694</v>
      </c>
      <c r="EX133" s="997">
        <f t="shared" si="559"/>
        <v>0.30024261776865258</v>
      </c>
      <c r="EY133" s="997">
        <f t="shared" ref="EY133" si="562">EY12/EY$7</f>
        <v>0.30084217831512089</v>
      </c>
      <c r="EZ133" s="127"/>
      <c r="FA133" s="2660"/>
      <c r="FB133" s="2660"/>
      <c r="FC133" s="2660"/>
      <c r="FD133" s="2660"/>
      <c r="FE133" s="2660"/>
      <c r="FF133" s="2660"/>
      <c r="FG133" s="2660"/>
      <c r="FH133" s="2660"/>
      <c r="FI133" s="2660"/>
      <c r="FJ133" s="2660"/>
      <c r="FK133" s="2660"/>
      <c r="FL133" s="2660"/>
    </row>
    <row r="134" spans="1:168" s="259" customFormat="1" ht="11.25" hidden="1" customHeight="1" outlineLevel="1">
      <c r="A134" s="3768" t="s">
        <v>734</v>
      </c>
      <c r="B134" s="2008"/>
      <c r="C134" s="2008"/>
      <c r="D134" s="2008"/>
      <c r="E134" s="2008"/>
      <c r="F134" s="2009"/>
      <c r="G134" s="2008"/>
      <c r="H134" s="2008"/>
      <c r="I134" s="2008"/>
      <c r="J134" s="2008"/>
      <c r="K134" s="2009"/>
      <c r="L134" s="2008"/>
      <c r="M134" s="2008"/>
      <c r="N134" s="2008"/>
      <c r="O134" s="2008"/>
      <c r="P134" s="3582" t="s">
        <v>116</v>
      </c>
      <c r="Q134" s="3583" t="s">
        <v>116</v>
      </c>
      <c r="R134" s="3583" t="s">
        <v>116</v>
      </c>
      <c r="S134" s="3583" t="s">
        <v>116</v>
      </c>
      <c r="T134" s="3583" t="s">
        <v>116</v>
      </c>
      <c r="U134" s="3582">
        <f t="shared" ref="U134:BN134" si="563">(U133-P133)*10000</f>
        <v>0</v>
      </c>
      <c r="V134" s="3583">
        <f t="shared" si="563"/>
        <v>0</v>
      </c>
      <c r="W134" s="3583">
        <f t="shared" si="563"/>
        <v>0</v>
      </c>
      <c r="X134" s="3583">
        <f t="shared" si="563"/>
        <v>0</v>
      </c>
      <c r="Y134" s="3583">
        <f t="shared" si="563"/>
        <v>0</v>
      </c>
      <c r="Z134" s="3582">
        <f t="shared" si="563"/>
        <v>0</v>
      </c>
      <c r="AA134" s="3583">
        <f t="shared" si="563"/>
        <v>0</v>
      </c>
      <c r="AB134" s="3583">
        <f t="shared" si="563"/>
        <v>0</v>
      </c>
      <c r="AC134" s="3583">
        <f t="shared" si="563"/>
        <v>0</v>
      </c>
      <c r="AD134" s="3583">
        <f t="shared" si="563"/>
        <v>0</v>
      </c>
      <c r="AE134" s="3582">
        <f t="shared" si="563"/>
        <v>0</v>
      </c>
      <c r="AF134" s="3583">
        <f t="shared" si="563"/>
        <v>0</v>
      </c>
      <c r="AG134" s="3583">
        <f t="shared" si="563"/>
        <v>0</v>
      </c>
      <c r="AH134" s="3583">
        <f t="shared" si="563"/>
        <v>0</v>
      </c>
      <c r="AI134" s="3583">
        <f t="shared" si="563"/>
        <v>0</v>
      </c>
      <c r="AJ134" s="3582">
        <f t="shared" si="563"/>
        <v>0</v>
      </c>
      <c r="AK134" s="3583">
        <f t="shared" si="563"/>
        <v>0</v>
      </c>
      <c r="AL134" s="3583">
        <f t="shared" si="563"/>
        <v>0</v>
      </c>
      <c r="AM134" s="3583">
        <f t="shared" si="563"/>
        <v>0</v>
      </c>
      <c r="AN134" s="3583">
        <f t="shared" si="563"/>
        <v>0</v>
      </c>
      <c r="AO134" s="3582">
        <f t="shared" si="563"/>
        <v>0</v>
      </c>
      <c r="AP134" s="3583">
        <f t="shared" si="563"/>
        <v>0</v>
      </c>
      <c r="AQ134" s="3583">
        <f t="shared" si="563"/>
        <v>0</v>
      </c>
      <c r="AR134" s="3583">
        <f t="shared" si="563"/>
        <v>0</v>
      </c>
      <c r="AS134" s="3583">
        <f t="shared" si="563"/>
        <v>0</v>
      </c>
      <c r="AT134" s="3582">
        <f t="shared" si="563"/>
        <v>0</v>
      </c>
      <c r="AU134" s="3583">
        <f t="shared" si="563"/>
        <v>0</v>
      </c>
      <c r="AV134" s="3583">
        <f t="shared" si="563"/>
        <v>0</v>
      </c>
      <c r="AW134" s="3583">
        <f t="shared" si="563"/>
        <v>0</v>
      </c>
      <c r="AX134" s="3583">
        <f t="shared" si="563"/>
        <v>0</v>
      </c>
      <c r="AY134" s="3582">
        <f t="shared" si="563"/>
        <v>0</v>
      </c>
      <c r="AZ134" s="3583">
        <f t="shared" si="563"/>
        <v>0</v>
      </c>
      <c r="BA134" s="3583">
        <f t="shared" si="563"/>
        <v>0</v>
      </c>
      <c r="BB134" s="3583">
        <f t="shared" si="563"/>
        <v>0</v>
      </c>
      <c r="BC134" s="3583">
        <f t="shared" si="563"/>
        <v>0</v>
      </c>
      <c r="BD134" s="3582">
        <f t="shared" si="563"/>
        <v>0</v>
      </c>
      <c r="BE134" s="3584">
        <f t="shared" si="563"/>
        <v>0</v>
      </c>
      <c r="BF134" s="3583">
        <f t="shared" si="563"/>
        <v>0</v>
      </c>
      <c r="BG134" s="3583">
        <f t="shared" si="563"/>
        <v>0</v>
      </c>
      <c r="BH134" s="3583">
        <f t="shared" si="563"/>
        <v>0</v>
      </c>
      <c r="BI134" s="3582">
        <f t="shared" si="563"/>
        <v>0</v>
      </c>
      <c r="BJ134" s="3583">
        <f t="shared" si="563"/>
        <v>0</v>
      </c>
      <c r="BK134" s="3583">
        <f t="shared" si="563"/>
        <v>0</v>
      </c>
      <c r="BL134" s="3583">
        <f t="shared" si="563"/>
        <v>0</v>
      </c>
      <c r="BM134" s="3583">
        <f t="shared" si="563"/>
        <v>0</v>
      </c>
      <c r="BN134" s="3582">
        <f t="shared" si="563"/>
        <v>0</v>
      </c>
      <c r="BO134" s="3583">
        <v>-73.910139803692317</v>
      </c>
      <c r="BP134" s="3583">
        <v>-647.08175120074429</v>
      </c>
      <c r="BQ134" s="3583">
        <v>-1402.9798881989602</v>
      </c>
      <c r="BR134" s="3585">
        <v>-980.8960342866219</v>
      </c>
      <c r="BS134" s="3586">
        <v>-838.68155981038365</v>
      </c>
      <c r="BT134" s="3583">
        <f>(BT133-BJ133)*10000</f>
        <v>0</v>
      </c>
      <c r="BU134" s="3583">
        <f>(BU133-BK133)*10000</f>
        <v>0</v>
      </c>
      <c r="BV134" s="3583">
        <f>(BV133-BL133)*10000</f>
        <v>0</v>
      </c>
      <c r="BW134" s="3583">
        <f>(BW133-BM133)*10000</f>
        <v>0</v>
      </c>
      <c r="BX134" s="3582">
        <f>(BX133-BN133)*10000</f>
        <v>0</v>
      </c>
      <c r="BY134" s="3583">
        <v>-963.16614520714324</v>
      </c>
      <c r="BZ134" s="3583">
        <v>-355.43789780665304</v>
      </c>
      <c r="CA134" s="3583">
        <v>364.92085531369065</v>
      </c>
      <c r="CB134" s="3583">
        <v>-271.55670067847359</v>
      </c>
      <c r="CC134" s="3582">
        <v>-250.80202387558427</v>
      </c>
      <c r="CD134" s="3583">
        <f>(CD133-BT133)*10000</f>
        <v>0</v>
      </c>
      <c r="CE134" s="3583">
        <f>(CE133-BU133)*10000</f>
        <v>0</v>
      </c>
      <c r="CF134" s="3583">
        <f>(CF133-BV133)*10000</f>
        <v>0</v>
      </c>
      <c r="CG134" s="3583">
        <f>(CG133-BW133)*10000</f>
        <v>1873.6868911950087</v>
      </c>
      <c r="CH134" s="3582">
        <f>(CH133-BX133)*10000</f>
        <v>0</v>
      </c>
      <c r="CI134" s="3583">
        <f t="shared" ref="CI134:DG134" si="564">(CI133-CD133)*10000</f>
        <v>1769.7795071335929</v>
      </c>
      <c r="CJ134" s="3583">
        <f t="shared" si="564"/>
        <v>1768.0977749921656</v>
      </c>
      <c r="CK134" s="3583">
        <f t="shared" si="564"/>
        <v>2025.6611995400351</v>
      </c>
      <c r="CL134" s="3583">
        <f t="shared" si="564"/>
        <v>-50.232215174459412</v>
      </c>
      <c r="CM134" s="3582">
        <f t="shared" si="564"/>
        <v>1847.5477644278119</v>
      </c>
      <c r="CN134" s="3583">
        <f t="shared" si="564"/>
        <v>-25.081396112617004</v>
      </c>
      <c r="CO134" s="3583">
        <f t="shared" si="564"/>
        <v>40.442869222873654</v>
      </c>
      <c r="CP134" s="3583">
        <f t="shared" si="564"/>
        <v>-167.02666138742467</v>
      </c>
      <c r="CQ134" s="3583">
        <f t="shared" si="564"/>
        <v>114.28267687925847</v>
      </c>
      <c r="CR134" s="3582">
        <f t="shared" si="564"/>
        <v>-4.4774474479880588</v>
      </c>
      <c r="CS134" s="3583">
        <f t="shared" si="564"/>
        <v>160.8160322381444</v>
      </c>
      <c r="CT134" s="3583">
        <f t="shared" si="564"/>
        <v>124.01749531984446</v>
      </c>
      <c r="CU134" s="3583">
        <f t="shared" si="564"/>
        <v>153.30256932589825</v>
      </c>
      <c r="CV134" s="3583">
        <f t="shared" si="564"/>
        <v>292.54195956182531</v>
      </c>
      <c r="CW134" s="3582">
        <f t="shared" si="564"/>
        <v>189.12128174403298</v>
      </c>
      <c r="CX134" s="3583">
        <f t="shared" si="564"/>
        <v>181.75858401360711</v>
      </c>
      <c r="CY134" s="3583">
        <f t="shared" si="564"/>
        <v>98.199261464731734</v>
      </c>
      <c r="CZ134" s="3583">
        <f t="shared" si="564"/>
        <v>21.045752956461715</v>
      </c>
      <c r="DA134" s="3583">
        <f t="shared" si="564"/>
        <v>188.12244480099744</v>
      </c>
      <c r="DB134" s="3582">
        <f t="shared" si="564"/>
        <v>124.77019821809432</v>
      </c>
      <c r="DC134" s="3583">
        <f t="shared" si="564"/>
        <v>217.67814924432139</v>
      </c>
      <c r="DD134" s="3583">
        <f t="shared" si="564"/>
        <v>254.51068853708432</v>
      </c>
      <c r="DE134" s="3583">
        <f t="shared" si="564"/>
        <v>248.87843179976582</v>
      </c>
      <c r="DF134" s="3583">
        <f t="shared" si="564"/>
        <v>250.40362006703677</v>
      </c>
      <c r="DG134" s="3582">
        <f t="shared" si="564"/>
        <v>242.0471126393206</v>
      </c>
      <c r="DH134" s="3583">
        <f t="shared" ref="DH134:DQ134" si="565">(DH133-DC133)*10000</f>
        <v>213.55541149307794</v>
      </c>
      <c r="DI134" s="3583">
        <f t="shared" si="565"/>
        <v>297.41473708614325</v>
      </c>
      <c r="DJ134" s="3583">
        <f t="shared" si="565"/>
        <v>206.59521286415517</v>
      </c>
      <c r="DK134" s="3583">
        <f t="shared" si="565"/>
        <v>48.286320988292772</v>
      </c>
      <c r="DL134" s="3582">
        <f t="shared" si="565"/>
        <v>183.95012215662032</v>
      </c>
      <c r="DM134" s="3583">
        <f t="shared" si="565"/>
        <v>282.82513403608436</v>
      </c>
      <c r="DN134" s="3583">
        <f t="shared" si="565"/>
        <v>513.90437341893585</v>
      </c>
      <c r="DO134" s="3583">
        <f t="shared" si="565"/>
        <v>316.42946722259506</v>
      </c>
      <c r="DP134" s="3583">
        <f t="shared" si="565"/>
        <v>27.117236969748106</v>
      </c>
      <c r="DQ134" s="3582">
        <f t="shared" si="565"/>
        <v>263.41438151055883</v>
      </c>
      <c r="DR134" s="3583">
        <f t="shared" ref="DR134:EN134" si="566">(DR133-DM133)*10000</f>
        <v>-199.63926454539759</v>
      </c>
      <c r="DS134" s="3583">
        <f t="shared" si="566"/>
        <v>-624.38293371986526</v>
      </c>
      <c r="DT134" s="3583">
        <f t="shared" si="566"/>
        <v>-328.91926572730353</v>
      </c>
      <c r="DU134" s="3583">
        <f t="shared" si="566"/>
        <v>-147.32874942644025</v>
      </c>
      <c r="DV134" s="3582">
        <f t="shared" si="566"/>
        <v>-308.96613090934557</v>
      </c>
      <c r="DW134" s="3583">
        <f t="shared" si="566"/>
        <v>-12.552165440705698</v>
      </c>
      <c r="DX134" s="3583">
        <f t="shared" si="566"/>
        <v>95.06272083457668</v>
      </c>
      <c r="DY134" s="3583">
        <f t="shared" si="566"/>
        <v>322.04174590393569</v>
      </c>
      <c r="DZ134" s="3583">
        <f t="shared" si="566"/>
        <v>350.86334454058346</v>
      </c>
      <c r="EA134" s="3582">
        <f t="shared" si="566"/>
        <v>193.78676650899041</v>
      </c>
      <c r="EB134" s="3583">
        <f t="shared" si="566"/>
        <v>117.81115930046104</v>
      </c>
      <c r="EC134" s="3583">
        <f t="shared" si="566"/>
        <v>30.314911937392441</v>
      </c>
      <c r="ED134" s="3583">
        <f t="shared" si="566"/>
        <v>-113.66959497526751</v>
      </c>
      <c r="EE134" s="3583">
        <f t="shared" si="566"/>
        <v>-214.68826449986989</v>
      </c>
      <c r="EF134" s="3582">
        <f t="shared" ref="EF134:EK134" si="567">(EF133-EA133)*10000</f>
        <v>-49.098757463097996</v>
      </c>
      <c r="EG134" s="3583">
        <f t="shared" si="566"/>
        <v>-128.57297432832371</v>
      </c>
      <c r="EH134" s="3583">
        <f t="shared" si="566"/>
        <v>12.693997155910907</v>
      </c>
      <c r="EI134" s="3583">
        <f t="shared" si="566"/>
        <v>-106.39441559599172</v>
      </c>
      <c r="EJ134" s="3583">
        <f t="shared" si="566"/>
        <v>-62.249100190716611</v>
      </c>
      <c r="EK134" s="3582">
        <f t="shared" si="567"/>
        <v>-70.629595335080509</v>
      </c>
      <c r="EL134" s="3583">
        <f t="shared" si="566"/>
        <v>-72.338325091734774</v>
      </c>
      <c r="EM134" s="3583">
        <f t="shared" si="566"/>
        <v>-86.735016007540295</v>
      </c>
      <c r="EN134" s="3583">
        <f t="shared" si="566"/>
        <v>10.627656640744831</v>
      </c>
      <c r="EO134" s="3583">
        <f t="shared" ref="EO134:EP134" si="568">(EO133-EJ133)*10000</f>
        <v>40.035836341051343</v>
      </c>
      <c r="EP134" s="3582">
        <f t="shared" si="568"/>
        <v>-22.877888247319067</v>
      </c>
      <c r="EQ134" s="3583">
        <f t="shared" ref="EQ134" si="569">(EQ133-EL133)*10000</f>
        <v>58.177782894782148</v>
      </c>
      <c r="ER134" s="3583">
        <f t="shared" ref="ER134" si="570">(ER133-EM133)*10000</f>
        <v>113.16398992969212</v>
      </c>
      <c r="ES134" s="3583">
        <f t="shared" ref="ES134" si="571">(ES133-EN133)*10000</f>
        <v>176.2327065648478</v>
      </c>
      <c r="ET134" s="3583">
        <f t="shared" ref="ET134:EU134" si="572">(ET133-EO133)*10000</f>
        <v>162.32287216374931</v>
      </c>
      <c r="EU134" s="3582">
        <f t="shared" si="572"/>
        <v>130.06128837510346</v>
      </c>
      <c r="EV134" s="3582">
        <f>(EV133-EU133)*10000</f>
        <v>170.91368369944016</v>
      </c>
      <c r="EW134" s="3582">
        <f>(EW133-EV133)*10000</f>
        <v>78.902298707627665</v>
      </c>
      <c r="EX134" s="3582">
        <f>(EX133-EW133)*10000</f>
        <v>33.961099101756375</v>
      </c>
      <c r="EY134" s="3582">
        <f>(EY133-EX133)*10000</f>
        <v>5.9956054646831403</v>
      </c>
      <c r="EZ134" s="226"/>
      <c r="FA134" s="4287"/>
      <c r="FB134" s="4287"/>
      <c r="FC134" s="4287"/>
      <c r="FD134" s="4287"/>
      <c r="FE134" s="4287"/>
      <c r="FF134" s="4287"/>
      <c r="FG134" s="4287"/>
      <c r="FH134" s="4287"/>
      <c r="FI134" s="4287"/>
      <c r="FJ134" s="4287"/>
      <c r="FK134" s="4287"/>
      <c r="FL134" s="4287"/>
    </row>
    <row r="135" spans="1:168" s="259" customFormat="1" ht="11.25" hidden="1" customHeight="1" outlineLevel="1">
      <c r="A135" s="3768" t="s">
        <v>735</v>
      </c>
      <c r="B135" s="2008"/>
      <c r="C135" s="2008"/>
      <c r="D135" s="2008"/>
      <c r="E135" s="2008"/>
      <c r="F135" s="2009"/>
      <c r="G135" s="2008"/>
      <c r="H135" s="2008"/>
      <c r="I135" s="2008"/>
      <c r="J135" s="2008"/>
      <c r="K135" s="2009"/>
      <c r="L135" s="2008"/>
      <c r="M135" s="2008"/>
      <c r="N135" s="2008"/>
      <c r="O135" s="2008"/>
      <c r="P135" s="3582" t="s">
        <v>116</v>
      </c>
      <c r="Q135" s="3583" t="s">
        <v>116</v>
      </c>
      <c r="R135" s="3583">
        <f>(R133-Q133)*10000</f>
        <v>0</v>
      </c>
      <c r="S135" s="3583">
        <f>(S133-R133)*10000</f>
        <v>0</v>
      </c>
      <c r="T135" s="3583">
        <f>(T133-S133)*10000</f>
        <v>0</v>
      </c>
      <c r="U135" s="3582" t="s">
        <v>116</v>
      </c>
      <c r="V135" s="3583">
        <f>(V133-T133)*10000</f>
        <v>0</v>
      </c>
      <c r="W135" s="3583">
        <f>(W133-V133)*10000</f>
        <v>0</v>
      </c>
      <c r="X135" s="3583">
        <f>(X133-W133)*10000</f>
        <v>0</v>
      </c>
      <c r="Y135" s="3583">
        <f>(Y133-X133)*10000</f>
        <v>0</v>
      </c>
      <c r="Z135" s="3582" t="s">
        <v>116</v>
      </c>
      <c r="AA135" s="3583">
        <f>(AA133-Y133)*10000</f>
        <v>0</v>
      </c>
      <c r="AB135" s="3583">
        <f>(AB133-AA133)*10000</f>
        <v>0</v>
      </c>
      <c r="AC135" s="3583">
        <f>(AC133-AB133)*10000</f>
        <v>0</v>
      </c>
      <c r="AD135" s="3583">
        <f>(AD133-AC133)*10000</f>
        <v>0</v>
      </c>
      <c r="AE135" s="3582" t="s">
        <v>116</v>
      </c>
      <c r="AF135" s="3583">
        <f>(AF133-AD133)*10000</f>
        <v>0</v>
      </c>
      <c r="AG135" s="3583">
        <f>(AG133-AF133)*10000</f>
        <v>0</v>
      </c>
      <c r="AH135" s="3583">
        <f>(AH133-AG133)*10000</f>
        <v>0</v>
      </c>
      <c r="AI135" s="3583">
        <f>(AI133-AH133)*10000</f>
        <v>0</v>
      </c>
      <c r="AJ135" s="3582" t="s">
        <v>116</v>
      </c>
      <c r="AK135" s="3583">
        <f>(AK133-AI133)*10000</f>
        <v>0</v>
      </c>
      <c r="AL135" s="3583">
        <f>(AL133-AK133)*10000</f>
        <v>0</v>
      </c>
      <c r="AM135" s="3583">
        <f>(AM133-AL133)*10000</f>
        <v>0</v>
      </c>
      <c r="AN135" s="3583">
        <f>(AN133-AM133)*10000</f>
        <v>0</v>
      </c>
      <c r="AO135" s="3582" t="s">
        <v>116</v>
      </c>
      <c r="AP135" s="3583">
        <f>(AP133-AN133)*10000</f>
        <v>0</v>
      </c>
      <c r="AQ135" s="3583">
        <f>(AQ133-AP133)*10000</f>
        <v>0</v>
      </c>
      <c r="AR135" s="3583">
        <f>(AR133-AQ133)*10000</f>
        <v>0</v>
      </c>
      <c r="AS135" s="3583">
        <f>(AS133-AR133)*10000</f>
        <v>0</v>
      </c>
      <c r="AT135" s="3582" t="s">
        <v>116</v>
      </c>
      <c r="AU135" s="3583">
        <f>(AU133-AS133)*10000</f>
        <v>0</v>
      </c>
      <c r="AV135" s="3583">
        <f>(AV133-AU133)*10000</f>
        <v>0</v>
      </c>
      <c r="AW135" s="3583">
        <f>(AW133-AV133)*10000</f>
        <v>0</v>
      </c>
      <c r="AX135" s="3583">
        <f>(AX133-AW133)*10000</f>
        <v>0</v>
      </c>
      <c r="AY135" s="3582" t="s">
        <v>116</v>
      </c>
      <c r="AZ135" s="3583">
        <f>(AZ133-AX133)*10000</f>
        <v>0</v>
      </c>
      <c r="BA135" s="3583">
        <f>(BA133-AZ133)*10000</f>
        <v>0</v>
      </c>
      <c r="BB135" s="3583">
        <f>(BB133-BA133)*10000</f>
        <v>0</v>
      </c>
      <c r="BC135" s="3583">
        <f>(BC133-BB133)*10000</f>
        <v>0</v>
      </c>
      <c r="BD135" s="3582" t="s">
        <v>116</v>
      </c>
      <c r="BE135" s="3584">
        <f>(BE133-BD133)*10000</f>
        <v>0</v>
      </c>
      <c r="BF135" s="3583">
        <f>(BF133-BE133)*10000</f>
        <v>0</v>
      </c>
      <c r="BG135" s="3583">
        <f>(BG133-BF133)*10000</f>
        <v>0</v>
      </c>
      <c r="BH135" s="3583">
        <f>(BH133-BG133)*10000</f>
        <v>0</v>
      </c>
      <c r="BI135" s="3582" t="s">
        <v>116</v>
      </c>
      <c r="BJ135" s="3583">
        <f>(BJ133-BI133)*10000</f>
        <v>0</v>
      </c>
      <c r="BK135" s="3583">
        <f>(BK133-BJ133)*10000</f>
        <v>0</v>
      </c>
      <c r="BL135" s="3583">
        <f>(BL133-BK133)*10000</f>
        <v>0</v>
      </c>
      <c r="BM135" s="3583">
        <f>(BM133-BL133)*10000</f>
        <v>0</v>
      </c>
      <c r="BN135" s="3582" t="s">
        <v>116</v>
      </c>
      <c r="BO135" s="3583">
        <v>-44.309034873266654</v>
      </c>
      <c r="BP135" s="3583">
        <v>-672.07408167944016</v>
      </c>
      <c r="BQ135" s="3583">
        <v>-721.12167931195404</v>
      </c>
      <c r="BR135" s="3585">
        <v>523.61981105103814</v>
      </c>
      <c r="BS135" s="3586" t="s">
        <v>116</v>
      </c>
      <c r="BT135" s="3583">
        <f>(BT133-BN133)*10000</f>
        <v>0</v>
      </c>
      <c r="BU135" s="3583">
        <f>(BU133-BT133)*10000</f>
        <v>0</v>
      </c>
      <c r="BV135" s="3583">
        <f>(BV133-BU133)*10000</f>
        <v>0</v>
      </c>
      <c r="BW135" s="3583">
        <f>(BW133-BV133)*10000</f>
        <v>0</v>
      </c>
      <c r="BX135" s="3582" t="s">
        <v>116</v>
      </c>
      <c r="BY135" s="3583">
        <v>-168.79362027002631</v>
      </c>
      <c r="BZ135" s="3583">
        <v>-64.345834278949908</v>
      </c>
      <c r="CA135" s="3583">
        <v>-0.76292619161033581</v>
      </c>
      <c r="CB135" s="3583">
        <v>-112.8577449411261</v>
      </c>
      <c r="CC135" s="3582" t="s">
        <v>116</v>
      </c>
      <c r="CD135" s="3583">
        <f>(CD133-BX133)*10000</f>
        <v>0</v>
      </c>
      <c r="CE135" s="3583">
        <f>(CE133-CD133)*10000</f>
        <v>0</v>
      </c>
      <c r="CF135" s="3583">
        <f>(CF133-CE133)*10000</f>
        <v>0</v>
      </c>
      <c r="CG135" s="3583">
        <f>(CG133-CF133)*10000</f>
        <v>1873.6868911950087</v>
      </c>
      <c r="CH135" s="3582" t="s">
        <v>116</v>
      </c>
      <c r="CI135" s="3583">
        <f>(CI133-CH133)*10000</f>
        <v>1769.7795071335929</v>
      </c>
      <c r="CJ135" s="3583">
        <f>(CJ133-CI133)*10000</f>
        <v>-1.6817321414272501</v>
      </c>
      <c r="CK135" s="3583">
        <f>(CK133-CJ133)*10000</f>
        <v>257.56342454786943</v>
      </c>
      <c r="CL135" s="3583">
        <f>(CL133-CK133)*10000</f>
        <v>-202.20652351948587</v>
      </c>
      <c r="CM135" s="3582" t="s">
        <v>116</v>
      </c>
      <c r="CN135" s="3583">
        <f>(CN133-CM133)*10000</f>
        <v>-102.849653406836</v>
      </c>
      <c r="CO135" s="3583">
        <f>(CO133-CN133)*10000</f>
        <v>63.842533194063414</v>
      </c>
      <c r="CP135" s="3583">
        <f>(CP133-CO133)*10000</f>
        <v>50.093893937571131</v>
      </c>
      <c r="CQ135" s="3583">
        <f>(CQ133-CP133)*10000</f>
        <v>79.102814747197272</v>
      </c>
      <c r="CR135" s="3582" t="s">
        <v>116</v>
      </c>
      <c r="CS135" s="3583">
        <f>(CS133-CR133)*10000</f>
        <v>62.443826279296452</v>
      </c>
      <c r="CT135" s="3583">
        <f>(CT133-CS133)*10000</f>
        <v>27.043996275763483</v>
      </c>
      <c r="CU135" s="3583">
        <f>(CU133-CT133)*10000</f>
        <v>79.378967943624929</v>
      </c>
      <c r="CV135" s="3583">
        <f>(CV133-CU133)*10000</f>
        <v>218.34220498312433</v>
      </c>
      <c r="CW135" s="3582"/>
      <c r="CX135" s="3583">
        <f>(CX133-CV133)*10000</f>
        <v>-143.00658518890563</v>
      </c>
      <c r="CY135" s="3583">
        <f>(CY133-CX133)*10000</f>
        <v>-56.515326273111896</v>
      </c>
      <c r="CZ135" s="3583">
        <f>(CZ133-CY133)*10000</f>
        <v>2.225459435354904</v>
      </c>
      <c r="DA135" s="3583">
        <f>(DA133-CZ133)*10000</f>
        <v>385.41889682766003</v>
      </c>
      <c r="DB135" s="3582"/>
      <c r="DC135" s="3583">
        <f>(DC133-DA133)*10000</f>
        <v>-113.45088074558169</v>
      </c>
      <c r="DD135" s="3583">
        <f>(DD133-DC133)*10000</f>
        <v>-19.682786980348975</v>
      </c>
      <c r="DE135" s="3583">
        <f>(DE133-DD133)*10000</f>
        <v>-3.4067973019635822</v>
      </c>
      <c r="DF135" s="3583">
        <f>(DF133-DE133)*10000</f>
        <v>386.94408509493098</v>
      </c>
      <c r="DG135" s="3582"/>
      <c r="DH135" s="3583">
        <f>(DH133-DF133)*10000</f>
        <v>-150.29908931954051</v>
      </c>
      <c r="DI135" s="3583">
        <f>(DI133-DH133)*10000</f>
        <v>64.176538612716328</v>
      </c>
      <c r="DJ135" s="3583">
        <f>(DJ133-DI133)*10000</f>
        <v>-94.226321523951668</v>
      </c>
      <c r="DK135" s="3583">
        <f>(DK133-DJ133)*10000</f>
        <v>228.63519321906861</v>
      </c>
      <c r="DL135" s="3582"/>
      <c r="DM135" s="3583">
        <f>(DM133-DK133)*10000</f>
        <v>84.239723728251064</v>
      </c>
      <c r="DN135" s="3583">
        <f>(DN133-DM133)*10000</f>
        <v>295.25577799556777</v>
      </c>
      <c r="DO135" s="3583">
        <f>(DO133-DN133)*10000</f>
        <v>-291.70122772029237</v>
      </c>
      <c r="DP135" s="3583">
        <f>(DP133-DO133)*10000</f>
        <v>-60.677037033778362</v>
      </c>
      <c r="DQ135" s="3582"/>
      <c r="DR135" s="3583">
        <f>(DR133-DP133)*10000</f>
        <v>-142.51677778689464</v>
      </c>
      <c r="DS135" s="3583">
        <f>(DS133-DR133)*10000</f>
        <v>-129.48789117889993</v>
      </c>
      <c r="DT135" s="3583">
        <f>(DT133-DS133)*10000</f>
        <v>3.7624402722694072</v>
      </c>
      <c r="DU135" s="3583">
        <f>(DU133-DT133)*10000</f>
        <v>120.9134792670849</v>
      </c>
      <c r="DV135" s="3582"/>
      <c r="DW135" s="3583">
        <f>(DW133-DU133)*10000</f>
        <v>-7.740193801160089</v>
      </c>
      <c r="DX135" s="3583">
        <f>(DX133-DW133)*10000</f>
        <v>-21.873004903617542</v>
      </c>
      <c r="DY135" s="3583">
        <f>(DY133-DX133)*10000</f>
        <v>230.74146534162844</v>
      </c>
      <c r="DZ135" s="3583">
        <f>(DZ133-DY133)*10000</f>
        <v>149.73507790373264</v>
      </c>
      <c r="EA135" s="3582"/>
      <c r="EB135" s="3583">
        <f>(EB133-DZ133)*10000</f>
        <v>-240.79237904128249</v>
      </c>
      <c r="EC135" s="3583">
        <f>(EC133-EB133)*10000</f>
        <v>-109.36925226668615</v>
      </c>
      <c r="ED135" s="3583">
        <f>(ED133-EC133)*10000</f>
        <v>86.75695842896846</v>
      </c>
      <c r="EE135" s="3583">
        <f>(EE133-ED133)*10000</f>
        <v>48.716408379130272</v>
      </c>
      <c r="EF135" s="3582"/>
      <c r="EG135" s="3583">
        <f>(EG133-EE133)*10000</f>
        <v>-154.67708886973631</v>
      </c>
      <c r="EH135" s="3583">
        <f>(EH133-EG133)*10000</f>
        <v>31.89771921754847</v>
      </c>
      <c r="EI135" s="3583">
        <f>(EI133-EH133)*10000</f>
        <v>-32.331454322934164</v>
      </c>
      <c r="EJ135" s="3583">
        <f>(EJ133-EI133)*10000</f>
        <v>92.861723784405385</v>
      </c>
      <c r="EK135" s="3582"/>
      <c r="EL135" s="3583">
        <f>(EL133-EJ133)*10000</f>
        <v>-164.76631377075446</v>
      </c>
      <c r="EM135" s="3583">
        <f>(EM133-EL133)*10000</f>
        <v>17.501028301742938</v>
      </c>
      <c r="EN135" s="3583">
        <f>(EN133-EM133)*10000</f>
        <v>65.031218325350977</v>
      </c>
      <c r="EO135" s="3583">
        <f>(EO133-EN133)*10000</f>
        <v>122.26990348471189</v>
      </c>
      <c r="EP135" s="3582"/>
      <c r="EQ135" s="3583">
        <f>(EQ133-EO133)*10000</f>
        <v>-146.62436721702366</v>
      </c>
      <c r="ER135" s="3583">
        <f>(ER133-EQ133)*10000</f>
        <v>72.487235336652915</v>
      </c>
      <c r="ES135" s="3583">
        <f>(ES133-ER133)*10000</f>
        <v>128.09993496050666</v>
      </c>
      <c r="ET135" s="3583">
        <f>(ET133-ES133)*10000</f>
        <v>108.3600690836134</v>
      </c>
      <c r="EU135" s="3582"/>
      <c r="EV135" s="3582"/>
      <c r="EW135" s="3582"/>
      <c r="EX135" s="3582"/>
      <c r="EY135" s="3582"/>
      <c r="EZ135" s="209"/>
      <c r="FA135" s="4287"/>
      <c r="FB135" s="4287"/>
      <c r="FC135" s="4287"/>
      <c r="FD135" s="4287"/>
      <c r="FE135" s="4287"/>
      <c r="FF135" s="4287"/>
      <c r="FG135" s="4287"/>
      <c r="FH135" s="4287"/>
      <c r="FI135" s="4287"/>
      <c r="FJ135" s="4287"/>
      <c r="FK135" s="4287"/>
      <c r="FL135" s="4287"/>
    </row>
    <row r="136" spans="1:168" s="259" customFormat="1" ht="11.25" hidden="1" customHeight="1" outlineLevel="1">
      <c r="A136" s="4128" t="s">
        <v>843</v>
      </c>
      <c r="B136" s="2008"/>
      <c r="C136" s="2008"/>
      <c r="D136" s="2008"/>
      <c r="E136" s="2008"/>
      <c r="F136" s="4129"/>
      <c r="G136" s="2008"/>
      <c r="H136" s="2008"/>
      <c r="I136" s="2008"/>
      <c r="J136" s="2008"/>
      <c r="K136" s="4129"/>
      <c r="L136" s="2008"/>
      <c r="M136" s="2008"/>
      <c r="N136" s="2008"/>
      <c r="O136" s="2008"/>
      <c r="P136" s="4130"/>
      <c r="Q136" s="3583"/>
      <c r="R136" s="3583"/>
      <c r="S136" s="3583"/>
      <c r="T136" s="3583"/>
      <c r="U136" s="4130"/>
      <c r="V136" s="3583"/>
      <c r="W136" s="3583"/>
      <c r="X136" s="3583"/>
      <c r="Y136" s="3583"/>
      <c r="Z136" s="4130"/>
      <c r="AA136" s="3583"/>
      <c r="AB136" s="3583"/>
      <c r="AC136" s="3583"/>
      <c r="AD136" s="3583"/>
      <c r="AE136" s="4130"/>
      <c r="AF136" s="3583"/>
      <c r="AG136" s="3583"/>
      <c r="AH136" s="3583"/>
      <c r="AI136" s="3583"/>
      <c r="AJ136" s="4130"/>
      <c r="AK136" s="3583"/>
      <c r="AL136" s="3583"/>
      <c r="AM136" s="3583"/>
      <c r="AN136" s="3583"/>
      <c r="AO136" s="4130"/>
      <c r="AP136" s="3583"/>
      <c r="AQ136" s="3583"/>
      <c r="AR136" s="3583"/>
      <c r="AS136" s="3583"/>
      <c r="AT136" s="4130"/>
      <c r="AU136" s="3583"/>
      <c r="AV136" s="3583"/>
      <c r="AW136" s="3583"/>
      <c r="AX136" s="3583"/>
      <c r="AY136" s="4130"/>
      <c r="AZ136" s="3583"/>
      <c r="BA136" s="3583"/>
      <c r="BB136" s="3583"/>
      <c r="BC136" s="3583"/>
      <c r="BD136" s="4130"/>
      <c r="BE136" s="4131"/>
      <c r="BF136" s="3583"/>
      <c r="BG136" s="3583"/>
      <c r="BH136" s="3583"/>
      <c r="BI136" s="4130"/>
      <c r="BJ136" s="3583"/>
      <c r="BK136" s="3583"/>
      <c r="BL136" s="3583"/>
      <c r="BM136" s="3583"/>
      <c r="BN136" s="4130"/>
      <c r="BO136" s="3583"/>
      <c r="BP136" s="3583"/>
      <c r="BQ136" s="3583"/>
      <c r="BR136" s="3585"/>
      <c r="BS136" s="4132"/>
      <c r="BT136" s="3583"/>
      <c r="BU136" s="3583"/>
      <c r="BV136" s="3583"/>
      <c r="BW136" s="3583"/>
      <c r="BX136" s="4130"/>
      <c r="BY136" s="3583"/>
      <c r="BZ136" s="3583"/>
      <c r="CA136" s="3583"/>
      <c r="CB136" s="3583"/>
      <c r="CC136" s="4130"/>
      <c r="CD136" s="3583"/>
      <c r="CE136" s="3583"/>
      <c r="CF136" s="3583"/>
      <c r="CG136" s="3583"/>
      <c r="CH136" s="4130"/>
      <c r="CI136" s="3583"/>
      <c r="CJ136" s="3583"/>
      <c r="CK136" s="3583"/>
      <c r="CL136" s="3583"/>
      <c r="CM136" s="4130"/>
      <c r="CN136" s="3583"/>
      <c r="CO136" s="3583"/>
      <c r="CP136" s="3583"/>
      <c r="CQ136" s="3583"/>
      <c r="CR136" s="4130"/>
      <c r="CS136" s="3583"/>
      <c r="CT136" s="3583"/>
      <c r="CU136" s="3583"/>
      <c r="CV136" s="3583"/>
      <c r="CW136" s="4133">
        <f t="shared" ref="CW136:EB136" si="573">CW55/CW12</f>
        <v>0.33491414554374488</v>
      </c>
      <c r="CX136" s="4022">
        <f t="shared" si="573"/>
        <v>0.29094076655052264</v>
      </c>
      <c r="CY136" s="4022">
        <f t="shared" si="573"/>
        <v>0.30764861794774706</v>
      </c>
      <c r="CZ136" s="4022">
        <f t="shared" si="573"/>
        <v>0.31190223166843783</v>
      </c>
      <c r="DA136" s="4022">
        <f t="shared" si="573"/>
        <v>0.25917871306127671</v>
      </c>
      <c r="DB136" s="4133">
        <f t="shared" si="573"/>
        <v>0.28919744050855256</v>
      </c>
      <c r="DC136" s="4022">
        <f t="shared" si="573"/>
        <v>0.27664020058503969</v>
      </c>
      <c r="DD136" s="4022">
        <f t="shared" si="573"/>
        <v>0.28326410290767789</v>
      </c>
      <c r="DE136" s="4022">
        <f t="shared" si="573"/>
        <v>0.30588388102350955</v>
      </c>
      <c r="DF136" s="4022">
        <f t="shared" si="573"/>
        <v>0.24613623354321695</v>
      </c>
      <c r="DG136" s="4133">
        <f t="shared" si="573"/>
        <v>0.27526429637754013</v>
      </c>
      <c r="DH136" s="4022">
        <f t="shared" si="573"/>
        <v>0.28551136363636365</v>
      </c>
      <c r="DI136" s="4022">
        <f t="shared" si="573"/>
        <v>0.2818651819447206</v>
      </c>
      <c r="DJ136" s="4022">
        <f t="shared" si="573"/>
        <v>0.28974002778329033</v>
      </c>
      <c r="DK136" s="4022">
        <f t="shared" si="573"/>
        <v>0.27262560907420719</v>
      </c>
      <c r="DL136" s="4133">
        <f t="shared" si="573"/>
        <v>0.28179491472719881</v>
      </c>
      <c r="DM136" s="4022">
        <f t="shared" si="573"/>
        <v>0.26955767562879446</v>
      </c>
      <c r="DN136" s="4022">
        <f t="shared" si="573"/>
        <v>0.28552154481828146</v>
      </c>
      <c r="DO136" s="4022">
        <f t="shared" si="573"/>
        <v>0.26855069106632695</v>
      </c>
      <c r="DP136" s="4022">
        <f t="shared" si="573"/>
        <v>0.23856795183809401</v>
      </c>
      <c r="DQ136" s="4133">
        <f t="shared" si="573"/>
        <v>0.26363706355622279</v>
      </c>
      <c r="DR136" s="4022">
        <f t="shared" si="573"/>
        <v>0.19130011812938641</v>
      </c>
      <c r="DS136" s="4022">
        <f t="shared" si="573"/>
        <v>0.1925088246829651</v>
      </c>
      <c r="DT136" s="4022">
        <f t="shared" si="573"/>
        <v>0.2049246418160392</v>
      </c>
      <c r="DU136" s="4022">
        <f t="shared" si="573"/>
        <v>0.17580900771944175</v>
      </c>
      <c r="DV136" s="4133">
        <f t="shared" si="573"/>
        <v>0.19030792529025745</v>
      </c>
      <c r="DW136" s="4022">
        <f t="shared" si="573"/>
        <v>0.21477653472656028</v>
      </c>
      <c r="DX136" s="4022">
        <f t="shared" si="573"/>
        <v>0.2179429849077697</v>
      </c>
      <c r="DY136" s="4022">
        <f t="shared" si="573"/>
        <v>0.20929029588247466</v>
      </c>
      <c r="DZ136" s="4022">
        <f t="shared" si="573"/>
        <v>0.18740241780791364</v>
      </c>
      <c r="EA136" s="4133">
        <f t="shared" si="573"/>
        <v>0.2061930405965203</v>
      </c>
      <c r="EB136" s="4022">
        <f t="shared" si="573"/>
        <v>0.1686517389232968</v>
      </c>
      <c r="EC136" s="4022">
        <f t="shared" ref="EC136:EX136" si="574">EC55/EC12</f>
        <v>0.17529284276794468</v>
      </c>
      <c r="ED136" s="4022">
        <f t="shared" si="574"/>
        <v>0.18458250352163988</v>
      </c>
      <c r="EE136" s="4022">
        <f t="shared" si="574"/>
        <v>0.1405739963542329</v>
      </c>
      <c r="EF136" s="4133">
        <f t="shared" si="574"/>
        <v>0.1661572423161827</v>
      </c>
      <c r="EG136" s="4022">
        <f t="shared" si="574"/>
        <v>0.16435519599345083</v>
      </c>
      <c r="EH136" s="4022">
        <f t="shared" si="574"/>
        <v>0.16763110307414106</v>
      </c>
      <c r="EI136" s="4022">
        <f t="shared" si="574"/>
        <v>0.17512634585805317</v>
      </c>
      <c r="EJ136" s="4022">
        <f t="shared" si="574"/>
        <v>0.16320589947603337</v>
      </c>
      <c r="EK136" s="4133">
        <f t="shared" si="574"/>
        <v>0.16750541539942673</v>
      </c>
      <c r="EL136" s="4022">
        <f t="shared" si="574"/>
        <v>0.19842568434086588</v>
      </c>
      <c r="EM136" s="4022">
        <f t="shared" si="574"/>
        <v>0.2053916331059423</v>
      </c>
      <c r="EN136" s="4022">
        <f t="shared" ref="EN136" si="575">EN55/EN12</f>
        <v>0.21179179405880799</v>
      </c>
      <c r="EO136" s="4022">
        <f t="shared" si="574"/>
        <v>0.21135646687697163</v>
      </c>
      <c r="EP136" s="4133">
        <f t="shared" si="574"/>
        <v>0.20725493343731016</v>
      </c>
      <c r="EQ136" s="4022">
        <f t="shared" ref="EQ136:EU136" si="576">EQ55/EQ12</f>
        <v>0.27666666666666667</v>
      </c>
      <c r="ER136" s="4022">
        <f t="shared" si="576"/>
        <v>0.29315960912052119</v>
      </c>
      <c r="ES136" s="4022">
        <f t="shared" si="576"/>
        <v>0.29374999999999996</v>
      </c>
      <c r="ET136" s="4022">
        <f t="shared" si="576"/>
        <v>0.29216867469879515</v>
      </c>
      <c r="EU136" s="4133">
        <f t="shared" si="576"/>
        <v>0.28948836431618202</v>
      </c>
      <c r="EV136" s="4133">
        <f t="shared" si="574"/>
        <v>0.33033033033033032</v>
      </c>
      <c r="EW136" s="4133">
        <f t="shared" si="574"/>
        <v>0.32352941176470584</v>
      </c>
      <c r="EX136" s="4133">
        <f t="shared" si="574"/>
        <v>0.3128654970760234</v>
      </c>
      <c r="EY136" s="4133">
        <f t="shared" ref="EY136" si="577">EY55/EY12</f>
        <v>0.30498533724340171</v>
      </c>
      <c r="EZ136" s="209"/>
      <c r="FA136" s="4287"/>
      <c r="FB136" s="4287"/>
      <c r="FC136" s="4287"/>
      <c r="FD136" s="4287"/>
      <c r="FE136" s="4287"/>
      <c r="FF136" s="4287"/>
      <c r="FG136" s="4287"/>
      <c r="FH136" s="4287"/>
      <c r="FI136" s="4287"/>
      <c r="FJ136" s="4287"/>
      <c r="FK136" s="4287"/>
      <c r="FL136" s="4287"/>
    </row>
    <row r="137" spans="1:168" ht="11.25" customHeight="1" collapsed="1">
      <c r="A137" s="3765" t="s">
        <v>187</v>
      </c>
      <c r="B137" s="124"/>
      <c r="C137" s="124"/>
      <c r="D137" s="124"/>
      <c r="E137" s="124"/>
      <c r="F137" s="997"/>
      <c r="G137" s="124"/>
      <c r="H137" s="124"/>
      <c r="I137" s="124"/>
      <c r="J137" s="124"/>
      <c r="K137" s="997"/>
      <c r="L137" s="124"/>
      <c r="M137" s="124"/>
      <c r="N137" s="124"/>
      <c r="O137" s="124"/>
      <c r="P137" s="997"/>
      <c r="Q137" s="124"/>
      <c r="R137" s="124"/>
      <c r="S137" s="124"/>
      <c r="T137" s="124"/>
      <c r="U137" s="997"/>
      <c r="V137" s="124"/>
      <c r="W137" s="124"/>
      <c r="X137" s="124"/>
      <c r="Y137" s="124"/>
      <c r="Z137" s="997"/>
      <c r="AA137" s="124"/>
      <c r="AB137" s="124"/>
      <c r="AC137" s="124"/>
      <c r="AD137" s="124"/>
      <c r="AE137" s="997"/>
      <c r="AF137" s="124"/>
      <c r="AG137" s="124"/>
      <c r="AH137" s="124"/>
      <c r="AI137" s="124"/>
      <c r="AJ137" s="997"/>
      <c r="AK137" s="124"/>
      <c r="AL137" s="124"/>
      <c r="AM137" s="124"/>
      <c r="AN137" s="124"/>
      <c r="AO137" s="997"/>
      <c r="AP137" s="124"/>
      <c r="AQ137" s="124"/>
      <c r="AR137" s="124"/>
      <c r="AS137" s="124"/>
      <c r="AT137" s="997"/>
      <c r="AU137" s="124"/>
      <c r="AV137" s="124"/>
      <c r="AW137" s="124"/>
      <c r="AX137" s="124"/>
      <c r="AY137" s="997"/>
      <c r="AZ137" s="124"/>
      <c r="BA137" s="124"/>
      <c r="BB137" s="124"/>
      <c r="BC137" s="124"/>
      <c r="BD137" s="997"/>
      <c r="BE137" s="1688"/>
      <c r="BF137" s="124"/>
      <c r="BG137" s="124"/>
      <c r="BH137" s="124"/>
      <c r="BI137" s="997"/>
      <c r="BJ137" s="124"/>
      <c r="BK137" s="124"/>
      <c r="BL137" s="124"/>
      <c r="BM137" s="124"/>
      <c r="BN137" s="997"/>
      <c r="BO137" s="124"/>
      <c r="BP137" s="124"/>
      <c r="BQ137" s="124"/>
      <c r="BR137" s="123"/>
      <c r="BS137" s="1761"/>
      <c r="BT137" s="124"/>
      <c r="BU137" s="124"/>
      <c r="BV137" s="124"/>
      <c r="BW137" s="124"/>
      <c r="BX137" s="997"/>
      <c r="BY137" s="124"/>
      <c r="BZ137" s="124"/>
      <c r="CA137" s="124"/>
      <c r="CB137" s="124"/>
      <c r="CC137" s="997"/>
      <c r="CD137" s="124"/>
      <c r="CE137" s="124"/>
      <c r="CF137" s="124"/>
      <c r="CG137" s="124">
        <f>CG17/CG$7</f>
        <v>0.12306614885083084</v>
      </c>
      <c r="CH137" s="997"/>
      <c r="CI137" s="124">
        <f t="shared" ref="CI137:DN137" si="578">CI17/CI$7</f>
        <v>0.13787289234760053</v>
      </c>
      <c r="CJ137" s="124">
        <f t="shared" si="578"/>
        <v>0.14026950799122531</v>
      </c>
      <c r="CK137" s="124">
        <f t="shared" si="578"/>
        <v>0.16068510561036131</v>
      </c>
      <c r="CL137" s="124">
        <f t="shared" si="578"/>
        <v>0.15538860962271447</v>
      </c>
      <c r="CM137" s="997">
        <f t="shared" si="578"/>
        <v>0.14896743988727443</v>
      </c>
      <c r="CN137" s="124">
        <f t="shared" si="578"/>
        <v>0.15952022250550468</v>
      </c>
      <c r="CO137" s="124">
        <f t="shared" si="578"/>
        <v>0.1573306255993682</v>
      </c>
      <c r="CP137" s="124">
        <f t="shared" si="578"/>
        <v>0.17295850066934404</v>
      </c>
      <c r="CQ137" s="124">
        <f t="shared" si="578"/>
        <v>0.16456467720005627</v>
      </c>
      <c r="CR137" s="997">
        <f t="shared" si="578"/>
        <v>0.16378402165650963</v>
      </c>
      <c r="CS137" s="124">
        <f t="shared" si="578"/>
        <v>0.16621414819568545</v>
      </c>
      <c r="CT137" s="124">
        <f t="shared" si="578"/>
        <v>0.15641860465116278</v>
      </c>
      <c r="CU137" s="124">
        <f t="shared" si="578"/>
        <v>0.16017103915193087</v>
      </c>
      <c r="CV137" s="124">
        <f t="shared" si="578"/>
        <v>0.13896562308164517</v>
      </c>
      <c r="CW137" s="997">
        <f t="shared" si="578"/>
        <v>0.15451081176887629</v>
      </c>
      <c r="CX137" s="124">
        <f t="shared" si="578"/>
        <v>0.15927272727272726</v>
      </c>
      <c r="CY137" s="124">
        <f t="shared" si="578"/>
        <v>0.160399846212995</v>
      </c>
      <c r="CZ137" s="124">
        <f t="shared" si="578"/>
        <v>0.15141149359066686</v>
      </c>
      <c r="DA137" s="124">
        <f t="shared" si="578"/>
        <v>0.13321783250317112</v>
      </c>
      <c r="DB137" s="997">
        <f t="shared" si="578"/>
        <v>0.14997068242298497</v>
      </c>
      <c r="DC137" s="124">
        <f t="shared" si="578"/>
        <v>0.16178642522314263</v>
      </c>
      <c r="DD137" s="124">
        <f t="shared" si="578"/>
        <v>0.1565973604433965</v>
      </c>
      <c r="DE137" s="124">
        <f t="shared" si="578"/>
        <v>0.15506816834617665</v>
      </c>
      <c r="DF137" s="124">
        <f t="shared" si="578"/>
        <v>0.15363071595885527</v>
      </c>
      <c r="DG137" s="997">
        <f t="shared" si="578"/>
        <v>0.15654989438601363</v>
      </c>
      <c r="DH137" s="124">
        <f t="shared" si="578"/>
        <v>0.16590990395993285</v>
      </c>
      <c r="DI137" s="124">
        <f t="shared" si="578"/>
        <v>0.15953677074774034</v>
      </c>
      <c r="DJ137" s="124">
        <f t="shared" si="578"/>
        <v>0.16183115632484751</v>
      </c>
      <c r="DK137" s="124">
        <f t="shared" si="578"/>
        <v>0.15674443841562669</v>
      </c>
      <c r="DL137" s="997">
        <f t="shared" si="578"/>
        <v>0.16074683208016954</v>
      </c>
      <c r="DM137" s="124">
        <f t="shared" si="578"/>
        <v>0.16569887509414707</v>
      </c>
      <c r="DN137" s="124">
        <f t="shared" si="578"/>
        <v>0.17951797790949683</v>
      </c>
      <c r="DO137" s="124">
        <f t="shared" ref="DO137:EX137" si="579">DO17/DO$7</f>
        <v>0.14848504537283694</v>
      </c>
      <c r="DP137" s="124">
        <f t="shared" si="579"/>
        <v>0.12341382825406869</v>
      </c>
      <c r="DQ137" s="997">
        <f t="shared" si="579"/>
        <v>0.15106258252203783</v>
      </c>
      <c r="DR137" s="124">
        <f t="shared" si="579"/>
        <v>0.13531836424774921</v>
      </c>
      <c r="DS137" s="124">
        <f t="shared" si="579"/>
        <v>0.12403038138332256</v>
      </c>
      <c r="DT137" s="124">
        <f t="shared" si="579"/>
        <v>0.11815473448201726</v>
      </c>
      <c r="DU137" s="124">
        <f t="shared" si="579"/>
        <v>0.11560570859608364</v>
      </c>
      <c r="DV137" s="997">
        <f t="shared" si="579"/>
        <v>0.12250569599863374</v>
      </c>
      <c r="DW137" s="124">
        <f t="shared" si="579"/>
        <v>0.13408125156224729</v>
      </c>
      <c r="DX137" s="124">
        <f t="shared" si="579"/>
        <v>0.14122120972949703</v>
      </c>
      <c r="DY137" s="124">
        <f t="shared" si="579"/>
        <v>0.14868581022404909</v>
      </c>
      <c r="DZ137" s="124">
        <f t="shared" si="579"/>
        <v>0.13500683778666106</v>
      </c>
      <c r="EA137" s="997">
        <f t="shared" si="579"/>
        <v>0.13965690364734334</v>
      </c>
      <c r="EB137" s="124">
        <f t="shared" si="579"/>
        <v>0.16432859988249959</v>
      </c>
      <c r="EC137" s="124">
        <f t="shared" si="579"/>
        <v>0.14192268511071793</v>
      </c>
      <c r="ED137" s="124">
        <f t="shared" si="579"/>
        <v>0.14679305803658743</v>
      </c>
      <c r="EE137" s="124">
        <f t="shared" si="579"/>
        <v>0.14034294983200093</v>
      </c>
      <c r="EF137" s="997">
        <f t="shared" si="579"/>
        <v>0.14778102370247956</v>
      </c>
      <c r="EG137" s="124">
        <f t="shared" si="579"/>
        <v>0.1477917530637331</v>
      </c>
      <c r="EH137" s="124">
        <f t="shared" si="579"/>
        <v>0.13995421396710014</v>
      </c>
      <c r="EI137" s="124">
        <f t="shared" si="579"/>
        <v>0.1410137309104092</v>
      </c>
      <c r="EJ137" s="124">
        <f t="shared" si="579"/>
        <v>0.13596077496397807</v>
      </c>
      <c r="EK137" s="997">
        <f t="shared" si="579"/>
        <v>0.14092418104211785</v>
      </c>
      <c r="EL137" s="124">
        <f t="shared" si="579"/>
        <v>0.15023162001019572</v>
      </c>
      <c r="EM137" s="124">
        <f t="shared" si="579"/>
        <v>0.1431949226365786</v>
      </c>
      <c r="EN137" s="124">
        <f t="shared" ref="EN137" si="580">EN17/EN$7</f>
        <v>0.14803705078850174</v>
      </c>
      <c r="EO137" s="124">
        <f t="shared" si="579"/>
        <v>0.14024545373393688</v>
      </c>
      <c r="EP137" s="997">
        <f t="shared" si="579"/>
        <v>0.14518731164736814</v>
      </c>
      <c r="EQ137" s="124">
        <f t="shared" ref="EQ137:EU137" si="581">EQ17/EQ$7</f>
        <v>0.15299831887850579</v>
      </c>
      <c r="ER137" s="124">
        <f t="shared" si="581"/>
        <v>0.14686532013009862</v>
      </c>
      <c r="ES137" s="124">
        <f t="shared" si="581"/>
        <v>0.15120026278068094</v>
      </c>
      <c r="ET137" s="124">
        <f t="shared" si="581"/>
        <v>0.14279283260411169</v>
      </c>
      <c r="EU137" s="997">
        <f t="shared" si="581"/>
        <v>0.14822364084068085</v>
      </c>
      <c r="EV137" s="997">
        <f t="shared" si="579"/>
        <v>0.1466474804201913</v>
      </c>
      <c r="EW137" s="997">
        <f t="shared" si="579"/>
        <v>0.14318478614350064</v>
      </c>
      <c r="EX137" s="997">
        <f t="shared" si="579"/>
        <v>0.14046438258182575</v>
      </c>
      <c r="EY137" s="997">
        <f t="shared" ref="EY137" si="582">EY17/EY$7</f>
        <v>0.13762867981571511</v>
      </c>
      <c r="EZ137" s="127"/>
      <c r="FA137" s="2660"/>
      <c r="FB137" s="2660"/>
      <c r="FC137" s="2660"/>
      <c r="FD137" s="2660"/>
      <c r="FE137" s="2660"/>
      <c r="FF137" s="2660"/>
      <c r="FG137" s="2660"/>
      <c r="FH137" s="2660"/>
      <c r="FI137" s="2660"/>
      <c r="FJ137" s="2660"/>
      <c r="FK137" s="2660"/>
      <c r="FL137" s="2660"/>
    </row>
    <row r="138" spans="1:168" s="259" customFormat="1" ht="11.25" hidden="1" customHeight="1" outlineLevel="1">
      <c r="A138" s="3768" t="s">
        <v>734</v>
      </c>
      <c r="B138" s="2008"/>
      <c r="C138" s="2008"/>
      <c r="D138" s="2008"/>
      <c r="E138" s="2008"/>
      <c r="F138" s="2009"/>
      <c r="G138" s="2008"/>
      <c r="H138" s="2008"/>
      <c r="I138" s="2008"/>
      <c r="J138" s="2008"/>
      <c r="K138" s="2009"/>
      <c r="L138" s="2008"/>
      <c r="M138" s="2008"/>
      <c r="N138" s="2008"/>
      <c r="O138" s="2008"/>
      <c r="P138" s="3582" t="s">
        <v>116</v>
      </c>
      <c r="Q138" s="3583" t="s">
        <v>116</v>
      </c>
      <c r="R138" s="3583" t="s">
        <v>116</v>
      </c>
      <c r="S138" s="3583" t="s">
        <v>116</v>
      </c>
      <c r="T138" s="3583" t="s">
        <v>116</v>
      </c>
      <c r="U138" s="3582">
        <f t="shared" ref="U138:BN138" si="583">(U137-P137)*10000</f>
        <v>0</v>
      </c>
      <c r="V138" s="3583">
        <f t="shared" si="583"/>
        <v>0</v>
      </c>
      <c r="W138" s="3583">
        <f t="shared" si="583"/>
        <v>0</v>
      </c>
      <c r="X138" s="3583">
        <f t="shared" si="583"/>
        <v>0</v>
      </c>
      <c r="Y138" s="3583">
        <f t="shared" si="583"/>
        <v>0</v>
      </c>
      <c r="Z138" s="3582">
        <f t="shared" si="583"/>
        <v>0</v>
      </c>
      <c r="AA138" s="3583">
        <f t="shared" si="583"/>
        <v>0</v>
      </c>
      <c r="AB138" s="3583">
        <f t="shared" si="583"/>
        <v>0</v>
      </c>
      <c r="AC138" s="3583">
        <f t="shared" si="583"/>
        <v>0</v>
      </c>
      <c r="AD138" s="3583">
        <f t="shared" si="583"/>
        <v>0</v>
      </c>
      <c r="AE138" s="3582">
        <f t="shared" si="583"/>
        <v>0</v>
      </c>
      <c r="AF138" s="3583">
        <f t="shared" si="583"/>
        <v>0</v>
      </c>
      <c r="AG138" s="3583">
        <f t="shared" si="583"/>
        <v>0</v>
      </c>
      <c r="AH138" s="3583">
        <f t="shared" si="583"/>
        <v>0</v>
      </c>
      <c r="AI138" s="3583">
        <f t="shared" si="583"/>
        <v>0</v>
      </c>
      <c r="AJ138" s="3582">
        <f t="shared" si="583"/>
        <v>0</v>
      </c>
      <c r="AK138" s="3583">
        <f t="shared" si="583"/>
        <v>0</v>
      </c>
      <c r="AL138" s="3583">
        <f t="shared" si="583"/>
        <v>0</v>
      </c>
      <c r="AM138" s="3583">
        <f t="shared" si="583"/>
        <v>0</v>
      </c>
      <c r="AN138" s="3583">
        <f t="shared" si="583"/>
        <v>0</v>
      </c>
      <c r="AO138" s="3582">
        <f t="shared" si="583"/>
        <v>0</v>
      </c>
      <c r="AP138" s="3583">
        <f t="shared" si="583"/>
        <v>0</v>
      </c>
      <c r="AQ138" s="3583">
        <f t="shared" si="583"/>
        <v>0</v>
      </c>
      <c r="AR138" s="3583">
        <f t="shared" si="583"/>
        <v>0</v>
      </c>
      <c r="AS138" s="3583">
        <f t="shared" si="583"/>
        <v>0</v>
      </c>
      <c r="AT138" s="3582">
        <f t="shared" si="583"/>
        <v>0</v>
      </c>
      <c r="AU138" s="3583">
        <f t="shared" si="583"/>
        <v>0</v>
      </c>
      <c r="AV138" s="3583">
        <f t="shared" si="583"/>
        <v>0</v>
      </c>
      <c r="AW138" s="3583">
        <f t="shared" si="583"/>
        <v>0</v>
      </c>
      <c r="AX138" s="3583">
        <f t="shared" si="583"/>
        <v>0</v>
      </c>
      <c r="AY138" s="3582">
        <f t="shared" si="583"/>
        <v>0</v>
      </c>
      <c r="AZ138" s="3583">
        <f t="shared" si="583"/>
        <v>0</v>
      </c>
      <c r="BA138" s="3583">
        <f t="shared" si="583"/>
        <v>0</v>
      </c>
      <c r="BB138" s="3583">
        <f t="shared" si="583"/>
        <v>0</v>
      </c>
      <c r="BC138" s="3583">
        <f t="shared" si="583"/>
        <v>0</v>
      </c>
      <c r="BD138" s="3582">
        <f t="shared" si="583"/>
        <v>0</v>
      </c>
      <c r="BE138" s="3584">
        <f t="shared" si="583"/>
        <v>0</v>
      </c>
      <c r="BF138" s="3583">
        <f t="shared" si="583"/>
        <v>0</v>
      </c>
      <c r="BG138" s="3583">
        <f t="shared" si="583"/>
        <v>0</v>
      </c>
      <c r="BH138" s="3583">
        <f t="shared" si="583"/>
        <v>0</v>
      </c>
      <c r="BI138" s="3582">
        <f t="shared" si="583"/>
        <v>0</v>
      </c>
      <c r="BJ138" s="3583">
        <f t="shared" si="583"/>
        <v>0</v>
      </c>
      <c r="BK138" s="3583">
        <f t="shared" si="583"/>
        <v>0</v>
      </c>
      <c r="BL138" s="3583">
        <f t="shared" si="583"/>
        <v>0</v>
      </c>
      <c r="BM138" s="3583">
        <f t="shared" si="583"/>
        <v>0</v>
      </c>
      <c r="BN138" s="3582">
        <f t="shared" si="583"/>
        <v>0</v>
      </c>
      <c r="BO138" s="3583">
        <v>-73.910139803692317</v>
      </c>
      <c r="BP138" s="3583">
        <v>-647.08175120074429</v>
      </c>
      <c r="BQ138" s="3583">
        <v>-1402.9798881989602</v>
      </c>
      <c r="BR138" s="3585">
        <v>-980.8960342866219</v>
      </c>
      <c r="BS138" s="3586">
        <v>-838.68155981038365</v>
      </c>
      <c r="BT138" s="3583">
        <f>(BT137-BJ137)*10000</f>
        <v>0</v>
      </c>
      <c r="BU138" s="3583">
        <f>(BU137-BK137)*10000</f>
        <v>0</v>
      </c>
      <c r="BV138" s="3583">
        <f>(BV137-BL137)*10000</f>
        <v>0</v>
      </c>
      <c r="BW138" s="3583">
        <f>(BW137-BM137)*10000</f>
        <v>0</v>
      </c>
      <c r="BX138" s="3582">
        <f>(BX137-BN137)*10000</f>
        <v>0</v>
      </c>
      <c r="BY138" s="3583">
        <v>-963.16614520714324</v>
      </c>
      <c r="BZ138" s="3583">
        <v>-355.43789780665304</v>
      </c>
      <c r="CA138" s="3583">
        <v>364.92085531369065</v>
      </c>
      <c r="CB138" s="3583">
        <v>-271.55670067847359</v>
      </c>
      <c r="CC138" s="3582">
        <v>-250.80202387558427</v>
      </c>
      <c r="CD138" s="3583">
        <f>(CD137-BT137)*10000</f>
        <v>0</v>
      </c>
      <c r="CE138" s="3583">
        <f>(CE137-BU137)*10000</f>
        <v>0</v>
      </c>
      <c r="CF138" s="3583">
        <f>(CF137-BV137)*10000</f>
        <v>0</v>
      </c>
      <c r="CG138" s="3583">
        <f>(CG137-BW137)*10000</f>
        <v>1230.6614885083084</v>
      </c>
      <c r="CH138" s="3582">
        <f>(CH137-BX137)*10000</f>
        <v>0</v>
      </c>
      <c r="CI138" s="3583">
        <f t="shared" ref="CI138:DG138" si="584">(CI137-CD137)*10000</f>
        <v>1378.7289234760053</v>
      </c>
      <c r="CJ138" s="3583">
        <f t="shared" si="584"/>
        <v>1402.695079912253</v>
      </c>
      <c r="CK138" s="3583">
        <f t="shared" si="584"/>
        <v>1606.851056103613</v>
      </c>
      <c r="CL138" s="3583">
        <f t="shared" si="584"/>
        <v>323.22460771883635</v>
      </c>
      <c r="CM138" s="3582">
        <f t="shared" si="584"/>
        <v>1489.6743988727442</v>
      </c>
      <c r="CN138" s="3583">
        <f t="shared" si="584"/>
        <v>216.47330157904153</v>
      </c>
      <c r="CO138" s="3583">
        <f t="shared" si="584"/>
        <v>170.61117608142885</v>
      </c>
      <c r="CP138" s="3583">
        <f t="shared" si="584"/>
        <v>122.73395058982727</v>
      </c>
      <c r="CQ138" s="3583">
        <f t="shared" si="584"/>
        <v>91.760675773417958</v>
      </c>
      <c r="CR138" s="3582">
        <f t="shared" si="584"/>
        <v>148.16581769235199</v>
      </c>
      <c r="CS138" s="3583">
        <f t="shared" si="584"/>
        <v>66.939256901807624</v>
      </c>
      <c r="CT138" s="3583">
        <f t="shared" si="584"/>
        <v>-9.1202094820541646</v>
      </c>
      <c r="CU138" s="3583">
        <f t="shared" si="584"/>
        <v>-127.87461517413168</v>
      </c>
      <c r="CV138" s="3583">
        <f t="shared" si="584"/>
        <v>-255.99054118411095</v>
      </c>
      <c r="CW138" s="3582">
        <f t="shared" si="584"/>
        <v>-92.732098876333325</v>
      </c>
      <c r="CX138" s="3583">
        <f t="shared" si="584"/>
        <v>-69.414209229581857</v>
      </c>
      <c r="CY138" s="3583">
        <f t="shared" si="584"/>
        <v>39.812415618322163</v>
      </c>
      <c r="CZ138" s="3583">
        <f t="shared" si="584"/>
        <v>-87.595455612640151</v>
      </c>
      <c r="DA138" s="3583">
        <f t="shared" si="584"/>
        <v>-57.477905784740493</v>
      </c>
      <c r="DB138" s="3582">
        <f t="shared" si="584"/>
        <v>-45.401293458913194</v>
      </c>
      <c r="DC138" s="3583">
        <f t="shared" si="584"/>
        <v>25.136979504153668</v>
      </c>
      <c r="DD138" s="3583">
        <f t="shared" si="584"/>
        <v>-38.024857695984906</v>
      </c>
      <c r="DE138" s="3583">
        <f t="shared" si="584"/>
        <v>36.566747555097919</v>
      </c>
      <c r="DF138" s="3583">
        <f t="shared" si="584"/>
        <v>204.1288345568415</v>
      </c>
      <c r="DG138" s="3582">
        <f t="shared" si="584"/>
        <v>65.792119630286578</v>
      </c>
      <c r="DH138" s="3583">
        <f t="shared" ref="DH138:DQ138" si="585">(DH137-DC137)*10000</f>
        <v>41.234787367902257</v>
      </c>
      <c r="DI138" s="3583">
        <f t="shared" si="585"/>
        <v>29.394103043438314</v>
      </c>
      <c r="DJ138" s="3583">
        <f t="shared" si="585"/>
        <v>67.629879786708642</v>
      </c>
      <c r="DK138" s="3583">
        <f t="shared" si="585"/>
        <v>31.137224567714117</v>
      </c>
      <c r="DL138" s="3582">
        <f t="shared" si="585"/>
        <v>41.969376941559112</v>
      </c>
      <c r="DM138" s="3583">
        <f t="shared" si="585"/>
        <v>-2.110288657857784</v>
      </c>
      <c r="DN138" s="3583">
        <f t="shared" si="585"/>
        <v>199.81207161756498</v>
      </c>
      <c r="DO138" s="3583">
        <f t="shared" si="585"/>
        <v>-133.46110952010577</v>
      </c>
      <c r="DP138" s="3583">
        <f t="shared" si="585"/>
        <v>-333.30610161558002</v>
      </c>
      <c r="DQ138" s="3582">
        <f t="shared" si="585"/>
        <v>-96.842495581317138</v>
      </c>
      <c r="DR138" s="3583">
        <f t="shared" ref="DR138:EN138" si="586">(DR137-DM137)*10000</f>
        <v>-303.80510846397868</v>
      </c>
      <c r="DS138" s="3583">
        <f t="shared" si="586"/>
        <v>-554.87596526174275</v>
      </c>
      <c r="DT138" s="3583">
        <f t="shared" si="586"/>
        <v>-303.3031089081968</v>
      </c>
      <c r="DU138" s="3583">
        <f t="shared" si="586"/>
        <v>-78.081196579850442</v>
      </c>
      <c r="DV138" s="3582">
        <f t="shared" si="586"/>
        <v>-285.56886523404086</v>
      </c>
      <c r="DW138" s="3583">
        <f t="shared" si="586"/>
        <v>-12.371126855019178</v>
      </c>
      <c r="DX138" s="3583">
        <f t="shared" si="586"/>
        <v>171.9082834617447</v>
      </c>
      <c r="DY138" s="3583">
        <f t="shared" si="586"/>
        <v>305.31075742031828</v>
      </c>
      <c r="DZ138" s="3583">
        <f t="shared" si="586"/>
        <v>194.01129190577419</v>
      </c>
      <c r="EA138" s="3582">
        <f t="shared" si="586"/>
        <v>171.51207648709601</v>
      </c>
      <c r="EB138" s="3583">
        <f t="shared" si="586"/>
        <v>302.47348320252303</v>
      </c>
      <c r="EC138" s="3583">
        <f t="shared" si="586"/>
        <v>7.0147538122089514</v>
      </c>
      <c r="ED138" s="3583">
        <f t="shared" si="586"/>
        <v>-18.927521874616549</v>
      </c>
      <c r="EE138" s="3583">
        <f t="shared" si="586"/>
        <v>53.361120453398748</v>
      </c>
      <c r="EF138" s="3582">
        <f t="shared" ref="EF138:EK138" si="587">(EF137-EA137)*10000</f>
        <v>81.241200551362141</v>
      </c>
      <c r="EG138" s="3583">
        <f t="shared" si="586"/>
        <v>-165.36846818766492</v>
      </c>
      <c r="EH138" s="3583">
        <f t="shared" si="586"/>
        <v>-19.684711436177839</v>
      </c>
      <c r="EI138" s="3583">
        <f t="shared" si="586"/>
        <v>-57.793271261782351</v>
      </c>
      <c r="EJ138" s="3583">
        <f t="shared" si="586"/>
        <v>-43.821748680228644</v>
      </c>
      <c r="EK138" s="3582">
        <f t="shared" si="587"/>
        <v>-68.568426603617112</v>
      </c>
      <c r="EL138" s="3583">
        <f t="shared" si="586"/>
        <v>24.398669464626156</v>
      </c>
      <c r="EM138" s="3583">
        <f t="shared" si="586"/>
        <v>32.407086694784539</v>
      </c>
      <c r="EN138" s="3583">
        <f t="shared" si="586"/>
        <v>70.233198780925434</v>
      </c>
      <c r="EO138" s="3583">
        <f t="shared" ref="EO138:EP138" si="588">(EO137-EJ137)*10000</f>
        <v>42.846787699588049</v>
      </c>
      <c r="EP138" s="3582">
        <f t="shared" si="588"/>
        <v>42.631306052502978</v>
      </c>
      <c r="EQ138" s="3583">
        <f t="shared" ref="EQ138" si="589">(EQ137-EL137)*10000</f>
        <v>27.666988683100747</v>
      </c>
      <c r="ER138" s="3583">
        <f t="shared" ref="ER138" si="590">(ER137-EM137)*10000</f>
        <v>36.703974935200222</v>
      </c>
      <c r="ES138" s="3583">
        <f t="shared" ref="ES138" si="591">(ES137-EN137)*10000</f>
        <v>31.63211992179199</v>
      </c>
      <c r="ET138" s="3583">
        <f t="shared" ref="ET138:EU138" si="592">(ET137-EO137)*10000</f>
        <v>25.473788701748102</v>
      </c>
      <c r="EU138" s="3582">
        <f t="shared" si="592"/>
        <v>30.363291933127034</v>
      </c>
      <c r="EV138" s="3582">
        <f>(EV137-EU137)*10000</f>
        <v>-15.76160420489553</v>
      </c>
      <c r="EW138" s="3582">
        <f>(EW137-EV137)*10000</f>
        <v>-34.626942766906588</v>
      </c>
      <c r="EX138" s="3582">
        <f>(EX137-EW137)*10000</f>
        <v>-27.204035616748833</v>
      </c>
      <c r="EY138" s="3582">
        <f>(EY137-EX137)*10000</f>
        <v>-28.357027661106425</v>
      </c>
      <c r="EZ138" s="226"/>
      <c r="FA138" s="4287"/>
      <c r="FB138" s="4287"/>
      <c r="FC138" s="4287"/>
      <c r="FD138" s="4287"/>
      <c r="FE138" s="4287"/>
      <c r="FF138" s="4287"/>
      <c r="FG138" s="4287"/>
      <c r="FH138" s="4287"/>
      <c r="FI138" s="4287"/>
      <c r="FJ138" s="4287"/>
      <c r="FK138" s="4287"/>
      <c r="FL138" s="4287"/>
    </row>
    <row r="139" spans="1:168" s="259" customFormat="1" ht="11.25" hidden="1" customHeight="1" outlineLevel="1">
      <c r="A139" s="3768" t="s">
        <v>735</v>
      </c>
      <c r="B139" s="2008"/>
      <c r="C139" s="2008"/>
      <c r="D139" s="2008"/>
      <c r="E139" s="2008"/>
      <c r="F139" s="2009"/>
      <c r="G139" s="2008"/>
      <c r="H139" s="2008"/>
      <c r="I139" s="2008"/>
      <c r="J139" s="2008"/>
      <c r="K139" s="2009"/>
      <c r="L139" s="2008"/>
      <c r="M139" s="2008"/>
      <c r="N139" s="2008"/>
      <c r="O139" s="2008"/>
      <c r="P139" s="3582" t="s">
        <v>116</v>
      </c>
      <c r="Q139" s="3583" t="s">
        <v>116</v>
      </c>
      <c r="R139" s="3583">
        <f>(R137-Q137)*10000</f>
        <v>0</v>
      </c>
      <c r="S139" s="3583">
        <f>(S137-R137)*10000</f>
        <v>0</v>
      </c>
      <c r="T139" s="3583">
        <f>(T137-S137)*10000</f>
        <v>0</v>
      </c>
      <c r="U139" s="3582" t="s">
        <v>116</v>
      </c>
      <c r="V139" s="3583">
        <f>(V137-T137)*10000</f>
        <v>0</v>
      </c>
      <c r="W139" s="3583">
        <f>(W137-V137)*10000</f>
        <v>0</v>
      </c>
      <c r="X139" s="3583">
        <f>(X137-W137)*10000</f>
        <v>0</v>
      </c>
      <c r="Y139" s="3583">
        <f>(Y137-X137)*10000</f>
        <v>0</v>
      </c>
      <c r="Z139" s="3582" t="s">
        <v>116</v>
      </c>
      <c r="AA139" s="3583">
        <f>(AA137-Y137)*10000</f>
        <v>0</v>
      </c>
      <c r="AB139" s="3583">
        <f>(AB137-AA137)*10000</f>
        <v>0</v>
      </c>
      <c r="AC139" s="3583">
        <f>(AC137-AB137)*10000</f>
        <v>0</v>
      </c>
      <c r="AD139" s="3583">
        <f>(AD137-AC137)*10000</f>
        <v>0</v>
      </c>
      <c r="AE139" s="3582" t="s">
        <v>116</v>
      </c>
      <c r="AF139" s="3583">
        <f>(AF137-AD137)*10000</f>
        <v>0</v>
      </c>
      <c r="AG139" s="3583">
        <f>(AG137-AF137)*10000</f>
        <v>0</v>
      </c>
      <c r="AH139" s="3583">
        <f>(AH137-AG137)*10000</f>
        <v>0</v>
      </c>
      <c r="AI139" s="3583">
        <f>(AI137-AH137)*10000</f>
        <v>0</v>
      </c>
      <c r="AJ139" s="3582" t="s">
        <v>116</v>
      </c>
      <c r="AK139" s="3583">
        <f>(AK137-AI137)*10000</f>
        <v>0</v>
      </c>
      <c r="AL139" s="3583">
        <f>(AL137-AK137)*10000</f>
        <v>0</v>
      </c>
      <c r="AM139" s="3583">
        <f>(AM137-AL137)*10000</f>
        <v>0</v>
      </c>
      <c r="AN139" s="3583">
        <f>(AN137-AM137)*10000</f>
        <v>0</v>
      </c>
      <c r="AO139" s="3582" t="s">
        <v>116</v>
      </c>
      <c r="AP139" s="3583">
        <f>(AP137-AN137)*10000</f>
        <v>0</v>
      </c>
      <c r="AQ139" s="3583">
        <f>(AQ137-AP137)*10000</f>
        <v>0</v>
      </c>
      <c r="AR139" s="3583">
        <f>(AR137-AQ137)*10000</f>
        <v>0</v>
      </c>
      <c r="AS139" s="3583">
        <f>(AS137-AR137)*10000</f>
        <v>0</v>
      </c>
      <c r="AT139" s="3582" t="s">
        <v>116</v>
      </c>
      <c r="AU139" s="3583">
        <f>(AU137-AS137)*10000</f>
        <v>0</v>
      </c>
      <c r="AV139" s="3583">
        <f>(AV137-AU137)*10000</f>
        <v>0</v>
      </c>
      <c r="AW139" s="3583">
        <f>(AW137-AV137)*10000</f>
        <v>0</v>
      </c>
      <c r="AX139" s="3583">
        <f>(AX137-AW137)*10000</f>
        <v>0</v>
      </c>
      <c r="AY139" s="3582" t="s">
        <v>116</v>
      </c>
      <c r="AZ139" s="3583">
        <f>(AZ137-AX137)*10000</f>
        <v>0</v>
      </c>
      <c r="BA139" s="3583">
        <f>(BA137-AZ137)*10000</f>
        <v>0</v>
      </c>
      <c r="BB139" s="3583">
        <f>(BB137-BA137)*10000</f>
        <v>0</v>
      </c>
      <c r="BC139" s="3583">
        <f>(BC137-BB137)*10000</f>
        <v>0</v>
      </c>
      <c r="BD139" s="3582" t="s">
        <v>116</v>
      </c>
      <c r="BE139" s="3584">
        <f>(BE137-BD137)*10000</f>
        <v>0</v>
      </c>
      <c r="BF139" s="3583">
        <f>(BF137-BE137)*10000</f>
        <v>0</v>
      </c>
      <c r="BG139" s="3583">
        <f>(BG137-BF137)*10000</f>
        <v>0</v>
      </c>
      <c r="BH139" s="3583">
        <f>(BH137-BG137)*10000</f>
        <v>0</v>
      </c>
      <c r="BI139" s="3582" t="s">
        <v>116</v>
      </c>
      <c r="BJ139" s="3583">
        <f>(BJ137-BI137)*10000</f>
        <v>0</v>
      </c>
      <c r="BK139" s="3583">
        <f>(BK137-BJ137)*10000</f>
        <v>0</v>
      </c>
      <c r="BL139" s="3583">
        <f>(BL137-BK137)*10000</f>
        <v>0</v>
      </c>
      <c r="BM139" s="3583">
        <f>(BM137-BL137)*10000</f>
        <v>0</v>
      </c>
      <c r="BN139" s="3582" t="s">
        <v>116</v>
      </c>
      <c r="BO139" s="3583">
        <v>-44.309034873266654</v>
      </c>
      <c r="BP139" s="3583">
        <v>-672.07408167944016</v>
      </c>
      <c r="BQ139" s="3583">
        <v>-721.12167931195404</v>
      </c>
      <c r="BR139" s="3585">
        <v>523.61981105103814</v>
      </c>
      <c r="BS139" s="3586" t="s">
        <v>116</v>
      </c>
      <c r="BT139" s="3583">
        <f>(BT137-BN137)*10000</f>
        <v>0</v>
      </c>
      <c r="BU139" s="3583">
        <f>(BU137-BT137)*10000</f>
        <v>0</v>
      </c>
      <c r="BV139" s="3583">
        <f>(BV137-BU137)*10000</f>
        <v>0</v>
      </c>
      <c r="BW139" s="3583">
        <f>(BW137-BV137)*10000</f>
        <v>0</v>
      </c>
      <c r="BX139" s="3582" t="s">
        <v>116</v>
      </c>
      <c r="BY139" s="3583">
        <v>-168.79362027002631</v>
      </c>
      <c r="BZ139" s="3583">
        <v>-64.345834278949908</v>
      </c>
      <c r="CA139" s="3583">
        <v>-0.76292619161033581</v>
      </c>
      <c r="CB139" s="3583">
        <v>-112.8577449411261</v>
      </c>
      <c r="CC139" s="3582" t="s">
        <v>116</v>
      </c>
      <c r="CD139" s="3583">
        <f>(CD137-BX137)*10000</f>
        <v>0</v>
      </c>
      <c r="CE139" s="3583">
        <f>(CE137-CD137)*10000</f>
        <v>0</v>
      </c>
      <c r="CF139" s="3583">
        <f>(CF137-CE137)*10000</f>
        <v>0</v>
      </c>
      <c r="CG139" s="3583">
        <f>(CG137-CF137)*10000</f>
        <v>1230.6614885083084</v>
      </c>
      <c r="CH139" s="3582" t="s">
        <v>116</v>
      </c>
      <c r="CI139" s="3583">
        <f>(CI137-CH137)*10000</f>
        <v>1378.7289234760053</v>
      </c>
      <c r="CJ139" s="3583">
        <f>(CJ137-CI137)*10000</f>
        <v>23.966156436247832</v>
      </c>
      <c r="CK139" s="3583">
        <f>(CK137-CJ137)*10000</f>
        <v>204.15597619136</v>
      </c>
      <c r="CL139" s="3583">
        <f>(CL137-CK137)*10000</f>
        <v>-52.964959876468377</v>
      </c>
      <c r="CM139" s="3582" t="s">
        <v>116</v>
      </c>
      <c r="CN139" s="3583">
        <f>(CN137-CM137)*10000</f>
        <v>105.52782618230255</v>
      </c>
      <c r="CO139" s="3583">
        <f>(CO137-CN137)*10000</f>
        <v>-21.895969061364873</v>
      </c>
      <c r="CP139" s="3583">
        <f>(CP137-CO137)*10000</f>
        <v>156.27875069975843</v>
      </c>
      <c r="CQ139" s="3583">
        <f>(CQ137-CP137)*10000</f>
        <v>-83.9382346928777</v>
      </c>
      <c r="CR139" s="3582" t="s">
        <v>116</v>
      </c>
      <c r="CS139" s="3583">
        <f>(CS137-CR137)*10000</f>
        <v>24.301265391758196</v>
      </c>
      <c r="CT139" s="3583">
        <f>(CT137-CS137)*10000</f>
        <v>-97.955435445226669</v>
      </c>
      <c r="CU139" s="3583">
        <f>(CU137-CT137)*10000</f>
        <v>37.524345007680928</v>
      </c>
      <c r="CV139" s="3583">
        <f>(CV137-CU137)*10000</f>
        <v>-212.05416070285699</v>
      </c>
      <c r="CW139" s="3582"/>
      <c r="CX139" s="3583">
        <f>(CX137-CV137)*10000</f>
        <v>203.07104191082087</v>
      </c>
      <c r="CY139" s="3583">
        <f>(CY137-CX137)*10000</f>
        <v>11.271189402677351</v>
      </c>
      <c r="CZ139" s="3583">
        <f>(CZ137-CY137)*10000</f>
        <v>-89.883526223281379</v>
      </c>
      <c r="DA139" s="3583">
        <f>(DA137-CZ137)*10000</f>
        <v>-181.93661087495732</v>
      </c>
      <c r="DB139" s="3582"/>
      <c r="DC139" s="3583">
        <f>(DC137-DA137)*10000</f>
        <v>285.68592719971502</v>
      </c>
      <c r="DD139" s="3583">
        <f>(DD137-DC137)*10000</f>
        <v>-51.89064779746122</v>
      </c>
      <c r="DE139" s="3583">
        <f>(DE137-DD137)*10000</f>
        <v>-15.291920972198557</v>
      </c>
      <c r="DF139" s="3583">
        <f>(DF137-DE137)*10000</f>
        <v>-14.374523873213752</v>
      </c>
      <c r="DG139" s="3582"/>
      <c r="DH139" s="3583">
        <f>(DH137-DF137)*10000</f>
        <v>122.79188001077578</v>
      </c>
      <c r="DI139" s="3583">
        <f>(DI137-DH137)*10000</f>
        <v>-63.731332121925163</v>
      </c>
      <c r="DJ139" s="3583">
        <f>(DJ137-DI137)*10000</f>
        <v>22.943855771071775</v>
      </c>
      <c r="DK139" s="3583">
        <f>(DK137-DJ137)*10000</f>
        <v>-50.867179092208282</v>
      </c>
      <c r="DL139" s="3582"/>
      <c r="DM139" s="3583">
        <f>(DM137-DK137)*10000</f>
        <v>89.544366785203891</v>
      </c>
      <c r="DN139" s="3583">
        <f>(DN137-DM137)*10000</f>
        <v>138.1910281534976</v>
      </c>
      <c r="DO139" s="3583">
        <f>(DO137-DN137)*10000</f>
        <v>-310.32932536659894</v>
      </c>
      <c r="DP139" s="3583">
        <f>(DP137-DO137)*10000</f>
        <v>-250.71217118768251</v>
      </c>
      <c r="DQ139" s="3582"/>
      <c r="DR139" s="3583">
        <f>(DR137-DP137)*10000</f>
        <v>119.04535993680521</v>
      </c>
      <c r="DS139" s="3583">
        <f>(DS137-DR137)*10000</f>
        <v>-112.87982864426644</v>
      </c>
      <c r="DT139" s="3583">
        <f>(DT137-DS137)*10000</f>
        <v>-58.756469013053064</v>
      </c>
      <c r="DU139" s="3583">
        <f>(DU137-DT137)*10000</f>
        <v>-25.490258859336144</v>
      </c>
      <c r="DV139" s="3582"/>
      <c r="DW139" s="3583">
        <f>(DW137-DU137)*10000</f>
        <v>184.75542966163647</v>
      </c>
      <c r="DX139" s="3583">
        <f>(DX137-DW137)*10000</f>
        <v>71.399581672497433</v>
      </c>
      <c r="DY139" s="3583">
        <f>(DY137-DX137)*10000</f>
        <v>74.646004945520545</v>
      </c>
      <c r="DZ139" s="3583">
        <f>(DZ137-DY137)*10000</f>
        <v>-136.78972437388026</v>
      </c>
      <c r="EA139" s="3582"/>
      <c r="EB139" s="3583">
        <f>(EB137-DZ137)*10000</f>
        <v>293.21762095838534</v>
      </c>
      <c r="EC139" s="3583">
        <f>(EC137-EB137)*10000</f>
        <v>-224.05914771781664</v>
      </c>
      <c r="ED139" s="3583">
        <f>(ED137-EC137)*10000</f>
        <v>48.703729258695041</v>
      </c>
      <c r="EE139" s="3583">
        <f>(EE137-ED137)*10000</f>
        <v>-64.501082045864962</v>
      </c>
      <c r="EF139" s="3582"/>
      <c r="EG139" s="3583">
        <f>(EG137-EE137)*10000</f>
        <v>74.488032317321654</v>
      </c>
      <c r="EH139" s="3583">
        <f>(EH137-EG137)*10000</f>
        <v>-78.375390966329562</v>
      </c>
      <c r="EI139" s="3583">
        <f>(EI137-EH137)*10000</f>
        <v>10.595169433090524</v>
      </c>
      <c r="EJ139" s="3583">
        <f>(EJ137-EI137)*10000</f>
        <v>-50.529559464311255</v>
      </c>
      <c r="EK139" s="3582"/>
      <c r="EL139" s="3583">
        <f>(EL137-EJ137)*10000</f>
        <v>142.70845046217644</v>
      </c>
      <c r="EM139" s="3583">
        <f>(EM137-EL137)*10000</f>
        <v>-70.366973736171175</v>
      </c>
      <c r="EN139" s="3583">
        <f>(EN137-EM137)*10000</f>
        <v>48.421281519231421</v>
      </c>
      <c r="EO139" s="3583">
        <f>(EO137-EN137)*10000</f>
        <v>-77.915970545648634</v>
      </c>
      <c r="EP139" s="3582"/>
      <c r="EQ139" s="3583">
        <f>(EQ137-EO137)*10000</f>
        <v>127.52865144568915</v>
      </c>
      <c r="ER139" s="3583">
        <f>(ER137-EQ137)*10000</f>
        <v>-61.329987484071701</v>
      </c>
      <c r="ES139" s="3583">
        <f>(ES137-ER137)*10000</f>
        <v>43.349426505823189</v>
      </c>
      <c r="ET139" s="3583">
        <f>(ET137-ES137)*10000</f>
        <v>-84.074301765692525</v>
      </c>
      <c r="EU139" s="3582"/>
      <c r="EV139" s="3582"/>
      <c r="EW139" s="3582"/>
      <c r="EX139" s="3582"/>
      <c r="EY139" s="3582"/>
      <c r="EZ139" s="209"/>
      <c r="FA139" s="4287"/>
      <c r="FB139" s="4287"/>
      <c r="FC139" s="4287"/>
      <c r="FD139" s="4287"/>
      <c r="FE139" s="4287"/>
      <c r="FF139" s="4287"/>
      <c r="FG139" s="4287"/>
      <c r="FH139" s="4287"/>
      <c r="FI139" s="4287"/>
      <c r="FJ139" s="4287"/>
      <c r="FK139" s="4287"/>
      <c r="FL139" s="4287"/>
    </row>
    <row r="140" spans="1:168" ht="11.25" customHeight="1" collapsed="1">
      <c r="A140" s="3765" t="s">
        <v>47</v>
      </c>
      <c r="B140" s="124"/>
      <c r="C140" s="124"/>
      <c r="D140" s="124"/>
      <c r="E140" s="124"/>
      <c r="F140" s="997"/>
      <c r="G140" s="124"/>
      <c r="H140" s="124"/>
      <c r="I140" s="124"/>
      <c r="J140" s="124"/>
      <c r="K140" s="997"/>
      <c r="L140" s="124"/>
      <c r="M140" s="124"/>
      <c r="N140" s="124"/>
      <c r="O140" s="124"/>
      <c r="P140" s="997"/>
      <c r="Q140" s="124"/>
      <c r="R140" s="124"/>
      <c r="S140" s="124"/>
      <c r="T140" s="124"/>
      <c r="U140" s="997"/>
      <c r="V140" s="124"/>
      <c r="W140" s="124"/>
      <c r="X140" s="124"/>
      <c r="Y140" s="124"/>
      <c r="Z140" s="997"/>
      <c r="AA140" s="124"/>
      <c r="AB140" s="124"/>
      <c r="AC140" s="124"/>
      <c r="AD140" s="124"/>
      <c r="AE140" s="997"/>
      <c r="AF140" s="124"/>
      <c r="AG140" s="124"/>
      <c r="AH140" s="124"/>
      <c r="AI140" s="124"/>
      <c r="AJ140" s="997"/>
      <c r="AK140" s="124"/>
      <c r="AL140" s="124"/>
      <c r="AM140" s="124"/>
      <c r="AN140" s="124"/>
      <c r="AO140" s="997"/>
      <c r="AP140" s="124"/>
      <c r="AQ140" s="124"/>
      <c r="AR140" s="124"/>
      <c r="AS140" s="124"/>
      <c r="AT140" s="997"/>
      <c r="AU140" s="124"/>
      <c r="AV140" s="124"/>
      <c r="AW140" s="124"/>
      <c r="AX140" s="124"/>
      <c r="AY140" s="997"/>
      <c r="AZ140" s="124"/>
      <c r="BA140" s="124"/>
      <c r="BB140" s="124"/>
      <c r="BC140" s="124"/>
      <c r="BD140" s="997"/>
      <c r="BE140" s="1688"/>
      <c r="BF140" s="124"/>
      <c r="BG140" s="124"/>
      <c r="BH140" s="124"/>
      <c r="BI140" s="997"/>
      <c r="BJ140" s="124"/>
      <c r="BK140" s="124"/>
      <c r="BL140" s="124"/>
      <c r="BM140" s="124"/>
      <c r="BN140" s="997"/>
      <c r="BO140" s="124"/>
      <c r="BP140" s="124"/>
      <c r="BQ140" s="124"/>
      <c r="BR140" s="123"/>
      <c r="BS140" s="1761"/>
      <c r="BT140" s="124"/>
      <c r="BU140" s="124"/>
      <c r="BV140" s="124"/>
      <c r="BW140" s="124"/>
      <c r="BX140" s="997"/>
      <c r="BY140" s="124"/>
      <c r="BZ140" s="124"/>
      <c r="CA140" s="124"/>
      <c r="CB140" s="124"/>
      <c r="CC140" s="997"/>
      <c r="CD140" s="124"/>
      <c r="CE140" s="124"/>
      <c r="CF140" s="124"/>
      <c r="CG140" s="124">
        <f>CG20/CG$7</f>
        <v>0.12147450181447762</v>
      </c>
      <c r="CH140" s="997"/>
      <c r="CI140" s="124">
        <f t="shared" ref="CI140:DN140" si="593">CI20/CI$7</f>
        <v>0.11212710765239949</v>
      </c>
      <c r="CJ140" s="124">
        <f t="shared" si="593"/>
        <v>0.12165465371356941</v>
      </c>
      <c r="CK140" s="124">
        <f t="shared" si="593"/>
        <v>0.12612721660715367</v>
      </c>
      <c r="CL140" s="124">
        <f t="shared" si="593"/>
        <v>0.13130420372313981</v>
      </c>
      <c r="CM140" s="997">
        <f t="shared" si="593"/>
        <v>0.12319510310449841</v>
      </c>
      <c r="CN140" s="124">
        <f t="shared" si="593"/>
        <v>0.11965465291459033</v>
      </c>
      <c r="CO140" s="124">
        <f t="shared" si="593"/>
        <v>0.1173351384893101</v>
      </c>
      <c r="CP140" s="124">
        <f t="shared" si="593"/>
        <v>0.11903614457831325</v>
      </c>
      <c r="CQ140" s="124">
        <f t="shared" si="593"/>
        <v>0.1256036382390173</v>
      </c>
      <c r="CR140" s="997">
        <f t="shared" si="593"/>
        <v>0.12064436117297203</v>
      </c>
      <c r="CS140" s="124">
        <f t="shared" si="593"/>
        <v>0.11783580984351089</v>
      </c>
      <c r="CT140" s="124">
        <f t="shared" si="593"/>
        <v>0.11232558139534883</v>
      </c>
      <c r="CU140" s="124">
        <f t="shared" si="593"/>
        <v>0.11424880851632443</v>
      </c>
      <c r="CV140" s="124">
        <f t="shared" si="593"/>
        <v>0.11962860650705955</v>
      </c>
      <c r="CW140" s="997">
        <f t="shared" si="593"/>
        <v>0.11614897199574618</v>
      </c>
      <c r="CX140" s="124">
        <f t="shared" si="593"/>
        <v>0.10682828282828283</v>
      </c>
      <c r="CY140" s="124">
        <f t="shared" si="593"/>
        <v>0.11138023836985775</v>
      </c>
      <c r="CZ140" s="124">
        <f t="shared" si="593"/>
        <v>0.10953478323491286</v>
      </c>
      <c r="DA140" s="124">
        <f t="shared" si="593"/>
        <v>0.13334158339263064</v>
      </c>
      <c r="DB140" s="997">
        <f t="shared" si="593"/>
        <v>0.11630508321681476</v>
      </c>
      <c r="DC140" s="124">
        <f t="shared" si="593"/>
        <v>0.11571309317408335</v>
      </c>
      <c r="DD140" s="124">
        <f t="shared" si="593"/>
        <v>0.11574853783262394</v>
      </c>
      <c r="DE140" s="124">
        <f t="shared" si="593"/>
        <v>0.11407824540604623</v>
      </c>
      <c r="DF140" s="124">
        <f t="shared" si="593"/>
        <v>0.12985029025358999</v>
      </c>
      <c r="DG140" s="997">
        <f t="shared" si="593"/>
        <v>0.1193766947573071</v>
      </c>
      <c r="DH140" s="124">
        <f t="shared" si="593"/>
        <v>0.10746030435620132</v>
      </c>
      <c r="DI140" s="124">
        <f t="shared" si="593"/>
        <v>0.10815529991783072</v>
      </c>
      <c r="DJ140" s="124">
        <f t="shared" si="593"/>
        <v>0.11380527914269488</v>
      </c>
      <c r="DK140" s="124">
        <f t="shared" si="593"/>
        <v>0.1245360824742268</v>
      </c>
      <c r="DL140" s="997">
        <f t="shared" si="593"/>
        <v>0.11407600536275848</v>
      </c>
      <c r="DM140" s="124">
        <f t="shared" si="593"/>
        <v>0.10933210233484779</v>
      </c>
      <c r="DN140" s="124">
        <f t="shared" si="593"/>
        <v>0.10186176462908322</v>
      </c>
      <c r="DO140" s="124">
        <f t="shared" ref="DO140:EX140" si="594">DO20/DO$7</f>
        <v>9.1633638706603432E-2</v>
      </c>
      <c r="DP140" s="124">
        <f t="shared" si="594"/>
        <v>9.3395198425252207E-2</v>
      </c>
      <c r="DQ140" s="997">
        <f t="shared" si="594"/>
        <v>9.8319700647027566E-2</v>
      </c>
      <c r="DR140" s="124">
        <f t="shared" si="594"/>
        <v>8.1642983693097582E-2</v>
      </c>
      <c r="DS140" s="124">
        <f t="shared" si="594"/>
        <v>8.5261797026502911E-2</v>
      </c>
      <c r="DT140" s="124">
        <f t="shared" si="594"/>
        <v>8.4707761294880057E-2</v>
      </c>
      <c r="DU140" s="124">
        <f t="shared" si="594"/>
        <v>0.10094922004646532</v>
      </c>
      <c r="DV140" s="997">
        <f t="shared" si="594"/>
        <v>8.8931325857699015E-2</v>
      </c>
      <c r="DW140" s="124">
        <f t="shared" si="594"/>
        <v>8.5647909896928442E-2</v>
      </c>
      <c r="DX140" s="124">
        <f t="shared" si="594"/>
        <v>9.514242663413934E-2</v>
      </c>
      <c r="DY140" s="124">
        <f t="shared" si="594"/>
        <v>0.10028657442250911</v>
      </c>
      <c r="DZ140" s="124">
        <f t="shared" si="594"/>
        <v>9.4453503050704823E-2</v>
      </c>
      <c r="EA140" s="997">
        <f t="shared" si="594"/>
        <v>9.3930758460733427E-2</v>
      </c>
      <c r="EB140" s="124">
        <f t="shared" si="594"/>
        <v>9.3613423703555104E-2</v>
      </c>
      <c r="EC140" s="124">
        <f t="shared" si="594"/>
        <v>9.0893249691705535E-2</v>
      </c>
      <c r="ED140" s="124">
        <f t="shared" si="594"/>
        <v>8.9760473576467215E-2</v>
      </c>
      <c r="EE140" s="124">
        <f t="shared" si="594"/>
        <v>8.9433437608620089E-2</v>
      </c>
      <c r="EF140" s="997">
        <f t="shared" si="594"/>
        <v>9.0818298340240869E-2</v>
      </c>
      <c r="EG140" s="124">
        <f t="shared" si="594"/>
        <v>7.9787432175716114E-2</v>
      </c>
      <c r="EH140" s="124">
        <f t="shared" si="594"/>
        <v>8.0149158622642852E-2</v>
      </c>
      <c r="EI140" s="124">
        <f t="shared" si="594"/>
        <v>8.1875651425205059E-2</v>
      </c>
      <c r="EJ140" s="124">
        <f t="shared" si="594"/>
        <v>7.6325037058536938E-2</v>
      </c>
      <c r="EK140" s="997">
        <f t="shared" si="594"/>
        <v>7.94473427080893E-2</v>
      </c>
      <c r="EL140" s="124">
        <f t="shared" si="594"/>
        <v>6.8399937939136027E-2</v>
      </c>
      <c r="EM140" s="124">
        <f t="shared" si="594"/>
        <v>7.3640436387771194E-2</v>
      </c>
      <c r="EN140" s="124">
        <f t="shared" ref="EN140" si="595">EN20/EN$7</f>
        <v>7.0398452308834736E-2</v>
      </c>
      <c r="EO140" s="124">
        <f t="shared" si="594"/>
        <v>6.7557261249884232E-2</v>
      </c>
      <c r="EP140" s="997">
        <f t="shared" si="594"/>
        <v>6.9933337865617534E-2</v>
      </c>
      <c r="EQ140" s="124">
        <f t="shared" ref="EQ140:EU140" si="596">EQ20/EQ$7</f>
        <v>6.0686484024435251E-2</v>
      </c>
      <c r="ER140" s="124">
        <f t="shared" si="596"/>
        <v>6.870892169829175E-2</v>
      </c>
      <c r="ES140" s="124">
        <f t="shared" si="596"/>
        <v>6.4800112620291825E-2</v>
      </c>
      <c r="ET140" s="124">
        <f t="shared" si="596"/>
        <v>6.1444188575102594E-2</v>
      </c>
      <c r="EU140" s="997">
        <f t="shared" si="596"/>
        <v>6.3871095360841568E-2</v>
      </c>
      <c r="EV140" s="997">
        <f t="shared" si="594"/>
        <v>6.0741559937357338E-2</v>
      </c>
      <c r="EW140" s="997">
        <f t="shared" si="594"/>
        <v>5.7623145643116103E-2</v>
      </c>
      <c r="EX140" s="997">
        <f t="shared" si="594"/>
        <v>5.5307850641593895E-2</v>
      </c>
      <c r="EY140" s="997">
        <f t="shared" ref="EY140" si="597">EY20/EY$7</f>
        <v>5.2934107621428889E-2</v>
      </c>
      <c r="EZ140" s="127"/>
      <c r="FA140" s="2660"/>
      <c r="FB140" s="2660"/>
      <c r="FC140" s="2660"/>
      <c r="FD140" s="2660"/>
      <c r="FE140" s="2660"/>
      <c r="FF140" s="2660"/>
      <c r="FG140" s="2660"/>
      <c r="FH140" s="2660"/>
      <c r="FI140" s="2660"/>
      <c r="FJ140" s="2660"/>
      <c r="FK140" s="2660"/>
      <c r="FL140" s="2660"/>
    </row>
    <row r="141" spans="1:168" s="259" customFormat="1" ht="11.25" hidden="1" customHeight="1" outlineLevel="1">
      <c r="A141" s="3768" t="s">
        <v>734</v>
      </c>
      <c r="B141" s="2008"/>
      <c r="C141" s="2008"/>
      <c r="D141" s="2008"/>
      <c r="E141" s="2008"/>
      <c r="F141" s="2009"/>
      <c r="G141" s="2008"/>
      <c r="H141" s="2008"/>
      <c r="I141" s="2008"/>
      <c r="J141" s="2008"/>
      <c r="K141" s="2009"/>
      <c r="L141" s="2008"/>
      <c r="M141" s="2008"/>
      <c r="N141" s="2008"/>
      <c r="O141" s="2008"/>
      <c r="P141" s="3582" t="s">
        <v>116</v>
      </c>
      <c r="Q141" s="3583" t="s">
        <v>116</v>
      </c>
      <c r="R141" s="3583" t="s">
        <v>116</v>
      </c>
      <c r="S141" s="3583" t="s">
        <v>116</v>
      </c>
      <c r="T141" s="3583" t="s">
        <v>116</v>
      </c>
      <c r="U141" s="3582">
        <f t="shared" ref="U141:BN141" si="598">(U140-P140)*10000</f>
        <v>0</v>
      </c>
      <c r="V141" s="3583">
        <f t="shared" si="598"/>
        <v>0</v>
      </c>
      <c r="W141" s="3583">
        <f t="shared" si="598"/>
        <v>0</v>
      </c>
      <c r="X141" s="3583">
        <f t="shared" si="598"/>
        <v>0</v>
      </c>
      <c r="Y141" s="3583">
        <f t="shared" si="598"/>
        <v>0</v>
      </c>
      <c r="Z141" s="3582">
        <f t="shared" si="598"/>
        <v>0</v>
      </c>
      <c r="AA141" s="3583">
        <f t="shared" si="598"/>
        <v>0</v>
      </c>
      <c r="AB141" s="3583">
        <f t="shared" si="598"/>
        <v>0</v>
      </c>
      <c r="AC141" s="3583">
        <f t="shared" si="598"/>
        <v>0</v>
      </c>
      <c r="AD141" s="3583">
        <f t="shared" si="598"/>
        <v>0</v>
      </c>
      <c r="AE141" s="3582">
        <f t="shared" si="598"/>
        <v>0</v>
      </c>
      <c r="AF141" s="3583">
        <f t="shared" si="598"/>
        <v>0</v>
      </c>
      <c r="AG141" s="3583">
        <f t="shared" si="598"/>
        <v>0</v>
      </c>
      <c r="AH141" s="3583">
        <f t="shared" si="598"/>
        <v>0</v>
      </c>
      <c r="AI141" s="3583">
        <f t="shared" si="598"/>
        <v>0</v>
      </c>
      <c r="AJ141" s="3582">
        <f t="shared" si="598"/>
        <v>0</v>
      </c>
      <c r="AK141" s="3583">
        <f t="shared" si="598"/>
        <v>0</v>
      </c>
      <c r="AL141" s="3583">
        <f t="shared" si="598"/>
        <v>0</v>
      </c>
      <c r="AM141" s="3583">
        <f t="shared" si="598"/>
        <v>0</v>
      </c>
      <c r="AN141" s="3583">
        <f t="shared" si="598"/>
        <v>0</v>
      </c>
      <c r="AO141" s="3582">
        <f t="shared" si="598"/>
        <v>0</v>
      </c>
      <c r="AP141" s="3583">
        <f t="shared" si="598"/>
        <v>0</v>
      </c>
      <c r="AQ141" s="3583">
        <f t="shared" si="598"/>
        <v>0</v>
      </c>
      <c r="AR141" s="3583">
        <f t="shared" si="598"/>
        <v>0</v>
      </c>
      <c r="AS141" s="3583">
        <f t="shared" si="598"/>
        <v>0</v>
      </c>
      <c r="AT141" s="3582">
        <f t="shared" si="598"/>
        <v>0</v>
      </c>
      <c r="AU141" s="3583">
        <f t="shared" si="598"/>
        <v>0</v>
      </c>
      <c r="AV141" s="3583">
        <f t="shared" si="598"/>
        <v>0</v>
      </c>
      <c r="AW141" s="3583">
        <f t="shared" si="598"/>
        <v>0</v>
      </c>
      <c r="AX141" s="3583">
        <f t="shared" si="598"/>
        <v>0</v>
      </c>
      <c r="AY141" s="3582">
        <f t="shared" si="598"/>
        <v>0</v>
      </c>
      <c r="AZ141" s="3583">
        <f t="shared" si="598"/>
        <v>0</v>
      </c>
      <c r="BA141" s="3583">
        <f t="shared" si="598"/>
        <v>0</v>
      </c>
      <c r="BB141" s="3583">
        <f t="shared" si="598"/>
        <v>0</v>
      </c>
      <c r="BC141" s="3583">
        <f t="shared" si="598"/>
        <v>0</v>
      </c>
      <c r="BD141" s="3582">
        <f t="shared" si="598"/>
        <v>0</v>
      </c>
      <c r="BE141" s="3584">
        <f t="shared" si="598"/>
        <v>0</v>
      </c>
      <c r="BF141" s="3583">
        <f t="shared" si="598"/>
        <v>0</v>
      </c>
      <c r="BG141" s="3583">
        <f t="shared" si="598"/>
        <v>0</v>
      </c>
      <c r="BH141" s="3583">
        <f t="shared" si="598"/>
        <v>0</v>
      </c>
      <c r="BI141" s="3582">
        <f t="shared" si="598"/>
        <v>0</v>
      </c>
      <c r="BJ141" s="3583">
        <f t="shared" si="598"/>
        <v>0</v>
      </c>
      <c r="BK141" s="3583">
        <f t="shared" si="598"/>
        <v>0</v>
      </c>
      <c r="BL141" s="3583">
        <f t="shared" si="598"/>
        <v>0</v>
      </c>
      <c r="BM141" s="3583">
        <f t="shared" si="598"/>
        <v>0</v>
      </c>
      <c r="BN141" s="3582">
        <f t="shared" si="598"/>
        <v>0</v>
      </c>
      <c r="BO141" s="3583">
        <v>-73.910139803692317</v>
      </c>
      <c r="BP141" s="3583">
        <v>-647.08175120074429</v>
      </c>
      <c r="BQ141" s="3583">
        <v>-1402.9798881989602</v>
      </c>
      <c r="BR141" s="3585">
        <v>-980.8960342866219</v>
      </c>
      <c r="BS141" s="3586">
        <v>-838.68155981038365</v>
      </c>
      <c r="BT141" s="3583">
        <f>(BT140-BJ140)*10000</f>
        <v>0</v>
      </c>
      <c r="BU141" s="3583">
        <f>(BU140-BK140)*10000</f>
        <v>0</v>
      </c>
      <c r="BV141" s="3583">
        <f>(BV140-BL140)*10000</f>
        <v>0</v>
      </c>
      <c r="BW141" s="3583">
        <f>(BW140-BM140)*10000</f>
        <v>0</v>
      </c>
      <c r="BX141" s="3582">
        <f>(BX140-BN140)*10000</f>
        <v>0</v>
      </c>
      <c r="BY141" s="3583">
        <v>-963.16614520714324</v>
      </c>
      <c r="BZ141" s="3583">
        <v>-355.43789780665304</v>
      </c>
      <c r="CA141" s="3583">
        <v>364.92085531369065</v>
      </c>
      <c r="CB141" s="3583">
        <v>-271.55670067847359</v>
      </c>
      <c r="CC141" s="3582">
        <v>-250.80202387558427</v>
      </c>
      <c r="CD141" s="3583">
        <f>(CD140-BT140)*10000</f>
        <v>0</v>
      </c>
      <c r="CE141" s="3583">
        <f>(CE140-BU140)*10000</f>
        <v>0</v>
      </c>
      <c r="CF141" s="3583">
        <f>(CF140-BV140)*10000</f>
        <v>0</v>
      </c>
      <c r="CG141" s="3583">
        <f>(CG140-BW140)*10000</f>
        <v>1214.7450181447762</v>
      </c>
      <c r="CH141" s="3582">
        <f>(CH140-BX140)*10000</f>
        <v>0</v>
      </c>
      <c r="CI141" s="3583">
        <f t="shared" ref="CI141:DG141" si="599">(CI140-CD140)*10000</f>
        <v>1121.2710765239949</v>
      </c>
      <c r="CJ141" s="3583">
        <f t="shared" si="599"/>
        <v>1216.5465371356941</v>
      </c>
      <c r="CK141" s="3583">
        <f t="shared" si="599"/>
        <v>1261.2721660715367</v>
      </c>
      <c r="CL141" s="3583">
        <f t="shared" si="599"/>
        <v>98.29701908662183</v>
      </c>
      <c r="CM141" s="3582">
        <f t="shared" si="599"/>
        <v>1231.9510310449841</v>
      </c>
      <c r="CN141" s="3583">
        <f t="shared" si="599"/>
        <v>75.275452621908485</v>
      </c>
      <c r="CO141" s="3583">
        <f t="shared" si="599"/>
        <v>-43.195152242593153</v>
      </c>
      <c r="CP141" s="3583">
        <f t="shared" si="599"/>
        <v>-70.910720288404207</v>
      </c>
      <c r="CQ141" s="3583">
        <f t="shared" si="599"/>
        <v>-57.005654841225109</v>
      </c>
      <c r="CR141" s="3582">
        <f t="shared" si="599"/>
        <v>-25.507419315263789</v>
      </c>
      <c r="CS141" s="3583">
        <f t="shared" si="599"/>
        <v>-18.188430710794485</v>
      </c>
      <c r="CT141" s="3583">
        <f t="shared" si="599"/>
        <v>-50.095570939612671</v>
      </c>
      <c r="CU141" s="3583">
        <f t="shared" si="599"/>
        <v>-47.873360619888203</v>
      </c>
      <c r="CV141" s="3583">
        <f t="shared" si="599"/>
        <v>-59.750317319577498</v>
      </c>
      <c r="CW141" s="3582">
        <f t="shared" si="599"/>
        <v>-44.953891772258473</v>
      </c>
      <c r="CX141" s="3583">
        <f t="shared" si="599"/>
        <v>-110.07527015228058</v>
      </c>
      <c r="CY141" s="3583">
        <f t="shared" si="599"/>
        <v>-9.4534302549108276</v>
      </c>
      <c r="CZ141" s="3583">
        <f t="shared" si="599"/>
        <v>-47.140252814115712</v>
      </c>
      <c r="DA141" s="3583">
        <f t="shared" si="599"/>
        <v>137.12976885571089</v>
      </c>
      <c r="DB141" s="3582">
        <f t="shared" si="599"/>
        <v>1.5611122106858055</v>
      </c>
      <c r="DC141" s="3583">
        <f t="shared" si="599"/>
        <v>88.848103458005198</v>
      </c>
      <c r="DD141" s="3583">
        <f t="shared" si="599"/>
        <v>43.682994627661927</v>
      </c>
      <c r="DE141" s="3583">
        <f t="shared" si="599"/>
        <v>45.434621711333698</v>
      </c>
      <c r="DF141" s="3583">
        <f t="shared" si="599"/>
        <v>-34.912931390406463</v>
      </c>
      <c r="DG141" s="3582">
        <f t="shared" si="599"/>
        <v>30.716115404923332</v>
      </c>
      <c r="DH141" s="3583">
        <f t="shared" ref="DH141:DQ141" si="600">(DH140-DC140)*10000</f>
        <v>-82.527888178820234</v>
      </c>
      <c r="DI141" s="3583">
        <f t="shared" si="600"/>
        <v>-75.932379147932167</v>
      </c>
      <c r="DJ141" s="3583">
        <f t="shared" si="600"/>
        <v>-2.729662633513541</v>
      </c>
      <c r="DK141" s="3583">
        <f t="shared" si="600"/>
        <v>-53.142077793631863</v>
      </c>
      <c r="DL141" s="3582">
        <f t="shared" si="600"/>
        <v>-53.006893945486134</v>
      </c>
      <c r="DM141" s="3583">
        <f t="shared" si="600"/>
        <v>18.717979786464639</v>
      </c>
      <c r="DN141" s="3583">
        <f t="shared" si="600"/>
        <v>-62.935352887475013</v>
      </c>
      <c r="DO141" s="3583">
        <f t="shared" si="600"/>
        <v>-221.71640436091448</v>
      </c>
      <c r="DP141" s="3583">
        <f t="shared" si="600"/>
        <v>-311.40884048974596</v>
      </c>
      <c r="DQ141" s="3582">
        <f t="shared" si="600"/>
        <v>-157.56304715730917</v>
      </c>
      <c r="DR141" s="3583">
        <f t="shared" ref="DR141:EN141" si="601">(DR140-DM140)*10000</f>
        <v>-276.89118641750207</v>
      </c>
      <c r="DS141" s="3583">
        <f t="shared" si="601"/>
        <v>-165.99967602580313</v>
      </c>
      <c r="DT141" s="3583">
        <f t="shared" si="601"/>
        <v>-69.258774117233742</v>
      </c>
      <c r="DU141" s="3583">
        <f t="shared" si="601"/>
        <v>75.54021621213117</v>
      </c>
      <c r="DV141" s="3582">
        <f t="shared" si="601"/>
        <v>-93.883747893285516</v>
      </c>
      <c r="DW141" s="3583">
        <f t="shared" si="601"/>
        <v>40.049262038308612</v>
      </c>
      <c r="DX141" s="3583">
        <f t="shared" si="601"/>
        <v>98.806296076364291</v>
      </c>
      <c r="DY141" s="3583">
        <f t="shared" si="601"/>
        <v>155.78813127629056</v>
      </c>
      <c r="DZ141" s="3583">
        <f t="shared" si="601"/>
        <v>-64.957169957605004</v>
      </c>
      <c r="EA141" s="3582">
        <f t="shared" si="601"/>
        <v>49.994326030344119</v>
      </c>
      <c r="EB141" s="3583">
        <f t="shared" si="601"/>
        <v>79.655138066266616</v>
      </c>
      <c r="EC141" s="3583">
        <f t="shared" si="601"/>
        <v>-42.491769424338052</v>
      </c>
      <c r="ED141" s="3583">
        <f t="shared" si="601"/>
        <v>-105.26100846041899</v>
      </c>
      <c r="EE141" s="3583">
        <f t="shared" si="601"/>
        <v>-50.200654420847343</v>
      </c>
      <c r="EF141" s="3582">
        <f t="shared" ref="EF141:EK141" si="602">(EF140-EA140)*10000</f>
        <v>-31.124601204925579</v>
      </c>
      <c r="EG141" s="3583">
        <f t="shared" si="601"/>
        <v>-138.25991527838991</v>
      </c>
      <c r="EH141" s="3583">
        <f t="shared" si="601"/>
        <v>-107.44091069062684</v>
      </c>
      <c r="EI141" s="3583">
        <f t="shared" si="601"/>
        <v>-78.848221512621549</v>
      </c>
      <c r="EJ141" s="3583">
        <f t="shared" si="601"/>
        <v>-131.08400550083152</v>
      </c>
      <c r="EK141" s="3582">
        <f t="shared" si="602"/>
        <v>-113.70955632151569</v>
      </c>
      <c r="EL141" s="3583">
        <f t="shared" si="601"/>
        <v>-113.87494236580086</v>
      </c>
      <c r="EM141" s="3583">
        <f t="shared" si="601"/>
        <v>-65.08722234871658</v>
      </c>
      <c r="EN141" s="3583">
        <f t="shared" si="601"/>
        <v>-114.77199116370323</v>
      </c>
      <c r="EO141" s="3583">
        <f t="shared" ref="EO141:EP141" si="603">(EO140-EJ140)*10000</f>
        <v>-87.677758086527064</v>
      </c>
      <c r="EP141" s="3582">
        <f t="shared" si="603"/>
        <v>-95.140048424717648</v>
      </c>
      <c r="EQ141" s="3583">
        <f t="shared" ref="EQ141" si="604">(EQ140-EL140)*10000</f>
        <v>-77.134539147007757</v>
      </c>
      <c r="ER141" s="3583">
        <f t="shared" ref="ER141" si="605">(ER140-EM140)*10000</f>
        <v>-49.315146894794438</v>
      </c>
      <c r="ES141" s="3583">
        <f t="shared" ref="ES141" si="606">(ES140-EN140)*10000</f>
        <v>-55.983396885429109</v>
      </c>
      <c r="ET141" s="3583">
        <f t="shared" ref="ET141:EU141" si="607">(ET140-EO140)*10000</f>
        <v>-61.130726747816375</v>
      </c>
      <c r="EU141" s="3582">
        <f t="shared" si="607"/>
        <v>-60.622425047759663</v>
      </c>
      <c r="EV141" s="3582">
        <f>(EV140-EU140)*10000</f>
        <v>-31.295354234842296</v>
      </c>
      <c r="EW141" s="3582">
        <f>(EW140-EV140)*10000</f>
        <v>-31.184142942412354</v>
      </c>
      <c r="EX141" s="3582">
        <f>(EX140-EW140)*10000</f>
        <v>-23.152950015222078</v>
      </c>
      <c r="EY141" s="3582">
        <f>(EY140-EX140)*10000</f>
        <v>-23.73743020165006</v>
      </c>
      <c r="EZ141" s="226"/>
      <c r="FA141" s="4287"/>
      <c r="FB141" s="4287"/>
      <c r="FC141" s="4287"/>
      <c r="FD141" s="4287"/>
      <c r="FE141" s="4287"/>
      <c r="FF141" s="4287"/>
      <c r="FG141" s="4287"/>
      <c r="FH141" s="4287"/>
      <c r="FI141" s="4287"/>
      <c r="FJ141" s="4287"/>
      <c r="FK141" s="4287"/>
      <c r="FL141" s="4287"/>
    </row>
    <row r="142" spans="1:168" s="259" customFormat="1" ht="11.25" hidden="1" customHeight="1" outlineLevel="1">
      <c r="A142" s="3768" t="s">
        <v>735</v>
      </c>
      <c r="B142" s="2008"/>
      <c r="C142" s="2008"/>
      <c r="D142" s="2008"/>
      <c r="E142" s="2008"/>
      <c r="F142" s="2009"/>
      <c r="G142" s="2008"/>
      <c r="H142" s="2008"/>
      <c r="I142" s="2008"/>
      <c r="J142" s="2008"/>
      <c r="K142" s="2009"/>
      <c r="L142" s="2008"/>
      <c r="M142" s="2008"/>
      <c r="N142" s="2008"/>
      <c r="O142" s="2008"/>
      <c r="P142" s="3582" t="s">
        <v>116</v>
      </c>
      <c r="Q142" s="3583" t="s">
        <v>116</v>
      </c>
      <c r="R142" s="3583">
        <f>(R140-Q140)*10000</f>
        <v>0</v>
      </c>
      <c r="S142" s="3583">
        <f>(S140-R140)*10000</f>
        <v>0</v>
      </c>
      <c r="T142" s="3583">
        <f>(T140-S140)*10000</f>
        <v>0</v>
      </c>
      <c r="U142" s="3582" t="s">
        <v>116</v>
      </c>
      <c r="V142" s="3583">
        <f>(V140-T140)*10000</f>
        <v>0</v>
      </c>
      <c r="W142" s="3583">
        <f>(W140-V140)*10000</f>
        <v>0</v>
      </c>
      <c r="X142" s="3583">
        <f>(X140-W140)*10000</f>
        <v>0</v>
      </c>
      <c r="Y142" s="3583">
        <f>(Y140-X140)*10000</f>
        <v>0</v>
      </c>
      <c r="Z142" s="3582" t="s">
        <v>116</v>
      </c>
      <c r="AA142" s="3583">
        <f>(AA140-Y140)*10000</f>
        <v>0</v>
      </c>
      <c r="AB142" s="3583">
        <f>(AB140-AA140)*10000</f>
        <v>0</v>
      </c>
      <c r="AC142" s="3583">
        <f>(AC140-AB140)*10000</f>
        <v>0</v>
      </c>
      <c r="AD142" s="3583">
        <f>(AD140-AC140)*10000</f>
        <v>0</v>
      </c>
      <c r="AE142" s="3582" t="s">
        <v>116</v>
      </c>
      <c r="AF142" s="3583">
        <f>(AF140-AD140)*10000</f>
        <v>0</v>
      </c>
      <c r="AG142" s="3583">
        <f>(AG140-AF140)*10000</f>
        <v>0</v>
      </c>
      <c r="AH142" s="3583">
        <f>(AH140-AG140)*10000</f>
        <v>0</v>
      </c>
      <c r="AI142" s="3583">
        <f>(AI140-AH140)*10000</f>
        <v>0</v>
      </c>
      <c r="AJ142" s="3582" t="s">
        <v>116</v>
      </c>
      <c r="AK142" s="3583">
        <f>(AK140-AI140)*10000</f>
        <v>0</v>
      </c>
      <c r="AL142" s="3583">
        <f>(AL140-AK140)*10000</f>
        <v>0</v>
      </c>
      <c r="AM142" s="3583">
        <f>(AM140-AL140)*10000</f>
        <v>0</v>
      </c>
      <c r="AN142" s="3583">
        <f>(AN140-AM140)*10000</f>
        <v>0</v>
      </c>
      <c r="AO142" s="3582" t="s">
        <v>116</v>
      </c>
      <c r="AP142" s="3583">
        <f>(AP140-AN140)*10000</f>
        <v>0</v>
      </c>
      <c r="AQ142" s="3583">
        <f>(AQ140-AP140)*10000</f>
        <v>0</v>
      </c>
      <c r="AR142" s="3583">
        <f>(AR140-AQ140)*10000</f>
        <v>0</v>
      </c>
      <c r="AS142" s="3583">
        <f>(AS140-AR140)*10000</f>
        <v>0</v>
      </c>
      <c r="AT142" s="3582" t="s">
        <v>116</v>
      </c>
      <c r="AU142" s="3583">
        <f>(AU140-AS140)*10000</f>
        <v>0</v>
      </c>
      <c r="AV142" s="3583">
        <f>(AV140-AU140)*10000</f>
        <v>0</v>
      </c>
      <c r="AW142" s="3583">
        <f>(AW140-AV140)*10000</f>
        <v>0</v>
      </c>
      <c r="AX142" s="3583">
        <f>(AX140-AW140)*10000</f>
        <v>0</v>
      </c>
      <c r="AY142" s="3582" t="s">
        <v>116</v>
      </c>
      <c r="AZ142" s="3583">
        <f>(AZ140-AX140)*10000</f>
        <v>0</v>
      </c>
      <c r="BA142" s="3583">
        <f>(BA140-AZ140)*10000</f>
        <v>0</v>
      </c>
      <c r="BB142" s="3583">
        <f>(BB140-BA140)*10000</f>
        <v>0</v>
      </c>
      <c r="BC142" s="3583">
        <f>(BC140-BB140)*10000</f>
        <v>0</v>
      </c>
      <c r="BD142" s="3582" t="s">
        <v>116</v>
      </c>
      <c r="BE142" s="3584">
        <f>(BE140-BD140)*10000</f>
        <v>0</v>
      </c>
      <c r="BF142" s="3583">
        <f>(BF140-BE140)*10000</f>
        <v>0</v>
      </c>
      <c r="BG142" s="3583">
        <f>(BG140-BF140)*10000</f>
        <v>0</v>
      </c>
      <c r="BH142" s="3583">
        <f>(BH140-BG140)*10000</f>
        <v>0</v>
      </c>
      <c r="BI142" s="3582" t="s">
        <v>116</v>
      </c>
      <c r="BJ142" s="3583">
        <f>(BJ140-BI140)*10000</f>
        <v>0</v>
      </c>
      <c r="BK142" s="3583">
        <f>(BK140-BJ140)*10000</f>
        <v>0</v>
      </c>
      <c r="BL142" s="3583">
        <f>(BL140-BK140)*10000</f>
        <v>0</v>
      </c>
      <c r="BM142" s="3583">
        <f>(BM140-BL140)*10000</f>
        <v>0</v>
      </c>
      <c r="BN142" s="3582" t="s">
        <v>116</v>
      </c>
      <c r="BO142" s="3583">
        <v>-44.309034873266654</v>
      </c>
      <c r="BP142" s="3583">
        <v>-672.07408167944016</v>
      </c>
      <c r="BQ142" s="3583">
        <v>-721.12167931195404</v>
      </c>
      <c r="BR142" s="3585">
        <v>523.61981105103814</v>
      </c>
      <c r="BS142" s="3586" t="s">
        <v>116</v>
      </c>
      <c r="BT142" s="3583">
        <f>(BT140-BN140)*10000</f>
        <v>0</v>
      </c>
      <c r="BU142" s="3583">
        <f>(BU140-BT140)*10000</f>
        <v>0</v>
      </c>
      <c r="BV142" s="3583">
        <f>(BV140-BU140)*10000</f>
        <v>0</v>
      </c>
      <c r="BW142" s="3583">
        <f>(BW140-BV140)*10000</f>
        <v>0</v>
      </c>
      <c r="BX142" s="3582" t="s">
        <v>116</v>
      </c>
      <c r="BY142" s="3583">
        <v>-168.79362027002631</v>
      </c>
      <c r="BZ142" s="3583">
        <v>-64.345834278949908</v>
      </c>
      <c r="CA142" s="3583">
        <v>-0.76292619161033581</v>
      </c>
      <c r="CB142" s="3583">
        <v>-112.8577449411261</v>
      </c>
      <c r="CC142" s="3582" t="s">
        <v>116</v>
      </c>
      <c r="CD142" s="3583">
        <f>(CD140-BX140)*10000</f>
        <v>0</v>
      </c>
      <c r="CE142" s="3583">
        <f>(CE140-CD140)*10000</f>
        <v>0</v>
      </c>
      <c r="CF142" s="3583">
        <f>(CF140-CE140)*10000</f>
        <v>0</v>
      </c>
      <c r="CG142" s="3583">
        <f>(CG140-CF140)*10000</f>
        <v>1214.7450181447762</v>
      </c>
      <c r="CH142" s="3582" t="s">
        <v>116</v>
      </c>
      <c r="CI142" s="3583">
        <f>(CI140-CH140)*10000</f>
        <v>1121.2710765239949</v>
      </c>
      <c r="CJ142" s="3583">
        <f>(CJ140-CI140)*10000</f>
        <v>95.275460611699287</v>
      </c>
      <c r="CK142" s="3583">
        <f>(CK140-CJ140)*10000</f>
        <v>44.725628935842614</v>
      </c>
      <c r="CL142" s="3583">
        <f>(CL140-CK140)*10000</f>
        <v>51.76987115986131</v>
      </c>
      <c r="CM142" s="3582" t="s">
        <v>116</v>
      </c>
      <c r="CN142" s="3583">
        <f>(CN140-CM140)*10000</f>
        <v>-35.404501899080756</v>
      </c>
      <c r="CO142" s="3583">
        <f>(CO140-CN140)*10000</f>
        <v>-23.195144252802365</v>
      </c>
      <c r="CP142" s="3583">
        <f>(CP140-CO140)*10000</f>
        <v>17.010060890031571</v>
      </c>
      <c r="CQ142" s="3583">
        <f>(CQ140-CP140)*10000</f>
        <v>65.674936607040408</v>
      </c>
      <c r="CR142" s="3582" t="s">
        <v>116</v>
      </c>
      <c r="CS142" s="3583">
        <f>(CS140-CR140)*10000</f>
        <v>-28.085513294611452</v>
      </c>
      <c r="CT142" s="3583">
        <f>(CT140-CS140)*10000</f>
        <v>-55.102284481620551</v>
      </c>
      <c r="CU142" s="3583">
        <f>(CU140-CT140)*10000</f>
        <v>19.232271209756043</v>
      </c>
      <c r="CV142" s="3583">
        <f>(CV140-CU140)*10000</f>
        <v>53.797979907351106</v>
      </c>
      <c r="CW142" s="3582"/>
      <c r="CX142" s="3583">
        <f>(CX140-CV140)*10000</f>
        <v>-128.00323678776718</v>
      </c>
      <c r="CY142" s="3583">
        <f>(CY140-CX140)*10000</f>
        <v>45.519555415749203</v>
      </c>
      <c r="CZ142" s="3583">
        <f>(CZ140-CY140)*10000</f>
        <v>-18.454551349448845</v>
      </c>
      <c r="DA142" s="3583">
        <f>(DA140-CZ140)*10000</f>
        <v>238.06800157717771</v>
      </c>
      <c r="DB142" s="3582"/>
      <c r="DC142" s="3583">
        <f>(DC140-DA140)*10000</f>
        <v>-176.28490218547287</v>
      </c>
      <c r="DD142" s="3583">
        <f>(DD140-DC140)*10000</f>
        <v>0.35444658540592644</v>
      </c>
      <c r="DE142" s="3583">
        <f>(DE140-DD140)*10000</f>
        <v>-16.702924265777074</v>
      </c>
      <c r="DF142" s="3583">
        <f>(DF140-DE140)*10000</f>
        <v>157.72044847543756</v>
      </c>
      <c r="DG142" s="3582"/>
      <c r="DH142" s="3583">
        <f>(DH140-DF140)*10000</f>
        <v>-223.89985897388664</v>
      </c>
      <c r="DI142" s="3583">
        <f>(DI140-DH140)*10000</f>
        <v>6.9499556162939955</v>
      </c>
      <c r="DJ142" s="3583">
        <f>(DJ140-DI140)*10000</f>
        <v>56.499792248641548</v>
      </c>
      <c r="DK142" s="3583">
        <f>(DK140-DJ140)*10000</f>
        <v>107.30803331531924</v>
      </c>
      <c r="DL142" s="3582"/>
      <c r="DM142" s="3583">
        <f>(DM140-DK140)*10000</f>
        <v>-152.03980139379013</v>
      </c>
      <c r="DN142" s="3583">
        <f>(DN140-DM140)*10000</f>
        <v>-74.703377057645653</v>
      </c>
      <c r="DO142" s="3583">
        <f>(DO140-DN140)*10000</f>
        <v>-102.28125922479792</v>
      </c>
      <c r="DP142" s="3583">
        <f>(DP140-DO140)*10000</f>
        <v>17.615597186487754</v>
      </c>
      <c r="DQ142" s="3582"/>
      <c r="DR142" s="3583">
        <f>(DR140-DP140)*10000</f>
        <v>-117.52214732154626</v>
      </c>
      <c r="DS142" s="3583">
        <f>(DS140-DR140)*10000</f>
        <v>36.188133334053298</v>
      </c>
      <c r="DT142" s="3583">
        <f>(DT140-DS140)*10000</f>
        <v>-5.5403573162285387</v>
      </c>
      <c r="DU142" s="3583">
        <f>(DU140-DT140)*10000</f>
        <v>162.41458751585267</v>
      </c>
      <c r="DV142" s="3582"/>
      <c r="DW142" s="3583">
        <f>(DW140-DU140)*10000</f>
        <v>-153.0131014953688</v>
      </c>
      <c r="DX142" s="3583">
        <f>(DX140-DW140)*10000</f>
        <v>94.945167372108983</v>
      </c>
      <c r="DY142" s="3583">
        <f>(DY140-DX140)*10000</f>
        <v>51.441477883697736</v>
      </c>
      <c r="DZ142" s="3583">
        <f>(DZ140-DY140)*10000</f>
        <v>-58.330713718042908</v>
      </c>
      <c r="EA142" s="3582"/>
      <c r="EB142" s="3583">
        <f>(EB140-DZ140)*10000</f>
        <v>-8.4007934714971917</v>
      </c>
      <c r="EC142" s="3583">
        <f>(EC140-EB140)*10000</f>
        <v>-27.201740118495689</v>
      </c>
      <c r="ED142" s="3583">
        <f>(ED140-EC140)*10000</f>
        <v>-11.327761152383209</v>
      </c>
      <c r="EE142" s="3583">
        <f>(EE140-ED140)*10000</f>
        <v>-3.2703596784712516</v>
      </c>
      <c r="EF142" s="3582"/>
      <c r="EG142" s="3583">
        <f>(EG140-EE140)*10000</f>
        <v>-96.460054329039764</v>
      </c>
      <c r="EH142" s="3583">
        <f>(EH140-EG140)*10000</f>
        <v>3.6172644692673837</v>
      </c>
      <c r="EI142" s="3583">
        <f>(EI140-EH140)*10000</f>
        <v>17.264928025622073</v>
      </c>
      <c r="EJ142" s="3583">
        <f>(EJ140-EI140)*10000</f>
        <v>-55.506143666681218</v>
      </c>
      <c r="EK142" s="3582"/>
      <c r="EL142" s="3583">
        <f>(EL140-EJ140)*10000</f>
        <v>-79.250991194009103</v>
      </c>
      <c r="EM142" s="3583">
        <f>(EM140-EL140)*10000</f>
        <v>52.404984486351665</v>
      </c>
      <c r="EN142" s="3583">
        <f>(EN140-EM140)*10000</f>
        <v>-32.419840789364578</v>
      </c>
      <c r="EO142" s="3583">
        <f>(EO140-EN140)*10000</f>
        <v>-28.411910589505041</v>
      </c>
      <c r="EP142" s="3582"/>
      <c r="EQ142" s="3583">
        <f>(EQ140-EO140)*10000</f>
        <v>-68.707772254489811</v>
      </c>
      <c r="ER142" s="3583">
        <f>(ER140-EQ140)*10000</f>
        <v>80.224376738564985</v>
      </c>
      <c r="ES142" s="3583">
        <f>(ES140-ER140)*10000</f>
        <v>-39.088090779999249</v>
      </c>
      <c r="ET142" s="3583">
        <f>(ET140-ES140)*10000</f>
        <v>-33.559240451892308</v>
      </c>
      <c r="EU142" s="3582"/>
      <c r="EV142" s="3582"/>
      <c r="EW142" s="3582"/>
      <c r="EX142" s="3582"/>
      <c r="EY142" s="3582"/>
      <c r="EZ142" s="209"/>
      <c r="FA142" s="4287"/>
      <c r="FB142" s="4287"/>
      <c r="FC142" s="4287"/>
      <c r="FD142" s="4287"/>
      <c r="FE142" s="4287"/>
      <c r="FF142" s="4287"/>
      <c r="FG142" s="4287"/>
      <c r="FH142" s="4287"/>
      <c r="FI142" s="4287"/>
      <c r="FJ142" s="4287"/>
      <c r="FK142" s="4287"/>
      <c r="FL142" s="4287"/>
    </row>
    <row r="143" spans="1:168" ht="11.25" customHeight="1" collapsed="1">
      <c r="A143" s="3765" t="s">
        <v>51</v>
      </c>
      <c r="B143" s="124"/>
      <c r="C143" s="124"/>
      <c r="D143" s="124"/>
      <c r="E143" s="124"/>
      <c r="F143" s="997"/>
      <c r="G143" s="124"/>
      <c r="H143" s="124"/>
      <c r="I143" s="124"/>
      <c r="J143" s="124"/>
      <c r="K143" s="997"/>
      <c r="L143" s="124"/>
      <c r="M143" s="124"/>
      <c r="N143" s="124"/>
      <c r="O143" s="124"/>
      <c r="P143" s="997"/>
      <c r="Q143" s="124"/>
      <c r="R143" s="124"/>
      <c r="S143" s="124"/>
      <c r="T143" s="124"/>
      <c r="U143" s="997"/>
      <c r="V143" s="124"/>
      <c r="W143" s="124"/>
      <c r="X143" s="124"/>
      <c r="Y143" s="124"/>
      <c r="Z143" s="997"/>
      <c r="AA143" s="124"/>
      <c r="AB143" s="124"/>
      <c r="AC143" s="124"/>
      <c r="AD143" s="124"/>
      <c r="AE143" s="997"/>
      <c r="AF143" s="124"/>
      <c r="AG143" s="124"/>
      <c r="AH143" s="124"/>
      <c r="AI143" s="124"/>
      <c r="AJ143" s="997"/>
      <c r="AK143" s="124"/>
      <c r="AL143" s="124"/>
      <c r="AM143" s="124"/>
      <c r="AN143" s="124"/>
      <c r="AO143" s="997"/>
      <c r="AP143" s="124"/>
      <c r="AQ143" s="124"/>
      <c r="AR143" s="124"/>
      <c r="AS143" s="124"/>
      <c r="AT143" s="997"/>
      <c r="AU143" s="124"/>
      <c r="AV143" s="124"/>
      <c r="AW143" s="124"/>
      <c r="AX143" s="124"/>
      <c r="AY143" s="997"/>
      <c r="AZ143" s="124"/>
      <c r="BA143" s="124"/>
      <c r="BB143" s="124"/>
      <c r="BC143" s="124"/>
      <c r="BD143" s="997"/>
      <c r="BE143" s="1688"/>
      <c r="BF143" s="124"/>
      <c r="BG143" s="124"/>
      <c r="BH143" s="124"/>
      <c r="BI143" s="997"/>
      <c r="BJ143" s="124"/>
      <c r="BK143" s="124"/>
      <c r="BL143" s="124"/>
      <c r="BM143" s="124"/>
      <c r="BN143" s="997"/>
      <c r="BO143" s="124"/>
      <c r="BP143" s="124"/>
      <c r="BQ143" s="124"/>
      <c r="BR143" s="123"/>
      <c r="BS143" s="1761"/>
      <c r="BT143" s="124"/>
      <c r="BU143" s="124"/>
      <c r="BV143" s="124"/>
      <c r="BW143" s="124"/>
      <c r="BX143" s="997"/>
      <c r="BY143" s="124"/>
      <c r="BZ143" s="124"/>
      <c r="CA143" s="124"/>
      <c r="CB143" s="124"/>
      <c r="CC143" s="997"/>
      <c r="CD143" s="124"/>
      <c r="CE143" s="124"/>
      <c r="CF143" s="124"/>
      <c r="CG143" s="124">
        <f>CG23/CG$7</f>
        <v>7.5380403641688423E-2</v>
      </c>
      <c r="CH143" s="997"/>
      <c r="CI143" s="124">
        <f t="shared" ref="CI143:DN143" si="608">CI23/CI$7</f>
        <v>9.6562905317769135E-2</v>
      </c>
      <c r="CJ143" s="124">
        <f t="shared" si="608"/>
        <v>8.7997492948918829E-2</v>
      </c>
      <c r="CK143" s="124">
        <f t="shared" si="608"/>
        <v>8.2612116443745082E-2</v>
      </c>
      <c r="CL143" s="124">
        <f t="shared" si="608"/>
        <v>8.7996464674363367E-2</v>
      </c>
      <c r="CM143" s="997">
        <f t="shared" si="608"/>
        <v>8.8650171967091407E-2</v>
      </c>
      <c r="CN143" s="124">
        <f t="shared" si="608"/>
        <v>9.4854560203963378E-2</v>
      </c>
      <c r="CO143" s="124">
        <f t="shared" si="608"/>
        <v>8.1796130196874831E-2</v>
      </c>
      <c r="CP143" s="124">
        <f t="shared" si="608"/>
        <v>7.90896921017403E-2</v>
      </c>
      <c r="CQ143" s="124">
        <f t="shared" si="608"/>
        <v>7.3702470814384177E-2</v>
      </c>
      <c r="CR143" s="997">
        <f t="shared" si="608"/>
        <v>8.1825334382376089E-2</v>
      </c>
      <c r="CS143" s="124">
        <f t="shared" si="608"/>
        <v>7.469023053759194E-2</v>
      </c>
      <c r="CT143" s="124">
        <f t="shared" si="608"/>
        <v>7.5534883720930229E-2</v>
      </c>
      <c r="CU143" s="124">
        <f t="shared" si="608"/>
        <v>8.1243597167164047E-2</v>
      </c>
      <c r="CV143" s="124">
        <f t="shared" si="608"/>
        <v>7.7655003069367706E-2</v>
      </c>
      <c r="CW143" s="997">
        <f t="shared" si="608"/>
        <v>7.7377259836937259E-2</v>
      </c>
      <c r="CX143" s="124">
        <f t="shared" si="608"/>
        <v>7.2767676767676773E-2</v>
      </c>
      <c r="CY143" s="124">
        <f t="shared" si="608"/>
        <v>6.535947712418301E-2</v>
      </c>
      <c r="CZ143" s="124">
        <f t="shared" si="608"/>
        <v>5.7431945844735703E-2</v>
      </c>
      <c r="DA143" s="124">
        <f t="shared" si="608"/>
        <v>5.4945394920025988E-2</v>
      </c>
      <c r="DB143" s="997">
        <f t="shared" si="608"/>
        <v>6.1990888999143026E-2</v>
      </c>
      <c r="DC143" s="124">
        <f t="shared" si="608"/>
        <v>4.5045912797791049E-2</v>
      </c>
      <c r="DD143" s="124">
        <f t="shared" si="608"/>
        <v>5.4015984321891169E-2</v>
      </c>
      <c r="DE143" s="124">
        <f t="shared" si="608"/>
        <v>5.1956135151155901E-2</v>
      </c>
      <c r="DF143" s="124">
        <f t="shared" si="608"/>
        <v>5.0998064976066806E-2</v>
      </c>
      <c r="DG143" s="997">
        <f t="shared" si="608"/>
        <v>5.0599697410447377E-2</v>
      </c>
      <c r="DH143" s="124">
        <f t="shared" si="608"/>
        <v>5.7458928424007266E-2</v>
      </c>
      <c r="DI143" s="124">
        <f t="shared" si="608"/>
        <v>5.2459942481511916E-2</v>
      </c>
      <c r="DJ143" s="124">
        <f t="shared" si="608"/>
        <v>6.3976888318230077E-2</v>
      </c>
      <c r="DK143" s="124">
        <f t="shared" si="608"/>
        <v>6.139989148128052E-2</v>
      </c>
      <c r="DL143" s="997">
        <f t="shared" si="608"/>
        <v>5.9008878207306451E-2</v>
      </c>
      <c r="DM143" s="124">
        <f t="shared" si="608"/>
        <v>6.9972545494302582E-2</v>
      </c>
      <c r="DN143" s="124">
        <f t="shared" si="608"/>
        <v>6.7498759693970803E-2</v>
      </c>
      <c r="DO143" s="124">
        <f t="shared" ref="DO143:EX143" si="609">DO23/DO$7</f>
        <v>5.9688562579862693E-2</v>
      </c>
      <c r="DP143" s="124">
        <f t="shared" si="609"/>
        <v>4.975570318816127E-2</v>
      </c>
      <c r="DQ143" s="997">
        <f t="shared" si="609"/>
        <v>6.0549946035381066E-2</v>
      </c>
      <c r="DR143" s="124">
        <f t="shared" si="609"/>
        <v>5.0131973822178835E-2</v>
      </c>
      <c r="DS143" s="124">
        <f t="shared" si="609"/>
        <v>5.3991596638655465E-2</v>
      </c>
      <c r="DT143" s="124">
        <f t="shared" si="609"/>
        <v>5.0001535673700054E-2</v>
      </c>
      <c r="DU143" s="124">
        <f t="shared" si="609"/>
        <v>5.4961832061068701E-2</v>
      </c>
      <c r="DV143" s="997">
        <f t="shared" si="609"/>
        <v>5.2438120301043716E-2</v>
      </c>
      <c r="DW143" s="124">
        <f t="shared" si="609"/>
        <v>4.9609621972916143E-2</v>
      </c>
      <c r="DX143" s="124">
        <f t="shared" si="609"/>
        <v>5.2479012700007176E-2</v>
      </c>
      <c r="DY143" s="124">
        <f t="shared" si="609"/>
        <v>5.2061020089156487E-2</v>
      </c>
      <c r="DZ143" s="124">
        <f t="shared" si="609"/>
        <v>6.7010309278350513E-2</v>
      </c>
      <c r="EA143" s="997">
        <f t="shared" si="609"/>
        <v>5.5594054505084221E-2</v>
      </c>
      <c r="EB143" s="124">
        <f t="shared" si="609"/>
        <v>5.3863900153323686E-2</v>
      </c>
      <c r="EC143" s="124">
        <f t="shared" si="609"/>
        <v>4.6659696531017106E-2</v>
      </c>
      <c r="ED143" s="124">
        <f t="shared" si="609"/>
        <v>5.188217959918115E-2</v>
      </c>
      <c r="EE143" s="124">
        <f t="shared" si="609"/>
        <v>6.0317460317460318E-2</v>
      </c>
      <c r="EF143" s="997">
        <f t="shared" si="609"/>
        <v>5.3433053345218189E-2</v>
      </c>
      <c r="EG143" s="124">
        <f t="shared" si="609"/>
        <v>3.7571859595972139E-2</v>
      </c>
      <c r="EH143" s="124">
        <f t="shared" si="609"/>
        <v>3.7266054612824812E-2</v>
      </c>
      <c r="EI143" s="124">
        <f t="shared" si="609"/>
        <v>4.0773553269588071E-2</v>
      </c>
      <c r="EJ143" s="124">
        <f t="shared" si="609"/>
        <v>4.5662337123842892E-2</v>
      </c>
      <c r="EK143" s="997">
        <f t="shared" si="609"/>
        <v>4.0535058197007014E-2</v>
      </c>
      <c r="EL143" s="124">
        <f t="shared" si="609"/>
        <v>3.9220249573331561E-2</v>
      </c>
      <c r="EM143" s="124">
        <f t="shared" si="609"/>
        <v>5.401957937528519E-2</v>
      </c>
      <c r="EN143" s="124">
        <f t="shared" ref="EN143" si="610">EN23/EN$7</f>
        <v>3.8457780470169817E-2</v>
      </c>
      <c r="EO143" s="124">
        <f t="shared" si="609"/>
        <v>4.3612915490431586E-2</v>
      </c>
      <c r="EP143" s="997">
        <f t="shared" si="609"/>
        <v>4.3811090346486253E-2</v>
      </c>
      <c r="EQ143" s="124">
        <f t="shared" ref="EQ143:EU143" si="611">EQ23/EQ$7</f>
        <v>3.5471677281888214E-2</v>
      </c>
      <c r="ER143" s="124">
        <f t="shared" si="611"/>
        <v>3.3925030088531545E-2</v>
      </c>
      <c r="ES143" s="124">
        <f t="shared" si="611"/>
        <v>3.4128059313353699E-2</v>
      </c>
      <c r="ET143" s="124">
        <f t="shared" si="611"/>
        <v>3.9808910907812953E-2</v>
      </c>
      <c r="EU143" s="997">
        <f t="shared" si="611"/>
        <v>3.5967058497607424E-2</v>
      </c>
      <c r="EV143" s="997">
        <f t="shared" si="609"/>
        <v>3.4709462821347042E-2</v>
      </c>
      <c r="EW143" s="997">
        <f t="shared" si="609"/>
        <v>3.3176962643006243E-2</v>
      </c>
      <c r="EX143" s="997">
        <f t="shared" si="609"/>
        <v>3.1604486080910793E-2</v>
      </c>
      <c r="EY143" s="997">
        <f t="shared" ref="EY143" si="612">EY23/EY$7</f>
        <v>2.9995994318809706E-2</v>
      </c>
      <c r="EZ143" s="127"/>
      <c r="FA143" s="2660"/>
      <c r="FB143" s="2660"/>
      <c r="FC143" s="2660"/>
      <c r="FD143" s="2660"/>
      <c r="FE143" s="2660"/>
      <c r="FF143" s="2660"/>
      <c r="FG143" s="2660"/>
      <c r="FH143" s="2660"/>
      <c r="FI143" s="2660"/>
      <c r="FJ143" s="2660"/>
      <c r="FK143" s="2660"/>
      <c r="FL143" s="2660"/>
    </row>
    <row r="144" spans="1:168" s="259" customFormat="1" ht="11.25" hidden="1" customHeight="1" outlineLevel="1">
      <c r="A144" s="3768" t="s">
        <v>734</v>
      </c>
      <c r="B144" s="2008"/>
      <c r="C144" s="2008"/>
      <c r="D144" s="2008"/>
      <c r="E144" s="2008"/>
      <c r="F144" s="2009"/>
      <c r="G144" s="2008"/>
      <c r="H144" s="2008"/>
      <c r="I144" s="2008"/>
      <c r="J144" s="2008"/>
      <c r="K144" s="2009"/>
      <c r="L144" s="2008"/>
      <c r="M144" s="2008"/>
      <c r="N144" s="2008"/>
      <c r="O144" s="2008"/>
      <c r="P144" s="3582" t="s">
        <v>116</v>
      </c>
      <c r="Q144" s="3583" t="s">
        <v>116</v>
      </c>
      <c r="R144" s="3583" t="s">
        <v>116</v>
      </c>
      <c r="S144" s="3583" t="s">
        <v>116</v>
      </c>
      <c r="T144" s="3583" t="s">
        <v>116</v>
      </c>
      <c r="U144" s="3582">
        <f t="shared" ref="U144:BN144" si="613">(U143-P143)*10000</f>
        <v>0</v>
      </c>
      <c r="V144" s="3583">
        <f t="shared" si="613"/>
        <v>0</v>
      </c>
      <c r="W144" s="3583">
        <f t="shared" si="613"/>
        <v>0</v>
      </c>
      <c r="X144" s="3583">
        <f t="shared" si="613"/>
        <v>0</v>
      </c>
      <c r="Y144" s="3583">
        <f t="shared" si="613"/>
        <v>0</v>
      </c>
      <c r="Z144" s="3582">
        <f t="shared" si="613"/>
        <v>0</v>
      </c>
      <c r="AA144" s="3583">
        <f t="shared" si="613"/>
        <v>0</v>
      </c>
      <c r="AB144" s="3583">
        <f t="shared" si="613"/>
        <v>0</v>
      </c>
      <c r="AC144" s="3583">
        <f t="shared" si="613"/>
        <v>0</v>
      </c>
      <c r="AD144" s="3583">
        <f t="shared" si="613"/>
        <v>0</v>
      </c>
      <c r="AE144" s="3582">
        <f t="shared" si="613"/>
        <v>0</v>
      </c>
      <c r="AF144" s="3583">
        <f t="shared" si="613"/>
        <v>0</v>
      </c>
      <c r="AG144" s="3583">
        <f t="shared" si="613"/>
        <v>0</v>
      </c>
      <c r="AH144" s="3583">
        <f t="shared" si="613"/>
        <v>0</v>
      </c>
      <c r="AI144" s="3583">
        <f t="shared" si="613"/>
        <v>0</v>
      </c>
      <c r="AJ144" s="3582">
        <f t="shared" si="613"/>
        <v>0</v>
      </c>
      <c r="AK144" s="3583">
        <f t="shared" si="613"/>
        <v>0</v>
      </c>
      <c r="AL144" s="3583">
        <f t="shared" si="613"/>
        <v>0</v>
      </c>
      <c r="AM144" s="3583">
        <f t="shared" si="613"/>
        <v>0</v>
      </c>
      <c r="AN144" s="3583">
        <f t="shared" si="613"/>
        <v>0</v>
      </c>
      <c r="AO144" s="3582">
        <f t="shared" si="613"/>
        <v>0</v>
      </c>
      <c r="AP144" s="3583">
        <f t="shared" si="613"/>
        <v>0</v>
      </c>
      <c r="AQ144" s="3583">
        <f t="shared" si="613"/>
        <v>0</v>
      </c>
      <c r="AR144" s="3583">
        <f t="shared" si="613"/>
        <v>0</v>
      </c>
      <c r="AS144" s="3583">
        <f t="shared" si="613"/>
        <v>0</v>
      </c>
      <c r="AT144" s="3582">
        <f t="shared" si="613"/>
        <v>0</v>
      </c>
      <c r="AU144" s="3583">
        <f t="shared" si="613"/>
        <v>0</v>
      </c>
      <c r="AV144" s="3583">
        <f t="shared" si="613"/>
        <v>0</v>
      </c>
      <c r="AW144" s="3583">
        <f t="shared" si="613"/>
        <v>0</v>
      </c>
      <c r="AX144" s="3583">
        <f t="shared" si="613"/>
        <v>0</v>
      </c>
      <c r="AY144" s="3582">
        <f t="shared" si="613"/>
        <v>0</v>
      </c>
      <c r="AZ144" s="3583">
        <f t="shared" si="613"/>
        <v>0</v>
      </c>
      <c r="BA144" s="3583">
        <f t="shared" si="613"/>
        <v>0</v>
      </c>
      <c r="BB144" s="3583">
        <f t="shared" si="613"/>
        <v>0</v>
      </c>
      <c r="BC144" s="3583">
        <f t="shared" si="613"/>
        <v>0</v>
      </c>
      <c r="BD144" s="3582">
        <f t="shared" si="613"/>
        <v>0</v>
      </c>
      <c r="BE144" s="3584">
        <f t="shared" si="613"/>
        <v>0</v>
      </c>
      <c r="BF144" s="3583">
        <f t="shared" si="613"/>
        <v>0</v>
      </c>
      <c r="BG144" s="3583">
        <f t="shared" si="613"/>
        <v>0</v>
      </c>
      <c r="BH144" s="3583">
        <f t="shared" si="613"/>
        <v>0</v>
      </c>
      <c r="BI144" s="3582">
        <f t="shared" si="613"/>
        <v>0</v>
      </c>
      <c r="BJ144" s="3583">
        <f t="shared" si="613"/>
        <v>0</v>
      </c>
      <c r="BK144" s="3583">
        <f t="shared" si="613"/>
        <v>0</v>
      </c>
      <c r="BL144" s="3583">
        <f t="shared" si="613"/>
        <v>0</v>
      </c>
      <c r="BM144" s="3583">
        <f t="shared" si="613"/>
        <v>0</v>
      </c>
      <c r="BN144" s="3582">
        <f t="shared" si="613"/>
        <v>0</v>
      </c>
      <c r="BO144" s="3583">
        <v>-73.910139803692317</v>
      </c>
      <c r="BP144" s="3583">
        <v>-647.08175120074429</v>
      </c>
      <c r="BQ144" s="3583">
        <v>-1402.9798881989602</v>
      </c>
      <c r="BR144" s="3585">
        <v>-980.8960342866219</v>
      </c>
      <c r="BS144" s="3586">
        <v>-838.68155981038365</v>
      </c>
      <c r="BT144" s="3583">
        <f>(BT143-BJ143)*10000</f>
        <v>0</v>
      </c>
      <c r="BU144" s="3583">
        <f>(BU143-BK143)*10000</f>
        <v>0</v>
      </c>
      <c r="BV144" s="3583">
        <f>(BV143-BL143)*10000</f>
        <v>0</v>
      </c>
      <c r="BW144" s="3583">
        <f>(BW143-BM143)*10000</f>
        <v>0</v>
      </c>
      <c r="BX144" s="3582">
        <f>(BX143-BN143)*10000</f>
        <v>0</v>
      </c>
      <c r="BY144" s="3583">
        <v>-963.16614520714324</v>
      </c>
      <c r="BZ144" s="3583">
        <v>-355.43789780665304</v>
      </c>
      <c r="CA144" s="3583">
        <v>364.92085531369065</v>
      </c>
      <c r="CB144" s="3583">
        <v>-271.55670067847359</v>
      </c>
      <c r="CC144" s="3582">
        <v>-250.80202387558427</v>
      </c>
      <c r="CD144" s="3583">
        <f>(CD143-BT143)*10000</f>
        <v>0</v>
      </c>
      <c r="CE144" s="3583">
        <f>(CE143-BU143)*10000</f>
        <v>0</v>
      </c>
      <c r="CF144" s="3583">
        <f>(CF143-BV143)*10000</f>
        <v>0</v>
      </c>
      <c r="CG144" s="3583">
        <f>(CG143-BW143)*10000</f>
        <v>753.80403641688429</v>
      </c>
      <c r="CH144" s="3582">
        <f>(CH143-BX143)*10000</f>
        <v>0</v>
      </c>
      <c r="CI144" s="3583">
        <f t="shared" ref="CI144:DG144" si="614">(CI143-CD143)*10000</f>
        <v>965.62905317769139</v>
      </c>
      <c r="CJ144" s="3583">
        <f t="shared" si="614"/>
        <v>879.9749294891883</v>
      </c>
      <c r="CK144" s="3583">
        <f t="shared" si="614"/>
        <v>826.12116443745083</v>
      </c>
      <c r="CL144" s="3583">
        <f t="shared" si="614"/>
        <v>126.16061032674943</v>
      </c>
      <c r="CM144" s="3582">
        <f t="shared" si="614"/>
        <v>886.5017196709141</v>
      </c>
      <c r="CN144" s="3583">
        <f t="shared" si="614"/>
        <v>-17.083451138057566</v>
      </c>
      <c r="CO144" s="3583">
        <f t="shared" si="614"/>
        <v>-62.013627520439982</v>
      </c>
      <c r="CP144" s="3583">
        <f t="shared" si="614"/>
        <v>-35.22424342004782</v>
      </c>
      <c r="CQ144" s="3583">
        <f t="shared" si="614"/>
        <v>-142.9399385997919</v>
      </c>
      <c r="CR144" s="3582">
        <f t="shared" si="614"/>
        <v>-68.248375847153184</v>
      </c>
      <c r="CS144" s="3583">
        <f t="shared" si="614"/>
        <v>-201.64329666371438</v>
      </c>
      <c r="CT144" s="3583">
        <f t="shared" si="614"/>
        <v>-62.612464759446013</v>
      </c>
      <c r="CU144" s="3583">
        <f t="shared" si="614"/>
        <v>21.539050654237474</v>
      </c>
      <c r="CV144" s="3583">
        <f t="shared" si="614"/>
        <v>39.525322549835288</v>
      </c>
      <c r="CW144" s="3582">
        <f t="shared" si="614"/>
        <v>-44.480745454388291</v>
      </c>
      <c r="CX144" s="3583">
        <f t="shared" si="614"/>
        <v>-19.225537699151669</v>
      </c>
      <c r="CY144" s="3583">
        <f t="shared" si="614"/>
        <v>-101.75406596747219</v>
      </c>
      <c r="CZ144" s="3583">
        <f t="shared" si="614"/>
        <v>-238.11651322428344</v>
      </c>
      <c r="DA144" s="3583">
        <f t="shared" si="614"/>
        <v>-227.09608149341719</v>
      </c>
      <c r="DB144" s="3582">
        <f t="shared" si="614"/>
        <v>-153.86370837794234</v>
      </c>
      <c r="DC144" s="3583">
        <f t="shared" si="614"/>
        <v>-277.21763969885723</v>
      </c>
      <c r="DD144" s="3583">
        <f t="shared" si="614"/>
        <v>-113.43492802291841</v>
      </c>
      <c r="DE144" s="3583">
        <f t="shared" si="614"/>
        <v>-54.758106935798025</v>
      </c>
      <c r="DF144" s="3583">
        <f t="shared" si="614"/>
        <v>-39.473299439591813</v>
      </c>
      <c r="DG144" s="3582">
        <f t="shared" si="614"/>
        <v>-113.91191588695649</v>
      </c>
      <c r="DH144" s="3583">
        <f t="shared" ref="DH144:DQ144" si="615">(DH143-DC143)*10000</f>
        <v>124.13015626216217</v>
      </c>
      <c r="DI144" s="3583">
        <f t="shared" si="615"/>
        <v>-15.560418403792534</v>
      </c>
      <c r="DJ144" s="3583">
        <f t="shared" si="615"/>
        <v>120.20753167074176</v>
      </c>
      <c r="DK144" s="3583">
        <f t="shared" si="615"/>
        <v>104.01826505213714</v>
      </c>
      <c r="DL144" s="3582">
        <f t="shared" si="615"/>
        <v>84.091807968590743</v>
      </c>
      <c r="DM144" s="3583">
        <f t="shared" si="615"/>
        <v>125.13617070295317</v>
      </c>
      <c r="DN144" s="3583">
        <f t="shared" si="615"/>
        <v>150.38817212458886</v>
      </c>
      <c r="DO144" s="3583">
        <f t="shared" si="615"/>
        <v>-42.883257383673836</v>
      </c>
      <c r="DP144" s="3583">
        <f t="shared" si="615"/>
        <v>-116.44188293119251</v>
      </c>
      <c r="DQ144" s="3582">
        <f t="shared" si="615"/>
        <v>15.41067828074616</v>
      </c>
      <c r="DR144" s="3583">
        <f t="shared" ref="DR144:EN144" si="616">(DR143-DM143)*10000</f>
        <v>-198.40571672123747</v>
      </c>
      <c r="DS144" s="3583">
        <f t="shared" si="616"/>
        <v>-135.07163055315337</v>
      </c>
      <c r="DT144" s="3583">
        <f t="shared" si="616"/>
        <v>-96.870269061626388</v>
      </c>
      <c r="DU144" s="3583">
        <f t="shared" si="616"/>
        <v>52.061288729074313</v>
      </c>
      <c r="DV144" s="3582">
        <f t="shared" si="616"/>
        <v>-81.118257343373514</v>
      </c>
      <c r="DW144" s="3583">
        <f t="shared" si="616"/>
        <v>-5.2235184926269218</v>
      </c>
      <c r="DX144" s="3583">
        <f t="shared" si="616"/>
        <v>-15.125839386482889</v>
      </c>
      <c r="DY144" s="3583">
        <f t="shared" si="616"/>
        <v>20.594844154564335</v>
      </c>
      <c r="DZ144" s="3583">
        <f t="shared" si="616"/>
        <v>120.48477217281813</v>
      </c>
      <c r="EA144" s="3582">
        <f t="shared" si="616"/>
        <v>31.55934204040506</v>
      </c>
      <c r="EB144" s="3583">
        <f t="shared" si="616"/>
        <v>42.542781804075432</v>
      </c>
      <c r="EC144" s="3583">
        <f t="shared" si="616"/>
        <v>-58.193161689900698</v>
      </c>
      <c r="ED144" s="3583">
        <f t="shared" si="616"/>
        <v>-1.7884048997533764</v>
      </c>
      <c r="EE144" s="3583">
        <f t="shared" si="616"/>
        <v>-66.928489608901955</v>
      </c>
      <c r="EF144" s="3582">
        <f t="shared" ref="EF144:EK144" si="617">(EF143-EA143)*10000</f>
        <v>-21.610011598660329</v>
      </c>
      <c r="EG144" s="3583">
        <f t="shared" si="616"/>
        <v>-162.92040557351547</v>
      </c>
      <c r="EH144" s="3583">
        <f t="shared" si="616"/>
        <v>-93.936419181922943</v>
      </c>
      <c r="EI144" s="3583">
        <f t="shared" si="616"/>
        <v>-111.08626329593078</v>
      </c>
      <c r="EJ144" s="3583">
        <f t="shared" si="616"/>
        <v>-146.55123193617428</v>
      </c>
      <c r="EK144" s="3582">
        <f t="shared" si="617"/>
        <v>-128.97995148211174</v>
      </c>
      <c r="EL144" s="3583">
        <f t="shared" si="616"/>
        <v>16.483899773594228</v>
      </c>
      <c r="EM144" s="3583">
        <f t="shared" si="616"/>
        <v>167.53524762460378</v>
      </c>
      <c r="EN144" s="3583">
        <f t="shared" si="616"/>
        <v>-23.157727994182544</v>
      </c>
      <c r="EO144" s="3583">
        <f t="shared" ref="EO144:EP144" si="618">(EO143-EJ143)*10000</f>
        <v>-20.494216334113052</v>
      </c>
      <c r="EP144" s="3582">
        <f t="shared" si="618"/>
        <v>32.760321494792393</v>
      </c>
      <c r="EQ144" s="3583">
        <f t="shared" ref="EQ144" si="619">(EQ143-EL143)*10000</f>
        <v>-37.485722914433474</v>
      </c>
      <c r="ER144" s="3583">
        <f t="shared" ref="ER144" si="620">(ER143-EM143)*10000</f>
        <v>-200.94549286753644</v>
      </c>
      <c r="ES144" s="3583">
        <f t="shared" ref="ES144" si="621">(ES143-EN143)*10000</f>
        <v>-43.297211568161174</v>
      </c>
      <c r="ET144" s="3583">
        <f t="shared" ref="ET144:EU144" si="622">(ET143-EO143)*10000</f>
        <v>-38.040045826186336</v>
      </c>
      <c r="EU144" s="3582">
        <f t="shared" si="622"/>
        <v>-78.440318488788293</v>
      </c>
      <c r="EV144" s="3582">
        <f>(EV143-EU143)*10000</f>
        <v>-12.575956762603813</v>
      </c>
      <c r="EW144" s="3582">
        <f>(EW143-EV143)*10000</f>
        <v>-15.325001783407997</v>
      </c>
      <c r="EX144" s="3582">
        <f>(EX143-EW143)*10000</f>
        <v>-15.724765620954498</v>
      </c>
      <c r="EY144" s="3582">
        <f>(EY143-EX143)*10000</f>
        <v>-16.08491762101087</v>
      </c>
      <c r="EZ144" s="226"/>
      <c r="FA144" s="4287"/>
      <c r="FB144" s="4287"/>
      <c r="FC144" s="4287"/>
      <c r="FD144" s="4287"/>
      <c r="FE144" s="4287"/>
      <c r="FF144" s="4287"/>
      <c r="FG144" s="4287"/>
      <c r="FH144" s="4287"/>
      <c r="FI144" s="4287"/>
      <c r="FJ144" s="4287"/>
      <c r="FK144" s="4287"/>
      <c r="FL144" s="4287"/>
    </row>
    <row r="145" spans="1:168" s="259" customFormat="1" ht="11.25" hidden="1" customHeight="1" outlineLevel="1">
      <c r="A145" s="3768" t="s">
        <v>735</v>
      </c>
      <c r="B145" s="2008"/>
      <c r="C145" s="2008"/>
      <c r="D145" s="2008"/>
      <c r="E145" s="2008"/>
      <c r="F145" s="2009"/>
      <c r="G145" s="2008"/>
      <c r="H145" s="2008"/>
      <c r="I145" s="2008"/>
      <c r="J145" s="2008"/>
      <c r="K145" s="2009"/>
      <c r="L145" s="2008"/>
      <c r="M145" s="2008"/>
      <c r="N145" s="2008"/>
      <c r="O145" s="2008"/>
      <c r="P145" s="3582" t="s">
        <v>116</v>
      </c>
      <c r="Q145" s="3583" t="s">
        <v>116</v>
      </c>
      <c r="R145" s="3583">
        <f>(R143-Q143)*10000</f>
        <v>0</v>
      </c>
      <c r="S145" s="3583">
        <f>(S143-R143)*10000</f>
        <v>0</v>
      </c>
      <c r="T145" s="3583">
        <f>(T143-S143)*10000</f>
        <v>0</v>
      </c>
      <c r="U145" s="3582" t="s">
        <v>116</v>
      </c>
      <c r="V145" s="3583">
        <f>(V143-T143)*10000</f>
        <v>0</v>
      </c>
      <c r="W145" s="3583">
        <f>(W143-V143)*10000</f>
        <v>0</v>
      </c>
      <c r="X145" s="3583">
        <f>(X143-W143)*10000</f>
        <v>0</v>
      </c>
      <c r="Y145" s="3583">
        <f>(Y143-X143)*10000</f>
        <v>0</v>
      </c>
      <c r="Z145" s="3582" t="s">
        <v>116</v>
      </c>
      <c r="AA145" s="3583">
        <f>(AA143-Y143)*10000</f>
        <v>0</v>
      </c>
      <c r="AB145" s="3583">
        <f>(AB143-AA143)*10000</f>
        <v>0</v>
      </c>
      <c r="AC145" s="3583">
        <f>(AC143-AB143)*10000</f>
        <v>0</v>
      </c>
      <c r="AD145" s="3583">
        <f>(AD143-AC143)*10000</f>
        <v>0</v>
      </c>
      <c r="AE145" s="3582" t="s">
        <v>116</v>
      </c>
      <c r="AF145" s="3583">
        <f>(AF143-AD143)*10000</f>
        <v>0</v>
      </c>
      <c r="AG145" s="3583">
        <f>(AG143-AF143)*10000</f>
        <v>0</v>
      </c>
      <c r="AH145" s="3583">
        <f>(AH143-AG143)*10000</f>
        <v>0</v>
      </c>
      <c r="AI145" s="3583">
        <f>(AI143-AH143)*10000</f>
        <v>0</v>
      </c>
      <c r="AJ145" s="3582" t="s">
        <v>116</v>
      </c>
      <c r="AK145" s="3583">
        <f>(AK143-AI143)*10000</f>
        <v>0</v>
      </c>
      <c r="AL145" s="3583">
        <f>(AL143-AK143)*10000</f>
        <v>0</v>
      </c>
      <c r="AM145" s="3583">
        <f>(AM143-AL143)*10000</f>
        <v>0</v>
      </c>
      <c r="AN145" s="3583">
        <f>(AN143-AM143)*10000</f>
        <v>0</v>
      </c>
      <c r="AO145" s="3582" t="s">
        <v>116</v>
      </c>
      <c r="AP145" s="3583">
        <f>(AP143-AN143)*10000</f>
        <v>0</v>
      </c>
      <c r="AQ145" s="3583">
        <f>(AQ143-AP143)*10000</f>
        <v>0</v>
      </c>
      <c r="AR145" s="3583">
        <f>(AR143-AQ143)*10000</f>
        <v>0</v>
      </c>
      <c r="AS145" s="3583">
        <f>(AS143-AR143)*10000</f>
        <v>0</v>
      </c>
      <c r="AT145" s="3582" t="s">
        <v>116</v>
      </c>
      <c r="AU145" s="3583">
        <f>(AU143-AS143)*10000</f>
        <v>0</v>
      </c>
      <c r="AV145" s="3583">
        <f>(AV143-AU143)*10000</f>
        <v>0</v>
      </c>
      <c r="AW145" s="3583">
        <f>(AW143-AV143)*10000</f>
        <v>0</v>
      </c>
      <c r="AX145" s="3583">
        <f>(AX143-AW143)*10000</f>
        <v>0</v>
      </c>
      <c r="AY145" s="3582" t="s">
        <v>116</v>
      </c>
      <c r="AZ145" s="3583">
        <f>(AZ143-AX143)*10000</f>
        <v>0</v>
      </c>
      <c r="BA145" s="3583">
        <f>(BA143-AZ143)*10000</f>
        <v>0</v>
      </c>
      <c r="BB145" s="3583">
        <f>(BB143-BA143)*10000</f>
        <v>0</v>
      </c>
      <c r="BC145" s="3583">
        <f>(BC143-BB143)*10000</f>
        <v>0</v>
      </c>
      <c r="BD145" s="3582" t="s">
        <v>116</v>
      </c>
      <c r="BE145" s="3584">
        <f>(BE143-BD143)*10000</f>
        <v>0</v>
      </c>
      <c r="BF145" s="3583">
        <f>(BF143-BE143)*10000</f>
        <v>0</v>
      </c>
      <c r="BG145" s="3583">
        <f>(BG143-BF143)*10000</f>
        <v>0</v>
      </c>
      <c r="BH145" s="3583">
        <f>(BH143-BG143)*10000</f>
        <v>0</v>
      </c>
      <c r="BI145" s="3582" t="s">
        <v>116</v>
      </c>
      <c r="BJ145" s="3583">
        <f>(BJ143-BI143)*10000</f>
        <v>0</v>
      </c>
      <c r="BK145" s="3583">
        <f>(BK143-BJ143)*10000</f>
        <v>0</v>
      </c>
      <c r="BL145" s="3583">
        <f>(BL143-BK143)*10000</f>
        <v>0</v>
      </c>
      <c r="BM145" s="3583">
        <f>(BM143-BL143)*10000</f>
        <v>0</v>
      </c>
      <c r="BN145" s="3582" t="s">
        <v>116</v>
      </c>
      <c r="BO145" s="3583">
        <v>-44.309034873266654</v>
      </c>
      <c r="BP145" s="3583">
        <v>-672.07408167944016</v>
      </c>
      <c r="BQ145" s="3583">
        <v>-721.12167931195404</v>
      </c>
      <c r="BR145" s="3585">
        <v>523.61981105103814</v>
      </c>
      <c r="BS145" s="3586" t="s">
        <v>116</v>
      </c>
      <c r="BT145" s="3583">
        <f>(BT143-BN143)*10000</f>
        <v>0</v>
      </c>
      <c r="BU145" s="3583">
        <f>(BU143-BT143)*10000</f>
        <v>0</v>
      </c>
      <c r="BV145" s="3583">
        <f>(BV143-BU143)*10000</f>
        <v>0</v>
      </c>
      <c r="BW145" s="3583">
        <f>(BW143-BV143)*10000</f>
        <v>0</v>
      </c>
      <c r="BX145" s="3582" t="s">
        <v>116</v>
      </c>
      <c r="BY145" s="3583">
        <v>-168.79362027002631</v>
      </c>
      <c r="BZ145" s="3583">
        <v>-64.345834278949908</v>
      </c>
      <c r="CA145" s="3583">
        <v>-0.76292619161033581</v>
      </c>
      <c r="CB145" s="3583">
        <v>-112.8577449411261</v>
      </c>
      <c r="CC145" s="3582" t="s">
        <v>116</v>
      </c>
      <c r="CD145" s="3583">
        <f>(CD143-BX143)*10000</f>
        <v>0</v>
      </c>
      <c r="CE145" s="3583">
        <f>(CE143-CD143)*10000</f>
        <v>0</v>
      </c>
      <c r="CF145" s="3583">
        <f>(CF143-CE143)*10000</f>
        <v>0</v>
      </c>
      <c r="CG145" s="3583">
        <f>(CG143-CF143)*10000</f>
        <v>753.80403641688429</v>
      </c>
      <c r="CH145" s="3582" t="s">
        <v>116</v>
      </c>
      <c r="CI145" s="3583">
        <f>(CI143-CH143)*10000</f>
        <v>965.62905317769139</v>
      </c>
      <c r="CJ145" s="3583">
        <f>(CJ143-CI143)*10000</f>
        <v>-85.654123688503063</v>
      </c>
      <c r="CK145" s="3583">
        <f>(CK143-CJ143)*10000</f>
        <v>-53.853765051737476</v>
      </c>
      <c r="CL145" s="3583">
        <f>(CL143-CK143)*10000</f>
        <v>53.843482306182857</v>
      </c>
      <c r="CM145" s="3582" t="s">
        <v>116</v>
      </c>
      <c r="CN145" s="3583">
        <f>(CN143-CM143)*10000</f>
        <v>62.043882368719714</v>
      </c>
      <c r="CO145" s="3583">
        <f>(CO143-CN143)*10000</f>
        <v>-130.58430007088549</v>
      </c>
      <c r="CP145" s="3583">
        <f>(CP143-CO143)*10000</f>
        <v>-27.064380951345306</v>
      </c>
      <c r="CQ145" s="3583">
        <f>(CQ143-CP143)*10000</f>
        <v>-53.872212873561224</v>
      </c>
      <c r="CR145" s="3582" t="s">
        <v>116</v>
      </c>
      <c r="CS145" s="3583">
        <f>(CS143-CR143)*10000</f>
        <v>-71.351038447841489</v>
      </c>
      <c r="CT145" s="3583">
        <f>(CT143-CS143)*10000</f>
        <v>8.4465318333828971</v>
      </c>
      <c r="CU145" s="3583">
        <f>(CU143-CT143)*10000</f>
        <v>57.087134462338177</v>
      </c>
      <c r="CV145" s="3583">
        <f>(CV143-CU143)*10000</f>
        <v>-35.885940977963408</v>
      </c>
      <c r="CW145" s="3582"/>
      <c r="CX145" s="3583">
        <f>(CX143-CV143)*10000</f>
        <v>-48.873263016909334</v>
      </c>
      <c r="CY145" s="3583">
        <f>(CY143-CX143)*10000</f>
        <v>-74.081996434937622</v>
      </c>
      <c r="CZ145" s="3583">
        <f>(CZ143-CY143)*10000</f>
        <v>-79.275312794473066</v>
      </c>
      <c r="DA145" s="3583">
        <f>(DA143-CZ143)*10000</f>
        <v>-24.865509247097155</v>
      </c>
      <c r="DB145" s="3582"/>
      <c r="DC145" s="3583">
        <f>(DC143-DA143)*10000</f>
        <v>-98.994821222349387</v>
      </c>
      <c r="DD145" s="3583">
        <f>(DD143-DC143)*10000</f>
        <v>89.700715241001205</v>
      </c>
      <c r="DE145" s="3583">
        <f>(DE143-DD143)*10000</f>
        <v>-20.598491707352686</v>
      </c>
      <c r="DF145" s="3583">
        <f>(DF143-DE143)*10000</f>
        <v>-9.5807017508909436</v>
      </c>
      <c r="DG145" s="3582"/>
      <c r="DH145" s="3583">
        <f>(DH143-DF143)*10000</f>
        <v>64.6086344794046</v>
      </c>
      <c r="DI145" s="3583">
        <f>(DI143-DH143)*10000</f>
        <v>-49.989859424953501</v>
      </c>
      <c r="DJ145" s="3583">
        <f>(DJ143-DI143)*10000</f>
        <v>115.1694583671816</v>
      </c>
      <c r="DK145" s="3583">
        <f>(DK143-DJ143)*10000</f>
        <v>-25.769968369495562</v>
      </c>
      <c r="DL145" s="3582"/>
      <c r="DM145" s="3583">
        <f>(DM143-DK143)*10000</f>
        <v>85.726540130220613</v>
      </c>
      <c r="DN145" s="3583">
        <f>(DN143-DM143)*10000</f>
        <v>-24.737858003317793</v>
      </c>
      <c r="DO145" s="3583">
        <f>(DO143-DN143)*10000</f>
        <v>-78.101971141081094</v>
      </c>
      <c r="DP145" s="3583">
        <f>(DP143-DO143)*10000</f>
        <v>-99.328593917014231</v>
      </c>
      <c r="DQ145" s="3582"/>
      <c r="DR145" s="3583">
        <f>(DR143-DP143)*10000</f>
        <v>3.7627063401756562</v>
      </c>
      <c r="DS145" s="3583">
        <f>(DS143-DR143)*10000</f>
        <v>38.596228164766295</v>
      </c>
      <c r="DT145" s="3583">
        <f>(DT143-DS143)*10000</f>
        <v>-39.900609649554106</v>
      </c>
      <c r="DU145" s="3583">
        <f>(DU143-DT143)*10000</f>
        <v>49.60296387368647</v>
      </c>
      <c r="DV145" s="3582"/>
      <c r="DW145" s="3583">
        <f>(DW143-DU143)*10000</f>
        <v>-53.522100881525574</v>
      </c>
      <c r="DX145" s="3583">
        <f>(DX143-DW143)*10000</f>
        <v>28.693907270910326</v>
      </c>
      <c r="DY145" s="3583">
        <f>(DY143-DX143)*10000</f>
        <v>-4.1799261085068844</v>
      </c>
      <c r="DZ145" s="3583">
        <f>(DZ143-DY143)*10000</f>
        <v>149.49289189194025</v>
      </c>
      <c r="EA145" s="3582"/>
      <c r="EB145" s="3583">
        <f>(EB143-DZ143)*10000</f>
        <v>-131.46409125026827</v>
      </c>
      <c r="EC145" s="3583">
        <f>(EC143-EB143)*10000</f>
        <v>-72.042036223065807</v>
      </c>
      <c r="ED145" s="3583">
        <f>(ED143-EC143)*10000</f>
        <v>52.224830681640441</v>
      </c>
      <c r="EE145" s="3583">
        <f>(EE143-ED143)*10000</f>
        <v>84.352807182791693</v>
      </c>
      <c r="EF145" s="3582"/>
      <c r="EG145" s="3583">
        <f>(EG143-EE143)*10000</f>
        <v>-227.45600721488179</v>
      </c>
      <c r="EH145" s="3583">
        <f>(EH143-EG143)*10000</f>
        <v>-3.0580498314732725</v>
      </c>
      <c r="EI145" s="3583">
        <f>(EI143-EH143)*10000</f>
        <v>35.0749865676326</v>
      </c>
      <c r="EJ145" s="3583">
        <f>(EJ143-EI143)*10000</f>
        <v>48.887838542548202</v>
      </c>
      <c r="EK145" s="3582"/>
      <c r="EL145" s="3583">
        <f>(EL143-EJ143)*10000</f>
        <v>-64.420875505113301</v>
      </c>
      <c r="EM145" s="3583">
        <f>(EM143-EL143)*10000</f>
        <v>147.9932980195363</v>
      </c>
      <c r="EN145" s="3583">
        <f>(EN143-EM143)*10000</f>
        <v>-155.61798905115373</v>
      </c>
      <c r="EO145" s="3583">
        <f>(EO143-EN143)*10000</f>
        <v>51.551350202617698</v>
      </c>
      <c r="EP145" s="3582"/>
      <c r="EQ145" s="3583">
        <f>(EQ143-EO143)*10000</f>
        <v>-81.41238208543372</v>
      </c>
      <c r="ER145" s="3583">
        <f>(ER143-EQ143)*10000</f>
        <v>-15.466471933566691</v>
      </c>
      <c r="ES145" s="3583">
        <f>(ES143-ER143)*10000</f>
        <v>2.0302922482215435</v>
      </c>
      <c r="ET145" s="3583">
        <f>(ET143-ES143)*10000</f>
        <v>56.808515944592536</v>
      </c>
      <c r="EU145" s="3582"/>
      <c r="EV145" s="3582"/>
      <c r="EW145" s="3582"/>
      <c r="EX145" s="3582"/>
      <c r="EY145" s="3582"/>
      <c r="EZ145" s="209"/>
      <c r="FA145" s="4287"/>
      <c r="FB145" s="4287"/>
      <c r="FC145" s="4287"/>
      <c r="FD145" s="4287"/>
      <c r="FE145" s="4287"/>
      <c r="FF145" s="4287"/>
      <c r="FG145" s="4287"/>
      <c r="FH145" s="4287"/>
      <c r="FI145" s="4287"/>
      <c r="FJ145" s="4287"/>
      <c r="FK145" s="4287"/>
      <c r="FL145" s="4287"/>
    </row>
    <row r="146" spans="1:168" s="285" customFormat="1" ht="11.25" customHeight="1" collapsed="1">
      <c r="A146" s="3769" t="s">
        <v>53</v>
      </c>
      <c r="B146" s="124"/>
      <c r="C146" s="124"/>
      <c r="D146" s="124"/>
      <c r="E146" s="124"/>
      <c r="F146" s="3574"/>
      <c r="G146" s="124"/>
      <c r="H146" s="124"/>
      <c r="I146" s="124"/>
      <c r="J146" s="124"/>
      <c r="K146" s="3574"/>
      <c r="L146" s="124"/>
      <c r="M146" s="124"/>
      <c r="N146" s="124"/>
      <c r="O146" s="124"/>
      <c r="P146" s="3574"/>
      <c r="Q146" s="124"/>
      <c r="R146" s="124"/>
      <c r="S146" s="124"/>
      <c r="T146" s="124"/>
      <c r="U146" s="3574"/>
      <c r="V146" s="124"/>
      <c r="W146" s="124"/>
      <c r="X146" s="124"/>
      <c r="Y146" s="124"/>
      <c r="Z146" s="3574"/>
      <c r="AA146" s="124"/>
      <c r="AB146" s="124"/>
      <c r="AC146" s="124"/>
      <c r="AD146" s="124"/>
      <c r="AE146" s="3574"/>
      <c r="AF146" s="124"/>
      <c r="AG146" s="124"/>
      <c r="AH146" s="124"/>
      <c r="AI146" s="124"/>
      <c r="AJ146" s="3574"/>
      <c r="AK146" s="124"/>
      <c r="AL146" s="124"/>
      <c r="AM146" s="124"/>
      <c r="AN146" s="124"/>
      <c r="AO146" s="3574"/>
      <c r="AP146" s="124"/>
      <c r="AQ146" s="124"/>
      <c r="AR146" s="124"/>
      <c r="AS146" s="124"/>
      <c r="AT146" s="3574"/>
      <c r="AU146" s="124"/>
      <c r="AV146" s="124"/>
      <c r="AW146" s="124"/>
      <c r="AX146" s="124"/>
      <c r="AY146" s="3574"/>
      <c r="AZ146" s="124"/>
      <c r="BA146" s="124"/>
      <c r="BB146" s="124"/>
      <c r="BC146" s="124"/>
      <c r="BD146" s="3574"/>
      <c r="BE146" s="3575"/>
      <c r="BF146" s="124"/>
      <c r="BG146" s="124"/>
      <c r="BH146" s="124"/>
      <c r="BI146" s="3574"/>
      <c r="BJ146" s="124"/>
      <c r="BK146" s="124"/>
      <c r="BL146" s="124"/>
      <c r="BM146" s="124"/>
      <c r="BN146" s="3574"/>
      <c r="BO146" s="124"/>
      <c r="BP146" s="124"/>
      <c r="BQ146" s="124"/>
      <c r="BR146" s="123"/>
      <c r="BS146" s="2901"/>
      <c r="BT146" s="2900"/>
      <c r="BU146" s="124"/>
      <c r="BV146" s="124"/>
      <c r="BW146" s="124"/>
      <c r="BX146" s="3574"/>
      <c r="BY146" s="124"/>
      <c r="BZ146" s="124"/>
      <c r="CA146" s="124"/>
      <c r="CB146" s="124"/>
      <c r="CC146" s="3574"/>
      <c r="CD146" s="124"/>
      <c r="CE146" s="124"/>
      <c r="CF146" s="124"/>
      <c r="CG146" s="124">
        <f>CG24/CG$7</f>
        <v>5.558031450945438E-2</v>
      </c>
      <c r="CH146" s="3574"/>
      <c r="CI146" s="124">
        <f t="shared" ref="CI146:DN146" si="623">CI24/CI$7</f>
        <v>5.4409857328145267E-2</v>
      </c>
      <c r="CJ146" s="124">
        <f t="shared" si="623"/>
        <v>5.5155123785647131E-2</v>
      </c>
      <c r="CK146" s="124">
        <f t="shared" si="623"/>
        <v>7.5954729770622773E-2</v>
      </c>
      <c r="CL146" s="124">
        <f t="shared" si="623"/>
        <v>6.6342595149975148E-2</v>
      </c>
      <c r="CM146" s="3574">
        <f t="shared" si="623"/>
        <v>6.3256617323979941E-2</v>
      </c>
      <c r="CN146" s="124">
        <f t="shared" si="623"/>
        <v>6.9706802642252874E-2</v>
      </c>
      <c r="CO146" s="124">
        <f t="shared" si="623"/>
        <v>6.3857392677836064E-2</v>
      </c>
      <c r="CP146" s="124">
        <f t="shared" si="623"/>
        <v>7.6680053547523427E-2</v>
      </c>
      <c r="CQ146" s="124">
        <f t="shared" si="623"/>
        <v>6.7326175629424723E-2</v>
      </c>
      <c r="CR146" s="3574">
        <f t="shared" si="623"/>
        <v>6.9383509581405267E-2</v>
      </c>
      <c r="CS146" s="124">
        <f t="shared" si="623"/>
        <v>7.3752283161376317E-2</v>
      </c>
      <c r="CT146" s="124">
        <f t="shared" si="623"/>
        <v>6.9906976744186042E-2</v>
      </c>
      <c r="CU146" s="124">
        <f t="shared" si="623"/>
        <v>8.2847089216515971E-2</v>
      </c>
      <c r="CV146" s="124">
        <f t="shared" si="623"/>
        <v>7.0825659914057704E-2</v>
      </c>
      <c r="CW146" s="3574">
        <f t="shared" si="623"/>
        <v>7.4253367600141798E-2</v>
      </c>
      <c r="CX146" s="124">
        <f t="shared" si="623"/>
        <v>8.1171717171717173E-2</v>
      </c>
      <c r="CY146" s="124">
        <f t="shared" si="623"/>
        <v>7.7008842752787396E-2</v>
      </c>
      <c r="CZ146" s="124">
        <f t="shared" si="623"/>
        <v>6.5533630995247005E-2</v>
      </c>
      <c r="DA146" s="124">
        <f t="shared" si="623"/>
        <v>5.7141973207932434E-2</v>
      </c>
      <c r="DB146" s="3574">
        <f t="shared" si="623"/>
        <v>6.9270668891795589E-2</v>
      </c>
      <c r="DC146" s="124">
        <f t="shared" si="623"/>
        <v>7.888653438643807E-2</v>
      </c>
      <c r="DD146" s="124">
        <f t="shared" si="623"/>
        <v>7.388921211378878E-2</v>
      </c>
      <c r="DE146" s="124">
        <f t="shared" si="623"/>
        <v>6.6093657379964435E-2</v>
      </c>
      <c r="DF146" s="124">
        <f t="shared" si="623"/>
        <v>5.7363275282615339E-2</v>
      </c>
      <c r="DG146" s="3574">
        <f t="shared" si="623"/>
        <v>6.836038854252699E-2</v>
      </c>
      <c r="DH146" s="124">
        <f t="shared" si="623"/>
        <v>7.6199124907124577E-2</v>
      </c>
      <c r="DI146" s="124">
        <f t="shared" si="623"/>
        <v>7.0768282662284313E-2</v>
      </c>
      <c r="DJ146" s="124">
        <f t="shared" si="623"/>
        <v>6.4791723252425992E-2</v>
      </c>
      <c r="DK146" s="124">
        <f t="shared" si="623"/>
        <v>5.7406402604449271E-2</v>
      </c>
      <c r="DL146" s="3574">
        <f t="shared" si="623"/>
        <v>6.6688496635919359E-2</v>
      </c>
      <c r="DM146" s="124">
        <f t="shared" si="623"/>
        <v>7.7528608566777624E-2</v>
      </c>
      <c r="DN146" s="124">
        <f t="shared" si="623"/>
        <v>8.8309789278533571E-2</v>
      </c>
      <c r="DO146" s="124">
        <f t="shared" ref="DO146:EX146" si="624">DO24/DO$7</f>
        <v>6.9196283542329928E-2</v>
      </c>
      <c r="DP146" s="124">
        <f t="shared" si="624"/>
        <v>5.6645224788217513E-2</v>
      </c>
      <c r="DQ146" s="3574">
        <f t="shared" si="624"/>
        <v>7.1173031935001393E-2</v>
      </c>
      <c r="DR146" s="124">
        <f t="shared" si="624"/>
        <v>6.7704378638319407E-2</v>
      </c>
      <c r="DS146" s="124">
        <f t="shared" si="624"/>
        <v>6.1457659987071749E-2</v>
      </c>
      <c r="DT146" s="124">
        <f t="shared" si="624"/>
        <v>5.9491999140022726E-2</v>
      </c>
      <c r="DU146" s="124">
        <f t="shared" si="624"/>
        <v>5.2492532359774309E-2</v>
      </c>
      <c r="DV146" s="3574">
        <f t="shared" si="624"/>
        <v>5.9680868819307786E-2</v>
      </c>
      <c r="DW146" s="124">
        <f t="shared" si="624"/>
        <v>6.6224581317728015E-2</v>
      </c>
      <c r="DX146" s="124">
        <f t="shared" si="624"/>
        <v>6.8623089617564761E-2</v>
      </c>
      <c r="DY146" s="124">
        <f t="shared" si="624"/>
        <v>7.201991547501882E-2</v>
      </c>
      <c r="DZ146" s="124">
        <f t="shared" si="624"/>
        <v>6.7062907637281718E-2</v>
      </c>
      <c r="EA146" s="3574">
        <f t="shared" si="624"/>
        <v>6.8456632111895233E-2</v>
      </c>
      <c r="EB146" s="124">
        <f t="shared" si="624"/>
        <v>7.5716107584507142E-2</v>
      </c>
      <c r="EC146" s="124">
        <f t="shared" si="624"/>
        <v>7.7395313924186374E-2</v>
      </c>
      <c r="ED146" s="124">
        <f t="shared" si="624"/>
        <v>7.4882974978159669E-2</v>
      </c>
      <c r="EE146" s="124">
        <f t="shared" si="624"/>
        <v>6.5565983084231255E-2</v>
      </c>
      <c r="EF146" s="3574">
        <f t="shared" si="624"/>
        <v>7.3065837329290742E-2</v>
      </c>
      <c r="EG146" s="124">
        <f t="shared" si="624"/>
        <v>6.5359639429344793E-2</v>
      </c>
      <c r="EH146" s="124">
        <f t="shared" si="624"/>
        <v>6.9210072927237964E-2</v>
      </c>
      <c r="EI146" s="124">
        <f t="shared" si="624"/>
        <v>6.6230117369828256E-2</v>
      </c>
      <c r="EJ146" s="124">
        <f t="shared" si="624"/>
        <v>6.0226601291606632E-2</v>
      </c>
      <c r="EK146" s="3574">
        <f t="shared" si="624"/>
        <v>6.5096652172174002E-2</v>
      </c>
      <c r="EL146" s="124">
        <f t="shared" si="624"/>
        <v>6.1129951016246645E-2</v>
      </c>
      <c r="EM146" s="124">
        <f t="shared" si="624"/>
        <v>6.2201850085037542E-2</v>
      </c>
      <c r="EN146" s="124">
        <f t="shared" ref="EN146" si="625">EN24/EN$7</f>
        <v>6.2220311492388561E-2</v>
      </c>
      <c r="EO146" s="124">
        <f t="shared" si="624"/>
        <v>5.8150553987242129E-2</v>
      </c>
      <c r="EP146" s="3574">
        <f t="shared" si="624"/>
        <v>6.0832206498561359E-2</v>
      </c>
      <c r="EQ146" s="124">
        <f t="shared" ref="EQ146:EU146" si="626">EQ24/EQ$7</f>
        <v>6.0686484024435251E-2</v>
      </c>
      <c r="ER146" s="124">
        <f t="shared" si="626"/>
        <v>6.3035515146646889E-2</v>
      </c>
      <c r="ES146" s="124">
        <f t="shared" si="626"/>
        <v>6.2901126811633457E-2</v>
      </c>
      <c r="ET146" s="124">
        <f t="shared" si="626"/>
        <v>5.7117133041644667E-2</v>
      </c>
      <c r="EU146" s="3574">
        <f t="shared" si="626"/>
        <v>6.0819124689590463E-2</v>
      </c>
      <c r="EV146" s="3574">
        <f t="shared" si="624"/>
        <v>5.8138350225756301E-2</v>
      </c>
      <c r="EW146" s="3574">
        <f t="shared" si="624"/>
        <v>5.6051605307394753E-2</v>
      </c>
      <c r="EX146" s="3574">
        <f t="shared" si="624"/>
        <v>5.442994825045748E-2</v>
      </c>
      <c r="EY146" s="3574">
        <f t="shared" ref="EY146" si="627">EY24/EY$7</f>
        <v>5.3022331134131281E-2</v>
      </c>
      <c r="EZ146" s="127"/>
      <c r="FA146" s="2660"/>
      <c r="FB146" s="2660"/>
      <c r="FC146" s="2660"/>
      <c r="FD146" s="2660"/>
      <c r="FE146" s="2660"/>
      <c r="FF146" s="2660"/>
      <c r="FG146" s="2660"/>
      <c r="FH146" s="2660"/>
      <c r="FI146" s="2660"/>
      <c r="FJ146" s="2660"/>
      <c r="FK146" s="2660"/>
      <c r="FL146" s="2660"/>
    </row>
    <row r="147" spans="1:168" s="259" customFormat="1" ht="11.25" hidden="1" customHeight="1" outlineLevel="1">
      <c r="A147" s="3768" t="s">
        <v>734</v>
      </c>
      <c r="B147" s="2008"/>
      <c r="C147" s="2008"/>
      <c r="D147" s="2008"/>
      <c r="E147" s="2008"/>
      <c r="F147" s="2009"/>
      <c r="G147" s="2008"/>
      <c r="H147" s="2008"/>
      <c r="I147" s="2008"/>
      <c r="J147" s="2008"/>
      <c r="K147" s="2009"/>
      <c r="L147" s="2008"/>
      <c r="M147" s="2008"/>
      <c r="N147" s="2008"/>
      <c r="O147" s="2008"/>
      <c r="P147" s="3582" t="s">
        <v>116</v>
      </c>
      <c r="Q147" s="3583" t="s">
        <v>116</v>
      </c>
      <c r="R147" s="3583" t="s">
        <v>116</v>
      </c>
      <c r="S147" s="3583" t="s">
        <v>116</v>
      </c>
      <c r="T147" s="3583" t="s">
        <v>116</v>
      </c>
      <c r="U147" s="3582">
        <f t="shared" ref="U147:BN147" si="628">(U146-P146)*10000</f>
        <v>0</v>
      </c>
      <c r="V147" s="3583">
        <f t="shared" si="628"/>
        <v>0</v>
      </c>
      <c r="W147" s="3583">
        <f t="shared" si="628"/>
        <v>0</v>
      </c>
      <c r="X147" s="3583">
        <f t="shared" si="628"/>
        <v>0</v>
      </c>
      <c r="Y147" s="3583">
        <f t="shared" si="628"/>
        <v>0</v>
      </c>
      <c r="Z147" s="3582">
        <f t="shared" si="628"/>
        <v>0</v>
      </c>
      <c r="AA147" s="3583">
        <f t="shared" si="628"/>
        <v>0</v>
      </c>
      <c r="AB147" s="3583">
        <f t="shared" si="628"/>
        <v>0</v>
      </c>
      <c r="AC147" s="3583">
        <f t="shared" si="628"/>
        <v>0</v>
      </c>
      <c r="AD147" s="3583">
        <f t="shared" si="628"/>
        <v>0</v>
      </c>
      <c r="AE147" s="3582">
        <f t="shared" si="628"/>
        <v>0</v>
      </c>
      <c r="AF147" s="3583">
        <f t="shared" si="628"/>
        <v>0</v>
      </c>
      <c r="AG147" s="3583">
        <f t="shared" si="628"/>
        <v>0</v>
      </c>
      <c r="AH147" s="3583">
        <f t="shared" si="628"/>
        <v>0</v>
      </c>
      <c r="AI147" s="3583">
        <f t="shared" si="628"/>
        <v>0</v>
      </c>
      <c r="AJ147" s="3582">
        <f t="shared" si="628"/>
        <v>0</v>
      </c>
      <c r="AK147" s="3583">
        <f t="shared" si="628"/>
        <v>0</v>
      </c>
      <c r="AL147" s="3583">
        <f t="shared" si="628"/>
        <v>0</v>
      </c>
      <c r="AM147" s="3583">
        <f t="shared" si="628"/>
        <v>0</v>
      </c>
      <c r="AN147" s="3583">
        <f t="shared" si="628"/>
        <v>0</v>
      </c>
      <c r="AO147" s="3582">
        <f t="shared" si="628"/>
        <v>0</v>
      </c>
      <c r="AP147" s="3583">
        <f t="shared" si="628"/>
        <v>0</v>
      </c>
      <c r="AQ147" s="3583">
        <f t="shared" si="628"/>
        <v>0</v>
      </c>
      <c r="AR147" s="3583">
        <f t="shared" si="628"/>
        <v>0</v>
      </c>
      <c r="AS147" s="3583">
        <f t="shared" si="628"/>
        <v>0</v>
      </c>
      <c r="AT147" s="3582">
        <f t="shared" si="628"/>
        <v>0</v>
      </c>
      <c r="AU147" s="3583">
        <f t="shared" si="628"/>
        <v>0</v>
      </c>
      <c r="AV147" s="3583">
        <f t="shared" si="628"/>
        <v>0</v>
      </c>
      <c r="AW147" s="3583">
        <f t="shared" si="628"/>
        <v>0</v>
      </c>
      <c r="AX147" s="3583">
        <f t="shared" si="628"/>
        <v>0</v>
      </c>
      <c r="AY147" s="3582">
        <f t="shared" si="628"/>
        <v>0</v>
      </c>
      <c r="AZ147" s="3583">
        <f t="shared" si="628"/>
        <v>0</v>
      </c>
      <c r="BA147" s="3583">
        <f t="shared" si="628"/>
        <v>0</v>
      </c>
      <c r="BB147" s="3583">
        <f t="shared" si="628"/>
        <v>0</v>
      </c>
      <c r="BC147" s="3583">
        <f t="shared" si="628"/>
        <v>0</v>
      </c>
      <c r="BD147" s="3582">
        <f t="shared" si="628"/>
        <v>0</v>
      </c>
      <c r="BE147" s="3584">
        <f t="shared" si="628"/>
        <v>0</v>
      </c>
      <c r="BF147" s="3583">
        <f t="shared" si="628"/>
        <v>0</v>
      </c>
      <c r="BG147" s="3583">
        <f t="shared" si="628"/>
        <v>0</v>
      </c>
      <c r="BH147" s="3583">
        <f t="shared" si="628"/>
        <v>0</v>
      </c>
      <c r="BI147" s="3582">
        <f t="shared" si="628"/>
        <v>0</v>
      </c>
      <c r="BJ147" s="3583">
        <f t="shared" si="628"/>
        <v>0</v>
      </c>
      <c r="BK147" s="3583">
        <f t="shared" si="628"/>
        <v>0</v>
      </c>
      <c r="BL147" s="3583">
        <f t="shared" si="628"/>
        <v>0</v>
      </c>
      <c r="BM147" s="3583">
        <f t="shared" si="628"/>
        <v>0</v>
      </c>
      <c r="BN147" s="3582">
        <f t="shared" si="628"/>
        <v>0</v>
      </c>
      <c r="BO147" s="3583">
        <v>-73.910139803692317</v>
      </c>
      <c r="BP147" s="3583">
        <v>-647.08175120074429</v>
      </c>
      <c r="BQ147" s="3583">
        <v>-1402.9798881989602</v>
      </c>
      <c r="BR147" s="3585">
        <v>-980.8960342866219</v>
      </c>
      <c r="BS147" s="3586">
        <v>-838.68155981038365</v>
      </c>
      <c r="BT147" s="3583">
        <f>(BT146-BJ146)*10000</f>
        <v>0</v>
      </c>
      <c r="BU147" s="3583">
        <f>(BU146-BK146)*10000</f>
        <v>0</v>
      </c>
      <c r="BV147" s="3583">
        <f>(BV146-BL146)*10000</f>
        <v>0</v>
      </c>
      <c r="BW147" s="3583">
        <f>(BW146-BM146)*10000</f>
        <v>0</v>
      </c>
      <c r="BX147" s="3582">
        <f>(BX146-BN146)*10000</f>
        <v>0</v>
      </c>
      <c r="BY147" s="3583">
        <v>-963.16614520714324</v>
      </c>
      <c r="BZ147" s="3583">
        <v>-355.43789780665304</v>
      </c>
      <c r="CA147" s="3583">
        <v>364.92085531369065</v>
      </c>
      <c r="CB147" s="3583">
        <v>-271.55670067847359</v>
      </c>
      <c r="CC147" s="3582">
        <v>-250.80202387558427</v>
      </c>
      <c r="CD147" s="3583">
        <f>(CD146-BT146)*10000</f>
        <v>0</v>
      </c>
      <c r="CE147" s="3583">
        <f>(CE146-BU146)*10000</f>
        <v>0</v>
      </c>
      <c r="CF147" s="3583">
        <f>(CF146-BV146)*10000</f>
        <v>0</v>
      </c>
      <c r="CG147" s="3583">
        <f>(CG146-BW146)*10000</f>
        <v>555.80314509454377</v>
      </c>
      <c r="CH147" s="3582">
        <f>(CH146-BX146)*10000</f>
        <v>0</v>
      </c>
      <c r="CI147" s="3583">
        <f t="shared" ref="CI147:DG147" si="629">(CI146-CD146)*10000</f>
        <v>544.09857328145267</v>
      </c>
      <c r="CJ147" s="3583">
        <f t="shared" si="629"/>
        <v>551.55123785647129</v>
      </c>
      <c r="CK147" s="3583">
        <f t="shared" si="629"/>
        <v>759.54729770622771</v>
      </c>
      <c r="CL147" s="3583">
        <f t="shared" si="629"/>
        <v>107.62280640520767</v>
      </c>
      <c r="CM147" s="3582">
        <f t="shared" si="629"/>
        <v>632.56617323979947</v>
      </c>
      <c r="CN147" s="3583">
        <f t="shared" si="629"/>
        <v>152.96945314107606</v>
      </c>
      <c r="CO147" s="3583">
        <f t="shared" si="629"/>
        <v>87.022688921889326</v>
      </c>
      <c r="CP147" s="3583">
        <f t="shared" si="629"/>
        <v>7.2532377690065486</v>
      </c>
      <c r="CQ147" s="3583">
        <f t="shared" si="629"/>
        <v>9.8358047944957505</v>
      </c>
      <c r="CR147" s="3582">
        <f t="shared" si="629"/>
        <v>61.26892257425326</v>
      </c>
      <c r="CS147" s="3583">
        <f t="shared" si="629"/>
        <v>40.454805191234428</v>
      </c>
      <c r="CT147" s="3583">
        <f t="shared" si="629"/>
        <v>60.495840663499777</v>
      </c>
      <c r="CU147" s="3583">
        <f t="shared" si="629"/>
        <v>61.670356689925434</v>
      </c>
      <c r="CV147" s="3583">
        <f t="shared" si="629"/>
        <v>34.99484284632981</v>
      </c>
      <c r="CW147" s="3582">
        <f t="shared" si="629"/>
        <v>48.698580187365309</v>
      </c>
      <c r="CX147" s="3583">
        <f t="shared" si="629"/>
        <v>74.194340103408564</v>
      </c>
      <c r="CY147" s="3583">
        <f t="shared" si="629"/>
        <v>71.01866008601354</v>
      </c>
      <c r="CZ147" s="3583">
        <f t="shared" si="629"/>
        <v>-173.13458221268965</v>
      </c>
      <c r="DA147" s="3583">
        <f t="shared" si="629"/>
        <v>-136.83686706125269</v>
      </c>
      <c r="DB147" s="3582">
        <f t="shared" si="629"/>
        <v>-49.826987083462086</v>
      </c>
      <c r="DC147" s="3583">
        <f t="shared" si="629"/>
        <v>-22.851827852791022</v>
      </c>
      <c r="DD147" s="3583">
        <f t="shared" si="629"/>
        <v>-31.196306389986162</v>
      </c>
      <c r="DE147" s="3583">
        <f t="shared" si="629"/>
        <v>5.6002638471742969</v>
      </c>
      <c r="DF147" s="3583">
        <f t="shared" si="629"/>
        <v>2.213020746829053</v>
      </c>
      <c r="DG147" s="3582">
        <f t="shared" si="629"/>
        <v>-9.1028034926859966</v>
      </c>
      <c r="DH147" s="3583">
        <f t="shared" ref="DH147:DQ147" si="630">(DH146-DC146)*10000</f>
        <v>-26.874094793134933</v>
      </c>
      <c r="DI147" s="3583">
        <f t="shared" si="630"/>
        <v>-31.209294515044672</v>
      </c>
      <c r="DJ147" s="3583">
        <f t="shared" si="630"/>
        <v>-13.019341275384427</v>
      </c>
      <c r="DK147" s="3583">
        <f t="shared" si="630"/>
        <v>0.43127321833931476</v>
      </c>
      <c r="DL147" s="3582">
        <f t="shared" si="630"/>
        <v>-16.71891906607631</v>
      </c>
      <c r="DM147" s="3583">
        <f t="shared" si="630"/>
        <v>13.294836596530468</v>
      </c>
      <c r="DN147" s="3583">
        <f t="shared" si="630"/>
        <v>175.41506616249259</v>
      </c>
      <c r="DO147" s="3583">
        <f t="shared" si="630"/>
        <v>44.045602899039359</v>
      </c>
      <c r="DP147" s="3583">
        <f t="shared" si="630"/>
        <v>-7.6117781623175755</v>
      </c>
      <c r="DQ147" s="3582">
        <f t="shared" si="630"/>
        <v>44.845352990820345</v>
      </c>
      <c r="DR147" s="3583">
        <f t="shared" ref="DR147:EN147" si="631">(DR146-DM146)*10000</f>
        <v>-98.242299284582174</v>
      </c>
      <c r="DS147" s="3583">
        <f t="shared" si="631"/>
        <v>-268.52129291461824</v>
      </c>
      <c r="DT147" s="3583">
        <f t="shared" si="631"/>
        <v>-97.042844023072021</v>
      </c>
      <c r="DU147" s="3583">
        <f t="shared" si="631"/>
        <v>-41.526924284432042</v>
      </c>
      <c r="DV147" s="3582">
        <f t="shared" si="631"/>
        <v>-114.92163115693607</v>
      </c>
      <c r="DW147" s="3583">
        <f t="shared" si="631"/>
        <v>-14.797973205913916</v>
      </c>
      <c r="DX147" s="3583">
        <f t="shared" si="631"/>
        <v>71.654296304930128</v>
      </c>
      <c r="DY147" s="3583">
        <f t="shared" si="631"/>
        <v>125.27916334996094</v>
      </c>
      <c r="DZ147" s="3583">
        <f t="shared" si="631"/>
        <v>145.70375277507409</v>
      </c>
      <c r="EA147" s="3582">
        <f t="shared" si="631"/>
        <v>87.757632925874461</v>
      </c>
      <c r="EB147" s="3583">
        <f t="shared" si="631"/>
        <v>94.915262667791268</v>
      </c>
      <c r="EC147" s="3583">
        <f t="shared" si="631"/>
        <v>87.722243066216123</v>
      </c>
      <c r="ED147" s="3583">
        <f t="shared" si="631"/>
        <v>28.630595031408497</v>
      </c>
      <c r="EE147" s="3583">
        <f t="shared" si="631"/>
        <v>-14.969245530504633</v>
      </c>
      <c r="EF147" s="3582">
        <f t="shared" ref="EF147:EK147" si="632">(EF146-EA146)*10000</f>
        <v>46.092052173955096</v>
      </c>
      <c r="EG147" s="3583">
        <f t="shared" si="631"/>
        <v>-103.56468155162349</v>
      </c>
      <c r="EH147" s="3583">
        <f t="shared" si="631"/>
        <v>-81.852409969484086</v>
      </c>
      <c r="EI147" s="3583">
        <f t="shared" si="631"/>
        <v>-86.528576083314135</v>
      </c>
      <c r="EJ147" s="3583">
        <f t="shared" si="631"/>
        <v>-53.393817926246228</v>
      </c>
      <c r="EK147" s="3582">
        <f t="shared" si="632"/>
        <v>-79.691851571167405</v>
      </c>
      <c r="EL147" s="3583">
        <f t="shared" si="631"/>
        <v>-42.296884130981482</v>
      </c>
      <c r="EM147" s="3583">
        <f t="shared" si="631"/>
        <v>-70.082228422004221</v>
      </c>
      <c r="EN147" s="3583">
        <f t="shared" si="631"/>
        <v>-40.098058774396954</v>
      </c>
      <c r="EO147" s="3583">
        <f t="shared" ref="EO147:EP147" si="633">(EO146-EJ146)*10000</f>
        <v>-20.760473043645035</v>
      </c>
      <c r="EP147" s="3582">
        <f t="shared" si="633"/>
        <v>-42.644456736126436</v>
      </c>
      <c r="EQ147" s="3583">
        <f t="shared" ref="EQ147" si="634">(EQ146-EL146)*10000</f>
        <v>-4.4346699181139346</v>
      </c>
      <c r="ER147" s="3583">
        <f t="shared" ref="ER147" si="635">(ER146-EM146)*10000</f>
        <v>8.3366506160934684</v>
      </c>
      <c r="ES147" s="3583">
        <f t="shared" ref="ES147" si="636">(ES146-EN146)*10000</f>
        <v>6.8081531924489571</v>
      </c>
      <c r="ET147" s="3583">
        <f t="shared" ref="ET147:EU147" si="637">(ET146-EO146)*10000</f>
        <v>-10.334209455974616</v>
      </c>
      <c r="EU147" s="3582">
        <f t="shared" si="637"/>
        <v>-0.13081808970895337</v>
      </c>
      <c r="EV147" s="3582">
        <f>(EV146-EU146)*10000</f>
        <v>-26.807744638341624</v>
      </c>
      <c r="EW147" s="3582">
        <f>(EW146-EV146)*10000</f>
        <v>-20.867449183615481</v>
      </c>
      <c r="EX147" s="3582">
        <f>(EX146-EW146)*10000</f>
        <v>-16.216570569372728</v>
      </c>
      <c r="EY147" s="3582">
        <f>(EY146-EX146)*10000</f>
        <v>-14.076171163261986</v>
      </c>
      <c r="EZ147" s="226"/>
      <c r="FA147" s="4287"/>
      <c r="FB147" s="4287"/>
      <c r="FC147" s="4287"/>
      <c r="FD147" s="4287"/>
      <c r="FE147" s="4287"/>
      <c r="FF147" s="4287"/>
      <c r="FG147" s="4287"/>
      <c r="FH147" s="4287"/>
      <c r="FI147" s="4287"/>
      <c r="FJ147" s="4287"/>
      <c r="FK147" s="4287"/>
      <c r="FL147" s="4287"/>
    </row>
    <row r="148" spans="1:168" s="259" customFormat="1" ht="11.25" hidden="1" customHeight="1" outlineLevel="1">
      <c r="A148" s="3768" t="s">
        <v>735</v>
      </c>
      <c r="B148" s="2008"/>
      <c r="C148" s="2008"/>
      <c r="D148" s="2008"/>
      <c r="E148" s="2008"/>
      <c r="F148" s="2009"/>
      <c r="G148" s="2008"/>
      <c r="H148" s="2008"/>
      <c r="I148" s="2008"/>
      <c r="J148" s="2008"/>
      <c r="K148" s="2009"/>
      <c r="L148" s="2008"/>
      <c r="M148" s="2008"/>
      <c r="N148" s="2008"/>
      <c r="O148" s="2008"/>
      <c r="P148" s="3582" t="s">
        <v>116</v>
      </c>
      <c r="Q148" s="3583" t="s">
        <v>116</v>
      </c>
      <c r="R148" s="3583">
        <f>(R146-Q146)*10000</f>
        <v>0</v>
      </c>
      <c r="S148" s="3583">
        <f>(S146-R146)*10000</f>
        <v>0</v>
      </c>
      <c r="T148" s="3583">
        <f>(T146-S146)*10000</f>
        <v>0</v>
      </c>
      <c r="U148" s="3582" t="s">
        <v>116</v>
      </c>
      <c r="V148" s="3583">
        <f>(V146-T146)*10000</f>
        <v>0</v>
      </c>
      <c r="W148" s="3583">
        <f>(W146-V146)*10000</f>
        <v>0</v>
      </c>
      <c r="X148" s="3583">
        <f>(X146-W146)*10000</f>
        <v>0</v>
      </c>
      <c r="Y148" s="3583">
        <f>(Y146-X146)*10000</f>
        <v>0</v>
      </c>
      <c r="Z148" s="3582" t="s">
        <v>116</v>
      </c>
      <c r="AA148" s="3583">
        <f>(AA146-Y146)*10000</f>
        <v>0</v>
      </c>
      <c r="AB148" s="3583">
        <f>(AB146-AA146)*10000</f>
        <v>0</v>
      </c>
      <c r="AC148" s="3583">
        <f>(AC146-AB146)*10000</f>
        <v>0</v>
      </c>
      <c r="AD148" s="3583">
        <f>(AD146-AC146)*10000</f>
        <v>0</v>
      </c>
      <c r="AE148" s="3582" t="s">
        <v>116</v>
      </c>
      <c r="AF148" s="3583">
        <f>(AF146-AD146)*10000</f>
        <v>0</v>
      </c>
      <c r="AG148" s="3583">
        <f>(AG146-AF146)*10000</f>
        <v>0</v>
      </c>
      <c r="AH148" s="3583">
        <f>(AH146-AG146)*10000</f>
        <v>0</v>
      </c>
      <c r="AI148" s="3583">
        <f>(AI146-AH146)*10000</f>
        <v>0</v>
      </c>
      <c r="AJ148" s="3582" t="s">
        <v>116</v>
      </c>
      <c r="AK148" s="3583">
        <f>(AK146-AI146)*10000</f>
        <v>0</v>
      </c>
      <c r="AL148" s="3583">
        <f>(AL146-AK146)*10000</f>
        <v>0</v>
      </c>
      <c r="AM148" s="3583">
        <f>(AM146-AL146)*10000</f>
        <v>0</v>
      </c>
      <c r="AN148" s="3583">
        <f>(AN146-AM146)*10000</f>
        <v>0</v>
      </c>
      <c r="AO148" s="3582" t="s">
        <v>116</v>
      </c>
      <c r="AP148" s="3583">
        <f>(AP146-AN146)*10000</f>
        <v>0</v>
      </c>
      <c r="AQ148" s="3583">
        <f>(AQ146-AP146)*10000</f>
        <v>0</v>
      </c>
      <c r="AR148" s="3583">
        <f>(AR146-AQ146)*10000</f>
        <v>0</v>
      </c>
      <c r="AS148" s="3583">
        <f>(AS146-AR146)*10000</f>
        <v>0</v>
      </c>
      <c r="AT148" s="3582" t="s">
        <v>116</v>
      </c>
      <c r="AU148" s="3583">
        <f>(AU146-AS146)*10000</f>
        <v>0</v>
      </c>
      <c r="AV148" s="3583">
        <f>(AV146-AU146)*10000</f>
        <v>0</v>
      </c>
      <c r="AW148" s="3583">
        <f>(AW146-AV146)*10000</f>
        <v>0</v>
      </c>
      <c r="AX148" s="3583">
        <f>(AX146-AW146)*10000</f>
        <v>0</v>
      </c>
      <c r="AY148" s="3582" t="s">
        <v>116</v>
      </c>
      <c r="AZ148" s="3583">
        <f>(AZ146-AX146)*10000</f>
        <v>0</v>
      </c>
      <c r="BA148" s="3583">
        <f>(BA146-AZ146)*10000</f>
        <v>0</v>
      </c>
      <c r="BB148" s="3583">
        <f>(BB146-BA146)*10000</f>
        <v>0</v>
      </c>
      <c r="BC148" s="3583">
        <f>(BC146-BB146)*10000</f>
        <v>0</v>
      </c>
      <c r="BD148" s="3582" t="s">
        <v>116</v>
      </c>
      <c r="BE148" s="3584">
        <f>(BE146-BD146)*10000</f>
        <v>0</v>
      </c>
      <c r="BF148" s="3583">
        <f>(BF146-BE146)*10000</f>
        <v>0</v>
      </c>
      <c r="BG148" s="3583">
        <f>(BG146-BF146)*10000</f>
        <v>0</v>
      </c>
      <c r="BH148" s="3583">
        <f>(BH146-BG146)*10000</f>
        <v>0</v>
      </c>
      <c r="BI148" s="3582" t="s">
        <v>116</v>
      </c>
      <c r="BJ148" s="3583">
        <f>(BJ146-BI146)*10000</f>
        <v>0</v>
      </c>
      <c r="BK148" s="3583">
        <f>(BK146-BJ146)*10000</f>
        <v>0</v>
      </c>
      <c r="BL148" s="3583">
        <f>(BL146-BK146)*10000</f>
        <v>0</v>
      </c>
      <c r="BM148" s="3583">
        <f>(BM146-BL146)*10000</f>
        <v>0</v>
      </c>
      <c r="BN148" s="3582" t="s">
        <v>116</v>
      </c>
      <c r="BO148" s="3583">
        <v>-44.309034873266654</v>
      </c>
      <c r="BP148" s="3583">
        <v>-672.07408167944016</v>
      </c>
      <c r="BQ148" s="3583">
        <v>-721.12167931195404</v>
      </c>
      <c r="BR148" s="3585">
        <v>523.61981105103814</v>
      </c>
      <c r="BS148" s="3586" t="s">
        <v>116</v>
      </c>
      <c r="BT148" s="3583">
        <f>(BT146-BN146)*10000</f>
        <v>0</v>
      </c>
      <c r="BU148" s="3583">
        <f>(BU146-BT146)*10000</f>
        <v>0</v>
      </c>
      <c r="BV148" s="3583">
        <f>(BV146-BU146)*10000</f>
        <v>0</v>
      </c>
      <c r="BW148" s="3583">
        <f>(BW146-BV146)*10000</f>
        <v>0</v>
      </c>
      <c r="BX148" s="3582" t="s">
        <v>116</v>
      </c>
      <c r="BY148" s="3583">
        <v>-168.79362027002631</v>
      </c>
      <c r="BZ148" s="3583">
        <v>-64.345834278949908</v>
      </c>
      <c r="CA148" s="3583">
        <v>-0.76292619161033581</v>
      </c>
      <c r="CB148" s="3583">
        <v>-112.8577449411261</v>
      </c>
      <c r="CC148" s="3582" t="s">
        <v>116</v>
      </c>
      <c r="CD148" s="3583">
        <f>(CD146-BX146)*10000</f>
        <v>0</v>
      </c>
      <c r="CE148" s="3583">
        <f>(CE146-CD146)*10000</f>
        <v>0</v>
      </c>
      <c r="CF148" s="3583">
        <f>(CF146-CE146)*10000</f>
        <v>0</v>
      </c>
      <c r="CG148" s="3583">
        <f>(CG146-CF146)*10000</f>
        <v>555.80314509454377</v>
      </c>
      <c r="CH148" s="3582" t="s">
        <v>116</v>
      </c>
      <c r="CI148" s="3583">
        <f>(CI146-CH146)*10000</f>
        <v>544.09857328145267</v>
      </c>
      <c r="CJ148" s="3583">
        <f>(CJ146-CI146)*10000</f>
        <v>7.4526645750186411</v>
      </c>
      <c r="CK148" s="3583">
        <f>(CK146-CJ146)*10000</f>
        <v>207.99605984975642</v>
      </c>
      <c r="CL148" s="3583">
        <f>(CL146-CK146)*10000</f>
        <v>-96.121346206476247</v>
      </c>
      <c r="CM148" s="3582" t="s">
        <v>116</v>
      </c>
      <c r="CN148" s="3583">
        <f>(CN146-CM146)*10000</f>
        <v>64.501853182729334</v>
      </c>
      <c r="CO148" s="3583">
        <f>(CO146-CN146)*10000</f>
        <v>-58.494099644168102</v>
      </c>
      <c r="CP148" s="3583">
        <f>(CP146-CO146)*10000</f>
        <v>128.22660869687363</v>
      </c>
      <c r="CQ148" s="3583">
        <f>(CQ146-CP146)*10000</f>
        <v>-93.538779180987049</v>
      </c>
      <c r="CR148" s="3582" t="s">
        <v>116</v>
      </c>
      <c r="CS148" s="3583">
        <f>(CS146-CR146)*10000</f>
        <v>43.687735799710495</v>
      </c>
      <c r="CT148" s="3583">
        <f>(CT146-CS146)*10000</f>
        <v>-38.453064171902753</v>
      </c>
      <c r="CU148" s="3583">
        <f>(CU146-CT146)*10000</f>
        <v>129.40112472329929</v>
      </c>
      <c r="CV148" s="3583">
        <f>(CV146-CU146)*10000</f>
        <v>-120.21429302458267</v>
      </c>
      <c r="CW148" s="3582"/>
      <c r="CX148" s="3583">
        <f>(CX146-CV146)*10000</f>
        <v>103.46057257659469</v>
      </c>
      <c r="CY148" s="3583">
        <f>(CY146-CX146)*10000</f>
        <v>-41.62874418929777</v>
      </c>
      <c r="CZ148" s="3583">
        <f>(CZ146-CY146)*10000</f>
        <v>-114.7521175754039</v>
      </c>
      <c r="DA148" s="3583">
        <f>(DA146-CZ146)*10000</f>
        <v>-83.916577873145712</v>
      </c>
      <c r="DB148" s="3582"/>
      <c r="DC148" s="3583">
        <f>(DC146-DA146)*10000</f>
        <v>217.44561178505637</v>
      </c>
      <c r="DD148" s="3583">
        <f>(DD146-DC146)*10000</f>
        <v>-49.973222726492907</v>
      </c>
      <c r="DE148" s="3583">
        <f>(DE146-DD146)*10000</f>
        <v>-77.955547338243449</v>
      </c>
      <c r="DF148" s="3583">
        <f>(DF146-DE146)*10000</f>
        <v>-87.303820973490957</v>
      </c>
      <c r="DG148" s="3582"/>
      <c r="DH148" s="3583">
        <f>(DH146-DF146)*10000</f>
        <v>188.35849624509237</v>
      </c>
      <c r="DI148" s="3583">
        <f>(DI146-DH146)*10000</f>
        <v>-54.308422448402645</v>
      </c>
      <c r="DJ148" s="3583">
        <f>(DJ146-DI146)*10000</f>
        <v>-59.7655940985832</v>
      </c>
      <c r="DK148" s="3583">
        <f>(DK146-DJ146)*10000</f>
        <v>-73.853206479767223</v>
      </c>
      <c r="DL148" s="3582"/>
      <c r="DM148" s="3583">
        <f>(DM146-DK146)*10000</f>
        <v>201.22205962328354</v>
      </c>
      <c r="DN148" s="3583">
        <f>(DN146-DM146)*10000</f>
        <v>107.81180711755947</v>
      </c>
      <c r="DO148" s="3583">
        <f>(DO146-DN146)*10000</f>
        <v>-191.13505736203643</v>
      </c>
      <c r="DP148" s="3583">
        <f>(DP146-DO146)*10000</f>
        <v>-125.51058754112415</v>
      </c>
      <c r="DQ148" s="3582"/>
      <c r="DR148" s="3583">
        <f>(DR146-DP146)*10000</f>
        <v>110.59153850101893</v>
      </c>
      <c r="DS148" s="3583">
        <f>(DS146-DR146)*10000</f>
        <v>-62.46718651247658</v>
      </c>
      <c r="DT148" s="3583">
        <f>(DT146-DS146)*10000</f>
        <v>-19.656608470490223</v>
      </c>
      <c r="DU148" s="3583">
        <f>(DU146-DT146)*10000</f>
        <v>-69.994667802484173</v>
      </c>
      <c r="DV148" s="3582"/>
      <c r="DW148" s="3583">
        <f>(DW146-DU146)*10000</f>
        <v>137.32048957953705</v>
      </c>
      <c r="DX148" s="3583">
        <f>(DX146-DW146)*10000</f>
        <v>23.985082998367464</v>
      </c>
      <c r="DY148" s="3583">
        <f>(DY146-DX146)*10000</f>
        <v>33.968258574540585</v>
      </c>
      <c r="DZ148" s="3583">
        <f>(DZ146-DY146)*10000</f>
        <v>-49.570078377371011</v>
      </c>
      <c r="EA148" s="3582"/>
      <c r="EB148" s="3583">
        <f>(EB146-DZ146)*10000</f>
        <v>86.531999472254228</v>
      </c>
      <c r="EC148" s="3583">
        <f>(EC146-EB146)*10000</f>
        <v>16.792063396792319</v>
      </c>
      <c r="ED148" s="3583">
        <f>(ED146-EC146)*10000</f>
        <v>-25.123389460267042</v>
      </c>
      <c r="EE148" s="3583">
        <f>(EE146-ED146)*10000</f>
        <v>-93.169918939284145</v>
      </c>
      <c r="EF148" s="3582"/>
      <c r="EG148" s="3583">
        <f>(EG146-EE146)*10000</f>
        <v>-2.0634365488646225</v>
      </c>
      <c r="EH148" s="3583">
        <f>(EH146-EG146)*10000</f>
        <v>38.504334978931716</v>
      </c>
      <c r="EI148" s="3583">
        <f>(EI146-EH146)*10000</f>
        <v>-29.799555574097081</v>
      </c>
      <c r="EJ148" s="3583">
        <f>(EJ146-EI146)*10000</f>
        <v>-60.035160782216238</v>
      </c>
      <c r="EK148" s="3582"/>
      <c r="EL148" s="3583">
        <f>(EL146-EJ146)*10000</f>
        <v>9.033497246400124</v>
      </c>
      <c r="EM148" s="3583">
        <f>(EM146-EL146)*10000</f>
        <v>10.718990687908978</v>
      </c>
      <c r="EN148" s="3583">
        <f>(EN146-EM146)*10000</f>
        <v>0.18461407351018366</v>
      </c>
      <c r="EO148" s="3583">
        <f>(EO146-EN146)*10000</f>
        <v>-40.69757505146432</v>
      </c>
      <c r="EP148" s="3582"/>
      <c r="EQ148" s="3583">
        <f>(EQ146-EO146)*10000</f>
        <v>25.359300371931223</v>
      </c>
      <c r="ER148" s="3583">
        <f>(ER146-EQ146)*10000</f>
        <v>23.490311222116382</v>
      </c>
      <c r="ES148" s="3583">
        <f>(ES146-ER146)*10000</f>
        <v>-1.3438833501343284</v>
      </c>
      <c r="ET148" s="3583">
        <f>(ET146-ES146)*10000</f>
        <v>-57.839937699887891</v>
      </c>
      <c r="EU148" s="3582"/>
      <c r="EV148" s="3582"/>
      <c r="EW148" s="3582"/>
      <c r="EX148" s="3582"/>
      <c r="EY148" s="3582"/>
      <c r="EZ148" s="209"/>
      <c r="FA148" s="4287"/>
      <c r="FB148" s="4287"/>
      <c r="FC148" s="4287"/>
      <c r="FD148" s="4287"/>
      <c r="FE148" s="4287"/>
      <c r="FF148" s="4287"/>
      <c r="FG148" s="4287"/>
      <c r="FH148" s="4287"/>
      <c r="FI148" s="4287"/>
      <c r="FJ148" s="4287"/>
      <c r="FK148" s="4287"/>
      <c r="FL148" s="4287"/>
    </row>
    <row r="149" spans="1:168" ht="11.25" hidden="1" customHeight="1" outlineLevel="1" collapsed="1">
      <c r="A149" s="3762" t="s">
        <v>324</v>
      </c>
      <c r="B149" s="3576"/>
      <c r="C149" s="3576"/>
      <c r="D149" s="3576"/>
      <c r="E149" s="3576"/>
      <c r="F149" s="1444"/>
      <c r="G149" s="3576"/>
      <c r="H149" s="3576"/>
      <c r="I149" s="3576"/>
      <c r="J149" s="3576"/>
      <c r="K149" s="1444"/>
      <c r="L149" s="3576"/>
      <c r="M149" s="3576"/>
      <c r="N149" s="3576"/>
      <c r="O149" s="3576"/>
      <c r="P149" s="1444"/>
      <c r="Q149" s="3576"/>
      <c r="R149" s="3576"/>
      <c r="S149" s="3576"/>
      <c r="T149" s="3576"/>
      <c r="U149" s="1444"/>
      <c r="V149" s="3576"/>
      <c r="W149" s="3576"/>
      <c r="X149" s="3576"/>
      <c r="Y149" s="3576"/>
      <c r="Z149" s="1444"/>
      <c r="AA149" s="3576"/>
      <c r="AB149" s="3576"/>
      <c r="AC149" s="3576"/>
      <c r="AD149" s="3576"/>
      <c r="AE149" s="1444"/>
      <c r="AF149" s="3576"/>
      <c r="AG149" s="3576"/>
      <c r="AH149" s="3576"/>
      <c r="AI149" s="3576"/>
      <c r="AJ149" s="1444"/>
      <c r="AK149" s="3576"/>
      <c r="AL149" s="3576"/>
      <c r="AM149" s="3576"/>
      <c r="AN149" s="3576"/>
      <c r="AO149" s="1444"/>
      <c r="AP149" s="3576"/>
      <c r="AQ149" s="3576"/>
      <c r="AR149" s="3576"/>
      <c r="AS149" s="3576"/>
      <c r="AT149" s="1444"/>
      <c r="AU149" s="3577"/>
      <c r="AV149" s="3577"/>
      <c r="AW149" s="3576"/>
      <c r="AX149" s="3576"/>
      <c r="AY149" s="1444"/>
      <c r="AZ149" s="3577"/>
      <c r="BA149" s="3577"/>
      <c r="BB149" s="3576"/>
      <c r="BC149" s="3576"/>
      <c r="BD149" s="1444"/>
      <c r="BE149" s="3578"/>
      <c r="BF149" s="3576"/>
      <c r="BG149" s="3576"/>
      <c r="BH149" s="3576"/>
      <c r="BI149" s="1444"/>
      <c r="BJ149" s="3576"/>
      <c r="BK149" s="3576"/>
      <c r="BL149" s="3576"/>
      <c r="BM149" s="3576"/>
      <c r="BN149" s="1444"/>
      <c r="BO149" s="3576"/>
      <c r="BP149" s="3576"/>
      <c r="BQ149" s="3576"/>
      <c r="BR149" s="3579"/>
      <c r="BS149" s="3580"/>
      <c r="BT149" s="3576"/>
      <c r="BU149" s="3576"/>
      <c r="BV149" s="3576"/>
      <c r="BW149" s="3576"/>
      <c r="BX149" s="1713"/>
      <c r="BY149" s="3576"/>
      <c r="BZ149" s="3576"/>
      <c r="CA149" s="3576"/>
      <c r="CB149" s="3576"/>
      <c r="CC149" s="1713"/>
      <c r="CD149" s="3576"/>
      <c r="CE149" s="3576"/>
      <c r="CF149" s="3576"/>
      <c r="CG149" s="3576"/>
      <c r="CH149" s="1713"/>
      <c r="CI149" s="3581"/>
      <c r="CJ149" s="3581"/>
      <c r="CK149" s="3576"/>
      <c r="CL149" s="3581"/>
      <c r="CM149" s="1713"/>
      <c r="CN149" s="3581"/>
      <c r="CO149" s="3581"/>
      <c r="CP149" s="3581"/>
      <c r="CQ149" s="3581"/>
      <c r="CR149" s="1713"/>
      <c r="CS149" s="3581"/>
      <c r="CT149" s="3581"/>
      <c r="CU149" s="3581"/>
      <c r="CV149" s="3581"/>
      <c r="CW149" s="1713"/>
      <c r="CX149" s="3581"/>
      <c r="CY149" s="3581"/>
      <c r="CZ149" s="3581"/>
      <c r="DA149" s="3581"/>
      <c r="DB149" s="1713"/>
      <c r="DC149" s="3581"/>
      <c r="DD149" s="3581"/>
      <c r="DE149" s="3581"/>
      <c r="DF149" s="3581"/>
      <c r="DG149" s="1713"/>
      <c r="DH149" s="3581"/>
      <c r="DI149" s="3581"/>
      <c r="DJ149" s="3581"/>
      <c r="DK149" s="3581"/>
      <c r="DL149" s="1713"/>
      <c r="DM149" s="3581"/>
      <c r="DN149" s="3581"/>
      <c r="DO149" s="3581"/>
      <c r="DP149" s="3581"/>
      <c r="DQ149" s="1713"/>
      <c r="DR149" s="3581"/>
      <c r="DS149" s="3581"/>
      <c r="DT149" s="3581"/>
      <c r="DU149" s="3581"/>
      <c r="DV149" s="1713"/>
      <c r="DW149" s="3581"/>
      <c r="DX149" s="3581"/>
      <c r="DY149" s="3581"/>
      <c r="DZ149" s="3581"/>
      <c r="EA149" s="1713"/>
      <c r="EB149" s="3581"/>
      <c r="EC149" s="3581"/>
      <c r="ED149" s="3581"/>
      <c r="EE149" s="3581"/>
      <c r="EF149" s="1713"/>
      <c r="EG149" s="3581"/>
      <c r="EH149" s="3581"/>
      <c r="EI149" s="3581"/>
      <c r="EJ149" s="3581"/>
      <c r="EK149" s="1713"/>
      <c r="EL149" s="3581"/>
      <c r="EM149" s="3581"/>
      <c r="EN149" s="3581"/>
      <c r="EO149" s="3581"/>
      <c r="EP149" s="1713"/>
      <c r="EQ149" s="3581"/>
      <c r="ER149" s="3581"/>
      <c r="ES149" s="3581"/>
      <c r="ET149" s="3581"/>
      <c r="EU149" s="1713"/>
      <c r="EV149" s="1713"/>
      <c r="EW149" s="1713"/>
      <c r="EX149" s="1713"/>
      <c r="EY149" s="1713"/>
      <c r="EZ149" s="208"/>
      <c r="FA149" s="4288"/>
      <c r="FB149" s="4288"/>
      <c r="FC149" s="4288"/>
      <c r="FD149" s="4288"/>
      <c r="FE149" s="4288"/>
      <c r="FF149" s="4288"/>
      <c r="FG149" s="4288"/>
      <c r="FH149" s="4288"/>
      <c r="FI149" s="4288"/>
      <c r="FJ149" s="4288"/>
      <c r="FK149" s="4288"/>
      <c r="FL149" s="4288"/>
    </row>
    <row r="150" spans="1:168" s="129" customFormat="1" ht="11.25" hidden="1" customHeight="1" outlineLevel="1">
      <c r="A150" s="3760" t="s">
        <v>55</v>
      </c>
      <c r="B150" s="127"/>
      <c r="C150" s="127"/>
      <c r="D150" s="127"/>
      <c r="E150" s="127"/>
      <c r="F150" s="995"/>
      <c r="G150" s="127"/>
      <c r="H150" s="127"/>
      <c r="I150" s="127"/>
      <c r="J150" s="127"/>
      <c r="K150" s="995">
        <f>+K13/K9</f>
        <v>0.68175633242620892</v>
      </c>
      <c r="L150" s="127"/>
      <c r="M150" s="127"/>
      <c r="N150" s="127"/>
      <c r="O150" s="127"/>
      <c r="P150" s="995">
        <f t="shared" ref="P150:AU150" si="638">+P13/P9</f>
        <v>0.8353736144215862</v>
      </c>
      <c r="Q150" s="127">
        <f t="shared" si="638"/>
        <v>0.86538961806787273</v>
      </c>
      <c r="R150" s="127">
        <f t="shared" si="638"/>
        <v>0.90070515304145682</v>
      </c>
      <c r="S150" s="127">
        <f t="shared" si="638"/>
        <v>0.89564482694253689</v>
      </c>
      <c r="T150" s="127">
        <f t="shared" si="638"/>
        <v>0.89525038303362636</v>
      </c>
      <c r="U150" s="995">
        <f t="shared" si="638"/>
        <v>0.89272712516811203</v>
      </c>
      <c r="V150" s="127">
        <f t="shared" si="638"/>
        <v>0.90439639861726628</v>
      </c>
      <c r="W150" s="127">
        <f t="shared" si="638"/>
        <v>0.90289787551248601</v>
      </c>
      <c r="X150" s="127">
        <f t="shared" si="638"/>
        <v>0.89258349803357895</v>
      </c>
      <c r="Y150" s="127">
        <f t="shared" si="638"/>
        <v>0.88333406576318629</v>
      </c>
      <c r="Z150" s="995">
        <f t="shared" si="638"/>
        <v>0.89427198821376597</v>
      </c>
      <c r="AA150" s="127">
        <f t="shared" si="638"/>
        <v>0.88335903694226015</v>
      </c>
      <c r="AB150" s="127">
        <f t="shared" si="638"/>
        <v>0.88339894796043272</v>
      </c>
      <c r="AC150" s="127">
        <f t="shared" si="638"/>
        <v>0.88230510927717809</v>
      </c>
      <c r="AD150" s="127">
        <f t="shared" si="638"/>
        <v>0.88364665880485116</v>
      </c>
      <c r="AE150" s="995">
        <f t="shared" si="638"/>
        <v>0.88319317915778961</v>
      </c>
      <c r="AF150" s="127">
        <f t="shared" si="638"/>
        <v>0.89505466780922327</v>
      </c>
      <c r="AG150" s="127">
        <f t="shared" si="638"/>
        <v>0.88454517370180008</v>
      </c>
      <c r="AH150" s="127">
        <f t="shared" si="638"/>
        <v>0.8817908375310658</v>
      </c>
      <c r="AI150" s="127">
        <f t="shared" si="638"/>
        <v>0.88649399450607369</v>
      </c>
      <c r="AJ150" s="995">
        <f t="shared" si="638"/>
        <v>0.88652799545086036</v>
      </c>
      <c r="AK150" s="127">
        <f t="shared" si="638"/>
        <v>0.88301908728761702</v>
      </c>
      <c r="AL150" s="127">
        <f t="shared" si="638"/>
        <v>0.87937087630593624</v>
      </c>
      <c r="AM150" s="127">
        <f t="shared" si="638"/>
        <v>0.88129482318525598</v>
      </c>
      <c r="AN150" s="127">
        <f t="shared" si="638"/>
        <v>0.8669632446589054</v>
      </c>
      <c r="AO150" s="995">
        <f t="shared" si="638"/>
        <v>0.87683597080099884</v>
      </c>
      <c r="AP150" s="127">
        <f t="shared" si="638"/>
        <v>0.86568995946732075</v>
      </c>
      <c r="AQ150" s="127">
        <f t="shared" si="638"/>
        <v>0.85144188553019162</v>
      </c>
      <c r="AR150" s="127">
        <f t="shared" si="638"/>
        <v>0.85468623504309138</v>
      </c>
      <c r="AS150" s="127">
        <f t="shared" si="638"/>
        <v>0.84949031036076139</v>
      </c>
      <c r="AT150" s="995">
        <f t="shared" si="638"/>
        <v>0.85481505444161021</v>
      </c>
      <c r="AU150" s="127">
        <f t="shared" si="638"/>
        <v>0.83376738234523773</v>
      </c>
      <c r="AV150" s="127">
        <f t="shared" ref="AV150:BN150" si="639">+AV13/AV9</f>
        <v>0.82938802516777832</v>
      </c>
      <c r="AW150" s="127">
        <f t="shared" si="639"/>
        <v>0.83504090890554927</v>
      </c>
      <c r="AX150" s="127">
        <f t="shared" si="639"/>
        <v>0.83532415479990385</v>
      </c>
      <c r="AY150" s="995">
        <f t="shared" si="639"/>
        <v>0.83343116852681765</v>
      </c>
      <c r="AZ150" s="127">
        <f t="shared" si="639"/>
        <v>0.83967537680792925</v>
      </c>
      <c r="BA150" s="127">
        <f t="shared" si="639"/>
        <v>0.8424823131245941</v>
      </c>
      <c r="BB150" s="127">
        <f t="shared" si="639"/>
        <v>0.85129793063034198</v>
      </c>
      <c r="BC150" s="127">
        <f t="shared" si="639"/>
        <v>0.86241239797219393</v>
      </c>
      <c r="BD150" s="995">
        <f t="shared" si="639"/>
        <v>0.84968675110391778</v>
      </c>
      <c r="BE150" s="1289">
        <f t="shared" si="639"/>
        <v>0.85485781990521326</v>
      </c>
      <c r="BF150" s="127">
        <f t="shared" si="639"/>
        <v>0.85711477987421381</v>
      </c>
      <c r="BG150" s="127">
        <f t="shared" si="639"/>
        <v>0.86517058930852031</v>
      </c>
      <c r="BH150" s="127">
        <f t="shared" si="639"/>
        <v>0.86940825616072825</v>
      </c>
      <c r="BI150" s="995">
        <f t="shared" si="639"/>
        <v>0.86216142519541905</v>
      </c>
      <c r="BJ150" s="127">
        <f t="shared" si="639"/>
        <v>0.87012391005048184</v>
      </c>
      <c r="BK150" s="127">
        <f t="shared" si="639"/>
        <v>0.85381723539618282</v>
      </c>
      <c r="BL150" s="127">
        <f t="shared" si="639"/>
        <v>0.85406125166444735</v>
      </c>
      <c r="BM150" s="127">
        <f t="shared" si="639"/>
        <v>0.85554462748955007</v>
      </c>
      <c r="BN150" s="995">
        <f t="shared" si="639"/>
        <v>0.85802660068048253</v>
      </c>
      <c r="BO150" s="127">
        <v>0.85187461585740631</v>
      </c>
      <c r="BP150" s="127">
        <v>0.75889328063241102</v>
      </c>
      <c r="BQ150" s="127">
        <v>0.6831700644250287</v>
      </c>
      <c r="BR150" s="125">
        <v>0.73877766998853511</v>
      </c>
      <c r="BS150" s="1760">
        <v>0.75073603998119698</v>
      </c>
      <c r="BT150" s="127">
        <f>+BT13/BT9</f>
        <v>0.85187461585740631</v>
      </c>
      <c r="BU150" s="127">
        <f>+BU13/BU9</f>
        <v>0.84433285509325684</v>
      </c>
      <c r="BV150" s="127">
        <f>+BV13/BV9</f>
        <v>0.82103700319780726</v>
      </c>
      <c r="BW150" s="127">
        <f>+BW13/BW9</f>
        <v>0.81862595419847328</v>
      </c>
      <c r="BX150" s="995">
        <f>+BX13/BX9</f>
        <v>0.82270615397770996</v>
      </c>
      <c r="BY150" s="127">
        <v>0.72908149359498498</v>
      </c>
      <c r="BZ150" s="127">
        <v>0.73539487919221058</v>
      </c>
      <c r="CA150" s="127">
        <v>0.72284204345273051</v>
      </c>
      <c r="CB150" s="127">
        <v>0.70777974608798344</v>
      </c>
      <c r="CC150" s="995">
        <v>0.72292297342751433</v>
      </c>
      <c r="CD150" s="127">
        <f t="shared" ref="CD150:DI150" si="640">+CD13/CD9</f>
        <v>0.78236059665632196</v>
      </c>
      <c r="CE150" s="127">
        <f t="shared" si="640"/>
        <v>0.7838319793936992</v>
      </c>
      <c r="CF150" s="127">
        <f t="shared" si="640"/>
        <v>0.77397514375811538</v>
      </c>
      <c r="CG150" s="127">
        <f t="shared" si="640"/>
        <v>0.76260385577155765</v>
      </c>
      <c r="CH150" s="995">
        <f t="shared" si="640"/>
        <v>0.77497052772705211</v>
      </c>
      <c r="CI150" s="127">
        <f t="shared" si="640"/>
        <v>0.77609123728257301</v>
      </c>
      <c r="CJ150" s="127">
        <f t="shared" si="640"/>
        <v>0.7772073921971252</v>
      </c>
      <c r="CK150" s="127">
        <f t="shared" si="640"/>
        <v>0.74595825426944973</v>
      </c>
      <c r="CL150" s="127">
        <f t="shared" si="640"/>
        <v>0.772077608230339</v>
      </c>
      <c r="CM150" s="995">
        <f t="shared" si="640"/>
        <v>0.7677510284930672</v>
      </c>
      <c r="CN150" s="127">
        <f t="shared" si="640"/>
        <v>0.78358369869905842</v>
      </c>
      <c r="CO150" s="127">
        <f t="shared" si="640"/>
        <v>0.77658536585365856</v>
      </c>
      <c r="CP150" s="127">
        <f t="shared" si="640"/>
        <v>0.77026937586868749</v>
      </c>
      <c r="CQ150" s="127">
        <f t="shared" si="640"/>
        <v>0.76073868241287479</v>
      </c>
      <c r="CR150" s="995">
        <f t="shared" si="640"/>
        <v>0.77210368367245985</v>
      </c>
      <c r="CS150" s="127">
        <f t="shared" si="640"/>
        <v>0.76562025623899443</v>
      </c>
      <c r="CT150" s="127">
        <f t="shared" si="640"/>
        <v>0.76291012838801708</v>
      </c>
      <c r="CU150" s="127">
        <f t="shared" si="640"/>
        <v>0.7527505610597186</v>
      </c>
      <c r="CV150" s="127">
        <f t="shared" si="640"/>
        <v>0.72600867269984914</v>
      </c>
      <c r="CW150" s="995">
        <f t="shared" si="640"/>
        <v>0.75033683093128645</v>
      </c>
      <c r="CX150" s="127">
        <f t="shared" si="640"/>
        <v>0.74325331742955125</v>
      </c>
      <c r="CY150" s="127">
        <f t="shared" si="640"/>
        <v>0.74750227066303365</v>
      </c>
      <c r="CZ150" s="127">
        <f t="shared" si="640"/>
        <v>0.74647507858105078</v>
      </c>
      <c r="DA150" s="127">
        <f t="shared" si="640"/>
        <v>0.69787036679163605</v>
      </c>
      <c r="DB150" s="995">
        <f t="shared" si="640"/>
        <v>0.73188836437437632</v>
      </c>
      <c r="DC150" s="127">
        <f t="shared" si="640"/>
        <v>0.71119961380642049</v>
      </c>
      <c r="DD150" s="127">
        <f t="shared" si="640"/>
        <v>0.71555436978313069</v>
      </c>
      <c r="DE150" s="127">
        <f t="shared" si="640"/>
        <v>0.71651078871787321</v>
      </c>
      <c r="DF150" s="127">
        <f t="shared" si="640"/>
        <v>0.67079145728643219</v>
      </c>
      <c r="DG150" s="995">
        <f t="shared" si="640"/>
        <v>0.701861153751828</v>
      </c>
      <c r="DH150" s="127">
        <f t="shared" si="640"/>
        <v>0.68954170765629774</v>
      </c>
      <c r="DI150" s="127">
        <f t="shared" si="640"/>
        <v>0.68277297672364856</v>
      </c>
      <c r="DJ150" s="127">
        <f t="shared" ref="DJ150:EX150" si="641">+DJ13/DJ9</f>
        <v>0.69468932715320064</v>
      </c>
      <c r="DK150" s="127">
        <f t="shared" si="641"/>
        <v>0.66681748017245968</v>
      </c>
      <c r="DL150" s="995">
        <f t="shared" si="641"/>
        <v>0.68272266407625526</v>
      </c>
      <c r="DM150" s="127">
        <f t="shared" si="641"/>
        <v>0.65793455365354381</v>
      </c>
      <c r="DN150" s="127">
        <f t="shared" si="641"/>
        <v>0.62475081479606365</v>
      </c>
      <c r="DO150" s="127">
        <f t="shared" si="641"/>
        <v>0.65924698081932276</v>
      </c>
      <c r="DP150" s="127">
        <f t="shared" si="641"/>
        <v>0.66372329427980703</v>
      </c>
      <c r="DQ150" s="995">
        <f t="shared" si="641"/>
        <v>0.65305945281771494</v>
      </c>
      <c r="DR150" s="127">
        <f t="shared" si="641"/>
        <v>0.68442173588877686</v>
      </c>
      <c r="DS150" s="127">
        <f t="shared" si="641"/>
        <v>0.6997507409079311</v>
      </c>
      <c r="DT150" s="127">
        <f t="shared" si="641"/>
        <v>0.69930995897053339</v>
      </c>
      <c r="DU150" s="127">
        <f t="shared" si="641"/>
        <v>0.68398009628744061</v>
      </c>
      <c r="DV150" s="995">
        <f t="shared" si="641"/>
        <v>0.69174003046149635</v>
      </c>
      <c r="DW150" s="127">
        <f t="shared" si="641"/>
        <v>0.68567144463683261</v>
      </c>
      <c r="DX150" s="127">
        <f t="shared" si="641"/>
        <v>0.68871256807781311</v>
      </c>
      <c r="DY150" s="127">
        <f t="shared" si="641"/>
        <v>0.66241749030838548</v>
      </c>
      <c r="DZ150" s="127">
        <f t="shared" si="641"/>
        <v>0.64486795621247406</v>
      </c>
      <c r="EA150" s="995">
        <f t="shared" si="641"/>
        <v>0.6697123750967372</v>
      </c>
      <c r="EB150" s="127">
        <f t="shared" si="641"/>
        <v>0.67466331415974923</v>
      </c>
      <c r="EC150" s="127">
        <f t="shared" si="641"/>
        <v>0.68777289058597968</v>
      </c>
      <c r="ED150" s="127">
        <f t="shared" si="641"/>
        <v>0.67858425317325255</v>
      </c>
      <c r="EE150" s="127">
        <f t="shared" si="641"/>
        <v>0.67384270781483324</v>
      </c>
      <c r="EF150" s="995">
        <f t="shared" si="641"/>
        <v>0.67858312411308808</v>
      </c>
      <c r="EG150" s="127">
        <f t="shared" si="641"/>
        <v>0.69277883804535978</v>
      </c>
      <c r="EH150" s="127">
        <f t="shared" si="641"/>
        <v>0.69000070072174335</v>
      </c>
      <c r="EI150" s="127">
        <f t="shared" si="641"/>
        <v>0.69476451729734801</v>
      </c>
      <c r="EJ150" s="127">
        <f t="shared" si="641"/>
        <v>0.68433368863405253</v>
      </c>
      <c r="EK150" s="995">
        <f t="shared" si="641"/>
        <v>0.69027304332504291</v>
      </c>
      <c r="EL150" s="127">
        <f t="shared" si="641"/>
        <v>0.70435112308134817</v>
      </c>
      <c r="EM150" s="127">
        <f t="shared" si="641"/>
        <v>0.70223804804033141</v>
      </c>
      <c r="EN150" s="127">
        <f t="shared" ref="EN150" si="642">+EN13/EN9</f>
        <v>0.69711901223276551</v>
      </c>
      <c r="EO150" s="127">
        <f t="shared" si="641"/>
        <v>0.68299999999999994</v>
      </c>
      <c r="EP150" s="995">
        <f t="shared" si="641"/>
        <v>0.69599581908082797</v>
      </c>
      <c r="EQ150" s="127">
        <f t="shared" ref="EQ150:EU150" si="643">+EQ13/EQ9</f>
        <v>0.70000000000000007</v>
      </c>
      <c r="ER150" s="127">
        <f t="shared" si="643"/>
        <v>0.69299999999999995</v>
      </c>
      <c r="ES150" s="127">
        <f t="shared" si="643"/>
        <v>0.67999999999999994</v>
      </c>
      <c r="ET150" s="127">
        <f t="shared" si="643"/>
        <v>0.66800000000000004</v>
      </c>
      <c r="EU150" s="995">
        <f t="shared" si="643"/>
        <v>0.68426544028481251</v>
      </c>
      <c r="EV150" s="995">
        <f t="shared" si="641"/>
        <v>0.66700000000000004</v>
      </c>
      <c r="EW150" s="995">
        <f t="shared" si="641"/>
        <v>0.66</v>
      </c>
      <c r="EX150" s="995">
        <f t="shared" si="641"/>
        <v>0.65800000000000003</v>
      </c>
      <c r="EY150" s="995">
        <f t="shared" ref="EY150" si="644">+EY13/EY9</f>
        <v>0.65899999999999992</v>
      </c>
      <c r="EZ150" s="127"/>
      <c r="FA150" s="2660"/>
      <c r="FB150" s="2660"/>
      <c r="FC150" s="2660"/>
      <c r="FD150" s="2660"/>
      <c r="FE150" s="2660"/>
      <c r="FF150" s="2660"/>
      <c r="FG150" s="2660"/>
      <c r="FH150" s="2660"/>
      <c r="FI150" s="2660"/>
      <c r="FJ150" s="2660"/>
      <c r="FK150" s="2660"/>
      <c r="FL150" s="2660"/>
    </row>
    <row r="151" spans="1:168" s="129" customFormat="1" ht="11.25" hidden="1" customHeight="1" outlineLevel="1">
      <c r="A151" s="3770" t="s">
        <v>574</v>
      </c>
      <c r="B151" s="3333"/>
      <c r="C151" s="3333"/>
      <c r="D151" s="3333"/>
      <c r="E151" s="3333"/>
      <c r="F151" s="3401"/>
      <c r="G151" s="3333"/>
      <c r="H151" s="3333"/>
      <c r="I151" s="3333"/>
      <c r="J151" s="3333"/>
      <c r="K151" s="3401">
        <f>K27/K9</f>
        <v>-0.77124764496545939</v>
      </c>
      <c r="L151" s="3333"/>
      <c r="M151" s="3333"/>
      <c r="N151" s="3333"/>
      <c r="O151" s="3333"/>
      <c r="P151" s="3401">
        <f t="shared" ref="P151:AU151" si="645">P27/P9</f>
        <v>0.1268599726934026</v>
      </c>
      <c r="Q151" s="3333">
        <f t="shared" si="645"/>
        <v>0.35963107484923718</v>
      </c>
      <c r="R151" s="3333">
        <f t="shared" si="645"/>
        <v>0.48193723363037599</v>
      </c>
      <c r="S151" s="3333">
        <f t="shared" si="645"/>
        <v>0.5591382003595744</v>
      </c>
      <c r="T151" s="3333">
        <f t="shared" si="645"/>
        <v>0.61028069583831213</v>
      </c>
      <c r="U151" s="3401">
        <f t="shared" si="645"/>
        <v>0.54046862681445074</v>
      </c>
      <c r="V151" s="3333">
        <f t="shared" si="645"/>
        <v>0.47457798046916583</v>
      </c>
      <c r="W151" s="3333">
        <f t="shared" si="645"/>
        <v>0.48818486768542668</v>
      </c>
      <c r="X151" s="3333">
        <f t="shared" si="645"/>
        <v>0.26574035255834394</v>
      </c>
      <c r="Y151" s="3333">
        <f t="shared" si="645"/>
        <v>0.29213133706759864</v>
      </c>
      <c r="Z151" s="3401">
        <f t="shared" si="645"/>
        <v>0.36455571156513561</v>
      </c>
      <c r="AA151" s="3333">
        <f t="shared" si="645"/>
        <v>0.40807785172126609</v>
      </c>
      <c r="AB151" s="3333">
        <f t="shared" si="645"/>
        <v>0.40398602951949292</v>
      </c>
      <c r="AC151" s="3333">
        <f t="shared" si="645"/>
        <v>0.42170473590768742</v>
      </c>
      <c r="AD151" s="3333">
        <f t="shared" si="645"/>
        <v>0.46314200366170949</v>
      </c>
      <c r="AE151" s="3401">
        <f t="shared" si="645"/>
        <v>0.42905284612351757</v>
      </c>
      <c r="AF151" s="3333">
        <f t="shared" si="645"/>
        <v>0.55714733317478482</v>
      </c>
      <c r="AG151" s="3333">
        <f t="shared" si="645"/>
        <v>0.53438705872440795</v>
      </c>
      <c r="AH151" s="3333">
        <f t="shared" si="645"/>
        <v>0.50465390403420995</v>
      </c>
      <c r="AI151" s="3333">
        <f t="shared" si="645"/>
        <v>0.51128859235190893</v>
      </c>
      <c r="AJ151" s="3401">
        <f t="shared" si="645"/>
        <v>0.52372740155750364</v>
      </c>
      <c r="AK151" s="3333">
        <f t="shared" si="645"/>
        <v>0.48510109933318935</v>
      </c>
      <c r="AL151" s="3333">
        <f t="shared" si="645"/>
        <v>0.48800358144924205</v>
      </c>
      <c r="AM151" s="3333">
        <f t="shared" si="645"/>
        <v>0.49953148692159272</v>
      </c>
      <c r="AN151" s="3333">
        <f t="shared" si="645"/>
        <v>0.47562828493013076</v>
      </c>
      <c r="AO151" s="3401">
        <f t="shared" si="645"/>
        <v>0.48655809784351722</v>
      </c>
      <c r="AP151" s="3333">
        <f t="shared" si="645"/>
        <v>0.4809918631365307</v>
      </c>
      <c r="AQ151" s="3333">
        <f t="shared" si="645"/>
        <v>0.40550139643886074</v>
      </c>
      <c r="AR151" s="3333">
        <f t="shared" si="645"/>
        <v>0.43778600379837962</v>
      </c>
      <c r="AS151" s="3333">
        <f t="shared" si="645"/>
        <v>0.42538867064379604</v>
      </c>
      <c r="AT151" s="3401">
        <f t="shared" si="645"/>
        <v>0.4360504581990543</v>
      </c>
      <c r="AU151" s="3333">
        <f t="shared" si="645"/>
        <v>0.41793986959338686</v>
      </c>
      <c r="AV151" s="3333">
        <f t="shared" ref="AV151:BN151" si="646">AV27/AV9</f>
        <v>0.40530977861067624</v>
      </c>
      <c r="AW151" s="3333">
        <f t="shared" si="646"/>
        <v>0.40718973551629495</v>
      </c>
      <c r="AX151" s="3333">
        <f t="shared" si="646"/>
        <v>0.44106563048159569</v>
      </c>
      <c r="AY151" s="3401">
        <f t="shared" si="646"/>
        <v>0.41824665038490594</v>
      </c>
      <c r="AZ151" s="3333">
        <f t="shared" si="646"/>
        <v>0.46245448719994692</v>
      </c>
      <c r="BA151" s="3333">
        <f t="shared" si="646"/>
        <v>0.46046791986225477</v>
      </c>
      <c r="BB151" s="3333">
        <f t="shared" si="646"/>
        <v>0.47284327127086495</v>
      </c>
      <c r="BC151" s="3333">
        <f t="shared" si="646"/>
        <v>0.50091127712253269</v>
      </c>
      <c r="BD151" s="3401">
        <f t="shared" si="646"/>
        <v>0.47549431396006209</v>
      </c>
      <c r="BE151" s="3402">
        <f t="shared" si="646"/>
        <v>0.49131121642969983</v>
      </c>
      <c r="BF151" s="3333">
        <f t="shared" si="646"/>
        <v>0.46481918238993708</v>
      </c>
      <c r="BG151" s="3333">
        <f t="shared" si="646"/>
        <v>0.46469622331691296</v>
      </c>
      <c r="BH151" s="3333">
        <f t="shared" si="646"/>
        <v>0.46805838957777429</v>
      </c>
      <c r="BI151" s="3401">
        <f t="shared" si="646"/>
        <v>0.47182330485366297</v>
      </c>
      <c r="BJ151" s="3333">
        <f t="shared" si="646"/>
        <v>0.42771913721890775</v>
      </c>
      <c r="BK151" s="3333">
        <f t="shared" si="646"/>
        <v>0.41657027183342971</v>
      </c>
      <c r="BL151" s="3333">
        <f t="shared" si="646"/>
        <v>0.40719041278295603</v>
      </c>
      <c r="BM151" s="3333">
        <f t="shared" si="646"/>
        <v>0.43115318416523235</v>
      </c>
      <c r="BN151" s="3401">
        <f t="shared" si="646"/>
        <v>0.42073065951816341</v>
      </c>
      <c r="BO151" s="3333">
        <v>0.41659496004917024</v>
      </c>
      <c r="BP151" s="3333">
        <v>0.33315997503640526</v>
      </c>
      <c r="BQ151" s="3333">
        <v>0.24146147736298651</v>
      </c>
      <c r="BR151" s="3403">
        <v>0.2993209277714084</v>
      </c>
      <c r="BS151" s="3404">
        <v>0.31475296271555459</v>
      </c>
      <c r="BT151" s="3333">
        <f>BT27/BT9</f>
        <v>0.41659496004917024</v>
      </c>
      <c r="BU151" s="3333">
        <f>BU27/BU9</f>
        <v>0.41080822572931613</v>
      </c>
      <c r="BV151" s="3333">
        <f>BV27/BV9</f>
        <v>0.372658748286889</v>
      </c>
      <c r="BW151" s="3333">
        <f>BW27/BW9</f>
        <v>0.38137404580152673</v>
      </c>
      <c r="BX151" s="3401">
        <f>BX27/BX9</f>
        <v>0.39432203631388424</v>
      </c>
      <c r="BY151" s="3333">
        <v>0.31588988825292996</v>
      </c>
      <c r="BZ151" s="3333">
        <v>0.28155427335016225</v>
      </c>
      <c r="CA151" s="3333">
        <v>0.2889019377568996</v>
      </c>
      <c r="CB151" s="3333">
        <v>0.28948922350162387</v>
      </c>
      <c r="CC151" s="3401">
        <v>0.2936007399932728</v>
      </c>
      <c r="CD151" s="3333">
        <f t="shared" ref="CD151:DI151" si="647">CD27/CD9</f>
        <v>0.37521273400740812</v>
      </c>
      <c r="CE151" s="3333">
        <f t="shared" si="647"/>
        <v>0.3432732316227462</v>
      </c>
      <c r="CF151" s="3333">
        <f t="shared" si="647"/>
        <v>0.34882211092561677</v>
      </c>
      <c r="CG151" s="3333">
        <f t="shared" si="647"/>
        <v>0.35726385415826412</v>
      </c>
      <c r="CH151" s="3401">
        <f t="shared" si="647"/>
        <v>0.35604817271907724</v>
      </c>
      <c r="CI151" s="3333">
        <f t="shared" si="647"/>
        <v>0.33762717426977357</v>
      </c>
      <c r="CJ151" s="3333">
        <f t="shared" si="647"/>
        <v>0.3362817880271679</v>
      </c>
      <c r="CK151" s="3333">
        <f t="shared" si="647"/>
        <v>0.28265654648956356</v>
      </c>
      <c r="CL151" s="3333">
        <f t="shared" si="647"/>
        <v>0.30373541393357728</v>
      </c>
      <c r="CM151" s="3401">
        <f t="shared" si="647"/>
        <v>0.31418558586012496</v>
      </c>
      <c r="CN151" s="3333">
        <f t="shared" si="647"/>
        <v>0.319629123841012</v>
      </c>
      <c r="CO151" s="3333">
        <f t="shared" si="647"/>
        <v>0.33623693379790942</v>
      </c>
      <c r="CP151" s="3333">
        <f t="shared" si="647"/>
        <v>0.31160235621152954</v>
      </c>
      <c r="CQ151" s="3333">
        <f t="shared" si="647"/>
        <v>0.31145073520898459</v>
      </c>
      <c r="CR151" s="3401">
        <f t="shared" si="647"/>
        <v>0.31922962767536195</v>
      </c>
      <c r="CS151" s="3333">
        <f t="shared" si="647"/>
        <v>0.32436699253142265</v>
      </c>
      <c r="CT151" s="3333">
        <f t="shared" si="647"/>
        <v>0.34054208273894437</v>
      </c>
      <c r="CU151" s="3333">
        <f t="shared" si="647"/>
        <v>0.31567135584870548</v>
      </c>
      <c r="CV151" s="3333">
        <f t="shared" si="647"/>
        <v>0.31292420814479638</v>
      </c>
      <c r="CW151" s="3401">
        <f t="shared" si="647"/>
        <v>0.32275888349052112</v>
      </c>
      <c r="CX151" s="3333">
        <f t="shared" si="647"/>
        <v>0.32642512797574674</v>
      </c>
      <c r="CY151" s="3333">
        <f t="shared" si="647"/>
        <v>0.1975237822075625</v>
      </c>
      <c r="CZ151" s="3333">
        <f t="shared" si="647"/>
        <v>0.3494387067804221</v>
      </c>
      <c r="DA151" s="3333">
        <f t="shared" si="647"/>
        <v>0.29621613264793412</v>
      </c>
      <c r="DB151" s="3401">
        <f t="shared" si="647"/>
        <v>0.29317246560443133</v>
      </c>
      <c r="DC151" s="3333">
        <f t="shared" si="647"/>
        <v>0.30706412422560142</v>
      </c>
      <c r="DD151" s="3333">
        <f t="shared" si="647"/>
        <v>0.11605747608339369</v>
      </c>
      <c r="DE151" s="3333">
        <f t="shared" si="647"/>
        <v>0.31758597834892111</v>
      </c>
      <c r="DF151" s="3333">
        <f t="shared" si="647"/>
        <v>0.25819723618090451</v>
      </c>
      <c r="DG151" s="3401">
        <f t="shared" si="647"/>
        <v>0.25000681242222483</v>
      </c>
      <c r="DH151" s="3333">
        <f t="shared" si="647"/>
        <v>0.22415957122019065</v>
      </c>
      <c r="DI151" s="3333">
        <f t="shared" si="647"/>
        <v>0.28953510376584873</v>
      </c>
      <c r="DJ151" s="3333">
        <f t="shared" ref="DJ151:EX151" si="648">DJ27/DJ9</f>
        <v>0.27801508679451059</v>
      </c>
      <c r="DK151" s="3333">
        <f t="shared" si="648"/>
        <v>0.24660669611965721</v>
      </c>
      <c r="DL151" s="3401">
        <f t="shared" si="648"/>
        <v>0.2597823447270961</v>
      </c>
      <c r="DM151" s="3333">
        <f t="shared" si="648"/>
        <v>0.23665707419823775</v>
      </c>
      <c r="DN151" s="3333">
        <f t="shared" si="648"/>
        <v>0.20197449609214316</v>
      </c>
      <c r="DO151" s="3333">
        <f t="shared" si="648"/>
        <v>0.29502460073144421</v>
      </c>
      <c r="DP151" s="3333">
        <f t="shared" si="648"/>
        <v>0.33707356995175741</v>
      </c>
      <c r="DQ151" s="3401">
        <f t="shared" si="648"/>
        <v>0.27528731410560336</v>
      </c>
      <c r="DR151" s="3333">
        <f t="shared" si="648"/>
        <v>0.36044471733695893</v>
      </c>
      <c r="DS151" s="3333">
        <f t="shared" si="648"/>
        <v>0.3799925418539381</v>
      </c>
      <c r="DT151" s="3333">
        <f t="shared" si="648"/>
        <v>0.39222305110033567</v>
      </c>
      <c r="DU151" s="3333">
        <f t="shared" si="648"/>
        <v>0.35356554331319268</v>
      </c>
      <c r="DV151" s="3401">
        <f t="shared" si="648"/>
        <v>0.37116814651696839</v>
      </c>
      <c r="DW151" s="3333">
        <f t="shared" si="648"/>
        <v>0.35868692097606253</v>
      </c>
      <c r="DX151" s="3333">
        <f t="shared" si="648"/>
        <v>0.33848375702528233</v>
      </c>
      <c r="DY151" s="3333">
        <f t="shared" si="648"/>
        <v>0.29921768588691372</v>
      </c>
      <c r="DZ151" s="3333">
        <f t="shared" si="648"/>
        <v>0.28769228331986757</v>
      </c>
      <c r="EA151" s="3401">
        <f t="shared" si="648"/>
        <v>0.32000034205429256</v>
      </c>
      <c r="EB151" s="3333">
        <f t="shared" si="648"/>
        <v>0.29991733544587196</v>
      </c>
      <c r="EC151" s="3333">
        <f t="shared" si="648"/>
        <v>0.35184558622134143</v>
      </c>
      <c r="ED151" s="3333">
        <f t="shared" si="648"/>
        <v>0.33321884123589013</v>
      </c>
      <c r="EE151" s="3333">
        <f t="shared" si="648"/>
        <v>0.32765057242409157</v>
      </c>
      <c r="EF151" s="3401">
        <f t="shared" si="648"/>
        <v>0.32861743103528934</v>
      </c>
      <c r="EG151" s="3333">
        <f t="shared" si="648"/>
        <v>0.37684375601023773</v>
      </c>
      <c r="EH151" s="3333">
        <f t="shared" si="648"/>
        <v>0.38434587625254013</v>
      </c>
      <c r="EI151" s="3333">
        <f t="shared" si="648"/>
        <v>0.38258058458195282</v>
      </c>
      <c r="EJ151" s="3333">
        <f t="shared" si="648"/>
        <v>0.37946116808174368</v>
      </c>
      <c r="EK151" s="3401">
        <f t="shared" si="648"/>
        <v>0.38083071856003359</v>
      </c>
      <c r="EL151" s="3333">
        <f t="shared" si="648"/>
        <v>0.40015166174201816</v>
      </c>
      <c r="EM151" s="3333">
        <f t="shared" si="648"/>
        <v>0.38264625625588877</v>
      </c>
      <c r="EN151" s="3333">
        <f t="shared" ref="EN151" si="649">EN27/EN9</f>
        <v>0.35701383331427916</v>
      </c>
      <c r="EO151" s="3333">
        <f t="shared" si="648"/>
        <v>0.38899999999999996</v>
      </c>
      <c r="EP151" s="3401">
        <f t="shared" si="648"/>
        <v>0.38178791708754228</v>
      </c>
      <c r="EQ151" s="3333">
        <f t="shared" ref="EQ151:EU151" si="650">EQ27/EQ9</f>
        <v>0.40850000000000009</v>
      </c>
      <c r="ER151" s="3333">
        <f t="shared" si="650"/>
        <v>0.40249999999999997</v>
      </c>
      <c r="ES151" s="3333">
        <f t="shared" si="650"/>
        <v>0.39049999999999996</v>
      </c>
      <c r="ET151" s="3333">
        <f t="shared" si="650"/>
        <v>0.38600000000000001</v>
      </c>
      <c r="EU151" s="3401">
        <f t="shared" si="650"/>
        <v>0.39617499992012639</v>
      </c>
      <c r="EV151" s="3401">
        <f t="shared" si="648"/>
        <v>0.38799999999999996</v>
      </c>
      <c r="EW151" s="3401">
        <f t="shared" si="648"/>
        <v>0.39200000000000002</v>
      </c>
      <c r="EX151" s="3401">
        <f t="shared" si="648"/>
        <v>0.39899999999999997</v>
      </c>
      <c r="EY151" s="3401">
        <f t="shared" ref="EY151" si="651">EY27/EY9</f>
        <v>0.40899999999999992</v>
      </c>
      <c r="EZ151" s="127"/>
      <c r="FA151" s="2660"/>
      <c r="FB151" s="2660"/>
      <c r="FC151" s="2660"/>
      <c r="FD151" s="2660"/>
      <c r="FE151" s="2660"/>
      <c r="FF151" s="2660"/>
      <c r="FG151" s="2660"/>
      <c r="FH151" s="2660"/>
      <c r="FI151" s="2660"/>
      <c r="FJ151" s="2660"/>
      <c r="FK151" s="2660"/>
      <c r="FL151" s="2660"/>
    </row>
    <row r="152" spans="1:168" s="259" customFormat="1" ht="11.25" hidden="1" customHeight="1" outlineLevel="1">
      <c r="A152" s="3765" t="s">
        <v>734</v>
      </c>
      <c r="B152" s="209"/>
      <c r="C152" s="209"/>
      <c r="D152" s="209"/>
      <c r="E152" s="209"/>
      <c r="F152" s="1019"/>
      <c r="G152" s="209"/>
      <c r="H152" s="209"/>
      <c r="I152" s="209"/>
      <c r="J152" s="209"/>
      <c r="K152" s="1019"/>
      <c r="L152" s="209"/>
      <c r="M152" s="209"/>
      <c r="N152" s="209"/>
      <c r="O152" s="209"/>
      <c r="P152" s="2890" t="s">
        <v>116</v>
      </c>
      <c r="Q152" s="2891" t="s">
        <v>116</v>
      </c>
      <c r="R152" s="2891" t="s">
        <v>116</v>
      </c>
      <c r="S152" s="2891" t="s">
        <v>116</v>
      </c>
      <c r="T152" s="2891" t="s">
        <v>116</v>
      </c>
      <c r="U152" s="2890">
        <f t="shared" ref="U152:BN152" si="652">(U151-P151)*10000</f>
        <v>4136.0865412104813</v>
      </c>
      <c r="V152" s="2891">
        <f t="shared" si="652"/>
        <v>1149.4690561992866</v>
      </c>
      <c r="W152" s="2891">
        <f t="shared" si="652"/>
        <v>62.476340550506883</v>
      </c>
      <c r="X152" s="2891">
        <f t="shared" si="652"/>
        <v>-2933.9784780123045</v>
      </c>
      <c r="Y152" s="2891">
        <f t="shared" si="652"/>
        <v>-3181.4935877071348</v>
      </c>
      <c r="Z152" s="2890">
        <f t="shared" si="652"/>
        <v>-1759.1291524931512</v>
      </c>
      <c r="AA152" s="2891">
        <f t="shared" si="652"/>
        <v>-665.00128747899737</v>
      </c>
      <c r="AB152" s="2891">
        <f t="shared" si="652"/>
        <v>-841.98838165933762</v>
      </c>
      <c r="AC152" s="2891">
        <f t="shared" si="652"/>
        <v>1559.6438334934348</v>
      </c>
      <c r="AD152" s="2891">
        <f t="shared" si="652"/>
        <v>1710.1066659411085</v>
      </c>
      <c r="AE152" s="2890">
        <f t="shared" si="652"/>
        <v>644.97134558381958</v>
      </c>
      <c r="AF152" s="2891">
        <f t="shared" si="652"/>
        <v>1490.6948145351873</v>
      </c>
      <c r="AG152" s="2891">
        <f t="shared" si="652"/>
        <v>1304.0102920491504</v>
      </c>
      <c r="AH152" s="2891">
        <f t="shared" si="652"/>
        <v>829.49168126522534</v>
      </c>
      <c r="AI152" s="2891">
        <f t="shared" si="652"/>
        <v>481.46588690199445</v>
      </c>
      <c r="AJ152" s="2890">
        <f t="shared" si="652"/>
        <v>946.74555433986063</v>
      </c>
      <c r="AK152" s="2891">
        <f t="shared" si="652"/>
        <v>-720.46233841595472</v>
      </c>
      <c r="AL152" s="2891">
        <f t="shared" si="652"/>
        <v>-463.83477275165899</v>
      </c>
      <c r="AM152" s="2891">
        <f t="shared" si="652"/>
        <v>-51.224171126172394</v>
      </c>
      <c r="AN152" s="2891">
        <f t="shared" si="652"/>
        <v>-356.60307421778168</v>
      </c>
      <c r="AO152" s="2890">
        <f t="shared" si="652"/>
        <v>-371.69303713986415</v>
      </c>
      <c r="AP152" s="2891">
        <f t="shared" si="652"/>
        <v>-41.092361966586502</v>
      </c>
      <c r="AQ152" s="2891">
        <f t="shared" si="652"/>
        <v>-825.02185010381311</v>
      </c>
      <c r="AR152" s="2891">
        <f t="shared" si="652"/>
        <v>-617.45483123213091</v>
      </c>
      <c r="AS152" s="2891">
        <f t="shared" si="652"/>
        <v>-502.39614286334722</v>
      </c>
      <c r="AT152" s="2890">
        <f t="shared" si="652"/>
        <v>-505.07639644462921</v>
      </c>
      <c r="AU152" s="2891">
        <f t="shared" si="652"/>
        <v>-630.5199354314384</v>
      </c>
      <c r="AV152" s="2891">
        <f t="shared" si="652"/>
        <v>-1.9161782818449824</v>
      </c>
      <c r="AW152" s="2891">
        <f t="shared" si="652"/>
        <v>-305.96268282084674</v>
      </c>
      <c r="AX152" s="2891">
        <f t="shared" si="652"/>
        <v>156.76959837799654</v>
      </c>
      <c r="AY152" s="2890">
        <f t="shared" si="652"/>
        <v>-178.03807814148365</v>
      </c>
      <c r="AZ152" s="2891">
        <f t="shared" si="652"/>
        <v>445.14617606560057</v>
      </c>
      <c r="BA152" s="2891">
        <f t="shared" si="652"/>
        <v>551.58141251578525</v>
      </c>
      <c r="BB152" s="2891">
        <f t="shared" si="652"/>
        <v>656.53535754569998</v>
      </c>
      <c r="BC152" s="2891">
        <f t="shared" si="652"/>
        <v>598.45646640937002</v>
      </c>
      <c r="BD152" s="2890">
        <f t="shared" si="652"/>
        <v>572.4766357515615</v>
      </c>
      <c r="BE152" s="2892">
        <f t="shared" si="652"/>
        <v>288.56729229752909</v>
      </c>
      <c r="BF152" s="2891">
        <f t="shared" si="652"/>
        <v>43.512625276823094</v>
      </c>
      <c r="BG152" s="2891">
        <f t="shared" si="652"/>
        <v>-81.470479539519914</v>
      </c>
      <c r="BH152" s="2891">
        <f t="shared" si="652"/>
        <v>-328.52887544758403</v>
      </c>
      <c r="BI152" s="2890">
        <f t="shared" si="652"/>
        <v>-36.710091063991143</v>
      </c>
      <c r="BJ152" s="2891">
        <f t="shared" si="652"/>
        <v>-635.92079210792076</v>
      </c>
      <c r="BK152" s="2891">
        <f t="shared" si="652"/>
        <v>-482.48910556507371</v>
      </c>
      <c r="BL152" s="2891">
        <f t="shared" si="652"/>
        <v>-575.05810533956924</v>
      </c>
      <c r="BM152" s="2891">
        <f t="shared" si="652"/>
        <v>-369.05205412541943</v>
      </c>
      <c r="BN152" s="2890">
        <f t="shared" si="652"/>
        <v>-510.92645335499566</v>
      </c>
      <c r="BO152" s="2891">
        <v>-73.910139803692317</v>
      </c>
      <c r="BP152" s="2891">
        <v>-647.08175120074429</v>
      </c>
      <c r="BQ152" s="2891">
        <v>-1402.9798881989602</v>
      </c>
      <c r="BR152" s="2893">
        <v>-980.8960342866219</v>
      </c>
      <c r="BS152" s="2894">
        <v>-838.68155981038365</v>
      </c>
      <c r="BT152" s="2891">
        <f>(BT151-BJ151)*10000</f>
        <v>-111.24177169737514</v>
      </c>
      <c r="BU152" s="2891">
        <f>(BU151-BK151)*10000</f>
        <v>-57.620461041135719</v>
      </c>
      <c r="BV152" s="2891">
        <f>(BV151-BL151)*10000</f>
        <v>-345.31664496067037</v>
      </c>
      <c r="BW152" s="2891">
        <f>(BW151-BM151)*10000</f>
        <v>-497.79138363705624</v>
      </c>
      <c r="BX152" s="2890">
        <f>(BX151-BN151)*10000</f>
        <v>-264.08623204279166</v>
      </c>
      <c r="BY152" s="2891">
        <v>-963.16614520714324</v>
      </c>
      <c r="BZ152" s="2891">
        <v>-355.43789780665304</v>
      </c>
      <c r="CA152" s="2891">
        <v>364.92085531369065</v>
      </c>
      <c r="CB152" s="2891">
        <v>-271.55670067847359</v>
      </c>
      <c r="CC152" s="2890">
        <v>-250.80202387558427</v>
      </c>
      <c r="CD152" s="2891">
        <f>(CD151-BT151)*10000</f>
        <v>-413.82226041762118</v>
      </c>
      <c r="CE152" s="2891">
        <f>(CE151-BU151)*10000</f>
        <v>-675.34994106569934</v>
      </c>
      <c r="CF152" s="2891">
        <f>(CF151-BV151)*10000</f>
        <v>-238.36637361272227</v>
      </c>
      <c r="CG152" s="2891">
        <f>(CG151-BW151)*10000</f>
        <v>-241.10191643262613</v>
      </c>
      <c r="CH152" s="2890">
        <f>(CH151-BX151)*10000</f>
        <v>-382.73863594807</v>
      </c>
      <c r="CI152" s="2891">
        <f t="shared" ref="CI152:DB152" si="653">(CI151-CD151)*10000</f>
        <v>-375.85559737634554</v>
      </c>
      <c r="CJ152" s="2891">
        <f t="shared" si="653"/>
        <v>-69.914435955782949</v>
      </c>
      <c r="CK152" s="2891">
        <f t="shared" si="653"/>
        <v>-661.65564436053205</v>
      </c>
      <c r="CL152" s="2891">
        <f t="shared" si="653"/>
        <v>-535.28440224686835</v>
      </c>
      <c r="CM152" s="2890">
        <f t="shared" si="653"/>
        <v>-418.62586858952278</v>
      </c>
      <c r="CN152" s="2891">
        <f t="shared" si="653"/>
        <v>-179.9805042876157</v>
      </c>
      <c r="CO152" s="2891">
        <f t="shared" si="653"/>
        <v>-0.44854229258484146</v>
      </c>
      <c r="CP152" s="2891">
        <f t="shared" si="653"/>
        <v>289.45809721965975</v>
      </c>
      <c r="CQ152" s="2891">
        <f t="shared" si="653"/>
        <v>77.153212754073053</v>
      </c>
      <c r="CR152" s="2890">
        <f t="shared" si="653"/>
        <v>50.44041815236988</v>
      </c>
      <c r="CS152" s="2891">
        <f t="shared" si="653"/>
        <v>47.378686904106516</v>
      </c>
      <c r="CT152" s="2891">
        <f t="shared" si="653"/>
        <v>43.051489410349532</v>
      </c>
      <c r="CU152" s="2891">
        <f t="shared" si="653"/>
        <v>40.689996371759406</v>
      </c>
      <c r="CV152" s="2891">
        <f t="shared" si="653"/>
        <v>14.734729358117926</v>
      </c>
      <c r="CW152" s="2890">
        <f t="shared" si="653"/>
        <v>35.292558151591713</v>
      </c>
      <c r="CX152" s="2891">
        <f t="shared" si="653"/>
        <v>20.58135444324094</v>
      </c>
      <c r="CY152" s="2891">
        <f t="shared" si="653"/>
        <v>-1430.1830053138187</v>
      </c>
      <c r="CZ152" s="2891">
        <f t="shared" si="653"/>
        <v>337.67350931716624</v>
      </c>
      <c r="DA152" s="2891">
        <f t="shared" si="653"/>
        <v>-167.08075496862261</v>
      </c>
      <c r="DB152" s="2890">
        <f t="shared" si="653"/>
        <v>-295.86417886089788</v>
      </c>
      <c r="DC152" s="2891">
        <f t="shared" ref="DC152:DQ152" si="654">(DC151-CX151)*10000</f>
        <v>-193.61003750145323</v>
      </c>
      <c r="DD152" s="2891">
        <f t="shared" si="654"/>
        <v>-814.66306124168818</v>
      </c>
      <c r="DE152" s="2891">
        <f t="shared" si="654"/>
        <v>-318.52728431500998</v>
      </c>
      <c r="DF152" s="2891">
        <f t="shared" si="654"/>
        <v>-380.18896467029606</v>
      </c>
      <c r="DG152" s="2890">
        <f t="shared" si="654"/>
        <v>-431.65653182206501</v>
      </c>
      <c r="DH152" s="2891">
        <f t="shared" si="654"/>
        <v>-829.04553005410776</v>
      </c>
      <c r="DI152" s="2891">
        <f t="shared" si="654"/>
        <v>1734.7762768245507</v>
      </c>
      <c r="DJ152" s="2891">
        <f t="shared" si="654"/>
        <v>-395.70891554410514</v>
      </c>
      <c r="DK152" s="2891">
        <f t="shared" si="654"/>
        <v>-115.90540061247296</v>
      </c>
      <c r="DL152" s="2890">
        <f t="shared" si="654"/>
        <v>97.755323048712711</v>
      </c>
      <c r="DM152" s="2891">
        <f t="shared" si="654"/>
        <v>124.97502978047109</v>
      </c>
      <c r="DN152" s="2891">
        <f t="shared" si="654"/>
        <v>-875.60607673705579</v>
      </c>
      <c r="DO152" s="2891">
        <f t="shared" si="654"/>
        <v>170.09513936933618</v>
      </c>
      <c r="DP152" s="2891">
        <f t="shared" si="654"/>
        <v>904.66873832100202</v>
      </c>
      <c r="DQ152" s="2890">
        <f t="shared" si="654"/>
        <v>155.04969378507261</v>
      </c>
      <c r="DR152" s="2891">
        <f t="shared" ref="DR152:EN152" si="655">(DR151-DM151)*10000</f>
        <v>1237.8764313872118</v>
      </c>
      <c r="DS152" s="2891">
        <f t="shared" si="655"/>
        <v>1780.1804576179495</v>
      </c>
      <c r="DT152" s="2891">
        <f t="shared" si="655"/>
        <v>971.98450368891463</v>
      </c>
      <c r="DU152" s="2891">
        <f t="shared" si="655"/>
        <v>164.91973361435265</v>
      </c>
      <c r="DV152" s="2890">
        <f t="shared" si="655"/>
        <v>958.8083241136502</v>
      </c>
      <c r="DW152" s="2891">
        <f t="shared" si="655"/>
        <v>-17.577963608964019</v>
      </c>
      <c r="DX152" s="2891">
        <f t="shared" si="655"/>
        <v>-415.08784828655774</v>
      </c>
      <c r="DY152" s="2891">
        <f t="shared" si="655"/>
        <v>-930.05365213421953</v>
      </c>
      <c r="DZ152" s="2891">
        <f t="shared" si="655"/>
        <v>-658.73259993325109</v>
      </c>
      <c r="EA152" s="2890">
        <f t="shared" si="655"/>
        <v>-511.67804462675826</v>
      </c>
      <c r="EB152" s="2891">
        <f t="shared" si="655"/>
        <v>-587.69585530190568</v>
      </c>
      <c r="EC152" s="2891">
        <f t="shared" si="655"/>
        <v>133.61829196059105</v>
      </c>
      <c r="ED152" s="2891">
        <f t="shared" si="655"/>
        <v>340.01155348976408</v>
      </c>
      <c r="EE152" s="2891">
        <f t="shared" si="655"/>
        <v>399.58289104223996</v>
      </c>
      <c r="EF152" s="2890">
        <f t="shared" ref="EF152:EK152" si="656">(EF151-EA151)*10000</f>
        <v>86.17088980996779</v>
      </c>
      <c r="EG152" s="2891">
        <f t="shared" si="655"/>
        <v>769.26420564365776</v>
      </c>
      <c r="EH152" s="2891">
        <f t="shared" si="655"/>
        <v>325.00290031198699</v>
      </c>
      <c r="EI152" s="2891">
        <f t="shared" si="655"/>
        <v>493.6174334606269</v>
      </c>
      <c r="EJ152" s="2891">
        <f t="shared" si="655"/>
        <v>518.10595657652118</v>
      </c>
      <c r="EK152" s="2890">
        <f t="shared" si="656"/>
        <v>522.13287524744248</v>
      </c>
      <c r="EL152" s="2891">
        <f t="shared" si="655"/>
        <v>233.07905731780431</v>
      </c>
      <c r="EM152" s="2891">
        <f t="shared" si="655"/>
        <v>-16.996199966513579</v>
      </c>
      <c r="EN152" s="2891">
        <f t="shared" si="655"/>
        <v>-255.66751267673661</v>
      </c>
      <c r="EO152" s="2891">
        <f t="shared" ref="EO152:EP152" si="657">(EO151-EJ151)*10000</f>
        <v>95.388319182562739</v>
      </c>
      <c r="EP152" s="2890">
        <f t="shared" si="657"/>
        <v>9.5719852750869592</v>
      </c>
      <c r="EQ152" s="2891">
        <f t="shared" ref="EQ152" si="658">(EQ151-EL151)*10000</f>
        <v>83.483382579819249</v>
      </c>
      <c r="ER152" s="2891">
        <f t="shared" ref="ER152" si="659">(ER151-EM151)*10000</f>
        <v>198.53743744111196</v>
      </c>
      <c r="ES152" s="2891">
        <f t="shared" ref="ES152" si="660">(ES151-EN151)*10000</f>
        <v>334.86166685720798</v>
      </c>
      <c r="ET152" s="2891">
        <f t="shared" ref="ET152:EU152" si="661">(ET151-EO151)*10000</f>
        <v>-29.999999999999471</v>
      </c>
      <c r="EU152" s="2890">
        <f t="shared" si="661"/>
        <v>143.87082832584107</v>
      </c>
      <c r="EV152" s="2890">
        <f>(EV151-EU151)*10000</f>
        <v>-81.749999201264359</v>
      </c>
      <c r="EW152" s="2890">
        <f>(EW151-EV151)*10000</f>
        <v>40.00000000000059</v>
      </c>
      <c r="EX152" s="2890">
        <f>(EX151-EW151)*10000</f>
        <v>69.999999999999503</v>
      </c>
      <c r="EY152" s="2890">
        <f>(EY151-EX151)*10000</f>
        <v>99.999999999999531</v>
      </c>
      <c r="EZ152" s="226"/>
      <c r="FA152" s="4287"/>
      <c r="FB152" s="4287"/>
      <c r="FC152" s="4287"/>
      <c r="FD152" s="4287"/>
      <c r="FE152" s="4287"/>
      <c r="FF152" s="4287"/>
      <c r="FG152" s="4287"/>
      <c r="FH152" s="4287"/>
      <c r="FI152" s="4287"/>
      <c r="FJ152" s="4287"/>
      <c r="FK152" s="4287"/>
      <c r="FL152" s="4287"/>
    </row>
    <row r="153" spans="1:168" s="259" customFormat="1" ht="11.25" hidden="1" customHeight="1" outlineLevel="1">
      <c r="A153" s="3765" t="s">
        <v>735</v>
      </c>
      <c r="B153" s="209"/>
      <c r="C153" s="209"/>
      <c r="D153" s="209"/>
      <c r="E153" s="209"/>
      <c r="F153" s="1019"/>
      <c r="G153" s="209"/>
      <c r="H153" s="209"/>
      <c r="I153" s="209"/>
      <c r="J153" s="209"/>
      <c r="K153" s="1019"/>
      <c r="L153" s="209"/>
      <c r="M153" s="209"/>
      <c r="N153" s="209"/>
      <c r="O153" s="209"/>
      <c r="P153" s="2890" t="s">
        <v>116</v>
      </c>
      <c r="Q153" s="2891" t="s">
        <v>116</v>
      </c>
      <c r="R153" s="2891">
        <f>(R151-Q151)*10000</f>
        <v>1223.0615878113881</v>
      </c>
      <c r="S153" s="2891">
        <f>(S151-R151)*10000</f>
        <v>772.0096672919841</v>
      </c>
      <c r="T153" s="2891">
        <f>(T151-S151)*10000</f>
        <v>511.42495478737726</v>
      </c>
      <c r="U153" s="2890" t="s">
        <v>116</v>
      </c>
      <c r="V153" s="2891">
        <f>(V151-T151)*10000</f>
        <v>-1357.0271536914629</v>
      </c>
      <c r="W153" s="2891">
        <f>(W151-V151)*10000</f>
        <v>136.06887216260856</v>
      </c>
      <c r="X153" s="2891">
        <f>(X151-W151)*10000</f>
        <v>-2224.4451512708274</v>
      </c>
      <c r="Y153" s="2891">
        <f>(Y151-X151)*10000</f>
        <v>263.90984509254702</v>
      </c>
      <c r="Z153" s="2890" t="s">
        <v>116</v>
      </c>
      <c r="AA153" s="2891">
        <f>(AA151-Y151)*10000</f>
        <v>1159.4651465366746</v>
      </c>
      <c r="AB153" s="2891">
        <f>(AB151-AA151)*10000</f>
        <v>-40.918222017731765</v>
      </c>
      <c r="AC153" s="2891">
        <f>(AC151-AB151)*10000</f>
        <v>177.18706388194505</v>
      </c>
      <c r="AD153" s="2891">
        <f>(AD151-AC151)*10000</f>
        <v>414.37267754022065</v>
      </c>
      <c r="AE153" s="2890" t="s">
        <v>116</v>
      </c>
      <c r="AF153" s="2891">
        <f>(AF151-AD151)*10000</f>
        <v>940.05329513075333</v>
      </c>
      <c r="AG153" s="2891">
        <f>(AG151-AF151)*10000</f>
        <v>-227.60274450376872</v>
      </c>
      <c r="AH153" s="2891">
        <f>(AH151-AG151)*10000</f>
        <v>-297.33154690197995</v>
      </c>
      <c r="AI153" s="2891">
        <f>(AI151-AH151)*10000</f>
        <v>66.346883176989778</v>
      </c>
      <c r="AJ153" s="2890" t="s">
        <v>116</v>
      </c>
      <c r="AK153" s="2891">
        <f>(AK151-AI151)*10000</f>
        <v>-261.8749301871959</v>
      </c>
      <c r="AL153" s="2891">
        <f>(AL151-AK151)*10000</f>
        <v>29.024821160527068</v>
      </c>
      <c r="AM153" s="2891">
        <f>(AM151-AL151)*10000</f>
        <v>115.27905472350663</v>
      </c>
      <c r="AN153" s="2891">
        <f>(AN151-AM151)*10000</f>
        <v>-239.03201991461953</v>
      </c>
      <c r="AO153" s="2890" t="s">
        <v>116</v>
      </c>
      <c r="AP153" s="2891">
        <f>(AP151-AN151)*10000</f>
        <v>53.635782063999329</v>
      </c>
      <c r="AQ153" s="2891">
        <f>(AQ151-AP151)*10000</f>
        <v>-754.90466697669956</v>
      </c>
      <c r="AR153" s="2891">
        <f>(AR151-AQ151)*10000</f>
        <v>322.84607359518878</v>
      </c>
      <c r="AS153" s="2891">
        <f>(AS151-AR151)*10000</f>
        <v>-123.97333154583579</v>
      </c>
      <c r="AT153" s="2890" t="s">
        <v>116</v>
      </c>
      <c r="AU153" s="2891">
        <f>(AU151-AS151)*10000</f>
        <v>-74.488010504091818</v>
      </c>
      <c r="AV153" s="2891">
        <f>(AV151-AU151)*10000</f>
        <v>-126.30090982710618</v>
      </c>
      <c r="AW153" s="2891">
        <f>(AW151-AV151)*10000</f>
        <v>18.799569056187071</v>
      </c>
      <c r="AX153" s="2891">
        <f>(AX151-AW151)*10000</f>
        <v>338.75894965300745</v>
      </c>
      <c r="AY153" s="2890" t="s">
        <v>116</v>
      </c>
      <c r="AZ153" s="2891">
        <f>(AZ151-AX151)*10000</f>
        <v>213.88856718351224</v>
      </c>
      <c r="BA153" s="2891">
        <f>(BA151-AZ151)*10000</f>
        <v>-19.865673376921468</v>
      </c>
      <c r="BB153" s="2891">
        <f>(BB151-BA151)*10000</f>
        <v>123.7535140861018</v>
      </c>
      <c r="BC153" s="2891">
        <f>(BC151-BB151)*10000</f>
        <v>280.68005851667743</v>
      </c>
      <c r="BD153" s="2890" t="s">
        <v>116</v>
      </c>
      <c r="BE153" s="2892">
        <f>(BE151-BD151)*10000</f>
        <v>158.16902469637739</v>
      </c>
      <c r="BF153" s="2891">
        <f>(BF151-BE151)*10000</f>
        <v>-264.92034039762746</v>
      </c>
      <c r="BG153" s="2891">
        <f>(BG151-BF151)*10000</f>
        <v>-1.2295907302412035</v>
      </c>
      <c r="BH153" s="2891">
        <f>(BH151-BG151)*10000</f>
        <v>33.62166260861332</v>
      </c>
      <c r="BI153" s="2890" t="s">
        <v>116</v>
      </c>
      <c r="BJ153" s="2891">
        <f>(BJ151-BI151)*10000</f>
        <v>-441.0416763475522</v>
      </c>
      <c r="BK153" s="2891">
        <f>(BK151-BJ151)*10000</f>
        <v>-111.48865385478047</v>
      </c>
      <c r="BL153" s="2891">
        <f>(BL151-BK151)*10000</f>
        <v>-93.798590504736708</v>
      </c>
      <c r="BM153" s="2891">
        <f>(BM151-BL151)*10000</f>
        <v>239.62771382276316</v>
      </c>
      <c r="BN153" s="2890" t="s">
        <v>116</v>
      </c>
      <c r="BO153" s="2891">
        <v>-44.309034873266654</v>
      </c>
      <c r="BP153" s="2891">
        <v>-672.07408167944016</v>
      </c>
      <c r="BQ153" s="2891">
        <v>-721.12167931195404</v>
      </c>
      <c r="BR153" s="2893">
        <v>523.61981105103814</v>
      </c>
      <c r="BS153" s="2894" t="s">
        <v>116</v>
      </c>
      <c r="BT153" s="2891">
        <f>(BT151-BN151)*10000</f>
        <v>-41.356994689931703</v>
      </c>
      <c r="BU153" s="2891">
        <f>(BU151-BT151)*10000</f>
        <v>-57.867343198541036</v>
      </c>
      <c r="BV153" s="2891">
        <f>(BV151-BU151)*10000</f>
        <v>-381.49477442427138</v>
      </c>
      <c r="BW153" s="2891">
        <f>(BW151-BV151)*10000</f>
        <v>87.152975146377315</v>
      </c>
      <c r="BX153" s="2890" t="s">
        <v>116</v>
      </c>
      <c r="BY153" s="2891">
        <v>-168.79362027002631</v>
      </c>
      <c r="BZ153" s="2891">
        <v>-64.345834278949908</v>
      </c>
      <c r="CA153" s="2891">
        <v>-0.76292619161033581</v>
      </c>
      <c r="CB153" s="2891">
        <v>-112.8577449411261</v>
      </c>
      <c r="CC153" s="2890" t="s">
        <v>116</v>
      </c>
      <c r="CD153" s="2891">
        <f>(CD151-BX151)*10000</f>
        <v>-191.09302306476116</v>
      </c>
      <c r="CE153" s="2891">
        <f>(CE151-CD151)*10000</f>
        <v>-319.39502384661921</v>
      </c>
      <c r="CF153" s="2891">
        <f>(CF151-CE151)*10000</f>
        <v>55.488793028705686</v>
      </c>
      <c r="CG153" s="2891">
        <f>(CG151-CF151)*10000</f>
        <v>84.417432326473474</v>
      </c>
      <c r="CH153" s="2890" t="s">
        <v>116</v>
      </c>
      <c r="CI153" s="2891">
        <f>(CI151-CH151)*10000</f>
        <v>-184.20998449303673</v>
      </c>
      <c r="CJ153" s="2891">
        <f>(CJ151-CI151)*10000</f>
        <v>-13.453862426056617</v>
      </c>
      <c r="CK153" s="2891">
        <f>(CK151-CJ151)*10000</f>
        <v>-536.25241537604336</v>
      </c>
      <c r="CL153" s="2891">
        <f>(CL151-CK151)*10000</f>
        <v>210.78867444013716</v>
      </c>
      <c r="CM153" s="2890" t="s">
        <v>116</v>
      </c>
      <c r="CN153" s="2891">
        <f>(CN151-CM151)*10000</f>
        <v>54.435379808870366</v>
      </c>
      <c r="CO153" s="2891">
        <f>(CO151-CN151)*10000</f>
        <v>166.07809956897424</v>
      </c>
      <c r="CP153" s="2891">
        <f>(CP151-CO151)*10000</f>
        <v>-246.34577586379879</v>
      </c>
      <c r="CQ153" s="2891">
        <f>(CQ151-CP151)*10000</f>
        <v>-1.5162100254495492</v>
      </c>
      <c r="CR153" s="2890" t="s">
        <v>116</v>
      </c>
      <c r="CS153" s="2891">
        <f>(CS151-CR151)*10000</f>
        <v>51.373648560607002</v>
      </c>
      <c r="CT153" s="2891">
        <f>(CT151-CS151)*10000</f>
        <v>161.75090207521725</v>
      </c>
      <c r="CU153" s="2891">
        <f>(CU151-CT151)*10000</f>
        <v>-248.70726890238893</v>
      </c>
      <c r="CV153" s="2891">
        <f>(CV151-CU151)*10000</f>
        <v>-27.471477039091031</v>
      </c>
      <c r="CW153" s="2890"/>
      <c r="CX153" s="2891">
        <f>(CX151-CV151)*10000</f>
        <v>135.00919830950363</v>
      </c>
      <c r="CY153" s="2891">
        <f>(CY151-CX151)*10000</f>
        <v>-1289.0134576818423</v>
      </c>
      <c r="CZ153" s="2891">
        <f>(CZ151-CY151)*10000</f>
        <v>1519.149245728596</v>
      </c>
      <c r="DA153" s="2891">
        <f>(DA151-CZ151)*10000</f>
        <v>-532.22574132487989</v>
      </c>
      <c r="DB153" s="2890"/>
      <c r="DC153" s="2891">
        <f>(DC151-DA151)*10000</f>
        <v>108.47991577667304</v>
      </c>
      <c r="DD153" s="2891">
        <f>(DD151-DC151)*10000</f>
        <v>-1910.0664814220775</v>
      </c>
      <c r="DE153" s="2891">
        <f>(DE151-DD151)*10000</f>
        <v>2015.2850226552744</v>
      </c>
      <c r="DF153" s="2891">
        <f>(DF151-DE151)*10000</f>
        <v>-593.88742168016597</v>
      </c>
      <c r="DG153" s="2890"/>
      <c r="DH153" s="2891">
        <f>(DH151-DF151)*10000</f>
        <v>-340.37664960713863</v>
      </c>
      <c r="DI153" s="2891">
        <f>(DI151-DH151)*10000</f>
        <v>653.75532545658086</v>
      </c>
      <c r="DJ153" s="2891">
        <f>(DJ151-DI151)*10000</f>
        <v>-115.20016971338143</v>
      </c>
      <c r="DK153" s="2891">
        <f>(DK151-DJ151)*10000</f>
        <v>-314.08390674853376</v>
      </c>
      <c r="DL153" s="2890"/>
      <c r="DM153" s="2891">
        <f>(DM151-DK151)*10000</f>
        <v>-99.49621921419461</v>
      </c>
      <c r="DN153" s="2891">
        <f>(DN151-DM151)*10000</f>
        <v>-346.82578106094599</v>
      </c>
      <c r="DO153" s="2891">
        <f>(DO151-DN151)*10000</f>
        <v>930.50104639301048</v>
      </c>
      <c r="DP153" s="2891">
        <f>(DP151-DO151)*10000</f>
        <v>420.48969220313205</v>
      </c>
      <c r="DQ153" s="2890"/>
      <c r="DR153" s="2891">
        <f>(DR151-DP151)*10000</f>
        <v>233.71147385201519</v>
      </c>
      <c r="DS153" s="2891">
        <f>(DS151-DR151)*10000</f>
        <v>195.47824516979173</v>
      </c>
      <c r="DT153" s="2891">
        <f>(DT151-DS151)*10000</f>
        <v>122.3050924639757</v>
      </c>
      <c r="DU153" s="2891">
        <f>(DU151-DT151)*10000</f>
        <v>-386.57507787142998</v>
      </c>
      <c r="DV153" s="2890"/>
      <c r="DW153" s="2891">
        <f>(DW151-DU151)*10000</f>
        <v>51.213776628698525</v>
      </c>
      <c r="DX153" s="2891">
        <f>(DX151-DW151)*10000</f>
        <v>-202.031639507802</v>
      </c>
      <c r="DY153" s="2891">
        <f>(DY151-DX151)*10000</f>
        <v>-392.66071138368608</v>
      </c>
      <c r="DZ153" s="2891">
        <f>(DZ151-DY151)*10000</f>
        <v>-115.2540256704615</v>
      </c>
      <c r="EA153" s="2890"/>
      <c r="EB153" s="2891">
        <f>(EB151-DZ151)*10000</f>
        <v>122.25052126004388</v>
      </c>
      <c r="EC153" s="2891">
        <f>(EC151-EB151)*10000</f>
        <v>519.28250775469473</v>
      </c>
      <c r="ED153" s="2891">
        <f>(ED151-EC151)*10000</f>
        <v>-186.26744985451305</v>
      </c>
      <c r="EE153" s="2891">
        <f>(EE151-ED151)*10000</f>
        <v>-55.682688117985599</v>
      </c>
      <c r="EF153" s="2890"/>
      <c r="EG153" s="2891">
        <f>(EG151-EE151)*10000</f>
        <v>491.93183586146159</v>
      </c>
      <c r="EH153" s="2891">
        <f>(EH151-EG151)*10000</f>
        <v>75.021202423024008</v>
      </c>
      <c r="EI153" s="2891">
        <f>(EI151-EH151)*10000</f>
        <v>-17.6529167058731</v>
      </c>
      <c r="EJ153" s="2891">
        <f>(EJ151-EI151)*10000</f>
        <v>-31.194165002091378</v>
      </c>
      <c r="EK153" s="2890"/>
      <c r="EL153" s="2891">
        <f>(EL151-EJ151)*10000</f>
        <v>206.90493660274478</v>
      </c>
      <c r="EM153" s="2891">
        <f>(EM151-EL151)*10000</f>
        <v>-175.05405486129388</v>
      </c>
      <c r="EN153" s="2891">
        <f>(EN151-EM151)*10000</f>
        <v>-256.3242294160961</v>
      </c>
      <c r="EO153" s="2891">
        <f>(EO151-EN151)*10000</f>
        <v>319.86166685720798</v>
      </c>
      <c r="EP153" s="2890"/>
      <c r="EQ153" s="2891">
        <f>(EQ151-EO151)*10000</f>
        <v>195.00000000000128</v>
      </c>
      <c r="ER153" s="2891">
        <f>(ER151-EQ151)*10000</f>
        <v>-60.000000000001165</v>
      </c>
      <c r="ES153" s="2891">
        <f>(ES151-ER151)*10000</f>
        <v>-120.00000000000011</v>
      </c>
      <c r="ET153" s="2891">
        <f>(ET151-ES151)*10000</f>
        <v>-44.999999999999488</v>
      </c>
      <c r="EU153" s="2890"/>
      <c r="EV153" s="2890"/>
      <c r="EW153" s="2890"/>
      <c r="EX153" s="2890"/>
      <c r="EY153" s="2890"/>
      <c r="EZ153" s="209"/>
      <c r="FA153" s="4287"/>
      <c r="FB153" s="4287"/>
      <c r="FC153" s="4287"/>
      <c r="FD153" s="4287"/>
      <c r="FE153" s="4287"/>
      <c r="FF153" s="4287"/>
      <c r="FG153" s="4287"/>
      <c r="FH153" s="4287"/>
      <c r="FI153" s="4287"/>
      <c r="FJ153" s="4287"/>
      <c r="FK153" s="4287"/>
      <c r="FL153" s="4287"/>
    </row>
    <row r="154" spans="1:168" s="129" customFormat="1" ht="11.25" hidden="1" customHeight="1" outlineLevel="1">
      <c r="A154" s="3770" t="s">
        <v>737</v>
      </c>
      <c r="B154" s="3333"/>
      <c r="C154" s="3333"/>
      <c r="D154" s="3333"/>
      <c r="E154" s="3333"/>
      <c r="F154" s="3401"/>
      <c r="G154" s="3333"/>
      <c r="H154" s="3333"/>
      <c r="I154" s="3333"/>
      <c r="J154" s="3333"/>
      <c r="K154" s="3401"/>
      <c r="L154" s="3333"/>
      <c r="M154" s="3333"/>
      <c r="N154" s="3333"/>
      <c r="O154" s="3333"/>
      <c r="P154" s="3401"/>
      <c r="Q154" s="3333"/>
      <c r="R154" s="3333"/>
      <c r="S154" s="3333"/>
      <c r="T154" s="3333"/>
      <c r="U154" s="3401"/>
      <c r="V154" s="3333"/>
      <c r="W154" s="3333"/>
      <c r="X154" s="3333"/>
      <c r="Y154" s="3333"/>
      <c r="Z154" s="3401"/>
      <c r="AA154" s="3333"/>
      <c r="AB154" s="3333"/>
      <c r="AC154" s="3333"/>
      <c r="AD154" s="3333"/>
      <c r="AE154" s="3401"/>
      <c r="AF154" s="3333"/>
      <c r="AG154" s="3333"/>
      <c r="AH154" s="3333"/>
      <c r="AI154" s="3333"/>
      <c r="AJ154" s="3401"/>
      <c r="AK154" s="3333"/>
      <c r="AL154" s="3333"/>
      <c r="AM154" s="3333"/>
      <c r="AN154" s="3333"/>
      <c r="AO154" s="3401"/>
      <c r="AP154" s="3333"/>
      <c r="AQ154" s="3333"/>
      <c r="AR154" s="3333"/>
      <c r="AS154" s="3333"/>
      <c r="AT154" s="3401"/>
      <c r="AU154" s="3333"/>
      <c r="AV154" s="3333"/>
      <c r="AW154" s="3333"/>
      <c r="AX154" s="3333"/>
      <c r="AY154" s="3401"/>
      <c r="AZ154" s="3333"/>
      <c r="BA154" s="3333"/>
      <c r="BB154" s="3333"/>
      <c r="BC154" s="3333"/>
      <c r="BD154" s="3401"/>
      <c r="BE154" s="3402"/>
      <c r="BF154" s="3333"/>
      <c r="BG154" s="3333"/>
      <c r="BH154" s="3333"/>
      <c r="BI154" s="3401"/>
      <c r="BJ154" s="3333"/>
      <c r="BK154" s="3333"/>
      <c r="BL154" s="3333"/>
      <c r="BM154" s="3333"/>
      <c r="BN154" s="3401"/>
      <c r="BO154" s="3333"/>
      <c r="BP154" s="3333"/>
      <c r="BQ154" s="3333"/>
      <c r="BR154" s="3403"/>
      <c r="BS154" s="3404"/>
      <c r="BT154" s="3333"/>
      <c r="BU154" s="3333"/>
      <c r="BV154" s="3333"/>
      <c r="BW154" s="3333"/>
      <c r="BX154" s="3401"/>
      <c r="BY154" s="3333"/>
      <c r="BZ154" s="3333"/>
      <c r="CA154" s="3333"/>
      <c r="CB154" s="3333"/>
      <c r="CC154" s="3401"/>
      <c r="CD154" s="3333"/>
      <c r="CE154" s="3333"/>
      <c r="CF154" s="3333"/>
      <c r="CG154" s="3333"/>
      <c r="CH154" s="3401"/>
      <c r="CI154" s="3333"/>
      <c r="CJ154" s="3333"/>
      <c r="CK154" s="3333"/>
      <c r="CL154" s="3333"/>
      <c r="CM154" s="3401"/>
      <c r="CN154" s="3333"/>
      <c r="CO154" s="3333"/>
      <c r="CP154" s="3333"/>
      <c r="CQ154" s="3333"/>
      <c r="CR154" s="3401">
        <f t="shared" ref="CR154:DW154" si="662">CR28/CR9</f>
        <v>0.31922962767536195</v>
      </c>
      <c r="CS154" s="3333">
        <f t="shared" si="662"/>
        <v>0.32436699253142265</v>
      </c>
      <c r="CT154" s="3333">
        <f t="shared" si="662"/>
        <v>0.34054208273894437</v>
      </c>
      <c r="CU154" s="3333">
        <f t="shared" si="662"/>
        <v>0.31567135584870548</v>
      </c>
      <c r="CV154" s="3333">
        <f t="shared" si="662"/>
        <v>0.31292420814479638</v>
      </c>
      <c r="CW154" s="3401">
        <f t="shared" si="662"/>
        <v>0.32275888349052112</v>
      </c>
      <c r="CX154" s="3333">
        <f t="shared" si="662"/>
        <v>0.32642512797574674</v>
      </c>
      <c r="CY154" s="3333">
        <f t="shared" si="662"/>
        <v>0.32831397294325732</v>
      </c>
      <c r="CZ154" s="3333">
        <f t="shared" si="662"/>
        <v>0.3494387067804221</v>
      </c>
      <c r="DA154" s="3333">
        <f t="shared" si="662"/>
        <v>0.29621613264793412</v>
      </c>
      <c r="DB154" s="3401">
        <f t="shared" si="662"/>
        <v>0.32385095814224685</v>
      </c>
      <c r="DC154" s="3333">
        <f t="shared" si="662"/>
        <v>0.30706412422560142</v>
      </c>
      <c r="DD154" s="3333">
        <f t="shared" si="662"/>
        <v>0.30933414643442469</v>
      </c>
      <c r="DE154" s="3333">
        <f t="shared" si="662"/>
        <v>0.31758597834892111</v>
      </c>
      <c r="DF154" s="3333">
        <f t="shared" si="662"/>
        <v>0.25819723618090451</v>
      </c>
      <c r="DG154" s="3401">
        <f t="shared" si="662"/>
        <v>0.29606786989181871</v>
      </c>
      <c r="DH154" s="3333">
        <f t="shared" si="662"/>
        <v>0.28172597442247022</v>
      </c>
      <c r="DI154" s="3333">
        <f t="shared" si="662"/>
        <v>0.28953510376584873</v>
      </c>
      <c r="DJ154" s="3333">
        <f t="shared" si="662"/>
        <v>0.27801508679451059</v>
      </c>
      <c r="DK154" s="3333">
        <f t="shared" si="662"/>
        <v>0.24660669611965721</v>
      </c>
      <c r="DL154" s="3401">
        <f t="shared" si="662"/>
        <v>0.27266104061684171</v>
      </c>
      <c r="DM154" s="3333">
        <f t="shared" si="662"/>
        <v>0.23665707419823775</v>
      </c>
      <c r="DN154" s="3333">
        <f t="shared" si="662"/>
        <v>0.20197449609214316</v>
      </c>
      <c r="DO154" s="3333">
        <f t="shared" si="662"/>
        <v>0.29502460073144421</v>
      </c>
      <c r="DP154" s="3333">
        <f t="shared" si="662"/>
        <v>0.33707356995175741</v>
      </c>
      <c r="DQ154" s="3401">
        <f t="shared" si="662"/>
        <v>0.27528731410560336</v>
      </c>
      <c r="DR154" s="3333">
        <f t="shared" si="662"/>
        <v>0.36044471733695893</v>
      </c>
      <c r="DS154" s="3333">
        <f t="shared" si="662"/>
        <v>0.3799925418539381</v>
      </c>
      <c r="DT154" s="3333">
        <f t="shared" si="662"/>
        <v>0.39222305110033567</v>
      </c>
      <c r="DU154" s="3333">
        <f t="shared" si="662"/>
        <v>0.35356554331319268</v>
      </c>
      <c r="DV154" s="3401">
        <f t="shared" si="662"/>
        <v>0.37116814651696839</v>
      </c>
      <c r="DW154" s="3333">
        <f t="shared" si="662"/>
        <v>0.35868692097606253</v>
      </c>
      <c r="DX154" s="3333">
        <f t="shared" ref="DX154:EX154" si="663">DX28/DX9</f>
        <v>0.33848375702528233</v>
      </c>
      <c r="DY154" s="3333">
        <f t="shared" si="663"/>
        <v>0.29921768588691372</v>
      </c>
      <c r="DZ154" s="3333">
        <f t="shared" si="663"/>
        <v>0.28769228331986757</v>
      </c>
      <c r="EA154" s="3401">
        <f t="shared" si="663"/>
        <v>0.32000034205429256</v>
      </c>
      <c r="EB154" s="3333">
        <f t="shared" si="663"/>
        <v>0.29991733544587196</v>
      </c>
      <c r="EC154" s="3333">
        <f t="shared" si="663"/>
        <v>0.35184558622134143</v>
      </c>
      <c r="ED154" s="3333">
        <f t="shared" si="663"/>
        <v>0.33321884123589013</v>
      </c>
      <c r="EE154" s="3333">
        <f t="shared" si="663"/>
        <v>0.32765057242409157</v>
      </c>
      <c r="EF154" s="3401">
        <f t="shared" si="663"/>
        <v>0.32861743103528934</v>
      </c>
      <c r="EG154" s="3333">
        <f t="shared" si="663"/>
        <v>0.37684375601023773</v>
      </c>
      <c r="EH154" s="3333">
        <f t="shared" si="663"/>
        <v>0.38434587625254013</v>
      </c>
      <c r="EI154" s="3333">
        <f t="shared" si="663"/>
        <v>0.38258058458195282</v>
      </c>
      <c r="EJ154" s="3333">
        <f t="shared" si="663"/>
        <v>0.37946116808174368</v>
      </c>
      <c r="EK154" s="3401">
        <f t="shared" si="663"/>
        <v>0.38083071856003359</v>
      </c>
      <c r="EL154" s="3333">
        <f t="shared" si="663"/>
        <v>0.40015166174201816</v>
      </c>
      <c r="EM154" s="3333">
        <f t="shared" si="663"/>
        <v>0.38264625625588877</v>
      </c>
      <c r="EN154" s="3333">
        <f t="shared" ref="EN154" si="664">EN28/EN9</f>
        <v>0.35701383331427916</v>
      </c>
      <c r="EO154" s="3333">
        <f t="shared" si="663"/>
        <v>0.38899999999999996</v>
      </c>
      <c r="EP154" s="3401">
        <f t="shared" si="663"/>
        <v>0.38178791708754234</v>
      </c>
      <c r="EQ154" s="3333">
        <f t="shared" ref="EQ154:EU154" si="665">EQ28/EQ9</f>
        <v>0.40850000000000009</v>
      </c>
      <c r="ER154" s="3333">
        <f t="shared" si="665"/>
        <v>0.40249999999999997</v>
      </c>
      <c r="ES154" s="3333">
        <f t="shared" si="665"/>
        <v>0.39049999999999996</v>
      </c>
      <c r="ET154" s="3333">
        <f t="shared" si="665"/>
        <v>0.38600000000000001</v>
      </c>
      <c r="EU154" s="3401">
        <f t="shared" si="665"/>
        <v>0.39617499992012628</v>
      </c>
      <c r="EV154" s="3401">
        <f t="shared" si="663"/>
        <v>0.38799999999999996</v>
      </c>
      <c r="EW154" s="3401">
        <f t="shared" si="663"/>
        <v>0.39200000000000002</v>
      </c>
      <c r="EX154" s="3401">
        <f t="shared" si="663"/>
        <v>0.39899999999999997</v>
      </c>
      <c r="EY154" s="3401">
        <f t="shared" ref="EY154" si="666">EY28/EY9</f>
        <v>0.40899999999999992</v>
      </c>
      <c r="EZ154" s="127"/>
      <c r="FA154" s="2660"/>
      <c r="FB154" s="2660"/>
      <c r="FC154" s="2660"/>
      <c r="FD154" s="2660"/>
      <c r="FE154" s="2660"/>
      <c r="FF154" s="2660"/>
      <c r="FG154" s="2660"/>
      <c r="FH154" s="2660"/>
      <c r="FI154" s="2660"/>
      <c r="FJ154" s="2660"/>
      <c r="FK154" s="2660"/>
      <c r="FL154" s="2660"/>
    </row>
    <row r="155" spans="1:168" s="259" customFormat="1" ht="11.25" hidden="1" customHeight="1" outlineLevel="1">
      <c r="A155" s="3765" t="s">
        <v>734</v>
      </c>
      <c r="B155" s="209"/>
      <c r="C155" s="209"/>
      <c r="D155" s="209"/>
      <c r="E155" s="209"/>
      <c r="F155" s="1019"/>
      <c r="G155" s="209"/>
      <c r="H155" s="209"/>
      <c r="I155" s="209"/>
      <c r="J155" s="209"/>
      <c r="K155" s="1019"/>
      <c r="L155" s="209"/>
      <c r="M155" s="209"/>
      <c r="N155" s="209"/>
      <c r="O155" s="209"/>
      <c r="P155" s="2890"/>
      <c r="Q155" s="2891"/>
      <c r="R155" s="2891"/>
      <c r="S155" s="2891"/>
      <c r="T155" s="2891"/>
      <c r="U155" s="2890"/>
      <c r="V155" s="2891"/>
      <c r="W155" s="2891"/>
      <c r="X155" s="2891"/>
      <c r="Y155" s="2891"/>
      <c r="Z155" s="2890"/>
      <c r="AA155" s="2891"/>
      <c r="AB155" s="2891"/>
      <c r="AC155" s="2891"/>
      <c r="AD155" s="2891"/>
      <c r="AE155" s="2890"/>
      <c r="AF155" s="2891"/>
      <c r="AG155" s="2891"/>
      <c r="AH155" s="2891"/>
      <c r="AI155" s="2891"/>
      <c r="AJ155" s="2890"/>
      <c r="AK155" s="2891"/>
      <c r="AL155" s="2891"/>
      <c r="AM155" s="2891"/>
      <c r="AN155" s="2891"/>
      <c r="AO155" s="2890"/>
      <c r="AP155" s="2891"/>
      <c r="AQ155" s="2891"/>
      <c r="AR155" s="2891"/>
      <c r="AS155" s="2891"/>
      <c r="AT155" s="2890"/>
      <c r="AU155" s="2891"/>
      <c r="AV155" s="2891"/>
      <c r="AW155" s="2891"/>
      <c r="AX155" s="2891"/>
      <c r="AY155" s="2890"/>
      <c r="AZ155" s="2891"/>
      <c r="BA155" s="2891"/>
      <c r="BB155" s="2891"/>
      <c r="BC155" s="2891"/>
      <c r="BD155" s="2890"/>
      <c r="BE155" s="2892"/>
      <c r="BF155" s="2891"/>
      <c r="BG155" s="2891"/>
      <c r="BH155" s="2891"/>
      <c r="BI155" s="2890"/>
      <c r="BJ155" s="2891"/>
      <c r="BK155" s="2891"/>
      <c r="BL155" s="2891"/>
      <c r="BM155" s="2891"/>
      <c r="BN155" s="2890"/>
      <c r="BO155" s="2891"/>
      <c r="BP155" s="2891"/>
      <c r="BQ155" s="2891"/>
      <c r="BR155" s="2893"/>
      <c r="BS155" s="2894"/>
      <c r="BT155" s="2891"/>
      <c r="BU155" s="2891"/>
      <c r="BV155" s="2891"/>
      <c r="BW155" s="2891"/>
      <c r="BX155" s="2890"/>
      <c r="BY155" s="2891"/>
      <c r="BZ155" s="2891"/>
      <c r="CA155" s="2891"/>
      <c r="CB155" s="2891"/>
      <c r="CC155" s="2890"/>
      <c r="CD155" s="2891"/>
      <c r="CE155" s="2891"/>
      <c r="CF155" s="2891"/>
      <c r="CG155" s="2891"/>
      <c r="CH155" s="2890"/>
      <c r="CI155" s="2891"/>
      <c r="CJ155" s="2891"/>
      <c r="CK155" s="2891"/>
      <c r="CL155" s="2891"/>
      <c r="CM155" s="2890"/>
      <c r="CN155" s="2891"/>
      <c r="CO155" s="2891"/>
      <c r="CP155" s="2891"/>
      <c r="CQ155" s="2891"/>
      <c r="CR155" s="2890"/>
      <c r="CS155" s="2891"/>
      <c r="CT155" s="2891"/>
      <c r="CU155" s="2891"/>
      <c r="CV155" s="2891"/>
      <c r="CW155" s="2890"/>
      <c r="CX155" s="2891">
        <f>(CX154-CS154)*10000</f>
        <v>20.58135444324094</v>
      </c>
      <c r="CY155" s="2891">
        <f>(CY154-CT151)*10000</f>
        <v>-122.28109795687058</v>
      </c>
      <c r="CZ155" s="2891">
        <f t="shared" ref="CZ155:DQ155" si="667">(CZ154-CU154)*10000</f>
        <v>337.67350931716624</v>
      </c>
      <c r="DA155" s="2891">
        <f t="shared" si="667"/>
        <v>-167.08075496862261</v>
      </c>
      <c r="DB155" s="2890">
        <f t="shared" si="667"/>
        <v>10.920746517257275</v>
      </c>
      <c r="DC155" s="2891">
        <f t="shared" si="667"/>
        <v>-193.61003750145323</v>
      </c>
      <c r="DD155" s="2891">
        <f t="shared" si="667"/>
        <v>-189.79826508832619</v>
      </c>
      <c r="DE155" s="2891">
        <f t="shared" si="667"/>
        <v>-318.52728431500998</v>
      </c>
      <c r="DF155" s="2891">
        <f t="shared" si="667"/>
        <v>-380.18896467029606</v>
      </c>
      <c r="DG155" s="2890">
        <f t="shared" si="667"/>
        <v>-277.83088250428136</v>
      </c>
      <c r="DH155" s="2891">
        <f t="shared" si="667"/>
        <v>-253.38149803131205</v>
      </c>
      <c r="DI155" s="2891">
        <f t="shared" si="667"/>
        <v>-197.99042668575962</v>
      </c>
      <c r="DJ155" s="2891">
        <f t="shared" si="667"/>
        <v>-395.70891554410514</v>
      </c>
      <c r="DK155" s="2891">
        <f t="shared" si="667"/>
        <v>-115.90540061247296</v>
      </c>
      <c r="DL155" s="2890">
        <f t="shared" si="667"/>
        <v>-234.06829274977002</v>
      </c>
      <c r="DM155" s="2891">
        <f t="shared" si="667"/>
        <v>-450.68900224232459</v>
      </c>
      <c r="DN155" s="2891">
        <f t="shared" si="667"/>
        <v>-875.60607673705579</v>
      </c>
      <c r="DO155" s="2891">
        <f t="shared" si="667"/>
        <v>170.09513936933618</v>
      </c>
      <c r="DP155" s="2891">
        <f t="shared" si="667"/>
        <v>904.66873832100202</v>
      </c>
      <c r="DQ155" s="2890">
        <f t="shared" si="667"/>
        <v>26.262734887616546</v>
      </c>
      <c r="DR155" s="2891">
        <f t="shared" ref="DR155:EN155" si="668">(DR154-DM154)*10000</f>
        <v>1237.8764313872118</v>
      </c>
      <c r="DS155" s="2891">
        <f t="shared" si="668"/>
        <v>1780.1804576179495</v>
      </c>
      <c r="DT155" s="2891">
        <f t="shared" si="668"/>
        <v>971.98450368891463</v>
      </c>
      <c r="DU155" s="2891">
        <f t="shared" si="668"/>
        <v>164.91973361435265</v>
      </c>
      <c r="DV155" s="2890">
        <f t="shared" si="668"/>
        <v>958.8083241136502</v>
      </c>
      <c r="DW155" s="2891">
        <f t="shared" si="668"/>
        <v>-17.577963608964019</v>
      </c>
      <c r="DX155" s="2891">
        <f t="shared" si="668"/>
        <v>-415.08784828655774</v>
      </c>
      <c r="DY155" s="2891">
        <f t="shared" si="668"/>
        <v>-930.05365213421953</v>
      </c>
      <c r="DZ155" s="2891">
        <f t="shared" si="668"/>
        <v>-658.73259993325109</v>
      </c>
      <c r="EA155" s="2890">
        <f t="shared" si="668"/>
        <v>-511.67804462675826</v>
      </c>
      <c r="EB155" s="2891">
        <f t="shared" si="668"/>
        <v>-587.69585530190568</v>
      </c>
      <c r="EC155" s="2891">
        <f t="shared" si="668"/>
        <v>133.61829196059105</v>
      </c>
      <c r="ED155" s="2891">
        <f t="shared" si="668"/>
        <v>340.01155348976408</v>
      </c>
      <c r="EE155" s="2891">
        <f t="shared" si="668"/>
        <v>399.58289104223996</v>
      </c>
      <c r="EF155" s="2890">
        <f t="shared" ref="EF155:EK155" si="669">(EF154-EA154)*10000</f>
        <v>86.17088980996779</v>
      </c>
      <c r="EG155" s="2891">
        <f t="shared" si="668"/>
        <v>769.26420564365776</v>
      </c>
      <c r="EH155" s="2891">
        <f t="shared" si="668"/>
        <v>325.00290031198699</v>
      </c>
      <c r="EI155" s="2891">
        <f t="shared" si="668"/>
        <v>493.6174334606269</v>
      </c>
      <c r="EJ155" s="2891">
        <f t="shared" si="668"/>
        <v>518.10595657652118</v>
      </c>
      <c r="EK155" s="2890">
        <f t="shared" si="669"/>
        <v>522.13287524744248</v>
      </c>
      <c r="EL155" s="2891">
        <f t="shared" si="668"/>
        <v>233.07905731780431</v>
      </c>
      <c r="EM155" s="2891">
        <f t="shared" si="668"/>
        <v>-16.996199966513579</v>
      </c>
      <c r="EN155" s="2891">
        <f t="shared" si="668"/>
        <v>-255.66751267673661</v>
      </c>
      <c r="EO155" s="2891">
        <f t="shared" ref="EO155:EP155" si="670">(EO154-EJ154)*10000</f>
        <v>95.388319182562739</v>
      </c>
      <c r="EP155" s="2890">
        <f t="shared" si="670"/>
        <v>9.5719852750875134</v>
      </c>
      <c r="EQ155" s="2891">
        <f t="shared" ref="EQ155" si="671">(EQ154-EL154)*10000</f>
        <v>83.483382579819249</v>
      </c>
      <c r="ER155" s="2891">
        <f t="shared" ref="ER155" si="672">(ER154-EM154)*10000</f>
        <v>198.53743744111196</v>
      </c>
      <c r="ES155" s="2891">
        <f t="shared" ref="ES155" si="673">(ES154-EN154)*10000</f>
        <v>334.86166685720798</v>
      </c>
      <c r="ET155" s="2891">
        <f t="shared" ref="ET155:EU155" si="674">(ET154-EO154)*10000</f>
        <v>-29.999999999999471</v>
      </c>
      <c r="EU155" s="2890">
        <f t="shared" si="674"/>
        <v>143.87082832583943</v>
      </c>
      <c r="EV155" s="2890">
        <f>(EV154-EU154)*10000</f>
        <v>-81.74999920126325</v>
      </c>
      <c r="EW155" s="2890">
        <f>(EW154-EV154)*10000</f>
        <v>40.00000000000059</v>
      </c>
      <c r="EX155" s="2890">
        <f>(EX154-EW154)*10000</f>
        <v>69.999999999999503</v>
      </c>
      <c r="EY155" s="2890">
        <f>(EY154-EX154)*10000</f>
        <v>99.999999999999531</v>
      </c>
      <c r="EZ155" s="226"/>
      <c r="FA155" s="4287"/>
      <c r="FB155" s="4287"/>
      <c r="FC155" s="4287"/>
      <c r="FD155" s="4287"/>
      <c r="FE155" s="4287"/>
      <c r="FF155" s="4287"/>
      <c r="FG155" s="4287"/>
      <c r="FH155" s="4287"/>
      <c r="FI155" s="4287"/>
      <c r="FJ155" s="4287"/>
      <c r="FK155" s="4287"/>
      <c r="FL155" s="4287"/>
    </row>
    <row r="156" spans="1:168" s="259" customFormat="1" ht="11.25" hidden="1" customHeight="1" outlineLevel="1">
      <c r="A156" s="3765" t="s">
        <v>735</v>
      </c>
      <c r="B156" s="209"/>
      <c r="C156" s="209"/>
      <c r="D156" s="209"/>
      <c r="E156" s="209"/>
      <c r="F156" s="1019"/>
      <c r="G156" s="209"/>
      <c r="H156" s="209"/>
      <c r="I156" s="209"/>
      <c r="J156" s="209"/>
      <c r="K156" s="1019"/>
      <c r="L156" s="209"/>
      <c r="M156" s="209"/>
      <c r="N156" s="209"/>
      <c r="O156" s="209"/>
      <c r="P156" s="2890"/>
      <c r="Q156" s="2891"/>
      <c r="R156" s="2891"/>
      <c r="S156" s="2891"/>
      <c r="T156" s="2891"/>
      <c r="U156" s="2890"/>
      <c r="V156" s="2891"/>
      <c r="W156" s="2891"/>
      <c r="X156" s="2891"/>
      <c r="Y156" s="2891"/>
      <c r="Z156" s="2890"/>
      <c r="AA156" s="2891"/>
      <c r="AB156" s="2891"/>
      <c r="AC156" s="2891"/>
      <c r="AD156" s="2891"/>
      <c r="AE156" s="2890"/>
      <c r="AF156" s="2891"/>
      <c r="AG156" s="2891"/>
      <c r="AH156" s="2891"/>
      <c r="AI156" s="2891"/>
      <c r="AJ156" s="2890"/>
      <c r="AK156" s="2891"/>
      <c r="AL156" s="2891"/>
      <c r="AM156" s="2891"/>
      <c r="AN156" s="2891"/>
      <c r="AO156" s="2890"/>
      <c r="AP156" s="2891"/>
      <c r="AQ156" s="2891"/>
      <c r="AR156" s="2891"/>
      <c r="AS156" s="2891"/>
      <c r="AT156" s="2890"/>
      <c r="AU156" s="2891"/>
      <c r="AV156" s="2891"/>
      <c r="AW156" s="2891"/>
      <c r="AX156" s="2891"/>
      <c r="AY156" s="2890"/>
      <c r="AZ156" s="2891"/>
      <c r="BA156" s="2891"/>
      <c r="BB156" s="2891"/>
      <c r="BC156" s="2891"/>
      <c r="BD156" s="2890"/>
      <c r="BE156" s="2892"/>
      <c r="BF156" s="2891"/>
      <c r="BG156" s="2891"/>
      <c r="BH156" s="2891"/>
      <c r="BI156" s="2890"/>
      <c r="BJ156" s="2891"/>
      <c r="BK156" s="2891"/>
      <c r="BL156" s="2891"/>
      <c r="BM156" s="2891"/>
      <c r="BN156" s="2890"/>
      <c r="BO156" s="2891"/>
      <c r="BP156" s="2891"/>
      <c r="BQ156" s="2891"/>
      <c r="BR156" s="2893"/>
      <c r="BS156" s="2894"/>
      <c r="BT156" s="2891"/>
      <c r="BU156" s="2891"/>
      <c r="BV156" s="2891"/>
      <c r="BW156" s="2891"/>
      <c r="BX156" s="2890"/>
      <c r="BY156" s="2891"/>
      <c r="BZ156" s="2891"/>
      <c r="CA156" s="2891"/>
      <c r="CB156" s="2891"/>
      <c r="CC156" s="2890"/>
      <c r="CD156" s="2891"/>
      <c r="CE156" s="2891"/>
      <c r="CF156" s="2891"/>
      <c r="CG156" s="2891"/>
      <c r="CH156" s="2890"/>
      <c r="CI156" s="2891"/>
      <c r="CJ156" s="2891"/>
      <c r="CK156" s="2891"/>
      <c r="CL156" s="2891"/>
      <c r="CM156" s="2890"/>
      <c r="CN156" s="2891"/>
      <c r="CO156" s="2891"/>
      <c r="CP156" s="2891"/>
      <c r="CQ156" s="2891"/>
      <c r="CR156" s="2890"/>
      <c r="CS156" s="2891"/>
      <c r="CT156" s="2891"/>
      <c r="CU156" s="2891"/>
      <c r="CV156" s="2891"/>
      <c r="CW156" s="2890"/>
      <c r="CX156" s="2891">
        <f>(CX154-CV154)*10000</f>
        <v>135.00919830950363</v>
      </c>
      <c r="CY156" s="2891">
        <f>(CY154-CX151)*10000</f>
        <v>18.888449675105722</v>
      </c>
      <c r="CZ156" s="2891">
        <f>(CZ154-CY154)*10000</f>
        <v>211.24733837164788</v>
      </c>
      <c r="DA156" s="2891">
        <f>(DA154-CZ154)*10000</f>
        <v>-532.22574132487989</v>
      </c>
      <c r="DB156" s="2890"/>
      <c r="DC156" s="2891">
        <f>(DC154-DA154)*10000</f>
        <v>108.47991577667304</v>
      </c>
      <c r="DD156" s="2891">
        <f>(DD154-DC151)*10000</f>
        <v>22.700222088232746</v>
      </c>
      <c r="DE156" s="2891">
        <f>(DE154-DD154)*10000</f>
        <v>82.518319144964096</v>
      </c>
      <c r="DF156" s="2891">
        <f>(DF154-DE154)*10000</f>
        <v>-593.88742168016597</v>
      </c>
      <c r="DG156" s="2890"/>
      <c r="DH156" s="2891">
        <f>(DH154-DF154)*10000</f>
        <v>235.28738241565705</v>
      </c>
      <c r="DI156" s="2891">
        <f>(DI154-DH151)*10000</f>
        <v>653.75532545658086</v>
      </c>
      <c r="DJ156" s="2891">
        <f>(DJ154-DI154)*10000</f>
        <v>-115.20016971338143</v>
      </c>
      <c r="DK156" s="2891">
        <f>(DK154-DJ154)*10000</f>
        <v>-314.08390674853376</v>
      </c>
      <c r="DL156" s="2890"/>
      <c r="DM156" s="2891">
        <f>(DM154-DK154)*10000</f>
        <v>-99.49621921419461</v>
      </c>
      <c r="DN156" s="2891">
        <f>(DN154-DM151)*10000</f>
        <v>-346.82578106094599</v>
      </c>
      <c r="DO156" s="2891">
        <f>(DO154-DN154)*10000</f>
        <v>930.50104639301048</v>
      </c>
      <c r="DP156" s="2891">
        <f>(DP154-DO154)*10000</f>
        <v>420.48969220313205</v>
      </c>
      <c r="DQ156" s="2890"/>
      <c r="DR156" s="2891">
        <f>(DR154-DP154)*10000</f>
        <v>233.71147385201519</v>
      </c>
      <c r="DS156" s="2891">
        <f>(DS154-DR154)*10000</f>
        <v>195.47824516979173</v>
      </c>
      <c r="DT156" s="2891">
        <f>(DT154-DS154)*10000</f>
        <v>122.3050924639757</v>
      </c>
      <c r="DU156" s="2891">
        <f>(DU154-DT154)*10000</f>
        <v>-386.57507787142998</v>
      </c>
      <c r="DV156" s="2890"/>
      <c r="DW156" s="2891">
        <f>(DW154-DU154)*10000</f>
        <v>51.213776628698525</v>
      </c>
      <c r="DX156" s="2891">
        <f>(DX154-DW154)*10000</f>
        <v>-202.031639507802</v>
      </c>
      <c r="DY156" s="2891">
        <f>(DY154-DX154)*10000</f>
        <v>-392.66071138368608</v>
      </c>
      <c r="DZ156" s="2891">
        <f>(DZ154-DY154)*10000</f>
        <v>-115.2540256704615</v>
      </c>
      <c r="EA156" s="2890"/>
      <c r="EB156" s="2891">
        <f>(EB154-DZ154)*10000</f>
        <v>122.25052126004388</v>
      </c>
      <c r="EC156" s="2891">
        <f>(EC154-EB154)*10000</f>
        <v>519.28250775469473</v>
      </c>
      <c r="ED156" s="2891">
        <f>(ED154-EC154)*10000</f>
        <v>-186.26744985451305</v>
      </c>
      <c r="EE156" s="2891">
        <f>(EE154-ED154)*10000</f>
        <v>-55.682688117985599</v>
      </c>
      <c r="EF156" s="2890"/>
      <c r="EG156" s="2891">
        <f>(EG154-EE154)*10000</f>
        <v>491.93183586146159</v>
      </c>
      <c r="EH156" s="2891">
        <f>(EH154-EG154)*10000</f>
        <v>75.021202423024008</v>
      </c>
      <c r="EI156" s="2891">
        <f>(EI154-EH154)*10000</f>
        <v>-17.6529167058731</v>
      </c>
      <c r="EJ156" s="2891">
        <f>(EJ154-EI154)*10000</f>
        <v>-31.194165002091378</v>
      </c>
      <c r="EK156" s="2890"/>
      <c r="EL156" s="2891">
        <f>(EL154-EJ154)*10000</f>
        <v>206.90493660274478</v>
      </c>
      <c r="EM156" s="2891">
        <f>(EM154-EL154)*10000</f>
        <v>-175.05405486129388</v>
      </c>
      <c r="EN156" s="2891">
        <f>(EN154-EM154)*10000</f>
        <v>-256.3242294160961</v>
      </c>
      <c r="EO156" s="2891">
        <f>(EO154-EN154)*10000</f>
        <v>319.86166685720798</v>
      </c>
      <c r="EP156" s="2890"/>
      <c r="EQ156" s="2891">
        <f>(EQ154-EO154)*10000</f>
        <v>195.00000000000128</v>
      </c>
      <c r="ER156" s="2891">
        <f>(ER154-EQ154)*10000</f>
        <v>-60.000000000001165</v>
      </c>
      <c r="ES156" s="2891">
        <f>(ES154-ER154)*10000</f>
        <v>-120.00000000000011</v>
      </c>
      <c r="ET156" s="2891">
        <f>(ET154-ES154)*10000</f>
        <v>-44.999999999999488</v>
      </c>
      <c r="EU156" s="2890"/>
      <c r="EV156" s="2890"/>
      <c r="EW156" s="2890"/>
      <c r="EX156" s="2890"/>
      <c r="EY156" s="2890"/>
      <c r="EZ156" s="209"/>
      <c r="FA156" s="4287"/>
      <c r="FB156" s="4287"/>
      <c r="FC156" s="4287"/>
      <c r="FD156" s="4287"/>
      <c r="FE156" s="4287"/>
      <c r="FF156" s="4287"/>
      <c r="FG156" s="4287"/>
      <c r="FH156" s="4287"/>
      <c r="FI156" s="4287"/>
      <c r="FJ156" s="4287"/>
      <c r="FK156" s="4287"/>
      <c r="FL156" s="4287"/>
    </row>
    <row r="157" spans="1:168" s="527" customFormat="1" ht="11.25" hidden="1" customHeight="1" outlineLevel="1">
      <c r="A157" s="3770" t="s">
        <v>670</v>
      </c>
      <c r="B157" s="3333"/>
      <c r="C157" s="3333"/>
      <c r="D157" s="3333"/>
      <c r="E157" s="3333"/>
      <c r="F157" s="3401"/>
      <c r="G157" s="3333"/>
      <c r="H157" s="3333"/>
      <c r="I157" s="3333"/>
      <c r="J157" s="3333"/>
      <c r="K157" s="3401">
        <f>K29/K9</f>
        <v>-0.64009838810969211</v>
      </c>
      <c r="L157" s="3333"/>
      <c r="M157" s="3333"/>
      <c r="N157" s="3333"/>
      <c r="O157" s="3333"/>
      <c r="P157" s="3401">
        <f t="shared" ref="P157:AU157" si="675">P29/P9</f>
        <v>-0.29439057690972636</v>
      </c>
      <c r="Q157" s="3333">
        <f t="shared" si="675"/>
        <v>0.44888258247605523</v>
      </c>
      <c r="R157" s="3333">
        <f t="shared" si="675"/>
        <v>0.53982177450600555</v>
      </c>
      <c r="S157" s="3333">
        <f t="shared" si="675"/>
        <v>0.61987287178126871</v>
      </c>
      <c r="T157" s="3333">
        <f t="shared" si="675"/>
        <v>0.66851646861323499</v>
      </c>
      <c r="U157" s="3401">
        <f t="shared" si="675"/>
        <v>0.60317731762741722</v>
      </c>
      <c r="V157" s="3333">
        <f t="shared" si="675"/>
        <v>0.67861524928986428</v>
      </c>
      <c r="W157" s="3333">
        <f t="shared" si="675"/>
        <v>0.64735836749906817</v>
      </c>
      <c r="X157" s="3333">
        <f t="shared" si="675"/>
        <v>0.56038010820307049</v>
      </c>
      <c r="Y157" s="3333">
        <f t="shared" si="675"/>
        <v>0.57941511532389733</v>
      </c>
      <c r="Z157" s="3401">
        <f t="shared" si="675"/>
        <v>0.60871236032322718</v>
      </c>
      <c r="AA157" s="3333">
        <f t="shared" si="675"/>
        <v>0.60899424887223774</v>
      </c>
      <c r="AB157" s="3333">
        <f t="shared" si="675"/>
        <v>0.5806516406807537</v>
      </c>
      <c r="AC157" s="3333">
        <f t="shared" si="675"/>
        <v>0.55685932240793501</v>
      </c>
      <c r="AD157" s="3333">
        <f t="shared" si="675"/>
        <v>0.55419681764717588</v>
      </c>
      <c r="AE157" s="3401">
        <f t="shared" si="675"/>
        <v>0.57122819330412078</v>
      </c>
      <c r="AF157" s="3333">
        <f t="shared" si="675"/>
        <v>0.61868935673309355</v>
      </c>
      <c r="AG157" s="3333">
        <f t="shared" si="675"/>
        <v>0.5875653663605469</v>
      </c>
      <c r="AH157" s="3333">
        <f t="shared" si="675"/>
        <v>0.54881640157851264</v>
      </c>
      <c r="AI157" s="3333">
        <f t="shared" si="675"/>
        <v>0.55636390130775282</v>
      </c>
      <c r="AJ157" s="3401">
        <f t="shared" si="675"/>
        <v>0.5736098705195174</v>
      </c>
      <c r="AK157" s="3333">
        <f t="shared" si="675"/>
        <v>0.21606916700576564</v>
      </c>
      <c r="AL157" s="3333">
        <f t="shared" si="675"/>
        <v>0.21589423712258324</v>
      </c>
      <c r="AM157" s="3333">
        <f t="shared" si="675"/>
        <v>0.23342517655728956</v>
      </c>
      <c r="AN157" s="3333">
        <f t="shared" si="675"/>
        <v>0.2046679641953828</v>
      </c>
      <c r="AO157" s="3401">
        <f t="shared" si="675"/>
        <v>0.21697966321918163</v>
      </c>
      <c r="AP157" s="3333">
        <f t="shared" si="675"/>
        <v>0.21509063431614536</v>
      </c>
      <c r="AQ157" s="3333">
        <f t="shared" si="675"/>
        <v>9.7303228402186193E-2</v>
      </c>
      <c r="AR157" s="3333">
        <f t="shared" si="675"/>
        <v>0.14148183312177706</v>
      </c>
      <c r="AS157" s="3333">
        <f t="shared" si="675"/>
        <v>0.12799535853953428</v>
      </c>
      <c r="AT157" s="3401">
        <f t="shared" si="675"/>
        <v>0.14327132675540638</v>
      </c>
      <c r="AU157" s="3333">
        <f t="shared" si="675"/>
        <v>0.12722010325816499</v>
      </c>
      <c r="AV157" s="3333">
        <f t="shared" ref="AV157:BN157" si="676">AV29/AV9</f>
        <v>0.11663959404422854</v>
      </c>
      <c r="AW157" s="3333">
        <f t="shared" si="676"/>
        <v>0.11874691839349891</v>
      </c>
      <c r="AX157" s="3333">
        <f t="shared" si="676"/>
        <v>0.15853195312318474</v>
      </c>
      <c r="AY157" s="3401">
        <f t="shared" si="676"/>
        <v>0.1307884579025084</v>
      </c>
      <c r="AZ157" s="3333">
        <f t="shared" si="676"/>
        <v>0.21063016967711995</v>
      </c>
      <c r="BA157" s="3333">
        <f t="shared" si="676"/>
        <v>0.18449147729855658</v>
      </c>
      <c r="BB157" s="3333">
        <f t="shared" si="676"/>
        <v>0.20020475940200222</v>
      </c>
      <c r="BC157" s="3333">
        <f t="shared" si="676"/>
        <v>0.24352954881939801</v>
      </c>
      <c r="BD157" s="3401">
        <f t="shared" si="676"/>
        <v>0.21125106950934028</v>
      </c>
      <c r="BE157" s="3402">
        <f t="shared" si="676"/>
        <v>0.54877567140600314</v>
      </c>
      <c r="BF157" s="3333">
        <f t="shared" si="676"/>
        <v>0.52555031446540879</v>
      </c>
      <c r="BG157" s="3333">
        <f t="shared" si="676"/>
        <v>0.5340266374749133</v>
      </c>
      <c r="BH157" s="3333">
        <f t="shared" si="676"/>
        <v>0.53021503688588922</v>
      </c>
      <c r="BI157" s="3401">
        <f t="shared" si="676"/>
        <v>0.53435738956553358</v>
      </c>
      <c r="BJ157" s="3333">
        <f t="shared" si="676"/>
        <v>0.49380449747590638</v>
      </c>
      <c r="BK157" s="3333">
        <f t="shared" si="676"/>
        <v>0.47946790052053212</v>
      </c>
      <c r="BL157" s="3333">
        <f t="shared" si="676"/>
        <v>0.48322237017310254</v>
      </c>
      <c r="BM157" s="3333">
        <f t="shared" si="676"/>
        <v>0.49704942217850995</v>
      </c>
      <c r="BN157" s="3401">
        <f t="shared" si="676"/>
        <v>0.48857270508987183</v>
      </c>
      <c r="BO157" s="3333">
        <v>0.48494161032575289</v>
      </c>
      <c r="BP157" s="3333">
        <v>0.41085916371957559</v>
      </c>
      <c r="BQ157" s="3333">
        <v>0.33536316300414792</v>
      </c>
      <c r="BR157" s="3403">
        <v>0.37675280007055295</v>
      </c>
      <c r="BS157" s="3404">
        <v>0.39503698755535765</v>
      </c>
      <c r="BT157" s="3333">
        <f>BT29/BT9</f>
        <v>0.48494161032575289</v>
      </c>
      <c r="BU157" s="3333">
        <f>BU29/BU9</f>
        <v>0.47680535628885701</v>
      </c>
      <c r="BV157" s="3333">
        <f>BV29/BV9</f>
        <v>0.45123343992690729</v>
      </c>
      <c r="BW157" s="3333">
        <f>BW29/BW9</f>
        <v>0.45027989821882952</v>
      </c>
      <c r="BX157" s="3401" t="e">
        <f>BX29/BX9</f>
        <v>#REF!</v>
      </c>
      <c r="BY157" s="3333">
        <v>0.36976469519396749</v>
      </c>
      <c r="BZ157" s="3333">
        <v>0.35971871619184997</v>
      </c>
      <c r="CA157" s="3333">
        <v>0.3642311886586696</v>
      </c>
      <c r="CB157" s="3333">
        <v>0.35717449069973428</v>
      </c>
      <c r="CC157" s="3401">
        <v>0.36244954591321898</v>
      </c>
      <c r="CD157" s="3333">
        <f t="shared" ref="CD157:DI157" si="677">CD29/CD9</f>
        <v>0.44078486334968464</v>
      </c>
      <c r="CE157" s="3333">
        <f t="shared" si="677"/>
        <v>0.42520309094511594</v>
      </c>
      <c r="CF157" s="3333">
        <f t="shared" si="677"/>
        <v>0.42932665553700611</v>
      </c>
      <c r="CG157" s="3333">
        <f t="shared" si="677"/>
        <v>0.4276841171251109</v>
      </c>
      <c r="CH157" s="3401">
        <f t="shared" si="677"/>
        <v>0.43054945562978203</v>
      </c>
      <c r="CI157" s="3333">
        <f t="shared" si="677"/>
        <v>0.40646537577945518</v>
      </c>
      <c r="CJ157" s="3333">
        <f t="shared" si="677"/>
        <v>0.40578107723898277</v>
      </c>
      <c r="CK157" s="3333">
        <f t="shared" si="677"/>
        <v>0.40660341555977231</v>
      </c>
      <c r="CL157" s="3333">
        <f t="shared" si="677"/>
        <v>0.38666022232962782</v>
      </c>
      <c r="CM157" s="3401">
        <f t="shared" si="677"/>
        <v>0.40090278835898219</v>
      </c>
      <c r="CN157" s="3333">
        <f t="shared" si="677"/>
        <v>0.40609501904693451</v>
      </c>
      <c r="CO157" s="3333">
        <f t="shared" si="677"/>
        <v>0.41512195121951218</v>
      </c>
      <c r="CP157" s="3333">
        <f t="shared" si="677"/>
        <v>0.40638030313058443</v>
      </c>
      <c r="CQ157" s="3333">
        <f t="shared" si="677"/>
        <v>0.39458145189301841</v>
      </c>
      <c r="CR157" s="3401">
        <f t="shared" si="677"/>
        <v>0.40502259011311548</v>
      </c>
      <c r="CS157" s="3333">
        <f t="shared" si="677"/>
        <v>0.41508288299228852</v>
      </c>
      <c r="CT157" s="3333">
        <f t="shared" si="677"/>
        <v>0.42630527817403707</v>
      </c>
      <c r="CU157" s="3333">
        <f t="shared" si="677"/>
        <v>0.4174831682084405</v>
      </c>
      <c r="CV157" s="3333">
        <f t="shared" si="677"/>
        <v>0.39993401206636503</v>
      </c>
      <c r="CW157" s="3401">
        <f t="shared" si="677"/>
        <v>0.41398222621429254</v>
      </c>
      <c r="CX157" s="3333">
        <f t="shared" si="677"/>
        <v>0.42627106008647681</v>
      </c>
      <c r="CY157" s="3333">
        <f t="shared" si="677"/>
        <v>0.42406424781299296</v>
      </c>
      <c r="CZ157" s="3333">
        <f t="shared" si="677"/>
        <v>0.43116299955096543</v>
      </c>
      <c r="DA157" s="3333">
        <f t="shared" si="677"/>
        <v>0.3676032930081552</v>
      </c>
      <c r="DB157" s="3401">
        <f t="shared" si="677"/>
        <v>0.40995481201574291</v>
      </c>
      <c r="DC157" s="3333">
        <f t="shared" si="677"/>
        <v>0.40590554348700619</v>
      </c>
      <c r="DD157" s="3333">
        <f t="shared" si="677"/>
        <v>0.40130350268704501</v>
      </c>
      <c r="DE157" s="3333">
        <f t="shared" si="677"/>
        <v>0.39969806318580159</v>
      </c>
      <c r="DF157" s="3333">
        <f t="shared" si="677"/>
        <v>0.32895728643216082</v>
      </c>
      <c r="DG157" s="3401">
        <f t="shared" si="677"/>
        <v>0.38102331665046824</v>
      </c>
      <c r="DH157" s="3333">
        <f t="shared" si="677"/>
        <v>0.37565724753214152</v>
      </c>
      <c r="DI157" s="3333">
        <f t="shared" si="677"/>
        <v>0.37645871443890744</v>
      </c>
      <c r="DJ157" s="3333">
        <f t="shared" ref="DJ157:EX157" si="678">DJ29/DJ9</f>
        <v>0.35750855827198641</v>
      </c>
      <c r="DK157" s="3333">
        <f t="shared" si="678"/>
        <v>0.31700111779421941</v>
      </c>
      <c r="DL157" s="3401">
        <f t="shared" si="678"/>
        <v>0.35457774269928966</v>
      </c>
      <c r="DM157" s="3333">
        <f t="shared" si="678"/>
        <v>0.33132583736315901</v>
      </c>
      <c r="DN157" s="3333">
        <f t="shared" si="678"/>
        <v>0.30898965288105562</v>
      </c>
      <c r="DO157" s="3333">
        <f t="shared" si="678"/>
        <v>0.37908806272528744</v>
      </c>
      <c r="DP157" s="3333">
        <f t="shared" si="678"/>
        <v>0.40648690558235701</v>
      </c>
      <c r="DQ157" s="3401">
        <f t="shared" si="678"/>
        <v>0.36203914550347582</v>
      </c>
      <c r="DR157" s="3333">
        <f t="shared" si="678"/>
        <v>0.44256830840752598</v>
      </c>
      <c r="DS157" s="3333">
        <f t="shared" si="678"/>
        <v>0.45463288257345291</v>
      </c>
      <c r="DT157" s="3333">
        <f t="shared" si="678"/>
        <v>0.46447221186124582</v>
      </c>
      <c r="DU157" s="3333">
        <f t="shared" si="678"/>
        <v>0.41744482858896897</v>
      </c>
      <c r="DV157" s="3401">
        <f t="shared" si="678"/>
        <v>0.44367216639710283</v>
      </c>
      <c r="DW157" s="3333">
        <f t="shared" si="678"/>
        <v>0.43908534299637636</v>
      </c>
      <c r="DX157" s="3333">
        <f t="shared" si="678"/>
        <v>0.421690939778323</v>
      </c>
      <c r="DY157" s="3333">
        <f t="shared" si="678"/>
        <v>0.38611043201899908</v>
      </c>
      <c r="DZ157" s="3333">
        <f t="shared" si="678"/>
        <v>0.36848692235793612</v>
      </c>
      <c r="EA157" s="3401">
        <f t="shared" si="678"/>
        <v>0.402786032212963</v>
      </c>
      <c r="EB157" s="3333">
        <f t="shared" si="678"/>
        <v>0.39091723211517926</v>
      </c>
      <c r="EC157" s="3333">
        <f t="shared" si="678"/>
        <v>0.4448740876794432</v>
      </c>
      <c r="ED157" s="3333">
        <f t="shared" si="678"/>
        <v>0.42288176609264494</v>
      </c>
      <c r="EE157" s="3333">
        <f t="shared" si="678"/>
        <v>0.40589569160997735</v>
      </c>
      <c r="EF157" s="3401">
        <f t="shared" si="678"/>
        <v>0.41617805292622451</v>
      </c>
      <c r="EG157" s="3333">
        <f t="shared" si="678"/>
        <v>0.45472164277366001</v>
      </c>
      <c r="EH157" s="3333">
        <f t="shared" si="678"/>
        <v>0.46654053675285545</v>
      </c>
      <c r="EI157" s="3333">
        <f t="shared" si="678"/>
        <v>0.46099880615434147</v>
      </c>
      <c r="EJ157" s="3333">
        <f t="shared" si="678"/>
        <v>0.45064382940664782</v>
      </c>
      <c r="EK157" s="3401">
        <f t="shared" si="678"/>
        <v>0.45803712413339748</v>
      </c>
      <c r="EL157" s="3333">
        <f t="shared" si="678"/>
        <v>0.47226943492926809</v>
      </c>
      <c r="EM157" s="3333">
        <f t="shared" si="678"/>
        <v>0.4560405271465805</v>
      </c>
      <c r="EN157" s="3333">
        <f t="shared" ref="EN157" si="679">EN29/EN9</f>
        <v>0.46933805876300444</v>
      </c>
      <c r="EO157" s="3333">
        <f t="shared" si="678"/>
        <v>0.45700000000000002</v>
      </c>
      <c r="EP157" s="3401">
        <f t="shared" si="678"/>
        <v>0.46334739897188826</v>
      </c>
      <c r="EQ157" s="3333">
        <f t="shared" ref="EQ157:EU157" si="680">EQ29/EQ9</f>
        <v>0.47950000000000004</v>
      </c>
      <c r="ER157" s="3333">
        <f t="shared" si="680"/>
        <v>0.4758942708906917</v>
      </c>
      <c r="ES157" s="3333">
        <f t="shared" si="680"/>
        <v>0.46330210357836971</v>
      </c>
      <c r="ET157" s="3333">
        <f t="shared" si="680"/>
        <v>0.45200000000000001</v>
      </c>
      <c r="EU157" s="3401">
        <f t="shared" si="680"/>
        <v>0.46680824046275127</v>
      </c>
      <c r="EV157" s="3401">
        <f t="shared" si="678"/>
        <v>0.45499999999999996</v>
      </c>
      <c r="EW157" s="3401">
        <f t="shared" si="678"/>
        <v>0.45619999999999999</v>
      </c>
      <c r="EX157" s="3401">
        <f t="shared" si="678"/>
        <v>0.46099999999999997</v>
      </c>
      <c r="EY157" s="3401">
        <f t="shared" ref="EY157" si="681">EY29/EY9</f>
        <v>0.46909999999999996</v>
      </c>
      <c r="EZ157" s="709"/>
      <c r="FA157" s="1143"/>
      <c r="FB157" s="1143"/>
      <c r="FC157" s="1143"/>
      <c r="FD157" s="1143"/>
      <c r="FE157" s="1143"/>
      <c r="FF157" s="1143"/>
      <c r="FG157" s="1143"/>
      <c r="FH157" s="1143"/>
      <c r="FI157" s="1143"/>
      <c r="FJ157" s="1143"/>
      <c r="FK157" s="1143"/>
      <c r="FL157" s="1143"/>
    </row>
    <row r="158" spans="1:168" s="311" customFormat="1" ht="11.25" hidden="1" customHeight="1" outlineLevel="1">
      <c r="A158" s="3765" t="s">
        <v>734</v>
      </c>
      <c r="B158" s="209"/>
      <c r="C158" s="209"/>
      <c r="D158" s="209"/>
      <c r="E158" s="209"/>
      <c r="F158" s="1019"/>
      <c r="G158" s="209"/>
      <c r="H158" s="209"/>
      <c r="I158" s="209"/>
      <c r="J158" s="209"/>
      <c r="K158" s="1019"/>
      <c r="L158" s="209"/>
      <c r="M158" s="209"/>
      <c r="N158" s="209"/>
      <c r="O158" s="209"/>
      <c r="P158" s="2890" t="s">
        <v>116</v>
      </c>
      <c r="Q158" s="2891" t="s">
        <v>116</v>
      </c>
      <c r="R158" s="2891" t="s">
        <v>116</v>
      </c>
      <c r="S158" s="2891" t="s">
        <v>116</v>
      </c>
      <c r="T158" s="2891" t="s">
        <v>116</v>
      </c>
      <c r="U158" s="2890">
        <f t="shared" ref="U158:BN158" si="682">(U157-P157)*10000</f>
        <v>8975.6789453714355</v>
      </c>
      <c r="V158" s="2891">
        <f t="shared" si="682"/>
        <v>2297.3266681380906</v>
      </c>
      <c r="W158" s="2891">
        <f t="shared" si="682"/>
        <v>1075.3659299306262</v>
      </c>
      <c r="X158" s="2891">
        <f t="shared" si="682"/>
        <v>-594.92763578198219</v>
      </c>
      <c r="Y158" s="2891">
        <f t="shared" si="682"/>
        <v>-891.01353289337658</v>
      </c>
      <c r="Z158" s="2890">
        <f t="shared" si="682"/>
        <v>55.350426958099554</v>
      </c>
      <c r="AA158" s="2891">
        <f t="shared" si="682"/>
        <v>-696.21000417626533</v>
      </c>
      <c r="AB158" s="2891">
        <f t="shared" si="682"/>
        <v>-667.06726818314462</v>
      </c>
      <c r="AC158" s="2891">
        <f t="shared" si="682"/>
        <v>-35.207857951354839</v>
      </c>
      <c r="AD158" s="2891">
        <f t="shared" si="682"/>
        <v>-252.18297676721457</v>
      </c>
      <c r="AE158" s="2890">
        <f t="shared" si="682"/>
        <v>-374.84167019106394</v>
      </c>
      <c r="AF158" s="2891">
        <f t="shared" si="682"/>
        <v>96.95107860855812</v>
      </c>
      <c r="AG158" s="2891">
        <f t="shared" si="682"/>
        <v>69.137256797932039</v>
      </c>
      <c r="AH158" s="2891">
        <f t="shared" si="682"/>
        <v>-80.429208294223727</v>
      </c>
      <c r="AI158" s="2891">
        <f t="shared" si="682"/>
        <v>21.670836605769406</v>
      </c>
      <c r="AJ158" s="2890">
        <f t="shared" si="682"/>
        <v>23.816772153966159</v>
      </c>
      <c r="AK158" s="2891">
        <f t="shared" si="682"/>
        <v>-4026.2018972732794</v>
      </c>
      <c r="AL158" s="2891">
        <f t="shared" si="682"/>
        <v>-3716.7112923796362</v>
      </c>
      <c r="AM158" s="2891">
        <f t="shared" si="682"/>
        <v>-3153.9122502122309</v>
      </c>
      <c r="AN158" s="2891">
        <f t="shared" si="682"/>
        <v>-3516.9593711237003</v>
      </c>
      <c r="AO158" s="2890">
        <f t="shared" si="682"/>
        <v>-3566.3020730033577</v>
      </c>
      <c r="AP158" s="2891">
        <f t="shared" si="682"/>
        <v>-9.7853268962028181</v>
      </c>
      <c r="AQ158" s="2891">
        <f t="shared" si="682"/>
        <v>-1185.9100872039705</v>
      </c>
      <c r="AR158" s="2891">
        <f t="shared" si="682"/>
        <v>-919.43343435512497</v>
      </c>
      <c r="AS158" s="2891">
        <f t="shared" si="682"/>
        <v>-766.7260565584852</v>
      </c>
      <c r="AT158" s="2890">
        <f t="shared" si="682"/>
        <v>-737.08336463775254</v>
      </c>
      <c r="AU158" s="2891">
        <f t="shared" si="682"/>
        <v>-878.70531057980372</v>
      </c>
      <c r="AV158" s="2891">
        <f t="shared" si="682"/>
        <v>193.36365642042344</v>
      </c>
      <c r="AW158" s="2891">
        <f t="shared" si="682"/>
        <v>-227.34914728278156</v>
      </c>
      <c r="AX158" s="2891">
        <f t="shared" si="682"/>
        <v>305.36594583650464</v>
      </c>
      <c r="AY158" s="2890">
        <f t="shared" si="682"/>
        <v>-124.82868852897982</v>
      </c>
      <c r="AZ158" s="2891">
        <f t="shared" si="682"/>
        <v>834.10066418954955</v>
      </c>
      <c r="BA158" s="2891">
        <f t="shared" si="682"/>
        <v>678.5188325432805</v>
      </c>
      <c r="BB158" s="2891">
        <f t="shared" si="682"/>
        <v>814.57841008503317</v>
      </c>
      <c r="BC158" s="2891">
        <f t="shared" si="682"/>
        <v>849.97595696213261</v>
      </c>
      <c r="BD158" s="2890">
        <f t="shared" si="682"/>
        <v>804.62611606831877</v>
      </c>
      <c r="BE158" s="2892">
        <f t="shared" si="682"/>
        <v>3381.4550172888321</v>
      </c>
      <c r="BF158" s="2891">
        <f t="shared" si="682"/>
        <v>3410.5883716685221</v>
      </c>
      <c r="BG158" s="2891">
        <f t="shared" si="682"/>
        <v>3338.2187807291107</v>
      </c>
      <c r="BH158" s="2891">
        <f t="shared" si="682"/>
        <v>2866.8548806649119</v>
      </c>
      <c r="BI158" s="2890">
        <f t="shared" si="682"/>
        <v>3231.0632005619332</v>
      </c>
      <c r="BJ158" s="2891">
        <f t="shared" si="682"/>
        <v>-549.71173930096757</v>
      </c>
      <c r="BK158" s="2891">
        <f t="shared" si="682"/>
        <v>-460.82413944876663</v>
      </c>
      <c r="BL158" s="2891">
        <f t="shared" si="682"/>
        <v>-508.04267301810756</v>
      </c>
      <c r="BM158" s="2891">
        <f t="shared" si="682"/>
        <v>-331.65614707379274</v>
      </c>
      <c r="BN158" s="2890">
        <f t="shared" si="682"/>
        <v>-457.84684475661754</v>
      </c>
      <c r="BO158" s="2891">
        <v>-73.910139803692317</v>
      </c>
      <c r="BP158" s="2891">
        <v>-647.08175120074429</v>
      </c>
      <c r="BQ158" s="2891">
        <v>-1402.9798881989602</v>
      </c>
      <c r="BR158" s="2893">
        <v>-980.8960342866219</v>
      </c>
      <c r="BS158" s="2894">
        <v>-838.68155981038365</v>
      </c>
      <c r="BT158" s="2891">
        <f>(BT157-BJ157)*10000</f>
        <v>-88.62887150153486</v>
      </c>
      <c r="BU158" s="2891">
        <f>(BU157-BK157)*10000</f>
        <v>-26.625442316751126</v>
      </c>
      <c r="BV158" s="2891">
        <f>(BV157-BL157)*10000</f>
        <v>-319.88930246195258</v>
      </c>
      <c r="BW158" s="2891">
        <f>(BW157-BM157)*10000</f>
        <v>-467.69523959680424</v>
      </c>
      <c r="BX158" s="2890" t="e">
        <f>(BX157-BN157)*10000</f>
        <v>#REF!</v>
      </c>
      <c r="BY158" s="2891">
        <v>-963.16614520714324</v>
      </c>
      <c r="BZ158" s="2891">
        <v>-355.43789780665304</v>
      </c>
      <c r="CA158" s="2891">
        <v>364.92085531369065</v>
      </c>
      <c r="CB158" s="2891">
        <v>-271.55670067847359</v>
      </c>
      <c r="CC158" s="2890">
        <v>-250.80202387558427</v>
      </c>
      <c r="CD158" s="2891">
        <f>(CD157-BT157)*10000</f>
        <v>-441.56746976068251</v>
      </c>
      <c r="CE158" s="2891">
        <f>(CE157-BU157)*10000</f>
        <v>-516.02265343741067</v>
      </c>
      <c r="CF158" s="2891">
        <f>(CF157-BV157)*10000</f>
        <v>-219.06784389901179</v>
      </c>
      <c r="CG158" s="2891">
        <f>(CG157-BW157)*10000</f>
        <v>-225.95781093718625</v>
      </c>
      <c r="CH158" s="2890" t="e">
        <f>(CH157-BX157)*10000</f>
        <v>#REF!</v>
      </c>
      <c r="CI158" s="2891">
        <f t="shared" ref="CI158:DB158" si="683">(CI157-CD157)*10000</f>
        <v>-343.19487570229455</v>
      </c>
      <c r="CJ158" s="2891">
        <f t="shared" si="683"/>
        <v>-194.22013706133168</v>
      </c>
      <c r="CK158" s="2891">
        <f t="shared" si="683"/>
        <v>-227.232399772338</v>
      </c>
      <c r="CL158" s="2891">
        <f t="shared" si="683"/>
        <v>-410.23894795483073</v>
      </c>
      <c r="CM158" s="2890">
        <f t="shared" si="683"/>
        <v>-296.46667270799844</v>
      </c>
      <c r="CN158" s="2891">
        <f t="shared" si="683"/>
        <v>-3.7035673252067136</v>
      </c>
      <c r="CO158" s="2891">
        <f t="shared" si="683"/>
        <v>93.408739805294076</v>
      </c>
      <c r="CP158" s="2891">
        <f t="shared" si="683"/>
        <v>-2.2311242918787721</v>
      </c>
      <c r="CQ158" s="2891">
        <f t="shared" si="683"/>
        <v>79.212295633905853</v>
      </c>
      <c r="CR158" s="2890">
        <f t="shared" si="683"/>
        <v>41.198017541332902</v>
      </c>
      <c r="CS158" s="2891">
        <f t="shared" si="683"/>
        <v>89.878639453540018</v>
      </c>
      <c r="CT158" s="2891">
        <f t="shared" si="683"/>
        <v>111.83326954524897</v>
      </c>
      <c r="CU158" s="2891">
        <f t="shared" si="683"/>
        <v>111.02865077856072</v>
      </c>
      <c r="CV158" s="2891">
        <f t="shared" si="683"/>
        <v>53.52560173346621</v>
      </c>
      <c r="CW158" s="2890">
        <f t="shared" si="683"/>
        <v>89.596361011770597</v>
      </c>
      <c r="CX158" s="2891">
        <f t="shared" si="683"/>
        <v>111.88177094188289</v>
      </c>
      <c r="CY158" s="2891">
        <f t="shared" si="683"/>
        <v>-22.410303610441161</v>
      </c>
      <c r="CZ158" s="2891">
        <f t="shared" si="683"/>
        <v>136.79831342524929</v>
      </c>
      <c r="DA158" s="2891">
        <f t="shared" si="683"/>
        <v>-323.30719058209831</v>
      </c>
      <c r="DB158" s="2890">
        <f t="shared" si="683"/>
        <v>-40.274141985496279</v>
      </c>
      <c r="DC158" s="2891">
        <f t="shared" ref="DC158:DQ158" si="684">(DC157-CX157)*10000</f>
        <v>-203.65516599470612</v>
      </c>
      <c r="DD158" s="2891">
        <f t="shared" si="684"/>
        <v>-227.60745125947946</v>
      </c>
      <c r="DE158" s="2891">
        <f t="shared" si="684"/>
        <v>-314.64936365163845</v>
      </c>
      <c r="DF158" s="2891">
        <f t="shared" si="684"/>
        <v>-386.46006575994375</v>
      </c>
      <c r="DG158" s="2890">
        <f t="shared" si="684"/>
        <v>-289.31495365274674</v>
      </c>
      <c r="DH158" s="2891">
        <f t="shared" si="684"/>
        <v>-302.4829595486467</v>
      </c>
      <c r="DI158" s="2891">
        <f t="shared" si="684"/>
        <v>-248.44788248137573</v>
      </c>
      <c r="DJ158" s="2891">
        <f t="shared" si="684"/>
        <v>-421.89504913815176</v>
      </c>
      <c r="DK158" s="2891">
        <f t="shared" si="684"/>
        <v>-119.56168637941411</v>
      </c>
      <c r="DL158" s="2890">
        <f t="shared" si="684"/>
        <v>-264.45573951178579</v>
      </c>
      <c r="DM158" s="2891">
        <f t="shared" si="684"/>
        <v>-443.31410168982512</v>
      </c>
      <c r="DN158" s="2891">
        <f t="shared" si="684"/>
        <v>-674.69061557851819</v>
      </c>
      <c r="DO158" s="2891">
        <f t="shared" si="684"/>
        <v>215.79504453301035</v>
      </c>
      <c r="DP158" s="2891">
        <f t="shared" si="684"/>
        <v>894.85787788137588</v>
      </c>
      <c r="DQ158" s="2890">
        <f t="shared" si="684"/>
        <v>74.614028041861673</v>
      </c>
      <c r="DR158" s="2891">
        <f t="shared" ref="DR158:EN158" si="685">(DR157-DM157)*10000</f>
        <v>1112.4247104436697</v>
      </c>
      <c r="DS158" s="2891">
        <f t="shared" si="685"/>
        <v>1456.4322969239729</v>
      </c>
      <c r="DT158" s="2891">
        <f t="shared" si="685"/>
        <v>853.84149135958376</v>
      </c>
      <c r="DU158" s="2891">
        <f t="shared" si="685"/>
        <v>109.57923006611969</v>
      </c>
      <c r="DV158" s="2890">
        <f t="shared" si="685"/>
        <v>816.33020893627008</v>
      </c>
      <c r="DW158" s="2891">
        <f t="shared" si="685"/>
        <v>-34.82965411149619</v>
      </c>
      <c r="DX158" s="2891">
        <f t="shared" si="685"/>
        <v>-329.4194279512991</v>
      </c>
      <c r="DY158" s="2891">
        <f t="shared" si="685"/>
        <v>-783.61779842246733</v>
      </c>
      <c r="DZ158" s="2891">
        <f t="shared" si="685"/>
        <v>-489.57906231032854</v>
      </c>
      <c r="EA158" s="2890">
        <f t="shared" si="685"/>
        <v>-408.86134184139831</v>
      </c>
      <c r="EB158" s="2891">
        <f t="shared" si="685"/>
        <v>-481.681108811971</v>
      </c>
      <c r="EC158" s="2891">
        <f t="shared" si="685"/>
        <v>231.83147901120194</v>
      </c>
      <c r="ED158" s="2891">
        <f t="shared" si="685"/>
        <v>367.71334073645858</v>
      </c>
      <c r="EE158" s="2891">
        <f t="shared" si="685"/>
        <v>374.0876925204123</v>
      </c>
      <c r="EF158" s="2890">
        <f t="shared" ref="EF158:EK158" si="686">(EF157-EA157)*10000</f>
        <v>133.9202071326151</v>
      </c>
      <c r="EG158" s="2891">
        <f t="shared" si="685"/>
        <v>638.04410658480742</v>
      </c>
      <c r="EH158" s="2891">
        <f t="shared" si="685"/>
        <v>216.66449073412252</v>
      </c>
      <c r="EI158" s="2891">
        <f t="shared" si="685"/>
        <v>381.17040061696525</v>
      </c>
      <c r="EJ158" s="2891">
        <f t="shared" si="685"/>
        <v>447.48137796670471</v>
      </c>
      <c r="EK158" s="2890">
        <f t="shared" si="686"/>
        <v>418.59071207172968</v>
      </c>
      <c r="EL158" s="2891">
        <f t="shared" si="685"/>
        <v>175.47792155608087</v>
      </c>
      <c r="EM158" s="2891">
        <f t="shared" si="685"/>
        <v>-105.00009606274952</v>
      </c>
      <c r="EN158" s="2891">
        <f t="shared" si="685"/>
        <v>83.392526086629729</v>
      </c>
      <c r="EO158" s="2891">
        <f t="shared" ref="EO158:EP158" si="687">(EO157-EJ157)*10000</f>
        <v>63.561705933521949</v>
      </c>
      <c r="EP158" s="2890">
        <f t="shared" si="687"/>
        <v>53.102748384907805</v>
      </c>
      <c r="EQ158" s="2891">
        <f t="shared" ref="EQ158" si="688">(EQ157-EL157)*10000</f>
        <v>72.30565070731943</v>
      </c>
      <c r="ER158" s="2891">
        <f t="shared" ref="ER158" si="689">(ER157-EM157)*10000</f>
        <v>198.53743744111196</v>
      </c>
      <c r="ES158" s="2891">
        <f t="shared" ref="ES158" si="690">(ES157-EN157)*10000</f>
        <v>-60.359551846347337</v>
      </c>
      <c r="ET158" s="2891">
        <f t="shared" ref="ET158:EU158" si="691">(ET157-EO157)*10000</f>
        <v>-50.000000000000043</v>
      </c>
      <c r="EU158" s="2890">
        <f t="shared" si="691"/>
        <v>34.608414908630095</v>
      </c>
      <c r="EV158" s="2890">
        <f>(EV157-EU157)*10000</f>
        <v>-118.08240462751307</v>
      </c>
      <c r="EW158" s="2890">
        <f>(EW157-EV157)*10000</f>
        <v>12.000000000000345</v>
      </c>
      <c r="EX158" s="2890">
        <f>(EX157-EW157)*10000</f>
        <v>47.999999999999709</v>
      </c>
      <c r="EY158" s="2890">
        <f>(EY157-EX157)*10000</f>
        <v>80.999999999999957</v>
      </c>
      <c r="EZ158" s="226"/>
      <c r="FA158" s="4287"/>
      <c r="FB158" s="4287"/>
      <c r="FC158" s="4287"/>
      <c r="FD158" s="4287"/>
      <c r="FE158" s="4287"/>
      <c r="FF158" s="4287"/>
      <c r="FG158" s="4287"/>
      <c r="FH158" s="4287"/>
      <c r="FI158" s="4287"/>
      <c r="FJ158" s="4287"/>
      <c r="FK158" s="4287"/>
      <c r="FL158" s="4287"/>
    </row>
    <row r="159" spans="1:168" s="311" customFormat="1" ht="11.25" hidden="1" customHeight="1" outlineLevel="1">
      <c r="A159" s="3765" t="s">
        <v>735</v>
      </c>
      <c r="B159" s="209"/>
      <c r="C159" s="209"/>
      <c r="D159" s="209"/>
      <c r="E159" s="209"/>
      <c r="F159" s="1019"/>
      <c r="G159" s="209"/>
      <c r="H159" s="209"/>
      <c r="I159" s="209"/>
      <c r="J159" s="209"/>
      <c r="K159" s="1019"/>
      <c r="L159" s="209"/>
      <c r="M159" s="209"/>
      <c r="N159" s="209"/>
      <c r="O159" s="209"/>
      <c r="P159" s="2890" t="s">
        <v>116</v>
      </c>
      <c r="Q159" s="2891" t="s">
        <v>116</v>
      </c>
      <c r="R159" s="2891">
        <f>(R157-Q157)*10000</f>
        <v>909.39192029950323</v>
      </c>
      <c r="S159" s="2891">
        <f>(S157-R157)*10000</f>
        <v>800.51097275263157</v>
      </c>
      <c r="T159" s="2891">
        <f>(T157-S157)*10000</f>
        <v>486.43596831966283</v>
      </c>
      <c r="U159" s="2890" t="s">
        <v>116</v>
      </c>
      <c r="V159" s="2891">
        <f>(V157-T157)*10000</f>
        <v>100.98780676629282</v>
      </c>
      <c r="W159" s="2891">
        <f>(W157-V157)*10000</f>
        <v>-312.56881790796109</v>
      </c>
      <c r="X159" s="2891">
        <f>(X157-W157)*10000</f>
        <v>-869.78259295997668</v>
      </c>
      <c r="Y159" s="2891">
        <f>(Y157-X157)*10000</f>
        <v>190.35007120826842</v>
      </c>
      <c r="Z159" s="2890" t="s">
        <v>116</v>
      </c>
      <c r="AA159" s="2891">
        <f>(AA157-Y157)*10000</f>
        <v>295.79133548340405</v>
      </c>
      <c r="AB159" s="2891">
        <f>(AB157-AA157)*10000</f>
        <v>-283.42608191484044</v>
      </c>
      <c r="AC159" s="2891">
        <f>(AC157-AB157)*10000</f>
        <v>-237.9231827281869</v>
      </c>
      <c r="AD159" s="2891">
        <f>(AD157-AC157)*10000</f>
        <v>-26.625047607591323</v>
      </c>
      <c r="AE159" s="2890" t="s">
        <v>116</v>
      </c>
      <c r="AF159" s="2891">
        <f>(AF157-AD157)*10000</f>
        <v>644.92539085917679</v>
      </c>
      <c r="AG159" s="2891">
        <f>(AG157-AF157)*10000</f>
        <v>-311.23990372546649</v>
      </c>
      <c r="AH159" s="2891">
        <f>(AH157-AG157)*10000</f>
        <v>-387.48964782034267</v>
      </c>
      <c r="AI159" s="2891">
        <f>(AI157-AH157)*10000</f>
        <v>75.47499729240181</v>
      </c>
      <c r="AJ159" s="2890" t="s">
        <v>116</v>
      </c>
      <c r="AK159" s="2891">
        <f>(AK157-AI157)*10000</f>
        <v>-3402.9473430198718</v>
      </c>
      <c r="AL159" s="2891">
        <f>(AL157-AK157)*10000</f>
        <v>-1.7492988318240643</v>
      </c>
      <c r="AM159" s="2891">
        <f>(AM157-AL157)*10000</f>
        <v>175.30939434706323</v>
      </c>
      <c r="AN159" s="2891">
        <f>(AN157-AM157)*10000</f>
        <v>-287.57212361906761</v>
      </c>
      <c r="AO159" s="2890" t="s">
        <v>116</v>
      </c>
      <c r="AP159" s="2891">
        <f>(AP157-AN157)*10000</f>
        <v>104.22670120762561</v>
      </c>
      <c r="AQ159" s="2891">
        <f>(AQ157-AP157)*10000</f>
        <v>-1177.8740591395917</v>
      </c>
      <c r="AR159" s="2891">
        <f>(AR157-AQ157)*10000</f>
        <v>441.78604719590868</v>
      </c>
      <c r="AS159" s="2891">
        <f>(AS157-AR157)*10000</f>
        <v>-134.86474582242781</v>
      </c>
      <c r="AT159" s="2890" t="s">
        <v>116</v>
      </c>
      <c r="AU159" s="2891">
        <f>(AU157-AS157)*10000</f>
        <v>-7.7525528136929145</v>
      </c>
      <c r="AV159" s="2891">
        <f>(AV157-AU157)*10000</f>
        <v>-105.80509213936453</v>
      </c>
      <c r="AW159" s="2891">
        <f>(AW157-AV157)*10000</f>
        <v>21.073243492703703</v>
      </c>
      <c r="AX159" s="2891">
        <f>(AX157-AW157)*10000</f>
        <v>397.85034729685839</v>
      </c>
      <c r="AY159" s="2890" t="s">
        <v>116</v>
      </c>
      <c r="AZ159" s="2891">
        <f>(AZ157-AX157)*10000</f>
        <v>520.98216553935208</v>
      </c>
      <c r="BA159" s="2891">
        <f>(BA157-AZ157)*10000</f>
        <v>-261.38692378563366</v>
      </c>
      <c r="BB159" s="2891">
        <f>(BB157-BA157)*10000</f>
        <v>157.13282103445636</v>
      </c>
      <c r="BC159" s="2891">
        <f>(BC157-BB157)*10000</f>
        <v>433.24789417395789</v>
      </c>
      <c r="BD159" s="2890" t="s">
        <v>116</v>
      </c>
      <c r="BE159" s="2892">
        <f>(BE157-BD157)*10000</f>
        <v>3375.246018966629</v>
      </c>
      <c r="BF159" s="2891">
        <f>(BF157-BE157)*10000</f>
        <v>-232.25356940594355</v>
      </c>
      <c r="BG159" s="2891">
        <f>(BG157-BF157)*10000</f>
        <v>84.763230095045159</v>
      </c>
      <c r="BH159" s="2891">
        <f>(BH157-BG157)*10000</f>
        <v>-38.116005890240778</v>
      </c>
      <c r="BI159" s="2890" t="s">
        <v>116</v>
      </c>
      <c r="BJ159" s="2891">
        <f>(BJ157-BI157)*10000</f>
        <v>-405.52892089627204</v>
      </c>
      <c r="BK159" s="2891">
        <f>(BK157-BJ157)*10000</f>
        <v>-143.36596955374259</v>
      </c>
      <c r="BL159" s="2891">
        <f>(BL157-BK157)*10000</f>
        <v>37.544696525704246</v>
      </c>
      <c r="BM159" s="2891">
        <f>(BM157-BL157)*10000</f>
        <v>138.27052005407404</v>
      </c>
      <c r="BN159" s="2890" t="s">
        <v>116</v>
      </c>
      <c r="BO159" s="2891">
        <v>-44.309034873266654</v>
      </c>
      <c r="BP159" s="2891">
        <v>-672.07408167944016</v>
      </c>
      <c r="BQ159" s="2891">
        <v>-721.12167931195404</v>
      </c>
      <c r="BR159" s="2893">
        <v>523.61981105103814</v>
      </c>
      <c r="BS159" s="2894" t="s">
        <v>116</v>
      </c>
      <c r="BT159" s="2891">
        <f>(BT157-BN157)*10000</f>
        <v>-36.310947641189358</v>
      </c>
      <c r="BU159" s="2891">
        <f>(BU157-BT157)*10000</f>
        <v>-81.362540368958847</v>
      </c>
      <c r="BV159" s="2891">
        <f>(BV157-BU157)*10000</f>
        <v>-255.71916361949721</v>
      </c>
      <c r="BW159" s="2891">
        <f>(BW157-BV157)*10000</f>
        <v>-9.5354170807776519</v>
      </c>
      <c r="BX159" s="2890" t="s">
        <v>116</v>
      </c>
      <c r="BY159" s="2891">
        <v>-168.79362027002631</v>
      </c>
      <c r="BZ159" s="2891">
        <v>-64.345834278949908</v>
      </c>
      <c r="CA159" s="2891">
        <v>-0.76292619161033581</v>
      </c>
      <c r="CB159" s="2891">
        <v>-112.8577449411261</v>
      </c>
      <c r="CC159" s="2890" t="s">
        <v>116</v>
      </c>
      <c r="CD159" s="2891" t="e">
        <f>(CD157-BX157)*10000</f>
        <v>#REF!</v>
      </c>
      <c r="CE159" s="2891">
        <f>(CE157-CD157)*10000</f>
        <v>-155.81772404568704</v>
      </c>
      <c r="CF159" s="2891">
        <f>(CF157-CE157)*10000</f>
        <v>41.235645918901717</v>
      </c>
      <c r="CG159" s="2891">
        <f>(CG157-CF157)*10000</f>
        <v>-16.425384118952113</v>
      </c>
      <c r="CH159" s="2890" t="s">
        <v>116</v>
      </c>
      <c r="CI159" s="2891">
        <f>(CI157-CH157)*10000</f>
        <v>-240.84079850326845</v>
      </c>
      <c r="CJ159" s="2891">
        <f>(CJ157-CI157)*10000</f>
        <v>-6.8429854047241667</v>
      </c>
      <c r="CK159" s="2891">
        <f>(CK157-CJ157)*10000</f>
        <v>8.2233832078953952</v>
      </c>
      <c r="CL159" s="2891">
        <f>(CL157-CK157)*10000</f>
        <v>-199.43193230144485</v>
      </c>
      <c r="CM159" s="2890" t="s">
        <v>116</v>
      </c>
      <c r="CN159" s="2891">
        <f>(CN157-CM157)*10000</f>
        <v>51.922306879523262</v>
      </c>
      <c r="CO159" s="2891">
        <f>(CO157-CN157)*10000</f>
        <v>90.269321725776621</v>
      </c>
      <c r="CP159" s="2891">
        <f>(CP157-CO157)*10000</f>
        <v>-87.416480889277452</v>
      </c>
      <c r="CQ159" s="2891">
        <f>(CQ157-CP157)*10000</f>
        <v>-117.98851237566022</v>
      </c>
      <c r="CR159" s="2890" t="s">
        <v>116</v>
      </c>
      <c r="CS159" s="2891">
        <f>(CS157-CR157)*10000</f>
        <v>100.60292879173038</v>
      </c>
      <c r="CT159" s="2891">
        <f>(CT157-CS157)*10000</f>
        <v>112.22395181748557</v>
      </c>
      <c r="CU159" s="2891">
        <f>(CU157-CT157)*10000</f>
        <v>-88.221099655965702</v>
      </c>
      <c r="CV159" s="2891">
        <f>(CV157-CU157)*10000</f>
        <v>-175.49156142075472</v>
      </c>
      <c r="CW159" s="2890"/>
      <c r="CX159" s="2891">
        <f>(CX157-CV157)*10000</f>
        <v>263.37048020111774</v>
      </c>
      <c r="CY159" s="2891">
        <f>(CY157-CX157)*10000</f>
        <v>-22.068122734838489</v>
      </c>
      <c r="CZ159" s="2891">
        <f>(CZ157-CY157)*10000</f>
        <v>70.98751737972475</v>
      </c>
      <c r="DA159" s="2891">
        <f>(DA157-CZ157)*10000</f>
        <v>-635.59706542810238</v>
      </c>
      <c r="DB159" s="2890"/>
      <c r="DC159" s="2891">
        <f>(DC157-DA157)*10000</f>
        <v>383.02250478850999</v>
      </c>
      <c r="DD159" s="2891">
        <f>(DD157-DC157)*10000</f>
        <v>-46.02040799961182</v>
      </c>
      <c r="DE159" s="2891">
        <f>(DE157-DD157)*10000</f>
        <v>-16.05439501243422</v>
      </c>
      <c r="DF159" s="2891">
        <f>(DF157-DE157)*10000</f>
        <v>-707.40776753640762</v>
      </c>
      <c r="DG159" s="2890"/>
      <c r="DH159" s="2891">
        <f>(DH157-DF157)*10000</f>
        <v>466.99961099980703</v>
      </c>
      <c r="DI159" s="2891">
        <f>(DI157-DH157)*10000</f>
        <v>8.0146690676591312</v>
      </c>
      <c r="DJ159" s="2891">
        <f>(DJ157-DI157)*10000</f>
        <v>-189.50156166921028</v>
      </c>
      <c r="DK159" s="2891">
        <f>(DK157-DJ157)*10000</f>
        <v>-405.07440477767</v>
      </c>
      <c r="DL159" s="2890"/>
      <c r="DM159" s="2891">
        <f>(DM157-DK157)*10000</f>
        <v>143.24719568939602</v>
      </c>
      <c r="DN159" s="2891">
        <f>(DN157-DM157)*10000</f>
        <v>-223.36184482103394</v>
      </c>
      <c r="DO159" s="2891">
        <f>(DO157-DN157)*10000</f>
        <v>700.98409844231821</v>
      </c>
      <c r="DP159" s="2891">
        <f>(DP157-DO157)*10000</f>
        <v>273.98842857069559</v>
      </c>
      <c r="DQ159" s="2890"/>
      <c r="DR159" s="2891">
        <f>(DR157-DP157)*10000</f>
        <v>360.81402825168971</v>
      </c>
      <c r="DS159" s="2891">
        <f>(DS157-DR157)*10000</f>
        <v>120.64574165926933</v>
      </c>
      <c r="DT159" s="2891">
        <f>(DT157-DS157)*10000</f>
        <v>98.393292877929085</v>
      </c>
      <c r="DU159" s="2891">
        <f>(DU157-DT157)*10000</f>
        <v>-470.27383272276847</v>
      </c>
      <c r="DV159" s="2890"/>
      <c r="DW159" s="2891">
        <f>(DW157-DU157)*10000</f>
        <v>216.40514407407386</v>
      </c>
      <c r="DX159" s="2891">
        <f>(DX157-DW157)*10000</f>
        <v>-173.94403218053355</v>
      </c>
      <c r="DY159" s="2891">
        <f>(DY157-DX157)*10000</f>
        <v>-355.80507759323922</v>
      </c>
      <c r="DZ159" s="2891">
        <f>(DZ157-DY157)*10000</f>
        <v>-176.23509661062963</v>
      </c>
      <c r="EA159" s="2890"/>
      <c r="EB159" s="2891">
        <f>(EB157-DZ157)*10000</f>
        <v>224.3030975724314</v>
      </c>
      <c r="EC159" s="2891">
        <f>(EC157-EB157)*10000</f>
        <v>539.56855564263935</v>
      </c>
      <c r="ED159" s="2891">
        <f>(ED157-EC157)*10000</f>
        <v>-219.92321586798258</v>
      </c>
      <c r="EE159" s="2891">
        <f>(EE157-ED157)*10000</f>
        <v>-169.8607448266759</v>
      </c>
      <c r="EF159" s="2890"/>
      <c r="EG159" s="2891">
        <f>(EG157-EE157)*10000</f>
        <v>488.25951163682657</v>
      </c>
      <c r="EH159" s="2891">
        <f>(EH157-EG157)*10000</f>
        <v>118.18893979195444</v>
      </c>
      <c r="EI159" s="2891">
        <f>(EI157-EH157)*10000</f>
        <v>-55.417305985139834</v>
      </c>
      <c r="EJ159" s="2891">
        <f>(EJ157-EI157)*10000</f>
        <v>-103.54976747693645</v>
      </c>
      <c r="EK159" s="2890"/>
      <c r="EL159" s="2891">
        <f>(EL157-EJ157)*10000</f>
        <v>216.25605522620273</v>
      </c>
      <c r="EM159" s="2891">
        <f>(EM157-EL157)*10000</f>
        <v>-162.28907782687597</v>
      </c>
      <c r="EN159" s="2891">
        <f>(EN157-EM157)*10000</f>
        <v>132.97531616423942</v>
      </c>
      <c r="EO159" s="2891">
        <f>(EO157-EN157)*10000</f>
        <v>-123.38058763004423</v>
      </c>
      <c r="EP159" s="2890"/>
      <c r="EQ159" s="2891">
        <f>(EQ157-EO157)*10000</f>
        <v>225.0000000000002</v>
      </c>
      <c r="ER159" s="2891">
        <f>(ER157-EQ157)*10000</f>
        <v>-36.057291093083421</v>
      </c>
      <c r="ES159" s="2891">
        <f>(ES157-ER157)*10000</f>
        <v>-125.92167312321989</v>
      </c>
      <c r="ET159" s="2891">
        <f>(ET157-ES157)*10000</f>
        <v>-113.02103578369693</v>
      </c>
      <c r="EU159" s="2890"/>
      <c r="EV159" s="2890"/>
      <c r="EW159" s="2890"/>
      <c r="EX159" s="2890"/>
      <c r="EY159" s="2890"/>
      <c r="EZ159" s="209"/>
      <c r="FA159" s="4287"/>
      <c r="FB159" s="4287"/>
      <c r="FC159" s="4287"/>
      <c r="FD159" s="4287"/>
      <c r="FE159" s="4287"/>
      <c r="FF159" s="4287"/>
      <c r="FG159" s="4287"/>
      <c r="FH159" s="4287"/>
      <c r="FI159" s="4287"/>
      <c r="FJ159" s="4287"/>
      <c r="FK159" s="4287"/>
      <c r="FL159" s="4287"/>
    </row>
    <row r="160" spans="1:168" ht="11.25" hidden="1" customHeight="1" outlineLevel="1">
      <c r="A160" s="3771" t="s">
        <v>238</v>
      </c>
      <c r="B160" s="124"/>
      <c r="C160" s="124"/>
      <c r="D160" s="124"/>
      <c r="E160" s="124"/>
      <c r="F160" s="997"/>
      <c r="G160" s="124"/>
      <c r="H160" s="124"/>
      <c r="I160" s="124"/>
      <c r="J160" s="124"/>
      <c r="K160" s="997">
        <f>K36/K9</f>
        <v>-0.7687879422231525</v>
      </c>
      <c r="L160" s="124"/>
      <c r="M160" s="124"/>
      <c r="N160" s="124"/>
      <c r="O160" s="124"/>
      <c r="P160" s="997">
        <f t="shared" ref="P160:AU160" si="692">P36/P9</f>
        <v>8.0820586397611971E-2</v>
      </c>
      <c r="Q160" s="124">
        <f t="shared" si="692"/>
        <v>0.18744235544519319</v>
      </c>
      <c r="R160" s="124">
        <f t="shared" si="692"/>
        <v>0.25715614103060841</v>
      </c>
      <c r="S160" s="124">
        <f t="shared" si="692"/>
        <v>0.29774922141334359</v>
      </c>
      <c r="T160" s="124">
        <f t="shared" si="692"/>
        <v>0.32863918598939962</v>
      </c>
      <c r="U160" s="997">
        <f t="shared" si="692"/>
        <v>0.28885127301395913</v>
      </c>
      <c r="V160" s="124">
        <f t="shared" si="692"/>
        <v>0.14454834245631337</v>
      </c>
      <c r="W160" s="124">
        <f t="shared" si="692"/>
        <v>0.14986954901229962</v>
      </c>
      <c r="X160" s="124">
        <f t="shared" si="692"/>
        <v>8.1555568864666458E-2</v>
      </c>
      <c r="Y160" s="124">
        <f t="shared" si="692"/>
        <v>9.2130660978503615E-2</v>
      </c>
      <c r="Z160" s="997">
        <f t="shared" si="692"/>
        <v>0.11246315471241781</v>
      </c>
      <c r="AA160" s="124">
        <f t="shared" si="692"/>
        <v>0.16807532952727264</v>
      </c>
      <c r="AB160" s="124">
        <f t="shared" si="692"/>
        <v>0.18683154606335861</v>
      </c>
      <c r="AC160" s="124">
        <f t="shared" si="692"/>
        <v>0.10334859549053949</v>
      </c>
      <c r="AD160" s="124">
        <f t="shared" si="692"/>
        <v>0.31217831943749791</v>
      </c>
      <c r="AE160" s="997">
        <f t="shared" si="692"/>
        <v>0.20357200602475087</v>
      </c>
      <c r="AF160" s="124">
        <f t="shared" si="692"/>
        <v>0.46456375855816412</v>
      </c>
      <c r="AG160" s="124">
        <f t="shared" si="692"/>
        <v>0.38510854607240136</v>
      </c>
      <c r="AH160" s="124">
        <f t="shared" si="692"/>
        <v>0.36352140319021309</v>
      </c>
      <c r="AI160" s="124">
        <f t="shared" si="692"/>
        <v>0.28849933961269675</v>
      </c>
      <c r="AJ160" s="997">
        <f t="shared" si="692"/>
        <v>0.36419883796125779</v>
      </c>
      <c r="AK160" s="124">
        <f t="shared" si="692"/>
        <v>0.38686064640608653</v>
      </c>
      <c r="AL160" s="124">
        <f t="shared" si="692"/>
        <v>0.43156762618862932</v>
      </c>
      <c r="AM160" s="124">
        <f t="shared" si="692"/>
        <v>0.39334770428591564</v>
      </c>
      <c r="AN160" s="124">
        <f t="shared" si="692"/>
        <v>0.46222935763359457</v>
      </c>
      <c r="AO160" s="997">
        <f t="shared" si="692"/>
        <v>0.42179083734687101</v>
      </c>
      <c r="AP160" s="124">
        <f t="shared" si="692"/>
        <v>0.39471684825826864</v>
      </c>
      <c r="AQ160" s="124">
        <f t="shared" si="692"/>
        <v>0.33960923206141408</v>
      </c>
      <c r="AR160" s="124">
        <f t="shared" si="692"/>
        <v>0.35544913330571642</v>
      </c>
      <c r="AS160" s="124">
        <f t="shared" si="692"/>
        <v>0.3562140799825208</v>
      </c>
      <c r="AT160" s="997">
        <f t="shared" si="692"/>
        <v>0.36052113415425779</v>
      </c>
      <c r="AU160" s="124">
        <f t="shared" si="692"/>
        <v>0.35329904729057465</v>
      </c>
      <c r="AV160" s="124">
        <f t="shared" ref="AV160:BN160" si="693">AV36/AV9</f>
        <v>0.32039986314712304</v>
      </c>
      <c r="AW160" s="124">
        <f t="shared" si="693"/>
        <v>0.3188035149159022</v>
      </c>
      <c r="AX160" s="124">
        <f t="shared" si="693"/>
        <v>9.0679313587457483E-2</v>
      </c>
      <c r="AY160" s="997">
        <f t="shared" si="693"/>
        <v>0.26656770891208825</v>
      </c>
      <c r="AZ160" s="124">
        <f t="shared" si="693"/>
        <v>0.34932912352720208</v>
      </c>
      <c r="BA160" s="124">
        <f t="shared" si="693"/>
        <v>0.36479403215545325</v>
      </c>
      <c r="BB160" s="124">
        <f t="shared" si="693"/>
        <v>0.37371441079798012</v>
      </c>
      <c r="BC160" s="124">
        <f t="shared" si="693"/>
        <v>0.39857143405158035</v>
      </c>
      <c r="BD160" s="997">
        <f t="shared" si="693"/>
        <v>0.37299886557787082</v>
      </c>
      <c r="BE160" s="1688">
        <f t="shared" si="693"/>
        <v>0.38605845181674564</v>
      </c>
      <c r="BF160" s="124">
        <f t="shared" si="693"/>
        <v>0.36163522012578614</v>
      </c>
      <c r="BG160" s="124">
        <f t="shared" si="693"/>
        <v>0.39536580915891262</v>
      </c>
      <c r="BH160" s="124">
        <f t="shared" si="693"/>
        <v>0.39915240935488933</v>
      </c>
      <c r="BI160" s="997">
        <f t="shared" si="693"/>
        <v>0.38652063261225234</v>
      </c>
      <c r="BJ160" s="124">
        <f t="shared" si="693"/>
        <v>0.27504971699556369</v>
      </c>
      <c r="BK160" s="124">
        <f t="shared" si="693"/>
        <v>0.36220358588779639</v>
      </c>
      <c r="BL160" s="124">
        <f t="shared" si="693"/>
        <v>0.36338215712383487</v>
      </c>
      <c r="BM160" s="124">
        <f t="shared" si="693"/>
        <v>0.33255470863044012</v>
      </c>
      <c r="BN160" s="997">
        <f t="shared" si="693"/>
        <v>0.33463930989449087</v>
      </c>
      <c r="BO160" s="124">
        <v>0.35525507068223727</v>
      </c>
      <c r="BP160" s="124">
        <v>0.28968171416684002</v>
      </c>
      <c r="BQ160" s="124">
        <v>0.19203953755184891</v>
      </c>
      <c r="BR160" s="123">
        <v>0.2545197989240674</v>
      </c>
      <c r="BS160" s="1761">
        <v>0.26564239590291694</v>
      </c>
      <c r="BT160" s="124">
        <f>BT36/BT9</f>
        <v>0.35525507068223727</v>
      </c>
      <c r="BU160" s="124">
        <f>BU36/BU9</f>
        <v>0.36083213773314204</v>
      </c>
      <c r="BV160" s="124">
        <f>BV36/BV9</f>
        <v>0.30870260392873461</v>
      </c>
      <c r="BW160" s="124">
        <f>BW36/BW9</f>
        <v>0.2956743002544529</v>
      </c>
      <c r="BX160" s="997">
        <f>BX36/BX9</f>
        <v>0.30604566314169257</v>
      </c>
      <c r="BY160" s="124">
        <v>0.30398837103661308</v>
      </c>
      <c r="BZ160" s="124">
        <v>0.29102055535521099</v>
      </c>
      <c r="CA160" s="124">
        <v>0.24914017280429493</v>
      </c>
      <c r="CB160" s="124">
        <v>0.24918807204015353</v>
      </c>
      <c r="CC160" s="997">
        <v>0.27161116717120753</v>
      </c>
      <c r="CD160" s="124">
        <f t="shared" ref="CD160:DI160" si="694">CD36/CD9</f>
        <v>0.33496846531184304</v>
      </c>
      <c r="CE160" s="124">
        <f t="shared" si="694"/>
        <v>0.31979393699227265</v>
      </c>
      <c r="CF160" s="124">
        <f t="shared" si="694"/>
        <v>0.27545909849749584</v>
      </c>
      <c r="CG160" s="124">
        <f t="shared" si="694"/>
        <v>0.27232394934258286</v>
      </c>
      <c r="CH160" s="997">
        <f t="shared" si="694"/>
        <v>0.29865236587226368</v>
      </c>
      <c r="CI160" s="124">
        <f t="shared" si="694"/>
        <v>0.27655530029537251</v>
      </c>
      <c r="CJ160" s="124">
        <f t="shared" si="694"/>
        <v>0.2647488864318433</v>
      </c>
      <c r="CK160" s="124">
        <f t="shared" si="694"/>
        <v>0.20786383301707778</v>
      </c>
      <c r="CL160" s="124">
        <f t="shared" si="694"/>
        <v>0.32276551819374438</v>
      </c>
      <c r="CM160" s="997">
        <f t="shared" si="694"/>
        <v>0.27510284930671947</v>
      </c>
      <c r="CN160" s="124">
        <f t="shared" si="694"/>
        <v>0.25258630058218934</v>
      </c>
      <c r="CO160" s="124">
        <f t="shared" si="694"/>
        <v>0.27393728222996516</v>
      </c>
      <c r="CP160" s="124">
        <f t="shared" si="694"/>
        <v>0.26335296842941291</v>
      </c>
      <c r="CQ160" s="124">
        <f t="shared" si="694"/>
        <v>0.28499478985758941</v>
      </c>
      <c r="CR160" s="997">
        <f t="shared" si="694"/>
        <v>0.26955171322098737</v>
      </c>
      <c r="CS160" s="124">
        <f t="shared" si="694"/>
        <v>0.25544963264314774</v>
      </c>
      <c r="CT160" s="124">
        <f t="shared" si="694"/>
        <v>0.27828815977175464</v>
      </c>
      <c r="CU160" s="124">
        <f t="shared" si="694"/>
        <v>0.27702665717882752</v>
      </c>
      <c r="CV160" s="124">
        <f t="shared" si="694"/>
        <v>0.25136689291101055</v>
      </c>
      <c r="CW160" s="997">
        <f t="shared" si="694"/>
        <v>0.26508254058982839</v>
      </c>
      <c r="CX160" s="124">
        <f t="shared" si="694"/>
        <v>0.26966850554147409</v>
      </c>
      <c r="CY160" s="124">
        <f t="shared" si="694"/>
        <v>0.16845929537740809</v>
      </c>
      <c r="CZ160" s="124">
        <f t="shared" si="694"/>
        <v>0.30229007633587784</v>
      </c>
      <c r="DA160" s="124">
        <f t="shared" si="694"/>
        <v>-0.11672399799018282</v>
      </c>
      <c r="DB160" s="997">
        <f t="shared" si="694"/>
        <v>0.14197773118195173</v>
      </c>
      <c r="DC160" s="124">
        <f t="shared" si="694"/>
        <v>0.37818810845603024</v>
      </c>
      <c r="DD160" s="124">
        <f t="shared" si="694"/>
        <v>0.12177459313183672</v>
      </c>
      <c r="DE160" s="124">
        <f t="shared" si="694"/>
        <v>0.33846380440385893</v>
      </c>
      <c r="DF160" s="124">
        <f t="shared" si="694"/>
        <v>0.28103015075376886</v>
      </c>
      <c r="DG160" s="997">
        <f t="shared" si="694"/>
        <v>0.27918214600383312</v>
      </c>
      <c r="DH160" s="124">
        <f t="shared" si="694"/>
        <v>0.22582177143050985</v>
      </c>
      <c r="DI160" s="124">
        <f t="shared" si="694"/>
        <v>0.31372610862297357</v>
      </c>
      <c r="DJ160" s="124">
        <f t="shared" ref="DJ160:EX160" si="695">DJ36/DJ9</f>
        <v>0.21412342088521313</v>
      </c>
      <c r="DK160" s="124">
        <f t="shared" si="695"/>
        <v>0.2839995741736307</v>
      </c>
      <c r="DL160" s="997">
        <f t="shared" si="695"/>
        <v>0.26063232347762733</v>
      </c>
      <c r="DM160" s="124">
        <f t="shared" si="695"/>
        <v>0.20280653870116</v>
      </c>
      <c r="DN160" s="124">
        <f t="shared" si="695"/>
        <v>0.22020061386577225</v>
      </c>
      <c r="DO160" s="124">
        <f t="shared" si="695"/>
        <v>0.29591917278396085</v>
      </c>
      <c r="DP160" s="124">
        <f t="shared" si="695"/>
        <v>0.3279419365954514</v>
      </c>
      <c r="DQ160" s="997">
        <f t="shared" si="695"/>
        <v>0.26890997602655109</v>
      </c>
      <c r="DR160" s="124">
        <f t="shared" si="695"/>
        <v>0.39318450945133987</v>
      </c>
      <c r="DS160" s="124">
        <f t="shared" si="695"/>
        <v>0.36358462051775237</v>
      </c>
      <c r="DT160" s="124">
        <f t="shared" si="695"/>
        <v>0.35315180902648263</v>
      </c>
      <c r="DU160" s="124">
        <f t="shared" si="695"/>
        <v>0.33348411903454067</v>
      </c>
      <c r="DV160" s="997">
        <f t="shared" si="695"/>
        <v>0.35852615397673421</v>
      </c>
      <c r="DW160" s="124">
        <f t="shared" si="695"/>
        <v>0.29338997875796574</v>
      </c>
      <c r="DX160" s="124">
        <f t="shared" si="695"/>
        <v>0.27843608080597171</v>
      </c>
      <c r="DY160" s="124">
        <f t="shared" si="695"/>
        <v>0.24290154716585757</v>
      </c>
      <c r="DZ160" s="124">
        <f t="shared" si="695"/>
        <v>0.21583258083424425</v>
      </c>
      <c r="EA160" s="997">
        <f t="shared" si="695"/>
        <v>0.25642100042329219</v>
      </c>
      <c r="EB160" s="124">
        <f t="shared" si="695"/>
        <v>0.2592050425378018</v>
      </c>
      <c r="EC160" s="124">
        <f t="shared" si="695"/>
        <v>0.29593826026713066</v>
      </c>
      <c r="ED160" s="124">
        <f t="shared" si="695"/>
        <v>0.30739566907620491</v>
      </c>
      <c r="EE160" s="124">
        <f t="shared" si="695"/>
        <v>0.2860322990985012</v>
      </c>
      <c r="EF160" s="997">
        <f t="shared" si="695"/>
        <v>0.28769083225474451</v>
      </c>
      <c r="EG160" s="124">
        <f t="shared" si="695"/>
        <v>0.35006583521962331</v>
      </c>
      <c r="EH160" s="124">
        <f t="shared" si="695"/>
        <v>0.33100693714525964</v>
      </c>
      <c r="EI160" s="124">
        <f t="shared" si="695"/>
        <v>0.35280151309876723</v>
      </c>
      <c r="EJ160" s="124">
        <f t="shared" si="695"/>
        <v>0.32511240979649847</v>
      </c>
      <c r="EK160" s="997">
        <f t="shared" si="695"/>
        <v>0.33924735190669497</v>
      </c>
      <c r="EL160" s="124">
        <f t="shared" si="695"/>
        <v>0.45158591114713803</v>
      </c>
      <c r="EM160" s="124">
        <f t="shared" si="695"/>
        <v>0.3450191500556759</v>
      </c>
      <c r="EN160" s="124">
        <f t="shared" ref="EN160" si="696">EN36/EN9</f>
        <v>0.39989710757974162</v>
      </c>
      <c r="EO160" s="124">
        <f t="shared" ca="1" si="695"/>
        <v>0.33109134245800448</v>
      </c>
      <c r="EP160" s="997">
        <f t="shared" ca="1" si="695"/>
        <v>0.37901171023873897</v>
      </c>
      <c r="EQ160" s="124">
        <f t="shared" ref="EQ160:EU160" ca="1" si="697">EQ36/EQ9</f>
        <v>0.34761687588373819</v>
      </c>
      <c r="ER160" s="124">
        <f t="shared" ca="1" si="697"/>
        <v>0.34117280187994131</v>
      </c>
      <c r="ES160" s="124">
        <f t="shared" ca="1" si="697"/>
        <v>0.33004420191573974</v>
      </c>
      <c r="ET160" s="124">
        <f t="shared" ca="1" si="697"/>
        <v>0.32585826567267173</v>
      </c>
      <c r="EU160" s="997">
        <f t="shared" ca="1" si="697"/>
        <v>0.33550182394913319</v>
      </c>
      <c r="EV160" s="997">
        <f t="shared" ca="1" si="695"/>
        <v>0.32696309643040106</v>
      </c>
      <c r="EW160" s="997">
        <f t="shared" ca="1" si="695"/>
        <v>0.3292801154109819</v>
      </c>
      <c r="EX160" s="997">
        <f t="shared" ca="1" si="695"/>
        <v>0.33507517804570036</v>
      </c>
      <c r="EY160" s="997">
        <f t="shared" ref="EY160" ca="1" si="698">EY36/EY9</f>
        <v>0.34420865362612219</v>
      </c>
      <c r="EZ160" s="127"/>
      <c r="FA160" s="2660"/>
      <c r="FB160" s="2660"/>
      <c r="FC160" s="2660"/>
      <c r="FD160" s="2660"/>
      <c r="FE160" s="2660"/>
      <c r="FF160" s="2660"/>
      <c r="FG160" s="2660"/>
      <c r="FH160" s="2660"/>
      <c r="FI160" s="2660"/>
      <c r="FJ160" s="2660"/>
      <c r="FK160" s="2660"/>
      <c r="FL160" s="2660"/>
    </row>
    <row r="161" spans="1:168" s="311" customFormat="1" ht="11.25" hidden="1" customHeight="1" outlineLevel="1">
      <c r="A161" s="3757" t="s">
        <v>897</v>
      </c>
      <c r="B161" s="3396"/>
      <c r="C161" s="3396"/>
      <c r="D161" s="3396"/>
      <c r="E161" s="3396"/>
      <c r="F161" s="3397"/>
      <c r="G161" s="3396"/>
      <c r="H161" s="3396"/>
      <c r="I161" s="3396"/>
      <c r="J161" s="3396"/>
      <c r="K161" s="3397"/>
      <c r="L161" s="3396"/>
      <c r="M161" s="3396"/>
      <c r="N161" s="3396"/>
      <c r="O161" s="3396"/>
      <c r="P161" s="3397">
        <f t="shared" ref="P161:AU161" si="699">P57/P9</f>
        <v>0.43423275403235151</v>
      </c>
      <c r="Q161" s="3396">
        <f t="shared" si="699"/>
        <v>0.44888258247605523</v>
      </c>
      <c r="R161" s="3396">
        <f t="shared" si="699"/>
        <v>0.53982177450600566</v>
      </c>
      <c r="S161" s="3396">
        <f t="shared" si="699"/>
        <v>0.61987287178126871</v>
      </c>
      <c r="T161" s="3396">
        <f t="shared" si="699"/>
        <v>0.66851646861323499</v>
      </c>
      <c r="U161" s="3397">
        <f t="shared" si="699"/>
        <v>0.68718406529703657</v>
      </c>
      <c r="V161" s="3396">
        <f t="shared" si="699"/>
        <v>0.73852997697311296</v>
      </c>
      <c r="W161" s="3396">
        <f t="shared" si="699"/>
        <v>0.70343831531867307</v>
      </c>
      <c r="X161" s="3396">
        <f t="shared" si="699"/>
        <v>0.66445069972649784</v>
      </c>
      <c r="Y161" s="3396">
        <f t="shared" si="699"/>
        <v>0.63982705640949356</v>
      </c>
      <c r="Z161" s="3397">
        <f t="shared" si="699"/>
        <v>0.67967992369605734</v>
      </c>
      <c r="AA161" s="3396">
        <f t="shared" si="699"/>
        <v>0.671195230951524</v>
      </c>
      <c r="AB161" s="3396">
        <f t="shared" si="699"/>
        <v>0.65618014168978522</v>
      </c>
      <c r="AC161" s="3396">
        <f t="shared" si="699"/>
        <v>0.63902049158328145</v>
      </c>
      <c r="AD161" s="3396">
        <f t="shared" si="699"/>
        <v>0.65033428011618366</v>
      </c>
      <c r="AE161" s="3397">
        <f t="shared" si="699"/>
        <v>0.6527433987612844</v>
      </c>
      <c r="AF161" s="3396">
        <f t="shared" si="699"/>
        <v>0.68939825772704233</v>
      </c>
      <c r="AG161" s="3396">
        <f t="shared" si="699"/>
        <v>0.66275170612519996</v>
      </c>
      <c r="AH161" s="3396">
        <f t="shared" si="699"/>
        <v>0.64111056646022913</v>
      </c>
      <c r="AI161" s="3396">
        <f t="shared" si="699"/>
        <v>0.63073730847218001</v>
      </c>
      <c r="AJ161" s="3397">
        <f t="shared" si="699"/>
        <v>0.65210961875605478</v>
      </c>
      <c r="AK161" s="3396">
        <f t="shared" si="699"/>
        <v>0.65480637405544939</v>
      </c>
      <c r="AL161" s="3396">
        <f t="shared" si="699"/>
        <v>0.62887351930056401</v>
      </c>
      <c r="AM161" s="3396">
        <f t="shared" si="699"/>
        <v>0.63467887142788937</v>
      </c>
      <c r="AN161" s="3396">
        <f t="shared" si="699"/>
        <v>0.62078273270310502</v>
      </c>
      <c r="AO161" s="3397">
        <f t="shared" si="699"/>
        <v>0.63332597784581979</v>
      </c>
      <c r="AP161" s="3396">
        <f t="shared" si="699"/>
        <v>0.63414961919132362</v>
      </c>
      <c r="AQ161" s="3396">
        <f t="shared" si="699"/>
        <v>0.57750081495643291</v>
      </c>
      <c r="AR161" s="3396">
        <f t="shared" si="699"/>
        <v>0.58517369597216951</v>
      </c>
      <c r="AS161" s="3396">
        <f t="shared" si="699"/>
        <v>0.58342154175026173</v>
      </c>
      <c r="AT161" s="3397">
        <f t="shared" si="699"/>
        <v>0.5935364915604977</v>
      </c>
      <c r="AU161" s="3396">
        <f t="shared" si="699"/>
        <v>0.58479389586986263</v>
      </c>
      <c r="AV161" s="3396">
        <f t="shared" ref="AV161:BN161" si="700">AV57/AV9</f>
        <v>0.57596053869895247</v>
      </c>
      <c r="AW161" s="3396">
        <f t="shared" si="700"/>
        <v>0.59536328665150018</v>
      </c>
      <c r="AX161" s="3396">
        <f t="shared" si="700"/>
        <v>0.60032549919123135</v>
      </c>
      <c r="AY161" s="3397">
        <f t="shared" si="700"/>
        <v>0.58945317274234987</v>
      </c>
      <c r="AZ161" s="3396">
        <f t="shared" si="700"/>
        <v>0.62957945313439867</v>
      </c>
      <c r="BA161" s="3396">
        <f t="shared" si="700"/>
        <v>0.62511220547368584</v>
      </c>
      <c r="BB161" s="3396">
        <f t="shared" si="700"/>
        <v>0.63157741125287437</v>
      </c>
      <c r="BC161" s="3396">
        <f t="shared" si="700"/>
        <v>0.63042629840585562</v>
      </c>
      <c r="BD161" s="3397">
        <f t="shared" si="700"/>
        <v>0.62928067591903436</v>
      </c>
      <c r="BE161" s="3398">
        <f t="shared" si="700"/>
        <v>0.61413902053712477</v>
      </c>
      <c r="BF161" s="3396">
        <f t="shared" si="700"/>
        <v>0.59276729559748431</v>
      </c>
      <c r="BG161" s="3396">
        <f t="shared" si="700"/>
        <v>0.59642401021711366</v>
      </c>
      <c r="BH161" s="3396">
        <f t="shared" si="700"/>
        <v>0.59001726573536339</v>
      </c>
      <c r="BI161" s="3397">
        <f t="shared" si="700"/>
        <v>0.59780039992728595</v>
      </c>
      <c r="BJ161" s="3396">
        <f t="shared" si="700"/>
        <v>0.55514762123298145</v>
      </c>
      <c r="BK161" s="3396">
        <f t="shared" si="700"/>
        <v>0.54525737420474263</v>
      </c>
      <c r="BL161" s="3396">
        <f t="shared" si="700"/>
        <v>0.54873501997336882</v>
      </c>
      <c r="BM161" s="3396">
        <f t="shared" si="700"/>
        <v>0.5588886156872388</v>
      </c>
      <c r="BN161" s="3397">
        <f t="shared" si="700"/>
        <v>0.55218751073993888</v>
      </c>
      <c r="BO161" s="3396">
        <v>0.54775660725261222</v>
      </c>
      <c r="BP161" s="3396">
        <v>0.4805491990846682</v>
      </c>
      <c r="BQ161" s="3396">
        <v>0.4084370311534728</v>
      </c>
      <c r="BR161" s="3399">
        <v>0.46079901225857661</v>
      </c>
      <c r="BS161" s="3400">
        <v>0.46831935475890052</v>
      </c>
      <c r="BT161" s="3396">
        <f>BT57/BT9</f>
        <v>0.54775660725261222</v>
      </c>
      <c r="BU161" s="3396">
        <f>BU57/BU9</f>
        <v>0.55691056910569103</v>
      </c>
      <c r="BV161" s="3396">
        <f>BV57/BV9</f>
        <v>0.54579716765646413</v>
      </c>
      <c r="BW161" s="3396">
        <f>BW57/BW9</f>
        <v>0.54727735368956743</v>
      </c>
      <c r="BX161" s="3397">
        <f>BX57/BX9</f>
        <v>0.54926887666391133</v>
      </c>
      <c r="BY161" s="3396">
        <v>0.45143999273189789</v>
      </c>
      <c r="BZ161" s="3396">
        <v>0.4450054093040029</v>
      </c>
      <c r="CA161" s="3396">
        <v>0.44492911668484186</v>
      </c>
      <c r="CB161" s="3396">
        <v>0.43364334219072925</v>
      </c>
      <c r="CC161" s="3397">
        <v>0.44323915237134209</v>
      </c>
      <c r="CD161" s="3396">
        <f t="shared" ref="CD161:DI161" si="701">CD57/CD9</f>
        <v>0.53078386224847329</v>
      </c>
      <c r="CE161" s="3396">
        <f t="shared" si="701"/>
        <v>0.51892213195957992</v>
      </c>
      <c r="CF161" s="3396">
        <f t="shared" si="701"/>
        <v>0.51854943424225564</v>
      </c>
      <c r="CG161" s="3396">
        <f t="shared" si="701"/>
        <v>0.5112527224328467</v>
      </c>
      <c r="CH161" s="3397">
        <f t="shared" si="701"/>
        <v>0.51938235362104435</v>
      </c>
      <c r="CI161" s="3396">
        <f t="shared" si="701"/>
        <v>0.49556941253692155</v>
      </c>
      <c r="CJ161" s="3396">
        <f t="shared" si="701"/>
        <v>0.49099668298846944</v>
      </c>
      <c r="CK161" s="3396">
        <f t="shared" si="701"/>
        <v>0.49533206831119547</v>
      </c>
      <c r="CL161" s="3396">
        <f t="shared" si="701"/>
        <v>0.47414209763170612</v>
      </c>
      <c r="CM161" s="3397">
        <f t="shared" si="701"/>
        <v>0.48853420691756816</v>
      </c>
      <c r="CN161" s="3396">
        <f t="shared" si="701"/>
        <v>0.49069215841299502</v>
      </c>
      <c r="CO161" s="3396">
        <f t="shared" si="701"/>
        <v>0.50111498257839726</v>
      </c>
      <c r="CP161" s="3396">
        <f t="shared" si="701"/>
        <v>0.48898007809914623</v>
      </c>
      <c r="CQ161" s="3396">
        <f t="shared" si="701"/>
        <v>0.47585967349774227</v>
      </c>
      <c r="CR161" s="3397">
        <f t="shared" si="701"/>
        <v>0.48850707383834052</v>
      </c>
      <c r="CS161" s="3396">
        <f t="shared" si="701"/>
        <v>0.498330196126055</v>
      </c>
      <c r="CT161" s="3396">
        <f t="shared" si="701"/>
        <v>0.5113266761768902</v>
      </c>
      <c r="CU161" s="3396">
        <f t="shared" si="701"/>
        <v>0.50484427171711643</v>
      </c>
      <c r="CV161" s="3396">
        <f t="shared" si="701"/>
        <v>0.47944947209653094</v>
      </c>
      <c r="CW161" s="3397">
        <f t="shared" si="701"/>
        <v>0.4975979531566842</v>
      </c>
      <c r="CX161" s="3396">
        <f t="shared" si="701"/>
        <v>0.50096913672282695</v>
      </c>
      <c r="CY161" s="3396">
        <f t="shared" si="701"/>
        <v>0.50174482527845499</v>
      </c>
      <c r="CZ161" s="3396">
        <f t="shared" si="701"/>
        <v>0.51023798832510103</v>
      </c>
      <c r="DA161" s="3396">
        <f t="shared" si="701"/>
        <v>0.44590886252077455</v>
      </c>
      <c r="DB161" s="3397">
        <f t="shared" si="701"/>
        <v>0.48749201080923493</v>
      </c>
      <c r="DC161" s="3396">
        <f t="shared" si="701"/>
        <v>0.48579934025263499</v>
      </c>
      <c r="DD161" s="3396">
        <f t="shared" si="701"/>
        <v>0.48187673895643557</v>
      </c>
      <c r="DE161" s="3396">
        <f t="shared" si="701"/>
        <v>0.48641284336107227</v>
      </c>
      <c r="DF161" s="3396">
        <f t="shared" si="701"/>
        <v>0.40998743718592967</v>
      </c>
      <c r="DG161" s="3397">
        <f t="shared" si="701"/>
        <v>0.46309029638578292</v>
      </c>
      <c r="DH161" s="3396">
        <f t="shared" si="701"/>
        <v>0.46429661793140881</v>
      </c>
      <c r="DI161" s="3396">
        <f t="shared" si="701"/>
        <v>0.46587396707247841</v>
      </c>
      <c r="DJ161" s="3396">
        <f t="shared" ref="DJ161:EX161" si="702">DJ57/DJ9</f>
        <v>0.44596928110515316</v>
      </c>
      <c r="DK161" s="3396">
        <f t="shared" si="702"/>
        <v>0.40783520519508171</v>
      </c>
      <c r="DL161" s="3397">
        <f t="shared" si="702"/>
        <v>0.4439848825207941</v>
      </c>
      <c r="DM161" s="3396">
        <f t="shared" si="702"/>
        <v>0.42353220399323582</v>
      </c>
      <c r="DN161" s="3396">
        <f t="shared" si="702"/>
        <v>0.41613137993228488</v>
      </c>
      <c r="DO161" s="3396">
        <f t="shared" si="702"/>
        <v>0.47059752150919565</v>
      </c>
      <c r="DP161" s="3396">
        <f t="shared" si="702"/>
        <v>0.48671175051688492</v>
      </c>
      <c r="DQ161" s="3397">
        <f t="shared" si="702"/>
        <v>0.45350553259120263</v>
      </c>
      <c r="DR161" s="3396">
        <f t="shared" si="702"/>
        <v>0.50293846761106964</v>
      </c>
      <c r="DS161" s="3396">
        <f t="shared" si="702"/>
        <v>0.51243351455319819</v>
      </c>
      <c r="DT161" s="3396">
        <f t="shared" si="702"/>
        <v>0.52609101081685938</v>
      </c>
      <c r="DU161" s="3396">
        <f t="shared" si="702"/>
        <v>0.47300397428026753</v>
      </c>
      <c r="DV161" s="3397">
        <f t="shared" si="702"/>
        <v>0.50233648165001343</v>
      </c>
      <c r="DW161" s="3396">
        <f t="shared" si="702"/>
        <v>0.50659574088288317</v>
      </c>
      <c r="DX161" s="3396">
        <f t="shared" si="702"/>
        <v>0.48953385185571852</v>
      </c>
      <c r="DY161" s="3396">
        <f t="shared" si="702"/>
        <v>0.45676317535710542</v>
      </c>
      <c r="DZ161" s="3396">
        <f t="shared" si="702"/>
        <v>0.43503952600478429</v>
      </c>
      <c r="EA161" s="3397">
        <f t="shared" si="702"/>
        <v>0.47088904186316971</v>
      </c>
      <c r="EB161" s="3396">
        <f t="shared" si="702"/>
        <v>0.4457858299176799</v>
      </c>
      <c r="EC161" s="3396">
        <f t="shared" si="702"/>
        <v>0.49960526527784493</v>
      </c>
      <c r="ED161" s="3396">
        <f t="shared" si="702"/>
        <v>0.48220948931320357</v>
      </c>
      <c r="EE161" s="3396">
        <f t="shared" si="702"/>
        <v>0.45174492561252144</v>
      </c>
      <c r="EF161" s="3397">
        <f t="shared" si="702"/>
        <v>0.46958379465747657</v>
      </c>
      <c r="EG161" s="3396">
        <f t="shared" si="702"/>
        <v>0.50521503706005055</v>
      </c>
      <c r="EH161" s="3396">
        <f t="shared" si="702"/>
        <v>0.51850606124308041</v>
      </c>
      <c r="EI161" s="3396">
        <f t="shared" si="702"/>
        <v>0.51445358086627591</v>
      </c>
      <c r="EJ161" s="3396">
        <f t="shared" si="702"/>
        <v>0.50216243368740887</v>
      </c>
      <c r="EK161" s="3397">
        <f t="shared" si="702"/>
        <v>0.50991806667163642</v>
      </c>
      <c r="EL161" s="3396">
        <f t="shared" si="702"/>
        <v>0.53093376565646</v>
      </c>
      <c r="EM161" s="3396">
        <f t="shared" si="702"/>
        <v>0.51719834073639004</v>
      </c>
      <c r="EN161" s="3396">
        <f t="shared" ref="EN161" si="703">EN57/EN9</f>
        <v>0.53348576654853097</v>
      </c>
      <c r="EO161" s="3396">
        <f t="shared" si="702"/>
        <v>0.52400000000000002</v>
      </c>
      <c r="EP161" s="3397">
        <f t="shared" si="702"/>
        <v>0.5263537652529553</v>
      </c>
      <c r="EQ161" s="3396">
        <f t="shared" ref="EQ161:EU161" si="704">EQ57/EQ9</f>
        <v>0.5625</v>
      </c>
      <c r="ER161" s="3396">
        <f t="shared" si="704"/>
        <v>0.56589427089069166</v>
      </c>
      <c r="ES161" s="3396">
        <f t="shared" si="704"/>
        <v>0.55730210357836973</v>
      </c>
      <c r="ET161" s="3396">
        <f t="shared" si="704"/>
        <v>0.54900000000000004</v>
      </c>
      <c r="EU161" s="3397">
        <f t="shared" si="704"/>
        <v>0.55820972171279082</v>
      </c>
      <c r="EV161" s="3397">
        <f t="shared" si="702"/>
        <v>0.56499999999999995</v>
      </c>
      <c r="EW161" s="3397">
        <f t="shared" si="702"/>
        <v>0.56620000000000004</v>
      </c>
      <c r="EX161" s="3397">
        <f t="shared" si="702"/>
        <v>0.56799999999999995</v>
      </c>
      <c r="EY161" s="3397">
        <f t="shared" ref="EY161" si="705">EY57/EY9</f>
        <v>0.57309999999999994</v>
      </c>
      <c r="EZ161" s="626"/>
      <c r="FA161" s="4289"/>
      <c r="FB161" s="4289"/>
      <c r="FC161" s="4289"/>
      <c r="FD161" s="4289"/>
      <c r="FE161" s="4289"/>
      <c r="FF161" s="4289"/>
      <c r="FG161" s="4289"/>
      <c r="FH161" s="4289"/>
      <c r="FI161" s="4289"/>
      <c r="FJ161" s="4289"/>
      <c r="FK161" s="4289"/>
      <c r="FL161" s="4289"/>
    </row>
    <row r="162" spans="1:168" s="311" customFormat="1" ht="11.25" hidden="1" customHeight="1" outlineLevel="1">
      <c r="A162" s="3765" t="s">
        <v>734</v>
      </c>
      <c r="B162" s="209"/>
      <c r="C162" s="209"/>
      <c r="D162" s="209"/>
      <c r="E162" s="209"/>
      <c r="F162" s="1019"/>
      <c r="G162" s="209"/>
      <c r="H162" s="209"/>
      <c r="I162" s="209"/>
      <c r="J162" s="209"/>
      <c r="K162" s="1019"/>
      <c r="L162" s="209"/>
      <c r="M162" s="209"/>
      <c r="N162" s="209"/>
      <c r="O162" s="209"/>
      <c r="P162" s="2890" t="s">
        <v>116</v>
      </c>
      <c r="Q162" s="2891" t="s">
        <v>116</v>
      </c>
      <c r="R162" s="2891" t="s">
        <v>116</v>
      </c>
      <c r="S162" s="2891" t="s">
        <v>116</v>
      </c>
      <c r="T162" s="2891" t="s">
        <v>116</v>
      </c>
      <c r="U162" s="2890">
        <f t="shared" ref="U162:BN162" si="706">(U161-P161)*10000</f>
        <v>2529.5131126468505</v>
      </c>
      <c r="V162" s="2891">
        <f t="shared" si="706"/>
        <v>2896.4739449705771</v>
      </c>
      <c r="W162" s="2891">
        <f t="shared" si="706"/>
        <v>1636.165408126674</v>
      </c>
      <c r="X162" s="2891">
        <f t="shared" si="706"/>
        <v>445.77827945229132</v>
      </c>
      <c r="Y162" s="2891">
        <f t="shared" si="706"/>
        <v>-286.89412203741438</v>
      </c>
      <c r="Z162" s="2890">
        <f t="shared" si="706"/>
        <v>-75.0414160097923</v>
      </c>
      <c r="AA162" s="2891">
        <f t="shared" si="706"/>
        <v>-673.34746021588956</v>
      </c>
      <c r="AB162" s="2891">
        <f t="shared" si="706"/>
        <v>-472.58173628887846</v>
      </c>
      <c r="AC162" s="2891">
        <f t="shared" si="706"/>
        <v>-254.30208143216393</v>
      </c>
      <c r="AD162" s="2891">
        <f t="shared" si="706"/>
        <v>105.07223706690105</v>
      </c>
      <c r="AE162" s="2890">
        <f t="shared" si="706"/>
        <v>-269.36524934772945</v>
      </c>
      <c r="AF162" s="2891">
        <f t="shared" si="706"/>
        <v>182.03026775518327</v>
      </c>
      <c r="AG162" s="2891">
        <f t="shared" si="706"/>
        <v>65.715644354147344</v>
      </c>
      <c r="AH162" s="2891">
        <f t="shared" si="706"/>
        <v>20.900748769476785</v>
      </c>
      <c r="AI162" s="2891">
        <f t="shared" si="706"/>
        <v>-195.96971644003648</v>
      </c>
      <c r="AJ162" s="2890">
        <f t="shared" si="706"/>
        <v>-6.3378000522962274</v>
      </c>
      <c r="AK162" s="2891">
        <f t="shared" si="706"/>
        <v>-345.91883671592939</v>
      </c>
      <c r="AL162" s="2891">
        <f t="shared" si="706"/>
        <v>-338.78186824635947</v>
      </c>
      <c r="AM162" s="2891">
        <f t="shared" si="706"/>
        <v>-64.316950323397577</v>
      </c>
      <c r="AN162" s="2891">
        <f t="shared" si="706"/>
        <v>-99.545757690749909</v>
      </c>
      <c r="AO162" s="2890">
        <f t="shared" si="706"/>
        <v>-187.83640910234988</v>
      </c>
      <c r="AP162" s="2891">
        <f t="shared" si="706"/>
        <v>-206.5675486412577</v>
      </c>
      <c r="AQ162" s="2891">
        <f t="shared" si="706"/>
        <v>-513.72704344131103</v>
      </c>
      <c r="AR162" s="2891">
        <f t="shared" si="706"/>
        <v>-495.05175455719865</v>
      </c>
      <c r="AS162" s="2891">
        <f t="shared" si="706"/>
        <v>-373.61190952843293</v>
      </c>
      <c r="AT162" s="2890">
        <f t="shared" si="706"/>
        <v>-397.89486285322084</v>
      </c>
      <c r="AU162" s="2891">
        <f t="shared" si="706"/>
        <v>-493.55723321460988</v>
      </c>
      <c r="AV162" s="2891">
        <f t="shared" si="706"/>
        <v>-15.40276257480433</v>
      </c>
      <c r="AW162" s="2891">
        <f t="shared" si="706"/>
        <v>101.89590679330674</v>
      </c>
      <c r="AX162" s="2891">
        <f t="shared" si="706"/>
        <v>169.0395744096962</v>
      </c>
      <c r="AY162" s="2890">
        <f t="shared" si="706"/>
        <v>-40.833188181478299</v>
      </c>
      <c r="AZ162" s="2891">
        <f t="shared" si="706"/>
        <v>447.85557264536038</v>
      </c>
      <c r="BA162" s="2891">
        <f t="shared" si="706"/>
        <v>491.51666774733371</v>
      </c>
      <c r="BB162" s="2891">
        <f t="shared" si="706"/>
        <v>362.14124601374186</v>
      </c>
      <c r="BC162" s="2891">
        <f t="shared" si="706"/>
        <v>301.00799214624271</v>
      </c>
      <c r="BD162" s="2890">
        <f t="shared" si="706"/>
        <v>398.27503176684485</v>
      </c>
      <c r="BE162" s="2892">
        <f t="shared" si="706"/>
        <v>-154.404325972739</v>
      </c>
      <c r="BF162" s="2891">
        <f t="shared" si="706"/>
        <v>-323.44909876201535</v>
      </c>
      <c r="BG162" s="2891">
        <f t="shared" si="706"/>
        <v>-351.53401035760703</v>
      </c>
      <c r="BH162" s="2891">
        <f t="shared" si="706"/>
        <v>-404.09032670492229</v>
      </c>
      <c r="BI162" s="2890">
        <f t="shared" si="706"/>
        <v>-314.80275991748408</v>
      </c>
      <c r="BJ162" s="2891">
        <f t="shared" si="706"/>
        <v>-589.91399304143317</v>
      </c>
      <c r="BK162" s="2891">
        <f t="shared" si="706"/>
        <v>-475.09921392741683</v>
      </c>
      <c r="BL162" s="2891">
        <f t="shared" si="706"/>
        <v>-476.88990243744843</v>
      </c>
      <c r="BM162" s="2891">
        <f t="shared" si="706"/>
        <v>-311.28650048124598</v>
      </c>
      <c r="BN162" s="2890">
        <f t="shared" si="706"/>
        <v>-456.12889187347071</v>
      </c>
      <c r="BO162" s="2891">
        <v>-73.910139803692317</v>
      </c>
      <c r="BP162" s="2891">
        <v>-647.08175120074429</v>
      </c>
      <c r="BQ162" s="2891">
        <v>-1402.9798881989602</v>
      </c>
      <c r="BR162" s="2893">
        <v>-980.8960342866219</v>
      </c>
      <c r="BS162" s="2894">
        <v>-838.68155981038365</v>
      </c>
      <c r="BT162" s="2891">
        <f>(BT161-BJ161)*10000</f>
        <v>-73.910139803692317</v>
      </c>
      <c r="BU162" s="2891">
        <f>(BU161-BK161)*10000</f>
        <v>116.53194900948405</v>
      </c>
      <c r="BV162" s="2891">
        <f>(BV161-BL161)*10000</f>
        <v>-29.378523169046879</v>
      </c>
      <c r="BW162" s="2891">
        <f>(BW161-BM161)*10000</f>
        <v>-116.11261997671375</v>
      </c>
      <c r="BX162" s="2890">
        <f>(BX161-BN161)*10000</f>
        <v>-29.186340760275485</v>
      </c>
      <c r="BY162" s="2891">
        <v>-963.16614520714324</v>
      </c>
      <c r="BZ162" s="2891">
        <v>-355.43789780665304</v>
      </c>
      <c r="CA162" s="2891">
        <v>364.92085531369065</v>
      </c>
      <c r="CB162" s="2891">
        <v>-271.55670067847359</v>
      </c>
      <c r="CC162" s="2890">
        <v>-250.80202387558427</v>
      </c>
      <c r="CD162" s="2891">
        <f>(CD161-BT161)*10000</f>
        <v>-169.72745004138923</v>
      </c>
      <c r="CE162" s="2891">
        <f>(CE161-BU161)*10000</f>
        <v>-379.88437146111107</v>
      </c>
      <c r="CF162" s="2891">
        <f>(CF161-BV161)*10000</f>
        <v>-272.47733414208494</v>
      </c>
      <c r="CG162" s="2891">
        <f>(CG161-BW161)*10000</f>
        <v>-360.24631256720727</v>
      </c>
      <c r="CH162" s="2890">
        <f>(CH161-BX161)*10000</f>
        <v>-298.86523042866986</v>
      </c>
      <c r="CI162" s="2891">
        <f t="shared" ref="CI162:DB162" si="707">(CI161-CD161)*10000</f>
        <v>-352.14449711551742</v>
      </c>
      <c r="CJ162" s="2891">
        <f t="shared" si="707"/>
        <v>-279.2544897111049</v>
      </c>
      <c r="CK162" s="2891">
        <f t="shared" si="707"/>
        <v>-232.17365931060164</v>
      </c>
      <c r="CL162" s="2891">
        <f t="shared" si="707"/>
        <v>-371.1062480114058</v>
      </c>
      <c r="CM162" s="2890">
        <f t="shared" si="707"/>
        <v>-308.48146703476186</v>
      </c>
      <c r="CN162" s="2891">
        <f t="shared" si="707"/>
        <v>-48.77254123926533</v>
      </c>
      <c r="CO162" s="2891">
        <f t="shared" si="707"/>
        <v>101.18299589927827</v>
      </c>
      <c r="CP162" s="2891">
        <f t="shared" si="707"/>
        <v>-63.519902120492411</v>
      </c>
      <c r="CQ162" s="2891">
        <f t="shared" si="707"/>
        <v>17.175758660361584</v>
      </c>
      <c r="CR162" s="2890">
        <f t="shared" si="707"/>
        <v>-0.27133079227636969</v>
      </c>
      <c r="CS162" s="2891">
        <f t="shared" si="707"/>
        <v>76.380377130599868</v>
      </c>
      <c r="CT162" s="2891">
        <f t="shared" si="707"/>
        <v>102.11693598492944</v>
      </c>
      <c r="CU162" s="2891">
        <f t="shared" si="707"/>
        <v>158.64193617970201</v>
      </c>
      <c r="CV162" s="2891">
        <f t="shared" si="707"/>
        <v>35.897985987886628</v>
      </c>
      <c r="CW162" s="2890">
        <f t="shared" si="707"/>
        <v>90.908793183436813</v>
      </c>
      <c r="CX162" s="2891">
        <f t="shared" si="707"/>
        <v>26.389405967719437</v>
      </c>
      <c r="CY162" s="2891">
        <f t="shared" si="707"/>
        <v>-95.818508984352178</v>
      </c>
      <c r="CZ162" s="2891">
        <f t="shared" si="707"/>
        <v>53.937166079846001</v>
      </c>
      <c r="DA162" s="2891">
        <f t="shared" si="707"/>
        <v>-335.40609575756383</v>
      </c>
      <c r="DB162" s="2890">
        <f t="shared" si="707"/>
        <v>-101.0594234744927</v>
      </c>
      <c r="DC162" s="2891">
        <f t="shared" ref="DC162:DQ162" si="708">(DC161-CX161)*10000</f>
        <v>-151.69796470191955</v>
      </c>
      <c r="DD162" s="2891">
        <f t="shared" si="708"/>
        <v>-198.68086322019417</v>
      </c>
      <c r="DE162" s="2891">
        <f t="shared" si="708"/>
        <v>-238.25144964028766</v>
      </c>
      <c r="DF162" s="2891">
        <f t="shared" si="708"/>
        <v>-359.21425334844884</v>
      </c>
      <c r="DG162" s="2890">
        <f t="shared" si="708"/>
        <v>-244.01714423452015</v>
      </c>
      <c r="DH162" s="2891">
        <f t="shared" si="708"/>
        <v>-215.02722321226187</v>
      </c>
      <c r="DI162" s="2891">
        <f t="shared" si="708"/>
        <v>-160.02771883957158</v>
      </c>
      <c r="DJ162" s="2891">
        <f t="shared" si="708"/>
        <v>-404.43562255919107</v>
      </c>
      <c r="DK162" s="2891">
        <f t="shared" si="708"/>
        <v>-21.522319908479638</v>
      </c>
      <c r="DL162" s="2890">
        <f t="shared" si="708"/>
        <v>-191.05413864988819</v>
      </c>
      <c r="DM162" s="2891">
        <f t="shared" si="708"/>
        <v>-407.64413938172981</v>
      </c>
      <c r="DN162" s="2891">
        <f t="shared" si="708"/>
        <v>-497.4258714019353</v>
      </c>
      <c r="DO162" s="2891">
        <f t="shared" si="708"/>
        <v>246.28240404042489</v>
      </c>
      <c r="DP162" s="2891">
        <f t="shared" si="708"/>
        <v>788.76545321803212</v>
      </c>
      <c r="DQ162" s="2890">
        <f t="shared" si="708"/>
        <v>95.206500704085315</v>
      </c>
      <c r="DR162" s="2891">
        <f t="shared" ref="DR162:EN162" si="709">(DR161-DM161)*10000</f>
        <v>794.06263617833815</v>
      </c>
      <c r="DS162" s="2891">
        <f t="shared" si="709"/>
        <v>963.02134620913307</v>
      </c>
      <c r="DT162" s="2891">
        <f t="shared" si="709"/>
        <v>554.93489307663731</v>
      </c>
      <c r="DU162" s="2891">
        <f t="shared" si="709"/>
        <v>-137.07776236617397</v>
      </c>
      <c r="DV162" s="2890">
        <f t="shared" si="709"/>
        <v>488.30949058810802</v>
      </c>
      <c r="DW162" s="2891">
        <f t="shared" si="709"/>
        <v>36.572732718135327</v>
      </c>
      <c r="DX162" s="2891">
        <f t="shared" si="709"/>
        <v>-228.99662697479673</v>
      </c>
      <c r="DY162" s="2891">
        <f t="shared" si="709"/>
        <v>-693.27835459753965</v>
      </c>
      <c r="DZ162" s="2891">
        <f t="shared" si="709"/>
        <v>-379.64448275483232</v>
      </c>
      <c r="EA162" s="2890">
        <f t="shared" si="709"/>
        <v>-314.47439786843722</v>
      </c>
      <c r="EB162" s="2891">
        <f t="shared" si="709"/>
        <v>-608.09910965203278</v>
      </c>
      <c r="EC162" s="2891">
        <f t="shared" si="709"/>
        <v>100.71413422126419</v>
      </c>
      <c r="ED162" s="2891">
        <f t="shared" si="709"/>
        <v>254.46313956098143</v>
      </c>
      <c r="EE162" s="2891">
        <f t="shared" si="709"/>
        <v>167.05399607737149</v>
      </c>
      <c r="EF162" s="2890">
        <f t="shared" ref="EF162:EK162" si="710">(EF161-EA161)*10000</f>
        <v>-13.052472056931386</v>
      </c>
      <c r="EG162" s="2891">
        <f t="shared" si="709"/>
        <v>594.2920714237066</v>
      </c>
      <c r="EH162" s="2891">
        <f t="shared" si="709"/>
        <v>189.00795965235474</v>
      </c>
      <c r="EI162" s="2891">
        <f t="shared" si="709"/>
        <v>322.44091553072343</v>
      </c>
      <c r="EJ162" s="2891">
        <f t="shared" si="709"/>
        <v>504.17508074887428</v>
      </c>
      <c r="EK162" s="2890">
        <f t="shared" si="710"/>
        <v>403.34272014159842</v>
      </c>
      <c r="EL162" s="2891">
        <f t="shared" si="709"/>
        <v>257.18728596409449</v>
      </c>
      <c r="EM162" s="2891">
        <f t="shared" si="709"/>
        <v>-13.077205066903685</v>
      </c>
      <c r="EN162" s="2891">
        <f t="shared" si="709"/>
        <v>190.32185682255064</v>
      </c>
      <c r="EO162" s="2891">
        <f t="shared" ref="EO162:EP162" si="711">(EO161-EJ161)*10000</f>
        <v>218.3756631259115</v>
      </c>
      <c r="EP162" s="2890">
        <f t="shared" si="711"/>
        <v>164.3569858131888</v>
      </c>
      <c r="EQ162" s="2891">
        <f t="shared" ref="EQ162" si="712">(EQ161-EL161)*10000</f>
        <v>315.66234343540003</v>
      </c>
      <c r="ER162" s="2891">
        <f t="shared" ref="ER162" si="713">(ER161-EM161)*10000</f>
        <v>486.95930154301624</v>
      </c>
      <c r="ES162" s="2891">
        <f t="shared" ref="ES162" si="714">(ES161-EN161)*10000</f>
        <v>238.16337029838763</v>
      </c>
      <c r="ET162" s="2891">
        <f t="shared" ref="ET162:EU162" si="715">(ET161-EO161)*10000</f>
        <v>250.00000000000023</v>
      </c>
      <c r="EU162" s="2890">
        <f t="shared" si="715"/>
        <v>318.55956459835522</v>
      </c>
      <c r="EV162" s="2890">
        <f>(EV161-EU161)*10000</f>
        <v>67.902782872091279</v>
      </c>
      <c r="EW162" s="2890">
        <f>(EW161-EV161)*10000</f>
        <v>12.000000000000899</v>
      </c>
      <c r="EX162" s="2890">
        <f>(EX161-EW161)*10000</f>
        <v>17.999999999999126</v>
      </c>
      <c r="EY162" s="2890">
        <f>(EY161-EX161)*10000</f>
        <v>50.999999999999936</v>
      </c>
      <c r="EZ162" s="226"/>
      <c r="FA162" s="4287"/>
      <c r="FB162" s="4287"/>
      <c r="FC162" s="4287"/>
      <c r="FD162" s="4287"/>
      <c r="FE162" s="4287"/>
      <c r="FF162" s="4287"/>
      <c r="FG162" s="4287"/>
      <c r="FH162" s="4287"/>
      <c r="FI162" s="4287"/>
      <c r="FJ162" s="4287"/>
      <c r="FK162" s="4287"/>
      <c r="FL162" s="4287"/>
    </row>
    <row r="163" spans="1:168" s="311" customFormat="1" ht="11.25" hidden="1" customHeight="1" outlineLevel="1">
      <c r="A163" s="3765" t="s">
        <v>735</v>
      </c>
      <c r="B163" s="209"/>
      <c r="C163" s="209"/>
      <c r="D163" s="209"/>
      <c r="E163" s="209"/>
      <c r="F163" s="1019"/>
      <c r="G163" s="209"/>
      <c r="H163" s="209"/>
      <c r="I163" s="209"/>
      <c r="J163" s="209"/>
      <c r="K163" s="1019"/>
      <c r="L163" s="209"/>
      <c r="M163" s="209"/>
      <c r="N163" s="209"/>
      <c r="O163" s="209"/>
      <c r="P163" s="2890" t="s">
        <v>116</v>
      </c>
      <c r="Q163" s="2891" t="s">
        <v>116</v>
      </c>
      <c r="R163" s="2891">
        <f>(R161-Q161)*10000</f>
        <v>909.39192029950436</v>
      </c>
      <c r="S163" s="2891">
        <f>(S161-R161)*10000</f>
        <v>800.51097275263055</v>
      </c>
      <c r="T163" s="2891">
        <f>(T161-S161)*10000</f>
        <v>486.43596831966283</v>
      </c>
      <c r="U163" s="2890" t="s">
        <v>116</v>
      </c>
      <c r="V163" s="2891">
        <f>(V161-T161)*10000</f>
        <v>700.1350835987796</v>
      </c>
      <c r="W163" s="2891">
        <f>(W161-V161)*10000</f>
        <v>-350.91661654439889</v>
      </c>
      <c r="X163" s="2891">
        <f>(X161-W161)*10000</f>
        <v>-389.87615592175229</v>
      </c>
      <c r="Y163" s="2891">
        <f>(Y161-X161)*10000</f>
        <v>-246.23643317004286</v>
      </c>
      <c r="Z163" s="2890" t="s">
        <v>116</v>
      </c>
      <c r="AA163" s="2891">
        <f>(AA161-Y161)*10000</f>
        <v>313.68174542030448</v>
      </c>
      <c r="AB163" s="2891">
        <f>(AB161-AA161)*10000</f>
        <v>-150.1508926173878</v>
      </c>
      <c r="AC163" s="2891">
        <f>(AC161-AB161)*10000</f>
        <v>-171.59650106503776</v>
      </c>
      <c r="AD163" s="2891">
        <f>(AD161-AC161)*10000</f>
        <v>113.13788532902214</v>
      </c>
      <c r="AE163" s="2890" t="s">
        <v>116</v>
      </c>
      <c r="AF163" s="2891">
        <f>(AF161-AD161)*10000</f>
        <v>390.63977610858672</v>
      </c>
      <c r="AG163" s="2891">
        <f>(AG161-AF161)*10000</f>
        <v>-266.46551601842373</v>
      </c>
      <c r="AH163" s="2891">
        <f>(AH161-AG161)*10000</f>
        <v>-216.41139664970831</v>
      </c>
      <c r="AI163" s="2891">
        <f>(AI161-AH161)*10000</f>
        <v>-103.73257988049112</v>
      </c>
      <c r="AJ163" s="2890" t="s">
        <v>116</v>
      </c>
      <c r="AK163" s="2891">
        <f>(AK161-AI161)*10000</f>
        <v>240.69065583269378</v>
      </c>
      <c r="AL163" s="2891">
        <f>(AL161-AK161)*10000</f>
        <v>-259.32854754885381</v>
      </c>
      <c r="AM163" s="2891">
        <f>(AM161-AL161)*10000</f>
        <v>58.05352127325358</v>
      </c>
      <c r="AN163" s="2891">
        <f>(AN161-AM161)*10000</f>
        <v>-138.96138724784345</v>
      </c>
      <c r="AO163" s="2890" t="s">
        <v>116</v>
      </c>
      <c r="AP163" s="2891">
        <f>(AP161-AN161)*10000</f>
        <v>133.668864882186</v>
      </c>
      <c r="AQ163" s="2891">
        <f>(AQ161-AP161)*10000</f>
        <v>-566.48804234890713</v>
      </c>
      <c r="AR163" s="2891">
        <f>(AR161-AQ161)*10000</f>
        <v>76.728810157365984</v>
      </c>
      <c r="AS163" s="2891">
        <f>(AS161-AR161)*10000</f>
        <v>-17.521542219077759</v>
      </c>
      <c r="AT163" s="2890" t="s">
        <v>116</v>
      </c>
      <c r="AU163" s="2891">
        <f>(AU161-AS161)*10000</f>
        <v>13.723541196009048</v>
      </c>
      <c r="AV163" s="2891">
        <f>(AV161-AU161)*10000</f>
        <v>-88.333571709101605</v>
      </c>
      <c r="AW163" s="2891">
        <f>(AW161-AV161)*10000</f>
        <v>194.02747952547705</v>
      </c>
      <c r="AX163" s="2891">
        <f>(AX161-AW161)*10000</f>
        <v>49.622125397311699</v>
      </c>
      <c r="AY163" s="2890" t="s">
        <v>116</v>
      </c>
      <c r="AZ163" s="2891">
        <f>(AZ161-AX161)*10000</f>
        <v>292.53953943167323</v>
      </c>
      <c r="BA163" s="2891">
        <f>(BA161-AZ161)*10000</f>
        <v>-44.672476607128253</v>
      </c>
      <c r="BB163" s="2891">
        <f>(BB161-BA161)*10000</f>
        <v>64.652057791885213</v>
      </c>
      <c r="BC163" s="2891">
        <f>(BC161-BB161)*10000</f>
        <v>-11.511128470187426</v>
      </c>
      <c r="BD163" s="2890" t="s">
        <v>116</v>
      </c>
      <c r="BE163" s="2892">
        <f>(BE161-BD161)*10000</f>
        <v>-151.41655381909592</v>
      </c>
      <c r="BF163" s="2891">
        <f>(BF161-BE161)*10000</f>
        <v>-213.71724939640458</v>
      </c>
      <c r="BG163" s="2891">
        <f>(BG161-BF161)*10000</f>
        <v>36.567146196293535</v>
      </c>
      <c r="BH163" s="2891">
        <f>(BH161-BG161)*10000</f>
        <v>-64.067444817502704</v>
      </c>
      <c r="BI163" s="2890" t="s">
        <v>116</v>
      </c>
      <c r="BJ163" s="2891">
        <f>(BJ161-BI161)*10000</f>
        <v>-426.52778694304504</v>
      </c>
      <c r="BK163" s="2891">
        <f>(BK161-BJ161)*10000</f>
        <v>-98.902470282388194</v>
      </c>
      <c r="BL163" s="2891">
        <f>(BL161-BK161)*10000</f>
        <v>34.776457686261921</v>
      </c>
      <c r="BM163" s="2891">
        <f>(BM161-BL161)*10000</f>
        <v>101.53595713869979</v>
      </c>
      <c r="BN163" s="2890" t="s">
        <v>116</v>
      </c>
      <c r="BO163" s="2891">
        <v>-44.309034873266654</v>
      </c>
      <c r="BP163" s="2891">
        <v>-672.07408167944016</v>
      </c>
      <c r="BQ163" s="2891">
        <v>-721.12167931195404</v>
      </c>
      <c r="BR163" s="2893">
        <v>523.61981105103814</v>
      </c>
      <c r="BS163" s="2894" t="s">
        <v>116</v>
      </c>
      <c r="BT163" s="2891">
        <f>(BT161-BN161)*10000</f>
        <v>-44.309034873266654</v>
      </c>
      <c r="BU163" s="2891">
        <f>(BU161-BT161)*10000</f>
        <v>91.539618530788175</v>
      </c>
      <c r="BV163" s="2891">
        <f>(BV161-BU161)*10000</f>
        <v>-111.134014492269</v>
      </c>
      <c r="BW163" s="2891">
        <f>(BW161-BV161)*10000</f>
        <v>14.801860331032923</v>
      </c>
      <c r="BX163" s="2890" t="s">
        <v>116</v>
      </c>
      <c r="BY163" s="2891">
        <v>-168.79362027002631</v>
      </c>
      <c r="BZ163" s="2891">
        <v>-64.345834278949908</v>
      </c>
      <c r="CA163" s="2891">
        <v>-0.76292619161033581</v>
      </c>
      <c r="CB163" s="2891">
        <v>-112.8577449411261</v>
      </c>
      <c r="CC163" s="2890" t="s">
        <v>116</v>
      </c>
      <c r="CD163" s="2891">
        <f>(CD161-BX161)*10000</f>
        <v>-184.85014415438039</v>
      </c>
      <c r="CE163" s="2891">
        <f>(CE161-CD161)*10000</f>
        <v>-118.61730288893368</v>
      </c>
      <c r="CF163" s="2891">
        <f>(CF161-CE161)*10000</f>
        <v>-3.7269771732428847</v>
      </c>
      <c r="CG163" s="2891">
        <f>(CG161-CF161)*10000</f>
        <v>-72.9671180940894</v>
      </c>
      <c r="CH163" s="2890" t="s">
        <v>116</v>
      </c>
      <c r="CI163" s="2891">
        <f>(CI161-CH161)*10000</f>
        <v>-238.12941084122795</v>
      </c>
      <c r="CJ163" s="2891">
        <f>(CJ161-CI161)*10000</f>
        <v>-45.72729548452115</v>
      </c>
      <c r="CK163" s="2891">
        <f>(CK161-CJ161)*10000</f>
        <v>43.353853227260373</v>
      </c>
      <c r="CL163" s="2891">
        <f t="shared" ref="CL163:CQ163" si="716">(CL161-CK161)*10000</f>
        <v>-211.89970679489358</v>
      </c>
      <c r="CM163" s="2890" t="s">
        <v>116</v>
      </c>
      <c r="CN163" s="2891">
        <f>(CN161-CM161)*10000</f>
        <v>21.579514954268575</v>
      </c>
      <c r="CO163" s="2891">
        <f t="shared" si="716"/>
        <v>104.22824165402244</v>
      </c>
      <c r="CP163" s="2891">
        <f t="shared" si="716"/>
        <v>-121.3490447925103</v>
      </c>
      <c r="CQ163" s="2891">
        <f t="shared" si="716"/>
        <v>-131.20404601403956</v>
      </c>
      <c r="CR163" s="2890" t="s">
        <v>116</v>
      </c>
      <c r="CS163" s="2891">
        <f>(CS161-CR161)*10000</f>
        <v>98.231222877144802</v>
      </c>
      <c r="CT163" s="2891">
        <f>(CT161-CS161)*10000</f>
        <v>129.96480050835203</v>
      </c>
      <c r="CU163" s="2891">
        <f>(CU161-CT161)*10000</f>
        <v>-64.824044597737725</v>
      </c>
      <c r="CV163" s="2891">
        <f>(CV161-CU161)*10000</f>
        <v>-253.94799620585496</v>
      </c>
      <c r="CW163" s="2890"/>
      <c r="CX163" s="2891">
        <f>(CX161-CV161)*10000</f>
        <v>215.19664626296009</v>
      </c>
      <c r="CY163" s="2891">
        <f>(CY161-CX161)*10000</f>
        <v>7.7568855562804018</v>
      </c>
      <c r="CZ163" s="2891">
        <f>(CZ161-CY161)*10000</f>
        <v>84.931630466460462</v>
      </c>
      <c r="DA163" s="2891">
        <f>(DA161-CZ161)*10000</f>
        <v>-643.29125804326486</v>
      </c>
      <c r="DB163" s="2890"/>
      <c r="DC163" s="2891">
        <f>(DC161-DA161)*10000</f>
        <v>398.90477731860443</v>
      </c>
      <c r="DD163" s="2891">
        <f>(DD161-DC161)*10000</f>
        <v>-39.226012961994236</v>
      </c>
      <c r="DE163" s="2891">
        <f>(DE161-DD161)*10000</f>
        <v>45.361044046366985</v>
      </c>
      <c r="DF163" s="2891">
        <f>(DF161-DE161)*10000</f>
        <v>-764.25406175142598</v>
      </c>
      <c r="DG163" s="2890"/>
      <c r="DH163" s="2891">
        <f>(DH161-DF161)*10000</f>
        <v>543.09180745479136</v>
      </c>
      <c r="DI163" s="2891">
        <f>(DI161-DH161)*10000</f>
        <v>15.77349141069606</v>
      </c>
      <c r="DJ163" s="2891">
        <f>(DJ161-DI161)*10000</f>
        <v>-199.04685967325253</v>
      </c>
      <c r="DK163" s="2891">
        <f>(DK161-DJ161)*10000</f>
        <v>-381.34075910071454</v>
      </c>
      <c r="DL163" s="2890"/>
      <c r="DM163" s="2891">
        <f>(DM161-DK161)*10000</f>
        <v>156.96998798154115</v>
      </c>
      <c r="DN163" s="2891">
        <f>(DN161-DM161)*10000</f>
        <v>-74.008240609509386</v>
      </c>
      <c r="DO163" s="2891">
        <f>(DO161-DN161)*10000</f>
        <v>544.66141576910763</v>
      </c>
      <c r="DP163" s="2891">
        <f>(DP161-DO161)*10000</f>
        <v>161.14229007689275</v>
      </c>
      <c r="DQ163" s="2890"/>
      <c r="DR163" s="2891">
        <f>(DR161-DP161)*10000</f>
        <v>162.26717094184718</v>
      </c>
      <c r="DS163" s="2891">
        <f>(DS161-DR161)*10000</f>
        <v>94.95046942128549</v>
      </c>
      <c r="DT163" s="2891">
        <f>(DT161-DS161)*10000</f>
        <v>136.57496263661196</v>
      </c>
      <c r="DU163" s="2891">
        <f>(DU161-DT161)*10000</f>
        <v>-530.87036536591859</v>
      </c>
      <c r="DV163" s="2890"/>
      <c r="DW163" s="2891">
        <f>(DW161-DU161)*10000</f>
        <v>335.9176660261565</v>
      </c>
      <c r="DX163" s="2891">
        <f>(DX161-DW161)*10000</f>
        <v>-170.61889027164656</v>
      </c>
      <c r="DY163" s="2891">
        <f>(DY161-DX161)*10000</f>
        <v>-327.70676498613096</v>
      </c>
      <c r="DZ163" s="2891">
        <f>(DZ161-DY161)*10000</f>
        <v>-217.23649352321129</v>
      </c>
      <c r="EA163" s="2890"/>
      <c r="EB163" s="2891">
        <f>(EB161-DZ161)*10000</f>
        <v>107.46303912895605</v>
      </c>
      <c r="EC163" s="2891">
        <f>(EC161-EB161)*10000</f>
        <v>538.19435360165039</v>
      </c>
      <c r="ED163" s="2891">
        <f>(ED161-EC161)*10000</f>
        <v>-173.95775964641368</v>
      </c>
      <c r="EE163" s="2891">
        <f>(EE161-ED161)*10000</f>
        <v>-304.64563700682123</v>
      </c>
      <c r="EF163" s="2890"/>
      <c r="EG163" s="2891">
        <f>(EG161-EE161)*10000</f>
        <v>534.70111447529109</v>
      </c>
      <c r="EH163" s="2891">
        <f>(EH161-EG161)*10000</f>
        <v>132.91024183029853</v>
      </c>
      <c r="EI163" s="2891">
        <f>(EI161-EH161)*10000</f>
        <v>-40.524803768045018</v>
      </c>
      <c r="EJ163" s="2891">
        <f>(EJ161-EI161)*10000</f>
        <v>-122.91147178867034</v>
      </c>
      <c r="EK163" s="2890"/>
      <c r="EL163" s="2891">
        <f>(EL161-EJ161)*10000</f>
        <v>287.7133196905113</v>
      </c>
      <c r="EM163" s="2891">
        <f>(EM161-EL161)*10000</f>
        <v>-137.3542492006996</v>
      </c>
      <c r="EN163" s="2891">
        <f>(EN161-EM161)*10000</f>
        <v>162.87425812140933</v>
      </c>
      <c r="EO163" s="2891">
        <f>(EO161-EN161)*10000</f>
        <v>-94.857665485309496</v>
      </c>
      <c r="EP163" s="2890"/>
      <c r="EQ163" s="2891">
        <f>(EQ161-EO161)*10000</f>
        <v>384.99999999999977</v>
      </c>
      <c r="ER163" s="2891">
        <f>(ER161-EQ161)*10000</f>
        <v>33.942708906916643</v>
      </c>
      <c r="ES163" s="2891">
        <f>(ES161-ER161)*10000</f>
        <v>-85.921673123219307</v>
      </c>
      <c r="ET163" s="2891">
        <f>(ET161-ES161)*10000</f>
        <v>-83.021035783696902</v>
      </c>
      <c r="EU163" s="2890"/>
      <c r="EV163" s="2890"/>
      <c r="EW163" s="2890"/>
      <c r="EX163" s="2890"/>
      <c r="EY163" s="2890"/>
      <c r="EZ163" s="209"/>
      <c r="FA163" s="4287"/>
      <c r="FB163" s="4287"/>
      <c r="FC163" s="4287"/>
      <c r="FD163" s="4287"/>
      <c r="FE163" s="4287"/>
      <c r="FF163" s="4287"/>
      <c r="FG163" s="4287"/>
      <c r="FH163" s="4287"/>
      <c r="FI163" s="4287"/>
      <c r="FJ163" s="4287"/>
      <c r="FK163" s="4287"/>
      <c r="FL163" s="4287"/>
    </row>
    <row r="164" spans="1:168" s="259" customFormat="1" ht="11.25" hidden="1" customHeight="1" outlineLevel="1">
      <c r="A164" s="3772" t="s">
        <v>177</v>
      </c>
      <c r="B164" s="3392"/>
      <c r="C164" s="3392"/>
      <c r="D164" s="3392"/>
      <c r="E164" s="3392"/>
      <c r="F164" s="3391"/>
      <c r="G164" s="3392"/>
      <c r="H164" s="3392"/>
      <c r="I164" s="3392"/>
      <c r="J164" s="3392"/>
      <c r="K164" s="3391"/>
      <c r="L164" s="3392"/>
      <c r="M164" s="3392"/>
      <c r="N164" s="3392"/>
      <c r="O164" s="3392"/>
      <c r="P164" s="3391">
        <f t="shared" ref="P164:AU164" si="717">(P57-K57)/(P9-K9)</f>
        <v>0.55748833892866712</v>
      </c>
      <c r="Q164" s="3392">
        <f t="shared" si="717"/>
        <v>0.44888258247605523</v>
      </c>
      <c r="R164" s="3392">
        <f t="shared" si="717"/>
        <v>0.53982177450600566</v>
      </c>
      <c r="S164" s="3392">
        <f t="shared" si="717"/>
        <v>0.61987287178126871</v>
      </c>
      <c r="T164" s="3392">
        <f t="shared" si="717"/>
        <v>0.66851646861323499</v>
      </c>
      <c r="U164" s="3391">
        <f t="shared" si="717"/>
        <v>0.77172811719299861</v>
      </c>
      <c r="V164" s="3392">
        <f t="shared" si="717"/>
        <v>0.82845332667655414</v>
      </c>
      <c r="W164" s="3392">
        <f t="shared" si="717"/>
        <v>0.77376677880291755</v>
      </c>
      <c r="X164" s="3392">
        <f t="shared" si="717"/>
        <v>0.69497134554847051</v>
      </c>
      <c r="Y164" s="3392">
        <f t="shared" si="717"/>
        <v>0.61527652313560155</v>
      </c>
      <c r="Z164" s="3391">
        <f t="shared" si="717"/>
        <v>0.67532423834062649</v>
      </c>
      <c r="AA164" s="3392">
        <f t="shared" si="717"/>
        <v>0.61173775812085063</v>
      </c>
      <c r="AB164" s="3392">
        <f t="shared" si="717"/>
        <v>0.60753915353556642</v>
      </c>
      <c r="AC164" s="3392">
        <f t="shared" si="717"/>
        <v>0.61379943927898239</v>
      </c>
      <c r="AD164" s="3392">
        <f t="shared" si="717"/>
        <v>0.65901713532267725</v>
      </c>
      <c r="AE164" s="3391">
        <f t="shared" si="717"/>
        <v>0.62796397885579214</v>
      </c>
      <c r="AF164" s="3392">
        <f t="shared" si="717"/>
        <v>0.70613009795019421</v>
      </c>
      <c r="AG164" s="3392">
        <f t="shared" si="717"/>
        <v>0.66870665122045736</v>
      </c>
      <c r="AH164" s="3392">
        <f t="shared" si="717"/>
        <v>0.64303741786489987</v>
      </c>
      <c r="AI164" s="3392">
        <f t="shared" si="717"/>
        <v>0.61060344868226879</v>
      </c>
      <c r="AJ164" s="3391">
        <f t="shared" si="717"/>
        <v>0.65150731517920879</v>
      </c>
      <c r="AK164" s="3392">
        <f t="shared" si="717"/>
        <v>0.61747090220151857</v>
      </c>
      <c r="AL164" s="3392">
        <f t="shared" si="717"/>
        <v>0.59024257772619759</v>
      </c>
      <c r="AM164" s="3392">
        <f t="shared" si="717"/>
        <v>0.62641221729606844</v>
      </c>
      <c r="AN164" s="3392">
        <f t="shared" si="717"/>
        <v>0.60711610168048624</v>
      </c>
      <c r="AO164" s="3391">
        <f t="shared" si="717"/>
        <v>0.61023119172308093</v>
      </c>
      <c r="AP164" s="3392">
        <f t="shared" si="717"/>
        <v>0.60277224382887518</v>
      </c>
      <c r="AQ164" s="3392">
        <f t="shared" si="717"/>
        <v>0.49600451938779383</v>
      </c>
      <c r="AR164" s="3392">
        <f t="shared" si="717"/>
        <v>0.50462200935223822</v>
      </c>
      <c r="AS164" s="3392">
        <f t="shared" si="717"/>
        <v>0.51141458186579791</v>
      </c>
      <c r="AT164" s="3391">
        <f t="shared" si="717"/>
        <v>0.52701223451048107</v>
      </c>
      <c r="AU164" s="3392">
        <f t="shared" si="717"/>
        <v>0.47683403404783248</v>
      </c>
      <c r="AV164" s="3392">
        <f t="shared" ref="AV164:BN164" si="718">(AV57-AQ57)/(AV9-AQ9)</f>
        <v>0.57237178829244939</v>
      </c>
      <c r="AW164" s="3392">
        <f t="shared" si="718"/>
        <v>0.62497176515559594</v>
      </c>
      <c r="AX164" s="3392">
        <f t="shared" si="718"/>
        <v>0.66924855867102806</v>
      </c>
      <c r="AY164" s="3391">
        <f t="shared" si="718"/>
        <v>0.57810751887708067</v>
      </c>
      <c r="AZ164" s="3392">
        <f t="shared" si="718"/>
        <v>1.0733506351591304</v>
      </c>
      <c r="BA164" s="3392">
        <f t="shared" si="718"/>
        <v>1.7104604931059362</v>
      </c>
      <c r="BB164" s="3392">
        <f t="shared" si="718"/>
        <v>1.0632434821034007</v>
      </c>
      <c r="BC164" s="3392">
        <f t="shared" si="718"/>
        <v>0.80305051419806683</v>
      </c>
      <c r="BD164" s="3391">
        <f t="shared" si="718"/>
        <v>1.0180216170764944</v>
      </c>
      <c r="BE164" s="3393">
        <f t="shared" si="718"/>
        <v>0.55067660978637101</v>
      </c>
      <c r="BF164" s="3392">
        <f t="shared" si="718"/>
        <v>0.46352374228857973</v>
      </c>
      <c r="BG164" s="3392">
        <f t="shared" si="718"/>
        <v>0.45567641836282896</v>
      </c>
      <c r="BH164" s="3392">
        <f t="shared" si="718"/>
        <v>0.44887843329729815</v>
      </c>
      <c r="BI164" s="3391">
        <f t="shared" si="718"/>
        <v>0.4761269048540821</v>
      </c>
      <c r="BJ164" s="3392">
        <f t="shared" si="718"/>
        <v>0.35234215885947046</v>
      </c>
      <c r="BK164" s="3392">
        <f t="shared" si="718"/>
        <v>0.41301969365426694</v>
      </c>
      <c r="BL164" s="3392">
        <f t="shared" si="718"/>
        <v>0.41991128634795466</v>
      </c>
      <c r="BM164" s="3392">
        <f t="shared" si="718"/>
        <v>0.44639818491208166</v>
      </c>
      <c r="BN164" s="3391">
        <f t="shared" si="718"/>
        <v>0.41068659241505712</v>
      </c>
      <c r="BO164" s="3392">
        <v>0.51752190237797246</v>
      </c>
      <c r="BP164" s="3392">
        <v>0.31467753891771683</v>
      </c>
      <c r="BQ164" s="3392">
        <v>0.13268777806856843</v>
      </c>
      <c r="BR164" s="3394">
        <v>0.21185647425897036</v>
      </c>
      <c r="BS164" s="3395">
        <v>0.25278219395866453</v>
      </c>
      <c r="BT164" s="3392">
        <f>(BT57-BJ57)/(BT9-BJ9)</f>
        <v>0.51752190237797246</v>
      </c>
      <c r="BU164" s="3392">
        <f>(BU57-BK57)/(BU9-BK9)</f>
        <v>0.61256906077348061</v>
      </c>
      <c r="BV164" s="3392">
        <f>(BV57-BL57)/(BV9-BL9)</f>
        <v>0.5280898876404494</v>
      </c>
      <c r="BW164" s="3392">
        <f>(BW57-BM57)/(BW9-BM9)</f>
        <v>0.49142519219396807</v>
      </c>
      <c r="BX164" s="3391">
        <f>(BX57-BN57)/(BX9-BN9)</f>
        <v>0.53508185766789174</v>
      </c>
      <c r="BY164" s="3392">
        <v>0.17862116991643454</v>
      </c>
      <c r="BZ164" s="3392">
        <v>0.21380243572395127</v>
      </c>
      <c r="CA164" s="3392">
        <v>1.1457627118644067</v>
      </c>
      <c r="CB164" s="3392">
        <v>0.29425079221367134</v>
      </c>
      <c r="CC164" s="3391">
        <v>0.30144076094558681</v>
      </c>
      <c r="CD164" s="3392">
        <f>(CD57-BT57)/(CD9-BT9)</f>
        <v>0.4563106796116505</v>
      </c>
      <c r="CE164" s="3392">
        <f>(CE57-BU57)/(CE9-BU9)</f>
        <v>0.33526011560693642</v>
      </c>
      <c r="CF164" s="3392">
        <f>(CF57-BV57)/(CF9-BV9)</f>
        <v>0.40078973346495556</v>
      </c>
      <c r="CG164" s="3392">
        <f>(CG57-BW57)/(CG9-BW9)</f>
        <v>0.37363919129082424</v>
      </c>
      <c r="CH164" s="3391">
        <f>(CH57-BX57)/(CH9-BX9)</f>
        <v>0.39117143555881634</v>
      </c>
      <c r="CI164" s="3392">
        <f t="shared" ref="CI164:DN164" si="719">(CI57-CD57)/(CI9-CD9)</f>
        <v>0.33560709413369716</v>
      </c>
      <c r="CJ164" s="3392">
        <f t="shared" si="719"/>
        <v>0.38123052959501558</v>
      </c>
      <c r="CK164" s="3392">
        <f t="shared" si="719"/>
        <v>0.3907229419139156</v>
      </c>
      <c r="CL164" s="3392">
        <f t="shared" si="719"/>
        <v>0.2535953978906999</v>
      </c>
      <c r="CM164" s="3391">
        <f t="shared" si="719"/>
        <v>0.34415233149410362</v>
      </c>
      <c r="CN164" s="3392">
        <f t="shared" si="719"/>
        <v>0.45623188405797099</v>
      </c>
      <c r="CO164" s="3392">
        <f t="shared" si="719"/>
        <v>0.57701421800947872</v>
      </c>
      <c r="CP164" s="3392">
        <f t="shared" si="719"/>
        <v>0.44570837642192346</v>
      </c>
      <c r="CQ164" s="3392">
        <f t="shared" si="719"/>
        <v>0.48477248298101039</v>
      </c>
      <c r="CR164" s="3391">
        <f t="shared" si="719"/>
        <v>0.48833210513387376</v>
      </c>
      <c r="CS164" s="3392">
        <f t="shared" si="719"/>
        <v>0.539906103286385</v>
      </c>
      <c r="CT164" s="3392">
        <f t="shared" si="719"/>
        <v>0.55748031496062989</v>
      </c>
      <c r="CU164" s="3392">
        <f t="shared" si="719"/>
        <v>0.58069620253164556</v>
      </c>
      <c r="CV164" s="3392">
        <f t="shared" si="719"/>
        <v>0.49518011161846776</v>
      </c>
      <c r="CW164" s="3391">
        <f t="shared" si="719"/>
        <v>0.54055949505181955</v>
      </c>
      <c r="CX164" s="3392">
        <f t="shared" si="719"/>
        <v>0.51286966046002191</v>
      </c>
      <c r="CY164" s="3392">
        <f t="shared" si="719"/>
        <v>0.45226870948733056</v>
      </c>
      <c r="CZ164" s="3392">
        <f t="shared" si="719"/>
        <v>0.53486628342914266</v>
      </c>
      <c r="DA164" s="3392">
        <f t="shared" si="719"/>
        <v>0.29310715052608977</v>
      </c>
      <c r="DB164" s="3391">
        <f t="shared" si="719"/>
        <v>0.440206316861946</v>
      </c>
      <c r="DC164" s="3392">
        <f t="shared" si="719"/>
        <v>0.42136373232003377</v>
      </c>
      <c r="DD164" s="3392">
        <f t="shared" si="719"/>
        <v>0.40372320421210983</v>
      </c>
      <c r="DE164" s="3392">
        <f t="shared" si="719"/>
        <v>0.3778641571194763</v>
      </c>
      <c r="DF164" s="3392">
        <f t="shared" si="719"/>
        <v>0.25423160717278365</v>
      </c>
      <c r="DG164" s="3391">
        <f t="shared" si="719"/>
        <v>0.35901482544237207</v>
      </c>
      <c r="DH164" s="3392">
        <f t="shared" si="719"/>
        <v>0.3486258385630816</v>
      </c>
      <c r="DI164" s="3392">
        <f t="shared" si="719"/>
        <v>0.38910221247028709</v>
      </c>
      <c r="DJ164" s="3392">
        <f t="shared" si="719"/>
        <v>0.25824645359767562</v>
      </c>
      <c r="DK164" s="3392">
        <f t="shared" si="719"/>
        <v>0.39588419951168469</v>
      </c>
      <c r="DL164" s="3391">
        <f t="shared" si="719"/>
        <v>0.34694348327566321</v>
      </c>
      <c r="DM164" s="3392">
        <f t="shared" si="719"/>
        <v>0.13930936613055819</v>
      </c>
      <c r="DN164" s="3392">
        <f t="shared" si="719"/>
        <v>15.728155339805825</v>
      </c>
      <c r="DO164" s="3392">
        <f t="shared" ref="DO164:EP164" si="720">(DO57-DJ57)/(DO9-DJ9)</f>
        <v>0.63325330132052826</v>
      </c>
      <c r="DP164" s="3392">
        <f t="shared" si="720"/>
        <v>0.82129148792052387</v>
      </c>
      <c r="DQ164" s="3391">
        <f t="shared" si="720"/>
        <v>0.52327456759913238</v>
      </c>
      <c r="DR164" s="3392">
        <f t="shared" si="720"/>
        <v>0.72795292139554435</v>
      </c>
      <c r="DS164" s="3392">
        <f t="shared" si="720"/>
        <v>0.66973330576803802</v>
      </c>
      <c r="DT164" s="3392">
        <f t="shared" si="720"/>
        <v>0.66117978607570616</v>
      </c>
      <c r="DU164" s="3392">
        <f t="shared" si="720"/>
        <v>0.43185051079787923</v>
      </c>
      <c r="DV164" s="3391">
        <f t="shared" si="720"/>
        <v>0.61966881679021857</v>
      </c>
      <c r="DW164" s="3392">
        <f t="shared" si="720"/>
        <v>0.52260293694212501</v>
      </c>
      <c r="DX164" s="3392">
        <f t="shared" si="720"/>
        <v>0.31058282208588955</v>
      </c>
      <c r="DY164" s="3392">
        <f t="shared" si="720"/>
        <v>-0.56280855732309376</v>
      </c>
      <c r="DZ164" s="3392">
        <f t="shared" si="720"/>
        <v>-1.483265306122449</v>
      </c>
      <c r="EA164" s="3391">
        <f t="shared" si="720"/>
        <v>0.16510774873911049</v>
      </c>
      <c r="EB164" s="3392">
        <f t="shared" si="720"/>
        <v>-1.2200488997555012</v>
      </c>
      <c r="EC164" s="3392">
        <f t="shared" si="720"/>
        <v>0.62554395126196694</v>
      </c>
      <c r="ED164" s="3392">
        <f t="shared" si="720"/>
        <v>0.69697862932940313</v>
      </c>
      <c r="EE164" s="3392">
        <f t="shared" si="720"/>
        <v>0.56635148353439846</v>
      </c>
      <c r="EF164" s="3391">
        <f t="shared" si="720"/>
        <v>0.45609227913554601</v>
      </c>
      <c r="EG164" s="3392">
        <f t="shared" si="720"/>
        <v>0.86742941114726568</v>
      </c>
      <c r="EH164" s="3392">
        <f t="shared" si="720"/>
        <v>0.64481050818260122</v>
      </c>
      <c r="EI164" s="3392">
        <f t="shared" si="720"/>
        <v>0.71118308249190321</v>
      </c>
      <c r="EJ164" s="3392">
        <f t="shared" si="720"/>
        <v>0.89437452941809181</v>
      </c>
      <c r="EK164" s="3391">
        <f t="shared" si="720"/>
        <v>0.7778813778813779</v>
      </c>
      <c r="EL164" s="3392">
        <f t="shared" si="720"/>
        <v>0.72641403350950184</v>
      </c>
      <c r="EM164" s="3392">
        <f t="shared" si="720"/>
        <v>0.50819830246913578</v>
      </c>
      <c r="EN164" s="3392">
        <f t="shared" si="720"/>
        <v>0.64329386270412503</v>
      </c>
      <c r="EO164" s="3392">
        <f t="shared" si="720"/>
        <v>0.64806204479878526</v>
      </c>
      <c r="EP164" s="3391">
        <f t="shared" si="720"/>
        <v>0.63055507201200534</v>
      </c>
      <c r="EQ164" s="3392">
        <f t="shared" ref="EQ164" si="721">(EQ57-EL57)/(EQ9-EL9)</f>
        <v>0.73023796690444165</v>
      </c>
      <c r="ER164" s="3392">
        <f t="shared" ref="ER164" si="722">(ER57-EM57)/(ER9-EM9)</f>
        <v>0.83126440690073977</v>
      </c>
      <c r="ES164" s="3392">
        <f t="shared" ref="ES164" si="723">(ES57-EN57)/(ES9-EN9)</f>
        <v>0.69390811351871762</v>
      </c>
      <c r="ET164" s="3392">
        <f t="shared" ref="ET164:EU164" si="724">(ET57-EO57)/(ET9-EO9)</f>
        <v>0.69077006841830924</v>
      </c>
      <c r="EU164" s="3391">
        <f t="shared" si="724"/>
        <v>0.73499608000805283</v>
      </c>
      <c r="EV164" s="3391">
        <f>(EV57-EU57)/(EV9-EU9)</f>
        <v>0.61278061097708447</v>
      </c>
      <c r="EW164" s="3391">
        <f>(EW57-EV57)/(EW9-EV9)</f>
        <v>0.57568529969192983</v>
      </c>
      <c r="EX164" s="3391">
        <f>(EX57-EW57)/(EX9-EW9)</f>
        <v>0.58408352743032921</v>
      </c>
      <c r="EY164" s="3391">
        <f>(EY57-EX57)/(EY9-EX9)</f>
        <v>0.62180399254854035</v>
      </c>
      <c r="EZ164" s="626"/>
      <c r="FA164" s="4289"/>
      <c r="FB164" s="4289"/>
      <c r="FC164" s="4289"/>
      <c r="FD164" s="4289"/>
      <c r="FE164" s="4289"/>
      <c r="FF164" s="4289"/>
      <c r="FG164" s="4289"/>
      <c r="FH164" s="4289"/>
      <c r="FI164" s="4289"/>
      <c r="FJ164" s="4289"/>
      <c r="FK164" s="4289"/>
      <c r="FL164" s="4289"/>
    </row>
    <row r="165" spans="1:168" ht="11.25" customHeight="1" collapsed="1">
      <c r="A165" s="3762" t="s">
        <v>325</v>
      </c>
      <c r="B165" s="1451"/>
      <c r="C165" s="1451"/>
      <c r="D165" s="1451"/>
      <c r="E165" s="1451"/>
      <c r="F165" s="1444"/>
      <c r="G165" s="1451"/>
      <c r="H165" s="1451"/>
      <c r="I165" s="1451"/>
      <c r="J165" s="1451"/>
      <c r="K165" s="1444"/>
      <c r="L165" s="1451"/>
      <c r="M165" s="1451"/>
      <c r="N165" s="1451"/>
      <c r="O165" s="1451"/>
      <c r="P165" s="1444"/>
      <c r="Q165" s="1451"/>
      <c r="R165" s="1451"/>
      <c r="S165" s="1451"/>
      <c r="T165" s="1451"/>
      <c r="U165" s="1444"/>
      <c r="V165" s="1451"/>
      <c r="W165" s="1451"/>
      <c r="X165" s="1784"/>
      <c r="Y165" s="1451"/>
      <c r="Z165" s="1444"/>
      <c r="AA165" s="1451"/>
      <c r="AB165" s="1451"/>
      <c r="AC165" s="1784"/>
      <c r="AD165" s="1784"/>
      <c r="AE165" s="1787"/>
      <c r="AF165" s="1784"/>
      <c r="AG165" s="1451"/>
      <c r="AH165" s="1451"/>
      <c r="AI165" s="1451"/>
      <c r="AJ165" s="1787"/>
      <c r="AK165" s="1784"/>
      <c r="AL165" s="1784"/>
      <c r="AM165" s="1784"/>
      <c r="AN165" s="1784"/>
      <c r="AO165" s="1444"/>
      <c r="AP165" s="1451"/>
      <c r="AQ165" s="1451"/>
      <c r="AR165" s="1451"/>
      <c r="AS165" s="1451"/>
      <c r="AT165" s="1444"/>
      <c r="AU165" s="1451"/>
      <c r="AV165" s="1451"/>
      <c r="AW165" s="1451"/>
      <c r="AX165" s="1451"/>
      <c r="AY165" s="1788"/>
      <c r="AZ165" s="1451"/>
      <c r="BA165" s="1451"/>
      <c r="BB165" s="1451"/>
      <c r="BC165" s="1789"/>
      <c r="BD165" s="1788"/>
      <c r="BE165" s="1755"/>
      <c r="BF165" s="1451"/>
      <c r="BG165" s="1451"/>
      <c r="BH165" s="1790"/>
      <c r="BI165" s="1788"/>
      <c r="BJ165" s="1451"/>
      <c r="BK165" s="1451"/>
      <c r="BL165" s="1451"/>
      <c r="BM165" s="1790"/>
      <c r="BN165" s="1791"/>
      <c r="BO165" s="1790"/>
      <c r="BP165" s="1790"/>
      <c r="BQ165" s="1790"/>
      <c r="BR165" s="1792"/>
      <c r="BS165" s="1757"/>
      <c r="BT165" s="1790"/>
      <c r="BU165" s="1790"/>
      <c r="BV165" s="1790"/>
      <c r="BW165" s="1790"/>
      <c r="BX165" s="1713"/>
      <c r="BY165" s="1790"/>
      <c r="BZ165" s="1790"/>
      <c r="CA165" s="1790"/>
      <c r="CB165" s="1790"/>
      <c r="CC165" s="1713"/>
      <c r="CD165" s="1790"/>
      <c r="CE165" s="1790"/>
      <c r="CF165" s="1790"/>
      <c r="CG165" s="1790"/>
      <c r="CH165" s="1713"/>
      <c r="CI165" s="1793"/>
      <c r="CJ165" s="1793"/>
      <c r="CK165" s="1793"/>
      <c r="CL165" s="1793"/>
      <c r="CM165" s="1713"/>
      <c r="CN165" s="1793"/>
      <c r="CO165" s="1793"/>
      <c r="CP165" s="1793"/>
      <c r="CQ165" s="1793"/>
      <c r="CR165" s="1713"/>
      <c r="CS165" s="1793"/>
      <c r="CT165" s="1793"/>
      <c r="CU165" s="1793"/>
      <c r="CV165" s="1793"/>
      <c r="CW165" s="1713"/>
      <c r="CX165" s="1793"/>
      <c r="CY165" s="1793"/>
      <c r="CZ165" s="1793"/>
      <c r="DA165" s="1793"/>
      <c r="DB165" s="1713"/>
      <c r="DC165" s="1793"/>
      <c r="DD165" s="1793"/>
      <c r="DE165" s="1793"/>
      <c r="DF165" s="1793"/>
      <c r="DG165" s="1713"/>
      <c r="DH165" s="3581"/>
      <c r="DI165" s="3581"/>
      <c r="DJ165" s="3581"/>
      <c r="DK165" s="3581"/>
      <c r="DL165" s="1713"/>
      <c r="DM165" s="3581"/>
      <c r="DN165" s="3581"/>
      <c r="DO165" s="3581"/>
      <c r="DP165" s="3581"/>
      <c r="DQ165" s="1713"/>
      <c r="DR165" s="3581"/>
      <c r="DS165" s="3581"/>
      <c r="DT165" s="3581"/>
      <c r="DU165" s="3581"/>
      <c r="DV165" s="1713"/>
      <c r="DW165" s="3581"/>
      <c r="DX165" s="3581"/>
      <c r="DY165" s="3581"/>
      <c r="DZ165" s="3581"/>
      <c r="EA165" s="1713"/>
      <c r="EB165" s="3581"/>
      <c r="EC165" s="3581"/>
      <c r="ED165" s="3581"/>
      <c r="EE165" s="3581"/>
      <c r="EF165" s="1713"/>
      <c r="EG165" s="3581"/>
      <c r="EH165" s="3581"/>
      <c r="EI165" s="3581"/>
      <c r="EJ165" s="3581"/>
      <c r="EK165" s="1713"/>
      <c r="EL165" s="3581"/>
      <c r="EM165" s="3581"/>
      <c r="EN165" s="3581"/>
      <c r="EO165" s="3581"/>
      <c r="EP165" s="1713"/>
      <c r="EQ165" s="3581"/>
      <c r="ER165" s="3581"/>
      <c r="ES165" s="3581"/>
      <c r="ET165" s="3581"/>
      <c r="EU165" s="1713"/>
      <c r="EV165" s="1713"/>
      <c r="EW165" s="1713"/>
      <c r="EX165" s="1713"/>
      <c r="EY165" s="1713"/>
      <c r="EZ165" s="208"/>
      <c r="FA165" s="4285"/>
      <c r="FB165" s="4285"/>
      <c r="FC165" s="4285"/>
      <c r="FD165" s="4285"/>
      <c r="FE165" s="4285"/>
      <c r="FF165" s="4285"/>
      <c r="FG165" s="4285"/>
      <c r="FH165" s="4285"/>
      <c r="FI165" s="4285"/>
      <c r="FJ165" s="4285"/>
      <c r="FK165" s="4285"/>
      <c r="FL165" s="4285"/>
    </row>
    <row r="166" spans="1:168" ht="11.25" customHeight="1">
      <c r="A166" s="3771" t="s">
        <v>55</v>
      </c>
      <c r="B166" s="124"/>
      <c r="C166" s="124"/>
      <c r="D166" s="124"/>
      <c r="E166" s="124"/>
      <c r="F166" s="997"/>
      <c r="G166" s="124"/>
      <c r="H166" s="124"/>
      <c r="I166" s="124"/>
      <c r="J166" s="124"/>
      <c r="K166" s="997">
        <f>K13/K7</f>
        <v>0.68175633242620892</v>
      </c>
      <c r="L166" s="124"/>
      <c r="M166" s="124"/>
      <c r="N166" s="124"/>
      <c r="O166" s="124"/>
      <c r="P166" s="997">
        <f t="shared" ref="P166:AU166" si="725">P13/P7</f>
        <v>0.8353736144215862</v>
      </c>
      <c r="Q166" s="124">
        <f t="shared" si="725"/>
        <v>0.86538961806787273</v>
      </c>
      <c r="R166" s="124">
        <f t="shared" si="725"/>
        <v>0.74012098057943332</v>
      </c>
      <c r="S166" s="124">
        <f t="shared" si="725"/>
        <v>0.69704940093434364</v>
      </c>
      <c r="T166" s="124">
        <f t="shared" si="725"/>
        <v>0.64989276838503329</v>
      </c>
      <c r="U166" s="997">
        <f t="shared" si="725"/>
        <v>0.70077905294101595</v>
      </c>
      <c r="V166" s="124">
        <f t="shared" si="725"/>
        <v>0.6492812266207596</v>
      </c>
      <c r="W166" s="124">
        <f t="shared" si="725"/>
        <v>0.622746217050826</v>
      </c>
      <c r="X166" s="124">
        <f t="shared" si="725"/>
        <v>0.5674743997847399</v>
      </c>
      <c r="Y166" s="124">
        <f t="shared" si="725"/>
        <v>0.51019085273588127</v>
      </c>
      <c r="Z166" s="997">
        <f t="shared" si="725"/>
        <v>0.57306809174219298</v>
      </c>
      <c r="AA166" s="124">
        <f t="shared" si="725"/>
        <v>0.51598086623707262</v>
      </c>
      <c r="AB166" s="124">
        <f t="shared" si="725"/>
        <v>0.53388830811240018</v>
      </c>
      <c r="AC166" s="124">
        <f t="shared" si="725"/>
        <v>0.5506826639466823</v>
      </c>
      <c r="AD166" s="124">
        <f t="shared" si="725"/>
        <v>0.56007895290455367</v>
      </c>
      <c r="AE166" s="997">
        <f t="shared" si="725"/>
        <v>0.54294415912590621</v>
      </c>
      <c r="AF166" s="124">
        <f t="shared" si="725"/>
        <v>0.56609545759862989</v>
      </c>
      <c r="AG166" s="124">
        <f t="shared" si="725"/>
        <v>0.56872722545043497</v>
      </c>
      <c r="AH166" s="124">
        <f t="shared" si="725"/>
        <v>0.5857812951390472</v>
      </c>
      <c r="AI166" s="124">
        <f t="shared" si="725"/>
        <v>0.5959648646522081</v>
      </c>
      <c r="AJ166" s="997">
        <f t="shared" si="725"/>
        <v>0.58108905020069856</v>
      </c>
      <c r="AK166" s="124">
        <f t="shared" si="725"/>
        <v>0.59985180288008244</v>
      </c>
      <c r="AL166" s="124">
        <f t="shared" si="725"/>
        <v>0.59824364177230294</v>
      </c>
      <c r="AM166" s="124">
        <f t="shared" si="725"/>
        <v>0.61088987397352756</v>
      </c>
      <c r="AN166" s="124">
        <f t="shared" si="725"/>
        <v>0.60309630516069579</v>
      </c>
      <c r="AO166" s="997">
        <f t="shared" si="725"/>
        <v>0.60325960118311162</v>
      </c>
      <c r="AP166" s="124">
        <f t="shared" si="725"/>
        <v>0.59987756453312546</v>
      </c>
      <c r="AQ166" s="124">
        <f t="shared" si="725"/>
        <v>0.59901807470845059</v>
      </c>
      <c r="AR166" s="124">
        <f t="shared" si="725"/>
        <v>0.60803346259858848</v>
      </c>
      <c r="AS166" s="124">
        <f t="shared" si="725"/>
        <v>0.59608459564019067</v>
      </c>
      <c r="AT166" s="997">
        <f t="shared" si="725"/>
        <v>0.60065345360662592</v>
      </c>
      <c r="AU166" s="124">
        <f t="shared" si="725"/>
        <v>0.59479934894485065</v>
      </c>
      <c r="AV166" s="124">
        <f t="shared" ref="AV166:BN166" si="726">AV13/AV7</f>
        <v>0.60161588549138734</v>
      </c>
      <c r="AW166" s="124">
        <f t="shared" si="726"/>
        <v>0.60972596952642388</v>
      </c>
      <c r="AX166" s="124">
        <f t="shared" si="726"/>
        <v>0.61797181639964482</v>
      </c>
      <c r="AY166" s="997">
        <f t="shared" si="726"/>
        <v>0.60633399937143129</v>
      </c>
      <c r="AZ166" s="124">
        <f t="shared" si="726"/>
        <v>0.62080762535419376</v>
      </c>
      <c r="BA166" s="124">
        <f t="shared" si="726"/>
        <v>0.62078253496308178</v>
      </c>
      <c r="BB166" s="124">
        <f t="shared" si="726"/>
        <v>0.62801944068909388</v>
      </c>
      <c r="BC166" s="124">
        <f t="shared" si="726"/>
        <v>0.64003416331713836</v>
      </c>
      <c r="BD166" s="997">
        <f t="shared" si="726"/>
        <v>0.62803997520059029</v>
      </c>
      <c r="BE166" s="1688">
        <f t="shared" si="726"/>
        <v>0.63896678966789666</v>
      </c>
      <c r="BF166" s="124">
        <f t="shared" si="726"/>
        <v>0.63944281524926683</v>
      </c>
      <c r="BG166" s="124">
        <f t="shared" si="726"/>
        <v>0.65083722206972272</v>
      </c>
      <c r="BH166" s="124">
        <f t="shared" si="726"/>
        <v>0.65627962085308056</v>
      </c>
      <c r="BI166" s="997">
        <f t="shared" si="726"/>
        <v>0.64701067494287368</v>
      </c>
      <c r="BJ166" s="124">
        <f t="shared" si="726"/>
        <v>0.66332361516034988</v>
      </c>
      <c r="BK166" s="124">
        <f t="shared" si="726"/>
        <v>0.65422113893197431</v>
      </c>
      <c r="BL166" s="124">
        <f t="shared" si="726"/>
        <v>0.65987654320987654</v>
      </c>
      <c r="BM166" s="124">
        <f t="shared" si="726"/>
        <v>0.65750188964474676</v>
      </c>
      <c r="BN166" s="997">
        <f t="shared" si="726"/>
        <v>0.65864661654135337</v>
      </c>
      <c r="BO166" s="124">
        <v>0.65100986378581494</v>
      </c>
      <c r="BP166" s="124">
        <v>0.59734730636973965</v>
      </c>
      <c r="BQ166" s="124">
        <v>0.54896815828664636</v>
      </c>
      <c r="BR166" s="123">
        <v>0.58096955406061446</v>
      </c>
      <c r="BS166" s="1761">
        <v>0.59059148679421558</v>
      </c>
      <c r="BT166" s="124">
        <f>BT13/BT7</f>
        <v>0.65100986378581494</v>
      </c>
      <c r="BU166" s="124">
        <f>BU13/BU7</f>
        <v>0.64410798978475015</v>
      </c>
      <c r="BV166" s="124">
        <f>BV13/BV7</f>
        <v>0.62372028457400663</v>
      </c>
      <c r="BW166" s="124">
        <f>BW13/BW7</f>
        <v>0.6232468035645099</v>
      </c>
      <c r="BX166" s="997">
        <f>BX13/BX7</f>
        <v>0.6269249983709464</v>
      </c>
      <c r="BY166" s="124">
        <v>0.57448636266017605</v>
      </c>
      <c r="BZ166" s="124">
        <v>0.57830556540233957</v>
      </c>
      <c r="CA166" s="124">
        <v>0.57859397032162763</v>
      </c>
      <c r="CB166" s="124">
        <v>0.56881006050539806</v>
      </c>
      <c r="CC166" s="997">
        <v>0.57569517687040661</v>
      </c>
      <c r="CD166" s="124">
        <f t="shared" ref="CD166:DI166" si="727">CD13/CD7</f>
        <v>0.60342830669446379</v>
      </c>
      <c r="CE166" s="124">
        <f t="shared" si="727"/>
        <v>0.60364690623331041</v>
      </c>
      <c r="CF166" s="124">
        <f t="shared" si="727"/>
        <v>0.60673258688381559</v>
      </c>
      <c r="CG166" s="124">
        <f t="shared" si="727"/>
        <v>0.60189724326733307</v>
      </c>
      <c r="CH166" s="997">
        <f t="shared" si="727"/>
        <v>0.60386534339595455</v>
      </c>
      <c r="CI166" s="124">
        <f t="shared" si="727"/>
        <v>0.61342412451361872</v>
      </c>
      <c r="CJ166" s="124">
        <f t="shared" si="727"/>
        <v>0.61679724224381072</v>
      </c>
      <c r="CK166" s="124">
        <f t="shared" si="727"/>
        <v>0.59480723839496463</v>
      </c>
      <c r="CL166" s="124">
        <f t="shared" si="727"/>
        <v>0.61768767607578856</v>
      </c>
      <c r="CM166" s="997">
        <f t="shared" si="727"/>
        <v>0.6107483219951213</v>
      </c>
      <c r="CN166" s="124">
        <f t="shared" si="727"/>
        <v>0.63170703441882026</v>
      </c>
      <c r="CO166" s="124">
        <f t="shared" si="727"/>
        <v>0.62864556890618828</v>
      </c>
      <c r="CP166" s="124">
        <f t="shared" si="727"/>
        <v>0.62318607764390899</v>
      </c>
      <c r="CQ166" s="124">
        <f t="shared" si="727"/>
        <v>0.61610952224670634</v>
      </c>
      <c r="CR166" s="997">
        <f t="shared" si="727"/>
        <v>0.62442491565429592</v>
      </c>
      <c r="CS166" s="124">
        <f t="shared" si="727"/>
        <v>0.62245149824751933</v>
      </c>
      <c r="CT166" s="124">
        <f t="shared" si="727"/>
        <v>0.62186046511627902</v>
      </c>
      <c r="CU166" s="124">
        <f t="shared" si="727"/>
        <v>0.61253396285243422</v>
      </c>
      <c r="CV166" s="124">
        <f t="shared" si="727"/>
        <v>0.59096838551258446</v>
      </c>
      <c r="CW166" s="997">
        <f t="shared" si="727"/>
        <v>0.61075416518964909</v>
      </c>
      <c r="CX166" s="124">
        <f t="shared" si="727"/>
        <v>0.60424242424242425</v>
      </c>
      <c r="CY166" s="124">
        <f t="shared" si="727"/>
        <v>0.60119184928873515</v>
      </c>
      <c r="CZ166" s="124">
        <f t="shared" si="727"/>
        <v>0.59858850640933314</v>
      </c>
      <c r="DA166" s="124">
        <f t="shared" si="727"/>
        <v>0.55861151502026418</v>
      </c>
      <c r="DB166" s="997">
        <f t="shared" si="727"/>
        <v>0.58880519597672631</v>
      </c>
      <c r="DC166" s="124">
        <f t="shared" si="727"/>
        <v>0.56761702947408976</v>
      </c>
      <c r="DD166" s="124">
        <f t="shared" si="727"/>
        <v>0.57488440456869894</v>
      </c>
      <c r="DE166" s="124">
        <f t="shared" si="727"/>
        <v>0.57673384706579722</v>
      </c>
      <c r="DF166" s="124">
        <f t="shared" si="727"/>
        <v>0.54379264690905382</v>
      </c>
      <c r="DG166" s="997">
        <f t="shared" si="727"/>
        <v>0.5647607422945643</v>
      </c>
      <c r="DH166" s="124">
        <f t="shared" si="727"/>
        <v>0.55937147417375277</v>
      </c>
      <c r="DI166" s="124">
        <f t="shared" si="727"/>
        <v>0.55587510271158591</v>
      </c>
      <c r="DJ166" s="124">
        <f t="shared" ref="DJ166:EX166" si="728">DJ13/DJ7</f>
        <v>0.56621151139534309</v>
      </c>
      <c r="DK166" s="124">
        <f t="shared" si="728"/>
        <v>0.54378730330982095</v>
      </c>
      <c r="DL166" s="997">
        <f t="shared" si="728"/>
        <v>0.5558054331910266</v>
      </c>
      <c r="DM166" s="124">
        <f t="shared" si="728"/>
        <v>0.53881289632887097</v>
      </c>
      <c r="DN166" s="124">
        <f t="shared" si="728"/>
        <v>0.51554952085019712</v>
      </c>
      <c r="DO166" s="124">
        <f t="shared" si="728"/>
        <v>0.54265479825872265</v>
      </c>
      <c r="DP166" s="124">
        <f t="shared" si="728"/>
        <v>0.54163590987380927</v>
      </c>
      <c r="DQ166" s="997">
        <f t="shared" si="728"/>
        <v>0.53578374706207854</v>
      </c>
      <c r="DR166" s="124">
        <f t="shared" si="728"/>
        <v>0.56425136493473627</v>
      </c>
      <c r="DS166" s="124">
        <f t="shared" si="728"/>
        <v>0.57616354234001288</v>
      </c>
      <c r="DT166" s="124">
        <f t="shared" si="728"/>
        <v>0.57583156730857832</v>
      </c>
      <c r="DU166" s="124">
        <f t="shared" si="728"/>
        <v>0.56205774975107869</v>
      </c>
      <c r="DV166" s="997">
        <f t="shared" si="728"/>
        <v>0.5693980290098084</v>
      </c>
      <c r="DW166" s="124">
        <f t="shared" si="728"/>
        <v>0.5647909896928438</v>
      </c>
      <c r="DX166" s="124">
        <f t="shared" si="728"/>
        <v>0.56799885197675248</v>
      </c>
      <c r="DY166" s="124">
        <f t="shared" si="728"/>
        <v>0.54903606785156023</v>
      </c>
      <c r="DZ166" s="124">
        <f t="shared" si="728"/>
        <v>0.53526719966337055</v>
      </c>
      <c r="EA166" s="997">
        <f t="shared" si="728"/>
        <v>0.55379442503783116</v>
      </c>
      <c r="EB166" s="124">
        <f t="shared" si="728"/>
        <v>0.56135096794531936</v>
      </c>
      <c r="EC166" s="124">
        <f t="shared" si="728"/>
        <v>0.5721945204010509</v>
      </c>
      <c r="ED166" s="124">
        <f t="shared" si="728"/>
        <v>0.56672708069836886</v>
      </c>
      <c r="EE166" s="124">
        <f t="shared" si="728"/>
        <v>0.56465067778936395</v>
      </c>
      <c r="EF166" s="997">
        <f t="shared" si="728"/>
        <v>0.56625047984020505</v>
      </c>
      <c r="EG166" s="124">
        <f t="shared" si="728"/>
        <v>0.58142018152696207</v>
      </c>
      <c r="EH166" s="124">
        <f t="shared" si="728"/>
        <v>0.58099879634655782</v>
      </c>
      <c r="EI166" s="124">
        <f t="shared" si="728"/>
        <v>0.58678116644763678</v>
      </c>
      <c r="EJ166" s="124">
        <f t="shared" si="728"/>
        <v>0.5790046543449191</v>
      </c>
      <c r="EK166" s="997">
        <f t="shared" si="728"/>
        <v>0.58200435406179107</v>
      </c>
      <c r="EL166" s="124">
        <f t="shared" si="728"/>
        <v>0.5970365937451515</v>
      </c>
      <c r="EM166" s="124">
        <f t="shared" si="728"/>
        <v>0.59514871199236741</v>
      </c>
      <c r="EN166" s="124">
        <f t="shared" ref="EN166" si="729">EN13/EN7</f>
        <v>0.59579270318331934</v>
      </c>
      <c r="EO166" s="124">
        <f t="shared" si="728"/>
        <v>0.58407100548950541</v>
      </c>
      <c r="EP166" s="997">
        <f t="shared" si="728"/>
        <v>0.59263865585889175</v>
      </c>
      <c r="EQ166" s="124">
        <f t="shared" ref="EQ166:EU166" si="730">EQ13/EQ7</f>
        <v>0.59831744812823495</v>
      </c>
      <c r="ER166" s="124">
        <f t="shared" si="730"/>
        <v>0.59519103421145214</v>
      </c>
      <c r="ES166" s="124">
        <f t="shared" si="730"/>
        <v>0.58752102109064597</v>
      </c>
      <c r="ET166" s="124">
        <f t="shared" si="730"/>
        <v>0.5780946192699794</v>
      </c>
      <c r="EU166" s="997">
        <f t="shared" si="730"/>
        <v>0.58919037005452624</v>
      </c>
      <c r="EV166" s="997">
        <f t="shared" si="728"/>
        <v>0.57878029254596208</v>
      </c>
      <c r="EW166" s="997">
        <f t="shared" si="728"/>
        <v>0.57623145643116103</v>
      </c>
      <c r="EX166" s="997">
        <f t="shared" si="728"/>
        <v>0.57765977336775842</v>
      </c>
      <c r="EY166" s="997">
        <f t="shared" ref="EY166" si="731">EY13/EY7</f>
        <v>0.58139294870869396</v>
      </c>
      <c r="EZ166" s="127"/>
      <c r="FA166" s="725"/>
      <c r="FB166" s="725"/>
      <c r="FC166" s="725"/>
      <c r="FD166" s="725"/>
      <c r="FE166" s="725"/>
      <c r="FF166" s="725"/>
      <c r="FG166" s="725"/>
      <c r="FH166" s="725"/>
      <c r="FI166" s="725"/>
      <c r="FJ166" s="725"/>
      <c r="FK166" s="725"/>
      <c r="FL166" s="725"/>
    </row>
    <row r="167" spans="1:168" s="311" customFormat="1" ht="11.25" hidden="1" customHeight="1" outlineLevel="1">
      <c r="A167" s="3765" t="s">
        <v>734</v>
      </c>
      <c r="B167" s="209"/>
      <c r="C167" s="209"/>
      <c r="D167" s="209"/>
      <c r="E167" s="209"/>
      <c r="F167" s="1019"/>
      <c r="G167" s="209"/>
      <c r="H167" s="209"/>
      <c r="I167" s="209"/>
      <c r="J167" s="209"/>
      <c r="K167" s="1019"/>
      <c r="L167" s="209"/>
      <c r="M167" s="209"/>
      <c r="N167" s="209"/>
      <c r="O167" s="209"/>
      <c r="P167" s="2890" t="s">
        <v>116</v>
      </c>
      <c r="Q167" s="2891" t="s">
        <v>116</v>
      </c>
      <c r="R167" s="2891" t="s">
        <v>116</v>
      </c>
      <c r="S167" s="2891" t="s">
        <v>116</v>
      </c>
      <c r="T167" s="2891" t="s">
        <v>116</v>
      </c>
      <c r="U167" s="2890">
        <f t="shared" ref="U167:BN167" si="732">(U166-P166)*10000</f>
        <v>-1345.9456148057025</v>
      </c>
      <c r="V167" s="2891">
        <f t="shared" si="732"/>
        <v>-2161.0839144711313</v>
      </c>
      <c r="W167" s="2891">
        <f t="shared" si="732"/>
        <v>-1173.7476352860731</v>
      </c>
      <c r="X167" s="2891">
        <f t="shared" si="732"/>
        <v>-1295.7500114960374</v>
      </c>
      <c r="Y167" s="2891">
        <f t="shared" si="732"/>
        <v>-1397.0191564915201</v>
      </c>
      <c r="Z167" s="2890">
        <f t="shared" si="732"/>
        <v>-1277.1096119882297</v>
      </c>
      <c r="AA167" s="2891">
        <f t="shared" si="732"/>
        <v>-1333.0036038368698</v>
      </c>
      <c r="AB167" s="2891">
        <f t="shared" si="732"/>
        <v>-888.57908938425817</v>
      </c>
      <c r="AC167" s="2891">
        <f t="shared" si="732"/>
        <v>-167.91735838057599</v>
      </c>
      <c r="AD167" s="2891">
        <f t="shared" si="732"/>
        <v>498.88100168672401</v>
      </c>
      <c r="AE167" s="2890">
        <f t="shared" si="732"/>
        <v>-301.23932616286766</v>
      </c>
      <c r="AF167" s="2891">
        <f t="shared" si="732"/>
        <v>501.14591361557268</v>
      </c>
      <c r="AG167" s="2891">
        <f t="shared" si="732"/>
        <v>348.38917338034793</v>
      </c>
      <c r="AH167" s="2891">
        <f t="shared" si="732"/>
        <v>350.98631192364894</v>
      </c>
      <c r="AI167" s="2891">
        <f t="shared" si="732"/>
        <v>358.85911747654433</v>
      </c>
      <c r="AJ167" s="2890">
        <f t="shared" si="732"/>
        <v>381.44891074792355</v>
      </c>
      <c r="AK167" s="2891">
        <f t="shared" si="732"/>
        <v>337.56345281452548</v>
      </c>
      <c r="AL167" s="2891">
        <f t="shared" si="732"/>
        <v>295.16416321867968</v>
      </c>
      <c r="AM167" s="2891">
        <f t="shared" si="732"/>
        <v>251.08578834480366</v>
      </c>
      <c r="AN167" s="2891">
        <f t="shared" si="732"/>
        <v>71.314405084876853</v>
      </c>
      <c r="AO167" s="2890">
        <f t="shared" si="732"/>
        <v>221.7055098241305</v>
      </c>
      <c r="AP167" s="2891">
        <f t="shared" si="732"/>
        <v>0.25761653043021582</v>
      </c>
      <c r="AQ167" s="2891">
        <f t="shared" si="732"/>
        <v>7.7443293614765096</v>
      </c>
      <c r="AR167" s="2891">
        <f t="shared" si="732"/>
        <v>-28.564113749390827</v>
      </c>
      <c r="AS167" s="2891">
        <f t="shared" si="732"/>
        <v>-70.117095205051157</v>
      </c>
      <c r="AT167" s="2890">
        <f t="shared" si="732"/>
        <v>-26.061475764856958</v>
      </c>
      <c r="AU167" s="2891">
        <f t="shared" si="732"/>
        <v>-50.78215588274815</v>
      </c>
      <c r="AV167" s="2891">
        <f t="shared" si="732"/>
        <v>25.978107829367492</v>
      </c>
      <c r="AW167" s="2891">
        <f t="shared" si="732"/>
        <v>16.925069278354023</v>
      </c>
      <c r="AX167" s="2891">
        <f t="shared" si="732"/>
        <v>218.87220759454152</v>
      </c>
      <c r="AY167" s="2890">
        <f t="shared" si="732"/>
        <v>56.805457648053668</v>
      </c>
      <c r="AZ167" s="2891">
        <f t="shared" si="732"/>
        <v>260.08276409343114</v>
      </c>
      <c r="BA167" s="2891">
        <f t="shared" si="732"/>
        <v>191.66649471694441</v>
      </c>
      <c r="BB167" s="2891">
        <f t="shared" si="732"/>
        <v>182.93471162669994</v>
      </c>
      <c r="BC167" s="2891">
        <f t="shared" si="732"/>
        <v>220.62346917493537</v>
      </c>
      <c r="BD167" s="2890">
        <f t="shared" si="732"/>
        <v>217.05975829159007</v>
      </c>
      <c r="BE167" s="2892">
        <f t="shared" si="732"/>
        <v>181.59164313702902</v>
      </c>
      <c r="BF167" s="2891">
        <f t="shared" si="732"/>
        <v>186.60280286185048</v>
      </c>
      <c r="BG167" s="2891">
        <f t="shared" si="732"/>
        <v>228.17781380628844</v>
      </c>
      <c r="BH167" s="2891">
        <f t="shared" si="732"/>
        <v>162.45457535942199</v>
      </c>
      <c r="BI167" s="2890">
        <f t="shared" si="732"/>
        <v>189.70699742283381</v>
      </c>
      <c r="BJ167" s="2891">
        <f t="shared" si="732"/>
        <v>243.56825492453217</v>
      </c>
      <c r="BK167" s="2891">
        <f t="shared" si="732"/>
        <v>147.78323682707483</v>
      </c>
      <c r="BL167" s="2891">
        <f t="shared" si="732"/>
        <v>90.393211401538224</v>
      </c>
      <c r="BM167" s="2891">
        <f t="shared" si="732"/>
        <v>12.222687916662034</v>
      </c>
      <c r="BN167" s="2890">
        <f t="shared" si="732"/>
        <v>116.35941598479693</v>
      </c>
      <c r="BO167" s="2891">
        <v>-73.910139803692317</v>
      </c>
      <c r="BP167" s="2891">
        <v>-647.08175120074429</v>
      </c>
      <c r="BQ167" s="2891">
        <v>-1402.9798881989602</v>
      </c>
      <c r="BR167" s="2893">
        <v>-980.8960342866219</v>
      </c>
      <c r="BS167" s="2894">
        <v>-838.68155981038365</v>
      </c>
      <c r="BT167" s="2891">
        <f>(BT166-BJ166)*10000</f>
        <v>-123.13751374534942</v>
      </c>
      <c r="BU167" s="2891">
        <f>(BU166-BK166)*10000</f>
        <v>-101.13149147224165</v>
      </c>
      <c r="BV167" s="2891">
        <f>(BV166-BL166)*10000</f>
        <v>-361.56258635869909</v>
      </c>
      <c r="BW167" s="2891">
        <f>(BW166-BM166)*10000</f>
        <v>-342.55086080236862</v>
      </c>
      <c r="BX167" s="2890">
        <f>(BX166-BN166)*10000</f>
        <v>-317.21618170406975</v>
      </c>
      <c r="BY167" s="2891">
        <v>-963.16614520714324</v>
      </c>
      <c r="BZ167" s="2891">
        <v>-355.43789780665304</v>
      </c>
      <c r="CA167" s="2891">
        <v>364.92085531369065</v>
      </c>
      <c r="CB167" s="2891">
        <v>-271.55670067847359</v>
      </c>
      <c r="CC167" s="2890">
        <v>-250.80202387558427</v>
      </c>
      <c r="CD167" s="2891">
        <f>(CD166-BT166)*10000</f>
        <v>-475.81557091351146</v>
      </c>
      <c r="CE167" s="2891">
        <f>(CE166-BU166)*10000</f>
        <v>-404.61083551439737</v>
      </c>
      <c r="CF167" s="2891">
        <f>(CF166-BV166)*10000</f>
        <v>-169.87697690191038</v>
      </c>
      <c r="CG167" s="2891">
        <f>(CG166-BW166)*10000</f>
        <v>-213.49560297176828</v>
      </c>
      <c r="CH167" s="2890">
        <f>(CH166-BX166)*10000</f>
        <v>-230.59654974991849</v>
      </c>
      <c r="CI167" s="2891">
        <f t="shared" ref="CI167:DQ167" si="733">(CI166-CD166)*10000</f>
        <v>99.95817819154928</v>
      </c>
      <c r="CJ167" s="2891">
        <f t="shared" si="733"/>
        <v>131.50336010500308</v>
      </c>
      <c r="CK167" s="2891">
        <f t="shared" si="733"/>
        <v>-119.25348488850962</v>
      </c>
      <c r="CL167" s="2891">
        <f t="shared" si="733"/>
        <v>157.90432808455489</v>
      </c>
      <c r="CM167" s="2890">
        <f t="shared" si="733"/>
        <v>68.829785991667563</v>
      </c>
      <c r="CN167" s="2891">
        <f t="shared" si="733"/>
        <v>182.82909905201538</v>
      </c>
      <c r="CO167" s="2891">
        <f t="shared" si="733"/>
        <v>118.48326662377562</v>
      </c>
      <c r="CP167" s="2891">
        <f t="shared" si="733"/>
        <v>283.78839248944354</v>
      </c>
      <c r="CQ167" s="2891">
        <f t="shared" si="733"/>
        <v>-15.781538290822184</v>
      </c>
      <c r="CR167" s="2890">
        <f t="shared" si="733"/>
        <v>136.7659365917462</v>
      </c>
      <c r="CS167" s="2891">
        <f t="shared" si="733"/>
        <v>-92.555361713009262</v>
      </c>
      <c r="CT167" s="2891">
        <f t="shared" si="733"/>
        <v>-67.851037899092631</v>
      </c>
      <c r="CU167" s="2891">
        <f t="shared" si="733"/>
        <v>-106.52114791474764</v>
      </c>
      <c r="CV167" s="2891">
        <f t="shared" si="733"/>
        <v>-251.41136734121883</v>
      </c>
      <c r="CW167" s="2890">
        <f t="shared" si="733"/>
        <v>-136.70750464646829</v>
      </c>
      <c r="CX167" s="2891">
        <f t="shared" si="733"/>
        <v>-182.09074005095084</v>
      </c>
      <c r="CY167" s="2891">
        <f t="shared" si="733"/>
        <v>-206.68615827543869</v>
      </c>
      <c r="CZ167" s="2891">
        <f t="shared" si="733"/>
        <v>-139.45456443101079</v>
      </c>
      <c r="DA167" s="2891">
        <f t="shared" si="733"/>
        <v>-323.5687049232028</v>
      </c>
      <c r="DB167" s="2890">
        <f t="shared" si="733"/>
        <v>-219.48969212922776</v>
      </c>
      <c r="DC167" s="2891">
        <f t="shared" si="733"/>
        <v>-366.25394768334485</v>
      </c>
      <c r="DD167" s="2891">
        <f t="shared" si="733"/>
        <v>-263.0744472003621</v>
      </c>
      <c r="DE167" s="2891">
        <f t="shared" si="733"/>
        <v>-218.5465934353592</v>
      </c>
      <c r="DF167" s="2891">
        <f t="shared" si="733"/>
        <v>-148.18868111210358</v>
      </c>
      <c r="DG167" s="2890">
        <f t="shared" si="733"/>
        <v>-240.44453682162015</v>
      </c>
      <c r="DH167" s="2891">
        <f t="shared" si="733"/>
        <v>-82.455553003369928</v>
      </c>
      <c r="DI167" s="2891">
        <f t="shared" si="733"/>
        <v>-190.09301857113024</v>
      </c>
      <c r="DJ167" s="2891">
        <f t="shared" si="733"/>
        <v>-105.2233567045413</v>
      </c>
      <c r="DK167" s="2891">
        <f t="shared" si="733"/>
        <v>-5.343599232876528E-2</v>
      </c>
      <c r="DL167" s="2890">
        <f t="shared" si="733"/>
        <v>-89.553091035377008</v>
      </c>
      <c r="DM167" s="2891">
        <f t="shared" si="733"/>
        <v>-205.58577844881799</v>
      </c>
      <c r="DN167" s="2891">
        <f t="shared" si="733"/>
        <v>-403.25581861388793</v>
      </c>
      <c r="DO167" s="2891">
        <f t="shared" si="733"/>
        <v>-235.56713136620445</v>
      </c>
      <c r="DP167" s="2891">
        <f t="shared" si="733"/>
        <v>-21.513934360116728</v>
      </c>
      <c r="DQ167" s="2890">
        <f t="shared" si="733"/>
        <v>-200.21686128948056</v>
      </c>
      <c r="DR167" s="2891">
        <f t="shared" ref="DR167:EN167" si="734">(DR166-DM166)*10000</f>
        <v>254.38468605865293</v>
      </c>
      <c r="DS167" s="2891">
        <f t="shared" si="734"/>
        <v>606.14021489815764</v>
      </c>
      <c r="DT167" s="2891">
        <f t="shared" si="734"/>
        <v>331.7676904985567</v>
      </c>
      <c r="DU167" s="2891">
        <f t="shared" si="734"/>
        <v>204.2183987726942</v>
      </c>
      <c r="DV167" s="2890">
        <f t="shared" si="734"/>
        <v>336.14281947729864</v>
      </c>
      <c r="DW167" s="2891">
        <f t="shared" si="734"/>
        <v>5.3962475810753752</v>
      </c>
      <c r="DX167" s="2891">
        <f t="shared" si="734"/>
        <v>-81.646903632603966</v>
      </c>
      <c r="DY167" s="2891">
        <f t="shared" si="734"/>
        <v>-267.95499457018093</v>
      </c>
      <c r="DZ167" s="2891">
        <f t="shared" si="734"/>
        <v>-267.90550087708141</v>
      </c>
      <c r="EA167" s="2890">
        <f t="shared" si="734"/>
        <v>-156.03603971977242</v>
      </c>
      <c r="EB167" s="2891">
        <f t="shared" si="734"/>
        <v>-34.400217475244467</v>
      </c>
      <c r="EC167" s="2891">
        <f t="shared" si="734"/>
        <v>41.956684242984153</v>
      </c>
      <c r="ED167" s="2891">
        <f t="shared" si="734"/>
        <v>176.9101284680863</v>
      </c>
      <c r="EE167" s="2891">
        <f t="shared" si="734"/>
        <v>293.834781259934</v>
      </c>
      <c r="EF167" s="2890">
        <f t="shared" ref="EF167:EK167" si="735">(EF166-EA166)*10000</f>
        <v>124.56054802373883</v>
      </c>
      <c r="EG167" s="2891">
        <f t="shared" si="734"/>
        <v>200.69213581642708</v>
      </c>
      <c r="EH167" s="2891">
        <f t="shared" si="734"/>
        <v>88.042759455069231</v>
      </c>
      <c r="EI167" s="2891">
        <f t="shared" si="734"/>
        <v>200.54085749267924</v>
      </c>
      <c r="EJ167" s="2891">
        <f t="shared" si="734"/>
        <v>143.53976555555147</v>
      </c>
      <c r="EK167" s="2890">
        <f t="shared" si="735"/>
        <v>157.53874221586028</v>
      </c>
      <c r="EL167" s="2891">
        <f t="shared" si="734"/>
        <v>156.16412218189436</v>
      </c>
      <c r="EM167" s="2891">
        <f t="shared" si="734"/>
        <v>141.49915645809585</v>
      </c>
      <c r="EN167" s="2891">
        <f t="shared" si="734"/>
        <v>90.115367356825573</v>
      </c>
      <c r="EO167" s="2891">
        <f t="shared" ref="EO167:EP167" si="736">(EO166-EJ166)*10000</f>
        <v>50.663511445863122</v>
      </c>
      <c r="EP167" s="2890">
        <f t="shared" si="736"/>
        <v>106.34301797100676</v>
      </c>
      <c r="EQ167" s="2891">
        <f t="shared" ref="EQ167" si="737">(EQ166-EL166)*10000</f>
        <v>12.808543830834518</v>
      </c>
      <c r="ER167" s="2891">
        <f t="shared" ref="ER167" si="738">(ER166-EM166)*10000</f>
        <v>0.42322219084733881</v>
      </c>
      <c r="ES167" s="2891">
        <f t="shared" ref="ES167" si="739">(ES166-EN166)*10000</f>
        <v>-82.716820926733718</v>
      </c>
      <c r="ET167" s="2891">
        <f t="shared" ref="ET167:EU167" si="740">(ET166-EO166)*10000</f>
        <v>-59.763862195260089</v>
      </c>
      <c r="EU167" s="2890">
        <f t="shared" si="740"/>
        <v>-34.482858043655142</v>
      </c>
      <c r="EV167" s="2890">
        <f>(EV166-EU166)*10000</f>
        <v>-104.10077508564153</v>
      </c>
      <c r="EW167" s="2890">
        <f>(EW166-EV166)*10000</f>
        <v>-25.488361148010561</v>
      </c>
      <c r="EX167" s="2890">
        <f>(EX166-EW166)*10000</f>
        <v>14.283169365973958</v>
      </c>
      <c r="EY167" s="2890">
        <f>(EY166-EX166)*10000</f>
        <v>37.33175340935535</v>
      </c>
      <c r="EZ167" s="226"/>
      <c r="FA167" s="4287"/>
      <c r="FB167" s="4287"/>
      <c r="FC167" s="4287"/>
      <c r="FD167" s="4287"/>
      <c r="FE167" s="4287"/>
      <c r="FF167" s="4287"/>
      <c r="FG167" s="4287"/>
      <c r="FH167" s="4287"/>
      <c r="FI167" s="4287"/>
      <c r="FJ167" s="4287"/>
      <c r="FK167" s="4287"/>
      <c r="FL167" s="4287"/>
    </row>
    <row r="168" spans="1:168" s="311" customFormat="1" ht="11.25" hidden="1" customHeight="1" outlineLevel="1">
      <c r="A168" s="3765" t="s">
        <v>735</v>
      </c>
      <c r="B168" s="209"/>
      <c r="C168" s="209"/>
      <c r="D168" s="209"/>
      <c r="E168" s="209"/>
      <c r="F168" s="1019"/>
      <c r="G168" s="209"/>
      <c r="H168" s="209"/>
      <c r="I168" s="209"/>
      <c r="J168" s="209"/>
      <c r="K168" s="1019"/>
      <c r="L168" s="209"/>
      <c r="M168" s="209"/>
      <c r="N168" s="209"/>
      <c r="O168" s="209"/>
      <c r="P168" s="2890" t="s">
        <v>116</v>
      </c>
      <c r="Q168" s="2891" t="s">
        <v>116</v>
      </c>
      <c r="R168" s="2891">
        <f>(R166-Q166)*10000</f>
        <v>-1252.6863748843941</v>
      </c>
      <c r="S168" s="2891">
        <f>(S166-R166)*10000</f>
        <v>-430.71579645089673</v>
      </c>
      <c r="T168" s="2891">
        <f>(T166-S166)*10000</f>
        <v>-471.56632549310353</v>
      </c>
      <c r="U168" s="2890" t="s">
        <v>116</v>
      </c>
      <c r="V168" s="2891">
        <f>(V166-T166)*10000</f>
        <v>-6.1154176427369311</v>
      </c>
      <c r="W168" s="2891">
        <f>(W166-V166)*10000</f>
        <v>-265.35009569933601</v>
      </c>
      <c r="X168" s="2891">
        <f>(X166-W166)*10000</f>
        <v>-552.718172660861</v>
      </c>
      <c r="Y168" s="2891">
        <f>(Y166-X166)*10000</f>
        <v>-572.83547048858634</v>
      </c>
      <c r="Z168" s="2890" t="s">
        <v>116</v>
      </c>
      <c r="AA168" s="2891">
        <f>(AA166-Y166)*10000</f>
        <v>57.900135011913491</v>
      </c>
      <c r="AB168" s="2891">
        <f>(AB166-AA166)*10000</f>
        <v>179.07441875327555</v>
      </c>
      <c r="AC168" s="2891">
        <f>(AC166-AB166)*10000</f>
        <v>167.94355834282126</v>
      </c>
      <c r="AD168" s="2891">
        <f>(AD166-AC166)*10000</f>
        <v>93.962889578713686</v>
      </c>
      <c r="AE168" s="2890" t="s">
        <v>116</v>
      </c>
      <c r="AF168" s="2891">
        <f>(AF166-AD166)*10000</f>
        <v>60.165046940762188</v>
      </c>
      <c r="AG168" s="2891">
        <f>(AG166-AF166)*10000</f>
        <v>26.31767851805078</v>
      </c>
      <c r="AH168" s="2891">
        <f>(AH166-AG166)*10000</f>
        <v>170.54069688612228</v>
      </c>
      <c r="AI168" s="2891">
        <f>(AI166-AH166)*10000</f>
        <v>101.83569513160906</v>
      </c>
      <c r="AJ168" s="2890" t="s">
        <v>116</v>
      </c>
      <c r="AK168" s="2891">
        <f>(AK166-AI166)*10000</f>
        <v>38.869382278743373</v>
      </c>
      <c r="AL168" s="2891">
        <f>(AL166-AK166)*10000</f>
        <v>-16.081611077795046</v>
      </c>
      <c r="AM168" s="2891">
        <f>(AM166-AL166)*10000</f>
        <v>126.46232201224628</v>
      </c>
      <c r="AN168" s="2891">
        <f>(AN166-AM166)*10000</f>
        <v>-77.93568812831775</v>
      </c>
      <c r="AO168" s="2890" t="s">
        <v>116</v>
      </c>
      <c r="AP168" s="2891">
        <f>(AP166-AN166)*10000</f>
        <v>-32.187406275703268</v>
      </c>
      <c r="AQ168" s="2891">
        <f>(AQ166-AP166)*10000</f>
        <v>-8.59489824674875</v>
      </c>
      <c r="AR168" s="2891">
        <f>(AR166-AQ166)*10000</f>
        <v>90.153878901378931</v>
      </c>
      <c r="AS168" s="2891">
        <f>(AS166-AR166)*10000</f>
        <v>-119.48866958397808</v>
      </c>
      <c r="AT168" s="2890" t="s">
        <v>116</v>
      </c>
      <c r="AU168" s="2891">
        <f>(AU166-AS166)*10000</f>
        <v>-12.852466953400254</v>
      </c>
      <c r="AV168" s="2891">
        <f>(AV166-AU166)*10000</f>
        <v>68.165365465366889</v>
      </c>
      <c r="AW168" s="2891">
        <f>(AW166-AV166)*10000</f>
        <v>81.100840350365473</v>
      </c>
      <c r="AX168" s="2891">
        <f>(AX166-AW166)*10000</f>
        <v>82.458468732209411</v>
      </c>
      <c r="AY168" s="2890" t="s">
        <v>116</v>
      </c>
      <c r="AZ168" s="2891">
        <f>(AZ166-AX166)*10000</f>
        <v>28.358089545489349</v>
      </c>
      <c r="BA168" s="2891">
        <f>(BA166-AZ166)*10000</f>
        <v>-0.25090391111981525</v>
      </c>
      <c r="BB168" s="2891">
        <f>(BB166-BA166)*10000</f>
        <v>72.369057260120996</v>
      </c>
      <c r="BC168" s="2891">
        <f>(BC166-BB166)*10000</f>
        <v>120.14722628044483</v>
      </c>
      <c r="BD168" s="2890" t="s">
        <v>116</v>
      </c>
      <c r="BE168" s="2892">
        <f>(BE166-BD166)*10000</f>
        <v>109.26814467306367</v>
      </c>
      <c r="BF168" s="2891">
        <f>(BF166-BE166)*10000</f>
        <v>4.7602558137016526</v>
      </c>
      <c r="BG168" s="2891">
        <f>(BG166-BF166)*10000</f>
        <v>113.94406820455893</v>
      </c>
      <c r="BH168" s="2891">
        <f>(BH166-BG166)*10000</f>
        <v>54.42398783357838</v>
      </c>
      <c r="BI168" s="2890" t="s">
        <v>116</v>
      </c>
      <c r="BJ168" s="2891">
        <f>(BJ166-BI166)*10000</f>
        <v>163.12940217476202</v>
      </c>
      <c r="BK168" s="2891">
        <f>(BK166-BJ166)*10000</f>
        <v>-91.024762283755663</v>
      </c>
      <c r="BL168" s="2891">
        <f>(BL166-BK166)*10000</f>
        <v>56.554042779022318</v>
      </c>
      <c r="BM168" s="2891">
        <f>(BM166-BL166)*10000</f>
        <v>-23.746535651297805</v>
      </c>
      <c r="BN168" s="2890" t="s">
        <v>116</v>
      </c>
      <c r="BO168" s="2891">
        <v>-44.309034873266654</v>
      </c>
      <c r="BP168" s="2891">
        <v>-672.07408167944016</v>
      </c>
      <c r="BQ168" s="2891">
        <v>-721.12167931195404</v>
      </c>
      <c r="BR168" s="2893">
        <v>523.61981105103814</v>
      </c>
      <c r="BS168" s="2894" t="s">
        <v>116</v>
      </c>
      <c r="BT168" s="2891">
        <f>(BT166-BN166)*10000</f>
        <v>-76.367527555384342</v>
      </c>
      <c r="BU168" s="2891">
        <f>(BU166-BT166)*10000</f>
        <v>-69.018740010647889</v>
      </c>
      <c r="BV168" s="2891">
        <f>(BV166-BU166)*10000</f>
        <v>-203.87705210743513</v>
      </c>
      <c r="BW168" s="2891">
        <f>(BW166-BV166)*10000</f>
        <v>-4.7348100949673455</v>
      </c>
      <c r="BX168" s="2890" t="s">
        <v>116</v>
      </c>
      <c r="BY168" s="2891">
        <v>-168.79362027002631</v>
      </c>
      <c r="BZ168" s="2891">
        <v>-64.345834278949908</v>
      </c>
      <c r="CA168" s="2891">
        <v>-0.76292619161033581</v>
      </c>
      <c r="CB168" s="2891">
        <v>-112.8577449411261</v>
      </c>
      <c r="CC168" s="2890" t="s">
        <v>116</v>
      </c>
      <c r="CD168" s="2891">
        <f>(CD166-BX166)*10000</f>
        <v>-234.96691676482607</v>
      </c>
      <c r="CE168" s="2891">
        <f>(CE166-CD166)*10000</f>
        <v>2.1859953884661998</v>
      </c>
      <c r="CF168" s="2891">
        <f>(CF166-CE166)*10000</f>
        <v>30.85680650505185</v>
      </c>
      <c r="CG168" s="2891">
        <f>(CG166-CF166)*10000</f>
        <v>-48.35343616482524</v>
      </c>
      <c r="CH168" s="2890" t="s">
        <v>116</v>
      </c>
      <c r="CI168" s="2891">
        <f>(CI166-CH166)*10000</f>
        <v>95.587811176641722</v>
      </c>
      <c r="CJ168" s="2891">
        <f>(CJ166-CI166)*10000</f>
        <v>33.731177301919992</v>
      </c>
      <c r="CK168" s="2891">
        <f>(CK166-CJ166)*10000</f>
        <v>-219.90003848846084</v>
      </c>
      <c r="CL168" s="2891">
        <f>(CL166-CK166)*10000</f>
        <v>228.80437680823928</v>
      </c>
      <c r="CM168" s="2890" t="s">
        <v>116</v>
      </c>
      <c r="CN168" s="2891">
        <f>(CN166-CM166)*10000</f>
        <v>209.58712423698955</v>
      </c>
      <c r="CO168" s="2891">
        <f>(CO166-CN166)*10000</f>
        <v>-30.614655126319779</v>
      </c>
      <c r="CP168" s="2891">
        <f>(CP166-CO166)*10000</f>
        <v>-54.594912622792926</v>
      </c>
      <c r="CQ168" s="2891">
        <f>(CQ166-CP166)*10000</f>
        <v>-70.765553972026439</v>
      </c>
      <c r="CR168" s="2890" t="s">
        <v>116</v>
      </c>
      <c r="CS168" s="2891">
        <f>(CS166-CR166)*10000</f>
        <v>-19.734174067765899</v>
      </c>
      <c r="CT168" s="2891">
        <f>(CT166-CS166)*10000</f>
        <v>-5.9103313124031498</v>
      </c>
      <c r="CU168" s="2891">
        <f>(CU166-CT166)*10000</f>
        <v>-93.265022638447931</v>
      </c>
      <c r="CV168" s="2891">
        <f>(CV166-CU166)*10000</f>
        <v>-215.65577339849762</v>
      </c>
      <c r="CW168" s="2890"/>
      <c r="CX168" s="2891">
        <f>(CX166-CV166)*10000</f>
        <v>132.74038729839788</v>
      </c>
      <c r="CY168" s="2891">
        <f>(CY166-CX166)*10000</f>
        <v>-30.505749536891003</v>
      </c>
      <c r="CZ168" s="2891">
        <f>(CZ166-CY166)*10000</f>
        <v>-26.03342879402004</v>
      </c>
      <c r="DA168" s="2891">
        <f>(DA166-CZ166)*10000</f>
        <v>-399.76991389068962</v>
      </c>
      <c r="DB168" s="2890"/>
      <c r="DC168" s="2891">
        <f>(DC166-DA166)*10000</f>
        <v>90.055144538255803</v>
      </c>
      <c r="DD168" s="2891">
        <f>(DD166-DC166)*10000</f>
        <v>72.673750946091744</v>
      </c>
      <c r="DE168" s="2891">
        <f>(DE166-DD166)*10000</f>
        <v>18.494424970982859</v>
      </c>
      <c r="DF168" s="2891">
        <f>(DF166-DE166)*10000</f>
        <v>-329.412001567434</v>
      </c>
      <c r="DG168" s="2890"/>
      <c r="DH168" s="2891">
        <f>(DH166-DF166)*10000</f>
        <v>155.78827264698947</v>
      </c>
      <c r="DI168" s="2891">
        <f>(DI166-DH166)*10000</f>
        <v>-34.963714621668586</v>
      </c>
      <c r="DJ168" s="2891">
        <f>(DJ166-DI166)*10000</f>
        <v>103.36408683757182</v>
      </c>
      <c r="DK168" s="2891">
        <f>(DK166-DJ166)*10000</f>
        <v>-224.24208085522145</v>
      </c>
      <c r="DL168" s="2890"/>
      <c r="DM168" s="2891">
        <f>(DM166-DK166)*10000</f>
        <v>-49.744069809499749</v>
      </c>
      <c r="DN168" s="2891">
        <f>(DN166-DM166)*10000</f>
        <v>-232.63375478673854</v>
      </c>
      <c r="DO168" s="2891">
        <f>(DO166-DN166)*10000</f>
        <v>271.05277408525529</v>
      </c>
      <c r="DP168" s="2891">
        <f>(DP166-DO166)*10000</f>
        <v>-10.188883849133745</v>
      </c>
      <c r="DQ168" s="2890"/>
      <c r="DR168" s="2891">
        <f>(DR166-DP166)*10000</f>
        <v>226.15455060926993</v>
      </c>
      <c r="DS168" s="2891">
        <f>(DS166-DR166)*10000</f>
        <v>119.12177405276614</v>
      </c>
      <c r="DT168" s="2891">
        <f>(DT166-DS166)*10000</f>
        <v>-3.3197503143456153</v>
      </c>
      <c r="DU168" s="2891">
        <f>(DU166-DT166)*10000</f>
        <v>-137.73817557499623</v>
      </c>
      <c r="DV168" s="2890"/>
      <c r="DW168" s="2891">
        <f>(DW166-DU166)*10000</f>
        <v>27.332399417651089</v>
      </c>
      <c r="DX168" s="2891">
        <f>(DX166-DW166)*10000</f>
        <v>32.078622839086805</v>
      </c>
      <c r="DY168" s="2891">
        <f>(DY166-DX166)*10000</f>
        <v>-189.62784125192255</v>
      </c>
      <c r="DZ168" s="2891">
        <f>(DZ166-DY166)*10000</f>
        <v>-137.68868188189677</v>
      </c>
      <c r="EA168" s="2890"/>
      <c r="EB168" s="2891">
        <f>(EB166-DZ166)*10000</f>
        <v>260.83768281948807</v>
      </c>
      <c r="EC168" s="2891">
        <f>(EC166-EB166)*10000</f>
        <v>108.43552455731542</v>
      </c>
      <c r="ED168" s="2891">
        <f>(ED166-EC166)*10000</f>
        <v>-54.674397026820422</v>
      </c>
      <c r="EE168" s="2891">
        <f>(EE166-ED166)*10000</f>
        <v>-20.764029090049043</v>
      </c>
      <c r="EF168" s="2890"/>
      <c r="EG168" s="2891">
        <f>(EG166-EE166)*10000</f>
        <v>167.69503737598112</v>
      </c>
      <c r="EH168" s="2891">
        <f>(EH166-EG166)*10000</f>
        <v>-4.2138518040424344</v>
      </c>
      <c r="EI168" s="2891">
        <f>(EI166-EH166)*10000</f>
        <v>57.823701010789598</v>
      </c>
      <c r="EJ168" s="2891">
        <f>(EJ166-EI166)*10000</f>
        <v>-77.765121027176804</v>
      </c>
      <c r="EK168" s="2890"/>
      <c r="EL168" s="2891">
        <f>(EL166-EJ166)*10000</f>
        <v>180.319394002324</v>
      </c>
      <c r="EM168" s="2891">
        <f>(EM166-EL166)*10000</f>
        <v>-18.87881752784093</v>
      </c>
      <c r="EN168" s="2891">
        <f>(EN166-EM166)*10000</f>
        <v>6.4399119095193136</v>
      </c>
      <c r="EO168" s="2891">
        <f>(EO166-EN166)*10000</f>
        <v>-117.21697693813925</v>
      </c>
      <c r="EP168" s="2890"/>
      <c r="EQ168" s="2891">
        <f>(EQ166-EO166)*10000</f>
        <v>142.46442638729539</v>
      </c>
      <c r="ER168" s="2891">
        <f>(ER166-EQ166)*10000</f>
        <v>-31.264139167828109</v>
      </c>
      <c r="ES168" s="2891">
        <f>(ES166-ER166)*10000</f>
        <v>-76.700131208061734</v>
      </c>
      <c r="ET168" s="2891">
        <f>(ET166-ES166)*10000</f>
        <v>-94.264018206665639</v>
      </c>
      <c r="EU168" s="2890"/>
      <c r="EV168" s="2890"/>
      <c r="EW168" s="2890"/>
      <c r="EX168" s="2890"/>
      <c r="EY168" s="2890"/>
      <c r="EZ168" s="209"/>
      <c r="FA168" s="4287"/>
      <c r="FB168" s="4287"/>
      <c r="FC168" s="4287"/>
      <c r="FD168" s="4287"/>
      <c r="FE168" s="4287"/>
      <c r="FF168" s="4287"/>
      <c r="FG168" s="4287"/>
      <c r="FH168" s="4287"/>
      <c r="FI168" s="4287"/>
      <c r="FJ168" s="4287"/>
      <c r="FK168" s="4287"/>
      <c r="FL168" s="4287"/>
    </row>
    <row r="169" spans="1:168" ht="11.25" customHeight="1" collapsed="1">
      <c r="A169" s="3770" t="s">
        <v>575</v>
      </c>
      <c r="B169" s="3333"/>
      <c r="C169" s="3333"/>
      <c r="D169" s="3333"/>
      <c r="E169" s="3333"/>
      <c r="F169" s="3401"/>
      <c r="G169" s="3333"/>
      <c r="H169" s="3333"/>
      <c r="I169" s="3333"/>
      <c r="J169" s="3333"/>
      <c r="K169" s="3401">
        <f>K27/K7</f>
        <v>-0.77124764496545939</v>
      </c>
      <c r="L169" s="3333"/>
      <c r="M169" s="3333"/>
      <c r="N169" s="3333"/>
      <c r="O169" s="3333"/>
      <c r="P169" s="3401">
        <f t="shared" ref="P169:AU169" si="741">P27/P7</f>
        <v>0.1268599726934026</v>
      </c>
      <c r="Q169" s="3333">
        <f t="shared" si="741"/>
        <v>0.35963107484923718</v>
      </c>
      <c r="R169" s="3333">
        <f t="shared" si="741"/>
        <v>0.39601400827761873</v>
      </c>
      <c r="S169" s="3333">
        <f t="shared" si="741"/>
        <v>0.43515792854029833</v>
      </c>
      <c r="T169" s="3333">
        <f t="shared" si="741"/>
        <v>0.44302355902528323</v>
      </c>
      <c r="U169" s="3401">
        <f t="shared" si="741"/>
        <v>0.42426076430918214</v>
      </c>
      <c r="V169" s="3333">
        <f t="shared" si="741"/>
        <v>0.34070743067678128</v>
      </c>
      <c r="W169" s="3333">
        <f t="shared" si="741"/>
        <v>0.33671059354303834</v>
      </c>
      <c r="X169" s="3333">
        <f t="shared" si="741"/>
        <v>0.168948728493027</v>
      </c>
      <c r="Y169" s="3333">
        <f t="shared" si="741"/>
        <v>0.16872748572265331</v>
      </c>
      <c r="Z169" s="3401">
        <f t="shared" si="741"/>
        <v>0.23361488307113415</v>
      </c>
      <c r="AA169" s="3333">
        <f t="shared" si="741"/>
        <v>0.23836328674709154</v>
      </c>
      <c r="AB169" s="3333">
        <f t="shared" si="741"/>
        <v>0.24415177117787182</v>
      </c>
      <c r="AC169" s="3333">
        <f t="shared" si="741"/>
        <v>0.26320315379203285</v>
      </c>
      <c r="AD169" s="3333">
        <f t="shared" si="741"/>
        <v>0.29355182399241492</v>
      </c>
      <c r="AE169" s="3401">
        <f t="shared" si="741"/>
        <v>0.26376079690883952</v>
      </c>
      <c r="AF169" s="3333">
        <f t="shared" si="741"/>
        <v>0.35237911813299638</v>
      </c>
      <c r="AG169" s="3333">
        <f t="shared" si="741"/>
        <v>0.34358953986832735</v>
      </c>
      <c r="AH169" s="3333">
        <f t="shared" si="741"/>
        <v>0.33524596187666933</v>
      </c>
      <c r="AI169" s="3333">
        <f t="shared" si="741"/>
        <v>0.34372487419838432</v>
      </c>
      <c r="AJ169" s="3401">
        <f t="shared" si="741"/>
        <v>0.343285558828129</v>
      </c>
      <c r="AK169" s="3333">
        <f t="shared" si="741"/>
        <v>0.3295384813344841</v>
      </c>
      <c r="AL169" s="3333">
        <f t="shared" si="741"/>
        <v>0.33199307326451927</v>
      </c>
      <c r="AM169" s="3333">
        <f t="shared" si="741"/>
        <v>0.34626179464938661</v>
      </c>
      <c r="AN169" s="3333">
        <f t="shared" si="741"/>
        <v>0.33086715387125498</v>
      </c>
      <c r="AO169" s="3401">
        <f t="shared" si="741"/>
        <v>0.334750003229634</v>
      </c>
      <c r="AP169" s="3333">
        <f t="shared" si="741"/>
        <v>0.33330203759800509</v>
      </c>
      <c r="AQ169" s="3333">
        <f t="shared" si="741"/>
        <v>0.28528390476719312</v>
      </c>
      <c r="AR169" s="3333">
        <f t="shared" si="741"/>
        <v>0.31144591880938266</v>
      </c>
      <c r="AS169" s="3333">
        <f t="shared" si="741"/>
        <v>0.29849385053366922</v>
      </c>
      <c r="AT169" s="3401">
        <f t="shared" si="741"/>
        <v>0.30639986076883519</v>
      </c>
      <c r="AU169" s="3333">
        <f t="shared" si="741"/>
        <v>0.29815313910817942</v>
      </c>
      <c r="AV169" s="3333">
        <f t="shared" ref="AV169:BN169" si="742">AV27/AV7</f>
        <v>0.29400087047055345</v>
      </c>
      <c r="AW169" s="3333">
        <f t="shared" si="742"/>
        <v>0.29731975238708108</v>
      </c>
      <c r="AX169" s="3333">
        <f t="shared" si="742"/>
        <v>0.32629982893941045</v>
      </c>
      <c r="AY169" s="3401">
        <f t="shared" si="742"/>
        <v>0.30428087384810193</v>
      </c>
      <c r="AZ169" s="3333">
        <f t="shared" si="742"/>
        <v>0.34191221984429082</v>
      </c>
      <c r="BA169" s="3333">
        <f t="shared" si="742"/>
        <v>0.33929548206312732</v>
      </c>
      <c r="BB169" s="3333">
        <f t="shared" si="742"/>
        <v>0.34882589992583496</v>
      </c>
      <c r="BC169" s="3333">
        <f t="shared" si="742"/>
        <v>0.37174828527868203</v>
      </c>
      <c r="BD169" s="3401">
        <f t="shared" si="742"/>
        <v>0.35145827183902545</v>
      </c>
      <c r="BE169" s="3402">
        <f t="shared" si="742"/>
        <v>0.36723247232472322</v>
      </c>
      <c r="BF169" s="3333">
        <f t="shared" si="742"/>
        <v>0.34677419354838712</v>
      </c>
      <c r="BG169" s="3333">
        <f t="shared" si="742"/>
        <v>0.34957452648915727</v>
      </c>
      <c r="BH169" s="3333">
        <f t="shared" si="742"/>
        <v>0.35331753554502371</v>
      </c>
      <c r="BI169" s="3401">
        <f t="shared" si="742"/>
        <v>0.35408069301865558</v>
      </c>
      <c r="BJ169" s="3333">
        <f t="shared" si="742"/>
        <v>0.32606413994169098</v>
      </c>
      <c r="BK169" s="3333">
        <f t="shared" si="742"/>
        <v>0.31918900952803014</v>
      </c>
      <c r="BL169" s="3333">
        <f t="shared" si="742"/>
        <v>0.31460905349794238</v>
      </c>
      <c r="BM169" s="3333">
        <f t="shared" si="742"/>
        <v>0.33134920634920634</v>
      </c>
      <c r="BN169" s="3401">
        <f t="shared" si="742"/>
        <v>0.32296530800685924</v>
      </c>
      <c r="BO169" s="3333">
        <v>0.3183654297792391</v>
      </c>
      <c r="BP169" s="3333">
        <v>0.26224005239888654</v>
      </c>
      <c r="BQ169" s="3333">
        <v>0.19402879228423517</v>
      </c>
      <c r="BR169" s="3403">
        <v>0.23538386850683127</v>
      </c>
      <c r="BS169" s="3404">
        <v>0.24761089160941241</v>
      </c>
      <c r="BT169" s="3333">
        <f>BT27/BT7</f>
        <v>0.3183654297792391</v>
      </c>
      <c r="BU169" s="3333">
        <f>BU27/BU7</f>
        <v>0.31338927398759575</v>
      </c>
      <c r="BV169" s="3333">
        <f>BV27/BV7</f>
        <v>0.28309908034010062</v>
      </c>
      <c r="BW169" s="3333">
        <f>BW27/BW7</f>
        <v>0.29035257652072838</v>
      </c>
      <c r="BX169" s="3401">
        <f>BX27/BX7</f>
        <v>0.30048437194552446</v>
      </c>
      <c r="BY169" s="3333">
        <v>0.24890829694323144</v>
      </c>
      <c r="BZ169" s="3333">
        <v>0.22141084721729884</v>
      </c>
      <c r="CA169" s="3333">
        <v>0.23124958033975693</v>
      </c>
      <c r="CB169" s="3333">
        <v>0.23264918732945783</v>
      </c>
      <c r="CC169" s="3401">
        <v>0.23380710829859541</v>
      </c>
      <c r="CD169" s="3333">
        <f t="shared" ref="CD169:DI169" si="743">CD27/CD7</f>
        <v>0.28939850204617407</v>
      </c>
      <c r="CE169" s="3333">
        <f t="shared" si="743"/>
        <v>0.26436255436026551</v>
      </c>
      <c r="CF169" s="3333">
        <f t="shared" si="743"/>
        <v>0.27344772429838593</v>
      </c>
      <c r="CG169" s="3333">
        <f t="shared" si="743"/>
        <v>0.28197618896033616</v>
      </c>
      <c r="CH169" s="3401">
        <f t="shared" si="743"/>
        <v>0.27743655325203986</v>
      </c>
      <c r="CI169" s="3333">
        <f t="shared" si="743"/>
        <v>0.26686121919584954</v>
      </c>
      <c r="CJ169" s="3333">
        <f t="shared" si="743"/>
        <v>0.26687558759009716</v>
      </c>
      <c r="CK169" s="3333">
        <f t="shared" si="743"/>
        <v>0.22538279973370454</v>
      </c>
      <c r="CL169" s="3333">
        <f t="shared" si="743"/>
        <v>0.24299839805557091</v>
      </c>
      <c r="CM169" s="3401">
        <f t="shared" si="743"/>
        <v>0.24993560703625703</v>
      </c>
      <c r="CN169" s="3333">
        <f t="shared" si="743"/>
        <v>0.25767759879476188</v>
      </c>
      <c r="CO169" s="3333">
        <f t="shared" si="743"/>
        <v>0.2721836746206352</v>
      </c>
      <c r="CP169" s="3333">
        <f t="shared" si="743"/>
        <v>0.25210174029451138</v>
      </c>
      <c r="CQ169" s="3333">
        <f t="shared" si="743"/>
        <v>0.25223873599324864</v>
      </c>
      <c r="CR169" s="3401">
        <f t="shared" si="743"/>
        <v>0.25817119844243824</v>
      </c>
      <c r="CS169" s="3333">
        <f t="shared" si="743"/>
        <v>0.26371130967073109</v>
      </c>
      <c r="CT169" s="3333">
        <f t="shared" si="743"/>
        <v>0.27758139534883719</v>
      </c>
      <c r="CU169" s="3333">
        <f t="shared" si="743"/>
        <v>0.25687051801701483</v>
      </c>
      <c r="CV169" s="3333">
        <f t="shared" si="743"/>
        <v>0.25471915285451197</v>
      </c>
      <c r="CW169" s="3401">
        <f t="shared" si="743"/>
        <v>0.26271712158808935</v>
      </c>
      <c r="CX169" s="3333">
        <f t="shared" si="743"/>
        <v>0.26537373737373737</v>
      </c>
      <c r="CY169" s="3333">
        <f t="shared" si="743"/>
        <v>0.15886197616301423</v>
      </c>
      <c r="CZ169" s="3333">
        <f t="shared" si="743"/>
        <v>0.28021028373901774</v>
      </c>
      <c r="DA169" s="3333">
        <f t="shared" si="743"/>
        <v>0.23710670420443647</v>
      </c>
      <c r="DB169" s="3401">
        <f t="shared" si="743"/>
        <v>0.23585765188760091</v>
      </c>
      <c r="DC169" s="3333">
        <f t="shared" si="743"/>
        <v>0.24507159827907277</v>
      </c>
      <c r="DD169" s="3333">
        <f t="shared" si="743"/>
        <v>9.3241877698502618E-2</v>
      </c>
      <c r="DE169" s="3333">
        <f t="shared" si="743"/>
        <v>0.25563129816241847</v>
      </c>
      <c r="DF169" s="3333">
        <f t="shared" si="743"/>
        <v>0.20931357572054179</v>
      </c>
      <c r="DG169" s="3401">
        <f t="shared" si="743"/>
        <v>0.20117089000796673</v>
      </c>
      <c r="DH169" s="3333">
        <f t="shared" si="743"/>
        <v>0.18184319876716476</v>
      </c>
      <c r="DI169" s="3333">
        <f t="shared" si="743"/>
        <v>0.23572308956450289</v>
      </c>
      <c r="DJ169" s="3333">
        <f t="shared" ref="DJ169:EX169" si="744">DJ27/DJ7</f>
        <v>0.22659818760957059</v>
      </c>
      <c r="DK169" s="3333">
        <f t="shared" si="744"/>
        <v>0.20110689093868692</v>
      </c>
      <c r="DL169" s="3401">
        <f t="shared" si="744"/>
        <v>0.21148915400631421</v>
      </c>
      <c r="DM169" s="3333">
        <f t="shared" si="744"/>
        <v>0.1938093734055735</v>
      </c>
      <c r="DN169" s="3333">
        <f t="shared" si="744"/>
        <v>0.1666710186176463</v>
      </c>
      <c r="DO169" s="3333">
        <f t="shared" si="744"/>
        <v>0.24284755159941956</v>
      </c>
      <c r="DP169" s="3333">
        <f t="shared" si="744"/>
        <v>0.27507118000632713</v>
      </c>
      <c r="DQ169" s="3401">
        <f t="shared" si="744"/>
        <v>0.22585151785763202</v>
      </c>
      <c r="DR169" s="3333">
        <f t="shared" si="744"/>
        <v>0.29715804317171057</v>
      </c>
      <c r="DS169" s="3333">
        <f t="shared" si="744"/>
        <v>0.312879767291532</v>
      </c>
      <c r="DT169" s="3333">
        <f t="shared" si="744"/>
        <v>0.32296753585798088</v>
      </c>
      <c r="DU169" s="3333">
        <f t="shared" si="744"/>
        <v>0.29054098904746101</v>
      </c>
      <c r="DV169" s="3401">
        <f t="shared" si="744"/>
        <v>0.3055228868524319</v>
      </c>
      <c r="DW169" s="3333">
        <f t="shared" si="744"/>
        <v>0.29545220626075192</v>
      </c>
      <c r="DX169" s="3333">
        <f t="shared" si="744"/>
        <v>0.279156202913109</v>
      </c>
      <c r="DY169" s="3333">
        <f t="shared" si="744"/>
        <v>0.24800266311584554</v>
      </c>
      <c r="DZ169" s="3333">
        <f t="shared" si="744"/>
        <v>0.23879654954765411</v>
      </c>
      <c r="EA169" s="3401">
        <f t="shared" si="744"/>
        <v>0.26461270842467011</v>
      </c>
      <c r="EB169" s="3333">
        <f t="shared" si="744"/>
        <v>0.24954504420594092</v>
      </c>
      <c r="EC169" s="3333">
        <f t="shared" si="744"/>
        <v>0.29271888906761029</v>
      </c>
      <c r="ED169" s="3333">
        <f t="shared" si="744"/>
        <v>0.27829136948613303</v>
      </c>
      <c r="EE169" s="3333">
        <f t="shared" si="744"/>
        <v>0.27455683003128256</v>
      </c>
      <c r="EF169" s="3401">
        <f t="shared" si="744"/>
        <v>0.27421810445226646</v>
      </c>
      <c r="EG169" s="3333">
        <f t="shared" si="744"/>
        <v>0.31626913669154072</v>
      </c>
      <c r="EH169" s="3333">
        <f t="shared" si="744"/>
        <v>0.32362936914398999</v>
      </c>
      <c r="EI169" s="3333">
        <f t="shared" si="744"/>
        <v>0.32311823084243441</v>
      </c>
      <c r="EJ169" s="3333">
        <f t="shared" si="744"/>
        <v>0.32105650519856122</v>
      </c>
      <c r="EK169" s="3401">
        <f t="shared" si="744"/>
        <v>0.32109777211457696</v>
      </c>
      <c r="EL169" s="3333">
        <f t="shared" si="744"/>
        <v>0.33918478622248821</v>
      </c>
      <c r="EM169" s="3333">
        <f t="shared" si="744"/>
        <v>0.32429377359273243</v>
      </c>
      <c r="EN169" s="3333">
        <f t="shared" ref="EN169" si="745">EN27/EN7</f>
        <v>0.30512184159615424</v>
      </c>
      <c r="EO169" s="3333">
        <f t="shared" si="744"/>
        <v>0.33265537501525266</v>
      </c>
      <c r="EP169" s="3401">
        <f t="shared" si="744"/>
        <v>0.3250914327398432</v>
      </c>
      <c r="EQ169" s="3333">
        <f t="shared" ref="EQ169:EU169" si="746">EQ27/EQ7</f>
        <v>0.34916096794340579</v>
      </c>
      <c r="ER169" s="3333">
        <f t="shared" si="746"/>
        <v>0.3456917622945303</v>
      </c>
      <c r="ES169" s="3333">
        <f t="shared" si="746"/>
        <v>0.33739258637631947</v>
      </c>
      <c r="ET169" s="3333">
        <f t="shared" si="746"/>
        <v>0.33404868718295216</v>
      </c>
      <c r="EU169" s="3401">
        <f t="shared" si="746"/>
        <v>0.34112857535539642</v>
      </c>
      <c r="EV169" s="3401">
        <f t="shared" si="744"/>
        <v>0.33668178936706633</v>
      </c>
      <c r="EW169" s="3401">
        <f t="shared" si="744"/>
        <v>0.34224656200153802</v>
      </c>
      <c r="EX169" s="3401">
        <f t="shared" si="744"/>
        <v>0.35028305406342797</v>
      </c>
      <c r="EY169" s="3401">
        <f t="shared" ref="EY169" si="747">EY27/EY7</f>
        <v>0.36083416695274023</v>
      </c>
      <c r="EZ169" s="127"/>
      <c r="FA169" s="725"/>
      <c r="FB169" s="725"/>
      <c r="FC169" s="725"/>
      <c r="FD169" s="725"/>
      <c r="FE169" s="725"/>
      <c r="FF169" s="725"/>
      <c r="FG169" s="725"/>
      <c r="FH169" s="725"/>
      <c r="FI169" s="725"/>
      <c r="FJ169" s="725"/>
      <c r="FK169" s="725"/>
      <c r="FL169" s="725"/>
    </row>
    <row r="170" spans="1:168" s="311" customFormat="1" ht="11.25" hidden="1" customHeight="1" outlineLevel="1">
      <c r="A170" s="3765" t="s">
        <v>734</v>
      </c>
      <c r="B170" s="209"/>
      <c r="C170" s="209"/>
      <c r="D170" s="209"/>
      <c r="E170" s="209"/>
      <c r="F170" s="1019"/>
      <c r="G170" s="209"/>
      <c r="H170" s="209"/>
      <c r="I170" s="209"/>
      <c r="J170" s="209"/>
      <c r="K170" s="1019"/>
      <c r="L170" s="209"/>
      <c r="M170" s="209"/>
      <c r="N170" s="209"/>
      <c r="O170" s="209"/>
      <c r="P170" s="2890" t="s">
        <v>116</v>
      </c>
      <c r="Q170" s="2891" t="s">
        <v>116</v>
      </c>
      <c r="R170" s="2891" t="s">
        <v>116</v>
      </c>
      <c r="S170" s="2891" t="s">
        <v>116</v>
      </c>
      <c r="T170" s="2891" t="s">
        <v>116</v>
      </c>
      <c r="U170" s="2890">
        <f t="shared" ref="U170:BN170" si="748">(U169-P169)*10000</f>
        <v>2974.0079161577955</v>
      </c>
      <c r="V170" s="2891">
        <f t="shared" si="748"/>
        <v>-189.236441724559</v>
      </c>
      <c r="W170" s="2891">
        <f t="shared" si="748"/>
        <v>-593.03414734580394</v>
      </c>
      <c r="X170" s="2891">
        <f t="shared" si="748"/>
        <v>-2662.0920004727132</v>
      </c>
      <c r="Y170" s="2891">
        <f t="shared" si="748"/>
        <v>-2742.9607330262993</v>
      </c>
      <c r="Z170" s="2890">
        <f t="shared" si="748"/>
        <v>-1906.4588123804799</v>
      </c>
      <c r="AA170" s="2891">
        <f t="shared" si="748"/>
        <v>-1023.4414392968974</v>
      </c>
      <c r="AB170" s="2891">
        <f t="shared" si="748"/>
        <v>-925.5882236516652</v>
      </c>
      <c r="AC170" s="2891">
        <f t="shared" si="748"/>
        <v>942.54425299005845</v>
      </c>
      <c r="AD170" s="2891">
        <f t="shared" si="748"/>
        <v>1248.2433826976162</v>
      </c>
      <c r="AE170" s="2890">
        <f t="shared" si="748"/>
        <v>301.45913837705376</v>
      </c>
      <c r="AF170" s="2891">
        <f t="shared" si="748"/>
        <v>1140.1583138590486</v>
      </c>
      <c r="AG170" s="2891">
        <f t="shared" si="748"/>
        <v>994.37768690455539</v>
      </c>
      <c r="AH170" s="2891">
        <f t="shared" si="748"/>
        <v>720.42808084636476</v>
      </c>
      <c r="AI170" s="2891">
        <f t="shared" si="748"/>
        <v>501.73050205969406</v>
      </c>
      <c r="AJ170" s="2890">
        <f t="shared" si="748"/>
        <v>795.24761919289472</v>
      </c>
      <c r="AK170" s="2891">
        <f t="shared" si="748"/>
        <v>-228.40636798512281</v>
      </c>
      <c r="AL170" s="2891">
        <f t="shared" si="748"/>
        <v>-115.96466603808086</v>
      </c>
      <c r="AM170" s="2891">
        <f t="shared" si="748"/>
        <v>110.15832772717282</v>
      </c>
      <c r="AN170" s="2891">
        <f t="shared" si="748"/>
        <v>-128.5772032712934</v>
      </c>
      <c r="AO170" s="2890">
        <f t="shared" si="748"/>
        <v>-85.355555984950044</v>
      </c>
      <c r="AP170" s="2891">
        <f t="shared" si="748"/>
        <v>37.635562635209837</v>
      </c>
      <c r="AQ170" s="2891">
        <f t="shared" si="748"/>
        <v>-467.09168497326147</v>
      </c>
      <c r="AR170" s="2891">
        <f t="shared" si="748"/>
        <v>-348.15875840003952</v>
      </c>
      <c r="AS170" s="2891">
        <f t="shared" si="748"/>
        <v>-323.73303337585759</v>
      </c>
      <c r="AT170" s="2890">
        <f t="shared" si="748"/>
        <v>-283.5014246079881</v>
      </c>
      <c r="AU170" s="2891">
        <f t="shared" si="748"/>
        <v>-351.48898489825666</v>
      </c>
      <c r="AV170" s="2891">
        <f t="shared" si="748"/>
        <v>87.169657033603357</v>
      </c>
      <c r="AW170" s="2891">
        <f t="shared" si="748"/>
        <v>-141.26166422301577</v>
      </c>
      <c r="AX170" s="2891">
        <f t="shared" si="748"/>
        <v>278.05978405741229</v>
      </c>
      <c r="AY170" s="2890">
        <f t="shared" si="748"/>
        <v>-21.189869207332567</v>
      </c>
      <c r="AZ170" s="2891">
        <f t="shared" si="748"/>
        <v>437.590807361114</v>
      </c>
      <c r="BA170" s="2891">
        <f t="shared" si="748"/>
        <v>452.94611592573864</v>
      </c>
      <c r="BB170" s="2891">
        <f t="shared" si="748"/>
        <v>515.06147538753874</v>
      </c>
      <c r="BC170" s="2891">
        <f t="shared" si="748"/>
        <v>454.48456339271581</v>
      </c>
      <c r="BD170" s="2890">
        <f t="shared" si="748"/>
        <v>471.77397990923521</v>
      </c>
      <c r="BE170" s="2892">
        <f t="shared" si="748"/>
        <v>253.20252480432404</v>
      </c>
      <c r="BF170" s="2891">
        <f t="shared" si="748"/>
        <v>74.787114852598037</v>
      </c>
      <c r="BG170" s="2891">
        <f t="shared" si="748"/>
        <v>7.486265633223077</v>
      </c>
      <c r="BH170" s="2891">
        <f t="shared" si="748"/>
        <v>-184.30749733658325</v>
      </c>
      <c r="BI170" s="2890">
        <f t="shared" si="748"/>
        <v>26.224211796301301</v>
      </c>
      <c r="BJ170" s="2891">
        <f t="shared" si="748"/>
        <v>-411.68332383032248</v>
      </c>
      <c r="BK170" s="2891">
        <f t="shared" si="748"/>
        <v>-275.85184020356979</v>
      </c>
      <c r="BL170" s="2891">
        <f t="shared" si="748"/>
        <v>-349.65472991214887</v>
      </c>
      <c r="BM170" s="2891">
        <f t="shared" si="748"/>
        <v>-219.6832919581737</v>
      </c>
      <c r="BN170" s="2890">
        <f t="shared" si="748"/>
        <v>-311.15385011796337</v>
      </c>
      <c r="BO170" s="2891">
        <v>-73.910139803692317</v>
      </c>
      <c r="BP170" s="2891">
        <v>-647.08175120074429</v>
      </c>
      <c r="BQ170" s="2891">
        <v>-1402.9798881989602</v>
      </c>
      <c r="BR170" s="2893">
        <v>-980.8960342866219</v>
      </c>
      <c r="BS170" s="2894">
        <v>-838.68155981038365</v>
      </c>
      <c r="BT170" s="2891">
        <f>(BT169-BJ169)*10000</f>
        <v>-76.987101624518829</v>
      </c>
      <c r="BU170" s="2891">
        <f>(BU169-BK169)*10000</f>
        <v>-57.997355404343921</v>
      </c>
      <c r="BV170" s="2891">
        <f>(BV169-BL169)*10000</f>
        <v>-315.09973157841762</v>
      </c>
      <c r="BW170" s="2891">
        <f>(BW169-BM169)*10000</f>
        <v>-409.96629828477961</v>
      </c>
      <c r="BX170" s="2890">
        <f>(BX169-BN169)*10000</f>
        <v>-224.80936061334776</v>
      </c>
      <c r="BY170" s="2891">
        <v>-963.16614520714324</v>
      </c>
      <c r="BZ170" s="2891">
        <v>-355.43789780665304</v>
      </c>
      <c r="CA170" s="2891">
        <v>364.92085531369065</v>
      </c>
      <c r="CB170" s="2891">
        <v>-271.55670067847359</v>
      </c>
      <c r="CC170" s="2890">
        <v>-250.80202387558427</v>
      </c>
      <c r="CD170" s="2891">
        <f>(CD169-BT169)*10000</f>
        <v>-289.66927733065029</v>
      </c>
      <c r="CE170" s="2891">
        <f>(CE169-BU169)*10000</f>
        <v>-490.26719627330237</v>
      </c>
      <c r="CF170" s="2891">
        <f>(CF169-BV169)*10000</f>
        <v>-96.513560417146877</v>
      </c>
      <c r="CG170" s="2891">
        <f>(CG169-BW169)*10000</f>
        <v>-83.763875603922173</v>
      </c>
      <c r="CH170" s="2890">
        <f>(CH169-BX169)*10000</f>
        <v>-230.47818693484601</v>
      </c>
      <c r="CI170" s="2891">
        <f t="shared" ref="CI170:DB170" si="749">(CI169-CD169)*10000</f>
        <v>-225.37282850324524</v>
      </c>
      <c r="CJ170" s="2891">
        <f t="shared" si="749"/>
        <v>25.130332298316517</v>
      </c>
      <c r="CK170" s="2891">
        <f t="shared" si="749"/>
        <v>-480.64924564681394</v>
      </c>
      <c r="CL170" s="2891">
        <f t="shared" si="749"/>
        <v>-389.77790904765249</v>
      </c>
      <c r="CM170" s="2890">
        <f t="shared" si="749"/>
        <v>-275.00946215782835</v>
      </c>
      <c r="CN170" s="2891">
        <f t="shared" si="749"/>
        <v>-91.836204010876671</v>
      </c>
      <c r="CO170" s="2891">
        <f t="shared" si="749"/>
        <v>53.080870305380337</v>
      </c>
      <c r="CP170" s="2891">
        <f t="shared" si="749"/>
        <v>267.1894056080684</v>
      </c>
      <c r="CQ170" s="2891">
        <f t="shared" si="749"/>
        <v>92.403379376777281</v>
      </c>
      <c r="CR170" s="2890">
        <f t="shared" si="749"/>
        <v>82.355914061812143</v>
      </c>
      <c r="CS170" s="2891">
        <f t="shared" si="749"/>
        <v>60.337108759692114</v>
      </c>
      <c r="CT170" s="2891">
        <f t="shared" si="749"/>
        <v>53.977207282019933</v>
      </c>
      <c r="CU170" s="2891">
        <f t="shared" si="749"/>
        <v>47.68777722503448</v>
      </c>
      <c r="CV170" s="2891">
        <f t="shared" si="749"/>
        <v>24.804168612633237</v>
      </c>
      <c r="CW170" s="2890">
        <f t="shared" si="749"/>
        <v>45.459231456511098</v>
      </c>
      <c r="CX170" s="2891">
        <f t="shared" si="749"/>
        <v>16.624277030062864</v>
      </c>
      <c r="CY170" s="2891">
        <f t="shared" si="749"/>
        <v>-1187.1941918582297</v>
      </c>
      <c r="CZ170" s="2891">
        <f t="shared" si="749"/>
        <v>233.39765722002915</v>
      </c>
      <c r="DA170" s="2891">
        <f t="shared" si="749"/>
        <v>-176.12448650075495</v>
      </c>
      <c r="DB170" s="2890">
        <f t="shared" si="749"/>
        <v>-268.59469700488444</v>
      </c>
      <c r="DC170" s="2891">
        <f t="shared" ref="DC170:DQ170" si="750">(DC169-CX169)*10000</f>
        <v>-203.02139094664605</v>
      </c>
      <c r="DD170" s="2891">
        <f t="shared" si="750"/>
        <v>-656.20098464511614</v>
      </c>
      <c r="DE170" s="2891">
        <f t="shared" si="750"/>
        <v>-245.78985576599266</v>
      </c>
      <c r="DF170" s="2891">
        <f t="shared" si="750"/>
        <v>-277.93128483894674</v>
      </c>
      <c r="DG170" s="2890">
        <f t="shared" si="750"/>
        <v>-346.86761879634179</v>
      </c>
      <c r="DH170" s="2891">
        <f t="shared" si="750"/>
        <v>-632.28399511908003</v>
      </c>
      <c r="DI170" s="2891">
        <f t="shared" si="750"/>
        <v>1424.8121186600026</v>
      </c>
      <c r="DJ170" s="2891">
        <f t="shared" si="750"/>
        <v>-290.33110552847882</v>
      </c>
      <c r="DK170" s="2891">
        <f t="shared" si="750"/>
        <v>-82.06684781854878</v>
      </c>
      <c r="DL170" s="2890">
        <f t="shared" si="750"/>
        <v>103.18263998347483</v>
      </c>
      <c r="DM170" s="2891">
        <f t="shared" si="750"/>
        <v>119.66174638408738</v>
      </c>
      <c r="DN170" s="2891">
        <f t="shared" si="750"/>
        <v>-690.52070946856588</v>
      </c>
      <c r="DO170" s="2891">
        <f t="shared" si="750"/>
        <v>162.4936398984897</v>
      </c>
      <c r="DP170" s="2891">
        <f t="shared" si="750"/>
        <v>739.6428906764022</v>
      </c>
      <c r="DQ170" s="2890">
        <f t="shared" si="750"/>
        <v>143.62363851317812</v>
      </c>
      <c r="DR170" s="2891">
        <f t="shared" ref="DR170:EN170" si="751">(DR169-DM169)*10000</f>
        <v>1033.4866976613707</v>
      </c>
      <c r="DS170" s="2891">
        <f t="shared" si="751"/>
        <v>1462.087486738857</v>
      </c>
      <c r="DT170" s="2891">
        <f t="shared" si="751"/>
        <v>801.19984258561317</v>
      </c>
      <c r="DU170" s="2891">
        <f t="shared" si="751"/>
        <v>154.69809041133874</v>
      </c>
      <c r="DV170" s="2890">
        <f t="shared" si="751"/>
        <v>796.71368994799877</v>
      </c>
      <c r="DW170" s="2891">
        <f t="shared" si="751"/>
        <v>-17.058369109586579</v>
      </c>
      <c r="DX170" s="2891">
        <f t="shared" si="751"/>
        <v>-337.23564378422998</v>
      </c>
      <c r="DY170" s="2891">
        <f t="shared" si="751"/>
        <v>-749.64872742135344</v>
      </c>
      <c r="DZ170" s="2891">
        <f t="shared" si="751"/>
        <v>-517.4443949980689</v>
      </c>
      <c r="EA170" s="2890">
        <f t="shared" si="751"/>
        <v>-409.10178427761792</v>
      </c>
      <c r="EB170" s="2891">
        <f t="shared" si="751"/>
        <v>-459.07162054810988</v>
      </c>
      <c r="EC170" s="2891">
        <f t="shared" si="751"/>
        <v>135.6268615450129</v>
      </c>
      <c r="ED170" s="2891">
        <f t="shared" si="751"/>
        <v>302.88706370287491</v>
      </c>
      <c r="EE170" s="2891">
        <f t="shared" si="751"/>
        <v>357.60280483628446</v>
      </c>
      <c r="EF170" s="2890">
        <f t="shared" ref="EF170:EK170" si="752">(EF169-EA169)*10000</f>
        <v>96.053960275963576</v>
      </c>
      <c r="EG170" s="2891">
        <f t="shared" si="751"/>
        <v>667.24092485599795</v>
      </c>
      <c r="EH170" s="2891">
        <f t="shared" si="751"/>
        <v>309.10480076379696</v>
      </c>
      <c r="EI170" s="2891">
        <f t="shared" si="751"/>
        <v>448.26861356301373</v>
      </c>
      <c r="EJ170" s="2891">
        <f t="shared" si="751"/>
        <v>464.99675167278656</v>
      </c>
      <c r="EK170" s="2890">
        <f t="shared" si="752"/>
        <v>468.79667662310499</v>
      </c>
      <c r="EL170" s="2891">
        <f t="shared" si="751"/>
        <v>229.15649530947491</v>
      </c>
      <c r="EM170" s="2891">
        <f t="shared" si="751"/>
        <v>6.6440444874243942</v>
      </c>
      <c r="EN170" s="2891">
        <f t="shared" si="751"/>
        <v>-179.96389246280165</v>
      </c>
      <c r="EO170" s="2891">
        <f t="shared" ref="EO170:EP170" si="753">(EO169-EJ169)*10000</f>
        <v>115.98869816691449</v>
      </c>
      <c r="EP170" s="2890">
        <f t="shared" si="753"/>
        <v>39.936606252662379</v>
      </c>
      <c r="EQ170" s="2891">
        <f t="shared" ref="EQ170" si="754">(EQ169-EL169)*10000</f>
        <v>99.76181720917576</v>
      </c>
      <c r="ER170" s="2891">
        <f t="shared" ref="ER170" si="755">(ER169-EM169)*10000</f>
        <v>213.97988701797877</v>
      </c>
      <c r="ES170" s="2891">
        <f t="shared" ref="ES170" si="756">(ES169-EN169)*10000</f>
        <v>322.70744780165228</v>
      </c>
      <c r="ET170" s="2891">
        <f t="shared" ref="ET170:EU170" si="757">(ET169-EO169)*10000</f>
        <v>13.933121676995007</v>
      </c>
      <c r="EU170" s="2890">
        <f t="shared" si="757"/>
        <v>160.37142615553225</v>
      </c>
      <c r="EV170" s="2890">
        <f>(EV169-EU169)*10000</f>
        <v>-44.467859883300932</v>
      </c>
      <c r="EW170" s="2890">
        <f>(EW169-EV169)*10000</f>
        <v>55.647726344716929</v>
      </c>
      <c r="EX170" s="2890">
        <f>(EX169-EW169)*10000</f>
        <v>80.364920618899433</v>
      </c>
      <c r="EY170" s="2890">
        <f>(EY169-EX169)*10000</f>
        <v>105.51112889312265</v>
      </c>
      <c r="EZ170" s="226"/>
      <c r="FA170" s="4287"/>
      <c r="FB170" s="4287"/>
      <c r="FC170" s="4287"/>
      <c r="FD170" s="4287"/>
      <c r="FE170" s="4287"/>
      <c r="FF170" s="4287"/>
      <c r="FG170" s="4287"/>
      <c r="FH170" s="4287"/>
      <c r="FI170" s="4287"/>
      <c r="FJ170" s="4287"/>
      <c r="FK170" s="4287"/>
      <c r="FL170" s="4287"/>
    </row>
    <row r="171" spans="1:168" s="311" customFormat="1" ht="11.25" hidden="1" customHeight="1" outlineLevel="1">
      <c r="A171" s="3765" t="s">
        <v>735</v>
      </c>
      <c r="B171" s="209"/>
      <c r="C171" s="209"/>
      <c r="D171" s="209"/>
      <c r="E171" s="209"/>
      <c r="F171" s="1019"/>
      <c r="G171" s="209"/>
      <c r="H171" s="209"/>
      <c r="I171" s="209"/>
      <c r="J171" s="209"/>
      <c r="K171" s="1019"/>
      <c r="L171" s="209"/>
      <c r="M171" s="209"/>
      <c r="N171" s="209"/>
      <c r="O171" s="209"/>
      <c r="P171" s="2890" t="s">
        <v>116</v>
      </c>
      <c r="Q171" s="2891" t="s">
        <v>116</v>
      </c>
      <c r="R171" s="2891">
        <f>(R169-Q169)*10000</f>
        <v>363.82933428381557</v>
      </c>
      <c r="S171" s="2891">
        <f>(S169-R169)*10000</f>
        <v>391.43920262679597</v>
      </c>
      <c r="T171" s="2891">
        <f>(T169-S169)*10000</f>
        <v>78.656304849848979</v>
      </c>
      <c r="U171" s="2890" t="s">
        <v>116</v>
      </c>
      <c r="V171" s="2891">
        <f>(V169-T169)*10000</f>
        <v>-1023.1612834850196</v>
      </c>
      <c r="W171" s="2891">
        <f>(W169-V169)*10000</f>
        <v>-39.968371337429367</v>
      </c>
      <c r="X171" s="2891">
        <f>(X169-W169)*10000</f>
        <v>-1677.6186505001133</v>
      </c>
      <c r="Y171" s="2891">
        <f>(Y169-X169)*10000</f>
        <v>-2.2124277037369189</v>
      </c>
      <c r="Z171" s="2890" t="s">
        <v>116</v>
      </c>
      <c r="AA171" s="2891">
        <f>(AA169-Y169)*10000</f>
        <v>696.35801024438229</v>
      </c>
      <c r="AB171" s="2891">
        <f>(AB169-AA169)*10000</f>
        <v>57.88484430780283</v>
      </c>
      <c r="AC171" s="2891">
        <f>(AC169-AB169)*10000</f>
        <v>190.51382614161034</v>
      </c>
      <c r="AD171" s="2891">
        <f>(AD169-AC169)*10000</f>
        <v>303.48670200382065</v>
      </c>
      <c r="AE171" s="2890" t="s">
        <v>116</v>
      </c>
      <c r="AF171" s="2891">
        <f>(AF169-AD169)*10000</f>
        <v>588.27294140581466</v>
      </c>
      <c r="AG171" s="2891">
        <f>(AG169-AF169)*10000</f>
        <v>-87.895782646690293</v>
      </c>
      <c r="AH171" s="2891">
        <f>(AH169-AG169)*10000</f>
        <v>-83.435779916580245</v>
      </c>
      <c r="AI171" s="2891">
        <f>(AI169-AH169)*10000</f>
        <v>84.789123217149935</v>
      </c>
      <c r="AJ171" s="2890" t="s">
        <v>116</v>
      </c>
      <c r="AK171" s="2891">
        <f>(AK169-AI169)*10000</f>
        <v>-141.86392863900221</v>
      </c>
      <c r="AL171" s="2891">
        <f>(AL169-AK169)*10000</f>
        <v>24.54591930035166</v>
      </c>
      <c r="AM171" s="2891">
        <f>(AM169-AL169)*10000</f>
        <v>142.68721384867345</v>
      </c>
      <c r="AN171" s="2891">
        <f>(AN169-AM169)*10000</f>
        <v>-153.94640778131631</v>
      </c>
      <c r="AO171" s="2890" t="s">
        <v>116</v>
      </c>
      <c r="AP171" s="2891">
        <f>(AP169-AN169)*10000</f>
        <v>24.348837267501032</v>
      </c>
      <c r="AQ171" s="2891">
        <f>(AQ169-AP169)*10000</f>
        <v>-480.18132830811965</v>
      </c>
      <c r="AR171" s="2891">
        <f>(AR169-AQ169)*10000</f>
        <v>261.62014042189543</v>
      </c>
      <c r="AS171" s="2891">
        <f>(AS169-AR169)*10000</f>
        <v>-129.52068275713435</v>
      </c>
      <c r="AT171" s="2890" t="s">
        <v>116</v>
      </c>
      <c r="AU171" s="2891">
        <f>(AU169-AS169)*10000</f>
        <v>-3.407114254898036</v>
      </c>
      <c r="AV171" s="2891">
        <f>(AV169-AU169)*10000</f>
        <v>-41.522686376259664</v>
      </c>
      <c r="AW171" s="2891">
        <f>(AW169-AV169)*10000</f>
        <v>33.188819165276271</v>
      </c>
      <c r="AX171" s="2891">
        <f>(AX169-AW169)*10000</f>
        <v>289.80076552329371</v>
      </c>
      <c r="AY171" s="2890" t="s">
        <v>116</v>
      </c>
      <c r="AZ171" s="2891">
        <f>(AZ169-AX169)*10000</f>
        <v>156.12390904880368</v>
      </c>
      <c r="BA171" s="2891">
        <f>(BA169-AZ169)*10000</f>
        <v>-26.167377811635028</v>
      </c>
      <c r="BB171" s="2891">
        <f>(BB169-BA169)*10000</f>
        <v>95.304178627076411</v>
      </c>
      <c r="BC171" s="2891">
        <f>(BC169-BB169)*10000</f>
        <v>229.22385352847076</v>
      </c>
      <c r="BD171" s="2890" t="s">
        <v>116</v>
      </c>
      <c r="BE171" s="2892">
        <f>(BE169-BD169)*10000</f>
        <v>157.74200485697776</v>
      </c>
      <c r="BF171" s="2891">
        <f>(BF169-BE169)*10000</f>
        <v>-204.58278776336104</v>
      </c>
      <c r="BG171" s="2891">
        <f>(BG169-BF169)*10000</f>
        <v>28.00332940770145</v>
      </c>
      <c r="BH171" s="2891">
        <f>(BH169-BG169)*10000</f>
        <v>37.430090558664418</v>
      </c>
      <c r="BI171" s="2890" t="s">
        <v>116</v>
      </c>
      <c r="BJ171" s="2891">
        <f>(BJ169-BI169)*10000</f>
        <v>-280.16553076964601</v>
      </c>
      <c r="BK171" s="2891">
        <f>(BK169-BJ169)*10000</f>
        <v>-68.751304136608354</v>
      </c>
      <c r="BL171" s="2891">
        <f>(BL169-BK169)*10000</f>
        <v>-45.799560300877616</v>
      </c>
      <c r="BM171" s="2891">
        <f>(BM169-BL169)*10000</f>
        <v>167.40152851263957</v>
      </c>
      <c r="BN171" s="2890" t="s">
        <v>116</v>
      </c>
      <c r="BO171" s="2891">
        <v>-44.309034873266654</v>
      </c>
      <c r="BP171" s="2891">
        <v>-672.07408167944016</v>
      </c>
      <c r="BQ171" s="2891">
        <v>-721.12167931195404</v>
      </c>
      <c r="BR171" s="2893">
        <v>523.61981105103814</v>
      </c>
      <c r="BS171" s="2894" t="s">
        <v>116</v>
      </c>
      <c r="BT171" s="2891">
        <f>(BT169-BN169)*10000</f>
        <v>-45.998782276201467</v>
      </c>
      <c r="BU171" s="2891">
        <f>(BU169-BT169)*10000</f>
        <v>-49.761557916433439</v>
      </c>
      <c r="BV171" s="2891">
        <f>(BV169-BU169)*10000</f>
        <v>-302.90193647495136</v>
      </c>
      <c r="BW171" s="2891">
        <f>(BW169-BV169)*10000</f>
        <v>72.534961806277607</v>
      </c>
      <c r="BX171" s="2890" t="s">
        <v>116</v>
      </c>
      <c r="BY171" s="2891">
        <v>-168.79362027002631</v>
      </c>
      <c r="BZ171" s="2891">
        <v>-64.345834278949908</v>
      </c>
      <c r="CA171" s="2891">
        <v>-0.76292619161033581</v>
      </c>
      <c r="CB171" s="2891">
        <v>-112.8577449411261</v>
      </c>
      <c r="CC171" s="2890" t="s">
        <v>116</v>
      </c>
      <c r="CD171" s="2891">
        <f>(CD169-BX169)*10000</f>
        <v>-110.85869899350398</v>
      </c>
      <c r="CE171" s="2891">
        <f>(CE169-CD169)*10000</f>
        <v>-250.35947685908556</v>
      </c>
      <c r="CF171" s="2891">
        <f>(CF169-CE169)*10000</f>
        <v>90.851699381204185</v>
      </c>
      <c r="CG171" s="2891">
        <f>(CG169-CF169)*10000</f>
        <v>85.284646619502297</v>
      </c>
      <c r="CH171" s="2890" t="s">
        <v>116</v>
      </c>
      <c r="CI171" s="2891">
        <f>(CI169-CH169)*10000</f>
        <v>-105.75334056190322</v>
      </c>
      <c r="CJ171" s="2891">
        <f>(CJ169-CI169)*10000</f>
        <v>0.14368394247621374</v>
      </c>
      <c r="CK171" s="2891">
        <f>(CK169-CJ169)*10000</f>
        <v>-414.92787856392624</v>
      </c>
      <c r="CL171" s="2891">
        <f>(CL169-CK169)*10000</f>
        <v>176.15598321866378</v>
      </c>
      <c r="CM171" s="2890" t="s">
        <v>116</v>
      </c>
      <c r="CN171" s="2891">
        <f>(CN169-CM169)*10000</f>
        <v>77.419917585048452</v>
      </c>
      <c r="CO171" s="2891">
        <f>(CO169-CN169)*10000</f>
        <v>145.06075825873322</v>
      </c>
      <c r="CP171" s="2891">
        <f>(CP169-CO169)*10000</f>
        <v>-200.81934326123817</v>
      </c>
      <c r="CQ171" s="2891">
        <f>(CQ169-CP169)*10000</f>
        <v>1.3699569873726336</v>
      </c>
      <c r="CR171" s="2890" t="s">
        <v>116</v>
      </c>
      <c r="CS171" s="2891">
        <f>(CS169-CR169)*10000</f>
        <v>55.40111228292843</v>
      </c>
      <c r="CT171" s="2891">
        <f>(CT169-CS169)*10000</f>
        <v>138.70085678106102</v>
      </c>
      <c r="CU171" s="2891">
        <f>(CU169-CT169)*10000</f>
        <v>-207.10877331822363</v>
      </c>
      <c r="CV171" s="2891">
        <f>(CV169-CU169)*10000</f>
        <v>-21.513651625028608</v>
      </c>
      <c r="CW171" s="2890"/>
      <c r="CX171" s="2891">
        <f>(CX169-CV169)*10000</f>
        <v>106.54584519225408</v>
      </c>
      <c r="CY171" s="2891">
        <f>(CY169-CX169)*10000</f>
        <v>-1065.1176121072315</v>
      </c>
      <c r="CZ171" s="2891">
        <f>(CZ169-CY169)*10000</f>
        <v>1213.483075760035</v>
      </c>
      <c r="DA171" s="2891">
        <f>(DA169-CZ169)*10000</f>
        <v>-431.03579534581269</v>
      </c>
      <c r="DB171" s="2890"/>
      <c r="DC171" s="2891">
        <f>(DC169-DA169)*10000</f>
        <v>79.648940746362968</v>
      </c>
      <c r="DD171" s="2891">
        <f>(DD169-DC169)*10000</f>
        <v>-1518.2972058057014</v>
      </c>
      <c r="DE171" s="2891">
        <f>(DE169-DD169)*10000</f>
        <v>1623.8942046391585</v>
      </c>
      <c r="DF171" s="2891">
        <f>(DF169-DE169)*10000</f>
        <v>-463.1772244187668</v>
      </c>
      <c r="DG171" s="2890"/>
      <c r="DH171" s="2891">
        <f>(DH169-DF169)*10000</f>
        <v>-274.70376953377036</v>
      </c>
      <c r="DI171" s="2891">
        <f>(DI169-DH169)*10000</f>
        <v>538.79890797338123</v>
      </c>
      <c r="DJ171" s="2891">
        <f>(DJ169-DI169)*10000</f>
        <v>-91.249019549322909</v>
      </c>
      <c r="DK171" s="2891">
        <f>(DK169-DJ169)*10000</f>
        <v>-254.91296670883679</v>
      </c>
      <c r="DL171" s="2890"/>
      <c r="DM171" s="2891">
        <f>(DM169-DK169)*10000</f>
        <v>-72.975175331134182</v>
      </c>
      <c r="DN171" s="2891">
        <f>(DN169-DM169)*10000</f>
        <v>-271.38354787927199</v>
      </c>
      <c r="DO171" s="2891">
        <f>(DO169-DN169)*10000</f>
        <v>761.76532981773266</v>
      </c>
      <c r="DP171" s="2891">
        <f>(DP169-DO169)*10000</f>
        <v>322.23628406907568</v>
      </c>
      <c r="DQ171" s="2890"/>
      <c r="DR171" s="2891">
        <f>(DR169-DP169)*10000</f>
        <v>220.86863165383443</v>
      </c>
      <c r="DS171" s="2891">
        <f>(DS169-DR169)*10000</f>
        <v>157.21724119821423</v>
      </c>
      <c r="DT171" s="2891">
        <f>(DT169-DS169)*10000</f>
        <v>100.87768566448885</v>
      </c>
      <c r="DU171" s="2891">
        <f>(DU169-DT169)*10000</f>
        <v>-324.26546810519875</v>
      </c>
      <c r="DV171" s="2890"/>
      <c r="DW171" s="2891">
        <f>(DW169-DU169)*10000</f>
        <v>49.11217213290908</v>
      </c>
      <c r="DX171" s="2891">
        <f>(DX169-DW169)*10000</f>
        <v>-162.96003347642917</v>
      </c>
      <c r="DY171" s="2891">
        <f>(DY169-DX169)*10000</f>
        <v>-311.5353979726346</v>
      </c>
      <c r="DZ171" s="2891">
        <f>(DZ169-DY169)*10000</f>
        <v>-92.061135681914266</v>
      </c>
      <c r="EA171" s="2890"/>
      <c r="EB171" s="2891">
        <f>(EB169-DZ169)*10000</f>
        <v>107.48494658286812</v>
      </c>
      <c r="EC171" s="2891">
        <f>(EC169-EB169)*10000</f>
        <v>431.73844861669363</v>
      </c>
      <c r="ED171" s="2891">
        <f>(ED169-EC169)*10000</f>
        <v>-144.27519581477256</v>
      </c>
      <c r="EE171" s="2891">
        <f>(EE169-ED169)*10000</f>
        <v>-37.345394548504714</v>
      </c>
      <c r="EF171" s="2890"/>
      <c r="EG171" s="2891">
        <f>(EG169-EE169)*10000</f>
        <v>417.12306660258156</v>
      </c>
      <c r="EH171" s="2891">
        <f>(EH169-EG169)*10000</f>
        <v>73.602324524492673</v>
      </c>
      <c r="EI171" s="2891">
        <f>(EI169-EH169)*10000</f>
        <v>-5.1113830155558038</v>
      </c>
      <c r="EJ171" s="2891">
        <f>(EJ169-EI169)*10000</f>
        <v>-20.617256438731914</v>
      </c>
      <c r="EK171" s="2890"/>
      <c r="EL171" s="2891">
        <f>(EL169-EJ169)*10000</f>
        <v>181.28281023926996</v>
      </c>
      <c r="EM171" s="2891">
        <f>(EM169-EL169)*10000</f>
        <v>-148.91012629755784</v>
      </c>
      <c r="EN171" s="2891">
        <f>(EN169-EM169)*10000</f>
        <v>-191.71931996578184</v>
      </c>
      <c r="EO171" s="2891">
        <f>(EO169-EN169)*10000</f>
        <v>275.33533419098421</v>
      </c>
      <c r="EP171" s="2890"/>
      <c r="EQ171" s="2891">
        <f>(EQ169-EO169)*10000</f>
        <v>165.05592928153123</v>
      </c>
      <c r="ER171" s="2891">
        <f>(ER169-EQ169)*10000</f>
        <v>-34.692056488754844</v>
      </c>
      <c r="ES171" s="2891">
        <f>(ES169-ER169)*10000</f>
        <v>-82.991759182108325</v>
      </c>
      <c r="ET171" s="2891">
        <f>(ET169-ES169)*10000</f>
        <v>-33.438991933673059</v>
      </c>
      <c r="EU171" s="2890"/>
      <c r="EV171" s="2890"/>
      <c r="EW171" s="2890"/>
      <c r="EX171" s="2890"/>
      <c r="EY171" s="2890"/>
      <c r="EZ171" s="209"/>
      <c r="FA171" s="4287"/>
      <c r="FB171" s="4287"/>
      <c r="FC171" s="4287"/>
      <c r="FD171" s="4287"/>
      <c r="FE171" s="4287"/>
      <c r="FF171" s="4287"/>
      <c r="FG171" s="4287"/>
      <c r="FH171" s="4287"/>
      <c r="FI171" s="4287"/>
      <c r="FJ171" s="4287"/>
      <c r="FK171" s="4287"/>
      <c r="FL171" s="4287"/>
    </row>
    <row r="172" spans="1:168" ht="11.25" customHeight="1" collapsed="1">
      <c r="A172" s="3770" t="s">
        <v>736</v>
      </c>
      <c r="B172" s="3333"/>
      <c r="C172" s="3333"/>
      <c r="D172" s="3333"/>
      <c r="E172" s="3333"/>
      <c r="F172" s="3401"/>
      <c r="G172" s="3333"/>
      <c r="H172" s="3333"/>
      <c r="I172" s="3333"/>
      <c r="J172" s="3333"/>
      <c r="K172" s="3401"/>
      <c r="L172" s="3333"/>
      <c r="M172" s="3333"/>
      <c r="N172" s="3333"/>
      <c r="O172" s="3333"/>
      <c r="P172" s="3401"/>
      <c r="Q172" s="3333"/>
      <c r="R172" s="3333"/>
      <c r="S172" s="3333"/>
      <c r="T172" s="3333"/>
      <c r="U172" s="3401"/>
      <c r="V172" s="3333"/>
      <c r="W172" s="3333"/>
      <c r="X172" s="3333"/>
      <c r="Y172" s="3333"/>
      <c r="Z172" s="3401"/>
      <c r="AA172" s="3333"/>
      <c r="AB172" s="3333"/>
      <c r="AC172" s="3333"/>
      <c r="AD172" s="3333"/>
      <c r="AE172" s="3401"/>
      <c r="AF172" s="3333"/>
      <c r="AG172" s="3333"/>
      <c r="AH172" s="3333"/>
      <c r="AI172" s="3333"/>
      <c r="AJ172" s="3401"/>
      <c r="AK172" s="3333"/>
      <c r="AL172" s="3333"/>
      <c r="AM172" s="3333"/>
      <c r="AN172" s="3333"/>
      <c r="AO172" s="3401"/>
      <c r="AP172" s="3333"/>
      <c r="AQ172" s="3333"/>
      <c r="AR172" s="3333"/>
      <c r="AS172" s="3333"/>
      <c r="AT172" s="3401"/>
      <c r="AU172" s="3333"/>
      <c r="AV172" s="3333"/>
      <c r="AW172" s="3333"/>
      <c r="AX172" s="3333"/>
      <c r="AY172" s="3401"/>
      <c r="AZ172" s="3333"/>
      <c r="BA172" s="3333"/>
      <c r="BB172" s="3333"/>
      <c r="BC172" s="3333"/>
      <c r="BD172" s="3401"/>
      <c r="BE172" s="3402"/>
      <c r="BF172" s="3333"/>
      <c r="BG172" s="3333"/>
      <c r="BH172" s="3333"/>
      <c r="BI172" s="3401"/>
      <c r="BJ172" s="3333"/>
      <c r="BK172" s="3333"/>
      <c r="BL172" s="3333"/>
      <c r="BM172" s="3333"/>
      <c r="BN172" s="3401"/>
      <c r="BO172" s="3333"/>
      <c r="BP172" s="3333"/>
      <c r="BQ172" s="3333"/>
      <c r="BR172" s="3403"/>
      <c r="BS172" s="3404"/>
      <c r="BT172" s="3333"/>
      <c r="BU172" s="3333"/>
      <c r="BV172" s="3333"/>
      <c r="BW172" s="3333"/>
      <c r="BX172" s="3401"/>
      <c r="BY172" s="3333"/>
      <c r="BZ172" s="3333"/>
      <c r="CA172" s="3333"/>
      <c r="CB172" s="3333"/>
      <c r="CC172" s="3401"/>
      <c r="CD172" s="3333"/>
      <c r="CE172" s="3333"/>
      <c r="CF172" s="3333"/>
      <c r="CG172" s="3333"/>
      <c r="CH172" s="3401"/>
      <c r="CI172" s="3333"/>
      <c r="CJ172" s="3333"/>
      <c r="CK172" s="3333"/>
      <c r="CL172" s="3333"/>
      <c r="CM172" s="3401"/>
      <c r="CN172" s="3333"/>
      <c r="CO172" s="3333"/>
      <c r="CP172" s="3333"/>
      <c r="CQ172" s="3333"/>
      <c r="CR172" s="3401">
        <f t="shared" ref="CR172:DW172" si="758">CR28/CR7</f>
        <v>0.25817119844243824</v>
      </c>
      <c r="CS172" s="3333">
        <f t="shared" si="758"/>
        <v>0.26371130967073109</v>
      </c>
      <c r="CT172" s="3333">
        <f t="shared" si="758"/>
        <v>0.27758139534883719</v>
      </c>
      <c r="CU172" s="3333">
        <f t="shared" si="758"/>
        <v>0.25687051801701483</v>
      </c>
      <c r="CV172" s="3333">
        <f t="shared" si="758"/>
        <v>0.25471915285451197</v>
      </c>
      <c r="CW172" s="3401">
        <f t="shared" si="758"/>
        <v>0.26271712158808935</v>
      </c>
      <c r="CX172" s="3333">
        <f t="shared" si="758"/>
        <v>0.26537373737373737</v>
      </c>
      <c r="CY172" s="3333">
        <f t="shared" si="758"/>
        <v>0.26405228758169935</v>
      </c>
      <c r="CZ172" s="3333">
        <f t="shared" si="758"/>
        <v>0.28021028373901774</v>
      </c>
      <c r="DA172" s="3333">
        <f t="shared" si="758"/>
        <v>0.23710670420443647</v>
      </c>
      <c r="DB172" s="3401">
        <f t="shared" si="758"/>
        <v>0.26053854133778359</v>
      </c>
      <c r="DC172" s="3333">
        <f t="shared" si="758"/>
        <v>0.24507159827907277</v>
      </c>
      <c r="DD172" s="3333">
        <f t="shared" si="758"/>
        <v>0.24852252197078728</v>
      </c>
      <c r="DE172" s="3333">
        <f t="shared" si="758"/>
        <v>0.25563129816241847</v>
      </c>
      <c r="DF172" s="3333">
        <f t="shared" si="758"/>
        <v>0.20931357572054179</v>
      </c>
      <c r="DG172" s="3401">
        <f t="shared" si="758"/>
        <v>0.23823445574079624</v>
      </c>
      <c r="DH172" s="3333">
        <f t="shared" si="758"/>
        <v>0.22854233743361127</v>
      </c>
      <c r="DI172" s="3333">
        <f t="shared" si="758"/>
        <v>0.23572308956450289</v>
      </c>
      <c r="DJ172" s="3333">
        <f t="shared" si="758"/>
        <v>0.22659818760957059</v>
      </c>
      <c r="DK172" s="3333">
        <f t="shared" si="758"/>
        <v>0.20110689093868692</v>
      </c>
      <c r="DL172" s="3401">
        <f t="shared" si="758"/>
        <v>0.22197371754079218</v>
      </c>
      <c r="DM172" s="3333">
        <f t="shared" si="758"/>
        <v>0.1938093734055735</v>
      </c>
      <c r="DN172" s="3333">
        <f t="shared" si="758"/>
        <v>0.1666710186176463</v>
      </c>
      <c r="DO172" s="3333">
        <f t="shared" si="758"/>
        <v>0.24284755159941956</v>
      </c>
      <c r="DP172" s="3333">
        <f t="shared" si="758"/>
        <v>0.27507118000632713</v>
      </c>
      <c r="DQ172" s="3401">
        <f t="shared" si="758"/>
        <v>0.22585151785763202</v>
      </c>
      <c r="DR172" s="3333">
        <f t="shared" si="758"/>
        <v>0.29715804317171057</v>
      </c>
      <c r="DS172" s="3333">
        <f t="shared" si="758"/>
        <v>0.312879767291532</v>
      </c>
      <c r="DT172" s="3333">
        <f t="shared" si="758"/>
        <v>0.32296753585798088</v>
      </c>
      <c r="DU172" s="3333">
        <f t="shared" si="758"/>
        <v>0.29054098904746101</v>
      </c>
      <c r="DV172" s="3401">
        <f t="shared" si="758"/>
        <v>0.3055228868524319</v>
      </c>
      <c r="DW172" s="3333">
        <f t="shared" si="758"/>
        <v>0.29545220626075192</v>
      </c>
      <c r="DX172" s="3333">
        <f t="shared" ref="DX172:EX172" si="759">DX28/DX7</f>
        <v>0.279156202913109</v>
      </c>
      <c r="DY172" s="3333">
        <f t="shared" si="759"/>
        <v>0.24800266311584554</v>
      </c>
      <c r="DZ172" s="3333">
        <f t="shared" si="759"/>
        <v>0.23879654954765411</v>
      </c>
      <c r="EA172" s="3401">
        <f t="shared" si="759"/>
        <v>0.26461270842467011</v>
      </c>
      <c r="EB172" s="3333">
        <f t="shared" si="759"/>
        <v>0.24954504420594092</v>
      </c>
      <c r="EC172" s="3333">
        <f t="shared" si="759"/>
        <v>0.29271888906761029</v>
      </c>
      <c r="ED172" s="3333">
        <f t="shared" si="759"/>
        <v>0.27829136948613303</v>
      </c>
      <c r="EE172" s="3333">
        <f t="shared" si="759"/>
        <v>0.27455683003128256</v>
      </c>
      <c r="EF172" s="3401">
        <f t="shared" si="759"/>
        <v>0.27421810445226646</v>
      </c>
      <c r="EG172" s="3333">
        <f t="shared" si="759"/>
        <v>0.31626913669154072</v>
      </c>
      <c r="EH172" s="3333">
        <f t="shared" si="759"/>
        <v>0.32362936914398999</v>
      </c>
      <c r="EI172" s="3333">
        <f t="shared" si="759"/>
        <v>0.32311823084243441</v>
      </c>
      <c r="EJ172" s="3333">
        <f t="shared" si="759"/>
        <v>0.32105650519856122</v>
      </c>
      <c r="EK172" s="3401">
        <f t="shared" si="759"/>
        <v>0.32109777211457696</v>
      </c>
      <c r="EL172" s="3333">
        <f t="shared" si="759"/>
        <v>0.33918478622248821</v>
      </c>
      <c r="EM172" s="3333">
        <f t="shared" si="759"/>
        <v>0.32429377359273243</v>
      </c>
      <c r="EN172" s="3333">
        <f t="shared" ref="EN172" si="760">EN28/EN7</f>
        <v>0.30512184159615424</v>
      </c>
      <c r="EO172" s="3333">
        <f t="shared" si="759"/>
        <v>0.33265537501525266</v>
      </c>
      <c r="EP172" s="3401">
        <f t="shared" si="759"/>
        <v>0.3250914327398432</v>
      </c>
      <c r="EQ172" s="3333">
        <f t="shared" ref="EQ172:EU172" si="761">EQ28/EQ7</f>
        <v>0.34916096794340579</v>
      </c>
      <c r="ER172" s="3333">
        <f t="shared" si="761"/>
        <v>0.3456917622945303</v>
      </c>
      <c r="ES172" s="3333">
        <f t="shared" si="761"/>
        <v>0.33739258637631947</v>
      </c>
      <c r="ET172" s="3333">
        <f t="shared" si="761"/>
        <v>0.33404868718295216</v>
      </c>
      <c r="EU172" s="3401">
        <f t="shared" si="761"/>
        <v>0.34112857535539637</v>
      </c>
      <c r="EV172" s="3401">
        <f t="shared" si="759"/>
        <v>0.33668178936706633</v>
      </c>
      <c r="EW172" s="3401">
        <f t="shared" si="759"/>
        <v>0.34224656200153802</v>
      </c>
      <c r="EX172" s="3401">
        <f t="shared" si="759"/>
        <v>0.35028305406342797</v>
      </c>
      <c r="EY172" s="3401">
        <f t="shared" ref="EY172" si="762">EY28/EY7</f>
        <v>0.36083416695274023</v>
      </c>
      <c r="EZ172" s="127"/>
      <c r="FA172" s="725"/>
      <c r="FB172" s="725"/>
      <c r="FC172" s="725"/>
      <c r="FD172" s="725"/>
      <c r="FE172" s="725"/>
      <c r="FF172" s="725"/>
      <c r="FG172" s="725"/>
      <c r="FH172" s="725"/>
      <c r="FI172" s="725"/>
      <c r="FJ172" s="725"/>
      <c r="FK172" s="725"/>
      <c r="FL172" s="725"/>
    </row>
    <row r="173" spans="1:168" s="311" customFormat="1" ht="11.25" hidden="1" customHeight="1" outlineLevel="1">
      <c r="A173" s="3765" t="s">
        <v>734</v>
      </c>
      <c r="B173" s="209"/>
      <c r="C173" s="209"/>
      <c r="D173" s="209"/>
      <c r="E173" s="209"/>
      <c r="F173" s="1019"/>
      <c r="G173" s="209"/>
      <c r="H173" s="209"/>
      <c r="I173" s="209"/>
      <c r="J173" s="209"/>
      <c r="K173" s="1019"/>
      <c r="L173" s="209"/>
      <c r="M173" s="209"/>
      <c r="N173" s="209"/>
      <c r="O173" s="209"/>
      <c r="P173" s="2890"/>
      <c r="Q173" s="2891"/>
      <c r="R173" s="2891"/>
      <c r="S173" s="2891"/>
      <c r="T173" s="2891"/>
      <c r="U173" s="2890"/>
      <c r="V173" s="2891"/>
      <c r="W173" s="2891"/>
      <c r="X173" s="2891"/>
      <c r="Y173" s="2891"/>
      <c r="Z173" s="2890"/>
      <c r="AA173" s="2891"/>
      <c r="AB173" s="2891"/>
      <c r="AC173" s="2891"/>
      <c r="AD173" s="2891"/>
      <c r="AE173" s="2890"/>
      <c r="AF173" s="2891"/>
      <c r="AG173" s="2891"/>
      <c r="AH173" s="2891"/>
      <c r="AI173" s="2891"/>
      <c r="AJ173" s="2890"/>
      <c r="AK173" s="2891"/>
      <c r="AL173" s="2891"/>
      <c r="AM173" s="2891"/>
      <c r="AN173" s="2891"/>
      <c r="AO173" s="2890"/>
      <c r="AP173" s="2891"/>
      <c r="AQ173" s="2891"/>
      <c r="AR173" s="2891"/>
      <c r="AS173" s="2891"/>
      <c r="AT173" s="2890"/>
      <c r="AU173" s="2891"/>
      <c r="AV173" s="2891"/>
      <c r="AW173" s="2891"/>
      <c r="AX173" s="2891"/>
      <c r="AY173" s="2890"/>
      <c r="AZ173" s="2891"/>
      <c r="BA173" s="2891"/>
      <c r="BB173" s="2891"/>
      <c r="BC173" s="2891"/>
      <c r="BD173" s="2890"/>
      <c r="BE173" s="2892"/>
      <c r="BF173" s="2891"/>
      <c r="BG173" s="2891"/>
      <c r="BH173" s="2891"/>
      <c r="BI173" s="2890"/>
      <c r="BJ173" s="2891"/>
      <c r="BK173" s="2891"/>
      <c r="BL173" s="2891"/>
      <c r="BM173" s="2891"/>
      <c r="BN173" s="2890"/>
      <c r="BO173" s="2891"/>
      <c r="BP173" s="2891"/>
      <c r="BQ173" s="2891"/>
      <c r="BR173" s="2893"/>
      <c r="BS173" s="2894"/>
      <c r="BT173" s="2891"/>
      <c r="BU173" s="2891"/>
      <c r="BV173" s="2891"/>
      <c r="BW173" s="2891"/>
      <c r="BX173" s="2890"/>
      <c r="BY173" s="2891"/>
      <c r="BZ173" s="2891"/>
      <c r="CA173" s="2891"/>
      <c r="CB173" s="2891"/>
      <c r="CC173" s="2890"/>
      <c r="CD173" s="2891"/>
      <c r="CE173" s="2891"/>
      <c r="CF173" s="2891"/>
      <c r="CG173" s="2891"/>
      <c r="CH173" s="2890"/>
      <c r="CI173" s="2891"/>
      <c r="CJ173" s="2891"/>
      <c r="CK173" s="2891"/>
      <c r="CL173" s="2891"/>
      <c r="CM173" s="2890"/>
      <c r="CN173" s="2891"/>
      <c r="CO173" s="2891"/>
      <c r="CP173" s="2891"/>
      <c r="CQ173" s="2891"/>
      <c r="CR173" s="2890"/>
      <c r="CS173" s="2891"/>
      <c r="CT173" s="2891"/>
      <c r="CU173" s="2891"/>
      <c r="CV173" s="2891"/>
      <c r="CW173" s="2890"/>
      <c r="CX173" s="2891">
        <f>(CX172-CS172)*10000</f>
        <v>16.624277030062864</v>
      </c>
      <c r="CY173" s="2891">
        <f>(CY172-CT169)*10000</f>
        <v>-135.29107767137839</v>
      </c>
      <c r="CZ173" s="2891">
        <f t="shared" ref="CZ173:DQ173" si="763">(CZ172-CU172)*10000</f>
        <v>233.39765722002915</v>
      </c>
      <c r="DA173" s="2891">
        <f t="shared" si="763"/>
        <v>-176.12448650075495</v>
      </c>
      <c r="DB173" s="2890">
        <f t="shared" si="763"/>
        <v>-21.785802503057617</v>
      </c>
      <c r="DC173" s="2891">
        <f t="shared" si="763"/>
        <v>-203.02139094664605</v>
      </c>
      <c r="DD173" s="2891">
        <f t="shared" si="763"/>
        <v>-155.29765610912071</v>
      </c>
      <c r="DE173" s="2891">
        <f t="shared" si="763"/>
        <v>-245.78985576599266</v>
      </c>
      <c r="DF173" s="2891">
        <f t="shared" si="763"/>
        <v>-277.93128483894674</v>
      </c>
      <c r="DG173" s="2890">
        <f t="shared" si="763"/>
        <v>-223.04085596987349</v>
      </c>
      <c r="DH173" s="2891">
        <f t="shared" si="763"/>
        <v>-165.29260845461496</v>
      </c>
      <c r="DI173" s="2891">
        <f t="shared" si="763"/>
        <v>-127.99432406284394</v>
      </c>
      <c r="DJ173" s="2891">
        <f t="shared" si="763"/>
        <v>-290.33110552847882</v>
      </c>
      <c r="DK173" s="2891">
        <f t="shared" si="763"/>
        <v>-82.06684781854878</v>
      </c>
      <c r="DL173" s="2890">
        <f t="shared" si="763"/>
        <v>-162.60738200004064</v>
      </c>
      <c r="DM173" s="2891">
        <f t="shared" si="763"/>
        <v>-347.3296402803777</v>
      </c>
      <c r="DN173" s="2891">
        <f t="shared" si="763"/>
        <v>-690.52070946856588</v>
      </c>
      <c r="DO173" s="2891">
        <f t="shared" si="763"/>
        <v>162.4936398984897</v>
      </c>
      <c r="DP173" s="2891">
        <f t="shared" si="763"/>
        <v>739.6428906764022</v>
      </c>
      <c r="DQ173" s="2890">
        <f t="shared" si="763"/>
        <v>38.77800316839847</v>
      </c>
      <c r="DR173" s="2891">
        <f t="shared" ref="DR173:EN173" si="764">(DR172-DM172)*10000</f>
        <v>1033.4866976613707</v>
      </c>
      <c r="DS173" s="2891">
        <f t="shared" si="764"/>
        <v>1462.087486738857</v>
      </c>
      <c r="DT173" s="2891">
        <f t="shared" si="764"/>
        <v>801.19984258561317</v>
      </c>
      <c r="DU173" s="2891">
        <f t="shared" si="764"/>
        <v>154.69809041133874</v>
      </c>
      <c r="DV173" s="2890">
        <f t="shared" si="764"/>
        <v>796.71368994799877</v>
      </c>
      <c r="DW173" s="2891">
        <f t="shared" si="764"/>
        <v>-17.058369109586579</v>
      </c>
      <c r="DX173" s="2891">
        <f t="shared" si="764"/>
        <v>-337.23564378422998</v>
      </c>
      <c r="DY173" s="2891">
        <f t="shared" si="764"/>
        <v>-749.64872742135344</v>
      </c>
      <c r="DZ173" s="2891">
        <f t="shared" si="764"/>
        <v>-517.4443949980689</v>
      </c>
      <c r="EA173" s="2890">
        <f t="shared" si="764"/>
        <v>-409.10178427761792</v>
      </c>
      <c r="EB173" s="2891">
        <f t="shared" si="764"/>
        <v>-459.07162054810988</v>
      </c>
      <c r="EC173" s="2891">
        <f t="shared" si="764"/>
        <v>135.6268615450129</v>
      </c>
      <c r="ED173" s="2891">
        <f t="shared" si="764"/>
        <v>302.88706370287491</v>
      </c>
      <c r="EE173" s="2891">
        <f t="shared" si="764"/>
        <v>357.60280483628446</v>
      </c>
      <c r="EF173" s="2890">
        <f t="shared" ref="EF173:EK173" si="765">(EF172-EA172)*10000</f>
        <v>96.053960275963576</v>
      </c>
      <c r="EG173" s="2891">
        <f t="shared" si="764"/>
        <v>667.24092485599795</v>
      </c>
      <c r="EH173" s="2891">
        <f t="shared" si="764"/>
        <v>309.10480076379696</v>
      </c>
      <c r="EI173" s="2891">
        <f t="shared" si="764"/>
        <v>448.26861356301373</v>
      </c>
      <c r="EJ173" s="2891">
        <f t="shared" si="764"/>
        <v>464.99675167278656</v>
      </c>
      <c r="EK173" s="2890">
        <f t="shared" si="765"/>
        <v>468.79667662310499</v>
      </c>
      <c r="EL173" s="2891">
        <f t="shared" si="764"/>
        <v>229.15649530947491</v>
      </c>
      <c r="EM173" s="2891">
        <f t="shared" si="764"/>
        <v>6.6440444874243942</v>
      </c>
      <c r="EN173" s="2891">
        <f t="shared" si="764"/>
        <v>-179.96389246280165</v>
      </c>
      <c r="EO173" s="2891">
        <f t="shared" ref="EO173:EP173" si="766">(EO172-EJ172)*10000</f>
        <v>115.98869816691449</v>
      </c>
      <c r="EP173" s="2890">
        <f t="shared" si="766"/>
        <v>39.936606252662379</v>
      </c>
      <c r="EQ173" s="2891">
        <f t="shared" ref="EQ173" si="767">(EQ172-EL172)*10000</f>
        <v>99.76181720917576</v>
      </c>
      <c r="ER173" s="2891">
        <f t="shared" ref="ER173" si="768">(ER172-EM172)*10000</f>
        <v>213.97988701797877</v>
      </c>
      <c r="ES173" s="2891">
        <f t="shared" ref="ES173" si="769">(ES172-EN172)*10000</f>
        <v>322.70744780165228</v>
      </c>
      <c r="ET173" s="2891">
        <f t="shared" ref="ET173:EU173" si="770">(ET172-EO172)*10000</f>
        <v>13.933121676995007</v>
      </c>
      <c r="EU173" s="2890">
        <f t="shared" si="770"/>
        <v>160.37142615553168</v>
      </c>
      <c r="EV173" s="2890">
        <f>(EV172-EU172)*10000</f>
        <v>-44.467859883300378</v>
      </c>
      <c r="EW173" s="2890">
        <f>(EW172-EV172)*10000</f>
        <v>55.647726344716929</v>
      </c>
      <c r="EX173" s="2890">
        <f>(EX172-EW172)*10000</f>
        <v>80.364920618899433</v>
      </c>
      <c r="EY173" s="2890">
        <f>(EY172-EX172)*10000</f>
        <v>105.51112889312265</v>
      </c>
      <c r="EZ173" s="226"/>
      <c r="FA173" s="4287"/>
      <c r="FB173" s="4287"/>
      <c r="FC173" s="4287"/>
      <c r="FD173" s="4287"/>
      <c r="FE173" s="4287"/>
      <c r="FF173" s="4287"/>
      <c r="FG173" s="4287"/>
      <c r="FH173" s="4287"/>
      <c r="FI173" s="4287"/>
      <c r="FJ173" s="4287"/>
      <c r="FK173" s="4287"/>
      <c r="FL173" s="4287"/>
    </row>
    <row r="174" spans="1:168" s="311" customFormat="1" ht="11.25" hidden="1" customHeight="1" outlineLevel="1">
      <c r="A174" s="3765" t="s">
        <v>735</v>
      </c>
      <c r="B174" s="209"/>
      <c r="C174" s="209"/>
      <c r="D174" s="209"/>
      <c r="E174" s="209"/>
      <c r="F174" s="1019"/>
      <c r="G174" s="209"/>
      <c r="H174" s="209"/>
      <c r="I174" s="209"/>
      <c r="J174" s="209"/>
      <c r="K174" s="1019"/>
      <c r="L174" s="209"/>
      <c r="M174" s="209"/>
      <c r="N174" s="209"/>
      <c r="O174" s="209"/>
      <c r="P174" s="2890"/>
      <c r="Q174" s="2891"/>
      <c r="R174" s="2891"/>
      <c r="S174" s="2891"/>
      <c r="T174" s="2891"/>
      <c r="U174" s="2890"/>
      <c r="V174" s="2891"/>
      <c r="W174" s="2891"/>
      <c r="X174" s="2891"/>
      <c r="Y174" s="2891"/>
      <c r="Z174" s="2890"/>
      <c r="AA174" s="2891"/>
      <c r="AB174" s="2891"/>
      <c r="AC174" s="2891"/>
      <c r="AD174" s="2891"/>
      <c r="AE174" s="2890"/>
      <c r="AF174" s="2891"/>
      <c r="AG174" s="2891"/>
      <c r="AH174" s="2891"/>
      <c r="AI174" s="2891"/>
      <c r="AJ174" s="2890"/>
      <c r="AK174" s="2891"/>
      <c r="AL174" s="2891"/>
      <c r="AM174" s="2891"/>
      <c r="AN174" s="2891"/>
      <c r="AO174" s="2890"/>
      <c r="AP174" s="2891"/>
      <c r="AQ174" s="2891"/>
      <c r="AR174" s="2891"/>
      <c r="AS174" s="2891"/>
      <c r="AT174" s="2890"/>
      <c r="AU174" s="2891"/>
      <c r="AV174" s="2891"/>
      <c r="AW174" s="2891"/>
      <c r="AX174" s="2891"/>
      <c r="AY174" s="2890"/>
      <c r="AZ174" s="2891"/>
      <c r="BA174" s="2891"/>
      <c r="BB174" s="2891"/>
      <c r="BC174" s="2891"/>
      <c r="BD174" s="2890"/>
      <c r="BE174" s="2892"/>
      <c r="BF174" s="2891"/>
      <c r="BG174" s="2891"/>
      <c r="BH174" s="2891"/>
      <c r="BI174" s="2890"/>
      <c r="BJ174" s="2891"/>
      <c r="BK174" s="2891"/>
      <c r="BL174" s="2891"/>
      <c r="BM174" s="2891"/>
      <c r="BN174" s="2890"/>
      <c r="BO174" s="2891"/>
      <c r="BP174" s="2891"/>
      <c r="BQ174" s="2891"/>
      <c r="BR174" s="2893"/>
      <c r="BS174" s="2894"/>
      <c r="BT174" s="2891"/>
      <c r="BU174" s="2891"/>
      <c r="BV174" s="2891"/>
      <c r="BW174" s="2891"/>
      <c r="BX174" s="2890"/>
      <c r="BY174" s="2891"/>
      <c r="BZ174" s="2891"/>
      <c r="CA174" s="2891"/>
      <c r="CB174" s="2891"/>
      <c r="CC174" s="2890"/>
      <c r="CD174" s="2891"/>
      <c r="CE174" s="2891"/>
      <c r="CF174" s="2891"/>
      <c r="CG174" s="2891"/>
      <c r="CH174" s="2890"/>
      <c r="CI174" s="2891"/>
      <c r="CJ174" s="2891"/>
      <c r="CK174" s="2891"/>
      <c r="CL174" s="2891"/>
      <c r="CM174" s="2890"/>
      <c r="CN174" s="2891"/>
      <c r="CO174" s="2891"/>
      <c r="CP174" s="2891"/>
      <c r="CQ174" s="2891"/>
      <c r="CR174" s="2890"/>
      <c r="CS174" s="2891"/>
      <c r="CT174" s="2891"/>
      <c r="CU174" s="2891"/>
      <c r="CV174" s="2891"/>
      <c r="CW174" s="2890"/>
      <c r="CX174" s="2891">
        <f>(CX172-CV172)*10000</f>
        <v>106.54584519225408</v>
      </c>
      <c r="CY174" s="2891">
        <f>(CY172-CX169)*10000</f>
        <v>-13.214497920380207</v>
      </c>
      <c r="CZ174" s="2891">
        <f>(CZ172-CY172)*10000</f>
        <v>161.57996157318388</v>
      </c>
      <c r="DA174" s="2891">
        <f>(DA172-CZ172)*10000</f>
        <v>-431.03579534581269</v>
      </c>
      <c r="DB174" s="2890"/>
      <c r="DC174" s="2891">
        <f>(DC172-DA172)*10000</f>
        <v>79.648940746362968</v>
      </c>
      <c r="DD174" s="2891">
        <f>(DD172-DC169)*10000</f>
        <v>34.509236917145138</v>
      </c>
      <c r="DE174" s="2891">
        <f>(DE172-DD172)*10000</f>
        <v>71.087761916311948</v>
      </c>
      <c r="DF174" s="2891">
        <f>(DF172-DE172)*10000</f>
        <v>-463.1772244187668</v>
      </c>
      <c r="DG174" s="2890"/>
      <c r="DH174" s="2891">
        <f>(DH172-DF172)*10000</f>
        <v>192.28761713069474</v>
      </c>
      <c r="DI174" s="2891">
        <f>(DI172-DH169)*10000</f>
        <v>538.79890797338123</v>
      </c>
      <c r="DJ174" s="2891">
        <f>(DJ172-DI172)*10000</f>
        <v>-91.249019549322909</v>
      </c>
      <c r="DK174" s="2891">
        <f>(DK172-DJ172)*10000</f>
        <v>-254.91296670883679</v>
      </c>
      <c r="DL174" s="2890"/>
      <c r="DM174" s="2891">
        <f>(DM172-DK172)*10000</f>
        <v>-72.975175331134182</v>
      </c>
      <c r="DN174" s="2891">
        <f>(DN172-DM169)*10000</f>
        <v>-271.38354787927199</v>
      </c>
      <c r="DO174" s="2891">
        <f>(DO172-DN172)*10000</f>
        <v>761.76532981773266</v>
      </c>
      <c r="DP174" s="2891">
        <f>(DP172-DO172)*10000</f>
        <v>322.23628406907568</v>
      </c>
      <c r="DQ174" s="2890"/>
      <c r="DR174" s="2891">
        <f>(DR172-DP172)*10000</f>
        <v>220.86863165383443</v>
      </c>
      <c r="DS174" s="2891">
        <f>(DS172-DR172)*10000</f>
        <v>157.21724119821423</v>
      </c>
      <c r="DT174" s="2891">
        <f>(DT172-DS172)*10000</f>
        <v>100.87768566448885</v>
      </c>
      <c r="DU174" s="2891">
        <f>(DU172-DT172)*10000</f>
        <v>-324.26546810519875</v>
      </c>
      <c r="DV174" s="2890"/>
      <c r="DW174" s="2891">
        <f>(DW172-DV172)*10000</f>
        <v>-100.70680591679981</v>
      </c>
      <c r="DX174" s="2891">
        <f>(DX172-DW172)*10000</f>
        <v>-162.96003347642917</v>
      </c>
      <c r="DY174" s="2891">
        <f>(DY172-DX172)*10000</f>
        <v>-311.5353979726346</v>
      </c>
      <c r="DZ174" s="2891">
        <f>(DZ172-DY172)*10000</f>
        <v>-92.061135681914266</v>
      </c>
      <c r="EA174" s="2890"/>
      <c r="EB174" s="2891">
        <f>(EB172-EA172)*10000</f>
        <v>-150.67664218729183</v>
      </c>
      <c r="EC174" s="2891">
        <f>(EC172-EB172)*10000</f>
        <v>431.73844861669363</v>
      </c>
      <c r="ED174" s="2891">
        <f>(ED172-EC172)*10000</f>
        <v>-144.27519581477256</v>
      </c>
      <c r="EE174" s="2891">
        <f>(EE172-ED172)*10000</f>
        <v>-37.345394548504714</v>
      </c>
      <c r="EF174" s="2890"/>
      <c r="EG174" s="2891">
        <f>(EG172-EF172)*10000</f>
        <v>420.51032239274258</v>
      </c>
      <c r="EH174" s="2891">
        <f>(EH172-EG172)*10000</f>
        <v>73.602324524492673</v>
      </c>
      <c r="EI174" s="2891">
        <f>(EI172-EH172)*10000</f>
        <v>-5.1113830155558038</v>
      </c>
      <c r="EJ174" s="2891">
        <f>(EJ172-EI172)*10000</f>
        <v>-20.617256438731914</v>
      </c>
      <c r="EK174" s="2890"/>
      <c r="EL174" s="2891">
        <f>(EL172-EK172)*10000</f>
        <v>180.87014107911247</v>
      </c>
      <c r="EM174" s="2891">
        <f>(EM172-EL172)*10000</f>
        <v>-148.91012629755784</v>
      </c>
      <c r="EN174" s="2891">
        <f>(EN172-EM172)*10000</f>
        <v>-191.71931996578184</v>
      </c>
      <c r="EO174" s="2891">
        <f>(EO172-EN172)*10000</f>
        <v>275.33533419098421</v>
      </c>
      <c r="EP174" s="2890"/>
      <c r="EQ174" s="2891">
        <f>(EQ172-EP172)*10000</f>
        <v>240.69535203562586</v>
      </c>
      <c r="ER174" s="2891">
        <f>(ER172-EQ172)*10000</f>
        <v>-34.692056488754844</v>
      </c>
      <c r="ES174" s="2891">
        <f>(ES172-ER172)*10000</f>
        <v>-82.991759182108325</v>
      </c>
      <c r="ET174" s="2891">
        <f>(ET172-ES172)*10000</f>
        <v>-33.438991933673059</v>
      </c>
      <c r="EU174" s="2890"/>
      <c r="EV174" s="2890"/>
      <c r="EW174" s="2890"/>
      <c r="EX174" s="2890"/>
      <c r="EY174" s="2890"/>
      <c r="EZ174" s="209"/>
      <c r="FA174" s="4287"/>
      <c r="FB174" s="4287"/>
      <c r="FC174" s="4287"/>
      <c r="FD174" s="4287"/>
      <c r="FE174" s="4287"/>
      <c r="FF174" s="4287"/>
      <c r="FG174" s="4287"/>
      <c r="FH174" s="4287"/>
      <c r="FI174" s="4287"/>
      <c r="FJ174" s="4287"/>
      <c r="FK174" s="4287"/>
      <c r="FL174" s="4287"/>
    </row>
    <row r="175" spans="1:168" s="527" customFormat="1" ht="11.25" customHeight="1" collapsed="1">
      <c r="A175" s="3770" t="s">
        <v>670</v>
      </c>
      <c r="B175" s="3333"/>
      <c r="C175" s="3333"/>
      <c r="D175" s="3333"/>
      <c r="E175" s="3333"/>
      <c r="F175" s="3401"/>
      <c r="G175" s="3333"/>
      <c r="H175" s="3333"/>
      <c r="I175" s="3333"/>
      <c r="J175" s="3333"/>
      <c r="K175" s="3401">
        <f>K29/K7</f>
        <v>-0.64009838810969211</v>
      </c>
      <c r="L175" s="3333"/>
      <c r="M175" s="3333"/>
      <c r="N175" s="3333"/>
      <c r="O175" s="3333"/>
      <c r="P175" s="3401">
        <f t="shared" ref="P175:AU175" si="771">P29/P7</f>
        <v>-0.29439057690972636</v>
      </c>
      <c r="Q175" s="3333">
        <f t="shared" si="771"/>
        <v>0.44888258247605523</v>
      </c>
      <c r="R175" s="3333">
        <f t="shared" si="771"/>
        <v>0.4435784781916588</v>
      </c>
      <c r="S175" s="3333">
        <f t="shared" si="771"/>
        <v>0.48242562334176947</v>
      </c>
      <c r="T175" s="3333">
        <f t="shared" si="771"/>
        <v>0.48529889149650629</v>
      </c>
      <c r="U175" s="3401">
        <f t="shared" si="771"/>
        <v>0.47348626191104592</v>
      </c>
      <c r="V175" s="3333">
        <f t="shared" si="771"/>
        <v>0.48718918179697368</v>
      </c>
      <c r="W175" s="3333">
        <f t="shared" si="771"/>
        <v>0.44649565069296498</v>
      </c>
      <c r="X175" s="3333">
        <f t="shared" si="771"/>
        <v>0.35627072005523663</v>
      </c>
      <c r="Y175" s="3333">
        <f t="shared" si="771"/>
        <v>0.33465514716649575</v>
      </c>
      <c r="Z175" s="3401">
        <f t="shared" si="771"/>
        <v>0.39007554228225821</v>
      </c>
      <c r="AA175" s="3333">
        <f t="shared" si="771"/>
        <v>0.35572102273860806</v>
      </c>
      <c r="AB175" s="3333">
        <f t="shared" si="771"/>
        <v>0.35092086396691285</v>
      </c>
      <c r="AC175" s="3333">
        <f t="shared" si="771"/>
        <v>0.34755865276397307</v>
      </c>
      <c r="AD175" s="3333">
        <f t="shared" si="771"/>
        <v>0.35126480730508258</v>
      </c>
      <c r="AE175" s="3401">
        <f t="shared" si="771"/>
        <v>0.35116327707407097</v>
      </c>
      <c r="AF175" s="3333">
        <f t="shared" si="771"/>
        <v>0.39130261771437858</v>
      </c>
      <c r="AG175" s="3333">
        <f t="shared" si="771"/>
        <v>0.37778106818731733</v>
      </c>
      <c r="AH175" s="3333">
        <f t="shared" si="771"/>
        <v>0.36458349171595533</v>
      </c>
      <c r="AI175" s="3333">
        <f t="shared" si="771"/>
        <v>0.37402773080825158</v>
      </c>
      <c r="AJ175" s="3401">
        <f t="shared" si="771"/>
        <v>0.37598182635666993</v>
      </c>
      <c r="AK175" s="3333">
        <f t="shared" si="771"/>
        <v>0.14677992949544222</v>
      </c>
      <c r="AL175" s="3333">
        <f t="shared" si="771"/>
        <v>0.14687472388946049</v>
      </c>
      <c r="AM175" s="3333">
        <f t="shared" si="771"/>
        <v>0.16180405573465609</v>
      </c>
      <c r="AN175" s="3333">
        <f t="shared" si="771"/>
        <v>0.14237569326201427</v>
      </c>
      <c r="AO175" s="3401">
        <f t="shared" si="771"/>
        <v>0.14928113063025389</v>
      </c>
      <c r="AP175" s="3333">
        <f t="shared" si="771"/>
        <v>0.14904648535700743</v>
      </c>
      <c r="AQ175" s="3333">
        <f t="shared" si="771"/>
        <v>6.8456101973535577E-2</v>
      </c>
      <c r="AR175" s="3333">
        <f t="shared" si="771"/>
        <v>0.10065177764737553</v>
      </c>
      <c r="AS175" s="3333">
        <f t="shared" si="771"/>
        <v>8.9813927961648096E-2</v>
      </c>
      <c r="AT175" s="3401">
        <f t="shared" si="771"/>
        <v>0.10067255691308893</v>
      </c>
      <c r="AU175" s="3333">
        <f t="shared" si="771"/>
        <v>9.0757249795267683E-2</v>
      </c>
      <c r="AV175" s="3333">
        <f t="shared" ref="AV175:BN175" si="772">AV29/AV7</f>
        <v>8.4607241152389726E-2</v>
      </c>
      <c r="AW175" s="3333">
        <f t="shared" si="772"/>
        <v>8.6706027421634621E-2</v>
      </c>
      <c r="AX175" s="3333">
        <f t="shared" si="772"/>
        <v>0.11728175040309405</v>
      </c>
      <c r="AY175" s="3401">
        <f t="shared" si="772"/>
        <v>9.5150615607314262E-2</v>
      </c>
      <c r="AZ175" s="3333">
        <f t="shared" si="772"/>
        <v>0.15572781943695665</v>
      </c>
      <c r="BA175" s="3333">
        <f t="shared" si="772"/>
        <v>0.13594242297113268</v>
      </c>
      <c r="BB175" s="3333">
        <f t="shared" si="772"/>
        <v>0.14769503895051367</v>
      </c>
      <c r="BC175" s="3333">
        <f t="shared" si="772"/>
        <v>0.18073398688158596</v>
      </c>
      <c r="BD175" s="3401">
        <f t="shared" si="772"/>
        <v>0.15614473955651689</v>
      </c>
      <c r="BE175" s="3402">
        <f t="shared" si="772"/>
        <v>0.41018450184501842</v>
      </c>
      <c r="BF175" s="3333">
        <f t="shared" si="772"/>
        <v>0.39208211143695015</v>
      </c>
      <c r="BG175" s="3333">
        <f t="shared" si="772"/>
        <v>0.4017293439472962</v>
      </c>
      <c r="BH175" s="3333">
        <f t="shared" si="772"/>
        <v>0.40023696682464455</v>
      </c>
      <c r="BI175" s="3401">
        <f t="shared" si="772"/>
        <v>0.40100951536441459</v>
      </c>
      <c r="BJ175" s="3333">
        <f t="shared" si="772"/>
        <v>0.37644314868804662</v>
      </c>
      <c r="BK175" s="3333">
        <f t="shared" si="772"/>
        <v>0.3673831154442721</v>
      </c>
      <c r="BL175" s="3333">
        <f t="shared" si="772"/>
        <v>0.37335390946502056</v>
      </c>
      <c r="BM175" s="3333">
        <f t="shared" si="772"/>
        <v>0.38199168556311414</v>
      </c>
      <c r="BN175" s="3401">
        <f t="shared" si="772"/>
        <v>0.37504287033372907</v>
      </c>
      <c r="BO175" s="3333">
        <v>0.37059652418976047</v>
      </c>
      <c r="BP175" s="3333">
        <v>0.32339937776322253</v>
      </c>
      <c r="BQ175" s="3333">
        <v>0.26948443372810438</v>
      </c>
      <c r="BR175" s="3403">
        <v>0.29627574727789724</v>
      </c>
      <c r="BS175" s="3404">
        <v>0.31076899122209461</v>
      </c>
      <c r="BT175" s="3333">
        <f>BT29/BT7</f>
        <v>0.37059652418976047</v>
      </c>
      <c r="BU175" s="3333">
        <f>BU29/BU7</f>
        <v>0.36373586282378695</v>
      </c>
      <c r="BV175" s="3333">
        <f>BV29/BV7</f>
        <v>0.34279021343050492</v>
      </c>
      <c r="BW175" s="3333">
        <f>BW29/BW7</f>
        <v>0.34281286323130572</v>
      </c>
      <c r="BX175" s="3401" t="e">
        <f>BX29/BX7</f>
        <v>#REF!</v>
      </c>
      <c r="BY175" s="3333">
        <v>0.29135943875724818</v>
      </c>
      <c r="BZ175" s="3333">
        <v>0.28287841191066998</v>
      </c>
      <c r="CA175" s="3333">
        <v>0.29154636406365408</v>
      </c>
      <c r="CB175" s="3333">
        <v>0.2870447265393285</v>
      </c>
      <c r="CC175" s="3401">
        <v>0.28863442318316507</v>
      </c>
      <c r="CD175" s="3333">
        <f t="shared" ref="CD175:DI175" si="773">CD29/CD7</f>
        <v>0.33997374720098833</v>
      </c>
      <c r="CE175" s="3333">
        <f t="shared" si="773"/>
        <v>0.32745860990310521</v>
      </c>
      <c r="CF175" s="3333">
        <f t="shared" si="773"/>
        <v>0.33655663806892538</v>
      </c>
      <c r="CG175" s="3333">
        <f t="shared" si="773"/>
        <v>0.33755650346979055</v>
      </c>
      <c r="CH175" s="3404">
        <f t="shared" si="773"/>
        <v>0.33548875159855185</v>
      </c>
      <c r="CI175" s="3333">
        <f t="shared" si="773"/>
        <v>0.32127107652399484</v>
      </c>
      <c r="CJ175" s="3333">
        <f t="shared" si="773"/>
        <v>0.32203071137574429</v>
      </c>
      <c r="CK175" s="3333">
        <f t="shared" si="773"/>
        <v>0.32421473098105669</v>
      </c>
      <c r="CL175" s="3333">
        <f t="shared" si="773"/>
        <v>0.30934099320554603</v>
      </c>
      <c r="CM175" s="3401">
        <f t="shared" si="773"/>
        <v>0.31891941031196497</v>
      </c>
      <c r="CN175" s="3333">
        <f t="shared" si="773"/>
        <v>0.32738440143701469</v>
      </c>
      <c r="CO175" s="3333">
        <f t="shared" si="773"/>
        <v>0.33604106729847127</v>
      </c>
      <c r="CP175" s="3333">
        <f t="shared" si="773"/>
        <v>0.32878179384203482</v>
      </c>
      <c r="CQ175" s="3333">
        <f t="shared" si="773"/>
        <v>0.31956491162267336</v>
      </c>
      <c r="CR175" s="3401">
        <f t="shared" si="773"/>
        <v>0.32755470802384351</v>
      </c>
      <c r="CS175" s="3333">
        <f t="shared" si="773"/>
        <v>0.33746359283210742</v>
      </c>
      <c r="CT175" s="3333">
        <f t="shared" si="773"/>
        <v>0.34748837209302325</v>
      </c>
      <c r="CU175" s="3333">
        <f t="shared" si="773"/>
        <v>0.33971760723353078</v>
      </c>
      <c r="CV175" s="3333">
        <f t="shared" si="773"/>
        <v>0.32554481276856967</v>
      </c>
      <c r="CW175" s="3401">
        <f t="shared" si="773"/>
        <v>0.33697048918823114</v>
      </c>
      <c r="CX175" s="3333">
        <f t="shared" si="773"/>
        <v>0.34654545454545455</v>
      </c>
      <c r="CY175" s="3333">
        <f t="shared" si="773"/>
        <v>0.34106113033448676</v>
      </c>
      <c r="CZ175" s="3333">
        <f t="shared" si="773"/>
        <v>0.34574391473426475</v>
      </c>
      <c r="DA175" s="3333">
        <f t="shared" si="773"/>
        <v>0.29424867741236888</v>
      </c>
      <c r="DB175" s="3401">
        <f t="shared" si="773"/>
        <v>0.32980921022957915</v>
      </c>
      <c r="DC175" s="3333">
        <f t="shared" si="773"/>
        <v>0.32395813266551082</v>
      </c>
      <c r="DD175" s="3333">
        <f t="shared" si="773"/>
        <v>0.32241173408457607</v>
      </c>
      <c r="DE175" s="3333">
        <f t="shared" si="773"/>
        <v>0.32172495554238295</v>
      </c>
      <c r="DF175" s="3333">
        <f t="shared" si="773"/>
        <v>0.26667685100315713</v>
      </c>
      <c r="DG175" s="3401">
        <f t="shared" si="773"/>
        <v>0.30659484428332323</v>
      </c>
      <c r="DH175" s="3333">
        <f t="shared" si="773"/>
        <v>0.30474146234073585</v>
      </c>
      <c r="DI175" s="3333">
        <f t="shared" si="773"/>
        <v>0.30649137222678718</v>
      </c>
      <c r="DJ175" s="3333">
        <f t="shared" ref="DJ175:EX175" si="774">DJ29/DJ7</f>
        <v>0.29138991086199661</v>
      </c>
      <c r="DK175" s="3333">
        <f t="shared" si="774"/>
        <v>0.25851329354313618</v>
      </c>
      <c r="DL175" s="3401">
        <f t="shared" si="774"/>
        <v>0.28866221417671156</v>
      </c>
      <c r="DM175" s="3333">
        <f t="shared" si="774"/>
        <v>0.27133798197235115</v>
      </c>
      <c r="DN175" s="3333">
        <f t="shared" si="774"/>
        <v>0.25498080789617988</v>
      </c>
      <c r="DO175" s="3333">
        <f t="shared" si="774"/>
        <v>0.31204383514174949</v>
      </c>
      <c r="DP175" s="3333">
        <f t="shared" si="774"/>
        <v>0.33171640479454462</v>
      </c>
      <c r="DQ175" s="3401">
        <f t="shared" si="774"/>
        <v>0.29702454979263343</v>
      </c>
      <c r="DR175" s="3333">
        <f t="shared" si="774"/>
        <v>0.36486242181003004</v>
      </c>
      <c r="DS175" s="3333">
        <f t="shared" si="774"/>
        <v>0.37433742727860375</v>
      </c>
      <c r="DT175" s="3333">
        <f t="shared" si="774"/>
        <v>0.38245953499800361</v>
      </c>
      <c r="DU175" s="3333">
        <f t="shared" si="774"/>
        <v>0.34303352140723531</v>
      </c>
      <c r="DV175" s="3401">
        <f t="shared" si="774"/>
        <v>0.36520375567173968</v>
      </c>
      <c r="DW175" s="3333">
        <f t="shared" si="774"/>
        <v>0.36167678757847993</v>
      </c>
      <c r="DX175" s="3333">
        <f t="shared" si="774"/>
        <v>0.34777929253067374</v>
      </c>
      <c r="DY175" s="3333">
        <f t="shared" si="774"/>
        <v>0.32002257859086436</v>
      </c>
      <c r="DZ175" s="3333">
        <f t="shared" si="774"/>
        <v>0.30585945718493585</v>
      </c>
      <c r="EA175" s="3401">
        <f t="shared" si="774"/>
        <v>0.33306934053656534</v>
      </c>
      <c r="EB175" s="3333">
        <f t="shared" si="774"/>
        <v>0.32526115179044807</v>
      </c>
      <c r="EC175" s="3333">
        <f t="shared" si="774"/>
        <v>0.3701142029917967</v>
      </c>
      <c r="ED175" s="3333">
        <f t="shared" si="774"/>
        <v>0.35317434446429269</v>
      </c>
      <c r="EE175" s="3333">
        <f t="shared" si="774"/>
        <v>0.34012281311551384</v>
      </c>
      <c r="EF175" s="3401">
        <f t="shared" si="774"/>
        <v>0.34728394178155719</v>
      </c>
      <c r="EG175" s="3333">
        <f t="shared" si="774"/>
        <v>0.38162877612088553</v>
      </c>
      <c r="EH175" s="3333">
        <f t="shared" si="774"/>
        <v>0.39283944207122795</v>
      </c>
      <c r="EI175" s="3333">
        <f t="shared" si="774"/>
        <v>0.38934834821226266</v>
      </c>
      <c r="EJ175" s="3333">
        <f t="shared" si="774"/>
        <v>0.38128310649016783</v>
      </c>
      <c r="EK175" s="3401">
        <f t="shared" si="774"/>
        <v>0.38619442428675099</v>
      </c>
      <c r="EL175" s="3333">
        <f t="shared" si="774"/>
        <v>0.40031473723873484</v>
      </c>
      <c r="EM175" s="3333">
        <f t="shared" si="774"/>
        <v>0.38649562367776996</v>
      </c>
      <c r="EN175" s="3333">
        <f t="shared" ref="EN175" si="775">EN29/EN7</f>
        <v>0.40111973110820159</v>
      </c>
      <c r="EO175" s="3333">
        <f t="shared" si="774"/>
        <v>0.39080592900249483</v>
      </c>
      <c r="EP175" s="3401">
        <f t="shared" si="774"/>
        <v>0.39453912249798112</v>
      </c>
      <c r="EQ175" s="3333">
        <f t="shared" ref="EQ175:EU175" si="776">EQ29/EQ7</f>
        <v>0.409847451967841</v>
      </c>
      <c r="ER175" s="3333">
        <f t="shared" si="776"/>
        <v>0.40872727744117721</v>
      </c>
      <c r="ES175" s="3333">
        <f t="shared" si="776"/>
        <v>0.40029371318795293</v>
      </c>
      <c r="ET175" s="3333">
        <f t="shared" si="776"/>
        <v>0.39116582022459684</v>
      </c>
      <c r="EU175" s="3401">
        <f t="shared" si="776"/>
        <v>0.40194770004498692</v>
      </c>
      <c r="EV175" s="3401">
        <f t="shared" si="774"/>
        <v>0.39482013959282258</v>
      </c>
      <c r="EW175" s="3401">
        <f t="shared" si="774"/>
        <v>0.3982981673089328</v>
      </c>
      <c r="EX175" s="3401">
        <f t="shared" si="774"/>
        <v>0.40471300231388546</v>
      </c>
      <c r="EY175" s="3401">
        <f t="shared" ref="EY175" si="777">EY29/EY7</f>
        <v>0.41385649808687153</v>
      </c>
      <c r="EZ175" s="709"/>
      <c r="FA175" s="4270"/>
      <c r="FB175" s="4270"/>
      <c r="FC175" s="4270"/>
      <c r="FD175" s="4270"/>
      <c r="FE175" s="4270"/>
      <c r="FF175" s="4270"/>
      <c r="FG175" s="4270"/>
      <c r="FH175" s="4270"/>
      <c r="FI175" s="4270"/>
      <c r="FJ175" s="4270"/>
      <c r="FK175" s="4270"/>
      <c r="FL175" s="4270"/>
    </row>
    <row r="176" spans="1:168" s="311" customFormat="1" ht="11.25" hidden="1" customHeight="1" outlineLevel="1">
      <c r="A176" s="3765" t="s">
        <v>734</v>
      </c>
      <c r="B176" s="209"/>
      <c r="C176" s="209"/>
      <c r="D176" s="209"/>
      <c r="E176" s="209"/>
      <c r="F176" s="1019"/>
      <c r="G176" s="209"/>
      <c r="H176" s="209"/>
      <c r="I176" s="209"/>
      <c r="J176" s="209"/>
      <c r="K176" s="1019"/>
      <c r="L176" s="209"/>
      <c r="M176" s="209"/>
      <c r="N176" s="209"/>
      <c r="O176" s="209"/>
      <c r="P176" s="2890" t="s">
        <v>116</v>
      </c>
      <c r="Q176" s="2891" t="s">
        <v>116</v>
      </c>
      <c r="R176" s="2891" t="s">
        <v>116</v>
      </c>
      <c r="S176" s="2891" t="s">
        <v>116</v>
      </c>
      <c r="T176" s="2891" t="s">
        <v>116</v>
      </c>
      <c r="U176" s="2890">
        <f t="shared" ref="U176:BN176" si="778">(U175-P175)*10000</f>
        <v>7678.7683882077226</v>
      </c>
      <c r="V176" s="2891">
        <f t="shared" si="778"/>
        <v>383.06599320918457</v>
      </c>
      <c r="W176" s="2891">
        <f t="shared" si="778"/>
        <v>29.171725013061867</v>
      </c>
      <c r="X176" s="2891">
        <f t="shared" si="778"/>
        <v>-1261.5490328653284</v>
      </c>
      <c r="Y176" s="2891">
        <f t="shared" si="778"/>
        <v>-1506.4374433001053</v>
      </c>
      <c r="Z176" s="2890">
        <f t="shared" si="778"/>
        <v>-834.10719628787706</v>
      </c>
      <c r="AA176" s="2891">
        <f t="shared" si="778"/>
        <v>-1314.6815905836561</v>
      </c>
      <c r="AB176" s="2891">
        <f t="shared" si="778"/>
        <v>-955.74786726052128</v>
      </c>
      <c r="AC176" s="2891">
        <f t="shared" si="778"/>
        <v>-87.120672912635584</v>
      </c>
      <c r="AD176" s="2891">
        <f t="shared" si="778"/>
        <v>166.09660138586835</v>
      </c>
      <c r="AE176" s="2890">
        <f t="shared" si="778"/>
        <v>-389.12265208187245</v>
      </c>
      <c r="AF176" s="2891">
        <f t="shared" si="778"/>
        <v>355.81594975770514</v>
      </c>
      <c r="AG176" s="2891">
        <f t="shared" si="778"/>
        <v>268.60204220404472</v>
      </c>
      <c r="AH176" s="2891">
        <f t="shared" si="778"/>
        <v>170.24838951982258</v>
      </c>
      <c r="AI176" s="2891">
        <f t="shared" si="778"/>
        <v>227.62923503168997</v>
      </c>
      <c r="AJ176" s="2890">
        <f t="shared" si="778"/>
        <v>248.18549282598968</v>
      </c>
      <c r="AK176" s="2891">
        <f t="shared" si="778"/>
        <v>-2445.2268821893636</v>
      </c>
      <c r="AL176" s="2891">
        <f t="shared" si="778"/>
        <v>-2309.0634429785682</v>
      </c>
      <c r="AM176" s="2891">
        <f t="shared" si="778"/>
        <v>-2027.7943598129925</v>
      </c>
      <c r="AN176" s="2891">
        <f t="shared" si="778"/>
        <v>-2316.5203754623731</v>
      </c>
      <c r="AO176" s="2890">
        <f t="shared" si="778"/>
        <v>-2267.0069572641605</v>
      </c>
      <c r="AP176" s="2891">
        <f t="shared" si="778"/>
        <v>22.665558615652117</v>
      </c>
      <c r="AQ176" s="2891">
        <f t="shared" si="778"/>
        <v>-784.18621915924916</v>
      </c>
      <c r="AR176" s="2891">
        <f t="shared" si="778"/>
        <v>-611.52278087280558</v>
      </c>
      <c r="AS176" s="2891">
        <f t="shared" si="778"/>
        <v>-525.61765300366176</v>
      </c>
      <c r="AT176" s="2890">
        <f t="shared" si="778"/>
        <v>-486.08573717164955</v>
      </c>
      <c r="AU176" s="2891">
        <f t="shared" si="778"/>
        <v>-582.89235561739747</v>
      </c>
      <c r="AV176" s="2891">
        <f t="shared" si="778"/>
        <v>161.51139178854149</v>
      </c>
      <c r="AW176" s="2891">
        <f t="shared" si="778"/>
        <v>-139.45750225740906</v>
      </c>
      <c r="AX176" s="2891">
        <f t="shared" si="778"/>
        <v>274.67822441445952</v>
      </c>
      <c r="AY176" s="2890">
        <f t="shared" si="778"/>
        <v>-55.219413057746721</v>
      </c>
      <c r="AZ176" s="2891">
        <f t="shared" si="778"/>
        <v>649.70569641688974</v>
      </c>
      <c r="BA176" s="2891">
        <f t="shared" si="778"/>
        <v>513.35181818742956</v>
      </c>
      <c r="BB176" s="2891">
        <f t="shared" si="778"/>
        <v>609.89011528879053</v>
      </c>
      <c r="BC176" s="2891">
        <f t="shared" si="778"/>
        <v>634.52236478491909</v>
      </c>
      <c r="BD176" s="2890">
        <f t="shared" si="778"/>
        <v>609.94123949202628</v>
      </c>
      <c r="BE176" s="2892">
        <f t="shared" si="778"/>
        <v>2544.5668240806176</v>
      </c>
      <c r="BF176" s="2891">
        <f t="shared" si="778"/>
        <v>2561.3968846581747</v>
      </c>
      <c r="BG176" s="2891">
        <f t="shared" si="778"/>
        <v>2540.3430499678252</v>
      </c>
      <c r="BH176" s="2891">
        <f t="shared" si="778"/>
        <v>2195.0297994305861</v>
      </c>
      <c r="BI176" s="2890">
        <f t="shared" si="778"/>
        <v>2448.6477580789769</v>
      </c>
      <c r="BJ176" s="2891">
        <f t="shared" si="778"/>
        <v>-337.41353156971797</v>
      </c>
      <c r="BK176" s="2891">
        <f t="shared" si="778"/>
        <v>-246.98995992678053</v>
      </c>
      <c r="BL176" s="2891">
        <f t="shared" si="778"/>
        <v>-283.75434482275642</v>
      </c>
      <c r="BM176" s="2891">
        <f t="shared" si="778"/>
        <v>-182.45281261530411</v>
      </c>
      <c r="BN176" s="2890">
        <f t="shared" si="778"/>
        <v>-259.66645030685521</v>
      </c>
      <c r="BO176" s="2891">
        <v>-73.910139803692317</v>
      </c>
      <c r="BP176" s="2891">
        <v>-647.08175120074429</v>
      </c>
      <c r="BQ176" s="2891">
        <v>-1402.9798881989602</v>
      </c>
      <c r="BR176" s="2893">
        <v>-980.8960342866219</v>
      </c>
      <c r="BS176" s="2894">
        <v>-838.68155981038365</v>
      </c>
      <c r="BT176" s="2891">
        <f>(BT175-BJ175)*10000</f>
        <v>-58.466244982861568</v>
      </c>
      <c r="BU176" s="2891">
        <f>(BU175-BK175)*10000</f>
        <v>-36.472526204851533</v>
      </c>
      <c r="BV176" s="2891">
        <f>(BV175-BL175)*10000</f>
        <v>-305.63696034515641</v>
      </c>
      <c r="BW176" s="2891">
        <f>(BW175-BM175)*10000</f>
        <v>-391.78822331808414</v>
      </c>
      <c r="BX176" s="2890" t="e">
        <f>(BX175-BN175)*10000</f>
        <v>#REF!</v>
      </c>
      <c r="BY176" s="2891">
        <v>-963.16614520714324</v>
      </c>
      <c r="BZ176" s="2891">
        <v>-355.43789780665304</v>
      </c>
      <c r="CA176" s="2891">
        <v>364.92085531369065</v>
      </c>
      <c r="CB176" s="2891">
        <v>-271.55670067847359</v>
      </c>
      <c r="CC176" s="2890">
        <v>-250.80202387558427</v>
      </c>
      <c r="CD176" s="2891">
        <f>(CD175-BT175)*10000</f>
        <v>-306.22776988772137</v>
      </c>
      <c r="CE176" s="2891">
        <f>(CE175-BU175)*10000</f>
        <v>-362.77252920681735</v>
      </c>
      <c r="CF176" s="2891">
        <f>(CF175-BV175)*10000</f>
        <v>-62.335753615795355</v>
      </c>
      <c r="CG176" s="2891">
        <f>(CG175-BW175)*10000</f>
        <v>-52.563597615151721</v>
      </c>
      <c r="CH176" s="2890" t="e">
        <f>(CH175-BX175)*10000</f>
        <v>#REF!</v>
      </c>
      <c r="CI176" s="2891">
        <f t="shared" ref="CI176:DB176" si="779">(CI175-CD175)*10000</f>
        <v>-187.02670676993495</v>
      </c>
      <c r="CJ176" s="2891">
        <f t="shared" si="779"/>
        <v>-54.278985273609194</v>
      </c>
      <c r="CK176" s="2891">
        <f t="shared" si="779"/>
        <v>-123.41907087868698</v>
      </c>
      <c r="CL176" s="2891">
        <f t="shared" si="779"/>
        <v>-282.15510264244517</v>
      </c>
      <c r="CM176" s="2890">
        <f t="shared" si="779"/>
        <v>-165.69341286586879</v>
      </c>
      <c r="CN176" s="2891">
        <f t="shared" si="779"/>
        <v>61.133249130198578</v>
      </c>
      <c r="CO176" s="2891">
        <f t="shared" si="779"/>
        <v>140.10355922726981</v>
      </c>
      <c r="CP176" s="2891">
        <f t="shared" si="779"/>
        <v>45.670628609781325</v>
      </c>
      <c r="CQ176" s="2891">
        <f t="shared" si="779"/>
        <v>102.23918417127331</v>
      </c>
      <c r="CR176" s="2890">
        <f t="shared" si="779"/>
        <v>86.352977118785418</v>
      </c>
      <c r="CS176" s="2891">
        <f t="shared" si="779"/>
        <v>100.79191395092724</v>
      </c>
      <c r="CT176" s="2891">
        <f t="shared" si="779"/>
        <v>114.47304794551971</v>
      </c>
      <c r="CU176" s="2891">
        <f t="shared" si="779"/>
        <v>109.35813391495964</v>
      </c>
      <c r="CV176" s="2891">
        <f t="shared" si="779"/>
        <v>59.799011458963051</v>
      </c>
      <c r="CW176" s="2890">
        <f t="shared" si="779"/>
        <v>94.157811643876272</v>
      </c>
      <c r="CX176" s="2891">
        <f t="shared" si="779"/>
        <v>90.818617133471278</v>
      </c>
      <c r="CY176" s="2891">
        <f t="shared" si="779"/>
        <v>-64.272417585364835</v>
      </c>
      <c r="CZ176" s="2891">
        <f t="shared" si="779"/>
        <v>60.26307500733963</v>
      </c>
      <c r="DA176" s="2891">
        <f t="shared" si="779"/>
        <v>-312.96135356200796</v>
      </c>
      <c r="DB176" s="2890">
        <f t="shared" si="779"/>
        <v>-71.612789586519838</v>
      </c>
      <c r="DC176" s="2891">
        <f t="shared" ref="DC176:DQ176" si="780">(DC175-CX175)*10000</f>
        <v>-225.87321879943721</v>
      </c>
      <c r="DD176" s="2891">
        <f t="shared" si="780"/>
        <v>-186.49396249910689</v>
      </c>
      <c r="DE176" s="2891">
        <f t="shared" si="780"/>
        <v>-240.18959191881794</v>
      </c>
      <c r="DF176" s="2891">
        <f t="shared" si="780"/>
        <v>-275.71826409211741</v>
      </c>
      <c r="DG176" s="2890">
        <f t="shared" si="780"/>
        <v>-232.14365946255921</v>
      </c>
      <c r="DH176" s="2891">
        <f t="shared" si="780"/>
        <v>-192.16670324774975</v>
      </c>
      <c r="DI176" s="2891">
        <f t="shared" si="780"/>
        <v>-159.2036185778889</v>
      </c>
      <c r="DJ176" s="2891">
        <f t="shared" si="780"/>
        <v>-303.35044680386335</v>
      </c>
      <c r="DK176" s="2891">
        <f t="shared" si="780"/>
        <v>-81.635574600209537</v>
      </c>
      <c r="DL176" s="2890">
        <f t="shared" si="780"/>
        <v>-179.32630106611668</v>
      </c>
      <c r="DM176" s="2891">
        <f t="shared" si="780"/>
        <v>-334.03480368384697</v>
      </c>
      <c r="DN176" s="2891">
        <f t="shared" si="780"/>
        <v>-515.10564330607303</v>
      </c>
      <c r="DO176" s="2891">
        <f t="shared" si="780"/>
        <v>206.53924279752877</v>
      </c>
      <c r="DP176" s="2891">
        <f t="shared" si="780"/>
        <v>732.03111251408438</v>
      </c>
      <c r="DQ176" s="2890">
        <f t="shared" si="780"/>
        <v>83.623356159218673</v>
      </c>
      <c r="DR176" s="2891">
        <f t="shared" ref="DR176:EN176" si="781">(DR175-DM175)*10000</f>
        <v>935.24439837678881</v>
      </c>
      <c r="DS176" s="2891">
        <f t="shared" si="781"/>
        <v>1193.5661938242388</v>
      </c>
      <c r="DT176" s="2891">
        <f t="shared" si="781"/>
        <v>704.15699856254116</v>
      </c>
      <c r="DU176" s="2891">
        <f t="shared" si="781"/>
        <v>113.17116612690693</v>
      </c>
      <c r="DV176" s="2890">
        <f t="shared" si="781"/>
        <v>681.79205879106257</v>
      </c>
      <c r="DW176" s="2891">
        <f t="shared" si="781"/>
        <v>-31.856342315501053</v>
      </c>
      <c r="DX176" s="2891">
        <f t="shared" si="781"/>
        <v>-265.58134747930006</v>
      </c>
      <c r="DY176" s="2891">
        <f t="shared" si="781"/>
        <v>-624.36956407139257</v>
      </c>
      <c r="DZ176" s="2891">
        <f t="shared" si="781"/>
        <v>-371.74064222299461</v>
      </c>
      <c r="EA176" s="2890">
        <f t="shared" si="781"/>
        <v>-321.34415135174345</v>
      </c>
      <c r="EB176" s="2891">
        <f t="shared" si="781"/>
        <v>-364.15635788031864</v>
      </c>
      <c r="EC176" s="2891">
        <f t="shared" si="781"/>
        <v>223.34910461122959</v>
      </c>
      <c r="ED176" s="2891">
        <f t="shared" si="781"/>
        <v>331.51765873428332</v>
      </c>
      <c r="EE176" s="2891">
        <f t="shared" si="781"/>
        <v>342.63355930578001</v>
      </c>
      <c r="EF176" s="2890">
        <f t="shared" ref="EF176:EK176" si="782">(EF175-EA175)*10000</f>
        <v>142.14601244991854</v>
      </c>
      <c r="EG176" s="2891">
        <f t="shared" si="781"/>
        <v>563.67624330437457</v>
      </c>
      <c r="EH176" s="2891">
        <f t="shared" si="781"/>
        <v>227.25239079431248</v>
      </c>
      <c r="EI176" s="2891">
        <f t="shared" si="781"/>
        <v>361.74003747969977</v>
      </c>
      <c r="EJ176" s="2891">
        <f t="shared" si="781"/>
        <v>411.60293374653986</v>
      </c>
      <c r="EK176" s="2890">
        <f t="shared" si="782"/>
        <v>389.10482505193801</v>
      </c>
      <c r="EL176" s="2891">
        <f t="shared" si="781"/>
        <v>186.85961117849314</v>
      </c>
      <c r="EM176" s="2891">
        <f t="shared" si="781"/>
        <v>-63.438183934579897</v>
      </c>
      <c r="EN176" s="2891">
        <f t="shared" si="781"/>
        <v>117.7138289593893</v>
      </c>
      <c r="EO176" s="2891">
        <f t="shared" ref="EO176:EP176" si="783">(EO175-EJ175)*10000</f>
        <v>95.228225123270008</v>
      </c>
      <c r="EP176" s="2890">
        <f t="shared" si="783"/>
        <v>83.446982112301285</v>
      </c>
      <c r="EQ176" s="2891">
        <f t="shared" ref="EQ176" si="784">(EQ175-EL175)*10000</f>
        <v>95.327147291061621</v>
      </c>
      <c r="ER176" s="2891">
        <f t="shared" ref="ER176" si="785">(ER175-EM175)*10000</f>
        <v>222.31653763407243</v>
      </c>
      <c r="ES176" s="2891">
        <f t="shared" ref="ES176" si="786">(ES175-EN175)*10000</f>
        <v>-8.2601792024866718</v>
      </c>
      <c r="ET176" s="2891">
        <f t="shared" ref="ET176:EU176" si="787">(ET175-EO175)*10000</f>
        <v>3.5989122210200453</v>
      </c>
      <c r="EU176" s="2890">
        <f t="shared" si="787"/>
        <v>74.08577547005801</v>
      </c>
      <c r="EV176" s="2890">
        <f>(EV175-EU175)*10000</f>
        <v>-71.275604521643388</v>
      </c>
      <c r="EW176" s="2890">
        <f>(EW175-EV175)*10000</f>
        <v>34.780277161102212</v>
      </c>
      <c r="EX176" s="2890">
        <f>(EX175-EW175)*10000</f>
        <v>64.14835004952657</v>
      </c>
      <c r="EY176" s="2890">
        <f>(EY175-EX175)*10000</f>
        <v>91.434957729860656</v>
      </c>
      <c r="EZ176" s="226"/>
      <c r="FA176" s="4287"/>
      <c r="FB176" s="4287"/>
      <c r="FC176" s="4287"/>
      <c r="FD176" s="4287"/>
      <c r="FE176" s="4287"/>
      <c r="FF176" s="4287"/>
      <c r="FG176" s="4287"/>
      <c r="FH176" s="4287"/>
      <c r="FI176" s="4287"/>
      <c r="FJ176" s="4287"/>
      <c r="FK176" s="4287"/>
      <c r="FL176" s="4287"/>
    </row>
    <row r="177" spans="1:168" s="311" customFormat="1" ht="11.25" hidden="1" customHeight="1" outlineLevel="1">
      <c r="A177" s="3765" t="s">
        <v>735</v>
      </c>
      <c r="B177" s="209"/>
      <c r="C177" s="209"/>
      <c r="D177" s="209"/>
      <c r="E177" s="209"/>
      <c r="F177" s="1019"/>
      <c r="G177" s="209"/>
      <c r="H177" s="209"/>
      <c r="I177" s="209"/>
      <c r="J177" s="209"/>
      <c r="K177" s="1019"/>
      <c r="L177" s="209"/>
      <c r="M177" s="209"/>
      <c r="N177" s="209"/>
      <c r="O177" s="209"/>
      <c r="P177" s="2890" t="s">
        <v>116</v>
      </c>
      <c r="Q177" s="2891" t="s">
        <v>116</v>
      </c>
      <c r="R177" s="2891">
        <f>(R175-Q175)*10000</f>
        <v>-53.04104284396427</v>
      </c>
      <c r="S177" s="2891">
        <f>(S175-R175)*10000</f>
        <v>388.47145150110674</v>
      </c>
      <c r="T177" s="2891">
        <f>(T175-S175)*10000</f>
        <v>28.732681547368188</v>
      </c>
      <c r="U177" s="2890" t="s">
        <v>116</v>
      </c>
      <c r="V177" s="2891">
        <f>(V175-T175)*10000</f>
        <v>18.902903004673899</v>
      </c>
      <c r="W177" s="2891">
        <f>(W175-V175)*10000</f>
        <v>-406.93531104008696</v>
      </c>
      <c r="X177" s="2891">
        <f>(X175-W175)*10000</f>
        <v>-902.24930637728346</v>
      </c>
      <c r="Y177" s="2891">
        <f>(Y175-X175)*10000</f>
        <v>-216.15572888740886</v>
      </c>
      <c r="Z177" s="2890" t="s">
        <v>116</v>
      </c>
      <c r="AA177" s="2891">
        <f>(AA175-Y175)*10000</f>
        <v>210.65875572112313</v>
      </c>
      <c r="AB177" s="2891">
        <f>(AB175-AA175)*10000</f>
        <v>-48.001587716952066</v>
      </c>
      <c r="AC177" s="2891">
        <f>(AC175-AB175)*10000</f>
        <v>-33.622112029397798</v>
      </c>
      <c r="AD177" s="2891">
        <f>(AD175-AC175)*10000</f>
        <v>37.061545411095075</v>
      </c>
      <c r="AE177" s="2890" t="s">
        <v>116</v>
      </c>
      <c r="AF177" s="2891">
        <f>(AF175-AD175)*10000</f>
        <v>400.37810409295992</v>
      </c>
      <c r="AG177" s="2891">
        <f>(AG175-AF175)*10000</f>
        <v>-135.21549527061251</v>
      </c>
      <c r="AH177" s="2891">
        <f>(AH175-AG175)*10000</f>
        <v>-131.97576471361992</v>
      </c>
      <c r="AI177" s="2891">
        <f>(AI175-AH175)*10000</f>
        <v>94.442390922962474</v>
      </c>
      <c r="AJ177" s="2890" t="s">
        <v>116</v>
      </c>
      <c r="AK177" s="2891">
        <f>(AK175-AI175)*10000</f>
        <v>-2272.4780131280936</v>
      </c>
      <c r="AL177" s="2891">
        <f>(AL175-AK175)*10000</f>
        <v>0.9479439401827161</v>
      </c>
      <c r="AM177" s="2891">
        <f>(AM175-AL175)*10000</f>
        <v>149.29331845195597</v>
      </c>
      <c r="AN177" s="2891">
        <f>(AN175-AM175)*10000</f>
        <v>-194.2836247264182</v>
      </c>
      <c r="AO177" s="2890" t="s">
        <v>116</v>
      </c>
      <c r="AP177" s="2891">
        <f>(AP175-AN175)*10000</f>
        <v>66.707920949931605</v>
      </c>
      <c r="AQ177" s="2891">
        <f>(AQ175-AP175)*10000</f>
        <v>-805.90383383471851</v>
      </c>
      <c r="AR177" s="2891">
        <f>(AR175-AQ175)*10000</f>
        <v>321.95675673839946</v>
      </c>
      <c r="AS177" s="2891">
        <f>(AS175-AR175)*10000</f>
        <v>-108.3784968572743</v>
      </c>
      <c r="AT177" s="2890" t="s">
        <v>116</v>
      </c>
      <c r="AU177" s="2891">
        <f>(AU175-AS175)*10000</f>
        <v>9.4332183361958695</v>
      </c>
      <c r="AV177" s="2891">
        <f>(AV175-AU175)*10000</f>
        <v>-61.500086428779575</v>
      </c>
      <c r="AW177" s="2891">
        <f>(AW175-AV175)*10000</f>
        <v>20.987862692448957</v>
      </c>
      <c r="AX177" s="2891">
        <f>(AX175-AW175)*10000</f>
        <v>305.75722981459427</v>
      </c>
      <c r="AY177" s="2890" t="s">
        <v>116</v>
      </c>
      <c r="AZ177" s="2891">
        <f>(AZ175-AX175)*10000</f>
        <v>384.46069033862608</v>
      </c>
      <c r="BA177" s="2891">
        <f>(BA175-AZ175)*10000</f>
        <v>-197.85396465823973</v>
      </c>
      <c r="BB177" s="2891">
        <f>(BB175-BA175)*10000</f>
        <v>117.52615979380987</v>
      </c>
      <c r="BC177" s="2891">
        <f>(BC175-BB175)*10000</f>
        <v>330.38947931072289</v>
      </c>
      <c r="BD177" s="2890" t="s">
        <v>116</v>
      </c>
      <c r="BE177" s="2892">
        <f>(BE175-BD175)*10000</f>
        <v>2540.3976228850156</v>
      </c>
      <c r="BF177" s="2891">
        <f>(BF175-BE175)*10000</f>
        <v>-181.02390408068268</v>
      </c>
      <c r="BG177" s="2891">
        <f>(BG175-BF175)*10000</f>
        <v>96.472325103460491</v>
      </c>
      <c r="BH177" s="2891">
        <f>(BH175-BG175)*10000</f>
        <v>-14.923771226516557</v>
      </c>
      <c r="BI177" s="2890" t="s">
        <v>116</v>
      </c>
      <c r="BJ177" s="2891">
        <f>(BJ175-BI175)*10000</f>
        <v>-245.66366676367969</v>
      </c>
      <c r="BK177" s="2891">
        <f>(BK175-BJ175)*10000</f>
        <v>-90.600332437745237</v>
      </c>
      <c r="BL177" s="2891">
        <f>(BL175-BK175)*10000</f>
        <v>59.707940207484597</v>
      </c>
      <c r="BM177" s="2891">
        <f>(BM175-BL175)*10000</f>
        <v>86.377760980935747</v>
      </c>
      <c r="BN177" s="2890" t="s">
        <v>116</v>
      </c>
      <c r="BO177" s="2891">
        <v>-44.309034873266654</v>
      </c>
      <c r="BP177" s="2891">
        <v>-672.07408167944016</v>
      </c>
      <c r="BQ177" s="2891">
        <v>-721.12167931195404</v>
      </c>
      <c r="BR177" s="2893">
        <v>523.61981105103814</v>
      </c>
      <c r="BS177" s="2894" t="s">
        <v>116</v>
      </c>
      <c r="BT177" s="2891">
        <f>(BT175-BN175)*10000</f>
        <v>-44.46346143968605</v>
      </c>
      <c r="BU177" s="2891">
        <f>(BU175-BT175)*10000</f>
        <v>-68.606613659735189</v>
      </c>
      <c r="BV177" s="2891">
        <f>(BV175-BU175)*10000</f>
        <v>-209.45649393282028</v>
      </c>
      <c r="BW177" s="2891">
        <f>(BW175-BV175)*10000</f>
        <v>0.22649800800800257</v>
      </c>
      <c r="BX177" s="2890" t="s">
        <v>116</v>
      </c>
      <c r="BY177" s="2891">
        <v>-168.79362027002631</v>
      </c>
      <c r="BZ177" s="2891">
        <v>-64.345834278949908</v>
      </c>
      <c r="CA177" s="2891">
        <v>-0.76292619161033581</v>
      </c>
      <c r="CB177" s="2891">
        <v>-112.8577449411261</v>
      </c>
      <c r="CC177" s="2890" t="s">
        <v>116</v>
      </c>
      <c r="CD177" s="2891" t="e">
        <f>(CD175-BX175)*10000</f>
        <v>#REF!</v>
      </c>
      <c r="CE177" s="2891">
        <f>(CE175-CD175)*10000</f>
        <v>-125.15137297883116</v>
      </c>
      <c r="CF177" s="2891">
        <f>(CF175-CE175)*10000</f>
        <v>90.980281658201704</v>
      </c>
      <c r="CG177" s="2891">
        <f>(CG175-CF175)*10000</f>
        <v>9.9986540086516307</v>
      </c>
      <c r="CH177" s="2890" t="s">
        <v>116</v>
      </c>
      <c r="CI177" s="2891">
        <f>(CI175-CH175)*10000</f>
        <v>-142.17675074557013</v>
      </c>
      <c r="CJ177" s="2891">
        <f>(CJ175-CI175)*10000</f>
        <v>7.5963485174945777</v>
      </c>
      <c r="CK177" s="2891">
        <f>(CK175-CJ175)*10000</f>
        <v>21.840196053123929</v>
      </c>
      <c r="CL177" s="2891">
        <f>(CL175-CK175)*10000</f>
        <v>-148.73737775510654</v>
      </c>
      <c r="CM177" s="2890" t="s">
        <v>116</v>
      </c>
      <c r="CN177" s="2891">
        <f>(CN175-CM175)*10000</f>
        <v>84.649911250497254</v>
      </c>
      <c r="CO177" s="2891">
        <f>(CO175-CN175)*10000</f>
        <v>86.56665861456581</v>
      </c>
      <c r="CP177" s="2891">
        <f>(CP175-CO175)*10000</f>
        <v>-72.592734564364548</v>
      </c>
      <c r="CQ177" s="2891">
        <f>(CQ175-CP175)*10000</f>
        <v>-92.168822193614545</v>
      </c>
      <c r="CR177" s="2890" t="s">
        <v>116</v>
      </c>
      <c r="CS177" s="2891">
        <f>(CS175-CR175)*10000</f>
        <v>99.088848082639075</v>
      </c>
      <c r="CT177" s="2891">
        <f>(CT175-CS175)*10000</f>
        <v>100.24779260915828</v>
      </c>
      <c r="CU177" s="2891">
        <f>(CU175-CT175)*10000</f>
        <v>-77.707648594924621</v>
      </c>
      <c r="CV177" s="2891">
        <f>(CV175-CU175)*10000</f>
        <v>-141.72794464961115</v>
      </c>
      <c r="CW177" s="2890"/>
      <c r="CX177" s="2891">
        <f>(CX175-CV175)*10000</f>
        <v>210.00641776884876</v>
      </c>
      <c r="CY177" s="2891">
        <f>(CY175-CX175)*10000</f>
        <v>-54.843242109677838</v>
      </c>
      <c r="CZ177" s="2891">
        <f>(CZ175-CY175)*10000</f>
        <v>46.827843997779837</v>
      </c>
      <c r="DA177" s="2891">
        <f>(DA175-CZ175)*10000</f>
        <v>-514.95237321895866</v>
      </c>
      <c r="DB177" s="2890"/>
      <c r="DC177" s="2891">
        <f>(DC175-DA175)*10000</f>
        <v>297.09455253141948</v>
      </c>
      <c r="DD177" s="2891">
        <f>(DD175-DC175)*10000</f>
        <v>-15.463985809347491</v>
      </c>
      <c r="DE177" s="2891">
        <f>(DE175-DD175)*10000</f>
        <v>-6.8677854219312273</v>
      </c>
      <c r="DF177" s="2891">
        <f>(DF175-DE175)*10000</f>
        <v>-550.48104539225812</v>
      </c>
      <c r="DG177" s="2890"/>
      <c r="DH177" s="2891">
        <f>(DH175-DF175)*10000</f>
        <v>380.64611337578714</v>
      </c>
      <c r="DI177" s="2891">
        <f>(DI175-DH175)*10000</f>
        <v>17.499098860513374</v>
      </c>
      <c r="DJ177" s="2891">
        <f>(DJ175-DI175)*10000</f>
        <v>-151.01461364790569</v>
      </c>
      <c r="DK177" s="2891">
        <f>(DK175-DJ175)*10000</f>
        <v>-328.76617318860434</v>
      </c>
      <c r="DL177" s="2890"/>
      <c r="DM177" s="2891">
        <f>(DM175-DK175)*10000</f>
        <v>128.2468842921497</v>
      </c>
      <c r="DN177" s="2891">
        <f>(DN175-DM175)*10000</f>
        <v>-163.57174076171265</v>
      </c>
      <c r="DO177" s="2891">
        <f>(DO175-DN175)*10000</f>
        <v>570.63027245569606</v>
      </c>
      <c r="DP177" s="2891">
        <f>(DP175-DO175)*10000</f>
        <v>196.72569652795124</v>
      </c>
      <c r="DQ177" s="2890"/>
      <c r="DR177" s="2891">
        <f>(DR175-DP175)*10000</f>
        <v>331.46017015485421</v>
      </c>
      <c r="DS177" s="2891">
        <f>(DS175-DR175)*10000</f>
        <v>94.750054685737155</v>
      </c>
      <c r="DT177" s="2891">
        <f>(DT175-DS175)*10000</f>
        <v>81.221077193998624</v>
      </c>
      <c r="DU177" s="2891">
        <f>(DU175-DT175)*10000</f>
        <v>-394.26013590768304</v>
      </c>
      <c r="DV177" s="2890"/>
      <c r="DW177" s="2891">
        <f>(DW175-DU175)*10000</f>
        <v>186.43266171244622</v>
      </c>
      <c r="DX177" s="2891">
        <f>(DX175-DW175)*10000</f>
        <v>-138.97495047806186</v>
      </c>
      <c r="DY177" s="2891">
        <f>(DY175-DX175)*10000</f>
        <v>-277.56713939809384</v>
      </c>
      <c r="DZ177" s="2891">
        <f>(DZ175-DY175)*10000</f>
        <v>-141.63121405928513</v>
      </c>
      <c r="EA177" s="2890"/>
      <c r="EB177" s="2891">
        <f>(EB175-DZ175)*10000</f>
        <v>194.01694605512222</v>
      </c>
      <c r="EC177" s="2891">
        <f>(EC175-EB175)*10000</f>
        <v>448.53051201348637</v>
      </c>
      <c r="ED177" s="2891">
        <f>(ED175-EC175)*10000</f>
        <v>-169.39858527504015</v>
      </c>
      <c r="EE177" s="2891">
        <f>(EE175-ED175)*10000</f>
        <v>-130.51531348778843</v>
      </c>
      <c r="EF177" s="2890"/>
      <c r="EG177" s="2891">
        <f>(EG175-EE175)*10000</f>
        <v>415.05963005371683</v>
      </c>
      <c r="EH177" s="2891">
        <f>(EH175-EG175)*10000</f>
        <v>112.10665950342424</v>
      </c>
      <c r="EI177" s="2891">
        <f>(EI175-EH175)*10000</f>
        <v>-34.910938589652886</v>
      </c>
      <c r="EJ177" s="2891">
        <f>(EJ175-EI175)*10000</f>
        <v>-80.652417220948294</v>
      </c>
      <c r="EK177" s="2890"/>
      <c r="EL177" s="2891">
        <f>(EL175-EJ175)*10000</f>
        <v>190.31630748567008</v>
      </c>
      <c r="EM177" s="2891">
        <f>(EM175-EL175)*10000</f>
        <v>-138.1911356096488</v>
      </c>
      <c r="EN177" s="2891">
        <f>(EN175-EM175)*10000</f>
        <v>146.24107430431633</v>
      </c>
      <c r="EO177" s="2891">
        <f>(EO175-EN175)*10000</f>
        <v>-103.13802105706759</v>
      </c>
      <c r="EP177" s="2890"/>
      <c r="EQ177" s="2891">
        <f>(EQ175-EO175)*10000</f>
        <v>190.41522965346169</v>
      </c>
      <c r="ER177" s="2891">
        <f>(ER175-EQ175)*10000</f>
        <v>-11.201745266637975</v>
      </c>
      <c r="ES177" s="2891">
        <f>(ES175-ER175)*10000</f>
        <v>-84.335642532242787</v>
      </c>
      <c r="ET177" s="2891">
        <f>(ET175-ES175)*10000</f>
        <v>-91.278929633560878</v>
      </c>
      <c r="EU177" s="2890"/>
      <c r="EV177" s="2890"/>
      <c r="EW177" s="2890"/>
      <c r="EX177" s="2890"/>
      <c r="EY177" s="2890"/>
      <c r="EZ177" s="209"/>
      <c r="FA177" s="4287"/>
      <c r="FB177" s="4287"/>
      <c r="FC177" s="4287"/>
      <c r="FD177" s="4287"/>
      <c r="FE177" s="4287"/>
      <c r="FF177" s="4287"/>
      <c r="FG177" s="4287"/>
      <c r="FH177" s="4287"/>
      <c r="FI177" s="4287"/>
      <c r="FJ177" s="4287"/>
      <c r="FK177" s="4287"/>
      <c r="FL177" s="4287"/>
    </row>
    <row r="178" spans="1:168" ht="11.25" customHeight="1" collapsed="1">
      <c r="A178" s="3771" t="s">
        <v>238</v>
      </c>
      <c r="B178" s="124"/>
      <c r="C178" s="124"/>
      <c r="D178" s="124"/>
      <c r="E178" s="124"/>
      <c r="F178" s="997"/>
      <c r="G178" s="124"/>
      <c r="H178" s="124"/>
      <c r="I178" s="124"/>
      <c r="J178" s="124"/>
      <c r="K178" s="997">
        <f>K36/K7</f>
        <v>-0.7687879422231525</v>
      </c>
      <c r="L178" s="124"/>
      <c r="M178" s="124"/>
      <c r="N178" s="124"/>
      <c r="O178" s="124"/>
      <c r="P178" s="997">
        <f t="shared" ref="P178:AU178" si="788">P36/P7</f>
        <v>8.0820586397611971E-2</v>
      </c>
      <c r="Q178" s="124">
        <f t="shared" si="788"/>
        <v>0.18744235544519319</v>
      </c>
      <c r="R178" s="124">
        <f t="shared" si="788"/>
        <v>0.21130850047755503</v>
      </c>
      <c r="S178" s="124">
        <f t="shared" si="788"/>
        <v>0.23172792402914666</v>
      </c>
      <c r="T178" s="124">
        <f t="shared" si="788"/>
        <v>0.2385703870449308</v>
      </c>
      <c r="U178" s="997">
        <f t="shared" si="788"/>
        <v>0.22674445061295814</v>
      </c>
      <c r="V178" s="124">
        <f t="shared" si="788"/>
        <v>0.1037736607968852</v>
      </c>
      <c r="W178" s="124">
        <f t="shared" si="788"/>
        <v>0.10336794141369346</v>
      </c>
      <c r="X178" s="124">
        <f t="shared" si="788"/>
        <v>5.1850272375121305E-2</v>
      </c>
      <c r="Y178" s="124">
        <f t="shared" si="788"/>
        <v>5.3212280958656627E-2</v>
      </c>
      <c r="Z178" s="997">
        <f t="shared" si="788"/>
        <v>7.2068728878653468E-2</v>
      </c>
      <c r="AA178" s="124">
        <f t="shared" si="788"/>
        <v>9.8174864914221935E-2</v>
      </c>
      <c r="AB178" s="124">
        <f t="shared" si="788"/>
        <v>0.11291294636481519</v>
      </c>
      <c r="AC178" s="124">
        <f t="shared" si="788"/>
        <v>6.4504080596907487E-2</v>
      </c>
      <c r="AD178" s="124">
        <f t="shared" si="788"/>
        <v>0.19786699188851978</v>
      </c>
      <c r="AE178" s="997">
        <f t="shared" si="788"/>
        <v>0.12514615628947867</v>
      </c>
      <c r="AF178" s="124">
        <f t="shared" si="788"/>
        <v>0.29382276071295554</v>
      </c>
      <c r="AG178" s="124">
        <f t="shared" si="788"/>
        <v>0.2476094171521023</v>
      </c>
      <c r="AH178" s="124">
        <f t="shared" si="788"/>
        <v>0.24149041848489916</v>
      </c>
      <c r="AI178" s="124">
        <f t="shared" si="788"/>
        <v>0.19394995448370661</v>
      </c>
      <c r="AJ178" s="997">
        <f t="shared" si="788"/>
        <v>0.23871999296251895</v>
      </c>
      <c r="AK178" s="124">
        <f t="shared" si="788"/>
        <v>0.26280185734474254</v>
      </c>
      <c r="AL178" s="124">
        <f t="shared" si="788"/>
        <v>0.2935992029286752</v>
      </c>
      <c r="AM178" s="124">
        <f t="shared" si="788"/>
        <v>0.27265805174086205</v>
      </c>
      <c r="AN178" s="124">
        <f t="shared" si="788"/>
        <v>0.32154629327486706</v>
      </c>
      <c r="AO178" s="997">
        <f t="shared" si="788"/>
        <v>0.2901903899860791</v>
      </c>
      <c r="AP178" s="124">
        <f t="shared" si="788"/>
        <v>0.27351799454744602</v>
      </c>
      <c r="AQ178" s="124">
        <f t="shared" si="788"/>
        <v>0.23892654542824943</v>
      </c>
      <c r="AR178" s="124">
        <f t="shared" si="788"/>
        <v>0.2528705370932357</v>
      </c>
      <c r="AS178" s="124">
        <f t="shared" si="788"/>
        <v>0.24995426461962775</v>
      </c>
      <c r="AT178" s="997">
        <f t="shared" si="788"/>
        <v>0.25332762122373731</v>
      </c>
      <c r="AU178" s="124">
        <f t="shared" si="788"/>
        <v>0.25203917514760293</v>
      </c>
      <c r="AV178" s="124">
        <f t="shared" ref="AV178:BN178" si="789">AV36/AV7</f>
        <v>0.2324094893214578</v>
      </c>
      <c r="AW178" s="124">
        <f t="shared" si="789"/>
        <v>0.23278234652635046</v>
      </c>
      <c r="AX178" s="124">
        <f t="shared" si="789"/>
        <v>6.7084448361172347E-2</v>
      </c>
      <c r="AY178" s="997">
        <f t="shared" si="789"/>
        <v>0.19393210999493019</v>
      </c>
      <c r="AZ178" s="124">
        <f t="shared" si="789"/>
        <v>0.25827383966934042</v>
      </c>
      <c r="BA178" s="124">
        <f t="shared" si="789"/>
        <v>0.26879824121289964</v>
      </c>
      <c r="BB178" s="124">
        <f t="shared" si="789"/>
        <v>0.27569656497698591</v>
      </c>
      <c r="BC178" s="124">
        <f t="shared" si="789"/>
        <v>0.29579738755511276</v>
      </c>
      <c r="BD178" s="997">
        <f t="shared" si="789"/>
        <v>0.27569948334845135</v>
      </c>
      <c r="BE178" s="1688">
        <f t="shared" si="789"/>
        <v>0.28856088560885607</v>
      </c>
      <c r="BF178" s="124">
        <f t="shared" si="789"/>
        <v>0.26979472140762462</v>
      </c>
      <c r="BG178" s="124">
        <f t="shared" si="789"/>
        <v>0.29741970903101839</v>
      </c>
      <c r="BH178" s="124">
        <f t="shared" si="789"/>
        <v>0.30130331753554501</v>
      </c>
      <c r="BI178" s="997">
        <f t="shared" si="789"/>
        <v>0.29006514102520375</v>
      </c>
      <c r="BJ178" s="124">
        <f t="shared" si="789"/>
        <v>0.20967930029154519</v>
      </c>
      <c r="BK178" s="124">
        <f t="shared" si="789"/>
        <v>0.27753157544870377</v>
      </c>
      <c r="BL178" s="124">
        <f t="shared" si="789"/>
        <v>0.280761316872428</v>
      </c>
      <c r="BM178" s="124">
        <f t="shared" si="789"/>
        <v>0.25557445200302342</v>
      </c>
      <c r="BN178" s="997">
        <f t="shared" si="789"/>
        <v>0.25687903970452447</v>
      </c>
      <c r="BO178" s="124">
        <v>0.27148896195396899</v>
      </c>
      <c r="BP178" s="124">
        <v>0.22801702963812018</v>
      </c>
      <c r="BQ178" s="124">
        <v>0.15431529678746189</v>
      </c>
      <c r="BR178" s="123">
        <v>0.20015257646161316</v>
      </c>
      <c r="BS178" s="1761">
        <v>0.20897643005897351</v>
      </c>
      <c r="BT178" s="124">
        <f>BT36/BT7</f>
        <v>0.27148896195396899</v>
      </c>
      <c r="BU178" s="124">
        <f>BU36/BU7</f>
        <v>0.27526450200656694</v>
      </c>
      <c r="BV178" s="124">
        <f>BV36/BV7</f>
        <v>0.23451327433628319</v>
      </c>
      <c r="BW178" s="124">
        <f>BW36/BW7</f>
        <v>0.22510654784967066</v>
      </c>
      <c r="BX178" s="997">
        <f>BX36/BX7</f>
        <v>0.23321531744825039</v>
      </c>
      <c r="BY178" s="124">
        <v>0.2395303887178753</v>
      </c>
      <c r="BZ178" s="124">
        <v>0.22885501595179014</v>
      </c>
      <c r="CA178" s="124">
        <v>0.1994225475055395</v>
      </c>
      <c r="CB178" s="124">
        <v>0.2002610036777791</v>
      </c>
      <c r="CC178" s="997">
        <v>0.21629584986523362</v>
      </c>
      <c r="CD178" s="124">
        <f t="shared" ref="CD178:DI178" si="790">CD36/CD7</f>
        <v>0.25835842792062391</v>
      </c>
      <c r="CE178" s="124">
        <f t="shared" si="790"/>
        <v>0.24628061341268026</v>
      </c>
      <c r="CF178" s="124">
        <f t="shared" si="790"/>
        <v>0.21593718191071687</v>
      </c>
      <c r="CG178" s="124">
        <f t="shared" si="790"/>
        <v>0.2149360157891386</v>
      </c>
      <c r="CH178" s="1761">
        <f t="shared" si="790"/>
        <v>0.23271312523640555</v>
      </c>
      <c r="CI178" s="124">
        <f t="shared" si="790"/>
        <v>0.2185898832684825</v>
      </c>
      <c r="CJ178" s="124">
        <f t="shared" si="790"/>
        <v>0.21010657474146036</v>
      </c>
      <c r="CK178" s="124">
        <f t="shared" si="790"/>
        <v>0.16574508261211643</v>
      </c>
      <c r="CL178" s="124">
        <f t="shared" si="790"/>
        <v>0.25822311219134952</v>
      </c>
      <c r="CM178" s="997">
        <f t="shared" si="790"/>
        <v>0.21884516901259071</v>
      </c>
      <c r="CN178" s="124">
        <f t="shared" si="790"/>
        <v>0.20362922702514777</v>
      </c>
      <c r="CO178" s="124">
        <f t="shared" si="790"/>
        <v>0.22175212951994133</v>
      </c>
      <c r="CP178" s="124">
        <f t="shared" si="790"/>
        <v>0.21306559571619813</v>
      </c>
      <c r="CQ178" s="124">
        <f t="shared" si="790"/>
        <v>0.23081250879084814</v>
      </c>
      <c r="CR178" s="997">
        <f t="shared" si="790"/>
        <v>0.217995081945352</v>
      </c>
      <c r="CS178" s="124">
        <f t="shared" si="790"/>
        <v>0.20768129535469221</v>
      </c>
      <c r="CT178" s="124">
        <f t="shared" si="790"/>
        <v>0.22683720930232559</v>
      </c>
      <c r="CU178" s="124">
        <f t="shared" si="790"/>
        <v>0.22542425727139104</v>
      </c>
      <c r="CV178" s="124">
        <f t="shared" si="790"/>
        <v>0.20461172498465316</v>
      </c>
      <c r="CW178" s="997">
        <f t="shared" si="790"/>
        <v>0.2157701169797944</v>
      </c>
      <c r="CX178" s="124">
        <f t="shared" si="790"/>
        <v>0.21923232323232322</v>
      </c>
      <c r="CY178" s="124">
        <f t="shared" si="790"/>
        <v>0.13548635140330642</v>
      </c>
      <c r="CZ178" s="124">
        <f t="shared" si="790"/>
        <v>0.24240241970329829</v>
      </c>
      <c r="DA178" s="124">
        <f t="shared" si="790"/>
        <v>-9.343192154193608E-2</v>
      </c>
      <c r="DB178" s="997">
        <f t="shared" si="790"/>
        <v>0.11422128005051645</v>
      </c>
      <c r="DC178" s="124">
        <f t="shared" si="790"/>
        <v>0.30183651191164196</v>
      </c>
      <c r="DD178" s="124">
        <f t="shared" si="790"/>
        <v>9.7835073644241669E-2</v>
      </c>
      <c r="DE178" s="124">
        <f t="shared" si="790"/>
        <v>0.2724362774155305</v>
      </c>
      <c r="DF178" s="124">
        <f t="shared" si="790"/>
        <v>0.22782360729198492</v>
      </c>
      <c r="DG178" s="997">
        <f t="shared" si="790"/>
        <v>0.22464716157843576</v>
      </c>
      <c r="DH178" s="124">
        <f t="shared" si="790"/>
        <v>0.18319161231734502</v>
      </c>
      <c r="DI178" s="124">
        <f t="shared" si="790"/>
        <v>0.25541803615447822</v>
      </c>
      <c r="DJ178" s="124">
        <f t="shared" ref="DJ178:EX178" si="791">DJ36/DJ7</f>
        <v>0.17452282772414135</v>
      </c>
      <c r="DK178" s="124">
        <f t="shared" si="791"/>
        <v>0.23160065111231687</v>
      </c>
      <c r="DL178" s="997">
        <f t="shared" si="791"/>
        <v>0.21218112284300339</v>
      </c>
      <c r="DM178" s="124">
        <f t="shared" si="791"/>
        <v>0.16608761145800433</v>
      </c>
      <c r="DN178" s="124">
        <f t="shared" si="791"/>
        <v>0.1817113612032274</v>
      </c>
      <c r="DO178" s="124">
        <f t="shared" si="791"/>
        <v>0.24358391267623936</v>
      </c>
      <c r="DP178" s="124">
        <f t="shared" si="791"/>
        <v>0.26761924847973567</v>
      </c>
      <c r="DQ178" s="997">
        <f t="shared" si="791"/>
        <v>0.22061941520980458</v>
      </c>
      <c r="DR178" s="124">
        <f t="shared" si="791"/>
        <v>0.32414940159814876</v>
      </c>
      <c r="DS178" s="124">
        <f t="shared" si="791"/>
        <v>0.29936974789915966</v>
      </c>
      <c r="DT178" s="124">
        <f t="shared" si="791"/>
        <v>0.29079517184188702</v>
      </c>
      <c r="DU178" s="124">
        <f t="shared" si="791"/>
        <v>0.2740391636242947</v>
      </c>
      <c r="DV178" s="997">
        <f t="shared" si="791"/>
        <v>0.29511677282377918</v>
      </c>
      <c r="DW178" s="124">
        <f t="shared" si="791"/>
        <v>0.24166678919586537</v>
      </c>
      <c r="DX178" s="124">
        <f t="shared" si="791"/>
        <v>0.22963335007533903</v>
      </c>
      <c r="DY178" s="124">
        <f t="shared" si="791"/>
        <v>0.20132576854049672</v>
      </c>
      <c r="DZ178" s="124">
        <f t="shared" si="791"/>
        <v>0.17915001051967178</v>
      </c>
      <c r="EA178" s="997">
        <f t="shared" si="791"/>
        <v>0.21203807153261961</v>
      </c>
      <c r="EB178" s="124">
        <f t="shared" si="791"/>
        <v>0.21567054035851949</v>
      </c>
      <c r="EC178" s="124">
        <f t="shared" si="791"/>
        <v>0.2462066377137955</v>
      </c>
      <c r="ED178" s="124">
        <f t="shared" si="791"/>
        <v>0.25672486406842865</v>
      </c>
      <c r="EE178" s="124">
        <f t="shared" si="791"/>
        <v>0.23968253968253969</v>
      </c>
      <c r="EF178" s="997">
        <f t="shared" si="791"/>
        <v>0.24006649446638517</v>
      </c>
      <c r="EG178" s="124">
        <f t="shared" si="791"/>
        <v>0.29379555246526529</v>
      </c>
      <c r="EH178" s="124">
        <f t="shared" si="791"/>
        <v>0.27871657501593072</v>
      </c>
      <c r="EI178" s="124">
        <f t="shared" si="791"/>
        <v>0.29796755336022113</v>
      </c>
      <c r="EJ178" s="124">
        <f t="shared" si="791"/>
        <v>0.27507282132083882</v>
      </c>
      <c r="EK178" s="997">
        <f t="shared" si="791"/>
        <v>0.28603671811164</v>
      </c>
      <c r="EL178" s="124">
        <f t="shared" si="791"/>
        <v>0.38278254316554733</v>
      </c>
      <c r="EM178" s="124">
        <f t="shared" si="791"/>
        <v>0.29240469573153027</v>
      </c>
      <c r="EN178" s="124">
        <f t="shared" ref="EN178" si="792">EN36/EN7</f>
        <v>0.34177202821800556</v>
      </c>
      <c r="EO178" s="124">
        <f t="shared" ca="1" si="791"/>
        <v>0.28313448506342143</v>
      </c>
      <c r="EP178" s="997">
        <f t="shared" ca="1" si="791"/>
        <v>0.32272749972450709</v>
      </c>
      <c r="EQ178" s="124">
        <f t="shared" ref="EQ178:EU178" ca="1" si="793">EQ36/EQ7</f>
        <v>0.29712177443581089</v>
      </c>
      <c r="ER178" s="124">
        <f t="shared" ca="1" si="793"/>
        <v>0.29302019162444615</v>
      </c>
      <c r="ES178" s="124">
        <f t="shared" ca="1" si="793"/>
        <v>0.28515868605085698</v>
      </c>
      <c r="ET178" s="124">
        <f t="shared" ca="1" si="793"/>
        <v>0.28200136232038769</v>
      </c>
      <c r="EU178" s="997">
        <f t="shared" ca="1" si="793"/>
        <v>0.28888561685108644</v>
      </c>
      <c r="EV178" s="997">
        <f t="shared" ca="1" si="791"/>
        <v>0.28371783598758787</v>
      </c>
      <c r="EW178" s="997">
        <f t="shared" ca="1" si="791"/>
        <v>0.28748721284407708</v>
      </c>
      <c r="EX178" s="997">
        <f t="shared" ca="1" si="791"/>
        <v>0.29416330001677904</v>
      </c>
      <c r="EY178" s="997">
        <f t="shared" ref="EY178" ca="1" si="794">EY36/EY7</f>
        <v>0.30367296525453819</v>
      </c>
      <c r="EZ178" s="127"/>
      <c r="FA178" s="725"/>
      <c r="FB178" s="725"/>
      <c r="FC178" s="725"/>
      <c r="FD178" s="725"/>
      <c r="FE178" s="725"/>
      <c r="FF178" s="725"/>
      <c r="FG178" s="725"/>
      <c r="FH178" s="725"/>
      <c r="FI178" s="725"/>
      <c r="FJ178" s="725"/>
      <c r="FK178" s="725"/>
      <c r="FL178" s="725"/>
    </row>
    <row r="179" spans="1:168" s="312" customFormat="1" ht="11.25" customHeight="1">
      <c r="A179" s="3757" t="s">
        <v>897</v>
      </c>
      <c r="B179" s="3396"/>
      <c r="C179" s="3396"/>
      <c r="D179" s="3396"/>
      <c r="E179" s="3396"/>
      <c r="F179" s="3397"/>
      <c r="G179" s="3396"/>
      <c r="H179" s="3396"/>
      <c r="I179" s="3396"/>
      <c r="J179" s="3396"/>
      <c r="K179" s="3397"/>
      <c r="L179" s="3396"/>
      <c r="M179" s="3396"/>
      <c r="N179" s="3396"/>
      <c r="O179" s="3396"/>
      <c r="P179" s="3397">
        <f t="shared" ref="P179:AU179" si="795">P57/P7</f>
        <v>0.43423275403235151</v>
      </c>
      <c r="Q179" s="3396">
        <f t="shared" si="795"/>
        <v>0.44888258247605523</v>
      </c>
      <c r="R179" s="3396">
        <f t="shared" si="795"/>
        <v>0.44357847819165885</v>
      </c>
      <c r="S179" s="3396">
        <f t="shared" si="795"/>
        <v>0.48242562334176947</v>
      </c>
      <c r="T179" s="3396">
        <f t="shared" si="795"/>
        <v>0.48529889149650629</v>
      </c>
      <c r="U179" s="3397">
        <f t="shared" si="795"/>
        <v>0.53943045405316847</v>
      </c>
      <c r="V179" s="3396">
        <f t="shared" si="795"/>
        <v>0.53020296197379113</v>
      </c>
      <c r="W179" s="3396">
        <f t="shared" si="795"/>
        <v>0.48517508089678946</v>
      </c>
      <c r="X179" s="3396">
        <f t="shared" si="795"/>
        <v>0.42243528235120908</v>
      </c>
      <c r="Y179" s="3396">
        <f t="shared" si="795"/>
        <v>0.36954751793820462</v>
      </c>
      <c r="Z179" s="3397">
        <f t="shared" si="795"/>
        <v>0.43555303308334481</v>
      </c>
      <c r="AA179" s="3396">
        <f t="shared" si="795"/>
        <v>0.39205338055900429</v>
      </c>
      <c r="AB179" s="3396">
        <f t="shared" si="795"/>
        <v>0.39656703969654894</v>
      </c>
      <c r="AC179" s="3396">
        <f t="shared" si="795"/>
        <v>0.3988387950171674</v>
      </c>
      <c r="AD179" s="3396">
        <f t="shared" si="795"/>
        <v>0.41219930954986955</v>
      </c>
      <c r="AE179" s="3397">
        <f t="shared" si="795"/>
        <v>0.40127485597589135</v>
      </c>
      <c r="AF179" s="3396">
        <f t="shared" si="795"/>
        <v>0.43602389464201019</v>
      </c>
      <c r="AG179" s="3396">
        <f t="shared" si="795"/>
        <v>0.42612288235060425</v>
      </c>
      <c r="AH179" s="3396">
        <f t="shared" si="795"/>
        <v>0.42589530528567154</v>
      </c>
      <c r="AI179" s="3396">
        <f t="shared" si="795"/>
        <v>0.42402687102709452</v>
      </c>
      <c r="AJ179" s="3397">
        <f t="shared" si="795"/>
        <v>0.42743575040400356</v>
      </c>
      <c r="AK179" s="3396">
        <f t="shared" si="795"/>
        <v>0.44482252951185919</v>
      </c>
      <c r="AL179" s="3396">
        <f t="shared" si="795"/>
        <v>0.42782811500530743</v>
      </c>
      <c r="AM179" s="3396">
        <f t="shared" si="795"/>
        <v>0.43994232756175178</v>
      </c>
      <c r="AN179" s="3396">
        <f t="shared" si="795"/>
        <v>0.43184272771344734</v>
      </c>
      <c r="AO179" s="3397">
        <f t="shared" si="795"/>
        <v>0.43572571100745061</v>
      </c>
      <c r="AP179" s="3396">
        <f t="shared" si="795"/>
        <v>0.43943229900018316</v>
      </c>
      <c r="AQ179" s="3396">
        <f t="shared" si="795"/>
        <v>0.40629129503342598</v>
      </c>
      <c r="AR179" s="3396">
        <f t="shared" si="795"/>
        <v>0.41629919144027522</v>
      </c>
      <c r="AS179" s="3396">
        <f t="shared" si="795"/>
        <v>0.40938500364329178</v>
      </c>
      <c r="AT179" s="3397">
        <f t="shared" si="795"/>
        <v>0.41706067487341497</v>
      </c>
      <c r="AU179" s="3396">
        <f t="shared" si="795"/>
        <v>0.41718473988742477</v>
      </c>
      <c r="AV179" s="3396">
        <f t="shared" ref="AV179:BN179" si="796">AV57/AV7</f>
        <v>0.41778636655306334</v>
      </c>
      <c r="AW179" s="3396">
        <f t="shared" si="796"/>
        <v>0.43471936919809484</v>
      </c>
      <c r="AX179" s="3396">
        <f t="shared" si="796"/>
        <v>0.44412009042776385</v>
      </c>
      <c r="AY179" s="3397">
        <f t="shared" si="796"/>
        <v>0.42883625327188341</v>
      </c>
      <c r="AZ179" s="3396">
        <f t="shared" si="796"/>
        <v>0.46547479665056568</v>
      </c>
      <c r="BA179" s="3396">
        <f t="shared" si="796"/>
        <v>0.46061351497230529</v>
      </c>
      <c r="BB179" s="3396">
        <f t="shared" si="796"/>
        <v>0.46592723686430493</v>
      </c>
      <c r="BC179" s="3396">
        <f t="shared" si="796"/>
        <v>0.46786707772529251</v>
      </c>
      <c r="BD179" s="3397">
        <f t="shared" si="796"/>
        <v>0.46512837770500431</v>
      </c>
      <c r="BE179" s="3398">
        <f t="shared" si="796"/>
        <v>0.45904059040590406</v>
      </c>
      <c r="BF179" s="3396">
        <f t="shared" si="796"/>
        <v>0.44222873900293252</v>
      </c>
      <c r="BG179" s="3396">
        <f t="shared" si="796"/>
        <v>0.44866867965962121</v>
      </c>
      <c r="BH179" s="3396">
        <f t="shared" si="796"/>
        <v>0.44537914691943126</v>
      </c>
      <c r="BI179" s="3397">
        <f t="shared" si="796"/>
        <v>0.44862044268612938</v>
      </c>
      <c r="BJ179" s="3396">
        <f t="shared" si="796"/>
        <v>0.42320699708454812</v>
      </c>
      <c r="BK179" s="3396">
        <f t="shared" si="796"/>
        <v>0.41779304232218034</v>
      </c>
      <c r="BL179" s="3396">
        <f t="shared" si="796"/>
        <v>0.42397119341563788</v>
      </c>
      <c r="BM179" s="3396">
        <f t="shared" si="796"/>
        <v>0.42951625094482238</v>
      </c>
      <c r="BN179" s="3397">
        <f t="shared" si="796"/>
        <v>0.42387547816910698</v>
      </c>
      <c r="BO179" s="3396">
        <v>0.41860028182245185</v>
      </c>
      <c r="BP179" s="3396">
        <v>0.37825446209268054</v>
      </c>
      <c r="BQ179" s="3396">
        <v>0.32820367349833346</v>
      </c>
      <c r="BR179" s="3399">
        <v>0.3623690963312296</v>
      </c>
      <c r="BS179" s="3400">
        <v>0.36841900387317777</v>
      </c>
      <c r="BT179" s="3396">
        <f>BT57/BT7</f>
        <v>0.41860028182245185</v>
      </c>
      <c r="BU179" s="3396">
        <f>BU57/BU7</f>
        <v>0.42484494709959869</v>
      </c>
      <c r="BV179" s="3396">
        <f>BV57/BV7</f>
        <v>0.41462779802186361</v>
      </c>
      <c r="BW179" s="3396">
        <f>BW57/BW7</f>
        <v>0.41666020922123209</v>
      </c>
      <c r="BX179" s="3397">
        <f>BX57/BX7</f>
        <v>0.41855817893525055</v>
      </c>
      <c r="BY179" s="3396">
        <v>0.35571622879232584</v>
      </c>
      <c r="BZ179" s="3396">
        <v>0.34994682736618221</v>
      </c>
      <c r="CA179" s="3396">
        <v>0.35614046867655946</v>
      </c>
      <c r="CB179" s="3396">
        <v>0.34849922885277018</v>
      </c>
      <c r="CC179" s="3397">
        <v>0.3529707197026769</v>
      </c>
      <c r="CD179" s="3396">
        <f t="shared" ref="CD179:DI179" si="797">CD57/CD7</f>
        <v>0.40938923635240521</v>
      </c>
      <c r="CE179" s="3396">
        <f t="shared" si="797"/>
        <v>0.39963378347447931</v>
      </c>
      <c r="CF179" s="3396">
        <f t="shared" si="797"/>
        <v>0.40649992729387813</v>
      </c>
      <c r="CG179" s="3396">
        <f t="shared" si="797"/>
        <v>0.40351435665626789</v>
      </c>
      <c r="CH179" s="3400">
        <f t="shared" si="797"/>
        <v>0.40470829806012354</v>
      </c>
      <c r="CI179" s="3396">
        <f t="shared" si="797"/>
        <v>0.39169909208819714</v>
      </c>
      <c r="CJ179" s="3396">
        <f t="shared" si="797"/>
        <v>0.38965841429019116</v>
      </c>
      <c r="CK179" s="3396">
        <f t="shared" si="797"/>
        <v>0.39496459480723839</v>
      </c>
      <c r="CL179" s="3396">
        <f t="shared" si="797"/>
        <v>0.37932939291830081</v>
      </c>
      <c r="CM179" s="3397">
        <f t="shared" si="797"/>
        <v>0.38863047529582884</v>
      </c>
      <c r="CN179" s="3396">
        <f t="shared" si="797"/>
        <v>0.39558465639123885</v>
      </c>
      <c r="CO179" s="3396">
        <f t="shared" si="797"/>
        <v>0.40565239465222541</v>
      </c>
      <c r="CP179" s="3396">
        <f t="shared" si="797"/>
        <v>0.39560910307898262</v>
      </c>
      <c r="CQ179" s="3396">
        <f t="shared" si="797"/>
        <v>0.38539078250269587</v>
      </c>
      <c r="CR179" s="3397">
        <f t="shared" si="797"/>
        <v>0.39507127712064438</v>
      </c>
      <c r="CS179" s="3396">
        <f t="shared" si="797"/>
        <v>0.40514390087377206</v>
      </c>
      <c r="CT179" s="3396">
        <f t="shared" si="797"/>
        <v>0.41679069767441862</v>
      </c>
      <c r="CU179" s="3396">
        <f t="shared" si="797"/>
        <v>0.41080575475479936</v>
      </c>
      <c r="CV179" s="3396">
        <f t="shared" si="797"/>
        <v>0.39027010435850212</v>
      </c>
      <c r="CW179" s="3397">
        <f t="shared" si="797"/>
        <v>0.40503146047500888</v>
      </c>
      <c r="CX179" s="3396">
        <f t="shared" si="797"/>
        <v>0.40727272727272729</v>
      </c>
      <c r="CY179" s="3396">
        <f t="shared" si="797"/>
        <v>0.40353710111495578</v>
      </c>
      <c r="CZ179" s="3396">
        <f t="shared" si="797"/>
        <v>0.40915310384559989</v>
      </c>
      <c r="DA179" s="3396">
        <f t="shared" si="797"/>
        <v>0.35692850292361478</v>
      </c>
      <c r="DB179" s="3397">
        <f t="shared" si="797"/>
        <v>0.39218799332461324</v>
      </c>
      <c r="DC179" s="3396">
        <f t="shared" si="797"/>
        <v>0.38772233994734479</v>
      </c>
      <c r="DD179" s="3396">
        <f t="shared" si="797"/>
        <v>0.38714517561319167</v>
      </c>
      <c r="DE179" s="3396">
        <f t="shared" si="797"/>
        <v>0.39152341434499111</v>
      </c>
      <c r="DF179" s="3396">
        <f t="shared" si="797"/>
        <v>0.33236582136673798</v>
      </c>
      <c r="DG179" s="3397">
        <f t="shared" si="797"/>
        <v>0.37263099423325707</v>
      </c>
      <c r="DH179" s="3396">
        <f t="shared" si="797"/>
        <v>0.37664767880238864</v>
      </c>
      <c r="DI179" s="3396">
        <f t="shared" si="797"/>
        <v>0.37928820870994251</v>
      </c>
      <c r="DJ179" s="3396">
        <f t="shared" ref="DJ179:EX179" si="798">DJ57/DJ7</f>
        <v>0.36349045655448281</v>
      </c>
      <c r="DK179" s="3396">
        <f t="shared" si="798"/>
        <v>0.33258817145957675</v>
      </c>
      <c r="DL179" s="3397">
        <f t="shared" si="798"/>
        <v>0.36144868618595427</v>
      </c>
      <c r="DM179" s="3396">
        <f t="shared" si="798"/>
        <v>0.34685002065161935</v>
      </c>
      <c r="DN179" s="3396">
        <f t="shared" si="798"/>
        <v>0.3433950439982244</v>
      </c>
      <c r="DO179" s="3396">
        <f t="shared" si="798"/>
        <v>0.38736924176466764</v>
      </c>
      <c r="DP179" s="3396">
        <f t="shared" si="798"/>
        <v>0.39718443530528313</v>
      </c>
      <c r="DQ179" s="3397">
        <f t="shared" si="798"/>
        <v>0.37206550263796589</v>
      </c>
      <c r="DR179" s="3396">
        <f t="shared" si="798"/>
        <v>0.41463282351665037</v>
      </c>
      <c r="DS179" s="3396">
        <f t="shared" si="798"/>
        <v>0.42192954104718811</v>
      </c>
      <c r="DT179" s="3396">
        <f t="shared" si="798"/>
        <v>0.43319819404772875</v>
      </c>
      <c r="DU179" s="3396">
        <f t="shared" si="798"/>
        <v>0.38868901427149022</v>
      </c>
      <c r="DV179" s="3397">
        <f t="shared" si="798"/>
        <v>0.41349262722357427</v>
      </c>
      <c r="DW179" s="3396">
        <f t="shared" si="798"/>
        <v>0.41728543912014232</v>
      </c>
      <c r="DX179" s="3396">
        <f t="shared" si="798"/>
        <v>0.40373107555427995</v>
      </c>
      <c r="DY179" s="3396">
        <f t="shared" si="798"/>
        <v>0.37858218028136398</v>
      </c>
      <c r="DZ179" s="3396">
        <f t="shared" si="798"/>
        <v>0.36110088365243004</v>
      </c>
      <c r="EA179" s="3397">
        <f t="shared" si="798"/>
        <v>0.38938466107567637</v>
      </c>
      <c r="EB179" s="3396">
        <f t="shared" si="798"/>
        <v>0.37091435367618608</v>
      </c>
      <c r="EC179" s="3396">
        <f t="shared" si="798"/>
        <v>0.41564795453326897</v>
      </c>
      <c r="ED179" s="3396">
        <f t="shared" si="798"/>
        <v>0.40272254312649136</v>
      </c>
      <c r="EE179" s="3396">
        <f t="shared" si="798"/>
        <v>0.37854246321399604</v>
      </c>
      <c r="EF179" s="3397">
        <f t="shared" si="798"/>
        <v>0.39184889750613222</v>
      </c>
      <c r="EG179" s="3396">
        <f t="shared" si="798"/>
        <v>0.42400576118402267</v>
      </c>
      <c r="EH179" s="3396">
        <f t="shared" si="798"/>
        <v>0.43659578485284745</v>
      </c>
      <c r="EI179" s="3396">
        <f t="shared" si="798"/>
        <v>0.43449494720623555</v>
      </c>
      <c r="EJ179" s="3396">
        <f t="shared" si="798"/>
        <v>0.42487223875027214</v>
      </c>
      <c r="EK179" s="3397">
        <f t="shared" si="798"/>
        <v>0.42993788890857043</v>
      </c>
      <c r="EL179" s="3396">
        <f t="shared" si="798"/>
        <v>0.45004100449941264</v>
      </c>
      <c r="EM179" s="3396">
        <f t="shared" si="798"/>
        <v>0.4383270419380263</v>
      </c>
      <c r="EN179" s="3396">
        <f t="shared" ref="EN179" si="799">EN57/EN7</f>
        <v>0.45594356398882224</v>
      </c>
      <c r="EO179" s="3396">
        <f t="shared" si="798"/>
        <v>0.44810132778404221</v>
      </c>
      <c r="EP179" s="3397">
        <f t="shared" si="798"/>
        <v>0.44818888187825717</v>
      </c>
      <c r="EQ179" s="3396">
        <f t="shared" ref="EQ179:EU179" si="800">EQ57/EQ7</f>
        <v>0.48079080653161743</v>
      </c>
      <c r="ER179" s="3396">
        <f t="shared" si="800"/>
        <v>0.48602481435175537</v>
      </c>
      <c r="ES179" s="3396">
        <f t="shared" si="800"/>
        <v>0.48150985433871868</v>
      </c>
      <c r="ET179" s="3396">
        <f t="shared" si="800"/>
        <v>0.47511069757368068</v>
      </c>
      <c r="EU179" s="3397">
        <f t="shared" si="800"/>
        <v>0.48064942804520183</v>
      </c>
      <c r="EV179" s="3397">
        <f t="shared" si="798"/>
        <v>0.49027116235152701</v>
      </c>
      <c r="EW179" s="3397">
        <f t="shared" si="798"/>
        <v>0.49433674338079298</v>
      </c>
      <c r="EX179" s="3397">
        <f t="shared" si="798"/>
        <v>0.49864855816548137</v>
      </c>
      <c r="EY179" s="3397">
        <f t="shared" ref="EY179" si="801">EY57/EY7</f>
        <v>0.50560895129734817</v>
      </c>
      <c r="EZ179" s="626"/>
      <c r="FA179" s="4290"/>
      <c r="FB179" s="4290"/>
      <c r="FC179" s="4290"/>
      <c r="FD179" s="4290"/>
      <c r="FE179" s="4290"/>
      <c r="FF179" s="4290"/>
      <c r="FG179" s="4290"/>
      <c r="FH179" s="4290"/>
      <c r="FI179" s="4290"/>
      <c r="FJ179" s="4290"/>
      <c r="FK179" s="4290"/>
      <c r="FL179" s="4290"/>
    </row>
    <row r="180" spans="1:168" s="311" customFormat="1" ht="11.25" hidden="1" customHeight="1" outlineLevel="1">
      <c r="A180" s="3765" t="s">
        <v>734</v>
      </c>
      <c r="B180" s="209"/>
      <c r="C180" s="209"/>
      <c r="D180" s="209"/>
      <c r="E180" s="209"/>
      <c r="F180" s="1019"/>
      <c r="G180" s="209"/>
      <c r="H180" s="209"/>
      <c r="I180" s="209"/>
      <c r="J180" s="209"/>
      <c r="K180" s="1019"/>
      <c r="L180" s="209"/>
      <c r="M180" s="209"/>
      <c r="N180" s="209"/>
      <c r="O180" s="209"/>
      <c r="P180" s="2890" t="s">
        <v>116</v>
      </c>
      <c r="Q180" s="2891" t="s">
        <v>116</v>
      </c>
      <c r="R180" s="2891" t="s">
        <v>116</v>
      </c>
      <c r="S180" s="2891" t="s">
        <v>116</v>
      </c>
      <c r="T180" s="2891" t="s">
        <v>116</v>
      </c>
      <c r="U180" s="2890">
        <f t="shared" ref="U180:BN180" si="802">(U179-P179)*10000</f>
        <v>1051.9770002081696</v>
      </c>
      <c r="V180" s="2891">
        <f t="shared" si="802"/>
        <v>813.20379497735905</v>
      </c>
      <c r="W180" s="2891">
        <f t="shared" si="802"/>
        <v>415.96602705130601</v>
      </c>
      <c r="X180" s="2891">
        <f t="shared" si="802"/>
        <v>-599.90340990560389</v>
      </c>
      <c r="Y180" s="2891">
        <f t="shared" si="802"/>
        <v>-1157.5137355830168</v>
      </c>
      <c r="Z180" s="2890">
        <f t="shared" si="802"/>
        <v>-1038.7742096982367</v>
      </c>
      <c r="AA180" s="2891">
        <f t="shared" si="802"/>
        <v>-1381.4958141478683</v>
      </c>
      <c r="AB180" s="2891">
        <f t="shared" si="802"/>
        <v>-886.08041200240518</v>
      </c>
      <c r="AC180" s="2891">
        <f t="shared" si="802"/>
        <v>-235.96487334041683</v>
      </c>
      <c r="AD180" s="2891">
        <f t="shared" si="802"/>
        <v>426.51791611664936</v>
      </c>
      <c r="AE180" s="2890">
        <f t="shared" si="802"/>
        <v>-342.78177107453456</v>
      </c>
      <c r="AF180" s="2891">
        <f t="shared" si="802"/>
        <v>439.70514083005895</v>
      </c>
      <c r="AG180" s="2891">
        <f t="shared" si="802"/>
        <v>295.55842654055311</v>
      </c>
      <c r="AH180" s="2891">
        <f t="shared" si="802"/>
        <v>270.56510268504144</v>
      </c>
      <c r="AI180" s="2891">
        <f t="shared" si="802"/>
        <v>118.27561477224968</v>
      </c>
      <c r="AJ180" s="2890">
        <f t="shared" si="802"/>
        <v>261.60894428112204</v>
      </c>
      <c r="AK180" s="2891">
        <f t="shared" si="802"/>
        <v>87.986348698489977</v>
      </c>
      <c r="AL180" s="2891">
        <f t="shared" si="802"/>
        <v>17.052326547031814</v>
      </c>
      <c r="AM180" s="2891">
        <f t="shared" si="802"/>
        <v>140.47022276080236</v>
      </c>
      <c r="AN180" s="2891">
        <f t="shared" si="802"/>
        <v>78.158566863528179</v>
      </c>
      <c r="AO180" s="2890">
        <f t="shared" si="802"/>
        <v>82.899606034470551</v>
      </c>
      <c r="AP180" s="2891">
        <f t="shared" si="802"/>
        <v>-53.90230511676031</v>
      </c>
      <c r="AQ180" s="2891">
        <f t="shared" si="802"/>
        <v>-215.36819971881448</v>
      </c>
      <c r="AR180" s="2891">
        <f t="shared" si="802"/>
        <v>-236.43136121476559</v>
      </c>
      <c r="AS180" s="2891">
        <f t="shared" si="802"/>
        <v>-224.57724070155561</v>
      </c>
      <c r="AT180" s="2890">
        <f t="shared" si="802"/>
        <v>-186.6503613403564</v>
      </c>
      <c r="AU180" s="2891">
        <f t="shared" si="802"/>
        <v>-222.47559112758387</v>
      </c>
      <c r="AV180" s="2891">
        <f t="shared" si="802"/>
        <v>114.95071519637357</v>
      </c>
      <c r="AW180" s="2891">
        <f t="shared" si="802"/>
        <v>184.20177757819621</v>
      </c>
      <c r="AX180" s="2891">
        <f t="shared" si="802"/>
        <v>347.35086784472071</v>
      </c>
      <c r="AY180" s="2890">
        <f t="shared" si="802"/>
        <v>117.75578398468434</v>
      </c>
      <c r="AZ180" s="2891">
        <f t="shared" si="802"/>
        <v>482.9005676314091</v>
      </c>
      <c r="BA180" s="2891">
        <f t="shared" si="802"/>
        <v>428.27148419241956</v>
      </c>
      <c r="BB180" s="2891">
        <f t="shared" si="802"/>
        <v>312.07867666210086</v>
      </c>
      <c r="BC180" s="2891">
        <f t="shared" si="802"/>
        <v>237.46987297528665</v>
      </c>
      <c r="BD180" s="2890">
        <f t="shared" si="802"/>
        <v>362.9212443312091</v>
      </c>
      <c r="BE180" s="2892">
        <f t="shared" si="802"/>
        <v>-64.342062446616225</v>
      </c>
      <c r="BF180" s="2891">
        <f t="shared" si="802"/>
        <v>-183.84775969372768</v>
      </c>
      <c r="BG180" s="2891">
        <f t="shared" si="802"/>
        <v>-172.58557204683723</v>
      </c>
      <c r="BH180" s="2891">
        <f t="shared" si="802"/>
        <v>-224.87930805861257</v>
      </c>
      <c r="BI180" s="2890">
        <f t="shared" si="802"/>
        <v>-165.07935018874932</v>
      </c>
      <c r="BJ180" s="2891">
        <f t="shared" si="802"/>
        <v>-358.33593321355937</v>
      </c>
      <c r="BK180" s="2891">
        <f t="shared" si="802"/>
        <v>-244.35696680752184</v>
      </c>
      <c r="BL180" s="2891">
        <f t="shared" si="802"/>
        <v>-246.97486243983323</v>
      </c>
      <c r="BM180" s="2891">
        <f t="shared" si="802"/>
        <v>-158.62895974608881</v>
      </c>
      <c r="BN180" s="2890">
        <f t="shared" si="802"/>
        <v>-247.44964517022404</v>
      </c>
      <c r="BO180" s="2891">
        <v>-73.910139803692317</v>
      </c>
      <c r="BP180" s="2891">
        <v>-647.08175120074429</v>
      </c>
      <c r="BQ180" s="2891">
        <v>-1402.9798881989602</v>
      </c>
      <c r="BR180" s="2893">
        <v>-980.8960342866219</v>
      </c>
      <c r="BS180" s="2894">
        <v>-838.68155981038365</v>
      </c>
      <c r="BT180" s="2891">
        <f>(BT179-BJ179)*10000</f>
        <v>-46.067152620962723</v>
      </c>
      <c r="BU180" s="2891">
        <f>(BU179-BK179)*10000</f>
        <v>70.519047774183491</v>
      </c>
      <c r="BV180" s="2891">
        <f>(BV179-BL179)*10000</f>
        <v>-93.433953937742672</v>
      </c>
      <c r="BW180" s="2891">
        <f>(BW179-BM179)*10000</f>
        <v>-128.56041723590283</v>
      </c>
      <c r="BX180" s="2890">
        <f>(BX179-BN179)*10000</f>
        <v>-53.17299233856432</v>
      </c>
      <c r="BY180" s="2891">
        <v>-963.16614520714324</v>
      </c>
      <c r="BZ180" s="2891">
        <v>-355.43789780665304</v>
      </c>
      <c r="CA180" s="2891">
        <v>364.92085531369065</v>
      </c>
      <c r="CB180" s="2891">
        <v>-271.55670067847359</v>
      </c>
      <c r="CC180" s="2890">
        <v>-250.80202387558427</v>
      </c>
      <c r="CD180" s="2891">
        <f>(CD179-BT179)*10000</f>
        <v>-92.11045470046642</v>
      </c>
      <c r="CE180" s="2891">
        <f>(CE179-BU179)*10000</f>
        <v>-252.11163625119383</v>
      </c>
      <c r="CF180" s="2891">
        <f>(CF179-BV179)*10000</f>
        <v>-81.278707279854871</v>
      </c>
      <c r="CG180" s="2891">
        <f>(CG179-BW179)*10000</f>
        <v>-131.45852564964201</v>
      </c>
      <c r="CH180" s="2890">
        <f>(CH179-BX179)*10000</f>
        <v>-138.49880875127008</v>
      </c>
      <c r="CI180" s="2891">
        <f t="shared" ref="CI180:DB180" si="803">(CI179-CD179)*10000</f>
        <v>-176.90144264208064</v>
      </c>
      <c r="CJ180" s="2891">
        <f t="shared" si="803"/>
        <v>-99.753691842881523</v>
      </c>
      <c r="CK180" s="2891">
        <f t="shared" si="803"/>
        <v>-115.35332486639737</v>
      </c>
      <c r="CL180" s="2891">
        <f t="shared" si="803"/>
        <v>-241.84963737967081</v>
      </c>
      <c r="CM180" s="2890">
        <f t="shared" si="803"/>
        <v>-160.77822764294703</v>
      </c>
      <c r="CN180" s="2891">
        <f t="shared" si="803"/>
        <v>38.855643030417106</v>
      </c>
      <c r="CO180" s="2891">
        <f t="shared" si="803"/>
        <v>159.93980362034256</v>
      </c>
      <c r="CP180" s="2891">
        <f t="shared" si="803"/>
        <v>6.4450827174422631</v>
      </c>
      <c r="CQ180" s="2891">
        <f t="shared" si="803"/>
        <v>60.613895843950601</v>
      </c>
      <c r="CR180" s="2890">
        <f t="shared" si="803"/>
        <v>64.408018248155457</v>
      </c>
      <c r="CS180" s="2891">
        <f t="shared" si="803"/>
        <v>95.592444825332024</v>
      </c>
      <c r="CT180" s="2891">
        <f t="shared" si="803"/>
        <v>111.38303022193207</v>
      </c>
      <c r="CU180" s="2891">
        <f t="shared" si="803"/>
        <v>151.96651675816742</v>
      </c>
      <c r="CV180" s="2891">
        <f t="shared" si="803"/>
        <v>48.793218558062513</v>
      </c>
      <c r="CW180" s="2890">
        <f t="shared" si="803"/>
        <v>99.601833543644929</v>
      </c>
      <c r="CX180" s="2891">
        <f t="shared" si="803"/>
        <v>21.288263989552302</v>
      </c>
      <c r="CY180" s="2891">
        <f t="shared" si="803"/>
        <v>-132.53596559462844</v>
      </c>
      <c r="CZ180" s="2891">
        <f t="shared" si="803"/>
        <v>-16.526509091994711</v>
      </c>
      <c r="DA180" s="2891">
        <f t="shared" si="803"/>
        <v>-333.41601434887349</v>
      </c>
      <c r="DB180" s="2890">
        <f t="shared" si="803"/>
        <v>-128.43467150395637</v>
      </c>
      <c r="DC180" s="2891">
        <f t="shared" ref="DC180:DQ180" si="804">(DC179-CX179)*10000</f>
        <v>-195.50387325382502</v>
      </c>
      <c r="DD180" s="2891">
        <f t="shared" si="804"/>
        <v>-163.91925501764104</v>
      </c>
      <c r="DE180" s="2891">
        <f t="shared" si="804"/>
        <v>-176.29689500608779</v>
      </c>
      <c r="DF180" s="2891">
        <f t="shared" si="804"/>
        <v>-245.62681556876797</v>
      </c>
      <c r="DG180" s="2890">
        <f t="shared" si="804"/>
        <v>-195.56999091356164</v>
      </c>
      <c r="DH180" s="2891">
        <f t="shared" si="804"/>
        <v>-110.74661144956144</v>
      </c>
      <c r="DI180" s="2891">
        <f t="shared" si="804"/>
        <v>-78.569669032491632</v>
      </c>
      <c r="DJ180" s="2891">
        <f t="shared" si="804"/>
        <v>-280.32957790508294</v>
      </c>
      <c r="DK180" s="2891">
        <f t="shared" si="804"/>
        <v>2.2235009283877449</v>
      </c>
      <c r="DL180" s="2890">
        <f t="shared" si="804"/>
        <v>-111.82308047302803</v>
      </c>
      <c r="DM180" s="2891">
        <f t="shared" si="804"/>
        <v>-297.97658150769291</v>
      </c>
      <c r="DN180" s="2891">
        <f t="shared" si="804"/>
        <v>-358.93164711718106</v>
      </c>
      <c r="DO180" s="2891">
        <f t="shared" si="804"/>
        <v>238.78785210184827</v>
      </c>
      <c r="DP180" s="2891">
        <f t="shared" si="804"/>
        <v>645.9626384570638</v>
      </c>
      <c r="DQ180" s="2890">
        <f t="shared" si="804"/>
        <v>106.16816452011624</v>
      </c>
      <c r="DR180" s="2891">
        <f t="shared" ref="DR180:EN180" si="805">(DR179-DM179)*10000</f>
        <v>677.82802865031022</v>
      </c>
      <c r="DS180" s="2891">
        <f t="shared" si="805"/>
        <v>785.34497048963703</v>
      </c>
      <c r="DT180" s="2891">
        <f t="shared" si="805"/>
        <v>458.28952283061108</v>
      </c>
      <c r="DU180" s="2891">
        <f t="shared" si="805"/>
        <v>-84.954210337929155</v>
      </c>
      <c r="DV180" s="2890">
        <f t="shared" si="805"/>
        <v>414.27124585608379</v>
      </c>
      <c r="DW180" s="2891">
        <f t="shared" si="805"/>
        <v>26.526156034919481</v>
      </c>
      <c r="DX180" s="2891">
        <f t="shared" si="805"/>
        <v>-181.98465492908156</v>
      </c>
      <c r="DY180" s="2891">
        <f t="shared" si="805"/>
        <v>-546.16013766364767</v>
      </c>
      <c r="DZ180" s="2891">
        <f t="shared" si="805"/>
        <v>-275.88130619060178</v>
      </c>
      <c r="EA180" s="2890">
        <f t="shared" si="805"/>
        <v>-241.07966147897898</v>
      </c>
      <c r="EB180" s="2891">
        <f t="shared" si="805"/>
        <v>-463.71085443956241</v>
      </c>
      <c r="EC180" s="2891">
        <f t="shared" si="805"/>
        <v>119.16878978989021</v>
      </c>
      <c r="ED180" s="2891">
        <f t="shared" si="805"/>
        <v>241.40362845127385</v>
      </c>
      <c r="EE180" s="2891">
        <f t="shared" si="805"/>
        <v>174.41579561566002</v>
      </c>
      <c r="EF180" s="2890">
        <f t="shared" ref="EF180:EK180" si="806">(EF179-EA179)*10000</f>
        <v>24.642364304558463</v>
      </c>
      <c r="EG180" s="2891">
        <f t="shared" si="805"/>
        <v>530.91407507836584</v>
      </c>
      <c r="EH180" s="2891">
        <f t="shared" si="805"/>
        <v>209.47830319578475</v>
      </c>
      <c r="EI180" s="2891">
        <f t="shared" si="805"/>
        <v>317.72404079744189</v>
      </c>
      <c r="EJ180" s="2891">
        <f t="shared" si="805"/>
        <v>463.29775536276094</v>
      </c>
      <c r="EK180" s="2890">
        <f t="shared" si="806"/>
        <v>380.88991402438211</v>
      </c>
      <c r="EL180" s="2891">
        <f t="shared" si="805"/>
        <v>260.35243315389977</v>
      </c>
      <c r="EM180" s="2891">
        <f t="shared" si="805"/>
        <v>17.3125708517885</v>
      </c>
      <c r="EN180" s="2891">
        <f t="shared" si="805"/>
        <v>214.48616782586694</v>
      </c>
      <c r="EO180" s="2891">
        <f t="shared" ref="EO180:EP180" si="807">(EO179-EJ179)*10000</f>
        <v>232.29089033770077</v>
      </c>
      <c r="EP180" s="2890">
        <f t="shared" si="807"/>
        <v>182.5099296968674</v>
      </c>
      <c r="EQ180" s="2891">
        <f t="shared" ref="EQ180" si="808">(EQ179-EL179)*10000</f>
        <v>307.49802032204786</v>
      </c>
      <c r="ER180" s="2891">
        <f t="shared" ref="ER180" si="809">(ER179-EM179)*10000</f>
        <v>476.97772413729081</v>
      </c>
      <c r="ES180" s="2891">
        <f t="shared" ref="ES180" si="810">(ES179-EN179)*10000</f>
        <v>255.66290349896437</v>
      </c>
      <c r="ET180" s="2891">
        <f t="shared" ref="ET180:EU180" si="811">(ET179-EO179)*10000</f>
        <v>270.0936978963847</v>
      </c>
      <c r="EU180" s="2890">
        <f t="shared" si="811"/>
        <v>324.60546166944658</v>
      </c>
      <c r="EV180" s="2890">
        <f>(EV179-EU179)*10000</f>
        <v>96.217343063251803</v>
      </c>
      <c r="EW180" s="2890">
        <f>(EW179-EV179)*10000</f>
        <v>40.655810292659631</v>
      </c>
      <c r="EX180" s="2890">
        <f>(EX179-EW179)*10000</f>
        <v>43.11814784688395</v>
      </c>
      <c r="EY180" s="2890">
        <f>(EY179-EX179)*10000</f>
        <v>69.603931318668046</v>
      </c>
      <c r="EZ180" s="226"/>
      <c r="FA180" s="4287"/>
      <c r="FB180" s="4287"/>
      <c r="FC180" s="4287"/>
      <c r="FD180" s="4287"/>
      <c r="FE180" s="4287"/>
      <c r="FF180" s="4287"/>
      <c r="FG180" s="4287"/>
      <c r="FH180" s="4287"/>
      <c r="FI180" s="4287"/>
      <c r="FJ180" s="4287"/>
      <c r="FK180" s="4287"/>
      <c r="FL180" s="4287"/>
    </row>
    <row r="181" spans="1:168" s="311" customFormat="1" ht="11.25" hidden="1" customHeight="1" outlineLevel="1">
      <c r="A181" s="3765" t="s">
        <v>735</v>
      </c>
      <c r="B181" s="209"/>
      <c r="C181" s="209"/>
      <c r="D181" s="209"/>
      <c r="E181" s="209"/>
      <c r="F181" s="1019"/>
      <c r="G181" s="209"/>
      <c r="H181" s="209"/>
      <c r="I181" s="209"/>
      <c r="J181" s="209"/>
      <c r="K181" s="1019"/>
      <c r="L181" s="209"/>
      <c r="M181" s="209"/>
      <c r="N181" s="209"/>
      <c r="O181" s="209"/>
      <c r="P181" s="2890" t="s">
        <v>116</v>
      </c>
      <c r="Q181" s="2891" t="s">
        <v>116</v>
      </c>
      <c r="R181" s="2891">
        <f>(R179-Q179)*10000</f>
        <v>-53.041042843963716</v>
      </c>
      <c r="S181" s="2891">
        <f>(S179-R179)*10000</f>
        <v>388.47145150110617</v>
      </c>
      <c r="T181" s="2891">
        <f>(T179-S179)*10000</f>
        <v>28.732681547368188</v>
      </c>
      <c r="U181" s="2890" t="s">
        <v>116</v>
      </c>
      <c r="V181" s="2891">
        <f>(V179-T179)*10000</f>
        <v>449.04070477284841</v>
      </c>
      <c r="W181" s="2891">
        <f>(W179-V179)*10000</f>
        <v>-450.27881077001672</v>
      </c>
      <c r="X181" s="2891">
        <f>(X179-W179)*10000</f>
        <v>-627.39798545580368</v>
      </c>
      <c r="Y181" s="2891">
        <f>(Y179-X179)*10000</f>
        <v>-528.8776441300447</v>
      </c>
      <c r="Z181" s="2890" t="s">
        <v>116</v>
      </c>
      <c r="AA181" s="2891">
        <f>(AA179-Y179)*10000</f>
        <v>225.05862620799678</v>
      </c>
      <c r="AB181" s="2891">
        <f>(AB179-AA179)*10000</f>
        <v>45.136591375446457</v>
      </c>
      <c r="AC181" s="2891">
        <f>(AC179-AB179)*10000</f>
        <v>22.717553206184625</v>
      </c>
      <c r="AD181" s="2891">
        <f>(AD179-AC179)*10000</f>
        <v>133.60514532702149</v>
      </c>
      <c r="AE181" s="2890" t="s">
        <v>116</v>
      </c>
      <c r="AF181" s="2891">
        <f>(AF179-AD179)*10000</f>
        <v>238.24585092140637</v>
      </c>
      <c r="AG181" s="2891">
        <f>(AG179-AF179)*10000</f>
        <v>-99.010122914059423</v>
      </c>
      <c r="AH181" s="2891">
        <f>(AH179-AG179)*10000</f>
        <v>-2.2757706493270469</v>
      </c>
      <c r="AI181" s="2891">
        <f>(AI179-AH179)*10000</f>
        <v>-18.684342585770231</v>
      </c>
      <c r="AJ181" s="2890" t="s">
        <v>116</v>
      </c>
      <c r="AK181" s="2891">
        <f>(AK179-AI179)*10000</f>
        <v>207.95658484764667</v>
      </c>
      <c r="AL181" s="2891">
        <f>(AL179-AK179)*10000</f>
        <v>-169.94414506551757</v>
      </c>
      <c r="AM181" s="2891">
        <f>(AM179-AL179)*10000</f>
        <v>121.14212556444348</v>
      </c>
      <c r="AN181" s="2891">
        <f>(AN179-AM179)*10000</f>
        <v>-80.995998483044389</v>
      </c>
      <c r="AO181" s="2890" t="s">
        <v>116</v>
      </c>
      <c r="AP181" s="2891">
        <f>(AP179-AN179)*10000</f>
        <v>75.895712867358185</v>
      </c>
      <c r="AQ181" s="2891">
        <f>(AQ179-AP179)*10000</f>
        <v>-331.41003966757177</v>
      </c>
      <c r="AR181" s="2891">
        <f>(AR179-AQ179)*10000</f>
        <v>100.07896406849237</v>
      </c>
      <c r="AS181" s="2891">
        <f>(AS179-AR179)*10000</f>
        <v>-69.141877969834397</v>
      </c>
      <c r="AT181" s="2890" t="s">
        <v>116</v>
      </c>
      <c r="AU181" s="2891">
        <f>(AU179-AS179)*10000</f>
        <v>77.997362441329926</v>
      </c>
      <c r="AV181" s="2891">
        <f>(AV179-AU179)*10000</f>
        <v>6.0162666563856604</v>
      </c>
      <c r="AW181" s="2891">
        <f>(AW179-AV179)*10000</f>
        <v>169.33002645031502</v>
      </c>
      <c r="AX181" s="2891">
        <f>(AX179-AW179)*10000</f>
        <v>94.007212296690071</v>
      </c>
      <c r="AY181" s="2890" t="s">
        <v>116</v>
      </c>
      <c r="AZ181" s="2891">
        <f>(AZ179-AX179)*10000</f>
        <v>213.54706222801835</v>
      </c>
      <c r="BA181" s="2891">
        <f>(BA179-AZ179)*10000</f>
        <v>-48.612816782603872</v>
      </c>
      <c r="BB181" s="2891">
        <f>(BB179-BA179)*10000</f>
        <v>53.137218919996343</v>
      </c>
      <c r="BC181" s="2891">
        <f>(BC179-BB179)*10000</f>
        <v>19.398408609875851</v>
      </c>
      <c r="BD181" s="2890" t="s">
        <v>116</v>
      </c>
      <c r="BE181" s="2892">
        <f>(BE179-BD179)*10000</f>
        <v>-60.877872991002555</v>
      </c>
      <c r="BF181" s="2891">
        <f>(BF179-BE179)*10000</f>
        <v>-168.11851402971533</v>
      </c>
      <c r="BG181" s="2891">
        <f>(BG179-BF179)*10000</f>
        <v>64.39940656688681</v>
      </c>
      <c r="BH181" s="2891">
        <f>(BH179-BG179)*10000</f>
        <v>-32.895327401899486</v>
      </c>
      <c r="BI181" s="2890" t="s">
        <v>116</v>
      </c>
      <c r="BJ181" s="2891">
        <f>(BJ179-BI179)*10000</f>
        <v>-254.13445601581265</v>
      </c>
      <c r="BK181" s="2891">
        <f>(BK179-BJ179)*10000</f>
        <v>-54.139547623677785</v>
      </c>
      <c r="BL181" s="2891">
        <f>(BL179-BK179)*10000</f>
        <v>61.781510934575401</v>
      </c>
      <c r="BM181" s="2891">
        <f>(BM179-BL179)*10000</f>
        <v>55.450575291844942</v>
      </c>
      <c r="BN181" s="2890" t="s">
        <v>116</v>
      </c>
      <c r="BO181" s="2891">
        <v>-44.309034873266654</v>
      </c>
      <c r="BP181" s="2891">
        <v>-672.07408167944016</v>
      </c>
      <c r="BQ181" s="2891">
        <v>-721.12167931195404</v>
      </c>
      <c r="BR181" s="2893">
        <v>523.61981105103814</v>
      </c>
      <c r="BS181" s="2894" t="s">
        <v>116</v>
      </c>
      <c r="BT181" s="2891">
        <f>(BT179-BN179)*10000</f>
        <v>-52.75196346655131</v>
      </c>
      <c r="BU181" s="2891">
        <f>(BU179-BT179)*10000</f>
        <v>62.446652771468436</v>
      </c>
      <c r="BV181" s="2891">
        <f>(BV179-BU179)*10000</f>
        <v>-102.17149077735077</v>
      </c>
      <c r="BW181" s="2891">
        <f>(BW179-BV179)*10000</f>
        <v>20.324111993684781</v>
      </c>
      <c r="BX181" s="2890" t="s">
        <v>116</v>
      </c>
      <c r="BY181" s="2891">
        <v>-168.79362027002631</v>
      </c>
      <c r="BZ181" s="2891">
        <v>-64.345834278949908</v>
      </c>
      <c r="CA181" s="2891">
        <v>-0.76292619161033581</v>
      </c>
      <c r="CB181" s="2891">
        <v>-112.8577449411261</v>
      </c>
      <c r="CC181" s="2890" t="s">
        <v>116</v>
      </c>
      <c r="CD181" s="2891">
        <f>(CD179-BX179)*10000</f>
        <v>-91.689425828453409</v>
      </c>
      <c r="CE181" s="2891">
        <f>(CE179-CD179)*10000</f>
        <v>-97.554528779258959</v>
      </c>
      <c r="CF181" s="2891">
        <f>(CF179-CE179)*10000</f>
        <v>68.661438193988175</v>
      </c>
      <c r="CG181" s="2891">
        <f>(CG179-CF179)*10000</f>
        <v>-29.855706376102354</v>
      </c>
      <c r="CH181" s="2890" t="s">
        <v>116</v>
      </c>
      <c r="CI181" s="2891">
        <f>(CI179-CH179)*10000</f>
        <v>-130.09205971926397</v>
      </c>
      <c r="CJ181" s="2891">
        <f>(CJ179-CI179)*10000</f>
        <v>-20.406777980059854</v>
      </c>
      <c r="CK181" s="2891">
        <f>(CK179-CJ179)*10000</f>
        <v>53.061805170472319</v>
      </c>
      <c r="CL181" s="2891">
        <f>(CL179-CK179)*10000</f>
        <v>-156.35201888937578</v>
      </c>
      <c r="CM181" s="2890" t="s">
        <v>116</v>
      </c>
      <c r="CN181" s="2891">
        <f>(CN179-CM179)*10000</f>
        <v>69.541810954100171</v>
      </c>
      <c r="CO181" s="2891">
        <f>(CO179-CN179)*10000</f>
        <v>100.67738260986559</v>
      </c>
      <c r="CP181" s="2891">
        <f>(CP179-CO179)*10000</f>
        <v>-100.43291573242796</v>
      </c>
      <c r="CQ181" s="2891">
        <f>(CQ179-CP179)*10000</f>
        <v>-102.18320576286743</v>
      </c>
      <c r="CR181" s="2890" t="s">
        <v>116</v>
      </c>
      <c r="CS181" s="2891">
        <f>(CS179-CR179)*10000</f>
        <v>100.72623753127674</v>
      </c>
      <c r="CT181" s="2891">
        <f>(CT179-CS179)*10000</f>
        <v>116.46796800646564</v>
      </c>
      <c r="CU181" s="2891">
        <f>(CU179-CT179)*10000</f>
        <v>-59.849429196192631</v>
      </c>
      <c r="CV181" s="2891">
        <f>(CV179-CU179)*10000</f>
        <v>-205.35650396297234</v>
      </c>
      <c r="CW181" s="2890"/>
      <c r="CX181" s="2891">
        <f>(CX179-CV179)*10000</f>
        <v>170.02622914225162</v>
      </c>
      <c r="CY181" s="2891">
        <f>(CY179-CX179)*10000</f>
        <v>-37.356261577715102</v>
      </c>
      <c r="CZ181" s="2891">
        <f>(CZ179-CY179)*10000</f>
        <v>56.160027306441094</v>
      </c>
      <c r="DA181" s="2891">
        <f>(DA179-CZ179)*10000</f>
        <v>-522.24600921985109</v>
      </c>
      <c r="DB181" s="2890"/>
      <c r="DC181" s="2891">
        <f>(DC179-DA179)*10000</f>
        <v>307.93837023730009</v>
      </c>
      <c r="DD181" s="2891">
        <f>(DD179-DC179)*10000</f>
        <v>-5.7716433415311297</v>
      </c>
      <c r="DE181" s="2891">
        <f>(DE179-DD179)*10000</f>
        <v>43.782387317994335</v>
      </c>
      <c r="DF181" s="2891">
        <f>(DF179-DE179)*10000</f>
        <v>-591.57592978253126</v>
      </c>
      <c r="DG181" s="2890"/>
      <c r="DH181" s="2891">
        <f>(DH179-DF179)*10000</f>
        <v>442.81857435650664</v>
      </c>
      <c r="DI181" s="2891">
        <f>(DI179-DH179)*10000</f>
        <v>26.405299075538679</v>
      </c>
      <c r="DJ181" s="2891">
        <f>(DJ179-DI179)*10000</f>
        <v>-157.97752155459699</v>
      </c>
      <c r="DK181" s="2891">
        <f>(DK179-DJ179)*10000</f>
        <v>-309.02285094906057</v>
      </c>
      <c r="DL181" s="2890"/>
      <c r="DM181" s="2891">
        <f>(DM179-DK179)*10000</f>
        <v>142.61849192042598</v>
      </c>
      <c r="DN181" s="2891">
        <f>(DN179-DM179)*10000</f>
        <v>-34.54976653394948</v>
      </c>
      <c r="DO181" s="2891">
        <f>(DO179-DN179)*10000</f>
        <v>439.74197766443234</v>
      </c>
      <c r="DP181" s="2891">
        <f>(DP179-DO179)*10000</f>
        <v>98.151935406154962</v>
      </c>
      <c r="DQ181" s="2890"/>
      <c r="DR181" s="2891">
        <f>(DR179-DP179)*10000</f>
        <v>174.48388211367239</v>
      </c>
      <c r="DS181" s="2891">
        <f>(DS179-DR179)*10000</f>
        <v>72.967175305377324</v>
      </c>
      <c r="DT181" s="2891">
        <f>(DT179-DS179)*10000</f>
        <v>112.68653000540641</v>
      </c>
      <c r="DU181" s="2891">
        <f>(DU179-DT179)*10000</f>
        <v>-445.09179776238528</v>
      </c>
      <c r="DV181" s="2890"/>
      <c r="DW181" s="2891">
        <f>(DW179-DU179)*10000</f>
        <v>285.964248486521</v>
      </c>
      <c r="DX181" s="2891">
        <f>(DX179-DW179)*10000</f>
        <v>-135.54363565862371</v>
      </c>
      <c r="DY181" s="2891">
        <f>(DY179-DX179)*10000</f>
        <v>-251.48895272915973</v>
      </c>
      <c r="DZ181" s="2891">
        <f>(DZ179-DY179)*10000</f>
        <v>-174.81296628933939</v>
      </c>
      <c r="EA181" s="2890"/>
      <c r="EB181" s="2891">
        <f>(EB179-DZ179)*10000</f>
        <v>98.134700237560438</v>
      </c>
      <c r="EC181" s="2891">
        <f>(EC179-EB179)*10000</f>
        <v>447.33600857082888</v>
      </c>
      <c r="ED181" s="2891">
        <f>(ED179-EC179)*10000</f>
        <v>-129.2541140677761</v>
      </c>
      <c r="EE181" s="2891">
        <f>(EE179-ED179)*10000</f>
        <v>-241.80079912495322</v>
      </c>
      <c r="EF181" s="2890"/>
      <c r="EG181" s="2891">
        <f>(EG179-EE179)*10000</f>
        <v>454.63297970026628</v>
      </c>
      <c r="EH181" s="2891">
        <f>(EH179-EG179)*10000</f>
        <v>125.90023668824779</v>
      </c>
      <c r="EI181" s="2891">
        <f>(EI179-EH179)*10000</f>
        <v>-21.008376466118971</v>
      </c>
      <c r="EJ181" s="2891">
        <f>(EJ179-EI179)*10000</f>
        <v>-96.227084559634136</v>
      </c>
      <c r="EK181" s="2890"/>
      <c r="EL181" s="2891">
        <f>(EL179-EJ179)*10000</f>
        <v>251.6876574914051</v>
      </c>
      <c r="EM181" s="2891">
        <f>(EM179-EL179)*10000</f>
        <v>-117.13962561386349</v>
      </c>
      <c r="EN181" s="2891">
        <f>(EN179-EM179)*10000</f>
        <v>176.16522050795948</v>
      </c>
      <c r="EO181" s="2891">
        <f>(EO179-EN179)*10000</f>
        <v>-78.422362047800291</v>
      </c>
      <c r="EP181" s="2890"/>
      <c r="EQ181" s="2891">
        <f>(EQ179-EO179)*10000</f>
        <v>326.8947874757522</v>
      </c>
      <c r="ER181" s="2891">
        <f>(ER179-EQ179)*10000</f>
        <v>52.340078201379427</v>
      </c>
      <c r="ES181" s="2891">
        <f>(ES179-ER179)*10000</f>
        <v>-45.149600130366949</v>
      </c>
      <c r="ET181" s="2891">
        <f>(ET179-ES179)*10000</f>
        <v>-63.991567650379942</v>
      </c>
      <c r="EU181" s="2890"/>
      <c r="EV181" s="2890"/>
      <c r="EW181" s="2890"/>
      <c r="EX181" s="2890"/>
      <c r="EY181" s="2890"/>
      <c r="EZ181" s="209"/>
      <c r="FA181" s="4287"/>
      <c r="FB181" s="4287"/>
      <c r="FC181" s="4287"/>
      <c r="FD181" s="4287"/>
      <c r="FE181" s="4287"/>
      <c r="FF181" s="4287"/>
      <c r="FG181" s="4287"/>
      <c r="FH181" s="4287"/>
      <c r="FI181" s="4287"/>
      <c r="FJ181" s="4287"/>
      <c r="FK181" s="4287"/>
      <c r="FL181" s="4287"/>
    </row>
    <row r="182" spans="1:168" s="157" customFormat="1" ht="11.25" customHeight="1" collapsed="1">
      <c r="A182" s="3772" t="s">
        <v>177</v>
      </c>
      <c r="B182" s="3389"/>
      <c r="C182" s="3389"/>
      <c r="D182" s="3389"/>
      <c r="E182" s="3389"/>
      <c r="F182" s="3390"/>
      <c r="G182" s="3389"/>
      <c r="H182" s="3389"/>
      <c r="I182" s="3389"/>
      <c r="J182" s="3389"/>
      <c r="K182" s="3390"/>
      <c r="L182" s="3389"/>
      <c r="M182" s="3389"/>
      <c r="N182" s="3389"/>
      <c r="O182" s="3389"/>
      <c r="P182" s="3391">
        <f>(P57-K57)/(P7-K7)</f>
        <v>0.55748833892866712</v>
      </c>
      <c r="Q182" s="3389" t="s">
        <v>116</v>
      </c>
      <c r="R182" s="3389" t="s">
        <v>116</v>
      </c>
      <c r="S182" s="3389" t="s">
        <v>116</v>
      </c>
      <c r="T182" s="3389" t="s">
        <v>116</v>
      </c>
      <c r="U182" s="3391">
        <f t="shared" ref="U182:BN182" si="812">(U57-P57)/(U7-P7)</f>
        <v>0.56518032638310645</v>
      </c>
      <c r="V182" s="3392">
        <f t="shared" si="812"/>
        <v>0.54686841174218381</v>
      </c>
      <c r="W182" s="3392">
        <f t="shared" si="812"/>
        <v>0.499213491838366</v>
      </c>
      <c r="X182" s="3392">
        <f t="shared" si="812"/>
        <v>0.39262031882350718</v>
      </c>
      <c r="Y182" s="3392">
        <f t="shared" si="812"/>
        <v>0.30246959267757123</v>
      </c>
      <c r="Z182" s="3391">
        <f t="shared" si="812"/>
        <v>0.39107349190297203</v>
      </c>
      <c r="AA182" s="3392">
        <f t="shared" si="812"/>
        <v>0.30682745871639316</v>
      </c>
      <c r="AB182" s="3392">
        <f t="shared" si="812"/>
        <v>0.32568320338908968</v>
      </c>
      <c r="AC182" s="3392">
        <f t="shared" si="812"/>
        <v>0.37627353166077993</v>
      </c>
      <c r="AD182" s="3392">
        <f t="shared" si="812"/>
        <v>0.45426379576605064</v>
      </c>
      <c r="AE182" s="3391">
        <f t="shared" si="812"/>
        <v>0.37211576235907046</v>
      </c>
      <c r="AF182" s="3392">
        <f t="shared" si="812"/>
        <v>0.4833912774656014</v>
      </c>
      <c r="AG182" s="3392">
        <f t="shared" si="812"/>
        <v>0.45636673715407211</v>
      </c>
      <c r="AH182" s="3392">
        <f t="shared" si="812"/>
        <v>0.45411866124579164</v>
      </c>
      <c r="AI182" s="3392">
        <f t="shared" si="812"/>
        <v>0.43777208447124349</v>
      </c>
      <c r="AJ182" s="3391">
        <f t="shared" si="812"/>
        <v>0.45572445603876388</v>
      </c>
      <c r="AK182" s="3392">
        <f t="shared" si="812"/>
        <v>0.45590876409767389</v>
      </c>
      <c r="AL182" s="3392">
        <f t="shared" si="812"/>
        <v>0.43003147001948688</v>
      </c>
      <c r="AM182" s="3392">
        <f t="shared" si="812"/>
        <v>0.45989577193293441</v>
      </c>
      <c r="AN182" s="3392">
        <f t="shared" si="812"/>
        <v>0.44350262942075008</v>
      </c>
      <c r="AO182" s="3391">
        <f t="shared" si="812"/>
        <v>0.44711943089188805</v>
      </c>
      <c r="AP182" s="3392">
        <f t="shared" si="812"/>
        <v>0.43081783216188152</v>
      </c>
      <c r="AQ182" s="3392">
        <f t="shared" si="812"/>
        <v>0.36893645029569339</v>
      </c>
      <c r="AR182" s="3392">
        <f t="shared" si="812"/>
        <v>0.37505043206168887</v>
      </c>
      <c r="AS182" s="3392">
        <f t="shared" si="812"/>
        <v>0.36498022120910623</v>
      </c>
      <c r="AT182" s="3391">
        <f t="shared" si="812"/>
        <v>0.38401026937575772</v>
      </c>
      <c r="AU182" s="3392">
        <f t="shared" si="812"/>
        <v>0.36362984142668675</v>
      </c>
      <c r="AV182" s="3392">
        <f t="shared" si="812"/>
        <v>0.4475535821651162</v>
      </c>
      <c r="AW182" s="3392">
        <f t="shared" si="812"/>
        <v>0.49421544380324267</v>
      </c>
      <c r="AX182" s="3392">
        <f t="shared" si="812"/>
        <v>0.63589579341702718</v>
      </c>
      <c r="AY182" s="3391">
        <f t="shared" si="812"/>
        <v>0.46640260506263082</v>
      </c>
      <c r="AZ182" s="3392">
        <f t="shared" si="812"/>
        <v>1.2409404639151305</v>
      </c>
      <c r="BA182" s="3392">
        <f t="shared" si="812"/>
        <v>1.9370716510903452</v>
      </c>
      <c r="BB182" s="3392">
        <f t="shared" si="812"/>
        <v>0.89455708124721178</v>
      </c>
      <c r="BC182" s="3392">
        <f t="shared" si="812"/>
        <v>0.60701434134940013</v>
      </c>
      <c r="BD182" s="3391">
        <f t="shared" si="812"/>
        <v>0.89154415629432426</v>
      </c>
      <c r="BE182" s="3393">
        <f t="shared" si="812"/>
        <v>0.43104240882773442</v>
      </c>
      <c r="BF182" s="3392">
        <f t="shared" si="812"/>
        <v>0.36394873807245853</v>
      </c>
      <c r="BG182" s="3392">
        <f t="shared" si="812"/>
        <v>0.372167447464823</v>
      </c>
      <c r="BH182" s="3392">
        <f t="shared" si="812"/>
        <v>0.36040426345067716</v>
      </c>
      <c r="BI182" s="3391">
        <f t="shared" si="812"/>
        <v>0.37976826124688456</v>
      </c>
      <c r="BJ182" s="3392">
        <f t="shared" si="812"/>
        <v>0.28833333333333333</v>
      </c>
      <c r="BK182" s="3392">
        <f t="shared" si="812"/>
        <v>0.34224841341795104</v>
      </c>
      <c r="BL182" s="3392">
        <f t="shared" si="812"/>
        <v>0.35004108463434674</v>
      </c>
      <c r="BM182" s="3392">
        <f t="shared" si="812"/>
        <v>0.36707089552238809</v>
      </c>
      <c r="BN182" s="3391">
        <f t="shared" si="812"/>
        <v>0.33935228331780054</v>
      </c>
      <c r="BO182" s="3392">
        <v>0.39951690821256036</v>
      </c>
      <c r="BP182" s="3392">
        <v>0.26631116687578421</v>
      </c>
      <c r="BQ182" s="3392">
        <v>0.11572700296735905</v>
      </c>
      <c r="BR182" s="3394">
        <v>0.17705345501955672</v>
      </c>
      <c r="BS182" s="3395">
        <v>0.21240908416208995</v>
      </c>
      <c r="BT182" s="3392">
        <f>(BT57-BJ57)/(BT7-BJ7)</f>
        <v>0.39951690821256036</v>
      </c>
      <c r="BU182" s="3392">
        <f>(BU57-BK57)/(BU7-BK7)</f>
        <v>0.45768833849329205</v>
      </c>
      <c r="BV182" s="3392">
        <f>(BV57-BL57)/(BV7-BL7)</f>
        <v>0.36434108527131781</v>
      </c>
      <c r="BW182" s="3392">
        <f>(BW57-BM57)/(BW7-BM7)</f>
        <v>0.35803532959931061</v>
      </c>
      <c r="BX182" s="3391">
        <f>(BX57-BN57)/(BX7-BN7)</f>
        <v>0.3937791984263585</v>
      </c>
      <c r="BY182" s="3392">
        <v>0.15433212996389892</v>
      </c>
      <c r="BZ182" s="3392">
        <v>0.16710735060814383</v>
      </c>
      <c r="CA182" s="3392">
        <v>0.85353535353535348</v>
      </c>
      <c r="CB182" s="3392">
        <v>0.26650266502665027</v>
      </c>
      <c r="CC182" s="3391">
        <v>0.25796025855877425</v>
      </c>
      <c r="CD182" s="3392">
        <f>(CD57-BT57)/(CD7-BT7)</f>
        <v>0.3668690372940156</v>
      </c>
      <c r="CE182" s="3392">
        <f>(CE57-BU57)/(CE7-BU7)</f>
        <v>0.27064862342510498</v>
      </c>
      <c r="CF182" s="3392">
        <f>(CF57-BV57)/(CF7-BV7)</f>
        <v>0.36445242369838421</v>
      </c>
      <c r="CG182" s="3392">
        <f>(CG57-BW57)/(CG7-BW7)</f>
        <v>0.34296930763740185</v>
      </c>
      <c r="CH182" s="3395">
        <f>(CH57-BX57)/(CH7-BX7)</f>
        <v>0.33744725738396625</v>
      </c>
      <c r="CI182" s="3392">
        <f>(CI57-CD57)/(CI7-CD7)</f>
        <v>0.29890643985419196</v>
      </c>
      <c r="CJ182" s="3392">
        <f>(CJ57-CE57)/(CJ7-CE7)</f>
        <v>0.34375</v>
      </c>
      <c r="CK182" s="3392">
        <f>(CK57-CA57)/(CK7-CA7)</f>
        <v>7.3957513768686076E-2</v>
      </c>
      <c r="CL182" s="3392">
        <f t="shared" ref="CL182:DQ182" si="813">(CL57-CG57)/(CL7-CG7)</f>
        <v>0.22078464106844742</v>
      </c>
      <c r="CM182" s="3391">
        <f t="shared" si="813"/>
        <v>0.30347261972905937</v>
      </c>
      <c r="CN182" s="3392">
        <f t="shared" si="813"/>
        <v>0.42818280739934711</v>
      </c>
      <c r="CO182" s="3392">
        <f t="shared" si="813"/>
        <v>0.54966139954853277</v>
      </c>
      <c r="CP182" s="3392">
        <f t="shared" si="813"/>
        <v>0.40055762081784385</v>
      </c>
      <c r="CQ182" s="3392">
        <f t="shared" si="813"/>
        <v>0.41940483570985743</v>
      </c>
      <c r="CR182" s="3391">
        <f t="shared" si="813"/>
        <v>0.44236760124610591</v>
      </c>
      <c r="CS182" s="3392">
        <f t="shared" si="813"/>
        <v>0.46015338446148718</v>
      </c>
      <c r="CT182" s="3392">
        <f t="shared" si="813"/>
        <v>0.46912271402067318</v>
      </c>
      <c r="CU182" s="3392">
        <f t="shared" si="813"/>
        <v>0.48596398305084748</v>
      </c>
      <c r="CV182" s="3392">
        <f t="shared" si="813"/>
        <v>0.41224920802534321</v>
      </c>
      <c r="CW182" s="3391">
        <f t="shared" si="813"/>
        <v>0.45390302950991296</v>
      </c>
      <c r="CX182" s="3392">
        <f t="shared" si="813"/>
        <v>0.41687068773647895</v>
      </c>
      <c r="CY182" s="3392">
        <f t="shared" si="813"/>
        <v>0.34035476718403546</v>
      </c>
      <c r="CZ182" s="3392">
        <f t="shared" si="813"/>
        <v>0.40218004134561175</v>
      </c>
      <c r="DA182" s="3392">
        <f t="shared" si="813"/>
        <v>0.21808595622303883</v>
      </c>
      <c r="DB182" s="3391">
        <f t="shared" si="813"/>
        <v>0.33585969003546617</v>
      </c>
      <c r="DC182" s="3392">
        <f t="shared" si="813"/>
        <v>0.31207004377736086</v>
      </c>
      <c r="DD182" s="3392">
        <f t="shared" si="813"/>
        <v>0.32300285843237553</v>
      </c>
      <c r="DE182" s="3392">
        <f t="shared" si="813"/>
        <v>0.30948391420911531</v>
      </c>
      <c r="DF182" s="3392">
        <f t="shared" si="813"/>
        <v>0.21817920322163095</v>
      </c>
      <c r="DG182" s="3391">
        <f t="shared" si="813"/>
        <v>0.28913110460637809</v>
      </c>
      <c r="DH182" s="3392">
        <f t="shared" si="813"/>
        <v>0.31022530329289427</v>
      </c>
      <c r="DI182" s="3392">
        <f t="shared" si="813"/>
        <v>0.33847622077302369</v>
      </c>
      <c r="DJ182" s="3392">
        <f t="shared" si="813"/>
        <v>0.22355378014499186</v>
      </c>
      <c r="DK182" s="3392">
        <f t="shared" si="813"/>
        <v>0.33387262832769526</v>
      </c>
      <c r="DL182" s="3391">
        <f t="shared" si="813"/>
        <v>0.30034347791357136</v>
      </c>
      <c r="DM182" s="3392">
        <f t="shared" si="813"/>
        <v>0.12219917012448132</v>
      </c>
      <c r="DN182" s="3392">
        <f t="shared" si="813"/>
        <v>2.5038639876352398</v>
      </c>
      <c r="DO182" s="3392">
        <f t="shared" si="813"/>
        <v>0.55780754317941483</v>
      </c>
      <c r="DP182" s="3392">
        <f t="shared" si="813"/>
        <v>0.67217961748128985</v>
      </c>
      <c r="DQ182" s="3391">
        <f t="shared" si="813"/>
        <v>0.45520077406869858</v>
      </c>
      <c r="DR182" s="3392">
        <f t="shared" ref="DR182:EP182" si="814">(DR57-DM57)/(DR7-DM7)</f>
        <v>0.6117273048392794</v>
      </c>
      <c r="DS182" s="3392">
        <f t="shared" si="814"/>
        <v>0.54946359665861</v>
      </c>
      <c r="DT182" s="3392">
        <f t="shared" si="814"/>
        <v>0.54489311163895482</v>
      </c>
      <c r="DU182" s="3392">
        <f t="shared" si="814"/>
        <v>0.36245726379768817</v>
      </c>
      <c r="DV182" s="3391">
        <f t="shared" si="814"/>
        <v>0.51416589002795898</v>
      </c>
      <c r="DW182" s="3392">
        <f t="shared" si="814"/>
        <v>0.42884145861227063</v>
      </c>
      <c r="DX182" s="3392">
        <f t="shared" si="814"/>
        <v>0.25944907110826393</v>
      </c>
      <c r="DY182" s="3392">
        <f t="shared" si="814"/>
        <v>-0.51635631605435328</v>
      </c>
      <c r="DZ182" s="3392">
        <f t="shared" si="814"/>
        <v>-2.5131396957123098</v>
      </c>
      <c r="EA182" s="3391">
        <f t="shared" si="814"/>
        <v>0.14290249613079883</v>
      </c>
      <c r="EB182" s="3392">
        <f t="shared" si="814"/>
        <v>-1.4048423423423424</v>
      </c>
      <c r="EC182" s="3392">
        <f t="shared" si="814"/>
        <v>0.58446838788371624</v>
      </c>
      <c r="ED182" s="3392">
        <f t="shared" si="814"/>
        <v>0.6221549796079463</v>
      </c>
      <c r="EE182" s="3392">
        <f t="shared" si="814"/>
        <v>0.50779575131553301</v>
      </c>
      <c r="EF182" s="3391">
        <f t="shared" si="814"/>
        <v>0.42022966039579768</v>
      </c>
      <c r="EG182" s="3392">
        <f t="shared" si="814"/>
        <v>0.76860119047619047</v>
      </c>
      <c r="EH182" s="3392">
        <f t="shared" si="814"/>
        <v>0.59074768198855787</v>
      </c>
      <c r="EI182" s="3392">
        <f t="shared" si="814"/>
        <v>0.64501079913606907</v>
      </c>
      <c r="EJ182" s="3392">
        <f t="shared" si="814"/>
        <v>0.81848607146372676</v>
      </c>
      <c r="EK182" s="3391">
        <f t="shared" si="814"/>
        <v>0.70462650150150152</v>
      </c>
      <c r="EL182" s="3392">
        <f t="shared" si="814"/>
        <v>0.66632284682826204</v>
      </c>
      <c r="EM182" s="3392">
        <f t="shared" si="814"/>
        <v>0.45088139654287179</v>
      </c>
      <c r="EN182" s="3392">
        <f t="shared" si="814"/>
        <v>0.59042477624662593</v>
      </c>
      <c r="EO182" s="3392">
        <f t="shared" si="814"/>
        <v>0.59013336864047428</v>
      </c>
      <c r="EP182" s="3391">
        <f t="shared" si="814"/>
        <v>0.57286946538323136</v>
      </c>
      <c r="EQ182" s="3392">
        <f t="shared" ref="EQ182" si="815">(EQ57-EL57)/(EQ7-EL7)</f>
        <v>0.65323265026217237</v>
      </c>
      <c r="ER182" s="3392">
        <f t="shared" ref="ER182" si="816">(ER57-EM57)/(ER7-EM7)</f>
        <v>0.77019431064673483</v>
      </c>
      <c r="ES182" s="3392">
        <f t="shared" ref="ES182" si="817">(ES57-EN57)/(ES7-EN7)</f>
        <v>0.63968512649574405</v>
      </c>
      <c r="ET182" s="3392">
        <f t="shared" ref="ET182:EU182" si="818">(ET57-EO57)/(ET7-EO7)</f>
        <v>0.64142335627098812</v>
      </c>
      <c r="EU182" s="3391">
        <f t="shared" si="818"/>
        <v>0.67491424314129456</v>
      </c>
      <c r="EV182" s="3391">
        <f>(EV57-EU57)/(EV7-EU7)</f>
        <v>0.56244151085113636</v>
      </c>
      <c r="EW182" s="3391">
        <f>(EW57-EV57)/(EW7-EV7)</f>
        <v>0.52832430282042475</v>
      </c>
      <c r="EX182" s="3391">
        <f>(EX57-EW57)/(EX7-EW7)</f>
        <v>0.53940090072146518</v>
      </c>
      <c r="EY182" s="3391">
        <f>(EY57-EX57)/(EY7-EX7)</f>
        <v>0.57571141117482738</v>
      </c>
      <c r="EZ182" s="626"/>
      <c r="FA182" s="4283"/>
      <c r="FB182" s="4283"/>
      <c r="FC182" s="4283"/>
      <c r="FD182" s="4283"/>
      <c r="FE182" s="4283"/>
      <c r="FF182" s="4283"/>
      <c r="FG182" s="4283"/>
      <c r="FH182" s="4283"/>
      <c r="FI182" s="4283"/>
      <c r="FJ182" s="4283"/>
      <c r="FK182" s="4283"/>
      <c r="FL182" s="4283"/>
    </row>
    <row r="183" spans="1:168" ht="11.25" customHeight="1">
      <c r="A183" s="3773" t="s">
        <v>337</v>
      </c>
      <c r="B183" s="32"/>
      <c r="C183" s="32"/>
      <c r="D183" s="32"/>
      <c r="E183" s="32"/>
      <c r="F183" s="32"/>
      <c r="G183" s="32"/>
      <c r="J183" s="32"/>
      <c r="K183" s="32"/>
      <c r="L183" s="32"/>
      <c r="M183" s="32"/>
      <c r="N183" s="32"/>
      <c r="O183" s="32"/>
      <c r="P183" s="32"/>
      <c r="Q183" s="32"/>
      <c r="T183" s="32"/>
      <c r="U183" s="32"/>
      <c r="V183" s="32"/>
      <c r="W183" s="32"/>
      <c r="X183" s="32"/>
      <c r="Y183" s="247"/>
      <c r="Z183" s="32"/>
      <c r="AA183" s="32"/>
      <c r="AB183" s="32"/>
      <c r="AC183" s="32"/>
      <c r="AD183" s="32"/>
      <c r="AE183" s="32"/>
      <c r="AF183" s="32"/>
      <c r="AG183" s="247"/>
      <c r="AH183" s="32"/>
      <c r="AI183" s="32"/>
      <c r="AR183" s="247"/>
      <c r="AT183" s="32"/>
      <c r="AW183" s="247"/>
      <c r="AY183" s="32"/>
      <c r="BB183" s="247"/>
      <c r="BD183" s="32"/>
      <c r="BE183" s="247"/>
      <c r="BG183" s="247"/>
      <c r="BI183" s="32"/>
      <c r="BJ183" s="247"/>
      <c r="BL183" s="247"/>
      <c r="BN183" s="32"/>
      <c r="BO183" s="32"/>
      <c r="BP183" s="32"/>
      <c r="BQ183" s="32"/>
      <c r="BR183" s="32"/>
      <c r="BS183" s="32"/>
      <c r="BX183" s="32"/>
      <c r="CC183" s="32"/>
      <c r="CH183" s="32"/>
      <c r="CM183" s="32"/>
      <c r="CN183" s="32"/>
      <c r="CO183" s="32"/>
      <c r="CP183" s="32"/>
      <c r="CQ183" s="32"/>
      <c r="CR183" s="32"/>
      <c r="CS183" s="32"/>
      <c r="CT183" s="32"/>
      <c r="CU183" s="32"/>
      <c r="CV183" s="32"/>
      <c r="CW183" s="32"/>
      <c r="CX183" s="32"/>
      <c r="DA183" s="32"/>
      <c r="DB183" s="32"/>
      <c r="DC183" s="32"/>
      <c r="DF183" s="32"/>
      <c r="DG183" s="32"/>
      <c r="DL183" s="32"/>
      <c r="DQ183" s="32"/>
      <c r="DV183" s="32"/>
      <c r="EA183" s="32"/>
      <c r="EF183" s="32"/>
      <c r="EK183" s="32"/>
      <c r="EP183" s="32"/>
      <c r="EU183" s="32"/>
      <c r="EV183" s="32"/>
      <c r="EW183" s="32"/>
      <c r="EX183" s="32"/>
      <c r="EY183" s="32"/>
      <c r="EZ183" s="174"/>
      <c r="FA183" s="4285"/>
      <c r="FB183" s="4285"/>
      <c r="FC183" s="4285"/>
      <c r="FD183" s="4285"/>
      <c r="FE183" s="4285"/>
      <c r="FF183" s="4285"/>
      <c r="FG183" s="4285"/>
      <c r="FH183" s="4285"/>
      <c r="FI183" s="4285"/>
      <c r="FJ183" s="4285"/>
      <c r="FK183" s="4285"/>
      <c r="FL183" s="4285"/>
    </row>
    <row r="184" spans="1:168" ht="11.25" customHeight="1">
      <c r="A184" s="3773"/>
      <c r="B184" s="32"/>
      <c r="C184" s="32"/>
      <c r="D184" s="32"/>
      <c r="E184" s="32"/>
      <c r="F184" s="32"/>
      <c r="G184" s="32"/>
      <c r="J184" s="32"/>
      <c r="K184" s="32"/>
      <c r="L184" s="32"/>
      <c r="M184" s="32"/>
      <c r="N184" s="32"/>
      <c r="O184" s="32"/>
      <c r="P184" s="32"/>
      <c r="Q184" s="32"/>
      <c r="T184" s="32"/>
      <c r="U184" s="32"/>
      <c r="V184" s="32"/>
      <c r="W184" s="32"/>
      <c r="X184" s="32"/>
      <c r="Y184" s="247"/>
      <c r="Z184" s="32"/>
      <c r="AA184" s="32"/>
      <c r="AB184" s="32"/>
      <c r="AC184" s="32"/>
      <c r="AD184" s="32"/>
      <c r="AE184" s="32"/>
      <c r="AF184" s="32"/>
      <c r="AG184" s="247"/>
      <c r="AH184" s="32"/>
      <c r="AI184" s="32"/>
      <c r="AR184" s="247"/>
      <c r="AT184" s="32"/>
      <c r="AW184" s="247"/>
      <c r="AY184" s="32"/>
      <c r="BB184" s="247"/>
      <c r="BD184" s="32"/>
      <c r="BE184" s="247"/>
      <c r="BG184" s="247"/>
      <c r="BI184" s="32"/>
      <c r="BJ184" s="247"/>
      <c r="BL184" s="247"/>
      <c r="BN184" s="32"/>
      <c r="BO184" s="32"/>
      <c r="BP184" s="32"/>
      <c r="BQ184" s="32"/>
      <c r="BR184" s="32"/>
      <c r="BS184" s="32"/>
      <c r="BX184" s="32"/>
      <c r="CC184" s="32"/>
      <c r="CH184" s="32"/>
      <c r="CM184" s="32"/>
      <c r="CN184" s="32"/>
      <c r="CO184" s="32"/>
      <c r="CP184" s="32"/>
      <c r="CQ184" s="32"/>
      <c r="CR184" s="32"/>
      <c r="CS184" s="32"/>
      <c r="CT184" s="32"/>
      <c r="CU184" s="32"/>
      <c r="CV184" s="32"/>
      <c r="CW184" s="32"/>
      <c r="CX184" s="32"/>
      <c r="DA184" s="32"/>
      <c r="DB184" s="32"/>
      <c r="DC184" s="32"/>
      <c r="DF184" s="32"/>
      <c r="DG184" s="32"/>
      <c r="DL184" s="32"/>
      <c r="DQ184" s="32"/>
      <c r="DV184" s="32"/>
      <c r="EA184" s="32"/>
      <c r="EF184" s="32"/>
      <c r="EK184" s="32"/>
      <c r="EP184" s="32"/>
      <c r="EU184" s="32"/>
      <c r="EV184" s="32"/>
      <c r="EW184" s="32"/>
      <c r="EX184" s="32"/>
      <c r="EY184" s="32"/>
      <c r="EZ184" s="174"/>
      <c r="FA184" s="4285"/>
      <c r="FB184" s="4285"/>
      <c r="FC184" s="4285"/>
      <c r="FD184" s="4285"/>
      <c r="FE184" s="4285"/>
      <c r="FF184" s="4285"/>
      <c r="FG184" s="4285"/>
      <c r="FH184" s="4285"/>
      <c r="FI184" s="4285"/>
      <c r="FJ184" s="4285"/>
      <c r="FK184" s="4285"/>
      <c r="FL184" s="4285"/>
    </row>
    <row r="185" spans="1:168" s="151" customFormat="1" ht="11.25" hidden="1" customHeight="1" outlineLevel="1">
      <c r="A185" s="3729" t="s">
        <v>518</v>
      </c>
      <c r="B185" s="3382"/>
      <c r="C185" s="3382"/>
      <c r="D185" s="3382"/>
      <c r="E185" s="3383"/>
      <c r="F185" s="3384"/>
      <c r="G185" s="3382"/>
      <c r="H185" s="3382"/>
      <c r="I185" s="3382"/>
      <c r="J185" s="3383"/>
      <c r="K185" s="3384"/>
      <c r="L185" s="3382"/>
      <c r="M185" s="3382"/>
      <c r="N185" s="3382"/>
      <c r="O185" s="3383"/>
      <c r="P185" s="3384"/>
      <c r="Q185" s="3382"/>
      <c r="R185" s="3382"/>
      <c r="S185" s="3382"/>
      <c r="T185" s="3383"/>
      <c r="U185" s="3384"/>
      <c r="V185" s="3385"/>
      <c r="W185" s="3382"/>
      <c r="X185" s="3382"/>
      <c r="Y185" s="3383"/>
      <c r="Z185" s="3384"/>
      <c r="AA185" s="3385"/>
      <c r="AB185" s="3382"/>
      <c r="AC185" s="3382"/>
      <c r="AD185" s="3383"/>
      <c r="AE185" s="3384"/>
      <c r="AF185" s="3385"/>
      <c r="AG185" s="3382"/>
      <c r="AH185" s="3382"/>
      <c r="AI185" s="3383"/>
      <c r="AJ185" s="3384"/>
      <c r="AK185" s="3382"/>
      <c r="AL185" s="3382"/>
      <c r="AM185" s="3382"/>
      <c r="AN185" s="3383"/>
      <c r="AO185" s="3384"/>
      <c r="AP185" s="3382"/>
      <c r="AQ185" s="3382"/>
      <c r="AR185" s="3382"/>
      <c r="AS185" s="3383"/>
      <c r="AT185" s="3384"/>
      <c r="AU185" s="3382"/>
      <c r="AV185" s="3382"/>
      <c r="AW185" s="3382"/>
      <c r="AX185" s="3383"/>
      <c r="AY185" s="3384"/>
      <c r="AZ185" s="3382"/>
      <c r="BA185" s="3382"/>
      <c r="BB185" s="3382"/>
      <c r="BC185" s="3383"/>
      <c r="BD185" s="3384"/>
      <c r="BE185" s="3382"/>
      <c r="BF185" s="3382"/>
      <c r="BG185" s="3382"/>
      <c r="BH185" s="3383"/>
      <c r="BI185" s="3384"/>
      <c r="BJ185" s="3382"/>
      <c r="BK185" s="3382"/>
      <c r="BL185" s="3382"/>
      <c r="BM185" s="3382"/>
      <c r="BN185" s="3386"/>
      <c r="BO185" s="3382"/>
      <c r="BP185" s="3382"/>
      <c r="BQ185" s="3382"/>
      <c r="BR185" s="3383"/>
      <c r="BS185" s="3384"/>
      <c r="BT185" s="3382"/>
      <c r="BU185" s="3382"/>
      <c r="BV185" s="3382"/>
      <c r="BW185" s="3387"/>
      <c r="BX185" s="3388"/>
      <c r="BY185" s="3382"/>
      <c r="BZ185" s="3382"/>
      <c r="CA185" s="3382"/>
      <c r="CB185" s="3382"/>
      <c r="CC185" s="3386"/>
      <c r="CD185" s="3382"/>
      <c r="CE185" s="3382"/>
      <c r="CF185" s="3382"/>
      <c r="CG185" s="3382"/>
      <c r="CH185" s="3388"/>
      <c r="CI185" s="3382"/>
      <c r="CJ185" s="3382"/>
      <c r="CK185" s="3382"/>
      <c r="CL185" s="3382"/>
      <c r="CM185" s="3388"/>
      <c r="CN185" s="3382"/>
      <c r="CO185" s="3382"/>
      <c r="CP185" s="3382"/>
      <c r="CQ185" s="3382"/>
      <c r="CR185" s="3388"/>
      <c r="CS185" s="3382"/>
      <c r="CT185" s="3382"/>
      <c r="CU185" s="3382"/>
      <c r="CV185" s="3382"/>
      <c r="CW185" s="3388"/>
      <c r="CX185" s="3382"/>
      <c r="CY185" s="3382"/>
      <c r="CZ185" s="3382"/>
      <c r="DA185" s="3382"/>
      <c r="DB185" s="3388"/>
      <c r="DC185" s="3382"/>
      <c r="DD185" s="3382"/>
      <c r="DE185" s="3382"/>
      <c r="DF185" s="3382"/>
      <c r="DG185" s="3388"/>
      <c r="DH185" s="3972"/>
      <c r="DI185" s="3972"/>
      <c r="DJ185" s="3972"/>
      <c r="DK185" s="3972"/>
      <c r="DL185" s="3388"/>
      <c r="DM185" s="3972"/>
      <c r="DN185" s="3972"/>
      <c r="DO185" s="3972"/>
      <c r="DP185" s="3972"/>
      <c r="DQ185" s="3388"/>
      <c r="DR185" s="3972"/>
      <c r="DS185" s="3972"/>
      <c r="DT185" s="3972"/>
      <c r="DU185" s="3972"/>
      <c r="DV185" s="3388"/>
      <c r="DW185" s="3972"/>
      <c r="DX185" s="3972"/>
      <c r="DY185" s="3972"/>
      <c r="DZ185" s="3972"/>
      <c r="EA185" s="3388"/>
      <c r="EB185" s="3972"/>
      <c r="EC185" s="3972"/>
      <c r="ED185" s="3972"/>
      <c r="EE185" s="3972"/>
      <c r="EF185" s="3388"/>
      <c r="EG185" s="3972"/>
      <c r="EH185" s="3972"/>
      <c r="EI185" s="3972"/>
      <c r="EJ185" s="3972"/>
      <c r="EK185" s="3388"/>
      <c r="EL185" s="3972"/>
      <c r="EM185" s="3972"/>
      <c r="EN185" s="3972"/>
      <c r="EO185" s="3972"/>
      <c r="EP185" s="3388"/>
      <c r="EQ185" s="3972"/>
      <c r="ER185" s="3972"/>
      <c r="ES185" s="3972"/>
      <c r="ET185" s="3972"/>
      <c r="EU185" s="3388"/>
      <c r="EV185" s="3388"/>
      <c r="EW185" s="3388"/>
      <c r="EX185" s="3388"/>
      <c r="EY185" s="3388"/>
      <c r="EZ185" s="619"/>
      <c r="FA185" s="3572"/>
      <c r="FB185" s="3572"/>
      <c r="FC185" s="3572"/>
      <c r="FD185" s="3572"/>
      <c r="FE185" s="3572"/>
      <c r="FF185" s="3572"/>
      <c r="FG185" s="3572"/>
      <c r="FH185" s="3572"/>
      <c r="FI185" s="3572"/>
      <c r="FJ185" s="3572"/>
      <c r="FK185" s="3572"/>
      <c r="FL185" s="3572"/>
    </row>
    <row r="186" spans="1:168" s="84" customFormat="1" ht="11.25" hidden="1" customHeight="1" outlineLevel="1">
      <c r="A186" s="3750" t="s">
        <v>396</v>
      </c>
      <c r="B186" s="176"/>
      <c r="C186" s="176"/>
      <c r="D186" s="176"/>
      <c r="E186" s="178"/>
      <c r="F186" s="974"/>
      <c r="G186" s="176"/>
      <c r="H186" s="176"/>
      <c r="I186" s="176"/>
      <c r="J186" s="178"/>
      <c r="K186" s="974"/>
      <c r="L186" s="176"/>
      <c r="M186" s="176"/>
      <c r="N186" s="176"/>
      <c r="O186" s="178"/>
      <c r="P186" s="974"/>
      <c r="Q186" s="176"/>
      <c r="R186" s="176"/>
      <c r="S186" s="176"/>
      <c r="T186" s="178"/>
      <c r="U186" s="974"/>
      <c r="V186" s="975"/>
      <c r="W186" s="176"/>
      <c r="X186" s="176"/>
      <c r="Y186" s="178"/>
      <c r="Z186" s="974"/>
      <c r="AA186" s="975"/>
      <c r="AB186" s="176"/>
      <c r="AC186" s="176"/>
      <c r="AD186" s="178"/>
      <c r="AE186" s="974"/>
      <c r="AF186" s="975"/>
      <c r="AG186" s="176"/>
      <c r="AH186" s="176"/>
      <c r="AI186" s="178"/>
      <c r="AJ186" s="974"/>
      <c r="AK186" s="176"/>
      <c r="AL186" s="176"/>
      <c r="AM186" s="176"/>
      <c r="AN186" s="178"/>
      <c r="AO186" s="974"/>
      <c r="AP186" s="176"/>
      <c r="AQ186" s="176"/>
      <c r="AR186" s="176"/>
      <c r="AS186" s="178"/>
      <c r="AT186" s="974"/>
      <c r="AU186" s="176"/>
      <c r="AV186" s="176"/>
      <c r="AW186" s="176"/>
      <c r="AX186" s="178"/>
      <c r="AY186" s="974"/>
      <c r="AZ186" s="176"/>
      <c r="BA186" s="176"/>
      <c r="BB186" s="176"/>
      <c r="BC186" s="178"/>
      <c r="BD186" s="974"/>
      <c r="BE186" s="176"/>
      <c r="BF186" s="176"/>
      <c r="BG186" s="176"/>
      <c r="BH186" s="178"/>
      <c r="BI186" s="974"/>
      <c r="BJ186" s="176"/>
      <c r="BK186" s="176"/>
      <c r="BL186" s="176"/>
      <c r="BM186" s="176"/>
      <c r="BN186" s="1007"/>
      <c r="BO186" s="176"/>
      <c r="BP186" s="176"/>
      <c r="BQ186" s="176"/>
      <c r="BR186" s="178"/>
      <c r="BS186" s="974"/>
      <c r="BT186" s="176"/>
      <c r="BU186" s="176"/>
      <c r="BV186" s="176"/>
      <c r="BW186" s="176"/>
      <c r="BX186" s="1315">
        <v>700</v>
      </c>
      <c r="BY186" s="176"/>
      <c r="BZ186" s="176"/>
      <c r="CA186" s="176"/>
      <c r="CB186" s="176"/>
      <c r="CC186" s="1007"/>
      <c r="CD186" s="179">
        <v>180</v>
      </c>
      <c r="CE186" s="179">
        <v>182</v>
      </c>
      <c r="CF186" s="179">
        <v>196</v>
      </c>
      <c r="CG186" s="179">
        <f>766-SUM(CD186:CF186)</f>
        <v>208</v>
      </c>
      <c r="CH186" s="1007">
        <f>SUM(CD186:CG186)</f>
        <v>766</v>
      </c>
      <c r="CI186" s="179">
        <v>168</v>
      </c>
      <c r="CJ186" s="179">
        <v>169</v>
      </c>
      <c r="CK186" s="179">
        <v>187</v>
      </c>
      <c r="CL186" s="179">
        <v>222</v>
      </c>
      <c r="CM186" s="1007">
        <f>SUM(CI186:CL186)</f>
        <v>746</v>
      </c>
      <c r="CN186" s="179">
        <v>226</v>
      </c>
      <c r="CO186" s="179">
        <v>240</v>
      </c>
      <c r="CP186" s="179">
        <v>259</v>
      </c>
      <c r="CQ186" s="179">
        <v>274</v>
      </c>
      <c r="CR186" s="1007">
        <f>SUM(CN186:CQ186)</f>
        <v>999</v>
      </c>
      <c r="CS186" s="179">
        <v>270</v>
      </c>
      <c r="CT186" s="179">
        <v>307</v>
      </c>
      <c r="CU186" s="179">
        <v>318</v>
      </c>
      <c r="CV186" s="179">
        <v>325</v>
      </c>
      <c r="CW186" s="1007">
        <f>SUM(CS186:CV186)</f>
        <v>1220</v>
      </c>
      <c r="CX186" s="179">
        <v>312</v>
      </c>
      <c r="CY186" s="179">
        <v>294</v>
      </c>
      <c r="CZ186" s="179">
        <v>306</v>
      </c>
      <c r="DA186" s="179">
        <v>400</v>
      </c>
      <c r="DB186" s="1007">
        <f>SUM(CX186:DA186)</f>
        <v>1312</v>
      </c>
      <c r="DC186" s="179">
        <v>399</v>
      </c>
      <c r="DD186" s="179">
        <v>456</v>
      </c>
      <c r="DE186" s="179">
        <v>481</v>
      </c>
      <c r="DF186" s="179">
        <v>542</v>
      </c>
      <c r="DG186" s="1007">
        <f>SUM(DC186:DF186)</f>
        <v>1878</v>
      </c>
      <c r="DH186" s="179">
        <v>522</v>
      </c>
      <c r="DI186" s="179">
        <v>653</v>
      </c>
      <c r="DJ186" s="179">
        <v>631</v>
      </c>
      <c r="DK186" s="179">
        <v>621</v>
      </c>
      <c r="DL186" s="3967">
        <f>SUM(DH186:DK186)</f>
        <v>2427</v>
      </c>
      <c r="DM186" s="4812">
        <v>586</v>
      </c>
      <c r="DN186" s="4812">
        <v>433</v>
      </c>
      <c r="DO186" s="4812">
        <v>460</v>
      </c>
      <c r="DP186" s="4812">
        <v>386</v>
      </c>
      <c r="DQ186" s="3967">
        <f>SUM(DM186:DP186)</f>
        <v>1865</v>
      </c>
      <c r="DR186" s="4812">
        <v>345</v>
      </c>
      <c r="DS186" s="4812">
        <v>389</v>
      </c>
      <c r="DT186" s="4812">
        <v>387</v>
      </c>
      <c r="DU186" s="4812">
        <v>378</v>
      </c>
      <c r="DV186" s="3967">
        <f>SUM(DR186:DU186)</f>
        <v>1499</v>
      </c>
      <c r="DW186" s="4812">
        <v>414</v>
      </c>
      <c r="DX186" s="4812">
        <v>486</v>
      </c>
      <c r="DY186" s="4812">
        <v>615</v>
      </c>
      <c r="DZ186" s="4812">
        <v>659</v>
      </c>
      <c r="EA186" s="3967">
        <f>SUM(DW186:DZ186)</f>
        <v>2174</v>
      </c>
      <c r="EB186" s="4812">
        <v>797</v>
      </c>
      <c r="EC186" s="4812">
        <v>892</v>
      </c>
      <c r="ED186" s="4812">
        <v>1066</v>
      </c>
      <c r="EE186" s="4812">
        <v>1110</v>
      </c>
      <c r="EF186" s="1007">
        <f>SUM(EB186:EE186)</f>
        <v>3865</v>
      </c>
      <c r="EG186" s="4812">
        <v>1061</v>
      </c>
      <c r="EH186" s="4812">
        <v>1090</v>
      </c>
      <c r="EI186" s="4812">
        <v>1243</v>
      </c>
      <c r="EJ186" s="4812">
        <v>1088</v>
      </c>
      <c r="EK186" s="1007">
        <f>SUM(EG186:EJ186)</f>
        <v>4482</v>
      </c>
      <c r="EL186" s="4812">
        <v>1001</v>
      </c>
      <c r="EM186" s="4812">
        <v>1050</v>
      </c>
      <c r="EN186" s="4812">
        <v>1076</v>
      </c>
      <c r="EO186" s="176">
        <f ca="1">EO188*EO190</f>
        <v>1093.7837648784762</v>
      </c>
      <c r="EP186" s="1007">
        <f ca="1">SUM(EL186:EO186)</f>
        <v>4220.7837648784762</v>
      </c>
      <c r="EQ186" s="176">
        <f t="shared" ref="EQ186:ET186" ca="1" si="819">EQ188*EQ190</f>
        <v>1080.4710461233858</v>
      </c>
      <c r="ER186" s="176">
        <f t="shared" ca="1" si="819"/>
        <v>970.10195831727015</v>
      </c>
      <c r="ES186" s="176">
        <f t="shared" ca="1" si="819"/>
        <v>876.790920491576</v>
      </c>
      <c r="ET186" s="176">
        <f t="shared" ca="1" si="819"/>
        <v>888.27347776099884</v>
      </c>
      <c r="EU186" s="1007">
        <f ca="1">SUM(EQ186:ET186)</f>
        <v>3815.6374026932308</v>
      </c>
      <c r="EV186" s="1007">
        <f ca="1">EV188*EV190</f>
        <v>3235.0684460301554</v>
      </c>
      <c r="EW186" s="1007">
        <f ca="1">EW188*EW190</f>
        <v>2879.9636767405295</v>
      </c>
      <c r="EX186" s="1007">
        <f ca="1">EX188*EX190</f>
        <v>3143.811134356069</v>
      </c>
      <c r="EY186" s="1007">
        <f ca="1">EY188*EY190</f>
        <v>4067.9614421666806</v>
      </c>
      <c r="EZ186" s="176"/>
      <c r="FA186" s="1104"/>
      <c r="FB186" s="1104"/>
      <c r="FC186" s="1104"/>
      <c r="FD186" s="1104"/>
      <c r="FE186" s="1104"/>
      <c r="FF186" s="1104"/>
      <c r="FG186" s="1104"/>
      <c r="FH186" s="1104"/>
      <c r="FI186" s="1104"/>
      <c r="FJ186" s="1104"/>
      <c r="FK186" s="1104"/>
      <c r="FL186" s="1104"/>
    </row>
    <row r="187" spans="1:168" s="1320" customFormat="1" ht="11.25" hidden="1" customHeight="1" outlineLevel="1">
      <c r="A187" s="3774" t="s">
        <v>359</v>
      </c>
      <c r="B187" s="253"/>
      <c r="C187" s="253"/>
      <c r="D187" s="253"/>
      <c r="E187" s="1316"/>
      <c r="F187" s="1317"/>
      <c r="G187" s="253"/>
      <c r="H187" s="253"/>
      <c r="I187" s="253"/>
      <c r="J187" s="1316"/>
      <c r="K187" s="1317"/>
      <c r="L187" s="253"/>
      <c r="M187" s="253"/>
      <c r="N187" s="253"/>
      <c r="O187" s="1316"/>
      <c r="P187" s="1317"/>
      <c r="Q187" s="253"/>
      <c r="R187" s="253"/>
      <c r="S187" s="253"/>
      <c r="T187" s="1316"/>
      <c r="U187" s="1317"/>
      <c r="V187" s="1318"/>
      <c r="W187" s="253"/>
      <c r="X187" s="253"/>
      <c r="Y187" s="1316"/>
      <c r="Z187" s="1317"/>
      <c r="AA187" s="1318"/>
      <c r="AB187" s="253"/>
      <c r="AC187" s="253"/>
      <c r="AD187" s="1316"/>
      <c r="AE187" s="1317"/>
      <c r="AF187" s="1318"/>
      <c r="AG187" s="253"/>
      <c r="AH187" s="253"/>
      <c r="AI187" s="1316"/>
      <c r="AJ187" s="1317"/>
      <c r="AK187" s="253"/>
      <c r="AL187" s="253"/>
      <c r="AM187" s="253"/>
      <c r="AN187" s="1316"/>
      <c r="AO187" s="1317"/>
      <c r="AP187" s="253"/>
      <c r="AQ187" s="253"/>
      <c r="AR187" s="253"/>
      <c r="AS187" s="1316"/>
      <c r="AT187" s="1317"/>
      <c r="AU187" s="253"/>
      <c r="AV187" s="253"/>
      <c r="AW187" s="253"/>
      <c r="AX187" s="1316"/>
      <c r="AY187" s="1317"/>
      <c r="AZ187" s="253"/>
      <c r="BA187" s="253"/>
      <c r="BB187" s="253"/>
      <c r="BC187" s="1316"/>
      <c r="BD187" s="1317"/>
      <c r="BE187" s="253"/>
      <c r="BF187" s="253"/>
      <c r="BG187" s="253"/>
      <c r="BH187" s="1316"/>
      <c r="BI187" s="1317"/>
      <c r="BJ187" s="253"/>
      <c r="BK187" s="253"/>
      <c r="BL187" s="253"/>
      <c r="BM187" s="253"/>
      <c r="BN187" s="1045"/>
      <c r="BO187" s="253"/>
      <c r="BP187" s="253"/>
      <c r="BQ187" s="253"/>
      <c r="BR187" s="1316"/>
      <c r="BS187" s="1317"/>
      <c r="BT187" s="253"/>
      <c r="BU187" s="253"/>
      <c r="BV187" s="253"/>
      <c r="BW187" s="253"/>
      <c r="BX187" s="1045"/>
      <c r="BY187" s="253"/>
      <c r="BZ187" s="253"/>
      <c r="CA187" s="253"/>
      <c r="CB187" s="253"/>
      <c r="CC187" s="1045"/>
      <c r="CD187" s="253"/>
      <c r="CE187" s="253"/>
      <c r="CF187" s="253"/>
      <c r="CG187" s="253"/>
      <c r="CH187" s="1045">
        <f>CH186/BX186-1</f>
        <v>9.4285714285714306E-2</v>
      </c>
      <c r="CI187" s="253">
        <f t="shared" ref="CI187:DT187" si="820">CI186/CD186-1</f>
        <v>-6.6666666666666652E-2</v>
      </c>
      <c r="CJ187" s="253">
        <f t="shared" si="820"/>
        <v>-7.1428571428571397E-2</v>
      </c>
      <c r="CK187" s="253">
        <f t="shared" si="820"/>
        <v>-4.5918367346938771E-2</v>
      </c>
      <c r="CL187" s="253">
        <f t="shared" si="820"/>
        <v>6.7307692307692291E-2</v>
      </c>
      <c r="CM187" s="1045">
        <f t="shared" si="820"/>
        <v>-2.6109660574412552E-2</v>
      </c>
      <c r="CN187" s="253">
        <f t="shared" si="820"/>
        <v>0.34523809523809534</v>
      </c>
      <c r="CO187" s="253">
        <f t="shared" si="820"/>
        <v>0.4201183431952662</v>
      </c>
      <c r="CP187" s="253">
        <f t="shared" si="820"/>
        <v>0.38502673796791442</v>
      </c>
      <c r="CQ187" s="253">
        <f t="shared" si="820"/>
        <v>0.23423423423423428</v>
      </c>
      <c r="CR187" s="1045">
        <f t="shared" si="820"/>
        <v>0.33914209115281491</v>
      </c>
      <c r="CS187" s="253">
        <f t="shared" si="820"/>
        <v>0.19469026548672574</v>
      </c>
      <c r="CT187" s="253">
        <f t="shared" si="820"/>
        <v>0.27916666666666656</v>
      </c>
      <c r="CU187" s="253">
        <f t="shared" si="820"/>
        <v>0.22779922779922779</v>
      </c>
      <c r="CV187" s="253">
        <f t="shared" si="820"/>
        <v>0.18613138686131392</v>
      </c>
      <c r="CW187" s="1045">
        <f t="shared" si="820"/>
        <v>0.22122122122122123</v>
      </c>
      <c r="CX187" s="253">
        <f t="shared" si="820"/>
        <v>0.15555555555555545</v>
      </c>
      <c r="CY187" s="253">
        <f t="shared" si="820"/>
        <v>-4.2345276872964188E-2</v>
      </c>
      <c r="CZ187" s="2623">
        <f t="shared" si="820"/>
        <v>-3.7735849056603765E-2</v>
      </c>
      <c r="DA187" s="253">
        <f t="shared" si="820"/>
        <v>0.23076923076923084</v>
      </c>
      <c r="DB187" s="1045">
        <f t="shared" si="820"/>
        <v>7.5409836065573721E-2</v>
      </c>
      <c r="DC187" s="2623">
        <f t="shared" si="820"/>
        <v>0.27884615384615374</v>
      </c>
      <c r="DD187" s="2623">
        <f t="shared" si="820"/>
        <v>0.55102040816326525</v>
      </c>
      <c r="DE187" s="2623">
        <f t="shared" si="820"/>
        <v>0.57189542483660127</v>
      </c>
      <c r="DF187" s="2623">
        <f t="shared" si="820"/>
        <v>0.35499999999999998</v>
      </c>
      <c r="DG187" s="2594">
        <f t="shared" si="820"/>
        <v>0.43140243902439024</v>
      </c>
      <c r="DH187" s="2623">
        <f t="shared" si="820"/>
        <v>0.30827067669172936</v>
      </c>
      <c r="DI187" s="2623">
        <f t="shared" si="820"/>
        <v>0.43201754385964919</v>
      </c>
      <c r="DJ187" s="2623">
        <f t="shared" si="820"/>
        <v>0.31185031185031176</v>
      </c>
      <c r="DK187" s="2623">
        <f t="shared" si="820"/>
        <v>0.14575645756457556</v>
      </c>
      <c r="DL187" s="2594">
        <f t="shared" si="820"/>
        <v>0.29233226837060711</v>
      </c>
      <c r="DM187" s="2623">
        <f t="shared" si="820"/>
        <v>0.12260536398467425</v>
      </c>
      <c r="DN187" s="2623">
        <f t="shared" si="820"/>
        <v>-0.33690658499234305</v>
      </c>
      <c r="DO187" s="2623">
        <f t="shared" si="820"/>
        <v>-0.27099841521394608</v>
      </c>
      <c r="DP187" s="2623">
        <f t="shared" si="820"/>
        <v>-0.37842190016103061</v>
      </c>
      <c r="DQ187" s="2594">
        <f t="shared" si="820"/>
        <v>-0.23156159868149984</v>
      </c>
      <c r="DR187" s="2623">
        <f t="shared" si="820"/>
        <v>-0.4112627986348123</v>
      </c>
      <c r="DS187" s="2623">
        <f t="shared" si="820"/>
        <v>-0.10161662817551964</v>
      </c>
      <c r="DT187" s="2623">
        <f t="shared" si="820"/>
        <v>-0.15869565217391302</v>
      </c>
      <c r="DU187" s="2623">
        <f t="shared" ref="DU187:EN187" si="821">DU186/DP186-1</f>
        <v>-2.0725388601036232E-2</v>
      </c>
      <c r="DV187" s="2594">
        <f t="shared" si="821"/>
        <v>-0.19624664879356568</v>
      </c>
      <c r="DW187" s="2623">
        <f t="shared" si="821"/>
        <v>0.19999999999999996</v>
      </c>
      <c r="DX187" s="2623">
        <f t="shared" si="821"/>
        <v>0.24935732647814901</v>
      </c>
      <c r="DY187" s="2623">
        <f t="shared" si="821"/>
        <v>0.58914728682170536</v>
      </c>
      <c r="DZ187" s="2623">
        <f t="shared" si="821"/>
        <v>0.74338624338624348</v>
      </c>
      <c r="EA187" s="2594">
        <f t="shared" si="821"/>
        <v>0.4503002001334222</v>
      </c>
      <c r="EB187" s="2623">
        <f t="shared" si="821"/>
        <v>0.92512077294685979</v>
      </c>
      <c r="EC187" s="2623">
        <f t="shared" si="821"/>
        <v>0.8353909465020577</v>
      </c>
      <c r="ED187" s="2623">
        <f t="shared" si="821"/>
        <v>0.73333333333333339</v>
      </c>
      <c r="EE187" s="2623">
        <f t="shared" si="821"/>
        <v>0.68437025796661599</v>
      </c>
      <c r="EF187" s="2594">
        <f t="shared" ref="EF187:EK187" si="822">EF186/EA186-1</f>
        <v>0.77782888684452622</v>
      </c>
      <c r="EG187" s="2623">
        <f t="shared" si="821"/>
        <v>0.33124215809284818</v>
      </c>
      <c r="EH187" s="2623">
        <f t="shared" si="821"/>
        <v>0.22197309417040367</v>
      </c>
      <c r="EI187" s="2623">
        <f t="shared" si="821"/>
        <v>0.16604127579737327</v>
      </c>
      <c r="EJ187" s="2623">
        <f t="shared" si="821"/>
        <v>-1.9819819819819839E-2</v>
      </c>
      <c r="EK187" s="2594">
        <f t="shared" si="822"/>
        <v>0.15963777490297537</v>
      </c>
      <c r="EL187" s="2623">
        <f t="shared" si="821"/>
        <v>-5.6550424128181009E-2</v>
      </c>
      <c r="EM187" s="2623">
        <f t="shared" si="821"/>
        <v>-3.669724770642202E-2</v>
      </c>
      <c r="EN187" s="2623">
        <f t="shared" si="821"/>
        <v>-0.13435237329042637</v>
      </c>
      <c r="EO187" s="2623">
        <f t="shared" ref="EO187:EP187" ca="1" si="823">EO186/EJ186-1</f>
        <v>5.315960366246486E-3</v>
      </c>
      <c r="EP187" s="2594">
        <f t="shared" ca="1" si="823"/>
        <v>-5.8281176957055703E-2</v>
      </c>
      <c r="EQ187" s="2623">
        <f t="shared" ref="EQ187" ca="1" si="824">EQ186/EL186-1</f>
        <v>7.9391654468916828E-2</v>
      </c>
      <c r="ER187" s="2623">
        <f t="shared" ref="ER187" ca="1" si="825">ER186/EM186-1</f>
        <v>-7.6093373031171252E-2</v>
      </c>
      <c r="ES187" s="2623">
        <f t="shared" ref="ES187" ca="1" si="826">ES186/EN186-1</f>
        <v>-0.18513854972901855</v>
      </c>
      <c r="ET187" s="2623">
        <f t="shared" ref="ET187:EU187" ca="1" si="827">ET186/EO186-1</f>
        <v>-0.18788931936680409</v>
      </c>
      <c r="EU187" s="2594">
        <f t="shared" ca="1" si="827"/>
        <v>-9.5988419391797586E-2</v>
      </c>
      <c r="EV187" s="2594">
        <f ca="1">EV186/EU186-1</f>
        <v>-0.15215516973737764</v>
      </c>
      <c r="EW187" s="2594">
        <f ca="1">EW186/EV186-1</f>
        <v>-0.10976731256656569</v>
      </c>
      <c r="EX187" s="2594">
        <f ca="1">EX186/EW186-1</f>
        <v>9.1614856029766045E-2</v>
      </c>
      <c r="EY187" s="2594">
        <f ca="1">EY186/EX186-1</f>
        <v>0.29395859621188736</v>
      </c>
      <c r="EZ187" s="253"/>
      <c r="FA187" s="1319"/>
      <c r="FB187" s="1319"/>
      <c r="FC187" s="1319"/>
      <c r="FD187" s="1319"/>
      <c r="FE187" s="1319"/>
      <c r="FF187" s="1319"/>
      <c r="FG187" s="1319"/>
      <c r="FH187" s="1319"/>
      <c r="FI187" s="1319"/>
      <c r="FJ187" s="1319"/>
      <c r="FK187" s="1319"/>
      <c r="FL187" s="1319"/>
    </row>
    <row r="188" spans="1:168" s="84" customFormat="1" ht="11.25" hidden="1" customHeight="1" outlineLevel="1">
      <c r="A188" s="3775" t="s">
        <v>524</v>
      </c>
      <c r="B188" s="176"/>
      <c r="C188" s="176"/>
      <c r="D188" s="176"/>
      <c r="E188" s="178"/>
      <c r="F188" s="974"/>
      <c r="G188" s="176"/>
      <c r="H188" s="176"/>
      <c r="I188" s="176"/>
      <c r="J188" s="178"/>
      <c r="K188" s="974"/>
      <c r="L188" s="176"/>
      <c r="M188" s="176"/>
      <c r="N188" s="176"/>
      <c r="O188" s="178"/>
      <c r="P188" s="974"/>
      <c r="Q188" s="176"/>
      <c r="R188" s="176"/>
      <c r="S188" s="176"/>
      <c r="T188" s="178"/>
      <c r="U188" s="974"/>
      <c r="V188" s="975"/>
      <c r="W188" s="176"/>
      <c r="X188" s="176"/>
      <c r="Y188" s="178"/>
      <c r="Z188" s="974"/>
      <c r="AA188" s="975"/>
      <c r="AB188" s="176"/>
      <c r="AC188" s="176"/>
      <c r="AD188" s="178"/>
      <c r="AE188" s="974"/>
      <c r="AF188" s="975"/>
      <c r="AG188" s="176"/>
      <c r="AH188" s="176"/>
      <c r="AI188" s="178"/>
      <c r="AJ188" s="974"/>
      <c r="AK188" s="176"/>
      <c r="AL188" s="176"/>
      <c r="AM188" s="176"/>
      <c r="AN188" s="178"/>
      <c r="AO188" s="974"/>
      <c r="AP188" s="176"/>
      <c r="AQ188" s="176"/>
      <c r="AR188" s="176"/>
      <c r="AS188" s="178"/>
      <c r="AT188" s="974"/>
      <c r="AU188" s="176"/>
      <c r="AV188" s="176"/>
      <c r="AW188" s="176"/>
      <c r="AX188" s="178"/>
      <c r="AY188" s="974"/>
      <c r="AZ188" s="176"/>
      <c r="BA188" s="176"/>
      <c r="BB188" s="176"/>
      <c r="BC188" s="178"/>
      <c r="BD188" s="974"/>
      <c r="BE188" s="176"/>
      <c r="BF188" s="176"/>
      <c r="BG188" s="176"/>
      <c r="BH188" s="178"/>
      <c r="BI188" s="974"/>
      <c r="BJ188" s="176"/>
      <c r="BK188" s="176"/>
      <c r="BL188" s="176"/>
      <c r="BM188" s="176"/>
      <c r="BN188" s="1007"/>
      <c r="BO188" s="176"/>
      <c r="BP188" s="176"/>
      <c r="BQ188" s="176"/>
      <c r="BR188" s="178"/>
      <c r="BS188" s="974"/>
      <c r="BT188" s="176"/>
      <c r="BU188" s="176"/>
      <c r="BV188" s="176"/>
      <c r="BW188" s="176"/>
      <c r="BX188" s="1007">
        <f>(BS!BA8+BS!BA9+BS!BE8+BS!BE9)/2</f>
        <v>46357</v>
      </c>
      <c r="BY188" s="176"/>
      <c r="BZ188" s="176"/>
      <c r="CA188" s="176"/>
      <c r="CB188" s="176"/>
      <c r="CC188" s="1007"/>
      <c r="CD188" s="176">
        <f>(BS!BE8+BS!BE9+BS!BF8+BS!BF9)/2</f>
        <v>49093</v>
      </c>
      <c r="CE188" s="176">
        <f>(BS!BF8+BS!BF9+BS!BG8+BS!BG9)/2</f>
        <v>52265</v>
      </c>
      <c r="CF188" s="176">
        <f>(BS!BG8+BS!BG9+BS!BH8+BS!BH9)/2</f>
        <v>55477.5</v>
      </c>
      <c r="CG188" s="176">
        <f>(BS!BH8+BS!BH9+BS!BI8+BS!BI9)/2</f>
        <v>57620</v>
      </c>
      <c r="CH188" s="1007">
        <f>(BS!BE8+BS!BE9+BS!BI8+BS!BI9)/2</f>
        <v>53402.5</v>
      </c>
      <c r="CI188" s="176">
        <f>(BS!BI8+BS!BI9+BS!BK8+BS!BK9)/2</f>
        <v>59048</v>
      </c>
      <c r="CJ188" s="176">
        <f>(BS!BK8+BS!BK9+BS!BL8+BS!BL9)/2</f>
        <v>60291.5</v>
      </c>
      <c r="CK188" s="176">
        <f>(BS!BL8+BS!BL9+BS!BM8+BS!BM9)/2</f>
        <v>61680.5</v>
      </c>
      <c r="CL188" s="176">
        <f>(BS!BM8+BS!BM9+BS!BN8+BS!BN9)/2</f>
        <v>63276</v>
      </c>
      <c r="CM188" s="1007">
        <f>(BS!BI8+BS!BI9+BS!BN8+BS!BN9)/2</f>
        <v>61556</v>
      </c>
      <c r="CN188" s="176">
        <f>(BS!BN8+BS!BN9+BS!BP8+BS!BP9)/2</f>
        <v>64915.5</v>
      </c>
      <c r="CO188" s="176">
        <f>(BS!BP8+BS!BP9+BS!BQ8+BS!BQ9)/2</f>
        <v>67608</v>
      </c>
      <c r="CP188" s="176">
        <f>(BS!BQ8+BS!BQ9+BS!BR8+BS!BR9)/2</f>
        <v>71273.5</v>
      </c>
      <c r="CQ188" s="176">
        <f>(BS!BR8+BS!BR9+BS!BS8+BS!BS9)/2</f>
        <v>72916.5</v>
      </c>
      <c r="CR188" s="1007">
        <f>(BS!BR8+BS!BR9+BS!BM8+BS!BM9)/2</f>
        <v>67462</v>
      </c>
      <c r="CS188" s="176">
        <f>(BS!BS8+BS!BS9+BS!BU8+BS!BU9)/2</f>
        <v>74165</v>
      </c>
      <c r="CT188" s="176">
        <f>(BS!BU8+BS!BU9+BS!BV8+BS!BV9)/2</f>
        <v>76862</v>
      </c>
      <c r="CU188" s="176">
        <f>(BS!BV8+BS!BV9+BS!BW8+BS!BW9)/2</f>
        <v>80758</v>
      </c>
      <c r="CV188" s="176">
        <f>(BS!BW8+BS!BW9+BS!BX8+BS!BX9)/2</f>
        <v>84694.5</v>
      </c>
      <c r="CW188" s="1007">
        <f>(BS!BX8+BS!BX9+BS!BS8+BS!BS9)/2</f>
        <v>79699.5</v>
      </c>
      <c r="CX188" s="176">
        <f>(BS!BY8+BS!BY9+BS!BZ8+BS!BZ9)/2</f>
        <v>89386</v>
      </c>
      <c r="CY188" s="176">
        <f>(BS!BZ8+BS!BZ9+BS!CA8+BS!CA9)/2</f>
        <v>93576</v>
      </c>
      <c r="CZ188" s="176">
        <f>(BS!CA8+BS!CA9+BS!CB8+BS!CB9)/2</f>
        <v>97428</v>
      </c>
      <c r="DA188" s="176">
        <f>(BS!CB8+BS!CB9+BS!CC8+BS!CC9)/2</f>
        <v>101007</v>
      </c>
      <c r="DB188" s="1007">
        <f>(BS!CD8+BS!CD9+BS!BY8+BS!BY9)/2</f>
        <v>94102</v>
      </c>
      <c r="DC188" s="176">
        <f>(BS!CD8+BS!CD9+BS!CE8+BS!CE9)/2</f>
        <v>102378</v>
      </c>
      <c r="DD188" s="176">
        <f>(BS!CE8+BS!CE9+BS!CF8+BS!CF9)/2</f>
        <v>102569.5</v>
      </c>
      <c r="DE188" s="176">
        <f>(BS!CF8+BS!CF9+BS!CG8+BS!CG9)/2</f>
        <v>104335</v>
      </c>
      <c r="DF188" s="176">
        <f>(BS!CG8+BS!CG9+BS!CH8+BS!CH9)/2</f>
        <v>107778</v>
      </c>
      <c r="DG188" s="1007">
        <f>(BS!CD8+BS!CD9+BS!CI8+BS!CI9)/2</f>
        <v>105505.5</v>
      </c>
      <c r="DH188" s="176">
        <f>(BS!CI8+BS!CI9+BS!CJ8+BS!CJ9)/2</f>
        <v>111314</v>
      </c>
      <c r="DI188" s="176">
        <f>(BS!CJ8+BS!CJ9+BS!CK8+BS!CK9)/2</f>
        <v>117272</v>
      </c>
      <c r="DJ188" s="176">
        <f>(BS!CK8+BS!CK9+BS!CL8+BS!CL9)/2</f>
        <v>121116.5</v>
      </c>
      <c r="DK188" s="176">
        <f>(BS!CL8+BS!CL9+BS!CM8+BS!CM9)/2</f>
        <v>120426</v>
      </c>
      <c r="DL188" s="3967">
        <f>(BS!CI8+BS!CI9+BS!CN8+BS!CN9)/2</f>
        <v>114407.5</v>
      </c>
      <c r="DM188" s="3593">
        <f>(BS!CN8+BS!CN9+BS!CO8+BS!CO9)/2</f>
        <v>118452</v>
      </c>
      <c r="DN188" s="3593">
        <f>(BS!CO8+BS!CO9+BS!CP8+BS!CP9)/2</f>
        <v>119154.5</v>
      </c>
      <c r="DO188" s="3593">
        <f>(BS!CP8+BS!CP9+BS!CQ8+BS!CQ9)/2</f>
        <v>126838</v>
      </c>
      <c r="DP188" s="3593">
        <f>(BS!CQ8+BS!CQ9+BS!CR8+BS!CR9)/2</f>
        <v>134645</v>
      </c>
      <c r="DQ188" s="3967">
        <f>(BS!CN8+BS!CN9+BS!CS8+BS!CS9)/2</f>
        <v>128184.5</v>
      </c>
      <c r="DR188" s="3593">
        <f>(BS!CS8+BS!CS9+BS!CT8+BS!CT9)/2</f>
        <v>135899</v>
      </c>
      <c r="DS188" s="3593">
        <f>(BS!CT8+BS!CT9+BS!CU8+BS!CU9)/2</f>
        <v>135483.5</v>
      </c>
      <c r="DT188" s="3593">
        <f>(BS!CU8+BS!CU9+BS!CV8+BS!CV9)/2</f>
        <v>138933</v>
      </c>
      <c r="DU188" s="3593">
        <f>(BS!CV8+BS!CV9+BS!CW8+BS!CW9)/2</f>
        <v>140826</v>
      </c>
      <c r="DV188" s="3967">
        <f>(BS!CS8+BS!CS9+BS!CX8+BS!CX9)/2</f>
        <v>138171.5</v>
      </c>
      <c r="DW188" s="3593">
        <f>(BS!CX8+BS!CX9+BS!CY8+BS!CY9)/2</f>
        <v>136809.5</v>
      </c>
      <c r="DX188" s="3593">
        <f>(BS!CY8+BS!CY9+BS!CZ8+BS!CZ9)/2</f>
        <v>129483.5</v>
      </c>
      <c r="DY188" s="3593">
        <f>(BS!CZ8+BS!CZ9+BS!DA8+BS!DA9)/2</f>
        <v>120628</v>
      </c>
      <c r="DZ188" s="3593">
        <f>(BS!DA8+BS!DA9+BS!DB8+BS!DB9)/2</f>
        <v>115010.5</v>
      </c>
      <c r="EA188" s="3967">
        <f>(BS!CX8+BS!CX9+BS!DC8+BS!DC9)/2</f>
        <v>126705.5</v>
      </c>
      <c r="EB188" s="3593">
        <f>(BS!DC8+BS!DC9+BS!DD8+BS!DD9)/2</f>
        <v>114432</v>
      </c>
      <c r="EC188" s="3593">
        <f>(BS!DD8+BS!DD9+BS!DE8+BS!DE9)/2</f>
        <v>116717</v>
      </c>
      <c r="ED188" s="3593">
        <f>(BS!DE8+BS!DE9+BS!DF8+BS!DF9)/2</f>
        <v>119133.5</v>
      </c>
      <c r="EE188" s="3593">
        <f>(BS!DF8+BS!DF9+BS!DG8+BS!DG9)/2</f>
        <v>115425.5</v>
      </c>
      <c r="EF188" s="3967">
        <f>(BS!DC8+BS!DC9+BS!DH8+BS!DH9)/2</f>
        <v>112339</v>
      </c>
      <c r="EG188" s="3593">
        <f>(BS!DH8+BS!DH9+BS!DI8+BS!DI9)/2</f>
        <v>109503</v>
      </c>
      <c r="EH188" s="3593">
        <f>(BS!DI8+BS!DI9+BS!DJ8+BS!DJ9)/2</f>
        <v>104407.5</v>
      </c>
      <c r="EI188" s="3593">
        <f>(BS!DJ8+BS!DJ9+BS!DK8+BS!DK9)/2</f>
        <v>96977.5</v>
      </c>
      <c r="EJ188" s="3593">
        <f>(BS!DK8+BS!DK9+BS!DL8+BS!DL9)/2</f>
        <v>94443.5</v>
      </c>
      <c r="EK188" s="3967">
        <f>(BS!DH8+BS!DH9+BS!DM8+BS!DM9)/2</f>
        <v>103286.5</v>
      </c>
      <c r="EL188" s="3593">
        <f>(BS!DM8+BS!DM9+BS!DN8+BS!DN9)/2</f>
        <v>95492.5</v>
      </c>
      <c r="EM188" s="3593">
        <f>(BS!DN8+BS!DN9+BS!DO8+BS!DO9)/2</f>
        <v>95238</v>
      </c>
      <c r="EN188" s="3593">
        <f>(BS!DO8+BS!DO9+BS!DP8+BS!DP9)/2</f>
        <v>96822</v>
      </c>
      <c r="EO188" s="3593">
        <f ca="1">(BS!DP8+BS!DP9+BS!DQ8+BS!DQ9)/2</f>
        <v>98422.241341137385</v>
      </c>
      <c r="EP188" s="3967">
        <f ca="1">(BS!DM8+BS!DM9+BS!DR8+BS!DR9)/2</f>
        <v>97002.741341137385</v>
      </c>
      <c r="EQ188" s="3593">
        <f ca="1">(BS!DR8+BS!DR9+BS!DS8+BS!DS9)/2</f>
        <v>97224.31935665285</v>
      </c>
      <c r="ER188" s="3593">
        <f ca="1">(BS!DS8+BS!DS9+BS!DT8+BS!DT9)/2</f>
        <v>87292.947777132649</v>
      </c>
      <c r="ES188" s="3593">
        <f ca="1">(BS!DT8+BS!DT9+BS!DU8+BS!DU9)/2</f>
        <v>78896.51533813696</v>
      </c>
      <c r="ET188" s="3593">
        <f ca="1">(BS!DU8+BS!DU9+BS!DV8+BS!DV9)/2</f>
        <v>79929.753404995747</v>
      </c>
      <c r="EU188" s="3967">
        <f ca="1">(BS!DR8+BS!DR9+BS!DW8+BS!DW9)/2</f>
        <v>89450.349169613357</v>
      </c>
      <c r="EV188" s="3967">
        <f ca="1">(BS!DW8+BS!DW9+BS!DX8+BS!DX9)/2</f>
        <v>72775.510474333569</v>
      </c>
      <c r="EW188" s="3967">
        <f ca="1">(BS!DX8+BS!DX9+BS!DY8+BS!DY9)/2</f>
        <v>64787.138268906026</v>
      </c>
      <c r="EX188" s="3967">
        <f ca="1">(BS!DY8+BS!DY9+BS!DZ8+BS!DZ9)/2</f>
        <v>70722.602613992407</v>
      </c>
      <c r="EY188" s="3967">
        <f ca="1">(BS!DZ8+BS!DZ9+BS!EA8+BS!EA9)/2</f>
        <v>91512.119598852776</v>
      </c>
      <c r="EZ188" s="176"/>
      <c r="FA188" s="1104"/>
      <c r="FB188" s="1104"/>
      <c r="FC188" s="1104"/>
      <c r="FD188" s="1104"/>
      <c r="FE188" s="1104"/>
      <c r="FF188" s="1104"/>
      <c r="FG188" s="1104"/>
      <c r="FH188" s="1104"/>
      <c r="FI188" s="1104"/>
      <c r="FJ188" s="1104"/>
      <c r="FK188" s="1104"/>
      <c r="FL188" s="1104"/>
    </row>
    <row r="189" spans="1:168" s="1320" customFormat="1" ht="11.25" hidden="1" customHeight="1" outlineLevel="1">
      <c r="A189" s="3776" t="s">
        <v>359</v>
      </c>
      <c r="B189" s="253"/>
      <c r="C189" s="253"/>
      <c r="D189" s="253"/>
      <c r="E189" s="1316"/>
      <c r="F189" s="1317"/>
      <c r="G189" s="253"/>
      <c r="H189" s="253"/>
      <c r="I189" s="253"/>
      <c r="J189" s="1316"/>
      <c r="K189" s="1317"/>
      <c r="L189" s="253"/>
      <c r="M189" s="253"/>
      <c r="N189" s="253"/>
      <c r="O189" s="1316"/>
      <c r="P189" s="1317"/>
      <c r="Q189" s="253"/>
      <c r="R189" s="253"/>
      <c r="S189" s="253"/>
      <c r="T189" s="1316"/>
      <c r="U189" s="1317"/>
      <c r="V189" s="1318"/>
      <c r="W189" s="253"/>
      <c r="X189" s="253"/>
      <c r="Y189" s="1316"/>
      <c r="Z189" s="1317"/>
      <c r="AA189" s="1318"/>
      <c r="AB189" s="253"/>
      <c r="AC189" s="253"/>
      <c r="AD189" s="1316"/>
      <c r="AE189" s="1317"/>
      <c r="AF189" s="1318"/>
      <c r="AG189" s="253"/>
      <c r="AH189" s="253"/>
      <c r="AI189" s="1316"/>
      <c r="AJ189" s="1317"/>
      <c r="AK189" s="253"/>
      <c r="AL189" s="253"/>
      <c r="AM189" s="253"/>
      <c r="AN189" s="1316"/>
      <c r="AO189" s="1317"/>
      <c r="AP189" s="253"/>
      <c r="AQ189" s="253"/>
      <c r="AR189" s="253"/>
      <c r="AS189" s="1316"/>
      <c r="AT189" s="1317"/>
      <c r="AU189" s="253"/>
      <c r="AV189" s="253"/>
      <c r="AW189" s="253"/>
      <c r="AX189" s="1316"/>
      <c r="AY189" s="1317"/>
      <c r="AZ189" s="253"/>
      <c r="BA189" s="253"/>
      <c r="BB189" s="253"/>
      <c r="BC189" s="1316"/>
      <c r="BD189" s="1317"/>
      <c r="BE189" s="253"/>
      <c r="BF189" s="253"/>
      <c r="BG189" s="253"/>
      <c r="BH189" s="1316"/>
      <c r="BI189" s="1317"/>
      <c r="BJ189" s="253"/>
      <c r="BK189" s="253"/>
      <c r="BL189" s="253"/>
      <c r="BM189" s="253"/>
      <c r="BN189" s="1045"/>
      <c r="BO189" s="253"/>
      <c r="BP189" s="253"/>
      <c r="BQ189" s="253"/>
      <c r="BR189" s="1316"/>
      <c r="BS189" s="1317"/>
      <c r="BT189" s="253"/>
      <c r="BU189" s="253"/>
      <c r="BV189" s="253"/>
      <c r="BW189" s="253"/>
      <c r="BX189" s="1045"/>
      <c r="BY189" s="253"/>
      <c r="BZ189" s="253"/>
      <c r="CA189" s="253"/>
      <c r="CB189" s="253"/>
      <c r="CC189" s="1045"/>
      <c r="CD189" s="253"/>
      <c r="CE189" s="253"/>
      <c r="CF189" s="253"/>
      <c r="CG189" s="253"/>
      <c r="CH189" s="1045">
        <f>CH188/BX188-1</f>
        <v>0.15198351920961239</v>
      </c>
      <c r="CI189" s="253">
        <f t="shared" ref="CI189:CT189" si="828">CI188/CD188-1</f>
        <v>0.20277840017925164</v>
      </c>
      <c r="CJ189" s="253">
        <f t="shared" si="828"/>
        <v>0.15357313689849805</v>
      </c>
      <c r="CK189" s="253">
        <f t="shared" si="828"/>
        <v>0.11181109458789606</v>
      </c>
      <c r="CL189" s="253">
        <f t="shared" si="828"/>
        <v>9.8160360985768857E-2</v>
      </c>
      <c r="CM189" s="1045">
        <f t="shared" si="828"/>
        <v>0.15268011797200498</v>
      </c>
      <c r="CN189" s="253">
        <f t="shared" si="828"/>
        <v>9.936831052702888E-2</v>
      </c>
      <c r="CO189" s="253">
        <f t="shared" si="828"/>
        <v>0.12135209772521827</v>
      </c>
      <c r="CP189" s="253">
        <f t="shared" si="828"/>
        <v>0.15552727361159513</v>
      </c>
      <c r="CQ189" s="253">
        <f t="shared" si="828"/>
        <v>0.15235634363739803</v>
      </c>
      <c r="CR189" s="1045">
        <f t="shared" si="828"/>
        <v>9.5945155630645207E-2</v>
      </c>
      <c r="CS189" s="253">
        <f t="shared" si="828"/>
        <v>0.14248523080003994</v>
      </c>
      <c r="CT189" s="253">
        <f t="shared" si="828"/>
        <v>0.13687729262809145</v>
      </c>
      <c r="CU189" s="253">
        <f t="shared" ref="CU189:DC189" si="829">CU188/CP188-1</f>
        <v>0.13307189909293071</v>
      </c>
      <c r="CV189" s="253">
        <f t="shared" si="829"/>
        <v>0.16152722634794592</v>
      </c>
      <c r="CW189" s="1045">
        <f t="shared" si="829"/>
        <v>0.18139841688654346</v>
      </c>
      <c r="CX189" s="253">
        <f t="shared" si="829"/>
        <v>0.20523157823771321</v>
      </c>
      <c r="CY189" s="253">
        <f t="shared" si="829"/>
        <v>0.21745465899924543</v>
      </c>
      <c r="CZ189" s="2623">
        <f t="shared" si="829"/>
        <v>0.20641917828574252</v>
      </c>
      <c r="DA189" s="253">
        <f t="shared" si="829"/>
        <v>0.19260400616332829</v>
      </c>
      <c r="DB189" s="1045">
        <f t="shared" si="829"/>
        <v>0.18071004209562158</v>
      </c>
      <c r="DC189" s="2623">
        <f t="shared" si="829"/>
        <v>0.14534714608551669</v>
      </c>
      <c r="DD189" s="2623">
        <f t="shared" ref="DD189:DT189" si="830">DD188/CY188-1</f>
        <v>9.6109045054287412E-2</v>
      </c>
      <c r="DE189" s="2623">
        <f t="shared" si="830"/>
        <v>7.0893377673769242E-2</v>
      </c>
      <c r="DF189" s="2623">
        <f t="shared" si="830"/>
        <v>6.7034957973209686E-2</v>
      </c>
      <c r="DG189" s="1045">
        <f t="shared" si="830"/>
        <v>0.12118233406303802</v>
      </c>
      <c r="DH189" s="2623">
        <f t="shared" si="830"/>
        <v>8.7284377502979238E-2</v>
      </c>
      <c r="DI189" s="2623">
        <f t="shared" si="830"/>
        <v>0.14334183163611014</v>
      </c>
      <c r="DJ189" s="2623">
        <f t="shared" si="830"/>
        <v>0.16084247855465561</v>
      </c>
      <c r="DK189" s="2623">
        <f t="shared" si="830"/>
        <v>0.11735233535600953</v>
      </c>
      <c r="DL189" s="2594">
        <f t="shared" si="830"/>
        <v>8.4374748235873875E-2</v>
      </c>
      <c r="DM189" s="2623">
        <f t="shared" si="830"/>
        <v>6.4124907918141405E-2</v>
      </c>
      <c r="DN189" s="2623">
        <f t="shared" si="830"/>
        <v>1.6052425131318548E-2</v>
      </c>
      <c r="DO189" s="2623">
        <f t="shared" si="830"/>
        <v>4.7239641171929581E-2</v>
      </c>
      <c r="DP189" s="2623">
        <f t="shared" si="830"/>
        <v>0.11807250925879798</v>
      </c>
      <c r="DQ189" s="2594">
        <f t="shared" si="830"/>
        <v>0.12042042698249689</v>
      </c>
      <c r="DR189" s="2623">
        <f t="shared" si="830"/>
        <v>0.1472917299834533</v>
      </c>
      <c r="DS189" s="2623">
        <f t="shared" si="830"/>
        <v>0.13704056498076023</v>
      </c>
      <c r="DT189" s="2623">
        <f t="shared" si="830"/>
        <v>9.5357858055157063E-2</v>
      </c>
      <c r="DU189" s="2623">
        <f t="shared" ref="DU189:EN189" si="831">DU188/DP188-1</f>
        <v>4.5905900701845637E-2</v>
      </c>
      <c r="DV189" s="2594">
        <f t="shared" si="831"/>
        <v>7.7911135901766571E-2</v>
      </c>
      <c r="DW189" s="2623">
        <f t="shared" si="831"/>
        <v>6.6998285491430831E-3</v>
      </c>
      <c r="DX189" s="2623">
        <f t="shared" si="831"/>
        <v>-4.4285835544549679E-2</v>
      </c>
      <c r="DY189" s="2623">
        <f t="shared" si="831"/>
        <v>-0.13175415488040998</v>
      </c>
      <c r="DZ189" s="2623">
        <f t="shared" si="831"/>
        <v>-0.18331487083351083</v>
      </c>
      <c r="EA189" s="2594">
        <f t="shared" si="831"/>
        <v>-8.2983828068740606E-2</v>
      </c>
      <c r="EB189" s="2623">
        <f t="shared" si="831"/>
        <v>-0.1635668575647159</v>
      </c>
      <c r="EC189" s="2623">
        <f t="shared" si="831"/>
        <v>-9.8595573953438098E-2</v>
      </c>
      <c r="ED189" s="2623">
        <f t="shared" si="831"/>
        <v>-1.2389329177305397E-2</v>
      </c>
      <c r="EE189" s="2623">
        <f t="shared" si="831"/>
        <v>3.608366192652035E-3</v>
      </c>
      <c r="EF189" s="2594">
        <f t="shared" ref="EF189:EK189" si="832">EF188/EA188-1</f>
        <v>-0.11338497539570103</v>
      </c>
      <c r="EG189" s="2623">
        <f t="shared" si="831"/>
        <v>-4.3073615771812124E-2</v>
      </c>
      <c r="EH189" s="2623">
        <f t="shared" si="831"/>
        <v>-0.10546449960160043</v>
      </c>
      <c r="EI189" s="2623">
        <f t="shared" si="831"/>
        <v>-0.18597623674281372</v>
      </c>
      <c r="EJ189" s="2623">
        <f t="shared" si="831"/>
        <v>-0.18177958943214456</v>
      </c>
      <c r="EK189" s="2594">
        <f t="shared" si="832"/>
        <v>-8.0581988445686759E-2</v>
      </c>
      <c r="EL189" s="2623">
        <f t="shared" si="831"/>
        <v>-0.12794626631233852</v>
      </c>
      <c r="EM189" s="2623">
        <f t="shared" si="831"/>
        <v>-8.7824150563896253E-2</v>
      </c>
      <c r="EN189" s="2623">
        <f t="shared" si="831"/>
        <v>-1.6034647211982112E-3</v>
      </c>
      <c r="EO189" s="2623">
        <f t="shared" ref="EO189:EP189" ca="1" si="833">EO188/EJ188-1</f>
        <v>4.2128270777103571E-2</v>
      </c>
      <c r="EP189" s="2594">
        <f t="shared" ca="1" si="833"/>
        <v>-6.0838141081967279E-2</v>
      </c>
      <c r="EQ189" s="2623">
        <f t="shared" ref="EQ189" ca="1" si="834">EQ188/EL188-1</f>
        <v>1.8135658367440799E-2</v>
      </c>
      <c r="ER189" s="2623">
        <f t="shared" ref="ER189" ca="1" si="835">ER188/EM188-1</f>
        <v>-8.34231317632389E-2</v>
      </c>
      <c r="ES189" s="2623">
        <f t="shared" ref="ES189" ca="1" si="836">ES188/EN188-1</f>
        <v>-0.18513854972901866</v>
      </c>
      <c r="ET189" s="2623">
        <f t="shared" ref="ET189:EU189" ca="1" si="837">ET188/EO188-1</f>
        <v>-0.1878893193668042</v>
      </c>
      <c r="EU189" s="2594">
        <f t="shared" ca="1" si="837"/>
        <v>-7.7857512757953051E-2</v>
      </c>
      <c r="EV189" s="2594">
        <f ca="1">EV188/EU188-1</f>
        <v>-0.18641446176650922</v>
      </c>
      <c r="EW189" s="2594">
        <f ca="1">EW188/EV188-1</f>
        <v>-0.10976731256656558</v>
      </c>
      <c r="EX189" s="2594">
        <f ca="1">EX188/EW188-1</f>
        <v>9.1614856029766267E-2</v>
      </c>
      <c r="EY189" s="2594">
        <f ca="1">EY188/EX188-1</f>
        <v>0.29395859621188736</v>
      </c>
      <c r="EZ189" s="253"/>
      <c r="FA189" s="1319"/>
      <c r="FB189" s="1319"/>
      <c r="FC189" s="1319"/>
      <c r="FD189" s="1319"/>
      <c r="FE189" s="1319"/>
      <c r="FF189" s="1319"/>
      <c r="FG189" s="1319"/>
      <c r="FH189" s="1319"/>
      <c r="FI189" s="1319"/>
      <c r="FJ189" s="1319"/>
      <c r="FK189" s="1319"/>
      <c r="FL189" s="1319"/>
    </row>
    <row r="190" spans="1:168" s="1280" customFormat="1" ht="11.25" hidden="1" customHeight="1" outlineLevel="1">
      <c r="A190" s="3775" t="s">
        <v>399</v>
      </c>
      <c r="B190" s="246"/>
      <c r="C190" s="246"/>
      <c r="D190" s="246"/>
      <c r="E190" s="1277"/>
      <c r="F190" s="1278"/>
      <c r="G190" s="246"/>
      <c r="H190" s="246"/>
      <c r="I190" s="246"/>
      <c r="J190" s="1277"/>
      <c r="K190" s="1278"/>
      <c r="L190" s="246"/>
      <c r="M190" s="246"/>
      <c r="N190" s="246"/>
      <c r="O190" s="1277"/>
      <c r="P190" s="1278"/>
      <c r="Q190" s="246"/>
      <c r="R190" s="246"/>
      <c r="S190" s="246"/>
      <c r="T190" s="1277"/>
      <c r="U190" s="1278"/>
      <c r="V190" s="1279"/>
      <c r="W190" s="246"/>
      <c r="X190" s="246"/>
      <c r="Y190" s="1277"/>
      <c r="Z190" s="1278"/>
      <c r="AA190" s="1279"/>
      <c r="AB190" s="246"/>
      <c r="AC190" s="246"/>
      <c r="AD190" s="1277"/>
      <c r="AE190" s="1278"/>
      <c r="AF190" s="1279"/>
      <c r="AG190" s="246"/>
      <c r="AH190" s="246"/>
      <c r="AI190" s="1277"/>
      <c r="AJ190" s="1278"/>
      <c r="AK190" s="246"/>
      <c r="AL190" s="246"/>
      <c r="AM190" s="246"/>
      <c r="AN190" s="1277"/>
      <c r="AO190" s="1278"/>
      <c r="AP190" s="246"/>
      <c r="AQ190" s="246"/>
      <c r="AR190" s="246"/>
      <c r="AS190" s="1277"/>
      <c r="AT190" s="1278"/>
      <c r="AU190" s="246"/>
      <c r="AV190" s="246"/>
      <c r="AW190" s="246"/>
      <c r="AX190" s="1277"/>
      <c r="AY190" s="1278"/>
      <c r="AZ190" s="246"/>
      <c r="BA190" s="246"/>
      <c r="BB190" s="246"/>
      <c r="BC190" s="1277"/>
      <c r="BD190" s="1278"/>
      <c r="BE190" s="246"/>
      <c r="BF190" s="246"/>
      <c r="BG190" s="246"/>
      <c r="BH190" s="1277"/>
      <c r="BI190" s="1278"/>
      <c r="BJ190" s="246"/>
      <c r="BK190" s="246"/>
      <c r="BL190" s="246"/>
      <c r="BM190" s="246"/>
      <c r="BN190" s="1042"/>
      <c r="BO190" s="246"/>
      <c r="BP190" s="246"/>
      <c r="BQ190" s="246"/>
      <c r="BR190" s="1277"/>
      <c r="BS190" s="1278"/>
      <c r="BT190" s="246"/>
      <c r="BU190" s="246"/>
      <c r="BV190" s="246"/>
      <c r="BW190" s="246"/>
      <c r="BX190" s="1281">
        <f>BX186/BX188</f>
        <v>1.5100200616951054E-2</v>
      </c>
      <c r="BY190" s="246"/>
      <c r="BZ190" s="246"/>
      <c r="CA190" s="246"/>
      <c r="CB190" s="246"/>
      <c r="CC190" s="1042"/>
      <c r="CD190" s="726">
        <f t="shared" ref="CD190:DA190" si="838">CD186/CD188</f>
        <v>3.6665105004786832E-3</v>
      </c>
      <c r="CE190" s="726">
        <f t="shared" si="838"/>
        <v>3.4822538984023727E-3</v>
      </c>
      <c r="CF190" s="726">
        <f t="shared" si="838"/>
        <v>3.5329638141588932E-3</v>
      </c>
      <c r="CG190" s="726">
        <f t="shared" si="838"/>
        <v>3.6098576883026728E-3</v>
      </c>
      <c r="CH190" s="1281">
        <f t="shared" si="838"/>
        <v>1.4343897757595618E-2</v>
      </c>
      <c r="CI190" s="726">
        <f t="shared" si="838"/>
        <v>2.8451429345617125E-3</v>
      </c>
      <c r="CJ190" s="726">
        <f t="shared" si="838"/>
        <v>2.8030485225943955E-3</v>
      </c>
      <c r="CK190" s="726">
        <f t="shared" si="838"/>
        <v>3.0317523366379974E-3</v>
      </c>
      <c r="CL190" s="726">
        <f t="shared" si="838"/>
        <v>3.5084392186611039E-3</v>
      </c>
      <c r="CM190" s="1281">
        <f t="shared" si="838"/>
        <v>1.2119046071869517E-2</v>
      </c>
      <c r="CN190" s="726">
        <f t="shared" si="838"/>
        <v>3.4814489605718203E-3</v>
      </c>
      <c r="CO190" s="726">
        <f t="shared" si="838"/>
        <v>3.549875754348598E-3</v>
      </c>
      <c r="CP190" s="726">
        <f t="shared" si="838"/>
        <v>3.6338891733954416E-3</v>
      </c>
      <c r="CQ190" s="726">
        <f t="shared" si="838"/>
        <v>3.7577228747951424E-3</v>
      </c>
      <c r="CR190" s="1281">
        <f t="shared" si="838"/>
        <v>1.4808336545017935E-2</v>
      </c>
      <c r="CS190" s="726">
        <f t="shared" si="838"/>
        <v>3.640531247893211E-3</v>
      </c>
      <c r="CT190" s="726">
        <f t="shared" si="838"/>
        <v>3.9941713720694234E-3</v>
      </c>
      <c r="CU190" s="726">
        <f t="shared" si="838"/>
        <v>3.9376903836152452E-3</v>
      </c>
      <c r="CV190" s="726">
        <f t="shared" si="838"/>
        <v>3.8373211955912132E-3</v>
      </c>
      <c r="CW190" s="1281">
        <f>CW186/CW188</f>
        <v>1.5307498792338722E-2</v>
      </c>
      <c r="CX190" s="726">
        <f t="shared" si="838"/>
        <v>3.4904794934329762E-3</v>
      </c>
      <c r="CY190" s="726">
        <f t="shared" si="838"/>
        <v>3.1418312387791743E-3</v>
      </c>
      <c r="CZ190" s="726">
        <f t="shared" si="838"/>
        <v>3.1407808843453627E-3</v>
      </c>
      <c r="DA190" s="726">
        <f t="shared" si="838"/>
        <v>3.9601215757323746E-3</v>
      </c>
      <c r="DB190" s="1281">
        <f t="shared" ref="DB190:DG190" si="839">DB186/DB188</f>
        <v>1.3942317910352596E-2</v>
      </c>
      <c r="DC190" s="726">
        <f t="shared" si="839"/>
        <v>3.8973216902068804E-3</v>
      </c>
      <c r="DD190" s="726">
        <f t="shared" si="839"/>
        <v>4.4457660415620631E-3</v>
      </c>
      <c r="DE190" s="726">
        <f t="shared" si="839"/>
        <v>4.6101499976038719E-3</v>
      </c>
      <c r="DF190" s="726">
        <f t="shared" si="839"/>
        <v>5.0288556106069882E-3</v>
      </c>
      <c r="DG190" s="1281">
        <f t="shared" si="839"/>
        <v>1.7800019904175613E-2</v>
      </c>
      <c r="DH190" s="726">
        <f t="shared" ref="DH190:DN190" si="840">DH186/DH188</f>
        <v>4.6894370878775354E-3</v>
      </c>
      <c r="DI190" s="726">
        <f t="shared" si="840"/>
        <v>5.5682515860563473E-3</v>
      </c>
      <c r="DJ190" s="726">
        <f t="shared" si="840"/>
        <v>5.2098599282508987E-3</v>
      </c>
      <c r="DK190" s="726">
        <f t="shared" si="840"/>
        <v>5.1566937372328238E-3</v>
      </c>
      <c r="DL190" s="1281">
        <f>DL186/DL188</f>
        <v>2.1213644210388304E-2</v>
      </c>
      <c r="DM190" s="726">
        <f t="shared" si="840"/>
        <v>4.9471515888292305E-3</v>
      </c>
      <c r="DN190" s="726">
        <f t="shared" si="840"/>
        <v>3.6339374509565311E-3</v>
      </c>
      <c r="DO190" s="726">
        <f t="shared" ref="DO190:DU190" si="841">DO186/DO188</f>
        <v>3.6266733944086155E-3</v>
      </c>
      <c r="DP190" s="726">
        <f t="shared" si="841"/>
        <v>2.8667978758958744E-3</v>
      </c>
      <c r="DQ190" s="1281">
        <f t="shared" si="841"/>
        <v>1.4549340988965124E-2</v>
      </c>
      <c r="DR190" s="726">
        <f t="shared" si="841"/>
        <v>2.5386500268581814E-3</v>
      </c>
      <c r="DS190" s="726">
        <f t="shared" si="841"/>
        <v>2.8711983378049725E-3</v>
      </c>
      <c r="DT190" s="726">
        <f t="shared" si="841"/>
        <v>2.7855153203342618E-3</v>
      </c>
      <c r="DU190" s="726">
        <f t="shared" si="841"/>
        <v>2.6841634357291978E-3</v>
      </c>
      <c r="DV190" s="1281">
        <f t="shared" ref="DV190:EA190" si="842">DV186/DV188</f>
        <v>1.0848836409824023E-2</v>
      </c>
      <c r="DW190" s="726">
        <f t="shared" si="842"/>
        <v>3.0261056432484587E-3</v>
      </c>
      <c r="DX190" s="726">
        <f t="shared" si="842"/>
        <v>3.7533739820131522E-3</v>
      </c>
      <c r="DY190" s="726">
        <f t="shared" si="842"/>
        <v>5.0983187982889542E-3</v>
      </c>
      <c r="DZ190" s="726">
        <f t="shared" si="842"/>
        <v>5.7299116167654259E-3</v>
      </c>
      <c r="EA190" s="1281">
        <f t="shared" si="842"/>
        <v>1.7157897644537925E-2</v>
      </c>
      <c r="EB190" s="726">
        <f>EB186/EB188</f>
        <v>6.9648350111856825E-3</v>
      </c>
      <c r="EC190" s="726">
        <f>EC186/EC188</f>
        <v>7.6424171286102278E-3</v>
      </c>
      <c r="ED190" s="726">
        <f>ED186/ED188</f>
        <v>8.9479449525112584E-3</v>
      </c>
      <c r="EE190" s="726">
        <f t="shared" ref="EE190" si="843">EE186/EE188</f>
        <v>9.6165925207168258E-3</v>
      </c>
      <c r="EF190" s="1281">
        <f>EF186/EF188</f>
        <v>3.4404792636573228E-2</v>
      </c>
      <c r="EG190" s="726">
        <f>EG186/EG188</f>
        <v>9.6892322584769368E-3</v>
      </c>
      <c r="EH190" s="726">
        <f>EH186/EH188</f>
        <v>1.0439863036659244E-2</v>
      </c>
      <c r="EI190" s="726">
        <f>EI186/EI188</f>
        <v>1.2817406099352942E-2</v>
      </c>
      <c r="EJ190" s="726">
        <f t="shared" ref="EJ190" si="844">EJ186/EJ188</f>
        <v>1.1520115201152011E-2</v>
      </c>
      <c r="EK190" s="1281">
        <f>EK186/EK188</f>
        <v>4.3393860765927786E-2</v>
      </c>
      <c r="EL190" s="726">
        <f>EL186/EL188</f>
        <v>1.0482498625546509E-2</v>
      </c>
      <c r="EM190" s="726">
        <f>EM186/EM188</f>
        <v>1.1025011025011026E-2</v>
      </c>
      <c r="EN190" s="726">
        <f>EN186/EN188</f>
        <v>1.1113176757348537E-2</v>
      </c>
      <c r="EO190" s="1308">
        <f t="shared" ref="EO190" si="845">EN190</f>
        <v>1.1113176757348537E-2</v>
      </c>
      <c r="EP190" s="1281">
        <f ca="1">EP186/EP188</f>
        <v>4.3512004985868435E-2</v>
      </c>
      <c r="EQ190" s="1308">
        <f>EO190</f>
        <v>1.1113176757348537E-2</v>
      </c>
      <c r="ER190" s="1308">
        <f t="shared" ref="ER190" si="846">EQ190</f>
        <v>1.1113176757348537E-2</v>
      </c>
      <c r="ES190" s="1308">
        <f t="shared" ref="ES190" si="847">ER190</f>
        <v>1.1113176757348537E-2</v>
      </c>
      <c r="ET190" s="1308">
        <f t="shared" ref="ET190" si="848">ES190</f>
        <v>1.1113176757348537E-2</v>
      </c>
      <c r="EU190" s="1281">
        <f ca="1">EU186/EU188</f>
        <v>4.2656484162606471E-2</v>
      </c>
      <c r="EV190" s="1309">
        <f>ET190*4</f>
        <v>4.4452707029394148E-2</v>
      </c>
      <c r="EW190" s="1309">
        <f>EV190</f>
        <v>4.4452707029394148E-2</v>
      </c>
      <c r="EX190" s="1309">
        <f>EW190</f>
        <v>4.4452707029394148E-2</v>
      </c>
      <c r="EY190" s="1309">
        <f>EX190</f>
        <v>4.4452707029394148E-2</v>
      </c>
      <c r="EZ190" s="246"/>
      <c r="FA190" s="1319"/>
      <c r="FB190" s="1319"/>
      <c r="FC190" s="1319"/>
      <c r="FD190" s="1319"/>
      <c r="FE190" s="1319"/>
      <c r="FF190" s="1319"/>
      <c r="FG190" s="1319"/>
      <c r="FH190" s="1319"/>
      <c r="FI190" s="1319"/>
      <c r="FJ190" s="1319"/>
      <c r="FK190" s="1319"/>
      <c r="FL190" s="1319"/>
    </row>
    <row r="191" spans="1:168" s="84" customFormat="1" ht="11.25" hidden="1" customHeight="1" outlineLevel="1">
      <c r="A191" s="3750" t="s">
        <v>397</v>
      </c>
      <c r="B191" s="176"/>
      <c r="C191" s="176"/>
      <c r="D191" s="176"/>
      <c r="E191" s="178"/>
      <c r="F191" s="974"/>
      <c r="G191" s="176"/>
      <c r="H191" s="176"/>
      <c r="I191" s="176"/>
      <c r="J191" s="178"/>
      <c r="K191" s="974"/>
      <c r="L191" s="176"/>
      <c r="M191" s="176"/>
      <c r="N191" s="176"/>
      <c r="O191" s="178"/>
      <c r="P191" s="974"/>
      <c r="Q191" s="176"/>
      <c r="R191" s="176"/>
      <c r="S191" s="176"/>
      <c r="T191" s="178"/>
      <c r="U191" s="974"/>
      <c r="V191" s="975"/>
      <c r="W191" s="176"/>
      <c r="X191" s="176"/>
      <c r="Y191" s="178"/>
      <c r="Z191" s="974"/>
      <c r="AA191" s="975"/>
      <c r="AB191" s="176"/>
      <c r="AC191" s="176"/>
      <c r="AD191" s="178"/>
      <c r="AE191" s="974"/>
      <c r="AF191" s="975"/>
      <c r="AG191" s="176"/>
      <c r="AH191" s="176"/>
      <c r="AI191" s="178"/>
      <c r="AJ191" s="974"/>
      <c r="AK191" s="176"/>
      <c r="AL191" s="176"/>
      <c r="AM191" s="176"/>
      <c r="AN191" s="178"/>
      <c r="AO191" s="974"/>
      <c r="AP191" s="176"/>
      <c r="AQ191" s="176"/>
      <c r="AR191" s="176"/>
      <c r="AS191" s="178"/>
      <c r="AT191" s="974"/>
      <c r="AU191" s="176"/>
      <c r="AV191" s="176"/>
      <c r="AW191" s="176"/>
      <c r="AX191" s="178"/>
      <c r="AY191" s="974"/>
      <c r="AZ191" s="176"/>
      <c r="BA191" s="176"/>
      <c r="BB191" s="176"/>
      <c r="BC191" s="178"/>
      <c r="BD191" s="974"/>
      <c r="BE191" s="176"/>
      <c r="BF191" s="176"/>
      <c r="BG191" s="176"/>
      <c r="BH191" s="178"/>
      <c r="BI191" s="974"/>
      <c r="BJ191" s="176"/>
      <c r="BK191" s="176"/>
      <c r="BL191" s="176"/>
      <c r="BM191" s="176"/>
      <c r="BN191" s="1007"/>
      <c r="BO191" s="176"/>
      <c r="BP191" s="176"/>
      <c r="BQ191" s="176"/>
      <c r="BR191" s="178"/>
      <c r="BS191" s="974"/>
      <c r="BT191" s="176"/>
      <c r="BU191" s="176"/>
      <c r="BV191" s="176"/>
      <c r="BW191" s="176"/>
      <c r="BX191" s="1315">
        <v>-85</v>
      </c>
      <c r="BY191" s="176"/>
      <c r="BZ191" s="176"/>
      <c r="CA191" s="176"/>
      <c r="CB191" s="176"/>
      <c r="CC191" s="1007"/>
      <c r="CD191" s="179">
        <v>-21</v>
      </c>
      <c r="CE191" s="179">
        <v>-19</v>
      </c>
      <c r="CF191" s="179">
        <v>-19</v>
      </c>
      <c r="CG191" s="179">
        <f>-81-SUM(CD191:CF191)</f>
        <v>-22</v>
      </c>
      <c r="CH191" s="1007">
        <f>SUM(CD191:CG191)</f>
        <v>-81</v>
      </c>
      <c r="CI191" s="179">
        <v>-24</v>
      </c>
      <c r="CJ191" s="179">
        <v>-27</v>
      </c>
      <c r="CK191" s="179">
        <v>-25</v>
      </c>
      <c r="CL191" s="179">
        <v>-25</v>
      </c>
      <c r="CM191" s="1007">
        <f>SUM(CI191:CL191)</f>
        <v>-101</v>
      </c>
      <c r="CN191" s="179">
        <v>-26</v>
      </c>
      <c r="CO191" s="179">
        <f>-26</f>
        <v>-26</v>
      </c>
      <c r="CP191" s="179">
        <v>-26</v>
      </c>
      <c r="CQ191" s="179">
        <v>-26</v>
      </c>
      <c r="CR191" s="1007">
        <f>SUM(CN191:CQ191)</f>
        <v>-104</v>
      </c>
      <c r="CS191" s="179">
        <v>-30</v>
      </c>
      <c r="CT191" s="179">
        <v>-32</v>
      </c>
      <c r="CU191" s="179">
        <v>-29</v>
      </c>
      <c r="CV191" s="179">
        <v>-33</v>
      </c>
      <c r="CW191" s="1007">
        <f>SUM(CS191:CV191)</f>
        <v>-124</v>
      </c>
      <c r="CX191" s="179">
        <v>-25</v>
      </c>
      <c r="CY191" s="179">
        <v>-21</v>
      </c>
      <c r="CZ191" s="179">
        <v>-27</v>
      </c>
      <c r="DA191" s="179">
        <v>-36</v>
      </c>
      <c r="DB191" s="1007">
        <f>SUM(CX191:DA191)</f>
        <v>-109</v>
      </c>
      <c r="DC191" s="179">
        <v>-30</v>
      </c>
      <c r="DD191" s="179">
        <v>-27</v>
      </c>
      <c r="DE191" s="179">
        <v>-28</v>
      </c>
      <c r="DF191" s="179">
        <v>-29</v>
      </c>
      <c r="DG191" s="1007">
        <f t="shared" ref="DG191:DG197" si="849">SUM(DC191:DF191)</f>
        <v>-114</v>
      </c>
      <c r="DH191" s="179">
        <v>-35</v>
      </c>
      <c r="DI191" s="179">
        <v>-25</v>
      </c>
      <c r="DJ191" s="179">
        <v>-23</v>
      </c>
      <c r="DK191" s="179">
        <v>-17</v>
      </c>
      <c r="DL191" s="3967">
        <f t="shared" ref="DL191:DL197" si="850">SUM(DH191:DK191)</f>
        <v>-100</v>
      </c>
      <c r="DM191" s="4812">
        <v>-21</v>
      </c>
      <c r="DN191" s="4812">
        <v>-13</v>
      </c>
      <c r="DO191" s="4812">
        <v>-48</v>
      </c>
      <c r="DP191" s="4812">
        <v>-53</v>
      </c>
      <c r="DQ191" s="3967">
        <f t="shared" ref="DQ191:DQ197" si="851">SUM(DM191:DP191)</f>
        <v>-135</v>
      </c>
      <c r="DR191" s="4812">
        <v>-76</v>
      </c>
      <c r="DS191" s="4812">
        <v>-76</v>
      </c>
      <c r="DT191" s="4812">
        <v>-77</v>
      </c>
      <c r="DU191" s="4812">
        <v>-117</v>
      </c>
      <c r="DV191" s="3967">
        <f t="shared" ref="DV191:DV197" si="852">SUM(DR191:DU191)</f>
        <v>-346</v>
      </c>
      <c r="DW191" s="4812">
        <v>-83</v>
      </c>
      <c r="DX191" s="4812">
        <v>-83</v>
      </c>
      <c r="DY191" s="4812">
        <v>-101</v>
      </c>
      <c r="DZ191" s="4812">
        <v>-90</v>
      </c>
      <c r="EA191" s="3967">
        <f t="shared" ref="EA191:EA197" si="853">SUM(DW191:DZ191)</f>
        <v>-357</v>
      </c>
      <c r="EB191" s="4812">
        <v>-80</v>
      </c>
      <c r="EC191" s="4812">
        <v>-43</v>
      </c>
      <c r="ED191" s="4812">
        <v>-116</v>
      </c>
      <c r="EE191" s="4812">
        <v>-69</v>
      </c>
      <c r="EF191" s="1007">
        <f t="shared" ref="EF191:EF197" si="854">SUM(EB191:EE191)</f>
        <v>-308</v>
      </c>
      <c r="EG191" s="4812">
        <v>-94</v>
      </c>
      <c r="EH191" s="4812">
        <v>-67</v>
      </c>
      <c r="EI191" s="4812">
        <v>-54</v>
      </c>
      <c r="EJ191" s="4812">
        <v>-53</v>
      </c>
      <c r="EK191" s="1007">
        <f t="shared" ref="EK191:EK197" si="855">SUM(EG191:EJ191)</f>
        <v>-268</v>
      </c>
      <c r="EL191" s="4812">
        <v>-34</v>
      </c>
      <c r="EM191" s="4812">
        <v>-261</v>
      </c>
      <c r="EN191" s="4812">
        <v>-143</v>
      </c>
      <c r="EO191" s="459">
        <f>-BS!DQ235*BS!DP236/BS!DP235</f>
        <v>-143</v>
      </c>
      <c r="EP191" s="1007">
        <f t="shared" ref="EP191:EP197" si="856">SUM(EL191:EO191)</f>
        <v>-581</v>
      </c>
      <c r="EQ191" s="459">
        <f>-BS!DS235*BS!DQ236/BS!DQ235</f>
        <v>-143</v>
      </c>
      <c r="ER191" s="459">
        <f>-BS!DT235*BS!DS236/BS!DS235</f>
        <v>-143</v>
      </c>
      <c r="ES191" s="459">
        <f>-BS!DU235*BS!DT236/BS!DT235</f>
        <v>-143</v>
      </c>
      <c r="ET191" s="459">
        <f>-BS!DV235*BS!DU236/BS!DU235</f>
        <v>-143</v>
      </c>
      <c r="EU191" s="1007">
        <f t="shared" ref="EU191:EU197" si="857">SUM(EQ191:ET191)</f>
        <v>-572</v>
      </c>
      <c r="EV191" s="3517">
        <f>-BS!DX235*BS!DW236/BS!DW235</f>
        <v>-503.41056495564698</v>
      </c>
      <c r="EW191" s="3517">
        <f>-BS!DY235*BS!DX236/BS!DX235</f>
        <v>-429.64558144361985</v>
      </c>
      <c r="EX191" s="3517">
        <f>-BS!DZ235*BS!DY236/BS!DY235</f>
        <v>-429.64558144361985</v>
      </c>
      <c r="EY191" s="3517">
        <f>-BS!EA235*BS!DZ236/BS!DZ235</f>
        <v>-429.64558144361985</v>
      </c>
      <c r="EZ191" s="176"/>
      <c r="FA191" s="1104"/>
      <c r="FB191" s="1104"/>
      <c r="FC191" s="1104"/>
      <c r="FD191" s="1104"/>
      <c r="FE191" s="1104"/>
      <c r="FF191" s="1104"/>
      <c r="FG191" s="1104"/>
      <c r="FH191" s="1104"/>
      <c r="FI191" s="1104"/>
      <c r="FJ191" s="1104"/>
      <c r="FK191" s="1104"/>
      <c r="FL191" s="1104"/>
    </row>
    <row r="192" spans="1:168" s="84" customFormat="1" ht="11.25" hidden="1" customHeight="1" outlineLevel="1">
      <c r="A192" s="3750" t="s">
        <v>770</v>
      </c>
      <c r="B192" s="176"/>
      <c r="C192" s="176"/>
      <c r="D192" s="176"/>
      <c r="E192" s="178"/>
      <c r="F192" s="974"/>
      <c r="G192" s="176"/>
      <c r="H192" s="176"/>
      <c r="I192" s="176"/>
      <c r="J192" s="178"/>
      <c r="K192" s="974"/>
      <c r="L192" s="176"/>
      <c r="M192" s="176"/>
      <c r="N192" s="176"/>
      <c r="O192" s="178"/>
      <c r="P192" s="974"/>
      <c r="Q192" s="176"/>
      <c r="R192" s="176"/>
      <c r="S192" s="176"/>
      <c r="T192" s="178"/>
      <c r="U192" s="974"/>
      <c r="V192" s="975"/>
      <c r="W192" s="176"/>
      <c r="X192" s="176"/>
      <c r="Y192" s="178"/>
      <c r="Z192" s="974"/>
      <c r="AA192" s="975"/>
      <c r="AB192" s="176"/>
      <c r="AC192" s="176"/>
      <c r="AD192" s="178"/>
      <c r="AE192" s="974"/>
      <c r="AF192" s="975"/>
      <c r="AG192" s="176"/>
      <c r="AH192" s="176"/>
      <c r="AI192" s="178"/>
      <c r="AJ192" s="974"/>
      <c r="AK192" s="176"/>
      <c r="AL192" s="176"/>
      <c r="AM192" s="176"/>
      <c r="AN192" s="178"/>
      <c r="AO192" s="974"/>
      <c r="AP192" s="176"/>
      <c r="AQ192" s="176"/>
      <c r="AR192" s="176"/>
      <c r="AS192" s="178"/>
      <c r="AT192" s="974"/>
      <c r="AU192" s="176"/>
      <c r="AV192" s="176"/>
      <c r="AW192" s="176"/>
      <c r="AX192" s="178"/>
      <c r="AY192" s="974"/>
      <c r="AZ192" s="176"/>
      <c r="BA192" s="176"/>
      <c r="BB192" s="176"/>
      <c r="BC192" s="178"/>
      <c r="BD192" s="974"/>
      <c r="BE192" s="176"/>
      <c r="BF192" s="176"/>
      <c r="BG192" s="176"/>
      <c r="BH192" s="178"/>
      <c r="BI192" s="974"/>
      <c r="BJ192" s="176"/>
      <c r="BK192" s="176"/>
      <c r="BL192" s="176"/>
      <c r="BM192" s="176"/>
      <c r="BN192" s="1007"/>
      <c r="BO192" s="176"/>
      <c r="BP192" s="176"/>
      <c r="BQ192" s="176"/>
      <c r="BR192" s="178"/>
      <c r="BS192" s="974"/>
      <c r="BT192" s="176"/>
      <c r="BU192" s="176"/>
      <c r="BV192" s="176"/>
      <c r="BW192" s="176"/>
      <c r="BX192" s="1315">
        <v>-514</v>
      </c>
      <c r="BY192" s="176"/>
      <c r="BZ192" s="176"/>
      <c r="CA192" s="176"/>
      <c r="CB192" s="176"/>
      <c r="CC192" s="1007"/>
      <c r="CD192" s="179">
        <v>-61</v>
      </c>
      <c r="CE192" s="179">
        <v>-48</v>
      </c>
      <c r="CF192" s="179">
        <v>-159</v>
      </c>
      <c r="CG192" s="179">
        <f>-379-SUM(CD192:CF192)</f>
        <v>-111</v>
      </c>
      <c r="CH192" s="1007">
        <f>SUM(CD192:CG192)</f>
        <v>-379</v>
      </c>
      <c r="CI192" s="179">
        <v>-109</v>
      </c>
      <c r="CJ192" s="179">
        <v>-93</v>
      </c>
      <c r="CK192" s="179">
        <v>-67</v>
      </c>
      <c r="CL192" s="179">
        <v>-133</v>
      </c>
      <c r="CM192" s="1007">
        <f>SUM(CI192:CL192)</f>
        <v>-402</v>
      </c>
      <c r="CN192" s="179">
        <v>-62</v>
      </c>
      <c r="CO192" s="179">
        <v>-99</v>
      </c>
      <c r="CP192" s="179">
        <v>-100</v>
      </c>
      <c r="CQ192" s="179">
        <v>-161</v>
      </c>
      <c r="CR192" s="1007">
        <f>SUM(CN192:CQ192)</f>
        <v>-422</v>
      </c>
      <c r="CS192" s="179">
        <v>-186</v>
      </c>
      <c r="CT192" s="179">
        <v>-128</v>
      </c>
      <c r="CU192" s="179">
        <v>-123</v>
      </c>
      <c r="CV192" s="179">
        <v>-38</v>
      </c>
      <c r="CW192" s="1007">
        <f>SUM(CS192:CV192)</f>
        <v>-475</v>
      </c>
      <c r="CX192" s="179">
        <v>-2</v>
      </c>
      <c r="CY192" s="179">
        <v>-46</v>
      </c>
      <c r="CZ192" s="179">
        <v>-53</v>
      </c>
      <c r="DA192" s="179">
        <v>-20</v>
      </c>
      <c r="DB192" s="1007">
        <f>SUM(CX192:DA192)</f>
        <v>-121</v>
      </c>
      <c r="DC192" s="179">
        <v>-24</v>
      </c>
      <c r="DD192" s="179">
        <v>-33</v>
      </c>
      <c r="DE192" s="179">
        <v>-55</v>
      </c>
      <c r="DF192" s="179">
        <v>32</v>
      </c>
      <c r="DG192" s="1007">
        <f t="shared" si="849"/>
        <v>-80</v>
      </c>
      <c r="DH192" s="179">
        <v>74</v>
      </c>
      <c r="DI192" s="179">
        <v>-52</v>
      </c>
      <c r="DJ192" s="179">
        <v>41</v>
      </c>
      <c r="DK192" s="179">
        <v>40</v>
      </c>
      <c r="DL192" s="3967">
        <f t="shared" si="850"/>
        <v>103</v>
      </c>
      <c r="DM192" s="4812">
        <v>-81</v>
      </c>
      <c r="DN192" s="4812">
        <v>-92</v>
      </c>
      <c r="DO192" s="4812">
        <v>-84</v>
      </c>
      <c r="DP192" s="4812">
        <v>-87</v>
      </c>
      <c r="DQ192" s="3967">
        <f t="shared" si="851"/>
        <v>-344</v>
      </c>
      <c r="DR192" s="4812">
        <v>113</v>
      </c>
      <c r="DS192" s="4812">
        <v>-51</v>
      </c>
      <c r="DT192" s="4812">
        <v>-139</v>
      </c>
      <c r="DU192" s="4812">
        <v>-163</v>
      </c>
      <c r="DV192" s="3967">
        <f t="shared" si="852"/>
        <v>-240</v>
      </c>
      <c r="DW192" s="4812">
        <v>-73</v>
      </c>
      <c r="DX192" s="4812">
        <v>-260</v>
      </c>
      <c r="DY192" s="4812">
        <v>-136</v>
      </c>
      <c r="DZ192" s="4812">
        <v>-185</v>
      </c>
      <c r="EA192" s="3967">
        <f t="shared" si="853"/>
        <v>-654</v>
      </c>
      <c r="EB192" s="4812">
        <v>-210</v>
      </c>
      <c r="EC192" s="4812">
        <v>-268</v>
      </c>
      <c r="ED192" s="4812">
        <v>-311</v>
      </c>
      <c r="EE192" s="4812">
        <v>-449</v>
      </c>
      <c r="EF192" s="1007">
        <f t="shared" si="854"/>
        <v>-1238</v>
      </c>
      <c r="EG192" s="4812">
        <v>-238</v>
      </c>
      <c r="EH192" s="4812">
        <v>-173</v>
      </c>
      <c r="EI192" s="4812">
        <v>23</v>
      </c>
      <c r="EJ192" s="4812">
        <v>-21</v>
      </c>
      <c r="EK192" s="1007">
        <f t="shared" si="855"/>
        <v>-409</v>
      </c>
      <c r="EL192" s="4812">
        <v>-106</v>
      </c>
      <c r="EM192" s="4812">
        <v>-69</v>
      </c>
      <c r="EN192" s="4812">
        <v>-143</v>
      </c>
      <c r="EO192" s="459"/>
      <c r="EP192" s="1007">
        <f t="shared" si="856"/>
        <v>-318</v>
      </c>
      <c r="EQ192" s="459"/>
      <c r="ER192" s="459"/>
      <c r="ES192" s="459"/>
      <c r="ET192" s="459"/>
      <c r="EU192" s="1007">
        <f t="shared" si="857"/>
        <v>0</v>
      </c>
      <c r="EV192" s="1321"/>
      <c r="EW192" s="1321"/>
      <c r="EX192" s="1321"/>
      <c r="EY192" s="1321"/>
      <c r="EZ192" s="176"/>
      <c r="FA192" s="1104"/>
      <c r="FB192" s="1104"/>
      <c r="FC192" s="1104"/>
      <c r="FD192" s="1104"/>
      <c r="FE192" s="1104"/>
      <c r="FF192" s="1104"/>
      <c r="FG192" s="1104"/>
      <c r="FH192" s="1104"/>
      <c r="FI192" s="1104"/>
      <c r="FJ192" s="1104"/>
      <c r="FK192" s="1104"/>
      <c r="FL192" s="1104"/>
    </row>
    <row r="193" spans="1:168" s="84" customFormat="1" ht="11.25" hidden="1" customHeight="1" outlineLevel="1">
      <c r="A193" s="3777" t="s">
        <v>725</v>
      </c>
      <c r="B193" s="176"/>
      <c r="C193" s="176"/>
      <c r="D193" s="176"/>
      <c r="E193" s="178"/>
      <c r="F193" s="3514"/>
      <c r="G193" s="176"/>
      <c r="H193" s="176"/>
      <c r="I193" s="176"/>
      <c r="J193" s="178"/>
      <c r="K193" s="3514"/>
      <c r="L193" s="176"/>
      <c r="M193" s="176"/>
      <c r="N193" s="176"/>
      <c r="O193" s="178"/>
      <c r="P193" s="3514"/>
      <c r="Q193" s="176"/>
      <c r="R193" s="176"/>
      <c r="S193" s="176"/>
      <c r="T193" s="178"/>
      <c r="U193" s="3514"/>
      <c r="V193" s="3450"/>
      <c r="W193" s="176"/>
      <c r="X193" s="176"/>
      <c r="Y193" s="178"/>
      <c r="Z193" s="3514"/>
      <c r="AA193" s="3450"/>
      <c r="AB193" s="176"/>
      <c r="AC193" s="176"/>
      <c r="AD193" s="178"/>
      <c r="AE193" s="3514"/>
      <c r="AF193" s="3450"/>
      <c r="AG193" s="176"/>
      <c r="AH193" s="176"/>
      <c r="AI193" s="178"/>
      <c r="AJ193" s="3514"/>
      <c r="AK193" s="176"/>
      <c r="AL193" s="176"/>
      <c r="AM193" s="176"/>
      <c r="AN193" s="178"/>
      <c r="AO193" s="3514"/>
      <c r="AP193" s="176"/>
      <c r="AQ193" s="176"/>
      <c r="AR193" s="176"/>
      <c r="AS193" s="178"/>
      <c r="AT193" s="3514"/>
      <c r="AU193" s="176"/>
      <c r="AV193" s="176"/>
      <c r="AW193" s="176"/>
      <c r="AX193" s="178"/>
      <c r="AY193" s="3514"/>
      <c r="AZ193" s="176"/>
      <c r="BA193" s="176"/>
      <c r="BB193" s="176"/>
      <c r="BC193" s="178"/>
      <c r="BD193" s="3514"/>
      <c r="BE193" s="176"/>
      <c r="BF193" s="176"/>
      <c r="BG193" s="176"/>
      <c r="BH193" s="178"/>
      <c r="BI193" s="3514"/>
      <c r="BJ193" s="176"/>
      <c r="BK193" s="176"/>
      <c r="BL193" s="176"/>
      <c r="BM193" s="176"/>
      <c r="BN193" s="3515"/>
      <c r="BO193" s="176"/>
      <c r="BP193" s="176"/>
      <c r="BQ193" s="176"/>
      <c r="BR193" s="178"/>
      <c r="BS193" s="3514"/>
      <c r="BT193" s="176"/>
      <c r="BU193" s="176"/>
      <c r="BV193" s="176"/>
      <c r="BW193" s="176"/>
      <c r="BX193" s="3516"/>
      <c r="BY193" s="176"/>
      <c r="BZ193" s="176"/>
      <c r="CA193" s="176"/>
      <c r="CB193" s="176"/>
      <c r="CC193" s="3515"/>
      <c r="CD193" s="179"/>
      <c r="CE193" s="179"/>
      <c r="CF193" s="179"/>
      <c r="CG193" s="179"/>
      <c r="CH193" s="3515"/>
      <c r="CI193" s="179"/>
      <c r="CJ193" s="179"/>
      <c r="CK193" s="179"/>
      <c r="CL193" s="179"/>
      <c r="CM193" s="3515"/>
      <c r="CN193" s="179"/>
      <c r="CO193" s="179"/>
      <c r="CP193" s="179"/>
      <c r="CQ193" s="179"/>
      <c r="CR193" s="1007">
        <f>SUM(CN193:CQ193)</f>
        <v>0</v>
      </c>
      <c r="CS193" s="179"/>
      <c r="CT193" s="179"/>
      <c r="CU193" s="179"/>
      <c r="CV193" s="179"/>
      <c r="CW193" s="1007">
        <f>SUM(CS193:CV193)</f>
        <v>0</v>
      </c>
      <c r="CX193" s="179">
        <v>-25</v>
      </c>
      <c r="CY193" s="179">
        <v>-26</v>
      </c>
      <c r="CZ193" s="179">
        <v>-46</v>
      </c>
      <c r="DA193" s="179">
        <v>-13</v>
      </c>
      <c r="DB193" s="1007">
        <f>SUM(CX193:DA193)</f>
        <v>-110</v>
      </c>
      <c r="DC193" s="179">
        <v>-39</v>
      </c>
      <c r="DD193" s="179">
        <v>6</v>
      </c>
      <c r="DE193" s="179">
        <v>-29</v>
      </c>
      <c r="DF193" s="179">
        <v>1252</v>
      </c>
      <c r="DG193" s="1007">
        <f t="shared" si="849"/>
        <v>1190</v>
      </c>
      <c r="DH193" s="179">
        <v>-2</v>
      </c>
      <c r="DI193" s="179">
        <v>98</v>
      </c>
      <c r="DJ193" s="179">
        <v>49</v>
      </c>
      <c r="DK193" s="179">
        <v>4</v>
      </c>
      <c r="DL193" s="3967">
        <f t="shared" si="850"/>
        <v>149</v>
      </c>
      <c r="DM193" s="4812">
        <v>12</v>
      </c>
      <c r="DN193" s="4812">
        <v>387</v>
      </c>
      <c r="DO193" s="4812">
        <v>116</v>
      </c>
      <c r="DP193" s="4812">
        <v>210</v>
      </c>
      <c r="DQ193" s="3967">
        <f t="shared" si="851"/>
        <v>725</v>
      </c>
      <c r="DR193" s="4812">
        <v>-86</v>
      </c>
      <c r="DS193" s="4812">
        <v>111</v>
      </c>
      <c r="DT193" s="4812">
        <v>37</v>
      </c>
      <c r="DU193" s="4812">
        <v>-172</v>
      </c>
      <c r="DV193" s="3967">
        <f t="shared" si="852"/>
        <v>-110</v>
      </c>
      <c r="DW193" s="4812">
        <v>-367</v>
      </c>
      <c r="DX193" s="4812">
        <v>-790</v>
      </c>
      <c r="DY193" s="4812">
        <v>-731</v>
      </c>
      <c r="DZ193" s="4812">
        <v>-176</v>
      </c>
      <c r="EA193" s="3967">
        <f t="shared" si="853"/>
        <v>-2064</v>
      </c>
      <c r="EB193" s="4812">
        <v>-293</v>
      </c>
      <c r="EC193" s="4812">
        <v>-304</v>
      </c>
      <c r="ED193" s="4812">
        <v>-503</v>
      </c>
      <c r="EE193" s="4812">
        <v>-115</v>
      </c>
      <c r="EF193" s="1007">
        <f t="shared" si="854"/>
        <v>-1215</v>
      </c>
      <c r="EG193" s="4812">
        <v>-462</v>
      </c>
      <c r="EH193" s="4812">
        <v>-310</v>
      </c>
      <c r="EI193" s="4812">
        <v>160</v>
      </c>
      <c r="EJ193" s="4812">
        <v>-431</v>
      </c>
      <c r="EK193" s="1007">
        <f t="shared" si="855"/>
        <v>-1043</v>
      </c>
      <c r="EL193" s="4812">
        <v>202</v>
      </c>
      <c r="EM193" s="4812">
        <v>165</v>
      </c>
      <c r="EN193" s="4812">
        <v>122</v>
      </c>
      <c r="EO193" s="459"/>
      <c r="EP193" s="1007">
        <f t="shared" si="856"/>
        <v>489</v>
      </c>
      <c r="EQ193" s="459"/>
      <c r="ER193" s="459"/>
      <c r="ES193" s="459"/>
      <c r="ET193" s="459"/>
      <c r="EU193" s="1007">
        <f t="shared" si="857"/>
        <v>0</v>
      </c>
      <c r="EV193" s="3517"/>
      <c r="EW193" s="3517"/>
      <c r="EX193" s="3517"/>
      <c r="EY193" s="3517"/>
      <c r="EZ193" s="176"/>
      <c r="FA193" s="1104"/>
      <c r="FB193" s="1104"/>
      <c r="FC193" s="1104"/>
      <c r="FD193" s="1104"/>
      <c r="FE193" s="1104"/>
      <c r="FF193" s="1104"/>
      <c r="FG193" s="1104"/>
      <c r="FH193" s="1104"/>
      <c r="FI193" s="1104"/>
      <c r="FJ193" s="1104"/>
      <c r="FK193" s="1104"/>
      <c r="FL193" s="1104"/>
    </row>
    <row r="194" spans="1:168" s="84" customFormat="1" ht="11.25" hidden="1" customHeight="1" outlineLevel="1">
      <c r="A194" s="3750" t="s">
        <v>768</v>
      </c>
      <c r="B194" s="176"/>
      <c r="C194" s="176"/>
      <c r="D194" s="176"/>
      <c r="E194" s="178"/>
      <c r="F194" s="974"/>
      <c r="G194" s="176"/>
      <c r="H194" s="176"/>
      <c r="I194" s="176"/>
      <c r="J194" s="178"/>
      <c r="K194" s="974"/>
      <c r="L194" s="176"/>
      <c r="M194" s="176"/>
      <c r="N194" s="176"/>
      <c r="O194" s="178"/>
      <c r="P194" s="974"/>
      <c r="Q194" s="176"/>
      <c r="R194" s="176"/>
      <c r="S194" s="176"/>
      <c r="T194" s="178"/>
      <c r="U194" s="974"/>
      <c r="V194" s="975"/>
      <c r="W194" s="176"/>
      <c r="X194" s="176"/>
      <c r="Y194" s="178"/>
      <c r="Z194" s="974"/>
      <c r="AA194" s="975"/>
      <c r="AB194" s="176"/>
      <c r="AC194" s="176"/>
      <c r="AD194" s="178"/>
      <c r="AE194" s="974"/>
      <c r="AF194" s="975"/>
      <c r="AG194" s="176"/>
      <c r="AH194" s="176"/>
      <c r="AI194" s="178"/>
      <c r="AJ194" s="974"/>
      <c r="AK194" s="176"/>
      <c r="AL194" s="176"/>
      <c r="AM194" s="176"/>
      <c r="AN194" s="178"/>
      <c r="AO194" s="974"/>
      <c r="AP194" s="176"/>
      <c r="AQ194" s="176"/>
      <c r="AR194" s="176"/>
      <c r="AS194" s="178"/>
      <c r="AT194" s="974"/>
      <c r="AU194" s="176"/>
      <c r="AV194" s="176"/>
      <c r="AW194" s="176"/>
      <c r="AX194" s="178"/>
      <c r="AY194" s="974"/>
      <c r="AZ194" s="176"/>
      <c r="BA194" s="176"/>
      <c r="BB194" s="176"/>
      <c r="BC194" s="178"/>
      <c r="BD194" s="974"/>
      <c r="BE194" s="176"/>
      <c r="BF194" s="176"/>
      <c r="BG194" s="176"/>
      <c r="BH194" s="178"/>
      <c r="BI194" s="974"/>
      <c r="BJ194" s="176"/>
      <c r="BK194" s="176"/>
      <c r="BL194" s="176"/>
      <c r="BM194" s="176"/>
      <c r="BN194" s="1007"/>
      <c r="BO194" s="176"/>
      <c r="BP194" s="176"/>
      <c r="BQ194" s="176"/>
      <c r="BR194" s="178"/>
      <c r="BS194" s="974"/>
      <c r="BT194" s="176"/>
      <c r="BU194" s="176"/>
      <c r="BV194" s="176"/>
      <c r="BW194" s="176"/>
      <c r="BX194" s="1315">
        <v>282</v>
      </c>
      <c r="BY194" s="176"/>
      <c r="BZ194" s="176"/>
      <c r="CA194" s="176"/>
      <c r="CB194" s="176"/>
      <c r="CC194" s="1007"/>
      <c r="CD194" s="179">
        <v>60</v>
      </c>
      <c r="CE194" s="179">
        <v>101</v>
      </c>
      <c r="CF194" s="179">
        <v>-26</v>
      </c>
      <c r="CG194" s="179">
        <f>158-SUM(CD194:CF194)</f>
        <v>23</v>
      </c>
      <c r="CH194" s="1007">
        <f>SUM(CD194:CG194)</f>
        <v>158</v>
      </c>
      <c r="CI194" s="179">
        <v>74</v>
      </c>
      <c r="CJ194" s="179">
        <v>48</v>
      </c>
      <c r="CK194" s="179">
        <v>18</v>
      </c>
      <c r="CL194" s="179">
        <v>13</v>
      </c>
      <c r="CM194" s="1007">
        <f>SUM(CI194:CL194)</f>
        <v>153</v>
      </c>
      <c r="CN194" s="179">
        <v>32</v>
      </c>
      <c r="CO194" s="179">
        <v>53</v>
      </c>
      <c r="CP194" s="179">
        <v>-6</v>
      </c>
      <c r="CQ194" s="179">
        <v>-287</v>
      </c>
      <c r="CR194" s="1007">
        <f>SUM(CN194:CQ194)</f>
        <v>-208</v>
      </c>
      <c r="CS194" s="179">
        <v>-167</v>
      </c>
      <c r="CT194" s="179">
        <v>-9</v>
      </c>
      <c r="CU194" s="179">
        <v>50</v>
      </c>
      <c r="CV194" s="179">
        <v>-84</v>
      </c>
      <c r="CW194" s="1007">
        <f>SUM(CS194:CV194)</f>
        <v>-210</v>
      </c>
      <c r="CX194" s="179">
        <v>6</v>
      </c>
      <c r="CY194" s="179">
        <v>23</v>
      </c>
      <c r="CZ194" s="179">
        <v>1</v>
      </c>
      <c r="DA194" s="179">
        <v>43</v>
      </c>
      <c r="DB194" s="1007">
        <f>SUM(CX194:DA194)</f>
        <v>73</v>
      </c>
      <c r="DC194" s="179">
        <f>3031</f>
        <v>3031</v>
      </c>
      <c r="DD194" s="179">
        <v>1062</v>
      </c>
      <c r="DE194" s="179">
        <v>1382</v>
      </c>
      <c r="DF194" s="179">
        <v>-15</v>
      </c>
      <c r="DG194" s="1007">
        <f t="shared" si="849"/>
        <v>5460</v>
      </c>
      <c r="DH194" s="179">
        <v>1083</v>
      </c>
      <c r="DI194" s="179">
        <v>2699</v>
      </c>
      <c r="DJ194" s="179">
        <v>-1528</v>
      </c>
      <c r="DK194" s="179">
        <v>395</v>
      </c>
      <c r="DL194" s="3967">
        <f t="shared" si="850"/>
        <v>2649</v>
      </c>
      <c r="DM194" s="4812">
        <v>-814</v>
      </c>
      <c r="DN194" s="4812">
        <v>1455</v>
      </c>
      <c r="DO194" s="4812">
        <v>1899</v>
      </c>
      <c r="DP194" s="4812">
        <v>3052</v>
      </c>
      <c r="DQ194" s="3967">
        <f t="shared" si="851"/>
        <v>5592</v>
      </c>
      <c r="DR194" s="4812">
        <v>4837</v>
      </c>
      <c r="DS194" s="4812">
        <v>2772</v>
      </c>
      <c r="DT194" s="4812">
        <v>2121</v>
      </c>
      <c r="DU194" s="4812">
        <v>2650</v>
      </c>
      <c r="DV194" s="3967">
        <f t="shared" si="852"/>
        <v>12380</v>
      </c>
      <c r="DW194" s="4812">
        <v>-1070</v>
      </c>
      <c r="DX194" s="4812">
        <v>-251</v>
      </c>
      <c r="DY194" s="4812">
        <v>-647</v>
      </c>
      <c r="DZ194" s="4812">
        <v>-1487</v>
      </c>
      <c r="EA194" s="3967">
        <f t="shared" si="853"/>
        <v>-3455</v>
      </c>
      <c r="EB194" s="4812">
        <v>377</v>
      </c>
      <c r="EC194" s="4812">
        <v>-205</v>
      </c>
      <c r="ED194" s="4812">
        <v>-366</v>
      </c>
      <c r="EE194" s="4812">
        <v>586</v>
      </c>
      <c r="EF194" s="1007">
        <f t="shared" si="854"/>
        <v>392</v>
      </c>
      <c r="EG194" s="4812">
        <v>2243</v>
      </c>
      <c r="EH194" s="4812">
        <v>-714</v>
      </c>
      <c r="EI194" s="4812">
        <v>1821</v>
      </c>
      <c r="EJ194" s="4812">
        <v>364</v>
      </c>
      <c r="EK194" s="1007">
        <f t="shared" si="855"/>
        <v>3714</v>
      </c>
      <c r="EL194" s="4812">
        <v>9758</v>
      </c>
      <c r="EM194" s="4812">
        <v>1286</v>
      </c>
      <c r="EN194" s="4812">
        <v>10734</v>
      </c>
      <c r="EO194" s="176"/>
      <c r="EP194" s="1007">
        <f t="shared" si="856"/>
        <v>21778</v>
      </c>
      <c r="EQ194" s="176"/>
      <c r="ER194" s="176"/>
      <c r="ES194" s="176"/>
      <c r="ET194" s="176"/>
      <c r="EU194" s="1007">
        <f t="shared" si="857"/>
        <v>0</v>
      </c>
      <c r="EV194" s="1007"/>
      <c r="EW194" s="1007"/>
      <c r="EX194" s="1007"/>
      <c r="EY194" s="1007"/>
      <c r="EZ194" s="176"/>
      <c r="FA194" s="1104"/>
      <c r="FB194" s="1104"/>
      <c r="FC194" s="1104"/>
      <c r="FD194" s="1104"/>
      <c r="FE194" s="1104"/>
      <c r="FF194" s="1104"/>
      <c r="FG194" s="1104"/>
      <c r="FH194" s="1104"/>
      <c r="FI194" s="1104"/>
      <c r="FJ194" s="1104"/>
      <c r="FK194" s="1104"/>
      <c r="FL194" s="1104"/>
    </row>
    <row r="195" spans="1:168" s="84" customFormat="1" ht="11.25" hidden="1" customHeight="1" outlineLevel="1">
      <c r="A195" s="3777" t="s">
        <v>851</v>
      </c>
      <c r="B195" s="176"/>
      <c r="C195" s="176"/>
      <c r="D195" s="176"/>
      <c r="E195" s="178"/>
      <c r="F195" s="3514"/>
      <c r="G195" s="176"/>
      <c r="H195" s="176"/>
      <c r="I195" s="176"/>
      <c r="J195" s="178"/>
      <c r="K195" s="3514"/>
      <c r="L195" s="176"/>
      <c r="M195" s="176"/>
      <c r="N195" s="176"/>
      <c r="O195" s="178"/>
      <c r="P195" s="3514"/>
      <c r="Q195" s="176"/>
      <c r="R195" s="176"/>
      <c r="S195" s="176"/>
      <c r="T195" s="178"/>
      <c r="U195" s="3514"/>
      <c r="V195" s="3450"/>
      <c r="W195" s="176"/>
      <c r="X195" s="176"/>
      <c r="Y195" s="178"/>
      <c r="Z195" s="3514"/>
      <c r="AA195" s="3450"/>
      <c r="AB195" s="176"/>
      <c r="AC195" s="176"/>
      <c r="AD195" s="178"/>
      <c r="AE195" s="3514"/>
      <c r="AF195" s="3450"/>
      <c r="AG195" s="176"/>
      <c r="AH195" s="176"/>
      <c r="AI195" s="178"/>
      <c r="AJ195" s="3514"/>
      <c r="AK195" s="176"/>
      <c r="AL195" s="176"/>
      <c r="AM195" s="176"/>
      <c r="AN195" s="178"/>
      <c r="AO195" s="3514"/>
      <c r="AP195" s="176"/>
      <c r="AQ195" s="176"/>
      <c r="AR195" s="176"/>
      <c r="AS195" s="178"/>
      <c r="AT195" s="3514"/>
      <c r="AU195" s="176"/>
      <c r="AV195" s="176"/>
      <c r="AW195" s="176"/>
      <c r="AX195" s="178"/>
      <c r="AY195" s="3514"/>
      <c r="AZ195" s="176"/>
      <c r="BA195" s="176"/>
      <c r="BB195" s="176"/>
      <c r="BC195" s="178"/>
      <c r="BD195" s="3514"/>
      <c r="BE195" s="176"/>
      <c r="BF195" s="176"/>
      <c r="BG195" s="176"/>
      <c r="BH195" s="178"/>
      <c r="BI195" s="3514"/>
      <c r="BJ195" s="176"/>
      <c r="BK195" s="176"/>
      <c r="BL195" s="176"/>
      <c r="BM195" s="176"/>
      <c r="BN195" s="3515"/>
      <c r="BO195" s="176"/>
      <c r="BP195" s="176"/>
      <c r="BQ195" s="176"/>
      <c r="BR195" s="178"/>
      <c r="BS195" s="3514"/>
      <c r="BT195" s="176"/>
      <c r="BU195" s="176"/>
      <c r="BV195" s="176"/>
      <c r="BW195" s="176"/>
      <c r="BX195" s="3516"/>
      <c r="BY195" s="176"/>
      <c r="BZ195" s="176"/>
      <c r="CA195" s="176"/>
      <c r="CB195" s="176"/>
      <c r="CC195" s="3515"/>
      <c r="CD195" s="179"/>
      <c r="CE195" s="179"/>
      <c r="CF195" s="179"/>
      <c r="CG195" s="179"/>
      <c r="CH195" s="3515"/>
      <c r="CI195" s="179"/>
      <c r="CJ195" s="179"/>
      <c r="CK195" s="179"/>
      <c r="CL195" s="179"/>
      <c r="CM195" s="3515"/>
      <c r="CN195" s="179"/>
      <c r="CO195" s="179"/>
      <c r="CP195" s="179"/>
      <c r="CQ195" s="179"/>
      <c r="CR195" s="3515"/>
      <c r="CS195" s="179"/>
      <c r="CT195" s="179"/>
      <c r="CU195" s="179"/>
      <c r="CV195" s="179"/>
      <c r="CW195" s="3515"/>
      <c r="CX195" s="179"/>
      <c r="CY195" s="179"/>
      <c r="CZ195" s="179"/>
      <c r="DA195" s="179"/>
      <c r="DB195" s="3515"/>
      <c r="DC195" s="179">
        <v>-632</v>
      </c>
      <c r="DD195" s="179">
        <v>-238</v>
      </c>
      <c r="DE195" s="179">
        <v>-315</v>
      </c>
      <c r="DF195" s="179">
        <v>-18</v>
      </c>
      <c r="DG195" s="1007">
        <f t="shared" si="849"/>
        <v>-1203</v>
      </c>
      <c r="DH195" s="179">
        <v>-117</v>
      </c>
      <c r="DI195" s="179">
        <v>-443</v>
      </c>
      <c r="DJ195" s="179">
        <v>227</v>
      </c>
      <c r="DK195" s="179">
        <v>7</v>
      </c>
      <c r="DL195" s="5732">
        <f t="shared" si="850"/>
        <v>-326</v>
      </c>
      <c r="DM195" s="4812">
        <v>6</v>
      </c>
      <c r="DN195" s="4812">
        <v>-75</v>
      </c>
      <c r="DO195" s="4812">
        <v>-135</v>
      </c>
      <c r="DP195" s="4812">
        <v>-405</v>
      </c>
      <c r="DQ195" s="5732">
        <f t="shared" si="851"/>
        <v>-609</v>
      </c>
      <c r="DR195" s="4812">
        <v>-665</v>
      </c>
      <c r="DS195" s="4812">
        <v>-523</v>
      </c>
      <c r="DT195" s="4812">
        <v>-492</v>
      </c>
      <c r="DU195" s="4812">
        <v>-228</v>
      </c>
      <c r="DV195" s="5732">
        <f t="shared" si="852"/>
        <v>-1908</v>
      </c>
      <c r="DW195" s="4812">
        <v>233</v>
      </c>
      <c r="DX195" s="4812">
        <v>318</v>
      </c>
      <c r="DY195" s="4812">
        <v>54</v>
      </c>
      <c r="DZ195" s="4812">
        <v>193</v>
      </c>
      <c r="EA195" s="5732">
        <f t="shared" si="853"/>
        <v>798</v>
      </c>
      <c r="EB195" s="4812">
        <v>118</v>
      </c>
      <c r="EC195" s="4812">
        <v>5</v>
      </c>
      <c r="ED195" s="4812">
        <v>179</v>
      </c>
      <c r="EE195" s="4812">
        <v>-45</v>
      </c>
      <c r="EF195" s="3515">
        <f t="shared" si="854"/>
        <v>257</v>
      </c>
      <c r="EG195" s="4812">
        <v>104</v>
      </c>
      <c r="EH195" s="4812">
        <v>128</v>
      </c>
      <c r="EI195" s="4812">
        <v>29</v>
      </c>
      <c r="EJ195" s="4812">
        <v>-43</v>
      </c>
      <c r="EK195" s="3515">
        <f t="shared" si="855"/>
        <v>218</v>
      </c>
      <c r="EL195" s="4812">
        <v>-40</v>
      </c>
      <c r="EM195" s="4812">
        <v>-83</v>
      </c>
      <c r="EN195" s="4812">
        <v>-174</v>
      </c>
      <c r="EO195" s="176"/>
      <c r="EP195" s="3515">
        <f t="shared" si="856"/>
        <v>-297</v>
      </c>
      <c r="EQ195" s="176"/>
      <c r="ER195" s="176"/>
      <c r="ES195" s="176"/>
      <c r="ET195" s="176"/>
      <c r="EU195" s="3515">
        <f t="shared" si="857"/>
        <v>0</v>
      </c>
      <c r="EV195" s="3515"/>
      <c r="EW195" s="3515"/>
      <c r="EX195" s="3515"/>
      <c r="EY195" s="3515"/>
      <c r="EZ195" s="176"/>
      <c r="FA195" s="1104"/>
      <c r="FB195" s="1104"/>
      <c r="FC195" s="1104"/>
      <c r="FD195" s="1104"/>
      <c r="FE195" s="1104"/>
      <c r="FF195" s="1104"/>
      <c r="FG195" s="1104"/>
      <c r="FH195" s="1104"/>
      <c r="FI195" s="1104"/>
      <c r="FJ195" s="1104"/>
      <c r="FK195" s="1104"/>
      <c r="FL195" s="1104"/>
    </row>
    <row r="196" spans="1:168" s="84" customFormat="1" ht="11.25" hidden="1" customHeight="1" outlineLevel="1">
      <c r="A196" s="3750" t="s">
        <v>769</v>
      </c>
      <c r="B196" s="176"/>
      <c r="C196" s="176"/>
      <c r="D196" s="176"/>
      <c r="E196" s="178"/>
      <c r="F196" s="974"/>
      <c r="G196" s="176"/>
      <c r="H196" s="176"/>
      <c r="I196" s="176"/>
      <c r="J196" s="178"/>
      <c r="K196" s="974"/>
      <c r="L196" s="176"/>
      <c r="M196" s="176"/>
      <c r="N196" s="176"/>
      <c r="O196" s="178"/>
      <c r="P196" s="974"/>
      <c r="Q196" s="176"/>
      <c r="R196" s="176"/>
      <c r="S196" s="176"/>
      <c r="T196" s="178"/>
      <c r="U196" s="974"/>
      <c r="V196" s="975"/>
      <c r="W196" s="176"/>
      <c r="X196" s="176"/>
      <c r="Y196" s="178"/>
      <c r="Z196" s="974"/>
      <c r="AA196" s="975"/>
      <c r="AB196" s="176"/>
      <c r="AC196" s="176"/>
      <c r="AD196" s="178"/>
      <c r="AE196" s="974"/>
      <c r="AF196" s="975"/>
      <c r="AG196" s="176"/>
      <c r="AH196" s="176"/>
      <c r="AI196" s="178"/>
      <c r="AJ196" s="974"/>
      <c r="AK196" s="176"/>
      <c r="AL196" s="176"/>
      <c r="AM196" s="176"/>
      <c r="AN196" s="178"/>
      <c r="AO196" s="974"/>
      <c r="AP196" s="176"/>
      <c r="AQ196" s="176"/>
      <c r="AR196" s="176"/>
      <c r="AS196" s="178"/>
      <c r="AT196" s="974"/>
      <c r="AU196" s="176"/>
      <c r="AV196" s="176"/>
      <c r="AW196" s="176"/>
      <c r="AX196" s="178"/>
      <c r="AY196" s="974"/>
      <c r="AZ196" s="176"/>
      <c r="BA196" s="176"/>
      <c r="BB196" s="176"/>
      <c r="BC196" s="178"/>
      <c r="BD196" s="974"/>
      <c r="BE196" s="176"/>
      <c r="BF196" s="176"/>
      <c r="BG196" s="176"/>
      <c r="BH196" s="178"/>
      <c r="BI196" s="974"/>
      <c r="BJ196" s="176"/>
      <c r="BK196" s="176"/>
      <c r="BL196" s="176"/>
      <c r="BM196" s="176"/>
      <c r="BN196" s="1007"/>
      <c r="BO196" s="176"/>
      <c r="BP196" s="176"/>
      <c r="BQ196" s="176"/>
      <c r="BR196" s="178"/>
      <c r="BS196" s="974"/>
      <c r="BT196" s="176"/>
      <c r="BU196" s="176"/>
      <c r="BV196" s="176"/>
      <c r="BW196" s="176"/>
      <c r="BX196" s="1315">
        <v>0</v>
      </c>
      <c r="BY196" s="176"/>
      <c r="BZ196" s="176"/>
      <c r="CA196" s="176"/>
      <c r="CB196" s="176"/>
      <c r="CC196" s="1007"/>
      <c r="CD196" s="179">
        <v>0</v>
      </c>
      <c r="CE196" s="179">
        <v>0</v>
      </c>
      <c r="CF196" s="179">
        <v>0</v>
      </c>
      <c r="CG196" s="179">
        <v>0</v>
      </c>
      <c r="CH196" s="1007">
        <f>SUM(CD196:CG196)</f>
        <v>0</v>
      </c>
      <c r="CI196" s="179">
        <v>117</v>
      </c>
      <c r="CJ196" s="179">
        <v>10</v>
      </c>
      <c r="CK196" s="179">
        <v>-6</v>
      </c>
      <c r="CL196" s="179">
        <v>0</v>
      </c>
      <c r="CM196" s="1007">
        <f>SUM(CI196:CL196)</f>
        <v>121</v>
      </c>
      <c r="CN196" s="179">
        <v>-48</v>
      </c>
      <c r="CO196" s="179">
        <v>-70</v>
      </c>
      <c r="CP196" s="179">
        <v>7</v>
      </c>
      <c r="CQ196" s="179">
        <v>-15</v>
      </c>
      <c r="CR196" s="1007">
        <f>SUM(CN196:CQ196)</f>
        <v>-126</v>
      </c>
      <c r="CS196" s="179">
        <v>-113</v>
      </c>
      <c r="CT196" s="179">
        <v>-5</v>
      </c>
      <c r="CU196" s="179">
        <v>40</v>
      </c>
      <c r="CV196" s="179">
        <v>13</v>
      </c>
      <c r="CW196" s="1007">
        <f>SUM(CS196:CV196)</f>
        <v>-65</v>
      </c>
      <c r="CX196" s="179">
        <v>-49</v>
      </c>
      <c r="CY196" s="179">
        <v>-13</v>
      </c>
      <c r="CZ196" s="179">
        <v>-31</v>
      </c>
      <c r="DA196" s="179">
        <v>-64</v>
      </c>
      <c r="DB196" s="1007">
        <f>SUM(CX196:DA196)</f>
        <v>-157</v>
      </c>
      <c r="DC196" s="179">
        <v>-7</v>
      </c>
      <c r="DD196" s="179">
        <v>-105</v>
      </c>
      <c r="DE196" s="179">
        <v>-27</v>
      </c>
      <c r="DF196" s="179">
        <v>19</v>
      </c>
      <c r="DG196" s="1007">
        <f t="shared" si="849"/>
        <v>-120</v>
      </c>
      <c r="DH196" s="179">
        <v>-40</v>
      </c>
      <c r="DI196" s="179">
        <v>-16</v>
      </c>
      <c r="DJ196" s="179">
        <v>-14</v>
      </c>
      <c r="DK196" s="179">
        <v>460</v>
      </c>
      <c r="DL196" s="3967">
        <f t="shared" si="850"/>
        <v>390</v>
      </c>
      <c r="DM196" s="4812">
        <v>74</v>
      </c>
      <c r="DN196" s="4812">
        <v>-54</v>
      </c>
      <c r="DO196" s="4812">
        <v>26</v>
      </c>
      <c r="DP196" s="4812">
        <v>355</v>
      </c>
      <c r="DQ196" s="3967">
        <f t="shared" si="851"/>
        <v>401</v>
      </c>
      <c r="DR196" s="4812">
        <v>5</v>
      </c>
      <c r="DS196" s="4812">
        <v>92</v>
      </c>
      <c r="DT196" s="4812">
        <v>188</v>
      </c>
      <c r="DU196" s="4812">
        <v>49</v>
      </c>
      <c r="DV196" s="3967">
        <f t="shared" si="852"/>
        <v>334</v>
      </c>
      <c r="DW196" s="4812">
        <v>-89</v>
      </c>
      <c r="DX196" s="4812">
        <v>-118</v>
      </c>
      <c r="DY196" s="4812">
        <v>-99</v>
      </c>
      <c r="DZ196" s="4812">
        <v>-31</v>
      </c>
      <c r="EA196" s="3967">
        <f t="shared" si="853"/>
        <v>-337</v>
      </c>
      <c r="EB196" s="4812">
        <v>-51</v>
      </c>
      <c r="EC196" s="4812">
        <v>-106</v>
      </c>
      <c r="ED196" s="4812">
        <v>-215</v>
      </c>
      <c r="EE196" s="4812">
        <v>-256</v>
      </c>
      <c r="EF196" s="1007">
        <f t="shared" si="854"/>
        <v>-628</v>
      </c>
      <c r="EG196" s="4812">
        <v>-26</v>
      </c>
      <c r="EH196" s="4812">
        <v>32</v>
      </c>
      <c r="EI196" s="4812">
        <v>-107</v>
      </c>
      <c r="EJ196" s="4812">
        <v>-87</v>
      </c>
      <c r="EK196" s="1007">
        <f t="shared" si="855"/>
        <v>-188</v>
      </c>
      <c r="EL196" s="4812">
        <v>-22</v>
      </c>
      <c r="EM196" s="4812">
        <v>419</v>
      </c>
      <c r="EN196" s="4812">
        <v>-30</v>
      </c>
      <c r="EO196" s="176"/>
      <c r="EP196" s="1007">
        <f t="shared" si="856"/>
        <v>367</v>
      </c>
      <c r="EQ196" s="176"/>
      <c r="ER196" s="176"/>
      <c r="ES196" s="176"/>
      <c r="ET196" s="176"/>
      <c r="EU196" s="1007">
        <f t="shared" si="857"/>
        <v>0</v>
      </c>
      <c r="EV196" s="1007"/>
      <c r="EW196" s="1007"/>
      <c r="EX196" s="1007"/>
      <c r="EY196" s="1007"/>
      <c r="EZ196" s="176"/>
      <c r="FA196" s="1104"/>
      <c r="FB196" s="1104"/>
      <c r="FC196" s="1104"/>
      <c r="FD196" s="1104"/>
      <c r="FE196" s="1104"/>
      <c r="FF196" s="1104"/>
      <c r="FG196" s="1104"/>
      <c r="FH196" s="1104"/>
      <c r="FI196" s="1104"/>
      <c r="FJ196" s="1104"/>
      <c r="FK196" s="1104"/>
      <c r="FL196" s="1104"/>
    </row>
    <row r="197" spans="1:168" s="84" customFormat="1" ht="11.25" hidden="1" customHeight="1" outlineLevel="1">
      <c r="A197" s="3750" t="s">
        <v>398</v>
      </c>
      <c r="B197" s="176"/>
      <c r="C197" s="176"/>
      <c r="D197" s="176"/>
      <c r="E197" s="178"/>
      <c r="F197" s="974"/>
      <c r="G197" s="176"/>
      <c r="H197" s="176"/>
      <c r="I197" s="176"/>
      <c r="J197" s="178"/>
      <c r="K197" s="974"/>
      <c r="L197" s="176"/>
      <c r="M197" s="176"/>
      <c r="N197" s="176"/>
      <c r="O197" s="178"/>
      <c r="P197" s="974"/>
      <c r="Q197" s="176"/>
      <c r="R197" s="176"/>
      <c r="S197" s="176"/>
      <c r="T197" s="178"/>
      <c r="U197" s="974"/>
      <c r="V197" s="975"/>
      <c r="W197" s="176"/>
      <c r="X197" s="176"/>
      <c r="Y197" s="178"/>
      <c r="Z197" s="974"/>
      <c r="AA197" s="975"/>
      <c r="AB197" s="176"/>
      <c r="AC197" s="176"/>
      <c r="AD197" s="178"/>
      <c r="AE197" s="974"/>
      <c r="AF197" s="975"/>
      <c r="AG197" s="176"/>
      <c r="AH197" s="176"/>
      <c r="AI197" s="178"/>
      <c r="AJ197" s="974"/>
      <c r="AK197" s="176"/>
      <c r="AL197" s="176"/>
      <c r="AM197" s="176"/>
      <c r="AN197" s="178"/>
      <c r="AO197" s="974"/>
      <c r="AP197" s="176"/>
      <c r="AQ197" s="176"/>
      <c r="AR197" s="176"/>
      <c r="AS197" s="178"/>
      <c r="AT197" s="974"/>
      <c r="AU197" s="176"/>
      <c r="AV197" s="176"/>
      <c r="AW197" s="176"/>
      <c r="AX197" s="178"/>
      <c r="AY197" s="974"/>
      <c r="AZ197" s="176"/>
      <c r="BA197" s="176"/>
      <c r="BB197" s="176"/>
      <c r="BC197" s="178"/>
      <c r="BD197" s="974"/>
      <c r="BE197" s="176"/>
      <c r="BF197" s="176"/>
      <c r="BG197" s="176"/>
      <c r="BH197" s="178"/>
      <c r="BI197" s="974"/>
      <c r="BJ197" s="176"/>
      <c r="BK197" s="176"/>
      <c r="BL197" s="176"/>
      <c r="BM197" s="176"/>
      <c r="BN197" s="1007"/>
      <c r="BO197" s="176"/>
      <c r="BP197" s="176"/>
      <c r="BQ197" s="176"/>
      <c r="BR197" s="178"/>
      <c r="BS197" s="974"/>
      <c r="BT197" s="176"/>
      <c r="BU197" s="176"/>
      <c r="BV197" s="176"/>
      <c r="BW197" s="176"/>
      <c r="BX197" s="1315">
        <f>188+64</f>
        <v>252</v>
      </c>
      <c r="BY197" s="176"/>
      <c r="BZ197" s="176"/>
      <c r="CA197" s="176"/>
      <c r="CB197" s="176"/>
      <c r="CC197" s="1007"/>
      <c r="CD197" s="179">
        <v>-24</v>
      </c>
      <c r="CE197" s="179">
        <v>20</v>
      </c>
      <c r="CF197" s="179">
        <v>22</v>
      </c>
      <c r="CG197" s="179">
        <f>-57+89-SUM(CD197:CF197)</f>
        <v>14</v>
      </c>
      <c r="CH197" s="1007">
        <f>SUM(CD197:CG197)</f>
        <v>32</v>
      </c>
      <c r="CI197" s="179">
        <f>103+28</f>
        <v>131</v>
      </c>
      <c r="CJ197" s="179">
        <v>38</v>
      </c>
      <c r="CK197" s="179">
        <v>26</v>
      </c>
      <c r="CL197" s="179">
        <v>51</v>
      </c>
      <c r="CM197" s="1007">
        <f>SUM(CI197:CL197)</f>
        <v>246</v>
      </c>
      <c r="CN197" s="179">
        <v>35</v>
      </c>
      <c r="CO197" s="179">
        <v>33</v>
      </c>
      <c r="CP197" s="179">
        <v>49</v>
      </c>
      <c r="CQ197" s="179">
        <v>35</v>
      </c>
      <c r="CR197" s="1007">
        <f>SUM(CN197:CQ197)</f>
        <v>152</v>
      </c>
      <c r="CS197" s="179">
        <v>13</v>
      </c>
      <c r="CT197" s="179">
        <v>18</v>
      </c>
      <c r="CU197" s="179">
        <v>22</v>
      </c>
      <c r="CV197" s="179">
        <v>35</v>
      </c>
      <c r="CW197" s="1007">
        <f>SUM(CS197:CV197)</f>
        <v>88</v>
      </c>
      <c r="CX197" s="179">
        <v>34</v>
      </c>
      <c r="CY197" s="179">
        <v>34</v>
      </c>
      <c r="CZ197" s="179">
        <v>47</v>
      </c>
      <c r="DA197" s="179">
        <v>44</v>
      </c>
      <c r="DB197" s="1007">
        <f>SUM(CX197:DA197)</f>
        <v>159</v>
      </c>
      <c r="DC197" s="179">
        <v>212</v>
      </c>
      <c r="DD197" s="179">
        <v>49</v>
      </c>
      <c r="DE197" s="179">
        <v>49</v>
      </c>
      <c r="DF197" s="179">
        <v>68</v>
      </c>
      <c r="DG197" s="1007">
        <f t="shared" si="849"/>
        <v>378</v>
      </c>
      <c r="DH197" s="179">
        <v>53</v>
      </c>
      <c r="DI197" s="179">
        <v>53</v>
      </c>
      <c r="DJ197" s="179">
        <v>68</v>
      </c>
      <c r="DK197" s="179">
        <v>-72</v>
      </c>
      <c r="DL197" s="3967">
        <f t="shared" si="850"/>
        <v>102</v>
      </c>
      <c r="DM197" s="4812">
        <v>18</v>
      </c>
      <c r="DN197" s="4812">
        <v>-147</v>
      </c>
      <c r="DO197" s="4812">
        <v>-88</v>
      </c>
      <c r="DP197" s="4812">
        <v>-420</v>
      </c>
      <c r="DQ197" s="3967">
        <f t="shared" si="851"/>
        <v>-637</v>
      </c>
      <c r="DR197" s="4812">
        <v>373</v>
      </c>
      <c r="DS197" s="4812">
        <v>-90</v>
      </c>
      <c r="DT197" s="4812">
        <v>8</v>
      </c>
      <c r="DU197" s="4812">
        <v>120</v>
      </c>
      <c r="DV197" s="3967">
        <f t="shared" si="852"/>
        <v>411</v>
      </c>
      <c r="DW197" s="4812">
        <v>-125</v>
      </c>
      <c r="DX197" s="4812">
        <v>259</v>
      </c>
      <c r="DY197" s="4812">
        <v>143</v>
      </c>
      <c r="DZ197" s="4812">
        <v>104</v>
      </c>
      <c r="EA197" s="3967">
        <f t="shared" si="853"/>
        <v>381</v>
      </c>
      <c r="EB197" s="4812">
        <v>132</v>
      </c>
      <c r="EC197" s="4812">
        <v>94</v>
      </c>
      <c r="ED197" s="4812">
        <v>120</v>
      </c>
      <c r="EE197" s="4812">
        <v>-47</v>
      </c>
      <c r="EF197" s="1007">
        <f t="shared" si="854"/>
        <v>299</v>
      </c>
      <c r="EG197" s="4812">
        <v>255</v>
      </c>
      <c r="EH197" s="4812">
        <v>140</v>
      </c>
      <c r="EI197" s="4812">
        <v>70</v>
      </c>
      <c r="EJ197" s="4812">
        <v>454</v>
      </c>
      <c r="EK197" s="1007">
        <f t="shared" si="855"/>
        <v>919</v>
      </c>
      <c r="EL197" s="4812">
        <v>424</v>
      </c>
      <c r="EM197" s="4812">
        <v>155</v>
      </c>
      <c r="EN197" s="4812">
        <v>1317</v>
      </c>
      <c r="EO197" s="176"/>
      <c r="EP197" s="1007">
        <f t="shared" si="856"/>
        <v>1896</v>
      </c>
      <c r="EQ197" s="176"/>
      <c r="ER197" s="176"/>
      <c r="ES197" s="176"/>
      <c r="ET197" s="176"/>
      <c r="EU197" s="1007">
        <f t="shared" si="857"/>
        <v>0</v>
      </c>
      <c r="EV197" s="1007"/>
      <c r="EW197" s="1007"/>
      <c r="EX197" s="1007"/>
      <c r="EY197" s="1007"/>
      <c r="EZ197" s="176"/>
      <c r="FA197" s="1104"/>
      <c r="FB197" s="1104"/>
      <c r="FC197" s="1104"/>
      <c r="FD197" s="1104"/>
      <c r="FE197" s="1104"/>
      <c r="FF197" s="1104"/>
      <c r="FG197" s="1104"/>
      <c r="FH197" s="1104"/>
      <c r="FI197" s="1104"/>
      <c r="FJ197" s="1104"/>
      <c r="FK197" s="1104"/>
      <c r="FL197" s="1104"/>
    </row>
    <row r="198" spans="1:168" s="84" customFormat="1" ht="11.25" hidden="1" customHeight="1" outlineLevel="1">
      <c r="A198" s="3778" t="s">
        <v>738</v>
      </c>
      <c r="B198" s="1310"/>
      <c r="C198" s="1310"/>
      <c r="D198" s="1310"/>
      <c r="E198" s="1311"/>
      <c r="F198" s="1312"/>
      <c r="G198" s="1310"/>
      <c r="H198" s="1310"/>
      <c r="I198" s="1310"/>
      <c r="J198" s="1311"/>
      <c r="K198" s="1312"/>
      <c r="L198" s="1310"/>
      <c r="M198" s="1310"/>
      <c r="N198" s="1310"/>
      <c r="O198" s="1311"/>
      <c r="P198" s="1312"/>
      <c r="Q198" s="1310"/>
      <c r="R198" s="1310"/>
      <c r="S198" s="1310"/>
      <c r="T198" s="1311"/>
      <c r="U198" s="1312"/>
      <c r="V198" s="1313"/>
      <c r="W198" s="1310"/>
      <c r="X198" s="1310"/>
      <c r="Y198" s="1311"/>
      <c r="Z198" s="1312"/>
      <c r="AA198" s="1313"/>
      <c r="AB198" s="1310"/>
      <c r="AC198" s="1310"/>
      <c r="AD198" s="1311"/>
      <c r="AE198" s="1312"/>
      <c r="AF198" s="1313"/>
      <c r="AG198" s="1310"/>
      <c r="AH198" s="1310"/>
      <c r="AI198" s="1311"/>
      <c r="AJ198" s="1312"/>
      <c r="AK198" s="1310"/>
      <c r="AL198" s="1310"/>
      <c r="AM198" s="1310"/>
      <c r="AN198" s="1311"/>
      <c r="AO198" s="1312"/>
      <c r="AP198" s="1310"/>
      <c r="AQ198" s="1310"/>
      <c r="AR198" s="1310"/>
      <c r="AS198" s="1311"/>
      <c r="AT198" s="1312"/>
      <c r="AU198" s="1310"/>
      <c r="AV198" s="1310"/>
      <c r="AW198" s="1310"/>
      <c r="AX198" s="1311"/>
      <c r="AY198" s="1312"/>
      <c r="AZ198" s="1310"/>
      <c r="BA198" s="1310"/>
      <c r="BB198" s="1310"/>
      <c r="BC198" s="1311"/>
      <c r="BD198" s="1312"/>
      <c r="BE198" s="1310"/>
      <c r="BF198" s="1310"/>
      <c r="BG198" s="1310"/>
      <c r="BH198" s="1311"/>
      <c r="BI198" s="1312"/>
      <c r="BJ198" s="1310"/>
      <c r="BK198" s="1310"/>
      <c r="BL198" s="1310"/>
      <c r="BM198" s="1719"/>
      <c r="BN198" s="1721"/>
      <c r="BO198" s="1310"/>
      <c r="BP198" s="1310"/>
      <c r="BQ198" s="1310"/>
      <c r="BR198" s="1311"/>
      <c r="BS198" s="1312"/>
      <c r="BT198" s="1310"/>
      <c r="BU198" s="1310"/>
      <c r="BV198" s="1310"/>
      <c r="BW198" s="1310"/>
      <c r="BX198" s="1314">
        <f>SUM(BX186,BX191,BX192:BX197)</f>
        <v>635</v>
      </c>
      <c r="BY198" s="1310"/>
      <c r="BZ198" s="1310"/>
      <c r="CA198" s="1310"/>
      <c r="CB198" s="1719"/>
      <c r="CC198" s="1721"/>
      <c r="CD198" s="1310">
        <f t="shared" ref="CD198:CW198" si="858">SUM(CD186,CD191,CD192:CD197)</f>
        <v>134</v>
      </c>
      <c r="CE198" s="1310">
        <f t="shared" si="858"/>
        <v>236</v>
      </c>
      <c r="CF198" s="1310">
        <f t="shared" si="858"/>
        <v>14</v>
      </c>
      <c r="CG198" s="1310">
        <f t="shared" si="858"/>
        <v>112</v>
      </c>
      <c r="CH198" s="1314">
        <f t="shared" si="858"/>
        <v>496</v>
      </c>
      <c r="CI198" s="1310">
        <f t="shared" si="858"/>
        <v>357</v>
      </c>
      <c r="CJ198" s="1310">
        <f t="shared" si="858"/>
        <v>145</v>
      </c>
      <c r="CK198" s="1310">
        <f t="shared" si="858"/>
        <v>133</v>
      </c>
      <c r="CL198" s="1310">
        <f t="shared" si="858"/>
        <v>128</v>
      </c>
      <c r="CM198" s="1314">
        <f t="shared" si="858"/>
        <v>763</v>
      </c>
      <c r="CN198" s="1310">
        <f t="shared" si="858"/>
        <v>157</v>
      </c>
      <c r="CO198" s="1310">
        <f t="shared" si="858"/>
        <v>131</v>
      </c>
      <c r="CP198" s="1310">
        <f t="shared" si="858"/>
        <v>183</v>
      </c>
      <c r="CQ198" s="1310">
        <f t="shared" si="858"/>
        <v>-180</v>
      </c>
      <c r="CR198" s="1314">
        <f t="shared" si="858"/>
        <v>291</v>
      </c>
      <c r="CS198" s="1310">
        <f t="shared" si="858"/>
        <v>-213</v>
      </c>
      <c r="CT198" s="1310">
        <f t="shared" si="858"/>
        <v>151</v>
      </c>
      <c r="CU198" s="1310">
        <f t="shared" si="858"/>
        <v>278</v>
      </c>
      <c r="CV198" s="1310">
        <f t="shared" si="858"/>
        <v>218</v>
      </c>
      <c r="CW198" s="1314">
        <f t="shared" si="858"/>
        <v>434</v>
      </c>
      <c r="CX198" s="1310">
        <f t="shared" ref="CX198:DQ198" si="859">SUM(CX186,CX191:CX197)</f>
        <v>251</v>
      </c>
      <c r="CY198" s="1310">
        <f t="shared" si="859"/>
        <v>245</v>
      </c>
      <c r="CZ198" s="1310">
        <f t="shared" si="859"/>
        <v>197</v>
      </c>
      <c r="DA198" s="1310">
        <f t="shared" si="859"/>
        <v>354</v>
      </c>
      <c r="DB198" s="1314">
        <f t="shared" si="859"/>
        <v>1047</v>
      </c>
      <c r="DC198" s="1310">
        <f t="shared" si="859"/>
        <v>2910</v>
      </c>
      <c r="DD198" s="1310">
        <f t="shared" si="859"/>
        <v>1170</v>
      </c>
      <c r="DE198" s="1310">
        <f t="shared" si="859"/>
        <v>1458</v>
      </c>
      <c r="DF198" s="1310">
        <f t="shared" si="859"/>
        <v>1851</v>
      </c>
      <c r="DG198" s="1314">
        <f t="shared" si="859"/>
        <v>7389</v>
      </c>
      <c r="DH198" s="1310">
        <f t="shared" si="859"/>
        <v>1538</v>
      </c>
      <c r="DI198" s="1310">
        <f t="shared" si="859"/>
        <v>2967</v>
      </c>
      <c r="DJ198" s="1310">
        <f t="shared" si="859"/>
        <v>-549</v>
      </c>
      <c r="DK198" s="1310">
        <f t="shared" si="859"/>
        <v>1438</v>
      </c>
      <c r="DL198" s="5733">
        <f t="shared" si="859"/>
        <v>5394</v>
      </c>
      <c r="DM198" s="5734">
        <f t="shared" si="859"/>
        <v>-220</v>
      </c>
      <c r="DN198" s="5734">
        <f t="shared" si="859"/>
        <v>1894</v>
      </c>
      <c r="DO198" s="5734">
        <f t="shared" si="859"/>
        <v>2146</v>
      </c>
      <c r="DP198" s="5734">
        <f t="shared" si="859"/>
        <v>3038</v>
      </c>
      <c r="DQ198" s="5733">
        <f t="shared" si="859"/>
        <v>6858</v>
      </c>
      <c r="DR198" s="5734">
        <f t="shared" ref="DR198:EA198" si="860">SUM(DR186,DR191:DR197)</f>
        <v>4846</v>
      </c>
      <c r="DS198" s="5734">
        <f t="shared" si="860"/>
        <v>2624</v>
      </c>
      <c r="DT198" s="5734">
        <f t="shared" si="860"/>
        <v>2033</v>
      </c>
      <c r="DU198" s="5734">
        <f t="shared" si="860"/>
        <v>2517</v>
      </c>
      <c r="DV198" s="5733">
        <f t="shared" si="860"/>
        <v>12020</v>
      </c>
      <c r="DW198" s="5734">
        <f t="shared" si="860"/>
        <v>-1160</v>
      </c>
      <c r="DX198" s="5734">
        <f>SUM(DX186,DX191:DX197)</f>
        <v>-439</v>
      </c>
      <c r="DY198" s="5734">
        <f>SUM(DY186,DY191:DY197)</f>
        <v>-902</v>
      </c>
      <c r="DZ198" s="5734">
        <f>SUM(DZ186,DZ191:DZ197)</f>
        <v>-1013</v>
      </c>
      <c r="EA198" s="5733">
        <f t="shared" si="860"/>
        <v>-3514</v>
      </c>
      <c r="EB198" s="5734">
        <f t="shared" ref="EB198:EN198" si="861">SUM(EB186,EB191:EB197)</f>
        <v>790</v>
      </c>
      <c r="EC198" s="5734">
        <f t="shared" si="861"/>
        <v>65</v>
      </c>
      <c r="ED198" s="5734">
        <f t="shared" si="861"/>
        <v>-146</v>
      </c>
      <c r="EE198" s="5734">
        <f>SUM(EE186,EE191:EE197)</f>
        <v>715</v>
      </c>
      <c r="EF198" s="1314">
        <f t="shared" si="861"/>
        <v>1424</v>
      </c>
      <c r="EG198" s="5734">
        <f t="shared" ref="EG198:EI198" si="862">SUM(EG186,EG191:EG197)</f>
        <v>2843</v>
      </c>
      <c r="EH198" s="5734">
        <f t="shared" si="862"/>
        <v>126</v>
      </c>
      <c r="EI198" s="5734">
        <f t="shared" si="862"/>
        <v>3185</v>
      </c>
      <c r="EJ198" s="5734">
        <f>SUM(EJ186,EJ191:EJ197)</f>
        <v>1271</v>
      </c>
      <c r="EK198" s="1314">
        <f t="shared" si="861"/>
        <v>7425</v>
      </c>
      <c r="EL198" s="5734">
        <f t="shared" si="861"/>
        <v>11183</v>
      </c>
      <c r="EM198" s="5734">
        <f t="shared" si="861"/>
        <v>2662</v>
      </c>
      <c r="EN198" s="5734">
        <f t="shared" si="861"/>
        <v>12759</v>
      </c>
      <c r="EO198" s="1310">
        <f t="shared" ref="EO198:EP198" ca="1" si="863">SUM(EO186,EO191:EO197)</f>
        <v>950.78376487847618</v>
      </c>
      <c r="EP198" s="1314">
        <f t="shared" ca="1" si="863"/>
        <v>27554.783764878477</v>
      </c>
      <c r="EQ198" s="1310">
        <f t="shared" ref="EQ198:EU198" ca="1" si="864">SUM(EQ186,EQ191:EQ197)</f>
        <v>937.4710461233858</v>
      </c>
      <c r="ER198" s="1310">
        <f t="shared" ca="1" si="864"/>
        <v>827.10195831727015</v>
      </c>
      <c r="ES198" s="1310">
        <f t="shared" ca="1" si="864"/>
        <v>733.790920491576</v>
      </c>
      <c r="ET198" s="1310">
        <f t="shared" ca="1" si="864"/>
        <v>745.27347776099884</v>
      </c>
      <c r="EU198" s="1314">
        <f t="shared" ca="1" si="864"/>
        <v>3243.6374026932308</v>
      </c>
      <c r="EV198" s="1314">
        <f ca="1">SUM(EV186,EV191:EV197)</f>
        <v>2731.6578810745086</v>
      </c>
      <c r="EW198" s="1314">
        <f ca="1">SUM(EW186,EW191:EW197)</f>
        <v>2450.3180952969096</v>
      </c>
      <c r="EX198" s="1314">
        <f ca="1">SUM(EX186,EX191:EX197)</f>
        <v>2714.1655529124491</v>
      </c>
      <c r="EY198" s="1314">
        <f ca="1">SUM(EY186,EY191:EY197)</f>
        <v>3638.3158607230607</v>
      </c>
      <c r="EZ198" s="176"/>
      <c r="FA198" s="1104"/>
      <c r="FB198" s="1104"/>
      <c r="FC198" s="1104"/>
      <c r="FD198" s="1104"/>
      <c r="FE198" s="1104"/>
      <c r="FF198" s="1104"/>
      <c r="FG198" s="1104"/>
      <c r="FH198" s="1104"/>
      <c r="FI198" s="1104"/>
      <c r="FJ198" s="1104"/>
      <c r="FK198" s="1104"/>
      <c r="FL198" s="1104"/>
    </row>
    <row r="199" spans="1:168" s="84" customFormat="1" ht="11.25" hidden="1" customHeight="1" outlineLevel="1">
      <c r="A199" s="3778" t="s">
        <v>739</v>
      </c>
      <c r="B199" s="3594"/>
      <c r="C199" s="3594"/>
      <c r="D199" s="3594"/>
      <c r="E199" s="1311"/>
      <c r="F199" s="1312"/>
      <c r="G199" s="3594"/>
      <c r="H199" s="3594"/>
      <c r="I199" s="3594"/>
      <c r="J199" s="1311"/>
      <c r="K199" s="1312"/>
      <c r="L199" s="3594"/>
      <c r="M199" s="3594"/>
      <c r="N199" s="3594"/>
      <c r="O199" s="1311"/>
      <c r="P199" s="1312"/>
      <c r="Q199" s="3594"/>
      <c r="R199" s="3594"/>
      <c r="S199" s="3594"/>
      <c r="T199" s="1311"/>
      <c r="U199" s="1312"/>
      <c r="V199" s="1313"/>
      <c r="W199" s="3594"/>
      <c r="X199" s="3594"/>
      <c r="Y199" s="1311"/>
      <c r="Z199" s="1312"/>
      <c r="AA199" s="1313"/>
      <c r="AB199" s="3594"/>
      <c r="AC199" s="3594"/>
      <c r="AD199" s="1311"/>
      <c r="AE199" s="1312"/>
      <c r="AF199" s="1313"/>
      <c r="AG199" s="3594"/>
      <c r="AH199" s="3594"/>
      <c r="AI199" s="1311"/>
      <c r="AJ199" s="1312"/>
      <c r="AK199" s="3594"/>
      <c r="AL199" s="3594"/>
      <c r="AM199" s="3594"/>
      <c r="AN199" s="1311"/>
      <c r="AO199" s="1312"/>
      <c r="AP199" s="3594"/>
      <c r="AQ199" s="3594"/>
      <c r="AR199" s="3594"/>
      <c r="AS199" s="1311"/>
      <c r="AT199" s="1312"/>
      <c r="AU199" s="3594"/>
      <c r="AV199" s="3594"/>
      <c r="AW199" s="3594"/>
      <c r="AX199" s="1311"/>
      <c r="AY199" s="1312"/>
      <c r="AZ199" s="3594"/>
      <c r="BA199" s="3594"/>
      <c r="BB199" s="3594"/>
      <c r="BC199" s="1311"/>
      <c r="BD199" s="1312"/>
      <c r="BE199" s="3594"/>
      <c r="BF199" s="3594"/>
      <c r="BG199" s="3594"/>
      <c r="BH199" s="1311"/>
      <c r="BI199" s="1312"/>
      <c r="BJ199" s="3594"/>
      <c r="BK199" s="3594"/>
      <c r="BL199" s="3594"/>
      <c r="BM199" s="3594"/>
      <c r="BN199" s="1721"/>
      <c r="BO199" s="3594"/>
      <c r="BP199" s="3594"/>
      <c r="BQ199" s="3594"/>
      <c r="BR199" s="1311"/>
      <c r="BS199" s="1312"/>
      <c r="BT199" s="3594"/>
      <c r="BU199" s="3594"/>
      <c r="BV199" s="3594"/>
      <c r="BW199" s="3594"/>
      <c r="BX199" s="1314"/>
      <c r="BY199" s="3594"/>
      <c r="BZ199" s="3594"/>
      <c r="CA199" s="3594"/>
      <c r="CB199" s="3594"/>
      <c r="CC199" s="1314"/>
      <c r="CD199" s="3594"/>
      <c r="CE199" s="3594"/>
      <c r="CF199" s="3594"/>
      <c r="CG199" s="3594"/>
      <c r="CH199" s="1314"/>
      <c r="CI199" s="3594"/>
      <c r="CJ199" s="3594"/>
      <c r="CK199" s="3594"/>
      <c r="CL199" s="3594"/>
      <c r="CM199" s="1314"/>
      <c r="CN199" s="3594"/>
      <c r="CO199" s="3594"/>
      <c r="CP199" s="3594"/>
      <c r="CQ199" s="3594"/>
      <c r="CR199" s="1314">
        <f>CR198-CR194</f>
        <v>499</v>
      </c>
      <c r="CS199" s="3594"/>
      <c r="CT199" s="3594"/>
      <c r="CU199" s="3594"/>
      <c r="CV199" s="3594"/>
      <c r="CW199" s="1314">
        <f>CW198-CW194</f>
        <v>644</v>
      </c>
      <c r="CX199" s="3594">
        <f t="shared" ref="CX199:DJ199" si="865">CX198-CX193-CX194</f>
        <v>270</v>
      </c>
      <c r="CY199" s="3594">
        <f t="shared" si="865"/>
        <v>248</v>
      </c>
      <c r="CZ199" s="3594">
        <f t="shared" si="865"/>
        <v>242</v>
      </c>
      <c r="DA199" s="3594">
        <f t="shared" si="865"/>
        <v>324</v>
      </c>
      <c r="DB199" s="1314">
        <f t="shared" si="865"/>
        <v>1084</v>
      </c>
      <c r="DC199" s="3594">
        <f t="shared" si="865"/>
        <v>-82</v>
      </c>
      <c r="DD199" s="3594">
        <f t="shared" si="865"/>
        <v>102</v>
      </c>
      <c r="DE199" s="3594">
        <f t="shared" si="865"/>
        <v>105</v>
      </c>
      <c r="DF199" s="3594">
        <f t="shared" si="865"/>
        <v>614</v>
      </c>
      <c r="DG199" s="1314">
        <f t="shared" si="865"/>
        <v>739</v>
      </c>
      <c r="DH199" s="3594">
        <f t="shared" si="865"/>
        <v>457</v>
      </c>
      <c r="DI199" s="3594">
        <f t="shared" si="865"/>
        <v>170</v>
      </c>
      <c r="DJ199" s="3594">
        <f t="shared" si="865"/>
        <v>930</v>
      </c>
      <c r="DK199" s="3594">
        <f t="shared" ref="DK199:DQ199" si="866">DK198-DK193-DK194</f>
        <v>1039</v>
      </c>
      <c r="DL199" s="5733">
        <f>DL198-DL193-DL194</f>
        <v>2596</v>
      </c>
      <c r="DM199" s="5735">
        <f t="shared" si="866"/>
        <v>582</v>
      </c>
      <c r="DN199" s="5735">
        <f t="shared" si="866"/>
        <v>52</v>
      </c>
      <c r="DO199" s="5735">
        <f t="shared" si="866"/>
        <v>131</v>
      </c>
      <c r="DP199" s="5735">
        <f t="shared" si="866"/>
        <v>-224</v>
      </c>
      <c r="DQ199" s="5733">
        <f t="shared" si="866"/>
        <v>541</v>
      </c>
      <c r="DR199" s="5735">
        <f t="shared" ref="DR199:EV199" si="867">DR198-DR193-DR194</f>
        <v>95</v>
      </c>
      <c r="DS199" s="5735">
        <f t="shared" si="867"/>
        <v>-259</v>
      </c>
      <c r="DT199" s="5735">
        <f t="shared" si="867"/>
        <v>-125</v>
      </c>
      <c r="DU199" s="5735">
        <f t="shared" si="867"/>
        <v>39</v>
      </c>
      <c r="DV199" s="5733">
        <f t="shared" si="867"/>
        <v>-250</v>
      </c>
      <c r="DW199" s="5735">
        <f t="shared" si="867"/>
        <v>277</v>
      </c>
      <c r="DX199" s="5735">
        <f t="shared" si="867"/>
        <v>602</v>
      </c>
      <c r="DY199" s="5735">
        <f t="shared" si="867"/>
        <v>476</v>
      </c>
      <c r="DZ199" s="5735">
        <f t="shared" si="867"/>
        <v>650</v>
      </c>
      <c r="EA199" s="5733">
        <f t="shared" si="867"/>
        <v>2005</v>
      </c>
      <c r="EB199" s="5735">
        <f>EB198-EB193-EB194</f>
        <v>706</v>
      </c>
      <c r="EC199" s="5735">
        <f>EC198-EC193-EC194</f>
        <v>574</v>
      </c>
      <c r="ED199" s="5735">
        <f>ED198-ED193-ED194</f>
        <v>723</v>
      </c>
      <c r="EE199" s="5735">
        <f t="shared" ref="EE199" si="868">EE198-EE193-EE194</f>
        <v>244</v>
      </c>
      <c r="EF199" s="1314">
        <f t="shared" si="867"/>
        <v>2247</v>
      </c>
      <c r="EG199" s="5735">
        <f>EG198-EG193-EG194</f>
        <v>1062</v>
      </c>
      <c r="EH199" s="5735">
        <f>EH198-EH193-EH194</f>
        <v>1150</v>
      </c>
      <c r="EI199" s="5735">
        <f>EI198-EI193-EI194</f>
        <v>1204</v>
      </c>
      <c r="EJ199" s="5735">
        <f t="shared" ref="EJ199" si="869">EJ198-EJ193-EJ194</f>
        <v>1338</v>
      </c>
      <c r="EK199" s="1314">
        <f>EK198-EK193-EK194</f>
        <v>4754</v>
      </c>
      <c r="EL199" s="5735">
        <f>EL198-EL193-EL194</f>
        <v>1223</v>
      </c>
      <c r="EM199" s="5735">
        <f>EM198-EM193-EM194</f>
        <v>1211</v>
      </c>
      <c r="EN199" s="5735">
        <f>EN198-EN193-EN194</f>
        <v>1903</v>
      </c>
      <c r="EO199" s="3594">
        <f t="shared" ref="EO199" ca="1" si="870">EO198-EO193-EO194</f>
        <v>950.78376487847618</v>
      </c>
      <c r="EP199" s="1314">
        <f ca="1">EP198-EP193-EP194</f>
        <v>5287.7837648784771</v>
      </c>
      <c r="EQ199" s="3594">
        <f t="shared" ref="EQ199:ET199" ca="1" si="871">EQ198-EQ193-EQ194</f>
        <v>937.4710461233858</v>
      </c>
      <c r="ER199" s="3594">
        <f t="shared" ca="1" si="871"/>
        <v>827.10195831727015</v>
      </c>
      <c r="ES199" s="3594">
        <f t="shared" ca="1" si="871"/>
        <v>733.790920491576</v>
      </c>
      <c r="ET199" s="3594">
        <f t="shared" ca="1" si="871"/>
        <v>745.27347776099884</v>
      </c>
      <c r="EU199" s="1314">
        <f ca="1">EU198-EU193-EU194</f>
        <v>3243.6374026932308</v>
      </c>
      <c r="EV199" s="1314">
        <f t="shared" ca="1" si="867"/>
        <v>2731.6578810745086</v>
      </c>
      <c r="EW199" s="1314">
        <f ca="1">EW198-EW193-EW194</f>
        <v>2450.3180952969096</v>
      </c>
      <c r="EX199" s="1314">
        <f ca="1">EX198-EX193-EX194</f>
        <v>2714.1655529124491</v>
      </c>
      <c r="EY199" s="1314">
        <f ca="1">EY198-EY193-EY194</f>
        <v>3638.3158607230607</v>
      </c>
      <c r="EZ199" s="176"/>
      <c r="FA199" s="1104"/>
      <c r="FB199" s="1104"/>
      <c r="FC199" s="1104"/>
      <c r="FD199" s="1104"/>
      <c r="FE199" s="1104"/>
      <c r="FF199" s="1104"/>
      <c r="FG199" s="1104"/>
      <c r="FH199" s="1104"/>
      <c r="FI199" s="1104"/>
      <c r="FJ199" s="1104"/>
      <c r="FK199" s="1104"/>
      <c r="FL199" s="1104"/>
    </row>
    <row r="200" spans="1:168" s="84" customFormat="1" ht="11.25" hidden="1" customHeight="1" outlineLevel="1">
      <c r="A200" s="3779" t="s">
        <v>523</v>
      </c>
      <c r="B200" s="1362"/>
      <c r="C200" s="1362"/>
      <c r="D200" s="1362"/>
      <c r="E200" s="1363"/>
      <c r="F200" s="1364"/>
      <c r="G200" s="1362"/>
      <c r="H200" s="1362"/>
      <c r="I200" s="1362"/>
      <c r="J200" s="1363"/>
      <c r="K200" s="1364"/>
      <c r="L200" s="1362"/>
      <c r="M200" s="1362"/>
      <c r="N200" s="1362"/>
      <c r="O200" s="1363"/>
      <c r="P200" s="1364"/>
      <c r="Q200" s="1362"/>
      <c r="R200" s="1362"/>
      <c r="S200" s="1362"/>
      <c r="T200" s="1363"/>
      <c r="U200" s="1364"/>
      <c r="V200" s="1365"/>
      <c r="W200" s="1362"/>
      <c r="X200" s="1362"/>
      <c r="Y200" s="1363"/>
      <c r="Z200" s="1364"/>
      <c r="AA200" s="1365"/>
      <c r="AB200" s="1362"/>
      <c r="AC200" s="1362"/>
      <c r="AD200" s="1363"/>
      <c r="AE200" s="1364"/>
      <c r="AF200" s="1365"/>
      <c r="AG200" s="1362"/>
      <c r="AH200" s="1362"/>
      <c r="AI200" s="1363"/>
      <c r="AJ200" s="1364"/>
      <c r="AK200" s="1362"/>
      <c r="AL200" s="1362"/>
      <c r="AM200" s="1362"/>
      <c r="AN200" s="1363"/>
      <c r="AO200" s="1364"/>
      <c r="AP200" s="1362"/>
      <c r="AQ200" s="1362"/>
      <c r="AR200" s="1362"/>
      <c r="AS200" s="1363"/>
      <c r="AT200" s="1364"/>
      <c r="AU200" s="1362"/>
      <c r="AV200" s="1362"/>
      <c r="AW200" s="1362"/>
      <c r="AX200" s="1363"/>
      <c r="AY200" s="1364"/>
      <c r="AZ200" s="1362"/>
      <c r="BA200" s="1362"/>
      <c r="BB200" s="1362"/>
      <c r="BC200" s="1363"/>
      <c r="BD200" s="1364"/>
      <c r="BE200" s="1362"/>
      <c r="BF200" s="1362"/>
      <c r="BG200" s="1362"/>
      <c r="BH200" s="1363"/>
      <c r="BI200" s="1364"/>
      <c r="BJ200" s="1362"/>
      <c r="BK200" s="1362"/>
      <c r="BL200" s="1362"/>
      <c r="BM200" s="1720"/>
      <c r="BN200" s="1366"/>
      <c r="BO200" s="1362"/>
      <c r="BP200" s="1362"/>
      <c r="BQ200" s="1362"/>
      <c r="BR200" s="1363"/>
      <c r="BS200" s="1364"/>
      <c r="BT200" s="1362"/>
      <c r="BU200" s="1362"/>
      <c r="BV200" s="1362"/>
      <c r="BW200" s="1362"/>
      <c r="BX200" s="1366"/>
      <c r="BY200" s="1362"/>
      <c r="BZ200" s="1362"/>
      <c r="CA200" s="1362"/>
      <c r="CB200" s="1720"/>
      <c r="CC200" s="1366"/>
      <c r="CD200" s="1362"/>
      <c r="CE200" s="1362"/>
      <c r="CF200" s="1362"/>
      <c r="CG200" s="1362"/>
      <c r="CH200" s="1366"/>
      <c r="CI200" s="1362"/>
      <c r="CJ200" s="1362"/>
      <c r="CK200" s="1362"/>
      <c r="CL200" s="1362"/>
      <c r="CM200" s="1366" t="str">
        <f t="shared" ref="CM200:DR200" si="872">IF(ABS(CM198-CM30)&gt;0.0001,CM198-CM30,"ok")</f>
        <v>ok</v>
      </c>
      <c r="CN200" s="1362" t="str">
        <f t="shared" si="872"/>
        <v>ok</v>
      </c>
      <c r="CO200" s="1362" t="str">
        <f t="shared" si="872"/>
        <v>ok</v>
      </c>
      <c r="CP200" s="1362" t="str">
        <f t="shared" si="872"/>
        <v>ok</v>
      </c>
      <c r="CQ200" s="1362" t="str">
        <f t="shared" si="872"/>
        <v>ok</v>
      </c>
      <c r="CR200" s="1366" t="str">
        <f t="shared" si="872"/>
        <v>ok</v>
      </c>
      <c r="CS200" s="1362" t="str">
        <f t="shared" si="872"/>
        <v>ok</v>
      </c>
      <c r="CT200" s="1362" t="str">
        <f t="shared" si="872"/>
        <v>ok</v>
      </c>
      <c r="CU200" s="1362" t="str">
        <f t="shared" si="872"/>
        <v>ok</v>
      </c>
      <c r="CV200" s="1362" t="str">
        <f t="shared" si="872"/>
        <v>ok</v>
      </c>
      <c r="CW200" s="1366" t="str">
        <f t="shared" si="872"/>
        <v>ok</v>
      </c>
      <c r="CX200" s="1362" t="str">
        <f t="shared" si="872"/>
        <v>ok</v>
      </c>
      <c r="CY200" s="1362" t="str">
        <f t="shared" si="872"/>
        <v>ok</v>
      </c>
      <c r="CZ200" s="1362" t="str">
        <f t="shared" si="872"/>
        <v>ok</v>
      </c>
      <c r="DA200" s="1362" t="str">
        <f t="shared" si="872"/>
        <v>ok</v>
      </c>
      <c r="DB200" s="1366" t="str">
        <f t="shared" si="872"/>
        <v>ok</v>
      </c>
      <c r="DC200" s="1362" t="str">
        <f t="shared" si="872"/>
        <v>ok</v>
      </c>
      <c r="DD200" s="1362" t="str">
        <f t="shared" si="872"/>
        <v>ok</v>
      </c>
      <c r="DE200" s="1362" t="str">
        <f t="shared" si="872"/>
        <v>ok</v>
      </c>
      <c r="DF200" s="1362" t="str">
        <f t="shared" si="872"/>
        <v>ok</v>
      </c>
      <c r="DG200" s="1366" t="str">
        <f t="shared" si="872"/>
        <v>ok</v>
      </c>
      <c r="DH200" s="1362" t="str">
        <f t="shared" si="872"/>
        <v>ok</v>
      </c>
      <c r="DI200" s="1362" t="str">
        <f t="shared" si="872"/>
        <v>ok</v>
      </c>
      <c r="DJ200" s="1362" t="str">
        <f t="shared" si="872"/>
        <v>ok</v>
      </c>
      <c r="DK200" s="1362" t="str">
        <f t="shared" si="872"/>
        <v>ok</v>
      </c>
      <c r="DL200" s="1366" t="str">
        <f t="shared" si="872"/>
        <v>ok</v>
      </c>
      <c r="DM200" s="1362" t="str">
        <f t="shared" si="872"/>
        <v>ok</v>
      </c>
      <c r="DN200" s="1362" t="str">
        <f t="shared" si="872"/>
        <v>ok</v>
      </c>
      <c r="DO200" s="1362" t="str">
        <f t="shared" si="872"/>
        <v>ok</v>
      </c>
      <c r="DP200" s="1362" t="str">
        <f t="shared" si="872"/>
        <v>ok</v>
      </c>
      <c r="DQ200" s="1366" t="str">
        <f t="shared" si="872"/>
        <v>ok</v>
      </c>
      <c r="DR200" s="1362" t="str">
        <f t="shared" si="872"/>
        <v>ok</v>
      </c>
      <c r="DS200" s="1362" t="str">
        <f t="shared" ref="DS200:EX200" si="873">IF(ABS(DS198-DS30)&gt;0.0001,DS198-DS30,"ok")</f>
        <v>ok</v>
      </c>
      <c r="DT200" s="1362" t="str">
        <f t="shared" si="873"/>
        <v>ok</v>
      </c>
      <c r="DU200" s="1362" t="str">
        <f t="shared" si="873"/>
        <v>ok</v>
      </c>
      <c r="DV200" s="1366" t="str">
        <f t="shared" si="873"/>
        <v>ok</v>
      </c>
      <c r="DW200" s="1362" t="str">
        <f t="shared" si="873"/>
        <v>ok</v>
      </c>
      <c r="DX200" s="1362" t="str">
        <f t="shared" si="873"/>
        <v>ok</v>
      </c>
      <c r="DY200" s="1362" t="str">
        <f t="shared" si="873"/>
        <v>ok</v>
      </c>
      <c r="DZ200" s="1362" t="str">
        <f t="shared" si="873"/>
        <v>ok</v>
      </c>
      <c r="EA200" s="1366" t="str">
        <f t="shared" si="873"/>
        <v>ok</v>
      </c>
      <c r="EB200" s="1362" t="str">
        <f t="shared" si="873"/>
        <v>ok</v>
      </c>
      <c r="EC200" s="1362" t="str">
        <f t="shared" si="873"/>
        <v>ok</v>
      </c>
      <c r="ED200" s="1362" t="str">
        <f t="shared" si="873"/>
        <v>ok</v>
      </c>
      <c r="EE200" s="1362" t="str">
        <f t="shared" si="873"/>
        <v>ok</v>
      </c>
      <c r="EF200" s="1366" t="str">
        <f t="shared" si="873"/>
        <v>ok</v>
      </c>
      <c r="EG200" s="1362" t="str">
        <f t="shared" si="873"/>
        <v>ok</v>
      </c>
      <c r="EH200" s="1362" t="str">
        <f t="shared" si="873"/>
        <v>ok</v>
      </c>
      <c r="EI200" s="1362" t="str">
        <f t="shared" si="873"/>
        <v>ok</v>
      </c>
      <c r="EJ200" s="1362" t="str">
        <f t="shared" si="873"/>
        <v>ok</v>
      </c>
      <c r="EK200" s="1366" t="str">
        <f t="shared" si="873"/>
        <v>ok</v>
      </c>
      <c r="EL200" s="1362" t="str">
        <f t="shared" si="873"/>
        <v>ok</v>
      </c>
      <c r="EM200" s="1362" t="str">
        <f t="shared" si="873"/>
        <v>ok</v>
      </c>
      <c r="EN200" s="1362" t="str">
        <f t="shared" ref="EN200" si="874">IF(ABS(EN198-EN30)&gt;0.0001,EN198-EN30,"ok")</f>
        <v>ok</v>
      </c>
      <c r="EO200" s="1362" t="str">
        <f t="shared" ca="1" si="873"/>
        <v>ok</v>
      </c>
      <c r="EP200" s="1366" t="str">
        <f t="shared" ca="1" si="873"/>
        <v>ok</v>
      </c>
      <c r="EQ200" s="1362" t="str">
        <f t="shared" ref="EQ200:EU200" ca="1" si="875">IF(ABS(EQ198-EQ30)&gt;0.0001,EQ198-EQ30,"ok")</f>
        <v>ok</v>
      </c>
      <c r="ER200" s="1362" t="str">
        <f t="shared" ca="1" si="875"/>
        <v>ok</v>
      </c>
      <c r="ES200" s="1362" t="str">
        <f t="shared" ca="1" si="875"/>
        <v>ok</v>
      </c>
      <c r="ET200" s="1362" t="str">
        <f t="shared" ca="1" si="875"/>
        <v>ok</v>
      </c>
      <c r="EU200" s="1366" t="str">
        <f t="shared" ca="1" si="875"/>
        <v>ok</v>
      </c>
      <c r="EV200" s="1366" t="str">
        <f t="shared" ca="1" si="873"/>
        <v>ok</v>
      </c>
      <c r="EW200" s="1366" t="str">
        <f t="shared" ca="1" si="873"/>
        <v>ok</v>
      </c>
      <c r="EX200" s="1366" t="str">
        <f t="shared" ca="1" si="873"/>
        <v>ok</v>
      </c>
      <c r="EY200" s="1366" t="str">
        <f t="shared" ref="EY200" ca="1" si="876">IF(ABS(EY198-EY30)&gt;0.0001,EY198-EY30,"ok")</f>
        <v>ok</v>
      </c>
      <c r="EZ200" s="176"/>
      <c r="FA200" s="1104"/>
      <c r="FB200" s="1104"/>
      <c r="FC200" s="1104"/>
      <c r="FD200" s="1104"/>
      <c r="FE200" s="1104"/>
      <c r="FF200" s="1104"/>
      <c r="FG200" s="1104"/>
      <c r="FH200" s="1104"/>
      <c r="FI200" s="1104"/>
      <c r="FJ200" s="1104"/>
      <c r="FK200" s="1104"/>
      <c r="FL200" s="1104"/>
    </row>
    <row r="201" spans="1:168" s="84" customFormat="1" ht="11.25" hidden="1" customHeight="1" outlineLevel="1">
      <c r="A201" s="3750"/>
      <c r="B201" s="176"/>
      <c r="C201" s="176"/>
      <c r="D201" s="176"/>
      <c r="E201" s="178"/>
      <c r="F201" s="974"/>
      <c r="G201" s="176"/>
      <c r="H201" s="176"/>
      <c r="I201" s="176"/>
      <c r="J201" s="178"/>
      <c r="K201" s="974"/>
      <c r="L201" s="176"/>
      <c r="M201" s="176"/>
      <c r="N201" s="176"/>
      <c r="O201" s="178"/>
      <c r="P201" s="974"/>
      <c r="Q201" s="176"/>
      <c r="R201" s="176"/>
      <c r="S201" s="176"/>
      <c r="T201" s="178"/>
      <c r="U201" s="974"/>
      <c r="V201" s="975"/>
      <c r="W201" s="176"/>
      <c r="X201" s="176"/>
      <c r="Y201" s="178"/>
      <c r="Z201" s="974"/>
      <c r="AA201" s="975"/>
      <c r="AB201" s="176"/>
      <c r="AC201" s="176"/>
      <c r="AD201" s="178"/>
      <c r="AE201" s="974"/>
      <c r="AF201" s="975"/>
      <c r="AG201" s="176"/>
      <c r="AH201" s="176"/>
      <c r="AI201" s="178"/>
      <c r="AJ201" s="974"/>
      <c r="AK201" s="176"/>
      <c r="AL201" s="176"/>
      <c r="AM201" s="176"/>
      <c r="AN201" s="178"/>
      <c r="AO201" s="974"/>
      <c r="AP201" s="176"/>
      <c r="AQ201" s="176"/>
      <c r="AR201" s="176"/>
      <c r="AS201" s="178"/>
      <c r="AT201" s="974"/>
      <c r="AU201" s="176"/>
      <c r="AV201" s="176"/>
      <c r="AW201" s="176"/>
      <c r="AX201" s="178"/>
      <c r="AY201" s="974"/>
      <c r="AZ201" s="176"/>
      <c r="BA201" s="176"/>
      <c r="BB201" s="176"/>
      <c r="BC201" s="178"/>
      <c r="BD201" s="974"/>
      <c r="BE201" s="176"/>
      <c r="BF201" s="176"/>
      <c r="BG201" s="176"/>
      <c r="BH201" s="178"/>
      <c r="BI201" s="974"/>
      <c r="BJ201" s="176"/>
      <c r="BK201" s="176"/>
      <c r="BL201" s="176"/>
      <c r="BM201" s="176"/>
      <c r="BN201" s="1007"/>
      <c r="BO201" s="176"/>
      <c r="BP201" s="176"/>
      <c r="BQ201" s="176"/>
      <c r="BR201" s="178"/>
      <c r="BS201" s="974"/>
      <c r="BT201" s="176"/>
      <c r="BU201" s="176"/>
      <c r="BV201" s="176"/>
      <c r="BW201" s="176"/>
      <c r="BX201" s="1315"/>
      <c r="BY201" s="176"/>
      <c r="BZ201" s="176"/>
      <c r="CA201" s="176"/>
      <c r="CB201" s="176"/>
      <c r="CC201" s="1007"/>
      <c r="CD201" s="179"/>
      <c r="CE201" s="179"/>
      <c r="CF201" s="179"/>
      <c r="CG201" s="179"/>
      <c r="CH201" s="1007"/>
      <c r="CI201" s="179"/>
      <c r="CJ201" s="179"/>
      <c r="CK201" s="179"/>
      <c r="CL201" s="179"/>
      <c r="CM201" s="1007"/>
      <c r="CN201" s="179"/>
      <c r="CO201" s="179"/>
      <c r="CP201" s="179"/>
      <c r="CQ201" s="179"/>
      <c r="CR201" s="1007"/>
      <c r="CS201" s="179"/>
      <c r="CT201" s="179"/>
      <c r="CU201" s="179"/>
      <c r="CV201" s="179"/>
      <c r="CW201" s="1007"/>
      <c r="CX201" s="179"/>
      <c r="CY201" s="179"/>
      <c r="CZ201" s="179"/>
      <c r="DA201" s="179"/>
      <c r="DB201" s="1007"/>
      <c r="DC201" s="179"/>
      <c r="DD201" s="179"/>
      <c r="DE201" s="176"/>
      <c r="DF201" s="176"/>
      <c r="DG201" s="1007"/>
      <c r="DH201" s="176"/>
      <c r="DI201" s="176"/>
      <c r="DJ201" s="176"/>
      <c r="DK201" s="176"/>
      <c r="DL201" s="1007"/>
      <c r="DM201" s="176"/>
      <c r="DN201" s="176"/>
      <c r="DO201" s="176"/>
      <c r="DP201" s="176"/>
      <c r="DQ201" s="1007"/>
      <c r="DR201" s="176"/>
      <c r="DS201" s="176"/>
      <c r="DT201" s="176"/>
      <c r="DU201" s="176"/>
      <c r="DV201" s="1007"/>
      <c r="DW201" s="176"/>
      <c r="DX201" s="176"/>
      <c r="DY201" s="176"/>
      <c r="DZ201" s="176"/>
      <c r="EA201" s="1007"/>
      <c r="EB201" s="176"/>
      <c r="EC201" s="176"/>
      <c r="ED201" s="176"/>
      <c r="EE201" s="176"/>
      <c r="EF201" s="1007"/>
      <c r="EG201" s="176"/>
      <c r="EH201" s="176"/>
      <c r="EI201" s="176"/>
      <c r="EJ201" s="176"/>
      <c r="EK201" s="1007"/>
      <c r="EL201" s="176"/>
      <c r="EM201" s="176"/>
      <c r="EN201" s="176"/>
      <c r="EO201" s="176"/>
      <c r="EP201" s="1007"/>
      <c r="EQ201" s="176"/>
      <c r="ER201" s="176"/>
      <c r="ES201" s="176"/>
      <c r="ET201" s="176"/>
      <c r="EU201" s="1007"/>
      <c r="EV201" s="1007"/>
      <c r="EW201" s="1007"/>
      <c r="EX201" s="1007"/>
      <c r="EY201" s="1007"/>
      <c r="EZ201" s="176"/>
      <c r="FA201" s="1104"/>
      <c r="FB201" s="1104"/>
      <c r="FC201" s="1104"/>
      <c r="FD201" s="1104"/>
      <c r="FE201" s="1104"/>
      <c r="FF201" s="1104"/>
      <c r="FG201" s="1104"/>
      <c r="FH201" s="1104"/>
      <c r="FI201" s="1104"/>
      <c r="FJ201" s="1104"/>
      <c r="FK201" s="1104"/>
      <c r="FL201" s="1104"/>
    </row>
    <row r="202" spans="1:168" s="84" customFormat="1" ht="11.25" hidden="1" customHeight="1" outlineLevel="1">
      <c r="A202" s="3934" t="s">
        <v>694</v>
      </c>
      <c r="B202" s="3935"/>
      <c r="C202" s="3935"/>
      <c r="D202" s="3935"/>
      <c r="E202" s="1363"/>
      <c r="F202" s="1364"/>
      <c r="G202" s="3935"/>
      <c r="H202" s="3935"/>
      <c r="I202" s="3935"/>
      <c r="J202" s="1363"/>
      <c r="K202" s="1364"/>
      <c r="L202" s="3935"/>
      <c r="M202" s="3935"/>
      <c r="N202" s="3935"/>
      <c r="O202" s="1363"/>
      <c r="P202" s="1364"/>
      <c r="Q202" s="3935"/>
      <c r="R202" s="3935"/>
      <c r="S202" s="3935"/>
      <c r="T202" s="1363"/>
      <c r="U202" s="1364"/>
      <c r="V202" s="1365"/>
      <c r="W202" s="3935"/>
      <c r="X202" s="3935"/>
      <c r="Y202" s="1363"/>
      <c r="Z202" s="1364"/>
      <c r="AA202" s="1365"/>
      <c r="AB202" s="3935"/>
      <c r="AC202" s="3935"/>
      <c r="AD202" s="1363"/>
      <c r="AE202" s="1364"/>
      <c r="AF202" s="1365"/>
      <c r="AG202" s="3935"/>
      <c r="AH202" s="3935"/>
      <c r="AI202" s="1363"/>
      <c r="AJ202" s="1364"/>
      <c r="AK202" s="3935"/>
      <c r="AL202" s="3935"/>
      <c r="AM202" s="3935"/>
      <c r="AN202" s="1363"/>
      <c r="AO202" s="1364"/>
      <c r="AP202" s="3935"/>
      <c r="AQ202" s="3935"/>
      <c r="AR202" s="3935"/>
      <c r="AS202" s="1363"/>
      <c r="AT202" s="1364"/>
      <c r="AU202" s="3935"/>
      <c r="AV202" s="3935"/>
      <c r="AW202" s="3935"/>
      <c r="AX202" s="1363"/>
      <c r="AY202" s="1364"/>
      <c r="AZ202" s="3935"/>
      <c r="BA202" s="3935"/>
      <c r="BB202" s="3935"/>
      <c r="BC202" s="1363"/>
      <c r="BD202" s="1364"/>
      <c r="BE202" s="3935"/>
      <c r="BF202" s="3935"/>
      <c r="BG202" s="3935"/>
      <c r="BH202" s="1363"/>
      <c r="BI202" s="1364"/>
      <c r="BJ202" s="3935"/>
      <c r="BK202" s="3935"/>
      <c r="BL202" s="3935"/>
      <c r="BM202" s="3935"/>
      <c r="BN202" s="1366"/>
      <c r="BO202" s="3935"/>
      <c r="BP202" s="3935"/>
      <c r="BQ202" s="3935"/>
      <c r="BR202" s="1363"/>
      <c r="BS202" s="1364"/>
      <c r="BT202" s="3935"/>
      <c r="BU202" s="3935"/>
      <c r="BV202" s="3935"/>
      <c r="BW202" s="3935"/>
      <c r="BX202" s="1366"/>
      <c r="BY202" s="3935"/>
      <c r="BZ202" s="3935"/>
      <c r="CA202" s="3935"/>
      <c r="CB202" s="3935"/>
      <c r="CC202" s="1366"/>
      <c r="CD202" s="3937"/>
      <c r="CE202" s="3937"/>
      <c r="CF202" s="3937"/>
      <c r="CG202" s="3937"/>
      <c r="CH202" s="3936"/>
      <c r="CI202" s="3937"/>
      <c r="CJ202" s="3937"/>
      <c r="CK202" s="3937"/>
      <c r="CL202" s="3937"/>
      <c r="CM202" s="3936"/>
      <c r="CN202" s="3937"/>
      <c r="CO202" s="3937"/>
      <c r="CP202" s="3937"/>
      <c r="CQ202" s="3937"/>
      <c r="CR202" s="3936"/>
      <c r="CS202" s="3937"/>
      <c r="CT202" s="3937"/>
      <c r="CU202" s="3937"/>
      <c r="CV202" s="3937"/>
      <c r="CW202" s="3936"/>
      <c r="CX202" s="3937"/>
      <c r="CY202" s="3937"/>
      <c r="CZ202" s="3937"/>
      <c r="DA202" s="3937"/>
      <c r="DB202" s="3936"/>
      <c r="DC202" s="3937"/>
      <c r="DD202" s="3937"/>
      <c r="DE202" s="3937"/>
      <c r="DF202" s="3937"/>
      <c r="DG202" s="3936"/>
      <c r="DH202" s="3937"/>
      <c r="DI202" s="3937"/>
      <c r="DJ202" s="3937"/>
      <c r="DK202" s="3937"/>
      <c r="DL202" s="3936"/>
      <c r="DM202" s="3937"/>
      <c r="DN202" s="3937"/>
      <c r="DO202" s="3937"/>
      <c r="DP202" s="3937"/>
      <c r="DQ202" s="3936"/>
      <c r="DR202" s="3937"/>
      <c r="DS202" s="3937"/>
      <c r="DT202" s="3937"/>
      <c r="DU202" s="3937"/>
      <c r="DV202" s="3936"/>
      <c r="DW202" s="3937"/>
      <c r="DX202" s="3937"/>
      <c r="DY202" s="3937"/>
      <c r="DZ202" s="3937"/>
      <c r="EA202" s="3936"/>
      <c r="EB202" s="3937"/>
      <c r="EC202" s="3937"/>
      <c r="ED202" s="3937"/>
      <c r="EE202" s="3937"/>
      <c r="EF202" s="3936"/>
      <c r="EG202" s="3937"/>
      <c r="EH202" s="3937"/>
      <c r="EI202" s="3937"/>
      <c r="EJ202" s="3937"/>
      <c r="EK202" s="3936"/>
      <c r="EL202" s="3937"/>
      <c r="EM202" s="3937"/>
      <c r="EN202" s="3937"/>
      <c r="EO202" s="3937"/>
      <c r="EP202" s="3936"/>
      <c r="EQ202" s="3937"/>
      <c r="ER202" s="3937"/>
      <c r="ES202" s="3937"/>
      <c r="ET202" s="3937"/>
      <c r="EU202" s="3936"/>
      <c r="EV202" s="3936"/>
      <c r="EW202" s="3936"/>
      <c r="EX202" s="3936"/>
      <c r="EY202" s="3936"/>
      <c r="EZ202" s="176"/>
      <c r="FA202" s="1104"/>
      <c r="FB202" s="1104"/>
      <c r="FC202" s="1104"/>
      <c r="FD202" s="1104"/>
      <c r="FE202" s="1104"/>
      <c r="FF202" s="1104"/>
      <c r="FG202" s="1104"/>
      <c r="FH202" s="1104"/>
      <c r="FI202" s="1104"/>
      <c r="FJ202" s="1104"/>
      <c r="FK202" s="1104"/>
      <c r="FL202" s="1104"/>
    </row>
    <row r="203" spans="1:168" s="84" customFormat="1" ht="11.25" hidden="1" customHeight="1" outlineLevel="1">
      <c r="A203" s="3780" t="s">
        <v>695</v>
      </c>
      <c r="B203" s="2941"/>
      <c r="C203" s="2941"/>
      <c r="D203" s="2941"/>
      <c r="E203" s="2951"/>
      <c r="F203" s="2952"/>
      <c r="G203" s="2941"/>
      <c r="H203" s="2941"/>
      <c r="I203" s="2941"/>
      <c r="J203" s="2951"/>
      <c r="K203" s="2952"/>
      <c r="L203" s="2941"/>
      <c r="M203" s="2941"/>
      <c r="N203" s="2941"/>
      <c r="O203" s="2951"/>
      <c r="P203" s="2952"/>
      <c r="Q203" s="2941"/>
      <c r="R203" s="2941"/>
      <c r="S203" s="2941"/>
      <c r="T203" s="2951"/>
      <c r="U203" s="2952"/>
      <c r="V203" s="2953"/>
      <c r="W203" s="2941"/>
      <c r="X203" s="2941"/>
      <c r="Y203" s="2951"/>
      <c r="Z203" s="2952"/>
      <c r="AA203" s="2953"/>
      <c r="AB203" s="2941"/>
      <c r="AC203" s="2941"/>
      <c r="AD203" s="2951"/>
      <c r="AE203" s="2952"/>
      <c r="AF203" s="2953"/>
      <c r="AG203" s="2941"/>
      <c r="AH203" s="2941"/>
      <c r="AI203" s="2951"/>
      <c r="AJ203" s="2952"/>
      <c r="AK203" s="2941"/>
      <c r="AL203" s="2941"/>
      <c r="AM203" s="2941"/>
      <c r="AN203" s="2951"/>
      <c r="AO203" s="2952"/>
      <c r="AP203" s="2941"/>
      <c r="AQ203" s="2941"/>
      <c r="AR203" s="2941"/>
      <c r="AS203" s="2951"/>
      <c r="AT203" s="2952"/>
      <c r="AU203" s="2941"/>
      <c r="AV203" s="2941"/>
      <c r="AW203" s="2941"/>
      <c r="AX203" s="2951"/>
      <c r="AY203" s="2952"/>
      <c r="AZ203" s="2941"/>
      <c r="BA203" s="2941"/>
      <c r="BB203" s="2941"/>
      <c r="BC203" s="2951"/>
      <c r="BD203" s="2952"/>
      <c r="BE203" s="2941"/>
      <c r="BF203" s="2941"/>
      <c r="BG203" s="2941"/>
      <c r="BH203" s="2951"/>
      <c r="BI203" s="2952"/>
      <c r="BJ203" s="2941"/>
      <c r="BK203" s="2941"/>
      <c r="BL203" s="2941"/>
      <c r="BM203" s="2941"/>
      <c r="BN203" s="2954"/>
      <c r="BO203" s="2941"/>
      <c r="BP203" s="2941"/>
      <c r="BQ203" s="2941"/>
      <c r="BR203" s="2951"/>
      <c r="BS203" s="2952"/>
      <c r="BT203" s="2941"/>
      <c r="BU203" s="2941"/>
      <c r="BV203" s="2941"/>
      <c r="BW203" s="2941"/>
      <c r="BX203" s="2954"/>
      <c r="BY203" s="2941"/>
      <c r="BZ203" s="2941"/>
      <c r="CA203" s="2941"/>
      <c r="CB203" s="2941"/>
      <c r="CC203" s="2954"/>
      <c r="CD203" s="2941">
        <f>SUM(CD8,CD12,CD17,CD20,CD23)</f>
        <v>9203</v>
      </c>
      <c r="CE203" s="2941">
        <f>SUM(CE8,CE12,CE17,CE20,CE23)</f>
        <v>9642</v>
      </c>
      <c r="CF203" s="2941">
        <f>SUM(CF8,CF12,CF17,CF20,CF23)</f>
        <v>9993</v>
      </c>
      <c r="CG203" s="2941">
        <f>SUM(CG8,CG12,CG17,CG20,CG23)</f>
        <v>11278</v>
      </c>
      <c r="CH203" s="2954">
        <f>SUM(CD203:CG203)</f>
        <v>40116</v>
      </c>
      <c r="CI203" s="2941">
        <f>SUM(CI8,CI12,CI17,CI20,CI23)</f>
        <v>11305</v>
      </c>
      <c r="CJ203" s="2941">
        <f>SUM(CJ8,CJ12,CJ17,CJ20,CJ23)</f>
        <v>11697</v>
      </c>
      <c r="CK203" s="2941">
        <f>SUM(CK8,CK12,CK17,CK20,CK23)</f>
        <v>12799</v>
      </c>
      <c r="CL203" s="2941">
        <f>SUM(CL8,CL12,CL17,CL20,CL23)</f>
        <v>13704</v>
      </c>
      <c r="CM203" s="2954">
        <f>SUM(CI203:CL203)</f>
        <v>49505</v>
      </c>
      <c r="CN203" s="2941">
        <f>SUM(CN8,CN12,CN17,CN20,CN23)</f>
        <v>12811</v>
      </c>
      <c r="CO203" s="2941">
        <f>SUM(CO8,CO12,CO17,CO20,CO23)</f>
        <v>12902</v>
      </c>
      <c r="CP203" s="2941">
        <f>SUM(CP8,CP12,CP17,CP20,CP23)</f>
        <v>13967</v>
      </c>
      <c r="CQ203" s="2941">
        <f>SUM(CQ8,CQ12,CQ17,CQ20,CQ23)</f>
        <v>15949</v>
      </c>
      <c r="CR203" s="2954">
        <f>SUM(CN203:CQ203)</f>
        <v>55629</v>
      </c>
      <c r="CS203" s="2941">
        <f>SUM(CS8,CS12,CS17,CS20,CS23)</f>
        <v>14915</v>
      </c>
      <c r="CT203" s="2941">
        <f>SUM(CT8,CT12,CT17,CT20,CT23)</f>
        <v>15532</v>
      </c>
      <c r="CU203" s="2941">
        <f>SUM(CU8,CU12,CU17,CU20,CU23)</f>
        <v>16684</v>
      </c>
      <c r="CV203" s="2941">
        <f>SUM(CV8,CV12,CV17,CV20,CV23)</f>
        <v>19425</v>
      </c>
      <c r="CW203" s="2954">
        <f>SUM(CS203:CV203)</f>
        <v>66556</v>
      </c>
      <c r="CX203" s="2941">
        <f>SUM(CX8,CX12,CX17,CX20,CX23)</f>
        <v>18182</v>
      </c>
      <c r="CY203" s="2941">
        <f>SUM(CY8,CY12,CY17,CY20,CY23)</f>
        <v>19142</v>
      </c>
      <c r="CZ203" s="2941">
        <f>SUM(CZ8,CZ12,CZ17,CZ20,CZ23)</f>
        <v>19990</v>
      </c>
      <c r="DA203" s="2941">
        <f>SUM(DA8,DA12,DA17,DA20,DA23)</f>
        <v>24659</v>
      </c>
      <c r="DB203" s="2954">
        <f>SUM(CX203:DA203)</f>
        <v>81973</v>
      </c>
      <c r="DC203" s="2941">
        <f>SUM(DC8,DC12,DC17,DC20,DC23)</f>
        <v>23513</v>
      </c>
      <c r="DD203" s="2941">
        <f>SUM(DD8,DD12,DD17,DD20,DD23)</f>
        <v>24541</v>
      </c>
      <c r="DE203" s="2941">
        <f>SUM(DE8,DE12,DE17,DE20,DE23)</f>
        <v>25115</v>
      </c>
      <c r="DF203" s="2941">
        <f>SUM(DF8,DF12,DF17,DF20,DF23)</f>
        <v>31055</v>
      </c>
      <c r="DG203" s="2954">
        <f>SUM(DC203:DF203)</f>
        <v>104224</v>
      </c>
      <c r="DH203" s="2941">
        <f>SUM(DH8,DH12,DH17,DH20,DH23)</f>
        <v>28034</v>
      </c>
      <c r="DI203" s="2941">
        <f>SUM(DI8,DI12,DI17,DI20,DI23)</f>
        <v>29764</v>
      </c>
      <c r="DJ203" s="2941">
        <f>SUM(DJ8,DJ12,DJ17,DJ20,DJ23)</f>
        <v>31322</v>
      </c>
      <c r="DK203" s="2941">
        <f>SUM(DK8,DK12,DK17,DK20,DK23)</f>
        <v>36809</v>
      </c>
      <c r="DL203" s="2954">
        <f>SUM(DH203:DK203)</f>
        <v>125929</v>
      </c>
      <c r="DM203" s="2941">
        <f>SUM(DM8,DM12,DM17,DM20,DM23)</f>
        <v>33182</v>
      </c>
      <c r="DN203" s="2941">
        <f>SUM(DN8,DN12,DN17,DN20,DN23)</f>
        <v>31914</v>
      </c>
      <c r="DO203" s="2941">
        <f>SUM(DO8,DO12,DO17,DO20,DO23)</f>
        <v>34960</v>
      </c>
      <c r="DP203" s="2941">
        <f>SUM(DP8,DP12,DP17,DP20,DP23)</f>
        <v>41247</v>
      </c>
      <c r="DQ203" s="2954">
        <f>SUM(DM203:DP203)</f>
        <v>141303</v>
      </c>
      <c r="DR203" s="2941">
        <f t="shared" ref="DR203:EX203" si="877">SUM(DR8,DR12,DR17,DR20,DR23)</f>
        <v>38877</v>
      </c>
      <c r="DS203" s="2941">
        <f t="shared" si="877"/>
        <v>42519</v>
      </c>
      <c r="DT203" s="2941">
        <f t="shared" si="877"/>
        <v>44087</v>
      </c>
      <c r="DU203" s="2941">
        <f t="shared" si="877"/>
        <v>53440</v>
      </c>
      <c r="DV203" s="2954">
        <f t="shared" si="877"/>
        <v>178923</v>
      </c>
      <c r="DW203" s="2941">
        <f t="shared" si="877"/>
        <v>47917</v>
      </c>
      <c r="DX203" s="2941">
        <f t="shared" si="877"/>
        <v>50232</v>
      </c>
      <c r="DY203" s="2941">
        <f t="shared" si="877"/>
        <v>51957</v>
      </c>
      <c r="DZ203" s="2941">
        <f t="shared" si="877"/>
        <v>57888</v>
      </c>
      <c r="EA203" s="2954">
        <f t="shared" si="877"/>
        <v>207994</v>
      </c>
      <c r="EB203" s="2941">
        <f t="shared" si="877"/>
        <v>52372</v>
      </c>
      <c r="EC203" s="2941">
        <f t="shared" si="877"/>
        <v>52766</v>
      </c>
      <c r="ED203" s="2941">
        <f t="shared" si="877"/>
        <v>55350</v>
      </c>
      <c r="EE203" s="2941">
        <f t="shared" si="877"/>
        <v>62613</v>
      </c>
      <c r="EF203" s="2954">
        <f t="shared" ref="EF203:EL203" si="878">SUM(EF8,EF12,EF17,EF20,EF23,-EF265,-EF258,-EF251)</f>
        <v>218579</v>
      </c>
      <c r="EG203" s="2941">
        <f t="shared" si="878"/>
        <v>54351</v>
      </c>
      <c r="EH203" s="2941">
        <f t="shared" si="878"/>
        <v>57317</v>
      </c>
      <c r="EI203" s="2941">
        <f t="shared" si="878"/>
        <v>59140</v>
      </c>
      <c r="EJ203" s="2941">
        <f t="shared" si="878"/>
        <v>65033</v>
      </c>
      <c r="EK203" s="2954">
        <f t="shared" si="878"/>
        <v>235841</v>
      </c>
      <c r="EL203" s="2941">
        <f t="shared" si="878"/>
        <v>59336</v>
      </c>
      <c r="EM203" s="2941">
        <f>SUM(EM8,EM12,EM17,EM20,EM23,-EM265,-EM258,-EM251)</f>
        <v>63757</v>
      </c>
      <c r="EN203" s="2941">
        <f t="shared" ref="EN203:EP203" si="879">SUM(EN8,EN12,EN17,EN20,EN23,-EN265,-EN258,-EN251)</f>
        <v>67661</v>
      </c>
      <c r="EO203" s="2941">
        <f t="shared" si="879"/>
        <v>74906.987869795164</v>
      </c>
      <c r="EP203" s="2954">
        <f t="shared" si="879"/>
        <v>265660.98786979512</v>
      </c>
      <c r="EQ203" s="2941">
        <f t="shared" ref="EQ203:EU203" si="880">SUM(EQ8,EQ12,EQ17,EQ20,EQ23)</f>
        <v>69200.142778647569</v>
      </c>
      <c r="ER203" s="2941">
        <f t="shared" si="880"/>
        <v>73683.884121561248</v>
      </c>
      <c r="ES203" s="2941">
        <f t="shared" si="880"/>
        <v>78776.372642344126</v>
      </c>
      <c r="ET203" s="2941">
        <f t="shared" si="880"/>
        <v>86890.177303737277</v>
      </c>
      <c r="EU203" s="2954">
        <f t="shared" si="880"/>
        <v>308550.57684629021</v>
      </c>
      <c r="EV203" s="2954">
        <f t="shared" si="877"/>
        <v>352046.53625017882</v>
      </c>
      <c r="EW203" s="2954">
        <f t="shared" si="877"/>
        <v>390851.52076544153</v>
      </c>
      <c r="EX203" s="2954">
        <f t="shared" si="877"/>
        <v>426924.96339317237</v>
      </c>
      <c r="EY203" s="2954">
        <f t="shared" ref="EY203" si="881">SUM(EY8,EY12,EY17,EY20,EY23)</f>
        <v>461692.40783708583</v>
      </c>
      <c r="EZ203" s="176"/>
      <c r="FA203" s="1104"/>
      <c r="FB203" s="1104"/>
      <c r="FC203" s="1104"/>
      <c r="FD203" s="1104"/>
      <c r="FE203" s="1104"/>
      <c r="FF203" s="1104"/>
      <c r="FG203" s="1104"/>
      <c r="FH203" s="1104"/>
      <c r="FI203" s="1104"/>
      <c r="FJ203" s="1104"/>
      <c r="FK203" s="1104"/>
      <c r="FL203" s="1104"/>
    </row>
    <row r="204" spans="1:168" s="1280" customFormat="1" ht="11.25" hidden="1" customHeight="1" outlineLevel="1">
      <c r="A204" s="3781" t="s">
        <v>696</v>
      </c>
      <c r="B204" s="2618"/>
      <c r="C204" s="2618"/>
      <c r="D204" s="2618"/>
      <c r="E204" s="1277"/>
      <c r="F204" s="2955"/>
      <c r="G204" s="2618"/>
      <c r="H204" s="2618"/>
      <c r="I204" s="2618"/>
      <c r="J204" s="1277"/>
      <c r="K204" s="2955"/>
      <c r="L204" s="2618"/>
      <c r="M204" s="2618"/>
      <c r="N204" s="2618"/>
      <c r="O204" s="1277"/>
      <c r="P204" s="2955"/>
      <c r="Q204" s="2618"/>
      <c r="R204" s="2618"/>
      <c r="S204" s="2618"/>
      <c r="T204" s="1277"/>
      <c r="U204" s="2955"/>
      <c r="V204" s="2956"/>
      <c r="W204" s="2618"/>
      <c r="X204" s="2618"/>
      <c r="Y204" s="1277"/>
      <c r="Z204" s="2955"/>
      <c r="AA204" s="2956"/>
      <c r="AB204" s="2618"/>
      <c r="AC204" s="2618"/>
      <c r="AD204" s="1277"/>
      <c r="AE204" s="2955"/>
      <c r="AF204" s="2956"/>
      <c r="AG204" s="2618"/>
      <c r="AH204" s="2618"/>
      <c r="AI204" s="1277"/>
      <c r="AJ204" s="2955"/>
      <c r="AK204" s="2618"/>
      <c r="AL204" s="2618"/>
      <c r="AM204" s="2618"/>
      <c r="AN204" s="1277"/>
      <c r="AO204" s="2955"/>
      <c r="AP204" s="2618"/>
      <c r="AQ204" s="2618"/>
      <c r="AR204" s="2618"/>
      <c r="AS204" s="1277"/>
      <c r="AT204" s="2955"/>
      <c r="AU204" s="2618"/>
      <c r="AV204" s="2618"/>
      <c r="AW204" s="2618"/>
      <c r="AX204" s="1277"/>
      <c r="AY204" s="2955"/>
      <c r="AZ204" s="2618"/>
      <c r="BA204" s="2618"/>
      <c r="BB204" s="2618"/>
      <c r="BC204" s="1277"/>
      <c r="BD204" s="2955"/>
      <c r="BE204" s="2618"/>
      <c r="BF204" s="2618"/>
      <c r="BG204" s="2618"/>
      <c r="BH204" s="1277"/>
      <c r="BI204" s="2955"/>
      <c r="BJ204" s="2618"/>
      <c r="BK204" s="2618"/>
      <c r="BL204" s="2618"/>
      <c r="BM204" s="2618"/>
      <c r="BN204" s="2957"/>
      <c r="BO204" s="2618"/>
      <c r="BP204" s="2618"/>
      <c r="BQ204" s="2618"/>
      <c r="BR204" s="1277"/>
      <c r="BS204" s="2955"/>
      <c r="BT204" s="2618"/>
      <c r="BU204" s="2618"/>
      <c r="BV204" s="2618"/>
      <c r="BW204" s="2618"/>
      <c r="BX204" s="2957"/>
      <c r="BY204" s="2618"/>
      <c r="BZ204" s="2618"/>
      <c r="CA204" s="2618"/>
      <c r="CB204" s="2618"/>
      <c r="CC204" s="2957"/>
      <c r="CD204" s="2618"/>
      <c r="CE204" s="2618"/>
      <c r="CF204" s="2618"/>
      <c r="CG204" s="2618"/>
      <c r="CH204" s="2957"/>
      <c r="CI204" s="127">
        <f t="shared" ref="CI204:DQ204" si="882">CI203/CD203-1</f>
        <v>0.22840378137563833</v>
      </c>
      <c r="CJ204" s="127">
        <f t="shared" si="882"/>
        <v>0.21313005600497825</v>
      </c>
      <c r="CK204" s="127">
        <f t="shared" si="882"/>
        <v>0.2807965575903133</v>
      </c>
      <c r="CL204" s="127">
        <f t="shared" si="882"/>
        <v>0.21510906189040613</v>
      </c>
      <c r="CM204" s="2958">
        <f t="shared" si="882"/>
        <v>0.2340462658290956</v>
      </c>
      <c r="CN204" s="127">
        <f t="shared" si="882"/>
        <v>0.13321539141972583</v>
      </c>
      <c r="CO204" s="127">
        <f t="shared" si="882"/>
        <v>0.10301786782935785</v>
      </c>
      <c r="CP204" s="127">
        <f t="shared" si="882"/>
        <v>9.1257129463239384E-2</v>
      </c>
      <c r="CQ204" s="127">
        <f t="shared" si="882"/>
        <v>0.16382078225335661</v>
      </c>
      <c r="CR204" s="2958">
        <f t="shared" si="882"/>
        <v>0.12370467629532378</v>
      </c>
      <c r="CS204" s="127">
        <f t="shared" si="882"/>
        <v>0.16423386152525166</v>
      </c>
      <c r="CT204" s="127">
        <f t="shared" si="882"/>
        <v>0.20384436521469529</v>
      </c>
      <c r="CU204" s="127">
        <f t="shared" si="882"/>
        <v>0.19452996348535834</v>
      </c>
      <c r="CV204" s="127">
        <f t="shared" si="882"/>
        <v>0.21794469872719291</v>
      </c>
      <c r="CW204" s="2958">
        <f t="shared" si="882"/>
        <v>0.19642632439914443</v>
      </c>
      <c r="CX204" s="127">
        <f t="shared" si="882"/>
        <v>0.21904123365739192</v>
      </c>
      <c r="CY204" s="127">
        <f t="shared" si="882"/>
        <v>0.23242338398145757</v>
      </c>
      <c r="CZ204" s="127">
        <f t="shared" si="882"/>
        <v>0.1981539199232798</v>
      </c>
      <c r="DA204" s="127">
        <f t="shared" si="882"/>
        <v>0.26944658944658939</v>
      </c>
      <c r="DB204" s="2958">
        <f t="shared" si="882"/>
        <v>0.23163952160586576</v>
      </c>
      <c r="DC204" s="127">
        <f t="shared" si="882"/>
        <v>0.29320206797932014</v>
      </c>
      <c r="DD204" s="127">
        <f t="shared" si="882"/>
        <v>0.28204994253474047</v>
      </c>
      <c r="DE204" s="127">
        <f t="shared" si="882"/>
        <v>0.25637818909454735</v>
      </c>
      <c r="DF204" s="127">
        <f t="shared" si="882"/>
        <v>0.25937791475728944</v>
      </c>
      <c r="DG204" s="2958">
        <f t="shared" si="882"/>
        <v>0.27144303612164977</v>
      </c>
      <c r="DH204" s="127">
        <f t="shared" si="882"/>
        <v>0.19227661293752396</v>
      </c>
      <c r="DI204" s="127">
        <f t="shared" si="882"/>
        <v>0.21282751314127379</v>
      </c>
      <c r="DJ204" s="127">
        <f t="shared" si="882"/>
        <v>0.24714314154887518</v>
      </c>
      <c r="DK204" s="127">
        <f t="shared" si="882"/>
        <v>0.18528417324102398</v>
      </c>
      <c r="DL204" s="2958">
        <f t="shared" si="882"/>
        <v>0.20825337734111149</v>
      </c>
      <c r="DM204" s="127">
        <f t="shared" si="882"/>
        <v>0.18363415852179488</v>
      </c>
      <c r="DN204" s="127">
        <f t="shared" si="882"/>
        <v>7.2234914662007821E-2</v>
      </c>
      <c r="DO204" s="127">
        <f t="shared" si="882"/>
        <v>0.11614839409999367</v>
      </c>
      <c r="DP204" s="127">
        <f t="shared" si="882"/>
        <v>0.12056833926485377</v>
      </c>
      <c r="DQ204" s="2958">
        <f t="shared" si="882"/>
        <v>0.12208466675666441</v>
      </c>
      <c r="DR204" s="127">
        <f t="shared" ref="DR204:ED204" si="883">DR203/DM203-1</f>
        <v>0.17162919655234776</v>
      </c>
      <c r="DS204" s="127">
        <f t="shared" si="883"/>
        <v>0.33229930438052269</v>
      </c>
      <c r="DT204" s="127">
        <f t="shared" si="883"/>
        <v>0.26106979405034325</v>
      </c>
      <c r="DU204" s="127">
        <f t="shared" si="883"/>
        <v>0.29560937765170792</v>
      </c>
      <c r="DV204" s="2958">
        <f t="shared" si="883"/>
        <v>0.2662363856393708</v>
      </c>
      <c r="DW204" s="127">
        <f t="shared" si="883"/>
        <v>0.23252823005890377</v>
      </c>
      <c r="DX204" s="127">
        <f t="shared" si="883"/>
        <v>0.18140125590912293</v>
      </c>
      <c r="DY204" s="127">
        <f t="shared" si="883"/>
        <v>0.17851067208020499</v>
      </c>
      <c r="DZ204" s="127">
        <f t="shared" si="883"/>
        <v>8.3233532934131826E-2</v>
      </c>
      <c r="EA204" s="2958">
        <f t="shared" si="883"/>
        <v>0.16247771387691912</v>
      </c>
      <c r="EB204" s="127">
        <f>EB203/DW203-1</f>
        <v>9.2973266272930344E-2</v>
      </c>
      <c r="EC204" s="127">
        <f t="shared" si="883"/>
        <v>5.0445930880713474E-2</v>
      </c>
      <c r="ED204" s="127">
        <f t="shared" si="883"/>
        <v>6.5304001385761312E-2</v>
      </c>
      <c r="EE204" s="127">
        <f t="shared" ref="EE204:EN204" si="884">EE203/DZ203-1</f>
        <v>8.1623134328358216E-2</v>
      </c>
      <c r="EF204" s="2958">
        <f t="shared" si="884"/>
        <v>5.0890891083396728E-2</v>
      </c>
      <c r="EG204" s="127">
        <f>EG203/EB203-1</f>
        <v>3.7787367295501362E-2</v>
      </c>
      <c r="EH204" s="127">
        <f t="shared" si="884"/>
        <v>8.6248720767160725E-2</v>
      </c>
      <c r="EI204" s="127">
        <f t="shared" si="884"/>
        <v>6.8473351400180738E-2</v>
      </c>
      <c r="EJ204" s="127">
        <f t="shared" si="884"/>
        <v>3.8650120581987801E-2</v>
      </c>
      <c r="EK204" s="2958">
        <f t="shared" si="884"/>
        <v>7.8973734896764958E-2</v>
      </c>
      <c r="EL204" s="127">
        <f>EL203/EG203-1</f>
        <v>9.1718643631211849E-2</v>
      </c>
      <c r="EM204" s="127">
        <f t="shared" si="884"/>
        <v>0.11235759024373215</v>
      </c>
      <c r="EN204" s="127">
        <f t="shared" si="884"/>
        <v>0.14408183970240107</v>
      </c>
      <c r="EO204" s="127">
        <f t="shared" ref="EO204:EP204" si="885">EO203/EJ203-1</f>
        <v>0.15183042255155321</v>
      </c>
      <c r="EP204" s="2958">
        <f t="shared" si="885"/>
        <v>0.12644106779480713</v>
      </c>
      <c r="EQ204" s="127">
        <f t="shared" ref="EQ204" si="886">EQ203/EL203-1</f>
        <v>0.16624212583671927</v>
      </c>
      <c r="ER204" s="127">
        <f t="shared" ref="ER204" si="887">ER203/EM203-1</f>
        <v>0.15569873302635395</v>
      </c>
      <c r="ES204" s="127">
        <f t="shared" ref="ES204" si="888">ES203/EN203-1</f>
        <v>0.16428034824114524</v>
      </c>
      <c r="ET204" s="127">
        <f t="shared" ref="ET204:EU204" si="889">ET203/EO203-1</f>
        <v>0.15997425306663682</v>
      </c>
      <c r="EU204" s="2958">
        <f t="shared" si="889"/>
        <v>0.16144481476337802</v>
      </c>
      <c r="EV204" s="2958">
        <f>EV203/EU203-1</f>
        <v>0.14096865365951627</v>
      </c>
      <c r="EW204" s="2958">
        <f>EW203/EV203-1</f>
        <v>0.11022686071163701</v>
      </c>
      <c r="EX204" s="2958">
        <f>EX203/EW203-1</f>
        <v>9.2294492182312116E-2</v>
      </c>
      <c r="EY204" s="2958">
        <f>EY203/EX203-1</f>
        <v>8.1436897406008013E-2</v>
      </c>
      <c r="EZ204" s="2618"/>
      <c r="FA204" s="1319"/>
      <c r="FB204" s="1319"/>
      <c r="FC204" s="1319"/>
      <c r="FD204" s="1319"/>
      <c r="FE204" s="1319"/>
      <c r="FF204" s="1319"/>
      <c r="FG204" s="1319"/>
      <c r="FH204" s="1319"/>
      <c r="FI204" s="1319"/>
      <c r="FJ204" s="1319"/>
      <c r="FK204" s="1319"/>
      <c r="FL204" s="1319"/>
    </row>
    <row r="205" spans="1:168" s="1280" customFormat="1" ht="11.25" hidden="1" customHeight="1" outlineLevel="1">
      <c r="A205" s="3782" t="s">
        <v>697</v>
      </c>
      <c r="B205" s="2923"/>
      <c r="C205" s="2923"/>
      <c r="D205" s="2923"/>
      <c r="E205" s="2924"/>
      <c r="F205" s="2959"/>
      <c r="G205" s="2923"/>
      <c r="H205" s="2923"/>
      <c r="I205" s="2923"/>
      <c r="J205" s="2924"/>
      <c r="K205" s="2959"/>
      <c r="L205" s="2923"/>
      <c r="M205" s="2923"/>
      <c r="N205" s="2923"/>
      <c r="O205" s="2924"/>
      <c r="P205" s="2959"/>
      <c r="Q205" s="2923"/>
      <c r="R205" s="2923"/>
      <c r="S205" s="2923"/>
      <c r="T205" s="2924"/>
      <c r="U205" s="2959"/>
      <c r="V205" s="2922"/>
      <c r="W205" s="2923"/>
      <c r="X205" s="2923"/>
      <c r="Y205" s="2924"/>
      <c r="Z205" s="2959"/>
      <c r="AA205" s="2922"/>
      <c r="AB205" s="2923"/>
      <c r="AC205" s="2923"/>
      <c r="AD205" s="2924"/>
      <c r="AE205" s="2959"/>
      <c r="AF205" s="2922"/>
      <c r="AG205" s="2923"/>
      <c r="AH205" s="2923"/>
      <c r="AI205" s="2924"/>
      <c r="AJ205" s="2959"/>
      <c r="AK205" s="2923"/>
      <c r="AL205" s="2923"/>
      <c r="AM205" s="2923"/>
      <c r="AN205" s="2924"/>
      <c r="AO205" s="2959"/>
      <c r="AP205" s="2923"/>
      <c r="AQ205" s="2923"/>
      <c r="AR205" s="2923"/>
      <c r="AS205" s="2924"/>
      <c r="AT205" s="2959"/>
      <c r="AU205" s="2923"/>
      <c r="AV205" s="2923"/>
      <c r="AW205" s="2923"/>
      <c r="AX205" s="2924"/>
      <c r="AY205" s="2959"/>
      <c r="AZ205" s="2923"/>
      <c r="BA205" s="2923"/>
      <c r="BB205" s="2923"/>
      <c r="BC205" s="2924"/>
      <c r="BD205" s="2959"/>
      <c r="BE205" s="2923"/>
      <c r="BF205" s="2923"/>
      <c r="BG205" s="2923"/>
      <c r="BH205" s="2924"/>
      <c r="BI205" s="2959"/>
      <c r="BJ205" s="2923"/>
      <c r="BK205" s="2923"/>
      <c r="BL205" s="2923"/>
      <c r="BM205" s="2923"/>
      <c r="BN205" s="2960"/>
      <c r="BO205" s="2923"/>
      <c r="BP205" s="2923"/>
      <c r="BQ205" s="2923"/>
      <c r="BR205" s="2924"/>
      <c r="BS205" s="2959"/>
      <c r="BT205" s="2923"/>
      <c r="BU205" s="2923"/>
      <c r="BV205" s="2923"/>
      <c r="BW205" s="2923"/>
      <c r="BX205" s="2960"/>
      <c r="BY205" s="2923"/>
      <c r="BZ205" s="2923"/>
      <c r="CA205" s="2923"/>
      <c r="CB205" s="2923"/>
      <c r="CC205" s="2960"/>
      <c r="CD205" s="2923"/>
      <c r="CE205" s="2903">
        <f>CE203/CD203-1</f>
        <v>4.7701836357709526E-2</v>
      </c>
      <c r="CF205" s="2903">
        <f>CF203/CE203-1</f>
        <v>3.6403235843186055E-2</v>
      </c>
      <c r="CG205" s="2903">
        <f>CG203/CF203-1</f>
        <v>0.12859001300910644</v>
      </c>
      <c r="CH205" s="2960"/>
      <c r="CI205" s="2903">
        <f>CI203/CG203-1</f>
        <v>2.3940414967191792E-3</v>
      </c>
      <c r="CJ205" s="2903">
        <f>CJ203/CI203-1</f>
        <v>3.4674922600619107E-2</v>
      </c>
      <c r="CK205" s="2903">
        <f>CK203/CJ203-1</f>
        <v>9.4212191160126579E-2</v>
      </c>
      <c r="CL205" s="2903">
        <f>CL203/CK203-1</f>
        <v>7.0708649113212063E-2</v>
      </c>
      <c r="CM205" s="2960"/>
      <c r="CN205" s="2903">
        <f>CN203/CL203-1</f>
        <v>-6.516345592527728E-2</v>
      </c>
      <c r="CO205" s="2903">
        <f>CO203/CN203-1</f>
        <v>7.1032706268050472E-3</v>
      </c>
      <c r="CP205" s="2903">
        <f>CP203/CO203-1</f>
        <v>8.254534180747175E-2</v>
      </c>
      <c r="CQ205" s="2903">
        <f>CQ203/CP203-1</f>
        <v>0.1419059210997351</v>
      </c>
      <c r="CR205" s="2960"/>
      <c r="CS205" s="2903">
        <f>CS203/CQ203-1</f>
        <v>-6.4831650887202996E-2</v>
      </c>
      <c r="CT205" s="2903">
        <f>CT203/CS203-1</f>
        <v>4.1367750586657648E-2</v>
      </c>
      <c r="CU205" s="2903">
        <f>CU203/CT203-1</f>
        <v>7.4169456605717166E-2</v>
      </c>
      <c r="CV205" s="2903">
        <f>CV203/CU203-1</f>
        <v>0.16428913929513311</v>
      </c>
      <c r="CW205" s="2960"/>
      <c r="CX205" s="2903">
        <f>CX203/CV203-1</f>
        <v>-6.3989703989703939E-2</v>
      </c>
      <c r="CY205" s="2903">
        <f>CY203/CX203-1</f>
        <v>5.2799472005280013E-2</v>
      </c>
      <c r="CZ205" s="2903">
        <f>CZ203/CY203-1</f>
        <v>4.4300491066764147E-2</v>
      </c>
      <c r="DA205" s="2903">
        <f>DA203/CZ203-1</f>
        <v>0.2335667833916959</v>
      </c>
      <c r="DB205" s="2960"/>
      <c r="DC205" s="2903">
        <f>DC203/DA203-1</f>
        <v>-4.6473904051259174E-2</v>
      </c>
      <c r="DD205" s="2903">
        <f>DD203/DC203-1</f>
        <v>4.3720495045294072E-2</v>
      </c>
      <c r="DE205" s="2903">
        <f>DE203/DD203-1</f>
        <v>2.3389429933580619E-2</v>
      </c>
      <c r="DF205" s="2903">
        <f>DF203/DE203-1</f>
        <v>0.23651204459486364</v>
      </c>
      <c r="DG205" s="2960"/>
      <c r="DH205" s="2903">
        <f>DH203/DF203-1</f>
        <v>-9.7279021091611684E-2</v>
      </c>
      <c r="DI205" s="2903">
        <f>DI203/DH203-1</f>
        <v>6.1710779767425228E-2</v>
      </c>
      <c r="DJ205" s="2903">
        <f>DJ203/DI203-1</f>
        <v>5.2345114903910694E-2</v>
      </c>
      <c r="DK205" s="2903">
        <f>DK203/DJ203-1</f>
        <v>0.17518038439435535</v>
      </c>
      <c r="DL205" s="2960"/>
      <c r="DM205" s="2903">
        <f>DM203/DK203-1</f>
        <v>-9.8535684207666563E-2</v>
      </c>
      <c r="DN205" s="2903">
        <f>DN203/DM203-1</f>
        <v>-3.8213489241154863E-2</v>
      </c>
      <c r="DO205" s="2903">
        <f>DO203/DN203-1</f>
        <v>9.5444005765494833E-2</v>
      </c>
      <c r="DP205" s="2903">
        <f>DP203/DO203-1</f>
        <v>0.17983409610983991</v>
      </c>
      <c r="DQ205" s="2960"/>
      <c r="DR205" s="2903">
        <f>DR203/DP203-1</f>
        <v>-5.7458724270856076E-2</v>
      </c>
      <c r="DS205" s="2903">
        <f>DS203/DR203-1</f>
        <v>9.3680067906474207E-2</v>
      </c>
      <c r="DT205" s="2903">
        <f>DT203/DS203-1</f>
        <v>3.6877631176650549E-2</v>
      </c>
      <c r="DU205" s="2903">
        <f>DU203/DT203-1</f>
        <v>0.2121487059677456</v>
      </c>
      <c r="DV205" s="2960"/>
      <c r="DW205" s="2903">
        <f>DW203/DU203-1</f>
        <v>-0.10334955089820363</v>
      </c>
      <c r="DX205" s="2903">
        <f>DX203/DW203-1</f>
        <v>4.8312707389861709E-2</v>
      </c>
      <c r="DY205" s="2903">
        <f>DY203/DX203-1</f>
        <v>3.4340659340659441E-2</v>
      </c>
      <c r="DZ205" s="2903">
        <f>DZ203/DY203-1</f>
        <v>0.114152087302962</v>
      </c>
      <c r="EA205" s="2960"/>
      <c r="EB205" s="2903">
        <f>EB203/DZ203-1</f>
        <v>-9.5287451630735265E-2</v>
      </c>
      <c r="EC205" s="2903">
        <f>EC203/EB203-1</f>
        <v>7.5231039486749474E-3</v>
      </c>
      <c r="ED205" s="2903">
        <f>ED203/EC203-1</f>
        <v>4.8970928249251422E-2</v>
      </c>
      <c r="EE205" s="2903">
        <f>EE203/ED203-1</f>
        <v>0.13121951219512185</v>
      </c>
      <c r="EF205" s="2960"/>
      <c r="EG205" s="2903">
        <f>EG203/EE203-1</f>
        <v>-0.13195342820181111</v>
      </c>
      <c r="EH205" s="2903">
        <f>EH203/EG203-1</f>
        <v>5.4571213041158417E-2</v>
      </c>
      <c r="EI205" s="2903">
        <f>EI203/EH203-1</f>
        <v>3.1805572517752179E-2</v>
      </c>
      <c r="EJ205" s="2903">
        <f>EJ203/EI203-1</f>
        <v>9.9644910382143959E-2</v>
      </c>
      <c r="EK205" s="2960"/>
      <c r="EL205" s="2903">
        <f>EL203/EJ203-1</f>
        <v>-8.7601679147509715E-2</v>
      </c>
      <c r="EM205" s="2903">
        <f>EM203/EL203-1</f>
        <v>7.450788728596458E-2</v>
      </c>
      <c r="EN205" s="2903">
        <f>EN203/EM203-1</f>
        <v>6.123249211851256E-2</v>
      </c>
      <c r="EO205" s="2903">
        <f>EO203/EN203-1</f>
        <v>0.10709253291844889</v>
      </c>
      <c r="EP205" s="2960"/>
      <c r="EQ205" s="2903">
        <f>EQ203/EO203-1</f>
        <v>-7.6185750534614294E-2</v>
      </c>
      <c r="ER205" s="2903">
        <f>ER203/EQ203-1</f>
        <v>6.4793816354627332E-2</v>
      </c>
      <c r="ES205" s="2903">
        <f>ES203/ER203-1</f>
        <v>6.9112650364378858E-2</v>
      </c>
      <c r="ET205" s="2903">
        <f>ET203/ES203-1</f>
        <v>0.10299794709044252</v>
      </c>
      <c r="EU205" s="2960"/>
      <c r="EV205" s="2960"/>
      <c r="EW205" s="2960"/>
      <c r="EX205" s="2960"/>
      <c r="EY205" s="2960"/>
      <c r="EZ205" s="2618"/>
      <c r="FA205" s="1319"/>
      <c r="FB205" s="1319"/>
      <c r="FC205" s="1319"/>
      <c r="FD205" s="1319"/>
      <c r="FE205" s="1319"/>
      <c r="FF205" s="1319"/>
      <c r="FG205" s="1319"/>
      <c r="FH205" s="1319"/>
      <c r="FI205" s="1319"/>
      <c r="FJ205" s="1319"/>
      <c r="FK205" s="1319"/>
      <c r="FL205" s="1319"/>
    </row>
    <row r="206" spans="1:168" s="84" customFormat="1" ht="11.25" hidden="1" customHeight="1" outlineLevel="1">
      <c r="A206" s="3783" t="s">
        <v>705</v>
      </c>
      <c r="B206" s="176"/>
      <c r="C206" s="176"/>
      <c r="D206" s="176"/>
      <c r="E206" s="178"/>
      <c r="F206" s="974"/>
      <c r="G206" s="176"/>
      <c r="H206" s="176"/>
      <c r="I206" s="176"/>
      <c r="J206" s="178"/>
      <c r="K206" s="974"/>
      <c r="L206" s="176"/>
      <c r="M206" s="176"/>
      <c r="N206" s="176"/>
      <c r="O206" s="178"/>
      <c r="P206" s="974"/>
      <c r="Q206" s="176"/>
      <c r="R206" s="176"/>
      <c r="S206" s="176"/>
      <c r="T206" s="178"/>
      <c r="U206" s="974"/>
      <c r="V206" s="975"/>
      <c r="W206" s="176"/>
      <c r="X206" s="176"/>
      <c r="Y206" s="178"/>
      <c r="Z206" s="974"/>
      <c r="AA206" s="975"/>
      <c r="AB206" s="176"/>
      <c r="AC206" s="176"/>
      <c r="AD206" s="178"/>
      <c r="AE206" s="974"/>
      <c r="AF206" s="975"/>
      <c r="AG206" s="176"/>
      <c r="AH206" s="176"/>
      <c r="AI206" s="178"/>
      <c r="AJ206" s="974"/>
      <c r="AK206" s="176"/>
      <c r="AL206" s="176"/>
      <c r="AM206" s="176"/>
      <c r="AN206" s="178"/>
      <c r="AO206" s="974"/>
      <c r="AP206" s="176"/>
      <c r="AQ206" s="176"/>
      <c r="AR206" s="176"/>
      <c r="AS206" s="178"/>
      <c r="AT206" s="974"/>
      <c r="AU206" s="176"/>
      <c r="AV206" s="176"/>
      <c r="AW206" s="176"/>
      <c r="AX206" s="178"/>
      <c r="AY206" s="974"/>
      <c r="AZ206" s="176"/>
      <c r="BA206" s="176"/>
      <c r="BB206" s="176"/>
      <c r="BC206" s="178"/>
      <c r="BD206" s="974"/>
      <c r="BE206" s="176"/>
      <c r="BF206" s="176"/>
      <c r="BG206" s="176"/>
      <c r="BH206" s="178"/>
      <c r="BI206" s="974"/>
      <c r="BJ206" s="176"/>
      <c r="BK206" s="176"/>
      <c r="BL206" s="176"/>
      <c r="BM206" s="176"/>
      <c r="BN206" s="1007"/>
      <c r="BO206" s="176"/>
      <c r="BP206" s="176"/>
      <c r="BQ206" s="176"/>
      <c r="BR206" s="178"/>
      <c r="BS206" s="974"/>
      <c r="BT206" s="176"/>
      <c r="BU206" s="176"/>
      <c r="BV206" s="176"/>
      <c r="BW206" s="176"/>
      <c r="BX206" s="1007"/>
      <c r="BY206" s="176"/>
      <c r="BZ206" s="176"/>
      <c r="CA206" s="176"/>
      <c r="CB206" s="176"/>
      <c r="CC206" s="1007"/>
      <c r="CD206" s="176">
        <f>CD55</f>
        <v>899</v>
      </c>
      <c r="CE206" s="176">
        <f>CE55</f>
        <v>1030</v>
      </c>
      <c r="CF206" s="176">
        <f>CF55</f>
        <v>974</v>
      </c>
      <c r="CG206" s="176">
        <f>CG55</f>
        <v>1036</v>
      </c>
      <c r="CH206" s="1007">
        <f t="shared" ref="CH206:CH212" si="890">SUM(CD206:CG206)</f>
        <v>3939</v>
      </c>
      <c r="CI206" s="176">
        <f>CI55</f>
        <v>1086</v>
      </c>
      <c r="CJ206" s="176">
        <f>CJ55</f>
        <v>1079</v>
      </c>
      <c r="CK206" s="176">
        <f>CK55</f>
        <v>1547</v>
      </c>
      <c r="CL206" s="176">
        <f>CL55</f>
        <v>1267</v>
      </c>
      <c r="CM206" s="1007">
        <f t="shared" ref="CM206:CM212" si="891">SUM(CI206:CL206)</f>
        <v>4979</v>
      </c>
      <c r="CN206" s="176">
        <f>CN55</f>
        <v>1177</v>
      </c>
      <c r="CO206" s="176">
        <f>CO55</f>
        <v>1234</v>
      </c>
      <c r="CP206" s="176">
        <f>CP55</f>
        <v>1248</v>
      </c>
      <c r="CQ206" s="176">
        <f>CQ55</f>
        <v>1404</v>
      </c>
      <c r="CR206" s="1007">
        <f t="shared" ref="CR206:CR212" si="892">SUM(CN206:CQ206)</f>
        <v>5063</v>
      </c>
      <c r="CS206" s="176">
        <f>CS55</f>
        <v>1371</v>
      </c>
      <c r="CT206" s="176">
        <f>CT55</f>
        <v>1490</v>
      </c>
      <c r="CU206" s="176">
        <f>CU55</f>
        <v>1596</v>
      </c>
      <c r="CV206" s="176">
        <f>CV55</f>
        <v>1687</v>
      </c>
      <c r="CW206" s="1007">
        <f t="shared" ref="CW206:CW212" si="893">SUM(CS206:CV206)</f>
        <v>6144</v>
      </c>
      <c r="CX206" s="176">
        <f>CX55</f>
        <v>1503</v>
      </c>
      <c r="CY206" s="176">
        <f>CY55</f>
        <v>1625</v>
      </c>
      <c r="CZ206" s="176">
        <f>CZ55</f>
        <v>1761</v>
      </c>
      <c r="DA206" s="176">
        <f>DA55</f>
        <v>2026</v>
      </c>
      <c r="DB206" s="1007">
        <f t="shared" ref="DB206:DB212" si="894">SUM(CX206:DA206)</f>
        <v>6915</v>
      </c>
      <c r="DC206" s="176">
        <f>DC55</f>
        <v>1986</v>
      </c>
      <c r="DD206" s="176">
        <f>DD55</f>
        <v>2114</v>
      </c>
      <c r="DE206" s="176">
        <f>DE55</f>
        <v>2355</v>
      </c>
      <c r="DF206" s="176">
        <f>DF55</f>
        <v>2580</v>
      </c>
      <c r="DG206" s="1007">
        <f t="shared" ref="DG206:DG212" si="895">SUM(DC206:DF206)</f>
        <v>9035</v>
      </c>
      <c r="DH206" s="176">
        <f>DH55</f>
        <v>2613</v>
      </c>
      <c r="DI206" s="176">
        <f>DI55</f>
        <v>2835</v>
      </c>
      <c r="DJ206" s="176">
        <f>DJ55</f>
        <v>2920</v>
      </c>
      <c r="DK206" s="176">
        <f>DK55</f>
        <v>3413</v>
      </c>
      <c r="DL206" s="1007">
        <f>SUM(DH206:DK206)</f>
        <v>11781</v>
      </c>
      <c r="DM206" s="176">
        <f>DM55</f>
        <v>3108</v>
      </c>
      <c r="DN206" s="176">
        <f>DN55</f>
        <v>3386</v>
      </c>
      <c r="DO206" s="176">
        <f>DO55</f>
        <v>3478</v>
      </c>
      <c r="DP206" s="176">
        <f>DP55</f>
        <v>3725</v>
      </c>
      <c r="DQ206" s="1007">
        <f>SUM(DM206:DP206)</f>
        <v>13697</v>
      </c>
      <c r="DR206" s="176">
        <f t="shared" ref="DR206:EX206" si="896">DR55</f>
        <v>2753</v>
      </c>
      <c r="DS206" s="176">
        <f t="shared" si="896"/>
        <v>2945</v>
      </c>
      <c r="DT206" s="176">
        <f t="shared" si="896"/>
        <v>3304</v>
      </c>
      <c r="DU206" s="176">
        <f t="shared" si="896"/>
        <v>3439</v>
      </c>
      <c r="DV206" s="1007">
        <f t="shared" si="896"/>
        <v>12441</v>
      </c>
      <c r="DW206" s="176">
        <f t="shared" si="896"/>
        <v>3782</v>
      </c>
      <c r="DX206" s="176">
        <f t="shared" si="896"/>
        <v>3899</v>
      </c>
      <c r="DY206" s="176">
        <f t="shared" si="896"/>
        <v>4046</v>
      </c>
      <c r="DZ206" s="176">
        <f t="shared" si="896"/>
        <v>4201</v>
      </c>
      <c r="EA206" s="1007">
        <f t="shared" si="896"/>
        <v>15928</v>
      </c>
      <c r="EB206" s="176">
        <f t="shared" si="896"/>
        <v>3186</v>
      </c>
      <c r="EC206" s="176">
        <f t="shared" si="896"/>
        <v>3397</v>
      </c>
      <c r="ED206" s="176">
        <f t="shared" si="896"/>
        <v>3800</v>
      </c>
      <c r="EE206" s="176">
        <f t="shared" si="896"/>
        <v>3316</v>
      </c>
      <c r="EF206" s="1007">
        <f t="shared" si="896"/>
        <v>13699</v>
      </c>
      <c r="EG206" s="176">
        <f t="shared" si="896"/>
        <v>3413</v>
      </c>
      <c r="EH206" s="176">
        <f t="shared" si="896"/>
        <v>3708</v>
      </c>
      <c r="EI206" s="176">
        <f t="shared" si="896"/>
        <v>3985</v>
      </c>
      <c r="EJ206" s="176">
        <f t="shared" si="896"/>
        <v>4205</v>
      </c>
      <c r="EK206" s="1007">
        <f t="shared" si="896"/>
        <v>15311</v>
      </c>
      <c r="EL206" s="176">
        <f t="shared" si="896"/>
        <v>4487</v>
      </c>
      <c r="EM206" s="176">
        <f t="shared" si="896"/>
        <v>4998</v>
      </c>
      <c r="EN206" s="176">
        <f t="shared" ref="EN206" si="897">EN55</f>
        <v>5611</v>
      </c>
      <c r="EO206" s="176">
        <f t="shared" si="896"/>
        <v>6431.1984855239371</v>
      </c>
      <c r="EP206" s="1007">
        <f t="shared" si="896"/>
        <v>21527.198485523935</v>
      </c>
      <c r="EQ206" s="176">
        <f t="shared" ref="EQ206:EU206" si="898">EQ55</f>
        <v>7543.0175868472752</v>
      </c>
      <c r="ER206" s="176">
        <f t="shared" si="898"/>
        <v>8704.7394857421259</v>
      </c>
      <c r="ES206" s="176">
        <f t="shared" si="898"/>
        <v>9655.6616607666801</v>
      </c>
      <c r="ET206" s="176">
        <f t="shared" si="898"/>
        <v>10952.730531828231</v>
      </c>
      <c r="EU206" s="1007">
        <f t="shared" si="898"/>
        <v>36856.149265184315</v>
      </c>
      <c r="EV206" s="1007">
        <f t="shared" si="896"/>
        <v>50659.248314131044</v>
      </c>
      <c r="EW206" s="1007">
        <f t="shared" si="896"/>
        <v>57068.22852048988</v>
      </c>
      <c r="EX206" s="1007">
        <f t="shared" si="896"/>
        <v>61724.46939251446</v>
      </c>
      <c r="EY206" s="1007">
        <f t="shared" ref="EY206" si="899">EY55</f>
        <v>66276.088078338158</v>
      </c>
      <c r="EZ206" s="176"/>
      <c r="FA206" s="1104"/>
      <c r="FB206" s="1104"/>
      <c r="FC206" s="1104"/>
      <c r="FD206" s="1104"/>
      <c r="FE206" s="1104"/>
      <c r="FF206" s="1104"/>
      <c r="FG206" s="1104"/>
      <c r="FH206" s="1104"/>
      <c r="FI206" s="1104"/>
      <c r="FJ206" s="1104"/>
      <c r="FK206" s="1104"/>
      <c r="FL206" s="1104"/>
    </row>
    <row r="207" spans="1:168" s="1280" customFormat="1" ht="11.25" hidden="1" customHeight="1" outlineLevel="1">
      <c r="A207" s="3781" t="s">
        <v>698</v>
      </c>
      <c r="B207" s="2618"/>
      <c r="C207" s="2618"/>
      <c r="D207" s="2618"/>
      <c r="E207" s="1277"/>
      <c r="F207" s="2955"/>
      <c r="G207" s="2618"/>
      <c r="H207" s="2618"/>
      <c r="I207" s="2618"/>
      <c r="J207" s="1277"/>
      <c r="K207" s="2955"/>
      <c r="L207" s="2618"/>
      <c r="M207" s="2618"/>
      <c r="N207" s="2618"/>
      <c r="O207" s="1277"/>
      <c r="P207" s="2955"/>
      <c r="Q207" s="2618"/>
      <c r="R207" s="2618"/>
      <c r="S207" s="2618"/>
      <c r="T207" s="1277"/>
      <c r="U207" s="2955"/>
      <c r="V207" s="2956"/>
      <c r="W207" s="2618"/>
      <c r="X207" s="2618"/>
      <c r="Y207" s="1277"/>
      <c r="Z207" s="2955"/>
      <c r="AA207" s="2956"/>
      <c r="AB207" s="2618"/>
      <c r="AC207" s="2618"/>
      <c r="AD207" s="1277"/>
      <c r="AE207" s="2955"/>
      <c r="AF207" s="2956"/>
      <c r="AG207" s="2618"/>
      <c r="AH207" s="2618"/>
      <c r="AI207" s="1277"/>
      <c r="AJ207" s="2955"/>
      <c r="AK207" s="2618"/>
      <c r="AL207" s="2618"/>
      <c r="AM207" s="2618"/>
      <c r="AN207" s="1277"/>
      <c r="AO207" s="2955"/>
      <c r="AP207" s="2618"/>
      <c r="AQ207" s="2618"/>
      <c r="AR207" s="2618"/>
      <c r="AS207" s="1277"/>
      <c r="AT207" s="2955"/>
      <c r="AU207" s="2618"/>
      <c r="AV207" s="2618"/>
      <c r="AW207" s="2618"/>
      <c r="AX207" s="1277"/>
      <c r="AY207" s="2955"/>
      <c r="AZ207" s="2618"/>
      <c r="BA207" s="2618"/>
      <c r="BB207" s="2618"/>
      <c r="BC207" s="1277"/>
      <c r="BD207" s="2955"/>
      <c r="BE207" s="2618"/>
      <c r="BF207" s="2618"/>
      <c r="BG207" s="2618"/>
      <c r="BH207" s="1277"/>
      <c r="BI207" s="2955"/>
      <c r="BJ207" s="2618"/>
      <c r="BK207" s="2618"/>
      <c r="BL207" s="2618"/>
      <c r="BM207" s="2618"/>
      <c r="BN207" s="2957"/>
      <c r="BO207" s="2618"/>
      <c r="BP207" s="2618"/>
      <c r="BQ207" s="2618"/>
      <c r="BR207" s="1277"/>
      <c r="BS207" s="2955"/>
      <c r="BT207" s="2618"/>
      <c r="BU207" s="2618"/>
      <c r="BV207" s="2618"/>
      <c r="BW207" s="2618"/>
      <c r="BX207" s="2957"/>
      <c r="BY207" s="2618"/>
      <c r="BZ207" s="2618"/>
      <c r="CA207" s="2618"/>
      <c r="CB207" s="2618"/>
      <c r="CC207" s="2957"/>
      <c r="CD207" s="2618"/>
      <c r="CE207" s="2618"/>
      <c r="CF207" s="2618"/>
      <c r="CG207" s="2618"/>
      <c r="CH207" s="2957"/>
      <c r="CI207" s="127">
        <f t="shared" ref="CI207:DQ207" si="900">CI206/CD206-1</f>
        <v>0.20800889877641815</v>
      </c>
      <c r="CJ207" s="127">
        <f t="shared" si="900"/>
        <v>4.7572815533980517E-2</v>
      </c>
      <c r="CK207" s="127">
        <f t="shared" si="900"/>
        <v>0.5882956878850103</v>
      </c>
      <c r="CL207" s="127">
        <f t="shared" si="900"/>
        <v>0.22297297297297303</v>
      </c>
      <c r="CM207" s="2958">
        <f t="shared" si="900"/>
        <v>0.26402640264026411</v>
      </c>
      <c r="CN207" s="127">
        <f t="shared" si="900"/>
        <v>8.3793738489871039E-2</v>
      </c>
      <c r="CO207" s="127">
        <f t="shared" si="900"/>
        <v>0.14365152919369795</v>
      </c>
      <c r="CP207" s="127">
        <f t="shared" si="900"/>
        <v>-0.19327731092436973</v>
      </c>
      <c r="CQ207" s="127">
        <f t="shared" si="900"/>
        <v>0.10812943962115229</v>
      </c>
      <c r="CR207" s="2958">
        <f t="shared" si="900"/>
        <v>1.687085760192808E-2</v>
      </c>
      <c r="CS207" s="127">
        <f t="shared" si="900"/>
        <v>0.16482582837723014</v>
      </c>
      <c r="CT207" s="127">
        <f t="shared" si="900"/>
        <v>0.20745542949756879</v>
      </c>
      <c r="CU207" s="127">
        <f t="shared" si="900"/>
        <v>0.27884615384615374</v>
      </c>
      <c r="CV207" s="127">
        <f t="shared" si="900"/>
        <v>0.20156695156695159</v>
      </c>
      <c r="CW207" s="2958">
        <f t="shared" si="900"/>
        <v>0.21350977681216676</v>
      </c>
      <c r="CX207" s="127">
        <f t="shared" si="900"/>
        <v>9.6280087527352398E-2</v>
      </c>
      <c r="CY207" s="127">
        <f t="shared" si="900"/>
        <v>9.060402684563762E-2</v>
      </c>
      <c r="CZ207" s="127">
        <f t="shared" si="900"/>
        <v>0.10338345864661647</v>
      </c>
      <c r="DA207" s="127">
        <f t="shared" si="900"/>
        <v>0.20094842916419675</v>
      </c>
      <c r="DB207" s="2958">
        <f t="shared" si="900"/>
        <v>0.12548828125</v>
      </c>
      <c r="DC207" s="127">
        <f t="shared" si="900"/>
        <v>0.32135728542914177</v>
      </c>
      <c r="DD207" s="127">
        <f t="shared" si="900"/>
        <v>0.30092307692307685</v>
      </c>
      <c r="DE207" s="127">
        <f t="shared" si="900"/>
        <v>0.33730834752981265</v>
      </c>
      <c r="DF207" s="127">
        <f t="shared" si="900"/>
        <v>0.2734452122408686</v>
      </c>
      <c r="DG207" s="2958">
        <f t="shared" si="900"/>
        <v>0.30657989877078817</v>
      </c>
      <c r="DH207" s="127">
        <f t="shared" si="900"/>
        <v>0.31570996978851973</v>
      </c>
      <c r="DI207" s="127">
        <f t="shared" si="900"/>
        <v>0.3410596026490067</v>
      </c>
      <c r="DJ207" s="127">
        <f t="shared" si="900"/>
        <v>0.23991507430997872</v>
      </c>
      <c r="DK207" s="127">
        <f t="shared" si="900"/>
        <v>0.32286821705426361</v>
      </c>
      <c r="DL207" s="2958">
        <f t="shared" si="900"/>
        <v>0.30392916436081907</v>
      </c>
      <c r="DM207" s="127">
        <f t="shared" si="900"/>
        <v>0.18943742824339838</v>
      </c>
      <c r="DN207" s="127">
        <f t="shared" si="900"/>
        <v>0.19435626102292769</v>
      </c>
      <c r="DO207" s="127">
        <f t="shared" si="900"/>
        <v>0.19109589041095898</v>
      </c>
      <c r="DP207" s="127">
        <f t="shared" si="900"/>
        <v>9.1415177263404646E-2</v>
      </c>
      <c r="DQ207" s="2958">
        <f t="shared" si="900"/>
        <v>0.16263475087004498</v>
      </c>
      <c r="DR207" s="127">
        <f t="shared" ref="DR207:ED207" si="901">DR206/DM206-1</f>
        <v>-0.1142213642213642</v>
      </c>
      <c r="DS207" s="127">
        <f t="shared" si="901"/>
        <v>-0.13024217365623159</v>
      </c>
      <c r="DT207" s="127">
        <f t="shared" si="901"/>
        <v>-5.0028752156411782E-2</v>
      </c>
      <c r="DU207" s="127">
        <f t="shared" si="901"/>
        <v>-7.6778523489932859E-2</v>
      </c>
      <c r="DV207" s="2957">
        <f t="shared" si="901"/>
        <v>-9.1698912170548263E-2</v>
      </c>
      <c r="DW207" s="127">
        <f t="shared" si="901"/>
        <v>0.37377406465673801</v>
      </c>
      <c r="DX207" s="127">
        <f t="shared" si="901"/>
        <v>0.32393887945670619</v>
      </c>
      <c r="DY207" s="127">
        <f t="shared" si="901"/>
        <v>0.22457627118644075</v>
      </c>
      <c r="DZ207" s="127">
        <f t="shared" si="901"/>
        <v>0.22157603954637972</v>
      </c>
      <c r="EA207" s="2957">
        <f t="shared" si="901"/>
        <v>0.28028293545534932</v>
      </c>
      <c r="EB207" s="127">
        <f>EB206/DW206-1</f>
        <v>-0.15758857747223687</v>
      </c>
      <c r="EC207" s="127">
        <f t="shared" si="901"/>
        <v>-0.12875096178507306</v>
      </c>
      <c r="ED207" s="127">
        <f t="shared" si="901"/>
        <v>-6.0800790904597113E-2</v>
      </c>
      <c r="EE207" s="127">
        <f t="shared" ref="EE207:EN207" si="902">EE206/DZ206-1</f>
        <v>-0.21066412758866937</v>
      </c>
      <c r="EF207" s="2958">
        <f t="shared" si="902"/>
        <v>-0.1399422400803616</v>
      </c>
      <c r="EG207" s="127">
        <f>EG206/EB206-1</f>
        <v>7.1249215317011894E-2</v>
      </c>
      <c r="EH207" s="127">
        <f t="shared" si="902"/>
        <v>9.1551368854871917E-2</v>
      </c>
      <c r="EI207" s="127">
        <f t="shared" si="902"/>
        <v>4.8684210526315885E-2</v>
      </c>
      <c r="EJ207" s="127">
        <f t="shared" si="902"/>
        <v>0.26809408926417366</v>
      </c>
      <c r="EK207" s="2958">
        <f t="shared" si="902"/>
        <v>0.11767282283378355</v>
      </c>
      <c r="EL207" s="127">
        <f>EL206/EG206-1</f>
        <v>0.31467916788748895</v>
      </c>
      <c r="EM207" s="127">
        <f t="shared" si="902"/>
        <v>0.34789644012944976</v>
      </c>
      <c r="EN207" s="127">
        <f t="shared" si="902"/>
        <v>0.40803011292346292</v>
      </c>
      <c r="EO207" s="127">
        <f t="shared" ref="EO207:EP207" si="903">EO206/EJ206-1</f>
        <v>0.52941700012459858</v>
      </c>
      <c r="EP207" s="2958">
        <f t="shared" si="903"/>
        <v>0.40599559045940414</v>
      </c>
      <c r="EQ207" s="127">
        <f t="shared" ref="EQ207" si="904">EQ206/EL206-1</f>
        <v>0.68108259122961345</v>
      </c>
      <c r="ER207" s="127">
        <f t="shared" ref="ER207" si="905">ER206/EM206-1</f>
        <v>0.74164455497041337</v>
      </c>
      <c r="ES207" s="127">
        <f t="shared" ref="ES207" si="906">ES206/EN206-1</f>
        <v>0.72084506518743185</v>
      </c>
      <c r="ET207" s="127">
        <f t="shared" ref="ET207:EU207" si="907">ET206/EO206-1</f>
        <v>0.70306212076673802</v>
      </c>
      <c r="EU207" s="2958">
        <f t="shared" si="907"/>
        <v>0.71207364906159998</v>
      </c>
      <c r="EV207" s="2958">
        <f>EV206/EU206-1</f>
        <v>0.37451278346068695</v>
      </c>
      <c r="EW207" s="2958">
        <f>EW206/EV206-1</f>
        <v>0.12651155355913746</v>
      </c>
      <c r="EX207" s="2958">
        <f>EX206/EW206-1</f>
        <v>8.1590772882546903E-2</v>
      </c>
      <c r="EY207" s="2958">
        <f>EY206/EX206-1</f>
        <v>7.3740912325698904E-2</v>
      </c>
      <c r="EZ207" s="2618"/>
      <c r="FA207" s="1319"/>
      <c r="FB207" s="1319"/>
      <c r="FC207" s="1319"/>
      <c r="FD207" s="1319"/>
      <c r="FE207" s="1319"/>
      <c r="FF207" s="1319"/>
      <c r="FG207" s="1319"/>
      <c r="FH207" s="1319"/>
      <c r="FI207" s="1319"/>
      <c r="FJ207" s="1319"/>
      <c r="FK207" s="1319"/>
      <c r="FL207" s="1319"/>
    </row>
    <row r="208" spans="1:168" s="1280" customFormat="1" ht="11.25" hidden="1" customHeight="1" outlineLevel="1">
      <c r="A208" s="3782" t="s">
        <v>699</v>
      </c>
      <c r="B208" s="2923"/>
      <c r="C208" s="2923"/>
      <c r="D208" s="2923"/>
      <c r="E208" s="2924"/>
      <c r="F208" s="2959"/>
      <c r="G208" s="2923"/>
      <c r="H208" s="2923"/>
      <c r="I208" s="2923"/>
      <c r="J208" s="2924"/>
      <c r="K208" s="2959"/>
      <c r="L208" s="2923"/>
      <c r="M208" s="2923"/>
      <c r="N208" s="2923"/>
      <c r="O208" s="2924"/>
      <c r="P208" s="2959"/>
      <c r="Q208" s="2923"/>
      <c r="R208" s="2923"/>
      <c r="S208" s="2923"/>
      <c r="T208" s="2924"/>
      <c r="U208" s="2959"/>
      <c r="V208" s="2922"/>
      <c r="W208" s="2923"/>
      <c r="X208" s="2923"/>
      <c r="Y208" s="2924"/>
      <c r="Z208" s="2959"/>
      <c r="AA208" s="2922"/>
      <c r="AB208" s="2923"/>
      <c r="AC208" s="2923"/>
      <c r="AD208" s="2924"/>
      <c r="AE208" s="2959"/>
      <c r="AF208" s="2922"/>
      <c r="AG208" s="2923"/>
      <c r="AH208" s="2923"/>
      <c r="AI208" s="2924"/>
      <c r="AJ208" s="2959"/>
      <c r="AK208" s="2923"/>
      <c r="AL208" s="2923"/>
      <c r="AM208" s="2923"/>
      <c r="AN208" s="2924"/>
      <c r="AO208" s="2959"/>
      <c r="AP208" s="2923"/>
      <c r="AQ208" s="2923"/>
      <c r="AR208" s="2923"/>
      <c r="AS208" s="2924"/>
      <c r="AT208" s="2959"/>
      <c r="AU208" s="2923"/>
      <c r="AV208" s="2923"/>
      <c r="AW208" s="2923"/>
      <c r="AX208" s="2924"/>
      <c r="AY208" s="2959"/>
      <c r="AZ208" s="2923"/>
      <c r="BA208" s="2923"/>
      <c r="BB208" s="2923"/>
      <c r="BC208" s="2924"/>
      <c r="BD208" s="2959"/>
      <c r="BE208" s="2923"/>
      <c r="BF208" s="2923"/>
      <c r="BG208" s="2923"/>
      <c r="BH208" s="2924"/>
      <c r="BI208" s="2959"/>
      <c r="BJ208" s="2923"/>
      <c r="BK208" s="2923"/>
      <c r="BL208" s="2923"/>
      <c r="BM208" s="2923"/>
      <c r="BN208" s="2960"/>
      <c r="BO208" s="2923"/>
      <c r="BP208" s="2923"/>
      <c r="BQ208" s="2923"/>
      <c r="BR208" s="2924"/>
      <c r="BS208" s="2959"/>
      <c r="BT208" s="2923"/>
      <c r="BU208" s="2923"/>
      <c r="BV208" s="2923"/>
      <c r="BW208" s="2923"/>
      <c r="BX208" s="2960"/>
      <c r="BY208" s="2923"/>
      <c r="BZ208" s="2923"/>
      <c r="CA208" s="2923"/>
      <c r="CB208" s="2923"/>
      <c r="CC208" s="2960"/>
      <c r="CD208" s="2923"/>
      <c r="CE208" s="2903">
        <f>CE206/CD206-1</f>
        <v>0.14571746384872086</v>
      </c>
      <c r="CF208" s="2903">
        <f>CF206/CE206-1</f>
        <v>-5.4368932038834972E-2</v>
      </c>
      <c r="CG208" s="2903">
        <f>CG206/CF206-1</f>
        <v>6.3655030800821466E-2</v>
      </c>
      <c r="CH208" s="2960"/>
      <c r="CI208" s="2903">
        <f>CI206/CG206-1</f>
        <v>4.8262548262548277E-2</v>
      </c>
      <c r="CJ208" s="2903">
        <f>CJ206/CI206-1</f>
        <v>-6.4456721915285842E-3</v>
      </c>
      <c r="CK208" s="2903">
        <f>CK206/CJ206-1</f>
        <v>0.43373493975903621</v>
      </c>
      <c r="CL208" s="2903">
        <f>CL206/CK206-1</f>
        <v>-0.1809954751131222</v>
      </c>
      <c r="CM208" s="2960"/>
      <c r="CN208" s="2903">
        <f>CN206/CL206-1</f>
        <v>-7.1033938437253363E-2</v>
      </c>
      <c r="CO208" s="2903">
        <f>CO206/CN206-1</f>
        <v>4.8428207306711935E-2</v>
      </c>
      <c r="CP208" s="2903">
        <f>CP206/CO206-1</f>
        <v>1.1345218800648205E-2</v>
      </c>
      <c r="CQ208" s="2903">
        <f>CQ206/CP206-1</f>
        <v>0.125</v>
      </c>
      <c r="CR208" s="2960"/>
      <c r="CS208" s="2903">
        <f>CS206/CQ206-1</f>
        <v>-2.3504273504273532E-2</v>
      </c>
      <c r="CT208" s="2903">
        <f>CT206/CS206-1</f>
        <v>8.6797957695113004E-2</v>
      </c>
      <c r="CU208" s="2903">
        <f>CU206/CT206-1</f>
        <v>7.1140939597315489E-2</v>
      </c>
      <c r="CV208" s="2903">
        <f>CV206/CU206-1</f>
        <v>5.7017543859649189E-2</v>
      </c>
      <c r="CW208" s="2960"/>
      <c r="CX208" s="2903">
        <f>CX206/CV206-1</f>
        <v>-0.10906935388263184</v>
      </c>
      <c r="CY208" s="2903">
        <f>CY206/CX206-1</f>
        <v>8.1170991350631994E-2</v>
      </c>
      <c r="CZ208" s="2903">
        <f>CZ206/CY206-1</f>
        <v>8.3692307692307732E-2</v>
      </c>
      <c r="DA208" s="2903">
        <f>DA206/CZ206-1</f>
        <v>0.15048268029528677</v>
      </c>
      <c r="DB208" s="2960"/>
      <c r="DC208" s="2903">
        <f>DC206/DA206-1</f>
        <v>-1.9743336623889385E-2</v>
      </c>
      <c r="DD208" s="2903">
        <f>DD206/DC206-1</f>
        <v>6.4451158106747286E-2</v>
      </c>
      <c r="DE208" s="2903">
        <f>DE206/DD206-1</f>
        <v>0.1140018921475876</v>
      </c>
      <c r="DF208" s="2903">
        <f>DF206/DE206-1</f>
        <v>9.5541401273885329E-2</v>
      </c>
      <c r="DG208" s="2960"/>
      <c r="DH208" s="2903">
        <f>DH206/DF206-1</f>
        <v>1.2790697674418539E-2</v>
      </c>
      <c r="DI208" s="2903">
        <f>DI206/DH206-1</f>
        <v>8.4959816303099789E-2</v>
      </c>
      <c r="DJ208" s="2903">
        <f>DJ206/DI206-1</f>
        <v>2.9982363315696592E-2</v>
      </c>
      <c r="DK208" s="2903">
        <f>DK206/DJ206-1</f>
        <v>0.16883561643835621</v>
      </c>
      <c r="DL208" s="2960"/>
      <c r="DM208" s="2903">
        <f>DM206/DK206-1</f>
        <v>-8.9364195722238526E-2</v>
      </c>
      <c r="DN208" s="2903">
        <f>DN206/DM206-1</f>
        <v>8.9446589446589453E-2</v>
      </c>
      <c r="DO208" s="2903">
        <f>DO206/DN206-1</f>
        <v>2.7170702894270482E-2</v>
      </c>
      <c r="DP208" s="2903">
        <f>DP206/DO206-1</f>
        <v>7.1017826336975176E-2</v>
      </c>
      <c r="DQ208" s="2960"/>
      <c r="DR208" s="2903">
        <f>DR206/DP206-1</f>
        <v>-0.26093959731543626</v>
      </c>
      <c r="DS208" s="2903">
        <f>DS206/DR206-1</f>
        <v>6.974209952778776E-2</v>
      </c>
      <c r="DT208" s="2903">
        <f>DT206/DS206-1</f>
        <v>0.12190152801358245</v>
      </c>
      <c r="DU208" s="2903">
        <f>DU206/DT206-1</f>
        <v>4.0859564164648976E-2</v>
      </c>
      <c r="DV208" s="2960"/>
      <c r="DW208" s="2903">
        <f>DW206/DU206-1</f>
        <v>9.9738296016283812E-2</v>
      </c>
      <c r="DX208" s="2903">
        <f>DX206/DW206-1</f>
        <v>3.0936012691697545E-2</v>
      </c>
      <c r="DY208" s="2903">
        <f>DY206/DX206-1</f>
        <v>3.7701974865349985E-2</v>
      </c>
      <c r="DZ208" s="2903">
        <f>DZ206/DY206-1</f>
        <v>3.8309441423628243E-2</v>
      </c>
      <c r="EA208" s="2960"/>
      <c r="EB208" s="2903">
        <f>EB206/DZ206-1</f>
        <v>-0.24160914068079031</v>
      </c>
      <c r="EC208" s="2903">
        <f>EC206/EB206-1</f>
        <v>6.6227244193345802E-2</v>
      </c>
      <c r="ED208" s="2903">
        <f>ED206/EC206-1</f>
        <v>0.11863408890197236</v>
      </c>
      <c r="EE208" s="2903">
        <f>EE206/ED206-1</f>
        <v>-0.12736842105263158</v>
      </c>
      <c r="EF208" s="2960"/>
      <c r="EG208" s="2903">
        <f>EG206/EE206-1</f>
        <v>2.9252110977080914E-2</v>
      </c>
      <c r="EH208" s="2903">
        <f>EH206/EG206-1</f>
        <v>8.6434222092001134E-2</v>
      </c>
      <c r="EI208" s="2903">
        <f>EI206/EH206-1</f>
        <v>7.4703344120819803E-2</v>
      </c>
      <c r="EJ208" s="2903">
        <f>EJ206/EI206-1</f>
        <v>5.520702634880803E-2</v>
      </c>
      <c r="EK208" s="2960"/>
      <c r="EL208" s="2903">
        <f>EL206/EJ206-1</f>
        <v>6.7063020214030988E-2</v>
      </c>
      <c r="EM208" s="2903">
        <f>EM206/EL206-1</f>
        <v>0.1138845553822152</v>
      </c>
      <c r="EN208" s="2903">
        <f>EN206/EM206-1</f>
        <v>0.12264905962384964</v>
      </c>
      <c r="EO208" s="2903">
        <f>EO206/EN206-1</f>
        <v>0.14617688211084245</v>
      </c>
      <c r="EP208" s="2960"/>
      <c r="EQ208" s="2903">
        <f>EQ206/EO206-1</f>
        <v>0.17287899041305366</v>
      </c>
      <c r="ER208" s="2903">
        <f>ER206/EQ206-1</f>
        <v>0.15401288483279418</v>
      </c>
      <c r="ES208" s="2903">
        <f>ES206/ER206-1</f>
        <v>0.10924188789131617</v>
      </c>
      <c r="ET208" s="2903">
        <f>ET206/ES206-1</f>
        <v>0.13433246903543217</v>
      </c>
      <c r="EU208" s="2960"/>
      <c r="EV208" s="2960"/>
      <c r="EW208" s="2960"/>
      <c r="EX208" s="2960"/>
      <c r="EY208" s="2960"/>
      <c r="EZ208" s="2618"/>
      <c r="FA208" s="1319"/>
      <c r="FB208" s="1319"/>
      <c r="FC208" s="1319"/>
      <c r="FD208" s="1319"/>
      <c r="FE208" s="1319"/>
      <c r="FF208" s="1319"/>
      <c r="FG208" s="1319"/>
      <c r="FH208" s="1319"/>
      <c r="FI208" s="1319"/>
      <c r="FJ208" s="1319"/>
      <c r="FK208" s="1319"/>
      <c r="FL208" s="1319"/>
    </row>
    <row r="209" spans="1:168" s="84" customFormat="1" ht="11.25" hidden="1" customHeight="1" outlineLevel="1">
      <c r="A209" s="3783" t="s">
        <v>706</v>
      </c>
      <c r="B209" s="176"/>
      <c r="C209" s="176"/>
      <c r="D209" s="176"/>
      <c r="E209" s="178"/>
      <c r="F209" s="974"/>
      <c r="G209" s="176"/>
      <c r="H209" s="176"/>
      <c r="I209" s="176"/>
      <c r="J209" s="178"/>
      <c r="K209" s="974"/>
      <c r="L209" s="176"/>
      <c r="M209" s="176"/>
      <c r="N209" s="176"/>
      <c r="O209" s="178"/>
      <c r="P209" s="974"/>
      <c r="Q209" s="176"/>
      <c r="R209" s="176"/>
      <c r="S209" s="176"/>
      <c r="T209" s="178"/>
      <c r="U209" s="974"/>
      <c r="V209" s="975"/>
      <c r="W209" s="176"/>
      <c r="X209" s="176"/>
      <c r="Y209" s="178"/>
      <c r="Z209" s="974"/>
      <c r="AA209" s="975"/>
      <c r="AB209" s="176"/>
      <c r="AC209" s="176"/>
      <c r="AD209" s="178"/>
      <c r="AE209" s="974"/>
      <c r="AF209" s="975"/>
      <c r="AG209" s="176"/>
      <c r="AH209" s="176"/>
      <c r="AI209" s="178"/>
      <c r="AJ209" s="974"/>
      <c r="AK209" s="176"/>
      <c r="AL209" s="176"/>
      <c r="AM209" s="176"/>
      <c r="AN209" s="178"/>
      <c r="AO209" s="974"/>
      <c r="AP209" s="176"/>
      <c r="AQ209" s="176"/>
      <c r="AR209" s="176"/>
      <c r="AS209" s="178"/>
      <c r="AT209" s="974"/>
      <c r="AU209" s="176"/>
      <c r="AV209" s="176"/>
      <c r="AW209" s="176"/>
      <c r="AX209" s="178"/>
      <c r="AY209" s="974"/>
      <c r="AZ209" s="176"/>
      <c r="BA209" s="176"/>
      <c r="BB209" s="176"/>
      <c r="BC209" s="178"/>
      <c r="BD209" s="974"/>
      <c r="BE209" s="176"/>
      <c r="BF209" s="176"/>
      <c r="BG209" s="176"/>
      <c r="BH209" s="178"/>
      <c r="BI209" s="974"/>
      <c r="BJ209" s="176"/>
      <c r="BK209" s="176"/>
      <c r="BL209" s="176"/>
      <c r="BM209" s="176"/>
      <c r="BN209" s="1007"/>
      <c r="BO209" s="176"/>
      <c r="BP209" s="176"/>
      <c r="BQ209" s="176"/>
      <c r="BR209" s="178"/>
      <c r="BS209" s="974"/>
      <c r="BT209" s="176"/>
      <c r="BU209" s="176"/>
      <c r="BV209" s="176"/>
      <c r="BW209" s="176"/>
      <c r="BX209" s="1007"/>
      <c r="BY209" s="176"/>
      <c r="BZ209" s="176"/>
      <c r="CA209" s="176"/>
      <c r="CB209" s="176"/>
      <c r="CC209" s="1007"/>
      <c r="CD209" s="176">
        <f>CD56</f>
        <v>655</v>
      </c>
      <c r="CE209" s="176">
        <f>CE56</f>
        <v>743</v>
      </c>
      <c r="CF209" s="176">
        <f>CF56</f>
        <v>856</v>
      </c>
      <c r="CG209" s="176">
        <f>CG56</f>
        <v>873</v>
      </c>
      <c r="CH209" s="1007">
        <f t="shared" si="890"/>
        <v>3127</v>
      </c>
      <c r="CI209" s="176">
        <f>CI56</f>
        <v>839</v>
      </c>
      <c r="CJ209" s="176">
        <f>CJ56</f>
        <v>880</v>
      </c>
      <c r="CK209" s="176">
        <f>CK56</f>
        <v>1255</v>
      </c>
      <c r="CL209" s="176">
        <f>CL56</f>
        <v>1201</v>
      </c>
      <c r="CM209" s="1007">
        <f t="shared" si="891"/>
        <v>4175</v>
      </c>
      <c r="CN209" s="176">
        <f>CN56</f>
        <v>1203</v>
      </c>
      <c r="CO209" s="176">
        <f>CO56</f>
        <v>1132</v>
      </c>
      <c r="CP209" s="176">
        <f>CP56</f>
        <v>1432</v>
      </c>
      <c r="CQ209" s="176">
        <f>CQ56</f>
        <v>1436</v>
      </c>
      <c r="CR209" s="1007">
        <f t="shared" si="892"/>
        <v>5203</v>
      </c>
      <c r="CS209" s="176">
        <f>CS56</f>
        <v>1494</v>
      </c>
      <c r="CT209" s="176">
        <f>CT56</f>
        <v>1503</v>
      </c>
      <c r="CU209" s="176">
        <f>CU56</f>
        <v>1860</v>
      </c>
      <c r="CV209" s="176">
        <f>CV56</f>
        <v>1846</v>
      </c>
      <c r="CW209" s="1007">
        <f t="shared" si="893"/>
        <v>6703</v>
      </c>
      <c r="CX209" s="176">
        <f>CX56</f>
        <v>2009</v>
      </c>
      <c r="CY209" s="176">
        <f>CY56</f>
        <v>2003</v>
      </c>
      <c r="CZ209" s="176">
        <f>CZ56</f>
        <v>1820</v>
      </c>
      <c r="DA209" s="176">
        <f>DA56</f>
        <v>1847</v>
      </c>
      <c r="DB209" s="1007">
        <f t="shared" si="894"/>
        <v>7679</v>
      </c>
      <c r="DC209" s="176">
        <f>DC56</f>
        <v>2457</v>
      </c>
      <c r="DD209" s="176">
        <f>DD56</f>
        <v>2413</v>
      </c>
      <c r="DE209" s="176">
        <f>DE56</f>
        <v>2230</v>
      </c>
      <c r="DF209" s="176">
        <f>DF56</f>
        <v>2253</v>
      </c>
      <c r="DG209" s="1007">
        <f t="shared" si="895"/>
        <v>9353</v>
      </c>
      <c r="DH209" s="176">
        <f>DH56</f>
        <v>2769</v>
      </c>
      <c r="DI209" s="176">
        <f>DI56</f>
        <v>2756</v>
      </c>
      <c r="DJ209" s="176">
        <f>DJ56</f>
        <v>2624</v>
      </c>
      <c r="DK209" s="176">
        <f>DK56</f>
        <v>2645</v>
      </c>
      <c r="DL209" s="1007">
        <f>SUM(DH209:DK209)</f>
        <v>10794</v>
      </c>
      <c r="DM209" s="176">
        <f>DM56</f>
        <v>3191</v>
      </c>
      <c r="DN209" s="176">
        <f>DN56</f>
        <v>3382</v>
      </c>
      <c r="DO209" s="176">
        <f>DO56</f>
        <v>3195</v>
      </c>
      <c r="DP209" s="176">
        <f>DP56</f>
        <v>3223</v>
      </c>
      <c r="DQ209" s="1007">
        <f>SUM(DM209:DP209)</f>
        <v>12991</v>
      </c>
      <c r="DR209" s="176">
        <f t="shared" ref="DR209:EX209" si="908">DR56</f>
        <v>3745</v>
      </c>
      <c r="DS209" s="176">
        <f t="shared" si="908"/>
        <v>3803</v>
      </c>
      <c r="DT209" s="176">
        <f t="shared" si="908"/>
        <v>3874</v>
      </c>
      <c r="DU209" s="176">
        <f t="shared" si="908"/>
        <v>3954</v>
      </c>
      <c r="DV209" s="1007">
        <f t="shared" si="908"/>
        <v>15376</v>
      </c>
      <c r="DW209" s="176">
        <f t="shared" si="908"/>
        <v>4504</v>
      </c>
      <c r="DX209" s="176">
        <f t="shared" si="908"/>
        <v>4782</v>
      </c>
      <c r="DY209" s="176">
        <f t="shared" si="908"/>
        <v>4976</v>
      </c>
      <c r="DZ209" s="176">
        <f t="shared" si="908"/>
        <v>5100</v>
      </c>
      <c r="EA209" s="1007">
        <f t="shared" si="908"/>
        <v>19362</v>
      </c>
      <c r="EB209" s="176">
        <f t="shared" si="908"/>
        <v>5284</v>
      </c>
      <c r="EC209" s="176">
        <f t="shared" si="908"/>
        <v>5774</v>
      </c>
      <c r="ED209" s="176">
        <f t="shared" si="908"/>
        <v>5743</v>
      </c>
      <c r="EE209" s="176">
        <f t="shared" si="908"/>
        <v>5659</v>
      </c>
      <c r="EF209" s="1007">
        <f t="shared" si="908"/>
        <v>22460</v>
      </c>
      <c r="EG209" s="176">
        <f t="shared" si="908"/>
        <v>5264</v>
      </c>
      <c r="EH209" s="176">
        <f t="shared" si="908"/>
        <v>5865</v>
      </c>
      <c r="EI209" s="176">
        <f t="shared" si="908"/>
        <v>5846</v>
      </c>
      <c r="EJ209" s="176">
        <f t="shared" si="908"/>
        <v>5810</v>
      </c>
      <c r="EK209" s="1007">
        <f t="shared" si="908"/>
        <v>22785</v>
      </c>
      <c r="EL209" s="176">
        <f t="shared" si="908"/>
        <v>5516</v>
      </c>
      <c r="EM209" s="176">
        <f t="shared" si="908"/>
        <v>5998</v>
      </c>
      <c r="EN209" s="176">
        <f t="shared" ref="EN209" si="909">EN56</f>
        <v>6368</v>
      </c>
      <c r="EO209" s="176">
        <f t="shared" si="908"/>
        <v>6527.1865226213095</v>
      </c>
      <c r="EP209" s="1007">
        <f t="shared" si="908"/>
        <v>24409.186522621309</v>
      </c>
      <c r="EQ209" s="176">
        <f t="shared" ref="EQ209:EU209" si="910">EQ56</f>
        <v>6452.4608273030899</v>
      </c>
      <c r="ER209" s="176">
        <f t="shared" si="910"/>
        <v>7098.6445316606469</v>
      </c>
      <c r="ES209" s="176">
        <f t="shared" si="910"/>
        <v>7478.2178760088218</v>
      </c>
      <c r="ET209" s="176">
        <f t="shared" si="910"/>
        <v>7452.3733515532294</v>
      </c>
      <c r="EU209" s="1007">
        <f t="shared" si="910"/>
        <v>28481.696586525788</v>
      </c>
      <c r="EV209" s="1007">
        <f t="shared" si="908"/>
        <v>30856.08760951618</v>
      </c>
      <c r="EW209" s="1007">
        <f t="shared" si="908"/>
        <v>33307.093372867726</v>
      </c>
      <c r="EX209" s="1007">
        <f t="shared" si="908"/>
        <v>35765.580395662582</v>
      </c>
      <c r="EY209" s="1007">
        <f t="shared" ref="EY209" si="911">EY56</f>
        <v>38299.931668347344</v>
      </c>
      <c r="EZ209" s="176"/>
      <c r="FA209" s="1104"/>
      <c r="FB209" s="1104"/>
      <c r="FC209" s="1104"/>
      <c r="FD209" s="1104"/>
      <c r="FE209" s="1104"/>
      <c r="FF209" s="1104"/>
      <c r="FG209" s="1104"/>
      <c r="FH209" s="1104"/>
      <c r="FI209" s="1104"/>
      <c r="FJ209" s="1104"/>
      <c r="FK209" s="1104"/>
      <c r="FL209" s="1104"/>
    </row>
    <row r="210" spans="1:168" s="1280" customFormat="1" ht="11.25" hidden="1" customHeight="1" outlineLevel="1">
      <c r="A210" s="3781" t="s">
        <v>700</v>
      </c>
      <c r="B210" s="2618"/>
      <c r="C210" s="2618"/>
      <c r="D210" s="2618"/>
      <c r="E210" s="1277"/>
      <c r="F210" s="2955"/>
      <c r="G210" s="2618"/>
      <c r="H210" s="2618"/>
      <c r="I210" s="2618"/>
      <c r="J210" s="1277"/>
      <c r="K210" s="2955"/>
      <c r="L210" s="2618"/>
      <c r="M210" s="2618"/>
      <c r="N210" s="2618"/>
      <c r="O210" s="1277"/>
      <c r="P210" s="2955"/>
      <c r="Q210" s="2618"/>
      <c r="R210" s="2618"/>
      <c r="S210" s="2618"/>
      <c r="T210" s="1277"/>
      <c r="U210" s="2955"/>
      <c r="V210" s="2956"/>
      <c r="W210" s="2618"/>
      <c r="X210" s="2618"/>
      <c r="Y210" s="1277"/>
      <c r="Z210" s="2955"/>
      <c r="AA210" s="2956"/>
      <c r="AB210" s="2618"/>
      <c r="AC210" s="2618"/>
      <c r="AD210" s="1277"/>
      <c r="AE210" s="2955"/>
      <c r="AF210" s="2956"/>
      <c r="AG210" s="2618"/>
      <c r="AH210" s="2618"/>
      <c r="AI210" s="1277"/>
      <c r="AJ210" s="2955"/>
      <c r="AK210" s="2618"/>
      <c r="AL210" s="2618"/>
      <c r="AM210" s="2618"/>
      <c r="AN210" s="1277"/>
      <c r="AO210" s="2955"/>
      <c r="AP210" s="2618"/>
      <c r="AQ210" s="2618"/>
      <c r="AR210" s="2618"/>
      <c r="AS210" s="1277"/>
      <c r="AT210" s="2955"/>
      <c r="AU210" s="2618"/>
      <c r="AV210" s="2618"/>
      <c r="AW210" s="2618"/>
      <c r="AX210" s="1277"/>
      <c r="AY210" s="2955"/>
      <c r="AZ210" s="2618"/>
      <c r="BA210" s="2618"/>
      <c r="BB210" s="2618"/>
      <c r="BC210" s="1277"/>
      <c r="BD210" s="2955"/>
      <c r="BE210" s="2618"/>
      <c r="BF210" s="2618"/>
      <c r="BG210" s="2618"/>
      <c r="BH210" s="1277"/>
      <c r="BI210" s="2955"/>
      <c r="BJ210" s="2618"/>
      <c r="BK210" s="2618"/>
      <c r="BL210" s="2618"/>
      <c r="BM210" s="2618"/>
      <c r="BN210" s="2957"/>
      <c r="BO210" s="2618"/>
      <c r="BP210" s="2618"/>
      <c r="BQ210" s="2618"/>
      <c r="BR210" s="1277"/>
      <c r="BS210" s="2955"/>
      <c r="BT210" s="2618"/>
      <c r="BU210" s="2618"/>
      <c r="BV210" s="2618"/>
      <c r="BW210" s="2618"/>
      <c r="BX210" s="2957"/>
      <c r="BY210" s="2618"/>
      <c r="BZ210" s="2618"/>
      <c r="CA210" s="2618"/>
      <c r="CB210" s="2618"/>
      <c r="CC210" s="2957"/>
      <c r="CD210" s="2618"/>
      <c r="CE210" s="2618"/>
      <c r="CF210" s="2618"/>
      <c r="CG210" s="2618"/>
      <c r="CH210" s="2957"/>
      <c r="CI210" s="127">
        <f t="shared" ref="CI210:DQ210" si="912">CI209/CD209-1</f>
        <v>0.28091603053435121</v>
      </c>
      <c r="CJ210" s="127">
        <f t="shared" si="912"/>
        <v>0.18438761776581436</v>
      </c>
      <c r="CK210" s="127">
        <f t="shared" si="912"/>
        <v>0.4661214953271029</v>
      </c>
      <c r="CL210" s="127">
        <f t="shared" si="912"/>
        <v>0.37571592210767468</v>
      </c>
      <c r="CM210" s="2958">
        <f t="shared" si="912"/>
        <v>0.33514550687559952</v>
      </c>
      <c r="CN210" s="127">
        <f t="shared" si="912"/>
        <v>0.43384982121573312</v>
      </c>
      <c r="CO210" s="127">
        <f t="shared" si="912"/>
        <v>0.28636363636363638</v>
      </c>
      <c r="CP210" s="127">
        <f t="shared" si="912"/>
        <v>0.1410358565737051</v>
      </c>
      <c r="CQ210" s="127">
        <f t="shared" si="912"/>
        <v>0.19567027477102417</v>
      </c>
      <c r="CR210" s="2958">
        <f t="shared" si="912"/>
        <v>0.24622754491017962</v>
      </c>
      <c r="CS210" s="127">
        <f t="shared" si="912"/>
        <v>0.24189526184538646</v>
      </c>
      <c r="CT210" s="127">
        <f t="shared" si="912"/>
        <v>0.32773851590106018</v>
      </c>
      <c r="CU210" s="127">
        <f t="shared" si="912"/>
        <v>0.2988826815642458</v>
      </c>
      <c r="CV210" s="127">
        <f t="shared" si="912"/>
        <v>0.28551532033426175</v>
      </c>
      <c r="CW210" s="2958">
        <f t="shared" si="912"/>
        <v>0.2882952142994426</v>
      </c>
      <c r="CX210" s="127">
        <f t="shared" si="912"/>
        <v>0.34471218206157972</v>
      </c>
      <c r="CY210" s="127">
        <f t="shared" si="912"/>
        <v>0.33266799733865593</v>
      </c>
      <c r="CZ210" s="127">
        <f t="shared" si="912"/>
        <v>-2.1505376344086002E-2</v>
      </c>
      <c r="DA210" s="127">
        <f t="shared" si="912"/>
        <v>5.4171180931739116E-4</v>
      </c>
      <c r="DB210" s="2958">
        <f t="shared" si="912"/>
        <v>0.14560644487542884</v>
      </c>
      <c r="DC210" s="127">
        <f t="shared" si="912"/>
        <v>0.22299651567944245</v>
      </c>
      <c r="DD210" s="127">
        <f t="shared" si="912"/>
        <v>0.2046929605591612</v>
      </c>
      <c r="DE210" s="127">
        <f t="shared" si="912"/>
        <v>0.22527472527472536</v>
      </c>
      <c r="DF210" s="127">
        <f t="shared" si="912"/>
        <v>0.21981591770438547</v>
      </c>
      <c r="DG210" s="2958">
        <f t="shared" si="912"/>
        <v>0.21799713504362539</v>
      </c>
      <c r="DH210" s="127">
        <f t="shared" si="912"/>
        <v>0.12698412698412698</v>
      </c>
      <c r="DI210" s="127">
        <f t="shared" si="912"/>
        <v>0.14214670534604235</v>
      </c>
      <c r="DJ210" s="127">
        <f t="shared" si="912"/>
        <v>0.17668161434977581</v>
      </c>
      <c r="DK210" s="127">
        <f t="shared" si="912"/>
        <v>0.1739902352418996</v>
      </c>
      <c r="DL210" s="2958">
        <f t="shared" si="912"/>
        <v>0.15406821340746291</v>
      </c>
      <c r="DM210" s="127">
        <f t="shared" si="912"/>
        <v>0.15240158902130729</v>
      </c>
      <c r="DN210" s="127">
        <f t="shared" si="912"/>
        <v>0.22714078374455737</v>
      </c>
      <c r="DO210" s="127">
        <f t="shared" si="912"/>
        <v>0.2176067073170731</v>
      </c>
      <c r="DP210" s="127">
        <f t="shared" si="912"/>
        <v>0.21852551984877122</v>
      </c>
      <c r="DQ210" s="2958">
        <f t="shared" si="912"/>
        <v>0.20353900314989803</v>
      </c>
      <c r="DR210" s="127">
        <f t="shared" ref="DR210:ED210" si="913">DR209/DM209-1</f>
        <v>0.17361328737073012</v>
      </c>
      <c r="DS210" s="127">
        <f t="shared" si="913"/>
        <v>0.12448255470136016</v>
      </c>
      <c r="DT210" s="127">
        <f t="shared" si="913"/>
        <v>0.21251956181533638</v>
      </c>
      <c r="DU210" s="127">
        <f t="shared" si="913"/>
        <v>0.22680732237046231</v>
      </c>
      <c r="DV210" s="2957">
        <f t="shared" si="913"/>
        <v>0.18358863828804561</v>
      </c>
      <c r="DW210" s="127">
        <f t="shared" si="913"/>
        <v>0.20267022696929238</v>
      </c>
      <c r="DX210" s="127">
        <f t="shared" si="913"/>
        <v>0.2574283460425979</v>
      </c>
      <c r="DY210" s="127">
        <f t="shared" si="913"/>
        <v>0.28446050593701599</v>
      </c>
      <c r="DZ210" s="127">
        <f t="shared" si="913"/>
        <v>0.28983308042488609</v>
      </c>
      <c r="EA210" s="2957">
        <f t="shared" si="913"/>
        <v>0.25923517169614985</v>
      </c>
      <c r="EB210" s="127">
        <f>EB209/DW209-1</f>
        <v>0.17317939609236244</v>
      </c>
      <c r="EC210" s="127">
        <f t="shared" si="913"/>
        <v>0.20744458385612718</v>
      </c>
      <c r="ED210" s="127">
        <f t="shared" si="913"/>
        <v>0.15413987138263674</v>
      </c>
      <c r="EE210" s="127">
        <f t="shared" ref="EE210:EN210" si="914">EE209/DZ209-1</f>
        <v>0.10960784313725491</v>
      </c>
      <c r="EF210" s="2958">
        <f t="shared" si="914"/>
        <v>0.16000413180456574</v>
      </c>
      <c r="EG210" s="127">
        <f>EG209/EB209-1</f>
        <v>-3.7850113550340625E-3</v>
      </c>
      <c r="EH210" s="127">
        <f t="shared" si="914"/>
        <v>1.5760304814686599E-2</v>
      </c>
      <c r="EI210" s="127">
        <f t="shared" si="914"/>
        <v>1.7934877241859715E-2</v>
      </c>
      <c r="EJ210" s="127">
        <f t="shared" si="914"/>
        <v>2.6683159568828385E-2</v>
      </c>
      <c r="EK210" s="2958">
        <f t="shared" si="914"/>
        <v>1.4470169189670479E-2</v>
      </c>
      <c r="EL210" s="127">
        <f>EL209/EG209-1</f>
        <v>4.7872340425531901E-2</v>
      </c>
      <c r="EM210" s="127">
        <f t="shared" si="914"/>
        <v>2.2676896845694738E-2</v>
      </c>
      <c r="EN210" s="127">
        <f t="shared" si="914"/>
        <v>8.9291823469038745E-2</v>
      </c>
      <c r="EO210" s="127">
        <f t="shared" ref="EO210:EP210" si="915">EO209/EJ209-1</f>
        <v>0.12344002110521668</v>
      </c>
      <c r="EP210" s="2958">
        <f t="shared" si="915"/>
        <v>7.1283147799925839E-2</v>
      </c>
      <c r="EQ210" s="127">
        <f>EQ209/EL209-1</f>
        <v>0.16977172358649195</v>
      </c>
      <c r="ER210" s="127">
        <f t="shared" ref="ER210" si="916">ER209/EM209-1</f>
        <v>0.18350192258430265</v>
      </c>
      <c r="ES210" s="127">
        <f t="shared" ref="ES210" si="917">ES209/EN209-1</f>
        <v>0.17434325942349593</v>
      </c>
      <c r="ET210" s="127">
        <f t="shared" ref="ET210" si="918">ET209/EO209-1</f>
        <v>0.14174358672385012</v>
      </c>
      <c r="EU210" s="2958">
        <f t="shared" ref="EU210" si="919">EU209/EP209-1</f>
        <v>0.16684333417380648</v>
      </c>
      <c r="EV210" s="2958">
        <f>EV209/EU209-1</f>
        <v>8.3365505133345064E-2</v>
      </c>
      <c r="EW210" s="2958">
        <f>EW209/EV209-1</f>
        <v>7.9433458783531696E-2</v>
      </c>
      <c r="EX210" s="2958">
        <f>EX209/EW209-1</f>
        <v>7.3812715966310227E-2</v>
      </c>
      <c r="EY210" s="2958">
        <f>EY209/EX209-1</f>
        <v>7.086006279355983E-2</v>
      </c>
      <c r="EZ210" s="2618"/>
      <c r="FA210" s="1319"/>
      <c r="FB210" s="1319"/>
      <c r="FC210" s="1319"/>
      <c r="FD210" s="1319"/>
      <c r="FE210" s="1319"/>
      <c r="FF210" s="1319"/>
      <c r="FG210" s="1319"/>
      <c r="FH210" s="1319"/>
      <c r="FI210" s="1319"/>
      <c r="FJ210" s="1319"/>
      <c r="FK210" s="1319"/>
      <c r="FL210" s="1319"/>
    </row>
    <row r="211" spans="1:168" s="1280" customFormat="1" ht="11.25" hidden="1" customHeight="1" outlineLevel="1">
      <c r="A211" s="3782" t="s">
        <v>701</v>
      </c>
      <c r="B211" s="2923"/>
      <c r="C211" s="2923"/>
      <c r="D211" s="2923"/>
      <c r="E211" s="2924"/>
      <c r="F211" s="2959"/>
      <c r="G211" s="2923"/>
      <c r="H211" s="2923"/>
      <c r="I211" s="2923"/>
      <c r="J211" s="2924"/>
      <c r="K211" s="2959"/>
      <c r="L211" s="2923"/>
      <c r="M211" s="2923"/>
      <c r="N211" s="2923"/>
      <c r="O211" s="2924"/>
      <c r="P211" s="2959"/>
      <c r="Q211" s="2923"/>
      <c r="R211" s="2923"/>
      <c r="S211" s="2923"/>
      <c r="T211" s="2924"/>
      <c r="U211" s="2959"/>
      <c r="V211" s="2922"/>
      <c r="W211" s="2923"/>
      <c r="X211" s="2923"/>
      <c r="Y211" s="2924"/>
      <c r="Z211" s="2959"/>
      <c r="AA211" s="2922"/>
      <c r="AB211" s="2923"/>
      <c r="AC211" s="2923"/>
      <c r="AD211" s="2924"/>
      <c r="AE211" s="2959"/>
      <c r="AF211" s="2922"/>
      <c r="AG211" s="2923"/>
      <c r="AH211" s="2923"/>
      <c r="AI211" s="2924"/>
      <c r="AJ211" s="2959"/>
      <c r="AK211" s="2923"/>
      <c r="AL211" s="2923"/>
      <c r="AM211" s="2923"/>
      <c r="AN211" s="2924"/>
      <c r="AO211" s="2959"/>
      <c r="AP211" s="2923"/>
      <c r="AQ211" s="2923"/>
      <c r="AR211" s="2923"/>
      <c r="AS211" s="2924"/>
      <c r="AT211" s="2959"/>
      <c r="AU211" s="2923"/>
      <c r="AV211" s="2923"/>
      <c r="AW211" s="2923"/>
      <c r="AX211" s="2924"/>
      <c r="AY211" s="2959"/>
      <c r="AZ211" s="2923"/>
      <c r="BA211" s="2923"/>
      <c r="BB211" s="2923"/>
      <c r="BC211" s="2924"/>
      <c r="BD211" s="2959"/>
      <c r="BE211" s="2923"/>
      <c r="BF211" s="2923"/>
      <c r="BG211" s="2923"/>
      <c r="BH211" s="2924"/>
      <c r="BI211" s="2959"/>
      <c r="BJ211" s="2923"/>
      <c r="BK211" s="2923"/>
      <c r="BL211" s="2923"/>
      <c r="BM211" s="2923"/>
      <c r="BN211" s="2960"/>
      <c r="BO211" s="2923"/>
      <c r="BP211" s="2923"/>
      <c r="BQ211" s="2923"/>
      <c r="BR211" s="2924"/>
      <c r="BS211" s="2959"/>
      <c r="BT211" s="2923"/>
      <c r="BU211" s="2923"/>
      <c r="BV211" s="2923"/>
      <c r="BW211" s="2923"/>
      <c r="BX211" s="2960"/>
      <c r="BY211" s="2923"/>
      <c r="BZ211" s="2923"/>
      <c r="CA211" s="2923"/>
      <c r="CB211" s="2923"/>
      <c r="CC211" s="2960"/>
      <c r="CD211" s="2923"/>
      <c r="CE211" s="2903">
        <f>CE209/CD209-1</f>
        <v>0.13435114503816803</v>
      </c>
      <c r="CF211" s="2903">
        <f>CF209/CE209-1</f>
        <v>0.15208613728129206</v>
      </c>
      <c r="CG211" s="2903">
        <f>CG209/CF209-1</f>
        <v>1.985981308411211E-2</v>
      </c>
      <c r="CH211" s="2960"/>
      <c r="CI211" s="2903">
        <f>CI209/CG209-1</f>
        <v>-3.8946162657502836E-2</v>
      </c>
      <c r="CJ211" s="2903">
        <f>CJ209/CI209-1</f>
        <v>4.8867699642431539E-2</v>
      </c>
      <c r="CK211" s="2903">
        <f>CK209/CJ209-1</f>
        <v>0.42613636363636354</v>
      </c>
      <c r="CL211" s="2903">
        <f>CL209/CK209-1</f>
        <v>-4.302788844621519E-2</v>
      </c>
      <c r="CM211" s="2960"/>
      <c r="CN211" s="2903">
        <f>CN209/CL209-1</f>
        <v>1.6652789342215257E-3</v>
      </c>
      <c r="CO211" s="2903">
        <f>CO209/CN209-1</f>
        <v>-5.9019118869492959E-2</v>
      </c>
      <c r="CP211" s="2903">
        <f>CP209/CO209-1</f>
        <v>0.26501766784452307</v>
      </c>
      <c r="CQ211" s="2903">
        <f>CQ209/CP209-1</f>
        <v>2.7932960893854997E-3</v>
      </c>
      <c r="CR211" s="2960"/>
      <c r="CS211" s="2903">
        <f>CS209/CQ209-1</f>
        <v>4.0389972144846853E-2</v>
      </c>
      <c r="CT211" s="2903">
        <f>CT209/CS209-1</f>
        <v>6.0240963855422436E-3</v>
      </c>
      <c r="CU211" s="2903">
        <f>CU209/CT209-1</f>
        <v>0.23752495009980046</v>
      </c>
      <c r="CV211" s="2903">
        <f>CV209/CU209-1</f>
        <v>-7.5268817204301453E-3</v>
      </c>
      <c r="CW211" s="2960"/>
      <c r="CX211" s="2903">
        <f>CX209/CV209-1</f>
        <v>8.8299024918743196E-2</v>
      </c>
      <c r="CY211" s="2903">
        <f>CY209/CX209-1</f>
        <v>-2.9865604778497312E-3</v>
      </c>
      <c r="CZ211" s="2903">
        <f>CZ209/CY209-1</f>
        <v>-9.1362955566649973E-2</v>
      </c>
      <c r="DA211" s="2903">
        <f>DA209/CZ209-1</f>
        <v>1.4835164835164782E-2</v>
      </c>
      <c r="DB211" s="2960"/>
      <c r="DC211" s="2903">
        <f>DC209/DA209-1</f>
        <v>0.33026529507309155</v>
      </c>
      <c r="DD211" s="2903">
        <f>DD209/DC209-1</f>
        <v>-1.7908017908017881E-2</v>
      </c>
      <c r="DE211" s="2903">
        <f>DE209/DD209-1</f>
        <v>-7.5839204309987585E-2</v>
      </c>
      <c r="DF211" s="2903">
        <f>DF209/DE209-1</f>
        <v>1.0313901345291532E-2</v>
      </c>
      <c r="DG211" s="2960"/>
      <c r="DH211" s="2903">
        <f>DH209/DF209-1</f>
        <v>0.22902796271637826</v>
      </c>
      <c r="DI211" s="2903">
        <f>DI209/DH209-1</f>
        <v>-4.6948356807511304E-3</v>
      </c>
      <c r="DJ211" s="2903">
        <f>DJ209/DI209-1</f>
        <v>-4.7895500725689377E-2</v>
      </c>
      <c r="DK211" s="2903">
        <f>DK209/DJ209-1</f>
        <v>8.0030487804878536E-3</v>
      </c>
      <c r="DL211" s="2960"/>
      <c r="DM211" s="2903">
        <f>DM209/DK209-1</f>
        <v>0.20642722117202261</v>
      </c>
      <c r="DN211" s="2903">
        <f>DN209/DM209-1</f>
        <v>5.9855844562832994E-2</v>
      </c>
      <c r="DO211" s="2903">
        <f>DO209/DN209-1</f>
        <v>-5.529272619751624E-2</v>
      </c>
      <c r="DP211" s="2903">
        <f>DP209/DO209-1</f>
        <v>8.7636932707355619E-3</v>
      </c>
      <c r="DQ211" s="2960"/>
      <c r="DR211" s="2903">
        <f>DR209/DP209-1</f>
        <v>0.16196090598820967</v>
      </c>
      <c r="DS211" s="2903">
        <f>DS209/DR209-1</f>
        <v>1.5487316421895825E-2</v>
      </c>
      <c r="DT211" s="2903">
        <f>DT209/DS209-1</f>
        <v>1.8669471469892285E-2</v>
      </c>
      <c r="DU211" s="2903">
        <f>DU209/DT209-1</f>
        <v>2.065049044914824E-2</v>
      </c>
      <c r="DV211" s="2960"/>
      <c r="DW211" s="2903">
        <f>DW209/DU209-1</f>
        <v>0.13909964592817392</v>
      </c>
      <c r="DX211" s="2903">
        <f>DX209/DW209-1</f>
        <v>6.1722912966252208E-2</v>
      </c>
      <c r="DY211" s="2903">
        <f>DY209/DX209-1</f>
        <v>4.0568799665412048E-2</v>
      </c>
      <c r="DZ211" s="2903">
        <f>DZ209/DY209-1</f>
        <v>2.4919614147909996E-2</v>
      </c>
      <c r="EA211" s="2960"/>
      <c r="EB211" s="2903">
        <f>EB209/DZ209-1</f>
        <v>3.6078431372549069E-2</v>
      </c>
      <c r="EC211" s="2903">
        <f>EC209/EB209-1</f>
        <v>9.2732778198334698E-2</v>
      </c>
      <c r="ED211" s="2903">
        <f>ED209/EC209-1</f>
        <v>-5.3688950467613017E-3</v>
      </c>
      <c r="EE211" s="2903">
        <f>EE209/ED209-1</f>
        <v>-1.462650182831271E-2</v>
      </c>
      <c r="EF211" s="2960"/>
      <c r="EG211" s="2903">
        <f>EG209/EE209-1</f>
        <v>-6.9800318077398837E-2</v>
      </c>
      <c r="EH211" s="2903">
        <f>EH209/EG209-1</f>
        <v>0.11417173252279644</v>
      </c>
      <c r="EI211" s="2903">
        <f>EI209/EH209-1</f>
        <v>-3.2395566922420738E-3</v>
      </c>
      <c r="EJ211" s="2903">
        <f>EJ209/EI209-1</f>
        <v>-6.1580567909681472E-3</v>
      </c>
      <c r="EK211" s="2960"/>
      <c r="EL211" s="2903">
        <f>EL209/EJ209-1</f>
        <v>-5.0602409638554224E-2</v>
      </c>
      <c r="EM211" s="2903">
        <f>EM209/EL209-1</f>
        <v>8.7382160986221979E-2</v>
      </c>
      <c r="EN211" s="2903">
        <f>EN209/EM209-1</f>
        <v>6.1687229076358818E-2</v>
      </c>
      <c r="EO211" s="2903">
        <f>EO209/EN209-1</f>
        <v>2.4997883577466906E-2</v>
      </c>
      <c r="EP211" s="2960"/>
      <c r="EQ211" s="2903">
        <f>EQ209/EO209-1</f>
        <v>-1.1448377499132634E-2</v>
      </c>
      <c r="ER211" s="2903">
        <f>ER209/EQ209-1</f>
        <v>0.10014531225409073</v>
      </c>
      <c r="ES211" s="2903">
        <f>ES209/ER209-1</f>
        <v>5.3471242665447116E-2</v>
      </c>
      <c r="ET211" s="2903">
        <f>ET209/ES209-1</f>
        <v>-3.4559737204910013E-3</v>
      </c>
      <c r="EU211" s="2960"/>
      <c r="EV211" s="2960"/>
      <c r="EW211" s="2960"/>
      <c r="EX211" s="2960"/>
      <c r="EY211" s="2960"/>
      <c r="EZ211" s="2618"/>
      <c r="FA211" s="1319"/>
      <c r="FB211" s="1319"/>
      <c r="FC211" s="1319"/>
      <c r="FD211" s="1319"/>
      <c r="FE211" s="1319"/>
      <c r="FF211" s="1319"/>
      <c r="FG211" s="1319"/>
      <c r="FH211" s="1319"/>
      <c r="FI211" s="1319"/>
      <c r="FJ211" s="1319"/>
      <c r="FK211" s="1319"/>
      <c r="FL211" s="1319"/>
    </row>
    <row r="212" spans="1:168" s="2950" customFormat="1" ht="11.25" hidden="1" customHeight="1" outlineLevel="1">
      <c r="A212" s="3784" t="s">
        <v>707</v>
      </c>
      <c r="B212" s="2945"/>
      <c r="C212" s="2945"/>
      <c r="D212" s="2945"/>
      <c r="E212" s="2949"/>
      <c r="F212" s="2961"/>
      <c r="G212" s="2945"/>
      <c r="H212" s="2945"/>
      <c r="I212" s="2945"/>
      <c r="J212" s="2949"/>
      <c r="K212" s="2961"/>
      <c r="L212" s="2945"/>
      <c r="M212" s="2945"/>
      <c r="N212" s="2945"/>
      <c r="O212" s="2949"/>
      <c r="P212" s="2961"/>
      <c r="Q212" s="2945"/>
      <c r="R212" s="2945"/>
      <c r="S212" s="2945"/>
      <c r="T212" s="2949"/>
      <c r="U212" s="2961"/>
      <c r="V212" s="2944"/>
      <c r="W212" s="2945"/>
      <c r="X212" s="2945"/>
      <c r="Y212" s="2949"/>
      <c r="Z212" s="2961"/>
      <c r="AA212" s="2944"/>
      <c r="AB212" s="2945"/>
      <c r="AC212" s="2945"/>
      <c r="AD212" s="2949"/>
      <c r="AE212" s="2961"/>
      <c r="AF212" s="2944"/>
      <c r="AG212" s="2945"/>
      <c r="AH212" s="2945"/>
      <c r="AI212" s="2949"/>
      <c r="AJ212" s="2961"/>
      <c r="AK212" s="2945"/>
      <c r="AL212" s="2945"/>
      <c r="AM212" s="2945"/>
      <c r="AN212" s="2949"/>
      <c r="AO212" s="2961"/>
      <c r="AP212" s="2945"/>
      <c r="AQ212" s="2945"/>
      <c r="AR212" s="2945"/>
      <c r="AS212" s="2949"/>
      <c r="AT212" s="2961"/>
      <c r="AU212" s="2945"/>
      <c r="AV212" s="2945"/>
      <c r="AW212" s="2945"/>
      <c r="AX212" s="2949"/>
      <c r="AY212" s="2961"/>
      <c r="AZ212" s="2945"/>
      <c r="BA212" s="2945"/>
      <c r="BB212" s="2945"/>
      <c r="BC212" s="2949"/>
      <c r="BD212" s="2961"/>
      <c r="BE212" s="2945"/>
      <c r="BF212" s="2945"/>
      <c r="BG212" s="2945"/>
      <c r="BH212" s="2949"/>
      <c r="BI212" s="2961"/>
      <c r="BJ212" s="2945"/>
      <c r="BK212" s="2945"/>
      <c r="BL212" s="2945"/>
      <c r="BM212" s="2945"/>
      <c r="BN212" s="2943"/>
      <c r="BO212" s="2945"/>
      <c r="BP212" s="2945"/>
      <c r="BQ212" s="2945"/>
      <c r="BR212" s="2949"/>
      <c r="BS212" s="2961"/>
      <c r="BT212" s="2945"/>
      <c r="BU212" s="2945"/>
      <c r="BV212" s="2945"/>
      <c r="BW212" s="2945"/>
      <c r="BX212" s="2943"/>
      <c r="BY212" s="2945"/>
      <c r="BZ212" s="2945"/>
      <c r="CA212" s="2945"/>
      <c r="CB212" s="2945"/>
      <c r="CC212" s="2943"/>
      <c r="CD212" s="2945">
        <f>CD203-CD206-CD209</f>
        <v>7649</v>
      </c>
      <c r="CE212" s="2945">
        <f>CE203-CE206-CE209</f>
        <v>7869</v>
      </c>
      <c r="CF212" s="2945">
        <f>CF203-CF206-CF209</f>
        <v>8163</v>
      </c>
      <c r="CG212" s="2945">
        <f>CG203-CG206-CG209</f>
        <v>9369</v>
      </c>
      <c r="CH212" s="2943">
        <f t="shared" si="890"/>
        <v>33050</v>
      </c>
      <c r="CI212" s="2945">
        <f>CI203-CI206-CI209</f>
        <v>9380</v>
      </c>
      <c r="CJ212" s="2945">
        <f>CJ203-CJ206-CJ209</f>
        <v>9738</v>
      </c>
      <c r="CK212" s="2945">
        <f>CK203-CK206-CK209</f>
        <v>9997</v>
      </c>
      <c r="CL212" s="2945">
        <f>CL203-CL206-CL209</f>
        <v>11236</v>
      </c>
      <c r="CM212" s="2943">
        <f t="shared" si="891"/>
        <v>40351</v>
      </c>
      <c r="CN212" s="2945">
        <f>CN203-CN206-CN209</f>
        <v>10431</v>
      </c>
      <c r="CO212" s="2945">
        <f>CO203-CO206-CO209</f>
        <v>10536</v>
      </c>
      <c r="CP212" s="2945">
        <f>CP203-CP206-CP209</f>
        <v>11287</v>
      </c>
      <c r="CQ212" s="2945">
        <f>CQ203-CQ206-CQ209</f>
        <v>13109</v>
      </c>
      <c r="CR212" s="2943">
        <f t="shared" si="892"/>
        <v>45363</v>
      </c>
      <c r="CS212" s="2945">
        <f>CS203-CS206-CS209</f>
        <v>12050</v>
      </c>
      <c r="CT212" s="2945">
        <f>CT203-CT206-CT209</f>
        <v>12539</v>
      </c>
      <c r="CU212" s="2945">
        <f>CU203-CU206-CU209</f>
        <v>13228</v>
      </c>
      <c r="CV212" s="2945">
        <f>CV203-CV206-CV209</f>
        <v>15892</v>
      </c>
      <c r="CW212" s="2943">
        <f t="shared" si="893"/>
        <v>53709</v>
      </c>
      <c r="CX212" s="2945">
        <f>CX203-CX206-CX209</f>
        <v>14670</v>
      </c>
      <c r="CY212" s="2945">
        <f>CY203-CY206-CY209</f>
        <v>15514</v>
      </c>
      <c r="CZ212" s="2945">
        <f>CZ203-CZ206-CZ209</f>
        <v>16409</v>
      </c>
      <c r="DA212" s="2945">
        <f>DA203-DA206-DA209</f>
        <v>20786</v>
      </c>
      <c r="DB212" s="2943">
        <f t="shared" si="894"/>
        <v>67379</v>
      </c>
      <c r="DC212" s="2945">
        <f>DC203-DC206-DC209</f>
        <v>19070</v>
      </c>
      <c r="DD212" s="2945">
        <f>DD203-DD206-DD209</f>
        <v>20014</v>
      </c>
      <c r="DE212" s="2945">
        <f>DE203-DE206-DE209</f>
        <v>20530</v>
      </c>
      <c r="DF212" s="2945">
        <f>DF203-DF206-DF209</f>
        <v>26222</v>
      </c>
      <c r="DG212" s="2943">
        <f t="shared" si="895"/>
        <v>85836</v>
      </c>
      <c r="DH212" s="2945">
        <f>DH203-DH206-DH209</f>
        <v>22652</v>
      </c>
      <c r="DI212" s="2945">
        <f>DI203-DI206-DI209</f>
        <v>24173</v>
      </c>
      <c r="DJ212" s="2945">
        <f>DJ203-DJ206-DJ209</f>
        <v>25778</v>
      </c>
      <c r="DK212" s="2945">
        <f>DK203-DK206-DK209</f>
        <v>30751</v>
      </c>
      <c r="DL212" s="2943">
        <f>SUM(DH212:DK212)</f>
        <v>103354</v>
      </c>
      <c r="DM212" s="2945">
        <f>DM203-DM206-DM209</f>
        <v>26883</v>
      </c>
      <c r="DN212" s="2945">
        <f>DN203-DN206-DN209</f>
        <v>25146</v>
      </c>
      <c r="DO212" s="2945">
        <f>DO203-DO206-DO209</f>
        <v>28287</v>
      </c>
      <c r="DP212" s="2945">
        <f>DP203-DP206-DP209</f>
        <v>34299</v>
      </c>
      <c r="DQ212" s="2943">
        <f>SUM(DM212:DP212)</f>
        <v>114615</v>
      </c>
      <c r="DR212" s="2945">
        <f t="shared" ref="DR212:DY212" si="920">DR203-DR206-DR209</f>
        <v>32379</v>
      </c>
      <c r="DS212" s="2945">
        <f t="shared" si="920"/>
        <v>35771</v>
      </c>
      <c r="DT212" s="2945">
        <f t="shared" si="920"/>
        <v>36909</v>
      </c>
      <c r="DU212" s="2945">
        <f t="shared" si="920"/>
        <v>46047</v>
      </c>
      <c r="DV212" s="2943">
        <f t="shared" si="920"/>
        <v>151106</v>
      </c>
      <c r="DW212" s="2945">
        <f t="shared" si="920"/>
        <v>39631</v>
      </c>
      <c r="DX212" s="2945">
        <f t="shared" si="920"/>
        <v>41551</v>
      </c>
      <c r="DY212" s="2945">
        <f t="shared" si="920"/>
        <v>42935</v>
      </c>
      <c r="DZ212" s="2945">
        <f t="shared" ref="DZ212:EF212" si="921">DZ203-DZ206-DZ209</f>
        <v>48587</v>
      </c>
      <c r="EA212" s="2943">
        <f t="shared" si="921"/>
        <v>172704</v>
      </c>
      <c r="EB212" s="2945">
        <f t="shared" si="921"/>
        <v>43902</v>
      </c>
      <c r="EC212" s="2945">
        <f t="shared" si="921"/>
        <v>43595</v>
      </c>
      <c r="ED212" s="2945">
        <f t="shared" si="921"/>
        <v>45807</v>
      </c>
      <c r="EE212" s="2945">
        <f t="shared" si="921"/>
        <v>53638</v>
      </c>
      <c r="EF212" s="2943">
        <f t="shared" si="921"/>
        <v>182420</v>
      </c>
      <c r="EG212" s="2945">
        <f t="shared" ref="EG212" si="922">EG203-EG206-EG209</f>
        <v>45674</v>
      </c>
      <c r="EH212" s="2945">
        <f t="shared" ref="EH212:EW212" si="923">EH203-EH206-EH209</f>
        <v>47744</v>
      </c>
      <c r="EI212" s="2945">
        <f t="shared" si="923"/>
        <v>49309</v>
      </c>
      <c r="EJ212" s="2945">
        <f t="shared" si="923"/>
        <v>55018</v>
      </c>
      <c r="EK212" s="2943">
        <f t="shared" si="923"/>
        <v>197745</v>
      </c>
      <c r="EL212" s="2945">
        <f t="shared" si="923"/>
        <v>49333</v>
      </c>
      <c r="EM212" s="2945">
        <f t="shared" ref="EM212:EN212" si="924">EM203-EM206-EM209</f>
        <v>52761</v>
      </c>
      <c r="EN212" s="2945">
        <f t="shared" si="924"/>
        <v>55682</v>
      </c>
      <c r="EO212" s="2945">
        <f t="shared" ref="EO212:EP212" si="925">EO203-EO206-EO209</f>
        <v>61948.60286164991</v>
      </c>
      <c r="EP212" s="2943">
        <f t="shared" si="925"/>
        <v>219724.60286164988</v>
      </c>
      <c r="EQ212" s="2945">
        <f t="shared" ref="EQ212:EU212" si="926">EQ203-EQ206-EQ209</f>
        <v>55204.664364497206</v>
      </c>
      <c r="ER212" s="2945">
        <f t="shared" si="926"/>
        <v>57880.500104158476</v>
      </c>
      <c r="ES212" s="2945">
        <f t="shared" si="926"/>
        <v>61642.493105568625</v>
      </c>
      <c r="ET212" s="2945">
        <f t="shared" si="926"/>
        <v>68485.073420355824</v>
      </c>
      <c r="EU212" s="2943">
        <f t="shared" si="926"/>
        <v>243212.73099458011</v>
      </c>
      <c r="EV212" s="2943">
        <f t="shared" si="923"/>
        <v>270531.2003265316</v>
      </c>
      <c r="EW212" s="2943">
        <f t="shared" si="923"/>
        <v>300476.19887208391</v>
      </c>
      <c r="EX212" s="2943">
        <f t="shared" ref="EX212:EY212" si="927">EX203-EX206-EX209</f>
        <v>329434.91360499535</v>
      </c>
      <c r="EY212" s="2943">
        <f t="shared" si="927"/>
        <v>357116.38809040037</v>
      </c>
      <c r="EZ212" s="2333"/>
      <c r="FA212" s="4291"/>
      <c r="FB212" s="4291"/>
      <c r="FC212" s="4291"/>
      <c r="FD212" s="4291"/>
      <c r="FE212" s="4291"/>
      <c r="FF212" s="4291"/>
      <c r="FG212" s="4291"/>
      <c r="FH212" s="4291"/>
      <c r="FI212" s="4291"/>
      <c r="FJ212" s="4291"/>
      <c r="FK212" s="4291"/>
      <c r="FL212" s="4291"/>
    </row>
    <row r="213" spans="1:168" s="1280" customFormat="1" ht="11.25" hidden="1" customHeight="1" outlineLevel="1">
      <c r="A213" s="3769" t="s">
        <v>702</v>
      </c>
      <c r="B213" s="2618"/>
      <c r="C213" s="2618"/>
      <c r="D213" s="2618"/>
      <c r="E213" s="1277"/>
      <c r="F213" s="2955"/>
      <c r="G213" s="2618"/>
      <c r="H213" s="2618"/>
      <c r="I213" s="2618"/>
      <c r="J213" s="1277"/>
      <c r="K213" s="2955"/>
      <c r="L213" s="2618"/>
      <c r="M213" s="2618"/>
      <c r="N213" s="2618"/>
      <c r="O213" s="1277"/>
      <c r="P213" s="2955"/>
      <c r="Q213" s="2618"/>
      <c r="R213" s="2618"/>
      <c r="S213" s="2618"/>
      <c r="T213" s="1277"/>
      <c r="U213" s="2955"/>
      <c r="V213" s="2956"/>
      <c r="W213" s="2618"/>
      <c r="X213" s="2618"/>
      <c r="Y213" s="1277"/>
      <c r="Z213" s="2955"/>
      <c r="AA213" s="2956"/>
      <c r="AB213" s="2618"/>
      <c r="AC213" s="2618"/>
      <c r="AD213" s="1277"/>
      <c r="AE213" s="2955"/>
      <c r="AF213" s="2956"/>
      <c r="AG213" s="2618"/>
      <c r="AH213" s="2618"/>
      <c r="AI213" s="1277"/>
      <c r="AJ213" s="2955"/>
      <c r="AK213" s="2618"/>
      <c r="AL213" s="2618"/>
      <c r="AM213" s="2618"/>
      <c r="AN213" s="1277"/>
      <c r="AO213" s="2955"/>
      <c r="AP213" s="2618"/>
      <c r="AQ213" s="2618"/>
      <c r="AR213" s="2618"/>
      <c r="AS213" s="1277"/>
      <c r="AT213" s="2955"/>
      <c r="AU213" s="2618"/>
      <c r="AV213" s="2618"/>
      <c r="AW213" s="2618"/>
      <c r="AX213" s="1277"/>
      <c r="AY213" s="2955"/>
      <c r="AZ213" s="2618"/>
      <c r="BA213" s="2618"/>
      <c r="BB213" s="2618"/>
      <c r="BC213" s="1277"/>
      <c r="BD213" s="2955"/>
      <c r="BE213" s="2618"/>
      <c r="BF213" s="2618"/>
      <c r="BG213" s="2618"/>
      <c r="BH213" s="1277"/>
      <c r="BI213" s="2955"/>
      <c r="BJ213" s="2618"/>
      <c r="BK213" s="2618"/>
      <c r="BL213" s="2618"/>
      <c r="BM213" s="2618"/>
      <c r="BN213" s="2957"/>
      <c r="BO213" s="2618"/>
      <c r="BP213" s="2618"/>
      <c r="BQ213" s="2618"/>
      <c r="BR213" s="1277"/>
      <c r="BS213" s="2955"/>
      <c r="BT213" s="2618"/>
      <c r="BU213" s="2618"/>
      <c r="BV213" s="2618"/>
      <c r="BW213" s="2618"/>
      <c r="BX213" s="2957"/>
      <c r="BY213" s="2618"/>
      <c r="BZ213" s="2618"/>
      <c r="CA213" s="2618"/>
      <c r="CB213" s="2618"/>
      <c r="CC213" s="2957"/>
      <c r="CD213" s="2618"/>
      <c r="CE213" s="2618"/>
      <c r="CF213" s="2618"/>
      <c r="CG213" s="2618"/>
      <c r="CH213" s="2957"/>
      <c r="CI213" s="127">
        <f t="shared" ref="CI213:DQ213" si="928">CI212/CD212-1</f>
        <v>0.22630409203817492</v>
      </c>
      <c r="CJ213" s="127">
        <f t="shared" si="928"/>
        <v>0.23751429660693857</v>
      </c>
      <c r="CK213" s="127">
        <f t="shared" si="928"/>
        <v>0.22467230184981002</v>
      </c>
      <c r="CL213" s="127">
        <f t="shared" si="928"/>
        <v>0.19927420215604652</v>
      </c>
      <c r="CM213" s="2958">
        <f t="shared" si="928"/>
        <v>0.22090771558245081</v>
      </c>
      <c r="CN213" s="127">
        <f t="shared" si="928"/>
        <v>0.11204690831556507</v>
      </c>
      <c r="CO213" s="127">
        <f t="shared" si="928"/>
        <v>8.1947011706716033E-2</v>
      </c>
      <c r="CP213" s="127">
        <f t="shared" si="928"/>
        <v>0.12903871161348412</v>
      </c>
      <c r="CQ213" s="127">
        <f t="shared" si="928"/>
        <v>0.16669633321466715</v>
      </c>
      <c r="CR213" s="2958">
        <f t="shared" si="928"/>
        <v>0.12421005675200125</v>
      </c>
      <c r="CS213" s="127">
        <f t="shared" si="928"/>
        <v>0.155210430447704</v>
      </c>
      <c r="CT213" s="127">
        <f t="shared" si="928"/>
        <v>0.19011009870918749</v>
      </c>
      <c r="CU213" s="127">
        <f t="shared" si="928"/>
        <v>0.17196775050943569</v>
      </c>
      <c r="CV213" s="127">
        <f t="shared" si="928"/>
        <v>0.2122968952627966</v>
      </c>
      <c r="CW213" s="2958">
        <f t="shared" si="928"/>
        <v>0.18398254083724619</v>
      </c>
      <c r="CX213" s="127">
        <f t="shared" si="928"/>
        <v>0.21742738589211608</v>
      </c>
      <c r="CY213" s="127">
        <f t="shared" si="928"/>
        <v>0.23725974958130625</v>
      </c>
      <c r="CZ213" s="127">
        <f t="shared" si="928"/>
        <v>0.24047475052918044</v>
      </c>
      <c r="DA213" s="127">
        <f t="shared" si="928"/>
        <v>0.3079536873898816</v>
      </c>
      <c r="DB213" s="2958">
        <f t="shared" si="928"/>
        <v>0.25451972667523126</v>
      </c>
      <c r="DC213" s="127">
        <f t="shared" si="928"/>
        <v>0.29993183367416498</v>
      </c>
      <c r="DD213" s="127">
        <f t="shared" si="928"/>
        <v>0.29006059043444621</v>
      </c>
      <c r="DE213" s="127">
        <f t="shared" si="928"/>
        <v>0.25114266561033571</v>
      </c>
      <c r="DF213" s="127">
        <f t="shared" si="928"/>
        <v>0.26152217838930047</v>
      </c>
      <c r="DG213" s="2958">
        <f t="shared" si="928"/>
        <v>0.27392807848142597</v>
      </c>
      <c r="DH213" s="127">
        <f t="shared" si="928"/>
        <v>0.18783429470372304</v>
      </c>
      <c r="DI213" s="127">
        <f t="shared" si="928"/>
        <v>0.20780453682422295</v>
      </c>
      <c r="DJ213" s="127">
        <f t="shared" si="928"/>
        <v>0.25562591329761331</v>
      </c>
      <c r="DK213" s="127">
        <f t="shared" si="928"/>
        <v>0.17271756540309657</v>
      </c>
      <c r="DL213" s="2958">
        <f t="shared" si="928"/>
        <v>0.2040868633207511</v>
      </c>
      <c r="DM213" s="127">
        <f t="shared" si="928"/>
        <v>0.18678262405085633</v>
      </c>
      <c r="DN213" s="127">
        <f t="shared" si="928"/>
        <v>4.0251520291233911E-2</v>
      </c>
      <c r="DO213" s="127">
        <f t="shared" si="928"/>
        <v>9.7331057490883666E-2</v>
      </c>
      <c r="DP213" s="127">
        <f t="shared" si="928"/>
        <v>0.11537836167929494</v>
      </c>
      <c r="DQ213" s="2958">
        <f t="shared" si="928"/>
        <v>0.1089556282291928</v>
      </c>
      <c r="DR213" s="127">
        <f t="shared" ref="DR213:ED213" si="929">DR212/DM212-1</f>
        <v>0.20444146858609535</v>
      </c>
      <c r="DS213" s="127">
        <f t="shared" si="929"/>
        <v>0.42253241072138703</v>
      </c>
      <c r="DT213" s="127">
        <f t="shared" si="929"/>
        <v>0.3048043270760421</v>
      </c>
      <c r="DU213" s="127">
        <f t="shared" si="929"/>
        <v>0.34251727455610959</v>
      </c>
      <c r="DV213" s="2957">
        <f t="shared" si="929"/>
        <v>0.31837892073463325</v>
      </c>
      <c r="DW213" s="127">
        <f t="shared" si="929"/>
        <v>0.22397232774329034</v>
      </c>
      <c r="DX213" s="127">
        <f t="shared" si="929"/>
        <v>0.16158340555198336</v>
      </c>
      <c r="DY213" s="127">
        <f t="shared" si="929"/>
        <v>0.16326641198623637</v>
      </c>
      <c r="DZ213" s="127">
        <f t="shared" si="929"/>
        <v>5.5161031120376958E-2</v>
      </c>
      <c r="EA213" s="2957">
        <f t="shared" si="929"/>
        <v>0.14293277566741236</v>
      </c>
      <c r="EB213" s="127">
        <f>EB212/DW212-1</f>
        <v>0.10776917059877378</v>
      </c>
      <c r="EC213" s="127">
        <f t="shared" si="929"/>
        <v>4.919255854251392E-2</v>
      </c>
      <c r="ED213" s="127">
        <f t="shared" si="929"/>
        <v>6.689181320600901E-2</v>
      </c>
      <c r="EE213" s="127">
        <f t="shared" ref="EE213:EN213" si="930">EE212/DZ212-1</f>
        <v>0.10395784880729408</v>
      </c>
      <c r="EF213" s="2958">
        <f t="shared" si="930"/>
        <v>5.6258106355382642E-2</v>
      </c>
      <c r="EG213" s="127">
        <f>EG212/EB212-1</f>
        <v>4.0362625848480604E-2</v>
      </c>
      <c r="EH213" s="127">
        <f t="shared" si="930"/>
        <v>9.5171464617501922E-2</v>
      </c>
      <c r="EI213" s="127">
        <f t="shared" si="930"/>
        <v>7.64511974152422E-2</v>
      </c>
      <c r="EJ213" s="127">
        <f t="shared" si="930"/>
        <v>2.5728028636414546E-2</v>
      </c>
      <c r="EK213" s="2958">
        <f t="shared" si="930"/>
        <v>8.4009428790702723E-2</v>
      </c>
      <c r="EL213" s="127">
        <f>EL212/EG212-1</f>
        <v>8.0111223015282285E-2</v>
      </c>
      <c r="EM213" s="127">
        <f t="shared" si="930"/>
        <v>0.10508126675603213</v>
      </c>
      <c r="EN213" s="127">
        <f t="shared" si="930"/>
        <v>0.12924618223853668</v>
      </c>
      <c r="EO213" s="127">
        <f t="shared" ref="EO213:EP213" si="931">EO212/EJ212-1</f>
        <v>0.12596973466229078</v>
      </c>
      <c r="EP213" s="2958">
        <f t="shared" si="931"/>
        <v>0.111151244591013</v>
      </c>
      <c r="EQ213" s="127">
        <f t="shared" ref="EQ213" si="932">EQ212/EL212-1</f>
        <v>0.11902102780080681</v>
      </c>
      <c r="ER213" s="127">
        <f t="shared" ref="ER213" si="933">ER212/EM212-1</f>
        <v>9.7031900535593962E-2</v>
      </c>
      <c r="ES213" s="127">
        <f t="shared" ref="ES213" si="934">ES212/EN212-1</f>
        <v>0.10704524093187429</v>
      </c>
      <c r="ET213" s="127">
        <f t="shared" ref="ET213:EU213" si="935">ET212/EO212-1</f>
        <v>0.10551441447846432</v>
      </c>
      <c r="EU213" s="2958">
        <f t="shared" si="935"/>
        <v>0.10689803429850597</v>
      </c>
      <c r="EV213" s="2958">
        <f>EV212/EU212-1</f>
        <v>0.11232335256561998</v>
      </c>
      <c r="EW213" s="2958">
        <f>EW212/EV212-1</f>
        <v>0.1106896302881466</v>
      </c>
      <c r="EX213" s="2958">
        <f>EX212/EW212-1</f>
        <v>9.6376068525944936E-2</v>
      </c>
      <c r="EY213" s="2958">
        <f>EY212/EX212-1</f>
        <v>8.4027142668297028E-2</v>
      </c>
      <c r="EZ213" s="2618"/>
      <c r="FA213" s="1319"/>
      <c r="FB213" s="1319"/>
      <c r="FC213" s="1319"/>
      <c r="FD213" s="1319"/>
      <c r="FE213" s="1319"/>
      <c r="FF213" s="1319"/>
      <c r="FG213" s="1319"/>
      <c r="FH213" s="1319"/>
      <c r="FI213" s="1319"/>
      <c r="FJ213" s="1319"/>
      <c r="FK213" s="1319"/>
      <c r="FL213" s="1319"/>
    </row>
    <row r="214" spans="1:168" s="566" customFormat="1" ht="11.25" hidden="1" customHeight="1" outlineLevel="1">
      <c r="A214" s="3769" t="s">
        <v>703</v>
      </c>
      <c r="B214" s="2618"/>
      <c r="C214" s="2618"/>
      <c r="D214" s="2618"/>
      <c r="E214" s="1277"/>
      <c r="F214" s="2955"/>
      <c r="G214" s="2618"/>
      <c r="H214" s="2618"/>
      <c r="I214" s="2618"/>
      <c r="J214" s="1277"/>
      <c r="K214" s="2955"/>
      <c r="L214" s="2618"/>
      <c r="M214" s="2618"/>
      <c r="N214" s="2618"/>
      <c r="O214" s="1277"/>
      <c r="P214" s="2955"/>
      <c r="Q214" s="2618"/>
      <c r="R214" s="2618"/>
      <c r="S214" s="2618"/>
      <c r="T214" s="1277"/>
      <c r="U214" s="2955"/>
      <c r="V214" s="2956"/>
      <c r="W214" s="2618"/>
      <c r="X214" s="2618"/>
      <c r="Y214" s="1277"/>
      <c r="Z214" s="2955"/>
      <c r="AA214" s="2956"/>
      <c r="AB214" s="2618"/>
      <c r="AC214" s="2618"/>
      <c r="AD214" s="1277"/>
      <c r="AE214" s="2955"/>
      <c r="AF214" s="2956"/>
      <c r="AG214" s="2618"/>
      <c r="AH214" s="2618"/>
      <c r="AI214" s="1277"/>
      <c r="AJ214" s="2955"/>
      <c r="AK214" s="2618"/>
      <c r="AL214" s="2618"/>
      <c r="AM214" s="2618"/>
      <c r="AN214" s="1277"/>
      <c r="AO214" s="2955"/>
      <c r="AP214" s="2618"/>
      <c r="AQ214" s="2618"/>
      <c r="AR214" s="2618"/>
      <c r="AS214" s="1277"/>
      <c r="AT214" s="2955"/>
      <c r="AU214" s="2618"/>
      <c r="AV214" s="2618"/>
      <c r="AW214" s="2618"/>
      <c r="AX214" s="1277"/>
      <c r="AY214" s="2955"/>
      <c r="AZ214" s="2618"/>
      <c r="BA214" s="2618"/>
      <c r="BB214" s="2618"/>
      <c r="BC214" s="1277"/>
      <c r="BD214" s="2955"/>
      <c r="BE214" s="2618"/>
      <c r="BF214" s="2618"/>
      <c r="BG214" s="2618"/>
      <c r="BH214" s="1277"/>
      <c r="BI214" s="2955"/>
      <c r="BJ214" s="2618"/>
      <c r="BK214" s="2618"/>
      <c r="BL214" s="2618"/>
      <c r="BM214" s="2618"/>
      <c r="BN214" s="2957"/>
      <c r="BO214" s="2618"/>
      <c r="BP214" s="2618"/>
      <c r="BQ214" s="2618"/>
      <c r="BR214" s="1277"/>
      <c r="BS214" s="2955"/>
      <c r="BT214" s="2618"/>
      <c r="BU214" s="2618"/>
      <c r="BV214" s="2618"/>
      <c r="BW214" s="2618"/>
      <c r="BX214" s="2957"/>
      <c r="BY214" s="2618"/>
      <c r="BZ214" s="2618"/>
      <c r="CA214" s="2618"/>
      <c r="CB214" s="2618"/>
      <c r="CC214" s="2957"/>
      <c r="CD214" s="2618"/>
      <c r="CE214" s="127">
        <f>CE212/CD212-1</f>
        <v>2.8761929664008257E-2</v>
      </c>
      <c r="CF214" s="127">
        <f>CF212/CE212-1</f>
        <v>3.7361799466260059E-2</v>
      </c>
      <c r="CG214" s="127">
        <f>CG212/CF212-1</f>
        <v>0.14773980154355026</v>
      </c>
      <c r="CH214" s="2957"/>
      <c r="CI214" s="127">
        <f>CI212/CG212-1</f>
        <v>1.1740847475718574E-3</v>
      </c>
      <c r="CJ214" s="127">
        <f>CJ212/CI212-1</f>
        <v>3.8166311300639633E-2</v>
      </c>
      <c r="CK214" s="127">
        <f>CK212/CJ212-1</f>
        <v>2.6596837132881523E-2</v>
      </c>
      <c r="CL214" s="127">
        <f>CL212/CK212-1</f>
        <v>0.12393718115434638</v>
      </c>
      <c r="CM214" s="2957"/>
      <c r="CN214" s="127">
        <f>CN212/CL212-1</f>
        <v>-7.1644713421146311E-2</v>
      </c>
      <c r="CO214" s="127">
        <f>CO212/CN212-1</f>
        <v>1.0066148979004819E-2</v>
      </c>
      <c r="CP214" s="127">
        <f>CP212/CO212-1</f>
        <v>7.1279422930903502E-2</v>
      </c>
      <c r="CQ214" s="127">
        <f>CQ212/CP212-1</f>
        <v>0.16142464782493127</v>
      </c>
      <c r="CR214" s="2957"/>
      <c r="CS214" s="127">
        <f>CS212/CQ212-1</f>
        <v>-8.0784194065146031E-2</v>
      </c>
      <c r="CT214" s="127">
        <f>CT212/CS212-1</f>
        <v>4.0580912863070528E-2</v>
      </c>
      <c r="CU214" s="127">
        <f>CU212/CT212-1</f>
        <v>5.4948560491267173E-2</v>
      </c>
      <c r="CV214" s="127">
        <f>CV212/CU212-1</f>
        <v>0.20139098881161166</v>
      </c>
      <c r="CW214" s="2957"/>
      <c r="CX214" s="127">
        <f>CX212/CV212-1</f>
        <v>-7.689403473445755E-2</v>
      </c>
      <c r="CY214" s="127">
        <f>CY212/CX212-1</f>
        <v>5.7532379004771705E-2</v>
      </c>
      <c r="CZ214" s="127">
        <f>CZ212/CY212-1</f>
        <v>5.7689828541962029E-2</v>
      </c>
      <c r="DA214" s="127">
        <f>DA212/CZ212-1</f>
        <v>0.26674386007678708</v>
      </c>
      <c r="DB214" s="2957"/>
      <c r="DC214" s="127">
        <f>DC212/DA212-1</f>
        <v>-8.2555566246512058E-2</v>
      </c>
      <c r="DD214" s="127">
        <f>DD212/DC212-1</f>
        <v>4.9501835343471523E-2</v>
      </c>
      <c r="DE214" s="127">
        <f>DE212/DD212-1</f>
        <v>2.5781952633156857E-2</v>
      </c>
      <c r="DF214" s="127">
        <f>DF212/DE212-1</f>
        <v>0.27725280077934733</v>
      </c>
      <c r="DG214" s="2957"/>
      <c r="DH214" s="127">
        <f>DH212/DF212-1</f>
        <v>-0.13614522156967435</v>
      </c>
      <c r="DI214" s="127">
        <f>DI212/DH212-1</f>
        <v>6.714638883983759E-2</v>
      </c>
      <c r="DJ214" s="127">
        <f>DJ212/DI212-1</f>
        <v>6.6396392669507254E-2</v>
      </c>
      <c r="DK214" s="127">
        <f>DK212/DJ212-1</f>
        <v>0.19291644037551392</v>
      </c>
      <c r="DL214" s="2957"/>
      <c r="DM214" s="127">
        <f>DM212/DK212-1</f>
        <v>-0.1257845273324445</v>
      </c>
      <c r="DN214" s="127">
        <f>DN212/DM212-1</f>
        <v>-6.4613324405758288E-2</v>
      </c>
      <c r="DO214" s="127">
        <f>DO212/DN212-1</f>
        <v>0.1249105225483178</v>
      </c>
      <c r="DP214" s="127">
        <f>DP212/DO212-1</f>
        <v>0.21253579382755339</v>
      </c>
      <c r="DQ214" s="2957"/>
      <c r="DR214" s="127">
        <f>DR212/DP212-1</f>
        <v>-5.5978308405492894E-2</v>
      </c>
      <c r="DS214" s="127">
        <f>DS212/DR212-1</f>
        <v>0.10475925754346949</v>
      </c>
      <c r="DT214" s="127">
        <f>DT212/DS212-1</f>
        <v>3.181348019345287E-2</v>
      </c>
      <c r="DU214" s="127">
        <f>DU212/DT212-1</f>
        <v>0.24758189059578961</v>
      </c>
      <c r="DV214" s="2957"/>
      <c r="DW214" s="127">
        <f>DW212/DU212-1</f>
        <v>-0.13933589593241691</v>
      </c>
      <c r="DX214" s="127">
        <f>DX212/DW212-1</f>
        <v>4.844692286341501E-2</v>
      </c>
      <c r="DY214" s="127">
        <f>DY212/DX212-1</f>
        <v>3.3308464296888163E-2</v>
      </c>
      <c r="DZ214" s="127">
        <f>DZ212/DY212-1</f>
        <v>0.13164085245137991</v>
      </c>
      <c r="EA214" s="2957"/>
      <c r="EB214" s="127">
        <f>EB212/DZ212-1</f>
        <v>-9.6424969642085356E-2</v>
      </c>
      <c r="EC214" s="127">
        <f>EC212/EB212-1</f>
        <v>-6.9928477062548566E-3</v>
      </c>
      <c r="ED214" s="127">
        <f>ED212/EC212-1</f>
        <v>5.0739763734373167E-2</v>
      </c>
      <c r="EE214" s="127">
        <f>EE212/ED212-1</f>
        <v>0.17095640404305024</v>
      </c>
      <c r="EF214" s="2957"/>
      <c r="EG214" s="127">
        <f>EG212/EE212-1</f>
        <v>-0.14847682613072821</v>
      </c>
      <c r="EH214" s="127">
        <f>EH212/EG212-1</f>
        <v>4.5321189298068942E-2</v>
      </c>
      <c r="EI214" s="127">
        <f>EI212/EH212-1</f>
        <v>3.2778987935656811E-2</v>
      </c>
      <c r="EJ214" s="127">
        <f>EJ212/EI212-1</f>
        <v>0.11578008071548807</v>
      </c>
      <c r="EK214" s="2957"/>
      <c r="EL214" s="127">
        <f>EL212/EJ212-1</f>
        <v>-0.10332981933185503</v>
      </c>
      <c r="EM214" s="127">
        <f>EM212/EL212-1</f>
        <v>6.9486955992945854E-2</v>
      </c>
      <c r="EN214" s="127">
        <f>EN212/EM212-1</f>
        <v>5.5362862720570227E-2</v>
      </c>
      <c r="EO214" s="127">
        <f>EO212/EN212-1</f>
        <v>0.11254270431467828</v>
      </c>
      <c r="EP214" s="2957"/>
      <c r="EQ214" s="127">
        <f>EQ212/EO212-1</f>
        <v>-0.10886344785231028</v>
      </c>
      <c r="ER214" s="127">
        <f>ER212/EQ212-1</f>
        <v>4.8471189354465816E-2</v>
      </c>
      <c r="ES214" s="127">
        <f>ES212/ER212-1</f>
        <v>6.4995862071687061E-2</v>
      </c>
      <c r="ET214" s="127">
        <f>ET212/ES212-1</f>
        <v>0.11100427594757778</v>
      </c>
      <c r="EU214" s="2957"/>
      <c r="EV214" s="2957"/>
      <c r="EW214" s="2957"/>
      <c r="EX214" s="2957"/>
      <c r="EY214" s="2957"/>
      <c r="EZ214" s="2618"/>
      <c r="FA214" s="4276"/>
      <c r="FB214" s="4276"/>
      <c r="FC214" s="4276"/>
      <c r="FD214" s="4276"/>
      <c r="FE214" s="4276"/>
      <c r="FF214" s="4276"/>
      <c r="FG214" s="4276"/>
      <c r="FH214" s="4276"/>
      <c r="FI214" s="4276"/>
      <c r="FJ214" s="4276"/>
      <c r="FK214" s="4276"/>
      <c r="FL214" s="4276"/>
    </row>
    <row r="215" spans="1:168" s="1280" customFormat="1" ht="11.25" hidden="1" customHeight="1" outlineLevel="1">
      <c r="A215" s="3785" t="s">
        <v>704</v>
      </c>
      <c r="B215" s="2923"/>
      <c r="C215" s="2923"/>
      <c r="D215" s="2923"/>
      <c r="E215" s="2924"/>
      <c r="F215" s="2959"/>
      <c r="G215" s="2923"/>
      <c r="H215" s="2923"/>
      <c r="I215" s="2923"/>
      <c r="J215" s="2924"/>
      <c r="K215" s="2959"/>
      <c r="L215" s="2923"/>
      <c r="M215" s="2923"/>
      <c r="N215" s="2923"/>
      <c r="O215" s="2924"/>
      <c r="P215" s="2959"/>
      <c r="Q215" s="2923"/>
      <c r="R215" s="2923"/>
      <c r="S215" s="2923"/>
      <c r="T215" s="2924"/>
      <c r="U215" s="2959"/>
      <c r="V215" s="2922"/>
      <c r="W215" s="2923"/>
      <c r="X215" s="2923"/>
      <c r="Y215" s="2924"/>
      <c r="Z215" s="2959"/>
      <c r="AA215" s="2922"/>
      <c r="AB215" s="2923"/>
      <c r="AC215" s="2923"/>
      <c r="AD215" s="2924"/>
      <c r="AE215" s="2959"/>
      <c r="AF215" s="2922"/>
      <c r="AG215" s="2923"/>
      <c r="AH215" s="2923"/>
      <c r="AI215" s="2924"/>
      <c r="AJ215" s="2959"/>
      <c r="AK215" s="2923"/>
      <c r="AL215" s="2923"/>
      <c r="AM215" s="2923"/>
      <c r="AN215" s="2924"/>
      <c r="AO215" s="2959"/>
      <c r="AP215" s="2923"/>
      <c r="AQ215" s="2923"/>
      <c r="AR215" s="2923"/>
      <c r="AS215" s="2924"/>
      <c r="AT215" s="2959"/>
      <c r="AU215" s="2923"/>
      <c r="AV215" s="2923"/>
      <c r="AW215" s="2923"/>
      <c r="AX215" s="2924"/>
      <c r="AY215" s="2959"/>
      <c r="AZ215" s="2923"/>
      <c r="BA215" s="2923"/>
      <c r="BB215" s="2923"/>
      <c r="BC215" s="2924"/>
      <c r="BD215" s="2959"/>
      <c r="BE215" s="2923"/>
      <c r="BF215" s="2923"/>
      <c r="BG215" s="2923"/>
      <c r="BH215" s="2924"/>
      <c r="BI215" s="2959"/>
      <c r="BJ215" s="2923"/>
      <c r="BK215" s="2923"/>
      <c r="BL215" s="2923"/>
      <c r="BM215" s="2923"/>
      <c r="BN215" s="2960"/>
      <c r="BO215" s="2923"/>
      <c r="BP215" s="2923"/>
      <c r="BQ215" s="2923"/>
      <c r="BR215" s="2924"/>
      <c r="BS215" s="2959"/>
      <c r="BT215" s="2923"/>
      <c r="BU215" s="2923"/>
      <c r="BV215" s="2923"/>
      <c r="BW215" s="2923"/>
      <c r="BX215" s="2960"/>
      <c r="BY215" s="2923"/>
      <c r="BZ215" s="2923"/>
      <c r="CA215" s="2923"/>
      <c r="CB215" s="2923"/>
      <c r="CC215" s="2960"/>
      <c r="CD215" s="2923">
        <f>CD212/CH212</f>
        <v>0.23143721633888048</v>
      </c>
      <c r="CE215" s="2923">
        <f>CE212/CH212</f>
        <v>0.23809379727685326</v>
      </c>
      <c r="CF215" s="2923">
        <f>CF212/CH212</f>
        <v>0.2469894099848714</v>
      </c>
      <c r="CG215" s="2923">
        <f>CG212/CH212</f>
        <v>0.28347957639939486</v>
      </c>
      <c r="CH215" s="2960">
        <f>SUM(CD215:CG215)</f>
        <v>1</v>
      </c>
      <c r="CI215" s="2923">
        <f>CI212/CM212</f>
        <v>0.2324601620777676</v>
      </c>
      <c r="CJ215" s="2923">
        <f>CJ212/CM212</f>
        <v>0.24133230898862482</v>
      </c>
      <c r="CK215" s="2923">
        <f>CK212/CM212</f>
        <v>0.24775098510569751</v>
      </c>
      <c r="CL215" s="2923">
        <f>CL212/CM212</f>
        <v>0.27845654382791007</v>
      </c>
      <c r="CM215" s="2960">
        <f>SUM(CI215:CL215)</f>
        <v>1</v>
      </c>
      <c r="CN215" s="2923">
        <f>CN212/CR212</f>
        <v>0.22994510945043317</v>
      </c>
      <c r="CO215" s="2923">
        <f>CO212/CR212</f>
        <v>0.23225977117915481</v>
      </c>
      <c r="CP215" s="2923">
        <f>CP212/CR212</f>
        <v>0.24881511363886868</v>
      </c>
      <c r="CQ215" s="2923">
        <f>CQ212/CR212</f>
        <v>0.28898000573154331</v>
      </c>
      <c r="CR215" s="2960">
        <f>SUM(CN215:CQ215)</f>
        <v>1</v>
      </c>
      <c r="CS215" s="2923">
        <f>CS212/CW212</f>
        <v>0.22435718408460406</v>
      </c>
      <c r="CT215" s="2923">
        <f>CT212/CW212</f>
        <v>0.23346180342214526</v>
      </c>
      <c r="CU215" s="2923">
        <f>CU212/CW212</f>
        <v>0.24629019344988737</v>
      </c>
      <c r="CV215" s="2923">
        <f>CV212/CW212</f>
        <v>0.29589081904336328</v>
      </c>
      <c r="CW215" s="2960">
        <f>SUM(CS215:CV215)</f>
        <v>1</v>
      </c>
      <c r="CX215" s="2923">
        <f>CX212/DB212</f>
        <v>0.21772362308731208</v>
      </c>
      <c r="CY215" s="2923">
        <f>CY212/DB212</f>
        <v>0.23024978108906335</v>
      </c>
      <c r="CZ215" s="2923">
        <f>CZ212/DB212</f>
        <v>0.24353285148191572</v>
      </c>
      <c r="DA215" s="2923">
        <f>DA212/DB212</f>
        <v>0.30849374434170884</v>
      </c>
      <c r="DB215" s="2960">
        <f>SUM(CX215:DA215)</f>
        <v>1</v>
      </c>
      <c r="DC215" s="2923">
        <f>DC212/DG212</f>
        <v>0.22216785497926278</v>
      </c>
      <c r="DD215" s="2923">
        <f>DD212/DG212</f>
        <v>0.23316557155505849</v>
      </c>
      <c r="DE215" s="2923">
        <f>DE212/DG212</f>
        <v>0.23917703527657394</v>
      </c>
      <c r="DF215" s="2923">
        <f>DF212/DG212</f>
        <v>0.30548953818910479</v>
      </c>
      <c r="DG215" s="2960">
        <f>SUM(DC215:DF215)</f>
        <v>1</v>
      </c>
      <c r="DH215" s="2923">
        <f>DH212/DL212</f>
        <v>0.21916906941192407</v>
      </c>
      <c r="DI215" s="2923">
        <f>DI212/DL212</f>
        <v>0.23388548096832246</v>
      </c>
      <c r="DJ215" s="2923">
        <f>DJ212/DL212</f>
        <v>0.24941463320239177</v>
      </c>
      <c r="DK215" s="2923">
        <f>DK212/DL212</f>
        <v>0.29753081641736168</v>
      </c>
      <c r="DL215" s="2960">
        <f>SUM(DH215:DK215)</f>
        <v>1</v>
      </c>
      <c r="DM215" s="2923">
        <f>DM212/DQ212</f>
        <v>0.23455045151158224</v>
      </c>
      <c r="DN215" s="2923">
        <f>DN212/DQ212</f>
        <v>0.21939536709854732</v>
      </c>
      <c r="DO215" s="2923">
        <f>DO212/DQ212</f>
        <v>0.24680015704750688</v>
      </c>
      <c r="DP215" s="2923">
        <f>DP212/DQ212</f>
        <v>0.29925402434236359</v>
      </c>
      <c r="DQ215" s="2960">
        <f>SUM(DM215:DP215)</f>
        <v>1</v>
      </c>
      <c r="DR215" s="2923">
        <f>DR212/DV212</f>
        <v>0.21428004182494409</v>
      </c>
      <c r="DS215" s="2923">
        <f>DS212/DV212</f>
        <v>0.23672785991290882</v>
      </c>
      <c r="DT215" s="2923">
        <f>DT212/DV212</f>
        <v>0.24425899699548662</v>
      </c>
      <c r="DU215" s="2923">
        <f>DU212/DV212</f>
        <v>0.30473310126666048</v>
      </c>
      <c r="DV215" s="2960">
        <f>SUM(DR215:DU215)</f>
        <v>1</v>
      </c>
      <c r="DW215" s="2923">
        <f>DW212/EA212</f>
        <v>0.22947355012043727</v>
      </c>
      <c r="DX215" s="2923">
        <f>DX212/EA212</f>
        <v>0.24059083750231611</v>
      </c>
      <c r="DY215" s="2923">
        <f>DY212/EA212</f>
        <v>0.24860454882342042</v>
      </c>
      <c r="DZ215" s="2923">
        <f>DZ212/EA212</f>
        <v>0.2813310635538262</v>
      </c>
      <c r="EA215" s="2960">
        <f>SUM(DW215:DZ215)</f>
        <v>1</v>
      </c>
      <c r="EB215" s="2923">
        <f>EB212/EF212</f>
        <v>0.24066440083324198</v>
      </c>
      <c r="EC215" s="2923">
        <f>EC212/EF212</f>
        <v>0.23898147132989803</v>
      </c>
      <c r="ED215" s="2923">
        <f>ED212/EF212</f>
        <v>0.25110733472206997</v>
      </c>
      <c r="EE215" s="2923">
        <f>EE212/EF212</f>
        <v>0.29403574169498958</v>
      </c>
      <c r="EF215" s="2960">
        <f>SUM(EB215:EE215)</f>
        <v>1.0247889485801998</v>
      </c>
      <c r="EG215" s="2923">
        <f>EG212/EK212</f>
        <v>0.23097423449391893</v>
      </c>
      <c r="EH215" s="2923">
        <f>EH212/EK212</f>
        <v>0.2414422614983944</v>
      </c>
      <c r="EI215" s="2923">
        <f>EI212/EK212</f>
        <v>0.24935649447520797</v>
      </c>
      <c r="EJ215" s="2923">
        <f>EJ212/EK212</f>
        <v>0.2782270095324787</v>
      </c>
      <c r="EK215" s="2960">
        <f>SUM(EG215:EJ215)</f>
        <v>1</v>
      </c>
      <c r="EL215" s="2923">
        <f>EL212/EP212</f>
        <v>0.22452196685076109</v>
      </c>
      <c r="EM215" s="2923">
        <f>EM212/EP212</f>
        <v>0.24012331488076957</v>
      </c>
      <c r="EN215" s="2923">
        <f>EN212/EP212</f>
        <v>0.25341722899852187</v>
      </c>
      <c r="EO215" s="2923">
        <f>EO212/EP212</f>
        <v>0.28193748926994761</v>
      </c>
      <c r="EP215" s="2960">
        <f>SUM(EL215:EO215)</f>
        <v>1</v>
      </c>
      <c r="EQ215" s="2923">
        <f>EQ212/EU212</f>
        <v>0.22698098137686476</v>
      </c>
      <c r="ER215" s="2923">
        <f>ER212/EU212</f>
        <v>0.23798301950504522</v>
      </c>
      <c r="ES215" s="2923">
        <f>ES212/EU212</f>
        <v>0.25345093101619875</v>
      </c>
      <c r="ET215" s="2923">
        <f>ET212/EU212</f>
        <v>0.28158506810189138</v>
      </c>
      <c r="EU215" s="2960">
        <f>SUM(EQ215:ET215)</f>
        <v>1.0000000000000002</v>
      </c>
      <c r="EV215" s="2960"/>
      <c r="EW215" s="2960"/>
      <c r="EX215" s="2960"/>
      <c r="EY215" s="2960"/>
      <c r="EZ215" s="2618"/>
      <c r="FA215" s="1319"/>
      <c r="FB215" s="1319"/>
      <c r="FC215" s="1319"/>
      <c r="FD215" s="1319"/>
      <c r="FE215" s="1319"/>
      <c r="FF215" s="1319"/>
      <c r="FG215" s="1319"/>
      <c r="FH215" s="1319"/>
      <c r="FI215" s="1319"/>
      <c r="FJ215" s="1319"/>
      <c r="FK215" s="1319"/>
      <c r="FL215" s="1319"/>
    </row>
    <row r="216" spans="1:168" ht="11.25" hidden="1" customHeight="1" outlineLevel="1">
      <c r="A216" s="521"/>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c r="BQ216" s="35"/>
      <c r="BR216" s="35"/>
      <c r="BS216" s="35"/>
      <c r="BT216" s="35"/>
      <c r="BU216" s="35"/>
      <c r="BV216" s="35"/>
      <c r="BW216" s="35"/>
      <c r="BX216" s="35"/>
      <c r="BY216" s="35"/>
      <c r="BZ216" s="35"/>
      <c r="CA216" s="35"/>
      <c r="CB216" s="35"/>
      <c r="CC216" s="35"/>
      <c r="CD216" s="35"/>
      <c r="CN216" s="32"/>
      <c r="CO216" s="32"/>
      <c r="CP216" s="32"/>
      <c r="CQ216" s="32"/>
      <c r="CX216" s="233"/>
      <c r="CY216" s="233"/>
      <c r="CZ216" s="233"/>
      <c r="DA216" s="233"/>
      <c r="DB216" s="233"/>
      <c r="DC216" s="233"/>
      <c r="DD216" s="233"/>
      <c r="DE216" s="233"/>
      <c r="DF216" s="233"/>
      <c r="DH216" s="247"/>
      <c r="DI216" s="247"/>
      <c r="DJ216" s="247"/>
      <c r="DK216" s="247"/>
      <c r="DM216" s="247"/>
      <c r="DN216" s="247"/>
      <c r="DO216" s="247"/>
      <c r="DP216" s="247"/>
      <c r="DR216" s="247"/>
      <c r="DS216" s="247"/>
      <c r="DT216" s="247"/>
      <c r="DU216" s="247"/>
      <c r="DW216" s="247"/>
      <c r="DX216" s="247"/>
      <c r="DY216" s="247"/>
      <c r="DZ216" s="247"/>
      <c r="EB216" s="247"/>
      <c r="EC216" s="247"/>
      <c r="ED216" s="247"/>
      <c r="EE216" s="247"/>
      <c r="EG216" s="247"/>
      <c r="EH216" s="247"/>
      <c r="EI216" s="247"/>
      <c r="EJ216" s="247"/>
      <c r="EL216" s="247"/>
      <c r="EM216" s="247"/>
      <c r="EN216" s="247"/>
      <c r="EO216" s="247"/>
      <c r="EQ216" s="247"/>
      <c r="ER216" s="247"/>
      <c r="ES216" s="247"/>
      <c r="ET216" s="247"/>
      <c r="EZ216" s="129"/>
      <c r="FA216" s="1319"/>
      <c r="FB216" s="1319"/>
      <c r="FC216" s="1319"/>
      <c r="FD216" s="1319"/>
      <c r="FE216" s="1319"/>
      <c r="FF216" s="1319"/>
      <c r="FG216" s="1319"/>
      <c r="FH216" s="1319"/>
      <c r="FI216" s="1319"/>
      <c r="FJ216" s="1319"/>
      <c r="FK216" s="1319"/>
      <c r="FL216" s="1319"/>
    </row>
    <row r="217" spans="1:168" ht="11.25" hidden="1" customHeight="1" outlineLevel="1">
      <c r="A217" s="3724" t="s">
        <v>776</v>
      </c>
      <c r="B217" s="3596"/>
      <c r="C217" s="3596"/>
      <c r="D217" s="3596"/>
      <c r="E217" s="3596"/>
      <c r="F217" s="3596"/>
      <c r="G217" s="3596"/>
      <c r="H217" s="3596"/>
      <c r="I217" s="3596"/>
      <c r="J217" s="3596"/>
      <c r="K217" s="3596"/>
      <c r="L217" s="3596"/>
      <c r="M217" s="3596"/>
      <c r="N217" s="3596"/>
      <c r="O217" s="3596"/>
      <c r="P217" s="3596"/>
      <c r="Q217" s="3596"/>
      <c r="R217" s="3596"/>
      <c r="S217" s="3596"/>
      <c r="T217" s="3596"/>
      <c r="U217" s="3596"/>
      <c r="V217" s="3596"/>
      <c r="W217" s="3596"/>
      <c r="X217" s="3596"/>
      <c r="Y217" s="3596"/>
      <c r="Z217" s="3596"/>
      <c r="AA217" s="3596"/>
      <c r="AB217" s="3596"/>
      <c r="AC217" s="3596"/>
      <c r="AD217" s="3596"/>
      <c r="AE217" s="3596"/>
      <c r="AF217" s="3596"/>
      <c r="AG217" s="3596"/>
      <c r="AH217" s="3596"/>
      <c r="AI217" s="3596"/>
      <c r="AJ217" s="3596"/>
      <c r="AK217" s="3596"/>
      <c r="AL217" s="3596"/>
      <c r="AM217" s="3596"/>
      <c r="AN217" s="3596"/>
      <c r="AO217" s="3596"/>
      <c r="AP217" s="3596"/>
      <c r="AQ217" s="3596"/>
      <c r="AR217" s="3596"/>
      <c r="AS217" s="3596"/>
      <c r="AT217" s="3596"/>
      <c r="AU217" s="3596"/>
      <c r="AV217" s="3596"/>
      <c r="AW217" s="3596"/>
      <c r="AX217" s="3596"/>
      <c r="AY217" s="3596"/>
      <c r="AZ217" s="3596"/>
      <c r="BA217" s="3596"/>
      <c r="BB217" s="3596"/>
      <c r="BC217" s="3596"/>
      <c r="BD217" s="3596"/>
      <c r="BE217" s="3596"/>
      <c r="BF217" s="3596"/>
      <c r="BG217" s="3596"/>
      <c r="BH217" s="3596"/>
      <c r="BI217" s="3596"/>
      <c r="BJ217" s="3596"/>
      <c r="BK217" s="3596"/>
      <c r="BL217" s="3596"/>
      <c r="BM217" s="3596"/>
      <c r="BN217" s="3596"/>
      <c r="BO217" s="3596"/>
      <c r="BP217" s="3596"/>
      <c r="BQ217" s="3596"/>
      <c r="BR217" s="3596"/>
      <c r="BS217" s="3596"/>
      <c r="BT217" s="3596"/>
      <c r="BU217" s="3596"/>
      <c r="BV217" s="3596"/>
      <c r="BW217" s="3596"/>
      <c r="BX217" s="3596"/>
      <c r="BY217" s="3596"/>
      <c r="BZ217" s="3596"/>
      <c r="CA217" s="3596"/>
      <c r="CB217" s="3596"/>
      <c r="CC217" s="3596"/>
      <c r="CD217" s="3596"/>
      <c r="CE217" s="3596"/>
      <c r="CF217" s="3596"/>
      <c r="CG217" s="3596"/>
      <c r="CH217" s="3596"/>
      <c r="CI217" s="3596"/>
      <c r="CJ217" s="3596"/>
      <c r="CK217" s="3596"/>
      <c r="CL217" s="3596"/>
      <c r="CM217" s="3596"/>
      <c r="CN217" s="3596"/>
      <c r="CO217" s="3596"/>
      <c r="CP217" s="3596"/>
      <c r="CQ217" s="3596"/>
      <c r="CR217" s="3612">
        <f t="shared" ref="CR217:CX217" si="936">CR34</f>
        <v>0.16812207012365782</v>
      </c>
      <c r="CS217" s="3612">
        <f t="shared" si="936"/>
        <v>0.17976213686878534</v>
      </c>
      <c r="CT217" s="3612">
        <f t="shared" si="936"/>
        <v>0.20297434221277988</v>
      </c>
      <c r="CU217" s="3612">
        <f t="shared" si="936"/>
        <v>0.16277915632754342</v>
      </c>
      <c r="CV217" s="3612">
        <f t="shared" si="936"/>
        <v>0.22225463030479803</v>
      </c>
      <c r="CW217" s="3613">
        <f t="shared" si="936"/>
        <v>0.19345755693581781</v>
      </c>
      <c r="CX217" s="3612">
        <f t="shared" si="936"/>
        <v>0.20428215280832968</v>
      </c>
      <c r="CY217" s="3614">
        <f>CY33/(CY32+CY25)</f>
        <v>0.11992127091241389</v>
      </c>
      <c r="CZ217" s="3612">
        <f>CZ34</f>
        <v>0.15628524877804237</v>
      </c>
      <c r="DA217" s="3612">
        <f>DA34</f>
        <v>1.3766525318034422</v>
      </c>
      <c r="DB217" s="3611">
        <f>(DB33-9900)/(DB32+DB25)</f>
        <v>0.15473286778709613</v>
      </c>
      <c r="DC217" s="3615">
        <f>DC233</f>
        <v>6.3264725410224792E-2</v>
      </c>
      <c r="DD217" s="3614">
        <f>DD232/(DD32+5071)</f>
        <v>9.1212578074520781E-2</v>
      </c>
      <c r="DE217" s="3610">
        <f>DE34</f>
        <v>8.8366557572151144E-2</v>
      </c>
      <c r="DF217" s="3610">
        <f>DF34</f>
        <v>0.11159650516282764</v>
      </c>
      <c r="DG217" s="3611">
        <f>SUM(DC232:DD232,DE33:DF33)/(SUM(DC227:DD227,DE32:DF32)+5070)</f>
        <v>8.8262511567416158E-2</v>
      </c>
      <c r="DH217" s="3610">
        <f t="shared" ref="DH217:EX217" si="937">DH34</f>
        <v>0.18278909894426712</v>
      </c>
      <c r="DI217" s="3610">
        <f t="shared" si="937"/>
        <v>0.18111467852144564</v>
      </c>
      <c r="DJ217" s="3610">
        <f t="shared" si="937"/>
        <v>0.1808066759388039</v>
      </c>
      <c r="DK217" s="3610">
        <f t="shared" si="937"/>
        <v>3.0829596412556052E-3</v>
      </c>
      <c r="DL217" s="3616">
        <f t="shared" si="937"/>
        <v>0.13329968454258675</v>
      </c>
      <c r="DM217" s="3610">
        <f t="shared" si="937"/>
        <v>0.11873146835116669</v>
      </c>
      <c r="DN217" s="3610">
        <f t="shared" si="937"/>
        <v>0.15923643832306392</v>
      </c>
      <c r="DO217" s="3610">
        <f t="shared" si="937"/>
        <v>0.15809566584325174</v>
      </c>
      <c r="DP217" s="3610">
        <f t="shared" si="937"/>
        <v>0.18524265610787094</v>
      </c>
      <c r="DQ217" s="3616">
        <f t="shared" si="937"/>
        <v>0.16249324071378063</v>
      </c>
      <c r="DR217" s="3610">
        <f t="shared" si="937"/>
        <v>0.15754357938260583</v>
      </c>
      <c r="DS217" s="3610">
        <f t="shared" si="937"/>
        <v>0.15738003183989083</v>
      </c>
      <c r="DT217" s="3610">
        <f t="shared" si="937"/>
        <v>0.17898022892819979</v>
      </c>
      <c r="DU217" s="3610">
        <f t="shared" si="937"/>
        <v>0.15408573067781328</v>
      </c>
      <c r="DV217" s="3616">
        <f t="shared" si="937"/>
        <v>0.16202305640663919</v>
      </c>
      <c r="DW217" s="3610">
        <f t="shared" si="937"/>
        <v>0.13193197422625963</v>
      </c>
      <c r="DX217" s="3610">
        <f t="shared" si="937"/>
        <v>0.15840959293152415</v>
      </c>
      <c r="DY217" s="3610">
        <f t="shared" si="937"/>
        <v>0.14310355448777182</v>
      </c>
      <c r="DZ217" s="3610">
        <f t="shared" si="937"/>
        <v>0.20545868081880211</v>
      </c>
      <c r="EA217" s="3616">
        <f t="shared" si="937"/>
        <v>0.1592081650964558</v>
      </c>
      <c r="EB217" s="3610">
        <f t="shared" si="937"/>
        <v>0.17324910738808019</v>
      </c>
      <c r="EC217" s="3610">
        <f t="shared" si="937"/>
        <v>0.16139341642697347</v>
      </c>
      <c r="ED217" s="3610">
        <f t="shared" si="937"/>
        <v>7.1142142756050381E-2</v>
      </c>
      <c r="EE217" s="3610">
        <f t="shared" si="937"/>
        <v>0.15258889070948714</v>
      </c>
      <c r="EF217" s="3616">
        <f t="shared" si="937"/>
        <v>0.13908559562280529</v>
      </c>
      <c r="EG217" s="3610">
        <f t="shared" si="937"/>
        <v>0.16432986049796927</v>
      </c>
      <c r="EH217" s="3610">
        <f t="shared" si="937"/>
        <v>0.14271714275343908</v>
      </c>
      <c r="EI217" s="3610">
        <f t="shared" si="937"/>
        <v>0.17047246577934777</v>
      </c>
      <c r="EJ217" s="3610">
        <f t="shared" si="937"/>
        <v>0.17699965884067859</v>
      </c>
      <c r="EK217" s="3616">
        <f t="shared" si="937"/>
        <v>0.16439510912657013</v>
      </c>
      <c r="EL217" s="3610">
        <f t="shared" si="937"/>
        <v>0.173466701763622</v>
      </c>
      <c r="EM217" s="3610">
        <f t="shared" si="937"/>
        <v>0.16906845843279403</v>
      </c>
      <c r="EN217" s="3610">
        <f t="shared" ref="EN217" si="938">EN34</f>
        <v>0.20478777820719757</v>
      </c>
      <c r="EO217" s="3610">
        <f t="shared" si="937"/>
        <v>0.17</v>
      </c>
      <c r="EP217" s="3616">
        <f t="shared" ca="1" si="937"/>
        <v>0.18040176612341971</v>
      </c>
      <c r="EQ217" s="3610">
        <f t="shared" ref="EQ217:EU217" si="939">EQ34</f>
        <v>0.17</v>
      </c>
      <c r="ER217" s="3610">
        <f t="shared" si="939"/>
        <v>0.17</v>
      </c>
      <c r="ES217" s="3610">
        <f t="shared" si="939"/>
        <v>0.17</v>
      </c>
      <c r="ET217" s="3610">
        <f t="shared" si="939"/>
        <v>0.17</v>
      </c>
      <c r="EU217" s="3616">
        <f t="shared" ca="1" si="939"/>
        <v>0.16999999999999998</v>
      </c>
      <c r="EV217" s="3616">
        <f t="shared" si="937"/>
        <v>0.17</v>
      </c>
      <c r="EW217" s="3616">
        <f t="shared" si="937"/>
        <v>0.17</v>
      </c>
      <c r="EX217" s="3616">
        <f t="shared" si="937"/>
        <v>0.17</v>
      </c>
      <c r="EY217" s="3616">
        <f t="shared" ref="EY217" si="940">EY34</f>
        <v>0.17</v>
      </c>
      <c r="EZ217" s="129"/>
      <c r="FA217" s="1319"/>
      <c r="FB217" s="1319"/>
      <c r="FC217" s="1319"/>
      <c r="FD217" s="1319"/>
      <c r="FE217" s="1319"/>
      <c r="FF217" s="1319"/>
      <c r="FG217" s="1319"/>
      <c r="FH217" s="1319"/>
      <c r="FI217" s="1319"/>
      <c r="FJ217" s="1319"/>
      <c r="FK217" s="1319"/>
      <c r="FL217" s="1319"/>
    </row>
    <row r="218" spans="1:168" ht="11.25" hidden="1" customHeight="1" outlineLevel="1">
      <c r="A218" s="3786"/>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c r="BS218" s="35"/>
      <c r="BT218" s="35"/>
      <c r="BU218" s="35"/>
      <c r="BV218" s="35"/>
      <c r="BW218" s="35"/>
      <c r="BX218" s="35"/>
      <c r="BY218" s="35"/>
      <c r="BZ218" s="35"/>
      <c r="CA218" s="35"/>
      <c r="CB218" s="35"/>
      <c r="CC218" s="35"/>
      <c r="CD218" s="35"/>
      <c r="CE218" s="35"/>
      <c r="CF218" s="35"/>
      <c r="CG218" s="35"/>
      <c r="CH218" s="35"/>
      <c r="CI218" s="31"/>
      <c r="CJ218" s="31"/>
      <c r="CK218" s="31"/>
      <c r="CL218" s="31"/>
      <c r="CM218" s="35"/>
      <c r="CN218" s="31"/>
      <c r="CO218" s="31"/>
      <c r="CP218" s="31"/>
      <c r="CQ218" s="31"/>
      <c r="CR218" s="35"/>
      <c r="CS218" s="35"/>
      <c r="CT218" s="35"/>
      <c r="CU218" s="35"/>
      <c r="CV218" s="35"/>
      <c r="CW218" s="35"/>
      <c r="CX218" s="35"/>
      <c r="CY218" s="31"/>
      <c r="CZ218" s="31"/>
      <c r="DA218" s="35"/>
      <c r="DB218" s="35"/>
      <c r="DC218" s="285"/>
      <c r="DD218" s="285"/>
      <c r="DE218" s="31"/>
      <c r="DF218" s="35"/>
      <c r="DG218" s="35"/>
      <c r="DH218" s="31"/>
      <c r="DI218" s="31"/>
      <c r="DJ218" s="31"/>
      <c r="DK218" s="31"/>
      <c r="DL218" s="35"/>
      <c r="DM218" s="31"/>
      <c r="DN218" s="31"/>
      <c r="DO218" s="31"/>
      <c r="DP218" s="31"/>
      <c r="DQ218" s="35"/>
      <c r="DR218" s="31"/>
      <c r="DS218" s="31"/>
      <c r="DT218" s="31"/>
      <c r="DU218" s="31"/>
      <c r="DV218" s="35"/>
      <c r="DW218" s="31"/>
      <c r="DX218" s="31"/>
      <c r="DY218" s="31"/>
      <c r="DZ218" s="31"/>
      <c r="EA218" s="35"/>
      <c r="EB218" s="31"/>
      <c r="EC218" s="31"/>
      <c r="ED218" s="31"/>
      <c r="EE218" s="31"/>
      <c r="EF218" s="35"/>
      <c r="EG218" s="31"/>
      <c r="EH218" s="31"/>
      <c r="EI218" s="31"/>
      <c r="EJ218" s="31"/>
      <c r="EK218" s="35"/>
      <c r="EL218" s="31"/>
      <c r="EM218" s="31"/>
      <c r="EN218" s="31"/>
      <c r="EO218" s="31"/>
      <c r="EP218" s="35"/>
      <c r="EQ218" s="31"/>
      <c r="ER218" s="31"/>
      <c r="ES218" s="31"/>
      <c r="ET218" s="31"/>
      <c r="EU218" s="35"/>
      <c r="EV218" s="35"/>
      <c r="EW218" s="35"/>
      <c r="EX218" s="35"/>
      <c r="EY218" s="35"/>
      <c r="EZ218" s="129"/>
      <c r="FA218" s="1319"/>
      <c r="FB218" s="1319"/>
      <c r="FC218" s="1319"/>
      <c r="FD218" s="1319"/>
      <c r="FE218" s="1319"/>
      <c r="FF218" s="1319"/>
      <c r="FG218" s="1319"/>
      <c r="FH218" s="1319"/>
      <c r="FI218" s="1319"/>
      <c r="FJ218" s="1319"/>
      <c r="FK218" s="1319"/>
      <c r="FL218" s="1319"/>
    </row>
    <row r="219" spans="1:168" ht="11.25" customHeight="1" collapsed="1">
      <c r="A219" s="3932" t="s">
        <v>740</v>
      </c>
      <c r="B219" s="2524"/>
      <c r="C219" s="2524"/>
      <c r="D219" s="2524"/>
      <c r="E219" s="2524"/>
      <c r="F219" s="2524"/>
      <c r="G219" s="2524"/>
      <c r="H219" s="2524"/>
      <c r="I219" s="2524"/>
      <c r="J219" s="2524"/>
      <c r="K219" s="2524"/>
      <c r="L219" s="2524"/>
      <c r="M219" s="2524"/>
      <c r="N219" s="2524"/>
      <c r="O219" s="2524"/>
      <c r="P219" s="2524"/>
      <c r="Q219" s="2524"/>
      <c r="R219" s="2524"/>
      <c r="S219" s="2524"/>
      <c r="T219" s="2524"/>
      <c r="U219" s="2524"/>
      <c r="V219" s="2524"/>
      <c r="W219" s="2524"/>
      <c r="X219" s="2524"/>
      <c r="Y219" s="2524"/>
      <c r="Z219" s="2524"/>
      <c r="AA219" s="2524"/>
      <c r="AB219" s="2524"/>
      <c r="AC219" s="2524"/>
      <c r="AD219" s="2524"/>
      <c r="AE219" s="2524"/>
      <c r="AF219" s="2524"/>
      <c r="AG219" s="2524"/>
      <c r="AH219" s="2524"/>
      <c r="AI219" s="2524"/>
      <c r="AJ219" s="2524"/>
      <c r="AK219" s="2524"/>
      <c r="AL219" s="2524"/>
      <c r="AM219" s="2524"/>
      <c r="AN219" s="2524"/>
      <c r="AO219" s="2524"/>
      <c r="AP219" s="2524"/>
      <c r="AQ219" s="2524"/>
      <c r="AR219" s="2524"/>
      <c r="AS219" s="2524"/>
      <c r="AT219" s="2524"/>
      <c r="AU219" s="2524"/>
      <c r="AV219" s="2524"/>
      <c r="AW219" s="2524"/>
      <c r="AX219" s="2524"/>
      <c r="AY219" s="2524"/>
      <c r="AZ219" s="2524"/>
      <c r="BA219" s="2524"/>
      <c r="BB219" s="2524"/>
      <c r="BC219" s="2524"/>
      <c r="BD219" s="2524"/>
      <c r="BE219" s="2524"/>
      <c r="BF219" s="2524"/>
      <c r="BG219" s="2524"/>
      <c r="BH219" s="2524"/>
      <c r="BI219" s="2524"/>
      <c r="BJ219" s="2524"/>
      <c r="BK219" s="2524"/>
      <c r="BL219" s="2524"/>
      <c r="BM219" s="2524"/>
      <c r="BN219" s="2524"/>
      <c r="BO219" s="2524"/>
      <c r="BP219" s="2524"/>
      <c r="BQ219" s="2524"/>
      <c r="BR219" s="2524"/>
      <c r="BS219" s="2524"/>
      <c r="BT219" s="2524"/>
      <c r="BU219" s="2524"/>
      <c r="BV219" s="2524"/>
      <c r="BW219" s="2524"/>
      <c r="BX219" s="2524"/>
      <c r="BY219" s="2524"/>
      <c r="BZ219" s="2524"/>
      <c r="CA219" s="2524"/>
      <c r="CB219" s="2524"/>
      <c r="CC219" s="2524"/>
      <c r="CD219" s="2524"/>
      <c r="CE219" s="2524"/>
      <c r="CF219" s="2524"/>
      <c r="CG219" s="2524"/>
      <c r="CH219" s="2524"/>
      <c r="CI219" s="2525"/>
      <c r="CJ219" s="2525"/>
      <c r="CK219" s="2525"/>
      <c r="CL219" s="2525"/>
      <c r="CM219" s="2524"/>
      <c r="CN219" s="2525"/>
      <c r="CO219" s="2525"/>
      <c r="CP219" s="2525"/>
      <c r="CQ219" s="2525"/>
      <c r="CR219" s="2524"/>
      <c r="CS219" s="2524"/>
      <c r="CT219" s="2524"/>
      <c r="CU219" s="2524"/>
      <c r="CV219" s="2524"/>
      <c r="CW219" s="2524"/>
      <c r="CX219" s="2524"/>
      <c r="CY219" s="2525"/>
      <c r="CZ219" s="2525"/>
      <c r="DA219" s="2524"/>
      <c r="DB219" s="2524"/>
      <c r="DC219" s="3933"/>
      <c r="DD219" s="3933"/>
      <c r="DE219" s="2525"/>
      <c r="DF219" s="2524"/>
      <c r="DG219" s="2524"/>
      <c r="DH219" s="2525"/>
      <c r="DI219" s="2525"/>
      <c r="DJ219" s="2525"/>
      <c r="DK219" s="2525"/>
      <c r="DL219" s="2524"/>
      <c r="DM219" s="2525"/>
      <c r="DN219" s="2525"/>
      <c r="DO219" s="2525"/>
      <c r="DP219" s="2525"/>
      <c r="DQ219" s="2524"/>
      <c r="DR219" s="2525"/>
      <c r="DS219" s="2525"/>
      <c r="DT219" s="2525"/>
      <c r="DU219" s="2525"/>
      <c r="DV219" s="2524"/>
      <c r="DW219" s="2525"/>
      <c r="DX219" s="2525"/>
      <c r="DY219" s="2525"/>
      <c r="DZ219" s="2525"/>
      <c r="EA219" s="2524"/>
      <c r="EB219" s="2525"/>
      <c r="EC219" s="2525"/>
      <c r="ED219" s="2525"/>
      <c r="EE219" s="2525"/>
      <c r="EF219" s="2524"/>
      <c r="EG219" s="2525"/>
      <c r="EH219" s="2525"/>
      <c r="EI219" s="2525"/>
      <c r="EJ219" s="2525"/>
      <c r="EK219" s="2524"/>
      <c r="EL219" s="2525"/>
      <c r="EM219" s="2525"/>
      <c r="EN219" s="2525"/>
      <c r="EO219" s="2525"/>
      <c r="EP219" s="2524"/>
      <c r="EQ219" s="2525"/>
      <c r="ER219" s="2525"/>
      <c r="ES219" s="2525"/>
      <c r="ET219" s="2525"/>
      <c r="EU219" s="2524"/>
      <c r="EV219" s="2524"/>
      <c r="EW219" s="2524"/>
      <c r="EX219" s="2524"/>
      <c r="EY219" s="2524"/>
      <c r="EZ219" s="129"/>
      <c r="FA219" s="1319"/>
      <c r="FB219" s="1319"/>
      <c r="FC219" s="1319"/>
      <c r="FD219" s="1319"/>
      <c r="FE219" s="1319"/>
      <c r="FF219" s="1319"/>
      <c r="FG219" s="1319"/>
      <c r="FH219" s="1319"/>
      <c r="FI219" s="1319"/>
      <c r="FJ219" s="1319"/>
      <c r="FK219" s="1319"/>
      <c r="FL219" s="1319"/>
    </row>
    <row r="220" spans="1:168" ht="11.25" customHeight="1">
      <c r="A220" s="3787" t="s">
        <v>533</v>
      </c>
      <c r="B220" s="3597"/>
      <c r="C220" s="3597"/>
      <c r="D220" s="3597"/>
      <c r="E220" s="3597"/>
      <c r="F220" s="3597"/>
      <c r="G220" s="3597"/>
      <c r="H220" s="3597"/>
      <c r="I220" s="3597"/>
      <c r="J220" s="3597"/>
      <c r="K220" s="3597"/>
      <c r="L220" s="3597"/>
      <c r="M220" s="3597"/>
      <c r="N220" s="3597"/>
      <c r="O220" s="3597"/>
      <c r="P220" s="3597"/>
      <c r="Q220" s="3597"/>
      <c r="R220" s="3597"/>
      <c r="S220" s="3597"/>
      <c r="T220" s="3597"/>
      <c r="U220" s="3597"/>
      <c r="V220" s="3597"/>
      <c r="W220" s="3597"/>
      <c r="X220" s="3597"/>
      <c r="Y220" s="3597"/>
      <c r="Z220" s="3597"/>
      <c r="AA220" s="3597"/>
      <c r="AB220" s="3597"/>
      <c r="AC220" s="3597"/>
      <c r="AD220" s="3597"/>
      <c r="AE220" s="3597"/>
      <c r="AF220" s="3597"/>
      <c r="AG220" s="3597"/>
      <c r="AH220" s="3597"/>
      <c r="AI220" s="3597"/>
      <c r="AJ220" s="3597"/>
      <c r="AK220" s="3597"/>
      <c r="AL220" s="3597"/>
      <c r="AM220" s="3597"/>
      <c r="AN220" s="3597"/>
      <c r="AO220" s="3597"/>
      <c r="AP220" s="3597"/>
      <c r="AQ220" s="3597"/>
      <c r="AR220" s="3597"/>
      <c r="AS220" s="3597"/>
      <c r="AT220" s="3597"/>
      <c r="AU220" s="3597"/>
      <c r="AV220" s="3597"/>
      <c r="AW220" s="3597"/>
      <c r="AX220" s="3597"/>
      <c r="AY220" s="3597"/>
      <c r="AZ220" s="3597"/>
      <c r="BA220" s="3597"/>
      <c r="BB220" s="3597"/>
      <c r="BC220" s="3597"/>
      <c r="BD220" s="3597"/>
      <c r="BE220" s="3597"/>
      <c r="BF220" s="3597"/>
      <c r="BG220" s="3597"/>
      <c r="BH220" s="3597"/>
      <c r="BI220" s="3597"/>
      <c r="BJ220" s="3597"/>
      <c r="BK220" s="3597"/>
      <c r="BL220" s="3597"/>
      <c r="BM220" s="3597"/>
      <c r="BN220" s="3597"/>
      <c r="BO220" s="3597"/>
      <c r="BP220" s="3597"/>
      <c r="BQ220" s="3597"/>
      <c r="BR220" s="3597"/>
      <c r="BS220" s="3597"/>
      <c r="BT220" s="3597"/>
      <c r="BU220" s="3597"/>
      <c r="BV220" s="3597"/>
      <c r="BW220" s="3597"/>
      <c r="BX220" s="3597"/>
      <c r="BY220" s="3597"/>
      <c r="BZ220" s="3597"/>
      <c r="CA220" s="3597"/>
      <c r="CB220" s="3597"/>
      <c r="CC220" s="3597"/>
      <c r="CD220" s="3597"/>
      <c r="CE220" s="3597"/>
      <c r="CF220" s="3597"/>
      <c r="CG220" s="3597"/>
      <c r="CH220" s="3597"/>
      <c r="CI220" s="3597"/>
      <c r="CJ220" s="3597"/>
      <c r="CK220" s="3597"/>
      <c r="CL220" s="3597"/>
      <c r="CM220" s="3597"/>
      <c r="CN220" s="3597"/>
      <c r="CO220" s="3597"/>
      <c r="CP220" s="3597"/>
      <c r="CQ220" s="3597"/>
      <c r="CR220" s="3597"/>
      <c r="CS220" s="3597"/>
      <c r="CT220" s="3597"/>
      <c r="CU220" s="3597"/>
      <c r="CV220" s="3597"/>
      <c r="CW220" s="3598"/>
      <c r="CX220" s="3597"/>
      <c r="CY220" s="3597"/>
      <c r="CZ220" s="3597"/>
      <c r="DA220" s="3597"/>
      <c r="DB220" s="3599">
        <f t="shared" ref="DB220:EX220" si="941">DB27</f>
        <v>26146</v>
      </c>
      <c r="DC220" s="2941">
        <f t="shared" si="941"/>
        <v>7633</v>
      </c>
      <c r="DD220" s="2941">
        <f t="shared" si="941"/>
        <v>3045</v>
      </c>
      <c r="DE220" s="2941">
        <f t="shared" si="941"/>
        <v>8625</v>
      </c>
      <c r="DF220" s="2941">
        <f t="shared" si="941"/>
        <v>8221</v>
      </c>
      <c r="DG220" s="3599">
        <f t="shared" si="941"/>
        <v>27524</v>
      </c>
      <c r="DH220" s="2941">
        <f t="shared" si="941"/>
        <v>6608</v>
      </c>
      <c r="DI220" s="2941">
        <f t="shared" si="941"/>
        <v>9180</v>
      </c>
      <c r="DJ220" s="2941">
        <f t="shared" si="941"/>
        <v>9177</v>
      </c>
      <c r="DK220" s="2941">
        <f t="shared" si="941"/>
        <v>9266</v>
      </c>
      <c r="DL220" s="3599">
        <f t="shared" si="941"/>
        <v>34231</v>
      </c>
      <c r="DM220" s="2941">
        <f t="shared" si="941"/>
        <v>7977</v>
      </c>
      <c r="DN220" s="2941">
        <f t="shared" si="941"/>
        <v>6383</v>
      </c>
      <c r="DO220" s="2941">
        <f t="shared" si="941"/>
        <v>11213</v>
      </c>
      <c r="DP220" s="2941">
        <f t="shared" si="941"/>
        <v>15651</v>
      </c>
      <c r="DQ220" s="3599">
        <f t="shared" si="941"/>
        <v>41224</v>
      </c>
      <c r="DR220" s="2941">
        <f t="shared" si="941"/>
        <v>16437</v>
      </c>
      <c r="DS220" s="2941">
        <f t="shared" si="941"/>
        <v>19361</v>
      </c>
      <c r="DT220" s="2941">
        <f t="shared" si="941"/>
        <v>21031</v>
      </c>
      <c r="DU220" s="2941">
        <f t="shared" si="941"/>
        <v>21885</v>
      </c>
      <c r="DV220" s="3599">
        <f t="shared" si="941"/>
        <v>78714</v>
      </c>
      <c r="DW220" s="2941">
        <f t="shared" si="941"/>
        <v>20094</v>
      </c>
      <c r="DX220" s="2941">
        <f t="shared" si="941"/>
        <v>19453</v>
      </c>
      <c r="DY220" s="2941">
        <f t="shared" si="941"/>
        <v>17135</v>
      </c>
      <c r="DZ220" s="2941">
        <f t="shared" si="941"/>
        <v>18160</v>
      </c>
      <c r="EA220" s="3599">
        <f t="shared" si="941"/>
        <v>74842</v>
      </c>
      <c r="EB220" s="2941">
        <f t="shared" si="941"/>
        <v>17415</v>
      </c>
      <c r="EC220" s="2941">
        <f t="shared" si="941"/>
        <v>21838</v>
      </c>
      <c r="ED220" s="2941">
        <f t="shared" si="941"/>
        <v>21343</v>
      </c>
      <c r="EE220" s="2941">
        <f t="shared" si="941"/>
        <v>23697</v>
      </c>
      <c r="EF220" s="3599">
        <f t="shared" si="941"/>
        <v>84293</v>
      </c>
      <c r="EG220" s="2941">
        <f t="shared" si="941"/>
        <v>25472</v>
      </c>
      <c r="EH220" s="2941">
        <f t="shared" si="941"/>
        <v>27425</v>
      </c>
      <c r="EI220" s="2941">
        <f t="shared" si="941"/>
        <v>28521</v>
      </c>
      <c r="EJ220" s="2941">
        <f t="shared" si="941"/>
        <v>30972</v>
      </c>
      <c r="EK220" s="3599">
        <f t="shared" si="941"/>
        <v>112390</v>
      </c>
      <c r="EL220" s="2941">
        <f t="shared" si="941"/>
        <v>30606</v>
      </c>
      <c r="EM220" s="2941">
        <f t="shared" si="941"/>
        <v>31271</v>
      </c>
      <c r="EN220" s="2941">
        <f t="shared" si="941"/>
        <v>31228</v>
      </c>
      <c r="EO220" s="2941">
        <f t="shared" si="941"/>
        <v>37339.346430877777</v>
      </c>
      <c r="EP220" s="3599">
        <f t="shared" si="941"/>
        <v>130444.34643087776</v>
      </c>
      <c r="EQ220" s="2941">
        <f t="shared" ref="EQ220:EU220" si="942">EQ27</f>
        <v>37124.369689483283</v>
      </c>
      <c r="ER220" s="2941">
        <f t="shared" si="942"/>
        <v>38929.529366791176</v>
      </c>
      <c r="ES220" s="2941">
        <f t="shared" si="942"/>
        <v>40112.083814142432</v>
      </c>
      <c r="ET220" s="2941">
        <f t="shared" si="942"/>
        <v>43585.092631811312</v>
      </c>
      <c r="EU220" s="3599">
        <f t="shared" si="942"/>
        <v>159751.07550222822</v>
      </c>
      <c r="EV220" s="3599">
        <f t="shared" si="941"/>
        <v>178688.9849625713</v>
      </c>
      <c r="EW220" s="3599">
        <f t="shared" si="941"/>
        <v>203370.41436392756</v>
      </c>
      <c r="EX220" s="3599">
        <f t="shared" si="941"/>
        <v>230168.81577208661</v>
      </c>
      <c r="EY220" s="3599">
        <f t="shared" ref="EY220" si="943">EY27</f>
        <v>260643.4617696183</v>
      </c>
      <c r="EZ220" s="129"/>
      <c r="FA220" s="1319"/>
      <c r="FB220" s="1319"/>
      <c r="FC220" s="1319"/>
      <c r="FD220" s="1319"/>
      <c r="FE220" s="1319"/>
      <c r="FF220" s="1319"/>
      <c r="FG220" s="1319"/>
      <c r="FH220" s="1319"/>
      <c r="FI220" s="1319"/>
      <c r="FJ220" s="1319"/>
      <c r="FK220" s="1319"/>
      <c r="FL220" s="1319"/>
    </row>
    <row r="221" spans="1:168" ht="11.25" customHeight="1">
      <c r="A221" s="3788" t="s">
        <v>741</v>
      </c>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c r="AZ221" s="31"/>
      <c r="BA221" s="31"/>
      <c r="BB221" s="31"/>
      <c r="BC221" s="31"/>
      <c r="BD221" s="31"/>
      <c r="BE221" s="31"/>
      <c r="BF221" s="31"/>
      <c r="BG221" s="31"/>
      <c r="BH221" s="31"/>
      <c r="BI221" s="31"/>
      <c r="BJ221" s="31"/>
      <c r="BK221" s="31"/>
      <c r="BL221" s="31"/>
      <c r="BM221" s="31"/>
      <c r="BN221" s="31"/>
      <c r="BO221" s="31"/>
      <c r="BP221" s="31"/>
      <c r="BQ221" s="31"/>
      <c r="BR221" s="31"/>
      <c r="BS221" s="31"/>
      <c r="BT221" s="31"/>
      <c r="BU221" s="31"/>
      <c r="BV221" s="31"/>
      <c r="BW221" s="31"/>
      <c r="BX221" s="31"/>
      <c r="BY221" s="31"/>
      <c r="BZ221" s="31"/>
      <c r="CA221" s="31"/>
      <c r="CB221" s="31"/>
      <c r="CC221" s="31"/>
      <c r="CD221" s="31"/>
      <c r="CE221" s="31"/>
      <c r="CF221" s="31"/>
      <c r="CG221" s="31"/>
      <c r="CH221" s="31"/>
      <c r="CI221" s="31"/>
      <c r="CJ221" s="31"/>
      <c r="CK221" s="31"/>
      <c r="CL221" s="31"/>
      <c r="CM221" s="31"/>
      <c r="CN221" s="31"/>
      <c r="CO221" s="31"/>
      <c r="CP221" s="31"/>
      <c r="CQ221" s="31"/>
      <c r="CR221" s="31"/>
      <c r="CS221" s="31"/>
      <c r="CT221" s="31"/>
      <c r="CU221" s="31"/>
      <c r="CV221" s="31"/>
      <c r="CW221" s="3595"/>
      <c r="CX221" s="31"/>
      <c r="CY221" s="31"/>
      <c r="CZ221" s="31"/>
      <c r="DA221" s="31"/>
      <c r="DB221" s="1007">
        <f>SUM(CX221:DA221)</f>
        <v>0</v>
      </c>
      <c r="DC221" s="179">
        <v>632</v>
      </c>
      <c r="DD221" s="179">
        <v>238</v>
      </c>
      <c r="DE221" s="179">
        <v>315</v>
      </c>
      <c r="DF221" s="179">
        <v>18</v>
      </c>
      <c r="DG221" s="1007">
        <f>SUM(DC221:DF221)</f>
        <v>1203</v>
      </c>
      <c r="DH221" s="176"/>
      <c r="DI221" s="176"/>
      <c r="DJ221" s="176"/>
      <c r="DK221" s="176"/>
      <c r="DL221" s="1007">
        <f>SUM(DH221:DK221)</f>
        <v>0</v>
      </c>
      <c r="DM221" s="176"/>
      <c r="DN221" s="176"/>
      <c r="DO221" s="176"/>
      <c r="DP221" s="176"/>
      <c r="DQ221" s="1007">
        <f>SUM(DM221:DP221)</f>
        <v>0</v>
      </c>
      <c r="DR221" s="176"/>
      <c r="DS221" s="176"/>
      <c r="DT221" s="176"/>
      <c r="DU221" s="176"/>
      <c r="DV221" s="1007"/>
      <c r="DW221" s="176"/>
      <c r="DX221" s="176"/>
      <c r="DY221" s="176"/>
      <c r="DZ221" s="176"/>
      <c r="EA221" s="1007"/>
      <c r="EB221" s="176"/>
      <c r="EC221" s="176"/>
      <c r="ED221" s="176"/>
      <c r="EE221" s="176"/>
      <c r="EF221" s="1007"/>
      <c r="EG221" s="176"/>
      <c r="EH221" s="176"/>
      <c r="EI221" s="176"/>
      <c r="EJ221" s="176"/>
      <c r="EK221" s="1007"/>
      <c r="EL221" s="176"/>
      <c r="EM221" s="176"/>
      <c r="EN221" s="176"/>
      <c r="EO221" s="176"/>
      <c r="EP221" s="1007"/>
      <c r="EQ221" s="176"/>
      <c r="ER221" s="176"/>
      <c r="ES221" s="176"/>
      <c r="ET221" s="176"/>
      <c r="EU221" s="1007"/>
      <c r="EV221" s="1007"/>
      <c r="EW221" s="1007"/>
      <c r="EX221" s="1007"/>
      <c r="EY221" s="1007"/>
      <c r="EZ221" s="129"/>
      <c r="FA221" s="1319"/>
      <c r="FB221" s="1319"/>
      <c r="FC221" s="1319"/>
      <c r="FD221" s="1319"/>
      <c r="FE221" s="1319"/>
      <c r="FF221" s="1319"/>
      <c r="FG221" s="1319"/>
      <c r="FH221" s="1319"/>
      <c r="FI221" s="1319"/>
      <c r="FJ221" s="1319"/>
      <c r="FK221" s="1319"/>
      <c r="FL221" s="1319"/>
    </row>
    <row r="222" spans="1:168" ht="11.25" customHeight="1">
      <c r="A222" s="3791" t="s">
        <v>839</v>
      </c>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c r="BJ222" s="31"/>
      <c r="BK222" s="31"/>
      <c r="BL222" s="31"/>
      <c r="BM222" s="31"/>
      <c r="BN222" s="31"/>
      <c r="BO222" s="31"/>
      <c r="BP222" s="31"/>
      <c r="BQ222" s="31"/>
      <c r="BR222" s="31"/>
      <c r="BS222" s="31"/>
      <c r="BT222" s="31"/>
      <c r="BU222" s="31"/>
      <c r="BV222" s="31"/>
      <c r="BW222" s="31"/>
      <c r="BX222" s="31"/>
      <c r="BY222" s="31"/>
      <c r="BZ222" s="31"/>
      <c r="CA222" s="31"/>
      <c r="CB222" s="31"/>
      <c r="CC222" s="31"/>
      <c r="CD222" s="31"/>
      <c r="CE222" s="31"/>
      <c r="CF222" s="31"/>
      <c r="CG222" s="31"/>
      <c r="CH222" s="31"/>
      <c r="CI222" s="31"/>
      <c r="CJ222" s="31"/>
      <c r="CK222" s="31"/>
      <c r="CL222" s="31"/>
      <c r="CM222" s="31"/>
      <c r="CN222" s="31"/>
      <c r="CO222" s="31"/>
      <c r="CP222" s="31"/>
      <c r="CQ222" s="31"/>
      <c r="CR222" s="31"/>
      <c r="CS222" s="31"/>
      <c r="CT222" s="31"/>
      <c r="CU222" s="31"/>
      <c r="CV222" s="31"/>
      <c r="CW222" s="4094"/>
      <c r="CX222" s="283"/>
      <c r="CY222" s="283"/>
      <c r="CZ222" s="283"/>
      <c r="DA222" s="283"/>
      <c r="DB222" s="1042" t="e">
        <f t="shared" ref="DB222:DG222" si="944">DB221/DB225</f>
        <v>#DIV/0!</v>
      </c>
      <c r="DC222" s="2618">
        <f t="shared" si="944"/>
        <v>0.20851204223028702</v>
      </c>
      <c r="DD222" s="2618">
        <f t="shared" si="944"/>
        <v>0.22410546139359699</v>
      </c>
      <c r="DE222" s="2618">
        <f t="shared" si="944"/>
        <v>0.22793053545586106</v>
      </c>
      <c r="DF222" s="2618">
        <f t="shared" si="944"/>
        <v>-1.2</v>
      </c>
      <c r="DG222" s="1042">
        <f t="shared" si="944"/>
        <v>0.22032967032967032</v>
      </c>
      <c r="DH222" s="2618"/>
      <c r="DI222" s="2618"/>
      <c r="DJ222" s="2618"/>
      <c r="DK222" s="2618"/>
      <c r="DL222" s="1042"/>
      <c r="DM222" s="2618"/>
      <c r="DN222" s="2618"/>
      <c r="DO222" s="2618"/>
      <c r="DP222" s="2618"/>
      <c r="DQ222" s="1042"/>
      <c r="DR222" s="2618"/>
      <c r="DS222" s="2618"/>
      <c r="DT222" s="2618"/>
      <c r="DU222" s="2618"/>
      <c r="DV222" s="1042"/>
      <c r="DW222" s="2618"/>
      <c r="DX222" s="2618"/>
      <c r="DY222" s="2618"/>
      <c r="DZ222" s="2618"/>
      <c r="EA222" s="1042"/>
      <c r="EB222" s="2618"/>
      <c r="EC222" s="2618"/>
      <c r="ED222" s="2618"/>
      <c r="EE222" s="2618"/>
      <c r="EF222" s="1042"/>
      <c r="EG222" s="2618"/>
      <c r="EH222" s="2618"/>
      <c r="EI222" s="2618"/>
      <c r="EJ222" s="2618"/>
      <c r="EK222" s="1042"/>
      <c r="EL222" s="2618"/>
      <c r="EM222" s="2618"/>
      <c r="EN222" s="2618"/>
      <c r="EO222" s="2618"/>
      <c r="EP222" s="1042"/>
      <c r="EQ222" s="2618"/>
      <c r="ER222" s="2618"/>
      <c r="ES222" s="2618"/>
      <c r="ET222" s="2618"/>
      <c r="EU222" s="1042"/>
      <c r="EV222" s="1042"/>
      <c r="EW222" s="1042"/>
      <c r="EX222" s="1042"/>
      <c r="EY222" s="1042"/>
      <c r="EZ222" s="129"/>
      <c r="FA222" s="1319"/>
      <c r="FB222" s="1319"/>
      <c r="FC222" s="1319"/>
      <c r="FD222" s="1319"/>
      <c r="FE222" s="1319"/>
      <c r="FF222" s="1319"/>
      <c r="FG222" s="1319"/>
      <c r="FH222" s="1319"/>
      <c r="FI222" s="1319"/>
      <c r="FJ222" s="1319"/>
      <c r="FK222" s="1319"/>
      <c r="FL222" s="1319"/>
    </row>
    <row r="223" spans="1:168" ht="11.25" customHeight="1">
      <c r="A223" s="3789" t="s">
        <v>742</v>
      </c>
      <c r="B223" s="3600"/>
      <c r="C223" s="3600"/>
      <c r="D223" s="3600"/>
      <c r="E223" s="3600"/>
      <c r="F223" s="3600"/>
      <c r="G223" s="3600"/>
      <c r="H223" s="3600"/>
      <c r="I223" s="3600"/>
      <c r="J223" s="3600"/>
      <c r="K223" s="3600"/>
      <c r="L223" s="3600"/>
      <c r="M223" s="3600"/>
      <c r="N223" s="3600"/>
      <c r="O223" s="3600"/>
      <c r="P223" s="3600"/>
      <c r="Q223" s="3600"/>
      <c r="R223" s="3600"/>
      <c r="S223" s="3600"/>
      <c r="T223" s="3600"/>
      <c r="U223" s="3600"/>
      <c r="V223" s="3600"/>
      <c r="W223" s="3600"/>
      <c r="X223" s="3600"/>
      <c r="Y223" s="3600"/>
      <c r="Z223" s="3600"/>
      <c r="AA223" s="3600"/>
      <c r="AB223" s="3600"/>
      <c r="AC223" s="3600"/>
      <c r="AD223" s="3600"/>
      <c r="AE223" s="3600"/>
      <c r="AF223" s="3600"/>
      <c r="AG223" s="3600"/>
      <c r="AH223" s="3600"/>
      <c r="AI223" s="3600"/>
      <c r="AJ223" s="3600"/>
      <c r="AK223" s="3600"/>
      <c r="AL223" s="3600"/>
      <c r="AM223" s="3600"/>
      <c r="AN223" s="3600"/>
      <c r="AO223" s="3600"/>
      <c r="AP223" s="3600"/>
      <c r="AQ223" s="3600"/>
      <c r="AR223" s="3600"/>
      <c r="AS223" s="3600"/>
      <c r="AT223" s="3600"/>
      <c r="AU223" s="3600"/>
      <c r="AV223" s="3600"/>
      <c r="AW223" s="3600"/>
      <c r="AX223" s="3600"/>
      <c r="AY223" s="3600"/>
      <c r="AZ223" s="3600"/>
      <c r="BA223" s="3600"/>
      <c r="BB223" s="3600"/>
      <c r="BC223" s="3600"/>
      <c r="BD223" s="3600"/>
      <c r="BE223" s="3600"/>
      <c r="BF223" s="3600"/>
      <c r="BG223" s="3600"/>
      <c r="BH223" s="3600"/>
      <c r="BI223" s="3600"/>
      <c r="BJ223" s="3600"/>
      <c r="BK223" s="3600"/>
      <c r="BL223" s="3600"/>
      <c r="BM223" s="3600"/>
      <c r="BN223" s="3600"/>
      <c r="BO223" s="3600"/>
      <c r="BP223" s="3600"/>
      <c r="BQ223" s="3600"/>
      <c r="BR223" s="3600"/>
      <c r="BS223" s="3600"/>
      <c r="BT223" s="3600"/>
      <c r="BU223" s="3600"/>
      <c r="BV223" s="3600"/>
      <c r="BW223" s="3600"/>
      <c r="BX223" s="3600"/>
      <c r="BY223" s="3600"/>
      <c r="BZ223" s="3600"/>
      <c r="CA223" s="3600"/>
      <c r="CB223" s="3600"/>
      <c r="CC223" s="3600"/>
      <c r="CD223" s="3600"/>
      <c r="CE223" s="3600"/>
      <c r="CF223" s="3600"/>
      <c r="CG223" s="3600"/>
      <c r="CH223" s="3600"/>
      <c r="CI223" s="3600"/>
      <c r="CJ223" s="3600"/>
      <c r="CK223" s="3600"/>
      <c r="CL223" s="3600"/>
      <c r="CM223" s="3600"/>
      <c r="CN223" s="3600"/>
      <c r="CO223" s="3600"/>
      <c r="CP223" s="3600"/>
      <c r="CQ223" s="3600"/>
      <c r="CR223" s="3600"/>
      <c r="CS223" s="3600"/>
      <c r="CT223" s="3600"/>
      <c r="CU223" s="3600"/>
      <c r="CV223" s="3600"/>
      <c r="CW223" s="3601"/>
      <c r="CX223" s="3600"/>
      <c r="CY223" s="3600"/>
      <c r="CZ223" s="3600"/>
      <c r="DA223" s="3600"/>
      <c r="DB223" s="3602">
        <f t="shared" ref="DB223:DG223" si="945">DB220+DB221</f>
        <v>26146</v>
      </c>
      <c r="DC223" s="2919">
        <f t="shared" si="945"/>
        <v>8265</v>
      </c>
      <c r="DD223" s="2919">
        <f t="shared" si="945"/>
        <v>3283</v>
      </c>
      <c r="DE223" s="2919">
        <f t="shared" si="945"/>
        <v>8940</v>
      </c>
      <c r="DF223" s="2919">
        <f t="shared" si="945"/>
        <v>8239</v>
      </c>
      <c r="DG223" s="3602">
        <f t="shared" si="945"/>
        <v>28727</v>
      </c>
      <c r="DH223" s="2919">
        <f t="shared" ref="DH223:DX223" si="946">DH220+DH221</f>
        <v>6608</v>
      </c>
      <c r="DI223" s="2919">
        <f t="shared" si="946"/>
        <v>9180</v>
      </c>
      <c r="DJ223" s="2919">
        <f t="shared" si="946"/>
        <v>9177</v>
      </c>
      <c r="DK223" s="2919">
        <f t="shared" si="946"/>
        <v>9266</v>
      </c>
      <c r="DL223" s="3602">
        <f t="shared" si="946"/>
        <v>34231</v>
      </c>
      <c r="DM223" s="2919">
        <f t="shared" si="946"/>
        <v>7977</v>
      </c>
      <c r="DN223" s="2919">
        <f t="shared" si="946"/>
        <v>6383</v>
      </c>
      <c r="DO223" s="2919">
        <f t="shared" si="946"/>
        <v>11213</v>
      </c>
      <c r="DP223" s="2919">
        <f t="shared" si="946"/>
        <v>15651</v>
      </c>
      <c r="DQ223" s="3602">
        <f t="shared" si="946"/>
        <v>41224</v>
      </c>
      <c r="DR223" s="2919">
        <f t="shared" si="946"/>
        <v>16437</v>
      </c>
      <c r="DS223" s="2919">
        <f t="shared" si="946"/>
        <v>19361</v>
      </c>
      <c r="DT223" s="2919">
        <f t="shared" si="946"/>
        <v>21031</v>
      </c>
      <c r="DU223" s="2919">
        <f t="shared" si="946"/>
        <v>21885</v>
      </c>
      <c r="DV223" s="3602">
        <f t="shared" si="946"/>
        <v>78714</v>
      </c>
      <c r="DW223" s="2919">
        <f t="shared" si="946"/>
        <v>20094</v>
      </c>
      <c r="DX223" s="2919">
        <f t="shared" si="946"/>
        <v>19453</v>
      </c>
      <c r="DY223" s="2919">
        <f t="shared" ref="DY223:EF223" si="947">DY220+DY221</f>
        <v>17135</v>
      </c>
      <c r="DZ223" s="2919">
        <f t="shared" si="947"/>
        <v>18160</v>
      </c>
      <c r="EA223" s="3602">
        <f t="shared" si="947"/>
        <v>74842</v>
      </c>
      <c r="EB223" s="2919">
        <f t="shared" si="947"/>
        <v>17415</v>
      </c>
      <c r="EC223" s="2919">
        <f t="shared" si="947"/>
        <v>21838</v>
      </c>
      <c r="ED223" s="2919">
        <f t="shared" si="947"/>
        <v>21343</v>
      </c>
      <c r="EE223" s="2919">
        <f t="shared" si="947"/>
        <v>23697</v>
      </c>
      <c r="EF223" s="3602">
        <f t="shared" si="947"/>
        <v>84293</v>
      </c>
      <c r="EG223" s="2919">
        <f t="shared" ref="EG223:EJ223" si="948">EG220+EG221</f>
        <v>25472</v>
      </c>
      <c r="EH223" s="2919">
        <f t="shared" si="948"/>
        <v>27425</v>
      </c>
      <c r="EI223" s="2919">
        <f t="shared" si="948"/>
        <v>28521</v>
      </c>
      <c r="EJ223" s="2919">
        <f t="shared" si="948"/>
        <v>30972</v>
      </c>
      <c r="EK223" s="3602">
        <f t="shared" ref="EK223:EW223" si="949">EK220+EK221</f>
        <v>112390</v>
      </c>
      <c r="EL223" s="2919">
        <f t="shared" si="949"/>
        <v>30606</v>
      </c>
      <c r="EM223" s="2919">
        <f t="shared" si="949"/>
        <v>31271</v>
      </c>
      <c r="EN223" s="2919">
        <f t="shared" ref="EN223:EP223" si="950">EN220+EN221</f>
        <v>31228</v>
      </c>
      <c r="EO223" s="2919">
        <f t="shared" si="950"/>
        <v>37339.346430877777</v>
      </c>
      <c r="EP223" s="3602">
        <f t="shared" si="950"/>
        <v>130444.34643087776</v>
      </c>
      <c r="EQ223" s="2919">
        <f t="shared" ref="EQ223:EU223" si="951">EQ220+EQ221</f>
        <v>37124.369689483283</v>
      </c>
      <c r="ER223" s="2919">
        <f t="shared" si="951"/>
        <v>38929.529366791176</v>
      </c>
      <c r="ES223" s="2919">
        <f t="shared" si="951"/>
        <v>40112.083814142432</v>
      </c>
      <c r="ET223" s="2919">
        <f t="shared" si="951"/>
        <v>43585.092631811312</v>
      </c>
      <c r="EU223" s="3602">
        <f t="shared" si="951"/>
        <v>159751.07550222822</v>
      </c>
      <c r="EV223" s="3602">
        <f t="shared" si="949"/>
        <v>178688.9849625713</v>
      </c>
      <c r="EW223" s="3602">
        <f t="shared" si="949"/>
        <v>203370.41436392756</v>
      </c>
      <c r="EX223" s="3602">
        <f t="shared" ref="EX223:EY223" si="952">EX220+EX221</f>
        <v>230168.81577208661</v>
      </c>
      <c r="EY223" s="3602">
        <f t="shared" si="952"/>
        <v>260643.4617696183</v>
      </c>
      <c r="EZ223" s="129"/>
      <c r="FA223" s="1319"/>
      <c r="FB223" s="1319"/>
      <c r="FC223" s="1319"/>
      <c r="FD223" s="1319"/>
      <c r="FE223" s="1319"/>
      <c r="FF223" s="1319"/>
      <c r="FG223" s="1319"/>
      <c r="FH223" s="1319"/>
      <c r="FI223" s="1319"/>
      <c r="FJ223" s="1319"/>
      <c r="FK223" s="1319"/>
      <c r="FL223" s="1319"/>
    </row>
    <row r="224" spans="1:168" ht="11.25" customHeight="1">
      <c r="A224" s="3790" t="s">
        <v>479</v>
      </c>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31"/>
      <c r="BJ224" s="31"/>
      <c r="BK224" s="31"/>
      <c r="BL224" s="31"/>
      <c r="BM224" s="31"/>
      <c r="BN224" s="31"/>
      <c r="BO224" s="31"/>
      <c r="BP224" s="31"/>
      <c r="BQ224" s="31"/>
      <c r="BR224" s="31"/>
      <c r="BS224" s="31"/>
      <c r="BT224" s="31"/>
      <c r="BU224" s="31"/>
      <c r="BV224" s="31"/>
      <c r="BW224" s="31"/>
      <c r="BX224" s="31"/>
      <c r="BY224" s="31"/>
      <c r="BZ224" s="31"/>
      <c r="CA224" s="31"/>
      <c r="CB224" s="31"/>
      <c r="CC224" s="31"/>
      <c r="CD224" s="31"/>
      <c r="CE224" s="31"/>
      <c r="CF224" s="31"/>
      <c r="CG224" s="31"/>
      <c r="CH224" s="31"/>
      <c r="CI224" s="31"/>
      <c r="CJ224" s="31"/>
      <c r="CK224" s="31"/>
      <c r="CL224" s="31"/>
      <c r="CM224" s="31"/>
      <c r="CN224" s="31"/>
      <c r="CO224" s="31"/>
      <c r="CP224" s="31"/>
      <c r="CQ224" s="31"/>
      <c r="CR224" s="31"/>
      <c r="CS224" s="31"/>
      <c r="CT224" s="31"/>
      <c r="CU224" s="31"/>
      <c r="CV224" s="31"/>
      <c r="CW224" s="3595"/>
      <c r="CX224" s="31"/>
      <c r="CY224" s="31"/>
      <c r="CZ224" s="31"/>
      <c r="DA224" s="31"/>
      <c r="DB224" s="1007">
        <f t="shared" ref="DB224:DX224" si="953">DB198</f>
        <v>1047</v>
      </c>
      <c r="DC224" s="176">
        <f t="shared" si="953"/>
        <v>2910</v>
      </c>
      <c r="DD224" s="176">
        <f t="shared" si="953"/>
        <v>1170</v>
      </c>
      <c r="DE224" s="176">
        <f t="shared" si="953"/>
        <v>1458</v>
      </c>
      <c r="DF224" s="176">
        <f t="shared" si="953"/>
        <v>1851</v>
      </c>
      <c r="DG224" s="1007">
        <f t="shared" si="953"/>
        <v>7389</v>
      </c>
      <c r="DH224" s="176">
        <f t="shared" si="953"/>
        <v>1538</v>
      </c>
      <c r="DI224" s="176">
        <f t="shared" si="953"/>
        <v>2967</v>
      </c>
      <c r="DJ224" s="176">
        <f t="shared" si="953"/>
        <v>-549</v>
      </c>
      <c r="DK224" s="176">
        <f t="shared" si="953"/>
        <v>1438</v>
      </c>
      <c r="DL224" s="1007">
        <f t="shared" si="953"/>
        <v>5394</v>
      </c>
      <c r="DM224" s="176">
        <f t="shared" si="953"/>
        <v>-220</v>
      </c>
      <c r="DN224" s="176">
        <f t="shared" si="953"/>
        <v>1894</v>
      </c>
      <c r="DO224" s="176">
        <f t="shared" si="953"/>
        <v>2146</v>
      </c>
      <c r="DP224" s="176">
        <f t="shared" si="953"/>
        <v>3038</v>
      </c>
      <c r="DQ224" s="1007">
        <f t="shared" si="953"/>
        <v>6858</v>
      </c>
      <c r="DR224" s="176">
        <f>DR198</f>
        <v>4846</v>
      </c>
      <c r="DS224" s="176">
        <f>DS198</f>
        <v>2624</v>
      </c>
      <c r="DT224" s="176">
        <f>DT198</f>
        <v>2033</v>
      </c>
      <c r="DU224" s="176">
        <f>DU198</f>
        <v>2517</v>
      </c>
      <c r="DV224" s="1007">
        <f t="shared" si="953"/>
        <v>12020</v>
      </c>
      <c r="DW224" s="176">
        <f t="shared" si="953"/>
        <v>-1160</v>
      </c>
      <c r="DX224" s="176">
        <f t="shared" si="953"/>
        <v>-439</v>
      </c>
      <c r="DY224" s="176">
        <f t="shared" ref="DY224:EF224" si="954">DY198</f>
        <v>-902</v>
      </c>
      <c r="DZ224" s="176">
        <f t="shared" si="954"/>
        <v>-1013</v>
      </c>
      <c r="EA224" s="1007">
        <f t="shared" si="954"/>
        <v>-3514</v>
      </c>
      <c r="EB224" s="176">
        <f t="shared" si="954"/>
        <v>790</v>
      </c>
      <c r="EC224" s="176">
        <f t="shared" si="954"/>
        <v>65</v>
      </c>
      <c r="ED224" s="176">
        <f t="shared" si="954"/>
        <v>-146</v>
      </c>
      <c r="EE224" s="176">
        <f t="shared" si="954"/>
        <v>715</v>
      </c>
      <c r="EF224" s="1007">
        <f t="shared" si="954"/>
        <v>1424</v>
      </c>
      <c r="EG224" s="176">
        <f t="shared" ref="EG224:EJ224" si="955">EG198</f>
        <v>2843</v>
      </c>
      <c r="EH224" s="176">
        <f t="shared" si="955"/>
        <v>126</v>
      </c>
      <c r="EI224" s="176">
        <f t="shared" si="955"/>
        <v>3185</v>
      </c>
      <c r="EJ224" s="176">
        <f t="shared" si="955"/>
        <v>1271</v>
      </c>
      <c r="EK224" s="1007">
        <f>EK198</f>
        <v>7425</v>
      </c>
      <c r="EL224" s="176">
        <f t="shared" ref="EL224:EM224" si="956">EL198</f>
        <v>11183</v>
      </c>
      <c r="EM224" s="176">
        <f t="shared" si="956"/>
        <v>2662</v>
      </c>
      <c r="EN224" s="176">
        <f t="shared" ref="EN224:EO224" si="957">EN198</f>
        <v>12759</v>
      </c>
      <c r="EO224" s="176">
        <f t="shared" ca="1" si="957"/>
        <v>950.78376487847618</v>
      </c>
      <c r="EP224" s="1007">
        <f ca="1">EP198</f>
        <v>27554.783764878477</v>
      </c>
      <c r="EQ224" s="176">
        <f t="shared" ref="EQ224:ET224" ca="1" si="958">EQ198</f>
        <v>937.4710461233858</v>
      </c>
      <c r="ER224" s="176">
        <f t="shared" ca="1" si="958"/>
        <v>827.10195831727015</v>
      </c>
      <c r="ES224" s="176">
        <f t="shared" ca="1" si="958"/>
        <v>733.790920491576</v>
      </c>
      <c r="ET224" s="176">
        <f t="shared" ca="1" si="958"/>
        <v>745.27347776099884</v>
      </c>
      <c r="EU224" s="1007">
        <f ca="1">EU198</f>
        <v>3243.6374026932308</v>
      </c>
      <c r="EV224" s="1007">
        <f ca="1">EV198</f>
        <v>2731.6578810745086</v>
      </c>
      <c r="EW224" s="1007">
        <f ca="1">EW198</f>
        <v>2450.3180952969096</v>
      </c>
      <c r="EX224" s="1007">
        <f ca="1">EX198</f>
        <v>2714.1655529124491</v>
      </c>
      <c r="EY224" s="1007">
        <f ca="1">EY198</f>
        <v>3638.3158607230607</v>
      </c>
      <c r="EZ224" s="129"/>
      <c r="FA224" s="1319"/>
      <c r="FB224" s="1319"/>
      <c r="FC224" s="1319"/>
      <c r="FD224" s="1319"/>
      <c r="FE224" s="1319"/>
      <c r="FF224" s="1319"/>
      <c r="FG224" s="1319"/>
      <c r="FH224" s="1319"/>
      <c r="FI224" s="1319"/>
      <c r="FJ224" s="1319"/>
      <c r="FK224" s="1319"/>
      <c r="FL224" s="1319"/>
    </row>
    <row r="225" spans="1:168" s="472" customFormat="1" ht="11.25" customHeight="1">
      <c r="A225" s="5174" t="s">
        <v>743</v>
      </c>
      <c r="B225" s="513"/>
      <c r="C225" s="513"/>
      <c r="D225" s="513"/>
      <c r="E225" s="513"/>
      <c r="F225" s="513"/>
      <c r="G225" s="513"/>
      <c r="H225" s="513"/>
      <c r="I225" s="513"/>
      <c r="J225" s="513"/>
      <c r="K225" s="513"/>
      <c r="L225" s="513"/>
      <c r="M225" s="513"/>
      <c r="N225" s="513"/>
      <c r="O225" s="513"/>
      <c r="P225" s="513"/>
      <c r="Q225" s="513"/>
      <c r="R225" s="513"/>
      <c r="S225" s="513"/>
      <c r="T225" s="513"/>
      <c r="U225" s="513"/>
      <c r="V225" s="513"/>
      <c r="W225" s="513"/>
      <c r="X225" s="513"/>
      <c r="Y225" s="513"/>
      <c r="Z225" s="513"/>
      <c r="AA225" s="513"/>
      <c r="AB225" s="513"/>
      <c r="AC225" s="513"/>
      <c r="AD225" s="513"/>
      <c r="AE225" s="513"/>
      <c r="AF225" s="513"/>
      <c r="AG225" s="513"/>
      <c r="AH225" s="513"/>
      <c r="AI225" s="513"/>
      <c r="AJ225" s="513"/>
      <c r="AK225" s="513"/>
      <c r="AL225" s="513"/>
      <c r="AM225" s="513"/>
      <c r="AN225" s="513"/>
      <c r="AO225" s="513"/>
      <c r="AP225" s="513"/>
      <c r="AQ225" s="513"/>
      <c r="AR225" s="513"/>
      <c r="AS225" s="513"/>
      <c r="AT225" s="513"/>
      <c r="AU225" s="513"/>
      <c r="AV225" s="513"/>
      <c r="AW225" s="513"/>
      <c r="AX225" s="513"/>
      <c r="AY225" s="513"/>
      <c r="AZ225" s="513"/>
      <c r="BA225" s="513"/>
      <c r="BB225" s="513"/>
      <c r="BC225" s="513"/>
      <c r="BD225" s="513"/>
      <c r="BE225" s="513"/>
      <c r="BF225" s="513"/>
      <c r="BG225" s="513"/>
      <c r="BH225" s="513"/>
      <c r="BI225" s="513"/>
      <c r="BJ225" s="513"/>
      <c r="BK225" s="513"/>
      <c r="BL225" s="513"/>
      <c r="BM225" s="513"/>
      <c r="BN225" s="513"/>
      <c r="BO225" s="513"/>
      <c r="BP225" s="513"/>
      <c r="BQ225" s="513"/>
      <c r="BR225" s="513"/>
      <c r="BS225" s="513"/>
      <c r="BT225" s="513"/>
      <c r="BU225" s="513"/>
      <c r="BV225" s="513"/>
      <c r="BW225" s="513"/>
      <c r="BX225" s="513"/>
      <c r="BY225" s="513"/>
      <c r="BZ225" s="513"/>
      <c r="CA225" s="513"/>
      <c r="CB225" s="513"/>
      <c r="CC225" s="513"/>
      <c r="CD225" s="513"/>
      <c r="CE225" s="513"/>
      <c r="CF225" s="513"/>
      <c r="CG225" s="513"/>
      <c r="CH225" s="513"/>
      <c r="CI225" s="513"/>
      <c r="CJ225" s="513"/>
      <c r="CK225" s="513"/>
      <c r="CL225" s="513"/>
      <c r="CM225" s="513"/>
      <c r="CN225" s="513"/>
      <c r="CO225" s="513"/>
      <c r="CP225" s="513"/>
      <c r="CQ225" s="513"/>
      <c r="CR225" s="513"/>
      <c r="CS225" s="513"/>
      <c r="CT225" s="513"/>
      <c r="CU225" s="513"/>
      <c r="CV225" s="513"/>
      <c r="CW225" s="3605"/>
      <c r="CX225" s="513"/>
      <c r="CY225" s="513"/>
      <c r="CZ225" s="513"/>
      <c r="DA225" s="513"/>
      <c r="DB225" s="2332">
        <f>SUM(CX225:DA225)</f>
        <v>0</v>
      </c>
      <c r="DC225" s="2339">
        <v>3031</v>
      </c>
      <c r="DD225" s="2339">
        <v>1062</v>
      </c>
      <c r="DE225" s="2339">
        <v>1382</v>
      </c>
      <c r="DF225" s="2339">
        <v>-15</v>
      </c>
      <c r="DG225" s="2332">
        <f>SUM(DC225:DF225)</f>
        <v>5460</v>
      </c>
      <c r="DH225" s="2339">
        <f>DH194+DH195</f>
        <v>966</v>
      </c>
      <c r="DI225" s="2339">
        <f>DI194+DI195</f>
        <v>2256</v>
      </c>
      <c r="DJ225" s="2339">
        <f>DJ194+DJ195</f>
        <v>-1301</v>
      </c>
      <c r="DK225" s="2339">
        <f>DK194+DK195</f>
        <v>402</v>
      </c>
      <c r="DL225" s="2332">
        <f>SUM(DH225:DK225)</f>
        <v>2323</v>
      </c>
      <c r="DM225" s="2339">
        <f>DM194+DM195</f>
        <v>-808</v>
      </c>
      <c r="DN225" s="2339">
        <f>DN194+DN195</f>
        <v>1380</v>
      </c>
      <c r="DO225" s="2339">
        <f>DO194+DO195</f>
        <v>1764</v>
      </c>
      <c r="DP225" s="2339">
        <f>DP194+DP195</f>
        <v>2647</v>
      </c>
      <c r="DQ225" s="2332">
        <f>SUM(DM225:DP225)</f>
        <v>4983</v>
      </c>
      <c r="DR225" s="2339">
        <f t="shared" ref="DR225:EV225" si="959">DR194+DR195</f>
        <v>4172</v>
      </c>
      <c r="DS225" s="2339">
        <f t="shared" si="959"/>
        <v>2249</v>
      </c>
      <c r="DT225" s="2339">
        <f t="shared" si="959"/>
        <v>1629</v>
      </c>
      <c r="DU225" s="2339">
        <f t="shared" si="959"/>
        <v>2422</v>
      </c>
      <c r="DV225" s="2332">
        <f t="shared" si="959"/>
        <v>10472</v>
      </c>
      <c r="DW225" s="2339">
        <f t="shared" si="959"/>
        <v>-837</v>
      </c>
      <c r="DX225" s="2339">
        <f t="shared" si="959"/>
        <v>67</v>
      </c>
      <c r="DY225" s="2339">
        <f t="shared" si="959"/>
        <v>-593</v>
      </c>
      <c r="DZ225" s="2339">
        <f t="shared" si="959"/>
        <v>-1294</v>
      </c>
      <c r="EA225" s="2332">
        <f t="shared" si="959"/>
        <v>-2657</v>
      </c>
      <c r="EB225" s="2339">
        <f>EB194+EB195</f>
        <v>495</v>
      </c>
      <c r="EC225" s="2339">
        <f>EC194+EC195</f>
        <v>-200</v>
      </c>
      <c r="ED225" s="2339">
        <f>ED194+ED195</f>
        <v>-187</v>
      </c>
      <c r="EE225" s="2339">
        <f t="shared" si="959"/>
        <v>541</v>
      </c>
      <c r="EF225" s="2332">
        <f t="shared" si="959"/>
        <v>649</v>
      </c>
      <c r="EG225" s="2339">
        <f t="shared" ref="EG225:EL225" si="960">EG194+EG195</f>
        <v>2347</v>
      </c>
      <c r="EH225" s="2339">
        <f t="shared" si="960"/>
        <v>-586</v>
      </c>
      <c r="EI225" s="2339">
        <f t="shared" si="960"/>
        <v>1850</v>
      </c>
      <c r="EJ225" s="2339">
        <f t="shared" si="960"/>
        <v>321</v>
      </c>
      <c r="EK225" s="2332">
        <f t="shared" si="960"/>
        <v>3932</v>
      </c>
      <c r="EL225" s="2339">
        <f t="shared" si="960"/>
        <v>9718</v>
      </c>
      <c r="EM225" s="2339">
        <f>EM194+EM195</f>
        <v>1203</v>
      </c>
      <c r="EN225" s="2339">
        <f t="shared" ref="EN225:EO225" si="961">EN194+EN195</f>
        <v>10560</v>
      </c>
      <c r="EO225" s="2333">
        <f t="shared" si="961"/>
        <v>0</v>
      </c>
      <c r="EP225" s="2332">
        <f>EP194+EP195</f>
        <v>21481</v>
      </c>
      <c r="EQ225" s="2333">
        <f t="shared" ref="EQ225:ET225" si="962">EQ194+EQ195</f>
        <v>0</v>
      </c>
      <c r="ER225" s="2333">
        <f t="shared" si="962"/>
        <v>0</v>
      </c>
      <c r="ES225" s="2333">
        <f t="shared" si="962"/>
        <v>0</v>
      </c>
      <c r="ET225" s="2333">
        <f t="shared" si="962"/>
        <v>0</v>
      </c>
      <c r="EU225" s="2332">
        <f>EU194+EU195</f>
        <v>0</v>
      </c>
      <c r="EV225" s="2332">
        <f t="shared" si="959"/>
        <v>0</v>
      </c>
      <c r="EW225" s="2332">
        <f>EW194+EW195</f>
        <v>0</v>
      </c>
      <c r="EX225" s="2332">
        <f>EX194+EX195</f>
        <v>0</v>
      </c>
      <c r="EY225" s="2332">
        <f>EY194+EY195</f>
        <v>0</v>
      </c>
      <c r="EZ225" s="527"/>
      <c r="FA225" s="4275"/>
      <c r="FB225" s="4275"/>
      <c r="FC225" s="4275"/>
      <c r="FD225" s="4275"/>
      <c r="FE225" s="4275"/>
      <c r="FF225" s="4275"/>
      <c r="FG225" s="4275"/>
      <c r="FH225" s="4275"/>
      <c r="FI225" s="4275"/>
      <c r="FJ225" s="4275"/>
      <c r="FK225" s="4275"/>
      <c r="FL225" s="4275"/>
    </row>
    <row r="226" spans="1:168" ht="11.25" customHeight="1">
      <c r="A226" s="3790" t="s">
        <v>744</v>
      </c>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1"/>
      <c r="BL226" s="31"/>
      <c r="BM226" s="31"/>
      <c r="BN226" s="31"/>
      <c r="BO226" s="31"/>
      <c r="BP226" s="31"/>
      <c r="BQ226" s="31"/>
      <c r="BR226" s="31"/>
      <c r="BS226" s="31"/>
      <c r="BT226" s="31"/>
      <c r="BU226" s="31"/>
      <c r="BV226" s="31"/>
      <c r="BW226" s="31"/>
      <c r="BX226" s="31"/>
      <c r="BY226" s="31"/>
      <c r="BZ226" s="31"/>
      <c r="CA226" s="31"/>
      <c r="CB226" s="31"/>
      <c r="CC226" s="31"/>
      <c r="CD226" s="31"/>
      <c r="CE226" s="31"/>
      <c r="CF226" s="31"/>
      <c r="CG226" s="31"/>
      <c r="CH226" s="31"/>
      <c r="CI226" s="31"/>
      <c r="CJ226" s="31"/>
      <c r="CK226" s="31"/>
      <c r="CL226" s="31"/>
      <c r="CM226" s="31"/>
      <c r="CN226" s="31"/>
      <c r="CO226" s="31"/>
      <c r="CP226" s="31"/>
      <c r="CQ226" s="31"/>
      <c r="CR226" s="31"/>
      <c r="CS226" s="31"/>
      <c r="CT226" s="31"/>
      <c r="CU226" s="31"/>
      <c r="CV226" s="31"/>
      <c r="CW226" s="3595"/>
      <c r="CX226" s="31"/>
      <c r="CY226" s="31"/>
      <c r="CZ226" s="31"/>
      <c r="DA226" s="31"/>
      <c r="DB226" s="1007">
        <f t="shared" ref="DB226:DV226" si="963">DB224-DB225</f>
        <v>1047</v>
      </c>
      <c r="DC226" s="176">
        <f t="shared" si="963"/>
        <v>-121</v>
      </c>
      <c r="DD226" s="176">
        <f t="shared" si="963"/>
        <v>108</v>
      </c>
      <c r="DE226" s="176">
        <f t="shared" si="963"/>
        <v>76</v>
      </c>
      <c r="DF226" s="176">
        <f t="shared" si="963"/>
        <v>1866</v>
      </c>
      <c r="DG226" s="1007">
        <f t="shared" si="963"/>
        <v>1929</v>
      </c>
      <c r="DH226" s="176">
        <f t="shared" si="963"/>
        <v>572</v>
      </c>
      <c r="DI226" s="176">
        <f t="shared" si="963"/>
        <v>711</v>
      </c>
      <c r="DJ226" s="176">
        <f t="shared" si="963"/>
        <v>752</v>
      </c>
      <c r="DK226" s="176">
        <f t="shared" si="963"/>
        <v>1036</v>
      </c>
      <c r="DL226" s="1007">
        <f t="shared" si="963"/>
        <v>3071</v>
      </c>
      <c r="DM226" s="176">
        <f t="shared" si="963"/>
        <v>588</v>
      </c>
      <c r="DN226" s="176">
        <f t="shared" si="963"/>
        <v>514</v>
      </c>
      <c r="DO226" s="176">
        <f t="shared" si="963"/>
        <v>382</v>
      </c>
      <c r="DP226" s="176">
        <f t="shared" si="963"/>
        <v>391</v>
      </c>
      <c r="DQ226" s="1007">
        <f t="shared" si="963"/>
        <v>1875</v>
      </c>
      <c r="DR226" s="176">
        <f>DR224-DR225</f>
        <v>674</v>
      </c>
      <c r="DS226" s="176">
        <f>DS224-DS225</f>
        <v>375</v>
      </c>
      <c r="DT226" s="176">
        <f>DT224-DT225</f>
        <v>404</v>
      </c>
      <c r="DU226" s="176">
        <f>DU224-DU225</f>
        <v>95</v>
      </c>
      <c r="DV226" s="1007">
        <f t="shared" si="963"/>
        <v>1548</v>
      </c>
      <c r="DW226" s="176">
        <f t="shared" ref="DW226:EF226" si="964">DW224-DW225</f>
        <v>-323</v>
      </c>
      <c r="DX226" s="176">
        <f t="shared" si="964"/>
        <v>-506</v>
      </c>
      <c r="DY226" s="176">
        <f t="shared" si="964"/>
        <v>-309</v>
      </c>
      <c r="DZ226" s="176">
        <f t="shared" si="964"/>
        <v>281</v>
      </c>
      <c r="EA226" s="1007">
        <f t="shared" si="964"/>
        <v>-857</v>
      </c>
      <c r="EB226" s="176">
        <f>EB224-EB225</f>
        <v>295</v>
      </c>
      <c r="EC226" s="176">
        <f>EC224-EC225</f>
        <v>265</v>
      </c>
      <c r="ED226" s="176">
        <f>ED224-ED225</f>
        <v>41</v>
      </c>
      <c r="EE226" s="176">
        <f t="shared" si="964"/>
        <v>174</v>
      </c>
      <c r="EF226" s="1007">
        <f t="shared" si="964"/>
        <v>775</v>
      </c>
      <c r="EG226" s="176">
        <f>EG224-EG225</f>
        <v>496</v>
      </c>
      <c r="EH226" s="176">
        <f>EH224-EH225</f>
        <v>712</v>
      </c>
      <c r="EI226" s="176">
        <f>EI224-EI225</f>
        <v>1335</v>
      </c>
      <c r="EJ226" s="176">
        <f t="shared" ref="EJ226" si="965">EJ224-EJ225</f>
        <v>950</v>
      </c>
      <c r="EK226" s="1007">
        <f>EK224-EK225</f>
        <v>3493</v>
      </c>
      <c r="EL226" s="176">
        <f>EL224-EL225</f>
        <v>1465</v>
      </c>
      <c r="EM226" s="176">
        <f>EM224-EM225</f>
        <v>1459</v>
      </c>
      <c r="EN226" s="176">
        <f t="shared" ref="EN226:EO226" si="966">EN224-EN225</f>
        <v>2199</v>
      </c>
      <c r="EO226" s="176">
        <f t="shared" ca="1" si="966"/>
        <v>950.78376487847618</v>
      </c>
      <c r="EP226" s="1007">
        <f ca="1">EP224-EP225</f>
        <v>6073.7837648784771</v>
      </c>
      <c r="EQ226" s="176">
        <f t="shared" ref="EQ226:ET226" ca="1" si="967">EQ224-EQ225</f>
        <v>937.4710461233858</v>
      </c>
      <c r="ER226" s="176">
        <f t="shared" ca="1" si="967"/>
        <v>827.10195831727015</v>
      </c>
      <c r="ES226" s="176">
        <f t="shared" ca="1" si="967"/>
        <v>733.790920491576</v>
      </c>
      <c r="ET226" s="176">
        <f t="shared" ca="1" si="967"/>
        <v>745.27347776099884</v>
      </c>
      <c r="EU226" s="1007">
        <f ca="1">EU224-EU225</f>
        <v>3243.6374026932308</v>
      </c>
      <c r="EV226" s="1007">
        <f ca="1">EV224-EV225</f>
        <v>2731.6578810745086</v>
      </c>
      <c r="EW226" s="1007">
        <f ca="1">EW224-EW225</f>
        <v>2450.3180952969096</v>
      </c>
      <c r="EX226" s="1007">
        <f ca="1">EX224-EX225</f>
        <v>2714.1655529124491</v>
      </c>
      <c r="EY226" s="1007">
        <f ca="1">EY224-EY225</f>
        <v>3638.3158607230607</v>
      </c>
      <c r="EZ226" s="129"/>
      <c r="FA226" s="1319"/>
      <c r="FB226" s="1319"/>
      <c r="FC226" s="1319"/>
      <c r="FD226" s="1319"/>
      <c r="FE226" s="1319"/>
      <c r="FF226" s="1319"/>
      <c r="FG226" s="1319"/>
      <c r="FH226" s="1319"/>
      <c r="FI226" s="1319"/>
      <c r="FJ226" s="1319"/>
      <c r="FK226" s="1319"/>
      <c r="FL226" s="1319"/>
    </row>
    <row r="227" spans="1:168" ht="11.25" customHeight="1">
      <c r="A227" s="3787" t="s">
        <v>752</v>
      </c>
      <c r="B227" s="3597"/>
      <c r="C227" s="3597"/>
      <c r="D227" s="3597"/>
      <c r="E227" s="3597"/>
      <c r="F227" s="3597"/>
      <c r="G227" s="3597"/>
      <c r="H227" s="3597"/>
      <c r="I227" s="3597"/>
      <c r="J227" s="3597"/>
      <c r="K227" s="3597"/>
      <c r="L227" s="3597"/>
      <c r="M227" s="3597"/>
      <c r="N227" s="3597"/>
      <c r="O227" s="3597"/>
      <c r="P227" s="3597"/>
      <c r="Q227" s="3597"/>
      <c r="R227" s="3597"/>
      <c r="S227" s="3597"/>
      <c r="T227" s="3597"/>
      <c r="U227" s="3597"/>
      <c r="V227" s="3597"/>
      <c r="W227" s="3597"/>
      <c r="X227" s="3597"/>
      <c r="Y227" s="3597"/>
      <c r="Z227" s="3597"/>
      <c r="AA227" s="3597"/>
      <c r="AB227" s="3597"/>
      <c r="AC227" s="3597"/>
      <c r="AD227" s="3597"/>
      <c r="AE227" s="3597"/>
      <c r="AF227" s="3597"/>
      <c r="AG227" s="3597"/>
      <c r="AH227" s="3597"/>
      <c r="AI227" s="3597"/>
      <c r="AJ227" s="3597"/>
      <c r="AK227" s="3597"/>
      <c r="AL227" s="3597"/>
      <c r="AM227" s="3597"/>
      <c r="AN227" s="3597"/>
      <c r="AO227" s="3597"/>
      <c r="AP227" s="3597"/>
      <c r="AQ227" s="3597"/>
      <c r="AR227" s="3597"/>
      <c r="AS227" s="3597"/>
      <c r="AT227" s="3597"/>
      <c r="AU227" s="3597"/>
      <c r="AV227" s="3597"/>
      <c r="AW227" s="3597"/>
      <c r="AX227" s="3597"/>
      <c r="AY227" s="3597"/>
      <c r="AZ227" s="3597"/>
      <c r="BA227" s="3597"/>
      <c r="BB227" s="3597"/>
      <c r="BC227" s="3597"/>
      <c r="BD227" s="3597"/>
      <c r="BE227" s="3597"/>
      <c r="BF227" s="3597"/>
      <c r="BG227" s="3597"/>
      <c r="BH227" s="3597"/>
      <c r="BI227" s="3597"/>
      <c r="BJ227" s="3597"/>
      <c r="BK227" s="3597"/>
      <c r="BL227" s="3597"/>
      <c r="BM227" s="3597"/>
      <c r="BN227" s="3597"/>
      <c r="BO227" s="3597"/>
      <c r="BP227" s="3597"/>
      <c r="BQ227" s="3597"/>
      <c r="BR227" s="3597"/>
      <c r="BS227" s="3597"/>
      <c r="BT227" s="3597"/>
      <c r="BU227" s="3597"/>
      <c r="BV227" s="3597"/>
      <c r="BW227" s="3597"/>
      <c r="BX227" s="3597"/>
      <c r="BY227" s="3597"/>
      <c r="BZ227" s="3597"/>
      <c r="CA227" s="3597"/>
      <c r="CB227" s="3597"/>
      <c r="CC227" s="3597"/>
      <c r="CD227" s="3597"/>
      <c r="CE227" s="3597"/>
      <c r="CF227" s="3597"/>
      <c r="CG227" s="3597"/>
      <c r="CH227" s="3597"/>
      <c r="CI227" s="3597"/>
      <c r="CJ227" s="3597"/>
      <c r="CK227" s="3597"/>
      <c r="CL227" s="3597"/>
      <c r="CM227" s="3597"/>
      <c r="CN227" s="3597"/>
      <c r="CO227" s="3597"/>
      <c r="CP227" s="3597"/>
      <c r="CQ227" s="3597"/>
      <c r="CR227" s="3597"/>
      <c r="CS227" s="3597"/>
      <c r="CT227" s="3597"/>
      <c r="CU227" s="3597"/>
      <c r="CV227" s="3597"/>
      <c r="CW227" s="3598"/>
      <c r="CX227" s="3597"/>
      <c r="CY227" s="3597"/>
      <c r="CZ227" s="3597"/>
      <c r="DA227" s="3597"/>
      <c r="DB227" s="3599">
        <f t="shared" ref="DB227:EX227" si="968">DB32</f>
        <v>27193</v>
      </c>
      <c r="DC227" s="2941">
        <f t="shared" si="968"/>
        <v>10543</v>
      </c>
      <c r="DD227" s="2941">
        <f t="shared" si="968"/>
        <v>4215</v>
      </c>
      <c r="DE227" s="2941">
        <f t="shared" si="968"/>
        <v>10083</v>
      </c>
      <c r="DF227" s="2941">
        <f t="shared" si="968"/>
        <v>10072</v>
      </c>
      <c r="DG227" s="3599">
        <f t="shared" si="968"/>
        <v>34913</v>
      </c>
      <c r="DH227" s="2941">
        <f t="shared" si="968"/>
        <v>8146</v>
      </c>
      <c r="DI227" s="2941">
        <f t="shared" si="968"/>
        <v>12147</v>
      </c>
      <c r="DJ227" s="2941">
        <f t="shared" si="968"/>
        <v>8628</v>
      </c>
      <c r="DK227" s="2941">
        <f t="shared" si="968"/>
        <v>10704</v>
      </c>
      <c r="DL227" s="3599">
        <f t="shared" si="968"/>
        <v>39625</v>
      </c>
      <c r="DM227" s="2941">
        <f t="shared" si="968"/>
        <v>7757</v>
      </c>
      <c r="DN227" s="2941">
        <f t="shared" si="968"/>
        <v>8277</v>
      </c>
      <c r="DO227" s="2941">
        <f t="shared" si="968"/>
        <v>13359</v>
      </c>
      <c r="DP227" s="2941">
        <f t="shared" si="968"/>
        <v>18689</v>
      </c>
      <c r="DQ227" s="3599">
        <f t="shared" si="968"/>
        <v>48082</v>
      </c>
      <c r="DR227" s="2941">
        <f t="shared" si="968"/>
        <v>21283</v>
      </c>
      <c r="DS227" s="2941">
        <f t="shared" si="968"/>
        <v>21985</v>
      </c>
      <c r="DT227" s="2941">
        <f t="shared" si="968"/>
        <v>23064</v>
      </c>
      <c r="DU227" s="2941">
        <f t="shared" si="968"/>
        <v>24402</v>
      </c>
      <c r="DV227" s="3599">
        <f t="shared" si="968"/>
        <v>90734</v>
      </c>
      <c r="DW227" s="2941">
        <f t="shared" si="968"/>
        <v>18934</v>
      </c>
      <c r="DX227" s="2941">
        <f t="shared" si="968"/>
        <v>19014</v>
      </c>
      <c r="DY227" s="2941">
        <f t="shared" si="968"/>
        <v>16233</v>
      </c>
      <c r="DZ227" s="2941">
        <f t="shared" si="968"/>
        <v>17147</v>
      </c>
      <c r="EA227" s="3599">
        <f t="shared" si="968"/>
        <v>71328</v>
      </c>
      <c r="EB227" s="2941">
        <f t="shared" si="968"/>
        <v>18205</v>
      </c>
      <c r="EC227" s="2941">
        <f t="shared" si="968"/>
        <v>21903</v>
      </c>
      <c r="ED227" s="2941">
        <f t="shared" si="968"/>
        <v>21197</v>
      </c>
      <c r="EE227" s="2941">
        <f t="shared" si="968"/>
        <v>24412</v>
      </c>
      <c r="EF227" s="3599">
        <f t="shared" si="968"/>
        <v>85717</v>
      </c>
      <c r="EG227" s="2941">
        <f t="shared" si="968"/>
        <v>28315</v>
      </c>
      <c r="EH227" s="2941">
        <f t="shared" si="968"/>
        <v>27551</v>
      </c>
      <c r="EI227" s="2941">
        <f t="shared" si="968"/>
        <v>31706</v>
      </c>
      <c r="EJ227" s="2941">
        <f t="shared" si="968"/>
        <v>32243</v>
      </c>
      <c r="EK227" s="3599">
        <f t="shared" si="968"/>
        <v>119815</v>
      </c>
      <c r="EL227" s="2941">
        <f t="shared" si="968"/>
        <v>41789</v>
      </c>
      <c r="EM227" s="2941">
        <f t="shared" si="968"/>
        <v>33933</v>
      </c>
      <c r="EN227" s="2941">
        <f t="shared" si="968"/>
        <v>43987</v>
      </c>
      <c r="EO227" s="2941">
        <f t="shared" ca="1" si="968"/>
        <v>38290.130195756254</v>
      </c>
      <c r="EP227" s="3599">
        <f t="shared" ca="1" si="968"/>
        <v>157999.13019575627</v>
      </c>
      <c r="EQ227" s="2941">
        <f t="shared" ref="EQ227:EU227" ca="1" si="969">EQ32</f>
        <v>38061.840735606667</v>
      </c>
      <c r="ER227" s="2941">
        <f t="shared" ca="1" si="969"/>
        <v>39756.631325108443</v>
      </c>
      <c r="ES227" s="2941">
        <f t="shared" ca="1" si="969"/>
        <v>40845.87473463401</v>
      </c>
      <c r="ET227" s="2941">
        <f t="shared" ca="1" si="969"/>
        <v>44330.366109572315</v>
      </c>
      <c r="EU227" s="3599">
        <f t="shared" ca="1" si="969"/>
        <v>162994.71290492144</v>
      </c>
      <c r="EV227" s="3599">
        <f t="shared" ca="1" si="968"/>
        <v>181420.64284364579</v>
      </c>
      <c r="EW227" s="3599">
        <f t="shared" ca="1" si="968"/>
        <v>205820.73245922447</v>
      </c>
      <c r="EX227" s="3599">
        <f t="shared" ca="1" si="968"/>
        <v>232882.98132499907</v>
      </c>
      <c r="EY227" s="3599">
        <f t="shared" ref="EY227" ca="1" si="970">EY32</f>
        <v>264281.77763034136</v>
      </c>
      <c r="EZ227" s="129"/>
      <c r="FA227" s="1319"/>
      <c r="FB227" s="1319"/>
      <c r="FC227" s="1319"/>
      <c r="FD227" s="1319"/>
      <c r="FE227" s="1319"/>
      <c r="FF227" s="1319"/>
      <c r="FG227" s="1319"/>
      <c r="FH227" s="1319"/>
      <c r="FI227" s="1319"/>
      <c r="FJ227" s="1319"/>
      <c r="FK227" s="1319"/>
      <c r="FL227" s="1319"/>
    </row>
    <row r="228" spans="1:168" ht="11.25" customHeight="1">
      <c r="A228" s="3788" t="s">
        <v>753</v>
      </c>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31"/>
      <c r="BJ228" s="31"/>
      <c r="BK228" s="31"/>
      <c r="BL228" s="31"/>
      <c r="BM228" s="31"/>
      <c r="BN228" s="31"/>
      <c r="BO228" s="31"/>
      <c r="BP228" s="31"/>
      <c r="BQ228" s="31"/>
      <c r="BR228" s="31"/>
      <c r="BS228" s="31"/>
      <c r="BT228" s="31"/>
      <c r="BU228" s="31"/>
      <c r="BV228" s="31"/>
      <c r="BW228" s="31"/>
      <c r="BX228" s="31"/>
      <c r="BY228" s="31"/>
      <c r="BZ228" s="31"/>
      <c r="CA228" s="31"/>
      <c r="CB228" s="31"/>
      <c r="CC228" s="31"/>
      <c r="CD228" s="31"/>
      <c r="CE228" s="31"/>
      <c r="CF228" s="31"/>
      <c r="CG228" s="31"/>
      <c r="CH228" s="31"/>
      <c r="CI228" s="31"/>
      <c r="CJ228" s="31"/>
      <c r="CK228" s="31"/>
      <c r="CL228" s="31"/>
      <c r="CM228" s="31"/>
      <c r="CN228" s="31"/>
      <c r="CO228" s="31"/>
      <c r="CP228" s="31"/>
      <c r="CQ228" s="31"/>
      <c r="CR228" s="31"/>
      <c r="CS228" s="31"/>
      <c r="CT228" s="31"/>
      <c r="CU228" s="31"/>
      <c r="CV228" s="31"/>
      <c r="CW228" s="3595"/>
      <c r="CX228" s="31"/>
      <c r="CY228" s="31"/>
      <c r="CZ228" s="31"/>
      <c r="DA228" s="31"/>
      <c r="DB228" s="1007">
        <f t="shared" ref="DB228:DV228" si="971">DB227-DB229</f>
        <v>0</v>
      </c>
      <c r="DC228" s="176">
        <f t="shared" si="971"/>
        <v>2399</v>
      </c>
      <c r="DD228" s="176">
        <f t="shared" si="971"/>
        <v>824</v>
      </c>
      <c r="DE228" s="176">
        <f t="shared" si="971"/>
        <v>1067</v>
      </c>
      <c r="DF228" s="176">
        <f t="shared" si="971"/>
        <v>-33</v>
      </c>
      <c r="DG228" s="1007">
        <f t="shared" si="971"/>
        <v>4257</v>
      </c>
      <c r="DH228" s="176">
        <f t="shared" si="971"/>
        <v>966</v>
      </c>
      <c r="DI228" s="176">
        <f t="shared" si="971"/>
        <v>2256</v>
      </c>
      <c r="DJ228" s="176">
        <f t="shared" si="971"/>
        <v>-1301</v>
      </c>
      <c r="DK228" s="176">
        <f t="shared" si="971"/>
        <v>402</v>
      </c>
      <c r="DL228" s="1007">
        <f t="shared" si="971"/>
        <v>2323</v>
      </c>
      <c r="DM228" s="176">
        <f t="shared" si="971"/>
        <v>-808</v>
      </c>
      <c r="DN228" s="176">
        <f t="shared" si="971"/>
        <v>1380</v>
      </c>
      <c r="DO228" s="176">
        <f t="shared" si="971"/>
        <v>1764</v>
      </c>
      <c r="DP228" s="176">
        <f t="shared" si="971"/>
        <v>2647</v>
      </c>
      <c r="DQ228" s="1007">
        <f t="shared" si="971"/>
        <v>4983</v>
      </c>
      <c r="DR228" s="176">
        <f>DR227-DR229</f>
        <v>4172</v>
      </c>
      <c r="DS228" s="176">
        <f>DS227-DS229</f>
        <v>2249</v>
      </c>
      <c r="DT228" s="176">
        <f>DT227-DT229</f>
        <v>1629</v>
      </c>
      <c r="DU228" s="176">
        <f>DU227-DU229</f>
        <v>2422</v>
      </c>
      <c r="DV228" s="1007">
        <f t="shared" si="971"/>
        <v>10472</v>
      </c>
      <c r="DW228" s="176">
        <f t="shared" ref="DW228:EF228" si="972">DW227-DW229</f>
        <v>-837</v>
      </c>
      <c r="DX228" s="176">
        <f t="shared" si="972"/>
        <v>67</v>
      </c>
      <c r="DY228" s="176">
        <f t="shared" si="972"/>
        <v>-593</v>
      </c>
      <c r="DZ228" s="176">
        <f t="shared" si="972"/>
        <v>-1294</v>
      </c>
      <c r="EA228" s="1007">
        <f t="shared" si="972"/>
        <v>-2657</v>
      </c>
      <c r="EB228" s="176">
        <f>EB227-EB229</f>
        <v>495</v>
      </c>
      <c r="EC228" s="176">
        <f>EC227-EC229</f>
        <v>-200</v>
      </c>
      <c r="ED228" s="176">
        <f>ED227-ED229</f>
        <v>-187</v>
      </c>
      <c r="EE228" s="176">
        <f t="shared" si="972"/>
        <v>541</v>
      </c>
      <c r="EF228" s="1007">
        <f t="shared" si="972"/>
        <v>649</v>
      </c>
      <c r="EG228" s="176">
        <f>EG227-EG229</f>
        <v>2347</v>
      </c>
      <c r="EH228" s="176">
        <f>EH227-EH229</f>
        <v>-586</v>
      </c>
      <c r="EI228" s="176">
        <f>EI227-EI229</f>
        <v>1850</v>
      </c>
      <c r="EJ228" s="176">
        <f t="shared" ref="EJ228" si="973">EJ227-EJ229</f>
        <v>321</v>
      </c>
      <c r="EK228" s="1007">
        <f>EK227-EK229</f>
        <v>3932</v>
      </c>
      <c r="EL228" s="176">
        <f>EL227-EL229</f>
        <v>9718</v>
      </c>
      <c r="EM228" s="176">
        <f>EM227-EM229</f>
        <v>1203</v>
      </c>
      <c r="EN228" s="176">
        <f t="shared" ref="EN228:EO228" si="974">EN227-EN229</f>
        <v>10560</v>
      </c>
      <c r="EO228" s="176">
        <f t="shared" ca="1" si="974"/>
        <v>0</v>
      </c>
      <c r="EP228" s="1007">
        <f ca="1">EP227-EP229</f>
        <v>21481.000000000029</v>
      </c>
      <c r="EQ228" s="176">
        <f t="shared" ref="EQ228:ET228" ca="1" si="975">EQ227-EQ229</f>
        <v>0</v>
      </c>
      <c r="ER228" s="176">
        <f t="shared" ca="1" si="975"/>
        <v>0</v>
      </c>
      <c r="ES228" s="176">
        <f t="shared" ca="1" si="975"/>
        <v>0</v>
      </c>
      <c r="ET228" s="176">
        <f t="shared" ca="1" si="975"/>
        <v>0</v>
      </c>
      <c r="EU228" s="1007">
        <f ca="1">EU227-EU229</f>
        <v>0</v>
      </c>
      <c r="EV228" s="1007">
        <f ca="1">EV227-EV229</f>
        <v>0</v>
      </c>
      <c r="EW228" s="1007">
        <f ca="1">EW227-EW229</f>
        <v>0</v>
      </c>
      <c r="EX228" s="1007">
        <f ca="1">EX227-EX229</f>
        <v>0</v>
      </c>
      <c r="EY228" s="1007">
        <f ca="1">EY227-EY229</f>
        <v>0</v>
      </c>
      <c r="EZ228" s="129"/>
      <c r="FA228" s="1319"/>
      <c r="FB228" s="1319"/>
      <c r="FC228" s="1319"/>
      <c r="FD228" s="1319"/>
      <c r="FE228" s="1319"/>
      <c r="FF228" s="1319"/>
      <c r="FG228" s="1319"/>
      <c r="FH228" s="1319"/>
      <c r="FI228" s="1319"/>
      <c r="FJ228" s="1319"/>
      <c r="FK228" s="1319"/>
      <c r="FL228" s="1319"/>
    </row>
    <row r="229" spans="1:168" ht="11.25" customHeight="1">
      <c r="A229" s="3789" t="s">
        <v>745</v>
      </c>
      <c r="B229" s="3600"/>
      <c r="C229" s="3600"/>
      <c r="D229" s="3600"/>
      <c r="E229" s="3600"/>
      <c r="F229" s="3600"/>
      <c r="G229" s="3600"/>
      <c r="H229" s="3600"/>
      <c r="I229" s="3600"/>
      <c r="J229" s="3600"/>
      <c r="K229" s="3600"/>
      <c r="L229" s="3600"/>
      <c r="M229" s="3600"/>
      <c r="N229" s="3600"/>
      <c r="O229" s="3600"/>
      <c r="P229" s="3600"/>
      <c r="Q229" s="3600"/>
      <c r="R229" s="3600"/>
      <c r="S229" s="3600"/>
      <c r="T229" s="3600"/>
      <c r="U229" s="3600"/>
      <c r="V229" s="3600"/>
      <c r="W229" s="3600"/>
      <c r="X229" s="3600"/>
      <c r="Y229" s="3600"/>
      <c r="Z229" s="3600"/>
      <c r="AA229" s="3600"/>
      <c r="AB229" s="3600"/>
      <c r="AC229" s="3600"/>
      <c r="AD229" s="3600"/>
      <c r="AE229" s="3600"/>
      <c r="AF229" s="3600"/>
      <c r="AG229" s="3600"/>
      <c r="AH229" s="3600"/>
      <c r="AI229" s="3600"/>
      <c r="AJ229" s="3600"/>
      <c r="AK229" s="3600"/>
      <c r="AL229" s="3600"/>
      <c r="AM229" s="3600"/>
      <c r="AN229" s="3600"/>
      <c r="AO229" s="3600"/>
      <c r="AP229" s="3600"/>
      <c r="AQ229" s="3600"/>
      <c r="AR229" s="3600"/>
      <c r="AS229" s="3600"/>
      <c r="AT229" s="3600"/>
      <c r="AU229" s="3600"/>
      <c r="AV229" s="3600"/>
      <c r="AW229" s="3600"/>
      <c r="AX229" s="3600"/>
      <c r="AY229" s="3600"/>
      <c r="AZ229" s="3600"/>
      <c r="BA229" s="3600"/>
      <c r="BB229" s="3600"/>
      <c r="BC229" s="3600"/>
      <c r="BD229" s="3600"/>
      <c r="BE229" s="3600"/>
      <c r="BF229" s="3600"/>
      <c r="BG229" s="3600"/>
      <c r="BH229" s="3600"/>
      <c r="BI229" s="3600"/>
      <c r="BJ229" s="3600"/>
      <c r="BK229" s="3600"/>
      <c r="BL229" s="3600"/>
      <c r="BM229" s="3600"/>
      <c r="BN229" s="3600"/>
      <c r="BO229" s="3600"/>
      <c r="BP229" s="3600"/>
      <c r="BQ229" s="3600"/>
      <c r="BR229" s="3600"/>
      <c r="BS229" s="3600"/>
      <c r="BT229" s="3600"/>
      <c r="BU229" s="3600"/>
      <c r="BV229" s="3600"/>
      <c r="BW229" s="3600"/>
      <c r="BX229" s="3600"/>
      <c r="BY229" s="3600"/>
      <c r="BZ229" s="3600"/>
      <c r="CA229" s="3600"/>
      <c r="CB229" s="3600"/>
      <c r="CC229" s="3600"/>
      <c r="CD229" s="3600"/>
      <c r="CE229" s="3600"/>
      <c r="CF229" s="3600"/>
      <c r="CG229" s="3600"/>
      <c r="CH229" s="3600"/>
      <c r="CI229" s="3600"/>
      <c r="CJ229" s="3600"/>
      <c r="CK229" s="3600"/>
      <c r="CL229" s="3600"/>
      <c r="CM229" s="3600"/>
      <c r="CN229" s="3600"/>
      <c r="CO229" s="3600"/>
      <c r="CP229" s="3600"/>
      <c r="CQ229" s="3600"/>
      <c r="CR229" s="3600"/>
      <c r="CS229" s="3600"/>
      <c r="CT229" s="3600"/>
      <c r="CU229" s="3600"/>
      <c r="CV229" s="3600"/>
      <c r="CW229" s="3601"/>
      <c r="CX229" s="3600"/>
      <c r="CY229" s="3600"/>
      <c r="CZ229" s="3600"/>
      <c r="DA229" s="3600"/>
      <c r="DB229" s="3602">
        <f t="shared" ref="DB229:DV229" si="976">DB223+DB226</f>
        <v>27193</v>
      </c>
      <c r="DC229" s="2919">
        <f t="shared" si="976"/>
        <v>8144</v>
      </c>
      <c r="DD229" s="2919">
        <f t="shared" si="976"/>
        <v>3391</v>
      </c>
      <c r="DE229" s="2919">
        <f t="shared" si="976"/>
        <v>9016</v>
      </c>
      <c r="DF229" s="2919">
        <f t="shared" si="976"/>
        <v>10105</v>
      </c>
      <c r="DG229" s="3602">
        <f t="shared" si="976"/>
        <v>30656</v>
      </c>
      <c r="DH229" s="2919">
        <f t="shared" si="976"/>
        <v>7180</v>
      </c>
      <c r="DI229" s="2919">
        <f t="shared" si="976"/>
        <v>9891</v>
      </c>
      <c r="DJ229" s="2919">
        <f t="shared" si="976"/>
        <v>9929</v>
      </c>
      <c r="DK229" s="2919">
        <f t="shared" si="976"/>
        <v>10302</v>
      </c>
      <c r="DL229" s="3602">
        <f t="shared" si="976"/>
        <v>37302</v>
      </c>
      <c r="DM229" s="2919">
        <f t="shared" si="976"/>
        <v>8565</v>
      </c>
      <c r="DN229" s="2919">
        <f t="shared" si="976"/>
        <v>6897</v>
      </c>
      <c r="DO229" s="2919">
        <f t="shared" si="976"/>
        <v>11595</v>
      </c>
      <c r="DP229" s="2919">
        <f t="shared" si="976"/>
        <v>16042</v>
      </c>
      <c r="DQ229" s="3602">
        <f t="shared" si="976"/>
        <v>43099</v>
      </c>
      <c r="DR229" s="2919">
        <f>DR223+DR226</f>
        <v>17111</v>
      </c>
      <c r="DS229" s="2919">
        <f>DS223+DS226</f>
        <v>19736</v>
      </c>
      <c r="DT229" s="2919">
        <f>DT223+DT226</f>
        <v>21435</v>
      </c>
      <c r="DU229" s="2919">
        <f>DU223+DU226</f>
        <v>21980</v>
      </c>
      <c r="DV229" s="3602">
        <f t="shared" si="976"/>
        <v>80262</v>
      </c>
      <c r="DW229" s="2919">
        <f t="shared" ref="DW229:EF229" si="977">DW223+DW226</f>
        <v>19771</v>
      </c>
      <c r="DX229" s="2919">
        <f t="shared" si="977"/>
        <v>18947</v>
      </c>
      <c r="DY229" s="2919">
        <f t="shared" si="977"/>
        <v>16826</v>
      </c>
      <c r="DZ229" s="2919">
        <f t="shared" si="977"/>
        <v>18441</v>
      </c>
      <c r="EA229" s="3602">
        <f t="shared" si="977"/>
        <v>73985</v>
      </c>
      <c r="EB229" s="2919">
        <f>EB223+EB226</f>
        <v>17710</v>
      </c>
      <c r="EC229" s="2919">
        <f>EC223+EC226</f>
        <v>22103</v>
      </c>
      <c r="ED229" s="2919">
        <f>ED223+ED226</f>
        <v>21384</v>
      </c>
      <c r="EE229" s="2919">
        <f t="shared" si="977"/>
        <v>23871</v>
      </c>
      <c r="EF229" s="3602">
        <f t="shared" si="977"/>
        <v>85068</v>
      </c>
      <c r="EG229" s="2919">
        <f>EG223+EG226</f>
        <v>25968</v>
      </c>
      <c r="EH229" s="2919">
        <f>EH223+EH226</f>
        <v>28137</v>
      </c>
      <c r="EI229" s="2919">
        <f>EI223+EI226</f>
        <v>29856</v>
      </c>
      <c r="EJ229" s="2919">
        <f t="shared" ref="EJ229" si="978">EJ223+EJ226</f>
        <v>31922</v>
      </c>
      <c r="EK229" s="3602">
        <f>EK223+EK226</f>
        <v>115883</v>
      </c>
      <c r="EL229" s="2919">
        <f>EL223+EL226</f>
        <v>32071</v>
      </c>
      <c r="EM229" s="2919">
        <f>EM223+EM226</f>
        <v>32730</v>
      </c>
      <c r="EN229" s="2919">
        <f t="shared" ref="EN229:EO229" si="979">EN223+EN226</f>
        <v>33427</v>
      </c>
      <c r="EO229" s="2919">
        <f t="shared" ca="1" si="979"/>
        <v>38290.130195756254</v>
      </c>
      <c r="EP229" s="3602">
        <f ca="1">EP223+EP226</f>
        <v>136518.13019575624</v>
      </c>
      <c r="EQ229" s="2919">
        <f t="shared" ref="EQ229:ET229" ca="1" si="980">EQ223+EQ226</f>
        <v>38061.840735606667</v>
      </c>
      <c r="ER229" s="2919">
        <f t="shared" ca="1" si="980"/>
        <v>39756.631325108443</v>
      </c>
      <c r="ES229" s="2919">
        <f t="shared" ca="1" si="980"/>
        <v>40845.87473463401</v>
      </c>
      <c r="ET229" s="2919">
        <f t="shared" ca="1" si="980"/>
        <v>44330.366109572315</v>
      </c>
      <c r="EU229" s="3602">
        <f ca="1">EU223+EU226</f>
        <v>162994.71290492144</v>
      </c>
      <c r="EV229" s="3602">
        <f ca="1">EV223+EV226</f>
        <v>181420.64284364579</v>
      </c>
      <c r="EW229" s="3602">
        <f ca="1">EW223+EW226</f>
        <v>205820.73245922447</v>
      </c>
      <c r="EX229" s="3602">
        <f ca="1">EX223+EX226</f>
        <v>232882.98132499907</v>
      </c>
      <c r="EY229" s="3602">
        <f ca="1">EY223+EY226</f>
        <v>264281.77763034136</v>
      </c>
      <c r="EZ229" s="129"/>
      <c r="FA229" s="1319"/>
      <c r="FB229" s="1319"/>
      <c r="FC229" s="1319"/>
      <c r="FD229" s="1319"/>
      <c r="FE229" s="1319"/>
      <c r="FF229" s="1319"/>
      <c r="FG229" s="1319"/>
      <c r="FH229" s="1319"/>
      <c r="FI229" s="1319"/>
      <c r="FJ229" s="1319"/>
      <c r="FK229" s="1319"/>
      <c r="FL229" s="1319"/>
    </row>
    <row r="230" spans="1:168" ht="11.25" customHeight="1">
      <c r="A230" s="3790" t="s">
        <v>746</v>
      </c>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31"/>
      <c r="BJ230" s="31"/>
      <c r="BK230" s="31"/>
      <c r="BL230" s="31"/>
      <c r="BM230" s="31"/>
      <c r="BN230" s="31"/>
      <c r="BO230" s="31"/>
      <c r="BP230" s="31"/>
      <c r="BQ230" s="31"/>
      <c r="BR230" s="31"/>
      <c r="BS230" s="31"/>
      <c r="BT230" s="31"/>
      <c r="BU230" s="31"/>
      <c r="BV230" s="31"/>
      <c r="BW230" s="31"/>
      <c r="BX230" s="31"/>
      <c r="BY230" s="31"/>
      <c r="BZ230" s="31"/>
      <c r="CA230" s="31"/>
      <c r="CB230" s="31"/>
      <c r="CC230" s="31"/>
      <c r="CD230" s="31"/>
      <c r="CE230" s="31"/>
      <c r="CF230" s="31"/>
      <c r="CG230" s="31"/>
      <c r="CH230" s="31"/>
      <c r="CI230" s="31"/>
      <c r="CJ230" s="31"/>
      <c r="CK230" s="31"/>
      <c r="CL230" s="31"/>
      <c r="CM230" s="31"/>
      <c r="CN230" s="31"/>
      <c r="CO230" s="31"/>
      <c r="CP230" s="31"/>
      <c r="CQ230" s="31"/>
      <c r="CR230" s="31"/>
      <c r="CS230" s="31"/>
      <c r="CT230" s="31"/>
      <c r="CU230" s="31"/>
      <c r="CV230" s="31"/>
      <c r="CW230" s="3595"/>
      <c r="CX230" s="31"/>
      <c r="CY230" s="31"/>
      <c r="CZ230" s="31"/>
      <c r="DA230" s="152"/>
      <c r="DB230" s="2954">
        <f t="shared" ref="DB230:EX230" si="981">DB33</f>
        <v>14531</v>
      </c>
      <c r="DC230" s="176">
        <f t="shared" si="981"/>
        <v>1142</v>
      </c>
      <c r="DD230" s="176">
        <f t="shared" si="981"/>
        <v>1020</v>
      </c>
      <c r="DE230" s="176">
        <f t="shared" si="981"/>
        <v>891</v>
      </c>
      <c r="DF230" s="176">
        <f t="shared" si="981"/>
        <v>1124</v>
      </c>
      <c r="DG230" s="2954">
        <f t="shared" si="981"/>
        <v>4177</v>
      </c>
      <c r="DH230" s="176">
        <f t="shared" si="981"/>
        <v>1489</v>
      </c>
      <c r="DI230" s="176">
        <f t="shared" si="981"/>
        <v>2200</v>
      </c>
      <c r="DJ230" s="176">
        <f t="shared" si="981"/>
        <v>1560</v>
      </c>
      <c r="DK230" s="176">
        <f t="shared" si="981"/>
        <v>33</v>
      </c>
      <c r="DL230" s="2954">
        <f t="shared" si="981"/>
        <v>5282</v>
      </c>
      <c r="DM230" s="176">
        <f t="shared" si="981"/>
        <v>921</v>
      </c>
      <c r="DN230" s="176">
        <f t="shared" si="981"/>
        <v>1318</v>
      </c>
      <c r="DO230" s="176">
        <f t="shared" si="981"/>
        <v>2112</v>
      </c>
      <c r="DP230" s="176">
        <f t="shared" si="981"/>
        <v>3462</v>
      </c>
      <c r="DQ230" s="2954">
        <f t="shared" si="981"/>
        <v>7813</v>
      </c>
      <c r="DR230" s="176">
        <f t="shared" si="981"/>
        <v>3353</v>
      </c>
      <c r="DS230" s="176">
        <f t="shared" si="981"/>
        <v>3460</v>
      </c>
      <c r="DT230" s="176">
        <f t="shared" si="981"/>
        <v>4128</v>
      </c>
      <c r="DU230" s="176">
        <f t="shared" si="981"/>
        <v>3760</v>
      </c>
      <c r="DV230" s="1007">
        <f t="shared" si="981"/>
        <v>14701</v>
      </c>
      <c r="DW230" s="176">
        <f t="shared" si="981"/>
        <v>2498</v>
      </c>
      <c r="DX230" s="176">
        <f t="shared" si="981"/>
        <v>3012</v>
      </c>
      <c r="DY230" s="176">
        <f t="shared" si="981"/>
        <v>2323</v>
      </c>
      <c r="DZ230" s="176">
        <f t="shared" si="981"/>
        <v>3523</v>
      </c>
      <c r="EA230" s="1007">
        <f t="shared" si="981"/>
        <v>11356</v>
      </c>
      <c r="EB230" s="176">
        <f t="shared" si="981"/>
        <v>3154</v>
      </c>
      <c r="EC230" s="176">
        <f t="shared" si="981"/>
        <v>3535</v>
      </c>
      <c r="ED230" s="176">
        <f t="shared" si="981"/>
        <v>1508</v>
      </c>
      <c r="EE230" s="176">
        <f t="shared" si="981"/>
        <v>3725</v>
      </c>
      <c r="EF230" s="1007">
        <f t="shared" si="981"/>
        <v>11922</v>
      </c>
      <c r="EG230" s="176">
        <f t="shared" si="981"/>
        <v>4653</v>
      </c>
      <c r="EH230" s="176">
        <f t="shared" si="981"/>
        <v>3932</v>
      </c>
      <c r="EI230" s="176">
        <f t="shared" si="981"/>
        <v>5405</v>
      </c>
      <c r="EJ230" s="176">
        <f t="shared" si="981"/>
        <v>5707</v>
      </c>
      <c r="EK230" s="1007">
        <f t="shared" si="981"/>
        <v>19697</v>
      </c>
      <c r="EL230" s="176">
        <f t="shared" si="981"/>
        <v>7249</v>
      </c>
      <c r="EM230" s="176">
        <f t="shared" si="981"/>
        <v>5737</v>
      </c>
      <c r="EN230" s="176">
        <f t="shared" si="981"/>
        <v>9008</v>
      </c>
      <c r="EO230" s="176">
        <f t="shared" ca="1" si="981"/>
        <v>6509.3221332785633</v>
      </c>
      <c r="EP230" s="1007">
        <f t="shared" ca="1" si="981"/>
        <v>28503.322133278562</v>
      </c>
      <c r="EQ230" s="176">
        <f t="shared" ref="EQ230:EU230" ca="1" si="982">EQ33</f>
        <v>6470.5129250531336</v>
      </c>
      <c r="ER230" s="176">
        <f t="shared" ca="1" si="982"/>
        <v>6758.6273252684359</v>
      </c>
      <c r="ES230" s="176">
        <f t="shared" ca="1" si="982"/>
        <v>6943.7987048877822</v>
      </c>
      <c r="ET230" s="176">
        <f t="shared" ca="1" si="982"/>
        <v>7536.1622386272938</v>
      </c>
      <c r="EU230" s="1007">
        <f t="shared" ca="1" si="982"/>
        <v>27709.101193836643</v>
      </c>
      <c r="EV230" s="1007">
        <f t="shared" ca="1" si="981"/>
        <v>30841.509283419786</v>
      </c>
      <c r="EW230" s="1007">
        <f t="shared" ca="1" si="981"/>
        <v>34989.52451806816</v>
      </c>
      <c r="EX230" s="1007">
        <f t="shared" ca="1" si="981"/>
        <v>39590.106825249844</v>
      </c>
      <c r="EY230" s="1007">
        <f t="shared" ref="EY230" ca="1" si="983">EY33</f>
        <v>44927.902197158037</v>
      </c>
      <c r="EZ230" s="129"/>
      <c r="FA230" s="1319"/>
      <c r="FB230" s="1319"/>
      <c r="FC230" s="1319"/>
      <c r="FD230" s="1319"/>
      <c r="FE230" s="1319"/>
      <c r="FF230" s="1319"/>
      <c r="FG230" s="1319"/>
      <c r="FH230" s="1319"/>
      <c r="FI230" s="1319"/>
      <c r="FJ230" s="1319"/>
      <c r="FK230" s="1319"/>
      <c r="FL230" s="1319"/>
    </row>
    <row r="231" spans="1:168" s="472" customFormat="1" ht="11.25" customHeight="1">
      <c r="A231" s="5171" t="s">
        <v>1121</v>
      </c>
      <c r="B231" s="513"/>
      <c r="C231" s="513"/>
      <c r="D231" s="513"/>
      <c r="E231" s="513"/>
      <c r="F231" s="513"/>
      <c r="G231" s="513"/>
      <c r="H231" s="513"/>
      <c r="I231" s="513"/>
      <c r="J231" s="513"/>
      <c r="K231" s="513"/>
      <c r="L231" s="513"/>
      <c r="M231" s="513"/>
      <c r="N231" s="513"/>
      <c r="O231" s="513"/>
      <c r="P231" s="513"/>
      <c r="Q231" s="513"/>
      <c r="R231" s="513"/>
      <c r="S231" s="513"/>
      <c r="T231" s="513"/>
      <c r="U231" s="513"/>
      <c r="V231" s="513"/>
      <c r="W231" s="513"/>
      <c r="X231" s="513"/>
      <c r="Y231" s="513"/>
      <c r="Z231" s="513"/>
      <c r="AA231" s="513"/>
      <c r="AB231" s="513"/>
      <c r="AC231" s="513"/>
      <c r="AD231" s="513"/>
      <c r="AE231" s="513"/>
      <c r="AF231" s="513"/>
      <c r="AG231" s="513"/>
      <c r="AH231" s="513"/>
      <c r="AI231" s="513"/>
      <c r="AJ231" s="513"/>
      <c r="AK231" s="513"/>
      <c r="AL231" s="513"/>
      <c r="AM231" s="513"/>
      <c r="AN231" s="513"/>
      <c r="AO231" s="513"/>
      <c r="AP231" s="513"/>
      <c r="AQ231" s="513"/>
      <c r="AR231" s="513"/>
      <c r="AS231" s="513"/>
      <c r="AT231" s="513"/>
      <c r="AU231" s="513"/>
      <c r="AV231" s="513"/>
      <c r="AW231" s="513"/>
      <c r="AX231" s="513"/>
      <c r="AY231" s="513"/>
      <c r="AZ231" s="513"/>
      <c r="BA231" s="513"/>
      <c r="BB231" s="513"/>
      <c r="BC231" s="513"/>
      <c r="BD231" s="513"/>
      <c r="BE231" s="513"/>
      <c r="BF231" s="513"/>
      <c r="BG231" s="513"/>
      <c r="BH231" s="513"/>
      <c r="BI231" s="513"/>
      <c r="BJ231" s="513"/>
      <c r="BK231" s="513"/>
      <c r="BL231" s="513"/>
      <c r="BM231" s="513"/>
      <c r="BN231" s="513"/>
      <c r="BO231" s="513"/>
      <c r="BP231" s="513"/>
      <c r="BQ231" s="513"/>
      <c r="BR231" s="513"/>
      <c r="BS231" s="513"/>
      <c r="BT231" s="513"/>
      <c r="BU231" s="513"/>
      <c r="BV231" s="513"/>
      <c r="BW231" s="513"/>
      <c r="BX231" s="513"/>
      <c r="BY231" s="513"/>
      <c r="BZ231" s="513"/>
      <c r="CA231" s="513"/>
      <c r="CB231" s="513"/>
      <c r="CC231" s="513"/>
      <c r="CD231" s="513"/>
      <c r="CE231" s="513"/>
      <c r="CF231" s="513"/>
      <c r="CG231" s="513"/>
      <c r="CH231" s="513"/>
      <c r="CI231" s="513"/>
      <c r="CJ231" s="513"/>
      <c r="CK231" s="513"/>
      <c r="CL231" s="513"/>
      <c r="CM231" s="513"/>
      <c r="CN231" s="513"/>
      <c r="CO231" s="513"/>
      <c r="CP231" s="513"/>
      <c r="CQ231" s="513"/>
      <c r="CR231" s="513"/>
      <c r="CS231" s="513"/>
      <c r="CT231" s="513"/>
      <c r="CU231" s="513"/>
      <c r="CV231" s="513"/>
      <c r="CW231" s="3605"/>
      <c r="CX231" s="513"/>
      <c r="CY231" s="513"/>
      <c r="CZ231" s="513"/>
      <c r="DA231" s="5172"/>
      <c r="DB231" s="5173">
        <f>SUM(CX231:DA231)</f>
        <v>0</v>
      </c>
      <c r="DC231" s="2339">
        <v>-475</v>
      </c>
      <c r="DD231" s="2339">
        <v>-173</v>
      </c>
      <c r="DE231" s="2339">
        <v>-224</v>
      </c>
      <c r="DF231" s="2339">
        <v>7</v>
      </c>
      <c r="DG231" s="5173">
        <f>SUM(DC231:DF231)</f>
        <v>-865</v>
      </c>
      <c r="DH231" s="2339">
        <v>-203</v>
      </c>
      <c r="DI231" s="2339">
        <v>-474</v>
      </c>
      <c r="DJ231" s="2339">
        <v>273</v>
      </c>
      <c r="DK231" s="2339">
        <v>-84</v>
      </c>
      <c r="DL231" s="5173">
        <f>SUM(DH231:DK231)</f>
        <v>-488</v>
      </c>
      <c r="DM231" s="2339">
        <v>170</v>
      </c>
      <c r="DN231" s="2339">
        <v>-290</v>
      </c>
      <c r="DO231" s="2339">
        <v>-370</v>
      </c>
      <c r="DP231" s="2339">
        <v>-556</v>
      </c>
      <c r="DQ231" s="5173">
        <f>SUM(DM231:DP231)</f>
        <v>-1046</v>
      </c>
      <c r="DR231" s="2339">
        <v>-876</v>
      </c>
      <c r="DS231" s="2339">
        <v>-472</v>
      </c>
      <c r="DT231" s="2339">
        <v>-342</v>
      </c>
      <c r="DU231" s="2339">
        <v>-509</v>
      </c>
      <c r="DV231" s="5173">
        <f>SUM(DR231:DU231)</f>
        <v>-2199</v>
      </c>
      <c r="DW231" s="2339">
        <v>176</v>
      </c>
      <c r="DX231" s="2339">
        <v>-14</v>
      </c>
      <c r="DY231" s="2339">
        <v>125</v>
      </c>
      <c r="DZ231" s="2339">
        <v>272</v>
      </c>
      <c r="EA231" s="5173">
        <f>SUM(DW231:DZ231)</f>
        <v>559</v>
      </c>
      <c r="EB231" s="2339">
        <v>-104</v>
      </c>
      <c r="EC231" s="2339">
        <v>42</v>
      </c>
      <c r="ED231" s="2339">
        <v>-39</v>
      </c>
      <c r="EE231" s="2339">
        <v>-114</v>
      </c>
      <c r="EF231" s="5173">
        <f>SUM(EB231:EE231)</f>
        <v>-215</v>
      </c>
      <c r="EG231" s="2339">
        <v>-493</v>
      </c>
      <c r="EH231" s="2339">
        <v>123</v>
      </c>
      <c r="EI231" s="2339">
        <v>-389</v>
      </c>
      <c r="EJ231" s="2339">
        <v>-67</v>
      </c>
      <c r="EK231" s="5173">
        <f>SUM(EG231:EJ231)</f>
        <v>-826</v>
      </c>
      <c r="EL231" s="4435">
        <v>-2010</v>
      </c>
      <c r="EM231" s="2339">
        <v>-253</v>
      </c>
      <c r="EN231" s="4435">
        <v>-2262</v>
      </c>
      <c r="EO231" s="2333"/>
      <c r="EP231" s="5173">
        <f>SUM(EL231:EO231)</f>
        <v>-4525</v>
      </c>
      <c r="EQ231" s="2333"/>
      <c r="ER231" s="2333"/>
      <c r="ES231" s="2333"/>
      <c r="ET231" s="2333"/>
      <c r="EU231" s="5173">
        <f>SUM(EQ231:ET231)</f>
        <v>0</v>
      </c>
      <c r="EV231" s="2332"/>
      <c r="EW231" s="2332"/>
      <c r="EX231" s="2332"/>
      <c r="EY231" s="2332"/>
      <c r="EZ231" s="527"/>
      <c r="FA231" s="4275"/>
      <c r="FB231" s="4275"/>
      <c r="FC231" s="4275"/>
      <c r="FD231" s="4275"/>
      <c r="FE231" s="4275"/>
      <c r="FF231" s="4275"/>
      <c r="FG231" s="4275"/>
      <c r="FH231" s="4275"/>
      <c r="FI231" s="4275"/>
      <c r="FJ231" s="4275"/>
      <c r="FK231" s="4275"/>
      <c r="FL231" s="4275"/>
    </row>
    <row r="232" spans="1:168" ht="11.25" customHeight="1">
      <c r="A232" s="3790" t="s">
        <v>754</v>
      </c>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31"/>
      <c r="AL232" s="31"/>
      <c r="AM232" s="31"/>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31"/>
      <c r="BJ232" s="31"/>
      <c r="BK232" s="31"/>
      <c r="BL232" s="31"/>
      <c r="BM232" s="31"/>
      <c r="BN232" s="31"/>
      <c r="BO232" s="31"/>
      <c r="BP232" s="31"/>
      <c r="BQ232" s="31"/>
      <c r="BR232" s="31"/>
      <c r="BS232" s="31"/>
      <c r="BT232" s="31"/>
      <c r="BU232" s="31"/>
      <c r="BV232" s="31"/>
      <c r="BW232" s="31"/>
      <c r="BX232" s="31"/>
      <c r="BY232" s="31"/>
      <c r="BZ232" s="31"/>
      <c r="CA232" s="31"/>
      <c r="CB232" s="31"/>
      <c r="CC232" s="31"/>
      <c r="CD232" s="31"/>
      <c r="CE232" s="31"/>
      <c r="CF232" s="31"/>
      <c r="CG232" s="31"/>
      <c r="CH232" s="31"/>
      <c r="CI232" s="31"/>
      <c r="CJ232" s="31"/>
      <c r="CK232" s="31"/>
      <c r="CL232" s="31"/>
      <c r="CM232" s="31"/>
      <c r="CN232" s="31"/>
      <c r="CO232" s="31"/>
      <c r="CP232" s="31"/>
      <c r="CQ232" s="31"/>
      <c r="CR232" s="31"/>
      <c r="CS232" s="31"/>
      <c r="CT232" s="31"/>
      <c r="CU232" s="31"/>
      <c r="CV232" s="31"/>
      <c r="CW232" s="3595"/>
      <c r="CX232" s="31"/>
      <c r="CY232" s="31"/>
      <c r="CZ232" s="31"/>
      <c r="DA232" s="152"/>
      <c r="DB232" s="3515">
        <f t="shared" ref="DB232:DV232" si="984">DB230+DB231</f>
        <v>14531</v>
      </c>
      <c r="DC232" s="176">
        <f t="shared" si="984"/>
        <v>667</v>
      </c>
      <c r="DD232" s="176">
        <f t="shared" si="984"/>
        <v>847</v>
      </c>
      <c r="DE232" s="176">
        <f t="shared" si="984"/>
        <v>667</v>
      </c>
      <c r="DF232" s="176">
        <f t="shared" si="984"/>
        <v>1131</v>
      </c>
      <c r="DG232" s="3515">
        <f t="shared" si="984"/>
        <v>3312</v>
      </c>
      <c r="DH232" s="176">
        <f t="shared" si="984"/>
        <v>1286</v>
      </c>
      <c r="DI232" s="176">
        <f t="shared" si="984"/>
        <v>1726</v>
      </c>
      <c r="DJ232" s="176">
        <f t="shared" si="984"/>
        <v>1833</v>
      </c>
      <c r="DK232" s="176">
        <f t="shared" si="984"/>
        <v>-51</v>
      </c>
      <c r="DL232" s="3515">
        <f t="shared" si="984"/>
        <v>4794</v>
      </c>
      <c r="DM232" s="176">
        <f t="shared" si="984"/>
        <v>1091</v>
      </c>
      <c r="DN232" s="176">
        <f t="shared" si="984"/>
        <v>1028</v>
      </c>
      <c r="DO232" s="176">
        <f t="shared" si="984"/>
        <v>1742</v>
      </c>
      <c r="DP232" s="176">
        <f t="shared" si="984"/>
        <v>2906</v>
      </c>
      <c r="DQ232" s="3515">
        <f t="shared" si="984"/>
        <v>6767</v>
      </c>
      <c r="DR232" s="176">
        <f>DR230+DR231</f>
        <v>2477</v>
      </c>
      <c r="DS232" s="176">
        <f>DS230+DS231</f>
        <v>2988</v>
      </c>
      <c r="DT232" s="176">
        <f>DT230+DT231</f>
        <v>3786</v>
      </c>
      <c r="DU232" s="176">
        <f>DU230+DU231</f>
        <v>3251</v>
      </c>
      <c r="DV232" s="1007">
        <f t="shared" si="984"/>
        <v>12502</v>
      </c>
      <c r="DW232" s="176">
        <f t="shared" ref="DW232:EF232" si="985">DW230+DW231</f>
        <v>2674</v>
      </c>
      <c r="DX232" s="176">
        <f t="shared" si="985"/>
        <v>2998</v>
      </c>
      <c r="DY232" s="176">
        <f t="shared" si="985"/>
        <v>2448</v>
      </c>
      <c r="DZ232" s="176">
        <f t="shared" si="985"/>
        <v>3795</v>
      </c>
      <c r="EA232" s="1007">
        <f t="shared" si="985"/>
        <v>11915</v>
      </c>
      <c r="EB232" s="176">
        <f>EB230+EB231</f>
        <v>3050</v>
      </c>
      <c r="EC232" s="176">
        <f>EC230+EC231</f>
        <v>3577</v>
      </c>
      <c r="ED232" s="176">
        <f>ED230+ED231</f>
        <v>1469</v>
      </c>
      <c r="EE232" s="176">
        <f t="shared" si="985"/>
        <v>3611</v>
      </c>
      <c r="EF232" s="1007">
        <f t="shared" si="985"/>
        <v>11707</v>
      </c>
      <c r="EG232" s="176">
        <f>EG230+EG231</f>
        <v>4160</v>
      </c>
      <c r="EH232" s="176">
        <f>EH230+EH231</f>
        <v>4055</v>
      </c>
      <c r="EI232" s="176">
        <f>EI230+EI231</f>
        <v>5016</v>
      </c>
      <c r="EJ232" s="176">
        <f t="shared" ref="EJ232" si="986">EJ230+EJ231</f>
        <v>5640</v>
      </c>
      <c r="EK232" s="1007">
        <f>EK230+EK231</f>
        <v>18871</v>
      </c>
      <c r="EL232" s="176">
        <f>EL230+EL231</f>
        <v>5239</v>
      </c>
      <c r="EM232" s="176">
        <f>EM230+EM231</f>
        <v>5484</v>
      </c>
      <c r="EN232" s="176">
        <f t="shared" ref="EN232:EO232" si="987">EN230+EN231</f>
        <v>6746</v>
      </c>
      <c r="EO232" s="176">
        <f t="shared" ca="1" si="987"/>
        <v>6509.3221332785633</v>
      </c>
      <c r="EP232" s="1007">
        <f ca="1">EP230+EP231</f>
        <v>23978.322133278562</v>
      </c>
      <c r="EQ232" s="176">
        <f t="shared" ref="EQ232:ET232" ca="1" si="988">EQ230+EQ231</f>
        <v>6470.5129250531336</v>
      </c>
      <c r="ER232" s="176">
        <f t="shared" ca="1" si="988"/>
        <v>6758.6273252684359</v>
      </c>
      <c r="ES232" s="176">
        <f t="shared" ca="1" si="988"/>
        <v>6943.7987048877822</v>
      </c>
      <c r="ET232" s="176">
        <f t="shared" ca="1" si="988"/>
        <v>7536.1622386272938</v>
      </c>
      <c r="EU232" s="1007">
        <f ca="1">EU230+EU231</f>
        <v>27709.101193836643</v>
      </c>
      <c r="EV232" s="1007">
        <f ca="1">EV230+EV231</f>
        <v>30841.509283419786</v>
      </c>
      <c r="EW232" s="1007">
        <f ca="1">EW230+EW231</f>
        <v>34989.52451806816</v>
      </c>
      <c r="EX232" s="1007">
        <f ca="1">EX230+EX231</f>
        <v>39590.106825249844</v>
      </c>
      <c r="EY232" s="1007">
        <f ca="1">EY230+EY231</f>
        <v>44927.902197158037</v>
      </c>
      <c r="EZ232" s="129"/>
      <c r="FA232" s="1319"/>
      <c r="FB232" s="1319"/>
      <c r="FC232" s="1319"/>
      <c r="FD232" s="1319"/>
      <c r="FE232" s="1319"/>
      <c r="FF232" s="1319"/>
      <c r="FG232" s="1319"/>
      <c r="FH232" s="1319"/>
      <c r="FI232" s="1319"/>
      <c r="FJ232" s="1319"/>
      <c r="FK232" s="1319"/>
      <c r="FL232" s="1319"/>
    </row>
    <row r="233" spans="1:168" ht="11.25" customHeight="1">
      <c r="A233" s="3790" t="s">
        <v>747</v>
      </c>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31"/>
      <c r="AM233" s="31"/>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1"/>
      <c r="BL233" s="31"/>
      <c r="BM233" s="31"/>
      <c r="BN233" s="31"/>
      <c r="BO233" s="31"/>
      <c r="BP233" s="31"/>
      <c r="BQ233" s="31"/>
      <c r="BR233" s="31"/>
      <c r="BS233" s="31"/>
      <c r="BT233" s="31"/>
      <c r="BU233" s="31"/>
      <c r="BV233" s="31"/>
      <c r="BW233" s="31"/>
      <c r="BX233" s="31"/>
      <c r="BY233" s="31"/>
      <c r="BZ233" s="31"/>
      <c r="CA233" s="31"/>
      <c r="CB233" s="31"/>
      <c r="CC233" s="31"/>
      <c r="CD233" s="31"/>
      <c r="CE233" s="31"/>
      <c r="CF233" s="31"/>
      <c r="CG233" s="31"/>
      <c r="CH233" s="31"/>
      <c r="CI233" s="31"/>
      <c r="CJ233" s="31"/>
      <c r="CK233" s="31"/>
      <c r="CL233" s="31"/>
      <c r="CM233" s="31"/>
      <c r="CN233" s="31"/>
      <c r="CO233" s="31"/>
      <c r="CP233" s="31"/>
      <c r="CQ233" s="31"/>
      <c r="CR233" s="31"/>
      <c r="CS233" s="31"/>
      <c r="CT233" s="31"/>
      <c r="CU233" s="31"/>
      <c r="CV233" s="31"/>
      <c r="CW233" s="3595"/>
      <c r="CX233" s="31"/>
      <c r="CY233" s="31"/>
      <c r="CZ233" s="31"/>
      <c r="DA233" s="332"/>
      <c r="DB233" s="2958">
        <f t="shared" ref="DB233:DG233" si="989">DB232/DB227</f>
        <v>0.53436546169970212</v>
      </c>
      <c r="DC233" s="127">
        <f t="shared" si="989"/>
        <v>6.3264725410224792E-2</v>
      </c>
      <c r="DD233" s="127">
        <f t="shared" si="989"/>
        <v>0.20094899169632266</v>
      </c>
      <c r="DE233" s="127">
        <f t="shared" si="989"/>
        <v>6.6150947138748389E-2</v>
      </c>
      <c r="DF233" s="127">
        <f t="shared" si="989"/>
        <v>0.11229150119142177</v>
      </c>
      <c r="DG233" s="2958">
        <f t="shared" si="989"/>
        <v>9.4864377166098593E-2</v>
      </c>
      <c r="DH233" s="127">
        <f t="shared" ref="DH233:DV233" si="990">DH232/DH227</f>
        <v>0.15786889270807758</v>
      </c>
      <c r="DI233" s="127">
        <f t="shared" si="990"/>
        <v>0.14209269778546144</v>
      </c>
      <c r="DJ233" s="127">
        <f t="shared" si="990"/>
        <v>0.21244784422809457</v>
      </c>
      <c r="DK233" s="127">
        <f t="shared" si="990"/>
        <v>-4.76457399103139E-3</v>
      </c>
      <c r="DL233" s="2958">
        <f t="shared" si="990"/>
        <v>0.12098422712933754</v>
      </c>
      <c r="DM233" s="127">
        <f t="shared" si="990"/>
        <v>0.14064715740621375</v>
      </c>
      <c r="DN233" s="127">
        <f t="shared" si="990"/>
        <v>0.12419958922314848</v>
      </c>
      <c r="DO233" s="127">
        <f t="shared" si="990"/>
        <v>0.13039898195972752</v>
      </c>
      <c r="DP233" s="127">
        <f t="shared" si="990"/>
        <v>0.1554925357161967</v>
      </c>
      <c r="DQ233" s="2958">
        <f t="shared" si="990"/>
        <v>0.14073873798926834</v>
      </c>
      <c r="DR233" s="127">
        <f t="shared" si="990"/>
        <v>0.11638396842550393</v>
      </c>
      <c r="DS233" s="127">
        <f t="shared" si="990"/>
        <v>0.13591084830566294</v>
      </c>
      <c r="DT233" s="127">
        <f t="shared" si="990"/>
        <v>0.16415192507804371</v>
      </c>
      <c r="DU233" s="127">
        <f t="shared" si="990"/>
        <v>0.13322678468977953</v>
      </c>
      <c r="DV233" s="1007">
        <f t="shared" si="990"/>
        <v>0.13778737849097361</v>
      </c>
      <c r="DW233" s="127">
        <f t="shared" ref="DW233:EF233" si="991">DW232/DW227</f>
        <v>0.14122742156966303</v>
      </c>
      <c r="DX233" s="127">
        <f t="shared" si="991"/>
        <v>0.15767329336278532</v>
      </c>
      <c r="DY233" s="127">
        <f t="shared" si="991"/>
        <v>0.15080391794492701</v>
      </c>
      <c r="DZ233" s="127">
        <f t="shared" si="991"/>
        <v>0.22132151396745786</v>
      </c>
      <c r="EA233" s="1007">
        <f t="shared" si="991"/>
        <v>0.16704519964109465</v>
      </c>
      <c r="EB233" s="127">
        <f>EB232/EB227</f>
        <v>0.16753639110134577</v>
      </c>
      <c r="EC233" s="127">
        <f>EC232/EC227</f>
        <v>0.16331096196868009</v>
      </c>
      <c r="ED233" s="127">
        <f>ED232/ED227</f>
        <v>6.9302259753738743E-2</v>
      </c>
      <c r="EE233" s="127">
        <f t="shared" si="991"/>
        <v>0.14791905620186793</v>
      </c>
      <c r="EF233" s="1007">
        <f t="shared" si="991"/>
        <v>0.13657734171751229</v>
      </c>
      <c r="EG233" s="127">
        <f>EG232/EG227</f>
        <v>0.14691859438460181</v>
      </c>
      <c r="EH233" s="127">
        <f>EH232/EH227</f>
        <v>0.14718159050488186</v>
      </c>
      <c r="EI233" s="127">
        <f>EI232/EI227</f>
        <v>0.15820349460669905</v>
      </c>
      <c r="EJ233" s="127">
        <f t="shared" ref="EJ233" si="992">EJ232/EJ227</f>
        <v>0.17492168842849612</v>
      </c>
      <c r="EK233" s="1007">
        <f t="shared" ref="EK233:EW233" si="993">EK232/EK227</f>
        <v>0.15750114760255393</v>
      </c>
      <c r="EL233" s="127">
        <f>EL232/EL227</f>
        <v>0.12536791978750389</v>
      </c>
      <c r="EM233" s="127">
        <f>EM232/EM227</f>
        <v>0.16161258951463178</v>
      </c>
      <c r="EN233" s="127">
        <f t="shared" ref="EN233:EP233" si="994">EN232/EN227</f>
        <v>0.15336349375951985</v>
      </c>
      <c r="EO233" s="127">
        <f t="shared" ca="1" si="994"/>
        <v>0.17</v>
      </c>
      <c r="EP233" s="1007">
        <f t="shared" ca="1" si="994"/>
        <v>0.15176236795462181</v>
      </c>
      <c r="EQ233" s="127">
        <f t="shared" ref="EQ233:EU233" ca="1" si="995">EQ232/EQ227</f>
        <v>0.17</v>
      </c>
      <c r="ER233" s="127">
        <f t="shared" ca="1" si="995"/>
        <v>0.17</v>
      </c>
      <c r="ES233" s="127">
        <f t="shared" ca="1" si="995"/>
        <v>0.17</v>
      </c>
      <c r="ET233" s="127">
        <f t="shared" ca="1" si="995"/>
        <v>0.17</v>
      </c>
      <c r="EU233" s="1007">
        <f t="shared" ca="1" si="995"/>
        <v>0.16999999999999998</v>
      </c>
      <c r="EV233" s="1007">
        <f t="shared" ca="1" si="993"/>
        <v>0.17</v>
      </c>
      <c r="EW233" s="1007">
        <f t="shared" ca="1" si="993"/>
        <v>0.17</v>
      </c>
      <c r="EX233" s="1007">
        <f t="shared" ref="EX233:EY233" ca="1" si="996">EX232/EX227</f>
        <v>0.17</v>
      </c>
      <c r="EY233" s="1007">
        <f t="shared" ca="1" si="996"/>
        <v>0.17</v>
      </c>
      <c r="EZ233" s="129"/>
      <c r="FA233" s="1319"/>
      <c r="FB233" s="1319"/>
      <c r="FC233" s="1319"/>
      <c r="FD233" s="1319"/>
      <c r="FE233" s="1319"/>
      <c r="FF233" s="1319"/>
      <c r="FG233" s="1319"/>
      <c r="FH233" s="1319"/>
      <c r="FI233" s="1319"/>
      <c r="FJ233" s="1319"/>
      <c r="FK233" s="1319"/>
      <c r="FL233" s="1319"/>
    </row>
    <row r="234" spans="1:168" ht="11.25" customHeight="1">
      <c r="A234" s="3793" t="s">
        <v>840</v>
      </c>
      <c r="B234" s="513"/>
      <c r="C234" s="513"/>
      <c r="D234" s="513"/>
      <c r="E234" s="513"/>
      <c r="F234" s="513"/>
      <c r="G234" s="513"/>
      <c r="H234" s="513"/>
      <c r="I234" s="513"/>
      <c r="J234" s="513"/>
      <c r="K234" s="513"/>
      <c r="L234" s="513"/>
      <c r="M234" s="513"/>
      <c r="N234" s="513"/>
      <c r="O234" s="513"/>
      <c r="P234" s="513"/>
      <c r="Q234" s="513"/>
      <c r="R234" s="513"/>
      <c r="S234" s="513"/>
      <c r="T234" s="513"/>
      <c r="U234" s="513"/>
      <c r="V234" s="513"/>
      <c r="W234" s="513"/>
      <c r="X234" s="513"/>
      <c r="Y234" s="513"/>
      <c r="Z234" s="513"/>
      <c r="AA234" s="513"/>
      <c r="AB234" s="513"/>
      <c r="AC234" s="513"/>
      <c r="AD234" s="513"/>
      <c r="AE234" s="513"/>
      <c r="AF234" s="513"/>
      <c r="AG234" s="513"/>
      <c r="AH234" s="513"/>
      <c r="AI234" s="513"/>
      <c r="AJ234" s="513"/>
      <c r="AK234" s="513"/>
      <c r="AL234" s="513"/>
      <c r="AM234" s="513"/>
      <c r="AN234" s="513"/>
      <c r="AO234" s="513"/>
      <c r="AP234" s="513"/>
      <c r="AQ234" s="513"/>
      <c r="AR234" s="513"/>
      <c r="AS234" s="513"/>
      <c r="AT234" s="513"/>
      <c r="AU234" s="513"/>
      <c r="AV234" s="513"/>
      <c r="AW234" s="513"/>
      <c r="AX234" s="513"/>
      <c r="AY234" s="513"/>
      <c r="AZ234" s="513"/>
      <c r="BA234" s="513"/>
      <c r="BB234" s="513"/>
      <c r="BC234" s="513"/>
      <c r="BD234" s="513"/>
      <c r="BE234" s="513"/>
      <c r="BF234" s="513"/>
      <c r="BG234" s="513"/>
      <c r="BH234" s="513"/>
      <c r="BI234" s="513"/>
      <c r="BJ234" s="513"/>
      <c r="BK234" s="513"/>
      <c r="BL234" s="513"/>
      <c r="BM234" s="513"/>
      <c r="BN234" s="513"/>
      <c r="BO234" s="513"/>
      <c r="BP234" s="513"/>
      <c r="BQ234" s="513"/>
      <c r="BR234" s="513"/>
      <c r="BS234" s="513"/>
      <c r="BT234" s="513"/>
      <c r="BU234" s="513"/>
      <c r="BV234" s="513"/>
      <c r="BW234" s="513"/>
      <c r="BX234" s="513"/>
      <c r="BY234" s="513"/>
      <c r="BZ234" s="513"/>
      <c r="CA234" s="513"/>
      <c r="CB234" s="513"/>
      <c r="CC234" s="513"/>
      <c r="CD234" s="513"/>
      <c r="CE234" s="513"/>
      <c r="CF234" s="513"/>
      <c r="CG234" s="513"/>
      <c r="CH234" s="513"/>
      <c r="CI234" s="513"/>
      <c r="CJ234" s="513"/>
      <c r="CK234" s="513"/>
      <c r="CL234" s="513"/>
      <c r="CM234" s="513"/>
      <c r="CN234" s="513"/>
      <c r="CO234" s="513"/>
      <c r="CP234" s="513"/>
      <c r="CQ234" s="513"/>
      <c r="CR234" s="513"/>
      <c r="CS234" s="513"/>
      <c r="CT234" s="513"/>
      <c r="CU234" s="513"/>
      <c r="CV234" s="513"/>
      <c r="CW234" s="3605"/>
      <c r="CX234" s="513"/>
      <c r="CY234" s="513"/>
      <c r="CZ234" s="513"/>
      <c r="DA234" s="513"/>
      <c r="DB234" s="4171">
        <f t="shared" ref="DB234:DL234" si="997">DB233-DB34</f>
        <v>0</v>
      </c>
      <c r="DC234" s="3609">
        <f t="shared" si="997"/>
        <v>-4.5053590059755289E-2</v>
      </c>
      <c r="DD234" s="3609">
        <f t="shared" si="997"/>
        <v>-4.1043890865954918E-2</v>
      </c>
      <c r="DE234" s="3609">
        <f t="shared" si="997"/>
        <v>-2.2215610433402755E-2</v>
      </c>
      <c r="DF234" s="3609">
        <f t="shared" si="997"/>
        <v>6.9499602859413034E-4</v>
      </c>
      <c r="DG234" s="4171">
        <f t="shared" si="997"/>
        <v>-2.4775871451894707E-2</v>
      </c>
      <c r="DH234" s="3609">
        <f t="shared" si="997"/>
        <v>-2.492020623618954E-2</v>
      </c>
      <c r="DI234" s="3609">
        <f t="shared" si="997"/>
        <v>-3.9021980735984202E-2</v>
      </c>
      <c r="DJ234" s="3609">
        <f t="shared" si="997"/>
        <v>3.1641168289290672E-2</v>
      </c>
      <c r="DK234" s="3609">
        <f t="shared" si="997"/>
        <v>-7.8475336322869956E-3</v>
      </c>
      <c r="DL234" s="4171">
        <f t="shared" si="997"/>
        <v>-1.2315457413249215E-2</v>
      </c>
      <c r="DM234" s="3609"/>
      <c r="DN234" s="3609"/>
      <c r="DO234" s="3609"/>
      <c r="DP234" s="3609"/>
      <c r="DQ234" s="4171">
        <f>DQ233-DQ34</f>
        <v>-2.1754502724512292E-2</v>
      </c>
      <c r="DR234" s="3609"/>
      <c r="DS234" s="3609"/>
      <c r="DT234" s="3609"/>
      <c r="DU234" s="3609"/>
      <c r="DV234" s="4171">
        <v>0</v>
      </c>
      <c r="DW234" s="3609"/>
      <c r="DX234" s="3609"/>
      <c r="DY234" s="3609"/>
      <c r="DZ234" s="3609"/>
      <c r="EA234" s="4171">
        <v>0</v>
      </c>
      <c r="EB234" s="3609"/>
      <c r="EC234" s="3609"/>
      <c r="ED234" s="3609"/>
      <c r="EE234" s="3609"/>
      <c r="EF234" s="4171">
        <v>0</v>
      </c>
      <c r="EG234" s="3609"/>
      <c r="EH234" s="3609"/>
      <c r="EI234" s="3609"/>
      <c r="EJ234" s="3609"/>
      <c r="EK234" s="4171">
        <v>0</v>
      </c>
      <c r="EL234" s="3609"/>
      <c r="EM234" s="3609"/>
      <c r="EN234" s="3609"/>
      <c r="EO234" s="3609"/>
      <c r="EP234" s="4171">
        <v>0</v>
      </c>
      <c r="EQ234" s="3609"/>
      <c r="ER234" s="3609"/>
      <c r="ES234" s="3609"/>
      <c r="ET234" s="3609"/>
      <c r="EU234" s="4171">
        <v>0</v>
      </c>
      <c r="EV234" s="4171">
        <v>0</v>
      </c>
      <c r="EW234" s="4171">
        <v>0</v>
      </c>
      <c r="EX234" s="4171">
        <v>0</v>
      </c>
      <c r="EY234" s="4171">
        <v>0</v>
      </c>
      <c r="EZ234" s="129"/>
      <c r="FA234" s="1319"/>
      <c r="FB234" s="1319"/>
      <c r="FC234" s="1319"/>
      <c r="FD234" s="1319"/>
      <c r="FE234" s="1319"/>
      <c r="FF234" s="1319"/>
      <c r="FG234" s="1319"/>
      <c r="FH234" s="1319"/>
      <c r="FI234" s="1319"/>
      <c r="FJ234" s="1319"/>
      <c r="FK234" s="1319"/>
      <c r="FL234" s="1319"/>
    </row>
    <row r="235" spans="1:168" ht="11.25" customHeight="1">
      <c r="A235" s="3792" t="s">
        <v>825</v>
      </c>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1"/>
      <c r="BL235" s="31"/>
      <c r="BM235" s="31"/>
      <c r="BN235" s="31"/>
      <c r="BO235" s="31"/>
      <c r="BP235" s="31"/>
      <c r="BQ235" s="31"/>
      <c r="BR235" s="31"/>
      <c r="BS235" s="31"/>
      <c r="BT235" s="31"/>
      <c r="BU235" s="31"/>
      <c r="BV235" s="31"/>
      <c r="BW235" s="31"/>
      <c r="BX235" s="31"/>
      <c r="BY235" s="31"/>
      <c r="BZ235" s="31"/>
      <c r="CA235" s="31"/>
      <c r="CB235" s="31"/>
      <c r="CC235" s="31"/>
      <c r="CD235" s="31"/>
      <c r="CE235" s="31"/>
      <c r="CF235" s="31"/>
      <c r="CG235" s="31"/>
      <c r="CH235" s="31"/>
      <c r="CI235" s="31"/>
      <c r="CJ235" s="31"/>
      <c r="CK235" s="31"/>
      <c r="CL235" s="31"/>
      <c r="CM235" s="31"/>
      <c r="CN235" s="31"/>
      <c r="CO235" s="31"/>
      <c r="CP235" s="31"/>
      <c r="CQ235" s="31"/>
      <c r="CR235" s="31"/>
      <c r="CS235" s="31"/>
      <c r="CT235" s="31"/>
      <c r="CU235" s="31"/>
      <c r="CV235" s="31"/>
      <c r="CW235" s="3595"/>
      <c r="CX235" s="31"/>
      <c r="CY235" s="31"/>
      <c r="CZ235" s="31"/>
      <c r="DA235" s="152"/>
      <c r="DB235" s="3515">
        <f>SUM(CX235:DA235)</f>
        <v>0</v>
      </c>
      <c r="DC235" s="179">
        <f>-DC231</f>
        <v>475</v>
      </c>
      <c r="DD235" s="179">
        <f>-DD231</f>
        <v>173</v>
      </c>
      <c r="DE235" s="179">
        <v>0</v>
      </c>
      <c r="DF235" s="179">
        <v>0</v>
      </c>
      <c r="DG235" s="3515">
        <f>SUM(DC235:DF235)</f>
        <v>648</v>
      </c>
      <c r="DH235" s="176"/>
      <c r="DI235" s="176"/>
      <c r="DJ235" s="176"/>
      <c r="DK235" s="176"/>
      <c r="DL235" s="3515">
        <f>SUM(DH235:DK235)</f>
        <v>0</v>
      </c>
      <c r="DM235" s="176"/>
      <c r="DN235" s="176"/>
      <c r="DO235" s="176"/>
      <c r="DP235" s="176"/>
      <c r="DQ235" s="3515">
        <f>SUM(DM235:DP235)</f>
        <v>0</v>
      </c>
      <c r="DR235" s="176"/>
      <c r="DS235" s="176"/>
      <c r="DT235" s="176"/>
      <c r="DU235" s="176"/>
      <c r="DV235" s="1007"/>
      <c r="DW235" s="176"/>
      <c r="DX235" s="176"/>
      <c r="DY235" s="176"/>
      <c r="DZ235" s="176"/>
      <c r="EA235" s="1007"/>
      <c r="EB235" s="176"/>
      <c r="EC235" s="176"/>
      <c r="ED235" s="176"/>
      <c r="EE235" s="176"/>
      <c r="EF235" s="1007"/>
      <c r="EG235" s="176"/>
      <c r="EH235" s="176"/>
      <c r="EI235" s="176"/>
      <c r="EJ235" s="176"/>
      <c r="EK235" s="1007"/>
      <c r="EL235" s="176"/>
      <c r="EM235" s="176"/>
      <c r="EN235" s="176"/>
      <c r="EO235" s="176"/>
      <c r="EP235" s="1007"/>
      <c r="EQ235" s="176"/>
      <c r="ER235" s="176"/>
      <c r="ES235" s="176"/>
      <c r="ET235" s="176"/>
      <c r="EU235" s="1007"/>
      <c r="EV235" s="1007"/>
      <c r="EW235" s="1007"/>
      <c r="EX235" s="1007"/>
      <c r="EY235" s="1007"/>
      <c r="EZ235" s="129"/>
      <c r="FA235" s="1319"/>
      <c r="FB235" s="1319"/>
      <c r="FC235" s="1319"/>
      <c r="FD235" s="1319"/>
      <c r="FE235" s="1319"/>
      <c r="FF235" s="1319"/>
      <c r="FG235" s="1319"/>
      <c r="FH235" s="1319"/>
      <c r="FI235" s="1319"/>
      <c r="FJ235" s="1319"/>
      <c r="FK235" s="1319"/>
      <c r="FL235" s="1319"/>
    </row>
    <row r="236" spans="1:168" ht="11.25" customHeight="1">
      <c r="A236" s="3790" t="s">
        <v>754</v>
      </c>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31"/>
      <c r="AM236" s="31"/>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c r="BJ236" s="31"/>
      <c r="BK236" s="31"/>
      <c r="BL236" s="31"/>
      <c r="BM236" s="31"/>
      <c r="BN236" s="31"/>
      <c r="BO236" s="31"/>
      <c r="BP236" s="31"/>
      <c r="BQ236" s="31"/>
      <c r="BR236" s="31"/>
      <c r="BS236" s="31"/>
      <c r="BT236" s="31"/>
      <c r="BU236" s="31"/>
      <c r="BV236" s="31"/>
      <c r="BW236" s="31"/>
      <c r="BX236" s="31"/>
      <c r="BY236" s="31"/>
      <c r="BZ236" s="31"/>
      <c r="CA236" s="31"/>
      <c r="CB236" s="31"/>
      <c r="CC236" s="31"/>
      <c r="CD236" s="31"/>
      <c r="CE236" s="31"/>
      <c r="CF236" s="31"/>
      <c r="CG236" s="31"/>
      <c r="CH236" s="31"/>
      <c r="CI236" s="31"/>
      <c r="CJ236" s="31"/>
      <c r="CK236" s="31"/>
      <c r="CL236" s="31"/>
      <c r="CM236" s="31"/>
      <c r="CN236" s="31"/>
      <c r="CO236" s="31"/>
      <c r="CP236" s="31"/>
      <c r="CQ236" s="31"/>
      <c r="CR236" s="31"/>
      <c r="CS236" s="31"/>
      <c r="CT236" s="31"/>
      <c r="CU236" s="31"/>
      <c r="CV236" s="31"/>
      <c r="CW236" s="3595"/>
      <c r="CX236" s="31"/>
      <c r="CY236" s="31"/>
      <c r="CZ236" s="31"/>
      <c r="DA236" s="152"/>
      <c r="DB236" s="3515">
        <f t="shared" ref="DB236:DX236" si="998">DB232+DB235</f>
        <v>14531</v>
      </c>
      <c r="DC236" s="176">
        <f t="shared" si="998"/>
        <v>1142</v>
      </c>
      <c r="DD236" s="176">
        <f t="shared" si="998"/>
        <v>1020</v>
      </c>
      <c r="DE236" s="176">
        <f t="shared" si="998"/>
        <v>667</v>
      </c>
      <c r="DF236" s="176">
        <f t="shared" si="998"/>
        <v>1131</v>
      </c>
      <c r="DG236" s="3515">
        <f t="shared" si="998"/>
        <v>3960</v>
      </c>
      <c r="DH236" s="176">
        <f t="shared" si="998"/>
        <v>1286</v>
      </c>
      <c r="DI236" s="176">
        <f t="shared" si="998"/>
        <v>1726</v>
      </c>
      <c r="DJ236" s="176">
        <f t="shared" si="998"/>
        <v>1833</v>
      </c>
      <c r="DK236" s="176">
        <f t="shared" si="998"/>
        <v>-51</v>
      </c>
      <c r="DL236" s="3515">
        <f t="shared" si="998"/>
        <v>4794</v>
      </c>
      <c r="DM236" s="176">
        <f t="shared" si="998"/>
        <v>1091</v>
      </c>
      <c r="DN236" s="176">
        <f t="shared" si="998"/>
        <v>1028</v>
      </c>
      <c r="DO236" s="176">
        <f t="shared" si="998"/>
        <v>1742</v>
      </c>
      <c r="DP236" s="176">
        <f t="shared" si="998"/>
        <v>2906</v>
      </c>
      <c r="DQ236" s="3515">
        <f t="shared" si="998"/>
        <v>6767</v>
      </c>
      <c r="DR236" s="176">
        <f>DR232+DR235</f>
        <v>2477</v>
      </c>
      <c r="DS236" s="176">
        <f>DS232+DS235</f>
        <v>2988</v>
      </c>
      <c r="DT236" s="176">
        <f>DT232+DT235</f>
        <v>3786</v>
      </c>
      <c r="DU236" s="176">
        <f>DU232+DU235</f>
        <v>3251</v>
      </c>
      <c r="DV236" s="1007">
        <f t="shared" si="998"/>
        <v>12502</v>
      </c>
      <c r="DW236" s="176">
        <f>DW232+DW235</f>
        <v>2674</v>
      </c>
      <c r="DX236" s="176">
        <f t="shared" si="998"/>
        <v>2998</v>
      </c>
      <c r="DY236" s="176">
        <f t="shared" ref="DY236:EF236" si="999">DY232+DY235</f>
        <v>2448</v>
      </c>
      <c r="DZ236" s="176">
        <f t="shared" si="999"/>
        <v>3795</v>
      </c>
      <c r="EA236" s="1007">
        <f t="shared" si="999"/>
        <v>11915</v>
      </c>
      <c r="EB236" s="176">
        <f>EB232+EB235</f>
        <v>3050</v>
      </c>
      <c r="EC236" s="176">
        <f>EC232+EC235</f>
        <v>3577</v>
      </c>
      <c r="ED236" s="176">
        <f>ED232+ED235</f>
        <v>1469</v>
      </c>
      <c r="EE236" s="176">
        <f t="shared" si="999"/>
        <v>3611</v>
      </c>
      <c r="EF236" s="1007">
        <f t="shared" si="999"/>
        <v>11707</v>
      </c>
      <c r="EG236" s="176">
        <f>EG232+EG235</f>
        <v>4160</v>
      </c>
      <c r="EH236" s="176">
        <f>EH232+EH235</f>
        <v>4055</v>
      </c>
      <c r="EI236" s="176">
        <f>EI232+EI235</f>
        <v>5016</v>
      </c>
      <c r="EJ236" s="176">
        <f t="shared" ref="EJ236" si="1000">EJ232+EJ235</f>
        <v>5640</v>
      </c>
      <c r="EK236" s="1007">
        <f>EK232+EK235</f>
        <v>18871</v>
      </c>
      <c r="EL236" s="176">
        <f>EL232+EL235</f>
        <v>5239</v>
      </c>
      <c r="EM236" s="176">
        <f>EM232+EM235</f>
        <v>5484</v>
      </c>
      <c r="EN236" s="176">
        <f t="shared" ref="EN236:EO236" si="1001">EN232+EN235</f>
        <v>6746</v>
      </c>
      <c r="EO236" s="176">
        <f t="shared" ca="1" si="1001"/>
        <v>6509.3221332785633</v>
      </c>
      <c r="EP236" s="1007">
        <f ca="1">EP232+EP235</f>
        <v>23978.322133278562</v>
      </c>
      <c r="EQ236" s="176">
        <f t="shared" ref="EQ236:ET236" ca="1" si="1002">EQ232+EQ235</f>
        <v>6470.5129250531336</v>
      </c>
      <c r="ER236" s="176">
        <f t="shared" ca="1" si="1002"/>
        <v>6758.6273252684359</v>
      </c>
      <c r="ES236" s="176">
        <f t="shared" ca="1" si="1002"/>
        <v>6943.7987048877822</v>
      </c>
      <c r="ET236" s="176">
        <f t="shared" ca="1" si="1002"/>
        <v>7536.1622386272938</v>
      </c>
      <c r="EU236" s="1007">
        <f ca="1">EU232+EU235</f>
        <v>27709.101193836643</v>
      </c>
      <c r="EV236" s="1007">
        <f ca="1">EV232+EV235</f>
        <v>30841.509283419786</v>
      </c>
      <c r="EW236" s="1007">
        <f ca="1">EW232+EW235</f>
        <v>34989.52451806816</v>
      </c>
      <c r="EX236" s="1007">
        <f ca="1">EX232+EX235</f>
        <v>39590.106825249844</v>
      </c>
      <c r="EY236" s="1007">
        <f ca="1">EY232+EY235</f>
        <v>44927.902197158037</v>
      </c>
      <c r="EZ236" s="129"/>
      <c r="FA236" s="1319"/>
      <c r="FB236" s="1319"/>
      <c r="FC236" s="1319"/>
      <c r="FD236" s="1319"/>
      <c r="FE236" s="1319"/>
      <c r="FF236" s="1319"/>
      <c r="FG236" s="1319"/>
      <c r="FH236" s="1319"/>
      <c r="FI236" s="1319"/>
      <c r="FJ236" s="1319"/>
      <c r="FK236" s="1319"/>
      <c r="FL236" s="1319"/>
    </row>
    <row r="237" spans="1:168" ht="11.25" customHeight="1">
      <c r="A237" s="3787" t="s">
        <v>748</v>
      </c>
      <c r="B237" s="3597"/>
      <c r="C237" s="3597"/>
      <c r="D237" s="3597"/>
      <c r="E237" s="3597"/>
      <c r="F237" s="3597"/>
      <c r="G237" s="3597"/>
      <c r="H237" s="3597"/>
      <c r="I237" s="3597"/>
      <c r="J237" s="3597"/>
      <c r="K237" s="3597"/>
      <c r="L237" s="3597"/>
      <c r="M237" s="3597"/>
      <c r="N237" s="3597"/>
      <c r="O237" s="3597"/>
      <c r="P237" s="3597"/>
      <c r="Q237" s="3597"/>
      <c r="R237" s="3597"/>
      <c r="S237" s="3597"/>
      <c r="T237" s="3597"/>
      <c r="U237" s="3597"/>
      <c r="V237" s="3597"/>
      <c r="W237" s="3597"/>
      <c r="X237" s="3597"/>
      <c r="Y237" s="3597"/>
      <c r="Z237" s="3597"/>
      <c r="AA237" s="3597"/>
      <c r="AB237" s="3597"/>
      <c r="AC237" s="3597"/>
      <c r="AD237" s="3597"/>
      <c r="AE237" s="3597"/>
      <c r="AF237" s="3597"/>
      <c r="AG237" s="3597"/>
      <c r="AH237" s="3597"/>
      <c r="AI237" s="3597"/>
      <c r="AJ237" s="3597"/>
      <c r="AK237" s="3597"/>
      <c r="AL237" s="3597"/>
      <c r="AM237" s="3597"/>
      <c r="AN237" s="3597"/>
      <c r="AO237" s="3597"/>
      <c r="AP237" s="3597"/>
      <c r="AQ237" s="3597"/>
      <c r="AR237" s="3597"/>
      <c r="AS237" s="3597"/>
      <c r="AT237" s="3597"/>
      <c r="AU237" s="3597"/>
      <c r="AV237" s="3597"/>
      <c r="AW237" s="3597"/>
      <c r="AX237" s="3597"/>
      <c r="AY237" s="3597"/>
      <c r="AZ237" s="3597"/>
      <c r="BA237" s="3597"/>
      <c r="BB237" s="3597"/>
      <c r="BC237" s="3597"/>
      <c r="BD237" s="3597"/>
      <c r="BE237" s="3597"/>
      <c r="BF237" s="3597"/>
      <c r="BG237" s="3597"/>
      <c r="BH237" s="3597"/>
      <c r="BI237" s="3597"/>
      <c r="BJ237" s="3597"/>
      <c r="BK237" s="3597"/>
      <c r="BL237" s="3597"/>
      <c r="BM237" s="3597"/>
      <c r="BN237" s="3597"/>
      <c r="BO237" s="3597"/>
      <c r="BP237" s="3597"/>
      <c r="BQ237" s="3597"/>
      <c r="BR237" s="3597"/>
      <c r="BS237" s="3597"/>
      <c r="BT237" s="3597"/>
      <c r="BU237" s="3597"/>
      <c r="BV237" s="3597"/>
      <c r="BW237" s="3597"/>
      <c r="BX237" s="3597"/>
      <c r="BY237" s="3597"/>
      <c r="BZ237" s="3597"/>
      <c r="CA237" s="3597"/>
      <c r="CB237" s="3597"/>
      <c r="CC237" s="3597"/>
      <c r="CD237" s="3597"/>
      <c r="CE237" s="3597"/>
      <c r="CF237" s="3597"/>
      <c r="CG237" s="3597"/>
      <c r="CH237" s="3597"/>
      <c r="CI237" s="3597"/>
      <c r="CJ237" s="3597"/>
      <c r="CK237" s="3597"/>
      <c r="CL237" s="3597"/>
      <c r="CM237" s="3597"/>
      <c r="CN237" s="3597"/>
      <c r="CO237" s="3597"/>
      <c r="CP237" s="3597"/>
      <c r="CQ237" s="3597"/>
      <c r="CR237" s="3597"/>
      <c r="CS237" s="3597"/>
      <c r="CT237" s="3597"/>
      <c r="CU237" s="3597"/>
      <c r="CV237" s="3597"/>
      <c r="CW237" s="3598"/>
      <c r="CX237" s="3597"/>
      <c r="CY237" s="3597"/>
      <c r="CZ237" s="3597"/>
      <c r="DA237" s="3597"/>
      <c r="DB237" s="2954">
        <f t="shared" ref="DB237:DK237" si="1003">DB229-DB236</f>
        <v>12662</v>
      </c>
      <c r="DC237" s="2941">
        <f t="shared" si="1003"/>
        <v>7002</v>
      </c>
      <c r="DD237" s="2941">
        <f t="shared" si="1003"/>
        <v>2371</v>
      </c>
      <c r="DE237" s="2941">
        <f t="shared" si="1003"/>
        <v>8349</v>
      </c>
      <c r="DF237" s="2941">
        <f t="shared" si="1003"/>
        <v>8974</v>
      </c>
      <c r="DG237" s="2954">
        <f t="shared" si="1003"/>
        <v>26696</v>
      </c>
      <c r="DH237" s="2941">
        <f t="shared" si="1003"/>
        <v>5894</v>
      </c>
      <c r="DI237" s="2941">
        <f t="shared" si="1003"/>
        <v>8165</v>
      </c>
      <c r="DJ237" s="2941">
        <f t="shared" si="1003"/>
        <v>8096</v>
      </c>
      <c r="DK237" s="2941">
        <f t="shared" si="1003"/>
        <v>10353</v>
      </c>
      <c r="DL237" s="2954">
        <f>DL229-DL230</f>
        <v>32020</v>
      </c>
      <c r="DM237" s="2941">
        <f t="shared" ref="DM237:DV237" si="1004">DM229-DM236</f>
        <v>7474</v>
      </c>
      <c r="DN237" s="2941">
        <f t="shared" si="1004"/>
        <v>5869</v>
      </c>
      <c r="DO237" s="2941">
        <f t="shared" si="1004"/>
        <v>9853</v>
      </c>
      <c r="DP237" s="2941">
        <f t="shared" si="1004"/>
        <v>13136</v>
      </c>
      <c r="DQ237" s="2954">
        <f t="shared" si="1004"/>
        <v>36332</v>
      </c>
      <c r="DR237" s="2941">
        <f t="shared" si="1004"/>
        <v>14634</v>
      </c>
      <c r="DS237" s="2941">
        <f t="shared" si="1004"/>
        <v>16748</v>
      </c>
      <c r="DT237" s="2941">
        <f t="shared" si="1004"/>
        <v>17649</v>
      </c>
      <c r="DU237" s="2941">
        <f t="shared" si="1004"/>
        <v>18729</v>
      </c>
      <c r="DV237" s="2954">
        <f t="shared" si="1004"/>
        <v>67760</v>
      </c>
      <c r="DW237" s="2941">
        <f t="shared" ref="DW237:EW237" si="1005">DW229-DW236</f>
        <v>17097</v>
      </c>
      <c r="DX237" s="2941">
        <f t="shared" si="1005"/>
        <v>15949</v>
      </c>
      <c r="DY237" s="2941">
        <f t="shared" si="1005"/>
        <v>14378</v>
      </c>
      <c r="DZ237" s="2941">
        <f t="shared" si="1005"/>
        <v>14646</v>
      </c>
      <c r="EA237" s="2954">
        <f t="shared" si="1005"/>
        <v>62070</v>
      </c>
      <c r="EB237" s="2941">
        <f t="shared" si="1005"/>
        <v>14660</v>
      </c>
      <c r="EC237" s="2941">
        <f t="shared" si="1005"/>
        <v>18526</v>
      </c>
      <c r="ED237" s="2941">
        <f t="shared" si="1005"/>
        <v>19915</v>
      </c>
      <c r="EE237" s="2941">
        <f t="shared" si="1005"/>
        <v>20260</v>
      </c>
      <c r="EF237" s="2954">
        <f t="shared" si="1005"/>
        <v>73361</v>
      </c>
      <c r="EG237" s="2941">
        <f t="shared" ref="EG237:EJ237" si="1006">EG229-EG236</f>
        <v>21808</v>
      </c>
      <c r="EH237" s="2941">
        <f t="shared" si="1006"/>
        <v>24082</v>
      </c>
      <c r="EI237" s="2941">
        <f t="shared" si="1006"/>
        <v>24840</v>
      </c>
      <c r="EJ237" s="2941">
        <f t="shared" si="1006"/>
        <v>26282</v>
      </c>
      <c r="EK237" s="2954">
        <f t="shared" si="1005"/>
        <v>97012</v>
      </c>
      <c r="EL237" s="2941">
        <f t="shared" si="1005"/>
        <v>26832</v>
      </c>
      <c r="EM237" s="2941">
        <f t="shared" si="1005"/>
        <v>27246</v>
      </c>
      <c r="EN237" s="2941">
        <f t="shared" ref="EN237:EP237" si="1007">EN229-EN236</f>
        <v>26681</v>
      </c>
      <c r="EO237" s="2941">
        <f t="shared" ca="1" si="1007"/>
        <v>31780.808062477692</v>
      </c>
      <c r="EP237" s="2954">
        <f t="shared" ca="1" si="1007"/>
        <v>112539.80806247768</v>
      </c>
      <c r="EQ237" s="2941">
        <f t="shared" ref="EQ237:EU237" ca="1" si="1008">EQ229-EQ236</f>
        <v>31591.327810553536</v>
      </c>
      <c r="ER237" s="2941">
        <f t="shared" ca="1" si="1008"/>
        <v>32998.00399984001</v>
      </c>
      <c r="ES237" s="2941">
        <f t="shared" ca="1" si="1008"/>
        <v>33902.076029746226</v>
      </c>
      <c r="ET237" s="2941">
        <f t="shared" ca="1" si="1008"/>
        <v>36794.203870945021</v>
      </c>
      <c r="EU237" s="2954">
        <f t="shared" ca="1" si="1008"/>
        <v>135285.61171108478</v>
      </c>
      <c r="EV237" s="3599">
        <f t="shared" ca="1" si="1005"/>
        <v>150579.13356022601</v>
      </c>
      <c r="EW237" s="3599">
        <f t="shared" ca="1" si="1005"/>
        <v>170831.20794115632</v>
      </c>
      <c r="EX237" s="3599">
        <f t="shared" ref="EX237:EY237" ca="1" si="1009">EX229-EX236</f>
        <v>193292.87449974922</v>
      </c>
      <c r="EY237" s="3599">
        <f t="shared" ca="1" si="1009"/>
        <v>219353.87543318333</v>
      </c>
      <c r="EZ237" s="129"/>
      <c r="FA237" s="1319"/>
      <c r="FB237" s="1319"/>
      <c r="FC237" s="1319"/>
      <c r="FD237" s="1319"/>
      <c r="FE237" s="1319"/>
      <c r="FF237" s="1319"/>
      <c r="FG237" s="1319"/>
      <c r="FH237" s="1319"/>
      <c r="FI237" s="1319"/>
      <c r="FJ237" s="1319"/>
      <c r="FK237" s="1319"/>
      <c r="FL237" s="1319"/>
    </row>
    <row r="238" spans="1:168" s="472" customFormat="1" ht="11.25" customHeight="1">
      <c r="A238" s="3794" t="s">
        <v>751</v>
      </c>
      <c r="B238" s="3606"/>
      <c r="C238" s="3606"/>
      <c r="D238" s="3606"/>
      <c r="E238" s="3606"/>
      <c r="F238" s="3606"/>
      <c r="G238" s="3606"/>
      <c r="H238" s="3606"/>
      <c r="I238" s="3606"/>
      <c r="J238" s="3606"/>
      <c r="K238" s="3606"/>
      <c r="L238" s="3606"/>
      <c r="M238" s="3606"/>
      <c r="N238" s="3606"/>
      <c r="O238" s="3606"/>
      <c r="P238" s="3606"/>
      <c r="Q238" s="3606"/>
      <c r="R238" s="3606"/>
      <c r="S238" s="3606"/>
      <c r="T238" s="3606"/>
      <c r="U238" s="3606"/>
      <c r="V238" s="3606"/>
      <c r="W238" s="3606"/>
      <c r="X238" s="3606"/>
      <c r="Y238" s="3606"/>
      <c r="Z238" s="3606"/>
      <c r="AA238" s="3606"/>
      <c r="AB238" s="3606"/>
      <c r="AC238" s="3606"/>
      <c r="AD238" s="3606"/>
      <c r="AE238" s="3606"/>
      <c r="AF238" s="3606"/>
      <c r="AG238" s="3606"/>
      <c r="AH238" s="3606"/>
      <c r="AI238" s="3606"/>
      <c r="AJ238" s="3606"/>
      <c r="AK238" s="3606"/>
      <c r="AL238" s="3606"/>
      <c r="AM238" s="3606"/>
      <c r="AN238" s="3606"/>
      <c r="AO238" s="3606"/>
      <c r="AP238" s="3606"/>
      <c r="AQ238" s="3606"/>
      <c r="AR238" s="3606"/>
      <c r="AS238" s="3606"/>
      <c r="AT238" s="3606"/>
      <c r="AU238" s="3606"/>
      <c r="AV238" s="3606"/>
      <c r="AW238" s="3606"/>
      <c r="AX238" s="3606"/>
      <c r="AY238" s="3606"/>
      <c r="AZ238" s="3606"/>
      <c r="BA238" s="3606"/>
      <c r="BB238" s="3606"/>
      <c r="BC238" s="3606"/>
      <c r="BD238" s="3606"/>
      <c r="BE238" s="3606"/>
      <c r="BF238" s="3606"/>
      <c r="BG238" s="3606"/>
      <c r="BH238" s="3606"/>
      <c r="BI238" s="3606"/>
      <c r="BJ238" s="3606"/>
      <c r="BK238" s="3606"/>
      <c r="BL238" s="3606"/>
      <c r="BM238" s="3606"/>
      <c r="BN238" s="3606"/>
      <c r="BO238" s="3606"/>
      <c r="BP238" s="3606"/>
      <c r="BQ238" s="3606"/>
      <c r="BR238" s="3606"/>
      <c r="BS238" s="3606"/>
      <c r="BT238" s="3606"/>
      <c r="BU238" s="3606"/>
      <c r="BV238" s="3606"/>
      <c r="BW238" s="3606"/>
      <c r="BX238" s="3606"/>
      <c r="BY238" s="3606"/>
      <c r="BZ238" s="3606"/>
      <c r="CA238" s="3606"/>
      <c r="CB238" s="3606"/>
      <c r="CC238" s="3606"/>
      <c r="CD238" s="3606"/>
      <c r="CE238" s="3606"/>
      <c r="CF238" s="3606"/>
      <c r="CG238" s="3606"/>
      <c r="CH238" s="3606"/>
      <c r="CI238" s="3606"/>
      <c r="CJ238" s="3606"/>
      <c r="CK238" s="3606"/>
      <c r="CL238" s="3606"/>
      <c r="CM238" s="3606"/>
      <c r="CN238" s="3606"/>
      <c r="CO238" s="3606"/>
      <c r="CP238" s="3606"/>
      <c r="CQ238" s="3606"/>
      <c r="CR238" s="3606"/>
      <c r="CS238" s="3606"/>
      <c r="CT238" s="3606"/>
      <c r="CU238" s="3606"/>
      <c r="CV238" s="3606"/>
      <c r="CW238" s="3607"/>
      <c r="CX238" s="3606"/>
      <c r="CY238" s="3606"/>
      <c r="CZ238" s="3606"/>
      <c r="DA238" s="3606"/>
      <c r="DB238" s="5168">
        <f t="shared" ref="DB238:EX238" si="1010">DB36-DB237</f>
        <v>0</v>
      </c>
      <c r="DC238" s="5169">
        <f t="shared" si="1010"/>
        <v>2399</v>
      </c>
      <c r="DD238" s="5169">
        <f t="shared" si="1010"/>
        <v>824</v>
      </c>
      <c r="DE238" s="5169">
        <f t="shared" si="1010"/>
        <v>843</v>
      </c>
      <c r="DF238" s="5169">
        <f t="shared" si="1010"/>
        <v>-26</v>
      </c>
      <c r="DG238" s="5168">
        <f t="shared" si="1010"/>
        <v>4040</v>
      </c>
      <c r="DH238" s="5169">
        <f t="shared" si="1010"/>
        <v>763</v>
      </c>
      <c r="DI238" s="5169">
        <f t="shared" si="1010"/>
        <v>1782</v>
      </c>
      <c r="DJ238" s="5169">
        <f t="shared" si="1010"/>
        <v>-1028</v>
      </c>
      <c r="DK238" s="5169">
        <f t="shared" si="1010"/>
        <v>318</v>
      </c>
      <c r="DL238" s="5168">
        <f t="shared" si="1010"/>
        <v>2323</v>
      </c>
      <c r="DM238" s="5169">
        <f t="shared" si="1010"/>
        <v>-638</v>
      </c>
      <c r="DN238" s="5169">
        <f t="shared" si="1010"/>
        <v>1090</v>
      </c>
      <c r="DO238" s="5169">
        <f t="shared" si="1010"/>
        <v>1394</v>
      </c>
      <c r="DP238" s="5169">
        <f t="shared" si="1010"/>
        <v>2091</v>
      </c>
      <c r="DQ238" s="5168">
        <f t="shared" si="1010"/>
        <v>3937</v>
      </c>
      <c r="DR238" s="5169">
        <f t="shared" si="1010"/>
        <v>3296</v>
      </c>
      <c r="DS238" s="5169">
        <f t="shared" si="1010"/>
        <v>1777</v>
      </c>
      <c r="DT238" s="5169">
        <f t="shared" si="1010"/>
        <v>1287</v>
      </c>
      <c r="DU238" s="5169">
        <f t="shared" si="1010"/>
        <v>1913</v>
      </c>
      <c r="DV238" s="5170">
        <f t="shared" si="1010"/>
        <v>8273</v>
      </c>
      <c r="DW238" s="5169">
        <f t="shared" si="1010"/>
        <v>-661</v>
      </c>
      <c r="DX238" s="5169">
        <f t="shared" si="1010"/>
        <v>53</v>
      </c>
      <c r="DY238" s="5169">
        <f t="shared" si="1010"/>
        <v>-468</v>
      </c>
      <c r="DZ238" s="5169">
        <f t="shared" si="1010"/>
        <v>-1022</v>
      </c>
      <c r="EA238" s="5170">
        <f t="shared" si="1010"/>
        <v>-2098</v>
      </c>
      <c r="EB238" s="5169">
        <f t="shared" si="1010"/>
        <v>391</v>
      </c>
      <c r="EC238" s="5169">
        <f t="shared" si="1010"/>
        <v>-158</v>
      </c>
      <c r="ED238" s="5169">
        <f t="shared" si="1010"/>
        <v>-226</v>
      </c>
      <c r="EE238" s="5169">
        <f t="shared" si="1010"/>
        <v>427</v>
      </c>
      <c r="EF238" s="5170">
        <f t="shared" si="1010"/>
        <v>434</v>
      </c>
      <c r="EG238" s="5169">
        <f t="shared" si="1010"/>
        <v>1854</v>
      </c>
      <c r="EH238" s="5169">
        <f t="shared" si="1010"/>
        <v>-463</v>
      </c>
      <c r="EI238" s="5169">
        <f t="shared" si="1010"/>
        <v>1461</v>
      </c>
      <c r="EJ238" s="5169">
        <f t="shared" si="1010"/>
        <v>254</v>
      </c>
      <c r="EK238" s="5170">
        <f t="shared" si="1010"/>
        <v>3106</v>
      </c>
      <c r="EL238" s="5169">
        <f t="shared" si="1010"/>
        <v>7708</v>
      </c>
      <c r="EM238" s="5169">
        <f t="shared" si="1010"/>
        <v>950</v>
      </c>
      <c r="EN238" s="5169">
        <f t="shared" si="1010"/>
        <v>8298</v>
      </c>
      <c r="EO238" s="5169">
        <f t="shared" ca="1" si="1010"/>
        <v>0</v>
      </c>
      <c r="EP238" s="5170">
        <f t="shared" ca="1" si="1010"/>
        <v>16956.000000000029</v>
      </c>
      <c r="EQ238" s="5169">
        <f t="shared" ref="EQ238:EU238" ca="1" si="1011">EQ36-EQ237</f>
        <v>0</v>
      </c>
      <c r="ER238" s="5169">
        <f t="shared" ca="1" si="1011"/>
        <v>0</v>
      </c>
      <c r="ES238" s="5169">
        <f t="shared" ca="1" si="1011"/>
        <v>0</v>
      </c>
      <c r="ET238" s="5169">
        <f t="shared" ca="1" si="1011"/>
        <v>0</v>
      </c>
      <c r="EU238" s="5170">
        <f t="shared" ca="1" si="1011"/>
        <v>0</v>
      </c>
      <c r="EV238" s="5170">
        <f t="shared" ca="1" si="1010"/>
        <v>0</v>
      </c>
      <c r="EW238" s="5170">
        <f t="shared" ca="1" si="1010"/>
        <v>0</v>
      </c>
      <c r="EX238" s="5170">
        <f t="shared" ca="1" si="1010"/>
        <v>0</v>
      </c>
      <c r="EY238" s="5170">
        <f t="shared" ref="EY238" ca="1" si="1012">EY36-EY237</f>
        <v>0</v>
      </c>
      <c r="EZ238" s="527"/>
      <c r="FA238" s="4275"/>
      <c r="FB238" s="4275"/>
      <c r="FC238" s="4275"/>
      <c r="FD238" s="4275"/>
      <c r="FE238" s="4275"/>
      <c r="FF238" s="4275"/>
      <c r="FG238" s="4275"/>
      <c r="FH238" s="4275"/>
      <c r="FI238" s="4275"/>
      <c r="FJ238" s="4275"/>
      <c r="FK238" s="4275"/>
      <c r="FL238" s="4275"/>
    </row>
    <row r="239" spans="1:168" ht="11.25" customHeight="1">
      <c r="A239" s="3787" t="s">
        <v>749</v>
      </c>
      <c r="B239" s="3597"/>
      <c r="C239" s="3597"/>
      <c r="D239" s="3597"/>
      <c r="E239" s="3597"/>
      <c r="F239" s="3597"/>
      <c r="G239" s="3597"/>
      <c r="H239" s="3597"/>
      <c r="I239" s="3597"/>
      <c r="J239" s="3597"/>
      <c r="K239" s="3597"/>
      <c r="L239" s="3597"/>
      <c r="M239" s="3597"/>
      <c r="N239" s="3597"/>
      <c r="O239" s="3597"/>
      <c r="P239" s="3597"/>
      <c r="Q239" s="3597"/>
      <c r="R239" s="3597"/>
      <c r="S239" s="3597"/>
      <c r="T239" s="3597"/>
      <c r="U239" s="3597"/>
      <c r="V239" s="3597"/>
      <c r="W239" s="3597"/>
      <c r="X239" s="3597"/>
      <c r="Y239" s="3597"/>
      <c r="Z239" s="3597"/>
      <c r="AA239" s="3597"/>
      <c r="AB239" s="3597"/>
      <c r="AC239" s="3597"/>
      <c r="AD239" s="3597"/>
      <c r="AE239" s="3597"/>
      <c r="AF239" s="3597"/>
      <c r="AG239" s="3597"/>
      <c r="AH239" s="3597"/>
      <c r="AI239" s="3597"/>
      <c r="AJ239" s="3597"/>
      <c r="AK239" s="3597"/>
      <c r="AL239" s="3597"/>
      <c r="AM239" s="3597"/>
      <c r="AN239" s="3597"/>
      <c r="AO239" s="3597"/>
      <c r="AP239" s="3597"/>
      <c r="AQ239" s="3597"/>
      <c r="AR239" s="3597"/>
      <c r="AS239" s="3597"/>
      <c r="AT239" s="3597"/>
      <c r="AU239" s="3597"/>
      <c r="AV239" s="3597"/>
      <c r="AW239" s="3597"/>
      <c r="AX239" s="3597"/>
      <c r="AY239" s="3597"/>
      <c r="AZ239" s="3597"/>
      <c r="BA239" s="3597"/>
      <c r="BB239" s="3597"/>
      <c r="BC239" s="3597"/>
      <c r="BD239" s="3597"/>
      <c r="BE239" s="3597"/>
      <c r="BF239" s="3597"/>
      <c r="BG239" s="3597"/>
      <c r="BH239" s="3597"/>
      <c r="BI239" s="3597"/>
      <c r="BJ239" s="3597"/>
      <c r="BK239" s="3597"/>
      <c r="BL239" s="3597"/>
      <c r="BM239" s="3597"/>
      <c r="BN239" s="3597"/>
      <c r="BO239" s="3597"/>
      <c r="BP239" s="3597"/>
      <c r="BQ239" s="3597"/>
      <c r="BR239" s="3597"/>
      <c r="BS239" s="3597"/>
      <c r="BT239" s="3597"/>
      <c r="BU239" s="3597"/>
      <c r="BV239" s="3597"/>
      <c r="BW239" s="3597"/>
      <c r="BX239" s="3597"/>
      <c r="BY239" s="3597"/>
      <c r="BZ239" s="3597"/>
      <c r="CA239" s="3597"/>
      <c r="CB239" s="3597"/>
      <c r="CC239" s="3597"/>
      <c r="CD239" s="3597"/>
      <c r="CE239" s="3597"/>
      <c r="CF239" s="3597"/>
      <c r="CG239" s="3597"/>
      <c r="CH239" s="3597"/>
      <c r="CI239" s="3597"/>
      <c r="CJ239" s="3597"/>
      <c r="CK239" s="3597"/>
      <c r="CL239" s="3597"/>
      <c r="CM239" s="3597"/>
      <c r="CN239" s="3597"/>
      <c r="CO239" s="3597"/>
      <c r="CP239" s="3597"/>
      <c r="CQ239" s="3597"/>
      <c r="CR239" s="3597"/>
      <c r="CS239" s="3597"/>
      <c r="CT239" s="3597"/>
      <c r="CU239" s="3597"/>
      <c r="CV239" s="3597"/>
      <c r="CW239" s="3598"/>
      <c r="CX239" s="3597"/>
      <c r="CY239" s="3597"/>
      <c r="CZ239" s="3597"/>
      <c r="DA239" s="3597"/>
      <c r="DB239" s="3917">
        <f t="shared" ref="DB239:EX239" si="1013">DB237/DB38</f>
        <v>0.8998214854232045</v>
      </c>
      <c r="DC239" s="3603">
        <f t="shared" si="1013"/>
        <v>0.49650137420688834</v>
      </c>
      <c r="DD239" s="3603">
        <f t="shared" si="1013"/>
        <v>0.16857519477509325</v>
      </c>
      <c r="DE239" s="3603">
        <f t="shared" si="1013"/>
        <v>0.59308753599797681</v>
      </c>
      <c r="DF239" s="3603">
        <f t="shared" si="1013"/>
        <v>0.64017782875992124</v>
      </c>
      <c r="DG239" s="3917">
        <f t="shared" si="1013"/>
        <v>1.8979510077532606</v>
      </c>
      <c r="DH239" s="3603">
        <f t="shared" si="1013"/>
        <v>0.42047200729369827</v>
      </c>
      <c r="DI239" s="3603">
        <f t="shared" si="1013"/>
        <v>0.58325261374318893</v>
      </c>
      <c r="DJ239" s="3603">
        <f t="shared" si="1013"/>
        <v>0.57977739870724543</v>
      </c>
      <c r="DK239" s="3603">
        <f t="shared" si="1013"/>
        <v>0.74461229527297423</v>
      </c>
      <c r="DL239" s="3917">
        <f t="shared" si="1013"/>
        <v>2.2918690184687995</v>
      </c>
      <c r="DM239" s="3603">
        <f t="shared" si="1013"/>
        <v>0.53982061834523387</v>
      </c>
      <c r="DN239" s="3603">
        <f t="shared" si="1013"/>
        <v>0.4271320943664268</v>
      </c>
      <c r="DO239" s="3603">
        <f t="shared" si="1013"/>
        <v>0.7183047046661738</v>
      </c>
      <c r="DP239" s="3603">
        <f t="shared" si="1013"/>
        <v>0.96168347318838765</v>
      </c>
      <c r="DQ239" s="3917">
        <f t="shared" si="1013"/>
        <v>2.6441435589756019</v>
      </c>
      <c r="DR239" s="3603">
        <f t="shared" si="1013"/>
        <v>1.0727622197689097</v>
      </c>
      <c r="DS239" s="3603">
        <f t="shared" si="1013"/>
        <v>1.2321736520249791</v>
      </c>
      <c r="DT239" s="3603">
        <f t="shared" si="1013"/>
        <v>1.3043979548246243</v>
      </c>
      <c r="DU239" s="3603">
        <f t="shared" si="1013"/>
        <v>1.3925052007976291</v>
      </c>
      <c r="DV239" s="3604">
        <f t="shared" si="1013"/>
        <v>4.9994558591062441</v>
      </c>
      <c r="DW239" s="3603">
        <f t="shared" si="1013"/>
        <v>1.2805763155174661</v>
      </c>
      <c r="DX239" s="3603">
        <f t="shared" si="1013"/>
        <v>1.2046982400483419</v>
      </c>
      <c r="DY239" s="3603">
        <f t="shared" si="1013"/>
        <v>1.0978086584714057</v>
      </c>
      <c r="DZ239" s="3603">
        <f t="shared" si="1013"/>
        <v>1.1312273113462579</v>
      </c>
      <c r="EA239" s="3604">
        <f t="shared" si="1013"/>
        <v>4.7171012208453771</v>
      </c>
      <c r="EB239" s="3603">
        <f t="shared" si="1013"/>
        <v>1.1432582079076659</v>
      </c>
      <c r="EC239" s="3603">
        <f t="shared" si="1013"/>
        <v>1.4514258853024131</v>
      </c>
      <c r="ED239" s="3603">
        <f t="shared" si="1013"/>
        <v>1.5686042848141146</v>
      </c>
      <c r="EE239" s="3603">
        <f t="shared" si="1013"/>
        <v>1.6076813204253293</v>
      </c>
      <c r="EF239" s="3604">
        <f t="shared" si="1013"/>
        <v>5.7668075071239064</v>
      </c>
      <c r="EG239" s="3603">
        <f t="shared" si="1013"/>
        <v>1.7408796998483276</v>
      </c>
      <c r="EH239" s="3603">
        <f t="shared" si="1013"/>
        <v>1.9273309323729493</v>
      </c>
      <c r="EI239" s="3603">
        <f t="shared" si="1013"/>
        <v>2.0001610435622834</v>
      </c>
      <c r="EJ239" s="3603">
        <f t="shared" si="1013"/>
        <v>2.1284418529316489</v>
      </c>
      <c r="EK239" s="3604">
        <f t="shared" si="1013"/>
        <v>7.7938500471991805</v>
      </c>
      <c r="EL239" s="3603">
        <f t="shared" si="1013"/>
        <v>2.1830607761776908</v>
      </c>
      <c r="EM239" s="3603">
        <f t="shared" si="1013"/>
        <v>2.2336448598130842</v>
      </c>
      <c r="EN239" s="3603">
        <f t="shared" si="1013"/>
        <v>2.1864295665000411</v>
      </c>
      <c r="EO239" s="3603">
        <f t="shared" ca="1" si="1013"/>
        <v>2.6031751318245901</v>
      </c>
      <c r="EP239" s="3604">
        <f t="shared" ca="1" si="1013"/>
        <v>9.2056201600489604</v>
      </c>
      <c r="EQ239" s="3603">
        <f t="shared" ref="EQ239:EU239" ca="1" si="1014">EQ237/EQ38</f>
        <v>2.5871954711755261</v>
      </c>
      <c r="ER239" s="3603">
        <f t="shared" ca="1" si="1014"/>
        <v>2.7019147953424647</v>
      </c>
      <c r="ES239" s="3603">
        <f t="shared" ca="1" si="1014"/>
        <v>2.7754447909694702</v>
      </c>
      <c r="ET239" s="3603">
        <f t="shared" ca="1" si="1014"/>
        <v>3.0116724322072157</v>
      </c>
      <c r="EU239" s="3604">
        <f t="shared" ca="1" si="1014"/>
        <v>11.07634799455249</v>
      </c>
      <c r="EV239" s="3604">
        <f t="shared" ca="1" si="1013"/>
        <v>12.427235330968529</v>
      </c>
      <c r="EW239" s="3604">
        <f t="shared" ca="1" si="1013"/>
        <v>14.223395842785607</v>
      </c>
      <c r="EX239" s="3604">
        <f t="shared" ca="1" si="1013"/>
        <v>16.254902495792145</v>
      </c>
      <c r="EY239" s="3604">
        <f t="shared" ref="EY239" ca="1" si="1015">EY237/EY38</f>
        <v>18.653054084757528</v>
      </c>
      <c r="EZ239" s="129"/>
      <c r="FA239" s="1319"/>
      <c r="FB239" s="1319"/>
      <c r="FC239" s="1319"/>
      <c r="FD239" s="1319"/>
      <c r="FE239" s="1319"/>
      <c r="FF239" s="1319"/>
      <c r="FG239" s="1319"/>
      <c r="FH239" s="1319"/>
      <c r="FI239" s="1319"/>
      <c r="FJ239" s="1319"/>
      <c r="FK239" s="1319"/>
      <c r="FL239" s="1319"/>
    </row>
    <row r="240" spans="1:168" ht="11.25" customHeight="1">
      <c r="A240" s="3794" t="s">
        <v>750</v>
      </c>
      <c r="B240" s="3606"/>
      <c r="C240" s="3606"/>
      <c r="D240" s="3606"/>
      <c r="E240" s="3606"/>
      <c r="F240" s="3606"/>
      <c r="G240" s="3606"/>
      <c r="H240" s="3606"/>
      <c r="I240" s="3606"/>
      <c r="J240" s="3606"/>
      <c r="K240" s="3606"/>
      <c r="L240" s="3606"/>
      <c r="M240" s="3606"/>
      <c r="N240" s="3606"/>
      <c r="O240" s="3606"/>
      <c r="P240" s="3606"/>
      <c r="Q240" s="3606"/>
      <c r="R240" s="3606"/>
      <c r="S240" s="3606"/>
      <c r="T240" s="3606"/>
      <c r="U240" s="3606"/>
      <c r="V240" s="3606"/>
      <c r="W240" s="3606"/>
      <c r="X240" s="3606"/>
      <c r="Y240" s="3606"/>
      <c r="Z240" s="3606"/>
      <c r="AA240" s="3606"/>
      <c r="AB240" s="3606"/>
      <c r="AC240" s="3606"/>
      <c r="AD240" s="3606"/>
      <c r="AE240" s="3606"/>
      <c r="AF240" s="3606"/>
      <c r="AG240" s="3606"/>
      <c r="AH240" s="3606"/>
      <c r="AI240" s="3606"/>
      <c r="AJ240" s="3606"/>
      <c r="AK240" s="3606"/>
      <c r="AL240" s="3606"/>
      <c r="AM240" s="3606"/>
      <c r="AN240" s="3606"/>
      <c r="AO240" s="3606"/>
      <c r="AP240" s="3606"/>
      <c r="AQ240" s="3606"/>
      <c r="AR240" s="3606"/>
      <c r="AS240" s="3606"/>
      <c r="AT240" s="3606"/>
      <c r="AU240" s="3606"/>
      <c r="AV240" s="3606"/>
      <c r="AW240" s="3606"/>
      <c r="AX240" s="3606"/>
      <c r="AY240" s="3606"/>
      <c r="AZ240" s="3606"/>
      <c r="BA240" s="3606"/>
      <c r="BB240" s="3606"/>
      <c r="BC240" s="3606"/>
      <c r="BD240" s="3606"/>
      <c r="BE240" s="3606"/>
      <c r="BF240" s="3606"/>
      <c r="BG240" s="3606"/>
      <c r="BH240" s="3606"/>
      <c r="BI240" s="3606"/>
      <c r="BJ240" s="3606"/>
      <c r="BK240" s="3606"/>
      <c r="BL240" s="3606"/>
      <c r="BM240" s="3606"/>
      <c r="BN240" s="3606"/>
      <c r="BO240" s="3606"/>
      <c r="BP240" s="3606"/>
      <c r="BQ240" s="3606"/>
      <c r="BR240" s="3606"/>
      <c r="BS240" s="3606"/>
      <c r="BT240" s="3606"/>
      <c r="BU240" s="3606"/>
      <c r="BV240" s="3606"/>
      <c r="BW240" s="3606"/>
      <c r="BX240" s="3606"/>
      <c r="BY240" s="3606"/>
      <c r="BZ240" s="3606"/>
      <c r="CA240" s="3606"/>
      <c r="CB240" s="3606"/>
      <c r="CC240" s="3606"/>
      <c r="CD240" s="3606"/>
      <c r="CE240" s="3606"/>
      <c r="CF240" s="3606"/>
      <c r="CG240" s="3606"/>
      <c r="CH240" s="3606"/>
      <c r="CI240" s="3606"/>
      <c r="CJ240" s="3606"/>
      <c r="CK240" s="3606"/>
      <c r="CL240" s="3606"/>
      <c r="CM240" s="3606"/>
      <c r="CN240" s="3606"/>
      <c r="CO240" s="3606"/>
      <c r="CP240" s="3606"/>
      <c r="CQ240" s="3606"/>
      <c r="CR240" s="3606"/>
      <c r="CS240" s="3606"/>
      <c r="CT240" s="3606"/>
      <c r="CU240" s="3606"/>
      <c r="CV240" s="3606"/>
      <c r="CW240" s="3607"/>
      <c r="CX240" s="3606"/>
      <c r="CY240" s="3606"/>
      <c r="CZ240" s="3606"/>
      <c r="DA240" s="3606"/>
      <c r="DB240" s="4319">
        <f t="shared" ref="DB240:EK240" si="1016">DB37-DB239</f>
        <v>0</v>
      </c>
      <c r="DC240" s="3608">
        <f t="shared" si="1016"/>
        <v>0.17010951110001782</v>
      </c>
      <c r="DD240" s="3608">
        <f t="shared" si="1016"/>
        <v>5.8585390339382898E-2</v>
      </c>
      <c r="DE240" s="3608">
        <f t="shared" si="1016"/>
        <v>5.988415293403937E-2</v>
      </c>
      <c r="DF240" s="3608">
        <f t="shared" si="1016"/>
        <v>-1.8547608143256733E-3</v>
      </c>
      <c r="DG240" s="4319">
        <f t="shared" si="1016"/>
        <v>0.28722363167977116</v>
      </c>
      <c r="DH240" s="3608">
        <f t="shared" si="1016"/>
        <v>5.4431649400253135E-2</v>
      </c>
      <c r="DI240" s="3608">
        <f t="shared" si="1016"/>
        <v>0.12729407932521275</v>
      </c>
      <c r="DJ240" s="3608">
        <f t="shared" si="1016"/>
        <v>-7.3617979974190839E-2</v>
      </c>
      <c r="DK240" s="3608">
        <f t="shared" si="1016"/>
        <v>2.2871313618932243E-2</v>
      </c>
      <c r="DL240" s="4319">
        <f t="shared" si="1016"/>
        <v>0.16627144690515383</v>
      </c>
      <c r="DM240" s="3608">
        <f t="shared" si="1016"/>
        <v>-4.6080486286360633E-2</v>
      </c>
      <c r="DN240" s="3608">
        <f t="shared" si="1016"/>
        <v>7.932765085353638E-2</v>
      </c>
      <c r="DO240" s="3608">
        <f t="shared" si="1016"/>
        <v>0.10162557173496867</v>
      </c>
      <c r="DP240" s="3608">
        <f t="shared" si="1016"/>
        <v>0.15308161863862058</v>
      </c>
      <c r="DQ240" s="4319">
        <f t="shared" si="1016"/>
        <v>0.28652408872858448</v>
      </c>
      <c r="DR240" s="3608">
        <f t="shared" si="1016"/>
        <v>0.24161707505523622</v>
      </c>
      <c r="DS240" s="3608">
        <f t="shared" si="1016"/>
        <v>0.13073636133558564</v>
      </c>
      <c r="DT240" s="3608">
        <f t="shared" si="1016"/>
        <v>9.5119279724590111E-2</v>
      </c>
      <c r="DU240" s="3608">
        <f t="shared" si="1016"/>
        <v>0.14223196375278246</v>
      </c>
      <c r="DV240" s="4319">
        <f t="shared" si="1016"/>
        <v>0.61039696461608628</v>
      </c>
      <c r="DW240" s="3608">
        <f t="shared" si="1016"/>
        <v>-4.9509325879221189E-2</v>
      </c>
      <c r="DX240" s="3608">
        <f t="shared" si="1016"/>
        <v>4.0033235138605683E-3</v>
      </c>
      <c r="DY240" s="3608">
        <f t="shared" si="1016"/>
        <v>-3.573337405512711E-2</v>
      </c>
      <c r="DZ240" s="3608">
        <f t="shared" si="1016"/>
        <v>-7.8937205530238641E-2</v>
      </c>
      <c r="EA240" s="4319">
        <f t="shared" si="1016"/>
        <v>-0.15944060514473346</v>
      </c>
      <c r="EB240" s="3608">
        <f t="shared" si="1016"/>
        <v>3.0492084535600039E-2</v>
      </c>
      <c r="EC240" s="3608">
        <f t="shared" si="1016"/>
        <v>-1.2378564713256157E-2</v>
      </c>
      <c r="ED240" s="3608">
        <f t="shared" si="1016"/>
        <v>-1.7800882167611887E-2</v>
      </c>
      <c r="EE240" s="3608">
        <f t="shared" si="1016"/>
        <v>3.3883510553880392E-2</v>
      </c>
      <c r="EF240" s="4319">
        <f t="shared" si="1016"/>
        <v>3.4116144246831404E-2</v>
      </c>
      <c r="EG240" s="3608">
        <f t="shared" si="1016"/>
        <v>0.1480003193102899</v>
      </c>
      <c r="EH240" s="3608">
        <f t="shared" si="1016"/>
        <v>-3.7054821928771631E-2</v>
      </c>
      <c r="EI240" s="3608">
        <f t="shared" si="1016"/>
        <v>0.11764232224816817</v>
      </c>
      <c r="EJ240" s="3608">
        <f t="shared" si="1016"/>
        <v>2.0570132815030728E-2</v>
      </c>
      <c r="EK240" s="4319">
        <f t="shared" si="1016"/>
        <v>0.24953302938400057</v>
      </c>
      <c r="EL240" s="3608">
        <v>0.62000000000000455</v>
      </c>
      <c r="EM240" s="3608">
        <f>EM37-EM239</f>
        <v>7.7881619937694602E-2</v>
      </c>
      <c r="EN240" s="3608">
        <f>EN37-EN239</f>
        <v>0.67999672211751205</v>
      </c>
      <c r="EO240" s="3608"/>
      <c r="EP240" s="4319">
        <f ca="1">EP37-EP239</f>
        <v>1.3869802883183802</v>
      </c>
      <c r="EQ240" s="3608"/>
      <c r="ER240" s="3608"/>
      <c r="ES240" s="3608"/>
      <c r="ET240" s="3608"/>
      <c r="EU240" s="4319">
        <f ca="1">EU37-EU239</f>
        <v>0</v>
      </c>
      <c r="EV240" s="4319">
        <f ca="1">EV37-EV239</f>
        <v>0</v>
      </c>
      <c r="EW240" s="4319">
        <f ca="1">EW37-EW239</f>
        <v>0</v>
      </c>
      <c r="EX240" s="4319">
        <f ca="1">EX37-EX239</f>
        <v>0</v>
      </c>
      <c r="EY240" s="4319">
        <f ca="1">EY37-EY239</f>
        <v>0</v>
      </c>
      <c r="EZ240" s="129"/>
      <c r="FA240" s="1319"/>
      <c r="FB240" s="1319"/>
      <c r="FC240" s="1319"/>
      <c r="FD240" s="1319"/>
      <c r="FE240" s="1319"/>
      <c r="FF240" s="1319"/>
      <c r="FG240" s="1319"/>
      <c r="FH240" s="1319"/>
      <c r="FI240" s="1319"/>
      <c r="FJ240" s="1319"/>
      <c r="FK240" s="1319"/>
      <c r="FL240" s="1319"/>
    </row>
    <row r="241" spans="1:168" ht="11.25" customHeight="1">
      <c r="A241" s="3921" t="s">
        <v>822</v>
      </c>
      <c r="B241" s="3922"/>
      <c r="C241" s="3922"/>
      <c r="D241" s="3922"/>
      <c r="E241" s="3922"/>
      <c r="F241" s="3922"/>
      <c r="G241" s="3922"/>
      <c r="H241" s="3922"/>
      <c r="I241" s="3922"/>
      <c r="J241" s="3922"/>
      <c r="K241" s="3922"/>
      <c r="L241" s="3922"/>
      <c r="M241" s="3922"/>
      <c r="N241" s="3922"/>
      <c r="O241" s="3922"/>
      <c r="P241" s="3922"/>
      <c r="Q241" s="3922"/>
      <c r="R241" s="3922"/>
      <c r="S241" s="3922"/>
      <c r="T241" s="3922"/>
      <c r="U241" s="3922"/>
      <c r="V241" s="3922"/>
      <c r="W241" s="3922"/>
      <c r="X241" s="3922"/>
      <c r="Y241" s="3922"/>
      <c r="Z241" s="3922"/>
      <c r="AA241" s="3922"/>
      <c r="AB241" s="3922"/>
      <c r="AC241" s="3922"/>
      <c r="AD241" s="3922"/>
      <c r="AE241" s="3922"/>
      <c r="AF241" s="3922"/>
      <c r="AG241" s="3922"/>
      <c r="AH241" s="3922"/>
      <c r="AI241" s="3922"/>
      <c r="AJ241" s="3922"/>
      <c r="AK241" s="3922"/>
      <c r="AL241" s="3922"/>
      <c r="AM241" s="3922"/>
      <c r="AN241" s="3922"/>
      <c r="AO241" s="3922"/>
      <c r="AP241" s="3922"/>
      <c r="AQ241" s="3922"/>
      <c r="AR241" s="3922"/>
      <c r="AS241" s="3922"/>
      <c r="AT241" s="3922"/>
      <c r="AU241" s="3922"/>
      <c r="AV241" s="3922"/>
      <c r="AW241" s="3922"/>
      <c r="AX241" s="3922"/>
      <c r="AY241" s="3922"/>
      <c r="AZ241" s="3922"/>
      <c r="BA241" s="3922"/>
      <c r="BB241" s="3922"/>
      <c r="BC241" s="3922"/>
      <c r="BD241" s="3922"/>
      <c r="BE241" s="3922"/>
      <c r="BF241" s="3922"/>
      <c r="BG241" s="3922"/>
      <c r="BH241" s="3922"/>
      <c r="BI241" s="3922"/>
      <c r="BJ241" s="3922"/>
      <c r="BK241" s="3922"/>
      <c r="BL241" s="3922"/>
      <c r="BM241" s="3922"/>
      <c r="BN241" s="3922"/>
      <c r="BO241" s="3922"/>
      <c r="BP241" s="3922"/>
      <c r="BQ241" s="3922"/>
      <c r="BR241" s="3922"/>
      <c r="BS241" s="3922"/>
      <c r="BT241" s="3922"/>
      <c r="BU241" s="3922"/>
      <c r="BV241" s="3922"/>
      <c r="BW241" s="3922"/>
      <c r="BX241" s="3922"/>
      <c r="BY241" s="3922"/>
      <c r="BZ241" s="3922"/>
      <c r="CA241" s="3922"/>
      <c r="CB241" s="3922"/>
      <c r="CC241" s="3922"/>
      <c r="CD241" s="3922"/>
      <c r="CE241" s="3922"/>
      <c r="CF241" s="3922"/>
      <c r="CG241" s="3922"/>
      <c r="CH241" s="3922"/>
      <c r="CI241" s="3922"/>
      <c r="CJ241" s="3922"/>
      <c r="CK241" s="3922"/>
      <c r="CL241" s="3922"/>
      <c r="CM241" s="3922"/>
      <c r="CN241" s="3922"/>
      <c r="CO241" s="3922"/>
      <c r="CP241" s="3922"/>
      <c r="CQ241" s="3922"/>
      <c r="CR241" s="3922"/>
      <c r="CS241" s="3922"/>
      <c r="CT241" s="3922"/>
      <c r="CU241" s="3922"/>
      <c r="CV241" s="3922"/>
      <c r="CW241" s="3923">
        <f t="shared" ref="CW241:EB241" si="1017">(CW42-CW238)/CW38</f>
        <v>1.3938623684353648</v>
      </c>
      <c r="CX241" s="3924">
        <f t="shared" si="1017"/>
        <v>0.38644741865089544</v>
      </c>
      <c r="CY241" s="3924">
        <f t="shared" si="1017"/>
        <v>0.44491636851584138</v>
      </c>
      <c r="CZ241" s="3924">
        <f t="shared" si="1017"/>
        <v>0.47831795781252667</v>
      </c>
      <c r="DA241" s="3924">
        <f t="shared" si="1017"/>
        <v>0.49215092340383876</v>
      </c>
      <c r="DB241" s="3923">
        <f t="shared" si="1017"/>
        <v>1.7947395051621411</v>
      </c>
      <c r="DC241" s="3924">
        <f t="shared" si="1017"/>
        <v>0.49650137420688834</v>
      </c>
      <c r="DD241" s="3924">
        <f t="shared" si="1017"/>
        <v>0.52911708119622269</v>
      </c>
      <c r="DE241" s="3924">
        <f t="shared" si="1017"/>
        <v>0.59308753599797681</v>
      </c>
      <c r="DF241" s="3924">
        <f t="shared" si="1017"/>
        <v>0.64017782875992124</v>
      </c>
      <c r="DG241" s="3923">
        <f t="shared" si="1017"/>
        <v>2.2584735414780428</v>
      </c>
      <c r="DH241" s="3924">
        <f t="shared" si="1017"/>
        <v>0.54046418854038991</v>
      </c>
      <c r="DI241" s="3924">
        <f t="shared" si="1017"/>
        <v>0.58325261374318893</v>
      </c>
      <c r="DJ241" s="3924">
        <f t="shared" si="1017"/>
        <v>0.57977739870724543</v>
      </c>
      <c r="DK241" s="3924">
        <f t="shared" si="1017"/>
        <v>0.74461229527297423</v>
      </c>
      <c r="DL241" s="3923">
        <f t="shared" si="1017"/>
        <v>2.4122601393015457</v>
      </c>
      <c r="DM241" s="3924">
        <f t="shared" si="1017"/>
        <v>0.53982061834523387</v>
      </c>
      <c r="DN241" s="3924">
        <f t="shared" si="1017"/>
        <v>0.4271320943664268</v>
      </c>
      <c r="DO241" s="3924">
        <f t="shared" si="1017"/>
        <v>0.7183047046661738</v>
      </c>
      <c r="DP241" s="3924">
        <f t="shared" si="1017"/>
        <v>0.96168347318838765</v>
      </c>
      <c r="DQ241" s="3923">
        <f t="shared" si="1017"/>
        <v>2.6441435589756019</v>
      </c>
      <c r="DR241" s="3924">
        <f t="shared" si="1017"/>
        <v>1.0727622197689097</v>
      </c>
      <c r="DS241" s="3924">
        <f t="shared" si="1017"/>
        <v>1.2321736520249791</v>
      </c>
      <c r="DT241" s="3924">
        <f t="shared" si="1017"/>
        <v>1.3043979548246243</v>
      </c>
      <c r="DU241" s="3924">
        <f t="shared" si="1017"/>
        <v>1.3925052007976291</v>
      </c>
      <c r="DV241" s="3925">
        <f t="shared" si="1017"/>
        <v>4.9994558591062441</v>
      </c>
      <c r="DW241" s="3924">
        <f t="shared" si="1017"/>
        <v>1.2805763155174661</v>
      </c>
      <c r="DX241" s="3924">
        <f t="shared" si="1017"/>
        <v>1.2046982400483419</v>
      </c>
      <c r="DY241" s="3924">
        <f t="shared" si="1017"/>
        <v>1.0978086584714057</v>
      </c>
      <c r="DZ241" s="3924">
        <f t="shared" si="1017"/>
        <v>1.1312273113462579</v>
      </c>
      <c r="EA241" s="3925">
        <f t="shared" si="1017"/>
        <v>4.7171012208453771</v>
      </c>
      <c r="EB241" s="3924">
        <f t="shared" si="1017"/>
        <v>1.1432582079076659</v>
      </c>
      <c r="EC241" s="3924">
        <f t="shared" ref="EC241:EX241" si="1018">(EC42-EC238)/EC38</f>
        <v>1.4514258853024131</v>
      </c>
      <c r="ED241" s="3924">
        <f t="shared" si="1018"/>
        <v>1.5686042848141146</v>
      </c>
      <c r="EE241" s="3924">
        <f t="shared" si="1018"/>
        <v>1.6076813204253293</v>
      </c>
      <c r="EF241" s="3925">
        <f t="shared" si="1018"/>
        <v>5.7668075071239064</v>
      </c>
      <c r="EG241" s="3924">
        <f t="shared" si="1018"/>
        <v>1.7408796998483276</v>
      </c>
      <c r="EH241" s="3924">
        <f t="shared" si="1018"/>
        <v>1.9273309323729493</v>
      </c>
      <c r="EI241" s="3924">
        <f t="shared" si="1018"/>
        <v>2.0001610435622834</v>
      </c>
      <c r="EJ241" s="3924">
        <f t="shared" si="1018"/>
        <v>2.1284418529316489</v>
      </c>
      <c r="EK241" s="3925">
        <f t="shared" si="1018"/>
        <v>7.7938500471991805</v>
      </c>
      <c r="EL241" s="3924">
        <f t="shared" si="1018"/>
        <v>2.1830607761776908</v>
      </c>
      <c r="EM241" s="3924">
        <f t="shared" si="1018"/>
        <v>2.2336448598130842</v>
      </c>
      <c r="EN241" s="3924">
        <f t="shared" si="1018"/>
        <v>2.4697205605179056</v>
      </c>
      <c r="EO241" s="3924">
        <f t="shared" ca="1" si="1018"/>
        <v>2.6031751318245901</v>
      </c>
      <c r="EP241" s="3925">
        <f t="shared" ca="1" si="1018"/>
        <v>9.4883985781143423</v>
      </c>
      <c r="EQ241" s="3924">
        <f t="shared" ref="EQ241:EU241" ca="1" si="1019">(EQ42-EQ238)/EQ38</f>
        <v>2.5871954711755261</v>
      </c>
      <c r="ER241" s="3924">
        <f t="shared" ca="1" si="1019"/>
        <v>2.7019147953424647</v>
      </c>
      <c r="ES241" s="3924">
        <f t="shared" ca="1" si="1019"/>
        <v>2.7754447909694702</v>
      </c>
      <c r="ET241" s="3924">
        <f t="shared" ca="1" si="1019"/>
        <v>3.0116724322072157</v>
      </c>
      <c r="EU241" s="3925">
        <f t="shared" ca="1" si="1019"/>
        <v>11.07634799455249</v>
      </c>
      <c r="EV241" s="3925">
        <f t="shared" ca="1" si="1018"/>
        <v>12.427235330968529</v>
      </c>
      <c r="EW241" s="3925">
        <f t="shared" ca="1" si="1018"/>
        <v>14.223395842785607</v>
      </c>
      <c r="EX241" s="3925">
        <f t="shared" ca="1" si="1018"/>
        <v>16.254902495792145</v>
      </c>
      <c r="EY241" s="3925">
        <f t="shared" ref="EY241" ca="1" si="1020">(EY42-EY238)/EY38</f>
        <v>18.653054084757528</v>
      </c>
      <c r="EZ241" s="129"/>
      <c r="FA241" s="1319">
        <f>(EA241/DL241)^(1/3)-1</f>
        <v>0.25049996816822184</v>
      </c>
      <c r="FB241" s="1319">
        <f>(EF241/DQ241)^(1/3)-1</f>
        <v>0.29683127261035103</v>
      </c>
      <c r="FC241" s="1319">
        <f>(EK241/DV241)^(1/3)-1</f>
        <v>0.15951517244288227</v>
      </c>
      <c r="FD241" s="1319">
        <f ca="1">(EP241/EA241)^(1/3)-1</f>
        <v>0.26232904412873426</v>
      </c>
      <c r="FE241" s="1319">
        <f ca="1">(EU241/EF241)^(1/3)-1</f>
        <v>0.24304555690269858</v>
      </c>
      <c r="FF241" s="1319">
        <f ca="1">(EV241/EK241)^(1/3)-1</f>
        <v>0.16826354660146992</v>
      </c>
      <c r="FG241" s="1319">
        <f>(EK241/DL241)^(1/5)-1</f>
        <v>0.26434495813678849</v>
      </c>
      <c r="FH241" s="1319">
        <f ca="1">(EP241/DQ241)^(1/5)-1</f>
        <v>0.29116450300125396</v>
      </c>
      <c r="FI241" s="1319">
        <f ca="1">(EU241/DV241)^(1/5)-1</f>
        <v>0.1724511871639669</v>
      </c>
      <c r="FJ241" s="1319">
        <f ca="1">(EV241/EA241)^(1/5)-1</f>
        <v>0.2137796876666378</v>
      </c>
      <c r="FK241" s="1319">
        <f ca="1">(EW241/EF241)^(1/5)-1</f>
        <v>0.19788070171353422</v>
      </c>
      <c r="FL241" s="1319">
        <f ca="1">(EX241/EK241)^(1/5)-1</f>
        <v>0.15836776793698548</v>
      </c>
    </row>
    <row r="242" spans="1:168" s="471" customFormat="1" ht="11.25" customHeight="1">
      <c r="A242" s="3926" t="s">
        <v>359</v>
      </c>
      <c r="B242" s="3927"/>
      <c r="C242" s="3927"/>
      <c r="D242" s="3927"/>
      <c r="E242" s="3927"/>
      <c r="F242" s="3927"/>
      <c r="G242" s="3927"/>
      <c r="H242" s="3927"/>
      <c r="I242" s="3927"/>
      <c r="J242" s="3927"/>
      <c r="K242" s="3927"/>
      <c r="L242" s="3927"/>
      <c r="M242" s="3927"/>
      <c r="N242" s="3927"/>
      <c r="O242" s="3927"/>
      <c r="P242" s="3927"/>
      <c r="Q242" s="3927"/>
      <c r="R242" s="3927"/>
      <c r="S242" s="3927"/>
      <c r="T242" s="3927"/>
      <c r="U242" s="3927"/>
      <c r="V242" s="3927"/>
      <c r="W242" s="3927"/>
      <c r="X242" s="3927"/>
      <c r="Y242" s="3927"/>
      <c r="Z242" s="3927"/>
      <c r="AA242" s="3927"/>
      <c r="AB242" s="3927"/>
      <c r="AC242" s="3927"/>
      <c r="AD242" s="3927"/>
      <c r="AE242" s="3927"/>
      <c r="AF242" s="3927"/>
      <c r="AG242" s="3927"/>
      <c r="AH242" s="3927"/>
      <c r="AI242" s="3927"/>
      <c r="AJ242" s="3927"/>
      <c r="AK242" s="3927"/>
      <c r="AL242" s="3927"/>
      <c r="AM242" s="3927"/>
      <c r="AN242" s="3927"/>
      <c r="AO242" s="3927"/>
      <c r="AP242" s="3927"/>
      <c r="AQ242" s="3927"/>
      <c r="AR242" s="3927"/>
      <c r="AS242" s="3927"/>
      <c r="AT242" s="3927"/>
      <c r="AU242" s="3927"/>
      <c r="AV242" s="3927"/>
      <c r="AW242" s="3927"/>
      <c r="AX242" s="3927"/>
      <c r="AY242" s="3927"/>
      <c r="AZ242" s="3927"/>
      <c r="BA242" s="3927"/>
      <c r="BB242" s="3927"/>
      <c r="BC242" s="3927"/>
      <c r="BD242" s="3927"/>
      <c r="BE242" s="3927"/>
      <c r="BF242" s="3927"/>
      <c r="BG242" s="3927"/>
      <c r="BH242" s="3927"/>
      <c r="BI242" s="3927"/>
      <c r="BJ242" s="3927"/>
      <c r="BK242" s="3927"/>
      <c r="BL242" s="3927"/>
      <c r="BM242" s="3927"/>
      <c r="BN242" s="3927"/>
      <c r="BO242" s="3927"/>
      <c r="BP242" s="3927"/>
      <c r="BQ242" s="3927"/>
      <c r="BR242" s="3927"/>
      <c r="BS242" s="3927"/>
      <c r="BT242" s="3927"/>
      <c r="BU242" s="3927"/>
      <c r="BV242" s="3927"/>
      <c r="BW242" s="3927"/>
      <c r="BX242" s="3927"/>
      <c r="BY242" s="3927"/>
      <c r="BZ242" s="3927"/>
      <c r="CA242" s="3927"/>
      <c r="CB242" s="3927"/>
      <c r="CC242" s="3927"/>
      <c r="CD242" s="3927"/>
      <c r="CE242" s="3927"/>
      <c r="CF242" s="3927"/>
      <c r="CG242" s="3927"/>
      <c r="CH242" s="3927"/>
      <c r="CI242" s="3927"/>
      <c r="CJ242" s="3927"/>
      <c r="CK242" s="3927"/>
      <c r="CL242" s="3927"/>
      <c r="CM242" s="3927"/>
      <c r="CN242" s="3927"/>
      <c r="CO242" s="3927"/>
      <c r="CP242" s="3927"/>
      <c r="CQ242" s="3927"/>
      <c r="CR242" s="3927"/>
      <c r="CS242" s="3927"/>
      <c r="CT242" s="3927"/>
      <c r="CU242" s="3927"/>
      <c r="CV242" s="3927"/>
      <c r="CW242" s="3928"/>
      <c r="CX242" s="3927"/>
      <c r="CY242" s="3927"/>
      <c r="CZ242" s="3927"/>
      <c r="DA242" s="3927"/>
      <c r="DB242" s="3930">
        <f t="shared" ref="DB242:DG242" si="1021">DB241/CW241-1</f>
        <v>0.28760166412754784</v>
      </c>
      <c r="DC242" s="3929">
        <f>DC241/CX241-1</f>
        <v>0.28478377715704761</v>
      </c>
      <c r="DD242" s="3929">
        <f t="shared" si="1021"/>
        <v>0.18925065167024369</v>
      </c>
      <c r="DE242" s="3929">
        <f t="shared" si="1021"/>
        <v>0.23994411313830133</v>
      </c>
      <c r="DF242" s="3929">
        <f t="shared" si="1021"/>
        <v>0.30077542948063862</v>
      </c>
      <c r="DG242" s="3930">
        <f t="shared" si="1021"/>
        <v>0.25838515003546814</v>
      </c>
      <c r="DH242" s="3929">
        <f t="shared" ref="DH242:DQ242" si="1022">DH241/DC241-1</f>
        <v>8.8545201720192201E-2</v>
      </c>
      <c r="DI242" s="3929">
        <f t="shared" si="1022"/>
        <v>0.10231295581041744</v>
      </c>
      <c r="DJ242" s="3929">
        <f t="shared" si="1022"/>
        <v>-2.2442112644189494E-2</v>
      </c>
      <c r="DK242" s="3929">
        <f t="shared" si="1022"/>
        <v>0.16313352606314324</v>
      </c>
      <c r="DL242" s="3930">
        <f t="shared" si="1022"/>
        <v>6.8093158940820908E-2</v>
      </c>
      <c r="DM242" s="3929">
        <f t="shared" si="1022"/>
        <v>-1.1907730591624865E-3</v>
      </c>
      <c r="DN242" s="3929">
        <f t="shared" si="1022"/>
        <v>-0.26767221560279764</v>
      </c>
      <c r="DO242" s="3929">
        <f t="shared" si="1022"/>
        <v>0.23893188362949069</v>
      </c>
      <c r="DP242" s="3929">
        <f t="shared" si="1022"/>
        <v>0.2915224195107271</v>
      </c>
      <c r="DQ242" s="3930">
        <f t="shared" si="1022"/>
        <v>9.6127037004059002E-2</v>
      </c>
      <c r="DR242" s="3929">
        <f t="shared" ref="DR242:ED242" si="1023">DR241/DM241-1</f>
        <v>0.98725684664908697</v>
      </c>
      <c r="DS242" s="3929">
        <f t="shared" si="1023"/>
        <v>1.8847601673498353</v>
      </c>
      <c r="DT242" s="3929">
        <f t="shared" si="1023"/>
        <v>0.81593959548243866</v>
      </c>
      <c r="DU242" s="3929">
        <f t="shared" si="1023"/>
        <v>0.44798703484098068</v>
      </c>
      <c r="DV242" s="3931">
        <f t="shared" si="1023"/>
        <v>0.89076566668836277</v>
      </c>
      <c r="DW242" s="3929">
        <f t="shared" si="1023"/>
        <v>0.19371869359206451</v>
      </c>
      <c r="DX242" s="3929">
        <f>DX241/DS241-1</f>
        <v>-2.2298327781545613E-2</v>
      </c>
      <c r="DY242" s="3929">
        <f t="shared" si="1023"/>
        <v>-0.15837904037575279</v>
      </c>
      <c r="DZ242" s="3929">
        <f t="shared" si="1023"/>
        <v>-0.18763153581165148</v>
      </c>
      <c r="EA242" s="3931">
        <f t="shared" ref="EA242:EG242" si="1024">EA241/DV241-1</f>
        <v>-5.6477073949272483E-2</v>
      </c>
      <c r="EB242" s="3929">
        <f t="shared" si="1023"/>
        <v>-0.10723149096687112</v>
      </c>
      <c r="EC242" s="3929">
        <f>EC241/DX241-1</f>
        <v>0.2048045203786224</v>
      </c>
      <c r="ED242" s="3929">
        <f t="shared" si="1023"/>
        <v>0.42885034902006236</v>
      </c>
      <c r="EE242" s="3929">
        <f t="shared" si="1024"/>
        <v>0.42118326202012413</v>
      </c>
      <c r="EF242" s="3931">
        <f t="shared" si="1024"/>
        <v>0.22253206728737651</v>
      </c>
      <c r="EG242" s="3929">
        <f t="shared" si="1024"/>
        <v>0.52273536092463213</v>
      </c>
      <c r="EH242" s="3929">
        <f>EH241/EC241-1</f>
        <v>0.32788794239492192</v>
      </c>
      <c r="EI242" s="3929">
        <f t="shared" ref="EI242:EJ242" si="1025">EI241/ED241-1</f>
        <v>0.27512149681480036</v>
      </c>
      <c r="EJ242" s="3929">
        <f t="shared" si="1025"/>
        <v>0.32392024830427646</v>
      </c>
      <c r="EK242" s="3931">
        <f>EK241/EF241-1</f>
        <v>0.35150168226895184</v>
      </c>
      <c r="EL242" s="3929">
        <f t="shared" ref="EL242" si="1026">EL241/EG241-1</f>
        <v>0.2539986400943659</v>
      </c>
      <c r="EM242" s="3929">
        <f>EM241/EH241-1</f>
        <v>0.15893167192776714</v>
      </c>
      <c r="EN242" s="3929">
        <f t="shared" ref="EN242:EO242" si="1027">EN241/EI241-1</f>
        <v>0.23476085511561484</v>
      </c>
      <c r="EO242" s="3929">
        <f t="shared" ca="1" si="1027"/>
        <v>0.22304263479834252</v>
      </c>
      <c r="EP242" s="3931">
        <f ca="1">EP241/EK241-1</f>
        <v>0.21742123862443563</v>
      </c>
      <c r="EQ242" s="3929">
        <f t="shared" ref="EQ242" ca="1" si="1028">EQ241/EL241-1</f>
        <v>0.18512297019299329</v>
      </c>
      <c r="ER242" s="3929">
        <f t="shared" ref="ER242" ca="1" si="1029">ER241/EM241-1</f>
        <v>0.20964386234997368</v>
      </c>
      <c r="ES242" s="3929">
        <f t="shared" ref="ES242" ca="1" si="1030">ES241/EN241-1</f>
        <v>0.12378899675494193</v>
      </c>
      <c r="ET242" s="3929">
        <f t="shared" ref="ET242" ca="1" si="1031">ET241/EO241-1</f>
        <v>0.15692271157196624</v>
      </c>
      <c r="EU242" s="3931">
        <f ca="1">EU241/EP241-1</f>
        <v>0.16735694684041458</v>
      </c>
      <c r="EV242" s="3931">
        <f ca="1">EV241/EU241-1</f>
        <v>0.12196143865111719</v>
      </c>
      <c r="EW242" s="3931">
        <f ca="1">EW241/EV241-1</f>
        <v>0.14453419960118286</v>
      </c>
      <c r="EX242" s="3931">
        <f ca="1">EX241/EW241-1</f>
        <v>0.14282852530163948</v>
      </c>
      <c r="EY242" s="3931">
        <f ca="1">EY241/EX241-1</f>
        <v>0.14753404947130178</v>
      </c>
      <c r="EZ242" s="249"/>
      <c r="FA242" s="1319"/>
      <c r="FB242" s="1319"/>
      <c r="FC242" s="1319"/>
      <c r="FD242" s="1319"/>
      <c r="FE242" s="1319"/>
      <c r="FF242" s="1319"/>
      <c r="FG242" s="1319"/>
      <c r="FH242" s="1319"/>
      <c r="FI242" s="1319"/>
      <c r="FJ242" s="1319"/>
      <c r="FK242" s="1319"/>
      <c r="FL242" s="1319"/>
    </row>
    <row r="243" spans="1:168" ht="11.25" customHeight="1">
      <c r="A243" s="379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1"/>
      <c r="CJ243" s="31"/>
      <c r="CK243" s="31"/>
      <c r="CL243" s="31"/>
      <c r="CM243" s="35"/>
      <c r="CN243" s="31"/>
      <c r="CO243" s="31"/>
      <c r="CP243" s="31"/>
      <c r="CQ243" s="31"/>
      <c r="CR243" s="35"/>
      <c r="CS243" s="35"/>
      <c r="CT243" s="35"/>
      <c r="CU243" s="35"/>
      <c r="CV243" s="35"/>
      <c r="CW243" s="35"/>
      <c r="CX243" s="35"/>
      <c r="CY243" s="31"/>
      <c r="CZ243" s="31"/>
      <c r="DA243" s="35"/>
      <c r="DB243" s="35"/>
      <c r="DC243" s="285"/>
      <c r="DD243" s="285"/>
      <c r="DE243" s="31"/>
      <c r="DF243" s="35"/>
      <c r="DG243" s="283"/>
      <c r="DH243" s="283"/>
      <c r="DI243" s="283"/>
      <c r="DJ243" s="283"/>
      <c r="DK243" s="283"/>
      <c r="DL243" s="283"/>
      <c r="DM243" s="283"/>
      <c r="DN243" s="283"/>
      <c r="DO243" s="283"/>
      <c r="DP243" s="283"/>
      <c r="DQ243" s="283"/>
      <c r="DR243" s="283"/>
      <c r="DS243" s="283"/>
      <c r="DT243" s="283"/>
      <c r="DU243" s="283"/>
      <c r="DV243" s="283"/>
      <c r="DW243" s="283"/>
      <c r="DX243" s="283"/>
      <c r="DY243" s="283"/>
      <c r="DZ243" s="283"/>
      <c r="EA243" s="35"/>
      <c r="EB243" s="283"/>
      <c r="EC243" s="283"/>
      <c r="ED243" s="283"/>
      <c r="EE243" s="283"/>
      <c r="EF243" s="35"/>
      <c r="EG243" s="283"/>
      <c r="EH243" s="283"/>
      <c r="EI243" s="283"/>
      <c r="EJ243" s="283"/>
      <c r="EK243" s="35"/>
      <c r="EL243" s="283"/>
      <c r="EM243" s="283"/>
      <c r="EN243" s="283"/>
      <c r="EO243" s="283"/>
      <c r="EP243" s="35"/>
      <c r="EQ243" s="283"/>
      <c r="ER243" s="283"/>
      <c r="ES243" s="283"/>
      <c r="ET243" s="283"/>
      <c r="EU243" s="35"/>
      <c r="EV243" s="35"/>
      <c r="EW243" s="35"/>
      <c r="EX243" s="35"/>
      <c r="EY243" s="35"/>
      <c r="EZ243" s="129"/>
    </row>
    <row r="244" spans="1:168" ht="11.25" customHeight="1">
      <c r="A244" s="5902" t="s">
        <v>1063</v>
      </c>
      <c r="B244" s="5868"/>
      <c r="C244" s="5868"/>
      <c r="D244" s="5868"/>
      <c r="E244" s="5868"/>
      <c r="F244" s="5868"/>
      <c r="G244" s="5868"/>
      <c r="H244" s="5868"/>
      <c r="I244" s="5868"/>
      <c r="J244" s="5868"/>
      <c r="K244" s="5868"/>
      <c r="L244" s="5868"/>
      <c r="M244" s="5868"/>
      <c r="N244" s="5868"/>
      <c r="O244" s="5868"/>
      <c r="P244" s="5868"/>
      <c r="Q244" s="5868"/>
      <c r="R244" s="5868"/>
      <c r="S244" s="5868"/>
      <c r="T244" s="5868"/>
      <c r="U244" s="5868"/>
      <c r="V244" s="5868"/>
      <c r="W244" s="5868"/>
      <c r="X244" s="5868"/>
      <c r="Y244" s="5868"/>
      <c r="Z244" s="5868"/>
      <c r="AA244" s="5868"/>
      <c r="AB244" s="5868"/>
      <c r="AC244" s="5868"/>
      <c r="AD244" s="5868"/>
      <c r="AE244" s="5868"/>
      <c r="AF244" s="5868"/>
      <c r="AG244" s="5868"/>
      <c r="AH244" s="5868"/>
      <c r="AI244" s="5868"/>
      <c r="AJ244" s="5868"/>
      <c r="AK244" s="5868"/>
      <c r="AL244" s="5868"/>
      <c r="AM244" s="5868"/>
      <c r="AN244" s="5868"/>
      <c r="AO244" s="5868"/>
      <c r="AP244" s="5868"/>
      <c r="AQ244" s="5868"/>
      <c r="AR244" s="5868"/>
      <c r="AS244" s="5868"/>
      <c r="AT244" s="5869"/>
      <c r="AU244" s="5868"/>
      <c r="AV244" s="5868"/>
      <c r="AW244" s="5868"/>
      <c r="AX244" s="5868"/>
      <c r="AY244" s="5868"/>
      <c r="AZ244" s="5868"/>
      <c r="BA244" s="5868"/>
      <c r="BB244" s="5868"/>
      <c r="BC244" s="5868"/>
      <c r="BD244" s="5868"/>
      <c r="BE244" s="5868"/>
      <c r="BF244" s="5868"/>
      <c r="BG244" s="5868"/>
      <c r="BH244" s="5868"/>
      <c r="BI244" s="5868"/>
      <c r="BJ244" s="5868"/>
      <c r="BK244" s="5868"/>
      <c r="BL244" s="5868"/>
      <c r="BM244" s="5868"/>
      <c r="BN244" s="5868"/>
      <c r="BO244" s="5868"/>
      <c r="BP244" s="5868"/>
      <c r="BQ244" s="5868"/>
      <c r="BR244" s="5868"/>
      <c r="BS244" s="5868"/>
      <c r="BT244" s="5868"/>
      <c r="BU244" s="5868"/>
      <c r="BV244" s="5868"/>
      <c r="BW244" s="5868"/>
      <c r="BX244" s="5868"/>
      <c r="BY244" s="5868"/>
      <c r="BZ244" s="5868"/>
      <c r="CA244" s="5868"/>
      <c r="CB244" s="5868"/>
      <c r="CC244" s="5868"/>
      <c r="CD244" s="5868"/>
      <c r="CE244" s="5868"/>
      <c r="CF244" s="5868"/>
      <c r="CG244" s="5868"/>
      <c r="CH244" s="5865"/>
      <c r="CI244" s="5865"/>
      <c r="CJ244" s="5866"/>
      <c r="CK244" s="5866"/>
      <c r="CL244" s="5865"/>
      <c r="CM244" s="5865"/>
      <c r="CN244" s="5865"/>
      <c r="CO244" s="5866"/>
      <c r="CP244" s="5866"/>
      <c r="CQ244" s="5865"/>
      <c r="CR244" s="5865"/>
      <c r="CS244" s="5865"/>
      <c r="CT244" s="5866"/>
      <c r="CU244" s="5866"/>
      <c r="CV244" s="5865"/>
      <c r="CW244" s="5865"/>
      <c r="CX244" s="5865"/>
      <c r="CY244" s="5866"/>
      <c r="CZ244" s="5866"/>
      <c r="DA244" s="5865"/>
      <c r="DB244" s="5865"/>
      <c r="DC244" s="5865"/>
      <c r="DD244" s="5866"/>
      <c r="DE244" s="5866"/>
      <c r="DF244" s="5865"/>
      <c r="DG244" s="5865"/>
      <c r="DH244" s="5865"/>
      <c r="DI244" s="5866"/>
      <c r="DJ244" s="5866"/>
      <c r="DK244" s="5865"/>
      <c r="DL244" s="5865"/>
      <c r="DM244" s="5865"/>
      <c r="DN244" s="5866"/>
      <c r="DO244" s="5866"/>
      <c r="DP244" s="5865"/>
      <c r="DQ244" s="5865"/>
      <c r="DR244" s="5865"/>
      <c r="DS244" s="5866"/>
      <c r="DT244" s="5866"/>
      <c r="DU244" s="5865"/>
      <c r="DV244" s="5865"/>
      <c r="DW244" s="5866"/>
      <c r="DX244" s="5866"/>
      <c r="DY244" s="5865"/>
      <c r="DZ244" s="5865"/>
      <c r="EA244" s="5865"/>
      <c r="EB244" s="5866"/>
      <c r="EC244" s="5866"/>
      <c r="ED244" s="5865"/>
      <c r="EE244" s="5865"/>
      <c r="EF244" s="5865"/>
      <c r="EG244" s="5865"/>
      <c r="EH244" s="5865"/>
      <c r="EI244" s="5865"/>
      <c r="EJ244" s="5865"/>
      <c r="EK244" s="5865"/>
      <c r="EL244" s="5865"/>
      <c r="EM244" s="5865"/>
      <c r="EN244" s="5865"/>
      <c r="EO244" s="5865"/>
      <c r="EP244" s="5865"/>
      <c r="EQ244" s="5865"/>
      <c r="ER244" s="5865"/>
      <c r="ES244" s="5865"/>
      <c r="ET244" s="5865"/>
      <c r="EU244" s="5865"/>
      <c r="EV244" s="5865"/>
      <c r="EW244" s="5867"/>
      <c r="EX244" s="5867"/>
      <c r="EY244" s="5867"/>
      <c r="EZ244" s="129"/>
    </row>
    <row r="245" spans="1:168" ht="11.25" customHeight="1">
      <c r="A245" s="5903" t="s">
        <v>1064</v>
      </c>
      <c r="B245" s="5874"/>
      <c r="C245" s="5874"/>
      <c r="D245" s="5874"/>
      <c r="E245" s="5874"/>
      <c r="F245" s="5874"/>
      <c r="G245" s="5874"/>
      <c r="H245" s="5874"/>
      <c r="I245" s="5874"/>
      <c r="J245" s="5874"/>
      <c r="K245" s="5874"/>
      <c r="L245" s="5874"/>
      <c r="M245" s="5874"/>
      <c r="N245" s="5874"/>
      <c r="O245" s="5874"/>
      <c r="P245" s="5874"/>
      <c r="Q245" s="5874"/>
      <c r="R245" s="5874"/>
      <c r="S245" s="5874"/>
      <c r="T245" s="5874"/>
      <c r="U245" s="5874"/>
      <c r="V245" s="5874"/>
      <c r="W245" s="5874"/>
      <c r="X245" s="5874"/>
      <c r="Y245" s="5874"/>
      <c r="Z245" s="5874"/>
      <c r="AA245" s="5874"/>
      <c r="AB245" s="5874"/>
      <c r="AC245" s="5874"/>
      <c r="AD245" s="5874"/>
      <c r="AE245" s="5874"/>
      <c r="AF245" s="5874"/>
      <c r="AG245" s="5874"/>
      <c r="AH245" s="5874"/>
      <c r="AI245" s="5874"/>
      <c r="AJ245" s="5874"/>
      <c r="AK245" s="5874"/>
      <c r="AL245" s="5874"/>
      <c r="AM245" s="5874"/>
      <c r="AN245" s="5874"/>
      <c r="AO245" s="5874"/>
      <c r="AP245" s="5874"/>
      <c r="AQ245" s="5874"/>
      <c r="AR245" s="5874"/>
      <c r="AS245" s="5874"/>
      <c r="AT245" s="5875"/>
      <c r="AU245" s="5874"/>
      <c r="AV245" s="5874"/>
      <c r="AW245" s="5874"/>
      <c r="AX245" s="5874"/>
      <c r="AY245" s="5874"/>
      <c r="AZ245" s="5874"/>
      <c r="BA245" s="5874"/>
      <c r="BB245" s="5874"/>
      <c r="BC245" s="5874"/>
      <c r="BD245" s="5874"/>
      <c r="BE245" s="5874"/>
      <c r="BF245" s="5874"/>
      <c r="BG245" s="5874"/>
      <c r="BH245" s="5874"/>
      <c r="BI245" s="5874"/>
      <c r="BJ245" s="5874"/>
      <c r="BK245" s="5874"/>
      <c r="BL245" s="5874"/>
      <c r="BM245" s="5874"/>
      <c r="BN245" s="5874"/>
      <c r="BO245" s="5874"/>
      <c r="BP245" s="5874"/>
      <c r="BQ245" s="5874"/>
      <c r="BR245" s="5874"/>
      <c r="BS245" s="5874"/>
      <c r="BT245" s="5874"/>
      <c r="BU245" s="5874"/>
      <c r="BV245" s="5874"/>
      <c r="BW245" s="5874"/>
      <c r="BX245" s="5874"/>
      <c r="BY245" s="5874"/>
      <c r="BZ245" s="5874"/>
      <c r="CA245" s="5874"/>
      <c r="CB245" s="5874"/>
      <c r="CC245" s="5874"/>
      <c r="CD245" s="5876"/>
      <c r="CE245" s="5877"/>
      <c r="CF245" s="5877"/>
      <c r="CG245" s="5876"/>
      <c r="CH245" s="5876"/>
      <c r="CI245" s="5876"/>
      <c r="CJ245" s="5877"/>
      <c r="CK245" s="5877"/>
      <c r="CL245" s="5876"/>
      <c r="CM245" s="5876"/>
      <c r="CN245" s="5876"/>
      <c r="CO245" s="5877"/>
      <c r="CP245" s="5877"/>
      <c r="CQ245" s="5876"/>
      <c r="CR245" s="5876"/>
      <c r="CS245" s="5876"/>
      <c r="CT245" s="5877"/>
      <c r="CU245" s="5877"/>
      <c r="CV245" s="5876"/>
      <c r="CW245" s="5876"/>
      <c r="CX245" s="5876"/>
      <c r="CY245" s="5877"/>
      <c r="CZ245" s="5877"/>
      <c r="DA245" s="5876"/>
      <c r="DB245" s="5876"/>
      <c r="DC245" s="5876"/>
      <c r="DD245" s="5877"/>
      <c r="DE245" s="5877"/>
      <c r="DF245" s="5876"/>
      <c r="DG245" s="5876"/>
      <c r="DH245" s="5876"/>
      <c r="DI245" s="5877"/>
      <c r="DJ245" s="5877"/>
      <c r="DK245" s="5876"/>
      <c r="DL245" s="5876"/>
      <c r="DM245" s="5876"/>
      <c r="DN245" s="5877"/>
      <c r="DO245" s="5877"/>
      <c r="DP245" s="5876"/>
      <c r="DQ245" s="5876"/>
      <c r="DR245" s="5876"/>
      <c r="DS245" s="5877"/>
      <c r="DT245" s="5877"/>
      <c r="DU245" s="5876"/>
      <c r="DV245" s="5876"/>
      <c r="DW245" s="5877"/>
      <c r="DX245" s="5877"/>
      <c r="DY245" s="5876"/>
      <c r="DZ245" s="5876"/>
      <c r="EA245" s="5876"/>
      <c r="EB245" s="5877"/>
      <c r="EC245" s="5877"/>
      <c r="ED245" s="5876"/>
      <c r="EE245" s="5876"/>
      <c r="EF245" s="5876"/>
      <c r="EG245" s="5876"/>
      <c r="EH245" s="5876"/>
      <c r="EI245" s="5876"/>
      <c r="EJ245" s="5876"/>
      <c r="EK245" s="5876"/>
      <c r="EL245" s="5876"/>
      <c r="EM245" s="5876"/>
      <c r="EN245" s="5876"/>
      <c r="EO245" s="5876"/>
      <c r="EP245" s="5876"/>
      <c r="EQ245" s="5876"/>
      <c r="ER245" s="5876"/>
      <c r="ES245" s="5876"/>
      <c r="ET245" s="5876"/>
      <c r="EU245" s="5876"/>
      <c r="EV245" s="5876"/>
      <c r="EW245" s="5878"/>
      <c r="EX245" s="5878"/>
      <c r="EY245" s="5878"/>
      <c r="EZ245" s="129"/>
    </row>
    <row r="246" spans="1:168" ht="11.25" customHeight="1">
      <c r="A246" s="4857" t="str">
        <f>A269</f>
        <v>Other cost of revenues (excl. 1x items)</v>
      </c>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2"/>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93"/>
      <c r="CE246" s="3593"/>
      <c r="CF246" s="3593"/>
      <c r="CG246" s="3593"/>
      <c r="CH246" s="5732"/>
      <c r="CI246" s="3593"/>
      <c r="CJ246" s="3593"/>
      <c r="CK246" s="3593"/>
      <c r="CL246" s="3593"/>
      <c r="CM246" s="5732"/>
      <c r="CN246" s="3593"/>
      <c r="CO246" s="3593"/>
      <c r="CP246" s="3593"/>
      <c r="CQ246" s="3593"/>
      <c r="CR246" s="5732"/>
      <c r="CS246" s="3593"/>
      <c r="CT246" s="3593"/>
      <c r="CU246" s="3593"/>
      <c r="CV246" s="3593"/>
      <c r="CW246" s="5732"/>
      <c r="CX246" s="3593"/>
      <c r="CY246" s="3593"/>
      <c r="CZ246" s="3593"/>
      <c r="DA246" s="3593"/>
      <c r="DB246" s="5732"/>
      <c r="DC246" s="3593"/>
      <c r="DD246" s="3593"/>
      <c r="DE246" s="3593"/>
      <c r="DF246" s="3593"/>
      <c r="DG246" s="5732"/>
      <c r="DH246" s="3593"/>
      <c r="DI246" s="3593"/>
      <c r="DJ246" s="3593"/>
      <c r="DK246" s="3593"/>
      <c r="DL246" s="5732">
        <f>SUM(DH246:DK246)</f>
        <v>0</v>
      </c>
      <c r="DM246" s="3593"/>
      <c r="DN246" s="3593"/>
      <c r="DO246" s="3593"/>
      <c r="DP246" s="3593"/>
      <c r="DQ246" s="5732">
        <f>SUM(DM246:DP246)</f>
        <v>0</v>
      </c>
      <c r="DR246" s="3593"/>
      <c r="DS246" s="3593"/>
      <c r="DT246" s="3593"/>
      <c r="DU246" s="3593"/>
      <c r="DV246" s="5732">
        <f>SUM(DR246:DU246)</f>
        <v>0</v>
      </c>
      <c r="DW246" s="3593"/>
      <c r="DX246" s="3593"/>
      <c r="DY246" s="3593"/>
      <c r="DZ246" s="3593"/>
      <c r="EA246" s="5732">
        <f>SUM(DW246:DZ246)</f>
        <v>0</v>
      </c>
      <c r="EB246" s="4812">
        <v>461</v>
      </c>
      <c r="EC246" s="4812">
        <v>-1</v>
      </c>
      <c r="ED246" s="4812">
        <v>17</v>
      </c>
      <c r="EE246" s="4812">
        <v>2</v>
      </c>
      <c r="EF246" s="5732">
        <f>SUM(EB246:EE246)</f>
        <v>479</v>
      </c>
      <c r="EG246" s="4812">
        <v>153</v>
      </c>
      <c r="EH246" s="3593"/>
      <c r="EI246" s="3593"/>
      <c r="EJ246" s="4813">
        <f>(EJ$251-EJ$247)*(EF246/SUM(EF$246,EF$248,EF$249))</f>
        <v>81.507258064516122</v>
      </c>
      <c r="EK246" s="5732">
        <f>SUM(EG246:EJ246)</f>
        <v>234.50725806451612</v>
      </c>
      <c r="EL246" s="3593"/>
      <c r="EM246" s="3593"/>
      <c r="EN246" s="3593"/>
      <c r="EO246" s="3593"/>
      <c r="EP246" s="5732">
        <f>SUM(EL246:EO246)</f>
        <v>0</v>
      </c>
      <c r="EQ246" s="3593"/>
      <c r="ER246" s="3593"/>
      <c r="ES246" s="3593"/>
      <c r="ET246" s="3593"/>
      <c r="EU246" s="5732">
        <f>SUM(EQ246:ET246)</f>
        <v>0</v>
      </c>
      <c r="EV246" s="5732"/>
      <c r="EW246" s="5732"/>
      <c r="EX246" s="5732"/>
      <c r="EY246" s="5732"/>
      <c r="EZ246" s="129"/>
    </row>
    <row r="247" spans="1:168" ht="11.25" customHeight="1">
      <c r="A247" s="4857" t="str">
        <f>A270</f>
        <v>Research &amp; development (excl. 1x items)</v>
      </c>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2"/>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93"/>
      <c r="CE247" s="3593"/>
      <c r="CF247" s="3593"/>
      <c r="CG247" s="3593"/>
      <c r="CH247" s="5732"/>
      <c r="CI247" s="3593"/>
      <c r="CJ247" s="3593"/>
      <c r="CK247" s="3593"/>
      <c r="CL247" s="3593"/>
      <c r="CM247" s="5732"/>
      <c r="CN247" s="3593"/>
      <c r="CO247" s="3593"/>
      <c r="CP247" s="3593"/>
      <c r="CQ247" s="3593"/>
      <c r="CR247" s="5732"/>
      <c r="CS247" s="3593"/>
      <c r="CT247" s="3593"/>
      <c r="CU247" s="3593"/>
      <c r="CV247" s="3593"/>
      <c r="CW247" s="5732"/>
      <c r="CX247" s="3593"/>
      <c r="CY247" s="3593"/>
      <c r="CZ247" s="3593"/>
      <c r="DA247" s="3593"/>
      <c r="DB247" s="5732"/>
      <c r="DC247" s="3593"/>
      <c r="DD247" s="3593"/>
      <c r="DE247" s="3593"/>
      <c r="DF247" s="3593"/>
      <c r="DG247" s="5732"/>
      <c r="DH247" s="3593"/>
      <c r="DI247" s="3593"/>
      <c r="DJ247" s="3593"/>
      <c r="DK247" s="3593"/>
      <c r="DL247" s="5732">
        <f>SUM(DH247:DK247)</f>
        <v>0</v>
      </c>
      <c r="DM247" s="3593"/>
      <c r="DN247" s="3593"/>
      <c r="DO247" s="3593"/>
      <c r="DP247" s="3593"/>
      <c r="DQ247" s="5732">
        <f>SUM(DM247:DP247)</f>
        <v>0</v>
      </c>
      <c r="DR247" s="3593"/>
      <c r="DS247" s="3593"/>
      <c r="DT247" s="3593"/>
      <c r="DU247" s="3593"/>
      <c r="DV247" s="5732">
        <f>SUM(DR247:DU247)</f>
        <v>0</v>
      </c>
      <c r="DW247" s="3593"/>
      <c r="DX247" s="3593"/>
      <c r="DY247" s="3593"/>
      <c r="DZ247" s="3593"/>
      <c r="EA247" s="5732">
        <f>SUM(DW247:DZ247)</f>
        <v>0</v>
      </c>
      <c r="EB247" s="4812">
        <v>835</v>
      </c>
      <c r="EC247" s="4812">
        <v>-3</v>
      </c>
      <c r="ED247" s="4812">
        <v>15</v>
      </c>
      <c r="EE247" s="4812">
        <v>1</v>
      </c>
      <c r="EF247" s="5732">
        <f>SUM(EB247:EE247)</f>
        <v>848</v>
      </c>
      <c r="EG247" s="4812">
        <v>247</v>
      </c>
      <c r="EH247" s="3593"/>
      <c r="EI247" s="3593"/>
      <c r="EJ247" s="4813">
        <f>EK247-EG247</f>
        <v>64</v>
      </c>
      <c r="EK247" s="5817">
        <f>EF247-537</f>
        <v>311</v>
      </c>
      <c r="EL247" s="3593"/>
      <c r="EM247" s="3593"/>
      <c r="EN247" s="3593"/>
      <c r="EO247" s="3593"/>
      <c r="EP247" s="5732">
        <f>SUM(EL247:EO247)</f>
        <v>0</v>
      </c>
      <c r="EQ247" s="3593"/>
      <c r="ER247" s="3593"/>
      <c r="ES247" s="3593"/>
      <c r="ET247" s="3593"/>
      <c r="EU247" s="5732">
        <f>SUM(EQ247:ET247)</f>
        <v>0</v>
      </c>
      <c r="EV247" s="5732"/>
      <c r="EW247" s="5732"/>
      <c r="EX247" s="5732"/>
      <c r="EY247" s="5732"/>
      <c r="EZ247" s="129"/>
    </row>
    <row r="248" spans="1:168" ht="11.25" customHeight="1">
      <c r="A248" s="4857" t="str">
        <f>A271</f>
        <v>Sales &amp; marketing (excl. 1x items)</v>
      </c>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2"/>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93"/>
      <c r="CE248" s="3593"/>
      <c r="CF248" s="3593"/>
      <c r="CG248" s="3593"/>
      <c r="CH248" s="5732"/>
      <c r="CI248" s="3593"/>
      <c r="CJ248" s="3593"/>
      <c r="CK248" s="3593"/>
      <c r="CL248" s="3593"/>
      <c r="CM248" s="5732"/>
      <c r="CN248" s="3593"/>
      <c r="CO248" s="3593"/>
      <c r="CP248" s="3593"/>
      <c r="CQ248" s="3593"/>
      <c r="CR248" s="5732"/>
      <c r="CS248" s="3593"/>
      <c r="CT248" s="3593"/>
      <c r="CU248" s="3593"/>
      <c r="CV248" s="3593"/>
      <c r="CW248" s="5732"/>
      <c r="CX248" s="3593"/>
      <c r="CY248" s="3593"/>
      <c r="CZ248" s="3593"/>
      <c r="DA248" s="3593"/>
      <c r="DB248" s="5732"/>
      <c r="DC248" s="3593"/>
      <c r="DD248" s="3593"/>
      <c r="DE248" s="3593"/>
      <c r="DF248" s="3593"/>
      <c r="DG248" s="5732"/>
      <c r="DH248" s="3593"/>
      <c r="DI248" s="3593"/>
      <c r="DJ248" s="3593"/>
      <c r="DK248" s="3593"/>
      <c r="DL248" s="5732">
        <f>SUM(DH248:DK248)</f>
        <v>0</v>
      </c>
      <c r="DM248" s="3593"/>
      <c r="DN248" s="3593"/>
      <c r="DO248" s="3593"/>
      <c r="DP248" s="3593"/>
      <c r="DQ248" s="5732">
        <f>SUM(DM248:DP248)</f>
        <v>0</v>
      </c>
      <c r="DR248" s="3593"/>
      <c r="DS248" s="3593"/>
      <c r="DT248" s="3593"/>
      <c r="DU248" s="3593"/>
      <c r="DV248" s="5732">
        <f>SUM(DR248:DU248)</f>
        <v>0</v>
      </c>
      <c r="DW248" s="3593"/>
      <c r="DX248" s="3593"/>
      <c r="DY248" s="3593"/>
      <c r="DZ248" s="3593"/>
      <c r="EA248" s="5732">
        <f>SUM(DW248:DZ248)</f>
        <v>0</v>
      </c>
      <c r="EB248" s="4812">
        <v>445</v>
      </c>
      <c r="EC248" s="4812">
        <v>-1</v>
      </c>
      <c r="ED248" s="4812">
        <v>50</v>
      </c>
      <c r="EE248" s="4812">
        <v>3</v>
      </c>
      <c r="EF248" s="5732">
        <f>SUM(EB248:EE248)</f>
        <v>497</v>
      </c>
      <c r="EG248" s="4812">
        <v>217</v>
      </c>
      <c r="EH248" s="3593"/>
      <c r="EI248" s="3593"/>
      <c r="EJ248" s="4813">
        <f t="shared" ref="EJ248:EJ249" si="1032">(EJ$251-EJ$247)*(EF248/SUM(EF$246,EF$248,EF$249))</f>
        <v>84.570161290322588</v>
      </c>
      <c r="EK248" s="5732">
        <f>SUM(EG248:EJ248)</f>
        <v>301.57016129032257</v>
      </c>
      <c r="EL248" s="3593"/>
      <c r="EM248" s="3593"/>
      <c r="EN248" s="3593"/>
      <c r="EO248" s="3593"/>
      <c r="EP248" s="5732">
        <f>SUM(EL248:EO248)</f>
        <v>0</v>
      </c>
      <c r="EQ248" s="3593"/>
      <c r="ER248" s="3593"/>
      <c r="ES248" s="3593"/>
      <c r="ET248" s="3593"/>
      <c r="EU248" s="5732">
        <f>SUM(EQ248:ET248)</f>
        <v>0</v>
      </c>
      <c r="EV248" s="5732"/>
      <c r="EW248" s="5732"/>
      <c r="EX248" s="5732"/>
      <c r="EY248" s="5732"/>
      <c r="EZ248" s="129"/>
    </row>
    <row r="249" spans="1:168" ht="11.25" customHeight="1">
      <c r="A249" s="4857" t="str">
        <f>A272</f>
        <v>General &amp; administrative (excl. 1x items)</v>
      </c>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2"/>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93"/>
      <c r="CE249" s="3593"/>
      <c r="CF249" s="3593"/>
      <c r="CG249" s="3593"/>
      <c r="CH249" s="5732"/>
      <c r="CI249" s="3593"/>
      <c r="CJ249" s="3593"/>
      <c r="CK249" s="3593"/>
      <c r="CL249" s="3593"/>
      <c r="CM249" s="5732"/>
      <c r="CN249" s="3593"/>
      <c r="CO249" s="3593"/>
      <c r="CP249" s="3593"/>
      <c r="CQ249" s="3593"/>
      <c r="CR249" s="5732"/>
      <c r="CS249" s="3593"/>
      <c r="CT249" s="3593"/>
      <c r="CU249" s="3593"/>
      <c r="CV249" s="3593"/>
      <c r="CW249" s="5732"/>
      <c r="CX249" s="3593"/>
      <c r="CY249" s="3593"/>
      <c r="CZ249" s="3593"/>
      <c r="DA249" s="3593"/>
      <c r="DB249" s="5732"/>
      <c r="DC249" s="3593"/>
      <c r="DD249" s="3593"/>
      <c r="DE249" s="3593"/>
      <c r="DF249" s="3593"/>
      <c r="DG249" s="5732"/>
      <c r="DH249" s="3593"/>
      <c r="DI249" s="3593"/>
      <c r="DJ249" s="3593"/>
      <c r="DK249" s="3593"/>
      <c r="DL249" s="5732">
        <f>SUM(DH249:DK249)</f>
        <v>0</v>
      </c>
      <c r="DM249" s="3593"/>
      <c r="DN249" s="3593"/>
      <c r="DO249" s="3593"/>
      <c r="DP249" s="3593"/>
      <c r="DQ249" s="5732">
        <f>SUM(DM249:DP249)</f>
        <v>0</v>
      </c>
      <c r="DR249" s="3593"/>
      <c r="DS249" s="3593"/>
      <c r="DT249" s="3593"/>
      <c r="DU249" s="3593"/>
      <c r="DV249" s="5732">
        <f>SUM(DR249:DU249)</f>
        <v>0</v>
      </c>
      <c r="DW249" s="3593"/>
      <c r="DX249" s="3593"/>
      <c r="DY249" s="3593"/>
      <c r="DZ249" s="3593"/>
      <c r="EA249" s="5732">
        <f>SUM(DW249:DZ249)</f>
        <v>0</v>
      </c>
      <c r="EB249" s="4812">
        <v>253</v>
      </c>
      <c r="EC249" s="4812">
        <v>6</v>
      </c>
      <c r="ED249" s="4812">
        <v>4</v>
      </c>
      <c r="EE249" s="4812">
        <v>1</v>
      </c>
      <c r="EF249" s="5732">
        <f>SUM(EB249:EE249)</f>
        <v>264</v>
      </c>
      <c r="EG249" s="4812">
        <v>99</v>
      </c>
      <c r="EH249" s="3593"/>
      <c r="EI249" s="3593"/>
      <c r="EJ249" s="4813">
        <f t="shared" si="1032"/>
        <v>44.92258064516129</v>
      </c>
      <c r="EK249" s="5732">
        <f>SUM(EG249:EJ249)</f>
        <v>143.9225806451613</v>
      </c>
      <c r="EL249" s="3593"/>
      <c r="EM249" s="3593"/>
      <c r="EN249" s="3593"/>
      <c r="EO249" s="3593"/>
      <c r="EP249" s="5732">
        <f>SUM(EL249:EO249)</f>
        <v>0</v>
      </c>
      <c r="EQ249" s="3593"/>
      <c r="ER249" s="3593"/>
      <c r="ES249" s="3593"/>
      <c r="ET249" s="3593"/>
      <c r="EU249" s="5732">
        <f>SUM(EQ249:ET249)</f>
        <v>0</v>
      </c>
      <c r="EV249" s="5732"/>
      <c r="EW249" s="5732"/>
      <c r="EX249" s="5732"/>
      <c r="EY249" s="5732"/>
      <c r="EZ249" s="129"/>
    </row>
    <row r="250" spans="1:168" ht="11.25" customHeight="1">
      <c r="A250" s="5706" t="str">
        <f>A280</f>
        <v>Stock compensation expense (incl. above)</v>
      </c>
      <c r="B250" s="2524"/>
      <c r="C250" s="2524"/>
      <c r="D250" s="2524"/>
      <c r="E250" s="2524"/>
      <c r="F250" s="2524"/>
      <c r="G250" s="2524"/>
      <c r="H250" s="2524"/>
      <c r="I250" s="2524"/>
      <c r="J250" s="2524"/>
      <c r="K250" s="2524"/>
      <c r="L250" s="2524"/>
      <c r="M250" s="2524"/>
      <c r="N250" s="2524"/>
      <c r="O250" s="2524"/>
      <c r="P250" s="2524"/>
      <c r="Q250" s="2524"/>
      <c r="R250" s="2524"/>
      <c r="S250" s="2524"/>
      <c r="T250" s="2524"/>
      <c r="U250" s="2524"/>
      <c r="V250" s="2524"/>
      <c r="W250" s="2524"/>
      <c r="X250" s="2524"/>
      <c r="Y250" s="2524"/>
      <c r="Z250" s="2524"/>
      <c r="AA250" s="2524"/>
      <c r="AB250" s="2524"/>
      <c r="AC250" s="2524"/>
      <c r="AD250" s="2524"/>
      <c r="AE250" s="2524"/>
      <c r="AF250" s="2524"/>
      <c r="AG250" s="2524"/>
      <c r="AH250" s="2524"/>
      <c r="AI250" s="2524"/>
      <c r="AJ250" s="2524"/>
      <c r="AK250" s="2524"/>
      <c r="AL250" s="2524"/>
      <c r="AM250" s="2524"/>
      <c r="AN250" s="2524"/>
      <c r="AO250" s="2524"/>
      <c r="AP250" s="2524"/>
      <c r="AQ250" s="2524"/>
      <c r="AR250" s="2524"/>
      <c r="AS250" s="2524"/>
      <c r="AT250" s="1114"/>
      <c r="AU250" s="2524"/>
      <c r="AV250" s="2524"/>
      <c r="AW250" s="2524"/>
      <c r="AX250" s="2524"/>
      <c r="AY250" s="2524"/>
      <c r="AZ250" s="2524"/>
      <c r="BA250" s="2524"/>
      <c r="BB250" s="2524"/>
      <c r="BC250" s="2524"/>
      <c r="BD250" s="2524"/>
      <c r="BE250" s="2524"/>
      <c r="BF250" s="2524"/>
      <c r="BG250" s="2524"/>
      <c r="BH250" s="2524"/>
      <c r="BI250" s="2524"/>
      <c r="BJ250" s="2524"/>
      <c r="BK250" s="2524"/>
      <c r="BL250" s="2524"/>
      <c r="BM250" s="2524"/>
      <c r="BN250" s="2524"/>
      <c r="BO250" s="2524"/>
      <c r="BP250" s="2524"/>
      <c r="BQ250" s="2524"/>
      <c r="BR250" s="2524"/>
      <c r="BS250" s="2524"/>
      <c r="BT250" s="2524"/>
      <c r="BU250" s="2524"/>
      <c r="BV250" s="2524"/>
      <c r="BW250" s="2524"/>
      <c r="BX250" s="2524"/>
      <c r="BY250" s="2524"/>
      <c r="BZ250" s="2524"/>
      <c r="CA250" s="2524"/>
      <c r="CB250" s="2524"/>
      <c r="CC250" s="2524"/>
      <c r="CD250" s="3453"/>
      <c r="CE250" s="3453"/>
      <c r="CF250" s="3453"/>
      <c r="CG250" s="3453"/>
      <c r="CH250" s="5705"/>
      <c r="CI250" s="3453"/>
      <c r="CJ250" s="3453"/>
      <c r="CK250" s="3453"/>
      <c r="CL250" s="3453"/>
      <c r="CM250" s="5705"/>
      <c r="CN250" s="3453"/>
      <c r="CO250" s="3453"/>
      <c r="CP250" s="3453"/>
      <c r="CQ250" s="3453"/>
      <c r="CR250" s="5705"/>
      <c r="CS250" s="3453"/>
      <c r="CT250" s="3453"/>
      <c r="CU250" s="3453"/>
      <c r="CV250" s="3453"/>
      <c r="CW250" s="5705"/>
      <c r="CX250" s="3453"/>
      <c r="CY250" s="3453"/>
      <c r="CZ250" s="3453"/>
      <c r="DA250" s="3453"/>
      <c r="DB250" s="5705"/>
      <c r="DC250" s="3453"/>
      <c r="DD250" s="3453"/>
      <c r="DE250" s="3453"/>
      <c r="DF250" s="3453"/>
      <c r="DG250" s="5705"/>
      <c r="DH250" s="3453"/>
      <c r="DI250" s="3453"/>
      <c r="DJ250" s="3453"/>
      <c r="DK250" s="3453"/>
      <c r="DL250" s="5705"/>
      <c r="DM250" s="3453"/>
      <c r="DN250" s="3453"/>
      <c r="DO250" s="3453"/>
      <c r="DP250" s="3453"/>
      <c r="DQ250" s="5705"/>
      <c r="DR250" s="3453"/>
      <c r="DS250" s="3453"/>
      <c r="DT250" s="3453"/>
      <c r="DU250" s="3453"/>
      <c r="DV250" s="5705"/>
      <c r="DW250" s="3453"/>
      <c r="DX250" s="3453"/>
      <c r="DY250" s="3453"/>
      <c r="DZ250" s="3453"/>
      <c r="EA250" s="5705"/>
      <c r="EB250" s="5879">
        <f>412</f>
        <v>412</v>
      </c>
      <c r="EC250" s="5879">
        <f>17</f>
        <v>17</v>
      </c>
      <c r="ED250" s="5879"/>
      <c r="EE250" s="5879">
        <v>3</v>
      </c>
      <c r="EF250" s="5705">
        <f>SUM(EB250:EE250)</f>
        <v>432</v>
      </c>
      <c r="EG250" s="5930"/>
      <c r="EH250" s="3453"/>
      <c r="EI250" s="3453"/>
      <c r="EJ250" s="5930"/>
      <c r="EK250" s="5705">
        <f>SUM(EG250:EJ250)</f>
        <v>0</v>
      </c>
      <c r="EL250" s="3453"/>
      <c r="EM250" s="3453"/>
      <c r="EN250" s="3453"/>
      <c r="EO250" s="3453"/>
      <c r="EP250" s="5705">
        <f>SUM(EL250:EO250)</f>
        <v>0</v>
      </c>
      <c r="EQ250" s="3453"/>
      <c r="ER250" s="3453"/>
      <c r="ES250" s="3453"/>
      <c r="ET250" s="3453"/>
      <c r="EU250" s="5705">
        <f>SUM(EQ250:ET250)</f>
        <v>0</v>
      </c>
      <c r="EV250" s="5705"/>
      <c r="EW250" s="5705"/>
      <c r="EX250" s="5705"/>
      <c r="EY250" s="5705"/>
      <c r="EZ250" s="129"/>
    </row>
    <row r="251" spans="1:168" ht="11.25" customHeight="1">
      <c r="A251" s="5904" t="str">
        <f>_xlfn.CONCAT("Total ",A245)</f>
        <v>Total Severance &amp; Related</v>
      </c>
      <c r="B251" s="5882"/>
      <c r="C251" s="5882"/>
      <c r="D251" s="5882"/>
      <c r="E251" s="5882"/>
      <c r="F251" s="5882"/>
      <c r="G251" s="5882"/>
      <c r="H251" s="5882"/>
      <c r="I251" s="5882"/>
      <c r="J251" s="5882"/>
      <c r="K251" s="5882"/>
      <c r="L251" s="5882"/>
      <c r="M251" s="5882"/>
      <c r="N251" s="5882"/>
      <c r="O251" s="5882"/>
      <c r="P251" s="5882"/>
      <c r="Q251" s="5882"/>
      <c r="R251" s="5882"/>
      <c r="S251" s="5882"/>
      <c r="T251" s="5882"/>
      <c r="U251" s="5882"/>
      <c r="V251" s="5882"/>
      <c r="W251" s="5882"/>
      <c r="X251" s="5882"/>
      <c r="Y251" s="5882"/>
      <c r="Z251" s="5882"/>
      <c r="AA251" s="5882"/>
      <c r="AB251" s="5882"/>
      <c r="AC251" s="5882"/>
      <c r="AD251" s="5882"/>
      <c r="AE251" s="5882"/>
      <c r="AF251" s="5882"/>
      <c r="AG251" s="5882"/>
      <c r="AH251" s="5882"/>
      <c r="AI251" s="5882"/>
      <c r="AJ251" s="5882"/>
      <c r="AK251" s="5882"/>
      <c r="AL251" s="5882"/>
      <c r="AM251" s="5882"/>
      <c r="AN251" s="5882"/>
      <c r="AO251" s="5882"/>
      <c r="AP251" s="5882"/>
      <c r="AQ251" s="5882"/>
      <c r="AR251" s="5882"/>
      <c r="AS251" s="5882"/>
      <c r="AT251" s="5883"/>
      <c r="AU251" s="5882"/>
      <c r="AV251" s="5882"/>
      <c r="AW251" s="5882"/>
      <c r="AX251" s="5882"/>
      <c r="AY251" s="5882"/>
      <c r="AZ251" s="5882"/>
      <c r="BA251" s="5882"/>
      <c r="BB251" s="5882"/>
      <c r="BC251" s="5882"/>
      <c r="BD251" s="5882"/>
      <c r="BE251" s="5882"/>
      <c r="BF251" s="5882"/>
      <c r="BG251" s="5882"/>
      <c r="BH251" s="5882"/>
      <c r="BI251" s="5882"/>
      <c r="BJ251" s="5882"/>
      <c r="BK251" s="5882"/>
      <c r="BL251" s="5882"/>
      <c r="BM251" s="5882"/>
      <c r="BN251" s="5882"/>
      <c r="BO251" s="5882"/>
      <c r="BP251" s="5882"/>
      <c r="BQ251" s="5882"/>
      <c r="BR251" s="5882"/>
      <c r="BS251" s="5882"/>
      <c r="BT251" s="5882"/>
      <c r="BU251" s="5882"/>
      <c r="BV251" s="5882"/>
      <c r="BW251" s="5882"/>
      <c r="BX251" s="5882"/>
      <c r="BY251" s="5882"/>
      <c r="BZ251" s="5882"/>
      <c r="CA251" s="5882"/>
      <c r="CB251" s="5882"/>
      <c r="CC251" s="5882"/>
      <c r="CD251" s="5261"/>
      <c r="CE251" s="5261"/>
      <c r="CF251" s="5261"/>
      <c r="CG251" s="5261"/>
      <c r="CH251" s="5854"/>
      <c r="CI251" s="5261"/>
      <c r="CJ251" s="5261"/>
      <c r="CK251" s="5261"/>
      <c r="CL251" s="5261"/>
      <c r="CM251" s="5854"/>
      <c r="CN251" s="5261"/>
      <c r="CO251" s="5261"/>
      <c r="CP251" s="5261"/>
      <c r="CQ251" s="5261"/>
      <c r="CR251" s="5854"/>
      <c r="CS251" s="5261"/>
      <c r="CT251" s="5261"/>
      <c r="CU251" s="5261"/>
      <c r="CV251" s="5261"/>
      <c r="CW251" s="5854"/>
      <c r="CX251" s="5261"/>
      <c r="CY251" s="5261"/>
      <c r="CZ251" s="5261"/>
      <c r="DA251" s="5261"/>
      <c r="DB251" s="5854"/>
      <c r="DC251" s="5261"/>
      <c r="DD251" s="5261"/>
      <c r="DE251" s="5261"/>
      <c r="DF251" s="5261"/>
      <c r="DG251" s="5854"/>
      <c r="DH251" s="5261">
        <f t="shared" ref="DH251:ED251" si="1033">SUM(DH246:DH249)</f>
        <v>0</v>
      </c>
      <c r="DI251" s="5261">
        <f t="shared" si="1033"/>
        <v>0</v>
      </c>
      <c r="DJ251" s="5261">
        <f t="shared" si="1033"/>
        <v>0</v>
      </c>
      <c r="DK251" s="5261">
        <f t="shared" si="1033"/>
        <v>0</v>
      </c>
      <c r="DL251" s="5854">
        <f t="shared" si="1033"/>
        <v>0</v>
      </c>
      <c r="DM251" s="5261">
        <f t="shared" si="1033"/>
        <v>0</v>
      </c>
      <c r="DN251" s="5261">
        <f t="shared" si="1033"/>
        <v>0</v>
      </c>
      <c r="DO251" s="5261">
        <f t="shared" si="1033"/>
        <v>0</v>
      </c>
      <c r="DP251" s="5261">
        <f t="shared" si="1033"/>
        <v>0</v>
      </c>
      <c r="DQ251" s="5854">
        <f t="shared" si="1033"/>
        <v>0</v>
      </c>
      <c r="DR251" s="5261">
        <f t="shared" si="1033"/>
        <v>0</v>
      </c>
      <c r="DS251" s="5261">
        <f t="shared" si="1033"/>
        <v>0</v>
      </c>
      <c r="DT251" s="5261">
        <f t="shared" si="1033"/>
        <v>0</v>
      </c>
      <c r="DU251" s="5261">
        <f t="shared" si="1033"/>
        <v>0</v>
      </c>
      <c r="DV251" s="5854">
        <f t="shared" si="1033"/>
        <v>0</v>
      </c>
      <c r="DW251" s="5261">
        <f t="shared" si="1033"/>
        <v>0</v>
      </c>
      <c r="DX251" s="5261">
        <f t="shared" si="1033"/>
        <v>0</v>
      </c>
      <c r="DY251" s="5261">
        <f t="shared" si="1033"/>
        <v>0</v>
      </c>
      <c r="DZ251" s="5261">
        <f t="shared" si="1033"/>
        <v>0</v>
      </c>
      <c r="EA251" s="5854">
        <f t="shared" si="1033"/>
        <v>0</v>
      </c>
      <c r="EB251" s="5855">
        <f t="shared" si="1033"/>
        <v>1994</v>
      </c>
      <c r="EC251" s="5855">
        <f t="shared" si="1033"/>
        <v>1</v>
      </c>
      <c r="ED251" s="5855">
        <f t="shared" si="1033"/>
        <v>86</v>
      </c>
      <c r="EE251" s="5855">
        <f>SUM(EE246:EE250)</f>
        <v>10</v>
      </c>
      <c r="EF251" s="5854">
        <f>SUM(EF246:EF249)</f>
        <v>2088</v>
      </c>
      <c r="EG251" s="5855">
        <f>SUM(EG246:EG249)</f>
        <v>716</v>
      </c>
      <c r="EH251" s="5261">
        <f>SUM(EH246:EH249)</f>
        <v>0</v>
      </c>
      <c r="EI251" s="5261">
        <f>SUM(EI246:EI249)</f>
        <v>0</v>
      </c>
      <c r="EJ251" s="6065">
        <v>275</v>
      </c>
      <c r="EK251" s="5854">
        <f>SUM(EK246:EK249)</f>
        <v>991</v>
      </c>
      <c r="EL251" s="5261">
        <f t="shared" ref="EL251:EO251" si="1034">SUM(EL246:EL249)</f>
        <v>0</v>
      </c>
      <c r="EM251" s="5261">
        <f t="shared" si="1034"/>
        <v>0</v>
      </c>
      <c r="EN251" s="5261">
        <f t="shared" si="1034"/>
        <v>0</v>
      </c>
      <c r="EO251" s="5261">
        <f t="shared" si="1034"/>
        <v>0</v>
      </c>
      <c r="EP251" s="5854">
        <f>SUM(EP246:EP249)</f>
        <v>0</v>
      </c>
      <c r="EQ251" s="5261">
        <f t="shared" ref="EQ251:ET251" si="1035">SUM(EQ246:EQ249)</f>
        <v>0</v>
      </c>
      <c r="ER251" s="5261">
        <f t="shared" si="1035"/>
        <v>0</v>
      </c>
      <c r="ES251" s="5261">
        <f t="shared" si="1035"/>
        <v>0</v>
      </c>
      <c r="ET251" s="5261">
        <f t="shared" si="1035"/>
        <v>0</v>
      </c>
      <c r="EU251" s="5854">
        <f>SUM(EU246:EU249)</f>
        <v>0</v>
      </c>
      <c r="EV251" s="5854">
        <f t="shared" ref="EV251:EW251" si="1036">SUM(EV246:EV249)</f>
        <v>0</v>
      </c>
      <c r="EW251" s="5854">
        <f t="shared" si="1036"/>
        <v>0</v>
      </c>
      <c r="EX251" s="5854">
        <f t="shared" ref="EX251:EY251" si="1037">SUM(EX246:EX249)</f>
        <v>0</v>
      </c>
      <c r="EY251" s="5854">
        <f t="shared" si="1037"/>
        <v>0</v>
      </c>
      <c r="EZ251" s="129"/>
    </row>
    <row r="252" spans="1:168" ht="11.25" customHeight="1">
      <c r="A252" s="4857"/>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c r="AF252" s="35"/>
      <c r="AG252" s="35"/>
      <c r="AH252" s="35"/>
      <c r="AI252" s="35"/>
      <c r="AJ252" s="35"/>
      <c r="AK252" s="35"/>
      <c r="AL252" s="35"/>
      <c r="AM252" s="35"/>
      <c r="AN252" s="35"/>
      <c r="AO252" s="35"/>
      <c r="AP252" s="35"/>
      <c r="AQ252" s="35"/>
      <c r="AR252" s="35"/>
      <c r="AS252" s="35"/>
      <c r="AT252" s="32"/>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152"/>
      <c r="CE252" s="5899"/>
      <c r="CF252" s="152"/>
      <c r="CG252" s="152"/>
      <c r="CH252" s="5895"/>
      <c r="CI252" s="152"/>
      <c r="CJ252" s="5899"/>
      <c r="CK252" s="152"/>
      <c r="CL252" s="152"/>
      <c r="CM252" s="5895"/>
      <c r="CN252" s="152"/>
      <c r="CO252" s="5899"/>
      <c r="CP252" s="152"/>
      <c r="CQ252" s="152"/>
      <c r="CR252" s="5895"/>
      <c r="CS252" s="152"/>
      <c r="CT252" s="5899"/>
      <c r="CU252" s="152"/>
      <c r="CV252" s="152"/>
      <c r="CW252" s="5895"/>
      <c r="CX252" s="152"/>
      <c r="CY252" s="5899"/>
      <c r="CZ252" s="152"/>
      <c r="DA252" s="152"/>
      <c r="DB252" s="5895"/>
      <c r="DC252" s="152"/>
      <c r="DD252" s="5899"/>
      <c r="DE252" s="152"/>
      <c r="DF252" s="152"/>
      <c r="DG252" s="5895"/>
      <c r="DH252" s="152"/>
      <c r="DI252" s="5899"/>
      <c r="DJ252" s="152"/>
      <c r="DK252" s="152"/>
      <c r="DL252" s="5895"/>
      <c r="DM252" s="152"/>
      <c r="DN252" s="5899"/>
      <c r="DO252" s="152"/>
      <c r="DP252" s="152"/>
      <c r="DQ252" s="5895"/>
      <c r="DR252" s="152"/>
      <c r="DS252" s="5899"/>
      <c r="DT252" s="152"/>
      <c r="DU252" s="152"/>
      <c r="DV252" s="5895"/>
      <c r="DW252" s="152"/>
      <c r="DX252" s="5899"/>
      <c r="DY252" s="152"/>
      <c r="DZ252" s="152"/>
      <c r="EA252" s="5895"/>
      <c r="EB252" s="152"/>
      <c r="EC252" s="152"/>
      <c r="ED252" s="152"/>
      <c r="EE252" s="152"/>
      <c r="EF252" s="5895"/>
      <c r="EG252" s="152"/>
      <c r="EH252" s="5899"/>
      <c r="EI252" s="152"/>
      <c r="EJ252" s="152"/>
      <c r="EK252" s="5895"/>
      <c r="EL252" s="152"/>
      <c r="EM252" s="152"/>
      <c r="EN252" s="152"/>
      <c r="EO252" s="152"/>
      <c r="EP252" s="5895"/>
      <c r="EQ252" s="152"/>
      <c r="ER252" s="152"/>
      <c r="ES252" s="152"/>
      <c r="ET252" s="152"/>
      <c r="EU252" s="5895"/>
      <c r="EV252" s="5895"/>
      <c r="EW252" s="5895"/>
      <c r="EX252" s="5895"/>
      <c r="EY252" s="5895"/>
      <c r="EZ252" s="129"/>
    </row>
    <row r="253" spans="1:168" ht="11.25" customHeight="1">
      <c r="A253" s="5903" t="s">
        <v>1049</v>
      </c>
      <c r="B253" s="5874"/>
      <c r="C253" s="5874"/>
      <c r="D253" s="5874"/>
      <c r="E253" s="5874"/>
      <c r="F253" s="5874"/>
      <c r="G253" s="5874"/>
      <c r="H253" s="5874"/>
      <c r="I253" s="5874"/>
      <c r="J253" s="5874"/>
      <c r="K253" s="5874"/>
      <c r="L253" s="5874"/>
      <c r="M253" s="5874"/>
      <c r="N253" s="5874"/>
      <c r="O253" s="5874"/>
      <c r="P253" s="5874"/>
      <c r="Q253" s="5874"/>
      <c r="R253" s="5874"/>
      <c r="S253" s="5874"/>
      <c r="T253" s="5874"/>
      <c r="U253" s="5874"/>
      <c r="V253" s="5874"/>
      <c r="W253" s="5874"/>
      <c r="X253" s="5874"/>
      <c r="Y253" s="5874"/>
      <c r="Z253" s="5874"/>
      <c r="AA253" s="5874"/>
      <c r="AB253" s="5874"/>
      <c r="AC253" s="5874"/>
      <c r="AD253" s="5874"/>
      <c r="AE253" s="5874"/>
      <c r="AF253" s="5874"/>
      <c r="AG253" s="5874"/>
      <c r="AH253" s="5874"/>
      <c r="AI253" s="5874"/>
      <c r="AJ253" s="5874"/>
      <c r="AK253" s="5874"/>
      <c r="AL253" s="5874"/>
      <c r="AM253" s="5874"/>
      <c r="AN253" s="5874"/>
      <c r="AO253" s="5874"/>
      <c r="AP253" s="5874"/>
      <c r="AQ253" s="5874"/>
      <c r="AR253" s="5874"/>
      <c r="AS253" s="5874"/>
      <c r="AT253" s="5875"/>
      <c r="AU253" s="5874"/>
      <c r="AV253" s="5874"/>
      <c r="AW253" s="5874"/>
      <c r="AX253" s="5874"/>
      <c r="AY253" s="5874"/>
      <c r="AZ253" s="5874"/>
      <c r="BA253" s="5874"/>
      <c r="BB253" s="5874"/>
      <c r="BC253" s="5874"/>
      <c r="BD253" s="5874"/>
      <c r="BE253" s="5874"/>
      <c r="BF253" s="5874"/>
      <c r="BG253" s="5874"/>
      <c r="BH253" s="5874"/>
      <c r="BI253" s="5874"/>
      <c r="BJ253" s="5874"/>
      <c r="BK253" s="5874"/>
      <c r="BL253" s="5874"/>
      <c r="BM253" s="5874"/>
      <c r="BN253" s="5874"/>
      <c r="BO253" s="5874"/>
      <c r="BP253" s="5874"/>
      <c r="BQ253" s="5874"/>
      <c r="BR253" s="5874"/>
      <c r="BS253" s="5874"/>
      <c r="BT253" s="5874"/>
      <c r="BU253" s="5874"/>
      <c r="BV253" s="5874"/>
      <c r="BW253" s="5874"/>
      <c r="BX253" s="5874"/>
      <c r="BY253" s="5874"/>
      <c r="BZ253" s="5874"/>
      <c r="CA253" s="5874"/>
      <c r="CB253" s="5874"/>
      <c r="CC253" s="5874"/>
      <c r="CD253" s="5877"/>
      <c r="CE253" s="5877"/>
      <c r="CF253" s="5877"/>
      <c r="CG253" s="5877"/>
      <c r="CH253" s="5877"/>
      <c r="CI253" s="5877"/>
      <c r="CJ253" s="5877"/>
      <c r="CK253" s="5877"/>
      <c r="CL253" s="5877"/>
      <c r="CM253" s="5877"/>
      <c r="CN253" s="5877"/>
      <c r="CO253" s="5877"/>
      <c r="CP253" s="5877"/>
      <c r="CQ253" s="5877"/>
      <c r="CR253" s="5877"/>
      <c r="CS253" s="5877"/>
      <c r="CT253" s="5877"/>
      <c r="CU253" s="5877"/>
      <c r="CV253" s="5877"/>
      <c r="CW253" s="5877"/>
      <c r="CX253" s="5877"/>
      <c r="CY253" s="5877"/>
      <c r="CZ253" s="5877"/>
      <c r="DA253" s="5877"/>
      <c r="DB253" s="5877"/>
      <c r="DC253" s="5877"/>
      <c r="DD253" s="5877"/>
      <c r="DE253" s="5877"/>
      <c r="DF253" s="5877"/>
      <c r="DG253" s="5877"/>
      <c r="DH253" s="5877"/>
      <c r="DI253" s="5877"/>
      <c r="DJ253" s="5877"/>
      <c r="DK253" s="5877"/>
      <c r="DL253" s="5877"/>
      <c r="DM253" s="5877"/>
      <c r="DN253" s="5877"/>
      <c r="DO253" s="5877"/>
      <c r="DP253" s="5877"/>
      <c r="DQ253" s="5877"/>
      <c r="DR253" s="5877"/>
      <c r="DS253" s="5877"/>
      <c r="DT253" s="5877"/>
      <c r="DU253" s="5877"/>
      <c r="DV253" s="5877"/>
      <c r="DW253" s="5877"/>
      <c r="DX253" s="5877"/>
      <c r="DY253" s="5877"/>
      <c r="DZ253" s="5877"/>
      <c r="EA253" s="5877"/>
      <c r="EB253" s="5877"/>
      <c r="EC253" s="5877"/>
      <c r="ED253" s="5877"/>
      <c r="EE253" s="5877"/>
      <c r="EF253" s="5877"/>
      <c r="EG253" s="5877"/>
      <c r="EH253" s="5877"/>
      <c r="EI253" s="5877"/>
      <c r="EJ253" s="5877"/>
      <c r="EK253" s="5877"/>
      <c r="EL253" s="5877"/>
      <c r="EM253" s="5877"/>
      <c r="EN253" s="5877"/>
      <c r="EO253" s="5877"/>
      <c r="EP253" s="5877"/>
      <c r="EQ253" s="5877"/>
      <c r="ER253" s="5877"/>
      <c r="ES253" s="5877"/>
      <c r="ET253" s="5877"/>
      <c r="EU253" s="5877"/>
      <c r="EV253" s="5877"/>
      <c r="EW253" s="5900"/>
      <c r="EX253" s="5900"/>
      <c r="EY253" s="5900"/>
      <c r="EZ253" s="129"/>
    </row>
    <row r="254" spans="1:168" ht="11.25" customHeight="1">
      <c r="A254" s="4857" t="str">
        <f>A269</f>
        <v>Other cost of revenues (excl. 1x items)</v>
      </c>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c r="AG254" s="35"/>
      <c r="AH254" s="35"/>
      <c r="AI254" s="35"/>
      <c r="AJ254" s="35"/>
      <c r="AK254" s="35"/>
      <c r="AL254" s="35"/>
      <c r="AM254" s="35"/>
      <c r="AN254" s="35"/>
      <c r="AO254" s="35"/>
      <c r="AP254" s="35"/>
      <c r="AQ254" s="35"/>
      <c r="AR254" s="35"/>
      <c r="AS254" s="35"/>
      <c r="AT254" s="32"/>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93"/>
      <c r="CE254" s="3593"/>
      <c r="CF254" s="3593"/>
      <c r="CG254" s="3593"/>
      <c r="CH254" s="5732"/>
      <c r="CI254" s="3593"/>
      <c r="CJ254" s="3593"/>
      <c r="CK254" s="3593"/>
      <c r="CL254" s="3593"/>
      <c r="CM254" s="5732"/>
      <c r="CN254" s="3593"/>
      <c r="CO254" s="3593"/>
      <c r="CP254" s="3593"/>
      <c r="CQ254" s="3593"/>
      <c r="CR254" s="5732"/>
      <c r="CS254" s="3593"/>
      <c r="CT254" s="3593"/>
      <c r="CU254" s="3593"/>
      <c r="CV254" s="3593"/>
      <c r="CW254" s="5732"/>
      <c r="CX254" s="3593"/>
      <c r="CY254" s="3593"/>
      <c r="CZ254" s="3593"/>
      <c r="DA254" s="3593"/>
      <c r="DB254" s="5732"/>
      <c r="DC254" s="3593"/>
      <c r="DD254" s="3593"/>
      <c r="DE254" s="3593"/>
      <c r="DF254" s="3593"/>
      <c r="DG254" s="5732"/>
      <c r="DH254" s="3593"/>
      <c r="DI254" s="3593"/>
      <c r="DJ254" s="3593"/>
      <c r="DK254" s="3593"/>
      <c r="DL254" s="5732">
        <f>SUM(DH254:DK254)</f>
        <v>0</v>
      </c>
      <c r="DM254" s="3593"/>
      <c r="DN254" s="3593"/>
      <c r="DO254" s="3593"/>
      <c r="DP254" s="3593"/>
      <c r="DQ254" s="5732">
        <f>SUM(DM254:DP254)</f>
        <v>0</v>
      </c>
      <c r="DR254" s="3593"/>
      <c r="DS254" s="3593"/>
      <c r="DT254" s="3593"/>
      <c r="DU254" s="3593"/>
      <c r="DV254" s="5732">
        <f>SUM(DR254:DU254)</f>
        <v>0</v>
      </c>
      <c r="DW254" s="3593"/>
      <c r="DX254" s="3593"/>
      <c r="DY254" s="3593"/>
      <c r="DZ254" s="3593"/>
      <c r="EA254" s="5732">
        <f>SUM(DW254:DZ254)</f>
        <v>0</v>
      </c>
      <c r="EB254" s="4812">
        <v>220</v>
      </c>
      <c r="EC254" s="4812">
        <v>20</v>
      </c>
      <c r="ED254" s="4812">
        <v>6</v>
      </c>
      <c r="EE254" s="4812">
        <v>235</v>
      </c>
      <c r="EF254" s="5732">
        <f>SUM(EB254:EE254)</f>
        <v>481</v>
      </c>
      <c r="EG254" s="3593"/>
      <c r="EH254" s="3593"/>
      <c r="EI254" s="4813">
        <f>(EI$258-EI$255)*(EF254/SUM(EF$254,EF$256,EF$257))</f>
        <v>206.70666666666668</v>
      </c>
      <c r="EJ254" s="4813">
        <f>(EJ$258-EJ$255)*(EF254/SUM(EF$254,EF$256,EF$257))</f>
        <v>72.52</v>
      </c>
      <c r="EK254" s="5732">
        <f>SUM(EG254:EJ254)</f>
        <v>279.22666666666669</v>
      </c>
      <c r="EL254" s="3593"/>
      <c r="EM254" s="3593"/>
      <c r="EN254" s="4813"/>
      <c r="EO254" s="3593"/>
      <c r="EP254" s="5732">
        <f>SUM(EL254:EO254)</f>
        <v>0</v>
      </c>
      <c r="EQ254" s="3593"/>
      <c r="ER254" s="3593"/>
      <c r="ES254" s="3593"/>
      <c r="ET254" s="3593"/>
      <c r="EU254" s="5732">
        <f>SUM(EQ254:ET254)</f>
        <v>0</v>
      </c>
      <c r="EV254" s="5732"/>
      <c r="EW254" s="5732"/>
      <c r="EX254" s="5732"/>
      <c r="EY254" s="5732"/>
      <c r="EZ254" s="129"/>
    </row>
    <row r="255" spans="1:168" ht="11.25" customHeight="1">
      <c r="A255" s="4857" t="str">
        <f>A270</f>
        <v>Research &amp; development (excl. 1x items)</v>
      </c>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c r="AG255" s="35"/>
      <c r="AH255" s="35"/>
      <c r="AI255" s="35"/>
      <c r="AJ255" s="35"/>
      <c r="AK255" s="35"/>
      <c r="AL255" s="35"/>
      <c r="AM255" s="35"/>
      <c r="AN255" s="35"/>
      <c r="AO255" s="35"/>
      <c r="AP255" s="35"/>
      <c r="AQ255" s="35"/>
      <c r="AR255" s="35"/>
      <c r="AS255" s="35"/>
      <c r="AT255" s="32"/>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93"/>
      <c r="CE255" s="3593"/>
      <c r="CF255" s="3593"/>
      <c r="CG255" s="3593"/>
      <c r="CH255" s="5732"/>
      <c r="CI255" s="3593"/>
      <c r="CJ255" s="3593"/>
      <c r="CK255" s="3593"/>
      <c r="CL255" s="3593"/>
      <c r="CM255" s="5732"/>
      <c r="CN255" s="3593"/>
      <c r="CO255" s="3593"/>
      <c r="CP255" s="3593"/>
      <c r="CQ255" s="3593"/>
      <c r="CR255" s="5732"/>
      <c r="CS255" s="3593"/>
      <c r="CT255" s="3593"/>
      <c r="CU255" s="3593"/>
      <c r="CV255" s="3593"/>
      <c r="CW255" s="5732"/>
      <c r="CX255" s="3593"/>
      <c r="CY255" s="3593"/>
      <c r="CZ255" s="3593"/>
      <c r="DA255" s="3593"/>
      <c r="DB255" s="5732"/>
      <c r="DC255" s="3593"/>
      <c r="DD255" s="3593"/>
      <c r="DE255" s="3593"/>
      <c r="DF255" s="3593"/>
      <c r="DG255" s="5732"/>
      <c r="DH255" s="3593"/>
      <c r="DI255" s="3593"/>
      <c r="DJ255" s="3593"/>
      <c r="DK255" s="3593"/>
      <c r="DL255" s="5732">
        <f>SUM(DH255:DK255)</f>
        <v>0</v>
      </c>
      <c r="DM255" s="3593"/>
      <c r="DN255" s="3593"/>
      <c r="DO255" s="3593"/>
      <c r="DP255" s="3593"/>
      <c r="DQ255" s="5732">
        <f>SUM(DM255:DP255)</f>
        <v>0</v>
      </c>
      <c r="DR255" s="3593"/>
      <c r="DS255" s="3593"/>
      <c r="DT255" s="3593"/>
      <c r="DU255" s="3593"/>
      <c r="DV255" s="5732">
        <f>SUM(DR255:DU255)</f>
        <v>0</v>
      </c>
      <c r="DW255" s="3593"/>
      <c r="DX255" s="3593"/>
      <c r="DY255" s="3593"/>
      <c r="DZ255" s="3593"/>
      <c r="EA255" s="5732">
        <f>SUM(DW255:DZ255)</f>
        <v>0</v>
      </c>
      <c r="EB255" s="4812">
        <v>247</v>
      </c>
      <c r="EC255" s="4812">
        <v>14</v>
      </c>
      <c r="ED255" s="4812">
        <v>7</v>
      </c>
      <c r="EE255" s="4812">
        <v>602</v>
      </c>
      <c r="EF255" s="5732">
        <f>SUM(EB255:EE255)</f>
        <v>870</v>
      </c>
      <c r="EG255" s="3593"/>
      <c r="EH255" s="3593"/>
      <c r="EI255" s="4812">
        <v>188</v>
      </c>
      <c r="EJ255" s="4813">
        <f>EK255-EI255</f>
        <v>42</v>
      </c>
      <c r="EK255" s="5817">
        <f>EF255-640</f>
        <v>230</v>
      </c>
      <c r="EL255" s="3593"/>
      <c r="EM255" s="3593"/>
      <c r="EN255" s="4812"/>
      <c r="EO255" s="3593"/>
      <c r="EP255" s="5732">
        <f>SUM(EL255:EO255)</f>
        <v>0</v>
      </c>
      <c r="EQ255" s="3593"/>
      <c r="ER255" s="3593"/>
      <c r="ES255" s="3593"/>
      <c r="ET255" s="3593"/>
      <c r="EU255" s="5732">
        <f>SUM(EQ255:ET255)</f>
        <v>0</v>
      </c>
      <c r="EV255" s="5732"/>
      <c r="EW255" s="5732"/>
      <c r="EX255" s="5732"/>
      <c r="EY255" s="5732"/>
      <c r="EZ255" s="129"/>
    </row>
    <row r="256" spans="1:168" ht="11.25" customHeight="1">
      <c r="A256" s="4857" t="str">
        <f>A271</f>
        <v>Sales &amp; marketing (excl. 1x items)</v>
      </c>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c r="AF256" s="35"/>
      <c r="AG256" s="35"/>
      <c r="AH256" s="35"/>
      <c r="AI256" s="35"/>
      <c r="AJ256" s="35"/>
      <c r="AK256" s="35"/>
      <c r="AL256" s="35"/>
      <c r="AM256" s="35"/>
      <c r="AN256" s="35"/>
      <c r="AO256" s="35"/>
      <c r="AP256" s="35"/>
      <c r="AQ256" s="35"/>
      <c r="AR256" s="35"/>
      <c r="AS256" s="35"/>
      <c r="AT256" s="32"/>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93"/>
      <c r="CE256" s="3593"/>
      <c r="CF256" s="3593"/>
      <c r="CG256" s="3593"/>
      <c r="CH256" s="5732"/>
      <c r="CI256" s="3593"/>
      <c r="CJ256" s="3593"/>
      <c r="CK256" s="3593"/>
      <c r="CL256" s="3593"/>
      <c r="CM256" s="5732"/>
      <c r="CN256" s="3593"/>
      <c r="CO256" s="3593"/>
      <c r="CP256" s="3593"/>
      <c r="CQ256" s="3593"/>
      <c r="CR256" s="5732"/>
      <c r="CS256" s="3593"/>
      <c r="CT256" s="3593"/>
      <c r="CU256" s="3593"/>
      <c r="CV256" s="3593"/>
      <c r="CW256" s="5732"/>
      <c r="CX256" s="3593"/>
      <c r="CY256" s="3593"/>
      <c r="CZ256" s="3593"/>
      <c r="DA256" s="3593"/>
      <c r="DB256" s="5732"/>
      <c r="DC256" s="3593"/>
      <c r="DD256" s="3593"/>
      <c r="DE256" s="3593"/>
      <c r="DF256" s="3593"/>
      <c r="DG256" s="5732"/>
      <c r="DH256" s="3593"/>
      <c r="DI256" s="3593"/>
      <c r="DJ256" s="3593"/>
      <c r="DK256" s="3593"/>
      <c r="DL256" s="5732">
        <f>SUM(DH256:DK256)</f>
        <v>0</v>
      </c>
      <c r="DM256" s="3593"/>
      <c r="DN256" s="3593"/>
      <c r="DO256" s="3593"/>
      <c r="DP256" s="3593"/>
      <c r="DQ256" s="5732">
        <f>SUM(DM256:DP256)</f>
        <v>0</v>
      </c>
      <c r="DR256" s="3593"/>
      <c r="DS256" s="3593"/>
      <c r="DT256" s="3593"/>
      <c r="DU256" s="3593"/>
      <c r="DV256" s="5732">
        <f>SUM(DR256:DU256)</f>
        <v>0</v>
      </c>
      <c r="DW256" s="3593"/>
      <c r="DX256" s="3593"/>
      <c r="DY256" s="3593"/>
      <c r="DZ256" s="3593"/>
      <c r="EA256" s="5732">
        <f>SUM(DW256:DZ256)</f>
        <v>0</v>
      </c>
      <c r="EB256" s="4812">
        <v>35</v>
      </c>
      <c r="EC256" s="4812">
        <v>23</v>
      </c>
      <c r="ED256" s="4812">
        <v>1</v>
      </c>
      <c r="EE256" s="4812">
        <v>198</v>
      </c>
      <c r="EF256" s="5732">
        <f>SUM(EB256:EE256)</f>
        <v>257</v>
      </c>
      <c r="EG256" s="3593"/>
      <c r="EH256" s="3593"/>
      <c r="EI256" s="4813">
        <f t="shared" ref="EI256:EI257" si="1038">(EI$258-EI$255)*(EF256/SUM(EF$254,EF$256,EF$257))</f>
        <v>110.44410256410256</v>
      </c>
      <c r="EJ256" s="4813">
        <f t="shared" ref="EJ256:EJ257" si="1039">(EJ$258-EJ$255)*(EF256/SUM(EF$254,EF$256,EF$257))</f>
        <v>38.747692307692304</v>
      </c>
      <c r="EK256" s="5732">
        <f>SUM(EG256:EJ256)</f>
        <v>149.19179487179485</v>
      </c>
      <c r="EL256" s="3593"/>
      <c r="EM256" s="3593"/>
      <c r="EN256" s="4813"/>
      <c r="EO256" s="3593"/>
      <c r="EP256" s="5732">
        <f>SUM(EL256:EO256)</f>
        <v>0</v>
      </c>
      <c r="EQ256" s="3593"/>
      <c r="ER256" s="3593"/>
      <c r="ES256" s="3593"/>
      <c r="ET256" s="3593"/>
      <c r="EU256" s="5732">
        <f>SUM(EQ256:ET256)</f>
        <v>0</v>
      </c>
      <c r="EV256" s="5732"/>
      <c r="EW256" s="5732"/>
      <c r="EX256" s="5732"/>
      <c r="EY256" s="5732"/>
      <c r="EZ256" s="129"/>
    </row>
    <row r="257" spans="1:168" ht="11.25" customHeight="1">
      <c r="A257" s="4857" t="str">
        <f>A272</f>
        <v>General &amp; administrative (excl. 1x items)</v>
      </c>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c r="AG257" s="35"/>
      <c r="AH257" s="35"/>
      <c r="AI257" s="35"/>
      <c r="AJ257" s="35"/>
      <c r="AK257" s="35"/>
      <c r="AL257" s="35"/>
      <c r="AM257" s="35"/>
      <c r="AN257" s="35"/>
      <c r="AO257" s="35"/>
      <c r="AP257" s="35"/>
      <c r="AQ257" s="35"/>
      <c r="AR257" s="35"/>
      <c r="AS257" s="35"/>
      <c r="AT257" s="32"/>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93"/>
      <c r="CE257" s="3593"/>
      <c r="CF257" s="3593"/>
      <c r="CG257" s="3593"/>
      <c r="CH257" s="5732"/>
      <c r="CI257" s="3593"/>
      <c r="CJ257" s="3593"/>
      <c r="CK257" s="3593"/>
      <c r="CL257" s="3593"/>
      <c r="CM257" s="5732"/>
      <c r="CN257" s="3593"/>
      <c r="CO257" s="3593"/>
      <c r="CP257" s="3593"/>
      <c r="CQ257" s="3593"/>
      <c r="CR257" s="5732"/>
      <c r="CS257" s="3593"/>
      <c r="CT257" s="3593"/>
      <c r="CU257" s="3593"/>
      <c r="CV257" s="3593"/>
      <c r="CW257" s="5732"/>
      <c r="CX257" s="3593"/>
      <c r="CY257" s="3593"/>
      <c r="CZ257" s="3593"/>
      <c r="DA257" s="3593"/>
      <c r="DB257" s="5732"/>
      <c r="DC257" s="3593"/>
      <c r="DD257" s="3593"/>
      <c r="DE257" s="3593"/>
      <c r="DF257" s="3593"/>
      <c r="DG257" s="5732"/>
      <c r="DH257" s="3593"/>
      <c r="DI257" s="3593"/>
      <c r="DJ257" s="3593"/>
      <c r="DK257" s="3593"/>
      <c r="DL257" s="5732">
        <f>SUM(DH257:DK257)</f>
        <v>0</v>
      </c>
      <c r="DM257" s="3593"/>
      <c r="DN257" s="3593"/>
      <c r="DO257" s="3593"/>
      <c r="DP257" s="3593"/>
      <c r="DQ257" s="5732">
        <f>SUM(DM257:DP257)</f>
        <v>0</v>
      </c>
      <c r="DR257" s="3593"/>
      <c r="DS257" s="3593"/>
      <c r="DT257" s="3593"/>
      <c r="DU257" s="3593"/>
      <c r="DV257" s="5732">
        <f>SUM(DR257:DU257)</f>
        <v>0</v>
      </c>
      <c r="DW257" s="3593"/>
      <c r="DX257" s="3593"/>
      <c r="DY257" s="3593"/>
      <c r="DZ257" s="3593"/>
      <c r="EA257" s="5732">
        <f>SUM(DW257:DZ257)</f>
        <v>0</v>
      </c>
      <c r="EB257" s="4812">
        <v>62</v>
      </c>
      <c r="EC257" s="4812">
        <v>12</v>
      </c>
      <c r="ED257" s="4812">
        <v>2</v>
      </c>
      <c r="EE257" s="4812">
        <v>161</v>
      </c>
      <c r="EF257" s="5732">
        <f>SUM(EB257:EE257)</f>
        <v>237</v>
      </c>
      <c r="EG257" s="3593"/>
      <c r="EH257" s="3593"/>
      <c r="EI257" s="4813">
        <f t="shared" si="1038"/>
        <v>101.84923076923077</v>
      </c>
      <c r="EJ257" s="4813">
        <f t="shared" si="1039"/>
        <v>35.732307692307693</v>
      </c>
      <c r="EK257" s="5732">
        <f>SUM(EG257:EJ257)</f>
        <v>137.58153846153846</v>
      </c>
      <c r="EL257" s="3593"/>
      <c r="EM257" s="3593"/>
      <c r="EN257" s="4813"/>
      <c r="EO257" s="3593"/>
      <c r="EP257" s="5732">
        <f>SUM(EL257:EO257)</f>
        <v>0</v>
      </c>
      <c r="EQ257" s="3593"/>
      <c r="ER257" s="3593"/>
      <c r="ES257" s="3593"/>
      <c r="ET257" s="3593"/>
      <c r="EU257" s="5732">
        <f>SUM(EQ257:ET257)</f>
        <v>0</v>
      </c>
      <c r="EV257" s="5732"/>
      <c r="EW257" s="5732"/>
      <c r="EX257" s="5732"/>
      <c r="EY257" s="5732"/>
      <c r="EZ257" s="129"/>
    </row>
    <row r="258" spans="1:168" ht="11.25" customHeight="1">
      <c r="A258" s="5904" t="str">
        <f>_xlfn.CONCAT("Total ",A253)</f>
        <v>Total Office Space</v>
      </c>
      <c r="B258" s="5882"/>
      <c r="C258" s="5882"/>
      <c r="D258" s="5882"/>
      <c r="E258" s="5882"/>
      <c r="F258" s="5882"/>
      <c r="G258" s="5882"/>
      <c r="H258" s="5882"/>
      <c r="I258" s="5882"/>
      <c r="J258" s="5882"/>
      <c r="K258" s="5882"/>
      <c r="L258" s="5882"/>
      <c r="M258" s="5882"/>
      <c r="N258" s="5882"/>
      <c r="O258" s="5882"/>
      <c r="P258" s="5882"/>
      <c r="Q258" s="5882"/>
      <c r="R258" s="5882"/>
      <c r="S258" s="5882"/>
      <c r="T258" s="5882"/>
      <c r="U258" s="5882"/>
      <c r="V258" s="5882"/>
      <c r="W258" s="5882"/>
      <c r="X258" s="5882"/>
      <c r="Y258" s="5882"/>
      <c r="Z258" s="5882"/>
      <c r="AA258" s="5882"/>
      <c r="AB258" s="5882"/>
      <c r="AC258" s="5882"/>
      <c r="AD258" s="5882"/>
      <c r="AE258" s="5882"/>
      <c r="AF258" s="5882"/>
      <c r="AG258" s="5882"/>
      <c r="AH258" s="5882"/>
      <c r="AI258" s="5882"/>
      <c r="AJ258" s="5882"/>
      <c r="AK258" s="5882"/>
      <c r="AL258" s="5882"/>
      <c r="AM258" s="5882"/>
      <c r="AN258" s="5882"/>
      <c r="AO258" s="5882"/>
      <c r="AP258" s="5882"/>
      <c r="AQ258" s="5882"/>
      <c r="AR258" s="5882"/>
      <c r="AS258" s="5882"/>
      <c r="AT258" s="5883"/>
      <c r="AU258" s="5882"/>
      <c r="AV258" s="5882"/>
      <c r="AW258" s="5882"/>
      <c r="AX258" s="5882"/>
      <c r="AY258" s="5882"/>
      <c r="AZ258" s="5882"/>
      <c r="BA258" s="5882"/>
      <c r="BB258" s="5882"/>
      <c r="BC258" s="5882"/>
      <c r="BD258" s="5882"/>
      <c r="BE258" s="5882"/>
      <c r="BF258" s="5882"/>
      <c r="BG258" s="5882"/>
      <c r="BH258" s="5882"/>
      <c r="BI258" s="5882"/>
      <c r="BJ258" s="5882"/>
      <c r="BK258" s="5882"/>
      <c r="BL258" s="5882"/>
      <c r="BM258" s="5882"/>
      <c r="BN258" s="5882"/>
      <c r="BO258" s="5882"/>
      <c r="BP258" s="5882"/>
      <c r="BQ258" s="5882"/>
      <c r="BR258" s="5882"/>
      <c r="BS258" s="5882"/>
      <c r="BT258" s="5882"/>
      <c r="BU258" s="5882"/>
      <c r="BV258" s="5882"/>
      <c r="BW258" s="5882"/>
      <c r="BX258" s="5882"/>
      <c r="BY258" s="5882"/>
      <c r="BZ258" s="5882"/>
      <c r="CA258" s="5882"/>
      <c r="CB258" s="5882"/>
      <c r="CC258" s="5882"/>
      <c r="CD258" s="5261"/>
      <c r="CE258" s="5261"/>
      <c r="CF258" s="5261"/>
      <c r="CG258" s="5261"/>
      <c r="CH258" s="5854"/>
      <c r="CI258" s="5261"/>
      <c r="CJ258" s="5261"/>
      <c r="CK258" s="5261"/>
      <c r="CL258" s="5261"/>
      <c r="CM258" s="5854"/>
      <c r="CN258" s="5261"/>
      <c r="CO258" s="5261"/>
      <c r="CP258" s="5261"/>
      <c r="CQ258" s="5261"/>
      <c r="CR258" s="5854"/>
      <c r="CS258" s="5261"/>
      <c r="CT258" s="5261"/>
      <c r="CU258" s="5261"/>
      <c r="CV258" s="5261"/>
      <c r="CW258" s="5854"/>
      <c r="CX258" s="5261"/>
      <c r="CY258" s="5261"/>
      <c r="CZ258" s="5261"/>
      <c r="DA258" s="5261"/>
      <c r="DB258" s="5854"/>
      <c r="DC258" s="5261"/>
      <c r="DD258" s="5261"/>
      <c r="DE258" s="5261"/>
      <c r="DF258" s="5261"/>
      <c r="DG258" s="5854"/>
      <c r="DH258" s="5261">
        <f t="shared" ref="DH258" si="1040">SUM(DH254:DH257)</f>
        <v>0</v>
      </c>
      <c r="DI258" s="5261">
        <f t="shared" ref="DI258" si="1041">SUM(DI254:DI257)</f>
        <v>0</v>
      </c>
      <c r="DJ258" s="5261">
        <f t="shared" ref="DJ258" si="1042">SUM(DJ254:DJ257)</f>
        <v>0</v>
      </c>
      <c r="DK258" s="5261">
        <f t="shared" ref="DK258" si="1043">SUM(DK254:DK257)</f>
        <v>0</v>
      </c>
      <c r="DL258" s="5854">
        <f t="shared" ref="DL258" si="1044">SUM(DL254:DL257)</f>
        <v>0</v>
      </c>
      <c r="DM258" s="5261">
        <f t="shared" ref="DM258" si="1045">SUM(DM254:DM257)</f>
        <v>0</v>
      </c>
      <c r="DN258" s="5261">
        <f t="shared" ref="DN258" si="1046">SUM(DN254:DN257)</f>
        <v>0</v>
      </c>
      <c r="DO258" s="5261">
        <f t="shared" ref="DO258" si="1047">SUM(DO254:DO257)</f>
        <v>0</v>
      </c>
      <c r="DP258" s="5261">
        <f t="shared" ref="DP258" si="1048">SUM(DP254:DP257)</f>
        <v>0</v>
      </c>
      <c r="DQ258" s="5854">
        <f t="shared" ref="DQ258" si="1049">SUM(DQ254:DQ257)</f>
        <v>0</v>
      </c>
      <c r="DR258" s="5261">
        <f t="shared" ref="DR258" si="1050">SUM(DR254:DR257)</f>
        <v>0</v>
      </c>
      <c r="DS258" s="5261">
        <f t="shared" ref="DS258" si="1051">SUM(DS254:DS257)</f>
        <v>0</v>
      </c>
      <c r="DT258" s="5261">
        <f t="shared" ref="DT258" si="1052">SUM(DT254:DT257)</f>
        <v>0</v>
      </c>
      <c r="DU258" s="5261">
        <f t="shared" ref="DU258" si="1053">SUM(DU254:DU257)</f>
        <v>0</v>
      </c>
      <c r="DV258" s="5854">
        <f t="shared" ref="DV258" si="1054">SUM(DV254:DV257)</f>
        <v>0</v>
      </c>
      <c r="DW258" s="5261">
        <f t="shared" ref="DW258" si="1055">SUM(DW254:DW257)</f>
        <v>0</v>
      </c>
      <c r="DX258" s="5261">
        <f t="shared" ref="DX258" si="1056">SUM(DX254:DX257)</f>
        <v>0</v>
      </c>
      <c r="DY258" s="5261">
        <f t="shared" ref="DY258" si="1057">SUM(DY254:DY257)</f>
        <v>0</v>
      </c>
      <c r="DZ258" s="5261">
        <f t="shared" ref="DZ258" si="1058">SUM(DZ254:DZ257)</f>
        <v>0</v>
      </c>
      <c r="EA258" s="5854">
        <f t="shared" ref="EA258" si="1059">SUM(EA254:EA257)</f>
        <v>0</v>
      </c>
      <c r="EB258" s="5855">
        <f t="shared" ref="EB258" si="1060">SUM(EB254:EB257)</f>
        <v>564</v>
      </c>
      <c r="EC258" s="5855">
        <f t="shared" ref="EC258" si="1061">SUM(EC254:EC257)</f>
        <v>69</v>
      </c>
      <c r="ED258" s="5855">
        <f t="shared" ref="ED258" si="1062">SUM(ED254:ED257)</f>
        <v>16</v>
      </c>
      <c r="EE258" s="5855">
        <f t="shared" ref="EE258" si="1063">SUM(EE254:EE257)</f>
        <v>1196</v>
      </c>
      <c r="EF258" s="5854">
        <f>SUM(EF254:EF257)</f>
        <v>1845</v>
      </c>
      <c r="EG258" s="5261">
        <f t="shared" ref="EG258" si="1064">SUM(EG254:EG257)</f>
        <v>0</v>
      </c>
      <c r="EH258" s="5261">
        <f t="shared" ref="EH258" si="1065">SUM(EH254:EH257)</f>
        <v>0</v>
      </c>
      <c r="EI258" s="5855">
        <v>607</v>
      </c>
      <c r="EJ258" s="5261">
        <f>796-SUM(EG258:EI258)</f>
        <v>189</v>
      </c>
      <c r="EK258" s="5854">
        <f>SUM(EK254:EK257)</f>
        <v>796</v>
      </c>
      <c r="EL258" s="5261">
        <f t="shared" ref="EL258:EO258" si="1066">SUM(EL254:EL257)</f>
        <v>0</v>
      </c>
      <c r="EM258" s="5261">
        <f t="shared" si="1066"/>
        <v>0</v>
      </c>
      <c r="EN258" s="5855">
        <f t="shared" si="1066"/>
        <v>0</v>
      </c>
      <c r="EO258" s="5261">
        <f t="shared" si="1066"/>
        <v>0</v>
      </c>
      <c r="EP258" s="5854">
        <f>SUM(EP254:EP257)</f>
        <v>0</v>
      </c>
      <c r="EQ258" s="5261">
        <f t="shared" ref="EQ258:ET258" si="1067">SUM(EQ254:EQ257)</f>
        <v>0</v>
      </c>
      <c r="ER258" s="5261">
        <f t="shared" si="1067"/>
        <v>0</v>
      </c>
      <c r="ES258" s="5261">
        <f t="shared" si="1067"/>
        <v>0</v>
      </c>
      <c r="ET258" s="5261">
        <f t="shared" si="1067"/>
        <v>0</v>
      </c>
      <c r="EU258" s="5854">
        <f>SUM(EU254:EU257)</f>
        <v>0</v>
      </c>
      <c r="EV258" s="5854">
        <f t="shared" ref="EV258" si="1068">SUM(EV254:EV257)</f>
        <v>0</v>
      </c>
      <c r="EW258" s="5854">
        <f t="shared" ref="EW258" si="1069">SUM(EW254:EW257)</f>
        <v>0</v>
      </c>
      <c r="EX258" s="5854">
        <f t="shared" ref="EX258:EY258" si="1070">SUM(EX254:EX257)</f>
        <v>0</v>
      </c>
      <c r="EY258" s="5854">
        <f t="shared" si="1070"/>
        <v>0</v>
      </c>
      <c r="EZ258" s="129"/>
    </row>
    <row r="259" spans="1:168" ht="11.25" customHeight="1">
      <c r="A259" s="4857"/>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c r="AF259" s="35"/>
      <c r="AG259" s="35"/>
      <c r="AH259" s="35"/>
      <c r="AI259" s="35"/>
      <c r="AJ259" s="35"/>
      <c r="AK259" s="35"/>
      <c r="AL259" s="35"/>
      <c r="AM259" s="35"/>
      <c r="AN259" s="35"/>
      <c r="AO259" s="35"/>
      <c r="AP259" s="35"/>
      <c r="AQ259" s="35"/>
      <c r="AR259" s="35"/>
      <c r="AS259" s="35"/>
      <c r="AT259" s="32"/>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152"/>
      <c r="CE259" s="5899"/>
      <c r="CF259" s="152"/>
      <c r="CG259" s="152"/>
      <c r="CH259" s="5895"/>
      <c r="CI259" s="152"/>
      <c r="CJ259" s="5899"/>
      <c r="CK259" s="152"/>
      <c r="CL259" s="152"/>
      <c r="CM259" s="5895"/>
      <c r="CN259" s="152"/>
      <c r="CO259" s="5899"/>
      <c r="CP259" s="152"/>
      <c r="CQ259" s="152"/>
      <c r="CR259" s="5895"/>
      <c r="CS259" s="152"/>
      <c r="CT259" s="5899"/>
      <c r="CU259" s="152"/>
      <c r="CV259" s="152"/>
      <c r="CW259" s="5895"/>
      <c r="CX259" s="152"/>
      <c r="CY259" s="5899"/>
      <c r="CZ259" s="152"/>
      <c r="DA259" s="152"/>
      <c r="DB259" s="5895"/>
      <c r="DC259" s="152"/>
      <c r="DD259" s="5899"/>
      <c r="DE259" s="152"/>
      <c r="DF259" s="152"/>
      <c r="DG259" s="5895"/>
      <c r="DH259" s="152"/>
      <c r="DI259" s="5899"/>
      <c r="DJ259" s="152"/>
      <c r="DK259" s="152"/>
      <c r="DL259" s="5895"/>
      <c r="DM259" s="152"/>
      <c r="DN259" s="5899"/>
      <c r="DO259" s="152"/>
      <c r="DP259" s="152"/>
      <c r="DQ259" s="5895"/>
      <c r="DR259" s="152"/>
      <c r="DS259" s="5899"/>
      <c r="DT259" s="152"/>
      <c r="DU259" s="152"/>
      <c r="DV259" s="5895"/>
      <c r="DW259" s="152"/>
      <c r="DX259" s="5899"/>
      <c r="DY259" s="152"/>
      <c r="DZ259" s="152"/>
      <c r="EA259" s="5895"/>
      <c r="EB259" s="152"/>
      <c r="EC259" s="152"/>
      <c r="ED259" s="152"/>
      <c r="EE259" s="152"/>
      <c r="EF259" s="5895"/>
      <c r="EG259" s="152"/>
      <c r="EH259" s="5899"/>
      <c r="EI259" s="152"/>
      <c r="EJ259" s="152"/>
      <c r="EK259" s="5895"/>
      <c r="EL259" s="152"/>
      <c r="EM259" s="152"/>
      <c r="EN259" s="152"/>
      <c r="EO259" s="152"/>
      <c r="EP259" s="5895"/>
      <c r="EQ259" s="152"/>
      <c r="ER259" s="152"/>
      <c r="ES259" s="152"/>
      <c r="ET259" s="152"/>
      <c r="EU259" s="5895"/>
      <c r="EV259" s="5895"/>
      <c r="EW259" s="5895"/>
      <c r="EX259" s="5895"/>
      <c r="EY259" s="5895"/>
      <c r="EZ259" s="129"/>
    </row>
    <row r="260" spans="1:168" ht="11.25" customHeight="1">
      <c r="A260" s="5903" t="s">
        <v>1068</v>
      </c>
      <c r="B260" s="5874"/>
      <c r="C260" s="5874"/>
      <c r="D260" s="5874"/>
      <c r="E260" s="5874"/>
      <c r="F260" s="5874"/>
      <c r="G260" s="5874"/>
      <c r="H260" s="5874"/>
      <c r="I260" s="5874"/>
      <c r="J260" s="5874"/>
      <c r="K260" s="5874"/>
      <c r="L260" s="5874"/>
      <c r="M260" s="5874"/>
      <c r="N260" s="5874"/>
      <c r="O260" s="5874"/>
      <c r="P260" s="5874"/>
      <c r="Q260" s="5874"/>
      <c r="R260" s="5874"/>
      <c r="S260" s="5874"/>
      <c r="T260" s="5874"/>
      <c r="U260" s="5874"/>
      <c r="V260" s="5874"/>
      <c r="W260" s="5874"/>
      <c r="X260" s="5874"/>
      <c r="Y260" s="5874"/>
      <c r="Z260" s="5874"/>
      <c r="AA260" s="5874"/>
      <c r="AB260" s="5874"/>
      <c r="AC260" s="5874"/>
      <c r="AD260" s="5874"/>
      <c r="AE260" s="5874"/>
      <c r="AF260" s="5874"/>
      <c r="AG260" s="5874"/>
      <c r="AH260" s="5874"/>
      <c r="AI260" s="5874"/>
      <c r="AJ260" s="5874"/>
      <c r="AK260" s="5874"/>
      <c r="AL260" s="5874"/>
      <c r="AM260" s="5874"/>
      <c r="AN260" s="5874"/>
      <c r="AO260" s="5874"/>
      <c r="AP260" s="5874"/>
      <c r="AQ260" s="5874"/>
      <c r="AR260" s="5874"/>
      <c r="AS260" s="5874"/>
      <c r="AT260" s="5875"/>
      <c r="AU260" s="5874"/>
      <c r="AV260" s="5874"/>
      <c r="AW260" s="5874"/>
      <c r="AX260" s="5874"/>
      <c r="AY260" s="5874"/>
      <c r="AZ260" s="5874"/>
      <c r="BA260" s="5874"/>
      <c r="BB260" s="5874"/>
      <c r="BC260" s="5874"/>
      <c r="BD260" s="5874"/>
      <c r="BE260" s="5874"/>
      <c r="BF260" s="5874"/>
      <c r="BG260" s="5874"/>
      <c r="BH260" s="5874"/>
      <c r="BI260" s="5874"/>
      <c r="BJ260" s="5874"/>
      <c r="BK260" s="5874"/>
      <c r="BL260" s="5874"/>
      <c r="BM260" s="5874"/>
      <c r="BN260" s="5874"/>
      <c r="BO260" s="5874"/>
      <c r="BP260" s="5874"/>
      <c r="BQ260" s="5874"/>
      <c r="BR260" s="5874"/>
      <c r="BS260" s="5874"/>
      <c r="BT260" s="5874"/>
      <c r="BU260" s="5874"/>
      <c r="BV260" s="5874"/>
      <c r="BW260" s="5874"/>
      <c r="BX260" s="5874"/>
      <c r="BY260" s="5874"/>
      <c r="BZ260" s="5874"/>
      <c r="CA260" s="5874"/>
      <c r="CB260" s="5874"/>
      <c r="CC260" s="5874"/>
      <c r="CD260" s="5877"/>
      <c r="CE260" s="5877"/>
      <c r="CF260" s="5877"/>
      <c r="CG260" s="5877"/>
      <c r="CH260" s="5877"/>
      <c r="CI260" s="5877"/>
      <c r="CJ260" s="5877"/>
      <c r="CK260" s="5877"/>
      <c r="CL260" s="5877"/>
      <c r="CM260" s="5877"/>
      <c r="CN260" s="5877"/>
      <c r="CO260" s="5877"/>
      <c r="CP260" s="5877"/>
      <c r="CQ260" s="5877"/>
      <c r="CR260" s="5877"/>
      <c r="CS260" s="5877"/>
      <c r="CT260" s="5877"/>
      <c r="CU260" s="5877"/>
      <c r="CV260" s="5877"/>
      <c r="CW260" s="5877"/>
      <c r="CX260" s="5877"/>
      <c r="CY260" s="5877"/>
      <c r="CZ260" s="5877"/>
      <c r="DA260" s="5877"/>
      <c r="DB260" s="5877"/>
      <c r="DC260" s="5877"/>
      <c r="DD260" s="5877"/>
      <c r="DE260" s="5877"/>
      <c r="DF260" s="5877"/>
      <c r="DG260" s="5877"/>
      <c r="DH260" s="5877"/>
      <c r="DI260" s="5877"/>
      <c r="DJ260" s="5877"/>
      <c r="DK260" s="5877"/>
      <c r="DL260" s="5877"/>
      <c r="DM260" s="5877"/>
      <c r="DN260" s="5877"/>
      <c r="DO260" s="5877"/>
      <c r="DP260" s="5877"/>
      <c r="DQ260" s="5877"/>
      <c r="DR260" s="5877"/>
      <c r="DS260" s="5877"/>
      <c r="DT260" s="5877"/>
      <c r="DU260" s="5877"/>
      <c r="DV260" s="5877"/>
      <c r="DW260" s="5877"/>
      <c r="DX260" s="5877"/>
      <c r="DY260" s="5877"/>
      <c r="DZ260" s="5877"/>
      <c r="EA260" s="5877"/>
      <c r="EB260" s="5877"/>
      <c r="EC260" s="5877"/>
      <c r="ED260" s="5877"/>
      <c r="EE260" s="5877"/>
      <c r="EF260" s="5877"/>
      <c r="EG260" s="5877"/>
      <c r="EH260" s="5877"/>
      <c r="EI260" s="5877"/>
      <c r="EJ260" s="5877"/>
      <c r="EK260" s="5877"/>
      <c r="EL260" s="5877"/>
      <c r="EM260" s="5877"/>
      <c r="EN260" s="5877"/>
      <c r="EO260" s="5877"/>
      <c r="EP260" s="5877"/>
      <c r="EQ260" s="5877"/>
      <c r="ER260" s="5877"/>
      <c r="ES260" s="5877"/>
      <c r="ET260" s="5877"/>
      <c r="EU260" s="5877"/>
      <c r="EV260" s="5877"/>
      <c r="EW260" s="5900"/>
      <c r="EX260" s="5900"/>
      <c r="EY260" s="5900"/>
      <c r="EZ260" s="129"/>
    </row>
    <row r="261" spans="1:168" s="746" customFormat="1" ht="11.25" customHeight="1">
      <c r="A261" s="5905" t="s">
        <v>1079</v>
      </c>
      <c r="AT261" s="159"/>
      <c r="CD261" s="5820"/>
      <c r="CE261" s="5820"/>
      <c r="CF261" s="5820"/>
      <c r="CG261" s="5820"/>
      <c r="CH261" s="5859"/>
      <c r="CI261" s="5820"/>
      <c r="CJ261" s="5820"/>
      <c r="CK261" s="5820"/>
      <c r="CL261" s="5820"/>
      <c r="CM261" s="5859"/>
      <c r="CN261" s="5820"/>
      <c r="CO261" s="5820"/>
      <c r="CP261" s="5820"/>
      <c r="CQ261" s="5820"/>
      <c r="CR261" s="5859"/>
      <c r="CS261" s="5820"/>
      <c r="CT261" s="5820"/>
      <c r="CU261" s="5820"/>
      <c r="CV261" s="5820"/>
      <c r="CW261" s="5859"/>
      <c r="CX261" s="5820"/>
      <c r="CY261" s="5820"/>
      <c r="CZ261" s="5820"/>
      <c r="DA261" s="5820"/>
      <c r="DB261" s="5859"/>
      <c r="DC261" s="5820"/>
      <c r="DD261" s="5820"/>
      <c r="DE261" s="5820"/>
      <c r="DF261" s="5820"/>
      <c r="DG261" s="5859"/>
      <c r="DH261" s="5820"/>
      <c r="DI261" s="5820"/>
      <c r="DJ261" s="5820"/>
      <c r="DK261" s="5820"/>
      <c r="DL261" s="5859">
        <f>SUM(DH261:DK261)</f>
        <v>0</v>
      </c>
      <c r="DM261" s="5820"/>
      <c r="DN261" s="5820"/>
      <c r="DO261" s="5820"/>
      <c r="DP261" s="5820"/>
      <c r="DQ261" s="5859">
        <f>SUM(DM261:DP261)</f>
        <v>0</v>
      </c>
      <c r="DR261" s="5259">
        <v>835</v>
      </c>
      <c r="DS261" s="5259">
        <v>721</v>
      </c>
      <c r="DT261" s="5259">
        <v>591</v>
      </c>
      <c r="DU261" s="5893">
        <f>DV261-SUM(DR261:DT261)</f>
        <v>453</v>
      </c>
      <c r="DV261" s="5892">
        <v>2600</v>
      </c>
      <c r="DW261" s="5820"/>
      <c r="DX261" s="5820"/>
      <c r="DY261" s="5820"/>
      <c r="DZ261" s="5820"/>
      <c r="EA261" s="5859">
        <f>SUM(DW261:DZ261)</f>
        <v>0</v>
      </c>
      <c r="EB261" s="5259">
        <v>988</v>
      </c>
      <c r="EC261" s="5259">
        <v>966</v>
      </c>
      <c r="ED261" s="5259">
        <v>977</v>
      </c>
      <c r="EE261" s="5259">
        <v>983</v>
      </c>
      <c r="EF261" s="5859">
        <f>SUM(EB261:EE261)</f>
        <v>3914</v>
      </c>
      <c r="EG261" s="5820"/>
      <c r="EH261" s="5820"/>
      <c r="EI261" s="5820"/>
      <c r="EJ261" s="5820"/>
      <c r="EK261" s="5859">
        <f>SUM(EG261:EJ261)</f>
        <v>0</v>
      </c>
      <c r="EL261" s="5820"/>
      <c r="EM261" s="5820"/>
      <c r="EN261" s="5820"/>
      <c r="EO261" s="5820"/>
      <c r="EP261" s="5859">
        <f>SUM(EL261:EO261)</f>
        <v>0</v>
      </c>
      <c r="EQ261" s="5820"/>
      <c r="ER261" s="5820"/>
      <c r="ES261" s="5820"/>
      <c r="ET261" s="5820"/>
      <c r="EU261" s="5859">
        <f>SUM(EQ261:ET261)</f>
        <v>0</v>
      </c>
      <c r="EV261" s="5859"/>
      <c r="EW261" s="5859"/>
      <c r="EX261" s="5859"/>
      <c r="EY261" s="5859"/>
      <c r="FA261" s="5886"/>
      <c r="FB261" s="5886"/>
      <c r="FC261" s="5886"/>
      <c r="FD261" s="5886"/>
      <c r="FE261" s="5886"/>
      <c r="FF261" s="5886"/>
      <c r="FG261" s="791"/>
      <c r="FH261" s="791"/>
      <c r="FI261" s="791"/>
      <c r="FJ261" s="791"/>
      <c r="FK261" s="791"/>
      <c r="FL261" s="791"/>
    </row>
    <row r="262" spans="1:168" s="746" customFormat="1" ht="11.25" customHeight="1">
      <c r="A262" s="5905"/>
      <c r="AT262" s="159"/>
      <c r="CD262" s="5820"/>
      <c r="CE262" s="5820"/>
      <c r="CF262" s="5820"/>
      <c r="CG262" s="5820"/>
      <c r="CH262" s="5859"/>
      <c r="CI262" s="5820"/>
      <c r="CJ262" s="5820"/>
      <c r="CK262" s="5820"/>
      <c r="CL262" s="5820"/>
      <c r="CM262" s="5859"/>
      <c r="CN262" s="5820"/>
      <c r="CO262" s="5820"/>
      <c r="CP262" s="5820"/>
      <c r="CQ262" s="5820"/>
      <c r="CR262" s="5859"/>
      <c r="CS262" s="5820"/>
      <c r="CT262" s="5820"/>
      <c r="CU262" s="5820"/>
      <c r="CV262" s="5820"/>
      <c r="CW262" s="5859"/>
      <c r="CX262" s="5820"/>
      <c r="CY262" s="5820"/>
      <c r="CZ262" s="5820"/>
      <c r="DA262" s="5820"/>
      <c r="DB262" s="5859"/>
      <c r="DC262" s="5820"/>
      <c r="DD262" s="5820"/>
      <c r="DE262" s="5820"/>
      <c r="DF262" s="5820"/>
      <c r="DG262" s="5859"/>
      <c r="DH262" s="5820"/>
      <c r="DI262" s="5820"/>
      <c r="DJ262" s="5820"/>
      <c r="DK262" s="5820"/>
      <c r="DL262" s="5859"/>
      <c r="DM262" s="5820"/>
      <c r="DN262" s="5820"/>
      <c r="DO262" s="5820"/>
      <c r="DP262" s="5820"/>
      <c r="DQ262" s="5859"/>
      <c r="DR262" s="5259"/>
      <c r="DS262" s="5259"/>
      <c r="DT262" s="5259"/>
      <c r="DU262" s="5893"/>
      <c r="DV262" s="5892"/>
      <c r="DW262" s="5820"/>
      <c r="DX262" s="5820"/>
      <c r="DY262" s="5820"/>
      <c r="DZ262" s="5820"/>
      <c r="EA262" s="5859"/>
      <c r="EB262" s="5259"/>
      <c r="EC262" s="5259"/>
      <c r="ED262" s="5259"/>
      <c r="EE262" s="5259"/>
      <c r="EF262" s="5859"/>
      <c r="EG262" s="5820"/>
      <c r="EH262" s="5820"/>
      <c r="EI262" s="5820"/>
      <c r="EJ262" s="5820"/>
      <c r="EK262" s="5859"/>
      <c r="EL262" s="5820"/>
      <c r="EM262" s="5820"/>
      <c r="EN262" s="5820"/>
      <c r="EO262" s="5820"/>
      <c r="EP262" s="5859"/>
      <c r="EQ262" s="5820"/>
      <c r="ER262" s="5820"/>
      <c r="ES262" s="5820"/>
      <c r="ET262" s="5820"/>
      <c r="EU262" s="5859"/>
      <c r="EV262" s="5859"/>
      <c r="EW262" s="5859"/>
      <c r="EX262" s="5859"/>
      <c r="EY262" s="5859"/>
      <c r="FA262" s="5886"/>
      <c r="FB262" s="5886"/>
      <c r="FC262" s="5886"/>
      <c r="FD262" s="5886"/>
      <c r="FE262" s="5886"/>
      <c r="FF262" s="5886"/>
      <c r="FG262" s="791"/>
      <c r="FH262" s="791"/>
      <c r="FI262" s="791"/>
      <c r="FJ262" s="791"/>
      <c r="FK262" s="791"/>
      <c r="FL262" s="791"/>
    </row>
    <row r="263" spans="1:168" ht="11.25" customHeight="1">
      <c r="A263" s="5903" t="s">
        <v>1071</v>
      </c>
      <c r="B263" s="5874"/>
      <c r="C263" s="5874"/>
      <c r="D263" s="5874"/>
      <c r="E263" s="5874"/>
      <c r="F263" s="5874"/>
      <c r="G263" s="5874"/>
      <c r="H263" s="5874"/>
      <c r="I263" s="5874"/>
      <c r="J263" s="5874"/>
      <c r="K263" s="5874"/>
      <c r="L263" s="5874"/>
      <c r="M263" s="5874"/>
      <c r="N263" s="5874"/>
      <c r="O263" s="5874"/>
      <c r="P263" s="5874"/>
      <c r="Q263" s="5874"/>
      <c r="R263" s="5874"/>
      <c r="S263" s="5874"/>
      <c r="T263" s="5874"/>
      <c r="U263" s="5874"/>
      <c r="V263" s="5874"/>
      <c r="W263" s="5874"/>
      <c r="X263" s="5874"/>
      <c r="Y263" s="5874"/>
      <c r="Z263" s="5874"/>
      <c r="AA263" s="5874"/>
      <c r="AB263" s="5874"/>
      <c r="AC263" s="5874"/>
      <c r="AD263" s="5874"/>
      <c r="AE263" s="5874"/>
      <c r="AF263" s="5874"/>
      <c r="AG263" s="5874"/>
      <c r="AH263" s="5874"/>
      <c r="AI263" s="5874"/>
      <c r="AJ263" s="5874"/>
      <c r="AK263" s="5874"/>
      <c r="AL263" s="5874"/>
      <c r="AM263" s="5874"/>
      <c r="AN263" s="5874"/>
      <c r="AO263" s="5874"/>
      <c r="AP263" s="5874"/>
      <c r="AQ263" s="5874"/>
      <c r="AR263" s="5874"/>
      <c r="AS263" s="5874"/>
      <c r="AT263" s="5875"/>
      <c r="AU263" s="5874"/>
      <c r="AV263" s="5874"/>
      <c r="AW263" s="5874"/>
      <c r="AX263" s="5874"/>
      <c r="AY263" s="5874"/>
      <c r="AZ263" s="5874"/>
      <c r="BA263" s="5874"/>
      <c r="BB263" s="5874"/>
      <c r="BC263" s="5874"/>
      <c r="BD263" s="5874"/>
      <c r="BE263" s="5874"/>
      <c r="BF263" s="5874"/>
      <c r="BG263" s="5874"/>
      <c r="BH263" s="5874"/>
      <c r="BI263" s="5874"/>
      <c r="BJ263" s="5874"/>
      <c r="BK263" s="5874"/>
      <c r="BL263" s="5874"/>
      <c r="BM263" s="5874"/>
      <c r="BN263" s="5874"/>
      <c r="BO263" s="5874"/>
      <c r="BP263" s="5874"/>
      <c r="BQ263" s="5874"/>
      <c r="BR263" s="5874"/>
      <c r="BS263" s="5874"/>
      <c r="BT263" s="5874"/>
      <c r="BU263" s="5874"/>
      <c r="BV263" s="5874"/>
      <c r="BW263" s="5874"/>
      <c r="BX263" s="5874"/>
      <c r="BY263" s="5874"/>
      <c r="BZ263" s="5874"/>
      <c r="CA263" s="5874"/>
      <c r="CB263" s="5874"/>
      <c r="CC263" s="5874"/>
      <c r="CD263" s="5877"/>
      <c r="CE263" s="5877"/>
      <c r="CF263" s="5877"/>
      <c r="CG263" s="5877"/>
      <c r="CH263" s="5877"/>
      <c r="CI263" s="5877"/>
      <c r="CJ263" s="5877"/>
      <c r="CK263" s="5877"/>
      <c r="CL263" s="5877"/>
      <c r="CM263" s="5877"/>
      <c r="CN263" s="5877"/>
      <c r="CO263" s="5877"/>
      <c r="CP263" s="5877"/>
      <c r="CQ263" s="5877"/>
      <c r="CR263" s="5877"/>
      <c r="CS263" s="5877"/>
      <c r="CT263" s="5877"/>
      <c r="CU263" s="5877"/>
      <c r="CV263" s="5877"/>
      <c r="CW263" s="5877"/>
      <c r="CX263" s="5877"/>
      <c r="CY263" s="5877"/>
      <c r="CZ263" s="5877"/>
      <c r="DA263" s="5877"/>
      <c r="DB263" s="5877"/>
      <c r="DC263" s="5877"/>
      <c r="DD263" s="5877"/>
      <c r="DE263" s="5877"/>
      <c r="DF263" s="5877"/>
      <c r="DG263" s="5877"/>
      <c r="DH263" s="5877"/>
      <c r="DI263" s="5877"/>
      <c r="DJ263" s="5877"/>
      <c r="DK263" s="5877"/>
      <c r="DL263" s="5877"/>
      <c r="DM263" s="5877"/>
      <c r="DN263" s="5877"/>
      <c r="DO263" s="5877"/>
      <c r="DP263" s="5877"/>
      <c r="DQ263" s="5877"/>
      <c r="DR263" s="5877"/>
      <c r="DS263" s="5877"/>
      <c r="DT263" s="5877"/>
      <c r="DU263" s="5877"/>
      <c r="DV263" s="5877"/>
      <c r="DW263" s="5877"/>
      <c r="DX263" s="5877"/>
      <c r="DY263" s="5877"/>
      <c r="DZ263" s="5877"/>
      <c r="EA263" s="5877"/>
      <c r="EB263" s="5877"/>
      <c r="EC263" s="5877"/>
      <c r="ED263" s="5877"/>
      <c r="EE263" s="5877"/>
      <c r="EF263" s="5877"/>
      <c r="EG263" s="5877"/>
      <c r="EH263" s="5877"/>
      <c r="EI263" s="5877"/>
      <c r="EJ263" s="5877"/>
      <c r="EK263" s="5877"/>
      <c r="EL263" s="5877"/>
      <c r="EM263" s="5877"/>
      <c r="EN263" s="5877"/>
      <c r="EO263" s="5877"/>
      <c r="EP263" s="5877"/>
      <c r="EQ263" s="5877"/>
      <c r="ER263" s="5877"/>
      <c r="ES263" s="5877"/>
      <c r="ET263" s="5877"/>
      <c r="EU263" s="5877"/>
      <c r="EV263" s="5877"/>
      <c r="EW263" s="5900"/>
      <c r="EX263" s="5900"/>
      <c r="EY263" s="5900"/>
      <c r="EZ263" s="129"/>
    </row>
    <row r="264" spans="1:168" s="472" customFormat="1" ht="11.25" customHeight="1">
      <c r="A264" s="5906" t="s">
        <v>1070</v>
      </c>
      <c r="AT264" s="5881"/>
      <c r="BT264" s="5897">
        <f t="shared" ref="BT264:BW264" si="1071">BT25</f>
        <v>0</v>
      </c>
      <c r="BU264" s="5897">
        <f t="shared" si="1071"/>
        <v>0</v>
      </c>
      <c r="BV264" s="5897">
        <f t="shared" si="1071"/>
        <v>0</v>
      </c>
      <c r="BW264" s="5897">
        <f t="shared" si="1071"/>
        <v>0</v>
      </c>
      <c r="BX264" s="5898">
        <f>BX25</f>
        <v>0</v>
      </c>
      <c r="CD264" s="5897">
        <f t="shared" ref="CD264:CG264" si="1072">CD25</f>
        <v>0</v>
      </c>
      <c r="CE264" s="5897">
        <f t="shared" si="1072"/>
        <v>0</v>
      </c>
      <c r="CF264" s="5897">
        <f t="shared" si="1072"/>
        <v>0</v>
      </c>
      <c r="CG264" s="5897">
        <f t="shared" si="1072"/>
        <v>0</v>
      </c>
      <c r="CH264" s="5898">
        <f>CH25</f>
        <v>0</v>
      </c>
      <c r="CI264" s="5897">
        <f t="shared" ref="CI264:CR264" si="1073">CI25</f>
        <v>0</v>
      </c>
      <c r="CJ264" s="5897">
        <f t="shared" si="1073"/>
        <v>0</v>
      </c>
      <c r="CK264" s="5897">
        <f t="shared" si="1073"/>
        <v>378</v>
      </c>
      <c r="CL264" s="5897">
        <f t="shared" si="1073"/>
        <v>0</v>
      </c>
      <c r="CM264" s="5898">
        <f t="shared" si="1073"/>
        <v>378</v>
      </c>
      <c r="CN264" s="5897">
        <f t="shared" si="1073"/>
        <v>0</v>
      </c>
      <c r="CO264" s="5897">
        <f t="shared" si="1073"/>
        <v>0</v>
      </c>
      <c r="CP264" s="5897">
        <f t="shared" si="1073"/>
        <v>0</v>
      </c>
      <c r="CQ264" s="5897">
        <f t="shared" si="1073"/>
        <v>0</v>
      </c>
      <c r="CR264" s="5898">
        <f t="shared" si="1073"/>
        <v>0</v>
      </c>
      <c r="CS264" s="5897">
        <f t="shared" ref="CS264:CV264" si="1074">CS25</f>
        <v>0</v>
      </c>
      <c r="CT264" s="5897">
        <f t="shared" si="1074"/>
        <v>0</v>
      </c>
      <c r="CU264" s="5897">
        <f t="shared" si="1074"/>
        <v>0</v>
      </c>
      <c r="CV264" s="5897">
        <f t="shared" si="1074"/>
        <v>0</v>
      </c>
      <c r="CW264" s="5898">
        <f>CW25</f>
        <v>0</v>
      </c>
      <c r="CX264" s="5897">
        <f t="shared" ref="CX264:DB264" si="1075">CX25</f>
        <v>0</v>
      </c>
      <c r="CY264" s="5897">
        <f t="shared" si="1075"/>
        <v>2736</v>
      </c>
      <c r="CZ264" s="5897">
        <f t="shared" si="1075"/>
        <v>0</v>
      </c>
      <c r="DA264" s="5897">
        <f t="shared" si="1075"/>
        <v>0</v>
      </c>
      <c r="DB264" s="5898">
        <f t="shared" si="1075"/>
        <v>2736</v>
      </c>
      <c r="DC264" s="5897">
        <f t="shared" ref="DC264:EN264" si="1076">DC25</f>
        <v>0</v>
      </c>
      <c r="DD264" s="5897">
        <f t="shared" si="1076"/>
        <v>5071</v>
      </c>
      <c r="DE264" s="5897">
        <f t="shared" si="1076"/>
        <v>0</v>
      </c>
      <c r="DF264" s="5897">
        <f t="shared" si="1076"/>
        <v>0</v>
      </c>
      <c r="DG264" s="5898">
        <f t="shared" si="1076"/>
        <v>5071</v>
      </c>
      <c r="DH264" s="5897">
        <v>1697</v>
      </c>
      <c r="DI264" s="5897">
        <f t="shared" si="1076"/>
        <v>0</v>
      </c>
      <c r="DJ264" s="5897">
        <f t="shared" si="1076"/>
        <v>0</v>
      </c>
      <c r="DK264" s="5897">
        <f t="shared" si="1076"/>
        <v>0</v>
      </c>
      <c r="DL264" s="5884">
        <f t="shared" ref="DL264:DL266" si="1077">SUM(DH264:DK264)</f>
        <v>1697</v>
      </c>
      <c r="DM264" s="5897">
        <f t="shared" si="1076"/>
        <v>0</v>
      </c>
      <c r="DN264" s="5897">
        <f t="shared" si="1076"/>
        <v>0</v>
      </c>
      <c r="DO264" s="5897">
        <f t="shared" si="1076"/>
        <v>0</v>
      </c>
      <c r="DP264" s="5897">
        <f t="shared" si="1076"/>
        <v>0</v>
      </c>
      <c r="DQ264" s="5884">
        <f t="shared" ref="DQ264:DQ266" si="1078">SUM(DM264:DP264)</f>
        <v>0</v>
      </c>
      <c r="DR264" s="5897">
        <f t="shared" si="1076"/>
        <v>0</v>
      </c>
      <c r="DS264" s="5897">
        <f t="shared" si="1076"/>
        <v>0</v>
      </c>
      <c r="DT264" s="5897">
        <f t="shared" si="1076"/>
        <v>0</v>
      </c>
      <c r="DU264" s="5897">
        <f t="shared" si="1076"/>
        <v>0</v>
      </c>
      <c r="DV264" s="5884">
        <f t="shared" ref="DV264:DV266" si="1079">SUM(DR264:DU264)</f>
        <v>0</v>
      </c>
      <c r="DW264" s="5897">
        <f t="shared" si="1076"/>
        <v>0</v>
      </c>
      <c r="DX264" s="5897">
        <f t="shared" si="1076"/>
        <v>0</v>
      </c>
      <c r="DY264" s="5897">
        <f t="shared" si="1076"/>
        <v>0</v>
      </c>
      <c r="DZ264" s="5897">
        <f t="shared" si="1076"/>
        <v>0</v>
      </c>
      <c r="EA264" s="5884">
        <f t="shared" ref="EA264:EA266" si="1080">SUM(DW264:DZ264)</f>
        <v>0</v>
      </c>
      <c r="EB264" s="5897">
        <f t="shared" si="1076"/>
        <v>0</v>
      </c>
      <c r="EC264" s="5897">
        <f t="shared" si="1076"/>
        <v>0</v>
      </c>
      <c r="ED264" s="5897">
        <f t="shared" si="1076"/>
        <v>0</v>
      </c>
      <c r="EE264" s="5897">
        <f t="shared" si="1076"/>
        <v>0</v>
      </c>
      <c r="EF264" s="5884">
        <f t="shared" ref="EF264:EF266" si="1081">SUM(EB264:EE264)</f>
        <v>0</v>
      </c>
      <c r="EG264" s="5897">
        <f t="shared" si="1076"/>
        <v>0</v>
      </c>
      <c r="EH264" s="5897">
        <f t="shared" si="1076"/>
        <v>0</v>
      </c>
      <c r="EI264" s="5897">
        <f t="shared" si="1076"/>
        <v>0</v>
      </c>
      <c r="EJ264" s="5897">
        <f t="shared" si="1076"/>
        <v>0</v>
      </c>
      <c r="EK264" s="5884">
        <f t="shared" ref="EK264:EK266" si="1082">SUM(EG264:EJ264)</f>
        <v>0</v>
      </c>
      <c r="EL264" s="5172">
        <f t="shared" si="1076"/>
        <v>0</v>
      </c>
      <c r="EM264" s="5172">
        <f t="shared" si="1076"/>
        <v>0</v>
      </c>
      <c r="EN264" s="5172">
        <f t="shared" si="1076"/>
        <v>3457</v>
      </c>
      <c r="EO264" s="5172"/>
      <c r="EP264" s="5884">
        <f t="shared" ref="EP264:EP266" si="1083">SUM(EL264:EO264)</f>
        <v>3457</v>
      </c>
      <c r="EQ264" s="6194">
        <f t="shared" ref="EQ264:ET264" si="1084">EQ25</f>
        <v>0</v>
      </c>
      <c r="ER264" s="6194">
        <f t="shared" si="1084"/>
        <v>0</v>
      </c>
      <c r="ES264" s="6194">
        <f t="shared" si="1084"/>
        <v>0</v>
      </c>
      <c r="ET264" s="6194">
        <f t="shared" si="1084"/>
        <v>0</v>
      </c>
      <c r="EU264" s="5884">
        <f t="shared" ref="EU264:EU266" si="1085">SUM(EQ264:ET264)</f>
        <v>0</v>
      </c>
      <c r="EV264" s="5884"/>
      <c r="EW264" s="5884"/>
      <c r="EX264" s="5884"/>
      <c r="EY264" s="5884"/>
      <c r="EZ264" s="527"/>
      <c r="FA264" s="5805"/>
      <c r="FB264" s="5805"/>
      <c r="FC264" s="5805"/>
      <c r="FD264" s="5805"/>
      <c r="FE264" s="5805"/>
      <c r="FF264" s="5805"/>
      <c r="FG264" s="762"/>
      <c r="FH264" s="762"/>
      <c r="FI264" s="762"/>
      <c r="FJ264" s="762"/>
      <c r="FK264" s="762"/>
      <c r="FL264" s="762"/>
    </row>
    <row r="265" spans="1:168" s="472" customFormat="1" ht="11.25" customHeight="1">
      <c r="A265" s="5906" t="s">
        <v>1074</v>
      </c>
      <c r="AT265" s="5881"/>
      <c r="BT265" s="5172"/>
      <c r="BU265" s="5896"/>
      <c r="BV265" s="5172"/>
      <c r="BW265" s="5172"/>
      <c r="BX265" s="5884"/>
      <c r="CD265" s="5172"/>
      <c r="CE265" s="5896"/>
      <c r="CF265" s="5172"/>
      <c r="CG265" s="5172"/>
      <c r="CH265" s="5884"/>
      <c r="CI265" s="5172"/>
      <c r="CJ265" s="5896"/>
      <c r="CK265" s="5172"/>
      <c r="CL265" s="5172"/>
      <c r="CM265" s="5884"/>
      <c r="CN265" s="5172"/>
      <c r="CO265" s="5896"/>
      <c r="CP265" s="5172"/>
      <c r="CQ265" s="5172"/>
      <c r="CR265" s="5884"/>
      <c r="CS265" s="5172"/>
      <c r="CT265" s="5896"/>
      <c r="CU265" s="5172"/>
      <c r="CV265" s="5172"/>
      <c r="CW265" s="5884"/>
      <c r="CX265" s="5172"/>
      <c r="CY265" s="5896"/>
      <c r="CZ265" s="5172"/>
      <c r="DA265" s="5172"/>
      <c r="DB265" s="5884"/>
      <c r="DC265" s="5172"/>
      <c r="DD265" s="5896"/>
      <c r="DE265" s="5172"/>
      <c r="DF265" s="5172"/>
      <c r="DG265" s="5884"/>
      <c r="DH265" s="5172"/>
      <c r="DI265" s="5896"/>
      <c r="DJ265" s="654">
        <v>554</v>
      </c>
      <c r="DK265" s="5172"/>
      <c r="DL265" s="5884">
        <f t="shared" si="1077"/>
        <v>554</v>
      </c>
      <c r="DM265" s="5172"/>
      <c r="DN265" s="5896"/>
      <c r="DO265" s="5172"/>
      <c r="DP265" s="5172"/>
      <c r="DQ265" s="5884">
        <f t="shared" si="1078"/>
        <v>0</v>
      </c>
      <c r="DR265" s="5897">
        <v>236</v>
      </c>
      <c r="DS265" s="5897">
        <v>796</v>
      </c>
      <c r="DT265" s="5897">
        <v>314</v>
      </c>
      <c r="DU265" s="5893">
        <f>DV265-SUM(DR265:DT265)</f>
        <v>354</v>
      </c>
      <c r="DV265" s="5898">
        <v>1700</v>
      </c>
      <c r="DW265" s="475"/>
      <c r="DX265" s="5896"/>
      <c r="DY265" s="5897">
        <v>-228</v>
      </c>
      <c r="DZ265" s="5172"/>
      <c r="EA265" s="5884">
        <f t="shared" si="1080"/>
        <v>-228</v>
      </c>
      <c r="EB265" s="5897"/>
      <c r="EC265" s="5172"/>
      <c r="ED265" s="5897">
        <v>589</v>
      </c>
      <c r="EE265" s="5897"/>
      <c r="EF265" s="5884">
        <f t="shared" si="1081"/>
        <v>589</v>
      </c>
      <c r="EG265" s="5897"/>
      <c r="EH265" s="5896"/>
      <c r="EI265" s="5172"/>
      <c r="EJ265" s="5172"/>
      <c r="EK265" s="5884">
        <f t="shared" si="1082"/>
        <v>0</v>
      </c>
      <c r="EL265" s="5897">
        <v>292</v>
      </c>
      <c r="EM265" s="6194">
        <v>1400</v>
      </c>
      <c r="EN265" s="5172"/>
      <c r="EO265" s="5172"/>
      <c r="EP265" s="5884">
        <f t="shared" si="1083"/>
        <v>1692</v>
      </c>
      <c r="EQ265" s="5172"/>
      <c r="ER265" s="5172"/>
      <c r="ES265" s="5172"/>
      <c r="ET265" s="5172"/>
      <c r="EU265" s="5884">
        <f t="shared" si="1085"/>
        <v>0</v>
      </c>
      <c r="EV265" s="5884"/>
      <c r="EW265" s="5884"/>
      <c r="EX265" s="5884"/>
      <c r="EY265" s="5884"/>
      <c r="EZ265" s="527"/>
      <c r="FA265" s="5805"/>
      <c r="FB265" s="5805"/>
      <c r="FC265" s="5805"/>
      <c r="FD265" s="5805"/>
      <c r="FE265" s="5805"/>
      <c r="FF265" s="5805"/>
      <c r="FG265" s="762"/>
      <c r="FH265" s="762"/>
      <c r="FI265" s="762"/>
      <c r="FJ265" s="762"/>
      <c r="FK265" s="762"/>
      <c r="FL265" s="762"/>
    </row>
    <row r="266" spans="1:168" s="472" customFormat="1" ht="11.25" customHeight="1">
      <c r="A266" s="5906" t="s">
        <v>419</v>
      </c>
      <c r="AT266" s="5881"/>
      <c r="BT266" s="5172"/>
      <c r="BU266" s="5896"/>
      <c r="BV266" s="654"/>
      <c r="BW266" s="5172"/>
      <c r="BX266" s="5884"/>
      <c r="CD266" s="5172"/>
      <c r="CE266" s="5896"/>
      <c r="CF266" s="654"/>
      <c r="CG266" s="5172"/>
      <c r="CH266" s="5884"/>
      <c r="CI266" s="5172"/>
      <c r="CJ266" s="5896"/>
      <c r="CK266" s="654"/>
      <c r="CL266" s="5172"/>
      <c r="CM266" s="5884"/>
      <c r="CN266" s="5172"/>
      <c r="CO266" s="5896"/>
      <c r="CP266" s="5172"/>
      <c r="CQ266" s="5172"/>
      <c r="CR266" s="5884"/>
      <c r="CS266" s="5172"/>
      <c r="CT266" s="5896"/>
      <c r="CU266" s="5172"/>
      <c r="CV266" s="5172"/>
      <c r="CW266" s="5884"/>
      <c r="CX266" s="5172"/>
      <c r="CY266" s="5896"/>
      <c r="CZ266" s="5172"/>
      <c r="DA266" s="5172"/>
      <c r="DB266" s="5884"/>
      <c r="DC266" s="5172"/>
      <c r="DD266" s="5896"/>
      <c r="DE266" s="5172"/>
      <c r="DF266" s="5172"/>
      <c r="DG266" s="5884"/>
      <c r="DH266" s="5172"/>
      <c r="DI266" s="5896"/>
      <c r="DJ266" s="5172"/>
      <c r="DK266" s="5172"/>
      <c r="DL266" s="5884">
        <f t="shared" si="1077"/>
        <v>0</v>
      </c>
      <c r="DM266" s="5897">
        <v>413</v>
      </c>
      <c r="DN266" s="5911">
        <f>123+91</f>
        <v>214</v>
      </c>
      <c r="DO266" s="5172"/>
      <c r="DP266" s="5172"/>
      <c r="DQ266" s="5884">
        <f t="shared" si="1078"/>
        <v>627</v>
      </c>
      <c r="DR266" s="5172"/>
      <c r="DS266" s="5896"/>
      <c r="DT266" s="5172"/>
      <c r="DU266" s="5172"/>
      <c r="DV266" s="5884">
        <f t="shared" si="1079"/>
        <v>0</v>
      </c>
      <c r="DW266" s="5172"/>
      <c r="DX266" s="5896"/>
      <c r="DY266" s="5172"/>
      <c r="DZ266" s="5172"/>
      <c r="EA266" s="5884">
        <f t="shared" si="1080"/>
        <v>0</v>
      </c>
      <c r="EB266" s="5172"/>
      <c r="EC266" s="5172"/>
      <c r="ED266" s="5172"/>
      <c r="EE266" s="5172"/>
      <c r="EF266" s="5884">
        <f t="shared" si="1081"/>
        <v>0</v>
      </c>
      <c r="EG266" s="5172"/>
      <c r="EH266" s="5896"/>
      <c r="EI266" s="5172"/>
      <c r="EJ266" s="5172"/>
      <c r="EK266" s="5884">
        <f t="shared" si="1082"/>
        <v>0</v>
      </c>
      <c r="EL266" s="5172"/>
      <c r="EM266" s="5172"/>
      <c r="EN266" s="5172"/>
      <c r="EO266" s="5172"/>
      <c r="EP266" s="5884">
        <f t="shared" si="1083"/>
        <v>0</v>
      </c>
      <c r="EQ266" s="5172"/>
      <c r="ER266" s="5172"/>
      <c r="ES266" s="5172"/>
      <c r="ET266" s="5172"/>
      <c r="EU266" s="5884">
        <f t="shared" si="1085"/>
        <v>0</v>
      </c>
      <c r="EV266" s="5884"/>
      <c r="EW266" s="5884"/>
      <c r="EX266" s="5884"/>
      <c r="EY266" s="5884"/>
      <c r="EZ266" s="527"/>
      <c r="FA266" s="5805"/>
      <c r="FB266" s="5805"/>
      <c r="FC266" s="5805"/>
      <c r="FD266" s="5805"/>
      <c r="FE266" s="5805"/>
      <c r="FF266" s="5805"/>
      <c r="FG266" s="762"/>
      <c r="FH266" s="762"/>
      <c r="FI266" s="762"/>
      <c r="FJ266" s="762"/>
      <c r="FK266" s="762"/>
      <c r="FL266" s="762"/>
    </row>
    <row r="267" spans="1:168" ht="11.25" customHeight="1">
      <c r="A267" s="4857"/>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c r="AF267" s="35"/>
      <c r="AG267" s="35"/>
      <c r="AH267" s="35"/>
      <c r="AI267" s="35"/>
      <c r="AJ267" s="35"/>
      <c r="AK267" s="35"/>
      <c r="AL267" s="35"/>
      <c r="AM267" s="35"/>
      <c r="AN267" s="35"/>
      <c r="AO267" s="35"/>
      <c r="AP267" s="35"/>
      <c r="AQ267" s="35"/>
      <c r="AR267" s="35"/>
      <c r="AS267" s="35"/>
      <c r="AT267" s="32"/>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152"/>
      <c r="BU267" s="5899"/>
      <c r="BV267" s="152"/>
      <c r="BW267" s="152"/>
      <c r="BX267" s="5895"/>
      <c r="BY267" s="35"/>
      <c r="BZ267" s="35"/>
      <c r="CA267" s="35"/>
      <c r="CB267" s="35"/>
      <c r="CC267" s="35"/>
      <c r="CD267" s="152"/>
      <c r="CE267" s="5899"/>
      <c r="CF267" s="152"/>
      <c r="CG267" s="152"/>
      <c r="CH267" s="5895"/>
      <c r="CI267" s="152"/>
      <c r="CJ267" s="5899"/>
      <c r="CK267" s="152"/>
      <c r="CL267" s="152"/>
      <c r="CM267" s="5895"/>
      <c r="CN267" s="152"/>
      <c r="CO267" s="5899"/>
      <c r="CP267" s="152"/>
      <c r="CQ267" s="152"/>
      <c r="CR267" s="5895"/>
      <c r="CS267" s="152"/>
      <c r="CT267" s="5899"/>
      <c r="CU267" s="152"/>
      <c r="CV267" s="152"/>
      <c r="CW267" s="5895"/>
      <c r="CX267" s="152"/>
      <c r="CY267" s="5899"/>
      <c r="CZ267" s="152"/>
      <c r="DA267" s="152"/>
      <c r="DB267" s="5895"/>
      <c r="DC267" s="152"/>
      <c r="DD267" s="5899"/>
      <c r="DE267" s="152"/>
      <c r="DF267" s="152"/>
      <c r="DG267" s="5895"/>
      <c r="DH267" s="152"/>
      <c r="DI267" s="5899"/>
      <c r="DJ267" s="152"/>
      <c r="DK267" s="152"/>
      <c r="DL267" s="5895"/>
      <c r="DM267" s="152"/>
      <c r="DN267" s="5899"/>
      <c r="DO267" s="152"/>
      <c r="DP267" s="152"/>
      <c r="DQ267" s="5895"/>
      <c r="DR267" s="152"/>
      <c r="DS267" s="5899"/>
      <c r="DT267" s="152"/>
      <c r="DU267" s="152"/>
      <c r="DV267" s="5895"/>
      <c r="DW267" s="152"/>
      <c r="DX267" s="5899"/>
      <c r="DY267" s="152"/>
      <c r="DZ267" s="152"/>
      <c r="EA267" s="5895"/>
      <c r="EB267" s="152"/>
      <c r="EC267" s="152"/>
      <c r="ED267" s="152"/>
      <c r="EE267" s="152"/>
      <c r="EF267" s="5895"/>
      <c r="EG267" s="152"/>
      <c r="EH267" s="5899"/>
      <c r="EI267" s="152"/>
      <c r="EJ267" s="152"/>
      <c r="EK267" s="5895"/>
      <c r="EL267" s="152"/>
      <c r="EM267" s="152"/>
      <c r="EN267" s="152"/>
      <c r="EO267" s="152"/>
      <c r="EP267" s="5895"/>
      <c r="EQ267" s="152"/>
      <c r="ER267" s="152"/>
      <c r="ES267" s="152"/>
      <c r="ET267" s="152"/>
      <c r="EU267" s="5895"/>
      <c r="EV267" s="5895"/>
      <c r="EW267" s="5895"/>
      <c r="EX267" s="5895"/>
      <c r="EY267" s="5895"/>
      <c r="EZ267" s="129"/>
    </row>
    <row r="268" spans="1:168" ht="11.25" hidden="1" customHeight="1" outlineLevel="1">
      <c r="A268" s="5903" t="s">
        <v>523</v>
      </c>
      <c r="B268" s="5874"/>
      <c r="C268" s="5874"/>
      <c r="D268" s="5874"/>
      <c r="E268" s="5874"/>
      <c r="F268" s="5874"/>
      <c r="G268" s="5874"/>
      <c r="H268" s="5874"/>
      <c r="I268" s="5874"/>
      <c r="J268" s="5874"/>
      <c r="K268" s="5874"/>
      <c r="L268" s="5874"/>
      <c r="M268" s="5874"/>
      <c r="N268" s="5874"/>
      <c r="O268" s="5874"/>
      <c r="P268" s="5874"/>
      <c r="Q268" s="5874"/>
      <c r="R268" s="5874"/>
      <c r="S268" s="5874"/>
      <c r="T268" s="5874"/>
      <c r="U268" s="5874"/>
      <c r="V268" s="5874"/>
      <c r="W268" s="5874"/>
      <c r="X268" s="5874"/>
      <c r="Y268" s="5874"/>
      <c r="Z268" s="5874"/>
      <c r="AA268" s="5874"/>
      <c r="AB268" s="5874"/>
      <c r="AC268" s="5874"/>
      <c r="AD268" s="5874"/>
      <c r="AE268" s="5874"/>
      <c r="AF268" s="5874"/>
      <c r="AG268" s="5874"/>
      <c r="AH268" s="5874"/>
      <c r="AI268" s="5874"/>
      <c r="AJ268" s="5874"/>
      <c r="AK268" s="5874"/>
      <c r="AL268" s="5874"/>
      <c r="AM268" s="5874"/>
      <c r="AN268" s="5874"/>
      <c r="AO268" s="5874"/>
      <c r="AP268" s="5874"/>
      <c r="AQ268" s="5874"/>
      <c r="AR268" s="5874"/>
      <c r="AS268" s="5874"/>
      <c r="AT268" s="5875"/>
      <c r="AU268" s="5874"/>
      <c r="AV268" s="5874"/>
      <c r="AW268" s="5874"/>
      <c r="AX268" s="5874"/>
      <c r="AY268" s="5874"/>
      <c r="AZ268" s="5874"/>
      <c r="BA268" s="5874"/>
      <c r="BB268" s="5874"/>
      <c r="BC268" s="5874"/>
      <c r="BD268" s="5874"/>
      <c r="BE268" s="5874"/>
      <c r="BF268" s="5874"/>
      <c r="BG268" s="5874"/>
      <c r="BH268" s="5874"/>
      <c r="BI268" s="5874"/>
      <c r="BJ268" s="5874"/>
      <c r="BK268" s="5874"/>
      <c r="BL268" s="5874"/>
      <c r="BM268" s="5874"/>
      <c r="BN268" s="5874"/>
      <c r="BO268" s="5874"/>
      <c r="BP268" s="5874"/>
      <c r="BQ268" s="5874"/>
      <c r="BR268" s="5874"/>
      <c r="BS268" s="5874"/>
      <c r="BT268" s="5877"/>
      <c r="BU268" s="5877"/>
      <c r="BV268" s="5877"/>
      <c r="BW268" s="5877"/>
      <c r="BX268" s="5877"/>
      <c r="BY268" s="5874"/>
      <c r="BZ268" s="5874"/>
      <c r="CA268" s="5874"/>
      <c r="CB268" s="5874"/>
      <c r="CC268" s="5874"/>
      <c r="CD268" s="5877"/>
      <c r="CE268" s="5877"/>
      <c r="CF268" s="5877"/>
      <c r="CG268" s="5877"/>
      <c r="CH268" s="5877"/>
      <c r="CI268" s="5877"/>
      <c r="CJ268" s="5877"/>
      <c r="CK268" s="5877"/>
      <c r="CL268" s="5877"/>
      <c r="CM268" s="5877"/>
      <c r="CN268" s="5877"/>
      <c r="CO268" s="5877"/>
      <c r="CP268" s="5877"/>
      <c r="CQ268" s="5877"/>
      <c r="CR268" s="5877"/>
      <c r="CS268" s="5877"/>
      <c r="CT268" s="5877"/>
      <c r="CU268" s="5877"/>
      <c r="CV268" s="5877"/>
      <c r="CW268" s="5877"/>
      <c r="CX268" s="5877"/>
      <c r="CY268" s="5877"/>
      <c r="CZ268" s="5877"/>
      <c r="DA268" s="5877"/>
      <c r="DB268" s="5877"/>
      <c r="DC268" s="5877"/>
      <c r="DD268" s="5877"/>
      <c r="DE268" s="5877"/>
      <c r="DF268" s="5877"/>
      <c r="DG268" s="5877"/>
      <c r="DH268" s="5877"/>
      <c r="DI268" s="5877"/>
      <c r="DJ268" s="5877"/>
      <c r="DK268" s="5877"/>
      <c r="DL268" s="5877"/>
      <c r="DM268" s="5877"/>
      <c r="DN268" s="5877"/>
      <c r="DO268" s="5877"/>
      <c r="DP268" s="5877"/>
      <c r="DQ268" s="5877"/>
      <c r="DR268" s="5877"/>
      <c r="DS268" s="5877"/>
      <c r="DT268" s="5877"/>
      <c r="DU268" s="5877"/>
      <c r="DV268" s="5877"/>
      <c r="DW268" s="5877"/>
      <c r="DX268" s="5877"/>
      <c r="DY268" s="5877"/>
      <c r="DZ268" s="5877"/>
      <c r="EA268" s="5877"/>
      <c r="EB268" s="5877"/>
      <c r="EC268" s="5877"/>
      <c r="ED268" s="5877"/>
      <c r="EE268" s="5877"/>
      <c r="EF268" s="5877"/>
      <c r="EG268" s="5877"/>
      <c r="EH268" s="5877"/>
      <c r="EI268" s="5877"/>
      <c r="EJ268" s="5877"/>
      <c r="EK268" s="5877"/>
      <c r="EL268" s="5877"/>
      <c r="EM268" s="5877"/>
      <c r="EN268" s="5877"/>
      <c r="EO268" s="5877"/>
      <c r="EP268" s="5877"/>
      <c r="EQ268" s="5877"/>
      <c r="ER268" s="5877"/>
      <c r="ES268" s="5877"/>
      <c r="ET268" s="5877"/>
      <c r="EU268" s="5877"/>
      <c r="EV268" s="5877"/>
      <c r="EW268" s="5900"/>
      <c r="EX268" s="5900"/>
      <c r="EY268" s="5900"/>
      <c r="EZ268" s="129"/>
    </row>
    <row r="269" spans="1:168" ht="11.25" hidden="1" customHeight="1" outlineLevel="1">
      <c r="A269" s="4905" t="str">
        <f>A275</f>
        <v>Other cost of revenues (excl. 1x items)</v>
      </c>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c r="AF269" s="35"/>
      <c r="AG269" s="35"/>
      <c r="AH269" s="35"/>
      <c r="AI269" s="35"/>
      <c r="AJ269" s="35"/>
      <c r="AK269" s="35"/>
      <c r="AL269" s="35"/>
      <c r="AM269" s="35"/>
      <c r="AN269" s="35"/>
      <c r="AO269" s="35"/>
      <c r="AP269" s="35"/>
      <c r="AQ269" s="35"/>
      <c r="AR269" s="35"/>
      <c r="AS269" s="35"/>
      <c r="AT269" s="32"/>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93"/>
      <c r="BU269" s="3593"/>
      <c r="BV269" s="3593"/>
      <c r="BW269" s="3593"/>
      <c r="BX269" s="5732"/>
      <c r="BY269" s="35"/>
      <c r="BZ269" s="35"/>
      <c r="CA269" s="35"/>
      <c r="CB269" s="35"/>
      <c r="CC269" s="35"/>
      <c r="CD269" s="3593"/>
      <c r="CE269" s="3593"/>
      <c r="CF269" s="3593"/>
      <c r="CG269" s="3593"/>
      <c r="CH269" s="5732"/>
      <c r="CI269" s="3593"/>
      <c r="CJ269" s="3593"/>
      <c r="CK269" s="3593"/>
      <c r="CL269" s="3593"/>
      <c r="CM269" s="5732"/>
      <c r="CN269" s="3593"/>
      <c r="CO269" s="3593"/>
      <c r="CP269" s="3593"/>
      <c r="CQ269" s="3593"/>
      <c r="CR269" s="5732"/>
      <c r="CS269" s="3593"/>
      <c r="CT269" s="3593"/>
      <c r="CU269" s="3593"/>
      <c r="CV269" s="3593"/>
      <c r="CW269" s="5732"/>
      <c r="CX269" s="3593"/>
      <c r="CY269" s="3593"/>
      <c r="CZ269" s="3593"/>
      <c r="DA269" s="3593"/>
      <c r="DB269" s="5732"/>
      <c r="DC269" s="3593"/>
      <c r="DD269" s="3593"/>
      <c r="DE269" s="3593"/>
      <c r="DF269" s="3593"/>
      <c r="DG269" s="5732"/>
      <c r="DH269" s="3593"/>
      <c r="DI269" s="3593"/>
      <c r="DJ269" s="3593"/>
      <c r="DK269" s="3593"/>
      <c r="DL269" s="5732"/>
      <c r="DM269" s="3593"/>
      <c r="DN269" s="3593"/>
      <c r="DO269" s="3593"/>
      <c r="DP269" s="3593"/>
      <c r="DQ269" s="5732"/>
      <c r="DR269" s="3593"/>
      <c r="DS269" s="3593"/>
      <c r="DT269" s="3593"/>
      <c r="DU269" s="3593"/>
      <c r="DV269" s="5732"/>
      <c r="DW269" s="3593"/>
      <c r="DX269" s="3593"/>
      <c r="DY269" s="3593"/>
      <c r="DZ269" s="3593"/>
      <c r="EA269" s="5732"/>
      <c r="EB269" s="3593">
        <f t="shared" ref="EB269:ED272" si="1086">SUM(EB246,EB254)</f>
        <v>681</v>
      </c>
      <c r="EC269" s="3593">
        <f t="shared" si="1086"/>
        <v>19</v>
      </c>
      <c r="ED269" s="3593">
        <f t="shared" si="1086"/>
        <v>23</v>
      </c>
      <c r="EE269" s="3593"/>
      <c r="EF269" s="5732">
        <f>SUM(EB269:EE269)</f>
        <v>723</v>
      </c>
      <c r="EG269" s="3593">
        <f t="shared" ref="EG269" si="1087">SUM(EG246,EG254)</f>
        <v>153</v>
      </c>
      <c r="EH269" s="3593"/>
      <c r="EI269" s="3593"/>
      <c r="EJ269" s="3593"/>
      <c r="EK269" s="5732">
        <f>SUM(EG269:EJ269)</f>
        <v>153</v>
      </c>
      <c r="EL269" s="3593"/>
      <c r="EM269" s="3593"/>
      <c r="EN269" s="3593"/>
      <c r="EO269" s="3593"/>
      <c r="EP269" s="5732">
        <f>SUM(EL269:EO269)</f>
        <v>0</v>
      </c>
      <c r="EQ269" s="3593"/>
      <c r="ER269" s="3593"/>
      <c r="ES269" s="3593"/>
      <c r="ET269" s="3593"/>
      <c r="EU269" s="5732">
        <f>SUM(EQ269:ET269)</f>
        <v>0</v>
      </c>
      <c r="EV269" s="5732"/>
      <c r="EW269" s="5732"/>
      <c r="EX269" s="5732"/>
      <c r="EY269" s="5732"/>
      <c r="EZ269" s="129"/>
    </row>
    <row r="270" spans="1:168" ht="11.25" hidden="1" customHeight="1" outlineLevel="1">
      <c r="A270" s="4905" t="str">
        <f>A276</f>
        <v>Research &amp; development (excl. 1x items)</v>
      </c>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c r="AG270" s="35"/>
      <c r="AH270" s="35"/>
      <c r="AI270" s="35"/>
      <c r="AJ270" s="35"/>
      <c r="AK270" s="35"/>
      <c r="AL270" s="35"/>
      <c r="AM270" s="35"/>
      <c r="AN270" s="35"/>
      <c r="AO270" s="35"/>
      <c r="AP270" s="35"/>
      <c r="AQ270" s="35"/>
      <c r="AR270" s="35"/>
      <c r="AS270" s="35"/>
      <c r="AT270" s="32"/>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93"/>
      <c r="BU270" s="3593"/>
      <c r="BV270" s="3593"/>
      <c r="BW270" s="3593"/>
      <c r="BX270" s="5732"/>
      <c r="BY270" s="35"/>
      <c r="BZ270" s="35"/>
      <c r="CA270" s="35"/>
      <c r="CB270" s="35"/>
      <c r="CC270" s="35"/>
      <c r="CD270" s="3593"/>
      <c r="CE270" s="3593"/>
      <c r="CF270" s="3593"/>
      <c r="CG270" s="3593"/>
      <c r="CH270" s="5732"/>
      <c r="CI270" s="3593"/>
      <c r="CJ270" s="3593"/>
      <c r="CK270" s="3593"/>
      <c r="CL270" s="3593"/>
      <c r="CM270" s="5732"/>
      <c r="CN270" s="3593"/>
      <c r="CO270" s="3593"/>
      <c r="CP270" s="3593"/>
      <c r="CQ270" s="3593"/>
      <c r="CR270" s="5732"/>
      <c r="CS270" s="3593"/>
      <c r="CT270" s="3593"/>
      <c r="CU270" s="3593"/>
      <c r="CV270" s="3593"/>
      <c r="CW270" s="5732"/>
      <c r="CX270" s="3593"/>
      <c r="CY270" s="3593"/>
      <c r="CZ270" s="3593"/>
      <c r="DA270" s="3593"/>
      <c r="DB270" s="5732"/>
      <c r="DC270" s="3593"/>
      <c r="DD270" s="3593"/>
      <c r="DE270" s="3593"/>
      <c r="DF270" s="3593"/>
      <c r="DG270" s="5732"/>
      <c r="DH270" s="3593"/>
      <c r="DI270" s="3593"/>
      <c r="DJ270" s="3593"/>
      <c r="DK270" s="3593"/>
      <c r="DL270" s="5732"/>
      <c r="DM270" s="3593"/>
      <c r="DN270" s="3593"/>
      <c r="DO270" s="3593"/>
      <c r="DP270" s="3593"/>
      <c r="DQ270" s="5732"/>
      <c r="DR270" s="3593"/>
      <c r="DS270" s="3593"/>
      <c r="DT270" s="3593"/>
      <c r="DU270" s="3593"/>
      <c r="DV270" s="5732"/>
      <c r="DW270" s="3593"/>
      <c r="DX270" s="3593"/>
      <c r="DY270" s="3593"/>
      <c r="DZ270" s="3593"/>
      <c r="EA270" s="5732"/>
      <c r="EB270" s="3593">
        <f t="shared" si="1086"/>
        <v>1082</v>
      </c>
      <c r="EC270" s="3593">
        <f t="shared" si="1086"/>
        <v>11</v>
      </c>
      <c r="ED270" s="3593">
        <f t="shared" si="1086"/>
        <v>22</v>
      </c>
      <c r="EE270" s="3593"/>
      <c r="EF270" s="5732">
        <f>SUM(EB270:EE270)</f>
        <v>1115</v>
      </c>
      <c r="EG270" s="3593">
        <f t="shared" ref="EG270" si="1088">SUM(EG247,EG255)</f>
        <v>247</v>
      </c>
      <c r="EH270" s="3593"/>
      <c r="EI270" s="3593"/>
      <c r="EJ270" s="3593"/>
      <c r="EK270" s="5732">
        <f>SUM(EG270:EJ270)</f>
        <v>247</v>
      </c>
      <c r="EL270" s="3593"/>
      <c r="EM270" s="3593"/>
      <c r="EN270" s="3593"/>
      <c r="EO270" s="3593"/>
      <c r="EP270" s="5732">
        <f>SUM(EL270:EO270)</f>
        <v>0</v>
      </c>
      <c r="EQ270" s="3593"/>
      <c r="ER270" s="3593"/>
      <c r="ES270" s="3593"/>
      <c r="ET270" s="3593"/>
      <c r="EU270" s="5732">
        <f>SUM(EQ270:ET270)</f>
        <v>0</v>
      </c>
      <c r="EV270" s="5732"/>
      <c r="EW270" s="5732"/>
      <c r="EX270" s="5732"/>
      <c r="EY270" s="5732"/>
      <c r="EZ270" s="129"/>
    </row>
    <row r="271" spans="1:168" ht="11.25" hidden="1" customHeight="1" outlineLevel="1">
      <c r="A271" s="4905" t="str">
        <f>A277</f>
        <v>Sales &amp; marketing (excl. 1x items)</v>
      </c>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c r="AG271" s="35"/>
      <c r="AH271" s="35"/>
      <c r="AI271" s="35"/>
      <c r="AJ271" s="35"/>
      <c r="AK271" s="35"/>
      <c r="AL271" s="35"/>
      <c r="AM271" s="35"/>
      <c r="AN271" s="35"/>
      <c r="AO271" s="35"/>
      <c r="AP271" s="35"/>
      <c r="AQ271" s="35"/>
      <c r="AR271" s="35"/>
      <c r="AS271" s="35"/>
      <c r="AT271" s="32"/>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93"/>
      <c r="BU271" s="3593"/>
      <c r="BV271" s="3593"/>
      <c r="BW271" s="3593"/>
      <c r="BX271" s="5732"/>
      <c r="BY271" s="35"/>
      <c r="BZ271" s="35"/>
      <c r="CA271" s="35"/>
      <c r="CB271" s="35"/>
      <c r="CC271" s="35"/>
      <c r="CD271" s="3593"/>
      <c r="CE271" s="3593"/>
      <c r="CF271" s="3593"/>
      <c r="CG271" s="3593"/>
      <c r="CH271" s="5732"/>
      <c r="CI271" s="3593"/>
      <c r="CJ271" s="3593"/>
      <c r="CK271" s="3593"/>
      <c r="CL271" s="3593"/>
      <c r="CM271" s="5732"/>
      <c r="CN271" s="3593"/>
      <c r="CO271" s="3593"/>
      <c r="CP271" s="3593"/>
      <c r="CQ271" s="3593"/>
      <c r="CR271" s="5732"/>
      <c r="CS271" s="3593"/>
      <c r="CT271" s="3593"/>
      <c r="CU271" s="3593"/>
      <c r="CV271" s="3593"/>
      <c r="CW271" s="5732"/>
      <c r="CX271" s="3593"/>
      <c r="CY271" s="3593"/>
      <c r="CZ271" s="3593"/>
      <c r="DA271" s="3593"/>
      <c r="DB271" s="5732"/>
      <c r="DC271" s="3593"/>
      <c r="DD271" s="3593"/>
      <c r="DE271" s="3593"/>
      <c r="DF271" s="3593"/>
      <c r="DG271" s="5732"/>
      <c r="DH271" s="3593"/>
      <c r="DI271" s="3593"/>
      <c r="DJ271" s="3593"/>
      <c r="DK271" s="3593"/>
      <c r="DL271" s="5732"/>
      <c r="DM271" s="3593"/>
      <c r="DN271" s="3593"/>
      <c r="DO271" s="3593"/>
      <c r="DP271" s="3593"/>
      <c r="DQ271" s="5732"/>
      <c r="DR271" s="3593"/>
      <c r="DS271" s="3593"/>
      <c r="DT271" s="3593"/>
      <c r="DU271" s="3593"/>
      <c r="DV271" s="5732"/>
      <c r="DW271" s="3593"/>
      <c r="DX271" s="3593"/>
      <c r="DY271" s="3593"/>
      <c r="DZ271" s="3593"/>
      <c r="EA271" s="5732"/>
      <c r="EB271" s="3593">
        <f t="shared" si="1086"/>
        <v>480</v>
      </c>
      <c r="EC271" s="3593">
        <f t="shared" si="1086"/>
        <v>22</v>
      </c>
      <c r="ED271" s="3593">
        <f t="shared" si="1086"/>
        <v>51</v>
      </c>
      <c r="EE271" s="3593"/>
      <c r="EF271" s="5732">
        <f>SUM(EB271:EE271)</f>
        <v>553</v>
      </c>
      <c r="EG271" s="3593">
        <f t="shared" ref="EG271" si="1089">SUM(EG248,EG256)</f>
        <v>217</v>
      </c>
      <c r="EH271" s="3593"/>
      <c r="EI271" s="3593"/>
      <c r="EJ271" s="3593"/>
      <c r="EK271" s="5732">
        <f>SUM(EG271:EJ271)</f>
        <v>217</v>
      </c>
      <c r="EL271" s="3593"/>
      <c r="EM271" s="3593"/>
      <c r="EN271" s="3593"/>
      <c r="EO271" s="3593"/>
      <c r="EP271" s="5732">
        <f>SUM(EL271:EO271)</f>
        <v>0</v>
      </c>
      <c r="EQ271" s="3593"/>
      <c r="ER271" s="3593"/>
      <c r="ES271" s="3593"/>
      <c r="ET271" s="3593"/>
      <c r="EU271" s="5732">
        <f>SUM(EQ271:ET271)</f>
        <v>0</v>
      </c>
      <c r="EV271" s="5732"/>
      <c r="EW271" s="5732"/>
      <c r="EX271" s="5732"/>
      <c r="EY271" s="5732"/>
      <c r="EZ271" s="129"/>
    </row>
    <row r="272" spans="1:168" ht="11.25" hidden="1" customHeight="1" outlineLevel="1">
      <c r="A272" s="4905" t="str">
        <f>A278</f>
        <v>General &amp; administrative (excl. 1x items)</v>
      </c>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c r="AG272" s="35"/>
      <c r="AH272" s="35"/>
      <c r="AI272" s="35"/>
      <c r="AJ272" s="35"/>
      <c r="AK272" s="35"/>
      <c r="AL272" s="35"/>
      <c r="AM272" s="35"/>
      <c r="AN272" s="35"/>
      <c r="AO272" s="35"/>
      <c r="AP272" s="35"/>
      <c r="AQ272" s="35"/>
      <c r="AR272" s="35"/>
      <c r="AS272" s="35"/>
      <c r="AT272" s="32"/>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93"/>
      <c r="BU272" s="3593"/>
      <c r="BV272" s="3593"/>
      <c r="BW272" s="3593"/>
      <c r="BX272" s="5732"/>
      <c r="BY272" s="35"/>
      <c r="BZ272" s="35"/>
      <c r="CA272" s="35"/>
      <c r="CB272" s="35"/>
      <c r="CC272" s="35"/>
      <c r="CD272" s="3593"/>
      <c r="CE272" s="3593"/>
      <c r="CF272" s="3593"/>
      <c r="CG272" s="3593"/>
      <c r="CH272" s="5732"/>
      <c r="CI272" s="3593"/>
      <c r="CJ272" s="3593"/>
      <c r="CK272" s="3593"/>
      <c r="CL272" s="3593"/>
      <c r="CM272" s="5732"/>
      <c r="CN272" s="3593"/>
      <c r="CO272" s="3593"/>
      <c r="CP272" s="3593"/>
      <c r="CQ272" s="3593"/>
      <c r="CR272" s="5732"/>
      <c r="CS272" s="3593"/>
      <c r="CT272" s="3593"/>
      <c r="CU272" s="3593"/>
      <c r="CV272" s="3593"/>
      <c r="CW272" s="5732"/>
      <c r="CX272" s="3593"/>
      <c r="CY272" s="3593"/>
      <c r="CZ272" s="3593"/>
      <c r="DA272" s="3593"/>
      <c r="DB272" s="5732"/>
      <c r="DC272" s="3593"/>
      <c r="DD272" s="3593"/>
      <c r="DE272" s="3593"/>
      <c r="DF272" s="3593"/>
      <c r="DG272" s="5732"/>
      <c r="DH272" s="3593"/>
      <c r="DI272" s="3593"/>
      <c r="DJ272" s="3593"/>
      <c r="DK272" s="3593"/>
      <c r="DL272" s="5732"/>
      <c r="DM272" s="3593"/>
      <c r="DN272" s="3593"/>
      <c r="DO272" s="3593"/>
      <c r="DP272" s="3593"/>
      <c r="DQ272" s="5732"/>
      <c r="DR272" s="3593"/>
      <c r="DS272" s="3593"/>
      <c r="DT272" s="3593"/>
      <c r="DU272" s="3593"/>
      <c r="DV272" s="5732"/>
      <c r="DW272" s="3593"/>
      <c r="DX272" s="3593"/>
      <c r="DY272" s="3593"/>
      <c r="DZ272" s="3593"/>
      <c r="EA272" s="5732"/>
      <c r="EB272" s="3593">
        <f t="shared" si="1086"/>
        <v>315</v>
      </c>
      <c r="EC272" s="3593">
        <f t="shared" si="1086"/>
        <v>18</v>
      </c>
      <c r="ED272" s="3593">
        <f t="shared" si="1086"/>
        <v>6</v>
      </c>
      <c r="EE272" s="3593"/>
      <c r="EF272" s="5732">
        <f>SUM(EB272:EE272)</f>
        <v>339</v>
      </c>
      <c r="EG272" s="3593">
        <f t="shared" ref="EG272" si="1090">SUM(EG249,EG257)</f>
        <v>99</v>
      </c>
      <c r="EH272" s="3593"/>
      <c r="EI272" s="3593"/>
      <c r="EJ272" s="3593"/>
      <c r="EK272" s="5732">
        <f>SUM(EG272:EJ272)</f>
        <v>99</v>
      </c>
      <c r="EL272" s="3593"/>
      <c r="EM272" s="3593"/>
      <c r="EN272" s="3593"/>
      <c r="EO272" s="3593"/>
      <c r="EP272" s="5732">
        <f>SUM(EL272:EO272)</f>
        <v>0</v>
      </c>
      <c r="EQ272" s="3593"/>
      <c r="ER272" s="3593"/>
      <c r="ES272" s="3593"/>
      <c r="ET272" s="3593"/>
      <c r="EU272" s="5732">
        <f>SUM(EQ272:ET272)</f>
        <v>0</v>
      </c>
      <c r="EV272" s="5732"/>
      <c r="EW272" s="5732"/>
      <c r="EX272" s="5732"/>
      <c r="EY272" s="5732"/>
      <c r="EZ272" s="129"/>
    </row>
    <row r="273" spans="1:156" ht="11.25" hidden="1" customHeight="1" outlineLevel="1">
      <c r="A273" s="490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c r="AG273" s="35"/>
      <c r="AH273" s="35"/>
      <c r="AI273" s="35"/>
      <c r="AJ273" s="35"/>
      <c r="AK273" s="35"/>
      <c r="AL273" s="35"/>
      <c r="AM273" s="35"/>
      <c r="AN273" s="35"/>
      <c r="AO273" s="35"/>
      <c r="AP273" s="35"/>
      <c r="AQ273" s="35"/>
      <c r="AR273" s="35"/>
      <c r="AS273" s="35"/>
      <c r="AT273" s="32"/>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93"/>
      <c r="BU273" s="3593"/>
      <c r="BV273" s="3593"/>
      <c r="BW273" s="3593"/>
      <c r="BX273" s="5732"/>
      <c r="BY273" s="35"/>
      <c r="BZ273" s="35"/>
      <c r="CA273" s="35"/>
      <c r="CB273" s="35"/>
      <c r="CC273" s="35"/>
      <c r="CD273" s="3593"/>
      <c r="CE273" s="3593"/>
      <c r="CF273" s="3593"/>
      <c r="CG273" s="3593"/>
      <c r="CH273" s="5732"/>
      <c r="CI273" s="3593"/>
      <c r="CJ273" s="3593"/>
      <c r="CK273" s="3593"/>
      <c r="CL273" s="3593"/>
      <c r="CM273" s="5732"/>
      <c r="CN273" s="3593"/>
      <c r="CO273" s="3593"/>
      <c r="CP273" s="3593"/>
      <c r="CQ273" s="3593"/>
      <c r="CR273" s="5732"/>
      <c r="CS273" s="3593"/>
      <c r="CT273" s="3593"/>
      <c r="CU273" s="3593"/>
      <c r="CV273" s="3593"/>
      <c r="CW273" s="5732"/>
      <c r="CX273" s="3593"/>
      <c r="CY273" s="3593"/>
      <c r="CZ273" s="3593"/>
      <c r="DA273" s="3593"/>
      <c r="DB273" s="5732"/>
      <c r="DC273" s="3593"/>
      <c r="DD273" s="3593"/>
      <c r="DE273" s="3593"/>
      <c r="DF273" s="3593"/>
      <c r="DG273" s="5732"/>
      <c r="DH273" s="3593"/>
      <c r="DI273" s="3593"/>
      <c r="DJ273" s="3593"/>
      <c r="DK273" s="3593"/>
      <c r="DL273" s="5732"/>
      <c r="DM273" s="3593"/>
      <c r="DN273" s="3593"/>
      <c r="DO273" s="3593"/>
      <c r="DP273" s="3593"/>
      <c r="DQ273" s="5732"/>
      <c r="DR273" s="3593"/>
      <c r="DS273" s="3593"/>
      <c r="DT273" s="3593"/>
      <c r="DU273" s="3593"/>
      <c r="DV273" s="5732"/>
      <c r="DW273" s="3593"/>
      <c r="DX273" s="3593"/>
      <c r="DY273" s="3593"/>
      <c r="DZ273" s="3593"/>
      <c r="EA273" s="5732"/>
      <c r="EB273" s="3593"/>
      <c r="EC273" s="3593"/>
      <c r="ED273" s="3593"/>
      <c r="EE273" s="3593"/>
      <c r="EF273" s="5732"/>
      <c r="EG273" s="3593"/>
      <c r="EH273" s="3593"/>
      <c r="EI273" s="3593"/>
      <c r="EJ273" s="3593"/>
      <c r="EK273" s="5732"/>
      <c r="EL273" s="3593"/>
      <c r="EM273" s="3593"/>
      <c r="EN273" s="3593"/>
      <c r="EO273" s="3593"/>
      <c r="EP273" s="5732"/>
      <c r="EQ273" s="3593"/>
      <c r="ER273" s="3593"/>
      <c r="ES273" s="3593"/>
      <c r="ET273" s="3593"/>
      <c r="EU273" s="5732"/>
      <c r="EV273" s="5732"/>
      <c r="EW273" s="5732"/>
      <c r="EX273" s="5732"/>
      <c r="EY273" s="5732"/>
      <c r="EZ273" s="129"/>
    </row>
    <row r="274" spans="1:156" ht="11.25" hidden="1" customHeight="1" outlineLevel="1">
      <c r="A274" s="5902" t="s">
        <v>1069</v>
      </c>
      <c r="B274" s="5868"/>
      <c r="C274" s="5868"/>
      <c r="D274" s="5868"/>
      <c r="E274" s="5868"/>
      <c r="F274" s="5868"/>
      <c r="G274" s="5868"/>
      <c r="H274" s="5868"/>
      <c r="I274" s="5868"/>
      <c r="J274" s="5868"/>
      <c r="K274" s="5868"/>
      <c r="L274" s="5868"/>
      <c r="M274" s="5868"/>
      <c r="N274" s="5868"/>
      <c r="O274" s="5868"/>
      <c r="P274" s="5868"/>
      <c r="Q274" s="5868"/>
      <c r="R274" s="5868"/>
      <c r="S274" s="5868"/>
      <c r="T274" s="5868"/>
      <c r="U274" s="5868"/>
      <c r="V274" s="5868"/>
      <c r="W274" s="5868"/>
      <c r="X274" s="5868"/>
      <c r="Y274" s="5868"/>
      <c r="Z274" s="5868"/>
      <c r="AA274" s="5868"/>
      <c r="AB274" s="5868"/>
      <c r="AC274" s="5868"/>
      <c r="AD274" s="5868"/>
      <c r="AE274" s="5868"/>
      <c r="AF274" s="5868"/>
      <c r="AG274" s="5868"/>
      <c r="AH274" s="5868"/>
      <c r="AI274" s="5868"/>
      <c r="AJ274" s="5868"/>
      <c r="AK274" s="5868"/>
      <c r="AL274" s="5868"/>
      <c r="AM274" s="5868"/>
      <c r="AN274" s="5868"/>
      <c r="AO274" s="5868"/>
      <c r="AP274" s="5868"/>
      <c r="AQ274" s="5868"/>
      <c r="AR274" s="5868"/>
      <c r="AS274" s="5868"/>
      <c r="AT274" s="5869"/>
      <c r="AU274" s="5868"/>
      <c r="AV274" s="5868"/>
      <c r="AW274" s="5868"/>
      <c r="AX274" s="5868"/>
      <c r="AY274" s="5868"/>
      <c r="AZ274" s="5868"/>
      <c r="BA274" s="5868"/>
      <c r="BB274" s="5868"/>
      <c r="BC274" s="5868"/>
      <c r="BD274" s="5868"/>
      <c r="BE274" s="5868"/>
      <c r="BF274" s="5868"/>
      <c r="BG274" s="5868"/>
      <c r="BH274" s="5868"/>
      <c r="BI274" s="5868"/>
      <c r="BJ274" s="5868"/>
      <c r="BK274" s="5868"/>
      <c r="BL274" s="5868"/>
      <c r="BM274" s="5868"/>
      <c r="BN274" s="5868"/>
      <c r="BO274" s="5868"/>
      <c r="BP274" s="5868"/>
      <c r="BQ274" s="5868"/>
      <c r="BR274" s="5868"/>
      <c r="BS274" s="5868"/>
      <c r="BT274" s="5866"/>
      <c r="BU274" s="5866"/>
      <c r="BV274" s="5866"/>
      <c r="BW274" s="5866"/>
      <c r="BX274" s="5866"/>
      <c r="BY274" s="5868"/>
      <c r="BZ274" s="5868"/>
      <c r="CA274" s="5868"/>
      <c r="CB274" s="5868"/>
      <c r="CC274" s="5868"/>
      <c r="CD274" s="5866"/>
      <c r="CE274" s="5866"/>
      <c r="CF274" s="5866"/>
      <c r="CG274" s="5866"/>
      <c r="CH274" s="5866"/>
      <c r="CI274" s="5866"/>
      <c r="CJ274" s="5866"/>
      <c r="CK274" s="5866"/>
      <c r="CL274" s="5866"/>
      <c r="CM274" s="5866"/>
      <c r="CN274" s="5866"/>
      <c r="CO274" s="5866"/>
      <c r="CP274" s="5866"/>
      <c r="CQ274" s="5866"/>
      <c r="CR274" s="5866"/>
      <c r="CS274" s="5866"/>
      <c r="CT274" s="5866"/>
      <c r="CU274" s="5866"/>
      <c r="CV274" s="5866"/>
      <c r="CW274" s="5866"/>
      <c r="CX274" s="5866"/>
      <c r="CY274" s="5866"/>
      <c r="CZ274" s="5866"/>
      <c r="DA274" s="5866"/>
      <c r="DB274" s="5866"/>
      <c r="DC274" s="5866"/>
      <c r="DD274" s="5866"/>
      <c r="DE274" s="5866"/>
      <c r="DF274" s="5866"/>
      <c r="DG274" s="5866"/>
      <c r="DH274" s="5866"/>
      <c r="DI274" s="5866"/>
      <c r="DJ274" s="5866"/>
      <c r="DK274" s="5866"/>
      <c r="DL274" s="5866"/>
      <c r="DM274" s="5866"/>
      <c r="DN274" s="5866"/>
      <c r="DO274" s="5866"/>
      <c r="DP274" s="5866"/>
      <c r="DQ274" s="5866"/>
      <c r="DR274" s="5866"/>
      <c r="DS274" s="5866"/>
      <c r="DT274" s="5866"/>
      <c r="DU274" s="5866"/>
      <c r="DV274" s="5866"/>
      <c r="DW274" s="5866"/>
      <c r="DX274" s="5866"/>
      <c r="DY274" s="5866"/>
      <c r="DZ274" s="5866"/>
      <c r="EA274" s="5866"/>
      <c r="EB274" s="5866"/>
      <c r="EC274" s="5866"/>
      <c r="ED274" s="5866"/>
      <c r="EE274" s="5866"/>
      <c r="EF274" s="6058"/>
      <c r="EG274" s="5866"/>
      <c r="EH274" s="5866"/>
      <c r="EI274" s="5866"/>
      <c r="EJ274" s="5866"/>
      <c r="EK274" s="6058"/>
      <c r="EL274" s="5866"/>
      <c r="EM274" s="5866"/>
      <c r="EN274" s="5866"/>
      <c r="EO274" s="5866"/>
      <c r="EP274" s="5866"/>
      <c r="EQ274" s="5866"/>
      <c r="ER274" s="5866"/>
      <c r="ES274" s="5866"/>
      <c r="ET274" s="5866"/>
      <c r="EU274" s="5866"/>
      <c r="EV274" s="5866"/>
      <c r="EW274" s="5901"/>
      <c r="EX274" s="5901"/>
      <c r="EY274" s="5901"/>
      <c r="EZ274" s="129"/>
    </row>
    <row r="275" spans="1:156" ht="11.25" hidden="1" customHeight="1" outlineLevel="1">
      <c r="A275" s="4905" t="str">
        <f>_xlfn.CONCAT(A12," (excl. 1x items)")</f>
        <v>Other cost of revenues (excl. 1x items)</v>
      </c>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c r="AG275" s="35"/>
      <c r="AH275" s="35"/>
      <c r="AI275" s="35"/>
      <c r="AJ275" s="35"/>
      <c r="AK275" s="35"/>
      <c r="AL275" s="35"/>
      <c r="AM275" s="35"/>
      <c r="AN275" s="35"/>
      <c r="AO275" s="35"/>
      <c r="AP275" s="35"/>
      <c r="AQ275" s="35"/>
      <c r="AR275" s="35"/>
      <c r="AS275" s="35"/>
      <c r="AT275" s="32"/>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93"/>
      <c r="BU275" s="3593"/>
      <c r="BV275" s="3593"/>
      <c r="BW275" s="3593"/>
      <c r="BX275" s="5732"/>
      <c r="BY275" s="35"/>
      <c r="BZ275" s="35"/>
      <c r="CA275" s="35"/>
      <c r="CB275" s="35"/>
      <c r="CC275" s="35"/>
      <c r="CD275" s="3593"/>
      <c r="CE275" s="3593"/>
      <c r="CF275" s="3593"/>
      <c r="CG275" s="3593"/>
      <c r="CH275" s="5732"/>
      <c r="CI275" s="3593"/>
      <c r="CJ275" s="3593"/>
      <c r="CK275" s="3593"/>
      <c r="CL275" s="3593"/>
      <c r="CM275" s="5732"/>
      <c r="CN275" s="3593"/>
      <c r="CO275" s="3593"/>
      <c r="CP275" s="3593"/>
      <c r="CQ275" s="3593"/>
      <c r="CR275" s="5732"/>
      <c r="CS275" s="3593"/>
      <c r="CT275" s="3593"/>
      <c r="CU275" s="3593"/>
      <c r="CV275" s="3593"/>
      <c r="CW275" s="5732"/>
      <c r="CX275" s="3593"/>
      <c r="CY275" s="3593"/>
      <c r="CZ275" s="3593"/>
      <c r="DA275" s="3593"/>
      <c r="DB275" s="5732"/>
      <c r="DC275" s="3593"/>
      <c r="DD275" s="3593"/>
      <c r="DE275" s="3593"/>
      <c r="DF275" s="3593"/>
      <c r="DG275" s="5732"/>
      <c r="DH275" s="3593">
        <f t="shared" ref="DH275:EX275" si="1091">DH12-DH246-DH254</f>
        <v>9152</v>
      </c>
      <c r="DI275" s="3593">
        <f t="shared" si="1091"/>
        <v>10058</v>
      </c>
      <c r="DJ275" s="3593">
        <f t="shared" si="1091"/>
        <v>10078</v>
      </c>
      <c r="DK275" s="3593">
        <f t="shared" si="1091"/>
        <v>12519</v>
      </c>
      <c r="DL275" s="5732">
        <f t="shared" si="1091"/>
        <v>41807</v>
      </c>
      <c r="DM275" s="3593">
        <f t="shared" si="1091"/>
        <v>11530</v>
      </c>
      <c r="DN275" s="3593">
        <f t="shared" si="1091"/>
        <v>11859</v>
      </c>
      <c r="DO275" s="3593">
        <f t="shared" si="1091"/>
        <v>12951</v>
      </c>
      <c r="DP275" s="3593">
        <f t="shared" si="1091"/>
        <v>15614</v>
      </c>
      <c r="DQ275" s="5732">
        <f t="shared" si="1091"/>
        <v>51954</v>
      </c>
      <c r="DR275" s="3593">
        <f t="shared" si="1091"/>
        <v>14391</v>
      </c>
      <c r="DS275" s="3593">
        <f t="shared" si="1091"/>
        <v>15298</v>
      </c>
      <c r="DT275" s="3593">
        <f t="shared" si="1091"/>
        <v>16123</v>
      </c>
      <c r="DU275" s="3593">
        <f t="shared" si="1091"/>
        <v>19561</v>
      </c>
      <c r="DV275" s="5732">
        <f t="shared" si="1091"/>
        <v>65373</v>
      </c>
      <c r="DW275" s="3593">
        <f t="shared" si="1091"/>
        <v>17609</v>
      </c>
      <c r="DX275" s="3593">
        <f t="shared" si="1091"/>
        <v>17890</v>
      </c>
      <c r="DY275" s="3593">
        <f t="shared" si="1091"/>
        <v>19332</v>
      </c>
      <c r="DZ275" s="3593">
        <f t="shared" si="1091"/>
        <v>22417</v>
      </c>
      <c r="EA275" s="5732">
        <f t="shared" si="1091"/>
        <v>77248</v>
      </c>
      <c r="EB275" s="3593">
        <f t="shared" si="1091"/>
        <v>18210</v>
      </c>
      <c r="EC275" s="3593">
        <f t="shared" si="1091"/>
        <v>19360</v>
      </c>
      <c r="ED275" s="3593">
        <f t="shared" si="1091"/>
        <v>20564</v>
      </c>
      <c r="EE275" s="3593">
        <f t="shared" si="1091"/>
        <v>23352</v>
      </c>
      <c r="EF275" s="5732">
        <f t="shared" si="1091"/>
        <v>81486</v>
      </c>
      <c r="EG275" s="3593">
        <f t="shared" si="1091"/>
        <v>20613</v>
      </c>
      <c r="EH275" s="3593">
        <f t="shared" si="1091"/>
        <v>22120</v>
      </c>
      <c r="EI275" s="3593">
        <f t="shared" si="1091"/>
        <v>22548.293333333335</v>
      </c>
      <c r="EJ275" s="3593">
        <f t="shared" si="1091"/>
        <v>25610.972741935482</v>
      </c>
      <c r="EK275" s="5732">
        <f t="shared" si="1091"/>
        <v>90892.26607526881</v>
      </c>
      <c r="EL275" s="3593">
        <f t="shared" si="1091"/>
        <v>22613</v>
      </c>
      <c r="EM275" s="3593">
        <f t="shared" si="1091"/>
        <v>24334</v>
      </c>
      <c r="EN275" s="3593">
        <f t="shared" si="1091"/>
        <v>26493</v>
      </c>
      <c r="EO275" s="3593">
        <f t="shared" si="1091"/>
        <v>30428.207759866982</v>
      </c>
      <c r="EP275" s="5732">
        <f t="shared" si="1091"/>
        <v>103868.20775986699</v>
      </c>
      <c r="EQ275" s="3593">
        <f t="shared" ref="EQ275:EU275" si="1092">EQ12-EQ246-EQ254</f>
        <v>27263.918988604608</v>
      </c>
      <c r="ER275" s="3593">
        <f t="shared" si="1092"/>
        <v>29692.833579142585</v>
      </c>
      <c r="ES275" s="3593">
        <f t="shared" si="1092"/>
        <v>32870.337568567425</v>
      </c>
      <c r="ET275" s="3593">
        <f t="shared" si="1092"/>
        <v>37487.696253267764</v>
      </c>
      <c r="EU275" s="5732">
        <f t="shared" si="1092"/>
        <v>127314.78638958238</v>
      </c>
      <c r="EV275" s="5732">
        <f t="shared" si="1091"/>
        <v>153359.3608055058</v>
      </c>
      <c r="EW275" s="5732">
        <f t="shared" si="1091"/>
        <v>176392.70633605964</v>
      </c>
      <c r="EX275" s="5732">
        <f t="shared" si="1091"/>
        <v>197287.55637607427</v>
      </c>
      <c r="EY275" s="5732">
        <f t="shared" ref="EY275" si="1093">EY12-EY246-EY254</f>
        <v>217309.09648762803</v>
      </c>
      <c r="EZ275" s="129"/>
    </row>
    <row r="276" spans="1:156" ht="11.25" hidden="1" customHeight="1" outlineLevel="1">
      <c r="A276" s="4905" t="str">
        <f>_xlfn.CONCAT(A17," (excl. 1x items)")</f>
        <v>Research &amp; development (excl. 1x items)</v>
      </c>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c r="AF276" s="35"/>
      <c r="AG276" s="35"/>
      <c r="AH276" s="35"/>
      <c r="AI276" s="35"/>
      <c r="AJ276" s="35"/>
      <c r="AK276" s="35"/>
      <c r="AL276" s="35"/>
      <c r="AM276" s="35"/>
      <c r="AN276" s="35"/>
      <c r="AO276" s="35"/>
      <c r="AP276" s="35"/>
      <c r="AQ276" s="35"/>
      <c r="AR276" s="35"/>
      <c r="AS276" s="35"/>
      <c r="AT276" s="32"/>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93"/>
      <c r="BU276" s="3593"/>
      <c r="BV276" s="3593"/>
      <c r="BW276" s="3593"/>
      <c r="BX276" s="5732"/>
      <c r="BY276" s="35"/>
      <c r="BZ276" s="35"/>
      <c r="CA276" s="35"/>
      <c r="CB276" s="35"/>
      <c r="CC276" s="35"/>
      <c r="CD276" s="3593"/>
      <c r="CE276" s="3593"/>
      <c r="CF276" s="3593"/>
      <c r="CG276" s="3593"/>
      <c r="CH276" s="5732"/>
      <c r="CI276" s="3593"/>
      <c r="CJ276" s="3593"/>
      <c r="CK276" s="3593"/>
      <c r="CL276" s="3593"/>
      <c r="CM276" s="5732"/>
      <c r="CN276" s="3593"/>
      <c r="CO276" s="3593"/>
      <c r="CP276" s="3593"/>
      <c r="CQ276" s="3593"/>
      <c r="CR276" s="5732"/>
      <c r="CS276" s="3593"/>
      <c r="CT276" s="3593"/>
      <c r="CU276" s="3593"/>
      <c r="CV276" s="3593"/>
      <c r="CW276" s="5732"/>
      <c r="CX276" s="3593"/>
      <c r="CY276" s="3593"/>
      <c r="CZ276" s="3593"/>
      <c r="DA276" s="3593"/>
      <c r="DB276" s="5732"/>
      <c r="DC276" s="3593"/>
      <c r="DD276" s="3593"/>
      <c r="DE276" s="3593"/>
      <c r="DF276" s="3593"/>
      <c r="DG276" s="5732"/>
      <c r="DH276" s="3593">
        <f t="shared" ref="DH276:EX276" si="1094">DH17-DH247-DH255</f>
        <v>6029</v>
      </c>
      <c r="DI276" s="3593">
        <f t="shared" si="1094"/>
        <v>6213</v>
      </c>
      <c r="DJ276" s="3593">
        <f t="shared" si="1094"/>
        <v>6554</v>
      </c>
      <c r="DK276" s="3593">
        <f t="shared" si="1094"/>
        <v>7222</v>
      </c>
      <c r="DL276" s="5732">
        <f t="shared" si="1094"/>
        <v>26018</v>
      </c>
      <c r="DM276" s="3593">
        <f t="shared" si="1094"/>
        <v>6820</v>
      </c>
      <c r="DN276" s="3593">
        <f t="shared" si="1094"/>
        <v>6875</v>
      </c>
      <c r="DO276" s="3593">
        <f t="shared" si="1094"/>
        <v>6856</v>
      </c>
      <c r="DP276" s="3593">
        <f t="shared" si="1094"/>
        <v>7022</v>
      </c>
      <c r="DQ276" s="5732">
        <f t="shared" si="1094"/>
        <v>27573</v>
      </c>
      <c r="DR276" s="3593">
        <f t="shared" si="1094"/>
        <v>7485</v>
      </c>
      <c r="DS276" s="3593">
        <f t="shared" si="1094"/>
        <v>7675</v>
      </c>
      <c r="DT276" s="3593">
        <f t="shared" si="1094"/>
        <v>7694</v>
      </c>
      <c r="DU276" s="3593">
        <f t="shared" si="1094"/>
        <v>8708</v>
      </c>
      <c r="DV276" s="5732">
        <f t="shared" si="1094"/>
        <v>31562</v>
      </c>
      <c r="DW276" s="3593">
        <f t="shared" si="1094"/>
        <v>9119</v>
      </c>
      <c r="DX276" s="3593">
        <f t="shared" si="1094"/>
        <v>9841</v>
      </c>
      <c r="DY276" s="3593">
        <f t="shared" si="1094"/>
        <v>10273</v>
      </c>
      <c r="DZ276" s="3593">
        <f t="shared" si="1094"/>
        <v>10267</v>
      </c>
      <c r="EA276" s="5732">
        <f t="shared" si="1094"/>
        <v>39500</v>
      </c>
      <c r="EB276" s="3593">
        <f t="shared" si="1094"/>
        <v>10386</v>
      </c>
      <c r="EC276" s="3593">
        <f t="shared" si="1094"/>
        <v>10577</v>
      </c>
      <c r="ED276" s="3593">
        <f t="shared" si="1094"/>
        <v>11236</v>
      </c>
      <c r="EE276" s="3593">
        <f t="shared" si="1094"/>
        <v>11510</v>
      </c>
      <c r="EF276" s="5732">
        <f t="shared" si="1094"/>
        <v>43709</v>
      </c>
      <c r="EG276" s="3593">
        <f t="shared" si="1094"/>
        <v>11656</v>
      </c>
      <c r="EH276" s="3593">
        <f t="shared" si="1094"/>
        <v>11860</v>
      </c>
      <c r="EI276" s="3593">
        <f t="shared" si="1094"/>
        <v>12259</v>
      </c>
      <c r="EJ276" s="3593">
        <f t="shared" si="1094"/>
        <v>13010</v>
      </c>
      <c r="EK276" s="5732">
        <f t="shared" si="1094"/>
        <v>48785</v>
      </c>
      <c r="EL276" s="3593">
        <f t="shared" si="1094"/>
        <v>13556</v>
      </c>
      <c r="EM276" s="3593">
        <f t="shared" si="1094"/>
        <v>13808</v>
      </c>
      <c r="EN276" s="3593">
        <f t="shared" si="1094"/>
        <v>15151</v>
      </c>
      <c r="EO276" s="3593">
        <f t="shared" si="1094"/>
        <v>15742.038083969039</v>
      </c>
      <c r="EP276" s="5732">
        <f t="shared" si="1094"/>
        <v>58257.038083969041</v>
      </c>
      <c r="EQ276" s="3593">
        <f t="shared" ref="EQ276:EU276" si="1095">EQ17-EQ247-EQ255</f>
        <v>16267.471663200749</v>
      </c>
      <c r="ER276" s="3593">
        <f t="shared" si="1095"/>
        <v>16539.005022910042</v>
      </c>
      <c r="ES276" s="3593">
        <f t="shared" si="1095"/>
        <v>17975.965857810308</v>
      </c>
      <c r="ET276" s="3593">
        <f t="shared" si="1095"/>
        <v>18630.933378883074</v>
      </c>
      <c r="EU276" s="5732">
        <f t="shared" si="1095"/>
        <v>69413.375922804174</v>
      </c>
      <c r="EV276" s="5732">
        <f t="shared" si="1094"/>
        <v>77831.026955346795</v>
      </c>
      <c r="EW276" s="5732">
        <f t="shared" si="1094"/>
        <v>85083.540703275823</v>
      </c>
      <c r="EX276" s="5732">
        <f t="shared" si="1094"/>
        <v>92298.271988806664</v>
      </c>
      <c r="EY276" s="5732">
        <f t="shared" ref="EY276" si="1096">EY17-EY247-EY255</f>
        <v>99414.132117507237</v>
      </c>
      <c r="EZ276" s="129"/>
    </row>
    <row r="277" spans="1:156" ht="11.25" hidden="1" customHeight="1" outlineLevel="1">
      <c r="A277" s="4905" t="str">
        <f>_xlfn.CONCAT(A20," (excl. 1x items)")</f>
        <v>Sales &amp; marketing (excl. 1x items)</v>
      </c>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c r="AF277" s="35"/>
      <c r="AG277" s="35"/>
      <c r="AH277" s="35"/>
      <c r="AI277" s="35"/>
      <c r="AJ277" s="35"/>
      <c r="AK277" s="35"/>
      <c r="AL277" s="35"/>
      <c r="AM277" s="35"/>
      <c r="AN277" s="35"/>
      <c r="AO277" s="35"/>
      <c r="AP277" s="35"/>
      <c r="AQ277" s="35"/>
      <c r="AR277" s="35"/>
      <c r="AS277" s="35"/>
      <c r="AT277" s="32"/>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93"/>
      <c r="BU277" s="3593"/>
      <c r="BV277" s="3593"/>
      <c r="BW277" s="3593"/>
      <c r="BX277" s="5732"/>
      <c r="BY277" s="35"/>
      <c r="BZ277" s="35"/>
      <c r="CA277" s="35"/>
      <c r="CB277" s="35"/>
      <c r="CC277" s="35"/>
      <c r="CD277" s="3593"/>
      <c r="CE277" s="3593"/>
      <c r="CF277" s="3593"/>
      <c r="CG277" s="3593"/>
      <c r="CH277" s="5732"/>
      <c r="CI277" s="3593"/>
      <c r="CJ277" s="3593"/>
      <c r="CK277" s="3593"/>
      <c r="CL277" s="3593"/>
      <c r="CM277" s="5732"/>
      <c r="CN277" s="3593"/>
      <c r="CO277" s="3593"/>
      <c r="CP277" s="3593"/>
      <c r="CQ277" s="3593"/>
      <c r="CR277" s="5732"/>
      <c r="CS277" s="3593"/>
      <c r="CT277" s="3593"/>
      <c r="CU277" s="3593"/>
      <c r="CV277" s="3593"/>
      <c r="CW277" s="5732"/>
      <c r="CX277" s="3593"/>
      <c r="CY277" s="3593"/>
      <c r="CZ277" s="3593"/>
      <c r="DA277" s="3593"/>
      <c r="DB277" s="5732"/>
      <c r="DC277" s="3593"/>
      <c r="DD277" s="3593"/>
      <c r="DE277" s="3593"/>
      <c r="DF277" s="3593"/>
      <c r="DG277" s="5732"/>
      <c r="DH277" s="3593">
        <f t="shared" ref="DH277:EX277" si="1097">DH20-DH248-DH256</f>
        <v>3905</v>
      </c>
      <c r="DI277" s="3593">
        <f t="shared" si="1097"/>
        <v>4212</v>
      </c>
      <c r="DJ277" s="3593">
        <f t="shared" si="1097"/>
        <v>4609</v>
      </c>
      <c r="DK277" s="3593">
        <f t="shared" si="1097"/>
        <v>5738</v>
      </c>
      <c r="DL277" s="5732">
        <f t="shared" si="1097"/>
        <v>18464</v>
      </c>
      <c r="DM277" s="3593">
        <f t="shared" si="1097"/>
        <v>4500</v>
      </c>
      <c r="DN277" s="3593">
        <f t="shared" si="1097"/>
        <v>3901</v>
      </c>
      <c r="DO277" s="3593">
        <f t="shared" si="1097"/>
        <v>4231</v>
      </c>
      <c r="DP277" s="3593">
        <f t="shared" si="1097"/>
        <v>5314</v>
      </c>
      <c r="DQ277" s="5732">
        <f t="shared" si="1097"/>
        <v>17946</v>
      </c>
      <c r="DR277" s="3593">
        <f t="shared" si="1097"/>
        <v>4516</v>
      </c>
      <c r="DS277" s="3593">
        <f t="shared" si="1097"/>
        <v>5276</v>
      </c>
      <c r="DT277" s="3593">
        <f t="shared" si="1097"/>
        <v>5516</v>
      </c>
      <c r="DU277" s="3593">
        <f t="shared" si="1097"/>
        <v>7604</v>
      </c>
      <c r="DV277" s="5732">
        <f t="shared" si="1097"/>
        <v>22912</v>
      </c>
      <c r="DW277" s="3593">
        <f t="shared" si="1097"/>
        <v>5825</v>
      </c>
      <c r="DX277" s="3593">
        <f t="shared" si="1097"/>
        <v>6630</v>
      </c>
      <c r="DY277" s="3593">
        <f t="shared" si="1097"/>
        <v>6929</v>
      </c>
      <c r="DZ277" s="3593">
        <f t="shared" si="1097"/>
        <v>7183</v>
      </c>
      <c r="EA277" s="5732">
        <f t="shared" si="1097"/>
        <v>26567</v>
      </c>
      <c r="EB277" s="3593">
        <f t="shared" si="1097"/>
        <v>6053</v>
      </c>
      <c r="EC277" s="3593">
        <f t="shared" si="1097"/>
        <v>6759</v>
      </c>
      <c r="ED277" s="3593">
        <f t="shared" si="1097"/>
        <v>6833</v>
      </c>
      <c r="EE277" s="3593">
        <f t="shared" si="1097"/>
        <v>7518</v>
      </c>
      <c r="EF277" s="5732">
        <f t="shared" si="1097"/>
        <v>27163</v>
      </c>
      <c r="EG277" s="3593">
        <f t="shared" si="1097"/>
        <v>6209</v>
      </c>
      <c r="EH277" s="3593">
        <f t="shared" si="1097"/>
        <v>6792</v>
      </c>
      <c r="EI277" s="3593">
        <f t="shared" si="1097"/>
        <v>7116.5558974358974</v>
      </c>
      <c r="EJ277" s="3593">
        <f t="shared" si="1097"/>
        <v>7239.6821464019858</v>
      </c>
      <c r="EK277" s="5732">
        <f t="shared" si="1097"/>
        <v>27357.238043837882</v>
      </c>
      <c r="EL277" s="3593">
        <f t="shared" si="1097"/>
        <v>6172</v>
      </c>
      <c r="EM277" s="3593">
        <f t="shared" si="1097"/>
        <v>7101</v>
      </c>
      <c r="EN277" s="3593">
        <f t="shared" si="1097"/>
        <v>7205</v>
      </c>
      <c r="EO277" s="3593">
        <f t="shared" si="1097"/>
        <v>7583.0549306924031</v>
      </c>
      <c r="EP277" s="5732">
        <f t="shared" si="1097"/>
        <v>28061.054930692404</v>
      </c>
      <c r="EQ277" s="3593">
        <f t="shared" ref="EQ277:EU277" si="1098">EQ20-EQ248-EQ256</f>
        <v>6452.4608273030899</v>
      </c>
      <c r="ER277" s="3593">
        <f t="shared" si="1098"/>
        <v>7737.5462095485573</v>
      </c>
      <c r="ES277" s="3593">
        <f t="shared" si="1098"/>
        <v>7703.9853676329894</v>
      </c>
      <c r="ET277" s="3593">
        <f t="shared" si="1098"/>
        <v>8016.9470903072615</v>
      </c>
      <c r="EU277" s="5732">
        <f t="shared" si="1098"/>
        <v>29910.939494791895</v>
      </c>
      <c r="EV277" s="5732">
        <f t="shared" si="1097"/>
        <v>32237.703472628848</v>
      </c>
      <c r="EW277" s="5732">
        <f t="shared" si="1097"/>
        <v>34240.937112293926</v>
      </c>
      <c r="EX277" s="5732">
        <f t="shared" si="1097"/>
        <v>36342.444595592628</v>
      </c>
      <c r="EY277" s="5732">
        <f t="shared" ref="EY277" si="1099">EY20-EY248-EY256</f>
        <v>38236.204660579708</v>
      </c>
      <c r="EZ277" s="129"/>
    </row>
    <row r="278" spans="1:156" ht="11.25" hidden="1" customHeight="1" outlineLevel="1">
      <c r="A278" s="4905" t="str">
        <f>_xlfn.CONCAT(A23," (excl. 1x items)")</f>
        <v>General &amp; administrative (excl. 1x items)</v>
      </c>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c r="AF278" s="35"/>
      <c r="AG278" s="35"/>
      <c r="AH278" s="35"/>
      <c r="AI278" s="35"/>
      <c r="AJ278" s="35"/>
      <c r="AK278" s="35"/>
      <c r="AL278" s="35"/>
      <c r="AM278" s="35"/>
      <c r="AN278" s="35"/>
      <c r="AO278" s="35"/>
      <c r="AP278" s="35"/>
      <c r="AQ278" s="35"/>
      <c r="AR278" s="35"/>
      <c r="AS278" s="35"/>
      <c r="AT278" s="32"/>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93"/>
      <c r="BU278" s="3593"/>
      <c r="BV278" s="3593"/>
      <c r="BW278" s="3593"/>
      <c r="BX278" s="5732"/>
      <c r="BY278" s="35"/>
      <c r="BZ278" s="35"/>
      <c r="CA278" s="35"/>
      <c r="CB278" s="35"/>
      <c r="CC278" s="35"/>
      <c r="CD278" s="3593"/>
      <c r="CE278" s="3593"/>
      <c r="CF278" s="3593"/>
      <c r="CG278" s="3593"/>
      <c r="CH278" s="5732"/>
      <c r="CI278" s="3593"/>
      <c r="CJ278" s="3593"/>
      <c r="CK278" s="3593"/>
      <c r="CL278" s="3593"/>
      <c r="CM278" s="5732"/>
      <c r="CN278" s="3593"/>
      <c r="CO278" s="3593"/>
      <c r="CP278" s="3593"/>
      <c r="CQ278" s="3593"/>
      <c r="CR278" s="5732"/>
      <c r="CS278" s="3593"/>
      <c r="CT278" s="3593"/>
      <c r="CU278" s="3593"/>
      <c r="CV278" s="3593"/>
      <c r="CW278" s="5732"/>
      <c r="CX278" s="3593"/>
      <c r="CY278" s="3593"/>
      <c r="CZ278" s="3593"/>
      <c r="DA278" s="3593"/>
      <c r="DB278" s="5732"/>
      <c r="DC278" s="3593"/>
      <c r="DD278" s="3593"/>
      <c r="DE278" s="3593"/>
      <c r="DF278" s="3593"/>
      <c r="DG278" s="5732"/>
      <c r="DH278" s="3593">
        <f t="shared" ref="DH278:EX278" si="1100">DH23-DH249-DH257-DH265</f>
        <v>2088</v>
      </c>
      <c r="DI278" s="3593">
        <f t="shared" si="1100"/>
        <v>2043</v>
      </c>
      <c r="DJ278" s="3593">
        <f t="shared" si="1100"/>
        <v>2037</v>
      </c>
      <c r="DK278" s="3593">
        <f t="shared" si="1100"/>
        <v>2829</v>
      </c>
      <c r="DL278" s="5732">
        <f t="shared" si="1100"/>
        <v>8997</v>
      </c>
      <c r="DM278" s="3593">
        <f t="shared" si="1100"/>
        <v>2880</v>
      </c>
      <c r="DN278" s="3593">
        <f t="shared" si="1100"/>
        <v>2585</v>
      </c>
      <c r="DO278" s="3593">
        <f t="shared" si="1100"/>
        <v>2756</v>
      </c>
      <c r="DP278" s="3593">
        <f t="shared" si="1100"/>
        <v>2831</v>
      </c>
      <c r="DQ278" s="5732">
        <f t="shared" si="1100"/>
        <v>11052</v>
      </c>
      <c r="DR278" s="3593">
        <f t="shared" si="1100"/>
        <v>2537</v>
      </c>
      <c r="DS278" s="3593">
        <f t="shared" si="1100"/>
        <v>2545</v>
      </c>
      <c r="DT278" s="3593">
        <f t="shared" si="1100"/>
        <v>2942</v>
      </c>
      <c r="DU278" s="3593">
        <f t="shared" si="1100"/>
        <v>3786</v>
      </c>
      <c r="DV278" s="5732">
        <f t="shared" si="1100"/>
        <v>11810</v>
      </c>
      <c r="DW278" s="3593">
        <f t="shared" si="1100"/>
        <v>3374</v>
      </c>
      <c r="DX278" s="3593">
        <f t="shared" si="1100"/>
        <v>3657</v>
      </c>
      <c r="DY278" s="3593">
        <f t="shared" si="1100"/>
        <v>3825</v>
      </c>
      <c r="DZ278" s="3593">
        <f t="shared" si="1100"/>
        <v>5096</v>
      </c>
      <c r="EA278" s="5732">
        <f t="shared" si="1100"/>
        <v>15952</v>
      </c>
      <c r="EB278" s="3593">
        <f t="shared" si="1100"/>
        <v>3444</v>
      </c>
      <c r="EC278" s="3593">
        <f t="shared" si="1100"/>
        <v>3463</v>
      </c>
      <c r="ED278" s="3593">
        <f t="shared" si="1100"/>
        <v>3384</v>
      </c>
      <c r="EE278" s="3593">
        <f t="shared" si="1100"/>
        <v>5044</v>
      </c>
      <c r="EF278" s="5732">
        <f t="shared" si="1100"/>
        <v>15335</v>
      </c>
      <c r="EG278" s="3593">
        <f t="shared" si="1100"/>
        <v>2927</v>
      </c>
      <c r="EH278" s="3593">
        <f t="shared" si="1100"/>
        <v>3158</v>
      </c>
      <c r="EI278" s="3593">
        <f t="shared" si="1100"/>
        <v>3497.1507692307691</v>
      </c>
      <c r="EJ278" s="3593">
        <f t="shared" si="1100"/>
        <v>4324.3451116625311</v>
      </c>
      <c r="EK278" s="5732">
        <f t="shared" si="1100"/>
        <v>13906.495880893301</v>
      </c>
      <c r="EL278" s="3593">
        <f t="shared" si="1100"/>
        <v>3247</v>
      </c>
      <c r="EM278" s="3593">
        <f t="shared" si="1100"/>
        <v>3809</v>
      </c>
      <c r="EN278" s="3593">
        <f t="shared" si="1100"/>
        <v>3936</v>
      </c>
      <c r="EO278" s="3593">
        <f t="shared" si="1100"/>
        <v>4895.3898919659814</v>
      </c>
      <c r="EP278" s="5732">
        <f t="shared" si="1100"/>
        <v>15887.38989196598</v>
      </c>
      <c r="EQ278" s="3593">
        <f t="shared" ref="EQ278:EU278" si="1101">EQ23-EQ249-EQ257-EQ265</f>
        <v>3771.5087934236376</v>
      </c>
      <c r="ER278" s="3593">
        <f t="shared" si="1101"/>
        <v>3820.4134409645999</v>
      </c>
      <c r="ES278" s="3593">
        <f t="shared" si="1101"/>
        <v>4057.4322936200415</v>
      </c>
      <c r="ET278" s="3593">
        <f t="shared" si="1101"/>
        <v>5194.0783965370993</v>
      </c>
      <c r="EU278" s="5732">
        <f t="shared" si="1101"/>
        <v>16843.432924545377</v>
      </c>
      <c r="EV278" s="5732">
        <f t="shared" si="1100"/>
        <v>18421.544841502197</v>
      </c>
      <c r="EW278" s="5732">
        <f t="shared" si="1100"/>
        <v>19714.478943441958</v>
      </c>
      <c r="EX278" s="5732">
        <f t="shared" si="1100"/>
        <v>20767.111197481499</v>
      </c>
      <c r="EY278" s="5732">
        <f t="shared" ref="EY278" si="1102">EY23-EY249-EY257-EY265</f>
        <v>21667.182640995168</v>
      </c>
      <c r="EZ278" s="129"/>
    </row>
    <row r="279" spans="1:156" ht="11.25" hidden="1" customHeight="1" outlineLevel="1">
      <c r="A279" s="490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c r="AF279" s="35"/>
      <c r="AG279" s="35"/>
      <c r="AH279" s="35"/>
      <c r="AI279" s="35"/>
      <c r="AJ279" s="35"/>
      <c r="AK279" s="35"/>
      <c r="AL279" s="35"/>
      <c r="AM279" s="35"/>
      <c r="AN279" s="35"/>
      <c r="AO279" s="35"/>
      <c r="AP279" s="35"/>
      <c r="AQ279" s="35"/>
      <c r="AR279" s="35"/>
      <c r="AS279" s="35"/>
      <c r="AT279" s="32"/>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93"/>
      <c r="BU279" s="3593"/>
      <c r="BV279" s="3593"/>
      <c r="BW279" s="3593"/>
      <c r="BX279" s="5732"/>
      <c r="BY279" s="35"/>
      <c r="BZ279" s="35"/>
      <c r="CA279" s="35"/>
      <c r="CB279" s="35"/>
      <c r="CC279" s="35"/>
      <c r="CD279" s="3593"/>
      <c r="CE279" s="3593"/>
      <c r="CF279" s="3593"/>
      <c r="CG279" s="3593"/>
      <c r="CH279" s="5732"/>
      <c r="CI279" s="3593"/>
      <c r="CJ279" s="3593"/>
      <c r="CK279" s="3593"/>
      <c r="CL279" s="3593"/>
      <c r="CM279" s="5732"/>
      <c r="CN279" s="3593"/>
      <c r="CO279" s="3593"/>
      <c r="CP279" s="3593"/>
      <c r="CQ279" s="3593"/>
      <c r="CR279" s="5732"/>
      <c r="CS279" s="3593"/>
      <c r="CT279" s="3593"/>
      <c r="CU279" s="3593"/>
      <c r="CV279" s="3593"/>
      <c r="CW279" s="5732"/>
      <c r="CX279" s="3593"/>
      <c r="CY279" s="3593"/>
      <c r="CZ279" s="3593"/>
      <c r="DA279" s="3593"/>
      <c r="DB279" s="5732"/>
      <c r="DC279" s="3593"/>
      <c r="DD279" s="3593"/>
      <c r="DE279" s="3593"/>
      <c r="DF279" s="3593"/>
      <c r="DG279" s="5732"/>
      <c r="DH279" s="3593"/>
      <c r="DI279" s="3593"/>
      <c r="DJ279" s="3593"/>
      <c r="DK279" s="3593"/>
      <c r="DL279" s="5732"/>
      <c r="DM279" s="3593"/>
      <c r="DN279" s="3593"/>
      <c r="DO279" s="3593"/>
      <c r="DP279" s="3593"/>
      <c r="DQ279" s="5732"/>
      <c r="DR279" s="3593"/>
      <c r="DS279" s="3593"/>
      <c r="DT279" s="3593"/>
      <c r="DU279" s="3593"/>
      <c r="DV279" s="5732"/>
      <c r="DW279" s="3593"/>
      <c r="DX279" s="3593"/>
      <c r="DY279" s="3593"/>
      <c r="DZ279" s="3593"/>
      <c r="EA279" s="5732"/>
      <c r="EB279" s="3593"/>
      <c r="EC279" s="3593"/>
      <c r="ED279" s="3593"/>
      <c r="EE279" s="3593"/>
      <c r="EF279" s="5732"/>
      <c r="EG279" s="3593"/>
      <c r="EH279" s="3593"/>
      <c r="EI279" s="3593"/>
      <c r="EJ279" s="3593"/>
      <c r="EK279" s="5732"/>
      <c r="EL279" s="3593"/>
      <c r="EM279" s="3593"/>
      <c r="EN279" s="3593"/>
      <c r="EO279" s="3593"/>
      <c r="EP279" s="5732"/>
      <c r="EQ279" s="3593"/>
      <c r="ER279" s="3593"/>
      <c r="ES279" s="3593"/>
      <c r="ET279" s="3593"/>
      <c r="EU279" s="5732"/>
      <c r="EV279" s="5732"/>
      <c r="EW279" s="5732"/>
      <c r="EX279" s="5732"/>
      <c r="EY279" s="5732"/>
      <c r="EZ279" s="129"/>
    </row>
    <row r="280" spans="1:156" ht="11.25" hidden="1" customHeight="1" outlineLevel="1">
      <c r="A280" s="4906" t="str">
        <f>A24</f>
        <v>Stock compensation expense (incl. above)</v>
      </c>
      <c r="B280" s="2524"/>
      <c r="C280" s="2524"/>
      <c r="D280" s="2524"/>
      <c r="E280" s="2524"/>
      <c r="F280" s="2524"/>
      <c r="G280" s="2524"/>
      <c r="H280" s="2524"/>
      <c r="I280" s="2524"/>
      <c r="J280" s="2524"/>
      <c r="K280" s="2524"/>
      <c r="L280" s="2524"/>
      <c r="M280" s="2524"/>
      <c r="N280" s="2524"/>
      <c r="O280" s="2524"/>
      <c r="P280" s="2524"/>
      <c r="Q280" s="2524"/>
      <c r="R280" s="2524"/>
      <c r="S280" s="2524"/>
      <c r="T280" s="2524"/>
      <c r="U280" s="2524"/>
      <c r="V280" s="2524"/>
      <c r="W280" s="2524"/>
      <c r="X280" s="2524"/>
      <c r="Y280" s="2524"/>
      <c r="Z280" s="2524"/>
      <c r="AA280" s="2524"/>
      <c r="AB280" s="2524"/>
      <c r="AC280" s="2524"/>
      <c r="AD280" s="2524"/>
      <c r="AE280" s="2524"/>
      <c r="AF280" s="2524"/>
      <c r="AG280" s="2524"/>
      <c r="AH280" s="2524"/>
      <c r="AI280" s="2524"/>
      <c r="AJ280" s="2524"/>
      <c r="AK280" s="2524"/>
      <c r="AL280" s="2524"/>
      <c r="AM280" s="2524"/>
      <c r="AN280" s="2524"/>
      <c r="AO280" s="2524"/>
      <c r="AP280" s="2524"/>
      <c r="AQ280" s="2524"/>
      <c r="AR280" s="2524"/>
      <c r="AS280" s="2524"/>
      <c r="AT280" s="1114"/>
      <c r="AU280" s="2524"/>
      <c r="AV280" s="2524"/>
      <c r="AW280" s="2524"/>
      <c r="AX280" s="2524"/>
      <c r="AY280" s="2524"/>
      <c r="AZ280" s="2524"/>
      <c r="BA280" s="2524"/>
      <c r="BB280" s="2524"/>
      <c r="BC280" s="2524"/>
      <c r="BD280" s="2524"/>
      <c r="BE280" s="2524"/>
      <c r="BF280" s="2524"/>
      <c r="BG280" s="2524"/>
      <c r="BH280" s="2524"/>
      <c r="BI280" s="2524"/>
      <c r="BJ280" s="2524"/>
      <c r="BK280" s="2524"/>
      <c r="BL280" s="2524"/>
      <c r="BM280" s="2524"/>
      <c r="BN280" s="2524"/>
      <c r="BO280" s="2524"/>
      <c r="BP280" s="2524"/>
      <c r="BQ280" s="2524"/>
      <c r="BR280" s="2524"/>
      <c r="BS280" s="2524"/>
      <c r="BT280" s="3453"/>
      <c r="BU280" s="3453"/>
      <c r="BV280" s="3453"/>
      <c r="BW280" s="3453"/>
      <c r="BX280" s="5705"/>
      <c r="BY280" s="2524"/>
      <c r="BZ280" s="2524"/>
      <c r="CA280" s="2524"/>
      <c r="CB280" s="2524"/>
      <c r="CC280" s="2524"/>
      <c r="CD280" s="3453"/>
      <c r="CE280" s="3453"/>
      <c r="CF280" s="3453"/>
      <c r="CG280" s="3453"/>
      <c r="CH280" s="5705"/>
      <c r="CI280" s="3453"/>
      <c r="CJ280" s="3453"/>
      <c r="CK280" s="3453"/>
      <c r="CL280" s="3453"/>
      <c r="CM280" s="5705"/>
      <c r="CN280" s="3453"/>
      <c r="CO280" s="3453"/>
      <c r="CP280" s="3453"/>
      <c r="CQ280" s="3453"/>
      <c r="CR280" s="5705"/>
      <c r="CS280" s="3453"/>
      <c r="CT280" s="3453"/>
      <c r="CU280" s="3453"/>
      <c r="CV280" s="3453"/>
      <c r="CW280" s="5705"/>
      <c r="CX280" s="3453"/>
      <c r="CY280" s="3453"/>
      <c r="CZ280" s="3453"/>
      <c r="DA280" s="3453"/>
      <c r="DB280" s="5705"/>
      <c r="DC280" s="3453"/>
      <c r="DD280" s="3453"/>
      <c r="DE280" s="3453"/>
      <c r="DF280" s="3453"/>
      <c r="DG280" s="5705"/>
      <c r="DH280" s="3453">
        <f>DH24-DH250</f>
        <v>2769</v>
      </c>
      <c r="DI280" s="3453">
        <f>DI24-DI250</f>
        <v>2756</v>
      </c>
      <c r="DJ280" s="3453">
        <f>DJ24-DJ250</f>
        <v>2624</v>
      </c>
      <c r="DK280" s="3453">
        <f>DK24-DK250</f>
        <v>2645</v>
      </c>
      <c r="DL280" s="5705">
        <f t="shared" ref="DL280" si="1103">SUM(DH280:DK280)</f>
        <v>10794</v>
      </c>
      <c r="DM280" s="3453">
        <f>DM24-DM250</f>
        <v>3191</v>
      </c>
      <c r="DN280" s="3453">
        <f>DN24-DN250</f>
        <v>3382</v>
      </c>
      <c r="DO280" s="3453">
        <f>DO24-DO250</f>
        <v>3195</v>
      </c>
      <c r="DP280" s="3453">
        <f>DP24-DP250</f>
        <v>3223</v>
      </c>
      <c r="DQ280" s="5705">
        <f t="shared" ref="DQ280" si="1104">SUM(DM280:DP280)</f>
        <v>12991</v>
      </c>
      <c r="DR280" s="3453">
        <f>DR24-DR250</f>
        <v>3745</v>
      </c>
      <c r="DS280" s="3453">
        <f>DS24-DS250</f>
        <v>3803</v>
      </c>
      <c r="DT280" s="3453">
        <f>DT24-DT250</f>
        <v>3874</v>
      </c>
      <c r="DU280" s="3453">
        <f>DU24-DU250</f>
        <v>3954</v>
      </c>
      <c r="DV280" s="5705">
        <f t="shared" ref="DV280" si="1105">SUM(DR280:DU280)</f>
        <v>15376</v>
      </c>
      <c r="DW280" s="3453">
        <f>DW24-DW250</f>
        <v>4504</v>
      </c>
      <c r="DX280" s="3453">
        <f>DX24-DX250</f>
        <v>4782</v>
      </c>
      <c r="DY280" s="3453">
        <f>DY24-DY250</f>
        <v>4976</v>
      </c>
      <c r="DZ280" s="3453">
        <f>DZ24-DZ250</f>
        <v>5100</v>
      </c>
      <c r="EA280" s="5705">
        <f t="shared" ref="EA280" si="1106">SUM(DW280:DZ280)</f>
        <v>19362</v>
      </c>
      <c r="EB280" s="3453">
        <f>EB24-EB250</f>
        <v>4872</v>
      </c>
      <c r="EC280" s="3453">
        <f>EC24-EC250</f>
        <v>5757</v>
      </c>
      <c r="ED280" s="3453">
        <f>ED24-ED250</f>
        <v>5743</v>
      </c>
      <c r="EE280" s="3453">
        <f>EE24-EE250</f>
        <v>5656</v>
      </c>
      <c r="EF280" s="5705">
        <f t="shared" ref="EF280" si="1107">SUM(EB280:EE280)</f>
        <v>22028</v>
      </c>
      <c r="EG280" s="3453">
        <f>EG24-EG250</f>
        <v>5264</v>
      </c>
      <c r="EH280" s="3453">
        <f>EH24-EH250</f>
        <v>5865</v>
      </c>
      <c r="EI280" s="3453">
        <f>EI24-EI250</f>
        <v>5846</v>
      </c>
      <c r="EJ280" s="3453">
        <f>EJ24-EJ250</f>
        <v>5810</v>
      </c>
      <c r="EK280" s="5705">
        <f t="shared" ref="EK280" si="1108">SUM(EG280:EJ280)</f>
        <v>22785</v>
      </c>
      <c r="EL280" s="3453">
        <f>EL24-EL250</f>
        <v>5516</v>
      </c>
      <c r="EM280" s="3453">
        <f>EM24-EM250</f>
        <v>5998</v>
      </c>
      <c r="EN280" s="3453">
        <f>EN24-EN250</f>
        <v>6368</v>
      </c>
      <c r="EO280" s="3453">
        <f>EO24-EO250</f>
        <v>6527.1865226213095</v>
      </c>
      <c r="EP280" s="5705">
        <f t="shared" ref="EP280" si="1109">SUM(EL280:EO280)</f>
        <v>24409.186522621309</v>
      </c>
      <c r="EQ280" s="3453">
        <f t="shared" ref="EQ280:ET280" si="1110">EQ24-EQ250</f>
        <v>6452.4608273030899</v>
      </c>
      <c r="ER280" s="3453">
        <f t="shared" si="1110"/>
        <v>7098.6445316606469</v>
      </c>
      <c r="ES280" s="3453">
        <f t="shared" si="1110"/>
        <v>7478.2178760088218</v>
      </c>
      <c r="ET280" s="3453">
        <f t="shared" si="1110"/>
        <v>7452.3733515532294</v>
      </c>
      <c r="EU280" s="5705">
        <f t="shared" ref="EU280" si="1111">SUM(EQ280:ET280)</f>
        <v>28481.696586525788</v>
      </c>
      <c r="EV280" s="5705">
        <f>EV24-EV250</f>
        <v>30856.08760951618</v>
      </c>
      <c r="EW280" s="5705">
        <f>EW24-EW250</f>
        <v>33307.093372867726</v>
      </c>
      <c r="EX280" s="5705">
        <f>EX24-EX250</f>
        <v>35765.580395662582</v>
      </c>
      <c r="EY280" s="5705">
        <f>EY24-EY250</f>
        <v>38299.931668347344</v>
      </c>
      <c r="EZ280" s="129"/>
    </row>
    <row r="281" spans="1:156" ht="11.25" hidden="1" customHeight="1" outlineLevel="1">
      <c r="A281" s="4906" t="s">
        <v>1065</v>
      </c>
      <c r="B281" s="2524"/>
      <c r="C281" s="2524"/>
      <c r="D281" s="2524"/>
      <c r="E281" s="2524"/>
      <c r="F281" s="2524"/>
      <c r="G281" s="2524"/>
      <c r="H281" s="2524"/>
      <c r="I281" s="2524"/>
      <c r="J281" s="2524"/>
      <c r="K281" s="2524"/>
      <c r="L281" s="2524"/>
      <c r="M281" s="2524"/>
      <c r="N281" s="2524"/>
      <c r="O281" s="2524"/>
      <c r="P281" s="2524"/>
      <c r="Q281" s="2524"/>
      <c r="R281" s="2524"/>
      <c r="S281" s="2524"/>
      <c r="T281" s="2524"/>
      <c r="U281" s="2524"/>
      <c r="V281" s="2524"/>
      <c r="W281" s="2524"/>
      <c r="X281" s="2524"/>
      <c r="Y281" s="2524"/>
      <c r="Z281" s="2524"/>
      <c r="AA281" s="2524"/>
      <c r="AB281" s="2524"/>
      <c r="AC281" s="2524"/>
      <c r="AD281" s="2524"/>
      <c r="AE281" s="2524"/>
      <c r="AF281" s="2524"/>
      <c r="AG281" s="2524"/>
      <c r="AH281" s="2524"/>
      <c r="AI281" s="2524"/>
      <c r="AJ281" s="2524"/>
      <c r="AK281" s="2524"/>
      <c r="AL281" s="2524"/>
      <c r="AM281" s="2524"/>
      <c r="AN281" s="2524"/>
      <c r="AO281" s="2524"/>
      <c r="AP281" s="2524"/>
      <c r="AQ281" s="2524"/>
      <c r="AR281" s="2524"/>
      <c r="AS281" s="2524"/>
      <c r="AT281" s="1114"/>
      <c r="AU281" s="2524"/>
      <c r="AV281" s="2524"/>
      <c r="AW281" s="2524"/>
      <c r="AX281" s="2524"/>
      <c r="AY281" s="2524"/>
      <c r="AZ281" s="2524"/>
      <c r="BA281" s="2524"/>
      <c r="BB281" s="2524"/>
      <c r="BC281" s="2524"/>
      <c r="BD281" s="2524"/>
      <c r="BE281" s="2524"/>
      <c r="BF281" s="2524"/>
      <c r="BG281" s="2524"/>
      <c r="BH281" s="2524"/>
      <c r="BI281" s="2524"/>
      <c r="BJ281" s="2524"/>
      <c r="BK281" s="2524"/>
      <c r="BL281" s="2524"/>
      <c r="BM281" s="2524"/>
      <c r="BN281" s="2524"/>
      <c r="BO281" s="2524"/>
      <c r="BP281" s="2524"/>
      <c r="BQ281" s="2524"/>
      <c r="BR281" s="2524"/>
      <c r="BS281" s="2524"/>
      <c r="BT281" s="3453"/>
      <c r="BU281" s="3453"/>
      <c r="BV281" s="3453"/>
      <c r="BW281" s="3453"/>
      <c r="BX281" s="5705"/>
      <c r="BY281" s="2524"/>
      <c r="BZ281" s="2524"/>
      <c r="CA281" s="2524"/>
      <c r="CB281" s="2524"/>
      <c r="CC281" s="2524"/>
      <c r="CD281" s="3453"/>
      <c r="CE281" s="3453"/>
      <c r="CF281" s="3453"/>
      <c r="CG281" s="3453"/>
      <c r="CH281" s="5705"/>
      <c r="CI281" s="3453"/>
      <c r="CJ281" s="3453"/>
      <c r="CK281" s="3453"/>
      <c r="CL281" s="3453"/>
      <c r="CM281" s="5705"/>
      <c r="CN281" s="3453"/>
      <c r="CO281" s="3453"/>
      <c r="CP281" s="3453"/>
      <c r="CQ281" s="3453"/>
      <c r="CR281" s="5705"/>
      <c r="CS281" s="3453"/>
      <c r="CT281" s="3453"/>
      <c r="CU281" s="3453"/>
      <c r="CV281" s="3453"/>
      <c r="CW281" s="5705"/>
      <c r="CX281" s="3453"/>
      <c r="CY281" s="3453"/>
      <c r="CZ281" s="3453"/>
      <c r="DA281" s="3453"/>
      <c r="DB281" s="5705"/>
      <c r="DC281" s="3453"/>
      <c r="DD281" s="3453"/>
      <c r="DE281" s="3453"/>
      <c r="DF281" s="3453"/>
      <c r="DG281" s="5705"/>
      <c r="DH281" s="3453">
        <f t="shared" ref="DH281:EX281" si="1112">DH55-DH261</f>
        <v>2613</v>
      </c>
      <c r="DI281" s="3453">
        <f t="shared" si="1112"/>
        <v>2835</v>
      </c>
      <c r="DJ281" s="3453">
        <f t="shared" si="1112"/>
        <v>2920</v>
      </c>
      <c r="DK281" s="3453">
        <f t="shared" si="1112"/>
        <v>3413</v>
      </c>
      <c r="DL281" s="5705">
        <f t="shared" si="1112"/>
        <v>11781</v>
      </c>
      <c r="DM281" s="3453">
        <f t="shared" si="1112"/>
        <v>3108</v>
      </c>
      <c r="DN281" s="3453">
        <f t="shared" si="1112"/>
        <v>3386</v>
      </c>
      <c r="DO281" s="3453">
        <f t="shared" si="1112"/>
        <v>3478</v>
      </c>
      <c r="DP281" s="3453">
        <f t="shared" si="1112"/>
        <v>3725</v>
      </c>
      <c r="DQ281" s="5705">
        <f t="shared" si="1112"/>
        <v>13697</v>
      </c>
      <c r="DR281" s="3453">
        <f t="shared" si="1112"/>
        <v>1918</v>
      </c>
      <c r="DS281" s="3453">
        <f t="shared" si="1112"/>
        <v>2224</v>
      </c>
      <c r="DT281" s="3453">
        <f t="shared" si="1112"/>
        <v>2713</v>
      </c>
      <c r="DU281" s="3453">
        <f t="shared" si="1112"/>
        <v>2986</v>
      </c>
      <c r="DV281" s="5705">
        <f t="shared" si="1112"/>
        <v>9841</v>
      </c>
      <c r="DW281" s="3453">
        <f t="shared" si="1112"/>
        <v>3782</v>
      </c>
      <c r="DX281" s="3453">
        <f t="shared" si="1112"/>
        <v>3899</v>
      </c>
      <c r="DY281" s="3453">
        <f t="shared" si="1112"/>
        <v>4046</v>
      </c>
      <c r="DZ281" s="3453">
        <f t="shared" si="1112"/>
        <v>4201</v>
      </c>
      <c r="EA281" s="5705">
        <f t="shared" si="1112"/>
        <v>15928</v>
      </c>
      <c r="EB281" s="3453">
        <f t="shared" si="1112"/>
        <v>2198</v>
      </c>
      <c r="EC281" s="3453">
        <f t="shared" si="1112"/>
        <v>2431</v>
      </c>
      <c r="ED281" s="3453">
        <f t="shared" si="1112"/>
        <v>2823</v>
      </c>
      <c r="EE281" s="3453">
        <f t="shared" si="1112"/>
        <v>2333</v>
      </c>
      <c r="EF281" s="5705">
        <f t="shared" si="1112"/>
        <v>9785</v>
      </c>
      <c r="EG281" s="3453">
        <f t="shared" si="1112"/>
        <v>3413</v>
      </c>
      <c r="EH281" s="3453">
        <f t="shared" si="1112"/>
        <v>3708</v>
      </c>
      <c r="EI281" s="3453">
        <f t="shared" si="1112"/>
        <v>3985</v>
      </c>
      <c r="EJ281" s="3453">
        <f t="shared" si="1112"/>
        <v>4205</v>
      </c>
      <c r="EK281" s="5705">
        <f t="shared" si="1112"/>
        <v>15311</v>
      </c>
      <c r="EL281" s="3453">
        <f t="shared" si="1112"/>
        <v>4487</v>
      </c>
      <c r="EM281" s="3453">
        <f t="shared" si="1112"/>
        <v>4998</v>
      </c>
      <c r="EN281" s="3453">
        <f t="shared" si="1112"/>
        <v>5611</v>
      </c>
      <c r="EO281" s="3453">
        <f t="shared" si="1112"/>
        <v>6431.1984855239371</v>
      </c>
      <c r="EP281" s="5705">
        <f t="shared" si="1112"/>
        <v>21527.198485523935</v>
      </c>
      <c r="EQ281" s="3453">
        <f t="shared" ref="EQ281:EU281" si="1113">EQ55-EQ261</f>
        <v>7543.0175868472752</v>
      </c>
      <c r="ER281" s="3453">
        <f t="shared" si="1113"/>
        <v>8704.7394857421259</v>
      </c>
      <c r="ES281" s="3453">
        <f t="shared" si="1113"/>
        <v>9655.6616607666801</v>
      </c>
      <c r="ET281" s="3453">
        <f t="shared" si="1113"/>
        <v>10952.730531828231</v>
      </c>
      <c r="EU281" s="5705">
        <f t="shared" si="1113"/>
        <v>36856.149265184315</v>
      </c>
      <c r="EV281" s="5705">
        <f t="shared" si="1112"/>
        <v>50659.248314131044</v>
      </c>
      <c r="EW281" s="5705">
        <f t="shared" si="1112"/>
        <v>57068.22852048988</v>
      </c>
      <c r="EX281" s="5705">
        <f t="shared" si="1112"/>
        <v>61724.46939251446</v>
      </c>
      <c r="EY281" s="5705">
        <f t="shared" ref="EY281" si="1114">EY55-EY261</f>
        <v>66276.088078338158</v>
      </c>
      <c r="EZ281" s="129"/>
    </row>
    <row r="282" spans="1:156" ht="11.25" hidden="1" customHeight="1" outlineLevel="1">
      <c r="A282" s="490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c r="AF282" s="35"/>
      <c r="AG282" s="35"/>
      <c r="AH282" s="35"/>
      <c r="AI282" s="35"/>
      <c r="AJ282" s="35"/>
      <c r="AK282" s="35"/>
      <c r="AL282" s="35"/>
      <c r="AM282" s="35"/>
      <c r="AN282" s="35"/>
      <c r="AO282" s="35"/>
      <c r="AP282" s="35"/>
      <c r="AQ282" s="35"/>
      <c r="AR282" s="35"/>
      <c r="AS282" s="35"/>
      <c r="AT282" s="32"/>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1"/>
      <c r="BU282" s="285"/>
      <c r="BV282" s="31"/>
      <c r="BW282" s="31"/>
      <c r="BX282" s="5810"/>
      <c r="BY282" s="35"/>
      <c r="BZ282" s="35"/>
      <c r="CA282" s="35"/>
      <c r="CB282" s="35"/>
      <c r="CC282" s="35"/>
      <c r="CD282" s="31"/>
      <c r="CE282" s="285"/>
      <c r="CF282" s="31"/>
      <c r="CG282" s="31"/>
      <c r="CH282" s="5810"/>
      <c r="CI282" s="31"/>
      <c r="CJ282" s="285"/>
      <c r="CK282" s="31"/>
      <c r="CL282" s="31"/>
      <c r="CM282" s="5810"/>
      <c r="CN282" s="31"/>
      <c r="CO282" s="285"/>
      <c r="CP282" s="31"/>
      <c r="CQ282" s="31"/>
      <c r="CR282" s="5810"/>
      <c r="CS282" s="31"/>
      <c r="CT282" s="285"/>
      <c r="CU282" s="31"/>
      <c r="CV282" s="31"/>
      <c r="CW282" s="5810"/>
      <c r="CX282" s="31"/>
      <c r="CY282" s="285"/>
      <c r="CZ282" s="31"/>
      <c r="DA282" s="31"/>
      <c r="DB282" s="5810"/>
      <c r="DC282" s="31"/>
      <c r="DD282" s="285"/>
      <c r="DE282" s="31"/>
      <c r="DF282" s="31"/>
      <c r="DG282" s="5810"/>
      <c r="DH282" s="31"/>
      <c r="DI282" s="285"/>
      <c r="DJ282" s="31"/>
      <c r="DK282" s="31"/>
      <c r="DL282" s="5810"/>
      <c r="DM282" s="31"/>
      <c r="DN282" s="285"/>
      <c r="DO282" s="31"/>
      <c r="DP282" s="31"/>
      <c r="DQ282" s="5810"/>
      <c r="DR282" s="31"/>
      <c r="DS282" s="285"/>
      <c r="DT282" s="31"/>
      <c r="DU282" s="31"/>
      <c r="DV282" s="5810"/>
      <c r="DW282" s="31"/>
      <c r="DX282" s="285"/>
      <c r="DY282" s="31"/>
      <c r="DZ282" s="31"/>
      <c r="EA282" s="5810"/>
      <c r="EB282" s="31"/>
      <c r="EC282" s="31"/>
      <c r="ED282" s="31"/>
      <c r="EE282" s="31"/>
      <c r="EF282" s="5810"/>
      <c r="EG282" s="31"/>
      <c r="EH282" s="285"/>
      <c r="EI282" s="31"/>
      <c r="EJ282" s="31"/>
      <c r="EK282" s="5810"/>
      <c r="EL282" s="31"/>
      <c r="EM282" s="31"/>
      <c r="EN282" s="31"/>
      <c r="EO282" s="31"/>
      <c r="EP282" s="5810"/>
      <c r="EQ282" s="31"/>
      <c r="ER282" s="31"/>
      <c r="ES282" s="31"/>
      <c r="ET282" s="31"/>
      <c r="EU282" s="5810"/>
      <c r="EV282" s="5810"/>
      <c r="EW282" s="5810"/>
      <c r="EX282" s="5810"/>
      <c r="EY282" s="5810"/>
      <c r="EZ282" s="129"/>
    </row>
    <row r="283" spans="1:156" ht="11.25" hidden="1" customHeight="1" outlineLevel="1">
      <c r="A283" s="5907" t="s">
        <v>45</v>
      </c>
      <c r="B283" s="5870"/>
      <c r="C283" s="5870"/>
      <c r="D283" s="5870"/>
      <c r="E283" s="5870"/>
      <c r="F283" s="5870"/>
      <c r="G283" s="5870"/>
      <c r="H283" s="5870"/>
      <c r="I283" s="5870"/>
      <c r="J283" s="5870"/>
      <c r="K283" s="5870"/>
      <c r="L283" s="5870"/>
      <c r="M283" s="5870"/>
      <c r="N283" s="5870"/>
      <c r="O283" s="5870"/>
      <c r="P283" s="5870"/>
      <c r="Q283" s="5870"/>
      <c r="R283" s="5870"/>
      <c r="S283" s="5870"/>
      <c r="T283" s="5870"/>
      <c r="U283" s="5870"/>
      <c r="V283" s="5870"/>
      <c r="W283" s="5870"/>
      <c r="X283" s="5870"/>
      <c r="Y283" s="5870"/>
      <c r="Z283" s="5870"/>
      <c r="AA283" s="5870"/>
      <c r="AB283" s="5870"/>
      <c r="AC283" s="5870"/>
      <c r="AD283" s="5870"/>
      <c r="AE283" s="5870"/>
      <c r="AF283" s="5870"/>
      <c r="AG283" s="5870"/>
      <c r="AH283" s="5870"/>
      <c r="AI283" s="5870"/>
      <c r="AJ283" s="5870"/>
      <c r="AK283" s="5870"/>
      <c r="AL283" s="5870"/>
      <c r="AM283" s="5870"/>
      <c r="AN283" s="5870"/>
      <c r="AO283" s="5870"/>
      <c r="AP283" s="5870"/>
      <c r="AQ283" s="5870"/>
      <c r="AR283" s="5870"/>
      <c r="AS283" s="5870"/>
      <c r="AT283" s="5871"/>
      <c r="AU283" s="5870"/>
      <c r="AV283" s="5870"/>
      <c r="AW283" s="5870"/>
      <c r="AX283" s="5870"/>
      <c r="AY283" s="5870"/>
      <c r="AZ283" s="5870"/>
      <c r="BA283" s="5870"/>
      <c r="BB283" s="5870"/>
      <c r="BC283" s="5870"/>
      <c r="BD283" s="5870"/>
      <c r="BE283" s="5870"/>
      <c r="BF283" s="5870"/>
      <c r="BG283" s="5870"/>
      <c r="BH283" s="5870"/>
      <c r="BI283" s="5870"/>
      <c r="BJ283" s="5870"/>
      <c r="BK283" s="5870"/>
      <c r="BL283" s="5870"/>
      <c r="BM283" s="5870"/>
      <c r="BN283" s="5870"/>
      <c r="BO283" s="5870"/>
      <c r="BP283" s="5870"/>
      <c r="BQ283" s="5870"/>
      <c r="BR283" s="5870"/>
      <c r="BS283" s="5870"/>
      <c r="BT283" s="5737"/>
      <c r="BU283" s="5737"/>
      <c r="BV283" s="5737"/>
      <c r="BW283" s="5737"/>
      <c r="BX283" s="5814"/>
      <c r="BY283" s="5870"/>
      <c r="BZ283" s="5870"/>
      <c r="CA283" s="5870"/>
      <c r="CB283" s="5870"/>
      <c r="CC283" s="5870"/>
      <c r="CD283" s="5737"/>
      <c r="CE283" s="5737"/>
      <c r="CF283" s="5737"/>
      <c r="CG283" s="5737"/>
      <c r="CH283" s="5814"/>
      <c r="CI283" s="5737"/>
      <c r="CJ283" s="5737"/>
      <c r="CK283" s="5737"/>
      <c r="CL283" s="5737"/>
      <c r="CM283" s="5814"/>
      <c r="CN283" s="5737"/>
      <c r="CO283" s="5737"/>
      <c r="CP283" s="5737"/>
      <c r="CQ283" s="5737"/>
      <c r="CR283" s="5814"/>
      <c r="CS283" s="5737"/>
      <c r="CT283" s="5737"/>
      <c r="CU283" s="5737"/>
      <c r="CV283" s="5737"/>
      <c r="CW283" s="5814"/>
      <c r="CX283" s="5737"/>
      <c r="CY283" s="5737"/>
      <c r="CZ283" s="5737"/>
      <c r="DA283" s="5737"/>
      <c r="DB283" s="5814"/>
      <c r="DC283" s="5737"/>
      <c r="DD283" s="5737"/>
      <c r="DE283" s="5737"/>
      <c r="DF283" s="5737"/>
      <c r="DG283" s="5814"/>
      <c r="DH283" s="5737"/>
      <c r="DI283" s="5737"/>
      <c r="DJ283" s="5737"/>
      <c r="DK283" s="5737"/>
      <c r="DL283" s="5814"/>
      <c r="DM283" s="5737"/>
      <c r="DN283" s="5737"/>
      <c r="DO283" s="5737"/>
      <c r="DP283" s="5737"/>
      <c r="DQ283" s="5814"/>
      <c r="DR283" s="5737"/>
      <c r="DS283" s="5737"/>
      <c r="DT283" s="5737"/>
      <c r="DU283" s="5737"/>
      <c r="DV283" s="5814"/>
      <c r="DW283" s="5737"/>
      <c r="DX283" s="5737"/>
      <c r="DY283" s="5737"/>
      <c r="DZ283" s="5737"/>
      <c r="EA283" s="5814"/>
      <c r="EB283" s="5782"/>
      <c r="EC283" s="5782"/>
      <c r="ED283" s="5737"/>
      <c r="EE283" s="5737"/>
      <c r="EF283" s="5814"/>
      <c r="EG283" s="5737"/>
      <c r="EH283" s="5737"/>
      <c r="EI283" s="5737"/>
      <c r="EJ283" s="5737"/>
      <c r="EK283" s="5814"/>
      <c r="EL283" s="5737"/>
      <c r="EM283" s="5737"/>
      <c r="EN283" s="5737"/>
      <c r="EO283" s="5737"/>
      <c r="EP283" s="5814"/>
      <c r="EQ283" s="5737"/>
      <c r="ER283" s="5737"/>
      <c r="ES283" s="5737"/>
      <c r="ET283" s="5737"/>
      <c r="EU283" s="5814"/>
      <c r="EV283" s="5814"/>
      <c r="EW283" s="5814"/>
      <c r="EX283" s="5814"/>
      <c r="EY283" s="5814"/>
      <c r="EZ283" s="129"/>
    </row>
    <row r="284" spans="1:156" ht="11.25" hidden="1" customHeight="1" outlineLevel="1">
      <c r="A284" s="4905" t="str">
        <f>A275</f>
        <v>Other cost of revenues (excl. 1x items)</v>
      </c>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c r="AF284" s="35"/>
      <c r="AG284" s="35"/>
      <c r="AH284" s="35"/>
      <c r="AI284" s="35"/>
      <c r="AJ284" s="35"/>
      <c r="AK284" s="35"/>
      <c r="AL284" s="35"/>
      <c r="AM284" s="35"/>
      <c r="AN284" s="35"/>
      <c r="AO284" s="35"/>
      <c r="AP284" s="35"/>
      <c r="AQ284" s="35"/>
      <c r="AR284" s="35"/>
      <c r="AS284" s="35"/>
      <c r="AT284" s="32"/>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285"/>
      <c r="BU284" s="285"/>
      <c r="BV284" s="285"/>
      <c r="BW284" s="285"/>
      <c r="BX284" s="5815"/>
      <c r="BY284" s="35"/>
      <c r="BZ284" s="35"/>
      <c r="CA284" s="35"/>
      <c r="CB284" s="35"/>
      <c r="CC284" s="35"/>
      <c r="CD284" s="285"/>
      <c r="CE284" s="285"/>
      <c r="CF284" s="285"/>
      <c r="CG284" s="285"/>
      <c r="CH284" s="5815"/>
      <c r="CI284" s="285"/>
      <c r="CJ284" s="285"/>
      <c r="CK284" s="285"/>
      <c r="CL284" s="285"/>
      <c r="CM284" s="5815"/>
      <c r="CN284" s="285"/>
      <c r="CO284" s="285"/>
      <c r="CP284" s="285"/>
      <c r="CQ284" s="285"/>
      <c r="CR284" s="5815"/>
      <c r="CS284" s="285"/>
      <c r="CT284" s="285"/>
      <c r="CU284" s="285"/>
      <c r="CV284" s="285"/>
      <c r="CW284" s="5815"/>
      <c r="CX284" s="285"/>
      <c r="CY284" s="285"/>
      <c r="CZ284" s="285"/>
      <c r="DA284" s="285"/>
      <c r="DB284" s="5815"/>
      <c r="DC284" s="285"/>
      <c r="DD284" s="285"/>
      <c r="DE284" s="285"/>
      <c r="DF284" s="285"/>
      <c r="DG284" s="5815"/>
      <c r="DH284" s="285"/>
      <c r="DI284" s="285"/>
      <c r="DJ284" s="285"/>
      <c r="DK284" s="285"/>
      <c r="DL284" s="5815"/>
      <c r="DM284" s="285">
        <f t="shared" ref="DM284:EA287" si="1115">DM275/DH275-1</f>
        <v>0.25983391608391604</v>
      </c>
      <c r="DN284" s="285">
        <f t="shared" si="1115"/>
        <v>0.17906144362696352</v>
      </c>
      <c r="DO284" s="285">
        <f t="shared" si="1115"/>
        <v>0.28507640404842238</v>
      </c>
      <c r="DP284" s="285">
        <f t="shared" si="1115"/>
        <v>0.2472242191868359</v>
      </c>
      <c r="DQ284" s="5815">
        <f t="shared" si="1115"/>
        <v>0.24271055086468762</v>
      </c>
      <c r="DR284" s="285">
        <f t="shared" si="1115"/>
        <v>0.24813529921942767</v>
      </c>
      <c r="DS284" s="285">
        <f t="shared" si="1115"/>
        <v>0.28999072434437978</v>
      </c>
      <c r="DT284" s="285">
        <f t="shared" si="1115"/>
        <v>0.24492317195583357</v>
      </c>
      <c r="DU284" s="285">
        <f t="shared" si="1115"/>
        <v>0.25278596131676689</v>
      </c>
      <c r="DV284" s="5815">
        <f t="shared" si="1115"/>
        <v>0.25828617623282124</v>
      </c>
      <c r="DW284" s="285">
        <f t="shared" si="1115"/>
        <v>0.22361197970954061</v>
      </c>
      <c r="DX284" s="285">
        <f t="shared" si="1115"/>
        <v>0.16943391292979482</v>
      </c>
      <c r="DY284" s="285">
        <f t="shared" si="1115"/>
        <v>0.19903243813186133</v>
      </c>
      <c r="DZ284" s="285">
        <f t="shared" si="1115"/>
        <v>0.14600480548029249</v>
      </c>
      <c r="EA284" s="5815">
        <f t="shared" si="1115"/>
        <v>0.18164991663224872</v>
      </c>
      <c r="EB284" s="285">
        <f>EB275/DW12-1</f>
        <v>3.4130274291555462E-2</v>
      </c>
      <c r="EC284" s="285">
        <f>EC275/DX12-1</f>
        <v>8.2168809390721131E-2</v>
      </c>
      <c r="ED284" s="285">
        <f>ED275/DY12-1</f>
        <v>6.37285330022761E-2</v>
      </c>
      <c r="EE284" s="285">
        <f>EE275/DZ12-1</f>
        <v>4.1709416960342693E-2</v>
      </c>
      <c r="EF284" s="5815">
        <f t="shared" ref="EF284:EK287" si="1116">EF275/EA275-1</f>
        <v>5.4862261806130963E-2</v>
      </c>
      <c r="EG284" s="285">
        <f t="shared" si="1116"/>
        <v>0.13196046128500827</v>
      </c>
      <c r="EH284" s="285">
        <f t="shared" si="1116"/>
        <v>0.14256198347107429</v>
      </c>
      <c r="EI284" s="285">
        <f t="shared" si="1116"/>
        <v>9.6493548596252365E-2</v>
      </c>
      <c r="EJ284" s="285">
        <f t="shared" si="1116"/>
        <v>9.6735728928377895E-2</v>
      </c>
      <c r="EK284" s="5815">
        <f t="shared" si="1116"/>
        <v>0.11543413684889203</v>
      </c>
      <c r="EL284" s="285">
        <f t="shared" ref="EL284:EL287" si="1117">EL275/EG275-1</f>
        <v>9.7026148547033397E-2</v>
      </c>
      <c r="EM284" s="285">
        <f t="shared" ref="EM284:EM287" si="1118">EM275/EH275-1</f>
        <v>0.10009041591320078</v>
      </c>
      <c r="EN284" s="285">
        <f t="shared" ref="EN284:EN287" si="1119">EN275/EI275-1</f>
        <v>0.17494479996120904</v>
      </c>
      <c r="EO284" s="285">
        <f t="shared" ref="EO284:EP287" si="1120">EO275/EJ275-1</f>
        <v>0.1880926221144168</v>
      </c>
      <c r="EP284" s="5815">
        <f t="shared" si="1120"/>
        <v>0.14276177990603367</v>
      </c>
      <c r="EQ284" s="285">
        <f t="shared" ref="EQ284:EQ287" si="1121">EQ275/EL275-1</f>
        <v>0.20567456722259791</v>
      </c>
      <c r="ER284" s="285">
        <f t="shared" ref="ER284:ER287" si="1122">ER275/EM275-1</f>
        <v>0.22022000407424125</v>
      </c>
      <c r="ES284" s="285">
        <f t="shared" ref="ES284:ES287" si="1123">ES275/EN275-1</f>
        <v>0.24071783371333666</v>
      </c>
      <c r="ET284" s="285">
        <f t="shared" ref="ET284:EU287" si="1124">ET275/EO275-1</f>
        <v>0.23200474208381849</v>
      </c>
      <c r="EU284" s="5815">
        <f t="shared" si="1124"/>
        <v>0.22573392894119793</v>
      </c>
      <c r="EV284" s="5815">
        <f t="shared" ref="EV284:EY287" si="1125">EV275/EU275-1</f>
        <v>0.20456833926757878</v>
      </c>
      <c r="EW284" s="5815">
        <f t="shared" si="1125"/>
        <v>0.15019197660692729</v>
      </c>
      <c r="EX284" s="5815">
        <f t="shared" si="1125"/>
        <v>0.11845642869272721</v>
      </c>
      <c r="EY284" s="5815">
        <f t="shared" si="1125"/>
        <v>0.10148404937100142</v>
      </c>
      <c r="EZ284" s="129"/>
    </row>
    <row r="285" spans="1:156" ht="11.25" hidden="1" customHeight="1" outlineLevel="1">
      <c r="A285" s="4905" t="str">
        <f>A276</f>
        <v>Research &amp; development (excl. 1x items)</v>
      </c>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c r="AF285" s="35"/>
      <c r="AG285" s="35"/>
      <c r="AH285" s="35"/>
      <c r="AI285" s="35"/>
      <c r="AJ285" s="35"/>
      <c r="AK285" s="35"/>
      <c r="AL285" s="35"/>
      <c r="AM285" s="35"/>
      <c r="AN285" s="35"/>
      <c r="AO285" s="35"/>
      <c r="AP285" s="35"/>
      <c r="AQ285" s="35"/>
      <c r="AR285" s="35"/>
      <c r="AS285" s="35"/>
      <c r="AT285" s="32"/>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285"/>
      <c r="BU285" s="285"/>
      <c r="BV285" s="285"/>
      <c r="BW285" s="285"/>
      <c r="BX285" s="5815"/>
      <c r="BY285" s="35"/>
      <c r="BZ285" s="35"/>
      <c r="CA285" s="35"/>
      <c r="CB285" s="35"/>
      <c r="CC285" s="35"/>
      <c r="CD285" s="285"/>
      <c r="CE285" s="285"/>
      <c r="CF285" s="285"/>
      <c r="CG285" s="285"/>
      <c r="CH285" s="5815"/>
      <c r="CI285" s="285"/>
      <c r="CJ285" s="285"/>
      <c r="CK285" s="285"/>
      <c r="CL285" s="285"/>
      <c r="CM285" s="5815"/>
      <c r="CN285" s="285"/>
      <c r="CO285" s="285"/>
      <c r="CP285" s="285"/>
      <c r="CQ285" s="285"/>
      <c r="CR285" s="5815"/>
      <c r="CS285" s="285"/>
      <c r="CT285" s="285"/>
      <c r="CU285" s="285"/>
      <c r="CV285" s="285"/>
      <c r="CW285" s="5815"/>
      <c r="CX285" s="285"/>
      <c r="CY285" s="285"/>
      <c r="CZ285" s="285"/>
      <c r="DA285" s="285"/>
      <c r="DB285" s="5815"/>
      <c r="DC285" s="285"/>
      <c r="DD285" s="285"/>
      <c r="DE285" s="285"/>
      <c r="DF285" s="285"/>
      <c r="DG285" s="5815"/>
      <c r="DH285" s="285"/>
      <c r="DI285" s="285"/>
      <c r="DJ285" s="285"/>
      <c r="DK285" s="285"/>
      <c r="DL285" s="5815"/>
      <c r="DM285" s="285">
        <f t="shared" si="1115"/>
        <v>0.1311992038480676</v>
      </c>
      <c r="DN285" s="285">
        <f t="shared" si="1115"/>
        <v>0.10655078062127799</v>
      </c>
      <c r="DO285" s="285">
        <f t="shared" si="1115"/>
        <v>4.607873054623135E-2</v>
      </c>
      <c r="DP285" s="285">
        <f t="shared" si="1115"/>
        <v>-2.7693159789532018E-2</v>
      </c>
      <c r="DQ285" s="5815">
        <f t="shared" si="1115"/>
        <v>5.9766315627642452E-2</v>
      </c>
      <c r="DR285" s="285">
        <f t="shared" si="1115"/>
        <v>9.7507331378299034E-2</v>
      </c>
      <c r="DS285" s="285">
        <f t="shared" si="1115"/>
        <v>0.11636363636363645</v>
      </c>
      <c r="DT285" s="285">
        <f t="shared" si="1115"/>
        <v>0.12222870478413062</v>
      </c>
      <c r="DU285" s="285">
        <f t="shared" si="1115"/>
        <v>0.24010253489034472</v>
      </c>
      <c r="DV285" s="5815">
        <f t="shared" si="1115"/>
        <v>0.14467051100714468</v>
      </c>
      <c r="DW285" s="285">
        <f t="shared" si="1115"/>
        <v>0.21830327321309295</v>
      </c>
      <c r="DX285" s="285">
        <f t="shared" si="1115"/>
        <v>0.28221498371335496</v>
      </c>
      <c r="DY285" s="285">
        <f t="shared" si="1115"/>
        <v>0.33519625682349874</v>
      </c>
      <c r="DZ285" s="285">
        <f t="shared" si="1115"/>
        <v>0.17903077629765729</v>
      </c>
      <c r="EA285" s="5815">
        <f t="shared" si="1115"/>
        <v>0.25150497433622721</v>
      </c>
      <c r="EB285" s="285">
        <f>EB276/DW17-1</f>
        <v>0.13894067331944293</v>
      </c>
      <c r="EC285" s="285">
        <f>EC276/DX17-1</f>
        <v>7.4789147444365378E-2</v>
      </c>
      <c r="ED285" s="285">
        <f>ED276/DY17-1</f>
        <v>9.3740874136084784E-2</v>
      </c>
      <c r="EE285" s="285">
        <f>EE276/DZ17-1</f>
        <v>0.12106749780851267</v>
      </c>
      <c r="EF285" s="5815">
        <f t="shared" si="1116"/>
        <v>0.10655696202531639</v>
      </c>
      <c r="EG285" s="285">
        <f t="shared" si="1116"/>
        <v>0.12227999229732323</v>
      </c>
      <c r="EH285" s="285">
        <f t="shared" si="1116"/>
        <v>0.12130093599319269</v>
      </c>
      <c r="EI285" s="285">
        <f t="shared" si="1116"/>
        <v>9.1046635813456733E-2</v>
      </c>
      <c r="EJ285" s="285">
        <f t="shared" si="1116"/>
        <v>0.13032145960034747</v>
      </c>
      <c r="EK285" s="5815">
        <f t="shared" si="1116"/>
        <v>0.11613168912580929</v>
      </c>
      <c r="EL285" s="285">
        <f t="shared" si="1117"/>
        <v>0.16300617707618392</v>
      </c>
      <c r="EM285" s="285">
        <f t="shared" si="1118"/>
        <v>0.16424957841483989</v>
      </c>
      <c r="EN285" s="285">
        <f t="shared" si="1119"/>
        <v>0.23590831226038023</v>
      </c>
      <c r="EO285" s="285">
        <f t="shared" si="1120"/>
        <v>0.20999524088924204</v>
      </c>
      <c r="EP285" s="5815">
        <f t="shared" si="1120"/>
        <v>0.19415882103041993</v>
      </c>
      <c r="EQ285" s="285">
        <f t="shared" si="1121"/>
        <v>0.20002004007087271</v>
      </c>
      <c r="ER285" s="285">
        <f t="shared" si="1122"/>
        <v>0.19778425716324177</v>
      </c>
      <c r="ES285" s="285">
        <f t="shared" si="1123"/>
        <v>0.18645408605440617</v>
      </c>
      <c r="ET285" s="285">
        <f t="shared" si="1124"/>
        <v>0.18351469355521077</v>
      </c>
      <c r="EU285" s="5815">
        <f t="shared" si="1124"/>
        <v>0.19150197479581599</v>
      </c>
      <c r="EV285" s="5815">
        <f t="shared" si="1125"/>
        <v>0.12126842875217658</v>
      </c>
      <c r="EW285" s="5815">
        <f t="shared" si="1125"/>
        <v>9.3182809370997211E-2</v>
      </c>
      <c r="EX285" s="5815">
        <f t="shared" si="1125"/>
        <v>8.4795851534808842E-2</v>
      </c>
      <c r="EY285" s="5815">
        <f t="shared" si="1125"/>
        <v>7.7096352676716773E-2</v>
      </c>
      <c r="EZ285" s="129"/>
    </row>
    <row r="286" spans="1:156" ht="11.25" hidden="1" customHeight="1" outlineLevel="1">
      <c r="A286" s="4905" t="str">
        <f>A277</f>
        <v>Sales &amp; marketing (excl. 1x items)</v>
      </c>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c r="AF286" s="35"/>
      <c r="AG286" s="35"/>
      <c r="AH286" s="35"/>
      <c r="AI286" s="35"/>
      <c r="AJ286" s="35"/>
      <c r="AK286" s="35"/>
      <c r="AL286" s="35"/>
      <c r="AM286" s="35"/>
      <c r="AN286" s="35"/>
      <c r="AO286" s="35"/>
      <c r="AP286" s="35"/>
      <c r="AQ286" s="35"/>
      <c r="AR286" s="35"/>
      <c r="AS286" s="35"/>
      <c r="AT286" s="32"/>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285"/>
      <c r="BU286" s="285"/>
      <c r="BV286" s="285"/>
      <c r="BW286" s="285"/>
      <c r="BX286" s="5815"/>
      <c r="BY286" s="35"/>
      <c r="BZ286" s="35"/>
      <c r="CA286" s="35"/>
      <c r="CB286" s="35"/>
      <c r="CC286" s="35"/>
      <c r="CD286" s="285"/>
      <c r="CE286" s="285"/>
      <c r="CF286" s="285"/>
      <c r="CG286" s="285"/>
      <c r="CH286" s="5815"/>
      <c r="CI286" s="285"/>
      <c r="CJ286" s="285"/>
      <c r="CK286" s="285"/>
      <c r="CL286" s="285"/>
      <c r="CM286" s="5815"/>
      <c r="CN286" s="285"/>
      <c r="CO286" s="285"/>
      <c r="CP286" s="285"/>
      <c r="CQ286" s="285"/>
      <c r="CR286" s="5815"/>
      <c r="CS286" s="285"/>
      <c r="CT286" s="285"/>
      <c r="CU286" s="285"/>
      <c r="CV286" s="285"/>
      <c r="CW286" s="5815"/>
      <c r="CX286" s="285"/>
      <c r="CY286" s="285"/>
      <c r="CZ286" s="285"/>
      <c r="DA286" s="285"/>
      <c r="DB286" s="5815"/>
      <c r="DC286" s="285"/>
      <c r="DD286" s="285"/>
      <c r="DE286" s="285"/>
      <c r="DF286" s="285"/>
      <c r="DG286" s="5815"/>
      <c r="DH286" s="285"/>
      <c r="DI286" s="285"/>
      <c r="DJ286" s="285"/>
      <c r="DK286" s="285"/>
      <c r="DL286" s="5815"/>
      <c r="DM286" s="285">
        <f t="shared" si="1115"/>
        <v>0.15236875800256078</v>
      </c>
      <c r="DN286" s="285">
        <f t="shared" si="1115"/>
        <v>-7.3836657169990549E-2</v>
      </c>
      <c r="DO286" s="285">
        <f t="shared" si="1115"/>
        <v>-8.2013451941852944E-2</v>
      </c>
      <c r="DP286" s="285">
        <f t="shared" si="1115"/>
        <v>-7.3893342628093439E-2</v>
      </c>
      <c r="DQ286" s="5815">
        <f t="shared" si="1115"/>
        <v>-2.805459272097055E-2</v>
      </c>
      <c r="DR286" s="285">
        <f t="shared" si="1115"/>
        <v>3.555555555555534E-3</v>
      </c>
      <c r="DS286" s="285">
        <f t="shared" si="1115"/>
        <v>0.35247372468597793</v>
      </c>
      <c r="DT286" s="285">
        <f t="shared" si="1115"/>
        <v>0.30371070668872613</v>
      </c>
      <c r="DU286" s="285">
        <f t="shared" si="1115"/>
        <v>0.43093714715844933</v>
      </c>
      <c r="DV286" s="5815">
        <f t="shared" si="1115"/>
        <v>0.27671904602696973</v>
      </c>
      <c r="DW286" s="285">
        <f t="shared" si="1115"/>
        <v>0.28985828166519045</v>
      </c>
      <c r="DX286" s="285">
        <f t="shared" si="1115"/>
        <v>0.25663381349507208</v>
      </c>
      <c r="DY286" s="285">
        <f t="shared" si="1115"/>
        <v>0.25616388687454683</v>
      </c>
      <c r="DZ286" s="285">
        <f t="shared" si="1115"/>
        <v>-5.5365597054181981E-2</v>
      </c>
      <c r="EA286" s="5815">
        <f t="shared" si="1115"/>
        <v>0.15952339385474867</v>
      </c>
      <c r="EB286" s="285">
        <f>EB277/DW20-1</f>
        <v>3.9141630901287527E-2</v>
      </c>
      <c r="EC286" s="285">
        <f>EC277/DX20-1</f>
        <v>1.9457013574660564E-2</v>
      </c>
      <c r="ED286" s="285">
        <f>ED277/DY20-1</f>
        <v>-1.385481310434411E-2</v>
      </c>
      <c r="EE286" s="285">
        <f>EE277/DZ20-1</f>
        <v>4.6637895029931764E-2</v>
      </c>
      <c r="EF286" s="5815">
        <f t="shared" si="1116"/>
        <v>2.2433846501298538E-2</v>
      </c>
      <c r="EG286" s="285">
        <f t="shared" si="1116"/>
        <v>2.5772344292086524E-2</v>
      </c>
      <c r="EH286" s="285">
        <f t="shared" si="1116"/>
        <v>4.8823790501553166E-3</v>
      </c>
      <c r="EI286" s="285">
        <f t="shared" si="1116"/>
        <v>4.1498009283754911E-2</v>
      </c>
      <c r="EJ286" s="285">
        <f t="shared" si="1116"/>
        <v>-3.7020198669594828E-2</v>
      </c>
      <c r="EK286" s="5815">
        <f t="shared" si="1116"/>
        <v>7.1508317872799321E-3</v>
      </c>
      <c r="EL286" s="285">
        <f t="shared" si="1117"/>
        <v>-5.9590916411660366E-3</v>
      </c>
      <c r="EM286" s="285">
        <f t="shared" si="1118"/>
        <v>4.5494699646643211E-2</v>
      </c>
      <c r="EN286" s="285">
        <f t="shared" si="1119"/>
        <v>1.2427936186936828E-2</v>
      </c>
      <c r="EO286" s="285">
        <f t="shared" si="1120"/>
        <v>4.7429262410514594E-2</v>
      </c>
      <c r="EP286" s="5815">
        <f t="shared" si="1120"/>
        <v>2.5726898516827967E-2</v>
      </c>
      <c r="EQ286" s="285">
        <f t="shared" si="1121"/>
        <v>4.5440833976521322E-2</v>
      </c>
      <c r="ER286" s="285">
        <f t="shared" si="1122"/>
        <v>8.9641770109640584E-2</v>
      </c>
      <c r="ES286" s="285">
        <f t="shared" si="1123"/>
        <v>6.9255429234280186E-2</v>
      </c>
      <c r="ET286" s="285">
        <f t="shared" si="1124"/>
        <v>5.7218649156645318E-2</v>
      </c>
      <c r="EU286" s="5815">
        <f t="shared" si="1124"/>
        <v>6.5923557352654649E-2</v>
      </c>
      <c r="EV286" s="5815">
        <f t="shared" si="1125"/>
        <v>7.7789732356688068E-2</v>
      </c>
      <c r="EW286" s="5815">
        <f t="shared" si="1125"/>
        <v>6.2139464784329634E-2</v>
      </c>
      <c r="EX286" s="5815">
        <f t="shared" si="1125"/>
        <v>6.1374122922125629E-2</v>
      </c>
      <c r="EY286" s="5815">
        <f t="shared" si="1125"/>
        <v>5.2108769403386379E-2</v>
      </c>
      <c r="EZ286" s="129"/>
    </row>
    <row r="287" spans="1:156" ht="11.25" hidden="1" customHeight="1" outlineLevel="1">
      <c r="A287" s="4905" t="str">
        <f>A278</f>
        <v>General &amp; administrative (excl. 1x items)</v>
      </c>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c r="AG287" s="35"/>
      <c r="AH287" s="35"/>
      <c r="AI287" s="35"/>
      <c r="AJ287" s="35"/>
      <c r="AK287" s="35"/>
      <c r="AL287" s="35"/>
      <c r="AM287" s="35"/>
      <c r="AN287" s="35"/>
      <c r="AO287" s="35"/>
      <c r="AP287" s="35"/>
      <c r="AQ287" s="35"/>
      <c r="AR287" s="35"/>
      <c r="AS287" s="35"/>
      <c r="AT287" s="32"/>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285"/>
      <c r="BU287" s="285"/>
      <c r="BV287" s="285"/>
      <c r="BW287" s="285"/>
      <c r="BX287" s="5815"/>
      <c r="BY287" s="35"/>
      <c r="BZ287" s="35"/>
      <c r="CA287" s="35"/>
      <c r="CB287" s="35"/>
      <c r="CC287" s="35"/>
      <c r="CD287" s="285"/>
      <c r="CE287" s="285"/>
      <c r="CF287" s="285"/>
      <c r="CG287" s="285"/>
      <c r="CH287" s="5815"/>
      <c r="CI287" s="285"/>
      <c r="CJ287" s="285"/>
      <c r="CK287" s="285"/>
      <c r="CL287" s="285"/>
      <c r="CM287" s="5815"/>
      <c r="CN287" s="285"/>
      <c r="CO287" s="285"/>
      <c r="CP287" s="285"/>
      <c r="CQ287" s="285"/>
      <c r="CR287" s="5815"/>
      <c r="CS287" s="285"/>
      <c r="CT287" s="285"/>
      <c r="CU287" s="285"/>
      <c r="CV287" s="285"/>
      <c r="CW287" s="5815"/>
      <c r="CX287" s="285"/>
      <c r="CY287" s="285"/>
      <c r="CZ287" s="285"/>
      <c r="DA287" s="285"/>
      <c r="DB287" s="5815"/>
      <c r="DC287" s="285"/>
      <c r="DD287" s="285"/>
      <c r="DE287" s="285"/>
      <c r="DF287" s="285"/>
      <c r="DG287" s="5815"/>
      <c r="DH287" s="285"/>
      <c r="DI287" s="285"/>
      <c r="DJ287" s="285"/>
      <c r="DK287" s="285"/>
      <c r="DL287" s="5815"/>
      <c r="DM287" s="285">
        <f t="shared" si="1115"/>
        <v>0.3793103448275863</v>
      </c>
      <c r="DN287" s="285">
        <f t="shared" si="1115"/>
        <v>0.26529613313754274</v>
      </c>
      <c r="DO287" s="285">
        <f t="shared" si="1115"/>
        <v>0.35297005400098191</v>
      </c>
      <c r="DP287" s="285">
        <f t="shared" si="1115"/>
        <v>7.0696359137500941E-4</v>
      </c>
      <c r="DQ287" s="5815">
        <f t="shared" si="1115"/>
        <v>0.22840946982327437</v>
      </c>
      <c r="DR287" s="285">
        <f t="shared" si="1115"/>
        <v>-0.11909722222222219</v>
      </c>
      <c r="DS287" s="285">
        <f t="shared" si="1115"/>
        <v>-1.5473887814313358E-2</v>
      </c>
      <c r="DT287" s="285">
        <f t="shared" si="1115"/>
        <v>6.7489114658926042E-2</v>
      </c>
      <c r="DU287" s="285">
        <f t="shared" si="1115"/>
        <v>0.337336630166019</v>
      </c>
      <c r="DV287" s="5815">
        <f t="shared" si="1115"/>
        <v>6.8584871516467638E-2</v>
      </c>
      <c r="DW287" s="285">
        <f t="shared" si="1115"/>
        <v>0.32991722506897903</v>
      </c>
      <c r="DX287" s="285">
        <f t="shared" si="1115"/>
        <v>0.43693516699410617</v>
      </c>
      <c r="DY287" s="285">
        <f t="shared" si="1115"/>
        <v>0.30013596193065939</v>
      </c>
      <c r="DZ287" s="285">
        <f t="shared" si="1115"/>
        <v>0.34601162176439515</v>
      </c>
      <c r="EA287" s="5815">
        <f t="shared" si="1115"/>
        <v>0.35071972904318383</v>
      </c>
      <c r="EB287" s="285">
        <f>EB278/DW23-1</f>
        <v>2.0746887966804906E-2</v>
      </c>
      <c r="EC287" s="285">
        <f>EC278/DX23-1</f>
        <v>-5.3048947224500931E-2</v>
      </c>
      <c r="ED287" s="285">
        <f>ED278/DY23-1</f>
        <v>-5.92160133444537E-2</v>
      </c>
      <c r="EE287" s="285">
        <f>EE278/DZ23-1</f>
        <v>-1.0204081632653073E-2</v>
      </c>
      <c r="EF287" s="5815">
        <f t="shared" si="1116"/>
        <v>-3.8678535606820441E-2</v>
      </c>
      <c r="EG287" s="285">
        <f t="shared" si="1116"/>
        <v>-0.15011614401858309</v>
      </c>
      <c r="EH287" s="285">
        <f t="shared" si="1116"/>
        <v>-8.8073924343055165E-2</v>
      </c>
      <c r="EI287" s="285">
        <f t="shared" si="1116"/>
        <v>3.3436988543371404E-2</v>
      </c>
      <c r="EJ287" s="285">
        <f t="shared" si="1116"/>
        <v>-0.14267543384961712</v>
      </c>
      <c r="EK287" s="5815">
        <f t="shared" si="1116"/>
        <v>-9.3153186769266316E-2</v>
      </c>
      <c r="EL287" s="285">
        <f t="shared" si="1117"/>
        <v>0.10932695592757091</v>
      </c>
      <c r="EM287" s="285">
        <f t="shared" si="1118"/>
        <v>0.20614312856238115</v>
      </c>
      <c r="EN287" s="285">
        <f t="shared" si="1119"/>
        <v>0.12548764972628268</v>
      </c>
      <c r="EO287" s="285">
        <f t="shared" si="1120"/>
        <v>0.1320534706546368</v>
      </c>
      <c r="EP287" s="5815">
        <f t="shared" si="1120"/>
        <v>0.14244379231394366</v>
      </c>
      <c r="EQ287" s="285">
        <f t="shared" si="1121"/>
        <v>0.16153643160567843</v>
      </c>
      <c r="ER287" s="285">
        <f t="shared" si="1122"/>
        <v>2.9964402637436827E-3</v>
      </c>
      <c r="ES287" s="285">
        <f t="shared" si="1123"/>
        <v>3.0851700614847877E-2</v>
      </c>
      <c r="ET287" s="285">
        <f t="shared" si="1124"/>
        <v>6.1014242208022651E-2</v>
      </c>
      <c r="EU287" s="5815">
        <f t="shared" si="1124"/>
        <v>6.0176217684621225E-2</v>
      </c>
      <c r="EV287" s="5815">
        <f t="shared" si="1125"/>
        <v>9.3693009259240068E-2</v>
      </c>
      <c r="EW287" s="5815">
        <f t="shared" si="1125"/>
        <v>7.0185975881180696E-2</v>
      </c>
      <c r="EX287" s="5815">
        <f t="shared" si="1125"/>
        <v>5.3393866358801167E-2</v>
      </c>
      <c r="EY287" s="5815">
        <f t="shared" si="1125"/>
        <v>4.3341196325024978E-2</v>
      </c>
      <c r="EZ287" s="129"/>
    </row>
    <row r="288" spans="1:156" ht="11.25" hidden="1" customHeight="1" outlineLevel="1">
      <c r="A288" s="4905" t="str">
        <f>A280</f>
        <v>Stock compensation expense (incl. above)</v>
      </c>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c r="AF288" s="35"/>
      <c r="AG288" s="35"/>
      <c r="AH288" s="35"/>
      <c r="AI288" s="35"/>
      <c r="AJ288" s="35"/>
      <c r="AK288" s="35"/>
      <c r="AL288" s="35"/>
      <c r="AM288" s="35"/>
      <c r="AN288" s="35"/>
      <c r="AO288" s="35"/>
      <c r="AP288" s="35"/>
      <c r="AQ288" s="35"/>
      <c r="AR288" s="35"/>
      <c r="AS288" s="35"/>
      <c r="AT288" s="32"/>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285"/>
      <c r="BU288" s="285"/>
      <c r="BV288" s="285"/>
      <c r="BW288" s="285"/>
      <c r="BX288" s="5815"/>
      <c r="BY288" s="35"/>
      <c r="BZ288" s="35"/>
      <c r="CA288" s="35"/>
      <c r="CB288" s="35"/>
      <c r="CC288" s="35"/>
      <c r="CD288" s="285"/>
      <c r="CE288" s="285"/>
      <c r="CF288" s="285"/>
      <c r="CG288" s="285"/>
      <c r="CH288" s="5815"/>
      <c r="CI288" s="285"/>
      <c r="CJ288" s="285"/>
      <c r="CK288" s="285"/>
      <c r="CL288" s="285"/>
      <c r="CM288" s="5815"/>
      <c r="CN288" s="285"/>
      <c r="CO288" s="285"/>
      <c r="CP288" s="285"/>
      <c r="CQ288" s="285"/>
      <c r="CR288" s="5815"/>
      <c r="CS288" s="285"/>
      <c r="CT288" s="285"/>
      <c r="CU288" s="285"/>
      <c r="CV288" s="285"/>
      <c r="CW288" s="5815"/>
      <c r="CX288" s="285"/>
      <c r="CY288" s="285"/>
      <c r="CZ288" s="285"/>
      <c r="DA288" s="285"/>
      <c r="DB288" s="5815"/>
      <c r="DC288" s="285"/>
      <c r="DD288" s="285"/>
      <c r="DE288" s="285"/>
      <c r="DF288" s="285"/>
      <c r="DG288" s="5815"/>
      <c r="DH288" s="285"/>
      <c r="DI288" s="285"/>
      <c r="DJ288" s="285"/>
      <c r="DK288" s="285"/>
      <c r="DL288" s="5815"/>
      <c r="DM288" s="285">
        <f t="shared" ref="DM288:EA288" si="1126">DM280/DH280-1</f>
        <v>0.15240158902130729</v>
      </c>
      <c r="DN288" s="285">
        <f t="shared" si="1126"/>
        <v>0.22714078374455737</v>
      </c>
      <c r="DO288" s="285">
        <f t="shared" si="1126"/>
        <v>0.2176067073170731</v>
      </c>
      <c r="DP288" s="285">
        <f t="shared" si="1126"/>
        <v>0.21852551984877122</v>
      </c>
      <c r="DQ288" s="5815">
        <f t="shared" si="1126"/>
        <v>0.20353900314989803</v>
      </c>
      <c r="DR288" s="285">
        <f t="shared" si="1126"/>
        <v>0.17361328737073012</v>
      </c>
      <c r="DS288" s="285">
        <f t="shared" si="1126"/>
        <v>0.12448255470136016</v>
      </c>
      <c r="DT288" s="285">
        <f t="shared" si="1126"/>
        <v>0.21251956181533638</v>
      </c>
      <c r="DU288" s="285">
        <f t="shared" si="1126"/>
        <v>0.22680732237046231</v>
      </c>
      <c r="DV288" s="5815">
        <f t="shared" si="1126"/>
        <v>0.18358863828804561</v>
      </c>
      <c r="DW288" s="285">
        <f t="shared" si="1126"/>
        <v>0.20267022696929238</v>
      </c>
      <c r="DX288" s="285">
        <f t="shared" si="1126"/>
        <v>0.2574283460425979</v>
      </c>
      <c r="DY288" s="285">
        <f t="shared" si="1126"/>
        <v>0.28446050593701599</v>
      </c>
      <c r="DZ288" s="285">
        <f t="shared" si="1126"/>
        <v>0.28983308042488609</v>
      </c>
      <c r="EA288" s="5815">
        <f t="shared" si="1126"/>
        <v>0.25923517169614985</v>
      </c>
      <c r="EB288" s="285">
        <f>EB280/DW24-1</f>
        <v>8.1705150976909335E-2</v>
      </c>
      <c r="EC288" s="285">
        <f>EC280/DX24-1</f>
        <v>0.20388958594730244</v>
      </c>
      <c r="ED288" s="285">
        <f>ED280/DY24-1</f>
        <v>0.15413987138263674</v>
      </c>
      <c r="EE288" s="285">
        <f>EE280/DZ24-1</f>
        <v>0.10901960784313736</v>
      </c>
      <c r="EF288" s="5815">
        <f t="shared" ref="EF288:EK288" si="1127">EF280/EA280-1</f>
        <v>0.13769238715008769</v>
      </c>
      <c r="EG288" s="285">
        <f t="shared" si="1127"/>
        <v>8.0459770114942541E-2</v>
      </c>
      <c r="EH288" s="285">
        <f t="shared" si="1127"/>
        <v>1.8759770713913548E-2</v>
      </c>
      <c r="EI288" s="285">
        <f t="shared" si="1127"/>
        <v>1.7934877241859715E-2</v>
      </c>
      <c r="EJ288" s="285">
        <f t="shared" si="1127"/>
        <v>2.7227722772277252E-2</v>
      </c>
      <c r="EK288" s="5815">
        <f t="shared" si="1127"/>
        <v>3.4365353186853076E-2</v>
      </c>
      <c r="EL288" s="285">
        <f t="shared" ref="EL288" si="1128">EL280/EG280-1</f>
        <v>4.7872340425531901E-2</v>
      </c>
      <c r="EM288" s="285">
        <f t="shared" ref="EM288" si="1129">EM280/EH280-1</f>
        <v>2.2676896845694738E-2</v>
      </c>
      <c r="EN288" s="285">
        <f t="shared" ref="EN288" si="1130">EN280/EI280-1</f>
        <v>8.9291823469038745E-2</v>
      </c>
      <c r="EO288" s="285">
        <f t="shared" ref="EO288:EP288" si="1131">EO280/EJ280-1</f>
        <v>0.12344002110521668</v>
      </c>
      <c r="EP288" s="5815">
        <f t="shared" si="1131"/>
        <v>7.1283147799925839E-2</v>
      </c>
      <c r="EQ288" s="285">
        <f t="shared" ref="EQ288" si="1132">EQ280/EL280-1</f>
        <v>0.16977172358649195</v>
      </c>
      <c r="ER288" s="285">
        <f t="shared" ref="ER288" si="1133">ER280/EM280-1</f>
        <v>0.18350192258430265</v>
      </c>
      <c r="ES288" s="285">
        <f t="shared" ref="ES288" si="1134">ES280/EN280-1</f>
        <v>0.17434325942349593</v>
      </c>
      <c r="ET288" s="285">
        <f t="shared" ref="ET288:EU288" si="1135">ET280/EO280-1</f>
        <v>0.14174358672385012</v>
      </c>
      <c r="EU288" s="5815">
        <f t="shared" si="1135"/>
        <v>0.16684333417380648</v>
      </c>
      <c r="EV288" s="5815">
        <f>EV280/EU280-1</f>
        <v>8.3365505133345064E-2</v>
      </c>
      <c r="EW288" s="5815">
        <f>EW280/EV280-1</f>
        <v>7.9433458783531696E-2</v>
      </c>
      <c r="EX288" s="5815">
        <f>EX280/EW280-1</f>
        <v>7.3812715966310227E-2</v>
      </c>
      <c r="EY288" s="5815">
        <f>EY280/EX280-1</f>
        <v>7.086006279355983E-2</v>
      </c>
      <c r="EZ288" s="129"/>
    </row>
    <row r="289" spans="1:156" ht="11.25" hidden="1" customHeight="1" outlineLevel="1">
      <c r="A289" s="5998" t="s">
        <v>1055</v>
      </c>
      <c r="B289" s="3597"/>
      <c r="C289" s="3597"/>
      <c r="D289" s="3597"/>
      <c r="E289" s="3597"/>
      <c r="F289" s="3597"/>
      <c r="G289" s="3597"/>
      <c r="H289" s="3597"/>
      <c r="I289" s="3597"/>
      <c r="J289" s="3597"/>
      <c r="K289" s="3597"/>
      <c r="L289" s="3597"/>
      <c r="M289" s="3597"/>
      <c r="N289" s="3597"/>
      <c r="O289" s="3597"/>
      <c r="P289" s="3597"/>
      <c r="Q289" s="3597"/>
      <c r="R289" s="3597"/>
      <c r="S289" s="3597"/>
      <c r="T289" s="3597"/>
      <c r="U289" s="3597"/>
      <c r="V289" s="3597"/>
      <c r="W289" s="3597"/>
      <c r="X289" s="3597"/>
      <c r="Y289" s="3597"/>
      <c r="Z289" s="3597"/>
      <c r="AA289" s="3597"/>
      <c r="AB289" s="3597"/>
      <c r="AC289" s="3597"/>
      <c r="AD289" s="3597"/>
      <c r="AE289" s="3597"/>
      <c r="AF289" s="3597"/>
      <c r="AG289" s="3597"/>
      <c r="AH289" s="3597"/>
      <c r="AI289" s="3597"/>
      <c r="AJ289" s="3597"/>
      <c r="AK289" s="3597"/>
      <c r="AL289" s="3597"/>
      <c r="AM289" s="3597"/>
      <c r="AN289" s="3597"/>
      <c r="AO289" s="3597"/>
      <c r="AP289" s="3597"/>
      <c r="AQ289" s="3597"/>
      <c r="AR289" s="3597"/>
      <c r="AS289" s="3597"/>
      <c r="AT289" s="3576"/>
      <c r="AU289" s="3597"/>
      <c r="AV289" s="3597"/>
      <c r="AW289" s="3597"/>
      <c r="AX289" s="3597"/>
      <c r="AY289" s="3597"/>
      <c r="AZ289" s="3597"/>
      <c r="BA289" s="3597"/>
      <c r="BB289" s="3597"/>
      <c r="BC289" s="3597"/>
      <c r="BD289" s="3597"/>
      <c r="BE289" s="3597"/>
      <c r="BF289" s="3597"/>
      <c r="BG289" s="3597"/>
      <c r="BH289" s="3597"/>
      <c r="BI289" s="3597"/>
      <c r="BJ289" s="3597"/>
      <c r="BK289" s="3597"/>
      <c r="BL289" s="3597"/>
      <c r="BM289" s="3597"/>
      <c r="BN289" s="3597"/>
      <c r="BO289" s="3597"/>
      <c r="BP289" s="3597"/>
      <c r="BQ289" s="3597"/>
      <c r="BR289" s="3597"/>
      <c r="BS289" s="3597"/>
      <c r="BT289" s="5999"/>
      <c r="BU289" s="5999"/>
      <c r="BV289" s="5999"/>
      <c r="BW289" s="5999"/>
      <c r="BX289" s="6000"/>
      <c r="BY289" s="3597"/>
      <c r="BZ289" s="3597"/>
      <c r="CA289" s="3597"/>
      <c r="CB289" s="3597"/>
      <c r="CC289" s="3597"/>
      <c r="CD289" s="5999"/>
      <c r="CE289" s="5999"/>
      <c r="CF289" s="5999"/>
      <c r="CG289" s="5999"/>
      <c r="CH289" s="6000"/>
      <c r="CI289" s="5999"/>
      <c r="CJ289" s="5999"/>
      <c r="CK289" s="5999"/>
      <c r="CL289" s="5999"/>
      <c r="CM289" s="6000"/>
      <c r="CN289" s="5999"/>
      <c r="CO289" s="5999"/>
      <c r="CP289" s="5999"/>
      <c r="CQ289" s="5999"/>
      <c r="CR289" s="6000"/>
      <c r="CS289" s="5999"/>
      <c r="CT289" s="5999"/>
      <c r="CU289" s="5999"/>
      <c r="CV289" s="5999"/>
      <c r="CW289" s="6000"/>
      <c r="CX289" s="5999"/>
      <c r="CY289" s="5999"/>
      <c r="CZ289" s="5999"/>
      <c r="DA289" s="5999"/>
      <c r="DB289" s="6000"/>
      <c r="DC289" s="5999"/>
      <c r="DD289" s="5999"/>
      <c r="DE289" s="5999"/>
      <c r="DF289" s="5999"/>
      <c r="DG289" s="6000"/>
      <c r="DH289" s="5999"/>
      <c r="DI289" s="5999"/>
      <c r="DJ289" s="5999"/>
      <c r="DK289" s="5999"/>
      <c r="DL289" s="6000"/>
      <c r="DM289" s="5999">
        <f t="shared" ref="DM289:DZ289" si="1136">SUM(DM276:DM278)/SUM(DH276:DH278)-1</f>
        <v>0.18116785892530363</v>
      </c>
      <c r="DN289" s="5999">
        <f t="shared" si="1136"/>
        <v>7.1623355790824572E-2</v>
      </c>
      <c r="DO289" s="5999">
        <f t="shared" si="1136"/>
        <v>4.8712121212121318E-2</v>
      </c>
      <c r="DP289" s="5999">
        <f t="shared" si="1136"/>
        <v>-3.9394515168788447E-2</v>
      </c>
      <c r="DQ289" s="6000">
        <f t="shared" si="1136"/>
        <v>5.7817087080910268E-2</v>
      </c>
      <c r="DR289" s="5999">
        <f t="shared" si="1136"/>
        <v>2.3802816901408397E-2</v>
      </c>
      <c r="DS289" s="5999">
        <f t="shared" si="1136"/>
        <v>0.1597934286355811</v>
      </c>
      <c r="DT289" s="5999">
        <f t="shared" si="1136"/>
        <v>0.16679910424041022</v>
      </c>
      <c r="DU289" s="5999">
        <f t="shared" si="1136"/>
        <v>0.32511373376409303</v>
      </c>
      <c r="DV289" s="6000">
        <f t="shared" si="1136"/>
        <v>0.1716957451697867</v>
      </c>
      <c r="DW289" s="5999">
        <f t="shared" si="1136"/>
        <v>0.26000825423029306</v>
      </c>
      <c r="DX289" s="5999">
        <f t="shared" si="1136"/>
        <v>0.29891584925141967</v>
      </c>
      <c r="DY289" s="5999">
        <f t="shared" si="1136"/>
        <v>0.30182020802377418</v>
      </c>
      <c r="DZ289" s="5999">
        <f t="shared" si="1136"/>
        <v>0.12180316449397943</v>
      </c>
      <c r="EA289" s="6000">
        <f t="shared" ref="EA289" si="1137">SUM(EA276:EA278)/SUM(DV276:DV278)-1</f>
        <v>0.23738760485184951</v>
      </c>
      <c r="EB289" s="5999">
        <f t="shared" ref="EB289" si="1138">SUM(EB276:EB278)/SUM(DW276:DW278)-1</f>
        <v>8.5435091167157973E-2</v>
      </c>
      <c r="EC289" s="5999">
        <f t="shared" ref="EC289" si="1139">SUM(EC276:EC278)/SUM(DX276:DX278)-1</f>
        <v>3.3336645468998505E-2</v>
      </c>
      <c r="ED289" s="5999">
        <f t="shared" ref="ED289" si="1140">SUM(ED276:ED278)/SUM(DY276:DY278)-1</f>
        <v>2.0259666143529698E-2</v>
      </c>
      <c r="EE289" s="5999">
        <f t="shared" ref="EE289" si="1141">SUM(EE276:EE278)/SUM(DZ276:DZ278)-1</f>
        <v>6.7683846358555844E-2</v>
      </c>
      <c r="EF289" s="6000">
        <f t="shared" ref="EF289" si="1142">SUM(EF276:EF278)/SUM(EA276:EA278)-1</f>
        <v>5.1061339445738207E-2</v>
      </c>
      <c r="EG289" s="5999">
        <f t="shared" ref="EG289" si="1143">SUM(EG276:EG278)/SUM(EB276:EB278)-1</f>
        <v>4.5717447065332095E-2</v>
      </c>
      <c r="EH289" s="5999">
        <f t="shared" ref="EH289" si="1144">SUM(EH276:EH278)/SUM(EC276:EC278)-1</f>
        <v>4.860810615895006E-2</v>
      </c>
      <c r="EI289" s="5999">
        <f t="shared" ref="EI289" si="1145">SUM(EI276:EI278)/SUM(ED276:ED278)-1</f>
        <v>6.6177535387436093E-2</v>
      </c>
      <c r="EJ289" s="5999">
        <f t="shared" ref="EJ289" si="1146">SUM(EJ276:EJ278)/SUM(EE276:EE278)-1</f>
        <v>2.0855236709227176E-2</v>
      </c>
      <c r="EK289" s="6000">
        <f t="shared" ref="EK289" si="1147">SUM(EK276:EK278)/SUM(EF276:EF278)-1</f>
        <v>4.456406005000968E-2</v>
      </c>
      <c r="EL289" s="5999">
        <f t="shared" ref="EL289" si="1148">SUM(EL276:EL278)/SUM(EG276:EG278)-1</f>
        <v>0.10499230473258936</v>
      </c>
      <c r="EM289" s="5999">
        <f t="shared" ref="EM289" si="1149">SUM(EM276:EM278)/SUM(EH276:EH278)-1</f>
        <v>0.1333333333333333</v>
      </c>
      <c r="EN289" s="5999">
        <f t="shared" ref="EN289" si="1150">SUM(EN276:EN278)/SUM(EI276:EI278)-1</f>
        <v>0.14949229154048527</v>
      </c>
      <c r="EO289" s="5999">
        <f t="shared" ref="EO289:EP289" si="1151">SUM(EO276:EO278)/SUM(EJ276:EJ278)-1</f>
        <v>0.14838657132872823</v>
      </c>
      <c r="EP289" s="6000">
        <f t="shared" si="1151"/>
        <v>0.13500188677897085</v>
      </c>
      <c r="EQ289" s="5999">
        <f t="shared" ref="EQ289" si="1152">SUM(EQ276:EQ278)/SUM(EL276:EL278)-1</f>
        <v>0.15305511573133734</v>
      </c>
      <c r="ER289" s="5999">
        <f t="shared" ref="ER289" si="1153">SUM(ER276:ER278)/SUM(EM276:EM278)-1</f>
        <v>0.13670056935930086</v>
      </c>
      <c r="ES289" s="5999">
        <f t="shared" ref="ES289" si="1154">SUM(ES276:ES278)/SUM(EN276:EN278)-1</f>
        <v>0.1310430366295201</v>
      </c>
      <c r="ET289" s="5999">
        <f t="shared" ref="ET289:EU289" si="1155">SUM(ET276:ET278)/SUM(EO276:EO278)-1</f>
        <v>0.12832792305795482</v>
      </c>
      <c r="EU289" s="6000">
        <f t="shared" si="1155"/>
        <v>0.1366097496772225</v>
      </c>
      <c r="EV289" s="6000">
        <f>SUM(EV276:EV278)/SUM(EU276:EU278)-1</f>
        <v>0.10607528426085744</v>
      </c>
      <c r="EW289" s="6000">
        <f>SUM(EW276:EW278)/SUM(EV276:EV278)-1</f>
        <v>8.2097119547845265E-2</v>
      </c>
      <c r="EX289" s="6000">
        <f>SUM(EX276:EX278)/SUM(EW276:EW278)-1</f>
        <v>7.4575293605236403E-2</v>
      </c>
      <c r="EY289" s="6000">
        <f>SUM(EY276:EY278)/SUM(EX276:EX278)-1</f>
        <v>6.6326455476405144E-2</v>
      </c>
      <c r="EZ289" s="129"/>
    </row>
    <row r="290" spans="1:156" ht="11.25" hidden="1" customHeight="1" outlineLevel="1">
      <c r="A290" s="3771" t="s">
        <v>1101</v>
      </c>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c r="AG290" s="31"/>
      <c r="AH290" s="31"/>
      <c r="AI290" s="31"/>
      <c r="AJ290" s="31"/>
      <c r="AK290" s="31"/>
      <c r="AL290" s="31"/>
      <c r="AM290" s="31"/>
      <c r="AN290" s="31"/>
      <c r="AO290" s="31"/>
      <c r="AP290" s="31"/>
      <c r="AQ290" s="31"/>
      <c r="AR290" s="31"/>
      <c r="AS290" s="31"/>
      <c r="AT290" s="32"/>
      <c r="AU290" s="31"/>
      <c r="AV290" s="31"/>
      <c r="AW290" s="31"/>
      <c r="AX290" s="31"/>
      <c r="AY290" s="31"/>
      <c r="AZ290" s="31"/>
      <c r="BA290" s="31"/>
      <c r="BB290" s="31"/>
      <c r="BC290" s="31"/>
      <c r="BD290" s="31"/>
      <c r="BE290" s="31"/>
      <c r="BF290" s="31"/>
      <c r="BG290" s="31"/>
      <c r="BH290" s="31"/>
      <c r="BI290" s="31"/>
      <c r="BJ290" s="31"/>
      <c r="BK290" s="31"/>
      <c r="BL290" s="31"/>
      <c r="BM290" s="31"/>
      <c r="BN290" s="31"/>
      <c r="BO290" s="31"/>
      <c r="BP290" s="31"/>
      <c r="BQ290" s="31"/>
      <c r="BR290" s="31"/>
      <c r="BS290" s="31"/>
      <c r="BT290" s="31"/>
      <c r="BU290" s="31"/>
      <c r="BV290" s="31"/>
      <c r="BW290" s="31"/>
      <c r="BX290" s="6001"/>
      <c r="BY290" s="31"/>
      <c r="BZ290" s="31"/>
      <c r="CA290" s="31"/>
      <c r="CB290" s="31"/>
      <c r="CC290" s="31"/>
      <c r="CD290" s="31"/>
      <c r="CE290" s="31"/>
      <c r="CF290" s="31"/>
      <c r="CG290" s="31"/>
      <c r="CH290" s="6001"/>
      <c r="CI290" s="31"/>
      <c r="CJ290" s="31"/>
      <c r="CK290" s="31"/>
      <c r="CL290" s="31"/>
      <c r="CM290" s="6001"/>
      <c r="CN290" s="31"/>
      <c r="CO290" s="31"/>
      <c r="CP290" s="31"/>
      <c r="CQ290" s="31"/>
      <c r="CR290" s="6001"/>
      <c r="CS290" s="31"/>
      <c r="CT290" s="31"/>
      <c r="CU290" s="31"/>
      <c r="CV290" s="31"/>
      <c r="CW290" s="6001"/>
      <c r="CX290" s="31"/>
      <c r="CY290" s="31"/>
      <c r="CZ290" s="31"/>
      <c r="DA290" s="31"/>
      <c r="DB290" s="6001"/>
      <c r="DC290" s="31"/>
      <c r="DD290" s="31"/>
      <c r="DE290" s="31"/>
      <c r="DF290" s="31"/>
      <c r="DG290" s="6001"/>
      <c r="DH290" s="31"/>
      <c r="DI290" s="31"/>
      <c r="DJ290" s="31"/>
      <c r="DK290" s="31"/>
      <c r="DL290" s="6001"/>
      <c r="DM290" s="31"/>
      <c r="DN290" s="31"/>
      <c r="DO290" s="31"/>
      <c r="DP290" s="31"/>
      <c r="DQ290" s="6001">
        <f>SUM(DQ275:DQ278)/SUM(DL275:DL278)-1</f>
        <v>0.13893961337447269</v>
      </c>
      <c r="DR290" s="31"/>
      <c r="DS290" s="31"/>
      <c r="DT290" s="31"/>
      <c r="DU290" s="31"/>
      <c r="DV290" s="6001">
        <f>SUM(DV275:DV278)/SUM(DQ275:DQ278)-1</f>
        <v>0.21314904399907864</v>
      </c>
      <c r="DW290" s="31"/>
      <c r="DX290" s="31"/>
      <c r="DY290" s="31"/>
      <c r="DZ290" s="31"/>
      <c r="EA290" s="6001">
        <f>SUM(EA275:EA278)/SUM(DV275:DV278)-1</f>
        <v>0.20971159907942605</v>
      </c>
      <c r="EB290" s="285">
        <f t="shared" ref="EB290:EJ290" si="1156">SUM(EB275:EB278)/SUM(DW275:DW278)-1</f>
        <v>6.0288919197261093E-2</v>
      </c>
      <c r="EC290" s="285">
        <f t="shared" si="1156"/>
        <v>5.631542953337898E-2</v>
      </c>
      <c r="ED290" s="285">
        <f t="shared" si="1156"/>
        <v>4.1081295374018278E-2</v>
      </c>
      <c r="EE290" s="285">
        <f t="shared" si="1156"/>
        <v>5.4733892311455978E-2</v>
      </c>
      <c r="EF290" s="6001">
        <f t="shared" si="1156"/>
        <v>5.2904870437692653E-2</v>
      </c>
      <c r="EG290" s="285">
        <f t="shared" si="1156"/>
        <v>8.6945108025096474E-2</v>
      </c>
      <c r="EH290" s="285">
        <f t="shared" si="1156"/>
        <v>9.3901740581189719E-2</v>
      </c>
      <c r="EI290" s="285">
        <f t="shared" si="1156"/>
        <v>8.1014827331794548E-2</v>
      </c>
      <c r="EJ290" s="285">
        <f t="shared" si="1156"/>
        <v>5.8219466936572095E-2</v>
      </c>
      <c r="EK290" s="6001">
        <f>SUM(EK275:EK278)/SUM(EF275:EF278)-1</f>
        <v>7.9001508709367618E-2</v>
      </c>
      <c r="EL290" s="285">
        <f t="shared" ref="EL290" si="1157">SUM(EL275:EL278)/SUM(EG275:EG278)-1</f>
        <v>0.10102644608139122</v>
      </c>
      <c r="EM290" s="285">
        <f t="shared" ref="EM290" si="1158">SUM(EM275:EM278)/SUM(EH275:EH278)-1</f>
        <v>0.11659458229000674</v>
      </c>
      <c r="EN290" s="285">
        <f t="shared" ref="EN290" si="1159">SUM(EN275:EN278)/SUM(EI275:EI278)-1</f>
        <v>0.16212765020585174</v>
      </c>
      <c r="EO290" s="285">
        <f t="shared" ref="EO290" si="1160">SUM(EO275:EO278)/SUM(EJ275:EJ278)-1</f>
        <v>0.16864980903645321</v>
      </c>
      <c r="EP290" s="6001">
        <f>SUM(EP275:EP278)/SUM(EK275:EK278)-1</f>
        <v>0.13889992133620566</v>
      </c>
      <c r="EQ290" s="285">
        <f t="shared" ref="EQ290" si="1161">SUM(EQ275:EQ278)/SUM(EL275:EL278)-1</f>
        <v>0.17915592420224802</v>
      </c>
      <c r="ER290" s="285">
        <f t="shared" ref="ER290" si="1162">SUM(ER275:ER278)/SUM(EM275:EM278)-1</f>
        <v>0.17813337381892236</v>
      </c>
      <c r="ES290" s="285">
        <f t="shared" ref="ES290" si="1163">SUM(ES275:ES278)/SUM(EN275:EN278)-1</f>
        <v>0.18608925049977776</v>
      </c>
      <c r="ET290" s="285">
        <f t="shared" ref="ET290" si="1164">SUM(ET275:ET278)/SUM(EO275:EO278)-1</f>
        <v>0.18211769659510502</v>
      </c>
      <c r="EU290" s="6001">
        <f>SUM(EU275:EU278)/SUM(EP275:EP278)-1</f>
        <v>0.18153139269860108</v>
      </c>
      <c r="EV290" s="6001">
        <f t="shared" ref="EV290:EY290" si="1165">SUM(EV275:EV278)/SUM(EU275:EU278)-1</f>
        <v>0.15757640023558062</v>
      </c>
      <c r="EW290" s="6001">
        <f t="shared" si="1165"/>
        <v>0.11914873294763972</v>
      </c>
      <c r="EX290" s="6001">
        <f t="shared" si="1165"/>
        <v>9.9114086252846567E-2</v>
      </c>
      <c r="EY290" s="6001">
        <f t="shared" si="1165"/>
        <v>8.6332939855693125E-2</v>
      </c>
      <c r="EZ290" s="129"/>
    </row>
    <row r="291" spans="1:156" ht="11.25" hidden="1" customHeight="1" outlineLevel="1">
      <c r="A291" s="5907" t="s">
        <v>364</v>
      </c>
      <c r="B291" s="5870"/>
      <c r="C291" s="5870"/>
      <c r="D291" s="5870"/>
      <c r="E291" s="5870"/>
      <c r="F291" s="5870"/>
      <c r="G291" s="5870"/>
      <c r="H291" s="5870"/>
      <c r="I291" s="5870"/>
      <c r="J291" s="5870"/>
      <c r="K291" s="5870"/>
      <c r="L291" s="5870"/>
      <c r="M291" s="5870"/>
      <c r="N291" s="5870"/>
      <c r="O291" s="5870"/>
      <c r="P291" s="5870"/>
      <c r="Q291" s="5870"/>
      <c r="R291" s="5870"/>
      <c r="S291" s="5870"/>
      <c r="T291" s="5870"/>
      <c r="U291" s="5870"/>
      <c r="V291" s="5870"/>
      <c r="W291" s="5870"/>
      <c r="X291" s="5870"/>
      <c r="Y291" s="5870"/>
      <c r="Z291" s="5870"/>
      <c r="AA291" s="5870"/>
      <c r="AB291" s="5870"/>
      <c r="AC291" s="5870"/>
      <c r="AD291" s="5870"/>
      <c r="AE291" s="5870"/>
      <c r="AF291" s="5870"/>
      <c r="AG291" s="5870"/>
      <c r="AH291" s="5870"/>
      <c r="AI291" s="5870"/>
      <c r="AJ291" s="5870"/>
      <c r="AK291" s="5870"/>
      <c r="AL291" s="5870"/>
      <c r="AM291" s="5870"/>
      <c r="AN291" s="5870"/>
      <c r="AO291" s="5870"/>
      <c r="AP291" s="5870"/>
      <c r="AQ291" s="5870"/>
      <c r="AR291" s="5870"/>
      <c r="AS291" s="5870"/>
      <c r="AT291" s="5871"/>
      <c r="AU291" s="5870"/>
      <c r="AV291" s="5870"/>
      <c r="AW291" s="5870"/>
      <c r="AX291" s="5870"/>
      <c r="AY291" s="5870"/>
      <c r="AZ291" s="5870"/>
      <c r="BA291" s="5870"/>
      <c r="BB291" s="5870"/>
      <c r="BC291" s="5870"/>
      <c r="BD291" s="5870"/>
      <c r="BE291" s="5870"/>
      <c r="BF291" s="5870"/>
      <c r="BG291" s="5870"/>
      <c r="BH291" s="5870"/>
      <c r="BI291" s="5870"/>
      <c r="BJ291" s="5870"/>
      <c r="BK291" s="5870"/>
      <c r="BL291" s="5870"/>
      <c r="BM291" s="5870"/>
      <c r="BN291" s="5870"/>
      <c r="BO291" s="5870"/>
      <c r="BP291" s="5870"/>
      <c r="BQ291" s="5870"/>
      <c r="BR291" s="5870"/>
      <c r="BS291" s="5870"/>
      <c r="BT291" s="5737"/>
      <c r="BU291" s="5737"/>
      <c r="BV291" s="5737"/>
      <c r="BW291" s="5737"/>
      <c r="BX291" s="5814"/>
      <c r="BY291" s="5870"/>
      <c r="BZ291" s="5870"/>
      <c r="CA291" s="5870"/>
      <c r="CB291" s="5870"/>
      <c r="CC291" s="5870"/>
      <c r="CD291" s="5737"/>
      <c r="CE291" s="5737"/>
      <c r="CF291" s="5737"/>
      <c r="CG291" s="5737"/>
      <c r="CH291" s="5814"/>
      <c r="CI291" s="5737"/>
      <c r="CJ291" s="5737"/>
      <c r="CK291" s="5737"/>
      <c r="CL291" s="5737"/>
      <c r="CM291" s="5814"/>
      <c r="CN291" s="5737"/>
      <c r="CO291" s="5737"/>
      <c r="CP291" s="5737"/>
      <c r="CQ291" s="5737"/>
      <c r="CR291" s="5814"/>
      <c r="CS291" s="5737"/>
      <c r="CT291" s="5737"/>
      <c r="CU291" s="5737"/>
      <c r="CV291" s="5737"/>
      <c r="CW291" s="5814"/>
      <c r="CX291" s="5737"/>
      <c r="CY291" s="5737"/>
      <c r="CZ291" s="5737"/>
      <c r="DA291" s="5737"/>
      <c r="DB291" s="5814"/>
      <c r="DC291" s="5737"/>
      <c r="DD291" s="5737"/>
      <c r="DE291" s="5737"/>
      <c r="DF291" s="5737"/>
      <c r="DG291" s="5814"/>
      <c r="DH291" s="5737"/>
      <c r="DI291" s="5737"/>
      <c r="DJ291" s="5737"/>
      <c r="DK291" s="5737"/>
      <c r="DL291" s="5814"/>
      <c r="DM291" s="5737"/>
      <c r="DN291" s="5737"/>
      <c r="DO291" s="5737"/>
      <c r="DP291" s="5737"/>
      <c r="DQ291" s="5814"/>
      <c r="DR291" s="5737"/>
      <c r="DS291" s="5737"/>
      <c r="DT291" s="5737"/>
      <c r="DU291" s="5737"/>
      <c r="DV291" s="5814"/>
      <c r="DW291" s="5737"/>
      <c r="DX291" s="5737"/>
      <c r="DY291" s="5737"/>
      <c r="DZ291" s="5737"/>
      <c r="EA291" s="5814"/>
      <c r="EB291" s="5782"/>
      <c r="EC291" s="5782"/>
      <c r="ED291" s="5737"/>
      <c r="EE291" s="5737"/>
      <c r="EF291" s="5814"/>
      <c r="EG291" s="5737"/>
      <c r="EH291" s="5737"/>
      <c r="EI291" s="5737"/>
      <c r="EJ291" s="5737"/>
      <c r="EK291" s="5814"/>
      <c r="EL291" s="5737"/>
      <c r="EM291" s="5737"/>
      <c r="EN291" s="5737"/>
      <c r="EO291" s="5737"/>
      <c r="EP291" s="5814"/>
      <c r="EQ291" s="5737"/>
      <c r="ER291" s="5737"/>
      <c r="ES291" s="5737"/>
      <c r="ET291" s="5737"/>
      <c r="EU291" s="5814"/>
      <c r="EV291" s="5814"/>
      <c r="EW291" s="5814"/>
      <c r="EX291" s="5814"/>
      <c r="EY291" s="5814"/>
      <c r="EZ291" s="129"/>
    </row>
    <row r="292" spans="1:156" ht="11.25" hidden="1" customHeight="1" outlineLevel="1">
      <c r="A292" s="4905" t="str">
        <f>A284</f>
        <v>Other cost of revenues (excl. 1x items)</v>
      </c>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c r="AF292" s="35"/>
      <c r="AG292" s="35"/>
      <c r="AH292" s="35"/>
      <c r="AI292" s="35"/>
      <c r="AJ292" s="35"/>
      <c r="AK292" s="35"/>
      <c r="AL292" s="35"/>
      <c r="AM292" s="35"/>
      <c r="AN292" s="35"/>
      <c r="AO292" s="35"/>
      <c r="AP292" s="35"/>
      <c r="AQ292" s="35"/>
      <c r="AR292" s="35"/>
      <c r="AS292" s="35"/>
      <c r="AT292" s="32"/>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285"/>
      <c r="BU292" s="285"/>
      <c r="BV292" s="285"/>
      <c r="BW292" s="285"/>
      <c r="BX292" s="5810"/>
      <c r="BY292" s="35"/>
      <c r="BZ292" s="35"/>
      <c r="CA292" s="35"/>
      <c r="CB292" s="35"/>
      <c r="CC292" s="35"/>
      <c r="CD292" s="285"/>
      <c r="CE292" s="285"/>
      <c r="CF292" s="285"/>
      <c r="CG292" s="285"/>
      <c r="CH292" s="5810"/>
      <c r="CI292" s="285"/>
      <c r="CJ292" s="285"/>
      <c r="CK292" s="285"/>
      <c r="CL292" s="285"/>
      <c r="CM292" s="5810"/>
      <c r="CN292" s="285"/>
      <c r="CO292" s="285"/>
      <c r="CP292" s="285"/>
      <c r="CQ292" s="285"/>
      <c r="CR292" s="5810"/>
      <c r="CS292" s="285"/>
      <c r="CT292" s="285"/>
      <c r="CU292" s="285"/>
      <c r="CV292" s="285"/>
      <c r="CW292" s="5810"/>
      <c r="CX292" s="285"/>
      <c r="CY292" s="285"/>
      <c r="CZ292" s="285"/>
      <c r="DA292" s="285"/>
      <c r="DB292" s="5810"/>
      <c r="DC292" s="285"/>
      <c r="DD292" s="285"/>
      <c r="DE292" s="285"/>
      <c r="DF292" s="285"/>
      <c r="DG292" s="5810"/>
      <c r="DH292" s="285"/>
      <c r="DI292" s="285">
        <f t="shared" ref="DI292:DK295" si="1166">DI275/DH275-1</f>
        <v>9.8994755244755206E-2</v>
      </c>
      <c r="DJ292" s="285">
        <f t="shared" si="1166"/>
        <v>1.9884668920262527E-3</v>
      </c>
      <c r="DK292" s="285">
        <f t="shared" si="1166"/>
        <v>0.24221075610240117</v>
      </c>
      <c r="DL292" s="5810"/>
      <c r="DM292" s="285">
        <f>DM275/DK275-1</f>
        <v>-7.8999920121415435E-2</v>
      </c>
      <c r="DN292" s="285">
        <f t="shared" ref="DN292:DP295" si="1167">DN275/DM275-1</f>
        <v>2.8534258456201167E-2</v>
      </c>
      <c r="DO292" s="285">
        <f t="shared" si="1167"/>
        <v>9.2081963066025896E-2</v>
      </c>
      <c r="DP292" s="285">
        <f t="shared" si="1167"/>
        <v>0.20562118755308467</v>
      </c>
      <c r="DQ292" s="5810"/>
      <c r="DR292" s="285">
        <f>DR275/DP275-1</f>
        <v>-7.8327142308184938E-2</v>
      </c>
      <c r="DS292" s="285">
        <f t="shared" ref="DS292:DU295" si="1168">DS275/DR275-1</f>
        <v>6.3025502049892212E-2</v>
      </c>
      <c r="DT292" s="285">
        <f t="shared" si="1168"/>
        <v>5.3928618120015592E-2</v>
      </c>
      <c r="DU292" s="285">
        <f t="shared" si="1168"/>
        <v>0.21323575017056373</v>
      </c>
      <c r="DV292" s="5810"/>
      <c r="DW292" s="285">
        <f>DW275/DU275-1</f>
        <v>-9.9790399263841367E-2</v>
      </c>
      <c r="DX292" s="285">
        <f t="shared" ref="DX292:DZ295" si="1169">DX275/DW275-1</f>
        <v>1.5957748878414391E-2</v>
      </c>
      <c r="DY292" s="285">
        <f t="shared" si="1169"/>
        <v>8.0603689211850238E-2</v>
      </c>
      <c r="DZ292" s="285">
        <f t="shared" si="1169"/>
        <v>0.159579971032485</v>
      </c>
      <c r="EA292" s="5810"/>
      <c r="EB292" s="285">
        <f>EB275/DZ275-1</f>
        <v>-0.18767007182049333</v>
      </c>
      <c r="EC292" s="285">
        <f t="shared" ref="EC292:EC295" si="1170">EC275/EB275-1</f>
        <v>6.3152114222954525E-2</v>
      </c>
      <c r="ED292" s="285">
        <f t="shared" ref="ED292:ED295" si="1171">ED275/EC275-1</f>
        <v>6.2190082644627998E-2</v>
      </c>
      <c r="EE292" s="285">
        <f t="shared" ref="EE292:EE295" si="1172">EE275/ED275-1</f>
        <v>0.13557673604357134</v>
      </c>
      <c r="EF292" s="5810"/>
      <c r="EG292" s="285">
        <f>EG275/EE275-1</f>
        <v>-0.11729188078108943</v>
      </c>
      <c r="EH292" s="285">
        <f t="shared" ref="EH292:EJ295" si="1173">EH275/EG275-1</f>
        <v>7.3109202930189632E-2</v>
      </c>
      <c r="EI292" s="285">
        <f t="shared" si="1173"/>
        <v>1.9362266425557717E-2</v>
      </c>
      <c r="EJ292" s="285">
        <f t="shared" si="1173"/>
        <v>0.13582754860096502</v>
      </c>
      <c r="EK292" s="5810"/>
      <c r="EL292" s="285">
        <f>EL275/EJ275-1</f>
        <v>-0.11705813645362217</v>
      </c>
      <c r="EM292" s="285">
        <f t="shared" ref="EM292:EM295" si="1174">EM275/EL275-1</f>
        <v>7.6106664308141392E-2</v>
      </c>
      <c r="EN292" s="285">
        <f t="shared" ref="EN292:EN295" si="1175">EN275/EM275-1</f>
        <v>8.8723596613791367E-2</v>
      </c>
      <c r="EO292" s="285">
        <f t="shared" ref="EO292:EO295" si="1176">EO275/EN275-1</f>
        <v>0.1485376423910838</v>
      </c>
      <c r="EP292" s="5810"/>
      <c r="EQ292" s="285">
        <f>EQ275/EO275-1</f>
        <v>-0.10399195365807534</v>
      </c>
      <c r="ER292" s="285">
        <f t="shared" ref="ER292:ER295" si="1177">ER275/EQ275-1</f>
        <v>8.9088974756460493E-2</v>
      </c>
      <c r="ES292" s="285">
        <f t="shared" ref="ES292:ES295" si="1178">ES275/ER275-1</f>
        <v>0.10701248774239058</v>
      </c>
      <c r="ET292" s="285">
        <f t="shared" ref="ET292:ET295" si="1179">ET275/ES275-1</f>
        <v>0.1404718973472221</v>
      </c>
      <c r="EU292" s="5810"/>
      <c r="EV292" s="5810"/>
      <c r="EW292" s="5810"/>
      <c r="EX292" s="5810"/>
      <c r="EY292" s="5810"/>
      <c r="EZ292" s="129"/>
    </row>
    <row r="293" spans="1:156" ht="11.25" hidden="1" customHeight="1" outlineLevel="1">
      <c r="A293" s="4905" t="str">
        <f>A285</f>
        <v>Research &amp; development (excl. 1x items)</v>
      </c>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c r="AF293" s="35"/>
      <c r="AG293" s="35"/>
      <c r="AH293" s="35"/>
      <c r="AI293" s="35"/>
      <c r="AJ293" s="35"/>
      <c r="AK293" s="35"/>
      <c r="AL293" s="35"/>
      <c r="AM293" s="35"/>
      <c r="AN293" s="35"/>
      <c r="AO293" s="35"/>
      <c r="AP293" s="35"/>
      <c r="AQ293" s="35"/>
      <c r="AR293" s="35"/>
      <c r="AS293" s="35"/>
      <c r="AT293" s="32"/>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285"/>
      <c r="BU293" s="285"/>
      <c r="BV293" s="285"/>
      <c r="BW293" s="285"/>
      <c r="BX293" s="5810"/>
      <c r="BY293" s="35"/>
      <c r="BZ293" s="35"/>
      <c r="CA293" s="35"/>
      <c r="CB293" s="35"/>
      <c r="CC293" s="35"/>
      <c r="CD293" s="285"/>
      <c r="CE293" s="285"/>
      <c r="CF293" s="285"/>
      <c r="CG293" s="285"/>
      <c r="CH293" s="5810"/>
      <c r="CI293" s="285"/>
      <c r="CJ293" s="285"/>
      <c r="CK293" s="285"/>
      <c r="CL293" s="285"/>
      <c r="CM293" s="5810"/>
      <c r="CN293" s="285"/>
      <c r="CO293" s="285"/>
      <c r="CP293" s="285"/>
      <c r="CQ293" s="285"/>
      <c r="CR293" s="5810"/>
      <c r="CS293" s="285"/>
      <c r="CT293" s="285"/>
      <c r="CU293" s="285"/>
      <c r="CV293" s="285"/>
      <c r="CW293" s="5810"/>
      <c r="CX293" s="285"/>
      <c r="CY293" s="285"/>
      <c r="CZ293" s="285"/>
      <c r="DA293" s="285"/>
      <c r="DB293" s="5810"/>
      <c r="DC293" s="285"/>
      <c r="DD293" s="285"/>
      <c r="DE293" s="285"/>
      <c r="DF293" s="285"/>
      <c r="DG293" s="5810"/>
      <c r="DH293" s="285"/>
      <c r="DI293" s="285">
        <f t="shared" si="1166"/>
        <v>3.0519157405871633E-2</v>
      </c>
      <c r="DJ293" s="285">
        <f t="shared" si="1166"/>
        <v>5.4884918718815401E-2</v>
      </c>
      <c r="DK293" s="285">
        <f t="shared" si="1166"/>
        <v>0.10192249008239251</v>
      </c>
      <c r="DL293" s="5810"/>
      <c r="DM293" s="285">
        <f>DM276/DK276-1</f>
        <v>-5.566325117695925E-2</v>
      </c>
      <c r="DN293" s="285">
        <f t="shared" si="1167"/>
        <v>8.0645161290322509E-3</v>
      </c>
      <c r="DO293" s="285">
        <f t="shared" si="1167"/>
        <v>-2.7636363636364125E-3</v>
      </c>
      <c r="DP293" s="285">
        <f t="shared" si="1167"/>
        <v>2.421236872812127E-2</v>
      </c>
      <c r="DQ293" s="5810"/>
      <c r="DR293" s="285">
        <f>DR276/DP276-1</f>
        <v>6.5935630874394802E-2</v>
      </c>
      <c r="DS293" s="285">
        <f t="shared" si="1168"/>
        <v>2.5384101536406245E-2</v>
      </c>
      <c r="DT293" s="285">
        <f t="shared" si="1168"/>
        <v>2.4755700325733709E-3</v>
      </c>
      <c r="DU293" s="285">
        <f t="shared" si="1168"/>
        <v>0.13179100597868465</v>
      </c>
      <c r="DV293" s="5810"/>
      <c r="DW293" s="285">
        <f>DW276/DU276-1</f>
        <v>4.7197978870004542E-2</v>
      </c>
      <c r="DX293" s="285">
        <f t="shared" si="1169"/>
        <v>7.9175348174141957E-2</v>
      </c>
      <c r="DY293" s="285">
        <f t="shared" si="1169"/>
        <v>4.3897977847779712E-2</v>
      </c>
      <c r="DZ293" s="285">
        <f t="shared" si="1169"/>
        <v>-5.8405529056748673E-4</v>
      </c>
      <c r="EA293" s="5810"/>
      <c r="EB293" s="285">
        <f>EB276/DZ276-1</f>
        <v>1.1590532774909956E-2</v>
      </c>
      <c r="EC293" s="285">
        <f t="shared" si="1170"/>
        <v>1.8390140573849356E-2</v>
      </c>
      <c r="ED293" s="285">
        <f t="shared" si="1171"/>
        <v>6.2305001418171413E-2</v>
      </c>
      <c r="EE293" s="285">
        <f t="shared" si="1172"/>
        <v>2.4385902456390163E-2</v>
      </c>
      <c r="EF293" s="5810"/>
      <c r="EG293" s="285">
        <f>EG276/EE276-1</f>
        <v>1.2684622067767215E-2</v>
      </c>
      <c r="EH293" s="285">
        <f t="shared" si="1173"/>
        <v>1.7501715854495448E-2</v>
      </c>
      <c r="EI293" s="285">
        <f t="shared" si="1173"/>
        <v>3.3642495784148352E-2</v>
      </c>
      <c r="EJ293" s="285">
        <f t="shared" si="1173"/>
        <v>6.1261114283383655E-2</v>
      </c>
      <c r="EK293" s="5810"/>
      <c r="EL293" s="285">
        <f>EL276/EJ276-1</f>
        <v>4.1967717140660943E-2</v>
      </c>
      <c r="EM293" s="285">
        <f t="shared" si="1174"/>
        <v>1.8589554440838096E-2</v>
      </c>
      <c r="EN293" s="285">
        <f t="shared" si="1175"/>
        <v>9.7262456546929332E-2</v>
      </c>
      <c r="EO293" s="285">
        <f t="shared" si="1176"/>
        <v>3.9009839876512409E-2</v>
      </c>
      <c r="EP293" s="5810"/>
      <c r="EQ293" s="285">
        <f>EQ276/EO276-1</f>
        <v>3.337773523536236E-2</v>
      </c>
      <c r="ER293" s="285">
        <f t="shared" si="1177"/>
        <v>1.6691798537048497E-2</v>
      </c>
      <c r="ES293" s="285">
        <f t="shared" si="1178"/>
        <v>8.6883148829676848E-2</v>
      </c>
      <c r="ET293" s="285">
        <f t="shared" si="1179"/>
        <v>3.6435734594377323E-2</v>
      </c>
      <c r="EU293" s="5810"/>
      <c r="EV293" s="5810"/>
      <c r="EW293" s="5810"/>
      <c r="EX293" s="5810"/>
      <c r="EY293" s="5810"/>
      <c r="EZ293" s="129"/>
    </row>
    <row r="294" spans="1:156" ht="11.25" hidden="1" customHeight="1" outlineLevel="1">
      <c r="A294" s="4905" t="str">
        <f>A286</f>
        <v>Sales &amp; marketing (excl. 1x items)</v>
      </c>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c r="AF294" s="35"/>
      <c r="AG294" s="35"/>
      <c r="AH294" s="35"/>
      <c r="AI294" s="35"/>
      <c r="AJ294" s="35"/>
      <c r="AK294" s="35"/>
      <c r="AL294" s="35"/>
      <c r="AM294" s="35"/>
      <c r="AN294" s="35"/>
      <c r="AO294" s="35"/>
      <c r="AP294" s="35"/>
      <c r="AQ294" s="35"/>
      <c r="AR294" s="35"/>
      <c r="AS294" s="35"/>
      <c r="AT294" s="32"/>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285"/>
      <c r="BU294" s="285"/>
      <c r="BV294" s="285"/>
      <c r="BW294" s="285"/>
      <c r="BX294" s="5810"/>
      <c r="BY294" s="35"/>
      <c r="BZ294" s="35"/>
      <c r="CA294" s="35"/>
      <c r="CB294" s="35"/>
      <c r="CC294" s="35"/>
      <c r="CD294" s="285"/>
      <c r="CE294" s="285"/>
      <c r="CF294" s="285"/>
      <c r="CG294" s="285"/>
      <c r="CH294" s="5810"/>
      <c r="CI294" s="285"/>
      <c r="CJ294" s="285"/>
      <c r="CK294" s="285"/>
      <c r="CL294" s="285"/>
      <c r="CM294" s="5810"/>
      <c r="CN294" s="285"/>
      <c r="CO294" s="285"/>
      <c r="CP294" s="285"/>
      <c r="CQ294" s="285"/>
      <c r="CR294" s="5810"/>
      <c r="CS294" s="285"/>
      <c r="CT294" s="285"/>
      <c r="CU294" s="285"/>
      <c r="CV294" s="285"/>
      <c r="CW294" s="5810"/>
      <c r="CX294" s="285"/>
      <c r="CY294" s="285"/>
      <c r="CZ294" s="285"/>
      <c r="DA294" s="285"/>
      <c r="DB294" s="5810"/>
      <c r="DC294" s="285"/>
      <c r="DD294" s="285"/>
      <c r="DE294" s="285"/>
      <c r="DF294" s="285"/>
      <c r="DG294" s="5810"/>
      <c r="DH294" s="285"/>
      <c r="DI294" s="285">
        <f t="shared" si="1166"/>
        <v>7.8617157490396883E-2</v>
      </c>
      <c r="DJ294" s="285">
        <f t="shared" si="1166"/>
        <v>9.4254510921177648E-2</v>
      </c>
      <c r="DK294" s="285">
        <f t="shared" si="1166"/>
        <v>0.24495552180516378</v>
      </c>
      <c r="DL294" s="5810"/>
      <c r="DM294" s="285">
        <f>DM277/DK277-1</f>
        <v>-0.21575461833391429</v>
      </c>
      <c r="DN294" s="285">
        <f t="shared" si="1167"/>
        <v>-0.13311111111111107</v>
      </c>
      <c r="DO294" s="285">
        <f t="shared" si="1167"/>
        <v>8.4593693924634783E-2</v>
      </c>
      <c r="DP294" s="285">
        <f t="shared" si="1167"/>
        <v>0.2559678562987473</v>
      </c>
      <c r="DQ294" s="5810"/>
      <c r="DR294" s="285">
        <f>DR277/DP277-1</f>
        <v>-0.15016936394429803</v>
      </c>
      <c r="DS294" s="285">
        <f t="shared" si="1168"/>
        <v>0.16829052258635957</v>
      </c>
      <c r="DT294" s="285">
        <f t="shared" si="1168"/>
        <v>4.5489006823351108E-2</v>
      </c>
      <c r="DU294" s="285">
        <f t="shared" si="1168"/>
        <v>0.37853517041334306</v>
      </c>
      <c r="DV294" s="5810"/>
      <c r="DW294" s="285">
        <f>DW277/DU277-1</f>
        <v>-0.23395581273014199</v>
      </c>
      <c r="DX294" s="285">
        <f t="shared" si="1169"/>
        <v>0.13819742489270381</v>
      </c>
      <c r="DY294" s="285">
        <f t="shared" si="1169"/>
        <v>4.5098039215686336E-2</v>
      </c>
      <c r="DZ294" s="285">
        <f t="shared" si="1169"/>
        <v>3.6657526338576885E-2</v>
      </c>
      <c r="EA294" s="5810"/>
      <c r="EB294" s="285">
        <f>EB277/DZ277-1</f>
        <v>-0.15731588472782965</v>
      </c>
      <c r="EC294" s="285">
        <f t="shared" si="1170"/>
        <v>0.11663637865521226</v>
      </c>
      <c r="ED294" s="285">
        <f t="shared" si="1171"/>
        <v>1.0948365142772642E-2</v>
      </c>
      <c r="EE294" s="285">
        <f t="shared" si="1172"/>
        <v>0.10024879262403052</v>
      </c>
      <c r="EF294" s="5810"/>
      <c r="EG294" s="285">
        <f>EG277/EE277-1</f>
        <v>-0.17411545623836122</v>
      </c>
      <c r="EH294" s="285">
        <f t="shared" si="1173"/>
        <v>9.389595748107582E-2</v>
      </c>
      <c r="EI294" s="285">
        <f t="shared" si="1173"/>
        <v>4.7785026124248731E-2</v>
      </c>
      <c r="EJ294" s="285">
        <f t="shared" si="1173"/>
        <v>1.7301381558803008E-2</v>
      </c>
      <c r="EK294" s="5810"/>
      <c r="EL294" s="285">
        <f>EL277/EJ277-1</f>
        <v>-0.14747638429576748</v>
      </c>
      <c r="EM294" s="285">
        <f t="shared" si="1174"/>
        <v>0.15051847051198952</v>
      </c>
      <c r="EN294" s="285">
        <f t="shared" si="1175"/>
        <v>1.4645824531756002E-2</v>
      </c>
      <c r="EO294" s="285">
        <f t="shared" si="1176"/>
        <v>5.2471190935795109E-2</v>
      </c>
      <c r="EP294" s="5810"/>
      <c r="EQ294" s="285">
        <f>EQ277/EO277-1</f>
        <v>-0.14909480594862046</v>
      </c>
      <c r="ER294" s="285">
        <f t="shared" si="1177"/>
        <v>0.19916205873079118</v>
      </c>
      <c r="ES294" s="285">
        <f t="shared" si="1178"/>
        <v>-4.337401161385257E-3</v>
      </c>
      <c r="ET294" s="285">
        <f t="shared" si="1179"/>
        <v>4.0623353724051459E-2</v>
      </c>
      <c r="EU294" s="5810"/>
      <c r="EV294" s="5810"/>
      <c r="EW294" s="5810"/>
      <c r="EX294" s="5810"/>
      <c r="EY294" s="5810"/>
      <c r="EZ294" s="129"/>
    </row>
    <row r="295" spans="1:156" ht="11.25" hidden="1" customHeight="1" outlineLevel="1">
      <c r="A295" s="4905" t="str">
        <f>A287</f>
        <v>General &amp; administrative (excl. 1x items)</v>
      </c>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c r="AF295" s="35"/>
      <c r="AG295" s="35"/>
      <c r="AH295" s="35"/>
      <c r="AI295" s="35"/>
      <c r="AJ295" s="35"/>
      <c r="AK295" s="35"/>
      <c r="AL295" s="35"/>
      <c r="AM295" s="35"/>
      <c r="AN295" s="35"/>
      <c r="AO295" s="35"/>
      <c r="AP295" s="35"/>
      <c r="AQ295" s="35"/>
      <c r="AR295" s="35"/>
      <c r="AS295" s="35"/>
      <c r="AT295" s="32"/>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285"/>
      <c r="BU295" s="285"/>
      <c r="BV295" s="285"/>
      <c r="BW295" s="285"/>
      <c r="BX295" s="5810"/>
      <c r="BY295" s="35"/>
      <c r="BZ295" s="35"/>
      <c r="CA295" s="35"/>
      <c r="CB295" s="35"/>
      <c r="CC295" s="35"/>
      <c r="CD295" s="285"/>
      <c r="CE295" s="285"/>
      <c r="CF295" s="285"/>
      <c r="CG295" s="285"/>
      <c r="CH295" s="5810"/>
      <c r="CI295" s="285"/>
      <c r="CJ295" s="285"/>
      <c r="CK295" s="285"/>
      <c r="CL295" s="285"/>
      <c r="CM295" s="5810"/>
      <c r="CN295" s="285"/>
      <c r="CO295" s="285"/>
      <c r="CP295" s="285"/>
      <c r="CQ295" s="285"/>
      <c r="CR295" s="5810"/>
      <c r="CS295" s="285"/>
      <c r="CT295" s="285"/>
      <c r="CU295" s="285"/>
      <c r="CV295" s="285"/>
      <c r="CW295" s="5810"/>
      <c r="CX295" s="285"/>
      <c r="CY295" s="285"/>
      <c r="CZ295" s="285"/>
      <c r="DA295" s="285"/>
      <c r="DB295" s="5810"/>
      <c r="DC295" s="285"/>
      <c r="DD295" s="285"/>
      <c r="DE295" s="285"/>
      <c r="DF295" s="285"/>
      <c r="DG295" s="5810"/>
      <c r="DH295" s="285"/>
      <c r="DI295" s="285">
        <f t="shared" si="1166"/>
        <v>-2.155172413793105E-2</v>
      </c>
      <c r="DJ295" s="285">
        <f t="shared" si="1166"/>
        <v>-2.936857562408246E-3</v>
      </c>
      <c r="DK295" s="285">
        <f t="shared" si="1166"/>
        <v>0.3888070692194403</v>
      </c>
      <c r="DL295" s="5810"/>
      <c r="DM295" s="285">
        <f>DM278/DK278-1</f>
        <v>1.8027571580063517E-2</v>
      </c>
      <c r="DN295" s="285">
        <f t="shared" si="1167"/>
        <v>-0.10243055555555558</v>
      </c>
      <c r="DO295" s="285">
        <f t="shared" si="1167"/>
        <v>6.6150870406189499E-2</v>
      </c>
      <c r="DP295" s="285">
        <f t="shared" si="1167"/>
        <v>2.7213352685050873E-2</v>
      </c>
      <c r="DQ295" s="5810"/>
      <c r="DR295" s="285">
        <f>DR278/DP278-1</f>
        <v>-0.10385022960084778</v>
      </c>
      <c r="DS295" s="285">
        <f t="shared" si="1168"/>
        <v>3.1533307055577886E-3</v>
      </c>
      <c r="DT295" s="285">
        <f t="shared" si="1168"/>
        <v>0.155992141453831</v>
      </c>
      <c r="DU295" s="285">
        <f t="shared" si="1168"/>
        <v>0.28687967369136635</v>
      </c>
      <c r="DV295" s="5810"/>
      <c r="DW295" s="285">
        <f>DW278/DU278-1</f>
        <v>-0.10882197569994723</v>
      </c>
      <c r="DX295" s="285">
        <f t="shared" si="1169"/>
        <v>8.387670420865434E-2</v>
      </c>
      <c r="DY295" s="285">
        <f t="shared" si="1169"/>
        <v>4.5939294503691608E-2</v>
      </c>
      <c r="DZ295" s="285">
        <f t="shared" si="1169"/>
        <v>0.33228758169934647</v>
      </c>
      <c r="EA295" s="5810"/>
      <c r="EB295" s="285">
        <f>EB278/DZ278-1</f>
        <v>-0.32417582417582413</v>
      </c>
      <c r="EC295" s="285">
        <f t="shared" si="1170"/>
        <v>5.5168408826944404E-3</v>
      </c>
      <c r="ED295" s="285">
        <f t="shared" si="1171"/>
        <v>-2.2812590239676633E-2</v>
      </c>
      <c r="EE295" s="285">
        <f t="shared" si="1172"/>
        <v>0.49054373522458627</v>
      </c>
      <c r="EF295" s="5810"/>
      <c r="EG295" s="285">
        <f>EG278/EE278-1</f>
        <v>-0.41970658207771605</v>
      </c>
      <c r="EH295" s="285">
        <f t="shared" si="1173"/>
        <v>7.8920396310215191E-2</v>
      </c>
      <c r="EI295" s="285">
        <f t="shared" si="1173"/>
        <v>0.10739416378428412</v>
      </c>
      <c r="EJ295" s="285">
        <f t="shared" si="1173"/>
        <v>0.23653379479939063</v>
      </c>
      <c r="EK295" s="5810"/>
      <c r="EL295" s="285">
        <f>EL278/EJ278-1</f>
        <v>-0.24913485946276304</v>
      </c>
      <c r="EM295" s="285">
        <f t="shared" si="1174"/>
        <v>0.17308284570372656</v>
      </c>
      <c r="EN295" s="285">
        <f t="shared" si="1175"/>
        <v>3.3342084536623684E-2</v>
      </c>
      <c r="EO295" s="285">
        <f t="shared" si="1176"/>
        <v>0.24374743190192616</v>
      </c>
      <c r="EP295" s="5810"/>
      <c r="EQ295" s="285">
        <f>EQ278/EO278-1</f>
        <v>-0.2295794866894646</v>
      </c>
      <c r="ER295" s="285">
        <f t="shared" si="1177"/>
        <v>1.296686557545268E-2</v>
      </c>
      <c r="ES295" s="285">
        <f t="shared" si="1178"/>
        <v>6.2040105427855874E-2</v>
      </c>
      <c r="ET295" s="285">
        <f t="shared" si="1179"/>
        <v>0.28013926559029323</v>
      </c>
      <c r="EU295" s="5810"/>
      <c r="EV295" s="5810"/>
      <c r="EW295" s="5810"/>
      <c r="EX295" s="5810"/>
      <c r="EY295" s="5810"/>
      <c r="EZ295" s="129"/>
    </row>
    <row r="296" spans="1:156" ht="11.25" hidden="1" customHeight="1" outlineLevel="1">
      <c r="A296" s="4905" t="str">
        <f>A288</f>
        <v>Stock compensation expense (incl. above)</v>
      </c>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c r="AF296" s="35"/>
      <c r="AG296" s="35"/>
      <c r="AH296" s="35"/>
      <c r="AI296" s="35"/>
      <c r="AJ296" s="35"/>
      <c r="AK296" s="35"/>
      <c r="AL296" s="35"/>
      <c r="AM296" s="35"/>
      <c r="AN296" s="35"/>
      <c r="AO296" s="35"/>
      <c r="AP296" s="35"/>
      <c r="AQ296" s="35"/>
      <c r="AR296" s="35"/>
      <c r="AS296" s="35"/>
      <c r="AT296" s="32"/>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285"/>
      <c r="BU296" s="285"/>
      <c r="BV296" s="285"/>
      <c r="BW296" s="285"/>
      <c r="BX296" s="5810"/>
      <c r="BY296" s="35"/>
      <c r="BZ296" s="35"/>
      <c r="CA296" s="35"/>
      <c r="CB296" s="35"/>
      <c r="CC296" s="35"/>
      <c r="CD296" s="285"/>
      <c r="CE296" s="285"/>
      <c r="CF296" s="285"/>
      <c r="CG296" s="285"/>
      <c r="CH296" s="5810"/>
      <c r="CI296" s="285"/>
      <c r="CJ296" s="285"/>
      <c r="CK296" s="285"/>
      <c r="CL296" s="285"/>
      <c r="CM296" s="5810"/>
      <c r="CN296" s="285"/>
      <c r="CO296" s="285"/>
      <c r="CP296" s="285"/>
      <c r="CQ296" s="285"/>
      <c r="CR296" s="5810"/>
      <c r="CS296" s="285"/>
      <c r="CT296" s="285"/>
      <c r="CU296" s="285"/>
      <c r="CV296" s="285"/>
      <c r="CW296" s="5810"/>
      <c r="CX296" s="285"/>
      <c r="CY296" s="285"/>
      <c r="CZ296" s="285"/>
      <c r="DA296" s="285"/>
      <c r="DB296" s="5810"/>
      <c r="DC296" s="285"/>
      <c r="DD296" s="285"/>
      <c r="DE296" s="285"/>
      <c r="DF296" s="285"/>
      <c r="DG296" s="5810"/>
      <c r="DH296" s="285"/>
      <c r="DI296" s="285">
        <f>DI280/DH280-1</f>
        <v>-4.6948356807511304E-3</v>
      </c>
      <c r="DJ296" s="285">
        <f>DJ280/DI280-1</f>
        <v>-4.7895500725689377E-2</v>
      </c>
      <c r="DK296" s="285">
        <f>DK280/DJ280-1</f>
        <v>8.0030487804878536E-3</v>
      </c>
      <c r="DL296" s="5810"/>
      <c r="DM296" s="285">
        <f>DM280/DK280-1</f>
        <v>0.20642722117202261</v>
      </c>
      <c r="DN296" s="285">
        <f>DN280/DM280-1</f>
        <v>5.9855844562832994E-2</v>
      </c>
      <c r="DO296" s="285">
        <f>DO280/DN280-1</f>
        <v>-5.529272619751624E-2</v>
      </c>
      <c r="DP296" s="285">
        <f>DP280/DO280-1</f>
        <v>8.7636932707355619E-3</v>
      </c>
      <c r="DQ296" s="5810"/>
      <c r="DR296" s="285">
        <f>DR280/DP280-1</f>
        <v>0.16196090598820967</v>
      </c>
      <c r="DS296" s="285">
        <f>DS280/DR280-1</f>
        <v>1.5487316421895825E-2</v>
      </c>
      <c r="DT296" s="285">
        <f>DT280/DS280-1</f>
        <v>1.8669471469892285E-2</v>
      </c>
      <c r="DU296" s="285">
        <f>DU280/DT280-1</f>
        <v>2.065049044914824E-2</v>
      </c>
      <c r="DV296" s="5810"/>
      <c r="DW296" s="285">
        <f>DW280/DU280-1</f>
        <v>0.13909964592817392</v>
      </c>
      <c r="DX296" s="285">
        <f>DX280/DW280-1</f>
        <v>6.1722912966252208E-2</v>
      </c>
      <c r="DY296" s="285">
        <f>DY280/DX280-1</f>
        <v>4.0568799665412048E-2</v>
      </c>
      <c r="DZ296" s="285">
        <f>DZ280/DY280-1</f>
        <v>2.4919614147909996E-2</v>
      </c>
      <c r="EA296" s="5810"/>
      <c r="EB296" s="285">
        <f>EB280/DZ280-1</f>
        <v>-4.4705882352941151E-2</v>
      </c>
      <c r="EC296" s="285">
        <f>EC280/EB280-1</f>
        <v>0.18165024630541882</v>
      </c>
      <c r="ED296" s="285">
        <f>ED280/EC280-1</f>
        <v>-2.4318221295813736E-3</v>
      </c>
      <c r="EE296" s="285">
        <f>EE280/ED280-1</f>
        <v>-1.5148876893609664E-2</v>
      </c>
      <c r="EF296" s="5810"/>
      <c r="EG296" s="285">
        <f>EG280/EE280-1</f>
        <v>-6.9306930693069257E-2</v>
      </c>
      <c r="EH296" s="285">
        <f>EH280/EG280-1</f>
        <v>0.11417173252279644</v>
      </c>
      <c r="EI296" s="285">
        <f>EI280/EH280-1</f>
        <v>-3.2395566922420738E-3</v>
      </c>
      <c r="EJ296" s="285">
        <f>EJ280/EI280-1</f>
        <v>-6.1580567909681472E-3</v>
      </c>
      <c r="EK296" s="5810"/>
      <c r="EL296" s="285">
        <f>EL280/EJ280-1</f>
        <v>-5.0602409638554224E-2</v>
      </c>
      <c r="EM296" s="285">
        <f>EM280/EL280-1</f>
        <v>8.7382160986221979E-2</v>
      </c>
      <c r="EN296" s="285">
        <f>EN280/EM280-1</f>
        <v>6.1687229076358818E-2</v>
      </c>
      <c r="EO296" s="285">
        <f>EO280/EN280-1</f>
        <v>2.4997883577466906E-2</v>
      </c>
      <c r="EP296" s="5810"/>
      <c r="EQ296" s="285">
        <f>EQ280/EO280-1</f>
        <v>-1.1448377499132634E-2</v>
      </c>
      <c r="ER296" s="285">
        <f>ER280/EQ280-1</f>
        <v>0.10014531225409073</v>
      </c>
      <c r="ES296" s="285">
        <f>ES280/ER280-1</f>
        <v>5.3471242665447116E-2</v>
      </c>
      <c r="ET296" s="285">
        <f>ET280/ES280-1</f>
        <v>-3.4559737204910013E-3</v>
      </c>
      <c r="EU296" s="5810"/>
      <c r="EV296" s="5810"/>
      <c r="EW296" s="5810"/>
      <c r="EX296" s="5810"/>
      <c r="EY296" s="5810"/>
      <c r="EZ296" s="129"/>
    </row>
    <row r="297" spans="1:156" ht="11.25" hidden="1" customHeight="1" outlineLevel="1">
      <c r="A297" s="490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c r="AF297" s="35"/>
      <c r="AG297" s="35"/>
      <c r="AH297" s="35"/>
      <c r="AI297" s="35"/>
      <c r="AJ297" s="35"/>
      <c r="AK297" s="35"/>
      <c r="AL297" s="35"/>
      <c r="AM297" s="35"/>
      <c r="AN297" s="35"/>
      <c r="AO297" s="35"/>
      <c r="AP297" s="35"/>
      <c r="AQ297" s="35"/>
      <c r="AR297" s="35"/>
      <c r="AS297" s="35"/>
      <c r="AT297" s="32"/>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1"/>
      <c r="BU297" s="285"/>
      <c r="BV297" s="31"/>
      <c r="BW297" s="31"/>
      <c r="BX297" s="5810"/>
      <c r="BY297" s="35"/>
      <c r="BZ297" s="35"/>
      <c r="CA297" s="35"/>
      <c r="CB297" s="35"/>
      <c r="CC297" s="35"/>
      <c r="CD297" s="31"/>
      <c r="CE297" s="285"/>
      <c r="CF297" s="31"/>
      <c r="CG297" s="31"/>
      <c r="CH297" s="5810"/>
      <c r="CI297" s="31"/>
      <c r="CJ297" s="285"/>
      <c r="CK297" s="31"/>
      <c r="CL297" s="31"/>
      <c r="CM297" s="5810"/>
      <c r="CN297" s="31"/>
      <c r="CO297" s="285"/>
      <c r="CP297" s="31"/>
      <c r="CQ297" s="31"/>
      <c r="CR297" s="5810"/>
      <c r="CS297" s="31"/>
      <c r="CT297" s="285"/>
      <c r="CU297" s="31"/>
      <c r="CV297" s="31"/>
      <c r="CW297" s="5810"/>
      <c r="CX297" s="31"/>
      <c r="CY297" s="285"/>
      <c r="CZ297" s="31"/>
      <c r="DA297" s="31"/>
      <c r="DB297" s="5810"/>
      <c r="DC297" s="31"/>
      <c r="DD297" s="285"/>
      <c r="DE297" s="31"/>
      <c r="DF297" s="31"/>
      <c r="DG297" s="5810"/>
      <c r="DH297" s="31"/>
      <c r="DI297" s="285"/>
      <c r="DJ297" s="31"/>
      <c r="DK297" s="31"/>
      <c r="DL297" s="5810"/>
      <c r="DM297" s="31"/>
      <c r="DN297" s="285"/>
      <c r="DO297" s="31"/>
      <c r="DP297" s="31"/>
      <c r="DQ297" s="5810"/>
      <c r="DR297" s="31"/>
      <c r="DS297" s="285"/>
      <c r="DT297" s="31"/>
      <c r="DU297" s="31"/>
      <c r="DV297" s="5810"/>
      <c r="DW297" s="31"/>
      <c r="DX297" s="285"/>
      <c r="DY297" s="31"/>
      <c r="DZ297" s="31"/>
      <c r="EA297" s="5810"/>
      <c r="EB297" s="31"/>
      <c r="EC297" s="31"/>
      <c r="ED297" s="31"/>
      <c r="EE297" s="31"/>
      <c r="EF297" s="5810"/>
      <c r="EG297" s="31"/>
      <c r="EH297" s="285"/>
      <c r="EI297" s="31"/>
      <c r="EJ297" s="31"/>
      <c r="EK297" s="5810"/>
      <c r="EL297" s="31"/>
      <c r="EM297" s="31"/>
      <c r="EN297" s="31"/>
      <c r="EO297" s="31"/>
      <c r="EP297" s="5810"/>
      <c r="EQ297" s="31"/>
      <c r="ER297" s="31"/>
      <c r="ES297" s="31"/>
      <c r="ET297" s="31"/>
      <c r="EU297" s="5810"/>
      <c r="EV297" s="5810"/>
      <c r="EW297" s="5810"/>
      <c r="EX297" s="5810"/>
      <c r="EY297" s="5810"/>
      <c r="EZ297" s="129"/>
    </row>
    <row r="298" spans="1:156" ht="11.25" hidden="1" customHeight="1" outlineLevel="1">
      <c r="A298" s="5907" t="s">
        <v>1054</v>
      </c>
      <c r="B298" s="5870"/>
      <c r="C298" s="5870"/>
      <c r="D298" s="5870"/>
      <c r="E298" s="5870"/>
      <c r="F298" s="5870"/>
      <c r="G298" s="5870"/>
      <c r="H298" s="5870"/>
      <c r="I298" s="5870"/>
      <c r="J298" s="5870"/>
      <c r="K298" s="5870"/>
      <c r="L298" s="5870"/>
      <c r="M298" s="5870"/>
      <c r="N298" s="5870"/>
      <c r="O298" s="5870"/>
      <c r="P298" s="5870"/>
      <c r="Q298" s="5870"/>
      <c r="R298" s="5870"/>
      <c r="S298" s="5870"/>
      <c r="T298" s="5870"/>
      <c r="U298" s="5870"/>
      <c r="V298" s="5870"/>
      <c r="W298" s="5870"/>
      <c r="X298" s="5870"/>
      <c r="Y298" s="5870"/>
      <c r="Z298" s="5870"/>
      <c r="AA298" s="5870"/>
      <c r="AB298" s="5870"/>
      <c r="AC298" s="5870"/>
      <c r="AD298" s="5870"/>
      <c r="AE298" s="5870"/>
      <c r="AF298" s="5870"/>
      <c r="AG298" s="5870"/>
      <c r="AH298" s="5870"/>
      <c r="AI298" s="5870"/>
      <c r="AJ298" s="5870"/>
      <c r="AK298" s="5870"/>
      <c r="AL298" s="5870"/>
      <c r="AM298" s="5870"/>
      <c r="AN298" s="5870"/>
      <c r="AO298" s="5870"/>
      <c r="AP298" s="5870"/>
      <c r="AQ298" s="5870"/>
      <c r="AR298" s="5870"/>
      <c r="AS298" s="5870"/>
      <c r="AT298" s="5871"/>
      <c r="AU298" s="5870"/>
      <c r="AV298" s="5870"/>
      <c r="AW298" s="5870"/>
      <c r="AX298" s="5870"/>
      <c r="AY298" s="5870"/>
      <c r="AZ298" s="5870"/>
      <c r="BA298" s="5870"/>
      <c r="BB298" s="5870"/>
      <c r="BC298" s="5870"/>
      <c r="BD298" s="5870"/>
      <c r="BE298" s="5870"/>
      <c r="BF298" s="5870"/>
      <c r="BG298" s="5870"/>
      <c r="BH298" s="5870"/>
      <c r="BI298" s="5870"/>
      <c r="BJ298" s="5870"/>
      <c r="BK298" s="5870"/>
      <c r="BL298" s="5870"/>
      <c r="BM298" s="5870"/>
      <c r="BN298" s="5870"/>
      <c r="BO298" s="5870"/>
      <c r="BP298" s="5870"/>
      <c r="BQ298" s="5870"/>
      <c r="BR298" s="5870"/>
      <c r="BS298" s="5870"/>
      <c r="BT298" s="5737"/>
      <c r="BU298" s="5737"/>
      <c r="BV298" s="5737"/>
      <c r="BW298" s="5737"/>
      <c r="BX298" s="5814"/>
      <c r="BY298" s="5870"/>
      <c r="BZ298" s="5870"/>
      <c r="CA298" s="5870"/>
      <c r="CB298" s="5870"/>
      <c r="CC298" s="5870"/>
      <c r="CD298" s="5737"/>
      <c r="CE298" s="5737"/>
      <c r="CF298" s="5737"/>
      <c r="CG298" s="5737"/>
      <c r="CH298" s="5814"/>
      <c r="CI298" s="5737"/>
      <c r="CJ298" s="5737"/>
      <c r="CK298" s="5737"/>
      <c r="CL298" s="5737"/>
      <c r="CM298" s="5814"/>
      <c r="CN298" s="5737"/>
      <c r="CO298" s="5737"/>
      <c r="CP298" s="5737"/>
      <c r="CQ298" s="5737"/>
      <c r="CR298" s="5814"/>
      <c r="CS298" s="5737"/>
      <c r="CT298" s="5737"/>
      <c r="CU298" s="5737"/>
      <c r="CV298" s="5737"/>
      <c r="CW298" s="5814"/>
      <c r="CX298" s="5737"/>
      <c r="CY298" s="5737"/>
      <c r="CZ298" s="5737"/>
      <c r="DA298" s="5737"/>
      <c r="DB298" s="5814"/>
      <c r="DC298" s="5737"/>
      <c r="DD298" s="5737"/>
      <c r="DE298" s="5737"/>
      <c r="DF298" s="5737"/>
      <c r="DG298" s="5814"/>
      <c r="DH298" s="5737"/>
      <c r="DI298" s="5737"/>
      <c r="DJ298" s="5737"/>
      <c r="DK298" s="5737"/>
      <c r="DL298" s="5814"/>
      <c r="DM298" s="5737"/>
      <c r="DN298" s="5737"/>
      <c r="DO298" s="5737"/>
      <c r="DP298" s="5737"/>
      <c r="DQ298" s="5814"/>
      <c r="DR298" s="5737"/>
      <c r="DS298" s="5737"/>
      <c r="DT298" s="5737"/>
      <c r="DU298" s="5737"/>
      <c r="DV298" s="5814"/>
      <c r="DW298" s="5737"/>
      <c r="DX298" s="5737"/>
      <c r="DY298" s="5737"/>
      <c r="DZ298" s="5737"/>
      <c r="EA298" s="5814"/>
      <c r="EB298" s="5782"/>
      <c r="EC298" s="5782"/>
      <c r="ED298" s="5737"/>
      <c r="EE298" s="5737"/>
      <c r="EF298" s="5814"/>
      <c r="EG298" s="5737"/>
      <c r="EH298" s="5737"/>
      <c r="EI298" s="5737"/>
      <c r="EJ298" s="5737"/>
      <c r="EK298" s="5814"/>
      <c r="EL298" s="5737"/>
      <c r="EM298" s="5737"/>
      <c r="EN298" s="5737"/>
      <c r="EO298" s="5737"/>
      <c r="EP298" s="5814"/>
      <c r="EQ298" s="5737"/>
      <c r="ER298" s="5737"/>
      <c r="ES298" s="5737"/>
      <c r="ET298" s="5737"/>
      <c r="EU298" s="5814"/>
      <c r="EV298" s="5814"/>
      <c r="EW298" s="5814"/>
      <c r="EX298" s="5814"/>
      <c r="EY298" s="5814"/>
      <c r="EZ298" s="129"/>
    </row>
    <row r="299" spans="1:156" ht="11.25" hidden="1" customHeight="1" outlineLevel="1">
      <c r="A299" s="4905" t="str">
        <f>A275</f>
        <v>Other cost of revenues (excl. 1x items)</v>
      </c>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c r="AF299" s="35"/>
      <c r="AG299" s="35"/>
      <c r="AH299" s="35"/>
      <c r="AI299" s="35"/>
      <c r="AJ299" s="35"/>
      <c r="AK299" s="35"/>
      <c r="AL299" s="35"/>
      <c r="AM299" s="35"/>
      <c r="AN299" s="35"/>
      <c r="AO299" s="35"/>
      <c r="AP299" s="35"/>
      <c r="AQ299" s="35"/>
      <c r="AR299" s="35"/>
      <c r="AS299" s="35"/>
      <c r="AT299" s="32"/>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285"/>
      <c r="BU299" s="285"/>
      <c r="BV299" s="285"/>
      <c r="BW299" s="285"/>
      <c r="BX299" s="5815"/>
      <c r="BY299" s="35"/>
      <c r="BZ299" s="35"/>
      <c r="CA299" s="35"/>
      <c r="CB299" s="35"/>
      <c r="CC299" s="35"/>
      <c r="CD299" s="285"/>
      <c r="CE299" s="285"/>
      <c r="CF299" s="285"/>
      <c r="CG299" s="285"/>
      <c r="CH299" s="5815"/>
      <c r="CI299" s="285"/>
      <c r="CJ299" s="285"/>
      <c r="CK299" s="285"/>
      <c r="CL299" s="285"/>
      <c r="CM299" s="5815"/>
      <c r="CN299" s="285"/>
      <c r="CO299" s="285"/>
      <c r="CP299" s="285"/>
      <c r="CQ299" s="285"/>
      <c r="CR299" s="5815"/>
      <c r="CS299" s="285"/>
      <c r="CT299" s="285"/>
      <c r="CU299" s="285"/>
      <c r="CV299" s="285"/>
      <c r="CW299" s="5815"/>
      <c r="CX299" s="285"/>
      <c r="CY299" s="285"/>
      <c r="CZ299" s="285"/>
      <c r="DA299" s="285"/>
      <c r="DB299" s="5815"/>
      <c r="DC299" s="285"/>
      <c r="DD299" s="285"/>
      <c r="DE299" s="285"/>
      <c r="DF299" s="285"/>
      <c r="DG299" s="5815"/>
      <c r="DH299" s="285">
        <f t="shared" ref="DH299:EW299" si="1180">DH275/DH$7</f>
        <v>0.25185062880101267</v>
      </c>
      <c r="DI299" s="285">
        <f t="shared" si="1180"/>
        <v>0.2582682826622843</v>
      </c>
      <c r="DJ299" s="285">
        <f t="shared" si="1180"/>
        <v>0.24884565050988913</v>
      </c>
      <c r="DK299" s="285">
        <f t="shared" si="1180"/>
        <v>0.27170916983179599</v>
      </c>
      <c r="DL299" s="5815">
        <f t="shared" si="1180"/>
        <v>0.2582959031737892</v>
      </c>
      <c r="DM299" s="285">
        <f t="shared" si="1180"/>
        <v>0.2801331422046211</v>
      </c>
      <c r="DN299" s="285">
        <f t="shared" si="1180"/>
        <v>0.30965872000417788</v>
      </c>
      <c r="DO299" s="285">
        <f t="shared" si="1180"/>
        <v>0.28048859723214864</v>
      </c>
      <c r="DP299" s="285">
        <f t="shared" si="1180"/>
        <v>0.2744208935287708</v>
      </c>
      <c r="DQ299" s="5815">
        <f t="shared" si="1180"/>
        <v>0.28463734132484508</v>
      </c>
      <c r="DR299" s="285">
        <f t="shared" si="1180"/>
        <v>0.26016921575008134</v>
      </c>
      <c r="DS299" s="285">
        <f t="shared" si="1180"/>
        <v>0.24722042663219135</v>
      </c>
      <c r="DT299" s="285">
        <f t="shared" si="1180"/>
        <v>0.24759667065941829</v>
      </c>
      <c r="DU299" s="285">
        <f t="shared" si="1180"/>
        <v>0.25968801858612678</v>
      </c>
      <c r="DV299" s="5815">
        <f t="shared" si="1180"/>
        <v>0.25374072823391053</v>
      </c>
      <c r="DW299" s="285">
        <f t="shared" si="1180"/>
        <v>0.25891399920601077</v>
      </c>
      <c r="DX299" s="285">
        <f t="shared" si="1180"/>
        <v>0.25672669871564902</v>
      </c>
      <c r="DY299" s="285">
        <f t="shared" si="1180"/>
        <v>0.27980084524981186</v>
      </c>
      <c r="DZ299" s="285">
        <f t="shared" si="1180"/>
        <v>0.29477435304018512</v>
      </c>
      <c r="EA299" s="5815">
        <f t="shared" si="1180"/>
        <v>0.27311940488480957</v>
      </c>
      <c r="EB299" s="285">
        <f t="shared" si="1180"/>
        <v>0.26093685070285294</v>
      </c>
      <c r="EC299" s="285">
        <f t="shared" si="1180"/>
        <v>0.25950351187603882</v>
      </c>
      <c r="ED299" s="285">
        <f t="shared" si="1180"/>
        <v>0.2681339887603823</v>
      </c>
      <c r="EE299" s="285">
        <f t="shared" si="1180"/>
        <v>0.27055961070559609</v>
      </c>
      <c r="EF299" s="5815">
        <f t="shared" si="1180"/>
        <v>0.26508650136307149</v>
      </c>
      <c r="EG299" s="285">
        <f t="shared" si="1180"/>
        <v>0.25593811693713603</v>
      </c>
      <c r="EH299" s="285">
        <f t="shared" si="1180"/>
        <v>0.26102758962497935</v>
      </c>
      <c r="EI299" s="285">
        <f t="shared" si="1180"/>
        <v>0.25545263666711987</v>
      </c>
      <c r="EJ299" s="285">
        <f t="shared" si="1180"/>
        <v>0.26548396626828807</v>
      </c>
      <c r="EK299" s="5815">
        <f t="shared" si="1180"/>
        <v>0.25967883387502588</v>
      </c>
      <c r="EL299" s="285">
        <f t="shared" ref="EL299:EP299" si="1181">EL275/EL$7</f>
        <v>0.25060398519405103</v>
      </c>
      <c r="EM299" s="285">
        <f t="shared" si="1181"/>
        <v>0.25235408802422532</v>
      </c>
      <c r="EN299" s="285">
        <f t="shared" si="1181"/>
        <v>0.25885720985676042</v>
      </c>
      <c r="EO299" s="285">
        <f t="shared" si="1181"/>
        <v>0.27108420020523161</v>
      </c>
      <c r="EP299" s="5815">
        <f t="shared" si="1181"/>
        <v>0.25885878078025981</v>
      </c>
      <c r="EQ299" s="285">
        <f t="shared" ref="EQ299:EU299" si="1182">EQ275/EQ$7</f>
        <v>0.25642176348352924</v>
      </c>
      <c r="ER299" s="285">
        <f t="shared" si="1182"/>
        <v>0.26367048701719453</v>
      </c>
      <c r="ES299" s="285">
        <f t="shared" si="1182"/>
        <v>0.2764804805132452</v>
      </c>
      <c r="ET299" s="285">
        <f t="shared" si="1182"/>
        <v>0.28731648742160654</v>
      </c>
      <c r="EU299" s="5815">
        <f t="shared" si="1182"/>
        <v>0.27186490961777016</v>
      </c>
      <c r="EV299" s="5815">
        <f t="shared" si="1180"/>
        <v>0.28895627798771417</v>
      </c>
      <c r="EW299" s="5815">
        <f t="shared" si="1180"/>
        <v>0.29684650785847694</v>
      </c>
      <c r="EX299" s="5815">
        <f t="shared" ref="EX299:EY299" si="1183">EX275/EX$7</f>
        <v>0.30024261776865258</v>
      </c>
      <c r="EY299" s="5815">
        <f t="shared" si="1183"/>
        <v>0.30084217831512089</v>
      </c>
      <c r="EZ299" s="129"/>
    </row>
    <row r="300" spans="1:156" ht="11.25" hidden="1" customHeight="1" outlineLevel="2">
      <c r="A300" s="5894" t="s">
        <v>734</v>
      </c>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c r="AF300" s="35"/>
      <c r="AG300" s="35"/>
      <c r="AH300" s="35"/>
      <c r="AI300" s="35"/>
      <c r="AJ300" s="35"/>
      <c r="AK300" s="35"/>
      <c r="AL300" s="35"/>
      <c r="AM300" s="35"/>
      <c r="AN300" s="35"/>
      <c r="AO300" s="35"/>
      <c r="AP300" s="35"/>
      <c r="AQ300" s="35"/>
      <c r="AR300" s="35"/>
      <c r="AS300" s="35"/>
      <c r="AT300" s="32"/>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5812"/>
      <c r="BU300" s="5812"/>
      <c r="BV300" s="5812"/>
      <c r="BW300" s="5812"/>
      <c r="BX300" s="5816"/>
      <c r="BY300" s="35"/>
      <c r="BZ300" s="35"/>
      <c r="CA300" s="35"/>
      <c r="CB300" s="35"/>
      <c r="CC300" s="35"/>
      <c r="CD300" s="5812"/>
      <c r="CE300" s="5812"/>
      <c r="CF300" s="5812"/>
      <c r="CG300" s="5812"/>
      <c r="CH300" s="5816"/>
      <c r="CI300" s="5812"/>
      <c r="CJ300" s="5812"/>
      <c r="CK300" s="5812"/>
      <c r="CL300" s="5812"/>
      <c r="CM300" s="5816"/>
      <c r="CN300" s="5812"/>
      <c r="CO300" s="5812"/>
      <c r="CP300" s="5812"/>
      <c r="CQ300" s="5812"/>
      <c r="CR300" s="5816"/>
      <c r="CS300" s="5812"/>
      <c r="CT300" s="5812"/>
      <c r="CU300" s="5812"/>
      <c r="CV300" s="5812"/>
      <c r="CW300" s="5816"/>
      <c r="CX300" s="5812"/>
      <c r="CY300" s="5812"/>
      <c r="CZ300" s="5812"/>
      <c r="DA300" s="5812"/>
      <c r="DB300" s="5816"/>
      <c r="DC300" s="5812"/>
      <c r="DD300" s="5812"/>
      <c r="DE300" s="5812"/>
      <c r="DF300" s="5812"/>
      <c r="DG300" s="5816"/>
      <c r="DH300" s="5812">
        <f t="shared" ref="DH300" si="1184">(DH299-DC299)*10000</f>
        <v>2518.5062880101268</v>
      </c>
      <c r="DI300" s="5812">
        <f t="shared" ref="DI300" si="1185">(DI299-DD299)*10000</f>
        <v>2582.6828266228431</v>
      </c>
      <c r="DJ300" s="5812">
        <f t="shared" ref="DJ300" si="1186">(DJ299-DE299)*10000</f>
        <v>2488.4565050988913</v>
      </c>
      <c r="DK300" s="5812">
        <f t="shared" ref="DK300" si="1187">(DK299-DF299)*10000</f>
        <v>2717.09169831796</v>
      </c>
      <c r="DL300" s="5816">
        <f t="shared" ref="DL300" si="1188">(DL299-DG299)*10000</f>
        <v>2582.959031737892</v>
      </c>
      <c r="DM300" s="5812">
        <f t="shared" ref="DM300" si="1189">(DM299-DH299)*10000</f>
        <v>282.82513403608436</v>
      </c>
      <c r="DN300" s="5812">
        <f t="shared" ref="DN300" si="1190">(DN299-DI299)*10000</f>
        <v>513.90437341893585</v>
      </c>
      <c r="DO300" s="5812">
        <f t="shared" ref="DO300" si="1191">(DO299-DJ299)*10000</f>
        <v>316.42946722259506</v>
      </c>
      <c r="DP300" s="5812">
        <f t="shared" ref="DP300" si="1192">(DP299-DK299)*10000</f>
        <v>27.117236969748106</v>
      </c>
      <c r="DQ300" s="5816">
        <f t="shared" ref="DQ300" si="1193">(DQ299-DL299)*10000</f>
        <v>263.41438151055883</v>
      </c>
      <c r="DR300" s="5812">
        <f t="shared" ref="DR300" si="1194">(DR299-DM299)*10000</f>
        <v>-199.63926454539759</v>
      </c>
      <c r="DS300" s="5812">
        <f t="shared" ref="DS300" si="1195">(DS299-DN299)*10000</f>
        <v>-624.38293371986526</v>
      </c>
      <c r="DT300" s="5812">
        <f t="shared" ref="DT300" si="1196">(DT299-DO299)*10000</f>
        <v>-328.91926572730353</v>
      </c>
      <c r="DU300" s="5812">
        <f t="shared" ref="DU300" si="1197">(DU299-DP299)*10000</f>
        <v>-147.32874942644025</v>
      </c>
      <c r="DV300" s="5816">
        <f t="shared" ref="DV300" si="1198">(DV299-DQ299)*10000</f>
        <v>-308.96613090934557</v>
      </c>
      <c r="DW300" s="5812">
        <f t="shared" ref="DW300" si="1199">(DW299-DR299)*10000</f>
        <v>-12.552165440705698</v>
      </c>
      <c r="DX300" s="5812">
        <f t="shared" ref="DX300" si="1200">(DX299-DS299)*10000</f>
        <v>95.06272083457668</v>
      </c>
      <c r="DY300" s="5812">
        <f t="shared" ref="DY300" si="1201">(DY299-DT299)*10000</f>
        <v>322.04174590393569</v>
      </c>
      <c r="DZ300" s="5812">
        <f t="shared" ref="DZ300" si="1202">(DZ299-DU299)*10000</f>
        <v>350.86334454058346</v>
      </c>
      <c r="EA300" s="5816">
        <f t="shared" ref="EA300" si="1203">(EA299-DV299)*10000</f>
        <v>193.78676650899041</v>
      </c>
      <c r="EB300" s="5812">
        <f t="shared" ref="EB300" si="1204">(EB299-DW299)*10000</f>
        <v>20.228514968421706</v>
      </c>
      <c r="EC300" s="5812">
        <f t="shared" ref="EC300" si="1205">(EC299-DX299)*10000</f>
        <v>27.768131603898016</v>
      </c>
      <c r="ED300" s="5812">
        <f t="shared" ref="ED300" si="1206">(ED299-DY299)*10000</f>
        <v>-116.66856489429556</v>
      </c>
      <c r="EE300" s="5812">
        <f t="shared" ref="EE300" si="1207">(EE299-DZ299)*10000</f>
        <v>-242.14742334589033</v>
      </c>
      <c r="EF300" s="5816">
        <f t="shared" ref="EF300:EK300" si="1208">(EF299-EA299)*10000</f>
        <v>-80.329035217380778</v>
      </c>
      <c r="EG300" s="5812">
        <f t="shared" si="1208"/>
        <v>-49.987337657169121</v>
      </c>
      <c r="EH300" s="5812">
        <f t="shared" si="1208"/>
        <v>15.240777489405332</v>
      </c>
      <c r="EI300" s="5812">
        <f t="shared" si="1208"/>
        <v>-126.81352093262433</v>
      </c>
      <c r="EJ300" s="5812">
        <f t="shared" si="1208"/>
        <v>-50.756444373080136</v>
      </c>
      <c r="EK300" s="5816">
        <f t="shared" si="1208"/>
        <v>-54.076674880456089</v>
      </c>
      <c r="EL300" s="5812">
        <f t="shared" ref="EL300" si="1209">(EL299-EG299)*10000</f>
        <v>-53.341317430850019</v>
      </c>
      <c r="EM300" s="5812">
        <f t="shared" ref="EM300" si="1210">(EM299-EH299)*10000</f>
        <v>-86.735016007540295</v>
      </c>
      <c r="EN300" s="5812">
        <f t="shared" ref="EN300" si="1211">(EN299-EI299)*10000</f>
        <v>34.045731896405471</v>
      </c>
      <c r="EO300" s="5812">
        <f t="shared" ref="EO300:EP300" si="1212">(EO299-EJ299)*10000</f>
        <v>56.002339369435326</v>
      </c>
      <c r="EP300" s="5816">
        <f t="shared" si="1212"/>
        <v>-8.2005309476607113</v>
      </c>
      <c r="EQ300" s="5812">
        <f t="shared" ref="EQ300" si="1213">(EQ299-EL299)*10000</f>
        <v>58.177782894782148</v>
      </c>
      <c r="ER300" s="5812">
        <f t="shared" ref="ER300" si="1214">(ER299-EM299)*10000</f>
        <v>113.16398992969212</v>
      </c>
      <c r="ES300" s="5812">
        <f t="shared" ref="ES300" si="1215">(ES299-EN299)*10000</f>
        <v>176.2327065648478</v>
      </c>
      <c r="ET300" s="5812">
        <f t="shared" ref="ET300:EU300" si="1216">(ET299-EO299)*10000</f>
        <v>162.32287216374931</v>
      </c>
      <c r="EU300" s="5816">
        <f t="shared" si="1216"/>
        <v>130.06128837510346</v>
      </c>
      <c r="EV300" s="5816">
        <f>(EV299-EU299)*10000</f>
        <v>170.91368369944016</v>
      </c>
      <c r="EW300" s="5816">
        <f>(EW299-EV299)*10000</f>
        <v>78.902298707627665</v>
      </c>
      <c r="EX300" s="5816">
        <f>(EX299-EW299)*10000</f>
        <v>33.961099101756375</v>
      </c>
      <c r="EY300" s="5816">
        <f>(EY299-EX299)*10000</f>
        <v>5.9956054646831403</v>
      </c>
      <c r="EZ300" s="129"/>
    </row>
    <row r="301" spans="1:156" ht="11.25" hidden="1" customHeight="1" outlineLevel="1">
      <c r="A301" s="4905" t="str">
        <f>A276</f>
        <v>Research &amp; development (excl. 1x items)</v>
      </c>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c r="AF301" s="35"/>
      <c r="AG301" s="35"/>
      <c r="AH301" s="35"/>
      <c r="AI301" s="35"/>
      <c r="AJ301" s="35"/>
      <c r="AK301" s="35"/>
      <c r="AL301" s="35"/>
      <c r="AM301" s="35"/>
      <c r="AN301" s="35"/>
      <c r="AO301" s="35"/>
      <c r="AP301" s="35"/>
      <c r="AQ301" s="35"/>
      <c r="AR301" s="35"/>
      <c r="AS301" s="35"/>
      <c r="AT301" s="32"/>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285"/>
      <c r="BU301" s="285"/>
      <c r="BV301" s="285"/>
      <c r="BW301" s="285"/>
      <c r="BX301" s="5815"/>
      <c r="BY301" s="35"/>
      <c r="BZ301" s="35"/>
      <c r="CA301" s="35"/>
      <c r="CB301" s="35"/>
      <c r="CC301" s="35"/>
      <c r="CD301" s="285"/>
      <c r="CE301" s="285"/>
      <c r="CF301" s="285"/>
      <c r="CG301" s="285"/>
      <c r="CH301" s="5815"/>
      <c r="CI301" s="285"/>
      <c r="CJ301" s="285"/>
      <c r="CK301" s="285"/>
      <c r="CL301" s="285"/>
      <c r="CM301" s="5815"/>
      <c r="CN301" s="285"/>
      <c r="CO301" s="285"/>
      <c r="CP301" s="285"/>
      <c r="CQ301" s="285"/>
      <c r="CR301" s="5815"/>
      <c r="CS301" s="285"/>
      <c r="CT301" s="285"/>
      <c r="CU301" s="285"/>
      <c r="CV301" s="285"/>
      <c r="CW301" s="5815"/>
      <c r="CX301" s="285"/>
      <c r="CY301" s="285"/>
      <c r="CZ301" s="285"/>
      <c r="DA301" s="285"/>
      <c r="DB301" s="5815"/>
      <c r="DC301" s="285"/>
      <c r="DD301" s="285"/>
      <c r="DE301" s="285"/>
      <c r="DF301" s="285"/>
      <c r="DG301" s="5815"/>
      <c r="DH301" s="285">
        <f t="shared" ref="DH301:EW301" si="1217">DH276/DH$7</f>
        <v>0.16590990395993285</v>
      </c>
      <c r="DI301" s="285">
        <f t="shared" si="1217"/>
        <v>0.15953677074774034</v>
      </c>
      <c r="DJ301" s="285">
        <f t="shared" si="1217"/>
        <v>0.16183115632484751</v>
      </c>
      <c r="DK301" s="285">
        <f t="shared" si="1217"/>
        <v>0.15674443841562669</v>
      </c>
      <c r="DL301" s="5815">
        <f t="shared" si="1217"/>
        <v>0.16074683208016954</v>
      </c>
      <c r="DM301" s="285">
        <f t="shared" si="1217"/>
        <v>0.16569887509414707</v>
      </c>
      <c r="DN301" s="285">
        <f t="shared" si="1217"/>
        <v>0.17951797790949683</v>
      </c>
      <c r="DO301" s="285">
        <f t="shared" si="1217"/>
        <v>0.14848504537283694</v>
      </c>
      <c r="DP301" s="285">
        <f t="shared" si="1217"/>
        <v>0.12341382825406869</v>
      </c>
      <c r="DQ301" s="5815">
        <f t="shared" si="1217"/>
        <v>0.15106258252203783</v>
      </c>
      <c r="DR301" s="285">
        <f t="shared" si="1217"/>
        <v>0.13531836424774921</v>
      </c>
      <c r="DS301" s="285">
        <f t="shared" si="1217"/>
        <v>0.12403038138332256</v>
      </c>
      <c r="DT301" s="285">
        <f t="shared" si="1217"/>
        <v>0.11815473448201726</v>
      </c>
      <c r="DU301" s="285">
        <f t="shared" si="1217"/>
        <v>0.11560570859608364</v>
      </c>
      <c r="DV301" s="5815">
        <f t="shared" si="1217"/>
        <v>0.12250569599863374</v>
      </c>
      <c r="DW301" s="285">
        <f t="shared" si="1217"/>
        <v>0.13408125156224729</v>
      </c>
      <c r="DX301" s="285">
        <f t="shared" si="1217"/>
        <v>0.14122120972949703</v>
      </c>
      <c r="DY301" s="285">
        <f t="shared" si="1217"/>
        <v>0.14868581022404909</v>
      </c>
      <c r="DZ301" s="285">
        <f t="shared" si="1217"/>
        <v>0.13500683778666106</v>
      </c>
      <c r="EA301" s="5815">
        <f t="shared" si="1217"/>
        <v>0.13965690364734334</v>
      </c>
      <c r="EB301" s="285">
        <f t="shared" si="1217"/>
        <v>0.1488242795936206</v>
      </c>
      <c r="EC301" s="285">
        <f t="shared" si="1217"/>
        <v>0.14177523993351562</v>
      </c>
      <c r="ED301" s="285">
        <f t="shared" si="1217"/>
        <v>0.1465062000443326</v>
      </c>
      <c r="EE301" s="285">
        <f t="shared" si="1217"/>
        <v>0.13335650561927934</v>
      </c>
      <c r="EF301" s="5815">
        <f t="shared" si="1217"/>
        <v>0.14219210524603604</v>
      </c>
      <c r="EG301" s="285">
        <f t="shared" si="1217"/>
        <v>0.14472491587926345</v>
      </c>
      <c r="EH301" s="285">
        <f t="shared" si="1217"/>
        <v>0.13995421396710014</v>
      </c>
      <c r="EI301" s="285">
        <f t="shared" si="1217"/>
        <v>0.13888385371822179</v>
      </c>
      <c r="EJ301" s="285">
        <f t="shared" si="1217"/>
        <v>0.1348619763861966</v>
      </c>
      <c r="EK301" s="5815">
        <f t="shared" si="1217"/>
        <v>0.13937854624619306</v>
      </c>
      <c r="EL301" s="285">
        <f t="shared" ref="EL301:EP301" si="1218">EL276/EL$7</f>
        <v>0.15023162001019572</v>
      </c>
      <c r="EM301" s="285">
        <f t="shared" si="1218"/>
        <v>0.1431949226365786</v>
      </c>
      <c r="EN301" s="285">
        <f t="shared" si="1218"/>
        <v>0.14803705078850174</v>
      </c>
      <c r="EO301" s="285">
        <f t="shared" si="1218"/>
        <v>0.14024545373393688</v>
      </c>
      <c r="EP301" s="5815">
        <f t="shared" si="1218"/>
        <v>0.14518731164736814</v>
      </c>
      <c r="EQ301" s="285">
        <f t="shared" ref="EQ301:EU301" si="1219">EQ276/EQ$7</f>
        <v>0.15299831887850579</v>
      </c>
      <c r="ER301" s="285">
        <f t="shared" si="1219"/>
        <v>0.14686532013009862</v>
      </c>
      <c r="ES301" s="285">
        <f t="shared" si="1219"/>
        <v>0.15120026278068094</v>
      </c>
      <c r="ET301" s="285">
        <f t="shared" si="1219"/>
        <v>0.14279283260411169</v>
      </c>
      <c r="EU301" s="5815">
        <f t="shared" si="1219"/>
        <v>0.14822364084068085</v>
      </c>
      <c r="EV301" s="5815">
        <f t="shared" si="1217"/>
        <v>0.1466474804201913</v>
      </c>
      <c r="EW301" s="5815">
        <f t="shared" si="1217"/>
        <v>0.14318478614350064</v>
      </c>
      <c r="EX301" s="5815">
        <f t="shared" ref="EX301:EY301" si="1220">EX276/EX$7</f>
        <v>0.14046438258182575</v>
      </c>
      <c r="EY301" s="5815">
        <f t="shared" si="1220"/>
        <v>0.13762867981571511</v>
      </c>
      <c r="EZ301" s="129"/>
    </row>
    <row r="302" spans="1:156" ht="11.25" hidden="1" customHeight="1" outlineLevel="2">
      <c r="A302" s="5894" t="s">
        <v>734</v>
      </c>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c r="AF302" s="35"/>
      <c r="AG302" s="35"/>
      <c r="AH302" s="35"/>
      <c r="AI302" s="35"/>
      <c r="AJ302" s="35"/>
      <c r="AK302" s="35"/>
      <c r="AL302" s="35"/>
      <c r="AM302" s="35"/>
      <c r="AN302" s="35"/>
      <c r="AO302" s="35"/>
      <c r="AP302" s="35"/>
      <c r="AQ302" s="35"/>
      <c r="AR302" s="35"/>
      <c r="AS302" s="35"/>
      <c r="AT302" s="32"/>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5812"/>
      <c r="BU302" s="5812"/>
      <c r="BV302" s="5812"/>
      <c r="BW302" s="5812"/>
      <c r="BX302" s="5816"/>
      <c r="BY302" s="35"/>
      <c r="BZ302" s="35"/>
      <c r="CA302" s="35"/>
      <c r="CB302" s="35"/>
      <c r="CC302" s="35"/>
      <c r="CD302" s="5812"/>
      <c r="CE302" s="5812"/>
      <c r="CF302" s="5812"/>
      <c r="CG302" s="5812"/>
      <c r="CH302" s="5816"/>
      <c r="CI302" s="5812"/>
      <c r="CJ302" s="5812"/>
      <c r="CK302" s="5812"/>
      <c r="CL302" s="5812"/>
      <c r="CM302" s="5816"/>
      <c r="CN302" s="5812"/>
      <c r="CO302" s="5812"/>
      <c r="CP302" s="5812"/>
      <c r="CQ302" s="5812"/>
      <c r="CR302" s="5816"/>
      <c r="CS302" s="5812"/>
      <c r="CT302" s="5812"/>
      <c r="CU302" s="5812"/>
      <c r="CV302" s="5812"/>
      <c r="CW302" s="5816"/>
      <c r="CX302" s="5812"/>
      <c r="CY302" s="5812"/>
      <c r="CZ302" s="5812"/>
      <c r="DA302" s="5812"/>
      <c r="DB302" s="5816"/>
      <c r="DC302" s="5812"/>
      <c r="DD302" s="5812"/>
      <c r="DE302" s="5812"/>
      <c r="DF302" s="5812"/>
      <c r="DG302" s="5816"/>
      <c r="DH302" s="5812">
        <f t="shared" ref="DH302" si="1221">(DH301-DC301)*10000</f>
        <v>1659.0990395993285</v>
      </c>
      <c r="DI302" s="5812">
        <f t="shared" ref="DI302" si="1222">(DI301-DD301)*10000</f>
        <v>1595.3677074774034</v>
      </c>
      <c r="DJ302" s="5812">
        <f t="shared" ref="DJ302" si="1223">(DJ301-DE301)*10000</f>
        <v>1618.3115632484751</v>
      </c>
      <c r="DK302" s="5812">
        <f t="shared" ref="DK302" si="1224">(DK301-DF301)*10000</f>
        <v>1567.4443841562668</v>
      </c>
      <c r="DL302" s="5816">
        <f t="shared" ref="DL302" si="1225">(DL301-DG301)*10000</f>
        <v>1607.4683208016954</v>
      </c>
      <c r="DM302" s="5812">
        <f t="shared" ref="DM302" si="1226">(DM301-DH301)*10000</f>
        <v>-2.110288657857784</v>
      </c>
      <c r="DN302" s="5812">
        <f t="shared" ref="DN302" si="1227">(DN301-DI301)*10000</f>
        <v>199.81207161756498</v>
      </c>
      <c r="DO302" s="5812">
        <f t="shared" ref="DO302" si="1228">(DO301-DJ301)*10000</f>
        <v>-133.46110952010577</v>
      </c>
      <c r="DP302" s="5812">
        <f t="shared" ref="DP302" si="1229">(DP301-DK301)*10000</f>
        <v>-333.30610161558002</v>
      </c>
      <c r="DQ302" s="5816">
        <f t="shared" ref="DQ302" si="1230">(DQ301-DL301)*10000</f>
        <v>-96.842495581317138</v>
      </c>
      <c r="DR302" s="5812">
        <f t="shared" ref="DR302" si="1231">(DR301-DM301)*10000</f>
        <v>-303.80510846397868</v>
      </c>
      <c r="DS302" s="5812">
        <f t="shared" ref="DS302" si="1232">(DS301-DN301)*10000</f>
        <v>-554.87596526174275</v>
      </c>
      <c r="DT302" s="5812">
        <f t="shared" ref="DT302" si="1233">(DT301-DO301)*10000</f>
        <v>-303.3031089081968</v>
      </c>
      <c r="DU302" s="5812">
        <f t="shared" ref="DU302" si="1234">(DU301-DP301)*10000</f>
        <v>-78.081196579850442</v>
      </c>
      <c r="DV302" s="5816">
        <f t="shared" ref="DV302" si="1235">(DV301-DQ301)*10000</f>
        <v>-285.56886523404086</v>
      </c>
      <c r="DW302" s="5812">
        <f t="shared" ref="DW302" si="1236">(DW301-DR301)*10000</f>
        <v>-12.371126855019178</v>
      </c>
      <c r="DX302" s="5812">
        <f t="shared" ref="DX302" si="1237">(DX301-DS301)*10000</f>
        <v>171.9082834617447</v>
      </c>
      <c r="DY302" s="5812">
        <f t="shared" ref="DY302" si="1238">(DY301-DT301)*10000</f>
        <v>305.31075742031828</v>
      </c>
      <c r="DZ302" s="5812">
        <f t="shared" ref="DZ302" si="1239">(DZ301-DU301)*10000</f>
        <v>194.01129190577419</v>
      </c>
      <c r="EA302" s="5816">
        <f t="shared" ref="EA302" si="1240">(EA301-DV301)*10000</f>
        <v>171.51207648709601</v>
      </c>
      <c r="EB302" s="5812">
        <f t="shared" ref="EB302" si="1241">(EB301-DW301)*10000</f>
        <v>147.43028031373311</v>
      </c>
      <c r="EC302" s="5812">
        <f t="shared" ref="EC302" si="1242">(EC301-DX301)*10000</f>
        <v>5.5403020401859067</v>
      </c>
      <c r="ED302" s="5812">
        <f t="shared" ref="ED302" si="1243">(ED301-DY301)*10000</f>
        <v>-21.796101797164901</v>
      </c>
      <c r="EE302" s="5812">
        <f t="shared" ref="EE302" si="1244">(EE301-DZ301)*10000</f>
        <v>-16.50332167381724</v>
      </c>
      <c r="EF302" s="5816">
        <f t="shared" ref="EF302" si="1245">(EF301-EA301)*10000</f>
        <v>25.352015986926936</v>
      </c>
      <c r="EG302" s="5812">
        <f t="shared" ref="EG302" si="1246">(EG301-EB301)*10000</f>
        <v>-40.993637143571519</v>
      </c>
      <c r="EH302" s="5812">
        <f t="shared" ref="EH302" si="1247">(EH301-EC301)*10000</f>
        <v>-18.210259664154794</v>
      </c>
      <c r="EI302" s="5812">
        <f t="shared" ref="EI302" si="1248">(EI301-ED301)*10000</f>
        <v>-76.223463261108066</v>
      </c>
      <c r="EJ302" s="5812">
        <f t="shared" ref="EJ302" si="1249">(EJ301-EE301)*10000</f>
        <v>15.054707669172608</v>
      </c>
      <c r="EK302" s="5816">
        <f t="shared" ref="EK302" si="1250">(EK301-EF301)*10000</f>
        <v>-28.135589998429801</v>
      </c>
      <c r="EL302" s="5812">
        <f t="shared" ref="EL302" si="1251">(EL301-EG301)*10000</f>
        <v>55.067041309322661</v>
      </c>
      <c r="EM302" s="5812">
        <f t="shared" ref="EM302" si="1252">(EM301-EH301)*10000</f>
        <v>32.407086694784539</v>
      </c>
      <c r="EN302" s="5812">
        <f t="shared" ref="EN302" si="1253">(EN301-EI301)*10000</f>
        <v>91.531970702799498</v>
      </c>
      <c r="EO302" s="5812">
        <f t="shared" ref="EO302:EP302" si="1254">(EO301-EJ301)*10000</f>
        <v>53.834773477402784</v>
      </c>
      <c r="EP302" s="5816">
        <f t="shared" si="1254"/>
        <v>58.087654011750864</v>
      </c>
      <c r="EQ302" s="5812">
        <f t="shared" ref="EQ302" si="1255">(EQ301-EL301)*10000</f>
        <v>27.666988683100747</v>
      </c>
      <c r="ER302" s="5812">
        <f t="shared" ref="ER302" si="1256">(ER301-EM301)*10000</f>
        <v>36.703974935200222</v>
      </c>
      <c r="ES302" s="5812">
        <f t="shared" ref="ES302" si="1257">(ES301-EN301)*10000</f>
        <v>31.63211992179199</v>
      </c>
      <c r="ET302" s="5812">
        <f t="shared" ref="ET302:EU302" si="1258">(ET301-EO301)*10000</f>
        <v>25.473788701748102</v>
      </c>
      <c r="EU302" s="5816">
        <f t="shared" si="1258"/>
        <v>30.363291933127034</v>
      </c>
      <c r="EV302" s="5816">
        <f>(EV301-EU301)*10000</f>
        <v>-15.76160420489553</v>
      </c>
      <c r="EW302" s="5816">
        <f>(EW301-EV301)*10000</f>
        <v>-34.626942766906588</v>
      </c>
      <c r="EX302" s="5816">
        <f>(EX301-EW301)*10000</f>
        <v>-27.204035616748833</v>
      </c>
      <c r="EY302" s="5816">
        <f>(EY301-EX301)*10000</f>
        <v>-28.357027661106425</v>
      </c>
      <c r="EZ302" s="129"/>
    </row>
    <row r="303" spans="1:156" ht="11.25" hidden="1" customHeight="1" outlineLevel="1">
      <c r="A303" s="4905" t="str">
        <f>A277</f>
        <v>Sales &amp; marketing (excl. 1x items)</v>
      </c>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c r="AF303" s="35"/>
      <c r="AG303" s="35"/>
      <c r="AH303" s="35"/>
      <c r="AI303" s="35"/>
      <c r="AJ303" s="35"/>
      <c r="AK303" s="35"/>
      <c r="AL303" s="35"/>
      <c r="AM303" s="35"/>
      <c r="AN303" s="35"/>
      <c r="AO303" s="35"/>
      <c r="AP303" s="35"/>
      <c r="AQ303" s="35"/>
      <c r="AR303" s="35"/>
      <c r="AS303" s="35"/>
      <c r="AT303" s="32"/>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285"/>
      <c r="BU303" s="285"/>
      <c r="BV303" s="285"/>
      <c r="BW303" s="285"/>
      <c r="BX303" s="5815"/>
      <c r="BY303" s="35"/>
      <c r="BZ303" s="35"/>
      <c r="CA303" s="35"/>
      <c r="CB303" s="35"/>
      <c r="CC303" s="35"/>
      <c r="CD303" s="285"/>
      <c r="CE303" s="285"/>
      <c r="CF303" s="285"/>
      <c r="CG303" s="285"/>
      <c r="CH303" s="5815"/>
      <c r="CI303" s="285"/>
      <c r="CJ303" s="285"/>
      <c r="CK303" s="285"/>
      <c r="CL303" s="285"/>
      <c r="CM303" s="5815"/>
      <c r="CN303" s="285"/>
      <c r="CO303" s="285"/>
      <c r="CP303" s="285"/>
      <c r="CQ303" s="285"/>
      <c r="CR303" s="5815"/>
      <c r="CS303" s="285"/>
      <c r="CT303" s="285"/>
      <c r="CU303" s="285"/>
      <c r="CV303" s="285"/>
      <c r="CW303" s="5815"/>
      <c r="CX303" s="285"/>
      <c r="CY303" s="285"/>
      <c r="CZ303" s="285"/>
      <c r="DA303" s="285"/>
      <c r="DB303" s="5815"/>
      <c r="DC303" s="285"/>
      <c r="DD303" s="285"/>
      <c r="DE303" s="285"/>
      <c r="DF303" s="285"/>
      <c r="DG303" s="5815"/>
      <c r="DH303" s="285">
        <f t="shared" ref="DH303:EW303" si="1259">DH277/DH$7</f>
        <v>0.10746030435620132</v>
      </c>
      <c r="DI303" s="285">
        <f t="shared" si="1259"/>
        <v>0.10815529991783072</v>
      </c>
      <c r="DJ303" s="285">
        <f t="shared" si="1259"/>
        <v>0.11380527914269488</v>
      </c>
      <c r="DK303" s="285">
        <f t="shared" si="1259"/>
        <v>0.1245360824742268</v>
      </c>
      <c r="DL303" s="5815">
        <f t="shared" si="1259"/>
        <v>0.11407600536275848</v>
      </c>
      <c r="DM303" s="285">
        <f t="shared" si="1259"/>
        <v>0.10933210233484779</v>
      </c>
      <c r="DN303" s="285">
        <f t="shared" si="1259"/>
        <v>0.10186176462908322</v>
      </c>
      <c r="DO303" s="285">
        <f t="shared" si="1259"/>
        <v>9.1633638706603432E-2</v>
      </c>
      <c r="DP303" s="285">
        <f t="shared" si="1259"/>
        <v>9.3395198425252207E-2</v>
      </c>
      <c r="DQ303" s="5815">
        <f t="shared" si="1259"/>
        <v>9.8319700647027566E-2</v>
      </c>
      <c r="DR303" s="285">
        <f t="shared" si="1259"/>
        <v>8.1642983693097582E-2</v>
      </c>
      <c r="DS303" s="285">
        <f t="shared" si="1259"/>
        <v>8.5261797026502911E-2</v>
      </c>
      <c r="DT303" s="285">
        <f t="shared" si="1259"/>
        <v>8.4707761294880057E-2</v>
      </c>
      <c r="DU303" s="285">
        <f t="shared" si="1259"/>
        <v>0.10094922004646532</v>
      </c>
      <c r="DV303" s="5815">
        <f t="shared" si="1259"/>
        <v>8.8931325857699015E-2</v>
      </c>
      <c r="DW303" s="285">
        <f t="shared" si="1259"/>
        <v>8.5647909896928442E-2</v>
      </c>
      <c r="DX303" s="285">
        <f t="shared" si="1259"/>
        <v>9.514242663413934E-2</v>
      </c>
      <c r="DY303" s="285">
        <f t="shared" si="1259"/>
        <v>0.10028657442250911</v>
      </c>
      <c r="DZ303" s="285">
        <f t="shared" si="1259"/>
        <v>9.4453503050704823E-2</v>
      </c>
      <c r="EA303" s="5815">
        <f t="shared" si="1259"/>
        <v>9.3930758460733427E-2</v>
      </c>
      <c r="EB303" s="285">
        <f t="shared" si="1259"/>
        <v>8.6735351856362927E-2</v>
      </c>
      <c r="EC303" s="285">
        <f t="shared" si="1259"/>
        <v>9.0598359337300954E-2</v>
      </c>
      <c r="ED303" s="285">
        <f t="shared" si="1259"/>
        <v>8.9095484594421917E-2</v>
      </c>
      <c r="EE303" s="285">
        <f t="shared" si="1259"/>
        <v>8.7104622871046228E-2</v>
      </c>
      <c r="EF303" s="5815">
        <f t="shared" si="1259"/>
        <v>8.8365420274956571E-2</v>
      </c>
      <c r="EG303" s="285">
        <f t="shared" si="1259"/>
        <v>7.7093085337538336E-2</v>
      </c>
      <c r="EH303" s="285">
        <f t="shared" si="1259"/>
        <v>8.0149158622642852E-2</v>
      </c>
      <c r="EI303" s="285">
        <f t="shared" si="1259"/>
        <v>8.0624415387636483E-2</v>
      </c>
      <c r="EJ303" s="285">
        <f t="shared" si="1259"/>
        <v>7.5046721189210894E-2</v>
      </c>
      <c r="EK303" s="5815">
        <f t="shared" si="1259"/>
        <v>7.8159517635772682E-2</v>
      </c>
      <c r="EL303" s="285">
        <f t="shared" ref="EL303:EP303" si="1260">EL277/EL$7</f>
        <v>6.8399937939136027E-2</v>
      </c>
      <c r="EM303" s="285">
        <f t="shared" si="1260"/>
        <v>7.3640436387771194E-2</v>
      </c>
      <c r="EN303" s="285">
        <f t="shared" si="1260"/>
        <v>7.0398452308834736E-2</v>
      </c>
      <c r="EO303" s="285">
        <f t="shared" si="1260"/>
        <v>6.7557261249884232E-2</v>
      </c>
      <c r="EP303" s="5815">
        <f t="shared" si="1260"/>
        <v>6.9933337865617534E-2</v>
      </c>
      <c r="EQ303" s="285">
        <f t="shared" ref="EQ303:EU303" si="1261">EQ277/EQ$7</f>
        <v>6.0686484024435251E-2</v>
      </c>
      <c r="ER303" s="285">
        <f t="shared" si="1261"/>
        <v>6.870892169829175E-2</v>
      </c>
      <c r="ES303" s="285">
        <f t="shared" si="1261"/>
        <v>6.4800112620291825E-2</v>
      </c>
      <c r="ET303" s="285">
        <f t="shared" si="1261"/>
        <v>6.1444188575102594E-2</v>
      </c>
      <c r="EU303" s="5815">
        <f t="shared" si="1261"/>
        <v>6.3871095360841568E-2</v>
      </c>
      <c r="EV303" s="5815">
        <f t="shared" si="1259"/>
        <v>6.0741559937357338E-2</v>
      </c>
      <c r="EW303" s="5815">
        <f t="shared" si="1259"/>
        <v>5.7623145643116103E-2</v>
      </c>
      <c r="EX303" s="5815">
        <f t="shared" ref="EX303:EY303" si="1262">EX277/EX$7</f>
        <v>5.5307850641593895E-2</v>
      </c>
      <c r="EY303" s="5815">
        <f t="shared" si="1262"/>
        <v>5.2934107621428889E-2</v>
      </c>
      <c r="EZ303" s="129"/>
    </row>
    <row r="304" spans="1:156" ht="11.25" hidden="1" customHeight="1" outlineLevel="2">
      <c r="A304" s="5894" t="s">
        <v>734</v>
      </c>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c r="AG304" s="35"/>
      <c r="AH304" s="35"/>
      <c r="AI304" s="35"/>
      <c r="AJ304" s="35"/>
      <c r="AK304" s="35"/>
      <c r="AL304" s="35"/>
      <c r="AM304" s="35"/>
      <c r="AN304" s="35"/>
      <c r="AO304" s="35"/>
      <c r="AP304" s="35"/>
      <c r="AQ304" s="35"/>
      <c r="AR304" s="35"/>
      <c r="AS304" s="35"/>
      <c r="AT304" s="32"/>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5812"/>
      <c r="BU304" s="5812"/>
      <c r="BV304" s="5812"/>
      <c r="BW304" s="5812"/>
      <c r="BX304" s="5816"/>
      <c r="BY304" s="35"/>
      <c r="BZ304" s="35"/>
      <c r="CA304" s="35"/>
      <c r="CB304" s="35"/>
      <c r="CC304" s="35"/>
      <c r="CD304" s="5812"/>
      <c r="CE304" s="5812"/>
      <c r="CF304" s="5812"/>
      <c r="CG304" s="5812"/>
      <c r="CH304" s="5816"/>
      <c r="CI304" s="5812"/>
      <c r="CJ304" s="5812"/>
      <c r="CK304" s="5812"/>
      <c r="CL304" s="5812"/>
      <c r="CM304" s="5816"/>
      <c r="CN304" s="5812"/>
      <c r="CO304" s="5812"/>
      <c r="CP304" s="5812"/>
      <c r="CQ304" s="5812"/>
      <c r="CR304" s="5816"/>
      <c r="CS304" s="5812"/>
      <c r="CT304" s="5812"/>
      <c r="CU304" s="5812"/>
      <c r="CV304" s="5812"/>
      <c r="CW304" s="5816"/>
      <c r="CX304" s="5812"/>
      <c r="CY304" s="5812"/>
      <c r="CZ304" s="5812"/>
      <c r="DA304" s="5812"/>
      <c r="DB304" s="5816"/>
      <c r="DC304" s="5812"/>
      <c r="DD304" s="5812"/>
      <c r="DE304" s="5812"/>
      <c r="DF304" s="5812"/>
      <c r="DG304" s="5816"/>
      <c r="DH304" s="5812">
        <f t="shared" ref="DH304" si="1263">(DH303-DC303)*10000</f>
        <v>1074.6030435620132</v>
      </c>
      <c r="DI304" s="5812">
        <f t="shared" ref="DI304" si="1264">(DI303-DD303)*10000</f>
        <v>1081.5529991783073</v>
      </c>
      <c r="DJ304" s="5812">
        <f t="shared" ref="DJ304" si="1265">(DJ303-DE303)*10000</f>
        <v>1138.0527914269487</v>
      </c>
      <c r="DK304" s="5812">
        <f t="shared" ref="DK304" si="1266">(DK303-DF303)*10000</f>
        <v>1245.3608247422681</v>
      </c>
      <c r="DL304" s="5816">
        <f t="shared" ref="DL304" si="1267">(DL303-DG303)*10000</f>
        <v>1140.7600536275847</v>
      </c>
      <c r="DM304" s="5812">
        <f t="shared" ref="DM304" si="1268">(DM303-DH303)*10000</f>
        <v>18.717979786464639</v>
      </c>
      <c r="DN304" s="5812">
        <f t="shared" ref="DN304" si="1269">(DN303-DI303)*10000</f>
        <v>-62.935352887475013</v>
      </c>
      <c r="DO304" s="5812">
        <f t="shared" ref="DO304" si="1270">(DO303-DJ303)*10000</f>
        <v>-221.71640436091448</v>
      </c>
      <c r="DP304" s="5812">
        <f t="shared" ref="DP304" si="1271">(DP303-DK303)*10000</f>
        <v>-311.40884048974596</v>
      </c>
      <c r="DQ304" s="5816">
        <f t="shared" ref="DQ304" si="1272">(DQ303-DL303)*10000</f>
        <v>-157.56304715730917</v>
      </c>
      <c r="DR304" s="5812">
        <f t="shared" ref="DR304" si="1273">(DR303-DM303)*10000</f>
        <v>-276.89118641750207</v>
      </c>
      <c r="DS304" s="5812">
        <f t="shared" ref="DS304" si="1274">(DS303-DN303)*10000</f>
        <v>-165.99967602580313</v>
      </c>
      <c r="DT304" s="5812">
        <f t="shared" ref="DT304" si="1275">(DT303-DO303)*10000</f>
        <v>-69.258774117233742</v>
      </c>
      <c r="DU304" s="5812">
        <f t="shared" ref="DU304" si="1276">(DU303-DP303)*10000</f>
        <v>75.54021621213117</v>
      </c>
      <c r="DV304" s="5816">
        <f t="shared" ref="DV304" si="1277">(DV303-DQ303)*10000</f>
        <v>-93.883747893285516</v>
      </c>
      <c r="DW304" s="5812">
        <f t="shared" ref="DW304" si="1278">(DW303-DR303)*10000</f>
        <v>40.049262038308612</v>
      </c>
      <c r="DX304" s="5812">
        <f t="shared" ref="DX304" si="1279">(DX303-DS303)*10000</f>
        <v>98.806296076364291</v>
      </c>
      <c r="DY304" s="5812">
        <f t="shared" ref="DY304" si="1280">(DY303-DT303)*10000</f>
        <v>155.78813127629056</v>
      </c>
      <c r="DZ304" s="5812">
        <f t="shared" ref="DZ304" si="1281">(DZ303-DU303)*10000</f>
        <v>-64.957169957605004</v>
      </c>
      <c r="EA304" s="5816">
        <f t="shared" ref="EA304" si="1282">(EA303-DV303)*10000</f>
        <v>49.994326030344119</v>
      </c>
      <c r="EB304" s="5812">
        <f t="shared" ref="EB304" si="1283">(EB303-DW303)*10000</f>
        <v>10.874419594344847</v>
      </c>
      <c r="EC304" s="5812">
        <f t="shared" ref="EC304" si="1284">(EC303-DX303)*10000</f>
        <v>-45.440672968383858</v>
      </c>
      <c r="ED304" s="5812">
        <f t="shared" ref="ED304" si="1285">(ED303-DY303)*10000</f>
        <v>-111.91089828087198</v>
      </c>
      <c r="EE304" s="5812">
        <f t="shared" ref="EE304" si="1286">(EE303-DZ303)*10000</f>
        <v>-73.48880179658596</v>
      </c>
      <c r="EF304" s="5816">
        <f t="shared" ref="EF304" si="1287">(EF303-EA303)*10000</f>
        <v>-55.653381857768551</v>
      </c>
      <c r="EG304" s="5812">
        <f t="shared" ref="EG304" si="1288">(EG303-EB303)*10000</f>
        <v>-96.422665188245915</v>
      </c>
      <c r="EH304" s="5812">
        <f t="shared" ref="EH304" si="1289">(EH303-EC303)*10000</f>
        <v>-104.49200714658102</v>
      </c>
      <c r="EI304" s="5812">
        <f t="shared" ref="EI304" si="1290">(EI303-ED303)*10000</f>
        <v>-84.710692067854339</v>
      </c>
      <c r="EJ304" s="5812">
        <f t="shared" ref="EJ304" si="1291">(EJ303-EE303)*10000</f>
        <v>-120.57901681835334</v>
      </c>
      <c r="EK304" s="5816">
        <f t="shared" ref="EK304" si="1292">(EK303-EF303)*10000</f>
        <v>-102.0590263918389</v>
      </c>
      <c r="EL304" s="5812">
        <f t="shared" ref="EL304" si="1293">(EL303-EG303)*10000</f>
        <v>-86.9314739840231</v>
      </c>
      <c r="EM304" s="5812">
        <f t="shared" ref="EM304" si="1294">(EM303-EH303)*10000</f>
        <v>-65.08722234871658</v>
      </c>
      <c r="EN304" s="5812">
        <f t="shared" ref="EN304" si="1295">(EN303-EI303)*10000</f>
        <v>-102.25963078801747</v>
      </c>
      <c r="EO304" s="5812">
        <f t="shared" ref="EO304:EP304" si="1296">(EO303-EJ303)*10000</f>
        <v>-74.894599393266617</v>
      </c>
      <c r="EP304" s="5816">
        <f t="shared" si="1296"/>
        <v>-82.261797701551487</v>
      </c>
      <c r="EQ304" s="5812">
        <f t="shared" ref="EQ304" si="1297">(EQ303-EL303)*10000</f>
        <v>-77.134539147007757</v>
      </c>
      <c r="ER304" s="5812">
        <f t="shared" ref="ER304" si="1298">(ER303-EM303)*10000</f>
        <v>-49.315146894794438</v>
      </c>
      <c r="ES304" s="5812">
        <f t="shared" ref="ES304" si="1299">(ES303-EN303)*10000</f>
        <v>-55.983396885429109</v>
      </c>
      <c r="ET304" s="5812">
        <f t="shared" ref="ET304:EU304" si="1300">(ET303-EO303)*10000</f>
        <v>-61.130726747816375</v>
      </c>
      <c r="EU304" s="5816">
        <f t="shared" si="1300"/>
        <v>-60.622425047759663</v>
      </c>
      <c r="EV304" s="5816">
        <f>(EV303-EU303)*10000</f>
        <v>-31.295354234842296</v>
      </c>
      <c r="EW304" s="5816">
        <f>(EW303-EV303)*10000</f>
        <v>-31.184142942412354</v>
      </c>
      <c r="EX304" s="5816">
        <f>(EX303-EW303)*10000</f>
        <v>-23.152950015222078</v>
      </c>
      <c r="EY304" s="5816">
        <f>(EY303-EX303)*10000</f>
        <v>-23.73743020165006</v>
      </c>
      <c r="EZ304" s="129"/>
    </row>
    <row r="305" spans="1:168" ht="11.25" hidden="1" customHeight="1" outlineLevel="1">
      <c r="A305" s="4905" t="str">
        <f>A278</f>
        <v>General &amp; administrative (excl. 1x items)</v>
      </c>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c r="AF305" s="35"/>
      <c r="AG305" s="35"/>
      <c r="AH305" s="35"/>
      <c r="AI305" s="35"/>
      <c r="AJ305" s="35"/>
      <c r="AK305" s="35"/>
      <c r="AL305" s="35"/>
      <c r="AM305" s="35"/>
      <c r="AN305" s="35"/>
      <c r="AO305" s="35"/>
      <c r="AP305" s="35"/>
      <c r="AQ305" s="35"/>
      <c r="AR305" s="35"/>
      <c r="AS305" s="35"/>
      <c r="AT305" s="32"/>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285"/>
      <c r="BU305" s="285"/>
      <c r="BV305" s="285"/>
      <c r="BW305" s="285"/>
      <c r="BX305" s="5815"/>
      <c r="BY305" s="35"/>
      <c r="BZ305" s="35"/>
      <c r="CA305" s="35"/>
      <c r="CB305" s="35"/>
      <c r="CC305" s="35"/>
      <c r="CD305" s="285"/>
      <c r="CE305" s="285"/>
      <c r="CF305" s="285"/>
      <c r="CG305" s="285"/>
      <c r="CH305" s="5815"/>
      <c r="CI305" s="285"/>
      <c r="CJ305" s="285"/>
      <c r="CK305" s="285"/>
      <c r="CL305" s="285"/>
      <c r="CM305" s="5815"/>
      <c r="CN305" s="285"/>
      <c r="CO305" s="285"/>
      <c r="CP305" s="285"/>
      <c r="CQ305" s="285"/>
      <c r="CR305" s="5815"/>
      <c r="CS305" s="285"/>
      <c r="CT305" s="285"/>
      <c r="CU305" s="285"/>
      <c r="CV305" s="285"/>
      <c r="CW305" s="5815"/>
      <c r="CX305" s="285"/>
      <c r="CY305" s="285"/>
      <c r="CZ305" s="285"/>
      <c r="DA305" s="285"/>
      <c r="DB305" s="5815"/>
      <c r="DC305" s="285"/>
      <c r="DD305" s="285"/>
      <c r="DE305" s="285"/>
      <c r="DF305" s="285"/>
      <c r="DG305" s="5815"/>
      <c r="DH305" s="285">
        <f t="shared" ref="DH305:EW305" si="1301">DH278/DH$7</f>
        <v>5.7458928424007266E-2</v>
      </c>
      <c r="DI305" s="285">
        <f t="shared" si="1301"/>
        <v>5.2459942481511916E-2</v>
      </c>
      <c r="DJ305" s="285">
        <f t="shared" si="1301"/>
        <v>5.0297538210820017E-2</v>
      </c>
      <c r="DK305" s="285">
        <f t="shared" si="1301"/>
        <v>6.139989148128052E-2</v>
      </c>
      <c r="DL305" s="5815">
        <f t="shared" si="1301"/>
        <v>5.5586103782968917E-2</v>
      </c>
      <c r="DM305" s="285">
        <f t="shared" si="1301"/>
        <v>6.9972545494302582E-2</v>
      </c>
      <c r="DN305" s="285">
        <f t="shared" si="1301"/>
        <v>6.7498759693970803E-2</v>
      </c>
      <c r="DO305" s="285">
        <f t="shared" si="1301"/>
        <v>5.9688562579862693E-2</v>
      </c>
      <c r="DP305" s="285">
        <f t="shared" si="1301"/>
        <v>4.975570318816127E-2</v>
      </c>
      <c r="DQ305" s="5815">
        <f t="shared" si="1301"/>
        <v>6.0549946035381066E-2</v>
      </c>
      <c r="DR305" s="285">
        <f t="shared" si="1301"/>
        <v>4.5865422858589147E-2</v>
      </c>
      <c r="DS305" s="285">
        <f t="shared" si="1301"/>
        <v>4.1127989657401422E-2</v>
      </c>
      <c r="DT305" s="285">
        <f t="shared" si="1301"/>
        <v>4.5179520255536107E-2</v>
      </c>
      <c r="DU305" s="285">
        <f t="shared" si="1301"/>
        <v>5.0262197145701959E-2</v>
      </c>
      <c r="DV305" s="5815">
        <f t="shared" si="1301"/>
        <v>4.5839689175079669E-2</v>
      </c>
      <c r="DW305" s="285">
        <f t="shared" si="1301"/>
        <v>4.9609621972916143E-2</v>
      </c>
      <c r="DX305" s="285">
        <f t="shared" si="1301"/>
        <v>5.2479012700007176E-2</v>
      </c>
      <c r="DY305" s="285">
        <f t="shared" si="1301"/>
        <v>5.5360967984716028E-2</v>
      </c>
      <c r="DZ305" s="285">
        <f t="shared" si="1301"/>
        <v>6.7010309278350513E-2</v>
      </c>
      <c r="EA305" s="5815">
        <f t="shared" si="1301"/>
        <v>5.6400175366643567E-2</v>
      </c>
      <c r="EB305" s="285">
        <f t="shared" si="1301"/>
        <v>4.935016550360382E-2</v>
      </c>
      <c r="EC305" s="285">
        <f t="shared" si="1301"/>
        <v>4.6418422604686073E-2</v>
      </c>
      <c r="ED305" s="285">
        <f t="shared" si="1301"/>
        <v>4.4123974808652683E-2</v>
      </c>
      <c r="EE305" s="285">
        <f t="shared" si="1301"/>
        <v>5.8440505155833621E-2</v>
      </c>
      <c r="EF305" s="5815">
        <f t="shared" si="1301"/>
        <v>4.9887115558534E-2</v>
      </c>
      <c r="EG305" s="285">
        <f t="shared" si="1301"/>
        <v>3.6342641453209007E-2</v>
      </c>
      <c r="EH305" s="285">
        <f t="shared" si="1301"/>
        <v>3.7266054612824812E-2</v>
      </c>
      <c r="EI305" s="285">
        <f t="shared" si="1301"/>
        <v>3.9619689686304992E-2</v>
      </c>
      <c r="EJ305" s="285">
        <f t="shared" si="1301"/>
        <v>4.4826266589915217E-2</v>
      </c>
      <c r="EK305" s="5815">
        <f t="shared" si="1301"/>
        <v>3.9730802075588399E-2</v>
      </c>
      <c r="EL305" s="285">
        <f t="shared" ref="EL305:EP305" si="1302">EL278/EL$7</f>
        <v>3.5984218808874702E-2</v>
      </c>
      <c r="EM305" s="285">
        <f t="shared" si="1302"/>
        <v>3.9500974820591526E-2</v>
      </c>
      <c r="EN305" s="285">
        <f t="shared" si="1302"/>
        <v>3.8457780470169817E-2</v>
      </c>
      <c r="EO305" s="285">
        <f t="shared" si="1302"/>
        <v>4.3612915490431586E-2</v>
      </c>
      <c r="EP305" s="5815">
        <f t="shared" si="1302"/>
        <v>3.9594313466184375E-2</v>
      </c>
      <c r="EQ305" s="285">
        <f t="shared" ref="EQ305:EU305" si="1303">EQ278/EQ$7</f>
        <v>3.5471677281888214E-2</v>
      </c>
      <c r="ER305" s="285">
        <f t="shared" si="1303"/>
        <v>3.3925030088531545E-2</v>
      </c>
      <c r="ES305" s="285">
        <f t="shared" si="1303"/>
        <v>3.4128059313353699E-2</v>
      </c>
      <c r="ET305" s="285">
        <f t="shared" si="1303"/>
        <v>3.9808910907812953E-2</v>
      </c>
      <c r="EU305" s="5815">
        <f t="shared" si="1303"/>
        <v>3.5967058497607424E-2</v>
      </c>
      <c r="EV305" s="5815">
        <f t="shared" si="1301"/>
        <v>3.4709462821347042E-2</v>
      </c>
      <c r="EW305" s="5815">
        <f t="shared" si="1301"/>
        <v>3.3176962643006243E-2</v>
      </c>
      <c r="EX305" s="5815">
        <f t="shared" ref="EX305:EY305" si="1304">EX278/EX$7</f>
        <v>3.1604486080910793E-2</v>
      </c>
      <c r="EY305" s="5815">
        <f t="shared" si="1304"/>
        <v>2.9995994318809706E-2</v>
      </c>
      <c r="EZ305" s="129"/>
    </row>
    <row r="306" spans="1:168" ht="11.25" hidden="1" customHeight="1" outlineLevel="2">
      <c r="A306" s="5894" t="s">
        <v>734</v>
      </c>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c r="AF306" s="35"/>
      <c r="AG306" s="35"/>
      <c r="AH306" s="35"/>
      <c r="AI306" s="35"/>
      <c r="AJ306" s="35"/>
      <c r="AK306" s="35"/>
      <c r="AL306" s="35"/>
      <c r="AM306" s="35"/>
      <c r="AN306" s="35"/>
      <c r="AO306" s="35"/>
      <c r="AP306" s="35"/>
      <c r="AQ306" s="35"/>
      <c r="AR306" s="35"/>
      <c r="AS306" s="35"/>
      <c r="AT306" s="32"/>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5812"/>
      <c r="BU306" s="5812"/>
      <c r="BV306" s="5812"/>
      <c r="BW306" s="5812"/>
      <c r="BX306" s="5816"/>
      <c r="BY306" s="35"/>
      <c r="BZ306" s="35"/>
      <c r="CA306" s="35"/>
      <c r="CB306" s="35"/>
      <c r="CC306" s="35"/>
      <c r="CD306" s="5812"/>
      <c r="CE306" s="5812"/>
      <c r="CF306" s="5812"/>
      <c r="CG306" s="5812"/>
      <c r="CH306" s="5816"/>
      <c r="CI306" s="5812"/>
      <c r="CJ306" s="5812"/>
      <c r="CK306" s="5812"/>
      <c r="CL306" s="5812"/>
      <c r="CM306" s="5816"/>
      <c r="CN306" s="5812"/>
      <c r="CO306" s="5812"/>
      <c r="CP306" s="5812"/>
      <c r="CQ306" s="5812"/>
      <c r="CR306" s="5816"/>
      <c r="CS306" s="5812"/>
      <c r="CT306" s="5812"/>
      <c r="CU306" s="5812"/>
      <c r="CV306" s="5812"/>
      <c r="CW306" s="5816"/>
      <c r="CX306" s="5812"/>
      <c r="CY306" s="5812"/>
      <c r="CZ306" s="5812"/>
      <c r="DA306" s="5812"/>
      <c r="DB306" s="5816"/>
      <c r="DC306" s="5812"/>
      <c r="DD306" s="5812"/>
      <c r="DE306" s="5812"/>
      <c r="DF306" s="5812"/>
      <c r="DG306" s="5816"/>
      <c r="DH306" s="5812">
        <f t="shared" ref="DH306" si="1305">(DH305-DC305)*10000</f>
        <v>574.58928424007263</v>
      </c>
      <c r="DI306" s="5812">
        <f t="shared" ref="DI306" si="1306">(DI305-DD305)*10000</f>
        <v>524.59942481511916</v>
      </c>
      <c r="DJ306" s="5812">
        <f t="shared" ref="DJ306" si="1307">(DJ305-DE305)*10000</f>
        <v>502.97538210820017</v>
      </c>
      <c r="DK306" s="5812">
        <f t="shared" ref="DK306" si="1308">(DK305-DF305)*10000</f>
        <v>613.9989148128052</v>
      </c>
      <c r="DL306" s="5816">
        <f t="shared" ref="DL306" si="1309">(DL305-DG305)*10000</f>
        <v>555.86103782968917</v>
      </c>
      <c r="DM306" s="5812">
        <f t="shared" ref="DM306" si="1310">(DM305-DH305)*10000</f>
        <v>125.13617070295317</v>
      </c>
      <c r="DN306" s="5812">
        <f t="shared" ref="DN306" si="1311">(DN305-DI305)*10000</f>
        <v>150.38817212458886</v>
      </c>
      <c r="DO306" s="5812">
        <f t="shared" ref="DO306" si="1312">(DO305-DJ305)*10000</f>
        <v>93.910243690426768</v>
      </c>
      <c r="DP306" s="5812">
        <f t="shared" ref="DP306" si="1313">(DP305-DK305)*10000</f>
        <v>-116.44188293119251</v>
      </c>
      <c r="DQ306" s="5816">
        <f t="shared" ref="DQ306" si="1314">(DQ305-DL305)*10000</f>
        <v>49.638422524121495</v>
      </c>
      <c r="DR306" s="5812">
        <f t="shared" ref="DR306" si="1315">(DR305-DM305)*10000</f>
        <v>-241.07122635713435</v>
      </c>
      <c r="DS306" s="5812">
        <f t="shared" ref="DS306" si="1316">(DS305-DN305)*10000</f>
        <v>-263.70770036569382</v>
      </c>
      <c r="DT306" s="5812">
        <f t="shared" ref="DT306" si="1317">(DT305-DO305)*10000</f>
        <v>-145.09042324326586</v>
      </c>
      <c r="DU306" s="5812">
        <f t="shared" ref="DU306" si="1318">(DU305-DP305)*10000</f>
        <v>5.0649395754068935</v>
      </c>
      <c r="DV306" s="5816">
        <f t="shared" ref="DV306" si="1319">(DV305-DQ305)*10000</f>
        <v>-147.10256860301396</v>
      </c>
      <c r="DW306" s="5812">
        <f t="shared" ref="DW306" si="1320">(DW305-DR305)*10000</f>
        <v>37.441991143269959</v>
      </c>
      <c r="DX306" s="5812">
        <f t="shared" ref="DX306" si="1321">(DX305-DS305)*10000</f>
        <v>113.51023042605755</v>
      </c>
      <c r="DY306" s="5812">
        <f t="shared" ref="DY306" si="1322">(DY305-DT305)*10000</f>
        <v>101.81447729179921</v>
      </c>
      <c r="DZ306" s="5812">
        <f t="shared" ref="DZ306" si="1323">(DZ305-DU305)*10000</f>
        <v>167.48112132648555</v>
      </c>
      <c r="EA306" s="5816">
        <f t="shared" ref="EA306" si="1324">(EA305-DV305)*10000</f>
        <v>105.60486191563898</v>
      </c>
      <c r="EB306" s="5812">
        <f t="shared" ref="EB306" si="1325">(EB305-DW305)*10000</f>
        <v>-2.5945646931232331</v>
      </c>
      <c r="EC306" s="5812">
        <f t="shared" ref="EC306" si="1326">(EC305-DX305)*10000</f>
        <v>-60.605900953211027</v>
      </c>
      <c r="ED306" s="5812">
        <f t="shared" ref="ED306" si="1327">(ED305-DY305)*10000</f>
        <v>-112.36993176063345</v>
      </c>
      <c r="EE306" s="5812">
        <f t="shared" ref="EE306" si="1328">(EE305-DZ305)*10000</f>
        <v>-85.698041225168922</v>
      </c>
      <c r="EF306" s="5816">
        <f t="shared" ref="EF306" si="1329">(EF305-EA305)*10000</f>
        <v>-65.13059808109567</v>
      </c>
      <c r="EG306" s="5812">
        <f t="shared" ref="EG306" si="1330">(EG305-EB305)*10000</f>
        <v>-130.07524050394812</v>
      </c>
      <c r="EH306" s="5812">
        <f t="shared" ref="EH306" si="1331">(EH305-EC305)*10000</f>
        <v>-91.523679918612615</v>
      </c>
      <c r="EI306" s="5812">
        <f t="shared" ref="EI306" si="1332">(EI305-ED305)*10000</f>
        <v>-45.042851223476916</v>
      </c>
      <c r="EJ306" s="5812">
        <f t="shared" ref="EJ306" si="1333">(EJ305-EE305)*10000</f>
        <v>-136.14238565918404</v>
      </c>
      <c r="EK306" s="5816">
        <f t="shared" ref="EK306" si="1334">(EK305-EF305)*10000</f>
        <v>-101.563134829456</v>
      </c>
      <c r="EL306" s="5812">
        <f t="shared" ref="EL306" si="1335">(EL305-EG305)*10000</f>
        <v>-3.5842264433430526</v>
      </c>
      <c r="EM306" s="5812">
        <f t="shared" ref="EM306" si="1336">(EM305-EH305)*10000</f>
        <v>22.349202077667147</v>
      </c>
      <c r="EN306" s="5812">
        <f t="shared" ref="EN306" si="1337">(EN305-EI305)*10000</f>
        <v>-11.619092161351748</v>
      </c>
      <c r="EO306" s="5812">
        <f t="shared" ref="EO306:EP306" si="1338">(EO305-EJ305)*10000</f>
        <v>-12.13351099483631</v>
      </c>
      <c r="EP306" s="5816">
        <f t="shared" si="1338"/>
        <v>-1.3648860940402434</v>
      </c>
      <c r="EQ306" s="5812">
        <f t="shared" ref="EQ306" si="1339">(EQ305-EL305)*10000</f>
        <v>-5.1254152698648747</v>
      </c>
      <c r="ER306" s="5812">
        <f t="shared" ref="ER306" si="1340">(ER305-EM305)*10000</f>
        <v>-55.759447320599811</v>
      </c>
      <c r="ES306" s="5812">
        <f t="shared" ref="ES306" si="1341">(ES305-EN305)*10000</f>
        <v>-43.297211568161174</v>
      </c>
      <c r="ET306" s="5812">
        <f t="shared" ref="ET306:EU306" si="1342">(ET305-EO305)*10000</f>
        <v>-38.040045826186336</v>
      </c>
      <c r="EU306" s="5816">
        <f t="shared" si="1342"/>
        <v>-36.272549685769512</v>
      </c>
      <c r="EV306" s="5816">
        <f>(EV305-EU305)*10000</f>
        <v>-12.575956762603813</v>
      </c>
      <c r="EW306" s="5816">
        <f>(EW305-EV305)*10000</f>
        <v>-15.325001783407997</v>
      </c>
      <c r="EX306" s="5816">
        <f>(EX305-EW305)*10000</f>
        <v>-15.724765620954498</v>
      </c>
      <c r="EY306" s="5816">
        <f>(EY305-EX305)*10000</f>
        <v>-16.08491762101087</v>
      </c>
      <c r="EZ306" s="129"/>
    </row>
    <row r="307" spans="1:168" ht="11.25" hidden="1" customHeight="1" outlineLevel="1">
      <c r="A307" s="490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c r="AF307" s="35"/>
      <c r="AG307" s="35"/>
      <c r="AH307" s="35"/>
      <c r="AI307" s="35"/>
      <c r="AJ307" s="35"/>
      <c r="AK307" s="35"/>
      <c r="AL307" s="35"/>
      <c r="AM307" s="35"/>
      <c r="AN307" s="35"/>
      <c r="AO307" s="35"/>
      <c r="AP307" s="35"/>
      <c r="AQ307" s="35"/>
      <c r="AR307" s="35"/>
      <c r="AS307" s="35"/>
      <c r="AT307" s="32"/>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1"/>
      <c r="BU307" s="285"/>
      <c r="BV307" s="31"/>
      <c r="BW307" s="31"/>
      <c r="BX307" s="5810"/>
      <c r="BY307" s="35"/>
      <c r="BZ307" s="35"/>
      <c r="CA307" s="35"/>
      <c r="CB307" s="35"/>
      <c r="CC307" s="35"/>
      <c r="CD307" s="31"/>
      <c r="CE307" s="285"/>
      <c r="CF307" s="31"/>
      <c r="CG307" s="31"/>
      <c r="CH307" s="5810"/>
      <c r="CI307" s="31"/>
      <c r="CJ307" s="285"/>
      <c r="CK307" s="31"/>
      <c r="CL307" s="31"/>
      <c r="CM307" s="5810"/>
      <c r="CN307" s="31"/>
      <c r="CO307" s="285"/>
      <c r="CP307" s="31"/>
      <c r="CQ307" s="31"/>
      <c r="CR307" s="5810"/>
      <c r="CS307" s="31"/>
      <c r="CT307" s="285"/>
      <c r="CU307" s="31"/>
      <c r="CV307" s="31"/>
      <c r="CW307" s="5810"/>
      <c r="CX307" s="31"/>
      <c r="CY307" s="285"/>
      <c r="CZ307" s="31"/>
      <c r="DA307" s="31"/>
      <c r="DB307" s="5810"/>
      <c r="DC307" s="31"/>
      <c r="DD307" s="285"/>
      <c r="DE307" s="31"/>
      <c r="DF307" s="31"/>
      <c r="DG307" s="5810"/>
      <c r="DH307" s="31"/>
      <c r="DI307" s="285"/>
      <c r="DJ307" s="31"/>
      <c r="DK307" s="31"/>
      <c r="DL307" s="5810"/>
      <c r="DM307" s="31"/>
      <c r="DN307" s="285"/>
      <c r="DO307" s="31"/>
      <c r="DP307" s="31"/>
      <c r="DQ307" s="5810"/>
      <c r="DR307" s="31"/>
      <c r="DS307" s="285"/>
      <c r="DT307" s="31"/>
      <c r="DU307" s="31"/>
      <c r="DV307" s="5810"/>
      <c r="DW307" s="31"/>
      <c r="DX307" s="285"/>
      <c r="DY307" s="31"/>
      <c r="DZ307" s="31"/>
      <c r="EA307" s="5810"/>
      <c r="EB307" s="31"/>
      <c r="EC307" s="31"/>
      <c r="ED307" s="31"/>
      <c r="EE307" s="31"/>
      <c r="EF307" s="5810"/>
      <c r="EG307" s="31"/>
      <c r="EH307" s="285"/>
      <c r="EI307" s="31"/>
      <c r="EJ307" s="31"/>
      <c r="EK307" s="5810"/>
      <c r="EL307" s="31"/>
      <c r="EM307" s="31"/>
      <c r="EN307" s="31"/>
      <c r="EO307" s="31"/>
      <c r="EP307" s="5810"/>
      <c r="EQ307" s="31"/>
      <c r="ER307" s="31"/>
      <c r="ES307" s="31"/>
      <c r="ET307" s="31"/>
      <c r="EU307" s="5810"/>
      <c r="EV307" s="5810"/>
      <c r="EW307" s="5810"/>
      <c r="EX307" s="5810"/>
      <c r="EY307" s="5810"/>
      <c r="EZ307" s="129"/>
    </row>
    <row r="308" spans="1:168" ht="11.25" hidden="1" customHeight="1" outlineLevel="1">
      <c r="A308" s="4905" t="str">
        <f>A280</f>
        <v>Stock compensation expense (incl. above)</v>
      </c>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c r="AF308" s="35"/>
      <c r="AG308" s="35"/>
      <c r="AH308" s="35"/>
      <c r="AI308" s="35"/>
      <c r="AJ308" s="35"/>
      <c r="AK308" s="35"/>
      <c r="AL308" s="35"/>
      <c r="AM308" s="35"/>
      <c r="AN308" s="35"/>
      <c r="AO308" s="35"/>
      <c r="AP308" s="35"/>
      <c r="AQ308" s="35"/>
      <c r="AR308" s="35"/>
      <c r="AS308" s="35"/>
      <c r="AT308" s="32"/>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285"/>
      <c r="BU308" s="285"/>
      <c r="BV308" s="285"/>
      <c r="BW308" s="285"/>
      <c r="BX308" s="5815"/>
      <c r="BY308" s="35"/>
      <c r="BZ308" s="35"/>
      <c r="CA308" s="35"/>
      <c r="CB308" s="35"/>
      <c r="CC308" s="35"/>
      <c r="CD308" s="285"/>
      <c r="CE308" s="285"/>
      <c r="CF308" s="285"/>
      <c r="CG308" s="285"/>
      <c r="CH308" s="5815"/>
      <c r="CI308" s="285"/>
      <c r="CJ308" s="285"/>
      <c r="CK308" s="285"/>
      <c r="CL308" s="285"/>
      <c r="CM308" s="5815"/>
      <c r="CN308" s="285"/>
      <c r="CO308" s="285"/>
      <c r="CP308" s="285"/>
      <c r="CQ308" s="285"/>
      <c r="CR308" s="5815"/>
      <c r="CS308" s="285"/>
      <c r="CT308" s="285"/>
      <c r="CU308" s="285"/>
      <c r="CV308" s="285"/>
      <c r="CW308" s="5815"/>
      <c r="CX308" s="285"/>
      <c r="CY308" s="285"/>
      <c r="CZ308" s="285"/>
      <c r="DA308" s="285"/>
      <c r="DB308" s="5815"/>
      <c r="DC308" s="285"/>
      <c r="DD308" s="285"/>
      <c r="DE308" s="285"/>
      <c r="DF308" s="285"/>
      <c r="DG308" s="5815"/>
      <c r="DH308" s="285">
        <f t="shared" ref="DH308:DM308" si="1343">DH280/DH$7</f>
        <v>7.6199124907124577E-2</v>
      </c>
      <c r="DI308" s="285">
        <f t="shared" si="1343"/>
        <v>7.0768282662284313E-2</v>
      </c>
      <c r="DJ308" s="285">
        <f t="shared" si="1343"/>
        <v>6.4791723252425992E-2</v>
      </c>
      <c r="DK308" s="285">
        <f t="shared" si="1343"/>
        <v>5.7406402604449271E-2</v>
      </c>
      <c r="DL308" s="5815">
        <f t="shared" si="1343"/>
        <v>6.6688496635919359E-2</v>
      </c>
      <c r="DM308" s="285">
        <f t="shared" si="1343"/>
        <v>7.7528608566777624E-2</v>
      </c>
      <c r="DN308" s="285">
        <f t="shared" ref="DN308:EW308" si="1344">DN280/DN$7</f>
        <v>8.8309789278533571E-2</v>
      </c>
      <c r="DO308" s="285">
        <f t="shared" si="1344"/>
        <v>6.9196283542329928E-2</v>
      </c>
      <c r="DP308" s="285">
        <f t="shared" si="1344"/>
        <v>5.6645224788217513E-2</v>
      </c>
      <c r="DQ308" s="5815">
        <f t="shared" si="1344"/>
        <v>7.1173031935001393E-2</v>
      </c>
      <c r="DR308" s="285">
        <f t="shared" si="1344"/>
        <v>6.7704378638319407E-2</v>
      </c>
      <c r="DS308" s="285">
        <f t="shared" si="1344"/>
        <v>6.1457659987071749E-2</v>
      </c>
      <c r="DT308" s="285">
        <f t="shared" si="1344"/>
        <v>5.9491999140022726E-2</v>
      </c>
      <c r="DU308" s="285">
        <f t="shared" si="1344"/>
        <v>5.2492532359774309E-2</v>
      </c>
      <c r="DV308" s="5815">
        <f t="shared" si="1344"/>
        <v>5.9680868819307786E-2</v>
      </c>
      <c r="DW308" s="285">
        <f t="shared" si="1344"/>
        <v>6.6224581317728015E-2</v>
      </c>
      <c r="DX308" s="285">
        <f t="shared" si="1344"/>
        <v>6.8623089617564761E-2</v>
      </c>
      <c r="DY308" s="285">
        <f t="shared" si="1344"/>
        <v>7.201991547501882E-2</v>
      </c>
      <c r="DZ308" s="285">
        <f t="shared" si="1344"/>
        <v>6.7062907637281718E-2</v>
      </c>
      <c r="EA308" s="5815">
        <f t="shared" si="1344"/>
        <v>6.8456632111895233E-2</v>
      </c>
      <c r="EB308" s="285">
        <f t="shared" si="1344"/>
        <v>6.9812429249000524E-2</v>
      </c>
      <c r="EC308" s="285">
        <f t="shared" si="1344"/>
        <v>7.7167444104873736E-2</v>
      </c>
      <c r="ED308" s="285">
        <f t="shared" si="1344"/>
        <v>7.4882974978159669E-2</v>
      </c>
      <c r="EE308" s="285">
        <f t="shared" si="1344"/>
        <v>6.5531224655312248E-2</v>
      </c>
      <c r="EF308" s="5815">
        <f t="shared" si="1344"/>
        <v>7.1660474830348028E-2</v>
      </c>
      <c r="EG308" s="285">
        <f t="shared" si="1344"/>
        <v>6.5359639429344793E-2</v>
      </c>
      <c r="EH308" s="285">
        <f t="shared" si="1344"/>
        <v>6.9210072927237964E-2</v>
      </c>
      <c r="EI308" s="285">
        <f t="shared" si="1344"/>
        <v>6.6230117369828256E-2</v>
      </c>
      <c r="EJ308" s="285">
        <f t="shared" si="1344"/>
        <v>6.0226601291606632E-2</v>
      </c>
      <c r="EK308" s="5815">
        <f t="shared" si="1344"/>
        <v>6.5096652172174002E-2</v>
      </c>
      <c r="EL308" s="285">
        <f t="shared" ref="EL308:EP308" si="1345">EL280/EL$7</f>
        <v>6.1129951016246645E-2</v>
      </c>
      <c r="EM308" s="285">
        <f t="shared" si="1345"/>
        <v>6.2201850085037542E-2</v>
      </c>
      <c r="EN308" s="285">
        <f t="shared" si="1345"/>
        <v>6.2220311492388561E-2</v>
      </c>
      <c r="EO308" s="285">
        <f t="shared" si="1345"/>
        <v>5.8150553987242129E-2</v>
      </c>
      <c r="EP308" s="5815">
        <f t="shared" si="1345"/>
        <v>6.0832206498561359E-2</v>
      </c>
      <c r="EQ308" s="285">
        <f t="shared" ref="EQ308:EU308" si="1346">EQ280/EQ$7</f>
        <v>6.0686484024435251E-2</v>
      </c>
      <c r="ER308" s="285">
        <f t="shared" si="1346"/>
        <v>6.3035515146646889E-2</v>
      </c>
      <c r="ES308" s="285">
        <f t="shared" si="1346"/>
        <v>6.2901126811633457E-2</v>
      </c>
      <c r="ET308" s="285">
        <f t="shared" si="1346"/>
        <v>5.7117133041644667E-2</v>
      </c>
      <c r="EU308" s="5815">
        <f t="shared" si="1346"/>
        <v>6.0819124689590463E-2</v>
      </c>
      <c r="EV308" s="5815">
        <f t="shared" si="1344"/>
        <v>5.8138350225756301E-2</v>
      </c>
      <c r="EW308" s="5815">
        <f t="shared" si="1344"/>
        <v>5.6051605307394753E-2</v>
      </c>
      <c r="EX308" s="5815">
        <f t="shared" ref="EX308:EY308" si="1347">EX280/EX$7</f>
        <v>5.442994825045748E-2</v>
      </c>
      <c r="EY308" s="5815">
        <f t="shared" si="1347"/>
        <v>5.3022331134131281E-2</v>
      </c>
      <c r="EZ308" s="129"/>
    </row>
    <row r="309" spans="1:168" ht="11.25" hidden="1" customHeight="1" outlineLevel="2">
      <c r="A309" s="5894" t="s">
        <v>734</v>
      </c>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c r="AF309" s="35"/>
      <c r="AG309" s="35"/>
      <c r="AH309" s="35"/>
      <c r="AI309" s="35"/>
      <c r="AJ309" s="35"/>
      <c r="AK309" s="35"/>
      <c r="AL309" s="35"/>
      <c r="AM309" s="35"/>
      <c r="AN309" s="35"/>
      <c r="AO309" s="35"/>
      <c r="AP309" s="35"/>
      <c r="AQ309" s="35"/>
      <c r="AR309" s="35"/>
      <c r="AS309" s="35"/>
      <c r="AT309" s="32"/>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5812"/>
      <c r="BU309" s="5812"/>
      <c r="BV309" s="5812"/>
      <c r="BW309" s="5812"/>
      <c r="BX309" s="5816"/>
      <c r="BY309" s="35"/>
      <c r="BZ309" s="35"/>
      <c r="CA309" s="35"/>
      <c r="CB309" s="35"/>
      <c r="CC309" s="35"/>
      <c r="CD309" s="5812"/>
      <c r="CE309" s="5812"/>
      <c r="CF309" s="5812"/>
      <c r="CG309" s="5812"/>
      <c r="CH309" s="5816"/>
      <c r="CI309" s="5812"/>
      <c r="CJ309" s="5812"/>
      <c r="CK309" s="5812"/>
      <c r="CL309" s="5812"/>
      <c r="CM309" s="5816"/>
      <c r="CN309" s="5812"/>
      <c r="CO309" s="5812"/>
      <c r="CP309" s="5812"/>
      <c r="CQ309" s="5812"/>
      <c r="CR309" s="5816"/>
      <c r="CS309" s="5812"/>
      <c r="CT309" s="5812"/>
      <c r="CU309" s="5812"/>
      <c r="CV309" s="5812"/>
      <c r="CW309" s="5816"/>
      <c r="CX309" s="5812"/>
      <c r="CY309" s="5812"/>
      <c r="CZ309" s="5812"/>
      <c r="DA309" s="5812"/>
      <c r="DB309" s="5816"/>
      <c r="DC309" s="5812"/>
      <c r="DD309" s="5812"/>
      <c r="DE309" s="5812"/>
      <c r="DF309" s="5812"/>
      <c r="DG309" s="5816"/>
      <c r="DH309" s="5812">
        <f t="shared" ref="DH309" si="1348">(DH308-DC308)*10000</f>
        <v>761.99124907124576</v>
      </c>
      <c r="DI309" s="5812">
        <f t="shared" ref="DI309" si="1349">(DI308-DD308)*10000</f>
        <v>707.68282662284309</v>
      </c>
      <c r="DJ309" s="5812">
        <f t="shared" ref="DJ309" si="1350">(DJ308-DE308)*10000</f>
        <v>647.91723252425993</v>
      </c>
      <c r="DK309" s="5812">
        <f t="shared" ref="DK309" si="1351">(DK308-DF308)*10000</f>
        <v>574.06402604449272</v>
      </c>
      <c r="DL309" s="5816">
        <f t="shared" ref="DL309" si="1352">(DL308-DG308)*10000</f>
        <v>666.88496635919364</v>
      </c>
      <c r="DM309" s="5812">
        <f t="shared" ref="DM309" si="1353">(DM308-DH308)*10000</f>
        <v>13.294836596530468</v>
      </c>
      <c r="DN309" s="5812">
        <f t="shared" ref="DN309" si="1354">(DN308-DI308)*10000</f>
        <v>175.41506616249259</v>
      </c>
      <c r="DO309" s="5812">
        <f t="shared" ref="DO309" si="1355">(DO308-DJ308)*10000</f>
        <v>44.045602899039359</v>
      </c>
      <c r="DP309" s="5812">
        <f t="shared" ref="DP309" si="1356">(DP308-DK308)*10000</f>
        <v>-7.6117781623175755</v>
      </c>
      <c r="DQ309" s="5816">
        <f t="shared" ref="DQ309" si="1357">(DQ308-DL308)*10000</f>
        <v>44.845352990820345</v>
      </c>
      <c r="DR309" s="5812">
        <f t="shared" ref="DR309" si="1358">(DR308-DM308)*10000</f>
        <v>-98.242299284582174</v>
      </c>
      <c r="DS309" s="5812">
        <f t="shared" ref="DS309" si="1359">(DS308-DN308)*10000</f>
        <v>-268.52129291461824</v>
      </c>
      <c r="DT309" s="5812">
        <f t="shared" ref="DT309" si="1360">(DT308-DO308)*10000</f>
        <v>-97.042844023072021</v>
      </c>
      <c r="DU309" s="5812">
        <f t="shared" ref="DU309" si="1361">(DU308-DP308)*10000</f>
        <v>-41.526924284432042</v>
      </c>
      <c r="DV309" s="5816">
        <f t="shared" ref="DV309" si="1362">(DV308-DQ308)*10000</f>
        <v>-114.92163115693607</v>
      </c>
      <c r="DW309" s="5812">
        <f t="shared" ref="DW309" si="1363">(DW308-DR308)*10000</f>
        <v>-14.797973205913916</v>
      </c>
      <c r="DX309" s="5812">
        <f t="shared" ref="DX309" si="1364">(DX308-DS308)*10000</f>
        <v>71.654296304930128</v>
      </c>
      <c r="DY309" s="5812">
        <f t="shared" ref="DY309" si="1365">(DY308-DT308)*10000</f>
        <v>125.27916334996094</v>
      </c>
      <c r="DZ309" s="5812">
        <f t="shared" ref="DZ309" si="1366">(DZ308-DU308)*10000</f>
        <v>145.70375277507409</v>
      </c>
      <c r="EA309" s="5816">
        <f t="shared" ref="EA309" si="1367">(EA308-DV308)*10000</f>
        <v>87.757632925874461</v>
      </c>
      <c r="EB309" s="5812">
        <f>(EB308-DW308)*10000</f>
        <v>35.878479312725084</v>
      </c>
      <c r="EC309" s="5812">
        <f>(EC308-DX308)*10000</f>
        <v>85.443544873089749</v>
      </c>
      <c r="ED309" s="5812">
        <f>(ED308-DY308)*10000</f>
        <v>28.630595031408497</v>
      </c>
      <c r="EE309" s="5812">
        <f>(EE308-DZ308)*10000</f>
        <v>-15.316829819694705</v>
      </c>
      <c r="EF309" s="5816">
        <f>(EF308-EA308)*10000</f>
        <v>32.038427184527954</v>
      </c>
      <c r="EG309" s="5812">
        <f t="shared" ref="EG309:EK309" si="1368">(EG308-EB308)*10000</f>
        <v>-44.52789819655731</v>
      </c>
      <c r="EH309" s="5812">
        <f t="shared" si="1368"/>
        <v>-79.573711776357726</v>
      </c>
      <c r="EI309" s="5812">
        <f t="shared" si="1368"/>
        <v>-86.528576083314135</v>
      </c>
      <c r="EJ309" s="5812">
        <f t="shared" si="1368"/>
        <v>-53.046233637056154</v>
      </c>
      <c r="EK309" s="5816">
        <f t="shared" si="1368"/>
        <v>-65.638226581740255</v>
      </c>
      <c r="EL309" s="5812">
        <f t="shared" ref="EL309" si="1369">(EL308-EG308)*10000</f>
        <v>-42.296884130981482</v>
      </c>
      <c r="EM309" s="5812">
        <f t="shared" ref="EM309" si="1370">(EM308-EH308)*10000</f>
        <v>-70.082228422004221</v>
      </c>
      <c r="EN309" s="5812">
        <f t="shared" ref="EN309" si="1371">(EN308-EI308)*10000</f>
        <v>-40.098058774396954</v>
      </c>
      <c r="EO309" s="5812">
        <f t="shared" ref="EO309:EP309" si="1372">(EO308-EJ308)*10000</f>
        <v>-20.760473043645035</v>
      </c>
      <c r="EP309" s="5816">
        <f t="shared" si="1372"/>
        <v>-42.644456736126436</v>
      </c>
      <c r="EQ309" s="5812">
        <f t="shared" ref="EQ309" si="1373">(EQ308-EL308)*10000</f>
        <v>-4.4346699181139346</v>
      </c>
      <c r="ER309" s="5812">
        <f t="shared" ref="ER309" si="1374">(ER308-EM308)*10000</f>
        <v>8.3366506160934684</v>
      </c>
      <c r="ES309" s="5812">
        <f t="shared" ref="ES309" si="1375">(ES308-EN308)*10000</f>
        <v>6.8081531924489571</v>
      </c>
      <c r="ET309" s="5812">
        <f t="shared" ref="ET309:EU309" si="1376">(ET308-EO308)*10000</f>
        <v>-10.334209455974616</v>
      </c>
      <c r="EU309" s="5816">
        <f t="shared" si="1376"/>
        <v>-0.13081808970895337</v>
      </c>
      <c r="EV309" s="5816">
        <f>(EV308-EU308)*10000</f>
        <v>-26.807744638341624</v>
      </c>
      <c r="EW309" s="5816">
        <f>(EW308-EV308)*10000</f>
        <v>-20.867449183615481</v>
      </c>
      <c r="EX309" s="5816">
        <f>(EX308-EW308)*10000</f>
        <v>-16.216570569372728</v>
      </c>
      <c r="EY309" s="5816">
        <f>(EY308-EX308)*10000</f>
        <v>-14.076171163261986</v>
      </c>
      <c r="EZ309" s="129"/>
    </row>
    <row r="310" spans="1:168" ht="11.25" hidden="1" customHeight="1" outlineLevel="1">
      <c r="A310" s="4905" t="str">
        <f>A281</f>
        <v>Depreciation &amp; amortization (incl. above)</v>
      </c>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c r="AF310" s="35"/>
      <c r="AG310" s="35"/>
      <c r="AH310" s="35"/>
      <c r="AI310" s="35"/>
      <c r="AJ310" s="35"/>
      <c r="AK310" s="35"/>
      <c r="AL310" s="35"/>
      <c r="AM310" s="35"/>
      <c r="AN310" s="35"/>
      <c r="AO310" s="35"/>
      <c r="AP310" s="35"/>
      <c r="AQ310" s="35"/>
      <c r="AR310" s="35"/>
      <c r="AS310" s="35"/>
      <c r="AT310" s="32"/>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285"/>
      <c r="BU310" s="285"/>
      <c r="BV310" s="285"/>
      <c r="BW310" s="285"/>
      <c r="BX310" s="5815"/>
      <c r="BY310" s="35"/>
      <c r="BZ310" s="35"/>
      <c r="CA310" s="35"/>
      <c r="CB310" s="35"/>
      <c r="CC310" s="35"/>
      <c r="CD310" s="285"/>
      <c r="CE310" s="285"/>
      <c r="CF310" s="285"/>
      <c r="CG310" s="285"/>
      <c r="CH310" s="5815"/>
      <c r="CI310" s="285"/>
      <c r="CJ310" s="285"/>
      <c r="CK310" s="285"/>
      <c r="CL310" s="285"/>
      <c r="CM310" s="5815"/>
      <c r="CN310" s="285"/>
      <c r="CO310" s="285"/>
      <c r="CP310" s="285"/>
      <c r="CQ310" s="285"/>
      <c r="CR310" s="5815"/>
      <c r="CS310" s="285"/>
      <c r="CT310" s="285"/>
      <c r="CU310" s="285"/>
      <c r="CV310" s="285"/>
      <c r="CW310" s="5815"/>
      <c r="CX310" s="285"/>
      <c r="CY310" s="285"/>
      <c r="CZ310" s="285"/>
      <c r="DA310" s="285"/>
      <c r="DB310" s="5815"/>
      <c r="DC310" s="285"/>
      <c r="DD310" s="285"/>
      <c r="DE310" s="285"/>
      <c r="DF310" s="285"/>
      <c r="DG310" s="5815"/>
      <c r="DH310" s="285">
        <f t="shared" ref="DH310:EW310" si="1377">DH281/DH$7</f>
        <v>7.1906216461652767E-2</v>
      </c>
      <c r="DI310" s="285">
        <f t="shared" si="1377"/>
        <v>7.2796836483155297E-2</v>
      </c>
      <c r="DJ310" s="285">
        <f t="shared" si="1377"/>
        <v>7.2100545692486237E-2</v>
      </c>
      <c r="DK310" s="285">
        <f t="shared" si="1377"/>
        <v>7.4074877916440587E-2</v>
      </c>
      <c r="DL310" s="5815">
        <f t="shared" si="1377"/>
        <v>7.2786472009242723E-2</v>
      </c>
      <c r="DM310" s="285">
        <f t="shared" si="1377"/>
        <v>7.5512038679268201E-2</v>
      </c>
      <c r="DN310" s="285">
        <f t="shared" si="1377"/>
        <v>8.8414236102044547E-2</v>
      </c>
      <c r="DO310" s="285">
        <f t="shared" si="1377"/>
        <v>7.5325406622918159E-2</v>
      </c>
      <c r="DP310" s="285">
        <f t="shared" si="1377"/>
        <v>6.5468030510738517E-2</v>
      </c>
      <c r="DQ310" s="5815">
        <f t="shared" si="1377"/>
        <v>7.5040952845332465E-2</v>
      </c>
      <c r="DR310" s="285">
        <f t="shared" si="1377"/>
        <v>3.4674765882055175E-2</v>
      </c>
      <c r="DS310" s="285">
        <f t="shared" si="1377"/>
        <v>3.5940530058177114E-2</v>
      </c>
      <c r="DT310" s="285">
        <f t="shared" si="1377"/>
        <v>4.1662827482416537E-2</v>
      </c>
      <c r="DU310" s="285">
        <f t="shared" si="1377"/>
        <v>3.9641553269166942E-2</v>
      </c>
      <c r="DV310" s="5815">
        <f t="shared" si="1377"/>
        <v>3.819715335918366E-2</v>
      </c>
      <c r="DW310" s="285">
        <f t="shared" si="1377"/>
        <v>5.5608651541662377E-2</v>
      </c>
      <c r="DX310" s="285">
        <f t="shared" si="1377"/>
        <v>5.5951783023606226E-2</v>
      </c>
      <c r="DY310" s="285">
        <f t="shared" si="1377"/>
        <v>5.8559601690499626E-2</v>
      </c>
      <c r="DZ310" s="285">
        <f t="shared" si="1377"/>
        <v>5.5241426467494213E-2</v>
      </c>
      <c r="EA310" s="5815">
        <f t="shared" si="1377"/>
        <v>5.6315320539111001E-2</v>
      </c>
      <c r="EB310" s="285">
        <f t="shared" si="1377"/>
        <v>3.1495837333600812E-2</v>
      </c>
      <c r="EC310" s="285">
        <f t="shared" si="1377"/>
        <v>3.258538416170715E-2</v>
      </c>
      <c r="ED310" s="285">
        <f t="shared" si="1377"/>
        <v>3.680909600615441E-2</v>
      </c>
      <c r="EE310" s="285">
        <f t="shared" si="1377"/>
        <v>2.7030471556019002E-2</v>
      </c>
      <c r="EF310" s="5815">
        <f t="shared" si="1377"/>
        <v>3.1832111231839266E-2</v>
      </c>
      <c r="EG310" s="285">
        <f t="shared" si="1377"/>
        <v>4.2376985063137113E-2</v>
      </c>
      <c r="EH310" s="285">
        <f t="shared" si="1377"/>
        <v>4.3756342781619502E-2</v>
      </c>
      <c r="EI310" s="285">
        <f t="shared" si="1377"/>
        <v>4.51465989939729E-2</v>
      </c>
      <c r="EJ310" s="285">
        <f t="shared" si="1377"/>
        <v>4.3589132260104281E-2</v>
      </c>
      <c r="EK310" s="5815">
        <f t="shared" si="1377"/>
        <v>4.3743464621819446E-2</v>
      </c>
      <c r="EL310" s="285">
        <f t="shared" ref="EL310:EP310" si="1378">EL281/EL$7</f>
        <v>4.9726267260677796E-2</v>
      </c>
      <c r="EM310" s="285">
        <f t="shared" si="1378"/>
        <v>5.1831418260256355E-2</v>
      </c>
      <c r="EN310" s="285">
        <f t="shared" si="1378"/>
        <v>5.4823832880620642E-2</v>
      </c>
      <c r="EO310" s="285">
        <f t="shared" si="1378"/>
        <v>5.7295398781547387E-2</v>
      </c>
      <c r="EP310" s="5815">
        <f t="shared" si="1378"/>
        <v>5.3649759380276017E-2</v>
      </c>
      <c r="EQ310" s="285">
        <f t="shared" ref="EQ310:EU310" si="1379">EQ281/EQ$7</f>
        <v>7.0943354563776428E-2</v>
      </c>
      <c r="ER310" s="285">
        <f t="shared" si="1379"/>
        <v>7.729753691057821E-2</v>
      </c>
      <c r="ES310" s="285">
        <f t="shared" si="1379"/>
        <v>8.1216141150765767E-2</v>
      </c>
      <c r="ET310" s="285">
        <f t="shared" si="1379"/>
        <v>8.3944877349083832E-2</v>
      </c>
      <c r="EU310" s="5815">
        <f t="shared" si="1379"/>
        <v>7.8701728000214938E-2</v>
      </c>
      <c r="EV310" s="5815">
        <f t="shared" si="1377"/>
        <v>9.5451022758704387E-2</v>
      </c>
      <c r="EW310" s="5815">
        <f t="shared" si="1377"/>
        <v>9.6038576071860171E-2</v>
      </c>
      <c r="EX310" s="5815">
        <f t="shared" ref="EX310:EY310" si="1380">EX281/EX$7</f>
        <v>9.3935555851595978E-2</v>
      </c>
      <c r="EY310" s="5815">
        <f t="shared" si="1380"/>
        <v>9.1752453210476745E-2</v>
      </c>
      <c r="EZ310" s="129"/>
    </row>
    <row r="311" spans="1:168" ht="11.25" hidden="1" customHeight="1" outlineLevel="2">
      <c r="A311" s="5894" t="s">
        <v>734</v>
      </c>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c r="AF311" s="35"/>
      <c r="AG311" s="35"/>
      <c r="AH311" s="35"/>
      <c r="AI311" s="35"/>
      <c r="AJ311" s="35"/>
      <c r="AK311" s="35"/>
      <c r="AL311" s="35"/>
      <c r="AM311" s="35"/>
      <c r="AN311" s="35"/>
      <c r="AO311" s="35"/>
      <c r="AP311" s="35"/>
      <c r="AQ311" s="35"/>
      <c r="AR311" s="35"/>
      <c r="AS311" s="35"/>
      <c r="AT311" s="32"/>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5812"/>
      <c r="BU311" s="5812"/>
      <c r="BV311" s="5812"/>
      <c r="BW311" s="5812"/>
      <c r="BX311" s="5816"/>
      <c r="BY311" s="35"/>
      <c r="BZ311" s="35"/>
      <c r="CA311" s="35"/>
      <c r="CB311" s="35"/>
      <c r="CC311" s="35"/>
      <c r="CD311" s="5812"/>
      <c r="CE311" s="5812"/>
      <c r="CF311" s="5812"/>
      <c r="CG311" s="5812"/>
      <c r="CH311" s="5816"/>
      <c r="CI311" s="5812"/>
      <c r="CJ311" s="5812"/>
      <c r="CK311" s="5812"/>
      <c r="CL311" s="5812"/>
      <c r="CM311" s="5816"/>
      <c r="CN311" s="5812"/>
      <c r="CO311" s="5812"/>
      <c r="CP311" s="5812"/>
      <c r="CQ311" s="5812"/>
      <c r="CR311" s="5816"/>
      <c r="CS311" s="5812"/>
      <c r="CT311" s="5812"/>
      <c r="CU311" s="5812"/>
      <c r="CV311" s="5812"/>
      <c r="CW311" s="5816"/>
      <c r="CX311" s="5812"/>
      <c r="CY311" s="5812"/>
      <c r="CZ311" s="5812"/>
      <c r="DA311" s="5812"/>
      <c r="DB311" s="5816"/>
      <c r="DC311" s="5812"/>
      <c r="DD311" s="5812"/>
      <c r="DE311" s="5812"/>
      <c r="DF311" s="5812"/>
      <c r="DG311" s="5816"/>
      <c r="DH311" s="5812">
        <f t="shared" ref="DH311" si="1381">(DH310-DC310)*10000</f>
        <v>719.06216461652764</v>
      </c>
      <c r="DI311" s="5812">
        <f t="shared" ref="DI311" si="1382">(DI310-DD310)*10000</f>
        <v>727.968364831553</v>
      </c>
      <c r="DJ311" s="5812">
        <f t="shared" ref="DJ311" si="1383">(DJ310-DE310)*10000</f>
        <v>721.00545692486241</v>
      </c>
      <c r="DK311" s="5812">
        <f t="shared" ref="DK311" si="1384">(DK310-DF310)*10000</f>
        <v>740.74877916440585</v>
      </c>
      <c r="DL311" s="5816">
        <f t="shared" ref="DL311" si="1385">(DL310-DG310)*10000</f>
        <v>727.86472009242721</v>
      </c>
      <c r="DM311" s="5812">
        <f t="shared" ref="DM311" si="1386">(DM310-DH310)*10000</f>
        <v>36.058222176154345</v>
      </c>
      <c r="DN311" s="5812">
        <f t="shared" ref="DN311" si="1387">(DN310-DI310)*10000</f>
        <v>156.17399618889249</v>
      </c>
      <c r="DO311" s="5812">
        <f t="shared" ref="DO311" si="1388">(DO310-DJ310)*10000</f>
        <v>32.248609304319217</v>
      </c>
      <c r="DP311" s="5812">
        <f t="shared" ref="DP311" si="1389">(DP310-DK310)*10000</f>
        <v>-86.068474057020694</v>
      </c>
      <c r="DQ311" s="5816">
        <f t="shared" ref="DQ311" si="1390">(DQ310-DL310)*10000</f>
        <v>22.544808360897424</v>
      </c>
      <c r="DR311" s="5812">
        <f t="shared" ref="DR311" si="1391">(DR310-DM310)*10000</f>
        <v>-408.37272797213024</v>
      </c>
      <c r="DS311" s="5812">
        <f t="shared" ref="DS311" si="1392">(DS310-DN310)*10000</f>
        <v>-524.73706043867435</v>
      </c>
      <c r="DT311" s="5812">
        <f t="shared" ref="DT311" si="1393">(DT310-DO310)*10000</f>
        <v>-336.62579140501623</v>
      </c>
      <c r="DU311" s="5812">
        <f t="shared" ref="DU311" si="1394">(DU310-DP310)*10000</f>
        <v>-258.26477241571575</v>
      </c>
      <c r="DV311" s="5816">
        <f t="shared" ref="DV311" si="1395">(DV310-DQ310)*10000</f>
        <v>-368.43799486148805</v>
      </c>
      <c r="DW311" s="5812">
        <f t="shared" ref="DW311" si="1396">(DW310-DR310)*10000</f>
        <v>209.33885659607202</v>
      </c>
      <c r="DX311" s="5812">
        <f t="shared" ref="DX311" si="1397">(DX310-DS310)*10000</f>
        <v>200.11252965429111</v>
      </c>
      <c r="DY311" s="5812">
        <f t="shared" ref="DY311" si="1398">(DY310-DT310)*10000</f>
        <v>168.96774208083087</v>
      </c>
      <c r="DZ311" s="5812">
        <f t="shared" ref="DZ311" si="1399">(DZ310-DU310)*10000</f>
        <v>155.99873198327271</v>
      </c>
      <c r="EA311" s="5816">
        <f t="shared" ref="EA311" si="1400">(EA310-DV310)*10000</f>
        <v>181.1816717992734</v>
      </c>
      <c r="EB311" s="5812">
        <f>(EB310-DW310)*10000</f>
        <v>-241.12814208061565</v>
      </c>
      <c r="EC311" s="5812">
        <f>(EC310-DX310)*10000</f>
        <v>-233.66398861899077</v>
      </c>
      <c r="ED311" s="5812">
        <f>(ED310-DY310)*10000</f>
        <v>-217.50505684345217</v>
      </c>
      <c r="EE311" s="5812">
        <f>(EE310-DZ310)*10000</f>
        <v>-282.1095491147521</v>
      </c>
      <c r="EF311" s="5816">
        <f>(EF310-EA310)*10000</f>
        <v>-244.83209307271736</v>
      </c>
      <c r="EG311" s="5812">
        <f t="shared" ref="EG311" si="1401">(EG310-EB310)*10000</f>
        <v>108.81147729536301</v>
      </c>
      <c r="EH311" s="5812">
        <f t="shared" ref="EH311" si="1402">(EH310-EC310)*10000</f>
        <v>111.70958619912352</v>
      </c>
      <c r="EI311" s="5812">
        <f t="shared" ref="EI311" si="1403">(EI310-ED310)*10000</f>
        <v>83.375029878184904</v>
      </c>
      <c r="EJ311" s="5812">
        <f t="shared" ref="EJ311" si="1404">(EJ310-EE310)*10000</f>
        <v>165.58660704085278</v>
      </c>
      <c r="EK311" s="5816">
        <f t="shared" ref="EK311" si="1405">(EK310-EF310)*10000</f>
        <v>119.11353389980179</v>
      </c>
      <c r="EL311" s="5812">
        <f t="shared" ref="EL311" si="1406">(EL310-EG310)*10000</f>
        <v>73.492821975406841</v>
      </c>
      <c r="EM311" s="5812">
        <f t="shared" ref="EM311" si="1407">(EM310-EH310)*10000</f>
        <v>80.750754786368532</v>
      </c>
      <c r="EN311" s="5812">
        <f t="shared" ref="EN311" si="1408">(EN310-EI310)*10000</f>
        <v>96.772338866477412</v>
      </c>
      <c r="EO311" s="5812">
        <f t="shared" ref="EO311:EP311" si="1409">(EO310-EJ310)*10000</f>
        <v>137.06266521443106</v>
      </c>
      <c r="EP311" s="5816">
        <f t="shared" si="1409"/>
        <v>99.06294758456572</v>
      </c>
      <c r="EQ311" s="5812">
        <f t="shared" ref="EQ311" si="1410">(EQ310-EL310)*10000</f>
        <v>212.17087303098631</v>
      </c>
      <c r="ER311" s="5812">
        <f t="shared" ref="ER311" si="1411">(ER310-EM310)*10000</f>
        <v>254.66118650321854</v>
      </c>
      <c r="ES311" s="5812">
        <f t="shared" ref="ES311" si="1412">(ES310-EN310)*10000</f>
        <v>263.92308270145122</v>
      </c>
      <c r="ET311" s="5812">
        <f t="shared" ref="ET311:EU311" si="1413">(ET310-EO310)*10000</f>
        <v>266.49478567536448</v>
      </c>
      <c r="EU311" s="5816">
        <f t="shared" si="1413"/>
        <v>250.51968619938921</v>
      </c>
      <c r="EV311" s="5816">
        <f>(EV310-EU310)*10000</f>
        <v>167.49294758489449</v>
      </c>
      <c r="EW311" s="5816">
        <f>(EW310-EV310)*10000</f>
        <v>5.8755331315578365</v>
      </c>
      <c r="EX311" s="5816">
        <f>(EX310-EW310)*10000</f>
        <v>-21.030202202641927</v>
      </c>
      <c r="EY311" s="5816">
        <f>(EY310-EX310)*10000</f>
        <v>-21.831026411192333</v>
      </c>
      <c r="EZ311" s="129"/>
    </row>
    <row r="312" spans="1:168" ht="11.25" hidden="1" customHeight="1" outlineLevel="1">
      <c r="A312" s="490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c r="AF312" s="35"/>
      <c r="AG312" s="35"/>
      <c r="AH312" s="35"/>
      <c r="AI312" s="35"/>
      <c r="AJ312" s="35"/>
      <c r="AK312" s="35"/>
      <c r="AL312" s="35"/>
      <c r="AM312" s="35"/>
      <c r="AN312" s="35"/>
      <c r="AO312" s="35"/>
      <c r="AP312" s="35"/>
      <c r="AQ312" s="35"/>
      <c r="AR312" s="35"/>
      <c r="AS312" s="35"/>
      <c r="AT312" s="32"/>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1"/>
      <c r="BU312" s="285"/>
      <c r="BV312" s="31"/>
      <c r="BW312" s="31"/>
      <c r="BX312" s="5810"/>
      <c r="BY312" s="35"/>
      <c r="BZ312" s="35"/>
      <c r="CA312" s="35"/>
      <c r="CB312" s="35"/>
      <c r="CC312" s="35"/>
      <c r="CD312" s="31"/>
      <c r="CE312" s="285"/>
      <c r="CF312" s="31"/>
      <c r="CG312" s="31"/>
      <c r="CH312" s="5810"/>
      <c r="CI312" s="31"/>
      <c r="CJ312" s="285"/>
      <c r="CK312" s="31"/>
      <c r="CL312" s="31"/>
      <c r="CM312" s="5810"/>
      <c r="CN312" s="31"/>
      <c r="CO312" s="285"/>
      <c r="CP312" s="31"/>
      <c r="CQ312" s="31"/>
      <c r="CR312" s="5810"/>
      <c r="CS312" s="31"/>
      <c r="CT312" s="285"/>
      <c r="CU312" s="31"/>
      <c r="CV312" s="31"/>
      <c r="CW312" s="5810"/>
      <c r="CX312" s="31"/>
      <c r="CY312" s="285"/>
      <c r="CZ312" s="31"/>
      <c r="DA312" s="31"/>
      <c r="DB312" s="5810"/>
      <c r="DC312" s="31"/>
      <c r="DD312" s="285"/>
      <c r="DE312" s="31"/>
      <c r="DF312" s="31"/>
      <c r="DG312" s="5810"/>
      <c r="DH312" s="31"/>
      <c r="DI312" s="285"/>
      <c r="DJ312" s="31"/>
      <c r="DK312" s="31"/>
      <c r="DL312" s="5810"/>
      <c r="DM312" s="31"/>
      <c r="DN312" s="285"/>
      <c r="DO312" s="31"/>
      <c r="DP312" s="31"/>
      <c r="DQ312" s="5810"/>
      <c r="DR312" s="31"/>
      <c r="DS312" s="285"/>
      <c r="DT312" s="31"/>
      <c r="DU312" s="31"/>
      <c r="DV312" s="5810"/>
      <c r="DW312" s="31"/>
      <c r="DX312" s="285"/>
      <c r="DY312" s="31"/>
      <c r="DZ312" s="31"/>
      <c r="EA312" s="5810"/>
      <c r="EB312" s="31"/>
      <c r="EC312" s="31"/>
      <c r="ED312" s="31"/>
      <c r="EE312" s="31"/>
      <c r="EF312" s="5810"/>
      <c r="EG312" s="31"/>
      <c r="EH312" s="285"/>
      <c r="EI312" s="31"/>
      <c r="EJ312" s="31"/>
      <c r="EK312" s="5810"/>
      <c r="EL312" s="31"/>
      <c r="EM312" s="31"/>
      <c r="EN312" s="31"/>
      <c r="EO312" s="31"/>
      <c r="EP312" s="5810"/>
      <c r="EQ312" s="31"/>
      <c r="ER312" s="31"/>
      <c r="ES312" s="31"/>
      <c r="ET312" s="31"/>
      <c r="EU312" s="5810"/>
      <c r="EV312" s="5810"/>
      <c r="EW312" s="5810"/>
      <c r="EX312" s="5810"/>
      <c r="EY312" s="5810"/>
      <c r="EZ312" s="129"/>
    </row>
    <row r="313" spans="1:168" ht="11.25" customHeight="1" collapsed="1">
      <c r="A313" s="5912" t="s">
        <v>1075</v>
      </c>
      <c r="B313" s="5913"/>
      <c r="C313" s="5913"/>
      <c r="D313" s="5913"/>
      <c r="E313" s="5913"/>
      <c r="F313" s="5913"/>
      <c r="G313" s="5913"/>
      <c r="H313" s="5913"/>
      <c r="I313" s="5913"/>
      <c r="J313" s="5913"/>
      <c r="K313" s="5913"/>
      <c r="L313" s="5913"/>
      <c r="M313" s="5913"/>
      <c r="N313" s="5913"/>
      <c r="O313" s="5913"/>
      <c r="P313" s="5913"/>
      <c r="Q313" s="5913"/>
      <c r="R313" s="5913"/>
      <c r="S313" s="5913"/>
      <c r="T313" s="5913"/>
      <c r="U313" s="5913"/>
      <c r="V313" s="5913"/>
      <c r="W313" s="5913"/>
      <c r="X313" s="5913"/>
      <c r="Y313" s="5913"/>
      <c r="Z313" s="5913"/>
      <c r="AA313" s="5913"/>
      <c r="AB313" s="5913"/>
      <c r="AC313" s="5913"/>
      <c r="AD313" s="5913"/>
      <c r="AE313" s="5913"/>
      <c r="AF313" s="5913"/>
      <c r="AG313" s="5913"/>
      <c r="AH313" s="5913"/>
      <c r="AI313" s="5913"/>
      <c r="AJ313" s="5913"/>
      <c r="AK313" s="5913"/>
      <c r="AL313" s="5913"/>
      <c r="AM313" s="5913"/>
      <c r="AN313" s="5913"/>
      <c r="AO313" s="5913"/>
      <c r="AP313" s="5913"/>
      <c r="AQ313" s="5913"/>
      <c r="AR313" s="5913"/>
      <c r="AS313" s="5913"/>
      <c r="AT313" s="5914"/>
      <c r="AU313" s="5913"/>
      <c r="AV313" s="5913"/>
      <c r="AW313" s="5913"/>
      <c r="AX313" s="5913"/>
      <c r="AY313" s="5913"/>
      <c r="AZ313" s="5913"/>
      <c r="BA313" s="5913"/>
      <c r="BB313" s="5913"/>
      <c r="BC313" s="5913"/>
      <c r="BD313" s="5913"/>
      <c r="BE313" s="5913"/>
      <c r="BF313" s="5913"/>
      <c r="BG313" s="5913"/>
      <c r="BH313" s="5913"/>
      <c r="BI313" s="5913"/>
      <c r="BJ313" s="5913"/>
      <c r="BK313" s="5913"/>
      <c r="BL313" s="5913"/>
      <c r="BM313" s="5913"/>
      <c r="BN313" s="5913"/>
      <c r="BO313" s="5913"/>
      <c r="BP313" s="5913"/>
      <c r="BQ313" s="5913"/>
      <c r="BR313" s="5913"/>
      <c r="BS313" s="5913"/>
      <c r="BT313" s="5915"/>
      <c r="BU313" s="5915"/>
      <c r="BV313" s="5915"/>
      <c r="BW313" s="5915"/>
      <c r="BX313" s="5916"/>
      <c r="BY313" s="5913"/>
      <c r="BZ313" s="5913"/>
      <c r="CA313" s="5913"/>
      <c r="CB313" s="5913"/>
      <c r="CC313" s="5913"/>
      <c r="CD313" s="5915"/>
      <c r="CE313" s="5915"/>
      <c r="CF313" s="5915"/>
      <c r="CG313" s="5915"/>
      <c r="CH313" s="5916"/>
      <c r="CI313" s="5915"/>
      <c r="CJ313" s="5915"/>
      <c r="CK313" s="5915"/>
      <c r="CL313" s="5915"/>
      <c r="CM313" s="5916"/>
      <c r="CN313" s="5915"/>
      <c r="CO313" s="5915"/>
      <c r="CP313" s="5915"/>
      <c r="CQ313" s="5915"/>
      <c r="CR313" s="5916"/>
      <c r="CS313" s="5915"/>
      <c r="CT313" s="5915"/>
      <c r="CU313" s="5915"/>
      <c r="CV313" s="5915"/>
      <c r="CW313" s="5916"/>
      <c r="CX313" s="5915"/>
      <c r="CY313" s="5915"/>
      <c r="CZ313" s="5915"/>
      <c r="DA313" s="5915"/>
      <c r="DB313" s="5916"/>
      <c r="DC313" s="5915"/>
      <c r="DD313" s="5915"/>
      <c r="DE313" s="5915"/>
      <c r="DF313" s="5915"/>
      <c r="DG313" s="5916"/>
      <c r="DH313" s="5915"/>
      <c r="DI313" s="5915"/>
      <c r="DJ313" s="5915"/>
      <c r="DK313" s="5915"/>
      <c r="DL313" s="5916"/>
      <c r="DM313" s="5915"/>
      <c r="DN313" s="5915"/>
      <c r="DO313" s="5915"/>
      <c r="DP313" s="5915"/>
      <c r="DQ313" s="5916"/>
      <c r="DR313" s="5915"/>
      <c r="DS313" s="5915"/>
      <c r="DT313" s="5915"/>
      <c r="DU313" s="5915"/>
      <c r="DV313" s="5916"/>
      <c r="DW313" s="5915"/>
      <c r="DX313" s="5915"/>
      <c r="DY313" s="5915"/>
      <c r="DZ313" s="5915"/>
      <c r="EA313" s="5916"/>
      <c r="EB313" s="5917"/>
      <c r="EC313" s="5917"/>
      <c r="ED313" s="5915"/>
      <c r="EE313" s="5915"/>
      <c r="EF313" s="5916"/>
      <c r="EG313" s="5915"/>
      <c r="EH313" s="5915"/>
      <c r="EI313" s="5915"/>
      <c r="EJ313" s="5915"/>
      <c r="EK313" s="5916"/>
      <c r="EL313" s="5915"/>
      <c r="EM313" s="5915"/>
      <c r="EN313" s="5915"/>
      <c r="EO313" s="5915"/>
      <c r="EP313" s="5916"/>
      <c r="EQ313" s="5915"/>
      <c r="ER313" s="5915"/>
      <c r="ES313" s="5915"/>
      <c r="ET313" s="5915"/>
      <c r="EU313" s="5916"/>
      <c r="EV313" s="5916"/>
      <c r="EW313" s="5916"/>
      <c r="EX313" s="5916"/>
      <c r="EY313" s="5916"/>
      <c r="EZ313" s="129"/>
    </row>
    <row r="314" spans="1:168" ht="11.25" customHeight="1">
      <c r="A314" s="5907" t="s">
        <v>1072</v>
      </c>
      <c r="B314" s="5887"/>
      <c r="C314" s="5887"/>
      <c r="D314" s="5887"/>
      <c r="E314" s="5887"/>
      <c r="F314" s="5887"/>
      <c r="G314" s="5887"/>
      <c r="H314" s="5887"/>
      <c r="I314" s="5887"/>
      <c r="J314" s="5887"/>
      <c r="K314" s="5887"/>
      <c r="L314" s="5887"/>
      <c r="M314" s="5887"/>
      <c r="N314" s="5887"/>
      <c r="O314" s="5887"/>
      <c r="P314" s="5887"/>
      <c r="Q314" s="5887"/>
      <c r="R314" s="5887"/>
      <c r="S314" s="5887"/>
      <c r="T314" s="5887"/>
      <c r="U314" s="5887"/>
      <c r="V314" s="5887"/>
      <c r="W314" s="5887"/>
      <c r="X314" s="5887"/>
      <c r="Y314" s="5887"/>
      <c r="Z314" s="5887"/>
      <c r="AA314" s="5887"/>
      <c r="AB314" s="5887"/>
      <c r="AC314" s="5887"/>
      <c r="AD314" s="5887"/>
      <c r="AE314" s="5887"/>
      <c r="AF314" s="5887"/>
      <c r="AG314" s="5887"/>
      <c r="AH314" s="5887"/>
      <c r="AI314" s="5887"/>
      <c r="AJ314" s="5887"/>
      <c r="AK314" s="5887"/>
      <c r="AL314" s="5887"/>
      <c r="AM314" s="5887"/>
      <c r="AN314" s="5887"/>
      <c r="AO314" s="5887"/>
      <c r="AP314" s="5887"/>
      <c r="AQ314" s="5887"/>
      <c r="AR314" s="5887"/>
      <c r="AS314" s="5887"/>
      <c r="AT314" s="5871"/>
      <c r="AU314" s="5887"/>
      <c r="AV314" s="5887"/>
      <c r="AW314" s="5887"/>
      <c r="AX314" s="5887"/>
      <c r="AY314" s="5887"/>
      <c r="AZ314" s="5887"/>
      <c r="BA314" s="5887"/>
      <c r="BB314" s="5887"/>
      <c r="BC314" s="5887"/>
      <c r="BD314" s="5887"/>
      <c r="BE314" s="5887"/>
      <c r="BF314" s="5887"/>
      <c r="BG314" s="5887"/>
      <c r="BH314" s="5887"/>
      <c r="BI314" s="5887"/>
      <c r="BJ314" s="5887"/>
      <c r="BK314" s="5887"/>
      <c r="BL314" s="5887"/>
      <c r="BM314" s="5887"/>
      <c r="BN314" s="5887"/>
      <c r="BO314" s="5887"/>
      <c r="BP314" s="5887"/>
      <c r="BQ314" s="5887"/>
      <c r="BR314" s="5887"/>
      <c r="BS314" s="5887"/>
      <c r="BT314" s="5737"/>
      <c r="BU314" s="5737"/>
      <c r="BV314" s="5737"/>
      <c r="BW314" s="5737"/>
      <c r="BX314" s="5814"/>
      <c r="BY314" s="5887"/>
      <c r="BZ314" s="5887"/>
      <c r="CA314" s="5887"/>
      <c r="CB314" s="5887"/>
      <c r="CC314" s="5887"/>
      <c r="CD314" s="5737"/>
      <c r="CE314" s="5737"/>
      <c r="CF314" s="5737"/>
      <c r="CG314" s="5737"/>
      <c r="CH314" s="5814"/>
      <c r="CI314" s="5737"/>
      <c r="CJ314" s="5737"/>
      <c r="CK314" s="5737"/>
      <c r="CL314" s="5737"/>
      <c r="CM314" s="5814"/>
      <c r="CN314" s="5737"/>
      <c r="CO314" s="5737"/>
      <c r="CP314" s="5737"/>
      <c r="CQ314" s="5737"/>
      <c r="CR314" s="5814"/>
      <c r="CS314" s="5737"/>
      <c r="CT314" s="5737"/>
      <c r="CU314" s="5737"/>
      <c r="CV314" s="5737"/>
      <c r="CW314" s="5814"/>
      <c r="CX314" s="5737"/>
      <c r="CY314" s="5737"/>
      <c r="CZ314" s="5737"/>
      <c r="DA314" s="5737"/>
      <c r="DB314" s="5814"/>
      <c r="DC314" s="5737"/>
      <c r="DD314" s="5737"/>
      <c r="DE314" s="5737"/>
      <c r="DF314" s="5737"/>
      <c r="DG314" s="5814"/>
      <c r="DH314" s="5737"/>
      <c r="DI314" s="5737"/>
      <c r="DJ314" s="5737"/>
      <c r="DK314" s="5737"/>
      <c r="DL314" s="5814"/>
      <c r="DM314" s="5737"/>
      <c r="DN314" s="5737"/>
      <c r="DO314" s="5737"/>
      <c r="DP314" s="5737"/>
      <c r="DQ314" s="5814"/>
      <c r="DR314" s="5737"/>
      <c r="DS314" s="5737"/>
      <c r="DT314" s="5737"/>
      <c r="DU314" s="5737"/>
      <c r="DV314" s="5814"/>
      <c r="DW314" s="5737"/>
      <c r="DX314" s="5737"/>
      <c r="DY314" s="5737"/>
      <c r="DZ314" s="5737"/>
      <c r="EA314" s="5814"/>
      <c r="EB314" s="5782"/>
      <c r="EC314" s="5782"/>
      <c r="ED314" s="5737"/>
      <c r="EE314" s="5737"/>
      <c r="EF314" s="5814"/>
      <c r="EG314" s="5737"/>
      <c r="EH314" s="5737"/>
      <c r="EI314" s="5737"/>
      <c r="EJ314" s="5737"/>
      <c r="EK314" s="5814"/>
      <c r="EL314" s="5737"/>
      <c r="EM314" s="5737"/>
      <c r="EN314" s="5737"/>
      <c r="EO314" s="5737"/>
      <c r="EP314" s="5814"/>
      <c r="EQ314" s="5737"/>
      <c r="ER314" s="5737"/>
      <c r="ES314" s="5737"/>
      <c r="ET314" s="5737"/>
      <c r="EU314" s="5814"/>
      <c r="EV314" s="5814"/>
      <c r="EW314" s="5814"/>
      <c r="EX314" s="5814"/>
      <c r="EY314" s="5814"/>
      <c r="EZ314" s="129"/>
    </row>
    <row r="315" spans="1:168" s="31" customFormat="1" ht="11.25" customHeight="1">
      <c r="A315" s="5276" t="s">
        <v>1077</v>
      </c>
      <c r="B315" s="513"/>
      <c r="C315" s="513"/>
      <c r="D315" s="513"/>
      <c r="E315" s="513"/>
      <c r="F315" s="513"/>
      <c r="G315" s="513"/>
      <c r="H315" s="513"/>
      <c r="I315" s="513"/>
      <c r="J315" s="513"/>
      <c r="K315" s="513"/>
      <c r="L315" s="513"/>
      <c r="M315" s="513"/>
      <c r="N315" s="513"/>
      <c r="O315" s="513"/>
      <c r="P315" s="513"/>
      <c r="Q315" s="513"/>
      <c r="R315" s="513"/>
      <c r="S315" s="513"/>
      <c r="T315" s="513"/>
      <c r="U315" s="513"/>
      <c r="V315" s="513"/>
      <c r="W315" s="513"/>
      <c r="X315" s="513"/>
      <c r="Y315" s="513"/>
      <c r="Z315" s="513"/>
      <c r="AA315" s="513"/>
      <c r="AB315" s="513"/>
      <c r="AC315" s="513"/>
      <c r="AD315" s="513"/>
      <c r="AE315" s="513"/>
      <c r="AF315" s="513"/>
      <c r="AG315" s="513"/>
      <c r="AH315" s="513"/>
      <c r="AI315" s="513"/>
      <c r="AJ315" s="513"/>
      <c r="AK315" s="513"/>
      <c r="AL315" s="513"/>
      <c r="AM315" s="513"/>
      <c r="AN315" s="513"/>
      <c r="AO315" s="513"/>
      <c r="AP315" s="513"/>
      <c r="AQ315" s="513"/>
      <c r="AR315" s="513"/>
      <c r="AS315" s="513"/>
      <c r="AT315" s="5881"/>
      <c r="AU315" s="513"/>
      <c r="AV315" s="513"/>
      <c r="AW315" s="513"/>
      <c r="AX315" s="513"/>
      <c r="AY315" s="513"/>
      <c r="AZ315" s="513"/>
      <c r="BA315" s="513"/>
      <c r="BB315" s="513"/>
      <c r="BC315" s="513"/>
      <c r="BD315" s="513"/>
      <c r="BE315" s="513"/>
      <c r="BF315" s="513"/>
      <c r="BG315" s="513"/>
      <c r="BH315" s="513"/>
      <c r="BI315" s="513"/>
      <c r="BJ315" s="513"/>
      <c r="BK315" s="513"/>
      <c r="BL315" s="513"/>
      <c r="BM315" s="513"/>
      <c r="BN315" s="513"/>
      <c r="BO315" s="513"/>
      <c r="BP315" s="513"/>
      <c r="BQ315" s="513"/>
      <c r="BR315" s="513"/>
      <c r="BS315" s="513"/>
      <c r="BT315" s="5820">
        <f t="shared" ref="BT315:BX315" si="1414">BT317-BT316</f>
        <v>3389</v>
      </c>
      <c r="BU315" s="5820">
        <f t="shared" si="1414"/>
        <v>3436</v>
      </c>
      <c r="BV315" s="5820">
        <f t="shared" si="1414"/>
        <v>3263</v>
      </c>
      <c r="BW315" s="5820">
        <f t="shared" si="1414"/>
        <v>3747</v>
      </c>
      <c r="BX315" s="5859">
        <f t="shared" si="1414"/>
        <v>13834</v>
      </c>
      <c r="BY315" s="513"/>
      <c r="BZ315" s="513"/>
      <c r="CA315" s="513"/>
      <c r="CB315" s="513"/>
      <c r="CC315" s="513"/>
      <c r="CD315" s="5820">
        <f t="shared" ref="CD315:CH315" si="1415">CD317-CD316</f>
        <v>3748</v>
      </c>
      <c r="CE315" s="5820">
        <f t="shared" si="1415"/>
        <v>3465</v>
      </c>
      <c r="CF315" s="5820">
        <f t="shared" si="1415"/>
        <v>3761</v>
      </c>
      <c r="CG315" s="5820">
        <f t="shared" si="1415"/>
        <v>4429</v>
      </c>
      <c r="CH315" s="5859">
        <f t="shared" si="1415"/>
        <v>15403</v>
      </c>
      <c r="CI315" s="5820">
        <f t="shared" ref="CI315:CM315" si="1416">CI317-CI316</f>
        <v>4115</v>
      </c>
      <c r="CJ315" s="5820">
        <f t="shared" si="1416"/>
        <v>4258</v>
      </c>
      <c r="CK315" s="5820">
        <f t="shared" si="1416"/>
        <v>3724</v>
      </c>
      <c r="CL315" s="5820">
        <f t="shared" si="1416"/>
        <v>4399</v>
      </c>
      <c r="CM315" s="5859">
        <f t="shared" si="1416"/>
        <v>16496</v>
      </c>
      <c r="CN315" s="5820">
        <f t="shared" ref="CN315:CR315" si="1417">CN317-CN316</f>
        <v>4447</v>
      </c>
      <c r="CO315" s="5820">
        <f t="shared" si="1417"/>
        <v>4825</v>
      </c>
      <c r="CP315" s="5820">
        <f t="shared" si="1417"/>
        <v>4708</v>
      </c>
      <c r="CQ315" s="5820">
        <f t="shared" si="1417"/>
        <v>5380</v>
      </c>
      <c r="CR315" s="5859">
        <f t="shared" si="1417"/>
        <v>19360</v>
      </c>
      <c r="CS315" s="5820">
        <f t="shared" ref="CS315:CW315" si="1418">CS317-CS316</f>
        <v>5342</v>
      </c>
      <c r="CT315" s="5820">
        <f t="shared" si="1418"/>
        <v>5968</v>
      </c>
      <c r="CU315" s="5820">
        <f t="shared" si="1418"/>
        <v>5767</v>
      </c>
      <c r="CV315" s="5820">
        <f t="shared" si="1418"/>
        <v>6639</v>
      </c>
      <c r="CW315" s="5859">
        <f t="shared" si="1418"/>
        <v>23716</v>
      </c>
      <c r="CX315" s="5820">
        <f t="shared" ref="CX315:DB315" si="1419">CX317-CX316</f>
        <v>6568</v>
      </c>
      <c r="CY315" s="5820">
        <f t="shared" si="1419"/>
        <v>4132</v>
      </c>
      <c r="CZ315" s="5820">
        <f t="shared" si="1419"/>
        <v>7782</v>
      </c>
      <c r="DA315" s="5820">
        <f t="shared" si="1419"/>
        <v>7664</v>
      </c>
      <c r="DB315" s="5859">
        <f t="shared" si="1419"/>
        <v>26146</v>
      </c>
      <c r="DC315" s="5820">
        <f t="shared" ref="DC315:DG315" si="1420">DC317-DC316</f>
        <v>7633</v>
      </c>
      <c r="DD315" s="5820">
        <f t="shared" si="1420"/>
        <v>3045</v>
      </c>
      <c r="DE315" s="5820">
        <f t="shared" si="1420"/>
        <v>8625</v>
      </c>
      <c r="DF315" s="5820">
        <f t="shared" si="1420"/>
        <v>8221</v>
      </c>
      <c r="DG315" s="5859">
        <f t="shared" si="1420"/>
        <v>27524</v>
      </c>
      <c r="DH315" s="5820">
        <f t="shared" ref="DH315:EA315" si="1421">DH317-DH316</f>
        <v>6608</v>
      </c>
      <c r="DI315" s="5820">
        <f t="shared" si="1421"/>
        <v>9180</v>
      </c>
      <c r="DJ315" s="5820">
        <f t="shared" si="1421"/>
        <v>9177</v>
      </c>
      <c r="DK315" s="5820">
        <f t="shared" si="1421"/>
        <v>9266</v>
      </c>
      <c r="DL315" s="5859">
        <f t="shared" si="1421"/>
        <v>34231</v>
      </c>
      <c r="DM315" s="5820">
        <f t="shared" si="1421"/>
        <v>7977</v>
      </c>
      <c r="DN315" s="5820">
        <f t="shared" si="1421"/>
        <v>6383</v>
      </c>
      <c r="DO315" s="5820">
        <f t="shared" si="1421"/>
        <v>11213</v>
      </c>
      <c r="DP315" s="5820">
        <f t="shared" si="1421"/>
        <v>15651</v>
      </c>
      <c r="DQ315" s="5859">
        <f t="shared" si="1421"/>
        <v>41224</v>
      </c>
      <c r="DR315" s="5820">
        <f t="shared" si="1421"/>
        <v>15602</v>
      </c>
      <c r="DS315" s="5820">
        <f t="shared" si="1421"/>
        <v>18640</v>
      </c>
      <c r="DT315" s="5820">
        <f t="shared" si="1421"/>
        <v>20440</v>
      </c>
      <c r="DU315" s="5820">
        <f t="shared" si="1421"/>
        <v>21432</v>
      </c>
      <c r="DV315" s="5859">
        <f t="shared" si="1421"/>
        <v>76114</v>
      </c>
      <c r="DW315" s="5820">
        <f t="shared" si="1421"/>
        <v>20094</v>
      </c>
      <c r="DX315" s="5820">
        <f t="shared" si="1421"/>
        <v>19453</v>
      </c>
      <c r="DY315" s="5820">
        <f t="shared" si="1421"/>
        <v>17135</v>
      </c>
      <c r="DZ315" s="5820">
        <f t="shared" si="1421"/>
        <v>18160</v>
      </c>
      <c r="EA315" s="5859">
        <f t="shared" si="1421"/>
        <v>74842</v>
      </c>
      <c r="EB315" s="5820">
        <f>EB317-EB316</f>
        <v>16427</v>
      </c>
      <c r="EC315" s="5820">
        <f t="shared" ref="EC315:EW315" si="1422">EC317-EC316</f>
        <v>20872</v>
      </c>
      <c r="ED315" s="5820">
        <f t="shared" si="1422"/>
        <v>20366</v>
      </c>
      <c r="EE315" s="5820">
        <f t="shared" si="1422"/>
        <v>22714</v>
      </c>
      <c r="EF315" s="5859">
        <f t="shared" si="1422"/>
        <v>80379</v>
      </c>
      <c r="EG315" s="5820">
        <f t="shared" si="1422"/>
        <v>25472</v>
      </c>
      <c r="EH315" s="5820">
        <f t="shared" si="1422"/>
        <v>27425</v>
      </c>
      <c r="EI315" s="5820">
        <f t="shared" si="1422"/>
        <v>28521</v>
      </c>
      <c r="EJ315" s="5820">
        <f t="shared" si="1422"/>
        <v>30972</v>
      </c>
      <c r="EK315" s="5859">
        <f t="shared" si="1422"/>
        <v>112390</v>
      </c>
      <c r="EL315" s="5820">
        <f t="shared" ref="EL315:EP315" si="1423">EL317-EL316</f>
        <v>30606</v>
      </c>
      <c r="EM315" s="5820">
        <f t="shared" si="1423"/>
        <v>31271</v>
      </c>
      <c r="EN315" s="5820">
        <f t="shared" si="1423"/>
        <v>31228</v>
      </c>
      <c r="EO315" s="5820">
        <f t="shared" si="1423"/>
        <v>37339.346430877777</v>
      </c>
      <c r="EP315" s="5859">
        <f t="shared" si="1423"/>
        <v>130444.34643087776</v>
      </c>
      <c r="EQ315" s="5820">
        <f t="shared" ref="EQ315:EU315" si="1424">EQ317-EQ316</f>
        <v>37124.369689483283</v>
      </c>
      <c r="ER315" s="5820">
        <f t="shared" si="1424"/>
        <v>38929.529366791176</v>
      </c>
      <c r="ES315" s="5820">
        <f t="shared" si="1424"/>
        <v>40112.083814142432</v>
      </c>
      <c r="ET315" s="5820">
        <f t="shared" si="1424"/>
        <v>43585.092631811312</v>
      </c>
      <c r="EU315" s="5859">
        <f t="shared" si="1424"/>
        <v>159751.07550222822</v>
      </c>
      <c r="EV315" s="5859">
        <f t="shared" si="1422"/>
        <v>178688.9849625713</v>
      </c>
      <c r="EW315" s="5859">
        <f t="shared" si="1422"/>
        <v>203370.41436392756</v>
      </c>
      <c r="EX315" s="5859">
        <f t="shared" ref="EX315:EY315" si="1425">EX317-EX316</f>
        <v>230168.81577208661</v>
      </c>
      <c r="EY315" s="5859">
        <f t="shared" si="1425"/>
        <v>260643.4617696183</v>
      </c>
      <c r="EZ315" s="4"/>
      <c r="FA315" s="4193"/>
      <c r="FB315" s="4193"/>
      <c r="FC315" s="4193"/>
      <c r="FD315" s="4193"/>
      <c r="FE315" s="4193"/>
      <c r="FF315" s="4193"/>
      <c r="FG315" s="535"/>
      <c r="FH315" s="535"/>
      <c r="FI315" s="535"/>
      <c r="FJ315" s="535"/>
      <c r="FK315" s="535"/>
      <c r="FL315" s="535"/>
    </row>
    <row r="316" spans="1:168" s="31" customFormat="1" ht="11.25" customHeight="1">
      <c r="A316" s="5908" t="s">
        <v>1076</v>
      </c>
      <c r="AT316" s="32"/>
      <c r="BT316" s="3593">
        <f t="shared" ref="BT316:BX316" si="1426">BT261</f>
        <v>0</v>
      </c>
      <c r="BU316" s="3593">
        <f t="shared" si="1426"/>
        <v>0</v>
      </c>
      <c r="BV316" s="3593">
        <f t="shared" si="1426"/>
        <v>0</v>
      </c>
      <c r="BW316" s="3593">
        <f t="shared" si="1426"/>
        <v>0</v>
      </c>
      <c r="BX316" s="5732">
        <f t="shared" si="1426"/>
        <v>0</v>
      </c>
      <c r="CD316" s="3593">
        <f t="shared" ref="CD316:CH316" si="1427">CD261</f>
        <v>0</v>
      </c>
      <c r="CE316" s="3593">
        <f t="shared" si="1427"/>
        <v>0</v>
      </c>
      <c r="CF316" s="3593">
        <f t="shared" si="1427"/>
        <v>0</v>
      </c>
      <c r="CG316" s="3593">
        <f t="shared" si="1427"/>
        <v>0</v>
      </c>
      <c r="CH316" s="5732">
        <f t="shared" si="1427"/>
        <v>0</v>
      </c>
      <c r="CI316" s="3593">
        <f t="shared" ref="CI316:CM316" si="1428">CI261</f>
        <v>0</v>
      </c>
      <c r="CJ316" s="3593">
        <f t="shared" si="1428"/>
        <v>0</v>
      </c>
      <c r="CK316" s="3593">
        <f t="shared" si="1428"/>
        <v>0</v>
      </c>
      <c r="CL316" s="3593">
        <f t="shared" si="1428"/>
        <v>0</v>
      </c>
      <c r="CM316" s="5732">
        <f t="shared" si="1428"/>
        <v>0</v>
      </c>
      <c r="CN316" s="3593">
        <f t="shared" ref="CN316:CR316" si="1429">CN261</f>
        <v>0</v>
      </c>
      <c r="CO316" s="3593">
        <f t="shared" si="1429"/>
        <v>0</v>
      </c>
      <c r="CP316" s="3593">
        <f t="shared" si="1429"/>
        <v>0</v>
      </c>
      <c r="CQ316" s="3593">
        <f t="shared" si="1429"/>
        <v>0</v>
      </c>
      <c r="CR316" s="5732">
        <f t="shared" si="1429"/>
        <v>0</v>
      </c>
      <c r="CS316" s="3593">
        <f t="shared" ref="CS316:CW316" si="1430">CS261</f>
        <v>0</v>
      </c>
      <c r="CT316" s="3593">
        <f t="shared" si="1430"/>
        <v>0</v>
      </c>
      <c r="CU316" s="3593">
        <f t="shared" si="1430"/>
        <v>0</v>
      </c>
      <c r="CV316" s="3593">
        <f t="shared" si="1430"/>
        <v>0</v>
      </c>
      <c r="CW316" s="5732">
        <f t="shared" si="1430"/>
        <v>0</v>
      </c>
      <c r="CX316" s="3593">
        <f t="shared" ref="CX316:DB316" si="1431">CX261</f>
        <v>0</v>
      </c>
      <c r="CY316" s="3593">
        <f t="shared" si="1431"/>
        <v>0</v>
      </c>
      <c r="CZ316" s="3593">
        <f t="shared" si="1431"/>
        <v>0</v>
      </c>
      <c r="DA316" s="3593">
        <f t="shared" si="1431"/>
        <v>0</v>
      </c>
      <c r="DB316" s="5732">
        <f t="shared" si="1431"/>
        <v>0</v>
      </c>
      <c r="DC316" s="3593">
        <f t="shared" ref="DC316:DG316" si="1432">DC261</f>
        <v>0</v>
      </c>
      <c r="DD316" s="3593">
        <f t="shared" si="1432"/>
        <v>0</v>
      </c>
      <c r="DE316" s="3593">
        <f t="shared" si="1432"/>
        <v>0</v>
      </c>
      <c r="DF316" s="3593">
        <f t="shared" si="1432"/>
        <v>0</v>
      </c>
      <c r="DG316" s="5732">
        <f t="shared" si="1432"/>
        <v>0</v>
      </c>
      <c r="DH316" s="3593">
        <f t="shared" ref="DH316:EW316" si="1433">DH261</f>
        <v>0</v>
      </c>
      <c r="DI316" s="3593">
        <f t="shared" si="1433"/>
        <v>0</v>
      </c>
      <c r="DJ316" s="3593">
        <f t="shared" si="1433"/>
        <v>0</v>
      </c>
      <c r="DK316" s="3593">
        <f t="shared" si="1433"/>
        <v>0</v>
      </c>
      <c r="DL316" s="5732">
        <f t="shared" si="1433"/>
        <v>0</v>
      </c>
      <c r="DM316" s="3593">
        <f t="shared" si="1433"/>
        <v>0</v>
      </c>
      <c r="DN316" s="3593">
        <f t="shared" si="1433"/>
        <v>0</v>
      </c>
      <c r="DO316" s="3593">
        <f t="shared" si="1433"/>
        <v>0</v>
      </c>
      <c r="DP316" s="3593">
        <f t="shared" si="1433"/>
        <v>0</v>
      </c>
      <c r="DQ316" s="5732">
        <f t="shared" si="1433"/>
        <v>0</v>
      </c>
      <c r="DR316" s="4812">
        <f t="shared" si="1433"/>
        <v>835</v>
      </c>
      <c r="DS316" s="4812">
        <f t="shared" si="1433"/>
        <v>721</v>
      </c>
      <c r="DT316" s="4812">
        <f t="shared" si="1433"/>
        <v>591</v>
      </c>
      <c r="DU316" s="3593">
        <f t="shared" si="1433"/>
        <v>453</v>
      </c>
      <c r="DV316" s="5817">
        <f t="shared" si="1433"/>
        <v>2600</v>
      </c>
      <c r="DW316" s="3593">
        <f t="shared" si="1433"/>
        <v>0</v>
      </c>
      <c r="DX316" s="3593">
        <f t="shared" si="1433"/>
        <v>0</v>
      </c>
      <c r="DY316" s="3593">
        <f t="shared" si="1433"/>
        <v>0</v>
      </c>
      <c r="DZ316" s="3593">
        <f t="shared" si="1433"/>
        <v>0</v>
      </c>
      <c r="EA316" s="5732">
        <f t="shared" si="1433"/>
        <v>0</v>
      </c>
      <c r="EB316" s="4812">
        <f t="shared" si="1433"/>
        <v>988</v>
      </c>
      <c r="EC316" s="4812">
        <f t="shared" si="1433"/>
        <v>966</v>
      </c>
      <c r="ED316" s="4812">
        <f t="shared" si="1433"/>
        <v>977</v>
      </c>
      <c r="EE316" s="4812">
        <f t="shared" si="1433"/>
        <v>983</v>
      </c>
      <c r="EF316" s="5732">
        <f t="shared" si="1433"/>
        <v>3914</v>
      </c>
      <c r="EG316" s="4812">
        <f t="shared" si="1433"/>
        <v>0</v>
      </c>
      <c r="EH316" s="4812">
        <f t="shared" si="1433"/>
        <v>0</v>
      </c>
      <c r="EI316" s="4812">
        <f t="shared" si="1433"/>
        <v>0</v>
      </c>
      <c r="EJ316" s="4812">
        <f t="shared" si="1433"/>
        <v>0</v>
      </c>
      <c r="EK316" s="5732">
        <f t="shared" si="1433"/>
        <v>0</v>
      </c>
      <c r="EL316" s="3593">
        <f t="shared" ref="EL316:EP316" si="1434">EL261</f>
        <v>0</v>
      </c>
      <c r="EM316" s="3593">
        <f t="shared" si="1434"/>
        <v>0</v>
      </c>
      <c r="EN316" s="4812">
        <f t="shared" si="1434"/>
        <v>0</v>
      </c>
      <c r="EO316" s="3593">
        <f t="shared" si="1434"/>
        <v>0</v>
      </c>
      <c r="EP316" s="5732">
        <f t="shared" si="1434"/>
        <v>0</v>
      </c>
      <c r="EQ316" s="3593">
        <f t="shared" ref="EQ316:EU316" si="1435">EQ261</f>
        <v>0</v>
      </c>
      <c r="ER316" s="3593">
        <f t="shared" si="1435"/>
        <v>0</v>
      </c>
      <c r="ES316" s="3593">
        <f t="shared" si="1435"/>
        <v>0</v>
      </c>
      <c r="ET316" s="3593">
        <f t="shared" si="1435"/>
        <v>0</v>
      </c>
      <c r="EU316" s="5732">
        <f t="shared" si="1435"/>
        <v>0</v>
      </c>
      <c r="EV316" s="5732">
        <f t="shared" si="1433"/>
        <v>0</v>
      </c>
      <c r="EW316" s="5732">
        <f t="shared" si="1433"/>
        <v>0</v>
      </c>
      <c r="EX316" s="5732">
        <f t="shared" ref="EX316:EY316" si="1436">EX261</f>
        <v>0</v>
      </c>
      <c r="EY316" s="5732">
        <f t="shared" si="1436"/>
        <v>0</v>
      </c>
      <c r="EZ316" s="4"/>
      <c r="FA316" s="5885"/>
      <c r="FB316" s="5885"/>
      <c r="FC316" s="5885"/>
      <c r="FD316" s="5885"/>
      <c r="FE316" s="5885"/>
      <c r="FF316" s="5885"/>
      <c r="FG316" s="766"/>
      <c r="FH316" s="766"/>
      <c r="FI316" s="766"/>
      <c r="FJ316" s="766"/>
      <c r="FK316" s="766"/>
      <c r="FL316" s="766"/>
    </row>
    <row r="317" spans="1:168" s="31" customFormat="1" ht="11.25" customHeight="1">
      <c r="A317" s="5276" t="s">
        <v>1066</v>
      </c>
      <c r="B317" s="513"/>
      <c r="C317" s="513"/>
      <c r="D317" s="513"/>
      <c r="E317" s="513"/>
      <c r="F317" s="513"/>
      <c r="G317" s="513"/>
      <c r="H317" s="513"/>
      <c r="I317" s="513"/>
      <c r="J317" s="513"/>
      <c r="K317" s="513"/>
      <c r="L317" s="513"/>
      <c r="M317" s="513"/>
      <c r="N317" s="513"/>
      <c r="O317" s="513"/>
      <c r="P317" s="513"/>
      <c r="Q317" s="513"/>
      <c r="R317" s="513"/>
      <c r="S317" s="513"/>
      <c r="T317" s="513"/>
      <c r="U317" s="513"/>
      <c r="V317" s="513"/>
      <c r="W317" s="513"/>
      <c r="X317" s="513"/>
      <c r="Y317" s="513"/>
      <c r="Z317" s="513"/>
      <c r="AA317" s="513"/>
      <c r="AB317" s="513"/>
      <c r="AC317" s="513"/>
      <c r="AD317" s="513"/>
      <c r="AE317" s="513"/>
      <c r="AF317" s="513"/>
      <c r="AG317" s="513"/>
      <c r="AH317" s="513"/>
      <c r="AI317" s="513"/>
      <c r="AJ317" s="513"/>
      <c r="AK317" s="513"/>
      <c r="AL317" s="513"/>
      <c r="AM317" s="513"/>
      <c r="AN317" s="513"/>
      <c r="AO317" s="513"/>
      <c r="AP317" s="513"/>
      <c r="AQ317" s="513"/>
      <c r="AR317" s="513"/>
      <c r="AS317" s="513"/>
      <c r="AT317" s="5881"/>
      <c r="AU317" s="513"/>
      <c r="AV317" s="513"/>
      <c r="AW317" s="513"/>
      <c r="AX317" s="513"/>
      <c r="AY317" s="513"/>
      <c r="AZ317" s="513"/>
      <c r="BA317" s="513"/>
      <c r="BB317" s="513"/>
      <c r="BC317" s="513"/>
      <c r="BD317" s="513"/>
      <c r="BE317" s="513"/>
      <c r="BF317" s="513"/>
      <c r="BG317" s="513"/>
      <c r="BH317" s="513"/>
      <c r="BI317" s="513"/>
      <c r="BJ317" s="513"/>
      <c r="BK317" s="513"/>
      <c r="BL317" s="513"/>
      <c r="BM317" s="513"/>
      <c r="BN317" s="513"/>
      <c r="BO317" s="513"/>
      <c r="BP317" s="513"/>
      <c r="BQ317" s="513"/>
      <c r="BR317" s="513"/>
      <c r="BS317" s="513"/>
      <c r="BT317" s="5820">
        <f t="shared" ref="BT317:BX317" si="1437">BT27</f>
        <v>3389</v>
      </c>
      <c r="BU317" s="5820">
        <f t="shared" si="1437"/>
        <v>3436</v>
      </c>
      <c r="BV317" s="5820">
        <f t="shared" si="1437"/>
        <v>3263</v>
      </c>
      <c r="BW317" s="5820">
        <f t="shared" si="1437"/>
        <v>3747</v>
      </c>
      <c r="BX317" s="5859">
        <f t="shared" si="1437"/>
        <v>13834</v>
      </c>
      <c r="BY317" s="513"/>
      <c r="BZ317" s="513"/>
      <c r="CA317" s="513"/>
      <c r="CB317" s="513"/>
      <c r="CC317" s="513"/>
      <c r="CD317" s="5820">
        <f t="shared" ref="CD317:CH317" si="1438">CD27</f>
        <v>3748</v>
      </c>
      <c r="CE317" s="5820">
        <f t="shared" si="1438"/>
        <v>3465</v>
      </c>
      <c r="CF317" s="5820">
        <f t="shared" si="1438"/>
        <v>3761</v>
      </c>
      <c r="CG317" s="5820">
        <f t="shared" si="1438"/>
        <v>4429</v>
      </c>
      <c r="CH317" s="5859">
        <f t="shared" si="1438"/>
        <v>15403</v>
      </c>
      <c r="CI317" s="5820">
        <f t="shared" ref="CI317:CM317" si="1439">CI27</f>
        <v>4115</v>
      </c>
      <c r="CJ317" s="5820">
        <f t="shared" si="1439"/>
        <v>4258</v>
      </c>
      <c r="CK317" s="5820">
        <f t="shared" si="1439"/>
        <v>3724</v>
      </c>
      <c r="CL317" s="5820">
        <f t="shared" si="1439"/>
        <v>4399</v>
      </c>
      <c r="CM317" s="5859">
        <f t="shared" si="1439"/>
        <v>16496</v>
      </c>
      <c r="CN317" s="5820">
        <f t="shared" ref="CN317:CR317" si="1440">CN27</f>
        <v>4447</v>
      </c>
      <c r="CO317" s="5820">
        <f t="shared" si="1440"/>
        <v>4825</v>
      </c>
      <c r="CP317" s="5820">
        <f t="shared" si="1440"/>
        <v>4708</v>
      </c>
      <c r="CQ317" s="5820">
        <f t="shared" si="1440"/>
        <v>5380</v>
      </c>
      <c r="CR317" s="5859">
        <f t="shared" si="1440"/>
        <v>19360</v>
      </c>
      <c r="CS317" s="5820">
        <f t="shared" ref="CS317:CW317" si="1441">CS27</f>
        <v>5342</v>
      </c>
      <c r="CT317" s="5820">
        <f t="shared" si="1441"/>
        <v>5968</v>
      </c>
      <c r="CU317" s="5820">
        <f t="shared" si="1441"/>
        <v>5767</v>
      </c>
      <c r="CV317" s="5820">
        <f t="shared" si="1441"/>
        <v>6639</v>
      </c>
      <c r="CW317" s="5859">
        <f t="shared" si="1441"/>
        <v>23716</v>
      </c>
      <c r="CX317" s="5820">
        <f t="shared" ref="CX317:DB317" si="1442">CX27</f>
        <v>6568</v>
      </c>
      <c r="CY317" s="5820">
        <f t="shared" si="1442"/>
        <v>4132</v>
      </c>
      <c r="CZ317" s="5820">
        <f t="shared" si="1442"/>
        <v>7782</v>
      </c>
      <c r="DA317" s="5820">
        <f t="shared" si="1442"/>
        <v>7664</v>
      </c>
      <c r="DB317" s="5859">
        <f t="shared" si="1442"/>
        <v>26146</v>
      </c>
      <c r="DC317" s="5820">
        <f t="shared" ref="DC317:DG317" si="1443">DC27</f>
        <v>7633</v>
      </c>
      <c r="DD317" s="5820">
        <f t="shared" si="1443"/>
        <v>3045</v>
      </c>
      <c r="DE317" s="5820">
        <f t="shared" si="1443"/>
        <v>8625</v>
      </c>
      <c r="DF317" s="5820">
        <f t="shared" si="1443"/>
        <v>8221</v>
      </c>
      <c r="DG317" s="5859">
        <f t="shared" si="1443"/>
        <v>27524</v>
      </c>
      <c r="DH317" s="5820">
        <f t="shared" ref="DH317:EX317" si="1444">DH27</f>
        <v>6608</v>
      </c>
      <c r="DI317" s="5820">
        <f t="shared" si="1444"/>
        <v>9180</v>
      </c>
      <c r="DJ317" s="5820">
        <f t="shared" si="1444"/>
        <v>9177</v>
      </c>
      <c r="DK317" s="5820">
        <f t="shared" si="1444"/>
        <v>9266</v>
      </c>
      <c r="DL317" s="5859">
        <f t="shared" si="1444"/>
        <v>34231</v>
      </c>
      <c r="DM317" s="5820">
        <f t="shared" si="1444"/>
        <v>7977</v>
      </c>
      <c r="DN317" s="5820">
        <f t="shared" si="1444"/>
        <v>6383</v>
      </c>
      <c r="DO317" s="5820">
        <f t="shared" si="1444"/>
        <v>11213</v>
      </c>
      <c r="DP317" s="5820">
        <f t="shared" si="1444"/>
        <v>15651</v>
      </c>
      <c r="DQ317" s="5859">
        <f t="shared" si="1444"/>
        <v>41224</v>
      </c>
      <c r="DR317" s="5820">
        <f t="shared" si="1444"/>
        <v>16437</v>
      </c>
      <c r="DS317" s="5820">
        <f t="shared" si="1444"/>
        <v>19361</v>
      </c>
      <c r="DT317" s="5820">
        <f t="shared" si="1444"/>
        <v>21031</v>
      </c>
      <c r="DU317" s="5820">
        <f t="shared" si="1444"/>
        <v>21885</v>
      </c>
      <c r="DV317" s="5859">
        <f t="shared" si="1444"/>
        <v>78714</v>
      </c>
      <c r="DW317" s="5820">
        <f t="shared" si="1444"/>
        <v>20094</v>
      </c>
      <c r="DX317" s="5820">
        <f t="shared" si="1444"/>
        <v>19453</v>
      </c>
      <c r="DY317" s="5820">
        <f t="shared" si="1444"/>
        <v>17135</v>
      </c>
      <c r="DZ317" s="5820">
        <f t="shared" si="1444"/>
        <v>18160</v>
      </c>
      <c r="EA317" s="5859">
        <f t="shared" si="1444"/>
        <v>74842</v>
      </c>
      <c r="EB317" s="5820">
        <f t="shared" si="1444"/>
        <v>17415</v>
      </c>
      <c r="EC317" s="5820">
        <f t="shared" si="1444"/>
        <v>21838</v>
      </c>
      <c r="ED317" s="5820">
        <f t="shared" si="1444"/>
        <v>21343</v>
      </c>
      <c r="EE317" s="5820">
        <f t="shared" si="1444"/>
        <v>23697</v>
      </c>
      <c r="EF317" s="5859">
        <f t="shared" si="1444"/>
        <v>84293</v>
      </c>
      <c r="EG317" s="5820">
        <f t="shared" si="1444"/>
        <v>25472</v>
      </c>
      <c r="EH317" s="5820">
        <f t="shared" si="1444"/>
        <v>27425</v>
      </c>
      <c r="EI317" s="5820">
        <f t="shared" si="1444"/>
        <v>28521</v>
      </c>
      <c r="EJ317" s="5820">
        <f t="shared" si="1444"/>
        <v>30972</v>
      </c>
      <c r="EK317" s="5859">
        <f t="shared" si="1444"/>
        <v>112390</v>
      </c>
      <c r="EL317" s="5820">
        <f t="shared" si="1444"/>
        <v>30606</v>
      </c>
      <c r="EM317" s="5820">
        <f t="shared" si="1444"/>
        <v>31271</v>
      </c>
      <c r="EN317" s="5820">
        <f t="shared" si="1444"/>
        <v>31228</v>
      </c>
      <c r="EO317" s="5820">
        <f t="shared" si="1444"/>
        <v>37339.346430877777</v>
      </c>
      <c r="EP317" s="5859">
        <f t="shared" si="1444"/>
        <v>130444.34643087776</v>
      </c>
      <c r="EQ317" s="5820">
        <f t="shared" ref="EQ317:EU317" si="1445">EQ27</f>
        <v>37124.369689483283</v>
      </c>
      <c r="ER317" s="5820">
        <f t="shared" si="1445"/>
        <v>38929.529366791176</v>
      </c>
      <c r="ES317" s="5820">
        <f t="shared" si="1445"/>
        <v>40112.083814142432</v>
      </c>
      <c r="ET317" s="5820">
        <f t="shared" si="1445"/>
        <v>43585.092631811312</v>
      </c>
      <c r="EU317" s="5859">
        <f t="shared" si="1445"/>
        <v>159751.07550222822</v>
      </c>
      <c r="EV317" s="5859">
        <f t="shared" si="1444"/>
        <v>178688.9849625713</v>
      </c>
      <c r="EW317" s="5859">
        <f t="shared" si="1444"/>
        <v>203370.41436392756</v>
      </c>
      <c r="EX317" s="5859">
        <f t="shared" si="1444"/>
        <v>230168.81577208661</v>
      </c>
      <c r="EY317" s="5859">
        <f t="shared" ref="EY317" si="1446">EY27</f>
        <v>260643.4617696183</v>
      </c>
      <c r="EZ317" s="4"/>
      <c r="FA317" s="4193"/>
      <c r="FB317" s="4193"/>
      <c r="FC317" s="4193"/>
      <c r="FD317" s="4193"/>
      <c r="FE317" s="4193"/>
      <c r="FF317" s="4193"/>
      <c r="FG317" s="535"/>
      <c r="FH317" s="535"/>
      <c r="FI317" s="535"/>
      <c r="FJ317" s="535"/>
      <c r="FK317" s="535"/>
      <c r="FL317" s="535"/>
    </row>
    <row r="318" spans="1:168" s="31" customFormat="1" ht="11.25" customHeight="1">
      <c r="A318" s="4857" t="str">
        <f>A245</f>
        <v>Severance &amp; Related</v>
      </c>
      <c r="AT318" s="32"/>
      <c r="BT318" s="3593">
        <f t="shared" ref="BT318:BX318" si="1447">BT251</f>
        <v>0</v>
      </c>
      <c r="BU318" s="3593">
        <f t="shared" si="1447"/>
        <v>0</v>
      </c>
      <c r="BV318" s="3593">
        <f t="shared" si="1447"/>
        <v>0</v>
      </c>
      <c r="BW318" s="3593">
        <f t="shared" si="1447"/>
        <v>0</v>
      </c>
      <c r="BX318" s="5732">
        <f t="shared" si="1447"/>
        <v>0</v>
      </c>
      <c r="CD318" s="3593">
        <f t="shared" ref="CD318:CH318" si="1448">CD251</f>
        <v>0</v>
      </c>
      <c r="CE318" s="3593">
        <f t="shared" si="1448"/>
        <v>0</v>
      </c>
      <c r="CF318" s="3593">
        <f t="shared" si="1448"/>
        <v>0</v>
      </c>
      <c r="CG318" s="3593">
        <f t="shared" si="1448"/>
        <v>0</v>
      </c>
      <c r="CH318" s="5732">
        <f t="shared" si="1448"/>
        <v>0</v>
      </c>
      <c r="CI318" s="3593">
        <f t="shared" ref="CI318:CM318" si="1449">CI251</f>
        <v>0</v>
      </c>
      <c r="CJ318" s="3593">
        <f t="shared" si="1449"/>
        <v>0</v>
      </c>
      <c r="CK318" s="3593">
        <f t="shared" si="1449"/>
        <v>0</v>
      </c>
      <c r="CL318" s="3593">
        <f t="shared" si="1449"/>
        <v>0</v>
      </c>
      <c r="CM318" s="5732">
        <f t="shared" si="1449"/>
        <v>0</v>
      </c>
      <c r="CN318" s="3593">
        <f t="shared" ref="CN318:CR318" si="1450">CN251</f>
        <v>0</v>
      </c>
      <c r="CO318" s="3593">
        <f t="shared" si="1450"/>
        <v>0</v>
      </c>
      <c r="CP318" s="3593">
        <f t="shared" si="1450"/>
        <v>0</v>
      </c>
      <c r="CQ318" s="3593">
        <f t="shared" si="1450"/>
        <v>0</v>
      </c>
      <c r="CR318" s="5732">
        <f t="shared" si="1450"/>
        <v>0</v>
      </c>
      <c r="CS318" s="3593">
        <f t="shared" ref="CS318:CW318" si="1451">CS251</f>
        <v>0</v>
      </c>
      <c r="CT318" s="3593">
        <f t="shared" si="1451"/>
        <v>0</v>
      </c>
      <c r="CU318" s="3593">
        <f t="shared" si="1451"/>
        <v>0</v>
      </c>
      <c r="CV318" s="3593">
        <f t="shared" si="1451"/>
        <v>0</v>
      </c>
      <c r="CW318" s="5732">
        <f t="shared" si="1451"/>
        <v>0</v>
      </c>
      <c r="CX318" s="3593">
        <f t="shared" ref="CX318:DB318" si="1452">CX251</f>
        <v>0</v>
      </c>
      <c r="CY318" s="3593">
        <f t="shared" si="1452"/>
        <v>0</v>
      </c>
      <c r="CZ318" s="3593">
        <f t="shared" si="1452"/>
        <v>0</v>
      </c>
      <c r="DA318" s="3593">
        <f t="shared" si="1452"/>
        <v>0</v>
      </c>
      <c r="DB318" s="5732">
        <f t="shared" si="1452"/>
        <v>0</v>
      </c>
      <c r="DC318" s="3593">
        <f t="shared" ref="DC318:DG318" si="1453">DC251</f>
        <v>0</v>
      </c>
      <c r="DD318" s="3593">
        <f t="shared" si="1453"/>
        <v>0</v>
      </c>
      <c r="DE318" s="3593">
        <f t="shared" si="1453"/>
        <v>0</v>
      </c>
      <c r="DF318" s="3593">
        <f t="shared" si="1453"/>
        <v>0</v>
      </c>
      <c r="DG318" s="5732">
        <f t="shared" si="1453"/>
        <v>0</v>
      </c>
      <c r="DH318" s="3593">
        <f t="shared" ref="DH318:EW318" si="1454">DH251</f>
        <v>0</v>
      </c>
      <c r="DI318" s="3593">
        <f t="shared" si="1454"/>
        <v>0</v>
      </c>
      <c r="DJ318" s="3593">
        <f t="shared" si="1454"/>
        <v>0</v>
      </c>
      <c r="DK318" s="3593">
        <f t="shared" si="1454"/>
        <v>0</v>
      </c>
      <c r="DL318" s="5732">
        <f t="shared" si="1454"/>
        <v>0</v>
      </c>
      <c r="DM318" s="3593">
        <f t="shared" si="1454"/>
        <v>0</v>
      </c>
      <c r="DN318" s="3593">
        <f t="shared" si="1454"/>
        <v>0</v>
      </c>
      <c r="DO318" s="3593">
        <f t="shared" si="1454"/>
        <v>0</v>
      </c>
      <c r="DP318" s="3593">
        <f t="shared" si="1454"/>
        <v>0</v>
      </c>
      <c r="DQ318" s="5732">
        <f t="shared" si="1454"/>
        <v>0</v>
      </c>
      <c r="DR318" s="3593">
        <f t="shared" si="1454"/>
        <v>0</v>
      </c>
      <c r="DS318" s="3593">
        <f t="shared" si="1454"/>
        <v>0</v>
      </c>
      <c r="DT318" s="3593">
        <f t="shared" si="1454"/>
        <v>0</v>
      </c>
      <c r="DU318" s="3593">
        <f t="shared" si="1454"/>
        <v>0</v>
      </c>
      <c r="DV318" s="5732">
        <f t="shared" si="1454"/>
        <v>0</v>
      </c>
      <c r="DW318" s="3593">
        <f t="shared" si="1454"/>
        <v>0</v>
      </c>
      <c r="DX318" s="3593">
        <f t="shared" si="1454"/>
        <v>0</v>
      </c>
      <c r="DY318" s="3593">
        <f t="shared" si="1454"/>
        <v>0</v>
      </c>
      <c r="DZ318" s="3593">
        <f t="shared" si="1454"/>
        <v>0</v>
      </c>
      <c r="EA318" s="5732">
        <f t="shared" si="1454"/>
        <v>0</v>
      </c>
      <c r="EB318" s="4812">
        <f t="shared" si="1454"/>
        <v>1994</v>
      </c>
      <c r="EC318" s="4812">
        <f t="shared" si="1454"/>
        <v>1</v>
      </c>
      <c r="ED318" s="4812">
        <f t="shared" si="1454"/>
        <v>86</v>
      </c>
      <c r="EE318" s="4812">
        <f t="shared" si="1454"/>
        <v>10</v>
      </c>
      <c r="EF318" s="5732">
        <f t="shared" si="1454"/>
        <v>2088</v>
      </c>
      <c r="EG318" s="4812">
        <f t="shared" si="1454"/>
        <v>716</v>
      </c>
      <c r="EH318" s="4812">
        <f>EH251</f>
        <v>0</v>
      </c>
      <c r="EI318" s="4812">
        <f>EI251</f>
        <v>0</v>
      </c>
      <c r="EJ318" s="4812">
        <f t="shared" si="1454"/>
        <v>275</v>
      </c>
      <c r="EK318" s="5732">
        <f t="shared" si="1454"/>
        <v>991</v>
      </c>
      <c r="EL318" s="3593">
        <f t="shared" ref="EL318:EP318" si="1455">EL251</f>
        <v>0</v>
      </c>
      <c r="EM318" s="3593">
        <f t="shared" si="1455"/>
        <v>0</v>
      </c>
      <c r="EN318" s="4812">
        <f t="shared" si="1455"/>
        <v>0</v>
      </c>
      <c r="EO318" s="3593">
        <f t="shared" si="1455"/>
        <v>0</v>
      </c>
      <c r="EP318" s="5732">
        <f t="shared" si="1455"/>
        <v>0</v>
      </c>
      <c r="EQ318" s="3593">
        <f t="shared" ref="EQ318:EU318" si="1456">EQ251</f>
        <v>0</v>
      </c>
      <c r="ER318" s="3593">
        <f t="shared" si="1456"/>
        <v>0</v>
      </c>
      <c r="ES318" s="3593">
        <f t="shared" si="1456"/>
        <v>0</v>
      </c>
      <c r="ET318" s="3593">
        <f t="shared" si="1456"/>
        <v>0</v>
      </c>
      <c r="EU318" s="5732">
        <f t="shared" si="1456"/>
        <v>0</v>
      </c>
      <c r="EV318" s="5732">
        <f t="shared" si="1454"/>
        <v>0</v>
      </c>
      <c r="EW318" s="5732">
        <f t="shared" si="1454"/>
        <v>0</v>
      </c>
      <c r="EX318" s="5732">
        <f t="shared" ref="EX318:EY318" si="1457">EX251</f>
        <v>0</v>
      </c>
      <c r="EY318" s="5732">
        <f t="shared" si="1457"/>
        <v>0</v>
      </c>
      <c r="EZ318" s="4"/>
      <c r="FA318" s="5885"/>
      <c r="FB318" s="5885"/>
      <c r="FC318" s="5885"/>
      <c r="FD318" s="5885"/>
      <c r="FE318" s="5885"/>
      <c r="FF318" s="5885"/>
      <c r="FG318" s="766"/>
      <c r="FH318" s="766"/>
      <c r="FI318" s="766"/>
      <c r="FJ318" s="766"/>
      <c r="FK318" s="766"/>
      <c r="FL318" s="766"/>
    </row>
    <row r="319" spans="1:168" s="31" customFormat="1" ht="11.25" customHeight="1">
      <c r="A319" s="4857" t="str">
        <f>A253</f>
        <v>Office Space</v>
      </c>
      <c r="AT319" s="32"/>
      <c r="BT319" s="3593">
        <f t="shared" ref="BT319:BX319" si="1458">BT258</f>
        <v>0</v>
      </c>
      <c r="BU319" s="3593">
        <f t="shared" si="1458"/>
        <v>0</v>
      </c>
      <c r="BV319" s="3593">
        <f t="shared" si="1458"/>
        <v>0</v>
      </c>
      <c r="BW319" s="3593">
        <f t="shared" si="1458"/>
        <v>0</v>
      </c>
      <c r="BX319" s="5732">
        <f t="shared" si="1458"/>
        <v>0</v>
      </c>
      <c r="CD319" s="3593">
        <f t="shared" ref="CD319:CH319" si="1459">CD258</f>
        <v>0</v>
      </c>
      <c r="CE319" s="3593">
        <f t="shared" si="1459"/>
        <v>0</v>
      </c>
      <c r="CF319" s="3593">
        <f t="shared" si="1459"/>
        <v>0</v>
      </c>
      <c r="CG319" s="3593">
        <f t="shared" si="1459"/>
        <v>0</v>
      </c>
      <c r="CH319" s="5732">
        <f t="shared" si="1459"/>
        <v>0</v>
      </c>
      <c r="CI319" s="3593">
        <f t="shared" ref="CI319:CM319" si="1460">CI258</f>
        <v>0</v>
      </c>
      <c r="CJ319" s="3593">
        <f t="shared" si="1460"/>
        <v>0</v>
      </c>
      <c r="CK319" s="3593">
        <f t="shared" si="1460"/>
        <v>0</v>
      </c>
      <c r="CL319" s="3593">
        <f t="shared" si="1460"/>
        <v>0</v>
      </c>
      <c r="CM319" s="5732">
        <f t="shared" si="1460"/>
        <v>0</v>
      </c>
      <c r="CN319" s="3593">
        <f t="shared" ref="CN319:CR319" si="1461">CN258</f>
        <v>0</v>
      </c>
      <c r="CO319" s="3593">
        <f t="shared" si="1461"/>
        <v>0</v>
      </c>
      <c r="CP319" s="3593">
        <f t="shared" si="1461"/>
        <v>0</v>
      </c>
      <c r="CQ319" s="3593">
        <f t="shared" si="1461"/>
        <v>0</v>
      </c>
      <c r="CR319" s="5732">
        <f t="shared" si="1461"/>
        <v>0</v>
      </c>
      <c r="CS319" s="3593">
        <f t="shared" ref="CS319:CW319" si="1462">CS258</f>
        <v>0</v>
      </c>
      <c r="CT319" s="3593">
        <f t="shared" si="1462"/>
        <v>0</v>
      </c>
      <c r="CU319" s="3593">
        <f t="shared" si="1462"/>
        <v>0</v>
      </c>
      <c r="CV319" s="3593">
        <f t="shared" si="1462"/>
        <v>0</v>
      </c>
      <c r="CW319" s="5732">
        <f t="shared" si="1462"/>
        <v>0</v>
      </c>
      <c r="CX319" s="3593">
        <f t="shared" ref="CX319:DB319" si="1463">CX258</f>
        <v>0</v>
      </c>
      <c r="CY319" s="3593">
        <f t="shared" si="1463"/>
        <v>0</v>
      </c>
      <c r="CZ319" s="3593">
        <f t="shared" si="1463"/>
        <v>0</v>
      </c>
      <c r="DA319" s="3593">
        <f t="shared" si="1463"/>
        <v>0</v>
      </c>
      <c r="DB319" s="5732">
        <f t="shared" si="1463"/>
        <v>0</v>
      </c>
      <c r="DC319" s="3593">
        <f t="shared" ref="DC319:DG319" si="1464">DC258</f>
        <v>0</v>
      </c>
      <c r="DD319" s="3593">
        <f t="shared" si="1464"/>
        <v>0</v>
      </c>
      <c r="DE319" s="3593">
        <f t="shared" si="1464"/>
        <v>0</v>
      </c>
      <c r="DF319" s="3593">
        <f t="shared" si="1464"/>
        <v>0</v>
      </c>
      <c r="DG319" s="5732">
        <f t="shared" si="1464"/>
        <v>0</v>
      </c>
      <c r="DH319" s="3593">
        <f t="shared" ref="DH319:EW319" si="1465">DH258</f>
        <v>0</v>
      </c>
      <c r="DI319" s="3593">
        <f t="shared" si="1465"/>
        <v>0</v>
      </c>
      <c r="DJ319" s="3593">
        <f t="shared" si="1465"/>
        <v>0</v>
      </c>
      <c r="DK319" s="3593">
        <f t="shared" si="1465"/>
        <v>0</v>
      </c>
      <c r="DL319" s="5732">
        <f t="shared" si="1465"/>
        <v>0</v>
      </c>
      <c r="DM319" s="3593">
        <f t="shared" si="1465"/>
        <v>0</v>
      </c>
      <c r="DN319" s="3593">
        <f t="shared" si="1465"/>
        <v>0</v>
      </c>
      <c r="DO319" s="3593">
        <f t="shared" si="1465"/>
        <v>0</v>
      </c>
      <c r="DP319" s="3593">
        <f t="shared" si="1465"/>
        <v>0</v>
      </c>
      <c r="DQ319" s="5732">
        <f t="shared" si="1465"/>
        <v>0</v>
      </c>
      <c r="DR319" s="3593">
        <f t="shared" si="1465"/>
        <v>0</v>
      </c>
      <c r="DS319" s="3593">
        <f t="shared" si="1465"/>
        <v>0</v>
      </c>
      <c r="DT319" s="3593">
        <f t="shared" si="1465"/>
        <v>0</v>
      </c>
      <c r="DU319" s="3593">
        <f t="shared" si="1465"/>
        <v>0</v>
      </c>
      <c r="DV319" s="5732">
        <f t="shared" si="1465"/>
        <v>0</v>
      </c>
      <c r="DW319" s="3593">
        <f t="shared" si="1465"/>
        <v>0</v>
      </c>
      <c r="DX319" s="3593">
        <f t="shared" si="1465"/>
        <v>0</v>
      </c>
      <c r="DY319" s="3593">
        <f t="shared" si="1465"/>
        <v>0</v>
      </c>
      <c r="DZ319" s="3593">
        <f t="shared" si="1465"/>
        <v>0</v>
      </c>
      <c r="EA319" s="5732">
        <f t="shared" si="1465"/>
        <v>0</v>
      </c>
      <c r="EB319" s="4812">
        <f t="shared" si="1465"/>
        <v>564</v>
      </c>
      <c r="EC319" s="4812">
        <f t="shared" si="1465"/>
        <v>69</v>
      </c>
      <c r="ED319" s="4812">
        <f t="shared" si="1465"/>
        <v>16</v>
      </c>
      <c r="EE319" s="4812">
        <f t="shared" si="1465"/>
        <v>1196</v>
      </c>
      <c r="EF319" s="5732">
        <f t="shared" si="1465"/>
        <v>1845</v>
      </c>
      <c r="EG319" s="4812">
        <f t="shared" si="1465"/>
        <v>0</v>
      </c>
      <c r="EH319" s="4812">
        <f t="shared" si="1465"/>
        <v>0</v>
      </c>
      <c r="EI319" s="4812">
        <f t="shared" si="1465"/>
        <v>607</v>
      </c>
      <c r="EJ319" s="4812">
        <f t="shared" si="1465"/>
        <v>189</v>
      </c>
      <c r="EK319" s="5732">
        <f t="shared" si="1465"/>
        <v>796</v>
      </c>
      <c r="EL319" s="3593">
        <f t="shared" ref="EL319:EP319" si="1466">EL258</f>
        <v>0</v>
      </c>
      <c r="EM319" s="3593">
        <f t="shared" si="1466"/>
        <v>0</v>
      </c>
      <c r="EN319" s="4812">
        <f t="shared" si="1466"/>
        <v>0</v>
      </c>
      <c r="EO319" s="3593">
        <f t="shared" si="1466"/>
        <v>0</v>
      </c>
      <c r="EP319" s="5732">
        <f t="shared" si="1466"/>
        <v>0</v>
      </c>
      <c r="EQ319" s="3593">
        <f t="shared" ref="EQ319:EU319" si="1467">EQ258</f>
        <v>0</v>
      </c>
      <c r="ER319" s="3593">
        <f t="shared" si="1467"/>
        <v>0</v>
      </c>
      <c r="ES319" s="3593">
        <f t="shared" si="1467"/>
        <v>0</v>
      </c>
      <c r="ET319" s="3593">
        <f t="shared" si="1467"/>
        <v>0</v>
      </c>
      <c r="EU319" s="5732">
        <f t="shared" si="1467"/>
        <v>0</v>
      </c>
      <c r="EV319" s="5732">
        <f t="shared" si="1465"/>
        <v>0</v>
      </c>
      <c r="EW319" s="5732">
        <f t="shared" si="1465"/>
        <v>0</v>
      </c>
      <c r="EX319" s="5732">
        <f t="shared" ref="EX319:EY319" si="1468">EX258</f>
        <v>0</v>
      </c>
      <c r="EY319" s="5732">
        <f t="shared" si="1468"/>
        <v>0</v>
      </c>
      <c r="EZ319" s="4"/>
      <c r="FA319" s="5885"/>
      <c r="FB319" s="5885"/>
      <c r="FC319" s="5885"/>
      <c r="FD319" s="5885"/>
      <c r="FE319" s="5885"/>
      <c r="FF319" s="5885"/>
      <c r="FG319" s="766"/>
      <c r="FH319" s="766"/>
      <c r="FI319" s="766"/>
      <c r="FJ319" s="766"/>
      <c r="FK319" s="766"/>
      <c r="FL319" s="766"/>
    </row>
    <row r="320" spans="1:168" s="31" customFormat="1" ht="11.25" customHeight="1">
      <c r="A320" s="4857" t="s">
        <v>1078</v>
      </c>
      <c r="AT320" s="32"/>
      <c r="BT320" s="4812">
        <f t="shared" ref="BT320:BX320" si="1469">SUM(BT264:BT266)</f>
        <v>0</v>
      </c>
      <c r="BU320" s="3593">
        <f t="shared" si="1469"/>
        <v>0</v>
      </c>
      <c r="BV320" s="4812">
        <f t="shared" si="1469"/>
        <v>0</v>
      </c>
      <c r="BW320" s="3593">
        <f t="shared" si="1469"/>
        <v>0</v>
      </c>
      <c r="BX320" s="5732">
        <f t="shared" si="1469"/>
        <v>0</v>
      </c>
      <c r="CD320" s="4812">
        <f t="shared" ref="CD320:CH320" si="1470">SUM(CD264:CD266)</f>
        <v>0</v>
      </c>
      <c r="CE320" s="3593">
        <f t="shared" si="1470"/>
        <v>0</v>
      </c>
      <c r="CF320" s="4812">
        <f t="shared" si="1470"/>
        <v>0</v>
      </c>
      <c r="CG320" s="3593">
        <f t="shared" si="1470"/>
        <v>0</v>
      </c>
      <c r="CH320" s="5732">
        <f t="shared" si="1470"/>
        <v>0</v>
      </c>
      <c r="CI320" s="4812">
        <f t="shared" ref="CI320:CM320" si="1471">SUM(CI264:CI266)</f>
        <v>0</v>
      </c>
      <c r="CJ320" s="3593">
        <f t="shared" si="1471"/>
        <v>0</v>
      </c>
      <c r="CK320" s="4812">
        <f t="shared" si="1471"/>
        <v>378</v>
      </c>
      <c r="CL320" s="3593">
        <f t="shared" si="1471"/>
        <v>0</v>
      </c>
      <c r="CM320" s="5732">
        <f t="shared" si="1471"/>
        <v>378</v>
      </c>
      <c r="CN320" s="4812">
        <f t="shared" ref="CN320:CR320" si="1472">SUM(CN264:CN266)</f>
        <v>0</v>
      </c>
      <c r="CO320" s="3593">
        <f t="shared" si="1472"/>
        <v>0</v>
      </c>
      <c r="CP320" s="4812">
        <f t="shared" si="1472"/>
        <v>0</v>
      </c>
      <c r="CQ320" s="3593">
        <f t="shared" si="1472"/>
        <v>0</v>
      </c>
      <c r="CR320" s="5732">
        <f t="shared" si="1472"/>
        <v>0</v>
      </c>
      <c r="CS320" s="4812">
        <f t="shared" ref="CS320:CW320" si="1473">SUM(CS264:CS266)</f>
        <v>0</v>
      </c>
      <c r="CT320" s="3593">
        <f t="shared" si="1473"/>
        <v>0</v>
      </c>
      <c r="CU320" s="4812">
        <f t="shared" si="1473"/>
        <v>0</v>
      </c>
      <c r="CV320" s="3593">
        <f t="shared" si="1473"/>
        <v>0</v>
      </c>
      <c r="CW320" s="5732">
        <f t="shared" si="1473"/>
        <v>0</v>
      </c>
      <c r="CX320" s="4812">
        <f t="shared" ref="CX320:DB320" si="1474">SUM(CX264:CX266)</f>
        <v>0</v>
      </c>
      <c r="CY320" s="3593">
        <f t="shared" si="1474"/>
        <v>2736</v>
      </c>
      <c r="CZ320" s="4812">
        <f t="shared" si="1474"/>
        <v>0</v>
      </c>
      <c r="DA320" s="3593">
        <f t="shared" si="1474"/>
        <v>0</v>
      </c>
      <c r="DB320" s="5732">
        <f t="shared" si="1474"/>
        <v>2736</v>
      </c>
      <c r="DC320" s="4812">
        <f t="shared" ref="DC320:DG320" si="1475">SUM(DC264:DC266)</f>
        <v>0</v>
      </c>
      <c r="DD320" s="3593">
        <f t="shared" si="1475"/>
        <v>5071</v>
      </c>
      <c r="DE320" s="4812">
        <f t="shared" si="1475"/>
        <v>0</v>
      </c>
      <c r="DF320" s="3593">
        <f t="shared" si="1475"/>
        <v>0</v>
      </c>
      <c r="DG320" s="5732">
        <f t="shared" si="1475"/>
        <v>5071</v>
      </c>
      <c r="DH320" s="4812">
        <f t="shared" ref="DH320:EW320" si="1476">SUM(DH264:DH266)</f>
        <v>1697</v>
      </c>
      <c r="DI320" s="3593">
        <f t="shared" si="1476"/>
        <v>0</v>
      </c>
      <c r="DJ320" s="4812">
        <f t="shared" si="1476"/>
        <v>554</v>
      </c>
      <c r="DK320" s="3593">
        <f t="shared" si="1476"/>
        <v>0</v>
      </c>
      <c r="DL320" s="5732">
        <f t="shared" si="1476"/>
        <v>2251</v>
      </c>
      <c r="DM320" s="3593">
        <f t="shared" si="1476"/>
        <v>413</v>
      </c>
      <c r="DN320" s="3593">
        <f t="shared" si="1476"/>
        <v>214</v>
      </c>
      <c r="DO320" s="3593">
        <f t="shared" si="1476"/>
        <v>0</v>
      </c>
      <c r="DP320" s="3593">
        <f t="shared" si="1476"/>
        <v>0</v>
      </c>
      <c r="DQ320" s="5732">
        <f t="shared" si="1476"/>
        <v>627</v>
      </c>
      <c r="DR320" s="4812">
        <f t="shared" si="1476"/>
        <v>236</v>
      </c>
      <c r="DS320" s="4812">
        <f t="shared" si="1476"/>
        <v>796</v>
      </c>
      <c r="DT320" s="4812">
        <f t="shared" si="1476"/>
        <v>314</v>
      </c>
      <c r="DU320" s="4812">
        <f t="shared" si="1476"/>
        <v>354</v>
      </c>
      <c r="DV320" s="5732">
        <f t="shared" si="1476"/>
        <v>1700</v>
      </c>
      <c r="DW320" s="3593">
        <f t="shared" si="1476"/>
        <v>0</v>
      </c>
      <c r="DX320" s="3593">
        <f t="shared" si="1476"/>
        <v>0</v>
      </c>
      <c r="DY320" s="4812">
        <f t="shared" si="1476"/>
        <v>-228</v>
      </c>
      <c r="DZ320" s="3593">
        <f t="shared" si="1476"/>
        <v>0</v>
      </c>
      <c r="EA320" s="5732">
        <f t="shared" si="1476"/>
        <v>-228</v>
      </c>
      <c r="EB320" s="4812">
        <f t="shared" si="1476"/>
        <v>0</v>
      </c>
      <c r="EC320" s="4812">
        <f t="shared" si="1476"/>
        <v>0</v>
      </c>
      <c r="ED320" s="4812">
        <f t="shared" si="1476"/>
        <v>589</v>
      </c>
      <c r="EE320" s="4812">
        <f t="shared" si="1476"/>
        <v>0</v>
      </c>
      <c r="EF320" s="5732">
        <f t="shared" si="1476"/>
        <v>589</v>
      </c>
      <c r="EG320" s="4812">
        <f t="shared" si="1476"/>
        <v>0</v>
      </c>
      <c r="EH320" s="4812">
        <f t="shared" si="1476"/>
        <v>0</v>
      </c>
      <c r="EI320" s="4812">
        <f t="shared" si="1476"/>
        <v>0</v>
      </c>
      <c r="EJ320" s="4812">
        <f t="shared" si="1476"/>
        <v>0</v>
      </c>
      <c r="EK320" s="5732">
        <f t="shared" si="1476"/>
        <v>0</v>
      </c>
      <c r="EL320" s="3593">
        <f t="shared" ref="EL320:EP320" si="1477">SUM(EL264:EL266)</f>
        <v>292</v>
      </c>
      <c r="EM320" s="3593">
        <f t="shared" si="1477"/>
        <v>1400</v>
      </c>
      <c r="EN320" s="4812">
        <f t="shared" si="1477"/>
        <v>3457</v>
      </c>
      <c r="EO320" s="3593">
        <f t="shared" si="1477"/>
        <v>0</v>
      </c>
      <c r="EP320" s="5732">
        <f t="shared" si="1477"/>
        <v>5149</v>
      </c>
      <c r="EQ320" s="3593">
        <f t="shared" ref="EQ320:EU320" si="1478">SUM(EQ264:EQ266)</f>
        <v>0</v>
      </c>
      <c r="ER320" s="3593">
        <f t="shared" si="1478"/>
        <v>0</v>
      </c>
      <c r="ES320" s="3593">
        <f t="shared" si="1478"/>
        <v>0</v>
      </c>
      <c r="ET320" s="3593">
        <f t="shared" si="1478"/>
        <v>0</v>
      </c>
      <c r="EU320" s="5732">
        <f t="shared" si="1478"/>
        <v>0</v>
      </c>
      <c r="EV320" s="5732">
        <f t="shared" si="1476"/>
        <v>0</v>
      </c>
      <c r="EW320" s="5732">
        <f t="shared" si="1476"/>
        <v>0</v>
      </c>
      <c r="EX320" s="5732">
        <f t="shared" ref="EX320:EY320" si="1479">SUM(EX264:EX266)</f>
        <v>0</v>
      </c>
      <c r="EY320" s="5732">
        <f t="shared" si="1479"/>
        <v>0</v>
      </c>
      <c r="EZ320" s="4"/>
      <c r="FA320" s="5885"/>
      <c r="FB320" s="5885"/>
      <c r="FC320" s="5885"/>
      <c r="FD320" s="5885"/>
      <c r="FE320" s="5885"/>
      <c r="FF320" s="5885"/>
      <c r="FG320" s="766"/>
      <c r="FH320" s="766"/>
      <c r="FI320" s="766"/>
      <c r="FJ320" s="766"/>
      <c r="FK320" s="766"/>
      <c r="FL320" s="766"/>
    </row>
    <row r="321" spans="1:168" s="31" customFormat="1" ht="11.25" customHeight="1">
      <c r="A321" s="5276" t="s">
        <v>1067</v>
      </c>
      <c r="B321" s="513"/>
      <c r="C321" s="513"/>
      <c r="D321" s="513"/>
      <c r="E321" s="513"/>
      <c r="F321" s="513"/>
      <c r="G321" s="513"/>
      <c r="H321" s="513"/>
      <c r="I321" s="513"/>
      <c r="J321" s="513"/>
      <c r="K321" s="513"/>
      <c r="L321" s="513"/>
      <c r="M321" s="513"/>
      <c r="N321" s="513"/>
      <c r="O321" s="513"/>
      <c r="P321" s="513"/>
      <c r="Q321" s="513"/>
      <c r="R321" s="513"/>
      <c r="S321" s="513"/>
      <c r="T321" s="513"/>
      <c r="U321" s="513"/>
      <c r="V321" s="513"/>
      <c r="W321" s="513"/>
      <c r="X321" s="513"/>
      <c r="Y321" s="513"/>
      <c r="Z321" s="513"/>
      <c r="AA321" s="513"/>
      <c r="AB321" s="513"/>
      <c r="AC321" s="513"/>
      <c r="AD321" s="513"/>
      <c r="AE321" s="513"/>
      <c r="AF321" s="513"/>
      <c r="AG321" s="513"/>
      <c r="AH321" s="513"/>
      <c r="AI321" s="513"/>
      <c r="AJ321" s="513"/>
      <c r="AK321" s="513"/>
      <c r="AL321" s="513"/>
      <c r="AM321" s="513"/>
      <c r="AN321" s="513"/>
      <c r="AO321" s="513"/>
      <c r="AP321" s="513"/>
      <c r="AQ321" s="513"/>
      <c r="AR321" s="513"/>
      <c r="AS321" s="513"/>
      <c r="AT321" s="5881"/>
      <c r="AU321" s="513"/>
      <c r="AV321" s="513"/>
      <c r="AW321" s="513"/>
      <c r="AX321" s="513"/>
      <c r="AY321" s="513"/>
      <c r="AZ321" s="513"/>
      <c r="BA321" s="513"/>
      <c r="BB321" s="513"/>
      <c r="BC321" s="513"/>
      <c r="BD321" s="513"/>
      <c r="BE321" s="513"/>
      <c r="BF321" s="513"/>
      <c r="BG321" s="513"/>
      <c r="BH321" s="513"/>
      <c r="BI321" s="513"/>
      <c r="BJ321" s="513"/>
      <c r="BK321" s="513"/>
      <c r="BL321" s="513"/>
      <c r="BM321" s="513"/>
      <c r="BN321" s="513"/>
      <c r="BO321" s="513"/>
      <c r="BP321" s="513"/>
      <c r="BQ321" s="513"/>
      <c r="BR321" s="513"/>
      <c r="BS321" s="513"/>
      <c r="BT321" s="5820">
        <f t="shared" ref="BT321:BX321" si="1480">BT317+SUM(BT318:BT320)</f>
        <v>3389</v>
      </c>
      <c r="BU321" s="5820">
        <f t="shared" si="1480"/>
        <v>3436</v>
      </c>
      <c r="BV321" s="5820">
        <f t="shared" si="1480"/>
        <v>3263</v>
      </c>
      <c r="BW321" s="5820">
        <f t="shared" si="1480"/>
        <v>3747</v>
      </c>
      <c r="BX321" s="5859">
        <f t="shared" si="1480"/>
        <v>13834</v>
      </c>
      <c r="BY321" s="513"/>
      <c r="BZ321" s="513"/>
      <c r="CA321" s="513"/>
      <c r="CB321" s="513"/>
      <c r="CC321" s="513"/>
      <c r="CD321" s="5820">
        <f t="shared" ref="CD321:CH321" si="1481">CD317+SUM(CD318:CD320)</f>
        <v>3748</v>
      </c>
      <c r="CE321" s="5820">
        <f t="shared" si="1481"/>
        <v>3465</v>
      </c>
      <c r="CF321" s="5820">
        <f t="shared" si="1481"/>
        <v>3761</v>
      </c>
      <c r="CG321" s="5820">
        <f t="shared" si="1481"/>
        <v>4429</v>
      </c>
      <c r="CH321" s="5859">
        <f t="shared" si="1481"/>
        <v>15403</v>
      </c>
      <c r="CI321" s="5820">
        <f t="shared" ref="CI321:CM321" si="1482">CI317+SUM(CI318:CI320)</f>
        <v>4115</v>
      </c>
      <c r="CJ321" s="5820">
        <f t="shared" si="1482"/>
        <v>4258</v>
      </c>
      <c r="CK321" s="5820">
        <f t="shared" si="1482"/>
        <v>4102</v>
      </c>
      <c r="CL321" s="5820">
        <f t="shared" si="1482"/>
        <v>4399</v>
      </c>
      <c r="CM321" s="5859">
        <f t="shared" si="1482"/>
        <v>16874</v>
      </c>
      <c r="CN321" s="5820">
        <f t="shared" ref="CN321:CR321" si="1483">CN317+SUM(CN318:CN320)</f>
        <v>4447</v>
      </c>
      <c r="CO321" s="5820">
        <f t="shared" si="1483"/>
        <v>4825</v>
      </c>
      <c r="CP321" s="5820">
        <f t="shared" si="1483"/>
        <v>4708</v>
      </c>
      <c r="CQ321" s="5820">
        <f t="shared" si="1483"/>
        <v>5380</v>
      </c>
      <c r="CR321" s="5859">
        <f t="shared" si="1483"/>
        <v>19360</v>
      </c>
      <c r="CS321" s="5820">
        <f t="shared" ref="CS321:CW321" si="1484">CS317+SUM(CS318:CS320)</f>
        <v>5342</v>
      </c>
      <c r="CT321" s="5820">
        <f t="shared" si="1484"/>
        <v>5968</v>
      </c>
      <c r="CU321" s="5820">
        <f t="shared" si="1484"/>
        <v>5767</v>
      </c>
      <c r="CV321" s="5820">
        <f t="shared" si="1484"/>
        <v>6639</v>
      </c>
      <c r="CW321" s="5859">
        <f t="shared" si="1484"/>
        <v>23716</v>
      </c>
      <c r="CX321" s="5820">
        <f t="shared" ref="CX321:DB321" si="1485">CX317+SUM(CX318:CX320)</f>
        <v>6568</v>
      </c>
      <c r="CY321" s="5820">
        <f t="shared" si="1485"/>
        <v>6868</v>
      </c>
      <c r="CZ321" s="5820">
        <f t="shared" si="1485"/>
        <v>7782</v>
      </c>
      <c r="DA321" s="5820">
        <f t="shared" si="1485"/>
        <v>7664</v>
      </c>
      <c r="DB321" s="5859">
        <f t="shared" si="1485"/>
        <v>28882</v>
      </c>
      <c r="DC321" s="5820">
        <f t="shared" ref="DC321:DG321" si="1486">DC317+SUM(DC318:DC320)</f>
        <v>7633</v>
      </c>
      <c r="DD321" s="5820">
        <f t="shared" si="1486"/>
        <v>8116</v>
      </c>
      <c r="DE321" s="5820">
        <f t="shared" si="1486"/>
        <v>8625</v>
      </c>
      <c r="DF321" s="5820">
        <f t="shared" si="1486"/>
        <v>8221</v>
      </c>
      <c r="DG321" s="5859">
        <f t="shared" si="1486"/>
        <v>32595</v>
      </c>
      <c r="DH321" s="5820">
        <f t="shared" ref="DH321:EW321" si="1487">DH317+SUM(DH318:DH320)</f>
        <v>8305</v>
      </c>
      <c r="DI321" s="5820">
        <f t="shared" si="1487"/>
        <v>9180</v>
      </c>
      <c r="DJ321" s="5820">
        <f t="shared" si="1487"/>
        <v>9731</v>
      </c>
      <c r="DK321" s="5820">
        <f t="shared" si="1487"/>
        <v>9266</v>
      </c>
      <c r="DL321" s="5859">
        <f t="shared" si="1487"/>
        <v>36482</v>
      </c>
      <c r="DM321" s="5820">
        <f t="shared" si="1487"/>
        <v>8390</v>
      </c>
      <c r="DN321" s="5820">
        <f t="shared" si="1487"/>
        <v>6597</v>
      </c>
      <c r="DO321" s="5820">
        <f t="shared" si="1487"/>
        <v>11213</v>
      </c>
      <c r="DP321" s="5820">
        <f t="shared" si="1487"/>
        <v>15651</v>
      </c>
      <c r="DQ321" s="5859">
        <f t="shared" si="1487"/>
        <v>41851</v>
      </c>
      <c r="DR321" s="5820">
        <f t="shared" si="1487"/>
        <v>16673</v>
      </c>
      <c r="DS321" s="5820">
        <f t="shared" si="1487"/>
        <v>20157</v>
      </c>
      <c r="DT321" s="5820">
        <f t="shared" si="1487"/>
        <v>21345</v>
      </c>
      <c r="DU321" s="5820">
        <f t="shared" si="1487"/>
        <v>22239</v>
      </c>
      <c r="DV321" s="5859">
        <f t="shared" si="1487"/>
        <v>80414</v>
      </c>
      <c r="DW321" s="5820">
        <f t="shared" si="1487"/>
        <v>20094</v>
      </c>
      <c r="DX321" s="5820">
        <f t="shared" si="1487"/>
        <v>19453</v>
      </c>
      <c r="DY321" s="5820">
        <f t="shared" si="1487"/>
        <v>16907</v>
      </c>
      <c r="DZ321" s="5820">
        <f t="shared" si="1487"/>
        <v>18160</v>
      </c>
      <c r="EA321" s="5859">
        <f t="shared" si="1487"/>
        <v>74614</v>
      </c>
      <c r="EB321" s="5820">
        <f t="shared" si="1487"/>
        <v>19973</v>
      </c>
      <c r="EC321" s="5820">
        <f t="shared" si="1487"/>
        <v>21908</v>
      </c>
      <c r="ED321" s="5820">
        <f t="shared" si="1487"/>
        <v>22034</v>
      </c>
      <c r="EE321" s="5820">
        <f t="shared" si="1487"/>
        <v>24903</v>
      </c>
      <c r="EF321" s="5859">
        <f t="shared" si="1487"/>
        <v>88815</v>
      </c>
      <c r="EG321" s="5820">
        <f t="shared" si="1487"/>
        <v>26188</v>
      </c>
      <c r="EH321" s="5820">
        <f t="shared" si="1487"/>
        <v>27425</v>
      </c>
      <c r="EI321" s="5820">
        <f t="shared" si="1487"/>
        <v>29128</v>
      </c>
      <c r="EJ321" s="5820">
        <f t="shared" si="1487"/>
        <v>31436</v>
      </c>
      <c r="EK321" s="5859">
        <f t="shared" si="1487"/>
        <v>114177</v>
      </c>
      <c r="EL321" s="5820">
        <f t="shared" ref="EL321:EP321" si="1488">EL317+SUM(EL318:EL320)</f>
        <v>30898</v>
      </c>
      <c r="EM321" s="5820">
        <f t="shared" si="1488"/>
        <v>32671</v>
      </c>
      <c r="EN321" s="5820">
        <f t="shared" si="1488"/>
        <v>34685</v>
      </c>
      <c r="EO321" s="5820">
        <f t="shared" si="1488"/>
        <v>37339.346430877777</v>
      </c>
      <c r="EP321" s="5859">
        <f t="shared" si="1488"/>
        <v>135593.34643087775</v>
      </c>
      <c r="EQ321" s="5820">
        <f t="shared" ref="EQ321:EU321" si="1489">EQ317+SUM(EQ318:EQ320)</f>
        <v>37124.369689483283</v>
      </c>
      <c r="ER321" s="5820">
        <f t="shared" si="1489"/>
        <v>38929.529366791176</v>
      </c>
      <c r="ES321" s="5820">
        <f t="shared" si="1489"/>
        <v>40112.083814142432</v>
      </c>
      <c r="ET321" s="5820">
        <f t="shared" si="1489"/>
        <v>43585.092631811312</v>
      </c>
      <c r="EU321" s="5859">
        <f t="shared" si="1489"/>
        <v>159751.07550222822</v>
      </c>
      <c r="EV321" s="5859">
        <f t="shared" si="1487"/>
        <v>178688.9849625713</v>
      </c>
      <c r="EW321" s="5859">
        <f t="shared" si="1487"/>
        <v>203370.41436392756</v>
      </c>
      <c r="EX321" s="5859">
        <f t="shared" ref="EX321:EY321" si="1490">EX317+SUM(EX318:EX320)</f>
        <v>230168.81577208661</v>
      </c>
      <c r="EY321" s="5859">
        <f t="shared" si="1490"/>
        <v>260643.4617696183</v>
      </c>
      <c r="EZ321" s="4"/>
      <c r="FA321" s="4193"/>
      <c r="FB321" s="4193"/>
      <c r="FC321" s="4193"/>
      <c r="FD321" s="4193"/>
      <c r="FE321" s="4193"/>
      <c r="FF321" s="4193"/>
      <c r="FG321" s="535"/>
      <c r="FH321" s="535"/>
      <c r="FI321" s="535"/>
      <c r="FJ321" s="535"/>
      <c r="FK321" s="535"/>
      <c r="FL321" s="535"/>
    </row>
    <row r="322" spans="1:168" ht="11.25" customHeight="1">
      <c r="A322" s="4905"/>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c r="AI322" s="31"/>
      <c r="AJ322" s="31"/>
      <c r="AK322" s="31"/>
      <c r="AL322" s="31"/>
      <c r="AM322" s="31"/>
      <c r="AN322" s="31"/>
      <c r="AO322" s="31"/>
      <c r="AP322" s="31"/>
      <c r="AQ322" s="31"/>
      <c r="AR322" s="31"/>
      <c r="AS322" s="31"/>
      <c r="AT322" s="32"/>
      <c r="AU322" s="31"/>
      <c r="AV322" s="31"/>
      <c r="AW322" s="31"/>
      <c r="AX322" s="31"/>
      <c r="AY322" s="31"/>
      <c r="AZ322" s="31"/>
      <c r="BA322" s="31"/>
      <c r="BB322" s="31"/>
      <c r="BC322" s="31"/>
      <c r="BD322" s="31"/>
      <c r="BE322" s="31"/>
      <c r="BF322" s="31"/>
      <c r="BG322" s="31"/>
      <c r="BH322" s="31"/>
      <c r="BI322" s="31"/>
      <c r="BJ322" s="31"/>
      <c r="BK322" s="31"/>
      <c r="BL322" s="31"/>
      <c r="BM322" s="31"/>
      <c r="BN322" s="31"/>
      <c r="BO322" s="31"/>
      <c r="BP322" s="31"/>
      <c r="BQ322" s="31"/>
      <c r="BR322" s="31"/>
      <c r="BS322" s="31"/>
      <c r="BT322" s="31"/>
      <c r="BU322" s="285"/>
      <c r="BV322" s="31"/>
      <c r="BW322" s="31"/>
      <c r="BX322" s="5810"/>
      <c r="BY322" s="31"/>
      <c r="BZ322" s="31"/>
      <c r="CA322" s="31"/>
      <c r="CB322" s="31"/>
      <c r="CC322" s="31"/>
      <c r="CD322" s="31"/>
      <c r="CE322" s="285"/>
      <c r="CF322" s="31"/>
      <c r="CG322" s="31"/>
      <c r="CH322" s="5810"/>
      <c r="CI322" s="31"/>
      <c r="CJ322" s="285"/>
      <c r="CK322" s="31"/>
      <c r="CL322" s="31"/>
      <c r="CM322" s="5810"/>
      <c r="CN322" s="31"/>
      <c r="CO322" s="285"/>
      <c r="CP322" s="31"/>
      <c r="CQ322" s="31"/>
      <c r="CR322" s="5810"/>
      <c r="CS322" s="31"/>
      <c r="CT322" s="285"/>
      <c r="CU322" s="31"/>
      <c r="CV322" s="31"/>
      <c r="CW322" s="5810"/>
      <c r="CX322" s="31"/>
      <c r="CY322" s="285"/>
      <c r="CZ322" s="31"/>
      <c r="DA322" s="31"/>
      <c r="DB322" s="5810"/>
      <c r="DC322" s="31"/>
      <c r="DD322" s="285"/>
      <c r="DE322" s="31"/>
      <c r="DF322" s="31"/>
      <c r="DG322" s="5810"/>
      <c r="DH322" s="31"/>
      <c r="DI322" s="285"/>
      <c r="DJ322" s="31"/>
      <c r="DK322" s="31"/>
      <c r="DL322" s="5810"/>
      <c r="DM322" s="31"/>
      <c r="DN322" s="285"/>
      <c r="DO322" s="31"/>
      <c r="DP322" s="31"/>
      <c r="DQ322" s="5810"/>
      <c r="DR322" s="31"/>
      <c r="DS322" s="285"/>
      <c r="DT322" s="31"/>
      <c r="DU322" s="31"/>
      <c r="DV322" s="5810"/>
      <c r="DW322" s="31"/>
      <c r="DX322" s="285"/>
      <c r="DY322" s="31"/>
      <c r="DZ322" s="31"/>
      <c r="EA322" s="5810"/>
      <c r="EB322" s="31"/>
      <c r="EC322" s="31"/>
      <c r="ED322" s="31"/>
      <c r="EE322" s="31"/>
      <c r="EF322" s="5810"/>
      <c r="EG322" s="31"/>
      <c r="EH322" s="285"/>
      <c r="EI322" s="31"/>
      <c r="EJ322" s="31"/>
      <c r="EK322" s="5810"/>
      <c r="EL322" s="31"/>
      <c r="EM322" s="31"/>
      <c r="EN322" s="31"/>
      <c r="EO322" s="31"/>
      <c r="EP322" s="5810"/>
      <c r="EQ322" s="31"/>
      <c r="ER322" s="31"/>
      <c r="ES322" s="31"/>
      <c r="ET322" s="31"/>
      <c r="EU322" s="5810"/>
      <c r="EV322" s="5810"/>
      <c r="EW322" s="5810"/>
      <c r="EX322" s="5810"/>
      <c r="EY322" s="5810"/>
      <c r="EZ322" s="129"/>
    </row>
    <row r="323" spans="1:168" ht="11.25" customHeight="1">
      <c r="A323" s="5907" t="s">
        <v>1073</v>
      </c>
      <c r="B323" s="5887"/>
      <c r="C323" s="5887"/>
      <c r="D323" s="5887"/>
      <c r="E323" s="5887"/>
      <c r="F323" s="5887"/>
      <c r="G323" s="5887"/>
      <c r="H323" s="5887"/>
      <c r="I323" s="5887"/>
      <c r="J323" s="5887"/>
      <c r="K323" s="5887"/>
      <c r="L323" s="5887"/>
      <c r="M323" s="5887"/>
      <c r="N323" s="5887"/>
      <c r="O323" s="5887"/>
      <c r="P323" s="5887"/>
      <c r="Q323" s="5887"/>
      <c r="R323" s="5887"/>
      <c r="S323" s="5887"/>
      <c r="T323" s="5887"/>
      <c r="U323" s="5887"/>
      <c r="V323" s="5887"/>
      <c r="W323" s="5887"/>
      <c r="X323" s="5887"/>
      <c r="Y323" s="5887"/>
      <c r="Z323" s="5887"/>
      <c r="AA323" s="5887"/>
      <c r="AB323" s="5887"/>
      <c r="AC323" s="5887"/>
      <c r="AD323" s="5887"/>
      <c r="AE323" s="5887"/>
      <c r="AF323" s="5887"/>
      <c r="AG323" s="5887"/>
      <c r="AH323" s="5887"/>
      <c r="AI323" s="5887"/>
      <c r="AJ323" s="5887"/>
      <c r="AK323" s="5887"/>
      <c r="AL323" s="5887"/>
      <c r="AM323" s="5887"/>
      <c r="AN323" s="5887"/>
      <c r="AO323" s="5887"/>
      <c r="AP323" s="5887"/>
      <c r="AQ323" s="5887"/>
      <c r="AR323" s="5887"/>
      <c r="AS323" s="5887"/>
      <c r="AT323" s="5871"/>
      <c r="AU323" s="5887"/>
      <c r="AV323" s="5887"/>
      <c r="AW323" s="5887"/>
      <c r="AX323" s="5887"/>
      <c r="AY323" s="5887"/>
      <c r="AZ323" s="5887"/>
      <c r="BA323" s="5887"/>
      <c r="BB323" s="5887"/>
      <c r="BC323" s="5887"/>
      <c r="BD323" s="5887"/>
      <c r="BE323" s="5887"/>
      <c r="BF323" s="5887"/>
      <c r="BG323" s="5887"/>
      <c r="BH323" s="5887"/>
      <c r="BI323" s="5887"/>
      <c r="BJ323" s="5887"/>
      <c r="BK323" s="5887"/>
      <c r="BL323" s="5887"/>
      <c r="BM323" s="5887"/>
      <c r="BN323" s="5887"/>
      <c r="BO323" s="5887"/>
      <c r="BP323" s="5887"/>
      <c r="BQ323" s="5887"/>
      <c r="BR323" s="5887"/>
      <c r="BS323" s="5887"/>
      <c r="BT323" s="5737"/>
      <c r="BU323" s="5737"/>
      <c r="BV323" s="5737"/>
      <c r="BW323" s="5737"/>
      <c r="BX323" s="5814"/>
      <c r="BY323" s="5887"/>
      <c r="BZ323" s="5887"/>
      <c r="CA323" s="5887"/>
      <c r="CB323" s="5887"/>
      <c r="CC323" s="5887"/>
      <c r="CD323" s="5737"/>
      <c r="CE323" s="5737"/>
      <c r="CF323" s="5737"/>
      <c r="CG323" s="5737"/>
      <c r="CH323" s="5814"/>
      <c r="CI323" s="5737"/>
      <c r="CJ323" s="5737"/>
      <c r="CK323" s="5737"/>
      <c r="CL323" s="5737"/>
      <c r="CM323" s="5814"/>
      <c r="CN323" s="5737"/>
      <c r="CO323" s="5737"/>
      <c r="CP323" s="5737"/>
      <c r="CQ323" s="5737"/>
      <c r="CR323" s="5814"/>
      <c r="CS323" s="5737"/>
      <c r="CT323" s="5737"/>
      <c r="CU323" s="5737"/>
      <c r="CV323" s="5737"/>
      <c r="CW323" s="5814"/>
      <c r="CX323" s="5737"/>
      <c r="CY323" s="5737"/>
      <c r="CZ323" s="5737"/>
      <c r="DA323" s="5737"/>
      <c r="DB323" s="5814"/>
      <c r="DC323" s="5737"/>
      <c r="DD323" s="5737"/>
      <c r="DE323" s="5737"/>
      <c r="DF323" s="5737"/>
      <c r="DG323" s="5814"/>
      <c r="DH323" s="5737"/>
      <c r="DI323" s="5737"/>
      <c r="DJ323" s="5737"/>
      <c r="DK323" s="5737"/>
      <c r="DL323" s="5814"/>
      <c r="DM323" s="5737"/>
      <c r="DN323" s="5737"/>
      <c r="DO323" s="5737"/>
      <c r="DP323" s="5737"/>
      <c r="DQ323" s="5814"/>
      <c r="DR323" s="5737"/>
      <c r="DS323" s="5737"/>
      <c r="DT323" s="5737"/>
      <c r="DU323" s="5737"/>
      <c r="DV323" s="5814"/>
      <c r="DW323" s="5737"/>
      <c r="DX323" s="5737"/>
      <c r="DY323" s="5737"/>
      <c r="DZ323" s="5737"/>
      <c r="EA323" s="5814"/>
      <c r="EB323" s="5782"/>
      <c r="EC323" s="5782"/>
      <c r="ED323" s="5737"/>
      <c r="EE323" s="5737"/>
      <c r="EF323" s="5814"/>
      <c r="EG323" s="5737"/>
      <c r="EH323" s="5737"/>
      <c r="EI323" s="5737"/>
      <c r="EJ323" s="5737"/>
      <c r="EK323" s="5814"/>
      <c r="EL323" s="5737"/>
      <c r="EM323" s="5737"/>
      <c r="EN323" s="5737"/>
      <c r="EO323" s="5737"/>
      <c r="EP323" s="5814"/>
      <c r="EQ323" s="5737"/>
      <c r="ER323" s="5737"/>
      <c r="ES323" s="5737"/>
      <c r="ET323" s="5737"/>
      <c r="EU323" s="5814"/>
      <c r="EV323" s="5814"/>
      <c r="EW323" s="5814"/>
      <c r="EX323" s="5814"/>
      <c r="EY323" s="5814"/>
      <c r="EZ323" s="129"/>
    </row>
    <row r="324" spans="1:168" ht="11.25" customHeight="1">
      <c r="A324" s="5909" t="str">
        <f t="shared" ref="A324:A325" si="1491">A315</f>
        <v>Operating Income excl. impact of accounting changes</v>
      </c>
      <c r="B324" s="5888"/>
      <c r="C324" s="5888"/>
      <c r="D324" s="5888"/>
      <c r="E324" s="5888"/>
      <c r="F324" s="5888"/>
      <c r="G324" s="5888"/>
      <c r="H324" s="5888"/>
      <c r="I324" s="5888"/>
      <c r="J324" s="5888"/>
      <c r="K324" s="5888"/>
      <c r="L324" s="5888"/>
      <c r="M324" s="5888"/>
      <c r="N324" s="5888"/>
      <c r="O324" s="5888"/>
      <c r="P324" s="5888"/>
      <c r="Q324" s="5888"/>
      <c r="R324" s="5888"/>
      <c r="S324" s="5888"/>
      <c r="T324" s="5888"/>
      <c r="U324" s="5888"/>
      <c r="V324" s="5888"/>
      <c r="W324" s="5888"/>
      <c r="X324" s="5888"/>
      <c r="Y324" s="5888"/>
      <c r="Z324" s="5888"/>
      <c r="AA324" s="5888"/>
      <c r="AB324" s="5888"/>
      <c r="AC324" s="5888"/>
      <c r="AD324" s="5888"/>
      <c r="AE324" s="5888"/>
      <c r="AF324" s="5888"/>
      <c r="AG324" s="5888"/>
      <c r="AH324" s="5888"/>
      <c r="AI324" s="5888"/>
      <c r="AJ324" s="5888"/>
      <c r="AK324" s="5888"/>
      <c r="AL324" s="5888"/>
      <c r="AM324" s="5888"/>
      <c r="AN324" s="5888"/>
      <c r="AO324" s="5888"/>
      <c r="AP324" s="5888"/>
      <c r="AQ324" s="5888"/>
      <c r="AR324" s="5888"/>
      <c r="AS324" s="5888"/>
      <c r="AT324" s="5889"/>
      <c r="AU324" s="5888"/>
      <c r="AV324" s="5888"/>
      <c r="AW324" s="5888"/>
      <c r="AX324" s="5888"/>
      <c r="AY324" s="5888"/>
      <c r="AZ324" s="5888"/>
      <c r="BA324" s="5888"/>
      <c r="BB324" s="5888"/>
      <c r="BC324" s="5888"/>
      <c r="BD324" s="5888"/>
      <c r="BE324" s="5888"/>
      <c r="BF324" s="5888"/>
      <c r="BG324" s="5888"/>
      <c r="BH324" s="5888"/>
      <c r="BI324" s="5888"/>
      <c r="BJ324" s="5888"/>
      <c r="BK324" s="5888"/>
      <c r="BL324" s="5888"/>
      <c r="BM324" s="5888"/>
      <c r="BN324" s="5888"/>
      <c r="BO324" s="5888"/>
      <c r="BP324" s="5888"/>
      <c r="BQ324" s="5888"/>
      <c r="BR324" s="5888"/>
      <c r="BS324" s="5888"/>
      <c r="BT324" s="5890">
        <f t="shared" ref="BT324:BX324" si="1492">BT315/BT$7</f>
        <v>0.3183654297792391</v>
      </c>
      <c r="BU324" s="5890">
        <f t="shared" si="1492"/>
        <v>0.31338927398759575</v>
      </c>
      <c r="BV324" s="5890">
        <f t="shared" si="1492"/>
        <v>0.28309908034010062</v>
      </c>
      <c r="BW324" s="5890">
        <f t="shared" si="1492"/>
        <v>0.29035257652072838</v>
      </c>
      <c r="BX324" s="5891">
        <f t="shared" si="1492"/>
        <v>0.30048437194552446</v>
      </c>
      <c r="BY324" s="5888"/>
      <c r="BZ324" s="5888"/>
      <c r="CA324" s="5888"/>
      <c r="CB324" s="5888"/>
      <c r="CC324" s="5888"/>
      <c r="CD324" s="5890">
        <f t="shared" ref="CD324:CH324" si="1493">CD315/CD$7</f>
        <v>0.28939850204617407</v>
      </c>
      <c r="CE324" s="5890">
        <f t="shared" si="1493"/>
        <v>0.26436255436026551</v>
      </c>
      <c r="CF324" s="5890">
        <f t="shared" si="1493"/>
        <v>0.27344772429838593</v>
      </c>
      <c r="CG324" s="5890">
        <f t="shared" si="1493"/>
        <v>0.28197618896033616</v>
      </c>
      <c r="CH324" s="5891">
        <f t="shared" si="1493"/>
        <v>0.27743655325203986</v>
      </c>
      <c r="CI324" s="5890">
        <f t="shared" ref="CI324:CM324" si="1494">CI315/CI$7</f>
        <v>0.26686121919584954</v>
      </c>
      <c r="CJ324" s="5890">
        <f t="shared" si="1494"/>
        <v>0.26687558759009716</v>
      </c>
      <c r="CK324" s="5890">
        <f t="shared" si="1494"/>
        <v>0.22538279973370454</v>
      </c>
      <c r="CL324" s="5890">
        <f t="shared" si="1494"/>
        <v>0.24299839805557091</v>
      </c>
      <c r="CM324" s="5891">
        <f t="shared" si="1494"/>
        <v>0.24993560703625703</v>
      </c>
      <c r="CN324" s="5890">
        <f t="shared" ref="CN324:CR324" si="1495">CN315/CN$7</f>
        <v>0.25767759879476188</v>
      </c>
      <c r="CO324" s="5890">
        <f t="shared" si="1495"/>
        <v>0.2721836746206352</v>
      </c>
      <c r="CP324" s="5890">
        <f t="shared" si="1495"/>
        <v>0.25210174029451138</v>
      </c>
      <c r="CQ324" s="5890">
        <f t="shared" si="1495"/>
        <v>0.25223873599324864</v>
      </c>
      <c r="CR324" s="5891">
        <f t="shared" si="1495"/>
        <v>0.25817119844243824</v>
      </c>
      <c r="CS324" s="5890">
        <f t="shared" ref="CS324:CW324" si="1496">CS315/CS$7</f>
        <v>0.26371130967073109</v>
      </c>
      <c r="CT324" s="5890">
        <f t="shared" si="1496"/>
        <v>0.27758139534883719</v>
      </c>
      <c r="CU324" s="5890">
        <f t="shared" si="1496"/>
        <v>0.25687051801701483</v>
      </c>
      <c r="CV324" s="5890">
        <f t="shared" si="1496"/>
        <v>0.25471915285451197</v>
      </c>
      <c r="CW324" s="5891">
        <f t="shared" si="1496"/>
        <v>0.26271712158808935</v>
      </c>
      <c r="CX324" s="5890">
        <f t="shared" ref="CX324:DB324" si="1497">CX315/CX$7</f>
        <v>0.26537373737373737</v>
      </c>
      <c r="CY324" s="5890">
        <f t="shared" si="1497"/>
        <v>0.15886197616301423</v>
      </c>
      <c r="CZ324" s="5890">
        <f t="shared" si="1497"/>
        <v>0.28021028373901774</v>
      </c>
      <c r="DA324" s="5890">
        <f t="shared" si="1497"/>
        <v>0.23710670420443647</v>
      </c>
      <c r="DB324" s="5891">
        <f t="shared" si="1497"/>
        <v>0.23585765188760091</v>
      </c>
      <c r="DC324" s="5890">
        <f t="shared" ref="DC324:DG324" si="1498">DC315/DC$7</f>
        <v>0.24507159827907277</v>
      </c>
      <c r="DD324" s="5890">
        <f t="shared" si="1498"/>
        <v>9.3241877698502618E-2</v>
      </c>
      <c r="DE324" s="5890">
        <f t="shared" si="1498"/>
        <v>0.25563129816241847</v>
      </c>
      <c r="DF324" s="5890">
        <f t="shared" si="1498"/>
        <v>0.20931357572054179</v>
      </c>
      <c r="DG324" s="5891">
        <f t="shared" si="1498"/>
        <v>0.20117089000796673</v>
      </c>
      <c r="DH324" s="5890">
        <f t="shared" ref="DH324:DV324" si="1499">DH315/DH$7</f>
        <v>0.18184319876716476</v>
      </c>
      <c r="DI324" s="5890">
        <f t="shared" si="1499"/>
        <v>0.23572308956450289</v>
      </c>
      <c r="DJ324" s="5890">
        <f t="shared" si="1499"/>
        <v>0.22659818760957059</v>
      </c>
      <c r="DK324" s="5890">
        <f t="shared" si="1499"/>
        <v>0.20110689093868692</v>
      </c>
      <c r="DL324" s="5891">
        <f t="shared" si="1499"/>
        <v>0.21148915400631421</v>
      </c>
      <c r="DM324" s="5890">
        <f t="shared" si="1499"/>
        <v>0.1938093734055735</v>
      </c>
      <c r="DN324" s="5890">
        <f t="shared" si="1499"/>
        <v>0.1666710186176463</v>
      </c>
      <c r="DO324" s="5890">
        <f t="shared" si="1499"/>
        <v>0.24284755159941956</v>
      </c>
      <c r="DP324" s="5890">
        <f t="shared" si="1499"/>
        <v>0.27507118000632713</v>
      </c>
      <c r="DQ324" s="5891">
        <f t="shared" si="1499"/>
        <v>0.22585151785763202</v>
      </c>
      <c r="DR324" s="5890">
        <f t="shared" si="1499"/>
        <v>0.28206240734714538</v>
      </c>
      <c r="DS324" s="5890">
        <f t="shared" si="1499"/>
        <v>0.30122818358112474</v>
      </c>
      <c r="DT324" s="5890">
        <f t="shared" si="1499"/>
        <v>0.31389170429067231</v>
      </c>
      <c r="DU324" s="5890">
        <f t="shared" si="1499"/>
        <v>0.28452704945237306</v>
      </c>
      <c r="DV324" s="5891">
        <f t="shared" si="1499"/>
        <v>0.29543116865978103</v>
      </c>
      <c r="DW324" s="5890">
        <f>DW315/DW$7</f>
        <v>0.29545220626075192</v>
      </c>
      <c r="DX324" s="5890">
        <f t="shared" ref="DX324:EW324" si="1500">DX315/DX$7</f>
        <v>0.279156202913109</v>
      </c>
      <c r="DY324" s="5890">
        <f t="shared" si="1500"/>
        <v>0.24800266311584554</v>
      </c>
      <c r="DZ324" s="5890">
        <f t="shared" si="1500"/>
        <v>0.23879654954765411</v>
      </c>
      <c r="EA324" s="5891">
        <f t="shared" si="1500"/>
        <v>0.26461270842467011</v>
      </c>
      <c r="EB324" s="5890">
        <f t="shared" si="1500"/>
        <v>0.23538767965380372</v>
      </c>
      <c r="EC324" s="5890">
        <f t="shared" si="1500"/>
        <v>0.27977052168784516</v>
      </c>
      <c r="ED324" s="5890">
        <f t="shared" si="1500"/>
        <v>0.26555226683008881</v>
      </c>
      <c r="EE324" s="5890">
        <f t="shared" si="1500"/>
        <v>0.26316765148881938</v>
      </c>
      <c r="EF324" s="5891">
        <f t="shared" si="1500"/>
        <v>0.26148525995953076</v>
      </c>
      <c r="EG324" s="5890">
        <f t="shared" si="1500"/>
        <v>0.31626913669154072</v>
      </c>
      <c r="EH324" s="5890">
        <f t="shared" si="1500"/>
        <v>0.32362936914398999</v>
      </c>
      <c r="EI324" s="5890">
        <f t="shared" si="1500"/>
        <v>0.32311823084243441</v>
      </c>
      <c r="EJ324" s="5890">
        <f t="shared" si="1500"/>
        <v>0.32105650519856122</v>
      </c>
      <c r="EK324" s="5891">
        <f t="shared" si="1500"/>
        <v>0.32109777211457696</v>
      </c>
      <c r="EL324" s="5890">
        <f t="shared" ref="EL324:EP324" si="1501">EL315/EL$7</f>
        <v>0.33918478622248821</v>
      </c>
      <c r="EM324" s="5890">
        <f t="shared" si="1501"/>
        <v>0.32429377359273243</v>
      </c>
      <c r="EN324" s="5890">
        <f t="shared" si="1501"/>
        <v>0.30512184159615424</v>
      </c>
      <c r="EO324" s="5890">
        <f t="shared" si="1501"/>
        <v>0.33265537501525266</v>
      </c>
      <c r="EP324" s="5891">
        <f t="shared" si="1501"/>
        <v>0.3250914327398432</v>
      </c>
      <c r="EQ324" s="5890">
        <f t="shared" ref="EQ324:EU324" si="1502">EQ315/EQ$7</f>
        <v>0.34916096794340579</v>
      </c>
      <c r="ER324" s="5890">
        <f t="shared" si="1502"/>
        <v>0.3456917622945303</v>
      </c>
      <c r="ES324" s="5890">
        <f t="shared" si="1502"/>
        <v>0.33739258637631947</v>
      </c>
      <c r="ET324" s="5890">
        <f t="shared" si="1502"/>
        <v>0.33404868718295216</v>
      </c>
      <c r="EU324" s="5891">
        <f t="shared" si="1502"/>
        <v>0.34112857535539642</v>
      </c>
      <c r="EV324" s="5891">
        <f t="shared" si="1500"/>
        <v>0.33668178936706633</v>
      </c>
      <c r="EW324" s="5891">
        <f t="shared" si="1500"/>
        <v>0.34224656200153802</v>
      </c>
      <c r="EX324" s="5891">
        <f t="shared" ref="EX324:EY324" si="1503">EX315/EX$7</f>
        <v>0.35028305406342797</v>
      </c>
      <c r="EY324" s="5891">
        <f t="shared" si="1503"/>
        <v>0.36083416695274023</v>
      </c>
      <c r="EZ324" s="129"/>
    </row>
    <row r="325" spans="1:168" ht="11.25" customHeight="1">
      <c r="A325" s="4857" t="str">
        <f t="shared" si="1491"/>
        <v>+ Change is useful life of PP&amp;E</v>
      </c>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c r="AG325" s="31"/>
      <c r="AH325" s="31"/>
      <c r="AI325" s="31"/>
      <c r="AJ325" s="31"/>
      <c r="AK325" s="31"/>
      <c r="AL325" s="31"/>
      <c r="AM325" s="31"/>
      <c r="AN325" s="31"/>
      <c r="AO325" s="31"/>
      <c r="AP325" s="31"/>
      <c r="AQ325" s="31"/>
      <c r="AR325" s="31"/>
      <c r="AS325" s="31"/>
      <c r="AT325" s="32"/>
      <c r="AU325" s="31"/>
      <c r="AV325" s="31"/>
      <c r="AW325" s="31"/>
      <c r="AX325" s="31"/>
      <c r="AY325" s="31"/>
      <c r="AZ325" s="31"/>
      <c r="BA325" s="31"/>
      <c r="BB325" s="31"/>
      <c r="BC325" s="31"/>
      <c r="BD325" s="31"/>
      <c r="BE325" s="31"/>
      <c r="BF325" s="31"/>
      <c r="BG325" s="31"/>
      <c r="BH325" s="31"/>
      <c r="BI325" s="31"/>
      <c r="BJ325" s="31"/>
      <c r="BK325" s="31"/>
      <c r="BL325" s="31"/>
      <c r="BM325" s="31"/>
      <c r="BN325" s="31"/>
      <c r="BO325" s="31"/>
      <c r="BP325" s="31"/>
      <c r="BQ325" s="31"/>
      <c r="BR325" s="31"/>
      <c r="BS325" s="31"/>
      <c r="BT325" s="285">
        <f t="shared" ref="BT325:BX325" si="1504">BT316/BT$7</f>
        <v>0</v>
      </c>
      <c r="BU325" s="285">
        <f t="shared" si="1504"/>
        <v>0</v>
      </c>
      <c r="BV325" s="285">
        <f t="shared" si="1504"/>
        <v>0</v>
      </c>
      <c r="BW325" s="285">
        <f t="shared" si="1504"/>
        <v>0</v>
      </c>
      <c r="BX325" s="5815">
        <f t="shared" si="1504"/>
        <v>0</v>
      </c>
      <c r="BY325" s="31"/>
      <c r="BZ325" s="31"/>
      <c r="CA325" s="31"/>
      <c r="CB325" s="31"/>
      <c r="CC325" s="31"/>
      <c r="CD325" s="285">
        <f t="shared" ref="CD325:CH325" si="1505">CD316/CD$7</f>
        <v>0</v>
      </c>
      <c r="CE325" s="285">
        <f t="shared" si="1505"/>
        <v>0</v>
      </c>
      <c r="CF325" s="285">
        <f t="shared" si="1505"/>
        <v>0</v>
      </c>
      <c r="CG325" s="285">
        <f t="shared" si="1505"/>
        <v>0</v>
      </c>
      <c r="CH325" s="5815">
        <f t="shared" si="1505"/>
        <v>0</v>
      </c>
      <c r="CI325" s="285">
        <f t="shared" ref="CI325:CM325" si="1506">CI316/CI$7</f>
        <v>0</v>
      </c>
      <c r="CJ325" s="285">
        <f t="shared" si="1506"/>
        <v>0</v>
      </c>
      <c r="CK325" s="285">
        <f t="shared" si="1506"/>
        <v>0</v>
      </c>
      <c r="CL325" s="285">
        <f t="shared" si="1506"/>
        <v>0</v>
      </c>
      <c r="CM325" s="5815">
        <f t="shared" si="1506"/>
        <v>0</v>
      </c>
      <c r="CN325" s="285">
        <f t="shared" ref="CN325:CR325" si="1507">CN316/CN$7</f>
        <v>0</v>
      </c>
      <c r="CO325" s="285">
        <f t="shared" si="1507"/>
        <v>0</v>
      </c>
      <c r="CP325" s="285">
        <f t="shared" si="1507"/>
        <v>0</v>
      </c>
      <c r="CQ325" s="285">
        <f t="shared" si="1507"/>
        <v>0</v>
      </c>
      <c r="CR325" s="5815">
        <f t="shared" si="1507"/>
        <v>0</v>
      </c>
      <c r="CS325" s="285">
        <f t="shared" ref="CS325:CW325" si="1508">CS316/CS$7</f>
        <v>0</v>
      </c>
      <c r="CT325" s="285">
        <f t="shared" si="1508"/>
        <v>0</v>
      </c>
      <c r="CU325" s="285">
        <f t="shared" si="1508"/>
        <v>0</v>
      </c>
      <c r="CV325" s="285">
        <f t="shared" si="1508"/>
        <v>0</v>
      </c>
      <c r="CW325" s="5815">
        <f t="shared" si="1508"/>
        <v>0</v>
      </c>
      <c r="CX325" s="285">
        <f t="shared" ref="CX325:DB325" si="1509">CX316/CX$7</f>
        <v>0</v>
      </c>
      <c r="CY325" s="285">
        <f t="shared" si="1509"/>
        <v>0</v>
      </c>
      <c r="CZ325" s="285">
        <f t="shared" si="1509"/>
        <v>0</v>
      </c>
      <c r="DA325" s="285">
        <f t="shared" si="1509"/>
        <v>0</v>
      </c>
      <c r="DB325" s="5815">
        <f t="shared" si="1509"/>
        <v>0</v>
      </c>
      <c r="DC325" s="285">
        <f t="shared" ref="DC325:DG325" si="1510">DC316/DC$7</f>
        <v>0</v>
      </c>
      <c r="DD325" s="285">
        <f t="shared" si="1510"/>
        <v>0</v>
      </c>
      <c r="DE325" s="285">
        <f t="shared" si="1510"/>
        <v>0</v>
      </c>
      <c r="DF325" s="285">
        <f t="shared" si="1510"/>
        <v>0</v>
      </c>
      <c r="DG325" s="5815">
        <f t="shared" si="1510"/>
        <v>0</v>
      </c>
      <c r="DH325" s="285">
        <f t="shared" ref="DH325:EW325" si="1511">DH316/DH$7</f>
        <v>0</v>
      </c>
      <c r="DI325" s="285">
        <f t="shared" si="1511"/>
        <v>0</v>
      </c>
      <c r="DJ325" s="285">
        <f t="shared" si="1511"/>
        <v>0</v>
      </c>
      <c r="DK325" s="285">
        <f t="shared" si="1511"/>
        <v>0</v>
      </c>
      <c r="DL325" s="5815">
        <f t="shared" si="1511"/>
        <v>0</v>
      </c>
      <c r="DM325" s="285">
        <f t="shared" si="1511"/>
        <v>0</v>
      </c>
      <c r="DN325" s="285">
        <f t="shared" si="1511"/>
        <v>0</v>
      </c>
      <c r="DO325" s="285">
        <f t="shared" si="1511"/>
        <v>0</v>
      </c>
      <c r="DP325" s="285">
        <f t="shared" si="1511"/>
        <v>0</v>
      </c>
      <c r="DQ325" s="5815">
        <f t="shared" si="1511"/>
        <v>0</v>
      </c>
      <c r="DR325" s="285">
        <f t="shared" si="1511"/>
        <v>1.5095635824565209E-2</v>
      </c>
      <c r="DS325" s="285">
        <f t="shared" si="1511"/>
        <v>1.165158371040724E-2</v>
      </c>
      <c r="DT325" s="285">
        <f t="shared" si="1511"/>
        <v>9.0758315673085781E-3</v>
      </c>
      <c r="DU325" s="285">
        <f t="shared" si="1511"/>
        <v>6.0139395950879523E-3</v>
      </c>
      <c r="DV325" s="5815">
        <f t="shared" si="1511"/>
        <v>1.00917181926509E-2</v>
      </c>
      <c r="DW325" s="285">
        <f t="shared" si="1511"/>
        <v>0</v>
      </c>
      <c r="DX325" s="285">
        <f t="shared" si="1511"/>
        <v>0</v>
      </c>
      <c r="DY325" s="285">
        <f t="shared" si="1511"/>
        <v>0</v>
      </c>
      <c r="DZ325" s="285">
        <f t="shared" si="1511"/>
        <v>0</v>
      </c>
      <c r="EA325" s="5815">
        <f t="shared" si="1511"/>
        <v>0</v>
      </c>
      <c r="EB325" s="285">
        <f t="shared" si="1511"/>
        <v>1.4157364552137218E-2</v>
      </c>
      <c r="EC325" s="285">
        <f t="shared" si="1511"/>
        <v>1.2948367379765161E-2</v>
      </c>
      <c r="ED325" s="285">
        <f t="shared" si="1511"/>
        <v>1.2739102656044228E-2</v>
      </c>
      <c r="EE325" s="285">
        <f t="shared" si="1511"/>
        <v>1.1389178542463215E-2</v>
      </c>
      <c r="EF325" s="5815">
        <f t="shared" si="1511"/>
        <v>1.2732844492735707E-2</v>
      </c>
      <c r="EG325" s="285">
        <f t="shared" si="1511"/>
        <v>0</v>
      </c>
      <c r="EH325" s="285">
        <f t="shared" si="1511"/>
        <v>0</v>
      </c>
      <c r="EI325" s="285">
        <f t="shared" si="1511"/>
        <v>0</v>
      </c>
      <c r="EJ325" s="285">
        <f t="shared" si="1511"/>
        <v>0</v>
      </c>
      <c r="EK325" s="5815">
        <f t="shared" si="1511"/>
        <v>0</v>
      </c>
      <c r="EL325" s="285">
        <f t="shared" ref="EL325:EP325" si="1512">EL316/EL$7</f>
        <v>0</v>
      </c>
      <c r="EM325" s="285">
        <f t="shared" si="1512"/>
        <v>0</v>
      </c>
      <c r="EN325" s="285">
        <f t="shared" si="1512"/>
        <v>0</v>
      </c>
      <c r="EO325" s="285">
        <f t="shared" si="1512"/>
        <v>0</v>
      </c>
      <c r="EP325" s="5815">
        <f t="shared" si="1512"/>
        <v>0</v>
      </c>
      <c r="EQ325" s="285">
        <f t="shared" ref="EQ325:EU325" si="1513">EQ316/EQ$7</f>
        <v>0</v>
      </c>
      <c r="ER325" s="285">
        <f t="shared" si="1513"/>
        <v>0</v>
      </c>
      <c r="ES325" s="285">
        <f t="shared" si="1513"/>
        <v>0</v>
      </c>
      <c r="ET325" s="285">
        <f t="shared" si="1513"/>
        <v>0</v>
      </c>
      <c r="EU325" s="5815">
        <f t="shared" si="1513"/>
        <v>0</v>
      </c>
      <c r="EV325" s="5815">
        <f t="shared" si="1511"/>
        <v>0</v>
      </c>
      <c r="EW325" s="5815">
        <f t="shared" si="1511"/>
        <v>0</v>
      </c>
      <c r="EX325" s="5815">
        <f t="shared" ref="EX325:EY325" si="1514">EX316/EX$7</f>
        <v>0</v>
      </c>
      <c r="EY325" s="5815">
        <f t="shared" si="1514"/>
        <v>0</v>
      </c>
      <c r="EZ325" s="129"/>
    </row>
    <row r="326" spans="1:168" ht="11.25" customHeight="1">
      <c r="A326" s="5909" t="str">
        <f>A317</f>
        <v>GAAP Operating Income (as reported)</v>
      </c>
      <c r="B326" s="5888"/>
      <c r="C326" s="5888"/>
      <c r="D326" s="5888"/>
      <c r="E326" s="5888"/>
      <c r="F326" s="5888"/>
      <c r="G326" s="5888"/>
      <c r="H326" s="5888"/>
      <c r="I326" s="5888"/>
      <c r="J326" s="5888"/>
      <c r="K326" s="5888"/>
      <c r="L326" s="5888"/>
      <c r="M326" s="5888"/>
      <c r="N326" s="5888"/>
      <c r="O326" s="5888"/>
      <c r="P326" s="5888"/>
      <c r="Q326" s="5888"/>
      <c r="R326" s="5888"/>
      <c r="S326" s="5888"/>
      <c r="T326" s="5888"/>
      <c r="U326" s="5888"/>
      <c r="V326" s="5888"/>
      <c r="W326" s="5888"/>
      <c r="X326" s="5888"/>
      <c r="Y326" s="5888"/>
      <c r="Z326" s="5888"/>
      <c r="AA326" s="5888"/>
      <c r="AB326" s="5888"/>
      <c r="AC326" s="5888"/>
      <c r="AD326" s="5888"/>
      <c r="AE326" s="5888"/>
      <c r="AF326" s="5888"/>
      <c r="AG326" s="5888"/>
      <c r="AH326" s="5888"/>
      <c r="AI326" s="5888"/>
      <c r="AJ326" s="5888"/>
      <c r="AK326" s="5888"/>
      <c r="AL326" s="5888"/>
      <c r="AM326" s="5888"/>
      <c r="AN326" s="5888"/>
      <c r="AO326" s="5888"/>
      <c r="AP326" s="5888"/>
      <c r="AQ326" s="5888"/>
      <c r="AR326" s="5888"/>
      <c r="AS326" s="5888"/>
      <c r="AT326" s="5889"/>
      <c r="AU326" s="5888"/>
      <c r="AV326" s="5888"/>
      <c r="AW326" s="5888"/>
      <c r="AX326" s="5888"/>
      <c r="AY326" s="5888"/>
      <c r="AZ326" s="5888"/>
      <c r="BA326" s="5888"/>
      <c r="BB326" s="5888"/>
      <c r="BC326" s="5888"/>
      <c r="BD326" s="5888"/>
      <c r="BE326" s="5888"/>
      <c r="BF326" s="5888"/>
      <c r="BG326" s="5888"/>
      <c r="BH326" s="5888"/>
      <c r="BI326" s="5888"/>
      <c r="BJ326" s="5888"/>
      <c r="BK326" s="5888"/>
      <c r="BL326" s="5888"/>
      <c r="BM326" s="5888"/>
      <c r="BN326" s="5888"/>
      <c r="BO326" s="5888"/>
      <c r="BP326" s="5888"/>
      <c r="BQ326" s="5888"/>
      <c r="BR326" s="5888"/>
      <c r="BS326" s="5888"/>
      <c r="BT326" s="5890">
        <f t="shared" ref="BT326:BX326" si="1515">BT317/BT$7</f>
        <v>0.3183654297792391</v>
      </c>
      <c r="BU326" s="5890">
        <f t="shared" si="1515"/>
        <v>0.31338927398759575</v>
      </c>
      <c r="BV326" s="5890">
        <f t="shared" si="1515"/>
        <v>0.28309908034010062</v>
      </c>
      <c r="BW326" s="5890">
        <f t="shared" si="1515"/>
        <v>0.29035257652072838</v>
      </c>
      <c r="BX326" s="5891">
        <f t="shared" si="1515"/>
        <v>0.30048437194552446</v>
      </c>
      <c r="BY326" s="5888"/>
      <c r="BZ326" s="5888"/>
      <c r="CA326" s="5888"/>
      <c r="CB326" s="5888"/>
      <c r="CC326" s="5888"/>
      <c r="CD326" s="5890">
        <f t="shared" ref="CD326:CH326" si="1516">CD317/CD$7</f>
        <v>0.28939850204617407</v>
      </c>
      <c r="CE326" s="5890">
        <f t="shared" si="1516"/>
        <v>0.26436255436026551</v>
      </c>
      <c r="CF326" s="5890">
        <f t="shared" si="1516"/>
        <v>0.27344772429838593</v>
      </c>
      <c r="CG326" s="5890">
        <f t="shared" si="1516"/>
        <v>0.28197618896033616</v>
      </c>
      <c r="CH326" s="5891">
        <f t="shared" si="1516"/>
        <v>0.27743655325203986</v>
      </c>
      <c r="CI326" s="5890">
        <f t="shared" ref="CI326:CM326" si="1517">CI317/CI$7</f>
        <v>0.26686121919584954</v>
      </c>
      <c r="CJ326" s="5890">
        <f t="shared" si="1517"/>
        <v>0.26687558759009716</v>
      </c>
      <c r="CK326" s="5890">
        <f t="shared" si="1517"/>
        <v>0.22538279973370454</v>
      </c>
      <c r="CL326" s="5890">
        <f t="shared" si="1517"/>
        <v>0.24299839805557091</v>
      </c>
      <c r="CM326" s="5891">
        <f t="shared" si="1517"/>
        <v>0.24993560703625703</v>
      </c>
      <c r="CN326" s="5890">
        <f t="shared" ref="CN326:CR326" si="1518">CN317/CN$7</f>
        <v>0.25767759879476188</v>
      </c>
      <c r="CO326" s="5890">
        <f t="shared" si="1518"/>
        <v>0.2721836746206352</v>
      </c>
      <c r="CP326" s="5890">
        <f t="shared" si="1518"/>
        <v>0.25210174029451138</v>
      </c>
      <c r="CQ326" s="5890">
        <f t="shared" si="1518"/>
        <v>0.25223873599324864</v>
      </c>
      <c r="CR326" s="5891">
        <f t="shared" si="1518"/>
        <v>0.25817119844243824</v>
      </c>
      <c r="CS326" s="5890">
        <f t="shared" ref="CS326:CW326" si="1519">CS317/CS$7</f>
        <v>0.26371130967073109</v>
      </c>
      <c r="CT326" s="5890">
        <f t="shared" si="1519"/>
        <v>0.27758139534883719</v>
      </c>
      <c r="CU326" s="5890">
        <f t="shared" si="1519"/>
        <v>0.25687051801701483</v>
      </c>
      <c r="CV326" s="5890">
        <f t="shared" si="1519"/>
        <v>0.25471915285451197</v>
      </c>
      <c r="CW326" s="5891">
        <f t="shared" si="1519"/>
        <v>0.26271712158808935</v>
      </c>
      <c r="CX326" s="5890">
        <f t="shared" ref="CX326:DB326" si="1520">CX317/CX$7</f>
        <v>0.26537373737373737</v>
      </c>
      <c r="CY326" s="5890">
        <f t="shared" si="1520"/>
        <v>0.15886197616301423</v>
      </c>
      <c r="CZ326" s="5890">
        <f t="shared" si="1520"/>
        <v>0.28021028373901774</v>
      </c>
      <c r="DA326" s="5890">
        <f t="shared" si="1520"/>
        <v>0.23710670420443647</v>
      </c>
      <c r="DB326" s="5891">
        <f t="shared" si="1520"/>
        <v>0.23585765188760091</v>
      </c>
      <c r="DC326" s="5890">
        <f t="shared" ref="DC326:DG326" si="1521">DC317/DC$7</f>
        <v>0.24507159827907277</v>
      </c>
      <c r="DD326" s="5890">
        <f t="shared" si="1521"/>
        <v>9.3241877698502618E-2</v>
      </c>
      <c r="DE326" s="5890">
        <f t="shared" si="1521"/>
        <v>0.25563129816241847</v>
      </c>
      <c r="DF326" s="5890">
        <f t="shared" si="1521"/>
        <v>0.20931357572054179</v>
      </c>
      <c r="DG326" s="5891">
        <f t="shared" si="1521"/>
        <v>0.20117089000796673</v>
      </c>
      <c r="DH326" s="5890">
        <f t="shared" ref="DH326:EW326" si="1522">DH317/DH$7</f>
        <v>0.18184319876716476</v>
      </c>
      <c r="DI326" s="5890">
        <f t="shared" si="1522"/>
        <v>0.23572308956450289</v>
      </c>
      <c r="DJ326" s="5890">
        <f t="shared" si="1522"/>
        <v>0.22659818760957059</v>
      </c>
      <c r="DK326" s="5890">
        <f t="shared" si="1522"/>
        <v>0.20110689093868692</v>
      </c>
      <c r="DL326" s="5891">
        <f t="shared" si="1522"/>
        <v>0.21148915400631421</v>
      </c>
      <c r="DM326" s="5890">
        <f t="shared" si="1522"/>
        <v>0.1938093734055735</v>
      </c>
      <c r="DN326" s="5890">
        <f t="shared" si="1522"/>
        <v>0.1666710186176463</v>
      </c>
      <c r="DO326" s="5890">
        <f t="shared" si="1522"/>
        <v>0.24284755159941956</v>
      </c>
      <c r="DP326" s="5890">
        <f t="shared" si="1522"/>
        <v>0.27507118000632713</v>
      </c>
      <c r="DQ326" s="5891">
        <f t="shared" si="1522"/>
        <v>0.22585151785763202</v>
      </c>
      <c r="DR326" s="5890">
        <f t="shared" si="1522"/>
        <v>0.29715804317171057</v>
      </c>
      <c r="DS326" s="5890">
        <f t="shared" si="1522"/>
        <v>0.312879767291532</v>
      </c>
      <c r="DT326" s="5890">
        <f t="shared" si="1522"/>
        <v>0.32296753585798088</v>
      </c>
      <c r="DU326" s="5890">
        <f t="shared" si="1522"/>
        <v>0.29054098904746101</v>
      </c>
      <c r="DV326" s="5891">
        <f t="shared" si="1522"/>
        <v>0.3055228868524319</v>
      </c>
      <c r="DW326" s="5890">
        <f t="shared" si="1522"/>
        <v>0.29545220626075192</v>
      </c>
      <c r="DX326" s="5890">
        <f t="shared" si="1522"/>
        <v>0.279156202913109</v>
      </c>
      <c r="DY326" s="5890">
        <f t="shared" si="1522"/>
        <v>0.24800266311584554</v>
      </c>
      <c r="DZ326" s="5890">
        <f t="shared" si="1522"/>
        <v>0.23879654954765411</v>
      </c>
      <c r="EA326" s="5891">
        <f t="shared" si="1522"/>
        <v>0.26461270842467011</v>
      </c>
      <c r="EB326" s="5890">
        <f t="shared" si="1522"/>
        <v>0.24954504420594092</v>
      </c>
      <c r="EC326" s="5890">
        <f t="shared" si="1522"/>
        <v>0.29271888906761029</v>
      </c>
      <c r="ED326" s="5890">
        <f t="shared" si="1522"/>
        <v>0.27829136948613303</v>
      </c>
      <c r="EE326" s="5890">
        <f t="shared" si="1522"/>
        <v>0.27455683003128256</v>
      </c>
      <c r="EF326" s="5891">
        <f t="shared" si="1522"/>
        <v>0.27421810445226646</v>
      </c>
      <c r="EG326" s="5890">
        <f t="shared" si="1522"/>
        <v>0.31626913669154072</v>
      </c>
      <c r="EH326" s="5890">
        <f t="shared" si="1522"/>
        <v>0.32362936914398999</v>
      </c>
      <c r="EI326" s="5890">
        <f t="shared" si="1522"/>
        <v>0.32311823084243441</v>
      </c>
      <c r="EJ326" s="5890">
        <f t="shared" si="1522"/>
        <v>0.32105650519856122</v>
      </c>
      <c r="EK326" s="5891">
        <f t="shared" si="1522"/>
        <v>0.32109777211457696</v>
      </c>
      <c r="EL326" s="5890">
        <f t="shared" ref="EL326:EP326" si="1523">EL317/EL$7</f>
        <v>0.33918478622248821</v>
      </c>
      <c r="EM326" s="5890">
        <f t="shared" si="1523"/>
        <v>0.32429377359273243</v>
      </c>
      <c r="EN326" s="5890">
        <f t="shared" si="1523"/>
        <v>0.30512184159615424</v>
      </c>
      <c r="EO326" s="5890">
        <f t="shared" si="1523"/>
        <v>0.33265537501525266</v>
      </c>
      <c r="EP326" s="5891">
        <f t="shared" si="1523"/>
        <v>0.3250914327398432</v>
      </c>
      <c r="EQ326" s="5890">
        <f t="shared" ref="EQ326:EU326" si="1524">EQ317/EQ$7</f>
        <v>0.34916096794340579</v>
      </c>
      <c r="ER326" s="5890">
        <f t="shared" si="1524"/>
        <v>0.3456917622945303</v>
      </c>
      <c r="ES326" s="5890">
        <f t="shared" si="1524"/>
        <v>0.33739258637631947</v>
      </c>
      <c r="ET326" s="5890">
        <f t="shared" si="1524"/>
        <v>0.33404868718295216</v>
      </c>
      <c r="EU326" s="5891">
        <f t="shared" si="1524"/>
        <v>0.34112857535539642</v>
      </c>
      <c r="EV326" s="5891">
        <f t="shared" si="1522"/>
        <v>0.33668178936706633</v>
      </c>
      <c r="EW326" s="5891">
        <f t="shared" si="1522"/>
        <v>0.34224656200153802</v>
      </c>
      <c r="EX326" s="5891">
        <f t="shared" ref="EX326:EY326" si="1525">EX317/EX$7</f>
        <v>0.35028305406342797</v>
      </c>
      <c r="EY326" s="5891">
        <f t="shared" si="1525"/>
        <v>0.36083416695274023</v>
      </c>
      <c r="EZ326" s="129"/>
    </row>
    <row r="327" spans="1:168" ht="11.25" customHeight="1">
      <c r="A327" s="4857" t="str">
        <f t="shared" ref="A327:A330" si="1526">A318</f>
        <v>Severance &amp; Related</v>
      </c>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31"/>
      <c r="AH327" s="31"/>
      <c r="AI327" s="31"/>
      <c r="AJ327" s="31"/>
      <c r="AK327" s="31"/>
      <c r="AL327" s="31"/>
      <c r="AM327" s="31"/>
      <c r="AN327" s="31"/>
      <c r="AO327" s="31"/>
      <c r="AP327" s="31"/>
      <c r="AQ327" s="31"/>
      <c r="AR327" s="31"/>
      <c r="AS327" s="31"/>
      <c r="AT327" s="32"/>
      <c r="AU327" s="31"/>
      <c r="AV327" s="31"/>
      <c r="AW327" s="31"/>
      <c r="AX327" s="31"/>
      <c r="AY327" s="31"/>
      <c r="AZ327" s="31"/>
      <c r="BA327" s="31"/>
      <c r="BB327" s="31"/>
      <c r="BC327" s="31"/>
      <c r="BD327" s="31"/>
      <c r="BE327" s="31"/>
      <c r="BF327" s="31"/>
      <c r="BG327" s="31"/>
      <c r="BH327" s="31"/>
      <c r="BI327" s="31"/>
      <c r="BJ327" s="31"/>
      <c r="BK327" s="31"/>
      <c r="BL327" s="31"/>
      <c r="BM327" s="31"/>
      <c r="BN327" s="31"/>
      <c r="BO327" s="31"/>
      <c r="BP327" s="31"/>
      <c r="BQ327" s="31"/>
      <c r="BR327" s="31"/>
      <c r="BS327" s="31"/>
      <c r="BT327" s="285">
        <f t="shared" ref="BT327:BX327" si="1527">BT318/BT$7</f>
        <v>0</v>
      </c>
      <c r="BU327" s="285">
        <f t="shared" si="1527"/>
        <v>0</v>
      </c>
      <c r="BV327" s="285">
        <f t="shared" si="1527"/>
        <v>0</v>
      </c>
      <c r="BW327" s="285">
        <f t="shared" si="1527"/>
        <v>0</v>
      </c>
      <c r="BX327" s="5815">
        <f t="shared" si="1527"/>
        <v>0</v>
      </c>
      <c r="BY327" s="31"/>
      <c r="BZ327" s="31"/>
      <c r="CA327" s="31"/>
      <c r="CB327" s="31"/>
      <c r="CC327" s="31"/>
      <c r="CD327" s="285">
        <f t="shared" ref="CD327:CH327" si="1528">CD318/CD$7</f>
        <v>0</v>
      </c>
      <c r="CE327" s="285">
        <f t="shared" si="1528"/>
        <v>0</v>
      </c>
      <c r="CF327" s="285">
        <f t="shared" si="1528"/>
        <v>0</v>
      </c>
      <c r="CG327" s="285">
        <f t="shared" si="1528"/>
        <v>0</v>
      </c>
      <c r="CH327" s="5815">
        <f t="shared" si="1528"/>
        <v>0</v>
      </c>
      <c r="CI327" s="285">
        <f t="shared" ref="CI327:CM327" si="1529">CI318/CI$7</f>
        <v>0</v>
      </c>
      <c r="CJ327" s="285">
        <f t="shared" si="1529"/>
        <v>0</v>
      </c>
      <c r="CK327" s="285">
        <f t="shared" si="1529"/>
        <v>0</v>
      </c>
      <c r="CL327" s="285">
        <f t="shared" si="1529"/>
        <v>0</v>
      </c>
      <c r="CM327" s="5815">
        <f t="shared" si="1529"/>
        <v>0</v>
      </c>
      <c r="CN327" s="285">
        <f t="shared" ref="CN327:CR327" si="1530">CN318/CN$7</f>
        <v>0</v>
      </c>
      <c r="CO327" s="285">
        <f t="shared" si="1530"/>
        <v>0</v>
      </c>
      <c r="CP327" s="285">
        <f t="shared" si="1530"/>
        <v>0</v>
      </c>
      <c r="CQ327" s="285">
        <f t="shared" si="1530"/>
        <v>0</v>
      </c>
      <c r="CR327" s="5815">
        <f t="shared" si="1530"/>
        <v>0</v>
      </c>
      <c r="CS327" s="285">
        <f t="shared" ref="CS327:CW327" si="1531">CS318/CS$7</f>
        <v>0</v>
      </c>
      <c r="CT327" s="285">
        <f t="shared" si="1531"/>
        <v>0</v>
      </c>
      <c r="CU327" s="285">
        <f t="shared" si="1531"/>
        <v>0</v>
      </c>
      <c r="CV327" s="285">
        <f t="shared" si="1531"/>
        <v>0</v>
      </c>
      <c r="CW327" s="5815">
        <f t="shared" si="1531"/>
        <v>0</v>
      </c>
      <c r="CX327" s="285">
        <f t="shared" ref="CX327:DB327" si="1532">CX318/CX$7</f>
        <v>0</v>
      </c>
      <c r="CY327" s="285">
        <f t="shared" si="1532"/>
        <v>0</v>
      </c>
      <c r="CZ327" s="285">
        <f t="shared" si="1532"/>
        <v>0</v>
      </c>
      <c r="DA327" s="285">
        <f t="shared" si="1532"/>
        <v>0</v>
      </c>
      <c r="DB327" s="5815">
        <f t="shared" si="1532"/>
        <v>0</v>
      </c>
      <c r="DC327" s="285">
        <f t="shared" ref="DC327:DG327" si="1533">DC318/DC$7</f>
        <v>0</v>
      </c>
      <c r="DD327" s="285">
        <f t="shared" si="1533"/>
        <v>0</v>
      </c>
      <c r="DE327" s="285">
        <f t="shared" si="1533"/>
        <v>0</v>
      </c>
      <c r="DF327" s="285">
        <f t="shared" si="1533"/>
        <v>0</v>
      </c>
      <c r="DG327" s="5815">
        <f t="shared" si="1533"/>
        <v>0</v>
      </c>
      <c r="DH327" s="285">
        <f t="shared" ref="DH327:EW327" si="1534">DH318/DH$7</f>
        <v>0</v>
      </c>
      <c r="DI327" s="285">
        <f t="shared" si="1534"/>
        <v>0</v>
      </c>
      <c r="DJ327" s="285">
        <f t="shared" si="1534"/>
        <v>0</v>
      </c>
      <c r="DK327" s="285">
        <f t="shared" si="1534"/>
        <v>0</v>
      </c>
      <c r="DL327" s="5815">
        <f t="shared" si="1534"/>
        <v>0</v>
      </c>
      <c r="DM327" s="285">
        <f t="shared" si="1534"/>
        <v>0</v>
      </c>
      <c r="DN327" s="285">
        <f t="shared" si="1534"/>
        <v>0</v>
      </c>
      <c r="DO327" s="285">
        <f t="shared" si="1534"/>
        <v>0</v>
      </c>
      <c r="DP327" s="285">
        <f t="shared" si="1534"/>
        <v>0</v>
      </c>
      <c r="DQ327" s="5815">
        <f t="shared" si="1534"/>
        <v>0</v>
      </c>
      <c r="DR327" s="285">
        <f t="shared" si="1534"/>
        <v>0</v>
      </c>
      <c r="DS327" s="285">
        <f t="shared" si="1534"/>
        <v>0</v>
      </c>
      <c r="DT327" s="285">
        <f t="shared" si="1534"/>
        <v>0</v>
      </c>
      <c r="DU327" s="285">
        <f t="shared" si="1534"/>
        <v>0</v>
      </c>
      <c r="DV327" s="5815">
        <f t="shared" si="1534"/>
        <v>0</v>
      </c>
      <c r="DW327" s="285">
        <f t="shared" si="1534"/>
        <v>0</v>
      </c>
      <c r="DX327" s="285">
        <f t="shared" si="1534"/>
        <v>0</v>
      </c>
      <c r="DY327" s="285">
        <f t="shared" si="1534"/>
        <v>0</v>
      </c>
      <c r="DZ327" s="285">
        <f t="shared" si="1534"/>
        <v>0</v>
      </c>
      <c r="EA327" s="5815">
        <f t="shared" si="1534"/>
        <v>0</v>
      </c>
      <c r="EB327" s="285">
        <f t="shared" si="1534"/>
        <v>2.8572656798544142E-2</v>
      </c>
      <c r="EC327" s="285">
        <f t="shared" si="1534"/>
        <v>1.3404107018390436E-5</v>
      </c>
      <c r="ED327" s="285">
        <f t="shared" si="1534"/>
        <v>1.1213539697234429E-3</v>
      </c>
      <c r="EE327" s="285">
        <f t="shared" si="1534"/>
        <v>1.1586142973004287E-4</v>
      </c>
      <c r="EF327" s="5815">
        <f t="shared" si="1534"/>
        <v>6.7925854115565044E-3</v>
      </c>
      <c r="EG327" s="285">
        <f t="shared" si="1534"/>
        <v>8.8901029314990259E-3</v>
      </c>
      <c r="EH327" s="285">
        <f t="shared" si="1534"/>
        <v>0</v>
      </c>
      <c r="EI327" s="285">
        <f t="shared" si="1534"/>
        <v>0</v>
      </c>
      <c r="EJ327" s="285">
        <f t="shared" si="1534"/>
        <v>2.850656687640589E-3</v>
      </c>
      <c r="EK327" s="5815">
        <f t="shared" si="1534"/>
        <v>2.8312829625904952E-3</v>
      </c>
      <c r="EL327" s="285">
        <f t="shared" ref="EL327:EP327" si="1535">EL318/EL$7</f>
        <v>0</v>
      </c>
      <c r="EM327" s="285">
        <f t="shared" si="1535"/>
        <v>0</v>
      </c>
      <c r="EN327" s="285">
        <f t="shared" si="1535"/>
        <v>0</v>
      </c>
      <c r="EO327" s="285">
        <f t="shared" si="1535"/>
        <v>0</v>
      </c>
      <c r="EP327" s="5815">
        <f t="shared" si="1535"/>
        <v>0</v>
      </c>
      <c r="EQ327" s="285">
        <f t="shared" ref="EQ327:EU327" si="1536">EQ318/EQ$7</f>
        <v>0</v>
      </c>
      <c r="ER327" s="285">
        <f t="shared" si="1536"/>
        <v>0</v>
      </c>
      <c r="ES327" s="285">
        <f t="shared" si="1536"/>
        <v>0</v>
      </c>
      <c r="ET327" s="285">
        <f t="shared" si="1536"/>
        <v>0</v>
      </c>
      <c r="EU327" s="5815">
        <f t="shared" si="1536"/>
        <v>0</v>
      </c>
      <c r="EV327" s="5815">
        <f t="shared" si="1534"/>
        <v>0</v>
      </c>
      <c r="EW327" s="5815">
        <f t="shared" si="1534"/>
        <v>0</v>
      </c>
      <c r="EX327" s="5815">
        <f t="shared" ref="EX327:EY327" si="1537">EX318/EX$7</f>
        <v>0</v>
      </c>
      <c r="EY327" s="5815">
        <f t="shared" si="1537"/>
        <v>0</v>
      </c>
      <c r="EZ327" s="129"/>
    </row>
    <row r="328" spans="1:168" ht="11.25" customHeight="1">
      <c r="A328" s="4857" t="str">
        <f t="shared" si="1526"/>
        <v>Office Space</v>
      </c>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c r="AG328" s="31"/>
      <c r="AH328" s="31"/>
      <c r="AI328" s="31"/>
      <c r="AJ328" s="31"/>
      <c r="AK328" s="31"/>
      <c r="AL328" s="31"/>
      <c r="AM328" s="31"/>
      <c r="AN328" s="31"/>
      <c r="AO328" s="31"/>
      <c r="AP328" s="31"/>
      <c r="AQ328" s="31"/>
      <c r="AR328" s="31"/>
      <c r="AS328" s="31"/>
      <c r="AT328" s="32"/>
      <c r="AU328" s="31"/>
      <c r="AV328" s="31"/>
      <c r="AW328" s="31"/>
      <c r="AX328" s="31"/>
      <c r="AY328" s="31"/>
      <c r="AZ328" s="31"/>
      <c r="BA328" s="31"/>
      <c r="BB328" s="31"/>
      <c r="BC328" s="31"/>
      <c r="BD328" s="31"/>
      <c r="BE328" s="31"/>
      <c r="BF328" s="31"/>
      <c r="BG328" s="31"/>
      <c r="BH328" s="31"/>
      <c r="BI328" s="31"/>
      <c r="BJ328" s="31"/>
      <c r="BK328" s="31"/>
      <c r="BL328" s="31"/>
      <c r="BM328" s="31"/>
      <c r="BN328" s="31"/>
      <c r="BO328" s="31"/>
      <c r="BP328" s="31"/>
      <c r="BQ328" s="31"/>
      <c r="BR328" s="31"/>
      <c r="BS328" s="31"/>
      <c r="BT328" s="285">
        <f t="shared" ref="BT328:BX328" si="1538">BT319/BT$7</f>
        <v>0</v>
      </c>
      <c r="BU328" s="285">
        <f t="shared" si="1538"/>
        <v>0</v>
      </c>
      <c r="BV328" s="285">
        <f t="shared" si="1538"/>
        <v>0</v>
      </c>
      <c r="BW328" s="285">
        <f t="shared" si="1538"/>
        <v>0</v>
      </c>
      <c r="BX328" s="5815">
        <f t="shared" si="1538"/>
        <v>0</v>
      </c>
      <c r="BY328" s="31"/>
      <c r="BZ328" s="31"/>
      <c r="CA328" s="31"/>
      <c r="CB328" s="31"/>
      <c r="CC328" s="31"/>
      <c r="CD328" s="285">
        <f t="shared" ref="CD328:CH328" si="1539">CD319/CD$7</f>
        <v>0</v>
      </c>
      <c r="CE328" s="285">
        <f t="shared" si="1539"/>
        <v>0</v>
      </c>
      <c r="CF328" s="285">
        <f t="shared" si="1539"/>
        <v>0</v>
      </c>
      <c r="CG328" s="285">
        <f t="shared" si="1539"/>
        <v>0</v>
      </c>
      <c r="CH328" s="5815">
        <f t="shared" si="1539"/>
        <v>0</v>
      </c>
      <c r="CI328" s="285">
        <f t="shared" ref="CI328:CM328" si="1540">CI319/CI$7</f>
        <v>0</v>
      </c>
      <c r="CJ328" s="285">
        <f t="shared" si="1540"/>
        <v>0</v>
      </c>
      <c r="CK328" s="285">
        <f t="shared" si="1540"/>
        <v>0</v>
      </c>
      <c r="CL328" s="285">
        <f t="shared" si="1540"/>
        <v>0</v>
      </c>
      <c r="CM328" s="5815">
        <f t="shared" si="1540"/>
        <v>0</v>
      </c>
      <c r="CN328" s="285">
        <f t="shared" ref="CN328:CR328" si="1541">CN319/CN$7</f>
        <v>0</v>
      </c>
      <c r="CO328" s="285">
        <f t="shared" si="1541"/>
        <v>0</v>
      </c>
      <c r="CP328" s="285">
        <f t="shared" si="1541"/>
        <v>0</v>
      </c>
      <c r="CQ328" s="285">
        <f t="shared" si="1541"/>
        <v>0</v>
      </c>
      <c r="CR328" s="5815">
        <f t="shared" si="1541"/>
        <v>0</v>
      </c>
      <c r="CS328" s="285">
        <f t="shared" ref="CS328:CW328" si="1542">CS319/CS$7</f>
        <v>0</v>
      </c>
      <c r="CT328" s="285">
        <f t="shared" si="1542"/>
        <v>0</v>
      </c>
      <c r="CU328" s="285">
        <f t="shared" si="1542"/>
        <v>0</v>
      </c>
      <c r="CV328" s="285">
        <f t="shared" si="1542"/>
        <v>0</v>
      </c>
      <c r="CW328" s="5815">
        <f t="shared" si="1542"/>
        <v>0</v>
      </c>
      <c r="CX328" s="285">
        <f t="shared" ref="CX328:DB328" si="1543">CX319/CX$7</f>
        <v>0</v>
      </c>
      <c r="CY328" s="285">
        <f t="shared" si="1543"/>
        <v>0</v>
      </c>
      <c r="CZ328" s="285">
        <f t="shared" si="1543"/>
        <v>0</v>
      </c>
      <c r="DA328" s="285">
        <f t="shared" si="1543"/>
        <v>0</v>
      </c>
      <c r="DB328" s="5815">
        <f t="shared" si="1543"/>
        <v>0</v>
      </c>
      <c r="DC328" s="285">
        <f t="shared" ref="DC328:DG328" si="1544">DC319/DC$7</f>
        <v>0</v>
      </c>
      <c r="DD328" s="285">
        <f t="shared" si="1544"/>
        <v>0</v>
      </c>
      <c r="DE328" s="285">
        <f t="shared" si="1544"/>
        <v>0</v>
      </c>
      <c r="DF328" s="285">
        <f t="shared" si="1544"/>
        <v>0</v>
      </c>
      <c r="DG328" s="5815">
        <f t="shared" si="1544"/>
        <v>0</v>
      </c>
      <c r="DH328" s="285">
        <f t="shared" ref="DH328:EW328" si="1545">DH319/DH$7</f>
        <v>0</v>
      </c>
      <c r="DI328" s="285">
        <f t="shared" si="1545"/>
        <v>0</v>
      </c>
      <c r="DJ328" s="285">
        <f t="shared" si="1545"/>
        <v>0</v>
      </c>
      <c r="DK328" s="285">
        <f t="shared" si="1545"/>
        <v>0</v>
      </c>
      <c r="DL328" s="5815">
        <f t="shared" si="1545"/>
        <v>0</v>
      </c>
      <c r="DM328" s="285">
        <f t="shared" si="1545"/>
        <v>0</v>
      </c>
      <c r="DN328" s="285">
        <f t="shared" si="1545"/>
        <v>0</v>
      </c>
      <c r="DO328" s="285">
        <f t="shared" si="1545"/>
        <v>0</v>
      </c>
      <c r="DP328" s="285">
        <f t="shared" si="1545"/>
        <v>0</v>
      </c>
      <c r="DQ328" s="5815">
        <f t="shared" si="1545"/>
        <v>0</v>
      </c>
      <c r="DR328" s="285">
        <f t="shared" si="1545"/>
        <v>0</v>
      </c>
      <c r="DS328" s="285">
        <f t="shared" si="1545"/>
        <v>0</v>
      </c>
      <c r="DT328" s="285">
        <f t="shared" si="1545"/>
        <v>0</v>
      </c>
      <c r="DU328" s="285">
        <f t="shared" si="1545"/>
        <v>0</v>
      </c>
      <c r="DV328" s="5815">
        <f t="shared" si="1545"/>
        <v>0</v>
      </c>
      <c r="DW328" s="285">
        <f t="shared" si="1545"/>
        <v>0</v>
      </c>
      <c r="DX328" s="285">
        <f t="shared" si="1545"/>
        <v>0</v>
      </c>
      <c r="DY328" s="285">
        <f t="shared" si="1545"/>
        <v>0</v>
      </c>
      <c r="DZ328" s="285">
        <f t="shared" si="1545"/>
        <v>0</v>
      </c>
      <c r="EA328" s="5815">
        <f t="shared" si="1545"/>
        <v>0</v>
      </c>
      <c r="EB328" s="285">
        <f t="shared" si="1545"/>
        <v>8.0817344204508011E-3</v>
      </c>
      <c r="EC328" s="285">
        <f t="shared" si="1545"/>
        <v>9.2488338426893995E-4</v>
      </c>
      <c r="ED328" s="285">
        <f t="shared" si="1545"/>
        <v>2.0862399436715216E-4</v>
      </c>
      <c r="EE328" s="285">
        <f t="shared" si="1545"/>
        <v>1.3857026995713126E-2</v>
      </c>
      <c r="EF328" s="5815">
        <f t="shared" si="1545"/>
        <v>6.002069005901221E-3</v>
      </c>
      <c r="EG328" s="285">
        <f t="shared" si="1545"/>
        <v>0</v>
      </c>
      <c r="EH328" s="285">
        <f t="shared" si="1545"/>
        <v>0</v>
      </c>
      <c r="EI328" s="285">
        <f t="shared" si="1545"/>
        <v>6.8767843386051573E-3</v>
      </c>
      <c r="EJ328" s="285">
        <f t="shared" si="1545"/>
        <v>1.9591785962329868E-3</v>
      </c>
      <c r="EK328" s="5815">
        <f t="shared" si="1545"/>
        <v>2.2741687570353524E-3</v>
      </c>
      <c r="EL328" s="285">
        <f t="shared" ref="EL328:EP328" si="1546">EL319/EL$7</f>
        <v>0</v>
      </c>
      <c r="EM328" s="285">
        <f t="shared" si="1546"/>
        <v>0</v>
      </c>
      <c r="EN328" s="285">
        <f t="shared" si="1546"/>
        <v>0</v>
      </c>
      <c r="EO328" s="285">
        <f t="shared" si="1546"/>
        <v>0</v>
      </c>
      <c r="EP328" s="5815">
        <f t="shared" si="1546"/>
        <v>0</v>
      </c>
      <c r="EQ328" s="285">
        <f t="shared" ref="EQ328:EU328" si="1547">EQ319/EQ$7</f>
        <v>0</v>
      </c>
      <c r="ER328" s="285">
        <f t="shared" si="1547"/>
        <v>0</v>
      </c>
      <c r="ES328" s="285">
        <f t="shared" si="1547"/>
        <v>0</v>
      </c>
      <c r="ET328" s="285">
        <f t="shared" si="1547"/>
        <v>0</v>
      </c>
      <c r="EU328" s="5815">
        <f t="shared" si="1547"/>
        <v>0</v>
      </c>
      <c r="EV328" s="5815">
        <f t="shared" si="1545"/>
        <v>0</v>
      </c>
      <c r="EW328" s="5815">
        <f t="shared" si="1545"/>
        <v>0</v>
      </c>
      <c r="EX328" s="5815">
        <f t="shared" ref="EX328:EY328" si="1548">EX319/EX$7</f>
        <v>0</v>
      </c>
      <c r="EY328" s="5815">
        <f t="shared" si="1548"/>
        <v>0</v>
      </c>
      <c r="EZ328" s="129"/>
    </row>
    <row r="329" spans="1:168" ht="11.25" customHeight="1">
      <c r="A329" s="4857" t="str">
        <f t="shared" si="1526"/>
        <v>Other incl. fines, legal charges, etc. (see comment)</v>
      </c>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c r="AG329" s="31"/>
      <c r="AH329" s="31"/>
      <c r="AI329" s="31"/>
      <c r="AJ329" s="31"/>
      <c r="AK329" s="31"/>
      <c r="AL329" s="31"/>
      <c r="AM329" s="31"/>
      <c r="AN329" s="31"/>
      <c r="AO329" s="31"/>
      <c r="AP329" s="31"/>
      <c r="AQ329" s="31"/>
      <c r="AR329" s="31"/>
      <c r="AS329" s="31"/>
      <c r="AT329" s="32"/>
      <c r="AU329" s="31"/>
      <c r="AV329" s="31"/>
      <c r="AW329" s="31"/>
      <c r="AX329" s="31"/>
      <c r="AY329" s="31"/>
      <c r="AZ329" s="31"/>
      <c r="BA329" s="31"/>
      <c r="BB329" s="31"/>
      <c r="BC329" s="31"/>
      <c r="BD329" s="31"/>
      <c r="BE329" s="31"/>
      <c r="BF329" s="31"/>
      <c r="BG329" s="31"/>
      <c r="BH329" s="31"/>
      <c r="BI329" s="31"/>
      <c r="BJ329" s="31"/>
      <c r="BK329" s="31"/>
      <c r="BL329" s="31"/>
      <c r="BM329" s="31"/>
      <c r="BN329" s="31"/>
      <c r="BO329" s="31"/>
      <c r="BP329" s="31"/>
      <c r="BQ329" s="31"/>
      <c r="BR329" s="31"/>
      <c r="BS329" s="31"/>
      <c r="BT329" s="285">
        <f t="shared" ref="BT329:BX329" si="1549">BT320/BT$7</f>
        <v>0</v>
      </c>
      <c r="BU329" s="285">
        <f t="shared" si="1549"/>
        <v>0</v>
      </c>
      <c r="BV329" s="285">
        <f t="shared" si="1549"/>
        <v>0</v>
      </c>
      <c r="BW329" s="285">
        <f t="shared" si="1549"/>
        <v>0</v>
      </c>
      <c r="BX329" s="5815">
        <f t="shared" si="1549"/>
        <v>0</v>
      </c>
      <c r="BY329" s="31"/>
      <c r="BZ329" s="31"/>
      <c r="CA329" s="31"/>
      <c r="CB329" s="31"/>
      <c r="CC329" s="31"/>
      <c r="CD329" s="285">
        <f t="shared" ref="CD329:CH329" si="1550">CD320/CD$7</f>
        <v>0</v>
      </c>
      <c r="CE329" s="285">
        <f t="shared" si="1550"/>
        <v>0</v>
      </c>
      <c r="CF329" s="285">
        <f t="shared" si="1550"/>
        <v>0</v>
      </c>
      <c r="CG329" s="285">
        <f t="shared" si="1550"/>
        <v>0</v>
      </c>
      <c r="CH329" s="5815">
        <f t="shared" si="1550"/>
        <v>0</v>
      </c>
      <c r="CI329" s="285">
        <f t="shared" ref="CI329:CM329" si="1551">CI320/CI$7</f>
        <v>0</v>
      </c>
      <c r="CJ329" s="285">
        <f t="shared" si="1551"/>
        <v>0</v>
      </c>
      <c r="CK329" s="285">
        <f t="shared" si="1551"/>
        <v>2.2877201476729409E-2</v>
      </c>
      <c r="CL329" s="285">
        <f t="shared" si="1551"/>
        <v>0</v>
      </c>
      <c r="CM329" s="5815">
        <f t="shared" si="1551"/>
        <v>5.7271859517280038E-3</v>
      </c>
      <c r="CN329" s="285">
        <f t="shared" ref="CN329:CR329" si="1552">CN320/CN$7</f>
        <v>0</v>
      </c>
      <c r="CO329" s="285">
        <f t="shared" si="1552"/>
        <v>0</v>
      </c>
      <c r="CP329" s="285">
        <f t="shared" si="1552"/>
        <v>0</v>
      </c>
      <c r="CQ329" s="285">
        <f t="shared" si="1552"/>
        <v>0</v>
      </c>
      <c r="CR329" s="5815">
        <f t="shared" si="1552"/>
        <v>0</v>
      </c>
      <c r="CS329" s="285">
        <f t="shared" ref="CS329:CW329" si="1553">CS320/CS$7</f>
        <v>0</v>
      </c>
      <c r="CT329" s="285">
        <f t="shared" si="1553"/>
        <v>0</v>
      </c>
      <c r="CU329" s="285">
        <f t="shared" si="1553"/>
        <v>0</v>
      </c>
      <c r="CV329" s="285">
        <f t="shared" si="1553"/>
        <v>0</v>
      </c>
      <c r="CW329" s="5815">
        <f t="shared" si="1553"/>
        <v>0</v>
      </c>
      <c r="CX329" s="285">
        <f t="shared" ref="CX329:DB329" si="1554">CX320/CX$7</f>
        <v>0</v>
      </c>
      <c r="CY329" s="285">
        <f t="shared" si="1554"/>
        <v>0.10519031141868512</v>
      </c>
      <c r="CZ329" s="285">
        <f t="shared" si="1554"/>
        <v>0</v>
      </c>
      <c r="DA329" s="285">
        <f t="shared" si="1554"/>
        <v>0</v>
      </c>
      <c r="DB329" s="5815">
        <f t="shared" si="1554"/>
        <v>2.468088945018267E-2</v>
      </c>
      <c r="DC329" s="285">
        <f t="shared" ref="DC329:DG329" si="1555">DC320/DC$7</f>
        <v>0</v>
      </c>
      <c r="DD329" s="285">
        <f t="shared" si="1555"/>
        <v>0.15528064427228466</v>
      </c>
      <c r="DE329" s="285">
        <f t="shared" si="1555"/>
        <v>0</v>
      </c>
      <c r="DF329" s="285">
        <f t="shared" si="1555"/>
        <v>0</v>
      </c>
      <c r="DG329" s="5815">
        <f t="shared" si="1555"/>
        <v>3.7063565732829505E-2</v>
      </c>
      <c r="DH329" s="285">
        <f t="shared" ref="DH329:EW329" si="1556">DH320/DH$7</f>
        <v>4.6699138666446517E-2</v>
      </c>
      <c r="DI329" s="285">
        <f t="shared" si="1556"/>
        <v>0</v>
      </c>
      <c r="DJ329" s="285">
        <f t="shared" si="1556"/>
        <v>1.367935010741006E-2</v>
      </c>
      <c r="DK329" s="285">
        <f t="shared" si="1556"/>
        <v>0</v>
      </c>
      <c r="DL329" s="5815">
        <f t="shared" si="1556"/>
        <v>1.3907337958815498E-2</v>
      </c>
      <c r="DM329" s="285">
        <f t="shared" si="1556"/>
        <v>1.0034257392064918E-2</v>
      </c>
      <c r="DN329" s="285">
        <f t="shared" si="1556"/>
        <v>5.5879050578374282E-3</v>
      </c>
      <c r="DO329" s="285">
        <f t="shared" si="1556"/>
        <v>0</v>
      </c>
      <c r="DP329" s="285">
        <f t="shared" si="1556"/>
        <v>0</v>
      </c>
      <c r="DQ329" s="5815">
        <f t="shared" si="1556"/>
        <v>3.4351082305631494E-3</v>
      </c>
      <c r="DR329" s="285">
        <f t="shared" si="1556"/>
        <v>4.2665509635896881E-3</v>
      </c>
      <c r="DS329" s="285">
        <f t="shared" si="1556"/>
        <v>1.2863606981254039E-2</v>
      </c>
      <c r="DT329" s="285">
        <f t="shared" si="1556"/>
        <v>4.8220154181639486E-3</v>
      </c>
      <c r="DU329" s="285">
        <f t="shared" si="1556"/>
        <v>4.6996349153667445E-3</v>
      </c>
      <c r="DV329" s="5815">
        <f t="shared" si="1556"/>
        <v>6.59843112596405E-3</v>
      </c>
      <c r="DW329" s="285">
        <f t="shared" si="1556"/>
        <v>0</v>
      </c>
      <c r="DX329" s="285">
        <f t="shared" si="1556"/>
        <v>0</v>
      </c>
      <c r="DY329" s="285">
        <f t="shared" si="1556"/>
        <v>-3.2999478955595437E-3</v>
      </c>
      <c r="DZ329" s="285">
        <f t="shared" si="1556"/>
        <v>0</v>
      </c>
      <c r="EA329" s="5815">
        <f t="shared" si="1556"/>
        <v>-8.0612086155934883E-4</v>
      </c>
      <c r="EB329" s="285">
        <f t="shared" si="1556"/>
        <v>0</v>
      </c>
      <c r="EC329" s="285">
        <f t="shared" si="1556"/>
        <v>0</v>
      </c>
      <c r="ED329" s="285">
        <f t="shared" si="1556"/>
        <v>7.6799707926407884E-3</v>
      </c>
      <c r="EE329" s="285">
        <f t="shared" si="1556"/>
        <v>0</v>
      </c>
      <c r="EF329" s="5815">
        <f t="shared" si="1556"/>
        <v>1.9161076663825579E-3</v>
      </c>
      <c r="EG329" s="285">
        <f t="shared" si="1556"/>
        <v>0</v>
      </c>
      <c r="EH329" s="285">
        <f t="shared" si="1556"/>
        <v>0</v>
      </c>
      <c r="EI329" s="285">
        <f t="shared" si="1556"/>
        <v>0</v>
      </c>
      <c r="EJ329" s="285">
        <f t="shared" si="1556"/>
        <v>0</v>
      </c>
      <c r="EK329" s="5815">
        <f t="shared" si="1556"/>
        <v>0</v>
      </c>
      <c r="EL329" s="285">
        <f t="shared" ref="EL329:EP329" si="1557">EL320/EL$7</f>
        <v>3.2360307644568567E-3</v>
      </c>
      <c r="EM329" s="285">
        <f t="shared" si="1557"/>
        <v>1.4518604554693658E-2</v>
      </c>
      <c r="EN329" s="285">
        <f t="shared" si="1557"/>
        <v>3.3777578019658805E-2</v>
      </c>
      <c r="EO329" s="285">
        <f t="shared" si="1557"/>
        <v>0</v>
      </c>
      <c r="EP329" s="5815">
        <f t="shared" si="1557"/>
        <v>1.2832260139878482E-2</v>
      </c>
      <c r="EQ329" s="285">
        <f t="shared" ref="EQ329:EU329" si="1558">EQ320/EQ$7</f>
        <v>0</v>
      </c>
      <c r="ER329" s="285">
        <f t="shared" si="1558"/>
        <v>0</v>
      </c>
      <c r="ES329" s="285">
        <f t="shared" si="1558"/>
        <v>0</v>
      </c>
      <c r="ET329" s="285">
        <f t="shared" si="1558"/>
        <v>0</v>
      </c>
      <c r="EU329" s="5815">
        <f t="shared" si="1558"/>
        <v>0</v>
      </c>
      <c r="EV329" s="5815">
        <f t="shared" si="1556"/>
        <v>0</v>
      </c>
      <c r="EW329" s="5815">
        <f t="shared" si="1556"/>
        <v>0</v>
      </c>
      <c r="EX329" s="5815">
        <f t="shared" ref="EX329:EY329" si="1559">EX320/EX$7</f>
        <v>0</v>
      </c>
      <c r="EY329" s="5815">
        <f t="shared" si="1559"/>
        <v>0</v>
      </c>
      <c r="EZ329" s="129"/>
    </row>
    <row r="330" spans="1:168" ht="11.25" customHeight="1">
      <c r="A330" s="5909" t="str">
        <f t="shared" si="1526"/>
        <v>GAAP Operating Income (excl. 1x items)</v>
      </c>
      <c r="B330" s="5888"/>
      <c r="C330" s="5888"/>
      <c r="D330" s="5888"/>
      <c r="E330" s="5888"/>
      <c r="F330" s="5888"/>
      <c r="G330" s="5888"/>
      <c r="H330" s="5888"/>
      <c r="I330" s="5888"/>
      <c r="J330" s="5888"/>
      <c r="K330" s="5888"/>
      <c r="L330" s="5888"/>
      <c r="M330" s="5888"/>
      <c r="N330" s="5888"/>
      <c r="O330" s="5888"/>
      <c r="P330" s="5888"/>
      <c r="Q330" s="5888"/>
      <c r="R330" s="5888"/>
      <c r="S330" s="5888"/>
      <c r="T330" s="5888"/>
      <c r="U330" s="5888"/>
      <c r="V330" s="5888"/>
      <c r="W330" s="5888"/>
      <c r="X330" s="5888"/>
      <c r="Y330" s="5888"/>
      <c r="Z330" s="5888"/>
      <c r="AA330" s="5888"/>
      <c r="AB330" s="5888"/>
      <c r="AC330" s="5888"/>
      <c r="AD330" s="5888"/>
      <c r="AE330" s="5888"/>
      <c r="AF330" s="5888"/>
      <c r="AG330" s="5888"/>
      <c r="AH330" s="5888"/>
      <c r="AI330" s="5888"/>
      <c r="AJ330" s="5888"/>
      <c r="AK330" s="5888"/>
      <c r="AL330" s="5888"/>
      <c r="AM330" s="5888"/>
      <c r="AN330" s="5888"/>
      <c r="AO330" s="5888"/>
      <c r="AP330" s="5888"/>
      <c r="AQ330" s="5888"/>
      <c r="AR330" s="5888"/>
      <c r="AS330" s="5888"/>
      <c r="AT330" s="5889"/>
      <c r="AU330" s="5888"/>
      <c r="AV330" s="5888"/>
      <c r="AW330" s="5888"/>
      <c r="AX330" s="5888"/>
      <c r="AY330" s="5888"/>
      <c r="AZ330" s="5888"/>
      <c r="BA330" s="5888"/>
      <c r="BB330" s="5888"/>
      <c r="BC330" s="5888"/>
      <c r="BD330" s="5888"/>
      <c r="BE330" s="5888"/>
      <c r="BF330" s="5888"/>
      <c r="BG330" s="5888"/>
      <c r="BH330" s="5888"/>
      <c r="BI330" s="5888"/>
      <c r="BJ330" s="5888"/>
      <c r="BK330" s="5888"/>
      <c r="BL330" s="5888"/>
      <c r="BM330" s="5888"/>
      <c r="BN330" s="5888"/>
      <c r="BO330" s="5888"/>
      <c r="BP330" s="5888"/>
      <c r="BQ330" s="5888"/>
      <c r="BR330" s="5888"/>
      <c r="BS330" s="5888"/>
      <c r="BT330" s="5890">
        <f t="shared" ref="BT330:BX330" si="1560">BT321/BT$7</f>
        <v>0.3183654297792391</v>
      </c>
      <c r="BU330" s="5890">
        <f t="shared" si="1560"/>
        <v>0.31338927398759575</v>
      </c>
      <c r="BV330" s="5890">
        <f t="shared" si="1560"/>
        <v>0.28309908034010062</v>
      </c>
      <c r="BW330" s="5890">
        <f t="shared" si="1560"/>
        <v>0.29035257652072838</v>
      </c>
      <c r="BX330" s="5891">
        <f t="shared" si="1560"/>
        <v>0.30048437194552446</v>
      </c>
      <c r="BY330" s="5888"/>
      <c r="BZ330" s="5888"/>
      <c r="CA330" s="5888"/>
      <c r="CB330" s="5888"/>
      <c r="CC330" s="5888"/>
      <c r="CD330" s="5890">
        <f t="shared" ref="CD330:CH330" si="1561">CD321/CD$7</f>
        <v>0.28939850204617407</v>
      </c>
      <c r="CE330" s="5890">
        <f t="shared" si="1561"/>
        <v>0.26436255436026551</v>
      </c>
      <c r="CF330" s="5890">
        <f t="shared" si="1561"/>
        <v>0.27344772429838593</v>
      </c>
      <c r="CG330" s="5890">
        <f t="shared" si="1561"/>
        <v>0.28197618896033616</v>
      </c>
      <c r="CH330" s="5891">
        <f t="shared" si="1561"/>
        <v>0.27743655325203986</v>
      </c>
      <c r="CI330" s="5890">
        <f t="shared" ref="CI330:CM330" si="1562">CI321/CI$7</f>
        <v>0.26686121919584954</v>
      </c>
      <c r="CJ330" s="5890">
        <f t="shared" si="1562"/>
        <v>0.26687558759009716</v>
      </c>
      <c r="CK330" s="5890">
        <f t="shared" si="1562"/>
        <v>0.24826000121043393</v>
      </c>
      <c r="CL330" s="5890">
        <f t="shared" si="1562"/>
        <v>0.24299839805557091</v>
      </c>
      <c r="CM330" s="5891">
        <f t="shared" si="1562"/>
        <v>0.25566279298798505</v>
      </c>
      <c r="CN330" s="5890">
        <f t="shared" ref="CN330:CR330" si="1563">CN321/CN$7</f>
        <v>0.25767759879476188</v>
      </c>
      <c r="CO330" s="5890">
        <f t="shared" si="1563"/>
        <v>0.2721836746206352</v>
      </c>
      <c r="CP330" s="5890">
        <f t="shared" si="1563"/>
        <v>0.25210174029451138</v>
      </c>
      <c r="CQ330" s="5890">
        <f t="shared" si="1563"/>
        <v>0.25223873599324864</v>
      </c>
      <c r="CR330" s="5891">
        <f t="shared" si="1563"/>
        <v>0.25817119844243824</v>
      </c>
      <c r="CS330" s="5890">
        <f t="shared" ref="CS330:CW330" si="1564">CS321/CS$7</f>
        <v>0.26371130967073109</v>
      </c>
      <c r="CT330" s="5890">
        <f t="shared" si="1564"/>
        <v>0.27758139534883719</v>
      </c>
      <c r="CU330" s="5890">
        <f t="shared" si="1564"/>
        <v>0.25687051801701483</v>
      </c>
      <c r="CV330" s="5890">
        <f t="shared" si="1564"/>
        <v>0.25471915285451197</v>
      </c>
      <c r="CW330" s="5891">
        <f t="shared" si="1564"/>
        <v>0.26271712158808935</v>
      </c>
      <c r="CX330" s="5890">
        <f t="shared" ref="CX330:DB330" si="1565">CX321/CX$7</f>
        <v>0.26537373737373737</v>
      </c>
      <c r="CY330" s="5890">
        <f t="shared" si="1565"/>
        <v>0.26405228758169935</v>
      </c>
      <c r="CZ330" s="5890">
        <f t="shared" si="1565"/>
        <v>0.28021028373901774</v>
      </c>
      <c r="DA330" s="5890">
        <f t="shared" si="1565"/>
        <v>0.23710670420443647</v>
      </c>
      <c r="DB330" s="5891">
        <f t="shared" si="1565"/>
        <v>0.26053854133778359</v>
      </c>
      <c r="DC330" s="5890">
        <f t="shared" ref="DC330:DG330" si="1566">DC321/DC$7</f>
        <v>0.24507159827907277</v>
      </c>
      <c r="DD330" s="5890">
        <f t="shared" si="1566"/>
        <v>0.24852252197078728</v>
      </c>
      <c r="DE330" s="5890">
        <f t="shared" si="1566"/>
        <v>0.25563129816241847</v>
      </c>
      <c r="DF330" s="5890">
        <f t="shared" si="1566"/>
        <v>0.20931357572054179</v>
      </c>
      <c r="DG330" s="5891">
        <f t="shared" si="1566"/>
        <v>0.23823445574079624</v>
      </c>
      <c r="DH330" s="5890">
        <f t="shared" ref="DH330:EW330" si="1567">DH321/DH$7</f>
        <v>0.22854233743361127</v>
      </c>
      <c r="DI330" s="5890">
        <f t="shared" si="1567"/>
        <v>0.23572308956450289</v>
      </c>
      <c r="DJ330" s="5890">
        <f t="shared" si="1567"/>
        <v>0.24027753771698065</v>
      </c>
      <c r="DK330" s="5890">
        <f t="shared" si="1567"/>
        <v>0.20110689093868692</v>
      </c>
      <c r="DL330" s="5891">
        <f t="shared" si="1567"/>
        <v>0.2253964919651297</v>
      </c>
      <c r="DM330" s="5890">
        <f t="shared" si="1567"/>
        <v>0.20384363079763843</v>
      </c>
      <c r="DN330" s="5890">
        <f t="shared" si="1567"/>
        <v>0.17225892367548373</v>
      </c>
      <c r="DO330" s="5890">
        <f t="shared" si="1567"/>
        <v>0.24284755159941956</v>
      </c>
      <c r="DP330" s="5890">
        <f t="shared" si="1567"/>
        <v>0.27507118000632713</v>
      </c>
      <c r="DQ330" s="5891">
        <f t="shared" si="1567"/>
        <v>0.22928662608819517</v>
      </c>
      <c r="DR330" s="5890">
        <f t="shared" si="1567"/>
        <v>0.30142459413530026</v>
      </c>
      <c r="DS330" s="5890">
        <f t="shared" si="1567"/>
        <v>0.32574337427278605</v>
      </c>
      <c r="DT330" s="5890">
        <f t="shared" si="1567"/>
        <v>0.32778955127614484</v>
      </c>
      <c r="DU330" s="5890">
        <f t="shared" si="1567"/>
        <v>0.29524062396282774</v>
      </c>
      <c r="DV330" s="5891">
        <f t="shared" si="1567"/>
        <v>0.31212131797839598</v>
      </c>
      <c r="DW330" s="5890">
        <f t="shared" si="1567"/>
        <v>0.29545220626075192</v>
      </c>
      <c r="DX330" s="5890">
        <f t="shared" si="1567"/>
        <v>0.279156202913109</v>
      </c>
      <c r="DY330" s="5890">
        <f t="shared" si="1567"/>
        <v>0.244702715220286</v>
      </c>
      <c r="DZ330" s="5890">
        <f t="shared" si="1567"/>
        <v>0.23879654954765411</v>
      </c>
      <c r="EA330" s="5891">
        <f t="shared" si="1567"/>
        <v>0.26380658756311076</v>
      </c>
      <c r="EB330" s="5890">
        <f t="shared" si="1567"/>
        <v>0.28619943542493587</v>
      </c>
      <c r="EC330" s="5890">
        <f t="shared" si="1567"/>
        <v>0.29365717655889767</v>
      </c>
      <c r="ED330" s="5890">
        <f t="shared" si="1567"/>
        <v>0.28730131824286442</v>
      </c>
      <c r="EE330" s="5890">
        <f t="shared" si="1567"/>
        <v>0.28852971845672576</v>
      </c>
      <c r="EF330" s="5891">
        <f t="shared" si="1567"/>
        <v>0.28892886653610678</v>
      </c>
      <c r="EG330" s="5890">
        <f t="shared" si="1567"/>
        <v>0.32515923962303978</v>
      </c>
      <c r="EH330" s="5890">
        <f t="shared" si="1567"/>
        <v>0.32362936914398999</v>
      </c>
      <c r="EI330" s="5890">
        <f t="shared" si="1567"/>
        <v>0.32999501518103957</v>
      </c>
      <c r="EJ330" s="5890">
        <f t="shared" si="1567"/>
        <v>0.32586634048243479</v>
      </c>
      <c r="EK330" s="5891">
        <f t="shared" si="1567"/>
        <v>0.3262032238342028</v>
      </c>
      <c r="EL330" s="5890">
        <f t="shared" ref="EL330:EP330" si="1568">EL321/EL$7</f>
        <v>0.34242081698694504</v>
      </c>
      <c r="EM330" s="5890">
        <f t="shared" si="1568"/>
        <v>0.33881237814742604</v>
      </c>
      <c r="EN330" s="5890">
        <f t="shared" si="1568"/>
        <v>0.33889941961581305</v>
      </c>
      <c r="EO330" s="5890">
        <f t="shared" si="1568"/>
        <v>0.33265537501525266</v>
      </c>
      <c r="EP330" s="5891">
        <f t="shared" si="1568"/>
        <v>0.33792369287972163</v>
      </c>
      <c r="EQ330" s="5890">
        <f t="shared" ref="EQ330:EU330" si="1569">EQ321/EQ$7</f>
        <v>0.34916096794340579</v>
      </c>
      <c r="ER330" s="5890">
        <f t="shared" si="1569"/>
        <v>0.3456917622945303</v>
      </c>
      <c r="ES330" s="5890">
        <f t="shared" si="1569"/>
        <v>0.33739258637631947</v>
      </c>
      <c r="ET330" s="5890">
        <f t="shared" si="1569"/>
        <v>0.33404868718295216</v>
      </c>
      <c r="EU330" s="5891">
        <f t="shared" si="1569"/>
        <v>0.34112857535539642</v>
      </c>
      <c r="EV330" s="5891">
        <f t="shared" si="1567"/>
        <v>0.33668178936706633</v>
      </c>
      <c r="EW330" s="5891">
        <f t="shared" si="1567"/>
        <v>0.34224656200153802</v>
      </c>
      <c r="EX330" s="5891">
        <f t="shared" ref="EX330:EY330" si="1570">EX321/EX$7</f>
        <v>0.35028305406342797</v>
      </c>
      <c r="EY330" s="5891">
        <f t="shared" si="1570"/>
        <v>0.36083416695274023</v>
      </c>
      <c r="EZ330" s="129"/>
    </row>
    <row r="331" spans="1:168" ht="11.25" hidden="1" customHeight="1" outlineLevel="1">
      <c r="A331" s="5918" t="s">
        <v>734</v>
      </c>
      <c r="B331" s="5872"/>
      <c r="C331" s="5872"/>
      <c r="D331" s="5872"/>
      <c r="E331" s="5872"/>
      <c r="F331" s="5872"/>
      <c r="G331" s="5872"/>
      <c r="H331" s="5872"/>
      <c r="I331" s="5872"/>
      <c r="J331" s="5872"/>
      <c r="K331" s="5872"/>
      <c r="L331" s="5872"/>
      <c r="M331" s="5872"/>
      <c r="N331" s="5872"/>
      <c r="O331" s="5872"/>
      <c r="P331" s="5872"/>
      <c r="Q331" s="5872"/>
      <c r="R331" s="5872"/>
      <c r="S331" s="5872"/>
      <c r="T331" s="5872"/>
      <c r="U331" s="5872"/>
      <c r="V331" s="5872"/>
      <c r="W331" s="5872"/>
      <c r="X331" s="5872"/>
      <c r="Y331" s="5872"/>
      <c r="Z331" s="5872"/>
      <c r="AA331" s="5872"/>
      <c r="AB331" s="5872"/>
      <c r="AC331" s="5872"/>
      <c r="AD331" s="5872"/>
      <c r="AE331" s="5872"/>
      <c r="AF331" s="5872"/>
      <c r="AG331" s="5872"/>
      <c r="AH331" s="5872"/>
      <c r="AI331" s="5872"/>
      <c r="AJ331" s="5872"/>
      <c r="AK331" s="5872"/>
      <c r="AL331" s="5872"/>
      <c r="AM331" s="5872"/>
      <c r="AN331" s="5872"/>
      <c r="AO331" s="5872"/>
      <c r="AP331" s="5872"/>
      <c r="AQ331" s="5872"/>
      <c r="AR331" s="5872"/>
      <c r="AS331" s="5872"/>
      <c r="AT331" s="5873"/>
      <c r="AU331" s="5872"/>
      <c r="AV331" s="5872"/>
      <c r="AW331" s="5872"/>
      <c r="AX331" s="5872"/>
      <c r="AY331" s="5872"/>
      <c r="AZ331" s="5872"/>
      <c r="BA331" s="5872"/>
      <c r="BB331" s="5872"/>
      <c r="BC331" s="5872"/>
      <c r="BD331" s="5872"/>
      <c r="BE331" s="5872"/>
      <c r="BF331" s="5872"/>
      <c r="BG331" s="5872"/>
      <c r="BH331" s="5872"/>
      <c r="BI331" s="5872"/>
      <c r="BJ331" s="5872"/>
      <c r="BK331" s="5872"/>
      <c r="BL331" s="5872"/>
      <c r="BM331" s="5872"/>
      <c r="BN331" s="5872"/>
      <c r="BO331" s="5872"/>
      <c r="BP331" s="5872"/>
      <c r="BQ331" s="5872"/>
      <c r="BR331" s="5872"/>
      <c r="BS331" s="5872"/>
      <c r="BT331" s="5919"/>
      <c r="BU331" s="5919"/>
      <c r="BV331" s="5919"/>
      <c r="BW331" s="5919"/>
      <c r="BX331" s="5920"/>
      <c r="BY331" s="5872"/>
      <c r="BZ331" s="5872"/>
      <c r="CA331" s="5872"/>
      <c r="CB331" s="5872"/>
      <c r="CC331" s="5872"/>
      <c r="CD331" s="5919"/>
      <c r="CE331" s="5919"/>
      <c r="CF331" s="5919"/>
      <c r="CG331" s="5919"/>
      <c r="CH331" s="5920"/>
      <c r="CI331" s="5919"/>
      <c r="CJ331" s="5919"/>
      <c r="CK331" s="5919"/>
      <c r="CL331" s="5919"/>
      <c r="CM331" s="5920"/>
      <c r="CN331" s="5919"/>
      <c r="CO331" s="5919"/>
      <c r="CP331" s="5919"/>
      <c r="CQ331" s="5919"/>
      <c r="CR331" s="5920"/>
      <c r="CS331" s="5919"/>
      <c r="CT331" s="5919"/>
      <c r="CU331" s="5919"/>
      <c r="CV331" s="5919"/>
      <c r="CW331" s="5920"/>
      <c r="CX331" s="5919"/>
      <c r="CY331" s="5919"/>
      <c r="CZ331" s="5919"/>
      <c r="DA331" s="5919"/>
      <c r="DB331" s="5920"/>
      <c r="DC331" s="5919"/>
      <c r="DD331" s="5919"/>
      <c r="DE331" s="5919"/>
      <c r="DF331" s="5919"/>
      <c r="DG331" s="5920"/>
      <c r="DH331" s="5919"/>
      <c r="DI331" s="5919"/>
      <c r="DJ331" s="5919"/>
      <c r="DK331" s="5919"/>
      <c r="DL331" s="5920"/>
      <c r="DM331" s="5919">
        <f t="shared" ref="DM331" si="1571">(DM330-DH330)*10000</f>
        <v>-246.98706635972846</v>
      </c>
      <c r="DN331" s="5919">
        <f t="shared" ref="DN331" si="1572">(DN330-DI330)*10000</f>
        <v>-634.64165889019148</v>
      </c>
      <c r="DO331" s="5919">
        <f t="shared" ref="DO331" si="1573">(DO330-DJ330)*10000</f>
        <v>25.700138824389096</v>
      </c>
      <c r="DP331" s="5919">
        <f t="shared" ref="DP331" si="1574">(DP330-DK330)*10000</f>
        <v>739.6428906764022</v>
      </c>
      <c r="DQ331" s="5920">
        <f t="shared" ref="DQ331" si="1575">(DQ330-DL330)*10000</f>
        <v>38.901341230654637</v>
      </c>
      <c r="DR331" s="5919">
        <f t="shared" ref="DR331" si="1576">(DR330-DM330)*10000</f>
        <v>975.80963337661831</v>
      </c>
      <c r="DS331" s="5919">
        <f t="shared" ref="DS331" si="1577">(DS330-DN330)*10000</f>
        <v>1534.8445059730232</v>
      </c>
      <c r="DT331" s="5919">
        <f t="shared" ref="DT331" si="1578">(DT330-DO330)*10000</f>
        <v>849.41999676725277</v>
      </c>
      <c r="DU331" s="5919">
        <f t="shared" ref="DU331" si="1579">(DU330-DP330)*10000</f>
        <v>201.69443956500609</v>
      </c>
      <c r="DV331" s="5920">
        <f t="shared" ref="DV331" si="1580">(DV330-DQ330)*10000</f>
        <v>828.34691890200816</v>
      </c>
      <c r="DW331" s="5919">
        <f t="shared" ref="DW331" si="1581">(DW330-DR330)*10000</f>
        <v>-59.723878745483461</v>
      </c>
      <c r="DX331" s="5919">
        <f t="shared" ref="DX331" si="1582">(DX330-DS330)*10000</f>
        <v>-465.87171359677046</v>
      </c>
      <c r="DY331" s="5919">
        <f t="shared" ref="DY331" si="1583">(DY330-DT330)*10000</f>
        <v>-830.86836055858839</v>
      </c>
      <c r="DZ331" s="5919">
        <f t="shared" ref="DZ331" si="1584">(DZ330-DU330)*10000</f>
        <v>-564.44074415173634</v>
      </c>
      <c r="EA331" s="5920">
        <f t="shared" ref="EA331" si="1585">(EA330-DV330)*10000</f>
        <v>-483.14730415285226</v>
      </c>
      <c r="EB331" s="5919">
        <f>(EB330-DW330)*10000</f>
        <v>-92.527708358160481</v>
      </c>
      <c r="EC331" s="5919">
        <f>(EC330-DX330)*10000</f>
        <v>145.00973645788673</v>
      </c>
      <c r="ED331" s="5919">
        <f>(ED330-DY330)*10000</f>
        <v>425.98603022578425</v>
      </c>
      <c r="EE331" s="5919">
        <f>(EE330-DZ330)*10000</f>
        <v>497.33168909071645</v>
      </c>
      <c r="EF331" s="5920">
        <f>(EF330-EA330)*10000</f>
        <v>251.22278972996014</v>
      </c>
      <c r="EG331" s="5919">
        <f t="shared" ref="EG331" si="1586">(EG330-EB330)*10000</f>
        <v>389.5980419810391</v>
      </c>
      <c r="EH331" s="5919">
        <f t="shared" ref="EH331" si="1587">(EH330-EC330)*10000</f>
        <v>299.72192585092318</v>
      </c>
      <c r="EI331" s="5919">
        <f t="shared" ref="EI331" si="1588">(EI330-ED330)*10000</f>
        <v>426.93696938175151</v>
      </c>
      <c r="EJ331" s="5919">
        <f t="shared" ref="EJ331" si="1589">(EJ330-EE330)*10000</f>
        <v>373.36622025709033</v>
      </c>
      <c r="EK331" s="5920">
        <f t="shared" ref="EK331" si="1590">(EK330-EF330)*10000</f>
        <v>372.74357298096027</v>
      </c>
      <c r="EL331" s="5919">
        <f t="shared" ref="EL331" si="1591">(EL330-EG330)*10000</f>
        <v>172.61577363905266</v>
      </c>
      <c r="EM331" s="5919">
        <f t="shared" ref="EM331" si="1592">(EM330-EH330)*10000</f>
        <v>151.83009003436055</v>
      </c>
      <c r="EN331" s="5919">
        <f t="shared" ref="EN331" si="1593">(EN330-EI330)*10000</f>
        <v>89.044044347734712</v>
      </c>
      <c r="EO331" s="5919">
        <f t="shared" ref="EO331:EP331" si="1594">(EO330-EJ330)*10000</f>
        <v>67.890345328178725</v>
      </c>
      <c r="EP331" s="5920">
        <f t="shared" si="1594"/>
        <v>117.20469045518823</v>
      </c>
      <c r="EQ331" s="5919">
        <f t="shared" ref="EQ331" si="1595">(EQ330-EL330)*10000</f>
        <v>67.401509564607437</v>
      </c>
      <c r="ER331" s="5919">
        <f t="shared" ref="ER331" si="1596">(ER330-EM330)*10000</f>
        <v>68.793841471042612</v>
      </c>
      <c r="ES331" s="5919">
        <f t="shared" ref="ES331" si="1597">(ES330-EN330)*10000</f>
        <v>-15.068332394935769</v>
      </c>
      <c r="ET331" s="5919">
        <f t="shared" ref="ET331:EU331" si="1598">(ET330-EO330)*10000</f>
        <v>13.933121676995007</v>
      </c>
      <c r="EU331" s="5920">
        <f t="shared" si="1598"/>
        <v>32.048824756747976</v>
      </c>
      <c r="EV331" s="5920">
        <f>(EV330-EU330)*10000</f>
        <v>-44.467859883300932</v>
      </c>
      <c r="EW331" s="5920">
        <f>(EW330-EV330)*10000</f>
        <v>55.647726344716929</v>
      </c>
      <c r="EX331" s="5920">
        <f>(EX330-EW330)*10000</f>
        <v>80.364920618899433</v>
      </c>
      <c r="EY331" s="5920">
        <f>(EY330-EX330)*10000</f>
        <v>105.51112889312265</v>
      </c>
      <c r="EZ331" s="129"/>
    </row>
    <row r="332" spans="1:168" ht="11.25" customHeight="1" collapsed="1">
      <c r="A332" s="5910"/>
      <c r="B332" s="5872"/>
      <c r="C332" s="5872"/>
      <c r="D332" s="5872"/>
      <c r="E332" s="5872"/>
      <c r="F332" s="5872"/>
      <c r="G332" s="5872"/>
      <c r="H332" s="5872"/>
      <c r="I332" s="5872"/>
      <c r="J332" s="5872"/>
      <c r="K332" s="5872"/>
      <c r="L332" s="5872"/>
      <c r="M332" s="5872"/>
      <c r="N332" s="5872"/>
      <c r="O332" s="5872"/>
      <c r="P332" s="5872"/>
      <c r="Q332" s="5872"/>
      <c r="R332" s="5872"/>
      <c r="S332" s="5872"/>
      <c r="T332" s="5872"/>
      <c r="U332" s="5872"/>
      <c r="V332" s="5872"/>
      <c r="W332" s="5872"/>
      <c r="X332" s="5872"/>
      <c r="Y332" s="5872"/>
      <c r="Z332" s="5872"/>
      <c r="AA332" s="5872"/>
      <c r="AB332" s="5872"/>
      <c r="AC332" s="5872"/>
      <c r="AD332" s="5872"/>
      <c r="AE332" s="5872"/>
      <c r="AF332" s="5872"/>
      <c r="AG332" s="5872"/>
      <c r="AH332" s="5872"/>
      <c r="AI332" s="5872"/>
      <c r="AJ332" s="5872"/>
      <c r="AK332" s="5872"/>
      <c r="AL332" s="5872"/>
      <c r="AM332" s="5872"/>
      <c r="AN332" s="5872"/>
      <c r="AO332" s="5872"/>
      <c r="AP332" s="5872"/>
      <c r="AQ332" s="5872"/>
      <c r="AR332" s="5872"/>
      <c r="AS332" s="5872"/>
      <c r="AT332" s="5873"/>
      <c r="AU332" s="5872"/>
      <c r="AV332" s="5872"/>
      <c r="AW332" s="5872"/>
      <c r="AX332" s="5872"/>
      <c r="AY332" s="5872"/>
      <c r="AZ332" s="5872"/>
      <c r="BA332" s="5872"/>
      <c r="BB332" s="5872"/>
      <c r="BC332" s="5872"/>
      <c r="BD332" s="5872"/>
      <c r="BE332" s="5872"/>
      <c r="BF332" s="5872"/>
      <c r="BG332" s="5872"/>
      <c r="BH332" s="5872"/>
      <c r="BI332" s="5872"/>
      <c r="BJ332" s="5872"/>
      <c r="BK332" s="5872"/>
      <c r="BL332" s="5872"/>
      <c r="BM332" s="5872"/>
      <c r="BN332" s="5872"/>
      <c r="BO332" s="5872"/>
      <c r="BP332" s="5872"/>
      <c r="BQ332" s="5872"/>
      <c r="BR332" s="5872"/>
      <c r="BS332" s="5872"/>
      <c r="BT332" s="5872"/>
      <c r="BU332" s="5872"/>
      <c r="BV332" s="5872"/>
      <c r="BW332" s="5872"/>
      <c r="BX332" s="5880"/>
      <c r="BY332" s="5872"/>
      <c r="BZ332" s="5872"/>
      <c r="CA332" s="5872"/>
      <c r="CB332" s="5872"/>
      <c r="CC332" s="5872"/>
      <c r="CD332" s="5872"/>
      <c r="CE332" s="5872"/>
      <c r="CF332" s="5872"/>
      <c r="CG332" s="5872"/>
      <c r="CH332" s="5880"/>
      <c r="CI332" s="5872"/>
      <c r="CJ332" s="5872"/>
      <c r="CK332" s="5872"/>
      <c r="CL332" s="5872"/>
      <c r="CM332" s="5880"/>
      <c r="CN332" s="5872"/>
      <c r="CO332" s="5872"/>
      <c r="CP332" s="5872"/>
      <c r="CQ332" s="5872"/>
      <c r="CR332" s="5880"/>
      <c r="CS332" s="5872"/>
      <c r="CT332" s="5872"/>
      <c r="CU332" s="5872"/>
      <c r="CV332" s="5872"/>
      <c r="CW332" s="5880"/>
      <c r="CX332" s="5872"/>
      <c r="CY332" s="5872"/>
      <c r="CZ332" s="5872"/>
      <c r="DA332" s="5872"/>
      <c r="DB332" s="5880"/>
      <c r="DC332" s="5872"/>
      <c r="DD332" s="5872"/>
      <c r="DE332" s="5872"/>
      <c r="DF332" s="5872"/>
      <c r="DG332" s="5880"/>
      <c r="DH332" s="5872"/>
      <c r="DI332" s="5872"/>
      <c r="DJ332" s="5872"/>
      <c r="DK332" s="5872"/>
      <c r="DL332" s="5880"/>
      <c r="DM332" s="5872"/>
      <c r="DN332" s="5872"/>
      <c r="DO332" s="5872"/>
      <c r="DP332" s="5872"/>
      <c r="DQ332" s="5880"/>
      <c r="DR332" s="5872"/>
      <c r="DS332" s="5872"/>
      <c r="DT332" s="5872"/>
      <c r="DU332" s="5872"/>
      <c r="DV332" s="5880"/>
      <c r="DW332" s="5872"/>
      <c r="DX332" s="5872"/>
      <c r="DY332" s="5872"/>
      <c r="DZ332" s="5872"/>
      <c r="EA332" s="5880"/>
      <c r="EB332" s="5872"/>
      <c r="EC332" s="5872"/>
      <c r="ED332" s="5872"/>
      <c r="EE332" s="5872"/>
      <c r="EF332" s="5880"/>
      <c r="EG332" s="5872"/>
      <c r="EH332" s="5872"/>
      <c r="EI332" s="5872"/>
      <c r="EJ332" s="5872"/>
      <c r="EK332" s="5880"/>
      <c r="EL332" s="5872"/>
      <c r="EM332" s="5872"/>
      <c r="EN332" s="5872"/>
      <c r="EO332" s="5872"/>
      <c r="EP332" s="5880"/>
      <c r="EQ332" s="5872"/>
      <c r="ER332" s="5872"/>
      <c r="ES332" s="5872"/>
      <c r="ET332" s="5872"/>
      <c r="EU332" s="5880"/>
      <c r="EV332" s="5880"/>
      <c r="EW332" s="5880"/>
      <c r="EX332" s="5880"/>
      <c r="EY332" s="5880"/>
      <c r="EZ332" s="129"/>
    </row>
    <row r="333" spans="1:168" ht="11.25" hidden="1" customHeight="1" outlineLevel="1">
      <c r="A333" s="521"/>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c r="AF333" s="35"/>
      <c r="AG333" s="35"/>
      <c r="AH333" s="35"/>
      <c r="AI333" s="35"/>
      <c r="AJ333" s="35"/>
      <c r="AK333" s="35"/>
      <c r="AL333" s="35"/>
      <c r="AM333" s="35"/>
      <c r="AN333" s="35"/>
      <c r="AO333" s="35"/>
      <c r="AP333" s="35"/>
      <c r="AQ333" s="35"/>
      <c r="AR333" s="35"/>
      <c r="AS333" s="35"/>
      <c r="AT333" s="32"/>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1"/>
      <c r="CJ333" s="31"/>
      <c r="CK333" s="31"/>
      <c r="CL333" s="31"/>
      <c r="CM333" s="35"/>
      <c r="CN333" s="31"/>
      <c r="CO333" s="31"/>
      <c r="CP333" s="31"/>
      <c r="CQ333" s="31"/>
      <c r="CR333" s="35"/>
      <c r="CS333" s="35"/>
      <c r="CT333" s="35"/>
      <c r="CU333" s="35"/>
      <c r="CV333" s="35"/>
      <c r="CW333" s="35"/>
      <c r="CX333" s="35"/>
      <c r="CY333" s="31"/>
      <c r="CZ333" s="31"/>
      <c r="DA333" s="35"/>
      <c r="DB333" s="35"/>
      <c r="DC333" s="35"/>
      <c r="DD333" s="31"/>
      <c r="DE333" s="31"/>
      <c r="DF333" s="35"/>
      <c r="DG333" s="35"/>
      <c r="DH333" s="31"/>
      <c r="DI333" s="31"/>
      <c r="DJ333" s="31"/>
      <c r="DK333" s="31"/>
      <c r="DL333" s="35"/>
      <c r="DM333" s="31"/>
      <c r="DN333" s="31"/>
      <c r="DO333" s="31"/>
      <c r="DP333" s="31"/>
      <c r="DQ333" s="35"/>
      <c r="DR333" s="31"/>
      <c r="DS333" s="31"/>
      <c r="DT333" s="31"/>
      <c r="DU333" s="31"/>
      <c r="DV333" s="35"/>
      <c r="DW333" s="31"/>
      <c r="DX333" s="31"/>
      <c r="DY333" s="31"/>
      <c r="DZ333" s="31"/>
      <c r="EA333" s="35"/>
      <c r="EB333" s="31"/>
      <c r="EC333" s="31"/>
      <c r="ED333" s="31"/>
      <c r="EE333" s="31"/>
      <c r="EF333" s="35"/>
      <c r="EG333" s="31"/>
      <c r="EH333" s="31"/>
      <c r="EI333" s="31"/>
      <c r="EJ333" s="31"/>
      <c r="EK333" s="35"/>
      <c r="EL333" s="31"/>
      <c r="EM333" s="31"/>
      <c r="EN333" s="31"/>
      <c r="EO333" s="31"/>
      <c r="EP333" s="35"/>
      <c r="EQ333" s="31"/>
      <c r="ER333" s="31"/>
      <c r="ES333" s="31"/>
      <c r="ET333" s="31"/>
      <c r="EU333" s="35"/>
      <c r="EV333" s="35"/>
      <c r="EW333" s="35"/>
      <c r="EX333" s="35"/>
      <c r="EY333" s="35"/>
      <c r="EZ333" s="129"/>
    </row>
    <row r="334" spans="1:168" ht="11.25" customHeight="1" collapsed="1">
      <c r="A334" s="521"/>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c r="AF334" s="35"/>
      <c r="AG334" s="35"/>
      <c r="AH334" s="35"/>
      <c r="AI334" s="35"/>
      <c r="AJ334" s="35"/>
      <c r="AK334" s="35"/>
      <c r="AL334" s="35"/>
      <c r="AM334" s="35"/>
      <c r="AN334" s="35"/>
      <c r="AO334" s="35"/>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1"/>
      <c r="CJ334" s="31"/>
      <c r="CK334" s="31"/>
      <c r="CL334" s="31"/>
      <c r="CM334" s="35"/>
      <c r="CN334" s="31"/>
      <c r="CO334" s="31"/>
      <c r="CP334" s="31"/>
      <c r="CQ334" s="31"/>
      <c r="CR334" s="35"/>
      <c r="CS334" s="35"/>
      <c r="CT334" s="35"/>
      <c r="CU334" s="35"/>
      <c r="CV334" s="35"/>
      <c r="CW334" s="35"/>
      <c r="CX334" s="35"/>
      <c r="CY334" s="31"/>
      <c r="CZ334" s="31"/>
      <c r="DA334" s="35"/>
      <c r="DB334" s="35"/>
      <c r="DC334" s="35"/>
      <c r="DD334" s="31"/>
      <c r="DE334" s="31"/>
      <c r="DF334" s="35"/>
      <c r="DG334" s="35"/>
      <c r="DH334" s="31"/>
      <c r="DI334" s="31"/>
      <c r="DJ334" s="31"/>
      <c r="DK334" s="31"/>
      <c r="DL334" s="35"/>
      <c r="DM334" s="31"/>
      <c r="DN334" s="31"/>
      <c r="DO334" s="31"/>
      <c r="DP334" s="31"/>
      <c r="DQ334" s="4184"/>
      <c r="DR334" s="31"/>
      <c r="DS334" s="31"/>
      <c r="DT334" s="31"/>
      <c r="DU334" s="31"/>
      <c r="DV334" s="35"/>
      <c r="DW334" s="31"/>
      <c r="DX334" s="31"/>
      <c r="DY334" s="31"/>
      <c r="DZ334" s="31"/>
      <c r="EA334" s="35"/>
      <c r="EB334" s="31"/>
      <c r="EC334" s="31"/>
      <c r="ED334" s="31"/>
      <c r="EE334" s="31"/>
      <c r="EF334" s="35"/>
      <c r="EG334" s="31"/>
      <c r="EH334" s="31"/>
      <c r="EI334" s="31"/>
      <c r="EJ334" s="31"/>
      <c r="EK334" s="35"/>
      <c r="EL334" s="31"/>
      <c r="EM334" s="31"/>
      <c r="EN334" s="31"/>
      <c r="EO334" s="31"/>
      <c r="EP334" s="35"/>
      <c r="EQ334" s="31"/>
      <c r="ER334" s="31"/>
      <c r="ES334" s="31"/>
      <c r="ET334" s="31"/>
      <c r="EU334" s="35"/>
      <c r="EV334" s="35"/>
      <c r="EW334" s="35"/>
      <c r="EX334" s="35"/>
      <c r="EY334" s="35"/>
      <c r="EZ334" s="129"/>
    </row>
    <row r="335" spans="1:168" ht="11.25" hidden="1" customHeight="1">
      <c r="A335" s="3796" t="s">
        <v>665</v>
      </c>
      <c r="B335" s="2524"/>
      <c r="C335" s="2524"/>
      <c r="D335" s="2524"/>
      <c r="E335" s="2524"/>
      <c r="F335" s="2524"/>
      <c r="G335" s="2524"/>
      <c r="H335" s="2524"/>
      <c r="I335" s="2524"/>
      <c r="J335" s="2524"/>
      <c r="K335" s="2524"/>
      <c r="L335" s="2524"/>
      <c r="M335" s="2524"/>
      <c r="N335" s="2524"/>
      <c r="O335" s="2524"/>
      <c r="P335" s="2524"/>
      <c r="Q335" s="2524"/>
      <c r="R335" s="2524"/>
      <c r="S335" s="2524"/>
      <c r="T335" s="2524"/>
      <c r="U335" s="2524"/>
      <c r="V335" s="2524"/>
      <c r="W335" s="2524"/>
      <c r="X335" s="2524"/>
      <c r="Y335" s="2524"/>
      <c r="Z335" s="2524"/>
      <c r="AA335" s="2524"/>
      <c r="AB335" s="2524"/>
      <c r="AC335" s="2524"/>
      <c r="AD335" s="2524"/>
      <c r="AE335" s="2524"/>
      <c r="AF335" s="2524"/>
      <c r="AG335" s="2524"/>
      <c r="AH335" s="2524"/>
      <c r="AI335" s="2524"/>
      <c r="AJ335" s="2524"/>
      <c r="AK335" s="2524"/>
      <c r="AL335" s="2524"/>
      <c r="AM335" s="2524"/>
      <c r="AN335" s="2524"/>
      <c r="AO335" s="2524"/>
      <c r="AP335" s="2524"/>
      <c r="AQ335" s="2524"/>
      <c r="AR335" s="2524"/>
      <c r="AS335" s="2524"/>
      <c r="AT335" s="1114"/>
      <c r="AU335" s="2524"/>
      <c r="AV335" s="2524"/>
      <c r="AW335" s="2524"/>
      <c r="AX335" s="2524"/>
      <c r="AY335" s="2524"/>
      <c r="AZ335" s="2524"/>
      <c r="BA335" s="2524"/>
      <c r="BB335" s="2524"/>
      <c r="BC335" s="2524"/>
      <c r="BD335" s="2524"/>
      <c r="BE335" s="2524"/>
      <c r="BF335" s="2524"/>
      <c r="BG335" s="2524"/>
      <c r="BH335" s="2524"/>
      <c r="BI335" s="2524"/>
      <c r="BJ335" s="2524"/>
      <c r="BK335" s="2524"/>
      <c r="BL335" s="2524"/>
      <c r="BM335" s="2524"/>
      <c r="BN335" s="2524"/>
      <c r="BO335" s="2524"/>
      <c r="BP335" s="2524"/>
      <c r="BQ335" s="2524"/>
      <c r="BR335" s="2524"/>
      <c r="BS335" s="2524"/>
      <c r="BT335" s="2524"/>
      <c r="BU335" s="2524"/>
      <c r="BV335" s="2524"/>
      <c r="BW335" s="2524"/>
      <c r="BX335" s="2524"/>
      <c r="BY335" s="2524"/>
      <c r="BZ335" s="2524"/>
      <c r="CA335" s="2524"/>
      <c r="CB335" s="2524"/>
      <c r="CC335" s="2524"/>
      <c r="CD335" s="2524"/>
      <c r="CE335" s="2524"/>
      <c r="CF335" s="2524"/>
      <c r="CG335" s="2524"/>
      <c r="CH335" s="2524"/>
      <c r="CI335" s="2525"/>
      <c r="CJ335" s="2525"/>
      <c r="CK335" s="2525"/>
      <c r="CL335" s="2525"/>
      <c r="CM335" s="2524"/>
      <c r="CN335" s="2525"/>
      <c r="CO335" s="2525"/>
      <c r="CP335" s="2525"/>
      <c r="CQ335" s="2525"/>
      <c r="CR335" s="2524"/>
      <c r="CS335" s="2524"/>
      <c r="CT335" s="2524"/>
      <c r="CU335" s="2524"/>
      <c r="CV335" s="2524"/>
      <c r="CW335" s="2524"/>
      <c r="CX335" s="2524"/>
      <c r="CY335" s="2525"/>
      <c r="CZ335" s="2525"/>
      <c r="DA335" s="2524"/>
      <c r="DB335" s="2524"/>
      <c r="DC335" s="2524"/>
      <c r="DD335" s="2525"/>
      <c r="DE335" s="2525"/>
      <c r="DF335" s="2524"/>
      <c r="DG335" s="2524"/>
      <c r="DH335" s="2525"/>
      <c r="DI335" s="2525"/>
      <c r="DJ335" s="2525"/>
      <c r="DK335" s="2525"/>
      <c r="DL335" s="2524"/>
      <c r="DM335" s="2525"/>
      <c r="DN335" s="2525"/>
      <c r="DO335" s="2525"/>
      <c r="DP335" s="2525"/>
      <c r="DQ335" s="2524"/>
      <c r="DR335" s="2525"/>
      <c r="DS335" s="2525"/>
      <c r="DT335" s="2525"/>
      <c r="DU335" s="2525"/>
      <c r="DV335" s="2524"/>
      <c r="DW335" s="2525"/>
      <c r="DX335" s="2525"/>
      <c r="DY335" s="2525"/>
      <c r="DZ335" s="2525"/>
      <c r="EA335" s="2524"/>
      <c r="EB335" s="2525"/>
      <c r="EC335" s="2525"/>
      <c r="ED335" s="2525"/>
      <c r="EE335" s="2525"/>
      <c r="EF335" s="2524"/>
      <c r="EG335" s="2525"/>
      <c r="EH335" s="2525"/>
      <c r="EI335" s="2525"/>
      <c r="EJ335" s="2525"/>
      <c r="EK335" s="2524"/>
      <c r="EL335" s="2525"/>
      <c r="EM335" s="2525"/>
      <c r="EN335" s="2525"/>
      <c r="EO335" s="2525"/>
      <c r="EP335" s="2524"/>
      <c r="EQ335" s="2525"/>
      <c r="ER335" s="2525"/>
      <c r="ES335" s="2525"/>
      <c r="ET335" s="2525"/>
      <c r="EU335" s="2524"/>
      <c r="EV335" s="2524"/>
      <c r="EW335" s="2524"/>
      <c r="EX335" s="2524"/>
      <c r="EY335" s="2524"/>
      <c r="EZ335" s="129"/>
      <c r="FA335" s="713"/>
      <c r="FB335" s="713"/>
      <c r="FC335" s="713"/>
      <c r="FD335" s="713"/>
      <c r="FE335" s="713"/>
      <c r="FF335" s="713"/>
      <c r="FG335" s="713"/>
      <c r="FH335" s="713"/>
      <c r="FI335" s="713"/>
      <c r="FJ335" s="713"/>
      <c r="FK335" s="713"/>
      <c r="FL335" s="713"/>
    </row>
    <row r="336" spans="1:168" s="4" customFormat="1" ht="11.25" hidden="1" customHeight="1">
      <c r="A336" s="3797" t="s">
        <v>626</v>
      </c>
      <c r="B336" s="2211" t="str">
        <f t="shared" ref="B336:AG336" si="1599">B6</f>
        <v>3/99A</v>
      </c>
      <c r="C336" s="2211" t="str">
        <f t="shared" si="1599"/>
        <v>6/99A</v>
      </c>
      <c r="D336" s="2211" t="str">
        <f t="shared" si="1599"/>
        <v>9/99A</v>
      </c>
      <c r="E336" s="2211" t="str">
        <f t="shared" si="1599"/>
        <v>12/99A</v>
      </c>
      <c r="F336" s="2211" t="str">
        <f t="shared" si="1599"/>
        <v>1999A</v>
      </c>
      <c r="G336" s="2211" t="str">
        <f t="shared" si="1599"/>
        <v>3/00A</v>
      </c>
      <c r="H336" s="2211" t="str">
        <f t="shared" si="1599"/>
        <v>6/00A</v>
      </c>
      <c r="I336" s="2211" t="str">
        <f t="shared" si="1599"/>
        <v>9/00A</v>
      </c>
      <c r="J336" s="2211" t="str">
        <f t="shared" si="1599"/>
        <v>12/00A</v>
      </c>
      <c r="K336" s="2211" t="str">
        <f t="shared" si="1599"/>
        <v>2000A</v>
      </c>
      <c r="L336" s="2211" t="str">
        <f t="shared" si="1599"/>
        <v>3/01A</v>
      </c>
      <c r="M336" s="2211" t="str">
        <f t="shared" si="1599"/>
        <v>6/01A</v>
      </c>
      <c r="N336" s="2211" t="str">
        <f t="shared" si="1599"/>
        <v>9/01A</v>
      </c>
      <c r="O336" s="2211" t="str">
        <f t="shared" si="1599"/>
        <v>12/01A</v>
      </c>
      <c r="P336" s="2211" t="str">
        <f t="shared" si="1599"/>
        <v>2001A</v>
      </c>
      <c r="Q336" s="2211" t="str">
        <f t="shared" si="1599"/>
        <v>3/02A</v>
      </c>
      <c r="R336" s="2211" t="str">
        <f t="shared" si="1599"/>
        <v>6/02A</v>
      </c>
      <c r="S336" s="2211" t="str">
        <f t="shared" si="1599"/>
        <v>9/02A</v>
      </c>
      <c r="T336" s="2211" t="str">
        <f t="shared" si="1599"/>
        <v>12/02A</v>
      </c>
      <c r="U336" s="2211" t="str">
        <f t="shared" si="1599"/>
        <v>2002A</v>
      </c>
      <c r="V336" s="2211" t="str">
        <f t="shared" si="1599"/>
        <v>3/03A</v>
      </c>
      <c r="W336" s="2211" t="str">
        <f t="shared" si="1599"/>
        <v>6/03A</v>
      </c>
      <c r="X336" s="2211" t="str">
        <f t="shared" si="1599"/>
        <v>9/03A</v>
      </c>
      <c r="Y336" s="2211" t="str">
        <f t="shared" si="1599"/>
        <v>12/03A</v>
      </c>
      <c r="Z336" s="2211" t="str">
        <f t="shared" si="1599"/>
        <v>2003A</v>
      </c>
      <c r="AA336" s="2211" t="str">
        <f t="shared" si="1599"/>
        <v>3/04A</v>
      </c>
      <c r="AB336" s="2211" t="str">
        <f t="shared" si="1599"/>
        <v>6/04A</v>
      </c>
      <c r="AC336" s="2211" t="str">
        <f t="shared" si="1599"/>
        <v>9/04A</v>
      </c>
      <c r="AD336" s="2211" t="str">
        <f t="shared" si="1599"/>
        <v>12/04A</v>
      </c>
      <c r="AE336" s="2211" t="str">
        <f t="shared" si="1599"/>
        <v>2004A</v>
      </c>
      <c r="AF336" s="2211" t="str">
        <f t="shared" si="1599"/>
        <v>3/05A</v>
      </c>
      <c r="AG336" s="2211" t="str">
        <f t="shared" si="1599"/>
        <v>6/05A</v>
      </c>
      <c r="AH336" s="2211" t="str">
        <f t="shared" ref="AH336:BM336" si="1600">AH6</f>
        <v>9/05A</v>
      </c>
      <c r="AI336" s="2211" t="str">
        <f t="shared" si="1600"/>
        <v>12/05A</v>
      </c>
      <c r="AJ336" s="2211" t="str">
        <f t="shared" si="1600"/>
        <v>2005A</v>
      </c>
      <c r="AK336" s="2211" t="str">
        <f t="shared" si="1600"/>
        <v>3/06A</v>
      </c>
      <c r="AL336" s="2211" t="str">
        <f t="shared" si="1600"/>
        <v>6/06A</v>
      </c>
      <c r="AM336" s="2211" t="str">
        <f t="shared" si="1600"/>
        <v>9/06A</v>
      </c>
      <c r="AN336" s="2211" t="str">
        <f t="shared" si="1600"/>
        <v>12/06A</v>
      </c>
      <c r="AO336" s="2211" t="str">
        <f t="shared" si="1600"/>
        <v>2006A</v>
      </c>
      <c r="AP336" s="2211" t="str">
        <f t="shared" si="1600"/>
        <v>3/07A</v>
      </c>
      <c r="AQ336" s="2211" t="str">
        <f t="shared" si="1600"/>
        <v>6/07A</v>
      </c>
      <c r="AR336" s="2211" t="str">
        <f t="shared" si="1600"/>
        <v>9/07A</v>
      </c>
      <c r="AS336" s="2211" t="str">
        <f t="shared" si="1600"/>
        <v>12/07A</v>
      </c>
      <c r="AT336" s="2211" t="str">
        <f t="shared" si="1600"/>
        <v>2007A</v>
      </c>
      <c r="AU336" s="2211" t="str">
        <f t="shared" si="1600"/>
        <v>3/08A</v>
      </c>
      <c r="AV336" s="2211" t="str">
        <f t="shared" si="1600"/>
        <v>6/08A</v>
      </c>
      <c r="AW336" s="2211" t="str">
        <f t="shared" si="1600"/>
        <v>9/08A</v>
      </c>
      <c r="AX336" s="2211" t="str">
        <f t="shared" si="1600"/>
        <v>12/08A</v>
      </c>
      <c r="AY336" s="2211" t="str">
        <f t="shared" si="1600"/>
        <v>2008A</v>
      </c>
      <c r="AZ336" s="2211" t="str">
        <f t="shared" si="1600"/>
        <v>3/09A</v>
      </c>
      <c r="BA336" s="2211" t="str">
        <f t="shared" si="1600"/>
        <v>6/09A</v>
      </c>
      <c r="BB336" s="2211" t="str">
        <f t="shared" si="1600"/>
        <v>9/09A</v>
      </c>
      <c r="BC336" s="2211" t="str">
        <f t="shared" si="1600"/>
        <v>12/09A</v>
      </c>
      <c r="BD336" s="2211" t="str">
        <f t="shared" si="1600"/>
        <v>2009A</v>
      </c>
      <c r="BE336" s="2211" t="str">
        <f t="shared" si="1600"/>
        <v>3/10A</v>
      </c>
      <c r="BF336" s="2211" t="str">
        <f t="shared" si="1600"/>
        <v>6/10A</v>
      </c>
      <c r="BG336" s="2211" t="str">
        <f t="shared" si="1600"/>
        <v>9/10A</v>
      </c>
      <c r="BH336" s="2211" t="str">
        <f t="shared" si="1600"/>
        <v>12/10A</v>
      </c>
      <c r="BI336" s="2211" t="str">
        <f t="shared" si="1600"/>
        <v>2010A</v>
      </c>
      <c r="BJ336" s="2211" t="str">
        <f t="shared" si="1600"/>
        <v>3/11A</v>
      </c>
      <c r="BK336" s="2211" t="str">
        <f t="shared" si="1600"/>
        <v>6/11A</v>
      </c>
      <c r="BL336" s="2211" t="str">
        <f t="shared" si="1600"/>
        <v>9/11A</v>
      </c>
      <c r="BM336" s="2211" t="str">
        <f t="shared" si="1600"/>
        <v>12/11A</v>
      </c>
      <c r="BN336" s="2211" t="str">
        <f t="shared" ref="BN336:CS336" si="1601">BN6</f>
        <v>2011A</v>
      </c>
      <c r="BO336" s="2212" t="str">
        <f t="shared" si="1601"/>
        <v>3/12A</v>
      </c>
      <c r="BP336" s="2212" t="str">
        <f t="shared" si="1601"/>
        <v>6/12A</v>
      </c>
      <c r="BQ336" s="2212" t="str">
        <f t="shared" si="1601"/>
        <v>9/12A</v>
      </c>
      <c r="BR336" s="2212" t="str">
        <f t="shared" si="1601"/>
        <v>12/12A</v>
      </c>
      <c r="BS336" s="2212" t="str">
        <f t="shared" si="1601"/>
        <v>2012A</v>
      </c>
      <c r="BT336" s="2211" t="str">
        <f t="shared" si="1601"/>
        <v>3/12A</v>
      </c>
      <c r="BU336" s="2211" t="str">
        <f t="shared" si="1601"/>
        <v>6/12A</v>
      </c>
      <c r="BV336" s="2211" t="str">
        <f t="shared" si="1601"/>
        <v>9/12A</v>
      </c>
      <c r="BW336" s="2211" t="str">
        <f t="shared" si="1601"/>
        <v>12/12A</v>
      </c>
      <c r="BX336" s="2211" t="str">
        <f t="shared" si="1601"/>
        <v>2012A</v>
      </c>
      <c r="BY336" s="2212" t="str">
        <f t="shared" si="1601"/>
        <v>3/13A</v>
      </c>
      <c r="BZ336" s="2212" t="str">
        <f t="shared" si="1601"/>
        <v>6/13A</v>
      </c>
      <c r="CA336" s="2212" t="str">
        <f t="shared" si="1601"/>
        <v>9/13A</v>
      </c>
      <c r="CB336" s="2212" t="str">
        <f t="shared" si="1601"/>
        <v>12/13A</v>
      </c>
      <c r="CC336" s="2212" t="str">
        <f t="shared" si="1601"/>
        <v>2013A</v>
      </c>
      <c r="CD336" s="2211" t="str">
        <f t="shared" si="1601"/>
        <v>3/13A</v>
      </c>
      <c r="CE336" s="2211" t="str">
        <f t="shared" si="1601"/>
        <v>6/13A</v>
      </c>
      <c r="CF336" s="2211" t="str">
        <f t="shared" si="1601"/>
        <v>9/13A</v>
      </c>
      <c r="CG336" s="2211" t="str">
        <f t="shared" si="1601"/>
        <v>12/13A</v>
      </c>
      <c r="CH336" s="2213" t="str">
        <f t="shared" si="1601"/>
        <v>2013A</v>
      </c>
      <c r="CI336" s="2213" t="str">
        <f t="shared" si="1601"/>
        <v>3/14A</v>
      </c>
      <c r="CJ336" s="2213" t="str">
        <f t="shared" si="1601"/>
        <v>6/14A</v>
      </c>
      <c r="CK336" s="2213" t="str">
        <f t="shared" si="1601"/>
        <v>9/14A</v>
      </c>
      <c r="CL336" s="2213" t="str">
        <f t="shared" si="1601"/>
        <v>12/14A</v>
      </c>
      <c r="CM336" s="2213" t="str">
        <f t="shared" si="1601"/>
        <v>2014A</v>
      </c>
      <c r="CN336" s="2213" t="str">
        <f t="shared" si="1601"/>
        <v>3/15A</v>
      </c>
      <c r="CO336" s="2213" t="str">
        <f t="shared" si="1601"/>
        <v>6/15A</v>
      </c>
      <c r="CP336" s="2213" t="str">
        <f t="shared" si="1601"/>
        <v>9/15A</v>
      </c>
      <c r="CQ336" s="2213" t="str">
        <f t="shared" si="1601"/>
        <v>12/15A</v>
      </c>
      <c r="CR336" s="2213" t="str">
        <f t="shared" si="1601"/>
        <v>2015A</v>
      </c>
      <c r="CS336" s="2213" t="str">
        <f t="shared" si="1601"/>
        <v>3/16A</v>
      </c>
      <c r="CT336" s="2213" t="str">
        <f t="shared" ref="CT336:DB336" si="1602">CT6</f>
        <v>6/16A</v>
      </c>
      <c r="CU336" s="2213" t="str">
        <f t="shared" si="1602"/>
        <v>9/16A</v>
      </c>
      <c r="CV336" s="2213" t="str">
        <f t="shared" si="1602"/>
        <v>12/16A</v>
      </c>
      <c r="CW336" s="2213" t="str">
        <f t="shared" si="1602"/>
        <v>2016A</v>
      </c>
      <c r="CX336" s="2214" t="str">
        <f t="shared" si="1602"/>
        <v>3/17A</v>
      </c>
      <c r="CY336" s="2214" t="str">
        <f t="shared" si="1602"/>
        <v>6/17A</v>
      </c>
      <c r="CZ336" s="2214" t="str">
        <f t="shared" si="1602"/>
        <v>9/17A</v>
      </c>
      <c r="DA336" s="2214" t="str">
        <f t="shared" si="1602"/>
        <v>12/17A</v>
      </c>
      <c r="DB336" s="2213" t="str">
        <f t="shared" si="1602"/>
        <v>2017A</v>
      </c>
      <c r="DC336" s="2214"/>
      <c r="DD336" s="2214"/>
      <c r="DE336" s="2214"/>
      <c r="DF336" s="2214"/>
      <c r="DG336" s="2213" t="str">
        <f>DG6</f>
        <v>2018A</v>
      </c>
      <c r="DH336" s="3971"/>
      <c r="DI336" s="3971"/>
      <c r="DJ336" s="3971"/>
      <c r="DK336" s="3971"/>
      <c r="DL336" s="2213" t="str">
        <f>DL6</f>
        <v>2019A</v>
      </c>
      <c r="DM336" s="3971"/>
      <c r="DN336" s="3971"/>
      <c r="DO336" s="3971"/>
      <c r="DP336" s="3971"/>
      <c r="DQ336" s="2213" t="str">
        <f>DQ6</f>
        <v>2020A</v>
      </c>
      <c r="DR336" s="3971"/>
      <c r="DS336" s="3971"/>
      <c r="DT336" s="3971"/>
      <c r="DU336" s="3971"/>
      <c r="DV336" s="2213" t="str">
        <f>DV6</f>
        <v>2021A</v>
      </c>
      <c r="DW336" s="3971"/>
      <c r="DX336" s="3971"/>
      <c r="DY336" s="3971"/>
      <c r="DZ336" s="3971"/>
      <c r="EA336" s="2213" t="str">
        <f>EA6</f>
        <v>2022A</v>
      </c>
      <c r="EB336" s="3971"/>
      <c r="EC336" s="3971"/>
      <c r="ED336" s="3971"/>
      <c r="EE336" s="3971"/>
      <c r="EF336" s="2213" t="str">
        <f>EF6</f>
        <v>2023A</v>
      </c>
      <c r="EG336" s="3971"/>
      <c r="EH336" s="3971"/>
      <c r="EI336" s="3971"/>
      <c r="EJ336" s="3971"/>
      <c r="EK336" s="2213" t="str">
        <f>EK6</f>
        <v>2024A</v>
      </c>
      <c r="EL336" s="3971"/>
      <c r="EM336" s="3971"/>
      <c r="EN336" s="3971"/>
      <c r="EO336" s="3971"/>
      <c r="EP336" s="2213" t="str">
        <f>EP6</f>
        <v>2025E</v>
      </c>
      <c r="EQ336" s="3971"/>
      <c r="ER336" s="3971"/>
      <c r="ES336" s="3971"/>
      <c r="ET336" s="3971"/>
      <c r="EU336" s="2213" t="str">
        <f>EU6</f>
        <v>2026E</v>
      </c>
      <c r="EV336" s="2213" t="str">
        <f>EV6</f>
        <v>2027E</v>
      </c>
      <c r="EW336" s="2213" t="str">
        <f>EW6</f>
        <v>2028E</v>
      </c>
      <c r="EX336" s="2213" t="str">
        <f>EX6</f>
        <v>2029E</v>
      </c>
      <c r="EY336" s="2213" t="str">
        <f>EY6</f>
        <v>2030E</v>
      </c>
      <c r="EZ336" s="174"/>
      <c r="FA336" s="713"/>
      <c r="FB336" s="713"/>
      <c r="FC336" s="713"/>
      <c r="FD336" s="713"/>
      <c r="FE336" s="713"/>
      <c r="FF336" s="713"/>
      <c r="FG336" s="713"/>
      <c r="FH336" s="713"/>
      <c r="FI336" s="713"/>
      <c r="FJ336" s="713"/>
      <c r="FK336" s="713"/>
      <c r="FL336" s="713"/>
    </row>
    <row r="337" spans="1:168" s="151" customFormat="1" ht="11.25" hidden="1" customHeight="1">
      <c r="A337" s="3798" t="s">
        <v>179</v>
      </c>
      <c r="B337" s="2165"/>
      <c r="C337" s="2165"/>
      <c r="D337" s="2165"/>
      <c r="E337" s="2165"/>
      <c r="F337" s="2166"/>
      <c r="G337" s="2165"/>
      <c r="H337" s="2165"/>
      <c r="I337" s="2165"/>
      <c r="J337" s="2165"/>
      <c r="K337" s="2166">
        <f>+K7/F7-1</f>
        <v>85.854545454545459</v>
      </c>
      <c r="L337" s="2165"/>
      <c r="M337" s="2165"/>
      <c r="N337" s="2165"/>
      <c r="O337" s="2165"/>
      <c r="P337" s="2166">
        <f>+P7/K7-1</f>
        <v>3.5230270043960648</v>
      </c>
      <c r="Q337" s="2165" t="s">
        <v>116</v>
      </c>
      <c r="R337" s="2165" t="s">
        <v>116</v>
      </c>
      <c r="S337" s="2165" t="s">
        <v>116</v>
      </c>
      <c r="T337" s="2165" t="s">
        <v>116</v>
      </c>
      <c r="U337" s="2166">
        <f t="shared" ref="U337:BN337" si="1603">+U7/P7-1</f>
        <v>4.0853678291254951</v>
      </c>
      <c r="V337" s="2165">
        <f t="shared" si="1603"/>
        <v>4.8795790469433609</v>
      </c>
      <c r="W337" s="2165">
        <f t="shared" si="1603"/>
        <v>2.9630563514804202</v>
      </c>
      <c r="X337" s="2165">
        <f t="shared" si="1603"/>
        <v>2.0120883574055526</v>
      </c>
      <c r="Y337" s="2165">
        <f t="shared" si="1603"/>
        <v>1.7256254290595012</v>
      </c>
      <c r="Z337" s="2166">
        <f t="shared" si="1603"/>
        <v>2.3353977629531197</v>
      </c>
      <c r="AA337" s="2165">
        <f t="shared" si="1603"/>
        <v>1.6209807817615784</v>
      </c>
      <c r="AB337" s="2165">
        <f t="shared" si="1603"/>
        <v>1.250045790635574</v>
      </c>
      <c r="AC337" s="2165">
        <f t="shared" si="1603"/>
        <v>1.0456996207563547</v>
      </c>
      <c r="AD337" s="2165">
        <f t="shared" si="1603"/>
        <v>1.0139620246985896</v>
      </c>
      <c r="AE337" s="2166">
        <f t="shared" si="1603"/>
        <v>1.1755570168916201</v>
      </c>
      <c r="AF337" s="2165">
        <f t="shared" si="1603"/>
        <v>0.9282867547646414</v>
      </c>
      <c r="AG337" s="2165">
        <f t="shared" si="1603"/>
        <v>0.97725117535831996</v>
      </c>
      <c r="AH337" s="2165">
        <f t="shared" si="1603"/>
        <v>0.9586567347531354</v>
      </c>
      <c r="AI337" s="2165">
        <f t="shared" si="1603"/>
        <v>0.86048583568993164</v>
      </c>
      <c r="AJ337" s="2166">
        <f t="shared" si="1603"/>
        <v>0.92478230590962118</v>
      </c>
      <c r="AK337" s="2165">
        <f t="shared" si="1603"/>
        <v>0.79365404021914565</v>
      </c>
      <c r="AL337" s="2165">
        <f t="shared" si="1603"/>
        <v>0.77392551074579563</v>
      </c>
      <c r="AM337" s="2165">
        <f t="shared" si="1603"/>
        <v>0.70398984830745981</v>
      </c>
      <c r="AN337" s="2165">
        <f t="shared" si="1603"/>
        <v>0.67031926019218457</v>
      </c>
      <c r="AO337" s="2166">
        <f t="shared" si="1603"/>
        <v>0.72759034692175373</v>
      </c>
      <c r="AP337" s="2165">
        <f t="shared" si="1603"/>
        <v>0.62571841216103774</v>
      </c>
      <c r="AQ337" s="2165">
        <f t="shared" si="1603"/>
        <v>0.57654690102691752</v>
      </c>
      <c r="AR337" s="2165">
        <f t="shared" si="1603"/>
        <v>0.57318417517668507</v>
      </c>
      <c r="AS337" s="2165">
        <f t="shared" si="1603"/>
        <v>0.50575012057408864</v>
      </c>
      <c r="AT337" s="2166">
        <f t="shared" si="1603"/>
        <v>0.56474454255511874</v>
      </c>
      <c r="AU337" s="2165">
        <f t="shared" si="1603"/>
        <v>0.41541595170922463</v>
      </c>
      <c r="AV337" s="2165">
        <f t="shared" si="1603"/>
        <v>0.386165493926242</v>
      </c>
      <c r="AW337" s="2165">
        <f t="shared" si="1603"/>
        <v>0.30960324492106661</v>
      </c>
      <c r="AX337" s="2165">
        <f t="shared" si="1603"/>
        <v>0.1811235012728214</v>
      </c>
      <c r="AY337" s="2166">
        <f t="shared" si="1603"/>
        <v>0.31346079236176294</v>
      </c>
      <c r="AZ337" s="2165">
        <f t="shared" si="1603"/>
        <v>6.2272333646288702E-2</v>
      </c>
      <c r="BA337" s="2165">
        <f t="shared" si="1603"/>
        <v>2.9006679818125214E-2</v>
      </c>
      <c r="BB337" s="2165">
        <f t="shared" si="1603"/>
        <v>7.2808433839084863E-2</v>
      </c>
      <c r="BC337" s="2165">
        <f t="shared" si="1603"/>
        <v>0.17066082852824738</v>
      </c>
      <c r="BD337" s="2166">
        <f t="shared" si="1603"/>
        <v>8.5109712762467371E-2</v>
      </c>
      <c r="BE337" s="2167">
        <f t="shared" si="1603"/>
        <v>0.22980800473408025</v>
      </c>
      <c r="BF337" s="2165">
        <f t="shared" si="1603"/>
        <v>0.2348591690194477</v>
      </c>
      <c r="BG337" s="2165">
        <f t="shared" si="1603"/>
        <v>0.22559842122199547</v>
      </c>
      <c r="BH337" s="2165">
        <f t="shared" si="1603"/>
        <v>0.26464209055526622</v>
      </c>
      <c r="BI337" s="2166">
        <f t="shared" si="1603"/>
        <v>0.23975907042889433</v>
      </c>
      <c r="BJ337" s="2165">
        <f t="shared" si="1603"/>
        <v>0.26568265682656822</v>
      </c>
      <c r="BK337" s="2165">
        <f t="shared" si="1603"/>
        <v>0.32346041055718477</v>
      </c>
      <c r="BL337" s="2165">
        <f t="shared" si="1603"/>
        <v>0.33406533077134237</v>
      </c>
      <c r="BM337" s="2165">
        <f t="shared" si="1603"/>
        <v>0.2540284360189573</v>
      </c>
      <c r="BN337" s="2166">
        <f t="shared" si="1603"/>
        <v>0.2927594556802291</v>
      </c>
      <c r="BO337" s="2165">
        <v>0.24139941690962097</v>
      </c>
      <c r="BP337" s="2165">
        <v>0.35320186128960773</v>
      </c>
      <c r="BQ337" s="2165">
        <v>0.45072016460905351</v>
      </c>
      <c r="BR337" s="2168">
        <v>0.36233938019652312</v>
      </c>
      <c r="BS337" s="2169">
        <v>0.35546761640944458</v>
      </c>
      <c r="BT337" s="2165">
        <f t="shared" ref="BT337:BX339" si="1604">+BT7/BJ7-1</f>
        <v>0.24139941690962097</v>
      </c>
      <c r="BU337" s="2165">
        <f t="shared" si="1604"/>
        <v>0.21471305118546424</v>
      </c>
      <c r="BV337" s="2165">
        <f t="shared" si="1604"/>
        <v>0.18580246913580245</v>
      </c>
      <c r="BW337" s="2165">
        <f t="shared" si="1604"/>
        <v>0.21929327286470146</v>
      </c>
      <c r="BX337" s="2166">
        <f t="shared" si="1604"/>
        <v>0.21458910433979694</v>
      </c>
      <c r="BY337" s="2165">
        <v>0.31225927665570685</v>
      </c>
      <c r="BZ337" s="2165">
        <v>0.15482233502538079</v>
      </c>
      <c r="CA337" s="2165">
        <v>5.616622934543658E-2</v>
      </c>
      <c r="CB337" s="2165">
        <v>0.16915181357930509</v>
      </c>
      <c r="CC337" s="2166">
        <v>0.16259561299363545</v>
      </c>
      <c r="CD337" s="2165">
        <f t="shared" ref="CD337:CH339" si="1605">+CD7/BT7-1</f>
        <v>0.21662752465946444</v>
      </c>
      <c r="CE337" s="2165">
        <f t="shared" si="1605"/>
        <v>0.1954578620941263</v>
      </c>
      <c r="CF337" s="2165">
        <f t="shared" si="1605"/>
        <v>0.19330209960090228</v>
      </c>
      <c r="CG337" s="2165">
        <f t="shared" si="1605"/>
        <v>0.21712514529252225</v>
      </c>
      <c r="CH337" s="2166">
        <f t="shared" si="1605"/>
        <v>0.2059123786355046</v>
      </c>
      <c r="CI337" s="2165">
        <f t="shared" ref="CI337:CX340" si="1606">+CI7/CD7-1</f>
        <v>0.19064164929349081</v>
      </c>
      <c r="CJ337" s="2165">
        <f t="shared" si="1606"/>
        <v>0.21728847180895694</v>
      </c>
      <c r="CK337" s="2165">
        <f t="shared" si="1606"/>
        <v>0.20132325141776941</v>
      </c>
      <c r="CL337" s="2165">
        <f t="shared" si="1606"/>
        <v>0.15254345196409247</v>
      </c>
      <c r="CM337" s="2166">
        <f t="shared" si="1606"/>
        <v>0.18880023055170292</v>
      </c>
      <c r="CN337" s="2165">
        <f t="shared" si="1606"/>
        <v>0.11919584954604412</v>
      </c>
      <c r="CO337" s="2165">
        <f t="shared" si="1606"/>
        <v>0.11106236289564397</v>
      </c>
      <c r="CP337" s="2165">
        <f t="shared" si="1606"/>
        <v>0.13024269200508387</v>
      </c>
      <c r="CQ337" s="2165">
        <f t="shared" si="1606"/>
        <v>0.17820250787162339</v>
      </c>
      <c r="CR337" s="2166">
        <f t="shared" si="1606"/>
        <v>0.13617975485219924</v>
      </c>
      <c r="CS337" s="2165">
        <f t="shared" si="1606"/>
        <v>0.17377448139993046</v>
      </c>
      <c r="CT337" s="2165">
        <f t="shared" si="1606"/>
        <v>0.21283917188469559</v>
      </c>
      <c r="CU337" s="2165">
        <f t="shared" si="1606"/>
        <v>0.20219544846050863</v>
      </c>
      <c r="CV337" s="2165">
        <f t="shared" si="1606"/>
        <v>0.22199821838811018</v>
      </c>
      <c r="CW337" s="2166">
        <f t="shared" si="1606"/>
        <v>0.20380322447292265</v>
      </c>
      <c r="CX337" s="2165">
        <f t="shared" si="1606"/>
        <v>0.22179987164930637</v>
      </c>
      <c r="CY337" s="2165"/>
      <c r="CZ337" s="2165"/>
      <c r="DA337" s="2165"/>
      <c r="DB337" s="2166"/>
      <c r="DC337" s="2165"/>
      <c r="DD337" s="2165"/>
      <c r="DE337" s="2165"/>
      <c r="DF337" s="2165"/>
      <c r="DG337" s="2166"/>
      <c r="DH337" s="3975"/>
      <c r="DI337" s="3975"/>
      <c r="DJ337" s="3975"/>
      <c r="DK337" s="3975"/>
      <c r="DL337" s="2166"/>
      <c r="DM337" s="3975"/>
      <c r="DN337" s="3975"/>
      <c r="DO337" s="3975"/>
      <c r="DP337" s="3975"/>
      <c r="DQ337" s="2166"/>
      <c r="DR337" s="3975"/>
      <c r="DS337" s="3975"/>
      <c r="DT337" s="3975"/>
      <c r="DU337" s="3975"/>
      <c r="DV337" s="2166"/>
      <c r="DW337" s="3975"/>
      <c r="DX337" s="3975"/>
      <c r="DY337" s="3975"/>
      <c r="DZ337" s="3975"/>
      <c r="EA337" s="2166"/>
      <c r="EB337" s="3975"/>
      <c r="EC337" s="3975"/>
      <c r="ED337" s="3975"/>
      <c r="EE337" s="3975"/>
      <c r="EF337" s="2166"/>
      <c r="EG337" s="3975"/>
      <c r="EH337" s="3975"/>
      <c r="EI337" s="3975"/>
      <c r="EJ337" s="3975"/>
      <c r="EK337" s="2166"/>
      <c r="EL337" s="3975"/>
      <c r="EM337" s="3975"/>
      <c r="EN337" s="3975"/>
      <c r="EO337" s="3975"/>
      <c r="EP337" s="2166"/>
      <c r="EQ337" s="3975"/>
      <c r="ER337" s="3975"/>
      <c r="ES337" s="3975"/>
      <c r="ET337" s="3975"/>
      <c r="EU337" s="2166"/>
      <c r="EV337" s="2166"/>
      <c r="EW337" s="2166"/>
      <c r="EX337" s="2166"/>
      <c r="EY337" s="2166"/>
      <c r="EZ337" s="624"/>
      <c r="FA337" s="719"/>
      <c r="FB337" s="719"/>
      <c r="FC337" s="719"/>
      <c r="FD337" s="719"/>
      <c r="FE337" s="719"/>
      <c r="FF337" s="719"/>
      <c r="FG337" s="719"/>
      <c r="FH337" s="719"/>
      <c r="FI337" s="719"/>
      <c r="FJ337" s="719"/>
      <c r="FK337" s="719"/>
      <c r="FL337" s="719"/>
    </row>
    <row r="338" spans="1:168" ht="11.25" hidden="1" customHeight="1">
      <c r="A338" s="3799" t="s">
        <v>176</v>
      </c>
      <c r="B338" s="1135"/>
      <c r="C338" s="1135"/>
      <c r="D338" s="1135"/>
      <c r="E338" s="1135"/>
      <c r="F338" s="1136"/>
      <c r="G338" s="1135"/>
      <c r="H338" s="1135"/>
      <c r="I338" s="1135"/>
      <c r="J338" s="1135"/>
      <c r="K338" s="1136"/>
      <c r="L338" s="1135"/>
      <c r="M338" s="1135"/>
      <c r="N338" s="1135"/>
      <c r="O338" s="1135"/>
      <c r="P338" s="1136"/>
      <c r="Q338" s="1135" t="s">
        <v>116</v>
      </c>
      <c r="R338" s="1135" t="s">
        <v>116</v>
      </c>
      <c r="S338" s="1135" t="s">
        <v>116</v>
      </c>
      <c r="T338" s="1135" t="s">
        <v>116</v>
      </c>
      <c r="U338" s="1136" t="s">
        <v>116</v>
      </c>
      <c r="V338" s="1135" t="s">
        <v>116</v>
      </c>
      <c r="W338" s="1135">
        <f t="shared" ref="W338:AF340" si="1607">+W8/R8-1</f>
        <v>5.8970714285714285</v>
      </c>
      <c r="X338" s="1135">
        <f t="shared" si="1607"/>
        <v>3.9478275862068966</v>
      </c>
      <c r="Y338" s="1135">
        <f t="shared" si="1607"/>
        <v>3.2010873786407767</v>
      </c>
      <c r="Z338" s="1136">
        <f t="shared" si="1607"/>
        <v>4.5717777777777782</v>
      </c>
      <c r="AA338" s="1135">
        <f t="shared" si="1607"/>
        <v>2.8642255208110536</v>
      </c>
      <c r="AB338" s="1135">
        <f t="shared" si="1607"/>
        <v>1.8690645097815843</v>
      </c>
      <c r="AC338" s="1135">
        <f t="shared" si="1607"/>
        <v>1.110992633478991</v>
      </c>
      <c r="AD338" s="1135">
        <f t="shared" si="1607"/>
        <v>0.74577085913956642</v>
      </c>
      <c r="AE338" s="1136">
        <f t="shared" si="1607"/>
        <v>1.3334605808182962</v>
      </c>
      <c r="AF338" s="1135">
        <f t="shared" si="1607"/>
        <v>0.70407229466941201</v>
      </c>
      <c r="AG338" s="1135">
        <f t="shared" ref="AG338:AP340" si="1608">+AG8/AB8-1</f>
        <v>0.78432972126165024</v>
      </c>
      <c r="AH338" s="1135">
        <f t="shared" si="1608"/>
        <v>0.74933641465830325</v>
      </c>
      <c r="AI338" s="1135">
        <f t="shared" si="1608"/>
        <v>0.66515138678555918</v>
      </c>
      <c r="AJ338" s="1136">
        <f t="shared" si="1608"/>
        <v>0.72136273810802809</v>
      </c>
      <c r="AK338" s="1135">
        <f t="shared" si="1608"/>
        <v>0.5650174206973908</v>
      </c>
      <c r="AL338" s="1135">
        <f t="shared" si="1608"/>
        <v>0.58836178993364618</v>
      </c>
      <c r="AM338" s="1135">
        <f t="shared" si="1608"/>
        <v>0.55747215375730819</v>
      </c>
      <c r="AN338" s="1135">
        <f t="shared" si="1608"/>
        <v>0.55120750595047863</v>
      </c>
      <c r="AO338" s="1136">
        <f t="shared" si="1608"/>
        <v>0.56447647264085732</v>
      </c>
      <c r="AP338" s="1135">
        <f t="shared" si="1608"/>
        <v>0.55662925328197277</v>
      </c>
      <c r="AQ338" s="1135">
        <f t="shared" ref="AQ338:AZ340" si="1609">+AQ8/AL8-1</f>
        <v>0.46201342657983924</v>
      </c>
      <c r="AR338" s="1135">
        <f t="shared" si="1609"/>
        <v>0.47967195951840846</v>
      </c>
      <c r="AS338" s="1135">
        <f t="shared" si="1609"/>
        <v>0.47579687951636807</v>
      </c>
      <c r="AT338" s="1136">
        <f t="shared" si="1609"/>
        <v>0.49114884442197226</v>
      </c>
      <c r="AU338" s="1135">
        <f t="shared" si="1609"/>
        <v>0.32119264163152694</v>
      </c>
      <c r="AV338" s="1135">
        <f t="shared" si="1609"/>
        <v>0.28405201439481909</v>
      </c>
      <c r="AW338" s="1135">
        <f t="shared" si="1609"/>
        <v>0.22445459905660381</v>
      </c>
      <c r="AX338" s="1135">
        <f t="shared" si="1609"/>
        <v>3.025946406966451E-2</v>
      </c>
      <c r="AY338" s="1136">
        <f t="shared" si="1609"/>
        <v>0.20370848170374667</v>
      </c>
      <c r="AZ338" s="1135">
        <f t="shared" si="1609"/>
        <v>-3.3923938901387563E-2</v>
      </c>
      <c r="BA338" s="1135">
        <f t="shared" ref="BA338:BJ340" si="1610">+BA8/AV8-1</f>
        <v>-1.3993405609302734E-2</v>
      </c>
      <c r="BB338" s="1135">
        <f t="shared" si="1610"/>
        <v>4.2810154587394678E-2</v>
      </c>
      <c r="BC338" s="1135">
        <f t="shared" si="1610"/>
        <v>0.16010980313904311</v>
      </c>
      <c r="BD338" s="1136">
        <f t="shared" si="1610"/>
        <v>3.8805499690854894E-2</v>
      </c>
      <c r="BE338" s="1698">
        <f t="shared" si="1610"/>
        <v>0.1915373687289339</v>
      </c>
      <c r="BF338" s="1135">
        <f t="shared" si="1610"/>
        <v>0.19172617270121384</v>
      </c>
      <c r="BG338" s="1135">
        <f t="shared" si="1610"/>
        <v>0.15763306687463441</v>
      </c>
      <c r="BH338" s="1135">
        <f t="shared" si="1610"/>
        <v>0.20228765879901411</v>
      </c>
      <c r="BI338" s="1136">
        <f t="shared" si="1610"/>
        <v>0.18601177161663252</v>
      </c>
      <c r="BJ338" s="1135">
        <f t="shared" si="1610"/>
        <v>0.19111630625365295</v>
      </c>
      <c r="BK338" s="1135">
        <f t="shared" ref="BK338:BT340" si="1611">+BK8/BF8-1</f>
        <v>0.21824480369515009</v>
      </c>
      <c r="BL338" s="1135">
        <f t="shared" si="1611"/>
        <v>0.22437673130193914</v>
      </c>
      <c r="BM338" s="1135">
        <f t="shared" si="1611"/>
        <v>0.18414693088448519</v>
      </c>
      <c r="BN338" s="1136">
        <f t="shared" si="1611"/>
        <v>0.20377203772037711</v>
      </c>
      <c r="BO338" s="1135">
        <v>0.23159960745829244</v>
      </c>
      <c r="BP338" s="1135">
        <v>0.23222748815165883</v>
      </c>
      <c r="BQ338" s="1135">
        <v>0.25339366515837103</v>
      </c>
      <c r="BR338" s="2170">
        <v>0.25714285714285712</v>
      </c>
      <c r="BS338" s="2171">
        <v>0.24432334241598541</v>
      </c>
      <c r="BT338" s="1135">
        <f t="shared" si="1604"/>
        <v>0.23159960745829244</v>
      </c>
      <c r="BU338" s="1135">
        <f t="shared" si="1604"/>
        <v>0.23222748815165883</v>
      </c>
      <c r="BV338" s="1135">
        <f t="shared" si="1604"/>
        <v>0.25339366515837103</v>
      </c>
      <c r="BW338" s="1135">
        <f t="shared" si="1604"/>
        <v>0.25714285714285712</v>
      </c>
      <c r="BX338" s="1136">
        <f t="shared" si="1604"/>
        <v>0.2438692098092643</v>
      </c>
      <c r="BY338" s="1135">
        <v>0.18007968127490037</v>
      </c>
      <c r="BZ338" s="1135">
        <v>0.15884615384615386</v>
      </c>
      <c r="CA338" s="1135">
        <v>7.2924187725631695E-2</v>
      </c>
      <c r="CB338" s="1135">
        <v>7.4675324675324672E-2</v>
      </c>
      <c r="CC338" s="1136">
        <v>0.11833941605839415</v>
      </c>
      <c r="CD338" s="1135">
        <f t="shared" si="1605"/>
        <v>0.18007968127490037</v>
      </c>
      <c r="CE338" s="1135">
        <f t="shared" si="1605"/>
        <v>0.15884615384615386</v>
      </c>
      <c r="CF338" s="1135">
        <f t="shared" si="1605"/>
        <v>7.2924187725631695E-2</v>
      </c>
      <c r="CG338" s="1135">
        <f t="shared" si="1605"/>
        <v>7.4675324675324672E-2</v>
      </c>
      <c r="CH338" s="1136">
        <f t="shared" si="1605"/>
        <v>0.11883899233296824</v>
      </c>
      <c r="CI338" s="1135">
        <f t="shared" si="1606"/>
        <v>9.1154625253207389E-2</v>
      </c>
      <c r="CJ338" s="1135">
        <f t="shared" si="1606"/>
        <v>9.2930633919681371E-2</v>
      </c>
      <c r="CK338" s="1135">
        <f t="shared" si="1606"/>
        <v>0.12651413189771188</v>
      </c>
      <c r="CL338" s="1135">
        <f t="shared" si="1606"/>
        <v>9.3655589123867067E-2</v>
      </c>
      <c r="CM338" s="1136">
        <f t="shared" si="1606"/>
        <v>0.10107684777288295</v>
      </c>
      <c r="CN338" s="1135">
        <f t="shared" si="1606"/>
        <v>3.4962871287128605E-2</v>
      </c>
      <c r="CO338" s="1135">
        <f t="shared" si="1606"/>
        <v>2.5508654722137925E-2</v>
      </c>
      <c r="CP338" s="1135">
        <f t="shared" si="1606"/>
        <v>6.5113500597371532E-2</v>
      </c>
      <c r="CQ338" s="1135">
        <f t="shared" si="1606"/>
        <v>0.12016574585635365</v>
      </c>
      <c r="CR338" s="1136">
        <f t="shared" si="1606"/>
        <v>6.2680595687930607E-2</v>
      </c>
      <c r="CS338" s="1135">
        <f t="shared" si="1606"/>
        <v>0.13243647234678635</v>
      </c>
      <c r="CT338" s="1135">
        <f t="shared" si="1606"/>
        <v>0.17708024874148642</v>
      </c>
      <c r="CU338" s="1135">
        <f t="shared" si="1606"/>
        <v>0.17274256870443083</v>
      </c>
      <c r="CV338" s="1135">
        <f t="shared" si="1606"/>
        <v>0.19556103575832307</v>
      </c>
      <c r="CW338" s="1136">
        <f t="shared" si="1606"/>
        <v>0.17081503172279167</v>
      </c>
      <c r="CX338" s="1135">
        <f t="shared" si="1606"/>
        <v>0.22201689545934533</v>
      </c>
      <c r="CY338" s="1135"/>
      <c r="CZ338" s="1135"/>
      <c r="DA338" s="1135"/>
      <c r="DB338" s="1136"/>
      <c r="DC338" s="2660"/>
      <c r="DD338" s="2660"/>
      <c r="DE338" s="2660"/>
      <c r="DF338" s="2660"/>
      <c r="DG338" s="1136"/>
      <c r="DH338" s="2660"/>
      <c r="DI338" s="2660"/>
      <c r="DJ338" s="2660"/>
      <c r="DK338" s="2660"/>
      <c r="DL338" s="1136"/>
      <c r="DM338" s="2660"/>
      <c r="DN338" s="2660"/>
      <c r="DO338" s="2660"/>
      <c r="DP338" s="2660"/>
      <c r="DQ338" s="1136"/>
      <c r="DR338" s="2660"/>
      <c r="DS338" s="2660"/>
      <c r="DT338" s="2660"/>
      <c r="DU338" s="2660"/>
      <c r="DV338" s="1136"/>
      <c r="DW338" s="2660"/>
      <c r="DX338" s="2660"/>
      <c r="DY338" s="2660"/>
      <c r="DZ338" s="2660"/>
      <c r="EA338" s="1136"/>
      <c r="EB338" s="2660"/>
      <c r="EC338" s="2660"/>
      <c r="ED338" s="2660"/>
      <c r="EE338" s="2660"/>
      <c r="EF338" s="2597"/>
      <c r="EG338" s="2660"/>
      <c r="EH338" s="2660"/>
      <c r="EI338" s="2660"/>
      <c r="EJ338" s="2660"/>
      <c r="EK338" s="2597"/>
      <c r="EL338" s="2660"/>
      <c r="EM338" s="2660"/>
      <c r="EN338" s="2660"/>
      <c r="EO338" s="2660"/>
      <c r="EP338" s="2597"/>
      <c r="EQ338" s="2660"/>
      <c r="ER338" s="2660"/>
      <c r="ES338" s="2660"/>
      <c r="ET338" s="2660"/>
      <c r="EU338" s="2597"/>
      <c r="EV338" s="2597"/>
      <c r="EW338" s="2597"/>
      <c r="EX338" s="2597"/>
      <c r="EY338" s="2597"/>
      <c r="EZ338" s="169"/>
      <c r="FA338" s="715"/>
      <c r="FB338" s="715"/>
      <c r="FC338" s="715"/>
      <c r="FD338" s="715"/>
      <c r="FE338" s="715"/>
      <c r="FF338" s="715"/>
      <c r="FG338" s="715"/>
      <c r="FH338" s="715"/>
      <c r="FI338" s="715"/>
      <c r="FJ338" s="715"/>
      <c r="FK338" s="715"/>
      <c r="FL338" s="715"/>
    </row>
    <row r="339" spans="1:168" s="151" customFormat="1" ht="11.25" hidden="1" customHeight="1">
      <c r="A339" s="3800" t="s">
        <v>228</v>
      </c>
      <c r="B339" s="2172"/>
      <c r="C339" s="2172"/>
      <c r="D339" s="2172"/>
      <c r="E339" s="2172"/>
      <c r="F339" s="2173"/>
      <c r="G339" s="2172"/>
      <c r="H339" s="2172"/>
      <c r="I339" s="2172"/>
      <c r="J339" s="2172"/>
      <c r="K339" s="2173">
        <f>+K9/F9-1</f>
        <v>85.854545454545459</v>
      </c>
      <c r="L339" s="2172"/>
      <c r="M339" s="2172"/>
      <c r="N339" s="2172"/>
      <c r="O339" s="2172"/>
      <c r="P339" s="2173">
        <f>+P9/K9-1</f>
        <v>3.5230270043960648</v>
      </c>
      <c r="Q339" s="2172" t="s">
        <v>116</v>
      </c>
      <c r="R339" s="2172" t="s">
        <v>116</v>
      </c>
      <c r="S339" s="2172" t="s">
        <v>116</v>
      </c>
      <c r="T339" s="2172" t="s">
        <v>116</v>
      </c>
      <c r="U339" s="2173">
        <f>+U9/P9-1</f>
        <v>2.9919468678406966</v>
      </c>
      <c r="V339" s="2172">
        <f>+V9/Q9-1</f>
        <v>3.2210476528319738</v>
      </c>
      <c r="W339" s="2172">
        <f t="shared" si="1607"/>
        <v>2.3264626113909337</v>
      </c>
      <c r="X339" s="2172">
        <f t="shared" si="1607"/>
        <v>1.4605794453122698</v>
      </c>
      <c r="Y339" s="2172">
        <f t="shared" si="1607"/>
        <v>1.1685861110907476</v>
      </c>
      <c r="Z339" s="2173">
        <f t="shared" si="1607"/>
        <v>1.7228383109956864</v>
      </c>
      <c r="AA339" s="2172">
        <f t="shared" si="1607"/>
        <v>1.1324858393048234</v>
      </c>
      <c r="AB339" s="2172">
        <f t="shared" si="1607"/>
        <v>0.97157100260901963</v>
      </c>
      <c r="AC339" s="2172">
        <f t="shared" si="1607"/>
        <v>1.0082929069094244</v>
      </c>
      <c r="AD339" s="2172">
        <f t="shared" si="1607"/>
        <v>1.210111588505133</v>
      </c>
      <c r="AE339" s="2173">
        <f t="shared" si="1607"/>
        <v>1.087052281187693</v>
      </c>
      <c r="AF339" s="2172">
        <f t="shared" si="1607"/>
        <v>1.0879273608129871</v>
      </c>
      <c r="AG339" s="2172">
        <f t="shared" si="1608"/>
        <v>1.1035474433926149</v>
      </c>
      <c r="AH339" s="2172">
        <f t="shared" si="1608"/>
        <v>1.0847099428017026</v>
      </c>
      <c r="AI339" s="2172">
        <f t="shared" si="1608"/>
        <v>0.97333406751066498</v>
      </c>
      <c r="AJ339" s="2173">
        <f t="shared" si="1608"/>
        <v>1.0522600721521549</v>
      </c>
      <c r="AK339" s="2172">
        <f t="shared" si="1608"/>
        <v>0.92651524016967235</v>
      </c>
      <c r="AL339" s="2172">
        <f t="shared" si="1608"/>
        <v>0.87697025865700562</v>
      </c>
      <c r="AM339" s="2172">
        <f t="shared" si="1608"/>
        <v>0.77802880461423118</v>
      </c>
      <c r="AN339" s="2172">
        <f t="shared" si="1608"/>
        <v>0.72838549256211671</v>
      </c>
      <c r="AO339" s="2173">
        <f t="shared" si="1608"/>
        <v>0.81332820362171576</v>
      </c>
      <c r="AP339" s="2172">
        <f t="shared" si="1608"/>
        <v>0.6583327835905366</v>
      </c>
      <c r="AQ339" s="2172">
        <f t="shared" si="1609"/>
        <v>0.63036858283777208</v>
      </c>
      <c r="AR339" s="2172">
        <f t="shared" si="1609"/>
        <v>0.61457652264068696</v>
      </c>
      <c r="AS339" s="2172">
        <f t="shared" si="1609"/>
        <v>0.51885527472330328</v>
      </c>
      <c r="AT339" s="2173">
        <f t="shared" si="1609"/>
        <v>0.59811996480330687</v>
      </c>
      <c r="AU339" s="2172">
        <f t="shared" si="1609"/>
        <v>0.45716734431193462</v>
      </c>
      <c r="AV339" s="2172">
        <f t="shared" si="1609"/>
        <v>0.42919570407830632</v>
      </c>
      <c r="AW339" s="2172">
        <f t="shared" si="1609"/>
        <v>0.34414435304134461</v>
      </c>
      <c r="AX339" s="2172">
        <f t="shared" si="1609"/>
        <v>0.24525837315629673</v>
      </c>
      <c r="AY339" s="2173">
        <f t="shared" si="1609"/>
        <v>0.35990158580877507</v>
      </c>
      <c r="AZ339" s="2172">
        <f t="shared" si="1609"/>
        <v>0.10092038212170373</v>
      </c>
      <c r="BA339" s="2172">
        <f t="shared" si="1610"/>
        <v>4.5286538279763144E-2</v>
      </c>
      <c r="BB339" s="2172">
        <f t="shared" si="1610"/>
        <v>8.3893840741340542E-2</v>
      </c>
      <c r="BC339" s="2172">
        <f t="shared" si="1610"/>
        <v>0.17437182307525578</v>
      </c>
      <c r="BD339" s="2173">
        <f t="shared" si="1610"/>
        <v>0.1024525563427916</v>
      </c>
      <c r="BE339" s="2174">
        <f t="shared" si="1610"/>
        <v>0.24330044217695423</v>
      </c>
      <c r="BF339" s="2172">
        <f t="shared" si="1610"/>
        <v>0.2502632359456578</v>
      </c>
      <c r="BG339" s="2172">
        <f t="shared" si="1610"/>
        <v>0.24976200709817387</v>
      </c>
      <c r="BH339" s="2172">
        <f t="shared" si="1610"/>
        <v>0.28630697854344644</v>
      </c>
      <c r="BI339" s="2173">
        <f t="shared" si="1610"/>
        <v>0.25872747366062443</v>
      </c>
      <c r="BJ339" s="2172">
        <f t="shared" si="1610"/>
        <v>0.29087677725118488</v>
      </c>
      <c r="BK339" s="2172">
        <f t="shared" si="1611"/>
        <v>0.35927672955974832</v>
      </c>
      <c r="BL339" s="2172">
        <f t="shared" si="1611"/>
        <v>0.37018792191205985</v>
      </c>
      <c r="BM339" s="2172">
        <f t="shared" si="1611"/>
        <v>0.27672264950557213</v>
      </c>
      <c r="BN339" s="2173">
        <f t="shared" si="1611"/>
        <v>0.32235048173059444</v>
      </c>
      <c r="BO339" s="2172">
        <v>0.24445464280250873</v>
      </c>
      <c r="BP339" s="2172">
        <v>0.39010989010989006</v>
      </c>
      <c r="BQ339" s="2172">
        <v>0.50878828229027961</v>
      </c>
      <c r="BR339" s="2175">
        <v>0.39402507991148261</v>
      </c>
      <c r="BS339" s="2176">
        <v>0.38911227961645523</v>
      </c>
      <c r="BT339" s="2172">
        <f t="shared" si="1604"/>
        <v>0.24445464280250873</v>
      </c>
      <c r="BU339" s="2172">
        <f t="shared" si="1604"/>
        <v>0.20936957779063037</v>
      </c>
      <c r="BV339" s="2172">
        <f t="shared" si="1604"/>
        <v>0.1659121171770972</v>
      </c>
      <c r="BW339" s="2172">
        <f t="shared" si="1604"/>
        <v>0.20789279567248586</v>
      </c>
      <c r="BX339" s="2173">
        <f t="shared" si="1604"/>
        <v>0.20572567618654847</v>
      </c>
      <c r="BY339" s="2172">
        <v>0.35304240934234787</v>
      </c>
      <c r="BZ339" s="2172">
        <v>0.153734137715831</v>
      </c>
      <c r="CA339" s="2172">
        <v>5.2069543729591494E-2</v>
      </c>
      <c r="CB339" s="2172">
        <v>0.19481435752711884</v>
      </c>
      <c r="CC339" s="2173">
        <v>0.17687226304460779</v>
      </c>
      <c r="CD339" s="2172">
        <f t="shared" si="1605"/>
        <v>0.22790411800860477</v>
      </c>
      <c r="CE339" s="2172">
        <f t="shared" si="1605"/>
        <v>0.20683883309421325</v>
      </c>
      <c r="CF339" s="2172">
        <f t="shared" si="1605"/>
        <v>0.23138419369575147</v>
      </c>
      <c r="CG339" s="2172">
        <f t="shared" si="1605"/>
        <v>0.2617811704834605</v>
      </c>
      <c r="CH339" s="2173">
        <f t="shared" si="1605"/>
        <v>0.23310435253541595</v>
      </c>
      <c r="CI339" s="2172">
        <f t="shared" si="1606"/>
        <v>0.22014215637200918</v>
      </c>
      <c r="CJ339" s="2172">
        <f t="shared" si="1606"/>
        <v>0.25440855954032093</v>
      </c>
      <c r="CK339" s="2172">
        <f t="shared" si="1606"/>
        <v>0.22194398070858834</v>
      </c>
      <c r="CL339" s="2172">
        <f t="shared" si="1606"/>
        <v>0.16826651609260312</v>
      </c>
      <c r="CM339" s="2173">
        <f t="shared" si="1606"/>
        <v>0.21365664224127978</v>
      </c>
      <c r="CN339" s="2172">
        <f t="shared" si="1606"/>
        <v>0.14153265507056112</v>
      </c>
      <c r="CO339" s="2172">
        <f t="shared" si="1606"/>
        <v>0.13331227294266301</v>
      </c>
      <c r="CP339" s="2172">
        <f t="shared" si="1606"/>
        <v>0.14679316888045535</v>
      </c>
      <c r="CQ339" s="2172">
        <f t="shared" si="1606"/>
        <v>0.19270869295035564</v>
      </c>
      <c r="CR339" s="2173">
        <f t="shared" si="1606"/>
        <v>0.15507389913149483</v>
      </c>
      <c r="CS339" s="2172">
        <f t="shared" si="1606"/>
        <v>0.18371307410335658</v>
      </c>
      <c r="CT339" s="2172">
        <f t="shared" si="1606"/>
        <v>0.22125435540069693</v>
      </c>
      <c r="CU339" s="2172">
        <f t="shared" si="1606"/>
        <v>0.20914686610629429</v>
      </c>
      <c r="CV339" s="2172">
        <f t="shared" si="1606"/>
        <v>0.22820423758249397</v>
      </c>
      <c r="CW339" s="2173">
        <f t="shared" si="1606"/>
        <v>0.21160505227055371</v>
      </c>
      <c r="CX339" s="2172">
        <f t="shared" si="1606"/>
        <v>0.22174995445989443</v>
      </c>
      <c r="CY339" s="2172"/>
      <c r="CZ339" s="2172"/>
      <c r="DA339" s="2172"/>
      <c r="DB339" s="2173"/>
      <c r="DC339" s="2172"/>
      <c r="DD339" s="2172"/>
      <c r="DE339" s="2172"/>
      <c r="DF339" s="2172"/>
      <c r="DG339" s="2173"/>
      <c r="DH339" s="2172"/>
      <c r="DI339" s="2172"/>
      <c r="DJ339" s="2172"/>
      <c r="DK339" s="2172"/>
      <c r="DL339" s="2173"/>
      <c r="DM339" s="2172"/>
      <c r="DN339" s="2172"/>
      <c r="DO339" s="2172"/>
      <c r="DP339" s="2172"/>
      <c r="DQ339" s="2173"/>
      <c r="DR339" s="2172"/>
      <c r="DS339" s="2172"/>
      <c r="DT339" s="2172"/>
      <c r="DU339" s="2172"/>
      <c r="DV339" s="2173"/>
      <c r="DW339" s="2172"/>
      <c r="DX339" s="2172"/>
      <c r="DY339" s="2172"/>
      <c r="DZ339" s="2172"/>
      <c r="EA339" s="2173"/>
      <c r="EB339" s="2172"/>
      <c r="EC339" s="2172"/>
      <c r="ED339" s="2172"/>
      <c r="EE339" s="2172"/>
      <c r="EF339" s="2173"/>
      <c r="EG339" s="2172"/>
      <c r="EH339" s="2172"/>
      <c r="EI339" s="2172"/>
      <c r="EJ339" s="2172"/>
      <c r="EK339" s="2173"/>
      <c r="EL339" s="2172"/>
      <c r="EM339" s="2172"/>
      <c r="EN339" s="2172"/>
      <c r="EO339" s="2172"/>
      <c r="EP339" s="2173"/>
      <c r="EQ339" s="2172"/>
      <c r="ER339" s="2172"/>
      <c r="ES339" s="2172"/>
      <c r="ET339" s="2172"/>
      <c r="EU339" s="2173"/>
      <c r="EV339" s="2173"/>
      <c r="EW339" s="2173"/>
      <c r="EX339" s="2173"/>
      <c r="EY339" s="2173"/>
      <c r="EZ339" s="624"/>
      <c r="FA339" s="719"/>
      <c r="FB339" s="719"/>
      <c r="FC339" s="719"/>
      <c r="FD339" s="719"/>
      <c r="FE339" s="719"/>
      <c r="FF339" s="719"/>
      <c r="FG339" s="719"/>
      <c r="FH339" s="719"/>
      <c r="FI339" s="719"/>
      <c r="FJ339" s="719"/>
      <c r="FK339" s="719"/>
      <c r="FL339" s="719"/>
    </row>
    <row r="340" spans="1:168" ht="11.25" hidden="1" customHeight="1">
      <c r="A340" s="3799" t="s">
        <v>178</v>
      </c>
      <c r="B340" s="1135"/>
      <c r="C340" s="1135"/>
      <c r="D340" s="1135"/>
      <c r="E340" s="1135"/>
      <c r="F340" s="1136"/>
      <c r="G340" s="1135"/>
      <c r="H340" s="1135"/>
      <c r="I340" s="1135"/>
      <c r="J340" s="1135"/>
      <c r="K340" s="1136"/>
      <c r="L340" s="1135"/>
      <c r="M340" s="1135"/>
      <c r="N340" s="1135"/>
      <c r="O340" s="1135"/>
      <c r="P340" s="1136"/>
      <c r="Q340" s="1135" t="s">
        <v>116</v>
      </c>
      <c r="R340" s="1135" t="s">
        <v>116</v>
      </c>
      <c r="S340" s="1135" t="s">
        <v>116</v>
      </c>
      <c r="T340" s="1135" t="s">
        <v>116</v>
      </c>
      <c r="U340" s="1136">
        <f>+U10/P10-1</f>
        <v>1.6012088838909198</v>
      </c>
      <c r="V340" s="1135">
        <f>+V10/Q10-1</f>
        <v>1.9978917779339409</v>
      </c>
      <c r="W340" s="1135">
        <f t="shared" si="1607"/>
        <v>2.2530045262993599</v>
      </c>
      <c r="X340" s="1135">
        <f t="shared" si="1607"/>
        <v>1.5327621916776493</v>
      </c>
      <c r="Y340" s="1135">
        <f t="shared" si="1607"/>
        <v>1.4152844845685491</v>
      </c>
      <c r="Z340" s="1136">
        <f t="shared" si="1607"/>
        <v>1.6836260470143198</v>
      </c>
      <c r="AA340" s="1135">
        <f t="shared" si="1607"/>
        <v>1.6017346460384454</v>
      </c>
      <c r="AB340" s="1135">
        <f t="shared" si="1607"/>
        <v>1.367479128682469</v>
      </c>
      <c r="AC340" s="1135">
        <f t="shared" si="1607"/>
        <v>1.2004609151395766</v>
      </c>
      <c r="AD340" s="1135">
        <f t="shared" si="1607"/>
        <v>1.2041898470097347</v>
      </c>
      <c r="AE340" s="1136">
        <f t="shared" si="1607"/>
        <v>1.3057460154448712</v>
      </c>
      <c r="AF340" s="1135">
        <f t="shared" si="1607"/>
        <v>0.87857014145418444</v>
      </c>
      <c r="AG340" s="1135">
        <f t="shared" si="1608"/>
        <v>1.0828688973106622</v>
      </c>
      <c r="AH340" s="1135">
        <f t="shared" si="1608"/>
        <v>1.0938191523505458</v>
      </c>
      <c r="AI340" s="1135">
        <f t="shared" si="1608"/>
        <v>0.92504370916643741</v>
      </c>
      <c r="AJ340" s="1136">
        <f t="shared" si="1608"/>
        <v>0.99366837111205242</v>
      </c>
      <c r="AK340" s="1135">
        <f t="shared" si="1608"/>
        <v>1.1474562655124041</v>
      </c>
      <c r="AL340" s="1135">
        <f t="shared" si="1608"/>
        <v>0.96108975918267991</v>
      </c>
      <c r="AM340" s="1135">
        <f t="shared" si="1608"/>
        <v>0.78548954433974583</v>
      </c>
      <c r="AN340" s="1135">
        <f t="shared" si="1608"/>
        <v>1.0257853045615941</v>
      </c>
      <c r="AO340" s="1136">
        <f t="shared" si="1608"/>
        <v>0.96821064989223915</v>
      </c>
      <c r="AP340" s="1135">
        <f t="shared" si="1608"/>
        <v>0.90399218313791141</v>
      </c>
      <c r="AQ340" s="1135">
        <f t="shared" si="1609"/>
        <v>1.007844168473488</v>
      </c>
      <c r="AR340" s="1135">
        <f t="shared" si="1609"/>
        <v>0.97649504100490137</v>
      </c>
      <c r="AS340" s="1135">
        <f t="shared" si="1609"/>
        <v>0.71834043471226017</v>
      </c>
      <c r="AT340" s="1136">
        <f t="shared" si="1609"/>
        <v>0.88385327757388521</v>
      </c>
      <c r="AU340" s="1135">
        <f t="shared" si="1609"/>
        <v>0.8035043474435859</v>
      </c>
      <c r="AV340" s="1135">
        <f t="shared" si="1609"/>
        <v>0.64136373408322056</v>
      </c>
      <c r="AW340" s="1135">
        <f t="shared" si="1609"/>
        <v>0.52586254194976045</v>
      </c>
      <c r="AX340" s="1135">
        <f t="shared" si="1609"/>
        <v>0.36246361004088246</v>
      </c>
      <c r="AY340" s="1136">
        <f t="shared" si="1609"/>
        <v>0.56019769953073828</v>
      </c>
      <c r="AZ340" s="1135">
        <f t="shared" si="1609"/>
        <v>6.1793094028656625E-2</v>
      </c>
      <c r="BA340" s="1135">
        <f t="shared" si="1610"/>
        <v>-3.4938093918992164E-2</v>
      </c>
      <c r="BB340" s="1135">
        <f t="shared" si="1610"/>
        <v>-2.2925890134915305E-2</v>
      </c>
      <c r="BC340" s="1135">
        <f t="shared" si="1610"/>
        <v>-1.880568562065521E-2</v>
      </c>
      <c r="BD340" s="1136">
        <f t="shared" si="1610"/>
        <v>-5.1366511245769519E-3</v>
      </c>
      <c r="BE340" s="1698">
        <f t="shared" si="1610"/>
        <v>0.1255622068369866</v>
      </c>
      <c r="BF340" s="1135">
        <f t="shared" si="1610"/>
        <v>0.13412113412113413</v>
      </c>
      <c r="BG340" s="1135">
        <f t="shared" si="1610"/>
        <v>0.13316967030742788</v>
      </c>
      <c r="BH340" s="1135">
        <f t="shared" si="1610"/>
        <v>0.22090267556712528</v>
      </c>
      <c r="BI340" s="1136">
        <f t="shared" si="1610"/>
        <v>0.15426419368195421</v>
      </c>
      <c r="BJ340" s="1135">
        <f t="shared" si="1610"/>
        <v>0.15510204081632661</v>
      </c>
      <c r="BK340" s="1135">
        <f t="shared" si="1611"/>
        <v>0.3906464924346631</v>
      </c>
      <c r="BL340" s="1135">
        <f t="shared" si="1611"/>
        <v>0.48308525033829497</v>
      </c>
      <c r="BM340" s="1135">
        <f t="shared" si="1611"/>
        <v>0.41225961538461542</v>
      </c>
      <c r="BN340" s="1136">
        <f t="shared" si="1611"/>
        <v>0.36201780415430274</v>
      </c>
      <c r="BO340" s="1135">
        <f t="shared" ref="BO340:CH340" si="1612">+BO10/BJ10-1</f>
        <v>0.41931684334511199</v>
      </c>
      <c r="BP340" s="1135">
        <f t="shared" si="1612"/>
        <v>1.2927794263105836</v>
      </c>
      <c r="BQ340" s="1135">
        <f t="shared" si="1612"/>
        <v>2.2755474452554743</v>
      </c>
      <c r="BR340" s="2170">
        <f t="shared" si="1612"/>
        <v>1.5208510638297872</v>
      </c>
      <c r="BS340" s="2171">
        <f t="shared" si="1612"/>
        <v>1.4388767852820141</v>
      </c>
      <c r="BT340" s="1135">
        <f t="shared" si="1612"/>
        <v>0</v>
      </c>
      <c r="BU340" s="1135">
        <f t="shared" si="1612"/>
        <v>-0.43830888697152715</v>
      </c>
      <c r="BV340" s="1135">
        <f t="shared" si="1612"/>
        <v>-0.56350974930362119</v>
      </c>
      <c r="BW340" s="1135">
        <f t="shared" si="1612"/>
        <v>-0.39837947332883183</v>
      </c>
      <c r="BX340" s="1136" t="e">
        <f t="shared" si="1612"/>
        <v>#REF!</v>
      </c>
      <c r="BY340" s="1135">
        <f t="shared" si="1612"/>
        <v>1.474688796680498</v>
      </c>
      <c r="BZ340" s="1135">
        <f t="shared" si="1612"/>
        <v>1.2542242703533026</v>
      </c>
      <c r="CA340" s="1135">
        <f t="shared" si="1612"/>
        <v>1.1084875558391833</v>
      </c>
      <c r="CB340" s="1135">
        <f t="shared" si="1612"/>
        <v>1.2216610549943883</v>
      </c>
      <c r="CC340" s="1136" t="e">
        <f t="shared" si="1612"/>
        <v>#REF!</v>
      </c>
      <c r="CD340" s="1135">
        <f t="shared" si="1612"/>
        <v>-0.30415828303152248</v>
      </c>
      <c r="CE340" s="1135">
        <f t="shared" si="1612"/>
        <v>-0.29403747870528107</v>
      </c>
      <c r="CF340" s="1135">
        <f t="shared" si="1612"/>
        <v>-0.30266343825665865</v>
      </c>
      <c r="CG340" s="1135">
        <f t="shared" si="1612"/>
        <v>-0.28870927001768121</v>
      </c>
      <c r="CH340" s="1136">
        <f t="shared" si="1612"/>
        <v>-0.29696509863429443</v>
      </c>
      <c r="CI340" s="1135">
        <f t="shared" si="1606"/>
        <v>0.26939759036144584</v>
      </c>
      <c r="CJ340" s="1135">
        <f t="shared" si="1606"/>
        <v>0.31322393822393813</v>
      </c>
      <c r="CK340" s="1135">
        <f t="shared" si="1606"/>
        <v>0.37934027777777768</v>
      </c>
      <c r="CL340" s="1135">
        <f t="shared" si="1606"/>
        <v>0.11150568181818188</v>
      </c>
      <c r="CM340" s="1136">
        <f t="shared" si="1606"/>
        <v>0.25868767537232884</v>
      </c>
      <c r="CN340" s="1135">
        <f t="shared" si="1606"/>
        <v>8.2384206529992454E-2</v>
      </c>
      <c r="CO340" s="1135">
        <f t="shared" si="1606"/>
        <v>0.11833884601249545</v>
      </c>
      <c r="CP340" s="1135">
        <f t="shared" si="1606"/>
        <v>1.9509125235997571E-2</v>
      </c>
      <c r="CQ340" s="1135">
        <f t="shared" si="1606"/>
        <v>0.2399361022364217</v>
      </c>
      <c r="CR340" s="1136">
        <f t="shared" si="1606"/>
        <v>0.1159221469604732</v>
      </c>
      <c r="CS340" s="1135">
        <f t="shared" si="1606"/>
        <v>0.26937916520519112</v>
      </c>
      <c r="CT340" s="1135">
        <f t="shared" si="1606"/>
        <v>0.28162997042392379</v>
      </c>
      <c r="CU340" s="1135">
        <f t="shared" si="1606"/>
        <v>0.29382716049382718</v>
      </c>
      <c r="CV340" s="1135">
        <f t="shared" si="1606"/>
        <v>0.41123421798505544</v>
      </c>
      <c r="CW340" s="1136">
        <f t="shared" si="1606"/>
        <v>0.3206300422589321</v>
      </c>
      <c r="CX340" s="1135">
        <f t="shared" si="1606"/>
        <v>0.32642484875029076</v>
      </c>
      <c r="CY340" s="1135"/>
      <c r="CZ340" s="1135"/>
      <c r="DA340" s="1135"/>
      <c r="DB340" s="1136"/>
      <c r="DC340" s="2660"/>
      <c r="DD340" s="2660"/>
      <c r="DE340" s="2660"/>
      <c r="DF340" s="2660"/>
      <c r="DG340" s="1136"/>
      <c r="DH340" s="2660"/>
      <c r="DI340" s="2660"/>
      <c r="DJ340" s="2660"/>
      <c r="DK340" s="2660"/>
      <c r="DL340" s="1136"/>
      <c r="DM340" s="2660"/>
      <c r="DN340" s="2660"/>
      <c r="DO340" s="2660"/>
      <c r="DP340" s="2660"/>
      <c r="DQ340" s="1136"/>
      <c r="DR340" s="2660"/>
      <c r="DS340" s="2660"/>
      <c r="DT340" s="2660"/>
      <c r="DU340" s="2660"/>
      <c r="DV340" s="1136"/>
      <c r="DW340" s="2660"/>
      <c r="DX340" s="2660"/>
      <c r="DY340" s="2660"/>
      <c r="DZ340" s="2660"/>
      <c r="EA340" s="1136"/>
      <c r="EB340" s="2660"/>
      <c r="EC340" s="2660"/>
      <c r="ED340" s="2660"/>
      <c r="EE340" s="2660"/>
      <c r="EF340" s="2597"/>
      <c r="EG340" s="2660"/>
      <c r="EH340" s="2660"/>
      <c r="EI340" s="2660"/>
      <c r="EJ340" s="2660"/>
      <c r="EK340" s="2597"/>
      <c r="EL340" s="2660"/>
      <c r="EM340" s="2660"/>
      <c r="EN340" s="2660"/>
      <c r="EO340" s="2660"/>
      <c r="EP340" s="2597"/>
      <c r="EQ340" s="2660"/>
      <c r="ER340" s="2660"/>
      <c r="ES340" s="2660"/>
      <c r="ET340" s="2660"/>
      <c r="EU340" s="2597"/>
      <c r="EV340" s="2597"/>
      <c r="EW340" s="2597"/>
      <c r="EX340" s="2597"/>
      <c r="EY340" s="2597"/>
      <c r="EZ340" s="169"/>
      <c r="FA340" s="715"/>
      <c r="FB340" s="715"/>
      <c r="FC340" s="715"/>
      <c r="FD340" s="715"/>
      <c r="FE340" s="715"/>
      <c r="FF340" s="715"/>
      <c r="FG340" s="715"/>
      <c r="FH340" s="715"/>
      <c r="FI340" s="715"/>
      <c r="FJ340" s="715"/>
      <c r="FK340" s="715"/>
      <c r="FL340" s="715"/>
    </row>
    <row r="341" spans="1:168" ht="11.25" hidden="1" customHeight="1">
      <c r="A341" s="3801" t="s">
        <v>49</v>
      </c>
      <c r="B341" s="1135"/>
      <c r="C341" s="1135"/>
      <c r="D341" s="1135"/>
      <c r="E341" s="1135"/>
      <c r="F341" s="1136"/>
      <c r="G341" s="1135"/>
      <c r="H341" s="1135"/>
      <c r="I341" s="1135"/>
      <c r="J341" s="1135"/>
      <c r="K341" s="1136" t="s">
        <v>116</v>
      </c>
      <c r="L341" s="1135"/>
      <c r="M341" s="1135"/>
      <c r="N341" s="1135"/>
      <c r="O341" s="1135"/>
      <c r="P341" s="1136">
        <f>+P13/K13-1</f>
        <v>4.5421816227834499</v>
      </c>
      <c r="Q341" s="1135" t="s">
        <v>116</v>
      </c>
      <c r="R341" s="1135" t="s">
        <v>116</v>
      </c>
      <c r="S341" s="1135" t="s">
        <v>116</v>
      </c>
      <c r="T341" s="1135" t="s">
        <v>116</v>
      </c>
      <c r="U341" s="1136">
        <f t="shared" ref="U341:BN341" si="1613">+U13/P13-1</f>
        <v>3.2660184492645223</v>
      </c>
      <c r="V341" s="1135">
        <f t="shared" si="1613"/>
        <v>3.4113081736944233</v>
      </c>
      <c r="W341" s="1135">
        <f t="shared" si="1613"/>
        <v>2.3345607212911657</v>
      </c>
      <c r="X341" s="1135">
        <f t="shared" si="1613"/>
        <v>1.4521691438600342</v>
      </c>
      <c r="Y341" s="1135">
        <f t="shared" si="1613"/>
        <v>1.1397209348029018</v>
      </c>
      <c r="Z341" s="1136">
        <f t="shared" si="1613"/>
        <v>1.7275501788972649</v>
      </c>
      <c r="AA341" s="1135">
        <f t="shared" si="1613"/>
        <v>1.0828816215780899</v>
      </c>
      <c r="AB341" s="1135">
        <f t="shared" si="1613"/>
        <v>0.9289930752639346</v>
      </c>
      <c r="AC341" s="1135">
        <f t="shared" si="1613"/>
        <v>0.98516676209561949</v>
      </c>
      <c r="AD341" s="1135">
        <f t="shared" si="1613"/>
        <v>1.2108936997478064</v>
      </c>
      <c r="AE341" s="1136">
        <f t="shared" si="1613"/>
        <v>1.0611965527092657</v>
      </c>
      <c r="AF341" s="1135">
        <f t="shared" si="1613"/>
        <v>1.1155714179492899</v>
      </c>
      <c r="AG341" s="1135">
        <f t="shared" si="1613"/>
        <v>1.1062768333623119</v>
      </c>
      <c r="AH341" s="1135">
        <f t="shared" si="1613"/>
        <v>1.083494821851875</v>
      </c>
      <c r="AI341" s="1135">
        <f t="shared" si="1613"/>
        <v>0.97969265494476576</v>
      </c>
      <c r="AJ341" s="1136">
        <f t="shared" si="1613"/>
        <v>1.0600091246672094</v>
      </c>
      <c r="AK341" s="1135">
        <f t="shared" si="1613"/>
        <v>0.9006098623943497</v>
      </c>
      <c r="AL341" s="1135">
        <f t="shared" si="1613"/>
        <v>0.86599060198120426</v>
      </c>
      <c r="AM341" s="1135">
        <f t="shared" si="1613"/>
        <v>0.77702864929755666</v>
      </c>
      <c r="AN341" s="1135">
        <f t="shared" si="1613"/>
        <v>0.69030665062533236</v>
      </c>
      <c r="AO341" s="1136">
        <f t="shared" si="1613"/>
        <v>0.79350387575167169</v>
      </c>
      <c r="AP341" s="1135">
        <f t="shared" si="1613"/>
        <v>0.62578823139551965</v>
      </c>
      <c r="AQ341" s="1135">
        <f t="shared" si="1613"/>
        <v>0.57858775823004605</v>
      </c>
      <c r="AR341" s="1135">
        <f t="shared" si="1613"/>
        <v>0.56582824841427248</v>
      </c>
      <c r="AS341" s="1135">
        <f t="shared" si="1613"/>
        <v>0.48824399034979904</v>
      </c>
      <c r="AT341" s="1136">
        <f t="shared" si="1613"/>
        <v>0.55798467468165014</v>
      </c>
      <c r="AU341" s="1135">
        <f t="shared" si="1613"/>
        <v>0.40343386107135126</v>
      </c>
      <c r="AV341" s="1135">
        <f t="shared" si="1613"/>
        <v>0.39217699144041829</v>
      </c>
      <c r="AW341" s="1135">
        <f t="shared" si="1613"/>
        <v>0.31324862416593868</v>
      </c>
      <c r="AX341" s="1135">
        <f t="shared" si="1613"/>
        <v>0.2244923636886893</v>
      </c>
      <c r="AY341" s="1136">
        <f t="shared" si="1613"/>
        <v>0.32588255418879952</v>
      </c>
      <c r="AZ341" s="1135">
        <f t="shared" si="1613"/>
        <v>0.10872139672021675</v>
      </c>
      <c r="BA341" s="1135">
        <f t="shared" si="1613"/>
        <v>6.1789408485598996E-2</v>
      </c>
      <c r="BB341" s="1135">
        <f t="shared" si="1613"/>
        <v>0.10499566405128569</v>
      </c>
      <c r="BC341" s="1135">
        <f t="shared" si="1613"/>
        <v>0.21245484669591064</v>
      </c>
      <c r="BD341" s="1136">
        <f t="shared" si="1613"/>
        <v>0.12395524215983733</v>
      </c>
      <c r="BE341" s="1698">
        <f t="shared" si="1613"/>
        <v>0.26578096112219129</v>
      </c>
      <c r="BF341" s="1135">
        <f t="shared" si="1613"/>
        <v>0.27197815499291544</v>
      </c>
      <c r="BG341" s="1135">
        <f t="shared" si="1613"/>
        <v>0.27012799311741698</v>
      </c>
      <c r="BH341" s="1135">
        <f t="shared" si="1613"/>
        <v>0.29674145424204634</v>
      </c>
      <c r="BI341" s="1136">
        <f t="shared" si="1613"/>
        <v>0.27720747818409697</v>
      </c>
      <c r="BJ341" s="1135">
        <f t="shared" si="1613"/>
        <v>0.313929313929314</v>
      </c>
      <c r="BK341" s="1135">
        <f t="shared" si="1613"/>
        <v>0.3540472368722769</v>
      </c>
      <c r="BL341" s="1135">
        <f t="shared" si="1613"/>
        <v>0.3525938422606496</v>
      </c>
      <c r="BM341" s="1135">
        <f t="shared" si="1613"/>
        <v>0.25636396461455147</v>
      </c>
      <c r="BN341" s="1136">
        <f t="shared" si="1613"/>
        <v>0.31600864477360191</v>
      </c>
      <c r="BO341" s="1135">
        <v>0.21835443037974689</v>
      </c>
      <c r="BP341" s="1135">
        <v>0.23556308213378485</v>
      </c>
      <c r="BQ341" s="1135">
        <v>0.2068911755534768</v>
      </c>
      <c r="BR341" s="2170">
        <v>0.20376490875125741</v>
      </c>
      <c r="BS341" s="2171">
        <v>0.21541296162781376</v>
      </c>
      <c r="BT341" s="1135">
        <f>+BT13/BJ13-1</f>
        <v>0.21835443037974689</v>
      </c>
      <c r="BU341" s="1135">
        <f>+BU13/BK13-1</f>
        <v>0.19593564775613892</v>
      </c>
      <c r="BV341" s="1135">
        <f>+BV13/BL13-1</f>
        <v>0.12082943560960402</v>
      </c>
      <c r="BW341" s="1135">
        <f>+BW13/BM13-1</f>
        <v>0.1557695071130909</v>
      </c>
      <c r="BX341" s="1136">
        <f>+BX13/BN13-1</f>
        <v>0.15609228550829135</v>
      </c>
      <c r="BY341" s="1135">
        <v>0.15800865800865793</v>
      </c>
      <c r="BZ341" s="1135">
        <v>0.11800986842105265</v>
      </c>
      <c r="CA341" s="1135">
        <v>0.11316367394393478</v>
      </c>
      <c r="CB341" s="1135">
        <v>0.14468186701683172</v>
      </c>
      <c r="CC341" s="1136">
        <v>0.13327181650408648</v>
      </c>
      <c r="CD341" s="1135">
        <f>+CD13/BT13-1</f>
        <v>0.12770562770562766</v>
      </c>
      <c r="CE341" s="1135">
        <f>+CE13/BU13-1</f>
        <v>0.12036250354007372</v>
      </c>
      <c r="CF341" s="1135">
        <f>+CF13/BV13-1</f>
        <v>0.1608012240923633</v>
      </c>
      <c r="CG341" s="1135">
        <f>+CG13/BW13-1</f>
        <v>0.17543205271664797</v>
      </c>
      <c r="CH341" s="1136">
        <f>+CH13/BX13-1</f>
        <v>0.1615563177770849</v>
      </c>
      <c r="CI341" s="1135">
        <f t="shared" ref="CI341:CX341" si="1614">+CI13/CD13-1</f>
        <v>0.2103646833013435</v>
      </c>
      <c r="CJ341" s="1135">
        <f t="shared" si="1614"/>
        <v>0.24380687563195136</v>
      </c>
      <c r="CK341" s="1135">
        <f t="shared" si="1614"/>
        <v>0.17771120431396037</v>
      </c>
      <c r="CL341" s="1135">
        <f t="shared" si="1614"/>
        <v>0.18277977575629367</v>
      </c>
      <c r="CM341" s="1136">
        <f t="shared" si="1614"/>
        <v>0.20235041460359127</v>
      </c>
      <c r="CN341" s="1135">
        <f t="shared" si="1614"/>
        <v>0.15255312400888044</v>
      </c>
      <c r="CO341" s="1135">
        <f t="shared" si="1614"/>
        <v>0.13240524336957615</v>
      </c>
      <c r="CP341" s="1135">
        <f t="shared" si="1614"/>
        <v>0.18416768416768425</v>
      </c>
      <c r="CQ341" s="1135">
        <f t="shared" si="1614"/>
        <v>0.17519227329636911</v>
      </c>
      <c r="CR341" s="1136">
        <f t="shared" si="1614"/>
        <v>0.16162242619697342</v>
      </c>
      <c r="CS341" s="1135">
        <f t="shared" si="1614"/>
        <v>0.15657677490368749</v>
      </c>
      <c r="CT341" s="1135">
        <f t="shared" si="1614"/>
        <v>0.19974874371859297</v>
      </c>
      <c r="CU341" s="1135">
        <f t="shared" si="1614"/>
        <v>0.18164633098470517</v>
      </c>
      <c r="CV341" s="1135">
        <f t="shared" si="1614"/>
        <v>0.1721330187961343</v>
      </c>
      <c r="CW341" s="1136">
        <f t="shared" si="1614"/>
        <v>0.17744794447410572</v>
      </c>
      <c r="CX341" s="1135">
        <f t="shared" si="1614"/>
        <v>0.1860575779205329</v>
      </c>
      <c r="CY341" s="1135"/>
      <c r="CZ341" s="1135"/>
      <c r="DA341" s="1135"/>
      <c r="DB341" s="1136"/>
      <c r="DC341" s="2660"/>
      <c r="DD341" s="2660"/>
      <c r="DE341" s="2660"/>
      <c r="DF341" s="2660"/>
      <c r="DG341" s="1136"/>
      <c r="DH341" s="2660"/>
      <c r="DI341" s="2660"/>
      <c r="DJ341" s="2660"/>
      <c r="DK341" s="2660"/>
      <c r="DL341" s="1136"/>
      <c r="DM341" s="2660"/>
      <c r="DN341" s="2660"/>
      <c r="DO341" s="2660"/>
      <c r="DP341" s="2660"/>
      <c r="DQ341" s="1136"/>
      <c r="DR341" s="2660"/>
      <c r="DS341" s="2660"/>
      <c r="DT341" s="2660"/>
      <c r="DU341" s="2660"/>
      <c r="DV341" s="1136"/>
      <c r="DW341" s="2660"/>
      <c r="DX341" s="2660"/>
      <c r="DY341" s="2660"/>
      <c r="DZ341" s="2660"/>
      <c r="EA341" s="1136"/>
      <c r="EB341" s="2660"/>
      <c r="EC341" s="2660"/>
      <c r="ED341" s="2660"/>
      <c r="EE341" s="2660"/>
      <c r="EF341" s="2597"/>
      <c r="EG341" s="2660"/>
      <c r="EH341" s="2660"/>
      <c r="EI341" s="2660"/>
      <c r="EJ341" s="2660"/>
      <c r="EK341" s="2597"/>
      <c r="EL341" s="2660"/>
      <c r="EM341" s="2660"/>
      <c r="EN341" s="2660"/>
      <c r="EO341" s="2660"/>
      <c r="EP341" s="2597"/>
      <c r="EQ341" s="2660"/>
      <c r="ER341" s="2660"/>
      <c r="ES341" s="2660"/>
      <c r="ET341" s="2660"/>
      <c r="EU341" s="2597"/>
      <c r="EV341" s="2597"/>
      <c r="EW341" s="2597"/>
      <c r="EX341" s="2597"/>
      <c r="EY341" s="2597"/>
      <c r="EZ341" s="169"/>
      <c r="FA341" s="715"/>
      <c r="FB341" s="715"/>
      <c r="FC341" s="715"/>
      <c r="FD341" s="715"/>
      <c r="FE341" s="715"/>
      <c r="FF341" s="715"/>
      <c r="FG341" s="715"/>
      <c r="FH341" s="715"/>
      <c r="FI341" s="715"/>
      <c r="FJ341" s="715"/>
      <c r="FK341" s="715"/>
      <c r="FL341" s="715"/>
    </row>
    <row r="342" spans="1:168" ht="11.25" hidden="1" customHeight="1">
      <c r="A342" s="3799" t="s">
        <v>187</v>
      </c>
      <c r="B342" s="1135"/>
      <c r="C342" s="1135"/>
      <c r="D342" s="1135"/>
      <c r="E342" s="1135"/>
      <c r="F342" s="1136"/>
      <c r="G342" s="1135"/>
      <c r="H342" s="1135"/>
      <c r="I342" s="1135"/>
      <c r="J342" s="1135"/>
      <c r="K342" s="1136">
        <f>+K15/F15-1</f>
        <v>2.5890784982935151</v>
      </c>
      <c r="L342" s="1135"/>
      <c r="M342" s="1135"/>
      <c r="N342" s="1135"/>
      <c r="O342" s="1135"/>
      <c r="P342" s="1136">
        <f>+P15/K15-1</f>
        <v>0.56903765690376562</v>
      </c>
      <c r="Q342" s="1135" t="s">
        <v>116</v>
      </c>
      <c r="R342" s="1135" t="s">
        <v>116</v>
      </c>
      <c r="S342" s="1135" t="s">
        <v>116</v>
      </c>
      <c r="T342" s="1135" t="s">
        <v>116</v>
      </c>
      <c r="U342" s="1136">
        <f t="shared" ref="U342:BN342" si="1615">+U15/P15-1</f>
        <v>0.92412121212121212</v>
      </c>
      <c r="V342" s="1135">
        <f t="shared" si="1615"/>
        <v>1.0224809962801231</v>
      </c>
      <c r="W342" s="1135">
        <f t="shared" si="1615"/>
        <v>1.7089979866811214</v>
      </c>
      <c r="X342" s="1135">
        <f t="shared" si="1615"/>
        <v>2.6202363857284876</v>
      </c>
      <c r="Y342" s="1135">
        <f t="shared" si="1615"/>
        <v>1.8301342615614122</v>
      </c>
      <c r="Z342" s="1136">
        <f t="shared" si="1615"/>
        <v>1.8735038427617487</v>
      </c>
      <c r="AA342" s="1135">
        <f t="shared" si="1615"/>
        <v>1.800399840063974</v>
      </c>
      <c r="AB342" s="1135">
        <f t="shared" si="1615"/>
        <v>1.616167390807226</v>
      </c>
      <c r="AC342" s="1135">
        <f t="shared" si="1615"/>
        <v>0.75166290352108378</v>
      </c>
      <c r="AD342" s="1135">
        <f t="shared" si="1615"/>
        <v>2.072776469761394</v>
      </c>
      <c r="AE342" s="1136">
        <f t="shared" si="1615"/>
        <v>1.4732757486736525</v>
      </c>
      <c r="AF342" s="1135">
        <f t="shared" si="1615"/>
        <v>1.2676832576601278</v>
      </c>
      <c r="AG342" s="1135">
        <f t="shared" si="1615"/>
        <v>1.0928281106594993</v>
      </c>
      <c r="AH342" s="1135">
        <f t="shared" si="1615"/>
        <v>1.6428086188576705</v>
      </c>
      <c r="AI342" s="1135">
        <f t="shared" si="1615"/>
        <v>0.79629926122458339</v>
      </c>
      <c r="AJ342" s="1136">
        <f t="shared" si="1615"/>
        <v>1.1449838675365198</v>
      </c>
      <c r="AK342" s="1135">
        <f t="shared" si="1615"/>
        <v>1.1849720445272749</v>
      </c>
      <c r="AL342" s="1135">
        <f t="shared" si="1615"/>
        <v>1.213465313452784</v>
      </c>
      <c r="AM342" s="1135">
        <f t="shared" si="1615"/>
        <v>0.65381193111039337</v>
      </c>
      <c r="AN342" s="1135">
        <f t="shared" si="1615"/>
        <v>0.93977284302740127</v>
      </c>
      <c r="AO342" s="1136">
        <f t="shared" si="1615"/>
        <v>0.94452009083076249</v>
      </c>
      <c r="AP342" s="1135">
        <f t="shared" si="1615"/>
        <v>0.65749540380259708</v>
      </c>
      <c r="AQ342" s="1135">
        <f t="shared" si="1615"/>
        <v>0.7695482763175272</v>
      </c>
      <c r="AR342" s="1135">
        <f t="shared" si="1615"/>
        <v>0.66612997074741553</v>
      </c>
      <c r="AS342" s="1135">
        <f t="shared" si="1615"/>
        <v>0.54064867206679734</v>
      </c>
      <c r="AT342" s="1136">
        <f t="shared" si="1615"/>
        <v>0.64720864772506337</v>
      </c>
      <c r="AU342" s="1135">
        <f t="shared" si="1615"/>
        <v>0.66646035946132942</v>
      </c>
      <c r="AV342" s="1135">
        <f t="shared" si="1615"/>
        <v>0.31937791071195321</v>
      </c>
      <c r="AW342" s="1135">
        <f t="shared" si="1615"/>
        <v>0.28045122493792785</v>
      </c>
      <c r="AX342" s="1135">
        <f t="shared" si="1615"/>
        <v>0.17438023395276225</v>
      </c>
      <c r="AY342" s="1136">
        <f t="shared" si="1615"/>
        <v>0.32936544030323955</v>
      </c>
      <c r="AZ342" s="1135">
        <f t="shared" si="1615"/>
        <v>-1.2909243034704865E-2</v>
      </c>
      <c r="BA342" s="1135">
        <f t="shared" si="1615"/>
        <v>6.1600754855746676E-2</v>
      </c>
      <c r="BB342" s="1135">
        <f t="shared" si="1615"/>
        <v>4.96760743347755E-2</v>
      </c>
      <c r="BC342" s="1135">
        <f t="shared" si="1615"/>
        <v>1.0918484146520635E-2</v>
      </c>
      <c r="BD342" s="1136">
        <f t="shared" si="1615"/>
        <v>2.7616821454861773E-2</v>
      </c>
      <c r="BE342" s="1698">
        <f t="shared" si="1615"/>
        <v>0.32535163037274728</v>
      </c>
      <c r="BF342" s="1135">
        <f t="shared" si="1615"/>
        <v>0.32466212551173657</v>
      </c>
      <c r="BG342" s="1135">
        <f t="shared" si="1615"/>
        <v>0.33475707421249346</v>
      </c>
      <c r="BH342" s="1135">
        <f t="shared" si="1615"/>
        <v>0.48397770624060166</v>
      </c>
      <c r="BI342" s="1136">
        <f t="shared" si="1615"/>
        <v>0.36941990900440813</v>
      </c>
      <c r="BJ342" s="1135">
        <f t="shared" si="1615"/>
        <v>0.57735247208931417</v>
      </c>
      <c r="BK342" s="1135">
        <f t="shared" si="1615"/>
        <v>0.4181034482758621</v>
      </c>
      <c r="BL342" s="1135">
        <f t="shared" si="1615"/>
        <v>0.45733333333333337</v>
      </c>
      <c r="BM342" s="1135">
        <f t="shared" si="1615"/>
        <v>0.24788391777509067</v>
      </c>
      <c r="BN342" s="1136">
        <f t="shared" si="1615"/>
        <v>0.41413793103448282</v>
      </c>
      <c r="BO342" s="1135">
        <v>0.15470171890798778</v>
      </c>
      <c r="BP342" s="1135">
        <v>0.2978723404255319</v>
      </c>
      <c r="BQ342" s="1135">
        <v>0.39707227813357737</v>
      </c>
      <c r="BR342" s="2170">
        <v>0.44089147286821695</v>
      </c>
      <c r="BS342" s="2171">
        <v>0.32577420141428926</v>
      </c>
      <c r="BT342" s="1135">
        <f>+BT15/BJ15-1</f>
        <v>0.15470171890798778</v>
      </c>
      <c r="BU342" s="1135">
        <f>+BU15/BK15-1</f>
        <v>0.17831813576494437</v>
      </c>
      <c r="BV342" s="1135">
        <f>+BV15/BL15-1</f>
        <v>8.8746569075937698E-2</v>
      </c>
      <c r="BW342" s="1135">
        <f>+BW15/BM15-1</f>
        <v>0.27325581395348841</v>
      </c>
      <c r="BX342" s="1136">
        <f>+BX15/BN15-1</f>
        <v>0.17264081931236275</v>
      </c>
      <c r="BY342" s="1135">
        <v>0.29246935201401048</v>
      </c>
      <c r="BZ342" s="1135">
        <v>0.22248243559718972</v>
      </c>
      <c r="CA342" s="1135">
        <v>2.4230517354289383E-2</v>
      </c>
      <c r="CB342" s="1135">
        <v>0.10423671822461333</v>
      </c>
      <c r="CC342" s="1136">
        <v>0.14916314143829323</v>
      </c>
      <c r="CD342" s="1135">
        <f>+CD15/BT15-1</f>
        <v>0.11996497373029769</v>
      </c>
      <c r="CE342" s="1135">
        <f>+CE15/BU15-1</f>
        <v>0.173688736027515</v>
      </c>
      <c r="CF342" s="1135">
        <f>+CF15/BV15-1</f>
        <v>0.16386554621848748</v>
      </c>
      <c r="CG342" s="1135">
        <f>+CG15/BW15-1</f>
        <v>0.11643835616438358</v>
      </c>
      <c r="CH342" s="1136">
        <f>+CH15/BX15-1</f>
        <v>0.14285714285714279</v>
      </c>
      <c r="CI342" s="1135">
        <f t="shared" ref="CI342:CX342" si="1616">+CI15/CD15-1</f>
        <v>0.30570758405003917</v>
      </c>
      <c r="CJ342" s="1135">
        <f t="shared" si="1616"/>
        <v>0.31208791208791209</v>
      </c>
      <c r="CK342" s="1135">
        <f t="shared" si="1616"/>
        <v>0.43610108303249095</v>
      </c>
      <c r="CL342" s="1135">
        <f t="shared" si="1616"/>
        <v>0.48738922972051801</v>
      </c>
      <c r="CM342" s="1136">
        <f t="shared" si="1616"/>
        <v>0.38864628820960689</v>
      </c>
      <c r="CN342" s="1135">
        <f t="shared" si="1616"/>
        <v>0.28023952095808391</v>
      </c>
      <c r="CO342" s="1135">
        <f t="shared" si="1616"/>
        <v>0.2317141261864879</v>
      </c>
      <c r="CP342" s="1135">
        <f t="shared" si="1616"/>
        <v>0.25138260432378079</v>
      </c>
      <c r="CQ342" s="1135">
        <f t="shared" si="1616"/>
        <v>0.26993583868011006</v>
      </c>
      <c r="CR342" s="1136">
        <f t="shared" si="1616"/>
        <v>0.25838574423480076</v>
      </c>
      <c r="CS342" s="1135">
        <f t="shared" si="1616"/>
        <v>0.22918615528531339</v>
      </c>
      <c r="CT342" s="1135">
        <f t="shared" si="1616"/>
        <v>0.18948322756119684</v>
      </c>
      <c r="CU342" s="1135">
        <f t="shared" si="1616"/>
        <v>7.4327038971474524E-2</v>
      </c>
      <c r="CV342" s="1135">
        <f t="shared" si="1616"/>
        <v>-2.020931071815224E-2</v>
      </c>
      <c r="CW342" s="1136">
        <f t="shared" si="1616"/>
        <v>0.10797584339858401</v>
      </c>
      <c r="CX342" s="1135">
        <f t="shared" si="1616"/>
        <v>0.12439603668139254</v>
      </c>
      <c r="CY342" s="1135"/>
      <c r="CZ342" s="1135"/>
      <c r="DA342" s="1135"/>
      <c r="DB342" s="1136"/>
      <c r="DC342" s="2660"/>
      <c r="DD342" s="2660"/>
      <c r="DE342" s="2660"/>
      <c r="DF342" s="2660"/>
      <c r="DG342" s="1136"/>
      <c r="DH342" s="2660"/>
      <c r="DI342" s="2660"/>
      <c r="DJ342" s="2660"/>
      <c r="DK342" s="2660"/>
      <c r="DL342" s="1136"/>
      <c r="DM342" s="2660"/>
      <c r="DN342" s="2660"/>
      <c r="DO342" s="2660"/>
      <c r="DP342" s="2660"/>
      <c r="DQ342" s="1136"/>
      <c r="DR342" s="2660"/>
      <c r="DS342" s="2660"/>
      <c r="DT342" s="2660"/>
      <c r="DU342" s="2660"/>
      <c r="DV342" s="1136"/>
      <c r="DW342" s="2660"/>
      <c r="DX342" s="2660"/>
      <c r="DY342" s="2660"/>
      <c r="DZ342" s="2660"/>
      <c r="EA342" s="1136"/>
      <c r="EB342" s="2660"/>
      <c r="EC342" s="2660"/>
      <c r="ED342" s="2660"/>
      <c r="EE342" s="2660"/>
      <c r="EF342" s="2597"/>
      <c r="EG342" s="2660"/>
      <c r="EH342" s="2660"/>
      <c r="EI342" s="2660"/>
      <c r="EJ342" s="2660"/>
      <c r="EK342" s="2597"/>
      <c r="EL342" s="2660"/>
      <c r="EM342" s="2660"/>
      <c r="EN342" s="2660"/>
      <c r="EO342" s="2660"/>
      <c r="EP342" s="2597"/>
      <c r="EQ342" s="2660"/>
      <c r="ER342" s="2660"/>
      <c r="ES342" s="2660"/>
      <c r="ET342" s="2660"/>
      <c r="EU342" s="2597"/>
      <c r="EV342" s="2597"/>
      <c r="EW342" s="2597"/>
      <c r="EX342" s="2597"/>
      <c r="EY342" s="2597"/>
      <c r="EZ342" s="169"/>
      <c r="FA342" s="715"/>
      <c r="FB342" s="715"/>
      <c r="FC342" s="715"/>
      <c r="FD342" s="715"/>
      <c r="FE342" s="715"/>
      <c r="FF342" s="715"/>
      <c r="FG342" s="715"/>
      <c r="FH342" s="715"/>
      <c r="FI342" s="715"/>
      <c r="FJ342" s="715"/>
      <c r="FK342" s="715"/>
      <c r="FL342" s="715"/>
    </row>
    <row r="343" spans="1:168" ht="11.25" hidden="1" customHeight="1">
      <c r="A343" s="3799" t="s">
        <v>47</v>
      </c>
      <c r="B343" s="1135"/>
      <c r="C343" s="1135"/>
      <c r="D343" s="1135"/>
      <c r="E343" s="1135"/>
      <c r="F343" s="1136"/>
      <c r="G343" s="1135"/>
      <c r="H343" s="1135"/>
      <c r="I343" s="1135"/>
      <c r="J343" s="1135"/>
      <c r="K343" s="1136">
        <f>+K18/F18-1</f>
        <v>5.192605843768634</v>
      </c>
      <c r="L343" s="1135"/>
      <c r="M343" s="1135"/>
      <c r="N343" s="1135"/>
      <c r="O343" s="1135"/>
      <c r="P343" s="1136">
        <f>+P18/K18-1</f>
        <v>0.93317284545016865</v>
      </c>
      <c r="Q343" s="1135" t="s">
        <v>116</v>
      </c>
      <c r="R343" s="1135" t="s">
        <v>116</v>
      </c>
      <c r="S343" s="1135" t="s">
        <v>116</v>
      </c>
      <c r="T343" s="1135" t="s">
        <v>116</v>
      </c>
      <c r="U343" s="1136">
        <f t="shared" ref="U343:BN343" si="1617">+U18/P18-1</f>
        <v>1.1841502291293087</v>
      </c>
      <c r="V343" s="1135">
        <f t="shared" si="1617"/>
        <v>1.4358376748012067</v>
      </c>
      <c r="W343" s="1135">
        <f t="shared" si="1617"/>
        <v>1.2210093056549747</v>
      </c>
      <c r="X343" s="1135">
        <f t="shared" si="1617"/>
        <v>2.125</v>
      </c>
      <c r="Y343" s="1135">
        <f t="shared" si="1617"/>
        <v>2.0101645338208409</v>
      </c>
      <c r="Z343" s="1136">
        <f t="shared" si="1617"/>
        <v>1.7441446783278978</v>
      </c>
      <c r="AA343" s="1135">
        <f t="shared" si="1617"/>
        <v>1.6962345922215345</v>
      </c>
      <c r="AB343" s="1135">
        <f t="shared" si="1617"/>
        <v>1.2873660462492951</v>
      </c>
      <c r="AC343" s="1135">
        <f t="shared" si="1617"/>
        <v>0.79116883116883097</v>
      </c>
      <c r="AD343" s="1135">
        <f t="shared" si="1617"/>
        <v>0.8488728014770186</v>
      </c>
      <c r="AE343" s="1136">
        <f t="shared" si="1617"/>
        <v>1.0469051259889635</v>
      </c>
      <c r="AF343" s="1135">
        <f t="shared" si="1617"/>
        <v>0.73162992651970593</v>
      </c>
      <c r="AG343" s="1135">
        <f t="shared" si="1617"/>
        <v>0.70886098244007245</v>
      </c>
      <c r="AH343" s="1135">
        <f t="shared" si="1617"/>
        <v>0.60269874221516662</v>
      </c>
      <c r="AI343" s="1135">
        <f t="shared" si="1617"/>
        <v>1.0335711563982288</v>
      </c>
      <c r="AJ343" s="1136">
        <f t="shared" si="1617"/>
        <v>0.78538773853024746</v>
      </c>
      <c r="AK343" s="1135">
        <f t="shared" si="1617"/>
        <v>1.1098225479795545</v>
      </c>
      <c r="AL343" s="1135">
        <f t="shared" si="1617"/>
        <v>0.87697889182058031</v>
      </c>
      <c r="AM343" s="1135">
        <f t="shared" si="1617"/>
        <v>0.83148881862166202</v>
      </c>
      <c r="AN343" s="1135">
        <f t="shared" si="1617"/>
        <v>0.55524685175971911</v>
      </c>
      <c r="AO343" s="1136">
        <f t="shared" si="1617"/>
        <v>0.79680539226499225</v>
      </c>
      <c r="AP343" s="1135">
        <f t="shared" si="1617"/>
        <v>0.57302844343881065</v>
      </c>
      <c r="AQ343" s="1135">
        <f t="shared" si="1617"/>
        <v>0.75287185907573373</v>
      </c>
      <c r="AR343" s="1135">
        <f t="shared" si="1617"/>
        <v>0.8247728797341638</v>
      </c>
      <c r="AS343" s="1135">
        <f t="shared" si="1617"/>
        <v>0.5961762164318003</v>
      </c>
      <c r="AT343" s="1136">
        <f t="shared" si="1617"/>
        <v>0.6827998972319711</v>
      </c>
      <c r="AU343" s="1135">
        <f t="shared" si="1617"/>
        <v>0.46864897458064214</v>
      </c>
      <c r="AV343" s="1135">
        <f t="shared" si="1617"/>
        <v>0.38450092256413315</v>
      </c>
      <c r="AW343" s="1135">
        <f t="shared" si="1617"/>
        <v>0.26617688129449246</v>
      </c>
      <c r="AX343" s="1135">
        <f t="shared" si="1617"/>
        <v>0.17030707485047092</v>
      </c>
      <c r="AY343" s="1136">
        <f t="shared" si="1617"/>
        <v>0.30880418522760889</v>
      </c>
      <c r="AZ343" s="1135">
        <f t="shared" si="1617"/>
        <v>-7.2731634687204894E-2</v>
      </c>
      <c r="BA343" s="1135">
        <f t="shared" si="1617"/>
        <v>-6.8363807502505924E-2</v>
      </c>
      <c r="BB343" s="1135">
        <f t="shared" si="1617"/>
        <v>-1.9698224638985851E-2</v>
      </c>
      <c r="BC343" s="1135">
        <f t="shared" si="1617"/>
        <v>0.18030242038613209</v>
      </c>
      <c r="BD343" s="1136">
        <f t="shared" si="1617"/>
        <v>7.2967617961825493E-3</v>
      </c>
      <c r="BE343" s="1698">
        <f t="shared" si="1617"/>
        <v>0.47500100022671821</v>
      </c>
      <c r="BF343" s="1135">
        <f t="shared" si="1617"/>
        <v>0.39163802839135875</v>
      </c>
      <c r="BG343" s="1135">
        <f t="shared" si="1617"/>
        <v>0.34541914627874504</v>
      </c>
      <c r="BH343" s="1135">
        <f t="shared" si="1617"/>
        <v>0.55640556989693035</v>
      </c>
      <c r="BI343" s="1136">
        <f t="shared" si="1617"/>
        <v>0.44786818808823203</v>
      </c>
      <c r="BJ343" s="1135">
        <f t="shared" si="1617"/>
        <v>0.71428571428571419</v>
      </c>
      <c r="BK343" s="1135">
        <f t="shared" si="1617"/>
        <v>0.77486910994764391</v>
      </c>
      <c r="BL343" s="1135">
        <f t="shared" si="1617"/>
        <v>0.87713310580204773</v>
      </c>
      <c r="BM343" s="1135">
        <f t="shared" si="1617"/>
        <v>0.40799031476997571</v>
      </c>
      <c r="BN343" s="1136">
        <f t="shared" si="1617"/>
        <v>0.66587864460204882</v>
      </c>
      <c r="BO343" s="1135">
        <v>0.23628691983122363</v>
      </c>
      <c r="BP343" s="1135">
        <v>0.27236971484759098</v>
      </c>
      <c r="BQ343" s="1135">
        <v>0.3827272727272728</v>
      </c>
      <c r="BR343" s="2170">
        <v>0.38521066208082555</v>
      </c>
      <c r="BS343" s="2171">
        <v>0.32403027436140008</v>
      </c>
      <c r="BT343" s="1135">
        <f>+BT18/BJ18-1</f>
        <v>0.23628691983122363</v>
      </c>
      <c r="BU343" s="1135">
        <f>+BU18/BK18-1</f>
        <v>0.16519174041297946</v>
      </c>
      <c r="BV343" s="1135">
        <f>+BV18/BL18-1</f>
        <v>0.14454545454545453</v>
      </c>
      <c r="BW343" s="1135">
        <f>+BW18/BM18-1</f>
        <v>0.20464316423043849</v>
      </c>
      <c r="BX343" s="1136">
        <f>+BX18/BN18-1</f>
        <v>0.18661305581835386</v>
      </c>
      <c r="BY343" s="1135">
        <v>0.2465870307167235</v>
      </c>
      <c r="BZ343" s="1135">
        <v>0.23724884080370945</v>
      </c>
      <c r="CA343" s="1135">
        <v>8.2182774490466848E-2</v>
      </c>
      <c r="CB343" s="1135">
        <v>0.22284295468653004</v>
      </c>
      <c r="CC343" s="1136">
        <v>0.19292604501607724</v>
      </c>
      <c r="CD343" s="1135">
        <f>+CD18/BT18-1</f>
        <v>0.12372013651877123</v>
      </c>
      <c r="CE343" s="1135">
        <f>+CE18/BU18-1</f>
        <v>0.23037974683544293</v>
      </c>
      <c r="CF343" s="1135">
        <f>+CF18/BV18-1</f>
        <v>0.16997617156473388</v>
      </c>
      <c r="CG343" s="1135">
        <f>+CG18/BW18-1</f>
        <v>0.25196288365453245</v>
      </c>
      <c r="CH343" s="1136">
        <f>+CH18/BX18-1</f>
        <v>0.1963324696033486</v>
      </c>
      <c r="CI343" s="1135">
        <f t="shared" ref="CI343:CX343" si="1618">+CI18/CD18-1</f>
        <v>0.20121488230827644</v>
      </c>
      <c r="CJ343" s="1135">
        <f t="shared" si="1618"/>
        <v>0.22290809327846373</v>
      </c>
      <c r="CK343" s="1135">
        <f t="shared" si="1618"/>
        <v>0.28105906313645623</v>
      </c>
      <c r="CL343" s="1135">
        <f t="shared" si="1618"/>
        <v>0.23375142531356907</v>
      </c>
      <c r="CM343" s="1136">
        <f t="shared" si="1618"/>
        <v>0.23558813728757078</v>
      </c>
      <c r="CN343" s="1135">
        <f t="shared" si="1618"/>
        <v>0.17572692793931721</v>
      </c>
      <c r="CO343" s="1135">
        <f t="shared" si="1618"/>
        <v>5.6646102075154303E-2</v>
      </c>
      <c r="CP343" s="1135">
        <f t="shared" si="1618"/>
        <v>4.5574986751457436E-2</v>
      </c>
      <c r="CQ343" s="1135">
        <f t="shared" si="1618"/>
        <v>0.12707948243992617</v>
      </c>
      <c r="CR343" s="1136">
        <f t="shared" si="1618"/>
        <v>9.9784250269687069E-2</v>
      </c>
      <c r="CS343" s="1135">
        <f t="shared" si="1618"/>
        <v>0.15322580645161299</v>
      </c>
      <c r="CT343" s="1135">
        <f t="shared" si="1618"/>
        <v>0.15552016985137995</v>
      </c>
      <c r="CU343" s="1135">
        <f t="shared" si="1618"/>
        <v>0.14951849974657883</v>
      </c>
      <c r="CV343" s="1135">
        <f t="shared" si="1618"/>
        <v>0.15498154981549805</v>
      </c>
      <c r="CW343" s="1136">
        <f t="shared" si="1618"/>
        <v>0.15338401177047567</v>
      </c>
      <c r="CX343" s="1135">
        <f t="shared" si="1618"/>
        <v>7.9917013286460614E-2</v>
      </c>
      <c r="CY343" s="1135"/>
      <c r="CZ343" s="1135"/>
      <c r="DA343" s="1135"/>
      <c r="DB343" s="1136"/>
      <c r="DC343" s="2660"/>
      <c r="DD343" s="2660"/>
      <c r="DE343" s="2660"/>
      <c r="DF343" s="2660"/>
      <c r="DG343" s="1136"/>
      <c r="DH343" s="2660"/>
      <c r="DI343" s="2660"/>
      <c r="DJ343" s="2660"/>
      <c r="DK343" s="2660"/>
      <c r="DL343" s="1136"/>
      <c r="DM343" s="2660"/>
      <c r="DN343" s="2660"/>
      <c r="DO343" s="2660"/>
      <c r="DP343" s="2660"/>
      <c r="DQ343" s="1136"/>
      <c r="DR343" s="2660"/>
      <c r="DS343" s="2660"/>
      <c r="DT343" s="2660"/>
      <c r="DU343" s="2660"/>
      <c r="DV343" s="1136"/>
      <c r="DW343" s="2660"/>
      <c r="DX343" s="2660"/>
      <c r="DY343" s="2660"/>
      <c r="DZ343" s="2660"/>
      <c r="EA343" s="1136"/>
      <c r="EB343" s="2660"/>
      <c r="EC343" s="2660"/>
      <c r="ED343" s="2660"/>
      <c r="EE343" s="2660"/>
      <c r="EF343" s="2597"/>
      <c r="EG343" s="2660"/>
      <c r="EH343" s="2660"/>
      <c r="EI343" s="2660"/>
      <c r="EJ343" s="2660"/>
      <c r="EK343" s="2597"/>
      <c r="EL343" s="2660"/>
      <c r="EM343" s="2660"/>
      <c r="EN343" s="2660"/>
      <c r="EO343" s="2660"/>
      <c r="EP343" s="2597"/>
      <c r="EQ343" s="2660"/>
      <c r="ER343" s="2660"/>
      <c r="ES343" s="2660"/>
      <c r="ET343" s="2660"/>
      <c r="EU343" s="2597"/>
      <c r="EV343" s="2597"/>
      <c r="EW343" s="2597"/>
      <c r="EX343" s="2597"/>
      <c r="EY343" s="2597"/>
      <c r="EZ343" s="169"/>
      <c r="FA343" s="715"/>
      <c r="FB343" s="715"/>
      <c r="FC343" s="715"/>
      <c r="FD343" s="715"/>
      <c r="FE343" s="715"/>
      <c r="FF343" s="715"/>
      <c r="FG343" s="715"/>
      <c r="FH343" s="715"/>
      <c r="FI343" s="715"/>
      <c r="FJ343" s="715"/>
      <c r="FK343" s="715"/>
      <c r="FL343" s="715"/>
    </row>
    <row r="344" spans="1:168" ht="11.25" hidden="1" customHeight="1">
      <c r="A344" s="3799" t="s">
        <v>51</v>
      </c>
      <c r="B344" s="1135"/>
      <c r="C344" s="1135"/>
      <c r="D344" s="1135"/>
      <c r="E344" s="1135"/>
      <c r="F344" s="1136"/>
      <c r="G344" s="1135"/>
      <c r="H344" s="1135"/>
      <c r="I344" s="1135"/>
      <c r="J344" s="1135"/>
      <c r="K344" s="1136">
        <f>+K21/F21-1</f>
        <v>2.5683865683865683</v>
      </c>
      <c r="L344" s="1135"/>
      <c r="M344" s="1135"/>
      <c r="N344" s="1135"/>
      <c r="O344" s="1135"/>
      <c r="P344" s="1136">
        <f>+P21/K21-1</f>
        <v>1.8173054854257518</v>
      </c>
      <c r="Q344" s="1135" t="s">
        <v>116</v>
      </c>
      <c r="R344" s="1135" t="s">
        <v>116</v>
      </c>
      <c r="S344" s="1135" t="s">
        <v>116</v>
      </c>
      <c r="T344" s="1135" t="s">
        <v>116</v>
      </c>
      <c r="U344" s="1136">
        <f t="shared" ref="U344:BN344" si="1619">+U21/P21-1</f>
        <v>0.9796334012219956</v>
      </c>
      <c r="V344" s="1135">
        <f t="shared" si="1619"/>
        <v>1.4249093107617896</v>
      </c>
      <c r="W344" s="1135">
        <f t="shared" si="1619"/>
        <v>1.2174066867150186</v>
      </c>
      <c r="X344" s="1135">
        <f t="shared" si="1619"/>
        <v>0.89429782578968964</v>
      </c>
      <c r="Y344" s="1135">
        <f t="shared" si="1619"/>
        <v>1.8176135574385333</v>
      </c>
      <c r="Z344" s="1136">
        <f t="shared" si="1619"/>
        <v>1.3332921810699592</v>
      </c>
      <c r="AA344" s="1135">
        <f t="shared" si="1619"/>
        <v>1.1448090156577244</v>
      </c>
      <c r="AB344" s="1135">
        <f t="shared" si="1619"/>
        <v>1.0404467491025131</v>
      </c>
      <c r="AC344" s="1135">
        <f t="shared" si="1619"/>
        <v>1.9433335739551003</v>
      </c>
      <c r="AD344" s="1135">
        <f t="shared" si="1619"/>
        <v>1.5558568329718008</v>
      </c>
      <c r="AE344" s="1136">
        <f t="shared" si="1619"/>
        <v>1.4638882519973895</v>
      </c>
      <c r="AF344" s="1135">
        <f t="shared" si="1619"/>
        <v>1.6627917790384079</v>
      </c>
      <c r="AG344" s="1135">
        <f t="shared" si="1619"/>
        <v>1.7981389529655547</v>
      </c>
      <c r="AH344" s="1135">
        <f t="shared" si="1619"/>
        <v>1.2669838622651688</v>
      </c>
      <c r="AI344" s="1135">
        <f t="shared" si="1619"/>
        <v>1.2004320737611631</v>
      </c>
      <c r="AJ344" s="1136">
        <f t="shared" si="1619"/>
        <v>1.4004652827487476</v>
      </c>
      <c r="AK344" s="1135">
        <f t="shared" si="1619"/>
        <v>1.5500122236580172</v>
      </c>
      <c r="AL344" s="1135">
        <f t="shared" si="1619"/>
        <v>1.1051307847082494</v>
      </c>
      <c r="AM344" s="1135">
        <f t="shared" si="1619"/>
        <v>0.82493454789363208</v>
      </c>
      <c r="AN344" s="1135">
        <f t="shared" si="1619"/>
        <v>0.69021801064193489</v>
      </c>
      <c r="AO344" s="1136">
        <f t="shared" si="1619"/>
        <v>0.96272495489719501</v>
      </c>
      <c r="AP344" s="1135">
        <f t="shared" si="1619"/>
        <v>0.57475569921043079</v>
      </c>
      <c r="AQ344" s="1135">
        <f t="shared" si="1619"/>
        <v>0.85124120536306891</v>
      </c>
      <c r="AR344" s="1135">
        <f t="shared" si="1619"/>
        <v>0.70758687739350079</v>
      </c>
      <c r="AS344" s="1135">
        <f t="shared" si="1619"/>
        <v>0.75016466561211503</v>
      </c>
      <c r="AT344" s="1136">
        <f t="shared" si="1619"/>
        <v>0.72347194579072904</v>
      </c>
      <c r="AU344" s="1135">
        <f t="shared" si="1619"/>
        <v>0.62658723256218485</v>
      </c>
      <c r="AV344" s="1135">
        <f t="shared" si="1619"/>
        <v>0.58249673727537443</v>
      </c>
      <c r="AW344" s="1135">
        <f t="shared" si="1619"/>
        <v>0.63693993320511288</v>
      </c>
      <c r="AX344" s="1135">
        <f t="shared" si="1619"/>
        <v>0.11337114544624827</v>
      </c>
      <c r="AY344" s="1136">
        <f t="shared" si="1619"/>
        <v>0.46570172747564298</v>
      </c>
      <c r="AZ344" s="1135">
        <f t="shared" si="1619"/>
        <v>9.865525999197966E-2</v>
      </c>
      <c r="BA344" s="1135">
        <f t="shared" si="1619"/>
        <v>-0.26503553699722004</v>
      </c>
      <c r="BB344" s="1135">
        <f t="shared" si="1619"/>
        <v>-0.26877038645724194</v>
      </c>
      <c r="BC344" s="1135">
        <f t="shared" si="1619"/>
        <v>0.13522713964803201</v>
      </c>
      <c r="BD344" s="1136">
        <f t="shared" si="1619"/>
        <v>-9.3825463070722481E-2</v>
      </c>
      <c r="BE344" s="1698">
        <f t="shared" si="1619"/>
        <v>-9.9651540812552342E-2</v>
      </c>
      <c r="BF344" s="1135">
        <f t="shared" si="1619"/>
        <v>0.28856445288416488</v>
      </c>
      <c r="BG344" s="1135">
        <f t="shared" si="1619"/>
        <v>0.38927157503951726</v>
      </c>
      <c r="BH344" s="1135">
        <f t="shared" si="1619"/>
        <v>0.19102604079967556</v>
      </c>
      <c r="BI344" s="1136">
        <f t="shared" si="1619"/>
        <v>0.17810881344862639</v>
      </c>
      <c r="BJ344" s="1135">
        <f t="shared" si="1619"/>
        <v>0.41351351351351351</v>
      </c>
      <c r="BK344" s="1135">
        <f t="shared" si="1619"/>
        <v>0.3995215311004785</v>
      </c>
      <c r="BL344" s="1135">
        <f t="shared" si="1619"/>
        <v>0.2359081419624216</v>
      </c>
      <c r="BM344" s="1135">
        <f t="shared" si="1619"/>
        <v>0.41929133858267709</v>
      </c>
      <c r="BN344" s="1136">
        <f t="shared" si="1619"/>
        <v>0.36394366197183103</v>
      </c>
      <c r="BO344" s="1135">
        <v>0.28298279158699802</v>
      </c>
      <c r="BP344" s="1135">
        <v>0.31794871794871793</v>
      </c>
      <c r="BQ344" s="1135">
        <v>0.50844594594594605</v>
      </c>
      <c r="BR344" s="2170">
        <v>0.39667128987517342</v>
      </c>
      <c r="BS344" s="2171">
        <v>0.3804213135068153</v>
      </c>
      <c r="BT344" s="1135">
        <f>+BT21/BJ21-1</f>
        <v>0.28298279158699802</v>
      </c>
      <c r="BU344" s="1135">
        <f>+BU21/BK21-1</f>
        <v>0.24102564102564106</v>
      </c>
      <c r="BV344" s="1135">
        <f>+BV21/BL21-1</f>
        <v>0.33277027027027017</v>
      </c>
      <c r="BW344" s="1135">
        <f>+BW21/BM21-1</f>
        <v>0.25381414701803062</v>
      </c>
      <c r="BX344" s="1136">
        <f>+BX21/BN21-1</f>
        <v>0.27633209417596039</v>
      </c>
      <c r="BY344" s="1135">
        <v>0.51713859910581217</v>
      </c>
      <c r="BZ344" s="1135">
        <v>0.40596627756160819</v>
      </c>
      <c r="CA344" s="1135">
        <v>0.20604703247480405</v>
      </c>
      <c r="CB344" s="1135">
        <v>0.13008937437934454</v>
      </c>
      <c r="CC344" s="1136">
        <v>0.29174147217235191</v>
      </c>
      <c r="CD344" s="1135">
        <f>+CD21/BT21-1</f>
        <v>0.36363636363636354</v>
      </c>
      <c r="CE344" s="1135">
        <f>+CE21/BU21-1</f>
        <v>0.36501377410468328</v>
      </c>
      <c r="CF344" s="1135">
        <f>+CF21/BV21-1</f>
        <v>0.27122940430925224</v>
      </c>
      <c r="CG344" s="1135">
        <f>+CG21/BW21-1</f>
        <v>0.17035398230088505</v>
      </c>
      <c r="CH344" s="1136">
        <f>+CH21/BX21-1</f>
        <v>0.28381877022653712</v>
      </c>
      <c r="CI344" s="1135">
        <f t="shared" ref="CI344:CX344" si="1620">+CI21/CD21-1</f>
        <v>0.47322404371584703</v>
      </c>
      <c r="CJ344" s="1135">
        <f t="shared" si="1620"/>
        <v>0.24016145307769921</v>
      </c>
      <c r="CK344" s="1135">
        <f t="shared" si="1620"/>
        <v>0.13858424725822527</v>
      </c>
      <c r="CL344" s="1135">
        <f t="shared" si="1620"/>
        <v>0.32986767485822299</v>
      </c>
      <c r="CM344" s="1136">
        <f t="shared" si="1620"/>
        <v>0.29216032266196112</v>
      </c>
      <c r="CN344" s="1135">
        <f t="shared" si="1620"/>
        <v>4.8961424332344183E-2</v>
      </c>
      <c r="CO344" s="1135">
        <f t="shared" si="1620"/>
        <v>2.5223759153783609E-2</v>
      </c>
      <c r="CP344" s="1135">
        <f t="shared" si="1620"/>
        <v>0.1094570928196148</v>
      </c>
      <c r="CQ344" s="1135">
        <f t="shared" si="1620"/>
        <v>-2.8429282160625458E-2</v>
      </c>
      <c r="CR344" s="1136">
        <f t="shared" si="1620"/>
        <v>3.5505267264923868E-2</v>
      </c>
      <c r="CS344" s="1135">
        <f t="shared" si="1620"/>
        <v>-0.1223479490806223</v>
      </c>
      <c r="CT344" s="1135">
        <f t="shared" si="1620"/>
        <v>7.3809523809523769E-2</v>
      </c>
      <c r="CU344" s="1135">
        <f t="shared" si="1620"/>
        <v>0.1902131018153117</v>
      </c>
      <c r="CV344" s="1135">
        <f t="shared" si="1620"/>
        <v>0.25969275786393564</v>
      </c>
      <c r="CW344" s="1136">
        <f t="shared" si="1620"/>
        <v>9.7211755840241221E-2</v>
      </c>
      <c r="CX344" s="1135">
        <f t="shared" si="1620"/>
        <v>0.18640910110760656</v>
      </c>
      <c r="CY344" s="1135"/>
      <c r="CZ344" s="1135"/>
      <c r="DA344" s="1135"/>
      <c r="DB344" s="1136"/>
      <c r="DC344" s="2660"/>
      <c r="DD344" s="2660"/>
      <c r="DE344" s="2660"/>
      <c r="DF344" s="2660"/>
      <c r="DG344" s="1136"/>
      <c r="DH344" s="2660"/>
      <c r="DI344" s="2660"/>
      <c r="DJ344" s="2660"/>
      <c r="DK344" s="2660"/>
      <c r="DL344" s="1136"/>
      <c r="DM344" s="2660"/>
      <c r="DN344" s="2660"/>
      <c r="DO344" s="2660"/>
      <c r="DP344" s="2660"/>
      <c r="DQ344" s="1136"/>
      <c r="DR344" s="2660"/>
      <c r="DS344" s="2660"/>
      <c r="DT344" s="2660"/>
      <c r="DU344" s="2660"/>
      <c r="DV344" s="1136"/>
      <c r="DW344" s="2660"/>
      <c r="DX344" s="2660"/>
      <c r="DY344" s="2660"/>
      <c r="DZ344" s="2660"/>
      <c r="EA344" s="1136"/>
      <c r="EB344" s="2660"/>
      <c r="EC344" s="2660"/>
      <c r="ED344" s="2660"/>
      <c r="EE344" s="2660"/>
      <c r="EF344" s="2597"/>
      <c r="EG344" s="2660"/>
      <c r="EH344" s="2660"/>
      <c r="EI344" s="2660"/>
      <c r="EJ344" s="2660"/>
      <c r="EK344" s="2597"/>
      <c r="EL344" s="2660"/>
      <c r="EM344" s="2660"/>
      <c r="EN344" s="2660"/>
      <c r="EO344" s="2660"/>
      <c r="EP344" s="2597"/>
      <c r="EQ344" s="2660"/>
      <c r="ER344" s="2660"/>
      <c r="ES344" s="2660"/>
      <c r="ET344" s="2660"/>
      <c r="EU344" s="2597"/>
      <c r="EV344" s="2597"/>
      <c r="EW344" s="2597"/>
      <c r="EX344" s="2597"/>
      <c r="EY344" s="2597"/>
      <c r="EZ344" s="169"/>
      <c r="FA344" s="715"/>
      <c r="FB344" s="715"/>
      <c r="FC344" s="715"/>
      <c r="FD344" s="715"/>
      <c r="FE344" s="715"/>
      <c r="FF344" s="715"/>
      <c r="FG344" s="715"/>
      <c r="FH344" s="715"/>
      <c r="FI344" s="715"/>
      <c r="FJ344" s="715"/>
      <c r="FK344" s="715"/>
      <c r="FL344" s="715"/>
    </row>
    <row r="345" spans="1:168" ht="11.25" hidden="1" customHeight="1">
      <c r="A345" s="3799" t="s">
        <v>53</v>
      </c>
      <c r="B345" s="1135"/>
      <c r="C345" s="1135"/>
      <c r="D345" s="1135"/>
      <c r="E345" s="1135"/>
      <c r="F345" s="1136"/>
      <c r="G345" s="1135"/>
      <c r="H345" s="1135"/>
      <c r="I345" s="1135"/>
      <c r="J345" s="1135"/>
      <c r="K345" s="1136" t="e">
        <f>+K24/F24-1</f>
        <v>#DIV/0!</v>
      </c>
      <c r="L345" s="1135"/>
      <c r="M345" s="1135"/>
      <c r="N345" s="1135"/>
      <c r="O345" s="1135"/>
      <c r="P345" s="1136">
        <f>+P24/K24-1</f>
        <v>3.9413407821229054</v>
      </c>
      <c r="Q345" s="1135" t="s">
        <v>116</v>
      </c>
      <c r="R345" s="1135" t="s">
        <v>116</v>
      </c>
      <c r="S345" s="1135" t="s">
        <v>116</v>
      </c>
      <c r="T345" s="1135" t="s">
        <v>116</v>
      </c>
      <c r="U345" s="1136">
        <f t="shared" ref="U345:BN345" si="1621">+U24/P24-1</f>
        <v>0.7471533554066061</v>
      </c>
      <c r="V345" s="1135">
        <f t="shared" si="1621"/>
        <v>8.6497085320614726</v>
      </c>
      <c r="W345" s="1135">
        <f t="shared" si="1621"/>
        <v>8.1472556894243642</v>
      </c>
      <c r="X345" s="1135">
        <f t="shared" si="1621"/>
        <v>10.93691362018764</v>
      </c>
      <c r="Y345" s="1135">
        <f t="shared" si="1621"/>
        <v>9.6978851963746209</v>
      </c>
      <c r="Z345" s="1136">
        <f t="shared" si="1621"/>
        <v>9.6013866420152514</v>
      </c>
      <c r="AA345" s="1135">
        <f t="shared" si="1621"/>
        <v>1.0998681970454172</v>
      </c>
      <c r="AB345" s="1135">
        <f t="shared" si="1621"/>
        <v>1.1882335723693838</v>
      </c>
      <c r="AC345" s="1135">
        <f t="shared" si="1621"/>
        <v>-7.877334200612518E-2</v>
      </c>
      <c r="AD345" s="1135">
        <f t="shared" si="1621"/>
        <v>-0.29950343594088291</v>
      </c>
      <c r="AE345" s="1136">
        <f t="shared" si="1621"/>
        <v>0.21531559419430502</v>
      </c>
      <c r="AF345" s="1135">
        <f t="shared" si="1621"/>
        <v>-0.36045401645025044</v>
      </c>
      <c r="AG345" s="1135">
        <f t="shared" si="1621"/>
        <v>-0.36680889768729685</v>
      </c>
      <c r="AH345" s="1135">
        <f t="shared" si="1621"/>
        <v>-0.31880966740706962</v>
      </c>
      <c r="AI345" s="1135">
        <f t="shared" si="1621"/>
        <v>-2.3130805798659448E-2</v>
      </c>
      <c r="AJ345" s="1136">
        <f t="shared" si="1621"/>
        <v>-0.27996096804976567</v>
      </c>
      <c r="AK345" s="1135">
        <f t="shared" si="1621"/>
        <v>1.3444835200785148</v>
      </c>
      <c r="AL345" s="1135">
        <f t="shared" si="1621"/>
        <v>1.3057374625036968</v>
      </c>
      <c r="AM345" s="1135">
        <f t="shared" si="1621"/>
        <v>1.1564308542800381</v>
      </c>
      <c r="AN345" s="1135">
        <f t="shared" si="1621"/>
        <v>1.3115692815627469</v>
      </c>
      <c r="AO345" s="1136">
        <f t="shared" si="1621"/>
        <v>1.2824202323773841</v>
      </c>
      <c r="AP345" s="1135">
        <f t="shared" si="1621"/>
        <v>0.60351984929882074</v>
      </c>
      <c r="AQ345" s="1135">
        <f t="shared" si="1621"/>
        <v>1.2127916884259133</v>
      </c>
      <c r="AR345" s="1135">
        <f t="shared" si="1621"/>
        <v>0.98233526937712812</v>
      </c>
      <c r="AS345" s="1135">
        <f t="shared" si="1621"/>
        <v>0.82478222380920507</v>
      </c>
      <c r="AT345" s="1136">
        <f t="shared" si="1621"/>
        <v>0.89619297096703754</v>
      </c>
      <c r="AU345" s="1135">
        <f t="shared" si="1621"/>
        <v>0.52708494229493219</v>
      </c>
      <c r="AV345" s="1135">
        <f t="shared" si="1621"/>
        <v>0.12939500836355822</v>
      </c>
      <c r="AW345" s="1135">
        <f t="shared" si="1621"/>
        <v>0.41465275111640976</v>
      </c>
      <c r="AX345" s="1135">
        <f t="shared" si="1621"/>
        <v>0.16662046473705638</v>
      </c>
      <c r="AY345" s="1136">
        <f t="shared" si="1621"/>
        <v>0.28909360084545388</v>
      </c>
      <c r="AZ345" s="1135">
        <f t="shared" si="1621"/>
        <v>-1.1738769637330448E-2</v>
      </c>
      <c r="BA345" s="1135">
        <f t="shared" si="1621"/>
        <v>7.4398040883362215E-2</v>
      </c>
      <c r="BB345" s="1135">
        <f t="shared" si="1621"/>
        <v>0.1338670685154566</v>
      </c>
      <c r="BC345" s="1135">
        <f t="shared" si="1621"/>
        <v>-3.5635911270145204E-2</v>
      </c>
      <c r="BD345" s="1136">
        <f t="shared" si="1621"/>
        <v>3.9551120501962078E-2</v>
      </c>
      <c r="BE345" s="1698">
        <f t="shared" si="1621"/>
        <v>4.8712894123243533E-2</v>
      </c>
      <c r="BF345" s="1135">
        <f t="shared" si="1621"/>
        <v>5.4355614699559629E-2</v>
      </c>
      <c r="BG345" s="1135">
        <f t="shared" si="1621"/>
        <v>0.196748622951749</v>
      </c>
      <c r="BH345" s="1135">
        <f t="shared" si="1621"/>
        <v>0.43491778210990906</v>
      </c>
      <c r="BI345" s="1136">
        <f t="shared" si="1621"/>
        <v>0.18207574562692108</v>
      </c>
      <c r="BJ345" s="1135">
        <f t="shared" si="1621"/>
        <v>0.48453608247422686</v>
      </c>
      <c r="BK345" s="1135">
        <f t="shared" si="1621"/>
        <v>0.40776699029126218</v>
      </c>
      <c r="BL345" s="1135">
        <f t="shared" si="1621"/>
        <v>0.50263157894736832</v>
      </c>
      <c r="BM345" s="1135">
        <f t="shared" si="1621"/>
        <v>0.35353535353535359</v>
      </c>
      <c r="BN345" s="1136">
        <f t="shared" si="1621"/>
        <v>0.43459302325581395</v>
      </c>
      <c r="BO345" s="1135">
        <v>0.28298279158699802</v>
      </c>
      <c r="BP345" s="1135">
        <v>0.31794871794871793</v>
      </c>
      <c r="BQ345" s="1135">
        <v>0.50844594594594605</v>
      </c>
      <c r="BR345" s="2170">
        <v>0.39667128987517342</v>
      </c>
      <c r="BS345" s="2171">
        <v>0.3804213135068153</v>
      </c>
      <c r="BT345" s="1135">
        <f>+BT24/BJ24-1</f>
        <v>0.28703703703703698</v>
      </c>
      <c r="BU345" s="1135">
        <f>+BU24/BK24-1</f>
        <v>0.2689655172413794</v>
      </c>
      <c r="BV345" s="1135">
        <f>+BV24/BL24-1</f>
        <v>0.20490367775831864</v>
      </c>
      <c r="BW345" s="1135">
        <f>+BW24/BM24-1</f>
        <v>0.26305970149253732</v>
      </c>
      <c r="BX345" s="1136">
        <f>+BX24/BN24-1</f>
        <v>0.25278622087132718</v>
      </c>
      <c r="BY345" s="1135">
        <v>0.51713859910581217</v>
      </c>
      <c r="BZ345" s="1135">
        <v>0.40596627756160819</v>
      </c>
      <c r="CA345" s="1135">
        <v>0.20604703247480405</v>
      </c>
      <c r="CB345" s="1135">
        <v>0.13008937437934454</v>
      </c>
      <c r="CC345" s="1136">
        <v>0.29174147217235191</v>
      </c>
      <c r="CD345" s="1135">
        <f>+CD24/BT24-1</f>
        <v>0.17805755395683454</v>
      </c>
      <c r="CE345" s="1135">
        <f>+CE24/BU24-1</f>
        <v>0.34601449275362328</v>
      </c>
      <c r="CF345" s="1135">
        <f>+CF24/BV24-1</f>
        <v>0.2441860465116279</v>
      </c>
      <c r="CG345" s="1135">
        <f>+CG24/BW24-1</f>
        <v>0.28951255539143284</v>
      </c>
      <c r="CH345" s="1136">
        <f>+CH24/BX24-1</f>
        <v>0.26445612616255554</v>
      </c>
      <c r="CI345" s="1135">
        <f t="shared" ref="CI345:CX345" si="1622">+CI24/CD24-1</f>
        <v>0.28091603053435121</v>
      </c>
      <c r="CJ345" s="1135">
        <f t="shared" si="1622"/>
        <v>0.18438761776581436</v>
      </c>
      <c r="CK345" s="1135">
        <f t="shared" si="1622"/>
        <v>0.4661214953271029</v>
      </c>
      <c r="CL345" s="1135">
        <f t="shared" si="1622"/>
        <v>0.37571592210767468</v>
      </c>
      <c r="CM345" s="1136">
        <f t="shared" si="1622"/>
        <v>0.33514550687559952</v>
      </c>
      <c r="CN345" s="1135">
        <f t="shared" si="1622"/>
        <v>0.43384982121573312</v>
      </c>
      <c r="CO345" s="1135">
        <f t="shared" si="1622"/>
        <v>0.28636363636363638</v>
      </c>
      <c r="CP345" s="1135">
        <f t="shared" si="1622"/>
        <v>0.1410358565737051</v>
      </c>
      <c r="CQ345" s="1135">
        <f t="shared" si="1622"/>
        <v>0.19567027477102417</v>
      </c>
      <c r="CR345" s="1136">
        <f t="shared" si="1622"/>
        <v>0.24622754491017962</v>
      </c>
      <c r="CS345" s="1135">
        <f t="shared" si="1622"/>
        <v>0.24189526184538646</v>
      </c>
      <c r="CT345" s="1135">
        <f t="shared" si="1622"/>
        <v>0.32773851590106018</v>
      </c>
      <c r="CU345" s="1135">
        <f t="shared" si="1622"/>
        <v>0.2988826815642458</v>
      </c>
      <c r="CV345" s="1135">
        <f t="shared" si="1622"/>
        <v>0.28551532033426175</v>
      </c>
      <c r="CW345" s="1136">
        <f t="shared" si="1622"/>
        <v>0.2882952142994426</v>
      </c>
      <c r="CX345" s="1135">
        <f t="shared" si="1622"/>
        <v>0.34471218206157972</v>
      </c>
      <c r="CY345" s="1135"/>
      <c r="CZ345" s="1135"/>
      <c r="DA345" s="1135"/>
      <c r="DB345" s="1136"/>
      <c r="DC345" s="2660"/>
      <c r="DD345" s="2660"/>
      <c r="DE345" s="2660"/>
      <c r="DF345" s="2660"/>
      <c r="DG345" s="1136"/>
      <c r="DH345" s="2660"/>
      <c r="DI345" s="2660"/>
      <c r="DJ345" s="2660"/>
      <c r="DK345" s="2660"/>
      <c r="DL345" s="1136"/>
      <c r="DM345" s="2660"/>
      <c r="DN345" s="2660"/>
      <c r="DO345" s="2660"/>
      <c r="DP345" s="2660"/>
      <c r="DQ345" s="1136"/>
      <c r="DR345" s="2660"/>
      <c r="DS345" s="2660"/>
      <c r="DT345" s="2660"/>
      <c r="DU345" s="2660"/>
      <c r="DV345" s="1136"/>
      <c r="DW345" s="2660"/>
      <c r="DX345" s="2660"/>
      <c r="DY345" s="2660"/>
      <c r="DZ345" s="2660"/>
      <c r="EA345" s="1136"/>
      <c r="EB345" s="2660"/>
      <c r="EC345" s="2660"/>
      <c r="ED345" s="2660"/>
      <c r="EE345" s="2660"/>
      <c r="EF345" s="2597"/>
      <c r="EG345" s="2660"/>
      <c r="EH345" s="2660"/>
      <c r="EI345" s="2660"/>
      <c r="EJ345" s="2660"/>
      <c r="EK345" s="2597"/>
      <c r="EL345" s="2660"/>
      <c r="EM345" s="2660"/>
      <c r="EN345" s="2660"/>
      <c r="EO345" s="2660"/>
      <c r="EP345" s="2597"/>
      <c r="EQ345" s="2660"/>
      <c r="ER345" s="2660"/>
      <c r="ES345" s="2660"/>
      <c r="ET345" s="2660"/>
      <c r="EU345" s="2597"/>
      <c r="EV345" s="2597"/>
      <c r="EW345" s="2597"/>
      <c r="EX345" s="2597"/>
      <c r="EY345" s="2597"/>
      <c r="EZ345" s="169"/>
      <c r="FA345" s="715"/>
      <c r="FB345" s="715"/>
      <c r="FC345" s="715"/>
      <c r="FD345" s="715"/>
      <c r="FE345" s="715"/>
      <c r="FF345" s="715"/>
      <c r="FG345" s="715"/>
      <c r="FH345" s="715"/>
      <c r="FI345" s="715"/>
      <c r="FJ345" s="715"/>
      <c r="FK345" s="715"/>
      <c r="FL345" s="715"/>
    </row>
    <row r="346" spans="1:168" s="151" customFormat="1" ht="11.25" hidden="1" customHeight="1">
      <c r="A346" s="3802" t="s">
        <v>52</v>
      </c>
      <c r="B346" s="2172"/>
      <c r="C346" s="2172"/>
      <c r="D346" s="2172"/>
      <c r="E346" s="2172"/>
      <c r="F346" s="2173"/>
      <c r="G346" s="2172"/>
      <c r="H346" s="2172"/>
      <c r="I346" s="2172"/>
      <c r="J346" s="2172"/>
      <c r="K346" s="2173">
        <f>+K26/F26-1</f>
        <v>3.763898421413864</v>
      </c>
      <c r="L346" s="2172"/>
      <c r="M346" s="2172"/>
      <c r="N346" s="2172"/>
      <c r="O346" s="2172"/>
      <c r="P346" s="2173">
        <f>+P26/K26-1</f>
        <v>1.2055179368967006</v>
      </c>
      <c r="Q346" s="2172" t="s">
        <v>116</v>
      </c>
      <c r="R346" s="2172" t="s">
        <v>116</v>
      </c>
      <c r="S346" s="2172" t="s">
        <v>116</v>
      </c>
      <c r="T346" s="2172" t="s">
        <v>116</v>
      </c>
      <c r="U346" s="2173">
        <f t="shared" ref="U346:BN346" si="1623">+U26/P26-1</f>
        <v>0.98471437436718201</v>
      </c>
      <c r="V346" s="2172">
        <f t="shared" si="1623"/>
        <v>2.5872533433087059</v>
      </c>
      <c r="W346" s="2172">
        <f t="shared" si="1623"/>
        <v>2.2942526183338892</v>
      </c>
      <c r="X346" s="2172">
        <f t="shared" si="1623"/>
        <v>3.5835571645451347</v>
      </c>
      <c r="Y346" s="2172">
        <f t="shared" si="1623"/>
        <v>3.4989838705528253</v>
      </c>
      <c r="Z346" s="2173">
        <f t="shared" si="1623"/>
        <v>3.0945265444491978</v>
      </c>
      <c r="AA346" s="2172">
        <f t="shared" si="1623"/>
        <v>1.3580431977267096</v>
      </c>
      <c r="AB346" s="2172">
        <f t="shared" si="1623"/>
        <v>1.2791583346439883</v>
      </c>
      <c r="AC346" s="2172">
        <f t="shared" si="1623"/>
        <v>0.47568090906774696</v>
      </c>
      <c r="AD346" s="2172">
        <f t="shared" si="1623"/>
        <v>0.57198565947543867</v>
      </c>
      <c r="AE346" s="2173">
        <f t="shared" si="1623"/>
        <v>0.78928732195106277</v>
      </c>
      <c r="AF346" s="2172">
        <f t="shared" si="1623"/>
        <v>0.48443908856729068</v>
      </c>
      <c r="AG346" s="2172">
        <f t="shared" si="1623"/>
        <v>0.53640875998757864</v>
      </c>
      <c r="AH346" s="2172">
        <f t="shared" si="1623"/>
        <v>0.70694849703896812</v>
      </c>
      <c r="AI346" s="2172">
        <f t="shared" si="1623"/>
        <v>0.7607548295340878</v>
      </c>
      <c r="AJ346" s="2173">
        <f t="shared" si="1623"/>
        <v>0.63949580964489261</v>
      </c>
      <c r="AK346" s="2172">
        <f t="shared" si="1623"/>
        <v>1.2686547155337418</v>
      </c>
      <c r="AL346" s="2172">
        <f t="shared" si="1623"/>
        <v>1.0978659103887689</v>
      </c>
      <c r="AM346" s="2172">
        <f t="shared" si="1623"/>
        <v>0.79984018570825333</v>
      </c>
      <c r="AN346" s="2172">
        <f t="shared" si="1623"/>
        <v>0.80268637723313896</v>
      </c>
      <c r="AO346" s="2173">
        <f t="shared" si="1623"/>
        <v>0.95066349447961329</v>
      </c>
      <c r="AP346" s="2172">
        <f t="shared" si="1623"/>
        <v>0.60323856734841241</v>
      </c>
      <c r="AQ346" s="2172">
        <f t="shared" si="1623"/>
        <v>0.85771108824010667</v>
      </c>
      <c r="AR346" s="2172">
        <f t="shared" si="1623"/>
        <v>0.7631795977031679</v>
      </c>
      <c r="AS346" s="2172">
        <f t="shared" si="1623"/>
        <v>0.64602981790678737</v>
      </c>
      <c r="AT346" s="2173">
        <f t="shared" si="1623"/>
        <v>0.7147681387536251</v>
      </c>
      <c r="AU346" s="2172">
        <f t="shared" si="1623"/>
        <v>0.57507998669021476</v>
      </c>
      <c r="AV346" s="2172">
        <f t="shared" si="1623"/>
        <v>0.35912935245568334</v>
      </c>
      <c r="AW346" s="2172">
        <f t="shared" si="1623"/>
        <v>0.37945171422970825</v>
      </c>
      <c r="AX346" s="2172">
        <f t="shared" si="1623"/>
        <v>0.15763223392220027</v>
      </c>
      <c r="AY346" s="2173">
        <f t="shared" si="1623"/>
        <v>0.34827559371185624</v>
      </c>
      <c r="AZ346" s="2172">
        <f t="shared" si="1623"/>
        <v>-1.2922348903419145E-3</v>
      </c>
      <c r="BA346" s="2172">
        <f t="shared" si="1623"/>
        <v>-5.8394279951666905E-2</v>
      </c>
      <c r="BB346" s="2172">
        <f t="shared" si="1623"/>
        <v>-4.124447987337998E-2</v>
      </c>
      <c r="BC346" s="2172">
        <f t="shared" si="1623"/>
        <v>7.6797847478400794E-2</v>
      </c>
      <c r="BD346" s="2173">
        <f t="shared" si="1623"/>
        <v>-6.3950102484821025E-3</v>
      </c>
      <c r="BE346" s="2174">
        <f t="shared" si="1623"/>
        <v>0.19823070594728565</v>
      </c>
      <c r="BF346" s="2172">
        <f t="shared" si="1623"/>
        <v>0.28391173685727233</v>
      </c>
      <c r="BG346" s="2172">
        <f t="shared" si="1623"/>
        <v>0.3224771714532908</v>
      </c>
      <c r="BH346" s="2172">
        <f t="shared" si="1623"/>
        <v>0.42809829471547767</v>
      </c>
      <c r="BI346" s="2173">
        <f t="shared" si="1623"/>
        <v>0.31303914061290139</v>
      </c>
      <c r="BJ346" s="2172">
        <f t="shared" si="1623"/>
        <v>0.57088538837588265</v>
      </c>
      <c r="BK346" s="2172">
        <f t="shared" si="1623"/>
        <v>0.51503006012024044</v>
      </c>
      <c r="BL346" s="2172">
        <f t="shared" si="1623"/>
        <v>0.52892938496583142</v>
      </c>
      <c r="BM346" s="2172">
        <f t="shared" si="1623"/>
        <v>0.35001955416503705</v>
      </c>
      <c r="BN346" s="2173">
        <f t="shared" si="1623"/>
        <v>0.48142973570846426</v>
      </c>
      <c r="BO346" s="2172">
        <v>0.22441217150760728</v>
      </c>
      <c r="BP346" s="2172">
        <v>0.35350529100529093</v>
      </c>
      <c r="BQ346" s="2172">
        <v>0.49135876042908233</v>
      </c>
      <c r="BR346" s="2175">
        <v>0.44351100811123989</v>
      </c>
      <c r="BS346" s="2176">
        <v>0.3849418421879911</v>
      </c>
      <c r="BT346" s="2172">
        <f>+BT26/BJ26-1</f>
        <v>0.22441217150760728</v>
      </c>
      <c r="BU346" s="2172">
        <f>+BU26/BK26-1</f>
        <v>0.19907407407407418</v>
      </c>
      <c r="BV346" s="2172">
        <f>+BV26/BL26-1</f>
        <v>0.16984505363528002</v>
      </c>
      <c r="BW346" s="2172">
        <f>+BW26/BM26-1</f>
        <v>0.24449594438006961</v>
      </c>
      <c r="BX346" s="2173">
        <f>+BX26/BN26-1</f>
        <v>0.18115372524363416</v>
      </c>
      <c r="BY346" s="2172">
        <v>0.28438294267156161</v>
      </c>
      <c r="BZ346" s="2172">
        <v>0.22990471536770096</v>
      </c>
      <c r="CA346" s="2172">
        <v>3.3566433566433629E-2</v>
      </c>
      <c r="CB346" s="2172">
        <v>0.13726670680313058</v>
      </c>
      <c r="CC346" s="2173">
        <v>0.15889229372375446</v>
      </c>
      <c r="CD346" s="2172">
        <f>+CD26/BT26-1</f>
        <v>0.14854560858514554</v>
      </c>
      <c r="CE346" s="2172">
        <f>+CE26/BU26-1</f>
        <v>0.22642029784886919</v>
      </c>
      <c r="CF346" s="2172">
        <f>+CF26/BV26-1</f>
        <v>0.16760061130922055</v>
      </c>
      <c r="CG346" s="2172">
        <f>+CG26/BW26-1</f>
        <v>0.16969273743016755</v>
      </c>
      <c r="CH346" s="2173">
        <f>+CH26/BX26-1</f>
        <v>0.20586865393572418</v>
      </c>
      <c r="CI346" s="2172">
        <f t="shared" ref="CI346:CX346" si="1624">+CI26/CD26-1</f>
        <v>0.31399065650356528</v>
      </c>
      <c r="CJ346" s="2172">
        <f t="shared" si="1624"/>
        <v>0.25545311445918606</v>
      </c>
      <c r="CK346" s="2172">
        <f t="shared" si="1624"/>
        <v>0.331588132635253</v>
      </c>
      <c r="CL346" s="2172">
        <f t="shared" si="1624"/>
        <v>0.34985074626865664</v>
      </c>
      <c r="CM346" s="2173">
        <f t="shared" si="1624"/>
        <v>0.31402085747392805</v>
      </c>
      <c r="CN346" s="2172">
        <f t="shared" si="1624"/>
        <v>0.20789670658682624</v>
      </c>
      <c r="CO346" s="2172">
        <f t="shared" si="1624"/>
        <v>0.13182876589647141</v>
      </c>
      <c r="CP346" s="2172">
        <f t="shared" si="1624"/>
        <v>0.1353211009174311</v>
      </c>
      <c r="CQ346" s="2172">
        <f t="shared" si="1624"/>
        <v>0.1441839893852277</v>
      </c>
      <c r="CR346" s="2173">
        <f t="shared" si="1624"/>
        <v>0.15331317712270098</v>
      </c>
      <c r="CS346" s="2172">
        <f t="shared" si="1624"/>
        <v>0.12579395817195982</v>
      </c>
      <c r="CT346" s="2172">
        <f t="shared" si="1624"/>
        <v>0.1713878778287703</v>
      </c>
      <c r="CU346" s="2172">
        <f t="shared" si="1624"/>
        <v>0.15223665223665228</v>
      </c>
      <c r="CV346" s="2172">
        <f t="shared" si="1624"/>
        <v>0.12923592320577248</v>
      </c>
      <c r="CW346" s="2173">
        <f t="shared" si="1624"/>
        <v>0.14392863644638632</v>
      </c>
      <c r="CX346" s="2172">
        <f t="shared" si="1624"/>
        <v>0.15412137057933117</v>
      </c>
      <c r="CY346" s="2172"/>
      <c r="CZ346" s="2172"/>
      <c r="DA346" s="2172"/>
      <c r="DB346" s="2173"/>
      <c r="DC346" s="2172"/>
      <c r="DD346" s="2172"/>
      <c r="DE346" s="2172"/>
      <c r="DF346" s="2172"/>
      <c r="DG346" s="2173"/>
      <c r="DH346" s="2172"/>
      <c r="DI346" s="2172"/>
      <c r="DJ346" s="2172"/>
      <c r="DK346" s="2172"/>
      <c r="DL346" s="2173"/>
      <c r="DM346" s="2172"/>
      <c r="DN346" s="2172"/>
      <c r="DO346" s="2172"/>
      <c r="DP346" s="2172"/>
      <c r="DQ346" s="2173"/>
      <c r="DR346" s="2172"/>
      <c r="DS346" s="2172"/>
      <c r="DT346" s="2172"/>
      <c r="DU346" s="2172"/>
      <c r="DV346" s="2173"/>
      <c r="DW346" s="2172"/>
      <c r="DX346" s="2172"/>
      <c r="DY346" s="2172"/>
      <c r="DZ346" s="2172"/>
      <c r="EA346" s="2173"/>
      <c r="EB346" s="2172"/>
      <c r="EC346" s="2172"/>
      <c r="ED346" s="2172"/>
      <c r="EE346" s="2172"/>
      <c r="EF346" s="2173"/>
      <c r="EG346" s="2172"/>
      <c r="EH346" s="2172"/>
      <c r="EI346" s="2172"/>
      <c r="EJ346" s="2172"/>
      <c r="EK346" s="2173"/>
      <c r="EL346" s="2172"/>
      <c r="EM346" s="2172"/>
      <c r="EN346" s="2172"/>
      <c r="EO346" s="2172"/>
      <c r="EP346" s="2173"/>
      <c r="EQ346" s="2172"/>
      <c r="ER346" s="2172"/>
      <c r="ES346" s="2172"/>
      <c r="ET346" s="2172"/>
      <c r="EU346" s="2173"/>
      <c r="EV346" s="2173"/>
      <c r="EW346" s="2173"/>
      <c r="EX346" s="2173"/>
      <c r="EY346" s="2173"/>
      <c r="EZ346" s="624"/>
      <c r="FA346" s="719"/>
      <c r="FB346" s="719"/>
      <c r="FC346" s="719"/>
      <c r="FD346" s="719"/>
      <c r="FE346" s="719"/>
      <c r="FF346" s="719"/>
      <c r="FG346" s="719"/>
      <c r="FH346" s="719"/>
      <c r="FI346" s="719"/>
      <c r="FJ346" s="719"/>
      <c r="FK346" s="719"/>
      <c r="FL346" s="719"/>
    </row>
    <row r="347" spans="1:168" s="151" customFormat="1" ht="11.25" hidden="1" customHeight="1">
      <c r="A347" s="3803" t="s">
        <v>327</v>
      </c>
      <c r="B347" s="2172"/>
      <c r="C347" s="2172"/>
      <c r="D347" s="2172"/>
      <c r="E347" s="2172"/>
      <c r="F347" s="2173"/>
      <c r="G347" s="2172"/>
      <c r="H347" s="2172"/>
      <c r="I347" s="2172"/>
      <c r="J347" s="2172"/>
      <c r="K347" s="2173">
        <f>(K26+K10-K55-K56)/(F26+F10-F55-F56)-1</f>
        <v>4.0244952494061748</v>
      </c>
      <c r="L347" s="2172"/>
      <c r="M347" s="2172"/>
      <c r="N347" s="2172"/>
      <c r="O347" s="2172"/>
      <c r="P347" s="2173">
        <f>(P26+P10-P55-P56)/(K26+K10-K55-K56)-1</f>
        <v>0.44473334318215363</v>
      </c>
      <c r="Q347" s="2172" t="s">
        <v>116</v>
      </c>
      <c r="R347" s="2172" t="s">
        <v>116</v>
      </c>
      <c r="S347" s="2172" t="s">
        <v>116</v>
      </c>
      <c r="T347" s="2172" t="s">
        <v>116</v>
      </c>
      <c r="U347" s="2173">
        <f t="shared" ref="U347:BN347" si="1625">(U26+U10-U55-U56)/(P26+P10-P55-P56)-1</f>
        <v>1.2071701740393079</v>
      </c>
      <c r="V347" s="2172">
        <f t="shared" si="1625"/>
        <v>1.0026175763817364</v>
      </c>
      <c r="W347" s="2172">
        <f t="shared" si="1625"/>
        <v>1.1437375812481059</v>
      </c>
      <c r="X347" s="2172">
        <f t="shared" si="1625"/>
        <v>1.1720252248526823</v>
      </c>
      <c r="Y347" s="2172">
        <f t="shared" si="1625"/>
        <v>1.3562740501570172</v>
      </c>
      <c r="Z347" s="2173">
        <f t="shared" si="1625"/>
        <v>1.7881564804862675</v>
      </c>
      <c r="AA347" s="2172">
        <f t="shared" si="1625"/>
        <v>1.6816516317041295</v>
      </c>
      <c r="AB347" s="2172">
        <f t="shared" si="1625"/>
        <v>1.2857479498538984</v>
      </c>
      <c r="AC347" s="2172">
        <f t="shared" si="1625"/>
        <v>1.1604950023798195</v>
      </c>
      <c r="AD347" s="2172">
        <f t="shared" si="1625"/>
        <v>1.1456366264336526</v>
      </c>
      <c r="AE347" s="2173">
        <f t="shared" si="1625"/>
        <v>1.2625577832500863</v>
      </c>
      <c r="AF347" s="2172">
        <f t="shared" si="1625"/>
        <v>0.97233719536556174</v>
      </c>
      <c r="AG347" s="2172">
        <f t="shared" si="1625"/>
        <v>1.0633415121961276</v>
      </c>
      <c r="AH347" s="2172">
        <f t="shared" si="1625"/>
        <v>1.0726394518857947</v>
      </c>
      <c r="AI347" s="2172">
        <f t="shared" si="1625"/>
        <v>1.0839293291165264</v>
      </c>
      <c r="AJ347" s="2173">
        <f t="shared" si="1625"/>
        <v>1.0560056637251329</v>
      </c>
      <c r="AK347" s="2172">
        <f t="shared" si="1625"/>
        <v>1.2626094847632858</v>
      </c>
      <c r="AL347" s="2172">
        <f t="shared" si="1625"/>
        <v>1.0655208021051927</v>
      </c>
      <c r="AM347" s="2172">
        <f t="shared" si="1625"/>
        <v>0.80989304457583278</v>
      </c>
      <c r="AN347" s="2172">
        <f t="shared" si="1625"/>
        <v>0.77497927183803683</v>
      </c>
      <c r="AO347" s="2173">
        <f t="shared" si="1625"/>
        <v>0.93266718008141236</v>
      </c>
      <c r="AP347" s="2172">
        <f t="shared" si="1625"/>
        <v>0.66316047685040957</v>
      </c>
      <c r="AQ347" s="2172">
        <f t="shared" si="1625"/>
        <v>0.85605025077004959</v>
      </c>
      <c r="AR347" s="2172">
        <f t="shared" si="1625"/>
        <v>0.83337003823182165</v>
      </c>
      <c r="AS347" s="2172">
        <f t="shared" si="1625"/>
        <v>0.66849572320067541</v>
      </c>
      <c r="AT347" s="2173">
        <f t="shared" si="1625"/>
        <v>0.75189414871890592</v>
      </c>
      <c r="AU347" s="2172">
        <f t="shared" si="1625"/>
        <v>0.65374920414205695</v>
      </c>
      <c r="AV347" s="2172">
        <f t="shared" si="1625"/>
        <v>0.43440602468533362</v>
      </c>
      <c r="AW347" s="2172">
        <f t="shared" si="1625"/>
        <v>0.38728525061202523</v>
      </c>
      <c r="AX347" s="2172">
        <f t="shared" si="1625"/>
        <v>0.19472816899911094</v>
      </c>
      <c r="AY347" s="2173">
        <f t="shared" si="1625"/>
        <v>0.3936289089270224</v>
      </c>
      <c r="AZ347" s="2172">
        <f t="shared" si="1625"/>
        <v>-1.7828673652661609E-2</v>
      </c>
      <c r="BA347" s="2172">
        <f t="shared" si="1625"/>
        <v>-7.587571264849613E-2</v>
      </c>
      <c r="BB347" s="2172">
        <f t="shared" si="1625"/>
        <v>-6.7289525409346074E-2</v>
      </c>
      <c r="BC347" s="2172">
        <f t="shared" si="1625"/>
        <v>8.5926024361131503E-2</v>
      </c>
      <c r="BD347" s="2173">
        <f t="shared" si="1625"/>
        <v>-1.8830802716013118E-2</v>
      </c>
      <c r="BE347" s="2174">
        <f t="shared" si="1625"/>
        <v>0.29512558211056428</v>
      </c>
      <c r="BF347" s="2172">
        <f t="shared" si="1625"/>
        <v>0.35813458379598639</v>
      </c>
      <c r="BG347" s="2172">
        <f t="shared" si="1625"/>
        <v>0.36900926928201883</v>
      </c>
      <c r="BH347" s="2172">
        <f t="shared" si="1625"/>
        <v>0.42695124109794369</v>
      </c>
      <c r="BI347" s="2173">
        <f t="shared" si="1625"/>
        <v>0.36561450569615572</v>
      </c>
      <c r="BJ347" s="2172">
        <f t="shared" si="1625"/>
        <v>0.48822927328556798</v>
      </c>
      <c r="BK347" s="2172">
        <f t="shared" si="1625"/>
        <v>0.51785714285714279</v>
      </c>
      <c r="BL347" s="2172">
        <f t="shared" si="1625"/>
        <v>0.53209764918625679</v>
      </c>
      <c r="BM347" s="2172">
        <f t="shared" si="1625"/>
        <v>0.37366003062787145</v>
      </c>
      <c r="BN347" s="2173">
        <f t="shared" si="1625"/>
        <v>0.47231638418079092</v>
      </c>
      <c r="BO347" s="2172">
        <v>0.26513067400275103</v>
      </c>
      <c r="BP347" s="2172">
        <v>0.58791732909379979</v>
      </c>
      <c r="BQ347" s="2172">
        <v>0.97786957804662133</v>
      </c>
      <c r="BR347" s="2175">
        <v>0.70401337792642149</v>
      </c>
      <c r="BS347" s="2176">
        <v>0.64927091327705289</v>
      </c>
      <c r="BT347" s="2172">
        <f>(BT26+BT10-BT55-BT56)/(BJ26+BJ10-BJ55-BJ56)-1</f>
        <v>0.26513067400275103</v>
      </c>
      <c r="BU347" s="2172">
        <f>(BU26+BU10-BU55-BU56)/(BK26+BK10-BK55-BK56)-1</f>
        <v>0.17837837837837833</v>
      </c>
      <c r="BV347" s="2172">
        <f>(BV26+BV10-BV55-BV56)/(BL26+BL10-BL55-BL56)-1</f>
        <v>0.17350250811448809</v>
      </c>
      <c r="BW347" s="2172">
        <f>(BW26+BW10-BW55-BW56)/(BM26+BM10-BM55-BM56)-1</f>
        <v>0.23968784838350055</v>
      </c>
      <c r="BX347" s="2173" t="e">
        <f>(BX26+BX10-BX55-BX56)/(BN26+BN10-BN55-BN56)-1</f>
        <v>#REF!</v>
      </c>
      <c r="BY347" s="2172">
        <v>0.64120684968741504</v>
      </c>
      <c r="BZ347" s="2172">
        <v>0.23267921505806965</v>
      </c>
      <c r="CA347" s="2172">
        <v>-1.2830076085334929E-2</v>
      </c>
      <c r="CB347" s="2172">
        <v>0.25498855086686301</v>
      </c>
      <c r="CC347" s="2173">
        <v>0.2323871568171243</v>
      </c>
      <c r="CD347" s="2172">
        <f>(CD26+CD10-CD55-CD56)/(BT26+BT10-BT55-BT56)-1</f>
        <v>0.24707801032889365</v>
      </c>
      <c r="CE347" s="2172">
        <f>(CE26+CE10-CE55-CE56)/(BU26+BU10-BU55-BU56)-1</f>
        <v>0.28062601187263891</v>
      </c>
      <c r="CF347" s="2172">
        <f>(CF26+CF10-CF55-CF56)/(BV26+BV10-BV55-BV56)-1</f>
        <v>0.27181292431481019</v>
      </c>
      <c r="CG347" s="2172">
        <f>(CG26+CG10-CG55-CG56)/(BW26+BW10-BW55-BW56)-1</f>
        <v>0.33363309352517989</v>
      </c>
      <c r="CH347" s="2173" t="e">
        <f>(CH26+CH10-CH55-CH56)/(BX26+BX10-BX55-BX56)-1</f>
        <v>#REF!</v>
      </c>
      <c r="CI347" s="2172">
        <f t="shared" ref="CI347:CX347" si="1626">(CI26+CI10-CI55-CI56)/(CD26+CD10-CD55-CD56)-1</f>
        <v>0.31931124673060163</v>
      </c>
      <c r="CJ347" s="2172">
        <f t="shared" si="1626"/>
        <v>0.33691529709228818</v>
      </c>
      <c r="CK347" s="2172">
        <f t="shared" si="1626"/>
        <v>0.28113879003558728</v>
      </c>
      <c r="CL347" s="2172">
        <f t="shared" si="1626"/>
        <v>0.25505731625084294</v>
      </c>
      <c r="CM347" s="2173">
        <f t="shared" si="1626"/>
        <v>0.29523200314914133</v>
      </c>
      <c r="CN347" s="2172">
        <f t="shared" si="1626"/>
        <v>0.14422600363456128</v>
      </c>
      <c r="CO347" s="2172">
        <f t="shared" si="1626"/>
        <v>0.10260047281323881</v>
      </c>
      <c r="CP347" s="2172">
        <f t="shared" si="1626"/>
        <v>0.15586419753086411</v>
      </c>
      <c r="CQ347" s="2172">
        <f t="shared" si="1626"/>
        <v>0.1822699798522498</v>
      </c>
      <c r="CR347" s="2173">
        <f t="shared" si="1626"/>
        <v>0.14781749800554644</v>
      </c>
      <c r="CS347" s="2172">
        <f t="shared" si="1626"/>
        <v>0.15809991336991058</v>
      </c>
      <c r="CT347" s="2172">
        <f t="shared" si="1626"/>
        <v>0.18767867352773004</v>
      </c>
      <c r="CU347" s="2172">
        <f t="shared" si="1626"/>
        <v>0.16435246995994657</v>
      </c>
      <c r="CV347" s="2172">
        <f t="shared" si="1626"/>
        <v>0.21654169506930243</v>
      </c>
      <c r="CW347" s="2173">
        <f t="shared" si="1626"/>
        <v>0.18352419408221365</v>
      </c>
      <c r="CX347" s="2172">
        <f t="shared" si="1626"/>
        <v>0.20625003461255487</v>
      </c>
      <c r="CY347" s="2172"/>
      <c r="CZ347" s="2172"/>
      <c r="DA347" s="2172"/>
      <c r="DB347" s="2173"/>
      <c r="DC347" s="2172"/>
      <c r="DD347" s="2172"/>
      <c r="DE347" s="2172"/>
      <c r="DF347" s="2172"/>
      <c r="DG347" s="2173"/>
      <c r="DH347" s="2172"/>
      <c r="DI347" s="2172"/>
      <c r="DJ347" s="2172"/>
      <c r="DK347" s="2172"/>
      <c r="DL347" s="2173"/>
      <c r="DM347" s="2172"/>
      <c r="DN347" s="2172"/>
      <c r="DO347" s="2172"/>
      <c r="DP347" s="2172"/>
      <c r="DQ347" s="2173"/>
      <c r="DR347" s="2172"/>
      <c r="DS347" s="2172"/>
      <c r="DT347" s="2172"/>
      <c r="DU347" s="2172"/>
      <c r="DV347" s="2173"/>
      <c r="DW347" s="2172"/>
      <c r="DX347" s="2172"/>
      <c r="DY347" s="2172"/>
      <c r="DZ347" s="2172"/>
      <c r="EA347" s="2173"/>
      <c r="EB347" s="2172"/>
      <c r="EC347" s="2172"/>
      <c r="ED347" s="2172"/>
      <c r="EE347" s="2172"/>
      <c r="EF347" s="2173"/>
      <c r="EG347" s="2172"/>
      <c r="EH347" s="2172"/>
      <c r="EI347" s="2172"/>
      <c r="EJ347" s="2172"/>
      <c r="EK347" s="2173"/>
      <c r="EL347" s="2172"/>
      <c r="EM347" s="2172"/>
      <c r="EN347" s="2172"/>
      <c r="EO347" s="2172"/>
      <c r="EP347" s="2173"/>
      <c r="EQ347" s="2172"/>
      <c r="ER347" s="2172"/>
      <c r="ES347" s="2172"/>
      <c r="ET347" s="2172"/>
      <c r="EU347" s="2173"/>
      <c r="EV347" s="2173"/>
      <c r="EW347" s="2173"/>
      <c r="EX347" s="2173"/>
      <c r="EY347" s="2173"/>
      <c r="EZ347" s="624"/>
      <c r="FA347" s="719"/>
      <c r="FB347" s="719"/>
      <c r="FC347" s="719"/>
      <c r="FD347" s="719"/>
      <c r="FE347" s="719"/>
      <c r="FF347" s="719"/>
      <c r="FG347" s="719"/>
      <c r="FH347" s="719"/>
      <c r="FI347" s="719"/>
      <c r="FJ347" s="719"/>
      <c r="FK347" s="719"/>
      <c r="FL347" s="719"/>
    </row>
    <row r="348" spans="1:168" s="151" customFormat="1" ht="11.25" hidden="1" customHeight="1">
      <c r="A348" s="3802" t="s">
        <v>561</v>
      </c>
      <c r="B348" s="2172"/>
      <c r="C348" s="2172"/>
      <c r="D348" s="2172"/>
      <c r="E348" s="2172"/>
      <c r="F348" s="2173"/>
      <c r="G348" s="2172"/>
      <c r="H348" s="2172"/>
      <c r="I348" s="2172"/>
      <c r="J348" s="2172"/>
      <c r="K348" s="2173">
        <f>+K27/F27-1</f>
        <v>1.2616635972989561</v>
      </c>
      <c r="L348" s="2172"/>
      <c r="M348" s="2172"/>
      <c r="N348" s="2172"/>
      <c r="O348" s="2172"/>
      <c r="P348" s="2173" t="s">
        <v>116</v>
      </c>
      <c r="Q348" s="2172" t="s">
        <v>116</v>
      </c>
      <c r="R348" s="2172" t="s">
        <v>116</v>
      </c>
      <c r="S348" s="2172" t="s">
        <v>116</v>
      </c>
      <c r="T348" s="2172" t="s">
        <v>116</v>
      </c>
      <c r="U348" s="2173">
        <f t="shared" ref="U348:BN348" si="1627">+U27/P27-1</f>
        <v>16.007114191900751</v>
      </c>
      <c r="V348" s="2172">
        <f t="shared" si="1627"/>
        <v>4.570197935161441</v>
      </c>
      <c r="W348" s="2172">
        <f t="shared" si="1627"/>
        <v>2.3695854905617888</v>
      </c>
      <c r="X348" s="2172">
        <f t="shared" si="1627"/>
        <v>0.1694340484599306</v>
      </c>
      <c r="Y348" s="2172">
        <f t="shared" si="1627"/>
        <v>3.8066523321600876E-2</v>
      </c>
      <c r="Z348" s="2173">
        <f t="shared" si="1627"/>
        <v>0.83660291956710542</v>
      </c>
      <c r="AA348" s="2172">
        <f t="shared" si="1627"/>
        <v>0.83367175878922417</v>
      </c>
      <c r="AB348" s="2172">
        <f t="shared" si="1627"/>
        <v>0.63152771415483255</v>
      </c>
      <c r="AC348" s="2172">
        <f t="shared" si="1627"/>
        <v>2.1869703708155512</v>
      </c>
      <c r="AD348" s="2172">
        <f t="shared" si="1627"/>
        <v>2.5038880788724591</v>
      </c>
      <c r="AE348" s="2173">
        <f t="shared" si="1627"/>
        <v>1.4562932162212672</v>
      </c>
      <c r="AF348" s="2172">
        <f t="shared" si="1627"/>
        <v>1.8506402786451459</v>
      </c>
      <c r="AG348" s="2172">
        <f t="shared" si="1627"/>
        <v>1.7825430807566769</v>
      </c>
      <c r="AH348" s="2172">
        <f t="shared" si="1627"/>
        <v>1.4947716300822207</v>
      </c>
      <c r="AI348" s="2172">
        <f t="shared" si="1627"/>
        <v>1.1784748298376151</v>
      </c>
      <c r="AJ348" s="2173">
        <f t="shared" si="1627"/>
        <v>1.5051106049510694</v>
      </c>
      <c r="AK348" s="2172">
        <f t="shared" si="1627"/>
        <v>0.67739232558664808</v>
      </c>
      <c r="AL348" s="2172">
        <f t="shared" si="1627"/>
        <v>0.71405387451702595</v>
      </c>
      <c r="AM348" s="2172">
        <f t="shared" si="1627"/>
        <v>0.75998117810688726</v>
      </c>
      <c r="AN348" s="2172">
        <f t="shared" si="1627"/>
        <v>0.6078376083924566</v>
      </c>
      <c r="AO348" s="2173">
        <f t="shared" si="1627"/>
        <v>0.6846350198526161</v>
      </c>
      <c r="AP348" s="2172">
        <f t="shared" si="1627"/>
        <v>0.6442852353375994</v>
      </c>
      <c r="AQ348" s="2172">
        <f t="shared" si="1627"/>
        <v>0.3547374695231138</v>
      </c>
      <c r="AR348" s="2172">
        <f t="shared" si="1627"/>
        <v>0.41500390301622159</v>
      </c>
      <c r="AS348" s="2172">
        <f t="shared" si="1627"/>
        <v>0.3584217900534985</v>
      </c>
      <c r="AT348" s="2173">
        <f t="shared" si="1627"/>
        <v>0.432225557437248</v>
      </c>
      <c r="AU348" s="2172">
        <f t="shared" si="1627"/>
        <v>0.26615100281769921</v>
      </c>
      <c r="AV348" s="2172">
        <f t="shared" si="1627"/>
        <v>0.42852034419232043</v>
      </c>
      <c r="AW348" s="2172">
        <f t="shared" si="1627"/>
        <v>0.25020393265631458</v>
      </c>
      <c r="AX348" s="2172">
        <f t="shared" si="1627"/>
        <v>0.29115020538142411</v>
      </c>
      <c r="AY348" s="2173">
        <f t="shared" si="1627"/>
        <v>0.30437721695501607</v>
      </c>
      <c r="AZ348" s="2172">
        <f t="shared" si="1627"/>
        <v>0.21817899607756885</v>
      </c>
      <c r="BA348" s="2172">
        <f t="shared" si="1627"/>
        <v>0.18753838012883639</v>
      </c>
      <c r="BB348" s="2172">
        <f t="shared" si="1627"/>
        <v>0.25865625938885595</v>
      </c>
      <c r="BC348" s="2172">
        <f t="shared" si="1627"/>
        <v>0.3337155494773687</v>
      </c>
      <c r="BD348" s="2173">
        <f t="shared" si="1627"/>
        <v>0.25335115408410336</v>
      </c>
      <c r="BE348" s="2174">
        <f t="shared" si="1627"/>
        <v>0.32088123164742255</v>
      </c>
      <c r="BF348" s="2172">
        <f t="shared" si="1627"/>
        <v>0.26207779095295702</v>
      </c>
      <c r="BG348" s="2172">
        <f t="shared" si="1627"/>
        <v>0.2282287176944986</v>
      </c>
      <c r="BH348" s="2172">
        <f t="shared" si="1627"/>
        <v>0.20194293955258846</v>
      </c>
      <c r="BI348" s="2173">
        <f t="shared" si="1627"/>
        <v>0.249009586647845</v>
      </c>
      <c r="BJ348" s="2172">
        <f t="shared" si="1627"/>
        <v>0.1237942122186495</v>
      </c>
      <c r="BK348" s="2172">
        <f t="shared" si="1627"/>
        <v>0.21818181818181825</v>
      </c>
      <c r="BL348" s="2172">
        <f t="shared" si="1627"/>
        <v>0.20062819002748333</v>
      </c>
      <c r="BM348" s="2172">
        <f t="shared" si="1627"/>
        <v>0.176056338028169</v>
      </c>
      <c r="BN348" s="2173">
        <f t="shared" si="1627"/>
        <v>0.17915623193989605</v>
      </c>
      <c r="BO348" s="2172">
        <v>0.21208869814020037</v>
      </c>
      <c r="BP348" s="2172">
        <v>0.11176674765706363</v>
      </c>
      <c r="BQ348" s="2172">
        <v>-0.10529758011772405</v>
      </c>
      <c r="BR348" s="2175">
        <v>-3.2221271742229773E-2</v>
      </c>
      <c r="BS348" s="2176">
        <v>3.9209279529488716E-2</v>
      </c>
      <c r="BT348" s="2172">
        <f>+BT27/BJ27-1</f>
        <v>0.21208869814020037</v>
      </c>
      <c r="BU348" s="2172">
        <f>+BU27/BK27-1</f>
        <v>0.19264144394307525</v>
      </c>
      <c r="BV348" s="2172">
        <f>+BV27/BL27-1</f>
        <v>6.7037279267495142E-2</v>
      </c>
      <c r="BW348" s="2172">
        <f>+BW27/BM27-1</f>
        <v>6.8434559452523525E-2</v>
      </c>
      <c r="BX348" s="2173">
        <f>+BX27/BN27-1</f>
        <v>0.13004411043947073</v>
      </c>
      <c r="BY348" s="2172">
        <v>2.5966361758630763E-2</v>
      </c>
      <c r="BZ348" s="2172">
        <v>-2.4976584452076178E-2</v>
      </c>
      <c r="CA348" s="2172">
        <v>0.25877192982456143</v>
      </c>
      <c r="CB348" s="2172">
        <v>0.15556865055981151</v>
      </c>
      <c r="CC348" s="2173">
        <v>9.7783367395063658E-2</v>
      </c>
      <c r="CD348" s="2172">
        <f>+CD27/BT27-1</f>
        <v>0.10593095308350553</v>
      </c>
      <c r="CE348" s="2172">
        <f>+CE27/BU27-1</f>
        <v>8.4400465657741286E-3</v>
      </c>
      <c r="CF348" s="2172">
        <f>+CF27/BV27-1</f>
        <v>0.15262028807845551</v>
      </c>
      <c r="CG348" s="2172">
        <f>+CG27/BW27-1</f>
        <v>0.18201227648785689</v>
      </c>
      <c r="CH348" s="2173">
        <f>+CH27/BX27-1</f>
        <v>0.11341622090501668</v>
      </c>
      <c r="CI348" s="2172">
        <f t="shared" ref="CI348:CX348" si="1628">+CI27/CD27-1</f>
        <v>9.7918890074706555E-2</v>
      </c>
      <c r="CJ348" s="2172">
        <f t="shared" si="1628"/>
        <v>0.22886002886002887</v>
      </c>
      <c r="CK348" s="2172">
        <f t="shared" si="1628"/>
        <v>-9.8378090933262108E-3</v>
      </c>
      <c r="CL348" s="2172">
        <f t="shared" si="1628"/>
        <v>-6.7735380447053739E-3</v>
      </c>
      <c r="CM348" s="2173">
        <f t="shared" si="1628"/>
        <v>7.0960202557943219E-2</v>
      </c>
      <c r="CN348" s="2172">
        <f t="shared" si="1628"/>
        <v>8.0680437424058393E-2</v>
      </c>
      <c r="CO348" s="2172">
        <f t="shared" si="1628"/>
        <v>0.13316110850164398</v>
      </c>
      <c r="CP348" s="2172">
        <f t="shared" si="1628"/>
        <v>0.26423200859291085</v>
      </c>
      <c r="CQ348" s="2172">
        <f t="shared" si="1628"/>
        <v>0.22300522846101378</v>
      </c>
      <c r="CR348" s="2173">
        <f t="shared" si="1628"/>
        <v>0.17361784675072744</v>
      </c>
      <c r="CS348" s="2172">
        <f t="shared" si="1628"/>
        <v>0.20125927591634807</v>
      </c>
      <c r="CT348" s="2172">
        <f t="shared" si="1628"/>
        <v>0.23689119170984463</v>
      </c>
      <c r="CU348" s="2172">
        <f t="shared" si="1628"/>
        <v>0.22493627867459653</v>
      </c>
      <c r="CV348" s="2172">
        <f t="shared" si="1628"/>
        <v>0.23401486988847586</v>
      </c>
      <c r="CW348" s="2173">
        <f t="shared" si="1628"/>
        <v>0.22500000000000009</v>
      </c>
      <c r="CX348" s="2172">
        <f t="shared" si="1628"/>
        <v>0.229502059153875</v>
      </c>
      <c r="CY348" s="2172"/>
      <c r="CZ348" s="2172"/>
      <c r="DA348" s="2172"/>
      <c r="DB348" s="2173"/>
      <c r="DC348" s="2172"/>
      <c r="DD348" s="2172"/>
      <c r="DE348" s="2172"/>
      <c r="DF348" s="2172"/>
      <c r="DG348" s="2173"/>
      <c r="DH348" s="2172"/>
      <c r="DI348" s="2172"/>
      <c r="DJ348" s="2172"/>
      <c r="DK348" s="2172"/>
      <c r="DL348" s="2173"/>
      <c r="DM348" s="2172"/>
      <c r="DN348" s="2172"/>
      <c r="DO348" s="2172"/>
      <c r="DP348" s="2172"/>
      <c r="DQ348" s="2173"/>
      <c r="DR348" s="2172"/>
      <c r="DS348" s="2172"/>
      <c r="DT348" s="2172"/>
      <c r="DU348" s="2172"/>
      <c r="DV348" s="2173"/>
      <c r="DW348" s="2172"/>
      <c r="DX348" s="2172"/>
      <c r="DY348" s="2172"/>
      <c r="DZ348" s="2172"/>
      <c r="EA348" s="2173"/>
      <c r="EB348" s="2172"/>
      <c r="EC348" s="2172"/>
      <c r="ED348" s="2172"/>
      <c r="EE348" s="2172"/>
      <c r="EF348" s="2173"/>
      <c r="EG348" s="2172"/>
      <c r="EH348" s="2172"/>
      <c r="EI348" s="2172"/>
      <c r="EJ348" s="2172"/>
      <c r="EK348" s="2173"/>
      <c r="EL348" s="2172"/>
      <c r="EM348" s="2172"/>
      <c r="EN348" s="2172"/>
      <c r="EO348" s="2172"/>
      <c r="EP348" s="2173"/>
      <c r="EQ348" s="2172"/>
      <c r="ER348" s="2172"/>
      <c r="ES348" s="2172"/>
      <c r="ET348" s="2172"/>
      <c r="EU348" s="2173"/>
      <c r="EV348" s="2173"/>
      <c r="EW348" s="2173"/>
      <c r="EX348" s="2173"/>
      <c r="EY348" s="2173"/>
      <c r="EZ348" s="624"/>
      <c r="FA348" s="719"/>
      <c r="FB348" s="719"/>
      <c r="FC348" s="719"/>
      <c r="FD348" s="719"/>
      <c r="FE348" s="719"/>
      <c r="FF348" s="719"/>
      <c r="FG348" s="719"/>
      <c r="FH348" s="719"/>
      <c r="FI348" s="719"/>
      <c r="FJ348" s="719"/>
      <c r="FK348" s="719"/>
      <c r="FL348" s="719"/>
    </row>
    <row r="349" spans="1:168" s="129" customFormat="1" ht="11.25" hidden="1" customHeight="1">
      <c r="A349" s="3804" t="s">
        <v>489</v>
      </c>
      <c r="B349" s="1135"/>
      <c r="C349" s="1135"/>
      <c r="D349" s="1135"/>
      <c r="E349" s="1135"/>
      <c r="F349" s="1136"/>
      <c r="G349" s="1135"/>
      <c r="H349" s="1135"/>
      <c r="I349" s="1135"/>
      <c r="J349" s="1135"/>
      <c r="K349" s="1136"/>
      <c r="L349" s="1135"/>
      <c r="M349" s="1135"/>
      <c r="N349" s="1135"/>
      <c r="O349" s="1135"/>
      <c r="P349" s="1136" t="s">
        <v>116</v>
      </c>
      <c r="Q349" s="1135" t="s">
        <v>116</v>
      </c>
      <c r="R349" s="1135" t="s">
        <v>116</v>
      </c>
      <c r="S349" s="1135" t="s">
        <v>116</v>
      </c>
      <c r="T349" s="1135" t="s">
        <v>116</v>
      </c>
      <c r="U349" s="1136">
        <f>+U29/P29-1</f>
        <v>-9.1791062374719932</v>
      </c>
      <c r="V349" s="1135">
        <f>V29/Q29-1</f>
        <v>5.381328697118172</v>
      </c>
      <c r="W349" s="1135">
        <f>W29/R29-1</f>
        <v>2.9891192007349559</v>
      </c>
      <c r="X349" s="1135">
        <f>X29/S29-1</f>
        <v>1.2244234883905225</v>
      </c>
      <c r="Y349" s="1135">
        <f>Y29/T29-1</f>
        <v>0.87955215860866476</v>
      </c>
      <c r="Z349" s="1136">
        <f>+Z29/U29-1</f>
        <v>1.7478243737415964</v>
      </c>
      <c r="AA349" s="1135">
        <f>AA29/V29-1</f>
        <v>0.91370826590931631</v>
      </c>
      <c r="AB349" s="1135">
        <f>AB29/W29-1</f>
        <v>0.76841143153243241</v>
      </c>
      <c r="AC349" s="1135">
        <f>AC29/X29-1</f>
        <v>0.9956750979693616</v>
      </c>
      <c r="AD349" s="1135">
        <f>AD29/Y29-1</f>
        <v>1.1139193241619121</v>
      </c>
      <c r="AE349" s="1136">
        <f>+AE29/Z29-1</f>
        <v>0.95853276789227482</v>
      </c>
      <c r="AF349" s="1135">
        <f>AF29/AA29-1</f>
        <v>1.1211668881257659</v>
      </c>
      <c r="AG349" s="1135">
        <f>AG29/AB29-1</f>
        <v>1.1285940444165892</v>
      </c>
      <c r="AH349" s="1135">
        <f>AH29/AC29-1</f>
        <v>1.0545997222351149</v>
      </c>
      <c r="AI349" s="1135">
        <f>AI29/AD29-1</f>
        <v>0.98105042364695172</v>
      </c>
      <c r="AJ349" s="1136">
        <f>+AJ29/AE29-1</f>
        <v>1.0608167594991866</v>
      </c>
      <c r="AK349" s="1135">
        <f>AK29/AF29-1</f>
        <v>-0.32718974613466478</v>
      </c>
      <c r="AL349" s="1135">
        <f>AL29/AG29-1</f>
        <v>-0.31032854335074433</v>
      </c>
      <c r="AM349" s="1135">
        <f>AM29/AH29-1</f>
        <v>-0.24376041523669911</v>
      </c>
      <c r="AN349" s="1135">
        <f>AN29/AI29-1</f>
        <v>-0.36418387448209344</v>
      </c>
      <c r="AO349" s="1136">
        <f>+AO29/AJ29-1</f>
        <v>-0.31407152639941205</v>
      </c>
      <c r="AP349" s="1135">
        <f>AP29/AK29-1</f>
        <v>0.65082253647152477</v>
      </c>
      <c r="AQ349" s="1135">
        <f>AQ29/AL29-1</f>
        <v>-0.265195177463039</v>
      </c>
      <c r="AR349" s="1135">
        <f>AR29/AM29-1</f>
        <v>-2.1385569852940156E-2</v>
      </c>
      <c r="AS349" s="1135">
        <f>AS29/AN29-1</f>
        <v>-5.0137493563549462E-2</v>
      </c>
      <c r="AT349" s="1136">
        <f>+AT29/AO29-1</f>
        <v>5.5236072702282479E-2</v>
      </c>
      <c r="AU349" s="1135">
        <f>AU29/AP29-1</f>
        <v>-0.13812621085438348</v>
      </c>
      <c r="AV349" s="1135">
        <f>AV29/AQ29-1</f>
        <v>0.71320941217304612</v>
      </c>
      <c r="AW349" s="1135">
        <f>AW29/AR29-1</f>
        <v>0.12815190669956844</v>
      </c>
      <c r="AX349" s="1135">
        <f>AX29/AS29-1</f>
        <v>0.54234688110578477</v>
      </c>
      <c r="AY349" s="1136">
        <f>+AY29/AT29-1</f>
        <v>0.24141679521644988</v>
      </c>
      <c r="AZ349" s="1135">
        <f>AZ29/AU29-1</f>
        <v>0.82272330353899203</v>
      </c>
      <c r="BA349" s="1135">
        <f>BA29/AV29-1</f>
        <v>0.65335329934706676</v>
      </c>
      <c r="BB349" s="1135">
        <f>BB29/AW29-1</f>
        <v>0.82742178524451249</v>
      </c>
      <c r="BC349" s="1135">
        <f>BC29/AX29-1</f>
        <v>0.80401638020256794</v>
      </c>
      <c r="BD349" s="1136">
        <f>+BD29/AY29-1</f>
        <v>0.78069445382041058</v>
      </c>
      <c r="BE349" s="1698">
        <f>BE29/AZ29-1</f>
        <v>2.2392939528128477</v>
      </c>
      <c r="BF349" s="1135">
        <f>BF29/BA29-1</f>
        <v>2.5615533380572093</v>
      </c>
      <c r="BG349" s="1135">
        <f>BG29/BB29-1</f>
        <v>2.3336180632669907</v>
      </c>
      <c r="BH349" s="1135">
        <f>BH29/BC29-1</f>
        <v>1.8005607754021549</v>
      </c>
      <c r="BI349" s="1136">
        <f>+BI29/BD29-1</f>
        <v>2.1839380911156585</v>
      </c>
      <c r="BJ349" s="1135">
        <f>BJ29/BE29-1</f>
        <v>0.16156890967974102</v>
      </c>
      <c r="BK349" s="1135">
        <f>BK29/BF29-1</f>
        <v>0.24008975317875847</v>
      </c>
      <c r="BL349" s="1135">
        <f>BL29/BG29-1</f>
        <v>0.23983600956610873</v>
      </c>
      <c r="BM349" s="1135">
        <f>BM29/BH29-1</f>
        <v>0.19686204854943745</v>
      </c>
      <c r="BN349" s="1136">
        <f>+BN29/BI29-1</f>
        <v>0.20904915802007151</v>
      </c>
      <c r="BO349" s="1135">
        <v>0.22211895910780677</v>
      </c>
      <c r="BP349" s="1135">
        <v>0.19119420989143543</v>
      </c>
      <c r="BQ349" s="1135">
        <v>4.7120418848167533E-2</v>
      </c>
      <c r="BR349" s="2170">
        <v>5.6641108088053338E-2</v>
      </c>
      <c r="BS349" s="2171">
        <v>0.12317107484524481</v>
      </c>
      <c r="BT349" s="1135">
        <f>BT29/BJ29-1</f>
        <v>0.22211895910780677</v>
      </c>
      <c r="BU349" s="1135">
        <f>BU29/BK29-1</f>
        <v>0.20265379975874542</v>
      </c>
      <c r="BV349" s="1135">
        <f>BV29/BL29-1</f>
        <v>8.8729677597134238E-2</v>
      </c>
      <c r="BW349" s="1135">
        <f>BW29/BM29-1</f>
        <v>9.4236952757853043E-2</v>
      </c>
      <c r="BX349" s="1136" t="e">
        <f>+BX29/BN29-1</f>
        <v>#REF!</v>
      </c>
      <c r="BY349" s="1135">
        <v>3.1685678073510859E-2</v>
      </c>
      <c r="BZ349" s="1135">
        <v>1.0126582278481067E-2</v>
      </c>
      <c r="CA349" s="1135">
        <v>0.14263157894736844</v>
      </c>
      <c r="CB349" s="1135">
        <v>0.1327247191011236</v>
      </c>
      <c r="CC349" s="1136">
        <v>7.9789565979833332E-2</v>
      </c>
      <c r="CD349" s="1135">
        <f>CD29/BT29-1</f>
        <v>0.11609632446134355</v>
      </c>
      <c r="CE349" s="1135">
        <f>CE29/BU29-1</f>
        <v>7.6228686058174455E-2</v>
      </c>
      <c r="CF349" s="1135">
        <f>CF29/BV29-1</f>
        <v>0.17160212604403946</v>
      </c>
      <c r="CG349" s="1135">
        <f>CG29/BW29-1</f>
        <v>0.19846292947558775</v>
      </c>
      <c r="CH349" s="1136" t="e">
        <f>+CH29/BX29-1</f>
        <v>#REF!</v>
      </c>
      <c r="CI349" s="1135">
        <f>CI29/CD29-1</f>
        <v>0.12514194867136053</v>
      </c>
      <c r="CJ349" s="1135">
        <f>CJ29/CE29-1</f>
        <v>0.19711090400745568</v>
      </c>
      <c r="CK349" s="1135">
        <f>CK29/CF29-1</f>
        <v>0.15726938863685458</v>
      </c>
      <c r="CL349" s="1135">
        <f>CL29/CG29-1</f>
        <v>5.6205205582798845E-2</v>
      </c>
      <c r="CM349" s="1136">
        <f>+CM29/CH29-1</f>
        <v>0.13008697519596257</v>
      </c>
      <c r="CN349" s="1135">
        <f>CN29/CI29-1</f>
        <v>0.14049253128784822</v>
      </c>
      <c r="CO349" s="1135">
        <f>CO29/CJ29-1</f>
        <v>0.15940054495912803</v>
      </c>
      <c r="CP349" s="1135">
        <f>CP29/CK29-1</f>
        <v>0.14616389770393878</v>
      </c>
      <c r="CQ349" s="1135">
        <f>CQ29/CL29-1</f>
        <v>0.21714285714285708</v>
      </c>
      <c r="CR349" s="1136">
        <f>+CR29/CM29-1</f>
        <v>0.16694379780512136</v>
      </c>
      <c r="CS349" s="1135">
        <f>CS29/CN29-1</f>
        <v>0.20991150442477879</v>
      </c>
      <c r="CT349" s="1135">
        <f>CT29/CO29-1</f>
        <v>0.25415477589390623</v>
      </c>
      <c r="CU349" s="1135">
        <f>CU29/CP29-1</f>
        <v>0.24218241042345268</v>
      </c>
      <c r="CV349" s="1135">
        <f>CV29/CQ29-1</f>
        <v>0.24486502347417849</v>
      </c>
      <c r="CW349" s="1136">
        <f>+CW29/CR29-1</f>
        <v>0.23840736066441393</v>
      </c>
      <c r="CX349" s="1135">
        <f>CX29/CS29-1</f>
        <v>0.25468110005851385</v>
      </c>
      <c r="CY349" s="1135"/>
      <c r="CZ349" s="1135"/>
      <c r="DA349" s="1135"/>
      <c r="DB349" s="1136"/>
      <c r="DC349" s="2660"/>
      <c r="DD349" s="2660"/>
      <c r="DE349" s="2660"/>
      <c r="DF349" s="2660"/>
      <c r="DG349" s="1136"/>
      <c r="DH349" s="2660"/>
      <c r="DI349" s="2660"/>
      <c r="DJ349" s="2660"/>
      <c r="DK349" s="2660"/>
      <c r="DL349" s="1136"/>
      <c r="DM349" s="2660"/>
      <c r="DN349" s="2660"/>
      <c r="DO349" s="2660"/>
      <c r="DP349" s="2660"/>
      <c r="DQ349" s="1136"/>
      <c r="DR349" s="2660"/>
      <c r="DS349" s="2660"/>
      <c r="DT349" s="2660"/>
      <c r="DU349" s="2660"/>
      <c r="DV349" s="1136"/>
      <c r="DW349" s="2660"/>
      <c r="DX349" s="2660"/>
      <c r="DY349" s="2660"/>
      <c r="DZ349" s="2660"/>
      <c r="EA349" s="1136"/>
      <c r="EB349" s="2660"/>
      <c r="EC349" s="2660"/>
      <c r="ED349" s="2660"/>
      <c r="EE349" s="2660"/>
      <c r="EF349" s="2597"/>
      <c r="EG349" s="2660"/>
      <c r="EH349" s="2660"/>
      <c r="EI349" s="2660"/>
      <c r="EJ349" s="2660"/>
      <c r="EK349" s="2597"/>
      <c r="EL349" s="2660"/>
      <c r="EM349" s="2660"/>
      <c r="EN349" s="2660"/>
      <c r="EO349" s="2660"/>
      <c r="EP349" s="2597"/>
      <c r="EQ349" s="2660"/>
      <c r="ER349" s="2660"/>
      <c r="ES349" s="2660"/>
      <c r="ET349" s="2660"/>
      <c r="EU349" s="2597"/>
      <c r="EV349" s="2597"/>
      <c r="EW349" s="2597"/>
      <c r="EX349" s="2597"/>
      <c r="EY349" s="2597"/>
      <c r="EZ349" s="169"/>
      <c r="FA349" s="716"/>
      <c r="FB349" s="716"/>
      <c r="FC349" s="716"/>
      <c r="FD349" s="716"/>
      <c r="FE349" s="716"/>
      <c r="FF349" s="716"/>
      <c r="FG349" s="716"/>
      <c r="FH349" s="716"/>
      <c r="FI349" s="716"/>
      <c r="FJ349" s="716"/>
      <c r="FK349" s="716"/>
      <c r="FL349" s="716"/>
    </row>
    <row r="350" spans="1:168" s="151" customFormat="1" ht="11.25" hidden="1" customHeight="1">
      <c r="A350" s="3800" t="s">
        <v>54</v>
      </c>
      <c r="B350" s="2172"/>
      <c r="C350" s="2172"/>
      <c r="D350" s="2172"/>
      <c r="E350" s="2172"/>
      <c r="F350" s="2173"/>
      <c r="G350" s="2172"/>
      <c r="H350" s="2172"/>
      <c r="I350" s="2172"/>
      <c r="J350" s="2172"/>
      <c r="K350" s="2173"/>
      <c r="L350" s="2172"/>
      <c r="M350" s="2172"/>
      <c r="N350" s="2172"/>
      <c r="O350" s="2172"/>
      <c r="P350" s="2173" t="s">
        <v>116</v>
      </c>
      <c r="Q350" s="2172" t="s">
        <v>116</v>
      </c>
      <c r="R350" s="2172" t="s">
        <v>116</v>
      </c>
      <c r="S350" s="2172" t="s">
        <v>116</v>
      </c>
      <c r="T350" s="2172" t="s">
        <v>116</v>
      </c>
      <c r="U350" s="2173">
        <f>+U57/P57-1</f>
        <v>5.3173545791254746</v>
      </c>
      <c r="V350" s="2172">
        <f>V57/Q57-1</f>
        <v>5.9447342078921048</v>
      </c>
      <c r="W350" s="2172">
        <f>W57/R57-1</f>
        <v>3.3346922370234244</v>
      </c>
      <c r="X350" s="2172">
        <f>X57/S57-1</f>
        <v>1.6375307076630476</v>
      </c>
      <c r="Y350" s="2172">
        <f>Y57/T57-1</f>
        <v>1.075521147456493</v>
      </c>
      <c r="Z350" s="2173">
        <f>+Z57/U57-1</f>
        <v>1.693104553660306</v>
      </c>
      <c r="AA350" s="2172">
        <f>AA57/V57-1</f>
        <v>0.9380585352531523</v>
      </c>
      <c r="AB350" s="2172">
        <f>AB57/W57-1</f>
        <v>0.83911753407600664</v>
      </c>
      <c r="AC350" s="2172">
        <f>AC57/X57-1</f>
        <v>0.93143045999459151</v>
      </c>
      <c r="AD350" s="2172">
        <f>AD57/Y57-1</f>
        <v>1.246405985005786</v>
      </c>
      <c r="AE350" s="2173">
        <f>+AE57/Z57-1</f>
        <v>1.0043399134209987</v>
      </c>
      <c r="AF350" s="2172">
        <f>AF57/AA57-1</f>
        <v>1.1445526106681383</v>
      </c>
      <c r="AG350" s="2172">
        <f>AG57/AB57-1</f>
        <v>1.1246142155927124</v>
      </c>
      <c r="AH350" s="2172">
        <f>AH57/AC57-1</f>
        <v>1.0915285032932092</v>
      </c>
      <c r="AI350" s="2172">
        <f>AI57/AD57-1</f>
        <v>0.91387023030029346</v>
      </c>
      <c r="AJ350" s="2173">
        <f>+AJ57/AE57-1</f>
        <v>1.0502674340010389</v>
      </c>
      <c r="AK350" s="2172">
        <f>AK57/AF57-1</f>
        <v>0.82984863225102279</v>
      </c>
      <c r="AL350" s="2172">
        <f>AL57/AG57-1</f>
        <v>0.7810242980515798</v>
      </c>
      <c r="AM350" s="2172">
        <f>AM57/AH57-1</f>
        <v>0.76019141489043562</v>
      </c>
      <c r="AN350" s="2172">
        <f>AN57/AI57-1</f>
        <v>0.70110734663230723</v>
      </c>
      <c r="AO350" s="2173">
        <f>+AO57/AJ57-1</f>
        <v>0.76109633209342054</v>
      </c>
      <c r="AP350" s="2172">
        <f>AP57/AK57-1</f>
        <v>0.60601842754416091</v>
      </c>
      <c r="AQ350" s="2172">
        <f>AQ57/AL57-1</f>
        <v>0.4971837044678904</v>
      </c>
      <c r="AR350" s="2172">
        <f>AR57/AM57-1</f>
        <v>0.48863898534692396</v>
      </c>
      <c r="AS350" s="2172">
        <f>AS57/AN57-1</f>
        <v>0.42744448160800896</v>
      </c>
      <c r="AT350" s="2173">
        <f>+AT57/AO57-1</f>
        <v>0.497716105422505</v>
      </c>
      <c r="AU350" s="2172">
        <f>AU57/AP57-1</f>
        <v>0.34375633513930337</v>
      </c>
      <c r="AV350" s="2172">
        <f>AV57/AQ57-1</f>
        <v>0.42538383723193518</v>
      </c>
      <c r="AW350" s="2172">
        <f>AW57/AR57-1</f>
        <v>0.3675498493336391</v>
      </c>
      <c r="AX350" s="2172">
        <f>AX57/AS57-1</f>
        <v>0.28133827942731959</v>
      </c>
      <c r="AY350" s="2173">
        <f>+AY57/AT57-1</f>
        <v>0.35054594918808046</v>
      </c>
      <c r="AZ350" s="2172">
        <f>AZ57/AU57-1</f>
        <v>0.18523270679784676</v>
      </c>
      <c r="BA350" s="2172">
        <f>BA57/AV57-1</f>
        <v>0.13448982941095644</v>
      </c>
      <c r="BB350" s="2172">
        <f>BB57/AW57-1</f>
        <v>0.14982378214574821</v>
      </c>
      <c r="BC350" s="2172">
        <f>BC57/AX57-1</f>
        <v>0.23325576270021608</v>
      </c>
      <c r="BD350" s="2173">
        <f>+BD57/AY57-1</f>
        <v>0.17694181981661594</v>
      </c>
      <c r="BE350" s="2174">
        <f>BE57/AZ57-1</f>
        <v>0.21280850572632803</v>
      </c>
      <c r="BF350" s="2172">
        <f>BF57/BA57-1</f>
        <v>0.18557140728819821</v>
      </c>
      <c r="BG350" s="2172">
        <f>BG57/BB57-1</f>
        <v>0.18020064494048094</v>
      </c>
      <c r="BH350" s="2172">
        <f>BH57/BC57-1</f>
        <v>0.20385733954253404</v>
      </c>
      <c r="BI350" s="2173">
        <f>+BI57/BD57-1</f>
        <v>0.19575861129827365</v>
      </c>
      <c r="BJ350" s="2172">
        <f>BJ57/BE57-1</f>
        <v>0.16688102893890666</v>
      </c>
      <c r="BK350" s="2172">
        <f>BK57/BF57-1</f>
        <v>0.25033156498673748</v>
      </c>
      <c r="BL350" s="2172">
        <f>BL57/BG57-1</f>
        <v>0.2606301621290914</v>
      </c>
      <c r="BM350" s="2172">
        <f>BM57/BH57-1</f>
        <v>0.20936419260441608</v>
      </c>
      <c r="BN350" s="2173">
        <f>+BN57/BI57-1</f>
        <v>0.22145355025087432</v>
      </c>
      <c r="BO350" s="2172">
        <v>0.22788647010195651</v>
      </c>
      <c r="BP350" s="2172">
        <v>0.22513922036595058</v>
      </c>
      <c r="BQ350" s="2172">
        <v>0.12302839116719233</v>
      </c>
      <c r="BR350" s="2175">
        <v>0.1493620765508139</v>
      </c>
      <c r="BS350" s="2176">
        <v>0.17812908445882858</v>
      </c>
      <c r="BT350" s="2172">
        <f>BT57/BJ57-1</f>
        <v>0.22788647010195651</v>
      </c>
      <c r="BU350" s="2172">
        <f>BU57/BK57-1</f>
        <v>0.2352161230442853</v>
      </c>
      <c r="BV350" s="2172">
        <f>BV57/BL57-1</f>
        <v>0.15966998301383151</v>
      </c>
      <c r="BW350" s="2172">
        <f>BW57/BM57-1</f>
        <v>0.18279806423229217</v>
      </c>
      <c r="BX350" s="2173">
        <f>+BX57/BN57-1</f>
        <v>0.19935271052467796</v>
      </c>
      <c r="BY350" s="2172">
        <v>0.11512567324955114</v>
      </c>
      <c r="BZ350" s="2172">
        <v>6.8398268398268458E-2</v>
      </c>
      <c r="CA350" s="2172">
        <v>0.14606741573033699</v>
      </c>
      <c r="CB350" s="2172">
        <v>0.12440191387559807</v>
      </c>
      <c r="CC350" s="2173">
        <v>0.11384647894764655</v>
      </c>
      <c r="CD350" s="2172">
        <f>CD57/BT57-1</f>
        <v>0.18985637342908435</v>
      </c>
      <c r="CE350" s="2172">
        <f>CE57/BU57-1</f>
        <v>0.12451696006869906</v>
      </c>
      <c r="CF350" s="2172">
        <f>CF57/BV57-1</f>
        <v>0.16991002301736757</v>
      </c>
      <c r="CG350" s="2172">
        <f>CG57/BW57-1</f>
        <v>0.17872419564813091</v>
      </c>
      <c r="CH350" s="2173">
        <f>+CH57/BX57-1</f>
        <v>0.16600934094447317</v>
      </c>
      <c r="CI350" s="2172">
        <f>CI57/CD57-1</f>
        <v>0.13919275745001891</v>
      </c>
      <c r="CJ350" s="2172">
        <f>CJ57/CE57-1</f>
        <v>0.18690339824360436</v>
      </c>
      <c r="CK350" s="2172">
        <f>CK57/CF57-1</f>
        <v>0.16723305312108749</v>
      </c>
      <c r="CL350" s="2172">
        <f>CL57/CG57-1</f>
        <v>8.3464815399179493E-2</v>
      </c>
      <c r="CM350" s="2173">
        <f>+CM57/CH57-1</f>
        <v>0.14157283368196172</v>
      </c>
      <c r="CN350" s="2172">
        <f>CN57/CI57-1</f>
        <v>0.1302980132450331</v>
      </c>
      <c r="CO350" s="2172">
        <f>CO57/CJ57-1</f>
        <v>0.15666720283094748</v>
      </c>
      <c r="CP350" s="2172">
        <f>CP57/CK57-1</f>
        <v>0.13208703646950659</v>
      </c>
      <c r="CQ350" s="2172">
        <f>CQ57/CL57-1</f>
        <v>0.19702927042376595</v>
      </c>
      <c r="CR350" s="2173">
        <f>+CR57/CM57-1</f>
        <v>0.15500974658869393</v>
      </c>
      <c r="CS350" s="2172">
        <f>CS57/CN57-1</f>
        <v>0.20213856745276115</v>
      </c>
      <c r="CT350" s="2172">
        <f>CT57/CO57-1</f>
        <v>0.24614100959532759</v>
      </c>
      <c r="CU350" s="2172">
        <f>CU57/CP57-1</f>
        <v>0.24837574445046018</v>
      </c>
      <c r="CV350" s="2172">
        <f>CV57/CQ57-1</f>
        <v>0.23746958637469584</v>
      </c>
      <c r="CW350" s="2173">
        <f>+CW57/CR57-1</f>
        <v>0.23415243367312488</v>
      </c>
      <c r="CX350" s="2172">
        <f>CX57/CS57-1</f>
        <v>0.22821981235530653</v>
      </c>
      <c r="CY350" s="2172"/>
      <c r="CZ350" s="2172"/>
      <c r="DA350" s="2172"/>
      <c r="DB350" s="2173"/>
      <c r="DC350" s="2172"/>
      <c r="DD350" s="2172"/>
      <c r="DE350" s="2172"/>
      <c r="DF350" s="2172"/>
      <c r="DG350" s="2173"/>
      <c r="DH350" s="2172"/>
      <c r="DI350" s="2172"/>
      <c r="DJ350" s="2172"/>
      <c r="DK350" s="2172"/>
      <c r="DL350" s="2173"/>
      <c r="DM350" s="2172"/>
      <c r="DN350" s="2172"/>
      <c r="DO350" s="2172"/>
      <c r="DP350" s="2172"/>
      <c r="DQ350" s="2173"/>
      <c r="DR350" s="2172"/>
      <c r="DS350" s="2172"/>
      <c r="DT350" s="2172"/>
      <c r="DU350" s="2172"/>
      <c r="DV350" s="2173"/>
      <c r="DW350" s="2172"/>
      <c r="DX350" s="2172"/>
      <c r="DY350" s="2172"/>
      <c r="DZ350" s="2172"/>
      <c r="EA350" s="2173"/>
      <c r="EB350" s="2172"/>
      <c r="EC350" s="2172"/>
      <c r="ED350" s="2172"/>
      <c r="EE350" s="2172"/>
      <c r="EF350" s="2173"/>
      <c r="EG350" s="2172"/>
      <c r="EH350" s="2172"/>
      <c r="EI350" s="2172"/>
      <c r="EJ350" s="2172"/>
      <c r="EK350" s="2173"/>
      <c r="EL350" s="2172"/>
      <c r="EM350" s="2172"/>
      <c r="EN350" s="2172"/>
      <c r="EO350" s="2172"/>
      <c r="EP350" s="2173"/>
      <c r="EQ350" s="2172"/>
      <c r="ER350" s="2172"/>
      <c r="ES350" s="2172"/>
      <c r="ET350" s="2172"/>
      <c r="EU350" s="2173"/>
      <c r="EV350" s="2173"/>
      <c r="EW350" s="2173"/>
      <c r="EX350" s="2173"/>
      <c r="EY350" s="2173"/>
      <c r="EZ350" s="624"/>
      <c r="FA350" s="719"/>
      <c r="FB350" s="719"/>
      <c r="FC350" s="719"/>
      <c r="FD350" s="719"/>
      <c r="FE350" s="719"/>
      <c r="FF350" s="719"/>
      <c r="FG350" s="719"/>
      <c r="FH350" s="719"/>
      <c r="FI350" s="719"/>
      <c r="FJ350" s="719"/>
      <c r="FK350" s="719"/>
      <c r="FL350" s="719"/>
    </row>
    <row r="351" spans="1:168" s="129" customFormat="1" ht="11.25" hidden="1" customHeight="1">
      <c r="A351" s="3801" t="s">
        <v>121</v>
      </c>
      <c r="B351" s="1135"/>
      <c r="C351" s="1135"/>
      <c r="D351" s="1135"/>
      <c r="E351" s="1135"/>
      <c r="F351" s="1136"/>
      <c r="G351" s="1135"/>
      <c r="H351" s="1135"/>
      <c r="I351" s="1135"/>
      <c r="J351" s="1135"/>
      <c r="K351" s="1136"/>
      <c r="L351" s="1135"/>
      <c r="M351" s="1135"/>
      <c r="N351" s="1135"/>
      <c r="O351" s="1135"/>
      <c r="P351" s="1136" t="s">
        <v>116</v>
      </c>
      <c r="Q351" s="1135" t="s">
        <v>116</v>
      </c>
      <c r="R351" s="1135" t="s">
        <v>116</v>
      </c>
      <c r="S351" s="1135" t="s">
        <v>116</v>
      </c>
      <c r="T351" s="1135" t="s">
        <v>116</v>
      </c>
      <c r="U351" s="1136">
        <f>+U37/P37-1</f>
        <v>11.077794642155729</v>
      </c>
      <c r="V351" s="1135">
        <f>V37/Q37-1</f>
        <v>1.6178366905622723</v>
      </c>
      <c r="W351" s="1135">
        <f>W37/R37-1</f>
        <v>0.61578550583486447</v>
      </c>
      <c r="X351" s="1135">
        <f>X37/S37-1</f>
        <v>-0.39768250320507403</v>
      </c>
      <c r="Y351" s="1135">
        <f>Y37/T37-1</f>
        <v>-0.44885865525046809</v>
      </c>
      <c r="Z351" s="1136">
        <f>+Z37/U37-1</f>
        <v>-8.8603541653561657E-2</v>
      </c>
      <c r="AA351" s="1135">
        <f>AA37/V37-1</f>
        <v>1.3341310025963633</v>
      </c>
      <c r="AB351" s="1135">
        <f>AB37/W37-1</f>
        <v>1.3753127407387966</v>
      </c>
      <c r="AC351" s="1135">
        <f>AC37/X37-1</f>
        <v>1.3840027785977256</v>
      </c>
      <c r="AD351" s="1135">
        <f>AD37/Y37-1</f>
        <v>5.8764134766491027</v>
      </c>
      <c r="AE351" s="1136">
        <f>+AE37/Z37-1</f>
        <v>2.5541261876042074</v>
      </c>
      <c r="AF351" s="1135">
        <f>AF37/AA37-1</f>
        <v>4.3194562170832649</v>
      </c>
      <c r="AG351" s="1135">
        <f>AG37/AB37-1</f>
        <v>3.0198933620978545</v>
      </c>
      <c r="AH351" s="1135">
        <f>AH37/AC37-1</f>
        <v>5.9546778523182082</v>
      </c>
      <c r="AI351" s="1135">
        <f>AI37/AD37-1</f>
        <v>0.71549756436281275</v>
      </c>
      <c r="AJ351" s="1136">
        <f>+AJ37/AE37-1</f>
        <v>2.4315244620646546</v>
      </c>
      <c r="AK351" s="1135">
        <f>AK37/AF37-1</f>
        <v>0.51191292303025238</v>
      </c>
      <c r="AL351" s="1135">
        <f>AL37/AG37-1</f>
        <v>0.94872277628314738</v>
      </c>
      <c r="AM351" s="1135">
        <f>AM37/AH37-1</f>
        <v>0.79443754635991071</v>
      </c>
      <c r="AN351" s="1135">
        <f>AN37/AI37-1</f>
        <v>1.6853824825988326</v>
      </c>
      <c r="AO351" s="1136">
        <f>+AO37/AJ37-1</f>
        <v>0.98016479946868973</v>
      </c>
      <c r="AP351" s="1135">
        <f>AP37/AK37-1</f>
        <v>0.63425860133671264</v>
      </c>
      <c r="AQ351" s="1135">
        <f>AQ37/AL37-1</f>
        <v>0.26088263705412018</v>
      </c>
      <c r="AR351" s="1135">
        <f>AR37/AM37-1</f>
        <v>0.4313524348400648</v>
      </c>
      <c r="AS351" s="1135">
        <f>AS37/AN37-1</f>
        <v>0.15405368973165845</v>
      </c>
      <c r="AT351" s="1136">
        <f>+AT37/AO37-1</f>
        <v>0.33719907691459361</v>
      </c>
      <c r="AU351" s="1135">
        <f>AU37/AP37-1</f>
        <v>0.29390246446933643</v>
      </c>
      <c r="AV351" s="1135">
        <f>AV37/AQ37-1</f>
        <v>0.33752742391631418</v>
      </c>
      <c r="AW351" s="1135">
        <f>AW37/AR37-1</f>
        <v>0.20101504153661542</v>
      </c>
      <c r="AX351" s="1135">
        <f>AX37/AS37-1</f>
        <v>-0.68194048486156689</v>
      </c>
      <c r="AY351" s="1136">
        <f>+AY37/AT37-1</f>
        <v>1.3764044580586443E-3</v>
      </c>
      <c r="AZ351" s="1135">
        <f>AZ37/AU37-1</f>
        <v>8.9136433634405154E-2</v>
      </c>
      <c r="BA351" s="1135">
        <f>BA37/AV37-1</f>
        <v>0.1882033385371138</v>
      </c>
      <c r="BB351" s="1135">
        <f>BB37/AW37-1</f>
        <v>0.26275607424883463</v>
      </c>
      <c r="BC351" s="1135">
        <f>BC37/AX37-1</f>
        <v>4.0769256967213874</v>
      </c>
      <c r="BD351" s="1136">
        <f>+BD37/AY37-1</f>
        <v>0.53343393895325786</v>
      </c>
      <c r="BE351" s="1698">
        <f>BE37/AZ37-1</f>
        <v>0.35108028152968074</v>
      </c>
      <c r="BF351" s="1135">
        <f>BF37/BA37-1</f>
        <v>0.22425563894875555</v>
      </c>
      <c r="BG351" s="1135">
        <f>BG37/BB37-1</f>
        <v>0.31137727328715981</v>
      </c>
      <c r="BH351" s="1135">
        <f>BH37/BC37-1</f>
        <v>0.2748346222801834</v>
      </c>
      <c r="BI351" s="1136">
        <f>+BI37/BD37-1</f>
        <v>0.28888255046009359</v>
      </c>
      <c r="BJ351" s="1135">
        <f>BJ37/BE37-1</f>
        <v>-9.0944228491916634E-2</v>
      </c>
      <c r="BK351" s="1135">
        <f>BK37/BF37-1</f>
        <v>0.3465894770489466</v>
      </c>
      <c r="BL351" s="1135">
        <f>BL37/BG37-1</f>
        <v>0.2398760427853861</v>
      </c>
      <c r="BM351" s="1135">
        <f>BM37/BH37-1</f>
        <v>5.249827823891895E-2</v>
      </c>
      <c r="BN351" s="1136">
        <f>+BN37/BI37-1</f>
        <v>0.13098939491150174</v>
      </c>
      <c r="BO351" s="1135">
        <v>0.58906916455207847</v>
      </c>
      <c r="BP351" s="1135">
        <v>9.5788440833339372E-2</v>
      </c>
      <c r="BQ351" s="1135">
        <v>-0.2166926436588581</v>
      </c>
      <c r="BR351" s="2170">
        <v>4.7882545879760707E-2</v>
      </c>
      <c r="BS351" s="2171">
        <v>8.5810685706598111E-2</v>
      </c>
      <c r="BT351" s="1135">
        <f>BT37/BJ37-1</f>
        <v>-0.20546541772396076</v>
      </c>
      <c r="BU351" s="1135">
        <f>BU37/BK37-1</f>
        <v>-0.4062675916633719</v>
      </c>
      <c r="BV351" s="1135">
        <f>BV37/BL37-1</f>
        <v>-0.51349269664749375</v>
      </c>
      <c r="BW351" s="1135">
        <f>BW37/BM37-1</f>
        <v>-0.47260935624034917</v>
      </c>
      <c r="BX351" s="1136">
        <f>+BX37/BN37-1</f>
        <v>-0.45709465714670083</v>
      </c>
      <c r="BY351" s="1135">
        <v>0.13533908678939643</v>
      </c>
      <c r="BZ351" s="1135">
        <v>0.1332223808871813</v>
      </c>
      <c r="CA351" s="1135">
        <v>0.34106695189609137</v>
      </c>
      <c r="CB351" s="1135">
        <v>0.14911342955671003</v>
      </c>
      <c r="CC351" s="1136">
        <v>0.18021425882233788</v>
      </c>
      <c r="CD351" s="1135">
        <f>CD37/BT37-1</f>
        <v>0.13533908678939643</v>
      </c>
      <c r="CE351" s="1135">
        <f>CE37/BU37-1</f>
        <v>4.573370800887977E-2</v>
      </c>
      <c r="CF351" s="1135">
        <f>CF37/BV37-1</f>
        <v>7.9601068193080105E-2</v>
      </c>
      <c r="CG351" s="1135">
        <f>CG37/BW37-1</f>
        <v>0.1415977134942048</v>
      </c>
      <c r="CH351" s="1136">
        <f>+CH37/BX37-1</f>
        <v>0.18021600053265052</v>
      </c>
      <c r="CI351" s="1135">
        <f>CI37/CD37-1</f>
        <v>-1.0105480255919175E-2</v>
      </c>
      <c r="CJ351" s="1135">
        <f>CJ37/CE37-1</f>
        <v>2.3831650761366951E-2</v>
      </c>
      <c r="CK351" s="1135">
        <f>CK37/CF37-1</f>
        <v>-9.0967059237884618E-2</v>
      </c>
      <c r="CL351" s="1135">
        <f>CL37/CG37-1</f>
        <v>0.37161792623786805</v>
      </c>
      <c r="CM351" s="1136">
        <f>+CM37/CH37-1</f>
        <v>0.10257696240611791</v>
      </c>
      <c r="CN351" s="1135">
        <f>CN37/CI37-1</f>
        <v>3.6115318941774666E-2</v>
      </c>
      <c r="CO351" s="1135">
        <f>CO37/CJ37-1</f>
        <v>0.16498167207296666</v>
      </c>
      <c r="CP351" s="1135">
        <f>CP37/CK37-1</f>
        <v>0.44015576758138675</v>
      </c>
      <c r="CQ351" s="1135">
        <f>CQ37/CL37-1</f>
        <v>4.0241284192145343E-2</v>
      </c>
      <c r="CR351" s="1136">
        <f>+CR37/CM37-1</f>
        <v>0.12219518281176267</v>
      </c>
      <c r="CS351" s="1135">
        <f>CS37/CN37-1</f>
        <v>0.18033309896574434</v>
      </c>
      <c r="CT351" s="1135">
        <f>CT37/CO37-1</f>
        <v>0.23002415608212501</v>
      </c>
      <c r="CU351" s="1135">
        <f>CU37/CP37-1</f>
        <v>0.26442287554302424</v>
      </c>
      <c r="CV351" s="1135">
        <f>CV37/CQ37-1</f>
        <v>7.1058916197202393E-2</v>
      </c>
      <c r="CW351" s="1136">
        <f>+CW37/CR37-1</f>
        <v>0.17948269195576616</v>
      </c>
      <c r="CX351" s="1135">
        <f>CX37/CS37-1</f>
        <v>0.28474889842727058</v>
      </c>
      <c r="CY351" s="1135"/>
      <c r="CZ351" s="1135"/>
      <c r="DA351" s="1135"/>
      <c r="DB351" s="1136"/>
      <c r="DC351" s="2660"/>
      <c r="DD351" s="2660"/>
      <c r="DE351" s="2660"/>
      <c r="DF351" s="2660"/>
      <c r="DG351" s="1136"/>
      <c r="DH351" s="2660"/>
      <c r="DI351" s="2660"/>
      <c r="DJ351" s="2660"/>
      <c r="DK351" s="2660"/>
      <c r="DL351" s="1136"/>
      <c r="DM351" s="2660"/>
      <c r="DN351" s="2660"/>
      <c r="DO351" s="2660"/>
      <c r="DP351" s="2660"/>
      <c r="DQ351" s="1136"/>
      <c r="DR351" s="2660"/>
      <c r="DS351" s="2660"/>
      <c r="DT351" s="2660"/>
      <c r="DU351" s="2660"/>
      <c r="DV351" s="1136"/>
      <c r="DW351" s="2660"/>
      <c r="DX351" s="2660"/>
      <c r="DY351" s="2660"/>
      <c r="DZ351" s="2660"/>
      <c r="EA351" s="1136"/>
      <c r="EB351" s="2660"/>
      <c r="EC351" s="2660"/>
      <c r="ED351" s="2660"/>
      <c r="EE351" s="2660"/>
      <c r="EF351" s="2597"/>
      <c r="EG351" s="2660"/>
      <c r="EH351" s="2660"/>
      <c r="EI351" s="2660"/>
      <c r="EJ351" s="2660"/>
      <c r="EK351" s="2597"/>
      <c r="EL351" s="2660"/>
      <c r="EM351" s="2660"/>
      <c r="EN351" s="2660"/>
      <c r="EO351" s="2660"/>
      <c r="EP351" s="2597"/>
      <c r="EQ351" s="2660"/>
      <c r="ER351" s="2660"/>
      <c r="ES351" s="2660"/>
      <c r="ET351" s="2660"/>
      <c r="EU351" s="2597"/>
      <c r="EV351" s="2597"/>
      <c r="EW351" s="2597"/>
      <c r="EX351" s="2597"/>
      <c r="EY351" s="2597"/>
      <c r="EZ351" s="169"/>
      <c r="FA351" s="716"/>
      <c r="FB351" s="716"/>
      <c r="FC351" s="716"/>
      <c r="FD351" s="716"/>
      <c r="FE351" s="716"/>
      <c r="FF351" s="716"/>
      <c r="FG351" s="716"/>
      <c r="FH351" s="716"/>
      <c r="FI351" s="716"/>
      <c r="FJ351" s="716"/>
      <c r="FK351" s="716"/>
      <c r="FL351" s="716"/>
    </row>
    <row r="352" spans="1:168" ht="11.25" hidden="1" customHeight="1">
      <c r="A352" s="3805" t="s">
        <v>490</v>
      </c>
      <c r="B352" s="2177"/>
      <c r="C352" s="2177"/>
      <c r="D352" s="2177"/>
      <c r="E352" s="2177"/>
      <c r="F352" s="2178"/>
      <c r="G352" s="2177"/>
      <c r="H352" s="2177"/>
      <c r="I352" s="2177"/>
      <c r="J352" s="2177"/>
      <c r="K352" s="2178"/>
      <c r="L352" s="2177"/>
      <c r="M352" s="2177"/>
      <c r="N352" s="2177"/>
      <c r="O352" s="2177"/>
      <c r="P352" s="2178" t="s">
        <v>116</v>
      </c>
      <c r="Q352" s="2177" t="s">
        <v>116</v>
      </c>
      <c r="R352" s="2177" t="s">
        <v>116</v>
      </c>
      <c r="S352" s="2177" t="s">
        <v>116</v>
      </c>
      <c r="T352" s="2177" t="s">
        <v>116</v>
      </c>
      <c r="U352" s="2178">
        <f>+U51/P51-1</f>
        <v>5.5920468201773303</v>
      </c>
      <c r="V352" s="2177">
        <f>V51/Q51-1</f>
        <v>3.2766833632459926</v>
      </c>
      <c r="W352" s="2177">
        <f>W51/R51-1</f>
        <v>1.7196909016124038</v>
      </c>
      <c r="X352" s="2177">
        <f>X51/S51-1</f>
        <v>1.3076303335071082</v>
      </c>
      <c r="Y352" s="2177">
        <f>Y51/T51-1</f>
        <v>0.92806373197776804</v>
      </c>
      <c r="Z352" s="2178">
        <f>+Z51/U51-1</f>
        <v>1.3745286061591342</v>
      </c>
      <c r="AA352" s="2177">
        <f>AA51/V51-1</f>
        <v>1.1249149097746178</v>
      </c>
      <c r="AB352" s="2177">
        <f>AB51/W51-1</f>
        <v>1.241124741309223</v>
      </c>
      <c r="AC352" s="2177">
        <f>AC51/X51-1</f>
        <v>0.75628805222339612</v>
      </c>
      <c r="AD352" s="2177">
        <f>AD51/Y51-1</f>
        <v>0.58502671302565901</v>
      </c>
      <c r="AE352" s="2178">
        <f>+AE51/Z51-1</f>
        <v>0.86653515607265397</v>
      </c>
      <c r="AF352" s="2177">
        <f>AF51/AA51-1</f>
        <v>1.3453669759875497</v>
      </c>
      <c r="AG352" s="2177">
        <f>AG51/AB51-1</f>
        <v>1.2947952551386908</v>
      </c>
      <c r="AH352" s="2177">
        <f>AH51/AC51-1</f>
        <v>1.3472971844106825</v>
      </c>
      <c r="AI352" s="2177">
        <f>AI51/AD51-1</f>
        <v>1.2793661820451416</v>
      </c>
      <c r="AJ352" s="2178">
        <f>+AJ51/AE51-1</f>
        <v>1.3127866299159128</v>
      </c>
      <c r="AK352" s="2177">
        <f>AK51/AF51-1</f>
        <v>0.84476540112366472</v>
      </c>
      <c r="AL352" s="2177">
        <f>AL51/AG51-1</f>
        <v>0.87882815489771393</v>
      </c>
      <c r="AM352" s="2177">
        <f>AM51/AH51-1</f>
        <v>0.73291826552367545</v>
      </c>
      <c r="AN352" s="2177">
        <f>AN51/AI51-1</f>
        <v>1.0600787216443748</v>
      </c>
      <c r="AO352" s="2178">
        <f>+AO51/AJ51-1</f>
        <v>0.88106595810494825</v>
      </c>
      <c r="AP352" s="2177">
        <f>AP51/AK51-1</f>
        <v>0.60063794864179143</v>
      </c>
      <c r="AQ352" s="2177">
        <f>AQ51/AL51-1</f>
        <v>0.43017529140179067</v>
      </c>
      <c r="AR352" s="2177">
        <f>AR51/AM51-1</f>
        <v>0.49391027995144454</v>
      </c>
      <c r="AS352" s="2177">
        <f>AS51/AN51-1</f>
        <v>0.393461465864962</v>
      </c>
      <c r="AT352" s="2178">
        <f>+AT51/AO51-1</f>
        <v>0.47062244792656238</v>
      </c>
      <c r="AU352" s="2177">
        <f>AU51/AP51-1</f>
        <v>0.31542100790450789</v>
      </c>
      <c r="AV352" s="2177">
        <f>AV51/AQ51-1</f>
        <v>0.29985514068239283</v>
      </c>
      <c r="AW352" s="2177">
        <f>AW51/AR51-1</f>
        <v>0.25890365449205888</v>
      </c>
      <c r="AX352" s="2177">
        <f>AX51/AS51-1</f>
        <v>0.15030185323080425</v>
      </c>
      <c r="AY352" s="2178">
        <f>+AY51/AT51-1</f>
        <v>0.25029782678835089</v>
      </c>
      <c r="AZ352" s="2177">
        <f>AZ51/AU51-1</f>
        <v>6.5087611540145085E-2</v>
      </c>
      <c r="BA352" s="2177">
        <f>BA51/AV51-1</f>
        <v>0.15828610216809458</v>
      </c>
      <c r="BB352" s="2177">
        <f>BB51/AW51-1</f>
        <v>0.19783792120787536</v>
      </c>
      <c r="BC352" s="2177">
        <f>BC51/AX51-1</f>
        <v>0.33178210265655372</v>
      </c>
      <c r="BD352" s="2178">
        <f>+BD51/AY51-1</f>
        <v>0.19128397218547821</v>
      </c>
      <c r="BE352" s="2179">
        <f>BE51/AZ51-1</f>
        <v>0.31063227757072265</v>
      </c>
      <c r="BF352" s="2177">
        <f>BF51/BA51-1</f>
        <v>0.2021526409848533</v>
      </c>
      <c r="BG352" s="2177">
        <f>BG51/BB51-1</f>
        <v>0.29618401900678437</v>
      </c>
      <c r="BH352" s="2177">
        <f>BH51/BC51-1</f>
        <v>0.28902599525595929</v>
      </c>
      <c r="BI352" s="2178">
        <f>+BI51/BD51-1</f>
        <v>0.27532408230382477</v>
      </c>
      <c r="BJ352" s="2177">
        <f>BJ51/BE51-1</f>
        <v>0.19554720483682853</v>
      </c>
      <c r="BK352" s="2177">
        <f>BK51/BF51-1</f>
        <v>0.35544927326816422</v>
      </c>
      <c r="BL352" s="2177">
        <f>BL51/BG51-1</f>
        <v>0.27326457037933394</v>
      </c>
      <c r="BM352" s="2177">
        <f>BM51/BH51-1</f>
        <v>8.5634174676269659E-2</v>
      </c>
      <c r="BN352" s="2178">
        <f>+BN51/BI51-1</f>
        <v>0.21762451250070725</v>
      </c>
      <c r="BO352" s="2177">
        <v>0.24722030149892227</v>
      </c>
      <c r="BP352" s="2177">
        <v>0.15755792585713402</v>
      </c>
      <c r="BQ352" s="2177">
        <v>-7.1619566937394907E-2</v>
      </c>
      <c r="BR352" s="2180">
        <v>0.12067714152680398</v>
      </c>
      <c r="BS352" s="2181">
        <v>0.10595279461379725</v>
      </c>
      <c r="BT352" s="2182">
        <f>BT51/BJ51-1</f>
        <v>-0.37638984925053898</v>
      </c>
      <c r="BU352" s="2177">
        <f>BU51/BK51-1</f>
        <v>-0.41464793468312278</v>
      </c>
      <c r="BV352" s="2177">
        <f>BV51/BL51-1</f>
        <v>-0.512515425643431</v>
      </c>
      <c r="BW352" s="2177">
        <f>BW51/BM51-1</f>
        <v>-0.41579050357627356</v>
      </c>
      <c r="BX352" s="2178">
        <f>+BX51/BN51-1</f>
        <v>-0.43517202191918525</v>
      </c>
      <c r="BY352" s="2177">
        <v>0.14886080585264549</v>
      </c>
      <c r="BZ352" s="2177">
        <v>-5.531594611646784E-2</v>
      </c>
      <c r="CA352" s="2177">
        <v>0.18956967782715117</v>
      </c>
      <c r="CB352" s="2177">
        <v>0.12769561395045259</v>
      </c>
      <c r="CC352" s="2178">
        <v>0.10070975746512834</v>
      </c>
      <c r="CD352" s="2177">
        <f>CD51/BT51-1</f>
        <v>0.19099650609294549</v>
      </c>
      <c r="CE352" s="2177">
        <f>CE51/BU51-1</f>
        <v>-1.9985941388428241E-2</v>
      </c>
      <c r="CF352" s="2177">
        <f>CF51/BV51-1</f>
        <v>0.23129185119236095</v>
      </c>
      <c r="CG352" s="2177">
        <f>CG51/BW51-1</f>
        <v>0.21391520961928889</v>
      </c>
      <c r="CH352" s="2178">
        <f>+CH51/BX51-1</f>
        <v>0.15877549061958174</v>
      </c>
      <c r="CI352" s="2177">
        <f>CI51/CD51-1</f>
        <v>2.5357400938939012E-2</v>
      </c>
      <c r="CJ352" s="2177">
        <f>CJ51/CE51-1</f>
        <v>0.19318953173645181</v>
      </c>
      <c r="CK352" s="2177">
        <f>CK51/CF51-1</f>
        <v>7.0135988900285495E-2</v>
      </c>
      <c r="CL352" s="2177">
        <f>CL51/CG51-1</f>
        <v>2.7800568042117835E-3</v>
      </c>
      <c r="CM352" s="2178">
        <f>+CM51/CH51-1</f>
        <v>8.442944354650872E-2</v>
      </c>
      <c r="CN352" s="2177">
        <f>CN51/CI51-1</f>
        <v>5.0941060657692994E-2</v>
      </c>
      <c r="CO352" s="2177">
        <f>CO51/CJ51-1</f>
        <v>0.16861122533993278</v>
      </c>
      <c r="CP352" s="2177">
        <f>CP51/CK51-1</f>
        <v>0.17646198375737976</v>
      </c>
      <c r="CQ352" s="2177">
        <f>CQ51/CL51-1</f>
        <v>0.28266204158704955</v>
      </c>
      <c r="CR352" s="2178">
        <f>+CR51/CM51-1</f>
        <v>0.15233032500083232</v>
      </c>
      <c r="CS352" s="2177">
        <f>CS51/CN51-1</f>
        <v>0.16010930828143399</v>
      </c>
      <c r="CT352" s="2177">
        <f>CT51/CO51-1</f>
        <v>0.20392847104095191</v>
      </c>
      <c r="CU352" s="2177">
        <f>CU51/CP51-1</f>
        <v>0.23259011217270409</v>
      </c>
      <c r="CV352" s="2177">
        <f>CV51/CQ51-1</f>
        <v>8.0104593762491794E-2</v>
      </c>
      <c r="CW352" s="2178">
        <f>+CW51/CR51-1</f>
        <v>0.16454774967209707</v>
      </c>
      <c r="CX352" s="2177">
        <f>CX51/CS51-1</f>
        <v>0.33333283311845041</v>
      </c>
      <c r="CY352" s="2177"/>
      <c r="CZ352" s="2177"/>
      <c r="DA352" s="2177"/>
      <c r="DB352" s="2178"/>
      <c r="DC352" s="2177"/>
      <c r="DD352" s="2177"/>
      <c r="DE352" s="2177"/>
      <c r="DF352" s="2177"/>
      <c r="DG352" s="2178"/>
      <c r="DH352" s="3977"/>
      <c r="DI352" s="3977"/>
      <c r="DJ352" s="3977"/>
      <c r="DK352" s="3977"/>
      <c r="DL352" s="2178"/>
      <c r="DM352" s="3977"/>
      <c r="DN352" s="3977"/>
      <c r="DO352" s="3977"/>
      <c r="DP352" s="3977"/>
      <c r="DQ352" s="2178"/>
      <c r="DR352" s="3977"/>
      <c r="DS352" s="3977"/>
      <c r="DT352" s="3977"/>
      <c r="DU352" s="3977"/>
      <c r="DV352" s="2178"/>
      <c r="DW352" s="3977"/>
      <c r="DX352" s="3977"/>
      <c r="DY352" s="3977"/>
      <c r="DZ352" s="3977"/>
      <c r="EA352" s="2178"/>
      <c r="EB352" s="3977"/>
      <c r="EC352" s="3977"/>
      <c r="ED352" s="3977"/>
      <c r="EE352" s="3977"/>
      <c r="EF352" s="2178"/>
      <c r="EG352" s="3977"/>
      <c r="EH352" s="3977"/>
      <c r="EI352" s="3977"/>
      <c r="EJ352" s="3977"/>
      <c r="EK352" s="2178"/>
      <c r="EL352" s="3977"/>
      <c r="EM352" s="3977"/>
      <c r="EN352" s="3977"/>
      <c r="EO352" s="3977"/>
      <c r="EP352" s="2178"/>
      <c r="EQ352" s="3977"/>
      <c r="ER352" s="3977"/>
      <c r="ES352" s="3977"/>
      <c r="ET352" s="3977"/>
      <c r="EU352" s="2178"/>
      <c r="EV352" s="2178"/>
      <c r="EW352" s="2178"/>
      <c r="EX352" s="2178"/>
      <c r="EY352" s="2178"/>
      <c r="EZ352" s="169"/>
      <c r="FA352" s="715"/>
      <c r="FB352" s="715"/>
      <c r="FC352" s="715"/>
      <c r="FD352" s="715"/>
      <c r="FE352" s="715"/>
      <c r="FF352" s="715"/>
      <c r="FG352" s="715"/>
      <c r="FH352" s="715"/>
      <c r="FI352" s="715"/>
      <c r="FJ352" s="715"/>
      <c r="FK352" s="715"/>
      <c r="FL352" s="715"/>
    </row>
    <row r="353" spans="1:168" ht="11.25" hidden="1" customHeight="1">
      <c r="A353" s="3798" t="s">
        <v>323</v>
      </c>
      <c r="B353" s="1783"/>
      <c r="C353" s="1783"/>
      <c r="D353" s="1783"/>
      <c r="E353" s="1783"/>
      <c r="F353" s="1782"/>
      <c r="G353" s="1783"/>
      <c r="H353" s="1783"/>
      <c r="I353" s="1783"/>
      <c r="J353" s="1783"/>
      <c r="K353" s="1782"/>
      <c r="L353" s="1783"/>
      <c r="M353" s="1783"/>
      <c r="N353" s="1783"/>
      <c r="O353" s="1783"/>
      <c r="P353" s="1782"/>
      <c r="Q353" s="1783"/>
      <c r="R353" s="1783"/>
      <c r="S353" s="1783"/>
      <c r="T353" s="1783"/>
      <c r="U353" s="1782"/>
      <c r="V353" s="1783"/>
      <c r="W353" s="1783"/>
      <c r="X353" s="1783"/>
      <c r="Y353" s="1783"/>
      <c r="Z353" s="1782"/>
      <c r="AA353" s="1783"/>
      <c r="AB353" s="1783"/>
      <c r="AC353" s="1783"/>
      <c r="AD353" s="1806"/>
      <c r="AE353" s="1782"/>
      <c r="AF353" s="1783"/>
      <c r="AG353" s="1783"/>
      <c r="AH353" s="1783"/>
      <c r="AI353" s="1783"/>
      <c r="AJ353" s="1782"/>
      <c r="AK353" s="1783"/>
      <c r="AL353" s="1783"/>
      <c r="AM353" s="1783"/>
      <c r="AN353" s="1783"/>
      <c r="AO353" s="1782"/>
      <c r="AP353" s="1783"/>
      <c r="AQ353" s="1783"/>
      <c r="AR353" s="1783"/>
      <c r="AS353" s="1783"/>
      <c r="AT353" s="1782"/>
      <c r="AU353" s="1783"/>
      <c r="AV353" s="1783"/>
      <c r="AW353" s="1783"/>
      <c r="AX353" s="1783"/>
      <c r="AY353" s="1714"/>
      <c r="AZ353" s="1783"/>
      <c r="BA353" s="1783"/>
      <c r="BB353" s="1783"/>
      <c r="BC353" s="1783"/>
      <c r="BD353" s="1714"/>
      <c r="BE353" s="1762"/>
      <c r="BF353" s="1783"/>
      <c r="BG353" s="1783"/>
      <c r="BH353" s="1783"/>
      <c r="BI353" s="1714"/>
      <c r="BJ353" s="1783"/>
      <c r="BK353" s="1783"/>
      <c r="BL353" s="1783"/>
      <c r="BM353" s="1783"/>
      <c r="BN353" s="1714"/>
      <c r="BO353" s="1783"/>
      <c r="BP353" s="1783"/>
      <c r="BQ353" s="1783"/>
      <c r="BR353" s="1763"/>
      <c r="BS353" s="1764"/>
      <c r="BT353" s="1783"/>
      <c r="BU353" s="1783"/>
      <c r="BV353" s="1783"/>
      <c r="BW353" s="1783"/>
      <c r="BX353" s="1714"/>
      <c r="BY353" s="1783"/>
      <c r="BZ353" s="1783"/>
      <c r="CA353" s="1783"/>
      <c r="CB353" s="1783"/>
      <c r="CC353" s="1714"/>
      <c r="CD353" s="1783"/>
      <c r="CE353" s="1783"/>
      <c r="CF353" s="1783"/>
      <c r="CG353" s="1783"/>
      <c r="CH353" s="1714"/>
      <c r="CI353" s="1807"/>
      <c r="CJ353" s="1807"/>
      <c r="CK353" s="1807"/>
      <c r="CL353" s="1807"/>
      <c r="CM353" s="1714"/>
      <c r="CN353" s="1807"/>
      <c r="CO353" s="1807"/>
      <c r="CP353" s="1807"/>
      <c r="CQ353" s="1807"/>
      <c r="CR353" s="1714"/>
      <c r="CS353" s="1807"/>
      <c r="CT353" s="1807"/>
      <c r="CU353" s="1807"/>
      <c r="CV353" s="1807"/>
      <c r="CW353" s="1714"/>
      <c r="CX353" s="1807"/>
      <c r="CY353" s="1807"/>
      <c r="CZ353" s="1807"/>
      <c r="DA353" s="1807"/>
      <c r="DB353" s="1714"/>
      <c r="DC353" s="1807"/>
      <c r="DD353" s="1807"/>
      <c r="DE353" s="1807"/>
      <c r="DF353" s="1807"/>
      <c r="DG353" s="1714"/>
      <c r="DH353" s="3978"/>
      <c r="DI353" s="3978"/>
      <c r="DJ353" s="3978"/>
      <c r="DK353" s="3978"/>
      <c r="DL353" s="1714"/>
      <c r="DM353" s="3978"/>
      <c r="DN353" s="3978"/>
      <c r="DO353" s="3978"/>
      <c r="DP353" s="3978"/>
      <c r="DQ353" s="1714"/>
      <c r="DR353" s="3978"/>
      <c r="DS353" s="3978"/>
      <c r="DT353" s="3978"/>
      <c r="DU353" s="3978"/>
      <c r="DV353" s="1714"/>
      <c r="DW353" s="3978"/>
      <c r="DX353" s="3978"/>
      <c r="DY353" s="3978"/>
      <c r="DZ353" s="3978"/>
      <c r="EA353" s="1714"/>
      <c r="EB353" s="3978"/>
      <c r="EC353" s="3978"/>
      <c r="ED353" s="3978"/>
      <c r="EE353" s="3978"/>
      <c r="EF353" s="1714"/>
      <c r="EG353" s="3978"/>
      <c r="EH353" s="3978"/>
      <c r="EI353" s="3978"/>
      <c r="EJ353" s="3978"/>
      <c r="EK353" s="1714"/>
      <c r="EL353" s="3978"/>
      <c r="EM353" s="3978"/>
      <c r="EN353" s="3978"/>
      <c r="EO353" s="3978"/>
      <c r="EP353" s="1714"/>
      <c r="EQ353" s="3978"/>
      <c r="ER353" s="3978"/>
      <c r="ES353" s="3978"/>
      <c r="ET353" s="3978"/>
      <c r="EU353" s="1714"/>
      <c r="EV353" s="1714"/>
      <c r="EW353" s="1714"/>
      <c r="EX353" s="1714"/>
      <c r="EY353" s="1714"/>
      <c r="EZ353" s="208"/>
      <c r="FA353" s="715"/>
      <c r="FB353" s="715"/>
      <c r="FC353" s="715"/>
      <c r="FD353" s="715"/>
      <c r="FE353" s="715"/>
      <c r="FF353" s="715"/>
      <c r="FG353" s="715"/>
      <c r="FH353" s="715"/>
      <c r="FI353" s="715"/>
      <c r="FJ353" s="715"/>
      <c r="FK353" s="715"/>
      <c r="FL353" s="715"/>
    </row>
    <row r="354" spans="1:168" s="151" customFormat="1" ht="11.25" hidden="1" customHeight="1">
      <c r="A354" s="3800" t="s">
        <v>232</v>
      </c>
      <c r="B354" s="2183"/>
      <c r="C354" s="2183"/>
      <c r="D354" s="2183"/>
      <c r="E354" s="2183"/>
      <c r="F354" s="2184"/>
      <c r="G354" s="2183"/>
      <c r="H354" s="2183"/>
      <c r="I354" s="2183"/>
      <c r="J354" s="2183"/>
      <c r="K354" s="2184"/>
      <c r="L354" s="2183"/>
      <c r="M354" s="2183"/>
      <c r="N354" s="2183"/>
      <c r="O354" s="2183"/>
      <c r="P354" s="2184"/>
      <c r="Q354" s="2172" t="s">
        <v>116</v>
      </c>
      <c r="R354" s="2172">
        <f>+R7/Q7-1</f>
        <v>0.857041504079461</v>
      </c>
      <c r="S354" s="2172">
        <f>+S7/R7-1</f>
        <v>0.66554600445717926</v>
      </c>
      <c r="T354" s="2172">
        <f>+T7/S7-1</f>
        <v>0.43677123873167822</v>
      </c>
      <c r="U354" s="2184"/>
      <c r="V354" s="2172">
        <f>+V7/T7-1</f>
        <v>0.32306251363677485</v>
      </c>
      <c r="W354" s="2172">
        <f t="shared" ref="W354:Y357" si="1629">+W7/V7-1</f>
        <v>0.25171548319108039</v>
      </c>
      <c r="X354" s="2172">
        <f t="shared" si="1629"/>
        <v>0.265884530477283</v>
      </c>
      <c r="Y354" s="2172">
        <f t="shared" si="1629"/>
        <v>0.30012793761518175</v>
      </c>
      <c r="Z354" s="2184"/>
      <c r="AA354" s="2172">
        <f>+AA7/Y7-1</f>
        <v>0.27226631522428879</v>
      </c>
      <c r="AB354" s="2172">
        <f t="shared" ref="AB354:AD357" si="1630">+AB7/AA7-1</f>
        <v>7.4566121821973752E-2</v>
      </c>
      <c r="AC354" s="2172">
        <f t="shared" si="1630"/>
        <v>0.15091857894466232</v>
      </c>
      <c r="AD354" s="2172">
        <f t="shared" si="1630"/>
        <v>0.2799573637495083</v>
      </c>
      <c r="AE354" s="2184"/>
      <c r="AF354" s="2172">
        <f>+AF7/AD7-1</f>
        <v>0.21814326888679703</v>
      </c>
      <c r="AG354" s="2172">
        <f t="shared" ref="AG354:AI357" si="1631">+AG7/AF7-1</f>
        <v>0.10185226451553331</v>
      </c>
      <c r="AH354" s="2172">
        <f t="shared" si="1631"/>
        <v>0.14009512493725151</v>
      </c>
      <c r="AI354" s="2172">
        <f t="shared" si="1631"/>
        <v>0.21580392484807942</v>
      </c>
      <c r="AJ354" s="2184"/>
      <c r="AK354" s="2172">
        <f>+AK7/AI7-1</f>
        <v>0.17438550398547648</v>
      </c>
      <c r="AL354" s="2172">
        <f t="shared" ref="AL354:AN357" si="1632">+AL7/AK7-1</f>
        <v>8.9732912406184306E-2</v>
      </c>
      <c r="AM354" s="2172">
        <f t="shared" si="1632"/>
        <v>9.5147742805246294E-2</v>
      </c>
      <c r="AN354" s="2172">
        <f t="shared" si="1632"/>
        <v>0.19177981858761273</v>
      </c>
      <c r="AO354" s="2184"/>
      <c r="AP354" s="2172">
        <f>+AP7/AN7-1</f>
        <v>0.14302707410829774</v>
      </c>
      <c r="AQ354" s="2172">
        <f t="shared" ref="AQ354:AS357" si="1633">+AQ7/AP7-1</f>
        <v>5.6772829260930413E-2</v>
      </c>
      <c r="AR354" s="2172">
        <f t="shared" si="1633"/>
        <v>9.2811826492096294E-2</v>
      </c>
      <c r="AS354" s="2172">
        <f t="shared" si="1633"/>
        <v>0.14069454413023186</v>
      </c>
      <c r="AT354" s="2184"/>
      <c r="AU354" s="2172">
        <f>+AU7/AS7-1</f>
        <v>7.4453677155659204E-2</v>
      </c>
      <c r="AV354" s="2172">
        <f t="shared" ref="AV354:AX357" si="1634">+AV7/AU7-1</f>
        <v>3.4933956390257537E-2</v>
      </c>
      <c r="AW354" s="2172">
        <f t="shared" si="1634"/>
        <v>3.2452416636421066E-2</v>
      </c>
      <c r="AX354" s="2172">
        <f t="shared" si="1634"/>
        <v>2.8785732679755149E-2</v>
      </c>
      <c r="AY354" s="2185"/>
      <c r="AZ354" s="2172">
        <f>+AZ7/AX7-1</f>
        <v>-3.3663783849017692E-2</v>
      </c>
      <c r="BA354" s="2172">
        <f t="shared" ref="BA354:BC357" si="1635">+BA7/AZ7-1</f>
        <v>2.5244191766549129E-3</v>
      </c>
      <c r="BB354" s="2172">
        <f t="shared" si="1635"/>
        <v>7.6400845425869779E-2</v>
      </c>
      <c r="BC354" s="2172">
        <f t="shared" si="1635"/>
        <v>0.12262275370736808</v>
      </c>
      <c r="BD354" s="2185"/>
      <c r="BE354" s="2174">
        <f>+BE7/BC7-1</f>
        <v>1.515997198008634E-2</v>
      </c>
      <c r="BF354" s="2172">
        <f t="shared" ref="BF354:BH357" si="1636">+BF7/BE7-1</f>
        <v>6.6420664206641167E-3</v>
      </c>
      <c r="BG354" s="2172">
        <f t="shared" si="1636"/>
        <v>6.8328445747800615E-2</v>
      </c>
      <c r="BH354" s="2172">
        <f t="shared" si="1636"/>
        <v>0.15838594564919029</v>
      </c>
      <c r="BI354" s="2185"/>
      <c r="BJ354" s="2172">
        <f>+BJ7/BH7-1</f>
        <v>1.5995260663507205E-2</v>
      </c>
      <c r="BK354" s="2172">
        <f t="shared" ref="BK354:BM357" si="1637">+BK7/BJ7-1</f>
        <v>5.2594752186588822E-2</v>
      </c>
      <c r="BL354" s="2172">
        <f t="shared" si="1637"/>
        <v>7.6888987369820416E-2</v>
      </c>
      <c r="BM354" s="2172">
        <f t="shared" si="1637"/>
        <v>8.8888888888888795E-2</v>
      </c>
      <c r="BN354" s="2185"/>
      <c r="BO354" s="2172">
        <v>5.7634164777022878E-3</v>
      </c>
      <c r="BP354" s="2172">
        <v>0.14739314232033829</v>
      </c>
      <c r="BQ354" s="2172">
        <v>0.15449484198460772</v>
      </c>
      <c r="BR354" s="2175">
        <v>2.2551592085667593E-2</v>
      </c>
      <c r="BS354" s="2186"/>
      <c r="BT354" s="2172">
        <f>+BT7/BM7-1</f>
        <v>5.7634164777022878E-3</v>
      </c>
      <c r="BU354" s="2172">
        <f t="shared" ref="BU354:BW357" si="1638">+BU7/BT7-1</f>
        <v>2.9967120713950246E-2</v>
      </c>
      <c r="BV354" s="2172">
        <f t="shared" si="1638"/>
        <v>5.125866472090479E-2</v>
      </c>
      <c r="BW354" s="2172">
        <f t="shared" si="1638"/>
        <v>0.11964254728440049</v>
      </c>
      <c r="BX354" s="2185"/>
      <c r="BY354" s="2172">
        <v>-3.1208821693598732E-2</v>
      </c>
      <c r="BZ354" s="2172">
        <v>9.7358436538048654E-3</v>
      </c>
      <c r="CA354" s="2172">
        <v>5.5866713931230105E-2</v>
      </c>
      <c r="CB354" s="2172">
        <v>0.13194118042033165</v>
      </c>
      <c r="CC354" s="2185"/>
      <c r="CD354" s="2172">
        <f>+CD7/BW7-1</f>
        <v>3.564509879891542E-3</v>
      </c>
      <c r="CE354" s="2172">
        <f t="shared" ref="CE354:CG357" si="1639">+CE7/CD7-1</f>
        <v>1.2045401899467123E-2</v>
      </c>
      <c r="CF354" s="2172">
        <f t="shared" si="1639"/>
        <v>4.9362935835812971E-2</v>
      </c>
      <c r="CG354" s="2172">
        <f t="shared" si="1639"/>
        <v>0.14199505598371376</v>
      </c>
      <c r="CH354" s="2185"/>
      <c r="CI354" s="2172">
        <f>+CI7/CG7-1</f>
        <v>-1.8272107977334917E-2</v>
      </c>
      <c r="CJ354" s="2172">
        <f t="shared" ref="CJ354:CL357" si="1640">+CJ7/CI7-1</f>
        <v>3.4695201037613588E-2</v>
      </c>
      <c r="CK354" s="2172">
        <f t="shared" si="1640"/>
        <v>3.5600125352553968E-2</v>
      </c>
      <c r="CL354" s="2172">
        <f t="shared" si="1640"/>
        <v>9.5624281304847791E-2</v>
      </c>
      <c r="CM354" s="2185"/>
      <c r="CN354" s="2172">
        <f>+CN7/CL7-1</f>
        <v>-4.6677346296194022E-2</v>
      </c>
      <c r="CO354" s="2172">
        <f t="shared" ref="CO354:CQ357" si="1641">+CO7/CN7-1</f>
        <v>2.7175802526364645E-2</v>
      </c>
      <c r="CP354" s="2172">
        <f t="shared" si="1641"/>
        <v>5.3477745811474131E-2</v>
      </c>
      <c r="CQ354" s="2172">
        <f t="shared" si="1641"/>
        <v>0.14211512717536823</v>
      </c>
      <c r="CR354" s="2185"/>
      <c r="CS354" s="2172">
        <f>+CS7/CQ7-1</f>
        <v>-5.0260209104974418E-2</v>
      </c>
      <c r="CT354" s="2172">
        <f t="shared" ref="CT354:CV357" si="1642">+CT7/CS7-1</f>
        <v>6.1361504665053967E-2</v>
      </c>
      <c r="CU354" s="2172">
        <f t="shared" si="1642"/>
        <v>4.4232558139534861E-2</v>
      </c>
      <c r="CV354" s="2172">
        <f t="shared" si="1642"/>
        <v>0.16092824373079151</v>
      </c>
      <c r="CW354" s="2185"/>
      <c r="CX354" s="2172">
        <f>+CX7/CV7-1</f>
        <v>-5.0414364640884002E-2</v>
      </c>
      <c r="CY354" s="2172"/>
      <c r="CZ354" s="2172"/>
      <c r="DA354" s="2172"/>
      <c r="DB354" s="2185"/>
      <c r="DC354" s="2172"/>
      <c r="DD354" s="2172"/>
      <c r="DE354" s="2172"/>
      <c r="DF354" s="2172"/>
      <c r="DG354" s="2185"/>
      <c r="DH354" s="2172"/>
      <c r="DI354" s="2172"/>
      <c r="DJ354" s="2172"/>
      <c r="DK354" s="2172"/>
      <c r="DL354" s="2185"/>
      <c r="DM354" s="2172"/>
      <c r="DN354" s="2172"/>
      <c r="DO354" s="2172"/>
      <c r="DP354" s="2172"/>
      <c r="DQ354" s="2185"/>
      <c r="DR354" s="2172"/>
      <c r="DS354" s="2172"/>
      <c r="DT354" s="2172"/>
      <c r="DU354" s="2172"/>
      <c r="DV354" s="2185"/>
      <c r="DW354" s="2172"/>
      <c r="DX354" s="2172"/>
      <c r="DY354" s="2172"/>
      <c r="DZ354" s="2172"/>
      <c r="EA354" s="2185"/>
      <c r="EB354" s="2172"/>
      <c r="EC354" s="2172"/>
      <c r="ED354" s="2172"/>
      <c r="EE354" s="2172"/>
      <c r="EF354" s="2185"/>
      <c r="EG354" s="2172"/>
      <c r="EH354" s="2172"/>
      <c r="EI354" s="2172"/>
      <c r="EJ354" s="2172"/>
      <c r="EK354" s="2185"/>
      <c r="EL354" s="2172"/>
      <c r="EM354" s="2172"/>
      <c r="EN354" s="2172"/>
      <c r="EO354" s="2172"/>
      <c r="EP354" s="2185"/>
      <c r="EQ354" s="2172"/>
      <c r="ER354" s="2172"/>
      <c r="ES354" s="2172"/>
      <c r="ET354" s="2172"/>
      <c r="EU354" s="2185"/>
      <c r="EV354" s="2185"/>
      <c r="EW354" s="2185"/>
      <c r="EX354" s="2185"/>
      <c r="EY354" s="2185"/>
      <c r="EZ354" s="625"/>
      <c r="FA354" s="719"/>
      <c r="FB354" s="719"/>
      <c r="FC354" s="719"/>
      <c r="FD354" s="719"/>
      <c r="FE354" s="719"/>
      <c r="FF354" s="719"/>
      <c r="FG354" s="719"/>
      <c r="FH354" s="719"/>
      <c r="FI354" s="719"/>
      <c r="FJ354" s="719"/>
      <c r="FK354" s="719"/>
      <c r="FL354" s="719"/>
    </row>
    <row r="355" spans="1:168" ht="11.25" hidden="1" customHeight="1">
      <c r="A355" s="3799" t="s">
        <v>176</v>
      </c>
      <c r="B355" s="1114"/>
      <c r="C355" s="1114"/>
      <c r="D355" s="1114"/>
      <c r="E355" s="1114"/>
      <c r="F355" s="1997"/>
      <c r="G355" s="1114"/>
      <c r="H355" s="1114"/>
      <c r="I355" s="1114"/>
      <c r="J355" s="1114"/>
      <c r="K355" s="1997"/>
      <c r="L355" s="1114"/>
      <c r="M355" s="1114"/>
      <c r="N355" s="1114"/>
      <c r="O355" s="1114"/>
      <c r="P355" s="1997"/>
      <c r="Q355" s="1135" t="s">
        <v>116</v>
      </c>
      <c r="R355" s="1135" t="s">
        <v>116</v>
      </c>
      <c r="S355" s="1135">
        <f t="shared" ref="S355:T357" si="1643">+S8/R8-1</f>
        <v>1.0714285714285716</v>
      </c>
      <c r="T355" s="1135">
        <f t="shared" si="1643"/>
        <v>0.77586206896551735</v>
      </c>
      <c r="U355" s="1997"/>
      <c r="V355" s="1135">
        <f>+V8/T8-1</f>
        <v>0.36176699029126214</v>
      </c>
      <c r="W355" s="1135">
        <f t="shared" si="1629"/>
        <v>0.37683763243073676</v>
      </c>
      <c r="X355" s="1135">
        <f t="shared" si="1629"/>
        <v>0.48600337617415268</v>
      </c>
      <c r="Y355" s="1135">
        <f t="shared" si="1629"/>
        <v>0.50784391617359059</v>
      </c>
      <c r="Z355" s="1997"/>
      <c r="AA355" s="1135">
        <f>+AA8/Y8-1</f>
        <v>0.25257446061121502</v>
      </c>
      <c r="AB355" s="1135">
        <f t="shared" si="1630"/>
        <v>2.2258138316322285E-2</v>
      </c>
      <c r="AC355" s="1135">
        <f t="shared" si="1630"/>
        <v>9.3367601088675034E-2</v>
      </c>
      <c r="AD355" s="1135">
        <f t="shared" si="1630"/>
        <v>0.2469725982172335</v>
      </c>
      <c r="AE355" s="1997"/>
      <c r="AF355" s="1135">
        <f>+AF8/AD8-1</f>
        <v>0.22265612589619499</v>
      </c>
      <c r="AG355" s="1135">
        <f t="shared" si="1631"/>
        <v>7.0403870014962955E-2</v>
      </c>
      <c r="AH355" s="1135">
        <f t="shared" si="1631"/>
        <v>7.1925068781356183E-2</v>
      </c>
      <c r="AI355" s="1135">
        <f t="shared" si="1631"/>
        <v>0.1869633158071542</v>
      </c>
      <c r="AJ355" s="1997"/>
      <c r="AK355" s="1135">
        <f>+AK8/AI8-1</f>
        <v>0.14913163555882014</v>
      </c>
      <c r="AL355" s="1135">
        <f t="shared" si="1632"/>
        <v>8.6370403577516575E-2</v>
      </c>
      <c r="AM355" s="1135">
        <f t="shared" si="1632"/>
        <v>5.1078826072171291E-2</v>
      </c>
      <c r="AN355" s="1135">
        <f t="shared" si="1632"/>
        <v>0.18218897225615072</v>
      </c>
      <c r="AO355" s="1997"/>
      <c r="AP355" s="1135">
        <f>+AP8/AN8-1</f>
        <v>0.15314805589892755</v>
      </c>
      <c r="AQ355" s="1135">
        <f t="shared" si="1633"/>
        <v>2.0338088161047985E-2</v>
      </c>
      <c r="AR355" s="1135">
        <f t="shared" si="1633"/>
        <v>6.3773996809862732E-2</v>
      </c>
      <c r="AS355" s="1135">
        <f t="shared" si="1633"/>
        <v>0.17909296383647821</v>
      </c>
      <c r="AT355" s="1997"/>
      <c r="AU355" s="1135">
        <f>+AU8/AS8-1</f>
        <v>3.2344455603293243E-2</v>
      </c>
      <c r="AV355" s="1135">
        <f t="shared" si="1634"/>
        <v>-8.3450844465494667E-3</v>
      </c>
      <c r="AW355" s="1135">
        <f t="shared" si="1634"/>
        <v>1.4400466763456743E-2</v>
      </c>
      <c r="AX355" s="1135">
        <f t="shared" si="1634"/>
        <v>-7.9079404443266332E-3</v>
      </c>
      <c r="AY355" s="2187"/>
      <c r="AZ355" s="1135">
        <f>+AZ8/AX8-1</f>
        <v>-3.1968838775177311E-2</v>
      </c>
      <c r="BA355" s="1135">
        <f t="shared" si="1635"/>
        <v>1.2113150784144322E-2</v>
      </c>
      <c r="BB355" s="1135">
        <f t="shared" si="1635"/>
        <v>7.2839789892895856E-2</v>
      </c>
      <c r="BC355" s="1135">
        <f t="shared" si="1635"/>
        <v>0.10368672461031703</v>
      </c>
      <c r="BD355" s="2187"/>
      <c r="BE355" s="1698">
        <f>+BE8/BC8-1</f>
        <v>-5.7447152222750431E-3</v>
      </c>
      <c r="BF355" s="1135">
        <f t="shared" si="1636"/>
        <v>1.2273524254821755E-2</v>
      </c>
      <c r="BG355" s="1135">
        <f t="shared" si="1636"/>
        <v>4.2147806004618982E-2</v>
      </c>
      <c r="BH355" s="1135">
        <f t="shared" si="1636"/>
        <v>0.14626038781163442</v>
      </c>
      <c r="BI355" s="2187"/>
      <c r="BJ355" s="1135">
        <f>+BJ8/BH8-1</f>
        <v>-1.4983083615273118E-2</v>
      </c>
      <c r="BK355" s="1135">
        <f t="shared" si="1637"/>
        <v>3.5328753680078595E-2</v>
      </c>
      <c r="BL355" s="1135">
        <f t="shared" si="1637"/>
        <v>4.7393364928909998E-2</v>
      </c>
      <c r="BM355" s="1135">
        <f t="shared" si="1637"/>
        <v>0.10859728506787336</v>
      </c>
      <c r="BN355" s="2187"/>
      <c r="BO355" s="1135">
        <v>2.4489795918367419E-2</v>
      </c>
      <c r="BP355" s="1135">
        <v>3.5856573705179251E-2</v>
      </c>
      <c r="BQ355" s="1135">
        <v>6.5384615384615374E-2</v>
      </c>
      <c r="BR355" s="2170">
        <v>0.11191335740072206</v>
      </c>
      <c r="BS355" s="2188"/>
      <c r="BT355" s="1135">
        <f>+BT8/BM8-1</f>
        <v>2.4489795918367419E-2</v>
      </c>
      <c r="BU355" s="1135">
        <f t="shared" si="1638"/>
        <v>3.5856573705179251E-2</v>
      </c>
      <c r="BV355" s="1135">
        <f t="shared" si="1638"/>
        <v>6.5384615384615374E-2</v>
      </c>
      <c r="BW355" s="1135">
        <f t="shared" si="1638"/>
        <v>0.11191335740072206</v>
      </c>
      <c r="BX355" s="2187"/>
      <c r="BY355" s="1135">
        <v>-3.8311688311688297E-2</v>
      </c>
      <c r="BZ355" s="1135">
        <v>1.721809588116141E-2</v>
      </c>
      <c r="CA355" s="1135">
        <v>-1.3607699966810438E-2</v>
      </c>
      <c r="CB355" s="1135">
        <v>0.11372812920592201</v>
      </c>
      <c r="CC355" s="2187"/>
      <c r="CD355" s="1135">
        <f>+CD8/BW8-1</f>
        <v>-3.8311688311688297E-2</v>
      </c>
      <c r="CE355" s="1135">
        <f t="shared" si="1639"/>
        <v>1.721809588116141E-2</v>
      </c>
      <c r="CF355" s="1135">
        <f t="shared" si="1639"/>
        <v>-1.3607699966810438E-2</v>
      </c>
      <c r="CG355" s="1135">
        <f t="shared" si="1639"/>
        <v>0.11372812920592201</v>
      </c>
      <c r="CH355" s="2187"/>
      <c r="CI355" s="1135">
        <f>+CI8/CG8-1</f>
        <v>-2.3564954682779415E-2</v>
      </c>
      <c r="CJ355" s="1135">
        <f t="shared" si="1640"/>
        <v>1.8873762376237613E-2</v>
      </c>
      <c r="CK355" s="1135">
        <f t="shared" si="1640"/>
        <v>1.6702095353780644E-2</v>
      </c>
      <c r="CL355" s="1135">
        <f t="shared" si="1640"/>
        <v>8.1242532855436034E-2</v>
      </c>
      <c r="CM355" s="2187"/>
      <c r="CN355" s="1135">
        <f>+CN8/CL8-1</f>
        <v>-7.5966850828729227E-2</v>
      </c>
      <c r="CO355" s="1135">
        <f t="shared" si="1641"/>
        <v>9.5665171898355883E-3</v>
      </c>
      <c r="CP355" s="1135">
        <f t="shared" si="1641"/>
        <v>5.5966834468463178E-2</v>
      </c>
      <c r="CQ355" s="1135">
        <f t="shared" si="1641"/>
        <v>0.13712843522153673</v>
      </c>
      <c r="CR355" s="2187"/>
      <c r="CS355" s="1135">
        <f>+CS8/CQ8-1</f>
        <v>-6.5844636251541355E-2</v>
      </c>
      <c r="CT355" s="1135">
        <f t="shared" si="1642"/>
        <v>4.9366420274551182E-2</v>
      </c>
      <c r="CU355" s="1135">
        <f t="shared" si="1642"/>
        <v>5.2075471698113107E-2</v>
      </c>
      <c r="CV355" s="1135">
        <f t="shared" si="1642"/>
        <v>0.15925394548063121</v>
      </c>
      <c r="CW355" s="2187"/>
      <c r="CX355" s="1135">
        <f>+CX8/CV8-1</f>
        <v>-4.5173267326732658E-2</v>
      </c>
      <c r="CY355" s="1135"/>
      <c r="CZ355" s="1135"/>
      <c r="DA355" s="1135"/>
      <c r="DB355" s="2187"/>
      <c r="DC355" s="2660"/>
      <c r="DD355" s="2660"/>
      <c r="DE355" s="2660"/>
      <c r="DF355" s="2660"/>
      <c r="DG355" s="2187"/>
      <c r="DH355" s="2660"/>
      <c r="DI355" s="2660"/>
      <c r="DJ355" s="2660"/>
      <c r="DK355" s="2660"/>
      <c r="DL355" s="2187"/>
      <c r="DM355" s="2660"/>
      <c r="DN355" s="2660"/>
      <c r="DO355" s="2660"/>
      <c r="DP355" s="2660"/>
      <c r="DQ355" s="2187"/>
      <c r="DR355" s="2660"/>
      <c r="DS355" s="2660"/>
      <c r="DT355" s="2660"/>
      <c r="DU355" s="2660"/>
      <c r="DV355" s="2187"/>
      <c r="DW355" s="2660"/>
      <c r="DX355" s="2660"/>
      <c r="DY355" s="2660"/>
      <c r="DZ355" s="2660"/>
      <c r="EA355" s="2187"/>
      <c r="EB355" s="2660"/>
      <c r="EC355" s="2660"/>
      <c r="ED355" s="2660"/>
      <c r="EE355" s="2660"/>
      <c r="EF355" s="2187"/>
      <c r="EG355" s="2660"/>
      <c r="EH355" s="2660"/>
      <c r="EI355" s="2660"/>
      <c r="EJ355" s="2660"/>
      <c r="EK355" s="2187"/>
      <c r="EL355" s="2660"/>
      <c r="EM355" s="2660"/>
      <c r="EN355" s="2660"/>
      <c r="EO355" s="2660"/>
      <c r="EP355" s="2187"/>
      <c r="EQ355" s="2660"/>
      <c r="ER355" s="2660"/>
      <c r="ES355" s="2660"/>
      <c r="ET355" s="2660"/>
      <c r="EU355" s="2187"/>
      <c r="EV355" s="2187"/>
      <c r="EW355" s="2187"/>
      <c r="EX355" s="2187"/>
      <c r="EY355" s="2187"/>
      <c r="EZ355" s="208"/>
      <c r="FA355" s="715"/>
      <c r="FB355" s="715"/>
      <c r="FC355" s="715"/>
      <c r="FD355" s="715"/>
      <c r="FE355" s="715"/>
      <c r="FF355" s="715"/>
      <c r="FG355" s="715"/>
      <c r="FH355" s="715"/>
      <c r="FI355" s="715"/>
      <c r="FJ355" s="715"/>
      <c r="FK355" s="715"/>
      <c r="FL355" s="715"/>
    </row>
    <row r="356" spans="1:168" s="151" customFormat="1" ht="11.25" hidden="1" customHeight="1">
      <c r="A356" s="3800" t="s">
        <v>48</v>
      </c>
      <c r="B356" s="2172"/>
      <c r="C356" s="2172"/>
      <c r="D356" s="2172"/>
      <c r="E356" s="2172"/>
      <c r="F356" s="2184"/>
      <c r="G356" s="2172"/>
      <c r="H356" s="2172"/>
      <c r="I356" s="2172"/>
      <c r="J356" s="2172"/>
      <c r="K356" s="2184"/>
      <c r="L356" s="2189"/>
      <c r="M356" s="2189"/>
      <c r="N356" s="2189"/>
      <c r="O356" s="2189"/>
      <c r="P356" s="2184"/>
      <c r="Q356" s="2189" t="s">
        <v>116</v>
      </c>
      <c r="R356" s="2172">
        <f>+R9/Q9-1</f>
        <v>0.52595483031807988</v>
      </c>
      <c r="S356" s="2172">
        <f t="shared" si="1643"/>
        <v>0.57748159628051132</v>
      </c>
      <c r="T356" s="2172">
        <f t="shared" si="1643"/>
        <v>0.34016131726055376</v>
      </c>
      <c r="U356" s="2184"/>
      <c r="V356" s="2172">
        <f>+V9/T9-1</f>
        <v>0.30845019829779119</v>
      </c>
      <c r="W356" s="2172">
        <f t="shared" si="1629"/>
        <v>0.20255256685360856</v>
      </c>
      <c r="X356" s="2172">
        <f t="shared" si="1629"/>
        <v>0.16686079016026834</v>
      </c>
      <c r="Y356" s="2172">
        <f t="shared" si="1629"/>
        <v>0.18112635004292166</v>
      </c>
      <c r="Z356" s="2184"/>
      <c r="AA356" s="2172">
        <f>+AA9/Y9-1</f>
        <v>0.28666853717982987</v>
      </c>
      <c r="AB356" s="2172">
        <f t="shared" si="1630"/>
        <v>0.11180938518894101</v>
      </c>
      <c r="AC356" s="2172">
        <f t="shared" si="1630"/>
        <v>0.18859439762936625</v>
      </c>
      <c r="AD356" s="2172">
        <f t="shared" si="1630"/>
        <v>0.29982087012189163</v>
      </c>
      <c r="AE356" s="2184"/>
      <c r="AF356" s="2172">
        <f>+AF9/AD9-1</f>
        <v>0.21553611005318229</v>
      </c>
      <c r="AG356" s="2172">
        <f t="shared" si="1631"/>
        <v>0.12012698987931425</v>
      </c>
      <c r="AH356" s="2172">
        <f t="shared" si="1631"/>
        <v>0.1779504030106438</v>
      </c>
      <c r="AI356" s="2172">
        <f t="shared" si="1631"/>
        <v>0.23037778638199025</v>
      </c>
      <c r="AJ356" s="2184"/>
      <c r="AK356" s="2172">
        <f>+AK9/AI9-1</f>
        <v>0.18669660629135176</v>
      </c>
      <c r="AL356" s="2172">
        <f t="shared" si="1632"/>
        <v>9.1320225287863543E-2</v>
      </c>
      <c r="AM356" s="2172">
        <f t="shared" si="1632"/>
        <v>0.11585665105767662</v>
      </c>
      <c r="AN356" s="2172">
        <f t="shared" si="1632"/>
        <v>0.19602512109735604</v>
      </c>
      <c r="AO356" s="2184"/>
      <c r="AP356" s="2172">
        <f>+AP9/AN9-1</f>
        <v>0.13859893805944723</v>
      </c>
      <c r="AQ356" s="2172">
        <f t="shared" si="1633"/>
        <v>7.2917466705580525E-2</v>
      </c>
      <c r="AR356" s="2172">
        <f t="shared" si="1633"/>
        <v>0.10504825129438555</v>
      </c>
      <c r="AS356" s="2172">
        <f t="shared" si="1633"/>
        <v>0.12511797267385782</v>
      </c>
      <c r="AT356" s="2184"/>
      <c r="AU356" s="2172">
        <f>+AU9/AS9-1</f>
        <v>9.2355024484294335E-2</v>
      </c>
      <c r="AV356" s="2172">
        <f t="shared" si="1634"/>
        <v>5.2321849121770736E-2</v>
      </c>
      <c r="AW356" s="2172">
        <f t="shared" si="1634"/>
        <v>3.9286895823315682E-2</v>
      </c>
      <c r="AX356" s="2172">
        <f t="shared" si="1634"/>
        <v>4.2345320344967297E-2</v>
      </c>
      <c r="AY356" s="2185"/>
      <c r="AZ356" s="2172">
        <f>+AZ9/AX9-1</f>
        <v>-3.4259927986149519E-2</v>
      </c>
      <c r="BA356" s="2172">
        <f t="shared" si="1635"/>
        <v>-8.5611940005358989E-4</v>
      </c>
      <c r="BB356" s="2172">
        <f t="shared" si="1635"/>
        <v>7.7672603533124107E-2</v>
      </c>
      <c r="BC356" s="2172">
        <f t="shared" si="1635"/>
        <v>0.12935504208626569</v>
      </c>
      <c r="BD356" s="2185"/>
      <c r="BE356" s="2174">
        <f>+BE9/BC9-1</f>
        <v>2.2423252133733085E-2</v>
      </c>
      <c r="BF356" s="2172">
        <f t="shared" si="1636"/>
        <v>4.7393364928909332E-3</v>
      </c>
      <c r="BG356" s="2172">
        <f t="shared" si="1636"/>
        <v>7.7240566037735769E-2</v>
      </c>
      <c r="BH356" s="2172">
        <f t="shared" si="1636"/>
        <v>0.16237912789636932</v>
      </c>
      <c r="BI356" s="2185"/>
      <c r="BJ356" s="2172">
        <f>+BJ9/BH9-1</f>
        <v>2.6055564275623944E-2</v>
      </c>
      <c r="BK356" s="2172">
        <f t="shared" si="1637"/>
        <v>5.7977665595839056E-2</v>
      </c>
      <c r="BL356" s="2172">
        <f t="shared" si="1637"/>
        <v>8.5887796414112261E-2</v>
      </c>
      <c r="BM356" s="2172">
        <f t="shared" si="1637"/>
        <v>8.3089214380825505E-2</v>
      </c>
      <c r="BN356" s="2185"/>
      <c r="BO356" s="2172">
        <v>1.2294074256202769E-4</v>
      </c>
      <c r="BP356" s="2172">
        <v>0.18180700676090966</v>
      </c>
      <c r="BQ356" s="2172">
        <v>0.17859371749531938</v>
      </c>
      <c r="BR356" s="2175">
        <v>7.0602771158778665E-4</v>
      </c>
      <c r="BS356" s="2186"/>
      <c r="BT356" s="2172">
        <f>+BT9/BM9-1</f>
        <v>1.2294074256202769E-4</v>
      </c>
      <c r="BU356" s="2172">
        <f t="shared" si="1638"/>
        <v>2.8149969268592478E-2</v>
      </c>
      <c r="BV356" s="2172">
        <f t="shared" si="1638"/>
        <v>4.6867527498804407E-2</v>
      </c>
      <c r="BW356" s="2172">
        <f t="shared" si="1638"/>
        <v>0.12208771128369111</v>
      </c>
      <c r="BX356" s="2185"/>
      <c r="BY356" s="2172">
        <v>-2.9279477908104812E-2</v>
      </c>
      <c r="BZ356" s="2172">
        <v>7.7223584991368277E-3</v>
      </c>
      <c r="CA356" s="2172">
        <v>7.4738550306527207E-2</v>
      </c>
      <c r="CB356" s="2172">
        <v>0.13648183877191511</v>
      </c>
      <c r="CC356" s="2185"/>
      <c r="CD356" s="2172">
        <f>+CD9/BW9-1</f>
        <v>1.6692111959287548E-2</v>
      </c>
      <c r="CE356" s="2172">
        <f t="shared" si="1639"/>
        <v>1.0511562718990897E-2</v>
      </c>
      <c r="CF356" s="2172">
        <f t="shared" si="1639"/>
        <v>6.8159302555973911E-2</v>
      </c>
      <c r="CG356" s="2172">
        <f t="shared" si="1639"/>
        <v>0.1497866815062141</v>
      </c>
      <c r="CH356" s="2185"/>
      <c r="CI356" s="2172">
        <f>+CI9/CG9-1</f>
        <v>-1.685891748003554E-2</v>
      </c>
      <c r="CJ356" s="2172">
        <f t="shared" si="1640"/>
        <v>3.889071217591078E-2</v>
      </c>
      <c r="CK356" s="2172">
        <f t="shared" si="1640"/>
        <v>4.0514926551887598E-2</v>
      </c>
      <c r="CL356" s="2172">
        <f t="shared" si="1640"/>
        <v>9.9278937381404253E-2</v>
      </c>
      <c r="CM356" s="2185"/>
      <c r="CN356" s="2172">
        <f>+CN9/CL9-1</f>
        <v>-3.9356486915694266E-2</v>
      </c>
      <c r="CO356" s="2172">
        <f t="shared" si="1641"/>
        <v>3.1409473154603518E-2</v>
      </c>
      <c r="CP356" s="2172">
        <f t="shared" si="1641"/>
        <v>5.2891986062717722E-2</v>
      </c>
      <c r="CQ356" s="2172">
        <f t="shared" si="1641"/>
        <v>0.14329207756966045</v>
      </c>
      <c r="CR356" s="2185"/>
      <c r="CS356" s="2172">
        <f>+CS9/CQ9-1</f>
        <v>-4.6601829338890788E-2</v>
      </c>
      <c r="CT356" s="2172">
        <f t="shared" si="1642"/>
        <v>6.4120468759487625E-2</v>
      </c>
      <c r="CU356" s="2172">
        <f t="shared" si="1642"/>
        <v>4.2453637660484933E-2</v>
      </c>
      <c r="CV356" s="2172">
        <f t="shared" si="1642"/>
        <v>0.16131151130330057</v>
      </c>
      <c r="CW356" s="2185"/>
      <c r="CX356" s="2172">
        <f>+CX9/CV9-1</f>
        <v>-5.1611990950226283E-2</v>
      </c>
      <c r="CY356" s="2172"/>
      <c r="CZ356" s="2172"/>
      <c r="DA356" s="2172"/>
      <c r="DB356" s="2185"/>
      <c r="DC356" s="2172"/>
      <c r="DD356" s="2172"/>
      <c r="DE356" s="2172"/>
      <c r="DF356" s="2172"/>
      <c r="DG356" s="2185"/>
      <c r="DH356" s="2172"/>
      <c r="DI356" s="2172"/>
      <c r="DJ356" s="2172"/>
      <c r="DK356" s="2172"/>
      <c r="DL356" s="2185"/>
      <c r="DM356" s="2172"/>
      <c r="DN356" s="2172"/>
      <c r="DO356" s="2172"/>
      <c r="DP356" s="2172"/>
      <c r="DQ356" s="2185"/>
      <c r="DR356" s="2172"/>
      <c r="DS356" s="2172"/>
      <c r="DT356" s="2172"/>
      <c r="DU356" s="2172"/>
      <c r="DV356" s="2185"/>
      <c r="DW356" s="2172"/>
      <c r="DX356" s="2172"/>
      <c r="DY356" s="2172"/>
      <c r="DZ356" s="2172"/>
      <c r="EA356" s="2185"/>
      <c r="EB356" s="2172"/>
      <c r="EC356" s="2172"/>
      <c r="ED356" s="2172"/>
      <c r="EE356" s="2172"/>
      <c r="EF356" s="2185"/>
      <c r="EG356" s="2172"/>
      <c r="EH356" s="2172"/>
      <c r="EI356" s="2172"/>
      <c r="EJ356" s="2172"/>
      <c r="EK356" s="2185"/>
      <c r="EL356" s="2172"/>
      <c r="EM356" s="2172"/>
      <c r="EN356" s="2172"/>
      <c r="EO356" s="2172"/>
      <c r="EP356" s="2185"/>
      <c r="EQ356" s="2172"/>
      <c r="ER356" s="2172"/>
      <c r="ES356" s="2172"/>
      <c r="ET356" s="2172"/>
      <c r="EU356" s="2185"/>
      <c r="EV356" s="2185"/>
      <c r="EW356" s="2185"/>
      <c r="EX356" s="2185"/>
      <c r="EY356" s="2185"/>
      <c r="EZ356" s="625"/>
      <c r="FA356" s="723"/>
      <c r="FB356" s="723"/>
      <c r="FC356" s="723"/>
      <c r="FD356" s="723"/>
      <c r="FE356" s="723"/>
      <c r="FF356" s="723"/>
      <c r="FG356" s="723"/>
      <c r="FH356" s="723"/>
      <c r="FI356" s="723"/>
      <c r="FJ356" s="723"/>
      <c r="FK356" s="723"/>
      <c r="FL356" s="723"/>
    </row>
    <row r="357" spans="1:168" ht="11.25" hidden="1" customHeight="1">
      <c r="A357" s="3799" t="s">
        <v>178</v>
      </c>
      <c r="B357" s="1114"/>
      <c r="C357" s="1114"/>
      <c r="D357" s="1114"/>
      <c r="E357" s="1114"/>
      <c r="F357" s="1997"/>
      <c r="G357" s="1114"/>
      <c r="H357" s="1114"/>
      <c r="I357" s="1114"/>
      <c r="J357" s="1114"/>
      <c r="K357" s="1997"/>
      <c r="L357" s="1114"/>
      <c r="M357" s="1114"/>
      <c r="N357" s="1114"/>
      <c r="O357" s="1114"/>
      <c r="P357" s="1997"/>
      <c r="Q357" s="1135" t="s">
        <v>116</v>
      </c>
      <c r="R357" s="1135" t="s">
        <v>116</v>
      </c>
      <c r="S357" s="1135">
        <f t="shared" si="1643"/>
        <v>0.6578742000936475</v>
      </c>
      <c r="T357" s="1135">
        <f t="shared" si="1643"/>
        <v>0.34522688759179077</v>
      </c>
      <c r="U357" s="1997"/>
      <c r="V357" s="1135">
        <f>+V10/T10-1</f>
        <v>0.19420533277346141</v>
      </c>
      <c r="W357" s="1135">
        <f t="shared" si="1629"/>
        <v>0.22140178152836421</v>
      </c>
      <c r="X357" s="1135">
        <f t="shared" si="1629"/>
        <v>0.29080702427790017</v>
      </c>
      <c r="Y357" s="1135">
        <f t="shared" si="1629"/>
        <v>0.28283091105081271</v>
      </c>
      <c r="Z357" s="1997"/>
      <c r="AA357" s="1135">
        <f>+AA10/Y10-1</f>
        <v>0.28639313861845195</v>
      </c>
      <c r="AB357" s="1135">
        <f t="shared" si="1630"/>
        <v>0.1114289575637446</v>
      </c>
      <c r="AC357" s="1135">
        <f t="shared" si="1630"/>
        <v>0.19974464463044383</v>
      </c>
      <c r="AD357" s="1135">
        <f t="shared" si="1630"/>
        <v>0.28500481427051061</v>
      </c>
      <c r="AE357" s="1997"/>
      <c r="AF357" s="1135">
        <f>+AF10/AD10-1</f>
        <v>9.6357350370049444E-2</v>
      </c>
      <c r="AG357" s="1135">
        <f t="shared" si="1631"/>
        <v>0.23229937290919822</v>
      </c>
      <c r="AH357" s="1135">
        <f t="shared" si="1631"/>
        <v>0.20605205546095795</v>
      </c>
      <c r="AI357" s="1135">
        <f t="shared" si="1631"/>
        <v>0.18142506776816836</v>
      </c>
      <c r="AJ357" s="1997"/>
      <c r="AK357" s="1135">
        <f>+AK10/AI10-1</f>
        <v>0.22302649549303477</v>
      </c>
      <c r="AL357" s="1135">
        <f t="shared" si="1632"/>
        <v>0.12535455053042965</v>
      </c>
      <c r="AM357" s="1135">
        <f t="shared" si="1632"/>
        <v>9.8059548203681457E-2</v>
      </c>
      <c r="AN357" s="1135">
        <f t="shared" si="1632"/>
        <v>0.34042428213180131</v>
      </c>
      <c r="AO357" s="1997"/>
      <c r="AP357" s="1135">
        <f>+AP10/AN10-1</f>
        <v>0.14949638638692697</v>
      </c>
      <c r="AQ357" s="1135">
        <f t="shared" si="1633"/>
        <v>0.18673626486415151</v>
      </c>
      <c r="AR357" s="1135">
        <f t="shared" si="1633"/>
        <v>8.0915185466155171E-2</v>
      </c>
      <c r="AS357" s="1135">
        <f t="shared" si="1633"/>
        <v>0.16534835447204999</v>
      </c>
      <c r="AT357" s="1997"/>
      <c r="AU357" s="1135">
        <f>+AU10/AS10-1</f>
        <v>0.20646740793634621</v>
      </c>
      <c r="AV357" s="1135">
        <f t="shared" si="1634"/>
        <v>8.0045007837347359E-2</v>
      </c>
      <c r="AW357" s="1135">
        <f t="shared" si="1634"/>
        <v>4.8522203085668014E-3</v>
      </c>
      <c r="AX357" s="1135">
        <f t="shared" si="1634"/>
        <v>4.05555430703195E-2</v>
      </c>
      <c r="AY357" s="2187"/>
      <c r="AZ357" s="1135">
        <f>+AZ10/AX10-1</f>
        <v>-5.9777631874492587E-2</v>
      </c>
      <c r="BA357" s="1135">
        <f t="shared" si="1635"/>
        <v>-1.8348961037171096E-2</v>
      </c>
      <c r="BB357" s="1135">
        <f t="shared" si="1635"/>
        <v>1.7359697359697446E-2</v>
      </c>
      <c r="BC357" s="1135">
        <f t="shared" si="1635"/>
        <v>4.494344118634741E-2</v>
      </c>
      <c r="BD357" s="2187"/>
      <c r="BE357" s="1698">
        <f>+BE10/BC10-1</f>
        <v>7.8561858824323316E-2</v>
      </c>
      <c r="BF357" s="1135">
        <f t="shared" si="1636"/>
        <v>-1.0884353741496544E-2</v>
      </c>
      <c r="BG357" s="1135">
        <f t="shared" si="1636"/>
        <v>1.6506189821182904E-2</v>
      </c>
      <c r="BH357" s="1135">
        <f t="shared" si="1636"/>
        <v>0.12584573748308525</v>
      </c>
      <c r="BI357" s="2187"/>
      <c r="BJ357" s="1135">
        <f>+BJ10/BH10-1</f>
        <v>2.0432692307692291E-2</v>
      </c>
      <c r="BK357" s="1135">
        <f t="shared" si="1637"/>
        <v>0.19081272084805656</v>
      </c>
      <c r="BL357" s="1135">
        <f t="shared" si="1637"/>
        <v>8.4075173095944589E-2</v>
      </c>
      <c r="BM357" s="1135">
        <f t="shared" si="1637"/>
        <v>7.2080291970803012E-2</v>
      </c>
      <c r="BN357" s="2187"/>
      <c r="BO357" s="1135">
        <v>2.4489795918367419E-2</v>
      </c>
      <c r="BP357" s="1135">
        <v>3.5856573705179251E-2</v>
      </c>
      <c r="BQ357" s="1135">
        <v>6.5384615384615374E-2</v>
      </c>
      <c r="BR357" s="2170">
        <v>0.11191335740072206</v>
      </c>
      <c r="BS357" s="2188"/>
      <c r="BT357" s="1135">
        <f>+BT10/BM10-1</f>
        <v>2.5531914893617058E-2</v>
      </c>
      <c r="BU357" s="1135">
        <f t="shared" si="1638"/>
        <v>8.0497925311203256E-2</v>
      </c>
      <c r="BV357" s="1135">
        <f t="shared" si="1638"/>
        <v>0.20353302611367119</v>
      </c>
      <c r="BW357" s="1135">
        <f t="shared" si="1638"/>
        <v>0.13720485003190808</v>
      </c>
      <c r="BX357" s="2187"/>
      <c r="BY357" s="1135">
        <v>-3.8311688311688297E-2</v>
      </c>
      <c r="BZ357" s="1135">
        <v>1.721809588116141E-2</v>
      </c>
      <c r="CA357" s="1135">
        <v>-1.3607699966810438E-2</v>
      </c>
      <c r="CB357" s="1135">
        <v>0.11372812920592201</v>
      </c>
      <c r="CC357" s="2187"/>
      <c r="CD357" s="1135">
        <f>+CD10/BW10-1</f>
        <v>0.16442199775533117</v>
      </c>
      <c r="CE357" s="1135">
        <f t="shared" si="1639"/>
        <v>-1.4457831325300763E-3</v>
      </c>
      <c r="CF357" s="1135">
        <f t="shared" si="1639"/>
        <v>0.11196911196911197</v>
      </c>
      <c r="CG357" s="1135">
        <f t="shared" si="1639"/>
        <v>0.22222222222222232</v>
      </c>
      <c r="CH357" s="2187"/>
      <c r="CI357" s="1135">
        <f>+CI10/CG10-1</f>
        <v>-6.4630681818181768E-2</v>
      </c>
      <c r="CJ357" s="1135">
        <f t="shared" si="1640"/>
        <v>3.3029612756264148E-2</v>
      </c>
      <c r="CK357" s="1135">
        <f t="shared" si="1640"/>
        <v>0.16795295847115033</v>
      </c>
      <c r="CL357" s="1135">
        <f t="shared" si="1640"/>
        <v>-1.5103838892385202E-2</v>
      </c>
      <c r="CM357" s="2187"/>
      <c r="CN357" s="1135">
        <f>+CN10/CL10-1</f>
        <v>-8.9137380191693261E-2</v>
      </c>
      <c r="CO357" s="1135">
        <f t="shared" si="1641"/>
        <v>6.734479130129789E-2</v>
      </c>
      <c r="CP357" s="1135">
        <f t="shared" si="1641"/>
        <v>6.4738744659875058E-2</v>
      </c>
      <c r="CQ357" s="1135">
        <f t="shared" si="1641"/>
        <v>0.19783950617283952</v>
      </c>
      <c r="CR357" s="2187"/>
      <c r="CS357" s="1135">
        <f>+CS10/CQ10-1</f>
        <v>-6.7508374130378801E-2</v>
      </c>
      <c r="CT357" s="1135">
        <f t="shared" si="1642"/>
        <v>7.7645758496822426E-2</v>
      </c>
      <c r="CU357" s="1135">
        <f t="shared" si="1642"/>
        <v>7.4871794871794961E-2</v>
      </c>
      <c r="CV357" s="1135">
        <f t="shared" si="1642"/>
        <v>0.30653625954198471</v>
      </c>
      <c r="CW357" s="2187"/>
      <c r="CX357" s="1135">
        <f>+CX10/CV10-1</f>
        <v>-0.12354728361743617</v>
      </c>
      <c r="CY357" s="1135"/>
      <c r="CZ357" s="1135"/>
      <c r="DA357" s="1135"/>
      <c r="DB357" s="2187"/>
      <c r="DC357" s="2660"/>
      <c r="DD357" s="2660"/>
      <c r="DE357" s="2660"/>
      <c r="DF357" s="2660"/>
      <c r="DG357" s="2187"/>
      <c r="DH357" s="2660"/>
      <c r="DI357" s="2660"/>
      <c r="DJ357" s="2660"/>
      <c r="DK357" s="2660"/>
      <c r="DL357" s="2187"/>
      <c r="DM357" s="2660"/>
      <c r="DN357" s="2660"/>
      <c r="DO357" s="2660"/>
      <c r="DP357" s="2660"/>
      <c r="DQ357" s="2187"/>
      <c r="DR357" s="2660"/>
      <c r="DS357" s="2660"/>
      <c r="DT357" s="2660"/>
      <c r="DU357" s="2660"/>
      <c r="DV357" s="2187"/>
      <c r="DW357" s="2660"/>
      <c r="DX357" s="2660"/>
      <c r="DY357" s="2660"/>
      <c r="DZ357" s="2660"/>
      <c r="EA357" s="2187"/>
      <c r="EB357" s="2660"/>
      <c r="EC357" s="2660"/>
      <c r="ED357" s="2660"/>
      <c r="EE357" s="2660"/>
      <c r="EF357" s="2187"/>
      <c r="EG357" s="2660"/>
      <c r="EH357" s="2660"/>
      <c r="EI357" s="2660"/>
      <c r="EJ357" s="2660"/>
      <c r="EK357" s="2187"/>
      <c r="EL357" s="2660"/>
      <c r="EM357" s="2660"/>
      <c r="EN357" s="2660"/>
      <c r="EO357" s="2660"/>
      <c r="EP357" s="2187"/>
      <c r="EQ357" s="2660"/>
      <c r="ER357" s="2660"/>
      <c r="ES357" s="2660"/>
      <c r="ET357" s="2660"/>
      <c r="EU357" s="2187"/>
      <c r="EV357" s="2187"/>
      <c r="EW357" s="2187"/>
      <c r="EX357" s="2187"/>
      <c r="EY357" s="2187"/>
      <c r="EZ357" s="208"/>
      <c r="FA357" s="715"/>
      <c r="FB357" s="715"/>
      <c r="FC357" s="715"/>
      <c r="FD357" s="715"/>
      <c r="FE357" s="715"/>
      <c r="FF357" s="715"/>
      <c r="FG357" s="715"/>
      <c r="FH357" s="715"/>
      <c r="FI357" s="715"/>
      <c r="FJ357" s="715"/>
      <c r="FK357" s="715"/>
      <c r="FL357" s="715"/>
    </row>
    <row r="358" spans="1:168" ht="11.25" hidden="1" customHeight="1">
      <c r="A358" s="3801" t="s">
        <v>49</v>
      </c>
      <c r="B358" s="1114"/>
      <c r="C358" s="1114"/>
      <c r="D358" s="1114"/>
      <c r="E358" s="1114"/>
      <c r="F358" s="1997"/>
      <c r="G358" s="1114"/>
      <c r="H358" s="1114"/>
      <c r="I358" s="1114"/>
      <c r="J358" s="1114"/>
      <c r="K358" s="1997"/>
      <c r="L358" s="1114"/>
      <c r="M358" s="1114"/>
      <c r="N358" s="1114"/>
      <c r="O358" s="1114"/>
      <c r="P358" s="1997"/>
      <c r="Q358" s="1135" t="s">
        <v>116</v>
      </c>
      <c r="R358" s="1135" t="s">
        <v>116</v>
      </c>
      <c r="S358" s="1135">
        <f>+S13/R13-1</f>
        <v>0.5686190164837055</v>
      </c>
      <c r="T358" s="1135">
        <f>+T13/S13-1</f>
        <v>0.339571107332858</v>
      </c>
      <c r="U358" s="1997"/>
      <c r="V358" s="1135">
        <f>+V13/T13-1</f>
        <v>0.32181752673555963</v>
      </c>
      <c r="W358" s="1135">
        <f>+W13/V13-1</f>
        <v>0.20056001932810075</v>
      </c>
      <c r="X358" s="1135">
        <f>+X13/W13-1</f>
        <v>0.15353099619191135</v>
      </c>
      <c r="Y358" s="1135">
        <f>+Y13/X13-1</f>
        <v>0.16888688090466619</v>
      </c>
      <c r="Z358" s="1997"/>
      <c r="AA358" s="1135">
        <f>+AA13/Y13-1</f>
        <v>0.28670491031621848</v>
      </c>
      <c r="AB358" s="1135">
        <f>+AB13/AA13-1</f>
        <v>0.11185961781545073</v>
      </c>
      <c r="AC358" s="1135">
        <f>+AC13/AB13-1</f>
        <v>0.18712266106704822</v>
      </c>
      <c r="AD358" s="1135">
        <f>+AD13/AC13-1</f>
        <v>0.30179725454496298</v>
      </c>
      <c r="AE358" s="1997"/>
      <c r="AF358" s="1135">
        <f>+AF13/AD13-1</f>
        <v>0.23122886094003703</v>
      </c>
      <c r="AG358" s="1135">
        <f>+AG13/AF13-1</f>
        <v>0.10697475636433129</v>
      </c>
      <c r="AH358" s="1135">
        <f>+AH13/AG13-1</f>
        <v>0.17428244856489727</v>
      </c>
      <c r="AI358" s="1135">
        <f>+AI13/AH13-1</f>
        <v>0.23694018147799678</v>
      </c>
      <c r="AJ358" s="1997"/>
      <c r="AK358" s="1135">
        <f>+AK13/AI13-1</f>
        <v>0.18204495537338095</v>
      </c>
      <c r="AL358" s="1135">
        <f>+AL13/AK13-1</f>
        <v>8.681141399743586E-2</v>
      </c>
      <c r="AM358" s="1135">
        <f>+AM13/AL13-1</f>
        <v>0.1182979974558982</v>
      </c>
      <c r="AN358" s="1135">
        <f>+AN13/AM13-1</f>
        <v>0.17657541199712279</v>
      </c>
      <c r="AO358" s="1997"/>
      <c r="AP358" s="1135">
        <f>+AP13/AN13-1</f>
        <v>0.13692670895871362</v>
      </c>
      <c r="AQ358" s="1135">
        <f>+AQ13/AP13-1</f>
        <v>5.5258711135093286E-2</v>
      </c>
      <c r="AR358" s="1135">
        <f>+AR13/AQ13-1</f>
        <v>0.10925894707614803</v>
      </c>
      <c r="AS358" s="1135">
        <f>+AS13/AR13-1</f>
        <v>0.11827800262981669</v>
      </c>
      <c r="AT358" s="1997"/>
      <c r="AU358" s="1135">
        <f>+AU13/AS13-1</f>
        <v>7.2136995852433827E-2</v>
      </c>
      <c r="AV358" s="1135">
        <f>+AV13/AU13-1</f>
        <v>4.679453617989715E-2</v>
      </c>
      <c r="AW358" s="1135">
        <f>+AW13/AV13-1</f>
        <v>4.6370393310622093E-2</v>
      </c>
      <c r="AX358" s="1135">
        <f>+AX13/AW13-1</f>
        <v>4.2698883900164075E-2</v>
      </c>
      <c r="AY358" s="2187"/>
      <c r="AZ358" s="1135">
        <f>+AZ13/AX13-1</f>
        <v>-2.9229366579260452E-2</v>
      </c>
      <c r="BA358" s="1135">
        <f>+BA13/AZ13-1</f>
        <v>2.4839014240547463E-3</v>
      </c>
      <c r="BB358" s="1135">
        <f>+BB13/BA13-1</f>
        <v>8.894921945867007E-2</v>
      </c>
      <c r="BC358" s="1135">
        <f>+BC13/BB13-1</f>
        <v>0.14409979745449442</v>
      </c>
      <c r="BD358" s="2187"/>
      <c r="BE358" s="1698">
        <f>+BE13/BC13-1</f>
        <v>1.346700765730624E-2</v>
      </c>
      <c r="BF358" s="1135">
        <f>+BF13/BE13-1</f>
        <v>7.3920073920072937E-3</v>
      </c>
      <c r="BG358" s="1135">
        <f>+BG13/BF13-1</f>
        <v>8.7365283191928489E-2</v>
      </c>
      <c r="BH358" s="1135">
        <f>+BH13/BG13-1</f>
        <v>0.16807254323070442</v>
      </c>
      <c r="BI358" s="2187"/>
      <c r="BJ358" s="1135">
        <f>+BJ13/BH13-1</f>
        <v>2.6900162484202905E-2</v>
      </c>
      <c r="BK358" s="1135">
        <f>+BK13/BJ13-1</f>
        <v>3.8150492264416247E-2</v>
      </c>
      <c r="BL358" s="1135">
        <f>+BL13/BK13-1</f>
        <v>8.6198137171888289E-2</v>
      </c>
      <c r="BM358" s="1135">
        <f>+BM13/BL13-1</f>
        <v>8.4970377299657063E-2</v>
      </c>
      <c r="BN358" s="2187"/>
      <c r="BO358" s="1135">
        <v>2.4489795918367419E-2</v>
      </c>
      <c r="BP358" s="1135">
        <v>3.5856573705179251E-2</v>
      </c>
      <c r="BQ358" s="1135">
        <v>6.5384615384615374E-2</v>
      </c>
      <c r="BR358" s="2170">
        <v>0.11191335740072206</v>
      </c>
      <c r="BS358" s="2188"/>
      <c r="BT358" s="1135">
        <f>+BT13/BM13-1</f>
        <v>-4.1672654116970964E-3</v>
      </c>
      <c r="BU358" s="1135">
        <f>+BU13/BT13-1</f>
        <v>1.904761904761898E-2</v>
      </c>
      <c r="BV358" s="1135">
        <f>+BV13/BU13-1</f>
        <v>1.7983574058340501E-2</v>
      </c>
      <c r="BW358" s="1135">
        <f>+BW13/BV13-1</f>
        <v>0.11879259980525814</v>
      </c>
      <c r="BX358" s="2187"/>
      <c r="BY358" s="1135">
        <v>-3.8311688311688297E-2</v>
      </c>
      <c r="BZ358" s="1135">
        <v>1.721809588116141E-2</v>
      </c>
      <c r="CA358" s="1135">
        <v>-1.3607699966810438E-2</v>
      </c>
      <c r="CB358" s="1135">
        <v>0.11372812920592201</v>
      </c>
      <c r="CC358" s="2187"/>
      <c r="CD358" s="1135">
        <f>+CD13/BW13-1</f>
        <v>-2.834763148079078E-2</v>
      </c>
      <c r="CE358" s="1135">
        <f>+CE13/CD13-1</f>
        <v>1.2412028150991627E-2</v>
      </c>
      <c r="CF358" s="1135">
        <f>+CF13/CE13-1</f>
        <v>5.4726996966632857E-2</v>
      </c>
      <c r="CG358" s="1135">
        <f>+CG13/CF13-1</f>
        <v>0.13289394847213898</v>
      </c>
      <c r="CH358" s="2187"/>
      <c r="CI358" s="1135">
        <f>+CI13/CG13-1</f>
        <v>5.288766659614641E-4</v>
      </c>
      <c r="CJ358" s="1135">
        <f>+CJ13/CI13-1</f>
        <v>4.038481869119348E-2</v>
      </c>
      <c r="CK358" s="1135">
        <f>+CK13/CJ13-1</f>
        <v>-1.3210039630119352E-3</v>
      </c>
      <c r="CL358" s="1135">
        <f>+CL13/CK13-1</f>
        <v>0.1377696377696378</v>
      </c>
      <c r="CM358" s="2187"/>
      <c r="CN358" s="1135">
        <f>+CN13/CL13-1</f>
        <v>-2.5040243248077299E-2</v>
      </c>
      <c r="CO358" s="1135">
        <f>+CO13/CN13-1</f>
        <v>2.2197761878554489E-2</v>
      </c>
      <c r="CP358" s="1135">
        <f>+CP13/CO13-1</f>
        <v>4.4328786791098418E-2</v>
      </c>
      <c r="CQ358" s="1135">
        <f>+CQ13/CP13-1</f>
        <v>0.1291459013576215</v>
      </c>
      <c r="CR358" s="2187"/>
      <c r="CS358" s="1135">
        <f>+CS13/CQ13-1</f>
        <v>-4.0483981432158922E-2</v>
      </c>
      <c r="CT358" s="1135">
        <f>+CT13/CS13-1</f>
        <v>6.0353715599968272E-2</v>
      </c>
      <c r="CU358" s="1135">
        <f>+CU13/CT13-1</f>
        <v>2.857142857142847E-2</v>
      </c>
      <c r="CV358" s="1135">
        <f>+CV13/CU13-1</f>
        <v>0.12005526468877248</v>
      </c>
      <c r="CW358" s="2187"/>
      <c r="CX358" s="1135">
        <f>+CX13/CV13-1</f>
        <v>-2.9085243134454375E-2</v>
      </c>
      <c r="CY358" s="1135"/>
      <c r="CZ358" s="1135"/>
      <c r="DA358" s="1135"/>
      <c r="DB358" s="2187"/>
      <c r="DC358" s="2660"/>
      <c r="DD358" s="2660"/>
      <c r="DE358" s="2660"/>
      <c r="DF358" s="2660"/>
      <c r="DG358" s="2187"/>
      <c r="DH358" s="2660"/>
      <c r="DI358" s="2660"/>
      <c r="DJ358" s="2660"/>
      <c r="DK358" s="2660"/>
      <c r="DL358" s="2187"/>
      <c r="DM358" s="2660"/>
      <c r="DN358" s="2660"/>
      <c r="DO358" s="2660"/>
      <c r="DP358" s="2660"/>
      <c r="DQ358" s="2187"/>
      <c r="DR358" s="2660"/>
      <c r="DS358" s="2660"/>
      <c r="DT358" s="2660"/>
      <c r="DU358" s="2660"/>
      <c r="DV358" s="2187"/>
      <c r="DW358" s="2660"/>
      <c r="DX358" s="2660"/>
      <c r="DY358" s="2660"/>
      <c r="DZ358" s="2660"/>
      <c r="EA358" s="2187"/>
      <c r="EB358" s="2660"/>
      <c r="EC358" s="2660"/>
      <c r="ED358" s="2660"/>
      <c r="EE358" s="2660"/>
      <c r="EF358" s="2187"/>
      <c r="EG358" s="2660"/>
      <c r="EH358" s="2660"/>
      <c r="EI358" s="2660"/>
      <c r="EJ358" s="2660"/>
      <c r="EK358" s="2187"/>
      <c r="EL358" s="2660"/>
      <c r="EM358" s="2660"/>
      <c r="EN358" s="2660"/>
      <c r="EO358" s="2660"/>
      <c r="EP358" s="2187"/>
      <c r="EQ358" s="2660"/>
      <c r="ER358" s="2660"/>
      <c r="ES358" s="2660"/>
      <c r="ET358" s="2660"/>
      <c r="EU358" s="2187"/>
      <c r="EV358" s="2187"/>
      <c r="EW358" s="2187"/>
      <c r="EX358" s="2187"/>
      <c r="EY358" s="2187"/>
      <c r="EZ358" s="208"/>
      <c r="FA358" s="715"/>
      <c r="FB358" s="715"/>
      <c r="FC358" s="715"/>
      <c r="FD358" s="715"/>
      <c r="FE358" s="715"/>
      <c r="FF358" s="715"/>
      <c r="FG358" s="715"/>
      <c r="FH358" s="715"/>
      <c r="FI358" s="715"/>
      <c r="FJ358" s="715"/>
      <c r="FK358" s="715"/>
      <c r="FL358" s="715"/>
    </row>
    <row r="359" spans="1:168" s="743" customFormat="1" ht="11.25" hidden="1" customHeight="1">
      <c r="A359" s="3806" t="s">
        <v>187</v>
      </c>
      <c r="B359" s="2190"/>
      <c r="C359" s="2190"/>
      <c r="D359" s="2190"/>
      <c r="E359" s="2190"/>
      <c r="F359" s="2191"/>
      <c r="G359" s="2190"/>
      <c r="H359" s="2190"/>
      <c r="I359" s="2190"/>
      <c r="J359" s="2190"/>
      <c r="K359" s="2191"/>
      <c r="L359" s="2190"/>
      <c r="M359" s="2190"/>
      <c r="N359" s="2190"/>
      <c r="O359" s="2190"/>
      <c r="P359" s="2191"/>
      <c r="Q359" s="2190"/>
      <c r="R359" s="2190"/>
      <c r="S359" s="2190"/>
      <c r="T359" s="2190"/>
      <c r="U359" s="2191"/>
      <c r="V359" s="2190"/>
      <c r="W359" s="2190"/>
      <c r="X359" s="2190"/>
      <c r="Y359" s="2190"/>
      <c r="Z359" s="2191"/>
      <c r="AA359" s="2190"/>
      <c r="AB359" s="2190"/>
      <c r="AC359" s="2190"/>
      <c r="AD359" s="2190"/>
      <c r="AE359" s="2191"/>
      <c r="AF359" s="2190"/>
      <c r="AG359" s="2190"/>
      <c r="AH359" s="2190"/>
      <c r="AI359" s="2190"/>
      <c r="AJ359" s="2191"/>
      <c r="AK359" s="2190"/>
      <c r="AL359" s="2190"/>
      <c r="AM359" s="2190"/>
      <c r="AN359" s="2190"/>
      <c r="AO359" s="2191"/>
      <c r="AP359" s="2190"/>
      <c r="AQ359" s="2190"/>
      <c r="AR359" s="2190"/>
      <c r="AS359" s="2190"/>
      <c r="AT359" s="2191"/>
      <c r="AU359" s="2190"/>
      <c r="AV359" s="2190"/>
      <c r="AW359" s="2190"/>
      <c r="AX359" s="2190"/>
      <c r="AY359" s="2192"/>
      <c r="AZ359" s="2190"/>
      <c r="BA359" s="2190"/>
      <c r="BB359" s="2190"/>
      <c r="BC359" s="2190"/>
      <c r="BD359" s="2192"/>
      <c r="BE359" s="2193">
        <f>+BE15/BC15-1</f>
        <v>0.12509555237346692</v>
      </c>
      <c r="BF359" s="2194">
        <f>+BF15/BE15-1</f>
        <v>0.11004784688995217</v>
      </c>
      <c r="BG359" s="2194">
        <f>+BG15/BF15-1</f>
        <v>7.7586206896551824E-2</v>
      </c>
      <c r="BH359" s="2194">
        <f>+BH15/BG15-1</f>
        <v>0.10266666666666668</v>
      </c>
      <c r="BI359" s="2192"/>
      <c r="BJ359" s="2194">
        <f>+BJ15/BH15-1</f>
        <v>0.19588875453446186</v>
      </c>
      <c r="BK359" s="2194">
        <f>+BK15/BJ15-1</f>
        <v>-2.0222446916077219E-3</v>
      </c>
      <c r="BL359" s="2194">
        <f>+BL15/BK15-1</f>
        <v>0.10739614994934144</v>
      </c>
      <c r="BM359" s="2194">
        <f>+BM15/BL15-1</f>
        <v>-5.5809698078682524E-2</v>
      </c>
      <c r="BN359" s="2192"/>
      <c r="BO359" s="2194"/>
      <c r="BP359" s="2194"/>
      <c r="BQ359" s="2194"/>
      <c r="BR359" s="2194"/>
      <c r="BS359" s="2192"/>
      <c r="BT359" s="2194">
        <f>+BT15/BM15-1</f>
        <v>0.10658914728682167</v>
      </c>
      <c r="BU359" s="2194">
        <f>+BU15/BT15-1</f>
        <v>1.8388791593695331E-2</v>
      </c>
      <c r="BV359" s="2194">
        <f>+BV15/BU15-1</f>
        <v>2.3215821152192673E-2</v>
      </c>
      <c r="BW359" s="2194">
        <f>+BW15/BV15-1</f>
        <v>0.10420168067226898</v>
      </c>
      <c r="BX359" s="2192"/>
      <c r="BY359" s="2194">
        <f>+BY15/BW15-1</f>
        <v>0.12328767123287676</v>
      </c>
      <c r="BZ359" s="2194">
        <f>+BZ15/BY15-1</f>
        <v>6.0975609756097615E-2</v>
      </c>
      <c r="CA359" s="2194">
        <f>+CA15/BZ15-1</f>
        <v>-1.2771392081737387E-3</v>
      </c>
      <c r="CB359" s="2194">
        <f>+CB15/CA15-1</f>
        <v>4.9872122762148363E-2</v>
      </c>
      <c r="CC359" s="2192"/>
      <c r="CD359" s="2194">
        <f>+CD15/CB15-1</f>
        <v>-0.22107186358099873</v>
      </c>
      <c r="CE359" s="2194">
        <f>+CE15/CD15-1</f>
        <v>6.7240031274433232E-2</v>
      </c>
      <c r="CF359" s="2194">
        <f>+CF15/CE15-1</f>
        <v>1.46520146520146E-2</v>
      </c>
      <c r="CG359" s="2194">
        <f>+CG15/CF15-1</f>
        <v>5.9205776173285152E-2</v>
      </c>
      <c r="CH359" s="2192"/>
      <c r="CI359" s="2194">
        <f>+CI15/CG15-1</f>
        <v>0.1383776414451261</v>
      </c>
      <c r="CJ359" s="2194">
        <f>+CJ15/CI15-1</f>
        <v>7.2455089820359309E-2</v>
      </c>
      <c r="CK359" s="2194">
        <f>+CK15/CJ15-1</f>
        <v>0.11055276381909551</v>
      </c>
      <c r="CL359" s="2194">
        <f>+CL15/CK15-1</f>
        <v>9.7033685268979486E-2</v>
      </c>
      <c r="CM359" s="2192"/>
      <c r="CN359" s="2194">
        <f>+CN15/CL15-1</f>
        <v>-2.0164986251145711E-2</v>
      </c>
      <c r="CO359" s="2194">
        <f>+CO15/CN15-1</f>
        <v>3.1805425631431294E-2</v>
      </c>
      <c r="CP359" s="2194">
        <f>+CP15/CO15-1</f>
        <v>0.128286491387126</v>
      </c>
      <c r="CQ359" s="2194">
        <f>+CQ15/CP15-1</f>
        <v>0.1132985134592206</v>
      </c>
      <c r="CR359" s="2192"/>
      <c r="CS359" s="2194">
        <f>+CS15/CQ15-1</f>
        <v>-5.1605918440996046E-2</v>
      </c>
      <c r="CT359" s="2194">
        <f>+CT15/CS15-1</f>
        <v>-1.5220700152207556E-3</v>
      </c>
      <c r="CU359" s="2194">
        <f>+CU15/CT15-1</f>
        <v>1.9054878048780477E-2</v>
      </c>
      <c r="CV359" s="2194">
        <f>+CV15/CU15-1</f>
        <v>1.5332834704562481E-2</v>
      </c>
      <c r="CW359" s="2192"/>
      <c r="CX359" s="2194">
        <f>+CX15/CV15-1</f>
        <v>8.8365666445193281E-2</v>
      </c>
      <c r="CY359" s="2194"/>
      <c r="CZ359" s="2194"/>
      <c r="DA359" s="2194"/>
      <c r="DB359" s="2192"/>
      <c r="DC359" s="2194"/>
      <c r="DD359" s="2194"/>
      <c r="DE359" s="2194"/>
      <c r="DF359" s="2194"/>
      <c r="DG359" s="2192"/>
      <c r="DH359" s="2194"/>
      <c r="DI359" s="2194"/>
      <c r="DJ359" s="2194"/>
      <c r="DK359" s="2194"/>
      <c r="DL359" s="2192"/>
      <c r="DM359" s="2194"/>
      <c r="DN359" s="2194"/>
      <c r="DO359" s="2194"/>
      <c r="DP359" s="2194"/>
      <c r="DQ359" s="2192"/>
      <c r="DR359" s="2194"/>
      <c r="DS359" s="2194"/>
      <c r="DT359" s="2194"/>
      <c r="DU359" s="2194"/>
      <c r="DV359" s="2192"/>
      <c r="DW359" s="2194"/>
      <c r="DX359" s="2194"/>
      <c r="DY359" s="2194"/>
      <c r="DZ359" s="2194"/>
      <c r="EA359" s="2192"/>
      <c r="EB359" s="2194"/>
      <c r="EC359" s="2194"/>
      <c r="ED359" s="2194"/>
      <c r="EE359" s="2194"/>
      <c r="EF359" s="2192"/>
      <c r="EG359" s="2194"/>
      <c r="EH359" s="2194"/>
      <c r="EI359" s="2194"/>
      <c r="EJ359" s="2194"/>
      <c r="EK359" s="2192"/>
      <c r="EL359" s="2194"/>
      <c r="EM359" s="2194"/>
      <c r="EN359" s="2194"/>
      <c r="EO359" s="2194"/>
      <c r="EP359" s="2192"/>
      <c r="EQ359" s="2194"/>
      <c r="ER359" s="2194"/>
      <c r="ES359" s="2194"/>
      <c r="ET359" s="2194"/>
      <c r="EU359" s="2192"/>
      <c r="EV359" s="2192"/>
      <c r="EW359" s="2192"/>
      <c r="EX359" s="2192"/>
      <c r="EY359" s="2192"/>
      <c r="EZ359" s="744"/>
      <c r="FA359" s="1851"/>
      <c r="FB359" s="1851"/>
      <c r="FC359" s="1851"/>
      <c r="FD359" s="1851"/>
      <c r="FE359" s="1851"/>
      <c r="FF359" s="1851"/>
      <c r="FG359" s="1851"/>
      <c r="FH359" s="1851"/>
      <c r="FI359" s="1851"/>
      <c r="FJ359" s="1851"/>
      <c r="FK359" s="1851"/>
      <c r="FL359" s="1851"/>
    </row>
    <row r="360" spans="1:168" s="743" customFormat="1" ht="11.25" hidden="1" customHeight="1">
      <c r="A360" s="3806" t="s">
        <v>47</v>
      </c>
      <c r="B360" s="2190"/>
      <c r="C360" s="2190"/>
      <c r="D360" s="2190"/>
      <c r="E360" s="2190"/>
      <c r="F360" s="2191"/>
      <c r="G360" s="2190"/>
      <c r="H360" s="2190"/>
      <c r="I360" s="2190"/>
      <c r="J360" s="2190"/>
      <c r="K360" s="2191"/>
      <c r="L360" s="2190"/>
      <c r="M360" s="2190"/>
      <c r="N360" s="2190"/>
      <c r="O360" s="2190"/>
      <c r="P360" s="2191"/>
      <c r="Q360" s="2190"/>
      <c r="R360" s="2190"/>
      <c r="S360" s="2190"/>
      <c r="T360" s="2190"/>
      <c r="U360" s="2191"/>
      <c r="V360" s="2190"/>
      <c r="W360" s="2190"/>
      <c r="X360" s="2190"/>
      <c r="Y360" s="2190"/>
      <c r="Z360" s="2191"/>
      <c r="AA360" s="2190"/>
      <c r="AB360" s="2190"/>
      <c r="AC360" s="2190"/>
      <c r="AD360" s="2190"/>
      <c r="AE360" s="2191"/>
      <c r="AF360" s="2190"/>
      <c r="AG360" s="2190"/>
      <c r="AH360" s="2190"/>
      <c r="AI360" s="2190"/>
      <c r="AJ360" s="2191"/>
      <c r="AK360" s="2190"/>
      <c r="AL360" s="2190"/>
      <c r="AM360" s="2190"/>
      <c r="AN360" s="2190"/>
      <c r="AO360" s="2191"/>
      <c r="AP360" s="2190"/>
      <c r="AQ360" s="2190"/>
      <c r="AR360" s="2190"/>
      <c r="AS360" s="2190"/>
      <c r="AT360" s="2191"/>
      <c r="AU360" s="2190"/>
      <c r="AV360" s="2190"/>
      <c r="AW360" s="2190"/>
      <c r="AX360" s="2190"/>
      <c r="AY360" s="2192"/>
      <c r="AZ360" s="2190"/>
      <c r="BA360" s="2190"/>
      <c r="BB360" s="2190"/>
      <c r="BC360" s="2190"/>
      <c r="BD360" s="2192"/>
      <c r="BE360" s="2193">
        <f>+BE18/BC18-1</f>
        <v>4.200033916828394E-2</v>
      </c>
      <c r="BF360" s="2194">
        <f>+BF18/BE18-1</f>
        <v>3.616636528028927E-2</v>
      </c>
      <c r="BG360" s="2194">
        <f>+BG18/BF18-1</f>
        <v>2.2687609075043635E-2</v>
      </c>
      <c r="BH360" s="2194">
        <f>+BH18/BG18-1</f>
        <v>0.40955631399317416</v>
      </c>
      <c r="BI360" s="2192"/>
      <c r="BJ360" s="2194">
        <f>+BJ18/BH18-1</f>
        <v>0.14769975786924938</v>
      </c>
      <c r="BK360" s="2194">
        <f>+BK18/BJ18-1</f>
        <v>7.2784810126582222E-2</v>
      </c>
      <c r="BL360" s="2194">
        <f>+BL18/BK18-1</f>
        <v>8.1612586037364876E-2</v>
      </c>
      <c r="BM360" s="2194">
        <f>+BM18/BL18-1</f>
        <v>5.7272727272727364E-2</v>
      </c>
      <c r="BN360" s="2192"/>
      <c r="BO360" s="2194"/>
      <c r="BP360" s="2194"/>
      <c r="BQ360" s="2194"/>
      <c r="BR360" s="2194"/>
      <c r="BS360" s="2192"/>
      <c r="BT360" s="2194">
        <f>+BT18/BM18-1</f>
        <v>7.7386070507308169E-3</v>
      </c>
      <c r="BU360" s="2194">
        <f>+BU18/BT18-1</f>
        <v>1.1092150170648463E-2</v>
      </c>
      <c r="BV360" s="2194">
        <f>+BV18/BU18-1</f>
        <v>6.2447257383966281E-2</v>
      </c>
      <c r="BW360" s="2194">
        <f>+BW18/BV18-1</f>
        <v>0.11278792692613182</v>
      </c>
      <c r="BX360" s="2192"/>
      <c r="BY360" s="2194">
        <f>+BY18/BW18-1</f>
        <v>4.2826552462526868E-2</v>
      </c>
      <c r="BZ360" s="2194">
        <f>+BZ18/BY18-1</f>
        <v>9.5824777549623485E-2</v>
      </c>
      <c r="CA360" s="2194">
        <f>+CA18/BZ18-1</f>
        <v>2.810743285446593E-2</v>
      </c>
      <c r="CB360" s="2194">
        <f>+CB18/CA18-1</f>
        <v>0.19684082624544352</v>
      </c>
      <c r="CC360" s="2192"/>
      <c r="CD360" s="2194">
        <f>+CD18/CB18-1</f>
        <v>-0.33147208121827409</v>
      </c>
      <c r="CE360" s="2194">
        <f>+CE18/CD18-1</f>
        <v>0.1070615034168565</v>
      </c>
      <c r="CF360" s="2194">
        <f>+CF18/CE18-1</f>
        <v>1.0288065843621297E-2</v>
      </c>
      <c r="CG360" s="2194">
        <f>+CG18/CF18-1</f>
        <v>0.19076714188730493</v>
      </c>
      <c r="CH360" s="2192"/>
      <c r="CI360" s="2194">
        <f>+CI18/CG18-1</f>
        <v>-9.806157354618017E-2</v>
      </c>
      <c r="CJ360" s="2194">
        <f>+CJ18/CI18-1</f>
        <v>0.12705436156763583</v>
      </c>
      <c r="CK360" s="2194">
        <f>+CK18/CJ18-1</f>
        <v>5.8328659562534968E-2</v>
      </c>
      <c r="CL360" s="2194">
        <f>+CL18/CK18-1</f>
        <v>0.14679385267620559</v>
      </c>
      <c r="CM360" s="2192"/>
      <c r="CN360" s="2194">
        <f>+CN18/CL18-1</f>
        <v>-0.14048059149722736</v>
      </c>
      <c r="CO360" s="2194">
        <f>+CO18/CN18-1</f>
        <v>1.2903225806451646E-2</v>
      </c>
      <c r="CP360" s="2194">
        <f>+CP18/CO18-1</f>
        <v>4.7239915074309913E-2</v>
      </c>
      <c r="CQ360" s="2194">
        <f>+CQ18/CP18-1</f>
        <v>0.2361885453623922</v>
      </c>
      <c r="CR360" s="2192"/>
      <c r="CS360" s="2194">
        <f>+CS18/CQ18-1</f>
        <v>-0.12054120541205415</v>
      </c>
      <c r="CT360" s="2194">
        <f>+CT18/CS18-1</f>
        <v>1.4918414918414946E-2</v>
      </c>
      <c r="CU360" s="2194">
        <f>+CU18/CT18-1</f>
        <v>4.1800643086816747E-2</v>
      </c>
      <c r="CV360" s="2194">
        <f>+CV18/CU18-1</f>
        <v>0.24206349206349209</v>
      </c>
      <c r="CW360" s="2192"/>
      <c r="CX360" s="2194">
        <f>+CX18/CV18-1</f>
        <v>-0.17769897284364289</v>
      </c>
      <c r="CY360" s="2194"/>
      <c r="CZ360" s="2194"/>
      <c r="DA360" s="2194"/>
      <c r="DB360" s="2192"/>
      <c r="DC360" s="2194"/>
      <c r="DD360" s="2194"/>
      <c r="DE360" s="2194"/>
      <c r="DF360" s="2194"/>
      <c r="DG360" s="2192"/>
      <c r="DH360" s="2194"/>
      <c r="DI360" s="2194"/>
      <c r="DJ360" s="2194"/>
      <c r="DK360" s="2194"/>
      <c r="DL360" s="2192"/>
      <c r="DM360" s="2194"/>
      <c r="DN360" s="2194"/>
      <c r="DO360" s="2194"/>
      <c r="DP360" s="2194"/>
      <c r="DQ360" s="2192"/>
      <c r="DR360" s="2194"/>
      <c r="DS360" s="2194"/>
      <c r="DT360" s="2194"/>
      <c r="DU360" s="2194"/>
      <c r="DV360" s="2192"/>
      <c r="DW360" s="2194"/>
      <c r="DX360" s="2194"/>
      <c r="DY360" s="2194"/>
      <c r="DZ360" s="2194"/>
      <c r="EA360" s="2192"/>
      <c r="EB360" s="2194"/>
      <c r="EC360" s="2194"/>
      <c r="ED360" s="2194"/>
      <c r="EE360" s="2194"/>
      <c r="EF360" s="2192"/>
      <c r="EG360" s="2194"/>
      <c r="EH360" s="2194"/>
      <c r="EI360" s="2194"/>
      <c r="EJ360" s="2194"/>
      <c r="EK360" s="2192"/>
      <c r="EL360" s="2194"/>
      <c r="EM360" s="2194"/>
      <c r="EN360" s="2194"/>
      <c r="EO360" s="2194"/>
      <c r="EP360" s="2192"/>
      <c r="EQ360" s="2194"/>
      <c r="ER360" s="2194"/>
      <c r="ES360" s="2194"/>
      <c r="ET360" s="2194"/>
      <c r="EU360" s="2192"/>
      <c r="EV360" s="2192"/>
      <c r="EW360" s="2192"/>
      <c r="EX360" s="2192"/>
      <c r="EY360" s="2192"/>
      <c r="EZ360" s="744"/>
      <c r="FA360" s="1851"/>
      <c r="FB360" s="1851"/>
      <c r="FC360" s="1851"/>
      <c r="FD360" s="1851"/>
      <c r="FE360" s="1851"/>
      <c r="FF360" s="1851"/>
      <c r="FG360" s="1851"/>
      <c r="FH360" s="1851"/>
      <c r="FI360" s="1851"/>
      <c r="FJ360" s="1851"/>
      <c r="FK360" s="1851"/>
      <c r="FL360" s="1851"/>
    </row>
    <row r="361" spans="1:168" s="743" customFormat="1" ht="11.25" hidden="1" customHeight="1">
      <c r="A361" s="3806" t="s">
        <v>51</v>
      </c>
      <c r="B361" s="2190"/>
      <c r="C361" s="2190"/>
      <c r="D361" s="2190"/>
      <c r="E361" s="2190"/>
      <c r="F361" s="2191"/>
      <c r="G361" s="2190"/>
      <c r="H361" s="2190"/>
      <c r="I361" s="2190"/>
      <c r="J361" s="2190"/>
      <c r="K361" s="2191"/>
      <c r="L361" s="2190"/>
      <c r="M361" s="2190"/>
      <c r="N361" s="2190"/>
      <c r="O361" s="2190"/>
      <c r="P361" s="2191"/>
      <c r="Q361" s="2190"/>
      <c r="R361" s="2190"/>
      <c r="S361" s="2190"/>
      <c r="T361" s="2190"/>
      <c r="U361" s="2191"/>
      <c r="V361" s="2190"/>
      <c r="W361" s="2190"/>
      <c r="X361" s="2190"/>
      <c r="Y361" s="2190"/>
      <c r="Z361" s="2191"/>
      <c r="AA361" s="2190"/>
      <c r="AB361" s="2190"/>
      <c r="AC361" s="2190"/>
      <c r="AD361" s="2190"/>
      <c r="AE361" s="2191"/>
      <c r="AF361" s="2190"/>
      <c r="AG361" s="2190"/>
      <c r="AH361" s="2190"/>
      <c r="AI361" s="2190"/>
      <c r="AJ361" s="2191"/>
      <c r="AK361" s="2190"/>
      <c r="AL361" s="2190"/>
      <c r="AM361" s="2190"/>
      <c r="AN361" s="2190"/>
      <c r="AO361" s="2191"/>
      <c r="AP361" s="2190"/>
      <c r="AQ361" s="2190"/>
      <c r="AR361" s="2190"/>
      <c r="AS361" s="2190"/>
      <c r="AT361" s="2191"/>
      <c r="AU361" s="2190"/>
      <c r="AV361" s="2190"/>
      <c r="AW361" s="2190"/>
      <c r="AX361" s="2190"/>
      <c r="AY361" s="2192"/>
      <c r="AZ361" s="2190"/>
      <c r="BA361" s="2190"/>
      <c r="BB361" s="2190"/>
      <c r="BC361" s="2190"/>
      <c r="BD361" s="2192"/>
      <c r="BE361" s="2193">
        <f>+BE21/BC21-1</f>
        <v>-0.13252040335456705</v>
      </c>
      <c r="BF361" s="2194">
        <f>+BF21/BE21-1</f>
        <v>0.12972972972972974</v>
      </c>
      <c r="BG361" s="2194">
        <f>+BG21/BF21-1</f>
        <v>0.14593301435406691</v>
      </c>
      <c r="BH361" s="2194">
        <f>+BH21/BG21-1</f>
        <v>6.0542797494780753E-2</v>
      </c>
      <c r="BI361" s="2192"/>
      <c r="BJ361" s="2194">
        <f>+BJ21/BH21-1</f>
        <v>2.9527559055118058E-2</v>
      </c>
      <c r="BK361" s="2194">
        <f>+BK21/BJ21-1</f>
        <v>0.11854684512428304</v>
      </c>
      <c r="BL361" s="2194">
        <f>+BL21/BK21-1</f>
        <v>1.1965811965811923E-2</v>
      </c>
      <c r="BM361" s="2194">
        <f>+BM21/BL21-1</f>
        <v>0.21790540540540548</v>
      </c>
      <c r="BN361" s="2192"/>
      <c r="BO361" s="2194"/>
      <c r="BP361" s="2194"/>
      <c r="BQ361" s="2194"/>
      <c r="BR361" s="2194"/>
      <c r="BS361" s="2192"/>
      <c r="BT361" s="2194">
        <f>+BT21/BM21-1</f>
        <v>-6.9348127600554754E-2</v>
      </c>
      <c r="BU361" s="2194">
        <f>+BU21/BT21-1</f>
        <v>8.1967213114754189E-2</v>
      </c>
      <c r="BV361" s="2194">
        <f>+BV21/BU21-1</f>
        <v>8.6776859504132275E-2</v>
      </c>
      <c r="BW361" s="2194">
        <f>+BW21/BV21-1</f>
        <v>0.14575411913814951</v>
      </c>
      <c r="BX361" s="2192"/>
      <c r="BY361" s="2194">
        <f>+BY21/BW21-1</f>
        <v>0.12610619469026552</v>
      </c>
      <c r="BZ361" s="2194">
        <f>+BZ21/BY21-1</f>
        <v>6.4833005893909723E-2</v>
      </c>
      <c r="CA361" s="2194">
        <f>+CA21/BZ21-1</f>
        <v>-6.4575645756457245E-3</v>
      </c>
      <c r="CB361" s="2194">
        <f>+CB21/CA21-1</f>
        <v>5.6638811513463283E-2</v>
      </c>
      <c r="CC361" s="2192"/>
      <c r="CD361" s="2194">
        <f>+CD21/CB21-1</f>
        <v>-0.19595782073813706</v>
      </c>
      <c r="CE361" s="2194">
        <f>+CE21/CD21-1</f>
        <v>8.306010928961749E-2</v>
      </c>
      <c r="CF361" s="2194">
        <f>+CF21/CE21-1</f>
        <v>1.2108980827447047E-2</v>
      </c>
      <c r="CG361" s="2194">
        <f>+CG21/CF21-1</f>
        <v>5.4835493519441725E-2</v>
      </c>
      <c r="CH361" s="2192"/>
      <c r="CI361" s="2194">
        <f>+CI21/CG21-1</f>
        <v>0.27410207939508502</v>
      </c>
      <c r="CJ361" s="2194">
        <f>+CJ21/CI21-1</f>
        <v>-8.8278931750741862E-2</v>
      </c>
      <c r="CK361" s="2194">
        <f>+CK21/CJ21-1</f>
        <v>-7.0789259560618434E-2</v>
      </c>
      <c r="CL361" s="2194">
        <f>+CL21/CK21-1</f>
        <v>0.23204903677758315</v>
      </c>
      <c r="CM361" s="2192"/>
      <c r="CN361" s="2194">
        <f>+CN21/CL21-1</f>
        <v>4.9751243781095411E-3</v>
      </c>
      <c r="CO361" s="2194">
        <f>+CO21/CN21-1</f>
        <v>-0.1089108910891089</v>
      </c>
      <c r="CP361" s="2194">
        <f>+CP21/CO21-1</f>
        <v>5.5555555555555358E-3</v>
      </c>
      <c r="CQ361" s="2194">
        <f>+CQ21/CP21-1</f>
        <v>7.8926598263614922E-2</v>
      </c>
      <c r="CR361" s="2192"/>
      <c r="CS361" s="2194">
        <f>+CS21/CQ21-1</f>
        <v>-9.2172640819312313E-2</v>
      </c>
      <c r="CT361" s="2194">
        <f>+CT21/CS21-1</f>
        <v>9.0249798549556726E-2</v>
      </c>
      <c r="CU361" s="2194">
        <f>+CU21/CT21-1</f>
        <v>0.11456023651145597</v>
      </c>
      <c r="CV361" s="2194">
        <f>+CV21/CU21-1</f>
        <v>0.1419098143236075</v>
      </c>
      <c r="CW361" s="2192"/>
      <c r="CX361" s="2194">
        <f>+CX21/CV21-1</f>
        <v>-0.14498624014254369</v>
      </c>
      <c r="CY361" s="2194"/>
      <c r="CZ361" s="2194"/>
      <c r="DA361" s="2194"/>
      <c r="DB361" s="2192"/>
      <c r="DC361" s="2194"/>
      <c r="DD361" s="2194"/>
      <c r="DE361" s="2194"/>
      <c r="DF361" s="2194"/>
      <c r="DG361" s="2192"/>
      <c r="DH361" s="2194"/>
      <c r="DI361" s="2194"/>
      <c r="DJ361" s="2194"/>
      <c r="DK361" s="2194"/>
      <c r="DL361" s="2192"/>
      <c r="DM361" s="2194"/>
      <c r="DN361" s="2194"/>
      <c r="DO361" s="2194"/>
      <c r="DP361" s="2194"/>
      <c r="DQ361" s="2192"/>
      <c r="DR361" s="2194"/>
      <c r="DS361" s="2194"/>
      <c r="DT361" s="2194"/>
      <c r="DU361" s="2194"/>
      <c r="DV361" s="2192"/>
      <c r="DW361" s="2194"/>
      <c r="DX361" s="2194"/>
      <c r="DY361" s="2194"/>
      <c r="DZ361" s="2194"/>
      <c r="EA361" s="2192"/>
      <c r="EB361" s="2194"/>
      <c r="EC361" s="2194"/>
      <c r="ED361" s="2194"/>
      <c r="EE361" s="2194"/>
      <c r="EF361" s="2192"/>
      <c r="EG361" s="2194"/>
      <c r="EH361" s="2194"/>
      <c r="EI361" s="2194"/>
      <c r="EJ361" s="2194"/>
      <c r="EK361" s="2192"/>
      <c r="EL361" s="2194"/>
      <c r="EM361" s="2194"/>
      <c r="EN361" s="2194"/>
      <c r="EO361" s="2194"/>
      <c r="EP361" s="2192"/>
      <c r="EQ361" s="2194"/>
      <c r="ER361" s="2194"/>
      <c r="ES361" s="2194"/>
      <c r="ET361" s="2194"/>
      <c r="EU361" s="2192"/>
      <c r="EV361" s="2192"/>
      <c r="EW361" s="2192"/>
      <c r="EX361" s="2192"/>
      <c r="EY361" s="2192"/>
      <c r="EZ361" s="744"/>
      <c r="FA361" s="1851"/>
      <c r="FB361" s="1851"/>
      <c r="FC361" s="1851"/>
      <c r="FD361" s="1851"/>
      <c r="FE361" s="1851"/>
      <c r="FF361" s="1851"/>
      <c r="FG361" s="1851"/>
      <c r="FH361" s="1851"/>
      <c r="FI361" s="1851"/>
      <c r="FJ361" s="1851"/>
      <c r="FK361" s="1851"/>
      <c r="FL361" s="1851"/>
    </row>
    <row r="362" spans="1:168" s="31" customFormat="1" ht="11.25" hidden="1" customHeight="1">
      <c r="A362" s="3807" t="s">
        <v>54</v>
      </c>
      <c r="B362" s="2177"/>
      <c r="C362" s="2177"/>
      <c r="D362" s="2177"/>
      <c r="E362" s="2177"/>
      <c r="F362" s="2195"/>
      <c r="G362" s="2177"/>
      <c r="H362" s="2177"/>
      <c r="I362" s="2177"/>
      <c r="J362" s="2177"/>
      <c r="K362" s="2195"/>
      <c r="L362" s="2196"/>
      <c r="M362" s="2196"/>
      <c r="N362" s="2196"/>
      <c r="O362" s="2196"/>
      <c r="P362" s="2195"/>
      <c r="Q362" s="2196" t="s">
        <v>116</v>
      </c>
      <c r="R362" s="2177">
        <f>+R57/Q57-1</f>
        <v>0.83509825615088906</v>
      </c>
      <c r="S362" s="2177">
        <f>+S57/R57-1</f>
        <v>0.81140904915020617</v>
      </c>
      <c r="T362" s="2177">
        <f>+T57/S57-1</f>
        <v>0.44532847293763345</v>
      </c>
      <c r="U362" s="2195"/>
      <c r="V362" s="2177">
        <f>+V57/T57-1</f>
        <v>0.44548375423552256</v>
      </c>
      <c r="W362" s="2177">
        <f>+W57/V57-1</f>
        <v>0.14541261436222652</v>
      </c>
      <c r="X362" s="2177">
        <f>+X57/W57-1</f>
        <v>0.10218828235730482</v>
      </c>
      <c r="Y362" s="2177">
        <f>+Y57/X57-1</f>
        <v>0.13735540666406232</v>
      </c>
      <c r="Z362" s="2195"/>
      <c r="AA362" s="2177">
        <f>+AA57/Y57-1</f>
        <v>0.34974877557813389</v>
      </c>
      <c r="AB362" s="2177">
        <f>+AB57/AA57-1</f>
        <v>8.6937460611967055E-2</v>
      </c>
      <c r="AC362" s="2177">
        <f>+AC57/AB57-1</f>
        <v>0.15751167706829095</v>
      </c>
      <c r="AD362" s="2177">
        <f>+AD57/AC57-1</f>
        <v>0.3228340577252744</v>
      </c>
      <c r="AE362" s="2195"/>
      <c r="AF362" s="2177">
        <f>+AF57/AD57-1</f>
        <v>0.28855036878151608</v>
      </c>
      <c r="AG362" s="2177">
        <f>+AG57/AF57-1</f>
        <v>7.6831954967500948E-2</v>
      </c>
      <c r="AH362" s="2177">
        <f>+AH57/AG57-1</f>
        <v>0.1394862407091948</v>
      </c>
      <c r="AI362" s="2177">
        <f>+AI57/AH57-1</f>
        <v>0.21047010295169866</v>
      </c>
      <c r="AJ362" s="2195"/>
      <c r="AK362" s="2177">
        <f>+AK57/AI57-1</f>
        <v>0.23198119317183385</v>
      </c>
      <c r="AL362" s="2177">
        <f>+AL57/AK57-1</f>
        <v>4.8099740554062853E-2</v>
      </c>
      <c r="AM362" s="2177">
        <f>+AM57/AL57-1</f>
        <v>0.12615751535581476</v>
      </c>
      <c r="AN362" s="2177">
        <f>+AN57/AM57-1</f>
        <v>0.16983844347296295</v>
      </c>
      <c r="AO362" s="2195"/>
      <c r="AP362" s="2177">
        <f>+AP57/AN57-1</f>
        <v>0.16311560380879198</v>
      </c>
      <c r="AQ362" s="2177">
        <f>+AQ57/AP57-1</f>
        <v>-2.2926620702539702E-2</v>
      </c>
      <c r="AR362" s="2177">
        <f>+AR57/AQ57-1</f>
        <v>0.11973031498890929</v>
      </c>
      <c r="AS362" s="2177">
        <f>+AS57/AR57-1</f>
        <v>0.12174909225504527</v>
      </c>
      <c r="AT362" s="2195"/>
      <c r="AU362" s="2177">
        <f>+AU57/AS57-1</f>
        <v>9.4924518084788634E-2</v>
      </c>
      <c r="AV362" s="2177">
        <f>+AV57/AU57-1</f>
        <v>3.6426445941786234E-2</v>
      </c>
      <c r="AW362" s="2177">
        <f>+AW57/AV57-1</f>
        <v>7.4298012618915221E-2</v>
      </c>
      <c r="AX362" s="2177">
        <f>+AX57/AW57-1</f>
        <v>5.1033022686232998E-2</v>
      </c>
      <c r="AY362" s="2197"/>
      <c r="AZ362" s="2177">
        <f>+AZ57/AX57-1</f>
        <v>1.2800734314261764E-2</v>
      </c>
      <c r="BA362" s="2177">
        <f>+BA57/AZ57-1</f>
        <v>-7.9456505801202004E-3</v>
      </c>
      <c r="BB362" s="2177">
        <f>+BB57/BA57-1</f>
        <v>8.8818402772727678E-2</v>
      </c>
      <c r="BC362" s="2177">
        <f>+BC57/BB57-1</f>
        <v>0.12729667984178317</v>
      </c>
      <c r="BD362" s="2197"/>
      <c r="BE362" s="2179">
        <f>+BE57/BC57-1</f>
        <v>-3.9914003784833341E-3</v>
      </c>
      <c r="BF362" s="2177">
        <f>+BF57/BE57-1</f>
        <v>-3.0225080385852143E-2</v>
      </c>
      <c r="BG362" s="2177">
        <f>+BG57/BF57-1</f>
        <v>8.3885941644562312E-2</v>
      </c>
      <c r="BH362" s="2177">
        <f>+BH57/BG57-1</f>
        <v>0.1498929336188437</v>
      </c>
      <c r="BI362" s="2197"/>
      <c r="BJ362" s="2177">
        <f>+BJ57/BH57-1</f>
        <v>-3.4583665868582081E-2</v>
      </c>
      <c r="BK362" s="2177">
        <f>+BK57/BJ57-1</f>
        <v>3.9129236704326331E-2</v>
      </c>
      <c r="BL362" s="2177">
        <f>+BL57/BK57-1</f>
        <v>9.2813577300450811E-2</v>
      </c>
      <c r="BM362" s="2177">
        <f>+BM57/BL57-1</f>
        <v>0.10313030817762669</v>
      </c>
      <c r="BN362" s="2197"/>
      <c r="BO362" s="2177">
        <v>-1.9797624285085802E-2</v>
      </c>
      <c r="BP362" s="2177">
        <v>3.6804308797127483E-2</v>
      </c>
      <c r="BQ362" s="2177">
        <v>1.7316017316018062E-3</v>
      </c>
      <c r="BR362" s="2180">
        <v>0.12899740708729479</v>
      </c>
      <c r="BS362" s="2198"/>
      <c r="BT362" s="2177">
        <f>+BT57/BM57-1</f>
        <v>-1.9797624285085802E-2</v>
      </c>
      <c r="BU362" s="2177">
        <f>+BU57/BT57-1</f>
        <v>4.5332136445242366E-2</v>
      </c>
      <c r="BV362" s="2177">
        <f>+BV57/BU57-1</f>
        <v>2.5976814083297661E-2</v>
      </c>
      <c r="BW362" s="2177">
        <f>+BW57/BV57-1</f>
        <v>0.12513078049801218</v>
      </c>
      <c r="BX362" s="2197"/>
      <c r="BY362" s="2177">
        <v>-4.8995215311004814E-2</v>
      </c>
      <c r="BZ362" s="2177">
        <v>-6.6411752867779894E-3</v>
      </c>
      <c r="CA362" s="2177">
        <v>7.4554294975688773E-2</v>
      </c>
      <c r="CB362" s="2177">
        <v>0.10765460030165919</v>
      </c>
      <c r="CC362" s="2197"/>
      <c r="CD362" s="2177">
        <f>+CD57/BW57-1</f>
        <v>-1.3948298307606466E-2</v>
      </c>
      <c r="CE362" s="2177">
        <f>+CE57/CD57-1</f>
        <v>-1.2070916635231965E-2</v>
      </c>
      <c r="CF362" s="2177">
        <f>+CF57/CE57-1</f>
        <v>6.7392134402443737E-2</v>
      </c>
      <c r="CG362" s="2177">
        <f>+CG57/CF57-1</f>
        <v>0.13360758361652647</v>
      </c>
      <c r="CH362" s="2197"/>
      <c r="CI362" s="2177">
        <f>+CI57/CG57-1</f>
        <v>-4.7017986746607732E-2</v>
      </c>
      <c r="CJ362" s="2177">
        <f>+CJ57/CI57-1</f>
        <v>2.930463576158937E-2</v>
      </c>
      <c r="CK362" s="2177">
        <f>+CK57/CJ57-1</f>
        <v>4.9702428824191625E-2</v>
      </c>
      <c r="CL362" s="2177">
        <f>+CL57/CK57-1</f>
        <v>5.2252528348145866E-2</v>
      </c>
      <c r="CM362" s="2197"/>
      <c r="CN362" s="2177">
        <f>+CN57/CL57-1</f>
        <v>-5.8249599534002661E-3</v>
      </c>
      <c r="CO362" s="2177">
        <f>+CO57/CN57-1</f>
        <v>5.3317709096235566E-2</v>
      </c>
      <c r="CP362" s="2177">
        <f>+CP57/CO57-1</f>
        <v>2.7395355305242619E-2</v>
      </c>
      <c r="CQ362" s="2177">
        <f>+CQ57/CP57-1</f>
        <v>0.11261505143475903</v>
      </c>
      <c r="CR362" s="2197"/>
      <c r="CS362" s="2177">
        <f>+CS57/CQ57-1</f>
        <v>-1.5815085158150666E-3</v>
      </c>
      <c r="CT362" s="2177">
        <f>+CT57/CS57-1</f>
        <v>9.1872791519434616E-2</v>
      </c>
      <c r="CU362" s="2177">
        <f>+CU57/CT57-1</f>
        <v>2.9237808280325961E-2</v>
      </c>
      <c r="CV362" s="2177">
        <f>+CV57/CU57-1</f>
        <v>0.10289493657161453</v>
      </c>
      <c r="CW362" s="2197"/>
      <c r="CX362" s="2177">
        <f>+CX57/CV57-1</f>
        <v>-9.0444357058592217E-3</v>
      </c>
      <c r="CY362" s="2177"/>
      <c r="CZ362" s="2177"/>
      <c r="DA362" s="2177"/>
      <c r="DB362" s="2197"/>
      <c r="DC362" s="2177"/>
      <c r="DD362" s="2177"/>
      <c r="DE362" s="2177"/>
      <c r="DF362" s="2177"/>
      <c r="DG362" s="2197"/>
      <c r="DH362" s="3977"/>
      <c r="DI362" s="3977"/>
      <c r="DJ362" s="3977"/>
      <c r="DK362" s="3977"/>
      <c r="DL362" s="2197"/>
      <c r="DM362" s="3977"/>
      <c r="DN362" s="3977"/>
      <c r="DO362" s="3977"/>
      <c r="DP362" s="3977"/>
      <c r="DQ362" s="2197"/>
      <c r="DR362" s="3977"/>
      <c r="DS362" s="3977"/>
      <c r="DT362" s="3977"/>
      <c r="DU362" s="3977"/>
      <c r="DV362" s="2197"/>
      <c r="DW362" s="3977"/>
      <c r="DX362" s="3977"/>
      <c r="DY362" s="3977"/>
      <c r="DZ362" s="3977"/>
      <c r="EA362" s="2197"/>
      <c r="EB362" s="3977"/>
      <c r="EC362" s="3977"/>
      <c r="ED362" s="3977"/>
      <c r="EE362" s="3977"/>
      <c r="EF362" s="2197"/>
      <c r="EG362" s="3977"/>
      <c r="EH362" s="3977"/>
      <c r="EI362" s="3977"/>
      <c r="EJ362" s="3977"/>
      <c r="EK362" s="2197"/>
      <c r="EL362" s="3977"/>
      <c r="EM362" s="3977"/>
      <c r="EN362" s="3977"/>
      <c r="EO362" s="3977"/>
      <c r="EP362" s="2197"/>
      <c r="EQ362" s="3977"/>
      <c r="ER362" s="3977"/>
      <c r="ES362" s="3977"/>
      <c r="ET362" s="3977"/>
      <c r="EU362" s="2197"/>
      <c r="EV362" s="2197"/>
      <c r="EW362" s="2197"/>
      <c r="EX362" s="2197"/>
      <c r="EY362" s="2197"/>
      <c r="EZ362" s="208"/>
      <c r="FA362" s="713"/>
      <c r="FB362" s="713"/>
      <c r="FC362" s="713"/>
      <c r="FD362" s="713"/>
      <c r="FE362" s="713"/>
      <c r="FF362" s="713"/>
      <c r="FG362" s="713"/>
      <c r="FH362" s="713"/>
      <c r="FI362" s="713"/>
      <c r="FJ362" s="713"/>
      <c r="FK362" s="713"/>
      <c r="FL362" s="713"/>
    </row>
    <row r="363" spans="1:168" s="31" customFormat="1" ht="11.25" hidden="1" customHeight="1">
      <c r="A363" s="3798" t="s">
        <v>428</v>
      </c>
      <c r="B363" s="2199"/>
      <c r="C363" s="2199"/>
      <c r="D363" s="2199"/>
      <c r="E363" s="2199"/>
      <c r="F363" s="1782"/>
      <c r="G363" s="2199"/>
      <c r="H363" s="2199"/>
      <c r="I363" s="2199"/>
      <c r="J363" s="2199"/>
      <c r="K363" s="1782"/>
      <c r="L363" s="2200"/>
      <c r="M363" s="2200"/>
      <c r="N363" s="2200"/>
      <c r="O363" s="2200"/>
      <c r="P363" s="1782"/>
      <c r="Q363" s="2200"/>
      <c r="R363" s="2199"/>
      <c r="S363" s="2199"/>
      <c r="T363" s="2199"/>
      <c r="U363" s="1782"/>
      <c r="V363" s="2199"/>
      <c r="W363" s="2199"/>
      <c r="X363" s="2199"/>
      <c r="Y363" s="2199"/>
      <c r="Z363" s="1782"/>
      <c r="AA363" s="2199"/>
      <c r="AB363" s="2199"/>
      <c r="AC363" s="2199"/>
      <c r="AD363" s="2199"/>
      <c r="AE363" s="1782"/>
      <c r="AF363" s="2199"/>
      <c r="AG363" s="2199"/>
      <c r="AH363" s="2199"/>
      <c r="AI363" s="2199"/>
      <c r="AJ363" s="1782"/>
      <c r="AK363" s="2199"/>
      <c r="AL363" s="2199"/>
      <c r="AM363" s="2199"/>
      <c r="AN363" s="2199"/>
      <c r="AO363" s="1782"/>
      <c r="AP363" s="2199"/>
      <c r="AQ363" s="2199"/>
      <c r="AR363" s="2199"/>
      <c r="AS363" s="2199"/>
      <c r="AT363" s="1782"/>
      <c r="AU363" s="2199"/>
      <c r="AV363" s="2199"/>
      <c r="AW363" s="2199"/>
      <c r="AX363" s="2199"/>
      <c r="AY363" s="1714"/>
      <c r="AZ363" s="2199"/>
      <c r="BA363" s="2199"/>
      <c r="BB363" s="2199"/>
      <c r="BC363" s="2199"/>
      <c r="BD363" s="1714"/>
      <c r="BE363" s="2201"/>
      <c r="BF363" s="2199"/>
      <c r="BG363" s="2199"/>
      <c r="BH363" s="2199"/>
      <c r="BI363" s="1714"/>
      <c r="BJ363" s="2199"/>
      <c r="BK363" s="2199"/>
      <c r="BL363" s="2199"/>
      <c r="BM363" s="2199"/>
      <c r="BN363" s="1714"/>
      <c r="BO363" s="2199"/>
      <c r="BP363" s="2199"/>
      <c r="BQ363" s="2199"/>
      <c r="BR363" s="2202"/>
      <c r="BS363" s="1764"/>
      <c r="BT363" s="2199"/>
      <c r="BU363" s="2199"/>
      <c r="BV363" s="2199"/>
      <c r="BW363" s="2199"/>
      <c r="BX363" s="1714"/>
      <c r="BY363" s="2199"/>
      <c r="BZ363" s="2199"/>
      <c r="CA363" s="2199"/>
      <c r="CB363" s="2199"/>
      <c r="CC363" s="1714"/>
      <c r="CD363" s="2199"/>
      <c r="CE363" s="2199"/>
      <c r="CF363" s="2199"/>
      <c r="CG363" s="2199"/>
      <c r="CH363" s="1714"/>
      <c r="CI363" s="2199"/>
      <c r="CJ363" s="2199"/>
      <c r="CK363" s="2199"/>
      <c r="CL363" s="2199"/>
      <c r="CM363" s="1714"/>
      <c r="CN363" s="2199"/>
      <c r="CO363" s="2199"/>
      <c r="CP363" s="2199"/>
      <c r="CQ363" s="2199"/>
      <c r="CR363" s="1714"/>
      <c r="CS363" s="2199"/>
      <c r="CT363" s="2199"/>
      <c r="CU363" s="2199"/>
      <c r="CV363" s="2199"/>
      <c r="CW363" s="1714"/>
      <c r="CX363" s="2199"/>
      <c r="CY363" s="2199"/>
      <c r="CZ363" s="2199"/>
      <c r="DA363" s="2199"/>
      <c r="DB363" s="1714"/>
      <c r="DC363" s="2199"/>
      <c r="DD363" s="2199"/>
      <c r="DE363" s="2199"/>
      <c r="DF363" s="2199"/>
      <c r="DG363" s="1714"/>
      <c r="DH363" s="3985"/>
      <c r="DI363" s="3985"/>
      <c r="DJ363" s="3985"/>
      <c r="DK363" s="3985"/>
      <c r="DL363" s="1714"/>
      <c r="DM363" s="3985"/>
      <c r="DN363" s="3985"/>
      <c r="DO363" s="3985"/>
      <c r="DP363" s="3985"/>
      <c r="DQ363" s="1714"/>
      <c r="DR363" s="3985"/>
      <c r="DS363" s="3985"/>
      <c r="DT363" s="3985"/>
      <c r="DU363" s="3985"/>
      <c r="DV363" s="1714"/>
      <c r="DW363" s="3985"/>
      <c r="DX363" s="3985"/>
      <c r="DY363" s="3985"/>
      <c r="DZ363" s="3985"/>
      <c r="EA363" s="1714"/>
      <c r="EB363" s="3985"/>
      <c r="EC363" s="3985"/>
      <c r="ED363" s="3985"/>
      <c r="EE363" s="3985"/>
      <c r="EF363" s="1714"/>
      <c r="EG363" s="3985"/>
      <c r="EH363" s="3985"/>
      <c r="EI363" s="3985"/>
      <c r="EJ363" s="3985"/>
      <c r="EK363" s="1714"/>
      <c r="EL363" s="3985"/>
      <c r="EM363" s="3985"/>
      <c r="EN363" s="3985"/>
      <c r="EO363" s="3985"/>
      <c r="EP363" s="1714"/>
      <c r="EQ363" s="3985"/>
      <c r="ER363" s="3985"/>
      <c r="ES363" s="3985"/>
      <c r="ET363" s="3985"/>
      <c r="EU363" s="1714"/>
      <c r="EV363" s="1714"/>
      <c r="EW363" s="1714"/>
      <c r="EX363" s="1714"/>
      <c r="EY363" s="1714"/>
      <c r="EZ363" s="208"/>
      <c r="FA363" s="713"/>
      <c r="FB363" s="713"/>
      <c r="FC363" s="713"/>
      <c r="FD363" s="713"/>
      <c r="FE363" s="713"/>
      <c r="FF363" s="713"/>
      <c r="FG363" s="713"/>
      <c r="FH363" s="713"/>
      <c r="FI363" s="713"/>
      <c r="FJ363" s="713"/>
      <c r="FK363" s="713"/>
      <c r="FL363" s="713"/>
    </row>
    <row r="364" spans="1:168" s="31" customFormat="1" ht="11.25" hidden="1" customHeight="1">
      <c r="A364" s="3801" t="s">
        <v>232</v>
      </c>
      <c r="B364" s="1121"/>
      <c r="C364" s="1121"/>
      <c r="D364" s="1121"/>
      <c r="E364" s="1121"/>
      <c r="F364" s="1997"/>
      <c r="G364" s="1121"/>
      <c r="H364" s="1121"/>
      <c r="I364" s="1121"/>
      <c r="J364" s="1121"/>
      <c r="K364" s="1997"/>
      <c r="L364" s="2203"/>
      <c r="M364" s="2203"/>
      <c r="N364" s="2203"/>
      <c r="O364" s="2203"/>
      <c r="P364" s="1997"/>
      <c r="Q364" s="2204">
        <f>+Q7/U7</f>
        <v>9.6209852835443255E-2</v>
      </c>
      <c r="R364" s="2204">
        <f>+R7/U7</f>
        <v>0.17866568981679515</v>
      </c>
      <c r="S364" s="2204">
        <f>+S7/U7</f>
        <v>0.29757592580794889</v>
      </c>
      <c r="T364" s="2204">
        <f>+T7/U7</f>
        <v>0.42754853153981265</v>
      </c>
      <c r="U364" s="2205">
        <f>SUM(Q364:T364)</f>
        <v>1</v>
      </c>
      <c r="V364" s="2204">
        <f>+V7/Z7</f>
        <v>0.16959699413479734</v>
      </c>
      <c r="W364" s="2204">
        <f>+W7/Z7</f>
        <v>0.21228718346119269</v>
      </c>
      <c r="X364" s="2204">
        <f>+X7/Z7</f>
        <v>0.26873106156211674</v>
      </c>
      <c r="Y364" s="2204">
        <f>+Y7/Z7</f>
        <v>0.34938476084189329</v>
      </c>
      <c r="Z364" s="2205">
        <f>SUM(V364:Y364)</f>
        <v>1</v>
      </c>
      <c r="AA364" s="2204">
        <f>+AA7/AE7</f>
        <v>0.20432029996020976</v>
      </c>
      <c r="AB364" s="2204">
        <f>+AB7/AE7</f>
        <v>0.21955567233774495</v>
      </c>
      <c r="AC364" s="2204">
        <f>+AC7/AE7</f>
        <v>0.25269070240619734</v>
      </c>
      <c r="AD364" s="2204">
        <f>+AD7/AE7</f>
        <v>0.3234333252958479</v>
      </c>
      <c r="AE364" s="2205">
        <f>SUM(AA364:AD364)</f>
        <v>1</v>
      </c>
      <c r="AF364" s="2204">
        <f>+AF7/AJ7</f>
        <v>0.20469230568732735</v>
      </c>
      <c r="AG364" s="2204">
        <f>+AG7/AJ7</f>
        <v>0.2255406805504874</v>
      </c>
      <c r="AH364" s="2204">
        <f>+AH7/AJ7</f>
        <v>0.2571378303706407</v>
      </c>
      <c r="AI364" s="2204">
        <f>+AI7/AJ7</f>
        <v>0.31262918339154461</v>
      </c>
      <c r="AJ364" s="2205">
        <f>SUM(AF364:AI364)</f>
        <v>1</v>
      </c>
      <c r="AK364" s="2204">
        <f>+AK7/AO7</f>
        <v>0.21251981510086315</v>
      </c>
      <c r="AL364" s="2204">
        <f>+AL7/AO7</f>
        <v>0.23158983705388736</v>
      </c>
      <c r="AM364" s="2204">
        <f>+AM7/AO7</f>
        <v>0.25362508730619954</v>
      </c>
      <c r="AN364" s="2204">
        <f>+AN7/AO7</f>
        <v>0.30226526053904995</v>
      </c>
      <c r="AO364" s="2205">
        <f>SUM(AK364:AN364)</f>
        <v>1</v>
      </c>
      <c r="AP364" s="2204">
        <f>+AP7/AT7</f>
        <v>0.22080113843653959</v>
      </c>
      <c r="AQ364" s="2204">
        <f>+AQ7/AT7</f>
        <v>0.2333366437696163</v>
      </c>
      <c r="AR364" s="2204">
        <f>+AR7/AT7</f>
        <v>0.25499304386541</v>
      </c>
      <c r="AS364" s="2204">
        <f>+AS7/AT7</f>
        <v>0.29086917392843409</v>
      </c>
      <c r="AT364" s="2205">
        <f>SUM(AP364:AS364)</f>
        <v>1</v>
      </c>
      <c r="AU364" s="2204">
        <f>+AU7/AY7</f>
        <v>0.2379404511471378</v>
      </c>
      <c r="AV364" s="2204">
        <f>+AV7/AY7</f>
        <v>0.24625265249099013</v>
      </c>
      <c r="AW364" s="2204">
        <f>+AW7/AY7</f>
        <v>0.25424414616745156</v>
      </c>
      <c r="AX364" s="2204">
        <f>+AX7/AY7</f>
        <v>0.26156275019442038</v>
      </c>
      <c r="AY364" s="2205">
        <f>SUM(AU364:AX364)</f>
        <v>1</v>
      </c>
      <c r="AZ364" s="2204">
        <f>+AZ7/BD7</f>
        <v>0.23293272130561968</v>
      </c>
      <c r="BA364" s="2204">
        <f>+BA7/BD7</f>
        <v>0.233520741134154</v>
      </c>
      <c r="BB364" s="2204">
        <f>+BB7/BD7</f>
        <v>0.25136192318127903</v>
      </c>
      <c r="BC364" s="2204">
        <f>+BC7/BD7</f>
        <v>0.28218461437894737</v>
      </c>
      <c r="BD364" s="2205">
        <f>SUM(AZ364:BC364)</f>
        <v>1</v>
      </c>
      <c r="BE364" s="2206">
        <f>+BE7/BI7</f>
        <v>0.23106306060502713</v>
      </c>
      <c r="BF364" s="2204">
        <f>+BF7/BI7</f>
        <v>0.23259779680092765</v>
      </c>
      <c r="BG364" s="2204">
        <f>+BG7/BI7</f>
        <v>0.2484908427406978</v>
      </c>
      <c r="BH364" s="2204">
        <f>+BH7/BI7</f>
        <v>0.28784829985334742</v>
      </c>
      <c r="BI364" s="2205">
        <f>SUM(BE364:BH364)</f>
        <v>1</v>
      </c>
      <c r="BJ364" s="2204">
        <f>+BJ7/BN7</f>
        <v>0.22622345337026778</v>
      </c>
      <c r="BK364" s="2204">
        <f>+BK7/BN7</f>
        <v>0.23812161983907137</v>
      </c>
      <c r="BL364" s="2204">
        <f>+BL7/BN7</f>
        <v>0.25643055005935894</v>
      </c>
      <c r="BM364" s="2204">
        <f>+BM7/BN7</f>
        <v>0.27922437673130196</v>
      </c>
      <c r="BN364" s="2205">
        <f>SUM(BJ364:BM364)</f>
        <v>1</v>
      </c>
      <c r="BO364" s="2204">
        <f>+BO7/BS7</f>
        <v>0.20718581521633353</v>
      </c>
      <c r="BP364" s="2204">
        <f>+BP7/BS7</f>
        <v>0.23772358356526985</v>
      </c>
      <c r="BQ364" s="2204">
        <f>+BQ7/BS7</f>
        <v>0.27445065104420091</v>
      </c>
      <c r="BR364" s="2204">
        <f>+BR7/BS7</f>
        <v>0.28063995017419568</v>
      </c>
      <c r="BS364" s="2205">
        <f>SUM(BO364:BR364)</f>
        <v>1</v>
      </c>
      <c r="BT364" s="2204">
        <f>+BT7/BX7</f>
        <v>0.23121701166402397</v>
      </c>
      <c r="BU364" s="2204">
        <f>+BU7/BX7</f>
        <v>0.23814591976367863</v>
      </c>
      <c r="BV364" s="2204">
        <f>+BV7/BX7</f>
        <v>0.25035296161949649</v>
      </c>
      <c r="BW364" s="2204">
        <f>+BW7/BX7</f>
        <v>0.28030582766784684</v>
      </c>
      <c r="BX364" s="2205">
        <f>SUM(BT364:BW364)</f>
        <v>1.0000217207150459</v>
      </c>
      <c r="BY364" s="2204" t="e">
        <f>+BY7/CC7</f>
        <v>#DIV/0!</v>
      </c>
      <c r="BZ364" s="2204" t="e">
        <f>+BZ7/CC7</f>
        <v>#DIV/0!</v>
      </c>
      <c r="CA364" s="2204" t="e">
        <f>+CA7/CC7</f>
        <v>#DIV/0!</v>
      </c>
      <c r="CB364" s="2204" t="e">
        <f>+CB7/CC7</f>
        <v>#DIV/0!</v>
      </c>
      <c r="CC364" s="2205" t="e">
        <f>SUM(BY364:CB364)</f>
        <v>#DIV/0!</v>
      </c>
      <c r="CD364" s="2204">
        <f>+CD7/CH7</f>
        <v>0.23327149264215855</v>
      </c>
      <c r="CE364" s="2204">
        <f>+CE7/CH7</f>
        <v>0.23608134152272195</v>
      </c>
      <c r="CF364" s="2204">
        <f>+CF7/CH7</f>
        <v>0.24773500963634071</v>
      </c>
      <c r="CG364" s="2204">
        <f>+CG7/CH7</f>
        <v>0.2829121561987788</v>
      </c>
      <c r="CH364" s="2205">
        <f>SUM(CD364:CG364)</f>
        <v>1</v>
      </c>
      <c r="CI364" s="2204">
        <f>+CI7/CM7</f>
        <v>0.23363282374509478</v>
      </c>
      <c r="CJ364" s="2204">
        <f>+CJ7/CM7</f>
        <v>0.24173876153391616</v>
      </c>
      <c r="CK364" s="2204">
        <f>+CK7/CM7</f>
        <v>0.25034469174709473</v>
      </c>
      <c r="CL364" s="2204">
        <f>+CL7/CM7</f>
        <v>0.27428372297389436</v>
      </c>
      <c r="CM364" s="2205">
        <f>SUM(CI364:CL364)</f>
        <v>1</v>
      </c>
      <c r="CN364" s="2204">
        <f>+CN7/CR7</f>
        <v>0.2301404205950206</v>
      </c>
      <c r="CO364" s="2204">
        <f>+CO7/CR7</f>
        <v>0.23639467121844537</v>
      </c>
      <c r="CP364" s="2204">
        <f>+CP7/CR7</f>
        <v>0.24903652535705237</v>
      </c>
      <c r="CQ364" s="2204">
        <f>+CQ7/CR7</f>
        <v>0.28442838282948163</v>
      </c>
      <c r="CR364" s="2205">
        <f>SUM(CN364:CQ364)</f>
        <v>1</v>
      </c>
      <c r="CS364" s="2204">
        <f>+CS7/CW7</f>
        <v>0.22439959234314072</v>
      </c>
      <c r="CT364" s="2204">
        <f>+CT7/CW7</f>
        <v>0.23816908897554059</v>
      </c>
      <c r="CU364" s="2204">
        <f>+CU7/CW7</f>
        <v>0.24870391705069125</v>
      </c>
      <c r="CV364" s="2204">
        <f>+CV7/CW7</f>
        <v>0.28872740163062743</v>
      </c>
      <c r="CW364" s="2205">
        <f>SUM(CS364:CV364)</f>
        <v>1</v>
      </c>
      <c r="CX364" s="2204"/>
      <c r="CY364" s="2204"/>
      <c r="CZ364" s="2204"/>
      <c r="DA364" s="2204"/>
      <c r="DB364" s="2205"/>
      <c r="DC364" s="2204"/>
      <c r="DD364" s="2204"/>
      <c r="DE364" s="2204"/>
      <c r="DF364" s="2204"/>
      <c r="DG364" s="2187"/>
      <c r="DH364" s="2204"/>
      <c r="DI364" s="2204"/>
      <c r="DJ364" s="2204"/>
      <c r="DK364" s="2204"/>
      <c r="DL364" s="2187"/>
      <c r="DM364" s="2204"/>
      <c r="DN364" s="2204"/>
      <c r="DO364" s="2204"/>
      <c r="DP364" s="2204"/>
      <c r="DQ364" s="2187"/>
      <c r="DR364" s="2204"/>
      <c r="DS364" s="2204"/>
      <c r="DT364" s="2204"/>
      <c r="DU364" s="2204"/>
      <c r="DV364" s="2187"/>
      <c r="DW364" s="2204"/>
      <c r="DX364" s="2204"/>
      <c r="DY364" s="2204"/>
      <c r="DZ364" s="2204"/>
      <c r="EA364" s="2187"/>
      <c r="EB364" s="2204"/>
      <c r="EC364" s="2204"/>
      <c r="ED364" s="2204"/>
      <c r="EE364" s="2204"/>
      <c r="EF364" s="2187"/>
      <c r="EG364" s="2204"/>
      <c r="EH364" s="2204"/>
      <c r="EI364" s="2204"/>
      <c r="EJ364" s="2204"/>
      <c r="EK364" s="2187"/>
      <c r="EL364" s="2204"/>
      <c r="EM364" s="2204"/>
      <c r="EN364" s="2204"/>
      <c r="EO364" s="2204"/>
      <c r="EP364" s="2187"/>
      <c r="EQ364" s="2204"/>
      <c r="ER364" s="2204"/>
      <c r="ES364" s="2204"/>
      <c r="ET364" s="2204"/>
      <c r="EU364" s="2187"/>
      <c r="EV364" s="2187"/>
      <c r="EW364" s="2187"/>
      <c r="EX364" s="2187"/>
      <c r="EY364" s="2187"/>
      <c r="EZ364" s="208"/>
      <c r="FA364" s="713"/>
      <c r="FB364" s="713"/>
      <c r="FC364" s="713"/>
      <c r="FD364" s="713"/>
      <c r="FE364" s="713"/>
      <c r="FF364" s="713"/>
      <c r="FG364" s="713"/>
      <c r="FH364" s="713"/>
      <c r="FI364" s="713"/>
      <c r="FJ364" s="713"/>
      <c r="FK364" s="713"/>
      <c r="FL364" s="713"/>
    </row>
    <row r="365" spans="1:168" s="31" customFormat="1" ht="11.25" hidden="1" customHeight="1">
      <c r="A365" s="3808" t="s">
        <v>176</v>
      </c>
      <c r="B365" s="1121"/>
      <c r="C365" s="1121"/>
      <c r="D365" s="1121"/>
      <c r="E365" s="1121"/>
      <c r="F365" s="1997"/>
      <c r="G365" s="1121"/>
      <c r="H365" s="1121"/>
      <c r="I365" s="1121"/>
      <c r="J365" s="1121"/>
      <c r="K365" s="1997"/>
      <c r="L365" s="2203"/>
      <c r="M365" s="2203"/>
      <c r="N365" s="2203"/>
      <c r="O365" s="2203"/>
      <c r="P365" s="1997"/>
      <c r="Q365" s="2204">
        <f>+Q8/U8</f>
        <v>0</v>
      </c>
      <c r="R365" s="2204">
        <f>+R8/U8</f>
        <v>0.14814814814814814</v>
      </c>
      <c r="S365" s="2204">
        <f>+S8/U8</f>
        <v>0.30687830687830686</v>
      </c>
      <c r="T365" s="2204">
        <f>+T8/U8</f>
        <v>0.544973544973545</v>
      </c>
      <c r="U365" s="2205">
        <f t="shared" ref="U365:U375" si="1644">SUM(Q365:T365)</f>
        <v>1</v>
      </c>
      <c r="V365" s="2204">
        <f>+V8/Z8</f>
        <v>0.13319393086473214</v>
      </c>
      <c r="W365" s="2204">
        <f>+W8/Z8</f>
        <v>0.183386416425941</v>
      </c>
      <c r="X365" s="2204">
        <f>+X8/Z8</f>
        <v>0.2725128339534274</v>
      </c>
      <c r="Y365" s="2204">
        <f>+Y8/Z8</f>
        <v>0.41090681875589941</v>
      </c>
      <c r="Z365" s="2205">
        <f t="shared" ref="Z365:Z375" si="1645">SUM(V365:Y365)</f>
        <v>0.99999999999999989</v>
      </c>
      <c r="AA365" s="2204">
        <f>+AA8/AE8</f>
        <v>0.22056999423754969</v>
      </c>
      <c r="AB365" s="2204">
        <f>+AB8/AE8</f>
        <v>0.22547947167771951</v>
      </c>
      <c r="AC365" s="2204">
        <f>+AC8/AE8</f>
        <v>0.24653194904300998</v>
      </c>
      <c r="AD365" s="2204">
        <f>+AD8/AE8</f>
        <v>0.30741858504172082</v>
      </c>
      <c r="AE365" s="2205">
        <f t="shared" ref="AE365:AE375" si="1646">SUM(AA365:AD365)</f>
        <v>1</v>
      </c>
      <c r="AF365" s="2204">
        <f>+AF8/AJ8</f>
        <v>0.21835445132774328</v>
      </c>
      <c r="AG365" s="2204">
        <f>+AG8/AJ8</f>
        <v>0.23372744973621026</v>
      </c>
      <c r="AH365" s="2204">
        <f>+AH8/AJ8</f>
        <v>0.25053831263457815</v>
      </c>
      <c r="AI365" s="2204">
        <f>+AI8/AJ8</f>
        <v>0.29737978630146833</v>
      </c>
      <c r="AJ365" s="2205">
        <f t="shared" ref="AJ365:AJ375" si="1647">SUM(AF365:AI365)</f>
        <v>1</v>
      </c>
      <c r="AK365" s="2204">
        <f>+AK8/AO8</f>
        <v>0.21842995161051953</v>
      </c>
      <c r="AL365" s="2204">
        <f>+AL8/AO8</f>
        <v>0.23729583468453752</v>
      </c>
      <c r="AM365" s="2204">
        <f>+AM8/AO8</f>
        <v>0.24941662735203973</v>
      </c>
      <c r="AN365" s="2204">
        <f>+AN8/AO8</f>
        <v>0.29485758635290321</v>
      </c>
      <c r="AO365" s="2205">
        <f t="shared" ref="AO365:AO375" si="1648">SUM(AK365:AN365)</f>
        <v>1</v>
      </c>
      <c r="AP365" s="2204">
        <f>+AP8/AT8</f>
        <v>0.22802180596646168</v>
      </c>
      <c r="AQ365" s="2204">
        <f>+AQ8/AT8</f>
        <v>0.23265933355884894</v>
      </c>
      <c r="AR365" s="2204">
        <f>+AR8/AT8</f>
        <v>0.24749694915501574</v>
      </c>
      <c r="AS365" s="2204">
        <f>+AS8/AT8</f>
        <v>0.29182191131967367</v>
      </c>
      <c r="AT365" s="2205">
        <f t="shared" ref="AT365:AT375" si="1649">SUM(AP365:AS365)</f>
        <v>1</v>
      </c>
      <c r="AU365" s="2204">
        <f>+AU8/AY8</f>
        <v>0.25027715327552741</v>
      </c>
      <c r="AV365" s="2204">
        <f>+AV8/AY8</f>
        <v>0.24818856929640115</v>
      </c>
      <c r="AW365" s="2204">
        <f>+AW8/AY8</f>
        <v>0.25176260053962385</v>
      </c>
      <c r="AX365" s="2204">
        <f>+AX8/AY8</f>
        <v>0.2497716768884477</v>
      </c>
      <c r="AY365" s="2205">
        <f t="shared" ref="AY365:AY375" si="1650">SUM(AU365:AX365)</f>
        <v>1</v>
      </c>
      <c r="AZ365" s="2204">
        <f>+AZ8/BD8</f>
        <v>0.23275460756739369</v>
      </c>
      <c r="BA365" s="2204">
        <f>+BA8/BD8</f>
        <v>0.2355739992245619</v>
      </c>
      <c r="BB365" s="2204">
        <f>+BB8/BD8</f>
        <v>0.25273315983230821</v>
      </c>
      <c r="BC365" s="2204">
        <f>+BC8/BD8</f>
        <v>0.27893823337573598</v>
      </c>
      <c r="BD365" s="2205">
        <f t="shared" ref="BD365:BD375" si="1651">SUM(AZ365:BC365)</f>
        <v>0.99999999999999978</v>
      </c>
      <c r="BE365" s="2206">
        <f>+BE8/BI8</f>
        <v>0.23383900505671723</v>
      </c>
      <c r="BF365" s="2204">
        <f>+BF8/BI8</f>
        <v>0.23670903375700425</v>
      </c>
      <c r="BG365" s="2204">
        <f>+BG8/BI8</f>
        <v>0.24668580019133524</v>
      </c>
      <c r="BH365" s="2204">
        <f>+BH8/BI8</f>
        <v>0.28276616099494328</v>
      </c>
      <c r="BI365" s="2205">
        <f t="shared" ref="BI365:BI375" si="1652">SUM(BE365:BH365)</f>
        <v>1</v>
      </c>
      <c r="BJ365" s="2204">
        <f>+BJ8/BN8</f>
        <v>0.23138056312443234</v>
      </c>
      <c r="BK365" s="2204">
        <f>+BK8/BN8</f>
        <v>0.23955495004541327</v>
      </c>
      <c r="BL365" s="2204">
        <f>+BL8/BN8</f>
        <v>0.25090826521344234</v>
      </c>
      <c r="BM365" s="2204">
        <f>+BM8/BN8</f>
        <v>0.27815622161671211</v>
      </c>
      <c r="BN365" s="2205">
        <f t="shared" ref="BN365:BN375" si="1653">SUM(BJ365:BM365)</f>
        <v>1</v>
      </c>
      <c r="BO365" s="2204">
        <f>+BO8/BS8</f>
        <v>0.229014598540146</v>
      </c>
      <c r="BP365" s="2204">
        <f>+BP8/BS8</f>
        <v>0.23722627737226276</v>
      </c>
      <c r="BQ365" s="2204">
        <f>+BQ8/BS8</f>
        <v>0.25273722627737227</v>
      </c>
      <c r="BR365" s="2204">
        <f>+BR8/BS8</f>
        <v>0.28102189781021897</v>
      </c>
      <c r="BS365" s="2205">
        <f t="shared" ref="BS365:BS375" si="1654">SUM(BO365:BR365)</f>
        <v>1</v>
      </c>
      <c r="BT365" s="2204">
        <f>+BT8/BX8</f>
        <v>0.22909821102592187</v>
      </c>
      <c r="BU365" s="2204">
        <f>+BU8/BX8</f>
        <v>0.23731288791529756</v>
      </c>
      <c r="BV365" s="2204">
        <f>+BV8/BX8</f>
        <v>0.25282949981745162</v>
      </c>
      <c r="BW365" s="2204">
        <f>+BW8/BX8</f>
        <v>0.28112449799196787</v>
      </c>
      <c r="BX365" s="2205">
        <f t="shared" ref="BX365:BX375" si="1655">SUM(BT365:BW365)</f>
        <v>1.000365096750639</v>
      </c>
      <c r="BY365" s="2204">
        <f>+BY8/CC8</f>
        <v>0.24165782817981563</v>
      </c>
      <c r="BZ365" s="2204">
        <f>+BZ8/CC8</f>
        <v>0.24581871583584891</v>
      </c>
      <c r="CA365" s="2204">
        <f>+CA8/CC8</f>
        <v>0.24247368850452802</v>
      </c>
      <c r="CB365" s="2204">
        <f>+CB8/CC8</f>
        <v>0.27004976747980747</v>
      </c>
      <c r="CC365" s="2205">
        <f t="shared" ref="CC365:CC375" si="1656">SUM(BY365:CB365)</f>
        <v>1</v>
      </c>
      <c r="CD365" s="2204">
        <f>+CD8/CH8</f>
        <v>0.24163811388480991</v>
      </c>
      <c r="CE365" s="2204">
        <f>+CE8/CH8</f>
        <v>0.24579866209822157</v>
      </c>
      <c r="CF365" s="2204">
        <f>+CF8/CH8</f>
        <v>0.24245390765214553</v>
      </c>
      <c r="CG365" s="2204">
        <f>+CG8/CH8</f>
        <v>0.27002773698808941</v>
      </c>
      <c r="CH365" s="2205">
        <f t="shared" ref="CH365:CH375" si="1657">SUM(CD365:CG365)</f>
        <v>0.99991842062326652</v>
      </c>
      <c r="CI365" s="2204">
        <f>+CI8/CM8</f>
        <v>0.23946062087871378</v>
      </c>
      <c r="CJ365" s="2204">
        <f>+CJ8/CM8</f>
        <v>0.24398014373564494</v>
      </c>
      <c r="CK365" s="2204">
        <f>+CK8/CM8</f>
        <v>0.24805512336074684</v>
      </c>
      <c r="CL365" s="2204">
        <f>+CL8/CM8</f>
        <v>0.26820774987034157</v>
      </c>
      <c r="CM365" s="2205">
        <f t="shared" ref="CM365:CM375" si="1658">SUM(CI365:CL365)</f>
        <v>0.99970363784544714</v>
      </c>
      <c r="CN365" s="2204">
        <f>+CN8/CR8</f>
        <v>0.23321480861744404</v>
      </c>
      <c r="CO365" s="2204">
        <f>+CO8/CR8</f>
        <v>0.23544586209300705</v>
      </c>
      <c r="CP365" s="2204">
        <f>+CP8/CR8</f>
        <v>0.24862302168305098</v>
      </c>
      <c r="CQ365" s="2204">
        <f>+CQ8/CR8</f>
        <v>0.28271630760649796</v>
      </c>
      <c r="CR365" s="2205">
        <f t="shared" ref="CR365:CR375" si="1659">SUM(CN365:CQ365)</f>
        <v>1</v>
      </c>
      <c r="CS365" s="2204">
        <f>+CS8/CW8</f>
        <v>0.22557017805037813</v>
      </c>
      <c r="CT365" s="2204">
        <f>+CT8/CW8</f>
        <v>0.23670577026141845</v>
      </c>
      <c r="CU365" s="2204">
        <f>+CU8/CW8</f>
        <v>0.24903233490144702</v>
      </c>
      <c r="CV365" s="2204">
        <f>+CV8/CW8</f>
        <v>0.28869171678675637</v>
      </c>
      <c r="CW365" s="2205">
        <f t="shared" ref="CW365:CW375" si="1660">SUM(CS365:CV365)</f>
        <v>1</v>
      </c>
      <c r="CX365" s="2204"/>
      <c r="CY365" s="2204"/>
      <c r="CZ365" s="2204"/>
      <c r="DA365" s="2204"/>
      <c r="DB365" s="2205"/>
      <c r="DC365" s="2204"/>
      <c r="DD365" s="2204"/>
      <c r="DE365" s="2204"/>
      <c r="DF365" s="2204"/>
      <c r="DG365" s="2187"/>
      <c r="DH365" s="2204"/>
      <c r="DI365" s="2204"/>
      <c r="DJ365" s="2204"/>
      <c r="DK365" s="2204"/>
      <c r="DL365" s="2187"/>
      <c r="DM365" s="2204"/>
      <c r="DN365" s="2204"/>
      <c r="DO365" s="2204"/>
      <c r="DP365" s="2204"/>
      <c r="DQ365" s="2187"/>
      <c r="DR365" s="2204"/>
      <c r="DS365" s="2204"/>
      <c r="DT365" s="2204"/>
      <c r="DU365" s="2204"/>
      <c r="DV365" s="2187"/>
      <c r="DW365" s="2204"/>
      <c r="DX365" s="2204"/>
      <c r="DY365" s="2204"/>
      <c r="DZ365" s="2204"/>
      <c r="EA365" s="2187"/>
      <c r="EB365" s="2204"/>
      <c r="EC365" s="2204"/>
      <c r="ED365" s="2204"/>
      <c r="EE365" s="2204"/>
      <c r="EF365" s="2187"/>
      <c r="EG365" s="2204"/>
      <c r="EH365" s="2204"/>
      <c r="EI365" s="2204"/>
      <c r="EJ365" s="2204"/>
      <c r="EK365" s="2187"/>
      <c r="EL365" s="2204"/>
      <c r="EM365" s="2204"/>
      <c r="EN365" s="2204"/>
      <c r="EO365" s="2204"/>
      <c r="EP365" s="2187"/>
      <c r="EQ365" s="2204"/>
      <c r="ER365" s="2204"/>
      <c r="ES365" s="2204"/>
      <c r="ET365" s="2204"/>
      <c r="EU365" s="2187"/>
      <c r="EV365" s="2187"/>
      <c r="EW365" s="2187"/>
      <c r="EX365" s="2187"/>
      <c r="EY365" s="2187"/>
      <c r="EZ365" s="208"/>
      <c r="FA365" s="713"/>
      <c r="FB365" s="713"/>
      <c r="FC365" s="713"/>
      <c r="FD365" s="713"/>
      <c r="FE365" s="713"/>
      <c r="FF365" s="713"/>
      <c r="FG365" s="713"/>
      <c r="FH365" s="713"/>
      <c r="FI365" s="713"/>
      <c r="FJ365" s="713"/>
      <c r="FK365" s="713"/>
      <c r="FL365" s="713"/>
    </row>
    <row r="366" spans="1:168" s="31" customFormat="1" ht="11.25" hidden="1" customHeight="1">
      <c r="A366" s="3801" t="s">
        <v>48</v>
      </c>
      <c r="B366" s="1121"/>
      <c r="C366" s="1121"/>
      <c r="D366" s="1121"/>
      <c r="E366" s="1121"/>
      <c r="F366" s="1997"/>
      <c r="G366" s="1121"/>
      <c r="H366" s="1121"/>
      <c r="I366" s="1121"/>
      <c r="J366" s="1121"/>
      <c r="K366" s="1997"/>
      <c r="L366" s="2203"/>
      <c r="M366" s="2203"/>
      <c r="N366" s="2203"/>
      <c r="O366" s="2203"/>
      <c r="P366" s="1997"/>
      <c r="Q366" s="2204">
        <f>+Q9/U9</f>
        <v>0.12256237536520891</v>
      </c>
      <c r="R366" s="2204">
        <f>+R9/U9</f>
        <v>0.18702464870379817</v>
      </c>
      <c r="S366" s="2204">
        <f>+S9/U9</f>
        <v>0.29502794138106941</v>
      </c>
      <c r="T366" s="2204">
        <f>+T9/U9</f>
        <v>0.39538503454992346</v>
      </c>
      <c r="U366" s="2205">
        <f t="shared" si="1644"/>
        <v>1</v>
      </c>
      <c r="V366" s="2204">
        <f>+V9/Z9</f>
        <v>0.19000086225158372</v>
      </c>
      <c r="W366" s="2204">
        <f>+W9/Z9</f>
        <v>0.22848602460504089</v>
      </c>
      <c r="X366" s="2204">
        <f>+X9/Z9</f>
        <v>0.26661138321121652</v>
      </c>
      <c r="Y366" s="2204">
        <f>+Y9/Z9</f>
        <v>0.31490172993215887</v>
      </c>
      <c r="Z366" s="2205">
        <f t="shared" si="1645"/>
        <v>1</v>
      </c>
      <c r="AA366" s="2204">
        <f>+AA9/AE9</f>
        <v>0.19413703808925836</v>
      </c>
      <c r="AB366" s="2204">
        <f>+AB9/AE9</f>
        <v>0.21584338096042038</v>
      </c>
      <c r="AC366" s="2204">
        <f>+AC9/AE9</f>
        <v>0.25655023337493665</v>
      </c>
      <c r="AD366" s="2204">
        <f>+AD9/AE9</f>
        <v>0.33346934757538454</v>
      </c>
      <c r="AE366" s="2205">
        <f t="shared" si="1646"/>
        <v>1</v>
      </c>
      <c r="AF366" s="2204">
        <f>+AF9/AJ9</f>
        <v>0.19751104602872341</v>
      </c>
      <c r="AG366" s="2204">
        <f>+AG9/AJ9</f>
        <v>0.22123745345606863</v>
      </c>
      <c r="AH366" s="2204">
        <f>+AH9/AJ9</f>
        <v>0.26060674745962464</v>
      </c>
      <c r="AI366" s="2204">
        <f>+AI9/AJ9</f>
        <v>0.32064475305558332</v>
      </c>
      <c r="AJ366" s="2205">
        <f t="shared" si="1647"/>
        <v>1</v>
      </c>
      <c r="AK366" s="2204">
        <f>+AK9/AO9</f>
        <v>0.20983958641144498</v>
      </c>
      <c r="AL366" s="2204">
        <f>+AL9/AO9</f>
        <v>0.22900218471685024</v>
      </c>
      <c r="AM366" s="2204">
        <f>+AM9/AO9</f>
        <v>0.25553361092303595</v>
      </c>
      <c r="AN366" s="2204">
        <f>+AN9/AO9</f>
        <v>0.30562461794866874</v>
      </c>
      <c r="AO366" s="2205">
        <f t="shared" si="1648"/>
        <v>1</v>
      </c>
      <c r="AP366" s="2204">
        <f>+AP9/AT9</f>
        <v>0.21774577197276151</v>
      </c>
      <c r="AQ366" s="2204">
        <f>+AQ9/AT9</f>
        <v>0.23362324205086626</v>
      </c>
      <c r="AR366" s="2204">
        <f>+AR9/AT9</f>
        <v>0.25816495509003473</v>
      </c>
      <c r="AS366" s="2204">
        <f>+AS9/AT9</f>
        <v>0.29046603088633749</v>
      </c>
      <c r="AT366" s="2205">
        <f t="shared" si="1649"/>
        <v>1</v>
      </c>
      <c r="AU366" s="2204">
        <f>+AU9/AY9</f>
        <v>0.23331984578280912</v>
      </c>
      <c r="AV366" s="2204">
        <f>+AV9/AY9</f>
        <v>0.24552757155097205</v>
      </c>
      <c r="AW366" s="2204">
        <f>+AW9/AY9</f>
        <v>0.25517358767624682</v>
      </c>
      <c r="AX366" s="2204">
        <f>+AX9/AY9</f>
        <v>0.26597899498997207</v>
      </c>
      <c r="AY366" s="2205">
        <f t="shared" si="1650"/>
        <v>1</v>
      </c>
      <c r="AZ366" s="2204">
        <f>+AZ9/BD9</f>
        <v>0.23299558089637942</v>
      </c>
      <c r="BA366" s="2204">
        <f>+BA9/BD9</f>
        <v>0.23279610885944729</v>
      </c>
      <c r="BB366" s="2204">
        <f>+BB9/BD9</f>
        <v>0.25087798872694111</v>
      </c>
      <c r="BC366" s="2204">
        <f>+BC9/BD9</f>
        <v>0.28333032151723231</v>
      </c>
      <c r="BD366" s="2205">
        <f t="shared" si="1651"/>
        <v>1.0000000000000002</v>
      </c>
      <c r="BE366" s="2206">
        <f>+BE9/BI9</f>
        <v>0.23013997455008181</v>
      </c>
      <c r="BF366" s="2204">
        <f>+BF9/BI9</f>
        <v>0.23123068532994001</v>
      </c>
      <c r="BG366" s="2204">
        <f>+BG9/BI9</f>
        <v>0.24909107435011815</v>
      </c>
      <c r="BH366" s="2204">
        <f>+BH9/BI9</f>
        <v>0.28953826576986003</v>
      </c>
      <c r="BI366" s="2205">
        <f t="shared" si="1652"/>
        <v>1</v>
      </c>
      <c r="BJ366" s="2204">
        <f>+BJ9/BN9</f>
        <v>0.2246623363233323</v>
      </c>
      <c r="BK366" s="2204">
        <f>+BK9/BN9</f>
        <v>0.23768773413066638</v>
      </c>
      <c r="BL366" s="2204">
        <f>+BL9/BN9</f>
        <v>0.25810220984981269</v>
      </c>
      <c r="BM366" s="2204">
        <f>+BM9/BN9</f>
        <v>0.27954771969618863</v>
      </c>
      <c r="BN366" s="2205">
        <f t="shared" si="1653"/>
        <v>1</v>
      </c>
      <c r="BO366" s="2204">
        <f>+BO9/BS9</f>
        <v>0.20126673099284989</v>
      </c>
      <c r="BP366" s="2204">
        <f>+BP9/BS9</f>
        <v>0.23785843291521314</v>
      </c>
      <c r="BQ366" s="2204">
        <f>+BQ9/BS9</f>
        <v>0.28033845468715207</v>
      </c>
      <c r="BR366" s="2204">
        <f>+BR9/BS9</f>
        <v>0.28053638140478487</v>
      </c>
      <c r="BS366" s="2205">
        <f t="shared" si="1654"/>
        <v>0.99999999999999989</v>
      </c>
      <c r="BT366" s="2204">
        <f>+BT9/BX9</f>
        <v>0.23187868768349343</v>
      </c>
      <c r="BU366" s="2204">
        <f>+BU9/BX9</f>
        <v>0.23840606561582534</v>
      </c>
      <c r="BV366" s="2204">
        <f>+BV9/BX9</f>
        <v>0.24957956845195678</v>
      </c>
      <c r="BW366" s="2204">
        <f>+BW9/BX9</f>
        <v>0.28005016674742755</v>
      </c>
      <c r="BX366" s="2205">
        <f t="shared" si="1655"/>
        <v>0.99991448849870301</v>
      </c>
      <c r="BY366" s="2204">
        <f>+BY9/CC9</f>
        <v>0.23139505549949546</v>
      </c>
      <c r="BZ366" s="2204">
        <f>+BZ9/CC9</f>
        <v>0.23318197107299024</v>
      </c>
      <c r="CA366" s="2204">
        <f>+CA9/CC9</f>
        <v>0.25060965354860409</v>
      </c>
      <c r="CB366" s="2204">
        <f>+CB9/CC9</f>
        <v>0.28481331987891018</v>
      </c>
      <c r="CC366" s="2205">
        <f t="shared" si="1656"/>
        <v>1</v>
      </c>
      <c r="CD366" s="2204">
        <f>+CD9/CH9</f>
        <v>0.23090081135433763</v>
      </c>
      <c r="CE366" s="2204">
        <f>+CE9/CH9</f>
        <v>0.23332793971475463</v>
      </c>
      <c r="CF366" s="2204">
        <f>+CF9/CH9</f>
        <v>0.24923140935253463</v>
      </c>
      <c r="CG366" s="2204">
        <f>+CG9/CH9</f>
        <v>0.28656295508656759</v>
      </c>
      <c r="CH366" s="2205">
        <f t="shared" si="1657"/>
        <v>1.0000231155081944</v>
      </c>
      <c r="CI366" s="2204">
        <f>+CI9/CM9</f>
        <v>0.23213469449946672</v>
      </c>
      <c r="CJ366" s="2204">
        <f>+CJ9/CM9</f>
        <v>0.24116257808928843</v>
      </c>
      <c r="CK366" s="2204">
        <f>+CK9/CM9</f>
        <v>0.25093326222763979</v>
      </c>
      <c r="CL366" s="2204">
        <f>+CL9/CM9</f>
        <v>0.27584564985524912</v>
      </c>
      <c r="CM366" s="2205">
        <f t="shared" si="1658"/>
        <v>1.0000761846716439</v>
      </c>
      <c r="CN366" s="2204">
        <f>+CN9/CR9</f>
        <v>0.22941331662434455</v>
      </c>
      <c r="CO366" s="2204">
        <f>+CO9/CR9</f>
        <v>0.23661906803416549</v>
      </c>
      <c r="CP366" s="2204">
        <f>+CP9/CR9</f>
        <v>0.24913432048280185</v>
      </c>
      <c r="CQ366" s="2204">
        <f>+CQ9/CR9</f>
        <v>0.28483329485868814</v>
      </c>
      <c r="CR366" s="2205">
        <f t="shared" si="1659"/>
        <v>1</v>
      </c>
      <c r="CS366" s="2204">
        <f>+CS9/CW9</f>
        <v>0.22413206494372542</v>
      </c>
      <c r="CT366" s="2204">
        <f>+CT9/CW9</f>
        <v>0.238503518011949</v>
      </c>
      <c r="CU366" s="2204">
        <f>+CU9/CW9</f>
        <v>0.24862885994637923</v>
      </c>
      <c r="CV366" s="2204">
        <f>+CV9/CW9</f>
        <v>0.28873555709794635</v>
      </c>
      <c r="CW366" s="2205">
        <f t="shared" si="1660"/>
        <v>1</v>
      </c>
      <c r="CX366" s="2204"/>
      <c r="CY366" s="2204"/>
      <c r="CZ366" s="2204"/>
      <c r="DA366" s="2204"/>
      <c r="DB366" s="2205"/>
      <c r="DC366" s="2204"/>
      <c r="DD366" s="2204"/>
      <c r="DE366" s="2204"/>
      <c r="DF366" s="2204"/>
      <c r="DG366" s="2187"/>
      <c r="DH366" s="2204"/>
      <c r="DI366" s="2204"/>
      <c r="DJ366" s="2204"/>
      <c r="DK366" s="2204"/>
      <c r="DL366" s="2187"/>
      <c r="DM366" s="2204"/>
      <c r="DN366" s="2204"/>
      <c r="DO366" s="2204"/>
      <c r="DP366" s="2204"/>
      <c r="DQ366" s="2187"/>
      <c r="DR366" s="2204"/>
      <c r="DS366" s="2204"/>
      <c r="DT366" s="2204"/>
      <c r="DU366" s="2204"/>
      <c r="DV366" s="2187"/>
      <c r="DW366" s="2204"/>
      <c r="DX366" s="2204"/>
      <c r="DY366" s="2204"/>
      <c r="DZ366" s="2204"/>
      <c r="EA366" s="2187"/>
      <c r="EB366" s="2204"/>
      <c r="EC366" s="2204"/>
      <c r="ED366" s="2204"/>
      <c r="EE366" s="2204"/>
      <c r="EF366" s="2187"/>
      <c r="EG366" s="2204"/>
      <c r="EH366" s="2204"/>
      <c r="EI366" s="2204"/>
      <c r="EJ366" s="2204"/>
      <c r="EK366" s="2187"/>
      <c r="EL366" s="2204"/>
      <c r="EM366" s="2204"/>
      <c r="EN366" s="2204"/>
      <c r="EO366" s="2204"/>
      <c r="EP366" s="2187"/>
      <c r="EQ366" s="2204"/>
      <c r="ER366" s="2204"/>
      <c r="ES366" s="2204"/>
      <c r="ET366" s="2204"/>
      <c r="EU366" s="2187"/>
      <c r="EV366" s="2187"/>
      <c r="EW366" s="2187"/>
      <c r="EX366" s="2187"/>
      <c r="EY366" s="2187"/>
      <c r="EZ366" s="208"/>
      <c r="FA366" s="713"/>
      <c r="FB366" s="713"/>
      <c r="FC366" s="713"/>
      <c r="FD366" s="713"/>
      <c r="FE366" s="713"/>
      <c r="FF366" s="713"/>
      <c r="FG366" s="713"/>
      <c r="FH366" s="713"/>
      <c r="FI366" s="713"/>
      <c r="FJ366" s="713"/>
      <c r="FK366" s="713"/>
      <c r="FL366" s="713"/>
    </row>
    <row r="367" spans="1:168" s="31" customFormat="1" ht="11.25" hidden="1" customHeight="1">
      <c r="A367" s="3808" t="s">
        <v>178</v>
      </c>
      <c r="B367" s="1121"/>
      <c r="C367" s="1121"/>
      <c r="D367" s="1121"/>
      <c r="E367" s="1121"/>
      <c r="F367" s="1997"/>
      <c r="G367" s="1121"/>
      <c r="H367" s="1121"/>
      <c r="I367" s="1121"/>
      <c r="J367" s="1121"/>
      <c r="K367" s="1997"/>
      <c r="L367" s="2203"/>
      <c r="M367" s="2203"/>
      <c r="N367" s="2203"/>
      <c r="O367" s="2203"/>
      <c r="P367" s="1997"/>
      <c r="Q367" s="2204">
        <f>+Q10/U10</f>
        <v>0.15379627127803294</v>
      </c>
      <c r="R367" s="2204">
        <f>+R10/U10</f>
        <v>0.17311537422318291</v>
      </c>
      <c r="S367" s="2204">
        <f>+S10/U10</f>
        <v>0.28700351256417178</v>
      </c>
      <c r="T367" s="2204">
        <f>+T10/U10</f>
        <v>0.38608484193461223</v>
      </c>
      <c r="U367" s="2205">
        <f>SUM(Q367:T367)</f>
        <v>0.99999999999999989</v>
      </c>
      <c r="V367" s="2204">
        <f>+V10/Z10</f>
        <v>0.17180656658712654</v>
      </c>
      <c r="W367" s="2204">
        <f>+W10/Z10</f>
        <v>0.2098448465077879</v>
      </c>
      <c r="X367" s="2204">
        <f>+X10/Z10</f>
        <v>0.2708692018807704</v>
      </c>
      <c r="Y367" s="2204">
        <f>+Y10/Z10</f>
        <v>0.34747938502431513</v>
      </c>
      <c r="Z367" s="2205">
        <f>SUM(V367:Y367)</f>
        <v>1</v>
      </c>
      <c r="AA367" s="2204">
        <f>+AA10/AE10</f>
        <v>0.19386137662711952</v>
      </c>
      <c r="AB367" s="2204">
        <f>+AB10/AE10</f>
        <v>0.2154631477365519</v>
      </c>
      <c r="AC367" s="2204">
        <f>+AC10/AE10</f>
        <v>0.2585007576121463</v>
      </c>
      <c r="AD367" s="2204">
        <f>+AD10/AE10</f>
        <v>0.3321747180241823</v>
      </c>
      <c r="AE367" s="2205">
        <f>SUM(AA367:AD367)</f>
        <v>1</v>
      </c>
      <c r="AF367" s="2204">
        <f>+AF10/AJ10</f>
        <v>0.18266939426328604</v>
      </c>
      <c r="AG367" s="2204">
        <f>+AG10/AJ10</f>
        <v>0.22510338000035049</v>
      </c>
      <c r="AH367" s="2204">
        <f>+AH10/AJ10</f>
        <v>0.2714863941406318</v>
      </c>
      <c r="AI367" s="2204">
        <f>+AI10/AJ10</f>
        <v>0.32074083159573158</v>
      </c>
      <c r="AJ367" s="2205">
        <f>SUM(AF367:AI367)</f>
        <v>1</v>
      </c>
      <c r="AK367" s="2204">
        <f>+AK10/AO10</f>
        <v>0.19930515834243989</v>
      </c>
      <c r="AL367" s="2204">
        <f>+AL10/AO10</f>
        <v>0.22428896688485259</v>
      </c>
      <c r="AM367" s="2204">
        <f>+AM10/AO10</f>
        <v>0.24628264164465169</v>
      </c>
      <c r="AN367" s="2204">
        <f>+AN10/AO10</f>
        <v>0.33012323312805592</v>
      </c>
      <c r="AO367" s="2205">
        <f>SUM(AK367:AN367)</f>
        <v>1</v>
      </c>
      <c r="AP367" s="2204">
        <f>+AP10/AT10</f>
        <v>0.20143578486737332</v>
      </c>
      <c r="AQ367" s="2204">
        <f>+AQ10/AT10</f>
        <v>0.23905115094348542</v>
      </c>
      <c r="AR367" s="2204">
        <f>+AR10/AT10</f>
        <v>0.25839401915797539</v>
      </c>
      <c r="AS367" s="2204">
        <f>+AS10/AT10</f>
        <v>0.30111904503116599</v>
      </c>
      <c r="AT367" s="2205">
        <f>SUM(AP367:AS367)</f>
        <v>1.0000000000000002</v>
      </c>
      <c r="AU367" s="2204">
        <f>+AU10/AY10</f>
        <v>0.23284889719314789</v>
      </c>
      <c r="AV367" s="2204">
        <f>+AV10/AY10</f>
        <v>0.25148728899389111</v>
      </c>
      <c r="AW367" s="2204">
        <f>+AW10/AY10</f>
        <v>0.25270756072489364</v>
      </c>
      <c r="AX367" s="2204">
        <f>+AX10/AY10</f>
        <v>0.26295625308806747</v>
      </c>
      <c r="AY367" s="2205">
        <f>SUM(AU367:AX367)</f>
        <v>1</v>
      </c>
      <c r="AZ367" s="2204">
        <f>+AZ10/BD10</f>
        <v>0.24851388009352848</v>
      </c>
      <c r="BA367" s="2204">
        <f>+BA10/BD10</f>
        <v>0.24395390859049612</v>
      </c>
      <c r="BB367" s="2204">
        <f>+BB10/BD10</f>
        <v>0.24818887461334241</v>
      </c>
      <c r="BC367" s="2204">
        <f>+BC10/BD10</f>
        <v>0.25934333670263293</v>
      </c>
      <c r="BD367" s="2205">
        <f>SUM(AZ367:BC367)</f>
        <v>1</v>
      </c>
      <c r="BE367" s="2206">
        <f>+BE10/BI10</f>
        <v>0.24233432245301681</v>
      </c>
      <c r="BF367" s="2204">
        <f>+BF10/BI10</f>
        <v>0.23969666996373229</v>
      </c>
      <c r="BG367" s="2204">
        <f>+BG10/BI10</f>
        <v>0.24365314869765908</v>
      </c>
      <c r="BH367" s="2204">
        <f>+BH10/BI10</f>
        <v>0.27431585888559185</v>
      </c>
      <c r="BI367" s="2205">
        <f>SUM(BE367:BH367)</f>
        <v>1</v>
      </c>
      <c r="BJ367" s="2204">
        <f>+BJ10/BN10</f>
        <v>0.20551924473493102</v>
      </c>
      <c r="BK367" s="2204">
        <f>+BK10/BN10</f>
        <v>0.24473493100944083</v>
      </c>
      <c r="BL367" s="2204">
        <f>+BL10/BN10</f>
        <v>0.26531106269668359</v>
      </c>
      <c r="BM367" s="2204">
        <f>+BM10/BN10</f>
        <v>0.28443476155894459</v>
      </c>
      <c r="BN367" s="2205">
        <f>SUM(BJ367:BM367)</f>
        <v>1</v>
      </c>
      <c r="BO367" s="2204">
        <f>+BO10/BS10</f>
        <v>0.1196029776674938</v>
      </c>
      <c r="BP367" s="2204">
        <f>+BP10/BS10</f>
        <v>0.23007444168734492</v>
      </c>
      <c r="BQ367" s="2204">
        <f>+BQ10/BS10</f>
        <v>0.35632754342431761</v>
      </c>
      <c r="BR367" s="2204">
        <f>+BR10/BS10</f>
        <v>0.29399503722084369</v>
      </c>
      <c r="BS367" s="2205">
        <f>SUM(BO367:BR367)</f>
        <v>1</v>
      </c>
      <c r="BT367" s="2204" t="e">
        <f>+BT10/BX10</f>
        <v>#REF!</v>
      </c>
      <c r="BU367" s="2204" t="e">
        <f>+BU10/BX10</f>
        <v>#REF!</v>
      </c>
      <c r="BV367" s="2204" t="e">
        <f>+BV10/BX10</f>
        <v>#REF!</v>
      </c>
      <c r="BW367" s="2204" t="e">
        <f>+BW10/BX10</f>
        <v>#REF!</v>
      </c>
      <c r="BX367" s="2205" t="e">
        <f>SUM(BT367:BW367)</f>
        <v>#REF!</v>
      </c>
      <c r="BY367" s="2204">
        <f>+BY10/CC10</f>
        <v>0.22625189681335356</v>
      </c>
      <c r="BZ367" s="2204">
        <f>+BZ10/CC10</f>
        <v>0.22268588770864947</v>
      </c>
      <c r="CA367" s="2204">
        <f>+CA10/CC10</f>
        <v>0.25068285280728375</v>
      </c>
      <c r="CB367" s="2204">
        <f>+CB10/CC10</f>
        <v>0.30037936267071319</v>
      </c>
      <c r="CC367" s="2205">
        <f>SUM(BY367:CB367)</f>
        <v>1</v>
      </c>
      <c r="CD367" s="2204">
        <f>+CD10/CH10</f>
        <v>0.22393697388301317</v>
      </c>
      <c r="CE367" s="2204">
        <f>+CE10/CH10</f>
        <v>0.22361320958342326</v>
      </c>
      <c r="CF367" s="2204">
        <f>+CF10/CH10</f>
        <v>0.24865098208504208</v>
      </c>
      <c r="CG367" s="2204">
        <f>+CG10/CH10</f>
        <v>0.30390675588171812</v>
      </c>
      <c r="CH367" s="2205">
        <f>SUM(CD367:CG367)</f>
        <v>1.0001079214331967</v>
      </c>
      <c r="CI367" s="2204">
        <f>+CI10/CM10</f>
        <v>0.22584240761382149</v>
      </c>
      <c r="CJ367" s="2204">
        <f>+CJ10/CM10</f>
        <v>0.23330189488124839</v>
      </c>
      <c r="CK367" s="2204">
        <f>+CK10/CM10</f>
        <v>0.27248563834347939</v>
      </c>
      <c r="CL367" s="2204">
        <f>+CL10/CM10</f>
        <v>0.26837005916145074</v>
      </c>
      <c r="CM367" s="2205">
        <f>SUM(CI367:CL367)</f>
        <v>1</v>
      </c>
      <c r="CN367" s="2204">
        <f>+CN10/CR10</f>
        <v>0.219054936611602</v>
      </c>
      <c r="CO367" s="2204">
        <f>+CO10/CR10</f>
        <v>0.23380714560122934</v>
      </c>
      <c r="CP367" s="2204">
        <f>+CP10/CR10</f>
        <v>0.24894352669996159</v>
      </c>
      <c r="CQ367" s="2204">
        <f>+CQ10/CR10</f>
        <v>0.29819439108720708</v>
      </c>
      <c r="CR367" s="2205">
        <f>SUM(CN367:CQ367)</f>
        <v>1</v>
      </c>
      <c r="CS367" s="2204">
        <f>+CS10/CW10</f>
        <v>0.21055387479636956</v>
      </c>
      <c r="CT367" s="2204">
        <f>+CT10/CW10</f>
        <v>0.22690249010937863</v>
      </c>
      <c r="CU367" s="2204">
        <f>+CU10/CW10</f>
        <v>0.2438910868047475</v>
      </c>
      <c r="CV367" s="2204">
        <f>+CV10/CW10</f>
        <v>0.31865254828950429</v>
      </c>
      <c r="CW367" s="2205">
        <f>SUM(CS367:CV367)</f>
        <v>1</v>
      </c>
      <c r="CX367" s="2204"/>
      <c r="CY367" s="2204"/>
      <c r="CZ367" s="2204"/>
      <c r="DA367" s="2204"/>
      <c r="DB367" s="2205"/>
      <c r="DC367" s="2204"/>
      <c r="DD367" s="2204"/>
      <c r="DE367" s="2204"/>
      <c r="DF367" s="2204"/>
      <c r="DG367" s="2187"/>
      <c r="DH367" s="2204"/>
      <c r="DI367" s="2204"/>
      <c r="DJ367" s="2204"/>
      <c r="DK367" s="2204"/>
      <c r="DL367" s="2187"/>
      <c r="DM367" s="2204"/>
      <c r="DN367" s="2204"/>
      <c r="DO367" s="2204"/>
      <c r="DP367" s="2204"/>
      <c r="DQ367" s="2187"/>
      <c r="DR367" s="2204"/>
      <c r="DS367" s="2204"/>
      <c r="DT367" s="2204"/>
      <c r="DU367" s="2204"/>
      <c r="DV367" s="2187"/>
      <c r="DW367" s="2204"/>
      <c r="DX367" s="2204"/>
      <c r="DY367" s="2204"/>
      <c r="DZ367" s="2204"/>
      <c r="EA367" s="2187"/>
      <c r="EB367" s="2204"/>
      <c r="EC367" s="2204"/>
      <c r="ED367" s="2204"/>
      <c r="EE367" s="2204"/>
      <c r="EF367" s="2187"/>
      <c r="EG367" s="2204"/>
      <c r="EH367" s="2204"/>
      <c r="EI367" s="2204"/>
      <c r="EJ367" s="2204"/>
      <c r="EK367" s="2187"/>
      <c r="EL367" s="2204"/>
      <c r="EM367" s="2204"/>
      <c r="EN367" s="2204"/>
      <c r="EO367" s="2204"/>
      <c r="EP367" s="2187"/>
      <c r="EQ367" s="2204"/>
      <c r="ER367" s="2204"/>
      <c r="ES367" s="2204"/>
      <c r="ET367" s="2204"/>
      <c r="EU367" s="2187"/>
      <c r="EV367" s="2187"/>
      <c r="EW367" s="2187"/>
      <c r="EX367" s="2187"/>
      <c r="EY367" s="2187"/>
      <c r="EZ367" s="208"/>
      <c r="FA367" s="713"/>
      <c r="FB367" s="713"/>
      <c r="FC367" s="713"/>
      <c r="FD367" s="713"/>
      <c r="FE367" s="713"/>
      <c r="FF367" s="713"/>
      <c r="FG367" s="713"/>
      <c r="FH367" s="713"/>
      <c r="FI367" s="713"/>
      <c r="FJ367" s="713"/>
      <c r="FK367" s="713"/>
      <c r="FL367" s="713"/>
    </row>
    <row r="368" spans="1:168" s="31" customFormat="1" ht="11.25" hidden="1" customHeight="1">
      <c r="A368" s="3801" t="s">
        <v>362</v>
      </c>
      <c r="B368" s="1121"/>
      <c r="C368" s="1121"/>
      <c r="D368" s="1121"/>
      <c r="E368" s="1121"/>
      <c r="F368" s="1997"/>
      <c r="G368" s="1121"/>
      <c r="H368" s="1121"/>
      <c r="I368" s="1121"/>
      <c r="J368" s="1121"/>
      <c r="K368" s="1997"/>
      <c r="L368" s="2203"/>
      <c r="M368" s="2203"/>
      <c r="N368" s="2203"/>
      <c r="O368" s="2203"/>
      <c r="P368" s="1997"/>
      <c r="Q368" s="2204">
        <f>+Q13/U13</f>
        <v>0.11880921304683793</v>
      </c>
      <c r="R368" s="2204">
        <f>+R13/U13</f>
        <v>0.18869603049370451</v>
      </c>
      <c r="S368" s="2204">
        <f>+S13/U13</f>
        <v>0.29599218176741404</v>
      </c>
      <c r="T368" s="2204">
        <f>+T13/U13</f>
        <v>0.39650257469204342</v>
      </c>
      <c r="U368" s="2205">
        <f>SUM(Q368:T368)</f>
        <v>0.99999999999999989</v>
      </c>
      <c r="V368" s="2204">
        <f>+V13/Z13</f>
        <v>0.1921519379106752</v>
      </c>
      <c r="W368" s="2204">
        <f>+W13/Z13</f>
        <v>0.23068993429197221</v>
      </c>
      <c r="X368" s="2204">
        <f>+X13/Z13</f>
        <v>0.26610798971526528</v>
      </c>
      <c r="Y368" s="2204">
        <f>+Y13/Z13</f>
        <v>0.31105013808208742</v>
      </c>
      <c r="Z368" s="2205">
        <f>SUM(V368:Y368)</f>
        <v>1</v>
      </c>
      <c r="AA368" s="2204">
        <f>+AA13/AE13</f>
        <v>0.19417349572930925</v>
      </c>
      <c r="AB368" s="2204">
        <f>+AB13/AE13</f>
        <v>0.21589366875147986</v>
      </c>
      <c r="AC368" s="2204">
        <f>+AC13/AE13</f>
        <v>0.25629226655578463</v>
      </c>
      <c r="AD368" s="2204">
        <f>+AD13/AE13</f>
        <v>0.33364056896342625</v>
      </c>
      <c r="AE368" s="2205">
        <f>SUM(AA368:AD368)</f>
        <v>1</v>
      </c>
      <c r="AF368" s="2204">
        <f>+AF13/AJ13</f>
        <v>0.19941071753970371</v>
      </c>
      <c r="AG368" s="2204">
        <f>+AG13/AJ13</f>
        <v>0.22074263046495002</v>
      </c>
      <c r="AH368" s="2204">
        <f>+AH13/AJ13</f>
        <v>0.25921419660503775</v>
      </c>
      <c r="AI368" s="2204">
        <f>+AI13/AJ13</f>
        <v>0.32063245539030855</v>
      </c>
      <c r="AJ368" s="2205">
        <f>SUM(AF368:AI368)</f>
        <v>1</v>
      </c>
      <c r="AK368" s="2204">
        <f>+AK13/AO13</f>
        <v>0.21131929601448568</v>
      </c>
      <c r="AL368" s="2204">
        <f>+AL13/AO13</f>
        <v>0.22966422290644589</v>
      </c>
      <c r="AM368" s="2204">
        <f>+AM13/AO13</f>
        <v>0.2568330405635435</v>
      </c>
      <c r="AN368" s="2204">
        <f>+AN13/AO13</f>
        <v>0.30218344051552493</v>
      </c>
      <c r="AO368" s="2205">
        <f>SUM(AK368:AN368)</f>
        <v>1</v>
      </c>
      <c r="AP368" s="2204">
        <f>+AP13/AT13</f>
        <v>0.22051592041323398</v>
      </c>
      <c r="AQ368" s="2204">
        <f>+AQ13/AT13</f>
        <v>0.23270134596003805</v>
      </c>
      <c r="AR368" s="2204">
        <f>+AR13/AT13</f>
        <v>0.25812605000283428</v>
      </c>
      <c r="AS368" s="2204">
        <f>+AS13/AT13</f>
        <v>0.28865668362389368</v>
      </c>
      <c r="AT368" s="2205">
        <f>SUM(AP368:AS368)</f>
        <v>1</v>
      </c>
      <c r="AU368" s="2204">
        <f>+AU13/AY13</f>
        <v>0.23341396916003113</v>
      </c>
      <c r="AV368" s="2204">
        <f>+AV13/AY13</f>
        <v>0.24433646758478361</v>
      </c>
      <c r="AW368" s="2204">
        <f>+AW13/AY13</f>
        <v>0.25566644568681812</v>
      </c>
      <c r="AX368" s="2204">
        <f>+AX13/AY13</f>
        <v>0.26658311756836717</v>
      </c>
      <c r="AY368" s="2205">
        <f>SUM(AU368:AX368)</f>
        <v>1</v>
      </c>
      <c r="AZ368" s="2204">
        <f>+AZ13/BD13</f>
        <v>0.23025032687584257</v>
      </c>
      <c r="BA368" s="2204">
        <f>+BA13/BD13</f>
        <v>0.23082224599065854</v>
      </c>
      <c r="BB368" s="2204">
        <f>+BB13/BD13</f>
        <v>0.25135370460522471</v>
      </c>
      <c r="BC368" s="2204">
        <f>+BC13/BD13</f>
        <v>0.2875737225282744</v>
      </c>
      <c r="BD368" s="2205">
        <f>SUM(AZ368:BC368)</f>
        <v>1.0000000000000002</v>
      </c>
      <c r="BE368" s="2206">
        <f>+BE13/BI13</f>
        <v>0.22819039586737652</v>
      </c>
      <c r="BF368" s="2204">
        <f>+BF13/BI13</f>
        <v>0.22987718096041326</v>
      </c>
      <c r="BG368" s="2204">
        <f>+BG13/BI13</f>
        <v>0.24996046597438196</v>
      </c>
      <c r="BH368" s="2204">
        <f>+BH13/BI13</f>
        <v>0.29197195719782826</v>
      </c>
      <c r="BI368" s="2205">
        <f>SUM(BE368:BH368)</f>
        <v>1</v>
      </c>
      <c r="BJ368" s="2204">
        <f>+BJ13/BN13</f>
        <v>0.22782984859408795</v>
      </c>
      <c r="BK368" s="2204">
        <f>+BK13/BN13</f>
        <v>0.23652166947047984</v>
      </c>
      <c r="BL368" s="2204">
        <f>+BL13/BN13</f>
        <v>0.25690939677962027</v>
      </c>
      <c r="BM368" s="2204">
        <f>+BM13/BN13</f>
        <v>0.27873908515581192</v>
      </c>
      <c r="BN368" s="2205">
        <f>SUM(BJ368:BM368)</f>
        <v>0.99999999999999989</v>
      </c>
      <c r="BO368" s="2204">
        <f>+BO13/BS13</f>
        <v>0.22838122857896123</v>
      </c>
      <c r="BP368" s="2204">
        <f>+BP13/BS13</f>
        <v>0.24044292117057739</v>
      </c>
      <c r="BQ368" s="2204">
        <f>+BQ13/BS13</f>
        <v>0.2551080938571052</v>
      </c>
      <c r="BR368" s="2204">
        <f>+BR13/BS13</f>
        <v>0.27606775639335618</v>
      </c>
      <c r="BS368" s="2205">
        <f>SUM(BO368:BR368)</f>
        <v>1</v>
      </c>
      <c r="BT368" s="2204">
        <f>+BT13/BX13</f>
        <v>0.24009978172747115</v>
      </c>
      <c r="BU368" s="2204">
        <f>+BU13/BX13</f>
        <v>0.24467311090323252</v>
      </c>
      <c r="BV368" s="2204">
        <f>+BV13/BX13</f>
        <v>0.24907320791324533</v>
      </c>
      <c r="BW368" s="2204">
        <f>+BW13/BX13</f>
        <v>0.27866126182309531</v>
      </c>
      <c r="BX368" s="2205">
        <f>SUM(BT368:BW368)</f>
        <v>1.0125073623670442</v>
      </c>
      <c r="BY368" s="2204">
        <f>+BY13/CC13</f>
        <v>0.23336629056647668</v>
      </c>
      <c r="BZ368" s="2204">
        <f>+BZ13/CC13</f>
        <v>0.23720483889728974</v>
      </c>
      <c r="CA368" s="2204">
        <f>+CA13/CC13</f>
        <v>0.25058159823194137</v>
      </c>
      <c r="CB368" s="2204">
        <f>+CB13/CC13</f>
        <v>0.27884727230429218</v>
      </c>
      <c r="CC368" s="2205">
        <f>SUM(BY368:CB368)</f>
        <v>1</v>
      </c>
      <c r="CD368" s="2204">
        <f>+CD13/CH13</f>
        <v>0.23310266658712642</v>
      </c>
      <c r="CE368" s="2204">
        <f>+CE13/CH13</f>
        <v>0.23599594344687705</v>
      </c>
      <c r="CF368" s="2204">
        <f>+CF13/CH13</f>
        <v>0.24891129272803197</v>
      </c>
      <c r="CG368" s="2204">
        <f>+CG13/CH13</f>
        <v>0.28199009723796459</v>
      </c>
      <c r="CH368" s="2205">
        <f>SUM(CD368:CG368)</f>
        <v>1</v>
      </c>
      <c r="CI368" s="2204">
        <f>+CI13/CM13</f>
        <v>0.23465641280079386</v>
      </c>
      <c r="CJ368" s="2204">
        <f>+CJ13/CM13</f>
        <v>0.24413296948647978</v>
      </c>
      <c r="CK368" s="2204">
        <f>+CK13/CM13</f>
        <v>0.2438104688662863</v>
      </c>
      <c r="CL368" s="2204">
        <f>+CL13/CM13</f>
        <v>0.2774001488464401</v>
      </c>
      <c r="CM368" s="2205">
        <f>SUM(CI368:CL368)</f>
        <v>1</v>
      </c>
      <c r="CN368" s="2204">
        <f>+CN13/CR13</f>
        <v>0.23282434596903365</v>
      </c>
      <c r="CO368" s="2204">
        <f>+CO13/CR13</f>
        <v>0.2379925253603844</v>
      </c>
      <c r="CP368" s="2204">
        <f>+CP13/CR13</f>
        <v>0.24854244527495994</v>
      </c>
      <c r="CQ368" s="2204">
        <f>+CQ13/CR13</f>
        <v>0.28064068339562198</v>
      </c>
      <c r="CR368" s="2205">
        <f>SUM(CN368:CQ368)</f>
        <v>1</v>
      </c>
      <c r="CS368" s="2204">
        <f>+CS13/CW13</f>
        <v>0.22869735553379039</v>
      </c>
      <c r="CT368" s="2204">
        <f>+CT13/CW13</f>
        <v>0.24250009068814163</v>
      </c>
      <c r="CU368" s="2204">
        <f>+CU13/CW13</f>
        <v>0.24942866470780281</v>
      </c>
      <c r="CV368" s="2204">
        <f>+CV13/CW13</f>
        <v>0.27937388907026517</v>
      </c>
      <c r="CW368" s="2205">
        <f>SUM(CS368:CV368)</f>
        <v>1</v>
      </c>
      <c r="CX368" s="2204"/>
      <c r="CY368" s="2204"/>
      <c r="CZ368" s="2204"/>
      <c r="DA368" s="2204"/>
      <c r="DB368" s="2205"/>
      <c r="DC368" s="2204"/>
      <c r="DD368" s="2204"/>
      <c r="DE368" s="2204"/>
      <c r="DF368" s="2204"/>
      <c r="DG368" s="2187"/>
      <c r="DH368" s="2204"/>
      <c r="DI368" s="2204"/>
      <c r="DJ368" s="2204"/>
      <c r="DK368" s="2204"/>
      <c r="DL368" s="2187"/>
      <c r="DM368" s="2204"/>
      <c r="DN368" s="2204"/>
      <c r="DO368" s="2204"/>
      <c r="DP368" s="2204"/>
      <c r="DQ368" s="2187"/>
      <c r="DR368" s="2204"/>
      <c r="DS368" s="2204"/>
      <c r="DT368" s="2204"/>
      <c r="DU368" s="2204"/>
      <c r="DV368" s="2187"/>
      <c r="DW368" s="2204"/>
      <c r="DX368" s="2204"/>
      <c r="DY368" s="2204"/>
      <c r="DZ368" s="2204"/>
      <c r="EA368" s="2187"/>
      <c r="EB368" s="2204"/>
      <c r="EC368" s="2204"/>
      <c r="ED368" s="2204"/>
      <c r="EE368" s="2204"/>
      <c r="EF368" s="2187"/>
      <c r="EG368" s="2204"/>
      <c r="EH368" s="2204"/>
      <c r="EI368" s="2204"/>
      <c r="EJ368" s="2204"/>
      <c r="EK368" s="2187"/>
      <c r="EL368" s="2204"/>
      <c r="EM368" s="2204"/>
      <c r="EN368" s="2204"/>
      <c r="EO368" s="2204"/>
      <c r="EP368" s="2187"/>
      <c r="EQ368" s="2204"/>
      <c r="ER368" s="2204"/>
      <c r="ES368" s="2204"/>
      <c r="ET368" s="2204"/>
      <c r="EU368" s="2187"/>
      <c r="EV368" s="2187"/>
      <c r="EW368" s="2187"/>
      <c r="EX368" s="2187"/>
      <c r="EY368" s="2187"/>
      <c r="EZ368" s="208"/>
      <c r="FA368" s="713"/>
      <c r="FB368" s="713"/>
      <c r="FC368" s="713"/>
      <c r="FD368" s="713"/>
      <c r="FE368" s="713"/>
      <c r="FF368" s="713"/>
      <c r="FG368" s="713"/>
      <c r="FH368" s="713"/>
      <c r="FI368" s="713"/>
      <c r="FJ368" s="713"/>
      <c r="FK368" s="713"/>
      <c r="FL368" s="713"/>
    </row>
    <row r="369" spans="1:168" s="31" customFormat="1" ht="11.25" hidden="1" customHeight="1">
      <c r="A369" s="3808" t="s">
        <v>187</v>
      </c>
      <c r="B369" s="1121"/>
      <c r="C369" s="1121"/>
      <c r="D369" s="1121"/>
      <c r="E369" s="1121"/>
      <c r="F369" s="1997"/>
      <c r="G369" s="1121"/>
      <c r="H369" s="1121"/>
      <c r="I369" s="1121"/>
      <c r="J369" s="1121"/>
      <c r="K369" s="1997"/>
      <c r="L369" s="2203"/>
      <c r="M369" s="2203"/>
      <c r="N369" s="2203"/>
      <c r="O369" s="2203"/>
      <c r="P369" s="1997"/>
      <c r="Q369" s="2204">
        <f>+Q15/U15</f>
        <v>0.19475242534962831</v>
      </c>
      <c r="R369" s="2204">
        <f>+R15/U15</f>
        <v>0.20338289026080381</v>
      </c>
      <c r="S369" s="2204">
        <f>+S15/U15</f>
        <v>0.28515182058712363</v>
      </c>
      <c r="T369" s="2204">
        <f>+T15/U15</f>
        <v>0.31671286380244423</v>
      </c>
      <c r="U369" s="2205">
        <f t="shared" si="1644"/>
        <v>1</v>
      </c>
      <c r="V369" s="2204">
        <f>+V15/Z15</f>
        <v>0.13707414390318762</v>
      </c>
      <c r="W369" s="2204">
        <f>+W15/Z15</f>
        <v>0.19173937826106019</v>
      </c>
      <c r="X369" s="2204">
        <f>+X15/Z15</f>
        <v>0.35925373788749065</v>
      </c>
      <c r="Y369" s="2204">
        <f>+Y15/Z15</f>
        <v>0.31193273994826148</v>
      </c>
      <c r="Z369" s="2205">
        <f t="shared" si="1645"/>
        <v>1</v>
      </c>
      <c r="AA369" s="2204">
        <f>+AA15/AE15</f>
        <v>0.15520404907105373</v>
      </c>
      <c r="AB369" s="2204">
        <f>+AB15/AE15</f>
        <v>0.20281697631541626</v>
      </c>
      <c r="AC369" s="2204">
        <f>+AC15/AE15</f>
        <v>0.25443642745709827</v>
      </c>
      <c r="AD369" s="2204">
        <f>+AD15/AE15</f>
        <v>0.38754254715643166</v>
      </c>
      <c r="AE369" s="2205">
        <f t="shared" si="1646"/>
        <v>0.99999999999999989</v>
      </c>
      <c r="AF369" s="2204">
        <f>+AF15/AJ15</f>
        <v>0.16408217745884618</v>
      </c>
      <c r="AG369" s="2204">
        <f>+AG15/AJ15</f>
        <v>0.19788543670463679</v>
      </c>
      <c r="AH369" s="2204">
        <f>+AH15/AJ15</f>
        <v>0.31348803765468192</v>
      </c>
      <c r="AI369" s="2204">
        <f>+AI15/AJ15</f>
        <v>0.32454434818183509</v>
      </c>
      <c r="AJ369" s="2205">
        <f t="shared" si="1647"/>
        <v>1</v>
      </c>
      <c r="AK369" s="2204">
        <f>+AK15/AO15</f>
        <v>0.18437195503573997</v>
      </c>
      <c r="AL369" s="2204">
        <f>+AL15/AO15</f>
        <v>0.22525483395547569</v>
      </c>
      <c r="AM369" s="2204">
        <f>+AM15/AO15</f>
        <v>0.26662118811649738</v>
      </c>
      <c r="AN369" s="2204">
        <f>+AN15/AO15</f>
        <v>0.32375202289228699</v>
      </c>
      <c r="AO369" s="2205">
        <f t="shared" si="1648"/>
        <v>1</v>
      </c>
      <c r="AP369" s="2204">
        <f>+AP15/AT15</f>
        <v>0.18552335096339614</v>
      </c>
      <c r="AQ369" s="2204">
        <f>+AQ15/AT15</f>
        <v>0.24198470771058825</v>
      </c>
      <c r="AR369" s="2204">
        <f>+AR15/AT15</f>
        <v>0.26968383936709811</v>
      </c>
      <c r="AS369" s="2204">
        <f>+AS15/AT15</f>
        <v>0.30280810195891733</v>
      </c>
      <c r="AT369" s="2205">
        <f t="shared" si="1649"/>
        <v>0.99999999999999978</v>
      </c>
      <c r="AU369" s="2204">
        <f>+AU15/AY15</f>
        <v>0.23256758507608549</v>
      </c>
      <c r="AV369" s="2204">
        <f>+AV15/AY15</f>
        <v>0.24016667532037736</v>
      </c>
      <c r="AW369" s="2204">
        <f>+AW15/AY15</f>
        <v>0.2597607790862943</v>
      </c>
      <c r="AX369" s="2204">
        <f>+AX15/AY15</f>
        <v>0.26750496051724282</v>
      </c>
      <c r="AY369" s="2205">
        <f t="shared" si="1650"/>
        <v>1</v>
      </c>
      <c r="AZ369" s="2204">
        <f>+AZ15/BD15</f>
        <v>0.22339583082469772</v>
      </c>
      <c r="BA369" s="2204">
        <f>+BA15/BD15</f>
        <v>0.24810913804460999</v>
      </c>
      <c r="BB369" s="2204">
        <f>+BB15/BD15</f>
        <v>0.26533691271364723</v>
      </c>
      <c r="BC369" s="2204">
        <f>+BC15/BD15</f>
        <v>0.26315811841704506</v>
      </c>
      <c r="BD369" s="2205">
        <f t="shared" si="1651"/>
        <v>1</v>
      </c>
      <c r="BE369" s="2206">
        <f>+BE15/BI15</f>
        <v>0.21620689655172415</v>
      </c>
      <c r="BF369" s="2204">
        <f>+BF15/BI15</f>
        <v>0.24</v>
      </c>
      <c r="BG369" s="2204">
        <f>+BG15/BI15</f>
        <v>0.25862068965517243</v>
      </c>
      <c r="BH369" s="2204">
        <f>+BH15/BI15</f>
        <v>0.28517241379310343</v>
      </c>
      <c r="BI369" s="2205">
        <f t="shared" si="1652"/>
        <v>1</v>
      </c>
      <c r="BJ369" s="2204">
        <f>+BJ15/BN15</f>
        <v>0.24116069251402097</v>
      </c>
      <c r="BK369" s="2204">
        <f>+BK15/BN15</f>
        <v>0.24067300658376006</v>
      </c>
      <c r="BL369" s="2204">
        <f>+BL15/BN15</f>
        <v>0.2665203608875884</v>
      </c>
      <c r="BM369" s="2204">
        <f>+BM15/BN15</f>
        <v>0.25164594001463059</v>
      </c>
      <c r="BN369" s="2205">
        <f t="shared" si="1653"/>
        <v>1</v>
      </c>
      <c r="BO369" s="2204">
        <f>+BO15/BS15</f>
        <v>0.21004230274048188</v>
      </c>
      <c r="BP369" s="2204">
        <f>+BP15/BS15</f>
        <v>0.2356078719882288</v>
      </c>
      <c r="BQ369" s="2204">
        <f>+BQ15/BS15</f>
        <v>0.28085341180798234</v>
      </c>
      <c r="BR369" s="2204">
        <f>+BR15/BS15</f>
        <v>0.273496413463307</v>
      </c>
      <c r="BS369" s="2205">
        <f t="shared" si="1654"/>
        <v>1</v>
      </c>
      <c r="BT369" s="2204">
        <f>+BT15/BX15</f>
        <v>0.23747140777708464</v>
      </c>
      <c r="BU369" s="2204">
        <f>+BU15/BX15</f>
        <v>0.24183822000415886</v>
      </c>
      <c r="BV369" s="2204">
        <f>+BV15/BX15</f>
        <v>0.24745269286754004</v>
      </c>
      <c r="BW369" s="2204">
        <f>+BW15/BX15</f>
        <v>0.27323767935121646</v>
      </c>
      <c r="BX369" s="2205">
        <f t="shared" si="1655"/>
        <v>1</v>
      </c>
      <c r="BY369" s="2204">
        <f>+BY15/CC15</f>
        <v>0.23623559539052497</v>
      </c>
      <c r="BZ369" s="2204">
        <f>+BZ15/CC15</f>
        <v>0.25064020486555699</v>
      </c>
      <c r="CA369" s="2204">
        <f>+CA15/CC15</f>
        <v>0.25032010243277847</v>
      </c>
      <c r="CB369" s="2204">
        <f>+CB15/CC15</f>
        <v>0.26280409731113957</v>
      </c>
      <c r="CC369" s="2205">
        <f t="shared" si="1656"/>
        <v>1</v>
      </c>
      <c r="CD369" s="2204">
        <f>+CD15/CH15</f>
        <v>0.23271470160116448</v>
      </c>
      <c r="CE369" s="2204">
        <f>+CE15/CH15</f>
        <v>0.24836244541484717</v>
      </c>
      <c r="CF369" s="2204">
        <f>+CF15/CH15</f>
        <v>0.25200145560407566</v>
      </c>
      <c r="CG369" s="2204">
        <f>+CG15/CH15</f>
        <v>0.26692139737991266</v>
      </c>
      <c r="CH369" s="2205">
        <f t="shared" si="1657"/>
        <v>1</v>
      </c>
      <c r="CI369" s="2204">
        <f>+CI15/CM15</f>
        <v>0.21881551362683438</v>
      </c>
      <c r="CJ369" s="2204">
        <f>+CJ15/CM15</f>
        <v>0.23466981132075471</v>
      </c>
      <c r="CK369" s="2204">
        <f>+CK15/CM15</f>
        <v>0.26061320754716982</v>
      </c>
      <c r="CL369" s="2204">
        <f>+CL15/CM15</f>
        <v>0.28590146750524109</v>
      </c>
      <c r="CM369" s="2205">
        <f t="shared" si="1658"/>
        <v>1</v>
      </c>
      <c r="CN369" s="2204">
        <f>+CN15/CR15</f>
        <v>0.22261557684298208</v>
      </c>
      <c r="CO369" s="2204">
        <f>+CO15/CR15</f>
        <v>0.22969596001665973</v>
      </c>
      <c r="CP369" s="2204">
        <f>+CP15/CR15</f>
        <v>0.25916284881299456</v>
      </c>
      <c r="CQ369" s="2204">
        <f>+CQ15/CR15</f>
        <v>0.28852561432736362</v>
      </c>
      <c r="CR369" s="2205">
        <f t="shared" si="1659"/>
        <v>1</v>
      </c>
      <c r="CS369" s="2204">
        <f>+CS15/CW15</f>
        <v>0.2469692698054694</v>
      </c>
      <c r="CT369" s="2204">
        <f>+CT15/CW15</f>
        <v>0.24659336528521755</v>
      </c>
      <c r="CU369" s="2204">
        <f>+CU15/CW15</f>
        <v>0.25129217178836577</v>
      </c>
      <c r="CV369" s="2204">
        <f>+CV15/CW15</f>
        <v>0.2551451931209473</v>
      </c>
      <c r="CW369" s="2205">
        <f t="shared" si="1660"/>
        <v>1</v>
      </c>
      <c r="CX369" s="2204"/>
      <c r="CY369" s="2204"/>
      <c r="CZ369" s="2204"/>
      <c r="DA369" s="2204"/>
      <c r="DB369" s="2205"/>
      <c r="DC369" s="2204"/>
      <c r="DD369" s="2204"/>
      <c r="DE369" s="2204"/>
      <c r="DF369" s="2204"/>
      <c r="DG369" s="2187"/>
      <c r="DH369" s="2204"/>
      <c r="DI369" s="2204"/>
      <c r="DJ369" s="2204"/>
      <c r="DK369" s="2204"/>
      <c r="DL369" s="2187"/>
      <c r="DM369" s="2204"/>
      <c r="DN369" s="2204"/>
      <c r="DO369" s="2204"/>
      <c r="DP369" s="2204"/>
      <c r="DQ369" s="2187"/>
      <c r="DR369" s="2204"/>
      <c r="DS369" s="2204"/>
      <c r="DT369" s="2204"/>
      <c r="DU369" s="2204"/>
      <c r="DV369" s="2187"/>
      <c r="DW369" s="2204"/>
      <c r="DX369" s="2204"/>
      <c r="DY369" s="2204"/>
      <c r="DZ369" s="2204"/>
      <c r="EA369" s="2187"/>
      <c r="EB369" s="2204"/>
      <c r="EC369" s="2204"/>
      <c r="ED369" s="2204"/>
      <c r="EE369" s="2204"/>
      <c r="EF369" s="2187"/>
      <c r="EG369" s="2204"/>
      <c r="EH369" s="2204"/>
      <c r="EI369" s="2204"/>
      <c r="EJ369" s="2204"/>
      <c r="EK369" s="2187"/>
      <c r="EL369" s="2204"/>
      <c r="EM369" s="2204"/>
      <c r="EN369" s="2204"/>
      <c r="EO369" s="2204"/>
      <c r="EP369" s="2187"/>
      <c r="EQ369" s="2204"/>
      <c r="ER369" s="2204"/>
      <c r="ES369" s="2204"/>
      <c r="ET369" s="2204"/>
      <c r="EU369" s="2187"/>
      <c r="EV369" s="2187"/>
      <c r="EW369" s="2187"/>
      <c r="EX369" s="2187"/>
      <c r="EY369" s="2187"/>
      <c r="EZ369" s="208"/>
      <c r="FA369" s="713"/>
      <c r="FB369" s="713"/>
      <c r="FC369" s="713"/>
      <c r="FD369" s="713"/>
      <c r="FE369" s="713"/>
      <c r="FF369" s="713"/>
      <c r="FG369" s="713"/>
      <c r="FH369" s="713"/>
      <c r="FI369" s="713"/>
      <c r="FJ369" s="713"/>
      <c r="FK369" s="713"/>
      <c r="FL369" s="713"/>
    </row>
    <row r="370" spans="1:168" s="31" customFormat="1" ht="11.25" hidden="1" customHeight="1">
      <c r="A370" s="3808" t="s">
        <v>47</v>
      </c>
      <c r="B370" s="1121"/>
      <c r="C370" s="1121"/>
      <c r="D370" s="1121"/>
      <c r="E370" s="1121"/>
      <c r="F370" s="1997"/>
      <c r="G370" s="1121"/>
      <c r="H370" s="1121"/>
      <c r="I370" s="1121"/>
      <c r="J370" s="1121"/>
      <c r="K370" s="1997"/>
      <c r="L370" s="2203"/>
      <c r="M370" s="2203"/>
      <c r="N370" s="2203"/>
      <c r="O370" s="2203"/>
      <c r="P370" s="1997"/>
      <c r="Q370" s="2204">
        <f>+Q18/U18</f>
        <v>0.16634358822322057</v>
      </c>
      <c r="R370" s="2204">
        <f>+R18/U18</f>
        <v>0.25487468357317156</v>
      </c>
      <c r="S370" s="2204">
        <f>+S18/U18</f>
        <v>0.26691600720654973</v>
      </c>
      <c r="T370" s="2204">
        <f>+T18/U18</f>
        <v>0.31186572099705806</v>
      </c>
      <c r="U370" s="2205">
        <f t="shared" si="1644"/>
        <v>1</v>
      </c>
      <c r="V370" s="2204">
        <f>+V18/Z18</f>
        <v>0.14765474370055182</v>
      </c>
      <c r="W370" s="2204">
        <f>+W18/Z18</f>
        <v>0.20628615118675619</v>
      </c>
      <c r="X370" s="2204">
        <f>+X18/Z18</f>
        <v>0.30396084036965632</v>
      </c>
      <c r="Y370" s="2204">
        <f>+Y18/Z18</f>
        <v>0.34209826474303573</v>
      </c>
      <c r="Z370" s="2205">
        <f t="shared" si="1645"/>
        <v>1</v>
      </c>
      <c r="AA370" s="2204">
        <f>+AA18/AE18</f>
        <v>0.19449451887941535</v>
      </c>
      <c r="AB370" s="2204">
        <f>+AB18/AE18</f>
        <v>0.23051969143321152</v>
      </c>
      <c r="AC370" s="2204">
        <f>+AC18/AE18</f>
        <v>0.26598457166057654</v>
      </c>
      <c r="AD370" s="2204">
        <f>+AD18/AE18</f>
        <v>0.30900121802679659</v>
      </c>
      <c r="AE370" s="2205">
        <f t="shared" si="1646"/>
        <v>1</v>
      </c>
      <c r="AF370" s="2204">
        <f>+AF18/AJ18</f>
        <v>0.18863831209734822</v>
      </c>
      <c r="AG370" s="2204">
        <f>+AG18/AJ18</f>
        <v>0.22063896702831895</v>
      </c>
      <c r="AH370" s="2204">
        <f>+AH18/AJ18</f>
        <v>0.23876782014867842</v>
      </c>
      <c r="AI370" s="2204">
        <f>+AI18/AJ18</f>
        <v>0.35195490072565444</v>
      </c>
      <c r="AJ370" s="2205">
        <f t="shared" si="1647"/>
        <v>1</v>
      </c>
      <c r="AK370" s="2204">
        <f>+AK18/AO18</f>
        <v>0.22150053978527562</v>
      </c>
      <c r="AL370" s="2204">
        <f>+AL18/AO18</f>
        <v>0.23048388301150827</v>
      </c>
      <c r="AM370" s="2204">
        <f>+AM18/AO18</f>
        <v>0.24337671443523784</v>
      </c>
      <c r="AN370" s="2204">
        <f>+AN18/AO18</f>
        <v>0.30463886276797841</v>
      </c>
      <c r="AO370" s="2205">
        <f t="shared" si="1648"/>
        <v>1</v>
      </c>
      <c r="AP370" s="2204">
        <f>+AP18/AT18</f>
        <v>0.2070517415008247</v>
      </c>
      <c r="AQ370" s="2204">
        <f>+AQ18/AT18</f>
        <v>0.24008125574878408</v>
      </c>
      <c r="AR370" s="2204">
        <f>+AR18/AT18</f>
        <v>0.26390970714387246</v>
      </c>
      <c r="AS370" s="2204">
        <f>+AS18/AT18</f>
        <v>0.28895729560651884</v>
      </c>
      <c r="AT370" s="2205">
        <f t="shared" si="1649"/>
        <v>1</v>
      </c>
      <c r="AU370" s="2204">
        <f>+AU18/AY18</f>
        <v>0.23233905520208892</v>
      </c>
      <c r="AV370" s="2204">
        <f>+AV18/AY18</f>
        <v>0.25396673071972342</v>
      </c>
      <c r="AW370" s="2204">
        <f>+AW18/AY18</f>
        <v>0.25531425839432159</v>
      </c>
      <c r="AX370" s="2204">
        <f>+AX18/AY18</f>
        <v>0.25837995568386596</v>
      </c>
      <c r="AY370" s="2205">
        <f t="shared" si="1650"/>
        <v>0.99999999999999989</v>
      </c>
      <c r="AZ370" s="2204">
        <f>+AZ18/BD18</f>
        <v>0.21388002432509831</v>
      </c>
      <c r="BA370" s="2204">
        <f>+BA18/BD18</f>
        <v>0.23489065685752133</v>
      </c>
      <c r="BB370" s="2204">
        <f>+BB18/BD18</f>
        <v>0.24847197992837103</v>
      </c>
      <c r="BC370" s="2204">
        <f>+BC18/BD18</f>
        <v>0.30275733888900935</v>
      </c>
      <c r="BD370" s="2205">
        <f t="shared" si="1651"/>
        <v>1</v>
      </c>
      <c r="BE370" s="2206">
        <f>+BE18/BI18</f>
        <v>0.21788810086682428</v>
      </c>
      <c r="BF370" s="2204">
        <f>+BF18/BI18</f>
        <v>0.22576832151300236</v>
      </c>
      <c r="BG370" s="2204">
        <f>+BG18/BI18</f>
        <v>0.23089046493301812</v>
      </c>
      <c r="BH370" s="2204">
        <f>+BH18/BI18</f>
        <v>0.32545311268715527</v>
      </c>
      <c r="BI370" s="2205">
        <f t="shared" si="1652"/>
        <v>1</v>
      </c>
      <c r="BJ370" s="2204">
        <f>+BJ18/BN18</f>
        <v>0.22421948912015138</v>
      </c>
      <c r="BK370" s="2204">
        <f>+BK18/BN18</f>
        <v>0.24053926206244086</v>
      </c>
      <c r="BL370" s="2204">
        <f>+BL18/BN18</f>
        <v>0.26017029328287605</v>
      </c>
      <c r="BM370" s="2204">
        <f>+BM18/BN18</f>
        <v>0.2750709555345317</v>
      </c>
      <c r="BN370" s="2205">
        <f t="shared" si="1653"/>
        <v>1</v>
      </c>
      <c r="BO370" s="2204">
        <f>+BO18/BS18</f>
        <v>0.20936048588781708</v>
      </c>
      <c r="BP370" s="2204">
        <f>+BP18/BS18</f>
        <v>0.23115398356555913</v>
      </c>
      <c r="BQ370" s="2204">
        <f>+BQ18/BS18</f>
        <v>0.27170418006430869</v>
      </c>
      <c r="BR370" s="2204">
        <f>+BR18/BS18</f>
        <v>0.28778135048231512</v>
      </c>
      <c r="BS370" s="2205">
        <f t="shared" si="1654"/>
        <v>1</v>
      </c>
      <c r="BT370" s="2204">
        <f>+BT18/BX18</f>
        <v>0.23360574048235996</v>
      </c>
      <c r="BU370" s="2204">
        <f>+BU18/BX18</f>
        <v>0.23619693043651585</v>
      </c>
      <c r="BV370" s="2204">
        <f>+BV18/BX18</f>
        <v>0.25094678094478773</v>
      </c>
      <c r="BW370" s="2204">
        <f>+BW18/BX18</f>
        <v>0.27925054813633643</v>
      </c>
      <c r="BX370" s="2205">
        <f t="shared" si="1655"/>
        <v>1</v>
      </c>
      <c r="BY370" s="2204">
        <f>+BY18/CC18</f>
        <v>0.21877807726864332</v>
      </c>
      <c r="BZ370" s="2204">
        <f>+BZ18/CC18</f>
        <v>0.23974243785564539</v>
      </c>
      <c r="CA370" s="2204">
        <f>+CA18/CC18</f>
        <v>0.24648098233003893</v>
      </c>
      <c r="CB370" s="2204">
        <f>+CB18/CC18</f>
        <v>0.29499850254567234</v>
      </c>
      <c r="CC370" s="2205">
        <f t="shared" si="1656"/>
        <v>1</v>
      </c>
      <c r="CD370" s="2204">
        <f>+CD18/CH18</f>
        <v>0.21942685771409531</v>
      </c>
      <c r="CE370" s="2204">
        <f>+CE18/CH18</f>
        <v>0.24291902699100301</v>
      </c>
      <c r="CF370" s="2204">
        <f>+CF18/CH18</f>
        <v>0.24541819393535488</v>
      </c>
      <c r="CG370" s="2204">
        <f>+CG18/CH18</f>
        <v>0.29223592135954679</v>
      </c>
      <c r="CH370" s="2205">
        <f t="shared" si="1657"/>
        <v>1</v>
      </c>
      <c r="CI370" s="2204">
        <f>+CI18/CM18</f>
        <v>0.2133225458468177</v>
      </c>
      <c r="CJ370" s="2204">
        <f>+CJ18/CM18</f>
        <v>0.24042610571736786</v>
      </c>
      <c r="CK370" s="2204">
        <f>+CK18/CM18</f>
        <v>0.25444983818770228</v>
      </c>
      <c r="CL370" s="2204">
        <f>+CL18/CM18</f>
        <v>0.29180151024811218</v>
      </c>
      <c r="CM370" s="2205">
        <f t="shared" si="1658"/>
        <v>1</v>
      </c>
      <c r="CN370" s="2204">
        <f>+CN18/CR18</f>
        <v>0.22805296714075526</v>
      </c>
      <c r="CO370" s="2204">
        <f>+CO18/CR18</f>
        <v>0.23099558607160373</v>
      </c>
      <c r="CP370" s="2204">
        <f>+CP18/CR18</f>
        <v>0.24190779794016676</v>
      </c>
      <c r="CQ370" s="2204">
        <f>+CQ18/CR18</f>
        <v>0.29904364884747425</v>
      </c>
      <c r="CR370" s="2205">
        <f t="shared" si="1659"/>
        <v>1</v>
      </c>
      <c r="CS370" s="2204">
        <f>+CS18/CW18</f>
        <v>0.22802168597852662</v>
      </c>
      <c r="CT370" s="2204">
        <f>+CT18/CW18</f>
        <v>0.23142340810035081</v>
      </c>
      <c r="CU370" s="2204">
        <f>+CU18/CW18</f>
        <v>0.2410970553842883</v>
      </c>
      <c r="CV370" s="2204">
        <f>+CV18/CW18</f>
        <v>0.29945785053683427</v>
      </c>
      <c r="CW370" s="2205">
        <f t="shared" si="1660"/>
        <v>1</v>
      </c>
      <c r="CX370" s="2204"/>
      <c r="CY370" s="2204"/>
      <c r="CZ370" s="2204"/>
      <c r="DA370" s="2204"/>
      <c r="DB370" s="2205"/>
      <c r="DC370" s="2204"/>
      <c r="DD370" s="2204"/>
      <c r="DE370" s="2204"/>
      <c r="DF370" s="2204"/>
      <c r="DG370" s="2187"/>
      <c r="DH370" s="2204"/>
      <c r="DI370" s="2204"/>
      <c r="DJ370" s="2204"/>
      <c r="DK370" s="2204"/>
      <c r="DL370" s="2187"/>
      <c r="DM370" s="2204"/>
      <c r="DN370" s="2204"/>
      <c r="DO370" s="2204"/>
      <c r="DP370" s="2204"/>
      <c r="DQ370" s="2187"/>
      <c r="DR370" s="2204"/>
      <c r="DS370" s="2204"/>
      <c r="DT370" s="2204"/>
      <c r="DU370" s="2204"/>
      <c r="DV370" s="2187"/>
      <c r="DW370" s="2204"/>
      <c r="DX370" s="2204"/>
      <c r="DY370" s="2204"/>
      <c r="DZ370" s="2204"/>
      <c r="EA370" s="2187"/>
      <c r="EB370" s="2204"/>
      <c r="EC370" s="2204"/>
      <c r="ED370" s="2204"/>
      <c r="EE370" s="2204"/>
      <c r="EF370" s="2187"/>
      <c r="EG370" s="2204"/>
      <c r="EH370" s="2204"/>
      <c r="EI370" s="2204"/>
      <c r="EJ370" s="2204"/>
      <c r="EK370" s="2187"/>
      <c r="EL370" s="2204"/>
      <c r="EM370" s="2204"/>
      <c r="EN370" s="2204"/>
      <c r="EO370" s="2204"/>
      <c r="EP370" s="2187"/>
      <c r="EQ370" s="2204"/>
      <c r="ER370" s="2204"/>
      <c r="ES370" s="2204"/>
      <c r="ET370" s="2204"/>
      <c r="EU370" s="2187"/>
      <c r="EV370" s="2187"/>
      <c r="EW370" s="2187"/>
      <c r="EX370" s="2187"/>
      <c r="EY370" s="2187"/>
      <c r="EZ370" s="208"/>
      <c r="FA370" s="713"/>
      <c r="FB370" s="713"/>
      <c r="FC370" s="713"/>
      <c r="FD370" s="713"/>
      <c r="FE370" s="713"/>
      <c r="FF370" s="713"/>
      <c r="FG370" s="713"/>
      <c r="FH370" s="713"/>
      <c r="FI370" s="713"/>
      <c r="FJ370" s="713"/>
      <c r="FK370" s="713"/>
      <c r="FL370" s="713"/>
    </row>
    <row r="371" spans="1:168" s="31" customFormat="1" ht="11.25" hidden="1" customHeight="1">
      <c r="A371" s="3808" t="s">
        <v>51</v>
      </c>
      <c r="B371" s="1121"/>
      <c r="C371" s="1121"/>
      <c r="D371" s="1121"/>
      <c r="E371" s="1121"/>
      <c r="F371" s="1997"/>
      <c r="G371" s="1121"/>
      <c r="H371" s="1121"/>
      <c r="I371" s="1121"/>
      <c r="J371" s="1121"/>
      <c r="K371" s="1997"/>
      <c r="L371" s="2203"/>
      <c r="M371" s="2203"/>
      <c r="N371" s="2203"/>
      <c r="O371" s="2203"/>
      <c r="P371" s="1997"/>
      <c r="Q371" s="2204">
        <f>+Q21/U21</f>
        <v>0.17016460905349795</v>
      </c>
      <c r="R371" s="2204">
        <f>+R21/U21</f>
        <v>0.23263374485596708</v>
      </c>
      <c r="S371" s="2204">
        <f>+S21/U21</f>
        <v>0.3009465020576132</v>
      </c>
      <c r="T371" s="2204">
        <f>+T21/U21</f>
        <v>0.29625514403292186</v>
      </c>
      <c r="U371" s="2205">
        <f t="shared" si="1644"/>
        <v>1</v>
      </c>
      <c r="V371" s="2204">
        <f>+V21/Z21</f>
        <v>0.17684615248946189</v>
      </c>
      <c r="W371" s="2204">
        <f>+W21/Z21</f>
        <v>0.22107973685602922</v>
      </c>
      <c r="X371" s="2204">
        <f>+X21/Z21</f>
        <v>0.24432529674244696</v>
      </c>
      <c r="Y371" s="2204">
        <f>+Y21/Z21</f>
        <v>0.35774881391206192</v>
      </c>
      <c r="Z371" s="2205">
        <f t="shared" si="1645"/>
        <v>1</v>
      </c>
      <c r="AA371" s="2204">
        <f>+AA21/AE21</f>
        <v>0.15394416607015032</v>
      </c>
      <c r="AB371" s="2204">
        <f>+AB21/AE21</f>
        <v>0.18308518253400147</v>
      </c>
      <c r="AC371" s="2204">
        <f>+AC21/AE21</f>
        <v>0.29186828919112384</v>
      </c>
      <c r="AD371" s="2204">
        <f>+AD21/AE21</f>
        <v>0.37110236220472448</v>
      </c>
      <c r="AE371" s="2205">
        <f t="shared" si="1646"/>
        <v>1</v>
      </c>
      <c r="AF371" s="2204">
        <f>+AF21/AJ21</f>
        <v>0.17076741862857653</v>
      </c>
      <c r="AG371" s="2204">
        <f>+AG21/AJ21</f>
        <v>0.21341603423340139</v>
      </c>
      <c r="AH371" s="2204">
        <f>+AH21/AJ21</f>
        <v>0.27563852152261104</v>
      </c>
      <c r="AI371" s="2204">
        <f>+AI21/AJ21</f>
        <v>0.34017802561541094</v>
      </c>
      <c r="AJ371" s="2205">
        <f t="shared" si="1647"/>
        <v>1</v>
      </c>
      <c r="AK371" s="2204">
        <f>+AK21/AO21</f>
        <v>0.22186450720916454</v>
      </c>
      <c r="AL371" s="2204">
        <f>+AL21/AO21</f>
        <v>0.2289004694693022</v>
      </c>
      <c r="AM371" s="2204">
        <f>+AM21/AO21</f>
        <v>0.25628769808110119</v>
      </c>
      <c r="AN371" s="2204">
        <f>+AN21/AO21</f>
        <v>0.2929473252404321</v>
      </c>
      <c r="AO371" s="2205">
        <f t="shared" si="1648"/>
        <v>1</v>
      </c>
      <c r="AP371" s="2204">
        <f>+AP21/AT21</f>
        <v>0.20272009534791058</v>
      </c>
      <c r="AQ371" s="2204">
        <f>+AQ21/AT21</f>
        <v>0.24586996152937485</v>
      </c>
      <c r="AR371" s="2204">
        <f>+AR21/AT21</f>
        <v>0.2539255200234139</v>
      </c>
      <c r="AS371" s="2204">
        <f>+AS21/AT21</f>
        <v>0.29748442309930079</v>
      </c>
      <c r="AT371" s="2205">
        <f t="shared" si="1649"/>
        <v>1</v>
      </c>
      <c r="AU371" s="2204">
        <f>+AU21/AY21</f>
        <v>0.22497204765161183</v>
      </c>
      <c r="AV371" s="2204">
        <f>+AV21/AY21</f>
        <v>0.26546220463584969</v>
      </c>
      <c r="AW371" s="2204">
        <f>+AW21/AY21</f>
        <v>0.28359168580778532</v>
      </c>
      <c r="AX371" s="2204">
        <f>+AX21/AY21</f>
        <v>0.22597406190475333</v>
      </c>
      <c r="AY371" s="2205">
        <f t="shared" si="1650"/>
        <v>1</v>
      </c>
      <c r="AZ371" s="2204">
        <f>+AZ21/BD21</f>
        <v>0.27275840738272672</v>
      </c>
      <c r="BA371" s="2204">
        <f>+BA21/BD21</f>
        <v>0.2153065206829447</v>
      </c>
      <c r="BB371" s="2204">
        <f>+BB21/BD21</f>
        <v>0.22884182943373785</v>
      </c>
      <c r="BC371" s="2204">
        <f>+BC21/BD21</f>
        <v>0.2830932425005907</v>
      </c>
      <c r="BD371" s="2205">
        <f t="shared" si="1651"/>
        <v>1</v>
      </c>
      <c r="BE371" s="2206">
        <f>+BE21/BI21</f>
        <v>0.20845070422535211</v>
      </c>
      <c r="BF371" s="2204">
        <f>+BF21/BI21</f>
        <v>0.23549295774647888</v>
      </c>
      <c r="BG371" s="2204">
        <f>+BG21/BI21</f>
        <v>0.26985915492957746</v>
      </c>
      <c r="BH371" s="2204">
        <f>+BH21/BI21</f>
        <v>0.28619718309859155</v>
      </c>
      <c r="BI371" s="2205">
        <f t="shared" si="1652"/>
        <v>1</v>
      </c>
      <c r="BJ371" s="2204">
        <f>+BJ21/BN21</f>
        <v>0.21602643535729038</v>
      </c>
      <c r="BK371" s="2204">
        <f>+BK21/BN21</f>
        <v>0.24163568773234201</v>
      </c>
      <c r="BL371" s="2204">
        <f>+BL21/BN21</f>
        <v>0.24452705493597687</v>
      </c>
      <c r="BM371" s="2204">
        <f>+BM21/BN21</f>
        <v>0.29781082197439074</v>
      </c>
      <c r="BN371" s="2205">
        <f t="shared" si="1653"/>
        <v>1</v>
      </c>
      <c r="BO371" s="2204">
        <f>+BO21/BS21</f>
        <v>0.20077797725912627</v>
      </c>
      <c r="BP371" s="2204">
        <f>+BP21/BS21</f>
        <v>0.23070017953321365</v>
      </c>
      <c r="BQ371" s="2204">
        <f>+BQ21/BS21</f>
        <v>0.26720526630760022</v>
      </c>
      <c r="BR371" s="2204">
        <f>+BR21/BS21</f>
        <v>0.30131657690005986</v>
      </c>
      <c r="BS371" s="2205">
        <f t="shared" si="1654"/>
        <v>1</v>
      </c>
      <c r="BT371" s="2204">
        <f>+BT21/BX21</f>
        <v>0.21715210355987055</v>
      </c>
      <c r="BU371" s="2204">
        <f>+BU21/BX21</f>
        <v>0.23495145631067962</v>
      </c>
      <c r="BV371" s="2204">
        <f>+BV21/BX21</f>
        <v>0.25533980582524274</v>
      </c>
      <c r="BW371" s="2204">
        <f>+BW21/BX21</f>
        <v>0.29255663430420714</v>
      </c>
      <c r="BX371" s="2205">
        <f t="shared" si="1655"/>
        <v>1</v>
      </c>
      <c r="BY371" s="2204">
        <f>+BY21/CC21</f>
        <v>0.23581190641649294</v>
      </c>
      <c r="BZ371" s="2204">
        <f>+BZ21/CC21</f>
        <v>0.2511003011350475</v>
      </c>
      <c r="CA371" s="2204">
        <f>+CA21/CC21</f>
        <v>0.24947880472550382</v>
      </c>
      <c r="CB371" s="2204">
        <f>+CB21/CC21</f>
        <v>0.26360898772295577</v>
      </c>
      <c r="CC371" s="2205">
        <f t="shared" si="1656"/>
        <v>1</v>
      </c>
      <c r="CD371" s="2204">
        <f>+CD21/CH21</f>
        <v>0.23065288631207462</v>
      </c>
      <c r="CE371" s="2204">
        <f>+CE21/CH21</f>
        <v>0.24981094025712125</v>
      </c>
      <c r="CF371" s="2204">
        <f>+CF21/CH21</f>
        <v>0.25283589614318125</v>
      </c>
      <c r="CG371" s="2204">
        <f>+CG21/CH21</f>
        <v>0.26670027728762291</v>
      </c>
      <c r="CH371" s="2205">
        <f t="shared" si="1657"/>
        <v>1</v>
      </c>
      <c r="CI371" s="2204">
        <f>+CI21/CM21</f>
        <v>0.2629730784237222</v>
      </c>
      <c r="CJ371" s="2204">
        <f>+CJ21/CM21</f>
        <v>0.23975809598127196</v>
      </c>
      <c r="CK371" s="2204">
        <f>+CK21/CM21</f>
        <v>0.22278579789309402</v>
      </c>
      <c r="CL371" s="2204">
        <f>+CL21/CM21</f>
        <v>0.2744830277019118</v>
      </c>
      <c r="CM371" s="2205">
        <f t="shared" si="1658"/>
        <v>1</v>
      </c>
      <c r="CN371" s="2204">
        <f>+CN21/CR21</f>
        <v>0.26639035418236623</v>
      </c>
      <c r="CO371" s="2204">
        <f>+CO21/CR21</f>
        <v>0.23737754333082139</v>
      </c>
      <c r="CP371" s="2204">
        <f>+CP21/CR21</f>
        <v>0.23869630746043707</v>
      </c>
      <c r="CQ371" s="2204">
        <f>+CQ21/CR21</f>
        <v>0.2575357950263753</v>
      </c>
      <c r="CR371" s="2205">
        <f t="shared" si="1659"/>
        <v>1</v>
      </c>
      <c r="CS371" s="2204">
        <f>+CS21/CW21</f>
        <v>0.2130837912087912</v>
      </c>
      <c r="CT371" s="2204">
        <f>+CT21/CW21</f>
        <v>0.23231456043956045</v>
      </c>
      <c r="CU371" s="2204">
        <f>+CU21/CW21</f>
        <v>0.25892857142857145</v>
      </c>
      <c r="CV371" s="2204">
        <f>+CV21/CW21</f>
        <v>0.29567307692307693</v>
      </c>
      <c r="CW371" s="2205">
        <f t="shared" si="1660"/>
        <v>1</v>
      </c>
      <c r="CX371" s="2204"/>
      <c r="CY371" s="2204"/>
      <c r="CZ371" s="2204"/>
      <c r="DA371" s="2204"/>
      <c r="DB371" s="2205"/>
      <c r="DC371" s="2204"/>
      <c r="DD371" s="2204"/>
      <c r="DE371" s="2204"/>
      <c r="DF371" s="2204"/>
      <c r="DG371" s="2187"/>
      <c r="DH371" s="2204"/>
      <c r="DI371" s="2204"/>
      <c r="DJ371" s="2204"/>
      <c r="DK371" s="2204"/>
      <c r="DL371" s="2187"/>
      <c r="DM371" s="2204"/>
      <c r="DN371" s="2204"/>
      <c r="DO371" s="2204"/>
      <c r="DP371" s="2204"/>
      <c r="DQ371" s="2187"/>
      <c r="DR371" s="2204"/>
      <c r="DS371" s="2204"/>
      <c r="DT371" s="2204"/>
      <c r="DU371" s="2204"/>
      <c r="DV371" s="2187"/>
      <c r="DW371" s="2204"/>
      <c r="DX371" s="2204"/>
      <c r="DY371" s="2204"/>
      <c r="DZ371" s="2204"/>
      <c r="EA371" s="2187"/>
      <c r="EB371" s="2204"/>
      <c r="EC371" s="2204"/>
      <c r="ED371" s="2204"/>
      <c r="EE371" s="2204"/>
      <c r="EF371" s="2187"/>
      <c r="EG371" s="2204"/>
      <c r="EH371" s="2204"/>
      <c r="EI371" s="2204"/>
      <c r="EJ371" s="2204"/>
      <c r="EK371" s="2187"/>
      <c r="EL371" s="2204"/>
      <c r="EM371" s="2204"/>
      <c r="EN371" s="2204"/>
      <c r="EO371" s="2204"/>
      <c r="EP371" s="2187"/>
      <c r="EQ371" s="2204"/>
      <c r="ER371" s="2204"/>
      <c r="ES371" s="2204"/>
      <c r="ET371" s="2204"/>
      <c r="EU371" s="2187"/>
      <c r="EV371" s="2187"/>
      <c r="EW371" s="2187"/>
      <c r="EX371" s="2187"/>
      <c r="EY371" s="2187"/>
      <c r="EZ371" s="208"/>
      <c r="FA371" s="713"/>
      <c r="FB371" s="713"/>
      <c r="FC371" s="713"/>
      <c r="FD371" s="713"/>
      <c r="FE371" s="713"/>
      <c r="FF371" s="713"/>
      <c r="FG371" s="713"/>
      <c r="FH371" s="713"/>
      <c r="FI371" s="713"/>
      <c r="FJ371" s="713"/>
      <c r="FK371" s="713"/>
      <c r="FL371" s="713"/>
    </row>
    <row r="372" spans="1:168" s="31" customFormat="1" ht="11.25" hidden="1" customHeight="1">
      <c r="A372" s="3808" t="s">
        <v>53</v>
      </c>
      <c r="B372" s="1121"/>
      <c r="C372" s="1121"/>
      <c r="D372" s="1121"/>
      <c r="E372" s="1121"/>
      <c r="F372" s="1997"/>
      <c r="G372" s="1121"/>
      <c r="H372" s="1121"/>
      <c r="I372" s="1121"/>
      <c r="J372" s="1121"/>
      <c r="K372" s="1997"/>
      <c r="L372" s="2203"/>
      <c r="M372" s="2203"/>
      <c r="N372" s="2203"/>
      <c r="O372" s="2203"/>
      <c r="P372" s="1997"/>
      <c r="Q372" s="2204">
        <f>+Q24/U24</f>
        <v>0.17443956551883522</v>
      </c>
      <c r="R372" s="2204">
        <f>+R24/U24</f>
        <v>0.17263693089900622</v>
      </c>
      <c r="S372" s="2204">
        <f>+S24/U24</f>
        <v>0.28574069794314766</v>
      </c>
      <c r="T372" s="2204">
        <f>+T24/U24</f>
        <v>0.36718280563901085</v>
      </c>
      <c r="U372" s="2205">
        <f t="shared" si="1644"/>
        <v>0.99999999999999989</v>
      </c>
      <c r="V372" s="2204">
        <f>+V24/Z24</f>
        <v>0.15878026342752255</v>
      </c>
      <c r="W372" s="2204">
        <f>+W24/Z24</f>
        <v>0.14895732055580505</v>
      </c>
      <c r="X372" s="2204">
        <f>+X24/Z24</f>
        <v>0.32173734854661429</v>
      </c>
      <c r="Y372" s="2204">
        <f>+Y24/Z24</f>
        <v>0.37052506747005809</v>
      </c>
      <c r="Z372" s="2205">
        <f t="shared" si="1645"/>
        <v>1</v>
      </c>
      <c r="AA372" s="2204">
        <f>+AA24/AE24</f>
        <v>0.27434653770816442</v>
      </c>
      <c r="AB372" s="2204">
        <f>+AB24/AE24</f>
        <v>0.26820474553894946</v>
      </c>
      <c r="AC372" s="2204">
        <f>+AC24/AE24</f>
        <v>0.24388152655105363</v>
      </c>
      <c r="AD372" s="2204">
        <f>+AD24/AE24</f>
        <v>0.21356719020183251</v>
      </c>
      <c r="AE372" s="2205">
        <f t="shared" si="1646"/>
        <v>1</v>
      </c>
      <c r="AF372" s="2204">
        <f>+AF24/AJ24</f>
        <v>0.24367738206748113</v>
      </c>
      <c r="AG372" s="2204">
        <f>+AG24/AJ24</f>
        <v>0.23585507304143333</v>
      </c>
      <c r="AH372" s="2204">
        <f>+AH24/AJ24</f>
        <v>0.23072323973135103</v>
      </c>
      <c r="AI372" s="2204">
        <f>+AI24/AJ24</f>
        <v>0.28974430515973454</v>
      </c>
      <c r="AJ372" s="2205">
        <f t="shared" si="1647"/>
        <v>1</v>
      </c>
      <c r="AK372" s="2204">
        <f>+AK24/AO24</f>
        <v>0.25030342719930143</v>
      </c>
      <c r="AL372" s="2204">
        <f>+AL24/AO24</f>
        <v>0.23826457105435495</v>
      </c>
      <c r="AM372" s="2204">
        <f>+AM24/AO24</f>
        <v>0.21798733900895001</v>
      </c>
      <c r="AN372" s="2204">
        <f>+AN24/AO24</f>
        <v>0.29344466273739356</v>
      </c>
      <c r="AO372" s="2205">
        <f t="shared" si="1648"/>
        <v>0.99999999999999989</v>
      </c>
      <c r="AP372" s="2204">
        <f>+AP24/AT24</f>
        <v>0.21166965599335055</v>
      </c>
      <c r="AQ372" s="2204">
        <f>+AQ24/AT24</f>
        <v>0.2780465229794416</v>
      </c>
      <c r="AR372" s="2204">
        <f>+AR24/AT24</f>
        <v>0.22789030283913128</v>
      </c>
      <c r="AS372" s="2204">
        <f>+AS24/AT24</f>
        <v>0.28239351818807662</v>
      </c>
      <c r="AT372" s="2205">
        <f t="shared" si="1649"/>
        <v>1</v>
      </c>
      <c r="AU372" s="2204">
        <f>+AU24/AY24</f>
        <v>0.25074792411986074</v>
      </c>
      <c r="AV372" s="2204">
        <f>+AV24/AY24</f>
        <v>0.24360089518703015</v>
      </c>
      <c r="AW372" s="2204">
        <f>+AW24/AY24</f>
        <v>0.25008707176320771</v>
      </c>
      <c r="AX372" s="2204">
        <f>+AX24/AY24</f>
        <v>0.25556410892990139</v>
      </c>
      <c r="AY372" s="2205">
        <f t="shared" si="1650"/>
        <v>1</v>
      </c>
      <c r="AZ372" s="2204">
        <f>+AZ24/BD24</f>
        <v>0.2383763983457812</v>
      </c>
      <c r="BA372" s="2204">
        <f>+BA24/BD24</f>
        <v>0.25176667061837338</v>
      </c>
      <c r="BB372" s="2204">
        <f>+BB24/BD24</f>
        <v>0.27277686430354603</v>
      </c>
      <c r="BC372" s="2204">
        <f>+BC24/BD24</f>
        <v>0.23708006673229934</v>
      </c>
      <c r="BD372" s="2205">
        <f t="shared" si="1651"/>
        <v>0.99999999999999989</v>
      </c>
      <c r="BE372" s="2206">
        <f>+BE24/BI24</f>
        <v>0.21148255813953487</v>
      </c>
      <c r="BF372" s="2204">
        <f>+BF24/BI24</f>
        <v>0.2245639534883721</v>
      </c>
      <c r="BG372" s="2204">
        <f>+BG24/BI24</f>
        <v>0.27616279069767441</v>
      </c>
      <c r="BH372" s="2204">
        <f>+BH24/BI24</f>
        <v>0.28779069767441862</v>
      </c>
      <c r="BI372" s="2205">
        <f t="shared" si="1652"/>
        <v>1</v>
      </c>
      <c r="BJ372" s="2204">
        <f>+BJ24/BN24</f>
        <v>0.21884498480243161</v>
      </c>
      <c r="BK372" s="2204">
        <f>+BK24/BN24</f>
        <v>0.22036474164133737</v>
      </c>
      <c r="BL372" s="2204">
        <f>+BL24/BN24</f>
        <v>0.28926038500506585</v>
      </c>
      <c r="BM372" s="2204">
        <f>+BM24/BN24</f>
        <v>0.27152988855116517</v>
      </c>
      <c r="BN372" s="2205">
        <f t="shared" si="1653"/>
        <v>1</v>
      </c>
      <c r="BO372" s="2204">
        <f>+BO24/BS24</f>
        <v>0.17134052388289678</v>
      </c>
      <c r="BP372" s="2204">
        <f>+BP24/BS24</f>
        <v>0.23020030816640985</v>
      </c>
      <c r="BQ372" s="2204">
        <f>+BQ24/BS24</f>
        <v>0.32788906009244995</v>
      </c>
      <c r="BR372" s="2204">
        <f>+BR24/BS24</f>
        <v>0.27057010785824342</v>
      </c>
      <c r="BS372" s="2205">
        <f t="shared" si="1654"/>
        <v>1</v>
      </c>
      <c r="BT372" s="2204">
        <f>+BT24/BX24</f>
        <v>0.22482814395471087</v>
      </c>
      <c r="BU372" s="2204">
        <f>+BU24/BX24</f>
        <v>0.22321067529316618</v>
      </c>
      <c r="BV372" s="2204">
        <f>+BV24/BX24</f>
        <v>0.2782046097856854</v>
      </c>
      <c r="BW372" s="2204">
        <f>+BW24/BX24</f>
        <v>0.27375657096643752</v>
      </c>
      <c r="BX372" s="2205">
        <f t="shared" si="1655"/>
        <v>1</v>
      </c>
      <c r="BY372" s="2204">
        <f>+BY24/CC24</f>
        <v>0.18653664674425921</v>
      </c>
      <c r="BZ372" s="2204">
        <f>+BZ24/CC24</f>
        <v>0.24630386914123939</v>
      </c>
      <c r="CA372" s="2204">
        <f>+CA24/CC24</f>
        <v>0.27870399496697074</v>
      </c>
      <c r="CB372" s="2204">
        <f>+CB24/CC24</f>
        <v>0.28845548914753066</v>
      </c>
      <c r="CC372" s="2205">
        <f t="shared" si="1656"/>
        <v>1</v>
      </c>
      <c r="CD372" s="2204">
        <f>+CD24/CH24</f>
        <v>0.20946594179724976</v>
      </c>
      <c r="CE372" s="2204">
        <f>+CE24/CH24</f>
        <v>0.23760793092420851</v>
      </c>
      <c r="CF372" s="2204">
        <f>+CF24/CH24</f>
        <v>0.27374480332587142</v>
      </c>
      <c r="CG372" s="2204">
        <f>+CG24/CH24</f>
        <v>0.27918132395267031</v>
      </c>
      <c r="CH372" s="2205">
        <f t="shared" si="1657"/>
        <v>1</v>
      </c>
      <c r="CI372" s="2204">
        <f>+CI24/CM24</f>
        <v>0.20095808383233532</v>
      </c>
      <c r="CJ372" s="2204">
        <f>+CJ24/CM24</f>
        <v>0.21077844311377245</v>
      </c>
      <c r="CK372" s="2204">
        <f>+CK24/CM24</f>
        <v>0.30059880239520959</v>
      </c>
      <c r="CL372" s="2204">
        <f>+CL24/CM24</f>
        <v>0.28766467065868262</v>
      </c>
      <c r="CM372" s="2205">
        <f t="shared" si="1658"/>
        <v>0.99999999999999989</v>
      </c>
      <c r="CN372" s="2204">
        <f>+CN24/CR24</f>
        <v>0.23121276186815298</v>
      </c>
      <c r="CO372" s="2204">
        <f>+CO24/CR24</f>
        <v>0.21756678839131272</v>
      </c>
      <c r="CP372" s="2204">
        <f>+CP24/CR24</f>
        <v>0.2752258312512012</v>
      </c>
      <c r="CQ372" s="2204">
        <f>+CQ24/CR24</f>
        <v>0.2759946184893331</v>
      </c>
      <c r="CR372" s="2205">
        <f t="shared" si="1659"/>
        <v>1</v>
      </c>
      <c r="CS372" s="2204">
        <f>+CS24/CW24</f>
        <v>0.2228852752498881</v>
      </c>
      <c r="CT372" s="2204">
        <f>+CT24/CW24</f>
        <v>0.22422795763091152</v>
      </c>
      <c r="CU372" s="2204">
        <f>+CU24/CW24</f>
        <v>0.27748769207817398</v>
      </c>
      <c r="CV372" s="2204">
        <f>+CV24/CW24</f>
        <v>0.2753990750410264</v>
      </c>
      <c r="CW372" s="2205">
        <f t="shared" si="1660"/>
        <v>1</v>
      </c>
      <c r="CX372" s="2204"/>
      <c r="CY372" s="2204"/>
      <c r="CZ372" s="2204"/>
      <c r="DA372" s="2204"/>
      <c r="DB372" s="2205"/>
      <c r="DC372" s="2204"/>
      <c r="DD372" s="2204"/>
      <c r="DE372" s="2204"/>
      <c r="DF372" s="2204"/>
      <c r="DG372" s="2187"/>
      <c r="DH372" s="2204"/>
      <c r="DI372" s="2204"/>
      <c r="DJ372" s="2204"/>
      <c r="DK372" s="2204"/>
      <c r="DL372" s="2187"/>
      <c r="DM372" s="2204"/>
      <c r="DN372" s="2204"/>
      <c r="DO372" s="2204"/>
      <c r="DP372" s="2204"/>
      <c r="DQ372" s="2187"/>
      <c r="DR372" s="2204"/>
      <c r="DS372" s="2204"/>
      <c r="DT372" s="2204"/>
      <c r="DU372" s="2204"/>
      <c r="DV372" s="2187"/>
      <c r="DW372" s="2204"/>
      <c r="DX372" s="2204"/>
      <c r="DY372" s="2204"/>
      <c r="DZ372" s="2204"/>
      <c r="EA372" s="2187"/>
      <c r="EB372" s="2204"/>
      <c r="EC372" s="2204"/>
      <c r="ED372" s="2204"/>
      <c r="EE372" s="2204"/>
      <c r="EF372" s="2187"/>
      <c r="EG372" s="2204"/>
      <c r="EH372" s="2204"/>
      <c r="EI372" s="2204"/>
      <c r="EJ372" s="2204"/>
      <c r="EK372" s="2187"/>
      <c r="EL372" s="2204"/>
      <c r="EM372" s="2204"/>
      <c r="EN372" s="2204"/>
      <c r="EO372" s="2204"/>
      <c r="EP372" s="2187"/>
      <c r="EQ372" s="2204"/>
      <c r="ER372" s="2204"/>
      <c r="ES372" s="2204"/>
      <c r="ET372" s="2204"/>
      <c r="EU372" s="2187"/>
      <c r="EV372" s="2187"/>
      <c r="EW372" s="2187"/>
      <c r="EX372" s="2187"/>
      <c r="EY372" s="2187"/>
      <c r="EZ372" s="208"/>
      <c r="FA372" s="713"/>
      <c r="FB372" s="713"/>
      <c r="FC372" s="713"/>
      <c r="FD372" s="713"/>
      <c r="FE372" s="713"/>
      <c r="FF372" s="713"/>
      <c r="FG372" s="713"/>
      <c r="FH372" s="713"/>
      <c r="FI372" s="713"/>
      <c r="FJ372" s="713"/>
      <c r="FK372" s="713"/>
      <c r="FL372" s="713"/>
    </row>
    <row r="373" spans="1:168" s="31" customFormat="1" ht="11.25" hidden="1" customHeight="1">
      <c r="A373" s="3801" t="s">
        <v>561</v>
      </c>
      <c r="B373" s="1121"/>
      <c r="C373" s="1121"/>
      <c r="D373" s="1121"/>
      <c r="E373" s="1121"/>
      <c r="F373" s="1997"/>
      <c r="G373" s="1121"/>
      <c r="H373" s="1121"/>
      <c r="I373" s="1121"/>
      <c r="J373" s="1121"/>
      <c r="K373" s="1997"/>
      <c r="L373" s="2203"/>
      <c r="M373" s="2203"/>
      <c r="N373" s="2203"/>
      <c r="O373" s="2203"/>
      <c r="P373" s="1997"/>
      <c r="Q373" s="2204">
        <f>+Q27/U27</f>
        <v>8.1553741700899851E-2</v>
      </c>
      <c r="R373" s="2204">
        <f>+R27/U27</f>
        <v>0.16677034955434239</v>
      </c>
      <c r="S373" s="2204">
        <f>+S27/U27</f>
        <v>0.30521918204927434</v>
      </c>
      <c r="T373" s="2204">
        <f>+T27/U27</f>
        <v>0.44645672669548325</v>
      </c>
      <c r="U373" s="2205">
        <f>SUM(Q373:T373)</f>
        <v>0.99999999999999978</v>
      </c>
      <c r="V373" s="2204">
        <f>+V27/Z27</f>
        <v>0.24734278639506641</v>
      </c>
      <c r="W373" s="2204">
        <f>+W27/Z27</f>
        <v>0.30597084657073448</v>
      </c>
      <c r="X373" s="2204">
        <f>+X27/Z27</f>
        <v>0.19434451504391717</v>
      </c>
      <c r="Y373" s="2204">
        <f>+Y27/Z27</f>
        <v>0.25234185199028208</v>
      </c>
      <c r="Z373" s="2205">
        <f>SUM(V373:Y373)</f>
        <v>1</v>
      </c>
      <c r="AA373" s="2204">
        <f>+AA27/AE27</f>
        <v>0.18464631142474019</v>
      </c>
      <c r="AB373" s="2204">
        <f>+AB27/AE27</f>
        <v>0.20323303122236064</v>
      </c>
      <c r="AC373" s="2204">
        <f>+AC27/AE27</f>
        <v>0.25215646368486622</v>
      </c>
      <c r="AD373" s="2204">
        <f>+AD27/AE27</f>
        <v>0.35996419366803301</v>
      </c>
      <c r="AE373" s="2205">
        <f>SUM(AA373:AD373)</f>
        <v>1</v>
      </c>
      <c r="AF373" s="2204">
        <f>+AF27/AJ27</f>
        <v>0.21011456005588258</v>
      </c>
      <c r="AG373" s="2204">
        <f>+AG27/AJ27</f>
        <v>0.2257403979254764</v>
      </c>
      <c r="AH373" s="2204">
        <f>+AH27/AJ27</f>
        <v>0.25111577536719154</v>
      </c>
      <c r="AI373" s="2204">
        <f>+AI27/AJ27</f>
        <v>0.31302926665144964</v>
      </c>
      <c r="AJ373" s="2205">
        <f>SUM(AF373:AI373)</f>
        <v>1.0000000000000002</v>
      </c>
      <c r="AK373" s="2204">
        <f>+AK27/AO27</f>
        <v>0.20921122164644701</v>
      </c>
      <c r="AL373" s="2204">
        <f>+AL27/AO27</f>
        <v>0.22968251231832373</v>
      </c>
      <c r="AM373" s="2204">
        <f>+AM27/AO27</f>
        <v>0.26234705616569698</v>
      </c>
      <c r="AN373" s="2204">
        <f>+AN27/AO27</f>
        <v>0.29875920986953225</v>
      </c>
      <c r="AO373" s="2205">
        <f>SUM(AK373:AN373)</f>
        <v>1</v>
      </c>
      <c r="AP373" s="2204">
        <f>+AP27/AT27</f>
        <v>0.24018767227959278</v>
      </c>
      <c r="AQ373" s="2204">
        <f>+AQ27/AT27</f>
        <v>0.21725593703872342</v>
      </c>
      <c r="AR373" s="2204">
        <f>+AR27/AT27</f>
        <v>0.2591924899619325</v>
      </c>
      <c r="AS373" s="2204">
        <f>+AS27/AT27</f>
        <v>0.28336390071975132</v>
      </c>
      <c r="AT373" s="2205">
        <f>SUM(AP373:AS373)</f>
        <v>1</v>
      </c>
      <c r="AU373" s="2204">
        <f>+AU27/AY27</f>
        <v>0.2331487074200739</v>
      </c>
      <c r="AV373" s="2204">
        <f>+AV27/AY27</f>
        <v>0.23793310855343272</v>
      </c>
      <c r="AW373" s="2204">
        <f>+AW27/AY27</f>
        <v>0.24842772938172658</v>
      </c>
      <c r="AX373" s="2204">
        <f>+AX27/AY27</f>
        <v>0.28049045464476707</v>
      </c>
      <c r="AY373" s="2205">
        <f>SUM(AU373:AX373)</f>
        <v>1.0000000000000002</v>
      </c>
      <c r="AZ373" s="2204">
        <f>+AZ27/BD27</f>
        <v>0.22660597344669628</v>
      </c>
      <c r="BA373" s="2204">
        <f>+BA27/BD27</f>
        <v>0.22543937298804437</v>
      </c>
      <c r="BB373" s="2204">
        <f>+BB27/BD27</f>
        <v>0.24947925852477323</v>
      </c>
      <c r="BC373" s="2204">
        <f>+BC27/BD27</f>
        <v>0.29847539504048648</v>
      </c>
      <c r="BD373" s="2205">
        <f>SUM(AZ373:BC373)</f>
        <v>1.0000000000000004</v>
      </c>
      <c r="BE373" s="2206">
        <f>+BE27/BI27</f>
        <v>0.23964554035831245</v>
      </c>
      <c r="BF373" s="2204">
        <f>+BF27/BI27</f>
        <v>0.22779811211712581</v>
      </c>
      <c r="BG373" s="2204">
        <f>+BG27/BI27</f>
        <v>0.2453284530918898</v>
      </c>
      <c r="BH373" s="2204">
        <f>+BH27/BI27</f>
        <v>0.28722789443267194</v>
      </c>
      <c r="BI373" s="2205">
        <f>SUM(BE373:BH373)</f>
        <v>1</v>
      </c>
      <c r="BJ373" s="2204">
        <f>+BJ27/BN27</f>
        <v>0.22839405325927137</v>
      </c>
      <c r="BK373" s="2204">
        <f>+BK27/BN27</f>
        <v>0.23533736317595164</v>
      </c>
      <c r="BL373" s="2204">
        <f>+BL27/BN27</f>
        <v>0.24979578500245059</v>
      </c>
      <c r="BM373" s="2204">
        <f>+BM27/BN27</f>
        <v>0.28647279856232644</v>
      </c>
      <c r="BN373" s="2205">
        <f>SUM(BJ373:BM373)</f>
        <v>1</v>
      </c>
      <c r="BO373" s="2204">
        <f>+BO27/BS27</f>
        <v>0.26638893255777396</v>
      </c>
      <c r="BP373" s="2204">
        <f>+BP27/BS27</f>
        <v>0.25176858984436412</v>
      </c>
      <c r="BQ373" s="2204">
        <f>+BQ27/BS27</f>
        <v>0.2150605250746738</v>
      </c>
      <c r="BR373" s="2204">
        <f>+BR27/BS27</f>
        <v>0.2667819525231882</v>
      </c>
      <c r="BS373" s="2205">
        <f>SUM(BO373:BR373)</f>
        <v>1</v>
      </c>
      <c r="BT373" s="2204">
        <f>+BT27/BX27</f>
        <v>0.24497614572791673</v>
      </c>
      <c r="BU373" s="2204">
        <f>+BU27/BX27</f>
        <v>0.24837357235795865</v>
      </c>
      <c r="BV373" s="2204">
        <f>+BV27/BX27</f>
        <v>0.23586815093248517</v>
      </c>
      <c r="BW373" s="2204">
        <f>+BW27/BX27</f>
        <v>0.27085441665461907</v>
      </c>
      <c r="BX373" s="2205">
        <f>SUM(BT373:BW373)</f>
        <v>1.0000722856729796</v>
      </c>
      <c r="BY373" s="2204">
        <f>+BY27/CC27</f>
        <v>0.24896176428469138</v>
      </c>
      <c r="BZ373" s="2204">
        <f>+BZ27/CC27</f>
        <v>0.22361449233853645</v>
      </c>
      <c r="CA373" s="2204">
        <f>+CA27/CC27</f>
        <v>0.24659888300157526</v>
      </c>
      <c r="CB373" s="2204">
        <f>+CB27/CC27</f>
        <v>0.28082486037519688</v>
      </c>
      <c r="CC373" s="2205">
        <f>SUM(BY373:CB373)</f>
        <v>1</v>
      </c>
      <c r="CD373" s="2204">
        <f>+CD27/CH27</f>
        <v>0.24332922158021164</v>
      </c>
      <c r="CE373" s="2204">
        <f>+CE27/CH27</f>
        <v>0.22495617736804518</v>
      </c>
      <c r="CF373" s="2204">
        <f>+CF27/CH27</f>
        <v>0.2441732130104525</v>
      </c>
      <c r="CG373" s="2204">
        <f>+CG27/CH27</f>
        <v>0.28754138804129065</v>
      </c>
      <c r="CH373" s="2205">
        <f>SUM(CD373:CG373)</f>
        <v>1</v>
      </c>
      <c r="CI373" s="2204">
        <f>+CI27/CM27</f>
        <v>0.24945441319107661</v>
      </c>
      <c r="CJ373" s="2204">
        <f>+CJ27/CM27</f>
        <v>0.25812318137730361</v>
      </c>
      <c r="CK373" s="2204">
        <f>+CK27/CM27</f>
        <v>0.22575169738118331</v>
      </c>
      <c r="CL373" s="2204">
        <f>+CL27/CM27</f>
        <v>0.26667070805043647</v>
      </c>
      <c r="CM373" s="2205">
        <f>SUM(CI373:CL373)</f>
        <v>1</v>
      </c>
      <c r="CN373" s="2204">
        <f>+CN27/CR27</f>
        <v>0.2297004132231405</v>
      </c>
      <c r="CO373" s="2204">
        <f>+CO27/CR27</f>
        <v>0.24922520661157024</v>
      </c>
      <c r="CP373" s="2204">
        <f>+CP27/CR27</f>
        <v>0.24318181818181819</v>
      </c>
      <c r="CQ373" s="2204">
        <f>+CQ27/CR27</f>
        <v>0.27789256198347106</v>
      </c>
      <c r="CR373" s="2205">
        <f>SUM(CN373:CQ373)</f>
        <v>1</v>
      </c>
      <c r="CS373" s="2204">
        <f>+CS27/CW27</f>
        <v>0.22524877719682915</v>
      </c>
      <c r="CT373" s="2204">
        <f>+CT27/CW27</f>
        <v>0.25164445943666724</v>
      </c>
      <c r="CU373" s="2204">
        <f>+CU27/CW27</f>
        <v>0.24316916849384382</v>
      </c>
      <c r="CV373" s="2204">
        <f>+CV27/CW27</f>
        <v>0.27993759487265979</v>
      </c>
      <c r="CW373" s="2205">
        <f>SUM(CS373:CV373)</f>
        <v>1</v>
      </c>
      <c r="CX373" s="2204"/>
      <c r="CY373" s="2204"/>
      <c r="CZ373" s="2204"/>
      <c r="DA373" s="2204"/>
      <c r="DB373" s="2205"/>
      <c r="DC373" s="2204"/>
      <c r="DD373" s="2204"/>
      <c r="DE373" s="2204"/>
      <c r="DF373" s="2204"/>
      <c r="DG373" s="2187"/>
      <c r="DH373" s="2204"/>
      <c r="DI373" s="2204"/>
      <c r="DJ373" s="2204"/>
      <c r="DK373" s="2204"/>
      <c r="DL373" s="2187"/>
      <c r="DM373" s="2204"/>
      <c r="DN373" s="2204"/>
      <c r="DO373" s="2204"/>
      <c r="DP373" s="2204"/>
      <c r="DQ373" s="2187"/>
      <c r="DR373" s="2204"/>
      <c r="DS373" s="2204"/>
      <c r="DT373" s="2204"/>
      <c r="DU373" s="2204"/>
      <c r="DV373" s="2187"/>
      <c r="DW373" s="2204"/>
      <c r="DX373" s="2204"/>
      <c r="DY373" s="2204"/>
      <c r="DZ373" s="2204"/>
      <c r="EA373" s="2187"/>
      <c r="EB373" s="2204"/>
      <c r="EC373" s="2204"/>
      <c r="ED373" s="2204"/>
      <c r="EE373" s="2204"/>
      <c r="EF373" s="2187"/>
      <c r="EG373" s="2204"/>
      <c r="EH373" s="2204"/>
      <c r="EI373" s="2204"/>
      <c r="EJ373" s="2204"/>
      <c r="EK373" s="2187"/>
      <c r="EL373" s="2204"/>
      <c r="EM373" s="2204"/>
      <c r="EN373" s="2204"/>
      <c r="EO373" s="2204"/>
      <c r="EP373" s="2187"/>
      <c r="EQ373" s="2204"/>
      <c r="ER373" s="2204"/>
      <c r="ES373" s="2204"/>
      <c r="ET373" s="2204"/>
      <c r="EU373" s="2187"/>
      <c r="EV373" s="2187"/>
      <c r="EW373" s="2187"/>
      <c r="EX373" s="2187"/>
      <c r="EY373" s="2187"/>
      <c r="EZ373" s="208"/>
      <c r="FA373" s="713"/>
      <c r="FB373" s="713"/>
      <c r="FC373" s="713"/>
      <c r="FD373" s="713"/>
      <c r="FE373" s="713"/>
      <c r="FF373" s="713"/>
      <c r="FG373" s="713"/>
      <c r="FH373" s="713"/>
      <c r="FI373" s="713"/>
      <c r="FJ373" s="713"/>
      <c r="FK373" s="713"/>
      <c r="FL373" s="713"/>
    </row>
    <row r="374" spans="1:168" s="31" customFormat="1" ht="11.25" hidden="1" customHeight="1">
      <c r="A374" s="3801" t="s">
        <v>514</v>
      </c>
      <c r="B374" s="1121"/>
      <c r="C374" s="1121"/>
      <c r="D374" s="1121"/>
      <c r="E374" s="1121"/>
      <c r="F374" s="1997"/>
      <c r="G374" s="1121"/>
      <c r="H374" s="1121"/>
      <c r="I374" s="1121"/>
      <c r="J374" s="1121"/>
      <c r="K374" s="1997"/>
      <c r="L374" s="2203"/>
      <c r="M374" s="2203"/>
      <c r="N374" s="2203"/>
      <c r="O374" s="2203"/>
      <c r="P374" s="1997"/>
      <c r="Q374" s="2204">
        <f>+Q29/U29</f>
        <v>9.1210517969639721E-2</v>
      </c>
      <c r="R374" s="2204">
        <f>+R29/U29</f>
        <v>0.16738026246870513</v>
      </c>
      <c r="S374" s="2204">
        <f>+S29/U29</f>
        <v>0.30319412208494917</v>
      </c>
      <c r="T374" s="2204">
        <f>+T29/U29</f>
        <v>0.43821509747670601</v>
      </c>
      <c r="U374" s="2205">
        <f t="shared" si="1644"/>
        <v>1</v>
      </c>
      <c r="V374" s="2204">
        <f>+V29/Z29</f>
        <v>0.21182004984042321</v>
      </c>
      <c r="W374" s="2204">
        <f>+W29/Z29</f>
        <v>0.24299217417916325</v>
      </c>
      <c r="X374" s="2204">
        <f>+X29/Z29</f>
        <v>0.24544222445678318</v>
      </c>
      <c r="Y374" s="2204">
        <f>+Y29/Z29</f>
        <v>0.29974555152363047</v>
      </c>
      <c r="Z374" s="2205">
        <f t="shared" si="1645"/>
        <v>1</v>
      </c>
      <c r="AA374" s="2204">
        <f>+AA29/AE29</f>
        <v>0.20697217167378912</v>
      </c>
      <c r="AB374" s="2204">
        <f>+AB29/AE29</f>
        <v>0.21940410987036782</v>
      </c>
      <c r="AC374" s="2204">
        <f>+AC29/AE29</f>
        <v>0.25009688036302008</v>
      </c>
      <c r="AD374" s="2204">
        <f>+AD29/AE29</f>
        <v>0.32352683809282301</v>
      </c>
      <c r="AE374" s="2205">
        <f t="shared" si="1646"/>
        <v>1</v>
      </c>
      <c r="AF374" s="2204">
        <f>+AF29/AJ29</f>
        <v>0.21303326231906861</v>
      </c>
      <c r="AG374" s="2204">
        <f>+AG29/AJ29</f>
        <v>0.2266199939601046</v>
      </c>
      <c r="AH374" s="2204">
        <f>+AH29/AJ29</f>
        <v>0.24934239230983538</v>
      </c>
      <c r="AI374" s="2204">
        <f>+AI29/AJ29</f>
        <v>0.31100435141099153</v>
      </c>
      <c r="AJ374" s="2205">
        <f t="shared" si="1647"/>
        <v>1</v>
      </c>
      <c r="AK374" s="2204">
        <f>+AK29/AO29</f>
        <v>0.20895905159072586</v>
      </c>
      <c r="AL374" s="2204">
        <f>+AL29/AO29</f>
        <v>0.22785661676922822</v>
      </c>
      <c r="AM374" s="2204">
        <f>+AM29/AO29</f>
        <v>0.27490123895057439</v>
      </c>
      <c r="AN374" s="2204">
        <f>+AN29/AO29</f>
        <v>0.28828309268947166</v>
      </c>
      <c r="AO374" s="2205">
        <f t="shared" si="1648"/>
        <v>1.0000000000000002</v>
      </c>
      <c r="AP374" s="2204">
        <f>+AP29/AT29</f>
        <v>0.32689776296437273</v>
      </c>
      <c r="AQ374" s="2204">
        <f>+AQ29/AT29</f>
        <v>0.15866605130378511</v>
      </c>
      <c r="AR374" s="2204">
        <f>+AR29/AT29</f>
        <v>0.25494041216143803</v>
      </c>
      <c r="AS374" s="2204">
        <f>+AS29/AT29</f>
        <v>0.25949577357040332</v>
      </c>
      <c r="AT374" s="2205">
        <f t="shared" si="1649"/>
        <v>0.99999999999999922</v>
      </c>
      <c r="AU374" s="2204">
        <f>+AU29/AY29</f>
        <v>0.22695408561812255</v>
      </c>
      <c r="AV374" s="2204">
        <f>+AV29/AY29</f>
        <v>0.21896608257066547</v>
      </c>
      <c r="AW374" s="2204">
        <f>+AW29/AY29</f>
        <v>0.23168005554859036</v>
      </c>
      <c r="AX374" s="2204">
        <f>+AX29/AY29</f>
        <v>0.32239977626262184</v>
      </c>
      <c r="AY374" s="2205">
        <f t="shared" si="1650"/>
        <v>1.0000000000000002</v>
      </c>
      <c r="AZ374" s="2204">
        <f>+AZ29/BD29</f>
        <v>0.23231077055471985</v>
      </c>
      <c r="BA374" s="2204">
        <f>+BA29/BD29</f>
        <v>0.20330736375720967</v>
      </c>
      <c r="BB374" s="2204">
        <f>+BB29/BD29</f>
        <v>0.23775958857389234</v>
      </c>
      <c r="BC374" s="2204">
        <f>+BC29/BD29</f>
        <v>0.32662227711417963</v>
      </c>
      <c r="BD374" s="2205">
        <f t="shared" si="1651"/>
        <v>1.0000000000000016</v>
      </c>
      <c r="BE374" s="2206">
        <f>+BE29/BI29</f>
        <v>0.2363497193400238</v>
      </c>
      <c r="BF374" s="2204">
        <f>+BF29/BI29</f>
        <v>0.22741962918863753</v>
      </c>
      <c r="BG374" s="2204">
        <f>+BG29/BI29</f>
        <v>0.24893689402959687</v>
      </c>
      <c r="BH374" s="2204">
        <f>+BH29/BI29</f>
        <v>0.28729375744174179</v>
      </c>
      <c r="BI374" s="2205">
        <f t="shared" si="1652"/>
        <v>1</v>
      </c>
      <c r="BJ374" s="2204">
        <f>+BJ29/BN29</f>
        <v>0.22706809229037703</v>
      </c>
      <c r="BK374" s="2204">
        <f>+BK29/BN29</f>
        <v>0.23325830050647159</v>
      </c>
      <c r="BL374" s="2204">
        <f>+BL29/BN29</f>
        <v>0.25527574563871691</v>
      </c>
      <c r="BM374" s="2204">
        <f>+BM29/BN29</f>
        <v>0.28439786156443442</v>
      </c>
      <c r="BN374" s="2205">
        <f t="shared" si="1653"/>
        <v>1</v>
      </c>
      <c r="BO374" s="2204">
        <f>+BO29/BS29</f>
        <v>0.2470720861777416</v>
      </c>
      <c r="BP374" s="2204">
        <f>+BP29/BS29</f>
        <v>0.24738523204108473</v>
      </c>
      <c r="BQ374" s="2204">
        <f>+BQ29/BS29</f>
        <v>0.23799085614079038</v>
      </c>
      <c r="BR374" s="2204">
        <f>+BR29/BS29</f>
        <v>0.26755182564038327</v>
      </c>
      <c r="BS374" s="2205">
        <f t="shared" si="1654"/>
        <v>1</v>
      </c>
      <c r="BT374" s="2204" t="e">
        <f>+BT29/BX29</f>
        <v>#REF!</v>
      </c>
      <c r="BU374" s="2204" t="e">
        <f>+BU29/BX29</f>
        <v>#REF!</v>
      </c>
      <c r="BV374" s="2204" t="e">
        <f>+BV29/BX29</f>
        <v>#REF!</v>
      </c>
      <c r="BW374" s="2204" t="e">
        <f>+BW29/BX29</f>
        <v>#REF!</v>
      </c>
      <c r="BX374" s="2205" t="e">
        <f t="shared" si="1655"/>
        <v>#REF!</v>
      </c>
      <c r="BY374" s="2204">
        <f>+BY29/CC29</f>
        <v>0.23606519343425555</v>
      </c>
      <c r="BZ374" s="2204">
        <f>+BZ29/CC29</f>
        <v>0.23142509135200975</v>
      </c>
      <c r="CA374" s="2204">
        <f>+CA29/CC29</f>
        <v>0.25184154051389129</v>
      </c>
      <c r="CB374" s="2204">
        <f>+CB29/CC29</f>
        <v>0.2806681746998434</v>
      </c>
      <c r="CC374" s="2205">
        <f t="shared" si="1656"/>
        <v>1</v>
      </c>
      <c r="CD374" s="2204">
        <f>+CD29/CH29</f>
        <v>0.23638999248362505</v>
      </c>
      <c r="CE374" s="2204">
        <f>+CE29/CH29</f>
        <v>0.2304305809084076</v>
      </c>
      <c r="CF374" s="2204">
        <f>+CF29/CH29</f>
        <v>0.24852356920433802</v>
      </c>
      <c r="CG374" s="2204">
        <f>+CG29/CH29</f>
        <v>0.28465585740362931</v>
      </c>
      <c r="CH374" s="2205">
        <f t="shared" si="1657"/>
        <v>1</v>
      </c>
      <c r="CI374" s="2204">
        <f>+CI29/CM29</f>
        <v>0.23535559884080004</v>
      </c>
      <c r="CJ374" s="2204">
        <f>+CJ29/CM29</f>
        <v>0.24409710675091453</v>
      </c>
      <c r="CK374" s="2204">
        <f>+CK29/CM29</f>
        <v>0.25450140149175732</v>
      </c>
      <c r="CL374" s="2204">
        <f>+CL29/CM29</f>
        <v>0.26604589291652808</v>
      </c>
      <c r="CM374" s="2205">
        <f t="shared" si="1658"/>
        <v>1</v>
      </c>
      <c r="CN374" s="2204">
        <f>+CN29/CR29</f>
        <v>0.23002076293612345</v>
      </c>
      <c r="CO374" s="2204">
        <f>+CO29/CR29</f>
        <v>0.24251923624964378</v>
      </c>
      <c r="CP374" s="2204">
        <f>+CP29/CR29</f>
        <v>0.2499694662704067</v>
      </c>
      <c r="CQ374" s="2204">
        <f>+CQ29/CR29</f>
        <v>0.27749053454382611</v>
      </c>
      <c r="CR374" s="2205">
        <f t="shared" si="1659"/>
        <v>1</v>
      </c>
      <c r="CS374" s="2204">
        <f>+CS29/CW29</f>
        <v>0.22472796607383544</v>
      </c>
      <c r="CT374" s="2204">
        <f>+CT29/CW29</f>
        <v>0.24560307702422829</v>
      </c>
      <c r="CU374" s="2204">
        <f>+CU29/CW29</f>
        <v>0.25073145073802555</v>
      </c>
      <c r="CV374" s="2204">
        <f>+CV29/CW29</f>
        <v>0.27893750616391072</v>
      </c>
      <c r="CW374" s="2205">
        <f t="shared" si="1660"/>
        <v>1</v>
      </c>
      <c r="CX374" s="2204"/>
      <c r="CY374" s="2204"/>
      <c r="CZ374" s="2204"/>
      <c r="DA374" s="2204"/>
      <c r="DB374" s="2205"/>
      <c r="DC374" s="2204"/>
      <c r="DD374" s="2204"/>
      <c r="DE374" s="2204"/>
      <c r="DF374" s="2204"/>
      <c r="DG374" s="2187"/>
      <c r="DH374" s="2204"/>
      <c r="DI374" s="2204"/>
      <c r="DJ374" s="2204"/>
      <c r="DK374" s="2204"/>
      <c r="DL374" s="2187"/>
      <c r="DM374" s="2204"/>
      <c r="DN374" s="2204"/>
      <c r="DO374" s="2204"/>
      <c r="DP374" s="2204"/>
      <c r="DQ374" s="2187"/>
      <c r="DR374" s="2204"/>
      <c r="DS374" s="2204"/>
      <c r="DT374" s="2204"/>
      <c r="DU374" s="2204"/>
      <c r="DV374" s="2187"/>
      <c r="DW374" s="2204"/>
      <c r="DX374" s="2204"/>
      <c r="DY374" s="2204"/>
      <c r="DZ374" s="2204"/>
      <c r="EA374" s="2187"/>
      <c r="EB374" s="2204"/>
      <c r="EC374" s="2204"/>
      <c r="ED374" s="2204"/>
      <c r="EE374" s="2204"/>
      <c r="EF374" s="2187"/>
      <c r="EG374" s="2204"/>
      <c r="EH374" s="2204"/>
      <c r="EI374" s="2204"/>
      <c r="EJ374" s="2204"/>
      <c r="EK374" s="2187"/>
      <c r="EL374" s="2204"/>
      <c r="EM374" s="2204"/>
      <c r="EN374" s="2204"/>
      <c r="EO374" s="2204"/>
      <c r="EP374" s="2187"/>
      <c r="EQ374" s="2204"/>
      <c r="ER374" s="2204"/>
      <c r="ES374" s="2204"/>
      <c r="ET374" s="2204"/>
      <c r="EU374" s="2187"/>
      <c r="EV374" s="2187"/>
      <c r="EW374" s="2187"/>
      <c r="EX374" s="2187"/>
      <c r="EY374" s="2187"/>
      <c r="EZ374" s="208"/>
      <c r="FA374" s="713"/>
      <c r="FB374" s="713"/>
      <c r="FC374" s="713"/>
      <c r="FD374" s="713"/>
      <c r="FE374" s="713"/>
      <c r="FF374" s="713"/>
      <c r="FG374" s="713"/>
      <c r="FH374" s="713"/>
      <c r="FI374" s="713"/>
      <c r="FJ374" s="713"/>
      <c r="FK374" s="713"/>
      <c r="FL374" s="713"/>
    </row>
    <row r="375" spans="1:168" s="31" customFormat="1" ht="11.25" hidden="1" customHeight="1">
      <c r="A375" s="3807" t="s">
        <v>54</v>
      </c>
      <c r="B375" s="1801"/>
      <c r="C375" s="1801"/>
      <c r="D375" s="1801"/>
      <c r="E375" s="1801"/>
      <c r="F375" s="2195"/>
      <c r="G375" s="1801"/>
      <c r="H375" s="1801"/>
      <c r="I375" s="1801"/>
      <c r="J375" s="1801"/>
      <c r="K375" s="2195"/>
      <c r="L375" s="2207"/>
      <c r="M375" s="2207"/>
      <c r="N375" s="2207"/>
      <c r="O375" s="2207"/>
      <c r="P375" s="2195"/>
      <c r="Q375" s="2208">
        <f>+Q57/U57</f>
        <v>8.006023181657132E-2</v>
      </c>
      <c r="R375" s="2208">
        <f>+R57/U57</f>
        <v>0.14691839179362595</v>
      </c>
      <c r="S375" s="2208">
        <f>+S57/U57</f>
        <v>0.2661293043815694</v>
      </c>
      <c r="T375" s="2208">
        <f>+T57/U57</f>
        <v>0.38464426110576838</v>
      </c>
      <c r="U375" s="2209">
        <f t="shared" si="1644"/>
        <v>0.87775218909753505</v>
      </c>
      <c r="V375" s="2208">
        <f>+V57/Z57</f>
        <v>0.20645207770809973</v>
      </c>
      <c r="W375" s="2208">
        <f>+W57/Z57</f>
        <v>0.23647281406814807</v>
      </c>
      <c r="X375" s="2208">
        <f>+X57/Z57</f>
        <v>0.26063756476197042</v>
      </c>
      <c r="Y375" s="2208">
        <f>+Y57/Z57</f>
        <v>0.29643754346178175</v>
      </c>
      <c r="Z375" s="2209">
        <f t="shared" si="1645"/>
        <v>1</v>
      </c>
      <c r="AA375" s="2208">
        <f>+AA57/AE57</f>
        <v>0.19962492820891503</v>
      </c>
      <c r="AB375" s="2208">
        <f>+AB57/AE57</f>
        <v>0.21697981254224433</v>
      </c>
      <c r="AC375" s="2208">
        <f>+AC57/AE57</f>
        <v>0.25115666670573661</v>
      </c>
      <c r="AD375" s="2208">
        <f>+AD57/AE57</f>
        <v>0.33223859254310389</v>
      </c>
      <c r="AE375" s="2209">
        <f t="shared" si="1646"/>
        <v>1</v>
      </c>
      <c r="AF375" s="2208">
        <f>+AF57/AJ57</f>
        <v>0.20880503384352711</v>
      </c>
      <c r="AG375" s="2208">
        <f>+AG57/AJ57</f>
        <v>0.2248479328007805</v>
      </c>
      <c r="AH375" s="2208">
        <f>+AH57/AJ57</f>
        <v>0.25621112567839505</v>
      </c>
      <c r="AI375" s="2208">
        <f>+AI57/AJ57</f>
        <v>0.31013590767729743</v>
      </c>
      <c r="AJ375" s="2209">
        <f t="shared" si="1647"/>
        <v>1</v>
      </c>
      <c r="AK375" s="2208">
        <f>+AK57/AO57</f>
        <v>0.21695667557919732</v>
      </c>
      <c r="AL375" s="2208">
        <f>+AL57/AO57</f>
        <v>0.22739223538602871</v>
      </c>
      <c r="AM375" s="2208">
        <f>+AM57/AO57</f>
        <v>0.25607947481353466</v>
      </c>
      <c r="AN375" s="2208">
        <f>+AN57/AO57</f>
        <v>0.29957161422123924</v>
      </c>
      <c r="AO375" s="2209">
        <f t="shared" si="1648"/>
        <v>0.99999999999999989</v>
      </c>
      <c r="AP375" s="2208">
        <f>+AP57/AT57</f>
        <v>0.23264517066845417</v>
      </c>
      <c r="AQ375" s="2208">
        <f>+AQ57/AT57</f>
        <v>0.22731140308226089</v>
      </c>
      <c r="AR375" s="2208">
        <f>+AR57/AT57</f>
        <v>0.25452746897387096</v>
      </c>
      <c r="AS375" s="2208">
        <f>+AS57/AT57</f>
        <v>0.2855159572754139</v>
      </c>
      <c r="AT375" s="2209">
        <f t="shared" si="1649"/>
        <v>0.99999999999999989</v>
      </c>
      <c r="AU375" s="2208">
        <f>+AU57/AY57</f>
        <v>0.23147559112167881</v>
      </c>
      <c r="AV375" s="2208">
        <f>+AV57/AY57</f>
        <v>0.23990742422851569</v>
      </c>
      <c r="AW375" s="2208">
        <f>+AW57/AY57</f>
        <v>0.25773206906121737</v>
      </c>
      <c r="AX375" s="2208">
        <f>+AX57/AY57</f>
        <v>0.27088491558858829</v>
      </c>
      <c r="AY375" s="2209">
        <f t="shared" si="1650"/>
        <v>1</v>
      </c>
      <c r="AZ375" s="2208">
        <f>+AZ57/BD57</f>
        <v>0.23310620525450187</v>
      </c>
      <c r="BA375" s="2208">
        <f>+BA57/BD57</f>
        <v>0.23125402479949181</v>
      </c>
      <c r="BB375" s="2208">
        <f>+BB57/BD57</f>
        <v>0.25179363791694742</v>
      </c>
      <c r="BC375" s="2208">
        <f>+BC57/BD57</f>
        <v>0.28384613202905895</v>
      </c>
      <c r="BD375" s="2209">
        <f t="shared" si="1651"/>
        <v>1</v>
      </c>
      <c r="BE375" s="2210">
        <f>+BE57/BI57</f>
        <v>0.23642998327504941</v>
      </c>
      <c r="BF375" s="2208">
        <f>+BF57/BI57</f>
        <v>0.22928386802493539</v>
      </c>
      <c r="BG375" s="2208">
        <f>+BG57/BI57</f>
        <v>0.24851756119811463</v>
      </c>
      <c r="BH375" s="2208">
        <f>+BH57/BI57</f>
        <v>0.28576858750190054</v>
      </c>
      <c r="BI375" s="2209">
        <f t="shared" si="1652"/>
        <v>1</v>
      </c>
      <c r="BJ375" s="2208">
        <f>+BJ57/BN57</f>
        <v>0.22586668326383269</v>
      </c>
      <c r="BK375" s="2208">
        <f>+BK57/BN57</f>
        <v>0.23470467417688429</v>
      </c>
      <c r="BL375" s="2208">
        <f>+BL57/BN57</f>
        <v>0.25648845459637765</v>
      </c>
      <c r="BM375" s="2208">
        <f>+BM57/BN57</f>
        <v>0.28294018796290532</v>
      </c>
      <c r="BN375" s="2209">
        <f t="shared" si="1653"/>
        <v>0.99999999999999989</v>
      </c>
      <c r="BO375" s="2208">
        <f>+BO57/BS57</f>
        <v>0.23540599080775529</v>
      </c>
      <c r="BP375" s="2208">
        <f>+BP57/BS57</f>
        <v>0.24406994558613768</v>
      </c>
      <c r="BQ375" s="2208">
        <f>+BQ57/BS57</f>
        <v>0.24449257752654657</v>
      </c>
      <c r="BR375" s="2208">
        <f>+BR57/BS57</f>
        <v>0.27603148607956046</v>
      </c>
      <c r="BS375" s="2209">
        <f t="shared" si="1654"/>
        <v>1</v>
      </c>
      <c r="BT375" s="2208">
        <f>+BT57/BX57</f>
        <v>0.23124026984950702</v>
      </c>
      <c r="BU375" s="2208">
        <f>+BU57/BX57</f>
        <v>0.24172288531395952</v>
      </c>
      <c r="BV375" s="2208">
        <f>+BV57/BX57</f>
        <v>0.24800207576543851</v>
      </c>
      <c r="BW375" s="2208">
        <f>+BW57/BX57</f>
        <v>0.27903476907109498</v>
      </c>
      <c r="BX375" s="2209">
        <f t="shared" si="1655"/>
        <v>1</v>
      </c>
      <c r="BY375" s="2208">
        <f>+BY57/CC57</f>
        <v>0.23567634225004744</v>
      </c>
      <c r="BZ375" s="2208">
        <f>+BZ57/CC57</f>
        <v>0.23411117435021817</v>
      </c>
      <c r="CA375" s="2208">
        <f>+CA57/CC57</f>
        <v>0.25156516789982925</v>
      </c>
      <c r="CB375" s="2208">
        <f>+CB57/CC57</f>
        <v>0.27864731549990512</v>
      </c>
      <c r="CC375" s="2209">
        <f t="shared" si="1656"/>
        <v>1</v>
      </c>
      <c r="CD375" s="2208">
        <f>+CD57/CH57</f>
        <v>0.23596955805776848</v>
      </c>
      <c r="CE375" s="2208">
        <f>+CE57/CH57</f>
        <v>0.23312118919400063</v>
      </c>
      <c r="CF375" s="2208">
        <f>+CF57/CH57</f>
        <v>0.24883172370822021</v>
      </c>
      <c r="CG375" s="2208">
        <f>+CG57/CH57</f>
        <v>0.28207752904001065</v>
      </c>
      <c r="CH375" s="2209">
        <f t="shared" si="1657"/>
        <v>1</v>
      </c>
      <c r="CI375" s="2208">
        <f>+CI57/CM57</f>
        <v>0.2354775828460039</v>
      </c>
      <c r="CJ375" s="2208">
        <f>+CJ57/CM57</f>
        <v>0.24237816764132553</v>
      </c>
      <c r="CK375" s="2208">
        <f>+CK57/CM57</f>
        <v>0.25442495126705655</v>
      </c>
      <c r="CL375" s="2208">
        <f>+CL57/CM57</f>
        <v>0.26771929824561402</v>
      </c>
      <c r="CM375" s="2209">
        <f t="shared" si="1658"/>
        <v>1</v>
      </c>
      <c r="CN375" s="2208">
        <f>+CN57/CR57</f>
        <v>0.23043947883615742</v>
      </c>
      <c r="CO375" s="2208">
        <f>+CO57/CR57</f>
        <v>0.2427259839330318</v>
      </c>
      <c r="CP375" s="2208">
        <f>+CP57/CR57</f>
        <v>0.24937554850469182</v>
      </c>
      <c r="CQ375" s="2208">
        <f>+CQ57/CR57</f>
        <v>0.27745898872611896</v>
      </c>
      <c r="CR375" s="2209">
        <f t="shared" si="1659"/>
        <v>1</v>
      </c>
      <c r="CS375" s="2208">
        <f>+CS57/CW57</f>
        <v>0.22446188770068101</v>
      </c>
      <c r="CT375" s="2208">
        <f>+CT57/CW57</f>
        <v>0.24508382791346442</v>
      </c>
      <c r="CU375" s="2208">
        <f>+CU57/CW57</f>
        <v>0.2522495418866067</v>
      </c>
      <c r="CV375" s="2208">
        <f>+CV57/CW57</f>
        <v>0.27820474249924787</v>
      </c>
      <c r="CW375" s="2209">
        <f t="shared" si="1660"/>
        <v>1</v>
      </c>
      <c r="CX375" s="2208"/>
      <c r="CY375" s="2208"/>
      <c r="CZ375" s="2208"/>
      <c r="DA375" s="2208"/>
      <c r="DB375" s="2209"/>
      <c r="DC375" s="2208"/>
      <c r="DD375" s="2208"/>
      <c r="DE375" s="2208"/>
      <c r="DF375" s="2208"/>
      <c r="DG375" s="2197"/>
      <c r="DH375" s="3986"/>
      <c r="DI375" s="3986"/>
      <c r="DJ375" s="3986"/>
      <c r="DK375" s="3986"/>
      <c r="DL375" s="2197"/>
      <c r="DM375" s="3986"/>
      <c r="DN375" s="3986"/>
      <c r="DO375" s="3986"/>
      <c r="DP375" s="3986"/>
      <c r="DQ375" s="2197"/>
      <c r="DR375" s="3986"/>
      <c r="DS375" s="3986"/>
      <c r="DT375" s="3986"/>
      <c r="DU375" s="3986"/>
      <c r="DV375" s="2197"/>
      <c r="DW375" s="3986"/>
      <c r="DX375" s="3986"/>
      <c r="DY375" s="3986"/>
      <c r="DZ375" s="3986"/>
      <c r="EA375" s="2197"/>
      <c r="EB375" s="3986"/>
      <c r="EC375" s="3986"/>
      <c r="ED375" s="3986"/>
      <c r="EE375" s="3986"/>
      <c r="EF375" s="2197"/>
      <c r="EG375" s="3986"/>
      <c r="EH375" s="3986"/>
      <c r="EI375" s="3986"/>
      <c r="EJ375" s="3986"/>
      <c r="EK375" s="2197"/>
      <c r="EL375" s="3986"/>
      <c r="EM375" s="3986"/>
      <c r="EN375" s="3986"/>
      <c r="EO375" s="3986"/>
      <c r="EP375" s="2197"/>
      <c r="EQ375" s="3986"/>
      <c r="ER375" s="3986"/>
      <c r="ES375" s="3986"/>
      <c r="ET375" s="3986"/>
      <c r="EU375" s="2197"/>
      <c r="EV375" s="2197"/>
      <c r="EW375" s="2197"/>
      <c r="EX375" s="2197"/>
      <c r="EY375" s="2197"/>
      <c r="EZ375" s="208"/>
      <c r="FA375" s="713"/>
      <c r="FB375" s="713"/>
      <c r="FC375" s="713"/>
      <c r="FD375" s="713"/>
      <c r="FE375" s="713"/>
      <c r="FF375" s="713"/>
      <c r="FG375" s="713"/>
      <c r="FH375" s="713"/>
      <c r="FI375" s="713"/>
      <c r="FJ375" s="713"/>
      <c r="FK375" s="713"/>
      <c r="FL375" s="713"/>
    </row>
    <row r="376" spans="1:168" ht="11.25" hidden="1" customHeight="1">
      <c r="A376" s="3798" t="s">
        <v>572</v>
      </c>
      <c r="B376" s="1783"/>
      <c r="C376" s="1783"/>
      <c r="D376" s="1783"/>
      <c r="E376" s="1783"/>
      <c r="F376" s="1782"/>
      <c r="G376" s="1783"/>
      <c r="H376" s="1783"/>
      <c r="I376" s="1783"/>
      <c r="J376" s="1783"/>
      <c r="K376" s="1782"/>
      <c r="L376" s="1783"/>
      <c r="M376" s="1783"/>
      <c r="N376" s="1783"/>
      <c r="O376" s="1783"/>
      <c r="P376" s="1782"/>
      <c r="Q376" s="1783"/>
      <c r="R376" s="1783"/>
      <c r="S376" s="1783"/>
      <c r="T376" s="1783"/>
      <c r="U376" s="1782"/>
      <c r="V376" s="1783"/>
      <c r="W376" s="1783"/>
      <c r="X376" s="1783"/>
      <c r="Y376" s="1783"/>
      <c r="Z376" s="1782"/>
      <c r="AA376" s="1783"/>
      <c r="AB376" s="1783"/>
      <c r="AC376" s="1783"/>
      <c r="AD376" s="1806"/>
      <c r="AE376" s="1782"/>
      <c r="AF376" s="1783"/>
      <c r="AG376" s="1783"/>
      <c r="AH376" s="1783"/>
      <c r="AI376" s="1783"/>
      <c r="AJ376" s="1782"/>
      <c r="AK376" s="1783"/>
      <c r="AL376" s="1783"/>
      <c r="AM376" s="1783"/>
      <c r="AN376" s="1783"/>
      <c r="AO376" s="1782"/>
      <c r="AP376" s="1783"/>
      <c r="AQ376" s="1783"/>
      <c r="AR376" s="1783"/>
      <c r="AS376" s="1783"/>
      <c r="AT376" s="1782"/>
      <c r="AU376" s="1783"/>
      <c r="AV376" s="1783"/>
      <c r="AW376" s="1783"/>
      <c r="AX376" s="1783"/>
      <c r="AY376" s="1714"/>
      <c r="AZ376" s="1783"/>
      <c r="BA376" s="1783"/>
      <c r="BB376" s="1783"/>
      <c r="BC376" s="1783"/>
      <c r="BD376" s="1714"/>
      <c r="BE376" s="1762"/>
      <c r="BF376" s="1783"/>
      <c r="BG376" s="1783"/>
      <c r="BH376" s="1783"/>
      <c r="BI376" s="1714"/>
      <c r="BJ376" s="1783"/>
      <c r="BK376" s="1783"/>
      <c r="BL376" s="1783"/>
      <c r="BM376" s="1783"/>
      <c r="BN376" s="1714"/>
      <c r="BO376" s="1783"/>
      <c r="BP376" s="1783"/>
      <c r="BQ376" s="1783"/>
      <c r="BR376" s="1763"/>
      <c r="BS376" s="1764"/>
      <c r="BT376" s="1783"/>
      <c r="BU376" s="1783"/>
      <c r="BV376" s="1783"/>
      <c r="BW376" s="1783"/>
      <c r="BX376" s="1714"/>
      <c r="BY376" s="1783"/>
      <c r="BZ376" s="1783"/>
      <c r="CA376" s="1783"/>
      <c r="CB376" s="1783"/>
      <c r="CC376" s="1714"/>
      <c r="CD376" s="1783"/>
      <c r="CE376" s="1783"/>
      <c r="CF376" s="1783"/>
      <c r="CG376" s="1783"/>
      <c r="CH376" s="1714"/>
      <c r="CI376" s="1807"/>
      <c r="CJ376" s="1807"/>
      <c r="CK376" s="1807"/>
      <c r="CL376" s="1783"/>
      <c r="CM376" s="1714"/>
      <c r="CN376" s="1807"/>
      <c r="CO376" s="1807"/>
      <c r="CP376" s="1807"/>
      <c r="CQ376" s="1807"/>
      <c r="CR376" s="1714"/>
      <c r="CS376" s="1807"/>
      <c r="CT376" s="1807"/>
      <c r="CU376" s="1807"/>
      <c r="CV376" s="1807"/>
      <c r="CW376" s="1714"/>
      <c r="CX376" s="1807"/>
      <c r="CY376" s="1807"/>
      <c r="CZ376" s="1807"/>
      <c r="DA376" s="1783"/>
      <c r="DB376" s="1765"/>
      <c r="DC376" s="1807"/>
      <c r="DD376" s="1807"/>
      <c r="DE376" s="1807"/>
      <c r="DF376" s="1783"/>
      <c r="DG376" s="1714"/>
      <c r="DH376" s="3987"/>
      <c r="DI376" s="3987"/>
      <c r="DJ376" s="3987"/>
      <c r="DK376" s="3987"/>
      <c r="DL376" s="1714"/>
      <c r="DM376" s="3987"/>
      <c r="DN376" s="3987"/>
      <c r="DO376" s="3987"/>
      <c r="DP376" s="3987"/>
      <c r="DQ376" s="1714"/>
      <c r="DR376" s="3987"/>
      <c r="DS376" s="3987"/>
      <c r="DT376" s="3987"/>
      <c r="DU376" s="3987"/>
      <c r="DV376" s="1714"/>
      <c r="DW376" s="3987"/>
      <c r="DX376" s="3987"/>
      <c r="DY376" s="3987"/>
      <c r="DZ376" s="3987"/>
      <c r="EA376" s="1714"/>
      <c r="EB376" s="3987"/>
      <c r="EC376" s="3987"/>
      <c r="ED376" s="3987"/>
      <c r="EE376" s="3987"/>
      <c r="EF376" s="1714"/>
      <c r="EG376" s="3987"/>
      <c r="EH376" s="3987"/>
      <c r="EI376" s="3987"/>
      <c r="EJ376" s="3987"/>
      <c r="EK376" s="1714"/>
      <c r="EL376" s="3987"/>
      <c r="EM376" s="3987"/>
      <c r="EN376" s="3987"/>
      <c r="EO376" s="3987"/>
      <c r="EP376" s="1714"/>
      <c r="EQ376" s="3987"/>
      <c r="ER376" s="3987"/>
      <c r="ES376" s="3987"/>
      <c r="ET376" s="3987"/>
      <c r="EU376" s="1714"/>
      <c r="EV376" s="1714"/>
      <c r="EW376" s="1714"/>
      <c r="EX376" s="1714"/>
      <c r="EY376" s="1714"/>
      <c r="EZ376" s="208"/>
      <c r="FA376" s="1852"/>
      <c r="FB376" s="1852"/>
      <c r="FC376" s="1852"/>
      <c r="FD376" s="1852"/>
      <c r="FE376" s="1852"/>
      <c r="FF376" s="1852"/>
      <c r="FG376" s="1852"/>
      <c r="FH376" s="1852"/>
      <c r="FI376" s="1852"/>
      <c r="FJ376" s="1852"/>
      <c r="FK376" s="1852"/>
      <c r="FL376" s="1852"/>
    </row>
    <row r="377" spans="1:168" s="310" customFormat="1" ht="11.25" hidden="1" customHeight="1">
      <c r="A377" s="3809" t="s">
        <v>181</v>
      </c>
      <c r="B377" s="1121"/>
      <c r="C377" s="1121"/>
      <c r="D377" s="1121"/>
      <c r="E377" s="1121"/>
      <c r="F377" s="1122">
        <f>+F10/F9</f>
        <v>4.127272727272727</v>
      </c>
      <c r="G377" s="1121"/>
      <c r="H377" s="1121"/>
      <c r="I377" s="1121"/>
      <c r="J377" s="1121"/>
      <c r="K377" s="1122">
        <f>+K10/K9</f>
        <v>0.31824366757379108</v>
      </c>
      <c r="L377" s="1121"/>
      <c r="M377" s="1121"/>
      <c r="N377" s="1121"/>
      <c r="O377" s="1121"/>
      <c r="P377" s="1122">
        <f>+P10/P9</f>
        <v>0.16462638557841389</v>
      </c>
      <c r="Q377" s="1121">
        <f>Q10/Q9</f>
        <v>0.13461038193212724</v>
      </c>
      <c r="R377" s="1121">
        <f>R10/R9</f>
        <v>9.9294846958543195E-2</v>
      </c>
      <c r="S377" s="1121">
        <f>S10/S9</f>
        <v>0.10435517305746313</v>
      </c>
      <c r="T377" s="1121">
        <f>T10/T9</f>
        <v>0.10474961696637369</v>
      </c>
      <c r="U377" s="1122">
        <f>+U10/U9</f>
        <v>0.10727287483188797</v>
      </c>
      <c r="V377" s="1121">
        <f>V10/V9</f>
        <v>9.5603601382733716E-2</v>
      </c>
      <c r="W377" s="1121">
        <f>W10/W9</f>
        <v>9.7102124487513958E-2</v>
      </c>
      <c r="X377" s="1121">
        <f>X10/X9</f>
        <v>0.10741650196642108</v>
      </c>
      <c r="Y377" s="1121">
        <f>Y10/Y9</f>
        <v>0.11666593423681375</v>
      </c>
      <c r="Z377" s="1122">
        <f>+Z10/Z9</f>
        <v>0.10572801178623398</v>
      </c>
      <c r="AA377" s="1121">
        <f>AA10/AA9</f>
        <v>0.11664096305773988</v>
      </c>
      <c r="AB377" s="1121">
        <f>AB10/AB9</f>
        <v>0.11660105203956732</v>
      </c>
      <c r="AC377" s="1121">
        <f>AC10/AC9</f>
        <v>0.1176948907228219</v>
      </c>
      <c r="AD377" s="1121">
        <f>AD10/AD9</f>
        <v>0.1163533411951489</v>
      </c>
      <c r="AE377" s="1122">
        <f>+AE10/AE9</f>
        <v>0.1168068208422104</v>
      </c>
      <c r="AF377" s="1121">
        <f>AF10/AF9</f>
        <v>0.10494533219077674</v>
      </c>
      <c r="AG377" s="1121">
        <f>AG10/AG9</f>
        <v>0.11545482629819984</v>
      </c>
      <c r="AH377" s="1121">
        <f>AH10/AH9</f>
        <v>0.11820916246893425</v>
      </c>
      <c r="AI377" s="1121">
        <f>AI10/AI9</f>
        <v>0.1135060054939263</v>
      </c>
      <c r="AJ377" s="1122">
        <f>+AJ10/AJ9</f>
        <v>0.11347200454913961</v>
      </c>
      <c r="AK377" s="1121">
        <f>AK10/AK9</f>
        <v>0.11698091271238306</v>
      </c>
      <c r="AL377" s="1121">
        <f>AL10/AL9</f>
        <v>0.1206291236940638</v>
      </c>
      <c r="AM377" s="1121">
        <f>AM10/AM9</f>
        <v>0.11870517681474409</v>
      </c>
      <c r="AN377" s="1121">
        <f>AN10/AN9</f>
        <v>0.13303675534109452</v>
      </c>
      <c r="AO377" s="1122">
        <f>+AO10/AO9</f>
        <v>0.1231640291990011</v>
      </c>
      <c r="AP377" s="1121">
        <f>AP10/AP9</f>
        <v>0.13431004053267917</v>
      </c>
      <c r="AQ377" s="1121">
        <f>AQ10/AQ9</f>
        <v>0.14855811446980843</v>
      </c>
      <c r="AR377" s="1121">
        <f>AR10/AR9</f>
        <v>0.14531376495690865</v>
      </c>
      <c r="AS377" s="1121">
        <f>AS10/AS9</f>
        <v>0.15050968963923864</v>
      </c>
      <c r="AT377" s="1122">
        <f>+AT10/AT9</f>
        <v>0.14518494555838982</v>
      </c>
      <c r="AU377" s="1121">
        <f>AU10/AU9</f>
        <v>0.16623261765476224</v>
      </c>
      <c r="AV377" s="1121">
        <f>AV10/AV9</f>
        <v>0.17061197483222162</v>
      </c>
      <c r="AW377" s="1121">
        <f>AW10/AW9</f>
        <v>0.1649590910944507</v>
      </c>
      <c r="AX377" s="1121">
        <f>AX10/AX9</f>
        <v>0.16467584520009615</v>
      </c>
      <c r="AY377" s="1122">
        <f>+AY10/AY9</f>
        <v>0.1665688314731823</v>
      </c>
      <c r="AZ377" s="1121">
        <f>AZ10/AZ9</f>
        <v>0.16032462319207078</v>
      </c>
      <c r="BA377" s="1121">
        <f>BA10/BA9</f>
        <v>0.15751768687540593</v>
      </c>
      <c r="BB377" s="1121">
        <f>BB10/BB9</f>
        <v>0.14870206936965799</v>
      </c>
      <c r="BC377" s="1121">
        <f>BC10/BC9</f>
        <v>0.13758760202780612</v>
      </c>
      <c r="BD377" s="1122">
        <f>+BD10/BD9</f>
        <v>0.15031324889608219</v>
      </c>
      <c r="BE377" s="1696">
        <f>BE10/BE9</f>
        <v>0.14514218009478674</v>
      </c>
      <c r="BF377" s="1121">
        <f>BF10/BF9</f>
        <v>0.14288522012578617</v>
      </c>
      <c r="BG377" s="1121">
        <f>BG10/BG9</f>
        <v>0.13482941069147966</v>
      </c>
      <c r="BH377" s="1121">
        <f>BH10/BH9</f>
        <v>0.13059174383927169</v>
      </c>
      <c r="BI377" s="1122">
        <f>+BI10/BI9</f>
        <v>0.13783857480458098</v>
      </c>
      <c r="BJ377" s="1121">
        <f>BJ10/BJ9</f>
        <v>0.12987608994951813</v>
      </c>
      <c r="BK377" s="1121">
        <f>BK10/BK9</f>
        <v>0.14618276460381724</v>
      </c>
      <c r="BL377" s="1121">
        <f>BL10/BL9</f>
        <v>0.14593874833555259</v>
      </c>
      <c r="BM377" s="1121">
        <f>BM10/BM9</f>
        <v>0.14445537251044996</v>
      </c>
      <c r="BN377" s="1122">
        <f>+BN10/BN9</f>
        <v>0.14197339931951747</v>
      </c>
      <c r="BO377" s="1121">
        <v>0.14812538414259374</v>
      </c>
      <c r="BP377" s="1121">
        <v>0.24110671936758893</v>
      </c>
      <c r="BQ377" s="1121">
        <v>0.3168299355749713</v>
      </c>
      <c r="BR377" s="1711">
        <v>0.26122233001146483</v>
      </c>
      <c r="BS377" s="1766">
        <v>0.24926396001880305</v>
      </c>
      <c r="BT377" s="1751">
        <f>BT10/BT9</f>
        <v>0.14812538414259374</v>
      </c>
      <c r="BU377" s="1121">
        <f>BU10/BU9</f>
        <v>0.15566714490674319</v>
      </c>
      <c r="BV377" s="1121">
        <f>BV10/BV9</f>
        <v>0.17896299680219277</v>
      </c>
      <c r="BW377" s="1121">
        <f>BW10/BW9</f>
        <v>0.18137404580152672</v>
      </c>
      <c r="BX377" s="1122" t="e">
        <f>+BX10/BX9</f>
        <v>#REF!</v>
      </c>
      <c r="BY377" s="1121">
        <v>0.27091850640501497</v>
      </c>
      <c r="BZ377" s="1121">
        <v>0.26460512080778942</v>
      </c>
      <c r="CA377" s="1121">
        <v>0.27715795654726955</v>
      </c>
      <c r="CB377" s="1121">
        <v>0.29222025391201656</v>
      </c>
      <c r="CC377" s="1122">
        <v>0.27707702657248573</v>
      </c>
      <c r="CD377" s="1121">
        <f>CD10/CD9</f>
        <v>0.20772850135148663</v>
      </c>
      <c r="CE377" s="1121">
        <f>CE10/CE9</f>
        <v>0.20527045769764216</v>
      </c>
      <c r="CF377" s="1121">
        <f>CF10/CF9</f>
        <v>0.21368948247078465</v>
      </c>
      <c r="CG377" s="1121">
        <f>CG10/CG9</f>
        <v>0.22715173025732033</v>
      </c>
      <c r="CH377" s="1122">
        <f>+CH10/CH9</f>
        <v>0.21418829892975197</v>
      </c>
      <c r="CI377" s="1121">
        <f>CI10/CI9</f>
        <v>0.21611421069904824</v>
      </c>
      <c r="CJ377" s="1121">
        <f>CJ10/CJ9</f>
        <v>0.21489496130153216</v>
      </c>
      <c r="CK377" s="1121">
        <f>CK10/CK9</f>
        <v>0.24121442125237191</v>
      </c>
      <c r="CL377" s="1121">
        <f>CL10/CL9</f>
        <v>0.2161154456949527</v>
      </c>
      <c r="CM377" s="1122">
        <f>+CM10/CM9</f>
        <v>0.22213545634618315</v>
      </c>
      <c r="CN377" s="1121">
        <f>CN10/CN9</f>
        <v>0.20491626536332927</v>
      </c>
      <c r="CO377" s="1121">
        <f>CO10/CO9</f>
        <v>0.21205574912891986</v>
      </c>
      <c r="CP377" s="1121">
        <f>CP10/CP9</f>
        <v>0.21444172347607388</v>
      </c>
      <c r="CQ377" s="1121">
        <f>CQ10/CQ9</f>
        <v>0.22467291883755933</v>
      </c>
      <c r="CR377" s="1122">
        <f>+CR10/CR9</f>
        <v>0.2146060745968407</v>
      </c>
      <c r="CS377" s="1121">
        <f>CS10/CS9</f>
        <v>0.21974618981116037</v>
      </c>
      <c r="CT377" s="1121">
        <f>CT10/CT9</f>
        <v>0.22253922967189729</v>
      </c>
      <c r="CU377" s="1121">
        <f>CU10/CU9</f>
        <v>0.22945974054409107</v>
      </c>
      <c r="CV377" s="1121">
        <f>CV10/CV9</f>
        <v>0.25815422322775267</v>
      </c>
      <c r="CW377" s="1122">
        <f>+CW10/CW9</f>
        <v>0.23391717361422992</v>
      </c>
      <c r="CX377" s="1121">
        <f>CX10/CX9</f>
        <v>0.2385732084701209</v>
      </c>
      <c r="CY377" s="1121"/>
      <c r="CZ377" s="1121"/>
      <c r="DA377" s="1121"/>
      <c r="DB377" s="1122"/>
      <c r="DC377" s="1121"/>
      <c r="DD377" s="1121"/>
      <c r="DE377" s="1121"/>
      <c r="DF377" s="1121"/>
      <c r="DG377" s="1122"/>
      <c r="DH377" s="1121"/>
      <c r="DI377" s="1121"/>
      <c r="DJ377" s="1121"/>
      <c r="DK377" s="1121"/>
      <c r="DL377" s="1122"/>
      <c r="DM377" s="1121"/>
      <c r="DN377" s="1121"/>
      <c r="DO377" s="1121"/>
      <c r="DP377" s="1121"/>
      <c r="DQ377" s="1122"/>
      <c r="DR377" s="1121"/>
      <c r="DS377" s="1121"/>
      <c r="DT377" s="1121"/>
      <c r="DU377" s="1121"/>
      <c r="DV377" s="1122"/>
      <c r="DW377" s="1121"/>
      <c r="DX377" s="1121"/>
      <c r="DY377" s="1121"/>
      <c r="DZ377" s="1121"/>
      <c r="EA377" s="1122"/>
      <c r="EB377" s="1121"/>
      <c r="EC377" s="1121"/>
      <c r="ED377" s="1121"/>
      <c r="EE377" s="1121"/>
      <c r="EF377" s="1122"/>
      <c r="EG377" s="1121"/>
      <c r="EH377" s="1121"/>
      <c r="EI377" s="1121"/>
      <c r="EJ377" s="1121"/>
      <c r="EK377" s="1122"/>
      <c r="EL377" s="1121"/>
      <c r="EM377" s="1121"/>
      <c r="EN377" s="1121"/>
      <c r="EO377" s="1121"/>
      <c r="EP377" s="1122"/>
      <c r="EQ377" s="1121"/>
      <c r="ER377" s="1121"/>
      <c r="ES377" s="1121"/>
      <c r="ET377" s="1121"/>
      <c r="EU377" s="1122"/>
      <c r="EV377" s="1122"/>
      <c r="EW377" s="1122"/>
      <c r="EX377" s="1122"/>
      <c r="EY377" s="1122"/>
      <c r="EZ377" s="139"/>
      <c r="FA377" s="1853"/>
      <c r="FB377" s="1853"/>
      <c r="FC377" s="1853"/>
      <c r="FD377" s="1853"/>
      <c r="FE377" s="1853"/>
      <c r="FF377" s="1853"/>
      <c r="FG377" s="1853"/>
      <c r="FH377" s="1853"/>
      <c r="FI377" s="1853"/>
      <c r="FJ377" s="1853"/>
      <c r="FK377" s="1853"/>
      <c r="FL377" s="1853"/>
    </row>
    <row r="378" spans="1:168" s="310" customFormat="1" ht="11.25" hidden="1" customHeight="1">
      <c r="A378" s="3806" t="s">
        <v>187</v>
      </c>
      <c r="B378" s="1121"/>
      <c r="C378" s="1121"/>
      <c r="D378" s="1121"/>
      <c r="E378" s="1121"/>
      <c r="F378" s="1122">
        <f>+F15/F9</f>
        <v>13.318181818181818</v>
      </c>
      <c r="G378" s="1121"/>
      <c r="H378" s="1121"/>
      <c r="I378" s="1121"/>
      <c r="J378" s="1121"/>
      <c r="K378" s="1122">
        <f>+K15/K9</f>
        <v>0.55034540506594098</v>
      </c>
      <c r="L378" s="1121"/>
      <c r="M378" s="1121"/>
      <c r="N378" s="1121"/>
      <c r="O378" s="1121"/>
      <c r="P378" s="1122">
        <f>+P15/P9</f>
        <v>0.19091477101798068</v>
      </c>
      <c r="Q378" s="1121">
        <f>Q15/Q9</f>
        <v>0.1462220645619014</v>
      </c>
      <c r="R378" s="1121">
        <f>R15/R9</f>
        <v>0.10006974041069353</v>
      </c>
      <c r="S378" s="1121">
        <f>S15/S9</f>
        <v>8.8940630925363751E-2</v>
      </c>
      <c r="T378" s="1121">
        <f>T15/T9</f>
        <v>7.3711064356980008E-2</v>
      </c>
      <c r="U378" s="1122">
        <f>+U15/U9</f>
        <v>9.2021054584241521E-2</v>
      </c>
      <c r="V378" s="1121">
        <f>V15/V9</f>
        <v>7.0061124899852653E-2</v>
      </c>
      <c r="W378" s="1121">
        <f>W15/W9</f>
        <v>8.1494595601938127E-2</v>
      </c>
      <c r="X378" s="1121">
        <f>X15/X9</f>
        <v>0.13085783873350501</v>
      </c>
      <c r="Y378" s="1121">
        <f>Y15/Y9</f>
        <v>9.6197336885054732E-2</v>
      </c>
      <c r="Z378" s="1122">
        <f>+Z15/Z9</f>
        <v>9.7112947505910693E-2</v>
      </c>
      <c r="AA378" s="1121">
        <f>AA15/AA9</f>
        <v>9.2004907769145675E-2</v>
      </c>
      <c r="AB378" s="1121">
        <f>AB15/AB9</f>
        <v>0.10813889190836953</v>
      </c>
      <c r="AC378" s="1121">
        <f>AC15/AC9</f>
        <v>0.11413615063609994</v>
      </c>
      <c r="AD378" s="1121">
        <f>AD15/AD9</f>
        <v>0.13374569626777896</v>
      </c>
      <c r="AE378" s="1122">
        <f>+AE15/AE9</f>
        <v>0.11508437048443343</v>
      </c>
      <c r="AF378" s="1121">
        <f>AF15/AF9</f>
        <v>9.9925884820733127E-2</v>
      </c>
      <c r="AG378" s="1121">
        <f>AG15/AG9</f>
        <v>0.10758783385289411</v>
      </c>
      <c r="AH378" s="1121">
        <f>AH15/AH9</f>
        <v>0.14469159302753626</v>
      </c>
      <c r="AI378" s="1121">
        <f>AI15/AI9</f>
        <v>0.12174689493951101</v>
      </c>
      <c r="AJ378" s="1122">
        <f>+AJ15/AJ9</f>
        <v>0.12028403292757912</v>
      </c>
      <c r="AK378" s="1121">
        <f>AK15/AK9</f>
        <v>0.11333170914273431</v>
      </c>
      <c r="AL378" s="1121">
        <f>AL15/AL9</f>
        <v>0.12687571222001975</v>
      </c>
      <c r="AM378" s="1121">
        <f>AM15/AM9</f>
        <v>0.13458313063281718</v>
      </c>
      <c r="AN378" s="1121">
        <f>AN15/AN9</f>
        <v>0.13663694907349272</v>
      </c>
      <c r="AO378" s="1122">
        <f>+AO15/AO9</f>
        <v>0.12898642295789278</v>
      </c>
      <c r="AP378" s="1121">
        <f>AP15/AP9</f>
        <v>0.11327448197849573</v>
      </c>
      <c r="AQ378" s="1121">
        <f>AQ15/AQ9</f>
        <v>0.1377067125979049</v>
      </c>
      <c r="AR378" s="1121">
        <f>AR15/AR9</f>
        <v>0.13888037163925296</v>
      </c>
      <c r="AS378" s="1121">
        <f>AS15/AS9</f>
        <v>0.13859749355229689</v>
      </c>
      <c r="AT378" s="1122">
        <f>+AT15/AT9</f>
        <v>0.13294843692257716</v>
      </c>
      <c r="AU378" s="1121">
        <f>AU15/AU9</f>
        <v>0.12954410122662657</v>
      </c>
      <c r="AV378" s="1121">
        <f>AV15/AV9</f>
        <v>0.12712548340299268</v>
      </c>
      <c r="AW378" s="1121">
        <f>AW15/AW9</f>
        <v>0.13229943761839857</v>
      </c>
      <c r="AX378" s="1121">
        <f>AX15/AX9</f>
        <v>0.13070874319090686</v>
      </c>
      <c r="AY378" s="1122">
        <f>+AY15/AY9</f>
        <v>0.12996312323740566</v>
      </c>
      <c r="AZ378" s="1121">
        <f>AZ15/AZ9</f>
        <v>0.11614989332266151</v>
      </c>
      <c r="BA378" s="1121">
        <f>BA15/BA9</f>
        <v>0.12910958306620668</v>
      </c>
      <c r="BB378" s="1121">
        <f>BB15/BB9</f>
        <v>0.12812283739982921</v>
      </c>
      <c r="BC378" s="1121">
        <f>BC15/BC9</f>
        <v>0.11251622521496833</v>
      </c>
      <c r="BD378" s="1122">
        <f>+BD15/BD9</f>
        <v>0.12114107844296489</v>
      </c>
      <c r="BE378" s="1696">
        <f>BE15/BE9</f>
        <v>0.12381516587677725</v>
      </c>
      <c r="BF378" s="1121">
        <f>BF15/BF9</f>
        <v>0.13679245283018868</v>
      </c>
      <c r="BG378" s="1121">
        <f>BG15/BG9</f>
        <v>0.13683634373289547</v>
      </c>
      <c r="BH378" s="1121">
        <f>BH15/BH9</f>
        <v>0.12980693768639145</v>
      </c>
      <c r="BI378" s="1122">
        <f>+BI15/BI9</f>
        <v>0.13179421923286674</v>
      </c>
      <c r="BJ378" s="1121">
        <f>BJ15/BJ9</f>
        <v>0.15129264188465658</v>
      </c>
      <c r="BK378" s="1121">
        <f>BK15/BK9</f>
        <v>0.14271255060728744</v>
      </c>
      <c r="BL378" s="1121">
        <f>BL15/BL9</f>
        <v>0.14553928095872171</v>
      </c>
      <c r="BM378" s="1121">
        <f>BM15/BM9</f>
        <v>0.12687484632407181</v>
      </c>
      <c r="BN378" s="1122">
        <f>+BN15/BN9</f>
        <v>0.14094236519228787</v>
      </c>
      <c r="BO378" s="1121">
        <v>0.14038106945298096</v>
      </c>
      <c r="BP378" s="1121">
        <v>0.13324318701893073</v>
      </c>
      <c r="BQ378" s="1121">
        <v>0.13476303944929838</v>
      </c>
      <c r="BR378" s="1711">
        <v>0.13114031219684275</v>
      </c>
      <c r="BS378" s="1766">
        <v>0.13451594547118928</v>
      </c>
      <c r="BT378" s="1751">
        <f>BT15/BT9</f>
        <v>0.14038106945298096</v>
      </c>
      <c r="BU378" s="1121">
        <f>BU15/BU9</f>
        <v>0.13904830224772835</v>
      </c>
      <c r="BV378" s="1121">
        <f>BV15/BV9</f>
        <v>0.13590680676107811</v>
      </c>
      <c r="BW378" s="1121">
        <f>BW15/BW9</f>
        <v>0.13374045801526718</v>
      </c>
      <c r="BX378" s="1122">
        <f>+BX15/BX9</f>
        <v>0.13707493657896988</v>
      </c>
      <c r="BY378" s="1121">
        <v>0.13409648405560098</v>
      </c>
      <c r="BZ378" s="1121">
        <v>0.1411828344752975</v>
      </c>
      <c r="CA378" s="1121">
        <v>0.13119704722758158</v>
      </c>
      <c r="CB378" s="1121">
        <v>0.12119870091526425</v>
      </c>
      <c r="CC378" s="1122">
        <v>0.13134880591994619</v>
      </c>
      <c r="CD378" s="1121">
        <f>CD15/CD9</f>
        <v>0.12804084492942236</v>
      </c>
      <c r="CE378" s="1121">
        <f>CE15/CE9</f>
        <v>0.13522884882108183</v>
      </c>
      <c r="CF378" s="1121">
        <f>CF15/CF9</f>
        <v>0.1284548321276201</v>
      </c>
      <c r="CG378" s="1121">
        <f>CG15/CG9</f>
        <v>0.11833508106800032</v>
      </c>
      <c r="CH378" s="1122">
        <f>+CH15/CH9</f>
        <v>0.12704283303668432</v>
      </c>
      <c r="CI378" s="1121">
        <f>CI15/CI9</f>
        <v>0.13702001969149982</v>
      </c>
      <c r="CJ378" s="1121">
        <f>CJ15/CJ9</f>
        <v>0.14144684883904596</v>
      </c>
      <c r="CK378" s="1121">
        <f>CK15/CK9</f>
        <v>0.15096774193548387</v>
      </c>
      <c r="CL378" s="1121">
        <f>CL15/CL9</f>
        <v>0.15065939377200857</v>
      </c>
      <c r="CM378" s="1122">
        <f>+CM15/CM9</f>
        <v>0.14536035349687643</v>
      </c>
      <c r="CN378" s="1121">
        <f>CN15/CN9</f>
        <v>0.15366923021634443</v>
      </c>
      <c r="CO378" s="1121">
        <f>CO15/CO9</f>
        <v>0.15372822299651567</v>
      </c>
      <c r="CP378" s="1121">
        <f>CP15/CP9</f>
        <v>0.16473624991726785</v>
      </c>
      <c r="CQ378" s="1121">
        <f>CQ15/CQ9</f>
        <v>0.16041449577399561</v>
      </c>
      <c r="CR378" s="1122">
        <f>+CR15/CR9</f>
        <v>0.15836163967945124</v>
      </c>
      <c r="CS378" s="1121">
        <f>CS15/CS9</f>
        <v>0.15957253020827009</v>
      </c>
      <c r="CT378" s="1121">
        <f>CT15/CT9</f>
        <v>0.14972895863052782</v>
      </c>
      <c r="CU378" s="1121">
        <f>CU15/CU9</f>
        <v>0.14636816465050084</v>
      </c>
      <c r="CV378" s="1121">
        <f>CV15/CV9</f>
        <v>0.12796945701357465</v>
      </c>
      <c r="CW378" s="1122">
        <f>+CW15/CW9</f>
        <v>0.14481688645735516</v>
      </c>
      <c r="CX378" s="1121">
        <f>CX15/CX9</f>
        <v>0.14685715344161324</v>
      </c>
      <c r="CY378" s="1121"/>
      <c r="CZ378" s="1121"/>
      <c r="DA378" s="1121"/>
      <c r="DB378" s="1122"/>
      <c r="DC378" s="1121"/>
      <c r="DD378" s="1121"/>
      <c r="DE378" s="1121"/>
      <c r="DF378" s="1121"/>
      <c r="DG378" s="1122"/>
      <c r="DH378" s="1121"/>
      <c r="DI378" s="1121"/>
      <c r="DJ378" s="1121"/>
      <c r="DK378" s="1121"/>
      <c r="DL378" s="1122"/>
      <c r="DM378" s="1121"/>
      <c r="DN378" s="1121"/>
      <c r="DO378" s="1121"/>
      <c r="DP378" s="1121"/>
      <c r="DQ378" s="1122"/>
      <c r="DR378" s="1121"/>
      <c r="DS378" s="1121"/>
      <c r="DT378" s="1121"/>
      <c r="DU378" s="1121"/>
      <c r="DV378" s="1122"/>
      <c r="DW378" s="1121"/>
      <c r="DX378" s="1121"/>
      <c r="DY378" s="1121"/>
      <c r="DZ378" s="1121"/>
      <c r="EA378" s="1122"/>
      <c r="EB378" s="1121"/>
      <c r="EC378" s="1121"/>
      <c r="ED378" s="1121"/>
      <c r="EE378" s="1121"/>
      <c r="EF378" s="1122"/>
      <c r="EG378" s="1121"/>
      <c r="EH378" s="1121"/>
      <c r="EI378" s="1121"/>
      <c r="EJ378" s="1121"/>
      <c r="EK378" s="1122"/>
      <c r="EL378" s="1121"/>
      <c r="EM378" s="1121"/>
      <c r="EN378" s="1121"/>
      <c r="EO378" s="1121"/>
      <c r="EP378" s="1122"/>
      <c r="EQ378" s="1121"/>
      <c r="ER378" s="1121"/>
      <c r="ES378" s="1121"/>
      <c r="ET378" s="1121"/>
      <c r="EU378" s="1122"/>
      <c r="EV378" s="1122"/>
      <c r="EW378" s="1122"/>
      <c r="EX378" s="1122"/>
      <c r="EY378" s="1122"/>
      <c r="EZ378" s="139"/>
      <c r="FA378" s="1853"/>
      <c r="FB378" s="1853"/>
      <c r="FC378" s="1853"/>
      <c r="FD378" s="1853"/>
      <c r="FE378" s="1853"/>
      <c r="FF378" s="1853"/>
      <c r="FG378" s="1853"/>
      <c r="FH378" s="1853"/>
      <c r="FI378" s="1853"/>
      <c r="FJ378" s="1853"/>
      <c r="FK378" s="1853"/>
      <c r="FL378" s="1853"/>
    </row>
    <row r="379" spans="1:168" s="310" customFormat="1" ht="11.25" hidden="1" customHeight="1">
      <c r="A379" s="3806" t="s">
        <v>47</v>
      </c>
      <c r="B379" s="1121"/>
      <c r="C379" s="1121"/>
      <c r="D379" s="1121"/>
      <c r="E379" s="1121"/>
      <c r="F379" s="1122">
        <f>+F18/F9</f>
        <v>7.622727272727273</v>
      </c>
      <c r="G379" s="1121"/>
      <c r="H379" s="1121"/>
      <c r="I379" s="1121"/>
      <c r="J379" s="1121"/>
      <c r="K379" s="1122">
        <f>+K18/K9</f>
        <v>0.54348963784802173</v>
      </c>
      <c r="L379" s="1121"/>
      <c r="M379" s="1121"/>
      <c r="N379" s="1121"/>
      <c r="O379" s="1121"/>
      <c r="P379" s="1122">
        <f>+P18/P9</f>
        <v>0.23229120866405942</v>
      </c>
      <c r="Q379" s="1121">
        <f>Q18/Q9</f>
        <v>0.17249615702967955</v>
      </c>
      <c r="R379" s="1121">
        <f>R18/R9</f>
        <v>0.17320418442464161</v>
      </c>
      <c r="S379" s="1121">
        <f>S18/S9</f>
        <v>0.11498521422185544</v>
      </c>
      <c r="T379" s="1121">
        <f>T18/T9</f>
        <v>0.10024851368291414</v>
      </c>
      <c r="U379" s="1122">
        <f>+U18/U9</f>
        <v>0.12709560358020683</v>
      </c>
      <c r="V379" s="1121">
        <f>V18/V9</f>
        <v>9.9542263582221679E-2</v>
      </c>
      <c r="W379" s="1121">
        <f>W18/W9</f>
        <v>0.11564480059634737</v>
      </c>
      <c r="X379" s="1121">
        <f>X18/X9</f>
        <v>0.14603421772374278</v>
      </c>
      <c r="Y379" s="1121">
        <f>Y18/Y9</f>
        <v>0.13915265753721029</v>
      </c>
      <c r="Z379" s="1122">
        <f>+Z18/Z9</f>
        <v>0.12809013403221842</v>
      </c>
      <c r="AA379" s="1121">
        <f>AA18/AA9</f>
        <v>0.12585748027565477</v>
      </c>
      <c r="AB379" s="1121">
        <f>AB18/AB9</f>
        <v>0.13416812783273233</v>
      </c>
      <c r="AC379" s="1121">
        <f>AC18/AC9</f>
        <v>0.13024591092811544</v>
      </c>
      <c r="AD379" s="1121">
        <f>AD18/AD9</f>
        <v>0.11640840449500073</v>
      </c>
      <c r="AE379" s="1122">
        <f>+AE18/AE9</f>
        <v>0.12562615431461829</v>
      </c>
      <c r="AF379" s="1121">
        <f>AF18/AF9</f>
        <v>0.10438034551011753</v>
      </c>
      <c r="AG379" s="1121">
        <f>AG18/AG9</f>
        <v>0.10899429887381695</v>
      </c>
      <c r="AH379" s="1121">
        <f>AH18/AH9</f>
        <v>0.10013141556883487</v>
      </c>
      <c r="AI379" s="1121">
        <f>AI18/AI9</f>
        <v>0.11996183395444877</v>
      </c>
      <c r="AJ379" s="1122">
        <f>+AJ18/AJ9</f>
        <v>0.10928994750495698</v>
      </c>
      <c r="AK379" s="1121">
        <f>AK18/AK9</f>
        <v>0.11431210193994978</v>
      </c>
      <c r="AL379" s="1121">
        <f>AL18/AL9</f>
        <v>0.10899480019535178</v>
      </c>
      <c r="AM379" s="1121">
        <f>AM18/AM9</f>
        <v>0.1031420680762644</v>
      </c>
      <c r="AN379" s="1121">
        <f>AN18/AN9</f>
        <v>0.10794482214289557</v>
      </c>
      <c r="AO379" s="1122">
        <f>+AO18/AO9</f>
        <v>0.10829411168097101</v>
      </c>
      <c r="AP379" s="1121">
        <f>AP18/AP9</f>
        <v>0.10843190797415771</v>
      </c>
      <c r="AQ379" s="1121">
        <f>AQ18/AQ9</f>
        <v>0.11718449438928193</v>
      </c>
      <c r="AR379" s="1121">
        <f>AR18/AR9</f>
        <v>0.11656979148776291</v>
      </c>
      <c r="AS379" s="1121">
        <f>AS18/AS9</f>
        <v>0.11344001015688551</v>
      </c>
      <c r="AT379" s="1122">
        <f>+AT18/AT9</f>
        <v>0.11403231548389735</v>
      </c>
      <c r="AU379" s="1121">
        <f>AU18/AU9</f>
        <v>0.10928628827683849</v>
      </c>
      <c r="AV379" s="1121">
        <f>AV18/AV9</f>
        <v>0.1135198210638359</v>
      </c>
      <c r="AW379" s="1121">
        <f>AW18/AW9</f>
        <v>0.10980812790319772</v>
      </c>
      <c r="AX379" s="1121">
        <f>AX18/AX9</f>
        <v>0.10661212911278233</v>
      </c>
      <c r="AY379" s="1122">
        <f>+AY18/AY9</f>
        <v>0.10974762682386223</v>
      </c>
      <c r="AZ379" s="1121">
        <f>AZ18/AZ9</f>
        <v>9.2048180347309008E-2</v>
      </c>
      <c r="BA379" s="1121">
        <f>BA18/BA9</f>
        <v>0.10117720834993021</v>
      </c>
      <c r="BB379" s="1121">
        <f>BB18/BB9</f>
        <v>9.9313326348407921E-2</v>
      </c>
      <c r="BC379" s="1121">
        <f>BC18/BC9</f>
        <v>0.10715052214452873</v>
      </c>
      <c r="BD379" s="1122">
        <f>+BD18/BD9</f>
        <v>0.10027499911762085</v>
      </c>
      <c r="BE379" s="1696">
        <f>BE18/BE9</f>
        <v>0.10920221169036334</v>
      </c>
      <c r="BF379" s="1121">
        <f>BF18/BF9</f>
        <v>0.11261792452830188</v>
      </c>
      <c r="BG379" s="1121">
        <f>BG18/BG9</f>
        <v>0.10691479656996898</v>
      </c>
      <c r="BH379" s="1121">
        <f>BH18/BH9</f>
        <v>0.12964997645581541</v>
      </c>
      <c r="BI379" s="1122">
        <f>+BI18/BI9</f>
        <v>0.11534266497000545</v>
      </c>
      <c r="BJ379" s="1121">
        <f>BJ18/BJ9</f>
        <v>0.14502065167508033</v>
      </c>
      <c r="BK379" s="1121">
        <f>BK18/BK9</f>
        <v>0.14705031810294969</v>
      </c>
      <c r="BL379" s="1121">
        <f>BL18/BL9</f>
        <v>0.14647137150466044</v>
      </c>
      <c r="BM379" s="1121">
        <f>BM18/BM9</f>
        <v>0.14298008359970493</v>
      </c>
      <c r="BN379" s="1122">
        <f>+BN18/BN9</f>
        <v>0.14530707633089321</v>
      </c>
      <c r="BO379" s="1121">
        <v>0.14406883835279655</v>
      </c>
      <c r="BP379" s="1121">
        <v>0.13459538173496985</v>
      </c>
      <c r="BQ379" s="1121">
        <v>0.13423351866560762</v>
      </c>
      <c r="BR379" s="1711">
        <v>0.14207602081312284</v>
      </c>
      <c r="BS379" s="1766">
        <v>0.13849922066354933</v>
      </c>
      <c r="BT379" s="1751">
        <f>BT18/BT9</f>
        <v>0.14406883835279655</v>
      </c>
      <c r="BU379" s="1121">
        <f>BU18/BU9</f>
        <v>0.14167862266857964</v>
      </c>
      <c r="BV379" s="1121">
        <f>BV18/BV9</f>
        <v>0.14378711740520786</v>
      </c>
      <c r="BW379" s="1121">
        <f>BW18/BW9</f>
        <v>0.14259541984732824</v>
      </c>
      <c r="BX379" s="1122">
        <f>+BX18/BX9</f>
        <v>0.1430037340022233</v>
      </c>
      <c r="BY379" s="1121">
        <v>0.13273371490869446</v>
      </c>
      <c r="BZ379" s="1121">
        <v>0.14433826181031373</v>
      </c>
      <c r="CA379" s="1121">
        <v>0.13807566479322206</v>
      </c>
      <c r="CB379" s="1121">
        <v>0.14540891644523177</v>
      </c>
      <c r="CC379" s="1122">
        <v>0.14038849646821391</v>
      </c>
      <c r="CD379" s="1121">
        <f>CD18/CD9</f>
        <v>0.13184502953248572</v>
      </c>
      <c r="CE379" s="1121">
        <f>CE18/CE9</f>
        <v>0.14444224291658411</v>
      </c>
      <c r="CF379" s="1121">
        <f>CF18/CF9</f>
        <v>0.13661658319421258</v>
      </c>
      <c r="CG379" s="1121">
        <f>CG18/CG9</f>
        <v>0.14148584334919739</v>
      </c>
      <c r="CH379" s="1122">
        <f>+CH18/CH9</f>
        <v>0.13873928018307483</v>
      </c>
      <c r="CI379" s="1121">
        <f>CI18/CI9</f>
        <v>0.12979980308500164</v>
      </c>
      <c r="CJ379" s="1121">
        <f>CJ18/CJ9</f>
        <v>0.14081503711893856</v>
      </c>
      <c r="CK379" s="1121">
        <f>CK18/CK9</f>
        <v>0.1432258064516129</v>
      </c>
      <c r="CL379" s="1121">
        <f>CL18/CL9</f>
        <v>0.14941655734309189</v>
      </c>
      <c r="CM379" s="1122">
        <f>+CM18/CM9</f>
        <v>0.14124638122809691</v>
      </c>
      <c r="CN379" s="1121">
        <f>CN18/CN9</f>
        <v>0.13368791777474304</v>
      </c>
      <c r="CO379" s="1121">
        <f>CO18/CO9</f>
        <v>0.13128919860627178</v>
      </c>
      <c r="CP379" s="1121">
        <f>CP18/CP9</f>
        <v>0.13058441988218941</v>
      </c>
      <c r="CQ379" s="1121">
        <f>CQ18/CQ9</f>
        <v>0.14119485932615491</v>
      </c>
      <c r="CR379" s="1122">
        <f>+CR18/CR9</f>
        <v>0.13448537413844278</v>
      </c>
      <c r="CS379" s="1121">
        <f>CS18/CS9</f>
        <v>0.13024470216770903</v>
      </c>
      <c r="CT379" s="1121">
        <f>CT18/CT9</f>
        <v>0.1242225392296719</v>
      </c>
      <c r="CU379" s="1121">
        <f>CU18/CU9</f>
        <v>0.1241447260386447</v>
      </c>
      <c r="CV379" s="1121">
        <f>CV18/CV9</f>
        <v>0.13277714932126697</v>
      </c>
      <c r="CW379" s="1122">
        <f>+CW18/CW9</f>
        <v>0.12802297254998027</v>
      </c>
      <c r="CX379" s="1121">
        <f>CX18/CX9</f>
        <v>0.11512459586995964</v>
      </c>
      <c r="CY379" s="1121"/>
      <c r="CZ379" s="1121"/>
      <c r="DA379" s="1121"/>
      <c r="DB379" s="1122"/>
      <c r="DC379" s="1121"/>
      <c r="DD379" s="1121"/>
      <c r="DE379" s="1121"/>
      <c r="DF379" s="1121"/>
      <c r="DG379" s="1122"/>
      <c r="DH379" s="1121"/>
      <c r="DI379" s="1121"/>
      <c r="DJ379" s="1121"/>
      <c r="DK379" s="1121"/>
      <c r="DL379" s="1122"/>
      <c r="DM379" s="1121"/>
      <c r="DN379" s="1121"/>
      <c r="DO379" s="1121"/>
      <c r="DP379" s="1121"/>
      <c r="DQ379" s="1122"/>
      <c r="DR379" s="1121"/>
      <c r="DS379" s="1121"/>
      <c r="DT379" s="1121"/>
      <c r="DU379" s="1121"/>
      <c r="DV379" s="1122"/>
      <c r="DW379" s="1121"/>
      <c r="DX379" s="1121"/>
      <c r="DY379" s="1121"/>
      <c r="DZ379" s="1121"/>
      <c r="EA379" s="1122"/>
      <c r="EB379" s="1121"/>
      <c r="EC379" s="1121"/>
      <c r="ED379" s="1121"/>
      <c r="EE379" s="1121"/>
      <c r="EF379" s="1122"/>
      <c r="EG379" s="1121"/>
      <c r="EH379" s="1121"/>
      <c r="EI379" s="1121"/>
      <c r="EJ379" s="1121"/>
      <c r="EK379" s="1122"/>
      <c r="EL379" s="1121"/>
      <c r="EM379" s="1121"/>
      <c r="EN379" s="1121"/>
      <c r="EO379" s="1121"/>
      <c r="EP379" s="1122"/>
      <c r="EQ379" s="1121"/>
      <c r="ER379" s="1121"/>
      <c r="ES379" s="1121"/>
      <c r="ET379" s="1121"/>
      <c r="EU379" s="1122"/>
      <c r="EV379" s="1122"/>
      <c r="EW379" s="1122"/>
      <c r="EX379" s="1122"/>
      <c r="EY379" s="1122"/>
      <c r="EZ379" s="139"/>
      <c r="FA379" s="1853"/>
      <c r="FB379" s="1853"/>
      <c r="FC379" s="1853"/>
      <c r="FD379" s="1853"/>
      <c r="FE379" s="1853"/>
      <c r="FF379" s="1853"/>
      <c r="FG379" s="1853"/>
      <c r="FH379" s="1853"/>
      <c r="FI379" s="1853"/>
      <c r="FJ379" s="1853"/>
      <c r="FK379" s="1853"/>
      <c r="FL379" s="1853"/>
    </row>
    <row r="380" spans="1:168" s="285" customFormat="1" ht="11.25" hidden="1" customHeight="1">
      <c r="A380" s="3806" t="s">
        <v>51</v>
      </c>
      <c r="B380" s="1121"/>
      <c r="C380" s="1121"/>
      <c r="D380" s="1121"/>
      <c r="E380" s="1121"/>
      <c r="F380" s="1122">
        <f>+F21/F9</f>
        <v>5.5500000000000007</v>
      </c>
      <c r="G380" s="1121"/>
      <c r="H380" s="1121"/>
      <c r="I380" s="1121"/>
      <c r="J380" s="1121"/>
      <c r="K380" s="1122">
        <f>+K21/K9</f>
        <v>0.22801967762193845</v>
      </c>
      <c r="L380" s="1121"/>
      <c r="M380" s="1121"/>
      <c r="N380" s="1121"/>
      <c r="O380" s="1121"/>
      <c r="P380" s="1122">
        <f>+P21/P9</f>
        <v>0.14202901904519474</v>
      </c>
      <c r="Q380" s="1121">
        <f>Q21/Q9</f>
        <v>9.7788814000236493E-2</v>
      </c>
      <c r="R380" s="1121">
        <f>R21/R9</f>
        <v>8.7609453700116219E-2</v>
      </c>
      <c r="S380" s="1121">
        <f>S21/S9</f>
        <v>7.1846110014048933E-2</v>
      </c>
      <c r="T380" s="1121">
        <f>T21/T9</f>
        <v>5.2774336380497174E-2</v>
      </c>
      <c r="U380" s="1122">
        <f>+U21/U9</f>
        <v>7.0433149376246326E-2</v>
      </c>
      <c r="V380" s="1121">
        <f>V21/V9</f>
        <v>5.6177760845327669E-2</v>
      </c>
      <c r="W380" s="1121">
        <f>W21/W9</f>
        <v>5.8400111815132313E-2</v>
      </c>
      <c r="X380" s="1121">
        <f>X21/X9</f>
        <v>5.5311333373260663E-2</v>
      </c>
      <c r="Y380" s="1121">
        <f>Y21/Y9</f>
        <v>6.8568956017023924E-2</v>
      </c>
      <c r="Z380" s="1122">
        <f>+Z21/Z9</f>
        <v>6.0356546352409675E-2</v>
      </c>
      <c r="AA380" s="1121">
        <f>AA21/AA9</f>
        <v>5.6502400025221937E-2</v>
      </c>
      <c r="AB380" s="1121">
        <f>AB21/AB9</f>
        <v>6.044028753857715E-2</v>
      </c>
      <c r="AC380" s="1121">
        <f>AC21/AC9</f>
        <v>8.106372530502777E-2</v>
      </c>
      <c r="AD380" s="1121">
        <f>AD21/AD9</f>
        <v>7.9295740394895647E-2</v>
      </c>
      <c r="AE380" s="1122">
        <f>+AE21/AE9</f>
        <v>7.1254461054617024E-2</v>
      </c>
      <c r="AF380" s="1121">
        <f>AF21/AF9</f>
        <v>7.2059080745279086E-2</v>
      </c>
      <c r="AG380" s="1121">
        <f>AG21/AG9</f>
        <v>8.0397674614542086E-2</v>
      </c>
      <c r="AH380" s="1121">
        <f>AH21/AH9</f>
        <v>8.8151427356181977E-2</v>
      </c>
      <c r="AI380" s="1121">
        <f>AI21/AI9</f>
        <v>8.8421364304361039E-2</v>
      </c>
      <c r="AJ380" s="1122">
        <f>+AJ21/AJ9</f>
        <v>8.3344144498806796E-2</v>
      </c>
      <c r="AK380" s="1121">
        <f>AK21/AK9</f>
        <v>9.5380266345486228E-2</v>
      </c>
      <c r="AL380" s="1121">
        <f>AL21/AL9</f>
        <v>9.0170645522709647E-2</v>
      </c>
      <c r="AM380" s="1121">
        <f>AM21/AM9</f>
        <v>9.0476928613839561E-2</v>
      </c>
      <c r="AN380" s="1121">
        <f>AN21/AN9</f>
        <v>8.6468778588982359E-2</v>
      </c>
      <c r="AO380" s="1122">
        <f>+AO21/AO9</f>
        <v>9.0210714158445407E-2</v>
      </c>
      <c r="AP380" s="1121">
        <f>AP21/AP9</f>
        <v>9.0573267022169474E-2</v>
      </c>
      <c r="AQ380" s="1121">
        <f>AQ21/AQ9</f>
        <v>0.10238642737783728</v>
      </c>
      <c r="AR380" s="1121">
        <f>AR21/AR9</f>
        <v>9.568900194038267E-2</v>
      </c>
      <c r="AS380" s="1121">
        <f>AS21/AS9</f>
        <v>9.9637275179258689E-2</v>
      </c>
      <c r="AT380" s="1122">
        <f>+AT21/AT9</f>
        <v>9.7286585792051461E-2</v>
      </c>
      <c r="AU380" s="1121">
        <f>AU21/AU9</f>
        <v>0.10110391254977825</v>
      </c>
      <c r="AV380" s="1121">
        <f>AV21/AV9</f>
        <v>0.11336878973562325</v>
      </c>
      <c r="AW380" s="1121">
        <f>AW21/AW9</f>
        <v>0.11653298106735112</v>
      </c>
      <c r="AX380" s="1121">
        <f>AX21/AX9</f>
        <v>8.9084538266783184E-2</v>
      </c>
      <c r="AY380" s="1122">
        <f>+AY21/AY9</f>
        <v>0.10485546773652203</v>
      </c>
      <c r="AZ380" s="1121">
        <f>AZ21/AZ9</f>
        <v>0.10089589322936487</v>
      </c>
      <c r="BA380" s="1121">
        <f>BA21/BA9</f>
        <v>7.9712144582327796E-2</v>
      </c>
      <c r="BB380" s="1121">
        <f>BB21/BB9</f>
        <v>7.8616893562733797E-2</v>
      </c>
      <c r="BC380" s="1121">
        <f>BC21/BC9</f>
        <v>8.6115132853443174E-2</v>
      </c>
      <c r="BD380" s="1122">
        <f>+BD21/BD9</f>
        <v>8.6187250756486422E-2</v>
      </c>
      <c r="BE380" s="1696">
        <f>BE21/BE9</f>
        <v>7.3064770932069506E-2</v>
      </c>
      <c r="BF380" s="1121">
        <f>BF21/BF9</f>
        <v>8.2154088050314461E-2</v>
      </c>
      <c r="BG380" s="1121">
        <f>BG21/BG9</f>
        <v>8.7392811530742562E-2</v>
      </c>
      <c r="BH380" s="1121">
        <f>BH21/BH9</f>
        <v>7.9736305132632246E-2</v>
      </c>
      <c r="BI380" s="1122">
        <f>+BI21/BI9</f>
        <v>8.0667151427013264E-2</v>
      </c>
      <c r="BJ380" s="1121">
        <f>BJ21/BJ9</f>
        <v>8.0006119014838617E-2</v>
      </c>
      <c r="BK380" s="1121">
        <f>BK21/BK9</f>
        <v>8.4586466165413529E-2</v>
      </c>
      <c r="BL380" s="1121">
        <f>BL21/BL9</f>
        <v>7.8828229027962715E-2</v>
      </c>
      <c r="BM380" s="1121">
        <f>BM21/BM9</f>
        <v>8.8640275387263337E-2</v>
      </c>
      <c r="BN380" s="1122">
        <f>+BN21/BN9</f>
        <v>8.3204454067429628E-2</v>
      </c>
      <c r="BO380" s="1121">
        <v>8.2483097725875851E-2</v>
      </c>
      <c r="BP380" s="1121">
        <v>8.0195548158934885E-2</v>
      </c>
      <c r="BQ380" s="1121">
        <v>7.8810343305974764E-2</v>
      </c>
      <c r="BR380" s="1711">
        <v>8.8808536908016586E-2</v>
      </c>
      <c r="BS380" s="1766">
        <v>8.2683886291100725E-2</v>
      </c>
      <c r="BT380" s="1751">
        <f>BT21/BT9</f>
        <v>8.2483097725875851E-2</v>
      </c>
      <c r="BU380" s="1121">
        <f>BU21/BU9</f>
        <v>8.6800573888091828E-2</v>
      </c>
      <c r="BV380" s="1121">
        <f>BV21/BV9</f>
        <v>9.0109639104613976E-2</v>
      </c>
      <c r="BW380" s="1121">
        <f>BW21/BW9</f>
        <v>9.2010178117048341E-2</v>
      </c>
      <c r="BX380" s="1122">
        <f>+BX21/BX9</f>
        <v>8.8076846335832168E-2</v>
      </c>
      <c r="BY380" s="1121">
        <v>9.2486599436722092E-2</v>
      </c>
      <c r="BZ380" s="1121">
        <v>9.7728092318788318E-2</v>
      </c>
      <c r="CA380" s="1121">
        <v>9.0344769734082717E-2</v>
      </c>
      <c r="CB380" s="1121">
        <v>8.3997638027753174E-2</v>
      </c>
      <c r="CC380" s="1122">
        <v>9.0754288597376387E-2</v>
      </c>
      <c r="CD380" s="1121">
        <f>CD21/CD9</f>
        <v>9.1600760836920619E-2</v>
      </c>
      <c r="CE380" s="1121">
        <f>CE21/CE9</f>
        <v>9.8177134931642554E-2</v>
      </c>
      <c r="CF380" s="1121">
        <f>CF21/CF9</f>
        <v>9.3025412724911896E-2</v>
      </c>
      <c r="CG380" s="1121">
        <f>CG21/CG9</f>
        <v>8.534322820037106E-2</v>
      </c>
      <c r="CH380" s="1122">
        <f>+CH21/CH9</f>
        <v>9.1699221007373849E-2</v>
      </c>
      <c r="CI380" s="1121">
        <f>CI21/CI9</f>
        <v>0.11060059074499508</v>
      </c>
      <c r="CJ380" s="1121">
        <f>CJ21/CJ9</f>
        <v>9.7062075501500547E-2</v>
      </c>
      <c r="CK380" s="1121">
        <f>CK21/CK9</f>
        <v>8.6679316888045546E-2</v>
      </c>
      <c r="CL380" s="1121">
        <f>CL21/CL9</f>
        <v>9.7148380860318989E-2</v>
      </c>
      <c r="CM380" s="1122">
        <f>+CM21/CM9</f>
        <v>9.7630656711869573E-2</v>
      </c>
      <c r="CN380" s="1121">
        <f>CN21/CN9</f>
        <v>0.10163156759864875</v>
      </c>
      <c r="CO380" s="1121">
        <f>CO21/CO9</f>
        <v>8.7804878048780483E-2</v>
      </c>
      <c r="CP380" s="1121">
        <f>CP21/CP9</f>
        <v>8.3857303593884436E-2</v>
      </c>
      <c r="CQ380" s="1121">
        <f>CQ21/CQ9</f>
        <v>7.9136274169271742E-2</v>
      </c>
      <c r="CR380" s="1122">
        <f>+CR21/CR9</f>
        <v>8.7524321472149849E-2</v>
      </c>
      <c r="CS380" s="1121">
        <f>CS21/CS9</f>
        <v>7.5353694820571984E-2</v>
      </c>
      <c r="CT380" s="1121">
        <f>CT21/CT9</f>
        <v>7.7203994293865902E-2</v>
      </c>
      <c r="CU380" s="1121">
        <f>CU21/CU9</f>
        <v>8.2544200558322844E-2</v>
      </c>
      <c r="CV380" s="1121">
        <f>CV21/CV9</f>
        <v>8.1165158371040727E-2</v>
      </c>
      <c r="CW380" s="1122">
        <f>+CW21/CW9</f>
        <v>7.926074116414214E-2</v>
      </c>
      <c r="CX380" s="1121">
        <f>CX21/CX9</f>
        <v>7.3173982131829421E-2</v>
      </c>
      <c r="CY380" s="1121"/>
      <c r="CZ380" s="1121"/>
      <c r="DA380" s="1121"/>
      <c r="DB380" s="1122"/>
      <c r="DC380" s="1121"/>
      <c r="DD380" s="1121"/>
      <c r="DE380" s="1121"/>
      <c r="DF380" s="1121"/>
      <c r="DG380" s="1122"/>
      <c r="DH380" s="1121"/>
      <c r="DI380" s="1121"/>
      <c r="DJ380" s="1121"/>
      <c r="DK380" s="1121"/>
      <c r="DL380" s="1122"/>
      <c r="DM380" s="1121"/>
      <c r="DN380" s="1121"/>
      <c r="DO380" s="1121"/>
      <c r="DP380" s="1121"/>
      <c r="DQ380" s="1122"/>
      <c r="DR380" s="1121"/>
      <c r="DS380" s="1121"/>
      <c r="DT380" s="1121"/>
      <c r="DU380" s="1121"/>
      <c r="DV380" s="1122"/>
      <c r="DW380" s="1121"/>
      <c r="DX380" s="1121"/>
      <c r="DY380" s="1121"/>
      <c r="DZ380" s="1121"/>
      <c r="EA380" s="1122"/>
      <c r="EB380" s="1121"/>
      <c r="EC380" s="1121"/>
      <c r="ED380" s="1121"/>
      <c r="EE380" s="1121"/>
      <c r="EF380" s="1122"/>
      <c r="EG380" s="1121"/>
      <c r="EH380" s="1121"/>
      <c r="EI380" s="1121"/>
      <c r="EJ380" s="1121"/>
      <c r="EK380" s="1122"/>
      <c r="EL380" s="1121"/>
      <c r="EM380" s="1121"/>
      <c r="EN380" s="1121"/>
      <c r="EO380" s="1121"/>
      <c r="EP380" s="1122"/>
      <c r="EQ380" s="1121"/>
      <c r="ER380" s="1121"/>
      <c r="ES380" s="1121"/>
      <c r="ET380" s="1121"/>
      <c r="EU380" s="1122"/>
      <c r="EV380" s="1122"/>
      <c r="EW380" s="1122"/>
      <c r="EX380" s="1122"/>
      <c r="EY380" s="1122"/>
      <c r="EZ380" s="139"/>
      <c r="FA380" s="1853"/>
      <c r="FB380" s="1853"/>
      <c r="FC380" s="1853"/>
      <c r="FD380" s="1853"/>
      <c r="FE380" s="1853"/>
      <c r="FF380" s="1853"/>
      <c r="FG380" s="1853"/>
      <c r="FH380" s="1853"/>
      <c r="FI380" s="1853"/>
      <c r="FJ380" s="1853"/>
      <c r="FK380" s="1853"/>
      <c r="FL380" s="1853"/>
    </row>
    <row r="381" spans="1:168" s="285" customFormat="1" ht="11.25" hidden="1" customHeight="1">
      <c r="A381" s="3810" t="s">
        <v>53</v>
      </c>
      <c r="B381" s="1801"/>
      <c r="C381" s="1801"/>
      <c r="D381" s="1801"/>
      <c r="E381" s="1801"/>
      <c r="F381" s="1767">
        <f>F24/F9</f>
        <v>0</v>
      </c>
      <c r="G381" s="1801"/>
      <c r="H381" s="1801"/>
      <c r="I381" s="1801"/>
      <c r="J381" s="1801"/>
      <c r="K381" s="1767">
        <f>K24/K9</f>
        <v>0.1311492568557672</v>
      </c>
      <c r="L381" s="1801"/>
      <c r="M381" s="1801"/>
      <c r="N381" s="1801"/>
      <c r="O381" s="1801"/>
      <c r="P381" s="1767">
        <f t="shared" ref="P381:BC381" si="1661">P24/P9</f>
        <v>0.14327864300094878</v>
      </c>
      <c r="Q381" s="1801">
        <f t="shared" si="1661"/>
        <v>8.9251507626818022E-2</v>
      </c>
      <c r="R381" s="1801">
        <f t="shared" si="1661"/>
        <v>5.7884540875629595E-2</v>
      </c>
      <c r="S381" s="1801">
        <f t="shared" si="1661"/>
        <v>6.0734671421694322E-2</v>
      </c>
      <c r="T381" s="1801">
        <f t="shared" si="1661"/>
        <v>5.8235772774922839E-2</v>
      </c>
      <c r="U381" s="1767">
        <f t="shared" si="1661"/>
        <v>6.270869081296665E-2</v>
      </c>
      <c r="V381" s="1801">
        <f t="shared" si="1661"/>
        <v>0.20403726882069842</v>
      </c>
      <c r="W381" s="1801">
        <f t="shared" si="1661"/>
        <v>0.15917349981364143</v>
      </c>
      <c r="X381" s="1801">
        <f t="shared" si="1661"/>
        <v>0.29463975564472655</v>
      </c>
      <c r="Y381" s="1801">
        <f t="shared" si="1661"/>
        <v>0.28728377825629864</v>
      </c>
      <c r="Z381" s="1767">
        <f t="shared" si="1661"/>
        <v>0.24415664875809159</v>
      </c>
      <c r="AA381" s="1801">
        <f t="shared" si="1661"/>
        <v>0.20091639715097168</v>
      </c>
      <c r="AB381" s="1801">
        <f t="shared" si="1661"/>
        <v>0.17666561116126073</v>
      </c>
      <c r="AC381" s="1801">
        <f t="shared" si="1661"/>
        <v>0.13515458650024753</v>
      </c>
      <c r="AD381" s="1801">
        <f t="shared" si="1661"/>
        <v>9.105481398546636E-2</v>
      </c>
      <c r="AE381" s="1767">
        <f t="shared" si="1661"/>
        <v>0.14217534718060326</v>
      </c>
      <c r="AF381" s="1801">
        <f t="shared" si="1661"/>
        <v>6.1542023558308762E-2</v>
      </c>
      <c r="AG381" s="1801">
        <f t="shared" si="1661"/>
        <v>5.3178307636138962E-2</v>
      </c>
      <c r="AH381" s="1801">
        <f t="shared" si="1661"/>
        <v>4.4162497544302695E-2</v>
      </c>
      <c r="AI381" s="1801">
        <f t="shared" si="1661"/>
        <v>4.5075308955843961E-2</v>
      </c>
      <c r="AJ381" s="1767">
        <f t="shared" si="1661"/>
        <v>4.9882468962013787E-2</v>
      </c>
      <c r="AK381" s="1801">
        <f t="shared" si="1661"/>
        <v>7.4893910526257337E-2</v>
      </c>
      <c r="AL381" s="1801">
        <f t="shared" si="1661"/>
        <v>6.5326136918613012E-2</v>
      </c>
      <c r="AM381" s="1801">
        <f t="shared" si="1661"/>
        <v>5.3561208940742087E-2</v>
      </c>
      <c r="AN381" s="1801">
        <f t="shared" si="1661"/>
        <v>6.0284409923403941E-2</v>
      </c>
      <c r="AO381" s="1767">
        <f t="shared" si="1661"/>
        <v>6.2786624160172361E-2</v>
      </c>
      <c r="AP381" s="1801">
        <f t="shared" si="1661"/>
        <v>7.2418439355967187E-2</v>
      </c>
      <c r="AQ381" s="1801">
        <f t="shared" si="1661"/>
        <v>8.8662854726306792E-2</v>
      </c>
      <c r="AR381" s="1801">
        <f t="shared" si="1661"/>
        <v>6.576106617731331E-2</v>
      </c>
      <c r="AS381" s="1801">
        <f t="shared" si="1661"/>
        <v>7.2426860828524328E-2</v>
      </c>
      <c r="AT381" s="1767">
        <f t="shared" si="1661"/>
        <v>7.4497258044029957E-2</v>
      </c>
      <c r="AU381" s="1801">
        <f t="shared" si="1661"/>
        <v>7.5893210698607633E-2</v>
      </c>
      <c r="AV381" s="1801">
        <f t="shared" si="1661"/>
        <v>7.0064152354650328E-2</v>
      </c>
      <c r="AW381" s="1801">
        <f t="shared" si="1661"/>
        <v>6.9210626800306971E-2</v>
      </c>
      <c r="AX381" s="1801">
        <f t="shared" si="1661"/>
        <v>6.78531137478358E-2</v>
      </c>
      <c r="AY381" s="1767">
        <f t="shared" si="1661"/>
        <v>7.061830034412174E-2</v>
      </c>
      <c r="AZ381" s="1801">
        <f t="shared" si="1661"/>
        <v>6.8126922708646884E-2</v>
      </c>
      <c r="BA381" s="1801">
        <f t="shared" si="1661"/>
        <v>7.2015457263874608E-2</v>
      </c>
      <c r="BB381" s="1801">
        <f t="shared" si="1661"/>
        <v>7.2401602048506083E-2</v>
      </c>
      <c r="BC381" s="1801">
        <f t="shared" si="1661"/>
        <v>5.5719240636720936E-2</v>
      </c>
      <c r="BD381" s="1767">
        <f>+BD24/BD9</f>
        <v>6.6589108826783525E-2</v>
      </c>
      <c r="BE381" s="1802">
        <f>BE24/BE9</f>
        <v>5.7464454976303314E-2</v>
      </c>
      <c r="BF381" s="1801">
        <f>BF24/BF9</f>
        <v>6.0731132075471699E-2</v>
      </c>
      <c r="BG381" s="1801">
        <f>BG24/BG9</f>
        <v>6.933041415800037E-2</v>
      </c>
      <c r="BH381" s="1801">
        <f>BH24/BH9</f>
        <v>6.2156647308114897E-2</v>
      </c>
      <c r="BI381" s="1767">
        <f>+BI24/BI9</f>
        <v>6.2534084711870566E-2</v>
      </c>
      <c r="BJ381" s="1801">
        <f>BJ24/BJ9</f>
        <v>6.6085360256998626E-2</v>
      </c>
      <c r="BK381" s="1801">
        <f>BK24/BK9</f>
        <v>6.2897628687102372E-2</v>
      </c>
      <c r="BL381" s="1801">
        <f>BL24/BL9</f>
        <v>7.6031957390146468E-2</v>
      </c>
      <c r="BM381" s="1801">
        <f>BM24/BM9</f>
        <v>6.5896238013277597E-2</v>
      </c>
      <c r="BN381" s="1767">
        <f>+BN24/BN9</f>
        <v>6.784204557170842E-2</v>
      </c>
      <c r="BO381" s="1801">
        <v>6.8346650276582668E-2</v>
      </c>
      <c r="BP381" s="1801">
        <v>7.769918868317037E-2</v>
      </c>
      <c r="BQ381" s="1801">
        <v>9.3901685641161414E-2</v>
      </c>
      <c r="BR381" s="1803">
        <v>7.7431872299144541E-2</v>
      </c>
      <c r="BS381" s="1804">
        <v>8.028402483980307E-2</v>
      </c>
      <c r="BT381" s="1805">
        <f>BT24/BT9</f>
        <v>6.8346650276582668E-2</v>
      </c>
      <c r="BU381" s="1801">
        <f>BU24/BU9</f>
        <v>6.5997130559540887E-2</v>
      </c>
      <c r="BV381" s="1801">
        <f>BV24/BV9</f>
        <v>7.8574691640018277E-2</v>
      </c>
      <c r="BW381" s="1801">
        <f>BW24/BW9</f>
        <v>6.8905852417302793E-2</v>
      </c>
      <c r="BX381" s="1767">
        <f>+BX24/BX9</f>
        <v>7.0489980902431373E-2</v>
      </c>
      <c r="BY381" s="1801">
        <v>5.3874806941037523E-2</v>
      </c>
      <c r="BZ381" s="1801">
        <v>7.0591417237648751E-2</v>
      </c>
      <c r="CA381" s="1801">
        <v>7.4322623940944549E-2</v>
      </c>
      <c r="CB381" s="1801">
        <v>6.7685267198110424E-2</v>
      </c>
      <c r="CC381" s="1767">
        <v>6.6830642448705013E-2</v>
      </c>
      <c r="CD381" s="1801">
        <f>CD24/CD9</f>
        <v>6.5572129342276506E-2</v>
      </c>
      <c r="CE381" s="1801">
        <f>CE24/CE9</f>
        <v>7.3608084010303151E-2</v>
      </c>
      <c r="CF381" s="1801">
        <f>CF24/CF9</f>
        <v>7.9391578556854012E-2</v>
      </c>
      <c r="CG381" s="1801">
        <f>CG24/CG9</f>
        <v>7.0420262966846822E-2</v>
      </c>
      <c r="CH381" s="1767">
        <f>+CH24/CH9</f>
        <v>7.2282194124037816E-2</v>
      </c>
      <c r="CI381" s="1801">
        <f>CI24/CI9</f>
        <v>6.883820150968166E-2</v>
      </c>
      <c r="CJ381" s="1801">
        <f>CJ24/CJ9</f>
        <v>6.9499289211814877E-2</v>
      </c>
      <c r="CK381" s="1801">
        <f>CK24/CK9</f>
        <v>9.5256166982922205E-2</v>
      </c>
      <c r="CL381" s="1801">
        <f>CL24/CL9</f>
        <v>8.2924808396050542E-2</v>
      </c>
      <c r="CM381" s="1767">
        <f>+CM24/CM9</f>
        <v>7.9517751028493067E-2</v>
      </c>
      <c r="CN381" s="1801">
        <f>CN24/CN9</f>
        <v>8.6465895205922516E-2</v>
      </c>
      <c r="CO381" s="1801">
        <f>CO24/CO9</f>
        <v>7.8885017421602782E-2</v>
      </c>
      <c r="CP381" s="1801">
        <f>CP24/CP9</f>
        <v>9.4777946919054862E-2</v>
      </c>
      <c r="CQ381" s="1801">
        <f>CQ24/CQ9</f>
        <v>8.3130716684033809E-2</v>
      </c>
      <c r="CR381" s="1767">
        <f>+CR24/CR9</f>
        <v>8.5792962437753514E-2</v>
      </c>
      <c r="CS381" s="1801">
        <f>CS24/CS9</f>
        <v>9.0715890460865867E-2</v>
      </c>
      <c r="CT381" s="1801">
        <f>CT24/CT9</f>
        <v>8.5763195435092726E-2</v>
      </c>
      <c r="CU381" s="1801">
        <f>CU24/CU9</f>
        <v>0.10181181235973508</v>
      </c>
      <c r="CV381" s="1801">
        <f>CV24/CV9</f>
        <v>8.7009803921568624E-2</v>
      </c>
      <c r="CW381" s="1767">
        <f>+CW24/CW9</f>
        <v>9.1223342723771417E-2</v>
      </c>
      <c r="CX381" s="1801">
        <f>CX24/CX9</f>
        <v>9.9845932110730076E-2</v>
      </c>
      <c r="CY381" s="1801"/>
      <c r="CZ381" s="1801"/>
      <c r="DA381" s="1801"/>
      <c r="DB381" s="1767"/>
      <c r="DC381" s="1801"/>
      <c r="DD381" s="1801"/>
      <c r="DE381" s="1801"/>
      <c r="DF381" s="1801"/>
      <c r="DG381" s="1767"/>
      <c r="DH381" s="3980"/>
      <c r="DI381" s="3980"/>
      <c r="DJ381" s="3980"/>
      <c r="DK381" s="3980"/>
      <c r="DL381" s="1767"/>
      <c r="DM381" s="3980"/>
      <c r="DN381" s="3980"/>
      <c r="DO381" s="3980"/>
      <c r="DP381" s="3980"/>
      <c r="DQ381" s="1767"/>
      <c r="DR381" s="3980"/>
      <c r="DS381" s="3980"/>
      <c r="DT381" s="3980"/>
      <c r="DU381" s="3980"/>
      <c r="DV381" s="1767"/>
      <c r="DW381" s="3980"/>
      <c r="DX381" s="3980"/>
      <c r="DY381" s="3980"/>
      <c r="DZ381" s="3980"/>
      <c r="EA381" s="1767"/>
      <c r="EB381" s="3980"/>
      <c r="EC381" s="3980"/>
      <c r="ED381" s="3980"/>
      <c r="EE381" s="3980"/>
      <c r="EF381" s="1767"/>
      <c r="EG381" s="3980"/>
      <c r="EH381" s="3980"/>
      <c r="EI381" s="3980"/>
      <c r="EJ381" s="3980"/>
      <c r="EK381" s="1767"/>
      <c r="EL381" s="3980"/>
      <c r="EM381" s="3980"/>
      <c r="EN381" s="3980"/>
      <c r="EO381" s="3980"/>
      <c r="EP381" s="1767"/>
      <c r="EQ381" s="3980"/>
      <c r="ER381" s="3980"/>
      <c r="ES381" s="3980"/>
      <c r="ET381" s="3980"/>
      <c r="EU381" s="1767"/>
      <c r="EV381" s="1767"/>
      <c r="EW381" s="1767"/>
      <c r="EX381" s="1767"/>
      <c r="EY381" s="1767"/>
      <c r="EZ381" s="139"/>
      <c r="FA381" s="1853"/>
      <c r="FB381" s="1853"/>
      <c r="FC381" s="1853"/>
      <c r="FD381" s="1853"/>
      <c r="FE381" s="1853"/>
      <c r="FF381" s="1853"/>
      <c r="FG381" s="1853"/>
      <c r="FH381" s="1853"/>
      <c r="FI381" s="1853"/>
      <c r="FJ381" s="1853"/>
      <c r="FK381" s="1853"/>
      <c r="FL381" s="1853"/>
    </row>
    <row r="382" spans="1:168" s="285" customFormat="1" ht="11.25" hidden="1" customHeight="1">
      <c r="A382" s="3798" t="s">
        <v>573</v>
      </c>
      <c r="B382" s="1794"/>
      <c r="C382" s="1794"/>
      <c r="D382" s="1794"/>
      <c r="E382" s="1794"/>
      <c r="F382" s="1795"/>
      <c r="G382" s="1794"/>
      <c r="H382" s="1794"/>
      <c r="I382" s="1794"/>
      <c r="J382" s="1794"/>
      <c r="K382" s="1795"/>
      <c r="L382" s="1794"/>
      <c r="M382" s="1794"/>
      <c r="N382" s="1794"/>
      <c r="O382" s="1794"/>
      <c r="P382" s="1795"/>
      <c r="Q382" s="1794"/>
      <c r="R382" s="1794"/>
      <c r="S382" s="1794"/>
      <c r="T382" s="1794"/>
      <c r="U382" s="1795"/>
      <c r="V382" s="1794"/>
      <c r="W382" s="1794"/>
      <c r="X382" s="1794"/>
      <c r="Y382" s="1794"/>
      <c r="Z382" s="1795"/>
      <c r="AA382" s="1794"/>
      <c r="AB382" s="1794"/>
      <c r="AC382" s="1796"/>
      <c r="AD382" s="1796"/>
      <c r="AE382" s="1795"/>
      <c r="AF382" s="1796"/>
      <c r="AG382" s="1796"/>
      <c r="AH382" s="1796"/>
      <c r="AI382" s="1796"/>
      <c r="AJ382" s="1795"/>
      <c r="AK382" s="1794"/>
      <c r="AL382" s="1794"/>
      <c r="AM382" s="1794"/>
      <c r="AN382" s="1794"/>
      <c r="AO382" s="1797"/>
      <c r="AP382" s="1796"/>
      <c r="AQ382" s="1796"/>
      <c r="AR382" s="1796"/>
      <c r="AS382" s="1796"/>
      <c r="AT382" s="1797"/>
      <c r="AU382" s="1796"/>
      <c r="AV382" s="1796"/>
      <c r="AW382" s="1796"/>
      <c r="AX382" s="1796"/>
      <c r="AY382" s="1797"/>
      <c r="AZ382" s="1796"/>
      <c r="BA382" s="1796"/>
      <c r="BB382" s="1796"/>
      <c r="BC382" s="1796"/>
      <c r="BD382" s="1797"/>
      <c r="BE382" s="1798"/>
      <c r="BF382" s="1796"/>
      <c r="BG382" s="1796"/>
      <c r="BH382" s="1796"/>
      <c r="BI382" s="1797"/>
      <c r="BJ382" s="1796"/>
      <c r="BK382" s="1796"/>
      <c r="BL382" s="1796"/>
      <c r="BM382" s="1796"/>
      <c r="BN382" s="1797"/>
      <c r="BO382" s="1796"/>
      <c r="BP382" s="1796"/>
      <c r="BQ382" s="1796"/>
      <c r="BR382" s="1799"/>
      <c r="BS382" s="1800"/>
      <c r="BT382" s="1796"/>
      <c r="BU382" s="1796"/>
      <c r="BV382" s="1796"/>
      <c r="BW382" s="1796"/>
      <c r="BX382" s="1797"/>
      <c r="BY382" s="1794"/>
      <c r="BZ382" s="1794"/>
      <c r="CA382" s="1794"/>
      <c r="CB382" s="1794"/>
      <c r="CC382" s="1797"/>
      <c r="CD382" s="1794"/>
      <c r="CE382" s="1794"/>
      <c r="CF382" s="1794"/>
      <c r="CG382" s="1794"/>
      <c r="CH382" s="1797"/>
      <c r="CI382" s="1796"/>
      <c r="CJ382" s="1796"/>
      <c r="CK382" s="1794"/>
      <c r="CL382" s="1794"/>
      <c r="CM382" s="1797"/>
      <c r="CN382" s="1796"/>
      <c r="CO382" s="1796"/>
      <c r="CP382" s="1796"/>
      <c r="CQ382" s="1796"/>
      <c r="CR382" s="1797"/>
      <c r="CS382" s="1796"/>
      <c r="CT382" s="1796"/>
      <c r="CU382" s="1796"/>
      <c r="CV382" s="1796"/>
      <c r="CW382" s="1797"/>
      <c r="CX382" s="1796"/>
      <c r="CY382" s="1796"/>
      <c r="CZ382" s="1796"/>
      <c r="DA382" s="1796"/>
      <c r="DB382" s="1797"/>
      <c r="DC382" s="1796"/>
      <c r="DD382" s="1796"/>
      <c r="DE382" s="1796"/>
      <c r="DF382" s="1796"/>
      <c r="DG382" s="1797"/>
      <c r="DH382" s="3981"/>
      <c r="DI382" s="3981"/>
      <c r="DJ382" s="3981"/>
      <c r="DK382" s="3981"/>
      <c r="DL382" s="1797"/>
      <c r="DM382" s="3981"/>
      <c r="DN382" s="3981"/>
      <c r="DO382" s="3981"/>
      <c r="DP382" s="3981"/>
      <c r="DQ382" s="1797"/>
      <c r="DR382" s="3981"/>
      <c r="DS382" s="3981"/>
      <c r="DT382" s="3981"/>
      <c r="DU382" s="3981"/>
      <c r="DV382" s="1797"/>
      <c r="DW382" s="3981"/>
      <c r="DX382" s="3981"/>
      <c r="DY382" s="3981"/>
      <c r="DZ382" s="3981"/>
      <c r="EA382" s="1797"/>
      <c r="EB382" s="3981"/>
      <c r="EC382" s="3981"/>
      <c r="ED382" s="3981"/>
      <c r="EE382" s="3981"/>
      <c r="EF382" s="1797"/>
      <c r="EG382" s="3981"/>
      <c r="EH382" s="3981"/>
      <c r="EI382" s="3981"/>
      <c r="EJ382" s="3981"/>
      <c r="EK382" s="1797"/>
      <c r="EL382" s="3981"/>
      <c r="EM382" s="3981"/>
      <c r="EN382" s="3981"/>
      <c r="EO382" s="3981"/>
      <c r="EP382" s="1797"/>
      <c r="EQ382" s="3981"/>
      <c r="ER382" s="3981"/>
      <c r="ES382" s="3981"/>
      <c r="ET382" s="3981"/>
      <c r="EU382" s="1797"/>
      <c r="EV382" s="1797"/>
      <c r="EW382" s="1797"/>
      <c r="EX382" s="1797"/>
      <c r="EY382" s="1797"/>
      <c r="EZ382" s="139"/>
      <c r="FA382" s="1853"/>
      <c r="FB382" s="1853"/>
      <c r="FC382" s="1853"/>
      <c r="FD382" s="1853"/>
      <c r="FE382" s="1853"/>
      <c r="FF382" s="1853"/>
      <c r="FG382" s="1853"/>
      <c r="FH382" s="1853"/>
      <c r="FI382" s="1853"/>
      <c r="FJ382" s="1853"/>
      <c r="FK382" s="1853"/>
      <c r="FL382" s="1853"/>
    </row>
    <row r="383" spans="1:168" ht="11.25" hidden="1" customHeight="1">
      <c r="A383" s="3801" t="s">
        <v>176</v>
      </c>
      <c r="B383" s="1121"/>
      <c r="C383" s="1121"/>
      <c r="D383" s="1121"/>
      <c r="E383" s="1121"/>
      <c r="F383" s="1122">
        <f>F8/F7</f>
        <v>0</v>
      </c>
      <c r="G383" s="1121"/>
      <c r="H383" s="1121"/>
      <c r="I383" s="1121"/>
      <c r="J383" s="1121"/>
      <c r="K383" s="1122">
        <f>K8/K7</f>
        <v>0</v>
      </c>
      <c r="L383" s="1121"/>
      <c r="M383" s="1121"/>
      <c r="N383" s="1121"/>
      <c r="O383" s="1121"/>
      <c r="P383" s="1122">
        <f t="shared" ref="P383:AU383" si="1662">P8/P7</f>
        <v>0</v>
      </c>
      <c r="Q383" s="1121">
        <f t="shared" si="1662"/>
        <v>0</v>
      </c>
      <c r="R383" s="1121">
        <f t="shared" si="1662"/>
        <v>0.17828716969118114</v>
      </c>
      <c r="S383" s="1121">
        <f t="shared" si="1662"/>
        <v>0.2217345760664286</v>
      </c>
      <c r="T383" s="1121">
        <f t="shared" si="1662"/>
        <v>0.27406591418277804</v>
      </c>
      <c r="U383" s="1122">
        <f t="shared" si="1662"/>
        <v>0.21501315106892249</v>
      </c>
      <c r="V383" s="1121">
        <f t="shared" si="1662"/>
        <v>0.28208335679637037</v>
      </c>
      <c r="W383" s="1121">
        <f t="shared" si="1662"/>
        <v>0.31028056002750648</v>
      </c>
      <c r="X383" s="1121">
        <f t="shared" si="1662"/>
        <v>0.36423382122241343</v>
      </c>
      <c r="Y383" s="1121">
        <f t="shared" si="1662"/>
        <v>0.4224259286376727</v>
      </c>
      <c r="Z383" s="1122">
        <f t="shared" si="1662"/>
        <v>0.35917919906353218</v>
      </c>
      <c r="AA383" s="1121">
        <f t="shared" si="1662"/>
        <v>0.41588771421512133</v>
      </c>
      <c r="AB383" s="1121">
        <f t="shared" si="1662"/>
        <v>0.39564303382404187</v>
      </c>
      <c r="AC383" s="1121">
        <f t="shared" si="1662"/>
        <v>0.37585914650565155</v>
      </c>
      <c r="AD383" s="1121">
        <f t="shared" si="1662"/>
        <v>0.36617317869783939</v>
      </c>
      <c r="AE383" s="1122">
        <f t="shared" si="1662"/>
        <v>0.38524869537188211</v>
      </c>
      <c r="AF383" s="1121">
        <f t="shared" si="1662"/>
        <v>0.36752974096629093</v>
      </c>
      <c r="AG383" s="1121">
        <f t="shared" si="1662"/>
        <v>0.35703993152738006</v>
      </c>
      <c r="AH383" s="1121">
        <f t="shared" si="1662"/>
        <v>0.3356913338097483</v>
      </c>
      <c r="AI383" s="1121">
        <f t="shared" si="1662"/>
        <v>0.32772825496210972</v>
      </c>
      <c r="AJ383" s="1122">
        <f t="shared" si="1662"/>
        <v>0.34453389720064642</v>
      </c>
      <c r="AK383" s="1121">
        <f t="shared" si="1662"/>
        <v>0.32068081934371745</v>
      </c>
      <c r="AL383" s="1121">
        <f t="shared" si="1662"/>
        <v>0.31969131808707768</v>
      </c>
      <c r="AM383" s="1121">
        <f t="shared" si="1662"/>
        <v>0.30682688936536157</v>
      </c>
      <c r="AN383" s="1121">
        <f t="shared" si="1662"/>
        <v>0.30435770042595567</v>
      </c>
      <c r="AO383" s="1122">
        <f t="shared" si="1662"/>
        <v>0.31200404491614597</v>
      </c>
      <c r="AP383" s="1121">
        <f t="shared" si="1662"/>
        <v>0.30705264861539566</v>
      </c>
      <c r="AQ383" s="1121">
        <f t="shared" si="1662"/>
        <v>0.29646628279809967</v>
      </c>
      <c r="AR383" s="1121">
        <f t="shared" si="1662"/>
        <v>0.28858868006932065</v>
      </c>
      <c r="AS383" s="1121">
        <f t="shared" si="1662"/>
        <v>0.29830324328591151</v>
      </c>
      <c r="AT383" s="1122">
        <f t="shared" si="1662"/>
        <v>0.29732934570391945</v>
      </c>
      <c r="AU383" s="1121">
        <f t="shared" si="1662"/>
        <v>0.28661235550881475</v>
      </c>
      <c r="AV383" s="1121">
        <f t="shared" ref="AV383:BN383" si="1663">AV8/AV7</f>
        <v>0.27462675221325333</v>
      </c>
      <c r="AW383" s="1121">
        <f t="shared" si="1663"/>
        <v>0.26982503129629365</v>
      </c>
      <c r="AX383" s="1121">
        <f t="shared" si="1663"/>
        <v>0.26020118914473916</v>
      </c>
      <c r="AY383" s="1122">
        <f t="shared" si="1663"/>
        <v>0.27248461268469931</v>
      </c>
      <c r="AZ383" s="1121">
        <f t="shared" si="1663"/>
        <v>0.26065757970154241</v>
      </c>
      <c r="BA383" s="1121">
        <f t="shared" si="1663"/>
        <v>0.26315066169077572</v>
      </c>
      <c r="BB383" s="1121">
        <f t="shared" si="1663"/>
        <v>0.26228008069504183</v>
      </c>
      <c r="BC383" s="1121">
        <f t="shared" si="1663"/>
        <v>0.25785602709091116</v>
      </c>
      <c r="BD383" s="1122">
        <f t="shared" si="1663"/>
        <v>0.26085704598237264</v>
      </c>
      <c r="BE383" s="1696">
        <f t="shared" si="1663"/>
        <v>0.2525461254612546</v>
      </c>
      <c r="BF383" s="1121">
        <f t="shared" si="1663"/>
        <v>0.25395894428152493</v>
      </c>
      <c r="BG383" s="1121">
        <f t="shared" si="1663"/>
        <v>0.24773538292615976</v>
      </c>
      <c r="BH383" s="1121">
        <f t="shared" si="1663"/>
        <v>0.24514218009478672</v>
      </c>
      <c r="BI383" s="1122">
        <f t="shared" si="1663"/>
        <v>0.24954810545342929</v>
      </c>
      <c r="BJ383" s="1121">
        <f t="shared" si="1663"/>
        <v>0.23766763848396502</v>
      </c>
      <c r="BK383" s="1121">
        <f t="shared" si="1663"/>
        <v>0.23376911145579438</v>
      </c>
      <c r="BL383" s="1121">
        <f t="shared" si="1663"/>
        <v>0.22736625514403291</v>
      </c>
      <c r="BM383" s="1121">
        <f t="shared" si="1663"/>
        <v>0.23148148148148148</v>
      </c>
      <c r="BN383" s="1122">
        <f t="shared" si="1663"/>
        <v>0.23237039968341908</v>
      </c>
      <c r="BO383" s="1121">
        <v>0.23579145138562704</v>
      </c>
      <c r="BP383" s="1121">
        <v>0.21287047650237431</v>
      </c>
      <c r="BQ383" s="1121">
        <v>0.19643996879653924</v>
      </c>
      <c r="BR383" s="1711">
        <v>0.21360704625840904</v>
      </c>
      <c r="BS383" s="1766">
        <v>0.21331672473189436</v>
      </c>
      <c r="BT383" s="1121">
        <f>BT8/BT7</f>
        <v>0.23579145138562704</v>
      </c>
      <c r="BU383" s="1121">
        <f>BU8/BU7</f>
        <v>0.23713973002553812</v>
      </c>
      <c r="BV383" s="1121">
        <f>BV8/BV7</f>
        <v>0.2403262189831685</v>
      </c>
      <c r="BW383" s="1121">
        <f>BW8/BW7</f>
        <v>0.23866718326230144</v>
      </c>
      <c r="BX383" s="1122">
        <f>BX8/BX7</f>
        <v>0.2379721540433111</v>
      </c>
      <c r="BY383" s="1121">
        <v>0.21204094781301452</v>
      </c>
      <c r="BZ383" s="1121">
        <v>0.21361219425735556</v>
      </c>
      <c r="CA383" s="1121">
        <v>0.19955683878332103</v>
      </c>
      <c r="CB383" s="1121">
        <v>0.19634594851109266</v>
      </c>
      <c r="CC383" s="1122">
        <v>0.20519645756951768</v>
      </c>
      <c r="CD383" s="1121">
        <f t="shared" ref="CD383:CX383" si="1664">CD8/CD7</f>
        <v>0.22870820786039689</v>
      </c>
      <c r="CE383" s="1121">
        <f t="shared" si="1664"/>
        <v>0.22987716487373158</v>
      </c>
      <c r="CF383" s="1121">
        <f t="shared" si="1664"/>
        <v>0.21608259415442779</v>
      </c>
      <c r="CG383" s="1121">
        <f t="shared" si="1664"/>
        <v>0.2107340676131661</v>
      </c>
      <c r="CH383" s="1122">
        <f t="shared" si="1664"/>
        <v>0.22078927934580955</v>
      </c>
      <c r="CI383" s="1121">
        <f t="shared" si="1664"/>
        <v>0.20959792477302205</v>
      </c>
      <c r="CJ383" s="1121">
        <f t="shared" si="1664"/>
        <v>0.20639298025697272</v>
      </c>
      <c r="CK383" s="1121">
        <f t="shared" si="1664"/>
        <v>0.20262664165103189</v>
      </c>
      <c r="CL383" s="1121">
        <f t="shared" si="1664"/>
        <v>0.19996685632215655</v>
      </c>
      <c r="CM383" s="1122">
        <f t="shared" si="1664"/>
        <v>0.20449690156209754</v>
      </c>
      <c r="CN383" s="1121">
        <f t="shared" si="1664"/>
        <v>0.19382315447908216</v>
      </c>
      <c r="CO383" s="1121">
        <f t="shared" si="1664"/>
        <v>0.19050036667230777</v>
      </c>
      <c r="CP383" s="1121">
        <f t="shared" si="1664"/>
        <v>0.19095046854082998</v>
      </c>
      <c r="CQ383" s="1121">
        <f t="shared" si="1664"/>
        <v>0.19011674246331287</v>
      </c>
      <c r="CR383" s="1122">
        <f t="shared" si="1664"/>
        <v>0.19126805264772168</v>
      </c>
      <c r="CS383" s="1121">
        <f t="shared" si="1664"/>
        <v>0.18699708742656859</v>
      </c>
      <c r="CT383" s="1121">
        <f t="shared" si="1664"/>
        <v>0.18488372093023256</v>
      </c>
      <c r="CU383" s="1121">
        <f t="shared" si="1664"/>
        <v>0.18627232639971494</v>
      </c>
      <c r="CV383" s="1121">
        <f t="shared" si="1664"/>
        <v>0.1860036832412523</v>
      </c>
      <c r="CW383" s="1122">
        <f t="shared" si="1664"/>
        <v>0.18602667493796526</v>
      </c>
      <c r="CX383" s="1121">
        <f t="shared" si="1664"/>
        <v>0.18703030303030302</v>
      </c>
      <c r="CY383" s="1121"/>
      <c r="CZ383" s="1121"/>
      <c r="DA383" s="1121"/>
      <c r="DB383" s="1122"/>
      <c r="DC383" s="1121"/>
      <c r="DD383" s="1121"/>
      <c r="DE383" s="1121"/>
      <c r="DF383" s="1121"/>
      <c r="DG383" s="1122"/>
      <c r="DH383" s="1121"/>
      <c r="DI383" s="1121"/>
      <c r="DJ383" s="1121"/>
      <c r="DK383" s="1121"/>
      <c r="DL383" s="1122"/>
      <c r="DM383" s="1121"/>
      <c r="DN383" s="1121"/>
      <c r="DO383" s="1121"/>
      <c r="DP383" s="1121"/>
      <c r="DQ383" s="1122"/>
      <c r="DR383" s="1121"/>
      <c r="DS383" s="1121"/>
      <c r="DT383" s="1121"/>
      <c r="DU383" s="1121"/>
      <c r="DV383" s="1122"/>
      <c r="DW383" s="1121"/>
      <c r="DX383" s="1121"/>
      <c r="DY383" s="1121"/>
      <c r="DZ383" s="1121"/>
      <c r="EA383" s="1122"/>
      <c r="EB383" s="1121"/>
      <c r="EC383" s="1121"/>
      <c r="ED383" s="1121"/>
      <c r="EE383" s="1121"/>
      <c r="EF383" s="1122"/>
      <c r="EG383" s="1121"/>
      <c r="EH383" s="1121"/>
      <c r="EI383" s="1121"/>
      <c r="EJ383" s="1121"/>
      <c r="EK383" s="1122"/>
      <c r="EL383" s="1121"/>
      <c r="EM383" s="1121"/>
      <c r="EN383" s="1121"/>
      <c r="EO383" s="1121"/>
      <c r="EP383" s="1122"/>
      <c r="EQ383" s="1121"/>
      <c r="ER383" s="1121"/>
      <c r="ES383" s="1121"/>
      <c r="ET383" s="1121"/>
      <c r="EU383" s="1122"/>
      <c r="EV383" s="1122"/>
      <c r="EW383" s="1122"/>
      <c r="EX383" s="1122"/>
      <c r="EY383" s="1122"/>
      <c r="EZ383" s="127"/>
      <c r="FA383" s="1121"/>
      <c r="FB383" s="1121"/>
      <c r="FC383" s="1121"/>
      <c r="FD383" s="1121"/>
      <c r="FE383" s="1121"/>
      <c r="FF383" s="1121"/>
      <c r="FG383" s="1121"/>
      <c r="FH383" s="1121"/>
      <c r="FI383" s="1121"/>
      <c r="FJ383" s="1121"/>
      <c r="FK383" s="1121"/>
      <c r="FL383" s="1121"/>
    </row>
    <row r="384" spans="1:168" ht="11.25" hidden="1" customHeight="1">
      <c r="A384" s="3801" t="s">
        <v>181</v>
      </c>
      <c r="B384" s="1121"/>
      <c r="C384" s="1121"/>
      <c r="D384" s="1121"/>
      <c r="E384" s="1121"/>
      <c r="F384" s="1122">
        <f>F10/F7</f>
        <v>4.127272727272727</v>
      </c>
      <c r="G384" s="1121"/>
      <c r="H384" s="1121"/>
      <c r="I384" s="1121"/>
      <c r="J384" s="1121"/>
      <c r="K384" s="1122">
        <f>K10/K7</f>
        <v>0.31824366757379108</v>
      </c>
      <c r="L384" s="1121"/>
      <c r="M384" s="1121"/>
      <c r="N384" s="1121"/>
      <c r="O384" s="1121"/>
      <c r="P384" s="1122">
        <f t="shared" ref="P384:AU384" si="1665">P10/P7</f>
        <v>0.16462638557841389</v>
      </c>
      <c r="Q384" s="1121">
        <f t="shared" si="1665"/>
        <v>0.13461038193212724</v>
      </c>
      <c r="R384" s="1121">
        <f t="shared" si="1665"/>
        <v>8.1591849729385546E-2</v>
      </c>
      <c r="S384" s="1121">
        <f t="shared" si="1665"/>
        <v>8.1216022999227741E-2</v>
      </c>
      <c r="T384" s="1121">
        <f t="shared" si="1665"/>
        <v>7.6041317432188643E-2</v>
      </c>
      <c r="U384" s="1122">
        <f t="shared" si="1665"/>
        <v>8.4207795990061618E-2</v>
      </c>
      <c r="V384" s="1121">
        <f t="shared" si="1665"/>
        <v>6.8635416582870076E-2</v>
      </c>
      <c r="W384" s="1121">
        <f t="shared" si="1665"/>
        <v>6.6973222921667477E-2</v>
      </c>
      <c r="X384" s="1121">
        <f t="shared" si="1665"/>
        <v>6.8291778992846636E-2</v>
      </c>
      <c r="Y384" s="1121">
        <f t="shared" si="1665"/>
        <v>6.7383218626446043E-2</v>
      </c>
      <c r="Z384" s="1122">
        <f t="shared" si="1665"/>
        <v>6.7752709194274771E-2</v>
      </c>
      <c r="AA384" s="1121">
        <f t="shared" si="1665"/>
        <v>6.8131419547806035E-2</v>
      </c>
      <c r="AB384" s="1121">
        <f t="shared" si="1665"/>
        <v>7.0468658063557926E-2</v>
      </c>
      <c r="AC384" s="1121">
        <f t="shared" si="1665"/>
        <v>7.3458189547666128E-2</v>
      </c>
      <c r="AD384" s="1121">
        <f t="shared" si="1665"/>
        <v>7.3747868397606955E-2</v>
      </c>
      <c r="AE384" s="1122">
        <f t="shared" si="1665"/>
        <v>7.1807145502211678E-2</v>
      </c>
      <c r="AF384" s="1121">
        <f t="shared" si="1665"/>
        <v>6.6374801435079206E-2</v>
      </c>
      <c r="AG384" s="1121">
        <f t="shared" si="1665"/>
        <v>7.4232843022185011E-2</v>
      </c>
      <c r="AH384" s="1121">
        <f t="shared" si="1665"/>
        <v>7.852737105120447E-2</v>
      </c>
      <c r="AI384" s="1121">
        <f t="shared" si="1665"/>
        <v>7.6306880385682188E-2</v>
      </c>
      <c r="AJ384" s="1122">
        <f t="shared" si="1665"/>
        <v>7.4377052598655069E-2</v>
      </c>
      <c r="AK384" s="1121">
        <f t="shared" si="1665"/>
        <v>7.9467377776200165E-2</v>
      </c>
      <c r="AL384" s="1121">
        <f t="shared" si="1665"/>
        <v>8.2065040140619397E-2</v>
      </c>
      <c r="AM384" s="1121">
        <f t="shared" si="1665"/>
        <v>8.2283236661110912E-2</v>
      </c>
      <c r="AN384" s="1121">
        <f t="shared" si="1665"/>
        <v>9.2545994413348515E-2</v>
      </c>
      <c r="AO384" s="1122">
        <f t="shared" si="1665"/>
        <v>8.4736353900742453E-2</v>
      </c>
      <c r="AP384" s="1121">
        <f t="shared" si="1665"/>
        <v>9.3069786851478903E-2</v>
      </c>
      <c r="AQ384" s="1121">
        <f t="shared" si="1665"/>
        <v>0.10451564249344973</v>
      </c>
      <c r="AR384" s="1121">
        <f t="shared" si="1665"/>
        <v>0.10337785733209089</v>
      </c>
      <c r="AS384" s="1121">
        <f t="shared" si="1665"/>
        <v>0.1056121610738978</v>
      </c>
      <c r="AT384" s="1122">
        <f t="shared" si="1665"/>
        <v>0.10201720068945459</v>
      </c>
      <c r="AU384" s="1121">
        <f t="shared" si="1665"/>
        <v>0.11858829554633467</v>
      </c>
      <c r="AV384" s="1121">
        <f t="shared" ref="AV384:BN384" si="1666">AV10/AV7</f>
        <v>0.12375736229535929</v>
      </c>
      <c r="AW384" s="1121">
        <f t="shared" si="1666"/>
        <v>0.12044899917728238</v>
      </c>
      <c r="AX384" s="1121">
        <f t="shared" si="1666"/>
        <v>0.12182699445561615</v>
      </c>
      <c r="AY384" s="1122">
        <f t="shared" si="1666"/>
        <v>0.12118138794386925</v>
      </c>
      <c r="AZ384" s="1121">
        <f t="shared" si="1666"/>
        <v>0.11853479494426383</v>
      </c>
      <c r="BA384" s="1121">
        <f t="shared" si="1666"/>
        <v>0.11606680334614243</v>
      </c>
      <c r="BB384" s="1121">
        <f t="shared" si="1666"/>
        <v>0.10970047861586439</v>
      </c>
      <c r="BC384" s="1121">
        <f t="shared" si="1666"/>
        <v>0.10210980959195065</v>
      </c>
      <c r="BD384" s="1122">
        <f t="shared" si="1666"/>
        <v>0.11110297881703705</v>
      </c>
      <c r="BE384" s="1696">
        <f t="shared" si="1666"/>
        <v>0.10848708487084871</v>
      </c>
      <c r="BF384" s="1121">
        <f t="shared" si="1666"/>
        <v>0.10659824046920821</v>
      </c>
      <c r="BG384" s="1121">
        <f t="shared" si="1666"/>
        <v>0.10142739500411749</v>
      </c>
      <c r="BH384" s="1121">
        <f t="shared" si="1666"/>
        <v>9.8578199052132706E-2</v>
      </c>
      <c r="BI384" s="1122">
        <f t="shared" si="1666"/>
        <v>0.10344121960369701</v>
      </c>
      <c r="BJ384" s="1121">
        <f t="shared" si="1666"/>
        <v>9.9008746355685129E-2</v>
      </c>
      <c r="BK384" s="1121">
        <f t="shared" si="1666"/>
        <v>0.11200974961223133</v>
      </c>
      <c r="BL384" s="1121">
        <f t="shared" si="1666"/>
        <v>0.11275720164609053</v>
      </c>
      <c r="BM384" s="1121">
        <f t="shared" si="1666"/>
        <v>0.11101662887377173</v>
      </c>
      <c r="BN384" s="1122">
        <f t="shared" si="1666"/>
        <v>0.10898298377522754</v>
      </c>
      <c r="BO384" s="1121">
        <v>0.11319868482855801</v>
      </c>
      <c r="BP384" s="1121">
        <v>0.18978221712788604</v>
      </c>
      <c r="BQ384" s="1121">
        <v>0.2545918729168144</v>
      </c>
      <c r="BR384" s="1711">
        <v>0.20542339968097648</v>
      </c>
      <c r="BS384" s="1766">
        <v>0.19609178847389011</v>
      </c>
      <c r="BT384" s="1121">
        <f>BT10/BT7</f>
        <v>0.11319868482855801</v>
      </c>
      <c r="BU384" s="1121">
        <f>BU10/BU7</f>
        <v>0.11875228018971179</v>
      </c>
      <c r="BV384" s="1121">
        <f>BV10/BV7</f>
        <v>0.13595349644282492</v>
      </c>
      <c r="BW384" s="1121">
        <f>BW10/BW7</f>
        <v>0.13808601317318869</v>
      </c>
      <c r="BX384" s="1122" t="e">
        <f>BX10/BX7</f>
        <v>#REF!</v>
      </c>
      <c r="BY384" s="1121">
        <v>0.21347268952680937</v>
      </c>
      <c r="BZ384" s="1121">
        <v>0.20808224034030487</v>
      </c>
      <c r="CA384" s="1121">
        <v>0.22184919089505137</v>
      </c>
      <c r="CB384" s="1121">
        <v>0.2348439909835093</v>
      </c>
      <c r="CC384" s="1122">
        <v>0.22064855272629869</v>
      </c>
      <c r="CD384" s="1121">
        <f t="shared" ref="CD384:CX384" si="1667">CD10/CD7</f>
        <v>0.16021928808586208</v>
      </c>
      <c r="CE384" s="1121">
        <f t="shared" si="1667"/>
        <v>0.15808346684977492</v>
      </c>
      <c r="CF384" s="1121">
        <f t="shared" si="1667"/>
        <v>0.16751490475498038</v>
      </c>
      <c r="CG384" s="1121">
        <f t="shared" si="1667"/>
        <v>0.1792831221748265</v>
      </c>
      <c r="CH384" s="1122">
        <f t="shared" si="1667"/>
        <v>0.16689781876474721</v>
      </c>
      <c r="CI384" s="1121">
        <f t="shared" si="1667"/>
        <v>0.1708171206225681</v>
      </c>
      <c r="CJ384" s="1121">
        <f t="shared" si="1667"/>
        <v>0.17054214979630211</v>
      </c>
      <c r="CK384" s="1121">
        <f t="shared" si="1667"/>
        <v>0.1923379531562065</v>
      </c>
      <c r="CL384" s="1121">
        <f t="shared" si="1667"/>
        <v>0.17289951941667128</v>
      </c>
      <c r="CM384" s="1122">
        <f t="shared" si="1667"/>
        <v>0.17670944379630613</v>
      </c>
      <c r="CN384" s="1121">
        <f t="shared" si="1667"/>
        <v>0.16519874840653609</v>
      </c>
      <c r="CO384" s="1121">
        <f t="shared" si="1667"/>
        <v>0.17165905116488972</v>
      </c>
      <c r="CP384" s="1121">
        <f t="shared" si="1667"/>
        <v>0.17349397590361446</v>
      </c>
      <c r="CQ384" s="1121">
        <f t="shared" si="1667"/>
        <v>0.18195883538843827</v>
      </c>
      <c r="CR384" s="1122">
        <f t="shared" si="1667"/>
        <v>0.17355878862233126</v>
      </c>
      <c r="CS384" s="1121">
        <f t="shared" si="1667"/>
        <v>0.17865429234338748</v>
      </c>
      <c r="CT384" s="1121">
        <f t="shared" si="1667"/>
        <v>0.18139534883720931</v>
      </c>
      <c r="CU384" s="1121">
        <f t="shared" si="1667"/>
        <v>0.18671774085786824</v>
      </c>
      <c r="CV384" s="1121">
        <f t="shared" si="1667"/>
        <v>0.21013658686310621</v>
      </c>
      <c r="CW384" s="1122">
        <f t="shared" si="1667"/>
        <v>0.19040233959588798</v>
      </c>
      <c r="CX384" s="1121">
        <f t="shared" si="1667"/>
        <v>0.19395278899504254</v>
      </c>
      <c r="CY384" s="1121"/>
      <c r="CZ384" s="1121"/>
      <c r="DA384" s="1121"/>
      <c r="DB384" s="1122"/>
      <c r="DC384" s="1121"/>
      <c r="DD384" s="1121"/>
      <c r="DE384" s="1121"/>
      <c r="DF384" s="1121"/>
      <c r="DG384" s="1122"/>
      <c r="DH384" s="1121"/>
      <c r="DI384" s="1121"/>
      <c r="DJ384" s="1121"/>
      <c r="DK384" s="1121"/>
      <c r="DL384" s="1122"/>
      <c r="DM384" s="1121"/>
      <c r="DN384" s="1121"/>
      <c r="DO384" s="1121"/>
      <c r="DP384" s="1121"/>
      <c r="DQ384" s="1122"/>
      <c r="DR384" s="1121"/>
      <c r="DS384" s="1121"/>
      <c r="DT384" s="1121"/>
      <c r="DU384" s="1121"/>
      <c r="DV384" s="1122"/>
      <c r="DW384" s="1121"/>
      <c r="DX384" s="1121"/>
      <c r="DY384" s="1121"/>
      <c r="DZ384" s="1121"/>
      <c r="EA384" s="1122"/>
      <c r="EB384" s="1121"/>
      <c r="EC384" s="1121"/>
      <c r="ED384" s="1121"/>
      <c r="EE384" s="1121"/>
      <c r="EF384" s="1122"/>
      <c r="EG384" s="1121"/>
      <c r="EH384" s="1121"/>
      <c r="EI384" s="1121"/>
      <c r="EJ384" s="1121"/>
      <c r="EK384" s="1122"/>
      <c r="EL384" s="1121"/>
      <c r="EM384" s="1121"/>
      <c r="EN384" s="1121"/>
      <c r="EO384" s="1121"/>
      <c r="EP384" s="1122"/>
      <c r="EQ384" s="1121"/>
      <c r="ER384" s="1121"/>
      <c r="ES384" s="1121"/>
      <c r="ET384" s="1121"/>
      <c r="EU384" s="1122"/>
      <c r="EV384" s="1122"/>
      <c r="EW384" s="1122"/>
      <c r="EX384" s="1122"/>
      <c r="EY384" s="1122"/>
      <c r="EZ384" s="127"/>
      <c r="FA384" s="1121"/>
      <c r="FB384" s="1121"/>
      <c r="FC384" s="1121"/>
      <c r="FD384" s="1121"/>
      <c r="FE384" s="1121"/>
      <c r="FF384" s="1121"/>
      <c r="FG384" s="1121"/>
      <c r="FH384" s="1121"/>
      <c r="FI384" s="1121"/>
      <c r="FJ384" s="1121"/>
      <c r="FK384" s="1121"/>
      <c r="FL384" s="1121"/>
    </row>
    <row r="385" spans="1:168" ht="11.25" hidden="1" customHeight="1">
      <c r="A385" s="3808" t="s">
        <v>187</v>
      </c>
      <c r="B385" s="1121"/>
      <c r="C385" s="1121"/>
      <c r="D385" s="1121"/>
      <c r="E385" s="1121"/>
      <c r="F385" s="1122">
        <f>F15/F7</f>
        <v>13.318181818181818</v>
      </c>
      <c r="G385" s="1121"/>
      <c r="H385" s="1121"/>
      <c r="I385" s="1121"/>
      <c r="J385" s="1121"/>
      <c r="K385" s="1122">
        <f>K15/K7</f>
        <v>0.55034540506594098</v>
      </c>
      <c r="L385" s="1121"/>
      <c r="M385" s="1121"/>
      <c r="N385" s="1121"/>
      <c r="O385" s="1121"/>
      <c r="P385" s="1122">
        <f t="shared" ref="P385:AU385" si="1668">P15/P7</f>
        <v>0.19091477101798068</v>
      </c>
      <c r="Q385" s="1121">
        <f t="shared" si="1668"/>
        <v>0.1462220645619014</v>
      </c>
      <c r="R385" s="1121">
        <f t="shared" si="1668"/>
        <v>8.2228589621139755E-2</v>
      </c>
      <c r="S385" s="1121">
        <f t="shared" si="1668"/>
        <v>6.9219417832047533E-2</v>
      </c>
      <c r="T385" s="1121">
        <f t="shared" si="1668"/>
        <v>5.3509374118598699E-2</v>
      </c>
      <c r="U385" s="1122">
        <f t="shared" si="1668"/>
        <v>7.2235317673398428E-2</v>
      </c>
      <c r="V385" s="1121">
        <f t="shared" si="1668"/>
        <v>5.0298047607172457E-2</v>
      </c>
      <c r="W385" s="1121">
        <f t="shared" si="1668"/>
        <v>5.6208406839353596E-2</v>
      </c>
      <c r="X385" s="1121">
        <f t="shared" si="1668"/>
        <v>8.3194988094694139E-2</v>
      </c>
      <c r="Y385" s="1121">
        <f t="shared" si="1668"/>
        <v>5.5561087518914441E-2</v>
      </c>
      <c r="Z385" s="1122">
        <f t="shared" si="1668"/>
        <v>6.2231996802038843E-2</v>
      </c>
      <c r="AA385" s="1121">
        <f t="shared" si="1668"/>
        <v>5.3741196980462626E-2</v>
      </c>
      <c r="AB385" s="1121">
        <f t="shared" si="1668"/>
        <v>6.5354492639372083E-2</v>
      </c>
      <c r="AC385" s="1121">
        <f t="shared" si="1668"/>
        <v>7.1237034472574942E-2</v>
      </c>
      <c r="AD385" s="1121">
        <f t="shared" si="1668"/>
        <v>8.477160952825058E-2</v>
      </c>
      <c r="AE385" s="1122">
        <f t="shared" si="1668"/>
        <v>7.0748266897611115E-2</v>
      </c>
      <c r="AF385" s="1121">
        <f t="shared" si="1668"/>
        <v>6.3200150256741652E-2</v>
      </c>
      <c r="AG385" s="1121">
        <f t="shared" si="1668"/>
        <v>6.9174681020877662E-2</v>
      </c>
      <c r="AH385" s="1121">
        <f t="shared" si="1668"/>
        <v>9.6119879173065331E-2</v>
      </c>
      <c r="AI385" s="1121">
        <f t="shared" si="1668"/>
        <v>8.1846997513929751E-2</v>
      </c>
      <c r="AJ385" s="1122">
        <f t="shared" si="1668"/>
        <v>7.884210629202941E-2</v>
      </c>
      <c r="AK385" s="1121">
        <f t="shared" si="1668"/>
        <v>7.6988403797218399E-2</v>
      </c>
      <c r="AL385" s="1121">
        <f t="shared" si="1668"/>
        <v>8.6314648547164877E-2</v>
      </c>
      <c r="AM385" s="1121">
        <f t="shared" si="1668"/>
        <v>9.3289407299697785E-2</v>
      </c>
      <c r="AN385" s="1121">
        <f t="shared" si="1668"/>
        <v>9.5050441460266075E-2</v>
      </c>
      <c r="AO385" s="1122">
        <f t="shared" si="1668"/>
        <v>8.8742137255765421E-2</v>
      </c>
      <c r="AP385" s="1121">
        <f t="shared" si="1668"/>
        <v>7.8493252266461713E-2</v>
      </c>
      <c r="AQ385" s="1121">
        <f t="shared" si="1668"/>
        <v>9.6881315397657791E-2</v>
      </c>
      <c r="AR385" s="1121">
        <f t="shared" si="1668"/>
        <v>9.880106850034423E-2</v>
      </c>
      <c r="AS385" s="1121">
        <f t="shared" si="1668"/>
        <v>9.7253411714348523E-2</v>
      </c>
      <c r="AT385" s="1122">
        <f t="shared" si="1668"/>
        <v>9.3418965160028469E-2</v>
      </c>
      <c r="AU385" s="1121">
        <f t="shared" si="1668"/>
        <v>9.2415161231790791E-2</v>
      </c>
      <c r="AV385" s="1121">
        <f t="shared" ref="AV385:BN385" si="1669">AV15/AV7</f>
        <v>9.221342477248895E-2</v>
      </c>
      <c r="AW385" s="1121">
        <f t="shared" si="1669"/>
        <v>9.6601737722532124E-2</v>
      </c>
      <c r="AX385" s="1121">
        <f t="shared" si="1669"/>
        <v>9.6698172781018596E-2</v>
      </c>
      <c r="AY385" s="1122">
        <f t="shared" si="1669"/>
        <v>9.4550171938767316E-2</v>
      </c>
      <c r="AZ385" s="1121">
        <f t="shared" si="1669"/>
        <v>8.5874543246584223E-2</v>
      </c>
      <c r="BA385" s="1121">
        <f t="shared" si="1669"/>
        <v>9.5134310851714227E-2</v>
      </c>
      <c r="BB385" s="1121">
        <f t="shared" si="1669"/>
        <v>9.451876926772429E-2</v>
      </c>
      <c r="BC385" s="1121">
        <f t="shared" si="1669"/>
        <v>8.3503238397770407E-2</v>
      </c>
      <c r="BD385" s="1122">
        <f t="shared" si="1669"/>
        <v>8.9540574573214182E-2</v>
      </c>
      <c r="BE385" s="1696">
        <f t="shared" si="1669"/>
        <v>9.2546125461254611E-2</v>
      </c>
      <c r="BF385" s="1121">
        <f t="shared" si="1669"/>
        <v>0.10205278592375366</v>
      </c>
      <c r="BG385" s="1121">
        <f t="shared" si="1669"/>
        <v>0.10293713972001098</v>
      </c>
      <c r="BH385" s="1121">
        <f t="shared" si="1669"/>
        <v>9.7985781990521326E-2</v>
      </c>
      <c r="BI385" s="1122">
        <f t="shared" si="1669"/>
        <v>9.8905221513590935E-2</v>
      </c>
      <c r="BJ385" s="1121">
        <f t="shared" si="1669"/>
        <v>0.11533527696793003</v>
      </c>
      <c r="BK385" s="1121">
        <f t="shared" si="1669"/>
        <v>0.10935076445823178</v>
      </c>
      <c r="BL385" s="1121">
        <f t="shared" si="1669"/>
        <v>0.11244855967078189</v>
      </c>
      <c r="BM385" s="1121">
        <f t="shared" si="1669"/>
        <v>9.7505668934240369E-2</v>
      </c>
      <c r="BN385" s="1122">
        <f t="shared" si="1669"/>
        <v>0.10819153146022951</v>
      </c>
      <c r="BO385" s="1121">
        <v>0.10728041333959605</v>
      </c>
      <c r="BP385" s="1121">
        <v>0.10487964630751596</v>
      </c>
      <c r="BQ385" s="1121">
        <v>0.10829019218495142</v>
      </c>
      <c r="BR385" s="1711">
        <v>0.10312781746306957</v>
      </c>
      <c r="BS385" s="1766">
        <v>0.10582144455906109</v>
      </c>
      <c r="BT385" s="1121">
        <f>BT15/BT7</f>
        <v>0.10728041333959605</v>
      </c>
      <c r="BU385" s="1121">
        <f>BU15/BU7</f>
        <v>0.10607442539219263</v>
      </c>
      <c r="BV385" s="1121">
        <f>BV15/BV7</f>
        <v>0.10324483775811209</v>
      </c>
      <c r="BW385" s="1121">
        <f>BW15/BW7</f>
        <v>0.10182099961255327</v>
      </c>
      <c r="BX385" s="1122">
        <f>BX15/BX7</f>
        <v>0.10445491865592216</v>
      </c>
      <c r="BY385" s="1121">
        <v>0.10566253847805855</v>
      </c>
      <c r="BZ385" s="1121">
        <v>0.11102445941155618</v>
      </c>
      <c r="CA385" s="1121">
        <v>0.10501577922513933</v>
      </c>
      <c r="CB385" s="1121">
        <v>9.7401827025744458E-2</v>
      </c>
      <c r="CC385" s="1122">
        <v>0.10459879798436375</v>
      </c>
      <c r="CD385" s="1121">
        <f t="shared" ref="CD385:CX385" si="1670">CD15/CD7</f>
        <v>9.8756852752683186E-2</v>
      </c>
      <c r="CE385" s="1121">
        <f t="shared" si="1670"/>
        <v>0.10414282444495308</v>
      </c>
      <c r="CF385" s="1121">
        <f t="shared" si="1670"/>
        <v>0.10069797876981242</v>
      </c>
      <c r="CG385" s="1121">
        <f t="shared" si="1670"/>
        <v>9.3397848093206851E-2</v>
      </c>
      <c r="CH385" s="1122">
        <f t="shared" si="1670"/>
        <v>9.8993137484464783E-2</v>
      </c>
      <c r="CI385" s="1121">
        <f t="shared" si="1670"/>
        <v>0.10830090791180286</v>
      </c>
      <c r="CJ385" s="1121">
        <f t="shared" si="1670"/>
        <v>0.11225321215919774</v>
      </c>
      <c r="CK385" s="1121">
        <f t="shared" si="1670"/>
        <v>0.12037765538945712</v>
      </c>
      <c r="CL385" s="1121">
        <f t="shared" si="1670"/>
        <v>0.12053250842401812</v>
      </c>
      <c r="CM385" s="1122">
        <f t="shared" si="1670"/>
        <v>0.11563461159679399</v>
      </c>
      <c r="CN385" s="1121">
        <f t="shared" si="1670"/>
        <v>0.12388457526944026</v>
      </c>
      <c r="CO385" s="1121">
        <f t="shared" si="1670"/>
        <v>0.12444294014779715</v>
      </c>
      <c r="CP385" s="1121">
        <f t="shared" si="1670"/>
        <v>0.13327978580990629</v>
      </c>
      <c r="CQ385" s="1121">
        <f t="shared" si="1670"/>
        <v>0.12991701439354869</v>
      </c>
      <c r="CR385" s="1122">
        <f t="shared" si="1670"/>
        <v>0.12807211724386244</v>
      </c>
      <c r="CS385" s="1121">
        <f t="shared" si="1670"/>
        <v>0.12973293182603546</v>
      </c>
      <c r="CT385" s="1121">
        <f t="shared" si="1670"/>
        <v>0.12204651162790697</v>
      </c>
      <c r="CU385" s="1121">
        <f t="shared" si="1670"/>
        <v>0.11910382611019554</v>
      </c>
      <c r="CV385" s="1121">
        <f t="shared" si="1670"/>
        <v>0.10416666666666667</v>
      </c>
      <c r="CW385" s="1122">
        <f t="shared" si="1670"/>
        <v>0.11787708259482453</v>
      </c>
      <c r="CX385" s="1121">
        <f t="shared" si="1670"/>
        <v>0.1193904155312606</v>
      </c>
      <c r="CY385" s="1121"/>
      <c r="CZ385" s="1121"/>
      <c r="DA385" s="1121"/>
      <c r="DB385" s="1122"/>
      <c r="DC385" s="1121"/>
      <c r="DD385" s="1121"/>
      <c r="DE385" s="1121"/>
      <c r="DF385" s="1121"/>
      <c r="DG385" s="1122"/>
      <c r="DH385" s="1121"/>
      <c r="DI385" s="1121"/>
      <c r="DJ385" s="1121"/>
      <c r="DK385" s="1121"/>
      <c r="DL385" s="1122"/>
      <c r="DM385" s="1121"/>
      <c r="DN385" s="1121"/>
      <c r="DO385" s="1121"/>
      <c r="DP385" s="1121"/>
      <c r="DQ385" s="1122"/>
      <c r="DR385" s="1121"/>
      <c r="DS385" s="1121"/>
      <c r="DT385" s="1121"/>
      <c r="DU385" s="1121"/>
      <c r="DV385" s="1122"/>
      <c r="DW385" s="1121"/>
      <c r="DX385" s="1121"/>
      <c r="DY385" s="1121"/>
      <c r="DZ385" s="1121"/>
      <c r="EA385" s="1122"/>
      <c r="EB385" s="1121"/>
      <c r="EC385" s="1121"/>
      <c r="ED385" s="1121"/>
      <c r="EE385" s="1121"/>
      <c r="EF385" s="1122"/>
      <c r="EG385" s="1121"/>
      <c r="EH385" s="1121"/>
      <c r="EI385" s="1121"/>
      <c r="EJ385" s="1121"/>
      <c r="EK385" s="1122"/>
      <c r="EL385" s="1121"/>
      <c r="EM385" s="1121"/>
      <c r="EN385" s="1121"/>
      <c r="EO385" s="1121"/>
      <c r="EP385" s="1122"/>
      <c r="EQ385" s="1121"/>
      <c r="ER385" s="1121"/>
      <c r="ES385" s="1121"/>
      <c r="ET385" s="1121"/>
      <c r="EU385" s="1122"/>
      <c r="EV385" s="1122"/>
      <c r="EW385" s="1122"/>
      <c r="EX385" s="1122"/>
      <c r="EY385" s="1122"/>
      <c r="EZ385" s="127"/>
      <c r="FA385" s="1121"/>
      <c r="FB385" s="1121"/>
      <c r="FC385" s="1121"/>
      <c r="FD385" s="1121"/>
      <c r="FE385" s="1121"/>
      <c r="FF385" s="1121"/>
      <c r="FG385" s="1121"/>
      <c r="FH385" s="1121"/>
      <c r="FI385" s="1121"/>
      <c r="FJ385" s="1121"/>
      <c r="FK385" s="1121"/>
      <c r="FL385" s="1121"/>
    </row>
    <row r="386" spans="1:168" ht="11.25" hidden="1" customHeight="1">
      <c r="A386" s="3808" t="s">
        <v>47</v>
      </c>
      <c r="B386" s="1121"/>
      <c r="C386" s="1121"/>
      <c r="D386" s="1121"/>
      <c r="E386" s="1121"/>
      <c r="F386" s="1122">
        <f>F18/F7</f>
        <v>7.622727272727273</v>
      </c>
      <c r="G386" s="1121"/>
      <c r="H386" s="1121"/>
      <c r="I386" s="1121"/>
      <c r="J386" s="1121"/>
      <c r="K386" s="1122">
        <f>K18/K7</f>
        <v>0.54348963784802173</v>
      </c>
      <c r="L386" s="1121"/>
      <c r="M386" s="1121"/>
      <c r="N386" s="1121"/>
      <c r="O386" s="1121"/>
      <c r="P386" s="1122">
        <f t="shared" ref="P386:AU386" si="1671">P18/P7</f>
        <v>0.23229120866405942</v>
      </c>
      <c r="Q386" s="1121">
        <f t="shared" si="1671"/>
        <v>0.17249615702967955</v>
      </c>
      <c r="R386" s="1121">
        <f t="shared" si="1671"/>
        <v>0.14232410060490289</v>
      </c>
      <c r="S386" s="1121">
        <f t="shared" si="1671"/>
        <v>8.9489016492464851E-2</v>
      </c>
      <c r="T386" s="1121">
        <f t="shared" si="1671"/>
        <v>7.2773813134941551E-2</v>
      </c>
      <c r="U386" s="1122">
        <f t="shared" si="1671"/>
        <v>9.9768377367419933E-2</v>
      </c>
      <c r="V386" s="1121">
        <f t="shared" si="1671"/>
        <v>7.1463047727839499E-2</v>
      </c>
      <c r="W386" s="1121">
        <f t="shared" si="1671"/>
        <v>7.9762467103043383E-2</v>
      </c>
      <c r="X386" s="1121">
        <f t="shared" si="1671"/>
        <v>9.2843616572998056E-2</v>
      </c>
      <c r="Y386" s="1121">
        <f t="shared" si="1671"/>
        <v>8.0370966954654177E-2</v>
      </c>
      <c r="Z386" s="1122">
        <f t="shared" si="1671"/>
        <v>8.2082822282585718E-2</v>
      </c>
      <c r="AA386" s="1121">
        <f t="shared" si="1671"/>
        <v>7.3514900486937998E-2</v>
      </c>
      <c r="AB386" s="1121">
        <f t="shared" si="1671"/>
        <v>8.1085442694498244E-2</v>
      </c>
      <c r="AC386" s="1121">
        <f t="shared" si="1671"/>
        <v>8.1291794010822857E-2</v>
      </c>
      <c r="AD386" s="1121">
        <f t="shared" si="1671"/>
        <v>7.3782768993922457E-2</v>
      </c>
      <c r="AE386" s="1122">
        <f t="shared" si="1671"/>
        <v>7.7228842260324851E-2</v>
      </c>
      <c r="AF386" s="1121">
        <f t="shared" si="1671"/>
        <v>6.6017464162812081E-2</v>
      </c>
      <c r="AG386" s="1121">
        <f t="shared" si="1671"/>
        <v>7.0078981867034554E-2</v>
      </c>
      <c r="AH386" s="1121">
        <f t="shared" si="1671"/>
        <v>6.6518167120274502E-2</v>
      </c>
      <c r="AI386" s="1121">
        <f t="shared" si="1671"/>
        <v>8.0646951450502921E-2</v>
      </c>
      <c r="AJ386" s="1122">
        <f t="shared" si="1671"/>
        <v>7.1635855966220088E-2</v>
      </c>
      <c r="AK386" s="1121">
        <f t="shared" si="1671"/>
        <v>7.7654403428944141E-2</v>
      </c>
      <c r="AL386" s="1121">
        <f t="shared" si="1671"/>
        <v>7.4150108856262095E-2</v>
      </c>
      <c r="AM386" s="1121">
        <f t="shared" si="1671"/>
        <v>7.1495308165713839E-2</v>
      </c>
      <c r="AN386" s="1121">
        <f t="shared" si="1671"/>
        <v>7.5090984302595101E-2</v>
      </c>
      <c r="AO386" s="1122">
        <f t="shared" si="1671"/>
        <v>7.450591079590721E-2</v>
      </c>
      <c r="AP386" s="1121">
        <f t="shared" si="1671"/>
        <v>7.5137603436271738E-2</v>
      </c>
      <c r="AQ386" s="1121">
        <f t="shared" si="1671"/>
        <v>8.244324293611674E-2</v>
      </c>
      <c r="AR386" s="1121">
        <f t="shared" si="1671"/>
        <v>8.2929069226353472E-2</v>
      </c>
      <c r="AS386" s="1121">
        <f t="shared" si="1671"/>
        <v>7.9600487208699819E-2</v>
      </c>
      <c r="AT386" s="1122">
        <f t="shared" si="1671"/>
        <v>8.0127161731967225E-2</v>
      </c>
      <c r="AU386" s="1121">
        <f t="shared" si="1671"/>
        <v>7.7963487768998446E-2</v>
      </c>
      <c r="AV386" s="1121">
        <f t="shared" ref="AV386:BN386" si="1672">AV18/AV7</f>
        <v>8.2344241293244982E-2</v>
      </c>
      <c r="AW386" s="1121">
        <f t="shared" si="1672"/>
        <v>8.0179146355129974E-2</v>
      </c>
      <c r="AX386" s="1121">
        <f t="shared" si="1672"/>
        <v>7.8871526340383913E-2</v>
      </c>
      <c r="AY386" s="1122">
        <f t="shared" si="1672"/>
        <v>7.9843087235697191E-2</v>
      </c>
      <c r="AZ386" s="1121">
        <f t="shared" si="1672"/>
        <v>6.8055124442048351E-2</v>
      </c>
      <c r="BA386" s="1121">
        <f t="shared" si="1672"/>
        <v>7.4552359024620596E-2</v>
      </c>
      <c r="BB386" s="1121">
        <f t="shared" si="1672"/>
        <v>7.3265419099654477E-2</v>
      </c>
      <c r="BC386" s="1121">
        <f t="shared" si="1672"/>
        <v>7.9521114203623872E-2</v>
      </c>
      <c r="BD386" s="1122">
        <f t="shared" si="1672"/>
        <v>7.4117559061913252E-2</v>
      </c>
      <c r="BE386" s="1696">
        <f t="shared" si="1672"/>
        <v>8.1623616236162364E-2</v>
      </c>
      <c r="BF386" s="1121">
        <f t="shared" si="1672"/>
        <v>8.4017595307917886E-2</v>
      </c>
      <c r="BG386" s="1121">
        <f t="shared" si="1672"/>
        <v>8.0428218501235244E-2</v>
      </c>
      <c r="BH386" s="1121">
        <f t="shared" si="1672"/>
        <v>9.786729857819905E-2</v>
      </c>
      <c r="BI386" s="1122">
        <f t="shared" si="1672"/>
        <v>8.6559121448790965E-2</v>
      </c>
      <c r="BJ386" s="1121">
        <f t="shared" si="1672"/>
        <v>0.11055393586005831</v>
      </c>
      <c r="BK386" s="1121">
        <f t="shared" si="1672"/>
        <v>0.11267449590073123</v>
      </c>
      <c r="BL386" s="1121">
        <f t="shared" si="1672"/>
        <v>0.11316872427983539</v>
      </c>
      <c r="BM386" s="1121">
        <f t="shared" si="1672"/>
        <v>0.10988284202569917</v>
      </c>
      <c r="BN386" s="1122">
        <f t="shared" si="1672"/>
        <v>0.11154201292705448</v>
      </c>
      <c r="BO386" s="1121">
        <v>0.11009863785814937</v>
      </c>
      <c r="BP386" s="1121">
        <v>0.10594399869002784</v>
      </c>
      <c r="BQ386" s="1121">
        <v>0.10786469044748599</v>
      </c>
      <c r="BR386" s="1711">
        <v>0.11172758166308343</v>
      </c>
      <c r="BS386" s="1766">
        <v>0.10895502053368107</v>
      </c>
      <c r="BT386" s="1121">
        <f>BT18/BT7</f>
        <v>0.11009863785814937</v>
      </c>
      <c r="BU386" s="1121">
        <f>BU18/BU7</f>
        <v>0.10808099233856257</v>
      </c>
      <c r="BV386" s="1121">
        <f>BV18/BV7</f>
        <v>0.10923130314072532</v>
      </c>
      <c r="BW386" s="1121">
        <f>BW18/BW7</f>
        <v>0.10856257264626114</v>
      </c>
      <c r="BX386" s="1122">
        <f>BX18/BX7</f>
        <v>0.10897282738547753</v>
      </c>
      <c r="BY386" s="1121">
        <v>0.10458873219271243</v>
      </c>
      <c r="BZ386" s="1121">
        <v>0.11350584898971995</v>
      </c>
      <c r="CA386" s="1121">
        <v>0.11052172161418115</v>
      </c>
      <c r="CB386" s="1121">
        <v>0.11685846482382252</v>
      </c>
      <c r="CC386" s="1122">
        <v>0.11179749886997137</v>
      </c>
      <c r="CD386" s="1121">
        <f t="shared" ref="CD386:CX386" si="1673">CD18/CD7</f>
        <v>0.10169098911280983</v>
      </c>
      <c r="CE386" s="1121">
        <f t="shared" si="1673"/>
        <v>0.11123826962691691</v>
      </c>
      <c r="CF386" s="1121">
        <f t="shared" si="1673"/>
        <v>0.10709611749309292</v>
      </c>
      <c r="CG386" s="1121">
        <f t="shared" si="1673"/>
        <v>0.1116699560705418</v>
      </c>
      <c r="CH386" s="1122">
        <f t="shared" si="1673"/>
        <v>0.10810713449449738</v>
      </c>
      <c r="CI386" s="1121">
        <f t="shared" si="1673"/>
        <v>0.10259403372243839</v>
      </c>
      <c r="CJ386" s="1121">
        <f t="shared" si="1673"/>
        <v>0.11175180194296459</v>
      </c>
      <c r="CK386" s="1121">
        <f t="shared" si="1673"/>
        <v>0.11420444229256188</v>
      </c>
      <c r="CL386" s="1121">
        <f t="shared" si="1673"/>
        <v>0.11953819808871458</v>
      </c>
      <c r="CM386" s="1122">
        <f t="shared" si="1673"/>
        <v>0.11236193391009228</v>
      </c>
      <c r="CN386" s="1121">
        <f t="shared" si="1673"/>
        <v>0.10777610383590219</v>
      </c>
      <c r="CO386" s="1121">
        <f t="shared" si="1673"/>
        <v>0.10627855813166356</v>
      </c>
      <c r="CP386" s="1121">
        <f t="shared" si="1673"/>
        <v>0.10564926372155288</v>
      </c>
      <c r="CQ386" s="1121">
        <f t="shared" si="1673"/>
        <v>0.11435135261850063</v>
      </c>
      <c r="CR386" s="1122">
        <f t="shared" si="1673"/>
        <v>0.10876261851738254</v>
      </c>
      <c r="CS386" s="1121">
        <f t="shared" si="1673"/>
        <v>0.10588932220960656</v>
      </c>
      <c r="CT386" s="1121">
        <f t="shared" si="1673"/>
        <v>0.10125581395348837</v>
      </c>
      <c r="CU386" s="1121">
        <f t="shared" si="1673"/>
        <v>0.10101999910917109</v>
      </c>
      <c r="CV386" s="1121">
        <f t="shared" si="1673"/>
        <v>0.10808011049723756</v>
      </c>
      <c r="CW386" s="1122">
        <f t="shared" si="1673"/>
        <v>0.10420728465083304</v>
      </c>
      <c r="CX386" s="1121">
        <f t="shared" si="1673"/>
        <v>9.3592807818159915E-2</v>
      </c>
      <c r="CY386" s="1121"/>
      <c r="CZ386" s="1121"/>
      <c r="DA386" s="1121"/>
      <c r="DB386" s="1122"/>
      <c r="DC386" s="1121"/>
      <c r="DD386" s="1121"/>
      <c r="DE386" s="1121"/>
      <c r="DF386" s="1121"/>
      <c r="DG386" s="1122"/>
      <c r="DH386" s="1121"/>
      <c r="DI386" s="1121"/>
      <c r="DJ386" s="1121"/>
      <c r="DK386" s="1121"/>
      <c r="DL386" s="1122"/>
      <c r="DM386" s="1121"/>
      <c r="DN386" s="1121"/>
      <c r="DO386" s="1121"/>
      <c r="DP386" s="1121"/>
      <c r="DQ386" s="1122"/>
      <c r="DR386" s="1121"/>
      <c r="DS386" s="1121"/>
      <c r="DT386" s="1121"/>
      <c r="DU386" s="1121"/>
      <c r="DV386" s="1122"/>
      <c r="DW386" s="1121"/>
      <c r="DX386" s="1121"/>
      <c r="DY386" s="1121"/>
      <c r="DZ386" s="1121"/>
      <c r="EA386" s="1122"/>
      <c r="EB386" s="1121"/>
      <c r="EC386" s="1121"/>
      <c r="ED386" s="1121"/>
      <c r="EE386" s="1121"/>
      <c r="EF386" s="1122"/>
      <c r="EG386" s="1121"/>
      <c r="EH386" s="1121"/>
      <c r="EI386" s="1121"/>
      <c r="EJ386" s="1121"/>
      <c r="EK386" s="1122"/>
      <c r="EL386" s="1121"/>
      <c r="EM386" s="1121"/>
      <c r="EN386" s="1121"/>
      <c r="EO386" s="1121"/>
      <c r="EP386" s="1122"/>
      <c r="EQ386" s="1121"/>
      <c r="ER386" s="1121"/>
      <c r="ES386" s="1121"/>
      <c r="ET386" s="1121"/>
      <c r="EU386" s="1122"/>
      <c r="EV386" s="1122"/>
      <c r="EW386" s="1122"/>
      <c r="EX386" s="1122"/>
      <c r="EY386" s="1122"/>
      <c r="EZ386" s="127"/>
      <c r="FA386" s="1121"/>
      <c r="FB386" s="1121"/>
      <c r="FC386" s="1121"/>
      <c r="FD386" s="1121"/>
      <c r="FE386" s="1121"/>
      <c r="FF386" s="1121"/>
      <c r="FG386" s="1121"/>
      <c r="FH386" s="1121"/>
      <c r="FI386" s="1121"/>
      <c r="FJ386" s="1121"/>
      <c r="FK386" s="1121"/>
      <c r="FL386" s="1121"/>
    </row>
    <row r="387" spans="1:168" ht="11.25" hidden="1" customHeight="1">
      <c r="A387" s="3808" t="s">
        <v>51</v>
      </c>
      <c r="B387" s="1121"/>
      <c r="C387" s="1121"/>
      <c r="D387" s="1121"/>
      <c r="E387" s="1121"/>
      <c r="F387" s="1122">
        <f>F21/F7</f>
        <v>5.5500000000000007</v>
      </c>
      <c r="G387" s="1121"/>
      <c r="H387" s="1121"/>
      <c r="I387" s="1121"/>
      <c r="J387" s="1121"/>
      <c r="K387" s="1122">
        <f>K21/K7</f>
        <v>0.22801967762193845</v>
      </c>
      <c r="L387" s="1121"/>
      <c r="M387" s="1121"/>
      <c r="N387" s="1121"/>
      <c r="O387" s="1121"/>
      <c r="P387" s="1122">
        <f t="shared" ref="P387:AU387" si="1674">P21/P7</f>
        <v>0.14202901904519474</v>
      </c>
      <c r="Q387" s="1121">
        <f t="shared" si="1674"/>
        <v>9.7788814000236493E-2</v>
      </c>
      <c r="R387" s="1121">
        <f t="shared" si="1674"/>
        <v>7.198981216173192E-2</v>
      </c>
      <c r="S387" s="1121">
        <f t="shared" si="1674"/>
        <v>5.5915343268061808E-2</v>
      </c>
      <c r="T387" s="1121">
        <f t="shared" si="1674"/>
        <v>3.8310689634986773E-2</v>
      </c>
      <c r="U387" s="1122">
        <f t="shared" si="1674"/>
        <v>5.5289095989151493E-2</v>
      </c>
      <c r="V387" s="1121">
        <f t="shared" si="1674"/>
        <v>4.0330949488773943E-2</v>
      </c>
      <c r="W387" s="1121">
        <f t="shared" si="1674"/>
        <v>4.0279692415464058E-2</v>
      </c>
      <c r="X387" s="1121">
        <f t="shared" si="1674"/>
        <v>3.516507506181113E-2</v>
      </c>
      <c r="Y387" s="1121">
        <f t="shared" si="1674"/>
        <v>3.9603651095816858E-2</v>
      </c>
      <c r="Z387" s="1122">
        <f t="shared" si="1674"/>
        <v>3.8677730375310214E-2</v>
      </c>
      <c r="AA387" s="1121">
        <f t="shared" si="1674"/>
        <v>3.3003746031063971E-2</v>
      </c>
      <c r="AB387" s="1121">
        <f t="shared" si="1674"/>
        <v>3.6527508811617058E-2</v>
      </c>
      <c r="AC387" s="1121">
        <f t="shared" si="1674"/>
        <v>5.0595182699311445E-2</v>
      </c>
      <c r="AD387" s="1121">
        <f t="shared" si="1674"/>
        <v>5.025976707729804E-2</v>
      </c>
      <c r="AE387" s="1122">
        <f t="shared" si="1674"/>
        <v>4.380377289389923E-2</v>
      </c>
      <c r="AF387" s="1121">
        <f t="shared" si="1674"/>
        <v>4.5575225464697618E-2</v>
      </c>
      <c r="AG387" s="1121">
        <f t="shared" si="1674"/>
        <v>5.16924943752054E-2</v>
      </c>
      <c r="AH387" s="1121">
        <f t="shared" si="1674"/>
        <v>5.8559757129752116E-2</v>
      </c>
      <c r="AI387" s="1121">
        <f t="shared" si="1674"/>
        <v>5.9443184879523811E-2</v>
      </c>
      <c r="AJ387" s="1122">
        <f t="shared" si="1674"/>
        <v>5.4629261585779083E-2</v>
      </c>
      <c r="AK387" s="1121">
        <f t="shared" si="1674"/>
        <v>6.4793644384593702E-2</v>
      </c>
      <c r="AL387" s="1121">
        <f t="shared" si="1674"/>
        <v>6.1343873002791947E-2</v>
      </c>
      <c r="AM387" s="1121">
        <f t="shared" si="1674"/>
        <v>6.271617404792329E-2</v>
      </c>
      <c r="AN387" s="1121">
        <f t="shared" si="1674"/>
        <v>6.0151339978998582E-2</v>
      </c>
      <c r="AO387" s="1122">
        <f t="shared" si="1674"/>
        <v>6.2064606446236209E-2</v>
      </c>
      <c r="AP387" s="1121">
        <f t="shared" si="1674"/>
        <v>6.2762505489262876E-2</v>
      </c>
      <c r="AQ387" s="1121">
        <f t="shared" si="1674"/>
        <v>7.2032303844152282E-2</v>
      </c>
      <c r="AR387" s="1121">
        <f t="shared" si="1674"/>
        <v>6.8074239173256973E-2</v>
      </c>
      <c r="AS387" s="1121">
        <f t="shared" si="1674"/>
        <v>6.9915152841114964E-2</v>
      </c>
      <c r="AT387" s="1122">
        <f t="shared" si="1674"/>
        <v>6.8360428892732569E-2</v>
      </c>
      <c r="AU387" s="1121">
        <f t="shared" si="1674"/>
        <v>7.2126282022729096E-2</v>
      </c>
      <c r="AV387" s="1121">
        <f t="shared" ref="AV387:BN387" si="1675">AV21/AV7</f>
        <v>8.2234687208181834E-2</v>
      </c>
      <c r="AW387" s="1121">
        <f t="shared" si="1675"/>
        <v>8.5089465803802694E-2</v>
      </c>
      <c r="AX387" s="1121">
        <f t="shared" si="1675"/>
        <v>6.5904635475356188E-2</v>
      </c>
      <c r="AY387" s="1122">
        <f t="shared" si="1675"/>
        <v>7.6283966222462821E-2</v>
      </c>
      <c r="AZ387" s="1121">
        <f t="shared" si="1675"/>
        <v>7.4596613898373382E-2</v>
      </c>
      <c r="BA387" s="1121">
        <f t="shared" si="1675"/>
        <v>5.8735840990697452E-2</v>
      </c>
      <c r="BB387" s="1121">
        <f t="shared" si="1675"/>
        <v>5.7997248375106468E-2</v>
      </c>
      <c r="BC387" s="1121">
        <f t="shared" si="1675"/>
        <v>6.3909826823448326E-2</v>
      </c>
      <c r="BD387" s="1122">
        <f t="shared" si="1675"/>
        <v>6.3704699122807351E-2</v>
      </c>
      <c r="BE387" s="1696">
        <f t="shared" si="1675"/>
        <v>5.4612546125461257E-2</v>
      </c>
      <c r="BF387" s="1121">
        <f t="shared" si="1675"/>
        <v>6.1290322580645158E-2</v>
      </c>
      <c r="BG387" s="1121">
        <f t="shared" si="1675"/>
        <v>6.5742519901180352E-2</v>
      </c>
      <c r="BH387" s="1121">
        <f t="shared" si="1675"/>
        <v>6.0189573459715637E-2</v>
      </c>
      <c r="BI387" s="1122">
        <f t="shared" si="1675"/>
        <v>6.0536816616077217E-2</v>
      </c>
      <c r="BJ387" s="1121">
        <f t="shared" si="1675"/>
        <v>6.0991253644314868E-2</v>
      </c>
      <c r="BK387" s="1121">
        <f t="shared" si="1675"/>
        <v>6.4812763128739195E-2</v>
      </c>
      <c r="BL387" s="1121">
        <f t="shared" si="1675"/>
        <v>6.0905349794238686E-2</v>
      </c>
      <c r="BM387" s="1121">
        <f t="shared" si="1675"/>
        <v>6.8121693121693125E-2</v>
      </c>
      <c r="BN387" s="1122">
        <f t="shared" si="1675"/>
        <v>6.3870201820340325E-2</v>
      </c>
      <c r="BO387" s="1121">
        <v>6.303428839830906E-2</v>
      </c>
      <c r="BP387" s="1121">
        <v>6.3124283608973306E-2</v>
      </c>
      <c r="BQ387" s="1121">
        <v>6.3328841926104537E-2</v>
      </c>
      <c r="BR387" s="1711">
        <v>6.9838407656564253E-2</v>
      </c>
      <c r="BS387" s="1766">
        <v>6.5046030479378736E-2</v>
      </c>
      <c r="BT387" s="1121">
        <f>BT21/BT7</f>
        <v>6.303428839830906E-2</v>
      </c>
      <c r="BU387" s="1121">
        <f>BU21/BU7</f>
        <v>6.6216709230207949E-2</v>
      </c>
      <c r="BV387" s="1121">
        <f>BV21/BV7</f>
        <v>6.8453930244664243E-2</v>
      </c>
      <c r="BW387" s="1121">
        <f>BW21/BW7</f>
        <v>7.0050368074389774E-2</v>
      </c>
      <c r="BX387" s="1122">
        <f>BX21/BX7</f>
        <v>6.711700949195247E-2</v>
      </c>
      <c r="BY387" s="1121">
        <v>7.2875653232156917E-2</v>
      </c>
      <c r="BZ387" s="1121">
        <v>7.6852180077986526E-2</v>
      </c>
      <c r="CA387" s="1121">
        <v>7.2315853085342108E-2</v>
      </c>
      <c r="CB387" s="1121">
        <v>6.7505042116502545E-2</v>
      </c>
      <c r="CC387" s="1122">
        <v>7.2271608658530467E-2</v>
      </c>
      <c r="CD387" s="1121">
        <f t="shared" ref="CD387:CX387" si="1676">CD21/CD7</f>
        <v>7.0650914987259672E-2</v>
      </c>
      <c r="CE387" s="1121">
        <f t="shared" si="1676"/>
        <v>7.5608453498130765E-2</v>
      </c>
      <c r="CF387" s="1121">
        <f t="shared" si="1676"/>
        <v>7.2924240221026615E-2</v>
      </c>
      <c r="CG387" s="1121">
        <f t="shared" si="1676"/>
        <v>6.7358502578468205E-2</v>
      </c>
      <c r="CH387" s="1122">
        <f t="shared" si="1676"/>
        <v>7.1453016084583654E-2</v>
      </c>
      <c r="CI387" s="1121">
        <f t="shared" si="1676"/>
        <v>8.7418936446173795E-2</v>
      </c>
      <c r="CJ387" s="1121">
        <f t="shared" si="1676"/>
        <v>7.7029144468818547E-2</v>
      </c>
      <c r="CK387" s="1121">
        <f t="shared" si="1676"/>
        <v>6.9115778006415302E-2</v>
      </c>
      <c r="CL387" s="1121">
        <f t="shared" si="1676"/>
        <v>7.7721924542893436E-2</v>
      </c>
      <c r="CM387" s="1122">
        <f t="shared" si="1676"/>
        <v>7.7665489916819444E-2</v>
      </c>
      <c r="CN387" s="1121">
        <f t="shared" si="1676"/>
        <v>8.1933016572024564E-2</v>
      </c>
      <c r="CO387" s="1121">
        <f t="shared" si="1676"/>
        <v>7.1078016584870535E-2</v>
      </c>
      <c r="CP387" s="1121">
        <f t="shared" si="1676"/>
        <v>6.7844712182061576E-2</v>
      </c>
      <c r="CQ387" s="1121">
        <f t="shared" si="1676"/>
        <v>6.4091143513526183E-2</v>
      </c>
      <c r="CR387" s="1122">
        <f t="shared" si="1676"/>
        <v>7.0783714944858578E-2</v>
      </c>
      <c r="CS387" s="1121">
        <f t="shared" si="1676"/>
        <v>6.1262773362294513E-2</v>
      </c>
      <c r="CT387" s="1121">
        <f t="shared" si="1676"/>
        <v>6.2930232558139537E-2</v>
      </c>
      <c r="CU387" s="1121">
        <f t="shared" si="1676"/>
        <v>6.7168500289519401E-2</v>
      </c>
      <c r="CV387" s="1121">
        <f t="shared" si="1676"/>
        <v>6.6068139963167585E-2</v>
      </c>
      <c r="CW387" s="1122">
        <f t="shared" si="1676"/>
        <v>6.4516129032258063E-2</v>
      </c>
      <c r="CX387" s="1121">
        <f t="shared" si="1676"/>
        <v>5.9488230079779381E-2</v>
      </c>
      <c r="CY387" s="1121"/>
      <c r="CZ387" s="1121"/>
      <c r="DA387" s="1121"/>
      <c r="DB387" s="1122"/>
      <c r="DC387" s="1121"/>
      <c r="DD387" s="1121"/>
      <c r="DE387" s="1121"/>
      <c r="DF387" s="1121"/>
      <c r="DG387" s="1122"/>
      <c r="DH387" s="1121"/>
      <c r="DI387" s="1121"/>
      <c r="DJ387" s="1121"/>
      <c r="DK387" s="1121"/>
      <c r="DL387" s="1122"/>
      <c r="DM387" s="1121"/>
      <c r="DN387" s="1121"/>
      <c r="DO387" s="1121"/>
      <c r="DP387" s="1121"/>
      <c r="DQ387" s="1122"/>
      <c r="DR387" s="1121"/>
      <c r="DS387" s="1121"/>
      <c r="DT387" s="1121"/>
      <c r="DU387" s="1121"/>
      <c r="DV387" s="1122"/>
      <c r="DW387" s="1121"/>
      <c r="DX387" s="1121"/>
      <c r="DY387" s="1121"/>
      <c r="DZ387" s="1121"/>
      <c r="EA387" s="1122"/>
      <c r="EB387" s="1121"/>
      <c r="EC387" s="1121"/>
      <c r="ED387" s="1121"/>
      <c r="EE387" s="1121"/>
      <c r="EF387" s="1122"/>
      <c r="EG387" s="1121"/>
      <c r="EH387" s="1121"/>
      <c r="EI387" s="1121"/>
      <c r="EJ387" s="1121"/>
      <c r="EK387" s="1122"/>
      <c r="EL387" s="1121"/>
      <c r="EM387" s="1121"/>
      <c r="EN387" s="1121"/>
      <c r="EO387" s="1121"/>
      <c r="EP387" s="1122"/>
      <c r="EQ387" s="1121"/>
      <c r="ER387" s="1121"/>
      <c r="ES387" s="1121"/>
      <c r="ET387" s="1121"/>
      <c r="EU387" s="1122"/>
      <c r="EV387" s="1122"/>
      <c r="EW387" s="1122"/>
      <c r="EX387" s="1122"/>
      <c r="EY387" s="1122"/>
      <c r="EZ387" s="127"/>
      <c r="FA387" s="1121"/>
      <c r="FB387" s="1121"/>
      <c r="FC387" s="1121"/>
      <c r="FD387" s="1121"/>
      <c r="FE387" s="1121"/>
      <c r="FF387" s="1121"/>
      <c r="FG387" s="1121"/>
      <c r="FH387" s="1121"/>
      <c r="FI387" s="1121"/>
      <c r="FJ387" s="1121"/>
      <c r="FK387" s="1121"/>
      <c r="FL387" s="1121"/>
    </row>
    <row r="388" spans="1:168" s="285" customFormat="1" ht="11.25" hidden="1" customHeight="1">
      <c r="A388" s="3810" t="s">
        <v>53</v>
      </c>
      <c r="B388" s="1801"/>
      <c r="C388" s="1801"/>
      <c r="D388" s="1801"/>
      <c r="E388" s="1801"/>
      <c r="F388" s="1767">
        <f>F24/F7</f>
        <v>0</v>
      </c>
      <c r="G388" s="1801"/>
      <c r="H388" s="1801"/>
      <c r="I388" s="1801"/>
      <c r="J388" s="1801"/>
      <c r="K388" s="1767">
        <f>K24/K7</f>
        <v>0.1311492568557672</v>
      </c>
      <c r="L388" s="1801"/>
      <c r="M388" s="1801"/>
      <c r="N388" s="1801"/>
      <c r="O388" s="1801"/>
      <c r="P388" s="1767">
        <f t="shared" ref="P388:AU388" si="1677">P24/P7</f>
        <v>0.14327864300094878</v>
      </c>
      <c r="Q388" s="1801">
        <f t="shared" si="1677"/>
        <v>8.9251507626818022E-2</v>
      </c>
      <c r="R388" s="1801">
        <f t="shared" si="1677"/>
        <v>4.7564469914040113E-2</v>
      </c>
      <c r="S388" s="1801">
        <f t="shared" si="1677"/>
        <v>4.7267694801471097E-2</v>
      </c>
      <c r="T388" s="1801">
        <f t="shared" si="1677"/>
        <v>4.227533247122308E-2</v>
      </c>
      <c r="U388" s="1767">
        <f t="shared" si="1677"/>
        <v>4.9225497601863899E-2</v>
      </c>
      <c r="V388" s="1801">
        <f t="shared" si="1677"/>
        <v>0.14648175112019243</v>
      </c>
      <c r="W388" s="1801">
        <f t="shared" si="1677"/>
        <v>0.10978505714992656</v>
      </c>
      <c r="X388" s="1801">
        <f t="shared" si="1677"/>
        <v>0.18732199156220966</v>
      </c>
      <c r="Y388" s="1801">
        <f t="shared" si="1677"/>
        <v>0.16592766144384244</v>
      </c>
      <c r="Z388" s="1767">
        <f t="shared" si="1677"/>
        <v>0.15646065921112409</v>
      </c>
      <c r="AA388" s="1801">
        <f t="shared" si="1677"/>
        <v>0.11735773599151655</v>
      </c>
      <c r="AB388" s="1801">
        <f t="shared" si="1677"/>
        <v>0.10676909278904102</v>
      </c>
      <c r="AC388" s="1801">
        <f t="shared" si="1677"/>
        <v>8.4355498971940238E-2</v>
      </c>
      <c r="AD388" s="1801">
        <f t="shared" si="1677"/>
        <v>5.7712983312667658E-2</v>
      </c>
      <c r="AE388" s="1767">
        <f t="shared" si="1677"/>
        <v>8.7402480165231458E-2</v>
      </c>
      <c r="AF388" s="1801">
        <f t="shared" si="1677"/>
        <v>3.8923499581382172E-2</v>
      </c>
      <c r="AG388" s="1801">
        <f t="shared" si="1677"/>
        <v>3.4191528318989958E-2</v>
      </c>
      <c r="AH388" s="1801">
        <f t="shared" si="1677"/>
        <v>2.9337529839285989E-2</v>
      </c>
      <c r="AI388" s="1801">
        <f t="shared" si="1677"/>
        <v>3.0302856609867267E-2</v>
      </c>
      <c r="AJ388" s="1767">
        <f t="shared" si="1677"/>
        <v>3.26962675285409E-2</v>
      </c>
      <c r="AK388" s="1801">
        <f t="shared" si="1677"/>
        <v>5.087686993484207E-2</v>
      </c>
      <c r="AL388" s="1801">
        <f t="shared" si="1677"/>
        <v>4.4441938101564708E-2</v>
      </c>
      <c r="AM388" s="1801">
        <f t="shared" si="1677"/>
        <v>3.7127189810806004E-2</v>
      </c>
      <c r="AN388" s="1801">
        <f t="shared" si="1677"/>
        <v>4.1936385547581057E-2</v>
      </c>
      <c r="AO388" s="1767">
        <f t="shared" si="1677"/>
        <v>4.3196943455568772E-2</v>
      </c>
      <c r="AP388" s="1801">
        <f t="shared" si="1677"/>
        <v>5.0182165743124056E-2</v>
      </c>
      <c r="AQ388" s="1801">
        <f t="shared" si="1677"/>
        <v>6.237730776333069E-2</v>
      </c>
      <c r="AR388" s="1801">
        <f t="shared" si="1677"/>
        <v>4.6783166889251215E-2</v>
      </c>
      <c r="AS388" s="1801">
        <f t="shared" si="1677"/>
        <v>5.0821693342358171E-2</v>
      </c>
      <c r="AT388" s="1767">
        <f t="shared" si="1677"/>
        <v>5.234703705306247E-2</v>
      </c>
      <c r="AU388" s="1801">
        <f t="shared" si="1677"/>
        <v>5.4141278813152921E-2</v>
      </c>
      <c r="AV388" s="1801">
        <f t="shared" ref="AV388:BN388" si="1678">AV24/AV7</f>
        <v>5.0822661746918137E-2</v>
      </c>
      <c r="AW388" s="1801">
        <f t="shared" si="1678"/>
        <v>5.0535867257878044E-2</v>
      </c>
      <c r="AX388" s="1801">
        <f t="shared" si="1678"/>
        <v>5.0197652863475675E-2</v>
      </c>
      <c r="AY388" s="1767">
        <f t="shared" si="1678"/>
        <v>5.1375900126401947E-2</v>
      </c>
      <c r="AZ388" s="1801">
        <f t="shared" si="1678"/>
        <v>5.0369123922896941E-2</v>
      </c>
      <c r="BA388" s="1801">
        <f t="shared" si="1678"/>
        <v>5.3064542032922227E-2</v>
      </c>
      <c r="BB388" s="1801">
        <f t="shared" si="1678"/>
        <v>5.3412104020773607E-2</v>
      </c>
      <c r="BC388" s="1801">
        <f t="shared" si="1678"/>
        <v>4.1351698613613631E-2</v>
      </c>
      <c r="BD388" s="1767">
        <f t="shared" si="1678"/>
        <v>4.9218870603630033E-2</v>
      </c>
      <c r="BE388" s="1802">
        <f t="shared" si="1678"/>
        <v>4.2952029520295205E-2</v>
      </c>
      <c r="BF388" s="1801">
        <f t="shared" si="1678"/>
        <v>4.5307917888563053E-2</v>
      </c>
      <c r="BG388" s="1801">
        <f t="shared" si="1678"/>
        <v>5.2154817458138894E-2</v>
      </c>
      <c r="BH388" s="1801">
        <f t="shared" si="1678"/>
        <v>4.6919431279620852E-2</v>
      </c>
      <c r="BI388" s="1767">
        <f t="shared" si="1678"/>
        <v>4.6928822345759014E-2</v>
      </c>
      <c r="BJ388" s="1801">
        <f t="shared" si="1678"/>
        <v>5.0379008746355688E-2</v>
      </c>
      <c r="BK388" s="1801">
        <f t="shared" si="1678"/>
        <v>4.8194105916241965E-2</v>
      </c>
      <c r="BL388" s="1801">
        <f t="shared" si="1678"/>
        <v>5.8744855967078187E-2</v>
      </c>
      <c r="BM388" s="1801">
        <f t="shared" si="1678"/>
        <v>5.0642479213907785E-2</v>
      </c>
      <c r="BN388" s="1767">
        <f t="shared" si="1678"/>
        <v>5.2077562326869803E-2</v>
      </c>
      <c r="BO388" s="1801">
        <v>5.2231094410521373E-2</v>
      </c>
      <c r="BP388" s="1801">
        <v>6.1159325364336006E-2</v>
      </c>
      <c r="BQ388" s="1801">
        <v>7.5455641443869223E-2</v>
      </c>
      <c r="BR388" s="1803">
        <v>6.0891878771065958E-2</v>
      </c>
      <c r="BS388" s="1804">
        <v>6.315809961268222E-2</v>
      </c>
      <c r="BT388" s="1805">
        <f>BT24/BT7</f>
        <v>5.2231094410521373E-2</v>
      </c>
      <c r="BU388" s="1801">
        <f>BU24/BU7</f>
        <v>5.034658883619117E-2</v>
      </c>
      <c r="BV388" s="1801">
        <f>BV24/BV7</f>
        <v>5.9691133090404302E-2</v>
      </c>
      <c r="BW388" s="1801">
        <f>BW24/BW7</f>
        <v>5.2460286710577293E-2</v>
      </c>
      <c r="BX388" s="1767">
        <f>BX24/BX7</f>
        <v>5.3715328308607917E-2</v>
      </c>
      <c r="BY388" s="1801">
        <v>4.2451141814016755E-2</v>
      </c>
      <c r="BZ388" s="1801">
        <v>5.5512229705778092E-2</v>
      </c>
      <c r="CA388" s="1801">
        <v>5.9491036057208083E-2</v>
      </c>
      <c r="CB388" s="1801">
        <v>5.4395539209870683E-2</v>
      </c>
      <c r="CC388" s="1767">
        <v>5.3220163058945641E-2</v>
      </c>
      <c r="CD388" s="1801">
        <f t="shared" ref="CD388:CX388" si="1679">CD24/CD7</f>
        <v>5.0575245154814298E-2</v>
      </c>
      <c r="CE388" s="1801">
        <f t="shared" si="1679"/>
        <v>5.6687266346227207E-2</v>
      </c>
      <c r="CF388" s="1801">
        <f t="shared" si="1679"/>
        <v>6.2236440308273959E-2</v>
      </c>
      <c r="CG388" s="1801">
        <f t="shared" si="1679"/>
        <v>5.558031450945438E-2</v>
      </c>
      <c r="CH388" s="1767">
        <f t="shared" si="1679"/>
        <v>5.6323060573857602E-2</v>
      </c>
      <c r="CI388" s="1801">
        <f t="shared" si="1679"/>
        <v>5.4409857328145267E-2</v>
      </c>
      <c r="CJ388" s="1801">
        <f t="shared" si="1679"/>
        <v>5.5155123785647131E-2</v>
      </c>
      <c r="CK388" s="1801">
        <f t="shared" si="1679"/>
        <v>7.5954729770622773E-2</v>
      </c>
      <c r="CL388" s="1801">
        <f t="shared" si="1679"/>
        <v>6.6342595149975148E-2</v>
      </c>
      <c r="CM388" s="1767">
        <f t="shared" si="1679"/>
        <v>6.3256617323979941E-2</v>
      </c>
      <c r="CN388" s="1801">
        <f t="shared" si="1679"/>
        <v>6.9706802642252874E-2</v>
      </c>
      <c r="CO388" s="1801">
        <f t="shared" si="1679"/>
        <v>6.3857392677836064E-2</v>
      </c>
      <c r="CP388" s="1801">
        <f t="shared" si="1679"/>
        <v>7.6680053547523427E-2</v>
      </c>
      <c r="CQ388" s="1801">
        <f t="shared" si="1679"/>
        <v>6.7326175629424723E-2</v>
      </c>
      <c r="CR388" s="1767">
        <f t="shared" si="1679"/>
        <v>6.9383509581405267E-2</v>
      </c>
      <c r="CS388" s="1801">
        <f t="shared" si="1679"/>
        <v>7.3752283161376317E-2</v>
      </c>
      <c r="CT388" s="1801">
        <f t="shared" si="1679"/>
        <v>6.9906976744186042E-2</v>
      </c>
      <c r="CU388" s="1801">
        <f t="shared" si="1679"/>
        <v>8.2847089216515971E-2</v>
      </c>
      <c r="CV388" s="1801">
        <f t="shared" si="1679"/>
        <v>7.0825659914057704E-2</v>
      </c>
      <c r="CW388" s="1767">
        <f t="shared" si="1679"/>
        <v>7.4253367600141798E-2</v>
      </c>
      <c r="CX388" s="1801">
        <f t="shared" si="1679"/>
        <v>8.1171717171717173E-2</v>
      </c>
      <c r="CY388" s="1801"/>
      <c r="CZ388" s="1801"/>
      <c r="DA388" s="1801"/>
      <c r="DB388" s="1767"/>
      <c r="DC388" s="1801"/>
      <c r="DD388" s="1801"/>
      <c r="DE388" s="1801"/>
      <c r="DF388" s="1801"/>
      <c r="DG388" s="1767"/>
      <c r="DH388" s="3980"/>
      <c r="DI388" s="3980"/>
      <c r="DJ388" s="3980"/>
      <c r="DK388" s="3980"/>
      <c r="DL388" s="1767"/>
      <c r="DM388" s="3980"/>
      <c r="DN388" s="3980"/>
      <c r="DO388" s="3980"/>
      <c r="DP388" s="3980"/>
      <c r="DQ388" s="1767"/>
      <c r="DR388" s="3980"/>
      <c r="DS388" s="3980"/>
      <c r="DT388" s="3980"/>
      <c r="DU388" s="3980"/>
      <c r="DV388" s="1767"/>
      <c r="DW388" s="3980"/>
      <c r="DX388" s="3980"/>
      <c r="DY388" s="3980"/>
      <c r="DZ388" s="3980"/>
      <c r="EA388" s="1767"/>
      <c r="EB388" s="3980"/>
      <c r="EC388" s="3980"/>
      <c r="ED388" s="3980"/>
      <c r="EE388" s="3980"/>
      <c r="EF388" s="1767"/>
      <c r="EG388" s="3980"/>
      <c r="EH388" s="3980"/>
      <c r="EI388" s="3980"/>
      <c r="EJ388" s="3980"/>
      <c r="EK388" s="1767"/>
      <c r="EL388" s="3980"/>
      <c r="EM388" s="3980"/>
      <c r="EN388" s="3980"/>
      <c r="EO388" s="3980"/>
      <c r="EP388" s="1767"/>
      <c r="EQ388" s="3980"/>
      <c r="ER388" s="3980"/>
      <c r="ES388" s="3980"/>
      <c r="ET388" s="3980"/>
      <c r="EU388" s="1767"/>
      <c r="EV388" s="1767"/>
      <c r="EW388" s="1767"/>
      <c r="EX388" s="1767"/>
      <c r="EY388" s="1767"/>
      <c r="EZ388" s="127"/>
      <c r="FA388" s="1121"/>
      <c r="FB388" s="1121"/>
      <c r="FC388" s="1121"/>
      <c r="FD388" s="1121"/>
      <c r="FE388" s="1121"/>
      <c r="FF388" s="1121"/>
      <c r="FG388" s="1121"/>
      <c r="FH388" s="1121"/>
      <c r="FI388" s="1121"/>
      <c r="FJ388" s="1121"/>
      <c r="FK388" s="1121"/>
      <c r="FL388" s="1121"/>
    </row>
    <row r="389" spans="1:168" ht="11.25" hidden="1" customHeight="1">
      <c r="A389" s="3811"/>
      <c r="B389" s="32"/>
      <c r="C389" s="32"/>
      <c r="D389" s="32"/>
      <c r="E389" s="32"/>
      <c r="F389" s="1000"/>
      <c r="G389" s="32"/>
      <c r="J389" s="32"/>
      <c r="K389" s="1000"/>
      <c r="L389" s="32"/>
      <c r="M389" s="32"/>
      <c r="N389" s="32"/>
      <c r="O389" s="32"/>
      <c r="P389" s="1000"/>
      <c r="Q389" s="1770"/>
      <c r="R389" s="1770"/>
      <c r="S389" s="1770"/>
      <c r="T389" s="1770"/>
      <c r="U389" s="1715"/>
      <c r="V389" s="1770"/>
      <c r="W389" s="1770"/>
      <c r="X389" s="1770"/>
      <c r="Y389" s="1770"/>
      <c r="Z389" s="1715"/>
      <c r="AA389" s="1770"/>
      <c r="AB389" s="1770"/>
      <c r="AC389" s="1770"/>
      <c r="AD389" s="1770"/>
      <c r="AE389" s="1715"/>
      <c r="AF389" s="1770"/>
      <c r="AG389" s="1770"/>
      <c r="AH389" s="1770"/>
      <c r="AI389" s="1770"/>
      <c r="AJ389" s="1715"/>
      <c r="AK389" s="1770"/>
      <c r="AL389" s="1770"/>
      <c r="AM389" s="1770"/>
      <c r="AN389" s="1770"/>
      <c r="AO389" s="1715"/>
      <c r="AP389" s="1770"/>
      <c r="AQ389" s="1770"/>
      <c r="AR389" s="1770"/>
      <c r="AS389" s="1770"/>
      <c r="AT389" s="1715"/>
      <c r="AU389" s="1770"/>
      <c r="AV389" s="1770"/>
      <c r="AW389" s="1770"/>
      <c r="AX389" s="1770"/>
      <c r="AY389" s="1715"/>
      <c r="AZ389" s="1770"/>
      <c r="BA389" s="1770"/>
      <c r="BB389" s="1770"/>
      <c r="BC389" s="1770"/>
      <c r="BD389" s="1715"/>
      <c r="BE389" s="1769"/>
      <c r="BF389" s="1770"/>
      <c r="BG389" s="1770"/>
      <c r="BH389" s="1770"/>
      <c r="BI389" s="1715"/>
      <c r="BJ389" s="1770"/>
      <c r="BK389" s="1770"/>
      <c r="BL389" s="1770"/>
      <c r="BM389" s="1770"/>
      <c r="BN389" s="1715"/>
      <c r="BO389" s="1770"/>
      <c r="BP389" s="1770"/>
      <c r="BQ389" s="1770"/>
      <c r="BR389" s="1770"/>
      <c r="BS389" s="1771"/>
      <c r="BT389" s="1770"/>
      <c r="BU389" s="1770"/>
      <c r="BV389" s="1770"/>
      <c r="BW389" s="1770"/>
      <c r="BX389" s="1715"/>
      <c r="BY389" s="1770"/>
      <c r="BZ389" s="1770"/>
      <c r="CA389" s="1770"/>
      <c r="CB389" s="1770"/>
      <c r="CC389" s="1715"/>
      <c r="CD389" s="1770"/>
      <c r="CE389" s="1770"/>
      <c r="CF389" s="1770"/>
      <c r="CG389" s="1770"/>
      <c r="CH389" s="1715"/>
      <c r="CI389" s="1770"/>
      <c r="CJ389" s="1770"/>
      <c r="CK389" s="1770"/>
      <c r="CL389" s="1770"/>
      <c r="CM389" s="1715"/>
      <c r="CN389" s="1770"/>
      <c r="CO389" s="1770"/>
      <c r="CP389" s="1770"/>
      <c r="CQ389" s="1770"/>
      <c r="CR389" s="1715"/>
      <c r="CS389" s="1770"/>
      <c r="CT389" s="1770"/>
      <c r="CU389" s="1770"/>
      <c r="CV389" s="1770"/>
      <c r="CW389" s="1715"/>
      <c r="CX389" s="1770"/>
      <c r="CY389" s="1770"/>
      <c r="CZ389" s="1770"/>
      <c r="DA389" s="1770"/>
      <c r="DB389" s="1715"/>
      <c r="DC389" s="1770"/>
      <c r="DD389" s="1770"/>
      <c r="DE389" s="1770"/>
      <c r="DF389" s="1770"/>
      <c r="DG389" s="1715"/>
      <c r="DH389" s="1770"/>
      <c r="DI389" s="1770"/>
      <c r="DJ389" s="1770"/>
      <c r="DK389" s="1770"/>
      <c r="DL389" s="1715"/>
      <c r="DM389" s="1770"/>
      <c r="DN389" s="1770"/>
      <c r="DO389" s="1770"/>
      <c r="DP389" s="1770"/>
      <c r="DQ389" s="1715"/>
      <c r="DR389" s="1770"/>
      <c r="DS389" s="1770"/>
      <c r="DT389" s="1770"/>
      <c r="DU389" s="1770"/>
      <c r="DV389" s="1715"/>
      <c r="DW389" s="1770"/>
      <c r="DX389" s="1770"/>
      <c r="DY389" s="1770"/>
      <c r="DZ389" s="1770"/>
      <c r="EA389" s="1715"/>
      <c r="EB389" s="1770"/>
      <c r="EC389" s="1770"/>
      <c r="ED389" s="1770"/>
      <c r="EE389" s="1770"/>
      <c r="EF389" s="1715"/>
      <c r="EG389" s="1770"/>
      <c r="EH389" s="1770"/>
      <c r="EI389" s="1770"/>
      <c r="EJ389" s="1770"/>
      <c r="EK389" s="1715"/>
      <c r="EL389" s="1770"/>
      <c r="EM389" s="1770"/>
      <c r="EN389" s="1770"/>
      <c r="EO389" s="1770"/>
      <c r="EP389" s="1715"/>
      <c r="EQ389" s="1770"/>
      <c r="ER389" s="1770"/>
      <c r="ES389" s="1770"/>
      <c r="ET389" s="1770"/>
      <c r="EU389" s="1715"/>
      <c r="EV389" s="1715"/>
      <c r="EW389" s="1715"/>
      <c r="EX389" s="1715"/>
      <c r="EY389" s="1715"/>
      <c r="EZ389" s="129"/>
      <c r="FA389" s="715"/>
      <c r="FB389" s="715"/>
      <c r="FC389" s="715"/>
      <c r="FD389" s="715"/>
      <c r="FE389" s="715"/>
      <c r="FF389" s="715"/>
      <c r="FG389" s="715"/>
      <c r="FH389" s="715"/>
      <c r="FI389" s="715"/>
      <c r="FJ389" s="715"/>
      <c r="FK389" s="715"/>
      <c r="FL389" s="715"/>
    </row>
    <row r="390" spans="1:168" s="129" customFormat="1" ht="11.25" hidden="1" customHeight="1">
      <c r="A390" s="3812" t="s">
        <v>375</v>
      </c>
      <c r="B390" s="174"/>
      <c r="C390" s="174"/>
      <c r="D390" s="174"/>
      <c r="E390" s="174"/>
      <c r="F390" s="1718"/>
      <c r="G390" s="174"/>
      <c r="H390" s="174"/>
      <c r="I390" s="174"/>
      <c r="J390" s="174"/>
      <c r="K390" s="1718"/>
      <c r="L390" s="174"/>
      <c r="M390" s="174"/>
      <c r="N390" s="174"/>
      <c r="O390" s="174"/>
      <c r="P390" s="1718"/>
      <c r="Q390" s="174"/>
      <c r="R390" s="174"/>
      <c r="S390" s="174"/>
      <c r="T390" s="174"/>
      <c r="U390" s="1718"/>
      <c r="V390" s="174"/>
      <c r="W390" s="174"/>
      <c r="X390" s="174"/>
      <c r="Y390" s="174"/>
      <c r="Z390" s="1718"/>
      <c r="AA390" s="209"/>
      <c r="AB390" s="209"/>
      <c r="AC390" s="174"/>
      <c r="AD390" s="174"/>
      <c r="AE390" s="1718"/>
      <c r="AF390" s="174"/>
      <c r="AG390" s="174"/>
      <c r="AH390" s="174"/>
      <c r="AI390" s="174"/>
      <c r="AJ390" s="1718"/>
      <c r="AK390" s="174"/>
      <c r="AL390" s="174"/>
      <c r="AM390" s="174"/>
      <c r="AN390" s="174"/>
      <c r="AO390" s="1718"/>
      <c r="AP390" s="174"/>
      <c r="AQ390" s="174"/>
      <c r="AR390" s="174"/>
      <c r="AS390" s="174"/>
      <c r="AT390" s="1718"/>
      <c r="AU390" s="42">
        <f>SUM(AU15:AU21)</f>
        <v>2613.9840000000004</v>
      </c>
      <c r="AV390" s="42">
        <f>SUM(AV15:AV21)</f>
        <v>2774.8950000000004</v>
      </c>
      <c r="AW390" s="42">
        <f>SUM(AW15:AW21)</f>
        <v>2898.2580000000003</v>
      </c>
      <c r="AX390" s="42">
        <f>SUM(AX15:AX21)</f>
        <v>2854.3860000000004</v>
      </c>
      <c r="AY390" s="1718"/>
      <c r="AZ390" s="42">
        <f>SUM(AZ15:AZ21)</f>
        <v>2562.12</v>
      </c>
      <c r="BA390" s="42">
        <f>SUM(BA15:BA21)</f>
        <v>2677.7219999999998</v>
      </c>
      <c r="BB390" s="42">
        <f>SUM(BB15:BB21)</f>
        <v>2855.4569999999999</v>
      </c>
      <c r="BC390" s="42">
        <f>SUM(BC15:BC21)</f>
        <v>3065.2890000000002</v>
      </c>
      <c r="BD390" s="1001">
        <f>SUM(AZ390:BC390)</f>
        <v>11160.588</v>
      </c>
      <c r="BE390" s="1687">
        <f>SUM(BE15:BE21)</f>
        <v>3220</v>
      </c>
      <c r="BF390" s="42">
        <f>SUM(BF15:BF21)</f>
        <v>3472</v>
      </c>
      <c r="BG390" s="42">
        <f>SUM(BG15:BG21)</f>
        <v>3789</v>
      </c>
      <c r="BH390" s="42">
        <f>SUM(BH15:BH21)</f>
        <v>4414</v>
      </c>
      <c r="BI390" s="1001">
        <f>SUM(BE390:BH390)</f>
        <v>14895</v>
      </c>
      <c r="BJ390" s="42">
        <f>SUM(BJ15:BJ21)</f>
        <v>5027</v>
      </c>
      <c r="BK390" s="42">
        <f>SUM(BK15:BK21)</f>
        <v>5235</v>
      </c>
      <c r="BL390" s="42">
        <f>SUM(BL15:BL21)</f>
        <v>5808</v>
      </c>
      <c r="BM390" s="42">
        <f>SUM(BM15:BM21)</f>
        <v>5853</v>
      </c>
      <c r="BN390" s="1001">
        <f>SUM(BJ390:BM390)</f>
        <v>21923</v>
      </c>
      <c r="BO390" s="42"/>
      <c r="BP390" s="42"/>
      <c r="BQ390" s="42"/>
      <c r="BR390" s="42"/>
      <c r="BS390" s="1730"/>
      <c r="BT390" s="42">
        <f>SUM(BT15:BT21)</f>
        <v>2985</v>
      </c>
      <c r="BU390" s="42">
        <f>SUM(BU15:BU21)</f>
        <v>3074</v>
      </c>
      <c r="BV390" s="42">
        <f>SUM(BV15:BV21)</f>
        <v>3238</v>
      </c>
      <c r="BW390" s="42">
        <f>SUM(BW15:BW21)</f>
        <v>3619</v>
      </c>
      <c r="BX390" s="1001">
        <f>SUM(BT390:BW390)</f>
        <v>12916</v>
      </c>
      <c r="BY390" s="42">
        <f>SUM(BY15:BY21)</f>
        <v>3955</v>
      </c>
      <c r="BZ390" s="42">
        <f>SUM(BZ15:BZ21)</f>
        <v>4251</v>
      </c>
      <c r="CA390" s="42">
        <f>SUM(CA15:CA21)</f>
        <v>4287</v>
      </c>
      <c r="CB390" s="42">
        <f>SUM(CB15:CB21)</f>
        <v>4750</v>
      </c>
      <c r="CC390" s="1001">
        <f>SUM(BY390:CB390)</f>
        <v>17243</v>
      </c>
      <c r="CD390" s="42">
        <f t="shared" ref="CD390:DB390" si="1680">SUM(CD15:CD21)</f>
        <v>7019</v>
      </c>
      <c r="CE390" s="42">
        <f t="shared" si="1680"/>
        <v>7689</v>
      </c>
      <c r="CF390" s="42">
        <f t="shared" si="1680"/>
        <v>7901</v>
      </c>
      <c r="CG390" s="42">
        <f t="shared" si="1680"/>
        <v>8740</v>
      </c>
      <c r="CH390" s="1001">
        <f t="shared" si="1680"/>
        <v>31349</v>
      </c>
      <c r="CI390" s="42">
        <f t="shared" si="1680"/>
        <v>9058</v>
      </c>
      <c r="CJ390" s="42">
        <f t="shared" si="1680"/>
        <v>9587</v>
      </c>
      <c r="CK390" s="42">
        <f t="shared" si="1680"/>
        <v>10620</v>
      </c>
      <c r="CL390" s="42">
        <f t="shared" si="1680"/>
        <v>11787</v>
      </c>
      <c r="CM390" s="1001">
        <f t="shared" si="1680"/>
        <v>41052</v>
      </c>
      <c r="CN390" s="42">
        <f t="shared" si="1680"/>
        <v>11050</v>
      </c>
      <c r="CO390" s="42">
        <f t="shared" si="1680"/>
        <v>10998</v>
      </c>
      <c r="CP390" s="42">
        <f t="shared" si="1680"/>
        <v>12173</v>
      </c>
      <c r="CQ390" s="42">
        <f t="shared" si="1680"/>
        <v>13745</v>
      </c>
      <c r="CR390" s="1001">
        <f t="shared" si="1680"/>
        <v>47966</v>
      </c>
      <c r="CS390" s="42">
        <f t="shared" si="1680"/>
        <v>12749</v>
      </c>
      <c r="CT390" s="42">
        <f t="shared" si="1680"/>
        <v>12909</v>
      </c>
      <c r="CU390" s="42">
        <f t="shared" si="1680"/>
        <v>13830</v>
      </c>
      <c r="CV390" s="42">
        <f t="shared" si="1680"/>
        <v>15202</v>
      </c>
      <c r="CW390" s="1001">
        <f t="shared" si="1680"/>
        <v>54690</v>
      </c>
      <c r="CX390" s="42">
        <f t="shared" si="1680"/>
        <v>14644.333694474539</v>
      </c>
      <c r="CY390" s="42">
        <f t="shared" si="1680"/>
        <v>15510.315276273022</v>
      </c>
      <c r="CZ390" s="42">
        <f t="shared" si="1680"/>
        <v>15791.25352112676</v>
      </c>
      <c r="DA390" s="42">
        <f t="shared" si="1680"/>
        <v>18705.836403033587</v>
      </c>
      <c r="DB390" s="1001">
        <f t="shared" si="1680"/>
        <v>64651.73889490791</v>
      </c>
      <c r="DC390" s="42"/>
      <c r="DD390" s="42"/>
      <c r="DE390" s="42"/>
      <c r="DF390" s="42"/>
      <c r="DG390" s="1001">
        <f>SUM(DG15:DG21)</f>
        <v>37752</v>
      </c>
      <c r="DH390" s="42"/>
      <c r="DI390" s="42"/>
      <c r="DJ390" s="42"/>
      <c r="DK390" s="42"/>
      <c r="DL390" s="1001">
        <f>SUM(DL15:DL21)</f>
        <v>44482</v>
      </c>
      <c r="DM390" s="42"/>
      <c r="DN390" s="42"/>
      <c r="DO390" s="42"/>
      <c r="DP390" s="42"/>
      <c r="DQ390" s="1001">
        <f>SUM(DQ15:DQ21)</f>
        <v>45519</v>
      </c>
      <c r="DR390" s="42"/>
      <c r="DS390" s="42"/>
      <c r="DT390" s="42"/>
      <c r="DU390" s="42"/>
      <c r="DV390" s="1001">
        <f>SUM(DV15:DV21)</f>
        <v>54474</v>
      </c>
      <c r="DW390" s="42"/>
      <c r="DX390" s="42"/>
      <c r="DY390" s="42"/>
      <c r="DZ390" s="42"/>
      <c r="EA390" s="1001">
        <f>SUM(EA15:EA21)</f>
        <v>66067</v>
      </c>
      <c r="EB390" s="42"/>
      <c r="EC390" s="42"/>
      <c r="ED390" s="42"/>
      <c r="EE390" s="42"/>
      <c r="EF390" s="1001">
        <f>SUM(EF15:EF21)</f>
        <v>73344</v>
      </c>
      <c r="EG390" s="42"/>
      <c r="EH390" s="42"/>
      <c r="EI390" s="42"/>
      <c r="EJ390" s="42"/>
      <c r="EK390" s="1001">
        <f>SUM(EK15:EK21)</f>
        <v>77134</v>
      </c>
      <c r="EL390" s="42"/>
      <c r="EM390" s="42"/>
      <c r="EN390" s="42"/>
      <c r="EO390" s="42"/>
      <c r="EP390" s="1001">
        <f>SUM(EP15:EP21)</f>
        <v>86318.093014661441</v>
      </c>
      <c r="EQ390" s="42"/>
      <c r="ER390" s="42"/>
      <c r="ES390" s="42"/>
      <c r="ET390" s="42"/>
      <c r="EU390" s="1001">
        <f>SUM(EU15:EU21)</f>
        <v>99324.315417596066</v>
      </c>
      <c r="EV390" s="1001">
        <f>SUM(EV15:EV21)</f>
        <v>110068.73042797565</v>
      </c>
      <c r="EW390" s="1001">
        <f>SUM(EW15:EW21)</f>
        <v>119324.47781556976</v>
      </c>
      <c r="EX390" s="1001">
        <f>SUM(EX15:EX21)</f>
        <v>128640.71658439928</v>
      </c>
      <c r="EY390" s="1001">
        <f>SUM(EY15:EY21)</f>
        <v>137650.33677808696</v>
      </c>
      <c r="EZ390" s="171"/>
      <c r="FA390" s="716"/>
      <c r="FB390" s="716"/>
      <c r="FC390" s="716"/>
      <c r="FD390" s="716"/>
      <c r="FE390" s="716"/>
      <c r="FF390" s="716"/>
      <c r="FG390" s="716"/>
      <c r="FH390" s="716"/>
      <c r="FI390" s="716"/>
      <c r="FJ390" s="716"/>
      <c r="FK390" s="716"/>
      <c r="FL390" s="716"/>
    </row>
    <row r="391" spans="1:168" s="129" customFormat="1" ht="11.25" hidden="1" customHeight="1">
      <c r="A391" s="3812" t="s">
        <v>379</v>
      </c>
      <c r="B391" s="174"/>
      <c r="C391" s="174"/>
      <c r="D391" s="174"/>
      <c r="E391" s="174"/>
      <c r="F391" s="1718"/>
      <c r="G391" s="174"/>
      <c r="H391" s="174"/>
      <c r="I391" s="174"/>
      <c r="J391" s="174"/>
      <c r="K391" s="1718"/>
      <c r="L391" s="174"/>
      <c r="M391" s="174"/>
      <c r="N391" s="174"/>
      <c r="O391" s="174"/>
      <c r="P391" s="1718"/>
      <c r="Q391" s="174"/>
      <c r="R391" s="174"/>
      <c r="S391" s="174"/>
      <c r="T391" s="174"/>
      <c r="U391" s="1718"/>
      <c r="V391" s="174"/>
      <c r="W391" s="174"/>
      <c r="X391" s="174"/>
      <c r="Y391" s="174"/>
      <c r="Z391" s="1718"/>
      <c r="AA391" s="209"/>
      <c r="AB391" s="209"/>
      <c r="AC391" s="174"/>
      <c r="AD391" s="174"/>
      <c r="AE391" s="1718"/>
      <c r="AF391" s="174"/>
      <c r="AG391" s="174"/>
      <c r="AH391" s="174"/>
      <c r="AI391" s="174"/>
      <c r="AJ391" s="1718"/>
      <c r="AK391" s="174"/>
      <c r="AL391" s="174"/>
      <c r="AM391" s="174"/>
      <c r="AN391" s="174"/>
      <c r="AO391" s="1718"/>
      <c r="AP391" s="174"/>
      <c r="AQ391" s="174"/>
      <c r="AR391" s="174"/>
      <c r="AS391" s="174"/>
      <c r="AT391" s="1718"/>
      <c r="AU391" s="42"/>
      <c r="AV391" s="42"/>
      <c r="AW391" s="42"/>
      <c r="AX391" s="42"/>
      <c r="AY391" s="1718"/>
      <c r="AZ391" s="42"/>
      <c r="BA391" s="42"/>
      <c r="BB391" s="42"/>
      <c r="BC391" s="42"/>
      <c r="BD391" s="1001"/>
      <c r="BE391" s="1687"/>
      <c r="BF391" s="42"/>
      <c r="BG391" s="42"/>
      <c r="BH391" s="42"/>
      <c r="BI391" s="1716">
        <f t="shared" ref="BI391:BN391" si="1681">+BI390/BD390-1</f>
        <v>0.33460710134627325</v>
      </c>
      <c r="BJ391" s="510">
        <f t="shared" si="1681"/>
        <v>0.56118012422360253</v>
      </c>
      <c r="BK391" s="510">
        <f t="shared" si="1681"/>
        <v>0.50777649769585254</v>
      </c>
      <c r="BL391" s="510">
        <f t="shared" si="1681"/>
        <v>0.53285827395091045</v>
      </c>
      <c r="BM391" s="510">
        <f t="shared" si="1681"/>
        <v>0.32600815586769372</v>
      </c>
      <c r="BN391" s="1716">
        <f t="shared" si="1681"/>
        <v>0.47183618663981197</v>
      </c>
      <c r="BO391" s="510"/>
      <c r="BP391" s="510"/>
      <c r="BQ391" s="510"/>
      <c r="BR391" s="510"/>
      <c r="BS391" s="1772"/>
      <c r="BT391" s="510">
        <f>+BT390/BJ390-1</f>
        <v>-0.40620648498110201</v>
      </c>
      <c r="BU391" s="510">
        <f>+BU390/BK390-1</f>
        <v>-0.41279847182425977</v>
      </c>
      <c r="BV391" s="510">
        <f>+BV390/BL390-1</f>
        <v>-0.44249311294765836</v>
      </c>
      <c r="BW391" s="510">
        <f>+BW390/BM390-1</f>
        <v>-0.38168460618486244</v>
      </c>
      <c r="BX391" s="1716">
        <f>+BX390/BN390-1</f>
        <v>-0.41084705560370383</v>
      </c>
      <c r="BY391" s="510">
        <f>+BY390/BT390-1</f>
        <v>0.32495812395309875</v>
      </c>
      <c r="BZ391" s="510">
        <f>+BZ390/BU390-1</f>
        <v>0.38288874430709163</v>
      </c>
      <c r="CA391" s="510">
        <f>+CA390/BV390-1</f>
        <v>0.32396541074737484</v>
      </c>
      <c r="CB391" s="510">
        <f>+CB390/BW390-1</f>
        <v>0.31251726996407858</v>
      </c>
      <c r="CC391" s="1716">
        <f>+CC390/BX390-1</f>
        <v>0.33501083926912356</v>
      </c>
      <c r="CD391" s="510"/>
      <c r="CE391" s="510"/>
      <c r="CF391" s="510"/>
      <c r="CG391" s="510"/>
      <c r="CH391" s="1716">
        <f>+CH390/BX390-1</f>
        <v>1.4271446268194485</v>
      </c>
      <c r="CI391" s="510">
        <f>CI390/CD390-1</f>
        <v>0.29049722182647097</v>
      </c>
      <c r="CJ391" s="510">
        <f>CJ390/CE390-1</f>
        <v>0.24684614384185211</v>
      </c>
      <c r="CK391" s="510">
        <f>CK390/CF390-1</f>
        <v>0.34413365396785212</v>
      </c>
      <c r="CL391" s="510">
        <f>CL390/CG390-1</f>
        <v>0.34862700228832955</v>
      </c>
      <c r="CM391" s="1716">
        <f>+CM390/CH390-1</f>
        <v>0.30951545503843825</v>
      </c>
      <c r="CN391" s="510">
        <f>CN390/CI390-1</f>
        <v>0.21991609626849185</v>
      </c>
      <c r="CO391" s="510">
        <f>CO390/CJ390-1</f>
        <v>0.14717847084593716</v>
      </c>
      <c r="CP391" s="510">
        <f>CP390/CK390-1</f>
        <v>0.14623352165725056</v>
      </c>
      <c r="CQ391" s="510">
        <f>CQ390/CL390-1</f>
        <v>0.16611521167387799</v>
      </c>
      <c r="CR391" s="1716">
        <f>+CR390/CM390-1</f>
        <v>0.16842053980317639</v>
      </c>
      <c r="CS391" s="510">
        <f>CS390/CN390-1</f>
        <v>0.15375565610859732</v>
      </c>
      <c r="CT391" s="510">
        <f>CT390/CO390-1</f>
        <v>0.17375886524822692</v>
      </c>
      <c r="CU391" s="510">
        <f>CU390/CP390-1</f>
        <v>0.13612092335496584</v>
      </c>
      <c r="CV391" s="510">
        <f>CV390/CQ390-1</f>
        <v>0.1060021826118589</v>
      </c>
      <c r="CW391" s="1716">
        <f>+CW390/CR390-1</f>
        <v>0.14018262936246506</v>
      </c>
      <c r="CX391" s="510">
        <f>CX390/CS390-1</f>
        <v>0.14866528311824756</v>
      </c>
      <c r="CY391" s="510">
        <f>CY390/CT390-1</f>
        <v>0.20151175739972293</v>
      </c>
      <c r="CZ391" s="510">
        <f>CZ390/CU390-1</f>
        <v>0.1418115344270976</v>
      </c>
      <c r="DA391" s="510">
        <f>DA390/CV390-1</f>
        <v>0.23048522582775854</v>
      </c>
      <c r="DB391" s="1716">
        <f>+DB390/CW390-1</f>
        <v>0.18214918440131478</v>
      </c>
      <c r="DC391" s="510"/>
      <c r="DD391" s="510"/>
      <c r="DE391" s="510"/>
      <c r="DF391" s="510"/>
      <c r="DG391" s="1716">
        <f>+DG390/DB390-1</f>
        <v>-0.41607139041741359</v>
      </c>
      <c r="DH391" s="510"/>
      <c r="DI391" s="510"/>
      <c r="DJ391" s="510"/>
      <c r="DK391" s="510"/>
      <c r="DL391" s="1716">
        <f>+DL390/DG390-1</f>
        <v>0.17826870099597381</v>
      </c>
      <c r="DM391" s="510"/>
      <c r="DN391" s="510"/>
      <c r="DO391" s="510"/>
      <c r="DP391" s="510"/>
      <c r="DQ391" s="1716">
        <f>+DQ390/DL390-1</f>
        <v>2.3312800683422452E-2</v>
      </c>
      <c r="DR391" s="510"/>
      <c r="DS391" s="510"/>
      <c r="DT391" s="510"/>
      <c r="DU391" s="510"/>
      <c r="DV391" s="1716">
        <f>+DV390/DQ390-1</f>
        <v>0.19673103539181436</v>
      </c>
      <c r="DW391" s="510"/>
      <c r="DX391" s="510"/>
      <c r="DY391" s="510"/>
      <c r="DZ391" s="510"/>
      <c r="EA391" s="1716">
        <f>+EA390/DV390-1</f>
        <v>0.21281712376546613</v>
      </c>
      <c r="EB391" s="510"/>
      <c r="EC391" s="510"/>
      <c r="ED391" s="510"/>
      <c r="EE391" s="510"/>
      <c r="EF391" s="1716">
        <f>+EF390/EA390-1</f>
        <v>0.11014576112128593</v>
      </c>
      <c r="EG391" s="510"/>
      <c r="EH391" s="510"/>
      <c r="EI391" s="510"/>
      <c r="EJ391" s="510"/>
      <c r="EK391" s="1716">
        <f>+EK390/EF390-1</f>
        <v>5.1674301919720778E-2</v>
      </c>
      <c r="EL391" s="510"/>
      <c r="EM391" s="510"/>
      <c r="EN391" s="510"/>
      <c r="EO391" s="510"/>
      <c r="EP391" s="1716">
        <f>+EP390/EK390-1</f>
        <v>0.11906672822181452</v>
      </c>
      <c r="EQ391" s="510"/>
      <c r="ER391" s="510"/>
      <c r="ES391" s="510"/>
      <c r="ET391" s="510"/>
      <c r="EU391" s="1716">
        <f>+EU390/EP390-1</f>
        <v>0.15067782371797156</v>
      </c>
      <c r="EV391" s="1716">
        <f>+EV390/EU390-1</f>
        <v>0.10817507238993884</v>
      </c>
      <c r="EW391" s="1716">
        <f>+EW390/EV390-1</f>
        <v>8.4090616395822604E-2</v>
      </c>
      <c r="EX391" s="1716">
        <f>+EX390/EW390-1</f>
        <v>7.8074833758995377E-2</v>
      </c>
      <c r="EY391" s="1716">
        <f>+EY390/EX390-1</f>
        <v>7.0037080272143726E-2</v>
      </c>
      <c r="EZ391" s="171"/>
      <c r="FA391" s="716"/>
      <c r="FB391" s="716"/>
      <c r="FC391" s="716"/>
      <c r="FD391" s="716"/>
      <c r="FE391" s="716"/>
      <c r="FF391" s="716"/>
      <c r="FG391" s="716"/>
      <c r="FH391" s="716"/>
      <c r="FI391" s="716"/>
      <c r="FJ391" s="716"/>
      <c r="FK391" s="716"/>
      <c r="FL391" s="716"/>
    </row>
    <row r="392" spans="1:168" s="129" customFormat="1" ht="11.25" hidden="1" customHeight="1">
      <c r="A392" s="3812" t="s">
        <v>376</v>
      </c>
      <c r="B392" s="174"/>
      <c r="C392" s="174"/>
      <c r="D392" s="174"/>
      <c r="E392" s="174"/>
      <c r="F392" s="1718"/>
      <c r="G392" s="174"/>
      <c r="H392" s="174"/>
      <c r="I392" s="174"/>
      <c r="J392" s="174"/>
      <c r="K392" s="1718"/>
      <c r="L392" s="174"/>
      <c r="M392" s="174"/>
      <c r="N392" s="174"/>
      <c r="O392" s="174"/>
      <c r="P392" s="1718"/>
      <c r="Q392" s="174"/>
      <c r="R392" s="174"/>
      <c r="S392" s="174"/>
      <c r="T392" s="174"/>
      <c r="U392" s="1718"/>
      <c r="V392" s="174"/>
      <c r="W392" s="174"/>
      <c r="X392" s="174"/>
      <c r="Y392" s="174"/>
      <c r="Z392" s="1718"/>
      <c r="AA392" s="209"/>
      <c r="AB392" s="209"/>
      <c r="AC392" s="174"/>
      <c r="AD392" s="174"/>
      <c r="AE392" s="1718"/>
      <c r="AF392" s="174"/>
      <c r="AG392" s="174"/>
      <c r="AH392" s="174"/>
      <c r="AI392" s="174"/>
      <c r="AJ392" s="1718"/>
      <c r="AK392" s="174"/>
      <c r="AL392" s="174"/>
      <c r="AM392" s="174"/>
      <c r="AN392" s="174"/>
      <c r="AO392" s="1718"/>
      <c r="AP392" s="174"/>
      <c r="AQ392" s="174"/>
      <c r="AR392" s="174"/>
      <c r="AS392" s="174"/>
      <c r="AT392" s="1718"/>
      <c r="AU392" s="42">
        <f>+AU390-AS390</f>
        <v>2613.9840000000004</v>
      </c>
      <c r="AV392" s="42">
        <f>+AV390-AU390</f>
        <v>160.91100000000006</v>
      </c>
      <c r="AW392" s="42">
        <f>+AW390-AV390</f>
        <v>123.36299999999983</v>
      </c>
      <c r="AX392" s="42">
        <f>+AX390-AW390</f>
        <v>-43.871999999999844</v>
      </c>
      <c r="AY392" s="1718"/>
      <c r="AZ392" s="42">
        <f>+AZ390-AX390</f>
        <v>-292.26600000000053</v>
      </c>
      <c r="BA392" s="42">
        <f>+BA390-AZ390</f>
        <v>115.60199999999986</v>
      </c>
      <c r="BB392" s="42">
        <f>+BB390-BA390</f>
        <v>177.73500000000013</v>
      </c>
      <c r="BC392" s="42">
        <f>+BC390-BB390</f>
        <v>209.83200000000033</v>
      </c>
      <c r="BD392" s="1718"/>
      <c r="BE392" s="1687">
        <f>+BE390-BC390</f>
        <v>154.71099999999979</v>
      </c>
      <c r="BF392" s="42">
        <f>+BF390-BE390</f>
        <v>252</v>
      </c>
      <c r="BG392" s="42">
        <f>+BG390-BF390</f>
        <v>317</v>
      </c>
      <c r="BH392" s="42">
        <f>+BH390-BG390</f>
        <v>625</v>
      </c>
      <c r="BI392" s="1716">
        <f>+BI390/BD390-1</f>
        <v>0.33460710134627325</v>
      </c>
      <c r="BJ392" s="42">
        <f>+BJ390-BH390</f>
        <v>613</v>
      </c>
      <c r="BK392" s="42">
        <f>+BK390-BJ390</f>
        <v>208</v>
      </c>
      <c r="BL392" s="42">
        <f>+BL390-BK390</f>
        <v>573</v>
      </c>
      <c r="BM392" s="42">
        <f>+BM390-BL390</f>
        <v>45</v>
      </c>
      <c r="BN392" s="1717"/>
      <c r="BO392" s="4"/>
      <c r="BP392" s="4"/>
      <c r="BQ392" s="4"/>
      <c r="BR392" s="4"/>
      <c r="BS392" s="1773"/>
      <c r="BT392" s="42">
        <f>+BT390-BM390</f>
        <v>-2868</v>
      </c>
      <c r="BU392" s="42">
        <f>+BU390-BT390</f>
        <v>89</v>
      </c>
      <c r="BV392" s="42">
        <f>+BV390-BU390</f>
        <v>164</v>
      </c>
      <c r="BW392" s="42">
        <f>+BW390-BV390</f>
        <v>381</v>
      </c>
      <c r="BX392" s="1717"/>
      <c r="BY392" s="42">
        <f>+BY390-BW390</f>
        <v>336</v>
      </c>
      <c r="BZ392" s="42">
        <f>+BZ390-BY390</f>
        <v>296</v>
      </c>
      <c r="CA392" s="42">
        <f>+CA390-BZ390</f>
        <v>36</v>
      </c>
      <c r="CB392" s="42">
        <f>+CB390-CA390</f>
        <v>463</v>
      </c>
      <c r="CC392" s="1717"/>
      <c r="CD392" s="42"/>
      <c r="CE392" s="42"/>
      <c r="CF392" s="42"/>
      <c r="CG392" s="42"/>
      <c r="CH392" s="1716"/>
      <c r="CI392" s="42">
        <f>+CI390-CG390</f>
        <v>318</v>
      </c>
      <c r="CJ392" s="42">
        <f>+CJ390-CI390</f>
        <v>529</v>
      </c>
      <c r="CK392" s="42">
        <f>+CK390-CJ390</f>
        <v>1033</v>
      </c>
      <c r="CL392" s="42">
        <f>+CL390-CK390</f>
        <v>1167</v>
      </c>
      <c r="CM392" s="1716"/>
      <c r="CN392" s="42">
        <f>+CN390-CL390</f>
        <v>-737</v>
      </c>
      <c r="CO392" s="42">
        <f>+CO390-CN390</f>
        <v>-52</v>
      </c>
      <c r="CP392" s="42">
        <f>+CP390-CO390</f>
        <v>1175</v>
      </c>
      <c r="CQ392" s="42">
        <f>+CQ390-CP390</f>
        <v>1572</v>
      </c>
      <c r="CR392" s="1716"/>
      <c r="CS392" s="42">
        <f>+CS390-CQ390</f>
        <v>-996</v>
      </c>
      <c r="CT392" s="42">
        <f>+CT390-CS390</f>
        <v>160</v>
      </c>
      <c r="CU392" s="42">
        <f>+CU390-CT390</f>
        <v>921</v>
      </c>
      <c r="CV392" s="42">
        <f>+CV390-CU390</f>
        <v>1372</v>
      </c>
      <c r="CW392" s="1716"/>
      <c r="CX392" s="42">
        <f>+CX390-CV390</f>
        <v>-557.66630552546121</v>
      </c>
      <c r="CY392" s="42">
        <f>+CY390-CX390</f>
        <v>865.9815817984836</v>
      </c>
      <c r="CZ392" s="42">
        <f>+CZ390-CY390</f>
        <v>280.93824485373807</v>
      </c>
      <c r="DA392" s="42">
        <f>+DA390-CZ390</f>
        <v>2914.5828819068265</v>
      </c>
      <c r="DB392" s="1716"/>
      <c r="DC392" s="42"/>
      <c r="DD392" s="42"/>
      <c r="DE392" s="42"/>
      <c r="DF392" s="42"/>
      <c r="DG392" s="1718"/>
      <c r="DH392" s="42"/>
      <c r="DI392" s="42"/>
      <c r="DJ392" s="42"/>
      <c r="DK392" s="42"/>
      <c r="DL392" s="1718"/>
      <c r="DM392" s="42"/>
      <c r="DN392" s="42"/>
      <c r="DO392" s="42"/>
      <c r="DP392" s="42"/>
      <c r="DQ392" s="1718"/>
      <c r="DR392" s="42"/>
      <c r="DS392" s="42"/>
      <c r="DT392" s="42"/>
      <c r="DU392" s="42"/>
      <c r="DV392" s="1718"/>
      <c r="DW392" s="42"/>
      <c r="DX392" s="42"/>
      <c r="DY392" s="42"/>
      <c r="DZ392" s="42"/>
      <c r="EA392" s="1718"/>
      <c r="EB392" s="42"/>
      <c r="EC392" s="42"/>
      <c r="ED392" s="42"/>
      <c r="EE392" s="42"/>
      <c r="EF392" s="1718"/>
      <c r="EG392" s="42"/>
      <c r="EH392" s="42"/>
      <c r="EI392" s="42"/>
      <c r="EJ392" s="42"/>
      <c r="EK392" s="1718"/>
      <c r="EL392" s="42"/>
      <c r="EM392" s="42"/>
      <c r="EN392" s="42"/>
      <c r="EO392" s="42"/>
      <c r="EP392" s="1718"/>
      <c r="EQ392" s="42"/>
      <c r="ER392" s="42"/>
      <c r="ES392" s="42"/>
      <c r="ET392" s="42"/>
      <c r="EU392" s="1718"/>
      <c r="EV392" s="1718"/>
      <c r="EW392" s="1718"/>
      <c r="EX392" s="1718"/>
      <c r="EY392" s="1718"/>
      <c r="EZ392" s="171"/>
      <c r="FA392" s="716"/>
      <c r="FB392" s="716"/>
      <c r="FC392" s="716"/>
      <c r="FD392" s="716"/>
      <c r="FE392" s="716"/>
      <c r="FF392" s="716"/>
      <c r="FG392" s="716"/>
      <c r="FH392" s="716"/>
      <c r="FI392" s="716"/>
      <c r="FJ392" s="716"/>
      <c r="FK392" s="716"/>
      <c r="FL392" s="716"/>
    </row>
    <row r="393" spans="1:168" s="129" customFormat="1" ht="11.25" hidden="1" customHeight="1">
      <c r="A393" s="3812" t="s">
        <v>378</v>
      </c>
      <c r="B393" s="174"/>
      <c r="C393" s="174"/>
      <c r="D393" s="174"/>
      <c r="E393" s="174"/>
      <c r="F393" s="1718"/>
      <c r="G393" s="174"/>
      <c r="H393" s="174"/>
      <c r="I393" s="174"/>
      <c r="J393" s="174"/>
      <c r="K393" s="1718"/>
      <c r="L393" s="174"/>
      <c r="M393" s="174"/>
      <c r="N393" s="174"/>
      <c r="O393" s="174"/>
      <c r="P393" s="1718"/>
      <c r="Q393" s="174"/>
      <c r="R393" s="174"/>
      <c r="S393" s="174"/>
      <c r="T393" s="174"/>
      <c r="U393" s="1718"/>
      <c r="V393" s="174"/>
      <c r="W393" s="174"/>
      <c r="X393" s="174"/>
      <c r="Y393" s="174"/>
      <c r="Z393" s="1718"/>
      <c r="AA393" s="209"/>
      <c r="AB393" s="209"/>
      <c r="AC393" s="174"/>
      <c r="AD393" s="174"/>
      <c r="AE393" s="1718"/>
      <c r="AF393" s="174"/>
      <c r="AG393" s="174"/>
      <c r="AH393" s="174"/>
      <c r="AI393" s="174"/>
      <c r="AJ393" s="1718"/>
      <c r="AK393" s="174"/>
      <c r="AL393" s="174"/>
      <c r="AM393" s="174"/>
      <c r="AN393" s="174"/>
      <c r="AO393" s="1718"/>
      <c r="AP393" s="174"/>
      <c r="AQ393" s="174"/>
      <c r="AR393" s="174"/>
      <c r="AS393" s="174"/>
      <c r="AT393" s="1718"/>
      <c r="AU393" s="174"/>
      <c r="AV393" s="174"/>
      <c r="AW393" s="174"/>
      <c r="AX393" s="174"/>
      <c r="AY393" s="1718"/>
      <c r="AZ393" s="510">
        <f>+AZ390/AX390-1</f>
        <v>-0.10239189794232473</v>
      </c>
      <c r="BA393" s="510">
        <f>+BA390/AZ390-1</f>
        <v>4.5119666526157953E-2</v>
      </c>
      <c r="BB393" s="510">
        <f>+BB390/BA390-1</f>
        <v>6.6375448982381346E-2</v>
      </c>
      <c r="BC393" s="510">
        <f>+BC390/BB390-1</f>
        <v>7.3484559564371166E-2</v>
      </c>
      <c r="BD393" s="1718"/>
      <c r="BE393" s="1695">
        <f>+BE390/BC390-1</f>
        <v>5.0471913088782072E-2</v>
      </c>
      <c r="BF393" s="510">
        <f>+BF390/BE390-1</f>
        <v>7.8260869565217384E-2</v>
      </c>
      <c r="BG393" s="510">
        <f>+BG390/BF390-1</f>
        <v>9.130184331797242E-2</v>
      </c>
      <c r="BH393" s="510">
        <f>+BH390/BG390-1</f>
        <v>0.16495117445236218</v>
      </c>
      <c r="BI393" s="1718"/>
      <c r="BJ393" s="510">
        <f>+BJ390/BH390-1</f>
        <v>0.13887630267331219</v>
      </c>
      <c r="BK393" s="510">
        <f>+BK390/BJ390-1</f>
        <v>4.1376566540680226E-2</v>
      </c>
      <c r="BL393" s="510">
        <f>+BL390/BK390-1</f>
        <v>0.10945558739255024</v>
      </c>
      <c r="BM393" s="510">
        <f>+BM390/BL390-1</f>
        <v>7.7479338842976198E-3</v>
      </c>
      <c r="BN393" s="1718"/>
      <c r="BO393" s="174"/>
      <c r="BP393" s="174"/>
      <c r="BQ393" s="174"/>
      <c r="BR393" s="174"/>
      <c r="BS393" s="1774"/>
      <c r="BT393" s="510">
        <f>+BT390/BM390-1</f>
        <v>-0.49000512557662734</v>
      </c>
      <c r="BU393" s="510">
        <f>+BU390/BT390-1</f>
        <v>2.9815745393634741E-2</v>
      </c>
      <c r="BV393" s="510">
        <f>+BV390/BU390-1</f>
        <v>5.3350683148991607E-2</v>
      </c>
      <c r="BW393" s="510">
        <f>+BW390/BV390-1</f>
        <v>0.11766522544780722</v>
      </c>
      <c r="BX393" s="1718"/>
      <c r="BY393" s="510">
        <f>+BY390/BW390-1</f>
        <v>9.2843326885880151E-2</v>
      </c>
      <c r="BZ393" s="510">
        <f>+BZ390/BY390-1</f>
        <v>7.4841972187104977E-2</v>
      </c>
      <c r="CA393" s="510">
        <f>+CA390/BZ390-1</f>
        <v>8.4685956245589278E-3</v>
      </c>
      <c r="CB393" s="510">
        <f>+CB390/CA390-1</f>
        <v>0.10800093305341729</v>
      </c>
      <c r="CC393" s="1718"/>
      <c r="CD393" s="510"/>
      <c r="CE393" s="510"/>
      <c r="CF393" s="510"/>
      <c r="CG393" s="510"/>
      <c r="CH393" s="1718"/>
      <c r="CI393" s="510">
        <f>+CI390/CG390-1</f>
        <v>3.6384439359267828E-2</v>
      </c>
      <c r="CJ393" s="510">
        <f>+CJ390/CI390-1</f>
        <v>5.8401413115477974E-2</v>
      </c>
      <c r="CK393" s="510">
        <f>+CK390/CJ390-1</f>
        <v>0.10775007823093774</v>
      </c>
      <c r="CL393" s="510">
        <f>+CL390/CK390-1</f>
        <v>0.10988700564971743</v>
      </c>
      <c r="CM393" s="1718"/>
      <c r="CN393" s="510">
        <f>+CN390/CL390-1</f>
        <v>-6.2526512259268641E-2</v>
      </c>
      <c r="CO393" s="510">
        <f>+CO390/CN390-1</f>
        <v>-4.7058823529412264E-3</v>
      </c>
      <c r="CP393" s="510">
        <f>+CP390/CO390-1</f>
        <v>0.1068376068376069</v>
      </c>
      <c r="CQ393" s="510">
        <f>+CQ390/CP390-1</f>
        <v>0.1291382567978312</v>
      </c>
      <c r="CR393" s="1718"/>
      <c r="CS393" s="510">
        <f>+CS390/CQ390-1</f>
        <v>-7.2462713714077864E-2</v>
      </c>
      <c r="CT393" s="510">
        <f>+CT390/CS390-1</f>
        <v>1.2550003921876218E-2</v>
      </c>
      <c r="CU393" s="510">
        <f>+CU390/CT390-1</f>
        <v>7.1345572856146955E-2</v>
      </c>
      <c r="CV393" s="510">
        <f>+CV390/CU390-1</f>
        <v>9.9204627621113595E-2</v>
      </c>
      <c r="CW393" s="1718"/>
      <c r="CX393" s="510">
        <f>+CX390/CV390-1</f>
        <v>-3.6683745923264177E-2</v>
      </c>
      <c r="CY393" s="510">
        <f>+CY390/CX390-1</f>
        <v>5.9134242626909472E-2</v>
      </c>
      <c r="CZ393" s="510">
        <f>+CZ390/CY390-1</f>
        <v>1.8112993826985946E-2</v>
      </c>
      <c r="DA393" s="510">
        <f>+DA390/CZ390-1</f>
        <v>0.18456944396513375</v>
      </c>
      <c r="DB393" s="1718"/>
      <c r="DC393" s="510"/>
      <c r="DD393" s="510"/>
      <c r="DE393" s="510"/>
      <c r="DF393" s="510"/>
      <c r="DG393" s="1718"/>
      <c r="DH393" s="510"/>
      <c r="DI393" s="510"/>
      <c r="DJ393" s="510"/>
      <c r="DK393" s="510"/>
      <c r="DL393" s="1718"/>
      <c r="DM393" s="510"/>
      <c r="DN393" s="510"/>
      <c r="DO393" s="510"/>
      <c r="DP393" s="510"/>
      <c r="DQ393" s="1718"/>
      <c r="DR393" s="510"/>
      <c r="DS393" s="510"/>
      <c r="DT393" s="510"/>
      <c r="DU393" s="510"/>
      <c r="DV393" s="1718"/>
      <c r="DW393" s="510"/>
      <c r="DX393" s="510"/>
      <c r="DY393" s="510"/>
      <c r="DZ393" s="510"/>
      <c r="EA393" s="1718"/>
      <c r="EB393" s="510"/>
      <c r="EC393" s="510"/>
      <c r="ED393" s="510"/>
      <c r="EE393" s="510"/>
      <c r="EF393" s="1718"/>
      <c r="EG393" s="510"/>
      <c r="EH393" s="510"/>
      <c r="EI393" s="510"/>
      <c r="EJ393" s="510"/>
      <c r="EK393" s="1718"/>
      <c r="EL393" s="510"/>
      <c r="EM393" s="510"/>
      <c r="EN393" s="510"/>
      <c r="EO393" s="510"/>
      <c r="EP393" s="1718"/>
      <c r="EQ393" s="510"/>
      <c r="ER393" s="510"/>
      <c r="ES393" s="510"/>
      <c r="ET393" s="510"/>
      <c r="EU393" s="1718"/>
      <c r="EV393" s="1718"/>
      <c r="EW393" s="1718"/>
      <c r="EX393" s="1718"/>
      <c r="EY393" s="1718"/>
      <c r="EZ393" s="174"/>
      <c r="FA393" s="713"/>
      <c r="FB393" s="713"/>
      <c r="FC393" s="713"/>
      <c r="FD393" s="713"/>
      <c r="FE393" s="713"/>
      <c r="FF393" s="713"/>
      <c r="FG393" s="713"/>
      <c r="FH393" s="713"/>
      <c r="FI393" s="713"/>
      <c r="FJ393" s="713"/>
      <c r="FK393" s="713"/>
      <c r="FL393" s="713"/>
    </row>
    <row r="394" spans="1:168" s="129" customFormat="1" ht="11.25" hidden="1" customHeight="1">
      <c r="A394" s="3813"/>
      <c r="B394" s="1779"/>
      <c r="C394" s="1779"/>
      <c r="D394" s="1779"/>
      <c r="E394" s="1779"/>
      <c r="F394" s="1777"/>
      <c r="G394" s="1779"/>
      <c r="H394" s="1779"/>
      <c r="I394" s="1779"/>
      <c r="J394" s="1779"/>
      <c r="K394" s="1777"/>
      <c r="L394" s="1779"/>
      <c r="M394" s="1779"/>
      <c r="N394" s="1779"/>
      <c r="O394" s="1779"/>
      <c r="P394" s="1777"/>
      <c r="Q394" s="1779"/>
      <c r="R394" s="1779"/>
      <c r="S394" s="1779"/>
      <c r="T394" s="1779"/>
      <c r="U394" s="1777"/>
      <c r="V394" s="1779"/>
      <c r="W394" s="1779"/>
      <c r="X394" s="1779"/>
      <c r="Y394" s="1779"/>
      <c r="Z394" s="1777"/>
      <c r="AA394" s="1779"/>
      <c r="AB394" s="1779"/>
      <c r="AC394" s="1779"/>
      <c r="AD394" s="1779"/>
      <c r="AE394" s="1777"/>
      <c r="AF394" s="1785"/>
      <c r="AG394" s="1779"/>
      <c r="AH394" s="1779"/>
      <c r="AI394" s="1779"/>
      <c r="AJ394" s="1777"/>
      <c r="AK394" s="1779"/>
      <c r="AL394" s="1779"/>
      <c r="AM394" s="1779"/>
      <c r="AN394" s="1779"/>
      <c r="AO394" s="1777"/>
      <c r="AP394" s="1779"/>
      <c r="AQ394" s="1779"/>
      <c r="AR394" s="1785"/>
      <c r="AS394" s="1779"/>
      <c r="AT394" s="1777"/>
      <c r="AU394" s="1779"/>
      <c r="AV394" s="1779"/>
      <c r="AW394" s="1785"/>
      <c r="AX394" s="1779"/>
      <c r="AY394" s="1777"/>
      <c r="AZ394" s="1779"/>
      <c r="BA394" s="1779"/>
      <c r="BB394" s="1785"/>
      <c r="BC394" s="1779"/>
      <c r="BD394" s="1777"/>
      <c r="BE394" s="1775"/>
      <c r="BF394" s="1779"/>
      <c r="BG394" s="1785"/>
      <c r="BH394" s="1779"/>
      <c r="BI394" s="1777"/>
      <c r="BJ394" s="1785"/>
      <c r="BK394" s="1779"/>
      <c r="BL394" s="1785"/>
      <c r="BM394" s="1779"/>
      <c r="BN394" s="1777"/>
      <c r="BO394" s="1779"/>
      <c r="BP394" s="1779"/>
      <c r="BQ394" s="1779"/>
      <c r="BR394" s="1779"/>
      <c r="BS394" s="1776"/>
      <c r="BT394" s="1779"/>
      <c r="BU394" s="1779"/>
      <c r="BV394" s="1779"/>
      <c r="BW394" s="1779"/>
      <c r="BX394" s="1777"/>
      <c r="BY394" s="1779"/>
      <c r="BZ394" s="1779"/>
      <c r="CA394" s="1779"/>
      <c r="CB394" s="1779"/>
      <c r="CC394" s="1777"/>
      <c r="CD394" s="1779"/>
      <c r="CE394" s="1779"/>
      <c r="CF394" s="1779"/>
      <c r="CG394" s="1779"/>
      <c r="CH394" s="1777"/>
      <c r="CI394" s="1779"/>
      <c r="CJ394" s="1779"/>
      <c r="CK394" s="1779"/>
      <c r="CL394" s="1779"/>
      <c r="CM394" s="1777"/>
      <c r="CN394" s="1779"/>
      <c r="CO394" s="1779"/>
      <c r="CP394" s="1779"/>
      <c r="CQ394" s="1779"/>
      <c r="CR394" s="1777"/>
      <c r="CS394" s="1779"/>
      <c r="CT394" s="1779"/>
      <c r="CU394" s="1779"/>
      <c r="CV394" s="1779"/>
      <c r="CW394" s="1777"/>
      <c r="CX394" s="1779"/>
      <c r="CY394" s="1779"/>
      <c r="CZ394" s="1779"/>
      <c r="DA394" s="1779"/>
      <c r="DB394" s="1777"/>
      <c r="DC394" s="1779"/>
      <c r="DD394" s="1779"/>
      <c r="DE394" s="1779"/>
      <c r="DF394" s="1779"/>
      <c r="DG394" s="1777"/>
      <c r="DH394" s="3982"/>
      <c r="DI394" s="3982"/>
      <c r="DJ394" s="3982"/>
      <c r="DK394" s="3982"/>
      <c r="DL394" s="1777"/>
      <c r="DM394" s="3982"/>
      <c r="DN394" s="3982"/>
      <c r="DO394" s="3982"/>
      <c r="DP394" s="3982"/>
      <c r="DQ394" s="1777"/>
      <c r="DR394" s="3982"/>
      <c r="DS394" s="3982"/>
      <c r="DT394" s="3982"/>
      <c r="DU394" s="3982"/>
      <c r="DV394" s="1777"/>
      <c r="DW394" s="3982"/>
      <c r="DX394" s="3982"/>
      <c r="DY394" s="3982"/>
      <c r="DZ394" s="3982"/>
      <c r="EA394" s="1777"/>
      <c r="EB394" s="3982"/>
      <c r="EC394" s="3982"/>
      <c r="ED394" s="3982"/>
      <c r="EE394" s="3982"/>
      <c r="EF394" s="1777"/>
      <c r="EG394" s="3982"/>
      <c r="EH394" s="3982"/>
      <c r="EI394" s="3982"/>
      <c r="EJ394" s="3982"/>
      <c r="EK394" s="1777"/>
      <c r="EL394" s="3982"/>
      <c r="EM394" s="3982"/>
      <c r="EN394" s="3982"/>
      <c r="EO394" s="3982"/>
      <c r="EP394" s="1777"/>
      <c r="EQ394" s="3982"/>
      <c r="ER394" s="3982"/>
      <c r="ES394" s="3982"/>
      <c r="ET394" s="3982"/>
      <c r="EU394" s="1777"/>
      <c r="EV394" s="1777"/>
      <c r="EW394" s="1777"/>
      <c r="EX394" s="1777"/>
      <c r="EY394" s="1777"/>
      <c r="EZ394" s="174"/>
      <c r="FA394" s="713"/>
      <c r="FB394" s="713"/>
      <c r="FC394" s="713"/>
      <c r="FD394" s="713"/>
      <c r="FE394" s="713"/>
      <c r="FF394" s="713"/>
      <c r="FG394" s="713"/>
      <c r="FH394" s="713"/>
      <c r="FI394" s="713"/>
      <c r="FJ394" s="713"/>
      <c r="FK394" s="713"/>
      <c r="FL394" s="713"/>
    </row>
    <row r="395" spans="1:168" ht="11.25" customHeight="1">
      <c r="A395" s="521"/>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c r="AF395" s="35"/>
      <c r="AG395" s="35"/>
      <c r="AH395" s="35"/>
      <c r="AI395" s="35"/>
      <c r="AJ395" s="35"/>
      <c r="AK395" s="35"/>
      <c r="AL395" s="35"/>
      <c r="AM395" s="35"/>
      <c r="AN395" s="35"/>
      <c r="AO395" s="35"/>
      <c r="AP395" s="35"/>
      <c r="AQ395" s="35"/>
      <c r="AR395" s="35"/>
      <c r="AS395" s="35"/>
      <c r="AT395" s="32"/>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1"/>
      <c r="CJ395" s="31"/>
      <c r="CK395" s="31"/>
      <c r="CL395" s="31"/>
      <c r="CM395" s="35"/>
      <c r="CN395" s="31"/>
      <c r="CO395" s="31"/>
      <c r="CP395" s="31"/>
      <c r="CQ395" s="31"/>
      <c r="CR395" s="35"/>
      <c r="CS395" s="35"/>
      <c r="CT395" s="35"/>
      <c r="CU395" s="35"/>
      <c r="CV395" s="35"/>
      <c r="CW395" s="35"/>
      <c r="CX395" s="35"/>
      <c r="CY395" s="31"/>
      <c r="CZ395" s="31"/>
      <c r="DA395" s="35"/>
      <c r="DB395" s="35"/>
      <c r="DC395" s="35"/>
      <c r="DD395" s="31"/>
      <c r="DE395" s="31"/>
      <c r="DF395" s="35"/>
      <c r="DG395" s="35"/>
      <c r="DH395" s="31"/>
      <c r="DI395" s="31"/>
      <c r="DJ395" s="31"/>
      <c r="DK395" s="31"/>
      <c r="DL395" s="35"/>
      <c r="DM395" s="31"/>
      <c r="DN395" s="31"/>
      <c r="DO395" s="31"/>
      <c r="DP395" s="31"/>
      <c r="DQ395" s="35"/>
      <c r="DR395" s="31"/>
      <c r="DS395" s="31"/>
      <c r="DT395" s="31"/>
      <c r="DU395" s="31"/>
      <c r="DV395" s="35"/>
      <c r="DW395" s="31"/>
      <c r="DX395" s="31"/>
      <c r="DY395" s="31"/>
      <c r="DZ395" s="283">
        <f>SUM(DY321:DZ321)/SUM(DY7:DZ7)</f>
        <v>0.24160810252170317</v>
      </c>
      <c r="EA395" s="35"/>
      <c r="EB395" s="31"/>
      <c r="EC395" s="31"/>
      <c r="ED395" s="31"/>
      <c r="EE395" s="283"/>
      <c r="EF395" s="35"/>
      <c r="EG395" s="31"/>
      <c r="EH395" s="31"/>
      <c r="EI395" s="31"/>
      <c r="EJ395" s="31"/>
      <c r="EK395" s="35"/>
      <c r="EL395" s="31"/>
      <c r="EM395" s="31"/>
      <c r="EN395" s="31"/>
      <c r="EO395" s="31"/>
      <c r="EP395" s="35"/>
      <c r="EQ395" s="31"/>
      <c r="ER395" s="31"/>
      <c r="ES395" s="31"/>
      <c r="ET395" s="31"/>
      <c r="EU395" s="35"/>
      <c r="EV395" s="35"/>
      <c r="EW395" s="35"/>
      <c r="EX395" s="35"/>
      <c r="EY395" s="35"/>
      <c r="EZ395" s="129"/>
    </row>
    <row r="396" spans="1:168" ht="11.25" customHeight="1">
      <c r="A396" s="521"/>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c r="AF396" s="35"/>
      <c r="AG396" s="35"/>
      <c r="AH396" s="35"/>
      <c r="AI396" s="35"/>
      <c r="AJ396" s="35"/>
      <c r="AK396" s="35"/>
      <c r="AL396" s="35"/>
      <c r="AM396" s="35"/>
      <c r="AN396" s="35"/>
      <c r="AO396" s="35"/>
      <c r="AP396" s="35"/>
      <c r="AQ396" s="35"/>
      <c r="AR396" s="35"/>
      <c r="AS396" s="35"/>
      <c r="AT396" s="32"/>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1"/>
      <c r="CJ396" s="31"/>
      <c r="CK396" s="31"/>
      <c r="CL396" s="31"/>
      <c r="CM396" s="35"/>
      <c r="CN396" s="31"/>
      <c r="CO396" s="31"/>
      <c r="CP396" s="31"/>
      <c r="CQ396" s="31"/>
      <c r="CR396" s="35"/>
      <c r="CS396" s="35"/>
      <c r="CT396" s="35"/>
      <c r="CU396" s="35"/>
      <c r="CV396" s="35"/>
      <c r="CW396" s="35"/>
      <c r="CX396" s="35"/>
      <c r="CY396" s="31"/>
      <c r="CZ396" s="31"/>
      <c r="DA396" s="35"/>
      <c r="DB396" s="35"/>
      <c r="DC396" s="35"/>
      <c r="DD396" s="31"/>
      <c r="DE396" s="31"/>
      <c r="DF396" s="35"/>
      <c r="DG396" s="35"/>
      <c r="DH396" s="31"/>
      <c r="DI396" s="31"/>
      <c r="DJ396" s="31"/>
      <c r="DK396" s="31"/>
      <c r="DL396" s="35"/>
      <c r="DM396" s="31"/>
      <c r="DN396" s="31"/>
      <c r="DO396" s="31"/>
      <c r="DP396" s="31"/>
      <c r="DQ396" s="35"/>
      <c r="DR396" s="31"/>
      <c r="DS396" s="31"/>
      <c r="DT396" s="31"/>
      <c r="DU396" s="31"/>
      <c r="DV396" s="35"/>
      <c r="DW396" s="31"/>
      <c r="DX396" s="31"/>
      <c r="DY396" s="31"/>
      <c r="DZ396" s="31"/>
      <c r="EA396" s="35"/>
      <c r="EB396" s="31"/>
      <c r="EC396" s="31"/>
      <c r="ED396" s="31"/>
      <c r="EE396" s="31"/>
      <c r="EF396" s="35"/>
      <c r="EG396" s="31"/>
      <c r="EH396" s="31"/>
      <c r="EI396" s="31"/>
      <c r="EJ396" s="31"/>
      <c r="EK396" s="35"/>
      <c r="EL396" s="31"/>
      <c r="EM396" s="31"/>
      <c r="EN396" s="31"/>
      <c r="EO396" s="31"/>
      <c r="EP396" s="35"/>
      <c r="EQ396" s="31"/>
      <c r="ER396" s="31"/>
      <c r="ES396" s="31"/>
      <c r="ET396" s="31"/>
      <c r="EU396" s="35"/>
      <c r="EV396" s="35"/>
      <c r="EW396" s="35"/>
      <c r="EX396" s="35"/>
      <c r="EY396" s="35"/>
      <c r="EZ396" s="129"/>
    </row>
    <row r="397" spans="1:168" ht="11.25" customHeight="1">
      <c r="A397" s="521"/>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c r="AF397" s="35"/>
      <c r="AG397" s="35"/>
      <c r="AH397" s="35"/>
      <c r="AI397" s="35"/>
      <c r="AJ397" s="35"/>
      <c r="AK397" s="35"/>
      <c r="AL397" s="35"/>
      <c r="AM397" s="35"/>
      <c r="AN397" s="35"/>
      <c r="AO397" s="35"/>
      <c r="AP397" s="35"/>
      <c r="AQ397" s="35"/>
      <c r="AR397" s="35"/>
      <c r="AS397" s="35"/>
      <c r="AT397" s="32"/>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1"/>
      <c r="CJ397" s="31"/>
      <c r="CK397" s="31"/>
      <c r="CL397" s="31"/>
      <c r="CM397" s="35"/>
      <c r="CN397" s="31"/>
      <c r="CO397" s="31"/>
      <c r="CP397" s="31"/>
      <c r="CQ397" s="31"/>
      <c r="CR397" s="35"/>
      <c r="CS397" s="35"/>
      <c r="CT397" s="35"/>
      <c r="CU397" s="35"/>
      <c r="CV397" s="35"/>
      <c r="CW397" s="35"/>
      <c r="CX397" s="35"/>
      <c r="CY397" s="31"/>
      <c r="CZ397" s="31"/>
      <c r="DA397" s="35"/>
      <c r="DB397" s="35"/>
      <c r="DC397" s="35"/>
      <c r="DD397" s="31"/>
      <c r="DE397" s="31"/>
      <c r="DF397" s="35"/>
      <c r="DG397" s="35"/>
      <c r="DH397" s="31"/>
      <c r="DI397" s="31"/>
      <c r="DJ397" s="31"/>
      <c r="DK397" s="31"/>
      <c r="DL397" s="35"/>
      <c r="DM397" s="31"/>
      <c r="DN397" s="31"/>
      <c r="DO397" s="31"/>
      <c r="DP397" s="31"/>
      <c r="DQ397" s="35"/>
      <c r="DR397" s="31"/>
      <c r="DS397" s="31"/>
      <c r="DT397" s="31"/>
      <c r="DU397" s="31"/>
      <c r="DV397" s="35"/>
      <c r="DW397" s="31"/>
      <c r="DX397" s="31"/>
      <c r="DY397" s="31"/>
      <c r="DZ397" s="31"/>
      <c r="EA397" s="35"/>
      <c r="EB397" s="31"/>
      <c r="EC397" s="31"/>
      <c r="ED397" s="31"/>
      <c r="EE397" s="31"/>
      <c r="EF397" s="35"/>
      <c r="EG397" s="31"/>
      <c r="EH397" s="31"/>
      <c r="EI397" s="31"/>
      <c r="EJ397" s="31"/>
      <c r="EK397" s="35"/>
      <c r="EL397" s="31"/>
      <c r="EM397" s="31"/>
      <c r="EN397" s="31"/>
      <c r="EO397" s="31"/>
      <c r="EP397" s="35"/>
      <c r="EQ397" s="31"/>
      <c r="ER397" s="31"/>
      <c r="ES397" s="31"/>
      <c r="ET397" s="31"/>
      <c r="EU397" s="35"/>
      <c r="EV397" s="35"/>
      <c r="EW397" s="35"/>
      <c r="EX397" s="35"/>
      <c r="EY397" s="35"/>
      <c r="EZ397" s="129"/>
    </row>
    <row r="398" spans="1:168" ht="11.25" customHeight="1">
      <c r="A398" s="521"/>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c r="AF398" s="35"/>
      <c r="AG398" s="35"/>
      <c r="AH398" s="35"/>
      <c r="AI398" s="35"/>
      <c r="AJ398" s="35"/>
      <c r="AK398" s="35"/>
      <c r="AL398" s="35"/>
      <c r="AM398" s="35"/>
      <c r="AN398" s="35"/>
      <c r="AO398" s="35"/>
      <c r="AP398" s="35"/>
      <c r="AQ398" s="35"/>
      <c r="AR398" s="35"/>
      <c r="AS398" s="35"/>
      <c r="AT398" s="32"/>
      <c r="AU398" s="35"/>
      <c r="AV398" s="35"/>
      <c r="AW398" s="35"/>
      <c r="AX398" s="35"/>
      <c r="AY398" s="35"/>
      <c r="AZ398" s="35"/>
      <c r="BA398" s="35"/>
      <c r="BB398" s="35"/>
      <c r="BC398" s="35"/>
      <c r="BD398" s="35"/>
      <c r="BE398" s="35"/>
      <c r="BF398" s="35"/>
      <c r="BG398" s="35"/>
      <c r="BH398" s="35"/>
      <c r="BI398" s="35"/>
      <c r="BJ398" s="35"/>
      <c r="BK398" s="35"/>
      <c r="BL398" s="35"/>
      <c r="BM398" s="35"/>
      <c r="BN398" s="35"/>
      <c r="BO398" s="35"/>
      <c r="BP398" s="35"/>
      <c r="BQ398" s="35"/>
      <c r="BR398" s="35"/>
      <c r="BS398" s="35"/>
      <c r="BT398" s="35"/>
      <c r="BU398" s="35"/>
      <c r="BV398" s="35"/>
      <c r="BW398" s="35"/>
      <c r="BX398" s="35"/>
      <c r="BY398" s="35"/>
      <c r="BZ398" s="35"/>
      <c r="CA398" s="35"/>
      <c r="CB398" s="35"/>
      <c r="CC398" s="35"/>
      <c r="CD398" s="35"/>
      <c r="CE398" s="35"/>
      <c r="CF398" s="35"/>
      <c r="CG398" s="35"/>
      <c r="CH398" s="35"/>
      <c r="CI398" s="31"/>
      <c r="CJ398" s="31"/>
      <c r="CK398" s="31"/>
      <c r="CL398" s="31"/>
      <c r="CM398" s="35"/>
      <c r="CN398" s="31"/>
      <c r="CO398" s="31"/>
      <c r="CP398" s="31"/>
      <c r="CQ398" s="31"/>
      <c r="CR398" s="35"/>
      <c r="CS398" s="35"/>
      <c r="CT398" s="35"/>
      <c r="CU398" s="35"/>
      <c r="CV398" s="35"/>
      <c r="CW398" s="35"/>
      <c r="CX398" s="35"/>
      <c r="CY398" s="31"/>
      <c r="CZ398" s="31"/>
      <c r="DA398" s="35"/>
      <c r="DB398" s="35"/>
      <c r="DC398" s="35"/>
      <c r="DD398" s="31"/>
      <c r="DE398" s="31"/>
      <c r="DF398" s="35"/>
      <c r="DG398" s="35"/>
      <c r="DH398" s="31"/>
      <c r="DI398" s="31"/>
      <c r="DJ398" s="31"/>
      <c r="DK398" s="31"/>
      <c r="DL398" s="35"/>
      <c r="DM398" s="31"/>
      <c r="DN398" s="31"/>
      <c r="DO398" s="31"/>
      <c r="DP398" s="31"/>
      <c r="DQ398" s="35"/>
      <c r="DR398" s="31"/>
      <c r="DS398" s="31"/>
      <c r="DT398" s="31"/>
      <c r="DU398" s="31"/>
      <c r="DV398" s="35"/>
      <c r="DW398" s="31"/>
      <c r="DX398" s="31"/>
      <c r="DY398" s="31"/>
      <c r="DZ398" s="31"/>
      <c r="EA398" s="35"/>
      <c r="EB398" s="31"/>
      <c r="EC398" s="31"/>
      <c r="ED398" s="31"/>
      <c r="EE398" s="31"/>
      <c r="EF398" s="35"/>
      <c r="EG398" s="31"/>
      <c r="EH398" s="31"/>
      <c r="EI398" s="31"/>
      <c r="EJ398" s="31"/>
      <c r="EK398" s="35"/>
      <c r="EL398" s="31"/>
      <c r="EM398" s="31"/>
      <c r="EN398" s="31"/>
      <c r="EO398" s="31"/>
      <c r="EP398" s="35"/>
      <c r="EQ398" s="31"/>
      <c r="ER398" s="31"/>
      <c r="ES398" s="31"/>
      <c r="ET398" s="31"/>
      <c r="EU398" s="35"/>
      <c r="EV398" s="35"/>
      <c r="EW398" s="35"/>
      <c r="EX398" s="35"/>
      <c r="EY398" s="35"/>
      <c r="EZ398" s="129"/>
    </row>
    <row r="399" spans="1:168" ht="11.25" customHeight="1">
      <c r="A399" s="521"/>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c r="AF399" s="35"/>
      <c r="AG399" s="35"/>
      <c r="AH399" s="35"/>
      <c r="AI399" s="35"/>
      <c r="AJ399" s="35"/>
      <c r="AK399" s="35"/>
      <c r="AL399" s="35"/>
      <c r="AM399" s="35"/>
      <c r="AN399" s="35"/>
      <c r="AO399" s="35"/>
      <c r="AP399" s="35"/>
      <c r="AQ399" s="35"/>
      <c r="AR399" s="35"/>
      <c r="AS399" s="35"/>
      <c r="AT399" s="32"/>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1"/>
      <c r="CJ399" s="31"/>
      <c r="CK399" s="31"/>
      <c r="CL399" s="31"/>
      <c r="CM399" s="35"/>
      <c r="CN399" s="31"/>
      <c r="CO399" s="31"/>
      <c r="CP399" s="31"/>
      <c r="CQ399" s="31"/>
      <c r="CR399" s="35"/>
      <c r="CS399" s="35"/>
      <c r="CT399" s="35"/>
      <c r="CU399" s="35"/>
      <c r="CV399" s="35"/>
      <c r="CW399" s="35"/>
      <c r="CX399" s="35"/>
      <c r="CY399" s="31"/>
      <c r="CZ399" s="31"/>
      <c r="DA399" s="35"/>
      <c r="DB399" s="35"/>
      <c r="DC399" s="35"/>
      <c r="DD399" s="31"/>
      <c r="DE399" s="31"/>
      <c r="DF399" s="35"/>
      <c r="DG399" s="35"/>
      <c r="DH399" s="31"/>
      <c r="DI399" s="31"/>
      <c r="DJ399" s="31"/>
      <c r="DK399" s="31"/>
      <c r="DL399" s="35"/>
      <c r="DM399" s="31"/>
      <c r="DN399" s="31"/>
      <c r="DO399" s="31"/>
      <c r="DP399" s="31"/>
      <c r="DQ399" s="35"/>
      <c r="DR399" s="31"/>
      <c r="DS399" s="31"/>
      <c r="DT399" s="31"/>
      <c r="DU399" s="31"/>
      <c r="DV399" s="35"/>
      <c r="DW399" s="31"/>
      <c r="DX399" s="31"/>
      <c r="DY399" s="31"/>
      <c r="DZ399" s="31"/>
      <c r="EA399" s="35"/>
      <c r="EB399" s="31"/>
      <c r="EC399" s="31"/>
      <c r="ED399" s="31"/>
      <c r="EE399" s="31"/>
      <c r="EF399" s="35"/>
      <c r="EG399" s="31"/>
      <c r="EH399" s="31"/>
      <c r="EI399" s="31"/>
      <c r="EJ399" s="31"/>
      <c r="EK399" s="35"/>
      <c r="EL399" s="31"/>
      <c r="EM399" s="31"/>
      <c r="EN399" s="31"/>
      <c r="EO399" s="31"/>
      <c r="EP399" s="35"/>
      <c r="EQ399" s="31"/>
      <c r="ER399" s="31"/>
      <c r="ES399" s="31"/>
      <c r="ET399" s="31"/>
      <c r="EU399" s="35"/>
      <c r="EV399" s="35"/>
      <c r="EW399" s="35"/>
      <c r="EX399" s="35"/>
      <c r="EY399" s="35"/>
      <c r="EZ399" s="129"/>
    </row>
    <row r="400" spans="1:168" ht="11.25" customHeight="1">
      <c r="A400" s="521"/>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c r="AF400" s="35"/>
      <c r="AG400" s="35"/>
      <c r="AH400" s="35"/>
      <c r="AI400" s="35"/>
      <c r="AJ400" s="35"/>
      <c r="AK400" s="35"/>
      <c r="AL400" s="35"/>
      <c r="AM400" s="35"/>
      <c r="AN400" s="35"/>
      <c r="AO400" s="35"/>
      <c r="AP400" s="35"/>
      <c r="AQ400" s="35"/>
      <c r="AR400" s="35"/>
      <c r="AS400" s="35"/>
      <c r="AT400" s="32"/>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1"/>
      <c r="CJ400" s="31"/>
      <c r="CK400" s="31"/>
      <c r="CL400" s="31"/>
      <c r="CM400" s="35"/>
      <c r="CN400" s="31"/>
      <c r="CO400" s="31"/>
      <c r="CP400" s="31"/>
      <c r="CQ400" s="31"/>
      <c r="CR400" s="35"/>
      <c r="CS400" s="35"/>
      <c r="CT400" s="35"/>
      <c r="CU400" s="35"/>
      <c r="CV400" s="35"/>
      <c r="CW400" s="35"/>
      <c r="CX400" s="35"/>
      <c r="CY400" s="31"/>
      <c r="CZ400" s="31"/>
      <c r="DA400" s="35"/>
      <c r="DB400" s="35"/>
      <c r="DC400" s="35"/>
      <c r="DD400" s="31"/>
      <c r="DE400" s="31"/>
      <c r="DF400" s="35"/>
      <c r="DG400" s="35"/>
      <c r="DH400" s="31"/>
      <c r="DI400" s="31"/>
      <c r="DJ400" s="31"/>
      <c r="DK400" s="31"/>
      <c r="DL400" s="35"/>
      <c r="DM400" s="31"/>
      <c r="DN400" s="31"/>
      <c r="DO400" s="31"/>
      <c r="DP400" s="31"/>
      <c r="DQ400" s="35"/>
      <c r="DR400" s="31"/>
      <c r="DS400" s="31"/>
      <c r="DT400" s="31"/>
      <c r="DU400" s="31"/>
      <c r="DV400" s="35"/>
      <c r="DW400" s="31"/>
      <c r="DX400" s="31"/>
      <c r="DY400" s="31"/>
      <c r="DZ400" s="31"/>
      <c r="EA400" s="35"/>
      <c r="EB400" s="31"/>
      <c r="EC400" s="31"/>
      <c r="ED400" s="31"/>
      <c r="EE400" s="31"/>
      <c r="EF400" s="35"/>
      <c r="EG400" s="31"/>
      <c r="EH400" s="31"/>
      <c r="EI400" s="31"/>
      <c r="EJ400" s="31"/>
      <c r="EK400" s="35"/>
      <c r="EL400" s="31"/>
      <c r="EM400" s="31"/>
      <c r="EN400" s="31"/>
      <c r="EO400" s="31"/>
      <c r="EP400" s="35"/>
      <c r="EQ400" s="31"/>
      <c r="ER400" s="31"/>
      <c r="ES400" s="31"/>
      <c r="ET400" s="31"/>
      <c r="EU400" s="35"/>
      <c r="EV400" s="35"/>
      <c r="EW400" s="35"/>
      <c r="EX400" s="35"/>
      <c r="EY400" s="35"/>
      <c r="EZ400" s="129"/>
    </row>
    <row r="401" spans="1:156" ht="11.25" customHeight="1">
      <c r="A401" s="521"/>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c r="AF401" s="35"/>
      <c r="AG401" s="35"/>
      <c r="AH401" s="35"/>
      <c r="AI401" s="35"/>
      <c r="AJ401" s="35"/>
      <c r="AK401" s="35"/>
      <c r="AL401" s="35"/>
      <c r="AM401" s="35"/>
      <c r="AN401" s="35"/>
      <c r="AO401" s="35"/>
      <c r="AP401" s="35"/>
      <c r="AQ401" s="35"/>
      <c r="AR401" s="35"/>
      <c r="AS401" s="35"/>
      <c r="AT401" s="32"/>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1"/>
      <c r="CJ401" s="31"/>
      <c r="CK401" s="31"/>
      <c r="CL401" s="31"/>
      <c r="CM401" s="35"/>
      <c r="CN401" s="31"/>
      <c r="CO401" s="31"/>
      <c r="CP401" s="31"/>
      <c r="CQ401" s="31"/>
      <c r="CR401" s="35"/>
      <c r="CS401" s="35"/>
      <c r="CT401" s="35"/>
      <c r="CU401" s="35"/>
      <c r="CV401" s="35"/>
      <c r="CW401" s="35"/>
      <c r="CX401" s="35"/>
      <c r="CY401" s="31"/>
      <c r="CZ401" s="31"/>
      <c r="DA401" s="35"/>
      <c r="DB401" s="35"/>
      <c r="DC401" s="35"/>
      <c r="DD401" s="31"/>
      <c r="DE401" s="31"/>
      <c r="DF401" s="35"/>
      <c r="DG401" s="35"/>
      <c r="DH401" s="31"/>
      <c r="DI401" s="31"/>
      <c r="DJ401" s="31"/>
      <c r="DK401" s="31"/>
      <c r="DL401" s="35"/>
      <c r="DM401" s="31"/>
      <c r="DN401" s="31"/>
      <c r="DO401" s="31"/>
      <c r="DP401" s="31"/>
      <c r="DQ401" s="35"/>
      <c r="DR401" s="31"/>
      <c r="DS401" s="31"/>
      <c r="DT401" s="31"/>
      <c r="DU401" s="31"/>
      <c r="DV401" s="35"/>
      <c r="DW401" s="31"/>
      <c r="DX401" s="31"/>
      <c r="DY401" s="31"/>
      <c r="DZ401" s="31"/>
      <c r="EA401" s="35"/>
      <c r="EB401" s="31"/>
      <c r="EC401" s="31"/>
      <c r="ED401" s="31"/>
      <c r="EE401" s="31"/>
      <c r="EF401" s="35"/>
      <c r="EG401" s="31"/>
      <c r="EH401" s="31"/>
      <c r="EI401" s="31"/>
      <c r="EJ401" s="31"/>
      <c r="EK401" s="35"/>
      <c r="EL401" s="31"/>
      <c r="EM401" s="31"/>
      <c r="EN401" s="31"/>
      <c r="EO401" s="31"/>
      <c r="EP401" s="35"/>
      <c r="EQ401" s="31"/>
      <c r="ER401" s="31"/>
      <c r="ES401" s="31"/>
      <c r="ET401" s="31"/>
      <c r="EU401" s="35"/>
      <c r="EV401" s="35"/>
      <c r="EW401" s="35"/>
      <c r="EX401" s="35"/>
      <c r="EY401" s="35"/>
      <c r="EZ401" s="129"/>
    </row>
    <row r="402" spans="1:156" ht="11.25" customHeight="1">
      <c r="A402" s="521"/>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c r="AF402" s="35"/>
      <c r="AG402" s="35"/>
      <c r="AH402" s="35"/>
      <c r="AI402" s="35"/>
      <c r="AJ402" s="35"/>
      <c r="AK402" s="35"/>
      <c r="AL402" s="35"/>
      <c r="AM402" s="35"/>
      <c r="AN402" s="35"/>
      <c r="AO402" s="35"/>
      <c r="AP402" s="35"/>
      <c r="AQ402" s="35"/>
      <c r="AR402" s="35"/>
      <c r="AS402" s="35"/>
      <c r="AT402" s="32"/>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1"/>
      <c r="CJ402" s="31"/>
      <c r="CK402" s="31"/>
      <c r="CL402" s="31"/>
      <c r="CM402" s="35"/>
      <c r="CN402" s="31"/>
      <c r="CO402" s="31"/>
      <c r="CP402" s="31"/>
      <c r="CQ402" s="31"/>
      <c r="CR402" s="35"/>
      <c r="CS402" s="35"/>
      <c r="CT402" s="35"/>
      <c r="CU402" s="35"/>
      <c r="CV402" s="35"/>
      <c r="CW402" s="35"/>
      <c r="CX402" s="35"/>
      <c r="CY402" s="31"/>
      <c r="CZ402" s="31"/>
      <c r="DA402" s="35"/>
      <c r="DB402" s="35"/>
      <c r="DC402" s="35"/>
      <c r="DD402" s="31"/>
      <c r="DE402" s="31"/>
      <c r="DF402" s="35"/>
      <c r="DG402" s="35"/>
      <c r="DH402" s="31"/>
      <c r="DI402" s="31"/>
      <c r="DJ402" s="31"/>
      <c r="DK402" s="31"/>
      <c r="DL402" s="35"/>
      <c r="DM402" s="31"/>
      <c r="DN402" s="31"/>
      <c r="DO402" s="31"/>
      <c r="DP402" s="31"/>
      <c r="DQ402" s="35"/>
      <c r="DR402" s="31"/>
      <c r="DS402" s="31"/>
      <c r="DT402" s="31"/>
      <c r="DU402" s="31"/>
      <c r="DV402" s="35"/>
      <c r="DW402" s="31"/>
      <c r="DX402" s="31"/>
      <c r="DY402" s="31"/>
      <c r="DZ402" s="31"/>
      <c r="EA402" s="35"/>
      <c r="EB402" s="31"/>
      <c r="EC402" s="31"/>
      <c r="ED402" s="31"/>
      <c r="EE402" s="31"/>
      <c r="EF402" s="35"/>
      <c r="EG402" s="31"/>
      <c r="EH402" s="31"/>
      <c r="EI402" s="31"/>
      <c r="EJ402" s="31"/>
      <c r="EK402" s="35"/>
      <c r="EL402" s="31"/>
      <c r="EM402" s="31"/>
      <c r="EN402" s="31"/>
      <c r="EO402" s="31"/>
      <c r="EP402" s="35"/>
      <c r="EQ402" s="31"/>
      <c r="ER402" s="31"/>
      <c r="ES402" s="31"/>
      <c r="ET402" s="31"/>
      <c r="EU402" s="35"/>
      <c r="EV402" s="35"/>
      <c r="EW402" s="35"/>
      <c r="EX402" s="35"/>
      <c r="EY402" s="35"/>
      <c r="EZ402" s="129"/>
    </row>
    <row r="403" spans="1:156" ht="11.25" customHeight="1">
      <c r="A403" s="521"/>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c r="AF403" s="35"/>
      <c r="AG403" s="35"/>
      <c r="AH403" s="35"/>
      <c r="AI403" s="35"/>
      <c r="AJ403" s="35"/>
      <c r="AK403" s="35"/>
      <c r="AL403" s="35"/>
      <c r="AM403" s="35"/>
      <c r="AN403" s="35"/>
      <c r="AO403" s="35"/>
      <c r="AP403" s="35"/>
      <c r="AQ403" s="35"/>
      <c r="AR403" s="35"/>
      <c r="AS403" s="35"/>
      <c r="AT403" s="32"/>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1"/>
      <c r="CJ403" s="31"/>
      <c r="CK403" s="31"/>
      <c r="CL403" s="31"/>
      <c r="CM403" s="35"/>
      <c r="CN403" s="31"/>
      <c r="CO403" s="31"/>
      <c r="CP403" s="31"/>
      <c r="CQ403" s="31"/>
      <c r="CR403" s="35"/>
      <c r="CS403" s="35"/>
      <c r="CT403" s="35"/>
      <c r="CU403" s="35"/>
      <c r="CV403" s="35"/>
      <c r="CW403" s="35"/>
      <c r="CX403" s="35"/>
      <c r="CY403" s="31"/>
      <c r="CZ403" s="31"/>
      <c r="DA403" s="35"/>
      <c r="DB403" s="35"/>
      <c r="DC403" s="35"/>
      <c r="DD403" s="31"/>
      <c r="DE403" s="31"/>
      <c r="DF403" s="35"/>
      <c r="DG403" s="35"/>
      <c r="DH403" s="31"/>
      <c r="DI403" s="31"/>
      <c r="DJ403" s="31"/>
      <c r="DK403" s="31"/>
      <c r="DL403" s="35"/>
      <c r="DM403" s="31"/>
      <c r="DN403" s="31"/>
      <c r="DO403" s="31"/>
      <c r="DP403" s="31"/>
      <c r="DQ403" s="35"/>
      <c r="DR403" s="31"/>
      <c r="DS403" s="31"/>
      <c r="DT403" s="31"/>
      <c r="DU403" s="31"/>
      <c r="DV403" s="35"/>
      <c r="DW403" s="31"/>
      <c r="DX403" s="31"/>
      <c r="DY403" s="31"/>
      <c r="DZ403" s="31"/>
      <c r="EA403" s="35"/>
      <c r="EB403" s="31"/>
      <c r="EC403" s="31"/>
      <c r="ED403" s="31"/>
      <c r="EE403" s="31"/>
      <c r="EF403" s="35"/>
      <c r="EG403" s="31"/>
      <c r="EH403" s="31"/>
      <c r="EI403" s="31"/>
      <c r="EJ403" s="31"/>
      <c r="EK403" s="35"/>
      <c r="EL403" s="31"/>
      <c r="EM403" s="31"/>
      <c r="EN403" s="31"/>
      <c r="EO403" s="31"/>
      <c r="EP403" s="35"/>
      <c r="EQ403" s="31"/>
      <c r="ER403" s="31"/>
      <c r="ES403" s="31"/>
      <c r="ET403" s="31"/>
      <c r="EU403" s="35"/>
      <c r="EV403" s="35"/>
      <c r="EW403" s="35"/>
      <c r="EX403" s="35"/>
      <c r="EY403" s="35"/>
      <c r="EZ403" s="129"/>
    </row>
    <row r="404" spans="1:156" ht="11.25" customHeight="1">
      <c r="A404" s="521"/>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c r="AF404" s="35"/>
      <c r="AG404" s="35"/>
      <c r="AH404" s="35"/>
      <c r="AI404" s="35"/>
      <c r="AJ404" s="35"/>
      <c r="AK404" s="35"/>
      <c r="AL404" s="35"/>
      <c r="AM404" s="35"/>
      <c r="AN404" s="35"/>
      <c r="AO404" s="35"/>
      <c r="AP404" s="35"/>
      <c r="AQ404" s="35"/>
      <c r="AR404" s="35"/>
      <c r="AS404" s="35"/>
      <c r="AT404" s="32"/>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1"/>
      <c r="CJ404" s="31"/>
      <c r="CK404" s="31"/>
      <c r="CL404" s="31"/>
      <c r="CM404" s="35"/>
      <c r="CN404" s="31"/>
      <c r="CO404" s="31"/>
      <c r="CP404" s="31"/>
      <c r="CQ404" s="31"/>
      <c r="CR404" s="35"/>
      <c r="CS404" s="35"/>
      <c r="CT404" s="35"/>
      <c r="CU404" s="35"/>
      <c r="CV404" s="35"/>
      <c r="CW404" s="35"/>
      <c r="CX404" s="35"/>
      <c r="CY404" s="31"/>
      <c r="CZ404" s="31"/>
      <c r="DA404" s="35"/>
      <c r="DB404" s="35"/>
      <c r="DC404" s="35"/>
      <c r="DD404" s="31"/>
      <c r="DE404" s="31"/>
      <c r="DF404" s="35"/>
      <c r="DG404" s="35"/>
      <c r="DH404" s="31"/>
      <c r="DI404" s="31"/>
      <c r="DJ404" s="31"/>
      <c r="DK404" s="31"/>
      <c r="DL404" s="35"/>
      <c r="DM404" s="31"/>
      <c r="DN404" s="31"/>
      <c r="DO404" s="31"/>
      <c r="DP404" s="31"/>
      <c r="DQ404" s="35"/>
      <c r="DR404" s="31"/>
      <c r="DS404" s="31"/>
      <c r="DT404" s="31"/>
      <c r="DU404" s="31"/>
      <c r="DV404" s="35"/>
      <c r="DW404" s="31"/>
      <c r="DX404" s="31"/>
      <c r="DY404" s="31"/>
      <c r="DZ404" s="31"/>
      <c r="EA404" s="35"/>
      <c r="EB404" s="31"/>
      <c r="EC404" s="31"/>
      <c r="ED404" s="31"/>
      <c r="EE404" s="31"/>
      <c r="EF404" s="35"/>
      <c r="EG404" s="31"/>
      <c r="EH404" s="31"/>
      <c r="EI404" s="31"/>
      <c r="EJ404" s="31"/>
      <c r="EK404" s="35"/>
      <c r="EL404" s="31"/>
      <c r="EM404" s="31"/>
      <c r="EN404" s="31"/>
      <c r="EO404" s="31"/>
      <c r="EP404" s="35"/>
      <c r="EQ404" s="31"/>
      <c r="ER404" s="31"/>
      <c r="ES404" s="31"/>
      <c r="ET404" s="31"/>
      <c r="EU404" s="35"/>
      <c r="EV404" s="35"/>
      <c r="EW404" s="35"/>
      <c r="EX404" s="35"/>
      <c r="EY404" s="35"/>
      <c r="EZ404" s="129"/>
    </row>
    <row r="405" spans="1:156" ht="11.25" customHeight="1">
      <c r="A405" s="521"/>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c r="AF405" s="35"/>
      <c r="AG405" s="35"/>
      <c r="AH405" s="35"/>
      <c r="AI405" s="35"/>
      <c r="AJ405" s="35"/>
      <c r="AK405" s="35"/>
      <c r="AL405" s="35"/>
      <c r="AM405" s="35"/>
      <c r="AN405" s="35"/>
      <c r="AO405" s="35"/>
      <c r="AP405" s="35"/>
      <c r="AQ405" s="35"/>
      <c r="AR405" s="35"/>
      <c r="AS405" s="35"/>
      <c r="AT405" s="32"/>
      <c r="AU405" s="35"/>
      <c r="AV405" s="35"/>
      <c r="AW405" s="35"/>
      <c r="AX405" s="35"/>
      <c r="AY405" s="35"/>
      <c r="AZ405" s="35"/>
      <c r="BA405" s="35"/>
      <c r="BB405" s="35"/>
      <c r="BC405" s="35"/>
      <c r="BD405" s="35"/>
      <c r="BE405" s="35"/>
      <c r="BF405" s="35"/>
      <c r="BG405" s="35"/>
      <c r="BH405" s="35"/>
      <c r="BI405" s="35"/>
      <c r="BJ405" s="35"/>
      <c r="BK405" s="35"/>
      <c r="BL405" s="35"/>
      <c r="BM405" s="35"/>
      <c r="BN405" s="35"/>
      <c r="BO405" s="35"/>
      <c r="BP405" s="35"/>
      <c r="BQ405" s="35"/>
      <c r="BR405" s="35"/>
      <c r="BS405" s="35"/>
      <c r="BT405" s="35"/>
      <c r="BU405" s="35"/>
      <c r="BV405" s="35"/>
      <c r="BW405" s="35"/>
      <c r="BX405" s="35"/>
      <c r="BY405" s="35"/>
      <c r="BZ405" s="35"/>
      <c r="CA405" s="35"/>
      <c r="CB405" s="35"/>
      <c r="CC405" s="35"/>
      <c r="CD405" s="35"/>
      <c r="CE405" s="35"/>
      <c r="CF405" s="35"/>
      <c r="CG405" s="35"/>
      <c r="CH405" s="35"/>
      <c r="CI405" s="31"/>
      <c r="CJ405" s="31"/>
      <c r="CK405" s="31"/>
      <c r="CL405" s="31"/>
      <c r="CM405" s="35"/>
      <c r="CN405" s="31"/>
      <c r="CO405" s="31"/>
      <c r="CP405" s="31"/>
      <c r="CQ405" s="31"/>
      <c r="CR405" s="35"/>
      <c r="CS405" s="35"/>
      <c r="CT405" s="35"/>
      <c r="CU405" s="35"/>
      <c r="CV405" s="35"/>
      <c r="CW405" s="35"/>
      <c r="CX405" s="35"/>
      <c r="CY405" s="31"/>
      <c r="CZ405" s="31"/>
      <c r="DA405" s="35"/>
      <c r="DB405" s="35"/>
      <c r="DC405" s="35"/>
      <c r="DD405" s="31"/>
      <c r="DE405" s="31"/>
      <c r="DF405" s="35"/>
      <c r="DG405" s="35"/>
      <c r="DH405" s="31"/>
      <c r="DI405" s="31"/>
      <c r="DJ405" s="31"/>
      <c r="DK405" s="31"/>
      <c r="DL405" s="35"/>
      <c r="DM405" s="31"/>
      <c r="DN405" s="31"/>
      <c r="DO405" s="31"/>
      <c r="DP405" s="31"/>
      <c r="DQ405" s="35"/>
      <c r="DR405" s="31"/>
      <c r="DS405" s="31"/>
      <c r="DT405" s="31"/>
      <c r="DU405" s="31"/>
      <c r="DV405" s="35"/>
      <c r="DW405" s="31"/>
      <c r="DX405" s="31"/>
      <c r="DY405" s="31"/>
      <c r="DZ405" s="31"/>
      <c r="EA405" s="35"/>
      <c r="EB405" s="31"/>
      <c r="EC405" s="31"/>
      <c r="ED405" s="31"/>
      <c r="EE405" s="31"/>
      <c r="EF405" s="35"/>
      <c r="EG405" s="31"/>
      <c r="EH405" s="31"/>
      <c r="EI405" s="31"/>
      <c r="EJ405" s="31"/>
      <c r="EK405" s="35"/>
      <c r="EL405" s="31"/>
      <c r="EM405" s="31"/>
      <c r="EN405" s="31"/>
      <c r="EO405" s="31"/>
      <c r="EP405" s="35"/>
      <c r="EQ405" s="31"/>
      <c r="ER405" s="31"/>
      <c r="ES405" s="31"/>
      <c r="ET405" s="31"/>
      <c r="EU405" s="35"/>
      <c r="EV405" s="35"/>
      <c r="EW405" s="35"/>
      <c r="EX405" s="35"/>
      <c r="EY405" s="35"/>
      <c r="EZ405" s="129"/>
    </row>
    <row r="406" spans="1:156" ht="11.25" customHeight="1">
      <c r="A406" s="521"/>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c r="AF406" s="35"/>
      <c r="AG406" s="35"/>
      <c r="AH406" s="35"/>
      <c r="AI406" s="35"/>
      <c r="AJ406" s="35"/>
      <c r="AK406" s="35"/>
      <c r="AL406" s="35"/>
      <c r="AM406" s="35"/>
      <c r="AN406" s="35"/>
      <c r="AO406" s="35"/>
      <c r="AP406" s="35"/>
      <c r="AQ406" s="35"/>
      <c r="AR406" s="35"/>
      <c r="AS406" s="35"/>
      <c r="AT406" s="32"/>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1"/>
      <c r="CJ406" s="31"/>
      <c r="CK406" s="31"/>
      <c r="CL406" s="31"/>
      <c r="CM406" s="35"/>
      <c r="CN406" s="31"/>
      <c r="CO406" s="31"/>
      <c r="CP406" s="31"/>
      <c r="CQ406" s="31"/>
      <c r="CR406" s="35"/>
      <c r="CS406" s="35"/>
      <c r="CT406" s="35"/>
      <c r="CU406" s="35"/>
      <c r="CV406" s="35"/>
      <c r="CW406" s="35"/>
      <c r="CX406" s="35"/>
      <c r="CY406" s="31"/>
      <c r="CZ406" s="31"/>
      <c r="DA406" s="35"/>
      <c r="DB406" s="35"/>
      <c r="DC406" s="35"/>
      <c r="DD406" s="31"/>
      <c r="DE406" s="31"/>
      <c r="DF406" s="35"/>
      <c r="DG406" s="35"/>
      <c r="DH406" s="31"/>
      <c r="DI406" s="31"/>
      <c r="DJ406" s="31"/>
      <c r="DK406" s="31"/>
      <c r="DL406" s="35"/>
      <c r="DM406" s="31"/>
      <c r="DN406" s="31"/>
      <c r="DO406" s="31"/>
      <c r="DP406" s="31"/>
      <c r="DQ406" s="35"/>
      <c r="DR406" s="31"/>
      <c r="DS406" s="31"/>
      <c r="DT406" s="31"/>
      <c r="DU406" s="31"/>
      <c r="DV406" s="35"/>
      <c r="DW406" s="31"/>
      <c r="DX406" s="31"/>
      <c r="DY406" s="31"/>
      <c r="DZ406" s="31"/>
      <c r="EA406" s="35"/>
      <c r="EB406" s="31"/>
      <c r="EC406" s="31"/>
      <c r="ED406" s="31"/>
      <c r="EE406" s="31"/>
      <c r="EF406" s="35"/>
      <c r="EG406" s="31"/>
      <c r="EH406" s="31"/>
      <c r="EI406" s="31"/>
      <c r="EJ406" s="31"/>
      <c r="EK406" s="35"/>
      <c r="EL406" s="31"/>
      <c r="EM406" s="31"/>
      <c r="EN406" s="31"/>
      <c r="EO406" s="31"/>
      <c r="EP406" s="35"/>
      <c r="EQ406" s="31"/>
      <c r="ER406" s="31"/>
      <c r="ES406" s="31"/>
      <c r="ET406" s="31"/>
      <c r="EU406" s="35"/>
      <c r="EV406" s="35"/>
      <c r="EW406" s="35"/>
      <c r="EX406" s="35"/>
      <c r="EY406" s="35"/>
      <c r="EZ406" s="129"/>
    </row>
    <row r="407" spans="1:156" ht="11.25" customHeight="1">
      <c r="A407" s="521"/>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c r="AF407" s="35"/>
      <c r="AG407" s="35"/>
      <c r="AH407" s="35"/>
      <c r="AI407" s="35"/>
      <c r="AJ407" s="35"/>
      <c r="AK407" s="35"/>
      <c r="AL407" s="35"/>
      <c r="AM407" s="35"/>
      <c r="AN407" s="35"/>
      <c r="AO407" s="35"/>
      <c r="AP407" s="35"/>
      <c r="AQ407" s="35"/>
      <c r="AR407" s="35"/>
      <c r="AS407" s="35"/>
      <c r="AT407" s="32"/>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1"/>
      <c r="CJ407" s="31"/>
      <c r="CK407" s="31"/>
      <c r="CL407" s="31"/>
      <c r="CM407" s="35"/>
      <c r="CN407" s="31"/>
      <c r="CO407" s="31"/>
      <c r="CP407" s="31"/>
      <c r="CQ407" s="31"/>
      <c r="CR407" s="35"/>
      <c r="CS407" s="35"/>
      <c r="CT407" s="35"/>
      <c r="CU407" s="35"/>
      <c r="CV407" s="35"/>
      <c r="CW407" s="35"/>
      <c r="CX407" s="35"/>
      <c r="CY407" s="31"/>
      <c r="CZ407" s="31"/>
      <c r="DA407" s="35"/>
      <c r="DB407" s="35"/>
      <c r="DC407" s="35"/>
      <c r="DD407" s="31"/>
      <c r="DE407" s="31"/>
      <c r="DF407" s="35"/>
      <c r="DG407" s="35"/>
      <c r="DH407" s="31"/>
      <c r="DI407" s="31"/>
      <c r="DJ407" s="31"/>
      <c r="DK407" s="31"/>
      <c r="DL407" s="35"/>
      <c r="DM407" s="31"/>
      <c r="DN407" s="31"/>
      <c r="DO407" s="31"/>
      <c r="DP407" s="31"/>
      <c r="DQ407" s="35"/>
      <c r="DR407" s="31"/>
      <c r="DS407" s="31"/>
      <c r="DT407" s="31"/>
      <c r="DU407" s="31"/>
      <c r="DV407" s="35"/>
      <c r="DW407" s="31"/>
      <c r="DX407" s="31"/>
      <c r="DY407" s="31"/>
      <c r="DZ407" s="31"/>
      <c r="EA407" s="35"/>
      <c r="EB407" s="31"/>
      <c r="EC407" s="31"/>
      <c r="ED407" s="31"/>
      <c r="EE407" s="31"/>
      <c r="EF407" s="35"/>
      <c r="EG407" s="31"/>
      <c r="EH407" s="31"/>
      <c r="EI407" s="31"/>
      <c r="EJ407" s="31"/>
      <c r="EK407" s="35"/>
      <c r="EL407" s="31"/>
      <c r="EM407" s="31"/>
      <c r="EN407" s="31"/>
      <c r="EO407" s="31"/>
      <c r="EP407" s="35"/>
      <c r="EQ407" s="31"/>
      <c r="ER407" s="31"/>
      <c r="ES407" s="31"/>
      <c r="ET407" s="31"/>
      <c r="EU407" s="35"/>
      <c r="EV407" s="35"/>
      <c r="EW407" s="35"/>
      <c r="EX407" s="35"/>
      <c r="EY407" s="35"/>
      <c r="EZ407" s="129"/>
    </row>
    <row r="408" spans="1:156" ht="11.25" customHeight="1">
      <c r="A408" s="521"/>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c r="AF408" s="35"/>
      <c r="AG408" s="35"/>
      <c r="AH408" s="35"/>
      <c r="AI408" s="35"/>
      <c r="AJ408" s="35"/>
      <c r="AK408" s="35"/>
      <c r="AL408" s="35"/>
      <c r="AM408" s="35"/>
      <c r="AN408" s="35"/>
      <c r="AO408" s="35"/>
      <c r="AP408" s="35"/>
      <c r="AQ408" s="35"/>
      <c r="AR408" s="35"/>
      <c r="AS408" s="35"/>
      <c r="AT408" s="32"/>
      <c r="AU408" s="35"/>
      <c r="AV408" s="35"/>
      <c r="AW408" s="35"/>
      <c r="AX408" s="35"/>
      <c r="AY408" s="35"/>
      <c r="AZ408" s="35"/>
      <c r="BA408" s="35"/>
      <c r="BB408" s="35"/>
      <c r="BC408" s="35"/>
      <c r="BD408" s="35"/>
      <c r="BE408" s="35"/>
      <c r="BF408" s="35"/>
      <c r="BG408" s="35"/>
      <c r="BH408" s="35"/>
      <c r="BI408" s="35"/>
      <c r="BJ408" s="35"/>
      <c r="BK408" s="35"/>
      <c r="BL408" s="35"/>
      <c r="BM408" s="35"/>
      <c r="BN408" s="35"/>
      <c r="BO408" s="35"/>
      <c r="BP408" s="35"/>
      <c r="BQ408" s="35"/>
      <c r="BR408" s="35"/>
      <c r="BS408" s="35"/>
      <c r="BT408" s="35"/>
      <c r="BU408" s="35"/>
      <c r="BV408" s="35"/>
      <c r="BW408" s="35"/>
      <c r="BX408" s="35"/>
      <c r="BY408" s="35"/>
      <c r="BZ408" s="35"/>
      <c r="CA408" s="35"/>
      <c r="CB408" s="35"/>
      <c r="CC408" s="35"/>
      <c r="CD408" s="35"/>
      <c r="CE408" s="35"/>
      <c r="CF408" s="35"/>
      <c r="CG408" s="35"/>
      <c r="CH408" s="35"/>
      <c r="CI408" s="31"/>
      <c r="CJ408" s="31"/>
      <c r="CK408" s="31"/>
      <c r="CL408" s="31"/>
      <c r="CM408" s="35"/>
      <c r="CN408" s="31"/>
      <c r="CO408" s="31"/>
      <c r="CP408" s="31"/>
      <c r="CQ408" s="31"/>
      <c r="CR408" s="35"/>
      <c r="CS408" s="35"/>
      <c r="CT408" s="35"/>
      <c r="CU408" s="35"/>
      <c r="CV408" s="35"/>
      <c r="CW408" s="35"/>
      <c r="CX408" s="35"/>
      <c r="CY408" s="31"/>
      <c r="CZ408" s="31"/>
      <c r="DA408" s="35"/>
      <c r="DB408" s="35"/>
      <c r="DC408" s="35"/>
      <c r="DD408" s="31"/>
      <c r="DE408" s="31"/>
      <c r="DF408" s="35"/>
      <c r="DG408" s="35"/>
      <c r="DH408" s="31"/>
      <c r="DI408" s="31"/>
      <c r="DJ408" s="31"/>
      <c r="DK408" s="31"/>
      <c r="DL408" s="35"/>
      <c r="DM408" s="31"/>
      <c r="DN408" s="31"/>
      <c r="DO408" s="31"/>
      <c r="DP408" s="31"/>
      <c r="DQ408" s="35"/>
      <c r="DR408" s="31"/>
      <c r="DS408" s="31"/>
      <c r="DT408" s="31"/>
      <c r="DU408" s="31"/>
      <c r="DV408" s="35"/>
      <c r="DW408" s="31"/>
      <c r="DX408" s="31"/>
      <c r="DY408" s="31"/>
      <c r="DZ408" s="31"/>
      <c r="EA408" s="35"/>
      <c r="EB408" s="31"/>
      <c r="EC408" s="31"/>
      <c r="ED408" s="31"/>
      <c r="EE408" s="31"/>
      <c r="EF408" s="35"/>
      <c r="EG408" s="31"/>
      <c r="EH408" s="31"/>
      <c r="EI408" s="31"/>
      <c r="EJ408" s="31"/>
      <c r="EK408" s="35"/>
      <c r="EL408" s="31"/>
      <c r="EM408" s="31"/>
      <c r="EN408" s="31"/>
      <c r="EO408" s="31"/>
      <c r="EP408" s="35"/>
      <c r="EQ408" s="31"/>
      <c r="ER408" s="31"/>
      <c r="ES408" s="31"/>
      <c r="ET408" s="31"/>
      <c r="EU408" s="35"/>
      <c r="EV408" s="35"/>
      <c r="EW408" s="35"/>
      <c r="EX408" s="35"/>
      <c r="EY408" s="35"/>
      <c r="EZ408" s="129"/>
    </row>
    <row r="409" spans="1:156" ht="11.25" customHeight="1">
      <c r="A409" s="521"/>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c r="AF409" s="35"/>
      <c r="AG409" s="35"/>
      <c r="AH409" s="35"/>
      <c r="AI409" s="35"/>
      <c r="AJ409" s="35"/>
      <c r="AK409" s="35"/>
      <c r="AL409" s="35"/>
      <c r="AM409" s="35"/>
      <c r="AN409" s="35"/>
      <c r="AO409" s="35"/>
      <c r="AP409" s="35"/>
      <c r="AQ409" s="35"/>
      <c r="AR409" s="35"/>
      <c r="AS409" s="35"/>
      <c r="AT409" s="32"/>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1"/>
      <c r="CJ409" s="31"/>
      <c r="CK409" s="31"/>
      <c r="CL409" s="31"/>
      <c r="CM409" s="35"/>
      <c r="CN409" s="31"/>
      <c r="CO409" s="31"/>
      <c r="CP409" s="31"/>
      <c r="CQ409" s="31"/>
      <c r="CR409" s="35"/>
      <c r="CS409" s="35"/>
      <c r="CT409" s="35"/>
      <c r="CU409" s="35"/>
      <c r="CV409" s="35"/>
      <c r="CW409" s="35"/>
      <c r="CX409" s="35"/>
      <c r="CY409" s="31"/>
      <c r="CZ409" s="31"/>
      <c r="DA409" s="35"/>
      <c r="DB409" s="35"/>
      <c r="DC409" s="35"/>
      <c r="DD409" s="31"/>
      <c r="DE409" s="31"/>
      <c r="DF409" s="35"/>
      <c r="DG409" s="35"/>
      <c r="DH409" s="31"/>
      <c r="DI409" s="31"/>
      <c r="DJ409" s="31"/>
      <c r="DK409" s="31"/>
      <c r="DL409" s="35"/>
      <c r="DM409" s="31"/>
      <c r="DN409" s="31"/>
      <c r="DO409" s="31"/>
      <c r="DP409" s="31"/>
      <c r="DQ409" s="35"/>
      <c r="DR409" s="31"/>
      <c r="DS409" s="31"/>
      <c r="DT409" s="31"/>
      <c r="DU409" s="31"/>
      <c r="DV409" s="35"/>
      <c r="DW409" s="31"/>
      <c r="DX409" s="31"/>
      <c r="DY409" s="31"/>
      <c r="DZ409" s="31"/>
      <c r="EA409" s="35"/>
      <c r="EB409" s="31"/>
      <c r="EC409" s="31"/>
      <c r="ED409" s="31"/>
      <c r="EE409" s="31"/>
      <c r="EF409" s="35"/>
      <c r="EG409" s="31"/>
      <c r="EH409" s="31"/>
      <c r="EI409" s="31"/>
      <c r="EJ409" s="31"/>
      <c r="EK409" s="35"/>
      <c r="EL409" s="31"/>
      <c r="EM409" s="31"/>
      <c r="EN409" s="31"/>
      <c r="EO409" s="31"/>
      <c r="EP409" s="35"/>
      <c r="EQ409" s="31"/>
      <c r="ER409" s="31"/>
      <c r="ES409" s="31"/>
      <c r="ET409" s="31"/>
      <c r="EU409" s="35"/>
      <c r="EV409" s="35"/>
      <c r="EW409" s="35"/>
      <c r="EX409" s="35"/>
      <c r="EY409" s="35"/>
      <c r="EZ409" s="129"/>
    </row>
    <row r="410" spans="1:156" ht="11.25" customHeight="1">
      <c r="A410" s="521"/>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c r="AF410" s="35"/>
      <c r="AG410" s="35"/>
      <c r="AH410" s="35"/>
      <c r="AI410" s="35"/>
      <c r="AJ410" s="35"/>
      <c r="AK410" s="35"/>
      <c r="AL410" s="35"/>
      <c r="AM410" s="35"/>
      <c r="AN410" s="35"/>
      <c r="AO410" s="35"/>
      <c r="AP410" s="35"/>
      <c r="AQ410" s="35"/>
      <c r="AR410" s="35"/>
      <c r="AS410" s="35"/>
      <c r="AT410" s="32"/>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1"/>
      <c r="CJ410" s="31"/>
      <c r="CK410" s="31"/>
      <c r="CL410" s="31"/>
      <c r="CM410" s="35"/>
      <c r="CN410" s="31"/>
      <c r="CO410" s="31"/>
      <c r="CP410" s="31"/>
      <c r="CQ410" s="31"/>
      <c r="CR410" s="35"/>
      <c r="CS410" s="35"/>
      <c r="CT410" s="35"/>
      <c r="CU410" s="35"/>
      <c r="CV410" s="35"/>
      <c r="CW410" s="35"/>
      <c r="CX410" s="35"/>
      <c r="CY410" s="31"/>
      <c r="CZ410" s="31"/>
      <c r="DA410" s="35"/>
      <c r="DB410" s="35"/>
      <c r="DC410" s="35"/>
      <c r="DD410" s="31"/>
      <c r="DE410" s="31"/>
      <c r="DF410" s="35"/>
      <c r="DG410" s="35"/>
      <c r="DH410" s="31"/>
      <c r="DI410" s="31"/>
      <c r="DJ410" s="31"/>
      <c r="DK410" s="31"/>
      <c r="DL410" s="35"/>
      <c r="DM410" s="31"/>
      <c r="DN410" s="31"/>
      <c r="DO410" s="31"/>
      <c r="DP410" s="31"/>
      <c r="DQ410" s="35"/>
      <c r="DR410" s="31"/>
      <c r="DS410" s="31"/>
      <c r="DT410" s="31"/>
      <c r="DU410" s="31"/>
      <c r="DV410" s="35"/>
      <c r="DW410" s="31"/>
      <c r="DX410" s="31"/>
      <c r="DY410" s="31"/>
      <c r="DZ410" s="31"/>
      <c r="EA410" s="35"/>
      <c r="EB410" s="31"/>
      <c r="EC410" s="31"/>
      <c r="ED410" s="31"/>
      <c r="EE410" s="31"/>
      <c r="EF410" s="35"/>
      <c r="EG410" s="31"/>
      <c r="EH410" s="31"/>
      <c r="EI410" s="31"/>
      <c r="EJ410" s="31"/>
      <c r="EK410" s="35"/>
      <c r="EL410" s="31"/>
      <c r="EM410" s="31"/>
      <c r="EN410" s="31"/>
      <c r="EO410" s="31"/>
      <c r="EP410" s="35"/>
      <c r="EQ410" s="31"/>
      <c r="ER410" s="31"/>
      <c r="ES410" s="31"/>
      <c r="ET410" s="31"/>
      <c r="EU410" s="35"/>
      <c r="EV410" s="35"/>
      <c r="EW410" s="35"/>
      <c r="EX410" s="35"/>
      <c r="EY410" s="35"/>
      <c r="EZ410" s="129"/>
    </row>
    <row r="411" spans="1:156" ht="11.25" customHeight="1">
      <c r="A411" s="521"/>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c r="AF411" s="35"/>
      <c r="AG411" s="35"/>
      <c r="AH411" s="35"/>
      <c r="AI411" s="35"/>
      <c r="AJ411" s="35"/>
      <c r="AK411" s="35"/>
      <c r="AL411" s="35"/>
      <c r="AM411" s="35"/>
      <c r="AN411" s="35"/>
      <c r="AO411" s="35"/>
      <c r="AP411" s="35"/>
      <c r="AQ411" s="35"/>
      <c r="AR411" s="35"/>
      <c r="AS411" s="35"/>
      <c r="AT411" s="32"/>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1"/>
      <c r="CJ411" s="31"/>
      <c r="CK411" s="31"/>
      <c r="CL411" s="31"/>
      <c r="CM411" s="35"/>
      <c r="CN411" s="31"/>
      <c r="CO411" s="31"/>
      <c r="CP411" s="31"/>
      <c r="CQ411" s="31"/>
      <c r="CR411" s="35"/>
      <c r="CS411" s="35"/>
      <c r="CT411" s="35"/>
      <c r="CU411" s="35"/>
      <c r="CV411" s="35"/>
      <c r="CW411" s="35"/>
      <c r="CX411" s="35"/>
      <c r="CY411" s="31"/>
      <c r="CZ411" s="31"/>
      <c r="DA411" s="35"/>
      <c r="DB411" s="35"/>
      <c r="DC411" s="35"/>
      <c r="DD411" s="31"/>
      <c r="DE411" s="31"/>
      <c r="DF411" s="35"/>
      <c r="DG411" s="35"/>
      <c r="DH411" s="31"/>
      <c r="DI411" s="31"/>
      <c r="DJ411" s="31"/>
      <c r="DK411" s="31"/>
      <c r="DL411" s="35"/>
      <c r="DM411" s="31"/>
      <c r="DN411" s="31"/>
      <c r="DO411" s="31"/>
      <c r="DP411" s="31"/>
      <c r="DQ411" s="35"/>
      <c r="DR411" s="31"/>
      <c r="DS411" s="31"/>
      <c r="DT411" s="31"/>
      <c r="DU411" s="31"/>
      <c r="DV411" s="35"/>
      <c r="DW411" s="31"/>
      <c r="DX411" s="31"/>
      <c r="DY411" s="31"/>
      <c r="DZ411" s="31"/>
      <c r="EA411" s="35"/>
      <c r="EB411" s="31"/>
      <c r="EC411" s="31"/>
      <c r="ED411" s="31"/>
      <c r="EE411" s="31"/>
      <c r="EF411" s="35"/>
      <c r="EG411" s="31"/>
      <c r="EH411" s="31"/>
      <c r="EI411" s="31"/>
      <c r="EJ411" s="31"/>
      <c r="EK411" s="35"/>
      <c r="EL411" s="31"/>
      <c r="EM411" s="31"/>
      <c r="EN411" s="31"/>
      <c r="EO411" s="31"/>
      <c r="EP411" s="35"/>
      <c r="EQ411" s="31"/>
      <c r="ER411" s="31"/>
      <c r="ES411" s="31"/>
      <c r="ET411" s="31"/>
      <c r="EU411" s="35"/>
      <c r="EV411" s="35"/>
      <c r="EW411" s="35"/>
      <c r="EX411" s="35"/>
      <c r="EY411" s="35"/>
      <c r="EZ411" s="129"/>
    </row>
    <row r="412" spans="1:156" ht="11.25" customHeight="1">
      <c r="A412" s="521"/>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c r="AF412" s="35"/>
      <c r="AG412" s="35"/>
      <c r="AH412" s="35"/>
      <c r="AI412" s="35"/>
      <c r="AJ412" s="35"/>
      <c r="AK412" s="35"/>
      <c r="AL412" s="35"/>
      <c r="AM412" s="35"/>
      <c r="AN412" s="35"/>
      <c r="AO412" s="35"/>
      <c r="AP412" s="35"/>
      <c r="AQ412" s="35"/>
      <c r="AR412" s="35"/>
      <c r="AS412" s="35"/>
      <c r="AT412" s="32"/>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1"/>
      <c r="CJ412" s="31"/>
      <c r="CK412" s="31"/>
      <c r="CL412" s="31"/>
      <c r="CM412" s="35"/>
      <c r="CN412" s="31"/>
      <c r="CO412" s="31"/>
      <c r="CP412" s="31"/>
      <c r="CQ412" s="31"/>
      <c r="CR412" s="35"/>
      <c r="CS412" s="35"/>
      <c r="CT412" s="35"/>
      <c r="CU412" s="35"/>
      <c r="CV412" s="35"/>
      <c r="CW412" s="35"/>
      <c r="CX412" s="35"/>
      <c r="CY412" s="31"/>
      <c r="CZ412" s="31"/>
      <c r="DA412" s="35"/>
      <c r="DB412" s="35"/>
      <c r="DC412" s="35"/>
      <c r="DD412" s="31"/>
      <c r="DE412" s="31"/>
      <c r="DF412" s="35"/>
      <c r="DG412" s="35"/>
      <c r="DH412" s="31"/>
      <c r="DI412" s="31"/>
      <c r="DJ412" s="31"/>
      <c r="DK412" s="31"/>
      <c r="DL412" s="35"/>
      <c r="DM412" s="31"/>
      <c r="DN412" s="31"/>
      <c r="DO412" s="31"/>
      <c r="DP412" s="31"/>
      <c r="DQ412" s="35"/>
      <c r="DR412" s="31"/>
      <c r="DS412" s="31"/>
      <c r="DT412" s="31"/>
      <c r="DU412" s="31"/>
      <c r="DV412" s="35"/>
      <c r="DW412" s="31"/>
      <c r="DX412" s="31"/>
      <c r="DY412" s="31"/>
      <c r="DZ412" s="31"/>
      <c r="EA412" s="35"/>
      <c r="EB412" s="31"/>
      <c r="EC412" s="31"/>
      <c r="ED412" s="31"/>
      <c r="EE412" s="31"/>
      <c r="EF412" s="35"/>
      <c r="EG412" s="31"/>
      <c r="EH412" s="31"/>
      <c r="EI412" s="31"/>
      <c r="EJ412" s="31"/>
      <c r="EK412" s="35"/>
      <c r="EL412" s="31"/>
      <c r="EM412" s="31"/>
      <c r="EN412" s="31"/>
      <c r="EO412" s="31"/>
      <c r="EP412" s="35"/>
      <c r="EQ412" s="31"/>
      <c r="ER412" s="31"/>
      <c r="ES412" s="31"/>
      <c r="ET412" s="31"/>
      <c r="EU412" s="35"/>
      <c r="EV412" s="35"/>
      <c r="EW412" s="35"/>
      <c r="EX412" s="35"/>
      <c r="EY412" s="35"/>
      <c r="EZ412" s="129"/>
    </row>
    <row r="413" spans="1:156" ht="11.25" customHeight="1">
      <c r="A413" s="521"/>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c r="AF413" s="35"/>
      <c r="AG413" s="35"/>
      <c r="AH413" s="35"/>
      <c r="AI413" s="35"/>
      <c r="AJ413" s="35"/>
      <c r="AK413" s="35"/>
      <c r="AL413" s="35"/>
      <c r="AM413" s="35"/>
      <c r="AN413" s="35"/>
      <c r="AO413" s="35"/>
      <c r="AP413" s="35"/>
      <c r="AQ413" s="35"/>
      <c r="AR413" s="35"/>
      <c r="AS413" s="35"/>
      <c r="AT413" s="32"/>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1"/>
      <c r="CJ413" s="31"/>
      <c r="CK413" s="31"/>
      <c r="CL413" s="31"/>
      <c r="CM413" s="35"/>
      <c r="CN413" s="31"/>
      <c r="CO413" s="31"/>
      <c r="CP413" s="31"/>
      <c r="CQ413" s="31"/>
      <c r="CR413" s="35"/>
      <c r="CS413" s="35"/>
      <c r="CT413" s="35"/>
      <c r="CU413" s="35"/>
      <c r="CV413" s="35"/>
      <c r="CW413" s="35"/>
      <c r="CX413" s="35"/>
      <c r="CY413" s="31"/>
      <c r="CZ413" s="31"/>
      <c r="DA413" s="35"/>
      <c r="DB413" s="35"/>
      <c r="DC413" s="35"/>
      <c r="DD413" s="31"/>
      <c r="DE413" s="31"/>
      <c r="DF413" s="35"/>
      <c r="DG413" s="35"/>
      <c r="DH413" s="31"/>
      <c r="DI413" s="31"/>
      <c r="DJ413" s="31"/>
      <c r="DK413" s="31"/>
      <c r="DL413" s="35"/>
      <c r="DM413" s="31"/>
      <c r="DN413" s="31"/>
      <c r="DO413" s="31"/>
      <c r="DP413" s="31"/>
      <c r="DQ413" s="35"/>
      <c r="DR413" s="31"/>
      <c r="DS413" s="31"/>
      <c r="DT413" s="31"/>
      <c r="DU413" s="31"/>
      <c r="DV413" s="35"/>
      <c r="DW413" s="31"/>
      <c r="DX413" s="31"/>
      <c r="DY413" s="31"/>
      <c r="DZ413" s="31"/>
      <c r="EA413" s="35"/>
      <c r="EB413" s="31"/>
      <c r="EC413" s="31"/>
      <c r="ED413" s="31"/>
      <c r="EE413" s="31"/>
      <c r="EF413" s="35"/>
      <c r="EG413" s="31"/>
      <c r="EH413" s="31"/>
      <c r="EI413" s="31"/>
      <c r="EJ413" s="31"/>
      <c r="EK413" s="35"/>
      <c r="EL413" s="31"/>
      <c r="EM413" s="31"/>
      <c r="EN413" s="31"/>
      <c r="EO413" s="31"/>
      <c r="EP413" s="35"/>
      <c r="EQ413" s="31"/>
      <c r="ER413" s="31"/>
      <c r="ES413" s="31"/>
      <c r="ET413" s="31"/>
      <c r="EU413" s="35"/>
      <c r="EV413" s="35"/>
      <c r="EW413" s="35"/>
      <c r="EX413" s="35"/>
      <c r="EY413" s="35"/>
      <c r="EZ413" s="129"/>
    </row>
    <row r="414" spans="1:156" ht="11.25" customHeight="1">
      <c r="A414" s="521"/>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c r="AF414" s="35"/>
      <c r="AG414" s="35"/>
      <c r="AH414" s="35"/>
      <c r="AI414" s="35"/>
      <c r="AJ414" s="35"/>
      <c r="AK414" s="35"/>
      <c r="AL414" s="35"/>
      <c r="AM414" s="35"/>
      <c r="AN414" s="35"/>
      <c r="AO414" s="35"/>
      <c r="AP414" s="35"/>
      <c r="AQ414" s="35"/>
      <c r="AR414" s="35"/>
      <c r="AS414" s="35"/>
      <c r="AT414" s="32"/>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1"/>
      <c r="CJ414" s="31"/>
      <c r="CK414" s="31"/>
      <c r="CL414" s="31"/>
      <c r="CM414" s="35"/>
      <c r="CN414" s="31"/>
      <c r="CO414" s="31"/>
      <c r="CP414" s="31"/>
      <c r="CQ414" s="31"/>
      <c r="CR414" s="35"/>
      <c r="CS414" s="35"/>
      <c r="CT414" s="35"/>
      <c r="CU414" s="35"/>
      <c r="CV414" s="35"/>
      <c r="CW414" s="35"/>
      <c r="CX414" s="35"/>
      <c r="CY414" s="31"/>
      <c r="CZ414" s="31"/>
      <c r="DA414" s="35"/>
      <c r="DB414" s="35"/>
      <c r="DC414" s="35"/>
      <c r="DD414" s="31"/>
      <c r="DE414" s="31"/>
      <c r="DF414" s="35"/>
      <c r="DG414" s="35"/>
      <c r="DH414" s="31"/>
      <c r="DI414" s="31"/>
      <c r="DJ414" s="31"/>
      <c r="DK414" s="31"/>
      <c r="DL414" s="35"/>
      <c r="DM414" s="31"/>
      <c r="DN414" s="31"/>
      <c r="DO414" s="31"/>
      <c r="DP414" s="31"/>
      <c r="DQ414" s="35"/>
      <c r="DR414" s="31"/>
      <c r="DS414" s="31"/>
      <c r="DT414" s="31"/>
      <c r="DU414" s="31"/>
      <c r="DV414" s="35"/>
      <c r="DW414" s="31"/>
      <c r="DX414" s="31"/>
      <c r="DY414" s="31"/>
      <c r="DZ414" s="31"/>
      <c r="EA414" s="35"/>
      <c r="EB414" s="31"/>
      <c r="EC414" s="31"/>
      <c r="ED414" s="31"/>
      <c r="EE414" s="31"/>
      <c r="EF414" s="35"/>
      <c r="EG414" s="31"/>
      <c r="EH414" s="31"/>
      <c r="EI414" s="31"/>
      <c r="EJ414" s="31"/>
      <c r="EK414" s="35"/>
      <c r="EL414" s="31"/>
      <c r="EM414" s="31"/>
      <c r="EN414" s="31"/>
      <c r="EO414" s="31"/>
      <c r="EP414" s="35"/>
      <c r="EQ414" s="31"/>
      <c r="ER414" s="31"/>
      <c r="ES414" s="31"/>
      <c r="ET414" s="31"/>
      <c r="EU414" s="35"/>
      <c r="EV414" s="35"/>
      <c r="EW414" s="35"/>
      <c r="EX414" s="35"/>
      <c r="EY414" s="35"/>
      <c r="EZ414" s="129"/>
    </row>
    <row r="415" spans="1:156" ht="11.25" customHeight="1">
      <c r="A415" s="521"/>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c r="AF415" s="35"/>
      <c r="AG415" s="35"/>
      <c r="AH415" s="35"/>
      <c r="AI415" s="35"/>
      <c r="AJ415" s="35"/>
      <c r="AK415" s="35"/>
      <c r="AL415" s="35"/>
      <c r="AM415" s="35"/>
      <c r="AN415" s="35"/>
      <c r="AO415" s="35"/>
      <c r="AP415" s="35"/>
      <c r="AQ415" s="35"/>
      <c r="AR415" s="35"/>
      <c r="AS415" s="35"/>
      <c r="AT415" s="32"/>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1"/>
      <c r="CJ415" s="31"/>
      <c r="CK415" s="31"/>
      <c r="CL415" s="31"/>
      <c r="CM415" s="35"/>
      <c r="CN415" s="31"/>
      <c r="CO415" s="31"/>
      <c r="CP415" s="31"/>
      <c r="CQ415" s="31"/>
      <c r="CR415" s="35"/>
      <c r="CS415" s="35"/>
      <c r="CT415" s="35"/>
      <c r="CU415" s="35"/>
      <c r="CV415" s="35"/>
      <c r="CW415" s="35"/>
      <c r="CX415" s="35"/>
      <c r="CY415" s="31"/>
      <c r="CZ415" s="31"/>
      <c r="DA415" s="35"/>
      <c r="DB415" s="35"/>
      <c r="DC415" s="35"/>
      <c r="DD415" s="31"/>
      <c r="DE415" s="31"/>
      <c r="DF415" s="35"/>
      <c r="DG415" s="35"/>
      <c r="DH415" s="31"/>
      <c r="DI415" s="31"/>
      <c r="DJ415" s="31"/>
      <c r="DK415" s="31"/>
      <c r="DL415" s="35"/>
      <c r="DM415" s="31"/>
      <c r="DN415" s="31"/>
      <c r="DO415" s="31"/>
      <c r="DP415" s="31"/>
      <c r="DQ415" s="35"/>
      <c r="DR415" s="31"/>
      <c r="DS415" s="31"/>
      <c r="DT415" s="31"/>
      <c r="DU415" s="31"/>
      <c r="DV415" s="35"/>
      <c r="DW415" s="31"/>
      <c r="DX415" s="31"/>
      <c r="DY415" s="31"/>
      <c r="DZ415" s="31"/>
      <c r="EA415" s="35"/>
      <c r="EB415" s="31"/>
      <c r="EC415" s="31"/>
      <c r="ED415" s="31"/>
      <c r="EE415" s="31"/>
      <c r="EF415" s="35"/>
      <c r="EG415" s="31"/>
      <c r="EH415" s="31"/>
      <c r="EI415" s="31"/>
      <c r="EJ415" s="31"/>
      <c r="EK415" s="35"/>
      <c r="EL415" s="31"/>
      <c r="EM415" s="31"/>
      <c r="EN415" s="31"/>
      <c r="EO415" s="31"/>
      <c r="EP415" s="35"/>
      <c r="EQ415" s="31"/>
      <c r="ER415" s="31"/>
      <c r="ES415" s="31"/>
      <c r="ET415" s="31"/>
      <c r="EU415" s="35"/>
      <c r="EV415" s="35"/>
      <c r="EW415" s="35"/>
      <c r="EX415" s="35"/>
      <c r="EY415" s="35"/>
      <c r="EZ415" s="129"/>
    </row>
    <row r="416" spans="1:156" ht="11.25" customHeight="1">
      <c r="A416" s="521"/>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c r="AF416" s="35"/>
      <c r="AG416" s="35"/>
      <c r="AH416" s="35"/>
      <c r="AI416" s="35"/>
      <c r="AJ416" s="35"/>
      <c r="AK416" s="35"/>
      <c r="AL416" s="35"/>
      <c r="AM416" s="35"/>
      <c r="AN416" s="35"/>
      <c r="AO416" s="35"/>
      <c r="AP416" s="35"/>
      <c r="AQ416" s="35"/>
      <c r="AR416" s="35"/>
      <c r="AS416" s="35"/>
      <c r="AT416" s="32"/>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1"/>
      <c r="CJ416" s="31"/>
      <c r="CK416" s="31"/>
      <c r="CL416" s="31"/>
      <c r="CM416" s="35"/>
      <c r="CN416" s="31"/>
      <c r="CO416" s="31"/>
      <c r="CP416" s="31"/>
      <c r="CQ416" s="31"/>
      <c r="CR416" s="35"/>
      <c r="CS416" s="35"/>
      <c r="CT416" s="35"/>
      <c r="CU416" s="35"/>
      <c r="CV416" s="35"/>
      <c r="CW416" s="35"/>
      <c r="CX416" s="35"/>
      <c r="CY416" s="31"/>
      <c r="CZ416" s="31"/>
      <c r="DA416" s="35"/>
      <c r="DB416" s="35"/>
      <c r="DC416" s="35"/>
      <c r="DD416" s="31"/>
      <c r="DE416" s="31"/>
      <c r="DF416" s="35"/>
      <c r="DG416" s="35"/>
      <c r="DH416" s="31"/>
      <c r="DI416" s="31"/>
      <c r="DJ416" s="31"/>
      <c r="DK416" s="31"/>
      <c r="DL416" s="35"/>
      <c r="DM416" s="31"/>
      <c r="DN416" s="31"/>
      <c r="DO416" s="31"/>
      <c r="DP416" s="31"/>
      <c r="DQ416" s="35"/>
      <c r="DR416" s="31"/>
      <c r="DS416" s="31"/>
      <c r="DT416" s="31"/>
      <c r="DU416" s="31"/>
      <c r="DV416" s="35"/>
      <c r="DW416" s="31"/>
      <c r="DX416" s="31"/>
      <c r="DY416" s="31"/>
      <c r="DZ416" s="31"/>
      <c r="EA416" s="35"/>
      <c r="EB416" s="31"/>
      <c r="EC416" s="31"/>
      <c r="ED416" s="31"/>
      <c r="EE416" s="31"/>
      <c r="EF416" s="35"/>
      <c r="EG416" s="31"/>
      <c r="EH416" s="31"/>
      <c r="EI416" s="31"/>
      <c r="EJ416" s="31"/>
      <c r="EK416" s="35"/>
      <c r="EL416" s="31"/>
      <c r="EM416" s="31"/>
      <c r="EN416" s="31"/>
      <c r="EO416" s="31"/>
      <c r="EP416" s="35"/>
      <c r="EQ416" s="31"/>
      <c r="ER416" s="31"/>
      <c r="ES416" s="31"/>
      <c r="ET416" s="31"/>
      <c r="EU416" s="35"/>
      <c r="EV416" s="35"/>
      <c r="EW416" s="35"/>
      <c r="EX416" s="35"/>
      <c r="EY416" s="35"/>
      <c r="EZ416" s="129"/>
    </row>
    <row r="417" spans="1:156" ht="11.25" customHeight="1">
      <c r="A417" s="521"/>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c r="AF417" s="35"/>
      <c r="AG417" s="35"/>
      <c r="AH417" s="35"/>
      <c r="AI417" s="35"/>
      <c r="AJ417" s="35"/>
      <c r="AK417" s="35"/>
      <c r="AL417" s="35"/>
      <c r="AM417" s="35"/>
      <c r="AN417" s="35"/>
      <c r="AO417" s="35"/>
      <c r="AP417" s="35"/>
      <c r="AQ417" s="35"/>
      <c r="AR417" s="35"/>
      <c r="AS417" s="35"/>
      <c r="AT417" s="32"/>
      <c r="AU417" s="35"/>
      <c r="AV417" s="35"/>
      <c r="AW417" s="35"/>
      <c r="AX417" s="35"/>
      <c r="AY417" s="35"/>
      <c r="AZ417" s="35"/>
      <c r="BA417" s="35"/>
      <c r="BB417" s="35"/>
      <c r="BC417" s="35"/>
      <c r="BD417" s="35"/>
      <c r="BE417" s="35"/>
      <c r="BF417" s="35"/>
      <c r="BG417" s="35"/>
      <c r="BH417" s="35"/>
      <c r="BI417" s="35"/>
      <c r="BJ417" s="35"/>
      <c r="BK417" s="35"/>
      <c r="BL417" s="35"/>
      <c r="BM417" s="35"/>
      <c r="BN417" s="35"/>
      <c r="BO417" s="35"/>
      <c r="BP417" s="35"/>
      <c r="BQ417" s="35"/>
      <c r="BR417" s="35"/>
      <c r="BS417" s="35"/>
      <c r="BT417" s="35"/>
      <c r="BU417" s="35"/>
      <c r="BV417" s="35"/>
      <c r="BW417" s="35"/>
      <c r="BX417" s="35"/>
      <c r="BY417" s="35"/>
      <c r="BZ417" s="35"/>
      <c r="CA417" s="35"/>
      <c r="CB417" s="35"/>
      <c r="CC417" s="35"/>
      <c r="CD417" s="35"/>
      <c r="CE417" s="35"/>
      <c r="CF417" s="35"/>
      <c r="CG417" s="35"/>
      <c r="CH417" s="35"/>
      <c r="CI417" s="31"/>
      <c r="CJ417" s="31"/>
      <c r="CK417" s="31"/>
      <c r="CL417" s="31"/>
      <c r="CM417" s="35"/>
      <c r="CN417" s="31"/>
      <c r="CO417" s="31"/>
      <c r="CP417" s="31"/>
      <c r="CQ417" s="31"/>
      <c r="CR417" s="35"/>
      <c r="CS417" s="35"/>
      <c r="CT417" s="35"/>
      <c r="CU417" s="35"/>
      <c r="CV417" s="35"/>
      <c r="CW417" s="35"/>
      <c r="CX417" s="35"/>
      <c r="CY417" s="31"/>
      <c r="CZ417" s="31"/>
      <c r="DA417" s="35"/>
      <c r="DB417" s="35"/>
      <c r="DC417" s="35"/>
      <c r="DD417" s="31"/>
      <c r="DE417" s="31"/>
      <c r="DF417" s="35"/>
      <c r="DG417" s="35"/>
      <c r="DH417" s="31"/>
      <c r="DI417" s="31"/>
      <c r="DJ417" s="31"/>
      <c r="DK417" s="31"/>
      <c r="DL417" s="35"/>
      <c r="DM417" s="31"/>
      <c r="DN417" s="31"/>
      <c r="DO417" s="31"/>
      <c r="DP417" s="31"/>
      <c r="DQ417" s="35"/>
      <c r="DR417" s="31"/>
      <c r="DS417" s="31"/>
      <c r="DT417" s="31"/>
      <c r="DU417" s="31"/>
      <c r="DV417" s="35"/>
      <c r="DW417" s="31"/>
      <c r="DX417" s="31"/>
      <c r="DY417" s="31"/>
      <c r="DZ417" s="31"/>
      <c r="EA417" s="35"/>
      <c r="EB417" s="31"/>
      <c r="EC417" s="31"/>
      <c r="ED417" s="31"/>
      <c r="EE417" s="31"/>
      <c r="EF417" s="35"/>
      <c r="EG417" s="31"/>
      <c r="EH417" s="31"/>
      <c r="EI417" s="31"/>
      <c r="EJ417" s="31"/>
      <c r="EK417" s="35"/>
      <c r="EL417" s="31"/>
      <c r="EM417" s="31"/>
      <c r="EN417" s="31"/>
      <c r="EO417" s="31"/>
      <c r="EP417" s="35"/>
      <c r="EQ417" s="31"/>
      <c r="ER417" s="31"/>
      <c r="ES417" s="31"/>
      <c r="ET417" s="31"/>
      <c r="EU417" s="35"/>
      <c r="EV417" s="35"/>
      <c r="EW417" s="35"/>
      <c r="EX417" s="35"/>
      <c r="EY417" s="35"/>
      <c r="EZ417" s="129"/>
    </row>
    <row r="418" spans="1:156" ht="11.25" customHeight="1">
      <c r="A418" s="521"/>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c r="AF418" s="35"/>
      <c r="AG418" s="35"/>
      <c r="AH418" s="35"/>
      <c r="AI418" s="35"/>
      <c r="AJ418" s="35"/>
      <c r="AK418" s="35"/>
      <c r="AL418" s="35"/>
      <c r="AM418" s="35"/>
      <c r="AN418" s="35"/>
      <c r="AO418" s="35"/>
      <c r="AP418" s="35"/>
      <c r="AQ418" s="35"/>
      <c r="AR418" s="35"/>
      <c r="AS418" s="35"/>
      <c r="AT418" s="32"/>
      <c r="AU418" s="35"/>
      <c r="AV418" s="35"/>
      <c r="AW418" s="35"/>
      <c r="AX418" s="35"/>
      <c r="AY418" s="35"/>
      <c r="AZ418" s="35"/>
      <c r="BA418" s="35"/>
      <c r="BB418" s="35"/>
      <c r="BC418" s="35"/>
      <c r="BD418" s="35"/>
      <c r="BE418" s="35"/>
      <c r="BF418" s="35"/>
      <c r="BG418" s="35"/>
      <c r="BH418" s="35"/>
      <c r="BI418" s="35"/>
      <c r="BJ418" s="35"/>
      <c r="BK418" s="35"/>
      <c r="BL418" s="35"/>
      <c r="BM418" s="35"/>
      <c r="BN418" s="35"/>
      <c r="BO418" s="35"/>
      <c r="BP418" s="35"/>
      <c r="BQ418" s="35"/>
      <c r="BR418" s="35"/>
      <c r="BS418" s="35"/>
      <c r="BT418" s="35"/>
      <c r="BU418" s="35"/>
      <c r="BV418" s="35"/>
      <c r="BW418" s="35"/>
      <c r="BX418" s="35"/>
      <c r="BY418" s="35"/>
      <c r="BZ418" s="35"/>
      <c r="CA418" s="35"/>
      <c r="CB418" s="35"/>
      <c r="CC418" s="35"/>
      <c r="CD418" s="35"/>
      <c r="CE418" s="35"/>
      <c r="CF418" s="35"/>
      <c r="CG418" s="35"/>
      <c r="CH418" s="35"/>
      <c r="CI418" s="31"/>
      <c r="CJ418" s="31"/>
      <c r="CK418" s="31"/>
      <c r="CL418" s="31"/>
      <c r="CM418" s="35"/>
      <c r="CN418" s="31"/>
      <c r="CO418" s="31"/>
      <c r="CP418" s="31"/>
      <c r="CQ418" s="31"/>
      <c r="CR418" s="35"/>
      <c r="CS418" s="35"/>
      <c r="CT418" s="35"/>
      <c r="CU418" s="35"/>
      <c r="CV418" s="35"/>
      <c r="CW418" s="35"/>
      <c r="CX418" s="35"/>
      <c r="CY418" s="31"/>
      <c r="CZ418" s="31"/>
      <c r="DA418" s="35"/>
      <c r="DB418" s="35"/>
      <c r="DC418" s="35"/>
      <c r="DD418" s="31"/>
      <c r="DE418" s="31"/>
      <c r="DF418" s="35"/>
      <c r="DG418" s="35"/>
      <c r="DH418" s="31"/>
      <c r="DI418" s="31"/>
      <c r="DJ418" s="31"/>
      <c r="DK418" s="31"/>
      <c r="DL418" s="35"/>
      <c r="DM418" s="31"/>
      <c r="DN418" s="31"/>
      <c r="DO418" s="31"/>
      <c r="DP418" s="31"/>
      <c r="DQ418" s="35"/>
      <c r="DR418" s="31"/>
      <c r="DS418" s="31"/>
      <c r="DT418" s="31"/>
      <c r="DU418" s="31"/>
      <c r="DV418" s="35"/>
      <c r="DW418" s="31"/>
      <c r="DX418" s="31"/>
      <c r="DY418" s="31"/>
      <c r="DZ418" s="31"/>
      <c r="EA418" s="35"/>
      <c r="EB418" s="31"/>
      <c r="EC418" s="31"/>
      <c r="ED418" s="31"/>
      <c r="EE418" s="31"/>
      <c r="EF418" s="35"/>
      <c r="EG418" s="31"/>
      <c r="EH418" s="31"/>
      <c r="EI418" s="31"/>
      <c r="EJ418" s="31"/>
      <c r="EK418" s="35"/>
      <c r="EL418" s="31"/>
      <c r="EM418" s="31"/>
      <c r="EN418" s="31"/>
      <c r="EO418" s="31"/>
      <c r="EP418" s="35"/>
      <c r="EQ418" s="31"/>
      <c r="ER418" s="31"/>
      <c r="ES418" s="31"/>
      <c r="ET418" s="31"/>
      <c r="EU418" s="35"/>
      <c r="EV418" s="35"/>
      <c r="EW418" s="35"/>
      <c r="EX418" s="35"/>
      <c r="EY418" s="35"/>
      <c r="EZ418" s="129"/>
    </row>
    <row r="419" spans="1:156" ht="11.25" customHeight="1">
      <c r="A419" s="521"/>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c r="AF419" s="35"/>
      <c r="AG419" s="35"/>
      <c r="AH419" s="35"/>
      <c r="AI419" s="35"/>
      <c r="AJ419" s="35"/>
      <c r="AK419" s="35"/>
      <c r="AL419" s="35"/>
      <c r="AM419" s="35"/>
      <c r="AN419" s="35"/>
      <c r="AO419" s="35"/>
      <c r="AP419" s="35"/>
      <c r="AQ419" s="35"/>
      <c r="AR419" s="35"/>
      <c r="AS419" s="35"/>
      <c r="AT419" s="32"/>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1"/>
      <c r="CJ419" s="31"/>
      <c r="CK419" s="31"/>
      <c r="CL419" s="31"/>
      <c r="CM419" s="35"/>
      <c r="CN419" s="31"/>
      <c r="CO419" s="31"/>
      <c r="CP419" s="31"/>
      <c r="CQ419" s="31"/>
      <c r="CR419" s="35"/>
      <c r="CS419" s="35"/>
      <c r="CT419" s="35"/>
      <c r="CU419" s="35"/>
      <c r="CV419" s="35"/>
      <c r="CW419" s="35"/>
      <c r="CX419" s="35"/>
      <c r="CY419" s="31"/>
      <c r="CZ419" s="31"/>
      <c r="DA419" s="35"/>
      <c r="DB419" s="35"/>
      <c r="DC419" s="35"/>
      <c r="DD419" s="31"/>
      <c r="DE419" s="31"/>
      <c r="DF419" s="35"/>
      <c r="DG419" s="35"/>
      <c r="DH419" s="31"/>
      <c r="DI419" s="31"/>
      <c r="DJ419" s="31"/>
      <c r="DK419" s="31"/>
      <c r="DL419" s="35"/>
      <c r="DM419" s="31"/>
      <c r="DN419" s="31"/>
      <c r="DO419" s="31"/>
      <c r="DP419" s="31"/>
      <c r="DQ419" s="35"/>
      <c r="DR419" s="31"/>
      <c r="DS419" s="31"/>
      <c r="DT419" s="31"/>
      <c r="DU419" s="31"/>
      <c r="DV419" s="35"/>
      <c r="DW419" s="31"/>
      <c r="DX419" s="31"/>
      <c r="DY419" s="31"/>
      <c r="DZ419" s="31"/>
      <c r="EA419" s="35"/>
      <c r="EB419" s="31"/>
      <c r="EC419" s="31"/>
      <c r="ED419" s="31"/>
      <c r="EE419" s="31"/>
      <c r="EF419" s="35"/>
      <c r="EG419" s="31"/>
      <c r="EH419" s="31"/>
      <c r="EI419" s="31"/>
      <c r="EJ419" s="31"/>
      <c r="EK419" s="35"/>
      <c r="EL419" s="31"/>
      <c r="EM419" s="31"/>
      <c r="EN419" s="31"/>
      <c r="EO419" s="31"/>
      <c r="EP419" s="35"/>
      <c r="EQ419" s="31"/>
      <c r="ER419" s="31"/>
      <c r="ES419" s="31"/>
      <c r="ET419" s="31"/>
      <c r="EU419" s="35"/>
      <c r="EV419" s="35"/>
      <c r="EW419" s="35"/>
      <c r="EX419" s="35"/>
      <c r="EY419" s="35"/>
      <c r="EZ419" s="129"/>
    </row>
    <row r="420" spans="1:156" ht="11.25" customHeight="1">
      <c r="A420" s="521"/>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c r="AF420" s="35"/>
      <c r="AG420" s="35"/>
      <c r="AH420" s="35"/>
      <c r="AI420" s="35"/>
      <c r="AJ420" s="35"/>
      <c r="AK420" s="35"/>
      <c r="AL420" s="35"/>
      <c r="AM420" s="35"/>
      <c r="AN420" s="35"/>
      <c r="AO420" s="35"/>
      <c r="AP420" s="35"/>
      <c r="AQ420" s="35"/>
      <c r="AR420" s="35"/>
      <c r="AS420" s="35"/>
      <c r="AT420" s="32"/>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1"/>
      <c r="CJ420" s="31"/>
      <c r="CK420" s="31"/>
      <c r="CL420" s="31"/>
      <c r="CM420" s="35"/>
      <c r="CN420" s="31"/>
      <c r="CO420" s="31"/>
      <c r="CP420" s="31"/>
      <c r="CQ420" s="31"/>
      <c r="CR420" s="35"/>
      <c r="CS420" s="35"/>
      <c r="CT420" s="35"/>
      <c r="CU420" s="35"/>
      <c r="CV420" s="35"/>
      <c r="CW420" s="35"/>
      <c r="CX420" s="35"/>
      <c r="CY420" s="31"/>
      <c r="CZ420" s="31"/>
      <c r="DA420" s="35"/>
      <c r="DB420" s="35"/>
      <c r="DC420" s="35"/>
      <c r="DD420" s="31"/>
      <c r="DE420" s="31"/>
      <c r="DF420" s="35"/>
      <c r="DG420" s="35"/>
      <c r="DH420" s="31"/>
      <c r="DI420" s="31"/>
      <c r="DJ420" s="31"/>
      <c r="DK420" s="31"/>
      <c r="DL420" s="35"/>
      <c r="DM420" s="31"/>
      <c r="DN420" s="31"/>
      <c r="DO420" s="31"/>
      <c r="DP420" s="31"/>
      <c r="DQ420" s="35"/>
      <c r="DR420" s="31"/>
      <c r="DS420" s="31"/>
      <c r="DT420" s="31"/>
      <c r="DU420" s="31"/>
      <c r="DV420" s="35"/>
      <c r="DW420" s="31"/>
      <c r="DX420" s="31"/>
      <c r="DY420" s="31"/>
      <c r="DZ420" s="31"/>
      <c r="EA420" s="35"/>
      <c r="EB420" s="31"/>
      <c r="EC420" s="31"/>
      <c r="ED420" s="31"/>
      <c r="EE420" s="31"/>
      <c r="EF420" s="35"/>
      <c r="EG420" s="31"/>
      <c r="EH420" s="31"/>
      <c r="EI420" s="31"/>
      <c r="EJ420" s="31"/>
      <c r="EK420" s="35"/>
      <c r="EL420" s="31"/>
      <c r="EM420" s="31"/>
      <c r="EN420" s="31"/>
      <c r="EO420" s="31"/>
      <c r="EP420" s="35"/>
      <c r="EQ420" s="31"/>
      <c r="ER420" s="31"/>
      <c r="ES420" s="31"/>
      <c r="ET420" s="31"/>
      <c r="EU420" s="35"/>
      <c r="EV420" s="35"/>
      <c r="EW420" s="35"/>
      <c r="EX420" s="35"/>
      <c r="EY420" s="35"/>
      <c r="EZ420" s="129"/>
    </row>
    <row r="421" spans="1:156" ht="11.25" customHeight="1">
      <c r="A421" s="521"/>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c r="AF421" s="35"/>
      <c r="AG421" s="35"/>
      <c r="AH421" s="35"/>
      <c r="AI421" s="35"/>
      <c r="AJ421" s="35"/>
      <c r="AK421" s="35"/>
      <c r="AL421" s="35"/>
      <c r="AM421" s="35"/>
      <c r="AN421" s="35"/>
      <c r="AO421" s="35"/>
      <c r="AP421" s="35"/>
      <c r="AQ421" s="35"/>
      <c r="AR421" s="35"/>
      <c r="AS421" s="35"/>
      <c r="AT421" s="32"/>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1"/>
      <c r="CJ421" s="31"/>
      <c r="CK421" s="31"/>
      <c r="CL421" s="31"/>
      <c r="CM421" s="35"/>
      <c r="CN421" s="31"/>
      <c r="CO421" s="31"/>
      <c r="CP421" s="31"/>
      <c r="CQ421" s="31"/>
      <c r="CR421" s="35"/>
      <c r="CS421" s="35"/>
      <c r="CT421" s="35"/>
      <c r="CU421" s="35"/>
      <c r="CV421" s="35"/>
      <c r="CW421" s="35"/>
      <c r="CX421" s="35"/>
      <c r="CY421" s="31"/>
      <c r="CZ421" s="31"/>
      <c r="DA421" s="35"/>
      <c r="DB421" s="35"/>
      <c r="DC421" s="35"/>
      <c r="DD421" s="31"/>
      <c r="DE421" s="31"/>
      <c r="DF421" s="35"/>
      <c r="DG421" s="35"/>
      <c r="DH421" s="31"/>
      <c r="DI421" s="31"/>
      <c r="DJ421" s="31"/>
      <c r="DK421" s="31"/>
      <c r="DL421" s="35"/>
      <c r="DM421" s="31"/>
      <c r="DN421" s="31"/>
      <c r="DO421" s="31"/>
      <c r="DP421" s="31"/>
      <c r="DQ421" s="35"/>
      <c r="DR421" s="31"/>
      <c r="DS421" s="31"/>
      <c r="DT421" s="31"/>
      <c r="DU421" s="31"/>
      <c r="DV421" s="35"/>
      <c r="DW421" s="31"/>
      <c r="DX421" s="31"/>
      <c r="DY421" s="31"/>
      <c r="DZ421" s="31"/>
      <c r="EA421" s="35"/>
      <c r="EB421" s="31"/>
      <c r="EC421" s="31"/>
      <c r="ED421" s="31"/>
      <c r="EE421" s="31"/>
      <c r="EF421" s="35"/>
      <c r="EG421" s="31"/>
      <c r="EH421" s="31"/>
      <c r="EI421" s="31"/>
      <c r="EJ421" s="31"/>
      <c r="EK421" s="35"/>
      <c r="EL421" s="31"/>
      <c r="EM421" s="31"/>
      <c r="EN421" s="31"/>
      <c r="EO421" s="31"/>
      <c r="EP421" s="35"/>
      <c r="EQ421" s="31"/>
      <c r="ER421" s="31"/>
      <c r="ES421" s="31"/>
      <c r="ET421" s="31"/>
      <c r="EU421" s="35"/>
      <c r="EV421" s="35"/>
      <c r="EW421" s="35"/>
      <c r="EX421" s="35"/>
      <c r="EY421" s="35"/>
      <c r="EZ421" s="129"/>
    </row>
    <row r="422" spans="1:156" ht="11.25" customHeight="1">
      <c r="A422" s="521"/>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c r="AF422" s="35"/>
      <c r="AG422" s="35"/>
      <c r="AH422" s="35"/>
      <c r="AI422" s="35"/>
      <c r="AJ422" s="35"/>
      <c r="AK422" s="35"/>
      <c r="AL422" s="35"/>
      <c r="AM422" s="35"/>
      <c r="AN422" s="35"/>
      <c r="AO422" s="35"/>
      <c r="AP422" s="35"/>
      <c r="AQ422" s="35"/>
      <c r="AR422" s="35"/>
      <c r="AS422" s="35"/>
      <c r="AT422" s="32"/>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1"/>
      <c r="CJ422" s="31"/>
      <c r="CK422" s="31"/>
      <c r="CL422" s="31"/>
      <c r="CM422" s="35"/>
      <c r="CN422" s="31"/>
      <c r="CO422" s="31"/>
      <c r="CP422" s="31"/>
      <c r="CQ422" s="31"/>
      <c r="CR422" s="35"/>
      <c r="CS422" s="35"/>
      <c r="CT422" s="35"/>
      <c r="CU422" s="35"/>
      <c r="CV422" s="35"/>
      <c r="CW422" s="35"/>
      <c r="CX422" s="35"/>
      <c r="CY422" s="31"/>
      <c r="CZ422" s="31"/>
      <c r="DA422" s="35"/>
      <c r="DB422" s="35"/>
      <c r="DC422" s="35"/>
      <c r="DD422" s="31"/>
      <c r="DE422" s="31"/>
      <c r="DF422" s="35"/>
      <c r="DG422" s="35"/>
      <c r="DH422" s="31"/>
      <c r="DI422" s="31"/>
      <c r="DJ422" s="31"/>
      <c r="DK422" s="31"/>
      <c r="DL422" s="35"/>
      <c r="DM422" s="31"/>
      <c r="DN422" s="31"/>
      <c r="DO422" s="31"/>
      <c r="DP422" s="31"/>
      <c r="DQ422" s="35"/>
      <c r="DR422" s="31"/>
      <c r="DS422" s="31"/>
      <c r="DT422" s="31"/>
      <c r="DU422" s="31"/>
      <c r="DV422" s="35"/>
      <c r="DW422" s="31"/>
      <c r="DX422" s="31"/>
      <c r="DY422" s="31"/>
      <c r="DZ422" s="31"/>
      <c r="EA422" s="35"/>
      <c r="EB422" s="31"/>
      <c r="EC422" s="31"/>
      <c r="ED422" s="31"/>
      <c r="EE422" s="31"/>
      <c r="EF422" s="35"/>
      <c r="EG422" s="31"/>
      <c r="EH422" s="31"/>
      <c r="EI422" s="31"/>
      <c r="EJ422" s="31"/>
      <c r="EK422" s="35"/>
      <c r="EL422" s="31"/>
      <c r="EM422" s="31"/>
      <c r="EN422" s="31"/>
      <c r="EO422" s="31"/>
      <c r="EP422" s="35"/>
      <c r="EQ422" s="31"/>
      <c r="ER422" s="31"/>
      <c r="ES422" s="31"/>
      <c r="ET422" s="31"/>
      <c r="EU422" s="35"/>
      <c r="EV422" s="35"/>
      <c r="EW422" s="35"/>
      <c r="EX422" s="35"/>
      <c r="EY422" s="35"/>
      <c r="EZ422" s="129"/>
    </row>
    <row r="423" spans="1:156" ht="11.25" customHeight="1">
      <c r="A423" s="521"/>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c r="AF423" s="35"/>
      <c r="AG423" s="35"/>
      <c r="AH423" s="35"/>
      <c r="AI423" s="35"/>
      <c r="AJ423" s="35"/>
      <c r="AK423" s="35"/>
      <c r="AL423" s="35"/>
      <c r="AM423" s="35"/>
      <c r="AN423" s="35"/>
      <c r="AO423" s="35"/>
      <c r="AP423" s="35"/>
      <c r="AQ423" s="35"/>
      <c r="AR423" s="35"/>
      <c r="AS423" s="35"/>
      <c r="AT423" s="32"/>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1"/>
      <c r="CJ423" s="31"/>
      <c r="CK423" s="31"/>
      <c r="CL423" s="31"/>
      <c r="CM423" s="35"/>
      <c r="CN423" s="31"/>
      <c r="CO423" s="31"/>
      <c r="CP423" s="31"/>
      <c r="CQ423" s="31"/>
      <c r="CR423" s="35"/>
      <c r="CS423" s="35"/>
      <c r="CT423" s="35"/>
      <c r="CU423" s="35"/>
      <c r="CV423" s="35"/>
      <c r="CW423" s="35"/>
      <c r="CX423" s="35"/>
      <c r="CY423" s="31"/>
      <c r="CZ423" s="31"/>
      <c r="DA423" s="35"/>
      <c r="DB423" s="35"/>
      <c r="DC423" s="35"/>
      <c r="DD423" s="31"/>
      <c r="DE423" s="31"/>
      <c r="DF423" s="35"/>
      <c r="DG423" s="35"/>
      <c r="DH423" s="31"/>
      <c r="DI423" s="31"/>
      <c r="DJ423" s="31"/>
      <c r="DK423" s="31"/>
      <c r="DL423" s="35"/>
      <c r="DM423" s="31"/>
      <c r="DN423" s="31"/>
      <c r="DO423" s="31"/>
      <c r="DP423" s="31"/>
      <c r="DQ423" s="35"/>
      <c r="DR423" s="31"/>
      <c r="DS423" s="31"/>
      <c r="DT423" s="31"/>
      <c r="DU423" s="31"/>
      <c r="DV423" s="35"/>
      <c r="DW423" s="31"/>
      <c r="DX423" s="31"/>
      <c r="DY423" s="31"/>
      <c r="DZ423" s="31"/>
      <c r="EA423" s="35"/>
      <c r="EB423" s="31"/>
      <c r="EC423" s="31"/>
      <c r="ED423" s="31"/>
      <c r="EE423" s="31"/>
      <c r="EF423" s="35"/>
      <c r="EG423" s="31"/>
      <c r="EH423" s="31"/>
      <c r="EI423" s="31"/>
      <c r="EJ423" s="31"/>
      <c r="EK423" s="35"/>
      <c r="EL423" s="31"/>
      <c r="EM423" s="31"/>
      <c r="EN423" s="31"/>
      <c r="EO423" s="31"/>
      <c r="EP423" s="35"/>
      <c r="EQ423" s="31"/>
      <c r="ER423" s="31"/>
      <c r="ES423" s="31"/>
      <c r="ET423" s="31"/>
      <c r="EU423" s="35"/>
      <c r="EV423" s="35"/>
      <c r="EW423" s="35"/>
      <c r="EX423" s="35"/>
      <c r="EY423" s="35"/>
      <c r="EZ423" s="129"/>
    </row>
    <row r="424" spans="1:156" ht="11.25" customHeight="1">
      <c r="A424" s="521"/>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c r="AF424" s="35"/>
      <c r="AG424" s="35"/>
      <c r="AH424" s="35"/>
      <c r="AI424" s="35"/>
      <c r="AJ424" s="35"/>
      <c r="AK424" s="35"/>
      <c r="AL424" s="35"/>
      <c r="AM424" s="35"/>
      <c r="AN424" s="35"/>
      <c r="AO424" s="35"/>
      <c r="AP424" s="35"/>
      <c r="AQ424" s="35"/>
      <c r="AR424" s="35"/>
      <c r="AS424" s="35"/>
      <c r="AT424" s="32"/>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1"/>
      <c r="CJ424" s="31"/>
      <c r="CK424" s="31"/>
      <c r="CL424" s="31"/>
      <c r="CM424" s="35"/>
      <c r="CN424" s="31"/>
      <c r="CO424" s="31"/>
      <c r="CP424" s="31"/>
      <c r="CQ424" s="31"/>
      <c r="CR424" s="35"/>
      <c r="CS424" s="35"/>
      <c r="CT424" s="35"/>
      <c r="CU424" s="35"/>
      <c r="CV424" s="35"/>
      <c r="CW424" s="35"/>
      <c r="CX424" s="35"/>
      <c r="CY424" s="31"/>
      <c r="CZ424" s="31"/>
      <c r="DA424" s="35"/>
      <c r="DB424" s="35"/>
      <c r="DC424" s="35"/>
      <c r="DD424" s="31"/>
      <c r="DE424" s="31"/>
      <c r="DF424" s="35"/>
      <c r="DG424" s="35"/>
      <c r="DH424" s="31"/>
      <c r="DI424" s="31"/>
      <c r="DJ424" s="31"/>
      <c r="DK424" s="31"/>
      <c r="DL424" s="35"/>
      <c r="DM424" s="31"/>
      <c r="DN424" s="31"/>
      <c r="DO424" s="31"/>
      <c r="DP424" s="31"/>
      <c r="DQ424" s="35"/>
      <c r="DR424" s="31"/>
      <c r="DS424" s="31"/>
      <c r="DT424" s="31"/>
      <c r="DU424" s="31"/>
      <c r="DV424" s="35"/>
      <c r="DW424" s="31"/>
      <c r="DX424" s="31"/>
      <c r="DY424" s="31"/>
      <c r="DZ424" s="31"/>
      <c r="EA424" s="35"/>
      <c r="EB424" s="31"/>
      <c r="EC424" s="31"/>
      <c r="ED424" s="31"/>
      <c r="EE424" s="31"/>
      <c r="EF424" s="35"/>
      <c r="EG424" s="31"/>
      <c r="EH424" s="31"/>
      <c r="EI424" s="31"/>
      <c r="EJ424" s="31"/>
      <c r="EK424" s="35"/>
      <c r="EL424" s="31"/>
      <c r="EM424" s="31"/>
      <c r="EN424" s="31"/>
      <c r="EO424" s="31"/>
      <c r="EP424" s="35"/>
      <c r="EQ424" s="31"/>
      <c r="ER424" s="31"/>
      <c r="ES424" s="31"/>
      <c r="ET424" s="31"/>
      <c r="EU424" s="35"/>
      <c r="EV424" s="35"/>
      <c r="EW424" s="35"/>
      <c r="EX424" s="35"/>
      <c r="EY424" s="35"/>
      <c r="EZ424" s="129"/>
    </row>
    <row r="425" spans="1:156" ht="11.25" customHeight="1">
      <c r="A425" s="521"/>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c r="AF425" s="35"/>
      <c r="AG425" s="35"/>
      <c r="AH425" s="35"/>
      <c r="AI425" s="35"/>
      <c r="AJ425" s="35"/>
      <c r="AK425" s="35"/>
      <c r="AL425" s="35"/>
      <c r="AM425" s="35"/>
      <c r="AN425" s="35"/>
      <c r="AO425" s="35"/>
      <c r="AP425" s="35"/>
      <c r="AQ425" s="35"/>
      <c r="AR425" s="35"/>
      <c r="AS425" s="35"/>
      <c r="AT425" s="32"/>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1"/>
      <c r="CJ425" s="31"/>
      <c r="CK425" s="31"/>
      <c r="CL425" s="31"/>
      <c r="CM425" s="35"/>
      <c r="CN425" s="31"/>
      <c r="CO425" s="31"/>
      <c r="CP425" s="31"/>
      <c r="CQ425" s="31"/>
      <c r="CR425" s="35"/>
      <c r="CS425" s="35"/>
      <c r="CT425" s="35"/>
      <c r="CU425" s="35"/>
      <c r="CV425" s="35"/>
      <c r="CW425" s="35"/>
      <c r="CX425" s="35"/>
      <c r="CY425" s="31"/>
      <c r="CZ425" s="31"/>
      <c r="DA425" s="35"/>
      <c r="DB425" s="35"/>
      <c r="DC425" s="35"/>
      <c r="DD425" s="31"/>
      <c r="DE425" s="31"/>
      <c r="DF425" s="35"/>
      <c r="DG425" s="35"/>
      <c r="DH425" s="31"/>
      <c r="DI425" s="31"/>
      <c r="DJ425" s="31"/>
      <c r="DK425" s="31"/>
      <c r="DL425" s="35"/>
      <c r="DM425" s="31"/>
      <c r="DN425" s="31"/>
      <c r="DO425" s="31"/>
      <c r="DP425" s="31"/>
      <c r="DQ425" s="35"/>
      <c r="DR425" s="31"/>
      <c r="DS425" s="31"/>
      <c r="DT425" s="31"/>
      <c r="DU425" s="31"/>
      <c r="DV425" s="35"/>
      <c r="DW425" s="31"/>
      <c r="DX425" s="31"/>
      <c r="DY425" s="31"/>
      <c r="DZ425" s="31"/>
      <c r="EA425" s="35"/>
      <c r="EB425" s="31"/>
      <c r="EC425" s="31"/>
      <c r="ED425" s="31"/>
      <c r="EE425" s="31"/>
      <c r="EF425" s="35"/>
      <c r="EG425" s="31"/>
      <c r="EH425" s="31"/>
      <c r="EI425" s="31"/>
      <c r="EJ425" s="31"/>
      <c r="EK425" s="35"/>
      <c r="EL425" s="31"/>
      <c r="EM425" s="31"/>
      <c r="EN425" s="31"/>
      <c r="EO425" s="31"/>
      <c r="EP425" s="35"/>
      <c r="EQ425" s="31"/>
      <c r="ER425" s="31"/>
      <c r="ES425" s="31"/>
      <c r="ET425" s="31"/>
      <c r="EU425" s="35"/>
      <c r="EV425" s="35"/>
      <c r="EW425" s="35"/>
      <c r="EX425" s="35"/>
      <c r="EY425" s="35"/>
      <c r="EZ425" s="129"/>
    </row>
    <row r="426" spans="1:156" ht="11.25" customHeight="1">
      <c r="A426" s="521"/>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c r="AF426" s="35"/>
      <c r="AG426" s="35"/>
      <c r="AH426" s="35"/>
      <c r="AI426" s="35"/>
      <c r="AJ426" s="35"/>
      <c r="AK426" s="35"/>
      <c r="AL426" s="35"/>
      <c r="AM426" s="35"/>
      <c r="AN426" s="35"/>
      <c r="AO426" s="35"/>
      <c r="AP426" s="35"/>
      <c r="AQ426" s="35"/>
      <c r="AR426" s="35"/>
      <c r="AS426" s="35"/>
      <c r="AT426" s="32"/>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1"/>
      <c r="CJ426" s="31"/>
      <c r="CK426" s="31"/>
      <c r="CL426" s="31"/>
      <c r="CM426" s="35"/>
      <c r="CN426" s="31"/>
      <c r="CO426" s="31"/>
      <c r="CP426" s="31"/>
      <c r="CQ426" s="31"/>
      <c r="CR426" s="35"/>
      <c r="CS426" s="35"/>
      <c r="CT426" s="35"/>
      <c r="CU426" s="35"/>
      <c r="CV426" s="35"/>
      <c r="CW426" s="35"/>
      <c r="CX426" s="35"/>
      <c r="CY426" s="31"/>
      <c r="CZ426" s="31"/>
      <c r="DA426" s="35"/>
      <c r="DB426" s="35"/>
      <c r="DC426" s="35"/>
      <c r="DD426" s="31"/>
      <c r="DE426" s="31"/>
      <c r="DF426" s="35"/>
      <c r="DG426" s="35"/>
      <c r="DH426" s="31"/>
      <c r="DI426" s="31"/>
      <c r="DJ426" s="31"/>
      <c r="DK426" s="31"/>
      <c r="DL426" s="35"/>
      <c r="DM426" s="31"/>
      <c r="DN426" s="31"/>
      <c r="DO426" s="31"/>
      <c r="DP426" s="31"/>
      <c r="DQ426" s="35"/>
      <c r="DR426" s="31"/>
      <c r="DS426" s="31"/>
      <c r="DT426" s="31"/>
      <c r="DU426" s="31"/>
      <c r="DV426" s="35"/>
      <c r="DW426" s="31"/>
      <c r="DX426" s="31"/>
      <c r="DY426" s="31"/>
      <c r="DZ426" s="31"/>
      <c r="EA426" s="35"/>
      <c r="EB426" s="31"/>
      <c r="EC426" s="31"/>
      <c r="ED426" s="31"/>
      <c r="EE426" s="31"/>
      <c r="EF426" s="35"/>
      <c r="EG426" s="31"/>
      <c r="EH426" s="31"/>
      <c r="EI426" s="31"/>
      <c r="EJ426" s="31"/>
      <c r="EK426" s="35"/>
      <c r="EL426" s="31"/>
      <c r="EM426" s="31"/>
      <c r="EN426" s="31"/>
      <c r="EO426" s="31"/>
      <c r="EP426" s="35"/>
      <c r="EQ426" s="31"/>
      <c r="ER426" s="31"/>
      <c r="ES426" s="31"/>
      <c r="ET426" s="31"/>
      <c r="EU426" s="35"/>
      <c r="EV426" s="35"/>
      <c r="EW426" s="35"/>
      <c r="EX426" s="35"/>
      <c r="EY426" s="35"/>
      <c r="EZ426" s="129"/>
    </row>
    <row r="427" spans="1:156" ht="11.25" customHeight="1">
      <c r="A427" s="521"/>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c r="AF427" s="35"/>
      <c r="AG427" s="35"/>
      <c r="AH427" s="35"/>
      <c r="AI427" s="35"/>
      <c r="AJ427" s="35"/>
      <c r="AK427" s="35"/>
      <c r="AL427" s="35"/>
      <c r="AM427" s="35"/>
      <c r="AN427" s="35"/>
      <c r="AO427" s="35"/>
      <c r="AP427" s="35"/>
      <c r="AQ427" s="35"/>
      <c r="AR427" s="35"/>
      <c r="AS427" s="35"/>
      <c r="AT427" s="32"/>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1"/>
      <c r="CJ427" s="31"/>
      <c r="CK427" s="31"/>
      <c r="CL427" s="31"/>
      <c r="CM427" s="35"/>
      <c r="CN427" s="31"/>
      <c r="CO427" s="31"/>
      <c r="CP427" s="31"/>
      <c r="CQ427" s="31"/>
      <c r="CR427" s="35"/>
      <c r="CS427" s="35"/>
      <c r="CT427" s="35"/>
      <c r="CU427" s="35"/>
      <c r="CV427" s="35"/>
      <c r="CW427" s="35"/>
      <c r="CX427" s="35"/>
      <c r="CY427" s="31"/>
      <c r="CZ427" s="31"/>
      <c r="DA427" s="35"/>
      <c r="DB427" s="35"/>
      <c r="DC427" s="35"/>
      <c r="DD427" s="31"/>
      <c r="DE427" s="31"/>
      <c r="DF427" s="35"/>
      <c r="DG427" s="35"/>
      <c r="DH427" s="31"/>
      <c r="DI427" s="31"/>
      <c r="DJ427" s="31"/>
      <c r="DK427" s="31"/>
      <c r="DL427" s="35"/>
      <c r="DM427" s="31"/>
      <c r="DN427" s="31"/>
      <c r="DO427" s="31"/>
      <c r="DP427" s="31"/>
      <c r="DQ427" s="35"/>
      <c r="DR427" s="31"/>
      <c r="DS427" s="31"/>
      <c r="DT427" s="31"/>
      <c r="DU427" s="31"/>
      <c r="DV427" s="35"/>
      <c r="DW427" s="31"/>
      <c r="DX427" s="31"/>
      <c r="DY427" s="31"/>
      <c r="DZ427" s="31"/>
      <c r="EA427" s="35"/>
      <c r="EB427" s="31"/>
      <c r="EC427" s="31"/>
      <c r="ED427" s="31"/>
      <c r="EE427" s="31"/>
      <c r="EF427" s="35"/>
      <c r="EG427" s="31"/>
      <c r="EH427" s="31"/>
      <c r="EI427" s="31"/>
      <c r="EJ427" s="31"/>
      <c r="EK427" s="35"/>
      <c r="EL427" s="31"/>
      <c r="EM427" s="31"/>
      <c r="EN427" s="31"/>
      <c r="EO427" s="31"/>
      <c r="EP427" s="35"/>
      <c r="EQ427" s="31"/>
      <c r="ER427" s="31"/>
      <c r="ES427" s="31"/>
      <c r="ET427" s="31"/>
      <c r="EU427" s="35"/>
      <c r="EV427" s="35"/>
      <c r="EW427" s="35"/>
      <c r="EX427" s="35"/>
      <c r="EY427" s="35"/>
      <c r="EZ427" s="129"/>
    </row>
    <row r="428" spans="1:156" ht="11.25" customHeight="1">
      <c r="A428" s="521"/>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c r="AF428" s="35"/>
      <c r="AG428" s="35"/>
      <c r="AH428" s="35"/>
      <c r="AI428" s="35"/>
      <c r="AJ428" s="35"/>
      <c r="AK428" s="35"/>
      <c r="AL428" s="35"/>
      <c r="AM428" s="35"/>
      <c r="AN428" s="35"/>
      <c r="AO428" s="35"/>
      <c r="AP428" s="35"/>
      <c r="AQ428" s="35"/>
      <c r="AR428" s="35"/>
      <c r="AS428" s="35"/>
      <c r="AT428" s="32"/>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1"/>
      <c r="CJ428" s="31"/>
      <c r="CK428" s="31"/>
      <c r="CL428" s="31"/>
      <c r="CM428" s="35"/>
      <c r="CN428" s="31"/>
      <c r="CO428" s="31"/>
      <c r="CP428" s="31"/>
      <c r="CQ428" s="31"/>
      <c r="CR428" s="35"/>
      <c r="CS428" s="35"/>
      <c r="CT428" s="35"/>
      <c r="CU428" s="35"/>
      <c r="CV428" s="35"/>
      <c r="CW428" s="35"/>
      <c r="CX428" s="35"/>
      <c r="CY428" s="31"/>
      <c r="CZ428" s="31"/>
      <c r="DA428" s="35"/>
      <c r="DB428" s="35"/>
      <c r="DC428" s="35"/>
      <c r="DD428" s="31"/>
      <c r="DE428" s="31"/>
      <c r="DF428" s="35"/>
      <c r="DG428" s="35"/>
      <c r="DH428" s="31"/>
      <c r="DI428" s="31"/>
      <c r="DJ428" s="31"/>
      <c r="DK428" s="31"/>
      <c r="DL428" s="35"/>
      <c r="DM428" s="31"/>
      <c r="DN428" s="31"/>
      <c r="DO428" s="31"/>
      <c r="DP428" s="31"/>
      <c r="DQ428" s="35"/>
      <c r="DR428" s="31"/>
      <c r="DS428" s="31"/>
      <c r="DT428" s="31"/>
      <c r="DU428" s="31"/>
      <c r="DV428" s="35"/>
      <c r="DW428" s="31"/>
      <c r="DX428" s="31"/>
      <c r="DY428" s="31"/>
      <c r="DZ428" s="31"/>
      <c r="EA428" s="35"/>
      <c r="EB428" s="31"/>
      <c r="EC428" s="31"/>
      <c r="ED428" s="31"/>
      <c r="EE428" s="31"/>
      <c r="EF428" s="35"/>
      <c r="EG428" s="31"/>
      <c r="EH428" s="31"/>
      <c r="EI428" s="31"/>
      <c r="EJ428" s="31"/>
      <c r="EK428" s="35"/>
      <c r="EL428" s="31"/>
      <c r="EM428" s="31"/>
      <c r="EN428" s="31"/>
      <c r="EO428" s="31"/>
      <c r="EP428" s="35"/>
      <c r="EQ428" s="31"/>
      <c r="ER428" s="31"/>
      <c r="ES428" s="31"/>
      <c r="ET428" s="31"/>
      <c r="EU428" s="35"/>
      <c r="EV428" s="35"/>
      <c r="EW428" s="35"/>
      <c r="EX428" s="35"/>
      <c r="EY428" s="35"/>
      <c r="EZ428" s="129"/>
    </row>
    <row r="429" spans="1:156" ht="11.25" customHeight="1">
      <c r="A429" s="521"/>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c r="AF429" s="35"/>
      <c r="AG429" s="35"/>
      <c r="AH429" s="35"/>
      <c r="AI429" s="35"/>
      <c r="AJ429" s="35"/>
      <c r="AK429" s="35"/>
      <c r="AL429" s="35"/>
      <c r="AM429" s="35"/>
      <c r="AN429" s="35"/>
      <c r="AO429" s="35"/>
      <c r="AP429" s="35"/>
      <c r="AQ429" s="35"/>
      <c r="AR429" s="35"/>
      <c r="AS429" s="35"/>
      <c r="AT429" s="32"/>
      <c r="AU429" s="35"/>
      <c r="AV429" s="35"/>
      <c r="AW429" s="35"/>
      <c r="AX429" s="35"/>
      <c r="AY429" s="35"/>
      <c r="AZ429" s="35"/>
      <c r="BA429" s="35"/>
      <c r="BB429" s="35"/>
      <c r="BC429" s="35"/>
      <c r="BD429" s="35"/>
      <c r="BE429" s="35"/>
      <c r="BF429" s="35"/>
      <c r="BG429" s="35"/>
      <c r="BH429" s="35"/>
      <c r="BI429" s="35"/>
      <c r="BJ429" s="35"/>
      <c r="BK429" s="35"/>
      <c r="BL429" s="35"/>
      <c r="BM429" s="35"/>
      <c r="BN429" s="35"/>
      <c r="BO429" s="35"/>
      <c r="BP429" s="35"/>
      <c r="BQ429" s="35"/>
      <c r="BR429" s="35"/>
      <c r="BS429" s="35"/>
      <c r="BT429" s="35"/>
      <c r="BU429" s="35"/>
      <c r="BV429" s="35"/>
      <c r="BW429" s="35"/>
      <c r="BX429" s="35"/>
      <c r="BY429" s="35"/>
      <c r="BZ429" s="35"/>
      <c r="CA429" s="35"/>
      <c r="CB429" s="35"/>
      <c r="CC429" s="35"/>
      <c r="CD429" s="35"/>
      <c r="CE429" s="35"/>
      <c r="CF429" s="35"/>
      <c r="CG429" s="35"/>
      <c r="CH429" s="35"/>
      <c r="CI429" s="31"/>
      <c r="CJ429" s="31"/>
      <c r="CK429" s="31"/>
      <c r="CL429" s="31"/>
      <c r="CM429" s="35"/>
      <c r="CN429" s="31"/>
      <c r="CO429" s="31"/>
      <c r="CP429" s="31"/>
      <c r="CQ429" s="31"/>
      <c r="CR429" s="35"/>
      <c r="CS429" s="35"/>
      <c r="CT429" s="35"/>
      <c r="CU429" s="35"/>
      <c r="CV429" s="35"/>
      <c r="CW429" s="35"/>
      <c r="CX429" s="35"/>
      <c r="CY429" s="31"/>
      <c r="CZ429" s="31"/>
      <c r="DA429" s="35"/>
      <c r="DB429" s="35"/>
      <c r="DC429" s="35"/>
      <c r="DD429" s="31"/>
      <c r="DE429" s="31"/>
      <c r="DF429" s="35"/>
      <c r="DG429" s="35"/>
      <c r="DH429" s="31"/>
      <c r="DI429" s="31"/>
      <c r="DJ429" s="31"/>
      <c r="DK429" s="31"/>
      <c r="DL429" s="35"/>
      <c r="DM429" s="31"/>
      <c r="DN429" s="31"/>
      <c r="DO429" s="31"/>
      <c r="DP429" s="31"/>
      <c r="DQ429" s="35"/>
      <c r="DR429" s="31"/>
      <c r="DS429" s="31"/>
      <c r="DT429" s="31"/>
      <c r="DU429" s="31"/>
      <c r="DV429" s="35"/>
      <c r="DW429" s="31"/>
      <c r="DX429" s="31"/>
      <c r="DY429" s="31"/>
      <c r="DZ429" s="31"/>
      <c r="EA429" s="35"/>
      <c r="EB429" s="31"/>
      <c r="EC429" s="31"/>
      <c r="ED429" s="31"/>
      <c r="EE429" s="31"/>
      <c r="EF429" s="35"/>
      <c r="EG429" s="31"/>
      <c r="EH429" s="31"/>
      <c r="EI429" s="31"/>
      <c r="EJ429" s="31"/>
      <c r="EK429" s="35"/>
      <c r="EL429" s="31"/>
      <c r="EM429" s="31"/>
      <c r="EN429" s="31"/>
      <c r="EO429" s="31"/>
      <c r="EP429" s="35"/>
      <c r="EQ429" s="31"/>
      <c r="ER429" s="31"/>
      <c r="ES429" s="31"/>
      <c r="ET429" s="31"/>
      <c r="EU429" s="35"/>
      <c r="EV429" s="35"/>
      <c r="EW429" s="35"/>
      <c r="EX429" s="35"/>
      <c r="EY429" s="35"/>
      <c r="EZ429" s="129"/>
    </row>
    <row r="430" spans="1:156" ht="11.25" customHeight="1">
      <c r="A430" s="521"/>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c r="AF430" s="35"/>
      <c r="AG430" s="35"/>
      <c r="AH430" s="35"/>
      <c r="AI430" s="35"/>
      <c r="AJ430" s="35"/>
      <c r="AK430" s="35"/>
      <c r="AL430" s="35"/>
      <c r="AM430" s="35"/>
      <c r="AN430" s="35"/>
      <c r="AO430" s="35"/>
      <c r="AP430" s="35"/>
      <c r="AQ430" s="35"/>
      <c r="AR430" s="35"/>
      <c r="AS430" s="35"/>
      <c r="AT430" s="32"/>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1"/>
      <c r="CJ430" s="31"/>
      <c r="CK430" s="31"/>
      <c r="CL430" s="31"/>
      <c r="CM430" s="35"/>
      <c r="CN430" s="31"/>
      <c r="CO430" s="31"/>
      <c r="CP430" s="31"/>
      <c r="CQ430" s="31"/>
      <c r="CR430" s="35"/>
      <c r="CS430" s="35"/>
      <c r="CT430" s="35"/>
      <c r="CU430" s="35"/>
      <c r="CV430" s="35"/>
      <c r="CW430" s="35"/>
      <c r="CX430" s="35"/>
      <c r="CY430" s="31"/>
      <c r="CZ430" s="31"/>
      <c r="DA430" s="35"/>
      <c r="DB430" s="35"/>
      <c r="DC430" s="35"/>
      <c r="DD430" s="31"/>
      <c r="DE430" s="31"/>
      <c r="DF430" s="35"/>
      <c r="DG430" s="35"/>
      <c r="DH430" s="31"/>
      <c r="DI430" s="31"/>
      <c r="DJ430" s="31"/>
      <c r="DK430" s="31"/>
      <c r="DL430" s="35"/>
      <c r="DM430" s="31"/>
      <c r="DN430" s="31"/>
      <c r="DO430" s="31"/>
      <c r="DP430" s="31"/>
      <c r="DQ430" s="35"/>
      <c r="DR430" s="31"/>
      <c r="DS430" s="31"/>
      <c r="DT430" s="31"/>
      <c r="DU430" s="31"/>
      <c r="DV430" s="35"/>
      <c r="DW430" s="31"/>
      <c r="DX430" s="31"/>
      <c r="DY430" s="31"/>
      <c r="DZ430" s="31"/>
      <c r="EA430" s="35"/>
      <c r="EB430" s="31"/>
      <c r="EC430" s="31"/>
      <c r="ED430" s="31"/>
      <c r="EE430" s="31"/>
      <c r="EF430" s="35"/>
      <c r="EG430" s="31"/>
      <c r="EH430" s="31"/>
      <c r="EI430" s="31"/>
      <c r="EJ430" s="31"/>
      <c r="EK430" s="35"/>
      <c r="EL430" s="31"/>
      <c r="EM430" s="31"/>
      <c r="EN430" s="31"/>
      <c r="EO430" s="31"/>
      <c r="EP430" s="35"/>
      <c r="EQ430" s="31"/>
      <c r="ER430" s="31"/>
      <c r="ES430" s="31"/>
      <c r="ET430" s="31"/>
      <c r="EU430" s="35"/>
      <c r="EV430" s="35"/>
      <c r="EW430" s="35"/>
      <c r="EX430" s="35"/>
      <c r="EY430" s="35"/>
      <c r="EZ430" s="129"/>
    </row>
    <row r="431" spans="1:156" ht="11.25" customHeight="1">
      <c r="A431" s="521"/>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c r="AF431" s="35"/>
      <c r="AG431" s="35"/>
      <c r="AH431" s="35"/>
      <c r="AI431" s="35"/>
      <c r="AJ431" s="35"/>
      <c r="AK431" s="35"/>
      <c r="AL431" s="35"/>
      <c r="AM431" s="35"/>
      <c r="AN431" s="35"/>
      <c r="AO431" s="35"/>
      <c r="AP431" s="35"/>
      <c r="AQ431" s="35"/>
      <c r="AR431" s="35"/>
      <c r="AS431" s="35"/>
      <c r="AT431" s="32"/>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1"/>
      <c r="CJ431" s="31"/>
      <c r="CK431" s="31"/>
      <c r="CL431" s="31"/>
      <c r="CM431" s="35"/>
      <c r="CN431" s="31"/>
      <c r="CO431" s="31"/>
      <c r="CP431" s="31"/>
      <c r="CQ431" s="31"/>
      <c r="CR431" s="35"/>
      <c r="CS431" s="35"/>
      <c r="CT431" s="35"/>
      <c r="CU431" s="35"/>
      <c r="CV431" s="35"/>
      <c r="CW431" s="35"/>
      <c r="CX431" s="35"/>
      <c r="CY431" s="31"/>
      <c r="CZ431" s="31"/>
      <c r="DA431" s="35"/>
      <c r="DB431" s="35"/>
      <c r="DC431" s="35"/>
      <c r="DD431" s="31"/>
      <c r="DE431" s="31"/>
      <c r="DF431" s="35"/>
      <c r="DG431" s="35"/>
      <c r="DH431" s="31"/>
      <c r="DI431" s="31"/>
      <c r="DJ431" s="31"/>
      <c r="DK431" s="31"/>
      <c r="DL431" s="35"/>
      <c r="DM431" s="31"/>
      <c r="DN431" s="31"/>
      <c r="DO431" s="31"/>
      <c r="DP431" s="31"/>
      <c r="DQ431" s="35"/>
      <c r="DR431" s="31"/>
      <c r="DS431" s="31"/>
      <c r="DT431" s="31"/>
      <c r="DU431" s="31"/>
      <c r="DV431" s="35"/>
      <c r="DW431" s="31"/>
      <c r="DX431" s="31"/>
      <c r="DY431" s="31"/>
      <c r="DZ431" s="31"/>
      <c r="EA431" s="35"/>
      <c r="EB431" s="31"/>
      <c r="EC431" s="31"/>
      <c r="ED431" s="31"/>
      <c r="EE431" s="31"/>
      <c r="EF431" s="35"/>
      <c r="EG431" s="31"/>
      <c r="EH431" s="31"/>
      <c r="EI431" s="31"/>
      <c r="EJ431" s="31"/>
      <c r="EK431" s="35"/>
      <c r="EL431" s="31"/>
      <c r="EM431" s="31"/>
      <c r="EN431" s="31"/>
      <c r="EO431" s="31"/>
      <c r="EP431" s="35"/>
      <c r="EQ431" s="31"/>
      <c r="ER431" s="31"/>
      <c r="ES431" s="31"/>
      <c r="ET431" s="31"/>
      <c r="EU431" s="35"/>
      <c r="EV431" s="35"/>
      <c r="EW431" s="35"/>
      <c r="EX431" s="35"/>
      <c r="EY431" s="35"/>
      <c r="EZ431" s="129"/>
    </row>
    <row r="432" spans="1:156" ht="11.25" customHeight="1">
      <c r="A432" s="521"/>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c r="AF432" s="35"/>
      <c r="AG432" s="35"/>
      <c r="AH432" s="35"/>
      <c r="AI432" s="35"/>
      <c r="AJ432" s="35"/>
      <c r="AK432" s="35"/>
      <c r="AL432" s="35"/>
      <c r="AM432" s="35"/>
      <c r="AN432" s="35"/>
      <c r="AO432" s="35"/>
      <c r="AP432" s="35"/>
      <c r="AQ432" s="35"/>
      <c r="AR432" s="35"/>
      <c r="AS432" s="35"/>
      <c r="AT432" s="32"/>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1"/>
      <c r="CJ432" s="31"/>
      <c r="CK432" s="31"/>
      <c r="CL432" s="31"/>
      <c r="CM432" s="35"/>
      <c r="CN432" s="31"/>
      <c r="CO432" s="31"/>
      <c r="CP432" s="31"/>
      <c r="CQ432" s="31"/>
      <c r="CR432" s="35"/>
      <c r="CS432" s="35"/>
      <c r="CT432" s="35"/>
      <c r="CU432" s="35"/>
      <c r="CV432" s="35"/>
      <c r="CW432" s="35"/>
      <c r="CX432" s="35"/>
      <c r="CY432" s="31"/>
      <c r="CZ432" s="31"/>
      <c r="DA432" s="35"/>
      <c r="DB432" s="35"/>
      <c r="DC432" s="35"/>
      <c r="DD432" s="31"/>
      <c r="DE432" s="31"/>
      <c r="DF432" s="35"/>
      <c r="DG432" s="35"/>
      <c r="DH432" s="31"/>
      <c r="DI432" s="31"/>
      <c r="DJ432" s="31"/>
      <c r="DK432" s="31"/>
      <c r="DL432" s="35"/>
      <c r="DM432" s="31"/>
      <c r="DN432" s="31"/>
      <c r="DO432" s="31"/>
      <c r="DP432" s="31"/>
      <c r="DQ432" s="35"/>
      <c r="DR432" s="31"/>
      <c r="DS432" s="31"/>
      <c r="DT432" s="31"/>
      <c r="DU432" s="31"/>
      <c r="DV432" s="35"/>
      <c r="DW432" s="31"/>
      <c r="DX432" s="31"/>
      <c r="DY432" s="31"/>
      <c r="DZ432" s="31"/>
      <c r="EA432" s="35"/>
      <c r="EB432" s="31"/>
      <c r="EC432" s="31"/>
      <c r="ED432" s="31"/>
      <c r="EE432" s="31"/>
      <c r="EF432" s="35"/>
      <c r="EG432" s="31"/>
      <c r="EH432" s="31"/>
      <c r="EI432" s="31"/>
      <c r="EJ432" s="31"/>
      <c r="EK432" s="35"/>
      <c r="EL432" s="31"/>
      <c r="EM432" s="31"/>
      <c r="EN432" s="31"/>
      <c r="EO432" s="31"/>
      <c r="EP432" s="35"/>
      <c r="EQ432" s="31"/>
      <c r="ER432" s="31"/>
      <c r="ES432" s="31"/>
      <c r="ET432" s="31"/>
      <c r="EU432" s="35"/>
      <c r="EV432" s="35"/>
      <c r="EW432" s="35"/>
      <c r="EX432" s="35"/>
      <c r="EY432" s="35"/>
      <c r="EZ432" s="129"/>
    </row>
    <row r="433" spans="1:156" ht="11.25" customHeight="1">
      <c r="A433" s="521"/>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c r="AF433" s="35"/>
      <c r="AG433" s="35"/>
      <c r="AH433" s="35"/>
      <c r="AI433" s="35"/>
      <c r="AJ433" s="35"/>
      <c r="AK433" s="35"/>
      <c r="AL433" s="35"/>
      <c r="AM433" s="35"/>
      <c r="AN433" s="35"/>
      <c r="AO433" s="35"/>
      <c r="AP433" s="35"/>
      <c r="AQ433" s="35"/>
      <c r="AR433" s="35"/>
      <c r="AS433" s="35"/>
      <c r="AT433" s="32"/>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1"/>
      <c r="CJ433" s="31"/>
      <c r="CK433" s="31"/>
      <c r="CL433" s="31"/>
      <c r="CM433" s="35"/>
      <c r="CN433" s="31"/>
      <c r="CO433" s="31"/>
      <c r="CP433" s="31"/>
      <c r="CQ433" s="31"/>
      <c r="CR433" s="35"/>
      <c r="CS433" s="35"/>
      <c r="CT433" s="35"/>
      <c r="CU433" s="35"/>
      <c r="CV433" s="35"/>
      <c r="CW433" s="35"/>
      <c r="CX433" s="35"/>
      <c r="CY433" s="31"/>
      <c r="CZ433" s="31"/>
      <c r="DA433" s="35"/>
      <c r="DB433" s="35"/>
      <c r="DC433" s="35"/>
      <c r="DD433" s="31"/>
      <c r="DE433" s="31"/>
      <c r="DF433" s="35"/>
      <c r="DG433" s="35"/>
      <c r="DH433" s="31"/>
      <c r="DI433" s="31"/>
      <c r="DJ433" s="31"/>
      <c r="DK433" s="31"/>
      <c r="DL433" s="35"/>
      <c r="DM433" s="31"/>
      <c r="DN433" s="31"/>
      <c r="DO433" s="31"/>
      <c r="DP433" s="31"/>
      <c r="DQ433" s="35"/>
      <c r="DR433" s="31"/>
      <c r="DS433" s="31"/>
      <c r="DT433" s="31"/>
      <c r="DU433" s="31"/>
      <c r="DV433" s="35"/>
      <c r="DW433" s="31"/>
      <c r="DX433" s="31"/>
      <c r="DY433" s="31"/>
      <c r="DZ433" s="31"/>
      <c r="EA433" s="35"/>
      <c r="EB433" s="31"/>
      <c r="EC433" s="31"/>
      <c r="ED433" s="31"/>
      <c r="EE433" s="31"/>
      <c r="EF433" s="35"/>
      <c r="EG433" s="31"/>
      <c r="EH433" s="31"/>
      <c r="EI433" s="31"/>
      <c r="EJ433" s="31"/>
      <c r="EK433" s="35"/>
      <c r="EL433" s="31"/>
      <c r="EM433" s="31"/>
      <c r="EN433" s="31"/>
      <c r="EO433" s="31"/>
      <c r="EP433" s="35"/>
      <c r="EQ433" s="31"/>
      <c r="ER433" s="31"/>
      <c r="ES433" s="31"/>
      <c r="ET433" s="31"/>
      <c r="EU433" s="35"/>
      <c r="EV433" s="35"/>
      <c r="EW433" s="35"/>
      <c r="EX433" s="35"/>
      <c r="EY433" s="35"/>
      <c r="EZ433" s="129"/>
    </row>
    <row r="434" spans="1:156" ht="11.25" customHeight="1">
      <c r="A434" s="521"/>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c r="AF434" s="35"/>
      <c r="AG434" s="35"/>
      <c r="AH434" s="35"/>
      <c r="AI434" s="35"/>
      <c r="AJ434" s="35"/>
      <c r="AK434" s="35"/>
      <c r="AL434" s="35"/>
      <c r="AM434" s="35"/>
      <c r="AN434" s="35"/>
      <c r="AO434" s="35"/>
      <c r="AP434" s="35"/>
      <c r="AQ434" s="35"/>
      <c r="AR434" s="35"/>
      <c r="AS434" s="35"/>
      <c r="AT434" s="32"/>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1"/>
      <c r="CJ434" s="31"/>
      <c r="CK434" s="31"/>
      <c r="CL434" s="31"/>
      <c r="CM434" s="35"/>
      <c r="CN434" s="31"/>
      <c r="CO434" s="31"/>
      <c r="CP434" s="31"/>
      <c r="CQ434" s="31"/>
      <c r="CR434" s="35"/>
      <c r="CS434" s="35"/>
      <c r="CT434" s="35"/>
      <c r="CU434" s="35"/>
      <c r="CV434" s="35"/>
      <c r="CW434" s="35"/>
      <c r="CX434" s="35"/>
      <c r="CY434" s="31"/>
      <c r="CZ434" s="31"/>
      <c r="DA434" s="35"/>
      <c r="DB434" s="35"/>
      <c r="DC434" s="35"/>
      <c r="DD434" s="31"/>
      <c r="DE434" s="31"/>
      <c r="DF434" s="35"/>
      <c r="DG434" s="35"/>
      <c r="DH434" s="31"/>
      <c r="DI434" s="31"/>
      <c r="DJ434" s="31"/>
      <c r="DK434" s="31"/>
      <c r="DL434" s="35"/>
      <c r="DM434" s="31"/>
      <c r="DN434" s="31"/>
      <c r="DO434" s="31"/>
      <c r="DP434" s="31"/>
      <c r="DQ434" s="35"/>
      <c r="DR434" s="31"/>
      <c r="DS434" s="31"/>
      <c r="DT434" s="31"/>
      <c r="DU434" s="31"/>
      <c r="DV434" s="35"/>
      <c r="DW434" s="31"/>
      <c r="DX434" s="31"/>
      <c r="DY434" s="31"/>
      <c r="DZ434" s="31"/>
      <c r="EA434" s="35"/>
      <c r="EB434" s="31"/>
      <c r="EC434" s="31"/>
      <c r="ED434" s="31"/>
      <c r="EE434" s="31"/>
      <c r="EF434" s="35"/>
      <c r="EG434" s="31"/>
      <c r="EH434" s="31"/>
      <c r="EI434" s="31"/>
      <c r="EJ434" s="31"/>
      <c r="EK434" s="35"/>
      <c r="EL434" s="31"/>
      <c r="EM434" s="31"/>
      <c r="EN434" s="31"/>
      <c r="EO434" s="31"/>
      <c r="EP434" s="35"/>
      <c r="EQ434" s="31"/>
      <c r="ER434" s="31"/>
      <c r="ES434" s="31"/>
      <c r="ET434" s="31"/>
      <c r="EU434" s="35"/>
      <c r="EV434" s="35"/>
      <c r="EW434" s="35"/>
      <c r="EX434" s="35"/>
      <c r="EY434" s="35"/>
      <c r="EZ434" s="129"/>
    </row>
    <row r="435" spans="1:156" ht="11.25" customHeight="1">
      <c r="A435" s="521"/>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c r="AF435" s="35"/>
      <c r="AG435" s="35"/>
      <c r="AH435" s="35"/>
      <c r="AI435" s="35"/>
      <c r="AJ435" s="35"/>
      <c r="AK435" s="35"/>
      <c r="AL435" s="35"/>
      <c r="AM435" s="35"/>
      <c r="AN435" s="35"/>
      <c r="AO435" s="35"/>
      <c r="AP435" s="35"/>
      <c r="AQ435" s="35"/>
      <c r="AR435" s="35"/>
      <c r="AS435" s="35"/>
      <c r="AT435" s="32"/>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1"/>
      <c r="CJ435" s="31"/>
      <c r="CK435" s="31"/>
      <c r="CL435" s="31"/>
      <c r="CM435" s="35"/>
      <c r="CN435" s="31"/>
      <c r="CO435" s="31"/>
      <c r="CP435" s="31"/>
      <c r="CQ435" s="31"/>
      <c r="CR435" s="35"/>
      <c r="CS435" s="35"/>
      <c r="CT435" s="35"/>
      <c r="CU435" s="35"/>
      <c r="CV435" s="35"/>
      <c r="CW435" s="35"/>
      <c r="CX435" s="35"/>
      <c r="CY435" s="31"/>
      <c r="CZ435" s="31"/>
      <c r="DA435" s="35"/>
      <c r="DB435" s="35"/>
      <c r="DC435" s="35"/>
      <c r="DD435" s="31"/>
      <c r="DE435" s="31"/>
      <c r="DF435" s="35"/>
      <c r="DG435" s="35"/>
      <c r="DH435" s="31"/>
      <c r="DI435" s="31"/>
      <c r="DJ435" s="31"/>
      <c r="DK435" s="31"/>
      <c r="DL435" s="35"/>
      <c r="DM435" s="31"/>
      <c r="DN435" s="31"/>
      <c r="DO435" s="31"/>
      <c r="DP435" s="31"/>
      <c r="DQ435" s="35"/>
      <c r="DR435" s="31"/>
      <c r="DS435" s="31"/>
      <c r="DT435" s="31"/>
      <c r="DU435" s="31"/>
      <c r="DV435" s="35"/>
      <c r="DW435" s="31"/>
      <c r="DX435" s="31"/>
      <c r="DY435" s="31"/>
      <c r="DZ435" s="31"/>
      <c r="EA435" s="35"/>
      <c r="EB435" s="31"/>
      <c r="EC435" s="31"/>
      <c r="ED435" s="31"/>
      <c r="EE435" s="31"/>
      <c r="EF435" s="35"/>
      <c r="EG435" s="31"/>
      <c r="EH435" s="31"/>
      <c r="EI435" s="31"/>
      <c r="EJ435" s="31"/>
      <c r="EK435" s="35"/>
      <c r="EL435" s="31"/>
      <c r="EM435" s="31"/>
      <c r="EN435" s="31"/>
      <c r="EO435" s="31"/>
      <c r="EP435" s="35"/>
      <c r="EQ435" s="31"/>
      <c r="ER435" s="31"/>
      <c r="ES435" s="31"/>
      <c r="ET435" s="31"/>
      <c r="EU435" s="35"/>
      <c r="EV435" s="35"/>
      <c r="EW435" s="35"/>
      <c r="EX435" s="35"/>
      <c r="EY435" s="35"/>
      <c r="EZ435" s="129"/>
    </row>
    <row r="436" spans="1:156" ht="11.25" customHeight="1">
      <c r="A436" s="521"/>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c r="AF436" s="35"/>
      <c r="AG436" s="35"/>
      <c r="AH436" s="35"/>
      <c r="AI436" s="35"/>
      <c r="AJ436" s="35"/>
      <c r="AK436" s="35"/>
      <c r="AL436" s="35"/>
      <c r="AM436" s="35"/>
      <c r="AN436" s="35"/>
      <c r="AO436" s="35"/>
      <c r="AP436" s="35"/>
      <c r="AQ436" s="35"/>
      <c r="AR436" s="35"/>
      <c r="AS436" s="35"/>
      <c r="AT436" s="32"/>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1"/>
      <c r="CJ436" s="31"/>
      <c r="CK436" s="31"/>
      <c r="CL436" s="31"/>
      <c r="CM436" s="35"/>
      <c r="CN436" s="31"/>
      <c r="CO436" s="31"/>
      <c r="CP436" s="31"/>
      <c r="CQ436" s="31"/>
      <c r="CR436" s="35"/>
      <c r="CS436" s="35"/>
      <c r="CT436" s="35"/>
      <c r="CU436" s="35"/>
      <c r="CV436" s="35"/>
      <c r="CW436" s="35"/>
      <c r="CX436" s="35"/>
      <c r="CY436" s="31"/>
      <c r="CZ436" s="31"/>
      <c r="DA436" s="35"/>
      <c r="DB436" s="35"/>
      <c r="DC436" s="35"/>
      <c r="DD436" s="31"/>
      <c r="DE436" s="31"/>
      <c r="DF436" s="35"/>
      <c r="DG436" s="35"/>
      <c r="DH436" s="31"/>
      <c r="DI436" s="31"/>
      <c r="DJ436" s="31"/>
      <c r="DK436" s="31"/>
      <c r="DL436" s="35"/>
      <c r="DM436" s="31"/>
      <c r="DN436" s="31"/>
      <c r="DO436" s="31"/>
      <c r="DP436" s="31"/>
      <c r="DQ436" s="35"/>
      <c r="DR436" s="31"/>
      <c r="DS436" s="31"/>
      <c r="DT436" s="31"/>
      <c r="DU436" s="31"/>
      <c r="DV436" s="35"/>
      <c r="DW436" s="31"/>
      <c r="DX436" s="31"/>
      <c r="DY436" s="31"/>
      <c r="DZ436" s="31"/>
      <c r="EA436" s="35"/>
      <c r="EB436" s="31"/>
      <c r="EC436" s="31"/>
      <c r="ED436" s="31"/>
      <c r="EE436" s="31"/>
      <c r="EF436" s="35"/>
      <c r="EG436" s="31"/>
      <c r="EH436" s="31"/>
      <c r="EI436" s="31"/>
      <c r="EJ436" s="31"/>
      <c r="EK436" s="35"/>
      <c r="EL436" s="31"/>
      <c r="EM436" s="31"/>
      <c r="EN436" s="31"/>
      <c r="EO436" s="31"/>
      <c r="EP436" s="35"/>
      <c r="EQ436" s="31"/>
      <c r="ER436" s="31"/>
      <c r="ES436" s="31"/>
      <c r="ET436" s="31"/>
      <c r="EU436" s="35"/>
      <c r="EV436" s="35"/>
      <c r="EW436" s="35"/>
      <c r="EX436" s="35"/>
      <c r="EY436" s="35"/>
      <c r="EZ436" s="129"/>
    </row>
    <row r="437" spans="1:156" ht="11.25" customHeight="1">
      <c r="A437" s="521"/>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c r="AF437" s="35"/>
      <c r="AG437" s="35"/>
      <c r="AH437" s="35"/>
      <c r="AI437" s="35"/>
      <c r="AJ437" s="35"/>
      <c r="AK437" s="35"/>
      <c r="AL437" s="35"/>
      <c r="AM437" s="35"/>
      <c r="AN437" s="35"/>
      <c r="AO437" s="35"/>
      <c r="AP437" s="35"/>
      <c r="AQ437" s="35"/>
      <c r="AR437" s="35"/>
      <c r="AS437" s="35"/>
      <c r="AT437" s="32"/>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1"/>
      <c r="CJ437" s="31"/>
      <c r="CK437" s="31"/>
      <c r="CL437" s="31"/>
      <c r="CM437" s="35"/>
      <c r="CN437" s="31"/>
      <c r="CO437" s="31"/>
      <c r="CP437" s="31"/>
      <c r="CQ437" s="31"/>
      <c r="CR437" s="35"/>
      <c r="CS437" s="35"/>
      <c r="CT437" s="35"/>
      <c r="CU437" s="35"/>
      <c r="CV437" s="35"/>
      <c r="CW437" s="35"/>
      <c r="CX437" s="35"/>
      <c r="CY437" s="31"/>
      <c r="CZ437" s="31"/>
      <c r="DA437" s="35"/>
      <c r="DB437" s="35"/>
      <c r="DC437" s="35"/>
      <c r="DD437" s="31"/>
      <c r="DE437" s="31"/>
      <c r="DF437" s="35"/>
      <c r="DG437" s="35"/>
      <c r="DH437" s="31"/>
      <c r="DI437" s="31"/>
      <c r="DJ437" s="31"/>
      <c r="DK437" s="31"/>
      <c r="DL437" s="35"/>
      <c r="DM437" s="31"/>
      <c r="DN437" s="31"/>
      <c r="DO437" s="31"/>
      <c r="DP437" s="31"/>
      <c r="DQ437" s="35"/>
      <c r="DR437" s="31"/>
      <c r="DS437" s="31"/>
      <c r="DT437" s="31"/>
      <c r="DU437" s="31"/>
      <c r="DV437" s="35"/>
      <c r="DW437" s="31"/>
      <c r="DX437" s="31"/>
      <c r="DY437" s="31"/>
      <c r="DZ437" s="31"/>
      <c r="EA437" s="35"/>
      <c r="EB437" s="31"/>
      <c r="EC437" s="31"/>
      <c r="ED437" s="31"/>
      <c r="EE437" s="31"/>
      <c r="EF437" s="35"/>
      <c r="EG437" s="31"/>
      <c r="EH437" s="31"/>
      <c r="EI437" s="31"/>
      <c r="EJ437" s="31"/>
      <c r="EK437" s="35"/>
      <c r="EL437" s="31"/>
      <c r="EM437" s="31"/>
      <c r="EN437" s="31"/>
      <c r="EO437" s="31"/>
      <c r="EP437" s="35"/>
      <c r="EQ437" s="31"/>
      <c r="ER437" s="31"/>
      <c r="ES437" s="31"/>
      <c r="ET437" s="31"/>
      <c r="EU437" s="35"/>
      <c r="EV437" s="35"/>
      <c r="EW437" s="35"/>
      <c r="EX437" s="35"/>
      <c r="EY437" s="35"/>
      <c r="EZ437" s="129"/>
    </row>
    <row r="438" spans="1:156" ht="11.25" customHeight="1">
      <c r="A438" s="521"/>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c r="AF438" s="35"/>
      <c r="AG438" s="35"/>
      <c r="AH438" s="35"/>
      <c r="AI438" s="35"/>
      <c r="AJ438" s="35"/>
      <c r="AK438" s="35"/>
      <c r="AL438" s="35"/>
      <c r="AM438" s="35"/>
      <c r="AN438" s="35"/>
      <c r="AO438" s="35"/>
      <c r="AP438" s="35"/>
      <c r="AQ438" s="35"/>
      <c r="AR438" s="35"/>
      <c r="AS438" s="35"/>
      <c r="AT438" s="32"/>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1"/>
      <c r="CJ438" s="31"/>
      <c r="CK438" s="31"/>
      <c r="CL438" s="31"/>
      <c r="CM438" s="35"/>
      <c r="CN438" s="31"/>
      <c r="CO438" s="31"/>
      <c r="CP438" s="31"/>
      <c r="CQ438" s="31"/>
      <c r="CR438" s="35"/>
      <c r="CS438" s="35"/>
      <c r="CT438" s="35"/>
      <c r="CU438" s="35"/>
      <c r="CV438" s="35"/>
      <c r="CW438" s="35"/>
      <c r="CX438" s="35"/>
      <c r="CY438" s="31"/>
      <c r="CZ438" s="31"/>
      <c r="DA438" s="35"/>
      <c r="DB438" s="35"/>
      <c r="DC438" s="35"/>
      <c r="DD438" s="31"/>
      <c r="DE438" s="31"/>
      <c r="DF438" s="35"/>
      <c r="DG438" s="35"/>
      <c r="DH438" s="31"/>
      <c r="DI438" s="31"/>
      <c r="DJ438" s="31"/>
      <c r="DK438" s="31"/>
      <c r="DL438" s="35"/>
      <c r="DM438" s="31"/>
      <c r="DN438" s="31"/>
      <c r="DO438" s="31"/>
      <c r="DP438" s="31"/>
      <c r="DQ438" s="35"/>
      <c r="DR438" s="31"/>
      <c r="DS438" s="31"/>
      <c r="DT438" s="31"/>
      <c r="DU438" s="31"/>
      <c r="DV438" s="35"/>
      <c r="DW438" s="31"/>
      <c r="DX438" s="31"/>
      <c r="DY438" s="31"/>
      <c r="DZ438" s="31"/>
      <c r="EA438" s="35"/>
      <c r="EB438" s="31"/>
      <c r="EC438" s="31"/>
      <c r="ED438" s="31"/>
      <c r="EE438" s="31"/>
      <c r="EF438" s="35"/>
      <c r="EG438" s="31"/>
      <c r="EH438" s="31"/>
      <c r="EI438" s="31"/>
      <c r="EJ438" s="31"/>
      <c r="EK438" s="35"/>
      <c r="EL438" s="31"/>
      <c r="EM438" s="31"/>
      <c r="EN438" s="31"/>
      <c r="EO438" s="31"/>
      <c r="EP438" s="35"/>
      <c r="EQ438" s="31"/>
      <c r="ER438" s="31"/>
      <c r="ES438" s="31"/>
      <c r="ET438" s="31"/>
      <c r="EU438" s="35"/>
      <c r="EV438" s="35"/>
      <c r="EW438" s="35"/>
      <c r="EX438" s="35"/>
      <c r="EY438" s="35"/>
      <c r="EZ438" s="129"/>
    </row>
    <row r="439" spans="1:156" ht="11.25" customHeight="1">
      <c r="A439" s="521"/>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c r="AF439" s="35"/>
      <c r="AG439" s="35"/>
      <c r="AH439" s="35"/>
      <c r="AI439" s="35"/>
      <c r="AJ439" s="35"/>
      <c r="AK439" s="35"/>
      <c r="AL439" s="35"/>
      <c r="AM439" s="35"/>
      <c r="AN439" s="35"/>
      <c r="AO439" s="35"/>
      <c r="AP439" s="35"/>
      <c r="AQ439" s="35"/>
      <c r="AR439" s="35"/>
      <c r="AS439" s="35"/>
      <c r="AT439" s="32"/>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1"/>
      <c r="CJ439" s="31"/>
      <c r="CK439" s="31"/>
      <c r="CL439" s="31"/>
      <c r="CM439" s="35"/>
      <c r="CN439" s="31"/>
      <c r="CO439" s="31"/>
      <c r="CP439" s="31"/>
      <c r="CQ439" s="31"/>
      <c r="CR439" s="35"/>
      <c r="CS439" s="35"/>
      <c r="CT439" s="35"/>
      <c r="CU439" s="35"/>
      <c r="CV439" s="35"/>
      <c r="CW439" s="35"/>
      <c r="CX439" s="35"/>
      <c r="CY439" s="31"/>
      <c r="CZ439" s="31"/>
      <c r="DA439" s="35"/>
      <c r="DB439" s="35"/>
      <c r="DC439" s="35"/>
      <c r="DD439" s="31"/>
      <c r="DE439" s="31"/>
      <c r="DF439" s="35"/>
      <c r="DG439" s="35"/>
      <c r="DH439" s="31"/>
      <c r="DI439" s="31"/>
      <c r="DJ439" s="31"/>
      <c r="DK439" s="31"/>
      <c r="DL439" s="35"/>
      <c r="DM439" s="31"/>
      <c r="DN439" s="31"/>
      <c r="DO439" s="31"/>
      <c r="DP439" s="31"/>
      <c r="DQ439" s="35"/>
      <c r="DR439" s="31"/>
      <c r="DS439" s="31"/>
      <c r="DT439" s="31"/>
      <c r="DU439" s="31"/>
      <c r="DV439" s="35"/>
      <c r="DW439" s="31"/>
      <c r="DX439" s="31"/>
      <c r="DY439" s="31"/>
      <c r="DZ439" s="31"/>
      <c r="EA439" s="35"/>
      <c r="EB439" s="31"/>
      <c r="EC439" s="31"/>
      <c r="ED439" s="31"/>
      <c r="EE439" s="31"/>
      <c r="EF439" s="35"/>
      <c r="EG439" s="31"/>
      <c r="EH439" s="31"/>
      <c r="EI439" s="31"/>
      <c r="EJ439" s="31"/>
      <c r="EK439" s="35"/>
      <c r="EL439" s="31"/>
      <c r="EM439" s="31"/>
      <c r="EN439" s="31"/>
      <c r="EO439" s="31"/>
      <c r="EP439" s="35"/>
      <c r="EQ439" s="31"/>
      <c r="ER439" s="31"/>
      <c r="ES439" s="31"/>
      <c r="ET439" s="31"/>
      <c r="EU439" s="35"/>
      <c r="EV439" s="35"/>
      <c r="EW439" s="35"/>
      <c r="EX439" s="35"/>
      <c r="EY439" s="35"/>
      <c r="EZ439" s="129"/>
    </row>
    <row r="440" spans="1:156" ht="11.25" customHeight="1">
      <c r="A440" s="521"/>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c r="AF440" s="35"/>
      <c r="AG440" s="35"/>
      <c r="AH440" s="35"/>
      <c r="AI440" s="35"/>
      <c r="AJ440" s="35"/>
      <c r="AK440" s="35"/>
      <c r="AL440" s="35"/>
      <c r="AM440" s="35"/>
      <c r="AN440" s="35"/>
      <c r="AO440" s="35"/>
      <c r="AP440" s="35"/>
      <c r="AQ440" s="35"/>
      <c r="AR440" s="35"/>
      <c r="AS440" s="35"/>
      <c r="AT440" s="32"/>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5"/>
      <c r="CF440" s="35"/>
      <c r="CG440" s="35"/>
      <c r="CH440" s="35"/>
      <c r="CI440" s="31"/>
      <c r="CJ440" s="31"/>
      <c r="CK440" s="31"/>
      <c r="CL440" s="31"/>
      <c r="CM440" s="35"/>
      <c r="CN440" s="31"/>
      <c r="CO440" s="31"/>
      <c r="CP440" s="31"/>
      <c r="CQ440" s="31"/>
      <c r="CR440" s="35"/>
      <c r="CS440" s="35"/>
      <c r="CT440" s="35"/>
      <c r="CU440" s="35"/>
      <c r="CV440" s="35"/>
      <c r="CW440" s="35"/>
      <c r="CX440" s="35"/>
      <c r="CY440" s="31"/>
      <c r="CZ440" s="31"/>
      <c r="DA440" s="35"/>
      <c r="DB440" s="35"/>
      <c r="DC440" s="35"/>
      <c r="DD440" s="31"/>
      <c r="DE440" s="31"/>
      <c r="DF440" s="35"/>
      <c r="DG440" s="35"/>
      <c r="DH440" s="31"/>
      <c r="DI440" s="31"/>
      <c r="DJ440" s="31"/>
      <c r="DK440" s="31"/>
      <c r="DL440" s="35"/>
      <c r="DM440" s="31"/>
      <c r="DN440" s="31"/>
      <c r="DO440" s="31"/>
      <c r="DP440" s="31"/>
      <c r="DQ440" s="35"/>
      <c r="DR440" s="31"/>
      <c r="DS440" s="31"/>
      <c r="DT440" s="31"/>
      <c r="DU440" s="31"/>
      <c r="DV440" s="35"/>
      <c r="DW440" s="31"/>
      <c r="DX440" s="31"/>
      <c r="DY440" s="31"/>
      <c r="DZ440" s="31"/>
      <c r="EA440" s="35"/>
      <c r="EB440" s="31"/>
      <c r="EC440" s="31"/>
      <c r="ED440" s="31"/>
      <c r="EE440" s="31"/>
      <c r="EF440" s="35"/>
      <c r="EG440" s="31"/>
      <c r="EH440" s="31"/>
      <c r="EI440" s="31"/>
      <c r="EJ440" s="31"/>
      <c r="EK440" s="35"/>
      <c r="EL440" s="31"/>
      <c r="EM440" s="31"/>
      <c r="EN440" s="31"/>
      <c r="EO440" s="31"/>
      <c r="EP440" s="35"/>
      <c r="EQ440" s="31"/>
      <c r="ER440" s="31"/>
      <c r="ES440" s="31"/>
      <c r="ET440" s="31"/>
      <c r="EU440" s="35"/>
      <c r="EV440" s="35"/>
      <c r="EW440" s="35"/>
      <c r="EX440" s="35"/>
      <c r="EY440" s="35"/>
      <c r="EZ440" s="129"/>
    </row>
    <row r="441" spans="1:156" ht="11.25" customHeight="1">
      <c r="A441" s="521"/>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c r="AF441" s="35"/>
      <c r="AG441" s="35"/>
      <c r="AH441" s="35"/>
      <c r="AI441" s="35"/>
      <c r="AJ441" s="35"/>
      <c r="AK441" s="35"/>
      <c r="AL441" s="35"/>
      <c r="AM441" s="35"/>
      <c r="AN441" s="35"/>
      <c r="AO441" s="35"/>
      <c r="AP441" s="35"/>
      <c r="AQ441" s="35"/>
      <c r="AR441" s="35"/>
      <c r="AS441" s="35"/>
      <c r="AT441" s="32"/>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5"/>
      <c r="CF441" s="35"/>
      <c r="CG441" s="35"/>
      <c r="CH441" s="35"/>
      <c r="CI441" s="31"/>
      <c r="CJ441" s="31"/>
      <c r="CK441" s="31"/>
      <c r="CL441" s="31"/>
      <c r="CM441" s="35"/>
      <c r="CN441" s="31"/>
      <c r="CO441" s="31"/>
      <c r="CP441" s="31"/>
      <c r="CQ441" s="31"/>
      <c r="CR441" s="35"/>
      <c r="CS441" s="35"/>
      <c r="CT441" s="35"/>
      <c r="CU441" s="35"/>
      <c r="CV441" s="35"/>
      <c r="CW441" s="35"/>
      <c r="CX441" s="35"/>
      <c r="CY441" s="31"/>
      <c r="CZ441" s="31"/>
      <c r="DA441" s="35"/>
      <c r="DB441" s="35"/>
      <c r="DC441" s="35"/>
      <c r="DD441" s="31"/>
      <c r="DE441" s="31"/>
      <c r="DF441" s="35"/>
      <c r="DG441" s="35"/>
      <c r="DH441" s="31"/>
      <c r="DI441" s="31"/>
      <c r="DJ441" s="31"/>
      <c r="DK441" s="31"/>
      <c r="DL441" s="35"/>
      <c r="DM441" s="31"/>
      <c r="DN441" s="31"/>
      <c r="DO441" s="31"/>
      <c r="DP441" s="31"/>
      <c r="DQ441" s="35"/>
      <c r="DR441" s="31"/>
      <c r="DS441" s="31"/>
      <c r="DT441" s="31"/>
      <c r="DU441" s="31"/>
      <c r="DV441" s="35"/>
      <c r="DW441" s="31"/>
      <c r="DX441" s="31"/>
      <c r="DY441" s="31"/>
      <c r="DZ441" s="31"/>
      <c r="EA441" s="35"/>
      <c r="EB441" s="31"/>
      <c r="EC441" s="31"/>
      <c r="ED441" s="31"/>
      <c r="EE441" s="31"/>
      <c r="EF441" s="35"/>
      <c r="EG441" s="31"/>
      <c r="EH441" s="31"/>
      <c r="EI441" s="31"/>
      <c r="EJ441" s="31"/>
      <c r="EK441" s="35"/>
      <c r="EL441" s="31"/>
      <c r="EM441" s="31"/>
      <c r="EN441" s="31"/>
      <c r="EO441" s="31"/>
      <c r="EP441" s="35"/>
      <c r="EQ441" s="31"/>
      <c r="ER441" s="31"/>
      <c r="ES441" s="31"/>
      <c r="ET441" s="31"/>
      <c r="EU441" s="35"/>
      <c r="EV441" s="35"/>
      <c r="EW441" s="35"/>
      <c r="EX441" s="35"/>
      <c r="EY441" s="35"/>
      <c r="EZ441" s="129"/>
    </row>
    <row r="442" spans="1:156" ht="11.25" customHeight="1">
      <c r="A442" s="521"/>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c r="AF442" s="35"/>
      <c r="AG442" s="35"/>
      <c r="AH442" s="35"/>
      <c r="AI442" s="35"/>
      <c r="AJ442" s="35"/>
      <c r="AK442" s="35"/>
      <c r="AL442" s="35"/>
      <c r="AM442" s="35"/>
      <c r="AN442" s="35"/>
      <c r="AO442" s="35"/>
      <c r="AP442" s="35"/>
      <c r="AQ442" s="35"/>
      <c r="AR442" s="35"/>
      <c r="AS442" s="35"/>
      <c r="AT442" s="32"/>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5"/>
      <c r="CF442" s="35"/>
      <c r="CG442" s="35"/>
      <c r="CH442" s="35"/>
      <c r="CI442" s="31"/>
      <c r="CJ442" s="31"/>
      <c r="CK442" s="31"/>
      <c r="CL442" s="31"/>
      <c r="CM442" s="35"/>
      <c r="CN442" s="35"/>
      <c r="CO442" s="35"/>
      <c r="CP442" s="35"/>
      <c r="CQ442" s="35"/>
      <c r="CR442" s="35"/>
      <c r="CS442" s="35"/>
      <c r="CT442" s="35"/>
      <c r="CU442" s="35"/>
      <c r="CV442" s="35"/>
      <c r="CW442" s="35"/>
      <c r="CX442" s="35"/>
      <c r="CY442" s="31"/>
      <c r="CZ442" s="31"/>
      <c r="DA442" s="35"/>
      <c r="DB442" s="35"/>
      <c r="DC442" s="35"/>
      <c r="DD442" s="31"/>
      <c r="DE442" s="31"/>
      <c r="DF442" s="35"/>
      <c r="DG442" s="35"/>
      <c r="DH442" s="31"/>
      <c r="DI442" s="31"/>
      <c r="DJ442" s="31"/>
      <c r="DK442" s="31"/>
      <c r="DL442" s="35"/>
      <c r="DM442" s="31"/>
      <c r="DN442" s="31"/>
      <c r="DO442" s="31"/>
      <c r="DP442" s="31"/>
      <c r="DQ442" s="35"/>
      <c r="DR442" s="31"/>
      <c r="DS442" s="31"/>
      <c r="DT442" s="31"/>
      <c r="DU442" s="31"/>
      <c r="DV442" s="35"/>
      <c r="DW442" s="31"/>
      <c r="DX442" s="31"/>
      <c r="DY442" s="31"/>
      <c r="DZ442" s="31"/>
      <c r="EA442" s="35"/>
      <c r="EB442" s="31"/>
      <c r="EC442" s="31"/>
      <c r="ED442" s="31"/>
      <c r="EE442" s="31"/>
      <c r="EF442" s="35"/>
      <c r="EG442" s="31"/>
      <c r="EH442" s="31"/>
      <c r="EI442" s="31"/>
      <c r="EJ442" s="31"/>
      <c r="EK442" s="35"/>
      <c r="EL442" s="31"/>
      <c r="EM442" s="31"/>
      <c r="EN442" s="31"/>
      <c r="EO442" s="31"/>
      <c r="EP442" s="35"/>
      <c r="EQ442" s="31"/>
      <c r="ER442" s="31"/>
      <c r="ES442" s="31"/>
      <c r="ET442" s="31"/>
      <c r="EU442" s="35"/>
      <c r="EV442" s="35"/>
      <c r="EW442" s="35"/>
      <c r="EX442" s="35"/>
      <c r="EY442" s="35"/>
      <c r="EZ442" s="129"/>
    </row>
    <row r="443" spans="1:156" ht="11.25" customHeight="1">
      <c r="A443" s="521"/>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c r="AF443" s="35"/>
      <c r="AG443" s="35"/>
      <c r="AH443" s="35"/>
      <c r="AI443" s="35"/>
      <c r="AJ443" s="35"/>
      <c r="AK443" s="35"/>
      <c r="AL443" s="35"/>
      <c r="AM443" s="35"/>
      <c r="AN443" s="35"/>
      <c r="AO443" s="35"/>
      <c r="AP443" s="35"/>
      <c r="AQ443" s="35"/>
      <c r="AR443" s="35"/>
      <c r="AS443" s="35"/>
      <c r="AT443" s="32"/>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5"/>
      <c r="CF443" s="35"/>
      <c r="CG443" s="35"/>
      <c r="CH443" s="35"/>
      <c r="CI443" s="31"/>
      <c r="CJ443" s="31"/>
      <c r="CK443" s="31"/>
      <c r="CL443" s="31"/>
      <c r="CM443" s="35"/>
      <c r="CN443" s="35"/>
      <c r="CO443" s="35"/>
      <c r="CP443" s="35"/>
      <c r="CQ443" s="35"/>
      <c r="CR443" s="35"/>
      <c r="CS443" s="35"/>
      <c r="CT443" s="35"/>
      <c r="CU443" s="35"/>
      <c r="CV443" s="35"/>
      <c r="CW443" s="35"/>
      <c r="CX443" s="35"/>
      <c r="CY443" s="31"/>
      <c r="CZ443" s="31"/>
      <c r="DA443" s="35"/>
      <c r="DB443" s="35"/>
      <c r="DC443" s="35"/>
      <c r="DD443" s="31"/>
      <c r="DE443" s="31"/>
      <c r="DF443" s="35"/>
      <c r="DG443" s="35"/>
      <c r="DH443" s="31"/>
      <c r="DI443" s="31"/>
      <c r="DJ443" s="31"/>
      <c r="DK443" s="31"/>
      <c r="DL443" s="35"/>
      <c r="DM443" s="31"/>
      <c r="DN443" s="31"/>
      <c r="DO443" s="31"/>
      <c r="DP443" s="31"/>
      <c r="DQ443" s="35"/>
      <c r="DR443" s="31"/>
      <c r="DS443" s="31"/>
      <c r="DT443" s="31"/>
      <c r="DU443" s="31"/>
      <c r="DV443" s="35"/>
      <c r="DW443" s="31"/>
      <c r="DX443" s="31"/>
      <c r="DY443" s="31"/>
      <c r="DZ443" s="31"/>
      <c r="EA443" s="35"/>
      <c r="EB443" s="31"/>
      <c r="EC443" s="31"/>
      <c r="ED443" s="31"/>
      <c r="EE443" s="31"/>
      <c r="EF443" s="35"/>
      <c r="EG443" s="31"/>
      <c r="EH443" s="31"/>
      <c r="EI443" s="31"/>
      <c r="EJ443" s="31"/>
      <c r="EK443" s="35"/>
      <c r="EL443" s="31"/>
      <c r="EM443" s="31"/>
      <c r="EN443" s="31"/>
      <c r="EO443" s="31"/>
      <c r="EP443" s="35"/>
      <c r="EQ443" s="31"/>
      <c r="ER443" s="31"/>
      <c r="ES443" s="31"/>
      <c r="ET443" s="31"/>
      <c r="EU443" s="35"/>
      <c r="EV443" s="35"/>
      <c r="EW443" s="35"/>
      <c r="EX443" s="35"/>
      <c r="EY443" s="35"/>
      <c r="EZ443" s="129"/>
    </row>
    <row r="444" spans="1:156" ht="11.25" customHeight="1">
      <c r="A444" s="521"/>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c r="AF444" s="35"/>
      <c r="AG444" s="35"/>
      <c r="AH444" s="35"/>
      <c r="AI444" s="35"/>
      <c r="AJ444" s="35"/>
      <c r="AK444" s="35"/>
      <c r="AL444" s="35"/>
      <c r="AM444" s="35"/>
      <c r="AN444" s="35"/>
      <c r="AO444" s="35"/>
      <c r="AP444" s="35"/>
      <c r="AQ444" s="35"/>
      <c r="AR444" s="35"/>
      <c r="AS444" s="35"/>
      <c r="AT444" s="32"/>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E444" s="35"/>
      <c r="CF444" s="35"/>
      <c r="CG444" s="35"/>
      <c r="CH444" s="35"/>
      <c r="CI444" s="31"/>
      <c r="CJ444" s="31"/>
      <c r="CK444" s="31"/>
      <c r="CL444" s="31"/>
      <c r="CM444" s="35"/>
      <c r="CN444" s="35"/>
      <c r="CO444" s="35"/>
      <c r="CP444" s="35"/>
      <c r="CQ444" s="35"/>
      <c r="CR444" s="35"/>
      <c r="CS444" s="35"/>
      <c r="CT444" s="35"/>
      <c r="CU444" s="35"/>
      <c r="CV444" s="35"/>
      <c r="CW444" s="35"/>
      <c r="CX444" s="35"/>
      <c r="CY444" s="31"/>
      <c r="CZ444" s="31"/>
      <c r="DA444" s="35"/>
      <c r="DB444" s="35"/>
      <c r="DC444" s="35"/>
      <c r="DD444" s="31"/>
      <c r="DE444" s="31"/>
      <c r="DF444" s="35"/>
      <c r="DG444" s="35"/>
      <c r="DH444" s="31"/>
      <c r="DI444" s="31"/>
      <c r="DJ444" s="31"/>
      <c r="DK444" s="31"/>
      <c r="DL444" s="35"/>
      <c r="DM444" s="31"/>
      <c r="DN444" s="31"/>
      <c r="DO444" s="31"/>
      <c r="DP444" s="31"/>
      <c r="DQ444" s="35"/>
      <c r="DR444" s="31"/>
      <c r="DS444" s="31"/>
      <c r="DT444" s="31"/>
      <c r="DU444" s="31"/>
      <c r="DV444" s="35"/>
      <c r="DW444" s="31"/>
      <c r="DX444" s="31"/>
      <c r="DY444" s="31"/>
      <c r="DZ444" s="31"/>
      <c r="EA444" s="35"/>
      <c r="EB444" s="31"/>
      <c r="EC444" s="31"/>
      <c r="ED444" s="31"/>
      <c r="EE444" s="31"/>
      <c r="EF444" s="35"/>
      <c r="EG444" s="31"/>
      <c r="EH444" s="31"/>
      <c r="EI444" s="31"/>
      <c r="EJ444" s="31"/>
      <c r="EK444" s="35"/>
      <c r="EL444" s="31"/>
      <c r="EM444" s="31"/>
      <c r="EN444" s="31"/>
      <c r="EO444" s="31"/>
      <c r="EP444" s="35"/>
      <c r="EQ444" s="31"/>
      <c r="ER444" s="31"/>
      <c r="ES444" s="31"/>
      <c r="ET444" s="31"/>
      <c r="EU444" s="35"/>
      <c r="EV444" s="35"/>
      <c r="EW444" s="35"/>
      <c r="EX444" s="35"/>
      <c r="EY444" s="35"/>
      <c r="EZ444" s="129"/>
    </row>
    <row r="445" spans="1:156" ht="11.25" customHeight="1">
      <c r="A445" s="521"/>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c r="AF445" s="35"/>
      <c r="AG445" s="35"/>
      <c r="AH445" s="35"/>
      <c r="AI445" s="35"/>
      <c r="AJ445" s="35"/>
      <c r="AK445" s="35"/>
      <c r="AL445" s="35"/>
      <c r="AM445" s="35"/>
      <c r="AN445" s="35"/>
      <c r="AO445" s="35"/>
      <c r="AP445" s="35"/>
      <c r="AQ445" s="35"/>
      <c r="AR445" s="35"/>
      <c r="AS445" s="35"/>
      <c r="AT445" s="32"/>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E445" s="35"/>
      <c r="CF445" s="35"/>
      <c r="CG445" s="35"/>
      <c r="CH445" s="35"/>
      <c r="CI445" s="31"/>
      <c r="CJ445" s="31"/>
      <c r="CK445" s="31"/>
      <c r="CL445" s="31"/>
      <c r="CM445" s="35"/>
      <c r="CN445" s="35"/>
      <c r="CO445" s="35"/>
      <c r="CP445" s="35"/>
      <c r="CQ445" s="35"/>
      <c r="CR445" s="35"/>
      <c r="CS445" s="35"/>
      <c r="CT445" s="35"/>
      <c r="CU445" s="35"/>
      <c r="CV445" s="35"/>
      <c r="CW445" s="35"/>
      <c r="CX445" s="35"/>
      <c r="CY445" s="31"/>
      <c r="CZ445" s="31"/>
      <c r="DA445" s="35"/>
      <c r="DB445" s="35"/>
      <c r="DC445" s="35"/>
      <c r="DD445" s="31"/>
      <c r="DE445" s="31"/>
      <c r="DF445" s="35"/>
      <c r="DG445" s="35"/>
      <c r="DH445" s="31"/>
      <c r="DI445" s="31"/>
      <c r="DJ445" s="31"/>
      <c r="DK445" s="31"/>
      <c r="DL445" s="35"/>
      <c r="DM445" s="31"/>
      <c r="DN445" s="31"/>
      <c r="DO445" s="31"/>
      <c r="DP445" s="31"/>
      <c r="DQ445" s="35"/>
      <c r="DR445" s="31"/>
      <c r="DS445" s="31"/>
      <c r="DT445" s="31"/>
      <c r="DU445" s="31"/>
      <c r="DV445" s="35"/>
      <c r="DW445" s="31"/>
      <c r="DX445" s="31"/>
      <c r="DY445" s="31"/>
      <c r="DZ445" s="31"/>
      <c r="EA445" s="35"/>
      <c r="EB445" s="31"/>
      <c r="EC445" s="31"/>
      <c r="ED445" s="31"/>
      <c r="EE445" s="31"/>
      <c r="EF445" s="35"/>
      <c r="EG445" s="31"/>
      <c r="EH445" s="31"/>
      <c r="EI445" s="31"/>
      <c r="EJ445" s="31"/>
      <c r="EK445" s="35"/>
      <c r="EL445" s="31"/>
      <c r="EM445" s="31"/>
      <c r="EN445" s="31"/>
      <c r="EO445" s="31"/>
      <c r="EP445" s="35"/>
      <c r="EQ445" s="31"/>
      <c r="ER445" s="31"/>
      <c r="ES445" s="31"/>
      <c r="ET445" s="31"/>
      <c r="EU445" s="35"/>
      <c r="EV445" s="35"/>
      <c r="EW445" s="35"/>
      <c r="EX445" s="35"/>
      <c r="EY445" s="35"/>
      <c r="EZ445" s="129"/>
    </row>
    <row r="446" spans="1:156" ht="11.25" customHeight="1">
      <c r="A446" s="521"/>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c r="AF446" s="35"/>
      <c r="AG446" s="35"/>
      <c r="AH446" s="35"/>
      <c r="AI446" s="35"/>
      <c r="AJ446" s="35"/>
      <c r="AK446" s="35"/>
      <c r="AL446" s="35"/>
      <c r="AM446" s="35"/>
      <c r="AN446" s="35"/>
      <c r="AO446" s="35"/>
      <c r="AP446" s="35"/>
      <c r="AQ446" s="35"/>
      <c r="AR446" s="35"/>
      <c r="AS446" s="35"/>
      <c r="AT446" s="32"/>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E446" s="35"/>
      <c r="CF446" s="35"/>
      <c r="CG446" s="35"/>
      <c r="CH446" s="35"/>
      <c r="CI446" s="31"/>
      <c r="CJ446" s="31"/>
      <c r="CK446" s="31"/>
      <c r="CL446" s="31"/>
      <c r="CM446" s="35"/>
      <c r="CN446" s="35"/>
      <c r="CO446" s="35"/>
      <c r="CP446" s="35"/>
      <c r="CQ446" s="35"/>
      <c r="CR446" s="35"/>
      <c r="CS446" s="35"/>
      <c r="CT446" s="35"/>
      <c r="CU446" s="35"/>
      <c r="CV446" s="35"/>
      <c r="CW446" s="35"/>
      <c r="CX446" s="35"/>
      <c r="CY446" s="31"/>
      <c r="CZ446" s="31"/>
      <c r="DA446" s="35"/>
      <c r="DB446" s="35"/>
      <c r="DC446" s="35"/>
      <c r="DD446" s="31"/>
      <c r="DE446" s="31"/>
      <c r="DF446" s="35"/>
      <c r="DG446" s="35"/>
      <c r="DH446" s="31"/>
      <c r="DI446" s="31"/>
      <c r="DJ446" s="31"/>
      <c r="DK446" s="31"/>
      <c r="DL446" s="35"/>
      <c r="DM446" s="31"/>
      <c r="DN446" s="31"/>
      <c r="DO446" s="31"/>
      <c r="DP446" s="31"/>
      <c r="DQ446" s="35"/>
      <c r="DR446" s="31"/>
      <c r="DS446" s="31"/>
      <c r="DT446" s="31"/>
      <c r="DU446" s="31"/>
      <c r="DV446" s="35"/>
      <c r="DW446" s="31"/>
      <c r="DX446" s="31"/>
      <c r="DY446" s="31"/>
      <c r="DZ446" s="31"/>
      <c r="EA446" s="35"/>
      <c r="EB446" s="31"/>
      <c r="EC446" s="31"/>
      <c r="ED446" s="31"/>
      <c r="EE446" s="31"/>
      <c r="EF446" s="35"/>
      <c r="EG446" s="31"/>
      <c r="EH446" s="31"/>
      <c r="EI446" s="31"/>
      <c r="EJ446" s="31"/>
      <c r="EK446" s="35"/>
      <c r="EL446" s="31"/>
      <c r="EM446" s="31"/>
      <c r="EN446" s="31"/>
      <c r="EO446" s="31"/>
      <c r="EP446" s="35"/>
      <c r="EQ446" s="31"/>
      <c r="ER446" s="31"/>
      <c r="ES446" s="31"/>
      <c r="ET446" s="31"/>
      <c r="EU446" s="35"/>
      <c r="EV446" s="35"/>
      <c r="EW446" s="35"/>
      <c r="EX446" s="35"/>
      <c r="EY446" s="35"/>
      <c r="EZ446" s="129"/>
    </row>
    <row r="447" spans="1:156" ht="11.25" customHeight="1">
      <c r="A447" s="521"/>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c r="AF447" s="35"/>
      <c r="AG447" s="35"/>
      <c r="AH447" s="35"/>
      <c r="AI447" s="35"/>
      <c r="AJ447" s="35"/>
      <c r="AK447" s="35"/>
      <c r="AL447" s="35"/>
      <c r="AM447" s="35"/>
      <c r="AN447" s="35"/>
      <c r="AO447" s="35"/>
      <c r="AP447" s="35"/>
      <c r="AQ447" s="35"/>
      <c r="AR447" s="35"/>
      <c r="AS447" s="35"/>
      <c r="AT447" s="32"/>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E447" s="35"/>
      <c r="CF447" s="35"/>
      <c r="CG447" s="35"/>
      <c r="CH447" s="35"/>
      <c r="CI447" s="31"/>
      <c r="CJ447" s="31"/>
      <c r="CK447" s="31"/>
      <c r="CL447" s="31"/>
      <c r="CM447" s="35"/>
      <c r="CN447" s="35"/>
      <c r="CO447" s="35"/>
      <c r="CP447" s="35"/>
      <c r="CQ447" s="35"/>
      <c r="CR447" s="35"/>
      <c r="CS447" s="35"/>
      <c r="CT447" s="35"/>
      <c r="CU447" s="35"/>
      <c r="CV447" s="35"/>
      <c r="CW447" s="35"/>
      <c r="CX447" s="35"/>
      <c r="CY447" s="31"/>
      <c r="CZ447" s="31"/>
      <c r="DA447" s="35"/>
      <c r="DB447" s="35"/>
      <c r="DC447" s="35"/>
      <c r="DD447" s="31"/>
      <c r="DE447" s="31"/>
      <c r="DF447" s="35"/>
      <c r="DG447" s="35"/>
      <c r="DH447" s="31"/>
      <c r="DI447" s="31"/>
      <c r="DJ447" s="31"/>
      <c r="DK447" s="31"/>
      <c r="DL447" s="35"/>
      <c r="DM447" s="31"/>
      <c r="DN447" s="31"/>
      <c r="DO447" s="31"/>
      <c r="DP447" s="31"/>
      <c r="DQ447" s="35"/>
      <c r="DR447" s="31"/>
      <c r="DS447" s="31"/>
      <c r="DT447" s="31"/>
      <c r="DU447" s="31"/>
      <c r="DV447" s="35"/>
      <c r="DW447" s="31"/>
      <c r="DX447" s="31"/>
      <c r="DY447" s="31"/>
      <c r="DZ447" s="31"/>
      <c r="EA447" s="35"/>
      <c r="EB447" s="31"/>
      <c r="EC447" s="31"/>
      <c r="ED447" s="31"/>
      <c r="EE447" s="31"/>
      <c r="EF447" s="35"/>
      <c r="EG447" s="31"/>
      <c r="EH447" s="31"/>
      <c r="EI447" s="31"/>
      <c r="EJ447" s="31"/>
      <c r="EK447" s="35"/>
      <c r="EL447" s="31"/>
      <c r="EM447" s="31"/>
      <c r="EN447" s="31"/>
      <c r="EO447" s="31"/>
      <c r="EP447" s="35"/>
      <c r="EQ447" s="31"/>
      <c r="ER447" s="31"/>
      <c r="ES447" s="31"/>
      <c r="ET447" s="31"/>
      <c r="EU447" s="35"/>
      <c r="EV447" s="35"/>
      <c r="EW447" s="35"/>
      <c r="EX447" s="35"/>
      <c r="EY447" s="35"/>
      <c r="EZ447" s="129"/>
    </row>
    <row r="448" spans="1:156" ht="11.25" customHeight="1">
      <c r="A448" s="521"/>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c r="AF448" s="35"/>
      <c r="AG448" s="35"/>
      <c r="AH448" s="35"/>
      <c r="AI448" s="35"/>
      <c r="AJ448" s="35"/>
      <c r="AK448" s="35"/>
      <c r="AL448" s="35"/>
      <c r="AM448" s="35"/>
      <c r="AN448" s="35"/>
      <c r="AO448" s="35"/>
      <c r="AP448" s="35"/>
      <c r="AQ448" s="35"/>
      <c r="AR448" s="35"/>
      <c r="AS448" s="35"/>
      <c r="AT448" s="32"/>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E448" s="35"/>
      <c r="CF448" s="35"/>
      <c r="CG448" s="35"/>
      <c r="CH448" s="35"/>
      <c r="CI448" s="31"/>
      <c r="CJ448" s="31"/>
      <c r="CK448" s="31"/>
      <c r="CL448" s="31"/>
      <c r="CM448" s="35"/>
      <c r="CN448" s="35"/>
      <c r="CO448" s="35"/>
      <c r="CP448" s="35"/>
      <c r="CQ448" s="35"/>
      <c r="CR448" s="35"/>
      <c r="CS448" s="35"/>
      <c r="CT448" s="35"/>
      <c r="CU448" s="35"/>
      <c r="CV448" s="35"/>
      <c r="CW448" s="35"/>
      <c r="CX448" s="35"/>
      <c r="CY448" s="31"/>
      <c r="CZ448" s="31"/>
      <c r="DA448" s="35"/>
      <c r="DB448" s="35"/>
      <c r="DC448" s="35"/>
      <c r="DD448" s="31"/>
      <c r="DE448" s="31"/>
      <c r="DF448" s="35"/>
      <c r="DG448" s="35"/>
      <c r="DH448" s="31"/>
      <c r="DI448" s="31"/>
      <c r="DJ448" s="31"/>
      <c r="DK448" s="31"/>
      <c r="DL448" s="35"/>
      <c r="DM448" s="31"/>
      <c r="DN448" s="31"/>
      <c r="DO448" s="31"/>
      <c r="DP448" s="31"/>
      <c r="DQ448" s="35"/>
      <c r="DR448" s="31"/>
      <c r="DS448" s="31"/>
      <c r="DT448" s="31"/>
      <c r="DU448" s="31"/>
      <c r="DV448" s="35"/>
      <c r="DW448" s="31"/>
      <c r="DX448" s="31"/>
      <c r="DY448" s="31"/>
      <c r="DZ448" s="31"/>
      <c r="EA448" s="35"/>
      <c r="EB448" s="31"/>
      <c r="EC448" s="31"/>
      <c r="ED448" s="31"/>
      <c r="EE448" s="31"/>
      <c r="EF448" s="35"/>
      <c r="EG448" s="31"/>
      <c r="EH448" s="31"/>
      <c r="EI448" s="31"/>
      <c r="EJ448" s="31"/>
      <c r="EK448" s="35"/>
      <c r="EL448" s="31"/>
      <c r="EM448" s="31"/>
      <c r="EN448" s="31"/>
      <c r="EO448" s="31"/>
      <c r="EP448" s="35"/>
      <c r="EQ448" s="31"/>
      <c r="ER448" s="31"/>
      <c r="ES448" s="31"/>
      <c r="ET448" s="31"/>
      <c r="EU448" s="35"/>
      <c r="EV448" s="35"/>
      <c r="EW448" s="35"/>
      <c r="EX448" s="35"/>
      <c r="EY448" s="35"/>
      <c r="EZ448" s="129"/>
    </row>
    <row r="449" spans="1:156" ht="11.25" customHeight="1">
      <c r="A449" s="521"/>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c r="AF449" s="35"/>
      <c r="AG449" s="35"/>
      <c r="AH449" s="35"/>
      <c r="AI449" s="35"/>
      <c r="AJ449" s="35"/>
      <c r="AK449" s="35"/>
      <c r="AL449" s="35"/>
      <c r="AM449" s="35"/>
      <c r="AN449" s="35"/>
      <c r="AO449" s="35"/>
      <c r="AP449" s="35"/>
      <c r="AQ449" s="35"/>
      <c r="AR449" s="35"/>
      <c r="AS449" s="35"/>
      <c r="AT449" s="32"/>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E449" s="35"/>
      <c r="CF449" s="35"/>
      <c r="CG449" s="35"/>
      <c r="CH449" s="35"/>
      <c r="CI449" s="31"/>
      <c r="CJ449" s="31"/>
      <c r="CK449" s="31"/>
      <c r="CL449" s="31"/>
      <c r="CM449" s="35"/>
      <c r="CN449" s="35"/>
      <c r="CO449" s="35"/>
      <c r="CP449" s="35"/>
      <c r="CQ449" s="35"/>
      <c r="CR449" s="35"/>
      <c r="CS449" s="35"/>
      <c r="CT449" s="35"/>
      <c r="CU449" s="35"/>
      <c r="CV449" s="35"/>
      <c r="CW449" s="35"/>
      <c r="CX449" s="35"/>
      <c r="CY449" s="31"/>
      <c r="CZ449" s="31"/>
      <c r="DA449" s="35"/>
      <c r="DB449" s="35"/>
      <c r="DC449" s="35"/>
      <c r="DD449" s="31"/>
      <c r="DE449" s="31"/>
      <c r="DF449" s="35"/>
      <c r="DG449" s="35"/>
      <c r="DH449" s="31"/>
      <c r="DI449" s="31"/>
      <c r="DJ449" s="31"/>
      <c r="DK449" s="31"/>
      <c r="DL449" s="35"/>
      <c r="DM449" s="31"/>
      <c r="DN449" s="31"/>
      <c r="DO449" s="31"/>
      <c r="DP449" s="31"/>
      <c r="DQ449" s="35"/>
      <c r="DR449" s="31"/>
      <c r="DS449" s="31"/>
      <c r="DT449" s="31"/>
      <c r="DU449" s="31"/>
      <c r="DV449" s="35"/>
      <c r="DW449" s="31"/>
      <c r="DX449" s="31"/>
      <c r="DY449" s="31"/>
      <c r="DZ449" s="31"/>
      <c r="EA449" s="35"/>
      <c r="EB449" s="31"/>
      <c r="EC449" s="31"/>
      <c r="ED449" s="31"/>
      <c r="EE449" s="31"/>
      <c r="EF449" s="35"/>
      <c r="EG449" s="31"/>
      <c r="EH449" s="31"/>
      <c r="EI449" s="31"/>
      <c r="EJ449" s="31"/>
      <c r="EK449" s="35"/>
      <c r="EL449" s="31"/>
      <c r="EM449" s="31"/>
      <c r="EN449" s="31"/>
      <c r="EO449" s="31"/>
      <c r="EP449" s="35"/>
      <c r="EQ449" s="31"/>
      <c r="ER449" s="31"/>
      <c r="ES449" s="31"/>
      <c r="ET449" s="31"/>
      <c r="EU449" s="35"/>
      <c r="EV449" s="35"/>
      <c r="EW449" s="35"/>
      <c r="EX449" s="35"/>
      <c r="EY449" s="35"/>
      <c r="EZ449" s="129"/>
    </row>
    <row r="450" spans="1:156" ht="11.25" customHeight="1">
      <c r="A450" s="521"/>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c r="AF450" s="35"/>
      <c r="AG450" s="35"/>
      <c r="AH450" s="35"/>
      <c r="AI450" s="35"/>
      <c r="AJ450" s="35"/>
      <c r="AK450" s="35"/>
      <c r="AL450" s="35"/>
      <c r="AM450" s="35"/>
      <c r="AN450" s="35"/>
      <c r="AO450" s="35"/>
      <c r="AP450" s="35"/>
      <c r="AQ450" s="35"/>
      <c r="AR450" s="35"/>
      <c r="AS450" s="35"/>
      <c r="AT450" s="32"/>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E450" s="35"/>
      <c r="CF450" s="35"/>
      <c r="CG450" s="35"/>
      <c r="CH450" s="35"/>
      <c r="CI450" s="31"/>
      <c r="CJ450" s="31"/>
      <c r="CK450" s="31"/>
      <c r="CL450" s="31"/>
      <c r="CM450" s="35"/>
      <c r="CN450" s="35"/>
      <c r="CO450" s="35"/>
      <c r="CP450" s="35"/>
      <c r="CQ450" s="35"/>
      <c r="CR450" s="35"/>
      <c r="CS450" s="35"/>
      <c r="CT450" s="35"/>
      <c r="CU450" s="35"/>
      <c r="CV450" s="35"/>
      <c r="CW450" s="35"/>
      <c r="CX450" s="35"/>
      <c r="CY450" s="31"/>
      <c r="CZ450" s="31"/>
      <c r="DA450" s="35"/>
      <c r="DB450" s="35"/>
      <c r="DC450" s="35"/>
      <c r="DD450" s="31"/>
      <c r="DE450" s="31"/>
      <c r="DF450" s="35"/>
      <c r="DG450" s="35"/>
      <c r="DH450" s="31"/>
      <c r="DI450" s="31"/>
      <c r="DJ450" s="31"/>
      <c r="DK450" s="31"/>
      <c r="DL450" s="35"/>
      <c r="DM450" s="31"/>
      <c r="DN450" s="31"/>
      <c r="DO450" s="31"/>
      <c r="DP450" s="31"/>
      <c r="DQ450" s="35"/>
      <c r="DR450" s="31"/>
      <c r="DS450" s="31"/>
      <c r="DT450" s="31"/>
      <c r="DU450" s="31"/>
      <c r="DV450" s="35"/>
      <c r="DW450" s="31"/>
      <c r="DX450" s="31"/>
      <c r="DY450" s="31"/>
      <c r="DZ450" s="31"/>
      <c r="EA450" s="35"/>
      <c r="EB450" s="31"/>
      <c r="EC450" s="31"/>
      <c r="ED450" s="31"/>
      <c r="EE450" s="31"/>
      <c r="EF450" s="35"/>
      <c r="EG450" s="31"/>
      <c r="EH450" s="31"/>
      <c r="EI450" s="31"/>
      <c r="EJ450" s="31"/>
      <c r="EK450" s="35"/>
      <c r="EL450" s="31"/>
      <c r="EM450" s="31"/>
      <c r="EN450" s="31"/>
      <c r="EO450" s="31"/>
      <c r="EP450" s="35"/>
      <c r="EQ450" s="31"/>
      <c r="ER450" s="31"/>
      <c r="ES450" s="31"/>
      <c r="ET450" s="31"/>
      <c r="EU450" s="35"/>
      <c r="EV450" s="35"/>
      <c r="EW450" s="35"/>
      <c r="EX450" s="35"/>
      <c r="EY450" s="35"/>
      <c r="EZ450" s="129"/>
    </row>
    <row r="451" spans="1:156" ht="11.25" customHeight="1">
      <c r="A451" s="521"/>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c r="AF451" s="35"/>
      <c r="AG451" s="35"/>
      <c r="AH451" s="35"/>
      <c r="AI451" s="35"/>
      <c r="AJ451" s="35"/>
      <c r="AK451" s="35"/>
      <c r="AL451" s="35"/>
      <c r="AM451" s="35"/>
      <c r="AN451" s="35"/>
      <c r="AO451" s="35"/>
      <c r="AP451" s="35"/>
      <c r="AQ451" s="35"/>
      <c r="AR451" s="35"/>
      <c r="AS451" s="35"/>
      <c r="AT451" s="32"/>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E451" s="35"/>
      <c r="CF451" s="35"/>
      <c r="CG451" s="35"/>
      <c r="CH451" s="35"/>
      <c r="CI451" s="31"/>
      <c r="CJ451" s="31"/>
      <c r="CK451" s="31"/>
      <c r="CL451" s="31"/>
      <c r="CM451" s="35"/>
      <c r="CN451" s="35"/>
      <c r="CO451" s="35"/>
      <c r="CP451" s="35"/>
      <c r="CQ451" s="35"/>
      <c r="CR451" s="35"/>
      <c r="CS451" s="35"/>
      <c r="CT451" s="35"/>
      <c r="CU451" s="35"/>
      <c r="CV451" s="35"/>
      <c r="CW451" s="35"/>
      <c r="CX451" s="35"/>
      <c r="CY451" s="31"/>
      <c r="CZ451" s="31"/>
      <c r="DA451" s="35"/>
      <c r="DB451" s="35"/>
      <c r="DC451" s="35"/>
      <c r="DD451" s="31"/>
      <c r="DE451" s="31"/>
      <c r="DF451" s="35"/>
      <c r="DG451" s="35"/>
      <c r="DH451" s="31"/>
      <c r="DI451" s="31"/>
      <c r="DJ451" s="31"/>
      <c r="DK451" s="31"/>
      <c r="DL451" s="35"/>
      <c r="DM451" s="31"/>
      <c r="DN451" s="31"/>
      <c r="DO451" s="31"/>
      <c r="DP451" s="31"/>
      <c r="DQ451" s="35"/>
      <c r="DR451" s="31"/>
      <c r="DS451" s="31"/>
      <c r="DT451" s="31"/>
      <c r="DU451" s="31"/>
      <c r="DV451" s="35"/>
      <c r="DW451" s="31"/>
      <c r="DX451" s="31"/>
      <c r="DY451" s="31"/>
      <c r="DZ451" s="31"/>
      <c r="EA451" s="35"/>
      <c r="EB451" s="31"/>
      <c r="EC451" s="31"/>
      <c r="ED451" s="31"/>
      <c r="EE451" s="31"/>
      <c r="EF451" s="35"/>
      <c r="EG451" s="31"/>
      <c r="EH451" s="31"/>
      <c r="EI451" s="31"/>
      <c r="EJ451" s="31"/>
      <c r="EK451" s="35"/>
      <c r="EL451" s="31"/>
      <c r="EM451" s="31"/>
      <c r="EN451" s="31"/>
      <c r="EO451" s="31"/>
      <c r="EP451" s="35"/>
      <c r="EQ451" s="31"/>
      <c r="ER451" s="31"/>
      <c r="ES451" s="31"/>
      <c r="ET451" s="31"/>
      <c r="EU451" s="35"/>
      <c r="EV451" s="35"/>
      <c r="EW451" s="35"/>
      <c r="EX451" s="35"/>
      <c r="EY451" s="35"/>
      <c r="EZ451" s="129"/>
    </row>
    <row r="452" spans="1:156" ht="11.25" customHeight="1">
      <c r="A452" s="521"/>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c r="AF452" s="35"/>
      <c r="AG452" s="35"/>
      <c r="AH452" s="35"/>
      <c r="AI452" s="35"/>
      <c r="AJ452" s="35"/>
      <c r="AK452" s="35"/>
      <c r="AL452" s="35"/>
      <c r="AM452" s="35"/>
      <c r="AN452" s="35"/>
      <c r="AO452" s="35"/>
      <c r="AP452" s="35"/>
      <c r="AQ452" s="35"/>
      <c r="AR452" s="35"/>
      <c r="AS452" s="35"/>
      <c r="AT452" s="32"/>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E452" s="35"/>
      <c r="CF452" s="35"/>
      <c r="CG452" s="35"/>
      <c r="CH452" s="35"/>
      <c r="CI452" s="31"/>
      <c r="CJ452" s="31"/>
      <c r="CK452" s="31"/>
      <c r="CL452" s="31"/>
      <c r="CM452" s="35"/>
      <c r="CN452" s="35"/>
      <c r="CO452" s="35"/>
      <c r="CP452" s="35"/>
      <c r="CQ452" s="35"/>
      <c r="CR452" s="35"/>
      <c r="CS452" s="35"/>
      <c r="CT452" s="35"/>
      <c r="CU452" s="35"/>
      <c r="CV452" s="35"/>
      <c r="CW452" s="35"/>
      <c r="CX452" s="35"/>
      <c r="CY452" s="31"/>
      <c r="CZ452" s="31"/>
      <c r="DA452" s="35"/>
      <c r="DB452" s="35"/>
      <c r="DC452" s="35"/>
      <c r="DD452" s="31"/>
      <c r="DE452" s="31"/>
      <c r="DF452" s="35"/>
      <c r="DG452" s="35"/>
      <c r="DH452" s="31"/>
      <c r="DI452" s="31"/>
      <c r="DJ452" s="31"/>
      <c r="DK452" s="31"/>
      <c r="DL452" s="35"/>
      <c r="DM452" s="31"/>
      <c r="DN452" s="31"/>
      <c r="DO452" s="31"/>
      <c r="DP452" s="31"/>
      <c r="DQ452" s="35"/>
      <c r="DR452" s="31"/>
      <c r="DS452" s="31"/>
      <c r="DT452" s="31"/>
      <c r="DU452" s="31"/>
      <c r="DV452" s="35"/>
      <c r="DW452" s="31"/>
      <c r="DX452" s="31"/>
      <c r="DY452" s="31"/>
      <c r="DZ452" s="31"/>
      <c r="EA452" s="35"/>
      <c r="EB452" s="31"/>
      <c r="EC452" s="31"/>
      <c r="ED452" s="31"/>
      <c r="EE452" s="31"/>
      <c r="EF452" s="35"/>
      <c r="EG452" s="31"/>
      <c r="EH452" s="31"/>
      <c r="EI452" s="31"/>
      <c r="EJ452" s="31"/>
      <c r="EK452" s="35"/>
      <c r="EL452" s="31"/>
      <c r="EM452" s="31"/>
      <c r="EN452" s="31"/>
      <c r="EO452" s="31"/>
      <c r="EP452" s="35"/>
      <c r="EQ452" s="31"/>
      <c r="ER452" s="31"/>
      <c r="ES452" s="31"/>
      <c r="ET452" s="31"/>
      <c r="EU452" s="35"/>
      <c r="EV452" s="35"/>
      <c r="EW452" s="35"/>
      <c r="EX452" s="35"/>
      <c r="EY452" s="35"/>
      <c r="EZ452" s="129"/>
    </row>
    <row r="453" spans="1:156" ht="11.25" customHeight="1">
      <c r="A453" s="521"/>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c r="AF453" s="35"/>
      <c r="AG453" s="35"/>
      <c r="AH453" s="35"/>
      <c r="AI453" s="35"/>
      <c r="AJ453" s="35"/>
      <c r="AK453" s="35"/>
      <c r="AL453" s="35"/>
      <c r="AM453" s="35"/>
      <c r="AN453" s="35"/>
      <c r="AO453" s="35"/>
      <c r="AP453" s="35"/>
      <c r="AQ453" s="35"/>
      <c r="AR453" s="35"/>
      <c r="AS453" s="35"/>
      <c r="AT453" s="32"/>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E453" s="35"/>
      <c r="CF453" s="35"/>
      <c r="CG453" s="35"/>
      <c r="CH453" s="35"/>
      <c r="CI453" s="31"/>
      <c r="CJ453" s="31"/>
      <c r="CK453" s="31"/>
      <c r="CL453" s="31"/>
      <c r="CM453" s="35"/>
      <c r="CN453" s="35"/>
      <c r="CO453" s="35"/>
      <c r="CP453" s="35"/>
      <c r="CQ453" s="35"/>
      <c r="CR453" s="35"/>
      <c r="CS453" s="35"/>
      <c r="CT453" s="35"/>
      <c r="CU453" s="35"/>
      <c r="CV453" s="35"/>
      <c r="CW453" s="35"/>
      <c r="CX453" s="35"/>
      <c r="CY453" s="31"/>
      <c r="CZ453" s="31"/>
      <c r="DA453" s="35"/>
      <c r="DB453" s="35"/>
      <c r="DC453" s="35"/>
      <c r="DD453" s="31"/>
      <c r="DE453" s="31"/>
      <c r="DF453" s="35"/>
      <c r="DG453" s="35"/>
      <c r="DH453" s="31"/>
      <c r="DI453" s="31"/>
      <c r="DJ453" s="31"/>
      <c r="DK453" s="31"/>
      <c r="DL453" s="35"/>
      <c r="DM453" s="31"/>
      <c r="DN453" s="31"/>
      <c r="DO453" s="31"/>
      <c r="DP453" s="31"/>
      <c r="DQ453" s="35"/>
      <c r="DR453" s="31"/>
      <c r="DS453" s="31"/>
      <c r="DT453" s="31"/>
      <c r="DU453" s="31"/>
      <c r="DV453" s="35"/>
      <c r="DW453" s="31"/>
      <c r="DX453" s="31"/>
      <c r="DY453" s="31"/>
      <c r="DZ453" s="31"/>
      <c r="EA453" s="35"/>
      <c r="EB453" s="31"/>
      <c r="EC453" s="31"/>
      <c r="ED453" s="31"/>
      <c r="EE453" s="31"/>
      <c r="EF453" s="35"/>
      <c r="EG453" s="31"/>
      <c r="EH453" s="31"/>
      <c r="EI453" s="31"/>
      <c r="EJ453" s="31"/>
      <c r="EK453" s="35"/>
      <c r="EL453" s="31"/>
      <c r="EM453" s="31"/>
      <c r="EN453" s="31"/>
      <c r="EO453" s="31"/>
      <c r="EP453" s="35"/>
      <c r="EQ453" s="31"/>
      <c r="ER453" s="31"/>
      <c r="ES453" s="31"/>
      <c r="ET453" s="31"/>
      <c r="EU453" s="35"/>
      <c r="EV453" s="35"/>
      <c r="EW453" s="35"/>
      <c r="EX453" s="35"/>
      <c r="EY453" s="35"/>
      <c r="EZ453" s="129"/>
    </row>
    <row r="454" spans="1:156" ht="11.25" customHeight="1">
      <c r="A454" s="521"/>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c r="AF454" s="35"/>
      <c r="AG454" s="35"/>
      <c r="AH454" s="35"/>
      <c r="AI454" s="35"/>
      <c r="AJ454" s="35"/>
      <c r="AK454" s="35"/>
      <c r="AL454" s="35"/>
      <c r="AM454" s="35"/>
      <c r="AN454" s="35"/>
      <c r="AO454" s="35"/>
      <c r="AP454" s="35"/>
      <c r="AQ454" s="35"/>
      <c r="AR454" s="35"/>
      <c r="AS454" s="35"/>
      <c r="AT454" s="32"/>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E454" s="35"/>
      <c r="CF454" s="35"/>
      <c r="CG454" s="35"/>
      <c r="CH454" s="35"/>
      <c r="CI454" s="31"/>
      <c r="CJ454" s="31"/>
      <c r="CK454" s="31"/>
      <c r="CL454" s="31"/>
      <c r="CM454" s="35"/>
      <c r="CN454" s="35"/>
      <c r="CO454" s="35"/>
      <c r="CP454" s="35"/>
      <c r="CQ454" s="35"/>
      <c r="CR454" s="35"/>
      <c r="CS454" s="35"/>
      <c r="CT454" s="35"/>
      <c r="CU454" s="35"/>
      <c r="CV454" s="35"/>
      <c r="CW454" s="35"/>
      <c r="CX454" s="35"/>
      <c r="CY454" s="31"/>
      <c r="CZ454" s="31"/>
      <c r="DA454" s="35"/>
      <c r="DB454" s="35"/>
      <c r="DC454" s="35"/>
      <c r="DD454" s="31"/>
      <c r="DE454" s="31"/>
      <c r="DF454" s="35"/>
      <c r="DG454" s="35"/>
      <c r="DH454" s="31"/>
      <c r="DI454" s="31"/>
      <c r="DJ454" s="31"/>
      <c r="DK454" s="31"/>
      <c r="DL454" s="35"/>
      <c r="DM454" s="31"/>
      <c r="DN454" s="31"/>
      <c r="DO454" s="31"/>
      <c r="DP454" s="31"/>
      <c r="DQ454" s="35"/>
      <c r="DR454" s="31"/>
      <c r="DS454" s="31"/>
      <c r="DT454" s="31"/>
      <c r="DU454" s="31"/>
      <c r="DV454" s="35"/>
      <c r="DW454" s="31"/>
      <c r="DX454" s="31"/>
      <c r="DY454" s="31"/>
      <c r="DZ454" s="31"/>
      <c r="EA454" s="35"/>
      <c r="EB454" s="31"/>
      <c r="EC454" s="31"/>
      <c r="ED454" s="31"/>
      <c r="EE454" s="31"/>
      <c r="EF454" s="35"/>
      <c r="EG454" s="31"/>
      <c r="EH454" s="31"/>
      <c r="EI454" s="31"/>
      <c r="EJ454" s="31"/>
      <c r="EK454" s="35"/>
      <c r="EL454" s="31"/>
      <c r="EM454" s="31"/>
      <c r="EN454" s="31"/>
      <c r="EO454" s="31"/>
      <c r="EP454" s="35"/>
      <c r="EQ454" s="31"/>
      <c r="ER454" s="31"/>
      <c r="ES454" s="31"/>
      <c r="ET454" s="31"/>
      <c r="EU454" s="35"/>
      <c r="EV454" s="35"/>
      <c r="EW454" s="35"/>
      <c r="EX454" s="35"/>
      <c r="EY454" s="35"/>
      <c r="EZ454" s="129"/>
    </row>
    <row r="455" spans="1:156" ht="11.25" customHeight="1">
      <c r="A455" s="521"/>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c r="AF455" s="35"/>
      <c r="AG455" s="35"/>
      <c r="AH455" s="35"/>
      <c r="AI455" s="35"/>
      <c r="AJ455" s="35"/>
      <c r="AK455" s="35"/>
      <c r="AL455" s="35"/>
      <c r="AM455" s="35"/>
      <c r="AN455" s="35"/>
      <c r="AO455" s="35"/>
      <c r="AP455" s="35"/>
      <c r="AQ455" s="35"/>
      <c r="AR455" s="35"/>
      <c r="AS455" s="35"/>
      <c r="AT455" s="32"/>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E455" s="35"/>
      <c r="CF455" s="35"/>
      <c r="CG455" s="35"/>
      <c r="CH455" s="35"/>
      <c r="CI455" s="31"/>
      <c r="CJ455" s="31"/>
      <c r="CK455" s="31"/>
      <c r="CL455" s="31"/>
      <c r="CM455" s="35"/>
      <c r="CN455" s="35"/>
      <c r="CO455" s="35"/>
      <c r="CP455" s="35"/>
      <c r="CQ455" s="35"/>
      <c r="CR455" s="35"/>
      <c r="CS455" s="35"/>
      <c r="CT455" s="35"/>
      <c r="CU455" s="35"/>
      <c r="CV455" s="35"/>
      <c r="CW455" s="35"/>
      <c r="CX455" s="35"/>
      <c r="CY455" s="31"/>
      <c r="CZ455" s="31"/>
      <c r="DA455" s="35"/>
      <c r="DB455" s="35"/>
      <c r="DC455" s="35"/>
      <c r="DD455" s="31"/>
      <c r="DE455" s="31"/>
      <c r="DF455" s="35"/>
      <c r="DG455" s="35"/>
      <c r="DH455" s="31"/>
      <c r="DI455" s="31"/>
      <c r="DJ455" s="31"/>
      <c r="DK455" s="31"/>
      <c r="DL455" s="35"/>
      <c r="DM455" s="31"/>
      <c r="DN455" s="31"/>
      <c r="DO455" s="31"/>
      <c r="DP455" s="31"/>
      <c r="DQ455" s="35"/>
      <c r="DR455" s="31"/>
      <c r="DS455" s="31"/>
      <c r="DT455" s="31"/>
      <c r="DU455" s="31"/>
      <c r="DV455" s="35"/>
      <c r="DW455" s="31"/>
      <c r="DX455" s="31"/>
      <c r="DY455" s="31"/>
      <c r="DZ455" s="31"/>
      <c r="EA455" s="35"/>
      <c r="EB455" s="31"/>
      <c r="EC455" s="31"/>
      <c r="ED455" s="31"/>
      <c r="EE455" s="31"/>
      <c r="EF455" s="35"/>
      <c r="EG455" s="31"/>
      <c r="EH455" s="31"/>
      <c r="EI455" s="31"/>
      <c r="EJ455" s="31"/>
      <c r="EK455" s="35"/>
      <c r="EL455" s="31"/>
      <c r="EM455" s="31"/>
      <c r="EN455" s="31"/>
      <c r="EO455" s="31"/>
      <c r="EP455" s="35"/>
      <c r="EQ455" s="31"/>
      <c r="ER455" s="31"/>
      <c r="ES455" s="31"/>
      <c r="ET455" s="31"/>
      <c r="EU455" s="35"/>
      <c r="EV455" s="35"/>
      <c r="EW455" s="35"/>
      <c r="EX455" s="35"/>
      <c r="EY455" s="35"/>
      <c r="EZ455" s="129"/>
    </row>
    <row r="456" spans="1:156" ht="11.25" customHeight="1">
      <c r="A456" s="521"/>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c r="AF456" s="35"/>
      <c r="AG456" s="35"/>
      <c r="AH456" s="35"/>
      <c r="AI456" s="35"/>
      <c r="AJ456" s="35"/>
      <c r="AK456" s="35"/>
      <c r="AL456" s="35"/>
      <c r="AM456" s="35"/>
      <c r="AN456" s="35"/>
      <c r="AO456" s="35"/>
      <c r="AP456" s="35"/>
      <c r="AQ456" s="35"/>
      <c r="AR456" s="35"/>
      <c r="AS456" s="35"/>
      <c r="AT456" s="32"/>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c r="CE456" s="35"/>
      <c r="CF456" s="35"/>
      <c r="CG456" s="35"/>
      <c r="CH456" s="35"/>
      <c r="CI456" s="31"/>
      <c r="CJ456" s="31"/>
      <c r="CK456" s="31"/>
      <c r="CL456" s="31"/>
      <c r="CM456" s="35"/>
      <c r="CN456" s="35"/>
      <c r="CO456" s="35"/>
      <c r="CP456" s="35"/>
      <c r="CQ456" s="35"/>
      <c r="CR456" s="35"/>
      <c r="CS456" s="35"/>
      <c r="CT456" s="35"/>
      <c r="CU456" s="35"/>
      <c r="CV456" s="35"/>
      <c r="CW456" s="35"/>
      <c r="CX456" s="35"/>
      <c r="CY456" s="31"/>
      <c r="CZ456" s="31"/>
      <c r="DA456" s="35"/>
      <c r="DB456" s="35"/>
      <c r="DC456" s="35"/>
      <c r="DD456" s="31"/>
      <c r="DE456" s="31"/>
      <c r="DF456" s="35"/>
      <c r="DG456" s="35"/>
      <c r="DH456" s="31"/>
      <c r="DI456" s="31"/>
      <c r="DJ456" s="31"/>
      <c r="DK456" s="31"/>
      <c r="DL456" s="35"/>
      <c r="DM456" s="31"/>
      <c r="DN456" s="31"/>
      <c r="DO456" s="31"/>
      <c r="DP456" s="31"/>
      <c r="DQ456" s="35"/>
      <c r="DR456" s="31"/>
      <c r="DS456" s="31"/>
      <c r="DT456" s="31"/>
      <c r="DU456" s="31"/>
      <c r="DV456" s="35"/>
      <c r="DW456" s="31"/>
      <c r="DX456" s="31"/>
      <c r="DY456" s="31"/>
      <c r="DZ456" s="31"/>
      <c r="EA456" s="35"/>
      <c r="EB456" s="31"/>
      <c r="EC456" s="31"/>
      <c r="ED456" s="31"/>
      <c r="EE456" s="31"/>
      <c r="EF456" s="35"/>
      <c r="EG456" s="31"/>
      <c r="EH456" s="31"/>
      <c r="EI456" s="31"/>
      <c r="EJ456" s="31"/>
      <c r="EK456" s="35"/>
      <c r="EL456" s="31"/>
      <c r="EM456" s="31"/>
      <c r="EN456" s="31"/>
      <c r="EO456" s="31"/>
      <c r="EP456" s="35"/>
      <c r="EQ456" s="31"/>
      <c r="ER456" s="31"/>
      <c r="ES456" s="31"/>
      <c r="ET456" s="31"/>
      <c r="EU456" s="35"/>
      <c r="EV456" s="35"/>
      <c r="EW456" s="35"/>
      <c r="EX456" s="35"/>
      <c r="EY456" s="35"/>
      <c r="EZ456" s="129"/>
    </row>
    <row r="457" spans="1:156" ht="11.25" customHeight="1">
      <c r="A457" s="521"/>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c r="AF457" s="35"/>
      <c r="AG457" s="35"/>
      <c r="AH457" s="35"/>
      <c r="AI457" s="35"/>
      <c r="AJ457" s="35"/>
      <c r="AK457" s="35"/>
      <c r="AL457" s="35"/>
      <c r="AM457" s="35"/>
      <c r="AN457" s="35"/>
      <c r="AO457" s="35"/>
      <c r="AP457" s="35"/>
      <c r="AQ457" s="35"/>
      <c r="AR457" s="35"/>
      <c r="AS457" s="35"/>
      <c r="AT457" s="32"/>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c r="CE457" s="35"/>
      <c r="CF457" s="35"/>
      <c r="CG457" s="35"/>
      <c r="CH457" s="35"/>
      <c r="CI457" s="31"/>
      <c r="CJ457" s="31"/>
      <c r="CK457" s="31"/>
      <c r="CL457" s="31"/>
      <c r="CM457" s="35"/>
      <c r="CN457" s="35"/>
      <c r="CO457" s="35"/>
      <c r="CP457" s="35"/>
      <c r="CQ457" s="35"/>
      <c r="CR457" s="35"/>
      <c r="CS457" s="35"/>
      <c r="CT457" s="35"/>
      <c r="CU457" s="35"/>
      <c r="CV457" s="35"/>
      <c r="CW457" s="35"/>
      <c r="CX457" s="35"/>
      <c r="CY457" s="31"/>
      <c r="CZ457" s="31"/>
      <c r="DA457" s="35"/>
      <c r="DB457" s="35"/>
      <c r="DC457" s="35"/>
      <c r="DD457" s="31"/>
      <c r="DE457" s="31"/>
      <c r="DF457" s="35"/>
      <c r="DG457" s="35"/>
      <c r="DH457" s="31"/>
      <c r="DI457" s="31"/>
      <c r="DJ457" s="31"/>
      <c r="DK457" s="31"/>
      <c r="DL457" s="35"/>
      <c r="DM457" s="31"/>
      <c r="DN457" s="31"/>
      <c r="DO457" s="31"/>
      <c r="DP457" s="31"/>
      <c r="DQ457" s="35"/>
      <c r="DR457" s="31"/>
      <c r="DS457" s="31"/>
      <c r="DT457" s="31"/>
      <c r="DU457" s="31"/>
      <c r="DV457" s="35"/>
      <c r="DW457" s="31"/>
      <c r="DX457" s="31"/>
      <c r="DY457" s="31"/>
      <c r="DZ457" s="31"/>
      <c r="EA457" s="35"/>
      <c r="EB457" s="31"/>
      <c r="EC457" s="31"/>
      <c r="ED457" s="31"/>
      <c r="EE457" s="31"/>
      <c r="EF457" s="35"/>
      <c r="EG457" s="31"/>
      <c r="EH457" s="31"/>
      <c r="EI457" s="31"/>
      <c r="EJ457" s="31"/>
      <c r="EK457" s="35"/>
      <c r="EL457" s="31"/>
      <c r="EM457" s="31"/>
      <c r="EN457" s="31"/>
      <c r="EO457" s="31"/>
      <c r="EP457" s="35"/>
      <c r="EQ457" s="31"/>
      <c r="ER457" s="31"/>
      <c r="ES457" s="31"/>
      <c r="ET457" s="31"/>
      <c r="EU457" s="35"/>
      <c r="EV457" s="35"/>
      <c r="EW457" s="35"/>
      <c r="EX457" s="35"/>
      <c r="EY457" s="35"/>
      <c r="EZ457" s="129"/>
    </row>
    <row r="458" spans="1:156" ht="11.25" customHeight="1">
      <c r="A458" s="521"/>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c r="AF458" s="35"/>
      <c r="AG458" s="35"/>
      <c r="AH458" s="35"/>
      <c r="AI458" s="35"/>
      <c r="AJ458" s="35"/>
      <c r="AK458" s="35"/>
      <c r="AL458" s="35"/>
      <c r="AM458" s="35"/>
      <c r="AN458" s="35"/>
      <c r="AO458" s="35"/>
      <c r="AP458" s="35"/>
      <c r="AQ458" s="35"/>
      <c r="AR458" s="35"/>
      <c r="AS458" s="35"/>
      <c r="AT458" s="32"/>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35"/>
      <c r="CE458" s="35"/>
      <c r="CF458" s="35"/>
      <c r="CG458" s="35"/>
      <c r="CH458" s="35"/>
      <c r="CI458" s="31"/>
      <c r="CJ458" s="31"/>
      <c r="CK458" s="31"/>
      <c r="CL458" s="31"/>
      <c r="CM458" s="35"/>
      <c r="CN458" s="35"/>
      <c r="CO458" s="35"/>
      <c r="CP458" s="35"/>
      <c r="CQ458" s="35"/>
      <c r="CR458" s="35"/>
      <c r="CS458" s="35"/>
      <c r="CT458" s="35"/>
      <c r="CU458" s="35"/>
      <c r="CV458" s="35"/>
      <c r="CW458" s="35"/>
      <c r="CX458" s="35"/>
      <c r="CY458" s="31"/>
      <c r="CZ458" s="31"/>
      <c r="DA458" s="35"/>
      <c r="DB458" s="35"/>
      <c r="DC458" s="35"/>
      <c r="DD458" s="31"/>
      <c r="DE458" s="31"/>
      <c r="DF458" s="35"/>
      <c r="DG458" s="35"/>
      <c r="DH458" s="31"/>
      <c r="DI458" s="31"/>
      <c r="DJ458" s="31"/>
      <c r="DK458" s="31"/>
      <c r="DL458" s="35"/>
      <c r="DM458" s="31"/>
      <c r="DN458" s="31"/>
      <c r="DO458" s="31"/>
      <c r="DP458" s="31"/>
      <c r="DQ458" s="35"/>
      <c r="DR458" s="31"/>
      <c r="DS458" s="31"/>
      <c r="DT458" s="31"/>
      <c r="DU458" s="31"/>
      <c r="DV458" s="35"/>
      <c r="DW458" s="31"/>
      <c r="DX458" s="31"/>
      <c r="DY458" s="31"/>
      <c r="DZ458" s="31"/>
      <c r="EA458" s="35"/>
      <c r="EB458" s="31"/>
      <c r="EC458" s="31"/>
      <c r="ED458" s="31"/>
      <c r="EE458" s="31"/>
      <c r="EF458" s="35"/>
      <c r="EG458" s="31"/>
      <c r="EH458" s="31"/>
      <c r="EI458" s="31"/>
      <c r="EJ458" s="31"/>
      <c r="EK458" s="35"/>
      <c r="EL458" s="31"/>
      <c r="EM458" s="31"/>
      <c r="EN458" s="31"/>
      <c r="EO458" s="31"/>
      <c r="EP458" s="35"/>
      <c r="EQ458" s="31"/>
      <c r="ER458" s="31"/>
      <c r="ES458" s="31"/>
      <c r="ET458" s="31"/>
      <c r="EU458" s="35"/>
      <c r="EV458" s="35"/>
      <c r="EW458" s="35"/>
      <c r="EX458" s="35"/>
      <c r="EY458" s="35"/>
      <c r="EZ458" s="129"/>
    </row>
    <row r="459" spans="1:156" ht="11.25" customHeight="1">
      <c r="A459" s="521"/>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c r="AF459" s="35"/>
      <c r="AG459" s="35"/>
      <c r="AH459" s="35"/>
      <c r="AI459" s="35"/>
      <c r="AJ459" s="35"/>
      <c r="AK459" s="35"/>
      <c r="AL459" s="35"/>
      <c r="AM459" s="35"/>
      <c r="AN459" s="35"/>
      <c r="AO459" s="35"/>
      <c r="AP459" s="35"/>
      <c r="AQ459" s="35"/>
      <c r="AR459" s="35"/>
      <c r="AS459" s="35"/>
      <c r="AT459" s="32"/>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D459" s="35"/>
      <c r="CE459" s="35"/>
      <c r="CF459" s="35"/>
      <c r="CG459" s="35"/>
      <c r="CH459" s="35"/>
      <c r="CI459" s="31"/>
      <c r="CJ459" s="31"/>
      <c r="CK459" s="31"/>
      <c r="CL459" s="31"/>
      <c r="CM459" s="35"/>
      <c r="CN459" s="35"/>
      <c r="CO459" s="35"/>
      <c r="CP459" s="35"/>
      <c r="CQ459" s="35"/>
      <c r="CR459" s="35"/>
      <c r="CS459" s="35"/>
      <c r="CT459" s="35"/>
      <c r="CU459" s="35"/>
      <c r="CV459" s="35"/>
      <c r="CW459" s="35"/>
      <c r="CX459" s="35"/>
      <c r="CY459" s="31"/>
      <c r="CZ459" s="31"/>
      <c r="DA459" s="35"/>
      <c r="DB459" s="35"/>
      <c r="DC459" s="35"/>
      <c r="DD459" s="31"/>
      <c r="DE459" s="31"/>
      <c r="DF459" s="35"/>
      <c r="DG459" s="35"/>
      <c r="DH459" s="31"/>
      <c r="DI459" s="31"/>
      <c r="DJ459" s="31"/>
      <c r="DK459" s="31"/>
      <c r="DL459" s="35"/>
      <c r="DM459" s="31"/>
      <c r="DN459" s="31"/>
      <c r="DO459" s="31"/>
      <c r="DP459" s="31"/>
      <c r="DQ459" s="35"/>
      <c r="DR459" s="31"/>
      <c r="DS459" s="31"/>
      <c r="DT459" s="31"/>
      <c r="DU459" s="31"/>
      <c r="DV459" s="35"/>
      <c r="DW459" s="31"/>
      <c r="DX459" s="31"/>
      <c r="DY459" s="31"/>
      <c r="DZ459" s="31"/>
      <c r="EA459" s="35"/>
      <c r="EB459" s="31"/>
      <c r="EC459" s="31"/>
      <c r="ED459" s="31"/>
      <c r="EE459" s="31"/>
      <c r="EF459" s="35"/>
      <c r="EG459" s="31"/>
      <c r="EH459" s="31"/>
      <c r="EI459" s="31"/>
      <c r="EJ459" s="31"/>
      <c r="EK459" s="35"/>
      <c r="EL459" s="31"/>
      <c r="EM459" s="31"/>
      <c r="EN459" s="31"/>
      <c r="EO459" s="31"/>
      <c r="EP459" s="35"/>
      <c r="EQ459" s="31"/>
      <c r="ER459" s="31"/>
      <c r="ES459" s="31"/>
      <c r="ET459" s="31"/>
      <c r="EU459" s="35"/>
      <c r="EV459" s="35"/>
      <c r="EW459" s="35"/>
      <c r="EX459" s="35"/>
      <c r="EY459" s="35"/>
      <c r="EZ459" s="129"/>
    </row>
    <row r="460" spans="1:156" ht="11.25" customHeight="1">
      <c r="A460" s="521"/>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c r="AF460" s="35"/>
      <c r="AG460" s="35"/>
      <c r="AH460" s="35"/>
      <c r="AI460" s="35"/>
      <c r="AJ460" s="35"/>
      <c r="AK460" s="35"/>
      <c r="AL460" s="35"/>
      <c r="AM460" s="35"/>
      <c r="AN460" s="35"/>
      <c r="AO460" s="35"/>
      <c r="AP460" s="35"/>
      <c r="AQ460" s="35"/>
      <c r="AR460" s="35"/>
      <c r="AS460" s="35"/>
      <c r="AT460" s="32"/>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D460" s="35"/>
      <c r="CE460" s="35"/>
      <c r="CF460" s="35"/>
      <c r="CG460" s="35"/>
      <c r="CH460" s="35"/>
      <c r="CI460" s="31"/>
      <c r="CJ460" s="31"/>
      <c r="CK460" s="31"/>
      <c r="CL460" s="31"/>
      <c r="CM460" s="35"/>
      <c r="CN460" s="35"/>
      <c r="CO460" s="35"/>
      <c r="CP460" s="35"/>
      <c r="CQ460" s="35"/>
      <c r="CR460" s="35"/>
      <c r="CS460" s="35"/>
      <c r="CT460" s="35"/>
      <c r="CU460" s="35"/>
      <c r="CV460" s="35"/>
      <c r="CW460" s="35"/>
      <c r="CX460" s="35"/>
      <c r="CY460" s="31"/>
      <c r="CZ460" s="31"/>
      <c r="DA460" s="35"/>
      <c r="DB460" s="35"/>
      <c r="DC460" s="35"/>
      <c r="DD460" s="31"/>
      <c r="DE460" s="31"/>
      <c r="DF460" s="35"/>
      <c r="DG460" s="35"/>
      <c r="DH460" s="31"/>
      <c r="DI460" s="31"/>
      <c r="DJ460" s="31"/>
      <c r="DK460" s="31"/>
      <c r="DL460" s="35"/>
      <c r="DM460" s="31"/>
      <c r="DN460" s="31"/>
      <c r="DO460" s="31"/>
      <c r="DP460" s="31"/>
      <c r="DQ460" s="35"/>
      <c r="DR460" s="31"/>
      <c r="DS460" s="31"/>
      <c r="DT460" s="31"/>
      <c r="DU460" s="31"/>
      <c r="DV460" s="35"/>
      <c r="DW460" s="31"/>
      <c r="DX460" s="31"/>
      <c r="DY460" s="31"/>
      <c r="DZ460" s="31"/>
      <c r="EA460" s="35"/>
      <c r="EB460" s="31"/>
      <c r="EC460" s="31"/>
      <c r="ED460" s="31"/>
      <c r="EE460" s="31"/>
      <c r="EF460" s="35"/>
      <c r="EG460" s="31"/>
      <c r="EH460" s="31"/>
      <c r="EI460" s="31"/>
      <c r="EJ460" s="31"/>
      <c r="EK460" s="35"/>
      <c r="EL460" s="31"/>
      <c r="EM460" s="31"/>
      <c r="EN460" s="31"/>
      <c r="EO460" s="31"/>
      <c r="EP460" s="35"/>
      <c r="EQ460" s="31"/>
      <c r="ER460" s="31"/>
      <c r="ES460" s="31"/>
      <c r="ET460" s="31"/>
      <c r="EU460" s="35"/>
      <c r="EV460" s="35"/>
      <c r="EW460" s="35"/>
      <c r="EX460" s="35"/>
      <c r="EY460" s="35"/>
      <c r="EZ460" s="129"/>
    </row>
    <row r="461" spans="1:156" ht="11.25" customHeight="1">
      <c r="A461" s="521"/>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c r="AF461" s="35"/>
      <c r="AG461" s="35"/>
      <c r="AH461" s="35"/>
      <c r="AI461" s="35"/>
      <c r="AJ461" s="35"/>
      <c r="AK461" s="35"/>
      <c r="AL461" s="35"/>
      <c r="AM461" s="35"/>
      <c r="AN461" s="35"/>
      <c r="AO461" s="35"/>
      <c r="AP461" s="35"/>
      <c r="AQ461" s="35"/>
      <c r="AR461" s="35"/>
      <c r="AS461" s="35"/>
      <c r="AT461" s="32"/>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D461" s="35"/>
      <c r="CE461" s="35"/>
      <c r="CF461" s="35"/>
      <c r="CG461" s="35"/>
      <c r="CH461" s="35"/>
      <c r="CI461" s="31"/>
      <c r="CJ461" s="31"/>
      <c r="CK461" s="31"/>
      <c r="CL461" s="31"/>
      <c r="CM461" s="35"/>
      <c r="CN461" s="35"/>
      <c r="CO461" s="35"/>
      <c r="CP461" s="35"/>
      <c r="CQ461" s="35"/>
      <c r="CR461" s="35"/>
      <c r="CS461" s="35"/>
      <c r="CT461" s="35"/>
      <c r="CU461" s="35"/>
      <c r="CV461" s="35"/>
      <c r="CW461" s="35"/>
      <c r="CX461" s="35"/>
      <c r="CY461" s="31"/>
      <c r="CZ461" s="31"/>
      <c r="DA461" s="35"/>
      <c r="DB461" s="35"/>
      <c r="DC461" s="35"/>
      <c r="DD461" s="31"/>
      <c r="DE461" s="31"/>
      <c r="DF461" s="35"/>
      <c r="DG461" s="35"/>
      <c r="DH461" s="31"/>
      <c r="DI461" s="31"/>
      <c r="DJ461" s="31"/>
      <c r="DK461" s="31"/>
      <c r="DL461" s="35"/>
      <c r="DM461" s="31"/>
      <c r="DN461" s="31"/>
      <c r="DO461" s="31"/>
      <c r="DP461" s="31"/>
      <c r="DQ461" s="35"/>
      <c r="DR461" s="31"/>
      <c r="DS461" s="31"/>
      <c r="DT461" s="31"/>
      <c r="DU461" s="31"/>
      <c r="DV461" s="35"/>
      <c r="DW461" s="31"/>
      <c r="DX461" s="31"/>
      <c r="DY461" s="31"/>
      <c r="DZ461" s="31"/>
      <c r="EA461" s="35"/>
      <c r="EB461" s="31"/>
      <c r="EC461" s="31"/>
      <c r="ED461" s="31"/>
      <c r="EE461" s="31"/>
      <c r="EF461" s="35"/>
      <c r="EG461" s="31"/>
      <c r="EH461" s="31"/>
      <c r="EI461" s="31"/>
      <c r="EJ461" s="31"/>
      <c r="EK461" s="35"/>
      <c r="EL461" s="31"/>
      <c r="EM461" s="31"/>
      <c r="EN461" s="31"/>
      <c r="EO461" s="31"/>
      <c r="EP461" s="35"/>
      <c r="EQ461" s="31"/>
      <c r="ER461" s="31"/>
      <c r="ES461" s="31"/>
      <c r="ET461" s="31"/>
      <c r="EU461" s="35"/>
      <c r="EV461" s="35"/>
      <c r="EW461" s="35"/>
      <c r="EX461" s="35"/>
      <c r="EY461" s="35"/>
      <c r="EZ461" s="129"/>
    </row>
    <row r="462" spans="1:156" ht="11.25" customHeight="1">
      <c r="A462" s="521"/>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c r="AF462" s="35"/>
      <c r="AG462" s="35"/>
      <c r="AH462" s="35"/>
      <c r="AI462" s="35"/>
      <c r="AJ462" s="35"/>
      <c r="AK462" s="35"/>
      <c r="AL462" s="35"/>
      <c r="AM462" s="35"/>
      <c r="AN462" s="35"/>
      <c r="AO462" s="35"/>
      <c r="AP462" s="35"/>
      <c r="AQ462" s="35"/>
      <c r="AR462" s="35"/>
      <c r="AS462" s="35"/>
      <c r="AT462" s="32"/>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1"/>
      <c r="CJ462" s="31"/>
      <c r="CK462" s="31"/>
      <c r="CL462" s="31"/>
      <c r="CM462" s="35"/>
      <c r="CN462" s="35"/>
      <c r="CO462" s="35"/>
      <c r="CP462" s="35"/>
      <c r="CQ462" s="35"/>
      <c r="CR462" s="35"/>
      <c r="CS462" s="35"/>
      <c r="CT462" s="35"/>
      <c r="CU462" s="35"/>
      <c r="CV462" s="35"/>
      <c r="CW462" s="35"/>
      <c r="CX462" s="35"/>
      <c r="CY462" s="31"/>
      <c r="CZ462" s="31"/>
      <c r="DA462" s="35"/>
      <c r="DB462" s="35"/>
      <c r="DC462" s="35"/>
      <c r="DD462" s="31"/>
      <c r="DE462" s="31"/>
      <c r="DF462" s="35"/>
      <c r="DG462" s="35"/>
      <c r="DH462" s="31"/>
      <c r="DI462" s="31"/>
      <c r="DJ462" s="31"/>
      <c r="DK462" s="31"/>
      <c r="DL462" s="35"/>
      <c r="DM462" s="31"/>
      <c r="DN462" s="31"/>
      <c r="DO462" s="31"/>
      <c r="DP462" s="31"/>
      <c r="DQ462" s="35"/>
      <c r="DR462" s="31"/>
      <c r="DS462" s="31"/>
      <c r="DT462" s="31"/>
      <c r="DU462" s="31"/>
      <c r="DV462" s="35"/>
      <c r="DW462" s="31"/>
      <c r="DX462" s="31"/>
      <c r="DY462" s="31"/>
      <c r="DZ462" s="31"/>
      <c r="EA462" s="35"/>
      <c r="EB462" s="31"/>
      <c r="EC462" s="31"/>
      <c r="ED462" s="31"/>
      <c r="EE462" s="31"/>
      <c r="EF462" s="35"/>
      <c r="EG462" s="31"/>
      <c r="EH462" s="31"/>
      <c r="EI462" s="31"/>
      <c r="EJ462" s="31"/>
      <c r="EK462" s="35"/>
      <c r="EL462" s="31"/>
      <c r="EM462" s="31"/>
      <c r="EN462" s="31"/>
      <c r="EO462" s="31"/>
      <c r="EP462" s="35"/>
      <c r="EQ462" s="31"/>
      <c r="ER462" s="31"/>
      <c r="ES462" s="31"/>
      <c r="ET462" s="31"/>
      <c r="EU462" s="35"/>
      <c r="EV462" s="35"/>
      <c r="EW462" s="35"/>
      <c r="EX462" s="35"/>
      <c r="EY462" s="35"/>
      <c r="EZ462" s="129"/>
    </row>
    <row r="463" spans="1:156" ht="11.25" customHeight="1">
      <c r="A463" s="521"/>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c r="AF463" s="35"/>
      <c r="AG463" s="35"/>
      <c r="AH463" s="35"/>
      <c r="AI463" s="35"/>
      <c r="AJ463" s="35"/>
      <c r="AK463" s="35"/>
      <c r="AL463" s="35"/>
      <c r="AM463" s="35"/>
      <c r="AN463" s="35"/>
      <c r="AO463" s="35"/>
      <c r="AP463" s="35"/>
      <c r="AQ463" s="35"/>
      <c r="AR463" s="35"/>
      <c r="AS463" s="35"/>
      <c r="AT463" s="32"/>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1"/>
      <c r="CJ463" s="31"/>
      <c r="CK463" s="31"/>
      <c r="CL463" s="31"/>
      <c r="CM463" s="35"/>
      <c r="CN463" s="35"/>
      <c r="CO463" s="35"/>
      <c r="CP463" s="35"/>
      <c r="CQ463" s="35"/>
      <c r="CR463" s="35"/>
      <c r="CS463" s="35"/>
      <c r="CT463" s="35"/>
      <c r="CU463" s="35"/>
      <c r="CV463" s="35"/>
      <c r="CW463" s="35"/>
      <c r="CX463" s="35"/>
      <c r="CY463" s="31"/>
      <c r="CZ463" s="31"/>
      <c r="DA463" s="35"/>
      <c r="DB463" s="35"/>
      <c r="DC463" s="35"/>
      <c r="DD463" s="31"/>
      <c r="DE463" s="31"/>
      <c r="DF463" s="35"/>
      <c r="DG463" s="35"/>
      <c r="DH463" s="31"/>
      <c r="DI463" s="31"/>
      <c r="DJ463" s="31"/>
      <c r="DK463" s="31"/>
      <c r="DL463" s="35"/>
      <c r="DM463" s="31"/>
      <c r="DN463" s="31"/>
      <c r="DO463" s="31"/>
      <c r="DP463" s="31"/>
      <c r="DQ463" s="35"/>
      <c r="DR463" s="31"/>
      <c r="DS463" s="31"/>
      <c r="DT463" s="31"/>
      <c r="DU463" s="31"/>
      <c r="DV463" s="35"/>
      <c r="DW463" s="31"/>
      <c r="DX463" s="31"/>
      <c r="DY463" s="31"/>
      <c r="DZ463" s="31"/>
      <c r="EA463" s="35"/>
      <c r="EB463" s="31"/>
      <c r="EC463" s="31"/>
      <c r="ED463" s="31"/>
      <c r="EE463" s="31"/>
      <c r="EF463" s="35"/>
      <c r="EG463" s="31"/>
      <c r="EH463" s="31"/>
      <c r="EI463" s="31"/>
      <c r="EJ463" s="31"/>
      <c r="EK463" s="35"/>
      <c r="EL463" s="31"/>
      <c r="EM463" s="31"/>
      <c r="EN463" s="31"/>
      <c r="EO463" s="31"/>
      <c r="EP463" s="35"/>
      <c r="EQ463" s="31"/>
      <c r="ER463" s="31"/>
      <c r="ES463" s="31"/>
      <c r="ET463" s="31"/>
      <c r="EU463" s="35"/>
      <c r="EV463" s="35"/>
      <c r="EW463" s="35"/>
      <c r="EX463" s="35"/>
      <c r="EY463" s="35"/>
      <c r="EZ463" s="129"/>
    </row>
    <row r="464" spans="1:156" ht="11.25" customHeight="1">
      <c r="A464" s="521"/>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c r="AF464" s="35"/>
      <c r="AG464" s="35"/>
      <c r="AH464" s="35"/>
      <c r="AI464" s="35"/>
      <c r="AJ464" s="35"/>
      <c r="AK464" s="35"/>
      <c r="AL464" s="35"/>
      <c r="AM464" s="35"/>
      <c r="AN464" s="35"/>
      <c r="AO464" s="35"/>
      <c r="AP464" s="35"/>
      <c r="AQ464" s="35"/>
      <c r="AR464" s="35"/>
      <c r="AS464" s="35"/>
      <c r="AT464" s="32"/>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1"/>
      <c r="CJ464" s="31"/>
      <c r="CK464" s="31"/>
      <c r="CL464" s="31"/>
      <c r="CM464" s="35"/>
      <c r="CN464" s="35"/>
      <c r="CO464" s="35"/>
      <c r="CP464" s="35"/>
      <c r="CQ464" s="35"/>
      <c r="CR464" s="35"/>
      <c r="CS464" s="35"/>
      <c r="CT464" s="35"/>
      <c r="CU464" s="35"/>
      <c r="CV464" s="35"/>
      <c r="CW464" s="35"/>
      <c r="CX464" s="35"/>
      <c r="CY464" s="31"/>
      <c r="CZ464" s="31"/>
      <c r="DA464" s="35"/>
      <c r="DB464" s="35"/>
      <c r="DC464" s="35"/>
      <c r="DD464" s="31"/>
      <c r="DE464" s="31"/>
      <c r="DF464" s="35"/>
      <c r="DG464" s="35"/>
      <c r="DH464" s="31"/>
      <c r="DI464" s="31"/>
      <c r="DJ464" s="31"/>
      <c r="DK464" s="31"/>
      <c r="DL464" s="35"/>
      <c r="DM464" s="31"/>
      <c r="DN464" s="31"/>
      <c r="DO464" s="31"/>
      <c r="DP464" s="31"/>
      <c r="DQ464" s="35"/>
      <c r="DR464" s="31"/>
      <c r="DS464" s="31"/>
      <c r="DT464" s="31"/>
      <c r="DU464" s="31"/>
      <c r="DV464" s="35"/>
      <c r="DW464" s="31"/>
      <c r="DX464" s="31"/>
      <c r="DY464" s="31"/>
      <c r="DZ464" s="31"/>
      <c r="EA464" s="35"/>
      <c r="EB464" s="31"/>
      <c r="EC464" s="31"/>
      <c r="ED464" s="31"/>
      <c r="EE464" s="31"/>
      <c r="EF464" s="35"/>
      <c r="EG464" s="31"/>
      <c r="EH464" s="31"/>
      <c r="EI464" s="31"/>
      <c r="EJ464" s="31"/>
      <c r="EK464" s="35"/>
      <c r="EL464" s="31"/>
      <c r="EM464" s="31"/>
      <c r="EN464" s="31"/>
      <c r="EO464" s="31"/>
      <c r="EP464" s="35"/>
      <c r="EQ464" s="31"/>
      <c r="ER464" s="31"/>
      <c r="ES464" s="31"/>
      <c r="ET464" s="31"/>
      <c r="EU464" s="35"/>
      <c r="EV464" s="35"/>
      <c r="EW464" s="35"/>
      <c r="EX464" s="35"/>
      <c r="EY464" s="35"/>
      <c r="EZ464" s="129"/>
    </row>
    <row r="465" spans="1:156" ht="11.25" customHeight="1">
      <c r="A465" s="521"/>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c r="AF465" s="35"/>
      <c r="AG465" s="35"/>
      <c r="AH465" s="35"/>
      <c r="AI465" s="35"/>
      <c r="AJ465" s="35"/>
      <c r="AK465" s="35"/>
      <c r="AL465" s="35"/>
      <c r="AM465" s="35"/>
      <c r="AN465" s="35"/>
      <c r="AO465" s="35"/>
      <c r="AP465" s="35"/>
      <c r="AQ465" s="35"/>
      <c r="AR465" s="35"/>
      <c r="AS465" s="35"/>
      <c r="AT465" s="32"/>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1"/>
      <c r="CJ465" s="31"/>
      <c r="CK465" s="31"/>
      <c r="CL465" s="31"/>
      <c r="CM465" s="35"/>
      <c r="CN465" s="35"/>
      <c r="CO465" s="35"/>
      <c r="CP465" s="35"/>
      <c r="CQ465" s="35"/>
      <c r="CR465" s="35"/>
      <c r="CS465" s="35"/>
      <c r="CT465" s="35"/>
      <c r="CU465" s="35"/>
      <c r="CV465" s="35"/>
      <c r="CW465" s="35"/>
      <c r="CX465" s="35"/>
      <c r="CY465" s="31"/>
      <c r="CZ465" s="31"/>
      <c r="DA465" s="35"/>
      <c r="DB465" s="35"/>
      <c r="DC465" s="35"/>
      <c r="DD465" s="31"/>
      <c r="DE465" s="31"/>
      <c r="DF465" s="35"/>
      <c r="DG465" s="35"/>
      <c r="DH465" s="31"/>
      <c r="DI465" s="31"/>
      <c r="DJ465" s="31"/>
      <c r="DK465" s="31"/>
      <c r="DL465" s="35"/>
      <c r="DM465" s="31"/>
      <c r="DN465" s="31"/>
      <c r="DO465" s="31"/>
      <c r="DP465" s="31"/>
      <c r="DQ465" s="35"/>
      <c r="DR465" s="31"/>
      <c r="DS465" s="31"/>
      <c r="DT465" s="31"/>
      <c r="DU465" s="31"/>
      <c r="DV465" s="35"/>
      <c r="DW465" s="31"/>
      <c r="DX465" s="31"/>
      <c r="DY465" s="31"/>
      <c r="DZ465" s="31"/>
      <c r="EA465" s="35"/>
      <c r="EB465" s="31"/>
      <c r="EC465" s="31"/>
      <c r="ED465" s="31"/>
      <c r="EE465" s="31"/>
      <c r="EF465" s="35"/>
      <c r="EG465" s="31"/>
      <c r="EH465" s="31"/>
      <c r="EI465" s="31"/>
      <c r="EJ465" s="31"/>
      <c r="EK465" s="35"/>
      <c r="EL465" s="31"/>
      <c r="EM465" s="31"/>
      <c r="EN465" s="31"/>
      <c r="EO465" s="31"/>
      <c r="EP465" s="35"/>
      <c r="EQ465" s="31"/>
      <c r="ER465" s="31"/>
      <c r="ES465" s="31"/>
      <c r="ET465" s="31"/>
      <c r="EU465" s="35"/>
      <c r="EV465" s="35"/>
      <c r="EW465" s="35"/>
      <c r="EX465" s="35"/>
      <c r="EY465" s="35"/>
      <c r="EZ465" s="129"/>
    </row>
    <row r="466" spans="1:156" ht="11.25" customHeight="1">
      <c r="A466" s="521"/>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c r="AF466" s="35"/>
      <c r="AG466" s="35"/>
      <c r="AH466" s="35"/>
      <c r="AI466" s="35"/>
      <c r="AJ466" s="35"/>
      <c r="AK466" s="35"/>
      <c r="AL466" s="35"/>
      <c r="AM466" s="35"/>
      <c r="AN466" s="35"/>
      <c r="AO466" s="35"/>
      <c r="AP466" s="35"/>
      <c r="AQ466" s="35"/>
      <c r="AR466" s="35"/>
      <c r="AS466" s="35"/>
      <c r="AT466" s="32"/>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1"/>
      <c r="CJ466" s="31"/>
      <c r="CK466" s="31"/>
      <c r="CL466" s="31"/>
      <c r="CM466" s="35"/>
      <c r="CN466" s="35"/>
      <c r="CO466" s="35"/>
      <c r="CP466" s="35"/>
      <c r="CQ466" s="35"/>
      <c r="CR466" s="35"/>
      <c r="CS466" s="35"/>
      <c r="CT466" s="35"/>
      <c r="CU466" s="35"/>
      <c r="CV466" s="35"/>
      <c r="CW466" s="35"/>
      <c r="CX466" s="35"/>
      <c r="CY466" s="31"/>
      <c r="CZ466" s="31"/>
      <c r="DA466" s="35"/>
      <c r="DB466" s="35"/>
      <c r="DC466" s="35"/>
      <c r="DD466" s="31"/>
      <c r="DE466" s="31"/>
      <c r="DF466" s="35"/>
      <c r="DG466" s="35"/>
      <c r="DH466" s="31"/>
      <c r="DI466" s="31"/>
      <c r="DJ466" s="31"/>
      <c r="DK466" s="31"/>
      <c r="DL466" s="35"/>
      <c r="DM466" s="31"/>
      <c r="DN466" s="31"/>
      <c r="DO466" s="31"/>
      <c r="DP466" s="31"/>
      <c r="DQ466" s="35"/>
      <c r="DR466" s="31"/>
      <c r="DS466" s="31"/>
      <c r="DT466" s="31"/>
      <c r="DU466" s="31"/>
      <c r="DV466" s="35"/>
      <c r="DW466" s="31"/>
      <c r="DX466" s="31"/>
      <c r="DY466" s="31"/>
      <c r="DZ466" s="31"/>
      <c r="EA466" s="35"/>
      <c r="EB466" s="31"/>
      <c r="EC466" s="31"/>
      <c r="ED466" s="31"/>
      <c r="EE466" s="31"/>
      <c r="EF466" s="35"/>
      <c r="EG466" s="31"/>
      <c r="EH466" s="31"/>
      <c r="EI466" s="31"/>
      <c r="EJ466" s="31"/>
      <c r="EK466" s="35"/>
      <c r="EL466" s="31"/>
      <c r="EM466" s="31"/>
      <c r="EN466" s="31"/>
      <c r="EO466" s="31"/>
      <c r="EP466" s="35"/>
      <c r="EQ466" s="31"/>
      <c r="ER466" s="31"/>
      <c r="ES466" s="31"/>
      <c r="ET466" s="31"/>
      <c r="EU466" s="35"/>
      <c r="EV466" s="35"/>
      <c r="EW466" s="35"/>
      <c r="EX466" s="35"/>
      <c r="EY466" s="35"/>
      <c r="EZ466" s="129"/>
    </row>
    <row r="467" spans="1:156" ht="11.25" customHeight="1">
      <c r="A467" s="521"/>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c r="AF467" s="35"/>
      <c r="AG467" s="35"/>
      <c r="AH467" s="35"/>
      <c r="AI467" s="35"/>
      <c r="AJ467" s="35"/>
      <c r="AK467" s="35"/>
      <c r="AL467" s="35"/>
      <c r="AM467" s="35"/>
      <c r="AN467" s="35"/>
      <c r="AO467" s="35"/>
      <c r="AP467" s="35"/>
      <c r="AQ467" s="35"/>
      <c r="AR467" s="35"/>
      <c r="AS467" s="35"/>
      <c r="AT467" s="32"/>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1"/>
      <c r="CJ467" s="31"/>
      <c r="CK467" s="31"/>
      <c r="CL467" s="31"/>
      <c r="CM467" s="35"/>
      <c r="CN467" s="35"/>
      <c r="CO467" s="35"/>
      <c r="CP467" s="35"/>
      <c r="CQ467" s="35"/>
      <c r="CR467" s="35"/>
      <c r="CS467" s="35"/>
      <c r="CT467" s="35"/>
      <c r="CU467" s="35"/>
      <c r="CV467" s="35"/>
      <c r="CW467" s="35"/>
      <c r="CX467" s="35"/>
      <c r="CY467" s="31"/>
      <c r="CZ467" s="31"/>
      <c r="DA467" s="35"/>
      <c r="DB467" s="35"/>
      <c r="DC467" s="35"/>
      <c r="DD467" s="31"/>
      <c r="DE467" s="31"/>
      <c r="DF467" s="35"/>
      <c r="DG467" s="35"/>
      <c r="DH467" s="31"/>
      <c r="DI467" s="31"/>
      <c r="DJ467" s="31"/>
      <c r="DK467" s="31"/>
      <c r="DL467" s="35"/>
      <c r="DM467" s="31"/>
      <c r="DN467" s="31"/>
      <c r="DO467" s="31"/>
      <c r="DP467" s="31"/>
      <c r="DQ467" s="35"/>
      <c r="DR467" s="31"/>
      <c r="DS467" s="31"/>
      <c r="DT467" s="31"/>
      <c r="DU467" s="31"/>
      <c r="DV467" s="35"/>
      <c r="DW467" s="31"/>
      <c r="DX467" s="31"/>
      <c r="DY467" s="31"/>
      <c r="DZ467" s="31"/>
      <c r="EA467" s="35"/>
      <c r="EB467" s="31"/>
      <c r="EC467" s="31"/>
      <c r="ED467" s="31"/>
      <c r="EE467" s="31"/>
      <c r="EF467" s="35"/>
      <c r="EG467" s="31"/>
      <c r="EH467" s="31"/>
      <c r="EI467" s="31"/>
      <c r="EJ467" s="31"/>
      <c r="EK467" s="35"/>
      <c r="EL467" s="31"/>
      <c r="EM467" s="31"/>
      <c r="EN467" s="31"/>
      <c r="EO467" s="31"/>
      <c r="EP467" s="35"/>
      <c r="EQ467" s="31"/>
      <c r="ER467" s="31"/>
      <c r="ES467" s="31"/>
      <c r="ET467" s="31"/>
      <c r="EU467" s="35"/>
      <c r="EV467" s="35"/>
      <c r="EW467" s="35"/>
      <c r="EX467" s="35"/>
      <c r="EY467" s="35"/>
      <c r="EZ467" s="129"/>
    </row>
    <row r="468" spans="1:156" ht="11.25" customHeight="1">
      <c r="A468" s="521"/>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c r="AF468" s="35"/>
      <c r="AG468" s="35"/>
      <c r="AH468" s="35"/>
      <c r="AI468" s="35"/>
      <c r="AJ468" s="35"/>
      <c r="AK468" s="35"/>
      <c r="AL468" s="35"/>
      <c r="AM468" s="35"/>
      <c r="AN468" s="35"/>
      <c r="AO468" s="35"/>
      <c r="AP468" s="35"/>
      <c r="AQ468" s="35"/>
      <c r="AR468" s="35"/>
      <c r="AS468" s="35"/>
      <c r="AT468" s="32"/>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1"/>
      <c r="CJ468" s="31"/>
      <c r="CK468" s="31"/>
      <c r="CL468" s="31"/>
      <c r="CM468" s="35"/>
      <c r="CN468" s="35"/>
      <c r="CO468" s="35"/>
      <c r="CP468" s="35"/>
      <c r="CQ468" s="35"/>
      <c r="CR468" s="35"/>
      <c r="CS468" s="35"/>
      <c r="CT468" s="35"/>
      <c r="CU468" s="35"/>
      <c r="CV468" s="35"/>
      <c r="CW468" s="35"/>
      <c r="CX468" s="35"/>
      <c r="CY468" s="31"/>
      <c r="CZ468" s="31"/>
      <c r="DA468" s="35"/>
      <c r="DB468" s="35"/>
      <c r="DC468" s="35"/>
      <c r="DD468" s="31"/>
      <c r="DE468" s="31"/>
      <c r="DF468" s="35"/>
      <c r="DG468" s="35"/>
      <c r="DH468" s="31"/>
      <c r="DI468" s="31"/>
      <c r="DJ468" s="31"/>
      <c r="DK468" s="31"/>
      <c r="DL468" s="35"/>
      <c r="DM468" s="31"/>
      <c r="DN468" s="31"/>
      <c r="DO468" s="31"/>
      <c r="DP468" s="31"/>
      <c r="DQ468" s="35"/>
      <c r="DR468" s="31"/>
      <c r="DS468" s="31"/>
      <c r="DT468" s="31"/>
      <c r="DU468" s="31"/>
      <c r="DV468" s="35"/>
      <c r="DW468" s="31"/>
      <c r="DX468" s="31"/>
      <c r="DY468" s="31"/>
      <c r="DZ468" s="31"/>
      <c r="EA468" s="35"/>
      <c r="EB468" s="31"/>
      <c r="EC468" s="31"/>
      <c r="ED468" s="31"/>
      <c r="EE468" s="31"/>
      <c r="EF468" s="35"/>
      <c r="EG468" s="31"/>
      <c r="EH468" s="31"/>
      <c r="EI468" s="31"/>
      <c r="EJ468" s="31"/>
      <c r="EK468" s="35"/>
      <c r="EL468" s="31"/>
      <c r="EM468" s="31"/>
      <c r="EN468" s="31"/>
      <c r="EO468" s="31"/>
      <c r="EP468" s="35"/>
      <c r="EQ468" s="31"/>
      <c r="ER468" s="31"/>
      <c r="ES468" s="31"/>
      <c r="ET468" s="31"/>
      <c r="EU468" s="35"/>
      <c r="EV468" s="35"/>
      <c r="EW468" s="35"/>
      <c r="EX468" s="35"/>
      <c r="EY468" s="35"/>
      <c r="EZ468" s="129"/>
    </row>
    <row r="469" spans="1:156" ht="11.25" customHeight="1">
      <c r="A469" s="521"/>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c r="AF469" s="35"/>
      <c r="AG469" s="35"/>
      <c r="AH469" s="35"/>
      <c r="AI469" s="35"/>
      <c r="AJ469" s="35"/>
      <c r="AK469" s="35"/>
      <c r="AL469" s="35"/>
      <c r="AM469" s="35"/>
      <c r="AN469" s="35"/>
      <c r="AO469" s="35"/>
      <c r="AP469" s="35"/>
      <c r="AQ469" s="35"/>
      <c r="AR469" s="35"/>
      <c r="AS469" s="35"/>
      <c r="AT469" s="32"/>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1"/>
      <c r="CJ469" s="31"/>
      <c r="CK469" s="31"/>
      <c r="CL469" s="31"/>
      <c r="CM469" s="35"/>
      <c r="CN469" s="35"/>
      <c r="CO469" s="35"/>
      <c r="CP469" s="35"/>
      <c r="CQ469" s="35"/>
      <c r="CR469" s="35"/>
      <c r="CS469" s="35"/>
      <c r="CT469" s="35"/>
      <c r="CU469" s="35"/>
      <c r="CV469" s="35"/>
      <c r="CW469" s="35"/>
      <c r="CX469" s="35"/>
      <c r="CY469" s="31"/>
      <c r="CZ469" s="31"/>
      <c r="DA469" s="35"/>
      <c r="DB469" s="35"/>
      <c r="DC469" s="35"/>
      <c r="DD469" s="31"/>
      <c r="DE469" s="31"/>
      <c r="DF469" s="35"/>
      <c r="DG469" s="35"/>
      <c r="DH469" s="31"/>
      <c r="DI469" s="31"/>
      <c r="DJ469" s="31"/>
      <c r="DK469" s="31"/>
      <c r="DL469" s="35"/>
      <c r="DM469" s="31"/>
      <c r="DN469" s="31"/>
      <c r="DO469" s="31"/>
      <c r="DP469" s="31"/>
      <c r="DQ469" s="35"/>
      <c r="DR469" s="31"/>
      <c r="DS469" s="31"/>
      <c r="DT469" s="31"/>
      <c r="DU469" s="31"/>
      <c r="DV469" s="35"/>
      <c r="DW469" s="31"/>
      <c r="DX469" s="31"/>
      <c r="DY469" s="31"/>
      <c r="DZ469" s="31"/>
      <c r="EA469" s="35"/>
      <c r="EB469" s="31"/>
      <c r="EC469" s="31"/>
      <c r="ED469" s="31"/>
      <c r="EE469" s="31"/>
      <c r="EF469" s="35"/>
      <c r="EG469" s="31"/>
      <c r="EH469" s="31"/>
      <c r="EI469" s="31"/>
      <c r="EJ469" s="31"/>
      <c r="EK469" s="35"/>
      <c r="EL469" s="31"/>
      <c r="EM469" s="31"/>
      <c r="EN469" s="31"/>
      <c r="EO469" s="31"/>
      <c r="EP469" s="35"/>
      <c r="EQ469" s="31"/>
      <c r="ER469" s="31"/>
      <c r="ES469" s="31"/>
      <c r="ET469" s="31"/>
      <c r="EU469" s="35"/>
      <c r="EV469" s="35"/>
      <c r="EW469" s="35"/>
      <c r="EX469" s="35"/>
      <c r="EY469" s="35"/>
      <c r="EZ469" s="129"/>
    </row>
    <row r="470" spans="1:156" ht="11.25" customHeight="1">
      <c r="A470" s="521"/>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c r="AF470" s="35"/>
      <c r="AG470" s="35"/>
      <c r="AH470" s="35"/>
      <c r="AI470" s="35"/>
      <c r="AJ470" s="35"/>
      <c r="AK470" s="35"/>
      <c r="AL470" s="35"/>
      <c r="AM470" s="35"/>
      <c r="AN470" s="35"/>
      <c r="AO470" s="35"/>
      <c r="AP470" s="35"/>
      <c r="AQ470" s="35"/>
      <c r="AR470" s="35"/>
      <c r="AS470" s="35"/>
      <c r="AT470" s="32"/>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1"/>
      <c r="CJ470" s="31"/>
      <c r="CK470" s="31"/>
      <c r="CL470" s="31"/>
      <c r="CM470" s="35"/>
      <c r="CN470" s="35"/>
      <c r="CO470" s="35"/>
      <c r="CP470" s="35"/>
      <c r="CQ470" s="35"/>
      <c r="CR470" s="35"/>
      <c r="CS470" s="35"/>
      <c r="CT470" s="35"/>
      <c r="CU470" s="35"/>
      <c r="CV470" s="35"/>
      <c r="CW470" s="35"/>
      <c r="CX470" s="35"/>
      <c r="CY470" s="31"/>
      <c r="CZ470" s="31"/>
      <c r="DA470" s="35"/>
      <c r="DB470" s="35"/>
      <c r="DC470" s="35"/>
      <c r="DD470" s="31"/>
      <c r="DE470" s="31"/>
      <c r="DF470" s="35"/>
      <c r="DG470" s="35"/>
      <c r="DH470" s="31"/>
      <c r="DI470" s="31"/>
      <c r="DJ470" s="31"/>
      <c r="DK470" s="31"/>
      <c r="DL470" s="35"/>
      <c r="DM470" s="31"/>
      <c r="DN470" s="31"/>
      <c r="DO470" s="31"/>
      <c r="DP470" s="31"/>
      <c r="DQ470" s="35"/>
      <c r="DR470" s="31"/>
      <c r="DS470" s="31"/>
      <c r="DT470" s="31"/>
      <c r="DU470" s="31"/>
      <c r="DV470" s="35"/>
      <c r="DW470" s="31"/>
      <c r="DX470" s="31"/>
      <c r="DY470" s="31"/>
      <c r="DZ470" s="31"/>
      <c r="EA470" s="35"/>
      <c r="EB470" s="31"/>
      <c r="EC470" s="31"/>
      <c r="ED470" s="31"/>
      <c r="EE470" s="31"/>
      <c r="EF470" s="35"/>
      <c r="EG470" s="31"/>
      <c r="EH470" s="31"/>
      <c r="EI470" s="31"/>
      <c r="EJ470" s="31"/>
      <c r="EK470" s="35"/>
      <c r="EL470" s="31"/>
      <c r="EM470" s="31"/>
      <c r="EN470" s="31"/>
      <c r="EO470" s="31"/>
      <c r="EP470" s="35"/>
      <c r="EQ470" s="31"/>
      <c r="ER470" s="31"/>
      <c r="ES470" s="31"/>
      <c r="ET470" s="31"/>
      <c r="EU470" s="35"/>
      <c r="EV470" s="35"/>
      <c r="EW470" s="35"/>
      <c r="EX470" s="35"/>
      <c r="EY470" s="35"/>
      <c r="EZ470" s="129"/>
    </row>
    <row r="471" spans="1:156" ht="11.25" customHeight="1">
      <c r="A471" s="521"/>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c r="AF471" s="35"/>
      <c r="AG471" s="35"/>
      <c r="AH471" s="35"/>
      <c r="AI471" s="35"/>
      <c r="AJ471" s="35"/>
      <c r="AK471" s="35"/>
      <c r="AL471" s="35"/>
      <c r="AM471" s="35"/>
      <c r="AN471" s="35"/>
      <c r="AO471" s="35"/>
      <c r="AP471" s="35"/>
      <c r="AQ471" s="35"/>
      <c r="AR471" s="35"/>
      <c r="AS471" s="35"/>
      <c r="AT471" s="32"/>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1"/>
      <c r="CJ471" s="31"/>
      <c r="CK471" s="31"/>
      <c r="CL471" s="31"/>
      <c r="CM471" s="35"/>
      <c r="CN471" s="35"/>
      <c r="CO471" s="35"/>
      <c r="CP471" s="35"/>
      <c r="CQ471" s="35"/>
      <c r="CR471" s="35"/>
      <c r="CS471" s="35"/>
      <c r="CT471" s="35"/>
      <c r="CU471" s="35"/>
      <c r="CV471" s="35"/>
      <c r="CW471" s="35"/>
      <c r="CX471" s="35"/>
      <c r="CY471" s="31"/>
      <c r="CZ471" s="31"/>
      <c r="DA471" s="35"/>
      <c r="DB471" s="35"/>
      <c r="DC471" s="35"/>
      <c r="DD471" s="31"/>
      <c r="DE471" s="31"/>
      <c r="DF471" s="35"/>
      <c r="DG471" s="35"/>
      <c r="DH471" s="31"/>
      <c r="DI471" s="31"/>
      <c r="DJ471" s="31"/>
      <c r="DK471" s="31"/>
      <c r="DL471" s="35"/>
      <c r="DM471" s="31"/>
      <c r="DN471" s="31"/>
      <c r="DO471" s="31"/>
      <c r="DP471" s="31"/>
      <c r="DQ471" s="35"/>
      <c r="DR471" s="31"/>
      <c r="DS471" s="31"/>
      <c r="DT471" s="31"/>
      <c r="DU471" s="31"/>
      <c r="DV471" s="35"/>
      <c r="DW471" s="31"/>
      <c r="DX471" s="31"/>
      <c r="DY471" s="31"/>
      <c r="DZ471" s="31"/>
      <c r="EA471" s="35"/>
      <c r="EB471" s="31"/>
      <c r="EC471" s="31"/>
      <c r="ED471" s="31"/>
      <c r="EE471" s="31"/>
      <c r="EF471" s="35"/>
      <c r="EG471" s="31"/>
      <c r="EH471" s="31"/>
      <c r="EI471" s="31"/>
      <c r="EJ471" s="31"/>
      <c r="EK471" s="35"/>
      <c r="EL471" s="31"/>
      <c r="EM471" s="31"/>
      <c r="EN471" s="31"/>
      <c r="EO471" s="31"/>
      <c r="EP471" s="35"/>
      <c r="EQ471" s="31"/>
      <c r="ER471" s="31"/>
      <c r="ES471" s="31"/>
      <c r="ET471" s="31"/>
      <c r="EU471" s="35"/>
      <c r="EV471" s="35"/>
      <c r="EW471" s="35"/>
      <c r="EX471" s="35"/>
      <c r="EY471" s="35"/>
      <c r="EZ471" s="129"/>
    </row>
    <row r="472" spans="1:156" ht="11.25" customHeight="1">
      <c r="A472" s="521"/>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c r="AF472" s="35"/>
      <c r="AG472" s="35"/>
      <c r="AH472" s="35"/>
      <c r="AI472" s="35"/>
      <c r="AJ472" s="35"/>
      <c r="AK472" s="35"/>
      <c r="AL472" s="35"/>
      <c r="AM472" s="35"/>
      <c r="AN472" s="35"/>
      <c r="AO472" s="35"/>
      <c r="AP472" s="35"/>
      <c r="AQ472" s="35"/>
      <c r="AR472" s="35"/>
      <c r="AS472" s="35"/>
      <c r="AT472" s="32"/>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1"/>
      <c r="CJ472" s="31"/>
      <c r="CK472" s="31"/>
      <c r="CL472" s="31"/>
      <c r="CM472" s="35"/>
      <c r="CN472" s="35"/>
      <c r="CO472" s="35"/>
      <c r="CP472" s="35"/>
      <c r="CQ472" s="35"/>
      <c r="CR472" s="35"/>
      <c r="CS472" s="35"/>
      <c r="CT472" s="35"/>
      <c r="CU472" s="35"/>
      <c r="CV472" s="35"/>
      <c r="CW472" s="35"/>
      <c r="CX472" s="35"/>
      <c r="CY472" s="31"/>
      <c r="CZ472" s="31"/>
      <c r="DA472" s="35"/>
      <c r="DB472" s="35"/>
      <c r="DC472" s="35"/>
      <c r="DD472" s="31"/>
      <c r="DE472" s="31"/>
      <c r="DF472" s="35"/>
      <c r="DG472" s="35"/>
      <c r="DH472" s="31"/>
      <c r="DI472" s="31"/>
      <c r="DJ472" s="31"/>
      <c r="DK472" s="31"/>
      <c r="DL472" s="35"/>
      <c r="DM472" s="31"/>
      <c r="DN472" s="31"/>
      <c r="DO472" s="31"/>
      <c r="DP472" s="31"/>
      <c r="DQ472" s="35"/>
      <c r="DR472" s="31"/>
      <c r="DS472" s="31"/>
      <c r="DT472" s="31"/>
      <c r="DU472" s="31"/>
      <c r="DV472" s="35"/>
      <c r="DW472" s="31"/>
      <c r="DX472" s="31"/>
      <c r="DY472" s="31"/>
      <c r="DZ472" s="31"/>
      <c r="EA472" s="35"/>
      <c r="EB472" s="31"/>
      <c r="EC472" s="31"/>
      <c r="ED472" s="31"/>
      <c r="EE472" s="31"/>
      <c r="EF472" s="35"/>
      <c r="EG472" s="31"/>
      <c r="EH472" s="31"/>
      <c r="EI472" s="31"/>
      <c r="EJ472" s="31"/>
      <c r="EK472" s="35"/>
      <c r="EL472" s="31"/>
      <c r="EM472" s="31"/>
      <c r="EN472" s="31"/>
      <c r="EO472" s="31"/>
      <c r="EP472" s="35"/>
      <c r="EQ472" s="31"/>
      <c r="ER472" s="31"/>
      <c r="ES472" s="31"/>
      <c r="ET472" s="31"/>
      <c r="EU472" s="35"/>
      <c r="EV472" s="35"/>
      <c r="EW472" s="35"/>
      <c r="EX472" s="35"/>
      <c r="EY472" s="35"/>
      <c r="EZ472" s="129"/>
    </row>
    <row r="473" spans="1:156" ht="11.25" customHeight="1">
      <c r="A473" s="521"/>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c r="AF473" s="35"/>
      <c r="AG473" s="35"/>
      <c r="AH473" s="35"/>
      <c r="AI473" s="35"/>
      <c r="AJ473" s="35"/>
      <c r="AK473" s="35"/>
      <c r="AL473" s="35"/>
      <c r="AM473" s="35"/>
      <c r="AN473" s="35"/>
      <c r="AO473" s="35"/>
      <c r="AP473" s="35"/>
      <c r="AQ473" s="35"/>
      <c r="AR473" s="35"/>
      <c r="AS473" s="35"/>
      <c r="AT473" s="32"/>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1"/>
      <c r="CJ473" s="31"/>
      <c r="CK473" s="31"/>
      <c r="CL473" s="31"/>
      <c r="CM473" s="35"/>
      <c r="CN473" s="35"/>
      <c r="CO473" s="35"/>
      <c r="CP473" s="35"/>
      <c r="CQ473" s="35"/>
      <c r="CR473" s="35"/>
      <c r="CS473" s="35"/>
      <c r="CT473" s="35"/>
      <c r="CU473" s="35"/>
      <c r="CV473" s="35"/>
      <c r="CW473" s="35"/>
      <c r="CX473" s="35"/>
      <c r="CY473" s="31"/>
      <c r="CZ473" s="31"/>
      <c r="DA473" s="35"/>
      <c r="DB473" s="35"/>
      <c r="DC473" s="35"/>
      <c r="DD473" s="31"/>
      <c r="DE473" s="31"/>
      <c r="DF473" s="35"/>
      <c r="DG473" s="35"/>
      <c r="DH473" s="31"/>
      <c r="DI473" s="31"/>
      <c r="DJ473" s="31"/>
      <c r="DK473" s="31"/>
      <c r="DL473" s="35"/>
      <c r="DM473" s="31"/>
      <c r="DN473" s="31"/>
      <c r="DO473" s="31"/>
      <c r="DP473" s="31"/>
      <c r="DQ473" s="35"/>
      <c r="DR473" s="31"/>
      <c r="DS473" s="31"/>
      <c r="DT473" s="31"/>
      <c r="DU473" s="31"/>
      <c r="DV473" s="35"/>
      <c r="DW473" s="31"/>
      <c r="DX473" s="31"/>
      <c r="DY473" s="31"/>
      <c r="DZ473" s="31"/>
      <c r="EA473" s="35"/>
      <c r="EB473" s="31"/>
      <c r="EC473" s="31"/>
      <c r="ED473" s="31"/>
      <c r="EE473" s="31"/>
      <c r="EF473" s="35"/>
      <c r="EG473" s="31"/>
      <c r="EH473" s="31"/>
      <c r="EI473" s="31"/>
      <c r="EJ473" s="31"/>
      <c r="EK473" s="35"/>
      <c r="EL473" s="31"/>
      <c r="EM473" s="31"/>
      <c r="EN473" s="31"/>
      <c r="EO473" s="31"/>
      <c r="EP473" s="35"/>
      <c r="EQ473" s="31"/>
      <c r="ER473" s="31"/>
      <c r="ES473" s="31"/>
      <c r="ET473" s="31"/>
      <c r="EU473" s="35"/>
      <c r="EV473" s="35"/>
      <c r="EW473" s="35"/>
      <c r="EX473" s="35"/>
      <c r="EY473" s="35"/>
      <c r="EZ473" s="129"/>
    </row>
    <row r="474" spans="1:156" ht="11.25" customHeight="1">
      <c r="A474" s="521"/>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c r="AF474" s="35"/>
      <c r="AG474" s="35"/>
      <c r="AH474" s="35"/>
      <c r="AI474" s="35"/>
      <c r="AJ474" s="35"/>
      <c r="AK474" s="35"/>
      <c r="AL474" s="35"/>
      <c r="AM474" s="35"/>
      <c r="AN474" s="35"/>
      <c r="AO474" s="35"/>
      <c r="AP474" s="35"/>
      <c r="AQ474" s="35"/>
      <c r="AR474" s="35"/>
      <c r="AS474" s="35"/>
      <c r="AT474" s="32"/>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1"/>
      <c r="CJ474" s="31"/>
      <c r="CK474" s="31"/>
      <c r="CL474" s="31"/>
      <c r="CM474" s="35"/>
      <c r="CN474" s="35"/>
      <c r="CO474" s="35"/>
      <c r="CP474" s="35"/>
      <c r="CQ474" s="35"/>
      <c r="CR474" s="35"/>
      <c r="CS474" s="35"/>
      <c r="CT474" s="35"/>
      <c r="CU474" s="35"/>
      <c r="CV474" s="35"/>
      <c r="CW474" s="35"/>
      <c r="CX474" s="35"/>
      <c r="CY474" s="31"/>
      <c r="CZ474" s="31"/>
      <c r="DA474" s="35"/>
      <c r="DB474" s="35"/>
      <c r="DC474" s="35"/>
      <c r="DD474" s="31"/>
      <c r="DE474" s="31"/>
      <c r="DF474" s="35"/>
      <c r="DG474" s="35"/>
      <c r="DH474" s="31"/>
      <c r="DI474" s="31"/>
      <c r="DJ474" s="31"/>
      <c r="DK474" s="31"/>
      <c r="DL474" s="35"/>
      <c r="DM474" s="31"/>
      <c r="DN474" s="31"/>
      <c r="DO474" s="31"/>
      <c r="DP474" s="31"/>
      <c r="DQ474" s="35"/>
      <c r="DR474" s="31"/>
      <c r="DS474" s="31"/>
      <c r="DT474" s="31"/>
      <c r="DU474" s="31"/>
      <c r="DV474" s="35"/>
      <c r="DW474" s="31"/>
      <c r="DX474" s="31"/>
      <c r="DY474" s="31"/>
      <c r="DZ474" s="31"/>
      <c r="EA474" s="35"/>
      <c r="EB474" s="31"/>
      <c r="EC474" s="31"/>
      <c r="ED474" s="31"/>
      <c r="EE474" s="31"/>
      <c r="EF474" s="35"/>
      <c r="EG474" s="31"/>
      <c r="EH474" s="31"/>
      <c r="EI474" s="31"/>
      <c r="EJ474" s="31"/>
      <c r="EK474" s="35"/>
      <c r="EL474" s="31"/>
      <c r="EM474" s="31"/>
      <c r="EN474" s="31"/>
      <c r="EO474" s="31"/>
      <c r="EP474" s="35"/>
      <c r="EQ474" s="31"/>
      <c r="ER474" s="31"/>
      <c r="ES474" s="31"/>
      <c r="ET474" s="31"/>
      <c r="EU474" s="35"/>
      <c r="EV474" s="35"/>
      <c r="EW474" s="35"/>
      <c r="EX474" s="35"/>
      <c r="EY474" s="35"/>
      <c r="EZ474" s="129"/>
    </row>
    <row r="475" spans="1:156" ht="11.25" customHeight="1">
      <c r="A475" s="521"/>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c r="AF475" s="35"/>
      <c r="AG475" s="35"/>
      <c r="AH475" s="35"/>
      <c r="AI475" s="35"/>
      <c r="AJ475" s="35"/>
      <c r="AK475" s="35"/>
      <c r="AL475" s="35"/>
      <c r="AM475" s="35"/>
      <c r="AN475" s="35"/>
      <c r="AO475" s="35"/>
      <c r="AP475" s="35"/>
      <c r="AQ475" s="35"/>
      <c r="AR475" s="35"/>
      <c r="AS475" s="35"/>
      <c r="AT475" s="32"/>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1"/>
      <c r="CJ475" s="31"/>
      <c r="CK475" s="31"/>
      <c r="CL475" s="31"/>
      <c r="CM475" s="35"/>
      <c r="CN475" s="35"/>
      <c r="CO475" s="35"/>
      <c r="CP475" s="35"/>
      <c r="CQ475" s="35"/>
      <c r="CR475" s="35"/>
      <c r="CS475" s="35"/>
      <c r="CT475" s="35"/>
      <c r="CU475" s="35"/>
      <c r="CV475" s="35"/>
      <c r="CW475" s="35"/>
      <c r="CX475" s="35"/>
      <c r="CY475" s="31"/>
      <c r="CZ475" s="31"/>
      <c r="DA475" s="35"/>
      <c r="DB475" s="35"/>
      <c r="DC475" s="35"/>
      <c r="DD475" s="31"/>
      <c r="DE475" s="31"/>
      <c r="DF475" s="35"/>
      <c r="DG475" s="35"/>
      <c r="DH475" s="31"/>
      <c r="DI475" s="31"/>
      <c r="DJ475" s="31"/>
      <c r="DK475" s="31"/>
      <c r="DL475" s="35"/>
      <c r="DM475" s="31"/>
      <c r="DN475" s="31"/>
      <c r="DO475" s="31"/>
      <c r="DP475" s="31"/>
      <c r="DQ475" s="35"/>
      <c r="DR475" s="31"/>
      <c r="DS475" s="31"/>
      <c r="DT475" s="31"/>
      <c r="DU475" s="31"/>
      <c r="DV475" s="35"/>
      <c r="DW475" s="31"/>
      <c r="DX475" s="31"/>
      <c r="DY475" s="31"/>
      <c r="DZ475" s="31"/>
      <c r="EA475" s="35"/>
      <c r="EB475" s="31"/>
      <c r="EC475" s="31"/>
      <c r="ED475" s="31"/>
      <c r="EE475" s="31"/>
      <c r="EF475" s="35"/>
      <c r="EG475" s="31"/>
      <c r="EH475" s="31"/>
      <c r="EI475" s="31"/>
      <c r="EJ475" s="31"/>
      <c r="EK475" s="35"/>
      <c r="EL475" s="31"/>
      <c r="EM475" s="31"/>
      <c r="EN475" s="31"/>
      <c r="EO475" s="31"/>
      <c r="EP475" s="35"/>
      <c r="EQ475" s="31"/>
      <c r="ER475" s="31"/>
      <c r="ES475" s="31"/>
      <c r="ET475" s="31"/>
      <c r="EU475" s="35"/>
      <c r="EV475" s="35"/>
      <c r="EW475" s="35"/>
      <c r="EX475" s="35"/>
      <c r="EY475" s="35"/>
      <c r="EZ475" s="129"/>
    </row>
    <row r="476" spans="1:156" ht="11.25" customHeight="1">
      <c r="A476" s="521"/>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c r="AF476" s="35"/>
      <c r="AG476" s="35"/>
      <c r="AH476" s="35"/>
      <c r="AI476" s="35"/>
      <c r="AJ476" s="35"/>
      <c r="AK476" s="35"/>
      <c r="AL476" s="35"/>
      <c r="AM476" s="35"/>
      <c r="AN476" s="35"/>
      <c r="AO476" s="35"/>
      <c r="AP476" s="35"/>
      <c r="AQ476" s="35"/>
      <c r="AR476" s="35"/>
      <c r="AS476" s="35"/>
      <c r="AT476" s="32"/>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1"/>
      <c r="CJ476" s="31"/>
      <c r="CK476" s="31"/>
      <c r="CL476" s="31"/>
      <c r="CM476" s="35"/>
      <c r="CN476" s="35"/>
      <c r="CO476" s="35"/>
      <c r="CP476" s="35"/>
      <c r="CQ476" s="35"/>
      <c r="CR476" s="35"/>
      <c r="CS476" s="35"/>
      <c r="CT476" s="35"/>
      <c r="CU476" s="35"/>
      <c r="CV476" s="35"/>
      <c r="CW476" s="35"/>
      <c r="CX476" s="35"/>
      <c r="CY476" s="31"/>
      <c r="CZ476" s="31"/>
      <c r="DA476" s="35"/>
      <c r="DB476" s="35"/>
      <c r="DC476" s="35"/>
      <c r="DD476" s="31"/>
      <c r="DE476" s="31"/>
      <c r="DF476" s="35"/>
      <c r="DG476" s="35"/>
      <c r="DH476" s="31"/>
      <c r="DI476" s="31"/>
      <c r="DJ476" s="31"/>
      <c r="DK476" s="31"/>
      <c r="DL476" s="35"/>
      <c r="DM476" s="31"/>
      <c r="DN476" s="31"/>
      <c r="DO476" s="31"/>
      <c r="DP476" s="31"/>
      <c r="DQ476" s="35"/>
      <c r="DR476" s="31"/>
      <c r="DS476" s="31"/>
      <c r="DT476" s="31"/>
      <c r="DU476" s="31"/>
      <c r="DV476" s="35"/>
      <c r="DW476" s="31"/>
      <c r="DX476" s="31"/>
      <c r="DY476" s="31"/>
      <c r="DZ476" s="31"/>
      <c r="EA476" s="35"/>
      <c r="EB476" s="31"/>
      <c r="EC476" s="31"/>
      <c r="ED476" s="31"/>
      <c r="EE476" s="31"/>
      <c r="EF476" s="35"/>
      <c r="EG476" s="31"/>
      <c r="EH476" s="31"/>
      <c r="EI476" s="31"/>
      <c r="EJ476" s="31"/>
      <c r="EK476" s="35"/>
      <c r="EL476" s="31"/>
      <c r="EM476" s="31"/>
      <c r="EN476" s="31"/>
      <c r="EO476" s="31"/>
      <c r="EP476" s="35"/>
      <c r="EQ476" s="31"/>
      <c r="ER476" s="31"/>
      <c r="ES476" s="31"/>
      <c r="ET476" s="31"/>
      <c r="EU476" s="35"/>
      <c r="EV476" s="35"/>
      <c r="EW476" s="35"/>
      <c r="EX476" s="35"/>
      <c r="EY476" s="35"/>
      <c r="EZ476" s="129"/>
    </row>
    <row r="477" spans="1:156" ht="11.25" customHeight="1">
      <c r="A477" s="521"/>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c r="AF477" s="35"/>
      <c r="AG477" s="35"/>
      <c r="AH477" s="35"/>
      <c r="AI477" s="35"/>
      <c r="AJ477" s="35"/>
      <c r="AK477" s="35"/>
      <c r="AL477" s="35"/>
      <c r="AM477" s="35"/>
      <c r="AN477" s="35"/>
      <c r="AO477" s="35"/>
      <c r="AP477" s="35"/>
      <c r="AQ477" s="35"/>
      <c r="AR477" s="35"/>
      <c r="AS477" s="35"/>
      <c r="AT477" s="32"/>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1"/>
      <c r="CJ477" s="31"/>
      <c r="CK477" s="31"/>
      <c r="CL477" s="31"/>
      <c r="CM477" s="35"/>
      <c r="CN477" s="35"/>
      <c r="CO477" s="35"/>
      <c r="CP477" s="35"/>
      <c r="CQ477" s="35"/>
      <c r="CR477" s="35"/>
      <c r="CS477" s="35"/>
      <c r="CT477" s="35"/>
      <c r="CU477" s="35"/>
      <c r="CV477" s="35"/>
      <c r="CW477" s="35"/>
      <c r="CX477" s="35"/>
      <c r="CY477" s="31"/>
      <c r="CZ477" s="31"/>
      <c r="DA477" s="35"/>
      <c r="DB477" s="35"/>
      <c r="DC477" s="35"/>
      <c r="DD477" s="31"/>
      <c r="DE477" s="31"/>
      <c r="DF477" s="35"/>
      <c r="DG477" s="35"/>
      <c r="DH477" s="31"/>
      <c r="DI477" s="31"/>
      <c r="DJ477" s="31"/>
      <c r="DK477" s="31"/>
      <c r="DL477" s="35"/>
      <c r="DM477" s="31"/>
      <c r="DN477" s="31"/>
      <c r="DO477" s="31"/>
      <c r="DP477" s="31"/>
      <c r="DQ477" s="35"/>
      <c r="DR477" s="31"/>
      <c r="DS477" s="31"/>
      <c r="DT477" s="31"/>
      <c r="DU477" s="31"/>
      <c r="DV477" s="35"/>
      <c r="DW477" s="31"/>
      <c r="DX477" s="31"/>
      <c r="DY477" s="31"/>
      <c r="DZ477" s="31"/>
      <c r="EA477" s="35"/>
      <c r="EB477" s="31"/>
      <c r="EC477" s="31"/>
      <c r="ED477" s="31"/>
      <c r="EE477" s="31"/>
      <c r="EF477" s="35"/>
      <c r="EG477" s="31"/>
      <c r="EH477" s="31"/>
      <c r="EI477" s="31"/>
      <c r="EJ477" s="31"/>
      <c r="EK477" s="35"/>
      <c r="EL477" s="31"/>
      <c r="EM477" s="31"/>
      <c r="EN477" s="31"/>
      <c r="EO477" s="31"/>
      <c r="EP477" s="35"/>
      <c r="EQ477" s="31"/>
      <c r="ER477" s="31"/>
      <c r="ES477" s="31"/>
      <c r="ET477" s="31"/>
      <c r="EU477" s="35"/>
      <c r="EV477" s="35"/>
      <c r="EW477" s="35"/>
      <c r="EX477" s="35"/>
      <c r="EY477" s="35"/>
      <c r="EZ477" s="129"/>
    </row>
    <row r="478" spans="1:156" ht="11.25" customHeight="1">
      <c r="A478" s="521"/>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c r="AF478" s="35"/>
      <c r="AG478" s="35"/>
      <c r="AH478" s="35"/>
      <c r="AI478" s="35"/>
      <c r="AJ478" s="35"/>
      <c r="AK478" s="35"/>
      <c r="AL478" s="35"/>
      <c r="AM478" s="35"/>
      <c r="AN478" s="35"/>
      <c r="AO478" s="35"/>
      <c r="AP478" s="35"/>
      <c r="AQ478" s="35"/>
      <c r="AR478" s="35"/>
      <c r="AS478" s="35"/>
      <c r="AT478" s="32"/>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1"/>
      <c r="CJ478" s="31"/>
      <c r="CK478" s="31"/>
      <c r="CL478" s="31"/>
      <c r="CM478" s="35"/>
      <c r="CN478" s="35"/>
      <c r="CO478" s="35"/>
      <c r="CP478" s="35"/>
      <c r="CQ478" s="35"/>
      <c r="CR478" s="35"/>
      <c r="CS478" s="35"/>
      <c r="CT478" s="35"/>
      <c r="CU478" s="35"/>
      <c r="CV478" s="35"/>
      <c r="CW478" s="35"/>
      <c r="CX478" s="35"/>
      <c r="CY478" s="31"/>
      <c r="CZ478" s="31"/>
      <c r="DA478" s="35"/>
      <c r="DB478" s="35"/>
      <c r="DC478" s="35"/>
      <c r="DD478" s="31"/>
      <c r="DE478" s="31"/>
      <c r="DF478" s="35"/>
      <c r="DG478" s="35"/>
      <c r="DH478" s="31"/>
      <c r="DI478" s="31"/>
      <c r="DJ478" s="31"/>
      <c r="DK478" s="31"/>
      <c r="DL478" s="35"/>
      <c r="DM478" s="31"/>
      <c r="DN478" s="31"/>
      <c r="DO478" s="31"/>
      <c r="DP478" s="31"/>
      <c r="DQ478" s="35"/>
      <c r="DR478" s="31"/>
      <c r="DS478" s="31"/>
      <c r="DT478" s="31"/>
      <c r="DU478" s="31"/>
      <c r="DV478" s="35"/>
      <c r="DW478" s="31"/>
      <c r="DX478" s="31"/>
      <c r="DY478" s="31"/>
      <c r="DZ478" s="31"/>
      <c r="EA478" s="35"/>
      <c r="EB478" s="31"/>
      <c r="EC478" s="31"/>
      <c r="ED478" s="31"/>
      <c r="EE478" s="31"/>
      <c r="EF478" s="35"/>
      <c r="EG478" s="31"/>
      <c r="EH478" s="31"/>
      <c r="EI478" s="31"/>
      <c r="EJ478" s="31"/>
      <c r="EK478" s="35"/>
      <c r="EL478" s="31"/>
      <c r="EM478" s="31"/>
      <c r="EN478" s="31"/>
      <c r="EO478" s="31"/>
      <c r="EP478" s="35"/>
      <c r="EQ478" s="31"/>
      <c r="ER478" s="31"/>
      <c r="ES478" s="31"/>
      <c r="ET478" s="31"/>
      <c r="EU478" s="35"/>
      <c r="EV478" s="35"/>
      <c r="EW478" s="35"/>
      <c r="EX478" s="35"/>
      <c r="EY478" s="35"/>
      <c r="EZ478" s="129"/>
    </row>
    <row r="479" spans="1:156" ht="11.25" customHeight="1">
      <c r="A479" s="521"/>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c r="AF479" s="35"/>
      <c r="AG479" s="35"/>
      <c r="AH479" s="35"/>
      <c r="AI479" s="35"/>
      <c r="AJ479" s="35"/>
      <c r="AK479" s="35"/>
      <c r="AL479" s="35"/>
      <c r="AM479" s="35"/>
      <c r="AN479" s="35"/>
      <c r="AO479" s="35"/>
      <c r="AP479" s="35"/>
      <c r="AQ479" s="35"/>
      <c r="AR479" s="35"/>
      <c r="AS479" s="35"/>
      <c r="AT479" s="32"/>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1"/>
      <c r="CJ479" s="31"/>
      <c r="CK479" s="31"/>
      <c r="CL479" s="31"/>
      <c r="CM479" s="35"/>
      <c r="CN479" s="35"/>
      <c r="CO479" s="35"/>
      <c r="CP479" s="35"/>
      <c r="CQ479" s="35"/>
      <c r="CR479" s="35"/>
      <c r="CS479" s="35"/>
      <c r="CT479" s="35"/>
      <c r="CU479" s="35"/>
      <c r="CV479" s="35"/>
      <c r="CW479" s="35"/>
      <c r="CX479" s="35"/>
      <c r="CY479" s="31"/>
      <c r="CZ479" s="31"/>
      <c r="DA479" s="35"/>
      <c r="DB479" s="35"/>
      <c r="DC479" s="35"/>
      <c r="DD479" s="31"/>
      <c r="DE479" s="31"/>
      <c r="DF479" s="35"/>
      <c r="DG479" s="35"/>
      <c r="DH479" s="31"/>
      <c r="DI479" s="31"/>
      <c r="DJ479" s="31"/>
      <c r="DK479" s="31"/>
      <c r="DL479" s="35"/>
      <c r="DM479" s="31"/>
      <c r="DN479" s="31"/>
      <c r="DO479" s="31"/>
      <c r="DP479" s="31"/>
      <c r="DQ479" s="35"/>
      <c r="DR479" s="31"/>
      <c r="DS479" s="31"/>
      <c r="DT479" s="31"/>
      <c r="DU479" s="31"/>
      <c r="DV479" s="35"/>
      <c r="DW479" s="31"/>
      <c r="DX479" s="31"/>
      <c r="DY479" s="31"/>
      <c r="DZ479" s="31"/>
      <c r="EA479" s="35"/>
      <c r="EB479" s="31"/>
      <c r="EC479" s="31"/>
      <c r="ED479" s="31"/>
      <c r="EE479" s="31"/>
      <c r="EF479" s="35"/>
      <c r="EG479" s="31"/>
      <c r="EH479" s="31"/>
      <c r="EI479" s="31"/>
      <c r="EJ479" s="31"/>
      <c r="EK479" s="35"/>
      <c r="EL479" s="31"/>
      <c r="EM479" s="31"/>
      <c r="EN479" s="31"/>
      <c r="EO479" s="31"/>
      <c r="EP479" s="35"/>
      <c r="EQ479" s="31"/>
      <c r="ER479" s="31"/>
      <c r="ES479" s="31"/>
      <c r="ET479" s="31"/>
      <c r="EU479" s="35"/>
      <c r="EV479" s="35"/>
      <c r="EW479" s="35"/>
      <c r="EX479" s="35"/>
      <c r="EY479" s="35"/>
      <c r="EZ479" s="129"/>
    </row>
    <row r="480" spans="1:156" ht="11.25" customHeight="1">
      <c r="A480" s="521"/>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c r="AF480" s="35"/>
      <c r="AG480" s="35"/>
      <c r="AH480" s="35"/>
      <c r="AI480" s="35"/>
      <c r="AJ480" s="35"/>
      <c r="AK480" s="35"/>
      <c r="AL480" s="35"/>
      <c r="AM480" s="35"/>
      <c r="AN480" s="35"/>
      <c r="AO480" s="35"/>
      <c r="AP480" s="35"/>
      <c r="AQ480" s="35"/>
      <c r="AR480" s="35"/>
      <c r="AS480" s="35"/>
      <c r="AT480" s="32"/>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1"/>
      <c r="CJ480" s="31"/>
      <c r="CK480" s="31"/>
      <c r="CL480" s="31"/>
      <c r="CM480" s="35"/>
      <c r="CN480" s="35"/>
      <c r="CO480" s="35"/>
      <c r="CP480" s="35"/>
      <c r="CQ480" s="35"/>
      <c r="CR480" s="35"/>
      <c r="CS480" s="35"/>
      <c r="CT480" s="35"/>
      <c r="CU480" s="35"/>
      <c r="CV480" s="35"/>
      <c r="CW480" s="35"/>
      <c r="CX480" s="35"/>
      <c r="CY480" s="31"/>
      <c r="CZ480" s="31"/>
      <c r="DA480" s="35"/>
      <c r="DB480" s="35"/>
      <c r="DC480" s="35"/>
      <c r="DD480" s="31"/>
      <c r="DE480" s="31"/>
      <c r="DF480" s="35"/>
      <c r="DG480" s="35"/>
      <c r="DH480" s="31"/>
      <c r="DI480" s="31"/>
      <c r="DJ480" s="31"/>
      <c r="DK480" s="31"/>
      <c r="DL480" s="35"/>
      <c r="DM480" s="31"/>
      <c r="DN480" s="31"/>
      <c r="DO480" s="31"/>
      <c r="DP480" s="31"/>
      <c r="DQ480" s="35"/>
      <c r="DR480" s="31"/>
      <c r="DS480" s="31"/>
      <c r="DT480" s="31"/>
      <c r="DU480" s="31"/>
      <c r="DV480" s="35"/>
      <c r="DW480" s="31"/>
      <c r="DX480" s="31"/>
      <c r="DY480" s="31"/>
      <c r="DZ480" s="31"/>
      <c r="EA480" s="35"/>
      <c r="EB480" s="31"/>
      <c r="EC480" s="31"/>
      <c r="ED480" s="31"/>
      <c r="EE480" s="31"/>
      <c r="EF480" s="35"/>
      <c r="EG480" s="31"/>
      <c r="EH480" s="31"/>
      <c r="EI480" s="31"/>
      <c r="EJ480" s="31"/>
      <c r="EK480" s="35"/>
      <c r="EL480" s="31"/>
      <c r="EM480" s="31"/>
      <c r="EN480" s="31"/>
      <c r="EO480" s="31"/>
      <c r="EP480" s="35"/>
      <c r="EQ480" s="31"/>
      <c r="ER480" s="31"/>
      <c r="ES480" s="31"/>
      <c r="ET480" s="31"/>
      <c r="EU480" s="35"/>
      <c r="EV480" s="35"/>
      <c r="EW480" s="35"/>
      <c r="EX480" s="35"/>
      <c r="EY480" s="35"/>
      <c r="EZ480" s="129"/>
    </row>
    <row r="481" spans="1:156" ht="11.25" customHeight="1">
      <c r="A481" s="521"/>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c r="AF481" s="35"/>
      <c r="AG481" s="35"/>
      <c r="AH481" s="35"/>
      <c r="AI481" s="35"/>
      <c r="AJ481" s="35"/>
      <c r="AK481" s="35"/>
      <c r="AL481" s="35"/>
      <c r="AM481" s="35"/>
      <c r="AN481" s="35"/>
      <c r="AO481" s="35"/>
      <c r="AP481" s="35"/>
      <c r="AQ481" s="35"/>
      <c r="AR481" s="35"/>
      <c r="AS481" s="35"/>
      <c r="AT481" s="32"/>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1"/>
      <c r="CJ481" s="31"/>
      <c r="CK481" s="31"/>
      <c r="CL481" s="31"/>
      <c r="CM481" s="35"/>
      <c r="CN481" s="35"/>
      <c r="CO481" s="35"/>
      <c r="CP481" s="35"/>
      <c r="CQ481" s="35"/>
      <c r="CR481" s="35"/>
      <c r="CS481" s="35"/>
      <c r="CT481" s="35"/>
      <c r="CU481" s="35"/>
      <c r="CV481" s="35"/>
      <c r="CW481" s="35"/>
      <c r="CX481" s="35"/>
      <c r="CY481" s="31"/>
      <c r="CZ481" s="31"/>
      <c r="DA481" s="35"/>
      <c r="DB481" s="35"/>
      <c r="DC481" s="35"/>
      <c r="DD481" s="31"/>
      <c r="DE481" s="31"/>
      <c r="DF481" s="35"/>
      <c r="DG481" s="35"/>
      <c r="DH481" s="31"/>
      <c r="DI481" s="31"/>
      <c r="DJ481" s="31"/>
      <c r="DK481" s="31"/>
      <c r="DL481" s="35"/>
      <c r="DM481" s="31"/>
      <c r="DN481" s="31"/>
      <c r="DO481" s="31"/>
      <c r="DP481" s="31"/>
      <c r="DQ481" s="35"/>
      <c r="DR481" s="31"/>
      <c r="DS481" s="31"/>
      <c r="DT481" s="31"/>
      <c r="DU481" s="31"/>
      <c r="DV481" s="35"/>
      <c r="DW481" s="31"/>
      <c r="DX481" s="31"/>
      <c r="DY481" s="31"/>
      <c r="DZ481" s="31"/>
      <c r="EA481" s="35"/>
      <c r="EB481" s="31"/>
      <c r="EC481" s="31"/>
      <c r="ED481" s="31"/>
      <c r="EE481" s="31"/>
      <c r="EF481" s="35"/>
      <c r="EG481" s="31"/>
      <c r="EH481" s="31"/>
      <c r="EI481" s="31"/>
      <c r="EJ481" s="31"/>
      <c r="EK481" s="35"/>
      <c r="EL481" s="31"/>
      <c r="EM481" s="31"/>
      <c r="EN481" s="31"/>
      <c r="EO481" s="31"/>
      <c r="EP481" s="35"/>
      <c r="EQ481" s="31"/>
      <c r="ER481" s="31"/>
      <c r="ES481" s="31"/>
      <c r="ET481" s="31"/>
      <c r="EU481" s="35"/>
      <c r="EV481" s="35"/>
      <c r="EW481" s="35"/>
      <c r="EX481" s="35"/>
      <c r="EY481" s="35"/>
      <c r="EZ481" s="129"/>
    </row>
    <row r="482" spans="1:156" ht="11.25" customHeight="1">
      <c r="A482" s="521"/>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c r="AF482" s="35"/>
      <c r="AG482" s="35"/>
      <c r="AH482" s="35"/>
      <c r="AI482" s="35"/>
      <c r="AJ482" s="35"/>
      <c r="AK482" s="35"/>
      <c r="AL482" s="35"/>
      <c r="AM482" s="35"/>
      <c r="AN482" s="35"/>
      <c r="AO482" s="35"/>
      <c r="AP482" s="35"/>
      <c r="AQ482" s="35"/>
      <c r="AR482" s="35"/>
      <c r="AS482" s="35"/>
      <c r="AT482" s="32"/>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1"/>
      <c r="CJ482" s="31"/>
      <c r="CK482" s="31"/>
      <c r="CL482" s="31"/>
      <c r="CM482" s="35"/>
      <c r="CN482" s="35"/>
      <c r="CO482" s="35"/>
      <c r="CP482" s="35"/>
      <c r="CQ482" s="35"/>
      <c r="CR482" s="35"/>
      <c r="CS482" s="35"/>
      <c r="CT482" s="35"/>
      <c r="CU482" s="35"/>
      <c r="CV482" s="35"/>
      <c r="CW482" s="35"/>
      <c r="CX482" s="35"/>
      <c r="CY482" s="31"/>
      <c r="CZ482" s="31"/>
      <c r="DA482" s="35"/>
      <c r="DB482" s="35"/>
      <c r="DC482" s="35"/>
      <c r="DD482" s="31"/>
      <c r="DE482" s="31"/>
      <c r="DF482" s="35"/>
      <c r="DG482" s="35"/>
      <c r="DH482" s="31"/>
      <c r="DI482" s="31"/>
      <c r="DJ482" s="31"/>
      <c r="DK482" s="31"/>
      <c r="DL482" s="35"/>
      <c r="DM482" s="31"/>
      <c r="DN482" s="31"/>
      <c r="DO482" s="31"/>
      <c r="DP482" s="31"/>
      <c r="DQ482" s="35"/>
      <c r="DR482" s="31"/>
      <c r="DS482" s="31"/>
      <c r="DT482" s="31"/>
      <c r="DU482" s="31"/>
      <c r="DV482" s="35"/>
      <c r="DW482" s="31"/>
      <c r="DX482" s="31"/>
      <c r="DY482" s="31"/>
      <c r="DZ482" s="31"/>
      <c r="EA482" s="35"/>
      <c r="EB482" s="31"/>
      <c r="EC482" s="31"/>
      <c r="ED482" s="31"/>
      <c r="EE482" s="31"/>
      <c r="EF482" s="35"/>
      <c r="EG482" s="31"/>
      <c r="EH482" s="31"/>
      <c r="EI482" s="31"/>
      <c r="EJ482" s="31"/>
      <c r="EK482" s="35"/>
      <c r="EL482" s="31"/>
      <c r="EM482" s="31"/>
      <c r="EN482" s="31"/>
      <c r="EO482" s="31"/>
      <c r="EP482" s="35"/>
      <c r="EQ482" s="31"/>
      <c r="ER482" s="31"/>
      <c r="ES482" s="31"/>
      <c r="ET482" s="31"/>
      <c r="EU482" s="35"/>
      <c r="EV482" s="35"/>
      <c r="EW482" s="35"/>
      <c r="EX482" s="35"/>
      <c r="EY482" s="35"/>
      <c r="EZ482" s="129"/>
    </row>
    <row r="483" spans="1:156" ht="11.25" customHeight="1">
      <c r="A483" s="521"/>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c r="AF483" s="35"/>
      <c r="AG483" s="35"/>
      <c r="AH483" s="35"/>
      <c r="AI483" s="35"/>
      <c r="AJ483" s="35"/>
      <c r="AK483" s="35"/>
      <c r="AL483" s="35"/>
      <c r="AM483" s="35"/>
      <c r="AN483" s="35"/>
      <c r="AO483" s="35"/>
      <c r="AP483" s="35"/>
      <c r="AQ483" s="35"/>
      <c r="AR483" s="35"/>
      <c r="AS483" s="35"/>
      <c r="AT483" s="32"/>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1"/>
      <c r="CJ483" s="31"/>
      <c r="CK483" s="31"/>
      <c r="CL483" s="31"/>
      <c r="CM483" s="35"/>
      <c r="CN483" s="35"/>
      <c r="CO483" s="35"/>
      <c r="CP483" s="35"/>
      <c r="CQ483" s="35"/>
      <c r="CR483" s="35"/>
      <c r="CS483" s="35"/>
      <c r="CT483" s="35"/>
      <c r="CU483" s="35"/>
      <c r="CV483" s="35"/>
      <c r="CW483" s="35"/>
      <c r="CX483" s="35"/>
      <c r="CY483" s="31"/>
      <c r="CZ483" s="31"/>
      <c r="DA483" s="35"/>
      <c r="DB483" s="35"/>
      <c r="DC483" s="35"/>
      <c r="DD483" s="31"/>
      <c r="DE483" s="31"/>
      <c r="DF483" s="35"/>
      <c r="DG483" s="35"/>
      <c r="DH483" s="31"/>
      <c r="DI483" s="31"/>
      <c r="DJ483" s="31"/>
      <c r="DK483" s="31"/>
      <c r="DL483" s="35"/>
      <c r="DM483" s="31"/>
      <c r="DN483" s="31"/>
      <c r="DO483" s="31"/>
      <c r="DP483" s="31"/>
      <c r="DQ483" s="35"/>
      <c r="DR483" s="31"/>
      <c r="DS483" s="31"/>
      <c r="DT483" s="31"/>
      <c r="DU483" s="31"/>
      <c r="DV483" s="35"/>
      <c r="DW483" s="31"/>
      <c r="DX483" s="31"/>
      <c r="DY483" s="31"/>
      <c r="DZ483" s="31"/>
      <c r="EA483" s="35"/>
      <c r="EB483" s="31"/>
      <c r="EC483" s="31"/>
      <c r="ED483" s="31"/>
      <c r="EE483" s="31"/>
      <c r="EF483" s="35"/>
      <c r="EG483" s="31"/>
      <c r="EH483" s="31"/>
      <c r="EI483" s="31"/>
      <c r="EJ483" s="31"/>
      <c r="EK483" s="35"/>
      <c r="EL483" s="31"/>
      <c r="EM483" s="31"/>
      <c r="EN483" s="31"/>
      <c r="EO483" s="31"/>
      <c r="EP483" s="35"/>
      <c r="EQ483" s="31"/>
      <c r="ER483" s="31"/>
      <c r="ES483" s="31"/>
      <c r="ET483" s="31"/>
      <c r="EU483" s="35"/>
      <c r="EV483" s="35"/>
      <c r="EW483" s="35"/>
      <c r="EX483" s="35"/>
      <c r="EY483" s="35"/>
      <c r="EZ483" s="129"/>
    </row>
    <row r="484" spans="1:156" ht="11.25" customHeight="1">
      <c r="A484" s="521"/>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c r="AF484" s="35"/>
      <c r="AG484" s="35"/>
      <c r="AH484" s="35"/>
      <c r="AI484" s="35"/>
      <c r="AJ484" s="35"/>
      <c r="AK484" s="35"/>
      <c r="AL484" s="35"/>
      <c r="AM484" s="35"/>
      <c r="AN484" s="35"/>
      <c r="AO484" s="35"/>
      <c r="AP484" s="35"/>
      <c r="AQ484" s="35"/>
      <c r="AR484" s="35"/>
      <c r="AS484" s="35"/>
      <c r="AT484" s="32"/>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1"/>
      <c r="CJ484" s="31"/>
      <c r="CK484" s="31"/>
      <c r="CL484" s="31"/>
      <c r="CM484" s="35"/>
      <c r="CN484" s="35"/>
      <c r="CO484" s="35"/>
      <c r="CP484" s="35"/>
      <c r="CQ484" s="35"/>
      <c r="CR484" s="35"/>
      <c r="CS484" s="35"/>
      <c r="CT484" s="35"/>
      <c r="CU484" s="35"/>
      <c r="CV484" s="35"/>
      <c r="CW484" s="35"/>
      <c r="CX484" s="35"/>
      <c r="CY484" s="31"/>
      <c r="CZ484" s="31"/>
      <c r="DA484" s="35"/>
      <c r="DB484" s="35"/>
      <c r="DC484" s="35"/>
      <c r="DD484" s="31"/>
      <c r="DE484" s="31"/>
      <c r="DF484" s="35"/>
      <c r="DG484" s="35"/>
      <c r="DH484" s="31"/>
      <c r="DI484" s="31"/>
      <c r="DJ484" s="31"/>
      <c r="DK484" s="31"/>
      <c r="DL484" s="35"/>
      <c r="DM484" s="31"/>
      <c r="DN484" s="31"/>
      <c r="DO484" s="31"/>
      <c r="DP484" s="31"/>
      <c r="DQ484" s="35"/>
      <c r="DR484" s="31"/>
      <c r="DS484" s="31"/>
      <c r="DT484" s="31"/>
      <c r="DU484" s="31"/>
      <c r="DV484" s="35"/>
      <c r="DW484" s="31"/>
      <c r="DX484" s="31"/>
      <c r="DY484" s="31"/>
      <c r="DZ484" s="31"/>
      <c r="EA484" s="35"/>
      <c r="EB484" s="31"/>
      <c r="EC484" s="31"/>
      <c r="ED484" s="31"/>
      <c r="EE484" s="31"/>
      <c r="EF484" s="35"/>
      <c r="EG484" s="31"/>
      <c r="EH484" s="31"/>
      <c r="EI484" s="31"/>
      <c r="EJ484" s="31"/>
      <c r="EK484" s="35"/>
      <c r="EL484" s="31"/>
      <c r="EM484" s="31"/>
      <c r="EN484" s="31"/>
      <c r="EO484" s="31"/>
      <c r="EP484" s="35"/>
      <c r="EQ484" s="31"/>
      <c r="ER484" s="31"/>
      <c r="ES484" s="31"/>
      <c r="ET484" s="31"/>
      <c r="EU484" s="35"/>
      <c r="EV484" s="35"/>
      <c r="EW484" s="35"/>
      <c r="EX484" s="35"/>
      <c r="EY484" s="35"/>
      <c r="EZ484" s="129"/>
    </row>
    <row r="485" spans="1:156" ht="11.25" customHeight="1">
      <c r="A485" s="521"/>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c r="AF485" s="35"/>
      <c r="AG485" s="35"/>
      <c r="AH485" s="35"/>
      <c r="AI485" s="35"/>
      <c r="AJ485" s="35"/>
      <c r="AK485" s="35"/>
      <c r="AL485" s="35"/>
      <c r="AM485" s="35"/>
      <c r="AN485" s="35"/>
      <c r="AO485" s="35"/>
      <c r="AP485" s="35"/>
      <c r="AQ485" s="35"/>
      <c r="AR485" s="35"/>
      <c r="AS485" s="35"/>
      <c r="AT485" s="32"/>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1"/>
      <c r="CJ485" s="31"/>
      <c r="CK485" s="31"/>
      <c r="CL485" s="31"/>
      <c r="CM485" s="35"/>
      <c r="CN485" s="35"/>
      <c r="CO485" s="35"/>
      <c r="CP485" s="35"/>
      <c r="CQ485" s="35"/>
      <c r="CR485" s="35"/>
      <c r="CS485" s="35"/>
      <c r="CT485" s="35"/>
      <c r="CU485" s="35"/>
      <c r="CV485" s="35"/>
      <c r="CW485" s="35"/>
      <c r="CX485" s="35"/>
      <c r="CY485" s="31"/>
      <c r="CZ485" s="31"/>
      <c r="DA485" s="35"/>
      <c r="DB485" s="35"/>
      <c r="DC485" s="35"/>
      <c r="DD485" s="31"/>
      <c r="DE485" s="31"/>
      <c r="DF485" s="35"/>
      <c r="DG485" s="35"/>
      <c r="DH485" s="31"/>
      <c r="DI485" s="31"/>
      <c r="DJ485" s="31"/>
      <c r="DK485" s="31"/>
      <c r="DL485" s="35"/>
      <c r="DM485" s="31"/>
      <c r="DN485" s="31"/>
      <c r="DO485" s="31"/>
      <c r="DP485" s="31"/>
      <c r="DQ485" s="35"/>
      <c r="DR485" s="31"/>
      <c r="DS485" s="31"/>
      <c r="DT485" s="31"/>
      <c r="DU485" s="31"/>
      <c r="DV485" s="35"/>
      <c r="DW485" s="31"/>
      <c r="DX485" s="31"/>
      <c r="DY485" s="31"/>
      <c r="DZ485" s="31"/>
      <c r="EA485" s="35"/>
      <c r="EB485" s="31"/>
      <c r="EC485" s="31"/>
      <c r="ED485" s="31"/>
      <c r="EE485" s="31"/>
      <c r="EF485" s="35"/>
      <c r="EG485" s="31"/>
      <c r="EH485" s="31"/>
      <c r="EI485" s="31"/>
      <c r="EJ485" s="31"/>
      <c r="EK485" s="35"/>
      <c r="EL485" s="31"/>
      <c r="EM485" s="31"/>
      <c r="EN485" s="31"/>
      <c r="EO485" s="31"/>
      <c r="EP485" s="35"/>
      <c r="EQ485" s="31"/>
      <c r="ER485" s="31"/>
      <c r="ES485" s="31"/>
      <c r="ET485" s="31"/>
      <c r="EU485" s="35"/>
      <c r="EV485" s="35"/>
      <c r="EW485" s="35"/>
      <c r="EX485" s="35"/>
      <c r="EY485" s="35"/>
      <c r="EZ485" s="129"/>
    </row>
    <row r="486" spans="1:156" ht="11.25" customHeight="1">
      <c r="A486" s="521"/>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c r="AF486" s="35"/>
      <c r="AG486" s="35"/>
      <c r="AH486" s="35"/>
      <c r="AI486" s="35"/>
      <c r="AJ486" s="35"/>
      <c r="AK486" s="35"/>
      <c r="AL486" s="35"/>
      <c r="AM486" s="35"/>
      <c r="AN486" s="35"/>
      <c r="AO486" s="35"/>
      <c r="AP486" s="35"/>
      <c r="AQ486" s="35"/>
      <c r="AR486" s="35"/>
      <c r="AS486" s="35"/>
      <c r="AT486" s="32"/>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1"/>
      <c r="CJ486" s="31"/>
      <c r="CK486" s="31"/>
      <c r="CL486" s="31"/>
      <c r="CM486" s="35"/>
      <c r="CN486" s="35"/>
      <c r="CO486" s="35"/>
      <c r="CP486" s="35"/>
      <c r="CQ486" s="35"/>
      <c r="CR486" s="35"/>
      <c r="CS486" s="35"/>
      <c r="CT486" s="35"/>
      <c r="CU486" s="35"/>
      <c r="CV486" s="35"/>
      <c r="CW486" s="35"/>
      <c r="CX486" s="35"/>
      <c r="CY486" s="31"/>
      <c r="CZ486" s="31"/>
      <c r="DA486" s="35"/>
      <c r="DB486" s="35"/>
      <c r="DC486" s="35"/>
      <c r="DD486" s="31"/>
      <c r="DE486" s="31"/>
      <c r="DF486" s="35"/>
      <c r="DG486" s="35"/>
      <c r="DH486" s="31"/>
      <c r="DI486" s="31"/>
      <c r="DJ486" s="31"/>
      <c r="DK486" s="31"/>
      <c r="DL486" s="35"/>
      <c r="DM486" s="31"/>
      <c r="DN486" s="31"/>
      <c r="DO486" s="31"/>
      <c r="DP486" s="31"/>
      <c r="DQ486" s="35"/>
      <c r="DR486" s="31"/>
      <c r="DS486" s="31"/>
      <c r="DT486" s="31"/>
      <c r="DU486" s="31"/>
      <c r="DV486" s="35"/>
      <c r="DW486" s="31"/>
      <c r="DX486" s="31"/>
      <c r="DY486" s="31"/>
      <c r="DZ486" s="31"/>
      <c r="EA486" s="35"/>
      <c r="EB486" s="31"/>
      <c r="EC486" s="31"/>
      <c r="ED486" s="31"/>
      <c r="EE486" s="31"/>
      <c r="EF486" s="35"/>
      <c r="EG486" s="31"/>
      <c r="EH486" s="31"/>
      <c r="EI486" s="31"/>
      <c r="EJ486" s="31"/>
      <c r="EK486" s="35"/>
      <c r="EL486" s="31"/>
      <c r="EM486" s="31"/>
      <c r="EN486" s="31"/>
      <c r="EO486" s="31"/>
      <c r="EP486" s="35"/>
      <c r="EQ486" s="31"/>
      <c r="ER486" s="31"/>
      <c r="ES486" s="31"/>
      <c r="ET486" s="31"/>
      <c r="EU486" s="35"/>
      <c r="EV486" s="35"/>
      <c r="EW486" s="35"/>
      <c r="EX486" s="35"/>
      <c r="EY486" s="35"/>
      <c r="EZ486" s="129"/>
    </row>
    <row r="487" spans="1:156" ht="11.25" customHeight="1">
      <c r="A487" s="521"/>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c r="AF487" s="35"/>
      <c r="AG487" s="35"/>
      <c r="AH487" s="35"/>
      <c r="AI487" s="35"/>
      <c r="AJ487" s="35"/>
      <c r="AK487" s="35"/>
      <c r="AL487" s="35"/>
      <c r="AM487" s="35"/>
      <c r="AN487" s="35"/>
      <c r="AO487" s="35"/>
      <c r="AP487" s="35"/>
      <c r="AQ487" s="35"/>
      <c r="AR487" s="35"/>
      <c r="AS487" s="35"/>
      <c r="AT487" s="32"/>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1"/>
      <c r="CJ487" s="31"/>
      <c r="CK487" s="31"/>
      <c r="CL487" s="31"/>
      <c r="CM487" s="35"/>
      <c r="CN487" s="35"/>
      <c r="CO487" s="35"/>
      <c r="CP487" s="35"/>
      <c r="CQ487" s="35"/>
      <c r="CR487" s="35"/>
      <c r="CS487" s="35"/>
      <c r="CT487" s="35"/>
      <c r="CU487" s="35"/>
      <c r="CV487" s="35"/>
      <c r="CW487" s="35"/>
      <c r="CX487" s="35"/>
      <c r="CY487" s="31"/>
      <c r="CZ487" s="31"/>
      <c r="DA487" s="35"/>
      <c r="DB487" s="35"/>
      <c r="DC487" s="35"/>
      <c r="DD487" s="31"/>
      <c r="DE487" s="31"/>
      <c r="DF487" s="35"/>
      <c r="DG487" s="35"/>
      <c r="DH487" s="31"/>
      <c r="DI487" s="31"/>
      <c r="DJ487" s="31"/>
      <c r="DK487" s="31"/>
      <c r="DL487" s="35"/>
      <c r="DM487" s="31"/>
      <c r="DN487" s="31"/>
      <c r="DO487" s="31"/>
      <c r="DP487" s="31"/>
      <c r="DQ487" s="35"/>
      <c r="DR487" s="31"/>
      <c r="DS487" s="31"/>
      <c r="DT487" s="31"/>
      <c r="DU487" s="31"/>
      <c r="DV487" s="35"/>
      <c r="DW487" s="31"/>
      <c r="DX487" s="31"/>
      <c r="DY487" s="31"/>
      <c r="DZ487" s="31"/>
      <c r="EA487" s="35"/>
      <c r="EB487" s="31"/>
      <c r="EC487" s="31"/>
      <c r="ED487" s="31"/>
      <c r="EE487" s="31"/>
      <c r="EF487" s="35"/>
      <c r="EG487" s="31"/>
      <c r="EH487" s="31"/>
      <c r="EI487" s="31"/>
      <c r="EJ487" s="31"/>
      <c r="EK487" s="35"/>
      <c r="EL487" s="31"/>
      <c r="EM487" s="31"/>
      <c r="EN487" s="31"/>
      <c r="EO487" s="31"/>
      <c r="EP487" s="35"/>
      <c r="EQ487" s="31"/>
      <c r="ER487" s="31"/>
      <c r="ES487" s="31"/>
      <c r="ET487" s="31"/>
      <c r="EU487" s="35"/>
      <c r="EV487" s="35"/>
      <c r="EW487" s="35"/>
      <c r="EX487" s="35"/>
      <c r="EY487" s="35"/>
      <c r="EZ487" s="129"/>
    </row>
    <row r="488" spans="1:156" ht="11.25" customHeight="1">
      <c r="A488" s="521"/>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c r="AF488" s="35"/>
      <c r="AG488" s="35"/>
      <c r="AH488" s="35"/>
      <c r="AI488" s="35"/>
      <c r="AJ488" s="35"/>
      <c r="AK488" s="35"/>
      <c r="AL488" s="35"/>
      <c r="AM488" s="35"/>
      <c r="AN488" s="35"/>
      <c r="AO488" s="35"/>
      <c r="AP488" s="35"/>
      <c r="AQ488" s="35"/>
      <c r="AR488" s="35"/>
      <c r="AS488" s="35"/>
      <c r="AT488" s="32"/>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1"/>
      <c r="CJ488" s="31"/>
      <c r="CK488" s="31"/>
      <c r="CL488" s="31"/>
      <c r="CM488" s="35"/>
      <c r="CN488" s="35"/>
      <c r="CO488" s="35"/>
      <c r="CP488" s="35"/>
      <c r="CQ488" s="35"/>
      <c r="CR488" s="35"/>
      <c r="CS488" s="35"/>
      <c r="CT488" s="35"/>
      <c r="CU488" s="35"/>
      <c r="CV488" s="35"/>
      <c r="CW488" s="35"/>
      <c r="CX488" s="35"/>
      <c r="CY488" s="31"/>
      <c r="CZ488" s="31"/>
      <c r="DA488" s="35"/>
      <c r="DB488" s="35"/>
      <c r="DC488" s="35"/>
      <c r="DD488" s="31"/>
      <c r="DE488" s="31"/>
      <c r="DF488" s="35"/>
      <c r="DG488" s="35"/>
      <c r="DH488" s="31"/>
      <c r="DI488" s="31"/>
      <c r="DJ488" s="31"/>
      <c r="DK488" s="31"/>
      <c r="DL488" s="35"/>
      <c r="DM488" s="31"/>
      <c r="DN488" s="31"/>
      <c r="DO488" s="31"/>
      <c r="DP488" s="31"/>
      <c r="DQ488" s="35"/>
      <c r="DR488" s="31"/>
      <c r="DS488" s="31"/>
      <c r="DT488" s="31"/>
      <c r="DU488" s="31"/>
      <c r="DV488" s="35"/>
      <c r="DW488" s="31"/>
      <c r="DX488" s="31"/>
      <c r="DY488" s="31"/>
      <c r="DZ488" s="31"/>
      <c r="EA488" s="35"/>
      <c r="EB488" s="31"/>
      <c r="EC488" s="31"/>
      <c r="ED488" s="31"/>
      <c r="EE488" s="31"/>
      <c r="EF488" s="35"/>
      <c r="EG488" s="31"/>
      <c r="EH488" s="31"/>
      <c r="EI488" s="31"/>
      <c r="EJ488" s="31"/>
      <c r="EK488" s="35"/>
      <c r="EL488" s="31"/>
      <c r="EM488" s="31"/>
      <c r="EN488" s="31"/>
      <c r="EO488" s="31"/>
      <c r="EP488" s="35"/>
      <c r="EQ488" s="31"/>
      <c r="ER488" s="31"/>
      <c r="ES488" s="31"/>
      <c r="ET488" s="31"/>
      <c r="EU488" s="35"/>
      <c r="EV488" s="35"/>
      <c r="EW488" s="35"/>
      <c r="EX488" s="35"/>
      <c r="EY488" s="35"/>
      <c r="EZ488" s="129"/>
    </row>
    <row r="489" spans="1:156" ht="11.25" customHeight="1">
      <c r="A489" s="521"/>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c r="AF489" s="35"/>
      <c r="AG489" s="35"/>
      <c r="AH489" s="35"/>
      <c r="AI489" s="35"/>
      <c r="AJ489" s="35"/>
      <c r="AK489" s="35"/>
      <c r="AL489" s="35"/>
      <c r="AM489" s="35"/>
      <c r="AN489" s="35"/>
      <c r="AO489" s="35"/>
      <c r="AP489" s="35"/>
      <c r="AQ489" s="35"/>
      <c r="AR489" s="35"/>
      <c r="AS489" s="35"/>
      <c r="AT489" s="32"/>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1"/>
      <c r="CJ489" s="31"/>
      <c r="CK489" s="31"/>
      <c r="CL489" s="31"/>
      <c r="CM489" s="35"/>
      <c r="CN489" s="35"/>
      <c r="CO489" s="35"/>
      <c r="CP489" s="35"/>
      <c r="CQ489" s="35"/>
      <c r="CR489" s="35"/>
      <c r="CS489" s="35"/>
      <c r="CT489" s="35"/>
      <c r="CU489" s="35"/>
      <c r="CV489" s="35"/>
      <c r="CW489" s="35"/>
      <c r="CX489" s="35"/>
      <c r="CY489" s="31"/>
      <c r="CZ489" s="31"/>
      <c r="DA489" s="35"/>
      <c r="DB489" s="35"/>
      <c r="DC489" s="35"/>
      <c r="DD489" s="31"/>
      <c r="DE489" s="31"/>
      <c r="DF489" s="35"/>
      <c r="DG489" s="35"/>
      <c r="DH489" s="31"/>
      <c r="DI489" s="31"/>
      <c r="DJ489" s="31"/>
      <c r="DK489" s="31"/>
      <c r="DL489" s="35"/>
      <c r="DM489" s="31"/>
      <c r="DN489" s="31"/>
      <c r="DO489" s="31"/>
      <c r="DP489" s="31"/>
      <c r="DQ489" s="35"/>
      <c r="DR489" s="31"/>
      <c r="DS489" s="31"/>
      <c r="DT489" s="31"/>
      <c r="DU489" s="31"/>
      <c r="DV489" s="35"/>
      <c r="DW489" s="31"/>
      <c r="DX489" s="31"/>
      <c r="DY489" s="31"/>
      <c r="DZ489" s="31"/>
      <c r="EA489" s="35"/>
      <c r="EB489" s="31"/>
      <c r="EC489" s="31"/>
      <c r="ED489" s="31"/>
      <c r="EE489" s="31"/>
      <c r="EF489" s="35"/>
      <c r="EG489" s="31"/>
      <c r="EH489" s="31"/>
      <c r="EI489" s="31"/>
      <c r="EJ489" s="31"/>
      <c r="EK489" s="35"/>
      <c r="EL489" s="31"/>
      <c r="EM489" s="31"/>
      <c r="EN489" s="31"/>
      <c r="EO489" s="31"/>
      <c r="EP489" s="35"/>
      <c r="EQ489" s="31"/>
      <c r="ER489" s="31"/>
      <c r="ES489" s="31"/>
      <c r="ET489" s="31"/>
      <c r="EU489" s="35"/>
      <c r="EV489" s="35"/>
      <c r="EW489" s="35"/>
      <c r="EX489" s="35"/>
      <c r="EY489" s="35"/>
      <c r="EZ489" s="129"/>
    </row>
    <row r="490" spans="1:156" ht="11.25" customHeight="1">
      <c r="A490" s="521"/>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c r="AF490" s="35"/>
      <c r="AG490" s="35"/>
      <c r="AH490" s="35"/>
      <c r="AI490" s="35"/>
      <c r="AJ490" s="35"/>
      <c r="AK490" s="35"/>
      <c r="AL490" s="35"/>
      <c r="AM490" s="35"/>
      <c r="AN490" s="35"/>
      <c r="AO490" s="35"/>
      <c r="AP490" s="35"/>
      <c r="AQ490" s="35"/>
      <c r="AR490" s="35"/>
      <c r="AS490" s="35"/>
      <c r="AT490" s="32"/>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1"/>
      <c r="CJ490" s="31"/>
      <c r="CK490" s="31"/>
      <c r="CL490" s="31"/>
      <c r="CM490" s="35"/>
      <c r="CN490" s="35"/>
      <c r="CO490" s="35"/>
      <c r="CP490" s="35"/>
      <c r="CQ490" s="35"/>
      <c r="CR490" s="35"/>
      <c r="CS490" s="35"/>
      <c r="CT490" s="35"/>
      <c r="CU490" s="35"/>
      <c r="CV490" s="35"/>
      <c r="CW490" s="35"/>
      <c r="CX490" s="35"/>
      <c r="CY490" s="31"/>
      <c r="CZ490" s="31"/>
      <c r="DA490" s="35"/>
      <c r="DB490" s="35"/>
      <c r="DC490" s="35"/>
      <c r="DD490" s="31"/>
      <c r="DE490" s="31"/>
      <c r="DF490" s="35"/>
      <c r="DG490" s="35"/>
      <c r="DH490" s="31"/>
      <c r="DI490" s="31"/>
      <c r="DJ490" s="31"/>
      <c r="DK490" s="31"/>
      <c r="DL490" s="35"/>
      <c r="DM490" s="31"/>
      <c r="DN490" s="31"/>
      <c r="DO490" s="31"/>
      <c r="DP490" s="31"/>
      <c r="DQ490" s="35"/>
      <c r="DR490" s="31"/>
      <c r="DS490" s="31"/>
      <c r="DT490" s="31"/>
      <c r="DU490" s="31"/>
      <c r="DV490" s="35"/>
      <c r="DW490" s="31"/>
      <c r="DX490" s="31"/>
      <c r="DY490" s="31"/>
      <c r="DZ490" s="31"/>
      <c r="EA490" s="35"/>
      <c r="EB490" s="31"/>
      <c r="EC490" s="31"/>
      <c r="ED490" s="31"/>
      <c r="EE490" s="31"/>
      <c r="EF490" s="35"/>
      <c r="EG490" s="31"/>
      <c r="EH490" s="31"/>
      <c r="EI490" s="31"/>
      <c r="EJ490" s="31"/>
      <c r="EK490" s="35"/>
      <c r="EL490" s="31"/>
      <c r="EM490" s="31"/>
      <c r="EN490" s="31"/>
      <c r="EO490" s="31"/>
      <c r="EP490" s="35"/>
      <c r="EQ490" s="31"/>
      <c r="ER490" s="31"/>
      <c r="ES490" s="31"/>
      <c r="ET490" s="31"/>
      <c r="EU490" s="35"/>
      <c r="EV490" s="35"/>
      <c r="EW490" s="35"/>
      <c r="EX490" s="35"/>
      <c r="EY490" s="35"/>
      <c r="EZ490" s="129"/>
    </row>
    <row r="491" spans="1:156" ht="11.25" customHeight="1">
      <c r="A491" s="521"/>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c r="AF491" s="35"/>
      <c r="AG491" s="35"/>
      <c r="AH491" s="35"/>
      <c r="AI491" s="35"/>
      <c r="AJ491" s="35"/>
      <c r="AK491" s="35"/>
      <c r="AL491" s="35"/>
      <c r="AM491" s="35"/>
      <c r="AN491" s="35"/>
      <c r="AO491" s="35"/>
      <c r="AP491" s="35"/>
      <c r="AQ491" s="35"/>
      <c r="AR491" s="35"/>
      <c r="AS491" s="35"/>
      <c r="AT491" s="32"/>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1"/>
      <c r="CJ491" s="31"/>
      <c r="CK491" s="31"/>
      <c r="CL491" s="31"/>
      <c r="CM491" s="35"/>
      <c r="CN491" s="35"/>
      <c r="CO491" s="35"/>
      <c r="CP491" s="35"/>
      <c r="CQ491" s="35"/>
      <c r="CR491" s="35"/>
      <c r="CS491" s="35"/>
      <c r="CT491" s="35"/>
      <c r="CU491" s="35"/>
      <c r="CV491" s="35"/>
      <c r="CW491" s="35"/>
      <c r="CX491" s="35"/>
      <c r="CY491" s="31"/>
      <c r="CZ491" s="31"/>
      <c r="DA491" s="35"/>
      <c r="DB491" s="35"/>
      <c r="DC491" s="35"/>
      <c r="DD491" s="31"/>
      <c r="DE491" s="31"/>
      <c r="DF491" s="35"/>
      <c r="DG491" s="35"/>
      <c r="DH491" s="31"/>
      <c r="DI491" s="31"/>
      <c r="DJ491" s="31"/>
      <c r="DK491" s="31"/>
      <c r="DL491" s="35"/>
      <c r="DM491" s="31"/>
      <c r="DN491" s="31"/>
      <c r="DO491" s="31"/>
      <c r="DP491" s="31"/>
      <c r="DQ491" s="35"/>
      <c r="DR491" s="31"/>
      <c r="DS491" s="31"/>
      <c r="DT491" s="31"/>
      <c r="DU491" s="31"/>
      <c r="DV491" s="35"/>
      <c r="DW491" s="31"/>
      <c r="DX491" s="31"/>
      <c r="DY491" s="31"/>
      <c r="DZ491" s="31"/>
      <c r="EA491" s="35"/>
      <c r="EB491" s="31"/>
      <c r="EC491" s="31"/>
      <c r="ED491" s="31"/>
      <c r="EE491" s="31"/>
      <c r="EF491" s="35"/>
      <c r="EG491" s="31"/>
      <c r="EH491" s="31"/>
      <c r="EI491" s="31"/>
      <c r="EJ491" s="31"/>
      <c r="EK491" s="35"/>
      <c r="EL491" s="31"/>
      <c r="EM491" s="31"/>
      <c r="EN491" s="31"/>
      <c r="EO491" s="31"/>
      <c r="EP491" s="35"/>
      <c r="EQ491" s="31"/>
      <c r="ER491" s="31"/>
      <c r="ES491" s="31"/>
      <c r="ET491" s="31"/>
      <c r="EU491" s="35"/>
      <c r="EV491" s="35"/>
      <c r="EW491" s="35"/>
      <c r="EX491" s="35"/>
      <c r="EY491" s="35"/>
      <c r="EZ491" s="129"/>
    </row>
    <row r="492" spans="1:156" ht="11.25" customHeight="1">
      <c r="A492" s="521"/>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c r="AF492" s="35"/>
      <c r="AG492" s="35"/>
      <c r="AH492" s="35"/>
      <c r="AI492" s="35"/>
      <c r="AJ492" s="35"/>
      <c r="AK492" s="35"/>
      <c r="AL492" s="35"/>
      <c r="AM492" s="35"/>
      <c r="AN492" s="35"/>
      <c r="AO492" s="35"/>
      <c r="AP492" s="35"/>
      <c r="AQ492" s="35"/>
      <c r="AR492" s="35"/>
      <c r="AS492" s="35"/>
      <c r="AT492" s="32"/>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1"/>
      <c r="CJ492" s="31"/>
      <c r="CK492" s="31"/>
      <c r="CL492" s="31"/>
      <c r="CM492" s="35"/>
      <c r="CN492" s="35"/>
      <c r="CO492" s="35"/>
      <c r="CP492" s="35"/>
      <c r="CQ492" s="35"/>
      <c r="CR492" s="35"/>
      <c r="CS492" s="35"/>
      <c r="CT492" s="35"/>
      <c r="CU492" s="35"/>
      <c r="CV492" s="35"/>
      <c r="CW492" s="35"/>
      <c r="CX492" s="35"/>
      <c r="CY492" s="31"/>
      <c r="CZ492" s="31"/>
      <c r="DA492" s="35"/>
      <c r="DB492" s="35"/>
      <c r="DC492" s="35"/>
      <c r="DD492" s="31"/>
      <c r="DE492" s="31"/>
      <c r="DF492" s="35"/>
      <c r="DG492" s="35"/>
      <c r="DH492" s="31"/>
      <c r="DI492" s="31"/>
      <c r="DJ492" s="31"/>
      <c r="DK492" s="31"/>
      <c r="DL492" s="35"/>
      <c r="DM492" s="31"/>
      <c r="DN492" s="31"/>
      <c r="DO492" s="31"/>
      <c r="DP492" s="31"/>
      <c r="DQ492" s="35"/>
      <c r="DR492" s="31"/>
      <c r="DS492" s="31"/>
      <c r="DT492" s="31"/>
      <c r="DU492" s="31"/>
      <c r="DV492" s="35"/>
      <c r="DW492" s="31"/>
      <c r="DX492" s="31"/>
      <c r="DY492" s="31"/>
      <c r="DZ492" s="31"/>
      <c r="EA492" s="35"/>
      <c r="EB492" s="31"/>
      <c r="EC492" s="31"/>
      <c r="ED492" s="31"/>
      <c r="EE492" s="31"/>
      <c r="EF492" s="35"/>
      <c r="EG492" s="31"/>
      <c r="EH492" s="31"/>
      <c r="EI492" s="31"/>
      <c r="EJ492" s="31"/>
      <c r="EK492" s="35"/>
      <c r="EL492" s="31"/>
      <c r="EM492" s="31"/>
      <c r="EN492" s="31"/>
      <c r="EO492" s="31"/>
      <c r="EP492" s="35"/>
      <c r="EQ492" s="31"/>
      <c r="ER492" s="31"/>
      <c r="ES492" s="31"/>
      <c r="ET492" s="31"/>
      <c r="EU492" s="35"/>
      <c r="EV492" s="35"/>
      <c r="EW492" s="35"/>
      <c r="EX492" s="35"/>
      <c r="EY492" s="35"/>
      <c r="EZ492" s="129"/>
    </row>
    <row r="493" spans="1:156" ht="11.25" customHeight="1">
      <c r="A493" s="521"/>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c r="AF493" s="35"/>
      <c r="AG493" s="35"/>
      <c r="AH493" s="35"/>
      <c r="AI493" s="35"/>
      <c r="AJ493" s="35"/>
      <c r="AK493" s="35"/>
      <c r="AL493" s="35"/>
      <c r="AM493" s="35"/>
      <c r="AN493" s="35"/>
      <c r="AO493" s="35"/>
      <c r="AP493" s="35"/>
      <c r="AQ493" s="35"/>
      <c r="AR493" s="35"/>
      <c r="AS493" s="35"/>
      <c r="AT493" s="32"/>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1"/>
      <c r="CJ493" s="31"/>
      <c r="CK493" s="31"/>
      <c r="CL493" s="31"/>
      <c r="CM493" s="35"/>
      <c r="CN493" s="35"/>
      <c r="CO493" s="35"/>
      <c r="CP493" s="35"/>
      <c r="CQ493" s="35"/>
      <c r="CR493" s="35"/>
      <c r="CS493" s="35"/>
      <c r="CT493" s="35"/>
      <c r="CU493" s="35"/>
      <c r="CV493" s="35"/>
      <c r="CW493" s="35"/>
      <c r="CX493" s="35"/>
      <c r="CY493" s="31"/>
      <c r="CZ493" s="31"/>
      <c r="DA493" s="35"/>
      <c r="DB493" s="35"/>
      <c r="DC493" s="35"/>
      <c r="DD493" s="31"/>
      <c r="DE493" s="31"/>
      <c r="DF493" s="35"/>
      <c r="DG493" s="35"/>
      <c r="DH493" s="31"/>
      <c r="DI493" s="31"/>
      <c r="DJ493" s="31"/>
      <c r="DK493" s="31"/>
      <c r="DL493" s="35"/>
      <c r="DM493" s="31"/>
      <c r="DN493" s="31"/>
      <c r="DO493" s="31"/>
      <c r="DP493" s="31"/>
      <c r="DQ493" s="35"/>
      <c r="DR493" s="31"/>
      <c r="DS493" s="31"/>
      <c r="DT493" s="31"/>
      <c r="DU493" s="31"/>
      <c r="DV493" s="35"/>
      <c r="DW493" s="31"/>
      <c r="DX493" s="31"/>
      <c r="DY493" s="31"/>
      <c r="DZ493" s="31"/>
      <c r="EA493" s="35"/>
      <c r="EB493" s="31"/>
      <c r="EC493" s="31"/>
      <c r="ED493" s="31"/>
      <c r="EE493" s="31"/>
      <c r="EF493" s="35"/>
      <c r="EG493" s="31"/>
      <c r="EH493" s="31"/>
      <c r="EI493" s="31"/>
      <c r="EJ493" s="31"/>
      <c r="EK493" s="35"/>
      <c r="EL493" s="31"/>
      <c r="EM493" s="31"/>
      <c r="EN493" s="31"/>
      <c r="EO493" s="31"/>
      <c r="EP493" s="35"/>
      <c r="EQ493" s="31"/>
      <c r="ER493" s="31"/>
      <c r="ES493" s="31"/>
      <c r="ET493" s="31"/>
      <c r="EU493" s="35"/>
      <c r="EV493" s="35"/>
      <c r="EW493" s="35"/>
      <c r="EX493" s="35"/>
      <c r="EY493" s="35"/>
      <c r="EZ493" s="129"/>
    </row>
    <row r="494" spans="1:156" ht="11.25" customHeight="1">
      <c r="A494" s="521"/>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c r="AF494" s="35"/>
      <c r="AG494" s="35"/>
      <c r="AH494" s="35"/>
      <c r="AI494" s="35"/>
      <c r="AJ494" s="35"/>
      <c r="AK494" s="35"/>
      <c r="AL494" s="35"/>
      <c r="AM494" s="35"/>
      <c r="AN494" s="35"/>
      <c r="AO494" s="35"/>
      <c r="AP494" s="35"/>
      <c r="AQ494" s="35"/>
      <c r="AR494" s="35"/>
      <c r="AS494" s="35"/>
      <c r="AT494" s="32"/>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1"/>
      <c r="CJ494" s="31"/>
      <c r="CK494" s="31"/>
      <c r="CL494" s="31"/>
      <c r="CM494" s="35"/>
      <c r="CN494" s="35"/>
      <c r="CO494" s="35"/>
      <c r="CP494" s="35"/>
      <c r="CQ494" s="35"/>
      <c r="CR494" s="35"/>
      <c r="CS494" s="35"/>
      <c r="CT494" s="35"/>
      <c r="CU494" s="35"/>
      <c r="CV494" s="35"/>
      <c r="CW494" s="35"/>
      <c r="CX494" s="35"/>
      <c r="CY494" s="31"/>
      <c r="CZ494" s="31"/>
      <c r="DA494" s="35"/>
      <c r="DB494" s="35"/>
      <c r="DC494" s="35"/>
      <c r="DD494" s="31"/>
      <c r="DE494" s="31"/>
      <c r="DF494" s="35"/>
      <c r="DG494" s="35"/>
      <c r="DH494" s="31"/>
      <c r="DI494" s="31"/>
      <c r="DJ494" s="31"/>
      <c r="DK494" s="31"/>
      <c r="DL494" s="35"/>
      <c r="DM494" s="31"/>
      <c r="DN494" s="31"/>
      <c r="DO494" s="31"/>
      <c r="DP494" s="31"/>
      <c r="DQ494" s="35"/>
      <c r="DR494" s="31"/>
      <c r="DS494" s="31"/>
      <c r="DT494" s="31"/>
      <c r="DU494" s="31"/>
      <c r="DV494" s="35"/>
      <c r="DW494" s="31"/>
      <c r="DX494" s="31"/>
      <c r="DY494" s="31"/>
      <c r="DZ494" s="31"/>
      <c r="EA494" s="35"/>
      <c r="EB494" s="31"/>
      <c r="EC494" s="31"/>
      <c r="ED494" s="31"/>
      <c r="EE494" s="31"/>
      <c r="EF494" s="35"/>
      <c r="EG494" s="31"/>
      <c r="EH494" s="31"/>
      <c r="EI494" s="31"/>
      <c r="EJ494" s="31"/>
      <c r="EK494" s="35"/>
      <c r="EL494" s="31"/>
      <c r="EM494" s="31"/>
      <c r="EN494" s="31"/>
      <c r="EO494" s="31"/>
      <c r="EP494" s="35"/>
      <c r="EQ494" s="31"/>
      <c r="ER494" s="31"/>
      <c r="ES494" s="31"/>
      <c r="ET494" s="31"/>
      <c r="EU494" s="35"/>
      <c r="EV494" s="35"/>
      <c r="EW494" s="35"/>
      <c r="EX494" s="35"/>
      <c r="EY494" s="35"/>
      <c r="EZ494" s="129"/>
    </row>
    <row r="495" spans="1:156" ht="11.25" customHeight="1">
      <c r="A495" s="521"/>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c r="AF495" s="35"/>
      <c r="AG495" s="35"/>
      <c r="AH495" s="35"/>
      <c r="AI495" s="35"/>
      <c r="AJ495" s="35"/>
      <c r="AK495" s="35"/>
      <c r="AL495" s="35"/>
      <c r="AM495" s="35"/>
      <c r="AN495" s="35"/>
      <c r="AO495" s="35"/>
      <c r="AP495" s="35"/>
      <c r="AQ495" s="35"/>
      <c r="AR495" s="35"/>
      <c r="AS495" s="35"/>
      <c r="AT495" s="32"/>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1"/>
      <c r="CJ495" s="31"/>
      <c r="CK495" s="31"/>
      <c r="CL495" s="31"/>
      <c r="CM495" s="35"/>
      <c r="CN495" s="35"/>
      <c r="CO495" s="35"/>
      <c r="CP495" s="35"/>
      <c r="CQ495" s="35"/>
      <c r="CR495" s="35"/>
      <c r="CS495" s="35"/>
      <c r="CT495" s="35"/>
      <c r="CU495" s="35"/>
      <c r="CV495" s="35"/>
      <c r="CW495" s="35"/>
      <c r="CX495" s="35"/>
      <c r="CY495" s="31"/>
      <c r="CZ495" s="31"/>
      <c r="DA495" s="35"/>
      <c r="DB495" s="35"/>
      <c r="DC495" s="35"/>
      <c r="DD495" s="31"/>
      <c r="DE495" s="31"/>
      <c r="DF495" s="35"/>
      <c r="DG495" s="35"/>
      <c r="DH495" s="31"/>
      <c r="DI495" s="31"/>
      <c r="DJ495" s="31"/>
      <c r="DK495" s="31"/>
      <c r="DL495" s="35"/>
      <c r="DM495" s="31"/>
      <c r="DN495" s="31"/>
      <c r="DO495" s="31"/>
      <c r="DP495" s="31"/>
      <c r="DQ495" s="35"/>
      <c r="DR495" s="31"/>
      <c r="DS495" s="31"/>
      <c r="DT495" s="31"/>
      <c r="DU495" s="31"/>
      <c r="DV495" s="35"/>
      <c r="DW495" s="31"/>
      <c r="DX495" s="31"/>
      <c r="DY495" s="31"/>
      <c r="DZ495" s="31"/>
      <c r="EA495" s="35"/>
      <c r="EB495" s="31"/>
      <c r="EC495" s="31"/>
      <c r="ED495" s="31"/>
      <c r="EE495" s="31"/>
      <c r="EF495" s="35"/>
      <c r="EG495" s="31"/>
      <c r="EH495" s="31"/>
      <c r="EI495" s="31"/>
      <c r="EJ495" s="31"/>
      <c r="EK495" s="35"/>
      <c r="EL495" s="31"/>
      <c r="EM495" s="31"/>
      <c r="EN495" s="31"/>
      <c r="EO495" s="31"/>
      <c r="EP495" s="35"/>
      <c r="EQ495" s="31"/>
      <c r="ER495" s="31"/>
      <c r="ES495" s="31"/>
      <c r="ET495" s="31"/>
      <c r="EU495" s="35"/>
      <c r="EV495" s="35"/>
      <c r="EW495" s="35"/>
      <c r="EX495" s="35"/>
      <c r="EY495" s="35"/>
      <c r="EZ495" s="129"/>
    </row>
    <row r="496" spans="1:156" ht="11.25" customHeight="1">
      <c r="A496" s="521"/>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c r="AF496" s="35"/>
      <c r="AG496" s="35"/>
      <c r="AH496" s="35"/>
      <c r="AI496" s="35"/>
      <c r="AJ496" s="35"/>
      <c r="AK496" s="35"/>
      <c r="AL496" s="35"/>
      <c r="AM496" s="35"/>
      <c r="AN496" s="35"/>
      <c r="AO496" s="35"/>
      <c r="AP496" s="35"/>
      <c r="AQ496" s="35"/>
      <c r="AR496" s="35"/>
      <c r="AS496" s="35"/>
      <c r="AT496" s="32"/>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1"/>
      <c r="CJ496" s="31"/>
      <c r="CK496" s="31"/>
      <c r="CL496" s="31"/>
      <c r="CM496" s="35"/>
      <c r="CN496" s="35"/>
      <c r="CO496" s="35"/>
      <c r="CP496" s="35"/>
      <c r="CQ496" s="35"/>
      <c r="CR496" s="35"/>
      <c r="CS496" s="35"/>
      <c r="CT496" s="35"/>
      <c r="CU496" s="35"/>
      <c r="CV496" s="35"/>
      <c r="CW496" s="35"/>
      <c r="CX496" s="35"/>
      <c r="CY496" s="31"/>
      <c r="CZ496" s="31"/>
      <c r="DA496" s="35"/>
      <c r="DB496" s="35"/>
      <c r="DC496" s="35"/>
      <c r="DD496" s="31"/>
      <c r="DE496" s="31"/>
      <c r="DF496" s="35"/>
      <c r="DG496" s="35"/>
      <c r="DH496" s="31"/>
      <c r="DI496" s="31"/>
      <c r="DJ496" s="31"/>
      <c r="DK496" s="31"/>
      <c r="DL496" s="35"/>
      <c r="DM496" s="31"/>
      <c r="DN496" s="31"/>
      <c r="DO496" s="31"/>
      <c r="DP496" s="31"/>
      <c r="DQ496" s="35"/>
      <c r="DR496" s="31"/>
      <c r="DS496" s="31"/>
      <c r="DT496" s="31"/>
      <c r="DU496" s="31"/>
      <c r="DV496" s="35"/>
      <c r="DW496" s="31"/>
      <c r="DX496" s="31"/>
      <c r="DY496" s="31"/>
      <c r="DZ496" s="31"/>
      <c r="EA496" s="35"/>
      <c r="EB496" s="31"/>
      <c r="EC496" s="31"/>
      <c r="ED496" s="31"/>
      <c r="EE496" s="31"/>
      <c r="EF496" s="35"/>
      <c r="EG496" s="31"/>
      <c r="EH496" s="31"/>
      <c r="EI496" s="31"/>
      <c r="EJ496" s="31"/>
      <c r="EK496" s="35"/>
      <c r="EL496" s="31"/>
      <c r="EM496" s="31"/>
      <c r="EN496" s="31"/>
      <c r="EO496" s="31"/>
      <c r="EP496" s="35"/>
      <c r="EQ496" s="31"/>
      <c r="ER496" s="31"/>
      <c r="ES496" s="31"/>
      <c r="ET496" s="31"/>
      <c r="EU496" s="35"/>
      <c r="EV496" s="35"/>
      <c r="EW496" s="35"/>
      <c r="EX496" s="35"/>
      <c r="EY496" s="35"/>
      <c r="EZ496" s="129"/>
    </row>
    <row r="497" spans="1:156" ht="11.25" customHeight="1">
      <c r="A497" s="521"/>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c r="AF497" s="35"/>
      <c r="AG497" s="35"/>
      <c r="AH497" s="35"/>
      <c r="AI497" s="35"/>
      <c r="AJ497" s="35"/>
      <c r="AK497" s="35"/>
      <c r="AL497" s="35"/>
      <c r="AM497" s="35"/>
      <c r="AN497" s="35"/>
      <c r="AO497" s="35"/>
      <c r="AP497" s="35"/>
      <c r="AQ497" s="35"/>
      <c r="AR497" s="35"/>
      <c r="AS497" s="35"/>
      <c r="AT497" s="32"/>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1"/>
      <c r="CJ497" s="31"/>
      <c r="CK497" s="31"/>
      <c r="CL497" s="31"/>
      <c r="CM497" s="35"/>
      <c r="CN497" s="35"/>
      <c r="CO497" s="35"/>
      <c r="CP497" s="35"/>
      <c r="CQ497" s="35"/>
      <c r="CR497" s="35"/>
      <c r="CS497" s="35"/>
      <c r="CT497" s="35"/>
      <c r="CU497" s="35"/>
      <c r="CV497" s="35"/>
      <c r="CW497" s="35"/>
      <c r="CX497" s="35"/>
      <c r="CY497" s="31"/>
      <c r="CZ497" s="31"/>
      <c r="DA497" s="35"/>
      <c r="DB497" s="35"/>
      <c r="DC497" s="35"/>
      <c r="DD497" s="31"/>
      <c r="DE497" s="31"/>
      <c r="DF497" s="35"/>
      <c r="DG497" s="35"/>
      <c r="DH497" s="31"/>
      <c r="DI497" s="31"/>
      <c r="DJ497" s="31"/>
      <c r="DK497" s="31"/>
      <c r="DL497" s="35"/>
      <c r="DM497" s="31"/>
      <c r="DN497" s="31"/>
      <c r="DO497" s="31"/>
      <c r="DP497" s="31"/>
      <c r="DQ497" s="35"/>
      <c r="DR497" s="31"/>
      <c r="DS497" s="31"/>
      <c r="DT497" s="31"/>
      <c r="DU497" s="31"/>
      <c r="DV497" s="35"/>
      <c r="DW497" s="31"/>
      <c r="DX497" s="31"/>
      <c r="DY497" s="31"/>
      <c r="DZ497" s="31"/>
      <c r="EA497" s="35"/>
      <c r="EB497" s="31"/>
      <c r="EC497" s="31"/>
      <c r="ED497" s="31"/>
      <c r="EE497" s="31"/>
      <c r="EF497" s="35"/>
      <c r="EG497" s="31"/>
      <c r="EH497" s="31"/>
      <c r="EI497" s="31"/>
      <c r="EJ497" s="31"/>
      <c r="EK497" s="35"/>
      <c r="EL497" s="31"/>
      <c r="EM497" s="31"/>
      <c r="EN497" s="31"/>
      <c r="EO497" s="31"/>
      <c r="EP497" s="35"/>
      <c r="EQ497" s="31"/>
      <c r="ER497" s="31"/>
      <c r="ES497" s="31"/>
      <c r="ET497" s="31"/>
      <c r="EU497" s="35"/>
      <c r="EV497" s="35"/>
      <c r="EW497" s="35"/>
      <c r="EX497" s="35"/>
      <c r="EY497" s="35"/>
      <c r="EZ497" s="129"/>
    </row>
    <row r="498" spans="1:156" ht="11.25" customHeight="1">
      <c r="A498" s="521"/>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c r="AF498" s="35"/>
      <c r="AG498" s="35"/>
      <c r="AH498" s="35"/>
      <c r="AI498" s="35"/>
      <c r="AJ498" s="35"/>
      <c r="AK498" s="35"/>
      <c r="AL498" s="35"/>
      <c r="AM498" s="35"/>
      <c r="AN498" s="35"/>
      <c r="AO498" s="35"/>
      <c r="AP498" s="35"/>
      <c r="AQ498" s="35"/>
      <c r="AR498" s="35"/>
      <c r="AS498" s="35"/>
      <c r="AT498" s="32"/>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1"/>
      <c r="CJ498" s="31"/>
      <c r="CK498" s="31"/>
      <c r="CL498" s="31"/>
      <c r="CM498" s="35"/>
      <c r="CN498" s="35"/>
      <c r="CO498" s="35"/>
      <c r="CP498" s="35"/>
      <c r="CQ498" s="35"/>
      <c r="CR498" s="35"/>
      <c r="CS498" s="35"/>
      <c r="CT498" s="35"/>
      <c r="CU498" s="35"/>
      <c r="CV498" s="35"/>
      <c r="CW498" s="35"/>
      <c r="CX498" s="35"/>
      <c r="CY498" s="31"/>
      <c r="CZ498" s="31"/>
      <c r="DA498" s="35"/>
      <c r="DB498" s="35"/>
      <c r="DC498" s="35"/>
      <c r="DD498" s="31"/>
      <c r="DE498" s="31"/>
      <c r="DF498" s="35"/>
      <c r="DG498" s="35"/>
      <c r="DH498" s="31"/>
      <c r="DI498" s="31"/>
      <c r="DJ498" s="31"/>
      <c r="DK498" s="31"/>
      <c r="DL498" s="35"/>
      <c r="DM498" s="31"/>
      <c r="DN498" s="31"/>
      <c r="DO498" s="31"/>
      <c r="DP498" s="31"/>
      <c r="DQ498" s="35"/>
      <c r="DR498" s="31"/>
      <c r="DS498" s="31"/>
      <c r="DT498" s="31"/>
      <c r="DU498" s="31"/>
      <c r="DV498" s="35"/>
      <c r="DW498" s="31"/>
      <c r="DX498" s="31"/>
      <c r="DY498" s="31"/>
      <c r="DZ498" s="31"/>
      <c r="EA498" s="35"/>
      <c r="EB498" s="31"/>
      <c r="EC498" s="31"/>
      <c r="ED498" s="31"/>
      <c r="EE498" s="31"/>
      <c r="EF498" s="35"/>
      <c r="EG498" s="31"/>
      <c r="EH498" s="31"/>
      <c r="EI498" s="31"/>
      <c r="EJ498" s="31"/>
      <c r="EK498" s="35"/>
      <c r="EL498" s="31"/>
      <c r="EM498" s="31"/>
      <c r="EN498" s="31"/>
      <c r="EO498" s="31"/>
      <c r="EP498" s="35"/>
      <c r="EQ498" s="31"/>
      <c r="ER498" s="31"/>
      <c r="ES498" s="31"/>
      <c r="ET498" s="31"/>
      <c r="EU498" s="35"/>
      <c r="EV498" s="35"/>
      <c r="EW498" s="35"/>
      <c r="EX498" s="35"/>
      <c r="EY498" s="35"/>
      <c r="EZ498" s="129"/>
    </row>
    <row r="499" spans="1:156" ht="11.25" customHeight="1">
      <c r="A499" s="521"/>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c r="AF499" s="35"/>
      <c r="AG499" s="35"/>
      <c r="AH499" s="35"/>
      <c r="AI499" s="35"/>
      <c r="AJ499" s="35"/>
      <c r="AK499" s="35"/>
      <c r="AL499" s="35"/>
      <c r="AM499" s="35"/>
      <c r="AN499" s="35"/>
      <c r="AO499" s="35"/>
      <c r="AP499" s="35"/>
      <c r="AQ499" s="35"/>
      <c r="AR499" s="35"/>
      <c r="AS499" s="35"/>
      <c r="AT499" s="32"/>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1"/>
      <c r="CJ499" s="31"/>
      <c r="CK499" s="31"/>
      <c r="CL499" s="31"/>
      <c r="CM499" s="35"/>
      <c r="CN499" s="35"/>
      <c r="CO499" s="35"/>
      <c r="CP499" s="35"/>
      <c r="CQ499" s="35"/>
      <c r="CR499" s="35"/>
      <c r="CS499" s="35"/>
      <c r="CT499" s="35"/>
      <c r="CU499" s="35"/>
      <c r="CV499" s="35"/>
      <c r="CW499" s="35"/>
      <c r="CX499" s="35"/>
      <c r="CY499" s="31"/>
      <c r="CZ499" s="31"/>
      <c r="DA499" s="35"/>
      <c r="DB499" s="35"/>
      <c r="DC499" s="35"/>
      <c r="DD499" s="31"/>
      <c r="DE499" s="31"/>
      <c r="DF499" s="35"/>
      <c r="DG499" s="35"/>
      <c r="DH499" s="31"/>
      <c r="DI499" s="31"/>
      <c r="DJ499" s="31"/>
      <c r="DK499" s="31"/>
      <c r="DL499" s="35"/>
      <c r="DM499" s="31"/>
      <c r="DN499" s="31"/>
      <c r="DO499" s="31"/>
      <c r="DP499" s="31"/>
      <c r="DQ499" s="35"/>
      <c r="DR499" s="31"/>
      <c r="DS499" s="31"/>
      <c r="DT499" s="31"/>
      <c r="DU499" s="31"/>
      <c r="DV499" s="35"/>
      <c r="DW499" s="31"/>
      <c r="DX499" s="31"/>
      <c r="DY499" s="31"/>
      <c r="DZ499" s="31"/>
      <c r="EA499" s="35"/>
      <c r="EB499" s="31"/>
      <c r="EC499" s="31"/>
      <c r="ED499" s="31"/>
      <c r="EE499" s="31"/>
      <c r="EF499" s="35"/>
      <c r="EG499" s="31"/>
      <c r="EH499" s="31"/>
      <c r="EI499" s="31"/>
      <c r="EJ499" s="31"/>
      <c r="EK499" s="35"/>
      <c r="EL499" s="31"/>
      <c r="EM499" s="31"/>
      <c r="EN499" s="31"/>
      <c r="EO499" s="31"/>
      <c r="EP499" s="35"/>
      <c r="EQ499" s="31"/>
      <c r="ER499" s="31"/>
      <c r="ES499" s="31"/>
      <c r="ET499" s="31"/>
      <c r="EU499" s="35"/>
      <c r="EV499" s="35"/>
      <c r="EW499" s="35"/>
      <c r="EX499" s="35"/>
      <c r="EY499" s="35"/>
      <c r="EZ499" s="129"/>
    </row>
    <row r="500" spans="1:156" ht="11.25" customHeight="1">
      <c r="A500" s="521"/>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c r="AF500" s="35"/>
      <c r="AG500" s="35"/>
      <c r="AH500" s="35"/>
      <c r="AI500" s="35"/>
      <c r="AJ500" s="35"/>
      <c r="AK500" s="35"/>
      <c r="AL500" s="35"/>
      <c r="AM500" s="35"/>
      <c r="AN500" s="35"/>
      <c r="AO500" s="35"/>
      <c r="AP500" s="35"/>
      <c r="AQ500" s="35"/>
      <c r="AR500" s="35"/>
      <c r="AS500" s="35"/>
      <c r="AT500" s="32"/>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1"/>
      <c r="CJ500" s="31"/>
      <c r="CK500" s="31"/>
      <c r="CL500" s="31"/>
      <c r="CM500" s="35"/>
      <c r="CN500" s="35"/>
      <c r="CO500" s="35"/>
      <c r="CP500" s="35"/>
      <c r="CQ500" s="35"/>
      <c r="CR500" s="35"/>
      <c r="CS500" s="35"/>
      <c r="CT500" s="35"/>
      <c r="CU500" s="35"/>
      <c r="CV500" s="35"/>
      <c r="CW500" s="35"/>
      <c r="CX500" s="35"/>
      <c r="CY500" s="31"/>
      <c r="CZ500" s="31"/>
      <c r="DA500" s="35"/>
      <c r="DB500" s="35"/>
      <c r="DC500" s="35"/>
      <c r="DD500" s="31"/>
      <c r="DE500" s="31"/>
      <c r="DF500" s="35"/>
      <c r="DG500" s="35"/>
      <c r="DH500" s="31"/>
      <c r="DI500" s="31"/>
      <c r="DJ500" s="31"/>
      <c r="DK500" s="31"/>
      <c r="DL500" s="35"/>
      <c r="DM500" s="31"/>
      <c r="DN500" s="31"/>
      <c r="DO500" s="31"/>
      <c r="DP500" s="31"/>
      <c r="DQ500" s="35"/>
      <c r="DR500" s="31"/>
      <c r="DS500" s="31"/>
      <c r="DT500" s="31"/>
      <c r="DU500" s="31"/>
      <c r="DV500" s="35"/>
      <c r="DW500" s="31"/>
      <c r="DX500" s="31"/>
      <c r="DY500" s="31"/>
      <c r="DZ500" s="31"/>
      <c r="EA500" s="35"/>
      <c r="EB500" s="31"/>
      <c r="EC500" s="31"/>
      <c r="ED500" s="31"/>
      <c r="EE500" s="31"/>
      <c r="EF500" s="35"/>
      <c r="EG500" s="31"/>
      <c r="EH500" s="31"/>
      <c r="EI500" s="31"/>
      <c r="EJ500" s="31"/>
      <c r="EK500" s="35"/>
      <c r="EL500" s="31"/>
      <c r="EM500" s="31"/>
      <c r="EN500" s="31"/>
      <c r="EO500" s="31"/>
      <c r="EP500" s="35"/>
      <c r="EQ500" s="31"/>
      <c r="ER500" s="31"/>
      <c r="ES500" s="31"/>
      <c r="ET500" s="31"/>
      <c r="EU500" s="35"/>
      <c r="EV500" s="35"/>
      <c r="EW500" s="35"/>
      <c r="EX500" s="35"/>
      <c r="EY500" s="35"/>
      <c r="EZ500" s="129"/>
    </row>
    <row r="501" spans="1:156" ht="11.25" customHeight="1">
      <c r="A501" s="521"/>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c r="AF501" s="35"/>
      <c r="AG501" s="35"/>
      <c r="AH501" s="35"/>
      <c r="AI501" s="35"/>
      <c r="AJ501" s="35"/>
      <c r="AK501" s="35"/>
      <c r="AL501" s="35"/>
      <c r="AM501" s="35"/>
      <c r="AN501" s="35"/>
      <c r="AO501" s="35"/>
      <c r="AP501" s="35"/>
      <c r="AQ501" s="35"/>
      <c r="AR501" s="35"/>
      <c r="AS501" s="35"/>
      <c r="AT501" s="32"/>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1"/>
      <c r="CJ501" s="31"/>
      <c r="CK501" s="31"/>
      <c r="CL501" s="31"/>
      <c r="CM501" s="35"/>
      <c r="CN501" s="35"/>
      <c r="CO501" s="35"/>
      <c r="CP501" s="35"/>
      <c r="CQ501" s="35"/>
      <c r="CR501" s="35"/>
      <c r="CS501" s="35"/>
      <c r="CT501" s="35"/>
      <c r="CU501" s="35"/>
      <c r="CV501" s="35"/>
      <c r="CW501" s="35"/>
      <c r="CX501" s="35"/>
      <c r="CY501" s="31"/>
      <c r="CZ501" s="31"/>
      <c r="DA501" s="35"/>
      <c r="DB501" s="35"/>
      <c r="DC501" s="35"/>
      <c r="DD501" s="31"/>
      <c r="DE501" s="31"/>
      <c r="DF501" s="35"/>
      <c r="DG501" s="35"/>
      <c r="DH501" s="31"/>
      <c r="DI501" s="31"/>
      <c r="DJ501" s="31"/>
      <c r="DK501" s="31"/>
      <c r="DL501" s="35"/>
      <c r="DM501" s="31"/>
      <c r="DN501" s="31"/>
      <c r="DO501" s="31"/>
      <c r="DP501" s="31"/>
      <c r="DQ501" s="35"/>
      <c r="DR501" s="31"/>
      <c r="DS501" s="31"/>
      <c r="DT501" s="31"/>
      <c r="DU501" s="31"/>
      <c r="DV501" s="35"/>
      <c r="DW501" s="31"/>
      <c r="DX501" s="31"/>
      <c r="DY501" s="31"/>
      <c r="DZ501" s="31"/>
      <c r="EA501" s="35"/>
      <c r="EB501" s="31"/>
      <c r="EC501" s="31"/>
      <c r="ED501" s="31"/>
      <c r="EE501" s="31"/>
      <c r="EF501" s="35"/>
      <c r="EG501" s="31"/>
      <c r="EH501" s="31"/>
      <c r="EI501" s="31"/>
      <c r="EJ501" s="31"/>
      <c r="EK501" s="35"/>
      <c r="EL501" s="31"/>
      <c r="EM501" s="31"/>
      <c r="EN501" s="31"/>
      <c r="EO501" s="31"/>
      <c r="EP501" s="35"/>
      <c r="EQ501" s="31"/>
      <c r="ER501" s="31"/>
      <c r="ES501" s="31"/>
      <c r="ET501" s="31"/>
      <c r="EU501" s="35"/>
      <c r="EV501" s="35"/>
      <c r="EW501" s="35"/>
      <c r="EX501" s="35"/>
      <c r="EY501" s="35"/>
      <c r="EZ501" s="129"/>
    </row>
    <row r="502" spans="1:156" ht="11.25" customHeight="1">
      <c r="A502" s="521"/>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2"/>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1"/>
      <c r="CJ502" s="31"/>
      <c r="CK502" s="31"/>
      <c r="CL502" s="31"/>
      <c r="CM502" s="35"/>
      <c r="CN502" s="35"/>
      <c r="CO502" s="35"/>
      <c r="CP502" s="35"/>
      <c r="CQ502" s="35"/>
      <c r="CR502" s="35"/>
      <c r="CS502" s="35"/>
      <c r="CT502" s="35"/>
      <c r="CU502" s="35"/>
      <c r="CV502" s="35"/>
      <c r="CW502" s="35"/>
      <c r="CX502" s="35"/>
      <c r="CY502" s="31"/>
      <c r="CZ502" s="31"/>
      <c r="DA502" s="35"/>
      <c r="DB502" s="35"/>
      <c r="DC502" s="35"/>
      <c r="DD502" s="31"/>
      <c r="DE502" s="31"/>
      <c r="DF502" s="35"/>
      <c r="DG502" s="35"/>
      <c r="DH502" s="31"/>
      <c r="DI502" s="31"/>
      <c r="DJ502" s="31"/>
      <c r="DK502" s="31"/>
      <c r="DL502" s="35"/>
      <c r="DM502" s="31"/>
      <c r="DN502" s="31"/>
      <c r="DO502" s="31"/>
      <c r="DP502" s="31"/>
      <c r="DQ502" s="35"/>
      <c r="DR502" s="31"/>
      <c r="DS502" s="31"/>
      <c r="DT502" s="31"/>
      <c r="DU502" s="31"/>
      <c r="DV502" s="35"/>
      <c r="DW502" s="31"/>
      <c r="DX502" s="31"/>
      <c r="DY502" s="31"/>
      <c r="DZ502" s="31"/>
      <c r="EA502" s="35"/>
      <c r="EB502" s="31"/>
      <c r="EC502" s="31"/>
      <c r="ED502" s="31"/>
      <c r="EE502" s="31"/>
      <c r="EF502" s="35"/>
      <c r="EG502" s="31"/>
      <c r="EH502" s="31"/>
      <c r="EI502" s="31"/>
      <c r="EJ502" s="31"/>
      <c r="EK502" s="35"/>
      <c r="EL502" s="31"/>
      <c r="EM502" s="31"/>
      <c r="EN502" s="31"/>
      <c r="EO502" s="31"/>
      <c r="EP502" s="35"/>
      <c r="EQ502" s="31"/>
      <c r="ER502" s="31"/>
      <c r="ES502" s="31"/>
      <c r="ET502" s="31"/>
      <c r="EU502" s="35"/>
      <c r="EV502" s="35"/>
      <c r="EW502" s="35"/>
      <c r="EX502" s="35"/>
      <c r="EY502" s="35"/>
      <c r="EZ502" s="129"/>
    </row>
    <row r="503" spans="1:156" ht="11.25" customHeight="1">
      <c r="A503" s="521"/>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2"/>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1"/>
      <c r="CJ503" s="31"/>
      <c r="CK503" s="31"/>
      <c r="CL503" s="31"/>
      <c r="CM503" s="35"/>
      <c r="CN503" s="35"/>
      <c r="CO503" s="35"/>
      <c r="CP503" s="35"/>
      <c r="CQ503" s="35"/>
      <c r="CR503" s="35"/>
      <c r="CS503" s="35"/>
      <c r="CT503" s="35"/>
      <c r="CU503" s="35"/>
      <c r="CV503" s="35"/>
      <c r="CW503" s="35"/>
      <c r="CX503" s="35"/>
      <c r="CY503" s="31"/>
      <c r="CZ503" s="31"/>
      <c r="DA503" s="35"/>
      <c r="DB503" s="35"/>
      <c r="DC503" s="35"/>
      <c r="DD503" s="31"/>
      <c r="DE503" s="31"/>
      <c r="DF503" s="35"/>
      <c r="DG503" s="35"/>
      <c r="DH503" s="31"/>
      <c r="DI503" s="31"/>
      <c r="DJ503" s="31"/>
      <c r="DK503" s="31"/>
      <c r="DL503" s="35"/>
      <c r="DM503" s="31"/>
      <c r="DN503" s="31"/>
      <c r="DO503" s="31"/>
      <c r="DP503" s="31"/>
      <c r="DQ503" s="35"/>
      <c r="DR503" s="31"/>
      <c r="DS503" s="31"/>
      <c r="DT503" s="31"/>
      <c r="DU503" s="31"/>
      <c r="DV503" s="35"/>
      <c r="DW503" s="31"/>
      <c r="DX503" s="31"/>
      <c r="DY503" s="31"/>
      <c r="DZ503" s="31"/>
      <c r="EA503" s="35"/>
      <c r="EB503" s="31"/>
      <c r="EC503" s="31"/>
      <c r="ED503" s="31"/>
      <c r="EE503" s="31"/>
      <c r="EF503" s="35"/>
      <c r="EG503" s="31"/>
      <c r="EH503" s="31"/>
      <c r="EI503" s="31"/>
      <c r="EJ503" s="31"/>
      <c r="EK503" s="35"/>
      <c r="EL503" s="31"/>
      <c r="EM503" s="31"/>
      <c r="EN503" s="31"/>
      <c r="EO503" s="31"/>
      <c r="EP503" s="35"/>
      <c r="EQ503" s="31"/>
      <c r="ER503" s="31"/>
      <c r="ES503" s="31"/>
      <c r="ET503" s="31"/>
      <c r="EU503" s="35"/>
      <c r="EV503" s="35"/>
      <c r="EW503" s="35"/>
      <c r="EX503" s="35"/>
      <c r="EY503" s="35"/>
      <c r="EZ503" s="129"/>
    </row>
    <row r="504" spans="1:156" ht="11.25" customHeight="1">
      <c r="A504" s="521"/>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2"/>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1"/>
      <c r="CJ504" s="31"/>
      <c r="CK504" s="31"/>
      <c r="CL504" s="31"/>
      <c r="CM504" s="35"/>
      <c r="CN504" s="35"/>
      <c r="CO504" s="35"/>
      <c r="CP504" s="35"/>
      <c r="CQ504" s="35"/>
      <c r="CR504" s="35"/>
      <c r="CS504" s="35"/>
      <c r="CT504" s="35"/>
      <c r="CU504" s="35"/>
      <c r="CV504" s="35"/>
      <c r="CW504" s="35"/>
      <c r="CX504" s="35"/>
      <c r="CY504" s="31"/>
      <c r="CZ504" s="31"/>
      <c r="DA504" s="35"/>
      <c r="DB504" s="35"/>
      <c r="DC504" s="35"/>
      <c r="DD504" s="31"/>
      <c r="DE504" s="31"/>
      <c r="DF504" s="35"/>
      <c r="DG504" s="35"/>
      <c r="DH504" s="31"/>
      <c r="DI504" s="31"/>
      <c r="DJ504" s="31"/>
      <c r="DK504" s="31"/>
      <c r="DL504" s="35"/>
      <c r="DM504" s="31"/>
      <c r="DN504" s="31"/>
      <c r="DO504" s="31"/>
      <c r="DP504" s="31"/>
      <c r="DQ504" s="35"/>
      <c r="DR504" s="31"/>
      <c r="DS504" s="31"/>
      <c r="DT504" s="31"/>
      <c r="DU504" s="31"/>
      <c r="DV504" s="35"/>
      <c r="DW504" s="31"/>
      <c r="DX504" s="31"/>
      <c r="DY504" s="31"/>
      <c r="DZ504" s="31"/>
      <c r="EA504" s="35"/>
      <c r="EB504" s="31"/>
      <c r="EC504" s="31"/>
      <c r="ED504" s="31"/>
      <c r="EE504" s="31"/>
      <c r="EF504" s="35"/>
      <c r="EG504" s="31"/>
      <c r="EH504" s="31"/>
      <c r="EI504" s="31"/>
      <c r="EJ504" s="31"/>
      <c r="EK504" s="35"/>
      <c r="EL504" s="31"/>
      <c r="EM504" s="31"/>
      <c r="EN504" s="31"/>
      <c r="EO504" s="31"/>
      <c r="EP504" s="35"/>
      <c r="EQ504" s="31"/>
      <c r="ER504" s="31"/>
      <c r="ES504" s="31"/>
      <c r="ET504" s="31"/>
      <c r="EU504" s="35"/>
      <c r="EV504" s="35"/>
      <c r="EW504" s="35"/>
      <c r="EX504" s="35"/>
      <c r="EY504" s="35"/>
      <c r="EZ504" s="129"/>
    </row>
    <row r="505" spans="1:156" ht="11.25" customHeight="1">
      <c r="A505" s="521"/>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2"/>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1"/>
      <c r="CJ505" s="31"/>
      <c r="CK505" s="31"/>
      <c r="CL505" s="31"/>
      <c r="CM505" s="35"/>
      <c r="CN505" s="35"/>
      <c r="CO505" s="35"/>
      <c r="CP505" s="35"/>
      <c r="CQ505" s="35"/>
      <c r="CR505" s="35"/>
      <c r="CS505" s="35"/>
      <c r="CT505" s="35"/>
      <c r="CU505" s="35"/>
      <c r="CV505" s="35"/>
      <c r="CW505" s="35"/>
      <c r="CX505" s="35"/>
      <c r="CY505" s="31"/>
      <c r="CZ505" s="31"/>
      <c r="DA505" s="35"/>
      <c r="DB505" s="35"/>
      <c r="DC505" s="35"/>
      <c r="DD505" s="31"/>
      <c r="DE505" s="31"/>
      <c r="DF505" s="35"/>
      <c r="DG505" s="35"/>
      <c r="DH505" s="31"/>
      <c r="DI505" s="31"/>
      <c r="DJ505" s="31"/>
      <c r="DK505" s="31"/>
      <c r="DL505" s="35"/>
      <c r="DM505" s="31"/>
      <c r="DN505" s="31"/>
      <c r="DO505" s="31"/>
      <c r="DP505" s="31"/>
      <c r="DQ505" s="35"/>
      <c r="DR505" s="31"/>
      <c r="DS505" s="31"/>
      <c r="DT505" s="31"/>
      <c r="DU505" s="31"/>
      <c r="DV505" s="35"/>
      <c r="DW505" s="31"/>
      <c r="DX505" s="31"/>
      <c r="DY505" s="31"/>
      <c r="DZ505" s="31"/>
      <c r="EA505" s="35"/>
      <c r="EB505" s="31"/>
      <c r="EC505" s="31"/>
      <c r="ED505" s="31"/>
      <c r="EE505" s="31"/>
      <c r="EF505" s="35"/>
      <c r="EG505" s="31"/>
      <c r="EH505" s="31"/>
      <c r="EI505" s="31"/>
      <c r="EJ505" s="31"/>
      <c r="EK505" s="35"/>
      <c r="EL505" s="31"/>
      <c r="EM505" s="31"/>
      <c r="EN505" s="31"/>
      <c r="EO505" s="31"/>
      <c r="EP505" s="35"/>
      <c r="EQ505" s="31"/>
      <c r="ER505" s="31"/>
      <c r="ES505" s="31"/>
      <c r="ET505" s="31"/>
      <c r="EU505" s="35"/>
      <c r="EV505" s="35"/>
      <c r="EW505" s="35"/>
      <c r="EX505" s="35"/>
      <c r="EY505" s="35"/>
      <c r="EZ505" s="129"/>
    </row>
    <row r="506" spans="1:156" ht="11.25" customHeight="1">
      <c r="A506" s="521"/>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2"/>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1"/>
      <c r="CJ506" s="31"/>
      <c r="CK506" s="31"/>
      <c r="CL506" s="31"/>
      <c r="CM506" s="35"/>
      <c r="CN506" s="35"/>
      <c r="CO506" s="35"/>
      <c r="CP506" s="35"/>
      <c r="CQ506" s="35"/>
      <c r="CR506" s="35"/>
      <c r="CS506" s="35"/>
      <c r="CT506" s="35"/>
      <c r="CU506" s="35"/>
      <c r="CV506" s="35"/>
      <c r="CW506" s="35"/>
      <c r="CX506" s="35"/>
      <c r="CY506" s="31"/>
      <c r="CZ506" s="31"/>
      <c r="DA506" s="35"/>
      <c r="DB506" s="35"/>
      <c r="DC506" s="35"/>
      <c r="DD506" s="31"/>
      <c r="DE506" s="31"/>
      <c r="DF506" s="35"/>
      <c r="DG506" s="35"/>
      <c r="DH506" s="31"/>
      <c r="DI506" s="31"/>
      <c r="DJ506" s="31"/>
      <c r="DK506" s="31"/>
      <c r="DL506" s="35"/>
      <c r="DM506" s="31"/>
      <c r="DN506" s="31"/>
      <c r="DO506" s="31"/>
      <c r="DP506" s="31"/>
      <c r="DQ506" s="35"/>
      <c r="DR506" s="31"/>
      <c r="DS506" s="31"/>
      <c r="DT506" s="31"/>
      <c r="DU506" s="31"/>
      <c r="DV506" s="35"/>
      <c r="DW506" s="31"/>
      <c r="DX506" s="31"/>
      <c r="DY506" s="31"/>
      <c r="DZ506" s="31"/>
      <c r="EA506" s="35"/>
      <c r="EB506" s="31"/>
      <c r="EC506" s="31"/>
      <c r="ED506" s="31"/>
      <c r="EE506" s="31"/>
      <c r="EF506" s="35"/>
      <c r="EG506" s="31"/>
      <c r="EH506" s="31"/>
      <c r="EI506" s="31"/>
      <c r="EJ506" s="31"/>
      <c r="EK506" s="35"/>
      <c r="EL506" s="31"/>
      <c r="EM506" s="31"/>
      <c r="EN506" s="31"/>
      <c r="EO506" s="31"/>
      <c r="EP506" s="35"/>
      <c r="EQ506" s="31"/>
      <c r="ER506" s="31"/>
      <c r="ES506" s="31"/>
      <c r="ET506" s="31"/>
      <c r="EU506" s="35"/>
      <c r="EV506" s="35"/>
      <c r="EW506" s="35"/>
      <c r="EX506" s="35"/>
      <c r="EY506" s="35"/>
      <c r="EZ506" s="129"/>
    </row>
    <row r="507" spans="1:156" ht="11.25" customHeight="1">
      <c r="A507" s="521"/>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2"/>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1"/>
      <c r="CJ507" s="31"/>
      <c r="CK507" s="31"/>
      <c r="CL507" s="31"/>
      <c r="CM507" s="35"/>
      <c r="CN507" s="35"/>
      <c r="CO507" s="35"/>
      <c r="CP507" s="35"/>
      <c r="CQ507" s="35"/>
      <c r="CR507" s="35"/>
      <c r="CS507" s="35"/>
      <c r="CT507" s="35"/>
      <c r="CU507" s="35"/>
      <c r="CV507" s="35"/>
      <c r="CW507" s="35"/>
      <c r="CX507" s="35"/>
      <c r="CY507" s="31"/>
      <c r="CZ507" s="31"/>
      <c r="DA507" s="35"/>
      <c r="DB507" s="35"/>
      <c r="DC507" s="35"/>
      <c r="DD507" s="31"/>
      <c r="DE507" s="31"/>
      <c r="DF507" s="35"/>
      <c r="DG507" s="35"/>
      <c r="DH507" s="31"/>
      <c r="DI507" s="31"/>
      <c r="DJ507" s="31"/>
      <c r="DK507" s="31"/>
      <c r="DL507" s="35"/>
      <c r="DM507" s="31"/>
      <c r="DN507" s="31"/>
      <c r="DO507" s="31"/>
      <c r="DP507" s="31"/>
      <c r="DQ507" s="35"/>
      <c r="DR507" s="31"/>
      <c r="DS507" s="31"/>
      <c r="DT507" s="31"/>
      <c r="DU507" s="31"/>
      <c r="DV507" s="35"/>
      <c r="DW507" s="31"/>
      <c r="DX507" s="31"/>
      <c r="DY507" s="31"/>
      <c r="DZ507" s="31"/>
      <c r="EA507" s="35"/>
      <c r="EB507" s="31"/>
      <c r="EC507" s="31"/>
      <c r="ED507" s="31"/>
      <c r="EE507" s="31"/>
      <c r="EF507" s="35"/>
      <c r="EG507" s="31"/>
      <c r="EH507" s="31"/>
      <c r="EI507" s="31"/>
      <c r="EJ507" s="31"/>
      <c r="EK507" s="35"/>
      <c r="EL507" s="31"/>
      <c r="EM507" s="31"/>
      <c r="EN507" s="31"/>
      <c r="EO507" s="31"/>
      <c r="EP507" s="35"/>
      <c r="EQ507" s="31"/>
      <c r="ER507" s="31"/>
      <c r="ES507" s="31"/>
      <c r="ET507" s="31"/>
      <c r="EU507" s="35"/>
      <c r="EV507" s="35"/>
      <c r="EW507" s="35"/>
      <c r="EX507" s="35"/>
      <c r="EY507" s="35"/>
      <c r="EZ507" s="129"/>
    </row>
    <row r="508" spans="1:156" ht="11.25" customHeight="1">
      <c r="A508" s="521"/>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2"/>
      <c r="AU508" s="35"/>
      <c r="AV508" s="35"/>
      <c r="AW508" s="35"/>
      <c r="AX508" s="35"/>
      <c r="AY508" s="35"/>
      <c r="AZ508" s="35"/>
      <c r="BA508" s="35"/>
      <c r="BB508" s="35"/>
      <c r="BC508" s="35"/>
      <c r="BD508" s="35"/>
      <c r="BE508" s="35"/>
      <c r="BF508" s="35"/>
      <c r="BG508" s="35"/>
      <c r="BH508" s="35"/>
      <c r="BI508" s="35"/>
      <c r="BJ508" s="35"/>
      <c r="BK508" s="35"/>
      <c r="BL508" s="35"/>
      <c r="BM508" s="35"/>
      <c r="BN508" s="35"/>
      <c r="BO508" s="35"/>
      <c r="BP508" s="35"/>
      <c r="BQ508" s="35"/>
      <c r="BR508" s="35"/>
      <c r="BS508" s="35"/>
      <c r="BT508" s="35"/>
      <c r="BU508" s="35"/>
      <c r="BV508" s="35"/>
      <c r="BW508" s="35"/>
      <c r="BX508" s="35"/>
      <c r="BY508" s="35"/>
      <c r="BZ508" s="35"/>
      <c r="CA508" s="35"/>
      <c r="CB508" s="35"/>
      <c r="CC508" s="35"/>
      <c r="CD508" s="35"/>
      <c r="CE508" s="35"/>
      <c r="CF508" s="35"/>
      <c r="CG508" s="35"/>
      <c r="CH508" s="35"/>
      <c r="CI508" s="31"/>
      <c r="CJ508" s="31"/>
      <c r="CK508" s="31"/>
      <c r="CL508" s="31"/>
      <c r="CM508" s="35"/>
      <c r="CN508" s="35"/>
      <c r="CO508" s="35"/>
      <c r="CP508" s="35"/>
      <c r="CQ508" s="35"/>
      <c r="CR508" s="35"/>
      <c r="CS508" s="35"/>
      <c r="CT508" s="35"/>
      <c r="CU508" s="35"/>
      <c r="CV508" s="35"/>
      <c r="CW508" s="35"/>
      <c r="CX508" s="35"/>
      <c r="CY508" s="31"/>
      <c r="CZ508" s="31"/>
      <c r="DA508" s="35"/>
      <c r="DB508" s="35"/>
      <c r="DC508" s="35"/>
      <c r="DD508" s="31"/>
      <c r="DE508" s="31"/>
      <c r="DF508" s="35"/>
      <c r="DG508" s="35"/>
      <c r="DH508" s="31"/>
      <c r="DI508" s="31"/>
      <c r="DJ508" s="31"/>
      <c r="DK508" s="31"/>
      <c r="DL508" s="35"/>
      <c r="DM508" s="31"/>
      <c r="DN508" s="31"/>
      <c r="DO508" s="31"/>
      <c r="DP508" s="31"/>
      <c r="DQ508" s="35"/>
      <c r="DR508" s="31"/>
      <c r="DS508" s="31"/>
      <c r="DT508" s="31"/>
      <c r="DU508" s="31"/>
      <c r="DV508" s="35"/>
      <c r="DW508" s="31"/>
      <c r="DX508" s="31"/>
      <c r="DY508" s="31"/>
      <c r="DZ508" s="31"/>
      <c r="EA508" s="35"/>
      <c r="EB508" s="31"/>
      <c r="EC508" s="31"/>
      <c r="ED508" s="31"/>
      <c r="EE508" s="31"/>
      <c r="EF508" s="35"/>
      <c r="EG508" s="31"/>
      <c r="EH508" s="31"/>
      <c r="EI508" s="31"/>
      <c r="EJ508" s="31"/>
      <c r="EK508" s="35"/>
      <c r="EL508" s="31"/>
      <c r="EM508" s="31"/>
      <c r="EN508" s="31"/>
      <c r="EO508" s="31"/>
      <c r="EP508" s="35"/>
      <c r="EQ508" s="31"/>
      <c r="ER508" s="31"/>
      <c r="ES508" s="31"/>
      <c r="ET508" s="31"/>
      <c r="EU508" s="35"/>
      <c r="EV508" s="35"/>
      <c r="EW508" s="35"/>
      <c r="EX508" s="35"/>
      <c r="EY508" s="35"/>
      <c r="EZ508" s="129"/>
    </row>
    <row r="509" spans="1:156" ht="11.25" customHeight="1">
      <c r="A509" s="521"/>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2"/>
      <c r="AU509" s="35"/>
      <c r="AV509" s="35"/>
      <c r="AW509" s="35"/>
      <c r="AX509" s="35"/>
      <c r="AY509" s="35"/>
      <c r="AZ509" s="35"/>
      <c r="BA509" s="35"/>
      <c r="BB509" s="35"/>
      <c r="BC509" s="35"/>
      <c r="BD509" s="35"/>
      <c r="BE509" s="35"/>
      <c r="BF509" s="35"/>
      <c r="BG509" s="35"/>
      <c r="BH509" s="35"/>
      <c r="BI509" s="35"/>
      <c r="BJ509" s="35"/>
      <c r="BK509" s="35"/>
      <c r="BL509" s="35"/>
      <c r="BM509" s="35"/>
      <c r="BN509" s="35"/>
      <c r="BO509" s="35"/>
      <c r="BP509" s="35"/>
      <c r="BQ509" s="35"/>
      <c r="BR509" s="35"/>
      <c r="BS509" s="35"/>
      <c r="BT509" s="35"/>
      <c r="BU509" s="35"/>
      <c r="BV509" s="35"/>
      <c r="BW509" s="35"/>
      <c r="BX509" s="35"/>
      <c r="BY509" s="35"/>
      <c r="BZ509" s="35"/>
      <c r="CA509" s="35"/>
      <c r="CB509" s="35"/>
      <c r="CC509" s="35"/>
      <c r="CD509" s="35"/>
      <c r="CE509" s="35"/>
      <c r="CF509" s="35"/>
      <c r="CG509" s="35"/>
      <c r="CH509" s="35"/>
      <c r="CI509" s="31"/>
      <c r="CJ509" s="31"/>
      <c r="CK509" s="31"/>
      <c r="CL509" s="31"/>
      <c r="CM509" s="35"/>
      <c r="CN509" s="35"/>
      <c r="CO509" s="35"/>
      <c r="CP509" s="35"/>
      <c r="CQ509" s="35"/>
      <c r="CR509" s="35"/>
      <c r="CS509" s="35"/>
      <c r="CT509" s="35"/>
      <c r="CU509" s="35"/>
      <c r="CV509" s="35"/>
      <c r="CW509" s="35"/>
      <c r="CX509" s="35"/>
      <c r="CY509" s="31"/>
      <c r="CZ509" s="31"/>
      <c r="DA509" s="35"/>
      <c r="DB509" s="35"/>
      <c r="DC509" s="35"/>
      <c r="DD509" s="31"/>
      <c r="DE509" s="31"/>
      <c r="DF509" s="35"/>
      <c r="DG509" s="35"/>
      <c r="DH509" s="31"/>
      <c r="DI509" s="31"/>
      <c r="DJ509" s="31"/>
      <c r="DK509" s="31"/>
      <c r="DL509" s="35"/>
      <c r="DM509" s="31"/>
      <c r="DN509" s="31"/>
      <c r="DO509" s="31"/>
      <c r="DP509" s="31"/>
      <c r="DQ509" s="35"/>
      <c r="DR509" s="31"/>
      <c r="DS509" s="31"/>
      <c r="DT509" s="31"/>
      <c r="DU509" s="31"/>
      <c r="DV509" s="35"/>
      <c r="DW509" s="31"/>
      <c r="DX509" s="31"/>
      <c r="DY509" s="31"/>
      <c r="DZ509" s="31"/>
      <c r="EA509" s="35"/>
      <c r="EB509" s="31"/>
      <c r="EC509" s="31"/>
      <c r="ED509" s="31"/>
      <c r="EE509" s="31"/>
      <c r="EF509" s="35"/>
      <c r="EG509" s="31"/>
      <c r="EH509" s="31"/>
      <c r="EI509" s="31"/>
      <c r="EJ509" s="31"/>
      <c r="EK509" s="35"/>
      <c r="EL509" s="31"/>
      <c r="EM509" s="31"/>
      <c r="EN509" s="31"/>
      <c r="EO509" s="31"/>
      <c r="EP509" s="35"/>
      <c r="EQ509" s="31"/>
      <c r="ER509" s="31"/>
      <c r="ES509" s="31"/>
      <c r="ET509" s="31"/>
      <c r="EU509" s="35"/>
      <c r="EV509" s="35"/>
      <c r="EW509" s="35"/>
      <c r="EX509" s="35"/>
      <c r="EY509" s="35"/>
      <c r="EZ509" s="129"/>
    </row>
    <row r="510" spans="1:156" ht="11.25" customHeight="1">
      <c r="A510" s="521"/>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2"/>
      <c r="AU510" s="35"/>
      <c r="AV510" s="35"/>
      <c r="AW510" s="35"/>
      <c r="AX510" s="35"/>
      <c r="AY510" s="35"/>
      <c r="AZ510" s="35"/>
      <c r="BA510" s="35"/>
      <c r="BB510" s="35"/>
      <c r="BC510" s="35"/>
      <c r="BD510" s="35"/>
      <c r="BE510" s="35"/>
      <c r="BF510" s="35"/>
      <c r="BG510" s="35"/>
      <c r="BH510" s="35"/>
      <c r="BI510" s="35"/>
      <c r="BJ510" s="35"/>
      <c r="BK510" s="35"/>
      <c r="BL510" s="35"/>
      <c r="BM510" s="35"/>
      <c r="BN510" s="35"/>
      <c r="BO510" s="35"/>
      <c r="BP510" s="35"/>
      <c r="BQ510" s="35"/>
      <c r="BR510" s="35"/>
      <c r="BS510" s="35"/>
      <c r="BT510" s="35"/>
      <c r="BU510" s="35"/>
      <c r="BV510" s="35"/>
      <c r="BW510" s="35"/>
      <c r="BX510" s="35"/>
      <c r="BY510" s="35"/>
      <c r="BZ510" s="35"/>
      <c r="CA510" s="35"/>
      <c r="CB510" s="35"/>
      <c r="CC510" s="35"/>
      <c r="CD510" s="35"/>
      <c r="CE510" s="35"/>
      <c r="CF510" s="35"/>
      <c r="CG510" s="35"/>
      <c r="CH510" s="35"/>
      <c r="CI510" s="31"/>
      <c r="CJ510" s="31"/>
      <c r="CK510" s="31"/>
      <c r="CL510" s="31"/>
      <c r="CM510" s="35"/>
      <c r="CN510" s="35"/>
      <c r="CO510" s="35"/>
      <c r="CP510" s="35"/>
      <c r="CQ510" s="35"/>
      <c r="CR510" s="35"/>
      <c r="CS510" s="35"/>
      <c r="CT510" s="35"/>
      <c r="CU510" s="35"/>
      <c r="CV510" s="35"/>
      <c r="CW510" s="35"/>
      <c r="CX510" s="35"/>
      <c r="CY510" s="31"/>
      <c r="CZ510" s="31"/>
      <c r="DA510" s="35"/>
      <c r="DB510" s="35"/>
      <c r="DC510" s="35"/>
      <c r="DD510" s="31"/>
      <c r="DE510" s="31"/>
      <c r="DF510" s="35"/>
      <c r="DG510" s="35"/>
      <c r="DH510" s="31"/>
      <c r="DI510" s="31"/>
      <c r="DJ510" s="31"/>
      <c r="DK510" s="31"/>
      <c r="DL510" s="35"/>
      <c r="DM510" s="31"/>
      <c r="DN510" s="31"/>
      <c r="DO510" s="31"/>
      <c r="DP510" s="31"/>
      <c r="DQ510" s="35"/>
      <c r="DR510" s="31"/>
      <c r="DS510" s="31"/>
      <c r="DT510" s="31"/>
      <c r="DU510" s="31"/>
      <c r="DV510" s="35"/>
      <c r="DW510" s="31"/>
      <c r="DX510" s="31"/>
      <c r="DY510" s="31"/>
      <c r="DZ510" s="31"/>
      <c r="EA510" s="35"/>
      <c r="EB510" s="31"/>
      <c r="EC510" s="31"/>
      <c r="ED510" s="31"/>
      <c r="EE510" s="31"/>
      <c r="EF510" s="35"/>
      <c r="EG510" s="31"/>
      <c r="EH510" s="31"/>
      <c r="EI510" s="31"/>
      <c r="EJ510" s="31"/>
      <c r="EK510" s="35"/>
      <c r="EL510" s="31"/>
      <c r="EM510" s="31"/>
      <c r="EN510" s="31"/>
      <c r="EO510" s="31"/>
      <c r="EP510" s="35"/>
      <c r="EQ510" s="31"/>
      <c r="ER510" s="31"/>
      <c r="ES510" s="31"/>
      <c r="ET510" s="31"/>
      <c r="EU510" s="35"/>
      <c r="EV510" s="35"/>
      <c r="EW510" s="35"/>
      <c r="EX510" s="35"/>
      <c r="EY510" s="35"/>
      <c r="EZ510" s="129"/>
    </row>
    <row r="511" spans="1:156" ht="11.25" customHeight="1">
      <c r="A511" s="521"/>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2"/>
      <c r="AU511" s="35"/>
      <c r="AV511" s="35"/>
      <c r="AW511" s="35"/>
      <c r="AX511" s="35"/>
      <c r="AY511" s="35"/>
      <c r="AZ511" s="35"/>
      <c r="BA511" s="35"/>
      <c r="BB511" s="35"/>
      <c r="BC511" s="35"/>
      <c r="BD511" s="35"/>
      <c r="BE511" s="35"/>
      <c r="BF511" s="35"/>
      <c r="BG511" s="35"/>
      <c r="BH511" s="35"/>
      <c r="BI511" s="35"/>
      <c r="BJ511" s="35"/>
      <c r="BK511" s="35"/>
      <c r="BL511" s="35"/>
      <c r="BM511" s="35"/>
      <c r="BN511" s="35"/>
      <c r="BO511" s="35"/>
      <c r="BP511" s="35"/>
      <c r="BQ511" s="35"/>
      <c r="BR511" s="35"/>
      <c r="BS511" s="35"/>
      <c r="BT511" s="35"/>
      <c r="BU511" s="35"/>
      <c r="BV511" s="35"/>
      <c r="BW511" s="35"/>
      <c r="BX511" s="35"/>
      <c r="BY511" s="35"/>
      <c r="BZ511" s="35"/>
      <c r="CA511" s="35"/>
      <c r="CB511" s="35"/>
      <c r="CC511" s="35"/>
      <c r="CD511" s="35"/>
      <c r="CE511" s="35"/>
      <c r="CF511" s="35"/>
      <c r="CG511" s="35"/>
      <c r="CH511" s="35"/>
      <c r="CI511" s="31"/>
      <c r="CJ511" s="31"/>
      <c r="CK511" s="31"/>
      <c r="CL511" s="31"/>
      <c r="CM511" s="35"/>
      <c r="CN511" s="35"/>
      <c r="CO511" s="35"/>
      <c r="CP511" s="35"/>
      <c r="CQ511" s="35"/>
      <c r="CR511" s="35"/>
      <c r="CS511" s="35"/>
      <c r="CT511" s="35"/>
      <c r="CU511" s="35"/>
      <c r="CV511" s="35"/>
      <c r="CW511" s="35"/>
      <c r="CX511" s="35"/>
      <c r="CY511" s="31"/>
      <c r="CZ511" s="31"/>
      <c r="DA511" s="35"/>
      <c r="DB511" s="35"/>
      <c r="DC511" s="35"/>
      <c r="DD511" s="31"/>
      <c r="DE511" s="31"/>
      <c r="DF511" s="35"/>
      <c r="DG511" s="35"/>
      <c r="DH511" s="31"/>
      <c r="DI511" s="31"/>
      <c r="DJ511" s="31"/>
      <c r="DK511" s="31"/>
      <c r="DL511" s="35"/>
      <c r="DM511" s="31"/>
      <c r="DN511" s="31"/>
      <c r="DO511" s="31"/>
      <c r="DP511" s="31"/>
      <c r="DQ511" s="35"/>
      <c r="DR511" s="31"/>
      <c r="DS511" s="31"/>
      <c r="DT511" s="31"/>
      <c r="DU511" s="31"/>
      <c r="DV511" s="35"/>
      <c r="DW511" s="31"/>
      <c r="DX511" s="31"/>
      <c r="DY511" s="31"/>
      <c r="DZ511" s="31"/>
      <c r="EA511" s="35"/>
      <c r="EB511" s="31"/>
      <c r="EC511" s="31"/>
      <c r="ED511" s="31"/>
      <c r="EE511" s="31"/>
      <c r="EF511" s="35"/>
      <c r="EG511" s="31"/>
      <c r="EH511" s="31"/>
      <c r="EI511" s="31"/>
      <c r="EJ511" s="31"/>
      <c r="EK511" s="35"/>
      <c r="EL511" s="31"/>
      <c r="EM511" s="31"/>
      <c r="EN511" s="31"/>
      <c r="EO511" s="31"/>
      <c r="EP511" s="35"/>
      <c r="EQ511" s="31"/>
      <c r="ER511" s="31"/>
      <c r="ES511" s="31"/>
      <c r="ET511" s="31"/>
      <c r="EU511" s="35"/>
      <c r="EV511" s="35"/>
      <c r="EW511" s="35"/>
      <c r="EX511" s="35"/>
      <c r="EY511" s="35"/>
      <c r="EZ511" s="129"/>
    </row>
    <row r="512" spans="1:156" ht="11.25" customHeight="1">
      <c r="A512" s="521"/>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2"/>
      <c r="AU512" s="35"/>
      <c r="AV512" s="35"/>
      <c r="AW512" s="35"/>
      <c r="AX512" s="35"/>
      <c r="AY512" s="35"/>
      <c r="AZ512" s="35"/>
      <c r="BA512" s="35"/>
      <c r="BB512" s="35"/>
      <c r="BC512" s="35"/>
      <c r="BD512" s="35"/>
      <c r="BE512" s="35"/>
      <c r="BF512" s="35"/>
      <c r="BG512" s="35"/>
      <c r="BH512" s="35"/>
      <c r="BI512" s="35"/>
      <c r="BJ512" s="35"/>
      <c r="BK512" s="35"/>
      <c r="BL512" s="35"/>
      <c r="BM512" s="35"/>
      <c r="BN512" s="35"/>
      <c r="BO512" s="35"/>
      <c r="BP512" s="35"/>
      <c r="BQ512" s="35"/>
      <c r="BR512" s="35"/>
      <c r="BS512" s="35"/>
      <c r="BT512" s="35"/>
      <c r="BU512" s="35"/>
      <c r="BV512" s="35"/>
      <c r="BW512" s="35"/>
      <c r="BX512" s="35"/>
      <c r="BY512" s="35"/>
      <c r="BZ512" s="35"/>
      <c r="CA512" s="35"/>
      <c r="CB512" s="35"/>
      <c r="CC512" s="35"/>
      <c r="CD512" s="35"/>
      <c r="CE512" s="35"/>
      <c r="CF512" s="35"/>
      <c r="CG512" s="35"/>
      <c r="CH512" s="35"/>
      <c r="CI512" s="31"/>
      <c r="CJ512" s="31"/>
      <c r="CK512" s="31"/>
      <c r="CL512" s="31"/>
      <c r="CM512" s="35"/>
      <c r="CN512" s="35"/>
      <c r="CO512" s="35"/>
      <c r="CP512" s="35"/>
      <c r="CQ512" s="35"/>
      <c r="CR512" s="35"/>
      <c r="CS512" s="35"/>
      <c r="CT512" s="35"/>
      <c r="CU512" s="35"/>
      <c r="CV512" s="35"/>
      <c r="CW512" s="35"/>
      <c r="CX512" s="35"/>
      <c r="CY512" s="31"/>
      <c r="CZ512" s="31"/>
      <c r="DA512" s="35"/>
      <c r="DB512" s="35"/>
      <c r="DC512" s="35"/>
      <c r="DD512" s="31"/>
      <c r="DE512" s="31"/>
      <c r="DF512" s="35"/>
      <c r="DG512" s="35"/>
      <c r="DH512" s="31"/>
      <c r="DI512" s="31"/>
      <c r="DJ512" s="31"/>
      <c r="DK512" s="31"/>
      <c r="DL512" s="35"/>
      <c r="DM512" s="31"/>
      <c r="DN512" s="31"/>
      <c r="DO512" s="31"/>
      <c r="DP512" s="31"/>
      <c r="DQ512" s="35"/>
      <c r="DR512" s="31"/>
      <c r="DS512" s="31"/>
      <c r="DT512" s="31"/>
      <c r="DU512" s="31"/>
      <c r="DV512" s="35"/>
      <c r="DW512" s="31"/>
      <c r="DX512" s="31"/>
      <c r="DY512" s="31"/>
      <c r="DZ512" s="31"/>
      <c r="EA512" s="35"/>
      <c r="EB512" s="31"/>
      <c r="EC512" s="31"/>
      <c r="ED512" s="31"/>
      <c r="EE512" s="31"/>
      <c r="EF512" s="35"/>
      <c r="EG512" s="31"/>
      <c r="EH512" s="31"/>
      <c r="EI512" s="31"/>
      <c r="EJ512" s="31"/>
      <c r="EK512" s="35"/>
      <c r="EL512" s="31"/>
      <c r="EM512" s="31"/>
      <c r="EN512" s="31"/>
      <c r="EO512" s="31"/>
      <c r="EP512" s="35"/>
      <c r="EQ512" s="31"/>
      <c r="ER512" s="31"/>
      <c r="ES512" s="31"/>
      <c r="ET512" s="31"/>
      <c r="EU512" s="35"/>
      <c r="EV512" s="35"/>
      <c r="EW512" s="35"/>
      <c r="EX512" s="35"/>
      <c r="EY512" s="35"/>
      <c r="EZ512" s="129"/>
    </row>
    <row r="513" spans="1:156" ht="11.25" customHeight="1">
      <c r="A513" s="521"/>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2"/>
      <c r="AU513" s="35"/>
      <c r="AV513" s="35"/>
      <c r="AW513" s="35"/>
      <c r="AX513" s="35"/>
      <c r="AY513" s="35"/>
      <c r="AZ513" s="35"/>
      <c r="BA513" s="35"/>
      <c r="BB513" s="35"/>
      <c r="BC513" s="35"/>
      <c r="BD513" s="35"/>
      <c r="BE513" s="35"/>
      <c r="BF513" s="35"/>
      <c r="BG513" s="35"/>
      <c r="BH513" s="35"/>
      <c r="BI513" s="35"/>
      <c r="BJ513" s="35"/>
      <c r="BK513" s="35"/>
      <c r="BL513" s="35"/>
      <c r="BM513" s="35"/>
      <c r="BN513" s="35"/>
      <c r="BO513" s="35"/>
      <c r="BP513" s="35"/>
      <c r="BQ513" s="35"/>
      <c r="BR513" s="35"/>
      <c r="BS513" s="35"/>
      <c r="BT513" s="35"/>
      <c r="BU513" s="35"/>
      <c r="BV513" s="35"/>
      <c r="BW513" s="35"/>
      <c r="BX513" s="35"/>
      <c r="BY513" s="35"/>
      <c r="BZ513" s="35"/>
      <c r="CA513" s="35"/>
      <c r="CB513" s="35"/>
      <c r="CC513" s="35"/>
      <c r="CD513" s="35"/>
      <c r="CE513" s="35"/>
      <c r="CF513" s="35"/>
      <c r="CG513" s="35"/>
      <c r="CH513" s="35"/>
      <c r="CI513" s="31"/>
      <c r="CJ513" s="31"/>
      <c r="CK513" s="31"/>
      <c r="CL513" s="31"/>
      <c r="CM513" s="35"/>
      <c r="CN513" s="35"/>
      <c r="CO513" s="35"/>
      <c r="CP513" s="35"/>
      <c r="CQ513" s="35"/>
      <c r="CR513" s="35"/>
      <c r="CS513" s="35"/>
      <c r="CT513" s="35"/>
      <c r="CU513" s="35"/>
      <c r="CV513" s="35"/>
      <c r="CW513" s="35"/>
      <c r="CX513" s="35"/>
      <c r="CY513" s="31"/>
      <c r="CZ513" s="31"/>
      <c r="DA513" s="35"/>
      <c r="DB513" s="35"/>
      <c r="DC513" s="35"/>
      <c r="DD513" s="31"/>
      <c r="DE513" s="31"/>
      <c r="DF513" s="35"/>
      <c r="DG513" s="35"/>
      <c r="DH513" s="31"/>
      <c r="DI513" s="31"/>
      <c r="DJ513" s="31"/>
      <c r="DK513" s="31"/>
      <c r="DL513" s="35"/>
      <c r="DM513" s="31"/>
      <c r="DN513" s="31"/>
      <c r="DO513" s="31"/>
      <c r="DP513" s="31"/>
      <c r="DQ513" s="35"/>
      <c r="DR513" s="31"/>
      <c r="DS513" s="31"/>
      <c r="DT513" s="31"/>
      <c r="DU513" s="31"/>
      <c r="DV513" s="35"/>
      <c r="DW513" s="31"/>
      <c r="DX513" s="31"/>
      <c r="DY513" s="31"/>
      <c r="DZ513" s="31"/>
      <c r="EA513" s="35"/>
      <c r="EB513" s="31"/>
      <c r="EC513" s="31"/>
      <c r="ED513" s="31"/>
      <c r="EE513" s="31"/>
      <c r="EF513" s="35"/>
      <c r="EG513" s="31"/>
      <c r="EH513" s="31"/>
      <c r="EI513" s="31"/>
      <c r="EJ513" s="31"/>
      <c r="EK513" s="35"/>
      <c r="EL513" s="31"/>
      <c r="EM513" s="31"/>
      <c r="EN513" s="31"/>
      <c r="EO513" s="31"/>
      <c r="EP513" s="35"/>
      <c r="EQ513" s="31"/>
      <c r="ER513" s="31"/>
      <c r="ES513" s="31"/>
      <c r="ET513" s="31"/>
      <c r="EU513" s="35"/>
      <c r="EV513" s="35"/>
      <c r="EW513" s="35"/>
      <c r="EX513" s="35"/>
      <c r="EY513" s="35"/>
      <c r="EZ513" s="129"/>
    </row>
    <row r="514" spans="1:156" ht="11.25" customHeight="1">
      <c r="A514" s="521"/>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2"/>
      <c r="AU514" s="35"/>
      <c r="AV514" s="35"/>
      <c r="AW514" s="35"/>
      <c r="AX514" s="35"/>
      <c r="AY514" s="35"/>
      <c r="AZ514" s="35"/>
      <c r="BA514" s="35"/>
      <c r="BB514" s="35"/>
      <c r="BC514" s="35"/>
      <c r="BD514" s="35"/>
      <c r="BE514" s="35"/>
      <c r="BF514" s="35"/>
      <c r="BG514" s="35"/>
      <c r="BH514" s="35"/>
      <c r="BI514" s="35"/>
      <c r="BJ514" s="35"/>
      <c r="BK514" s="35"/>
      <c r="BL514" s="35"/>
      <c r="BM514" s="35"/>
      <c r="BN514" s="35"/>
      <c r="BO514" s="35"/>
      <c r="BP514" s="35"/>
      <c r="BQ514" s="35"/>
      <c r="BR514" s="35"/>
      <c r="BS514" s="35"/>
      <c r="BT514" s="35"/>
      <c r="BU514" s="35"/>
      <c r="BV514" s="35"/>
      <c r="BW514" s="35"/>
      <c r="BX514" s="35"/>
      <c r="BY514" s="35"/>
      <c r="BZ514" s="35"/>
      <c r="CA514" s="35"/>
      <c r="CB514" s="35"/>
      <c r="CC514" s="35"/>
      <c r="CD514" s="35"/>
      <c r="CE514" s="35"/>
      <c r="CF514" s="35"/>
      <c r="CG514" s="35"/>
      <c r="CH514" s="35"/>
      <c r="CI514" s="31"/>
      <c r="CJ514" s="31"/>
      <c r="CK514" s="31"/>
      <c r="CL514" s="31"/>
      <c r="CM514" s="35"/>
      <c r="CN514" s="35"/>
      <c r="CO514" s="35"/>
      <c r="CP514" s="35"/>
      <c r="CQ514" s="35"/>
      <c r="CR514" s="35"/>
      <c r="CS514" s="35"/>
      <c r="CT514" s="35"/>
      <c r="CU514" s="35"/>
      <c r="CV514" s="35"/>
      <c r="CW514" s="35"/>
      <c r="CX514" s="35"/>
      <c r="CY514" s="31"/>
      <c r="CZ514" s="31"/>
      <c r="DA514" s="35"/>
      <c r="DB514" s="35"/>
      <c r="DC514" s="35"/>
      <c r="DD514" s="31"/>
      <c r="DE514" s="31"/>
      <c r="DF514" s="35"/>
      <c r="DG514" s="35"/>
      <c r="DH514" s="31"/>
      <c r="DI514" s="31"/>
      <c r="DJ514" s="31"/>
      <c r="DK514" s="31"/>
      <c r="DL514" s="35"/>
      <c r="DM514" s="31"/>
      <c r="DN514" s="31"/>
      <c r="DO514" s="31"/>
      <c r="DP514" s="31"/>
      <c r="DQ514" s="35"/>
      <c r="DR514" s="31"/>
      <c r="DS514" s="31"/>
      <c r="DT514" s="31"/>
      <c r="DU514" s="31"/>
      <c r="DV514" s="35"/>
      <c r="DW514" s="31"/>
      <c r="DX514" s="31"/>
      <c r="DY514" s="31"/>
      <c r="DZ514" s="31"/>
      <c r="EA514" s="35"/>
      <c r="EB514" s="31"/>
      <c r="EC514" s="31"/>
      <c r="ED514" s="31"/>
      <c r="EE514" s="31"/>
      <c r="EF514" s="35"/>
      <c r="EG514" s="31"/>
      <c r="EH514" s="31"/>
      <c r="EI514" s="31"/>
      <c r="EJ514" s="31"/>
      <c r="EK514" s="35"/>
      <c r="EL514" s="31"/>
      <c r="EM514" s="31"/>
      <c r="EN514" s="31"/>
      <c r="EO514" s="31"/>
      <c r="EP514" s="35"/>
      <c r="EQ514" s="31"/>
      <c r="ER514" s="31"/>
      <c r="ES514" s="31"/>
      <c r="ET514" s="31"/>
      <c r="EU514" s="35"/>
      <c r="EV514" s="35"/>
      <c r="EW514" s="35"/>
      <c r="EX514" s="35"/>
      <c r="EY514" s="35"/>
      <c r="EZ514" s="129"/>
    </row>
    <row r="515" spans="1:156" ht="11.25" customHeight="1">
      <c r="A515" s="521"/>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2"/>
      <c r="AU515" s="35"/>
      <c r="AV515" s="35"/>
      <c r="AW515" s="35"/>
      <c r="AX515" s="35"/>
      <c r="AY515" s="35"/>
      <c r="AZ515" s="35"/>
      <c r="BA515" s="35"/>
      <c r="BB515" s="35"/>
      <c r="BC515" s="35"/>
      <c r="BD515" s="35"/>
      <c r="BE515" s="35"/>
      <c r="BF515" s="35"/>
      <c r="BG515" s="35"/>
      <c r="BH515" s="35"/>
      <c r="BI515" s="35"/>
      <c r="BJ515" s="35"/>
      <c r="BK515" s="35"/>
      <c r="BL515" s="35"/>
      <c r="BM515" s="35"/>
      <c r="BN515" s="35"/>
      <c r="BO515" s="35"/>
      <c r="BP515" s="35"/>
      <c r="BQ515" s="35"/>
      <c r="BR515" s="35"/>
      <c r="BS515" s="35"/>
      <c r="BT515" s="35"/>
      <c r="BU515" s="35"/>
      <c r="BV515" s="35"/>
      <c r="BW515" s="35"/>
      <c r="BX515" s="35"/>
      <c r="BY515" s="35"/>
      <c r="BZ515" s="35"/>
      <c r="CA515" s="35"/>
      <c r="CB515" s="35"/>
      <c r="CC515" s="35"/>
      <c r="CD515" s="35"/>
      <c r="CE515" s="35"/>
      <c r="CF515" s="35"/>
      <c r="CG515" s="35"/>
      <c r="CH515" s="35"/>
      <c r="CI515" s="31"/>
      <c r="CJ515" s="31"/>
      <c r="CK515" s="31"/>
      <c r="CL515" s="31"/>
      <c r="CM515" s="35"/>
      <c r="CN515" s="35"/>
      <c r="CO515" s="35"/>
      <c r="CP515" s="35"/>
      <c r="CQ515" s="35"/>
      <c r="CR515" s="35"/>
      <c r="CS515" s="35"/>
      <c r="CT515" s="35"/>
      <c r="CU515" s="35"/>
      <c r="CV515" s="35"/>
      <c r="CW515" s="35"/>
      <c r="CX515" s="35"/>
      <c r="CY515" s="31"/>
      <c r="CZ515" s="31"/>
      <c r="DA515" s="35"/>
      <c r="DB515" s="35"/>
      <c r="DC515" s="35"/>
      <c r="DD515" s="31"/>
      <c r="DE515" s="31"/>
      <c r="DF515" s="35"/>
      <c r="DG515" s="35"/>
      <c r="DH515" s="31"/>
      <c r="DI515" s="31"/>
      <c r="DJ515" s="31"/>
      <c r="DK515" s="31"/>
      <c r="DL515" s="35"/>
      <c r="DM515" s="31"/>
      <c r="DN515" s="31"/>
      <c r="DO515" s="31"/>
      <c r="DP515" s="31"/>
      <c r="DQ515" s="35"/>
      <c r="DR515" s="31"/>
      <c r="DS515" s="31"/>
      <c r="DT515" s="31"/>
      <c r="DU515" s="31"/>
      <c r="DV515" s="35"/>
      <c r="DW515" s="31"/>
      <c r="DX515" s="31"/>
      <c r="DY515" s="31"/>
      <c r="DZ515" s="31"/>
      <c r="EA515" s="35"/>
      <c r="EB515" s="31"/>
      <c r="EC515" s="31"/>
      <c r="ED515" s="31"/>
      <c r="EE515" s="31"/>
      <c r="EF515" s="35"/>
      <c r="EG515" s="31"/>
      <c r="EH515" s="31"/>
      <c r="EI515" s="31"/>
      <c r="EJ515" s="31"/>
      <c r="EK515" s="35"/>
      <c r="EL515" s="31"/>
      <c r="EM515" s="31"/>
      <c r="EN515" s="31"/>
      <c r="EO515" s="31"/>
      <c r="EP515" s="35"/>
      <c r="EQ515" s="31"/>
      <c r="ER515" s="31"/>
      <c r="ES515" s="31"/>
      <c r="ET515" s="31"/>
      <c r="EU515" s="35"/>
      <c r="EV515" s="35"/>
      <c r="EW515" s="35"/>
      <c r="EX515" s="35"/>
      <c r="EY515" s="35"/>
      <c r="EZ515" s="129"/>
    </row>
    <row r="516" spans="1:156" ht="11.25" customHeight="1">
      <c r="A516" s="521"/>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2"/>
      <c r="AU516" s="35"/>
      <c r="AV516" s="35"/>
      <c r="AW516" s="35"/>
      <c r="AX516" s="35"/>
      <c r="AY516" s="35"/>
      <c r="AZ516" s="35"/>
      <c r="BA516" s="35"/>
      <c r="BB516" s="35"/>
      <c r="BC516" s="35"/>
      <c r="BD516" s="35"/>
      <c r="BE516" s="35"/>
      <c r="BF516" s="35"/>
      <c r="BG516" s="35"/>
      <c r="BH516" s="35"/>
      <c r="BI516" s="35"/>
      <c r="BJ516" s="35"/>
      <c r="BK516" s="35"/>
      <c r="BL516" s="35"/>
      <c r="BM516" s="35"/>
      <c r="BN516" s="35"/>
      <c r="BO516" s="35"/>
      <c r="BP516" s="35"/>
      <c r="BQ516" s="35"/>
      <c r="BR516" s="35"/>
      <c r="BS516" s="35"/>
      <c r="BT516" s="35"/>
      <c r="BU516" s="35"/>
      <c r="BV516" s="35"/>
      <c r="BW516" s="35"/>
      <c r="BX516" s="35"/>
      <c r="BY516" s="35"/>
      <c r="BZ516" s="35"/>
      <c r="CA516" s="35"/>
      <c r="CB516" s="35"/>
      <c r="CC516" s="35"/>
      <c r="CD516" s="35"/>
      <c r="CE516" s="35"/>
      <c r="CF516" s="35"/>
      <c r="CG516" s="35"/>
      <c r="CH516" s="35"/>
      <c r="CI516" s="31"/>
      <c r="CJ516" s="31"/>
      <c r="CK516" s="31"/>
      <c r="CL516" s="31"/>
      <c r="CM516" s="35"/>
      <c r="CN516" s="35"/>
      <c r="CO516" s="35"/>
      <c r="CP516" s="35"/>
      <c r="CQ516" s="35"/>
      <c r="CR516" s="35"/>
      <c r="CS516" s="35"/>
      <c r="CT516" s="35"/>
      <c r="CU516" s="35"/>
      <c r="CV516" s="35"/>
      <c r="CW516" s="35"/>
      <c r="CX516" s="35"/>
      <c r="CY516" s="31"/>
      <c r="CZ516" s="31"/>
      <c r="DA516" s="35"/>
      <c r="DB516" s="35"/>
      <c r="DC516" s="35"/>
      <c r="DD516" s="31"/>
      <c r="DE516" s="31"/>
      <c r="DF516" s="35"/>
      <c r="DG516" s="35"/>
      <c r="DH516" s="31"/>
      <c r="DI516" s="31"/>
      <c r="DJ516" s="31"/>
      <c r="DK516" s="31"/>
      <c r="DL516" s="35"/>
      <c r="DM516" s="31"/>
      <c r="DN516" s="31"/>
      <c r="DO516" s="31"/>
      <c r="DP516" s="31"/>
      <c r="DQ516" s="35"/>
      <c r="DR516" s="31"/>
      <c r="DS516" s="31"/>
      <c r="DT516" s="31"/>
      <c r="DU516" s="31"/>
      <c r="DV516" s="35"/>
      <c r="DW516" s="31"/>
      <c r="DX516" s="31"/>
      <c r="DY516" s="31"/>
      <c r="DZ516" s="31"/>
      <c r="EA516" s="35"/>
      <c r="EB516" s="31"/>
      <c r="EC516" s="31"/>
      <c r="ED516" s="31"/>
      <c r="EE516" s="31"/>
      <c r="EF516" s="35"/>
      <c r="EG516" s="31"/>
      <c r="EH516" s="31"/>
      <c r="EI516" s="31"/>
      <c r="EJ516" s="31"/>
      <c r="EK516" s="35"/>
      <c r="EL516" s="31"/>
      <c r="EM516" s="31"/>
      <c r="EN516" s="31"/>
      <c r="EO516" s="31"/>
      <c r="EP516" s="35"/>
      <c r="EQ516" s="31"/>
      <c r="ER516" s="31"/>
      <c r="ES516" s="31"/>
      <c r="ET516" s="31"/>
      <c r="EU516" s="35"/>
      <c r="EV516" s="35"/>
      <c r="EW516" s="35"/>
      <c r="EX516" s="35"/>
      <c r="EY516" s="35"/>
      <c r="EZ516" s="129"/>
    </row>
    <row r="517" spans="1:156" ht="11.25" customHeight="1">
      <c r="A517" s="521"/>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c r="AF517" s="35"/>
      <c r="AG517" s="35"/>
      <c r="AH517" s="35"/>
      <c r="AI517" s="35"/>
      <c r="AJ517" s="35"/>
      <c r="AK517" s="35"/>
      <c r="AL517" s="35"/>
      <c r="AM517" s="35"/>
      <c r="AN517" s="35"/>
      <c r="AO517" s="35"/>
      <c r="AP517" s="35"/>
      <c r="AQ517" s="35"/>
      <c r="AR517" s="35"/>
      <c r="AS517" s="35"/>
      <c r="AT517" s="32"/>
      <c r="AU517" s="35"/>
      <c r="AV517" s="35"/>
      <c r="AW517" s="35"/>
      <c r="AX517" s="35"/>
      <c r="AY517" s="35"/>
      <c r="AZ517" s="35"/>
      <c r="BA517" s="35"/>
      <c r="BB517" s="35"/>
      <c r="BC517" s="35"/>
      <c r="BD517" s="35"/>
      <c r="BE517" s="35"/>
      <c r="BF517" s="35"/>
      <c r="BG517" s="35"/>
      <c r="BH517" s="35"/>
      <c r="BI517" s="35"/>
      <c r="BJ517" s="35"/>
      <c r="BK517" s="35"/>
      <c r="BL517" s="35"/>
      <c r="BM517" s="35"/>
      <c r="BN517" s="35"/>
      <c r="BO517" s="35"/>
      <c r="BP517" s="35"/>
      <c r="BQ517" s="35"/>
      <c r="BR517" s="35"/>
      <c r="BS517" s="35"/>
      <c r="BT517" s="35"/>
      <c r="BU517" s="35"/>
      <c r="BV517" s="35"/>
      <c r="BW517" s="35"/>
      <c r="BX517" s="35"/>
      <c r="BY517" s="35"/>
      <c r="BZ517" s="35"/>
      <c r="CA517" s="35"/>
      <c r="CB517" s="35"/>
      <c r="CC517" s="35"/>
      <c r="CD517" s="35"/>
      <c r="CE517" s="35"/>
      <c r="CF517" s="35"/>
      <c r="CG517" s="35"/>
      <c r="CH517" s="35"/>
      <c r="CI517" s="31"/>
      <c r="CJ517" s="31"/>
      <c r="CK517" s="31"/>
      <c r="CL517" s="31"/>
      <c r="CM517" s="35"/>
      <c r="CN517" s="35"/>
      <c r="CO517" s="35"/>
      <c r="CP517" s="35"/>
      <c r="CQ517" s="35"/>
      <c r="CR517" s="35"/>
      <c r="CS517" s="35"/>
      <c r="CT517" s="35"/>
      <c r="CU517" s="35"/>
      <c r="CV517" s="35"/>
      <c r="CW517" s="35"/>
      <c r="CX517" s="35"/>
      <c r="CY517" s="31"/>
      <c r="CZ517" s="31"/>
      <c r="DA517" s="35"/>
      <c r="DB517" s="35"/>
      <c r="DC517" s="35"/>
      <c r="DD517" s="31"/>
      <c r="DE517" s="31"/>
      <c r="DF517" s="35"/>
      <c r="DG517" s="35"/>
      <c r="DH517" s="31"/>
      <c r="DI517" s="31"/>
      <c r="DJ517" s="31"/>
      <c r="DK517" s="31"/>
      <c r="DL517" s="35"/>
      <c r="DM517" s="31"/>
      <c r="DN517" s="31"/>
      <c r="DO517" s="31"/>
      <c r="DP517" s="31"/>
      <c r="DQ517" s="35"/>
      <c r="DR517" s="31"/>
      <c r="DS517" s="31"/>
      <c r="DT517" s="31"/>
      <c r="DU517" s="31"/>
      <c r="DV517" s="35"/>
      <c r="DW517" s="31"/>
      <c r="DX517" s="31"/>
      <c r="DY517" s="31"/>
      <c r="DZ517" s="31"/>
      <c r="EA517" s="35"/>
      <c r="EB517" s="31"/>
      <c r="EC517" s="31"/>
      <c r="ED517" s="31"/>
      <c r="EE517" s="31"/>
      <c r="EF517" s="35"/>
      <c r="EG517" s="31"/>
      <c r="EH517" s="31"/>
      <c r="EI517" s="31"/>
      <c r="EJ517" s="31"/>
      <c r="EK517" s="35"/>
      <c r="EL517" s="31"/>
      <c r="EM517" s="31"/>
      <c r="EN517" s="31"/>
      <c r="EO517" s="31"/>
      <c r="EP517" s="35"/>
      <c r="EQ517" s="31"/>
      <c r="ER517" s="31"/>
      <c r="ES517" s="31"/>
      <c r="ET517" s="31"/>
      <c r="EU517" s="35"/>
      <c r="EV517" s="35"/>
      <c r="EW517" s="35"/>
      <c r="EX517" s="35"/>
      <c r="EY517" s="35"/>
      <c r="EZ517" s="129"/>
    </row>
    <row r="518" spans="1:156" ht="11.25" customHeight="1">
      <c r="A518" s="521"/>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c r="AF518" s="35"/>
      <c r="AG518" s="35"/>
      <c r="AH518" s="35"/>
      <c r="AI518" s="35"/>
      <c r="AJ518" s="35"/>
      <c r="AK518" s="35"/>
      <c r="AL518" s="35"/>
      <c r="AM518" s="35"/>
      <c r="AN518" s="35"/>
      <c r="AO518" s="35"/>
      <c r="AP518" s="35"/>
      <c r="AQ518" s="35"/>
      <c r="AR518" s="35"/>
      <c r="AS518" s="35"/>
      <c r="AT518" s="32"/>
      <c r="AU518" s="35"/>
      <c r="AV518" s="35"/>
      <c r="AW518" s="35"/>
      <c r="AX518" s="35"/>
      <c r="AY518" s="35"/>
      <c r="AZ518" s="35"/>
      <c r="BA518" s="35"/>
      <c r="BB518" s="35"/>
      <c r="BC518" s="35"/>
      <c r="BD518" s="35"/>
      <c r="BE518" s="35"/>
      <c r="BF518" s="35"/>
      <c r="BG518" s="35"/>
      <c r="BH518" s="35"/>
      <c r="BI518" s="35"/>
      <c r="BJ518" s="35"/>
      <c r="BK518" s="35"/>
      <c r="BL518" s="35"/>
      <c r="BM518" s="35"/>
      <c r="BN518" s="35"/>
      <c r="BO518" s="35"/>
      <c r="BP518" s="35"/>
      <c r="BQ518" s="35"/>
      <c r="BR518" s="35"/>
      <c r="BS518" s="35"/>
      <c r="BT518" s="35"/>
      <c r="BU518" s="35"/>
      <c r="BV518" s="35"/>
      <c r="BW518" s="35"/>
      <c r="BX518" s="35"/>
      <c r="BY518" s="35"/>
      <c r="BZ518" s="35"/>
      <c r="CA518" s="35"/>
      <c r="CB518" s="35"/>
      <c r="CC518" s="35"/>
      <c r="CD518" s="35"/>
      <c r="CE518" s="35"/>
      <c r="CF518" s="35"/>
      <c r="CG518" s="35"/>
      <c r="CH518" s="35"/>
      <c r="CI518" s="31"/>
      <c r="CJ518" s="31"/>
      <c r="CK518" s="31"/>
      <c r="CL518" s="31"/>
      <c r="CM518" s="35"/>
      <c r="CN518" s="35"/>
      <c r="CO518" s="35"/>
      <c r="CP518" s="35"/>
      <c r="CQ518" s="35"/>
      <c r="CR518" s="35"/>
      <c r="CS518" s="35"/>
      <c r="CT518" s="35"/>
      <c r="CU518" s="35"/>
      <c r="CV518" s="35"/>
      <c r="CW518" s="35"/>
      <c r="CX518" s="35"/>
      <c r="CY518" s="31"/>
      <c r="CZ518" s="31"/>
      <c r="DA518" s="35"/>
      <c r="DB518" s="35"/>
      <c r="DC518" s="35"/>
      <c r="DD518" s="31"/>
      <c r="DE518" s="31"/>
      <c r="DF518" s="35"/>
      <c r="DG518" s="35"/>
      <c r="DH518" s="31"/>
      <c r="DI518" s="31"/>
      <c r="DJ518" s="31"/>
      <c r="DK518" s="31"/>
      <c r="DL518" s="35"/>
      <c r="DM518" s="31"/>
      <c r="DN518" s="31"/>
      <c r="DO518" s="31"/>
      <c r="DP518" s="31"/>
      <c r="DQ518" s="35"/>
      <c r="DR518" s="31"/>
      <c r="DS518" s="31"/>
      <c r="DT518" s="31"/>
      <c r="DU518" s="31"/>
      <c r="DV518" s="35"/>
      <c r="DW518" s="31"/>
      <c r="DX518" s="31"/>
      <c r="DY518" s="31"/>
      <c r="DZ518" s="31"/>
      <c r="EA518" s="35"/>
      <c r="EB518" s="31"/>
      <c r="EC518" s="31"/>
      <c r="ED518" s="31"/>
      <c r="EE518" s="31"/>
      <c r="EF518" s="35"/>
      <c r="EG518" s="31"/>
      <c r="EH518" s="31"/>
      <c r="EI518" s="31"/>
      <c r="EJ518" s="31"/>
      <c r="EK518" s="35"/>
      <c r="EL518" s="31"/>
      <c r="EM518" s="31"/>
      <c r="EN518" s="31"/>
      <c r="EO518" s="31"/>
      <c r="EP518" s="35"/>
      <c r="EQ518" s="31"/>
      <c r="ER518" s="31"/>
      <c r="ES518" s="31"/>
      <c r="ET518" s="31"/>
      <c r="EU518" s="35"/>
      <c r="EV518" s="35"/>
      <c r="EW518" s="35"/>
      <c r="EX518" s="35"/>
      <c r="EY518" s="35"/>
      <c r="EZ518" s="129"/>
    </row>
    <row r="519" spans="1:156" ht="11.25" customHeight="1">
      <c r="A519" s="521"/>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c r="AF519" s="35"/>
      <c r="AG519" s="35"/>
      <c r="AH519" s="35"/>
      <c r="AI519" s="35"/>
      <c r="AJ519" s="35"/>
      <c r="AK519" s="35"/>
      <c r="AL519" s="35"/>
      <c r="AM519" s="35"/>
      <c r="AN519" s="35"/>
      <c r="AO519" s="35"/>
      <c r="AP519" s="35"/>
      <c r="AQ519" s="35"/>
      <c r="AR519" s="35"/>
      <c r="AS519" s="35"/>
      <c r="AT519" s="32"/>
      <c r="AU519" s="35"/>
      <c r="AV519" s="35"/>
      <c r="AW519" s="35"/>
      <c r="AX519" s="35"/>
      <c r="AY519" s="35"/>
      <c r="AZ519" s="35"/>
      <c r="BA519" s="35"/>
      <c r="BB519" s="35"/>
      <c r="BC519" s="35"/>
      <c r="BD519" s="35"/>
      <c r="BE519" s="35"/>
      <c r="BF519" s="35"/>
      <c r="BG519" s="35"/>
      <c r="BH519" s="35"/>
      <c r="BI519" s="35"/>
      <c r="BJ519" s="35"/>
      <c r="BK519" s="35"/>
      <c r="BL519" s="35"/>
      <c r="BM519" s="35"/>
      <c r="BN519" s="35"/>
      <c r="BO519" s="35"/>
      <c r="BP519" s="35"/>
      <c r="BQ519" s="35"/>
      <c r="BR519" s="35"/>
      <c r="BS519" s="35"/>
      <c r="BT519" s="35"/>
      <c r="BU519" s="35"/>
      <c r="BV519" s="35"/>
      <c r="BW519" s="35"/>
      <c r="BX519" s="35"/>
      <c r="BY519" s="35"/>
      <c r="BZ519" s="35"/>
      <c r="CA519" s="35"/>
      <c r="CB519" s="35"/>
      <c r="CC519" s="35"/>
      <c r="CD519" s="35"/>
      <c r="CE519" s="35"/>
      <c r="CF519" s="35"/>
      <c r="CG519" s="35"/>
      <c r="CH519" s="35"/>
      <c r="CI519" s="31"/>
      <c r="CJ519" s="31"/>
      <c r="CK519" s="31"/>
      <c r="CL519" s="31"/>
      <c r="CM519" s="35"/>
      <c r="CN519" s="35"/>
      <c r="CO519" s="35"/>
      <c r="CP519" s="35"/>
      <c r="CQ519" s="35"/>
      <c r="CR519" s="35"/>
      <c r="CS519" s="35"/>
      <c r="CT519" s="35"/>
      <c r="CU519" s="35"/>
      <c r="CV519" s="35"/>
      <c r="CW519" s="35"/>
      <c r="CX519" s="35"/>
      <c r="CY519" s="31"/>
      <c r="CZ519" s="31"/>
      <c r="DA519" s="35"/>
      <c r="DB519" s="35"/>
      <c r="DC519" s="35"/>
      <c r="DD519" s="31"/>
      <c r="DE519" s="31"/>
      <c r="DF519" s="35"/>
      <c r="DG519" s="35"/>
      <c r="DH519" s="31"/>
      <c r="DI519" s="31"/>
      <c r="DJ519" s="31"/>
      <c r="DK519" s="31"/>
      <c r="DL519" s="35"/>
      <c r="DM519" s="31"/>
      <c r="DN519" s="31"/>
      <c r="DO519" s="31"/>
      <c r="DP519" s="31"/>
      <c r="DQ519" s="35"/>
      <c r="DR519" s="31"/>
      <c r="DS519" s="31"/>
      <c r="DT519" s="31"/>
      <c r="DU519" s="31"/>
      <c r="DV519" s="35"/>
      <c r="DW519" s="31"/>
      <c r="DX519" s="31"/>
      <c r="DY519" s="31"/>
      <c r="DZ519" s="31"/>
      <c r="EA519" s="35"/>
      <c r="EB519" s="31"/>
      <c r="EC519" s="31"/>
      <c r="ED519" s="31"/>
      <c r="EE519" s="31"/>
      <c r="EF519" s="35"/>
      <c r="EG519" s="31"/>
      <c r="EH519" s="31"/>
      <c r="EI519" s="31"/>
      <c r="EJ519" s="31"/>
      <c r="EK519" s="35"/>
      <c r="EL519" s="31"/>
      <c r="EM519" s="31"/>
      <c r="EN519" s="31"/>
      <c r="EO519" s="31"/>
      <c r="EP519" s="35"/>
      <c r="EQ519" s="31"/>
      <c r="ER519" s="31"/>
      <c r="ES519" s="31"/>
      <c r="ET519" s="31"/>
      <c r="EU519" s="35"/>
      <c r="EV519" s="35"/>
      <c r="EW519" s="35"/>
      <c r="EX519" s="35"/>
      <c r="EY519" s="35"/>
      <c r="EZ519" s="129"/>
    </row>
    <row r="520" spans="1:156" ht="11.25" customHeight="1">
      <c r="A520" s="521"/>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c r="AF520" s="35"/>
      <c r="AG520" s="35"/>
      <c r="AH520" s="35"/>
      <c r="AI520" s="35"/>
      <c r="AJ520" s="35"/>
      <c r="AK520" s="35"/>
      <c r="AL520" s="35"/>
      <c r="AM520" s="35"/>
      <c r="AN520" s="35"/>
      <c r="AO520" s="35"/>
      <c r="AP520" s="35"/>
      <c r="AQ520" s="35"/>
      <c r="AR520" s="35"/>
      <c r="AS520" s="35"/>
      <c r="AT520" s="32"/>
      <c r="AU520" s="35"/>
      <c r="AV520" s="35"/>
      <c r="AW520" s="35"/>
      <c r="AX520" s="35"/>
      <c r="AY520" s="35"/>
      <c r="AZ520" s="35"/>
      <c r="BA520" s="35"/>
      <c r="BB520" s="35"/>
      <c r="BC520" s="35"/>
      <c r="BD520" s="35"/>
      <c r="BE520" s="35"/>
      <c r="BF520" s="35"/>
      <c r="BG520" s="35"/>
      <c r="BH520" s="35"/>
      <c r="BI520" s="35"/>
      <c r="BJ520" s="35"/>
      <c r="BK520" s="35"/>
      <c r="BL520" s="35"/>
      <c r="BM520" s="35"/>
      <c r="BN520" s="35"/>
      <c r="BO520" s="35"/>
      <c r="BP520" s="35"/>
      <c r="BQ520" s="35"/>
      <c r="BR520" s="35"/>
      <c r="BS520" s="35"/>
      <c r="BT520" s="35"/>
      <c r="BU520" s="35"/>
      <c r="BV520" s="35"/>
      <c r="BW520" s="35"/>
      <c r="BX520" s="35"/>
      <c r="BY520" s="35"/>
      <c r="BZ520" s="35"/>
      <c r="CA520" s="35"/>
      <c r="CB520" s="35"/>
      <c r="CC520" s="35"/>
      <c r="CD520" s="35"/>
      <c r="CE520" s="35"/>
      <c r="CF520" s="35"/>
      <c r="CG520" s="35"/>
      <c r="CH520" s="35"/>
      <c r="CI520" s="31"/>
      <c r="CJ520" s="31"/>
      <c r="CK520" s="31"/>
      <c r="CL520" s="31"/>
      <c r="CM520" s="35"/>
      <c r="CN520" s="35"/>
      <c r="CO520" s="35"/>
      <c r="CP520" s="35"/>
      <c r="CQ520" s="35"/>
      <c r="CR520" s="35"/>
      <c r="CS520" s="35"/>
      <c r="CT520" s="35"/>
      <c r="CU520" s="35"/>
      <c r="CV520" s="35"/>
      <c r="CW520" s="35"/>
      <c r="CX520" s="35"/>
      <c r="CY520" s="31"/>
      <c r="CZ520" s="31"/>
      <c r="DA520" s="35"/>
      <c r="DB520" s="35"/>
      <c r="DC520" s="35"/>
      <c r="DD520" s="31"/>
      <c r="DE520" s="31"/>
      <c r="DF520" s="35"/>
      <c r="DG520" s="35"/>
      <c r="DH520" s="31"/>
      <c r="DI520" s="31"/>
      <c r="DJ520" s="31"/>
      <c r="DK520" s="31"/>
      <c r="DL520" s="35"/>
      <c r="DM520" s="31"/>
      <c r="DN520" s="31"/>
      <c r="DO520" s="31"/>
      <c r="DP520" s="31"/>
      <c r="DQ520" s="35"/>
      <c r="DR520" s="31"/>
      <c r="DS520" s="31"/>
      <c r="DT520" s="31"/>
      <c r="DU520" s="31"/>
      <c r="DV520" s="35"/>
      <c r="DW520" s="31"/>
      <c r="DX520" s="31"/>
      <c r="DY520" s="31"/>
      <c r="DZ520" s="31"/>
      <c r="EA520" s="35"/>
      <c r="EB520" s="31"/>
      <c r="EC520" s="31"/>
      <c r="ED520" s="31"/>
      <c r="EE520" s="31"/>
      <c r="EF520" s="35"/>
      <c r="EG520" s="31"/>
      <c r="EH520" s="31"/>
      <c r="EI520" s="31"/>
      <c r="EJ520" s="31"/>
      <c r="EK520" s="35"/>
      <c r="EL520" s="31"/>
      <c r="EM520" s="31"/>
      <c r="EN520" s="31"/>
      <c r="EO520" s="31"/>
      <c r="EP520" s="35"/>
      <c r="EQ520" s="31"/>
      <c r="ER520" s="31"/>
      <c r="ES520" s="31"/>
      <c r="ET520" s="31"/>
      <c r="EU520" s="35"/>
      <c r="EV520" s="35"/>
      <c r="EW520" s="35"/>
      <c r="EX520" s="35"/>
      <c r="EY520" s="35"/>
      <c r="EZ520" s="129"/>
    </row>
    <row r="521" spans="1:156" ht="11.25" customHeight="1">
      <c r="A521" s="521"/>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c r="AF521" s="35"/>
      <c r="AG521" s="35"/>
      <c r="AH521" s="35"/>
      <c r="AI521" s="35"/>
      <c r="AJ521" s="35"/>
      <c r="AK521" s="35"/>
      <c r="AL521" s="35"/>
      <c r="AM521" s="35"/>
      <c r="AN521" s="35"/>
      <c r="AO521" s="35"/>
      <c r="AP521" s="35"/>
      <c r="AQ521" s="35"/>
      <c r="AR521" s="35"/>
      <c r="AS521" s="35"/>
      <c r="AT521" s="32"/>
      <c r="AU521" s="35"/>
      <c r="AV521" s="35"/>
      <c r="AW521" s="35"/>
      <c r="AX521" s="35"/>
      <c r="AY521" s="35"/>
      <c r="AZ521" s="35"/>
      <c r="BA521" s="35"/>
      <c r="BB521" s="35"/>
      <c r="BC521" s="35"/>
      <c r="BD521" s="35"/>
      <c r="BE521" s="35"/>
      <c r="BF521" s="35"/>
      <c r="BG521" s="35"/>
      <c r="BH521" s="35"/>
      <c r="BI521" s="35"/>
      <c r="BJ521" s="35"/>
      <c r="BK521" s="35"/>
      <c r="BL521" s="35"/>
      <c r="BM521" s="35"/>
      <c r="BN521" s="35"/>
      <c r="BO521" s="35"/>
      <c r="BP521" s="35"/>
      <c r="BQ521" s="35"/>
      <c r="BR521" s="35"/>
      <c r="BS521" s="35"/>
      <c r="BT521" s="35"/>
      <c r="BU521" s="35"/>
      <c r="BV521" s="35"/>
      <c r="BW521" s="35"/>
      <c r="BX521" s="35"/>
      <c r="BY521" s="35"/>
      <c r="BZ521" s="35"/>
      <c r="CA521" s="35"/>
      <c r="CB521" s="35"/>
      <c r="CC521" s="35"/>
      <c r="CD521" s="35"/>
      <c r="CE521" s="35"/>
      <c r="CF521" s="35"/>
      <c r="CG521" s="35"/>
      <c r="CH521" s="35"/>
      <c r="CI521" s="31"/>
      <c r="CJ521" s="31"/>
      <c r="CK521" s="31"/>
      <c r="CL521" s="31"/>
      <c r="CM521" s="35"/>
      <c r="CN521" s="35"/>
      <c r="CO521" s="35"/>
      <c r="CP521" s="35"/>
      <c r="CQ521" s="35"/>
      <c r="CR521" s="35"/>
      <c r="CS521" s="35"/>
      <c r="CT521" s="35"/>
      <c r="CU521" s="35"/>
      <c r="CV521" s="35"/>
      <c r="CW521" s="35"/>
      <c r="CX521" s="35"/>
      <c r="CY521" s="31"/>
      <c r="CZ521" s="31"/>
      <c r="DA521" s="35"/>
      <c r="DB521" s="35"/>
      <c r="DC521" s="35"/>
      <c r="DD521" s="31"/>
      <c r="DE521" s="31"/>
      <c r="DF521" s="35"/>
      <c r="DG521" s="35"/>
      <c r="DH521" s="31"/>
      <c r="DI521" s="31"/>
      <c r="DJ521" s="31"/>
      <c r="DK521" s="31"/>
      <c r="DL521" s="35"/>
      <c r="DM521" s="31"/>
      <c r="DN521" s="31"/>
      <c r="DO521" s="31"/>
      <c r="DP521" s="31"/>
      <c r="DQ521" s="35"/>
      <c r="DR521" s="31"/>
      <c r="DS521" s="31"/>
      <c r="DT521" s="31"/>
      <c r="DU521" s="31"/>
      <c r="DV521" s="35"/>
      <c r="DW521" s="31"/>
      <c r="DX521" s="31"/>
      <c r="DY521" s="31"/>
      <c r="DZ521" s="31"/>
      <c r="EA521" s="35"/>
      <c r="EB521" s="31"/>
      <c r="EC521" s="31"/>
      <c r="ED521" s="31"/>
      <c r="EE521" s="31"/>
      <c r="EF521" s="35"/>
      <c r="EG521" s="31"/>
      <c r="EH521" s="31"/>
      <c r="EI521" s="31"/>
      <c r="EJ521" s="31"/>
      <c r="EK521" s="35"/>
      <c r="EL521" s="31"/>
      <c r="EM521" s="31"/>
      <c r="EN521" s="31"/>
      <c r="EO521" s="31"/>
      <c r="EP521" s="35"/>
      <c r="EQ521" s="31"/>
      <c r="ER521" s="31"/>
      <c r="ES521" s="31"/>
      <c r="ET521" s="31"/>
      <c r="EU521" s="35"/>
      <c r="EV521" s="35"/>
      <c r="EW521" s="35"/>
      <c r="EX521" s="35"/>
      <c r="EY521" s="35"/>
      <c r="EZ521" s="129"/>
    </row>
    <row r="522" spans="1:156" ht="11.25" customHeight="1">
      <c r="A522" s="521"/>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c r="AF522" s="35"/>
      <c r="AG522" s="35"/>
      <c r="AH522" s="35"/>
      <c r="AI522" s="35"/>
      <c r="AJ522" s="35"/>
      <c r="AK522" s="35"/>
      <c r="AL522" s="35"/>
      <c r="AM522" s="35"/>
      <c r="AN522" s="35"/>
      <c r="AO522" s="35"/>
      <c r="AP522" s="35"/>
      <c r="AQ522" s="35"/>
      <c r="AR522" s="35"/>
      <c r="AS522" s="35"/>
      <c r="AT522" s="32"/>
      <c r="AU522" s="35"/>
      <c r="AV522" s="35"/>
      <c r="AW522" s="35"/>
      <c r="AX522" s="35"/>
      <c r="AY522" s="35"/>
      <c r="AZ522" s="35"/>
      <c r="BA522" s="35"/>
      <c r="BB522" s="35"/>
      <c r="BC522" s="35"/>
      <c r="BD522" s="35"/>
      <c r="BE522" s="35"/>
      <c r="BF522" s="35"/>
      <c r="BG522" s="35"/>
      <c r="BH522" s="35"/>
      <c r="BI522" s="35"/>
      <c r="BJ522" s="35"/>
      <c r="BK522" s="35"/>
      <c r="BL522" s="35"/>
      <c r="BM522" s="35"/>
      <c r="BN522" s="35"/>
      <c r="BO522" s="35"/>
      <c r="BP522" s="35"/>
      <c r="BQ522" s="35"/>
      <c r="BR522" s="35"/>
      <c r="BS522" s="35"/>
      <c r="BT522" s="35"/>
      <c r="BU522" s="35"/>
      <c r="BV522" s="35"/>
      <c r="BW522" s="35"/>
      <c r="BX522" s="35"/>
      <c r="BY522" s="35"/>
      <c r="BZ522" s="35"/>
      <c r="CA522" s="35"/>
      <c r="CB522" s="35"/>
      <c r="CC522" s="35"/>
      <c r="CD522" s="35"/>
      <c r="CE522" s="35"/>
      <c r="CF522" s="35"/>
      <c r="CG522" s="35"/>
      <c r="CH522" s="35"/>
      <c r="CI522" s="31"/>
      <c r="CJ522" s="31"/>
      <c r="CK522" s="31"/>
      <c r="CL522" s="31"/>
      <c r="CM522" s="35"/>
      <c r="CN522" s="35"/>
      <c r="CO522" s="35"/>
      <c r="CP522" s="35"/>
      <c r="CQ522" s="35"/>
      <c r="CR522" s="35"/>
      <c r="CS522" s="35"/>
      <c r="CT522" s="35"/>
      <c r="CU522" s="35"/>
      <c r="CV522" s="35"/>
      <c r="CW522" s="35"/>
      <c r="CX522" s="35"/>
      <c r="CY522" s="31"/>
      <c r="CZ522" s="31"/>
      <c r="DA522" s="35"/>
      <c r="DB522" s="35"/>
      <c r="DC522" s="35"/>
      <c r="DD522" s="31"/>
      <c r="DE522" s="31"/>
      <c r="DF522" s="35"/>
      <c r="DG522" s="35"/>
      <c r="DH522" s="31"/>
      <c r="DI522" s="31"/>
      <c r="DJ522" s="31"/>
      <c r="DK522" s="31"/>
      <c r="DL522" s="35"/>
      <c r="DM522" s="31"/>
      <c r="DN522" s="31"/>
      <c r="DO522" s="31"/>
      <c r="DP522" s="31"/>
      <c r="DQ522" s="35"/>
      <c r="DR522" s="31"/>
      <c r="DS522" s="31"/>
      <c r="DT522" s="31"/>
      <c r="DU522" s="31"/>
      <c r="DV522" s="35"/>
      <c r="DW522" s="31"/>
      <c r="DX522" s="31"/>
      <c r="DY522" s="31"/>
      <c r="DZ522" s="31"/>
      <c r="EA522" s="35"/>
      <c r="EB522" s="31"/>
      <c r="EC522" s="31"/>
      <c r="ED522" s="31"/>
      <c r="EE522" s="31"/>
      <c r="EF522" s="35"/>
      <c r="EG522" s="31"/>
      <c r="EH522" s="31"/>
      <c r="EI522" s="31"/>
      <c r="EJ522" s="31"/>
      <c r="EK522" s="35"/>
      <c r="EL522" s="31"/>
      <c r="EM522" s="31"/>
      <c r="EN522" s="31"/>
      <c r="EO522" s="31"/>
      <c r="EP522" s="35"/>
      <c r="EQ522" s="31"/>
      <c r="ER522" s="31"/>
      <c r="ES522" s="31"/>
      <c r="ET522" s="31"/>
      <c r="EU522" s="35"/>
      <c r="EV522" s="35"/>
      <c r="EW522" s="35"/>
      <c r="EX522" s="35"/>
      <c r="EY522" s="35"/>
      <c r="EZ522" s="129"/>
    </row>
    <row r="523" spans="1:156" ht="11.25" customHeight="1">
      <c r="A523" s="521"/>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c r="AF523" s="35"/>
      <c r="AG523" s="35"/>
      <c r="AH523" s="35"/>
      <c r="AI523" s="35"/>
      <c r="AJ523" s="35"/>
      <c r="AK523" s="35"/>
      <c r="AL523" s="35"/>
      <c r="AM523" s="35"/>
      <c r="AN523" s="35"/>
      <c r="AO523" s="35"/>
      <c r="AP523" s="35"/>
      <c r="AQ523" s="35"/>
      <c r="AR523" s="35"/>
      <c r="AS523" s="35"/>
      <c r="AT523" s="32"/>
      <c r="AU523" s="35"/>
      <c r="AV523" s="35"/>
      <c r="AW523" s="35"/>
      <c r="AX523" s="35"/>
      <c r="AY523" s="35"/>
      <c r="AZ523" s="35"/>
      <c r="BA523" s="35"/>
      <c r="BB523" s="35"/>
      <c r="BC523" s="35"/>
      <c r="BD523" s="35"/>
      <c r="BE523" s="35"/>
      <c r="BF523" s="35"/>
      <c r="BG523" s="35"/>
      <c r="BH523" s="35"/>
      <c r="BI523" s="35"/>
      <c r="BJ523" s="35"/>
      <c r="BK523" s="35"/>
      <c r="BL523" s="35"/>
      <c r="BM523" s="35"/>
      <c r="BN523" s="35"/>
      <c r="BO523" s="35"/>
      <c r="BP523" s="35"/>
      <c r="BQ523" s="35"/>
      <c r="BR523" s="35"/>
      <c r="BS523" s="35"/>
      <c r="BT523" s="35"/>
      <c r="BU523" s="35"/>
      <c r="BV523" s="35"/>
      <c r="BW523" s="35"/>
      <c r="BX523" s="35"/>
      <c r="BY523" s="35"/>
      <c r="BZ523" s="35"/>
      <c r="CA523" s="35"/>
      <c r="CB523" s="35"/>
      <c r="CC523" s="35"/>
      <c r="CD523" s="35"/>
      <c r="CE523" s="35"/>
      <c r="CF523" s="35"/>
      <c r="CG523" s="35"/>
      <c r="CH523" s="35"/>
      <c r="CI523" s="31"/>
      <c r="CJ523" s="31"/>
      <c r="CK523" s="31"/>
      <c r="CL523" s="31"/>
      <c r="CM523" s="35"/>
      <c r="CN523" s="35"/>
      <c r="CO523" s="35"/>
      <c r="CP523" s="35"/>
      <c r="CQ523" s="35"/>
      <c r="CR523" s="35"/>
      <c r="CS523" s="35"/>
      <c r="CT523" s="35"/>
      <c r="CU523" s="35"/>
      <c r="CV523" s="35"/>
      <c r="CW523" s="35"/>
      <c r="CX523" s="35"/>
      <c r="CY523" s="31"/>
      <c r="CZ523" s="31"/>
      <c r="DA523" s="35"/>
      <c r="DB523" s="35"/>
      <c r="DC523" s="35"/>
      <c r="DD523" s="31"/>
      <c r="DE523" s="31"/>
      <c r="DF523" s="35"/>
      <c r="DG523" s="35"/>
      <c r="DH523" s="31"/>
      <c r="DI523" s="31"/>
      <c r="DJ523" s="31"/>
      <c r="DK523" s="31"/>
      <c r="DL523" s="35"/>
      <c r="DM523" s="31"/>
      <c r="DN523" s="31"/>
      <c r="DO523" s="31"/>
      <c r="DP523" s="31"/>
      <c r="DQ523" s="35"/>
      <c r="DR523" s="31"/>
      <c r="DS523" s="31"/>
      <c r="DT523" s="31"/>
      <c r="DU523" s="31"/>
      <c r="DV523" s="35"/>
      <c r="DW523" s="31"/>
      <c r="DX523" s="31"/>
      <c r="DY523" s="31"/>
      <c r="DZ523" s="31"/>
      <c r="EA523" s="35"/>
      <c r="EB523" s="31"/>
      <c r="EC523" s="31"/>
      <c r="ED523" s="31"/>
      <c r="EE523" s="31"/>
      <c r="EF523" s="35"/>
      <c r="EG523" s="31"/>
      <c r="EH523" s="31"/>
      <c r="EI523" s="31"/>
      <c r="EJ523" s="31"/>
      <c r="EK523" s="35"/>
      <c r="EL523" s="31"/>
      <c r="EM523" s="31"/>
      <c r="EN523" s="31"/>
      <c r="EO523" s="31"/>
      <c r="EP523" s="35"/>
      <c r="EQ523" s="31"/>
      <c r="ER523" s="31"/>
      <c r="ES523" s="31"/>
      <c r="ET523" s="31"/>
      <c r="EU523" s="35"/>
      <c r="EV523" s="35"/>
      <c r="EW523" s="35"/>
      <c r="EX523" s="35"/>
      <c r="EY523" s="35"/>
      <c r="EZ523" s="129"/>
    </row>
    <row r="524" spans="1:156" ht="11.25" customHeight="1">
      <c r="A524" s="521"/>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c r="AF524" s="35"/>
      <c r="AG524" s="35"/>
      <c r="AH524" s="35"/>
      <c r="AI524" s="35"/>
      <c r="AJ524" s="35"/>
      <c r="AK524" s="35"/>
      <c r="AL524" s="35"/>
      <c r="AM524" s="35"/>
      <c r="AN524" s="35"/>
      <c r="AO524" s="35"/>
      <c r="AP524" s="35"/>
      <c r="AQ524" s="35"/>
      <c r="AR524" s="35"/>
      <c r="AS524" s="35"/>
      <c r="AT524" s="32"/>
      <c r="AU524" s="35"/>
      <c r="AV524" s="35"/>
      <c r="AW524" s="35"/>
      <c r="AX524" s="35"/>
      <c r="AY524" s="35"/>
      <c r="AZ524" s="35"/>
      <c r="BA524" s="35"/>
      <c r="BB524" s="35"/>
      <c r="BC524" s="35"/>
      <c r="BD524" s="35"/>
      <c r="BE524" s="35"/>
      <c r="BF524" s="35"/>
      <c r="BG524" s="35"/>
      <c r="BH524" s="35"/>
      <c r="BI524" s="35"/>
      <c r="BJ524" s="35"/>
      <c r="BK524" s="35"/>
      <c r="BL524" s="35"/>
      <c r="BM524" s="35"/>
      <c r="BN524" s="35"/>
      <c r="BO524" s="35"/>
      <c r="BP524" s="35"/>
      <c r="BQ524" s="35"/>
      <c r="BR524" s="35"/>
      <c r="BS524" s="35"/>
      <c r="BT524" s="35"/>
      <c r="BU524" s="35"/>
      <c r="BV524" s="35"/>
      <c r="BW524" s="35"/>
      <c r="BX524" s="35"/>
      <c r="BY524" s="35"/>
      <c r="BZ524" s="35"/>
      <c r="CA524" s="35"/>
      <c r="CB524" s="35"/>
      <c r="CC524" s="35"/>
      <c r="CD524" s="35"/>
      <c r="CE524" s="35"/>
      <c r="CF524" s="35"/>
      <c r="CG524" s="35"/>
      <c r="CH524" s="35"/>
      <c r="CI524" s="31"/>
      <c r="CJ524" s="31"/>
      <c r="CK524" s="31"/>
      <c r="CL524" s="31"/>
      <c r="CM524" s="35"/>
      <c r="CN524" s="35"/>
      <c r="CO524" s="35"/>
      <c r="CP524" s="35"/>
      <c r="CQ524" s="35"/>
      <c r="CR524" s="35"/>
      <c r="CS524" s="35"/>
      <c r="CT524" s="35"/>
      <c r="CU524" s="35"/>
      <c r="CV524" s="35"/>
      <c r="CW524" s="35"/>
      <c r="CX524" s="35"/>
      <c r="CY524" s="31"/>
      <c r="CZ524" s="31"/>
      <c r="DA524" s="35"/>
      <c r="DB524" s="35"/>
      <c r="DC524" s="35"/>
      <c r="DD524" s="31"/>
      <c r="DE524" s="31"/>
      <c r="DF524" s="35"/>
      <c r="DG524" s="35"/>
      <c r="DH524" s="31"/>
      <c r="DI524" s="31"/>
      <c r="DJ524" s="31"/>
      <c r="DK524" s="31"/>
      <c r="DL524" s="35"/>
      <c r="DM524" s="31"/>
      <c r="DN524" s="31"/>
      <c r="DO524" s="31"/>
      <c r="DP524" s="31"/>
      <c r="DQ524" s="35"/>
      <c r="DR524" s="31"/>
      <c r="DS524" s="31"/>
      <c r="DT524" s="31"/>
      <c r="DU524" s="31"/>
      <c r="DV524" s="35"/>
      <c r="DW524" s="31"/>
      <c r="DX524" s="31"/>
      <c r="DY524" s="31"/>
      <c r="DZ524" s="31"/>
      <c r="EA524" s="35"/>
      <c r="EB524" s="31"/>
      <c r="EC524" s="31"/>
      <c r="ED524" s="31"/>
      <c r="EE524" s="31"/>
      <c r="EF524" s="35"/>
      <c r="EG524" s="31"/>
      <c r="EH524" s="31"/>
      <c r="EI524" s="31"/>
      <c r="EJ524" s="31"/>
      <c r="EK524" s="35"/>
      <c r="EL524" s="31"/>
      <c r="EM524" s="31"/>
      <c r="EN524" s="31"/>
      <c r="EO524" s="31"/>
      <c r="EP524" s="35"/>
      <c r="EQ524" s="31"/>
      <c r="ER524" s="31"/>
      <c r="ES524" s="31"/>
      <c r="ET524" s="31"/>
      <c r="EU524" s="35"/>
      <c r="EV524" s="35"/>
      <c r="EW524" s="35"/>
      <c r="EX524" s="35"/>
      <c r="EY524" s="35"/>
      <c r="EZ524" s="129"/>
    </row>
    <row r="525" spans="1:156" ht="11.25" customHeight="1">
      <c r="A525" s="521"/>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c r="AF525" s="35"/>
      <c r="AG525" s="35"/>
      <c r="AH525" s="35"/>
      <c r="AI525" s="35"/>
      <c r="AJ525" s="35"/>
      <c r="AK525" s="35"/>
      <c r="AL525" s="35"/>
      <c r="AM525" s="35"/>
      <c r="AN525" s="35"/>
      <c r="AO525" s="35"/>
      <c r="AP525" s="35"/>
      <c r="AQ525" s="35"/>
      <c r="AR525" s="35"/>
      <c r="AS525" s="35"/>
      <c r="AT525" s="32"/>
      <c r="AU525" s="35"/>
      <c r="AV525" s="35"/>
      <c r="AW525" s="35"/>
      <c r="AX525" s="35"/>
      <c r="AY525" s="35"/>
      <c r="AZ525" s="35"/>
      <c r="BA525" s="35"/>
      <c r="BB525" s="35"/>
      <c r="BC525" s="35"/>
      <c r="BD525" s="35"/>
      <c r="BE525" s="35"/>
      <c r="BF525" s="35"/>
      <c r="BG525" s="35"/>
      <c r="BH525" s="35"/>
      <c r="BI525" s="35"/>
      <c r="BJ525" s="35"/>
      <c r="BK525" s="35"/>
      <c r="BL525" s="35"/>
      <c r="BM525" s="35"/>
      <c r="BN525" s="35"/>
      <c r="BO525" s="35"/>
      <c r="BP525" s="35"/>
      <c r="BQ525" s="35"/>
      <c r="BR525" s="35"/>
      <c r="BS525" s="35"/>
      <c r="BT525" s="35"/>
      <c r="BU525" s="35"/>
      <c r="BV525" s="35"/>
      <c r="BW525" s="35"/>
      <c r="BX525" s="35"/>
      <c r="BY525" s="35"/>
      <c r="BZ525" s="35"/>
      <c r="CA525" s="35"/>
      <c r="CB525" s="35"/>
      <c r="CC525" s="35"/>
      <c r="CD525" s="35"/>
      <c r="CE525" s="35"/>
      <c r="CF525" s="35"/>
      <c r="CG525" s="35"/>
      <c r="CH525" s="35"/>
      <c r="CI525" s="31"/>
      <c r="CJ525" s="31"/>
      <c r="CK525" s="31"/>
      <c r="CL525" s="31"/>
      <c r="CM525" s="35"/>
      <c r="CN525" s="35"/>
      <c r="CO525" s="35"/>
      <c r="CP525" s="35"/>
      <c r="CQ525" s="35"/>
      <c r="CR525" s="35"/>
      <c r="CS525" s="35"/>
      <c r="CT525" s="35"/>
      <c r="CU525" s="35"/>
      <c r="CV525" s="35"/>
      <c r="CW525" s="35"/>
      <c r="CX525" s="35"/>
      <c r="CY525" s="31"/>
      <c r="CZ525" s="31"/>
      <c r="DA525" s="35"/>
      <c r="DB525" s="35"/>
      <c r="DC525" s="35"/>
      <c r="DD525" s="31"/>
      <c r="DE525" s="31"/>
      <c r="DF525" s="35"/>
      <c r="DG525" s="35"/>
      <c r="DH525" s="31"/>
      <c r="DI525" s="31"/>
      <c r="DJ525" s="31"/>
      <c r="DK525" s="31"/>
      <c r="DL525" s="35"/>
      <c r="DM525" s="31"/>
      <c r="DN525" s="31"/>
      <c r="DO525" s="31"/>
      <c r="DP525" s="31"/>
      <c r="DQ525" s="35"/>
      <c r="DR525" s="31"/>
      <c r="DS525" s="31"/>
      <c r="DT525" s="31"/>
      <c r="DU525" s="31"/>
      <c r="DV525" s="35"/>
      <c r="DW525" s="31"/>
      <c r="DX525" s="31"/>
      <c r="DY525" s="31"/>
      <c r="DZ525" s="31"/>
      <c r="EA525" s="35"/>
      <c r="EB525" s="31"/>
      <c r="EC525" s="31"/>
      <c r="ED525" s="31"/>
      <c r="EE525" s="31"/>
      <c r="EF525" s="35"/>
      <c r="EG525" s="31"/>
      <c r="EH525" s="31"/>
      <c r="EI525" s="31"/>
      <c r="EJ525" s="31"/>
      <c r="EK525" s="35"/>
      <c r="EL525" s="31"/>
      <c r="EM525" s="31"/>
      <c r="EN525" s="31"/>
      <c r="EO525" s="31"/>
      <c r="EP525" s="35"/>
      <c r="EQ525" s="31"/>
      <c r="ER525" s="31"/>
      <c r="ES525" s="31"/>
      <c r="ET525" s="31"/>
      <c r="EU525" s="35"/>
      <c r="EV525" s="35"/>
      <c r="EW525" s="35"/>
      <c r="EX525" s="35"/>
      <c r="EY525" s="35"/>
      <c r="EZ525" s="129"/>
    </row>
    <row r="526" spans="1:156" ht="11.25" customHeight="1">
      <c r="A526" s="521"/>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c r="AF526" s="35"/>
      <c r="AG526" s="35"/>
      <c r="AH526" s="35"/>
      <c r="AI526" s="35"/>
      <c r="AJ526" s="35"/>
      <c r="AK526" s="35"/>
      <c r="AL526" s="35"/>
      <c r="AM526" s="35"/>
      <c r="AN526" s="35"/>
      <c r="AO526" s="35"/>
      <c r="AP526" s="35"/>
      <c r="AQ526" s="35"/>
      <c r="AR526" s="35"/>
      <c r="AS526" s="35"/>
      <c r="AT526" s="32"/>
      <c r="AU526" s="35"/>
      <c r="AV526" s="35"/>
      <c r="AW526" s="35"/>
      <c r="AX526" s="35"/>
      <c r="AY526" s="35"/>
      <c r="AZ526" s="35"/>
      <c r="BA526" s="35"/>
      <c r="BB526" s="35"/>
      <c r="BC526" s="35"/>
      <c r="BD526" s="35"/>
      <c r="BE526" s="35"/>
      <c r="BF526" s="35"/>
      <c r="BG526" s="35"/>
      <c r="BH526" s="35"/>
      <c r="BI526" s="35"/>
      <c r="BJ526" s="35"/>
      <c r="BK526" s="35"/>
      <c r="BL526" s="35"/>
      <c r="BM526" s="35"/>
      <c r="BN526" s="35"/>
      <c r="BO526" s="35"/>
      <c r="BP526" s="35"/>
      <c r="BQ526" s="35"/>
      <c r="BR526" s="35"/>
      <c r="BS526" s="35"/>
      <c r="BT526" s="35"/>
      <c r="BU526" s="35"/>
      <c r="BV526" s="35"/>
      <c r="BW526" s="35"/>
      <c r="BX526" s="35"/>
      <c r="BY526" s="35"/>
      <c r="BZ526" s="35"/>
      <c r="CA526" s="35"/>
      <c r="CB526" s="35"/>
      <c r="CC526" s="35"/>
      <c r="CD526" s="35"/>
      <c r="CE526" s="35"/>
      <c r="CF526" s="35"/>
      <c r="CG526" s="35"/>
      <c r="CH526" s="35"/>
      <c r="CI526" s="31"/>
      <c r="CJ526" s="31"/>
      <c r="CK526" s="31"/>
      <c r="CL526" s="31"/>
      <c r="CM526" s="35"/>
      <c r="CN526" s="35"/>
      <c r="CO526" s="35"/>
      <c r="CP526" s="35"/>
      <c r="CQ526" s="35"/>
      <c r="CR526" s="35"/>
      <c r="CS526" s="35"/>
      <c r="CT526" s="35"/>
      <c r="CU526" s="35"/>
      <c r="CV526" s="35"/>
      <c r="CW526" s="35"/>
      <c r="CX526" s="35"/>
      <c r="CY526" s="31"/>
      <c r="CZ526" s="31"/>
      <c r="DA526" s="35"/>
      <c r="DB526" s="35"/>
      <c r="DC526" s="35"/>
      <c r="DD526" s="31"/>
      <c r="DE526" s="31"/>
      <c r="DF526" s="35"/>
      <c r="DG526" s="35"/>
      <c r="DH526" s="31"/>
      <c r="DI526" s="31"/>
      <c r="DJ526" s="31"/>
      <c r="DK526" s="31"/>
      <c r="DL526" s="35"/>
      <c r="DM526" s="31"/>
      <c r="DN526" s="31"/>
      <c r="DO526" s="31"/>
      <c r="DP526" s="31"/>
      <c r="DQ526" s="35"/>
      <c r="DR526" s="31"/>
      <c r="DS526" s="31"/>
      <c r="DT526" s="31"/>
      <c r="DU526" s="31"/>
      <c r="DV526" s="35"/>
      <c r="DW526" s="31"/>
      <c r="DX526" s="31"/>
      <c r="DY526" s="31"/>
      <c r="DZ526" s="31"/>
      <c r="EA526" s="35"/>
      <c r="EB526" s="31"/>
      <c r="EC526" s="31"/>
      <c r="ED526" s="31"/>
      <c r="EE526" s="31"/>
      <c r="EF526" s="35"/>
      <c r="EG526" s="31"/>
      <c r="EH526" s="31"/>
      <c r="EI526" s="31"/>
      <c r="EJ526" s="31"/>
      <c r="EK526" s="35"/>
      <c r="EL526" s="31"/>
      <c r="EM526" s="31"/>
      <c r="EN526" s="31"/>
      <c r="EO526" s="31"/>
      <c r="EP526" s="35"/>
      <c r="EQ526" s="31"/>
      <c r="ER526" s="31"/>
      <c r="ES526" s="31"/>
      <c r="ET526" s="31"/>
      <c r="EU526" s="35"/>
      <c r="EV526" s="35"/>
      <c r="EW526" s="35"/>
      <c r="EX526" s="35"/>
      <c r="EY526" s="35"/>
      <c r="EZ526" s="129"/>
    </row>
    <row r="527" spans="1:156" ht="11.25" customHeight="1">
      <c r="A527" s="521"/>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c r="AF527" s="35"/>
      <c r="AG527" s="35"/>
      <c r="AH527" s="35"/>
      <c r="AI527" s="35"/>
      <c r="AJ527" s="35"/>
      <c r="AK527" s="35"/>
      <c r="AL527" s="35"/>
      <c r="AM527" s="35"/>
      <c r="AN527" s="35"/>
      <c r="AO527" s="35"/>
      <c r="AP527" s="35"/>
      <c r="AQ527" s="35"/>
      <c r="AR527" s="35"/>
      <c r="AS527" s="35"/>
      <c r="AT527" s="32"/>
      <c r="AU527" s="35"/>
      <c r="AV527" s="35"/>
      <c r="AW527" s="35"/>
      <c r="AX527" s="35"/>
      <c r="AY527" s="35"/>
      <c r="AZ527" s="35"/>
      <c r="BA527" s="35"/>
      <c r="BB527" s="35"/>
      <c r="BC527" s="35"/>
      <c r="BD527" s="35"/>
      <c r="BE527" s="35"/>
      <c r="BF527" s="35"/>
      <c r="BG527" s="35"/>
      <c r="BH527" s="35"/>
      <c r="BI527" s="35"/>
      <c r="BJ527" s="35"/>
      <c r="BK527" s="35"/>
      <c r="BL527" s="35"/>
      <c r="BM527" s="35"/>
      <c r="BN527" s="35"/>
      <c r="BO527" s="35"/>
      <c r="BP527" s="35"/>
      <c r="BQ527" s="35"/>
      <c r="BR527" s="35"/>
      <c r="BS527" s="35"/>
      <c r="BT527" s="35"/>
      <c r="BU527" s="35"/>
      <c r="BV527" s="35"/>
      <c r="BW527" s="35"/>
      <c r="BX527" s="35"/>
      <c r="BY527" s="35"/>
      <c r="BZ527" s="35"/>
      <c r="CA527" s="35"/>
      <c r="CB527" s="35"/>
      <c r="CC527" s="35"/>
      <c r="CD527" s="35"/>
      <c r="CE527" s="35"/>
      <c r="CF527" s="35"/>
      <c r="CG527" s="35"/>
      <c r="CH527" s="35"/>
      <c r="CI527" s="31"/>
      <c r="CJ527" s="31"/>
      <c r="CK527" s="31"/>
      <c r="CL527" s="31"/>
      <c r="CM527" s="35"/>
      <c r="CN527" s="35"/>
      <c r="CO527" s="35"/>
      <c r="CP527" s="35"/>
      <c r="CQ527" s="35"/>
      <c r="CR527" s="35"/>
      <c r="CS527" s="35"/>
      <c r="CT527" s="35"/>
      <c r="CU527" s="35"/>
      <c r="CV527" s="35"/>
      <c r="CW527" s="35"/>
      <c r="CX527" s="35"/>
      <c r="CY527" s="31"/>
      <c r="CZ527" s="31"/>
      <c r="DA527" s="35"/>
      <c r="DB527" s="35"/>
      <c r="DC527" s="35"/>
      <c r="DD527" s="31"/>
      <c r="DE527" s="31"/>
      <c r="DF527" s="35"/>
      <c r="DG527" s="35"/>
      <c r="DH527" s="31"/>
      <c r="DI527" s="31"/>
      <c r="DJ527" s="31"/>
      <c r="DK527" s="31"/>
      <c r="DL527" s="35"/>
      <c r="DM527" s="31"/>
      <c r="DN527" s="31"/>
      <c r="DO527" s="31"/>
      <c r="DP527" s="31"/>
      <c r="DQ527" s="35"/>
      <c r="DR527" s="31"/>
      <c r="DS527" s="31"/>
      <c r="DT527" s="31"/>
      <c r="DU527" s="31"/>
      <c r="DV527" s="35"/>
      <c r="DW527" s="31"/>
      <c r="DX527" s="31"/>
      <c r="DY527" s="31"/>
      <c r="DZ527" s="31"/>
      <c r="EA527" s="35"/>
      <c r="EB527" s="31"/>
      <c r="EC527" s="31"/>
      <c r="ED527" s="31"/>
      <c r="EE527" s="31"/>
      <c r="EF527" s="35"/>
      <c r="EG527" s="31"/>
      <c r="EH527" s="31"/>
      <c r="EI527" s="31"/>
      <c r="EJ527" s="31"/>
      <c r="EK527" s="35"/>
      <c r="EL527" s="31"/>
      <c r="EM527" s="31"/>
      <c r="EN527" s="31"/>
      <c r="EO527" s="31"/>
      <c r="EP527" s="35"/>
      <c r="EQ527" s="31"/>
      <c r="ER527" s="31"/>
      <c r="ES527" s="31"/>
      <c r="ET527" s="31"/>
      <c r="EU527" s="35"/>
      <c r="EV527" s="35"/>
      <c r="EW527" s="35"/>
      <c r="EX527" s="35"/>
      <c r="EY527" s="35"/>
      <c r="EZ527" s="129"/>
    </row>
    <row r="528" spans="1:156" ht="11.25" customHeight="1">
      <c r="A528" s="521"/>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c r="AF528" s="35"/>
      <c r="AG528" s="35"/>
      <c r="AH528" s="35"/>
      <c r="AI528" s="35"/>
      <c r="AJ528" s="35"/>
      <c r="AK528" s="35"/>
      <c r="AL528" s="35"/>
      <c r="AM528" s="35"/>
      <c r="AN528" s="35"/>
      <c r="AO528" s="35"/>
      <c r="AP528" s="35"/>
      <c r="AQ528" s="35"/>
      <c r="AR528" s="35"/>
      <c r="AS528" s="35"/>
      <c r="AT528" s="32"/>
      <c r="AU528" s="35"/>
      <c r="AV528" s="35"/>
      <c r="AW528" s="35"/>
      <c r="AX528" s="35"/>
      <c r="AY528" s="35"/>
      <c r="AZ528" s="35"/>
      <c r="BA528" s="35"/>
      <c r="BB528" s="35"/>
      <c r="BC528" s="35"/>
      <c r="BD528" s="35"/>
      <c r="BE528" s="35"/>
      <c r="BF528" s="35"/>
      <c r="BG528" s="35"/>
      <c r="BH528" s="35"/>
      <c r="BI528" s="35"/>
      <c r="BJ528" s="35"/>
      <c r="BK528" s="35"/>
      <c r="BL528" s="35"/>
      <c r="BM528" s="35"/>
      <c r="BN528" s="35"/>
      <c r="BO528" s="35"/>
      <c r="BP528" s="35"/>
      <c r="BQ528" s="35"/>
      <c r="BR528" s="35"/>
      <c r="BS528" s="35"/>
      <c r="BT528" s="35"/>
      <c r="BU528" s="35"/>
      <c r="BV528" s="35"/>
      <c r="BW528" s="35"/>
      <c r="BX528" s="35"/>
      <c r="BY528" s="35"/>
      <c r="BZ528" s="35"/>
      <c r="CA528" s="35"/>
      <c r="CB528" s="35"/>
      <c r="CC528" s="35"/>
      <c r="CD528" s="35"/>
      <c r="CE528" s="35"/>
      <c r="CF528" s="35"/>
      <c r="CG528" s="35"/>
      <c r="CH528" s="35"/>
      <c r="CI528" s="31"/>
      <c r="CJ528" s="31"/>
      <c r="CK528" s="31"/>
      <c r="CL528" s="31"/>
      <c r="CM528" s="35"/>
      <c r="CN528" s="35"/>
      <c r="CO528" s="35"/>
      <c r="CP528" s="35"/>
      <c r="CQ528" s="35"/>
      <c r="CR528" s="35"/>
      <c r="CS528" s="35"/>
      <c r="CT528" s="35"/>
      <c r="CU528" s="35"/>
      <c r="CV528" s="35"/>
      <c r="CW528" s="35"/>
      <c r="CX528" s="35"/>
      <c r="CY528" s="31"/>
      <c r="CZ528" s="31"/>
      <c r="DA528" s="35"/>
      <c r="DB528" s="35"/>
      <c r="DC528" s="35"/>
      <c r="DD528" s="31"/>
      <c r="DE528" s="31"/>
      <c r="DF528" s="35"/>
      <c r="DG528" s="35"/>
      <c r="DH528" s="31"/>
      <c r="DI528" s="31"/>
      <c r="DJ528" s="31"/>
      <c r="DK528" s="31"/>
      <c r="DL528" s="35"/>
      <c r="DM528" s="31"/>
      <c r="DN528" s="31"/>
      <c r="DO528" s="31"/>
      <c r="DP528" s="31"/>
      <c r="DQ528" s="35"/>
      <c r="DR528" s="31"/>
      <c r="DS528" s="31"/>
      <c r="DT528" s="31"/>
      <c r="DU528" s="31"/>
      <c r="DV528" s="35"/>
      <c r="DW528" s="31"/>
      <c r="DX528" s="31"/>
      <c r="DY528" s="31"/>
      <c r="DZ528" s="31"/>
      <c r="EA528" s="35"/>
      <c r="EB528" s="31"/>
      <c r="EC528" s="31"/>
      <c r="ED528" s="31"/>
      <c r="EE528" s="31"/>
      <c r="EF528" s="35"/>
      <c r="EG528" s="31"/>
      <c r="EH528" s="31"/>
      <c r="EI528" s="31"/>
      <c r="EJ528" s="31"/>
      <c r="EK528" s="35"/>
      <c r="EL528" s="31"/>
      <c r="EM528" s="31"/>
      <c r="EN528" s="31"/>
      <c r="EO528" s="31"/>
      <c r="EP528" s="35"/>
      <c r="EQ528" s="31"/>
      <c r="ER528" s="31"/>
      <c r="ES528" s="31"/>
      <c r="ET528" s="31"/>
      <c r="EU528" s="35"/>
      <c r="EV528" s="35"/>
      <c r="EW528" s="35"/>
      <c r="EX528" s="35"/>
      <c r="EY528" s="35"/>
      <c r="EZ528" s="129"/>
    </row>
  </sheetData>
  <sheetProtection selectLockedCells="1" selectUnlockedCells="1"/>
  <phoneticPr fontId="0" type="noConversion"/>
  <pageMargins left="0.25" right="0.25" top="0.75" bottom="0.75" header="0.3" footer="0.3"/>
  <pageSetup scale="68" fitToHeight="2" orientation="landscape" r:id="rId1"/>
  <headerFooter alignWithMargins="0"/>
  <rowBreaks count="1" manualBreakCount="1">
    <brk id="57" max="95" man="1"/>
  </rowBreaks>
  <legacyDrawing r:id="rId2"/>
  <webPublishItems count="9">
    <webPublishItem id="31324" divId="GOOGL_31324" sourceType="range" sourceRef="A6:EK182" destinationFile="C:\Users\R544600\AppData\Local\Temp\1\ExternalObjectTempData\excel\extobj-20221025125802ko93.html"/>
    <webPublishItem id="22356" divId="GOOGL_22356" sourceType="range" sourceRef="A6:EK182" destinationFile="C:\Users\R544600\AppData\Local\Temp\1\ExternalObjectTempData\excel\extobj-20221025214835kIpE11.html"/>
    <webPublishItem id="26951" divId="GOOGL_26951" sourceType="range" sourceRef="A6:EK182" destinationFile="C:\Users\R544600\AppData\Local\Temp\1\ExternalObjectTempData\excel\extobj-20221025214955kIpE14.html"/>
    <webPublishItem id="29865" divId="GOOGL_29865" sourceType="range" sourceRef="A6:EK182" destinationFile="C:\Users\R544600\AppData\Local\Temp\1\ExternalObjectTempData\excel\extobj-20230202235603kIpE3.html"/>
    <webPublishItem id="6027" divId="GOOGL_6027" sourceType="range" sourceRef="A6:EK182" destinationFile="C:\Users\R544600\AppData\Local\Temp\1\ExternalObjectTempData\excel\extobj-20230425222437kp3.html"/>
    <webPublishItem id="25591" divId="GOOGL_25591" sourceType="range" sourceRef="A6:EK182" destinationFile="C:\Users\R544600\AppData\Local\Temp\1\ExternalObjectTempData\excel\extobj-20230725215602kp5.html"/>
    <webPublishItem id="16521" divId="GOOGL_16521" sourceType="range" sourceRef="A6:EP182" destinationFile="C:\Users\R544600\AppData\Local\Temp\1\ExternalObjectTempData\excel\extobj-20230725224520kjAD10.html"/>
    <webPublishItem id="12529" divId="GOOGL WIP (24 Quarters) C_12529" sourceType="range" sourceRef="A6:EP182" destinationFile="C:\Users\R544600\AppData\Local\Temp\1\ExternalObjectTempData\excel\extobj-20231016135138kwc5.html"/>
    <webPublishItem id="17709" divId="GOOGL WIP (24 Quarters) C_17709" sourceType="range" sourceRef="A6:EP182" destinationFile="C:\Users\R544600\AppData\Local\Temp\1\ExternalObjectTempData\excel\extobj-20231016135304kp6.html"/>
  </webPublishItem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autoPageBreaks="0" fitToPage="1"/>
  </sheetPr>
  <dimension ref="A1:FJ633"/>
  <sheetViews>
    <sheetView showGridLines="0" zoomScaleNormal="100" zoomScaleSheetLayoutView="85" workbookViewId="0">
      <pane xSplit="15" ySplit="6" topLeftCell="EF7" activePane="bottomRight" state="frozen"/>
      <selection pane="topRight" activeCell="P1" sqref="P1"/>
      <selection pane="bottomLeft" activeCell="A7" sqref="A7"/>
      <selection pane="bottomRight" activeCell="EF7" sqref="EF7"/>
    </sheetView>
  </sheetViews>
  <sheetFormatPr defaultColWidth="8.85546875" defaultRowHeight="11.25" customHeight="1" outlineLevelRow="1" outlineLevelCol="2"/>
  <cols>
    <col min="1" max="1" width="39.28515625" style="1566" customWidth="1"/>
    <col min="2" max="2" width="12.42578125" style="35" hidden="1" customWidth="1"/>
    <col min="3" max="15" width="11.7109375" style="35" hidden="1" customWidth="1"/>
    <col min="16" max="16" width="10.5703125" style="31" hidden="1" customWidth="1" outlineLevel="1"/>
    <col min="17" max="18" width="11.7109375" style="35" hidden="1" customWidth="1" outlineLevel="2"/>
    <col min="19" max="20" width="12.28515625" style="35" hidden="1" customWidth="1" outlineLevel="2"/>
    <col min="21" max="21" width="10.5703125" style="31" hidden="1" customWidth="1" outlineLevel="1"/>
    <col min="22" max="24" width="12.28515625" style="35" hidden="1" customWidth="1" outlineLevel="2"/>
    <col min="25" max="25" width="12.28515625" style="31" hidden="1" customWidth="1" outlineLevel="2"/>
    <col min="26" max="26" width="10.5703125" style="31" hidden="1" customWidth="1" outlineLevel="1"/>
    <col min="27" max="30" width="12.28515625" style="35" hidden="1" customWidth="1" outlineLevel="2"/>
    <col min="31" max="31" width="10.5703125" style="31" hidden="1" customWidth="1" outlineLevel="1"/>
    <col min="32" max="35" width="12.28515625" style="35" hidden="1" customWidth="1" outlineLevel="2"/>
    <col min="36" max="36" width="10.5703125" style="31" hidden="1" customWidth="1" outlineLevel="1"/>
    <col min="37" max="40" width="12.28515625" style="35" hidden="1" customWidth="1" outlineLevel="2"/>
    <col min="41" max="41" width="10.5703125" style="31" hidden="1" customWidth="1" outlineLevel="1"/>
    <col min="42" max="44" width="12.28515625" style="31" hidden="1" customWidth="1" outlineLevel="2"/>
    <col min="45" max="45" width="11.5703125" style="31" hidden="1" customWidth="1" outlineLevel="2"/>
    <col min="46" max="46" width="10.5703125" style="31" hidden="1" customWidth="1" outlineLevel="1"/>
    <col min="47" max="50" width="12.28515625" style="31" hidden="1" customWidth="1" outlineLevel="2"/>
    <col min="51" max="51" width="10.5703125" style="31" hidden="1" customWidth="1" outlineLevel="1"/>
    <col min="52" max="55" width="12.28515625" style="31" hidden="1" customWidth="1" outlineLevel="2"/>
    <col min="56" max="56" width="10.5703125" style="31" hidden="1" customWidth="1" outlineLevel="1"/>
    <col min="57" max="60" width="10.7109375" style="31" hidden="1" customWidth="1" outlineLevel="2"/>
    <col min="61" max="61" width="10.5703125" style="31" hidden="1" customWidth="1" outlineLevel="1"/>
    <col min="62" max="65" width="9.7109375" style="31" hidden="1" customWidth="1" outlineLevel="2"/>
    <col min="66" max="66" width="10.5703125" style="31" hidden="1" customWidth="1" outlineLevel="1"/>
    <col min="67" max="67" width="10.5703125" style="31" hidden="1" customWidth="1" collapsed="1"/>
    <col min="68" max="71" width="10.5703125" style="31" hidden="1" customWidth="1"/>
    <col min="72" max="75" width="9.7109375" style="31" hidden="1" customWidth="1" outlineLevel="2"/>
    <col min="76" max="76" width="10.5703125" style="31" hidden="1" customWidth="1" outlineLevel="1"/>
    <col min="77" max="77" width="10.5703125" style="31" hidden="1" customWidth="1" collapsed="1"/>
    <col min="78" max="81" width="10.5703125" style="31" hidden="1" customWidth="1"/>
    <col min="82" max="83" width="8.85546875" style="31" hidden="1" customWidth="1" outlineLevel="2"/>
    <col min="84" max="85" width="9.42578125" style="31" hidden="1" customWidth="1" outlineLevel="2"/>
    <col min="86" max="86" width="10.5703125" style="31" hidden="1" customWidth="1" outlineLevel="1"/>
    <col min="87" max="90" width="10" style="31" hidden="1" customWidth="1" outlineLevel="2"/>
    <col min="91" max="91" width="8.7109375" style="31" hidden="1" customWidth="1" outlineLevel="1"/>
    <col min="92" max="95" width="8.7109375" style="31" hidden="1" customWidth="1" outlineLevel="2"/>
    <col min="96" max="96" width="8.7109375" style="31" hidden="1" customWidth="1" outlineLevel="1"/>
    <col min="97" max="99" width="8.7109375" style="31" hidden="1" customWidth="1" outlineLevel="2"/>
    <col min="100" max="100" width="8.7109375" style="31" hidden="1" customWidth="1" outlineLevel="2" collapsed="1"/>
    <col min="101" max="101" width="8.7109375" style="31" hidden="1" customWidth="1" outlineLevel="1"/>
    <col min="102" max="104" width="8.7109375" style="31" hidden="1" customWidth="1" outlineLevel="2"/>
    <col min="105" max="105" width="8.7109375" style="31" hidden="1" customWidth="1" outlineLevel="2" collapsed="1"/>
    <col min="106" max="106" width="8.7109375" style="31" hidden="1" customWidth="1" outlineLevel="1"/>
    <col min="107" max="110" width="8.7109375" style="31" hidden="1" customWidth="1" outlineLevel="2"/>
    <col min="111" max="111" width="8.7109375" style="31" hidden="1" customWidth="1" outlineLevel="1"/>
    <col min="112" max="115" width="8.7109375" style="31" hidden="1" customWidth="1" outlineLevel="2"/>
    <col min="116" max="116" width="8.7109375" style="31" hidden="1" customWidth="1" outlineLevel="1"/>
    <col min="117" max="120" width="8.7109375" style="31" hidden="1" customWidth="1" outlineLevel="2"/>
    <col min="121" max="121" width="8.7109375" style="31" hidden="1" customWidth="1" outlineLevel="2" collapsed="1"/>
    <col min="122" max="125" width="8.7109375" style="31" hidden="1" customWidth="1" outlineLevel="2"/>
    <col min="126" max="126" width="8.7109375" style="31" hidden="1" customWidth="1" outlineLevel="1"/>
    <col min="127" max="130" width="8.7109375" style="31" hidden="1" customWidth="1" outlineLevel="2"/>
    <col min="131" max="135" width="8.7109375" style="31" hidden="1" customWidth="1" outlineLevel="1"/>
    <col min="136" max="136" width="8.7109375" style="31" customWidth="1" collapsed="1"/>
    <col min="137" max="155" width="8.7109375" style="31" customWidth="1"/>
    <col min="156" max="156" width="2.5703125" style="35" customWidth="1"/>
    <col min="157" max="158" width="9.5703125" style="596" customWidth="1"/>
    <col min="159" max="16384" width="8.85546875" style="35"/>
  </cols>
  <sheetData>
    <row r="1" spans="1:160" s="2" customFormat="1" ht="11.25" customHeight="1">
      <c r="A1" s="1515"/>
      <c r="B1" s="20"/>
      <c r="C1" s="20"/>
      <c r="D1" s="20"/>
      <c r="E1" s="20"/>
      <c r="F1" s="20"/>
      <c r="G1" s="20"/>
      <c r="H1" s="22"/>
      <c r="I1" s="22"/>
      <c r="J1" s="20"/>
      <c r="K1" s="20"/>
      <c r="L1" s="20"/>
      <c r="M1" s="20"/>
      <c r="N1" s="20"/>
      <c r="O1" s="20"/>
      <c r="P1" s="20"/>
      <c r="Q1" s="20"/>
      <c r="R1" s="22"/>
      <c r="S1" s="22"/>
      <c r="T1" s="20"/>
      <c r="U1" s="20"/>
      <c r="V1" s="20"/>
      <c r="W1" s="20"/>
      <c r="X1" s="20"/>
      <c r="Y1" s="22"/>
      <c r="Z1" s="20"/>
      <c r="AA1" s="20"/>
      <c r="AB1" s="20"/>
      <c r="AC1" s="20"/>
      <c r="AD1" s="20"/>
      <c r="AE1" s="20"/>
      <c r="AF1" s="20"/>
      <c r="AG1" s="20"/>
      <c r="AH1" s="20"/>
      <c r="AI1" s="20"/>
      <c r="AJ1" s="22"/>
      <c r="AK1" s="22"/>
      <c r="AL1" s="22"/>
      <c r="AM1" s="22"/>
      <c r="AN1" s="22"/>
      <c r="AO1" s="22"/>
      <c r="AP1" s="22"/>
      <c r="AQ1" s="22"/>
      <c r="AR1" s="22"/>
      <c r="AS1" s="22"/>
      <c r="AT1" s="20"/>
      <c r="AU1" s="22"/>
      <c r="AV1" s="22"/>
      <c r="AW1" s="22"/>
      <c r="AX1" s="22"/>
      <c r="AY1" s="20"/>
      <c r="AZ1" s="22"/>
      <c r="BA1" s="22"/>
      <c r="BB1" s="22"/>
      <c r="BC1" s="22"/>
      <c r="BD1" s="20"/>
      <c r="BE1" s="22"/>
      <c r="BF1" s="22"/>
      <c r="BG1" s="22"/>
      <c r="BH1" s="22"/>
      <c r="BI1" s="20"/>
      <c r="BJ1" s="22"/>
      <c r="BK1" s="22"/>
      <c r="BL1" s="22"/>
      <c r="BM1" s="22"/>
      <c r="BN1" s="20"/>
      <c r="BO1" s="20"/>
      <c r="BP1" s="20"/>
      <c r="BQ1" s="20"/>
      <c r="BR1" s="20"/>
      <c r="BS1" s="20"/>
      <c r="BT1" s="20"/>
      <c r="BU1" s="20"/>
      <c r="BV1" s="20"/>
      <c r="BW1" s="20"/>
      <c r="BX1" s="20"/>
      <c r="BY1" s="20"/>
      <c r="BZ1" s="20"/>
      <c r="CA1" s="20"/>
      <c r="CB1" s="20"/>
      <c r="CC1" s="20"/>
      <c r="CD1" s="22"/>
      <c r="CE1" s="22"/>
      <c r="CF1" s="22"/>
      <c r="CG1" s="22"/>
      <c r="CH1" s="20"/>
      <c r="CI1" s="22"/>
      <c r="CJ1" s="22"/>
      <c r="CK1" s="22"/>
      <c r="CL1" s="22"/>
      <c r="CM1" s="20"/>
      <c r="CN1" s="22"/>
      <c r="CO1" s="22"/>
      <c r="CP1" s="22"/>
      <c r="CQ1" s="22"/>
      <c r="CR1" s="20"/>
      <c r="CS1" s="20"/>
      <c r="CT1" s="20"/>
      <c r="CU1" s="20"/>
      <c r="CV1" s="20"/>
      <c r="CW1" s="20"/>
      <c r="CX1" s="20"/>
      <c r="CY1" s="20"/>
      <c r="CZ1" s="20"/>
      <c r="DA1" s="20"/>
      <c r="DB1" s="20"/>
      <c r="DC1" s="20"/>
      <c r="DD1" s="20"/>
      <c r="DE1" s="20"/>
      <c r="DF1" s="20"/>
      <c r="DH1" s="3593"/>
      <c r="DI1" s="3593"/>
      <c r="DJ1" s="3593"/>
      <c r="DK1" s="3593"/>
      <c r="DL1" s="3593"/>
      <c r="DM1" s="3593"/>
      <c r="DN1" s="3593"/>
      <c r="DO1" s="3593"/>
      <c r="DP1" s="3593"/>
      <c r="DQ1" s="3593"/>
      <c r="DR1" s="3593"/>
      <c r="DS1" s="3593"/>
      <c r="DT1" s="3593"/>
      <c r="DU1" s="3593"/>
      <c r="DV1" s="3593"/>
      <c r="DW1" s="3593"/>
      <c r="DX1" s="3593"/>
      <c r="DY1" s="3593"/>
      <c r="DZ1" s="3593"/>
      <c r="EA1" s="2618"/>
      <c r="EB1" s="3593"/>
      <c r="EC1" s="3593"/>
      <c r="ED1" s="3593"/>
      <c r="EE1" s="3593"/>
      <c r="EF1" s="3593"/>
      <c r="EG1" s="3593"/>
      <c r="EH1" s="3593"/>
      <c r="EI1" s="3593"/>
      <c r="EJ1" s="3593"/>
      <c r="EK1" s="3593"/>
      <c r="EL1" s="3593"/>
      <c r="EM1" s="3593"/>
      <c r="EN1" s="3593"/>
      <c r="EO1" s="3593"/>
      <c r="EP1" s="3593"/>
      <c r="EQ1" s="3593"/>
      <c r="ER1" s="3593"/>
      <c r="ES1" s="3593"/>
      <c r="ET1" s="3593"/>
      <c r="EU1" s="3593"/>
      <c r="EV1" s="3593"/>
      <c r="EW1" s="3593"/>
      <c r="EX1" s="3593"/>
      <c r="EY1" s="3593"/>
      <c r="FC1" s="20"/>
    </row>
    <row r="2" spans="1:160" s="17" customFormat="1" ht="28.5" customHeight="1">
      <c r="A2" s="2916" t="str">
        <f>IS!A2</f>
        <v>Alphabet Inc.</v>
      </c>
      <c r="B2" s="18"/>
      <c r="C2" s="18"/>
      <c r="D2" s="18"/>
      <c r="E2" s="18"/>
      <c r="F2" s="18"/>
      <c r="G2" s="18"/>
      <c r="H2" s="18"/>
      <c r="I2" s="18"/>
      <c r="J2" s="18"/>
      <c r="K2" s="18"/>
      <c r="L2" s="18"/>
      <c r="M2" s="18"/>
      <c r="N2" s="18"/>
      <c r="O2" s="18"/>
      <c r="P2" s="18"/>
      <c r="Q2" s="18"/>
      <c r="R2" s="18"/>
      <c r="S2" s="18"/>
      <c r="T2" s="18"/>
      <c r="U2" s="18"/>
      <c r="V2" s="18"/>
      <c r="W2" s="18"/>
      <c r="X2" s="18"/>
      <c r="Y2" s="23"/>
      <c r="Z2" s="18"/>
      <c r="AA2" s="18"/>
      <c r="AB2" s="18"/>
      <c r="AC2" s="18"/>
      <c r="AD2" s="18"/>
      <c r="AE2" s="18"/>
      <c r="AF2" s="18"/>
      <c r="AG2" s="18"/>
      <c r="AH2" s="18"/>
      <c r="AI2" s="18"/>
      <c r="AJ2" s="23"/>
      <c r="AK2" s="23"/>
      <c r="AL2" s="23"/>
      <c r="AM2" s="23"/>
      <c r="AN2" s="23"/>
      <c r="AO2" s="18"/>
      <c r="AP2" s="18"/>
      <c r="AQ2" s="18"/>
      <c r="AR2" s="18"/>
      <c r="AS2" s="18"/>
      <c r="AT2" s="18"/>
      <c r="AU2" s="18"/>
      <c r="AV2" s="18"/>
      <c r="AW2" s="18"/>
      <c r="AX2" s="18"/>
      <c r="AY2" s="18"/>
      <c r="AZ2" s="18"/>
      <c r="BA2" s="18"/>
      <c r="BB2" s="18"/>
      <c r="BC2" s="18"/>
      <c r="BD2" s="18"/>
      <c r="BE2" s="18"/>
      <c r="BF2" s="18"/>
      <c r="BG2" s="18"/>
      <c r="BH2" s="18"/>
      <c r="BI2" s="18"/>
      <c r="BJ2" s="18"/>
      <c r="BK2" s="474"/>
      <c r="BL2" s="18"/>
      <c r="BM2" s="18"/>
      <c r="BN2" s="18"/>
      <c r="BO2" s="18"/>
      <c r="BP2" s="18"/>
      <c r="BQ2" s="18"/>
      <c r="BR2" s="18"/>
      <c r="BS2" s="18"/>
      <c r="BT2" s="580"/>
      <c r="BU2" s="18"/>
      <c r="BV2" s="18"/>
      <c r="BW2" s="18"/>
      <c r="BX2" s="18"/>
      <c r="BY2" s="18"/>
      <c r="BZ2" s="18"/>
      <c r="CA2" s="18"/>
      <c r="CB2" s="18"/>
      <c r="CC2" s="18"/>
      <c r="CD2" s="580"/>
      <c r="CE2" s="580"/>
      <c r="CF2" s="580"/>
      <c r="CG2" s="580"/>
      <c r="CH2" s="580"/>
      <c r="CI2" s="580"/>
      <c r="CJ2" s="580"/>
      <c r="CK2" s="580"/>
      <c r="CL2" s="580"/>
      <c r="CM2" s="580"/>
      <c r="CN2" s="580"/>
      <c r="CO2" s="580"/>
      <c r="CP2" s="580"/>
      <c r="CQ2" s="658"/>
      <c r="CR2" s="659"/>
      <c r="CS2" s="659"/>
      <c r="CT2" s="659"/>
      <c r="CU2" s="659"/>
      <c r="CV2" s="290"/>
      <c r="CW2" s="150"/>
      <c r="CX2" s="659"/>
      <c r="CY2" s="659"/>
      <c r="CZ2" s="659"/>
      <c r="DA2" s="659"/>
      <c r="DC2" s="6268"/>
      <c r="DD2" s="6268"/>
      <c r="DE2" s="6268"/>
      <c r="DF2" s="6268"/>
      <c r="DG2" s="176"/>
      <c r="DH2" s="3593"/>
      <c r="DI2" s="3593"/>
      <c r="DJ2" s="3593"/>
      <c r="DK2" s="3593"/>
      <c r="DL2" s="3593"/>
      <c r="DM2" s="3593"/>
      <c r="DN2" s="3593"/>
      <c r="DO2" s="3593"/>
      <c r="DP2" s="3593"/>
      <c r="DQ2" s="3593"/>
      <c r="DR2" s="3593"/>
      <c r="DS2" s="3593"/>
      <c r="DT2" s="3593"/>
      <c r="DU2" s="3593"/>
      <c r="DV2" s="3593"/>
      <c r="DW2" s="127"/>
      <c r="DX2" s="127"/>
      <c r="DY2" s="127"/>
      <c r="DZ2" s="3593"/>
      <c r="EA2" s="2618"/>
      <c r="EB2" s="2618"/>
      <c r="EC2" s="2618"/>
      <c r="ED2" s="2618"/>
      <c r="EE2" s="2618"/>
      <c r="EF2" s="2618"/>
      <c r="EH2" s="127"/>
      <c r="EI2" s="127"/>
      <c r="EJ2" s="3593"/>
      <c r="EK2" s="127"/>
      <c r="EL2" s="3593"/>
      <c r="EM2" s="3593"/>
      <c r="EN2" s="3593"/>
      <c r="EO2" s="3593"/>
      <c r="EP2" s="3593"/>
      <c r="EQ2" s="3593"/>
      <c r="ER2" s="3593"/>
      <c r="ES2" s="3593"/>
      <c r="ET2" s="3593"/>
      <c r="EU2" s="3593"/>
      <c r="EV2" s="3593"/>
      <c r="EW2" s="3593"/>
      <c r="EX2" s="3593"/>
      <c r="EY2" s="3593"/>
      <c r="FC2" s="806"/>
    </row>
    <row r="3" spans="1:160" s="15" customFormat="1" ht="20.25" customHeight="1">
      <c r="A3" s="2917" t="s">
        <v>166</v>
      </c>
      <c r="B3" s="19"/>
      <c r="C3" s="19"/>
      <c r="D3" s="19"/>
      <c r="E3" s="19"/>
      <c r="F3" s="19"/>
      <c r="G3" s="19"/>
      <c r="H3" s="19"/>
      <c r="I3" s="19"/>
      <c r="J3" s="19"/>
      <c r="K3" s="19"/>
      <c r="L3" s="19"/>
      <c r="M3" s="19"/>
      <c r="N3" s="19"/>
      <c r="O3" s="19"/>
      <c r="P3" s="19"/>
      <c r="Q3" s="19"/>
      <c r="R3" s="19"/>
      <c r="S3" s="19"/>
      <c r="T3" s="19"/>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470"/>
      <c r="BF3" s="470"/>
      <c r="BG3" s="470"/>
      <c r="BH3" s="470"/>
      <c r="BI3" s="470"/>
      <c r="BJ3" s="470"/>
      <c r="BK3" s="473"/>
      <c r="BL3" s="470"/>
      <c r="BM3" s="470"/>
      <c r="BN3" s="470"/>
      <c r="BO3" s="470"/>
      <c r="BP3" s="470"/>
      <c r="BQ3" s="470"/>
      <c r="BR3" s="470"/>
      <c r="BS3" s="470"/>
      <c r="BT3" s="470"/>
      <c r="BU3" s="470"/>
      <c r="BV3" s="470"/>
      <c r="BW3" s="470"/>
      <c r="BX3" s="470"/>
      <c r="BY3" s="470"/>
      <c r="BZ3" s="470"/>
      <c r="CA3" s="470"/>
      <c r="CB3" s="470"/>
      <c r="CC3" s="470"/>
      <c r="CD3" s="470"/>
      <c r="CE3" s="470"/>
      <c r="CF3" s="470"/>
      <c r="CG3" s="470"/>
      <c r="CH3" s="470"/>
      <c r="CI3" s="529"/>
      <c r="CJ3" s="529"/>
      <c r="CK3" s="529"/>
      <c r="CL3" s="529"/>
      <c r="CM3" s="470"/>
      <c r="CN3" s="529"/>
      <c r="CO3" s="529"/>
      <c r="CP3" s="529"/>
      <c r="CQ3" s="658"/>
      <c r="CR3" s="659"/>
      <c r="CS3" s="659"/>
      <c r="CT3" s="659"/>
      <c r="CU3" s="659"/>
      <c r="CV3" s="756"/>
      <c r="CW3" s="659"/>
      <c r="CX3" s="659"/>
      <c r="CY3" s="659"/>
      <c r="CZ3" s="659"/>
      <c r="DA3" s="659"/>
      <c r="DC3" s="6268" t="s">
        <v>929</v>
      </c>
      <c r="DD3" s="6268"/>
      <c r="DE3" s="6268"/>
      <c r="DF3" s="6268"/>
      <c r="DG3" s="176"/>
      <c r="DH3" s="3593"/>
      <c r="DI3" s="3593"/>
      <c r="DJ3" s="3593"/>
      <c r="DK3" s="3593"/>
      <c r="DL3" s="3593"/>
      <c r="DM3" s="3593"/>
      <c r="DN3" s="3593"/>
      <c r="DO3" s="3593"/>
      <c r="DP3" s="3593"/>
      <c r="DQ3" s="3593"/>
      <c r="DR3" s="3593"/>
      <c r="DS3" s="3593"/>
      <c r="DT3" s="3593"/>
      <c r="DU3" s="3593"/>
      <c r="DV3" s="3593"/>
      <c r="DW3" s="3593"/>
      <c r="DX3" s="3593"/>
      <c r="DY3" s="3593"/>
      <c r="DZ3" s="3593"/>
      <c r="EA3" s="3593"/>
      <c r="EB3" s="127"/>
      <c r="EC3" s="127"/>
      <c r="ED3" s="3593"/>
      <c r="EE3" s="127"/>
      <c r="EF3" s="2618"/>
      <c r="EG3" s="127"/>
      <c r="EH3" s="3593"/>
      <c r="EI3" s="3593"/>
      <c r="EJ3" s="3593"/>
      <c r="EK3" s="127"/>
      <c r="EL3" s="3593"/>
      <c r="EM3" s="3593"/>
      <c r="EN3" s="2618"/>
      <c r="EO3" s="2618"/>
      <c r="EP3" s="3593"/>
      <c r="EQ3" s="3593"/>
      <c r="ER3" s="3593"/>
      <c r="ES3" s="3593"/>
      <c r="ET3" s="3593"/>
      <c r="EU3" s="2618"/>
      <c r="EV3" s="2618"/>
      <c r="EW3" s="2618"/>
      <c r="EX3" s="2618"/>
      <c r="EY3" s="3593"/>
      <c r="FA3" s="809"/>
      <c r="FB3" s="809"/>
      <c r="FC3" s="809"/>
    </row>
    <row r="4" spans="1:160" s="6" customFormat="1" ht="12.75">
      <c r="A4" s="1517" t="s">
        <v>509</v>
      </c>
      <c r="B4" s="20"/>
      <c r="C4" s="20"/>
      <c r="D4" s="20"/>
      <c r="E4" s="20"/>
      <c r="F4" s="20"/>
      <c r="G4" s="20"/>
      <c r="H4" s="22"/>
      <c r="I4" s="22"/>
      <c r="J4" s="20"/>
      <c r="K4" s="20"/>
      <c r="L4" s="20"/>
      <c r="M4" s="20"/>
      <c r="N4" s="20"/>
      <c r="O4" s="20"/>
      <c r="P4" s="20"/>
      <c r="Q4" s="20"/>
      <c r="R4" s="22"/>
      <c r="S4" s="22"/>
      <c r="T4" s="20"/>
      <c r="U4" s="20"/>
      <c r="V4" s="20"/>
      <c r="W4" s="20"/>
      <c r="X4" s="20"/>
      <c r="Y4" s="22"/>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42"/>
      <c r="BG4" s="42"/>
      <c r="BH4" s="42"/>
      <c r="BI4" s="470"/>
      <c r="BJ4" s="42"/>
      <c r="BK4" s="42"/>
      <c r="BL4" s="42"/>
      <c r="BM4" s="42"/>
      <c r="BN4" s="470"/>
      <c r="BO4" s="470"/>
      <c r="BP4" s="470"/>
      <c r="BQ4" s="470"/>
      <c r="BR4" s="470"/>
      <c r="BS4" s="470"/>
      <c r="BT4" s="470"/>
      <c r="BU4" s="470"/>
      <c r="BV4" s="470"/>
      <c r="BW4" s="470"/>
      <c r="BX4" s="470"/>
      <c r="BY4" s="470"/>
      <c r="BZ4" s="470"/>
      <c r="CA4" s="470"/>
      <c r="CB4" s="470"/>
      <c r="CC4" s="470"/>
      <c r="CD4" s="42"/>
      <c r="CE4" s="42"/>
      <c r="CF4" s="42"/>
      <c r="CG4" s="42"/>
      <c r="CH4" s="470"/>
      <c r="CI4" s="42"/>
      <c r="CJ4" s="510"/>
      <c r="CK4" s="510"/>
      <c r="CL4" s="42"/>
      <c r="CM4" s="470"/>
      <c r="CN4" s="42"/>
      <c r="CO4" s="510"/>
      <c r="CP4" s="510"/>
      <c r="CQ4" s="42"/>
      <c r="CR4" s="473"/>
      <c r="CS4" s="470"/>
      <c r="CT4" s="470"/>
      <c r="CU4" s="470"/>
      <c r="CV4" s="619"/>
      <c r="CW4" s="473"/>
      <c r="CX4" s="470"/>
      <c r="CY4" s="470"/>
      <c r="CZ4" s="470"/>
      <c r="DA4" s="470"/>
      <c r="DC4" s="6268" t="s">
        <v>930</v>
      </c>
      <c r="DD4" s="6268"/>
      <c r="DE4" s="6268"/>
      <c r="DF4" s="6268"/>
      <c r="DG4" s="176"/>
      <c r="DH4" s="176"/>
      <c r="DI4" s="176"/>
      <c r="DJ4" s="176"/>
      <c r="DK4" s="127"/>
      <c r="DL4" s="176"/>
      <c r="DM4" s="176"/>
      <c r="DN4" s="176"/>
      <c r="DO4" s="176"/>
      <c r="DP4" s="176"/>
      <c r="DQ4" s="176"/>
      <c r="DR4" s="176"/>
      <c r="DS4" s="176"/>
      <c r="DT4" s="176"/>
      <c r="DU4" s="176"/>
      <c r="DV4" s="176"/>
      <c r="DW4" s="127"/>
      <c r="DX4" s="127"/>
      <c r="DY4" s="127"/>
      <c r="DZ4" s="127"/>
      <c r="EA4" s="127"/>
      <c r="EB4" s="176"/>
      <c r="EC4" s="176"/>
      <c r="ED4" s="127"/>
      <c r="EE4" s="127"/>
      <c r="EF4" s="127"/>
      <c r="EG4" s="127"/>
      <c r="EH4" s="127"/>
      <c r="EI4" s="127"/>
      <c r="EJ4" s="3593"/>
      <c r="EK4" s="127"/>
      <c r="EL4" s="127"/>
      <c r="EM4" s="127"/>
      <c r="EN4" s="127"/>
      <c r="EO4" s="3593"/>
      <c r="EP4" s="3593"/>
      <c r="EQ4" s="127"/>
      <c r="ER4" s="127"/>
      <c r="ES4" s="127"/>
      <c r="ET4" s="127"/>
      <c r="EU4" s="127"/>
      <c r="EV4" s="127"/>
      <c r="EW4" s="127"/>
      <c r="EX4" s="127"/>
      <c r="EY4" s="127"/>
      <c r="FA4" s="661"/>
      <c r="FB4" s="661"/>
      <c r="FC4" s="661"/>
    </row>
    <row r="5" spans="1:160" s="161" customFormat="1" ht="11.25" customHeight="1">
      <c r="A5" s="1537"/>
      <c r="B5" s="158"/>
      <c r="C5" s="158"/>
      <c r="D5" s="158"/>
      <c r="E5" s="158"/>
      <c r="F5" s="158"/>
      <c r="G5" s="158"/>
      <c r="H5" s="158"/>
      <c r="I5" s="158"/>
      <c r="J5" s="158"/>
      <c r="K5" s="158"/>
      <c r="L5" s="158"/>
      <c r="M5" s="158"/>
      <c r="N5" s="158"/>
      <c r="O5" s="158"/>
      <c r="P5" s="159"/>
      <c r="Q5" s="159"/>
      <c r="R5" s="158"/>
      <c r="S5" s="159"/>
      <c r="T5" s="158"/>
      <c r="U5" s="159"/>
      <c r="V5" s="159"/>
      <c r="W5" s="159"/>
      <c r="X5" s="159"/>
      <c r="Y5" s="159"/>
      <c r="Z5" s="159"/>
      <c r="AA5" s="158"/>
      <c r="AB5" s="158"/>
      <c r="AC5" s="158"/>
      <c r="AD5" s="158"/>
      <c r="AE5" s="159"/>
      <c r="AF5" s="159"/>
      <c r="AG5" s="159"/>
      <c r="AH5" s="159"/>
      <c r="AI5" s="159"/>
      <c r="AJ5" s="159"/>
      <c r="AK5" s="158"/>
      <c r="AL5" s="158"/>
      <c r="AM5" s="158"/>
      <c r="AN5" s="158"/>
      <c r="AO5" s="159"/>
      <c r="AP5" s="159"/>
      <c r="AQ5" s="159"/>
      <c r="AR5" s="159"/>
      <c r="AS5" s="159"/>
      <c r="AT5" s="159"/>
      <c r="AU5" s="159"/>
      <c r="AV5" s="159"/>
      <c r="AW5" s="159"/>
      <c r="AX5" s="159"/>
      <c r="AY5" s="159"/>
      <c r="AZ5" s="159"/>
      <c r="BA5" s="159"/>
      <c r="BB5" s="159"/>
      <c r="BC5" s="159"/>
      <c r="BD5" s="159"/>
      <c r="BE5" s="159"/>
      <c r="BF5" s="159"/>
      <c r="BG5" s="159"/>
      <c r="BH5" s="159"/>
      <c r="BI5" s="159"/>
      <c r="BJ5" s="159"/>
      <c r="BK5" s="159"/>
      <c r="BL5" s="159"/>
      <c r="BM5" s="159"/>
      <c r="BN5" s="159"/>
      <c r="BO5" s="159"/>
      <c r="BP5" s="159"/>
      <c r="BQ5" s="159"/>
      <c r="BR5" s="159"/>
      <c r="BS5" s="159"/>
      <c r="BT5" s="159"/>
      <c r="BU5" s="159"/>
      <c r="BV5" s="159"/>
      <c r="BW5" s="159"/>
      <c r="BX5" s="159"/>
      <c r="BY5" s="159"/>
      <c r="BZ5" s="159"/>
      <c r="CA5" s="159"/>
      <c r="CB5" s="159"/>
      <c r="CC5" s="159"/>
      <c r="CD5" s="159"/>
      <c r="CE5" s="159"/>
      <c r="CF5" s="159"/>
      <c r="CG5" s="159"/>
      <c r="CH5" s="159"/>
      <c r="CI5" s="732"/>
      <c r="CJ5" s="732"/>
      <c r="CK5" s="732"/>
      <c r="CL5" s="732"/>
      <c r="CM5" s="159"/>
      <c r="CN5" s="732"/>
      <c r="CO5" s="732"/>
      <c r="CP5" s="732"/>
      <c r="CQ5" s="732"/>
      <c r="CR5" s="159"/>
      <c r="CS5" s="732"/>
      <c r="CT5" s="732"/>
      <c r="CU5" s="732"/>
      <c r="CV5" s="732"/>
      <c r="CW5" s="159"/>
      <c r="CX5" s="732"/>
      <c r="CY5" s="732"/>
      <c r="CZ5" s="732"/>
      <c r="DA5" s="732"/>
      <c r="DB5" s="159"/>
      <c r="DC5" s="732"/>
      <c r="DD5" s="732"/>
      <c r="DE5" s="732"/>
      <c r="DF5" s="732"/>
      <c r="DG5" s="159"/>
      <c r="DH5" s="5123"/>
      <c r="DI5" s="5123"/>
      <c r="DJ5" s="5123"/>
      <c r="DK5" s="5123"/>
      <c r="DL5" s="5123"/>
      <c r="DM5" s="5123"/>
      <c r="DN5" s="5123"/>
      <c r="DO5" s="5123"/>
      <c r="DP5" s="5123"/>
      <c r="DQ5" s="5123"/>
      <c r="DR5" s="5123"/>
      <c r="DS5" s="5123"/>
      <c r="DT5" s="5123"/>
      <c r="DU5" s="5123"/>
      <c r="DV5" s="6081"/>
      <c r="DW5" s="6081"/>
      <c r="DX5" s="6081"/>
      <c r="DY5" s="6081"/>
      <c r="DZ5" s="6081"/>
      <c r="EA5" s="6081"/>
      <c r="EB5" s="6081"/>
      <c r="EC5" s="6081"/>
      <c r="ED5" s="6081"/>
      <c r="EE5" s="6081"/>
      <c r="EF5" s="6081"/>
      <c r="EG5" s="6081"/>
      <c r="EH5" s="6081"/>
      <c r="EI5" s="6081"/>
      <c r="EJ5" s="6081"/>
      <c r="EK5" s="6081"/>
      <c r="EL5" s="6081"/>
      <c r="EM5" s="6081"/>
      <c r="EN5" s="6081"/>
      <c r="EO5" s="4196"/>
      <c r="EP5" s="6081"/>
      <c r="EQ5" s="6081"/>
      <c r="ER5" s="6081"/>
      <c r="ES5" s="6081"/>
      <c r="ET5" s="6081"/>
      <c r="EU5" s="6081"/>
      <c r="EV5" s="3593"/>
      <c r="EW5" s="3593"/>
      <c r="EX5" s="3593"/>
      <c r="EY5" s="3593"/>
      <c r="EZ5" s="159"/>
      <c r="FA5" s="4318" t="s">
        <v>853</v>
      </c>
      <c r="FB5" s="4318" t="s">
        <v>854</v>
      </c>
    </row>
    <row r="6" spans="1:160" s="29" customFormat="1" ht="11.25" customHeight="1">
      <c r="A6" s="1557" t="s">
        <v>691</v>
      </c>
      <c r="B6" s="164" t="s">
        <v>37</v>
      </c>
      <c r="C6" s="164" t="s">
        <v>38</v>
      </c>
      <c r="D6" s="164" t="s">
        <v>39</v>
      </c>
      <c r="E6" s="164" t="s">
        <v>40</v>
      </c>
      <c r="F6" s="512" t="s">
        <v>41</v>
      </c>
      <c r="G6" s="164" t="s">
        <v>42</v>
      </c>
      <c r="H6" s="164" t="s">
        <v>43</v>
      </c>
      <c r="I6" s="164" t="s">
        <v>44</v>
      </c>
      <c r="J6" s="164" t="s">
        <v>109</v>
      </c>
      <c r="K6" s="164" t="s">
        <v>104</v>
      </c>
      <c r="L6" s="164" t="s">
        <v>111</v>
      </c>
      <c r="M6" s="164" t="s">
        <v>112</v>
      </c>
      <c r="N6" s="164" t="s">
        <v>114</v>
      </c>
      <c r="O6" s="164" t="s">
        <v>115</v>
      </c>
      <c r="P6" s="164" t="s">
        <v>113</v>
      </c>
      <c r="Q6" s="164" t="s">
        <v>118</v>
      </c>
      <c r="R6" s="164" t="s">
        <v>120</v>
      </c>
      <c r="S6" s="164" t="s">
        <v>122</v>
      </c>
      <c r="T6" s="164" t="s">
        <v>124</v>
      </c>
      <c r="U6" s="164" t="s">
        <v>129</v>
      </c>
      <c r="V6" s="164" t="s">
        <v>125</v>
      </c>
      <c r="W6" s="164" t="s">
        <v>126</v>
      </c>
      <c r="X6" s="164" t="s">
        <v>127</v>
      </c>
      <c r="Y6" s="164" t="s">
        <v>128</v>
      </c>
      <c r="Z6" s="164" t="s">
        <v>184</v>
      </c>
      <c r="AA6" s="164" t="s">
        <v>130</v>
      </c>
      <c r="AB6" s="164" t="s">
        <v>233</v>
      </c>
      <c r="AC6" s="164" t="s">
        <v>254</v>
      </c>
      <c r="AD6" s="164" t="s">
        <v>255</v>
      </c>
      <c r="AE6" s="164" t="s">
        <v>256</v>
      </c>
      <c r="AF6" s="164" t="s">
        <v>258</v>
      </c>
      <c r="AG6" s="164" t="s">
        <v>261</v>
      </c>
      <c r="AH6" s="164" t="s">
        <v>263</v>
      </c>
      <c r="AI6" s="164" t="s">
        <v>265</v>
      </c>
      <c r="AJ6" s="164" t="s">
        <v>266</v>
      </c>
      <c r="AK6" s="164" t="s">
        <v>267</v>
      </c>
      <c r="AL6" s="164" t="s">
        <v>269</v>
      </c>
      <c r="AM6" s="164" t="s">
        <v>273</v>
      </c>
      <c r="AN6" s="164" t="s">
        <v>275</v>
      </c>
      <c r="AO6" s="164" t="s">
        <v>276</v>
      </c>
      <c r="AP6" s="164" t="s">
        <v>277</v>
      </c>
      <c r="AQ6" s="164" t="s">
        <v>278</v>
      </c>
      <c r="AR6" s="164" t="s">
        <v>281</v>
      </c>
      <c r="AS6" s="164" t="s">
        <v>285</v>
      </c>
      <c r="AT6" s="164" t="s">
        <v>286</v>
      </c>
      <c r="AU6" s="164" t="s">
        <v>300</v>
      </c>
      <c r="AV6" s="164" t="s">
        <v>2</v>
      </c>
      <c r="AW6" s="164" t="s">
        <v>5</v>
      </c>
      <c r="AX6" s="164" t="s">
        <v>10</v>
      </c>
      <c r="AY6" s="164" t="s">
        <v>11</v>
      </c>
      <c r="AZ6" s="164" t="s">
        <v>13</v>
      </c>
      <c r="BA6" s="164" t="s">
        <v>28</v>
      </c>
      <c r="BB6" s="164" t="s">
        <v>32</v>
      </c>
      <c r="BC6" s="164" t="s">
        <v>302</v>
      </c>
      <c r="BD6" s="164" t="s">
        <v>309</v>
      </c>
      <c r="BE6" s="164" t="s">
        <v>310</v>
      </c>
      <c r="BF6" s="164" t="s">
        <v>313</v>
      </c>
      <c r="BG6" s="164" t="s">
        <v>328</v>
      </c>
      <c r="BH6" s="164" t="s">
        <v>331</v>
      </c>
      <c r="BI6" s="164" t="s">
        <v>335</v>
      </c>
      <c r="BJ6" s="164" t="s">
        <v>339</v>
      </c>
      <c r="BK6" s="164" t="s">
        <v>361</v>
      </c>
      <c r="BL6" s="164" t="s">
        <v>365</v>
      </c>
      <c r="BM6" s="164" t="s">
        <v>369</v>
      </c>
      <c r="BN6" s="164" t="s">
        <v>370</v>
      </c>
      <c r="BO6" s="164"/>
      <c r="BP6" s="164"/>
      <c r="BQ6" s="164"/>
      <c r="BR6" s="164"/>
      <c r="BS6" s="164"/>
      <c r="BT6" s="164" t="s">
        <v>377</v>
      </c>
      <c r="BU6" s="164" t="s">
        <v>381</v>
      </c>
      <c r="BV6" s="164" t="s">
        <v>383</v>
      </c>
      <c r="BW6" s="164" t="s">
        <v>384</v>
      </c>
      <c r="BX6" s="164" t="s">
        <v>385</v>
      </c>
      <c r="BY6" s="164"/>
      <c r="BZ6" s="164"/>
      <c r="CA6" s="164"/>
      <c r="CB6" s="164"/>
      <c r="CC6" s="164"/>
      <c r="CD6" s="164" t="s">
        <v>386</v>
      </c>
      <c r="CE6" s="164" t="s">
        <v>387</v>
      </c>
      <c r="CF6" s="164" t="s">
        <v>388</v>
      </c>
      <c r="CG6" s="164" t="s">
        <v>389</v>
      </c>
      <c r="CH6" s="164" t="s">
        <v>390</v>
      </c>
      <c r="CI6" s="164" t="s">
        <v>393</v>
      </c>
      <c r="CJ6" s="164" t="s">
        <v>394</v>
      </c>
      <c r="CK6" s="164" t="s">
        <v>395</v>
      </c>
      <c r="CL6" s="164" t="s">
        <v>411</v>
      </c>
      <c r="CM6" s="164" t="s">
        <v>410</v>
      </c>
      <c r="CN6" s="164" t="s">
        <v>412</v>
      </c>
      <c r="CO6" s="164" t="s">
        <v>414</v>
      </c>
      <c r="CP6" s="164" t="s">
        <v>429</v>
      </c>
      <c r="CQ6" s="164" t="s">
        <v>475</v>
      </c>
      <c r="CR6" s="164" t="s">
        <v>476</v>
      </c>
      <c r="CS6" s="164" t="str">
        <f>IS!CS6</f>
        <v>3/16A</v>
      </c>
      <c r="CT6" s="164" t="str">
        <f>IS!CT6</f>
        <v>6/16A</v>
      </c>
      <c r="CU6" s="164" t="str">
        <f>IS!CU6</f>
        <v>9/16A</v>
      </c>
      <c r="CV6" s="164" t="str">
        <f>IS!CV6</f>
        <v>12/16A</v>
      </c>
      <c r="CW6" s="164" t="str">
        <f>IS!CW6</f>
        <v>2016A</v>
      </c>
      <c r="CX6" s="164" t="str">
        <f>IS!CX6</f>
        <v>3/17A</v>
      </c>
      <c r="CY6" s="164" t="str">
        <f>IS!CY6</f>
        <v>6/17A</v>
      </c>
      <c r="CZ6" s="164" t="str">
        <f>IS!CZ6</f>
        <v>9/17A</v>
      </c>
      <c r="DA6" s="164" t="str">
        <f>IS!DA6</f>
        <v>12/17A</v>
      </c>
      <c r="DB6" s="164" t="str">
        <f>IS!DB6</f>
        <v>2017A</v>
      </c>
      <c r="DC6" s="164" t="str">
        <f>IS!DC6</f>
        <v>3/18A</v>
      </c>
      <c r="DD6" s="164" t="str">
        <f>IS!DD6</f>
        <v>6/18A</v>
      </c>
      <c r="DE6" s="164" t="str">
        <f>IS!DE6</f>
        <v>9/18A</v>
      </c>
      <c r="DF6" s="164" t="str">
        <f>IS!DF6</f>
        <v>12/18A</v>
      </c>
      <c r="DG6" s="164" t="str">
        <f>IS!DG6</f>
        <v>2018A</v>
      </c>
      <c r="DH6" s="164" t="str">
        <f>IS!DH6</f>
        <v>3/19A</v>
      </c>
      <c r="DI6" s="164" t="str">
        <f>IS!DI6</f>
        <v>6/19A</v>
      </c>
      <c r="DJ6" s="164" t="str">
        <f>IS!DJ6</f>
        <v>9/19A</v>
      </c>
      <c r="DK6" s="164" t="str">
        <f>IS!DK6</f>
        <v>12/19A</v>
      </c>
      <c r="DL6" s="164" t="str">
        <f>IS!DL6</f>
        <v>2019A</v>
      </c>
      <c r="DM6" s="164" t="str">
        <f>IS!DM6</f>
        <v>3/20A</v>
      </c>
      <c r="DN6" s="164" t="str">
        <f>IS!DN6</f>
        <v>6/20A</v>
      </c>
      <c r="DO6" s="164" t="str">
        <f>IS!DO6</f>
        <v>9/20A</v>
      </c>
      <c r="DP6" s="164" t="str">
        <f>IS!DP6</f>
        <v>12/20A</v>
      </c>
      <c r="DQ6" s="164" t="str">
        <f>IS!DQ6</f>
        <v>2020A</v>
      </c>
      <c r="DR6" s="164" t="str">
        <f>IS!DR6</f>
        <v>3/21A</v>
      </c>
      <c r="DS6" s="164" t="str">
        <f>IS!DS6</f>
        <v>6/21A</v>
      </c>
      <c r="DT6" s="164" t="str">
        <f>IS!DT6</f>
        <v>9/21A</v>
      </c>
      <c r="DU6" s="164" t="str">
        <f>IS!DU6</f>
        <v>12/21A</v>
      </c>
      <c r="DV6" s="164" t="str">
        <f>IS!DV6</f>
        <v>2021A</v>
      </c>
      <c r="DW6" s="164" t="str">
        <f>IS!DW6</f>
        <v>3/22A</v>
      </c>
      <c r="DX6" s="164" t="str">
        <f>IS!DX6</f>
        <v>6/22A</v>
      </c>
      <c r="DY6" s="164" t="str">
        <f>IS!DY6</f>
        <v>9/22A</v>
      </c>
      <c r="DZ6" s="164" t="str">
        <f>IS!DZ6</f>
        <v>12/22A</v>
      </c>
      <c r="EA6" s="164" t="str">
        <f>IS!EA6</f>
        <v>2022A</v>
      </c>
      <c r="EB6" s="164" t="str">
        <f>IS!EB6</f>
        <v>3/23A</v>
      </c>
      <c r="EC6" s="164" t="str">
        <f>IS!EC6</f>
        <v>6/23A</v>
      </c>
      <c r="ED6" s="164" t="str">
        <f>IS!ED6</f>
        <v>9/23A</v>
      </c>
      <c r="EE6" s="164" t="str">
        <f>IS!EE6</f>
        <v>12/23A</v>
      </c>
      <c r="EF6" s="164" t="str">
        <f>IS!EF6</f>
        <v>2023A</v>
      </c>
      <c r="EG6" s="164" t="str">
        <f>IS!EG6</f>
        <v>3/24A</v>
      </c>
      <c r="EH6" s="164" t="str">
        <f>IS!EH6</f>
        <v>6/24A</v>
      </c>
      <c r="EI6" s="164" t="str">
        <f>IS!EI6</f>
        <v>9/24A</v>
      </c>
      <c r="EJ6" s="164" t="str">
        <f>IS!EJ6</f>
        <v>12/24A</v>
      </c>
      <c r="EK6" s="164" t="str">
        <f>IS!EK6</f>
        <v>2024A</v>
      </c>
      <c r="EL6" s="164" t="str">
        <f>IS!EL6</f>
        <v>3/25A</v>
      </c>
      <c r="EM6" s="164" t="str">
        <f>IS!EM6</f>
        <v>6/25A</v>
      </c>
      <c r="EN6" s="164" t="str">
        <f>IS!EN6</f>
        <v>9/25A</v>
      </c>
      <c r="EO6" s="164" t="str">
        <f>IS!EO6</f>
        <v>12/25E</v>
      </c>
      <c r="EP6" s="164" t="str">
        <f>IS!EP6</f>
        <v>2025E</v>
      </c>
      <c r="EQ6" s="164" t="str">
        <f>IS!EQ6</f>
        <v>3/26E</v>
      </c>
      <c r="ER6" s="164" t="str">
        <f>IS!ER6</f>
        <v>6/26E</v>
      </c>
      <c r="ES6" s="164" t="str">
        <f>IS!ES6</f>
        <v>9/26E</v>
      </c>
      <c r="ET6" s="164" t="str">
        <f>IS!ET6</f>
        <v>12/26E</v>
      </c>
      <c r="EU6" s="164" t="str">
        <f>IS!EU6</f>
        <v>2026E</v>
      </c>
      <c r="EV6" s="164" t="str">
        <f>IS!EV6</f>
        <v>2027E</v>
      </c>
      <c r="EW6" s="164" t="str">
        <f>IS!EW6</f>
        <v>2028E</v>
      </c>
      <c r="EX6" s="164" t="str">
        <f>IS!EX6</f>
        <v>2029E</v>
      </c>
      <c r="EY6" s="164" t="str">
        <f>IS!EY6</f>
        <v>2030E</v>
      </c>
      <c r="EZ6" s="163"/>
      <c r="FA6" s="1341" t="s">
        <v>1131</v>
      </c>
      <c r="FB6" s="1341" t="s">
        <v>1132</v>
      </c>
    </row>
    <row r="7" spans="1:160" s="138" customFormat="1" ht="11.25" customHeight="1">
      <c r="A7" s="5626" t="s">
        <v>637</v>
      </c>
      <c r="B7" s="2921"/>
      <c r="C7" s="2412"/>
      <c r="D7" s="2412"/>
      <c r="E7" s="2413"/>
      <c r="F7" s="5127"/>
      <c r="G7" s="2921"/>
      <c r="H7" s="2412"/>
      <c r="I7" s="2412"/>
      <c r="J7" s="2412"/>
      <c r="K7" s="2414"/>
      <c r="L7" s="2412"/>
      <c r="M7" s="2412"/>
      <c r="N7" s="2412"/>
      <c r="O7" s="2413"/>
      <c r="P7" s="2414"/>
      <c r="Q7" s="2415"/>
      <c r="R7" s="2413"/>
      <c r="S7" s="2413"/>
      <c r="T7" s="2413"/>
      <c r="U7" s="2414"/>
      <c r="V7" s="2411"/>
      <c r="W7" s="2412"/>
      <c r="X7" s="2412"/>
      <c r="Y7" s="2412"/>
      <c r="Z7" s="2414"/>
      <c r="AA7" s="2415"/>
      <c r="AB7" s="2416"/>
      <c r="AC7" s="2413"/>
      <c r="AD7" s="2413"/>
      <c r="AE7" s="2414"/>
      <c r="AF7" s="2417"/>
      <c r="AG7" s="2413"/>
      <c r="AH7" s="2413"/>
      <c r="AI7" s="2413"/>
      <c r="AJ7" s="2414"/>
      <c r="AK7" s="2415"/>
      <c r="AL7" s="2413"/>
      <c r="AM7" s="2413"/>
      <c r="AN7" s="2418"/>
      <c r="AO7" s="2414"/>
      <c r="AP7" s="2411"/>
      <c r="AQ7" s="2412"/>
      <c r="AR7" s="2412"/>
      <c r="AS7" s="2419"/>
      <c r="AT7" s="2414"/>
      <c r="AU7" s="2411"/>
      <c r="AV7" s="2412"/>
      <c r="AW7" s="2412"/>
      <c r="AX7" s="2419"/>
      <c r="AY7" s="2414"/>
      <c r="AZ7" s="2411"/>
      <c r="BA7" s="2412"/>
      <c r="BB7" s="2412"/>
      <c r="BC7" s="2419"/>
      <c r="BD7" s="2414"/>
      <c r="BE7" s="2411"/>
      <c r="BF7" s="2420"/>
      <c r="BG7" s="2412"/>
      <c r="BH7" s="2421"/>
      <c r="BI7" s="2414"/>
      <c r="BJ7" s="2411"/>
      <c r="BK7" s="2412"/>
      <c r="BL7" s="2412"/>
      <c r="BM7" s="2420"/>
      <c r="BN7" s="2414"/>
      <c r="BO7" s="2412"/>
      <c r="BP7" s="2412"/>
      <c r="BQ7" s="2412"/>
      <c r="BR7" s="2412"/>
      <c r="BS7" s="2414"/>
      <c r="BT7" s="2420"/>
      <c r="BU7" s="2412"/>
      <c r="BV7" s="2412"/>
      <c r="BW7" s="2420"/>
      <c r="BX7" s="2414"/>
      <c r="BY7" s="2412"/>
      <c r="BZ7" s="2412"/>
      <c r="CA7" s="2412"/>
      <c r="CB7" s="2412"/>
      <c r="CC7" s="2414"/>
      <c r="CD7" s="2422"/>
      <c r="CE7" s="2412"/>
      <c r="CF7" s="2412"/>
      <c r="CG7" s="2420"/>
      <c r="CH7" s="2414"/>
      <c r="CI7" s="2423"/>
      <c r="CJ7" s="2412"/>
      <c r="CK7" s="2412"/>
      <c r="CL7" s="2420"/>
      <c r="CM7" s="2414"/>
      <c r="CN7" s="2424"/>
      <c r="CO7" s="2424"/>
      <c r="CP7" s="2424"/>
      <c r="CQ7" s="2424"/>
      <c r="CR7" s="2414"/>
      <c r="CS7" s="2412"/>
      <c r="CT7" s="2412"/>
      <c r="CU7" s="2412"/>
      <c r="CV7" s="2412"/>
      <c r="CW7" s="2414"/>
      <c r="CX7" s="2412"/>
      <c r="CY7" s="2412"/>
      <c r="CZ7" s="2412"/>
      <c r="DA7" s="2412"/>
      <c r="DB7" s="2414"/>
      <c r="DC7" s="2412"/>
      <c r="DD7" s="2412"/>
      <c r="DE7" s="2412"/>
      <c r="DF7" s="2412"/>
      <c r="DG7" s="2414"/>
      <c r="DH7" s="2412"/>
      <c r="DI7" s="2412"/>
      <c r="DJ7" s="2412"/>
      <c r="DK7" s="2412"/>
      <c r="DL7" s="2414"/>
      <c r="DM7" s="2412"/>
      <c r="DN7" s="2412"/>
      <c r="DO7" s="2412"/>
      <c r="DP7" s="2412"/>
      <c r="DQ7" s="2414"/>
      <c r="DR7" s="2412"/>
      <c r="DS7" s="2412"/>
      <c r="DT7" s="2412"/>
      <c r="DU7" s="2412"/>
      <c r="DV7" s="2414"/>
      <c r="DW7" s="2412"/>
      <c r="DX7" s="2412"/>
      <c r="DY7" s="2412"/>
      <c r="DZ7" s="2412"/>
      <c r="EA7" s="5127"/>
      <c r="EB7" s="2412"/>
      <c r="EC7" s="2412"/>
      <c r="ED7" s="2412"/>
      <c r="EE7" s="2412"/>
      <c r="EF7" s="5127"/>
      <c r="EG7" s="2412"/>
      <c r="EH7" s="2412"/>
      <c r="EI7" s="2412"/>
      <c r="EJ7" s="2412"/>
      <c r="EK7" s="2414"/>
      <c r="EL7" s="2412"/>
      <c r="EM7" s="2412"/>
      <c r="EN7" s="2412"/>
      <c r="EO7" s="2412"/>
      <c r="EP7" s="2414"/>
      <c r="EQ7" s="2412"/>
      <c r="ER7" s="2412"/>
      <c r="ES7" s="2412"/>
      <c r="ET7" s="2412"/>
      <c r="EU7" s="2414"/>
      <c r="EV7" s="2414"/>
      <c r="EW7" s="2414"/>
      <c r="EX7" s="2414"/>
      <c r="EY7" s="2414"/>
      <c r="EZ7" s="124"/>
      <c r="FA7" s="717"/>
      <c r="FB7" s="717"/>
    </row>
    <row r="8" spans="1:160" s="3451" customFormat="1" ht="11.25" customHeight="1">
      <c r="A8" s="5627" t="s">
        <v>873</v>
      </c>
      <c r="B8" s="2336"/>
      <c r="C8" s="2336"/>
      <c r="D8" s="2336"/>
      <c r="E8" s="2333"/>
      <c r="F8" s="5610"/>
      <c r="G8" s="2336"/>
      <c r="H8" s="2336"/>
      <c r="I8" s="2336"/>
      <c r="J8" s="2336"/>
      <c r="K8" s="2345"/>
      <c r="L8" s="2336"/>
      <c r="M8" s="2336"/>
      <c r="N8" s="2336"/>
      <c r="O8" s="2336"/>
      <c r="P8" s="4186"/>
      <c r="Q8" s="2426"/>
      <c r="R8" s="2333"/>
      <c r="S8" s="2333"/>
      <c r="T8" s="2333"/>
      <c r="U8" s="4186"/>
      <c r="V8" s="2426"/>
      <c r="W8" s="2333"/>
      <c r="X8" s="2333"/>
      <c r="Y8" s="2333"/>
      <c r="Z8" s="4186"/>
      <c r="AA8" s="2426"/>
      <c r="AB8" s="2336"/>
      <c r="AC8" s="2336"/>
      <c r="AD8" s="2336"/>
      <c r="AE8" s="2332"/>
      <c r="AF8" s="2425"/>
      <c r="AG8" s="2336"/>
      <c r="AH8" s="2336"/>
      <c r="AI8" s="2336"/>
      <c r="AJ8" s="2332"/>
      <c r="AK8" s="2425"/>
      <c r="AL8" s="2336"/>
      <c r="AM8" s="2336"/>
      <c r="AN8" s="2337"/>
      <c r="AO8" s="2332"/>
      <c r="AP8" s="2425"/>
      <c r="AQ8" s="2336"/>
      <c r="AR8" s="2336"/>
      <c r="AS8" s="2337"/>
      <c r="AT8" s="2332"/>
      <c r="AU8" s="2425"/>
      <c r="AV8" s="2336"/>
      <c r="AW8" s="2336"/>
      <c r="AX8" s="2337"/>
      <c r="AY8" s="2332"/>
      <c r="AZ8" s="2425"/>
      <c r="BA8" s="2336"/>
      <c r="BB8" s="2336"/>
      <c r="BC8" s="2338"/>
      <c r="BD8" s="2332"/>
      <c r="BE8" s="2427"/>
      <c r="BF8" s="2339"/>
      <c r="BG8" s="2339"/>
      <c r="BH8" s="2340"/>
      <c r="BI8" s="2332"/>
      <c r="BJ8" s="2427"/>
      <c r="BK8" s="2339"/>
      <c r="BL8" s="2339"/>
      <c r="BM8" s="2339"/>
      <c r="BN8" s="2332"/>
      <c r="BO8" s="2333"/>
      <c r="BP8" s="2333"/>
      <c r="BQ8" s="2333"/>
      <c r="BR8" s="2333"/>
      <c r="BS8" s="2428"/>
      <c r="BT8" s="2339"/>
      <c r="BU8" s="2339"/>
      <c r="BV8" s="2339"/>
      <c r="BW8" s="2339"/>
      <c r="BX8" s="2332"/>
      <c r="BY8" s="2333"/>
      <c r="BZ8" s="2333"/>
      <c r="CA8" s="2333"/>
      <c r="CB8" s="2333"/>
      <c r="CC8" s="2428"/>
      <c r="CD8" s="2429"/>
      <c r="CE8" s="2339"/>
      <c r="CF8" s="2339"/>
      <c r="CG8" s="2339"/>
      <c r="CH8" s="2332"/>
      <c r="CI8" s="2341"/>
      <c r="CJ8" s="2339"/>
      <c r="CK8" s="2339"/>
      <c r="CL8" s="2339"/>
      <c r="CM8" s="2332"/>
      <c r="CN8" s="2339"/>
      <c r="CO8" s="2339"/>
      <c r="CP8" s="2339"/>
      <c r="CQ8" s="2339"/>
      <c r="CR8" s="2332"/>
      <c r="CS8" s="2342"/>
      <c r="CT8" s="2339"/>
      <c r="CU8" s="2339"/>
      <c r="CV8" s="2339"/>
      <c r="CW8" s="2332"/>
      <c r="CX8" s="2339"/>
      <c r="CY8" s="2339"/>
      <c r="CZ8" s="2339"/>
      <c r="DA8" s="2339"/>
      <c r="DB8" s="4186">
        <v>69811</v>
      </c>
      <c r="DC8" s="2339"/>
      <c r="DD8" s="2339"/>
      <c r="DE8" s="2339"/>
      <c r="DF8" s="2339">
        <v>23320</v>
      </c>
      <c r="DG8" s="4186">
        <v>85296</v>
      </c>
      <c r="DH8" s="2339">
        <v>22547</v>
      </c>
      <c r="DI8" s="2339">
        <v>23642</v>
      </c>
      <c r="DJ8" s="2339">
        <v>24741</v>
      </c>
      <c r="DK8" s="2339">
        <v>27185</v>
      </c>
      <c r="DL8" s="5258">
        <f>SUM(DH8:DK8)</f>
        <v>98115</v>
      </c>
      <c r="DM8" s="5259">
        <v>24502</v>
      </c>
      <c r="DN8" s="5259">
        <v>21319</v>
      </c>
      <c r="DO8" s="5259">
        <v>26338</v>
      </c>
      <c r="DP8" s="5259">
        <v>31903</v>
      </c>
      <c r="DQ8" s="5258">
        <f>SUM(DM8:DP8)</f>
        <v>104062</v>
      </c>
      <c r="DR8" s="5259">
        <v>31879</v>
      </c>
      <c r="DS8" s="5259">
        <v>35845</v>
      </c>
      <c r="DT8" s="5259">
        <v>37926</v>
      </c>
      <c r="DU8" s="5259">
        <v>43301</v>
      </c>
      <c r="DV8" s="5258">
        <f>SUM(DR8:DU8)</f>
        <v>148951</v>
      </c>
      <c r="DW8" s="5259">
        <v>39618</v>
      </c>
      <c r="DX8" s="5259">
        <v>40689</v>
      </c>
      <c r="DY8" s="5259">
        <v>39539</v>
      </c>
      <c r="DZ8" s="5259">
        <v>42604</v>
      </c>
      <c r="EA8" s="2332">
        <f>SUM(DW8:DZ8)</f>
        <v>162450</v>
      </c>
      <c r="EB8" s="5259">
        <v>40359</v>
      </c>
      <c r="EC8" s="5259">
        <v>42628</v>
      </c>
      <c r="ED8" s="5259">
        <v>44026</v>
      </c>
      <c r="EE8" s="5259">
        <v>48020</v>
      </c>
      <c r="EF8" s="2332">
        <f>SUM(EB8:EE8)</f>
        <v>175033</v>
      </c>
      <c r="EG8" s="5259">
        <v>46156</v>
      </c>
      <c r="EH8" s="5259">
        <v>48509</v>
      </c>
      <c r="EI8" s="5259">
        <v>49385</v>
      </c>
      <c r="EJ8" s="5259">
        <v>54034</v>
      </c>
      <c r="EK8" s="2332">
        <f>SUM(EG8:EJ8)</f>
        <v>198084</v>
      </c>
      <c r="EL8" s="5259">
        <v>50702</v>
      </c>
      <c r="EM8" s="5259">
        <v>54190</v>
      </c>
      <c r="EN8" s="5259">
        <v>56567</v>
      </c>
      <c r="EO8" s="2333">
        <f t="shared" ref="EO8" si="0">EO11+EO10</f>
        <v>61868.336612063722</v>
      </c>
      <c r="EP8" s="2332">
        <f>SUM(EL8:EO8)</f>
        <v>223327.33661206372</v>
      </c>
      <c r="EQ8" s="2333">
        <f t="shared" ref="EQ8:ET8" si="1">EQ11+EQ10</f>
        <v>58831.488915781571</v>
      </c>
      <c r="ER8" s="2333">
        <f t="shared" si="1"/>
        <v>61318.582869626618</v>
      </c>
      <c r="ES8" s="2333">
        <f t="shared" si="1"/>
        <v>62982.761881862956</v>
      </c>
      <c r="ET8" s="2333">
        <f t="shared" si="1"/>
        <v>68842.3029020986</v>
      </c>
      <c r="EU8" s="2332">
        <f>SUM(EQ8:ET8)</f>
        <v>251975.13656936973</v>
      </c>
      <c r="EV8" s="2332">
        <f>EV11+EV10</f>
        <v>277172.65022630675</v>
      </c>
      <c r="EW8" s="2332">
        <f>EW11+EW10</f>
        <v>302118.18874667439</v>
      </c>
      <c r="EX8" s="2332">
        <f>EX11+EX10</f>
        <v>326287.64384640835</v>
      </c>
      <c r="EY8" s="2332">
        <f>EY11+EY10</f>
        <v>350759.21713488898</v>
      </c>
      <c r="EZ8" s="2336"/>
      <c r="FA8" s="1319">
        <f>(EV8/EK8)^(1/3)-1</f>
        <v>0.11849400077106087</v>
      </c>
      <c r="FB8" s="1319">
        <f>(EX8/EK8)^(1/5)-1</f>
        <v>0.10496938693300439</v>
      </c>
    </row>
    <row r="9" spans="1:160" s="1099" customFormat="1" ht="11.25" customHeight="1">
      <c r="A9" s="5628" t="s">
        <v>45</v>
      </c>
      <c r="B9" s="1098"/>
      <c r="C9" s="1098"/>
      <c r="D9" s="1098"/>
      <c r="E9" s="2289"/>
      <c r="F9" s="4245"/>
      <c r="G9" s="1098"/>
      <c r="H9" s="1098"/>
      <c r="I9" s="1098"/>
      <c r="J9" s="1098"/>
      <c r="K9" s="2876"/>
      <c r="L9" s="1098"/>
      <c r="M9" s="1098"/>
      <c r="N9" s="1098"/>
      <c r="O9" s="1098"/>
      <c r="P9" s="2290"/>
      <c r="Q9" s="2497"/>
      <c r="R9" s="2288"/>
      <c r="S9" s="2288"/>
      <c r="T9" s="2288"/>
      <c r="U9" s="2290"/>
      <c r="V9" s="2497"/>
      <c r="W9" s="2288"/>
      <c r="X9" s="2288"/>
      <c r="Y9" s="2288"/>
      <c r="Z9" s="2290"/>
      <c r="AA9" s="2497"/>
      <c r="AB9" s="2288"/>
      <c r="AC9" s="2288"/>
      <c r="AD9" s="2288"/>
      <c r="AE9" s="2290"/>
      <c r="AF9" s="2497"/>
      <c r="AG9" s="2288"/>
      <c r="AH9" s="2288"/>
      <c r="AI9" s="2288"/>
      <c r="AJ9" s="2290"/>
      <c r="AK9" s="2497"/>
      <c r="AL9" s="2288"/>
      <c r="AM9" s="2288"/>
      <c r="AN9" s="2288"/>
      <c r="AO9" s="2290"/>
      <c r="AP9" s="2497"/>
      <c r="AQ9" s="2288"/>
      <c r="AR9" s="2288"/>
      <c r="AS9" s="2288"/>
      <c r="AT9" s="2290"/>
      <c r="AU9" s="2497"/>
      <c r="AV9" s="2288"/>
      <c r="AW9" s="2288"/>
      <c r="AX9" s="2288"/>
      <c r="AY9" s="2290"/>
      <c r="AZ9" s="2497"/>
      <c r="BA9" s="2288"/>
      <c r="BB9" s="2288"/>
      <c r="BC9" s="2288"/>
      <c r="BD9" s="2290"/>
      <c r="BE9" s="2497"/>
      <c r="BF9" s="2288"/>
      <c r="BG9" s="2288"/>
      <c r="BH9" s="2288"/>
      <c r="BI9" s="2290"/>
      <c r="BJ9" s="2497"/>
      <c r="BK9" s="2288"/>
      <c r="BL9" s="2288"/>
      <c r="BM9" s="2288"/>
      <c r="BN9" s="2290"/>
      <c r="BO9" s="2288"/>
      <c r="BP9" s="2288"/>
      <c r="BQ9" s="2288"/>
      <c r="BR9" s="2288"/>
      <c r="BS9" s="2499"/>
      <c r="BT9" s="2288"/>
      <c r="BU9" s="2288"/>
      <c r="BV9" s="2288"/>
      <c r="BW9" s="2288"/>
      <c r="BX9" s="2290"/>
      <c r="BY9" s="2288"/>
      <c r="BZ9" s="2288"/>
      <c r="CA9" s="2288"/>
      <c r="CB9" s="2288"/>
      <c r="CC9" s="2499"/>
      <c r="CD9" s="2833"/>
      <c r="CE9" s="2288"/>
      <c r="CF9" s="2288"/>
      <c r="CG9" s="2288"/>
      <c r="CH9" s="2290"/>
      <c r="CI9" s="2288"/>
      <c r="CJ9" s="2288"/>
      <c r="CK9" s="2288"/>
      <c r="CL9" s="2288"/>
      <c r="CM9" s="2290"/>
      <c r="CN9" s="2288"/>
      <c r="CO9" s="2288"/>
      <c r="CP9" s="2288"/>
      <c r="CQ9" s="2288"/>
      <c r="CR9" s="2290"/>
      <c r="CS9" s="2288"/>
      <c r="CT9" s="2288"/>
      <c r="CU9" s="2288"/>
      <c r="CV9" s="2288"/>
      <c r="CW9" s="2290"/>
      <c r="CX9" s="2288"/>
      <c r="CY9" s="2288"/>
      <c r="CZ9" s="2288"/>
      <c r="DA9" s="2288"/>
      <c r="DB9" s="2290" t="str">
        <f t="shared" ref="DB9:EN9" si="2">IFERROR(DB8/CW8-1,"NA")</f>
        <v>NA</v>
      </c>
      <c r="DC9" s="2288" t="str">
        <f t="shared" si="2"/>
        <v>NA</v>
      </c>
      <c r="DD9" s="2288" t="str">
        <f t="shared" si="2"/>
        <v>NA</v>
      </c>
      <c r="DE9" s="2288" t="str">
        <f t="shared" si="2"/>
        <v>NA</v>
      </c>
      <c r="DF9" s="2288" t="str">
        <f t="shared" si="2"/>
        <v>NA</v>
      </c>
      <c r="DG9" s="2290">
        <f>IFERROR(DG8/DB8-1,"NA")</f>
        <v>0.22181318130380601</v>
      </c>
      <c r="DH9" s="2526" t="s">
        <v>116</v>
      </c>
      <c r="DI9" s="2526" t="s">
        <v>116</v>
      </c>
      <c r="DJ9" s="2526" t="s">
        <v>116</v>
      </c>
      <c r="DK9" s="2288">
        <f t="shared" si="2"/>
        <v>0.16573756432246989</v>
      </c>
      <c r="DL9" s="2290">
        <f t="shared" si="2"/>
        <v>0.15028840742824978</v>
      </c>
      <c r="DM9" s="2288">
        <f t="shared" si="2"/>
        <v>8.6707765999911368E-2</v>
      </c>
      <c r="DN9" s="2288">
        <f t="shared" si="2"/>
        <v>-9.8257338634633262E-2</v>
      </c>
      <c r="DO9" s="2288">
        <f t="shared" si="2"/>
        <v>6.4548724788812128E-2</v>
      </c>
      <c r="DP9" s="2288">
        <f t="shared" si="2"/>
        <v>0.17355159095089201</v>
      </c>
      <c r="DQ9" s="2290">
        <f>IFERROR(DQ8/DL8-1,"NA")</f>
        <v>6.0612546501554343E-2</v>
      </c>
      <c r="DR9" s="2288">
        <f t="shared" si="2"/>
        <v>0.30107746306423966</v>
      </c>
      <c r="DS9" s="2288">
        <f t="shared" si="2"/>
        <v>0.68136404146535945</v>
      </c>
      <c r="DT9" s="2288">
        <f t="shared" si="2"/>
        <v>0.43997266307236682</v>
      </c>
      <c r="DU9" s="2288">
        <f t="shared" si="2"/>
        <v>0.35727047613077145</v>
      </c>
      <c r="DV9" s="2290">
        <f>IFERROR(DV8/DQ8-1,"NA")</f>
        <v>0.43136783840402826</v>
      </c>
      <c r="DW9" s="2288">
        <f t="shared" si="2"/>
        <v>0.24276169265033398</v>
      </c>
      <c r="DX9" s="2288">
        <f t="shared" si="2"/>
        <v>0.13513739712651684</v>
      </c>
      <c r="DY9" s="2288">
        <f t="shared" si="2"/>
        <v>4.2530190370722032E-2</v>
      </c>
      <c r="DZ9" s="2288">
        <f t="shared" si="2"/>
        <v>-1.6096625943973542E-2</v>
      </c>
      <c r="EA9" s="2290">
        <f t="shared" ref="EA9:EF9" si="3">IFERROR(EA8/DV8-1,"NA")</f>
        <v>9.0627118985438182E-2</v>
      </c>
      <c r="EB9" s="2288">
        <f t="shared" si="2"/>
        <v>1.8703619566863505E-2</v>
      </c>
      <c r="EC9" s="2288">
        <f t="shared" si="2"/>
        <v>4.7654157143208309E-2</v>
      </c>
      <c r="ED9" s="2288">
        <f t="shared" si="2"/>
        <v>0.11348289031083225</v>
      </c>
      <c r="EE9" s="2288">
        <f t="shared" si="2"/>
        <v>0.12712421368885551</v>
      </c>
      <c r="EF9" s="2290">
        <f t="shared" si="3"/>
        <v>7.7457679285934056E-2</v>
      </c>
      <c r="EG9" s="2288">
        <f t="shared" si="2"/>
        <v>0.14363586808394668</v>
      </c>
      <c r="EH9" s="2288">
        <f t="shared" si="2"/>
        <v>0.13796096462419061</v>
      </c>
      <c r="EI9" s="2288">
        <f t="shared" si="2"/>
        <v>0.12172352700676869</v>
      </c>
      <c r="EJ9" s="2288">
        <f t="shared" si="2"/>
        <v>0.12523948354852155</v>
      </c>
      <c r="EK9" s="2290">
        <f>IFERROR(EK8/EF8-1,"NA")</f>
        <v>0.13169516605440124</v>
      </c>
      <c r="EL9" s="2288">
        <f t="shared" si="2"/>
        <v>9.8492070370049367E-2</v>
      </c>
      <c r="EM9" s="2288">
        <f t="shared" si="2"/>
        <v>0.11711228844132027</v>
      </c>
      <c r="EN9" s="2288">
        <f t="shared" si="2"/>
        <v>0.14542877391920617</v>
      </c>
      <c r="EO9" s="2288">
        <f t="shared" ref="EO9" si="4">IFERROR(EO8/EJ8-1,"NA")</f>
        <v>0.14498901824894928</v>
      </c>
      <c r="EP9" s="2290">
        <f>IFERROR(EP8/EK8-1,"NA")</f>
        <v>0.12743753464219076</v>
      </c>
      <c r="EQ9" s="2288">
        <f t="shared" ref="EQ9" si="5">IFERROR(EQ8/EL8-1,"NA")</f>
        <v>0.1603386240341913</v>
      </c>
      <c r="ER9" s="2288">
        <f t="shared" ref="ER9" si="6">IFERROR(ER8/EM8-1,"NA")</f>
        <v>0.13154794001894476</v>
      </c>
      <c r="ES9" s="2288">
        <f t="shared" ref="ES9" si="7">IFERROR(ES8/EN8-1,"NA")</f>
        <v>0.11341881100045881</v>
      </c>
      <c r="ET9" s="2288">
        <f t="shared" ref="ET9" si="8">IFERROR(ET8/EO8-1,"NA")</f>
        <v>0.11272270553779551</v>
      </c>
      <c r="EU9" s="2290">
        <f>IFERROR(EU8/EP8-1,"NA")</f>
        <v>0.12827717552137097</v>
      </c>
      <c r="EV9" s="2499">
        <f>EV8/EU8-1</f>
        <v>0.10000000000000009</v>
      </c>
      <c r="EW9" s="2499">
        <f>EW8/EV8-1</f>
        <v>9.000000000000008E-2</v>
      </c>
      <c r="EX9" s="2499">
        <f>EX8/EW8-1</f>
        <v>8.0000000000000071E-2</v>
      </c>
      <c r="EY9" s="2499">
        <f>EY8/EX8-1</f>
        <v>7.4999999999999956E-2</v>
      </c>
      <c r="EZ9" s="1098"/>
      <c r="FA9" s="4272"/>
      <c r="FB9" s="4272"/>
    </row>
    <row r="10" spans="1:160" s="138" customFormat="1" ht="11.25" hidden="1" customHeight="1" outlineLevel="1">
      <c r="A10" s="5629" t="s">
        <v>874</v>
      </c>
      <c r="B10" s="127"/>
      <c r="C10" s="127"/>
      <c r="D10" s="127"/>
      <c r="E10" s="139"/>
      <c r="F10" s="2958"/>
      <c r="G10" s="127"/>
      <c r="H10" s="127"/>
      <c r="I10" s="127"/>
      <c r="J10" s="127"/>
      <c r="K10" s="995"/>
      <c r="L10" s="127"/>
      <c r="M10" s="127"/>
      <c r="N10" s="127"/>
      <c r="O10" s="127"/>
      <c r="P10" s="3967"/>
      <c r="Q10" s="3968"/>
      <c r="R10" s="3593"/>
      <c r="S10" s="3593"/>
      <c r="T10" s="3593"/>
      <c r="U10" s="3967"/>
      <c r="V10" s="3968"/>
      <c r="W10" s="3593"/>
      <c r="X10" s="3593"/>
      <c r="Y10" s="3593"/>
      <c r="Z10" s="3967"/>
      <c r="AA10" s="3968"/>
      <c r="AB10" s="3593"/>
      <c r="AC10" s="3593"/>
      <c r="AD10" s="3593"/>
      <c r="AE10" s="3967"/>
      <c r="AF10" s="3968"/>
      <c r="AG10" s="3593"/>
      <c r="AH10" s="3593"/>
      <c r="AI10" s="3593"/>
      <c r="AJ10" s="3967"/>
      <c r="AK10" s="3968"/>
      <c r="AL10" s="3593"/>
      <c r="AM10" s="3593"/>
      <c r="AN10" s="3593"/>
      <c r="AO10" s="3967"/>
      <c r="AP10" s="3968"/>
      <c r="AQ10" s="3593"/>
      <c r="AR10" s="3593"/>
      <c r="AS10" s="3593"/>
      <c r="AT10" s="3967"/>
      <c r="AU10" s="3968"/>
      <c r="AV10" s="3593"/>
      <c r="AW10" s="3593"/>
      <c r="AX10" s="3593"/>
      <c r="AY10" s="3967"/>
      <c r="AZ10" s="3968"/>
      <c r="BA10" s="3593"/>
      <c r="BB10" s="3593"/>
      <c r="BC10" s="3593"/>
      <c r="BD10" s="3967"/>
      <c r="BE10" s="3968"/>
      <c r="BF10" s="3593"/>
      <c r="BG10" s="3593"/>
      <c r="BH10" s="3593"/>
      <c r="BI10" s="3967"/>
      <c r="BJ10" s="3968"/>
      <c r="BK10" s="3593"/>
      <c r="BL10" s="3593"/>
      <c r="BM10" s="3593"/>
      <c r="BN10" s="3967"/>
      <c r="BO10" s="3593"/>
      <c r="BP10" s="3593"/>
      <c r="BQ10" s="3593"/>
      <c r="BR10" s="3593"/>
      <c r="BS10" s="4526"/>
      <c r="BT10" s="3593"/>
      <c r="BU10" s="3593"/>
      <c r="BV10" s="3593"/>
      <c r="BW10" s="3593"/>
      <c r="BX10" s="4526"/>
      <c r="BY10" s="3593"/>
      <c r="BZ10" s="3593"/>
      <c r="CA10" s="3593"/>
      <c r="CB10" s="3593"/>
      <c r="CC10" s="4526"/>
      <c r="CD10" s="3969"/>
      <c r="CE10" s="3593"/>
      <c r="CF10" s="3593"/>
      <c r="CG10" s="3593"/>
      <c r="CH10" s="4526"/>
      <c r="CI10" s="3593"/>
      <c r="CJ10" s="3593"/>
      <c r="CK10" s="3593"/>
      <c r="CL10" s="3593"/>
      <c r="CM10" s="4526"/>
      <c r="CN10" s="3593"/>
      <c r="CO10" s="3593"/>
      <c r="CP10" s="3593"/>
      <c r="CQ10" s="3593"/>
      <c r="CR10" s="4526"/>
      <c r="CS10" s="3593"/>
      <c r="CT10" s="3593"/>
      <c r="CU10" s="3593"/>
      <c r="CV10" s="3593"/>
      <c r="CW10" s="4526"/>
      <c r="CX10" s="3593"/>
      <c r="CY10" s="3593"/>
      <c r="CZ10" s="3593"/>
      <c r="DA10" s="3593"/>
      <c r="DB10" s="4526"/>
      <c r="DC10" s="3593"/>
      <c r="DD10" s="3593"/>
      <c r="DE10" s="3593"/>
      <c r="DF10" s="3593"/>
      <c r="DG10" s="4526">
        <f>DG78/DG$83*DG$71</f>
        <v>633.88434310931325</v>
      </c>
      <c r="DH10" s="3593">
        <f>DH78/SUM(DH$83:DH$84)*DH$71</f>
        <v>-721.48898201598581</v>
      </c>
      <c r="DI10" s="3593">
        <f>DI78/SUM(DI$83:DI$84)*DI$71</f>
        <v>-743.97047111754671</v>
      </c>
      <c r="DJ10" s="3593">
        <f>DJ78/SUM(DJ$83:DJ$84)*DJ$71</f>
        <v>-331.52017402113114</v>
      </c>
      <c r="DK10" s="3593">
        <f>DK78/SUM(DK$83:DK$84)*DK$71</f>
        <v>-247.44924910503801</v>
      </c>
      <c r="DL10" s="4526">
        <f>DL8/DL22*DL24</f>
        <v>-2034.402334432493</v>
      </c>
      <c r="DM10" s="3593">
        <f>DM78/SUM(DM$83:DM$84)*DM$71</f>
        <v>-234.40595485051858</v>
      </c>
      <c r="DN10" s="3593">
        <f>DN78/SUM(DN$83:DN$84)*DN$71</f>
        <v>-396.1054266014001</v>
      </c>
      <c r="DO10" s="3593">
        <f>DO78/SUM(DO$83:DO$84)*DO$71</f>
        <v>-31.479453245539698</v>
      </c>
      <c r="DP10" s="3593">
        <f>DP78/SUM(DP$83:DP$84)*DP$71</f>
        <v>162.59817649548532</v>
      </c>
      <c r="DQ10" s="4526">
        <f>DQ8/DQ22*DQ24</f>
        <v>-487.20921984606059</v>
      </c>
      <c r="DR10" s="3593">
        <f>DR78/SUM(DR$83:DR$84)*DR$71</f>
        <v>635.55960162969677</v>
      </c>
      <c r="DS10" s="3593">
        <f>DS78/SUM(DS$83:DS$84)*DS$71</f>
        <v>1096.3532701191345</v>
      </c>
      <c r="DT10" s="3593">
        <f>DT78/SUM(DT$83:DT$84)*DT$71</f>
        <v>359.53525295187598</v>
      </c>
      <c r="DU10" s="3593">
        <f>DU78/SUM(DU$83:DU$84)*DU$71</f>
        <v>-157.73972858648804</v>
      </c>
      <c r="DV10" s="4526">
        <f>DV8/DV22*DV24</f>
        <v>1930.5795371073366</v>
      </c>
      <c r="DW10" s="3593">
        <f>DW78/SUM(DW$83:DW$84)*DW$71</f>
        <v>-1172.1789487762471</v>
      </c>
      <c r="DX10" s="3593">
        <f>DX78/SUM(DX$83:DX$84)*DX$71</f>
        <v>-1578.8864968097571</v>
      </c>
      <c r="DY10" s="3593">
        <f>DY78/SUM(DY$83:DY$84)*DY$71</f>
        <v>-2269.9655945490513</v>
      </c>
      <c r="DZ10" s="3593">
        <f>DZ78/SUM(DZ$83:DZ$84)*DZ$71</f>
        <v>-2683.1228560403442</v>
      </c>
      <c r="EA10" s="4526">
        <f>EA8/EA22*EA24</f>
        <v>-7711.4906917158041</v>
      </c>
      <c r="EB10" s="3593">
        <f>EB78/SUM(EB$83:EB$84)*EB$71</f>
        <v>-1263.9986458258302</v>
      </c>
      <c r="EC10" s="3593">
        <f>EC78/SUM(EC$83:EC$84)*EC$71</f>
        <v>-657.35088002583552</v>
      </c>
      <c r="ED10" s="3593">
        <f>ED78/SUM(ED$83:ED$84)*ED$71</f>
        <v>246.07120698456748</v>
      </c>
      <c r="EE10" s="3593">
        <f>EE78/SUM(EE$83:EE$84)*EE$71</f>
        <v>527.92065775469871</v>
      </c>
      <c r="EF10" s="4526">
        <f>EF8/EF22*EF24</f>
        <v>-1126.7455895835612</v>
      </c>
      <c r="EG10" s="3593">
        <f>EG78/SUM(EG$83:EG$84)*EG$71</f>
        <v>-225.08928124843695</v>
      </c>
      <c r="EH10" s="3593">
        <f>EH78/SUM(EH$83:EH$84)*EH$71</f>
        <v>-729.28986057549685</v>
      </c>
      <c r="EI10" s="3593">
        <f>EI78/SUM(EI$83:EI$84)*EI$71</f>
        <v>-571.62337957957277</v>
      </c>
      <c r="EJ10" s="3593">
        <f>EJ78/SUM(EJ$83:EJ$84)*EJ$71</f>
        <v>-149.08026111672169</v>
      </c>
      <c r="EK10" s="4526">
        <f>EK8/EK22*EK24</f>
        <v>-1671.8462632360706</v>
      </c>
      <c r="EL10" s="3593">
        <f>EL78/SUM(EL$83:EL$84)*EL$71</f>
        <v>-908.99323086546633</v>
      </c>
      <c r="EM10" s="3593">
        <f>EM78/SUM(EM$83:EM$84)*EM$71</f>
        <v>305.97990994831088</v>
      </c>
      <c r="EN10" s="3593">
        <f>EN78/SUM(EN$83:EN$84)*EN$71</f>
        <v>741.06206889805026</v>
      </c>
      <c r="EO10" s="3593">
        <f t="shared" ref="EO10:ET10" si="9">EO$71*EO11/SUM(EO$11,EO$18,EO$32,EO$60,EO$46)</f>
        <v>539.74661206372184</v>
      </c>
      <c r="EP10" s="4526">
        <f>EP8/EP22*EP24</f>
        <v>685.94888947520883</v>
      </c>
      <c r="EQ10" s="3593">
        <f t="shared" si="9"/>
        <v>1791.7389157815717</v>
      </c>
      <c r="ER10" s="3593">
        <f t="shared" si="9"/>
        <v>354.832869626621</v>
      </c>
      <c r="ES10" s="3593">
        <f t="shared" si="9"/>
        <v>-372.27811813705171</v>
      </c>
      <c r="ET10" s="3593">
        <f t="shared" si="9"/>
        <v>-140.89242035245178</v>
      </c>
      <c r="EU10" s="4526">
        <f>EU8/EU22*EU24</f>
        <v>1617.9278277727767</v>
      </c>
      <c r="EV10" s="4526">
        <f>EV$71*EV11/SUM(EV$11,EV$18,EV$32,EV$60,EV$46)</f>
        <v>0</v>
      </c>
      <c r="EW10" s="4526">
        <f>EW$71*EW11/SUM(EW$11,EW$18,EW$32,EW$60,EW$46)</f>
        <v>0</v>
      </c>
      <c r="EX10" s="4526">
        <f>EX$71*EX11/SUM(EX$11,EX$18,EX$32,EX$60,EX$46)</f>
        <v>0</v>
      </c>
      <c r="EY10" s="4526">
        <f>EY$71*EY11/SUM(EY$11,EY$18,EY$32,EY$60,EY$46)</f>
        <v>0</v>
      </c>
      <c r="EZ10" s="127"/>
      <c r="FA10" s="738"/>
      <c r="FB10" s="738"/>
    </row>
    <row r="11" spans="1:160" s="138" customFormat="1" ht="11.25" hidden="1" customHeight="1" outlineLevel="1">
      <c r="A11" s="5630" t="s">
        <v>882</v>
      </c>
      <c r="B11" s="124"/>
      <c r="C11" s="124"/>
      <c r="D11" s="124"/>
      <c r="E11" s="139"/>
      <c r="F11" s="3574"/>
      <c r="G11" s="124"/>
      <c r="H11" s="124"/>
      <c r="I11" s="124"/>
      <c r="J11" s="124"/>
      <c r="K11" s="997"/>
      <c r="L11" s="124"/>
      <c r="M11" s="124"/>
      <c r="N11" s="124"/>
      <c r="O11" s="124"/>
      <c r="P11" s="3967"/>
      <c r="Q11" s="3968"/>
      <c r="R11" s="3593"/>
      <c r="S11" s="3593"/>
      <c r="T11" s="3593"/>
      <c r="U11" s="3967"/>
      <c r="V11" s="3968"/>
      <c r="W11" s="3593"/>
      <c r="X11" s="3593"/>
      <c r="Y11" s="3593"/>
      <c r="Z11" s="3967"/>
      <c r="AA11" s="3968"/>
      <c r="AB11" s="3593"/>
      <c r="AC11" s="3593"/>
      <c r="AD11" s="3593"/>
      <c r="AE11" s="3967"/>
      <c r="AF11" s="3968"/>
      <c r="AG11" s="3593"/>
      <c r="AH11" s="3593"/>
      <c r="AI11" s="3593"/>
      <c r="AJ11" s="3967"/>
      <c r="AK11" s="3968"/>
      <c r="AL11" s="3593"/>
      <c r="AM11" s="3593"/>
      <c r="AN11" s="3593"/>
      <c r="AO11" s="3967"/>
      <c r="AP11" s="3968"/>
      <c r="AQ11" s="3593"/>
      <c r="AR11" s="3593"/>
      <c r="AS11" s="3593"/>
      <c r="AT11" s="3967"/>
      <c r="AU11" s="3968"/>
      <c r="AV11" s="3593"/>
      <c r="AW11" s="3593"/>
      <c r="AX11" s="3593"/>
      <c r="AY11" s="3967"/>
      <c r="AZ11" s="3968"/>
      <c r="BA11" s="3593"/>
      <c r="BB11" s="3593"/>
      <c r="BC11" s="3593"/>
      <c r="BD11" s="3967"/>
      <c r="BE11" s="3968"/>
      <c r="BF11" s="3593"/>
      <c r="BG11" s="3593"/>
      <c r="BH11" s="3593"/>
      <c r="BI11" s="3967"/>
      <c r="BJ11" s="3968"/>
      <c r="BK11" s="3593"/>
      <c r="BL11" s="3593"/>
      <c r="BM11" s="3593"/>
      <c r="BN11" s="3967"/>
      <c r="BO11" s="3593"/>
      <c r="BP11" s="3593"/>
      <c r="BQ11" s="3593"/>
      <c r="BR11" s="3593"/>
      <c r="BS11" s="4526"/>
      <c r="BT11" s="3593"/>
      <c r="BU11" s="3593"/>
      <c r="BV11" s="3593"/>
      <c r="BW11" s="3593"/>
      <c r="BX11" s="4526"/>
      <c r="BY11" s="3593"/>
      <c r="BZ11" s="3593"/>
      <c r="CA11" s="3593"/>
      <c r="CB11" s="3593"/>
      <c r="CC11" s="4526"/>
      <c r="CD11" s="3969"/>
      <c r="CE11" s="3593"/>
      <c r="CF11" s="3593"/>
      <c r="CG11" s="3593"/>
      <c r="CH11" s="4526"/>
      <c r="CI11" s="3593"/>
      <c r="CJ11" s="3593"/>
      <c r="CK11" s="3593"/>
      <c r="CL11" s="3593"/>
      <c r="CM11" s="4526"/>
      <c r="CN11" s="3593"/>
      <c r="CO11" s="3593"/>
      <c r="CP11" s="3593"/>
      <c r="CQ11" s="3593"/>
      <c r="CR11" s="4526"/>
      <c r="CS11" s="3593"/>
      <c r="CT11" s="3593"/>
      <c r="CU11" s="3593"/>
      <c r="CV11" s="3593"/>
      <c r="CW11" s="4526"/>
      <c r="CX11" s="3593"/>
      <c r="CY11" s="3593"/>
      <c r="CZ11" s="3593"/>
      <c r="DA11" s="3593"/>
      <c r="DB11" s="4526"/>
      <c r="DC11" s="3593"/>
      <c r="DD11" s="3593"/>
      <c r="DE11" s="3593"/>
      <c r="DF11" s="3593"/>
      <c r="DG11" s="1954">
        <f t="shared" ref="DG11:DM11" si="10">DG8-DG10</f>
        <v>84662.115656890688</v>
      </c>
      <c r="DH11" s="176">
        <f t="shared" si="10"/>
        <v>23268.488982015984</v>
      </c>
      <c r="DI11" s="176">
        <f t="shared" si="10"/>
        <v>24385.970471117547</v>
      </c>
      <c r="DJ11" s="176">
        <f t="shared" si="10"/>
        <v>25072.520174021131</v>
      </c>
      <c r="DK11" s="176">
        <f t="shared" si="10"/>
        <v>27432.449249105037</v>
      </c>
      <c r="DL11" s="1954">
        <f>DL8-DL10</f>
        <v>100149.4023344325</v>
      </c>
      <c r="DM11" s="176">
        <f t="shared" si="10"/>
        <v>24736.405954850517</v>
      </c>
      <c r="DN11" s="176">
        <f t="shared" ref="DN11:DS11" si="11">DN8-DN10</f>
        <v>21715.1054266014</v>
      </c>
      <c r="DO11" s="176">
        <f t="shared" si="11"/>
        <v>26369.479453245538</v>
      </c>
      <c r="DP11" s="176">
        <f t="shared" si="11"/>
        <v>31740.401823504515</v>
      </c>
      <c r="DQ11" s="1954">
        <f t="shared" si="11"/>
        <v>104549.20921984606</v>
      </c>
      <c r="DR11" s="176">
        <f t="shared" si="11"/>
        <v>31243.440398370301</v>
      </c>
      <c r="DS11" s="176">
        <f t="shared" si="11"/>
        <v>34748.646729880864</v>
      </c>
      <c r="DT11" s="176">
        <f t="shared" ref="DT11:EA11" si="12">DT8-DT10</f>
        <v>37566.464747048121</v>
      </c>
      <c r="DU11" s="176">
        <f t="shared" si="12"/>
        <v>43458.739728586486</v>
      </c>
      <c r="DV11" s="1954">
        <f t="shared" si="12"/>
        <v>147020.42046289265</v>
      </c>
      <c r="DW11" s="176">
        <f t="shared" si="12"/>
        <v>40790.178948776243</v>
      </c>
      <c r="DX11" s="176">
        <f t="shared" si="12"/>
        <v>42267.886496809755</v>
      </c>
      <c r="DY11" s="176">
        <f t="shared" si="12"/>
        <v>41808.965594549052</v>
      </c>
      <c r="DZ11" s="176">
        <f t="shared" si="12"/>
        <v>45287.122856040347</v>
      </c>
      <c r="EA11" s="1954">
        <f t="shared" si="12"/>
        <v>170161.49069171579</v>
      </c>
      <c r="EB11" s="176">
        <f>EB8-EB10</f>
        <v>41622.998645825828</v>
      </c>
      <c r="EC11" s="176">
        <f>EC8-EC10</f>
        <v>43285.350880025835</v>
      </c>
      <c r="ED11" s="176">
        <f>ED8-ED10</f>
        <v>43779.928793015431</v>
      </c>
      <c r="EE11" s="176">
        <f t="shared" ref="EE11" si="13">EE8-EE10</f>
        <v>47492.079342245299</v>
      </c>
      <c r="EF11" s="1954">
        <f>EF8-EF10</f>
        <v>176159.74558958356</v>
      </c>
      <c r="EG11" s="176">
        <f>EG8-EG10</f>
        <v>46381.089281248438</v>
      </c>
      <c r="EH11" s="176">
        <f>EH8-EH10</f>
        <v>49238.289860575496</v>
      </c>
      <c r="EI11" s="176">
        <f>EI8-EI10</f>
        <v>49956.623379579571</v>
      </c>
      <c r="EJ11" s="176">
        <f t="shared" ref="EJ11" si="14">EJ8-EJ10</f>
        <v>54183.080261116724</v>
      </c>
      <c r="EK11" s="1954">
        <f>EK8-EK10</f>
        <v>199755.84626323608</v>
      </c>
      <c r="EL11" s="176">
        <f>EL8-EL10</f>
        <v>51610.993230865468</v>
      </c>
      <c r="EM11" s="176">
        <f>EM8-EM10</f>
        <v>53884.020090051687</v>
      </c>
      <c r="EN11" s="176">
        <f>EN8-EN10</f>
        <v>55825.937931101951</v>
      </c>
      <c r="EO11" s="176">
        <f t="shared" ref="EO11" si="15">EJ8*(1+EO12)</f>
        <v>61328.590000000004</v>
      </c>
      <c r="EP11" s="1954">
        <f>EP8-EP10</f>
        <v>222641.38772258852</v>
      </c>
      <c r="EQ11" s="176">
        <f t="shared" ref="EQ11" si="16">EL8*(1+EQ12)</f>
        <v>57039.75</v>
      </c>
      <c r="ER11" s="176">
        <f t="shared" ref="ER11" si="17">EM8*(1+ER12)</f>
        <v>60963.75</v>
      </c>
      <c r="ES11" s="176">
        <f t="shared" ref="ES11" si="18">EN8*(1+ES12)</f>
        <v>63355.040000000008</v>
      </c>
      <c r="ET11" s="176">
        <f t="shared" ref="ET11" si="19">EO8*(1+ET12)</f>
        <v>68983.195322451051</v>
      </c>
      <c r="EU11" s="1954">
        <f>EU8-EU10</f>
        <v>250357.20874159696</v>
      </c>
      <c r="EV11" s="1954">
        <f>EU8*(1+EV12)</f>
        <v>277172.65022630675</v>
      </c>
      <c r="EW11" s="1954">
        <f>EV8*(1+EW12)</f>
        <v>302118.18874667439</v>
      </c>
      <c r="EX11" s="1954">
        <f>EW8*(1+EX12)</f>
        <v>326287.64384640835</v>
      </c>
      <c r="EY11" s="1954">
        <f>EX8*(1+EY12)</f>
        <v>350759.21713488898</v>
      </c>
      <c r="EZ11" s="124"/>
      <c r="FA11" s="738"/>
      <c r="FB11" s="738"/>
    </row>
    <row r="12" spans="1:160" s="2613" customFormat="1" ht="11.25" customHeight="1" collapsed="1">
      <c r="A12" s="5631" t="s">
        <v>635</v>
      </c>
      <c r="B12" s="2288"/>
      <c r="C12" s="2288"/>
      <c r="D12" s="2288"/>
      <c r="E12" s="2289"/>
      <c r="F12" s="4244"/>
      <c r="G12" s="2288"/>
      <c r="H12" s="2288"/>
      <c r="I12" s="2288"/>
      <c r="J12" s="2288"/>
      <c r="K12" s="2290"/>
      <c r="L12" s="2288"/>
      <c r="M12" s="2288"/>
      <c r="N12" s="2288"/>
      <c r="O12" s="2288"/>
      <c r="P12" s="2290"/>
      <c r="Q12" s="2497"/>
      <c r="R12" s="2288"/>
      <c r="S12" s="2288"/>
      <c r="T12" s="2288"/>
      <c r="U12" s="2290"/>
      <c r="V12" s="2497"/>
      <c r="W12" s="2288"/>
      <c r="X12" s="2288"/>
      <c r="Y12" s="2288"/>
      <c r="Z12" s="2290"/>
      <c r="AA12" s="2497"/>
      <c r="AB12" s="2288"/>
      <c r="AC12" s="2288"/>
      <c r="AD12" s="2288"/>
      <c r="AE12" s="2290"/>
      <c r="AF12" s="2497"/>
      <c r="AG12" s="2288"/>
      <c r="AH12" s="2288"/>
      <c r="AI12" s="2288"/>
      <c r="AJ12" s="2290"/>
      <c r="AK12" s="2497"/>
      <c r="AL12" s="2288"/>
      <c r="AM12" s="2288"/>
      <c r="AN12" s="2288"/>
      <c r="AO12" s="2290"/>
      <c r="AP12" s="2497"/>
      <c r="AQ12" s="2288"/>
      <c r="AR12" s="2288"/>
      <c r="AS12" s="2288"/>
      <c r="AT12" s="2290"/>
      <c r="AU12" s="2497"/>
      <c r="AV12" s="2288"/>
      <c r="AW12" s="2288"/>
      <c r="AX12" s="2288"/>
      <c r="AY12" s="2290"/>
      <c r="AZ12" s="2497"/>
      <c r="BA12" s="2288"/>
      <c r="BB12" s="2288"/>
      <c r="BC12" s="2288"/>
      <c r="BD12" s="2290"/>
      <c r="BE12" s="2497"/>
      <c r="BF12" s="2288"/>
      <c r="BG12" s="2288"/>
      <c r="BH12" s="2288"/>
      <c r="BI12" s="2290"/>
      <c r="BJ12" s="2497"/>
      <c r="BK12" s="2288"/>
      <c r="BL12" s="2288"/>
      <c r="BM12" s="2288"/>
      <c r="BN12" s="2290"/>
      <c r="BO12" s="2288"/>
      <c r="BP12" s="2288"/>
      <c r="BQ12" s="2288"/>
      <c r="BR12" s="2288"/>
      <c r="BS12" s="2499"/>
      <c r="BT12" s="2288"/>
      <c r="BU12" s="2288"/>
      <c r="BV12" s="2288"/>
      <c r="BW12" s="2288"/>
      <c r="BX12" s="2290"/>
      <c r="BY12" s="2288"/>
      <c r="BZ12" s="2288"/>
      <c r="CA12" s="2288"/>
      <c r="CB12" s="2288"/>
      <c r="CC12" s="2499"/>
      <c r="CD12" s="2833"/>
      <c r="CE12" s="2288"/>
      <c r="CF12" s="2288"/>
      <c r="CG12" s="2288"/>
      <c r="CH12" s="2290"/>
      <c r="CI12" s="2497"/>
      <c r="CJ12" s="2288"/>
      <c r="CK12" s="2288"/>
      <c r="CL12" s="2288"/>
      <c r="CM12" s="2290"/>
      <c r="CN12" s="2497"/>
      <c r="CO12" s="2288"/>
      <c r="CP12" s="2288"/>
      <c r="CQ12" s="2288"/>
      <c r="CR12" s="2290"/>
      <c r="CS12" s="2497"/>
      <c r="CT12" s="2288"/>
      <c r="CU12" s="2288"/>
      <c r="CV12" s="2288"/>
      <c r="CW12" s="2290"/>
      <c r="CX12" s="2497"/>
      <c r="CY12" s="2288"/>
      <c r="CZ12" s="2288"/>
      <c r="DA12" s="2288"/>
      <c r="DB12" s="2290"/>
      <c r="DC12" s="2497"/>
      <c r="DD12" s="2288"/>
      <c r="DE12" s="2288"/>
      <c r="DF12" s="2288"/>
      <c r="DG12" s="2290">
        <f>(DG8-DG10)/DB8-1</f>
        <v>0.2127331746700476</v>
      </c>
      <c r="DH12" s="2526" t="s">
        <v>116</v>
      </c>
      <c r="DI12" s="2526" t="s">
        <v>116</v>
      </c>
      <c r="DJ12" s="2526" t="s">
        <v>116</v>
      </c>
      <c r="DK12" s="2288">
        <f t="shared" ref="DK12:EN12" si="20">DK11/DF8-1</f>
        <v>0.17634859558769445</v>
      </c>
      <c r="DL12" s="2290">
        <f t="shared" si="20"/>
        <v>0.17413949463553391</v>
      </c>
      <c r="DM12" s="2288">
        <f t="shared" si="20"/>
        <v>9.7104091668537507E-2</v>
      </c>
      <c r="DN12" s="2288">
        <f t="shared" si="20"/>
        <v>-8.1503027383410864E-2</v>
      </c>
      <c r="DO12" s="2288">
        <f t="shared" si="20"/>
        <v>6.5821084565924393E-2</v>
      </c>
      <c r="DP12" s="2288">
        <f t="shared" si="20"/>
        <v>0.16757041837426945</v>
      </c>
      <c r="DQ12" s="2290">
        <f t="shared" si="20"/>
        <v>6.5578242061316461E-2</v>
      </c>
      <c r="DR12" s="2288">
        <f t="shared" si="20"/>
        <v>0.27513837231125216</v>
      </c>
      <c r="DS12" s="2288">
        <f t="shared" si="20"/>
        <v>0.62993793000989085</v>
      </c>
      <c r="DT12" s="2288">
        <f t="shared" si="20"/>
        <v>0.42632184475085899</v>
      </c>
      <c r="DU12" s="2288">
        <f t="shared" si="20"/>
        <v>0.3622148302224395</v>
      </c>
      <c r="DV12" s="5082">
        <f>DV11/DQ8-1</f>
        <v>0.41281563359240314</v>
      </c>
      <c r="DW12" s="2288">
        <f t="shared" si="20"/>
        <v>0.27953131995282932</v>
      </c>
      <c r="DX12" s="2288">
        <f t="shared" si="20"/>
        <v>0.17918500479313026</v>
      </c>
      <c r="DY12" s="2288">
        <f t="shared" si="20"/>
        <v>0.10238268192134825</v>
      </c>
      <c r="DZ12" s="2288">
        <f t="shared" si="20"/>
        <v>4.5867828827055979E-2</v>
      </c>
      <c r="EA12" s="2290">
        <f>EA11/DV8-1</f>
        <v>0.14239911576099384</v>
      </c>
      <c r="EB12" s="2288">
        <f t="shared" si="20"/>
        <v>5.0608275173553041E-2</v>
      </c>
      <c r="EC12" s="2288">
        <f t="shared" si="20"/>
        <v>6.3809650766198045E-2</v>
      </c>
      <c r="ED12" s="2288">
        <f t="shared" si="20"/>
        <v>0.10725938422862069</v>
      </c>
      <c r="EE12" s="2288">
        <f t="shared" si="20"/>
        <v>0.11473287349181538</v>
      </c>
      <c r="EF12" s="2290">
        <f>EF11/EA8-1</f>
        <v>8.4393632438187538E-2</v>
      </c>
      <c r="EG12" s="2288">
        <f t="shared" si="20"/>
        <v>0.14921304495276</v>
      </c>
      <c r="EH12" s="2288">
        <f t="shared" si="20"/>
        <v>0.15506920006980152</v>
      </c>
      <c r="EI12" s="2288">
        <f t="shared" si="20"/>
        <v>0.13470729522508451</v>
      </c>
      <c r="EJ12" s="2288">
        <f t="shared" si="20"/>
        <v>0.12834402876128115</v>
      </c>
      <c r="EK12" s="2290">
        <f>EK11/EF8-1</f>
        <v>0.14124677211289338</v>
      </c>
      <c r="EL12" s="2288">
        <f t="shared" si="20"/>
        <v>0.11818600465520124</v>
      </c>
      <c r="EM12" s="2288">
        <f t="shared" si="20"/>
        <v>0.11080459481852212</v>
      </c>
      <c r="EN12" s="2288">
        <f t="shared" si="20"/>
        <v>0.13042296104286621</v>
      </c>
      <c r="EO12" s="2526">
        <v>0.13500000000000001</v>
      </c>
      <c r="EP12" s="2290">
        <f>EP11/EK8-1</f>
        <v>0.12397461542874999</v>
      </c>
      <c r="EQ12" s="2526">
        <v>0.125</v>
      </c>
      <c r="ER12" s="2526">
        <v>0.125</v>
      </c>
      <c r="ES12" s="2526">
        <v>0.12</v>
      </c>
      <c r="ET12" s="2526">
        <v>0.115</v>
      </c>
      <c r="EU12" s="2290">
        <f>EU11/EP8-1</f>
        <v>0.12103252803523179</v>
      </c>
      <c r="EV12" s="2527">
        <v>0.1</v>
      </c>
      <c r="EW12" s="2527">
        <v>0.09</v>
      </c>
      <c r="EX12" s="2527">
        <v>0.08</v>
      </c>
      <c r="EY12" s="2527">
        <v>7.4999999999999997E-2</v>
      </c>
      <c r="EZ12" s="2612"/>
      <c r="FA12" s="725"/>
      <c r="FB12" s="725"/>
    </row>
    <row r="13" spans="1:160" s="194" customFormat="1" ht="11.25" hidden="1" customHeight="1" outlineLevel="1">
      <c r="A13" s="5632" t="s">
        <v>46</v>
      </c>
      <c r="B13" s="2612"/>
      <c r="C13" s="2612"/>
      <c r="D13" s="2612"/>
      <c r="E13" s="2612"/>
      <c r="F13" s="5597"/>
      <c r="G13" s="2612"/>
      <c r="H13" s="2612"/>
      <c r="I13" s="2612"/>
      <c r="J13" s="2612"/>
      <c r="K13" s="1381"/>
      <c r="L13" s="2612"/>
      <c r="M13" s="2612"/>
      <c r="N13" s="2612"/>
      <c r="O13" s="2612"/>
      <c r="P13" s="1021"/>
      <c r="Q13" s="1226"/>
      <c r="R13" s="2612"/>
      <c r="S13" s="2612"/>
      <c r="T13" s="2612"/>
      <c r="U13" s="1021"/>
      <c r="V13" s="1226"/>
      <c r="W13" s="2612"/>
      <c r="X13" s="2612"/>
      <c r="Y13" s="2612"/>
      <c r="Z13" s="1021"/>
      <c r="AA13" s="1226"/>
      <c r="AB13" s="2612"/>
      <c r="AC13" s="2612"/>
      <c r="AD13" s="2612"/>
      <c r="AE13" s="1021"/>
      <c r="AF13" s="1226"/>
      <c r="AG13" s="2612"/>
      <c r="AH13" s="2612"/>
      <c r="AI13" s="2612"/>
      <c r="AJ13" s="1021"/>
      <c r="AK13" s="1226"/>
      <c r="AL13" s="2612"/>
      <c r="AM13" s="2612"/>
      <c r="AN13" s="184"/>
      <c r="AO13" s="1021"/>
      <c r="AP13" s="1226"/>
      <c r="AQ13" s="2612"/>
      <c r="AR13" s="2612"/>
      <c r="AS13" s="184"/>
      <c r="AT13" s="1021"/>
      <c r="AU13" s="1226"/>
      <c r="AV13" s="2612"/>
      <c r="AW13" s="2612"/>
      <c r="AX13" s="184"/>
      <c r="AY13" s="1021"/>
      <c r="AZ13" s="1226"/>
      <c r="BA13" s="2612"/>
      <c r="BB13" s="2612"/>
      <c r="BC13" s="184"/>
      <c r="BD13" s="1021"/>
      <c r="BE13" s="1226"/>
      <c r="BF13" s="2612"/>
      <c r="BG13" s="2612"/>
      <c r="BH13" s="184"/>
      <c r="BI13" s="1021"/>
      <c r="BJ13" s="1226"/>
      <c r="BK13" s="2612"/>
      <c r="BL13" s="2612"/>
      <c r="BM13" s="2612"/>
      <c r="BN13" s="1021"/>
      <c r="BO13" s="193"/>
      <c r="BP13" s="193"/>
      <c r="BQ13" s="193"/>
      <c r="BR13" s="193"/>
      <c r="BS13" s="2430"/>
      <c r="BT13" s="2612"/>
      <c r="BU13" s="2612"/>
      <c r="BV13" s="2612"/>
      <c r="BW13" s="2612"/>
      <c r="BX13" s="1021"/>
      <c r="BY13" s="193"/>
      <c r="BZ13" s="193"/>
      <c r="CA13" s="193"/>
      <c r="CB13" s="193"/>
      <c r="CC13" s="2430"/>
      <c r="CD13" s="576"/>
      <c r="CE13" s="2612"/>
      <c r="CF13" s="2612"/>
      <c r="CG13" s="2612"/>
      <c r="CH13" s="1021"/>
      <c r="CI13" s="1226"/>
      <c r="CJ13" s="2612"/>
      <c r="CK13" s="2612"/>
      <c r="CL13" s="2612"/>
      <c r="CM13" s="1021"/>
      <c r="CN13" s="2612"/>
      <c r="CO13" s="2612"/>
      <c r="CP13" s="2612"/>
      <c r="CQ13" s="2612"/>
      <c r="CR13" s="1021"/>
      <c r="CS13" s="2612"/>
      <c r="CT13" s="2612"/>
      <c r="CU13" s="2612"/>
      <c r="CV13" s="2612"/>
      <c r="CW13" s="1021"/>
      <c r="CX13" s="2612"/>
      <c r="CY13" s="2612"/>
      <c r="CZ13" s="2612"/>
      <c r="DA13" s="2612"/>
      <c r="DB13" s="1021"/>
      <c r="DC13" s="2612"/>
      <c r="DD13" s="2612"/>
      <c r="DE13" s="2612"/>
      <c r="DF13" s="2612"/>
      <c r="DG13" s="1021"/>
      <c r="DH13" s="2612">
        <f>+DH8/DF8-1</f>
        <v>-3.3147512864494022E-2</v>
      </c>
      <c r="DI13" s="2612">
        <f>+DI8/DH8-1</f>
        <v>4.8565219319643305E-2</v>
      </c>
      <c r="DJ13" s="2612">
        <f>+DJ8/DI8-1</f>
        <v>4.6485068945097741E-2</v>
      </c>
      <c r="DK13" s="2612">
        <f>+DK8/DJ8-1</f>
        <v>9.8783395982377398E-2</v>
      </c>
      <c r="DL13" s="1021"/>
      <c r="DM13" s="2612">
        <f>+DM8/DK8-1</f>
        <v>-9.8694132793820111E-2</v>
      </c>
      <c r="DN13" s="2612">
        <f>+DN8/DM8-1</f>
        <v>-0.12990776263162196</v>
      </c>
      <c r="DO13" s="2612">
        <f>+DO8/DN8-1</f>
        <v>0.23542380036587085</v>
      </c>
      <c r="DP13" s="2612">
        <f>+DP8/DO8-1</f>
        <v>0.21129166983066283</v>
      </c>
      <c r="DQ13" s="1021"/>
      <c r="DR13" s="2612">
        <f>+DR8/DP8-1</f>
        <v>-7.5228034981034142E-4</v>
      </c>
      <c r="DS13" s="2612">
        <f>+DS8/DR8-1</f>
        <v>0.12440791743781165</v>
      </c>
      <c r="DT13" s="2612">
        <f>+DT8/DS8-1</f>
        <v>5.8055516808480867E-2</v>
      </c>
      <c r="DU13" s="2612">
        <f>+DU8/DT8-1</f>
        <v>0.14172335600907027</v>
      </c>
      <c r="DV13" s="1021"/>
      <c r="DW13" s="2612">
        <f>+DW8/DU8-1</f>
        <v>-8.5055772384009631E-2</v>
      </c>
      <c r="DX13" s="2612">
        <f>+DX8/DW8-1</f>
        <v>2.7033166742389758E-2</v>
      </c>
      <c r="DY13" s="2612">
        <f>+DY8/DX8-1</f>
        <v>-2.8263166949298313E-2</v>
      </c>
      <c r="DZ13" s="2612">
        <f>+DZ8/DY8-1</f>
        <v>7.7518399554869832E-2</v>
      </c>
      <c r="EA13" s="1021"/>
      <c r="EB13" s="2612">
        <f>+EB8/DZ8-1</f>
        <v>-5.2694582668294077E-2</v>
      </c>
      <c r="EC13" s="2612">
        <f>+EC8/EB8-1</f>
        <v>5.6220421715106994E-2</v>
      </c>
      <c r="ED13" s="2612">
        <f>+ED8/EC8-1</f>
        <v>3.2795345782115071E-2</v>
      </c>
      <c r="EE13" s="2612">
        <f>+EE8/ED8-1</f>
        <v>9.0719120519692886E-2</v>
      </c>
      <c r="EF13" s="1021"/>
      <c r="EG13" s="2612">
        <f>+EG8/EE8-1</f>
        <v>-3.8817159516867927E-2</v>
      </c>
      <c r="EH13" s="2612">
        <f>+EH8/EG8-1</f>
        <v>5.0979287633243775E-2</v>
      </c>
      <c r="EI13" s="2612">
        <f>+EI8/EH8-1</f>
        <v>1.8058504607392445E-2</v>
      </c>
      <c r="EJ13" s="2612">
        <f>+EJ8/EI8-1</f>
        <v>9.4137896122304277E-2</v>
      </c>
      <c r="EK13" s="1021"/>
      <c r="EL13" s="2612">
        <f>+EL8/EJ8-1</f>
        <v>-6.1664877669615481E-2</v>
      </c>
      <c r="EM13" s="2612">
        <f>+EM8/EL8-1</f>
        <v>6.8794130409056908E-2</v>
      </c>
      <c r="EN13" s="2612">
        <f>+EN8/EM8-1</f>
        <v>4.3864181583318063E-2</v>
      </c>
      <c r="EO13" s="2612">
        <f>+EO8/EN8-1</f>
        <v>9.3717832164755377E-2</v>
      </c>
      <c r="EP13" s="1021"/>
      <c r="EQ13" s="2612">
        <f>+EQ8/EO8-1</f>
        <v>-4.9085652897446708E-2</v>
      </c>
      <c r="ER13" s="2612">
        <f>+ER8/EQ8-1</f>
        <v>4.2274876935468608E-2</v>
      </c>
      <c r="ES13" s="2612">
        <f>+ES8/ER8-1</f>
        <v>2.7139880511828807E-2</v>
      </c>
      <c r="ET13" s="2612">
        <f>+ET8/ES8-1</f>
        <v>9.3034043683673406E-2</v>
      </c>
      <c r="EU13" s="1021"/>
      <c r="EV13" s="1021"/>
      <c r="EW13" s="1021"/>
      <c r="EX13" s="1021"/>
      <c r="EY13" s="1021"/>
      <c r="EZ13" s="193"/>
      <c r="FA13" s="725"/>
      <c r="FB13" s="725"/>
      <c r="FD13" s="254"/>
    </row>
    <row r="14" spans="1:160" s="77" customFormat="1" ht="11.25" hidden="1" customHeight="1" outlineLevel="1">
      <c r="A14" s="5630" t="s">
        <v>428</v>
      </c>
      <c r="B14" s="127"/>
      <c r="C14" s="127"/>
      <c r="D14" s="127"/>
      <c r="E14" s="127"/>
      <c r="F14" s="5088"/>
      <c r="G14" s="127"/>
      <c r="H14" s="127"/>
      <c r="I14" s="127"/>
      <c r="J14" s="127"/>
      <c r="K14" s="1219"/>
      <c r="L14" s="127"/>
      <c r="M14" s="127"/>
      <c r="N14" s="127"/>
      <c r="O14" s="127"/>
      <c r="P14" s="1001"/>
      <c r="Q14" s="127"/>
      <c r="R14" s="127"/>
      <c r="S14" s="127"/>
      <c r="T14" s="127"/>
      <c r="U14" s="1001"/>
      <c r="V14" s="127"/>
      <c r="W14" s="127"/>
      <c r="X14" s="127"/>
      <c r="Y14" s="127"/>
      <c r="Z14" s="1001"/>
      <c r="AA14" s="127"/>
      <c r="AB14" s="127"/>
      <c r="AC14" s="127"/>
      <c r="AD14" s="127"/>
      <c r="AE14" s="1001"/>
      <c r="AF14" s="127"/>
      <c r="AG14" s="127"/>
      <c r="AH14" s="127"/>
      <c r="AI14" s="127"/>
      <c r="AJ14" s="1001"/>
      <c r="AK14" s="127"/>
      <c r="AL14" s="127"/>
      <c r="AM14" s="127"/>
      <c r="AN14" s="127"/>
      <c r="AO14" s="1001"/>
      <c r="AP14" s="127"/>
      <c r="AQ14" s="127"/>
      <c r="AR14" s="127"/>
      <c r="AS14" s="127"/>
      <c r="AT14" s="1001"/>
      <c r="AU14" s="127"/>
      <c r="AV14" s="127"/>
      <c r="AW14" s="127"/>
      <c r="AX14" s="127"/>
      <c r="AY14" s="1001"/>
      <c r="AZ14" s="127"/>
      <c r="BA14" s="127"/>
      <c r="BB14" s="127"/>
      <c r="BC14" s="127"/>
      <c r="BD14" s="1001"/>
      <c r="BE14" s="127"/>
      <c r="BF14" s="127"/>
      <c r="BG14" s="127"/>
      <c r="BH14" s="127"/>
      <c r="BI14" s="1001"/>
      <c r="BJ14" s="127"/>
      <c r="BK14" s="127"/>
      <c r="BL14" s="127"/>
      <c r="BM14" s="127"/>
      <c r="BN14" s="1001"/>
      <c r="BO14" s="42"/>
      <c r="BP14" s="42"/>
      <c r="BQ14" s="42"/>
      <c r="BR14" s="42"/>
      <c r="BS14" s="597"/>
      <c r="BT14" s="127"/>
      <c r="BU14" s="127"/>
      <c r="BV14" s="127"/>
      <c r="BW14" s="127"/>
      <c r="BX14" s="1001"/>
      <c r="BY14" s="42"/>
      <c r="BZ14" s="42"/>
      <c r="CA14" s="42"/>
      <c r="CB14" s="42"/>
      <c r="CC14" s="597"/>
      <c r="CD14" s="127"/>
      <c r="CE14" s="127"/>
      <c r="CF14" s="127"/>
      <c r="CG14" s="127"/>
      <c r="CH14" s="1001"/>
      <c r="CI14" s="127"/>
      <c r="CJ14" s="127"/>
      <c r="CK14" s="127"/>
      <c r="CL14" s="127"/>
      <c r="CM14" s="1001"/>
      <c r="CN14" s="127"/>
      <c r="CO14" s="127"/>
      <c r="CP14" s="127"/>
      <c r="CQ14" s="127"/>
      <c r="CR14" s="1001"/>
      <c r="CS14" s="127"/>
      <c r="CT14" s="127"/>
      <c r="CU14" s="127"/>
      <c r="CV14" s="127"/>
      <c r="CW14" s="1001"/>
      <c r="CX14" s="127"/>
      <c r="CY14" s="127"/>
      <c r="CZ14" s="127"/>
      <c r="DA14" s="127"/>
      <c r="DB14" s="1001"/>
      <c r="DC14" s="127"/>
      <c r="DD14" s="127"/>
      <c r="DE14" s="127"/>
      <c r="DF14" s="127"/>
      <c r="DG14" s="1001"/>
      <c r="DH14" s="127">
        <f>+DH8/DL8</f>
        <v>0.22980176323701779</v>
      </c>
      <c r="DI14" s="127">
        <f>+DI8/DL8</f>
        <v>0.24096213626866433</v>
      </c>
      <c r="DJ14" s="127">
        <f>+DJ8/DL8</f>
        <v>0.25216327778627123</v>
      </c>
      <c r="DK14" s="127">
        <f>+DK8/DL8</f>
        <v>0.27707282270804667</v>
      </c>
      <c r="DL14" s="1001"/>
      <c r="DM14" s="127">
        <f>+DM8/DQ8</f>
        <v>0.23545578597374642</v>
      </c>
      <c r="DN14" s="127">
        <f>+DN8/DQ8</f>
        <v>0.204868251619227</v>
      </c>
      <c r="DO14" s="127">
        <f>+DO8/DQ8</f>
        <v>0.25309911398973689</v>
      </c>
      <c r="DP14" s="127">
        <f>+DP8/DQ8</f>
        <v>0.30657684841728972</v>
      </c>
      <c r="DQ14" s="1001"/>
      <c r="DR14" s="127">
        <f>+DR8/DV8</f>
        <v>0.21402340366966319</v>
      </c>
      <c r="DS14" s="127">
        <f>+DS8/DV8</f>
        <v>0.24064960960315809</v>
      </c>
      <c r="DT14" s="127">
        <f>+DT8/DV8</f>
        <v>0.25462064705842863</v>
      </c>
      <c r="DU14" s="127">
        <f>+DU8/DV8</f>
        <v>0.29070633966875015</v>
      </c>
      <c r="DV14" s="1001"/>
      <c r="DW14" s="127">
        <f>+DW8/EA8</f>
        <v>0.2438781163434903</v>
      </c>
      <c r="DX14" s="127">
        <f>+DX8/EA8</f>
        <v>0.25047091412742384</v>
      </c>
      <c r="DY14" s="127">
        <f>+DY8/EA8</f>
        <v>0.24339181286549708</v>
      </c>
      <c r="DZ14" s="127">
        <f>+DZ8/EA8</f>
        <v>0.26225915666358879</v>
      </c>
      <c r="EA14" s="1001"/>
      <c r="EB14" s="127">
        <f>+EB8/EF8</f>
        <v>0.23057937646043888</v>
      </c>
      <c r="EC14" s="127">
        <f>+EC8/EF8</f>
        <v>0.24354264624385116</v>
      </c>
      <c r="ED14" s="127">
        <f>+ED8/EF8</f>
        <v>0.25152971154010956</v>
      </c>
      <c r="EE14" s="127">
        <f>+EE8/EF8</f>
        <v>0.2743482657556004</v>
      </c>
      <c r="EF14" s="1001"/>
      <c r="EG14" s="127">
        <f>+EG8/EK8</f>
        <v>0.23301225742614246</v>
      </c>
      <c r="EH14" s="127">
        <f>+EH8/EK8</f>
        <v>0.24489105631954119</v>
      </c>
      <c r="EI14" s="127">
        <f>+EI8/EK8</f>
        <v>0.24931342258839684</v>
      </c>
      <c r="EJ14" s="127">
        <f>+EJ8/EK8</f>
        <v>0.27278326366591948</v>
      </c>
      <c r="EK14" s="1001"/>
      <c r="EL14" s="127">
        <f>+EL8/EP8</f>
        <v>0.22702997657681812</v>
      </c>
      <c r="EM14" s="127">
        <f>+EM8/EP8</f>
        <v>0.24264830639220886</v>
      </c>
      <c r="EN14" s="127">
        <f>+EN8/EP8</f>
        <v>0.25329187576468126</v>
      </c>
      <c r="EO14" s="127">
        <f>+EO8/EP8</f>
        <v>0.27702984126629177</v>
      </c>
      <c r="EP14" s="1001"/>
      <c r="EQ14" s="127">
        <f>+EQ8/EU8</f>
        <v>0.23348132564494128</v>
      </c>
      <c r="ER14" s="127">
        <f>+ER8/EU8</f>
        <v>0.24335171995331126</v>
      </c>
      <c r="ES14" s="127">
        <f>+ES8/EU8</f>
        <v>0.24995625655519213</v>
      </c>
      <c r="ET14" s="127">
        <f>+ET8/EU8</f>
        <v>0.27321069784655538</v>
      </c>
      <c r="EU14" s="1001"/>
      <c r="EV14" s="597"/>
      <c r="EW14" s="597"/>
      <c r="EX14" s="597"/>
      <c r="EY14" s="597"/>
      <c r="EZ14" s="42"/>
      <c r="FA14" s="725"/>
      <c r="FB14" s="725"/>
      <c r="FD14" s="566"/>
    </row>
    <row r="15" spans="1:160" s="180" customFormat="1" ht="11.25" customHeight="1" collapsed="1">
      <c r="A15" s="5627" t="s">
        <v>969</v>
      </c>
      <c r="B15" s="2336"/>
      <c r="C15" s="2336"/>
      <c r="D15" s="2336"/>
      <c r="E15" s="2333"/>
      <c r="F15" s="5610"/>
      <c r="G15" s="2336"/>
      <c r="H15" s="2336"/>
      <c r="I15" s="2336"/>
      <c r="J15" s="2336"/>
      <c r="K15" s="2345"/>
      <c r="L15" s="2336"/>
      <c r="M15" s="2336"/>
      <c r="N15" s="2336"/>
      <c r="O15" s="2336"/>
      <c r="P15" s="4186"/>
      <c r="Q15" s="2426"/>
      <c r="R15" s="2333"/>
      <c r="S15" s="2333"/>
      <c r="T15" s="2333"/>
      <c r="U15" s="4186"/>
      <c r="V15" s="2426"/>
      <c r="W15" s="2333"/>
      <c r="X15" s="2333"/>
      <c r="Y15" s="2333"/>
      <c r="Z15" s="4186"/>
      <c r="AA15" s="2426"/>
      <c r="AB15" s="2336"/>
      <c r="AC15" s="2336"/>
      <c r="AD15" s="2336"/>
      <c r="AE15" s="2332"/>
      <c r="AF15" s="2425"/>
      <c r="AG15" s="2336"/>
      <c r="AH15" s="2336"/>
      <c r="AI15" s="2336"/>
      <c r="AJ15" s="2332"/>
      <c r="AK15" s="2425"/>
      <c r="AL15" s="2336"/>
      <c r="AM15" s="2336"/>
      <c r="AN15" s="2337"/>
      <c r="AO15" s="2332"/>
      <c r="AP15" s="2425"/>
      <c r="AQ15" s="2336"/>
      <c r="AR15" s="2336"/>
      <c r="AS15" s="2337"/>
      <c r="AT15" s="2332"/>
      <c r="AU15" s="2425"/>
      <c r="AV15" s="2336"/>
      <c r="AW15" s="2336"/>
      <c r="AX15" s="2337"/>
      <c r="AY15" s="2332"/>
      <c r="AZ15" s="2425"/>
      <c r="BA15" s="2336"/>
      <c r="BB15" s="2336"/>
      <c r="BC15" s="2338"/>
      <c r="BD15" s="2332"/>
      <c r="BE15" s="2427"/>
      <c r="BF15" s="2339"/>
      <c r="BG15" s="2339"/>
      <c r="BH15" s="2340"/>
      <c r="BI15" s="2332"/>
      <c r="BJ15" s="2427"/>
      <c r="BK15" s="2339"/>
      <c r="BL15" s="2339"/>
      <c r="BM15" s="2339"/>
      <c r="BN15" s="2332"/>
      <c r="BO15" s="2333"/>
      <c r="BP15" s="2333"/>
      <c r="BQ15" s="2333"/>
      <c r="BR15" s="2333"/>
      <c r="BS15" s="2428"/>
      <c r="BT15" s="2339"/>
      <c r="BU15" s="2339"/>
      <c r="BV15" s="2339"/>
      <c r="BW15" s="2339"/>
      <c r="BX15" s="2332"/>
      <c r="BY15" s="2333"/>
      <c r="BZ15" s="2333"/>
      <c r="CA15" s="2333"/>
      <c r="CB15" s="2333"/>
      <c r="CC15" s="2428"/>
      <c r="CD15" s="2429"/>
      <c r="CE15" s="2339"/>
      <c r="CF15" s="2339"/>
      <c r="CG15" s="2339"/>
      <c r="CH15" s="2332"/>
      <c r="CI15" s="2341"/>
      <c r="CJ15" s="2339"/>
      <c r="CK15" s="2339"/>
      <c r="CL15" s="2339"/>
      <c r="CM15" s="2332"/>
      <c r="CN15" s="2339"/>
      <c r="CO15" s="2339"/>
      <c r="CP15" s="2339"/>
      <c r="CQ15" s="2339"/>
      <c r="CR15" s="2332"/>
      <c r="CS15" s="2342"/>
      <c r="CT15" s="2339"/>
      <c r="CU15" s="2339"/>
      <c r="CV15" s="2339"/>
      <c r="CW15" s="2332"/>
      <c r="CX15" s="2339"/>
      <c r="CY15" s="2339"/>
      <c r="CZ15" s="2339"/>
      <c r="DA15" s="2339"/>
      <c r="DB15" s="4186">
        <v>8150</v>
      </c>
      <c r="DC15" s="2339"/>
      <c r="DD15" s="2339"/>
      <c r="DE15" s="2339"/>
      <c r="DF15" s="2339">
        <v>3605</v>
      </c>
      <c r="DG15" s="4186">
        <v>11155</v>
      </c>
      <c r="DH15" s="2339">
        <v>3025</v>
      </c>
      <c r="DI15" s="2339">
        <v>3603</v>
      </c>
      <c r="DJ15" s="2339">
        <v>3804</v>
      </c>
      <c r="DK15" s="2339">
        <v>4717</v>
      </c>
      <c r="DL15" s="5258">
        <f>SUM(DH15:DK15)</f>
        <v>15149</v>
      </c>
      <c r="DM15" s="5259">
        <v>4038</v>
      </c>
      <c r="DN15" s="5259">
        <v>3812</v>
      </c>
      <c r="DO15" s="5259">
        <v>5037</v>
      </c>
      <c r="DP15" s="5259">
        <v>6885</v>
      </c>
      <c r="DQ15" s="5258">
        <f>SUM(DM15:DP15)</f>
        <v>19772</v>
      </c>
      <c r="DR15" s="5259">
        <v>6005</v>
      </c>
      <c r="DS15" s="5259">
        <v>7002</v>
      </c>
      <c r="DT15" s="5259">
        <v>7205</v>
      </c>
      <c r="DU15" s="5259">
        <v>8633</v>
      </c>
      <c r="DV15" s="5258">
        <f>SUM(DR15:DU15)</f>
        <v>28845</v>
      </c>
      <c r="DW15" s="5259">
        <v>6869</v>
      </c>
      <c r="DX15" s="5259">
        <v>7340</v>
      </c>
      <c r="DY15" s="5259">
        <v>7071</v>
      </c>
      <c r="DZ15" s="5259">
        <v>7963</v>
      </c>
      <c r="EA15" s="2332">
        <f>SUM(DW15:DZ15)</f>
        <v>29243</v>
      </c>
      <c r="EB15" s="5259">
        <v>6693</v>
      </c>
      <c r="EC15" s="5259">
        <v>7665</v>
      </c>
      <c r="ED15" s="5259">
        <v>7952</v>
      </c>
      <c r="EE15" s="5259">
        <v>9200</v>
      </c>
      <c r="EF15" s="2332">
        <f>SUM(EB15:EE15)</f>
        <v>31510</v>
      </c>
      <c r="EG15" s="5259">
        <v>8090</v>
      </c>
      <c r="EH15" s="5259">
        <v>8663</v>
      </c>
      <c r="EI15" s="5259">
        <v>8921</v>
      </c>
      <c r="EJ15" s="5259">
        <v>10473</v>
      </c>
      <c r="EK15" s="2332">
        <f>SUM(EG15:EJ15)</f>
        <v>36147</v>
      </c>
      <c r="EL15" s="5259">
        <v>8927</v>
      </c>
      <c r="EM15" s="5259">
        <v>9796</v>
      </c>
      <c r="EN15" s="5259">
        <v>10261</v>
      </c>
      <c r="EO15" s="2333">
        <f t="shared" ref="EO15" si="21">EO18+EO17</f>
        <v>11938.644129142736</v>
      </c>
      <c r="EP15" s="2332">
        <f>SUM(EL15:EO15)</f>
        <v>40922.644129142733</v>
      </c>
      <c r="EQ15" s="2333">
        <f t="shared" ref="EQ15:ET15" si="22">EQ18+EQ17</f>
        <v>10404.379976294351</v>
      </c>
      <c r="ER15" s="2333">
        <f t="shared" si="22"/>
        <v>11232.438868697925</v>
      </c>
      <c r="ES15" s="2333">
        <f t="shared" si="22"/>
        <v>11628.804534312774</v>
      </c>
      <c r="ET15" s="2333">
        <f t="shared" si="22"/>
        <v>13582.25690694995</v>
      </c>
      <c r="EU15" s="2332">
        <f>SUM(EQ15:ET15)</f>
        <v>46847.880286255</v>
      </c>
      <c r="EV15" s="2428">
        <f>EV18+EV17</f>
        <v>52001.147117743058</v>
      </c>
      <c r="EW15" s="2428">
        <f>EW18+EW17</f>
        <v>57201.261829517367</v>
      </c>
      <c r="EX15" s="2428">
        <f>EX18+EX17</f>
        <v>62349.375394173934</v>
      </c>
      <c r="EY15" s="2428">
        <f>EY18+EY17</f>
        <v>67649.072302678716</v>
      </c>
      <c r="EZ15" s="175"/>
      <c r="FA15" s="1319">
        <f>(EV15/EK15)^(1/3)-1</f>
        <v>0.12887768519004017</v>
      </c>
      <c r="FB15" s="1319">
        <f>(EX15/EK15)^(1/5)-1</f>
        <v>0.11519796846659469</v>
      </c>
      <c r="FD15" s="566"/>
    </row>
    <row r="16" spans="1:160" s="1099" customFormat="1" ht="11.25" customHeight="1">
      <c r="A16" s="5628" t="s">
        <v>45</v>
      </c>
      <c r="B16" s="1098"/>
      <c r="C16" s="1098"/>
      <c r="D16" s="1098"/>
      <c r="E16" s="2289"/>
      <c r="F16" s="4245"/>
      <c r="G16" s="1098"/>
      <c r="H16" s="1098"/>
      <c r="I16" s="1098"/>
      <c r="J16" s="1098"/>
      <c r="K16" s="2876"/>
      <c r="L16" s="1098"/>
      <c r="M16" s="1098"/>
      <c r="N16" s="1098"/>
      <c r="O16" s="1098"/>
      <c r="P16" s="2290"/>
      <c r="Q16" s="2497"/>
      <c r="R16" s="2288"/>
      <c r="S16" s="2288"/>
      <c r="T16" s="2288"/>
      <c r="U16" s="2290"/>
      <c r="V16" s="2497"/>
      <c r="W16" s="2288"/>
      <c r="X16" s="2288"/>
      <c r="Y16" s="2288"/>
      <c r="Z16" s="2290"/>
      <c r="AA16" s="2497"/>
      <c r="AB16" s="2288"/>
      <c r="AC16" s="2288"/>
      <c r="AD16" s="2288"/>
      <c r="AE16" s="2290"/>
      <c r="AF16" s="2497"/>
      <c r="AG16" s="2288"/>
      <c r="AH16" s="2288"/>
      <c r="AI16" s="2288"/>
      <c r="AJ16" s="2290"/>
      <c r="AK16" s="2497"/>
      <c r="AL16" s="2288"/>
      <c r="AM16" s="2288"/>
      <c r="AN16" s="2288"/>
      <c r="AO16" s="2290"/>
      <c r="AP16" s="2497"/>
      <c r="AQ16" s="2288"/>
      <c r="AR16" s="2288"/>
      <c r="AS16" s="2288"/>
      <c r="AT16" s="2290"/>
      <c r="AU16" s="2497"/>
      <c r="AV16" s="2288"/>
      <c r="AW16" s="2288"/>
      <c r="AX16" s="2288"/>
      <c r="AY16" s="2290"/>
      <c r="AZ16" s="2497"/>
      <c r="BA16" s="2288"/>
      <c r="BB16" s="2288"/>
      <c r="BC16" s="2288"/>
      <c r="BD16" s="2290"/>
      <c r="BE16" s="2497"/>
      <c r="BF16" s="2288"/>
      <c r="BG16" s="2288"/>
      <c r="BH16" s="2288"/>
      <c r="BI16" s="2290"/>
      <c r="BJ16" s="2497"/>
      <c r="BK16" s="2288"/>
      <c r="BL16" s="2288"/>
      <c r="BM16" s="2288"/>
      <c r="BN16" s="2290"/>
      <c r="BO16" s="2288"/>
      <c r="BP16" s="2288"/>
      <c r="BQ16" s="2288"/>
      <c r="BR16" s="2288"/>
      <c r="BS16" s="2499"/>
      <c r="BT16" s="2288"/>
      <c r="BU16" s="2288"/>
      <c r="BV16" s="2288"/>
      <c r="BW16" s="2288"/>
      <c r="BX16" s="2290"/>
      <c r="BY16" s="2288"/>
      <c r="BZ16" s="2288"/>
      <c r="CA16" s="2288"/>
      <c r="CB16" s="2288"/>
      <c r="CC16" s="2499"/>
      <c r="CD16" s="2833"/>
      <c r="CE16" s="2288"/>
      <c r="CF16" s="2288"/>
      <c r="CG16" s="2288"/>
      <c r="CH16" s="2290"/>
      <c r="CI16" s="2288"/>
      <c r="CJ16" s="2288"/>
      <c r="CK16" s="2288"/>
      <c r="CL16" s="2288"/>
      <c r="CM16" s="2290"/>
      <c r="CN16" s="2288"/>
      <c r="CO16" s="2288"/>
      <c r="CP16" s="2288"/>
      <c r="CQ16" s="2288"/>
      <c r="CR16" s="2290"/>
      <c r="CS16" s="2288"/>
      <c r="CT16" s="2288"/>
      <c r="CU16" s="2288"/>
      <c r="CV16" s="2288"/>
      <c r="CW16" s="2290"/>
      <c r="CX16" s="2288"/>
      <c r="CY16" s="2288"/>
      <c r="CZ16" s="2288"/>
      <c r="DA16" s="2288"/>
      <c r="DB16" s="2290" t="str">
        <f t="shared" ref="DB16:EN16" si="23">IFERROR(DB15/CW15-1,"NA")</f>
        <v>NA</v>
      </c>
      <c r="DC16" s="2288" t="str">
        <f t="shared" si="23"/>
        <v>NA</v>
      </c>
      <c r="DD16" s="2288" t="str">
        <f t="shared" si="23"/>
        <v>NA</v>
      </c>
      <c r="DE16" s="2288" t="str">
        <f t="shared" si="23"/>
        <v>NA</v>
      </c>
      <c r="DF16" s="2288" t="str">
        <f t="shared" si="23"/>
        <v>NA</v>
      </c>
      <c r="DG16" s="2290">
        <f t="shared" si="23"/>
        <v>0.36871165644171788</v>
      </c>
      <c r="DH16" s="2526" t="s">
        <v>116</v>
      </c>
      <c r="DI16" s="2526" t="s">
        <v>116</v>
      </c>
      <c r="DJ16" s="2526" t="s">
        <v>116</v>
      </c>
      <c r="DK16" s="2288">
        <f t="shared" si="23"/>
        <v>0.30846047156726764</v>
      </c>
      <c r="DL16" s="2290">
        <f t="shared" si="23"/>
        <v>0.35804571940833707</v>
      </c>
      <c r="DM16" s="2288">
        <f t="shared" si="23"/>
        <v>0.3348760330578513</v>
      </c>
      <c r="DN16" s="2288">
        <f t="shared" si="23"/>
        <v>5.8007216208714851E-2</v>
      </c>
      <c r="DO16" s="2288">
        <f t="shared" si="23"/>
        <v>0.32413249211356465</v>
      </c>
      <c r="DP16" s="2288">
        <f t="shared" si="23"/>
        <v>0.45961416154335377</v>
      </c>
      <c r="DQ16" s="2290">
        <f>IFERROR(DQ15/DL15-1,"NA")</f>
        <v>0.30516865799722748</v>
      </c>
      <c r="DR16" s="2288">
        <f t="shared" si="23"/>
        <v>0.48712233779098568</v>
      </c>
      <c r="DS16" s="2288">
        <f t="shared" si="23"/>
        <v>0.83683105981112282</v>
      </c>
      <c r="DT16" s="2288">
        <f t="shared" si="23"/>
        <v>0.4304149295215407</v>
      </c>
      <c r="DU16" s="2288">
        <f t="shared" si="23"/>
        <v>0.25388525780682647</v>
      </c>
      <c r="DV16" s="2290">
        <f>IFERROR(DV15/DQ15-1,"NA")</f>
        <v>0.45888124620675708</v>
      </c>
      <c r="DW16" s="2288">
        <f t="shared" si="23"/>
        <v>0.143880099916736</v>
      </c>
      <c r="DX16" s="2288">
        <f t="shared" si="23"/>
        <v>4.8271922307911996E-2</v>
      </c>
      <c r="DY16" s="2288">
        <f t="shared" si="23"/>
        <v>-1.8598195697432374E-2</v>
      </c>
      <c r="DZ16" s="2288">
        <f t="shared" si="23"/>
        <v>-7.7609174099386058E-2</v>
      </c>
      <c r="EA16" s="2290">
        <f t="shared" ref="EA16:EF16" si="24">IFERROR(EA15/DV15-1,"NA")</f>
        <v>1.3797885248743258E-2</v>
      </c>
      <c r="EB16" s="2288">
        <f t="shared" si="23"/>
        <v>-2.5622361333527466E-2</v>
      </c>
      <c r="EC16" s="2288">
        <f t="shared" si="23"/>
        <v>4.4277929155313256E-2</v>
      </c>
      <c r="ED16" s="2288">
        <f t="shared" si="23"/>
        <v>0.12459340970159816</v>
      </c>
      <c r="EE16" s="2288">
        <f t="shared" si="23"/>
        <v>0.15534346351877426</v>
      </c>
      <c r="EF16" s="2290">
        <f t="shared" si="24"/>
        <v>7.7522825975447018E-2</v>
      </c>
      <c r="EG16" s="2288">
        <f t="shared" si="23"/>
        <v>0.20872553414014638</v>
      </c>
      <c r="EH16" s="2288">
        <f t="shared" si="23"/>
        <v>0.13020221787345077</v>
      </c>
      <c r="EI16" s="2288">
        <f t="shared" si="23"/>
        <v>0.12185613682092544</v>
      </c>
      <c r="EJ16" s="2288">
        <f t="shared" si="23"/>
        <v>0.1383695652173913</v>
      </c>
      <c r="EK16" s="2290">
        <f>IFERROR(EK15/EF15-1,"NA")</f>
        <v>0.14715963186290071</v>
      </c>
      <c r="EL16" s="2288">
        <f t="shared" si="23"/>
        <v>0.10346106304079106</v>
      </c>
      <c r="EM16" s="2288">
        <f t="shared" si="23"/>
        <v>0.1307861018123051</v>
      </c>
      <c r="EN16" s="2288">
        <f t="shared" si="23"/>
        <v>0.15020737585472488</v>
      </c>
      <c r="EO16" s="2288">
        <f t="shared" ref="EO16" si="25">IFERROR(EO15/EJ15-1,"NA")</f>
        <v>0.13994501376327095</v>
      </c>
      <c r="EP16" s="2290">
        <f>IFERROR(EP15/EK15-1,"NA")</f>
        <v>0.13211730238035613</v>
      </c>
      <c r="EQ16" s="2288">
        <f t="shared" ref="EQ16" si="26">IFERROR(EQ15/EL15-1,"NA")</f>
        <v>0.16549568458545427</v>
      </c>
      <c r="ER16" s="2288">
        <f t="shared" ref="ER16" si="27">IFERROR(ER15/EM15-1,"NA")</f>
        <v>0.14663524588586418</v>
      </c>
      <c r="ES16" s="2288">
        <f t="shared" ref="ES16" si="28">IFERROR(ES15/EN15-1,"NA")</f>
        <v>0.13330128976832412</v>
      </c>
      <c r="ET16" s="2288">
        <f t="shared" ref="ET16" si="29">IFERROR(ET15/EO15-1,"NA")</f>
        <v>0.13767164512384489</v>
      </c>
      <c r="EU16" s="2290">
        <f>IFERROR(EU15/EP15-1,"NA")</f>
        <v>0.14479113662385901</v>
      </c>
      <c r="EV16" s="2499">
        <f>EV15/EU15-1</f>
        <v>0.1100000000000001</v>
      </c>
      <c r="EW16" s="2499">
        <f>EW15/EV15-1</f>
        <v>0.10000000000000009</v>
      </c>
      <c r="EX16" s="2499">
        <f>EX15/EW15-1</f>
        <v>9.000000000000008E-2</v>
      </c>
      <c r="EY16" s="2499">
        <f>EY15/EX15-1</f>
        <v>8.4999999999999964E-2</v>
      </c>
      <c r="EZ16" s="1098"/>
      <c r="FA16" s="4272"/>
      <c r="FB16" s="4272"/>
      <c r="FD16" s="4786"/>
    </row>
    <row r="17" spans="1:160" s="138" customFormat="1" ht="11.25" hidden="1" customHeight="1" outlineLevel="1">
      <c r="A17" s="5629" t="s">
        <v>874</v>
      </c>
      <c r="B17" s="127"/>
      <c r="C17" s="127"/>
      <c r="D17" s="127"/>
      <c r="E17" s="139"/>
      <c r="F17" s="2958"/>
      <c r="G17" s="127"/>
      <c r="H17" s="127"/>
      <c r="I17" s="127"/>
      <c r="J17" s="127"/>
      <c r="K17" s="995"/>
      <c r="L17" s="127"/>
      <c r="M17" s="127"/>
      <c r="N17" s="127"/>
      <c r="O17" s="127"/>
      <c r="P17" s="3967"/>
      <c r="Q17" s="3968"/>
      <c r="R17" s="3593"/>
      <c r="S17" s="3593"/>
      <c r="T17" s="3593"/>
      <c r="U17" s="3967"/>
      <c r="V17" s="3968"/>
      <c r="W17" s="3593"/>
      <c r="X17" s="3593"/>
      <c r="Y17" s="3593"/>
      <c r="Z17" s="3967"/>
      <c r="AA17" s="3968"/>
      <c r="AB17" s="3593"/>
      <c r="AC17" s="3593"/>
      <c r="AD17" s="3593"/>
      <c r="AE17" s="3967"/>
      <c r="AF17" s="3968"/>
      <c r="AG17" s="3593"/>
      <c r="AH17" s="3593"/>
      <c r="AI17" s="3593"/>
      <c r="AJ17" s="3967"/>
      <c r="AK17" s="3968"/>
      <c r="AL17" s="3593"/>
      <c r="AM17" s="3593"/>
      <c r="AN17" s="3593"/>
      <c r="AO17" s="3967"/>
      <c r="AP17" s="3968"/>
      <c r="AQ17" s="3593"/>
      <c r="AR17" s="3593"/>
      <c r="AS17" s="3593"/>
      <c r="AT17" s="3967"/>
      <c r="AU17" s="3968"/>
      <c r="AV17" s="3593"/>
      <c r="AW17" s="3593"/>
      <c r="AX17" s="3593"/>
      <c r="AY17" s="3967"/>
      <c r="AZ17" s="3968"/>
      <c r="BA17" s="3593"/>
      <c r="BB17" s="3593"/>
      <c r="BC17" s="3593"/>
      <c r="BD17" s="3967"/>
      <c r="BE17" s="3968"/>
      <c r="BF17" s="3593"/>
      <c r="BG17" s="3593"/>
      <c r="BH17" s="3593"/>
      <c r="BI17" s="3967"/>
      <c r="BJ17" s="3968"/>
      <c r="BK17" s="3593"/>
      <c r="BL17" s="3593"/>
      <c r="BM17" s="3593"/>
      <c r="BN17" s="3967"/>
      <c r="BO17" s="3593"/>
      <c r="BP17" s="3593"/>
      <c r="BQ17" s="3593"/>
      <c r="BR17" s="3593"/>
      <c r="BS17" s="4526"/>
      <c r="BT17" s="3593"/>
      <c r="BU17" s="3593"/>
      <c r="BV17" s="3593"/>
      <c r="BW17" s="3593"/>
      <c r="BX17" s="4526"/>
      <c r="BY17" s="3593"/>
      <c r="BZ17" s="3593"/>
      <c r="CA17" s="3593"/>
      <c r="CB17" s="3593"/>
      <c r="CC17" s="4526"/>
      <c r="CD17" s="3969"/>
      <c r="CE17" s="3593"/>
      <c r="CF17" s="3593"/>
      <c r="CG17" s="3593"/>
      <c r="CH17" s="4526"/>
      <c r="CI17" s="3593"/>
      <c r="CJ17" s="3593"/>
      <c r="CK17" s="3593"/>
      <c r="CL17" s="3593"/>
      <c r="CM17" s="4526"/>
      <c r="CN17" s="3593"/>
      <c r="CO17" s="3593"/>
      <c r="CP17" s="3593"/>
      <c r="CQ17" s="3593"/>
      <c r="CR17" s="4526"/>
      <c r="CS17" s="3593"/>
      <c r="CT17" s="3593"/>
      <c r="CU17" s="3593"/>
      <c r="CV17" s="3593"/>
      <c r="CW17" s="4526"/>
      <c r="CX17" s="3593"/>
      <c r="CY17" s="3593"/>
      <c r="CZ17" s="3593"/>
      <c r="DA17" s="3593"/>
      <c r="DB17" s="4526"/>
      <c r="DC17" s="3593"/>
      <c r="DD17" s="3593"/>
      <c r="DE17" s="3593"/>
      <c r="DF17" s="3593"/>
      <c r="DG17" s="4526">
        <f>DG79/DG$83*DG$71</f>
        <v>82.899313536207899</v>
      </c>
      <c r="DH17" s="3593">
        <f>DH79/SUM(DH$83:DH$84)*DH$71</f>
        <v>-96.797985124333934</v>
      </c>
      <c r="DI17" s="3593">
        <f>DI79/SUM(DI$83:DI$84)*DI$71</f>
        <v>-113.37981589698505</v>
      </c>
      <c r="DJ17" s="3593">
        <f>DJ79/SUM(DJ$83:DJ$84)*DJ$71</f>
        <v>-50.972181479179618</v>
      </c>
      <c r="DK17" s="3593">
        <f>DK79/SUM(DK$83:DK$84)*DK$71</f>
        <v>-42.936108443202656</v>
      </c>
      <c r="DL17" s="4526">
        <f>DL24-DL10</f>
        <v>-314.11263277091007</v>
      </c>
      <c r="DM17" s="3593">
        <f>DM79/SUM(DM$83:DM$84)*DM$71</f>
        <v>-38.630774862721175</v>
      </c>
      <c r="DN17" s="3593">
        <f>DN79/SUM(DN$83:DN$84)*DN$71</f>
        <v>-70.826675088162546</v>
      </c>
      <c r="DO17" s="3593">
        <f>DO79/SUM(DO$83:DO$84)*DO$71</f>
        <v>-6.0202751157181043</v>
      </c>
      <c r="DP17" s="3593">
        <f>DP79/SUM(DP$83:DP$84)*DP$71</f>
        <v>35.090381630925506</v>
      </c>
      <c r="DQ17" s="4526">
        <f>DQ24-DQ10</f>
        <v>-92.570781791588729</v>
      </c>
      <c r="DR17" s="3593">
        <f>DR79/SUM(DR$83:DR$84)*DR$71</f>
        <v>119.7194205522861</v>
      </c>
      <c r="DS17" s="3593">
        <f>DS79/SUM(DS$83:DS$84)*DS$71</f>
        <v>214.16280087527355</v>
      </c>
      <c r="DT17" s="3593">
        <f>DT79/SUM(DT$83:DT$84)*DT$71</f>
        <v>68.302786940839169</v>
      </c>
      <c r="DU17" s="3593">
        <f>DU79/SUM(DU$83:DU$84)*DU$71</f>
        <v>-31.448859769685487</v>
      </c>
      <c r="DV17" s="4526">
        <f>DV24-DV10</f>
        <v>373.86500760559579</v>
      </c>
      <c r="DW17" s="3593">
        <f>DW79/SUM(DW$83:DW$84)*DW$71</f>
        <v>-203.233308070676</v>
      </c>
      <c r="DX17" s="3593">
        <f>DX79/SUM(DX$83:DX$84)*DX$71</f>
        <v>-284.81965363079996</v>
      </c>
      <c r="DY17" s="3593">
        <f>DY79/SUM(DY$83:DY$84)*DY$71</f>
        <v>-405.95176203384864</v>
      </c>
      <c r="DZ17" s="3593">
        <f>DZ79/SUM(DZ$83:DZ$84)*DZ$71</f>
        <v>-501.49533618085775</v>
      </c>
      <c r="EA17" s="4526">
        <f>EA24-EA10</f>
        <v>-1388.1632643757785</v>
      </c>
      <c r="EB17" s="3593">
        <f>EB79/SUM(EB$83:EB$84)*EB$71</f>
        <v>-209.61725851761148</v>
      </c>
      <c r="EC17" s="3593">
        <f>EC79/SUM(EC$83:EC$84)*EC$71</f>
        <v>-118.199176489585</v>
      </c>
      <c r="ED17" s="3593">
        <f>ED79/SUM(ED$83:ED$84)*ED$71</f>
        <v>44.445514876238605</v>
      </c>
      <c r="EE17" s="3593">
        <f>EE79/SUM(EE$83:EE$84)*EE$71</f>
        <v>101.14264996549829</v>
      </c>
      <c r="EF17" s="4526">
        <f>EF24-EF10</f>
        <v>-202.84034169429765</v>
      </c>
      <c r="EG17" s="3593">
        <f>EG79/SUM(EG$83:EG$84)*EG$71</f>
        <v>-39.452558395438402</v>
      </c>
      <c r="EH17" s="3593">
        <f>EH79/SUM(EH$83:EH$84)*EH$71</f>
        <v>-130.24053396618211</v>
      </c>
      <c r="EI17" s="3593">
        <f>EI79/SUM(EI$83:EI$84)*EI$71</f>
        <v>-103.2591306921002</v>
      </c>
      <c r="EJ17" s="3593">
        <f>EJ79/SUM(EJ$83:EJ$84)*EJ$71</f>
        <v>-28.895095211818965</v>
      </c>
      <c r="EK17" s="4526">
        <f>EK24-EK10</f>
        <v>-305.08383754969736</v>
      </c>
      <c r="EL17" s="3593">
        <f>EL79/SUM(EL$83:EL$84)*EL$71</f>
        <v>-160.04462490505341</v>
      </c>
      <c r="EM17" s="3593">
        <f>EM79/SUM(EM$83:EM$84)*EM$71</f>
        <v>55.312404463067971</v>
      </c>
      <c r="EN17" s="3593">
        <f>EN79/SUM(EN$83:EN$84)*EN$71</f>
        <v>134.42533436390286</v>
      </c>
      <c r="EO17" s="3593">
        <f t="shared" ref="EO17:ET17" si="30">EO$71*EO18/SUM(EO$11,EO$18,EO$32,EO$60,EO$46)</f>
        <v>104.15412914273742</v>
      </c>
      <c r="EP17" s="4526">
        <f>EP24-EP10</f>
        <v>125.69371363406253</v>
      </c>
      <c r="EQ17" s="3593">
        <f t="shared" si="30"/>
        <v>316.86997629435189</v>
      </c>
      <c r="ER17" s="3593">
        <f t="shared" si="30"/>
        <v>64.998868697924792</v>
      </c>
      <c r="ES17" s="3593">
        <f t="shared" si="30"/>
        <v>-68.735465687226906</v>
      </c>
      <c r="ET17" s="3593">
        <f t="shared" si="30"/>
        <v>-27.797400272771068</v>
      </c>
      <c r="EU17" s="4526">
        <f>EU24-EU10</f>
        <v>300.80939817819103</v>
      </c>
      <c r="EV17" s="4526">
        <f>EV$71*EV18/SUM(EV$11,EV$18,EV$32,EV$60,EV$46)</f>
        <v>0</v>
      </c>
      <c r="EW17" s="4526">
        <f>EW$71*EW18/SUM(EW$11,EW$18,EW$32,EW$60,EW$46)</f>
        <v>0</v>
      </c>
      <c r="EX17" s="4526">
        <f>EX$71*EX18/SUM(EX$11,EX$18,EX$32,EX$60,EX$46)</f>
        <v>0</v>
      </c>
      <c r="EY17" s="4526">
        <f>EY$71*EY18/SUM(EY$11,EY$18,EY$32,EY$60,EY$46)</f>
        <v>0</v>
      </c>
      <c r="EZ17" s="127"/>
      <c r="FA17" s="738"/>
      <c r="FB17" s="738"/>
    </row>
    <row r="18" spans="1:160" s="138" customFormat="1" ht="11.25" hidden="1" customHeight="1" outlineLevel="1">
      <c r="A18" s="5630" t="s">
        <v>882</v>
      </c>
      <c r="B18" s="124"/>
      <c r="C18" s="124"/>
      <c r="D18" s="124"/>
      <c r="E18" s="139"/>
      <c r="F18" s="3574"/>
      <c r="G18" s="124"/>
      <c r="H18" s="124"/>
      <c r="I18" s="124"/>
      <c r="J18" s="124"/>
      <c r="K18" s="997"/>
      <c r="L18" s="124"/>
      <c r="M18" s="124"/>
      <c r="N18" s="124"/>
      <c r="O18" s="124"/>
      <c r="P18" s="3967"/>
      <c r="Q18" s="3968"/>
      <c r="R18" s="3593"/>
      <c r="S18" s="3593"/>
      <c r="T18" s="3593"/>
      <c r="U18" s="3967"/>
      <c r="V18" s="3968"/>
      <c r="W18" s="3593"/>
      <c r="X18" s="3593"/>
      <c r="Y18" s="3593"/>
      <c r="Z18" s="3967"/>
      <c r="AA18" s="3968"/>
      <c r="AB18" s="3593"/>
      <c r="AC18" s="3593"/>
      <c r="AD18" s="3593"/>
      <c r="AE18" s="3967"/>
      <c r="AF18" s="3968"/>
      <c r="AG18" s="3593"/>
      <c r="AH18" s="3593"/>
      <c r="AI18" s="3593"/>
      <c r="AJ18" s="3967"/>
      <c r="AK18" s="3968"/>
      <c r="AL18" s="3593"/>
      <c r="AM18" s="3593"/>
      <c r="AN18" s="3593"/>
      <c r="AO18" s="3967"/>
      <c r="AP18" s="3968"/>
      <c r="AQ18" s="3593"/>
      <c r="AR18" s="3593"/>
      <c r="AS18" s="3593"/>
      <c r="AT18" s="3967"/>
      <c r="AU18" s="3968"/>
      <c r="AV18" s="3593"/>
      <c r="AW18" s="3593"/>
      <c r="AX18" s="3593"/>
      <c r="AY18" s="3967"/>
      <c r="AZ18" s="3968"/>
      <c r="BA18" s="3593"/>
      <c r="BB18" s="3593"/>
      <c r="BC18" s="3593"/>
      <c r="BD18" s="3967"/>
      <c r="BE18" s="3968"/>
      <c r="BF18" s="3593"/>
      <c r="BG18" s="3593"/>
      <c r="BH18" s="3593"/>
      <c r="BI18" s="3967"/>
      <c r="BJ18" s="3968"/>
      <c r="BK18" s="3593"/>
      <c r="BL18" s="3593"/>
      <c r="BM18" s="3593"/>
      <c r="BN18" s="3967"/>
      <c r="BO18" s="3593"/>
      <c r="BP18" s="3593"/>
      <c r="BQ18" s="3593"/>
      <c r="BR18" s="3593"/>
      <c r="BS18" s="4526"/>
      <c r="BT18" s="3593"/>
      <c r="BU18" s="3593"/>
      <c r="BV18" s="3593"/>
      <c r="BW18" s="3593"/>
      <c r="BX18" s="4526"/>
      <c r="BY18" s="3593"/>
      <c r="BZ18" s="3593"/>
      <c r="CA18" s="3593"/>
      <c r="CB18" s="3593"/>
      <c r="CC18" s="4526"/>
      <c r="CD18" s="3969"/>
      <c r="CE18" s="3593"/>
      <c r="CF18" s="3593"/>
      <c r="CG18" s="3593"/>
      <c r="CH18" s="4526"/>
      <c r="CI18" s="3593"/>
      <c r="CJ18" s="3593"/>
      <c r="CK18" s="3593"/>
      <c r="CL18" s="3593"/>
      <c r="CM18" s="4526"/>
      <c r="CN18" s="3593"/>
      <c r="CO18" s="3593"/>
      <c r="CP18" s="3593"/>
      <c r="CQ18" s="3593"/>
      <c r="CR18" s="4526"/>
      <c r="CS18" s="3593"/>
      <c r="CT18" s="3593"/>
      <c r="CU18" s="3593"/>
      <c r="CV18" s="3593"/>
      <c r="CW18" s="4526"/>
      <c r="CX18" s="3593"/>
      <c r="CY18" s="3593"/>
      <c r="CZ18" s="3593"/>
      <c r="DA18" s="3593"/>
      <c r="DB18" s="4526"/>
      <c r="DC18" s="3593"/>
      <c r="DD18" s="3593"/>
      <c r="DE18" s="3593"/>
      <c r="DF18" s="3593"/>
      <c r="DG18" s="1954">
        <f t="shared" ref="DG18:DM18" si="31">DG15-DG17</f>
        <v>11072.100686463793</v>
      </c>
      <c r="DH18" s="176">
        <f t="shared" si="31"/>
        <v>3121.797985124334</v>
      </c>
      <c r="DI18" s="176">
        <f t="shared" si="31"/>
        <v>3716.3798158969848</v>
      </c>
      <c r="DJ18" s="176">
        <f t="shared" si="31"/>
        <v>3854.9721814791797</v>
      </c>
      <c r="DK18" s="176">
        <f t="shared" si="31"/>
        <v>4759.936108443203</v>
      </c>
      <c r="DL18" s="1954">
        <f>DL15-DL17</f>
        <v>15463.11263277091</v>
      </c>
      <c r="DM18" s="176">
        <f t="shared" si="31"/>
        <v>4076.630774862721</v>
      </c>
      <c r="DN18" s="176">
        <f t="shared" ref="DN18:DS18" si="32">DN15-DN17</f>
        <v>3882.8266750881626</v>
      </c>
      <c r="DO18" s="176">
        <f t="shared" si="32"/>
        <v>5043.0202751157185</v>
      </c>
      <c r="DP18" s="176">
        <f t="shared" si="32"/>
        <v>6849.9096183690745</v>
      </c>
      <c r="DQ18" s="1954">
        <f t="shared" si="32"/>
        <v>19864.57078179159</v>
      </c>
      <c r="DR18" s="176">
        <f t="shared" si="32"/>
        <v>5885.2805794477135</v>
      </c>
      <c r="DS18" s="176">
        <f t="shared" si="32"/>
        <v>6787.8371991247268</v>
      </c>
      <c r="DT18" s="176">
        <f t="shared" ref="DT18:EA18" si="33">DT15-DT17</f>
        <v>7136.6972130591612</v>
      </c>
      <c r="DU18" s="176">
        <f t="shared" si="33"/>
        <v>8664.4488597696854</v>
      </c>
      <c r="DV18" s="1954">
        <f t="shared" si="33"/>
        <v>28471.134992394404</v>
      </c>
      <c r="DW18" s="176">
        <f t="shared" si="33"/>
        <v>7072.2333080706758</v>
      </c>
      <c r="DX18" s="176">
        <f t="shared" si="33"/>
        <v>7624.8196536307996</v>
      </c>
      <c r="DY18" s="176">
        <f t="shared" si="33"/>
        <v>7476.9517620338484</v>
      </c>
      <c r="DZ18" s="176">
        <f t="shared" si="33"/>
        <v>8464.4953361808584</v>
      </c>
      <c r="EA18" s="1954">
        <f t="shared" si="33"/>
        <v>30631.163264375777</v>
      </c>
      <c r="EB18" s="176">
        <f>EB15-EB17</f>
        <v>6902.6172585176118</v>
      </c>
      <c r="EC18" s="176">
        <f>EC15-EC17</f>
        <v>7783.1991764895847</v>
      </c>
      <c r="ED18" s="176">
        <f>ED15-ED17</f>
        <v>7907.554485123761</v>
      </c>
      <c r="EE18" s="176">
        <f t="shared" ref="EE18" si="34">EE15-EE17</f>
        <v>9098.857350034501</v>
      </c>
      <c r="EF18" s="1954">
        <f>EF15-EF17</f>
        <v>31712.840341694297</v>
      </c>
      <c r="EG18" s="176">
        <f>EG15-EG17</f>
        <v>8129.4525583954382</v>
      </c>
      <c r="EH18" s="176">
        <f>EH15-EH17</f>
        <v>8793.2405339661818</v>
      </c>
      <c r="EI18" s="176">
        <f>EI15-EI17</f>
        <v>9024.2591306921004</v>
      </c>
      <c r="EJ18" s="176">
        <f t="shared" ref="EJ18" si="35">EJ15-EJ17</f>
        <v>10501.895095211819</v>
      </c>
      <c r="EK18" s="1954">
        <f>EK15-EK17</f>
        <v>36452.083837549697</v>
      </c>
      <c r="EL18" s="176">
        <f>EL15-EL17</f>
        <v>9087.0446249050528</v>
      </c>
      <c r="EM18" s="176">
        <f>EM15-EM17</f>
        <v>9740.6875955369323</v>
      </c>
      <c r="EN18" s="176">
        <f>EN15-EN17</f>
        <v>10126.574665636097</v>
      </c>
      <c r="EO18" s="176">
        <f t="shared" ref="EO18" si="36">EJ15*(1+EO19)</f>
        <v>11834.49</v>
      </c>
      <c r="EP18" s="1954">
        <f>EP15-EP17</f>
        <v>40796.950415508669</v>
      </c>
      <c r="EQ18" s="176">
        <f t="shared" ref="EQ18" si="37">EL15*(1+EQ19)</f>
        <v>10087.509999999998</v>
      </c>
      <c r="ER18" s="176">
        <f t="shared" ref="ER18" si="38">EM15*(1+ER19)</f>
        <v>11167.44</v>
      </c>
      <c r="ES18" s="176">
        <f t="shared" ref="ES18" si="39">EN15*(1+ES19)</f>
        <v>11697.54</v>
      </c>
      <c r="ET18" s="176">
        <f t="shared" ref="ET18" si="40">EO15*(1+ET19)</f>
        <v>13610.054307222721</v>
      </c>
      <c r="EU18" s="1954">
        <f>EU15-EU17</f>
        <v>46547.070888076807</v>
      </c>
      <c r="EV18" s="1954">
        <f>EU15*(1+EV19)</f>
        <v>52001.147117743058</v>
      </c>
      <c r="EW18" s="1954">
        <f>EV15*(1+EW19)</f>
        <v>57201.261829517367</v>
      </c>
      <c r="EX18" s="1954">
        <f>EW15*(1+EX19)</f>
        <v>62349.375394173934</v>
      </c>
      <c r="EY18" s="1954">
        <f>EX15*(1+EY19)</f>
        <v>67649.072302678716</v>
      </c>
      <c r="EZ18" s="124"/>
      <c r="FA18" s="738"/>
      <c r="FB18" s="738"/>
    </row>
    <row r="19" spans="1:160" s="2613" customFormat="1" ht="11.25" customHeight="1" collapsed="1">
      <c r="A19" s="5631" t="s">
        <v>635</v>
      </c>
      <c r="B19" s="2288"/>
      <c r="C19" s="2288"/>
      <c r="D19" s="2288"/>
      <c r="E19" s="2289"/>
      <c r="F19" s="4244"/>
      <c r="G19" s="2288"/>
      <c r="H19" s="2288"/>
      <c r="I19" s="2288"/>
      <c r="J19" s="2288"/>
      <c r="K19" s="2290"/>
      <c r="L19" s="2288"/>
      <c r="M19" s="2288"/>
      <c r="N19" s="2288"/>
      <c r="O19" s="2288"/>
      <c r="P19" s="2290"/>
      <c r="Q19" s="2497"/>
      <c r="R19" s="2288"/>
      <c r="S19" s="2288"/>
      <c r="T19" s="2288"/>
      <c r="U19" s="2290"/>
      <c r="V19" s="2497"/>
      <c r="W19" s="2288"/>
      <c r="X19" s="2288"/>
      <c r="Y19" s="2288"/>
      <c r="Z19" s="2290"/>
      <c r="AA19" s="2497"/>
      <c r="AB19" s="2288"/>
      <c r="AC19" s="2288"/>
      <c r="AD19" s="2288"/>
      <c r="AE19" s="2290"/>
      <c r="AF19" s="2497"/>
      <c r="AG19" s="2288"/>
      <c r="AH19" s="2288"/>
      <c r="AI19" s="2288"/>
      <c r="AJ19" s="2290"/>
      <c r="AK19" s="2497"/>
      <c r="AL19" s="2288"/>
      <c r="AM19" s="2288"/>
      <c r="AN19" s="2288"/>
      <c r="AO19" s="2290"/>
      <c r="AP19" s="2497"/>
      <c r="AQ19" s="2288"/>
      <c r="AR19" s="2288"/>
      <c r="AS19" s="2288"/>
      <c r="AT19" s="2290"/>
      <c r="AU19" s="2497"/>
      <c r="AV19" s="2288"/>
      <c r="AW19" s="2288"/>
      <c r="AX19" s="2288"/>
      <c r="AY19" s="2290"/>
      <c r="AZ19" s="2497"/>
      <c r="BA19" s="2288"/>
      <c r="BB19" s="2288"/>
      <c r="BC19" s="2288"/>
      <c r="BD19" s="2290"/>
      <c r="BE19" s="2497"/>
      <c r="BF19" s="2288"/>
      <c r="BG19" s="2288"/>
      <c r="BH19" s="2288"/>
      <c r="BI19" s="2290"/>
      <c r="BJ19" s="2497"/>
      <c r="BK19" s="2288"/>
      <c r="BL19" s="2288"/>
      <c r="BM19" s="2288"/>
      <c r="BN19" s="2290"/>
      <c r="BO19" s="2288"/>
      <c r="BP19" s="2288"/>
      <c r="BQ19" s="2288"/>
      <c r="BR19" s="2288"/>
      <c r="BS19" s="2499"/>
      <c r="BT19" s="2288"/>
      <c r="BU19" s="2288"/>
      <c r="BV19" s="2288"/>
      <c r="BW19" s="2288"/>
      <c r="BX19" s="2290"/>
      <c r="BY19" s="2288"/>
      <c r="BZ19" s="2288"/>
      <c r="CA19" s="2288"/>
      <c r="CB19" s="2288"/>
      <c r="CC19" s="2499"/>
      <c r="CD19" s="2833"/>
      <c r="CE19" s="2288"/>
      <c r="CF19" s="2288"/>
      <c r="CG19" s="2288"/>
      <c r="CH19" s="2290"/>
      <c r="CI19" s="2497"/>
      <c r="CJ19" s="2288"/>
      <c r="CK19" s="2288"/>
      <c r="CL19" s="2288"/>
      <c r="CM19" s="2290"/>
      <c r="CN19" s="2497"/>
      <c r="CO19" s="2288"/>
      <c r="CP19" s="2288"/>
      <c r="CQ19" s="2288"/>
      <c r="CR19" s="2290"/>
      <c r="CS19" s="2497"/>
      <c r="CT19" s="2288"/>
      <c r="CU19" s="2288"/>
      <c r="CV19" s="2288"/>
      <c r="CW19" s="2290"/>
      <c r="CX19" s="2497"/>
      <c r="CY19" s="2288"/>
      <c r="CZ19" s="2288"/>
      <c r="DA19" s="2288"/>
      <c r="DB19" s="2290"/>
      <c r="DC19" s="2497"/>
      <c r="DD19" s="2288"/>
      <c r="DE19" s="2288"/>
      <c r="DF19" s="2288"/>
      <c r="DG19" s="2290">
        <f>(DG15-DG17)/DB15-1</f>
        <v>0.35853996152929968</v>
      </c>
      <c r="DH19" s="2526" t="s">
        <v>116</v>
      </c>
      <c r="DI19" s="2526" t="s">
        <v>116</v>
      </c>
      <c r="DJ19" s="2526" t="s">
        <v>116</v>
      </c>
      <c r="DK19" s="2288">
        <f t="shared" ref="DK19:EN19" si="41">DK18/DF15-1</f>
        <v>0.32037062647522974</v>
      </c>
      <c r="DL19" s="2290">
        <f t="shared" si="41"/>
        <v>0.38620462866615068</v>
      </c>
      <c r="DM19" s="2288">
        <f t="shared" si="41"/>
        <v>0.34764653714470106</v>
      </c>
      <c r="DN19" s="2288">
        <f t="shared" si="41"/>
        <v>7.7664911209592624E-2</v>
      </c>
      <c r="DO19" s="2288">
        <f t="shared" si="41"/>
        <v>0.32571510912610901</v>
      </c>
      <c r="DP19" s="2288">
        <f t="shared" si="41"/>
        <v>0.4521750303941221</v>
      </c>
      <c r="DQ19" s="2290">
        <f t="shared" si="41"/>
        <v>0.31127934396934376</v>
      </c>
      <c r="DR19" s="2288">
        <f t="shared" si="41"/>
        <v>0.4574741405269227</v>
      </c>
      <c r="DS19" s="2288">
        <f t="shared" si="41"/>
        <v>0.78064984237269863</v>
      </c>
      <c r="DT19" s="2288">
        <f t="shared" si="41"/>
        <v>0.41685471770084592</v>
      </c>
      <c r="DU19" s="2288">
        <f t="shared" si="41"/>
        <v>0.25845299343060057</v>
      </c>
      <c r="DV19" s="5082">
        <f>DV18/DQ15-1</f>
        <v>0.43997243538308739</v>
      </c>
      <c r="DW19" s="2288">
        <f t="shared" si="41"/>
        <v>0.17772411458296022</v>
      </c>
      <c r="DX19" s="2288">
        <f t="shared" si="41"/>
        <v>8.8948822283747342E-2</v>
      </c>
      <c r="DY19" s="2288">
        <f t="shared" si="41"/>
        <v>3.7744866347515282E-2</v>
      </c>
      <c r="DZ19" s="2288">
        <f t="shared" si="41"/>
        <v>-1.9518668344624346E-2</v>
      </c>
      <c r="EA19" s="2290">
        <f>EA18/DV15-1</f>
        <v>6.1922803410496607E-2</v>
      </c>
      <c r="EB19" s="2288">
        <f t="shared" si="41"/>
        <v>4.8940542317092994E-3</v>
      </c>
      <c r="EC19" s="2288">
        <f t="shared" si="41"/>
        <v>6.0381359194766393E-2</v>
      </c>
      <c r="ED19" s="2288">
        <f t="shared" si="41"/>
        <v>0.11830780442989131</v>
      </c>
      <c r="EE19" s="2288">
        <f t="shared" si="41"/>
        <v>0.1426418874839257</v>
      </c>
      <c r="EF19" s="2290">
        <f>EF18/EA15-1</f>
        <v>8.4459198498590959E-2</v>
      </c>
      <c r="EG19" s="2288">
        <f t="shared" si="41"/>
        <v>0.21462013422911075</v>
      </c>
      <c r="EH19" s="2288">
        <f t="shared" si="41"/>
        <v>0.14719380743198718</v>
      </c>
      <c r="EI19" s="2288">
        <f t="shared" si="41"/>
        <v>0.13484143997637088</v>
      </c>
      <c r="EJ19" s="2288">
        <f t="shared" si="41"/>
        <v>0.14151033643606725</v>
      </c>
      <c r="EK19" s="2290">
        <f>EK18/EF15-1</f>
        <v>0.15684175936368439</v>
      </c>
      <c r="EL19" s="2288">
        <f t="shared" si="41"/>
        <v>0.1232440821885108</v>
      </c>
      <c r="EM19" s="2288">
        <f t="shared" si="41"/>
        <v>0.12440119999271992</v>
      </c>
      <c r="EN19" s="2288">
        <f t="shared" si="41"/>
        <v>0.13513896038965334</v>
      </c>
      <c r="EO19" s="2526">
        <v>0.13</v>
      </c>
      <c r="EP19" s="2290">
        <f>EP18/EK15-1</f>
        <v>0.12864000928178454</v>
      </c>
      <c r="EQ19" s="2526">
        <v>0.13</v>
      </c>
      <c r="ER19" s="2526">
        <v>0.14000000000000001</v>
      </c>
      <c r="ES19" s="2526">
        <v>0.14000000000000001</v>
      </c>
      <c r="ET19" s="2526">
        <v>0.14000000000000001</v>
      </c>
      <c r="EU19" s="2290">
        <f>EU18/EP15-1</f>
        <v>0.13744045328998378</v>
      </c>
      <c r="EV19" s="2527">
        <v>0.11</v>
      </c>
      <c r="EW19" s="2527">
        <v>0.1</v>
      </c>
      <c r="EX19" s="2527">
        <v>0.09</v>
      </c>
      <c r="EY19" s="2527">
        <v>8.5000000000000006E-2</v>
      </c>
      <c r="EZ19" s="2612"/>
      <c r="FA19" s="725"/>
      <c r="FB19" s="725"/>
    </row>
    <row r="20" spans="1:160" s="194" customFormat="1" ht="11.25" hidden="1" customHeight="1" outlineLevel="1">
      <c r="A20" s="5632" t="s">
        <v>46</v>
      </c>
      <c r="B20" s="2612"/>
      <c r="C20" s="2612"/>
      <c r="D20" s="2612"/>
      <c r="E20" s="2612"/>
      <c r="F20" s="5597"/>
      <c r="G20" s="2612"/>
      <c r="H20" s="2612"/>
      <c r="I20" s="2612"/>
      <c r="J20" s="2612"/>
      <c r="K20" s="1381"/>
      <c r="L20" s="2612"/>
      <c r="M20" s="2612"/>
      <c r="N20" s="2612"/>
      <c r="O20" s="2612"/>
      <c r="P20" s="1021"/>
      <c r="Q20" s="1226"/>
      <c r="R20" s="2612"/>
      <c r="S20" s="2612"/>
      <c r="T20" s="2612"/>
      <c r="U20" s="1021"/>
      <c r="V20" s="1226"/>
      <c r="W20" s="2612"/>
      <c r="X20" s="2612"/>
      <c r="Y20" s="2612"/>
      <c r="Z20" s="1021"/>
      <c r="AA20" s="1226"/>
      <c r="AB20" s="2612"/>
      <c r="AC20" s="2612"/>
      <c r="AD20" s="2612"/>
      <c r="AE20" s="1021"/>
      <c r="AF20" s="1226"/>
      <c r="AG20" s="2612"/>
      <c r="AH20" s="2612"/>
      <c r="AI20" s="2612"/>
      <c r="AJ20" s="1021"/>
      <c r="AK20" s="1226"/>
      <c r="AL20" s="2612"/>
      <c r="AM20" s="2612"/>
      <c r="AN20" s="184"/>
      <c r="AO20" s="1021"/>
      <c r="AP20" s="1226"/>
      <c r="AQ20" s="2612"/>
      <c r="AR20" s="2612"/>
      <c r="AS20" s="184"/>
      <c r="AT20" s="1021"/>
      <c r="AU20" s="1226"/>
      <c r="AV20" s="2612"/>
      <c r="AW20" s="2612"/>
      <c r="AX20" s="184"/>
      <c r="AY20" s="1021"/>
      <c r="AZ20" s="1226"/>
      <c r="BA20" s="2612"/>
      <c r="BB20" s="2612"/>
      <c r="BC20" s="184"/>
      <c r="BD20" s="1021"/>
      <c r="BE20" s="1226"/>
      <c r="BF20" s="2612"/>
      <c r="BG20" s="2612"/>
      <c r="BH20" s="184"/>
      <c r="BI20" s="1021"/>
      <c r="BJ20" s="1226"/>
      <c r="BK20" s="2612"/>
      <c r="BL20" s="2612"/>
      <c r="BM20" s="2612"/>
      <c r="BN20" s="1021"/>
      <c r="BO20" s="193"/>
      <c r="BP20" s="193"/>
      <c r="BQ20" s="193"/>
      <c r="BR20" s="193"/>
      <c r="BS20" s="2430"/>
      <c r="BT20" s="2612"/>
      <c r="BU20" s="2612"/>
      <c r="BV20" s="2612"/>
      <c r="BW20" s="2612"/>
      <c r="BX20" s="1021"/>
      <c r="BY20" s="193"/>
      <c r="BZ20" s="193"/>
      <c r="CA20" s="193"/>
      <c r="CB20" s="193"/>
      <c r="CC20" s="2430"/>
      <c r="CD20" s="576"/>
      <c r="CE20" s="2612"/>
      <c r="CF20" s="2612"/>
      <c r="CG20" s="2612"/>
      <c r="CH20" s="1021"/>
      <c r="CI20" s="1226"/>
      <c r="CJ20" s="2612"/>
      <c r="CK20" s="2612"/>
      <c r="CL20" s="2612"/>
      <c r="CM20" s="1021"/>
      <c r="CN20" s="2612"/>
      <c r="CO20" s="2612"/>
      <c r="CP20" s="2612"/>
      <c r="CQ20" s="2612"/>
      <c r="CR20" s="1021"/>
      <c r="CS20" s="2612"/>
      <c r="CT20" s="2612"/>
      <c r="CU20" s="2612"/>
      <c r="CV20" s="2612"/>
      <c r="CW20" s="1021"/>
      <c r="CX20" s="2612"/>
      <c r="CY20" s="2612"/>
      <c r="CZ20" s="2612"/>
      <c r="DA20" s="2612"/>
      <c r="DB20" s="1021"/>
      <c r="DC20" s="2612"/>
      <c r="DD20" s="2612"/>
      <c r="DE20" s="2612"/>
      <c r="DF20" s="2612"/>
      <c r="DG20" s="1021"/>
      <c r="DH20" s="2612">
        <f>+DH15/DF15-1</f>
        <v>-0.16088765603328714</v>
      </c>
      <c r="DI20" s="2612">
        <f>+DI15/DH15-1</f>
        <v>0.19107438016528921</v>
      </c>
      <c r="DJ20" s="2612">
        <f>+DJ15/DI15-1</f>
        <v>5.5786844296419558E-2</v>
      </c>
      <c r="DK20" s="2612">
        <f>+DK15/DJ15-1</f>
        <v>0.24001051524710837</v>
      </c>
      <c r="DL20" s="1021"/>
      <c r="DM20" s="2612">
        <f>+DM15/DK15-1</f>
        <v>-0.14394742421030315</v>
      </c>
      <c r="DN20" s="2612">
        <f>+DN15/DM15-1</f>
        <v>-5.5968301139177834E-2</v>
      </c>
      <c r="DO20" s="2612">
        <f>+DO15/DN15-1</f>
        <v>0.3213536201469045</v>
      </c>
      <c r="DP20" s="2612">
        <f>+DP15/DO15-1</f>
        <v>0.36688505062537224</v>
      </c>
      <c r="DQ20" s="1021"/>
      <c r="DR20" s="2612">
        <f>+DR15/DP15-1</f>
        <v>-0.12781408859840238</v>
      </c>
      <c r="DS20" s="2612">
        <f>+DS15/DR15-1</f>
        <v>0.16602830974188176</v>
      </c>
      <c r="DT20" s="2612">
        <f>+DT15/DS15-1</f>
        <v>2.899171665238498E-2</v>
      </c>
      <c r="DU20" s="2612">
        <f>+DU15/DT15-1</f>
        <v>0.19819569743233867</v>
      </c>
      <c r="DV20" s="5165"/>
      <c r="DW20" s="2612">
        <f>+DW15/DU15-1</f>
        <v>-0.20433221359898068</v>
      </c>
      <c r="DX20" s="2612">
        <f>+DX15/DW15-1</f>
        <v>6.8568932886883038E-2</v>
      </c>
      <c r="DY20" s="2612">
        <f>+DY15/DX15-1</f>
        <v>-3.6648501362397834E-2</v>
      </c>
      <c r="DZ20" s="2612">
        <f>+DZ15/DY15-1</f>
        <v>0.12614905953896205</v>
      </c>
      <c r="EA20" s="1021"/>
      <c r="EB20" s="2612">
        <f>+EB15/DZ15-1</f>
        <v>-0.15948763029009172</v>
      </c>
      <c r="EC20" s="2612">
        <f>+EC15/EB15-1</f>
        <v>0.14522635589421773</v>
      </c>
      <c r="ED20" s="2612">
        <f>+ED15/EC15-1</f>
        <v>3.7442922374429255E-2</v>
      </c>
      <c r="EE20" s="2612">
        <f>+EE15/ED15-1</f>
        <v>0.1569416498993963</v>
      </c>
      <c r="EF20" s="1021"/>
      <c r="EG20" s="2612">
        <f>+EG15/EE15-1</f>
        <v>-0.1206521739130435</v>
      </c>
      <c r="EH20" s="2612">
        <f>+EH15/EG15-1</f>
        <v>7.0828182941903517E-2</v>
      </c>
      <c r="EI20" s="2612">
        <f>+EI15/EH15-1</f>
        <v>2.9781830774558538E-2</v>
      </c>
      <c r="EJ20" s="2612">
        <f>+EJ15/EI15-1</f>
        <v>0.17397152785562153</v>
      </c>
      <c r="EK20" s="1021"/>
      <c r="EL20" s="2612">
        <f>+EL15/EJ15-1</f>
        <v>-0.14761768356726823</v>
      </c>
      <c r="EM20" s="2612">
        <f>+EM15/EL15-1</f>
        <v>9.7345132743362761E-2</v>
      </c>
      <c r="EN20" s="2612">
        <f>+EN15/EM15-1</f>
        <v>4.7468354430379778E-2</v>
      </c>
      <c r="EO20" s="2612">
        <f>+EO15/EN15-1</f>
        <v>0.16349713762233087</v>
      </c>
      <c r="EP20" s="1021"/>
      <c r="EQ20" s="2612">
        <f>+EQ15/EO15-1</f>
        <v>-0.12851242873578761</v>
      </c>
      <c r="ER20" s="2612">
        <f>+ER15/EQ15-1</f>
        <v>7.9587528933992013E-2</v>
      </c>
      <c r="ES20" s="2612">
        <f>+ES15/ER15-1</f>
        <v>3.5287587161451084E-2</v>
      </c>
      <c r="ET20" s="2612">
        <f>+ET15/ES15-1</f>
        <v>0.16798393737491946</v>
      </c>
      <c r="EU20" s="1021"/>
      <c r="EV20" s="1021"/>
      <c r="EW20" s="1021"/>
      <c r="EX20" s="1021"/>
      <c r="EY20" s="1021"/>
      <c r="EZ20" s="193"/>
      <c r="FA20" s="725"/>
      <c r="FB20" s="725"/>
    </row>
    <row r="21" spans="1:160" s="77" customFormat="1" ht="11.25" hidden="1" customHeight="1" outlineLevel="1">
      <c r="A21" s="5630" t="s">
        <v>428</v>
      </c>
      <c r="B21" s="127"/>
      <c r="C21" s="127"/>
      <c r="D21" s="127"/>
      <c r="E21" s="127"/>
      <c r="F21" s="5088"/>
      <c r="G21" s="127"/>
      <c r="H21" s="127"/>
      <c r="I21" s="127"/>
      <c r="J21" s="127"/>
      <c r="K21" s="1219"/>
      <c r="L21" s="127"/>
      <c r="M21" s="127"/>
      <c r="N21" s="127"/>
      <c r="O21" s="127"/>
      <c r="P21" s="1001"/>
      <c r="Q21" s="127"/>
      <c r="R21" s="127"/>
      <c r="S21" s="127"/>
      <c r="T21" s="127"/>
      <c r="U21" s="1001"/>
      <c r="V21" s="127"/>
      <c r="W21" s="127"/>
      <c r="X21" s="127"/>
      <c r="Y21" s="127"/>
      <c r="Z21" s="1001"/>
      <c r="AA21" s="127"/>
      <c r="AB21" s="127"/>
      <c r="AC21" s="127"/>
      <c r="AD21" s="127"/>
      <c r="AE21" s="1001"/>
      <c r="AF21" s="127"/>
      <c r="AG21" s="127"/>
      <c r="AH21" s="127"/>
      <c r="AI21" s="127"/>
      <c r="AJ21" s="1001"/>
      <c r="AK21" s="127"/>
      <c r="AL21" s="127"/>
      <c r="AM21" s="127"/>
      <c r="AN21" s="127"/>
      <c r="AO21" s="1001"/>
      <c r="AP21" s="127"/>
      <c r="AQ21" s="127"/>
      <c r="AR21" s="127"/>
      <c r="AS21" s="127"/>
      <c r="AT21" s="1001"/>
      <c r="AU21" s="127"/>
      <c r="AV21" s="127"/>
      <c r="AW21" s="127"/>
      <c r="AX21" s="127"/>
      <c r="AY21" s="1001"/>
      <c r="AZ21" s="127"/>
      <c r="BA21" s="127"/>
      <c r="BB21" s="127"/>
      <c r="BC21" s="127"/>
      <c r="BD21" s="1001"/>
      <c r="BE21" s="127"/>
      <c r="BF21" s="127"/>
      <c r="BG21" s="127"/>
      <c r="BH21" s="127"/>
      <c r="BI21" s="1001"/>
      <c r="BJ21" s="127"/>
      <c r="BK21" s="127"/>
      <c r="BL21" s="127"/>
      <c r="BM21" s="127"/>
      <c r="BN21" s="1001"/>
      <c r="BO21" s="42"/>
      <c r="BP21" s="42"/>
      <c r="BQ21" s="42"/>
      <c r="BR21" s="42"/>
      <c r="BS21" s="597"/>
      <c r="BT21" s="127"/>
      <c r="BU21" s="127"/>
      <c r="BV21" s="127"/>
      <c r="BW21" s="127"/>
      <c r="BX21" s="1001"/>
      <c r="BY21" s="42"/>
      <c r="BZ21" s="42"/>
      <c r="CA21" s="42"/>
      <c r="CB21" s="42"/>
      <c r="CC21" s="597"/>
      <c r="CD21" s="127"/>
      <c r="CE21" s="127"/>
      <c r="CF21" s="127"/>
      <c r="CG21" s="127"/>
      <c r="CH21" s="1001"/>
      <c r="CI21" s="127"/>
      <c r="CJ21" s="127"/>
      <c r="CK21" s="127"/>
      <c r="CL21" s="127"/>
      <c r="CM21" s="1001"/>
      <c r="CN21" s="127"/>
      <c r="CO21" s="127"/>
      <c r="CP21" s="127"/>
      <c r="CQ21" s="127"/>
      <c r="CR21" s="1001"/>
      <c r="CS21" s="127"/>
      <c r="CT21" s="127"/>
      <c r="CU21" s="127"/>
      <c r="CV21" s="127"/>
      <c r="CW21" s="1001"/>
      <c r="CX21" s="127"/>
      <c r="CY21" s="127"/>
      <c r="CZ21" s="127"/>
      <c r="DA21" s="127"/>
      <c r="DB21" s="1001"/>
      <c r="DC21" s="127"/>
      <c r="DD21" s="127"/>
      <c r="DE21" s="127"/>
      <c r="DF21" s="127"/>
      <c r="DG21" s="1001"/>
      <c r="DH21" s="127">
        <f>+DH15/DL15</f>
        <v>0.19968314740246881</v>
      </c>
      <c r="DI21" s="127">
        <f>+DI15/DL15</f>
        <v>0.23783748102184962</v>
      </c>
      <c r="DJ21" s="127">
        <f>+DJ15/DL15</f>
        <v>0.25110568354346824</v>
      </c>
      <c r="DK21" s="127">
        <f>+DK15/DL15</f>
        <v>0.31137368803221332</v>
      </c>
      <c r="DL21" s="1001"/>
      <c r="DM21" s="127">
        <f>+DM15/DQ15</f>
        <v>0.20422820149706655</v>
      </c>
      <c r="DN21" s="127">
        <f>+DN15/DQ15</f>
        <v>0.19279789601456604</v>
      </c>
      <c r="DO21" s="127">
        <f>+DO15/DQ15</f>
        <v>0.25475419785555331</v>
      </c>
      <c r="DP21" s="127">
        <f>+DP15/DQ15</f>
        <v>0.3482197046328141</v>
      </c>
      <c r="DQ21" s="1001"/>
      <c r="DR21" s="127">
        <f>+DR15/DV15</f>
        <v>0.20818166059975732</v>
      </c>
      <c r="DS21" s="127">
        <f>+DS15/DV15</f>
        <v>0.24274570982839314</v>
      </c>
      <c r="DT21" s="127">
        <f>+DT15/DV15</f>
        <v>0.24978332466631997</v>
      </c>
      <c r="DU21" s="127">
        <f>+DU15/DV15</f>
        <v>0.29928930490552957</v>
      </c>
      <c r="DV21" s="1001"/>
      <c r="DW21" s="127">
        <f>+DW15/EA15</f>
        <v>0.23489382074342577</v>
      </c>
      <c r="DX21" s="127">
        <f>+DX15/EA15</f>
        <v>0.25100023937352528</v>
      </c>
      <c r="DY21" s="127">
        <f>+DY15/EA15</f>
        <v>0.24180145675888245</v>
      </c>
      <c r="DZ21" s="127">
        <f>+DZ15/EA15</f>
        <v>0.27230448312416644</v>
      </c>
      <c r="EA21" s="1001"/>
      <c r="EB21" s="127">
        <f>+EB15/EF15</f>
        <v>0.2124087591240876</v>
      </c>
      <c r="EC21" s="127">
        <f>+EC15/EF15</f>
        <v>0.24325610917169152</v>
      </c>
      <c r="ED21" s="127">
        <f>+ED15/EF15</f>
        <v>0.25236432878451287</v>
      </c>
      <c r="EE21" s="127">
        <f>+EE15/EF15</f>
        <v>0.29197080291970801</v>
      </c>
      <c r="EF21" s="1001"/>
      <c r="EG21" s="127">
        <f>+EG15/EK15</f>
        <v>0.22380833817467563</v>
      </c>
      <c r="EH21" s="127">
        <f>+EH15/EK15</f>
        <v>0.23966027609483498</v>
      </c>
      <c r="EI21" s="127">
        <f>+EI15/EK15</f>
        <v>0.2467977978808753</v>
      </c>
      <c r="EJ21" s="127">
        <f>+EJ15/EK15</f>
        <v>0.28973358784961406</v>
      </c>
      <c r="EK21" s="1001"/>
      <c r="EL21" s="127">
        <f>+EL15/EP15</f>
        <v>0.21814328448153009</v>
      </c>
      <c r="EM21" s="127">
        <f>+EM15/EP15</f>
        <v>0.2393784714664578</v>
      </c>
      <c r="EN21" s="127">
        <f>+EN15/EP15</f>
        <v>0.25074137359303017</v>
      </c>
      <c r="EO21" s="127">
        <f>+EO15/EP15</f>
        <v>0.29173687045898206</v>
      </c>
      <c r="EP21" s="1001"/>
      <c r="EQ21" s="127">
        <f>+EQ15/EU15</f>
        <v>0.22208859638302481</v>
      </c>
      <c r="ER21" s="127">
        <f>+ER15/EU15</f>
        <v>0.23976407897356847</v>
      </c>
      <c r="ES21" s="127">
        <f>+ES15/EU15</f>
        <v>0.24822477480853331</v>
      </c>
      <c r="ET21" s="127">
        <f>+ET15/EU15</f>
        <v>0.28992254983487342</v>
      </c>
      <c r="EU21" s="1001"/>
      <c r="EV21" s="597"/>
      <c r="EW21" s="597"/>
      <c r="EX21" s="597"/>
      <c r="EY21" s="597"/>
      <c r="EZ21" s="42"/>
      <c r="FA21" s="725"/>
      <c r="FB21" s="725"/>
    </row>
    <row r="22" spans="1:160" s="180" customFormat="1" ht="11.25" customHeight="1" collapsed="1">
      <c r="A22" s="5633" t="s">
        <v>835</v>
      </c>
      <c r="B22" s="2946"/>
      <c r="C22" s="2946"/>
      <c r="D22" s="2946"/>
      <c r="E22" s="2945"/>
      <c r="F22" s="5611"/>
      <c r="G22" s="2946"/>
      <c r="H22" s="2946"/>
      <c r="I22" s="2946"/>
      <c r="J22" s="2946"/>
      <c r="K22" s="4406"/>
      <c r="L22" s="2946"/>
      <c r="M22" s="2946"/>
      <c r="N22" s="2946"/>
      <c r="O22" s="2946"/>
      <c r="P22" s="4407">
        <v>66.932000000000002</v>
      </c>
      <c r="Q22" s="2944">
        <f>Q69*Q517</f>
        <v>37.210799999999999</v>
      </c>
      <c r="R22" s="2945">
        <f>R69*R517</f>
        <v>56.538000000000004</v>
      </c>
      <c r="S22" s="2945">
        <f>S69*S517</f>
        <v>91.550899999999999</v>
      </c>
      <c r="T22" s="2945">
        <f>U22-S22-R22-Q22</f>
        <v>121.67829999999998</v>
      </c>
      <c r="U22" s="4407">
        <v>306.97800000000001</v>
      </c>
      <c r="V22" s="2944">
        <v>157.9</v>
      </c>
      <c r="W22" s="2945">
        <v>183.102</v>
      </c>
      <c r="X22" s="2945">
        <v>207.239</v>
      </c>
      <c r="Y22" s="2945">
        <v>243.822</v>
      </c>
      <c r="Z22" s="4407">
        <v>792.06299999999999</v>
      </c>
      <c r="AA22" s="2944">
        <v>303.53199999999998</v>
      </c>
      <c r="AB22" s="2946">
        <v>343.44200000000001</v>
      </c>
      <c r="AC22" s="2946">
        <v>411.7</v>
      </c>
      <c r="AD22" s="2946">
        <v>530.38800000000003</v>
      </c>
      <c r="AE22" s="2943">
        <f>SUM(AA22:AD22)</f>
        <v>1589.0619999999999</v>
      </c>
      <c r="AF22" s="2947">
        <v>656.99659999999994</v>
      </c>
      <c r="AG22" s="2946">
        <v>737.17200000000003</v>
      </c>
      <c r="AH22" s="2946">
        <v>884.67899999999997</v>
      </c>
      <c r="AI22" s="2946">
        <v>1098.213</v>
      </c>
      <c r="AJ22" s="2943">
        <f>SUM(AF22:AI22)</f>
        <v>3377.0605999999998</v>
      </c>
      <c r="AK22" s="2947">
        <v>1297.317</v>
      </c>
      <c r="AL22" s="2946">
        <v>1432.461</v>
      </c>
      <c r="AM22" s="2946">
        <v>1625.9770000000001</v>
      </c>
      <c r="AN22" s="2948">
        <v>1977.0419999999999</v>
      </c>
      <c r="AO22" s="2943">
        <f>SUM(AK22:AN22)</f>
        <v>6332.7970000000005</v>
      </c>
      <c r="AP22" s="2947">
        <v>2282.1210000000001</v>
      </c>
      <c r="AQ22" s="2946">
        <v>2486.29</v>
      </c>
      <c r="AR22" s="2946">
        <v>2734.7559999999999</v>
      </c>
      <c r="AS22" s="2948">
        <f>3121.539</f>
        <v>3121.5390000000002</v>
      </c>
      <c r="AT22" s="2943">
        <f>SUM(AP22:AS22)</f>
        <v>10624.706</v>
      </c>
      <c r="AU22" s="2947">
        <v>3400.4050000000002</v>
      </c>
      <c r="AV22" s="2946">
        <v>3530.145</v>
      </c>
      <c r="AW22" s="2946">
        <v>3672.1109999999999</v>
      </c>
      <c r="AX22" s="2948">
        <v>3811.1660000000002</v>
      </c>
      <c r="AY22" s="2943">
        <f>SUM(AU22:AX22)</f>
        <v>14413.827000000001</v>
      </c>
      <c r="AZ22" s="2947">
        <f>3692.823</f>
        <v>3692.8229999999999</v>
      </c>
      <c r="BA22" s="2946">
        <f>3652.628</f>
        <v>3652.6280000000002</v>
      </c>
      <c r="BB22" s="2946">
        <v>3955.7310000000002</v>
      </c>
      <c r="BC22" s="2949">
        <v>4421.3040000000001</v>
      </c>
      <c r="BD22" s="2943">
        <f>SUM(AZ22:BC22)</f>
        <v>15722.486000000001</v>
      </c>
      <c r="BE22" s="4408">
        <v>4439</v>
      </c>
      <c r="BF22" s="4194">
        <v>4499</v>
      </c>
      <c r="BG22" s="4194">
        <v>4833</v>
      </c>
      <c r="BH22" s="4409">
        <v>5672</v>
      </c>
      <c r="BI22" s="2943">
        <f>SUM(BE22:BH22)</f>
        <v>19443</v>
      </c>
      <c r="BJ22" s="4408">
        <v>5879</v>
      </c>
      <c r="BK22" s="4194">
        <v>6232</v>
      </c>
      <c r="BL22" s="4194">
        <v>6740</v>
      </c>
      <c r="BM22" s="4194">
        <v>7294</v>
      </c>
      <c r="BN22" s="2943">
        <f>SUM(BJ22:BM22)</f>
        <v>26145</v>
      </c>
      <c r="BO22" s="2945"/>
      <c r="BP22" s="2945"/>
      <c r="BQ22" s="2945"/>
      <c r="BR22" s="2945"/>
      <c r="BS22" s="2943"/>
      <c r="BT22" s="4194">
        <v>7312</v>
      </c>
      <c r="BU22" s="4194">
        <v>7542</v>
      </c>
      <c r="BV22" s="4194">
        <v>7727</v>
      </c>
      <c r="BW22" s="4194">
        <v>8640</v>
      </c>
      <c r="BX22" s="2943">
        <f>SUM(BT22:BW22)</f>
        <v>31221</v>
      </c>
      <c r="BY22" s="2945"/>
      <c r="BZ22" s="2945"/>
      <c r="CA22" s="2945"/>
      <c r="CB22" s="2945"/>
      <c r="CC22" s="2943"/>
      <c r="CD22" s="4410">
        <v>8640</v>
      </c>
      <c r="CE22" s="4194">
        <v>8868</v>
      </c>
      <c r="CF22" s="4194">
        <v>9376</v>
      </c>
      <c r="CG22" s="4194">
        <v>10538</v>
      </c>
      <c r="CH22" s="2943">
        <f>SUM(CD22:CG22)</f>
        <v>37422</v>
      </c>
      <c r="CI22" s="4411">
        <v>10469</v>
      </c>
      <c r="CJ22" s="4194">
        <v>10935</v>
      </c>
      <c r="CK22" s="4194">
        <v>11252</v>
      </c>
      <c r="CL22" s="4194">
        <v>12429</v>
      </c>
      <c r="CM22" s="2943">
        <f>SUM(CI22:CL22)</f>
        <v>45085</v>
      </c>
      <c r="CN22" s="4194">
        <v>11932</v>
      </c>
      <c r="CO22" s="4194">
        <v>12402</v>
      </c>
      <c r="CP22" s="4194">
        <v>13087</v>
      </c>
      <c r="CQ22" s="4194">
        <v>14936</v>
      </c>
      <c r="CR22" s="2943">
        <f>SUM(CN22:CQ22)</f>
        <v>52357</v>
      </c>
      <c r="CS22" s="4412">
        <v>14328</v>
      </c>
      <c r="CT22" s="4194">
        <v>15400</v>
      </c>
      <c r="CU22" s="4194">
        <v>16089</v>
      </c>
      <c r="CV22" s="4194">
        <v>17968</v>
      </c>
      <c r="CW22" s="2943">
        <f>CW460</f>
        <v>63785</v>
      </c>
      <c r="CX22" s="4194">
        <f>CX460</f>
        <v>17403</v>
      </c>
      <c r="CY22" s="4194">
        <f>CY460</f>
        <v>18425</v>
      </c>
      <c r="CZ22" s="4194">
        <f>CZ460</f>
        <v>19723</v>
      </c>
      <c r="DA22" s="4194">
        <f>DA460</f>
        <v>22237</v>
      </c>
      <c r="DB22" s="2943">
        <f>SUM(DB8,DB15)</f>
        <v>77961</v>
      </c>
      <c r="DC22" s="2945">
        <f>DC460</f>
        <v>21998</v>
      </c>
      <c r="DD22" s="2945">
        <f>DD460</f>
        <v>23262</v>
      </c>
      <c r="DE22" s="2945">
        <f>DE460</f>
        <v>24054</v>
      </c>
      <c r="DF22" s="2945">
        <f t="shared" ref="DF22:DM22" si="42">SUM(DF8,DF15)</f>
        <v>26925</v>
      </c>
      <c r="DG22" s="2943">
        <f t="shared" si="42"/>
        <v>96451</v>
      </c>
      <c r="DH22" s="2945">
        <f t="shared" si="42"/>
        <v>25572</v>
      </c>
      <c r="DI22" s="2945">
        <f t="shared" si="42"/>
        <v>27245</v>
      </c>
      <c r="DJ22" s="2945">
        <f t="shared" si="42"/>
        <v>28545</v>
      </c>
      <c r="DK22" s="2945">
        <f t="shared" si="42"/>
        <v>31902</v>
      </c>
      <c r="DL22" s="5260">
        <f t="shared" si="42"/>
        <v>113264</v>
      </c>
      <c r="DM22" s="5261">
        <f t="shared" si="42"/>
        <v>28540</v>
      </c>
      <c r="DN22" s="5261">
        <f t="shared" ref="DN22:EV22" si="43">SUM(DN8,DN15)</f>
        <v>25131</v>
      </c>
      <c r="DO22" s="5261">
        <f t="shared" si="43"/>
        <v>31375</v>
      </c>
      <c r="DP22" s="5261">
        <f t="shared" si="43"/>
        <v>38788</v>
      </c>
      <c r="DQ22" s="5260">
        <f t="shared" si="43"/>
        <v>123834</v>
      </c>
      <c r="DR22" s="5261">
        <f t="shared" si="43"/>
        <v>37884</v>
      </c>
      <c r="DS22" s="5261">
        <f t="shared" si="43"/>
        <v>42847</v>
      </c>
      <c r="DT22" s="5261">
        <f t="shared" si="43"/>
        <v>45131</v>
      </c>
      <c r="DU22" s="5261">
        <f t="shared" si="43"/>
        <v>51934</v>
      </c>
      <c r="DV22" s="5260">
        <f t="shared" si="43"/>
        <v>177796</v>
      </c>
      <c r="DW22" s="5261">
        <f t="shared" si="43"/>
        <v>46487</v>
      </c>
      <c r="DX22" s="5261">
        <f>SUM(DX8,DX15)</f>
        <v>48029</v>
      </c>
      <c r="DY22" s="5261">
        <f>SUM(DY8,DY15)</f>
        <v>46610</v>
      </c>
      <c r="DZ22" s="5261">
        <f>SUM(DZ8,DZ15)</f>
        <v>50567</v>
      </c>
      <c r="EA22" s="2943">
        <f t="shared" si="43"/>
        <v>191693</v>
      </c>
      <c r="EB22" s="5261">
        <f t="shared" ref="EB22:EN22" si="44">SUM(EB8,EB15)</f>
        <v>47052</v>
      </c>
      <c r="EC22" s="5261">
        <f t="shared" si="44"/>
        <v>50293</v>
      </c>
      <c r="ED22" s="5261">
        <f t="shared" si="44"/>
        <v>51978</v>
      </c>
      <c r="EE22" s="5261">
        <f>SUM(EE8,EE15)</f>
        <v>57220</v>
      </c>
      <c r="EF22" s="2943">
        <f t="shared" si="44"/>
        <v>206543</v>
      </c>
      <c r="EG22" s="5261">
        <f t="shared" ref="EG22:EI22" si="45">SUM(EG8,EG15)</f>
        <v>54246</v>
      </c>
      <c r="EH22" s="5261">
        <f t="shared" si="45"/>
        <v>57172</v>
      </c>
      <c r="EI22" s="5261">
        <f t="shared" si="45"/>
        <v>58306</v>
      </c>
      <c r="EJ22" s="5261">
        <f>SUM(EJ8,EJ15)</f>
        <v>64507</v>
      </c>
      <c r="EK22" s="2943">
        <f t="shared" si="44"/>
        <v>234231</v>
      </c>
      <c r="EL22" s="5261">
        <f t="shared" si="44"/>
        <v>59629</v>
      </c>
      <c r="EM22" s="5261">
        <f t="shared" si="44"/>
        <v>63986</v>
      </c>
      <c r="EN22" s="5261">
        <f t="shared" si="44"/>
        <v>66828</v>
      </c>
      <c r="EO22" s="2945">
        <f t="shared" ref="EO22:EP22" si="46">SUM(EO8,EO15)</f>
        <v>73806.980741206455</v>
      </c>
      <c r="EP22" s="2943">
        <f t="shared" si="46"/>
        <v>264249.98074120644</v>
      </c>
      <c r="EQ22" s="2945">
        <f t="shared" ref="EQ22:EU22" si="47">SUM(EQ8,EQ15)</f>
        <v>69235.868892075916</v>
      </c>
      <c r="ER22" s="2945">
        <f t="shared" si="47"/>
        <v>72551.021738324547</v>
      </c>
      <c r="ES22" s="2945">
        <f t="shared" si="47"/>
        <v>74611.56641617573</v>
      </c>
      <c r="ET22" s="2945">
        <f t="shared" si="47"/>
        <v>82424.559809048544</v>
      </c>
      <c r="EU22" s="2943">
        <f t="shared" si="47"/>
        <v>298823.01685562474</v>
      </c>
      <c r="EV22" s="2943">
        <f t="shared" si="43"/>
        <v>329173.79734404979</v>
      </c>
      <c r="EW22" s="2943">
        <f>SUM(EW8,EW15)</f>
        <v>359319.45057619177</v>
      </c>
      <c r="EX22" s="2943">
        <f>SUM(EX8,EX15)</f>
        <v>388637.0192405823</v>
      </c>
      <c r="EY22" s="2943">
        <f>SUM(EY8,EY15)</f>
        <v>418408.2894375677</v>
      </c>
      <c r="EZ22" s="175"/>
      <c r="FA22" s="1319">
        <f>(EV22/EK22)^(1/3)-1</f>
        <v>0.12010902120209277</v>
      </c>
      <c r="FB22" s="1319">
        <f>(EX22/EK22)^(1/5)-1</f>
        <v>0.10657271826259263</v>
      </c>
    </row>
    <row r="23" spans="1:160" s="183" customFormat="1" ht="11.25" customHeight="1">
      <c r="A23" s="5634" t="s">
        <v>45</v>
      </c>
      <c r="B23" s="181"/>
      <c r="C23" s="181"/>
      <c r="D23" s="181"/>
      <c r="E23" s="182"/>
      <c r="F23" s="4242"/>
      <c r="G23" s="181"/>
      <c r="H23" s="181"/>
      <c r="I23" s="181"/>
      <c r="J23" s="181"/>
      <c r="K23" s="991"/>
      <c r="L23" s="181"/>
      <c r="M23" s="181"/>
      <c r="N23" s="181"/>
      <c r="O23" s="181"/>
      <c r="P23" s="992" t="s">
        <v>116</v>
      </c>
      <c r="Q23" s="1226" t="s">
        <v>116</v>
      </c>
      <c r="R23" s="169" t="s">
        <v>116</v>
      </c>
      <c r="S23" s="169" t="s">
        <v>116</v>
      </c>
      <c r="T23" s="169" t="s">
        <v>116</v>
      </c>
      <c r="U23" s="992">
        <f t="shared" ref="U23:AU23" si="48">+U22/P22-1</f>
        <v>3.5864160640650216</v>
      </c>
      <c r="V23" s="1226">
        <f t="shared" si="48"/>
        <v>3.243391703483935</v>
      </c>
      <c r="W23" s="169">
        <f t="shared" si="48"/>
        <v>2.2385652127772468</v>
      </c>
      <c r="X23" s="169">
        <f t="shared" si="48"/>
        <v>1.2636478723857438</v>
      </c>
      <c r="Y23" s="169">
        <f t="shared" si="48"/>
        <v>1.0038248397618972</v>
      </c>
      <c r="Z23" s="992">
        <f t="shared" si="48"/>
        <v>1.5801946719308875</v>
      </c>
      <c r="AA23" s="1226">
        <f t="shared" si="48"/>
        <v>0.92230525649145001</v>
      </c>
      <c r="AB23" s="169">
        <f t="shared" si="48"/>
        <v>0.87568677567694508</v>
      </c>
      <c r="AC23" s="169">
        <f t="shared" si="48"/>
        <v>0.9865951871993206</v>
      </c>
      <c r="AD23" s="169">
        <f t="shared" si="48"/>
        <v>1.1753082166498512</v>
      </c>
      <c r="AE23" s="992">
        <f>+AE22/Z22-1</f>
        <v>1.0062318275187705</v>
      </c>
      <c r="AF23" s="1226">
        <f t="shared" si="48"/>
        <v>1.1645052251492429</v>
      </c>
      <c r="AG23" s="169">
        <f t="shared" si="48"/>
        <v>1.146423559145358</v>
      </c>
      <c r="AH23" s="169">
        <f t="shared" si="48"/>
        <v>1.1488438183143064</v>
      </c>
      <c r="AI23" s="169">
        <f t="shared" si="48"/>
        <v>1.0705841761125816</v>
      </c>
      <c r="AJ23" s="992">
        <f>+AJ22/AE22-1</f>
        <v>1.1251912134328301</v>
      </c>
      <c r="AK23" s="1226">
        <f t="shared" si="48"/>
        <v>0.9746175246569011</v>
      </c>
      <c r="AL23" s="169">
        <f t="shared" si="48"/>
        <v>0.94318422294932525</v>
      </c>
      <c r="AM23" s="169">
        <f t="shared" si="48"/>
        <v>0.83792878546908001</v>
      </c>
      <c r="AN23" s="169">
        <f t="shared" si="48"/>
        <v>0.80023547344640789</v>
      </c>
      <c r="AO23" s="992">
        <f>+AO22/AJ22-1</f>
        <v>0.87523937237016147</v>
      </c>
      <c r="AP23" s="1226">
        <f t="shared" si="48"/>
        <v>0.75910822104389286</v>
      </c>
      <c r="AQ23" s="169">
        <f t="shared" si="48"/>
        <v>0.73567727149290629</v>
      </c>
      <c r="AR23" s="169">
        <f t="shared" si="48"/>
        <v>0.68191554985095104</v>
      </c>
      <c r="AS23" s="169">
        <f t="shared" si="48"/>
        <v>0.57889361986240062</v>
      </c>
      <c r="AT23" s="992">
        <f>+AT22/AO22-1</f>
        <v>0.67772723490110276</v>
      </c>
      <c r="AU23" s="1226">
        <f t="shared" si="48"/>
        <v>0.49001959142394291</v>
      </c>
      <c r="AV23" s="169">
        <f t="shared" ref="AV23:CQ23" si="49">+AV22/AQ22-1</f>
        <v>0.41984442683677292</v>
      </c>
      <c r="AW23" s="169">
        <f t="shared" si="49"/>
        <v>0.34275635559442974</v>
      </c>
      <c r="AX23" s="169">
        <f t="shared" si="49"/>
        <v>0.22092531920953085</v>
      </c>
      <c r="AY23" s="992">
        <f t="shared" si="49"/>
        <v>0.35663302118665685</v>
      </c>
      <c r="AZ23" s="1226">
        <f t="shared" si="49"/>
        <v>8.5995050589561917E-2</v>
      </c>
      <c r="BA23" s="169">
        <f t="shared" si="49"/>
        <v>3.4696308508574081E-2</v>
      </c>
      <c r="BB23" s="169">
        <f t="shared" si="49"/>
        <v>7.7236227336265229E-2</v>
      </c>
      <c r="BC23" s="169">
        <f t="shared" si="49"/>
        <v>0.16009221324917355</v>
      </c>
      <c r="BD23" s="992">
        <f>+BD22/AY22-1</f>
        <v>9.0791918065896038E-2</v>
      </c>
      <c r="BE23" s="1226">
        <f t="shared" si="49"/>
        <v>0.20206140397197481</v>
      </c>
      <c r="BF23" s="169">
        <f t="shared" si="49"/>
        <v>0.23171590427494948</v>
      </c>
      <c r="BG23" s="169">
        <f t="shared" si="49"/>
        <v>0.22177165231912888</v>
      </c>
      <c r="BH23" s="169">
        <f t="shared" si="49"/>
        <v>0.28287944009278698</v>
      </c>
      <c r="BI23" s="992">
        <f>+BI22/BD22-1</f>
        <v>0.23663649628945449</v>
      </c>
      <c r="BJ23" s="1226">
        <f t="shared" si="49"/>
        <v>0.32439738679882857</v>
      </c>
      <c r="BK23" s="169">
        <f t="shared" si="49"/>
        <v>0.38519671038008441</v>
      </c>
      <c r="BL23" s="169">
        <f t="shared" si="49"/>
        <v>0.39457893647837783</v>
      </c>
      <c r="BM23" s="169">
        <f t="shared" si="49"/>
        <v>0.28596614950634702</v>
      </c>
      <c r="BN23" s="992">
        <f>+BN22/BI22-1</f>
        <v>0.34469989199197659</v>
      </c>
      <c r="BO23" s="169"/>
      <c r="BP23" s="169"/>
      <c r="BQ23" s="169"/>
      <c r="BR23" s="169"/>
      <c r="BS23" s="600"/>
      <c r="BT23" s="169">
        <f>+BT22/BJ22-1</f>
        <v>0.24374893689402954</v>
      </c>
      <c r="BU23" s="169">
        <f>+BU22/BK22-1</f>
        <v>0.21020539152759943</v>
      </c>
      <c r="BV23" s="169">
        <f>+BV22/BL22-1</f>
        <v>0.14643916913946597</v>
      </c>
      <c r="BW23" s="169">
        <f>+BW22/BM22-1</f>
        <v>0.18453523443926523</v>
      </c>
      <c r="BX23" s="992">
        <f>+BX22/BN22-1</f>
        <v>0.19414802065404468</v>
      </c>
      <c r="BY23" s="169"/>
      <c r="BZ23" s="169"/>
      <c r="CA23" s="169"/>
      <c r="CB23" s="169"/>
      <c r="CC23" s="600"/>
      <c r="CD23" s="576">
        <f>+CD22/BT22-1</f>
        <v>0.18161925601750539</v>
      </c>
      <c r="CE23" s="169">
        <f>+CE22/BU22-1</f>
        <v>0.1758154335719968</v>
      </c>
      <c r="CF23" s="169">
        <f>+CF22/BV22-1</f>
        <v>0.21340753203054219</v>
      </c>
      <c r="CG23" s="169">
        <f>+CG22/BW22-1</f>
        <v>0.219675925925926</v>
      </c>
      <c r="CH23" s="992">
        <f>+CH22/BX22-1</f>
        <v>0.19861631594119333</v>
      </c>
      <c r="CI23" s="169">
        <f t="shared" si="49"/>
        <v>0.21168981481481475</v>
      </c>
      <c r="CJ23" s="169">
        <f t="shared" si="49"/>
        <v>0.23308525033829497</v>
      </c>
      <c r="CK23" s="169">
        <f t="shared" si="49"/>
        <v>0.20008532423208192</v>
      </c>
      <c r="CL23" s="169">
        <f t="shared" si="49"/>
        <v>0.17944581514518876</v>
      </c>
      <c r="CM23" s="992">
        <f>+CM22/CH22-1</f>
        <v>0.20477259366148259</v>
      </c>
      <c r="CN23" s="169">
        <f t="shared" si="49"/>
        <v>0.13974591651542645</v>
      </c>
      <c r="CO23" s="169">
        <f t="shared" si="49"/>
        <v>0.13415637860082308</v>
      </c>
      <c r="CP23" s="169">
        <f t="shared" si="49"/>
        <v>0.16308211873444711</v>
      </c>
      <c r="CQ23" s="169">
        <f t="shared" si="49"/>
        <v>0.20170568830959845</v>
      </c>
      <c r="CR23" s="992">
        <f t="shared" ref="CR23:DG23" si="50">+CR22/CM22-1</f>
        <v>0.16129533104136629</v>
      </c>
      <c r="CS23" s="169">
        <f t="shared" si="50"/>
        <v>0.20080455916862228</v>
      </c>
      <c r="CT23" s="169">
        <f t="shared" si="50"/>
        <v>0.241735203999355</v>
      </c>
      <c r="CU23" s="169">
        <f t="shared" si="50"/>
        <v>0.22938794223275005</v>
      </c>
      <c r="CV23" s="169">
        <f t="shared" si="50"/>
        <v>0.20299946438136041</v>
      </c>
      <c r="CW23" s="992">
        <f t="shared" si="50"/>
        <v>0.21827071833756717</v>
      </c>
      <c r="CX23" s="169">
        <f t="shared" si="50"/>
        <v>0.21461474036850925</v>
      </c>
      <c r="CY23" s="169">
        <f t="shared" si="50"/>
        <v>0.1964285714285714</v>
      </c>
      <c r="CZ23" s="169">
        <f t="shared" si="50"/>
        <v>0.22586860587979363</v>
      </c>
      <c r="DA23" s="169">
        <f t="shared" si="50"/>
        <v>0.23758904719501328</v>
      </c>
      <c r="DB23" s="992">
        <f t="shared" si="50"/>
        <v>0.22224660970447596</v>
      </c>
      <c r="DC23" s="2612">
        <f t="shared" si="50"/>
        <v>0.26403493650520016</v>
      </c>
      <c r="DD23" s="2612">
        <f t="shared" si="50"/>
        <v>0.26252374491180452</v>
      </c>
      <c r="DE23" s="2612">
        <f t="shared" si="50"/>
        <v>0.21959134005982861</v>
      </c>
      <c r="DF23" s="2612">
        <f t="shared" si="50"/>
        <v>0.21081980482978824</v>
      </c>
      <c r="DG23" s="2588">
        <f t="shared" si="50"/>
        <v>0.23716986698477438</v>
      </c>
      <c r="DH23" s="2628" t="s">
        <v>116</v>
      </c>
      <c r="DI23" s="2628" t="s">
        <v>116</v>
      </c>
      <c r="DJ23" s="2628" t="s">
        <v>116</v>
      </c>
      <c r="DK23" s="2612">
        <f t="shared" ref="DK23:EN23" si="51">+DK22/DF22-1</f>
        <v>0.18484679665738168</v>
      </c>
      <c r="DL23" s="2588">
        <f t="shared" si="51"/>
        <v>0.17431649231215851</v>
      </c>
      <c r="DM23" s="2612">
        <f t="shared" si="51"/>
        <v>0.1160644454872517</v>
      </c>
      <c r="DN23" s="2612">
        <f t="shared" si="51"/>
        <v>-7.7592218755734965E-2</v>
      </c>
      <c r="DO23" s="2612">
        <f t="shared" si="51"/>
        <v>9.9141706078122338E-2</v>
      </c>
      <c r="DP23" s="2612">
        <f t="shared" si="51"/>
        <v>0.21584853614193467</v>
      </c>
      <c r="DQ23" s="2588">
        <f t="shared" si="51"/>
        <v>9.3321796863963913E-2</v>
      </c>
      <c r="DR23" s="2612">
        <f t="shared" si="51"/>
        <v>0.32740014015416952</v>
      </c>
      <c r="DS23" s="2612">
        <f t="shared" si="51"/>
        <v>0.70494608252755553</v>
      </c>
      <c r="DT23" s="2612">
        <f t="shared" si="51"/>
        <v>0.43843824701195211</v>
      </c>
      <c r="DU23" s="2612">
        <f t="shared" si="51"/>
        <v>0.33891925337733309</v>
      </c>
      <c r="DV23" s="2588">
        <f>+DV22/DQ22-1</f>
        <v>0.43576077652341039</v>
      </c>
      <c r="DW23" s="2612">
        <f t="shared" si="51"/>
        <v>0.22708795269770876</v>
      </c>
      <c r="DX23" s="2612">
        <f t="shared" si="51"/>
        <v>0.12094195626298232</v>
      </c>
      <c r="DY23" s="2612">
        <f t="shared" si="51"/>
        <v>3.2771265870465971E-2</v>
      </c>
      <c r="DZ23" s="2612">
        <f t="shared" si="51"/>
        <v>-2.6321870065852848E-2</v>
      </c>
      <c r="EA23" s="2588">
        <f t="shared" ref="EA23:EF23" si="52">+EA22/DV22-1</f>
        <v>7.8162613332133368E-2</v>
      </c>
      <c r="EB23" s="2612">
        <f t="shared" si="51"/>
        <v>1.2153935508852021E-2</v>
      </c>
      <c r="EC23" s="2612">
        <f t="shared" si="51"/>
        <v>4.7138187345145743E-2</v>
      </c>
      <c r="ED23" s="2612">
        <f t="shared" si="51"/>
        <v>0.1151684187942501</v>
      </c>
      <c r="EE23" s="2612">
        <f t="shared" si="51"/>
        <v>0.13156801866830148</v>
      </c>
      <c r="EF23" s="2588">
        <f t="shared" si="52"/>
        <v>7.7467617492553265E-2</v>
      </c>
      <c r="EG23" s="2612">
        <f t="shared" si="51"/>
        <v>0.15289466972711052</v>
      </c>
      <c r="EH23" s="2612">
        <f t="shared" si="51"/>
        <v>0.1367784781182273</v>
      </c>
      <c r="EI23" s="2612">
        <f t="shared" si="51"/>
        <v>0.12174381469083073</v>
      </c>
      <c r="EJ23" s="2612">
        <f t="shared" si="51"/>
        <v>0.12735057672142602</v>
      </c>
      <c r="EK23" s="2588">
        <f>+EK22/EF22-1</f>
        <v>0.13405440997758333</v>
      </c>
      <c r="EL23" s="2612">
        <f t="shared" si="51"/>
        <v>9.9233123179589322E-2</v>
      </c>
      <c r="EM23" s="2612">
        <f t="shared" si="51"/>
        <v>0.11918421604981466</v>
      </c>
      <c r="EN23" s="2612">
        <f t="shared" si="51"/>
        <v>0.14615991493156799</v>
      </c>
      <c r="EO23" s="2612">
        <f t="shared" ref="EO23" si="53">+EO22/EJ22-1</f>
        <v>0.14417010155807053</v>
      </c>
      <c r="EP23" s="2588">
        <f>+EP22/EK22-1</f>
        <v>0.12815972583136492</v>
      </c>
      <c r="EQ23" s="2612">
        <f t="shared" ref="EQ23" si="54">+EQ22/EL22-1</f>
        <v>0.16111068258860484</v>
      </c>
      <c r="ER23" s="2612">
        <f t="shared" ref="ER23" si="55">+ER22/EM22-1</f>
        <v>0.13385774604326794</v>
      </c>
      <c r="ES23" s="2612">
        <f t="shared" ref="ES23" si="56">+ES22/EN22-1</f>
        <v>0.11647163488621137</v>
      </c>
      <c r="ET23" s="2612">
        <f t="shared" ref="ET23" si="57">+ET22/EO22-1</f>
        <v>0.11675831989467755</v>
      </c>
      <c r="EU23" s="2588">
        <f>+EU22/EP22-1</f>
        <v>0.13083458328906161</v>
      </c>
      <c r="EV23" s="2587">
        <f>+EV22/EU22-1</f>
        <v>0.10156774671440028</v>
      </c>
      <c r="EW23" s="2587">
        <f>+EW22/EV22-1</f>
        <v>9.1579747462809058E-2</v>
      </c>
      <c r="EX23" s="2587">
        <f>+EX22/EW22-1</f>
        <v>8.1591933354506541E-2</v>
      </c>
      <c r="EY23" s="2587">
        <f>+EY22/EX22-1</f>
        <v>7.6604308707286961E-2</v>
      </c>
      <c r="EZ23" s="181"/>
      <c r="FA23" s="725"/>
      <c r="FB23" s="725"/>
      <c r="FD23" s="2613"/>
    </row>
    <row r="24" spans="1:160" s="138" customFormat="1" ht="11.25" hidden="1" customHeight="1" outlineLevel="1">
      <c r="A24" s="5635" t="s">
        <v>874</v>
      </c>
      <c r="B24" s="124"/>
      <c r="C24" s="124"/>
      <c r="D24" s="124"/>
      <c r="E24" s="139"/>
      <c r="F24" s="3574"/>
      <c r="G24" s="124"/>
      <c r="H24" s="124"/>
      <c r="I24" s="124"/>
      <c r="J24" s="124"/>
      <c r="K24" s="997"/>
      <c r="L24" s="124"/>
      <c r="M24" s="124"/>
      <c r="N24" s="124"/>
      <c r="O24" s="124"/>
      <c r="P24" s="3967"/>
      <c r="Q24" s="3968"/>
      <c r="R24" s="3593"/>
      <c r="S24" s="3593"/>
      <c r="T24" s="3593"/>
      <c r="U24" s="3967"/>
      <c r="V24" s="3968"/>
      <c r="W24" s="3593"/>
      <c r="X24" s="3593"/>
      <c r="Y24" s="3593"/>
      <c r="Z24" s="3967"/>
      <c r="AA24" s="3968"/>
      <c r="AB24" s="3593"/>
      <c r="AC24" s="3593"/>
      <c r="AD24" s="3593"/>
      <c r="AE24" s="3967"/>
      <c r="AF24" s="3968"/>
      <c r="AG24" s="3593"/>
      <c r="AH24" s="3593"/>
      <c r="AI24" s="3593"/>
      <c r="AJ24" s="3967"/>
      <c r="AK24" s="3968"/>
      <c r="AL24" s="3593"/>
      <c r="AM24" s="3593"/>
      <c r="AN24" s="3593"/>
      <c r="AO24" s="3967"/>
      <c r="AP24" s="3968"/>
      <c r="AQ24" s="3593"/>
      <c r="AR24" s="3593"/>
      <c r="AS24" s="3593"/>
      <c r="AT24" s="3967"/>
      <c r="AU24" s="3968"/>
      <c r="AV24" s="3593"/>
      <c r="AW24" s="3593"/>
      <c r="AX24" s="3593"/>
      <c r="AY24" s="3967"/>
      <c r="AZ24" s="3968"/>
      <c r="BA24" s="3593"/>
      <c r="BB24" s="3593"/>
      <c r="BC24" s="3593"/>
      <c r="BD24" s="3967"/>
      <c r="BE24" s="3968"/>
      <c r="BF24" s="3593"/>
      <c r="BG24" s="3593"/>
      <c r="BH24" s="3593"/>
      <c r="BI24" s="3967"/>
      <c r="BJ24" s="3968"/>
      <c r="BK24" s="3593"/>
      <c r="BL24" s="3593"/>
      <c r="BM24" s="3593"/>
      <c r="BN24" s="3967"/>
      <c r="BO24" s="3593"/>
      <c r="BP24" s="3593"/>
      <c r="BQ24" s="3593"/>
      <c r="BR24" s="3593"/>
      <c r="BS24" s="4526"/>
      <c r="BT24" s="3593"/>
      <c r="BU24" s="3593"/>
      <c r="BV24" s="3593"/>
      <c r="BW24" s="3593"/>
      <c r="BX24" s="4526"/>
      <c r="BY24" s="3593"/>
      <c r="BZ24" s="3593"/>
      <c r="CA24" s="3593"/>
      <c r="CB24" s="3593"/>
      <c r="CC24" s="4526"/>
      <c r="CD24" s="3969"/>
      <c r="CE24" s="3593"/>
      <c r="CF24" s="3593"/>
      <c r="CG24" s="3593"/>
      <c r="CH24" s="4526"/>
      <c r="CI24" s="3593"/>
      <c r="CJ24" s="3593"/>
      <c r="CK24" s="3593"/>
      <c r="CL24" s="3593"/>
      <c r="CM24" s="4526"/>
      <c r="CN24" s="3593"/>
      <c r="CO24" s="3593"/>
      <c r="CP24" s="3593"/>
      <c r="CQ24" s="3593"/>
      <c r="CR24" s="4526"/>
      <c r="CS24" s="3593"/>
      <c r="CT24" s="3593"/>
      <c r="CU24" s="3593"/>
      <c r="CV24" s="3593"/>
      <c r="CW24" s="4526"/>
      <c r="CX24" s="3593"/>
      <c r="CY24" s="3593"/>
      <c r="CZ24" s="3593"/>
      <c r="DA24" s="3593"/>
      <c r="DB24" s="4526"/>
      <c r="DC24" s="3593"/>
      <c r="DD24" s="3593"/>
      <c r="DE24" s="3593"/>
      <c r="DF24" s="3593"/>
      <c r="DG24" s="4526">
        <f>DG517/DG83*DG212</f>
        <v>716.78365664552109</v>
      </c>
      <c r="DH24" s="3593">
        <f>SUM(DH10,DH17)</f>
        <v>-818.2869671403198</v>
      </c>
      <c r="DI24" s="3593">
        <f>SUM(DI10,DI17)</f>
        <v>-857.35028701453177</v>
      </c>
      <c r="DJ24" s="3593">
        <f>SUM(DJ10,DJ17)</f>
        <v>-382.49235550031074</v>
      </c>
      <c r="DK24" s="3593">
        <f>SUM(DK10,DK17)</f>
        <v>-290.38535754824068</v>
      </c>
      <c r="DL24" s="4526">
        <f>SUM(DH24:DK24)</f>
        <v>-2348.5149672034031</v>
      </c>
      <c r="DM24" s="3593">
        <f>SUM(DM10,DM17)</f>
        <v>-273.03672971323977</v>
      </c>
      <c r="DN24" s="3593">
        <f>SUM(DN10,DN17)</f>
        <v>-466.93210168956261</v>
      </c>
      <c r="DO24" s="3593">
        <f>SUM(DO10,DO17)</f>
        <v>-37.499728361257802</v>
      </c>
      <c r="DP24" s="3593">
        <f>SUM(DP10,DP17)</f>
        <v>197.68855812641084</v>
      </c>
      <c r="DQ24" s="4526">
        <f>SUM(DM24:DP24)</f>
        <v>-579.78000163764932</v>
      </c>
      <c r="DR24" s="3593">
        <f>SUM(DR10,DR17)</f>
        <v>755.2790221819829</v>
      </c>
      <c r="DS24" s="3593">
        <f>SUM(DS10,DS17)</f>
        <v>1310.516070994408</v>
      </c>
      <c r="DT24" s="3593">
        <f>SUM(DT10,DT17)</f>
        <v>427.83803989271513</v>
      </c>
      <c r="DU24" s="3593">
        <f>SUM(DU10,DU17)</f>
        <v>-189.18858835617354</v>
      </c>
      <c r="DV24" s="4526">
        <f>SUM(DR24:DU24)</f>
        <v>2304.4445447129324</v>
      </c>
      <c r="DW24" s="3593">
        <f>SUM(DW10,DW17)</f>
        <v>-1375.4122568469231</v>
      </c>
      <c r="DX24" s="3593">
        <f>SUM(DX10,DX17)</f>
        <v>-1863.7061504405569</v>
      </c>
      <c r="DY24" s="3593">
        <f>SUM(DY10,DY17)</f>
        <v>-2675.9173565829001</v>
      </c>
      <c r="DZ24" s="3593">
        <f>SUM(DZ10,DZ17)</f>
        <v>-3184.6181922212018</v>
      </c>
      <c r="EA24" s="4526">
        <f>SUM(DW24:DZ24)</f>
        <v>-9099.6539560915826</v>
      </c>
      <c r="EB24" s="3593">
        <f>SUM(EB10,EB17)</f>
        <v>-1473.6159043434416</v>
      </c>
      <c r="EC24" s="3593">
        <f>SUM(EC10,EC17)</f>
        <v>-775.55005651542047</v>
      </c>
      <c r="ED24" s="3593">
        <f>SUM(ED10,ED17)</f>
        <v>290.51672186080611</v>
      </c>
      <c r="EE24" s="3593">
        <f>SUM(EE10,EE17)</f>
        <v>629.06330772019703</v>
      </c>
      <c r="EF24" s="4526">
        <f>SUM(EB24:EE24)</f>
        <v>-1329.5859312778589</v>
      </c>
      <c r="EG24" s="3593">
        <f>SUM(EG10,EG17)</f>
        <v>-264.54183964387533</v>
      </c>
      <c r="EH24" s="3593">
        <f>SUM(EH10,EH17)</f>
        <v>-859.53039454167902</v>
      </c>
      <c r="EI24" s="3593">
        <f>SUM(EI10,EI17)</f>
        <v>-674.88251027167303</v>
      </c>
      <c r="EJ24" s="3593">
        <f>SUM(EJ10,EJ17)</f>
        <v>-177.97535632854064</v>
      </c>
      <c r="EK24" s="4526">
        <f>SUM(EG24:EJ24)</f>
        <v>-1976.930100785768</v>
      </c>
      <c r="EL24" s="3593">
        <f>SUM(EL10,EL17)</f>
        <v>-1069.0378557705199</v>
      </c>
      <c r="EM24" s="3593">
        <f>SUM(EM10,EM17)</f>
        <v>361.29231441137887</v>
      </c>
      <c r="EN24" s="3593">
        <f>SUM(EN10,EN17)</f>
        <v>875.48740326195309</v>
      </c>
      <c r="EO24" s="3593">
        <f t="shared" ref="EO24" si="58">SUM(EO10,EO17)</f>
        <v>643.90074120645932</v>
      </c>
      <c r="EP24" s="4526">
        <f>SUM(EL24:EO24)</f>
        <v>811.64260310927136</v>
      </c>
      <c r="EQ24" s="3593">
        <f t="shared" ref="EQ24:ET24" si="59">SUM(EQ10,EQ17)</f>
        <v>2108.6088920759234</v>
      </c>
      <c r="ER24" s="3593">
        <f t="shared" si="59"/>
        <v>419.83173832454577</v>
      </c>
      <c r="ES24" s="3593">
        <f t="shared" si="59"/>
        <v>-441.01358382427861</v>
      </c>
      <c r="ET24" s="3593">
        <f t="shared" si="59"/>
        <v>-168.68982062522284</v>
      </c>
      <c r="EU24" s="4526">
        <f>SUM(EQ24:ET24)</f>
        <v>1918.7372259509677</v>
      </c>
      <c r="EV24" s="4526">
        <f>SUM(EV10,EV17)</f>
        <v>0</v>
      </c>
      <c r="EW24" s="4526">
        <f>SUM(EW10,EW17)</f>
        <v>0</v>
      </c>
      <c r="EX24" s="4526">
        <f>SUM(EX10,EX17)</f>
        <v>0</v>
      </c>
      <c r="EY24" s="4526">
        <f>SUM(EY10,EY17)</f>
        <v>0</v>
      </c>
      <c r="EZ24" s="124"/>
      <c r="FA24" s="738"/>
      <c r="FB24" s="738"/>
    </row>
    <row r="25" spans="1:160" s="138" customFormat="1" ht="11.25" hidden="1" customHeight="1" outlineLevel="1">
      <c r="A25" s="5635" t="s">
        <v>882</v>
      </c>
      <c r="B25" s="124"/>
      <c r="C25" s="124"/>
      <c r="D25" s="124"/>
      <c r="E25" s="139"/>
      <c r="F25" s="3574"/>
      <c r="G25" s="124"/>
      <c r="H25" s="124"/>
      <c r="I25" s="124"/>
      <c r="J25" s="124"/>
      <c r="K25" s="997"/>
      <c r="L25" s="124"/>
      <c r="M25" s="124"/>
      <c r="N25" s="124"/>
      <c r="O25" s="124"/>
      <c r="P25" s="3967"/>
      <c r="Q25" s="3968"/>
      <c r="R25" s="3593"/>
      <c r="S25" s="3593"/>
      <c r="T25" s="3593"/>
      <c r="U25" s="3967"/>
      <c r="V25" s="3968"/>
      <c r="W25" s="3593"/>
      <c r="X25" s="3593"/>
      <c r="Y25" s="3593"/>
      <c r="Z25" s="3967"/>
      <c r="AA25" s="3968"/>
      <c r="AB25" s="3593"/>
      <c r="AC25" s="3593"/>
      <c r="AD25" s="3593"/>
      <c r="AE25" s="3967"/>
      <c r="AF25" s="3968"/>
      <c r="AG25" s="3593"/>
      <c r="AH25" s="3593"/>
      <c r="AI25" s="3593"/>
      <c r="AJ25" s="3967"/>
      <c r="AK25" s="3968"/>
      <c r="AL25" s="3593"/>
      <c r="AM25" s="3593"/>
      <c r="AN25" s="3593"/>
      <c r="AO25" s="3967"/>
      <c r="AP25" s="3968"/>
      <c r="AQ25" s="3593"/>
      <c r="AR25" s="3593"/>
      <c r="AS25" s="3593"/>
      <c r="AT25" s="3967"/>
      <c r="AU25" s="3968"/>
      <c r="AV25" s="3593"/>
      <c r="AW25" s="3593"/>
      <c r="AX25" s="3593"/>
      <c r="AY25" s="3967"/>
      <c r="AZ25" s="3968"/>
      <c r="BA25" s="3593"/>
      <c r="BB25" s="3593"/>
      <c r="BC25" s="3593"/>
      <c r="BD25" s="3967"/>
      <c r="BE25" s="3968"/>
      <c r="BF25" s="3593"/>
      <c r="BG25" s="3593"/>
      <c r="BH25" s="3593"/>
      <c r="BI25" s="3967"/>
      <c r="BJ25" s="3968"/>
      <c r="BK25" s="3593"/>
      <c r="BL25" s="3593"/>
      <c r="BM25" s="3593"/>
      <c r="BN25" s="3967"/>
      <c r="BO25" s="3593"/>
      <c r="BP25" s="3593"/>
      <c r="BQ25" s="3593"/>
      <c r="BR25" s="3593"/>
      <c r="BS25" s="4526"/>
      <c r="BT25" s="3593"/>
      <c r="BU25" s="3593"/>
      <c r="BV25" s="3593"/>
      <c r="BW25" s="3593"/>
      <c r="BX25" s="4526"/>
      <c r="BY25" s="3593"/>
      <c r="BZ25" s="3593"/>
      <c r="CA25" s="3593"/>
      <c r="CB25" s="3593"/>
      <c r="CC25" s="4526"/>
      <c r="CD25" s="3969"/>
      <c r="CE25" s="3593"/>
      <c r="CF25" s="3593"/>
      <c r="CG25" s="3593"/>
      <c r="CH25" s="4526"/>
      <c r="CI25" s="3593"/>
      <c r="CJ25" s="3593"/>
      <c r="CK25" s="3593"/>
      <c r="CL25" s="3593"/>
      <c r="CM25" s="4526"/>
      <c r="CN25" s="3593"/>
      <c r="CO25" s="3593"/>
      <c r="CP25" s="3593"/>
      <c r="CQ25" s="3593"/>
      <c r="CR25" s="4526"/>
      <c r="CS25" s="3593"/>
      <c r="CT25" s="3593"/>
      <c r="CU25" s="3593"/>
      <c r="CV25" s="3593"/>
      <c r="CW25" s="4526"/>
      <c r="CX25" s="3593"/>
      <c r="CY25" s="3593"/>
      <c r="CZ25" s="3593"/>
      <c r="DA25" s="3593"/>
      <c r="DB25" s="4526"/>
      <c r="DC25" s="3593"/>
      <c r="DD25" s="3593"/>
      <c r="DE25" s="3593"/>
      <c r="DF25" s="3593"/>
      <c r="DG25" s="1954">
        <f t="shared" ref="DG25:DQ25" si="60">DG22-DG24</f>
        <v>95734.216343354477</v>
      </c>
      <c r="DH25" s="176">
        <f t="shared" si="60"/>
        <v>26390.28696714032</v>
      </c>
      <c r="DI25" s="176">
        <f t="shared" si="60"/>
        <v>28102.350287014531</v>
      </c>
      <c r="DJ25" s="176">
        <f t="shared" si="60"/>
        <v>28927.492355500312</v>
      </c>
      <c r="DK25" s="176">
        <f t="shared" si="60"/>
        <v>32192.385357548239</v>
      </c>
      <c r="DL25" s="1954">
        <f t="shared" si="60"/>
        <v>115612.5149672034</v>
      </c>
      <c r="DM25" s="176">
        <f t="shared" si="60"/>
        <v>28813.03672971324</v>
      </c>
      <c r="DN25" s="176">
        <f t="shared" si="60"/>
        <v>25597.932101689563</v>
      </c>
      <c r="DO25" s="176">
        <f t="shared" si="60"/>
        <v>31412.499728361257</v>
      </c>
      <c r="DP25" s="176">
        <f t="shared" si="60"/>
        <v>38590.311441873586</v>
      </c>
      <c r="DQ25" s="1954">
        <f t="shared" si="60"/>
        <v>124413.78000163764</v>
      </c>
      <c r="DR25" s="176">
        <f t="shared" ref="DR25:EA25" si="61">DR22-DR24</f>
        <v>37128.720977818019</v>
      </c>
      <c r="DS25" s="176">
        <f t="shared" si="61"/>
        <v>41536.48392900559</v>
      </c>
      <c r="DT25" s="176">
        <f t="shared" si="61"/>
        <v>44703.161960107282</v>
      </c>
      <c r="DU25" s="176">
        <f t="shared" si="61"/>
        <v>52123.18858835617</v>
      </c>
      <c r="DV25" s="1954">
        <f t="shared" si="61"/>
        <v>175491.55545528707</v>
      </c>
      <c r="DW25" s="176">
        <f t="shared" si="61"/>
        <v>47862.412256846925</v>
      </c>
      <c r="DX25" s="176">
        <f>DX22-DX24</f>
        <v>49892.706150440557</v>
      </c>
      <c r="DY25" s="176">
        <f>DY22-DY24</f>
        <v>49285.917356582897</v>
      </c>
      <c r="DZ25" s="176">
        <f>DZ22-DZ24</f>
        <v>53751.618192221198</v>
      </c>
      <c r="EA25" s="1954">
        <f t="shared" si="61"/>
        <v>200792.65395609158</v>
      </c>
      <c r="EB25" s="176">
        <f>EB22-EB24</f>
        <v>48525.615904343438</v>
      </c>
      <c r="EC25" s="176">
        <f>EC22-EC24</f>
        <v>51068.550056515422</v>
      </c>
      <c r="ED25" s="176">
        <f>ED22-ED24</f>
        <v>51687.483278139196</v>
      </c>
      <c r="EE25" s="176">
        <f>EE22-EE24</f>
        <v>56590.9366922798</v>
      </c>
      <c r="EF25" s="1954">
        <f t="shared" ref="EF25:EV25" si="62">EF22-EF24</f>
        <v>207872.58593127786</v>
      </c>
      <c r="EG25" s="176">
        <f t="shared" ref="EG25:EL25" si="63">EG22-EG24</f>
        <v>54510.541839643876</v>
      </c>
      <c r="EH25" s="176">
        <f t="shared" si="63"/>
        <v>58031.530394541682</v>
      </c>
      <c r="EI25" s="176">
        <f t="shared" si="63"/>
        <v>58980.882510271673</v>
      </c>
      <c r="EJ25" s="176">
        <f t="shared" si="63"/>
        <v>64684.975356328541</v>
      </c>
      <c r="EK25" s="1954">
        <f t="shared" si="63"/>
        <v>236207.93010078577</v>
      </c>
      <c r="EL25" s="176">
        <f t="shared" si="63"/>
        <v>60698.037855770519</v>
      </c>
      <c r="EM25" s="176">
        <f t="shared" ref="EM25:EN25" si="64">EM22-EM24</f>
        <v>63624.707685588619</v>
      </c>
      <c r="EN25" s="176">
        <f t="shared" si="64"/>
        <v>65952.512596738045</v>
      </c>
      <c r="EO25" s="176">
        <f t="shared" ref="EO25" si="65">EO22-EO24</f>
        <v>73163.08</v>
      </c>
      <c r="EP25" s="1954">
        <f>EP22-EP24</f>
        <v>263438.33813809714</v>
      </c>
      <c r="EQ25" s="176">
        <f t="shared" ref="EQ25:ET25" si="66">EQ22-EQ24</f>
        <v>67127.259999999995</v>
      </c>
      <c r="ER25" s="176">
        <f t="shared" si="66"/>
        <v>72131.19</v>
      </c>
      <c r="ES25" s="176">
        <f t="shared" si="66"/>
        <v>75052.580000000016</v>
      </c>
      <c r="ET25" s="176">
        <f t="shared" si="66"/>
        <v>82593.249629673766</v>
      </c>
      <c r="EU25" s="1954">
        <f>EU22-EU24</f>
        <v>296904.27962967375</v>
      </c>
      <c r="EV25" s="1954">
        <f t="shared" si="62"/>
        <v>329173.79734404979</v>
      </c>
      <c r="EW25" s="1954">
        <f>EW22-EW24</f>
        <v>359319.45057619177</v>
      </c>
      <c r="EX25" s="1954">
        <f>EX22-EX24</f>
        <v>388637.0192405823</v>
      </c>
      <c r="EY25" s="1954">
        <f>EY22-EY24</f>
        <v>418408.2894375677</v>
      </c>
      <c r="EZ25" s="124"/>
      <c r="FA25" s="738"/>
      <c r="FB25" s="738"/>
    </row>
    <row r="26" spans="1:160" s="183" customFormat="1" ht="11.25" customHeight="1" collapsed="1">
      <c r="A26" s="5636" t="s">
        <v>635</v>
      </c>
      <c r="B26" s="2288"/>
      <c r="C26" s="2288"/>
      <c r="D26" s="2288"/>
      <c r="E26" s="2289"/>
      <c r="F26" s="4244"/>
      <c r="G26" s="2288"/>
      <c r="H26" s="2288"/>
      <c r="I26" s="2288"/>
      <c r="J26" s="2288"/>
      <c r="K26" s="2290"/>
      <c r="L26" s="2288"/>
      <c r="M26" s="2288"/>
      <c r="N26" s="2288"/>
      <c r="O26" s="2288"/>
      <c r="P26" s="2290"/>
      <c r="Q26" s="2497"/>
      <c r="R26" s="2288"/>
      <c r="S26" s="2288"/>
      <c r="T26" s="2288"/>
      <c r="U26" s="2290"/>
      <c r="V26" s="2497"/>
      <c r="W26" s="2288"/>
      <c r="X26" s="2288"/>
      <c r="Y26" s="2288"/>
      <c r="Z26" s="2290"/>
      <c r="AA26" s="2497"/>
      <c r="AB26" s="2288"/>
      <c r="AC26" s="2288"/>
      <c r="AD26" s="2288"/>
      <c r="AE26" s="2290"/>
      <c r="AF26" s="2497"/>
      <c r="AG26" s="2288"/>
      <c r="AH26" s="2288"/>
      <c r="AI26" s="2288"/>
      <c r="AJ26" s="2290"/>
      <c r="AK26" s="2497"/>
      <c r="AL26" s="2288"/>
      <c r="AM26" s="2288"/>
      <c r="AN26" s="2288"/>
      <c r="AO26" s="2290"/>
      <c r="AP26" s="2497"/>
      <c r="AQ26" s="2288"/>
      <c r="AR26" s="2288"/>
      <c r="AS26" s="2288"/>
      <c r="AT26" s="2290"/>
      <c r="AU26" s="2497"/>
      <c r="AV26" s="2288"/>
      <c r="AW26" s="2288"/>
      <c r="AX26" s="2288"/>
      <c r="AY26" s="2290"/>
      <c r="AZ26" s="2497">
        <f t="shared" ref="AZ26:BN26" si="67">+AZ569</f>
        <v>0.14020619254337374</v>
      </c>
      <c r="BA26" s="2288">
        <f t="shared" si="67"/>
        <v>0.10556534098442327</v>
      </c>
      <c r="BB26" s="2288">
        <f t="shared" si="67"/>
        <v>0.13096712576891023</v>
      </c>
      <c r="BC26" s="2288">
        <f t="shared" si="67"/>
        <v>0.15064813872957661</v>
      </c>
      <c r="BD26" s="2290">
        <f t="shared" si="67"/>
        <v>0.13202548177706541</v>
      </c>
      <c r="BE26" s="2497">
        <f t="shared" si="67"/>
        <v>0.19063337387589585</v>
      </c>
      <c r="BF26" s="2288">
        <f t="shared" si="67"/>
        <v>0.24097612036209459</v>
      </c>
      <c r="BG26" s="2288">
        <f t="shared" si="67"/>
        <v>0.24334336231076237</v>
      </c>
      <c r="BH26" s="2288">
        <f t="shared" si="67"/>
        <v>0.30070260195911258</v>
      </c>
      <c r="BI26" s="2290">
        <f t="shared" si="67"/>
        <v>0.24693156967417917</v>
      </c>
      <c r="BJ26" s="2497">
        <f t="shared" si="67"/>
        <v>0.32063205824023755</v>
      </c>
      <c r="BK26" s="2288">
        <f t="shared" si="67"/>
        <v>0.33606333035616998</v>
      </c>
      <c r="BL26" s="2288">
        <f t="shared" si="67"/>
        <v>0.34152393292003791</v>
      </c>
      <c r="BM26" s="2288">
        <f t="shared" si="67"/>
        <v>0.28198744430756739</v>
      </c>
      <c r="BN26" s="2290">
        <f t="shared" si="67"/>
        <v>0.31803295225852013</v>
      </c>
      <c r="BO26" s="2288"/>
      <c r="BP26" s="2288"/>
      <c r="BQ26" s="2288"/>
      <c r="BR26" s="2288"/>
      <c r="BS26" s="2499"/>
      <c r="BT26" s="2288">
        <f>+BT569</f>
        <v>0.24929376393095959</v>
      </c>
      <c r="BU26" s="2288">
        <f>+BU569</f>
        <v>0.24044731057820079</v>
      </c>
      <c r="BV26" s="2288">
        <f>+BV569</f>
        <v>0.19579760818860814</v>
      </c>
      <c r="BW26" s="2288">
        <f>+BW569</f>
        <v>0.20169276207147169</v>
      </c>
      <c r="BX26" s="2290">
        <f>+BX569</f>
        <v>0.22020164412955667</v>
      </c>
      <c r="BY26" s="2288"/>
      <c r="BZ26" s="2288"/>
      <c r="CA26" s="2288"/>
      <c r="CB26" s="2288"/>
      <c r="CC26" s="2499"/>
      <c r="CD26" s="2833">
        <f t="shared" ref="CD26:DF26" si="68">+CD569</f>
        <v>0.18574066556432367</v>
      </c>
      <c r="CE26" s="2288">
        <f t="shared" si="68"/>
        <v>0.18456679350210181</v>
      </c>
      <c r="CF26" s="2288">
        <f t="shared" si="68"/>
        <v>0.21996992447522934</v>
      </c>
      <c r="CG26" s="2288">
        <f t="shared" si="68"/>
        <v>0.22318292073935941</v>
      </c>
      <c r="CH26" s="2290">
        <f t="shared" si="68"/>
        <v>0.20429249909286917</v>
      </c>
      <c r="CI26" s="2497">
        <f t="shared" si="68"/>
        <v>0.21168981481481475</v>
      </c>
      <c r="CJ26" s="2288">
        <f t="shared" si="68"/>
        <v>0.23308525033829497</v>
      </c>
      <c r="CK26" s="2288">
        <f t="shared" si="68"/>
        <v>0.20008532423208192</v>
      </c>
      <c r="CL26" s="2288">
        <f t="shared" si="68"/>
        <v>0.17944581514518876</v>
      </c>
      <c r="CM26" s="2290">
        <f t="shared" si="68"/>
        <v>0.20477259366148259</v>
      </c>
      <c r="CN26" s="2497">
        <f t="shared" si="68"/>
        <v>0.13974591651542645</v>
      </c>
      <c r="CO26" s="2288">
        <f t="shared" si="68"/>
        <v>0.13415637860082308</v>
      </c>
      <c r="CP26" s="2288">
        <f t="shared" si="68"/>
        <v>0.16308211873444711</v>
      </c>
      <c r="CQ26" s="2288">
        <f t="shared" si="68"/>
        <v>0.20170568830959845</v>
      </c>
      <c r="CR26" s="2290">
        <f t="shared" si="68"/>
        <v>0.16129533104136629</v>
      </c>
      <c r="CS26" s="2497">
        <f t="shared" si="68"/>
        <v>0.20080455916862228</v>
      </c>
      <c r="CT26" s="2288">
        <f t="shared" si="68"/>
        <v>0.241735203999355</v>
      </c>
      <c r="CU26" s="2288">
        <f t="shared" si="68"/>
        <v>0.22938794223275005</v>
      </c>
      <c r="CV26" s="2288">
        <f t="shared" si="68"/>
        <v>0.20299946438136041</v>
      </c>
      <c r="CW26" s="2290">
        <f t="shared" si="68"/>
        <v>0.21827071833756717</v>
      </c>
      <c r="CX26" s="2497">
        <f t="shared" si="68"/>
        <v>0.21461474036850925</v>
      </c>
      <c r="CY26" s="2288">
        <f t="shared" si="68"/>
        <v>0.1964285714285714</v>
      </c>
      <c r="CZ26" s="2288">
        <f t="shared" si="68"/>
        <v>0.22586860587979363</v>
      </c>
      <c r="DA26" s="2288">
        <f t="shared" si="68"/>
        <v>0.23758904719501328</v>
      </c>
      <c r="DB26" s="2290">
        <f t="shared" si="68"/>
        <v>0.21953437328525505</v>
      </c>
      <c r="DC26" s="2497">
        <f t="shared" si="68"/>
        <v>0.26403493650520016</v>
      </c>
      <c r="DD26" s="2288">
        <f t="shared" si="68"/>
        <v>0.26252374491180452</v>
      </c>
      <c r="DE26" s="2288">
        <f t="shared" si="68"/>
        <v>0.21959134005982861</v>
      </c>
      <c r="DF26" s="2288">
        <f t="shared" si="68"/>
        <v>0.22931689931236976</v>
      </c>
      <c r="DG26" s="2290">
        <f>DG25/DB22-1</f>
        <v>0.22797573585965392</v>
      </c>
      <c r="DH26" s="2288">
        <f>(DH22-DH24)/DC22-1</f>
        <v>0.1996675591935777</v>
      </c>
      <c r="DI26" s="2288">
        <f>(DI22-DI24)/DD22-1</f>
        <v>0.20807971313793017</v>
      </c>
      <c r="DJ26" s="2288">
        <f>(DJ22-DJ24)/DE22-1</f>
        <v>0.20260631726533274</v>
      </c>
      <c r="DK26" s="2288">
        <f>(DK22-DK24)/DF22-1</f>
        <v>0.19563176815406647</v>
      </c>
      <c r="DL26" s="2290">
        <f t="shared" ref="DL26:EN26" si="69">DL25/DG22-1</f>
        <v>0.19866579887407498</v>
      </c>
      <c r="DM26" s="2288">
        <f t="shared" si="69"/>
        <v>0.12674162090228536</v>
      </c>
      <c r="DN26" s="2288">
        <f t="shared" si="69"/>
        <v>-6.045395112168972E-2</v>
      </c>
      <c r="DO26" s="2288">
        <f t="shared" si="69"/>
        <v>0.10045541174851147</v>
      </c>
      <c r="DP26" s="2288">
        <f t="shared" si="69"/>
        <v>0.20965179116900456</v>
      </c>
      <c r="DQ26" s="2290">
        <f t="shared" si="69"/>
        <v>9.8440634284835848E-2</v>
      </c>
      <c r="DR26" s="2288">
        <f t="shared" si="69"/>
        <v>0.30093626411415619</v>
      </c>
      <c r="DS26" s="2288">
        <f t="shared" si="69"/>
        <v>0.65279869201406981</v>
      </c>
      <c r="DT26" s="2288">
        <f t="shared" si="69"/>
        <v>0.42480197482413651</v>
      </c>
      <c r="DU26" s="2288">
        <f t="shared" si="69"/>
        <v>0.34379675642869367</v>
      </c>
      <c r="DV26" s="2290">
        <f>DV25/DQ22-1</f>
        <v>0.41715163408504186</v>
      </c>
      <c r="DW26" s="2288">
        <f t="shared" si="69"/>
        <v>0.26339384058829385</v>
      </c>
      <c r="DX26" s="2288">
        <f t="shared" si="69"/>
        <v>0.16443872734241727</v>
      </c>
      <c r="DY26" s="2288">
        <f t="shared" si="69"/>
        <v>9.2063489764970807E-2</v>
      </c>
      <c r="DZ26" s="2288">
        <f t="shared" si="69"/>
        <v>3.4998617326244874E-2</v>
      </c>
      <c r="EA26" s="2290">
        <f t="shared" ref="EA26:EF26" si="70">EA25/DV22-1</f>
        <v>0.12934292085362764</v>
      </c>
      <c r="EB26" s="2288">
        <f t="shared" si="69"/>
        <v>4.3853462351699068E-2</v>
      </c>
      <c r="EC26" s="2288">
        <f t="shared" si="69"/>
        <v>6.3285724385588216E-2</v>
      </c>
      <c r="ED26" s="2288">
        <f t="shared" si="69"/>
        <v>0.10893549191459329</v>
      </c>
      <c r="EE26" s="2288">
        <f t="shared" si="69"/>
        <v>0.11912782431783175</v>
      </c>
      <c r="EF26" s="2290">
        <f t="shared" si="70"/>
        <v>8.4403634620345391E-2</v>
      </c>
      <c r="EG26" s="2288">
        <f t="shared" si="69"/>
        <v>0.15851699905729566</v>
      </c>
      <c r="EH26" s="2288">
        <f t="shared" si="69"/>
        <v>0.15386893592630546</v>
      </c>
      <c r="EI26" s="2288">
        <f t="shared" si="69"/>
        <v>0.13472781773580511</v>
      </c>
      <c r="EJ26" s="2288">
        <f t="shared" si="69"/>
        <v>0.13046094645803108</v>
      </c>
      <c r="EK26" s="2290">
        <f>EK25/EF22-1</f>
        <v>0.14362592826087428</v>
      </c>
      <c r="EL26" s="2288">
        <f t="shared" si="69"/>
        <v>0.11894034317314683</v>
      </c>
      <c r="EM26" s="2288">
        <f t="shared" si="69"/>
        <v>0.11286482343784754</v>
      </c>
      <c r="EN26" s="2288">
        <f t="shared" si="69"/>
        <v>0.1311445236637403</v>
      </c>
      <c r="EO26" s="2288">
        <f t="shared" ref="EO26" si="71">EO25/EJ22-1</f>
        <v>0.13418822763421034</v>
      </c>
      <c r="EP26" s="2290">
        <f>EP25/EK22-1</f>
        <v>0.1246945884110009</v>
      </c>
      <c r="EQ26" s="2288">
        <f t="shared" ref="EQ26" si="72">EQ25/EL22-1</f>
        <v>0.12574854517097367</v>
      </c>
      <c r="ER26" s="2288">
        <f t="shared" ref="ER26" si="73">ER25/EM22-1</f>
        <v>0.12729643984621641</v>
      </c>
      <c r="ES26" s="2288">
        <f t="shared" ref="ES26" si="74">ES25/EN22-1</f>
        <v>0.12307086849823445</v>
      </c>
      <c r="ET26" s="2288">
        <f t="shared" ref="ET26" si="75">ET25/EO22-1</f>
        <v>0.11904387363134528</v>
      </c>
      <c r="EU26" s="2290">
        <f>EU25/EP22-1</f>
        <v>0.12357351473356326</v>
      </c>
      <c r="EV26" s="2290">
        <f>EV25/EU22-1</f>
        <v>0.10156774671440028</v>
      </c>
      <c r="EW26" s="2290">
        <f>EW25/EV22-1</f>
        <v>9.1579747462809058E-2</v>
      </c>
      <c r="EX26" s="2290">
        <f>EX25/EW22-1</f>
        <v>8.1591933354506541E-2</v>
      </c>
      <c r="EY26" s="2290">
        <f>EY25/EX22-1</f>
        <v>7.6604308707286961E-2</v>
      </c>
      <c r="EZ26" s="169"/>
      <c r="FA26" s="725"/>
      <c r="FB26" s="725"/>
      <c r="FD26" s="2613"/>
    </row>
    <row r="27" spans="1:160" s="194" customFormat="1" ht="11.25" customHeight="1">
      <c r="A27" s="5634" t="s">
        <v>46</v>
      </c>
      <c r="B27" s="2612"/>
      <c r="C27" s="169"/>
      <c r="D27" s="169"/>
      <c r="E27" s="169"/>
      <c r="F27" s="5597"/>
      <c r="G27" s="2612"/>
      <c r="H27" s="169"/>
      <c r="I27" s="169"/>
      <c r="J27" s="169"/>
      <c r="K27" s="1381"/>
      <c r="L27" s="169"/>
      <c r="M27" s="169"/>
      <c r="N27" s="169"/>
      <c r="O27" s="169"/>
      <c r="P27" s="1021"/>
      <c r="Q27" s="1226" t="s">
        <v>116</v>
      </c>
      <c r="R27" s="169">
        <f>+R22/Q22-1</f>
        <v>0.51939759424683163</v>
      </c>
      <c r="S27" s="169">
        <f>+S22/R22-1</f>
        <v>0.61928083766670183</v>
      </c>
      <c r="T27" s="169">
        <f>+T22/S22-1</f>
        <v>0.3290781412307251</v>
      </c>
      <c r="U27" s="1021"/>
      <c r="V27" s="1226">
        <f>+V22/T22-1</f>
        <v>0.29768413924257686</v>
      </c>
      <c r="W27" s="169">
        <f>+W22/V22-1</f>
        <v>0.15960734642178598</v>
      </c>
      <c r="X27" s="169">
        <f>+X22/W22-1</f>
        <v>0.13182269991589379</v>
      </c>
      <c r="Y27" s="169">
        <f>+Y22/X22-1</f>
        <v>0.17652565395509523</v>
      </c>
      <c r="Z27" s="1021"/>
      <c r="AA27" s="1226">
        <f>+AA22/Y22-1</f>
        <v>0.24489176530419732</v>
      </c>
      <c r="AB27" s="169">
        <f>+AB22/AA22-1</f>
        <v>0.13148531291593657</v>
      </c>
      <c r="AC27" s="169">
        <f>+AC22/AB22-1</f>
        <v>0.19874680440947801</v>
      </c>
      <c r="AD27" s="169">
        <f>+AD22/AC22-1</f>
        <v>0.28828758804955079</v>
      </c>
      <c r="AE27" s="1021"/>
      <c r="AF27" s="1226">
        <f>+AF22/AD22-1</f>
        <v>0.23870939764851373</v>
      </c>
      <c r="AG27" s="169">
        <f>+AG22/AF22-1</f>
        <v>0.12203320382479932</v>
      </c>
      <c r="AH27" s="169">
        <f>+AH22/AG22-1</f>
        <v>0.20009848447852052</v>
      </c>
      <c r="AI27" s="169">
        <f>+AI22/AH22-1</f>
        <v>0.24136890329712801</v>
      </c>
      <c r="AJ27" s="1021"/>
      <c r="AK27" s="1226">
        <f>+AK22/AI22-1</f>
        <v>0.18129816347102068</v>
      </c>
      <c r="AL27" s="169">
        <f>+AL22/AK22-1</f>
        <v>0.10417191788899705</v>
      </c>
      <c r="AM27" s="169">
        <f>+AM22/AL22-1</f>
        <v>0.13509338125086834</v>
      </c>
      <c r="AN27" s="184">
        <f>+AN22/AM22-1</f>
        <v>0.21591018815149288</v>
      </c>
      <c r="AO27" s="1021"/>
      <c r="AP27" s="1226">
        <f>+AP22/AN22-1</f>
        <v>0.15431083406422341</v>
      </c>
      <c r="AQ27" s="169">
        <f>+AQ22/AP22-1</f>
        <v>8.9464581413518429E-2</v>
      </c>
      <c r="AR27" s="169">
        <f>+AR22/AQ22-1</f>
        <v>9.9934440471545871E-2</v>
      </c>
      <c r="AS27" s="184">
        <f>+AS22/AR22-1</f>
        <v>0.14143236179022933</v>
      </c>
      <c r="AT27" s="1021"/>
      <c r="AU27" s="1226">
        <f>+AU22/AS22-1</f>
        <v>8.9336061474804662E-2</v>
      </c>
      <c r="AV27" s="169">
        <f>+AV22/AU22-1</f>
        <v>3.815427868150989E-2</v>
      </c>
      <c r="AW27" s="169">
        <f>+AW22/AV22-1</f>
        <v>4.0215345262021751E-2</v>
      </c>
      <c r="AX27" s="184">
        <f>+AX22/AW22-1</f>
        <v>3.7867864016093211E-2</v>
      </c>
      <c r="AY27" s="1021"/>
      <c r="AZ27" s="1226">
        <f>+AZ22/AX22-1</f>
        <v>-3.1051651909153377E-2</v>
      </c>
      <c r="BA27" s="169">
        <f>+BA22/AZ22-1</f>
        <v>-1.0884626747612813E-2</v>
      </c>
      <c r="BB27" s="169">
        <f>+BB22/BA22-1</f>
        <v>8.2982170645354625E-2</v>
      </c>
      <c r="BC27" s="184">
        <f>+BC22/BB22-1</f>
        <v>0.11769581905341897</v>
      </c>
      <c r="BD27" s="1021"/>
      <c r="BE27" s="1226">
        <f>+BE22/BC22-1</f>
        <v>4.0024390994148895E-3</v>
      </c>
      <c r="BF27" s="169">
        <f>+BF22/BE22-1</f>
        <v>1.3516557783284533E-2</v>
      </c>
      <c r="BG27" s="169">
        <f>+BG22/BF22-1</f>
        <v>7.4238719715492341E-2</v>
      </c>
      <c r="BH27" s="184">
        <f>+BH22/BG22-1</f>
        <v>0.17359817918477138</v>
      </c>
      <c r="BI27" s="1021"/>
      <c r="BJ27" s="1226">
        <f>+BJ22/BH22-1</f>
        <v>3.6495063469675681E-2</v>
      </c>
      <c r="BK27" s="169">
        <f>+BK22/BJ22-1</f>
        <v>6.0044225208368829E-2</v>
      </c>
      <c r="BL27" s="169">
        <f>+BL22/BK22-1</f>
        <v>8.1514762516046169E-2</v>
      </c>
      <c r="BM27" s="169">
        <f>+BM22/BL22-1</f>
        <v>8.2195845697329295E-2</v>
      </c>
      <c r="BN27" s="1021"/>
      <c r="BO27" s="193"/>
      <c r="BP27" s="193"/>
      <c r="BQ27" s="193"/>
      <c r="BR27" s="193"/>
      <c r="BS27" s="2430"/>
      <c r="BT27" s="169">
        <f>+BT22/BM22-1</f>
        <v>2.4677817384151091E-3</v>
      </c>
      <c r="BU27" s="169">
        <f>+BU22/BT22-1</f>
        <v>3.1455142231947564E-2</v>
      </c>
      <c r="BV27" s="169">
        <f>+BV22/BU22-1</f>
        <v>2.4529302572261935E-2</v>
      </c>
      <c r="BW27" s="169">
        <f>+BW22/BV22-1</f>
        <v>0.11815711142746221</v>
      </c>
      <c r="BX27" s="1021"/>
      <c r="BY27" s="193"/>
      <c r="BZ27" s="193"/>
      <c r="CA27" s="193"/>
      <c r="CB27" s="193"/>
      <c r="CC27" s="2430"/>
      <c r="CD27" s="576">
        <f>+CD22/BW22-1</f>
        <v>0</v>
      </c>
      <c r="CE27" s="169">
        <f>+CE22/CD22-1</f>
        <v>2.6388888888888795E-2</v>
      </c>
      <c r="CF27" s="169">
        <f>+CF22/CE22-1</f>
        <v>5.728461885430769E-2</v>
      </c>
      <c r="CG27" s="169">
        <f>+CG22/CF22-1</f>
        <v>0.12393344709897613</v>
      </c>
      <c r="CH27" s="1021"/>
      <c r="CI27" s="1226">
        <f>+CI22/CG22-1</f>
        <v>-6.5477320174606168E-3</v>
      </c>
      <c r="CJ27" s="169">
        <f>+CJ22/CI22-1</f>
        <v>4.4512369853854317E-2</v>
      </c>
      <c r="CK27" s="169">
        <f>+CK22/CJ22-1</f>
        <v>2.8989483310470909E-2</v>
      </c>
      <c r="CL27" s="169">
        <f>+CL22/CK22-1</f>
        <v>0.10460362602204043</v>
      </c>
      <c r="CM27" s="1021"/>
      <c r="CN27" s="169">
        <f>+CN22/CL22-1</f>
        <v>-3.9987126880682289E-2</v>
      </c>
      <c r="CO27" s="169">
        <f>+CO22/CN22-1</f>
        <v>3.9389875963794729E-2</v>
      </c>
      <c r="CP27" s="169">
        <f>+CP22/CO22-1</f>
        <v>5.5233026931140072E-2</v>
      </c>
      <c r="CQ27" s="169">
        <f>+CQ22/CP22-1</f>
        <v>0.14128524489951855</v>
      </c>
      <c r="CR27" s="1021"/>
      <c r="CS27" s="169">
        <f>+CS22/CQ22-1</f>
        <v>-4.0707016604177859E-2</v>
      </c>
      <c r="CT27" s="169">
        <f>+CT22/CS22-1</f>
        <v>7.4818537130094898E-2</v>
      </c>
      <c r="CU27" s="169">
        <f>+CU22/CT22-1</f>
        <v>4.4740259740259747E-2</v>
      </c>
      <c r="CV27" s="169">
        <f>+CV22/CU22-1</f>
        <v>0.11678786748710301</v>
      </c>
      <c r="CW27" s="1021"/>
      <c r="CX27" s="169">
        <f>+CX22/CV22-1</f>
        <v>-3.1444790739091677E-2</v>
      </c>
      <c r="CY27" s="169">
        <f>+CY22/CX22-1</f>
        <v>5.8725507096477614E-2</v>
      </c>
      <c r="CZ27" s="169">
        <f>+CZ22/CY22-1</f>
        <v>7.0447761194029956E-2</v>
      </c>
      <c r="DA27" s="169">
        <f>+DA22/CZ22-1</f>
        <v>0.12746539573087268</v>
      </c>
      <c r="DB27" s="1021"/>
      <c r="DC27" s="2612">
        <f>+DC22/DA22-1</f>
        <v>-1.0747852677969183E-2</v>
      </c>
      <c r="DD27" s="2612">
        <f>+DD22/DC22-1</f>
        <v>5.7459769069915456E-2</v>
      </c>
      <c r="DE27" s="2612">
        <f>+DE22/DD22-1</f>
        <v>3.4046943513025507E-2</v>
      </c>
      <c r="DF27" s="2612">
        <f>+DF22/DE22-1</f>
        <v>0.11935644799201794</v>
      </c>
      <c r="DG27" s="1021"/>
      <c r="DH27" s="2612">
        <f>+DH22/DF22-1</f>
        <v>-5.0250696378830062E-2</v>
      </c>
      <c r="DI27" s="2612">
        <f>+DI22/DH22-1</f>
        <v>6.5423119036446042E-2</v>
      </c>
      <c r="DJ27" s="2612">
        <f>+DJ22/DI22-1</f>
        <v>4.7715177096715022E-2</v>
      </c>
      <c r="DK27" s="2612">
        <f>+DK22/DJ22-1</f>
        <v>0.11760378349973721</v>
      </c>
      <c r="DL27" s="1021"/>
      <c r="DM27" s="2612">
        <f>+DM22/DK22-1</f>
        <v>-0.1053852423045577</v>
      </c>
      <c r="DN27" s="2612">
        <f>+DN22/DM22-1</f>
        <v>-0.1194463910301331</v>
      </c>
      <c r="DO27" s="2612">
        <f>+DO22/DN22-1</f>
        <v>0.24845807966256817</v>
      </c>
      <c r="DP27" s="2612">
        <f>+DP22/DO22-1</f>
        <v>0.23627091633466146</v>
      </c>
      <c r="DQ27" s="1021"/>
      <c r="DR27" s="2612">
        <f>+DR22/DP22-1</f>
        <v>-2.3306177168196385E-2</v>
      </c>
      <c r="DS27" s="2612">
        <f>+DS22/DR22-1</f>
        <v>0.13100517368810061</v>
      </c>
      <c r="DT27" s="2612">
        <f>+DT22/DS22-1</f>
        <v>5.3305949074614389E-2</v>
      </c>
      <c r="DU27" s="2612">
        <f>+DU22/DT22-1</f>
        <v>0.15073895991668707</v>
      </c>
      <c r="DV27" s="1021"/>
      <c r="DW27" s="2612">
        <f>+DW22/DU22-1</f>
        <v>-0.10488312088419915</v>
      </c>
      <c r="DX27" s="2612">
        <f>+DX22/DW22-1</f>
        <v>3.3170563813539333E-2</v>
      </c>
      <c r="DY27" s="2612">
        <f>+DY22/DX22-1</f>
        <v>-2.9544650107226844E-2</v>
      </c>
      <c r="DZ27" s="2612">
        <f>+DZ22/DY22-1</f>
        <v>8.4895945076163937E-2</v>
      </c>
      <c r="EA27" s="1021"/>
      <c r="EB27" s="2612">
        <f>+EB22/DZ22-1</f>
        <v>-6.9511736903514199E-2</v>
      </c>
      <c r="EC27" s="2612">
        <f>+EC22/EB22-1</f>
        <v>6.8881237779478077E-2</v>
      </c>
      <c r="ED27" s="2612">
        <f>+ED22/EC22-1</f>
        <v>3.3503668502574913E-2</v>
      </c>
      <c r="EE27" s="2612">
        <f>+EE22/ED22-1</f>
        <v>0.10085035976759404</v>
      </c>
      <c r="EF27" s="1021"/>
      <c r="EG27" s="2612">
        <f>+EG22/EE22-1</f>
        <v>-5.1974833974134937E-2</v>
      </c>
      <c r="EH27" s="2612">
        <f>+EH22/EG22-1</f>
        <v>5.3939460974081088E-2</v>
      </c>
      <c r="EI27" s="2612">
        <f>+EI22/EH22-1</f>
        <v>1.9834884209053438E-2</v>
      </c>
      <c r="EJ27" s="2612">
        <f>+EJ22/EI22-1</f>
        <v>0.10635269097519973</v>
      </c>
      <c r="EK27" s="1021"/>
      <c r="EL27" s="2612">
        <f>+EL22/EJ22-1</f>
        <v>-7.5619700187576577E-2</v>
      </c>
      <c r="EM27" s="2612">
        <f>+EM22/EL22-1</f>
        <v>7.30684733938185E-2</v>
      </c>
      <c r="EN27" s="2612">
        <f>+EN22/EM22-1</f>
        <v>4.4415965992560924E-2</v>
      </c>
      <c r="EO27" s="2612">
        <f>+EO22/EN22-1</f>
        <v>0.10443198571267209</v>
      </c>
      <c r="EP27" s="1021"/>
      <c r="EQ27" s="2612">
        <f>+EQ22/EO22-1</f>
        <v>-6.1933326674864064E-2</v>
      </c>
      <c r="ER27" s="2612">
        <f>+ER22/EQ22-1</f>
        <v>4.7882014038362897E-2</v>
      </c>
      <c r="ES27" s="2612">
        <f>+ES22/ER22-1</f>
        <v>2.8401318527023767E-2</v>
      </c>
      <c r="ET27" s="2612">
        <f>+ET22/ES22-1</f>
        <v>0.10471557920782315</v>
      </c>
      <c r="EU27" s="1021"/>
      <c r="EV27" s="1021"/>
      <c r="EW27" s="1021"/>
      <c r="EX27" s="1021"/>
      <c r="EY27" s="1021"/>
      <c r="EZ27" s="193"/>
      <c r="FA27" s="725"/>
      <c r="FB27" s="725"/>
    </row>
    <row r="28" spans="1:160" s="77" customFormat="1" ht="11.25" hidden="1" customHeight="1" outlineLevel="1">
      <c r="A28" s="5635" t="s">
        <v>428</v>
      </c>
      <c r="B28" s="127"/>
      <c r="C28" s="127"/>
      <c r="D28" s="127"/>
      <c r="E28" s="127"/>
      <c r="F28" s="5088"/>
      <c r="G28" s="127"/>
      <c r="H28" s="127"/>
      <c r="I28" s="127"/>
      <c r="J28" s="127"/>
      <c r="K28" s="1219"/>
      <c r="L28" s="127"/>
      <c r="M28" s="127"/>
      <c r="N28" s="127"/>
      <c r="O28" s="127"/>
      <c r="P28" s="1001"/>
      <c r="Q28" s="127">
        <f>+Q22/U22</f>
        <v>0.12121650411430135</v>
      </c>
      <c r="R28" s="127">
        <f>+R22/U22</f>
        <v>0.18417606473428064</v>
      </c>
      <c r="S28" s="127">
        <f>+S22/U22</f>
        <v>0.29823277238108264</v>
      </c>
      <c r="T28" s="127">
        <f>+T22/U22</f>
        <v>0.39637465877033523</v>
      </c>
      <c r="U28" s="1001"/>
      <c r="V28" s="127">
        <f>+V22/Z22</f>
        <v>0.19935282925726869</v>
      </c>
      <c r="W28" s="127">
        <f>+W22/Z22</f>
        <v>0.23117100533669671</v>
      </c>
      <c r="X28" s="127">
        <f>+X22/Z22</f>
        <v>0.26164459140245161</v>
      </c>
      <c r="Y28" s="127">
        <f>+Y22/Z22</f>
        <v>0.30783157400358307</v>
      </c>
      <c r="Z28" s="1001"/>
      <c r="AA28" s="127">
        <f>+AA22/AE22</f>
        <v>0.19101331477311773</v>
      </c>
      <c r="AB28" s="127">
        <f>+AB22/AE22</f>
        <v>0.21612876023717137</v>
      </c>
      <c r="AC28" s="127">
        <f>+AC22/AE22</f>
        <v>0.25908366067529148</v>
      </c>
      <c r="AD28" s="127">
        <f>+AD22/AE22</f>
        <v>0.33377426431441948</v>
      </c>
      <c r="AE28" s="1001"/>
      <c r="AF28" s="127">
        <f>+AF22/AJ22</f>
        <v>0.19454687902254403</v>
      </c>
      <c r="AG28" s="127">
        <f>+AG22/AJ22</f>
        <v>0.2182880579637807</v>
      </c>
      <c r="AH28" s="127">
        <f>+AH22/AJ22</f>
        <v>0.2619671675420927</v>
      </c>
      <c r="AI28" s="127">
        <f>+AI22/AJ22</f>
        <v>0.32519789547158262</v>
      </c>
      <c r="AJ28" s="1001"/>
      <c r="AK28" s="127">
        <f>+AK22/AO22</f>
        <v>0.20485687445847386</v>
      </c>
      <c r="AL28" s="127">
        <f>+AL22/AO22</f>
        <v>0.22619720796355858</v>
      </c>
      <c r="AM28" s="127">
        <f>+AM22/AO22</f>
        <v>0.25675495361686157</v>
      </c>
      <c r="AN28" s="127">
        <f>+AN22/AO22</f>
        <v>0.31219096396110591</v>
      </c>
      <c r="AO28" s="1001"/>
      <c r="AP28" s="127">
        <f>+AP22/AT22</f>
        <v>0.21479380229438819</v>
      </c>
      <c r="AQ28" s="127">
        <f>+AQ22/AT22</f>
        <v>0.23401023990687364</v>
      </c>
      <c r="AR28" s="127">
        <f>+AR22/AT22</f>
        <v>0.25739592229657932</v>
      </c>
      <c r="AS28" s="127">
        <f>+AS22/AT22</f>
        <v>0.29380003550215883</v>
      </c>
      <c r="AT28" s="1001"/>
      <c r="AU28" s="127">
        <f>+AU22/AY22</f>
        <v>0.23591271076029982</v>
      </c>
      <c r="AV28" s="127">
        <f>+AV22/AY22</f>
        <v>0.24491379007115874</v>
      </c>
      <c r="AW28" s="127">
        <f>+AW22/AY22</f>
        <v>0.25476308269830072</v>
      </c>
      <c r="AX28" s="127">
        <f>+AX22/AY22</f>
        <v>0.26441041647024066</v>
      </c>
      <c r="AY28" s="1001"/>
      <c r="AZ28" s="127">
        <f>+AZ22/BD22</f>
        <v>0.23487526082071242</v>
      </c>
      <c r="BA28" s="127">
        <f>+BA22/BD22</f>
        <v>0.23231873127443078</v>
      </c>
      <c r="BB28" s="127">
        <f>+BB22/BD22</f>
        <v>0.25159704387715787</v>
      </c>
      <c r="BC28" s="127">
        <f>+BC22/BD22</f>
        <v>0.2812089640276989</v>
      </c>
      <c r="BD28" s="1001"/>
      <c r="BE28" s="127">
        <f>+BE22/BI22</f>
        <v>0.22830838862315486</v>
      </c>
      <c r="BF28" s="127">
        <f>+BF22/BI22</f>
        <v>0.23139433215038832</v>
      </c>
      <c r="BG28" s="127">
        <f>+BG22/BI22</f>
        <v>0.24857275111865454</v>
      </c>
      <c r="BH28" s="127">
        <f>+BH22/BI22</f>
        <v>0.29172452810780231</v>
      </c>
      <c r="BI28" s="1001"/>
      <c r="BJ28" s="127">
        <f>+BJ22/BN22</f>
        <v>0.22486135016255498</v>
      </c>
      <c r="BK28" s="127">
        <f>+BK22/BN22</f>
        <v>0.2383629757123733</v>
      </c>
      <c r="BL28" s="127">
        <f>+BL22/BN22</f>
        <v>0.25779307707018551</v>
      </c>
      <c r="BM28" s="127">
        <f>+BM22/BN22</f>
        <v>0.27898259705488621</v>
      </c>
      <c r="BN28" s="1001"/>
      <c r="BO28" s="42"/>
      <c r="BP28" s="42"/>
      <c r="BQ28" s="42"/>
      <c r="BR28" s="42"/>
      <c r="BS28" s="597"/>
      <c r="BT28" s="127">
        <f>+BT22/BX22</f>
        <v>0.23420133884244579</v>
      </c>
      <c r="BU28" s="127">
        <f>+BU22/BX22</f>
        <v>0.24156817526664745</v>
      </c>
      <c r="BV28" s="127">
        <f>+BV22/BX22</f>
        <v>0.24749367412959225</v>
      </c>
      <c r="BW28" s="127">
        <f>+BW22/BX22</f>
        <v>0.27673681176131448</v>
      </c>
      <c r="BX28" s="1001"/>
      <c r="BY28" s="42"/>
      <c r="BZ28" s="42"/>
      <c r="CA28" s="42"/>
      <c r="CB28" s="42"/>
      <c r="CC28" s="597"/>
      <c r="CD28" s="127">
        <f>+CD22/CH22</f>
        <v>0.23088023088023088</v>
      </c>
      <c r="CE28" s="127">
        <f>+CE22/CH22</f>
        <v>0.2369729036395703</v>
      </c>
      <c r="CF28" s="127">
        <f>+CF22/CH22</f>
        <v>0.25054780610336164</v>
      </c>
      <c r="CG28" s="127">
        <f>+CG22/CH22</f>
        <v>0.28159905937683716</v>
      </c>
      <c r="CH28" s="1001"/>
      <c r="CI28" s="127">
        <f>+CI22/CM22</f>
        <v>0.23220583342575135</v>
      </c>
      <c r="CJ28" s="127">
        <f>+CJ22/CM22</f>
        <v>0.24254186536542088</v>
      </c>
      <c r="CK28" s="127">
        <f>+CK22/CM22</f>
        <v>0.24957302872352224</v>
      </c>
      <c r="CL28" s="127">
        <f>+CL22/CM22</f>
        <v>0.27567927248530555</v>
      </c>
      <c r="CM28" s="1001"/>
      <c r="CN28" s="127">
        <f>+CN22/CR22</f>
        <v>0.22789693832725327</v>
      </c>
      <c r="CO28" s="127">
        <f>+CO22/CR22</f>
        <v>0.23687377046049238</v>
      </c>
      <c r="CP28" s="127">
        <f>+CP22/CR22</f>
        <v>0.24995702580361748</v>
      </c>
      <c r="CQ28" s="127">
        <f>+CQ22/CR22</f>
        <v>0.28527226540863687</v>
      </c>
      <c r="CR28" s="1001"/>
      <c r="CS28" s="127">
        <f>+CS22/CW22</f>
        <v>0.22462961511327115</v>
      </c>
      <c r="CT28" s="127">
        <f>+CT22/CW22</f>
        <v>0.24143607431214234</v>
      </c>
      <c r="CU28" s="127">
        <f>+CU22/CW22</f>
        <v>0.25223798698753624</v>
      </c>
      <c r="CV28" s="127">
        <f>+CV22/CW22</f>
        <v>0.28169632358705027</v>
      </c>
      <c r="CW28" s="1001"/>
      <c r="CX28" s="127">
        <f>+CX22/DB22</f>
        <v>0.22322699811444183</v>
      </c>
      <c r="CY28" s="127">
        <f>+CY22/DB22</f>
        <v>0.2363361167763369</v>
      </c>
      <c r="CZ28" s="127">
        <f>+CZ22/DB22</f>
        <v>0.25298546709252062</v>
      </c>
      <c r="DA28" s="127">
        <f>+DA22/DB22</f>
        <v>0.28523235976962841</v>
      </c>
      <c r="DB28" s="1001"/>
      <c r="DC28" s="127">
        <f>+DC22/DG22</f>
        <v>0.22807435900094347</v>
      </c>
      <c r="DD28" s="127">
        <f>+DD22/DG22</f>
        <v>0.2411794589999067</v>
      </c>
      <c r="DE28" s="127">
        <f>+DE22/DG22</f>
        <v>0.24939088241697857</v>
      </c>
      <c r="DF28" s="127">
        <f>+DF22/DG22</f>
        <v>0.27915729230386416</v>
      </c>
      <c r="DG28" s="1001"/>
      <c r="DH28" s="127">
        <f>+DH22/DL22</f>
        <v>0.22577341432405706</v>
      </c>
      <c r="DI28" s="127">
        <f>+DI22/DL22</f>
        <v>0.24054421528464473</v>
      </c>
      <c r="DJ28" s="127">
        <f>+DJ22/DL22</f>
        <v>0.25202182511654186</v>
      </c>
      <c r="DK28" s="127">
        <f>+DK22/DL22</f>
        <v>0.28166054527475631</v>
      </c>
      <c r="DL28" s="1001"/>
      <c r="DM28" s="127">
        <f>+DM22/DQ22</f>
        <v>0.2304698225043203</v>
      </c>
      <c r="DN28" s="127">
        <f>+DN22/DQ22</f>
        <v>0.20294103396482388</v>
      </c>
      <c r="DO28" s="127">
        <f>+DO22/DQ22</f>
        <v>0.25336337354846006</v>
      </c>
      <c r="DP28" s="127">
        <f>+DP22/DQ22</f>
        <v>0.31322576998239576</v>
      </c>
      <c r="DQ28" s="1001"/>
      <c r="DR28" s="127">
        <f>+DR22/DV22</f>
        <v>0.21307565974487616</v>
      </c>
      <c r="DS28" s="127">
        <f>+DS22/DV22</f>
        <v>0.24098967355846027</v>
      </c>
      <c r="DT28" s="127">
        <f>+DT22/DV22</f>
        <v>0.25383585682467547</v>
      </c>
      <c r="DU28" s="127">
        <f>+DU22/DV22</f>
        <v>0.29209880987198811</v>
      </c>
      <c r="DV28" s="1001"/>
      <c r="DW28" s="127">
        <f>+DW22/EA22</f>
        <v>0.24250755113645256</v>
      </c>
      <c r="DX28" s="127">
        <f>+DX22/EA22</f>
        <v>0.25055166333668938</v>
      </c>
      <c r="DY28" s="127">
        <f>+DY22/EA22</f>
        <v>0.24314920210962321</v>
      </c>
      <c r="DZ28" s="127">
        <f>+DZ22/EA22</f>
        <v>0.26379158341723485</v>
      </c>
      <c r="EA28" s="1001"/>
      <c r="EB28" s="127">
        <f>+EB22/EF22</f>
        <v>0.22780728468164013</v>
      </c>
      <c r="EC28" s="127">
        <f>+EC22/EF22</f>
        <v>0.24349893242569343</v>
      </c>
      <c r="ED28" s="127">
        <f>+ED22/EF22</f>
        <v>0.25165703993841476</v>
      </c>
      <c r="EE28" s="127">
        <f>+EE22/EF22</f>
        <v>0.27703674295425168</v>
      </c>
      <c r="EF28" s="1001"/>
      <c r="EG28" s="127">
        <f>+EG22/EK22</f>
        <v>0.23159189005725117</v>
      </c>
      <c r="EH28" s="127">
        <f>+EH22/EK22</f>
        <v>0.24408383177290793</v>
      </c>
      <c r="EI28" s="127">
        <f>+EI22/EK22</f>
        <v>0.24892520631342563</v>
      </c>
      <c r="EJ28" s="127">
        <f>+EJ22/EK22</f>
        <v>0.27539907185641527</v>
      </c>
      <c r="EK28" s="1001"/>
      <c r="EL28" s="127">
        <f>+EL22/EP22</f>
        <v>0.22565375343734742</v>
      </c>
      <c r="EM28" s="127">
        <f>+EM22/EP22</f>
        <v>0.24214192871659951</v>
      </c>
      <c r="EN28" s="127">
        <f>+EN22/EP22</f>
        <v>0.25289689638784907</v>
      </c>
      <c r="EO28" s="127">
        <f>+EO22/EP22</f>
        <v>0.27930742145820409</v>
      </c>
      <c r="EP28" s="1001"/>
      <c r="EQ28" s="127">
        <f>+EQ22/EU22</f>
        <v>0.23169523425809926</v>
      </c>
      <c r="ER28" s="127">
        <f>+ER22/EU22</f>
        <v>0.24278926871746734</v>
      </c>
      <c r="ES28" s="127">
        <f>+ES22/EU22</f>
        <v>0.2496848040732553</v>
      </c>
      <c r="ET28" s="127">
        <f>+ET22/EU22</f>
        <v>0.27583069295117807</v>
      </c>
      <c r="EU28" s="1001"/>
      <c r="EV28" s="597"/>
      <c r="EW28" s="597"/>
      <c r="EX28" s="597"/>
      <c r="EY28" s="597"/>
      <c r="EZ28" s="42"/>
      <c r="FA28" s="725"/>
      <c r="FB28" s="725"/>
    </row>
    <row r="29" spans="1:160" s="29" customFormat="1" ht="11.25" customHeight="1" collapsed="1">
      <c r="A29" s="5637" t="s">
        <v>970</v>
      </c>
      <c r="B29" s="158"/>
      <c r="C29" s="158"/>
      <c r="D29" s="158"/>
      <c r="E29" s="158"/>
      <c r="F29" s="5568"/>
      <c r="G29" s="158"/>
      <c r="H29" s="158"/>
      <c r="I29" s="158"/>
      <c r="J29" s="158"/>
      <c r="K29" s="2331"/>
      <c r="L29" s="158"/>
      <c r="M29" s="158"/>
      <c r="N29" s="158"/>
      <c r="O29" s="158"/>
      <c r="P29" s="4186">
        <v>0</v>
      </c>
      <c r="Q29" s="2431">
        <f>Q69*Q80</f>
        <v>0</v>
      </c>
      <c r="R29" s="2333">
        <f>R69*R80</f>
        <v>14.919750000000004</v>
      </c>
      <c r="S29" s="2333">
        <f>S69*S80</f>
        <v>31.388880000000007</v>
      </c>
      <c r="T29" s="2333">
        <f>U29-S29-R29-Q29</f>
        <v>57.628369999999975</v>
      </c>
      <c r="U29" s="4186">
        <v>103.937</v>
      </c>
      <c r="V29" s="2426">
        <v>81.218000000000004</v>
      </c>
      <c r="W29" s="2333">
        <v>117.583</v>
      </c>
      <c r="X29" s="2333">
        <v>174.44399999999999</v>
      </c>
      <c r="Y29" s="2333">
        <v>255.35400000000001</v>
      </c>
      <c r="Z29" s="4186">
        <v>628.6</v>
      </c>
      <c r="AA29" s="2425">
        <v>333.75200000000001</v>
      </c>
      <c r="AB29" s="2336">
        <v>346.226</v>
      </c>
      <c r="AC29" s="2336">
        <v>384.3</v>
      </c>
      <c r="AD29" s="2336">
        <v>489.99299999999999</v>
      </c>
      <c r="AE29" s="2332">
        <f>SUM(AA29:AD29)</f>
        <v>1554.271</v>
      </c>
      <c r="AF29" s="2425">
        <v>584.1146</v>
      </c>
      <c r="AG29" s="2336">
        <v>630.24199999999996</v>
      </c>
      <c r="AH29" s="2336">
        <v>675.01199999999994</v>
      </c>
      <c r="AI29" s="2336">
        <v>798.57299999999998</v>
      </c>
      <c r="AJ29" s="2332">
        <f>SUM(AF29:AI29)</f>
        <v>2687.9416000000001</v>
      </c>
      <c r="AK29" s="2425">
        <v>928.37599999999998</v>
      </c>
      <c r="AL29" s="2336">
        <v>996.56700000000001</v>
      </c>
      <c r="AM29" s="2336">
        <v>1037.0219999999999</v>
      </c>
      <c r="AN29" s="2337">
        <v>1197.867</v>
      </c>
      <c r="AO29" s="2332">
        <f>SUM(AK29:AN29)</f>
        <v>4159.8320000000003</v>
      </c>
      <c r="AP29" s="2425">
        <v>1345.329</v>
      </c>
      <c r="AQ29" s="2336">
        <v>1352.0509999999999</v>
      </c>
      <c r="AR29" s="2336">
        <v>1454.721</v>
      </c>
      <c r="AS29" s="2337">
        <f>1635.836</f>
        <v>1635.836</v>
      </c>
      <c r="AT29" s="2332">
        <f>SUM(AP29:AS29)</f>
        <v>5787.9370000000008</v>
      </c>
      <c r="AU29" s="2425">
        <v>1686.1410000000001</v>
      </c>
      <c r="AV29" s="2336">
        <v>1655.28</v>
      </c>
      <c r="AW29" s="2336">
        <v>1679.8610000000001</v>
      </c>
      <c r="AX29" s="2337">
        <v>1693.405</v>
      </c>
      <c r="AY29" s="2332">
        <f>SUM(AU29:AX29)</f>
        <v>6714.6869999999999</v>
      </c>
      <c r="AZ29" s="2425">
        <f>1638.042</f>
        <v>1638.0419999999999</v>
      </c>
      <c r="BA29" s="2336">
        <v>1683.5</v>
      </c>
      <c r="BB29" s="2336">
        <v>1800.89</v>
      </c>
      <c r="BC29" s="2338">
        <v>2043.886</v>
      </c>
      <c r="BD29" s="2332">
        <f>SUM(AZ29:BC29)</f>
        <v>7166.3179999999993</v>
      </c>
      <c r="BE29" s="2427">
        <f>2036</f>
        <v>2036</v>
      </c>
      <c r="BF29" s="2339">
        <v>2063</v>
      </c>
      <c r="BG29" s="2339">
        <v>2199</v>
      </c>
      <c r="BH29" s="2340">
        <v>2495</v>
      </c>
      <c r="BI29" s="2332">
        <f>SUM(BE29:BH29)</f>
        <v>8793</v>
      </c>
      <c r="BJ29" s="2427">
        <v>2427</v>
      </c>
      <c r="BK29" s="2339">
        <v>2484</v>
      </c>
      <c r="BL29" s="2339">
        <v>2595</v>
      </c>
      <c r="BM29" s="2339">
        <v>2880</v>
      </c>
      <c r="BN29" s="2332">
        <f>SUM(BJ29:BM29)</f>
        <v>10386</v>
      </c>
      <c r="BO29" s="2333"/>
      <c r="BP29" s="2333"/>
      <c r="BQ29" s="2333"/>
      <c r="BR29" s="2333"/>
      <c r="BS29" s="2428"/>
      <c r="BT29" s="2339">
        <v>2913</v>
      </c>
      <c r="BU29" s="2339">
        <v>2983</v>
      </c>
      <c r="BV29" s="2339">
        <v>3133</v>
      </c>
      <c r="BW29" s="2339">
        <v>3436</v>
      </c>
      <c r="BX29" s="2332">
        <f>SUM(BT29:BW29)</f>
        <v>12465</v>
      </c>
      <c r="BY29" s="2333"/>
      <c r="BZ29" s="2333"/>
      <c r="CA29" s="2333"/>
      <c r="CB29" s="2333"/>
      <c r="CC29" s="2428"/>
      <c r="CD29" s="2429">
        <v>3391</v>
      </c>
      <c r="CE29" s="2339">
        <v>3314</v>
      </c>
      <c r="CF29" s="2339">
        <v>3277</v>
      </c>
      <c r="CG29" s="2339">
        <v>3668</v>
      </c>
      <c r="CH29" s="2332">
        <f>SUM(CD29:CG29)</f>
        <v>13650</v>
      </c>
      <c r="CI29" s="2341">
        <v>3528</v>
      </c>
      <c r="CJ29" s="2339">
        <v>3563</v>
      </c>
      <c r="CK29" s="2339">
        <v>3568</v>
      </c>
      <c r="CL29" s="2339">
        <v>3880</v>
      </c>
      <c r="CM29" s="2332">
        <f>SUM(CI29:CL29)</f>
        <v>14539</v>
      </c>
      <c r="CN29" s="2339">
        <v>3576</v>
      </c>
      <c r="CO29" s="2339">
        <v>3621</v>
      </c>
      <c r="CP29" s="2339">
        <v>3694</v>
      </c>
      <c r="CQ29" s="2339">
        <v>4142</v>
      </c>
      <c r="CR29" s="2332">
        <f>SUM(CN29:CQ29)</f>
        <v>15033</v>
      </c>
      <c r="CS29" s="2342">
        <v>3692</v>
      </c>
      <c r="CT29" s="2339">
        <v>3743</v>
      </c>
      <c r="CU29" s="2339">
        <v>3732</v>
      </c>
      <c r="CV29" s="2339">
        <v>4431</v>
      </c>
      <c r="CW29" s="2332">
        <f>SUM(CS29:CV29)</f>
        <v>15598</v>
      </c>
      <c r="CX29" s="2339">
        <f>CX467</f>
        <v>4008</v>
      </c>
      <c r="CY29" s="2339">
        <f>CY467</f>
        <v>4247</v>
      </c>
      <c r="CZ29" s="2339">
        <f>CZ467</f>
        <v>4342</v>
      </c>
      <c r="DA29" s="2339">
        <f>DA467</f>
        <v>4990</v>
      </c>
      <c r="DB29" s="4186">
        <v>17616</v>
      </c>
      <c r="DC29" s="2333">
        <f>DC467</f>
        <v>4644</v>
      </c>
      <c r="DD29" s="2333">
        <f>DD467</f>
        <v>4825</v>
      </c>
      <c r="DE29" s="2333">
        <f>DE467</f>
        <v>4900</v>
      </c>
      <c r="DF29" s="2339">
        <v>5593</v>
      </c>
      <c r="DG29" s="4186">
        <v>20010</v>
      </c>
      <c r="DH29" s="2339">
        <v>5015</v>
      </c>
      <c r="DI29" s="2339">
        <v>5249</v>
      </c>
      <c r="DJ29" s="2339">
        <v>5251</v>
      </c>
      <c r="DK29" s="2339">
        <v>6032</v>
      </c>
      <c r="DL29" s="5258">
        <f>SUM(DH29:DK29)</f>
        <v>21547</v>
      </c>
      <c r="DM29" s="5259">
        <v>5223</v>
      </c>
      <c r="DN29" s="5259">
        <v>4736</v>
      </c>
      <c r="DO29" s="5259">
        <v>5720</v>
      </c>
      <c r="DP29" s="5259">
        <v>7411</v>
      </c>
      <c r="DQ29" s="5258">
        <f>SUM(DM29:DP29)</f>
        <v>23090</v>
      </c>
      <c r="DR29" s="5259">
        <v>6800</v>
      </c>
      <c r="DS29" s="5259">
        <v>7597</v>
      </c>
      <c r="DT29" s="5259">
        <v>7999</v>
      </c>
      <c r="DU29" s="5259">
        <v>9305</v>
      </c>
      <c r="DV29" s="5258">
        <f>SUM(DR29:DU29)</f>
        <v>31701</v>
      </c>
      <c r="DW29" s="5259">
        <v>8174</v>
      </c>
      <c r="DX29" s="5259">
        <v>8259</v>
      </c>
      <c r="DY29" s="5259">
        <v>7872</v>
      </c>
      <c r="DZ29" s="5259">
        <v>8475</v>
      </c>
      <c r="EA29" s="2332">
        <f>SUM(DW29:DZ29)</f>
        <v>32780</v>
      </c>
      <c r="EB29" s="5259">
        <v>7496</v>
      </c>
      <c r="EC29" s="5259">
        <v>7850</v>
      </c>
      <c r="ED29" s="5259">
        <v>7669</v>
      </c>
      <c r="EE29" s="5259">
        <v>8297</v>
      </c>
      <c r="EF29" s="2332">
        <f>SUM(EB29:EE29)</f>
        <v>31312</v>
      </c>
      <c r="EG29" s="5259">
        <v>7413</v>
      </c>
      <c r="EH29" s="5259">
        <v>7444</v>
      </c>
      <c r="EI29" s="5259">
        <v>7548</v>
      </c>
      <c r="EJ29" s="5259">
        <v>7954</v>
      </c>
      <c r="EK29" s="2332">
        <f>SUM(EG29:EJ29)</f>
        <v>30359</v>
      </c>
      <c r="EL29" s="5259">
        <v>7256</v>
      </c>
      <c r="EM29" s="5259">
        <v>7354</v>
      </c>
      <c r="EN29" s="5259">
        <v>7354</v>
      </c>
      <c r="EO29" s="2333">
        <f t="shared" ref="EO29" si="76">EO32+EO31</f>
        <v>7783.2822657423594</v>
      </c>
      <c r="EP29" s="2332">
        <f>SUM(EL29:EO29)</f>
        <v>29747.28226574236</v>
      </c>
      <c r="EQ29" s="2333">
        <f t="shared" ref="EQ29:ET29" si="77">EQ32+EQ31</f>
        <v>7334.2477465531119</v>
      </c>
      <c r="ER29" s="2333">
        <f t="shared" si="77"/>
        <v>7248.8670932278528</v>
      </c>
      <c r="ES29" s="2333">
        <f t="shared" si="77"/>
        <v>7164.5716940852017</v>
      </c>
      <c r="ET29" s="2333">
        <f t="shared" si="77"/>
        <v>7612.0378499436401</v>
      </c>
      <c r="EU29" s="2332">
        <f>SUM(EQ29:ET29)</f>
        <v>29359.724383809807</v>
      </c>
      <c r="EV29" s="2428">
        <f>EV32+EV31</f>
        <v>29066.127139971708</v>
      </c>
      <c r="EW29" s="2428">
        <f>EW32+EW31</f>
        <v>28920.79650427185</v>
      </c>
      <c r="EX29" s="2428">
        <f>EX32+EX31</f>
        <v>28920.79650427185</v>
      </c>
      <c r="EY29" s="2428">
        <f>EY32+EY31</f>
        <v>29065.400486793205</v>
      </c>
      <c r="EZ29" s="174"/>
      <c r="FA29" s="1319">
        <f>(EV29/EK29)^(1/3)-1</f>
        <v>-1.4401798693247092E-2</v>
      </c>
      <c r="FB29" s="1319">
        <f>(EX29/EK29)^(1/5)-1</f>
        <v>-9.6594598694154099E-3</v>
      </c>
    </row>
    <row r="30" spans="1:160" s="183" customFormat="1" ht="11.25" customHeight="1">
      <c r="A30" s="5634" t="s">
        <v>45</v>
      </c>
      <c r="B30" s="181"/>
      <c r="C30" s="181"/>
      <c r="D30" s="181"/>
      <c r="E30" s="182"/>
      <c r="F30" s="4242"/>
      <c r="G30" s="181"/>
      <c r="H30" s="181"/>
      <c r="I30" s="181"/>
      <c r="J30" s="181"/>
      <c r="K30" s="991"/>
      <c r="L30" s="181"/>
      <c r="M30" s="181"/>
      <c r="N30" s="181"/>
      <c r="O30" s="181"/>
      <c r="P30" s="992" t="s">
        <v>116</v>
      </c>
      <c r="Q30" s="1224" t="s">
        <v>116</v>
      </c>
      <c r="R30" s="181" t="s">
        <v>116</v>
      </c>
      <c r="S30" s="181" t="s">
        <v>116</v>
      </c>
      <c r="T30" s="181" t="s">
        <v>116</v>
      </c>
      <c r="U30" s="992" t="s">
        <v>116</v>
      </c>
      <c r="V30" s="1226" t="s">
        <v>116</v>
      </c>
      <c r="W30" s="169">
        <f t="shared" ref="W30:BB30" si="78">+W29/R29-1</f>
        <v>6.8810301781196044</v>
      </c>
      <c r="X30" s="169">
        <f t="shared" si="78"/>
        <v>4.5575095384097795</v>
      </c>
      <c r="Y30" s="169">
        <f t="shared" si="78"/>
        <v>3.4310467223001471</v>
      </c>
      <c r="Z30" s="992">
        <f t="shared" si="78"/>
        <v>5.0478943975677577</v>
      </c>
      <c r="AA30" s="1226">
        <f t="shared" si="78"/>
        <v>3.1093353690068701</v>
      </c>
      <c r="AB30" s="169">
        <f t="shared" si="78"/>
        <v>1.9445242934777989</v>
      </c>
      <c r="AC30" s="169">
        <f t="shared" si="78"/>
        <v>1.2029992433101744</v>
      </c>
      <c r="AD30" s="169">
        <f t="shared" si="78"/>
        <v>0.91887732324537685</v>
      </c>
      <c r="AE30" s="992">
        <f t="shared" si="78"/>
        <v>1.4725914731148584</v>
      </c>
      <c r="AF30" s="1226">
        <f t="shared" si="78"/>
        <v>0.75014561710491612</v>
      </c>
      <c r="AG30" s="169">
        <f t="shared" si="78"/>
        <v>0.82031967558762187</v>
      </c>
      <c r="AH30" s="169">
        <f t="shared" si="78"/>
        <v>0.75647150663544083</v>
      </c>
      <c r="AI30" s="169">
        <f t="shared" si="78"/>
        <v>0.6297640986707973</v>
      </c>
      <c r="AJ30" s="992">
        <f t="shared" si="78"/>
        <v>0.72939056316433892</v>
      </c>
      <c r="AK30" s="1226">
        <f t="shared" si="78"/>
        <v>0.58937304426220471</v>
      </c>
      <c r="AL30" s="169">
        <f t="shared" si="78"/>
        <v>0.58124498208624642</v>
      </c>
      <c r="AM30" s="169">
        <f t="shared" si="78"/>
        <v>0.53630157686085589</v>
      </c>
      <c r="AN30" s="169">
        <f t="shared" si="78"/>
        <v>0.50000939175253856</v>
      </c>
      <c r="AO30" s="992">
        <f t="shared" si="78"/>
        <v>0.54759017085787876</v>
      </c>
      <c r="AP30" s="1226">
        <f t="shared" si="78"/>
        <v>0.44912083035321904</v>
      </c>
      <c r="AQ30" s="169">
        <f t="shared" si="78"/>
        <v>0.35670858055705223</v>
      </c>
      <c r="AR30" s="169">
        <f t="shared" si="78"/>
        <v>0.4027870189832039</v>
      </c>
      <c r="AS30" s="169">
        <f t="shared" si="78"/>
        <v>0.36562406343943032</v>
      </c>
      <c r="AT30" s="992">
        <f t="shared" si="78"/>
        <v>0.39138720025231799</v>
      </c>
      <c r="AU30" s="1226">
        <f t="shared" si="78"/>
        <v>0.2533298546303544</v>
      </c>
      <c r="AV30" s="169">
        <f t="shared" si="78"/>
        <v>0.22427334471850546</v>
      </c>
      <c r="AW30" s="169">
        <f t="shared" si="78"/>
        <v>0.15476507179039833</v>
      </c>
      <c r="AX30" s="169">
        <f t="shared" si="78"/>
        <v>3.5192403150438034E-2</v>
      </c>
      <c r="AY30" s="992">
        <f t="shared" si="78"/>
        <v>0.16011749955122156</v>
      </c>
      <c r="AZ30" s="1226">
        <f t="shared" si="78"/>
        <v>-2.8526084117520556E-2</v>
      </c>
      <c r="BA30" s="169">
        <f t="shared" si="78"/>
        <v>1.7048475182446454E-2</v>
      </c>
      <c r="BB30" s="169">
        <f t="shared" si="78"/>
        <v>7.2047032462804861E-2</v>
      </c>
      <c r="BC30" s="169">
        <f t="shared" ref="BC30:CU30" si="79">+BC29/AX29-1</f>
        <v>0.20696820902264967</v>
      </c>
      <c r="BD30" s="992">
        <f t="shared" si="79"/>
        <v>6.7260171620806553E-2</v>
      </c>
      <c r="BE30" s="1226">
        <f t="shared" si="79"/>
        <v>0.24294737253379339</v>
      </c>
      <c r="BF30" s="169">
        <f t="shared" si="79"/>
        <v>0.22542322542322535</v>
      </c>
      <c r="BG30" s="169">
        <f t="shared" si="79"/>
        <v>0.22106291889010432</v>
      </c>
      <c r="BH30" s="169">
        <f t="shared" si="79"/>
        <v>0.22071387543140863</v>
      </c>
      <c r="BI30" s="992">
        <f t="shared" si="79"/>
        <v>0.22698992704482279</v>
      </c>
      <c r="BJ30" s="1226">
        <f t="shared" si="79"/>
        <v>0.1920432220039292</v>
      </c>
      <c r="BK30" s="169">
        <f t="shared" si="79"/>
        <v>0.20407174018419783</v>
      </c>
      <c r="BL30" s="169">
        <f t="shared" si="79"/>
        <v>0.18008185538881305</v>
      </c>
      <c r="BM30" s="169">
        <f t="shared" si="79"/>
        <v>0.15430861723446898</v>
      </c>
      <c r="BN30" s="992">
        <f t="shared" si="79"/>
        <v>0.18116683725690885</v>
      </c>
      <c r="BO30" s="169"/>
      <c r="BP30" s="169"/>
      <c r="BQ30" s="169"/>
      <c r="BR30" s="169"/>
      <c r="BS30" s="600"/>
      <c r="BT30" s="169">
        <f>+BT29/BJ29-1</f>
        <v>0.20024721878862795</v>
      </c>
      <c r="BU30" s="169">
        <f>+BU29/BK29-1</f>
        <v>0.20088566827697263</v>
      </c>
      <c r="BV30" s="169">
        <f>+BV29/BL29-1</f>
        <v>0.20732177263969165</v>
      </c>
      <c r="BW30" s="169">
        <f>+BW29/BM29-1</f>
        <v>0.19305555555555554</v>
      </c>
      <c r="BX30" s="992">
        <f>+BX29/BN29-1</f>
        <v>0.20017331022530338</v>
      </c>
      <c r="BY30" s="169"/>
      <c r="BZ30" s="169"/>
      <c r="CA30" s="169"/>
      <c r="CB30" s="169"/>
      <c r="CC30" s="600"/>
      <c r="CD30" s="576">
        <f>+CD29/BT29-1</f>
        <v>0.16409200137315483</v>
      </c>
      <c r="CE30" s="169">
        <f>+CE29/BU29-1</f>
        <v>0.11096211867247741</v>
      </c>
      <c r="CF30" s="169">
        <f>+CF29/BV29-1</f>
        <v>4.5962336418768013E-2</v>
      </c>
      <c r="CG30" s="169">
        <f>+CG29/BW29-1</f>
        <v>6.7520372526193251E-2</v>
      </c>
      <c r="CH30" s="992">
        <f>+CH29/BX29-1</f>
        <v>9.5066185318892993E-2</v>
      </c>
      <c r="CI30" s="169">
        <f t="shared" si="79"/>
        <v>4.0401061633736468E-2</v>
      </c>
      <c r="CJ30" s="169">
        <f t="shared" si="79"/>
        <v>7.5135787567893741E-2</v>
      </c>
      <c r="CK30" s="169">
        <f t="shared" si="79"/>
        <v>8.880073237717423E-2</v>
      </c>
      <c r="CL30" s="169">
        <f t="shared" si="79"/>
        <v>5.7797164667393597E-2</v>
      </c>
      <c r="CM30" s="992">
        <f t="shared" si="79"/>
        <v>6.5128205128205163E-2</v>
      </c>
      <c r="CN30" s="169">
        <f t="shared" si="79"/>
        <v>1.3605442176870763E-2</v>
      </c>
      <c r="CO30" s="169">
        <f t="shared" si="79"/>
        <v>1.6278417064271578E-2</v>
      </c>
      <c r="CP30" s="169">
        <f t="shared" si="79"/>
        <v>3.5313901345291443E-2</v>
      </c>
      <c r="CQ30" s="169">
        <f t="shared" si="79"/>
        <v>6.7525773195876271E-2</v>
      </c>
      <c r="CR30" s="992">
        <f t="shared" si="79"/>
        <v>3.3977577550037719E-2</v>
      </c>
      <c r="CS30" s="169">
        <f t="shared" ref="CS30:CX30" si="80">+CS29/CN29-1</f>
        <v>3.2438478747203625E-2</v>
      </c>
      <c r="CT30" s="169">
        <f t="shared" si="79"/>
        <v>3.3692350179508335E-2</v>
      </c>
      <c r="CU30" s="169">
        <f t="shared" si="79"/>
        <v>1.0286951813752054E-2</v>
      </c>
      <c r="CV30" s="169">
        <f t="shared" si="80"/>
        <v>6.9773056494447205E-2</v>
      </c>
      <c r="CW30" s="992">
        <f t="shared" si="80"/>
        <v>3.7583981906472497E-2</v>
      </c>
      <c r="CX30" s="169">
        <f t="shared" si="80"/>
        <v>8.5590465872156019E-2</v>
      </c>
      <c r="CY30" s="169">
        <f t="shared" ref="CY30:DG30" si="81">+CY29/CT29-1</f>
        <v>0.13465134918514554</v>
      </c>
      <c r="CZ30" s="169">
        <f t="shared" si="81"/>
        <v>0.16345123258306549</v>
      </c>
      <c r="DA30" s="169">
        <f t="shared" si="81"/>
        <v>0.12615662378695558</v>
      </c>
      <c r="DB30" s="992">
        <f t="shared" si="81"/>
        <v>0.12937556096935499</v>
      </c>
      <c r="DC30" s="2612">
        <f t="shared" si="81"/>
        <v>0.15868263473053901</v>
      </c>
      <c r="DD30" s="2612">
        <f t="shared" si="81"/>
        <v>0.13609606781257355</v>
      </c>
      <c r="DE30" s="2612">
        <f t="shared" si="81"/>
        <v>0.12851220635651783</v>
      </c>
      <c r="DF30" s="2612">
        <f t="shared" si="81"/>
        <v>0.1208416833667334</v>
      </c>
      <c r="DG30" s="2588">
        <f t="shared" si="81"/>
        <v>0.13589918256130784</v>
      </c>
      <c r="DH30" s="2628" t="s">
        <v>116</v>
      </c>
      <c r="DI30" s="2628" t="s">
        <v>116</v>
      </c>
      <c r="DJ30" s="2628" t="s">
        <v>116</v>
      </c>
      <c r="DK30" s="2612">
        <f t="shared" ref="DK30:EN30" si="82">+DK29/DF29-1</f>
        <v>7.8490970856427644E-2</v>
      </c>
      <c r="DL30" s="2588">
        <f t="shared" si="82"/>
        <v>7.6811594202898625E-2</v>
      </c>
      <c r="DM30" s="2612">
        <f t="shared" si="82"/>
        <v>4.1475573280159495E-2</v>
      </c>
      <c r="DN30" s="2612">
        <f t="shared" si="82"/>
        <v>-9.7732901505048542E-2</v>
      </c>
      <c r="DO30" s="2612">
        <f t="shared" si="82"/>
        <v>8.9316320700818963E-2</v>
      </c>
      <c r="DP30" s="2612">
        <f t="shared" si="82"/>
        <v>0.22861405835543769</v>
      </c>
      <c r="DQ30" s="2588">
        <f t="shared" si="82"/>
        <v>7.161089710864621E-2</v>
      </c>
      <c r="DR30" s="2612">
        <f t="shared" si="82"/>
        <v>0.30193375454719518</v>
      </c>
      <c r="DS30" s="2612">
        <f t="shared" si="82"/>
        <v>0.60409628378378377</v>
      </c>
      <c r="DT30" s="2612">
        <f t="shared" si="82"/>
        <v>0.3984265734265735</v>
      </c>
      <c r="DU30" s="2612">
        <f t="shared" si="82"/>
        <v>0.25556605046552416</v>
      </c>
      <c r="DV30" s="2588">
        <f>+DV29/DQ29-1</f>
        <v>0.37293200519705505</v>
      </c>
      <c r="DW30" s="2612">
        <f t="shared" si="82"/>
        <v>0.20205882352941185</v>
      </c>
      <c r="DX30" s="2612">
        <f t="shared" si="82"/>
        <v>8.7139660392260065E-2</v>
      </c>
      <c r="DY30" s="2612">
        <f t="shared" si="82"/>
        <v>-1.587698462307785E-2</v>
      </c>
      <c r="DZ30" s="2612">
        <f t="shared" si="82"/>
        <v>-8.9199355185384244E-2</v>
      </c>
      <c r="EA30" s="2588">
        <f t="shared" ref="EA30:EF30" si="83">+EA29/DV29-1</f>
        <v>3.4036781174095365E-2</v>
      </c>
      <c r="EB30" s="2612">
        <f t="shared" si="82"/>
        <v>-8.294592610716911E-2</v>
      </c>
      <c r="EC30" s="2612">
        <f t="shared" si="82"/>
        <v>-4.9521733866085493E-2</v>
      </c>
      <c r="ED30" s="2612">
        <f t="shared" si="82"/>
        <v>-2.5787601626016232E-2</v>
      </c>
      <c r="EE30" s="2612">
        <f t="shared" si="82"/>
        <v>-2.1002949852507391E-2</v>
      </c>
      <c r="EF30" s="2588">
        <f t="shared" si="83"/>
        <v>-4.4783404514948111E-2</v>
      </c>
      <c r="EG30" s="2612">
        <f t="shared" si="82"/>
        <v>-1.1072572038420492E-2</v>
      </c>
      <c r="EH30" s="2612">
        <f t="shared" si="82"/>
        <v>-5.1719745222929991E-2</v>
      </c>
      <c r="EI30" s="2612">
        <f t="shared" si="82"/>
        <v>-1.5777806754466051E-2</v>
      </c>
      <c r="EJ30" s="2612">
        <f t="shared" si="82"/>
        <v>-4.1340243461492121E-2</v>
      </c>
      <c r="EK30" s="2588">
        <f>+EK29/EF29-1</f>
        <v>-3.0435615738375055E-2</v>
      </c>
      <c r="EL30" s="2612">
        <f t="shared" si="82"/>
        <v>-2.1179009847565045E-2</v>
      </c>
      <c r="EM30" s="2612">
        <f t="shared" si="82"/>
        <v>-1.2090274046211769E-2</v>
      </c>
      <c r="EN30" s="2612">
        <f t="shared" si="82"/>
        <v>-2.5702172760996289E-2</v>
      </c>
      <c r="EO30" s="2612">
        <f t="shared" ref="EO30" si="84">+EO29/EJ29-1</f>
        <v>-2.1463129778431012E-2</v>
      </c>
      <c r="EP30" s="2588">
        <f>+EP29/EK29-1</f>
        <v>-2.014946916096183E-2</v>
      </c>
      <c r="EQ30" s="2612">
        <f t="shared" ref="EQ30" si="85">+EQ29/EL29-1</f>
        <v>1.0783868047562262E-2</v>
      </c>
      <c r="ER30" s="2612">
        <f t="shared" ref="ER30" si="86">+ER29/EM29-1</f>
        <v>-1.4296016694608005E-2</v>
      </c>
      <c r="ES30" s="2612">
        <f t="shared" ref="ES30" si="87">+ES29/EN29-1</f>
        <v>-2.5758540374598682E-2</v>
      </c>
      <c r="ET30" s="2612">
        <f t="shared" ref="ET30" si="88">+ET29/EO29-1</f>
        <v>-2.2001568226870161E-2</v>
      </c>
      <c r="EU30" s="2588">
        <f>+EU29/EP29-1</f>
        <v>-1.302834586603141E-2</v>
      </c>
      <c r="EV30" s="2587">
        <f>+EV29/EU29-1</f>
        <v>-1.0000000000000009E-2</v>
      </c>
      <c r="EW30" s="2587">
        <f>+EW29/EV29-1</f>
        <v>-5.0000000000000044E-3</v>
      </c>
      <c r="EX30" s="2587">
        <f>+EX29/EW29-1</f>
        <v>0</v>
      </c>
      <c r="EY30" s="2587">
        <f>+EY29/EX29-1</f>
        <v>4.9999999999998934E-3</v>
      </c>
      <c r="EZ30" s="181"/>
      <c r="FA30" s="725"/>
      <c r="FB30" s="725"/>
      <c r="FD30" s="2613"/>
    </row>
    <row r="31" spans="1:160" s="138" customFormat="1" ht="11.25" hidden="1" customHeight="1" outlineLevel="1">
      <c r="A31" s="5635" t="s">
        <v>874</v>
      </c>
      <c r="B31" s="124"/>
      <c r="C31" s="124"/>
      <c r="D31" s="124"/>
      <c r="E31" s="139"/>
      <c r="F31" s="3574"/>
      <c r="G31" s="124"/>
      <c r="H31" s="124"/>
      <c r="I31" s="124"/>
      <c r="J31" s="124"/>
      <c r="K31" s="997"/>
      <c r="L31" s="124"/>
      <c r="M31" s="124"/>
      <c r="N31" s="124"/>
      <c r="O31" s="124"/>
      <c r="P31" s="3967"/>
      <c r="Q31" s="3968"/>
      <c r="R31" s="3593"/>
      <c r="S31" s="3593"/>
      <c r="T31" s="3593"/>
      <c r="U31" s="3967"/>
      <c r="V31" s="3968"/>
      <c r="W31" s="3593"/>
      <c r="X31" s="3593"/>
      <c r="Y31" s="3593"/>
      <c r="Z31" s="3967"/>
      <c r="AA31" s="3968"/>
      <c r="AB31" s="3593"/>
      <c r="AC31" s="3593"/>
      <c r="AD31" s="3593"/>
      <c r="AE31" s="3967"/>
      <c r="AF31" s="3968"/>
      <c r="AG31" s="3593"/>
      <c r="AH31" s="3593"/>
      <c r="AI31" s="3593"/>
      <c r="AJ31" s="3967"/>
      <c r="AK31" s="3968"/>
      <c r="AL31" s="3593"/>
      <c r="AM31" s="3593"/>
      <c r="AN31" s="3593"/>
      <c r="AO31" s="3967"/>
      <c r="AP31" s="3968"/>
      <c r="AQ31" s="3593"/>
      <c r="AR31" s="3593"/>
      <c r="AS31" s="3593"/>
      <c r="AT31" s="3967"/>
      <c r="AU31" s="3968"/>
      <c r="AV31" s="3593"/>
      <c r="AW31" s="3593"/>
      <c r="AX31" s="3593"/>
      <c r="AY31" s="3967"/>
      <c r="AZ31" s="3968"/>
      <c r="BA31" s="3593"/>
      <c r="BB31" s="3593"/>
      <c r="BC31" s="3593"/>
      <c r="BD31" s="3967"/>
      <c r="BE31" s="3968"/>
      <c r="BF31" s="3593"/>
      <c r="BG31" s="3593"/>
      <c r="BH31" s="3593"/>
      <c r="BI31" s="3967"/>
      <c r="BJ31" s="3968"/>
      <c r="BK31" s="3593"/>
      <c r="BL31" s="3593"/>
      <c r="BM31" s="3593"/>
      <c r="BN31" s="3967"/>
      <c r="BO31" s="3593"/>
      <c r="BP31" s="3593"/>
      <c r="BQ31" s="3593"/>
      <c r="BR31" s="3593"/>
      <c r="BS31" s="4526"/>
      <c r="BT31" s="3593"/>
      <c r="BU31" s="3593"/>
      <c r="BV31" s="3593"/>
      <c r="BW31" s="3593"/>
      <c r="BX31" s="4526"/>
      <c r="BY31" s="3593"/>
      <c r="BZ31" s="3593"/>
      <c r="CA31" s="3593"/>
      <c r="CB31" s="3593"/>
      <c r="CC31" s="4526"/>
      <c r="CD31" s="3969"/>
      <c r="CE31" s="3593"/>
      <c r="CF31" s="3593"/>
      <c r="CG31" s="3593"/>
      <c r="CH31" s="4526"/>
      <c r="CI31" s="3593"/>
      <c r="CJ31" s="3593"/>
      <c r="CK31" s="3593"/>
      <c r="CL31" s="3593"/>
      <c r="CM31" s="4526"/>
      <c r="CN31" s="3593"/>
      <c r="CO31" s="3593"/>
      <c r="CP31" s="3593"/>
      <c r="CQ31" s="3593"/>
      <c r="CR31" s="4526"/>
      <c r="CS31" s="3593"/>
      <c r="CT31" s="3593"/>
      <c r="CU31" s="3593"/>
      <c r="CV31" s="3593"/>
      <c r="CW31" s="4526"/>
      <c r="CX31" s="3593"/>
      <c r="CY31" s="3593"/>
      <c r="CZ31" s="3593"/>
      <c r="DA31" s="3593"/>
      <c r="DB31" s="4526"/>
      <c r="DC31" s="3593"/>
      <c r="DD31" s="3593"/>
      <c r="DE31" s="3593"/>
      <c r="DF31" s="3593"/>
      <c r="DG31" s="4526">
        <f>DG80/DG83*DG212</f>
        <v>148.70598510618737</v>
      </c>
      <c r="DH31" s="3593">
        <f>DH80/SUM(DH$83:DH$84)*DH$71</f>
        <v>-160.47665963587923</v>
      </c>
      <c r="DI31" s="3593">
        <f>DI80/SUM(DI$83:DI$84)*DI$71</f>
        <v>-165.17642343693439</v>
      </c>
      <c r="DJ31" s="3593">
        <f>DJ80/SUM(DJ$83:DJ$84)*DJ$71</f>
        <v>-70.361441889372287</v>
      </c>
      <c r="DK31" s="3593">
        <f>DK80/SUM(DK$83:DK$84)*DK$71</f>
        <v>-54.905788876276965</v>
      </c>
      <c r="DL31" s="4526">
        <f>SUM(DH31:DK31)</f>
        <v>-450.92031383846285</v>
      </c>
      <c r="DM31" s="3593">
        <f>DM80/SUM(DM$83:DM$84)*DM$71</f>
        <v>-49.967443563148258</v>
      </c>
      <c r="DN31" s="3593">
        <f>DN80/SUM(DN$83:DN$84)*DN$71</f>
        <v>-87.994526027685666</v>
      </c>
      <c r="DO31" s="3593">
        <f>DO80/SUM(DO$83:DO$84)*DO$71</f>
        <v>-6.8366038637894695</v>
      </c>
      <c r="DP31" s="3593">
        <f>DP80/SUM(DP$83:DP$84)*DP$71</f>
        <v>37.77121543453724</v>
      </c>
      <c r="DQ31" s="4526">
        <f>SUM(DM31:DP31)</f>
        <v>-107.02735802008614</v>
      </c>
      <c r="DR31" s="3593">
        <f>DR80/SUM(DR$83:DR$84)*DR$71</f>
        <v>135.56903576278859</v>
      </c>
      <c r="DS31" s="3593">
        <f>DS80/SUM(DS$83:DS$84)*DS$71</f>
        <v>232.3614393386822</v>
      </c>
      <c r="DT31" s="3593">
        <f>DT80/SUM(DT$83:DT$84)*DT$71</f>
        <v>75.829839380953857</v>
      </c>
      <c r="DU31" s="3593">
        <f>DU80/SUM(DU$83:DU$84)*DU$71</f>
        <v>-33.896865534220254</v>
      </c>
      <c r="DV31" s="4526">
        <f>SUM(DR31:DU31)</f>
        <v>409.86344894820439</v>
      </c>
      <c r="DW31" s="3593">
        <f>DW80/SUM(DW$83:DW$84)*DW$71</f>
        <v>-241.84438203082047</v>
      </c>
      <c r="DX31" s="3593">
        <f>DX80/SUM(DX$83:DX$84)*DX$71</f>
        <v>-320.4803159859369</v>
      </c>
      <c r="DY31" s="3593">
        <f>DY80/SUM(DY$83:DY$84)*DY$71</f>
        <v>-451.93781229394091</v>
      </c>
      <c r="DZ31" s="3593">
        <f>DZ80/SUM(DZ$83:DZ$84)*DZ$71</f>
        <v>-533.74017005309179</v>
      </c>
      <c r="EA31" s="4526">
        <f>SUM(DW31:DZ31)</f>
        <v>-1548.00268036379</v>
      </c>
      <c r="EB31" s="3593">
        <f>EB80/SUM(EB$83:EB$84)*EB$71</f>
        <v>-234.76631851905208</v>
      </c>
      <c r="EC31" s="3593">
        <f>EC80/SUM(EC$83:EC$84)*EC$71</f>
        <v>-121.05199418698531</v>
      </c>
      <c r="ED31" s="3593">
        <f>ED80/SUM(ED$83:ED$84)*ED$71</f>
        <v>42.863764283937861</v>
      </c>
      <c r="EE31" s="3593">
        <f>EE80/SUM(EE$83:EE$84)*EE$71</f>
        <v>91.215278996058629</v>
      </c>
      <c r="EF31" s="4526">
        <f>SUM(EB31:EE31)</f>
        <v>-221.73926942604086</v>
      </c>
      <c r="EG31" s="3593">
        <f>EG80/SUM(EG$83:EG$84)*EG$71</f>
        <v>-36.151027859750904</v>
      </c>
      <c r="EH31" s="3593">
        <f>EH80/SUM(EH$83:EH$84)*EH$71</f>
        <v>-111.91394838326904</v>
      </c>
      <c r="EI31" s="3593">
        <f>EI80/SUM(EI$83:EI$84)*EI$71</f>
        <v>-87.366877980492347</v>
      </c>
      <c r="EJ31" s="3593">
        <f>EJ80/SUM(EJ$83:EJ$84)*EJ$71</f>
        <v>-21.945152994825559</v>
      </c>
      <c r="EK31" s="4526">
        <f>SUM(EG31:EJ31)</f>
        <v>-257.37700721833784</v>
      </c>
      <c r="EL31" s="3593">
        <f>EL80/SUM(EL$83:EL$84)*EL$71</f>
        <v>-130.08668066663688</v>
      </c>
      <c r="EM31" s="3593">
        <f>EM80/SUM(EM$83:EM$84)*EM$71</f>
        <v>41.523828340281931</v>
      </c>
      <c r="EN31" s="3593">
        <f>EN80/SUM(EN$83:EN$84)*EN$71</f>
        <v>96.341868132944313</v>
      </c>
      <c r="EO31" s="3593">
        <f t="shared" ref="EO31:ET31" si="89">EO$71*EO32/SUM(EO$11,EO$18,EO$32,EO$60,EO$46)</f>
        <v>67.90226574235929</v>
      </c>
      <c r="EP31" s="4526">
        <f>SUM(EL31:EO31)</f>
        <v>75.681281548948661</v>
      </c>
      <c r="EQ31" s="3593">
        <f t="shared" si="89"/>
        <v>223.36774655311186</v>
      </c>
      <c r="ER31" s="3593">
        <f t="shared" si="89"/>
        <v>41.947093227852413</v>
      </c>
      <c r="ES31" s="3593">
        <f t="shared" si="89"/>
        <v>-42.34830591479826</v>
      </c>
      <c r="ET31" s="3593">
        <f t="shared" si="89"/>
        <v>-15.578770483872628</v>
      </c>
      <c r="EU31" s="4526">
        <f>SUM(EQ31:ET31)</f>
        <v>207.3877633822934</v>
      </c>
      <c r="EV31" s="4526">
        <f>EV$71*EV32/SUM(EV$11,EV$18,EV$32,EV$60,EV$46)</f>
        <v>0</v>
      </c>
      <c r="EW31" s="4526">
        <f>EW$71*EW32/SUM(EW$11,EW$18,EW$32,EW$60,EW$46)</f>
        <v>0</v>
      </c>
      <c r="EX31" s="4526">
        <f>EX$71*EX32/SUM(EX$11,EX$18,EX$32,EX$60,EX$46)</f>
        <v>0</v>
      </c>
      <c r="EY31" s="4526">
        <f>EY$71*EY32/SUM(EY$11,EY$18,EY$32,EY$60,EY$46)</f>
        <v>0</v>
      </c>
      <c r="EZ31" s="124"/>
      <c r="FA31" s="738"/>
      <c r="FB31" s="738"/>
    </row>
    <row r="32" spans="1:160" s="138" customFormat="1" ht="11.25" hidden="1" customHeight="1" outlineLevel="1">
      <c r="A32" s="5635" t="s">
        <v>882</v>
      </c>
      <c r="B32" s="124"/>
      <c r="C32" s="124"/>
      <c r="D32" s="124"/>
      <c r="E32" s="139"/>
      <c r="F32" s="3574"/>
      <c r="G32" s="124"/>
      <c r="H32" s="124"/>
      <c r="I32" s="124"/>
      <c r="J32" s="124"/>
      <c r="K32" s="997"/>
      <c r="L32" s="124"/>
      <c r="M32" s="124"/>
      <c r="N32" s="124"/>
      <c r="O32" s="124"/>
      <c r="P32" s="3967"/>
      <c r="Q32" s="3968"/>
      <c r="R32" s="3593"/>
      <c r="S32" s="3593"/>
      <c r="T32" s="3593"/>
      <c r="U32" s="3967"/>
      <c r="V32" s="3968"/>
      <c r="W32" s="3593"/>
      <c r="X32" s="3593"/>
      <c r="Y32" s="3593"/>
      <c r="Z32" s="3967"/>
      <c r="AA32" s="3968"/>
      <c r="AB32" s="3593"/>
      <c r="AC32" s="3593"/>
      <c r="AD32" s="3593"/>
      <c r="AE32" s="3967"/>
      <c r="AF32" s="3968"/>
      <c r="AG32" s="3593"/>
      <c r="AH32" s="3593"/>
      <c r="AI32" s="3593"/>
      <c r="AJ32" s="3967"/>
      <c r="AK32" s="3968"/>
      <c r="AL32" s="3593"/>
      <c r="AM32" s="3593"/>
      <c r="AN32" s="3593"/>
      <c r="AO32" s="3967"/>
      <c r="AP32" s="3968"/>
      <c r="AQ32" s="3593"/>
      <c r="AR32" s="3593"/>
      <c r="AS32" s="3593"/>
      <c r="AT32" s="3967"/>
      <c r="AU32" s="3968"/>
      <c r="AV32" s="3593"/>
      <c r="AW32" s="3593"/>
      <c r="AX32" s="3593"/>
      <c r="AY32" s="3967"/>
      <c r="AZ32" s="3968"/>
      <c r="BA32" s="3593"/>
      <c r="BB32" s="3593"/>
      <c r="BC32" s="3593"/>
      <c r="BD32" s="3967"/>
      <c r="BE32" s="3968"/>
      <c r="BF32" s="3593"/>
      <c r="BG32" s="3593"/>
      <c r="BH32" s="3593"/>
      <c r="BI32" s="3967"/>
      <c r="BJ32" s="3968"/>
      <c r="BK32" s="3593"/>
      <c r="BL32" s="3593"/>
      <c r="BM32" s="3593"/>
      <c r="BN32" s="3967"/>
      <c r="BO32" s="3593"/>
      <c r="BP32" s="3593"/>
      <c r="BQ32" s="3593"/>
      <c r="BR32" s="3593"/>
      <c r="BS32" s="4526"/>
      <c r="BT32" s="3593"/>
      <c r="BU32" s="3593"/>
      <c r="BV32" s="3593"/>
      <c r="BW32" s="3593"/>
      <c r="BX32" s="4526"/>
      <c r="BY32" s="3593"/>
      <c r="BZ32" s="3593"/>
      <c r="CA32" s="3593"/>
      <c r="CB32" s="3593"/>
      <c r="CC32" s="4526"/>
      <c r="CD32" s="3969"/>
      <c r="CE32" s="3593"/>
      <c r="CF32" s="3593"/>
      <c r="CG32" s="3593"/>
      <c r="CH32" s="4526"/>
      <c r="CI32" s="3593"/>
      <c r="CJ32" s="3593"/>
      <c r="CK32" s="3593"/>
      <c r="CL32" s="3593"/>
      <c r="CM32" s="4526"/>
      <c r="CN32" s="3593"/>
      <c r="CO32" s="3593"/>
      <c r="CP32" s="3593"/>
      <c r="CQ32" s="3593"/>
      <c r="CR32" s="4526"/>
      <c r="CS32" s="3593"/>
      <c r="CT32" s="3593"/>
      <c r="CU32" s="3593"/>
      <c r="CV32" s="3593"/>
      <c r="CW32" s="4526"/>
      <c r="CX32" s="3593"/>
      <c r="CY32" s="3593"/>
      <c r="CZ32" s="3593"/>
      <c r="DA32" s="3593"/>
      <c r="DB32" s="4526"/>
      <c r="DC32" s="3593"/>
      <c r="DD32" s="3593"/>
      <c r="DE32" s="3593"/>
      <c r="DF32" s="3593"/>
      <c r="DG32" s="1954">
        <f t="shared" ref="DG32:DM32" si="90">DG29-DG31</f>
        <v>19861.294014893814</v>
      </c>
      <c r="DH32" s="176">
        <f t="shared" si="90"/>
        <v>5175.4766596358795</v>
      </c>
      <c r="DI32" s="176">
        <f t="shared" si="90"/>
        <v>5414.1764234369348</v>
      </c>
      <c r="DJ32" s="176">
        <f t="shared" si="90"/>
        <v>5321.3614418893721</v>
      </c>
      <c r="DK32" s="176">
        <f t="shared" si="90"/>
        <v>6086.9057888762773</v>
      </c>
      <c r="DL32" s="1954">
        <f>DL29-DL31</f>
        <v>21997.920313838462</v>
      </c>
      <c r="DM32" s="176">
        <f t="shared" si="90"/>
        <v>5272.9674435631487</v>
      </c>
      <c r="DN32" s="176">
        <f t="shared" ref="DN32:DS32" si="91">DN29-DN31</f>
        <v>4823.9945260276854</v>
      </c>
      <c r="DO32" s="176">
        <f t="shared" si="91"/>
        <v>5726.8366038637896</v>
      </c>
      <c r="DP32" s="176">
        <f t="shared" si="91"/>
        <v>7373.2287845654628</v>
      </c>
      <c r="DQ32" s="1954">
        <f t="shared" si="91"/>
        <v>23197.027358020085</v>
      </c>
      <c r="DR32" s="176">
        <f t="shared" si="91"/>
        <v>6664.4309642372118</v>
      </c>
      <c r="DS32" s="176">
        <f t="shared" si="91"/>
        <v>7364.6385606613176</v>
      </c>
      <c r="DT32" s="176">
        <f t="shared" ref="DT32:EA32" si="92">DT29-DT31</f>
        <v>7923.1701606190463</v>
      </c>
      <c r="DU32" s="176">
        <f t="shared" si="92"/>
        <v>9338.8968655342196</v>
      </c>
      <c r="DV32" s="1954">
        <f t="shared" si="92"/>
        <v>31291.136551051797</v>
      </c>
      <c r="DW32" s="176">
        <f t="shared" si="92"/>
        <v>8415.8443820308203</v>
      </c>
      <c r="DX32" s="176">
        <f t="shared" si="92"/>
        <v>8579.4803159859366</v>
      </c>
      <c r="DY32" s="176">
        <f t="shared" si="92"/>
        <v>8323.9378122939415</v>
      </c>
      <c r="DZ32" s="176">
        <f t="shared" si="92"/>
        <v>9008.7401700530918</v>
      </c>
      <c r="EA32" s="1954">
        <f t="shared" si="92"/>
        <v>34328.002680363788</v>
      </c>
      <c r="EB32" s="176">
        <f>EB29-EB31</f>
        <v>7730.7663185190522</v>
      </c>
      <c r="EC32" s="176">
        <f>EC29-EC31</f>
        <v>7971.0519941869852</v>
      </c>
      <c r="ED32" s="176">
        <f>ED29-ED31</f>
        <v>7626.1362357160624</v>
      </c>
      <c r="EE32" s="176">
        <f t="shared" ref="EE32" si="93">EE29-EE31</f>
        <v>8205.7847210039417</v>
      </c>
      <c r="EF32" s="1954">
        <f>EF29-EF31</f>
        <v>31533.739269426042</v>
      </c>
      <c r="EG32" s="176">
        <f>EG29-EG31</f>
        <v>7449.1510278597507</v>
      </c>
      <c r="EH32" s="176">
        <f>EH29-EH31</f>
        <v>7555.9139483832687</v>
      </c>
      <c r="EI32" s="176">
        <f>EI29-EI31</f>
        <v>7635.3668779804921</v>
      </c>
      <c r="EJ32" s="176">
        <f t="shared" ref="EJ32" si="94">EJ29-EJ31</f>
        <v>7975.9451529948255</v>
      </c>
      <c r="EK32" s="1954">
        <f>EK29-EK31</f>
        <v>30616.377007218336</v>
      </c>
      <c r="EL32" s="176">
        <f>EL29-EL31</f>
        <v>7386.0866806666372</v>
      </c>
      <c r="EM32" s="176">
        <f>EM29-EM31</f>
        <v>7312.4761716597177</v>
      </c>
      <c r="EN32" s="176">
        <f>EN29-EN31</f>
        <v>7257.658131867056</v>
      </c>
      <c r="EO32" s="176">
        <f t="shared" ref="EO32" si="95">EJ29*(1+EO33)</f>
        <v>7715.38</v>
      </c>
      <c r="EP32" s="1954">
        <f>EP29-EP31</f>
        <v>29671.60098419341</v>
      </c>
      <c r="EQ32" s="176">
        <f t="shared" ref="EQ32" si="96">EL29*(1+EQ33)</f>
        <v>7110.88</v>
      </c>
      <c r="ER32" s="176">
        <f t="shared" ref="ER32" si="97">EM29*(1+ER33)</f>
        <v>7206.92</v>
      </c>
      <c r="ES32" s="176">
        <f t="shared" ref="ES32" si="98">EN29*(1+ES33)</f>
        <v>7206.92</v>
      </c>
      <c r="ET32" s="176">
        <f t="shared" ref="ET32" si="99">EO29*(1+ET33)</f>
        <v>7627.6166204275123</v>
      </c>
      <c r="EU32" s="1954">
        <f>EU29-EU31</f>
        <v>29152.336620427515</v>
      </c>
      <c r="EV32" s="1954">
        <f>EU29*(1+EV33)</f>
        <v>29066.127139971708</v>
      </c>
      <c r="EW32" s="1954">
        <f>EV29*(1+EW33)</f>
        <v>28920.79650427185</v>
      </c>
      <c r="EX32" s="1954">
        <f>EW29*(1+EX33)</f>
        <v>28920.79650427185</v>
      </c>
      <c r="EY32" s="1954">
        <f>EX29*(1+EY33)</f>
        <v>29065.400486793205</v>
      </c>
      <c r="EZ32" s="124"/>
      <c r="FA32" s="738"/>
      <c r="FB32" s="738"/>
    </row>
    <row r="33" spans="1:166" s="183" customFormat="1" ht="11.25" customHeight="1" collapsed="1">
      <c r="A33" s="5636" t="s">
        <v>635</v>
      </c>
      <c r="B33" s="2288"/>
      <c r="C33" s="2288"/>
      <c r="D33" s="2288"/>
      <c r="E33" s="2289"/>
      <c r="F33" s="4244"/>
      <c r="G33" s="2288"/>
      <c r="H33" s="2288"/>
      <c r="I33" s="2288"/>
      <c r="J33" s="2288"/>
      <c r="K33" s="2290"/>
      <c r="L33" s="2288"/>
      <c r="M33" s="2288"/>
      <c r="N33" s="2288"/>
      <c r="O33" s="2288"/>
      <c r="P33" s="2290"/>
      <c r="Q33" s="2497"/>
      <c r="R33" s="2288"/>
      <c r="S33" s="2288"/>
      <c r="T33" s="2288"/>
      <c r="U33" s="2290"/>
      <c r="V33" s="2497"/>
      <c r="W33" s="2288"/>
      <c r="X33" s="2288"/>
      <c r="Y33" s="2288"/>
      <c r="Z33" s="2290"/>
      <c r="AA33" s="2497"/>
      <c r="AB33" s="2288"/>
      <c r="AC33" s="2288"/>
      <c r="AD33" s="2288"/>
      <c r="AE33" s="2290"/>
      <c r="AF33" s="2497"/>
      <c r="AG33" s="2288"/>
      <c r="AH33" s="2288"/>
      <c r="AI33" s="2288"/>
      <c r="AJ33" s="2290"/>
      <c r="AK33" s="2497"/>
      <c r="AL33" s="2288"/>
      <c r="AM33" s="2288"/>
      <c r="AN33" s="2288"/>
      <c r="AO33" s="2290"/>
      <c r="AP33" s="2497"/>
      <c r="AQ33" s="2288"/>
      <c r="AR33" s="2288"/>
      <c r="AS33" s="2288"/>
      <c r="AT33" s="2290"/>
      <c r="AU33" s="2497"/>
      <c r="AV33" s="2288"/>
      <c r="AW33" s="2288"/>
      <c r="AX33" s="2288"/>
      <c r="AY33" s="2290"/>
      <c r="AZ33" s="2497">
        <f t="shared" ref="AZ33:BN33" si="100">AZ578</f>
        <v>1.9968345327383563E-2</v>
      </c>
      <c r="BA33" s="2288">
        <f t="shared" si="100"/>
        <v>8.670876180423881E-2</v>
      </c>
      <c r="BB33" s="2288">
        <f t="shared" si="100"/>
        <v>0.1255191017773627</v>
      </c>
      <c r="BC33" s="2288">
        <f t="shared" si="100"/>
        <v>0.19714252656515852</v>
      </c>
      <c r="BD33" s="2290">
        <f t="shared" si="100"/>
        <v>0.10697128133043887</v>
      </c>
      <c r="BE33" s="2497">
        <f t="shared" si="100"/>
        <v>0.2311306384350007</v>
      </c>
      <c r="BF33" s="2288">
        <f t="shared" si="100"/>
        <v>0.23463613225201696</v>
      </c>
      <c r="BG33" s="2288">
        <f t="shared" si="100"/>
        <v>0.24262211542068046</v>
      </c>
      <c r="BH33" s="2288">
        <f t="shared" si="100"/>
        <v>0.23767336539931239</v>
      </c>
      <c r="BI33" s="2290">
        <f t="shared" si="100"/>
        <v>0.23674496573856918</v>
      </c>
      <c r="BJ33" s="2497">
        <f t="shared" si="100"/>
        <v>0.18865418301032699</v>
      </c>
      <c r="BK33" s="2288">
        <f t="shared" si="100"/>
        <v>0.16136292204796843</v>
      </c>
      <c r="BL33" s="2288">
        <f t="shared" si="100"/>
        <v>0.13518712379700482</v>
      </c>
      <c r="BM33" s="2288">
        <f t="shared" si="100"/>
        <v>0.15073725285745954</v>
      </c>
      <c r="BN33" s="2290">
        <f t="shared" si="100"/>
        <v>0.15817837330726459</v>
      </c>
      <c r="BO33" s="2288"/>
      <c r="BP33" s="2288"/>
      <c r="BQ33" s="2288"/>
      <c r="BR33" s="2288"/>
      <c r="BS33" s="2499"/>
      <c r="BT33" s="2288">
        <f>BT578</f>
        <v>0.2055981083711822</v>
      </c>
      <c r="BU33" s="2288">
        <f>BU578</f>
        <v>0.2308946960199556</v>
      </c>
      <c r="BV33" s="2288">
        <f>BV578</f>
        <v>0.25930143255681481</v>
      </c>
      <c r="BW33" s="2288">
        <f>BW578</f>
        <v>0.21033649669268573</v>
      </c>
      <c r="BX33" s="2290">
        <f>BX578</f>
        <v>0.22639739076437193</v>
      </c>
      <c r="BY33" s="2288"/>
      <c r="BZ33" s="2288"/>
      <c r="CA33" s="2288"/>
      <c r="CB33" s="2288"/>
      <c r="CC33" s="2499"/>
      <c r="CD33" s="2833">
        <f t="shared" ref="CD33:DG33" si="101">CD578</f>
        <v>0.16815227701897006</v>
      </c>
      <c r="CE33" s="2288">
        <f t="shared" si="101"/>
        <v>0.11923078830515887</v>
      </c>
      <c r="CF33" s="2288">
        <f t="shared" si="101"/>
        <v>5.1619145984187043E-2</v>
      </c>
      <c r="CG33" s="2288">
        <f t="shared" si="101"/>
        <v>7.0589866914090971E-2</v>
      </c>
      <c r="CH33" s="2290">
        <f t="shared" si="101"/>
        <v>0.10026227575364444</v>
      </c>
      <c r="CI33" s="2497">
        <f t="shared" si="101"/>
        <v>4.0401061633736468E-2</v>
      </c>
      <c r="CJ33" s="2288">
        <f t="shared" si="101"/>
        <v>7.5135787567893741E-2</v>
      </c>
      <c r="CK33" s="2288">
        <f t="shared" si="101"/>
        <v>8.880073237717423E-2</v>
      </c>
      <c r="CL33" s="2288">
        <f t="shared" si="101"/>
        <v>5.7797164667393597E-2</v>
      </c>
      <c r="CM33" s="2290">
        <f t="shared" si="101"/>
        <v>6.5128205128205163E-2</v>
      </c>
      <c r="CN33" s="2497">
        <f t="shared" si="101"/>
        <v>1.3605442176870763E-2</v>
      </c>
      <c r="CO33" s="2288">
        <f t="shared" si="101"/>
        <v>1.6278417064271578E-2</v>
      </c>
      <c r="CP33" s="2288">
        <f t="shared" si="101"/>
        <v>3.5313901345291443E-2</v>
      </c>
      <c r="CQ33" s="2288">
        <f t="shared" si="101"/>
        <v>6.7525773195876271E-2</v>
      </c>
      <c r="CR33" s="2290">
        <f t="shared" si="101"/>
        <v>3.3977577550037719E-2</v>
      </c>
      <c r="CS33" s="2497">
        <f t="shared" si="101"/>
        <v>3.2438478747203625E-2</v>
      </c>
      <c r="CT33" s="2288">
        <f t="shared" si="101"/>
        <v>3.3692350179508335E-2</v>
      </c>
      <c r="CU33" s="2288">
        <f t="shared" si="101"/>
        <v>1.0286951813752054E-2</v>
      </c>
      <c r="CV33" s="2288">
        <f t="shared" si="101"/>
        <v>6.9773056494447205E-2</v>
      </c>
      <c r="CW33" s="2290">
        <f t="shared" si="101"/>
        <v>3.7583981906472497E-2</v>
      </c>
      <c r="CX33" s="2497">
        <f t="shared" si="101"/>
        <v>8.5590465872156019E-2</v>
      </c>
      <c r="CY33" s="2288">
        <f t="shared" si="101"/>
        <v>0.13465134918514554</v>
      </c>
      <c r="CZ33" s="2288">
        <f t="shared" si="101"/>
        <v>0.16345123258306549</v>
      </c>
      <c r="DA33" s="2288">
        <f t="shared" si="101"/>
        <v>0.12615662378695558</v>
      </c>
      <c r="DB33" s="2290">
        <f t="shared" si="101"/>
        <v>0.12751634824977565</v>
      </c>
      <c r="DC33" s="2497">
        <f t="shared" si="101"/>
        <v>0.15868263473053901</v>
      </c>
      <c r="DD33" s="2288">
        <f t="shared" si="101"/>
        <v>0.13609606781257355</v>
      </c>
      <c r="DE33" s="2288">
        <f t="shared" si="101"/>
        <v>0.12851220635651783</v>
      </c>
      <c r="DF33" s="2288">
        <f t="shared" si="101"/>
        <v>0.13796422665067376</v>
      </c>
      <c r="DG33" s="2290">
        <f t="shared" si="101"/>
        <v>0.13990114806316378</v>
      </c>
      <c r="DH33" s="2526" t="s">
        <v>116</v>
      </c>
      <c r="DI33" s="2526" t="s">
        <v>116</v>
      </c>
      <c r="DJ33" s="2526" t="s">
        <v>116</v>
      </c>
      <c r="DK33" s="2288">
        <f>DK32/DF29-1</f>
        <v>8.8307847108220594E-2</v>
      </c>
      <c r="DL33" s="2290">
        <f>(DL29-DL31)/DG29-1</f>
        <v>9.9346342520662656E-2</v>
      </c>
      <c r="DM33" s="2288">
        <f>DM32/DH29-1</f>
        <v>5.143917119903274E-2</v>
      </c>
      <c r="DN33" s="2288">
        <f>DN32/DI29-1</f>
        <v>-8.0968846251155413E-2</v>
      </c>
      <c r="DO33" s="2288">
        <f>DO32/DJ29-1</f>
        <v>9.0618282967775521E-2</v>
      </c>
      <c r="DP33" s="2288">
        <f>DP32/DK29-1</f>
        <v>0.22235225208313381</v>
      </c>
      <c r="DQ33" s="2290">
        <f>(DQ29-DQ31)/DL29-1</f>
        <v>7.6578055321858463E-2</v>
      </c>
      <c r="DR33" s="2288">
        <f>DR32/DM29-1</f>
        <v>0.27597759223381435</v>
      </c>
      <c r="DS33" s="2288">
        <f>DS32/DN29-1</f>
        <v>0.55503347986936613</v>
      </c>
      <c r="DT33" s="2288">
        <f>DT32/DO29-1</f>
        <v>0.38516960849983328</v>
      </c>
      <c r="DU33" s="2288">
        <f>DU32/DP29-1</f>
        <v>0.26013990899125883</v>
      </c>
      <c r="DV33" s="2290">
        <f>(DV29-DV31)/DQ29-1</f>
        <v>0.35518131446737966</v>
      </c>
      <c r="DW33" s="2288">
        <f>DW32/DR29-1</f>
        <v>0.23762417382806178</v>
      </c>
      <c r="DX33" s="2288">
        <f>DX32/DS29-1</f>
        <v>0.12932477504092876</v>
      </c>
      <c r="DY33" s="2288">
        <f>DY32/DT29-1</f>
        <v>4.0622304324783309E-2</v>
      </c>
      <c r="DZ33" s="2288">
        <f>DZ32/DU29-1</f>
        <v>-3.1838778070597318E-2</v>
      </c>
      <c r="EA33" s="2290">
        <f>(EA29-EA31)/DV29-1</f>
        <v>8.286813287794681E-2</v>
      </c>
      <c r="EB33" s="2288">
        <f>EB32/DW29-1</f>
        <v>-5.4224820342665514E-2</v>
      </c>
      <c r="EC33" s="2288">
        <f>EC32/DX29-1</f>
        <v>-3.4864754305971024E-2</v>
      </c>
      <c r="ED33" s="2288">
        <f>ED32/DY29-1</f>
        <v>-3.1232693633630237E-2</v>
      </c>
      <c r="EE33" s="2288">
        <f>EE32/DZ29-1</f>
        <v>-3.1765814630803302E-2</v>
      </c>
      <c r="EF33" s="2290">
        <f>(EF29-EF31)/EA29-1</f>
        <v>-3.8018936259120117E-2</v>
      </c>
      <c r="EG33" s="2288">
        <f>EG32/EB29-1</f>
        <v>-6.2498628789019461E-3</v>
      </c>
      <c r="EH33" s="2288">
        <f>EH32/EC29-1</f>
        <v>-3.7463191288755526E-2</v>
      </c>
      <c r="EI33" s="2288">
        <f>EI32/ED29-1</f>
        <v>-4.3855942130014425E-3</v>
      </c>
      <c r="EJ33" s="2288">
        <f>EJ32/EE29-1</f>
        <v>-3.8695293118618079E-2</v>
      </c>
      <c r="EK33" s="2290">
        <f>(EK29-EK31)/EF29-1</f>
        <v>-2.2215859503757818E-2</v>
      </c>
      <c r="EL33" s="2288">
        <f>EL32/EG29-1</f>
        <v>-3.6305570394391529E-3</v>
      </c>
      <c r="EM33" s="2288">
        <f>EM32/EH29-1</f>
        <v>-1.7668434758232432E-2</v>
      </c>
      <c r="EN33" s="2288">
        <f>EN32/EI29-1</f>
        <v>-3.8466066260326448E-2</v>
      </c>
      <c r="EO33" s="2526">
        <v>-0.03</v>
      </c>
      <c r="EP33" s="2290">
        <f>(EP29-EP31)/EK29-1</f>
        <v>-2.2642347106511695E-2</v>
      </c>
      <c r="EQ33" s="2526">
        <v>-0.02</v>
      </c>
      <c r="ER33" s="2526">
        <v>-0.02</v>
      </c>
      <c r="ES33" s="2526">
        <v>-0.02</v>
      </c>
      <c r="ET33" s="2526">
        <v>-0.02</v>
      </c>
      <c r="EU33" s="2290">
        <f>(EU29-EU31)/EP29-1</f>
        <v>-1.9999999999999907E-2</v>
      </c>
      <c r="EV33" s="2527">
        <v>-0.01</v>
      </c>
      <c r="EW33" s="2527">
        <v>-5.0000000000000001E-3</v>
      </c>
      <c r="EX33" s="2527">
        <v>0</v>
      </c>
      <c r="EY33" s="2527">
        <v>5.0000000000000001E-3</v>
      </c>
      <c r="EZ33" s="169"/>
      <c r="FA33" s="725"/>
      <c r="FB33" s="725"/>
      <c r="FD33" s="2613"/>
    </row>
    <row r="34" spans="1:166" s="194" customFormat="1" ht="11.25" customHeight="1" collapsed="1">
      <c r="A34" s="5634" t="s">
        <v>46</v>
      </c>
      <c r="B34" s="2612"/>
      <c r="C34" s="169"/>
      <c r="D34" s="169"/>
      <c r="E34" s="169"/>
      <c r="F34" s="5597"/>
      <c r="G34" s="2612"/>
      <c r="H34" s="169"/>
      <c r="I34" s="169"/>
      <c r="J34" s="169"/>
      <c r="K34" s="1381"/>
      <c r="L34" s="169"/>
      <c r="M34" s="169"/>
      <c r="N34" s="169"/>
      <c r="O34" s="169"/>
      <c r="P34" s="1021"/>
      <c r="Q34" s="1226" t="s">
        <v>116</v>
      </c>
      <c r="R34" s="169" t="s">
        <v>116</v>
      </c>
      <c r="S34" s="169">
        <f>+S29/R29-1</f>
        <v>1.1038475845774895</v>
      </c>
      <c r="T34" s="169">
        <f>+T29/S29-1</f>
        <v>0.83594859071110417</v>
      </c>
      <c r="U34" s="1021"/>
      <c r="V34" s="1226">
        <f>+V29/T29-1</f>
        <v>0.40934057305455696</v>
      </c>
      <c r="W34" s="169">
        <f>+W29/V29-1</f>
        <v>0.44774557364131096</v>
      </c>
      <c r="X34" s="169">
        <f>+X29/W29-1</f>
        <v>0.48358181029570591</v>
      </c>
      <c r="Y34" s="169">
        <f>+Y29/X29-1</f>
        <v>0.46381646832221235</v>
      </c>
      <c r="Z34" s="1021"/>
      <c r="AA34" s="1226">
        <f>+AA29/Y29-1</f>
        <v>0.30701692552299931</v>
      </c>
      <c r="AB34" s="169">
        <f>+AB29/AA29-1</f>
        <v>3.7375056928497852E-2</v>
      </c>
      <c r="AC34" s="169">
        <f>+AC29/AB29-1</f>
        <v>0.1099686332049008</v>
      </c>
      <c r="AD34" s="169">
        <f>+AD29/AC29-1</f>
        <v>0.27502732240437155</v>
      </c>
      <c r="AE34" s="1021"/>
      <c r="AF34" s="1226">
        <f>+AF29/AD29-1</f>
        <v>0.19208764206835616</v>
      </c>
      <c r="AG34" s="169">
        <f>+AG29/AF29-1</f>
        <v>7.8969777505989436E-2</v>
      </c>
      <c r="AH34" s="169">
        <f>+AH29/AG29-1</f>
        <v>7.1036205140247777E-2</v>
      </c>
      <c r="AI34" s="169">
        <f>+AI29/AH29-1</f>
        <v>0.18305007910970472</v>
      </c>
      <c r="AJ34" s="1021"/>
      <c r="AK34" s="1226">
        <f>+AK29/AI29-1</f>
        <v>0.16254368730222524</v>
      </c>
      <c r="AL34" s="169">
        <f>+AL29/AK29-1</f>
        <v>7.3451920342619825E-2</v>
      </c>
      <c r="AM34" s="169">
        <f>+AM29/AL29-1</f>
        <v>4.0594360439388355E-2</v>
      </c>
      <c r="AN34" s="184">
        <f>+AN29/AM29-1</f>
        <v>0.15510278470466399</v>
      </c>
      <c r="AO34" s="1021"/>
      <c r="AP34" s="1226">
        <f>+AP29/AN29-1</f>
        <v>0.12310381703477935</v>
      </c>
      <c r="AQ34" s="169">
        <f>+AQ29/AP29-1</f>
        <v>4.996547312962063E-3</v>
      </c>
      <c r="AR34" s="169">
        <f>+AR29/AQ29-1</f>
        <v>7.5936484644440139E-2</v>
      </c>
      <c r="AS34" s="184">
        <f>+AS29/AR29-1</f>
        <v>0.12450153672078712</v>
      </c>
      <c r="AT34" s="1021"/>
      <c r="AU34" s="1226">
        <f>+AU29/AS29-1</f>
        <v>3.0751860210925797E-2</v>
      </c>
      <c r="AV34" s="169">
        <f>+AV29/AU29-1</f>
        <v>-1.830273980645758E-2</v>
      </c>
      <c r="AW34" s="169">
        <f>+AW29/AV29-1</f>
        <v>1.4850055579720634E-2</v>
      </c>
      <c r="AX34" s="184">
        <f>+AX29/AW29-1</f>
        <v>8.062571843741706E-3</v>
      </c>
      <c r="AY34" s="1021"/>
      <c r="AZ34" s="1226">
        <f>+AZ29/AX29-1</f>
        <v>-3.2693301366182426E-2</v>
      </c>
      <c r="BA34" s="169">
        <f>+BA29/AZ29-1</f>
        <v>2.775142517713225E-2</v>
      </c>
      <c r="BB34" s="169">
        <f>+BB29/BA29-1</f>
        <v>6.9729729729729684E-2</v>
      </c>
      <c r="BC34" s="184">
        <f>+BC29/BB29-1</f>
        <v>0.13493106186385617</v>
      </c>
      <c r="BD34" s="1021"/>
      <c r="BE34" s="1226">
        <f>+BE29/BC29-1</f>
        <v>-3.8583365217041976E-3</v>
      </c>
      <c r="BF34" s="169">
        <f>+BF29/BE29-1</f>
        <v>1.3261296660117772E-2</v>
      </c>
      <c r="BG34" s="169">
        <f>+BG29/BF29-1</f>
        <v>6.5923412506059043E-2</v>
      </c>
      <c r="BH34" s="184">
        <f>+BH29/BG29-1</f>
        <v>0.13460663938153705</v>
      </c>
      <c r="BI34" s="1021"/>
      <c r="BJ34" s="1226">
        <f>+BJ29/BH29-1</f>
        <v>-2.7254509018036055E-2</v>
      </c>
      <c r="BK34" s="169">
        <f>+BK29/BJ29-1</f>
        <v>2.3485784919653918E-2</v>
      </c>
      <c r="BL34" s="169">
        <f>+BL29/BK29-1</f>
        <v>4.4685990338164228E-2</v>
      </c>
      <c r="BM34" s="169">
        <f>+BM29/BL29-1</f>
        <v>0.10982658959537561</v>
      </c>
      <c r="BN34" s="1021"/>
      <c r="BO34" s="193"/>
      <c r="BP34" s="193"/>
      <c r="BQ34" s="193"/>
      <c r="BR34" s="193"/>
      <c r="BS34" s="2430"/>
      <c r="BT34" s="169">
        <f>+BT29/BM29-1</f>
        <v>1.1458333333333348E-2</v>
      </c>
      <c r="BU34" s="169">
        <f>+BU29/BT29-1</f>
        <v>2.4030209406110448E-2</v>
      </c>
      <c r="BV34" s="169">
        <f>+BV29/BU29-1</f>
        <v>5.0284948038886945E-2</v>
      </c>
      <c r="BW34" s="169">
        <f>+BW29/BV29-1</f>
        <v>9.6712416214491004E-2</v>
      </c>
      <c r="BX34" s="1021"/>
      <c r="BY34" s="193"/>
      <c r="BZ34" s="193"/>
      <c r="CA34" s="193"/>
      <c r="CB34" s="193"/>
      <c r="CC34" s="2430"/>
      <c r="CD34" s="576">
        <f>+CD29/BW29-1</f>
        <v>-1.3096623981373678E-2</v>
      </c>
      <c r="CE34" s="169">
        <f>+CE29/CD29-1</f>
        <v>-2.2707166027720382E-2</v>
      </c>
      <c r="CF34" s="169">
        <f>+CF29/CE29-1</f>
        <v>-1.1164755582377839E-2</v>
      </c>
      <c r="CG34" s="169">
        <f>+CG29/CF29-1</f>
        <v>0.11931644797070495</v>
      </c>
      <c r="CH34" s="1021"/>
      <c r="CI34" s="1226">
        <f>+CI29/CG29-1</f>
        <v>-3.8167938931297662E-2</v>
      </c>
      <c r="CJ34" s="169">
        <f>+CJ29/CI29-1</f>
        <v>9.9206349206348854E-3</v>
      </c>
      <c r="CK34" s="169">
        <f>+CK29/CJ29-1</f>
        <v>1.4033118158855995E-3</v>
      </c>
      <c r="CL34" s="169">
        <f>+CL29/CK29-1</f>
        <v>8.7443946188340727E-2</v>
      </c>
      <c r="CM34" s="1021"/>
      <c r="CN34" s="169">
        <f>+CN29/CL29-1</f>
        <v>-7.835051546391758E-2</v>
      </c>
      <c r="CO34" s="169">
        <f>+CO29/CN29-1</f>
        <v>1.2583892617449743E-2</v>
      </c>
      <c r="CP34" s="169">
        <f>+CP29/CO29-1</f>
        <v>2.0160176746754965E-2</v>
      </c>
      <c r="CQ34" s="169">
        <f>+CQ29/CP29-1</f>
        <v>0.12127774769897126</v>
      </c>
      <c r="CR34" s="1021"/>
      <c r="CS34" s="169">
        <f>+CS29/CQ29-1</f>
        <v>-0.10864316755190728</v>
      </c>
      <c r="CT34" s="169">
        <f>+CT29/CS29-1</f>
        <v>1.3813651137594807E-2</v>
      </c>
      <c r="CU34" s="169">
        <f>+CU29/CT29-1</f>
        <v>-2.938819129040926E-3</v>
      </c>
      <c r="CV34" s="169">
        <f>+CV29/CU29-1</f>
        <v>0.18729903536977499</v>
      </c>
      <c r="CW34" s="1021"/>
      <c r="CX34" s="169">
        <f>+CX29/CV29-1</f>
        <v>-9.5463777928232907E-2</v>
      </c>
      <c r="CY34" s="169">
        <f>+CY29/CX29-1</f>
        <v>5.9630738522954196E-2</v>
      </c>
      <c r="CZ34" s="169">
        <f>+CZ29/CY29-1</f>
        <v>2.2368730868848496E-2</v>
      </c>
      <c r="DA34" s="169">
        <f>+DA29/CZ29-1</f>
        <v>0.14923998157531093</v>
      </c>
      <c r="DB34" s="1021"/>
      <c r="DC34" s="2612">
        <f>+DC29/DA29-1</f>
        <v>-6.9338677354709444E-2</v>
      </c>
      <c r="DD34" s="2612">
        <f>+DD29/DC29-1</f>
        <v>3.8975021533161014E-2</v>
      </c>
      <c r="DE34" s="2612">
        <f>+DE29/DD29-1</f>
        <v>1.5544041450777257E-2</v>
      </c>
      <c r="DF34" s="2612">
        <f>+DF29/DE29-1</f>
        <v>0.14142857142857146</v>
      </c>
      <c r="DG34" s="1021"/>
      <c r="DH34" s="2612">
        <f>+DH29/DF29-1</f>
        <v>-0.10334346504559266</v>
      </c>
      <c r="DI34" s="2612">
        <f>+DI29/DH29-1</f>
        <v>4.6660019940179431E-2</v>
      </c>
      <c r="DJ34" s="2612">
        <f>+DJ29/DI29-1</f>
        <v>3.8102495713476792E-4</v>
      </c>
      <c r="DK34" s="2612">
        <f>+DK29/DJ29-1</f>
        <v>0.14873357455722713</v>
      </c>
      <c r="DL34" s="1021"/>
      <c r="DM34" s="2612">
        <f>+DM29/DK29-1</f>
        <v>-0.13411803713527848</v>
      </c>
      <c r="DN34" s="2612">
        <f>+DN29/DM29-1</f>
        <v>-9.3241432127129986E-2</v>
      </c>
      <c r="DO34" s="2612">
        <f>+DO29/DN29-1</f>
        <v>0.20777027027027017</v>
      </c>
      <c r="DP34" s="2612">
        <f>+DP29/DO29-1</f>
        <v>0.29562937062937067</v>
      </c>
      <c r="DQ34" s="1021"/>
      <c r="DR34" s="2612">
        <f>+DR29/DP29-1</f>
        <v>-8.2445014168128439E-2</v>
      </c>
      <c r="DS34" s="2612">
        <f>+DS29/DR29-1</f>
        <v>0.11720588235294116</v>
      </c>
      <c r="DT34" s="2612">
        <f>+DT29/DS29-1</f>
        <v>5.2915624588653509E-2</v>
      </c>
      <c r="DU34" s="2612">
        <f>+DU29/DT29-1</f>
        <v>0.16327040880110011</v>
      </c>
      <c r="DV34" s="1021"/>
      <c r="DW34" s="2612">
        <f>+DW29/DU29-1</f>
        <v>-0.12154755507791515</v>
      </c>
      <c r="DX34" s="2612">
        <f>+DX29/DW29-1</f>
        <v>1.0398825544409185E-2</v>
      </c>
      <c r="DY34" s="2612">
        <f>+DY29/DX29-1</f>
        <v>-4.6857973120232432E-2</v>
      </c>
      <c r="DZ34" s="2612">
        <f>+DZ29/DY29-1</f>
        <v>7.6600609756097615E-2</v>
      </c>
      <c r="EA34" s="1021"/>
      <c r="EB34" s="2612">
        <f>+EB29/DZ29-1</f>
        <v>-0.11551622418879059</v>
      </c>
      <c r="EC34" s="2612">
        <f>+EC29/EB29-1</f>
        <v>4.7225186766275407E-2</v>
      </c>
      <c r="ED34" s="2612">
        <f>+ED29/EC29-1</f>
        <v>-2.3057324840764282E-2</v>
      </c>
      <c r="EE34" s="2612">
        <f>+EE29/ED29-1</f>
        <v>8.1888121006650216E-2</v>
      </c>
      <c r="EF34" s="1021"/>
      <c r="EG34" s="2612">
        <f>+EG29/EE29-1</f>
        <v>-0.10654453416897669</v>
      </c>
      <c r="EH34" s="2612">
        <f>+EH29/EG29-1</f>
        <v>4.1818427087549903E-3</v>
      </c>
      <c r="EI34" s="2612">
        <f>+EI29/EH29-1</f>
        <v>1.3970983342289189E-2</v>
      </c>
      <c r="EJ34" s="2612">
        <f>+EJ29/EI29-1</f>
        <v>5.3789083200847854E-2</v>
      </c>
      <c r="EK34" s="1021"/>
      <c r="EL34" s="2612">
        <f>+EL29/EJ29-1</f>
        <v>-8.7754588886094997E-2</v>
      </c>
      <c r="EM34" s="2612">
        <f>+EM29/EL29-1</f>
        <v>1.3506063947078317E-2</v>
      </c>
      <c r="EN34" s="2612">
        <f>+EN29/EM29-1</f>
        <v>0</v>
      </c>
      <c r="EO34" s="2612">
        <f>+EO29/EN29-1</f>
        <v>5.8373982287511561E-2</v>
      </c>
      <c r="EP34" s="1021"/>
      <c r="EQ34" s="2612">
        <f>+EQ29/EO29-1</f>
        <v>-5.7692179707479641E-2</v>
      </c>
      <c r="ER34" s="2612">
        <f>+ER29/EQ29-1</f>
        <v>-1.1641364769193308E-2</v>
      </c>
      <c r="ES34" s="2612">
        <f>+ES29/ER29-1</f>
        <v>-1.1628768752209973E-2</v>
      </c>
      <c r="ET34" s="2612">
        <f>+ET29/ES29-1</f>
        <v>6.2455395097497535E-2</v>
      </c>
      <c r="EU34" s="1021"/>
      <c r="EV34" s="1021"/>
      <c r="EW34" s="1021"/>
      <c r="EX34" s="1021"/>
      <c r="EY34" s="1021"/>
      <c r="EZ34" s="193"/>
      <c r="FA34" s="1100"/>
      <c r="FB34" s="1100"/>
    </row>
    <row r="35" spans="1:166" s="77" customFormat="1" ht="11.25" hidden="1" customHeight="1" outlineLevel="1">
      <c r="A35" s="5635" t="s">
        <v>428</v>
      </c>
      <c r="B35" s="127"/>
      <c r="C35" s="127"/>
      <c r="D35" s="127"/>
      <c r="E35" s="127"/>
      <c r="F35" s="5088"/>
      <c r="G35" s="127"/>
      <c r="H35" s="127"/>
      <c r="I35" s="127"/>
      <c r="J35" s="127"/>
      <c r="K35" s="1219"/>
      <c r="L35" s="127"/>
      <c r="M35" s="127"/>
      <c r="N35" s="127"/>
      <c r="O35" s="127"/>
      <c r="P35" s="1001"/>
      <c r="Q35" s="127">
        <f>+Q29/U29</f>
        <v>0</v>
      </c>
      <c r="R35" s="127">
        <f>+R29/U29</f>
        <v>0.1435460904201584</v>
      </c>
      <c r="S35" s="127">
        <f>+S29/U29</f>
        <v>0.3019990956059922</v>
      </c>
      <c r="T35" s="127">
        <f>+T29/U29</f>
        <v>0.55445481397384933</v>
      </c>
      <c r="U35" s="1001"/>
      <c r="V35" s="127">
        <f>+V29/Z29</f>
        <v>0.12920458160992682</v>
      </c>
      <c r="W35" s="127">
        <f>+W29/Z29</f>
        <v>0.18705536111994908</v>
      </c>
      <c r="X35" s="127">
        <f>+X29/Z29</f>
        <v>0.27751193127585105</v>
      </c>
      <c r="Y35" s="127">
        <f>+Y29/Z29</f>
        <v>0.40622653515749285</v>
      </c>
      <c r="Z35" s="1001"/>
      <c r="AA35" s="127">
        <f>+AA29/AE29</f>
        <v>0.21473217990942378</v>
      </c>
      <c r="AB35" s="127">
        <f>+AB29/AE29</f>
        <v>0.22275780735791892</v>
      </c>
      <c r="AC35" s="127">
        <f>+AC29/AE29</f>
        <v>0.24725417896878987</v>
      </c>
      <c r="AD35" s="127">
        <f>+AD29/AE29</f>
        <v>0.31525583376386745</v>
      </c>
      <c r="AE35" s="1001"/>
      <c r="AF35" s="127">
        <f>+AF29/AJ29</f>
        <v>0.21730925999285103</v>
      </c>
      <c r="AG35" s="127">
        <f>+AG29/AJ29</f>
        <v>0.23447012390447766</v>
      </c>
      <c r="AH35" s="127">
        <f>+AH29/AJ29</f>
        <v>0.25112599172541544</v>
      </c>
      <c r="AI35" s="127">
        <f>+AI29/AJ29</f>
        <v>0.29709462437725581</v>
      </c>
      <c r="AJ35" s="1001"/>
      <c r="AK35" s="127">
        <f>+AK29/AO29</f>
        <v>0.22317632058217735</v>
      </c>
      <c r="AL35" s="127">
        <f>+AL29/AO29</f>
        <v>0.2395690499039384</v>
      </c>
      <c r="AM35" s="127">
        <f>+AM29/AO29</f>
        <v>0.24929420226586069</v>
      </c>
      <c r="AN35" s="127">
        <f>+AN29/AO29</f>
        <v>0.28796042724802345</v>
      </c>
      <c r="AO35" s="1001"/>
      <c r="AP35" s="127">
        <f>+AP29/AT29</f>
        <v>0.23243670413136835</v>
      </c>
      <c r="AQ35" s="127">
        <f>+AQ29/AT29</f>
        <v>0.23359808512082972</v>
      </c>
      <c r="AR35" s="127">
        <f>+AR29/AT29</f>
        <v>0.25133670252457824</v>
      </c>
      <c r="AS35" s="127">
        <f>+AS29/AT29</f>
        <v>0.28262850822322355</v>
      </c>
      <c r="AT35" s="1001"/>
      <c r="AU35" s="127">
        <f>+AU29/AY29</f>
        <v>0.25111237500720435</v>
      </c>
      <c r="AV35" s="127">
        <f>+AV29/AY29</f>
        <v>0.24651633054526592</v>
      </c>
      <c r="AW35" s="127">
        <f>+AW29/AY29</f>
        <v>0.25017711175517193</v>
      </c>
      <c r="AX35" s="127">
        <f>+AX29/AY29</f>
        <v>0.25219418269235783</v>
      </c>
      <c r="AY35" s="1001"/>
      <c r="AZ35" s="127">
        <f>+AZ29/BD29</f>
        <v>0.22857512044539471</v>
      </c>
      <c r="BA35" s="127">
        <f>+BA29/BD29</f>
        <v>0.23491840579778908</v>
      </c>
      <c r="BB35" s="127">
        <f>+BB29/BD29</f>
        <v>0.25129920274260786</v>
      </c>
      <c r="BC35" s="127">
        <f>+BC29/BD29</f>
        <v>0.28520727101420845</v>
      </c>
      <c r="BD35" s="1001"/>
      <c r="BE35" s="127">
        <f>+BE29/BI29</f>
        <v>0.23154782213124075</v>
      </c>
      <c r="BF35" s="127">
        <f>+BF29/BI29</f>
        <v>0.23461844649152735</v>
      </c>
      <c r="BG35" s="127">
        <f>+BG29/BI29</f>
        <v>0.25008529512111904</v>
      </c>
      <c r="BH35" s="127">
        <f>+BH29/BI29</f>
        <v>0.28374843625611279</v>
      </c>
      <c r="BI35" s="1001"/>
      <c r="BJ35" s="127">
        <f>+BJ29/BN29</f>
        <v>0.23367995378393991</v>
      </c>
      <c r="BK35" s="127">
        <f>+BK29/BN29</f>
        <v>0.2391681109185442</v>
      </c>
      <c r="BL35" s="127">
        <f>+BL29/BN29</f>
        <v>0.24985557481224727</v>
      </c>
      <c r="BM35" s="127">
        <f>+BM29/BN29</f>
        <v>0.27729636048526862</v>
      </c>
      <c r="BN35" s="1001"/>
      <c r="BO35" s="42"/>
      <c r="BP35" s="42"/>
      <c r="BQ35" s="42"/>
      <c r="BR35" s="42"/>
      <c r="BS35" s="597"/>
      <c r="BT35" s="127">
        <f>+BT29/BX29</f>
        <v>0.23369434416365825</v>
      </c>
      <c r="BU35" s="127">
        <f>+BU29/BX29</f>
        <v>0.23931006819093462</v>
      </c>
      <c r="BV35" s="127">
        <f>+BV29/BX29</f>
        <v>0.25134376253509827</v>
      </c>
      <c r="BW35" s="127">
        <f>+BW29/BX29</f>
        <v>0.27565182511030889</v>
      </c>
      <c r="BX35" s="1001"/>
      <c r="BY35" s="42"/>
      <c r="BZ35" s="42"/>
      <c r="CA35" s="42"/>
      <c r="CB35" s="42"/>
      <c r="CC35" s="597"/>
      <c r="CD35" s="127">
        <f>+CD29/CH29</f>
        <v>0.24842490842490841</v>
      </c>
      <c r="CE35" s="127">
        <f>+CE29/CH29</f>
        <v>0.24278388278388277</v>
      </c>
      <c r="CF35" s="127">
        <f>+CF29/CH29</f>
        <v>0.24007326007326008</v>
      </c>
      <c r="CG35" s="127">
        <f>+CG29/CH29</f>
        <v>0.26871794871794874</v>
      </c>
      <c r="CH35" s="1001"/>
      <c r="CI35" s="127">
        <f>+CI29/CM29</f>
        <v>0.24265767934520943</v>
      </c>
      <c r="CJ35" s="127">
        <f>+CJ29/CM29</f>
        <v>0.24506499759268174</v>
      </c>
      <c r="CK35" s="127">
        <f>+CK29/CM29</f>
        <v>0.24540890019946351</v>
      </c>
      <c r="CL35" s="127">
        <f>+CL29/CM29</f>
        <v>0.26686842286264528</v>
      </c>
      <c r="CM35" s="1001"/>
      <c r="CN35" s="127">
        <f>+CN29/CR29</f>
        <v>0.23787667132308921</v>
      </c>
      <c r="CO35" s="127">
        <f>+CO29/CR29</f>
        <v>0.24087008581121533</v>
      </c>
      <c r="CP35" s="127">
        <f>+CP29/CR29</f>
        <v>0.24572606931417548</v>
      </c>
      <c r="CQ35" s="127">
        <f>+CQ29/CR29</f>
        <v>0.27552717355152001</v>
      </c>
      <c r="CR35" s="1001"/>
      <c r="CS35" s="127">
        <f>+CS29/CW29</f>
        <v>0.236697012437492</v>
      </c>
      <c r="CT35" s="127">
        <f>+CT29/CW29</f>
        <v>0.23996666239261444</v>
      </c>
      <c r="CU35" s="127">
        <f>+CU29/CW29</f>
        <v>0.23926144377484293</v>
      </c>
      <c r="CV35" s="127">
        <f>+CV29/CW29</f>
        <v>0.28407488139505066</v>
      </c>
      <c r="CW35" s="1001"/>
      <c r="CX35" s="127">
        <f>+CX29/DB29</f>
        <v>0.22752043596730245</v>
      </c>
      <c r="CY35" s="127">
        <f>+CY29/DB29</f>
        <v>0.24108764759309717</v>
      </c>
      <c r="CZ35" s="127">
        <f>+CZ29/DB29</f>
        <v>0.24648047229791098</v>
      </c>
      <c r="DA35" s="127">
        <f>+DA29/DB29</f>
        <v>0.28326521344232514</v>
      </c>
      <c r="DB35" s="1001"/>
      <c r="DC35" s="127">
        <f>+DC29/DG29</f>
        <v>0.23208395802098949</v>
      </c>
      <c r="DD35" s="127">
        <f>+DD29/DG29</f>
        <v>0.24112943528235883</v>
      </c>
      <c r="DE35" s="127">
        <f>+DE29/DG29</f>
        <v>0.24487756121939031</v>
      </c>
      <c r="DF35" s="127">
        <f>+DF29/DG29</f>
        <v>0.27951024487756121</v>
      </c>
      <c r="DG35" s="1001"/>
      <c r="DH35" s="127">
        <f>+DH29/DL29</f>
        <v>0.23274701814637769</v>
      </c>
      <c r="DI35" s="127">
        <f>+DI29/DL29</f>
        <v>0.24360699865410498</v>
      </c>
      <c r="DJ35" s="127">
        <f>+DJ29/DL29</f>
        <v>0.24369981900032486</v>
      </c>
      <c r="DK35" s="127">
        <f>+DK29/DL29</f>
        <v>0.27994616419919244</v>
      </c>
      <c r="DL35" s="1001"/>
      <c r="DM35" s="127">
        <f>+DM29/DQ29</f>
        <v>0.22620181896925076</v>
      </c>
      <c r="DN35" s="127">
        <f>+DN29/DQ29</f>
        <v>0.205110437418796</v>
      </c>
      <c r="DO35" s="127">
        <f>+DO29/DQ29</f>
        <v>0.24772628843655262</v>
      </c>
      <c r="DP35" s="127">
        <f>+DP29/DQ29</f>
        <v>0.32096145517540059</v>
      </c>
      <c r="DQ35" s="1001"/>
      <c r="DR35" s="127">
        <f>+DR29/DV29</f>
        <v>0.21450427431311314</v>
      </c>
      <c r="DS35" s="127">
        <f>+DS29/DV29</f>
        <v>0.23964543705245892</v>
      </c>
      <c r="DT35" s="127">
        <f>+DT29/DV29</f>
        <v>0.25232642503391062</v>
      </c>
      <c r="DU35" s="127">
        <f>+DU29/DV29</f>
        <v>0.29352386360051735</v>
      </c>
      <c r="DV35" s="1001"/>
      <c r="DW35" s="127">
        <f>+DW29/EA29</f>
        <v>0.24935936546674803</v>
      </c>
      <c r="DX35" s="127">
        <f>+DX29/EA29</f>
        <v>0.2519524100061013</v>
      </c>
      <c r="DY35" s="127">
        <f>+DY29/EA29</f>
        <v>0.24014643075045761</v>
      </c>
      <c r="DZ35" s="127">
        <f>+DZ29/EA29</f>
        <v>0.25854179377669312</v>
      </c>
      <c r="EA35" s="1001"/>
      <c r="EB35" s="127">
        <f>+EB29/EF29</f>
        <v>0.23939703628002043</v>
      </c>
      <c r="EC35" s="127">
        <f>+EC29/EF29</f>
        <v>0.25070260602963718</v>
      </c>
      <c r="ED35" s="127">
        <f>+ED29/EF29</f>
        <v>0.24492207460398568</v>
      </c>
      <c r="EE35" s="127">
        <f>+EE29/EF29</f>
        <v>0.26497828308635668</v>
      </c>
      <c r="EF35" s="1001"/>
      <c r="EG35" s="127">
        <f>+EG29/EK29</f>
        <v>0.24417800322803782</v>
      </c>
      <c r="EH35" s="127">
        <f>+EH29/EK29</f>
        <v>0.2451991172304753</v>
      </c>
      <c r="EI35" s="127">
        <f>+EI29/EK29</f>
        <v>0.24862479001284626</v>
      </c>
      <c r="EJ35" s="127">
        <f>+EJ29/EK29</f>
        <v>0.26199808952864062</v>
      </c>
      <c r="EK35" s="1001"/>
      <c r="EL35" s="127">
        <f>+EL29/EP29</f>
        <v>0.24392144247597949</v>
      </c>
      <c r="EM35" s="127">
        <f>+EM29/EP29</f>
        <v>0.24721586107612364</v>
      </c>
      <c r="EN35" s="127">
        <f>+EN29/EP29</f>
        <v>0.24721586107612364</v>
      </c>
      <c r="EO35" s="127">
        <f>+EO29/EP29</f>
        <v>0.26164683537177319</v>
      </c>
      <c r="EP35" s="1001"/>
      <c r="EQ35" s="127">
        <f>+EQ29/EU29</f>
        <v>0.2498064236119848</v>
      </c>
      <c r="ER35" s="127">
        <f>+ER29/EU29</f>
        <v>0.24689833591303004</v>
      </c>
      <c r="ES35" s="127">
        <f>+ES29/EU29</f>
        <v>0.24402721225939195</v>
      </c>
      <c r="ET35" s="127">
        <f>+ET29/EU29</f>
        <v>0.25926802821559319</v>
      </c>
      <c r="EU35" s="1001"/>
      <c r="EV35" s="597"/>
      <c r="EW35" s="597"/>
      <c r="EX35" s="597"/>
      <c r="EY35" s="597"/>
      <c r="EZ35" s="42"/>
      <c r="FA35" s="725"/>
      <c r="FB35" s="725"/>
    </row>
    <row r="36" spans="1:166" s="168" customFormat="1" ht="11.25" customHeight="1" collapsed="1">
      <c r="A36" s="5638" t="s">
        <v>971</v>
      </c>
      <c r="B36" s="2973"/>
      <c r="C36" s="2973"/>
      <c r="D36" s="2973"/>
      <c r="E36" s="2973"/>
      <c r="F36" s="5612"/>
      <c r="G36" s="2973"/>
      <c r="H36" s="2973"/>
      <c r="I36" s="2973"/>
      <c r="J36" s="2973"/>
      <c r="K36" s="2972"/>
      <c r="L36" s="2973"/>
      <c r="M36" s="2973"/>
      <c r="N36" s="2973"/>
      <c r="O36" s="4415"/>
      <c r="P36" s="2972">
        <f t="shared" ref="P36:AU36" si="102">P22+P29</f>
        <v>66.932000000000002</v>
      </c>
      <c r="Q36" s="4413">
        <f t="shared" si="102"/>
        <v>37.210799999999999</v>
      </c>
      <c r="R36" s="2973">
        <f t="shared" si="102"/>
        <v>71.457750000000004</v>
      </c>
      <c r="S36" s="2973">
        <f t="shared" si="102"/>
        <v>122.93978000000001</v>
      </c>
      <c r="T36" s="4415">
        <f t="shared" si="102"/>
        <v>179.30666999999994</v>
      </c>
      <c r="U36" s="2972">
        <f t="shared" si="102"/>
        <v>410.91500000000002</v>
      </c>
      <c r="V36" s="4416">
        <f t="shared" si="102"/>
        <v>239.11799999999999</v>
      </c>
      <c r="W36" s="2973">
        <f t="shared" si="102"/>
        <v>300.685</v>
      </c>
      <c r="X36" s="2973">
        <f t="shared" si="102"/>
        <v>381.68299999999999</v>
      </c>
      <c r="Y36" s="4415">
        <f t="shared" si="102"/>
        <v>499.17600000000004</v>
      </c>
      <c r="Z36" s="2972">
        <f t="shared" si="102"/>
        <v>1420.663</v>
      </c>
      <c r="AA36" s="4413">
        <f t="shared" si="102"/>
        <v>637.28399999999999</v>
      </c>
      <c r="AB36" s="2973">
        <f t="shared" si="102"/>
        <v>689.66800000000001</v>
      </c>
      <c r="AC36" s="2973">
        <f t="shared" si="102"/>
        <v>796</v>
      </c>
      <c r="AD36" s="4415">
        <f t="shared" si="102"/>
        <v>1020.3810000000001</v>
      </c>
      <c r="AE36" s="2972">
        <f t="shared" si="102"/>
        <v>3143.3329999999996</v>
      </c>
      <c r="AF36" s="4413">
        <f t="shared" si="102"/>
        <v>1241.1111999999998</v>
      </c>
      <c r="AG36" s="2973">
        <f t="shared" si="102"/>
        <v>1367.414</v>
      </c>
      <c r="AH36" s="2973">
        <f t="shared" si="102"/>
        <v>1559.6909999999998</v>
      </c>
      <c r="AI36" s="4415">
        <f t="shared" si="102"/>
        <v>1896.7860000000001</v>
      </c>
      <c r="AJ36" s="2972">
        <f t="shared" si="102"/>
        <v>6065.0021999999999</v>
      </c>
      <c r="AK36" s="4413">
        <f t="shared" si="102"/>
        <v>2225.6930000000002</v>
      </c>
      <c r="AL36" s="2973">
        <f t="shared" si="102"/>
        <v>2429.0280000000002</v>
      </c>
      <c r="AM36" s="2973">
        <f t="shared" si="102"/>
        <v>2662.9989999999998</v>
      </c>
      <c r="AN36" s="4415">
        <f t="shared" si="102"/>
        <v>3174.9089999999997</v>
      </c>
      <c r="AO36" s="2972">
        <f t="shared" si="102"/>
        <v>10492.629000000001</v>
      </c>
      <c r="AP36" s="4413">
        <f t="shared" si="102"/>
        <v>3627.45</v>
      </c>
      <c r="AQ36" s="2973">
        <f t="shared" si="102"/>
        <v>3838.3409999999999</v>
      </c>
      <c r="AR36" s="2973">
        <f t="shared" si="102"/>
        <v>4189.4769999999999</v>
      </c>
      <c r="AS36" s="4415">
        <f t="shared" si="102"/>
        <v>4757.375</v>
      </c>
      <c r="AT36" s="2972">
        <f t="shared" si="102"/>
        <v>16412.643</v>
      </c>
      <c r="AU36" s="4413">
        <f t="shared" si="102"/>
        <v>5086.5460000000003</v>
      </c>
      <c r="AV36" s="2973">
        <f t="shared" ref="AV36:BN36" si="103">AV22+AV29</f>
        <v>5185.4250000000002</v>
      </c>
      <c r="AW36" s="2973">
        <f t="shared" si="103"/>
        <v>5351.9719999999998</v>
      </c>
      <c r="AX36" s="4415">
        <f t="shared" si="103"/>
        <v>5504.5709999999999</v>
      </c>
      <c r="AY36" s="2972">
        <f t="shared" si="103"/>
        <v>21128.514000000003</v>
      </c>
      <c r="AZ36" s="4413">
        <f t="shared" si="103"/>
        <v>5330.8649999999998</v>
      </c>
      <c r="BA36" s="2973">
        <f t="shared" si="103"/>
        <v>5336.1280000000006</v>
      </c>
      <c r="BB36" s="2973">
        <f t="shared" si="103"/>
        <v>5756.6210000000001</v>
      </c>
      <c r="BC36" s="4415">
        <f t="shared" si="103"/>
        <v>6465.1900000000005</v>
      </c>
      <c r="BD36" s="2972">
        <f t="shared" si="103"/>
        <v>22888.804</v>
      </c>
      <c r="BE36" s="4413">
        <f t="shared" si="103"/>
        <v>6475</v>
      </c>
      <c r="BF36" s="2973">
        <f t="shared" si="103"/>
        <v>6562</v>
      </c>
      <c r="BG36" s="2973">
        <f t="shared" si="103"/>
        <v>7032</v>
      </c>
      <c r="BH36" s="4415">
        <f t="shared" si="103"/>
        <v>8167</v>
      </c>
      <c r="BI36" s="2972">
        <f t="shared" si="103"/>
        <v>28236</v>
      </c>
      <c r="BJ36" s="4413">
        <f t="shared" si="103"/>
        <v>8306</v>
      </c>
      <c r="BK36" s="2973">
        <f t="shared" si="103"/>
        <v>8716</v>
      </c>
      <c r="BL36" s="2973">
        <f t="shared" si="103"/>
        <v>9335</v>
      </c>
      <c r="BM36" s="2973">
        <f t="shared" si="103"/>
        <v>10174</v>
      </c>
      <c r="BN36" s="2972">
        <f t="shared" si="103"/>
        <v>36531</v>
      </c>
      <c r="BO36" s="2973"/>
      <c r="BP36" s="2973"/>
      <c r="BQ36" s="2973"/>
      <c r="BR36" s="2973"/>
      <c r="BS36" s="2972"/>
      <c r="BT36" s="2973">
        <f>BT22+BT29</f>
        <v>10225</v>
      </c>
      <c r="BU36" s="2973">
        <f>BU22+BU29</f>
        <v>10525</v>
      </c>
      <c r="BV36" s="2973">
        <f>BV22+BV29</f>
        <v>10860</v>
      </c>
      <c r="BW36" s="2973">
        <f>BW22+BW29</f>
        <v>12076</v>
      </c>
      <c r="BX36" s="2972">
        <f>BX22+BX29</f>
        <v>43686</v>
      </c>
      <c r="BY36" s="2973"/>
      <c r="BZ36" s="2973"/>
      <c r="CA36" s="2973"/>
      <c r="CB36" s="2973"/>
      <c r="CC36" s="2972"/>
      <c r="CD36" s="4417">
        <f t="shared" ref="CD36:CV36" si="104">CD22+CD29</f>
        <v>12031</v>
      </c>
      <c r="CE36" s="2973">
        <f t="shared" si="104"/>
        <v>12182</v>
      </c>
      <c r="CF36" s="2973">
        <f t="shared" si="104"/>
        <v>12653</v>
      </c>
      <c r="CG36" s="2973">
        <f t="shared" si="104"/>
        <v>14206</v>
      </c>
      <c r="CH36" s="2972">
        <f t="shared" si="104"/>
        <v>51072</v>
      </c>
      <c r="CI36" s="3095">
        <f t="shared" si="104"/>
        <v>13997</v>
      </c>
      <c r="CJ36" s="2973">
        <f t="shared" si="104"/>
        <v>14498</v>
      </c>
      <c r="CK36" s="2973">
        <f t="shared" si="104"/>
        <v>14820</v>
      </c>
      <c r="CL36" s="2973">
        <f t="shared" si="104"/>
        <v>16309</v>
      </c>
      <c r="CM36" s="2972">
        <f t="shared" si="104"/>
        <v>59624</v>
      </c>
      <c r="CN36" s="2973">
        <f t="shared" si="104"/>
        <v>15508</v>
      </c>
      <c r="CO36" s="2973">
        <f t="shared" si="104"/>
        <v>16023</v>
      </c>
      <c r="CP36" s="2973">
        <f t="shared" si="104"/>
        <v>16781</v>
      </c>
      <c r="CQ36" s="2973">
        <f t="shared" si="104"/>
        <v>19078</v>
      </c>
      <c r="CR36" s="2972">
        <f t="shared" si="104"/>
        <v>67390</v>
      </c>
      <c r="CS36" s="2973">
        <f t="shared" si="104"/>
        <v>18020</v>
      </c>
      <c r="CT36" s="2973">
        <f t="shared" si="104"/>
        <v>19143</v>
      </c>
      <c r="CU36" s="2973">
        <f t="shared" si="104"/>
        <v>19821</v>
      </c>
      <c r="CV36" s="2973">
        <f t="shared" si="104"/>
        <v>22399</v>
      </c>
      <c r="CW36" s="2972">
        <f>SUM(CS36:CV36)</f>
        <v>79383</v>
      </c>
      <c r="CX36" s="2973">
        <f>CX22+CX29</f>
        <v>21411</v>
      </c>
      <c r="CY36" s="2973">
        <f>CY22+CY29</f>
        <v>22672</v>
      </c>
      <c r="CZ36" s="2973">
        <f>CZ22+CZ29</f>
        <v>24065</v>
      </c>
      <c r="DA36" s="2973">
        <f>DA22+DA29</f>
        <v>27227</v>
      </c>
      <c r="DB36" s="2972">
        <f t="shared" ref="DB36:DG36" si="105">DB22+DB29</f>
        <v>95577</v>
      </c>
      <c r="DC36" s="2973">
        <f t="shared" si="105"/>
        <v>26642</v>
      </c>
      <c r="DD36" s="2973">
        <f t="shared" si="105"/>
        <v>28087</v>
      </c>
      <c r="DE36" s="2973">
        <f t="shared" si="105"/>
        <v>28954</v>
      </c>
      <c r="DF36" s="2973">
        <f t="shared" si="105"/>
        <v>32518</v>
      </c>
      <c r="DG36" s="2972">
        <f t="shared" si="105"/>
        <v>116461</v>
      </c>
      <c r="DH36" s="2973">
        <f t="shared" ref="DH36:DP36" si="106">DH22+DH29</f>
        <v>30587</v>
      </c>
      <c r="DI36" s="2973">
        <f t="shared" si="106"/>
        <v>32494</v>
      </c>
      <c r="DJ36" s="2973">
        <f t="shared" si="106"/>
        <v>33796</v>
      </c>
      <c r="DK36" s="2973">
        <f t="shared" si="106"/>
        <v>37934</v>
      </c>
      <c r="DL36" s="5262">
        <f>SUM(DH36:DK36)</f>
        <v>134811</v>
      </c>
      <c r="DM36" s="5263">
        <f t="shared" si="106"/>
        <v>33763</v>
      </c>
      <c r="DN36" s="5263">
        <f t="shared" si="106"/>
        <v>29867</v>
      </c>
      <c r="DO36" s="5263">
        <f t="shared" si="106"/>
        <v>37095</v>
      </c>
      <c r="DP36" s="5263">
        <f t="shared" si="106"/>
        <v>46199</v>
      </c>
      <c r="DQ36" s="5262">
        <f>SUM(DM36:DP36)</f>
        <v>146924</v>
      </c>
      <c r="DR36" s="5263">
        <f>DR22+DR29</f>
        <v>44684</v>
      </c>
      <c r="DS36" s="5263">
        <f>DS22+DS29</f>
        <v>50444</v>
      </c>
      <c r="DT36" s="5263">
        <f>DT22+DT29</f>
        <v>53130</v>
      </c>
      <c r="DU36" s="5263">
        <f>DU22+DU29</f>
        <v>61239</v>
      </c>
      <c r="DV36" s="5262">
        <f>SUM(DR36:DU36)</f>
        <v>209497</v>
      </c>
      <c r="DW36" s="5263">
        <f>DW22+DW29</f>
        <v>54661</v>
      </c>
      <c r="DX36" s="5263">
        <f>DX22+DX29</f>
        <v>56288</v>
      </c>
      <c r="DY36" s="5263">
        <f>DY22+DY29</f>
        <v>54482</v>
      </c>
      <c r="DZ36" s="5263">
        <f>DZ22+DZ29</f>
        <v>59042</v>
      </c>
      <c r="EA36" s="2972">
        <f>SUM(DW36:DZ36)</f>
        <v>224473</v>
      </c>
      <c r="EB36" s="5263">
        <f>EB22+EB29</f>
        <v>54548</v>
      </c>
      <c r="EC36" s="5263">
        <f>EC22+EC29</f>
        <v>58143</v>
      </c>
      <c r="ED36" s="5263">
        <f>ED22+ED29</f>
        <v>59647</v>
      </c>
      <c r="EE36" s="5263">
        <f>EE22+EE29</f>
        <v>65517</v>
      </c>
      <c r="EF36" s="2972">
        <f>SUM(EB36:EE36)</f>
        <v>237855</v>
      </c>
      <c r="EG36" s="5263">
        <f>EG22+EG29</f>
        <v>61659</v>
      </c>
      <c r="EH36" s="5263">
        <f>EH22+EH29</f>
        <v>64616</v>
      </c>
      <c r="EI36" s="5263">
        <f>EI22+EI29</f>
        <v>65854</v>
      </c>
      <c r="EJ36" s="5263">
        <f>EJ22+EJ29</f>
        <v>72461</v>
      </c>
      <c r="EK36" s="2972">
        <f>SUM(EG36:EJ36)</f>
        <v>264590</v>
      </c>
      <c r="EL36" s="5263">
        <f>EL22+EL29</f>
        <v>66885</v>
      </c>
      <c r="EM36" s="5263">
        <f>EM22+EM29</f>
        <v>71340</v>
      </c>
      <c r="EN36" s="5263">
        <f>EN22+EN29</f>
        <v>74182</v>
      </c>
      <c r="EO36" s="2973">
        <f t="shared" ref="EO36" si="107">EO22+EO29</f>
        <v>81590.263006948808</v>
      </c>
      <c r="EP36" s="2972">
        <f>SUM(EL36:EO36)</f>
        <v>293997.26300694881</v>
      </c>
      <c r="EQ36" s="2973">
        <f t="shared" ref="EQ36:ET36" si="108">EQ22+EQ29</f>
        <v>76570.116638629028</v>
      </c>
      <c r="ER36" s="2973">
        <f t="shared" si="108"/>
        <v>79799.888831552395</v>
      </c>
      <c r="ES36" s="2973">
        <f t="shared" si="108"/>
        <v>81776.13811026093</v>
      </c>
      <c r="ET36" s="2973">
        <f t="shared" si="108"/>
        <v>90036.597658992177</v>
      </c>
      <c r="EU36" s="2972">
        <f>SUM(EQ36:ET36)</f>
        <v>328182.74123943452</v>
      </c>
      <c r="EV36" s="2972">
        <f>EV22+EV29</f>
        <v>358239.9244840215</v>
      </c>
      <c r="EW36" s="2972">
        <f>EW22+EW29</f>
        <v>388240.24708046363</v>
      </c>
      <c r="EX36" s="2972">
        <f>EX22+EX29</f>
        <v>417557.81574485416</v>
      </c>
      <c r="EY36" s="2972">
        <f>EY22+EY29</f>
        <v>447473.68992436089</v>
      </c>
      <c r="EZ36" s="167"/>
      <c r="FA36" s="1319">
        <f>(EV36/EK36)^(1/3)-1</f>
        <v>0.10628456420076016</v>
      </c>
      <c r="FB36" s="1319">
        <f>(EX36/EK36)^(1/5)-1</f>
        <v>9.5541006907940984E-2</v>
      </c>
    </row>
    <row r="37" spans="1:166" s="183" customFormat="1" ht="11.25" customHeight="1">
      <c r="A37" s="5639" t="s">
        <v>45</v>
      </c>
      <c r="B37" s="181"/>
      <c r="C37" s="181"/>
      <c r="D37" s="181"/>
      <c r="E37" s="182"/>
      <c r="F37" s="4242"/>
      <c r="G37" s="181"/>
      <c r="H37" s="181"/>
      <c r="I37" s="181"/>
      <c r="J37" s="181"/>
      <c r="K37" s="991"/>
      <c r="L37" s="181"/>
      <c r="M37" s="181"/>
      <c r="N37" s="181"/>
      <c r="O37" s="181"/>
      <c r="P37" s="991" t="s">
        <v>116</v>
      </c>
      <c r="Q37" s="1224" t="s">
        <v>116</v>
      </c>
      <c r="R37" s="181" t="s">
        <v>116</v>
      </c>
      <c r="S37" s="181" t="s">
        <v>116</v>
      </c>
      <c r="T37" s="181" t="s">
        <v>116</v>
      </c>
      <c r="U37" s="991">
        <f t="shared" ref="U37:AJ37" si="109">+U36/P36-1</f>
        <v>5.13929062331919</v>
      </c>
      <c r="V37" s="1226">
        <f t="shared" si="109"/>
        <v>5.4260376019865202</v>
      </c>
      <c r="W37" s="169">
        <f t="shared" si="109"/>
        <v>3.2078710846619156</v>
      </c>
      <c r="X37" s="169">
        <f t="shared" si="109"/>
        <v>2.1046338296684763</v>
      </c>
      <c r="Y37" s="169">
        <f t="shared" si="109"/>
        <v>1.7839232082108278</v>
      </c>
      <c r="Z37" s="991">
        <f t="shared" si="109"/>
        <v>2.4573159899249233</v>
      </c>
      <c r="AA37" s="1226">
        <f t="shared" si="109"/>
        <v>1.6651444056909139</v>
      </c>
      <c r="AB37" s="181">
        <f t="shared" si="109"/>
        <v>1.2936561517867537</v>
      </c>
      <c r="AC37" s="181">
        <f t="shared" si="109"/>
        <v>1.0855002711674349</v>
      </c>
      <c r="AD37" s="181">
        <f t="shared" si="109"/>
        <v>1.044130727438819</v>
      </c>
      <c r="AE37" s="991">
        <f t="shared" si="109"/>
        <v>1.2125817312057818</v>
      </c>
      <c r="AF37" s="1226">
        <f t="shared" si="109"/>
        <v>0.94750095718706229</v>
      </c>
      <c r="AG37" s="181">
        <f t="shared" si="109"/>
        <v>0.98271342153035945</v>
      </c>
      <c r="AH37" s="181">
        <f t="shared" si="109"/>
        <v>0.95941080402010015</v>
      </c>
      <c r="AI37" s="181">
        <f t="shared" si="109"/>
        <v>0.8588997639117153</v>
      </c>
      <c r="AJ37" s="991">
        <f t="shared" si="109"/>
        <v>0.92948128626524795</v>
      </c>
      <c r="AK37" s="1224">
        <f t="shared" ref="AK37:AT37" si="110">+AK36/AF36-1</f>
        <v>0.79330667550176037</v>
      </c>
      <c r="AL37" s="181">
        <f t="shared" si="110"/>
        <v>0.77636619195064571</v>
      </c>
      <c r="AM37" s="181">
        <f t="shared" si="110"/>
        <v>0.70738883535264363</v>
      </c>
      <c r="AN37" s="190">
        <f>+AN36/AI36-1</f>
        <v>0.67383616285653702</v>
      </c>
      <c r="AO37" s="991">
        <f t="shared" si="110"/>
        <v>0.73002888605712313</v>
      </c>
      <c r="AP37" s="1224">
        <f t="shared" si="110"/>
        <v>0.62980698595897966</v>
      </c>
      <c r="AQ37" s="181">
        <f t="shared" si="110"/>
        <v>0.58019627604128043</v>
      </c>
      <c r="AR37" s="181">
        <f t="shared" si="110"/>
        <v>0.57321763921052926</v>
      </c>
      <c r="AS37" s="190">
        <f t="shared" si="110"/>
        <v>0.49842877386407003</v>
      </c>
      <c r="AT37" s="991">
        <f t="shared" si="110"/>
        <v>0.56420693040800352</v>
      </c>
      <c r="AU37" s="1224">
        <f t="shared" ref="AU37:BD37" si="111">+AU36/AP36-1</f>
        <v>0.40223738438848233</v>
      </c>
      <c r="AV37" s="181">
        <f t="shared" si="111"/>
        <v>0.35095474841865282</v>
      </c>
      <c r="AW37" s="181">
        <f t="shared" si="111"/>
        <v>0.27747974269819364</v>
      </c>
      <c r="AX37" s="190">
        <f t="shared" si="111"/>
        <v>0.15706056386137313</v>
      </c>
      <c r="AY37" s="991">
        <f t="shared" si="111"/>
        <v>0.28733160161955662</v>
      </c>
      <c r="AZ37" s="1224">
        <f t="shared" si="111"/>
        <v>4.8032397623062772E-2</v>
      </c>
      <c r="BA37" s="181">
        <f t="shared" si="111"/>
        <v>2.90628058452298E-2</v>
      </c>
      <c r="BB37" s="181">
        <f t="shared" si="111"/>
        <v>7.5607458334983946E-2</v>
      </c>
      <c r="BC37" s="190">
        <f t="shared" si="111"/>
        <v>0.17451296386221582</v>
      </c>
      <c r="BD37" s="991">
        <f t="shared" si="111"/>
        <v>8.3313478647859318E-2</v>
      </c>
      <c r="BE37" s="1224">
        <f t="shared" ref="BE37:BN37" si="112">+BE36/AZ36-1</f>
        <v>0.21462464346780497</v>
      </c>
      <c r="BF37" s="181">
        <f t="shared" si="112"/>
        <v>0.22973062115451492</v>
      </c>
      <c r="BG37" s="181">
        <f t="shared" si="112"/>
        <v>0.22154993354608554</v>
      </c>
      <c r="BH37" s="190">
        <f t="shared" si="112"/>
        <v>0.26322660277578835</v>
      </c>
      <c r="BI37" s="991">
        <f t="shared" si="112"/>
        <v>0.23361622564464257</v>
      </c>
      <c r="BJ37" s="1224">
        <f t="shared" si="112"/>
        <v>0.28277992277992281</v>
      </c>
      <c r="BK37" s="181">
        <f t="shared" si="112"/>
        <v>0.32825358122523629</v>
      </c>
      <c r="BL37" s="181">
        <f t="shared" si="112"/>
        <v>0.32750284414106945</v>
      </c>
      <c r="BM37" s="181">
        <f t="shared" si="112"/>
        <v>0.24574507162972936</v>
      </c>
      <c r="BN37" s="991">
        <f t="shared" si="112"/>
        <v>0.29377390565235872</v>
      </c>
      <c r="BO37" s="181"/>
      <c r="BP37" s="181"/>
      <c r="BQ37" s="181"/>
      <c r="BR37" s="181"/>
      <c r="BS37" s="599"/>
      <c r="BT37" s="181">
        <f>+BT36/BJ36-1</f>
        <v>0.2310378039971106</v>
      </c>
      <c r="BU37" s="181">
        <f>+BU36/BK36-1</f>
        <v>0.2075493345571362</v>
      </c>
      <c r="BV37" s="181">
        <f>+BV36/BL36-1</f>
        <v>0.16336368505623988</v>
      </c>
      <c r="BW37" s="181">
        <f>+BW36/BM36-1</f>
        <v>0.18694712011008452</v>
      </c>
      <c r="BX37" s="991">
        <f>+BX36/BN36-1</f>
        <v>0.19586104951958605</v>
      </c>
      <c r="BY37" s="181"/>
      <c r="BZ37" s="181"/>
      <c r="CA37" s="181"/>
      <c r="CB37" s="181"/>
      <c r="CC37" s="599"/>
      <c r="CD37" s="578">
        <f>+CD36/BT36-1</f>
        <v>0.17662591687041562</v>
      </c>
      <c r="CE37" s="181">
        <f>+CE36/BU36-1</f>
        <v>0.15743467933491684</v>
      </c>
      <c r="CF37" s="181">
        <f>+CF36/BV36-1</f>
        <v>0.16510128913443833</v>
      </c>
      <c r="CG37" s="181">
        <f>+CG36/BW36-1</f>
        <v>0.17638290824776415</v>
      </c>
      <c r="CH37" s="991">
        <f>+CH36/BX36-1</f>
        <v>0.16907018266721607</v>
      </c>
      <c r="CI37" s="551">
        <f t="shared" ref="CI37:CU37" si="113">+CI36/CD36-1</f>
        <v>0.16341118776494068</v>
      </c>
      <c r="CJ37" s="181">
        <f t="shared" si="113"/>
        <v>0.19011656542439659</v>
      </c>
      <c r="CK37" s="181">
        <f t="shared" si="113"/>
        <v>0.17126373192128352</v>
      </c>
      <c r="CL37" s="181">
        <f t="shared" si="113"/>
        <v>0.14803604110939039</v>
      </c>
      <c r="CM37" s="991">
        <f t="shared" si="113"/>
        <v>0.16744987468671679</v>
      </c>
      <c r="CN37" s="181">
        <f t="shared" si="113"/>
        <v>0.10795170393655784</v>
      </c>
      <c r="CO37" s="181">
        <f t="shared" si="113"/>
        <v>0.10518692233411508</v>
      </c>
      <c r="CP37" s="181">
        <f t="shared" si="113"/>
        <v>0.13232118758434552</v>
      </c>
      <c r="CQ37" s="181">
        <f t="shared" si="113"/>
        <v>0.16978355509228038</v>
      </c>
      <c r="CR37" s="991">
        <f t="shared" si="113"/>
        <v>0.13024956393398623</v>
      </c>
      <c r="CS37" s="181">
        <f t="shared" si="113"/>
        <v>0.16198091307712148</v>
      </c>
      <c r="CT37" s="181">
        <f t="shared" si="113"/>
        <v>0.1947200898708108</v>
      </c>
      <c r="CU37" s="181">
        <f t="shared" si="113"/>
        <v>0.1811572611882486</v>
      </c>
      <c r="CV37" s="181">
        <f t="shared" ref="CV37:DG37" si="114">+CV36/CQ36-1</f>
        <v>0.17407485061327188</v>
      </c>
      <c r="CW37" s="991">
        <f t="shared" si="114"/>
        <v>0.17796408962754118</v>
      </c>
      <c r="CX37" s="181">
        <f t="shared" si="114"/>
        <v>0.18817980022197567</v>
      </c>
      <c r="CY37" s="181">
        <f t="shared" si="114"/>
        <v>0.18434937052708555</v>
      </c>
      <c r="CZ37" s="181">
        <f t="shared" si="114"/>
        <v>0.2141163412542253</v>
      </c>
      <c r="DA37" s="181">
        <f t="shared" si="114"/>
        <v>0.21554533684539479</v>
      </c>
      <c r="DB37" s="991">
        <f t="shared" si="114"/>
        <v>0.20399833717546567</v>
      </c>
      <c r="DC37" s="181">
        <f t="shared" si="114"/>
        <v>0.24431367054317876</v>
      </c>
      <c r="DD37" s="181">
        <f t="shared" si="114"/>
        <v>0.23884086097388857</v>
      </c>
      <c r="DE37" s="181">
        <f t="shared" si="114"/>
        <v>0.20315811344275914</v>
      </c>
      <c r="DF37" s="181">
        <f t="shared" si="114"/>
        <v>0.19432915855584532</v>
      </c>
      <c r="DG37" s="991">
        <f t="shared" si="114"/>
        <v>0.21850445190788581</v>
      </c>
      <c r="DH37" s="2628" t="s">
        <v>116</v>
      </c>
      <c r="DI37" s="2628" t="s">
        <v>116</v>
      </c>
      <c r="DJ37" s="2628" t="s">
        <v>116</v>
      </c>
      <c r="DK37" s="181">
        <f t="shared" ref="DK37:EN37" si="115">+DK36/DF36-1</f>
        <v>0.16655390860446517</v>
      </c>
      <c r="DL37" s="991">
        <f t="shared" si="115"/>
        <v>0.15756347618516076</v>
      </c>
      <c r="DM37" s="181">
        <f t="shared" si="115"/>
        <v>0.10383496256579594</v>
      </c>
      <c r="DN37" s="181">
        <f t="shared" si="115"/>
        <v>-8.0845694589770423E-2</v>
      </c>
      <c r="DO37" s="181">
        <f t="shared" si="115"/>
        <v>9.7615102378979746E-2</v>
      </c>
      <c r="DP37" s="181">
        <f t="shared" si="115"/>
        <v>0.21787842041440397</v>
      </c>
      <c r="DQ37" s="991">
        <f t="shared" si="115"/>
        <v>8.9851718331590114E-2</v>
      </c>
      <c r="DR37" s="181">
        <f t="shared" si="115"/>
        <v>0.32346059295678709</v>
      </c>
      <c r="DS37" s="181">
        <f t="shared" si="115"/>
        <v>0.68895436434861224</v>
      </c>
      <c r="DT37" s="181">
        <f t="shared" si="115"/>
        <v>0.43226849979781634</v>
      </c>
      <c r="DU37" s="181">
        <f t="shared" si="115"/>
        <v>0.32554817203835573</v>
      </c>
      <c r="DV37" s="991">
        <f>+DV36/DQ36-1</f>
        <v>0.42588685306689178</v>
      </c>
      <c r="DW37" s="181">
        <f t="shared" si="115"/>
        <v>0.22327902604959271</v>
      </c>
      <c r="DX37" s="181">
        <f t="shared" si="115"/>
        <v>0.11585124098009669</v>
      </c>
      <c r="DY37" s="181">
        <f t="shared" si="115"/>
        <v>2.5447016751364515E-2</v>
      </c>
      <c r="DZ37" s="181">
        <f t="shared" si="115"/>
        <v>-3.5875830761442851E-2</v>
      </c>
      <c r="EA37" s="991">
        <f t="shared" ref="EA37:EF37" si="116">+EA36/DV36-1</f>
        <v>7.14855105323704E-2</v>
      </c>
      <c r="EB37" s="181">
        <f t="shared" si="115"/>
        <v>-2.0672874627247761E-3</v>
      </c>
      <c r="EC37" s="181">
        <f t="shared" si="115"/>
        <v>3.2955514496873173E-2</v>
      </c>
      <c r="ED37" s="181">
        <f t="shared" si="115"/>
        <v>9.4801952938585288E-2</v>
      </c>
      <c r="EE37" s="181">
        <f t="shared" si="115"/>
        <v>0.10966769418380129</v>
      </c>
      <c r="EF37" s="991">
        <f t="shared" si="116"/>
        <v>5.9615187572670258E-2</v>
      </c>
      <c r="EG37" s="181">
        <f t="shared" si="115"/>
        <v>0.13036224976167787</v>
      </c>
      <c r="EH37" s="181">
        <f t="shared" si="115"/>
        <v>0.11132896479369836</v>
      </c>
      <c r="EI37" s="181">
        <f t="shared" si="115"/>
        <v>0.10406223280299098</v>
      </c>
      <c r="EJ37" s="181">
        <f t="shared" si="115"/>
        <v>0.10598775890226975</v>
      </c>
      <c r="EK37" s="991">
        <f>+EK36/EF36-1</f>
        <v>0.11240041201572382</v>
      </c>
      <c r="EL37" s="181">
        <f t="shared" si="115"/>
        <v>8.4756483238456637E-2</v>
      </c>
      <c r="EM37" s="181">
        <f t="shared" si="115"/>
        <v>0.10406091370558368</v>
      </c>
      <c r="EN37" s="181">
        <f t="shared" si="115"/>
        <v>0.12646156649558105</v>
      </c>
      <c r="EO37" s="181">
        <f t="shared" ref="EO37" si="117">+EO36/EJ36-1</f>
        <v>0.12598864226202799</v>
      </c>
      <c r="EP37" s="991">
        <f>+EP36/EK36-1</f>
        <v>0.11114276052363592</v>
      </c>
      <c r="EQ37" s="181">
        <f t="shared" ref="EQ37" si="118">+EQ36/EL36-1</f>
        <v>0.14480252132210558</v>
      </c>
      <c r="ER37" s="181">
        <f t="shared" ref="ER37" si="119">+ER36/EM36-1</f>
        <v>0.11858548964889826</v>
      </c>
      <c r="ES37" s="181">
        <f t="shared" ref="ES37" si="120">+ES36/EN36-1</f>
        <v>0.10237170890864267</v>
      </c>
      <c r="ET37" s="181">
        <f t="shared" ref="ET37" si="121">+ET36/EO36-1</f>
        <v>0.10352135586723166</v>
      </c>
      <c r="EU37" s="991">
        <f>+EU36/EP36-1</f>
        <v>0.11627821933729265</v>
      </c>
      <c r="EV37" s="991">
        <f>+EV36/EU36-1</f>
        <v>9.158672735522666E-2</v>
      </c>
      <c r="EW37" s="991">
        <f>+EW36/EV36-1</f>
        <v>8.3743660452284985E-2</v>
      </c>
      <c r="EX37" s="991">
        <f>+EX36/EW36-1</f>
        <v>7.5513986210487882E-2</v>
      </c>
      <c r="EY37" s="991">
        <f>+EY36/EX36-1</f>
        <v>7.1644867013545888E-2</v>
      </c>
      <c r="EZ37" s="169"/>
      <c r="FA37" s="1101"/>
      <c r="FB37" s="1101"/>
      <c r="FD37" s="2613"/>
    </row>
    <row r="38" spans="1:166" s="138" customFormat="1" ht="11.25" hidden="1" customHeight="1" outlineLevel="1">
      <c r="A38" s="5640" t="s">
        <v>874</v>
      </c>
      <c r="B38" s="124"/>
      <c r="C38" s="124"/>
      <c r="D38" s="124"/>
      <c r="E38" s="139"/>
      <c r="F38" s="3574"/>
      <c r="G38" s="124"/>
      <c r="H38" s="124"/>
      <c r="I38" s="124"/>
      <c r="J38" s="124"/>
      <c r="K38" s="997"/>
      <c r="L38" s="124"/>
      <c r="M38" s="124"/>
      <c r="N38" s="124"/>
      <c r="O38" s="124"/>
      <c r="P38" s="3967"/>
      <c r="Q38" s="3968"/>
      <c r="R38" s="3593"/>
      <c r="S38" s="3593"/>
      <c r="T38" s="3593"/>
      <c r="U38" s="3967"/>
      <c r="V38" s="3968"/>
      <c r="W38" s="3593"/>
      <c r="X38" s="3593"/>
      <c r="Y38" s="3593"/>
      <c r="Z38" s="3967"/>
      <c r="AA38" s="3968"/>
      <c r="AB38" s="3593"/>
      <c r="AC38" s="3593"/>
      <c r="AD38" s="3593"/>
      <c r="AE38" s="3967"/>
      <c r="AF38" s="3968"/>
      <c r="AG38" s="3593"/>
      <c r="AH38" s="3593"/>
      <c r="AI38" s="3593"/>
      <c r="AJ38" s="3967"/>
      <c r="AK38" s="3968"/>
      <c r="AL38" s="3593"/>
      <c r="AM38" s="3593"/>
      <c r="AN38" s="3593"/>
      <c r="AO38" s="3967"/>
      <c r="AP38" s="3968"/>
      <c r="AQ38" s="3593"/>
      <c r="AR38" s="3593"/>
      <c r="AS38" s="3593"/>
      <c r="AT38" s="3967"/>
      <c r="AU38" s="3968"/>
      <c r="AV38" s="3593"/>
      <c r="AW38" s="3593"/>
      <c r="AX38" s="3593"/>
      <c r="AY38" s="3967"/>
      <c r="AZ38" s="3968"/>
      <c r="BA38" s="3593"/>
      <c r="BB38" s="3593"/>
      <c r="BC38" s="3593"/>
      <c r="BD38" s="3967"/>
      <c r="BE38" s="3968"/>
      <c r="BF38" s="3593"/>
      <c r="BG38" s="3593"/>
      <c r="BH38" s="3593"/>
      <c r="BI38" s="3967"/>
      <c r="BJ38" s="3968"/>
      <c r="BK38" s="3593"/>
      <c r="BL38" s="3593"/>
      <c r="BM38" s="3593"/>
      <c r="BN38" s="3967"/>
      <c r="BO38" s="3593"/>
      <c r="BP38" s="3593"/>
      <c r="BQ38" s="3593"/>
      <c r="BR38" s="3593"/>
      <c r="BS38" s="4526"/>
      <c r="BT38" s="3593"/>
      <c r="BU38" s="3593"/>
      <c r="BV38" s="3593"/>
      <c r="BW38" s="3593"/>
      <c r="BX38" s="4526"/>
      <c r="BY38" s="3593"/>
      <c r="BZ38" s="3593"/>
      <c r="CA38" s="3593"/>
      <c r="CB38" s="3593"/>
      <c r="CC38" s="4526"/>
      <c r="CD38" s="3969"/>
      <c r="CE38" s="3593"/>
      <c r="CF38" s="3593"/>
      <c r="CG38" s="3593"/>
      <c r="CH38" s="4526"/>
      <c r="CI38" s="3593"/>
      <c r="CJ38" s="3593"/>
      <c r="CK38" s="3593"/>
      <c r="CL38" s="3593"/>
      <c r="CM38" s="4526"/>
      <c r="CN38" s="3593"/>
      <c r="CO38" s="3593"/>
      <c r="CP38" s="3593"/>
      <c r="CQ38" s="3593"/>
      <c r="CR38" s="4526"/>
      <c r="CS38" s="3593"/>
      <c r="CT38" s="3593"/>
      <c r="CU38" s="3593"/>
      <c r="CV38" s="3593"/>
      <c r="CW38" s="4526"/>
      <c r="CX38" s="3593"/>
      <c r="CY38" s="3593"/>
      <c r="CZ38" s="3593"/>
      <c r="DA38" s="3593"/>
      <c r="DB38" s="4526"/>
      <c r="DC38" s="3593"/>
      <c r="DD38" s="3593"/>
      <c r="DE38" s="3593"/>
      <c r="DF38" s="3593"/>
      <c r="DG38" s="4526">
        <f t="shared" ref="DG38:EV38" si="122">SUM(DG24,DG31)</f>
        <v>865.4896417517084</v>
      </c>
      <c r="DH38" s="3593">
        <f t="shared" si="122"/>
        <v>-978.76362677619909</v>
      </c>
      <c r="DI38" s="3593">
        <f t="shared" si="122"/>
        <v>-1022.5267104514662</v>
      </c>
      <c r="DJ38" s="3593">
        <f t="shared" si="122"/>
        <v>-452.853797389683</v>
      </c>
      <c r="DK38" s="3593">
        <f t="shared" si="122"/>
        <v>-345.29114642451765</v>
      </c>
      <c r="DL38" s="4526">
        <f t="shared" si="122"/>
        <v>-2799.4352810418659</v>
      </c>
      <c r="DM38" s="3593">
        <f t="shared" si="122"/>
        <v>-323.00417327638803</v>
      </c>
      <c r="DN38" s="3593">
        <f t="shared" si="122"/>
        <v>-554.92662771724827</v>
      </c>
      <c r="DO38" s="3593">
        <f t="shared" si="122"/>
        <v>-44.336332225047272</v>
      </c>
      <c r="DP38" s="3593">
        <f t="shared" si="122"/>
        <v>235.45977356094807</v>
      </c>
      <c r="DQ38" s="4526">
        <f t="shared" si="122"/>
        <v>-686.80735965773545</v>
      </c>
      <c r="DR38" s="3593">
        <f t="shared" si="122"/>
        <v>890.84805794477143</v>
      </c>
      <c r="DS38" s="3593">
        <f t="shared" si="122"/>
        <v>1542.8775103330902</v>
      </c>
      <c r="DT38" s="3593">
        <f t="shared" si="122"/>
        <v>503.66787927366897</v>
      </c>
      <c r="DU38" s="3593">
        <f t="shared" si="122"/>
        <v>-223.08545389039381</v>
      </c>
      <c r="DV38" s="4526">
        <f t="shared" si="122"/>
        <v>2714.3079936611366</v>
      </c>
      <c r="DW38" s="3593">
        <f t="shared" si="122"/>
        <v>-1617.2566388777436</v>
      </c>
      <c r="DX38" s="3593">
        <f>SUM(DX24,DX31)</f>
        <v>-2184.186466426494</v>
      </c>
      <c r="DY38" s="3593">
        <f>SUM(DY24,DY31)</f>
        <v>-3127.8551688768412</v>
      </c>
      <c r="DZ38" s="3593">
        <f>SUM(DZ24,DZ31)</f>
        <v>-3718.3583622742935</v>
      </c>
      <c r="EA38" s="4526">
        <f t="shared" si="122"/>
        <v>-10647.656636455373</v>
      </c>
      <c r="EB38" s="3593">
        <f t="shared" ref="EB38:EN38" si="123">SUM(EB24,EB31)</f>
        <v>-1708.3822228624936</v>
      </c>
      <c r="EC38" s="3593">
        <f t="shared" si="123"/>
        <v>-896.60205070240579</v>
      </c>
      <c r="ED38" s="3593">
        <f t="shared" si="123"/>
        <v>333.380486144744</v>
      </c>
      <c r="EE38" s="3593">
        <f>SUM(EE24,EE31)</f>
        <v>720.27858671625563</v>
      </c>
      <c r="EF38" s="4526">
        <f t="shared" si="123"/>
        <v>-1551.3252007038998</v>
      </c>
      <c r="EG38" s="3593">
        <f t="shared" ref="EG38:EI38" si="124">SUM(EG24,EG31)</f>
        <v>-300.69286750362625</v>
      </c>
      <c r="EH38" s="3593">
        <f t="shared" si="124"/>
        <v>-971.44434292494805</v>
      </c>
      <c r="EI38" s="3593">
        <f t="shared" si="124"/>
        <v>-762.24938825216532</v>
      </c>
      <c r="EJ38" s="3593">
        <f>SUM(EJ24,EJ31)</f>
        <v>-199.92050932336619</v>
      </c>
      <c r="EK38" s="4526">
        <f t="shared" si="123"/>
        <v>-2234.3071080041059</v>
      </c>
      <c r="EL38" s="3593">
        <f t="shared" si="123"/>
        <v>-1199.1245364371566</v>
      </c>
      <c r="EM38" s="3593">
        <f t="shared" si="123"/>
        <v>402.81614275166078</v>
      </c>
      <c r="EN38" s="3593">
        <f t="shared" si="123"/>
        <v>971.82927139489743</v>
      </c>
      <c r="EO38" s="3593">
        <f t="shared" ref="EO38:EP38" si="125">SUM(EO24,EO31)</f>
        <v>711.80300694881862</v>
      </c>
      <c r="EP38" s="4526">
        <f t="shared" si="125"/>
        <v>887.32388465821998</v>
      </c>
      <c r="EQ38" s="3593">
        <f t="shared" ref="EQ38:EU38" si="126">SUM(EQ24,EQ31)</f>
        <v>2331.9766386290353</v>
      </c>
      <c r="ER38" s="3593">
        <f t="shared" si="126"/>
        <v>461.77883155239817</v>
      </c>
      <c r="ES38" s="3593">
        <f t="shared" si="126"/>
        <v>-483.3618897390769</v>
      </c>
      <c r="ET38" s="3593">
        <f t="shared" si="126"/>
        <v>-184.26859110909547</v>
      </c>
      <c r="EU38" s="4526">
        <f t="shared" si="126"/>
        <v>2126.1249893332611</v>
      </c>
      <c r="EV38" s="4526">
        <f t="shared" si="122"/>
        <v>0</v>
      </c>
      <c r="EW38" s="4526">
        <f>SUM(EW24,EW31)</f>
        <v>0</v>
      </c>
      <c r="EX38" s="4526">
        <f>SUM(EX24,EX31)</f>
        <v>0</v>
      </c>
      <c r="EY38" s="4526">
        <f>SUM(EY24,EY31)</f>
        <v>0</v>
      </c>
      <c r="EZ38" s="124"/>
      <c r="FA38" s="738"/>
      <c r="FB38" s="738"/>
    </row>
    <row r="39" spans="1:166" s="138" customFormat="1" ht="11.25" hidden="1" customHeight="1" outlineLevel="1">
      <c r="A39" s="5640" t="s">
        <v>882</v>
      </c>
      <c r="B39" s="124"/>
      <c r="C39" s="124"/>
      <c r="D39" s="124"/>
      <c r="E39" s="139"/>
      <c r="F39" s="3574"/>
      <c r="G39" s="124"/>
      <c r="H39" s="124"/>
      <c r="I39" s="124"/>
      <c r="J39" s="124"/>
      <c r="K39" s="997"/>
      <c r="L39" s="124"/>
      <c r="M39" s="124"/>
      <c r="N39" s="124"/>
      <c r="O39" s="124"/>
      <c r="P39" s="3967"/>
      <c r="Q39" s="3968"/>
      <c r="R39" s="3593"/>
      <c r="S39" s="3593"/>
      <c r="T39" s="3593"/>
      <c r="U39" s="3967"/>
      <c r="V39" s="3968"/>
      <c r="W39" s="3593"/>
      <c r="X39" s="3593"/>
      <c r="Y39" s="3593"/>
      <c r="Z39" s="3967"/>
      <c r="AA39" s="3968"/>
      <c r="AB39" s="3593"/>
      <c r="AC39" s="3593"/>
      <c r="AD39" s="3593"/>
      <c r="AE39" s="3967"/>
      <c r="AF39" s="3968"/>
      <c r="AG39" s="3593"/>
      <c r="AH39" s="3593"/>
      <c r="AI39" s="3593"/>
      <c r="AJ39" s="3967"/>
      <c r="AK39" s="3968"/>
      <c r="AL39" s="3593"/>
      <c r="AM39" s="3593"/>
      <c r="AN39" s="3593"/>
      <c r="AO39" s="3967"/>
      <c r="AP39" s="3968"/>
      <c r="AQ39" s="3593"/>
      <c r="AR39" s="3593"/>
      <c r="AS39" s="3593"/>
      <c r="AT39" s="3967"/>
      <c r="AU39" s="3968"/>
      <c r="AV39" s="3593"/>
      <c r="AW39" s="3593"/>
      <c r="AX39" s="3593"/>
      <c r="AY39" s="3967"/>
      <c r="AZ39" s="3968"/>
      <c r="BA39" s="3593"/>
      <c r="BB39" s="3593"/>
      <c r="BC39" s="3593"/>
      <c r="BD39" s="3967"/>
      <c r="BE39" s="3968"/>
      <c r="BF39" s="3593"/>
      <c r="BG39" s="3593"/>
      <c r="BH39" s="3593"/>
      <c r="BI39" s="3967"/>
      <c r="BJ39" s="3968"/>
      <c r="BK39" s="3593"/>
      <c r="BL39" s="3593"/>
      <c r="BM39" s="3593"/>
      <c r="BN39" s="3967"/>
      <c r="BO39" s="3593"/>
      <c r="BP39" s="3593"/>
      <c r="BQ39" s="3593"/>
      <c r="BR39" s="3593"/>
      <c r="BS39" s="4526"/>
      <c r="BT39" s="3593"/>
      <c r="BU39" s="3593"/>
      <c r="BV39" s="3593"/>
      <c r="BW39" s="3593"/>
      <c r="BX39" s="4526"/>
      <c r="BY39" s="3593"/>
      <c r="BZ39" s="3593"/>
      <c r="CA39" s="3593"/>
      <c r="CB39" s="3593"/>
      <c r="CC39" s="4526"/>
      <c r="CD39" s="3969"/>
      <c r="CE39" s="3593"/>
      <c r="CF39" s="3593"/>
      <c r="CG39" s="3593"/>
      <c r="CH39" s="4526"/>
      <c r="CI39" s="3593"/>
      <c r="CJ39" s="3593"/>
      <c r="CK39" s="3593"/>
      <c r="CL39" s="3593"/>
      <c r="CM39" s="4526"/>
      <c r="CN39" s="3593"/>
      <c r="CO39" s="3593"/>
      <c r="CP39" s="3593"/>
      <c r="CQ39" s="3593"/>
      <c r="CR39" s="4526"/>
      <c r="CS39" s="3593"/>
      <c r="CT39" s="3593"/>
      <c r="CU39" s="3593"/>
      <c r="CV39" s="3593"/>
      <c r="CW39" s="4526"/>
      <c r="CX39" s="3593"/>
      <c r="CY39" s="3593"/>
      <c r="CZ39" s="3593"/>
      <c r="DA39" s="3593"/>
      <c r="DB39" s="4526"/>
      <c r="DC39" s="3593"/>
      <c r="DD39" s="3593"/>
      <c r="DE39" s="3593"/>
      <c r="DF39" s="3593"/>
      <c r="DG39" s="1954">
        <f t="shared" ref="DG39:DL39" si="127">DG36-DG38</f>
        <v>115595.51035824828</v>
      </c>
      <c r="DH39" s="176">
        <f t="shared" si="127"/>
        <v>31565.763626776199</v>
      </c>
      <c r="DI39" s="176">
        <f t="shared" si="127"/>
        <v>33516.526710451464</v>
      </c>
      <c r="DJ39" s="176">
        <f t="shared" si="127"/>
        <v>34248.853797389682</v>
      </c>
      <c r="DK39" s="176">
        <f t="shared" si="127"/>
        <v>38279.291146424519</v>
      </c>
      <c r="DL39" s="1954">
        <f t="shared" si="127"/>
        <v>137610.43528104186</v>
      </c>
      <c r="DM39" s="176">
        <f t="shared" ref="DM39:EV39" si="128">DM36-DM38</f>
        <v>34086.004173276386</v>
      </c>
      <c r="DN39" s="176">
        <f t="shared" si="128"/>
        <v>30421.92662771725</v>
      </c>
      <c r="DO39" s="176">
        <f t="shared" si="128"/>
        <v>37139.336332225044</v>
      </c>
      <c r="DP39" s="176">
        <f t="shared" si="128"/>
        <v>45963.54022643905</v>
      </c>
      <c r="DQ39" s="1954">
        <f t="shared" si="128"/>
        <v>147610.80735965775</v>
      </c>
      <c r="DR39" s="176">
        <f t="shared" si="128"/>
        <v>43793.151942055229</v>
      </c>
      <c r="DS39" s="176">
        <f t="shared" si="128"/>
        <v>48901.122489666908</v>
      </c>
      <c r="DT39" s="176">
        <f t="shared" si="128"/>
        <v>52626.332120726329</v>
      </c>
      <c r="DU39" s="176">
        <f t="shared" si="128"/>
        <v>61462.085453890395</v>
      </c>
      <c r="DV39" s="1954">
        <f t="shared" si="128"/>
        <v>206782.69200633885</v>
      </c>
      <c r="DW39" s="176">
        <f t="shared" si="128"/>
        <v>56278.256638877741</v>
      </c>
      <c r="DX39" s="176">
        <f>DX36-DX38</f>
        <v>58472.186466426494</v>
      </c>
      <c r="DY39" s="176">
        <f>DY36-DY38</f>
        <v>57609.855168876842</v>
      </c>
      <c r="DZ39" s="176">
        <f>DZ36-DZ38</f>
        <v>62760.358362274295</v>
      </c>
      <c r="EA39" s="1954">
        <f t="shared" si="128"/>
        <v>235120.65663645539</v>
      </c>
      <c r="EB39" s="176">
        <f t="shared" ref="EB39:EN39" si="129">EB36-EB38</f>
        <v>56256.382222862492</v>
      </c>
      <c r="EC39" s="176">
        <f t="shared" si="129"/>
        <v>59039.602050702408</v>
      </c>
      <c r="ED39" s="176">
        <f t="shared" si="129"/>
        <v>59313.619513855258</v>
      </c>
      <c r="EE39" s="176">
        <f>EE36-EE38</f>
        <v>64796.721413283747</v>
      </c>
      <c r="EF39" s="1954">
        <f t="shared" si="129"/>
        <v>239406.3252007039</v>
      </c>
      <c r="EG39" s="176">
        <f t="shared" ref="EG39:EI39" si="130">EG36-EG38</f>
        <v>61959.692867503625</v>
      </c>
      <c r="EH39" s="176">
        <f t="shared" si="130"/>
        <v>65587.444342924951</v>
      </c>
      <c r="EI39" s="176">
        <f t="shared" si="130"/>
        <v>66616.249388252167</v>
      </c>
      <c r="EJ39" s="176">
        <f>EJ36-EJ38</f>
        <v>72660.920509323361</v>
      </c>
      <c r="EK39" s="1954">
        <f t="shared" si="129"/>
        <v>266824.30710800411</v>
      </c>
      <c r="EL39" s="176">
        <f t="shared" si="129"/>
        <v>68084.124536437157</v>
      </c>
      <c r="EM39" s="176">
        <f t="shared" si="129"/>
        <v>70937.183857248339</v>
      </c>
      <c r="EN39" s="176">
        <f t="shared" si="129"/>
        <v>73210.17072860511</v>
      </c>
      <c r="EO39" s="176">
        <f t="shared" ref="EO39:EP39" si="131">EO36-EO38</f>
        <v>80878.459999999992</v>
      </c>
      <c r="EP39" s="1954">
        <f t="shared" si="131"/>
        <v>293109.93912229058</v>
      </c>
      <c r="EQ39" s="176">
        <f t="shared" ref="EQ39:EU39" si="132">EQ36-EQ38</f>
        <v>74238.14</v>
      </c>
      <c r="ER39" s="176">
        <f t="shared" si="132"/>
        <v>79338.11</v>
      </c>
      <c r="ES39" s="176">
        <f t="shared" si="132"/>
        <v>82259.5</v>
      </c>
      <c r="ET39" s="176">
        <f t="shared" si="132"/>
        <v>90220.866250101273</v>
      </c>
      <c r="EU39" s="1954">
        <f t="shared" si="132"/>
        <v>326056.61625010124</v>
      </c>
      <c r="EV39" s="1954">
        <f t="shared" si="128"/>
        <v>358239.9244840215</v>
      </c>
      <c r="EW39" s="1954">
        <f>EW36-EW38</f>
        <v>388240.24708046363</v>
      </c>
      <c r="EX39" s="1954">
        <f>EX36-EX38</f>
        <v>417557.81574485416</v>
      </c>
      <c r="EY39" s="1954">
        <f>EY36-EY38</f>
        <v>447473.68992436089</v>
      </c>
      <c r="EZ39" s="124"/>
      <c r="FA39" s="738"/>
      <c r="FB39" s="738"/>
    </row>
    <row r="40" spans="1:166" s="183" customFormat="1" ht="11.25" customHeight="1" collapsed="1">
      <c r="A40" s="5641" t="s">
        <v>496</v>
      </c>
      <c r="B40" s="2612"/>
      <c r="C40" s="169"/>
      <c r="D40" s="169"/>
      <c r="E40" s="182"/>
      <c r="F40" s="4241"/>
      <c r="G40" s="2612"/>
      <c r="H40" s="169"/>
      <c r="I40" s="169"/>
      <c r="J40" s="169"/>
      <c r="K40" s="992"/>
      <c r="L40" s="169"/>
      <c r="M40" s="169"/>
      <c r="N40" s="169"/>
      <c r="O40" s="169"/>
      <c r="P40" s="992"/>
      <c r="Q40" s="1226"/>
      <c r="R40" s="169"/>
      <c r="S40" s="169"/>
      <c r="T40" s="169"/>
      <c r="U40" s="992"/>
      <c r="V40" s="1226"/>
      <c r="W40" s="169"/>
      <c r="X40" s="169"/>
      <c r="Y40" s="169"/>
      <c r="Z40" s="992"/>
      <c r="AA40" s="1226"/>
      <c r="AB40" s="169"/>
      <c r="AC40" s="169"/>
      <c r="AD40" s="169"/>
      <c r="AE40" s="992"/>
      <c r="AF40" s="1226"/>
      <c r="AG40" s="169"/>
      <c r="AH40" s="169"/>
      <c r="AI40" s="169"/>
      <c r="AJ40" s="992"/>
      <c r="AK40" s="1226"/>
      <c r="AL40" s="169"/>
      <c r="AM40" s="169"/>
      <c r="AN40" s="169"/>
      <c r="AO40" s="992"/>
      <c r="AP40" s="1226"/>
      <c r="AQ40" s="169"/>
      <c r="AR40" s="169"/>
      <c r="AS40" s="169"/>
      <c r="AT40" s="992"/>
      <c r="AU40" s="1226"/>
      <c r="AV40" s="169"/>
      <c r="AW40" s="169"/>
      <c r="AX40" s="169"/>
      <c r="AY40" s="992"/>
      <c r="AZ40" s="1226">
        <f t="shared" ref="AZ40:BN40" si="133">AZ587</f>
        <v>0.10034850444960308</v>
      </c>
      <c r="BA40" s="169">
        <f t="shared" si="133"/>
        <v>9.9545985119595226E-2</v>
      </c>
      <c r="BB40" s="169">
        <f t="shared" si="133"/>
        <v>0.12925711625644176</v>
      </c>
      <c r="BC40" s="169">
        <f t="shared" si="133"/>
        <v>0.16495149294786415</v>
      </c>
      <c r="BD40" s="992">
        <f t="shared" si="133"/>
        <v>0.1240615441753794</v>
      </c>
      <c r="BE40" s="1226">
        <f t="shared" si="133"/>
        <v>0.20307717431596051</v>
      </c>
      <c r="BF40" s="169">
        <f t="shared" si="133"/>
        <v>0.2389759115996144</v>
      </c>
      <c r="BG40" s="169">
        <f t="shared" si="133"/>
        <v>0.24311772885115479</v>
      </c>
      <c r="BH40" s="169">
        <f t="shared" si="133"/>
        <v>0.28077672596857517</v>
      </c>
      <c r="BI40" s="992">
        <f t="shared" si="133"/>
        <v>0.24374196284929539</v>
      </c>
      <c r="BJ40" s="1226">
        <f t="shared" si="133"/>
        <v>0.27913291477026081</v>
      </c>
      <c r="BK40" s="169">
        <f t="shared" si="133"/>
        <v>0.28113999260246403</v>
      </c>
      <c r="BL40" s="169">
        <f t="shared" si="133"/>
        <v>0.27699966624461858</v>
      </c>
      <c r="BM40" s="169">
        <f t="shared" si="133"/>
        <v>0.24189080812928676</v>
      </c>
      <c r="BN40" s="992">
        <f t="shared" si="133"/>
        <v>0.2682537600123871</v>
      </c>
      <c r="BO40" s="169"/>
      <c r="BP40" s="169"/>
      <c r="BQ40" s="169"/>
      <c r="BR40" s="169"/>
      <c r="BS40" s="600"/>
      <c r="BT40" s="169">
        <f>BT587</f>
        <v>0.2365259628180798</v>
      </c>
      <c r="BU40" s="169">
        <f>BU587</f>
        <v>0.23772488118826485</v>
      </c>
      <c r="BV40" s="169">
        <f>BV587</f>
        <v>0.21345078700333731</v>
      </c>
      <c r="BW40" s="169">
        <f>BW587</f>
        <v>0.20413958295893941</v>
      </c>
      <c r="BX40" s="992">
        <f>BX587</f>
        <v>0.22196312247809002</v>
      </c>
      <c r="BY40" s="169"/>
      <c r="BZ40" s="169"/>
      <c r="CA40" s="169"/>
      <c r="CB40" s="169"/>
      <c r="CC40" s="600"/>
      <c r="CD40" s="576">
        <f t="shared" ref="CD40:DF40" si="134">CD587</f>
        <v>0.18072990998167193</v>
      </c>
      <c r="CE40" s="169">
        <f t="shared" si="134"/>
        <v>0.16604923497455015</v>
      </c>
      <c r="CF40" s="169">
        <f t="shared" si="134"/>
        <v>0.17140243009102729</v>
      </c>
      <c r="CG40" s="169">
        <f t="shared" si="134"/>
        <v>0.17976542049560118</v>
      </c>
      <c r="CH40" s="992">
        <f t="shared" si="134"/>
        <v>0.17460957837112057</v>
      </c>
      <c r="CI40" s="1226">
        <f t="shared" si="134"/>
        <v>0.16341118776494068</v>
      </c>
      <c r="CJ40" s="169">
        <f t="shared" si="134"/>
        <v>0.19011656542439659</v>
      </c>
      <c r="CK40" s="169">
        <f t="shared" si="134"/>
        <v>0.17126373192128352</v>
      </c>
      <c r="CL40" s="169">
        <f t="shared" si="134"/>
        <v>0.14803604110939039</v>
      </c>
      <c r="CM40" s="992">
        <f t="shared" si="134"/>
        <v>0.16744987468671679</v>
      </c>
      <c r="CN40" s="1226">
        <f t="shared" si="134"/>
        <v>0.10795170393655784</v>
      </c>
      <c r="CO40" s="169">
        <f t="shared" si="134"/>
        <v>0.10518692233411508</v>
      </c>
      <c r="CP40" s="169">
        <f t="shared" si="134"/>
        <v>0.13232118758434552</v>
      </c>
      <c r="CQ40" s="169">
        <f t="shared" si="134"/>
        <v>0.16978355509228038</v>
      </c>
      <c r="CR40" s="992">
        <f t="shared" si="134"/>
        <v>0.13024956393398623</v>
      </c>
      <c r="CS40" s="1226">
        <f t="shared" si="134"/>
        <v>0.16198091307712148</v>
      </c>
      <c r="CT40" s="169">
        <f t="shared" si="134"/>
        <v>0.1947200898708108</v>
      </c>
      <c r="CU40" s="169">
        <f t="shared" si="134"/>
        <v>0.1811572611882486</v>
      </c>
      <c r="CV40" s="169">
        <f t="shared" si="134"/>
        <v>0.17407485061327188</v>
      </c>
      <c r="CW40" s="992">
        <f t="shared" si="134"/>
        <v>0.17796408962754118</v>
      </c>
      <c r="CX40" s="1226">
        <f t="shared" si="134"/>
        <v>0.18817980022197567</v>
      </c>
      <c r="CY40" s="169">
        <f t="shared" si="134"/>
        <v>0.18434937052708555</v>
      </c>
      <c r="CZ40" s="169">
        <f t="shared" si="134"/>
        <v>0.2141163412542253</v>
      </c>
      <c r="DA40" s="169">
        <f t="shared" si="134"/>
        <v>0.21554533684539479</v>
      </c>
      <c r="DB40" s="992">
        <f t="shared" si="134"/>
        <v>0.20145371175188642</v>
      </c>
      <c r="DC40" s="1226">
        <f t="shared" si="134"/>
        <v>0.24431367054317876</v>
      </c>
      <c r="DD40" s="2612">
        <f t="shared" si="134"/>
        <v>0.23884086097388857</v>
      </c>
      <c r="DE40" s="2612">
        <f t="shared" si="134"/>
        <v>0.20315811344275914</v>
      </c>
      <c r="DF40" s="2612">
        <f t="shared" si="134"/>
        <v>0.21257433360252809</v>
      </c>
      <c r="DG40" s="2290">
        <f>DG39/DB36-1</f>
        <v>0.2094490343727915</v>
      </c>
      <c r="DH40" s="2288">
        <f>DH39/DC36-1</f>
        <v>0.18481208718475339</v>
      </c>
      <c r="DI40" s="2288">
        <f>DI39/DD36-1</f>
        <v>0.19331102326526373</v>
      </c>
      <c r="DJ40" s="2288">
        <f>DJ39/DE36-1</f>
        <v>0.1828712370446115</v>
      </c>
      <c r="DK40" s="2288">
        <f>DK39/DF36-1</f>
        <v>0.17717237057705026</v>
      </c>
      <c r="DL40" s="2290">
        <f t="shared" ref="DL40:EN40" si="135">DL39/DG36-1</f>
        <v>0.18160101047596933</v>
      </c>
      <c r="DM40" s="2288">
        <f t="shared" si="135"/>
        <v>0.11439514085318558</v>
      </c>
      <c r="DN40" s="2288">
        <f t="shared" si="135"/>
        <v>-6.3767876293554182E-2</v>
      </c>
      <c r="DO40" s="2288">
        <f t="shared" si="135"/>
        <v>9.8926983436650628E-2</v>
      </c>
      <c r="DP40" s="2288">
        <f t="shared" si="135"/>
        <v>0.21167132984760517</v>
      </c>
      <c r="DQ40" s="2290">
        <f t="shared" si="135"/>
        <v>9.4946312687078649E-2</v>
      </c>
      <c r="DR40" s="2288">
        <f t="shared" si="135"/>
        <v>0.29707525818366931</v>
      </c>
      <c r="DS40" s="2288">
        <f t="shared" si="135"/>
        <v>0.63729609567974377</v>
      </c>
      <c r="DT40" s="2288">
        <f t="shared" si="135"/>
        <v>0.41869071628861909</v>
      </c>
      <c r="DU40" s="2288">
        <f t="shared" si="135"/>
        <v>0.33037696603585354</v>
      </c>
      <c r="DV40" s="2290">
        <f>DV39/DQ36-1</f>
        <v>0.40741262153452706</v>
      </c>
      <c r="DW40" s="2288">
        <f t="shared" si="135"/>
        <v>0.2594722191137262</v>
      </c>
      <c r="DX40" s="2288">
        <f t="shared" si="135"/>
        <v>0.15915047312716069</v>
      </c>
      <c r="DY40" s="2288">
        <f t="shared" si="135"/>
        <v>8.4318749649479496E-2</v>
      </c>
      <c r="DZ40" s="2288">
        <f t="shared" si="135"/>
        <v>2.4842965467664291E-2</v>
      </c>
      <c r="EA40" s="2290">
        <f t="shared" ref="EA40:EF40" si="136">EA39/DV36-1</f>
        <v>0.12231037502425046</v>
      </c>
      <c r="EB40" s="2288">
        <f t="shared" si="135"/>
        <v>2.9186846615731454E-2</v>
      </c>
      <c r="EC40" s="2288">
        <f t="shared" si="135"/>
        <v>4.8884345698948506E-2</v>
      </c>
      <c r="ED40" s="2288">
        <f t="shared" si="135"/>
        <v>8.8682858813099008E-2</v>
      </c>
      <c r="EE40" s="2288">
        <f t="shared" si="135"/>
        <v>9.7468266882621668E-2</v>
      </c>
      <c r="EF40" s="2290">
        <f t="shared" si="136"/>
        <v>6.6526153259874876E-2</v>
      </c>
      <c r="EG40" s="2288">
        <f t="shared" si="135"/>
        <v>0.13587469508512906</v>
      </c>
      <c r="EH40" s="2288">
        <f t="shared" si="135"/>
        <v>0.12803681170433157</v>
      </c>
      <c r="EI40" s="2288">
        <f t="shared" si="135"/>
        <v>0.11684157440025755</v>
      </c>
      <c r="EJ40" s="2288">
        <f t="shared" si="135"/>
        <v>0.10903918844457716</v>
      </c>
      <c r="EK40" s="2290">
        <f>EK39/EF36-1</f>
        <v>0.12179397997941654</v>
      </c>
      <c r="EL40" s="2288">
        <f t="shared" si="135"/>
        <v>0.10420416381123854</v>
      </c>
      <c r="EM40" s="2288">
        <f t="shared" si="135"/>
        <v>9.7826913724903042E-2</v>
      </c>
      <c r="EN40" s="2288">
        <f t="shared" si="135"/>
        <v>0.11170423556055997</v>
      </c>
      <c r="EO40" s="2288">
        <f t="shared" ref="EO40" si="137">EO39/EJ36-1</f>
        <v>0.1161653855177267</v>
      </c>
      <c r="EP40" s="2290">
        <f>EP39/EK36-1</f>
        <v>0.1077891799474302</v>
      </c>
      <c r="EQ40" s="2288">
        <f t="shared" ref="EQ40" si="138">EQ39/EL36-1</f>
        <v>0.10993705614113769</v>
      </c>
      <c r="ER40" s="2288">
        <f t="shared" ref="ER40" si="139">ER39/EM36-1</f>
        <v>0.11211255957387167</v>
      </c>
      <c r="ES40" s="2288">
        <f t="shared" ref="ES40" si="140">ES39/EN36-1</f>
        <v>0.10888760076568449</v>
      </c>
      <c r="ET40" s="2288">
        <f t="shared" ref="ET40" si="141">ET39/EO36-1</f>
        <v>0.10577981887884613</v>
      </c>
      <c r="EU40" s="2290">
        <f>EU39/EP36-1</f>
        <v>0.10904643436219574</v>
      </c>
      <c r="EV40" s="2290">
        <f>EV39/EU36-1</f>
        <v>9.158672735522666E-2</v>
      </c>
      <c r="EW40" s="2290">
        <f>EW39/EV36-1</f>
        <v>8.3743660452284985E-2</v>
      </c>
      <c r="EX40" s="2290">
        <f>EX39/EW36-1</f>
        <v>7.5513986210487882E-2</v>
      </c>
      <c r="EY40" s="2290">
        <f>EY39/EX36-1</f>
        <v>7.1644867013545888E-2</v>
      </c>
      <c r="EZ40" s="169"/>
      <c r="FA40" s="725"/>
      <c r="FB40" s="725"/>
      <c r="FD40" s="2613"/>
      <c r="FJ40" s="2613"/>
    </row>
    <row r="41" spans="1:166" s="194" customFormat="1" ht="11.25" hidden="1" customHeight="1" outlineLevel="1" collapsed="1">
      <c r="A41" s="5639" t="s">
        <v>46</v>
      </c>
      <c r="B41" s="2612"/>
      <c r="C41" s="169"/>
      <c r="D41" s="169"/>
      <c r="E41" s="169"/>
      <c r="F41" s="5597"/>
      <c r="G41" s="2612"/>
      <c r="H41" s="169"/>
      <c r="I41" s="169"/>
      <c r="J41" s="169"/>
      <c r="K41" s="1381"/>
      <c r="L41" s="169"/>
      <c r="M41" s="169"/>
      <c r="N41" s="169"/>
      <c r="O41" s="169"/>
      <c r="P41" s="1021"/>
      <c r="Q41" s="1226" t="s">
        <v>116</v>
      </c>
      <c r="R41" s="169">
        <f>+R36/Q36-1</f>
        <v>0.92034973717307889</v>
      </c>
      <c r="S41" s="169">
        <f>+S36/R36-1</f>
        <v>0.72045411449422914</v>
      </c>
      <c r="T41" s="169">
        <f>+T36/S36-1</f>
        <v>0.45849187301294925</v>
      </c>
      <c r="U41" s="1021"/>
      <c r="V41" s="1226">
        <f>+V36/T36-1</f>
        <v>0.33357002279948689</v>
      </c>
      <c r="W41" s="169">
        <f>+W36/V36-1</f>
        <v>0.25747538872021347</v>
      </c>
      <c r="X41" s="169">
        <f>+X36/W36-1</f>
        <v>0.2693782529890083</v>
      </c>
      <c r="Y41" s="169">
        <f>+Y36/X36-1</f>
        <v>0.30782874794004456</v>
      </c>
      <c r="Z41" s="1021"/>
      <c r="AA41" s="1226">
        <f>+AA36/Y36-1</f>
        <v>0.27667195538247014</v>
      </c>
      <c r="AB41" s="169">
        <f>+AB36/AA36-1</f>
        <v>8.2198831290288155E-2</v>
      </c>
      <c r="AC41" s="169">
        <f>+AC36/AB36-1</f>
        <v>0.15417853227929967</v>
      </c>
      <c r="AD41" s="169">
        <f>+AD36/AC36-1</f>
        <v>0.28188567839195988</v>
      </c>
      <c r="AE41" s="1021"/>
      <c r="AF41" s="1226">
        <f>+AF36/AD36-1</f>
        <v>0.21632135447445577</v>
      </c>
      <c r="AG41" s="169">
        <f>+AG36/AF36-1</f>
        <v>0.10176590139545927</v>
      </c>
      <c r="AH41" s="169">
        <f>+AH36/AG36-1</f>
        <v>0.14061359617496949</v>
      </c>
      <c r="AI41" s="169">
        <f>+AI36/AH36-1</f>
        <v>0.21612934869791545</v>
      </c>
      <c r="AJ41" s="1021"/>
      <c r="AK41" s="1226">
        <f>+AK36/AI36-1</f>
        <v>0.17340227099946981</v>
      </c>
      <c r="AL41" s="169">
        <f>+AL36/AK36-1</f>
        <v>9.1358062410224594E-2</v>
      </c>
      <c r="AM41" s="169">
        <f>+AM36/AL36-1</f>
        <v>9.6322891296436008E-2</v>
      </c>
      <c r="AN41" s="184">
        <f>+AN36/AM36-1</f>
        <v>0.19223063921541095</v>
      </c>
      <c r="AO41" s="1021"/>
      <c r="AP41" s="1226">
        <f>+AP36/AN36-1</f>
        <v>0.14253668372857309</v>
      </c>
      <c r="AQ41" s="169">
        <f>+AQ36/AP36-1</f>
        <v>5.8137534631766075E-2</v>
      </c>
      <c r="AR41" s="169">
        <f>+AR36/AQ36-1</f>
        <v>9.148118939927441E-2</v>
      </c>
      <c r="AS41" s="184">
        <f>+AS36/AR36-1</f>
        <v>0.13555343542881371</v>
      </c>
      <c r="AT41" s="1021"/>
      <c r="AU41" s="1226">
        <f>+AU36/AS36-1</f>
        <v>6.9191728631861071E-2</v>
      </c>
      <c r="AV41" s="169">
        <f>+AV36/AU36-1</f>
        <v>1.9439320906563973E-2</v>
      </c>
      <c r="AW41" s="169">
        <f>+AW36/AV36-1</f>
        <v>3.2118293100372508E-2</v>
      </c>
      <c r="AX41" s="184">
        <f>+AX36/AW36-1</f>
        <v>2.8512667854017293E-2</v>
      </c>
      <c r="AY41" s="1021"/>
      <c r="AZ41" s="1226">
        <f>+AZ36/AX36-1</f>
        <v>-3.1556682618863463E-2</v>
      </c>
      <c r="BA41" s="169">
        <f>+BA36/AZ36-1</f>
        <v>9.8726942062898893E-4</v>
      </c>
      <c r="BB41" s="169">
        <f>+BB36/BA36-1</f>
        <v>7.8801145699653352E-2</v>
      </c>
      <c r="BC41" s="184">
        <f>+BC36/BB36-1</f>
        <v>0.12308765854135628</v>
      </c>
      <c r="BD41" s="1021"/>
      <c r="BE41" s="1226">
        <f>+BE36/BC36-1</f>
        <v>1.5173567984854142E-3</v>
      </c>
      <c r="BF41" s="169">
        <f>+BF36/BE36-1</f>
        <v>1.3436293436293489E-2</v>
      </c>
      <c r="BG41" s="169">
        <f>+BG36/BF36-1</f>
        <v>7.162450472416948E-2</v>
      </c>
      <c r="BH41" s="184">
        <f>+BH36/BG36-1</f>
        <v>0.16140500568828209</v>
      </c>
      <c r="BI41" s="1021"/>
      <c r="BJ41" s="1226">
        <f>+BJ36/BH36-1</f>
        <v>1.7019713481082333E-2</v>
      </c>
      <c r="BK41" s="169">
        <f>+BK36/BJ36-1</f>
        <v>4.9361907055140763E-2</v>
      </c>
      <c r="BL41" s="169">
        <f>+BL36/BK36-1</f>
        <v>7.1018815970628646E-2</v>
      </c>
      <c r="BM41" s="169">
        <f>+BM36/BL36-1</f>
        <v>8.9876807712908402E-2</v>
      </c>
      <c r="BN41" s="1021"/>
      <c r="BO41" s="193"/>
      <c r="BP41" s="193"/>
      <c r="BQ41" s="193"/>
      <c r="BR41" s="193"/>
      <c r="BS41" s="2430"/>
      <c r="BT41" s="169">
        <f>+BT36/BM36-1</f>
        <v>5.0127776685668923E-3</v>
      </c>
      <c r="BU41" s="169">
        <f>+BU36/BT36-1</f>
        <v>2.9339853300733409E-2</v>
      </c>
      <c r="BV41" s="169">
        <f>+BV36/BU36-1</f>
        <v>3.1828978622327808E-2</v>
      </c>
      <c r="BW41" s="169">
        <f>+BW36/BV36-1</f>
        <v>0.11197053406998148</v>
      </c>
      <c r="BX41" s="1021"/>
      <c r="BY41" s="193"/>
      <c r="BZ41" s="193"/>
      <c r="CA41" s="193"/>
      <c r="CB41" s="193"/>
      <c r="CC41" s="2430"/>
      <c r="CD41" s="576">
        <f>+CD36/BW36-1</f>
        <v>-3.7263994700231784E-3</v>
      </c>
      <c r="CE41" s="169">
        <f>+CE36/CD36-1</f>
        <v>1.2550910148782402E-2</v>
      </c>
      <c r="CF41" s="169">
        <f>+CF36/CE36-1</f>
        <v>3.8663602035790445E-2</v>
      </c>
      <c r="CG41" s="169">
        <f>+CG36/CF36-1</f>
        <v>0.12273769066624518</v>
      </c>
      <c r="CH41" s="1021"/>
      <c r="CI41" s="1226">
        <f>+CI36/CG36-1</f>
        <v>-1.4712093481627497E-2</v>
      </c>
      <c r="CJ41" s="169">
        <f>+CJ36/CI36-1</f>
        <v>3.5793384296634922E-2</v>
      </c>
      <c r="CK41" s="169">
        <f>+CK36/CJ36-1</f>
        <v>2.2209959994482054E-2</v>
      </c>
      <c r="CL41" s="169">
        <f>+CL36/CK36-1</f>
        <v>0.1004723346828611</v>
      </c>
      <c r="CM41" s="1021"/>
      <c r="CN41" s="169">
        <f>+CN36/CL36-1</f>
        <v>-4.9113986142620636E-2</v>
      </c>
      <c r="CO41" s="169">
        <f>+CO36/CN36-1</f>
        <v>3.3208666494712435E-2</v>
      </c>
      <c r="CP41" s="169">
        <f>+CP36/CO36-1</f>
        <v>4.7306996192972628E-2</v>
      </c>
      <c r="CQ41" s="169">
        <f>+CQ36/CP36-1</f>
        <v>0.13688099636493645</v>
      </c>
      <c r="CR41" s="1021"/>
      <c r="CS41" s="169">
        <f>+CS36/CQ36-1</f>
        <v>-5.5456546807841511E-2</v>
      </c>
      <c r="CT41" s="169">
        <f>+CT36/CS36-1</f>
        <v>6.2319644839067712E-2</v>
      </c>
      <c r="CU41" s="169">
        <f>+CU36/CT36-1</f>
        <v>3.5417646136969072E-2</v>
      </c>
      <c r="CV41" s="169">
        <f>+CV36/CU36-1</f>
        <v>0.13006407345744408</v>
      </c>
      <c r="CW41" s="1021"/>
      <c r="CX41" s="169">
        <f>+CX36/CV36-1</f>
        <v>-4.4109112013929197E-2</v>
      </c>
      <c r="CY41" s="169">
        <f>+CY36/CX36-1</f>
        <v>5.8894960534304763E-2</v>
      </c>
      <c r="CZ41" s="169">
        <f>+CZ36/CY36-1</f>
        <v>6.1441425546930217E-2</v>
      </c>
      <c r="DA41" s="169">
        <f>+DA36/CZ36-1</f>
        <v>0.13139414086848111</v>
      </c>
      <c r="DB41" s="1021"/>
      <c r="DC41" s="2612">
        <f>+DC36/DA36-1</f>
        <v>-2.1486024901751888E-2</v>
      </c>
      <c r="DD41" s="2612">
        <f>+DD36/DC36-1</f>
        <v>5.4237669844606318E-2</v>
      </c>
      <c r="DE41" s="2612">
        <f>+DE36/DD36-1</f>
        <v>3.0868373268772009E-2</v>
      </c>
      <c r="DF41" s="2612">
        <f>+DF36/DE36-1</f>
        <v>0.12309180078745596</v>
      </c>
      <c r="DG41" s="1021"/>
      <c r="DH41" s="2612">
        <f>+DH36/DF36-1</f>
        <v>-5.9382495848453121E-2</v>
      </c>
      <c r="DI41" s="2612">
        <f>+DI36/DH36-1</f>
        <v>6.2346748618694159E-2</v>
      </c>
      <c r="DJ41" s="2612">
        <f>+DJ36/DI36-1</f>
        <v>4.0068935803532879E-2</v>
      </c>
      <c r="DK41" s="2612">
        <f>+DK36/DJ36-1</f>
        <v>0.12244052550597706</v>
      </c>
      <c r="DL41" s="1021"/>
      <c r="DM41" s="2612">
        <f>+DM36/DK36-1</f>
        <v>-0.10995413085886008</v>
      </c>
      <c r="DN41" s="2612">
        <f>+DN36/DM36-1</f>
        <v>-0.11539258952107334</v>
      </c>
      <c r="DO41" s="2612">
        <f>+DO36/DN36-1</f>
        <v>0.24200622760906687</v>
      </c>
      <c r="DP41" s="2612">
        <f>+DP36/DO36-1</f>
        <v>0.24542391157837984</v>
      </c>
      <c r="DQ41" s="1021"/>
      <c r="DR41" s="2612">
        <f>+DR36/DP36-1</f>
        <v>-3.2792917595618976E-2</v>
      </c>
      <c r="DS41" s="2612">
        <f>+DS36/DR36-1</f>
        <v>0.12890520096678904</v>
      </c>
      <c r="DT41" s="2612">
        <f>+DT36/DS36-1</f>
        <v>5.3247165173261335E-2</v>
      </c>
      <c r="DU41" s="2612">
        <f>+DU36/DT36-1</f>
        <v>0.15262563523433093</v>
      </c>
      <c r="DV41" s="1021"/>
      <c r="DW41" s="2612">
        <f>+DW36/DU36-1</f>
        <v>-0.1074152092620716</v>
      </c>
      <c r="DX41" s="2612">
        <f>+DX36/DW36-1</f>
        <v>2.9765280547373818E-2</v>
      </c>
      <c r="DY41" s="2612">
        <f>+DY36/DX36-1</f>
        <v>-3.2084991472427493E-2</v>
      </c>
      <c r="DZ41" s="2612">
        <f>+DZ36/DY36-1</f>
        <v>8.3697367938034617E-2</v>
      </c>
      <c r="EA41" s="1021"/>
      <c r="EB41" s="2612">
        <f>+EB36/DZ36-1</f>
        <v>-7.6115307747027572E-2</v>
      </c>
      <c r="EC41" s="2612">
        <f>+EC36/EB36-1</f>
        <v>6.590525775463818E-2</v>
      </c>
      <c r="ED41" s="2612">
        <f>+ED36/EC36-1</f>
        <v>2.5867258311404573E-2</v>
      </c>
      <c r="EE41" s="2612">
        <f>+EE36/ED36-1</f>
        <v>9.8412325850419924E-2</v>
      </c>
      <c r="EF41" s="1021"/>
      <c r="EG41" s="2612">
        <f>+EG36/EE36-1</f>
        <v>-5.8885480104400423E-2</v>
      </c>
      <c r="EH41" s="2612">
        <f>+EH36/EG36-1</f>
        <v>4.7957313611962649E-2</v>
      </c>
      <c r="EI41" s="2612">
        <f>+EI36/EH36-1</f>
        <v>1.9159341339606284E-2</v>
      </c>
      <c r="EJ41" s="2612">
        <f>+EJ36/EI36-1</f>
        <v>0.10032799829926797</v>
      </c>
      <c r="EK41" s="1021"/>
      <c r="EL41" s="2612">
        <f>+EL36/EJ36-1</f>
        <v>-7.6951739556451071E-2</v>
      </c>
      <c r="EM41" s="2612">
        <f>+EM36/EL36-1</f>
        <v>6.6606862525229849E-2</v>
      </c>
      <c r="EN41" s="2612">
        <f>+EN36/EM36-1</f>
        <v>3.9837398373983701E-2</v>
      </c>
      <c r="EO41" s="2612">
        <f>+EO36/EN36-1</f>
        <v>9.986604576512903E-2</v>
      </c>
      <c r="EP41" s="1021"/>
      <c r="EQ41" s="2612">
        <f>+EQ36/EO36-1</f>
        <v>-6.1528743544952524E-2</v>
      </c>
      <c r="ER41" s="2612">
        <f>+ER36/EQ36-1</f>
        <v>4.2180583427425145E-2</v>
      </c>
      <c r="ES41" s="2612">
        <f>+ES36/ER36-1</f>
        <v>2.4765063055164793E-2</v>
      </c>
      <c r="ET41" s="2612">
        <f>+ET36/ES36-1</f>
        <v>0.10101307960512207</v>
      </c>
      <c r="EU41" s="1021"/>
      <c r="EV41" s="1021"/>
      <c r="EW41" s="1021"/>
      <c r="EX41" s="1021"/>
      <c r="EY41" s="1021"/>
      <c r="EZ41" s="193"/>
      <c r="FA41" s="1102"/>
      <c r="FB41" s="1102"/>
    </row>
    <row r="42" spans="1:166" s="77" customFormat="1" ht="11.25" hidden="1" customHeight="1" outlineLevel="1">
      <c r="A42" s="5640" t="s">
        <v>428</v>
      </c>
      <c r="B42" s="127"/>
      <c r="C42" s="127"/>
      <c r="D42" s="127"/>
      <c r="E42" s="127"/>
      <c r="F42" s="5088"/>
      <c r="G42" s="127"/>
      <c r="H42" s="127"/>
      <c r="I42" s="127"/>
      <c r="J42" s="127"/>
      <c r="K42" s="1219"/>
      <c r="L42" s="127"/>
      <c r="M42" s="127"/>
      <c r="N42" s="127"/>
      <c r="O42" s="127"/>
      <c r="P42" s="1001"/>
      <c r="Q42" s="127">
        <f>+Q36/U36</f>
        <v>9.0555954394461138E-2</v>
      </c>
      <c r="R42" s="127">
        <f>+R36/U36</f>
        <v>0.17389910322086077</v>
      </c>
      <c r="S42" s="127">
        <f>+S36/U36</f>
        <v>0.29918542764318656</v>
      </c>
      <c r="T42" s="127">
        <f>+T36/U36</f>
        <v>0.43635951474149137</v>
      </c>
      <c r="U42" s="1001"/>
      <c r="V42" s="127">
        <f>+V36/Z36</f>
        <v>0.16831437152934933</v>
      </c>
      <c r="W42" s="127">
        <f>+W36/Z36</f>
        <v>0.21165117976606698</v>
      </c>
      <c r="X42" s="127">
        <f>+X36/Z36</f>
        <v>0.26866540481451268</v>
      </c>
      <c r="Y42" s="127">
        <f>+Y36/Z36</f>
        <v>0.35136833999336931</v>
      </c>
      <c r="Z42" s="1001"/>
      <c r="AA42" s="127">
        <f>+AA36/AE36</f>
        <v>0.20274148491426142</v>
      </c>
      <c r="AB42" s="127">
        <f>+AB36/AE36</f>
        <v>0.21940659802827128</v>
      </c>
      <c r="AC42" s="127">
        <f>+AC36/AE36</f>
        <v>0.25323438528466441</v>
      </c>
      <c r="AD42" s="127">
        <f>+AD36/AE36</f>
        <v>0.324617531772803</v>
      </c>
      <c r="AE42" s="1001"/>
      <c r="AF42" s="127">
        <f>+AF36/AJ36</f>
        <v>0.20463491340530757</v>
      </c>
      <c r="AG42" s="127">
        <f>+AG36/AJ36</f>
        <v>0.22545976982498045</v>
      </c>
      <c r="AH42" s="127">
        <f>+AH36/AJ36</f>
        <v>0.25716247885285182</v>
      </c>
      <c r="AI42" s="127">
        <f>+AI36/AJ36</f>
        <v>0.31274283791686014</v>
      </c>
      <c r="AJ42" s="1001"/>
      <c r="AK42" s="127">
        <f>+AK36/AO36</f>
        <v>0.21211966991304088</v>
      </c>
      <c r="AL42" s="127">
        <f>+AL36/AO36</f>
        <v>0.2314985119553927</v>
      </c>
      <c r="AM42" s="127">
        <f>+AM36/AO36</f>
        <v>0.25379711795775867</v>
      </c>
      <c r="AN42" s="127">
        <f>+AN36/AO36</f>
        <v>0.30258470017380767</v>
      </c>
      <c r="AO42" s="1001"/>
      <c r="AP42" s="127">
        <f>+AP36/AT36</f>
        <v>0.2210155914559282</v>
      </c>
      <c r="AQ42" s="127">
        <f>+AQ36/AT36</f>
        <v>0.2338648930583575</v>
      </c>
      <c r="AR42" s="127">
        <f>+AR36/AT36</f>
        <v>0.25525913163407016</v>
      </c>
      <c r="AS42" s="127">
        <f>+AS36/AT36</f>
        <v>0.28986038385164414</v>
      </c>
      <c r="AT42" s="1001"/>
      <c r="AU42" s="127">
        <f>+AU36/AY36</f>
        <v>0.24074319661098739</v>
      </c>
      <c r="AV42" s="127">
        <f>+AV36/AY36</f>
        <v>0.24542308086598041</v>
      </c>
      <c r="AW42" s="127">
        <f>+AW36/AY36</f>
        <v>0.25330565131083044</v>
      </c>
      <c r="AX42" s="127">
        <f>+AX36/AY36</f>
        <v>0.26052807121220162</v>
      </c>
      <c r="AY42" s="1001"/>
      <c r="AZ42" s="127">
        <f>+AZ36/BD36</f>
        <v>0.23290273270722225</v>
      </c>
      <c r="BA42" s="127">
        <f>+BA36/BD36</f>
        <v>0.23313267045320502</v>
      </c>
      <c r="BB42" s="127">
        <f>+BB36/BD36</f>
        <v>0.25150379198493727</v>
      </c>
      <c r="BC42" s="127">
        <f>+BC36/BD36</f>
        <v>0.28246080485463548</v>
      </c>
      <c r="BD42" s="1001"/>
      <c r="BE42" s="127">
        <f>+BE36/BI36</f>
        <v>0.22931718373707324</v>
      </c>
      <c r="BF42" s="127">
        <f>+BF36/BI36</f>
        <v>0.23239835670774897</v>
      </c>
      <c r="BG42" s="127">
        <f>+BG36/BI36</f>
        <v>0.24904377390565235</v>
      </c>
      <c r="BH42" s="127">
        <f>+BH36/BI36</f>
        <v>0.28924068564952543</v>
      </c>
      <c r="BI42" s="1001"/>
      <c r="BJ42" s="127">
        <f>+BJ36/BN36</f>
        <v>0.22736853631162574</v>
      </c>
      <c r="BK42" s="127">
        <f>+BK36/BN36</f>
        <v>0.23859188086830363</v>
      </c>
      <c r="BL42" s="127">
        <f>+BL36/BN36</f>
        <v>0.25553639374777587</v>
      </c>
      <c r="BM42" s="127">
        <f>+BM36/BN36</f>
        <v>0.27850318907229477</v>
      </c>
      <c r="BN42" s="1001"/>
      <c r="BO42" s="42"/>
      <c r="BP42" s="42"/>
      <c r="BQ42" s="42"/>
      <c r="BR42" s="42"/>
      <c r="BS42" s="597"/>
      <c r="BT42" s="127">
        <f>+BT36/BX36</f>
        <v>0.23405667719635581</v>
      </c>
      <c r="BU42" s="127">
        <f>+BU36/BX36</f>
        <v>0.24092386576935404</v>
      </c>
      <c r="BV42" s="127">
        <f>+BV36/BX36</f>
        <v>0.24859222634253536</v>
      </c>
      <c r="BW42" s="127">
        <f>+BW36/BX36</f>
        <v>0.27642723069175479</v>
      </c>
      <c r="BX42" s="1001"/>
      <c r="BY42" s="42"/>
      <c r="BZ42" s="42"/>
      <c r="CA42" s="42"/>
      <c r="CB42" s="42"/>
      <c r="CC42" s="597"/>
      <c r="CD42" s="127">
        <f>+CD36/CH36</f>
        <v>0.23556939223057644</v>
      </c>
      <c r="CE42" s="127">
        <f>+CE36/CH36</f>
        <v>0.23852600250626566</v>
      </c>
      <c r="CF42" s="127">
        <f>+CF36/CH36</f>
        <v>0.24774827694235588</v>
      </c>
      <c r="CG42" s="127">
        <f>+CG36/CH36</f>
        <v>0.278156328320802</v>
      </c>
      <c r="CH42" s="1001"/>
      <c r="CI42" s="127">
        <f>+CI36/CM36</f>
        <v>0.23475446129075539</v>
      </c>
      <c r="CJ42" s="127">
        <f>+CJ36/CM36</f>
        <v>0.24315711793908493</v>
      </c>
      <c r="CK42" s="127">
        <f>+CK36/CM36</f>
        <v>0.24855762780088556</v>
      </c>
      <c r="CL42" s="127">
        <f>+CL36/CM36</f>
        <v>0.27353079296927413</v>
      </c>
      <c r="CM42" s="1001"/>
      <c r="CN42" s="127">
        <f>+CN36/CR36</f>
        <v>0.23012316367413563</v>
      </c>
      <c r="CO42" s="127">
        <f>+CO36/CR36</f>
        <v>0.23776524706929811</v>
      </c>
      <c r="CP42" s="127">
        <f>+CP36/CR36</f>
        <v>0.2490132067072266</v>
      </c>
      <c r="CQ42" s="127">
        <f>+CQ36/CR36</f>
        <v>0.28309838254933967</v>
      </c>
      <c r="CR42" s="1001"/>
      <c r="CS42" s="127">
        <f>+CS36/CW36</f>
        <v>0.22700074323217817</v>
      </c>
      <c r="CT42" s="127">
        <f>+CT36/CW36</f>
        <v>0.24114734892861192</v>
      </c>
      <c r="CU42" s="127">
        <f>+CU36/CW36</f>
        <v>0.24968822039983371</v>
      </c>
      <c r="CV42" s="127">
        <f>+CV36/CW36</f>
        <v>0.2821636874393762</v>
      </c>
      <c r="CW42" s="1001"/>
      <c r="CX42" s="127">
        <f>+CX36/DB36</f>
        <v>0.22401833076995512</v>
      </c>
      <c r="CY42" s="127">
        <f>+CY36/DB36</f>
        <v>0.23721188151961245</v>
      </c>
      <c r="CZ42" s="127">
        <f>+CZ36/DB36</f>
        <v>0.25178651767684695</v>
      </c>
      <c r="DA42" s="127">
        <f>+DA36/DB36</f>
        <v>0.28486979084926289</v>
      </c>
      <c r="DB42" s="1001"/>
      <c r="DC42" s="127">
        <f>+DC36/DG36</f>
        <v>0.22876327697684204</v>
      </c>
      <c r="DD42" s="127">
        <f>+DD36/DG36</f>
        <v>0.24117086406608221</v>
      </c>
      <c r="DE42" s="127">
        <f>+DE36/DG36</f>
        <v>0.2486154163196263</v>
      </c>
      <c r="DF42" s="127">
        <f>+DF36/DG36</f>
        <v>0.27921793561793218</v>
      </c>
      <c r="DG42" s="1001"/>
      <c r="DH42" s="127">
        <f>+DH36/DL36</f>
        <v>0.22688801358939553</v>
      </c>
      <c r="DI42" s="127">
        <f>+DI36/DL36</f>
        <v>0.24103374353724843</v>
      </c>
      <c r="DJ42" s="127">
        <f>+DJ36/DL36</f>
        <v>0.25069170913352767</v>
      </c>
      <c r="DK42" s="127">
        <f>+DK36/DL36</f>
        <v>0.28138653373982836</v>
      </c>
      <c r="DL42" s="1001"/>
      <c r="DM42" s="127">
        <f>+DM36/DQ36</f>
        <v>0.2297990797963573</v>
      </c>
      <c r="DN42" s="127">
        <f>+DN36/DQ36</f>
        <v>0.20328196890909586</v>
      </c>
      <c r="DO42" s="127">
        <f>+DO36/DQ36</f>
        <v>0.25247747134572979</v>
      </c>
      <c r="DP42" s="127">
        <f>+DP36/DQ36</f>
        <v>0.31444147994881705</v>
      </c>
      <c r="DQ42" s="1001"/>
      <c r="DR42" s="127">
        <f>+DR36/DV36</f>
        <v>0.21329183711461261</v>
      </c>
      <c r="DS42" s="127">
        <f>+DS36/DV36</f>
        <v>0.2407862642424474</v>
      </c>
      <c r="DT42" s="127">
        <f>+DT36/DV36</f>
        <v>0.25360745022601755</v>
      </c>
      <c r="DU42" s="127">
        <f>+DU36/DV36</f>
        <v>0.29231444841692245</v>
      </c>
      <c r="DV42" s="1001"/>
      <c r="DW42" s="127">
        <f>+DW36/EA36</f>
        <v>0.24350812792629847</v>
      </c>
      <c r="DX42" s="127">
        <f>+DX36/EA36</f>
        <v>0.25075621566959055</v>
      </c>
      <c r="DY42" s="127">
        <f>+DY36/EA36</f>
        <v>0.24271070462817354</v>
      </c>
      <c r="DZ42" s="127">
        <f>+DZ36/EA36</f>
        <v>0.26302495177593743</v>
      </c>
      <c r="EA42" s="1001"/>
      <c r="EB42" s="127">
        <f>+EB36/EF36</f>
        <v>0.22933299699396692</v>
      </c>
      <c r="EC42" s="127">
        <f>+EC36/EF36</f>
        <v>0.24444724727249795</v>
      </c>
      <c r="ED42" s="127">
        <f>+ED36/EF36</f>
        <v>0.25077042736120747</v>
      </c>
      <c r="EE42" s="127">
        <f>+EE36/EF36</f>
        <v>0.27544932837232766</v>
      </c>
      <c r="EF42" s="1001"/>
      <c r="EG42" s="127">
        <f>+EG36/EK36</f>
        <v>0.23303601799009788</v>
      </c>
      <c r="EH42" s="127">
        <f>+EH36/EK36</f>
        <v>0.24421179938773196</v>
      </c>
      <c r="EI42" s="127">
        <f>+EI36/EK36</f>
        <v>0.24889073661136096</v>
      </c>
      <c r="EJ42" s="127">
        <f>+EJ36/EK36</f>
        <v>0.2738614460108092</v>
      </c>
      <c r="EK42" s="1001"/>
      <c r="EL42" s="127">
        <f>+EL36/EP36</f>
        <v>0.2275021179310065</v>
      </c>
      <c r="EM42" s="127">
        <f>+EM36/EP36</f>
        <v>0.24265532022423567</v>
      </c>
      <c r="EN42" s="127">
        <f>+EN36/EP36</f>
        <v>0.25232207688357516</v>
      </c>
      <c r="EO42" s="127">
        <f>+EO36/EP36</f>
        <v>0.2775204849611827</v>
      </c>
      <c r="EP42" s="1001"/>
      <c r="EQ42" s="127">
        <f>+EQ36/EU36</f>
        <v>0.2333154886495547</v>
      </c>
      <c r="ER42" s="127">
        <f>+ER36/EU36</f>
        <v>0.24315687208344769</v>
      </c>
      <c r="ES42" s="127">
        <f>+ES36/EU36</f>
        <v>0.24917866735289093</v>
      </c>
      <c r="ET42" s="127">
        <f>+ET36/EU36</f>
        <v>0.27434897191410673</v>
      </c>
      <c r="EU42" s="1001"/>
      <c r="EV42" s="597"/>
      <c r="EW42" s="597"/>
      <c r="EX42" s="597"/>
      <c r="EY42" s="597"/>
      <c r="EZ42" s="42"/>
      <c r="FA42" s="725"/>
      <c r="FB42" s="725"/>
    </row>
    <row r="43" spans="1:166" s="180" customFormat="1" ht="11.25" customHeight="1" collapsed="1">
      <c r="A43" s="5642" t="s">
        <v>1082</v>
      </c>
      <c r="B43" s="2336"/>
      <c r="C43" s="2336"/>
      <c r="D43" s="2336"/>
      <c r="E43" s="2333"/>
      <c r="F43" s="5610"/>
      <c r="G43" s="2336"/>
      <c r="H43" s="2336"/>
      <c r="I43" s="2336"/>
      <c r="J43" s="2336"/>
      <c r="K43" s="2345"/>
      <c r="L43" s="2336"/>
      <c r="M43" s="2336"/>
      <c r="N43" s="2336"/>
      <c r="O43" s="2336"/>
      <c r="P43" s="4186"/>
      <c r="Q43" s="2426"/>
      <c r="R43" s="2333"/>
      <c r="S43" s="2333"/>
      <c r="T43" s="2333"/>
      <c r="U43" s="4186"/>
      <c r="V43" s="2426"/>
      <c r="W43" s="2333"/>
      <c r="X43" s="2333"/>
      <c r="Y43" s="2333"/>
      <c r="Z43" s="4186"/>
      <c r="AA43" s="2426"/>
      <c r="AB43" s="2336"/>
      <c r="AC43" s="2336"/>
      <c r="AD43" s="2336"/>
      <c r="AE43" s="2332"/>
      <c r="AF43" s="2425"/>
      <c r="AG43" s="2336"/>
      <c r="AH43" s="2336"/>
      <c r="AI43" s="2336"/>
      <c r="AJ43" s="2332"/>
      <c r="AK43" s="2425"/>
      <c r="AL43" s="2336"/>
      <c r="AM43" s="2336"/>
      <c r="AN43" s="2337"/>
      <c r="AO43" s="2332"/>
      <c r="AP43" s="2425"/>
      <c r="AQ43" s="2336"/>
      <c r="AR43" s="2336"/>
      <c r="AS43" s="2337"/>
      <c r="AT43" s="2332"/>
      <c r="AU43" s="2425"/>
      <c r="AV43" s="2336"/>
      <c r="AW43" s="2336"/>
      <c r="AX43" s="2337"/>
      <c r="AY43" s="2332"/>
      <c r="AZ43" s="2425"/>
      <c r="BA43" s="2336"/>
      <c r="BB43" s="2336"/>
      <c r="BC43" s="2338"/>
      <c r="BD43" s="2332"/>
      <c r="BE43" s="2427"/>
      <c r="BF43" s="2339"/>
      <c r="BG43" s="2339"/>
      <c r="BH43" s="2340"/>
      <c r="BI43" s="2332"/>
      <c r="BJ43" s="2427"/>
      <c r="BK43" s="2339"/>
      <c r="BL43" s="2339"/>
      <c r="BM43" s="2339"/>
      <c r="BN43" s="2332"/>
      <c r="BO43" s="2333"/>
      <c r="BP43" s="2333"/>
      <c r="BQ43" s="2333"/>
      <c r="BR43" s="2333"/>
      <c r="BS43" s="2428"/>
      <c r="BT43" s="2339"/>
      <c r="BU43" s="2339"/>
      <c r="BV43" s="2339"/>
      <c r="BW43" s="2339"/>
      <c r="BX43" s="2332"/>
      <c r="BY43" s="2333"/>
      <c r="BZ43" s="2333"/>
      <c r="CA43" s="2333"/>
      <c r="CB43" s="2333"/>
      <c r="CC43" s="2428"/>
      <c r="CD43" s="2429"/>
      <c r="CE43" s="2339"/>
      <c r="CF43" s="2339"/>
      <c r="CG43" s="2339"/>
      <c r="CH43" s="2332"/>
      <c r="CI43" s="2341"/>
      <c r="CJ43" s="2339"/>
      <c r="CK43" s="2339"/>
      <c r="CL43" s="2339"/>
      <c r="CM43" s="2332"/>
      <c r="CN43" s="2339"/>
      <c r="CO43" s="2339"/>
      <c r="CP43" s="2339"/>
      <c r="CQ43" s="2339"/>
      <c r="CR43" s="2332"/>
      <c r="CS43" s="2342"/>
      <c r="CT43" s="2339"/>
      <c r="CU43" s="2339"/>
      <c r="CV43" s="2339"/>
      <c r="CW43" s="2332"/>
      <c r="CX43" s="2339"/>
      <c r="CY43" s="2339"/>
      <c r="CZ43" s="2339"/>
      <c r="DA43" s="2339"/>
      <c r="DB43" s="4186">
        <v>10914</v>
      </c>
      <c r="DC43" s="4435">
        <f>DC491-DC57</f>
        <v>3155</v>
      </c>
      <c r="DD43" s="4435">
        <f>DD491-DD57</f>
        <v>3075</v>
      </c>
      <c r="DE43" s="4435">
        <f>DE491-DE57</f>
        <v>3060</v>
      </c>
      <c r="DF43" s="2339">
        <v>4771</v>
      </c>
      <c r="DG43" s="4186">
        <v>14063</v>
      </c>
      <c r="DH43" s="2339">
        <v>3620</v>
      </c>
      <c r="DI43" s="2339">
        <v>4080</v>
      </c>
      <c r="DJ43" s="2339">
        <v>4050</v>
      </c>
      <c r="DK43" s="2339">
        <v>5264</v>
      </c>
      <c r="DL43" s="5258">
        <f>SUM(DH43:DK43)</f>
        <v>17014</v>
      </c>
      <c r="DM43" s="5259">
        <v>4435</v>
      </c>
      <c r="DN43" s="5259">
        <v>5124</v>
      </c>
      <c r="DO43" s="5259">
        <v>5478</v>
      </c>
      <c r="DP43" s="5259">
        <v>6674</v>
      </c>
      <c r="DQ43" s="5258">
        <f>SUM(DM43:DP43)</f>
        <v>21711</v>
      </c>
      <c r="DR43" s="5259">
        <v>6494</v>
      </c>
      <c r="DS43" s="5259">
        <v>6623</v>
      </c>
      <c r="DT43" s="5259">
        <v>6754</v>
      </c>
      <c r="DU43" s="5259">
        <v>8161</v>
      </c>
      <c r="DV43" s="5258">
        <f>SUM(DR43:DU43)</f>
        <v>28032</v>
      </c>
      <c r="DW43" s="5259">
        <v>6811</v>
      </c>
      <c r="DX43" s="5259">
        <v>6553</v>
      </c>
      <c r="DY43" s="5259">
        <v>6895</v>
      </c>
      <c r="DZ43" s="5259">
        <v>8796</v>
      </c>
      <c r="EA43" s="2332">
        <f>SUM(DW43:DZ43)</f>
        <v>29055</v>
      </c>
      <c r="EB43" s="5259">
        <v>7413</v>
      </c>
      <c r="EC43" s="5259">
        <v>8142</v>
      </c>
      <c r="ED43" s="5259">
        <v>8339</v>
      </c>
      <c r="EE43" s="5259">
        <v>10794</v>
      </c>
      <c r="EF43" s="2332">
        <f>SUM(EB43:EE43)</f>
        <v>34688</v>
      </c>
      <c r="EG43" s="5259">
        <v>8739</v>
      </c>
      <c r="EH43" s="5259">
        <v>9312</v>
      </c>
      <c r="EI43" s="5259">
        <v>10656</v>
      </c>
      <c r="EJ43" s="5259">
        <v>11633</v>
      </c>
      <c r="EK43" s="2332">
        <f>SUM(EG43:EJ43)</f>
        <v>40340</v>
      </c>
      <c r="EL43" s="5259">
        <v>10379</v>
      </c>
      <c r="EM43" s="5259">
        <v>11203</v>
      </c>
      <c r="EN43" s="5259">
        <v>12870</v>
      </c>
      <c r="EO43" s="2333">
        <f t="shared" ref="EO43" si="142">EO46+EO45</f>
        <v>13965.103195290863</v>
      </c>
      <c r="EP43" s="2332">
        <f>SUM(EL43:EO43)</f>
        <v>48417.103195290867</v>
      </c>
      <c r="EQ43" s="2333">
        <f t="shared" ref="EQ43:ET43" si="143">EQ46+EQ45</f>
        <v>12310.780236158667</v>
      </c>
      <c r="ER43" s="2333">
        <f t="shared" si="143"/>
        <v>13071.118776495463</v>
      </c>
      <c r="ES43" s="2333">
        <f t="shared" si="143"/>
        <v>14841.475101060756</v>
      </c>
      <c r="ET43" s="2333">
        <f t="shared" si="143"/>
        <v>16027.067732883719</v>
      </c>
      <c r="EU43" s="2332">
        <f>SUM(EQ43:ET43)</f>
        <v>56250.441846598609</v>
      </c>
      <c r="EV43" s="2428">
        <f>EV46+EV45</f>
        <v>63000.49486819045</v>
      </c>
      <c r="EW43" s="2428">
        <f>EW46+EW45</f>
        <v>69300.544355009493</v>
      </c>
      <c r="EX43" s="2428">
        <f>EX46+EX45</f>
        <v>75537.593346960348</v>
      </c>
      <c r="EY43" s="2428">
        <f>EY46+EY45</f>
        <v>81202.91284798237</v>
      </c>
      <c r="EZ43" s="175"/>
      <c r="FA43" s="1319">
        <f>(EV43/EK43)^(1/3)-1</f>
        <v>0.16020844502435172</v>
      </c>
      <c r="FB43" s="1319">
        <f>(EX43/EK43)^(1/5)-1</f>
        <v>0.1336668567022945</v>
      </c>
    </row>
    <row r="44" spans="1:166" s="2613" customFormat="1" ht="11.25" customHeight="1">
      <c r="A44" s="5639" t="s">
        <v>45</v>
      </c>
      <c r="B44" s="181"/>
      <c r="C44" s="181"/>
      <c r="D44" s="181"/>
      <c r="E44" s="182"/>
      <c r="F44" s="4242"/>
      <c r="G44" s="181"/>
      <c r="H44" s="181"/>
      <c r="I44" s="181"/>
      <c r="J44" s="181"/>
      <c r="K44" s="991"/>
      <c r="L44" s="181"/>
      <c r="M44" s="181"/>
      <c r="N44" s="181"/>
      <c r="O44" s="181"/>
      <c r="P44" s="2588"/>
      <c r="Q44" s="1226"/>
      <c r="R44" s="2612"/>
      <c r="S44" s="2612"/>
      <c r="T44" s="2612"/>
      <c r="U44" s="2588"/>
      <c r="V44" s="1226"/>
      <c r="W44" s="2612"/>
      <c r="X44" s="2612"/>
      <c r="Y44" s="2612"/>
      <c r="Z44" s="2588"/>
      <c r="AA44" s="1226"/>
      <c r="AB44" s="2612"/>
      <c r="AC44" s="2612"/>
      <c r="AD44" s="2612"/>
      <c r="AE44" s="2588"/>
      <c r="AF44" s="1226"/>
      <c r="AG44" s="2612"/>
      <c r="AH44" s="2612"/>
      <c r="AI44" s="2612"/>
      <c r="AJ44" s="2588"/>
      <c r="AK44" s="1226"/>
      <c r="AL44" s="2612"/>
      <c r="AM44" s="2612"/>
      <c r="AN44" s="2612"/>
      <c r="AO44" s="2588"/>
      <c r="AP44" s="1226"/>
      <c r="AQ44" s="2612"/>
      <c r="AR44" s="2612"/>
      <c r="AS44" s="2612"/>
      <c r="AT44" s="2588"/>
      <c r="AU44" s="1226"/>
      <c r="AV44" s="2612"/>
      <c r="AW44" s="2612"/>
      <c r="AX44" s="2612"/>
      <c r="AY44" s="2588"/>
      <c r="AZ44" s="1226"/>
      <c r="BA44" s="2612"/>
      <c r="BB44" s="2612"/>
      <c r="BC44" s="2612"/>
      <c r="BD44" s="2588"/>
      <c r="BE44" s="1226"/>
      <c r="BF44" s="2612"/>
      <c r="BG44" s="2612"/>
      <c r="BH44" s="2612"/>
      <c r="BI44" s="2588"/>
      <c r="BJ44" s="1226"/>
      <c r="BK44" s="2612"/>
      <c r="BL44" s="2612"/>
      <c r="BM44" s="2612"/>
      <c r="BN44" s="2588"/>
      <c r="BO44" s="2612"/>
      <c r="BP44" s="2612"/>
      <c r="BQ44" s="2612"/>
      <c r="BR44" s="2612"/>
      <c r="BS44" s="2587"/>
      <c r="BT44" s="2612"/>
      <c r="BU44" s="2612"/>
      <c r="BV44" s="2612"/>
      <c r="BW44" s="2612"/>
      <c r="BX44" s="2588"/>
      <c r="BY44" s="2612"/>
      <c r="BZ44" s="2612"/>
      <c r="CA44" s="2612"/>
      <c r="CB44" s="2612"/>
      <c r="CC44" s="2587"/>
      <c r="CD44" s="576"/>
      <c r="CE44" s="2612"/>
      <c r="CF44" s="2612"/>
      <c r="CG44" s="2612"/>
      <c r="CH44" s="2588"/>
      <c r="CI44" s="2612"/>
      <c r="CJ44" s="2612"/>
      <c r="CK44" s="2612"/>
      <c r="CL44" s="2612"/>
      <c r="CM44" s="2588"/>
      <c r="CN44" s="2612"/>
      <c r="CO44" s="2612"/>
      <c r="CP44" s="2612"/>
      <c r="CQ44" s="2612"/>
      <c r="CR44" s="2588"/>
      <c r="CS44" s="2612"/>
      <c r="CT44" s="2612"/>
      <c r="CU44" s="2612"/>
      <c r="CV44" s="2612"/>
      <c r="CW44" s="2588"/>
      <c r="CX44" s="2612"/>
      <c r="CY44" s="2612"/>
      <c r="CZ44" s="2612"/>
      <c r="DA44" s="2612"/>
      <c r="DB44" s="2588" t="str">
        <f>IFERROR(DB43/CW43-1,"NA")</f>
        <v>NA</v>
      </c>
      <c r="DC44" s="2612"/>
      <c r="DD44" s="2612"/>
      <c r="DE44" s="2612"/>
      <c r="DF44" s="2612" t="str">
        <f t="shared" ref="DF44:EN44" si="144">IFERROR(DF43/DA43-1,"NA")</f>
        <v>NA</v>
      </c>
      <c r="DG44" s="2588">
        <f t="shared" si="144"/>
        <v>0.28852849551035376</v>
      </c>
      <c r="DH44" s="2612">
        <f t="shared" si="144"/>
        <v>0.14738510301109353</v>
      </c>
      <c r="DI44" s="2612">
        <f t="shared" si="144"/>
        <v>0.326829268292683</v>
      </c>
      <c r="DJ44" s="2612">
        <f t="shared" si="144"/>
        <v>0.32352941176470584</v>
      </c>
      <c r="DK44" s="2612">
        <f t="shared" si="144"/>
        <v>0.10333263466778453</v>
      </c>
      <c r="DL44" s="2588">
        <f>DL43/DG43-1</f>
        <v>0.20984142786034266</v>
      </c>
      <c r="DM44" s="2612">
        <f t="shared" si="144"/>
        <v>0.22513812154696122</v>
      </c>
      <c r="DN44" s="2612">
        <f t="shared" si="144"/>
        <v>0.25588235294117645</v>
      </c>
      <c r="DO44" s="2612">
        <f t="shared" si="144"/>
        <v>0.35259259259259257</v>
      </c>
      <c r="DP44" s="2612">
        <f t="shared" si="144"/>
        <v>0.26785714285714279</v>
      </c>
      <c r="DQ44" s="2588">
        <f>DQ43/DL43-1</f>
        <v>0.27606676854355228</v>
      </c>
      <c r="DR44" s="2612">
        <f t="shared" si="144"/>
        <v>0.46426155580608786</v>
      </c>
      <c r="DS44" s="2612">
        <f t="shared" si="144"/>
        <v>0.29254488680718183</v>
      </c>
      <c r="DT44" s="2612">
        <f t="shared" si="144"/>
        <v>0.23293172690763053</v>
      </c>
      <c r="DU44" s="2612">
        <f t="shared" si="144"/>
        <v>0.22280491459394658</v>
      </c>
      <c r="DV44" s="2588">
        <f>DV43/DQ43-1</f>
        <v>0.29114273870388274</v>
      </c>
      <c r="DW44" s="2612">
        <f t="shared" si="144"/>
        <v>4.8814290113951442E-2</v>
      </c>
      <c r="DX44" s="2612">
        <f t="shared" si="144"/>
        <v>-1.0569228446323464E-2</v>
      </c>
      <c r="DY44" s="2612">
        <f t="shared" si="144"/>
        <v>2.0876517619188739E-2</v>
      </c>
      <c r="DZ44" s="2612">
        <f t="shared" si="144"/>
        <v>7.7809092023036319E-2</v>
      </c>
      <c r="EA44" s="2588">
        <f>EA43/DV43-1</f>
        <v>3.6494006849315141E-2</v>
      </c>
      <c r="EB44" s="2612">
        <f t="shared" si="144"/>
        <v>8.8386433710174739E-2</v>
      </c>
      <c r="EC44" s="2612">
        <f t="shared" si="144"/>
        <v>0.24248435830917137</v>
      </c>
      <c r="ED44" s="2612">
        <f t="shared" si="144"/>
        <v>0.20942712110224804</v>
      </c>
      <c r="EE44" s="2612">
        <f t="shared" si="144"/>
        <v>0.22714870395634379</v>
      </c>
      <c r="EF44" s="2588">
        <f>EF43/EA43-1</f>
        <v>0.19387368783341929</v>
      </c>
      <c r="EG44" s="2612">
        <f t="shared" si="144"/>
        <v>0.17887494941319293</v>
      </c>
      <c r="EH44" s="2612">
        <f t="shared" si="144"/>
        <v>0.14369933677229185</v>
      </c>
      <c r="EI44" s="2612">
        <f t="shared" si="144"/>
        <v>0.2778510612783307</v>
      </c>
      <c r="EJ44" s="2612">
        <f t="shared" si="144"/>
        <v>7.772836761163604E-2</v>
      </c>
      <c r="EK44" s="2588">
        <f>EK43/EF43-1</f>
        <v>0.16293819188191883</v>
      </c>
      <c r="EL44" s="2612">
        <f t="shared" si="144"/>
        <v>0.18766449250486317</v>
      </c>
      <c r="EM44" s="2612">
        <f t="shared" si="144"/>
        <v>0.20307130584192445</v>
      </c>
      <c r="EN44" s="2612">
        <f t="shared" si="144"/>
        <v>0.20777027027027017</v>
      </c>
      <c r="EO44" s="2612">
        <f t="shared" ref="EO44" si="145">IFERROR(EO43/EJ43-1,"NA")</f>
        <v>0.20047306759140926</v>
      </c>
      <c r="EP44" s="2588">
        <f>EP43/EK43-1</f>
        <v>0.20022566175733436</v>
      </c>
      <c r="EQ44" s="2612">
        <f t="shared" ref="EQ44" si="146">IFERROR(EQ43/EL43-1,"NA")</f>
        <v>0.1861239267905066</v>
      </c>
      <c r="ER44" s="2612">
        <f t="shared" ref="ER44" si="147">IFERROR(ER43/EM43-1,"NA")</f>
        <v>0.16675165370842304</v>
      </c>
      <c r="ES44" s="2612">
        <f t="shared" ref="ES44" si="148">IFERROR(ES43/EN43-1,"NA")</f>
        <v>0.1531837685361892</v>
      </c>
      <c r="ET44" s="2612">
        <f t="shared" ref="ET44" si="149">IFERROR(ET43/EO43-1,"NA")</f>
        <v>0.14765122095826433</v>
      </c>
      <c r="EU44" s="2588">
        <f>EU43/EP43-1</f>
        <v>0.1617886683495271</v>
      </c>
      <c r="EV44" s="2587">
        <f>EV43/EU43-1</f>
        <v>0.12000000000000011</v>
      </c>
      <c r="EW44" s="2587">
        <f>EW43/EV43-1</f>
        <v>9.9999999999999867E-2</v>
      </c>
      <c r="EX44" s="2587">
        <f>EX43/EW43-1</f>
        <v>9.000000000000008E-2</v>
      </c>
      <c r="EY44" s="2587">
        <f>EY43/EX43-1</f>
        <v>7.4999999999999956E-2</v>
      </c>
      <c r="EZ44" s="181"/>
      <c r="FA44" s="725"/>
      <c r="FB44" s="725"/>
    </row>
    <row r="45" spans="1:166" s="2613" customFormat="1" ht="11.25" hidden="1" customHeight="1" outlineLevel="1">
      <c r="A45" s="5639" t="s">
        <v>874</v>
      </c>
      <c r="B45" s="181"/>
      <c r="C45" s="181"/>
      <c r="D45" s="181"/>
      <c r="E45" s="182"/>
      <c r="F45" s="4242"/>
      <c r="G45" s="181"/>
      <c r="H45" s="181"/>
      <c r="I45" s="181"/>
      <c r="J45" s="181"/>
      <c r="K45" s="991"/>
      <c r="L45" s="181"/>
      <c r="M45" s="181"/>
      <c r="N45" s="181"/>
      <c r="O45" s="181"/>
      <c r="P45" s="4453"/>
      <c r="Q45" s="4454"/>
      <c r="R45" s="4455"/>
      <c r="S45" s="4455"/>
      <c r="T45" s="4455"/>
      <c r="U45" s="4453"/>
      <c r="V45" s="4454"/>
      <c r="W45" s="4455"/>
      <c r="X45" s="4455"/>
      <c r="Y45" s="4455"/>
      <c r="Z45" s="4453"/>
      <c r="AA45" s="4454"/>
      <c r="AB45" s="4455"/>
      <c r="AC45" s="4455"/>
      <c r="AD45" s="4455"/>
      <c r="AE45" s="4453"/>
      <c r="AF45" s="4454"/>
      <c r="AG45" s="4455"/>
      <c r="AH45" s="4455"/>
      <c r="AI45" s="4455"/>
      <c r="AJ45" s="4453"/>
      <c r="AK45" s="4454"/>
      <c r="AL45" s="4455"/>
      <c r="AM45" s="4455"/>
      <c r="AN45" s="4455"/>
      <c r="AO45" s="4453"/>
      <c r="AP45" s="4454"/>
      <c r="AQ45" s="4455"/>
      <c r="AR45" s="4455"/>
      <c r="AS45" s="4455"/>
      <c r="AT45" s="4453"/>
      <c r="AU45" s="4454"/>
      <c r="AV45" s="4455"/>
      <c r="AW45" s="4455"/>
      <c r="AX45" s="4455"/>
      <c r="AY45" s="4453"/>
      <c r="AZ45" s="4454"/>
      <c r="BA45" s="4455"/>
      <c r="BB45" s="4455"/>
      <c r="BC45" s="4455"/>
      <c r="BD45" s="4453"/>
      <c r="BE45" s="4454"/>
      <c r="BF45" s="4455"/>
      <c r="BG45" s="4455"/>
      <c r="BH45" s="4455"/>
      <c r="BI45" s="4453"/>
      <c r="BJ45" s="4454"/>
      <c r="BK45" s="4455"/>
      <c r="BL45" s="4455"/>
      <c r="BM45" s="4455"/>
      <c r="BN45" s="4453"/>
      <c r="BO45" s="4455"/>
      <c r="BP45" s="4455"/>
      <c r="BQ45" s="4455"/>
      <c r="BR45" s="4455"/>
      <c r="BS45" s="4456"/>
      <c r="BT45" s="4455"/>
      <c r="BU45" s="4455"/>
      <c r="BV45" s="4455"/>
      <c r="BW45" s="4455"/>
      <c r="BX45" s="4456"/>
      <c r="BY45" s="4455"/>
      <c r="BZ45" s="4455"/>
      <c r="CA45" s="4455"/>
      <c r="CB45" s="4455"/>
      <c r="CC45" s="4456"/>
      <c r="CD45" s="4457"/>
      <c r="CE45" s="4455"/>
      <c r="CF45" s="4455"/>
      <c r="CG45" s="4455"/>
      <c r="CH45" s="4456"/>
      <c r="CI45" s="4455"/>
      <c r="CJ45" s="4455"/>
      <c r="CK45" s="4455"/>
      <c r="CL45" s="4455"/>
      <c r="CM45" s="4456"/>
      <c r="CN45" s="4455"/>
      <c r="CO45" s="4455"/>
      <c r="CP45" s="4455"/>
      <c r="CQ45" s="4455"/>
      <c r="CR45" s="4456"/>
      <c r="CS45" s="4455"/>
      <c r="CT45" s="4455"/>
      <c r="CU45" s="4455"/>
      <c r="CV45" s="4455"/>
      <c r="CW45" s="4456"/>
      <c r="CX45" s="4455"/>
      <c r="CY45" s="4455"/>
      <c r="CZ45" s="4455"/>
      <c r="DA45" s="4455"/>
      <c r="DB45" s="4456"/>
      <c r="DC45" s="4455"/>
      <c r="DD45" s="4455"/>
      <c r="DE45" s="4455"/>
      <c r="DF45" s="4455"/>
      <c r="DG45" s="4456">
        <f>DG212-DG24-DG31-DG59</f>
        <v>61.124773987925629</v>
      </c>
      <c r="DH45" s="3593">
        <f>DH82/SUM(DH$83:DH$84)*DH$71</f>
        <v>-115.83758880994672</v>
      </c>
      <c r="DI45" s="3593">
        <f>DI82/SUM(DI$83:DI$84)*DI$71</f>
        <v>-128.39013290582821</v>
      </c>
      <c r="DJ45" s="3593">
        <f>DJ82/SUM(DJ$83:DJ$84)*DJ$71</f>
        <v>-54.268489745183345</v>
      </c>
      <c r="DK45" s="3593">
        <f>DK82/SUM(DK$83:DK$84)*DK$71</f>
        <v>-47.915131406618357</v>
      </c>
      <c r="DL45" s="4456">
        <f>SUM(DH45:DK45)</f>
        <v>-346.41134286757659</v>
      </c>
      <c r="DM45" s="3593">
        <f>DM82/SUM(DM$83:DM$84)*DM$71</f>
        <v>-42.42879804759</v>
      </c>
      <c r="DN45" s="3593">
        <f>DN82/SUM(DN$83:DN$84)*DN$71</f>
        <v>-95.203537028264634</v>
      </c>
      <c r="DO45" s="3593">
        <f>DO82/SUM(DO$83:DO$84)*DO$71</f>
        <v>-6.5473629310906851</v>
      </c>
      <c r="DP45" s="3593">
        <f>DP82/SUM(DP$83:DP$84)*DP$71</f>
        <v>34.014990124153499</v>
      </c>
      <c r="DQ45" s="4456">
        <f>SUM(DM45:DP45)</f>
        <v>-110.1647078827918</v>
      </c>
      <c r="DR45" s="3593">
        <f>DR82/SUM(DR$83:DR$84)*DR$71</f>
        <v>129.46842915346312</v>
      </c>
      <c r="DS45" s="3593">
        <f>DS82/SUM(DS$83:DS$84)*DS$71</f>
        <v>202.57072696328711</v>
      </c>
      <c r="DT45" s="3593">
        <f>DT82/SUM(DT$83:DT$84)*DT$71</f>
        <v>64.027345315534731</v>
      </c>
      <c r="DU45" s="3593">
        <f>DU82/SUM(DU$83:DU$84)*DU$71</f>
        <v>-29.729427149357495</v>
      </c>
      <c r="DV45" s="4456">
        <f>SUM(DR45:DU45)</f>
        <v>366.33707428292746</v>
      </c>
      <c r="DW45" s="3593">
        <f>DW82/SUM(DW$83:DW$84)*DW$71</f>
        <v>-201.51726033911405</v>
      </c>
      <c r="DX45" s="3593">
        <f>DX82/SUM(DX$83:DX$84)*DX$71</f>
        <v>-254.28108858891443</v>
      </c>
      <c r="DY45" s="3593">
        <f>DY82/SUM(DY$83:DY$84)*DY$71</f>
        <v>-395.84746135248002</v>
      </c>
      <c r="DZ45" s="3593">
        <f>DZ82/SUM(DZ$83:DZ$84)*DZ$71</f>
        <v>-553.95616941439459</v>
      </c>
      <c r="EA45" s="4456">
        <f>SUM(DW45:DZ45)</f>
        <v>-1405.6019796949031</v>
      </c>
      <c r="EB45" s="3593">
        <f>EB82/SUM(EB$83:EB$84)*EB$71</f>
        <v>-232.1668515450551</v>
      </c>
      <c r="EC45" s="3593">
        <f>EC82/SUM(EC$83:EC$84)*EC$71</f>
        <v>-125.55481995801712</v>
      </c>
      <c r="ED45" s="3593">
        <f>ED82/SUM(ED$83:ED$84)*ED$71</f>
        <v>46.608544838148106</v>
      </c>
      <c r="EE45" s="3593">
        <f>EE82/SUM(EE$83:EE$84)*EE$71</f>
        <v>118.66671344865091</v>
      </c>
      <c r="EF45" s="4456">
        <f>SUM(EB45:EE45)</f>
        <v>-192.44641321627324</v>
      </c>
      <c r="EG45" s="3593">
        <f>EG82/SUM(EG$83:EG$84)*EG$71</f>
        <v>-42.617541139398789</v>
      </c>
      <c r="EH45" s="3593">
        <f>EH82/SUM(EH$83:EH$84)*EH$71</f>
        <v>-139.99767428062887</v>
      </c>
      <c r="EI45" s="3593">
        <f>EI82/SUM(EI$83:EI$84)*EI$71</f>
        <v>-123.3414747959892</v>
      </c>
      <c r="EJ45" s="3593">
        <f>EJ82/SUM(EJ$83:EJ$84)*EJ$71</f>
        <v>-32.09554498224864</v>
      </c>
      <c r="EK45" s="4456">
        <f>SUM(EG45:EJ45)</f>
        <v>-338.05223519826552</v>
      </c>
      <c r="EL45" s="3593">
        <f>EL82/SUM(EL$83:EL$84)*EL$71</f>
        <v>-186.07630356105628</v>
      </c>
      <c r="EM45" s="3593">
        <f>EM82/SUM(EM$83:EM$84)*EM$71</f>
        <v>63.256928052240752</v>
      </c>
      <c r="EN45" s="3593">
        <f>EN82/SUM(EN$83:EN$84)*EN$71</f>
        <v>168.60481953644188</v>
      </c>
      <c r="EO45" s="3593">
        <f t="shared" ref="EO45:ET45" si="150">EO$71*EO46/SUM(EO$11,EO$18,EO$32,EO$60,EO$46)</f>
        <v>121.83319529086447</v>
      </c>
      <c r="EP45" s="4456">
        <f>SUM(EL45:EO45)</f>
        <v>167.61863931849081</v>
      </c>
      <c r="EQ45" s="3593">
        <f t="shared" si="150"/>
        <v>374.93023615866946</v>
      </c>
      <c r="ER45" s="3593">
        <f t="shared" si="150"/>
        <v>75.638776495464271</v>
      </c>
      <c r="ES45" s="3593">
        <f t="shared" si="150"/>
        <v>-87.724898939242578</v>
      </c>
      <c r="ET45" s="3593">
        <f t="shared" si="150"/>
        <v>-32.800941700772675</v>
      </c>
      <c r="EU45" s="4456">
        <f>SUM(EQ45:ET45)</f>
        <v>330.04317201411851</v>
      </c>
      <c r="EV45" s="4456">
        <f>EV$71*EV46/SUM(EV$11,EV$18,EV$32,EV$60,EV$46)</f>
        <v>0</v>
      </c>
      <c r="EW45" s="4456">
        <f>EW$71*EW46/SUM(EW$11,EW$18,EW$32,EW$60,EW$46)</f>
        <v>0</v>
      </c>
      <c r="EX45" s="4456">
        <f>EX$71*EX46/SUM(EX$11,EX$18,EX$32,EX$60,EX$46)</f>
        <v>0</v>
      </c>
      <c r="EY45" s="4456">
        <f>EY$71*EY46/SUM(EY$11,EY$18,EY$32,EY$60,EY$46)</f>
        <v>0</v>
      </c>
      <c r="EZ45" s="181"/>
      <c r="FA45" s="725"/>
      <c r="FB45" s="725"/>
    </row>
    <row r="46" spans="1:166" s="138" customFormat="1" ht="11.25" hidden="1" customHeight="1" outlineLevel="1">
      <c r="A46" s="5640" t="s">
        <v>882</v>
      </c>
      <c r="B46" s="124"/>
      <c r="C46" s="124"/>
      <c r="D46" s="124"/>
      <c r="E46" s="139"/>
      <c r="F46" s="3574"/>
      <c r="G46" s="124"/>
      <c r="H46" s="124"/>
      <c r="I46" s="124"/>
      <c r="J46" s="124"/>
      <c r="K46" s="997"/>
      <c r="L46" s="124"/>
      <c r="M46" s="124"/>
      <c r="N46" s="124"/>
      <c r="O46" s="124"/>
      <c r="P46" s="3967"/>
      <c r="Q46" s="3968"/>
      <c r="R46" s="3593"/>
      <c r="S46" s="3593"/>
      <c r="T46" s="3593"/>
      <c r="U46" s="3967"/>
      <c r="V46" s="3968"/>
      <c r="W46" s="3593"/>
      <c r="X46" s="3593"/>
      <c r="Y46" s="3593"/>
      <c r="Z46" s="3967"/>
      <c r="AA46" s="3968"/>
      <c r="AB46" s="3593"/>
      <c r="AC46" s="3593"/>
      <c r="AD46" s="3593"/>
      <c r="AE46" s="3967"/>
      <c r="AF46" s="3968"/>
      <c r="AG46" s="3593"/>
      <c r="AH46" s="3593"/>
      <c r="AI46" s="3593"/>
      <c r="AJ46" s="3967"/>
      <c r="AK46" s="3968"/>
      <c r="AL46" s="3593"/>
      <c r="AM46" s="3593"/>
      <c r="AN46" s="3593"/>
      <c r="AO46" s="3967"/>
      <c r="AP46" s="3968"/>
      <c r="AQ46" s="3593"/>
      <c r="AR46" s="3593"/>
      <c r="AS46" s="3593"/>
      <c r="AT46" s="3967"/>
      <c r="AU46" s="3968"/>
      <c r="AV46" s="3593"/>
      <c r="AW46" s="3593"/>
      <c r="AX46" s="3593"/>
      <c r="AY46" s="3967"/>
      <c r="AZ46" s="3968"/>
      <c r="BA46" s="3593"/>
      <c r="BB46" s="3593"/>
      <c r="BC46" s="3593"/>
      <c r="BD46" s="3967"/>
      <c r="BE46" s="3968"/>
      <c r="BF46" s="3593"/>
      <c r="BG46" s="3593"/>
      <c r="BH46" s="3593"/>
      <c r="BI46" s="3967"/>
      <c r="BJ46" s="3968"/>
      <c r="BK46" s="3593"/>
      <c r="BL46" s="3593"/>
      <c r="BM46" s="3593"/>
      <c r="BN46" s="3967"/>
      <c r="BO46" s="3593"/>
      <c r="BP46" s="3593"/>
      <c r="BQ46" s="3593"/>
      <c r="BR46" s="3593"/>
      <c r="BS46" s="4526"/>
      <c r="BT46" s="3593"/>
      <c r="BU46" s="3593"/>
      <c r="BV46" s="3593"/>
      <c r="BW46" s="3593"/>
      <c r="BX46" s="4526"/>
      <c r="BY46" s="3593"/>
      <c r="BZ46" s="3593"/>
      <c r="CA46" s="3593"/>
      <c r="CB46" s="3593"/>
      <c r="CC46" s="4526"/>
      <c r="CD46" s="3969"/>
      <c r="CE46" s="3593"/>
      <c r="CF46" s="3593"/>
      <c r="CG46" s="3593"/>
      <c r="CH46" s="4526"/>
      <c r="CI46" s="3593"/>
      <c r="CJ46" s="3593"/>
      <c r="CK46" s="3593"/>
      <c r="CL46" s="3593"/>
      <c r="CM46" s="4526"/>
      <c r="CN46" s="3593"/>
      <c r="CO46" s="3593"/>
      <c r="CP46" s="3593"/>
      <c r="CQ46" s="3593"/>
      <c r="CR46" s="4526"/>
      <c r="CS46" s="3593"/>
      <c r="CT46" s="3593"/>
      <c r="CU46" s="3593"/>
      <c r="CV46" s="3593"/>
      <c r="CW46" s="4526"/>
      <c r="CX46" s="3593"/>
      <c r="CY46" s="3593"/>
      <c r="CZ46" s="3593"/>
      <c r="DA46" s="3593"/>
      <c r="DB46" s="4526"/>
      <c r="DC46" s="3593"/>
      <c r="DD46" s="3593"/>
      <c r="DE46" s="3593"/>
      <c r="DF46" s="3593"/>
      <c r="DG46" s="1954">
        <f t="shared" ref="DG46:DM46" si="151">DG43-DG45</f>
        <v>14001.875226012075</v>
      </c>
      <c r="DH46" s="176">
        <f t="shared" si="151"/>
        <v>3735.8375888099467</v>
      </c>
      <c r="DI46" s="176">
        <f t="shared" si="151"/>
        <v>4208.3901329058281</v>
      </c>
      <c r="DJ46" s="176">
        <f t="shared" si="151"/>
        <v>4104.2684897451836</v>
      </c>
      <c r="DK46" s="176">
        <f t="shared" si="151"/>
        <v>5311.9151314066185</v>
      </c>
      <c r="DL46" s="1954">
        <f>DL43-DL45</f>
        <v>17360.411342867577</v>
      </c>
      <c r="DM46" s="176">
        <f t="shared" si="151"/>
        <v>4477.4287980475901</v>
      </c>
      <c r="DN46" s="176">
        <f t="shared" ref="DN46:DS46" si="152">DN43-DN45</f>
        <v>5219.2035370282647</v>
      </c>
      <c r="DO46" s="176">
        <f t="shared" si="152"/>
        <v>5484.5473629310909</v>
      </c>
      <c r="DP46" s="176">
        <f t="shared" si="152"/>
        <v>6639.9850098758461</v>
      </c>
      <c r="DQ46" s="1954">
        <f t="shared" si="152"/>
        <v>21821.164707882792</v>
      </c>
      <c r="DR46" s="176">
        <f t="shared" si="152"/>
        <v>6364.5315708465369</v>
      </c>
      <c r="DS46" s="176">
        <f t="shared" si="152"/>
        <v>6420.4292730367133</v>
      </c>
      <c r="DT46" s="176">
        <f t="shared" ref="DT46:EA46" si="153">DT43-DT45</f>
        <v>6689.9726546844649</v>
      </c>
      <c r="DU46" s="176">
        <f t="shared" si="153"/>
        <v>8190.7294271493574</v>
      </c>
      <c r="DV46" s="1954">
        <f t="shared" si="153"/>
        <v>27665.662925717072</v>
      </c>
      <c r="DW46" s="176">
        <f t="shared" si="153"/>
        <v>7012.5172603391138</v>
      </c>
      <c r="DX46" s="176">
        <f t="shared" si="153"/>
        <v>6807.2810885889148</v>
      </c>
      <c r="DY46" s="176">
        <f t="shared" si="153"/>
        <v>7290.8474613524804</v>
      </c>
      <c r="DZ46" s="176">
        <f t="shared" si="153"/>
        <v>9349.956169414394</v>
      </c>
      <c r="EA46" s="1954">
        <f t="shared" si="153"/>
        <v>30460.601979694904</v>
      </c>
      <c r="EB46" s="176">
        <f>EB43-EB45</f>
        <v>7645.1668515450547</v>
      </c>
      <c r="EC46" s="176">
        <f>EC43-EC45</f>
        <v>8267.5548199580171</v>
      </c>
      <c r="ED46" s="176">
        <f>ED43-ED45</f>
        <v>8292.3914551618527</v>
      </c>
      <c r="EE46" s="176">
        <f t="shared" ref="EE46" si="154">EE43-EE45</f>
        <v>10675.333286551349</v>
      </c>
      <c r="EF46" s="1954">
        <f>EF43-EF45</f>
        <v>34880.446413216276</v>
      </c>
      <c r="EG46" s="176">
        <f>EG43-EG45</f>
        <v>8781.6175411393997</v>
      </c>
      <c r="EH46" s="176">
        <f>EH43-EH45</f>
        <v>9451.9976742806284</v>
      </c>
      <c r="EI46" s="176">
        <f>EI43-EI45</f>
        <v>10779.341474795989</v>
      </c>
      <c r="EJ46" s="176">
        <f t="shared" ref="EJ46" si="155">EJ43-EJ45</f>
        <v>11665.095544982249</v>
      </c>
      <c r="EK46" s="1954">
        <f>EK43-EK45</f>
        <v>40678.052235198265</v>
      </c>
      <c r="EL46" s="176">
        <f>EL43-EL45</f>
        <v>10565.076303561056</v>
      </c>
      <c r="EM46" s="176">
        <f>EM43-EM45</f>
        <v>11139.74307194776</v>
      </c>
      <c r="EN46" s="176">
        <f>EN43-EN45</f>
        <v>12701.395180463558</v>
      </c>
      <c r="EO46" s="176">
        <f t="shared" ref="EO46" si="156">EJ43*(1+EO47)</f>
        <v>13843.269999999999</v>
      </c>
      <c r="EP46" s="1954">
        <f>EP43-EP45</f>
        <v>48249.484555972376</v>
      </c>
      <c r="EQ46" s="176">
        <f t="shared" ref="EQ46" si="157">EL43*(1+EQ47)</f>
        <v>11935.849999999999</v>
      </c>
      <c r="ER46" s="176">
        <f t="shared" ref="ER46" si="158">EM43*(1+ER47)</f>
        <v>12995.48</v>
      </c>
      <c r="ES46" s="176">
        <f t="shared" ref="ES46" si="159">EN43*(1+ES47)</f>
        <v>14929.199999999999</v>
      </c>
      <c r="ET46" s="176">
        <f t="shared" ref="ET46" si="160">EO43*(1+ET47)</f>
        <v>16059.868674584492</v>
      </c>
      <c r="EU46" s="1954">
        <f>EU43-EU45</f>
        <v>55920.398674584489</v>
      </c>
      <c r="EV46" s="1954">
        <f>EU43*(1+EV47)</f>
        <v>63000.49486819045</v>
      </c>
      <c r="EW46" s="1954">
        <f>EV43*(1+EW47)</f>
        <v>69300.544355009493</v>
      </c>
      <c r="EX46" s="1954">
        <f>EW43*(1+EX47)</f>
        <v>75537.593346960348</v>
      </c>
      <c r="EY46" s="1954">
        <f>EX43*(1+EY47)</f>
        <v>81202.91284798237</v>
      </c>
      <c r="EZ46" s="124"/>
      <c r="FA46" s="738"/>
      <c r="FB46" s="738"/>
    </row>
    <row r="47" spans="1:166" s="2613" customFormat="1" ht="11.25" customHeight="1" collapsed="1">
      <c r="A47" s="5643" t="s">
        <v>635</v>
      </c>
      <c r="B47" s="1098"/>
      <c r="C47" s="1098"/>
      <c r="D47" s="1098"/>
      <c r="E47" s="2289"/>
      <c r="F47" s="4245"/>
      <c r="G47" s="1098"/>
      <c r="H47" s="1098"/>
      <c r="I47" s="1098"/>
      <c r="J47" s="1098"/>
      <c r="K47" s="2872"/>
      <c r="L47" s="1098"/>
      <c r="M47" s="1098"/>
      <c r="N47" s="1098"/>
      <c r="O47" s="1098"/>
      <c r="P47" s="4458"/>
      <c r="Q47" s="4459"/>
      <c r="R47" s="4459"/>
      <c r="S47" s="4459"/>
      <c r="T47" s="4459"/>
      <c r="U47" s="4458"/>
      <c r="V47" s="4459"/>
      <c r="W47" s="4459"/>
      <c r="X47" s="4459"/>
      <c r="Y47" s="4459"/>
      <c r="Z47" s="4458"/>
      <c r="AA47" s="4459"/>
      <c r="AB47" s="4459"/>
      <c r="AC47" s="4459"/>
      <c r="AD47" s="4459"/>
      <c r="AE47" s="4458"/>
      <c r="AF47" s="4459"/>
      <c r="AG47" s="4459"/>
      <c r="AH47" s="4459"/>
      <c r="AI47" s="4459"/>
      <c r="AJ47" s="4458"/>
      <c r="AK47" s="4459"/>
      <c r="AL47" s="4459"/>
      <c r="AM47" s="4459"/>
      <c r="AN47" s="4459"/>
      <c r="AO47" s="4458"/>
      <c r="AP47" s="4459"/>
      <c r="AQ47" s="4459"/>
      <c r="AR47" s="4459"/>
      <c r="AS47" s="4459"/>
      <c r="AT47" s="4458"/>
      <c r="AU47" s="4459"/>
      <c r="AV47" s="4459"/>
      <c r="AW47" s="4459"/>
      <c r="AX47" s="4459"/>
      <c r="AY47" s="4458"/>
      <c r="AZ47" s="4459"/>
      <c r="BA47" s="4459"/>
      <c r="BB47" s="4459"/>
      <c r="BC47" s="4459"/>
      <c r="BD47" s="4458"/>
      <c r="BE47" s="4459"/>
      <c r="BF47" s="4459"/>
      <c r="BG47" s="4459"/>
      <c r="BH47" s="4459"/>
      <c r="BI47" s="4458"/>
      <c r="BJ47" s="4459"/>
      <c r="BK47" s="4459"/>
      <c r="BL47" s="4459"/>
      <c r="BM47" s="4459"/>
      <c r="BN47" s="4458"/>
      <c r="BO47" s="4459"/>
      <c r="BP47" s="4459"/>
      <c r="BQ47" s="4459"/>
      <c r="BR47" s="4459"/>
      <c r="BS47" s="4458"/>
      <c r="BT47" s="4459"/>
      <c r="BU47" s="4459"/>
      <c r="BV47" s="4459"/>
      <c r="BW47" s="4459"/>
      <c r="BX47" s="4458"/>
      <c r="BY47" s="4459"/>
      <c r="BZ47" s="4459"/>
      <c r="CA47" s="4459"/>
      <c r="CB47" s="4459"/>
      <c r="CC47" s="4458"/>
      <c r="CD47" s="4459"/>
      <c r="CE47" s="4459"/>
      <c r="CF47" s="4459"/>
      <c r="CG47" s="4459"/>
      <c r="CH47" s="4458"/>
      <c r="CI47" s="4459"/>
      <c r="CJ47" s="4459"/>
      <c r="CK47" s="4459"/>
      <c r="CL47" s="4459"/>
      <c r="CM47" s="4458"/>
      <c r="CN47" s="4459"/>
      <c r="CO47" s="4459"/>
      <c r="CP47" s="4459"/>
      <c r="CQ47" s="4459"/>
      <c r="CR47" s="4458"/>
      <c r="CS47" s="4459"/>
      <c r="CT47" s="4459"/>
      <c r="CU47" s="4459"/>
      <c r="CV47" s="4459"/>
      <c r="CW47" s="4458"/>
      <c r="CX47" s="4459"/>
      <c r="CY47" s="4459"/>
      <c r="CZ47" s="4459"/>
      <c r="DA47" s="4459"/>
      <c r="DB47" s="4458"/>
      <c r="DC47" s="4459"/>
      <c r="DD47" s="4459"/>
      <c r="DE47" s="4459"/>
      <c r="DF47" s="4459"/>
      <c r="DG47" s="2290">
        <f>DG46/DB43-1</f>
        <v>0.28292791149093599</v>
      </c>
      <c r="DH47" s="2288">
        <f>DH46/DC43-1</f>
        <v>0.1841006620633745</v>
      </c>
      <c r="DI47" s="2288">
        <f>DI46/DD43-1</f>
        <v>0.36858215704254582</v>
      </c>
      <c r="DJ47" s="2288">
        <f>DJ46/DE43-1</f>
        <v>0.34126421233502735</v>
      </c>
      <c r="DK47" s="2288">
        <f>DK46/DF43-1</f>
        <v>0.11337563014181895</v>
      </c>
      <c r="DL47" s="2873">
        <f>(DL43-DL45)/DG43-1</f>
        <v>0.23447424751956025</v>
      </c>
      <c r="DM47" s="2288">
        <f>DM46/DH43-1</f>
        <v>0.23685878399104698</v>
      </c>
      <c r="DN47" s="2288">
        <f>DN46/DI43-1</f>
        <v>0.27921655319320204</v>
      </c>
      <c r="DO47" s="2288">
        <f>DO46/DJ43-1</f>
        <v>0.35420922541508415</v>
      </c>
      <c r="DP47" s="2288">
        <f>DP46/DK43-1</f>
        <v>0.26139532862383086</v>
      </c>
      <c r="DQ47" s="2873">
        <f>(DQ43-DQ45)/DL43-1</f>
        <v>0.28254171317049437</v>
      </c>
      <c r="DR47" s="2288">
        <f>DR46/DM43-1</f>
        <v>0.43506912533180087</v>
      </c>
      <c r="DS47" s="2288">
        <f>DS46/DN43-1</f>
        <v>0.25301117740763335</v>
      </c>
      <c r="DT47" s="2288">
        <f>DT46/DO43-1</f>
        <v>0.22124363904426159</v>
      </c>
      <c r="DU47" s="2288">
        <f>DU46/DP43-1</f>
        <v>0.22725942870083271</v>
      </c>
      <c r="DV47" s="2873">
        <f>(DV43-DV45)/DQ43-1</f>
        <v>0.27426939918553139</v>
      </c>
      <c r="DW47" s="2288">
        <f>DW46/DR43-1</f>
        <v>7.9845589827396646E-2</v>
      </c>
      <c r="DX47" s="2288">
        <f>DX46/DS43-1</f>
        <v>2.782441319476292E-2</v>
      </c>
      <c r="DY47" s="2288">
        <f>DY46/DT43-1</f>
        <v>7.948585450880663E-2</v>
      </c>
      <c r="DZ47" s="2288">
        <f>DZ46/DU43-1</f>
        <v>0.14568755905089992</v>
      </c>
      <c r="EA47" s="2873">
        <f>(EA43-EA45)/DV43-1</f>
        <v>8.6636771535919754E-2</v>
      </c>
      <c r="EB47" s="2288">
        <f>EB46/DW43-1</f>
        <v>0.1224734769556679</v>
      </c>
      <c r="EC47" s="2288">
        <f>EC46/DX43-1</f>
        <v>0.261644257585536</v>
      </c>
      <c r="ED47" s="2288">
        <f>ED46/DY43-1</f>
        <v>0.2026673611547285</v>
      </c>
      <c r="EE47" s="2288">
        <f>EE46/DZ43-1</f>
        <v>0.21365771788896648</v>
      </c>
      <c r="EF47" s="2873">
        <f>(EF43-EF45)/EA43-1</f>
        <v>0.20049720919691194</v>
      </c>
      <c r="EG47" s="2288">
        <f>EG46/EB43-1</f>
        <v>0.18462397695122079</v>
      </c>
      <c r="EH47" s="2288">
        <f>EH46/EC43-1</f>
        <v>0.16089384356185565</v>
      </c>
      <c r="EI47" s="2288">
        <f>EI46/ED43-1</f>
        <v>0.29264198042882694</v>
      </c>
      <c r="EJ47" s="2288">
        <f>EJ46/EE43-1</f>
        <v>8.0701829255350077E-2</v>
      </c>
      <c r="EK47" s="2873">
        <f>(EK43-EK45)/EF43-1</f>
        <v>0.17268370142983924</v>
      </c>
      <c r="EL47" s="2288">
        <f>EL46/EG43-1</f>
        <v>0.20895712364813557</v>
      </c>
      <c r="EM47" s="2288">
        <f>EM46/EH43-1</f>
        <v>0.19627825085349659</v>
      </c>
      <c r="EN47" s="2288">
        <f>EN46/EI43-1</f>
        <v>0.19194774591437302</v>
      </c>
      <c r="EO47" s="2526">
        <v>0.19</v>
      </c>
      <c r="EP47" s="2873">
        <f>(EP43-EP45)/EK43-1</f>
        <v>0.19607051452583968</v>
      </c>
      <c r="EQ47" s="2526">
        <v>0.15</v>
      </c>
      <c r="ER47" s="2526">
        <v>0.16</v>
      </c>
      <c r="ES47" s="2526">
        <v>0.16</v>
      </c>
      <c r="ET47" s="2526">
        <v>0.15</v>
      </c>
      <c r="EU47" s="2873">
        <f>(EU43-EU45)/EP43-1</f>
        <v>0.15497200336478212</v>
      </c>
      <c r="EV47" s="4460">
        <v>0.12</v>
      </c>
      <c r="EW47" s="4460">
        <v>0.1</v>
      </c>
      <c r="EX47" s="4460">
        <v>0.09</v>
      </c>
      <c r="EY47" s="4460">
        <v>7.4999999999999997E-2</v>
      </c>
      <c r="EZ47" s="181"/>
      <c r="FA47" s="725"/>
      <c r="FB47" s="725"/>
    </row>
    <row r="48" spans="1:166" s="194" customFormat="1" ht="11.25" customHeight="1">
      <c r="A48" s="5639" t="s">
        <v>46</v>
      </c>
      <c r="B48" s="2612"/>
      <c r="C48" s="2612"/>
      <c r="D48" s="2612"/>
      <c r="E48" s="2612"/>
      <c r="F48" s="5597"/>
      <c r="G48" s="2612"/>
      <c r="H48" s="2612"/>
      <c r="I48" s="2612"/>
      <c r="J48" s="2612"/>
      <c r="K48" s="1381"/>
      <c r="L48" s="2612"/>
      <c r="M48" s="2612"/>
      <c r="N48" s="2612"/>
      <c r="O48" s="2612"/>
      <c r="P48" s="1021"/>
      <c r="Q48" s="2612"/>
      <c r="R48" s="2612"/>
      <c r="S48" s="2612"/>
      <c r="T48" s="2612"/>
      <c r="U48" s="1021"/>
      <c r="V48" s="2612"/>
      <c r="W48" s="2612"/>
      <c r="X48" s="2612"/>
      <c r="Y48" s="2612"/>
      <c r="Z48" s="1021"/>
      <c r="AA48" s="2612"/>
      <c r="AB48" s="2612"/>
      <c r="AC48" s="2612"/>
      <c r="AD48" s="2612"/>
      <c r="AE48" s="1021"/>
      <c r="AF48" s="2612"/>
      <c r="AG48" s="2612"/>
      <c r="AH48" s="2612"/>
      <c r="AI48" s="2612"/>
      <c r="AJ48" s="1021"/>
      <c r="AK48" s="2612"/>
      <c r="AL48" s="2612"/>
      <c r="AM48" s="2612"/>
      <c r="AN48" s="2612"/>
      <c r="AO48" s="1021"/>
      <c r="AP48" s="2612"/>
      <c r="AQ48" s="2612"/>
      <c r="AR48" s="2612"/>
      <c r="AS48" s="2612"/>
      <c r="AT48" s="1021"/>
      <c r="AU48" s="2612"/>
      <c r="AV48" s="2612"/>
      <c r="AW48" s="2612"/>
      <c r="AX48" s="2612"/>
      <c r="AY48" s="1021"/>
      <c r="AZ48" s="2612"/>
      <c r="BA48" s="2612"/>
      <c r="BB48" s="2612"/>
      <c r="BC48" s="2612"/>
      <c r="BD48" s="1021"/>
      <c r="BE48" s="2612"/>
      <c r="BF48" s="2612"/>
      <c r="BG48" s="2612"/>
      <c r="BH48" s="2612"/>
      <c r="BI48" s="1021"/>
      <c r="BJ48" s="2612"/>
      <c r="BK48" s="2612"/>
      <c r="BL48" s="2612"/>
      <c r="BM48" s="2612"/>
      <c r="BN48" s="1021"/>
      <c r="BO48" s="193"/>
      <c r="BP48" s="193"/>
      <c r="BQ48" s="193"/>
      <c r="BR48" s="193"/>
      <c r="BS48" s="2430"/>
      <c r="BT48" s="2612"/>
      <c r="BU48" s="2612"/>
      <c r="BV48" s="2612"/>
      <c r="BW48" s="2612"/>
      <c r="BX48" s="1021"/>
      <c r="BY48" s="193"/>
      <c r="BZ48" s="193"/>
      <c r="CA48" s="193"/>
      <c r="CB48" s="193"/>
      <c r="CC48" s="2430"/>
      <c r="CD48" s="2612"/>
      <c r="CE48" s="2612"/>
      <c r="CF48" s="2612"/>
      <c r="CG48" s="2612"/>
      <c r="CH48" s="1021"/>
      <c r="CI48" s="2612"/>
      <c r="CJ48" s="2612"/>
      <c r="CK48" s="2612"/>
      <c r="CL48" s="2612"/>
      <c r="CM48" s="1021"/>
      <c r="CN48" s="2612"/>
      <c r="CO48" s="2612"/>
      <c r="CP48" s="2612"/>
      <c r="CQ48" s="2612"/>
      <c r="CR48" s="1021"/>
      <c r="CS48" s="2612"/>
      <c r="CT48" s="2612"/>
      <c r="CU48" s="2612"/>
      <c r="CV48" s="2612"/>
      <c r="CW48" s="1021"/>
      <c r="CX48" s="2612"/>
      <c r="CY48" s="2612"/>
      <c r="CZ48" s="2612"/>
      <c r="DA48" s="2612"/>
      <c r="DB48" s="1021"/>
      <c r="DC48" s="2612"/>
      <c r="DD48" s="2612"/>
      <c r="DE48" s="2612"/>
      <c r="DF48" s="2612"/>
      <c r="DG48" s="1021"/>
      <c r="DH48" s="2612">
        <f>+DH43/DF43-1</f>
        <v>-0.24124921400125765</v>
      </c>
      <c r="DI48" s="2612">
        <f>+DI43/DH43-1</f>
        <v>0.1270718232044199</v>
      </c>
      <c r="DJ48" s="2612">
        <f>+DJ43/DI43-1</f>
        <v>-7.3529411764705621E-3</v>
      </c>
      <c r="DK48" s="2612">
        <f>+DK43/DJ43-1</f>
        <v>0.29975308641975307</v>
      </c>
      <c r="DL48" s="1021"/>
      <c r="DM48" s="2612">
        <f>+DM43/DK43-1</f>
        <v>-0.15748480243161089</v>
      </c>
      <c r="DN48" s="2612">
        <f>+DN43/DM43-1</f>
        <v>0.15535512965050735</v>
      </c>
      <c r="DO48" s="2612">
        <f>+DO43/DN43-1</f>
        <v>6.9086651053864134E-2</v>
      </c>
      <c r="DP48" s="2612">
        <f>+DP43/DO43-1</f>
        <v>0.21832785688207368</v>
      </c>
      <c r="DQ48" s="1021"/>
      <c r="DR48" s="2612">
        <f>+DR43/DP43-1</f>
        <v>-2.6970332634102534E-2</v>
      </c>
      <c r="DS48" s="2612">
        <f>+DS43/DR43-1</f>
        <v>1.986449029873727E-2</v>
      </c>
      <c r="DT48" s="2612">
        <f>+DT43/DS43-1</f>
        <v>1.9779556092405226E-2</v>
      </c>
      <c r="DU48" s="2612">
        <f>+DU43/DT43-1</f>
        <v>0.20832099496594614</v>
      </c>
      <c r="DV48" s="1021"/>
      <c r="DW48" s="2612">
        <f>+DW43/DU43-1</f>
        <v>-0.16542090430094347</v>
      </c>
      <c r="DX48" s="2612">
        <f>+DX43/DW43-1</f>
        <v>-3.7879900161503444E-2</v>
      </c>
      <c r="DY48" s="2612">
        <f>+DY43/DX43-1</f>
        <v>5.2189836716007854E-2</v>
      </c>
      <c r="DZ48" s="2612">
        <f>+DZ43/DY43-1</f>
        <v>0.27570703408266861</v>
      </c>
      <c r="EA48" s="1021"/>
      <c r="EB48" s="2612">
        <f>+EB43/DZ43-1</f>
        <v>-0.15723055934515684</v>
      </c>
      <c r="EC48" s="2612">
        <f>+EC43/EB43-1</f>
        <v>9.834075273168752E-2</v>
      </c>
      <c r="ED48" s="2612">
        <f>+ED43/EC43-1</f>
        <v>2.4195529353967071E-2</v>
      </c>
      <c r="EE48" s="2612">
        <f>+EE43/ED43-1</f>
        <v>0.29439980813047129</v>
      </c>
      <c r="EF48" s="1021"/>
      <c r="EG48" s="2612">
        <f>+EG43/EE43-1</f>
        <v>-0.19038354641467481</v>
      </c>
      <c r="EH48" s="2612">
        <f>+EH43/EG43-1</f>
        <v>6.5568142808101637E-2</v>
      </c>
      <c r="EI48" s="2612">
        <f>+EI43/EH43-1</f>
        <v>0.14432989690721643</v>
      </c>
      <c r="EJ48" s="2612">
        <f>+EJ43/EI43-1</f>
        <v>9.1685435435435503E-2</v>
      </c>
      <c r="EK48" s="1021"/>
      <c r="EL48" s="2612">
        <f>+EL43/EJ43-1</f>
        <v>-0.10779678500816647</v>
      </c>
      <c r="EM48" s="2612">
        <f>+EM43/EL43-1</f>
        <v>7.9391078138548954E-2</v>
      </c>
      <c r="EN48" s="2612">
        <f>+EN43/EM43-1</f>
        <v>0.14879942872444873</v>
      </c>
      <c r="EO48" s="2612">
        <f>+EO43/EN43-1</f>
        <v>8.5089603363703414E-2</v>
      </c>
      <c r="EP48" s="1021"/>
      <c r="EQ48" s="2612">
        <f>+EQ43/EO43-1</f>
        <v>-0.11846120547752526</v>
      </c>
      <c r="ER48" s="2612">
        <f>+ER43/EQ43-1</f>
        <v>6.1762010672854251E-2</v>
      </c>
      <c r="ES48" s="2612">
        <f>+ES43/ER43-1</f>
        <v>0.13544030582514144</v>
      </c>
      <c r="ET48" s="2612">
        <f>+ET43/ES43-1</f>
        <v>7.988374630889794E-2</v>
      </c>
      <c r="EU48" s="1021"/>
      <c r="EV48" s="1021"/>
      <c r="EW48" s="1021"/>
      <c r="EX48" s="1021"/>
      <c r="EY48" s="1021"/>
      <c r="EZ48" s="193"/>
      <c r="FA48" s="725"/>
      <c r="FB48" s="725"/>
    </row>
    <row r="49" spans="1:160" s="77" customFormat="1" ht="11.25" hidden="1" customHeight="1" outlineLevel="1">
      <c r="A49" s="5640" t="s">
        <v>428</v>
      </c>
      <c r="B49" s="127"/>
      <c r="C49" s="127"/>
      <c r="D49" s="127"/>
      <c r="E49" s="127"/>
      <c r="F49" s="5088"/>
      <c r="G49" s="127"/>
      <c r="H49" s="127"/>
      <c r="I49" s="127"/>
      <c r="J49" s="127"/>
      <c r="K49" s="1219"/>
      <c r="L49" s="127"/>
      <c r="M49" s="127"/>
      <c r="N49" s="127"/>
      <c r="O49" s="127"/>
      <c r="P49" s="1001"/>
      <c r="Q49" s="127"/>
      <c r="R49" s="127"/>
      <c r="S49" s="127"/>
      <c r="T49" s="127"/>
      <c r="U49" s="1001"/>
      <c r="V49" s="127"/>
      <c r="W49" s="127"/>
      <c r="X49" s="127"/>
      <c r="Y49" s="127"/>
      <c r="Z49" s="1001"/>
      <c r="AA49" s="127"/>
      <c r="AB49" s="127"/>
      <c r="AC49" s="127"/>
      <c r="AD49" s="127"/>
      <c r="AE49" s="1001"/>
      <c r="AF49" s="127"/>
      <c r="AG49" s="127"/>
      <c r="AH49" s="127"/>
      <c r="AI49" s="127"/>
      <c r="AJ49" s="1001"/>
      <c r="AK49" s="127"/>
      <c r="AL49" s="127"/>
      <c r="AM49" s="127"/>
      <c r="AN49" s="127"/>
      <c r="AO49" s="1001"/>
      <c r="AP49" s="127"/>
      <c r="AQ49" s="127"/>
      <c r="AR49" s="127"/>
      <c r="AS49" s="127"/>
      <c r="AT49" s="1001"/>
      <c r="AU49" s="127"/>
      <c r="AV49" s="127"/>
      <c r="AW49" s="127"/>
      <c r="AX49" s="127"/>
      <c r="AY49" s="1001"/>
      <c r="AZ49" s="127"/>
      <c r="BA49" s="127"/>
      <c r="BB49" s="127"/>
      <c r="BC49" s="127"/>
      <c r="BD49" s="1001"/>
      <c r="BE49" s="127"/>
      <c r="BF49" s="127"/>
      <c r="BG49" s="127"/>
      <c r="BH49" s="127"/>
      <c r="BI49" s="1001"/>
      <c r="BJ49" s="127"/>
      <c r="BK49" s="127"/>
      <c r="BL49" s="127"/>
      <c r="BM49" s="127"/>
      <c r="BN49" s="1001"/>
      <c r="BO49" s="42"/>
      <c r="BP49" s="42"/>
      <c r="BQ49" s="42"/>
      <c r="BR49" s="42"/>
      <c r="BS49" s="597"/>
      <c r="BT49" s="127"/>
      <c r="BU49" s="127"/>
      <c r="BV49" s="127"/>
      <c r="BW49" s="127"/>
      <c r="BX49" s="1001"/>
      <c r="BY49" s="42"/>
      <c r="BZ49" s="42"/>
      <c r="CA49" s="42"/>
      <c r="CB49" s="42"/>
      <c r="CC49" s="597"/>
      <c r="CD49" s="127"/>
      <c r="CE49" s="127"/>
      <c r="CF49" s="127"/>
      <c r="CG49" s="127"/>
      <c r="CH49" s="1001"/>
      <c r="CI49" s="127"/>
      <c r="CJ49" s="127"/>
      <c r="CK49" s="127"/>
      <c r="CL49" s="127"/>
      <c r="CM49" s="1001"/>
      <c r="CN49" s="127"/>
      <c r="CO49" s="127"/>
      <c r="CP49" s="127"/>
      <c r="CQ49" s="127"/>
      <c r="CR49" s="1001"/>
      <c r="CS49" s="127"/>
      <c r="CT49" s="127"/>
      <c r="CU49" s="127"/>
      <c r="CV49" s="127"/>
      <c r="CW49" s="1001"/>
      <c r="CX49" s="127"/>
      <c r="CY49" s="127"/>
      <c r="CZ49" s="127"/>
      <c r="DA49" s="127"/>
      <c r="DB49" s="1001"/>
      <c r="DC49" s="127"/>
      <c r="DD49" s="127"/>
      <c r="DE49" s="127"/>
      <c r="DF49" s="127"/>
      <c r="DG49" s="1001"/>
      <c r="DH49" s="127">
        <f>+DH43/DL43</f>
        <v>0.21276595744680851</v>
      </c>
      <c r="DI49" s="127">
        <f>+DI43/DL43</f>
        <v>0.23980251557540849</v>
      </c>
      <c r="DJ49" s="127">
        <f>+DJ43/DL43</f>
        <v>0.23803926178441284</v>
      </c>
      <c r="DK49" s="127">
        <f>+DK43/DL43</f>
        <v>0.30939226519337015</v>
      </c>
      <c r="DL49" s="1001"/>
      <c r="DM49" s="127">
        <f>+DM43/DQ43</f>
        <v>0.20427433098429368</v>
      </c>
      <c r="DN49" s="127">
        <f>+DN43/DQ43</f>
        <v>0.23600939615862926</v>
      </c>
      <c r="DO49" s="127">
        <f>+DO43/DQ43</f>
        <v>0.25231449495647368</v>
      </c>
      <c r="DP49" s="127">
        <f>+DP43/DQ43</f>
        <v>0.30740177790060336</v>
      </c>
      <c r="DQ49" s="1001"/>
      <c r="DR49" s="127">
        <f>+DR43/DV43</f>
        <v>0.23166381278538814</v>
      </c>
      <c r="DS49" s="127">
        <f>+DS43/DV43</f>
        <v>0.23626569634703196</v>
      </c>
      <c r="DT49" s="127">
        <f>+DT43/DV43</f>
        <v>0.24093892694063926</v>
      </c>
      <c r="DU49" s="127">
        <f>+DU43/DV43</f>
        <v>0.29113156392694062</v>
      </c>
      <c r="DV49" s="1001"/>
      <c r="DW49" s="127">
        <f>+DW43/EA43</f>
        <v>0.23441748408191362</v>
      </c>
      <c r="DX49" s="127">
        <f>+DX43/EA43</f>
        <v>0.22553777318877991</v>
      </c>
      <c r="DY49" s="127">
        <f>+DY43/EA43</f>
        <v>0.23730855274479434</v>
      </c>
      <c r="DZ49" s="127">
        <f>+DZ43/EA43</f>
        <v>0.30273618998451213</v>
      </c>
      <c r="EA49" s="1001"/>
      <c r="EB49" s="127">
        <f>+EB43/EF43</f>
        <v>0.21370502767527674</v>
      </c>
      <c r="EC49" s="127">
        <f>+EC43/EF43</f>
        <v>0.2347209409594096</v>
      </c>
      <c r="ED49" s="127">
        <f>+ED43/EF43</f>
        <v>0.24040013837638377</v>
      </c>
      <c r="EE49" s="127">
        <f>+EE43/EF43</f>
        <v>0.31117389298892989</v>
      </c>
      <c r="EF49" s="1001"/>
      <c r="EG49" s="127">
        <f>+EG43/EK43</f>
        <v>0.21663361427863162</v>
      </c>
      <c r="EH49" s="127">
        <f>+EH43/EK43</f>
        <v>0.23083787803668815</v>
      </c>
      <c r="EI49" s="127">
        <f>+EI43/EK43</f>
        <v>0.26415468517600399</v>
      </c>
      <c r="EJ49" s="127">
        <f>+EJ43/EK43</f>
        <v>0.28837382250867627</v>
      </c>
      <c r="EK49" s="1001"/>
      <c r="EL49" s="127">
        <f>+EL43/EP43</f>
        <v>0.21436639771975205</v>
      </c>
      <c r="EM49" s="127">
        <f>+EM43/EP43</f>
        <v>0.23138517715140017</v>
      </c>
      <c r="EN49" s="127">
        <f>+EN43/EP43</f>
        <v>0.26581515932683392</v>
      </c>
      <c r="EO49" s="127">
        <f>+EO43/EP43</f>
        <v>0.28843326580201384</v>
      </c>
      <c r="EP49" s="1001"/>
      <c r="EQ49" s="127">
        <f>+EQ43/EU43</f>
        <v>0.2188565961798411</v>
      </c>
      <c r="ER49" s="127">
        <f>+ER43/EU43</f>
        <v>0.23237361960892502</v>
      </c>
      <c r="ES49" s="127">
        <f>+ES43/EU43</f>
        <v>0.26384637371445291</v>
      </c>
      <c r="ET49" s="127">
        <f>+ET43/EU43</f>
        <v>0.28492341049678094</v>
      </c>
      <c r="EU49" s="1001"/>
      <c r="EV49" s="597"/>
      <c r="EW49" s="597"/>
      <c r="EX49" s="597"/>
      <c r="EY49" s="597"/>
      <c r="EZ49" s="42"/>
      <c r="FA49" s="725"/>
      <c r="FB49" s="725"/>
    </row>
    <row r="50" spans="1:160" s="168" customFormat="1" ht="11.25" customHeight="1" collapsed="1">
      <c r="A50" s="5638" t="s">
        <v>972</v>
      </c>
      <c r="B50" s="2973"/>
      <c r="C50" s="2973"/>
      <c r="D50" s="2973"/>
      <c r="E50" s="2973"/>
      <c r="F50" s="5612"/>
      <c r="G50" s="2973"/>
      <c r="H50" s="2973"/>
      <c r="I50" s="2973"/>
      <c r="J50" s="2973"/>
      <c r="K50" s="2972"/>
      <c r="L50" s="2973"/>
      <c r="M50" s="2973"/>
      <c r="N50" s="2973"/>
      <c r="O50" s="4415"/>
      <c r="P50" s="2972"/>
      <c r="Q50" s="4413"/>
      <c r="R50" s="2973"/>
      <c r="S50" s="2973"/>
      <c r="T50" s="4415"/>
      <c r="U50" s="2972"/>
      <c r="V50" s="4416"/>
      <c r="W50" s="2973"/>
      <c r="X50" s="2973"/>
      <c r="Y50" s="4415"/>
      <c r="Z50" s="2972"/>
      <c r="AA50" s="4413"/>
      <c r="AB50" s="2973"/>
      <c r="AC50" s="2973"/>
      <c r="AD50" s="4415"/>
      <c r="AE50" s="2972"/>
      <c r="AF50" s="4413"/>
      <c r="AG50" s="2973"/>
      <c r="AH50" s="2973"/>
      <c r="AI50" s="4415"/>
      <c r="AJ50" s="2972"/>
      <c r="AK50" s="4413"/>
      <c r="AL50" s="2973"/>
      <c r="AM50" s="2973"/>
      <c r="AN50" s="4415"/>
      <c r="AO50" s="2972"/>
      <c r="AP50" s="4413"/>
      <c r="AQ50" s="2973"/>
      <c r="AR50" s="2973"/>
      <c r="AS50" s="4415"/>
      <c r="AT50" s="2972"/>
      <c r="AU50" s="4413"/>
      <c r="AV50" s="2973"/>
      <c r="AW50" s="2973"/>
      <c r="AX50" s="4415"/>
      <c r="AY50" s="2972"/>
      <c r="AZ50" s="4413"/>
      <c r="BA50" s="2973"/>
      <c r="BB50" s="2973"/>
      <c r="BC50" s="4415"/>
      <c r="BD50" s="2972"/>
      <c r="BE50" s="4413"/>
      <c r="BF50" s="2973"/>
      <c r="BG50" s="2973"/>
      <c r="BH50" s="4415"/>
      <c r="BI50" s="2972"/>
      <c r="BJ50" s="4413"/>
      <c r="BK50" s="2973"/>
      <c r="BL50" s="2973"/>
      <c r="BM50" s="2973"/>
      <c r="BN50" s="2972"/>
      <c r="BO50" s="2973"/>
      <c r="BP50" s="2973"/>
      <c r="BQ50" s="2973"/>
      <c r="BR50" s="2973"/>
      <c r="BS50" s="2972"/>
      <c r="BT50" s="2973"/>
      <c r="BU50" s="2973"/>
      <c r="BV50" s="2973"/>
      <c r="BW50" s="2973"/>
      <c r="BX50" s="2972"/>
      <c r="BY50" s="2973"/>
      <c r="BZ50" s="2973"/>
      <c r="CA50" s="2973"/>
      <c r="CB50" s="2973"/>
      <c r="CC50" s="2972"/>
      <c r="CD50" s="4417"/>
      <c r="CE50" s="2973"/>
      <c r="CF50" s="2973"/>
      <c r="CG50" s="2973"/>
      <c r="CH50" s="2972"/>
      <c r="CI50" s="3095"/>
      <c r="CJ50" s="2973"/>
      <c r="CK50" s="2973"/>
      <c r="CL50" s="2973"/>
      <c r="CM50" s="2972"/>
      <c r="CN50" s="2973"/>
      <c r="CO50" s="2973"/>
      <c r="CP50" s="2973"/>
      <c r="CQ50" s="2973"/>
      <c r="CR50" s="2972"/>
      <c r="CS50" s="2973"/>
      <c r="CT50" s="2973"/>
      <c r="CU50" s="2973"/>
      <c r="CV50" s="2973"/>
      <c r="CW50" s="2972"/>
      <c r="CX50" s="2973"/>
      <c r="CY50" s="2973"/>
      <c r="CZ50" s="2973"/>
      <c r="DA50" s="2973"/>
      <c r="DB50" s="2972">
        <f t="shared" ref="DB50:DG50" si="161">DB36+DB43</f>
        <v>106491</v>
      </c>
      <c r="DC50" s="2973">
        <f t="shared" si="161"/>
        <v>29797</v>
      </c>
      <c r="DD50" s="2973">
        <f t="shared" si="161"/>
        <v>31162</v>
      </c>
      <c r="DE50" s="2973">
        <f t="shared" si="161"/>
        <v>32014</v>
      </c>
      <c r="DF50" s="2973">
        <f t="shared" si="161"/>
        <v>37289</v>
      </c>
      <c r="DG50" s="2972">
        <f t="shared" si="161"/>
        <v>130524</v>
      </c>
      <c r="DH50" s="2973">
        <f t="shared" ref="DH50:DV50" si="162">DH36+DH43</f>
        <v>34207</v>
      </c>
      <c r="DI50" s="2973">
        <f t="shared" si="162"/>
        <v>36574</v>
      </c>
      <c r="DJ50" s="2973">
        <f t="shared" si="162"/>
        <v>37846</v>
      </c>
      <c r="DK50" s="2973">
        <f t="shared" si="162"/>
        <v>43198</v>
      </c>
      <c r="DL50" s="5262">
        <f t="shared" si="162"/>
        <v>151825</v>
      </c>
      <c r="DM50" s="5263">
        <f t="shared" si="162"/>
        <v>38198</v>
      </c>
      <c r="DN50" s="5263">
        <f t="shared" si="162"/>
        <v>34991</v>
      </c>
      <c r="DO50" s="5263">
        <f t="shared" si="162"/>
        <v>42573</v>
      </c>
      <c r="DP50" s="5263">
        <f t="shared" si="162"/>
        <v>52873</v>
      </c>
      <c r="DQ50" s="5262">
        <f t="shared" si="162"/>
        <v>168635</v>
      </c>
      <c r="DR50" s="5263">
        <f t="shared" si="162"/>
        <v>51178</v>
      </c>
      <c r="DS50" s="5263">
        <f t="shared" si="162"/>
        <v>57067</v>
      </c>
      <c r="DT50" s="5263">
        <f t="shared" si="162"/>
        <v>59884</v>
      </c>
      <c r="DU50" s="5263">
        <f t="shared" si="162"/>
        <v>69400</v>
      </c>
      <c r="DV50" s="5262">
        <f t="shared" si="162"/>
        <v>237529</v>
      </c>
      <c r="DW50" s="5263">
        <f t="shared" ref="DW50:EF50" si="163">DW36+DW43</f>
        <v>61472</v>
      </c>
      <c r="DX50" s="5263">
        <f t="shared" si="163"/>
        <v>62841</v>
      </c>
      <c r="DY50" s="5263">
        <f t="shared" si="163"/>
        <v>61377</v>
      </c>
      <c r="DZ50" s="5263">
        <f t="shared" si="163"/>
        <v>67838</v>
      </c>
      <c r="EA50" s="2972">
        <f t="shared" si="163"/>
        <v>253528</v>
      </c>
      <c r="EB50" s="5263">
        <f>EB36+EB43</f>
        <v>61961</v>
      </c>
      <c r="EC50" s="5263">
        <f>EC36+EC43</f>
        <v>66285</v>
      </c>
      <c r="ED50" s="5263">
        <f>ED36+ED43</f>
        <v>67986</v>
      </c>
      <c r="EE50" s="5263">
        <f t="shared" ref="EE50" si="164">EE36+EE43</f>
        <v>76311</v>
      </c>
      <c r="EF50" s="2972">
        <f t="shared" si="163"/>
        <v>272543</v>
      </c>
      <c r="EG50" s="5263">
        <f>EG36+EG43</f>
        <v>70398</v>
      </c>
      <c r="EH50" s="5263">
        <f>EH36+EH43</f>
        <v>73928</v>
      </c>
      <c r="EI50" s="5263">
        <f>EI36+EI43</f>
        <v>76510</v>
      </c>
      <c r="EJ50" s="5263">
        <f t="shared" ref="EJ50" si="165">EJ36+EJ43</f>
        <v>84094</v>
      </c>
      <c r="EK50" s="2972">
        <f t="shared" ref="EK50:EW50" si="166">EK36+EK43</f>
        <v>304930</v>
      </c>
      <c r="EL50" s="5263">
        <f>EL36+EL43</f>
        <v>77264</v>
      </c>
      <c r="EM50" s="5263">
        <f>EM36+EM43</f>
        <v>82543</v>
      </c>
      <c r="EN50" s="5263">
        <f>EN36+EN43</f>
        <v>87052</v>
      </c>
      <c r="EO50" s="2973">
        <f t="shared" ref="EO50:EP50" si="167">EO36+EO43</f>
        <v>95555.366202239675</v>
      </c>
      <c r="EP50" s="2972">
        <f t="shared" si="167"/>
        <v>342414.36620223965</v>
      </c>
      <c r="EQ50" s="2973">
        <f t="shared" ref="EQ50:EU50" si="168">EQ36+EQ43</f>
        <v>88880.896874787693</v>
      </c>
      <c r="ER50" s="2973">
        <f t="shared" si="168"/>
        <v>92871.007608047861</v>
      </c>
      <c r="ES50" s="2973">
        <f t="shared" si="168"/>
        <v>96617.613211321688</v>
      </c>
      <c r="ET50" s="2973">
        <f t="shared" si="168"/>
        <v>106063.6653918759</v>
      </c>
      <c r="EU50" s="2972">
        <f t="shared" si="168"/>
        <v>384433.1830860331</v>
      </c>
      <c r="EV50" s="2972">
        <f t="shared" si="166"/>
        <v>421240.41935221193</v>
      </c>
      <c r="EW50" s="2972">
        <f t="shared" si="166"/>
        <v>457540.79143547313</v>
      </c>
      <c r="EX50" s="2972">
        <f t="shared" ref="EX50:EY50" si="169">EX36+EX43</f>
        <v>493095.40909181454</v>
      </c>
      <c r="EY50" s="2972">
        <f t="shared" si="169"/>
        <v>528676.60277234321</v>
      </c>
      <c r="EZ50" s="167"/>
      <c r="FA50" s="1319">
        <f>(EV50/EK50)^(1/3)-1</f>
        <v>0.11372156133305156</v>
      </c>
      <c r="FB50" s="1319">
        <f>(EX50/EK50)^(1/5)-1</f>
        <v>0.10089566363995139</v>
      </c>
    </row>
    <row r="51" spans="1:160" s="2613" customFormat="1" ht="11.25" customHeight="1">
      <c r="A51" s="5639" t="s">
        <v>45</v>
      </c>
      <c r="B51" s="181"/>
      <c r="C51" s="181"/>
      <c r="D51" s="181"/>
      <c r="E51" s="182"/>
      <c r="F51" s="4242"/>
      <c r="G51" s="181"/>
      <c r="H51" s="181"/>
      <c r="I51" s="181"/>
      <c r="J51" s="181"/>
      <c r="K51" s="991"/>
      <c r="L51" s="181"/>
      <c r="M51" s="181"/>
      <c r="N51" s="181"/>
      <c r="O51" s="181"/>
      <c r="P51" s="991"/>
      <c r="Q51" s="1224"/>
      <c r="R51" s="181"/>
      <c r="S51" s="181"/>
      <c r="T51" s="181"/>
      <c r="U51" s="991"/>
      <c r="V51" s="1226"/>
      <c r="W51" s="2612"/>
      <c r="X51" s="2612"/>
      <c r="Y51" s="2612"/>
      <c r="Z51" s="991"/>
      <c r="AA51" s="1226"/>
      <c r="AB51" s="181"/>
      <c r="AC51" s="181"/>
      <c r="AD51" s="181"/>
      <c r="AE51" s="991"/>
      <c r="AF51" s="1226"/>
      <c r="AG51" s="181"/>
      <c r="AH51" s="181"/>
      <c r="AI51" s="181"/>
      <c r="AJ51" s="991"/>
      <c r="AK51" s="1224"/>
      <c r="AL51" s="181"/>
      <c r="AM51" s="181"/>
      <c r="AN51" s="190"/>
      <c r="AO51" s="991"/>
      <c r="AP51" s="1224"/>
      <c r="AQ51" s="181"/>
      <c r="AR51" s="181"/>
      <c r="AS51" s="190"/>
      <c r="AT51" s="991"/>
      <c r="AU51" s="1224"/>
      <c r="AV51" s="181"/>
      <c r="AW51" s="181"/>
      <c r="AX51" s="190"/>
      <c r="AY51" s="991"/>
      <c r="AZ51" s="1224"/>
      <c r="BA51" s="181"/>
      <c r="BB51" s="181"/>
      <c r="BC51" s="190"/>
      <c r="BD51" s="991"/>
      <c r="BE51" s="1224"/>
      <c r="BF51" s="181"/>
      <c r="BG51" s="181"/>
      <c r="BH51" s="190"/>
      <c r="BI51" s="991"/>
      <c r="BJ51" s="1224"/>
      <c r="BK51" s="181"/>
      <c r="BL51" s="181"/>
      <c r="BM51" s="181"/>
      <c r="BN51" s="991"/>
      <c r="BO51" s="181"/>
      <c r="BP51" s="181"/>
      <c r="BQ51" s="181"/>
      <c r="BR51" s="181"/>
      <c r="BS51" s="599"/>
      <c r="BT51" s="181"/>
      <c r="BU51" s="181"/>
      <c r="BV51" s="181"/>
      <c r="BW51" s="181"/>
      <c r="BX51" s="991"/>
      <c r="BY51" s="181"/>
      <c r="BZ51" s="181"/>
      <c r="CA51" s="181"/>
      <c r="CB51" s="181"/>
      <c r="CC51" s="599"/>
      <c r="CD51" s="578"/>
      <c r="CE51" s="181"/>
      <c r="CF51" s="181"/>
      <c r="CG51" s="181"/>
      <c r="CH51" s="991"/>
      <c r="CI51" s="551"/>
      <c r="CJ51" s="181"/>
      <c r="CK51" s="181"/>
      <c r="CL51" s="181"/>
      <c r="CM51" s="991"/>
      <c r="CN51" s="181"/>
      <c r="CO51" s="181"/>
      <c r="CP51" s="181"/>
      <c r="CQ51" s="181"/>
      <c r="CR51" s="991"/>
      <c r="CS51" s="181"/>
      <c r="CT51" s="181"/>
      <c r="CU51" s="181"/>
      <c r="CV51" s="181"/>
      <c r="CW51" s="991"/>
      <c r="CX51" s="181"/>
      <c r="CY51" s="181"/>
      <c r="CZ51" s="181"/>
      <c r="DA51" s="181"/>
      <c r="DB51" s="4894" t="s">
        <v>116</v>
      </c>
      <c r="DC51" s="2628" t="s">
        <v>116</v>
      </c>
      <c r="DD51" s="2628" t="s">
        <v>116</v>
      </c>
      <c r="DE51" s="2628" t="s">
        <v>116</v>
      </c>
      <c r="DF51" s="2628" t="s">
        <v>116</v>
      </c>
      <c r="DG51" s="991">
        <f>+DG50/DB50-1</f>
        <v>0.22568104346846218</v>
      </c>
      <c r="DH51" s="2628" t="s">
        <v>116</v>
      </c>
      <c r="DI51" s="2628" t="s">
        <v>116</v>
      </c>
      <c r="DJ51" s="2628" t="s">
        <v>116</v>
      </c>
      <c r="DK51" s="2628" t="s">
        <v>116</v>
      </c>
      <c r="DL51" s="991">
        <f t="shared" ref="DL51:EN51" si="170">+DL50/DG50-1</f>
        <v>0.16319604057491333</v>
      </c>
      <c r="DM51" s="181">
        <f t="shared" si="170"/>
        <v>0.11667202619346928</v>
      </c>
      <c r="DN51" s="181">
        <f t="shared" si="170"/>
        <v>-4.3282112976431364E-2</v>
      </c>
      <c r="DO51" s="181">
        <f t="shared" si="170"/>
        <v>0.12490091423135863</v>
      </c>
      <c r="DP51" s="181">
        <f t="shared" si="170"/>
        <v>0.22396870225473409</v>
      </c>
      <c r="DQ51" s="991">
        <f t="shared" si="170"/>
        <v>0.11071957846204517</v>
      </c>
      <c r="DR51" s="181">
        <f t="shared" si="170"/>
        <v>0.33980836693020566</v>
      </c>
      <c r="DS51" s="181">
        <f t="shared" si="170"/>
        <v>0.63090508988025484</v>
      </c>
      <c r="DT51" s="181">
        <f t="shared" si="170"/>
        <v>0.40661921875367013</v>
      </c>
      <c r="DU51" s="181">
        <f t="shared" si="170"/>
        <v>0.31257919921320898</v>
      </c>
      <c r="DV51" s="991">
        <f t="shared" si="170"/>
        <v>0.40853915260770313</v>
      </c>
      <c r="DW51" s="181">
        <f t="shared" si="170"/>
        <v>0.20114111532299028</v>
      </c>
      <c r="DX51" s="181">
        <f t="shared" si="170"/>
        <v>0.10117931554138115</v>
      </c>
      <c r="DY51" s="181">
        <f t="shared" si="170"/>
        <v>2.4931534299645897E-2</v>
      </c>
      <c r="DZ51" s="181">
        <f t="shared" si="170"/>
        <v>-2.2507204610951015E-2</v>
      </c>
      <c r="EA51" s="991">
        <f t="shared" ref="EA51:EF51" si="171">+EA50/DV50-1</f>
        <v>6.7355986005919188E-2</v>
      </c>
      <c r="EB51" s="181">
        <f t="shared" si="170"/>
        <v>7.9548412285268544E-3</v>
      </c>
      <c r="EC51" s="181">
        <f t="shared" si="170"/>
        <v>5.4804984007256419E-2</v>
      </c>
      <c r="ED51" s="181">
        <f t="shared" si="170"/>
        <v>0.1076787721785033</v>
      </c>
      <c r="EE51" s="181">
        <f t="shared" si="170"/>
        <v>0.12490049824582083</v>
      </c>
      <c r="EF51" s="991">
        <f t="shared" si="171"/>
        <v>7.5001577735003711E-2</v>
      </c>
      <c r="EG51" s="181">
        <f t="shared" si="170"/>
        <v>0.13616629815529113</v>
      </c>
      <c r="EH51" s="181">
        <f t="shared" si="170"/>
        <v>0.11530512182243347</v>
      </c>
      <c r="EI51" s="181">
        <f t="shared" si="170"/>
        <v>0.12537875444944557</v>
      </c>
      <c r="EJ51" s="181">
        <f t="shared" si="170"/>
        <v>0.10199053871656782</v>
      </c>
      <c r="EK51" s="991">
        <f>+EK50/EF50-1</f>
        <v>0.11883262457667221</v>
      </c>
      <c r="EL51" s="181">
        <f t="shared" si="170"/>
        <v>9.7531179863064255E-2</v>
      </c>
      <c r="EM51" s="181">
        <f t="shared" si="170"/>
        <v>0.11653230169895035</v>
      </c>
      <c r="EN51" s="181">
        <f t="shared" si="170"/>
        <v>0.13778591033851795</v>
      </c>
      <c r="EO51" s="181">
        <f t="shared" ref="EO51" si="172">+EO50/EJ50-1</f>
        <v>0.13629231814683185</v>
      </c>
      <c r="EP51" s="991">
        <f>+EP50/EK50-1</f>
        <v>0.12292777425061363</v>
      </c>
      <c r="EQ51" s="181">
        <f t="shared" ref="EQ51" si="173">+EQ50/EL50-1</f>
        <v>0.15035329357511507</v>
      </c>
      <c r="ER51" s="181">
        <f t="shared" ref="ER51" si="174">+ER50/EM50-1</f>
        <v>0.12512275550982954</v>
      </c>
      <c r="ES51" s="181">
        <f t="shared" ref="ES51" si="175">+ES50/EN50-1</f>
        <v>0.10988389940864862</v>
      </c>
      <c r="ET51" s="181">
        <f t="shared" ref="ET51" si="176">+ET50/EO50-1</f>
        <v>0.10997079083340822</v>
      </c>
      <c r="EU51" s="991">
        <f>+EU50/EP50-1</f>
        <v>0.12271335852472953</v>
      </c>
      <c r="EV51" s="991">
        <f>+EV50/EU50-1</f>
        <v>9.5744170601271161E-2</v>
      </c>
      <c r="EW51" s="991">
        <f>+EW50/EV50-1</f>
        <v>8.6174950018054641E-2</v>
      </c>
      <c r="EX51" s="991">
        <f>+EX50/EW50-1</f>
        <v>7.7708082693115799E-2</v>
      </c>
      <c r="EY51" s="991">
        <f>+EY50/EX50-1</f>
        <v>7.2158841928912532E-2</v>
      </c>
      <c r="EZ51" s="2612"/>
      <c r="FA51" s="1101"/>
      <c r="FB51" s="1101"/>
    </row>
    <row r="52" spans="1:160" s="138" customFormat="1" ht="11.25" hidden="1" customHeight="1" outlineLevel="1">
      <c r="A52" s="5640" t="s">
        <v>874</v>
      </c>
      <c r="B52" s="124"/>
      <c r="C52" s="124"/>
      <c r="D52" s="124"/>
      <c r="E52" s="139"/>
      <c r="F52" s="3574"/>
      <c r="G52" s="124"/>
      <c r="H52" s="124"/>
      <c r="I52" s="124"/>
      <c r="J52" s="124"/>
      <c r="K52" s="997"/>
      <c r="L52" s="124"/>
      <c r="M52" s="124"/>
      <c r="N52" s="124"/>
      <c r="O52" s="124"/>
      <c r="P52" s="3967"/>
      <c r="Q52" s="3968"/>
      <c r="R52" s="3593"/>
      <c r="S52" s="3593"/>
      <c r="T52" s="3593"/>
      <c r="U52" s="3967"/>
      <c r="V52" s="3968"/>
      <c r="W52" s="3593"/>
      <c r="X52" s="3593"/>
      <c r="Y52" s="3593"/>
      <c r="Z52" s="3967"/>
      <c r="AA52" s="3968"/>
      <c r="AB52" s="3593"/>
      <c r="AC52" s="3593"/>
      <c r="AD52" s="3593"/>
      <c r="AE52" s="3967"/>
      <c r="AF52" s="3968"/>
      <c r="AG52" s="3593"/>
      <c r="AH52" s="3593"/>
      <c r="AI52" s="3593"/>
      <c r="AJ52" s="3967"/>
      <c r="AK52" s="3968"/>
      <c r="AL52" s="3593"/>
      <c r="AM52" s="3593"/>
      <c r="AN52" s="3593"/>
      <c r="AO52" s="3967"/>
      <c r="AP52" s="3968"/>
      <c r="AQ52" s="3593"/>
      <c r="AR52" s="3593"/>
      <c r="AS52" s="3593"/>
      <c r="AT52" s="3967"/>
      <c r="AU52" s="3968"/>
      <c r="AV52" s="3593"/>
      <c r="AW52" s="3593"/>
      <c r="AX52" s="3593"/>
      <c r="AY52" s="3967"/>
      <c r="AZ52" s="3968"/>
      <c r="BA52" s="3593"/>
      <c r="BB52" s="3593"/>
      <c r="BC52" s="3593"/>
      <c r="BD52" s="3967"/>
      <c r="BE52" s="3968"/>
      <c r="BF52" s="3593"/>
      <c r="BG52" s="3593"/>
      <c r="BH52" s="3593"/>
      <c r="BI52" s="3967"/>
      <c r="BJ52" s="3968"/>
      <c r="BK52" s="3593"/>
      <c r="BL52" s="3593"/>
      <c r="BM52" s="3593"/>
      <c r="BN52" s="3967"/>
      <c r="BO52" s="3593"/>
      <c r="BP52" s="3593"/>
      <c r="BQ52" s="3593"/>
      <c r="BR52" s="3593"/>
      <c r="BS52" s="4526"/>
      <c r="BT52" s="3593"/>
      <c r="BU52" s="3593"/>
      <c r="BV52" s="3593"/>
      <c r="BW52" s="3593"/>
      <c r="BX52" s="4526"/>
      <c r="BY52" s="3593"/>
      <c r="BZ52" s="3593"/>
      <c r="CA52" s="3593"/>
      <c r="CB52" s="3593"/>
      <c r="CC52" s="4526"/>
      <c r="CD52" s="3969"/>
      <c r="CE52" s="3593"/>
      <c r="CF52" s="3593"/>
      <c r="CG52" s="3593"/>
      <c r="CH52" s="4526"/>
      <c r="CI52" s="3593"/>
      <c r="CJ52" s="3593"/>
      <c r="CK52" s="3593"/>
      <c r="CL52" s="3593"/>
      <c r="CM52" s="4526"/>
      <c r="CN52" s="3593"/>
      <c r="CO52" s="3593"/>
      <c r="CP52" s="3593"/>
      <c r="CQ52" s="3593"/>
      <c r="CR52" s="4526"/>
      <c r="CS52" s="3593"/>
      <c r="CT52" s="3593"/>
      <c r="CU52" s="3593"/>
      <c r="CV52" s="3593"/>
      <c r="CW52" s="4526"/>
      <c r="CX52" s="3593"/>
      <c r="CY52" s="3593"/>
      <c r="CZ52" s="3593"/>
      <c r="DA52" s="3593"/>
      <c r="DB52" s="4526"/>
      <c r="DC52" s="3593"/>
      <c r="DD52" s="3593"/>
      <c r="DE52" s="3593"/>
      <c r="DF52" s="3593"/>
      <c r="DG52" s="4526">
        <f>SUM(DG38,DG45)</f>
        <v>926.61441573963407</v>
      </c>
      <c r="DH52" s="3593">
        <f>SUM(DH38,DH45)</f>
        <v>-1094.6012155861458</v>
      </c>
      <c r="DI52" s="3593">
        <f t="shared" ref="DI52:DQ52" si="177">SUM(DI38,DI45)</f>
        <v>-1150.9168433572945</v>
      </c>
      <c r="DJ52" s="3593">
        <f t="shared" si="177"/>
        <v>-507.12228713486633</v>
      </c>
      <c r="DK52" s="3593">
        <f t="shared" si="177"/>
        <v>-393.20627783113599</v>
      </c>
      <c r="DL52" s="4526">
        <f t="shared" si="177"/>
        <v>-3145.8466239094423</v>
      </c>
      <c r="DM52" s="3593">
        <f t="shared" si="177"/>
        <v>-365.43297132397805</v>
      </c>
      <c r="DN52" s="3593">
        <f t="shared" si="177"/>
        <v>-650.13016474551296</v>
      </c>
      <c r="DO52" s="3593">
        <f t="shared" si="177"/>
        <v>-50.883695156137961</v>
      </c>
      <c r="DP52" s="3593">
        <f t="shared" si="177"/>
        <v>269.47476368510155</v>
      </c>
      <c r="DQ52" s="4526">
        <f t="shared" si="177"/>
        <v>-796.97206754052729</v>
      </c>
      <c r="DR52" s="3593">
        <f t="shared" ref="DR52:EV52" si="178">SUM(DR38,DR45)</f>
        <v>1020.3164870982346</v>
      </c>
      <c r="DS52" s="3593">
        <f t="shared" si="178"/>
        <v>1745.4482372963773</v>
      </c>
      <c r="DT52" s="3593">
        <f t="shared" si="178"/>
        <v>567.69522458920369</v>
      </c>
      <c r="DU52" s="3593">
        <f t="shared" si="178"/>
        <v>-252.8148810397513</v>
      </c>
      <c r="DV52" s="4526">
        <f t="shared" si="178"/>
        <v>3080.6450679440641</v>
      </c>
      <c r="DW52" s="3593">
        <f t="shared" si="178"/>
        <v>-1818.7738992168577</v>
      </c>
      <c r="DX52" s="3593">
        <f t="shared" si="178"/>
        <v>-2438.4675550154084</v>
      </c>
      <c r="DY52" s="3593">
        <f t="shared" si="178"/>
        <v>-3523.7026302293211</v>
      </c>
      <c r="DZ52" s="3593">
        <f t="shared" si="178"/>
        <v>-4272.3145316886885</v>
      </c>
      <c r="EA52" s="4526">
        <f t="shared" si="178"/>
        <v>-12053.258616150277</v>
      </c>
      <c r="EB52" s="3593">
        <f>SUM(EB38,EB45)</f>
        <v>-1940.5490744075487</v>
      </c>
      <c r="EC52" s="3593">
        <f>SUM(EC38,EC45)</f>
        <v>-1022.1568706604229</v>
      </c>
      <c r="ED52" s="3593">
        <f>SUM(ED38,ED45)</f>
        <v>379.98903098289213</v>
      </c>
      <c r="EE52" s="3593">
        <f t="shared" ref="EE52" si="179">SUM(EE38,EE45)</f>
        <v>838.94530016490648</v>
      </c>
      <c r="EF52" s="4526">
        <f t="shared" si="178"/>
        <v>-1743.771613920173</v>
      </c>
      <c r="EG52" s="3593">
        <f>SUM(EG38,EG45)</f>
        <v>-343.31040864302503</v>
      </c>
      <c r="EH52" s="3593">
        <f>SUM(EH38,EH45)</f>
        <v>-1111.442017205577</v>
      </c>
      <c r="EI52" s="3593">
        <f>SUM(EI38,EI45)</f>
        <v>-885.59086304815446</v>
      </c>
      <c r="EJ52" s="3593">
        <f t="shared" ref="EJ52" si="180">SUM(EJ38,EJ45)</f>
        <v>-232.01605430561483</v>
      </c>
      <c r="EK52" s="4526">
        <f>SUM(EK38,EK45)</f>
        <v>-2572.3593432023713</v>
      </c>
      <c r="EL52" s="3593">
        <f>SUM(EL38,EL45)</f>
        <v>-1385.2008399982128</v>
      </c>
      <c r="EM52" s="3593">
        <f>SUM(EM38,EM45)</f>
        <v>466.07307080390154</v>
      </c>
      <c r="EN52" s="3593">
        <f>SUM(EN38,EN45)</f>
        <v>1140.4340909313394</v>
      </c>
      <c r="EO52" s="3593">
        <f t="shared" ref="EO52" si="181">SUM(EO38,EO45)</f>
        <v>833.63620223968314</v>
      </c>
      <c r="EP52" s="4526">
        <f>SUM(EP38,EP45)</f>
        <v>1054.9425239767108</v>
      </c>
      <c r="EQ52" s="3593">
        <f t="shared" ref="EQ52:ET52" si="182">SUM(EQ38,EQ45)</f>
        <v>2706.9068747877045</v>
      </c>
      <c r="ER52" s="3593">
        <f t="shared" si="182"/>
        <v>537.41760804786247</v>
      </c>
      <c r="ES52" s="3593">
        <f t="shared" si="182"/>
        <v>-571.08678867831952</v>
      </c>
      <c r="ET52" s="3593">
        <f t="shared" si="182"/>
        <v>-217.06953280986815</v>
      </c>
      <c r="EU52" s="4526">
        <f>SUM(EU38,EU45)</f>
        <v>2456.1681613473797</v>
      </c>
      <c r="EV52" s="4526">
        <f t="shared" si="178"/>
        <v>0</v>
      </c>
      <c r="EW52" s="4526">
        <f>SUM(EW38,EW45)</f>
        <v>0</v>
      </c>
      <c r="EX52" s="4526">
        <f>SUM(EX38,EX45)</f>
        <v>0</v>
      </c>
      <c r="EY52" s="4526">
        <f>SUM(EY38,EY45)</f>
        <v>0</v>
      </c>
      <c r="EZ52" s="124"/>
      <c r="FA52" s="738"/>
      <c r="FB52" s="738"/>
    </row>
    <row r="53" spans="1:160" s="138" customFormat="1" ht="11.25" hidden="1" customHeight="1" outlineLevel="1">
      <c r="A53" s="5640" t="s">
        <v>882</v>
      </c>
      <c r="B53" s="124"/>
      <c r="C53" s="124"/>
      <c r="D53" s="124"/>
      <c r="E53" s="139"/>
      <c r="F53" s="3574"/>
      <c r="G53" s="124"/>
      <c r="H53" s="124"/>
      <c r="I53" s="124"/>
      <c r="J53" s="124"/>
      <c r="K53" s="997"/>
      <c r="L53" s="124"/>
      <c r="M53" s="124"/>
      <c r="N53" s="124"/>
      <c r="O53" s="124"/>
      <c r="P53" s="3967"/>
      <c r="Q53" s="3968"/>
      <c r="R53" s="3593"/>
      <c r="S53" s="3593"/>
      <c r="T53" s="3593"/>
      <c r="U53" s="3967"/>
      <c r="V53" s="3968"/>
      <c r="W53" s="3593"/>
      <c r="X53" s="3593"/>
      <c r="Y53" s="3593"/>
      <c r="Z53" s="3967"/>
      <c r="AA53" s="3968"/>
      <c r="AB53" s="3593"/>
      <c r="AC53" s="3593"/>
      <c r="AD53" s="3593"/>
      <c r="AE53" s="3967"/>
      <c r="AF53" s="3968"/>
      <c r="AG53" s="3593"/>
      <c r="AH53" s="3593"/>
      <c r="AI53" s="3593"/>
      <c r="AJ53" s="3967"/>
      <c r="AK53" s="3968"/>
      <c r="AL53" s="3593"/>
      <c r="AM53" s="3593"/>
      <c r="AN53" s="3593"/>
      <c r="AO53" s="3967"/>
      <c r="AP53" s="3968"/>
      <c r="AQ53" s="3593"/>
      <c r="AR53" s="3593"/>
      <c r="AS53" s="3593"/>
      <c r="AT53" s="3967"/>
      <c r="AU53" s="3968"/>
      <c r="AV53" s="3593"/>
      <c r="AW53" s="3593"/>
      <c r="AX53" s="3593"/>
      <c r="AY53" s="3967"/>
      <c r="AZ53" s="3968"/>
      <c r="BA53" s="3593"/>
      <c r="BB53" s="3593"/>
      <c r="BC53" s="3593"/>
      <c r="BD53" s="3967"/>
      <c r="BE53" s="3968"/>
      <c r="BF53" s="3593"/>
      <c r="BG53" s="3593"/>
      <c r="BH53" s="3593"/>
      <c r="BI53" s="3967"/>
      <c r="BJ53" s="3968"/>
      <c r="BK53" s="3593"/>
      <c r="BL53" s="3593"/>
      <c r="BM53" s="3593"/>
      <c r="BN53" s="3967"/>
      <c r="BO53" s="3593"/>
      <c r="BP53" s="3593"/>
      <c r="BQ53" s="3593"/>
      <c r="BR53" s="3593"/>
      <c r="BS53" s="4526"/>
      <c r="BT53" s="3593"/>
      <c r="BU53" s="3593"/>
      <c r="BV53" s="3593"/>
      <c r="BW53" s="3593"/>
      <c r="BX53" s="4526"/>
      <c r="BY53" s="3593"/>
      <c r="BZ53" s="3593"/>
      <c r="CA53" s="3593"/>
      <c r="CB53" s="3593"/>
      <c r="CC53" s="4526"/>
      <c r="CD53" s="3969"/>
      <c r="CE53" s="3593"/>
      <c r="CF53" s="3593"/>
      <c r="CG53" s="3593"/>
      <c r="CH53" s="4526"/>
      <c r="CI53" s="3593"/>
      <c r="CJ53" s="3593"/>
      <c r="CK53" s="3593"/>
      <c r="CL53" s="3593"/>
      <c r="CM53" s="4526"/>
      <c r="CN53" s="3593"/>
      <c r="CO53" s="3593"/>
      <c r="CP53" s="3593"/>
      <c r="CQ53" s="3593"/>
      <c r="CR53" s="4526"/>
      <c r="CS53" s="3593"/>
      <c r="CT53" s="3593"/>
      <c r="CU53" s="3593"/>
      <c r="CV53" s="3593"/>
      <c r="CW53" s="4526"/>
      <c r="CX53" s="3593"/>
      <c r="CY53" s="3593"/>
      <c r="CZ53" s="3593"/>
      <c r="DA53" s="3593"/>
      <c r="DB53" s="1954">
        <f>DB50-DB52</f>
        <v>106491</v>
      </c>
      <c r="DC53" s="176">
        <f>DC50-DC52</f>
        <v>29797</v>
      </c>
      <c r="DD53" s="176">
        <f>DD50-DD52</f>
        <v>31162</v>
      </c>
      <c r="DE53" s="176">
        <f>DE50-DE52</f>
        <v>32014</v>
      </c>
      <c r="DF53" s="176">
        <f>DF50-DF52</f>
        <v>37289</v>
      </c>
      <c r="DG53" s="1954">
        <f t="shared" ref="DG53:DQ53" si="183">DG50-DG52</f>
        <v>129597.38558426037</v>
      </c>
      <c r="DH53" s="176">
        <f t="shared" si="183"/>
        <v>35301.601215586146</v>
      </c>
      <c r="DI53" s="176">
        <f t="shared" si="183"/>
        <v>37724.916843357292</v>
      </c>
      <c r="DJ53" s="176">
        <f t="shared" si="183"/>
        <v>38353.122287134865</v>
      </c>
      <c r="DK53" s="176">
        <f t="shared" si="183"/>
        <v>43591.206277831137</v>
      </c>
      <c r="DL53" s="1954">
        <f t="shared" si="183"/>
        <v>154970.84662390946</v>
      </c>
      <c r="DM53" s="176">
        <f t="shared" si="183"/>
        <v>38563.432971323979</v>
      </c>
      <c r="DN53" s="176">
        <f t="shared" si="183"/>
        <v>35641.130164745511</v>
      </c>
      <c r="DO53" s="176">
        <f t="shared" si="183"/>
        <v>42623.883695156139</v>
      </c>
      <c r="DP53" s="176">
        <f t="shared" si="183"/>
        <v>52603.525236314897</v>
      </c>
      <c r="DQ53" s="1954">
        <f t="shared" si="183"/>
        <v>169431.97206754054</v>
      </c>
      <c r="DR53" s="176">
        <f t="shared" ref="DR53:EV53" si="184">DR50-DR52</f>
        <v>50157.683512901764</v>
      </c>
      <c r="DS53" s="176">
        <f t="shared" si="184"/>
        <v>55321.551762703624</v>
      </c>
      <c r="DT53" s="176">
        <f t="shared" si="184"/>
        <v>59316.304775410797</v>
      </c>
      <c r="DU53" s="176">
        <f t="shared" si="184"/>
        <v>69652.814881039754</v>
      </c>
      <c r="DV53" s="1954">
        <f t="shared" si="184"/>
        <v>234448.35493205593</v>
      </c>
      <c r="DW53" s="176">
        <f t="shared" si="184"/>
        <v>63290.77389921686</v>
      </c>
      <c r="DX53" s="176">
        <f t="shared" si="184"/>
        <v>65279.467555015406</v>
      </c>
      <c r="DY53" s="176">
        <f t="shared" si="184"/>
        <v>64900.702630229323</v>
      </c>
      <c r="DZ53" s="176">
        <f t="shared" si="184"/>
        <v>72110.314531688695</v>
      </c>
      <c r="EA53" s="1954">
        <f t="shared" si="184"/>
        <v>265581.2586161503</v>
      </c>
      <c r="EB53" s="176">
        <f>EB50-EB52</f>
        <v>63901.549074407551</v>
      </c>
      <c r="EC53" s="176">
        <f>EC50-EC52</f>
        <v>67307.156870660416</v>
      </c>
      <c r="ED53" s="176">
        <f>ED50-ED52</f>
        <v>67606.010969017108</v>
      </c>
      <c r="EE53" s="176">
        <f t="shared" ref="EE53" si="185">EE50-EE52</f>
        <v>75472.054699835091</v>
      </c>
      <c r="EF53" s="1954">
        <f t="shared" si="184"/>
        <v>274286.77161392017</v>
      </c>
      <c r="EG53" s="176">
        <f>EG50-EG52</f>
        <v>70741.310408643025</v>
      </c>
      <c r="EH53" s="176">
        <f>EH50-EH52</f>
        <v>75039.442017205583</v>
      </c>
      <c r="EI53" s="176">
        <f>EI50-EI52</f>
        <v>77395.590863048157</v>
      </c>
      <c r="EJ53" s="176">
        <f t="shared" ref="EJ53" si="186">EJ50-EJ52</f>
        <v>84326.016054305612</v>
      </c>
      <c r="EK53" s="1954">
        <f>EK50-EK52</f>
        <v>307502.35934320238</v>
      </c>
      <c r="EL53" s="176">
        <f>EL50-EL52</f>
        <v>78649.200839998215</v>
      </c>
      <c r="EM53" s="176">
        <f>EM50-EM52</f>
        <v>82076.926929196095</v>
      </c>
      <c r="EN53" s="176">
        <f>EN50-EN52</f>
        <v>85911.565909068668</v>
      </c>
      <c r="EO53" s="176">
        <f t="shared" ref="EO53" si="187">EO50-EO52</f>
        <v>94721.73</v>
      </c>
      <c r="EP53" s="1954">
        <f>EP50-EP52</f>
        <v>341359.42367826292</v>
      </c>
      <c r="EQ53" s="176">
        <f t="shared" ref="EQ53:ET53" si="188">EQ50-EQ52</f>
        <v>86173.989999999991</v>
      </c>
      <c r="ER53" s="176">
        <f t="shared" si="188"/>
        <v>92333.59</v>
      </c>
      <c r="ES53" s="176">
        <f t="shared" si="188"/>
        <v>97188.700000000012</v>
      </c>
      <c r="ET53" s="176">
        <f t="shared" si="188"/>
        <v>106280.73492468576</v>
      </c>
      <c r="EU53" s="1954">
        <f>EU50-EU52</f>
        <v>381977.0149246857</v>
      </c>
      <c r="EV53" s="1954">
        <f t="shared" si="184"/>
        <v>421240.41935221193</v>
      </c>
      <c r="EW53" s="1954">
        <f>EW50-EW52</f>
        <v>457540.79143547313</v>
      </c>
      <c r="EX53" s="1954">
        <f>EX50-EX52</f>
        <v>493095.40909181454</v>
      </c>
      <c r="EY53" s="1954">
        <f>EY50-EY52</f>
        <v>528676.60277234321</v>
      </c>
      <c r="EZ53" s="124"/>
      <c r="FA53" s="738"/>
      <c r="FB53" s="738"/>
    </row>
    <row r="54" spans="1:160" s="2613" customFormat="1" ht="11.25" customHeight="1" collapsed="1">
      <c r="A54" s="5641" t="s">
        <v>496</v>
      </c>
      <c r="B54" s="2612"/>
      <c r="C54" s="2612"/>
      <c r="D54" s="2612"/>
      <c r="E54" s="182"/>
      <c r="F54" s="4241"/>
      <c r="G54" s="2612"/>
      <c r="H54" s="2612"/>
      <c r="I54" s="2612"/>
      <c r="J54" s="2612"/>
      <c r="K54" s="2588"/>
      <c r="L54" s="2612"/>
      <c r="M54" s="2612"/>
      <c r="N54" s="2612"/>
      <c r="O54" s="2612"/>
      <c r="P54" s="2588"/>
      <c r="Q54" s="1226"/>
      <c r="R54" s="2612"/>
      <c r="S54" s="2612"/>
      <c r="T54" s="2612"/>
      <c r="U54" s="2588"/>
      <c r="V54" s="1226"/>
      <c r="W54" s="2612"/>
      <c r="X54" s="2612"/>
      <c r="Y54" s="2612"/>
      <c r="Z54" s="2588"/>
      <c r="AA54" s="1226"/>
      <c r="AB54" s="2612"/>
      <c r="AC54" s="2612"/>
      <c r="AD54" s="2612"/>
      <c r="AE54" s="2588"/>
      <c r="AF54" s="1226"/>
      <c r="AG54" s="2612"/>
      <c r="AH54" s="2612"/>
      <c r="AI54" s="2612"/>
      <c r="AJ54" s="2588"/>
      <c r="AK54" s="1226"/>
      <c r="AL54" s="2612"/>
      <c r="AM54" s="2612"/>
      <c r="AN54" s="2612"/>
      <c r="AO54" s="2588"/>
      <c r="AP54" s="1226"/>
      <c r="AQ54" s="2612"/>
      <c r="AR54" s="2612"/>
      <c r="AS54" s="2612"/>
      <c r="AT54" s="2588"/>
      <c r="AU54" s="1226"/>
      <c r="AV54" s="2612"/>
      <c r="AW54" s="2612"/>
      <c r="AX54" s="2612"/>
      <c r="AY54" s="2588"/>
      <c r="AZ54" s="1226"/>
      <c r="BA54" s="2612"/>
      <c r="BB54" s="2612"/>
      <c r="BC54" s="2612"/>
      <c r="BD54" s="2588"/>
      <c r="BE54" s="1226"/>
      <c r="BF54" s="2612"/>
      <c r="BG54" s="2612"/>
      <c r="BH54" s="2612"/>
      <c r="BI54" s="2588"/>
      <c r="BJ54" s="1226"/>
      <c r="BK54" s="2612"/>
      <c r="BL54" s="2612"/>
      <c r="BM54" s="2612"/>
      <c r="BN54" s="2588"/>
      <c r="BO54" s="2612"/>
      <c r="BP54" s="2612"/>
      <c r="BQ54" s="2612"/>
      <c r="BR54" s="2612"/>
      <c r="BS54" s="2587"/>
      <c r="BT54" s="2612"/>
      <c r="BU54" s="2612"/>
      <c r="BV54" s="2612"/>
      <c r="BW54" s="2612"/>
      <c r="BX54" s="2588"/>
      <c r="BY54" s="2612"/>
      <c r="BZ54" s="2612"/>
      <c r="CA54" s="2612"/>
      <c r="CB54" s="2612"/>
      <c r="CC54" s="2587"/>
      <c r="CD54" s="576"/>
      <c r="CE54" s="2612"/>
      <c r="CF54" s="2612"/>
      <c r="CG54" s="2612"/>
      <c r="CH54" s="2588"/>
      <c r="CI54" s="1226"/>
      <c r="CJ54" s="2612"/>
      <c r="CK54" s="2612"/>
      <c r="CL54" s="2612"/>
      <c r="CM54" s="2588"/>
      <c r="CN54" s="1226"/>
      <c r="CO54" s="2612"/>
      <c r="CP54" s="2612"/>
      <c r="CQ54" s="2612"/>
      <c r="CR54" s="2588"/>
      <c r="CS54" s="1226"/>
      <c r="CT54" s="2612"/>
      <c r="CU54" s="2612"/>
      <c r="CV54" s="2612"/>
      <c r="CW54" s="2588"/>
      <c r="CX54" s="1226"/>
      <c r="CY54" s="2612"/>
      <c r="CZ54" s="2612"/>
      <c r="DA54" s="2612"/>
      <c r="DB54" s="2588">
        <f t="shared" ref="DB54:DK54" si="189">DB601</f>
        <v>0.53223617237869014</v>
      </c>
      <c r="DC54" s="1226">
        <f t="shared" si="189"/>
        <v>0.60775623268698054</v>
      </c>
      <c r="DD54" s="2612">
        <f t="shared" si="189"/>
        <v>0.46852122986822842</v>
      </c>
      <c r="DE54" s="2612">
        <f t="shared" si="189"/>
        <v>0.31403581840899597</v>
      </c>
      <c r="DF54" s="2612">
        <f t="shared" si="189"/>
        <v>0.28632314873591014</v>
      </c>
      <c r="DG54" s="2588">
        <f t="shared" si="189"/>
        <v>0.39927284474486635</v>
      </c>
      <c r="DH54" s="1226">
        <f t="shared" si="189"/>
        <v>0.20287574114630802</v>
      </c>
      <c r="DI54" s="2612">
        <f t="shared" si="189"/>
        <v>0.23972933912240002</v>
      </c>
      <c r="DJ54" s="2612">
        <f t="shared" si="189"/>
        <v>0.23850099176680484</v>
      </c>
      <c r="DK54" s="2612">
        <f t="shared" si="189"/>
        <v>0.23778295679297767</v>
      </c>
      <c r="DL54" s="2290">
        <f t="shared" ref="DL54:EN54" si="190">DL53/DG50-1</f>
        <v>0.187297712481302</v>
      </c>
      <c r="DM54" s="2288">
        <f t="shared" si="190"/>
        <v>0.12735501421708939</v>
      </c>
      <c r="DN54" s="2288">
        <f t="shared" si="190"/>
        <v>-2.5506366141370584E-2</v>
      </c>
      <c r="DO54" s="2288">
        <f t="shared" si="190"/>
        <v>0.1262454075769206</v>
      </c>
      <c r="DP54" s="2288">
        <f t="shared" si="190"/>
        <v>0.21773057170042365</v>
      </c>
      <c r="DQ54" s="2290">
        <f t="shared" si="190"/>
        <v>0.11596885932844092</v>
      </c>
      <c r="DR54" s="2288">
        <f t="shared" si="190"/>
        <v>0.31309711275202279</v>
      </c>
      <c r="DS54" s="2288">
        <f t="shared" si="190"/>
        <v>0.58102231324350906</v>
      </c>
      <c r="DT54" s="2288">
        <f t="shared" si="190"/>
        <v>0.39328458824632517</v>
      </c>
      <c r="DU54" s="2288">
        <f t="shared" si="190"/>
        <v>0.317360748984165</v>
      </c>
      <c r="DV54" s="2290">
        <f t="shared" si="190"/>
        <v>0.39027102874288211</v>
      </c>
      <c r="DW54" s="2288">
        <f t="shared" si="190"/>
        <v>0.23667931336153925</v>
      </c>
      <c r="DX54" s="2288">
        <f t="shared" si="190"/>
        <v>0.14390922170458254</v>
      </c>
      <c r="DY54" s="2288">
        <f t="shared" si="190"/>
        <v>8.3773672938169286E-2</v>
      </c>
      <c r="DZ54" s="2288">
        <f t="shared" si="190"/>
        <v>3.9053523511364485E-2</v>
      </c>
      <c r="EA54" s="2290">
        <f t="shared" ref="EA54:EF54" si="191">EA53/DV50-1</f>
        <v>0.11810035244601846</v>
      </c>
      <c r="EB54" s="2288">
        <f t="shared" si="190"/>
        <v>3.9522857144839163E-2</v>
      </c>
      <c r="EC54" s="2288">
        <f t="shared" si="190"/>
        <v>7.1070747929861344E-2</v>
      </c>
      <c r="ED54" s="2288">
        <f t="shared" si="190"/>
        <v>0.10148770661676365</v>
      </c>
      <c r="EE54" s="2288">
        <f t="shared" si="190"/>
        <v>0.11253360505668053</v>
      </c>
      <c r="EF54" s="2290">
        <f t="shared" si="191"/>
        <v>8.1879601519043943E-2</v>
      </c>
      <c r="EG54" s="2288">
        <f t="shared" si="190"/>
        <v>0.14170704812128632</v>
      </c>
      <c r="EH54" s="2288">
        <f t="shared" si="190"/>
        <v>0.13207274673313085</v>
      </c>
      <c r="EI54" s="2288">
        <f t="shared" si="190"/>
        <v>0.13840483133362991</v>
      </c>
      <c r="EJ54" s="2288">
        <f t="shared" si="190"/>
        <v>0.10503093989471513</v>
      </c>
      <c r="EK54" s="2290">
        <f>EK53/EF50-1</f>
        <v>0.12827098602129716</v>
      </c>
      <c r="EL54" s="2288">
        <f t="shared" si="190"/>
        <v>0.11720788715585972</v>
      </c>
      <c r="EM54" s="2288">
        <f t="shared" si="190"/>
        <v>0.11022788292928376</v>
      </c>
      <c r="EN54" s="2288">
        <f t="shared" si="190"/>
        <v>0.12288022361872519</v>
      </c>
      <c r="EO54" s="2288">
        <f t="shared" ref="EO54" si="192">EO53/EJ50-1</f>
        <v>0.12637917092777129</v>
      </c>
      <c r="EP54" s="2290">
        <f>EP53/EK50-1</f>
        <v>0.11946815229155194</v>
      </c>
      <c r="EQ54" s="2288">
        <f t="shared" ref="EQ54" si="193">EQ53/EL50-1</f>
        <v>0.11531877717954009</v>
      </c>
      <c r="ER54" s="2288">
        <f t="shared" ref="ER54" si="194">ER53/EM50-1</f>
        <v>0.11861199617169227</v>
      </c>
      <c r="ES54" s="2288">
        <f t="shared" ref="ES54" si="195">ES53/EN50-1</f>
        <v>0.11644419427468655</v>
      </c>
      <c r="ET54" s="2288">
        <f t="shared" ref="ET54" si="196">ET53/EO50-1</f>
        <v>0.11224245323644322</v>
      </c>
      <c r="EU54" s="2290">
        <f>EU53/EP50-1</f>
        <v>0.11554027116689158</v>
      </c>
      <c r="EV54" s="2290">
        <f>EV53/EU50-1</f>
        <v>9.5744170601271161E-2</v>
      </c>
      <c r="EW54" s="2290">
        <f>EW53/EV50-1</f>
        <v>8.6174950018054641E-2</v>
      </c>
      <c r="EX54" s="2290">
        <f>EX53/EW50-1</f>
        <v>7.7708082693115799E-2</v>
      </c>
      <c r="EY54" s="2290">
        <f>EY53/EX50-1</f>
        <v>7.2158841928912532E-2</v>
      </c>
      <c r="EZ54" s="2612"/>
      <c r="FA54" s="725"/>
      <c r="FB54" s="725"/>
    </row>
    <row r="55" spans="1:160" s="194" customFormat="1" ht="11.25" hidden="1" customHeight="1" outlineLevel="1" collapsed="1">
      <c r="A55" s="5639" t="s">
        <v>46</v>
      </c>
      <c r="B55" s="2612"/>
      <c r="C55" s="2612"/>
      <c r="D55" s="2612"/>
      <c r="E55" s="2612"/>
      <c r="F55" s="5597"/>
      <c r="G55" s="2612"/>
      <c r="H55" s="2612"/>
      <c r="I55" s="2612"/>
      <c r="J55" s="2612"/>
      <c r="K55" s="1381"/>
      <c r="L55" s="2612"/>
      <c r="M55" s="2612"/>
      <c r="N55" s="2612"/>
      <c r="O55" s="2612"/>
      <c r="P55" s="1021"/>
      <c r="Q55" s="1226"/>
      <c r="R55" s="2612"/>
      <c r="S55" s="2612"/>
      <c r="T55" s="2612"/>
      <c r="U55" s="1021"/>
      <c r="V55" s="1226"/>
      <c r="W55" s="2612"/>
      <c r="X55" s="2612"/>
      <c r="Y55" s="2612"/>
      <c r="Z55" s="1021"/>
      <c r="AA55" s="1226"/>
      <c r="AB55" s="2612"/>
      <c r="AC55" s="2612"/>
      <c r="AD55" s="2612"/>
      <c r="AE55" s="1021"/>
      <c r="AF55" s="1226"/>
      <c r="AG55" s="2612"/>
      <c r="AH55" s="2612"/>
      <c r="AI55" s="2612"/>
      <c r="AJ55" s="1021"/>
      <c r="AK55" s="1226"/>
      <c r="AL55" s="2612"/>
      <c r="AM55" s="2612"/>
      <c r="AN55" s="184"/>
      <c r="AO55" s="1021"/>
      <c r="AP55" s="1226"/>
      <c r="AQ55" s="2612"/>
      <c r="AR55" s="2612"/>
      <c r="AS55" s="184"/>
      <c r="AT55" s="1021"/>
      <c r="AU55" s="1226"/>
      <c r="AV55" s="2612"/>
      <c r="AW55" s="2612"/>
      <c r="AX55" s="184"/>
      <c r="AY55" s="1021"/>
      <c r="AZ55" s="1226"/>
      <c r="BA55" s="2612"/>
      <c r="BB55" s="2612"/>
      <c r="BC55" s="184"/>
      <c r="BD55" s="1021"/>
      <c r="BE55" s="1226"/>
      <c r="BF55" s="2612"/>
      <c r="BG55" s="2612"/>
      <c r="BH55" s="184"/>
      <c r="BI55" s="1021"/>
      <c r="BJ55" s="1226"/>
      <c r="BK55" s="2612"/>
      <c r="BL55" s="2612"/>
      <c r="BM55" s="2612"/>
      <c r="BN55" s="1021"/>
      <c r="BO55" s="193"/>
      <c r="BP55" s="193"/>
      <c r="BQ55" s="193"/>
      <c r="BR55" s="193"/>
      <c r="BS55" s="2430"/>
      <c r="BT55" s="2612"/>
      <c r="BU55" s="2612"/>
      <c r="BV55" s="2612"/>
      <c r="BW55" s="2612"/>
      <c r="BX55" s="1021"/>
      <c r="BY55" s="193"/>
      <c r="BZ55" s="193"/>
      <c r="CA55" s="193"/>
      <c r="CB55" s="193"/>
      <c r="CC55" s="2430"/>
      <c r="CD55" s="576"/>
      <c r="CE55" s="2612"/>
      <c r="CF55" s="2612"/>
      <c r="CG55" s="2612"/>
      <c r="CH55" s="1021"/>
      <c r="CI55" s="1226"/>
      <c r="CJ55" s="2612"/>
      <c r="CK55" s="2612"/>
      <c r="CL55" s="2612"/>
      <c r="CM55" s="1021"/>
      <c r="CN55" s="2612"/>
      <c r="CO55" s="2612"/>
      <c r="CP55" s="2612"/>
      <c r="CQ55" s="2612"/>
      <c r="CR55" s="1021"/>
      <c r="CS55" s="2612"/>
      <c r="CT55" s="2612"/>
      <c r="CU55" s="2612"/>
      <c r="CV55" s="2612"/>
      <c r="CW55" s="1021"/>
      <c r="CX55" s="2612"/>
      <c r="CY55" s="2612"/>
      <c r="CZ55" s="2612"/>
      <c r="DA55" s="2612"/>
      <c r="DB55" s="1021"/>
      <c r="DC55" s="2612" t="e">
        <f>+DC50/DA50-1</f>
        <v>#DIV/0!</v>
      </c>
      <c r="DD55" s="2612">
        <f>+DD50/DC50-1</f>
        <v>4.5809980870557432E-2</v>
      </c>
      <c r="DE55" s="2612">
        <f>+DE50/DD50-1</f>
        <v>2.7340992234131223E-2</v>
      </c>
      <c r="DF55" s="2612">
        <f>+DF50/DE50-1</f>
        <v>0.16477166239770091</v>
      </c>
      <c r="DG55" s="1021"/>
      <c r="DH55" s="2612">
        <f>+DH50/DF50-1</f>
        <v>-8.2651720346482827E-2</v>
      </c>
      <c r="DI55" s="2612">
        <f>+DI50/DH50-1</f>
        <v>6.9196363317449716E-2</v>
      </c>
      <c r="DJ55" s="2612">
        <f>+DJ50/DI50-1</f>
        <v>3.4778804615300585E-2</v>
      </c>
      <c r="DK55" s="2612">
        <f>+DK50/DJ50-1</f>
        <v>0.14141520900491455</v>
      </c>
      <c r="DL55" s="1021"/>
      <c r="DM55" s="2612">
        <f>+DM50/DK50-1</f>
        <v>-0.11574609935645164</v>
      </c>
      <c r="DN55" s="2612">
        <f>+DN50/DM50-1</f>
        <v>-8.3957275250013064E-2</v>
      </c>
      <c r="DO55" s="2612">
        <f>+DO50/DN50-1</f>
        <v>0.21668429024606328</v>
      </c>
      <c r="DP55" s="2612">
        <f>+DP50/DO50-1</f>
        <v>0.24193737815047101</v>
      </c>
      <c r="DQ55" s="1021"/>
      <c r="DR55" s="2612">
        <f>+DR50/DP50-1</f>
        <v>-3.2057950182512784E-2</v>
      </c>
      <c r="DS55" s="2612">
        <f>+DS50/DR50-1</f>
        <v>0.11506897495017387</v>
      </c>
      <c r="DT55" s="2612">
        <f>+DT50/DS50-1</f>
        <v>4.9363029421557014E-2</v>
      </c>
      <c r="DU55" s="2612">
        <f>+DU50/DT50-1</f>
        <v>0.15890722062654472</v>
      </c>
      <c r="DV55" s="1021"/>
      <c r="DW55" s="2612">
        <f>+DW50/DU50-1</f>
        <v>-0.11423631123919309</v>
      </c>
      <c r="DX55" s="2612">
        <f>+DX50/DW50-1</f>
        <v>2.2270301926080149E-2</v>
      </c>
      <c r="DY55" s="2612">
        <f>+DY50/DX50-1</f>
        <v>-2.3296892156394744E-2</v>
      </c>
      <c r="DZ55" s="2612">
        <f>+DZ50/DY50-1</f>
        <v>0.10526744546002575</v>
      </c>
      <c r="EA55" s="1021"/>
      <c r="EB55" s="2612">
        <f>+EB50/DZ50-1</f>
        <v>-8.6632860638580111E-2</v>
      </c>
      <c r="EC55" s="2612">
        <f>+EC50/EB50-1</f>
        <v>6.9785833023998878E-2</v>
      </c>
      <c r="ED55" s="2612">
        <f>+ED50/EC50-1</f>
        <v>2.5661914460285207E-2</v>
      </c>
      <c r="EE55" s="2612">
        <f>+EE50/ED50-1</f>
        <v>0.12245168122848815</v>
      </c>
      <c r="EF55" s="1021"/>
      <c r="EG55" s="2612">
        <f>+EG50/EE50-1</f>
        <v>-7.7485552541573299E-2</v>
      </c>
      <c r="EH55" s="2612">
        <f>+EH50/EG50-1</f>
        <v>5.014346998494279E-2</v>
      </c>
      <c r="EI55" s="2612">
        <f>+EI50/EH50-1</f>
        <v>3.4925873823179243E-2</v>
      </c>
      <c r="EJ55" s="2612">
        <f>+EJ50/EI50-1</f>
        <v>9.9124297477453993E-2</v>
      </c>
      <c r="EK55" s="1021"/>
      <c r="EL55" s="2612">
        <f>+EL50/EJ50-1</f>
        <v>-8.1218636287963442E-2</v>
      </c>
      <c r="EM55" s="2612">
        <f>+EM50/EL50-1</f>
        <v>6.8324187202319253E-2</v>
      </c>
      <c r="EN55" s="2612">
        <f>+EN50/EM50-1</f>
        <v>5.4626073682807696E-2</v>
      </c>
      <c r="EO55" s="2612">
        <f>+EO50/EN50-1</f>
        <v>9.7681457085875945E-2</v>
      </c>
      <c r="EP55" s="1021"/>
      <c r="EQ55" s="2612">
        <f>+EQ50/EO50-1</f>
        <v>-6.9849236026427786E-2</v>
      </c>
      <c r="ER55" s="2612">
        <f>+ER50/EQ50-1</f>
        <v>4.4892782066334291E-2</v>
      </c>
      <c r="ES55" s="2612">
        <f>+ES50/ER50-1</f>
        <v>4.0342036764433153E-2</v>
      </c>
      <c r="ET55" s="2612">
        <f>+ET50/ES50-1</f>
        <v>9.7767393196661168E-2</v>
      </c>
      <c r="EU55" s="1021"/>
      <c r="EV55" s="1021"/>
      <c r="EW55" s="1021"/>
      <c r="EX55" s="1021"/>
      <c r="EY55" s="1021"/>
      <c r="EZ55" s="193"/>
      <c r="FA55" s="1102"/>
      <c r="FB55" s="1102"/>
    </row>
    <row r="56" spans="1:160" s="77" customFormat="1" ht="11.25" hidden="1" customHeight="1" outlineLevel="1">
      <c r="A56" s="5640" t="s">
        <v>428</v>
      </c>
      <c r="B56" s="127"/>
      <c r="C56" s="127"/>
      <c r="D56" s="127"/>
      <c r="E56" s="127"/>
      <c r="F56" s="5088"/>
      <c r="G56" s="127"/>
      <c r="H56" s="127"/>
      <c r="I56" s="127"/>
      <c r="J56" s="127"/>
      <c r="K56" s="1219"/>
      <c r="L56" s="127"/>
      <c r="M56" s="127"/>
      <c r="N56" s="127"/>
      <c r="O56" s="127"/>
      <c r="P56" s="1001"/>
      <c r="Q56" s="127"/>
      <c r="R56" s="127"/>
      <c r="S56" s="127"/>
      <c r="T56" s="127"/>
      <c r="U56" s="1001"/>
      <c r="V56" s="127"/>
      <c r="W56" s="127"/>
      <c r="X56" s="127"/>
      <c r="Y56" s="127"/>
      <c r="Z56" s="1001"/>
      <c r="AA56" s="127"/>
      <c r="AB56" s="127"/>
      <c r="AC56" s="127"/>
      <c r="AD56" s="127"/>
      <c r="AE56" s="1001"/>
      <c r="AF56" s="127"/>
      <c r="AG56" s="127"/>
      <c r="AH56" s="127"/>
      <c r="AI56" s="127"/>
      <c r="AJ56" s="1001"/>
      <c r="AK56" s="127"/>
      <c r="AL56" s="127"/>
      <c r="AM56" s="127"/>
      <c r="AN56" s="127"/>
      <c r="AO56" s="1001"/>
      <c r="AP56" s="127"/>
      <c r="AQ56" s="127"/>
      <c r="AR56" s="127"/>
      <c r="AS56" s="127"/>
      <c r="AT56" s="1001"/>
      <c r="AU56" s="127"/>
      <c r="AV56" s="127"/>
      <c r="AW56" s="127"/>
      <c r="AX56" s="127"/>
      <c r="AY56" s="1001"/>
      <c r="AZ56" s="127"/>
      <c r="BA56" s="127"/>
      <c r="BB56" s="127"/>
      <c r="BC56" s="127"/>
      <c r="BD56" s="1001"/>
      <c r="BE56" s="127"/>
      <c r="BF56" s="127"/>
      <c r="BG56" s="127"/>
      <c r="BH56" s="127"/>
      <c r="BI56" s="1001"/>
      <c r="BJ56" s="127"/>
      <c r="BK56" s="127"/>
      <c r="BL56" s="127"/>
      <c r="BM56" s="127"/>
      <c r="BN56" s="1001"/>
      <c r="BO56" s="42"/>
      <c r="BP56" s="42"/>
      <c r="BQ56" s="42"/>
      <c r="BR56" s="42"/>
      <c r="BS56" s="597"/>
      <c r="BT56" s="127"/>
      <c r="BU56" s="127"/>
      <c r="BV56" s="127"/>
      <c r="BW56" s="127"/>
      <c r="BX56" s="1001"/>
      <c r="BY56" s="42"/>
      <c r="BZ56" s="42"/>
      <c r="CA56" s="42"/>
      <c r="CB56" s="42"/>
      <c r="CC56" s="597"/>
      <c r="CD56" s="127"/>
      <c r="CE56" s="127"/>
      <c r="CF56" s="127"/>
      <c r="CG56" s="127"/>
      <c r="CH56" s="1001"/>
      <c r="CI56" s="127"/>
      <c r="CJ56" s="127"/>
      <c r="CK56" s="127"/>
      <c r="CL56" s="127"/>
      <c r="CM56" s="1001"/>
      <c r="CN56" s="127"/>
      <c r="CO56" s="127"/>
      <c r="CP56" s="127"/>
      <c r="CQ56" s="127"/>
      <c r="CR56" s="1001"/>
      <c r="CS56" s="127"/>
      <c r="CT56" s="127"/>
      <c r="CU56" s="127"/>
      <c r="CV56" s="127"/>
      <c r="CW56" s="1001"/>
      <c r="CX56" s="127"/>
      <c r="CY56" s="127"/>
      <c r="CZ56" s="127"/>
      <c r="DA56" s="127"/>
      <c r="DB56" s="1001"/>
      <c r="DC56" s="127">
        <f>+DC50/DG50</f>
        <v>0.22828751800435168</v>
      </c>
      <c r="DD56" s="127">
        <f>+DD50/DG50</f>
        <v>0.23874536483711808</v>
      </c>
      <c r="DE56" s="127">
        <f>+DE50/DG50</f>
        <v>0.24527290000306456</v>
      </c>
      <c r="DF56" s="127">
        <f>+DF50/DG50</f>
        <v>0.2856869234776746</v>
      </c>
      <c r="DG56" s="1001"/>
      <c r="DH56" s="127">
        <f>+DH50/DL50</f>
        <v>0.22530545035402602</v>
      </c>
      <c r="DI56" s="127">
        <f>+DI50/DL50</f>
        <v>0.24089576815412481</v>
      </c>
      <c r="DJ56" s="127">
        <f>+DJ50/DL50</f>
        <v>0.24927383500740985</v>
      </c>
      <c r="DK56" s="127">
        <f>+DK50/DL50</f>
        <v>0.28452494648443932</v>
      </c>
      <c r="DL56" s="1001"/>
      <c r="DM56" s="127">
        <f>+DM50/DQ50</f>
        <v>0.22651288285350016</v>
      </c>
      <c r="DN56" s="127">
        <f>+DN50/DQ50</f>
        <v>0.20749547840009488</v>
      </c>
      <c r="DO56" s="127">
        <f>+DO50/DQ50</f>
        <v>0.25245648886648681</v>
      </c>
      <c r="DP56" s="127">
        <f>+DP50/DQ50</f>
        <v>0.31353514987991815</v>
      </c>
      <c r="DQ56" s="1001"/>
      <c r="DR56" s="127">
        <f>+DR50/DV50</f>
        <v>0.21546000698862033</v>
      </c>
      <c r="DS56" s="127">
        <f>+DS50/DV50</f>
        <v>0.24025276913555818</v>
      </c>
      <c r="DT56" s="127">
        <f>+DT50/DV50</f>
        <v>0.25211237364700734</v>
      </c>
      <c r="DU56" s="127">
        <f>+DU50/DV50</f>
        <v>0.29217485022881418</v>
      </c>
      <c r="DV56" s="1001"/>
      <c r="DW56" s="127">
        <f>+DW50/EA50</f>
        <v>0.24246631535767252</v>
      </c>
      <c r="DX56" s="127">
        <f>+DX50/EA50</f>
        <v>0.24786611340759207</v>
      </c>
      <c r="DY56" s="127">
        <f>+DY50/EA50</f>
        <v>0.24209160329431068</v>
      </c>
      <c r="DZ56" s="127">
        <f>+DZ50/EA50</f>
        <v>0.26757596794042471</v>
      </c>
      <c r="EA56" s="1001"/>
      <c r="EB56" s="127">
        <f>+EB50/EF50</f>
        <v>0.22734394205684974</v>
      </c>
      <c r="EC56" s="127">
        <f>+EC50/EF50</f>
        <v>0.24320932843624676</v>
      </c>
      <c r="ED56" s="127">
        <f>+ED50/EF50</f>
        <v>0.2494505454185211</v>
      </c>
      <c r="EE56" s="127">
        <f>+EE50/EF50</f>
        <v>0.27999618408838239</v>
      </c>
      <c r="EF56" s="1001"/>
      <c r="EG56" s="127">
        <f>+EG50/EK50</f>
        <v>0.23086610041648903</v>
      </c>
      <c r="EH56" s="127">
        <f>+EH50/EK50</f>
        <v>0.24244252779326403</v>
      </c>
      <c r="EI56" s="127">
        <f>+EI50/EK50</f>
        <v>0.25091004492834423</v>
      </c>
      <c r="EJ56" s="127">
        <f>+EJ50/EK50</f>
        <v>0.27578132686190271</v>
      </c>
      <c r="EK56" s="1001"/>
      <c r="EL56" s="127">
        <f>+EL50/EP50</f>
        <v>0.22564473814853225</v>
      </c>
      <c r="EM56" s="127">
        <f>+EM50/EP50</f>
        <v>0.24106173147901092</v>
      </c>
      <c r="EN56" s="127">
        <f>+EN50/EP50</f>
        <v>0.25422998738488856</v>
      </c>
      <c r="EO56" s="127">
        <f>+EO50/EP50</f>
        <v>0.27906354298756836</v>
      </c>
      <c r="EP56" s="1001"/>
      <c r="EQ56" s="127">
        <f>+EQ50/EU50</f>
        <v>0.23119985678992974</v>
      </c>
      <c r="ER56" s="127">
        <f>+ER50/EU50</f>
        <v>0.24157906157456774</v>
      </c>
      <c r="ES56" s="127">
        <f>+ES50/EU50</f>
        <v>0.25132485295812623</v>
      </c>
      <c r="ET56" s="127">
        <f>+ET50/EU50</f>
        <v>0.2758962286773764</v>
      </c>
      <c r="EU56" s="1001"/>
      <c r="EV56" s="597"/>
      <c r="EW56" s="597"/>
      <c r="EX56" s="597"/>
      <c r="EY56" s="597"/>
      <c r="EZ56" s="42"/>
      <c r="FA56" s="725"/>
      <c r="FB56" s="725"/>
    </row>
    <row r="57" spans="1:160" s="180" customFormat="1" ht="11.25" customHeight="1" collapsed="1">
      <c r="A57" s="5642" t="s">
        <v>692</v>
      </c>
      <c r="B57" s="2336"/>
      <c r="C57" s="2336"/>
      <c r="D57" s="2336"/>
      <c r="E57" s="2333"/>
      <c r="F57" s="5610"/>
      <c r="G57" s="2336"/>
      <c r="H57" s="2336"/>
      <c r="I57" s="2336"/>
      <c r="J57" s="2336"/>
      <c r="K57" s="2345"/>
      <c r="L57" s="2336"/>
      <c r="M57" s="2336"/>
      <c r="N57" s="2336"/>
      <c r="O57" s="2336"/>
      <c r="P57" s="4186"/>
      <c r="Q57" s="2426"/>
      <c r="R57" s="2333"/>
      <c r="S57" s="2333"/>
      <c r="T57" s="2333"/>
      <c r="U57" s="4186"/>
      <c r="V57" s="2426"/>
      <c r="W57" s="2333"/>
      <c r="X57" s="2333"/>
      <c r="Y57" s="2333"/>
      <c r="Z57" s="4186"/>
      <c r="AA57" s="2426"/>
      <c r="AB57" s="2336"/>
      <c r="AC57" s="2336"/>
      <c r="AD57" s="2336"/>
      <c r="AE57" s="2332"/>
      <c r="AF57" s="2425"/>
      <c r="AG57" s="2336"/>
      <c r="AH57" s="2336"/>
      <c r="AI57" s="2336"/>
      <c r="AJ57" s="2332"/>
      <c r="AK57" s="2425"/>
      <c r="AL57" s="2336"/>
      <c r="AM57" s="2336"/>
      <c r="AN57" s="2337"/>
      <c r="AO57" s="2332"/>
      <c r="AP57" s="2425"/>
      <c r="AQ57" s="2336"/>
      <c r="AR57" s="2336"/>
      <c r="AS57" s="2337"/>
      <c r="AT57" s="2332"/>
      <c r="AU57" s="2425"/>
      <c r="AV57" s="2336"/>
      <c r="AW57" s="2336"/>
      <c r="AX57" s="2337"/>
      <c r="AY57" s="2332"/>
      <c r="AZ57" s="2425"/>
      <c r="BA57" s="2336"/>
      <c r="BB57" s="2336"/>
      <c r="BC57" s="2338"/>
      <c r="BD57" s="2332"/>
      <c r="BE57" s="2427"/>
      <c r="BF57" s="2339"/>
      <c r="BG57" s="2339"/>
      <c r="BH57" s="2340"/>
      <c r="BI57" s="2332"/>
      <c r="BJ57" s="2427"/>
      <c r="BK57" s="2339"/>
      <c r="BL57" s="2339"/>
      <c r="BM57" s="2339"/>
      <c r="BN57" s="2332"/>
      <c r="BO57" s="2333"/>
      <c r="BP57" s="2333"/>
      <c r="BQ57" s="2333"/>
      <c r="BR57" s="2333"/>
      <c r="BS57" s="2428"/>
      <c r="BT57" s="2339"/>
      <c r="BU57" s="2339"/>
      <c r="BV57" s="2339"/>
      <c r="BW57" s="2339"/>
      <c r="BX57" s="2332"/>
      <c r="BY57" s="2333"/>
      <c r="BZ57" s="2333"/>
      <c r="CA57" s="2333"/>
      <c r="CB57" s="2333"/>
      <c r="CC57" s="2428"/>
      <c r="CD57" s="2429"/>
      <c r="CE57" s="2339"/>
      <c r="CF57" s="2339"/>
      <c r="CG57" s="2339"/>
      <c r="CH57" s="2332"/>
      <c r="CI57" s="2341"/>
      <c r="CJ57" s="2339"/>
      <c r="CK57" s="2339"/>
      <c r="CL57" s="2339"/>
      <c r="CM57" s="2332"/>
      <c r="CN57" s="2339"/>
      <c r="CO57" s="2339"/>
      <c r="CP57" s="2339"/>
      <c r="CQ57" s="2339"/>
      <c r="CR57" s="2332"/>
      <c r="CS57" s="2342"/>
      <c r="CT57" s="2339"/>
      <c r="CU57" s="2339"/>
      <c r="CV57" s="2339"/>
      <c r="CW57" s="2332"/>
      <c r="CX57" s="2339"/>
      <c r="CY57" s="2339"/>
      <c r="CZ57" s="2339"/>
      <c r="DA57" s="4435">
        <v>1000</v>
      </c>
      <c r="DB57" s="4186">
        <v>4056</v>
      </c>
      <c r="DC57" s="4435">
        <f>DG57-SUM(DD57:DF57)</f>
        <v>1199</v>
      </c>
      <c r="DD57" s="4435">
        <v>1350</v>
      </c>
      <c r="DE57" s="4435">
        <v>1580</v>
      </c>
      <c r="DF57" s="2339">
        <v>1709</v>
      </c>
      <c r="DG57" s="4186">
        <v>5838</v>
      </c>
      <c r="DH57" s="2339">
        <v>1825</v>
      </c>
      <c r="DI57" s="2339">
        <v>2100</v>
      </c>
      <c r="DJ57" s="2339">
        <v>2379</v>
      </c>
      <c r="DK57" s="2339">
        <v>2614</v>
      </c>
      <c r="DL57" s="5264">
        <f>SUM(DH57:DK57)</f>
        <v>8918</v>
      </c>
      <c r="DM57" s="5259">
        <v>2777</v>
      </c>
      <c r="DN57" s="5259">
        <v>3007</v>
      </c>
      <c r="DO57" s="5259">
        <v>3444</v>
      </c>
      <c r="DP57" s="5259">
        <v>3831</v>
      </c>
      <c r="DQ57" s="5264">
        <f>SUM(DM57:DP57)</f>
        <v>13059</v>
      </c>
      <c r="DR57" s="5259">
        <v>4047</v>
      </c>
      <c r="DS57" s="5259">
        <v>4628</v>
      </c>
      <c r="DT57" s="5259">
        <v>4990</v>
      </c>
      <c r="DU57" s="5259">
        <v>5541</v>
      </c>
      <c r="DV57" s="5264">
        <f>SUM(DR57:DU57)</f>
        <v>19206</v>
      </c>
      <c r="DW57" s="5259">
        <v>5821</v>
      </c>
      <c r="DX57" s="5259">
        <v>6276</v>
      </c>
      <c r="DY57" s="5259">
        <v>6868</v>
      </c>
      <c r="DZ57" s="5259">
        <v>7315</v>
      </c>
      <c r="EA57" s="4195">
        <f>SUM(DW57:DZ57)</f>
        <v>26280</v>
      </c>
      <c r="EB57" s="5259">
        <v>7454</v>
      </c>
      <c r="EC57" s="5259">
        <v>8031</v>
      </c>
      <c r="ED57" s="5259">
        <v>8411</v>
      </c>
      <c r="EE57" s="5259">
        <v>9192</v>
      </c>
      <c r="EF57" s="4195">
        <f>SUM(EB57:EE57)</f>
        <v>33088</v>
      </c>
      <c r="EG57" s="5259">
        <v>9574</v>
      </c>
      <c r="EH57" s="5259">
        <v>10347</v>
      </c>
      <c r="EI57" s="5259">
        <v>11353</v>
      </c>
      <c r="EJ57" s="5259">
        <v>11955</v>
      </c>
      <c r="EK57" s="4195">
        <f>SUM(EG57:EJ57)</f>
        <v>43229</v>
      </c>
      <c r="EL57" s="5259">
        <v>12260</v>
      </c>
      <c r="EM57" s="5259">
        <v>13624</v>
      </c>
      <c r="EN57" s="5259">
        <v>15157</v>
      </c>
      <c r="EO57" s="2333">
        <f t="shared" ref="EO57" si="197">EO60+EO59</f>
        <v>16522.494173601481</v>
      </c>
      <c r="EP57" s="4195">
        <f>SUM(EL57:EO57)</f>
        <v>57563.494173601481</v>
      </c>
      <c r="EQ57" s="2333">
        <f t="shared" ref="EQ57:ET57" si="198">EQ60+EQ59</f>
        <v>17703.157460375878</v>
      </c>
      <c r="ER57" s="2333">
        <f t="shared" si="198"/>
        <v>19458.681752392629</v>
      </c>
      <c r="ES57" s="2333">
        <f t="shared" si="198"/>
        <v>21697.828609286509</v>
      </c>
      <c r="ET57" s="2333">
        <f t="shared" si="198"/>
        <v>23908.685118985952</v>
      </c>
      <c r="EU57" s="4195">
        <f>SUM(EQ57:ET57)</f>
        <v>82768.352941040968</v>
      </c>
      <c r="EV57" s="4195">
        <f>EU57*(1+EV61)+EV59</f>
        <v>107598.85882335326</v>
      </c>
      <c r="EW57" s="4195">
        <f>EV57*(1+EW61)+EW59</f>
        <v>134498.57352919158</v>
      </c>
      <c r="EX57" s="4195">
        <f>EW57*(1+EX61)+EX59</f>
        <v>161398.28823502988</v>
      </c>
      <c r="EY57" s="4195">
        <f>EX57*(1+EY61)+EY59</f>
        <v>190449.98011733525</v>
      </c>
      <c r="EZ57" s="175"/>
      <c r="FA57" s="1319">
        <f>(EV57/EK57)^(1/3)-1</f>
        <v>0.35522319257888801</v>
      </c>
      <c r="FB57" s="1319">
        <f>(EX57/EK57)^(1/5)-1</f>
        <v>0.30144178688805212</v>
      </c>
    </row>
    <row r="58" spans="1:160" s="2613" customFormat="1" ht="11.25" customHeight="1">
      <c r="A58" s="5639" t="s">
        <v>45</v>
      </c>
      <c r="B58" s="181"/>
      <c r="C58" s="181"/>
      <c r="D58" s="181"/>
      <c r="E58" s="182"/>
      <c r="F58" s="4242"/>
      <c r="G58" s="181"/>
      <c r="H58" s="181"/>
      <c r="I58" s="181"/>
      <c r="J58" s="181"/>
      <c r="K58" s="991"/>
      <c r="L58" s="181"/>
      <c r="M58" s="181"/>
      <c r="N58" s="181"/>
      <c r="O58" s="181"/>
      <c r="P58" s="2588"/>
      <c r="Q58" s="1226"/>
      <c r="R58" s="2612"/>
      <c r="S58" s="2612"/>
      <c r="T58" s="2612"/>
      <c r="U58" s="2588"/>
      <c r="V58" s="1226"/>
      <c r="W58" s="2612"/>
      <c r="X58" s="2612"/>
      <c r="Y58" s="2612"/>
      <c r="Z58" s="2588"/>
      <c r="AA58" s="1226"/>
      <c r="AB58" s="2612"/>
      <c r="AC58" s="2612"/>
      <c r="AD58" s="2612"/>
      <c r="AE58" s="2588"/>
      <c r="AF58" s="1226"/>
      <c r="AG58" s="2612"/>
      <c r="AH58" s="2612"/>
      <c r="AI58" s="2612"/>
      <c r="AJ58" s="2588"/>
      <c r="AK58" s="1226"/>
      <c r="AL58" s="2612"/>
      <c r="AM58" s="2612"/>
      <c r="AN58" s="2612"/>
      <c r="AO58" s="2588"/>
      <c r="AP58" s="1226"/>
      <c r="AQ58" s="2612"/>
      <c r="AR58" s="2612"/>
      <c r="AS58" s="2612"/>
      <c r="AT58" s="2588"/>
      <c r="AU58" s="1226"/>
      <c r="AV58" s="2612"/>
      <c r="AW58" s="2612"/>
      <c r="AX58" s="2612"/>
      <c r="AY58" s="2588"/>
      <c r="AZ58" s="1226"/>
      <c r="BA58" s="2612"/>
      <c r="BB58" s="2612"/>
      <c r="BC58" s="2612"/>
      <c r="BD58" s="2588"/>
      <c r="BE58" s="1226"/>
      <c r="BF58" s="2612"/>
      <c r="BG58" s="2612"/>
      <c r="BH58" s="2612"/>
      <c r="BI58" s="2588"/>
      <c r="BJ58" s="1226"/>
      <c r="BK58" s="2612"/>
      <c r="BL58" s="2612"/>
      <c r="BM58" s="2612"/>
      <c r="BN58" s="2588"/>
      <c r="BO58" s="2612"/>
      <c r="BP58" s="2612"/>
      <c r="BQ58" s="2612"/>
      <c r="BR58" s="2612"/>
      <c r="BS58" s="2587"/>
      <c r="BT58" s="2612"/>
      <c r="BU58" s="2612"/>
      <c r="BV58" s="2612"/>
      <c r="BW58" s="2612"/>
      <c r="BX58" s="2588"/>
      <c r="BY58" s="2612"/>
      <c r="BZ58" s="2612"/>
      <c r="CA58" s="2612"/>
      <c r="CB58" s="2612"/>
      <c r="CC58" s="2587"/>
      <c r="CD58" s="576"/>
      <c r="CE58" s="2612"/>
      <c r="CF58" s="2612"/>
      <c r="CG58" s="2612"/>
      <c r="CH58" s="2588"/>
      <c r="CI58" s="2612"/>
      <c r="CJ58" s="2612"/>
      <c r="CK58" s="2612"/>
      <c r="CL58" s="2612"/>
      <c r="CM58" s="2588"/>
      <c r="CN58" s="2612"/>
      <c r="CO58" s="2612"/>
      <c r="CP58" s="2612"/>
      <c r="CQ58" s="2612"/>
      <c r="CR58" s="2588"/>
      <c r="CS58" s="2612"/>
      <c r="CT58" s="2612"/>
      <c r="CU58" s="2612"/>
      <c r="CV58" s="2612"/>
      <c r="CW58" s="2588"/>
      <c r="CX58" s="2612"/>
      <c r="CY58" s="2612"/>
      <c r="CZ58" s="2612"/>
      <c r="DA58" s="2612"/>
      <c r="DB58" s="2588" t="str">
        <f>IFERROR(DB57/CW57-1,"NA")</f>
        <v>NA</v>
      </c>
      <c r="DC58" s="2612"/>
      <c r="DD58" s="2612"/>
      <c r="DE58" s="2612"/>
      <c r="DF58" s="2612">
        <f t="shared" ref="DF58:DK58" si="199">IFERROR(DF57/DA57-1,"NA")</f>
        <v>0.70900000000000007</v>
      </c>
      <c r="DG58" s="2588">
        <f t="shared" si="199"/>
        <v>0.43934911242603558</v>
      </c>
      <c r="DH58" s="2612">
        <f t="shared" si="199"/>
        <v>0.52210175145954962</v>
      </c>
      <c r="DI58" s="2612">
        <f t="shared" si="199"/>
        <v>0.55555555555555558</v>
      </c>
      <c r="DJ58" s="2612">
        <f t="shared" si="199"/>
        <v>0.5056962025316456</v>
      </c>
      <c r="DK58" s="2612">
        <f t="shared" si="199"/>
        <v>0.529549444119368</v>
      </c>
      <c r="DL58" s="2588">
        <f>+DL57/DG57-1</f>
        <v>0.52757793764988015</v>
      </c>
      <c r="DM58" s="2612">
        <f>IFERROR(DM57/DH57-1,"NA")</f>
        <v>0.52164383561643834</v>
      </c>
      <c r="DN58" s="2612">
        <f>IFERROR(DN57/DI57-1,"NA")</f>
        <v>0.43190476190476201</v>
      </c>
      <c r="DO58" s="2612">
        <f>IFERROR(DO57/DJ57-1,"NA")</f>
        <v>0.44766708701134927</v>
      </c>
      <c r="DP58" s="2612">
        <f>IFERROR(DP57/DK57-1,"NA")</f>
        <v>0.46557000765110934</v>
      </c>
      <c r="DQ58" s="2588">
        <f>+DQ57/DL57-1</f>
        <v>0.46434178066831122</v>
      </c>
      <c r="DR58" s="2612">
        <f>IFERROR(DR57/DM57-1,"NA")</f>
        <v>0.4573280518545193</v>
      </c>
      <c r="DS58" s="2612">
        <f>IFERROR(DS57/DN57-1,"NA")</f>
        <v>0.53907549052211512</v>
      </c>
      <c r="DT58" s="2612">
        <f>IFERROR(DT57/DO57-1,"NA")</f>
        <v>0.44889663182346107</v>
      </c>
      <c r="DU58" s="2612">
        <f>IFERROR(DU57/DP57-1,"NA")</f>
        <v>0.44635865309318712</v>
      </c>
      <c r="DV58" s="2588">
        <f>+DV57/DQ57-1</f>
        <v>0.47070985527222597</v>
      </c>
      <c r="DW58" s="2612">
        <f>IFERROR(DW57/DR57-1,"NA")</f>
        <v>0.4383493946132937</v>
      </c>
      <c r="DX58" s="2612">
        <f>IFERROR(DX57/DS57-1,"NA")</f>
        <v>0.35609334485738975</v>
      </c>
      <c r="DY58" s="2612">
        <f>IFERROR(DY57/DT57-1,"NA")</f>
        <v>0.37635270541082155</v>
      </c>
      <c r="DZ58" s="2612">
        <f>IFERROR(DZ57/DU57-1,"NA")</f>
        <v>0.3201588160981772</v>
      </c>
      <c r="EA58" s="2588">
        <f t="shared" ref="EA58:EK58" si="200">+EA57/DV57-1</f>
        <v>0.36832239925023424</v>
      </c>
      <c r="EB58" s="2612">
        <f>IFERROR(EB57/DW57-1,"NA")</f>
        <v>0.28053599037965982</v>
      </c>
      <c r="EC58" s="2612">
        <f>IFERROR(EC57/DX57-1,"NA")</f>
        <v>0.2796367112810707</v>
      </c>
      <c r="ED58" s="2612">
        <f>IFERROR(ED57/DY57-1,"NA")</f>
        <v>0.22466511357018049</v>
      </c>
      <c r="EE58" s="2612">
        <f>IFERROR(EE57/DZ57-1,"NA")</f>
        <v>0.25659603554340404</v>
      </c>
      <c r="EF58" s="2588">
        <f t="shared" si="200"/>
        <v>0.25905631659056327</v>
      </c>
      <c r="EG58" s="2612">
        <f>IFERROR(EG57/EB57-1,"NA")</f>
        <v>0.28441105446740012</v>
      </c>
      <c r="EH58" s="2612">
        <f>IFERROR(EH57/EC57-1,"NA")</f>
        <v>0.28838251774374291</v>
      </c>
      <c r="EI58" s="2612">
        <f>IFERROR(EI57/ED57-1,"NA")</f>
        <v>0.34978004993460954</v>
      </c>
      <c r="EJ58" s="2612">
        <f>IFERROR(EJ57/EE57-1,"NA")</f>
        <v>0.3005874673629243</v>
      </c>
      <c r="EK58" s="2588">
        <f t="shared" si="200"/>
        <v>0.30648573500967125</v>
      </c>
      <c r="EL58" s="2612">
        <f>IFERROR(EL57/EG57-1,"NA")</f>
        <v>0.28055149362857734</v>
      </c>
      <c r="EM58" s="2612">
        <f>IFERROR(EM57/EH57-1,"NA")</f>
        <v>0.31671015753358467</v>
      </c>
      <c r="EN58" s="2612">
        <f>IFERROR(EN57/EI57-1,"NA")</f>
        <v>0.33506562142165075</v>
      </c>
      <c r="EO58" s="2612">
        <f t="shared" ref="EO58:EP58" si="201">+EO57/EJ57-1</f>
        <v>0.3820572290758244</v>
      </c>
      <c r="EP58" s="2588">
        <f t="shared" si="201"/>
        <v>0.33159439666893697</v>
      </c>
      <c r="EQ58" s="2612">
        <f t="shared" ref="EQ58" si="202">+EQ57/EL57-1</f>
        <v>0.44397695435366047</v>
      </c>
      <c r="ER58" s="2612">
        <f t="shared" ref="ER58" si="203">+ER57/EM57-1</f>
        <v>0.42826495540169041</v>
      </c>
      <c r="ES58" s="2612">
        <f t="shared" ref="ES58" si="204">+ES57/EN57-1</f>
        <v>0.43153847128630396</v>
      </c>
      <c r="ET58" s="2612">
        <f t="shared" ref="ET58:EU58" si="205">+ET57/EO57-1</f>
        <v>0.4470384959908551</v>
      </c>
      <c r="EU58" s="2588">
        <f t="shared" si="205"/>
        <v>0.43786186244056036</v>
      </c>
      <c r="EV58" s="2587">
        <f>+EV57/EU57-1</f>
        <v>0.30000000000000004</v>
      </c>
      <c r="EW58" s="2587">
        <f>+EW57/EV57-1</f>
        <v>0.25</v>
      </c>
      <c r="EX58" s="2587">
        <f>+EX57/EW57-1</f>
        <v>0.19999999999999996</v>
      </c>
      <c r="EY58" s="2587">
        <f>+EY57/EX57-1</f>
        <v>0.17999999999999994</v>
      </c>
      <c r="EZ58" s="181"/>
      <c r="FA58" s="725"/>
      <c r="FB58" s="725"/>
    </row>
    <row r="59" spans="1:160" s="2613" customFormat="1" ht="11.25" hidden="1" customHeight="1" outlineLevel="1">
      <c r="A59" s="5639" t="s">
        <v>874</v>
      </c>
      <c r="B59" s="181"/>
      <c r="C59" s="181"/>
      <c r="D59" s="181"/>
      <c r="E59" s="182"/>
      <c r="F59" s="4242"/>
      <c r="G59" s="181"/>
      <c r="H59" s="181"/>
      <c r="I59" s="181"/>
      <c r="J59" s="181"/>
      <c r="K59" s="991"/>
      <c r="L59" s="181"/>
      <c r="M59" s="181"/>
      <c r="N59" s="181"/>
      <c r="O59" s="181"/>
      <c r="P59" s="4453"/>
      <c r="Q59" s="4454"/>
      <c r="R59" s="4455"/>
      <c r="S59" s="4455"/>
      <c r="T59" s="4455"/>
      <c r="U59" s="4453"/>
      <c r="V59" s="4454"/>
      <c r="W59" s="4455"/>
      <c r="X59" s="4455"/>
      <c r="Y59" s="4455"/>
      <c r="Z59" s="4453"/>
      <c r="AA59" s="4454"/>
      <c r="AB59" s="4455"/>
      <c r="AC59" s="4455"/>
      <c r="AD59" s="4455"/>
      <c r="AE59" s="4453"/>
      <c r="AF59" s="4454"/>
      <c r="AG59" s="4455"/>
      <c r="AH59" s="4455"/>
      <c r="AI59" s="4455"/>
      <c r="AJ59" s="4453"/>
      <c r="AK59" s="4454"/>
      <c r="AL59" s="4455"/>
      <c r="AM59" s="4455"/>
      <c r="AN59" s="4455"/>
      <c r="AO59" s="4453"/>
      <c r="AP59" s="4454"/>
      <c r="AQ59" s="4455"/>
      <c r="AR59" s="4455"/>
      <c r="AS59" s="4455"/>
      <c r="AT59" s="4453"/>
      <c r="AU59" s="4454"/>
      <c r="AV59" s="4455"/>
      <c r="AW59" s="4455"/>
      <c r="AX59" s="4455"/>
      <c r="AY59" s="4453"/>
      <c r="AZ59" s="4454"/>
      <c r="BA59" s="4455"/>
      <c r="BB59" s="4455"/>
      <c r="BC59" s="4455"/>
      <c r="BD59" s="4453"/>
      <c r="BE59" s="4454"/>
      <c r="BF59" s="4455"/>
      <c r="BG59" s="4455"/>
      <c r="BH59" s="4455"/>
      <c r="BI59" s="4453"/>
      <c r="BJ59" s="4454"/>
      <c r="BK59" s="4455"/>
      <c r="BL59" s="4455"/>
      <c r="BM59" s="4455"/>
      <c r="BN59" s="4453"/>
      <c r="BO59" s="4455"/>
      <c r="BP59" s="4455"/>
      <c r="BQ59" s="4455"/>
      <c r="BR59" s="4455"/>
      <c r="BS59" s="4456"/>
      <c r="BT59" s="4455"/>
      <c r="BU59" s="4455"/>
      <c r="BV59" s="4455"/>
      <c r="BW59" s="4455"/>
      <c r="BX59" s="4456"/>
      <c r="BY59" s="4455"/>
      <c r="BZ59" s="4455"/>
      <c r="CA59" s="4455"/>
      <c r="CB59" s="4455"/>
      <c r="CC59" s="4456"/>
      <c r="CD59" s="4457"/>
      <c r="CE59" s="4455"/>
      <c r="CF59" s="4455"/>
      <c r="CG59" s="4455"/>
      <c r="CH59" s="4456"/>
      <c r="CI59" s="4455"/>
      <c r="CJ59" s="4455"/>
      <c r="CK59" s="4455"/>
      <c r="CL59" s="4455"/>
      <c r="CM59" s="4456"/>
      <c r="CN59" s="4455"/>
      <c r="CO59" s="4455"/>
      <c r="CP59" s="4455"/>
      <c r="CQ59" s="4455"/>
      <c r="CR59" s="4456"/>
      <c r="CS59" s="4455"/>
      <c r="CT59" s="4455"/>
      <c r="CU59" s="4455"/>
      <c r="CV59" s="4455"/>
      <c r="CW59" s="4456"/>
      <c r="CX59" s="4455"/>
      <c r="CY59" s="4455"/>
      <c r="CZ59" s="4455"/>
      <c r="DA59" s="4455"/>
      <c r="DB59" s="4456"/>
      <c r="DC59" s="4455"/>
      <c r="DD59" s="4455"/>
      <c r="DE59" s="4455"/>
      <c r="DF59" s="4455"/>
      <c r="DG59" s="4456">
        <f>DG84/DG83*DG212</f>
        <v>43.38558426036591</v>
      </c>
      <c r="DH59" s="3593">
        <f>DH84/SUM(DH$83:DH$84)*DH$71</f>
        <v>-58.398784413854358</v>
      </c>
      <c r="DI59" s="3593">
        <f>DI84/SUM(DI$83:DI$84)*DI$71</f>
        <v>-66.083156642705688</v>
      </c>
      <c r="DJ59" s="3593">
        <f>DJ84/SUM(DJ$83:DJ$84)*DJ$71</f>
        <v>-31.877712865133624</v>
      </c>
      <c r="DK59" s="3593">
        <f>DK84/SUM(DK$83:DK$84)*DK$71</f>
        <v>-23.793722168864054</v>
      </c>
      <c r="DL59" s="4456">
        <f>SUM(DH59:DK59)</f>
        <v>-180.15337609055774</v>
      </c>
      <c r="DM59" s="3593">
        <f>DM84/SUM(DM$83:DM$84)*DM$71</f>
        <v>-26.567028676021962</v>
      </c>
      <c r="DN59" s="3593">
        <f>DN84/SUM(DN$83:DN$84)*DN$71</f>
        <v>-55.869835254487079</v>
      </c>
      <c r="DO59" s="3593">
        <f>DO84/SUM(DO$83:DO$84)*DO$71</f>
        <v>-4.1163048438620509</v>
      </c>
      <c r="DP59" s="3593">
        <f>DP84/SUM(DP$83:DP$84)*DP$71</f>
        <v>19.525236314898422</v>
      </c>
      <c r="DQ59" s="4456">
        <f>SUM(DM59:DP59)</f>
        <v>-67.02793245947268</v>
      </c>
      <c r="DR59" s="3593">
        <f>DR84/SUM(DR$83:DR$84)*DR$71</f>
        <v>80.683512901765511</v>
      </c>
      <c r="DS59" s="3593">
        <f>DS84/SUM(DS$83:DS$84)*DS$71</f>
        <v>141.55176270362267</v>
      </c>
      <c r="DT59" s="3593">
        <f>DT84/SUM(DT$83:DT$84)*DT$71</f>
        <v>47.304775410796317</v>
      </c>
      <c r="DU59" s="3593">
        <f>DU84/SUM(DU$83:DU$84)*DU$71</f>
        <v>-20.18511896024873</v>
      </c>
      <c r="DV59" s="4456">
        <f>SUM(DR59:DU59)</f>
        <v>249.35493205593579</v>
      </c>
      <c r="DW59" s="3593">
        <f>DW84/SUM(DW$83:DW$84)*DW$71</f>
        <v>-172.22610078314239</v>
      </c>
      <c r="DX59" s="3593">
        <f>DX84/SUM(DX$83:DX$84)*DX$71</f>
        <v>-243.53244498459134</v>
      </c>
      <c r="DY59" s="3593">
        <f>DY84/SUM(DY$83:DY$84)*DY$71</f>
        <v>-394.29736977067915</v>
      </c>
      <c r="DZ59" s="3593">
        <f>DZ84/SUM(DZ$83:DZ$84)*DZ$71</f>
        <v>-460.68546831131164</v>
      </c>
      <c r="EA59" s="4456">
        <f>SUM(DW59:DZ59)</f>
        <v>-1270.7413838497246</v>
      </c>
      <c r="EB59" s="3593">
        <f>EB84/SUM(EB$83:EB$84)*EB$71</f>
        <v>-233.45092559245123</v>
      </c>
      <c r="EC59" s="3593">
        <f>EC84/SUM(EC$83:EC$84)*EC$71</f>
        <v>-123.84312933957692</v>
      </c>
      <c r="ED59" s="3593">
        <f>ED84/SUM(ED$83:ED$84)*ED$71</f>
        <v>47.010969017108003</v>
      </c>
      <c r="EE59" s="3593">
        <f>EE84/SUM(EE$83:EE$84)*EE$71</f>
        <v>101.0546998350935</v>
      </c>
      <c r="EF59" s="4456">
        <f>SUM(EB59:EE59)</f>
        <v>-209.22838607982663</v>
      </c>
      <c r="EG59" s="3593">
        <f>EG84/SUM(EG$83:EG$84)*EG$71</f>
        <v>-46.689591356974944</v>
      </c>
      <c r="EH59" s="3593">
        <f>EH84/SUM(EH$83:EH$84)*EH$71</f>
        <v>-155.55798279442303</v>
      </c>
      <c r="EI59" s="3593">
        <f>EI84/SUM(EI$83:EI$84)*EI$71</f>
        <v>-131.40913695184548</v>
      </c>
      <c r="EJ59" s="3593">
        <f>EJ84/SUM(EJ$83:EJ$84)*EJ$71</f>
        <v>-32.983945694385156</v>
      </c>
      <c r="EK59" s="4456">
        <f>SUM(EG59:EJ59)</f>
        <v>-366.64065679762859</v>
      </c>
      <c r="EL59" s="3593">
        <f>EL84/SUM(EL$83:EL$84)*EL$71</f>
        <v>-219.79916000178721</v>
      </c>
      <c r="EM59" s="3593">
        <f>EM84/SUM(EM$83:EM$84)*EM$71</f>
        <v>76.926929196083904</v>
      </c>
      <c r="EN59" s="3593">
        <f>EN84/SUM(EN$83:EN$84)*EN$71</f>
        <v>198.56590906867513</v>
      </c>
      <c r="EO59" s="3593">
        <f t="shared" ref="EO59:ET59" si="206">EO$71*EO60/SUM(EO$11,EO$18,EO$32,EO$60,EO$46)</f>
        <v>144.14417360147786</v>
      </c>
      <c r="EP59" s="4456">
        <f>SUM(EL59:EO59)</f>
        <v>199.83785186444968</v>
      </c>
      <c r="EQ59" s="3593">
        <f t="shared" si="206"/>
        <v>539.15746037587633</v>
      </c>
      <c r="ER59" s="3593">
        <f t="shared" si="206"/>
        <v>112.60175239262971</v>
      </c>
      <c r="ES59" s="3593">
        <f t="shared" si="206"/>
        <v>-128.25139071348926</v>
      </c>
      <c r="ET59" s="3593">
        <f t="shared" si="206"/>
        <v>-48.931432736191773</v>
      </c>
      <c r="EU59" s="4456">
        <f>SUM(EQ59:ET59)</f>
        <v>474.57638931882497</v>
      </c>
      <c r="EV59" s="4456">
        <f>EV$71*EV60/SUM(EV$11,EV$18,EV$32,EV$60,EV$46)</f>
        <v>0</v>
      </c>
      <c r="EW59" s="4456">
        <f>EW$71*EW60/SUM(EW$11,EW$18,EW$32,EW$60,EW$46)</f>
        <v>0</v>
      </c>
      <c r="EX59" s="4456">
        <f>EX$71*EX60/SUM(EX$11,EX$18,EX$32,EX$60,EX$46)</f>
        <v>0</v>
      </c>
      <c r="EY59" s="4456">
        <f>EY$71*EY60/SUM(EY$11,EY$18,EY$32,EY$60,EY$46)</f>
        <v>0</v>
      </c>
      <c r="EZ59" s="181"/>
      <c r="FA59" s="725"/>
      <c r="FB59" s="725"/>
    </row>
    <row r="60" spans="1:160" s="138" customFormat="1" ht="11.25" hidden="1" customHeight="1" outlineLevel="1">
      <c r="A60" s="5640" t="s">
        <v>882</v>
      </c>
      <c r="B60" s="124"/>
      <c r="C60" s="124"/>
      <c r="D60" s="124"/>
      <c r="E60" s="139"/>
      <c r="F60" s="3574"/>
      <c r="G60" s="124"/>
      <c r="H60" s="124"/>
      <c r="I60" s="124"/>
      <c r="J60" s="124"/>
      <c r="K60" s="997"/>
      <c r="L60" s="124"/>
      <c r="M60" s="124"/>
      <c r="N60" s="124"/>
      <c r="O60" s="124"/>
      <c r="P60" s="3967"/>
      <c r="Q60" s="3968"/>
      <c r="R60" s="3593"/>
      <c r="S60" s="3593"/>
      <c r="T60" s="3593"/>
      <c r="U60" s="3967"/>
      <c r="V60" s="3968"/>
      <c r="W60" s="3593"/>
      <c r="X60" s="3593"/>
      <c r="Y60" s="3593"/>
      <c r="Z60" s="3967"/>
      <c r="AA60" s="3968"/>
      <c r="AB60" s="3593"/>
      <c r="AC60" s="3593"/>
      <c r="AD60" s="3593"/>
      <c r="AE60" s="3967"/>
      <c r="AF60" s="3968"/>
      <c r="AG60" s="3593"/>
      <c r="AH60" s="3593"/>
      <c r="AI60" s="3593"/>
      <c r="AJ60" s="3967"/>
      <c r="AK60" s="3968"/>
      <c r="AL60" s="3593"/>
      <c r="AM60" s="3593"/>
      <c r="AN60" s="3593"/>
      <c r="AO60" s="3967"/>
      <c r="AP60" s="3968"/>
      <c r="AQ60" s="3593"/>
      <c r="AR60" s="3593"/>
      <c r="AS60" s="3593"/>
      <c r="AT60" s="3967"/>
      <c r="AU60" s="3968"/>
      <c r="AV60" s="3593"/>
      <c r="AW60" s="3593"/>
      <c r="AX60" s="3593"/>
      <c r="AY60" s="3967"/>
      <c r="AZ60" s="3968"/>
      <c r="BA60" s="3593"/>
      <c r="BB60" s="3593"/>
      <c r="BC60" s="3593"/>
      <c r="BD60" s="3967"/>
      <c r="BE60" s="3968"/>
      <c r="BF60" s="3593"/>
      <c r="BG60" s="3593"/>
      <c r="BH60" s="3593"/>
      <c r="BI60" s="3967"/>
      <c r="BJ60" s="3968"/>
      <c r="BK60" s="3593"/>
      <c r="BL60" s="3593"/>
      <c r="BM60" s="3593"/>
      <c r="BN60" s="3967"/>
      <c r="BO60" s="3593"/>
      <c r="BP60" s="3593"/>
      <c r="BQ60" s="3593"/>
      <c r="BR60" s="3593"/>
      <c r="BS60" s="4526"/>
      <c r="BT60" s="3593"/>
      <c r="BU60" s="3593"/>
      <c r="BV60" s="3593"/>
      <c r="BW60" s="3593"/>
      <c r="BX60" s="4526"/>
      <c r="BY60" s="3593"/>
      <c r="BZ60" s="3593"/>
      <c r="CA60" s="3593"/>
      <c r="CB60" s="3593"/>
      <c r="CC60" s="4526"/>
      <c r="CD60" s="3969"/>
      <c r="CE60" s="3593"/>
      <c r="CF60" s="3593"/>
      <c r="CG60" s="3593"/>
      <c r="CH60" s="4526"/>
      <c r="CI60" s="3593"/>
      <c r="CJ60" s="3593"/>
      <c r="CK60" s="3593"/>
      <c r="CL60" s="3593"/>
      <c r="CM60" s="4526"/>
      <c r="CN60" s="3593"/>
      <c r="CO60" s="3593"/>
      <c r="CP60" s="3593"/>
      <c r="CQ60" s="3593"/>
      <c r="CR60" s="4526"/>
      <c r="CS60" s="3593"/>
      <c r="CT60" s="3593"/>
      <c r="CU60" s="3593"/>
      <c r="CV60" s="3593"/>
      <c r="CW60" s="4526"/>
      <c r="CX60" s="3593"/>
      <c r="CY60" s="3593"/>
      <c r="CZ60" s="3593"/>
      <c r="DA60" s="3593"/>
      <c r="DB60" s="4526"/>
      <c r="DC60" s="3593"/>
      <c r="DD60" s="3593"/>
      <c r="DE60" s="3593"/>
      <c r="DF60" s="3593"/>
      <c r="DG60" s="1954">
        <f t="shared" ref="DG60:DQ60" si="207">DG57-DG59</f>
        <v>5794.6144157396338</v>
      </c>
      <c r="DH60" s="176">
        <f t="shared" si="207"/>
        <v>1883.3987844138544</v>
      </c>
      <c r="DI60" s="176">
        <f t="shared" si="207"/>
        <v>2166.0831566427055</v>
      </c>
      <c r="DJ60" s="176">
        <f t="shared" si="207"/>
        <v>2410.8777128651336</v>
      </c>
      <c r="DK60" s="176">
        <f t="shared" si="207"/>
        <v>2637.793722168864</v>
      </c>
      <c r="DL60" s="1954">
        <f t="shared" si="207"/>
        <v>9098.1533760905586</v>
      </c>
      <c r="DM60" s="176">
        <f t="shared" si="207"/>
        <v>2803.5670286760219</v>
      </c>
      <c r="DN60" s="176">
        <f t="shared" si="207"/>
        <v>3062.869835254487</v>
      </c>
      <c r="DO60" s="176">
        <f t="shared" si="207"/>
        <v>3448.1163048438621</v>
      </c>
      <c r="DP60" s="176">
        <f t="shared" si="207"/>
        <v>3811.4747636851016</v>
      </c>
      <c r="DQ60" s="1954">
        <f t="shared" si="207"/>
        <v>13126.027932459472</v>
      </c>
      <c r="DR60" s="176">
        <f t="shared" ref="DR60:DW60" si="208">DR57-DR59</f>
        <v>3966.3164870982346</v>
      </c>
      <c r="DS60" s="176">
        <f t="shared" si="208"/>
        <v>4486.4482372963776</v>
      </c>
      <c r="DT60" s="176">
        <f t="shared" si="208"/>
        <v>4942.6952245892035</v>
      </c>
      <c r="DU60" s="176">
        <f t="shared" si="208"/>
        <v>5561.1851189602485</v>
      </c>
      <c r="DV60" s="1954">
        <f t="shared" si="208"/>
        <v>18956.645067944064</v>
      </c>
      <c r="DW60" s="176">
        <f t="shared" si="208"/>
        <v>5993.2261007831421</v>
      </c>
      <c r="DX60" s="176">
        <f t="shared" ref="DX60:ED60" si="209">DX57-DX59</f>
        <v>6519.5324449845912</v>
      </c>
      <c r="DY60" s="176">
        <f t="shared" si="209"/>
        <v>7262.2973697706793</v>
      </c>
      <c r="DZ60" s="176">
        <f t="shared" si="209"/>
        <v>7775.6854683113115</v>
      </c>
      <c r="EA60" s="1954">
        <f t="shared" si="209"/>
        <v>27550.741383849723</v>
      </c>
      <c r="EB60" s="176">
        <f t="shared" si="209"/>
        <v>7687.4509255924513</v>
      </c>
      <c r="EC60" s="176">
        <f t="shared" si="209"/>
        <v>8154.843129339577</v>
      </c>
      <c r="ED60" s="176">
        <f t="shared" si="209"/>
        <v>8363.9890309828916</v>
      </c>
      <c r="EE60" s="176">
        <f t="shared" ref="EE60" si="210">EE57-EE59</f>
        <v>9090.9453001649072</v>
      </c>
      <c r="EF60" s="1954">
        <f>EF57-EF59</f>
        <v>33297.228386079827</v>
      </c>
      <c r="EG60" s="176">
        <f t="shared" ref="EG60:EJ60" si="211">EG57-EG59</f>
        <v>9620.6895913569751</v>
      </c>
      <c r="EH60" s="176">
        <f t="shared" si="211"/>
        <v>10502.557982794424</v>
      </c>
      <c r="EI60" s="176">
        <f t="shared" si="211"/>
        <v>11484.409136951845</v>
      </c>
      <c r="EJ60" s="176">
        <f t="shared" si="211"/>
        <v>11987.983945694385</v>
      </c>
      <c r="EK60" s="1954">
        <f>EK57-EK59</f>
        <v>43595.64065679763</v>
      </c>
      <c r="EL60" s="176">
        <f t="shared" ref="EL60:EN60" si="212">EL57-EL59</f>
        <v>12479.799160001787</v>
      </c>
      <c r="EM60" s="176">
        <f t="shared" si="212"/>
        <v>13547.073070803915</v>
      </c>
      <c r="EN60" s="176">
        <f t="shared" si="212"/>
        <v>14958.434090931325</v>
      </c>
      <c r="EO60" s="176">
        <f t="shared" ref="EO60" si="213">EJ57*(1+EO61)</f>
        <v>16378.350000000002</v>
      </c>
      <c r="EP60" s="1954">
        <f>EP57-EP59</f>
        <v>57363.656321737028</v>
      </c>
      <c r="EQ60" s="176">
        <f t="shared" ref="EQ60" si="214">EL57*(1+EQ61)</f>
        <v>17164</v>
      </c>
      <c r="ER60" s="176">
        <f t="shared" ref="ER60" si="215">EM57*(1+ER61)</f>
        <v>19346.079999999998</v>
      </c>
      <c r="ES60" s="176">
        <f t="shared" ref="ES60" si="216">EN57*(1+ES61)</f>
        <v>21826.079999999998</v>
      </c>
      <c r="ET60" s="176">
        <f t="shared" ref="ET60" si="217">EO57*(1+ET61)</f>
        <v>23957.616551722145</v>
      </c>
      <c r="EU60" s="1954">
        <f>EU57-EU59</f>
        <v>82293.776551722141</v>
      </c>
      <c r="EV60" s="1954">
        <f>EU57*(1+EV61)</f>
        <v>107598.85882335326</v>
      </c>
      <c r="EW60" s="1954">
        <f>EV57*(1+EW61)</f>
        <v>134498.57352919158</v>
      </c>
      <c r="EX60" s="1954">
        <f>EW57*(1+EX61)</f>
        <v>161398.28823502988</v>
      </c>
      <c r="EY60" s="1954">
        <f>EX57*(1+EY61)</f>
        <v>190449.98011733525</v>
      </c>
      <c r="EZ60" s="124"/>
      <c r="FA60" s="738"/>
      <c r="FB60" s="738"/>
    </row>
    <row r="61" spans="1:160" s="2613" customFormat="1" ht="11.25" customHeight="1" collapsed="1">
      <c r="A61" s="5643" t="s">
        <v>635</v>
      </c>
      <c r="B61" s="1098"/>
      <c r="C61" s="1098"/>
      <c r="D61" s="1098"/>
      <c r="E61" s="2289"/>
      <c r="F61" s="4245"/>
      <c r="G61" s="1098"/>
      <c r="H61" s="1098"/>
      <c r="I61" s="1098"/>
      <c r="J61" s="1098"/>
      <c r="K61" s="2872"/>
      <c r="L61" s="1098"/>
      <c r="M61" s="1098"/>
      <c r="N61" s="1098"/>
      <c r="O61" s="1098"/>
      <c r="P61" s="4458"/>
      <c r="Q61" s="4459"/>
      <c r="R61" s="4459"/>
      <c r="S61" s="4459"/>
      <c r="T61" s="4459"/>
      <c r="U61" s="4458"/>
      <c r="V61" s="4459"/>
      <c r="W61" s="4459"/>
      <c r="X61" s="4459"/>
      <c r="Y61" s="4459"/>
      <c r="Z61" s="4458"/>
      <c r="AA61" s="4459"/>
      <c r="AB61" s="4459"/>
      <c r="AC61" s="4459"/>
      <c r="AD61" s="4459"/>
      <c r="AE61" s="4458"/>
      <c r="AF61" s="4459"/>
      <c r="AG61" s="4459"/>
      <c r="AH61" s="4459"/>
      <c r="AI61" s="4459"/>
      <c r="AJ61" s="4458"/>
      <c r="AK61" s="4459"/>
      <c r="AL61" s="4459"/>
      <c r="AM61" s="4459"/>
      <c r="AN61" s="4459"/>
      <c r="AO61" s="4458"/>
      <c r="AP61" s="4459"/>
      <c r="AQ61" s="4459"/>
      <c r="AR61" s="4459"/>
      <c r="AS61" s="4459"/>
      <c r="AT61" s="4458"/>
      <c r="AU61" s="4459"/>
      <c r="AV61" s="4459"/>
      <c r="AW61" s="4459"/>
      <c r="AX61" s="4459"/>
      <c r="AY61" s="4458"/>
      <c r="AZ61" s="4459"/>
      <c r="BA61" s="4459"/>
      <c r="BB61" s="4459"/>
      <c r="BC61" s="4459"/>
      <c r="BD61" s="4458"/>
      <c r="BE61" s="4459"/>
      <c r="BF61" s="4459"/>
      <c r="BG61" s="4459"/>
      <c r="BH61" s="4459"/>
      <c r="BI61" s="4458"/>
      <c r="BJ61" s="4459"/>
      <c r="BK61" s="4459"/>
      <c r="BL61" s="4459"/>
      <c r="BM61" s="4459"/>
      <c r="BN61" s="4458"/>
      <c r="BO61" s="4459"/>
      <c r="BP61" s="4459"/>
      <c r="BQ61" s="4459"/>
      <c r="BR61" s="4459"/>
      <c r="BS61" s="4458"/>
      <c r="BT61" s="4459"/>
      <c r="BU61" s="4459"/>
      <c r="BV61" s="4459"/>
      <c r="BW61" s="4459"/>
      <c r="BX61" s="4458"/>
      <c r="BY61" s="4459"/>
      <c r="BZ61" s="4459"/>
      <c r="CA61" s="4459"/>
      <c r="CB61" s="4459"/>
      <c r="CC61" s="4458"/>
      <c r="CD61" s="4459"/>
      <c r="CE61" s="4459"/>
      <c r="CF61" s="4459"/>
      <c r="CG61" s="4459"/>
      <c r="CH61" s="4458"/>
      <c r="CI61" s="4459"/>
      <c r="CJ61" s="4459"/>
      <c r="CK61" s="4459"/>
      <c r="CL61" s="4459"/>
      <c r="CM61" s="4458"/>
      <c r="CN61" s="4459"/>
      <c r="CO61" s="4459"/>
      <c r="CP61" s="4459"/>
      <c r="CQ61" s="4459"/>
      <c r="CR61" s="4458"/>
      <c r="CS61" s="4459"/>
      <c r="CT61" s="4459"/>
      <c r="CU61" s="4459"/>
      <c r="CV61" s="4459"/>
      <c r="CW61" s="4458"/>
      <c r="CX61" s="4459"/>
      <c r="CY61" s="4459"/>
      <c r="CZ61" s="4459"/>
      <c r="DA61" s="4459"/>
      <c r="DB61" s="4458"/>
      <c r="DC61" s="4459"/>
      <c r="DD61" s="4459"/>
      <c r="DE61" s="4459"/>
      <c r="DF61" s="4459"/>
      <c r="DG61" s="2290">
        <f>DG60/DB57-1</f>
        <v>0.42865246936381496</v>
      </c>
      <c r="DH61" s="2288">
        <f>DH60/DC57-1</f>
        <v>0.57080799367293955</v>
      </c>
      <c r="DI61" s="2288">
        <f>DI60/DD57-1</f>
        <v>0.60450604195755964</v>
      </c>
      <c r="DJ61" s="2288">
        <f>DJ60/DE57-1</f>
        <v>0.52587197016780607</v>
      </c>
      <c r="DK61" s="2288">
        <f>DK60/DF57-1</f>
        <v>0.54347204339898414</v>
      </c>
      <c r="DL61" s="2290">
        <f>(DL57-DL59)/DG57-1</f>
        <v>0.55843668655199696</v>
      </c>
      <c r="DM61" s="2288">
        <f>DM60/DH57-1</f>
        <v>0.53620111160329964</v>
      </c>
      <c r="DN61" s="2288">
        <f>DN60/DI57-1</f>
        <v>0.45850944535927951</v>
      </c>
      <c r="DO61" s="2288">
        <f>DO60/DJ57-1</f>
        <v>0.44939735386459101</v>
      </c>
      <c r="DP61" s="2288">
        <f>DP60/DK57-1</f>
        <v>0.45810052168519566</v>
      </c>
      <c r="DQ61" s="2290">
        <f>(DQ57-DQ59)/DL57-1</f>
        <v>0.47185780808022781</v>
      </c>
      <c r="DR61" s="2288">
        <f>DR60/DM57-1</f>
        <v>0.42827385203393398</v>
      </c>
      <c r="DS61" s="2288">
        <f>DS60/DN57-1</f>
        <v>0.49200140914412294</v>
      </c>
      <c r="DT61" s="2288">
        <f>DT60/DO57-1</f>
        <v>0.43516121503751548</v>
      </c>
      <c r="DU61" s="2288">
        <f>DU60/DP57-1</f>
        <v>0.45162754345086098</v>
      </c>
      <c r="DV61" s="5082">
        <f>(DV57-DV59)/DQ57-1</f>
        <v>0.45161536625653298</v>
      </c>
      <c r="DW61" s="2288">
        <f>DW60/DR57-1</f>
        <v>0.48090588109294341</v>
      </c>
      <c r="DX61" s="2288">
        <f>DX60/DS57-1</f>
        <v>0.40871487575293663</v>
      </c>
      <c r="DY61" s="2288">
        <f>DY60/DT57-1</f>
        <v>0.45537021438290171</v>
      </c>
      <c r="DZ61" s="2288">
        <f>DZ60/DU57-1</f>
        <v>0.40330003037562023</v>
      </c>
      <c r="EA61" s="2290">
        <f>(EA57-EA59)/DV57-1</f>
        <v>0.43448617014733548</v>
      </c>
      <c r="EB61" s="2288">
        <f>EB60/DW57-1</f>
        <v>0.32064094237973739</v>
      </c>
      <c r="EC61" s="2288">
        <f>EC60/DX57-1</f>
        <v>0.29936952347666934</v>
      </c>
      <c r="ED61" s="2288">
        <f>ED60/DY57-1</f>
        <v>0.21782018505866207</v>
      </c>
      <c r="EE61" s="2288">
        <f>EE60/DZ57-1</f>
        <v>0.2427813123943825</v>
      </c>
      <c r="EF61" s="2290">
        <f>(EF57-EF59)/EA57-1</f>
        <v>0.26701782291019138</v>
      </c>
      <c r="EG61" s="2288">
        <f>EG60/EB57-1</f>
        <v>0.29067475065159321</v>
      </c>
      <c r="EH61" s="2288">
        <f>EH60/EC57-1</f>
        <v>0.30775220804313586</v>
      </c>
      <c r="EI61" s="2288">
        <f>EI60/ED57-1</f>
        <v>0.36540353548351501</v>
      </c>
      <c r="EJ61" s="2288">
        <f>EJ60/EE57-1</f>
        <v>0.30417579913994608</v>
      </c>
      <c r="EK61" s="2290">
        <f>(EK57-EK59)/EF57-1</f>
        <v>0.31756650921172724</v>
      </c>
      <c r="EL61" s="2288">
        <f>EL60/EG57-1</f>
        <v>0.30350941717169277</v>
      </c>
      <c r="EM61" s="2288">
        <f>EM60/EH57-1</f>
        <v>0.30927544900008841</v>
      </c>
      <c r="EN61" s="2288">
        <f>EN60/EI57-1</f>
        <v>0.31757545062374049</v>
      </c>
      <c r="EO61" s="2526">
        <v>0.37</v>
      </c>
      <c r="EP61" s="2290">
        <f>(EP57-EP59)/EK57-1</f>
        <v>0.32697162371873123</v>
      </c>
      <c r="EQ61" s="2526">
        <v>0.4</v>
      </c>
      <c r="ER61" s="2526">
        <v>0.42</v>
      </c>
      <c r="ES61" s="2526">
        <v>0.44</v>
      </c>
      <c r="ET61" s="2526">
        <v>0.45</v>
      </c>
      <c r="EU61" s="2290">
        <f>(EU57-EU59)/EP57-1</f>
        <v>0.42961746386587363</v>
      </c>
      <c r="EV61" s="4460">
        <v>0.3</v>
      </c>
      <c r="EW61" s="4460">
        <v>0.25</v>
      </c>
      <c r="EX61" s="4460">
        <v>0.2</v>
      </c>
      <c r="EY61" s="4460">
        <v>0.18</v>
      </c>
      <c r="EZ61" s="181"/>
      <c r="FA61" s="725"/>
      <c r="FB61" s="725"/>
    </row>
    <row r="62" spans="1:160" s="194" customFormat="1" ht="11.25" customHeight="1">
      <c r="A62" s="5639" t="s">
        <v>46</v>
      </c>
      <c r="B62" s="2612"/>
      <c r="C62" s="2612"/>
      <c r="D62" s="2612"/>
      <c r="E62" s="2612"/>
      <c r="F62" s="5597"/>
      <c r="G62" s="2612"/>
      <c r="H62" s="2612"/>
      <c r="I62" s="2612"/>
      <c r="J62" s="2612"/>
      <c r="K62" s="1381"/>
      <c r="L62" s="2612"/>
      <c r="M62" s="2612"/>
      <c r="N62" s="2612"/>
      <c r="O62" s="2612"/>
      <c r="P62" s="1021"/>
      <c r="Q62" s="2612"/>
      <c r="R62" s="2612"/>
      <c r="S62" s="2612"/>
      <c r="T62" s="2612"/>
      <c r="U62" s="1021"/>
      <c r="V62" s="2612"/>
      <c r="W62" s="2612"/>
      <c r="X62" s="2612"/>
      <c r="Y62" s="2612"/>
      <c r="Z62" s="1021"/>
      <c r="AA62" s="2612"/>
      <c r="AB62" s="2612"/>
      <c r="AC62" s="2612"/>
      <c r="AD62" s="2612"/>
      <c r="AE62" s="1021"/>
      <c r="AF62" s="2612"/>
      <c r="AG62" s="2612"/>
      <c r="AH62" s="2612"/>
      <c r="AI62" s="2612"/>
      <c r="AJ62" s="1021"/>
      <c r="AK62" s="2612"/>
      <c r="AL62" s="2612"/>
      <c r="AM62" s="2612"/>
      <c r="AN62" s="2612"/>
      <c r="AO62" s="1021"/>
      <c r="AP62" s="2612"/>
      <c r="AQ62" s="2612"/>
      <c r="AR62" s="2612"/>
      <c r="AS62" s="2612"/>
      <c r="AT62" s="1021"/>
      <c r="AU62" s="2612"/>
      <c r="AV62" s="2612"/>
      <c r="AW62" s="2612"/>
      <c r="AX62" s="2612"/>
      <c r="AY62" s="1021"/>
      <c r="AZ62" s="2612"/>
      <c r="BA62" s="2612"/>
      <c r="BB62" s="2612"/>
      <c r="BC62" s="2612"/>
      <c r="BD62" s="1021"/>
      <c r="BE62" s="2612"/>
      <c r="BF62" s="2612"/>
      <c r="BG62" s="2612"/>
      <c r="BH62" s="2612"/>
      <c r="BI62" s="1021"/>
      <c r="BJ62" s="2612"/>
      <c r="BK62" s="2612"/>
      <c r="BL62" s="2612"/>
      <c r="BM62" s="2612"/>
      <c r="BN62" s="1021"/>
      <c r="BO62" s="193"/>
      <c r="BP62" s="193"/>
      <c r="BQ62" s="193"/>
      <c r="BR62" s="193"/>
      <c r="BS62" s="2430"/>
      <c r="BT62" s="2612"/>
      <c r="BU62" s="2612"/>
      <c r="BV62" s="2612"/>
      <c r="BW62" s="2612"/>
      <c r="BX62" s="1021"/>
      <c r="BY62" s="193"/>
      <c r="BZ62" s="193"/>
      <c r="CA62" s="193"/>
      <c r="CB62" s="193"/>
      <c r="CC62" s="2430"/>
      <c r="CD62" s="2612"/>
      <c r="CE62" s="2612"/>
      <c r="CF62" s="2612"/>
      <c r="CG62" s="2612"/>
      <c r="CH62" s="1021"/>
      <c r="CI62" s="2612"/>
      <c r="CJ62" s="2612"/>
      <c r="CK62" s="2612"/>
      <c r="CL62" s="2612"/>
      <c r="CM62" s="1021"/>
      <c r="CN62" s="2612"/>
      <c r="CO62" s="2612"/>
      <c r="CP62" s="2612"/>
      <c r="CQ62" s="2612"/>
      <c r="CR62" s="1021"/>
      <c r="CS62" s="2612"/>
      <c r="CT62" s="2612"/>
      <c r="CU62" s="2612"/>
      <c r="CV62" s="2612"/>
      <c r="CW62" s="1021"/>
      <c r="CX62" s="2612"/>
      <c r="CY62" s="2612"/>
      <c r="CZ62" s="2612"/>
      <c r="DA62" s="2612"/>
      <c r="DB62" s="1021"/>
      <c r="DC62" s="2612">
        <f>+DC57/DA57-1</f>
        <v>0.19900000000000007</v>
      </c>
      <c r="DD62" s="2612">
        <f>+DD57/DC57-1</f>
        <v>0.12593828190158463</v>
      </c>
      <c r="DE62" s="2612">
        <f>+DE57/DD57-1</f>
        <v>0.17037037037037028</v>
      </c>
      <c r="DF62" s="2612">
        <f>+DF57/DE57-1</f>
        <v>8.1645569620253156E-2</v>
      </c>
      <c r="DG62" s="1021"/>
      <c r="DH62" s="2612">
        <f>+DH57/DF57-1</f>
        <v>6.787595084844944E-2</v>
      </c>
      <c r="DI62" s="2612">
        <f>+DI57/DH57-1</f>
        <v>0.15068493150684925</v>
      </c>
      <c r="DJ62" s="2612">
        <f>+DJ57/DI57-1</f>
        <v>0.13285714285714278</v>
      </c>
      <c r="DK62" s="2612">
        <f>+DK57/DJ57-1</f>
        <v>9.8781000420344656E-2</v>
      </c>
      <c r="DL62" s="1021"/>
      <c r="DM62" s="2612">
        <f>+DM57/DK57-1</f>
        <v>6.2356541698546319E-2</v>
      </c>
      <c r="DN62" s="2612">
        <f>+DN57/DM57-1</f>
        <v>8.2823190493338084E-2</v>
      </c>
      <c r="DO62" s="2612">
        <f>+DO57/DN57-1</f>
        <v>0.14532756900565347</v>
      </c>
      <c r="DP62" s="2612">
        <f>+DP57/DO57-1</f>
        <v>0.11236933797909399</v>
      </c>
      <c r="DQ62" s="1021"/>
      <c r="DR62" s="2612">
        <f>+DR57/DP57-1</f>
        <v>5.6382145653876226E-2</v>
      </c>
      <c r="DS62" s="2612">
        <f>+DS57/DR57-1</f>
        <v>0.1435631331850753</v>
      </c>
      <c r="DT62" s="2612">
        <f>+DT57/DS57-1</f>
        <v>7.821953327571296E-2</v>
      </c>
      <c r="DU62" s="2612">
        <f>+DU57/DT57-1</f>
        <v>0.11042084168336674</v>
      </c>
      <c r="DV62" s="1021"/>
      <c r="DW62" s="2612">
        <f>+DW57/DU57-1</f>
        <v>5.0532394874571285E-2</v>
      </c>
      <c r="DX62" s="2612">
        <f>+DX57/DW57-1</f>
        <v>7.8165263700395116E-2</v>
      </c>
      <c r="DY62" s="2612">
        <f>+DY57/DX57-1</f>
        <v>9.432759719566608E-2</v>
      </c>
      <c r="DZ62" s="2612">
        <f>+DZ57/DY57-1</f>
        <v>6.5084449621432672E-2</v>
      </c>
      <c r="EA62" s="1021"/>
      <c r="EB62" s="2612">
        <f>+EB57/DZ57-1</f>
        <v>1.900205058099802E-2</v>
      </c>
      <c r="EC62" s="2612">
        <f>+EC57/EB57-1</f>
        <v>7.7408103031929132E-2</v>
      </c>
      <c r="ED62" s="2612">
        <f>+ED57/EC57-1</f>
        <v>4.731664798904256E-2</v>
      </c>
      <c r="EE62" s="2612">
        <f>+EE57/ED57-1</f>
        <v>9.2854595172987775E-2</v>
      </c>
      <c r="EF62" s="1021"/>
      <c r="EG62" s="2612">
        <f>+EG57/EE57-1</f>
        <v>4.155787641427322E-2</v>
      </c>
      <c r="EH62" s="2612">
        <f>+EH57/EG57-1</f>
        <v>8.0739502820137865E-2</v>
      </c>
      <c r="EI62" s="2612">
        <f>+EI57/EH57-1</f>
        <v>9.7226249154344302E-2</v>
      </c>
      <c r="EJ62" s="2612">
        <f>+EJ57/EI57-1</f>
        <v>5.3025631991544087E-2</v>
      </c>
      <c r="EK62" s="1021"/>
      <c r="EL62" s="2612">
        <f>+EL57/EJ57-1</f>
        <v>2.5512337933918827E-2</v>
      </c>
      <c r="EM62" s="2612">
        <f>+EM57/EL57-1</f>
        <v>0.11125611745513875</v>
      </c>
      <c r="EN62" s="2612">
        <f>+EN57/EM57-1</f>
        <v>0.11252201996476807</v>
      </c>
      <c r="EO62" s="2612">
        <f>+EO57/EN57-1</f>
        <v>9.0090002876656472E-2</v>
      </c>
      <c r="EP62" s="1021"/>
      <c r="EQ62" s="2612">
        <f>+EQ57/EO57-1</f>
        <v>7.1457933310140387E-2</v>
      </c>
      <c r="ER62" s="2612">
        <f>+ER57/EQ57-1</f>
        <v>9.9164473679119514E-2</v>
      </c>
      <c r="ES62" s="2612">
        <f>+ES57/ER57-1</f>
        <v>0.11507186793979796</v>
      </c>
      <c r="ET62" s="2612">
        <f>+ET57/ES57-1</f>
        <v>0.10189298429397731</v>
      </c>
      <c r="EU62" s="1021"/>
      <c r="EV62" s="1021"/>
      <c r="EW62" s="1021"/>
      <c r="EX62" s="1021"/>
      <c r="EY62" s="1021"/>
      <c r="EZ62" s="193"/>
      <c r="FA62" s="725"/>
      <c r="FB62" s="725"/>
    </row>
    <row r="63" spans="1:160" s="77" customFormat="1" ht="11.25" hidden="1" customHeight="1" outlineLevel="1">
      <c r="A63" s="5640" t="s">
        <v>428</v>
      </c>
      <c r="B63" s="127"/>
      <c r="C63" s="127"/>
      <c r="D63" s="127"/>
      <c r="E63" s="127"/>
      <c r="F63" s="5088"/>
      <c r="G63" s="127"/>
      <c r="H63" s="127"/>
      <c r="I63" s="127"/>
      <c r="J63" s="127"/>
      <c r="K63" s="1219"/>
      <c r="L63" s="127"/>
      <c r="M63" s="127"/>
      <c r="N63" s="127"/>
      <c r="O63" s="127"/>
      <c r="P63" s="1001"/>
      <c r="Q63" s="127"/>
      <c r="R63" s="127"/>
      <c r="S63" s="127"/>
      <c r="T63" s="127"/>
      <c r="U63" s="1001"/>
      <c r="V63" s="127"/>
      <c r="W63" s="127"/>
      <c r="X63" s="127"/>
      <c r="Y63" s="127"/>
      <c r="Z63" s="1001"/>
      <c r="AA63" s="127"/>
      <c r="AB63" s="127"/>
      <c r="AC63" s="127"/>
      <c r="AD63" s="127"/>
      <c r="AE63" s="1001"/>
      <c r="AF63" s="127"/>
      <c r="AG63" s="127"/>
      <c r="AH63" s="127"/>
      <c r="AI63" s="127"/>
      <c r="AJ63" s="1001"/>
      <c r="AK63" s="127"/>
      <c r="AL63" s="127"/>
      <c r="AM63" s="127"/>
      <c r="AN63" s="127"/>
      <c r="AO63" s="1001"/>
      <c r="AP63" s="127"/>
      <c r="AQ63" s="127"/>
      <c r="AR63" s="127"/>
      <c r="AS63" s="127"/>
      <c r="AT63" s="1001"/>
      <c r="AU63" s="127"/>
      <c r="AV63" s="127"/>
      <c r="AW63" s="127"/>
      <c r="AX63" s="127"/>
      <c r="AY63" s="1001"/>
      <c r="AZ63" s="127"/>
      <c r="BA63" s="127"/>
      <c r="BB63" s="127"/>
      <c r="BC63" s="127"/>
      <c r="BD63" s="1001"/>
      <c r="BE63" s="127"/>
      <c r="BF63" s="127"/>
      <c r="BG63" s="127"/>
      <c r="BH63" s="127"/>
      <c r="BI63" s="1001"/>
      <c r="BJ63" s="127"/>
      <c r="BK63" s="127"/>
      <c r="BL63" s="127"/>
      <c r="BM63" s="127"/>
      <c r="BN63" s="1001"/>
      <c r="BO63" s="42"/>
      <c r="BP63" s="42"/>
      <c r="BQ63" s="42"/>
      <c r="BR63" s="42"/>
      <c r="BS63" s="597"/>
      <c r="BT63" s="127"/>
      <c r="BU63" s="127"/>
      <c r="BV63" s="127"/>
      <c r="BW63" s="127"/>
      <c r="BX63" s="1001"/>
      <c r="BY63" s="42"/>
      <c r="BZ63" s="42"/>
      <c r="CA63" s="42"/>
      <c r="CB63" s="42"/>
      <c r="CC63" s="597"/>
      <c r="CD63" s="127"/>
      <c r="CE63" s="127"/>
      <c r="CF63" s="127"/>
      <c r="CG63" s="127"/>
      <c r="CH63" s="1001"/>
      <c r="CI63" s="127"/>
      <c r="CJ63" s="127"/>
      <c r="CK63" s="127"/>
      <c r="CL63" s="127"/>
      <c r="CM63" s="1001"/>
      <c r="CN63" s="127"/>
      <c r="CO63" s="127"/>
      <c r="CP63" s="127"/>
      <c r="CQ63" s="127"/>
      <c r="CR63" s="1001"/>
      <c r="CS63" s="127"/>
      <c r="CT63" s="127"/>
      <c r="CU63" s="127"/>
      <c r="CV63" s="127"/>
      <c r="CW63" s="1001"/>
      <c r="CX63" s="127"/>
      <c r="CY63" s="127"/>
      <c r="CZ63" s="127"/>
      <c r="DA63" s="127"/>
      <c r="DB63" s="1001"/>
      <c r="DC63" s="127">
        <f>+DC57/DG57</f>
        <v>0.20537855429941762</v>
      </c>
      <c r="DD63" s="127">
        <f>+DD57/DG57</f>
        <v>0.23124357656731759</v>
      </c>
      <c r="DE63" s="127">
        <f>+DE57/DG57</f>
        <v>0.27064063035286057</v>
      </c>
      <c r="DF63" s="127">
        <f>+DF57/DG57</f>
        <v>0.29273723878040425</v>
      </c>
      <c r="DG63" s="1001"/>
      <c r="DH63" s="127">
        <f>+DH57/DL57</f>
        <v>0.20464229647903118</v>
      </c>
      <c r="DI63" s="127">
        <f>+DI57/DL57</f>
        <v>0.23547880690737832</v>
      </c>
      <c r="DJ63" s="127">
        <f>+DJ57/DL57</f>
        <v>0.26676384839650147</v>
      </c>
      <c r="DK63" s="127">
        <f>+DK57/DL57</f>
        <v>0.29311504821708906</v>
      </c>
      <c r="DL63" s="1001"/>
      <c r="DM63" s="127">
        <f>+DM57/DQ57</f>
        <v>0.21265027950072746</v>
      </c>
      <c r="DN63" s="127">
        <f>+DN57/DQ57</f>
        <v>0.23026265410827781</v>
      </c>
      <c r="DO63" s="127">
        <f>+DO57/DQ57</f>
        <v>0.26372616586262349</v>
      </c>
      <c r="DP63" s="127">
        <f>+DP57/DQ57</f>
        <v>0.29336090052837122</v>
      </c>
      <c r="DQ63" s="1001"/>
      <c r="DR63" s="127">
        <f>+DR57/DV57</f>
        <v>0.21071540143705092</v>
      </c>
      <c r="DS63" s="127">
        <f>+DS57/DV57</f>
        <v>0.24096636467770488</v>
      </c>
      <c r="DT63" s="127">
        <f>+DT57/DV57</f>
        <v>0.25981464125794024</v>
      </c>
      <c r="DU63" s="127">
        <f>+DU57/DV57</f>
        <v>0.28850359262730396</v>
      </c>
      <c r="DV63" s="1001"/>
      <c r="DW63" s="127">
        <f>+DW57/EA57</f>
        <v>0.22149923896499238</v>
      </c>
      <c r="DX63" s="127">
        <f>+DX57/EA57</f>
        <v>0.23881278538812786</v>
      </c>
      <c r="DY63" s="127">
        <f>+DY57/EA57</f>
        <v>0.26133942161339424</v>
      </c>
      <c r="DZ63" s="127">
        <f>+DZ57/EA57</f>
        <v>0.27834855403348552</v>
      </c>
      <c r="EA63" s="1001"/>
      <c r="EB63" s="127">
        <f>+EB57/EF57</f>
        <v>0.22527804642166344</v>
      </c>
      <c r="EC63" s="127">
        <f>+EC57/EF57</f>
        <v>0.2427163926499033</v>
      </c>
      <c r="ED63" s="127">
        <f>+ED57/EF57</f>
        <v>0.254200918762089</v>
      </c>
      <c r="EE63" s="127">
        <f>+EE57/EF57</f>
        <v>0.27780464216634432</v>
      </c>
      <c r="EF63" s="1001"/>
      <c r="EG63" s="127">
        <f>+EG57/EK57</f>
        <v>0.22147169724027851</v>
      </c>
      <c r="EH63" s="127">
        <f>+EH57/EK57</f>
        <v>0.23935321196419071</v>
      </c>
      <c r="EI63" s="127">
        <f>+EI57/EK57</f>
        <v>0.26262462698651368</v>
      </c>
      <c r="EJ63" s="127">
        <f>+EJ57/EK57</f>
        <v>0.2765504638090171</v>
      </c>
      <c r="EK63" s="1001"/>
      <c r="EL63" s="127">
        <f>+EL57/EP57</f>
        <v>0.21298220644886451</v>
      </c>
      <c r="EM63" s="127">
        <f>+EM57/EP57</f>
        <v>0.23667777982539398</v>
      </c>
      <c r="EN63" s="127">
        <f>+EN57/EP57</f>
        <v>0.26330924169212394</v>
      </c>
      <c r="EO63" s="127">
        <f>+EO57/EP57</f>
        <v>0.2870307720336176</v>
      </c>
      <c r="EP63" s="1001"/>
      <c r="EQ63" s="127">
        <f>+EQ57/EU57</f>
        <v>0.21388799983716611</v>
      </c>
      <c r="ER63" s="127">
        <f>+ER57/EU57</f>
        <v>0.23509809076729829</v>
      </c>
      <c r="ES63" s="127">
        <f>+ES57/EU57</f>
        <v>0.26215126722097143</v>
      </c>
      <c r="ET63" s="127">
        <f>+ET57/EU57</f>
        <v>0.28886264217456414</v>
      </c>
      <c r="EU63" s="1001"/>
      <c r="EV63" s="597"/>
      <c r="EW63" s="597"/>
      <c r="EX63" s="597"/>
      <c r="EY63" s="597"/>
      <c r="EZ63" s="42"/>
      <c r="FA63" s="725"/>
      <c r="FB63" s="725"/>
    </row>
    <row r="64" spans="1:160" s="168" customFormat="1" ht="11.25" customHeight="1" collapsed="1">
      <c r="A64" s="5638" t="s">
        <v>434</v>
      </c>
      <c r="B64" s="2973"/>
      <c r="C64" s="2973"/>
      <c r="D64" s="2973"/>
      <c r="E64" s="2973"/>
      <c r="F64" s="5612"/>
      <c r="G64" s="2973"/>
      <c r="H64" s="2973"/>
      <c r="I64" s="2973"/>
      <c r="J64" s="2973"/>
      <c r="K64" s="4437"/>
      <c r="L64" s="2973"/>
      <c r="M64" s="2973"/>
      <c r="N64" s="2973"/>
      <c r="O64" s="4415"/>
      <c r="P64" s="4437"/>
      <c r="Q64" s="4413"/>
      <c r="R64" s="2973"/>
      <c r="S64" s="2973"/>
      <c r="T64" s="4415"/>
      <c r="U64" s="4437"/>
      <c r="V64" s="4416"/>
      <c r="W64" s="2973"/>
      <c r="X64" s="2973"/>
      <c r="Y64" s="4415"/>
      <c r="Z64" s="4437"/>
      <c r="AA64" s="4413"/>
      <c r="AB64" s="2973"/>
      <c r="AC64" s="2973"/>
      <c r="AD64" s="4415"/>
      <c r="AE64" s="4437"/>
      <c r="AF64" s="4413"/>
      <c r="AG64" s="2973"/>
      <c r="AH64" s="2973"/>
      <c r="AI64" s="4415"/>
      <c r="AJ64" s="4437"/>
      <c r="AK64" s="4413"/>
      <c r="AL64" s="2973"/>
      <c r="AM64" s="2973"/>
      <c r="AN64" s="4415"/>
      <c r="AO64" s="4437"/>
      <c r="AP64" s="4413"/>
      <c r="AQ64" s="2973"/>
      <c r="AR64" s="2973"/>
      <c r="AS64" s="4415"/>
      <c r="AT64" s="4437"/>
      <c r="AU64" s="4413"/>
      <c r="AV64" s="2973"/>
      <c r="AW64" s="2973"/>
      <c r="AX64" s="4415"/>
      <c r="AY64" s="4437"/>
      <c r="AZ64" s="4413"/>
      <c r="BA64" s="2973"/>
      <c r="BB64" s="2973"/>
      <c r="BC64" s="4415"/>
      <c r="BD64" s="4437"/>
      <c r="BE64" s="4438"/>
      <c r="BF64" s="4439"/>
      <c r="BG64" s="4439"/>
      <c r="BH64" s="4440"/>
      <c r="BI64" s="4437"/>
      <c r="BJ64" s="4438"/>
      <c r="BK64" s="4439"/>
      <c r="BL64" s="4439"/>
      <c r="BM64" s="4439"/>
      <c r="BN64" s="4437"/>
      <c r="BO64" s="2973"/>
      <c r="BP64" s="2973"/>
      <c r="BQ64" s="2973"/>
      <c r="BR64" s="2973"/>
      <c r="BS64" s="4437"/>
      <c r="BT64" s="4439"/>
      <c r="BU64" s="4439"/>
      <c r="BV64" s="4439"/>
      <c r="BW64" s="4439"/>
      <c r="BX64" s="4437"/>
      <c r="BY64" s="2973"/>
      <c r="BZ64" s="2973"/>
      <c r="CA64" s="2973"/>
      <c r="CB64" s="2973"/>
      <c r="CC64" s="4437"/>
      <c r="CD64" s="4441"/>
      <c r="CE64" s="4439"/>
      <c r="CF64" s="4439"/>
      <c r="CG64" s="4439"/>
      <c r="CH64" s="4437"/>
      <c r="CI64" s="2980"/>
      <c r="CJ64" s="4439"/>
      <c r="CK64" s="4439"/>
      <c r="CL64" s="4439"/>
      <c r="CM64" s="4437"/>
      <c r="CN64" s="2973">
        <f>CN507</f>
        <v>80</v>
      </c>
      <c r="CO64" s="2973">
        <f>CO507</f>
        <v>74</v>
      </c>
      <c r="CP64" s="2973">
        <f>CP507</f>
        <v>141</v>
      </c>
      <c r="CQ64" s="2973">
        <f>CQ507</f>
        <v>150</v>
      </c>
      <c r="CR64" s="4437">
        <f>SUM(CN64:CQ64)</f>
        <v>445</v>
      </c>
      <c r="CS64" s="2973">
        <f>CS507</f>
        <v>165</v>
      </c>
      <c r="CT64" s="2973">
        <f>CT507</f>
        <v>185</v>
      </c>
      <c r="CU64" s="2973">
        <f>CU507</f>
        <v>197</v>
      </c>
      <c r="CV64" s="2973">
        <f>CV507</f>
        <v>262</v>
      </c>
      <c r="CW64" s="4437">
        <f>SUM(CS64:CV64)</f>
        <v>809</v>
      </c>
      <c r="CX64" s="2973">
        <f>CX507</f>
        <v>132</v>
      </c>
      <c r="CY64" s="2973">
        <f>CY507</f>
        <v>97</v>
      </c>
      <c r="CZ64" s="2973">
        <f>CZ507</f>
        <v>117</v>
      </c>
      <c r="DA64" s="2973">
        <f>DA507</f>
        <v>131</v>
      </c>
      <c r="DB64" s="4437">
        <f>SUM(CX64:DA64)</f>
        <v>477</v>
      </c>
      <c r="DC64" s="2973">
        <f>DC507</f>
        <v>150</v>
      </c>
      <c r="DD64" s="2973">
        <f>DD507</f>
        <v>145</v>
      </c>
      <c r="DE64" s="2973">
        <f>DE507</f>
        <v>146</v>
      </c>
      <c r="DF64" s="2973">
        <f>DF507</f>
        <v>154</v>
      </c>
      <c r="DG64" s="4437">
        <f>SUM(DC64:DF64)</f>
        <v>595</v>
      </c>
      <c r="DH64" s="2973">
        <f>DH507</f>
        <v>170</v>
      </c>
      <c r="DI64" s="2973">
        <f>DI507</f>
        <v>162</v>
      </c>
      <c r="DJ64" s="2973">
        <f>DJ507</f>
        <v>155</v>
      </c>
      <c r="DK64" s="4439">
        <v>172</v>
      </c>
      <c r="DL64" s="5265">
        <f>SUM(DH64:DK64)</f>
        <v>659</v>
      </c>
      <c r="DM64" s="5266">
        <v>135</v>
      </c>
      <c r="DN64" s="5266">
        <v>148</v>
      </c>
      <c r="DO64" s="5266">
        <v>178</v>
      </c>
      <c r="DP64" s="5266">
        <v>196</v>
      </c>
      <c r="DQ64" s="5265">
        <f>SUM(DM64:DP64)</f>
        <v>657</v>
      </c>
      <c r="DR64" s="5266">
        <v>198</v>
      </c>
      <c r="DS64" s="5266">
        <v>192</v>
      </c>
      <c r="DT64" s="5266">
        <v>182</v>
      </c>
      <c r="DU64" s="5266">
        <v>181</v>
      </c>
      <c r="DV64" s="5265">
        <f>SUM(DR64:DU64)</f>
        <v>753</v>
      </c>
      <c r="DW64" s="5266">
        <v>440</v>
      </c>
      <c r="DX64" s="5266">
        <v>193</v>
      </c>
      <c r="DY64" s="5266">
        <v>209</v>
      </c>
      <c r="DZ64" s="5266">
        <v>226</v>
      </c>
      <c r="EA64" s="4437">
        <f>SUM(DW64:DZ64)</f>
        <v>1068</v>
      </c>
      <c r="EB64" s="5266">
        <v>288</v>
      </c>
      <c r="EC64" s="5266">
        <v>285</v>
      </c>
      <c r="ED64" s="5266">
        <v>297</v>
      </c>
      <c r="EE64" s="5266">
        <v>657</v>
      </c>
      <c r="EF64" s="4437">
        <f>SUM(EB64:EE64)</f>
        <v>1527</v>
      </c>
      <c r="EG64" s="5266">
        <v>495</v>
      </c>
      <c r="EH64" s="5266">
        <v>365</v>
      </c>
      <c r="EI64" s="5266">
        <v>388</v>
      </c>
      <c r="EJ64" s="5266">
        <v>400</v>
      </c>
      <c r="EK64" s="5822">
        <f>SUM(EG64:EJ64)</f>
        <v>1648</v>
      </c>
      <c r="EL64" s="5266">
        <v>450</v>
      </c>
      <c r="EM64" s="5266">
        <v>373</v>
      </c>
      <c r="EN64" s="5266">
        <v>344</v>
      </c>
      <c r="EO64" s="2973">
        <f t="shared" ref="EO64" si="218">EO69-EO50-EO57-EO68</f>
        <v>364.03000000001907</v>
      </c>
      <c r="EP64" s="5822">
        <f>SUM(EL64:EO64)</f>
        <v>1531.0300000000191</v>
      </c>
      <c r="EQ64" s="2973">
        <f t="shared" ref="EQ64:ET64" si="219">EQ69-EQ50-EQ57-EQ68</f>
        <v>389.67099999999687</v>
      </c>
      <c r="ER64" s="2973">
        <f t="shared" si="219"/>
        <v>413.72800000001826</v>
      </c>
      <c r="ES64" s="2973">
        <f t="shared" si="219"/>
        <v>433.1469999999839</v>
      </c>
      <c r="ET64" s="2973">
        <f t="shared" si="219"/>
        <v>449.71923157751809</v>
      </c>
      <c r="EU64" s="5822">
        <f>SUM(EQ64:ET64)</f>
        <v>1686.2652315775169</v>
      </c>
      <c r="EV64" s="5822">
        <f>EV69-EV50-EV57-EV68</f>
        <v>1896.2430371849186</v>
      </c>
      <c r="EW64" s="5822">
        <f>EW69-EW50-EW57-EW68</f>
        <v>2182.5701647044334</v>
      </c>
      <c r="EX64" s="5822">
        <f>EX69-EX50-EX57-EX68</f>
        <v>2600.0818384145678</v>
      </c>
      <c r="EY64" s="5822">
        <f>EY69-EY50-EY57-EY68</f>
        <v>3209.2867170257668</v>
      </c>
      <c r="EZ64" s="167"/>
      <c r="FA64" s="1319">
        <f>(EV64/EK64)^(1/3)-1</f>
        <v>4.7881719126072531E-2</v>
      </c>
      <c r="FB64" s="1319">
        <f>(EX64/EK64)^(1/5)-1</f>
        <v>9.548380623956354E-2</v>
      </c>
      <c r="FD64" s="1856"/>
    </row>
    <row r="65" spans="1:160" s="183" customFormat="1" ht="11.25" customHeight="1">
      <c r="A65" s="5639" t="s">
        <v>45</v>
      </c>
      <c r="B65" s="181"/>
      <c r="C65" s="181"/>
      <c r="D65" s="181"/>
      <c r="E65" s="182"/>
      <c r="F65" s="4242"/>
      <c r="G65" s="181"/>
      <c r="H65" s="181"/>
      <c r="I65" s="181"/>
      <c r="J65" s="181"/>
      <c r="K65" s="991"/>
      <c r="L65" s="181"/>
      <c r="M65" s="181"/>
      <c r="N65" s="181"/>
      <c r="O65" s="181"/>
      <c r="P65" s="992"/>
      <c r="Q65" s="1224"/>
      <c r="R65" s="181"/>
      <c r="S65" s="181"/>
      <c r="T65" s="181"/>
      <c r="U65" s="992"/>
      <c r="V65" s="1226"/>
      <c r="W65" s="169"/>
      <c r="X65" s="169"/>
      <c r="Y65" s="169"/>
      <c r="Z65" s="992"/>
      <c r="AA65" s="1226"/>
      <c r="AB65" s="169"/>
      <c r="AC65" s="169"/>
      <c r="AD65" s="169"/>
      <c r="AE65" s="992"/>
      <c r="AF65" s="1226"/>
      <c r="AG65" s="169"/>
      <c r="AH65" s="169"/>
      <c r="AI65" s="169"/>
      <c r="AJ65" s="992"/>
      <c r="AK65" s="1226"/>
      <c r="AL65" s="169"/>
      <c r="AM65" s="169"/>
      <c r="AN65" s="169"/>
      <c r="AO65" s="992"/>
      <c r="AP65" s="1226"/>
      <c r="AQ65" s="169"/>
      <c r="AR65" s="169"/>
      <c r="AS65" s="169"/>
      <c r="AT65" s="992"/>
      <c r="AU65" s="1226"/>
      <c r="AV65" s="169"/>
      <c r="AW65" s="169"/>
      <c r="AX65" s="169"/>
      <c r="AY65" s="992"/>
      <c r="AZ65" s="1226"/>
      <c r="BA65" s="169"/>
      <c r="BB65" s="169"/>
      <c r="BC65" s="169"/>
      <c r="BD65" s="992"/>
      <c r="BE65" s="1226"/>
      <c r="BF65" s="169"/>
      <c r="BG65" s="169"/>
      <c r="BH65" s="169"/>
      <c r="BI65" s="992"/>
      <c r="BJ65" s="1226"/>
      <c r="BK65" s="169"/>
      <c r="BL65" s="169"/>
      <c r="BM65" s="169"/>
      <c r="BN65" s="992"/>
      <c r="BO65" s="169"/>
      <c r="BP65" s="169"/>
      <c r="BQ65" s="169"/>
      <c r="BR65" s="169"/>
      <c r="BS65" s="600"/>
      <c r="BT65" s="169"/>
      <c r="BU65" s="169"/>
      <c r="BV65" s="169"/>
      <c r="BW65" s="169"/>
      <c r="BX65" s="992"/>
      <c r="BY65" s="169"/>
      <c r="BZ65" s="169"/>
      <c r="CA65" s="169"/>
      <c r="CB65" s="169"/>
      <c r="CC65" s="600"/>
      <c r="CD65" s="576"/>
      <c r="CE65" s="169"/>
      <c r="CF65" s="169"/>
      <c r="CG65" s="169"/>
      <c r="CH65" s="992"/>
      <c r="CI65" s="169"/>
      <c r="CJ65" s="169"/>
      <c r="CK65" s="169"/>
      <c r="CL65" s="169"/>
      <c r="CM65" s="992"/>
      <c r="CN65" s="169"/>
      <c r="CO65" s="169"/>
      <c r="CP65" s="169"/>
      <c r="CQ65" s="169"/>
      <c r="CR65" s="992"/>
      <c r="CS65" s="169">
        <f t="shared" ref="CS65:EN65" si="220">+CS64/CN64-1</f>
        <v>1.0625</v>
      </c>
      <c r="CT65" s="169">
        <f t="shared" si="220"/>
        <v>1.5</v>
      </c>
      <c r="CU65" s="169">
        <f t="shared" si="220"/>
        <v>0.39716312056737579</v>
      </c>
      <c r="CV65" s="169">
        <f t="shared" si="220"/>
        <v>0.74666666666666659</v>
      </c>
      <c r="CW65" s="992">
        <f t="shared" si="220"/>
        <v>0.81797752808988755</v>
      </c>
      <c r="CX65" s="169">
        <f t="shared" si="220"/>
        <v>-0.19999999999999996</v>
      </c>
      <c r="CY65" s="169">
        <f t="shared" si="220"/>
        <v>-0.4756756756756757</v>
      </c>
      <c r="CZ65" s="169">
        <f t="shared" si="220"/>
        <v>-0.40609137055837563</v>
      </c>
      <c r="DA65" s="169">
        <f t="shared" si="220"/>
        <v>-0.5</v>
      </c>
      <c r="DB65" s="992">
        <f t="shared" si="220"/>
        <v>-0.41038318912237326</v>
      </c>
      <c r="DC65" s="2612">
        <f t="shared" si="220"/>
        <v>0.13636363636363646</v>
      </c>
      <c r="DD65" s="2612">
        <f t="shared" si="220"/>
        <v>0.49484536082474229</v>
      </c>
      <c r="DE65" s="2612">
        <f t="shared" si="220"/>
        <v>0.24786324786324787</v>
      </c>
      <c r="DF65" s="2612">
        <f t="shared" si="220"/>
        <v>0.17557251908396942</v>
      </c>
      <c r="DG65" s="2588">
        <f t="shared" si="220"/>
        <v>0.24737945492662483</v>
      </c>
      <c r="DH65" s="2612">
        <f t="shared" si="220"/>
        <v>0.1333333333333333</v>
      </c>
      <c r="DI65" s="2612">
        <f t="shared" si="220"/>
        <v>0.11724137931034484</v>
      </c>
      <c r="DJ65" s="2612">
        <f t="shared" si="220"/>
        <v>6.164383561643838E-2</v>
      </c>
      <c r="DK65" s="2612">
        <f t="shared" si="220"/>
        <v>0.11688311688311681</v>
      </c>
      <c r="DL65" s="992">
        <f t="shared" si="220"/>
        <v>0.1075630252100841</v>
      </c>
      <c r="DM65" s="2612">
        <f t="shared" si="220"/>
        <v>-0.20588235294117652</v>
      </c>
      <c r="DN65" s="2612">
        <f t="shared" si="220"/>
        <v>-8.6419753086419804E-2</v>
      </c>
      <c r="DO65" s="2612">
        <f t="shared" si="220"/>
        <v>0.14838709677419359</v>
      </c>
      <c r="DP65" s="2612">
        <f t="shared" si="220"/>
        <v>0.13953488372093026</v>
      </c>
      <c r="DQ65" s="2588">
        <f t="shared" si="220"/>
        <v>-3.0349013657056112E-3</v>
      </c>
      <c r="DR65" s="2612">
        <f t="shared" si="220"/>
        <v>0.46666666666666656</v>
      </c>
      <c r="DS65" s="2612">
        <f t="shared" si="220"/>
        <v>0.29729729729729737</v>
      </c>
      <c r="DT65" s="2612">
        <f t="shared" si="220"/>
        <v>2.2471910112359605E-2</v>
      </c>
      <c r="DU65" s="2612">
        <f t="shared" si="220"/>
        <v>-7.6530612244897989E-2</v>
      </c>
      <c r="DV65" s="2588">
        <f>+DV64/DQ64-1</f>
        <v>0.14611872146118721</v>
      </c>
      <c r="DW65" s="2612">
        <f t="shared" si="220"/>
        <v>1.2222222222222223</v>
      </c>
      <c r="DX65" s="2612">
        <f t="shared" si="220"/>
        <v>5.2083333333332593E-3</v>
      </c>
      <c r="DY65" s="2612">
        <f t="shared" si="220"/>
        <v>0.14835164835164827</v>
      </c>
      <c r="DZ65" s="2612">
        <f t="shared" si="220"/>
        <v>0.24861878453038666</v>
      </c>
      <c r="EA65" s="2588">
        <f t="shared" ref="EA65:EF65" si="221">+EA64/DV64-1</f>
        <v>0.41832669322709171</v>
      </c>
      <c r="EB65" s="2612">
        <f t="shared" si="220"/>
        <v>-0.34545454545454546</v>
      </c>
      <c r="EC65" s="2612">
        <f t="shared" si="220"/>
        <v>0.47668393782383411</v>
      </c>
      <c r="ED65" s="2612">
        <f t="shared" si="220"/>
        <v>0.42105263157894735</v>
      </c>
      <c r="EE65" s="2612">
        <f t="shared" si="220"/>
        <v>1.9070796460176993</v>
      </c>
      <c r="EF65" s="2588">
        <f t="shared" si="221"/>
        <v>0.4297752808988764</v>
      </c>
      <c r="EG65" s="2612">
        <f t="shared" si="220"/>
        <v>0.71875</v>
      </c>
      <c r="EH65" s="2612">
        <f t="shared" si="220"/>
        <v>0.2807017543859649</v>
      </c>
      <c r="EI65" s="2612">
        <f t="shared" si="220"/>
        <v>0.30639730639730645</v>
      </c>
      <c r="EJ65" s="2612">
        <f t="shared" si="220"/>
        <v>-0.39117199391171997</v>
      </c>
      <c r="EK65" s="4241">
        <f>+EK64/EF64-1</f>
        <v>7.9240340537000575E-2</v>
      </c>
      <c r="EL65" s="2612">
        <f t="shared" si="220"/>
        <v>-9.0909090909090939E-2</v>
      </c>
      <c r="EM65" s="2612">
        <f t="shared" si="220"/>
        <v>2.1917808219177992E-2</v>
      </c>
      <c r="EN65" s="2612">
        <f t="shared" si="220"/>
        <v>-0.11340206185567014</v>
      </c>
      <c r="EO65" s="2612">
        <f t="shared" ref="EO65" si="222">+EO64/EJ64-1</f>
        <v>-8.9924999999952293E-2</v>
      </c>
      <c r="EP65" s="4241">
        <f>+EP64/EK64-1</f>
        <v>-7.0976941747561195E-2</v>
      </c>
      <c r="EQ65" s="2612">
        <f t="shared" ref="EQ65" si="223">+EQ64/EL64-1</f>
        <v>-0.13406444444445142</v>
      </c>
      <c r="ER65" s="2612">
        <f t="shared" ref="ER65" si="224">+ER64/EM64-1</f>
        <v>0.10919034852551812</v>
      </c>
      <c r="ES65" s="2612">
        <f t="shared" ref="ES65" si="225">+ES64/EN64-1</f>
        <v>0.25914825581390666</v>
      </c>
      <c r="ET65" s="2612">
        <f t="shared" ref="ET65" si="226">+ET64/EO64-1</f>
        <v>0.23539057653900652</v>
      </c>
      <c r="EU65" s="4241">
        <f>+EU64/EP64-1</f>
        <v>0.10139267785575456</v>
      </c>
      <c r="EV65" s="4241">
        <f>EV64/EU64-1</f>
        <v>0.12452240707766093</v>
      </c>
      <c r="EW65" s="4241">
        <f>EW64/EV64-1</f>
        <v>0.15099706203514063</v>
      </c>
      <c r="EX65" s="4241">
        <f>EX64/EW64-1</f>
        <v>0.19129358609493985</v>
      </c>
      <c r="EY65" s="4241">
        <f>EY64/EX64-1</f>
        <v>0.2343021937273595</v>
      </c>
      <c r="EZ65" s="169"/>
      <c r="FA65" s="1103"/>
      <c r="FB65" s="1103"/>
    </row>
    <row r="66" spans="1:160" s="194" customFormat="1" ht="11.25" hidden="1" customHeight="1" outlineLevel="1">
      <c r="A66" s="5639" t="s">
        <v>46</v>
      </c>
      <c r="B66" s="2612"/>
      <c r="C66" s="169"/>
      <c r="D66" s="169"/>
      <c r="E66" s="169"/>
      <c r="F66" s="5597"/>
      <c r="G66" s="2612"/>
      <c r="H66" s="169"/>
      <c r="I66" s="169"/>
      <c r="J66" s="169"/>
      <c r="K66" s="1381"/>
      <c r="L66" s="169"/>
      <c r="M66" s="169"/>
      <c r="N66" s="169"/>
      <c r="O66" s="169"/>
      <c r="P66" s="1021"/>
      <c r="Q66" s="1226"/>
      <c r="R66" s="169"/>
      <c r="S66" s="169"/>
      <c r="T66" s="169"/>
      <c r="U66" s="1021"/>
      <c r="V66" s="1226"/>
      <c r="W66" s="169"/>
      <c r="X66" s="169"/>
      <c r="Y66" s="169"/>
      <c r="Z66" s="1021"/>
      <c r="AA66" s="1226"/>
      <c r="AB66" s="169"/>
      <c r="AC66" s="169"/>
      <c r="AD66" s="169"/>
      <c r="AE66" s="1021"/>
      <c r="AF66" s="1226"/>
      <c r="AG66" s="169"/>
      <c r="AH66" s="169"/>
      <c r="AI66" s="169"/>
      <c r="AJ66" s="1021"/>
      <c r="AK66" s="1226"/>
      <c r="AL66" s="169"/>
      <c r="AM66" s="169"/>
      <c r="AN66" s="184"/>
      <c r="AO66" s="1021"/>
      <c r="AP66" s="1226"/>
      <c r="AQ66" s="169"/>
      <c r="AR66" s="169"/>
      <c r="AS66" s="184"/>
      <c r="AT66" s="1021"/>
      <c r="AU66" s="1226"/>
      <c r="AV66" s="169"/>
      <c r="AW66" s="169"/>
      <c r="AX66" s="184"/>
      <c r="AY66" s="1021"/>
      <c r="AZ66" s="1226"/>
      <c r="BA66" s="169"/>
      <c r="BB66" s="169"/>
      <c r="BC66" s="184"/>
      <c r="BD66" s="1021"/>
      <c r="BE66" s="1226"/>
      <c r="BF66" s="169"/>
      <c r="BG66" s="169"/>
      <c r="BH66" s="184"/>
      <c r="BI66" s="1021"/>
      <c r="BJ66" s="1226"/>
      <c r="BK66" s="169"/>
      <c r="BL66" s="169"/>
      <c r="BM66" s="169"/>
      <c r="BN66" s="1021"/>
      <c r="BO66" s="193"/>
      <c r="BP66" s="193"/>
      <c r="BQ66" s="193"/>
      <c r="BR66" s="193"/>
      <c r="BS66" s="2430"/>
      <c r="BT66" s="169"/>
      <c r="BU66" s="169"/>
      <c r="BV66" s="169"/>
      <c r="BW66" s="169"/>
      <c r="BX66" s="1021"/>
      <c r="BY66" s="193"/>
      <c r="BZ66" s="193"/>
      <c r="CA66" s="193"/>
      <c r="CB66" s="193"/>
      <c r="CC66" s="2430"/>
      <c r="CD66" s="576"/>
      <c r="CE66" s="169"/>
      <c r="CF66" s="169"/>
      <c r="CG66" s="169"/>
      <c r="CH66" s="1021"/>
      <c r="CI66" s="1226"/>
      <c r="CJ66" s="169"/>
      <c r="CK66" s="169"/>
      <c r="CL66" s="169"/>
      <c r="CM66" s="1021"/>
      <c r="CN66" s="169"/>
      <c r="CO66" s="169"/>
      <c r="CP66" s="169"/>
      <c r="CQ66" s="169"/>
      <c r="CR66" s="1021"/>
      <c r="CS66" s="169">
        <f>+CS64/CQ64-1</f>
        <v>0.10000000000000009</v>
      </c>
      <c r="CT66" s="169">
        <f>+CT64/CS64-1</f>
        <v>0.1212121212121211</v>
      </c>
      <c r="CU66" s="169">
        <f>+CU64/CT64-1</f>
        <v>6.4864864864864868E-2</v>
      </c>
      <c r="CV66" s="169">
        <f>+CV64/CU64-1</f>
        <v>0.32994923857868019</v>
      </c>
      <c r="CW66" s="1021"/>
      <c r="CX66" s="169">
        <f>+CX64/CV64-1</f>
        <v>-0.49618320610687028</v>
      </c>
      <c r="CY66" s="169">
        <f>+CY64/CX64-1</f>
        <v>-0.26515151515151514</v>
      </c>
      <c r="CZ66" s="169">
        <f>+CZ64/CY64-1</f>
        <v>0.20618556701030921</v>
      </c>
      <c r="DA66" s="169">
        <f>+DA64/CZ64-1</f>
        <v>0.11965811965811968</v>
      </c>
      <c r="DB66" s="1021"/>
      <c r="DC66" s="2612">
        <f>+DC64/DA64-1</f>
        <v>0.14503816793893121</v>
      </c>
      <c r="DD66" s="2612">
        <f>+DD64/DC64-1</f>
        <v>-3.3333333333333326E-2</v>
      </c>
      <c r="DE66" s="2612">
        <f>+DE64/DD64-1</f>
        <v>6.8965517241379448E-3</v>
      </c>
      <c r="DF66" s="2612">
        <f>+DF64/DE64-1</f>
        <v>5.4794520547945202E-2</v>
      </c>
      <c r="DG66" s="1021"/>
      <c r="DH66" s="2612">
        <f>+DH64/DF64-1</f>
        <v>0.10389610389610393</v>
      </c>
      <c r="DI66" s="2612">
        <f>+DI64/DH64-1</f>
        <v>-4.705882352941182E-2</v>
      </c>
      <c r="DJ66" s="2612">
        <f>+DJ64/DI64-1</f>
        <v>-4.3209876543209846E-2</v>
      </c>
      <c r="DK66" s="2612">
        <f>+DK64/DJ64-1</f>
        <v>0.10967741935483866</v>
      </c>
      <c r="DL66" s="1021"/>
      <c r="DM66" s="2612">
        <f>+DM64/DK64-1</f>
        <v>-0.21511627906976749</v>
      </c>
      <c r="DN66" s="2612">
        <f>+DN64/DM64-1</f>
        <v>9.6296296296296324E-2</v>
      </c>
      <c r="DO66" s="2612">
        <f>+DO64/DN64-1</f>
        <v>0.20270270270270263</v>
      </c>
      <c r="DP66" s="2612">
        <f>+DP64/DO64-1</f>
        <v>0.101123595505618</v>
      </c>
      <c r="DQ66" s="1021"/>
      <c r="DR66" s="2612">
        <f>+DR64/DP64-1</f>
        <v>1.0204081632652962E-2</v>
      </c>
      <c r="DS66" s="2612">
        <f>+DS64/DR64-1</f>
        <v>-3.0303030303030276E-2</v>
      </c>
      <c r="DT66" s="2612">
        <f>+DT64/DS64-1</f>
        <v>-5.208333333333337E-2</v>
      </c>
      <c r="DU66" s="2612">
        <f>+DU64/DT64-1</f>
        <v>-5.494505494505475E-3</v>
      </c>
      <c r="DV66" s="1021"/>
      <c r="DW66" s="2612">
        <f>+DW64/DU64-1</f>
        <v>1.430939226519337</v>
      </c>
      <c r="DX66" s="2612">
        <f>+DX64/DW64-1</f>
        <v>-0.56136363636363629</v>
      </c>
      <c r="DY66" s="2612">
        <f>+DY64/DX64-1</f>
        <v>8.290155440414515E-2</v>
      </c>
      <c r="DZ66" s="2612">
        <f>+DZ64/DY64-1</f>
        <v>8.1339712918660378E-2</v>
      </c>
      <c r="EA66" s="1021"/>
      <c r="EB66" s="2612">
        <f>+EB64/DZ64-1</f>
        <v>0.27433628318584069</v>
      </c>
      <c r="EC66" s="2612">
        <f>+EC64/EB64-1</f>
        <v>-1.041666666666663E-2</v>
      </c>
      <c r="ED66" s="2612">
        <f>+ED64/EC64-1</f>
        <v>4.2105263157894646E-2</v>
      </c>
      <c r="EE66" s="2612">
        <f>+EE64/ED64-1</f>
        <v>1.2121212121212119</v>
      </c>
      <c r="EF66" s="1021"/>
      <c r="EG66" s="2612">
        <f>+EG64/EE64-1</f>
        <v>-0.24657534246575341</v>
      </c>
      <c r="EH66" s="2612">
        <f>+EH64/EG64-1</f>
        <v>-0.26262626262626265</v>
      </c>
      <c r="EI66" s="2612">
        <f>+EI64/EH64-1</f>
        <v>6.3013698630137061E-2</v>
      </c>
      <c r="EJ66" s="2612">
        <f>+EJ64/EI64-1</f>
        <v>3.0927835051546282E-2</v>
      </c>
      <c r="EK66" s="1021"/>
      <c r="EL66" s="2612">
        <f>+EL64/EJ64-1</f>
        <v>0.125</v>
      </c>
      <c r="EM66" s="2612">
        <f>+EM64/EL64-1</f>
        <v>-0.1711111111111111</v>
      </c>
      <c r="EN66" s="2612">
        <f>+EN64/EM64-1</f>
        <v>-7.7747989276139462E-2</v>
      </c>
      <c r="EO66" s="2612">
        <f>+EO64/EN64-1</f>
        <v>5.8226744186101964E-2</v>
      </c>
      <c r="EP66" s="1021"/>
      <c r="EQ66" s="2612">
        <f>+EQ64/EO64-1</f>
        <v>7.043650248599409E-2</v>
      </c>
      <c r="ER66" s="2612">
        <f>+ER64/EQ64-1</f>
        <v>6.1736695828074506E-2</v>
      </c>
      <c r="ES66" s="2612">
        <f>+ES64/ER64-1</f>
        <v>4.6936634697107182E-2</v>
      </c>
      <c r="ET66" s="2612">
        <f>+ET64/ES64-1</f>
        <v>3.8260063159931468E-2</v>
      </c>
      <c r="EU66" s="1021"/>
      <c r="EV66" s="1021"/>
      <c r="EW66" s="1021"/>
      <c r="EX66" s="1021"/>
      <c r="EY66" s="1021"/>
      <c r="EZ66" s="193"/>
      <c r="FA66" s="725"/>
      <c r="FB66" s="725"/>
    </row>
    <row r="67" spans="1:160" s="77" customFormat="1" ht="11.25" hidden="1" customHeight="1" outlineLevel="1">
      <c r="A67" s="5640" t="s">
        <v>428</v>
      </c>
      <c r="B67" s="127"/>
      <c r="C67" s="127"/>
      <c r="D67" s="127"/>
      <c r="E67" s="127"/>
      <c r="F67" s="5088"/>
      <c r="G67" s="127"/>
      <c r="H67" s="127"/>
      <c r="I67" s="127"/>
      <c r="J67" s="127"/>
      <c r="K67" s="1219"/>
      <c r="L67" s="127"/>
      <c r="M67" s="127"/>
      <c r="N67" s="127"/>
      <c r="O67" s="127"/>
      <c r="P67" s="1001"/>
      <c r="Q67" s="1502"/>
      <c r="R67" s="127"/>
      <c r="S67" s="127"/>
      <c r="T67" s="127"/>
      <c r="U67" s="1001"/>
      <c r="V67" s="1502"/>
      <c r="W67" s="127"/>
      <c r="X67" s="127"/>
      <c r="Y67" s="127"/>
      <c r="Z67" s="1001"/>
      <c r="AA67" s="1502"/>
      <c r="AB67" s="127"/>
      <c r="AC67" s="127"/>
      <c r="AD67" s="127"/>
      <c r="AE67" s="1001"/>
      <c r="AF67" s="1502"/>
      <c r="AG67" s="127"/>
      <c r="AH67" s="127"/>
      <c r="AI67" s="127"/>
      <c r="AJ67" s="1001"/>
      <c r="AK67" s="1502"/>
      <c r="AL67" s="127"/>
      <c r="AM67" s="127"/>
      <c r="AN67" s="125"/>
      <c r="AO67" s="1001"/>
      <c r="AP67" s="1502"/>
      <c r="AQ67" s="127"/>
      <c r="AR67" s="127"/>
      <c r="AS67" s="125"/>
      <c r="AT67" s="1001"/>
      <c r="AU67" s="1502"/>
      <c r="AV67" s="127"/>
      <c r="AW67" s="127"/>
      <c r="AX67" s="125"/>
      <c r="AY67" s="1001"/>
      <c r="AZ67" s="1502"/>
      <c r="BA67" s="127"/>
      <c r="BB67" s="127"/>
      <c r="BC67" s="125"/>
      <c r="BD67" s="1001"/>
      <c r="BE67" s="1502"/>
      <c r="BF67" s="127"/>
      <c r="BG67" s="127"/>
      <c r="BH67" s="125"/>
      <c r="BI67" s="1001"/>
      <c r="BJ67" s="1502"/>
      <c r="BK67" s="127"/>
      <c r="BL67" s="127"/>
      <c r="BM67" s="127"/>
      <c r="BN67" s="1001"/>
      <c r="BO67" s="42"/>
      <c r="BP67" s="42"/>
      <c r="BQ67" s="42"/>
      <c r="BR67" s="42"/>
      <c r="BS67" s="597"/>
      <c r="BT67" s="127"/>
      <c r="BU67" s="127"/>
      <c r="BV67" s="127"/>
      <c r="BW67" s="127"/>
      <c r="BX67" s="1001"/>
      <c r="BY67" s="42"/>
      <c r="BZ67" s="42"/>
      <c r="CA67" s="42"/>
      <c r="CB67" s="42"/>
      <c r="CC67" s="597"/>
      <c r="CD67" s="1250"/>
      <c r="CE67" s="127"/>
      <c r="CF67" s="127"/>
      <c r="CG67" s="127"/>
      <c r="CH67" s="1001"/>
      <c r="CI67" s="127"/>
      <c r="CJ67" s="127"/>
      <c r="CK67" s="127"/>
      <c r="CL67" s="127"/>
      <c r="CM67" s="1001"/>
      <c r="CN67" s="127">
        <f>+CN64/CR64</f>
        <v>0.1797752808988764</v>
      </c>
      <c r="CO67" s="127">
        <f>+CO64/CR64</f>
        <v>0.16629213483146069</v>
      </c>
      <c r="CP67" s="127">
        <f>+CP64/CR64</f>
        <v>0.31685393258426964</v>
      </c>
      <c r="CQ67" s="127">
        <f>+CQ64/CR64</f>
        <v>0.33707865168539325</v>
      </c>
      <c r="CR67" s="1001"/>
      <c r="CS67" s="127">
        <f>+CS64/CW64</f>
        <v>0.20395550061804696</v>
      </c>
      <c r="CT67" s="127">
        <f>+CT64/CW64</f>
        <v>0.22867737948084055</v>
      </c>
      <c r="CU67" s="127">
        <f>+CU64/CW64</f>
        <v>0.24351050679851668</v>
      </c>
      <c r="CV67" s="127">
        <f>+CV64/CW64</f>
        <v>0.32385661310259578</v>
      </c>
      <c r="CW67" s="1001"/>
      <c r="CX67" s="127">
        <f>+CX64/DB64</f>
        <v>0.27672955974842767</v>
      </c>
      <c r="CY67" s="127">
        <f>+CY64/DB64</f>
        <v>0.20335429769392033</v>
      </c>
      <c r="CZ67" s="127">
        <f>+CZ64/DB64</f>
        <v>0.24528301886792453</v>
      </c>
      <c r="DA67" s="127">
        <f>+DA64/DB64</f>
        <v>0.27463312368972748</v>
      </c>
      <c r="DB67" s="1001"/>
      <c r="DC67" s="127">
        <f>+DC64/DG64</f>
        <v>0.25210084033613445</v>
      </c>
      <c r="DD67" s="127">
        <f>+DD64/DG64</f>
        <v>0.24369747899159663</v>
      </c>
      <c r="DE67" s="127">
        <f>+DE64/DG64</f>
        <v>0.24537815126050419</v>
      </c>
      <c r="DF67" s="127">
        <f>+DF64/DG64</f>
        <v>0.25882352941176473</v>
      </c>
      <c r="DG67" s="1001"/>
      <c r="DH67" s="127">
        <f>+DH64/DL64</f>
        <v>0.25796661608497723</v>
      </c>
      <c r="DI67" s="127">
        <f>+DI64/DL64</f>
        <v>0.24582701062215478</v>
      </c>
      <c r="DJ67" s="127">
        <f>+DJ64/DL64</f>
        <v>0.23520485584218512</v>
      </c>
      <c r="DK67" s="127">
        <f>+DK64/DL64</f>
        <v>0.26100151745068284</v>
      </c>
      <c r="DL67" s="1001"/>
      <c r="DM67" s="127">
        <f>+DM64/DQ64</f>
        <v>0.20547945205479451</v>
      </c>
      <c r="DN67" s="127">
        <f>+DN64/DQ64</f>
        <v>0.22526636225266361</v>
      </c>
      <c r="DO67" s="127">
        <f>+DO64/DQ64</f>
        <v>0.27092846270928461</v>
      </c>
      <c r="DP67" s="127">
        <f>+DP64/DQ64</f>
        <v>0.29832572298325721</v>
      </c>
      <c r="DQ67" s="1001"/>
      <c r="DR67" s="127">
        <f>+DR64/DV64</f>
        <v>0.26294820717131473</v>
      </c>
      <c r="DS67" s="127">
        <f>+DS64/DV64</f>
        <v>0.2549800796812749</v>
      </c>
      <c r="DT67" s="127">
        <f>+DT64/DV64</f>
        <v>0.24169986719787517</v>
      </c>
      <c r="DU67" s="127">
        <f>+DU64/DV64</f>
        <v>0.2403718459495352</v>
      </c>
      <c r="DV67" s="1001"/>
      <c r="DW67" s="127">
        <f>+DW64/EA64</f>
        <v>0.41198501872659177</v>
      </c>
      <c r="DX67" s="127">
        <f>+DX64/EA64</f>
        <v>0.18071161048689138</v>
      </c>
      <c r="DY67" s="127">
        <f>+DY64/EA64</f>
        <v>0.19569288389513109</v>
      </c>
      <c r="DZ67" s="127">
        <f>+DZ64/EA64</f>
        <v>0.21161048689138576</v>
      </c>
      <c r="EA67" s="1001"/>
      <c r="EB67" s="127">
        <f>+EB64/EF64</f>
        <v>0.18860510805500982</v>
      </c>
      <c r="EC67" s="127">
        <f>+EC64/EF64</f>
        <v>0.18664047151277013</v>
      </c>
      <c r="ED67" s="127">
        <f>+ED64/EF64</f>
        <v>0.19449901768172889</v>
      </c>
      <c r="EE67" s="127">
        <f>+EE64/EF64</f>
        <v>0.43025540275049118</v>
      </c>
      <c r="EF67" s="1001"/>
      <c r="EG67" s="127">
        <f>+EG64/EK64</f>
        <v>0.30036407766990292</v>
      </c>
      <c r="EH67" s="127">
        <f>+EH64/EK64</f>
        <v>0.22148058252427186</v>
      </c>
      <c r="EI67" s="127">
        <f>+EI64/EK64</f>
        <v>0.2354368932038835</v>
      </c>
      <c r="EJ67" s="127">
        <f>+EJ64/EK64</f>
        <v>0.24271844660194175</v>
      </c>
      <c r="EK67" s="1001"/>
      <c r="EL67" s="127">
        <f>+EL64/EP64</f>
        <v>0.29391977949484621</v>
      </c>
      <c r="EM67" s="127">
        <f>+EM64/EP64</f>
        <v>0.2436268394479503</v>
      </c>
      <c r="EN67" s="127">
        <f>+EN64/EP64</f>
        <v>0.22468534254717132</v>
      </c>
      <c r="EO67" s="127">
        <f>+EO64/EP64</f>
        <v>0.23776803851003217</v>
      </c>
      <c r="EP67" s="1001"/>
      <c r="EQ67" s="127">
        <f>+EQ64/EU64</f>
        <v>0.23108523659439742</v>
      </c>
      <c r="ER67" s="127">
        <f>+ER64/EU64</f>
        <v>0.24535167555638435</v>
      </c>
      <c r="ES67" s="127">
        <f>+ES64/EU64</f>
        <v>0.25686765752429752</v>
      </c>
      <c r="ET67" s="127">
        <f>+ET64/EU64</f>
        <v>0.26669543032492077</v>
      </c>
      <c r="EU67" s="1001"/>
      <c r="EV67" s="597"/>
      <c r="EW67" s="597"/>
      <c r="EX67" s="597"/>
      <c r="EY67" s="597"/>
      <c r="EZ67" s="42"/>
      <c r="FA67" s="725"/>
      <c r="FB67" s="725"/>
    </row>
    <row r="68" spans="1:160" s="168" customFormat="1" ht="11.25" customHeight="1" collapsed="1">
      <c r="A68" s="5644" t="s">
        <v>961</v>
      </c>
      <c r="B68" s="4443"/>
      <c r="C68" s="4443"/>
      <c r="D68" s="4443"/>
      <c r="E68" s="4443"/>
      <c r="F68" s="4444"/>
      <c r="G68" s="4443"/>
      <c r="H68" s="4443"/>
      <c r="I68" s="4443"/>
      <c r="J68" s="4443"/>
      <c r="K68" s="4444"/>
      <c r="L68" s="4443"/>
      <c r="M68" s="4443"/>
      <c r="N68" s="4443"/>
      <c r="O68" s="4445"/>
      <c r="P68" s="4444"/>
      <c r="Q68" s="4442"/>
      <c r="R68" s="4443"/>
      <c r="S68" s="4443"/>
      <c r="T68" s="4445"/>
      <c r="U68" s="4444"/>
      <c r="V68" s="4446"/>
      <c r="W68" s="4443"/>
      <c r="X68" s="4443"/>
      <c r="Y68" s="4445"/>
      <c r="Z68" s="4444"/>
      <c r="AA68" s="4442"/>
      <c r="AB68" s="4443"/>
      <c r="AC68" s="4443"/>
      <c r="AD68" s="4445"/>
      <c r="AE68" s="4444"/>
      <c r="AF68" s="4442"/>
      <c r="AG68" s="4443"/>
      <c r="AH68" s="4443"/>
      <c r="AI68" s="4445"/>
      <c r="AJ68" s="4444"/>
      <c r="AK68" s="4442"/>
      <c r="AL68" s="4443"/>
      <c r="AM68" s="4443"/>
      <c r="AN68" s="4445"/>
      <c r="AO68" s="4444"/>
      <c r="AP68" s="4442"/>
      <c r="AQ68" s="4443"/>
      <c r="AR68" s="4443"/>
      <c r="AS68" s="4445"/>
      <c r="AT68" s="4444"/>
      <c r="AU68" s="4442"/>
      <c r="AV68" s="4443"/>
      <c r="AW68" s="4443"/>
      <c r="AX68" s="4445"/>
      <c r="AY68" s="4444"/>
      <c r="AZ68" s="4442"/>
      <c r="BA68" s="4443"/>
      <c r="BB68" s="4443"/>
      <c r="BC68" s="4445"/>
      <c r="BD68" s="4444"/>
      <c r="BE68" s="4447"/>
      <c r="BF68" s="4448"/>
      <c r="BG68" s="4448"/>
      <c r="BH68" s="4449"/>
      <c r="BI68" s="4444"/>
      <c r="BJ68" s="4447"/>
      <c r="BK68" s="4448"/>
      <c r="BL68" s="4448"/>
      <c r="BM68" s="4448"/>
      <c r="BN68" s="4444"/>
      <c r="BO68" s="4443"/>
      <c r="BP68" s="4443"/>
      <c r="BQ68" s="4443"/>
      <c r="BR68" s="4443"/>
      <c r="BS68" s="4444"/>
      <c r="BT68" s="4448"/>
      <c r="BU68" s="4448"/>
      <c r="BV68" s="4448"/>
      <c r="BW68" s="4448"/>
      <c r="BX68" s="4444"/>
      <c r="BY68" s="4443"/>
      <c r="BZ68" s="4443"/>
      <c r="CA68" s="4443"/>
      <c r="CB68" s="4443"/>
      <c r="CC68" s="4444"/>
      <c r="CD68" s="4450"/>
      <c r="CE68" s="4448"/>
      <c r="CF68" s="4448"/>
      <c r="CG68" s="4448"/>
      <c r="CH68" s="4444"/>
      <c r="CI68" s="4451"/>
      <c r="CJ68" s="4448"/>
      <c r="CK68" s="4448"/>
      <c r="CL68" s="4448"/>
      <c r="CM68" s="4444"/>
      <c r="CN68" s="4443"/>
      <c r="CO68" s="4443"/>
      <c r="CP68" s="4443"/>
      <c r="CQ68" s="4443"/>
      <c r="CR68" s="4444">
        <f t="shared" ref="CR68:DA68" si="227">CR214</f>
        <v>1400</v>
      </c>
      <c r="CS68" s="4443">
        <f t="shared" si="227"/>
        <v>169</v>
      </c>
      <c r="CT68" s="4443">
        <f t="shared" si="227"/>
        <v>78</v>
      </c>
      <c r="CU68" s="4443">
        <f t="shared" si="227"/>
        <v>105</v>
      </c>
      <c r="CV68" s="4443">
        <f t="shared" si="227"/>
        <v>187</v>
      </c>
      <c r="CW68" s="4444">
        <f t="shared" si="227"/>
        <v>539</v>
      </c>
      <c r="CX68" s="4443">
        <f t="shared" si="227"/>
        <v>217</v>
      </c>
      <c r="CY68" s="4443">
        <f t="shared" si="227"/>
        <v>3</v>
      </c>
      <c r="CZ68" s="4443">
        <f t="shared" si="227"/>
        <v>-191</v>
      </c>
      <c r="DA68" s="4443">
        <f t="shared" si="227"/>
        <v>-198</v>
      </c>
      <c r="DB68" s="4452">
        <v>-169</v>
      </c>
      <c r="DC68" s="4443">
        <f>DC214</f>
        <v>-239</v>
      </c>
      <c r="DD68" s="4443">
        <f>DD214</f>
        <v>-103</v>
      </c>
      <c r="DE68" s="4443">
        <f>DE214</f>
        <v>80</v>
      </c>
      <c r="DF68" s="4448">
        <f>DF214</f>
        <v>124</v>
      </c>
      <c r="DG68" s="4452">
        <v>-138</v>
      </c>
      <c r="DH68" s="4448">
        <v>137</v>
      </c>
      <c r="DI68" s="4443">
        <f>DI214</f>
        <v>108</v>
      </c>
      <c r="DJ68" s="4443">
        <f>DJ214</f>
        <v>119</v>
      </c>
      <c r="DK68" s="4448">
        <v>91</v>
      </c>
      <c r="DL68" s="5267">
        <v>455</v>
      </c>
      <c r="DM68" s="5268">
        <v>49</v>
      </c>
      <c r="DN68" s="5268">
        <v>151</v>
      </c>
      <c r="DO68" s="5268">
        <v>-22</v>
      </c>
      <c r="DP68" s="5268">
        <v>-2</v>
      </c>
      <c r="DQ68" s="5269">
        <f>SUM(DM68:DP68)</f>
        <v>176</v>
      </c>
      <c r="DR68" s="5268">
        <v>-109</v>
      </c>
      <c r="DS68" s="5268">
        <v>-7</v>
      </c>
      <c r="DT68" s="5268">
        <v>62</v>
      </c>
      <c r="DU68" s="5268">
        <v>203</v>
      </c>
      <c r="DV68" s="5269">
        <f>SUM(DR68:DU68)</f>
        <v>149</v>
      </c>
      <c r="DW68" s="5268">
        <v>278</v>
      </c>
      <c r="DX68" s="5268">
        <v>375</v>
      </c>
      <c r="DY68" s="5268">
        <v>638</v>
      </c>
      <c r="DZ68" s="5268">
        <v>669</v>
      </c>
      <c r="EA68" s="4444">
        <f>SUM(DW68:DZ68)</f>
        <v>1960</v>
      </c>
      <c r="EB68" s="5268">
        <v>84</v>
      </c>
      <c r="EC68" s="5268">
        <v>3</v>
      </c>
      <c r="ED68" s="5268">
        <v>-1</v>
      </c>
      <c r="EE68" s="5268">
        <v>150</v>
      </c>
      <c r="EF68" s="4444">
        <f>SUM(EB68:EE68)</f>
        <v>236</v>
      </c>
      <c r="EG68" s="5268">
        <v>72</v>
      </c>
      <c r="EH68" s="5268">
        <v>102</v>
      </c>
      <c r="EI68" s="5268">
        <v>17</v>
      </c>
      <c r="EJ68" s="5268">
        <v>20</v>
      </c>
      <c r="EK68" s="4444">
        <f>SUM(EG68:EJ68)</f>
        <v>211</v>
      </c>
      <c r="EL68" s="5268">
        <v>260</v>
      </c>
      <c r="EM68" s="5268">
        <v>-112</v>
      </c>
      <c r="EN68" s="5268">
        <v>-207</v>
      </c>
      <c r="EO68" s="4443">
        <f t="shared" ref="EO68" si="228">EO214</f>
        <v>-195.55607516823349</v>
      </c>
      <c r="EP68" s="4444">
        <f>SUM(EL68:EO68)</f>
        <v>-254.55607516823349</v>
      </c>
      <c r="EQ68" s="4443">
        <f t="shared" ref="EQ68:ET68" si="229">EQ214</f>
        <v>-649.21286703271676</v>
      </c>
      <c r="ER68" s="4443">
        <f t="shared" si="229"/>
        <v>-130.00387208809934</v>
      </c>
      <c r="ES68" s="4443">
        <f t="shared" si="229"/>
        <v>139.86763587836194</v>
      </c>
      <c r="ET68" s="4443">
        <f t="shared" si="229"/>
        <v>53.200193109215618</v>
      </c>
      <c r="EU68" s="4444">
        <f>SUM(EQ68:ET68)</f>
        <v>-586.14891013323847</v>
      </c>
      <c r="EV68" s="4444">
        <f>EV214</f>
        <v>0</v>
      </c>
      <c r="EW68" s="4444">
        <f>EW214</f>
        <v>0</v>
      </c>
      <c r="EX68" s="4444">
        <f>EX214</f>
        <v>0</v>
      </c>
      <c r="EY68" s="4444">
        <f>EY214</f>
        <v>0</v>
      </c>
      <c r="EZ68" s="167"/>
      <c r="FA68" s="1319"/>
      <c r="FB68" s="1319"/>
    </row>
    <row r="69" spans="1:160" s="168" customFormat="1" ht="11.25" customHeight="1">
      <c r="A69" s="5645" t="s">
        <v>975</v>
      </c>
      <c r="B69" s="2973"/>
      <c r="C69" s="2973"/>
      <c r="D69" s="2973"/>
      <c r="E69" s="2973"/>
      <c r="F69" s="5612"/>
      <c r="G69" s="2973"/>
      <c r="H69" s="2973"/>
      <c r="I69" s="2973"/>
      <c r="J69" s="2973"/>
      <c r="K69" s="4437">
        <f>IS!K7</f>
        <v>19.108000000000001</v>
      </c>
      <c r="L69" s="2973"/>
      <c r="M69" s="2973"/>
      <c r="N69" s="2973"/>
      <c r="O69" s="4415"/>
      <c r="P69" s="4437">
        <f>P36+P481</f>
        <v>86.426000000000002</v>
      </c>
      <c r="Q69" s="4413">
        <f>IS!Q7</f>
        <v>42.284999999999997</v>
      </c>
      <c r="R69" s="2973">
        <f>IS!R7</f>
        <v>78.525000000000006</v>
      </c>
      <c r="S69" s="2973">
        <f>IS!S7</f>
        <v>130.78700000000001</v>
      </c>
      <c r="T69" s="4415">
        <f>IS!T7</f>
        <v>187.911</v>
      </c>
      <c r="U69" s="4437">
        <f>SUM(Q69:T69)</f>
        <v>439.50800000000004</v>
      </c>
      <c r="V69" s="4416">
        <f>IS!V7</f>
        <v>248.61799999999999</v>
      </c>
      <c r="W69" s="2973">
        <f>IS!W7</f>
        <v>311.19900000000001</v>
      </c>
      <c r="X69" s="2973">
        <f>IS!X7</f>
        <v>393.94200000000001</v>
      </c>
      <c r="Y69" s="4415">
        <f>IS!Y7</f>
        <v>512.17499999999995</v>
      </c>
      <c r="Z69" s="4437">
        <f>Z36+Z481</f>
        <v>1465.934</v>
      </c>
      <c r="AA69" s="4413">
        <f>IS!AA7</f>
        <v>651.62300000000005</v>
      </c>
      <c r="AB69" s="2973">
        <f>IS!AB7</f>
        <v>700.21199999999999</v>
      </c>
      <c r="AC69" s="2973">
        <f>IS!AC7</f>
        <v>805.88699999999994</v>
      </c>
      <c r="AD69" s="4415">
        <f t="shared" ref="AD69:BN69" si="230">AD36+AD481</f>
        <v>1031.5020000000002</v>
      </c>
      <c r="AE69" s="4437">
        <f t="shared" si="230"/>
        <v>3189.2239999999997</v>
      </c>
      <c r="AF69" s="4413">
        <f t="shared" si="230"/>
        <v>1256.5157999999999</v>
      </c>
      <c r="AG69" s="2973">
        <f t="shared" si="230"/>
        <v>1384.4949999999999</v>
      </c>
      <c r="AH69" s="2973">
        <f t="shared" si="230"/>
        <v>1578.4559999999999</v>
      </c>
      <c r="AI69" s="4415">
        <f t="shared" si="230"/>
        <v>1919.0930000000001</v>
      </c>
      <c r="AJ69" s="4437">
        <f t="shared" si="230"/>
        <v>6138.5598</v>
      </c>
      <c r="AK69" s="4413">
        <f t="shared" si="230"/>
        <v>2253.7550000000001</v>
      </c>
      <c r="AL69" s="2973">
        <f t="shared" si="230"/>
        <v>2455.9910000000004</v>
      </c>
      <c r="AM69" s="2973">
        <f t="shared" si="230"/>
        <v>2689.6729999999998</v>
      </c>
      <c r="AN69" s="4415">
        <f t="shared" si="230"/>
        <v>3205.4979999999996</v>
      </c>
      <c r="AO69" s="4437">
        <f t="shared" si="230"/>
        <v>10604.917000000001</v>
      </c>
      <c r="AP69" s="4413">
        <f t="shared" si="230"/>
        <v>3663.971</v>
      </c>
      <c r="AQ69" s="2973">
        <f t="shared" si="230"/>
        <v>3871.9849999999997</v>
      </c>
      <c r="AR69" s="2973">
        <f t="shared" si="230"/>
        <v>4231.3509999999997</v>
      </c>
      <c r="AS69" s="4415">
        <f t="shared" si="230"/>
        <v>4826.6790000000001</v>
      </c>
      <c r="AT69" s="4437">
        <f t="shared" si="230"/>
        <v>16593.986000000001</v>
      </c>
      <c r="AU69" s="4413">
        <f t="shared" si="230"/>
        <v>5186.0430000000006</v>
      </c>
      <c r="AV69" s="2973">
        <f t="shared" si="230"/>
        <v>5367.2120000000004</v>
      </c>
      <c r="AW69" s="2973">
        <f t="shared" si="230"/>
        <v>5541.3909999999996</v>
      </c>
      <c r="AX69" s="4415">
        <f t="shared" si="230"/>
        <v>5700.9039999999995</v>
      </c>
      <c r="AY69" s="4437">
        <f t="shared" si="230"/>
        <v>21795.550000000003</v>
      </c>
      <c r="AZ69" s="4413">
        <f t="shared" si="230"/>
        <v>5508.99</v>
      </c>
      <c r="BA69" s="2973">
        <f t="shared" si="230"/>
        <v>5522.8970000000008</v>
      </c>
      <c r="BB69" s="2973">
        <f t="shared" si="230"/>
        <v>5944.8509999999997</v>
      </c>
      <c r="BC69" s="4415">
        <f t="shared" si="230"/>
        <v>6673.8250000000007</v>
      </c>
      <c r="BD69" s="4437">
        <f t="shared" si="230"/>
        <v>23650.563000000002</v>
      </c>
      <c r="BE69" s="4413">
        <f t="shared" si="230"/>
        <v>6775</v>
      </c>
      <c r="BF69" s="2973">
        <f t="shared" si="230"/>
        <v>6820</v>
      </c>
      <c r="BG69" s="2973">
        <f t="shared" si="230"/>
        <v>7286</v>
      </c>
      <c r="BH69" s="4415">
        <f t="shared" si="230"/>
        <v>8440</v>
      </c>
      <c r="BI69" s="4437">
        <f t="shared" si="230"/>
        <v>29321</v>
      </c>
      <c r="BJ69" s="4413">
        <f t="shared" si="230"/>
        <v>8575</v>
      </c>
      <c r="BK69" s="2973">
        <f t="shared" si="230"/>
        <v>9026</v>
      </c>
      <c r="BL69" s="2973">
        <f t="shared" si="230"/>
        <v>9720</v>
      </c>
      <c r="BM69" s="2973">
        <f t="shared" si="230"/>
        <v>10584</v>
      </c>
      <c r="BN69" s="4437">
        <f t="shared" si="230"/>
        <v>37905</v>
      </c>
      <c r="BO69" s="2973"/>
      <c r="BP69" s="2973"/>
      <c r="BQ69" s="2973"/>
      <c r="BR69" s="2973"/>
      <c r="BS69" s="4437"/>
      <c r="BT69" s="2973">
        <f>BT36+BT481</f>
        <v>10645</v>
      </c>
      <c r="BU69" s="2973">
        <f>BU36+BU481</f>
        <v>10964</v>
      </c>
      <c r="BV69" s="2973">
        <f>BV36+BV481</f>
        <v>11526</v>
      </c>
      <c r="BW69" s="2973">
        <f>BW36+BW481</f>
        <v>12905</v>
      </c>
      <c r="BX69" s="4437">
        <f>BX36+BX481</f>
        <v>46040</v>
      </c>
      <c r="BY69" s="2973"/>
      <c r="BZ69" s="2973"/>
      <c r="CA69" s="2973"/>
      <c r="CB69" s="2973"/>
      <c r="CC69" s="4437"/>
      <c r="CD69" s="4417">
        <f t="shared" ref="CD69:CL69" si="231">CD36+CD481</f>
        <v>12951</v>
      </c>
      <c r="CE69" s="2973">
        <f t="shared" si="231"/>
        <v>13107</v>
      </c>
      <c r="CF69" s="2973">
        <f t="shared" si="231"/>
        <v>13754</v>
      </c>
      <c r="CG69" s="2973">
        <f t="shared" si="231"/>
        <v>15707</v>
      </c>
      <c r="CH69" s="4437">
        <f t="shared" si="231"/>
        <v>55519</v>
      </c>
      <c r="CI69" s="3095">
        <f t="shared" si="231"/>
        <v>15420</v>
      </c>
      <c r="CJ69" s="2973">
        <f t="shared" si="231"/>
        <v>15955</v>
      </c>
      <c r="CK69" s="2973">
        <f t="shared" si="231"/>
        <v>16523</v>
      </c>
      <c r="CL69" s="2973">
        <f t="shared" si="231"/>
        <v>18103</v>
      </c>
      <c r="CM69" s="4437">
        <f>SUM(CI69:CL69)</f>
        <v>66001</v>
      </c>
      <c r="CN69" s="2973">
        <f>CN36+CN481</f>
        <v>17258</v>
      </c>
      <c r="CO69" s="2973">
        <f>CO36+CO481</f>
        <v>17727</v>
      </c>
      <c r="CP69" s="2973">
        <f>CP36+CP481</f>
        <v>18675</v>
      </c>
      <c r="CQ69" s="2973">
        <f>SUM(CQ498,CQ64)</f>
        <v>21329</v>
      </c>
      <c r="CR69" s="4437">
        <f>SUM(CN69:CQ69)</f>
        <v>74989</v>
      </c>
      <c r="CS69" s="2973">
        <f>SUM(CS498,CS64)</f>
        <v>20257</v>
      </c>
      <c r="CT69" s="2973">
        <f>SUM(CT498,CT64)</f>
        <v>21500</v>
      </c>
      <c r="CU69" s="2973">
        <f>SUM(CU498,CU64)</f>
        <v>22451</v>
      </c>
      <c r="CV69" s="2973">
        <f>SUM(CV498,CV64)</f>
        <v>26064</v>
      </c>
      <c r="CW69" s="4437">
        <f>SUM(CS69:CV69)</f>
        <v>90272</v>
      </c>
      <c r="CX69" s="2973">
        <f>SUM(CX498,CX64)</f>
        <v>24750</v>
      </c>
      <c r="CY69" s="2973">
        <f>SUM(CY498,CY64)</f>
        <v>26010</v>
      </c>
      <c r="CZ69" s="2973">
        <f>SUM(CZ498,CZ64)</f>
        <v>27772</v>
      </c>
      <c r="DA69" s="2973">
        <f>SUM(DA498,DA64)</f>
        <v>32323</v>
      </c>
      <c r="DB69" s="4437">
        <f>SUM(CX69:DA69)</f>
        <v>110855</v>
      </c>
      <c r="DC69" s="2973">
        <f>SUM(DC498,DC64)</f>
        <v>31146</v>
      </c>
      <c r="DD69" s="2973">
        <f>SUM(DD498,DD64)</f>
        <v>32657</v>
      </c>
      <c r="DE69" s="2973">
        <f>SUM(DE498,DE64)</f>
        <v>33740</v>
      </c>
      <c r="DF69" s="2973">
        <f>SUM(DF498,DF64,DF68)</f>
        <v>39276</v>
      </c>
      <c r="DG69" s="4437">
        <f>SUM(DC69:DF69)</f>
        <v>136819</v>
      </c>
      <c r="DH69" s="2973">
        <f>SUM(DH50,DH57,DH64,DH68)</f>
        <v>36339</v>
      </c>
      <c r="DI69" s="2973">
        <f>SUM(DI50,DI57,DI64,DI68)</f>
        <v>38944</v>
      </c>
      <c r="DJ69" s="2973">
        <f>SUM(DJ50,DJ57,DJ64,DJ68)</f>
        <v>40499</v>
      </c>
      <c r="DK69" s="2973">
        <f>SUM(DK50,DK57,DK64,DK68)</f>
        <v>46075</v>
      </c>
      <c r="DL69" s="5265">
        <f>SUM(DH69:DK69)</f>
        <v>161857</v>
      </c>
      <c r="DM69" s="5263">
        <f>SUM(DM50,DM57,DM64,DM68)</f>
        <v>41159</v>
      </c>
      <c r="DN69" s="5263">
        <f>SUM(DN50,DN57,DN64,DN68)</f>
        <v>38297</v>
      </c>
      <c r="DO69" s="5263">
        <f>SUM(DO50,DO57,DO64,DO68)</f>
        <v>46173</v>
      </c>
      <c r="DP69" s="5263">
        <f>SUM(DP50,DP57,DP64,DP68)</f>
        <v>56898</v>
      </c>
      <c r="DQ69" s="5265">
        <f>SUM(DM69:DP69)</f>
        <v>182527</v>
      </c>
      <c r="DR69" s="5263">
        <f>SUM(DR50,DR57,DR64,DR68)</f>
        <v>55314</v>
      </c>
      <c r="DS69" s="5263">
        <f>SUM(DS50,DS57,DS64,DS68)</f>
        <v>61880</v>
      </c>
      <c r="DT69" s="5263">
        <f>SUM(DT50,DT57,DT64,DT68)</f>
        <v>65118</v>
      </c>
      <c r="DU69" s="5263">
        <f>SUM(DU50,DU57,DU64,DU68)</f>
        <v>75325</v>
      </c>
      <c r="DV69" s="5265">
        <f>SUM(DR69:DU69)</f>
        <v>257637</v>
      </c>
      <c r="DW69" s="5263">
        <f>SUM(DW50,DW57,DW64,DW68)</f>
        <v>68011</v>
      </c>
      <c r="DX69" s="5263">
        <f>SUM(DX50,DX57,DX64,DX68)</f>
        <v>69685</v>
      </c>
      <c r="DY69" s="5263">
        <f>SUM(DY50,DY57,DY64,DY68)</f>
        <v>69092</v>
      </c>
      <c r="DZ69" s="5263">
        <f>SUM(DZ50,DZ57,DZ64,DZ68)</f>
        <v>76048</v>
      </c>
      <c r="EA69" s="4437">
        <f>SUM(DW69:DZ69)</f>
        <v>282836</v>
      </c>
      <c r="EB69" s="5263">
        <f>SUM(EB50,EB57,EB64,EB68)</f>
        <v>69787</v>
      </c>
      <c r="EC69" s="5263">
        <f>SUM(EC50,EC57,EC64,EC68)</f>
        <v>74604</v>
      </c>
      <c r="ED69" s="5263">
        <f>SUM(ED50,ED57,ED64,ED68)</f>
        <v>76693</v>
      </c>
      <c r="EE69" s="5263">
        <f>SUM(EE50,EE57,EE64,EE68)</f>
        <v>86310</v>
      </c>
      <c r="EF69" s="4437">
        <f>SUM(EB69:EE69)</f>
        <v>307394</v>
      </c>
      <c r="EG69" s="5263">
        <f>SUM(EG50,EG57,EG64,EG68)</f>
        <v>80539</v>
      </c>
      <c r="EH69" s="5263">
        <f>SUM(EH50,EH57,EH64,EH68)</f>
        <v>84742</v>
      </c>
      <c r="EI69" s="5263">
        <f>SUM(EI50,EI57,EI64,EI68)</f>
        <v>88268</v>
      </c>
      <c r="EJ69" s="5263">
        <f>SUM(EJ50,EJ57,EJ64,EJ68)</f>
        <v>96469</v>
      </c>
      <c r="EK69" s="4437">
        <f>SUM(EG69:EJ69)</f>
        <v>350018</v>
      </c>
      <c r="EL69" s="5263">
        <f>SUM(EL50,EL57,EL64,EL68)</f>
        <v>90234</v>
      </c>
      <c r="EM69" s="5263">
        <f>SUM(EM50,EM57,EM64,EM68)</f>
        <v>96428</v>
      </c>
      <c r="EN69" s="5263">
        <f>SUM(EN50,EN57,EN64,EN68)</f>
        <v>102346</v>
      </c>
      <c r="EO69" s="4462">
        <f t="shared" ref="EO69" si="232">EO170</f>
        <v>112246.33430067294</v>
      </c>
      <c r="EP69" s="4437">
        <f>SUM(EL69:EO69)</f>
        <v>401254.33430067293</v>
      </c>
      <c r="EQ69" s="4462">
        <f t="shared" ref="EQ69:ET69" si="233">EQ170</f>
        <v>106324.51246813085</v>
      </c>
      <c r="ER69" s="4462">
        <f t="shared" si="233"/>
        <v>112613.41348835241</v>
      </c>
      <c r="ES69" s="4462">
        <f t="shared" si="233"/>
        <v>118888.45645648654</v>
      </c>
      <c r="ET69" s="4462">
        <f t="shared" si="233"/>
        <v>130475.26993554858</v>
      </c>
      <c r="EU69" s="4437">
        <f>SUM(EQ69:ET69)</f>
        <v>468301.65234851843</v>
      </c>
      <c r="EV69" s="4527">
        <f>EV170</f>
        <v>530735.52121275011</v>
      </c>
      <c r="EW69" s="4527">
        <f>EW170</f>
        <v>594221.93512936914</v>
      </c>
      <c r="EX69" s="4527">
        <f>EX170</f>
        <v>657093.77916525898</v>
      </c>
      <c r="EY69" s="4527">
        <f>EY170</f>
        <v>722335.86960670422</v>
      </c>
      <c r="EZ69" s="167"/>
      <c r="FA69" s="1319">
        <f>(EV69/EK69)^(1/3)-1</f>
        <v>0.14884805174012783</v>
      </c>
      <c r="FB69" s="1319">
        <f>(EX69/EK69)^(1/5)-1</f>
        <v>0.13424636296782211</v>
      </c>
      <c r="FD69" s="2739"/>
    </row>
    <row r="70" spans="1:160" s="194" customFormat="1" ht="11.25" customHeight="1">
      <c r="A70" s="5363" t="s">
        <v>45</v>
      </c>
      <c r="B70" s="2612"/>
      <c r="C70" s="169"/>
      <c r="D70" s="169"/>
      <c r="E70" s="169"/>
      <c r="F70" s="4241"/>
      <c r="G70" s="2612"/>
      <c r="H70" s="169"/>
      <c r="I70" s="169"/>
      <c r="J70" s="169"/>
      <c r="K70" s="992"/>
      <c r="L70" s="169"/>
      <c r="M70" s="169"/>
      <c r="N70" s="169"/>
      <c r="O70" s="184"/>
      <c r="P70" s="1013" t="s">
        <v>116</v>
      </c>
      <c r="Q70" s="1226" t="s">
        <v>116</v>
      </c>
      <c r="R70" s="169" t="s">
        <v>116</v>
      </c>
      <c r="S70" s="169" t="s">
        <v>116</v>
      </c>
      <c r="T70" s="184" t="s">
        <v>116</v>
      </c>
      <c r="U70" s="1013">
        <f t="shared" ref="U70:AI70" si="234">+U69/P69-1</f>
        <v>4.0853678291254951</v>
      </c>
      <c r="V70" s="1226">
        <f t="shared" si="234"/>
        <v>4.8795790469433609</v>
      </c>
      <c r="W70" s="169">
        <f t="shared" si="234"/>
        <v>2.9630563514804202</v>
      </c>
      <c r="X70" s="169">
        <f t="shared" si="234"/>
        <v>2.0120883574055526</v>
      </c>
      <c r="Y70" s="169">
        <f t="shared" si="234"/>
        <v>1.7256254290595012</v>
      </c>
      <c r="Z70" s="1013">
        <f t="shared" si="234"/>
        <v>2.3353977629531197</v>
      </c>
      <c r="AA70" s="1226">
        <f t="shared" si="234"/>
        <v>1.6209807817615784</v>
      </c>
      <c r="AB70" s="169">
        <f t="shared" si="234"/>
        <v>1.250045790635574</v>
      </c>
      <c r="AC70" s="169">
        <f t="shared" si="234"/>
        <v>1.0456996207563547</v>
      </c>
      <c r="AD70" s="169">
        <f t="shared" si="234"/>
        <v>1.0139639771562461</v>
      </c>
      <c r="AE70" s="1013">
        <f t="shared" si="234"/>
        <v>1.1755576990505712</v>
      </c>
      <c r="AF70" s="1226">
        <f t="shared" si="234"/>
        <v>0.92828644783870407</v>
      </c>
      <c r="AG70" s="169">
        <f t="shared" si="234"/>
        <v>0.97725117535831996</v>
      </c>
      <c r="AH70" s="169">
        <f t="shared" si="234"/>
        <v>0.9586567347531354</v>
      </c>
      <c r="AI70" s="169">
        <f t="shared" si="234"/>
        <v>0.86048403202320478</v>
      </c>
      <c r="AJ70" s="1013">
        <f>AJ69/AE69-1</f>
        <v>0.92478163967159421</v>
      </c>
      <c r="AK70" s="1226">
        <f>+AK69/AF69-1</f>
        <v>0.79365432571560213</v>
      </c>
      <c r="AL70" s="169">
        <f>+AL69/AG69-1</f>
        <v>0.77392551074579585</v>
      </c>
      <c r="AM70" s="169">
        <f>+AM69/AH69-1</f>
        <v>0.70398984830745981</v>
      </c>
      <c r="AN70" s="184">
        <f>+AN69/AI69-1</f>
        <v>0.67031926019218435</v>
      </c>
      <c r="AO70" s="1013">
        <f>AO69/AJ69-1</f>
        <v>0.72759040320825763</v>
      </c>
      <c r="AP70" s="1226">
        <f>+AP69/AK69-1</f>
        <v>0.62571841216103774</v>
      </c>
      <c r="AQ70" s="169">
        <f>+AQ69/AL69-1</f>
        <v>0.57654690102691708</v>
      </c>
      <c r="AR70" s="169">
        <f>+AR69/AM69-1</f>
        <v>0.57318417517668507</v>
      </c>
      <c r="AS70" s="184">
        <f>+AS69/AN69-1</f>
        <v>0.50575012057408886</v>
      </c>
      <c r="AT70" s="1013">
        <f>AT69/AO69-1</f>
        <v>0.56474454255511852</v>
      </c>
      <c r="AU70" s="1226">
        <f>+AU69/AP69-1</f>
        <v>0.41541595170922485</v>
      </c>
      <c r="AV70" s="169">
        <f>+AV69/AQ69-1</f>
        <v>0.38616549392624222</v>
      </c>
      <c r="AW70" s="169">
        <f>+AW69/AR69-1</f>
        <v>0.30960324492106661</v>
      </c>
      <c r="AX70" s="184">
        <f>+AX69/AS69-1</f>
        <v>0.18112350127282117</v>
      </c>
      <c r="AY70" s="1013">
        <f>AY69/AT69-1</f>
        <v>0.31346079236176294</v>
      </c>
      <c r="AZ70" s="1226">
        <f>+AZ69/AU69-1</f>
        <v>6.227233364628848E-2</v>
      </c>
      <c r="BA70" s="169">
        <f>+BA69/AV69-1</f>
        <v>2.9006679818125436E-2</v>
      </c>
      <c r="BB70" s="169">
        <f>+BB69/AW69-1</f>
        <v>7.2808433839084863E-2</v>
      </c>
      <c r="BC70" s="184">
        <f>+BC69/AX69-1</f>
        <v>0.1706608285282476</v>
      </c>
      <c r="BD70" s="1013">
        <f>BD69/AY69-1</f>
        <v>8.5109712762467593E-2</v>
      </c>
      <c r="BE70" s="1226">
        <f>+BE69/AZ69-1</f>
        <v>0.22980800473408025</v>
      </c>
      <c r="BF70" s="169">
        <f>+BF69/BA69-1</f>
        <v>0.23485916901944748</v>
      </c>
      <c r="BG70" s="169">
        <f>+BG69/BB69-1</f>
        <v>0.22559842122199547</v>
      </c>
      <c r="BH70" s="184">
        <f>+BH69/BC69-1</f>
        <v>0.26464209055526622</v>
      </c>
      <c r="BI70" s="1013">
        <f>BI69/BD69-1</f>
        <v>0.23975907042889411</v>
      </c>
      <c r="BJ70" s="1226">
        <f>+BJ69/BE69-1</f>
        <v>0.26568265682656822</v>
      </c>
      <c r="BK70" s="169">
        <f>+BK69/BF69-1</f>
        <v>0.32346041055718477</v>
      </c>
      <c r="BL70" s="169">
        <f>+BL69/BG69-1</f>
        <v>0.33406533077134237</v>
      </c>
      <c r="BM70" s="169">
        <f>+BM69/BH69-1</f>
        <v>0.2540284360189573</v>
      </c>
      <c r="BN70" s="1013">
        <f>BN69/BI69-1</f>
        <v>0.2927594556802291</v>
      </c>
      <c r="BO70" s="629"/>
      <c r="BP70" s="629"/>
      <c r="BQ70" s="629"/>
      <c r="BR70" s="629"/>
      <c r="BS70" s="2404"/>
      <c r="BT70" s="169">
        <f>+BT69/BJ69-1</f>
        <v>0.24139941690962097</v>
      </c>
      <c r="BU70" s="169">
        <f>BU69/BK69-1</f>
        <v>0.21471305118546424</v>
      </c>
      <c r="BV70" s="169">
        <f>BV69/BL69-1</f>
        <v>0.18580246913580245</v>
      </c>
      <c r="BW70" s="169">
        <f>BW69/BM69-1</f>
        <v>0.21929327286470146</v>
      </c>
      <c r="BX70" s="1013">
        <f>BX69/BN69-1</f>
        <v>0.21461548608363024</v>
      </c>
      <c r="BY70" s="629"/>
      <c r="BZ70" s="629"/>
      <c r="CA70" s="629"/>
      <c r="CB70" s="629"/>
      <c r="CC70" s="2404"/>
      <c r="CD70" s="576">
        <f>CD69/BT69-1</f>
        <v>0.21662752465946444</v>
      </c>
      <c r="CE70" s="169">
        <f>CE69/BU69-1</f>
        <v>0.1954578620941263</v>
      </c>
      <c r="CF70" s="169">
        <f>CF69/BV69-1</f>
        <v>0.19330209960090228</v>
      </c>
      <c r="CG70" s="169">
        <f>CG69/BW69-1</f>
        <v>0.21712514529252225</v>
      </c>
      <c r="CH70" s="1013">
        <f>CH69/BX69-1</f>
        <v>0.20588618592528229</v>
      </c>
      <c r="CI70" s="552">
        <f t="shared" ref="CI70:CU70" si="235">CI69/CD69-1</f>
        <v>0.19064164929349081</v>
      </c>
      <c r="CJ70" s="169">
        <f t="shared" si="235"/>
        <v>0.21728847180895694</v>
      </c>
      <c r="CK70" s="169">
        <f t="shared" si="235"/>
        <v>0.20132325141776941</v>
      </c>
      <c r="CL70" s="169">
        <f t="shared" si="235"/>
        <v>0.15254345196409247</v>
      </c>
      <c r="CM70" s="1013">
        <f t="shared" si="235"/>
        <v>0.18880023055170292</v>
      </c>
      <c r="CN70" s="629">
        <f t="shared" si="235"/>
        <v>0.11919584954604412</v>
      </c>
      <c r="CO70" s="169">
        <f t="shared" si="235"/>
        <v>0.11106236289564397</v>
      </c>
      <c r="CP70" s="169">
        <f t="shared" si="235"/>
        <v>0.13024269200508387</v>
      </c>
      <c r="CQ70" s="169">
        <f t="shared" si="235"/>
        <v>0.17820250787162339</v>
      </c>
      <c r="CR70" s="1013">
        <f t="shared" si="235"/>
        <v>0.13617975485219924</v>
      </c>
      <c r="CS70" s="629">
        <f t="shared" si="235"/>
        <v>0.17377448139993046</v>
      </c>
      <c r="CT70" s="169">
        <f t="shared" si="235"/>
        <v>0.21283917188469559</v>
      </c>
      <c r="CU70" s="169">
        <f t="shared" si="235"/>
        <v>0.20219544846050863</v>
      </c>
      <c r="CV70" s="629">
        <f t="shared" ref="CV70:DB70" si="236">CV69/CQ69-1</f>
        <v>0.22199821838811018</v>
      </c>
      <c r="CW70" s="1013">
        <f t="shared" si="236"/>
        <v>0.20380322447292265</v>
      </c>
      <c r="CX70" s="629">
        <f t="shared" si="236"/>
        <v>0.22179987164930637</v>
      </c>
      <c r="CY70" s="629">
        <f t="shared" si="236"/>
        <v>0.20976744186046514</v>
      </c>
      <c r="CZ70" s="629">
        <f t="shared" si="236"/>
        <v>0.23700503318337707</v>
      </c>
      <c r="DA70" s="629">
        <f t="shared" si="236"/>
        <v>0.24013965623081646</v>
      </c>
      <c r="DB70" s="1013">
        <f t="shared" si="236"/>
        <v>0.22801090038993266</v>
      </c>
      <c r="DC70" s="629">
        <f t="shared" ref="DC70:DT70" si="237">DC69/CX69-1</f>
        <v>0.25842424242424245</v>
      </c>
      <c r="DD70" s="629">
        <f t="shared" si="237"/>
        <v>0.25555555555555554</v>
      </c>
      <c r="DE70" s="629">
        <f t="shared" si="237"/>
        <v>0.21489269768111763</v>
      </c>
      <c r="DF70" s="629">
        <f t="shared" si="237"/>
        <v>0.21510998360300704</v>
      </c>
      <c r="DG70" s="1013">
        <f t="shared" si="237"/>
        <v>0.23421586757475987</v>
      </c>
      <c r="DH70" s="629">
        <f t="shared" si="237"/>
        <v>0.16673088036987083</v>
      </c>
      <c r="DI70" s="629">
        <f t="shared" si="237"/>
        <v>0.19251615273907574</v>
      </c>
      <c r="DJ70" s="629">
        <f t="shared" si="237"/>
        <v>0.2003260225251926</v>
      </c>
      <c r="DK70" s="629">
        <f t="shared" si="237"/>
        <v>0.17310825949689379</v>
      </c>
      <c r="DL70" s="1013">
        <f t="shared" si="237"/>
        <v>0.18300089899794614</v>
      </c>
      <c r="DM70" s="629">
        <f t="shared" si="237"/>
        <v>0.13263986350752632</v>
      </c>
      <c r="DN70" s="629">
        <f t="shared" si="237"/>
        <v>-1.6613599013968749E-2</v>
      </c>
      <c r="DO70" s="629">
        <f t="shared" si="237"/>
        <v>0.14010222474628997</v>
      </c>
      <c r="DP70" s="629">
        <f t="shared" si="237"/>
        <v>0.23489962018448174</v>
      </c>
      <c r="DQ70" s="1013">
        <f t="shared" si="237"/>
        <v>0.12770532012826141</v>
      </c>
      <c r="DR70" s="629">
        <f t="shared" si="237"/>
        <v>0.34391020189994892</v>
      </c>
      <c r="DS70" s="629">
        <f t="shared" si="237"/>
        <v>0.61579235971486024</v>
      </c>
      <c r="DT70" s="629">
        <f t="shared" si="237"/>
        <v>0.41030472353973102</v>
      </c>
      <c r="DU70" s="629">
        <f t="shared" ref="DU70:EN70" si="238">DU69/DP69-1</f>
        <v>0.32386024113325607</v>
      </c>
      <c r="DV70" s="1013">
        <f t="shared" si="238"/>
        <v>0.41150076427049154</v>
      </c>
      <c r="DW70" s="629">
        <f t="shared" si="238"/>
        <v>0.22954405756228069</v>
      </c>
      <c r="DX70" s="629">
        <f t="shared" si="238"/>
        <v>0.12613122171945701</v>
      </c>
      <c r="DY70" s="629">
        <f t="shared" si="238"/>
        <v>6.1027672840074931E-2</v>
      </c>
      <c r="DZ70" s="629">
        <f t="shared" si="238"/>
        <v>9.5984069034185104E-3</v>
      </c>
      <c r="EA70" s="1013">
        <f t="shared" si="238"/>
        <v>9.7808156437157789E-2</v>
      </c>
      <c r="EB70" s="629">
        <f t="shared" si="238"/>
        <v>2.6113422828660138E-2</v>
      </c>
      <c r="EC70" s="629">
        <f t="shared" si="238"/>
        <v>7.0589079428858392E-2</v>
      </c>
      <c r="ED70" s="629">
        <f t="shared" si="238"/>
        <v>0.11001273664100042</v>
      </c>
      <c r="EE70" s="629">
        <f t="shared" si="238"/>
        <v>0.13494108983799702</v>
      </c>
      <c r="EF70" s="1013">
        <f t="shared" ref="EF70:EK70" si="239">EF69/EA69-1</f>
        <v>8.6827702272695095E-2</v>
      </c>
      <c r="EG70" s="629">
        <f t="shared" si="238"/>
        <v>0.15406880937710454</v>
      </c>
      <c r="EH70" s="629">
        <f t="shared" si="238"/>
        <v>0.13589083695244231</v>
      </c>
      <c r="EI70" s="629">
        <f t="shared" si="238"/>
        <v>0.15092642092498654</v>
      </c>
      <c r="EJ70" s="629">
        <f t="shared" si="238"/>
        <v>0.11770362646275045</v>
      </c>
      <c r="EK70" s="1013">
        <f t="shared" si="239"/>
        <v>0.13866243322901561</v>
      </c>
      <c r="EL70" s="629">
        <f t="shared" si="238"/>
        <v>0.12037646357665222</v>
      </c>
      <c r="EM70" s="629">
        <f t="shared" si="238"/>
        <v>0.13790092280097244</v>
      </c>
      <c r="EN70" s="629">
        <f t="shared" si="238"/>
        <v>0.1594915484660353</v>
      </c>
      <c r="EO70" s="629">
        <f t="shared" ref="EO70:EP70" si="240">EO69/EJ69-1</f>
        <v>0.16354823104492566</v>
      </c>
      <c r="EP70" s="1013">
        <f t="shared" si="240"/>
        <v>0.14638199835629284</v>
      </c>
      <c r="EQ70" s="629">
        <f t="shared" ref="EQ70" si="241">EQ69/EL69-1</f>
        <v>0.17831984028338388</v>
      </c>
      <c r="ER70" s="629">
        <f t="shared" ref="ER70" si="242">ER69/EM69-1</f>
        <v>0.16784972713685242</v>
      </c>
      <c r="ES70" s="629">
        <f t="shared" ref="ES70" si="243">ES69/EN69-1</f>
        <v>0.16163266230714002</v>
      </c>
      <c r="ET70" s="629">
        <f t="shared" ref="ET70:EU70" si="244">ET69/EO69-1</f>
        <v>0.16240116658104853</v>
      </c>
      <c r="EU70" s="1013">
        <f t="shared" si="244"/>
        <v>0.16709431479338188</v>
      </c>
      <c r="EV70" s="2404">
        <f>EV69/EU69-1</f>
        <v>0.13331977060325917</v>
      </c>
      <c r="EW70" s="2404">
        <f>EW69/EV69-1</f>
        <v>0.11961968132743461</v>
      </c>
      <c r="EX70" s="2404">
        <f>EX69/EW69-1</f>
        <v>0.10580532343054938</v>
      </c>
      <c r="EY70" s="2404">
        <f>EY69/EX69-1</f>
        <v>9.9288857253108764E-2</v>
      </c>
      <c r="EZ70" s="193"/>
      <c r="FA70" s="725"/>
      <c r="FB70" s="725"/>
    </row>
    <row r="71" spans="1:160" s="2613" customFormat="1" ht="11.25" hidden="1" customHeight="1" outlineLevel="1">
      <c r="A71" s="5363" t="s">
        <v>874</v>
      </c>
      <c r="B71" s="181"/>
      <c r="C71" s="181"/>
      <c r="D71" s="181"/>
      <c r="E71" s="182"/>
      <c r="F71" s="4242"/>
      <c r="G71" s="181"/>
      <c r="H71" s="181"/>
      <c r="I71" s="181"/>
      <c r="J71" s="181"/>
      <c r="K71" s="991"/>
      <c r="L71" s="181"/>
      <c r="M71" s="181"/>
      <c r="N71" s="181"/>
      <c r="O71" s="181"/>
      <c r="P71" s="4453"/>
      <c r="Q71" s="4454"/>
      <c r="R71" s="4455"/>
      <c r="S71" s="4455"/>
      <c r="T71" s="4455"/>
      <c r="U71" s="4453"/>
      <c r="V71" s="4454"/>
      <c r="W71" s="4455"/>
      <c r="X71" s="4455"/>
      <c r="Y71" s="4455"/>
      <c r="Z71" s="4453"/>
      <c r="AA71" s="4454"/>
      <c r="AB71" s="4455"/>
      <c r="AC71" s="4455"/>
      <c r="AD71" s="4455"/>
      <c r="AE71" s="4453"/>
      <c r="AF71" s="4454"/>
      <c r="AG71" s="4455"/>
      <c r="AH71" s="4455"/>
      <c r="AI71" s="4455"/>
      <c r="AJ71" s="4453"/>
      <c r="AK71" s="4454"/>
      <c r="AL71" s="4455"/>
      <c r="AM71" s="4455"/>
      <c r="AN71" s="4455"/>
      <c r="AO71" s="4453"/>
      <c r="AP71" s="4454"/>
      <c r="AQ71" s="4455"/>
      <c r="AR71" s="4455"/>
      <c r="AS71" s="4455"/>
      <c r="AT71" s="4453"/>
      <c r="AU71" s="4454"/>
      <c r="AV71" s="4455"/>
      <c r="AW71" s="4455"/>
      <c r="AX71" s="4455"/>
      <c r="AY71" s="4453"/>
      <c r="AZ71" s="4454"/>
      <c r="BA71" s="4455"/>
      <c r="BB71" s="4455"/>
      <c r="BC71" s="4455"/>
      <c r="BD71" s="4453"/>
      <c r="BE71" s="4454"/>
      <c r="BF71" s="4455"/>
      <c r="BG71" s="4455"/>
      <c r="BH71" s="4455"/>
      <c r="BI71" s="4453"/>
      <c r="BJ71" s="4454"/>
      <c r="BK71" s="4455"/>
      <c r="BL71" s="4455"/>
      <c r="BM71" s="4455"/>
      <c r="BN71" s="4453"/>
      <c r="BO71" s="4455"/>
      <c r="BP71" s="4455"/>
      <c r="BQ71" s="4455"/>
      <c r="BR71" s="4455"/>
      <c r="BS71" s="4456"/>
      <c r="BT71" s="4455"/>
      <c r="BU71" s="4455"/>
      <c r="BV71" s="4455"/>
      <c r="BW71" s="4455"/>
      <c r="BX71" s="4456">
        <f>(BX69-BX68)-BX72</f>
        <v>46040</v>
      </c>
      <c r="BY71" s="4455"/>
      <c r="BZ71" s="4455"/>
      <c r="CA71" s="4455"/>
      <c r="CB71" s="4455"/>
      <c r="CC71" s="4456"/>
      <c r="CD71" s="4457"/>
      <c r="CE71" s="4455"/>
      <c r="CF71" s="4455"/>
      <c r="CG71" s="4455"/>
      <c r="CH71" s="4456">
        <f>(CH69-CH68)-CH72</f>
        <v>-773.32219627698214</v>
      </c>
      <c r="CI71" s="4455"/>
      <c r="CJ71" s="4455"/>
      <c r="CK71" s="4455"/>
      <c r="CL71" s="4455"/>
      <c r="CM71" s="4456">
        <f>(CM69-CM68)-CM72</f>
        <v>-494.78265733257285</v>
      </c>
      <c r="CN71" s="4455"/>
      <c r="CO71" s="4455"/>
      <c r="CP71" s="4455"/>
      <c r="CQ71" s="4455"/>
      <c r="CR71" s="4456">
        <f>(CR69-CR68)-CR72</f>
        <v>-5796.8812833249685</v>
      </c>
      <c r="CS71" s="4455"/>
      <c r="CT71" s="4455"/>
      <c r="CU71" s="4455"/>
      <c r="CV71" s="4455"/>
      <c r="CW71" s="4456">
        <f>(CW69-CW68)-CW72</f>
        <v>-1273</v>
      </c>
      <c r="CX71" s="4455"/>
      <c r="CY71" s="4455"/>
      <c r="CZ71" s="4455"/>
      <c r="DA71" s="4455"/>
      <c r="DB71" s="4456">
        <f>(DB69-DB68)-DB72</f>
        <v>127</v>
      </c>
      <c r="DC71" s="4455"/>
      <c r="DD71" s="4455"/>
      <c r="DE71" s="4455"/>
      <c r="DF71" s="4455"/>
      <c r="DG71" s="4456">
        <f t="shared" ref="DG71:DQ71" si="245">(DG69-DG68)-DG72</f>
        <v>970</v>
      </c>
      <c r="DH71" s="4455">
        <f t="shared" si="245"/>
        <v>-1153</v>
      </c>
      <c r="DI71" s="4455">
        <f t="shared" si="245"/>
        <v>-1217</v>
      </c>
      <c r="DJ71" s="4455">
        <f t="shared" si="245"/>
        <v>-539</v>
      </c>
      <c r="DK71" s="4455">
        <f t="shared" si="245"/>
        <v>-417</v>
      </c>
      <c r="DL71" s="4456">
        <f t="shared" si="245"/>
        <v>-3326</v>
      </c>
      <c r="DM71" s="2963">
        <f t="shared" si="245"/>
        <v>-392</v>
      </c>
      <c r="DN71" s="2963">
        <f t="shared" si="245"/>
        <v>-706</v>
      </c>
      <c r="DO71" s="2963">
        <f t="shared" si="245"/>
        <v>-55</v>
      </c>
      <c r="DP71" s="4455">
        <f t="shared" si="245"/>
        <v>289</v>
      </c>
      <c r="DQ71" s="4456">
        <f t="shared" si="245"/>
        <v>-864</v>
      </c>
      <c r="DR71" s="4455">
        <f t="shared" ref="DR71:DW71" si="246">(DR69-DR68)-DR72</f>
        <v>1101</v>
      </c>
      <c r="DS71" s="2963">
        <f t="shared" si="246"/>
        <v>1887</v>
      </c>
      <c r="DT71" s="2963">
        <f t="shared" si="246"/>
        <v>615</v>
      </c>
      <c r="DU71" s="4455">
        <f t="shared" si="246"/>
        <v>-273</v>
      </c>
      <c r="DV71" s="4456">
        <f t="shared" si="246"/>
        <v>3330</v>
      </c>
      <c r="DW71" s="4455">
        <f t="shared" si="246"/>
        <v>-1991</v>
      </c>
      <c r="DX71" s="2963">
        <f t="shared" ref="DX71:EV71" si="247">(DX69-DX68)-DX72</f>
        <v>-2682</v>
      </c>
      <c r="DY71" s="2963">
        <f t="shared" si="247"/>
        <v>-3918</v>
      </c>
      <c r="DZ71" s="4455">
        <f t="shared" si="247"/>
        <v>-4733</v>
      </c>
      <c r="EA71" s="4456">
        <f t="shared" si="247"/>
        <v>-13324</v>
      </c>
      <c r="EB71" s="4455">
        <f t="shared" si="247"/>
        <v>-2174</v>
      </c>
      <c r="EC71" s="2963">
        <f>(EC69-EC68)-EC72</f>
        <v>-1146</v>
      </c>
      <c r="ED71" s="2963">
        <f>(ED69-ED68)-ED72</f>
        <v>427</v>
      </c>
      <c r="EE71" s="4455">
        <f t="shared" ref="EE71" si="248">(EE69-EE68)-EE72</f>
        <v>940</v>
      </c>
      <c r="EF71" s="4456">
        <f t="shared" si="247"/>
        <v>-1953</v>
      </c>
      <c r="EG71" s="4455">
        <f t="shared" ref="EG71" si="249">(EG69-EG68)-EG72</f>
        <v>-390</v>
      </c>
      <c r="EH71" s="2963">
        <f>(EH69-EH68)-EH72</f>
        <v>-1267</v>
      </c>
      <c r="EI71" s="2963">
        <f>(EI69-EI68)-EI72</f>
        <v>-1017</v>
      </c>
      <c r="EJ71" s="4455">
        <f t="shared" ref="EJ71" si="250">(EJ69-EJ68)-EJ72</f>
        <v>-265</v>
      </c>
      <c r="EK71" s="4456">
        <f>(EK69-EK68)-EK72</f>
        <v>-2939</v>
      </c>
      <c r="EL71" s="4455">
        <f t="shared" ref="EL71" si="251">(EL69-EL68)-EL72</f>
        <v>-1605</v>
      </c>
      <c r="EM71" s="2963">
        <f>(EM69-EM68)-EM72</f>
        <v>542.99999999998545</v>
      </c>
      <c r="EN71" s="2963">
        <f>(EN69-EN68)-EN72</f>
        <v>1339.0000000000146</v>
      </c>
      <c r="EO71" s="4455">
        <f t="shared" ref="EO71" si="252">(EO69-EO68)-EO72</f>
        <v>977.780375841161</v>
      </c>
      <c r="EP71" s="4456">
        <f>(EP69-EP68)-EP72</f>
        <v>1254.7803758411901</v>
      </c>
      <c r="EQ71" s="4455">
        <f t="shared" ref="EQ71:ET71" si="253">(EQ69-EQ68)-EQ72</f>
        <v>3246.0643351635808</v>
      </c>
      <c r="ER71" s="4455">
        <f t="shared" si="253"/>
        <v>650.01936044049216</v>
      </c>
      <c r="ES71" s="4455">
        <f t="shared" si="253"/>
        <v>-699.33817939180881</v>
      </c>
      <c r="ET71" s="4455">
        <f t="shared" si="253"/>
        <v>-266.00096554605989</v>
      </c>
      <c r="EU71" s="4456">
        <f>(EU69-EU68)-EU72</f>
        <v>2930.7445506661898</v>
      </c>
      <c r="EV71" s="4456">
        <f t="shared" si="247"/>
        <v>0</v>
      </c>
      <c r="EW71" s="4456">
        <f>(EW69-EW68)-EW72</f>
        <v>0</v>
      </c>
      <c r="EX71" s="4456">
        <f>(EX69-EX68)-EX72</f>
        <v>0</v>
      </c>
      <c r="EY71" s="4456">
        <f>(EY69-EY68)-EY72</f>
        <v>0</v>
      </c>
      <c r="EZ71" s="181"/>
      <c r="FA71" s="725"/>
      <c r="FB71" s="725"/>
    </row>
    <row r="72" spans="1:160" s="138" customFormat="1" ht="11.25" hidden="1" customHeight="1" outlineLevel="1">
      <c r="A72" s="5365" t="s">
        <v>882</v>
      </c>
      <c r="B72" s="124"/>
      <c r="C72" s="124"/>
      <c r="D72" s="124"/>
      <c r="E72" s="139"/>
      <c r="F72" s="3574"/>
      <c r="G72" s="124"/>
      <c r="H72" s="124"/>
      <c r="I72" s="124"/>
      <c r="J72" s="124"/>
      <c r="K72" s="997"/>
      <c r="L72" s="124"/>
      <c r="M72" s="124"/>
      <c r="N72" s="124"/>
      <c r="O72" s="124"/>
      <c r="P72" s="3967"/>
      <c r="Q72" s="3968"/>
      <c r="R72" s="3593"/>
      <c r="S72" s="3593"/>
      <c r="T72" s="3593"/>
      <c r="U72" s="3967"/>
      <c r="V72" s="3968"/>
      <c r="W72" s="3593"/>
      <c r="X72" s="3593"/>
      <c r="Y72" s="3593"/>
      <c r="Z72" s="3967"/>
      <c r="AA72" s="3968"/>
      <c r="AB72" s="3593"/>
      <c r="AC72" s="3593"/>
      <c r="AD72" s="3593"/>
      <c r="AE72" s="3967"/>
      <c r="AF72" s="3968"/>
      <c r="AG72" s="3593"/>
      <c r="AH72" s="3593"/>
      <c r="AI72" s="3593"/>
      <c r="AJ72" s="3967"/>
      <c r="AK72" s="3968"/>
      <c r="AL72" s="3593"/>
      <c r="AM72" s="3593"/>
      <c r="AN72" s="3593"/>
      <c r="AO72" s="3967"/>
      <c r="AP72" s="3968"/>
      <c r="AQ72" s="3593"/>
      <c r="AR72" s="3593"/>
      <c r="AS72" s="3593"/>
      <c r="AT72" s="3967"/>
      <c r="AU72" s="3968"/>
      <c r="AV72" s="3593"/>
      <c r="AW72" s="3593"/>
      <c r="AX72" s="3593"/>
      <c r="AY72" s="3967"/>
      <c r="AZ72" s="3968"/>
      <c r="BA72" s="3593"/>
      <c r="BB72" s="3593"/>
      <c r="BC72" s="3593"/>
      <c r="BD72" s="3967"/>
      <c r="BE72" s="3968"/>
      <c r="BF72" s="3593"/>
      <c r="BG72" s="3593"/>
      <c r="BH72" s="3593"/>
      <c r="BI72" s="3967"/>
      <c r="BJ72" s="3968"/>
      <c r="BK72" s="3593"/>
      <c r="BL72" s="3593"/>
      <c r="BM72" s="3593"/>
      <c r="BN72" s="3967"/>
      <c r="BO72" s="3593"/>
      <c r="BP72" s="3593"/>
      <c r="BQ72" s="3593"/>
      <c r="BR72" s="3593"/>
      <c r="BS72" s="4526"/>
      <c r="BT72" s="3593"/>
      <c r="BU72" s="3593"/>
      <c r="BV72" s="3593"/>
      <c r="BW72" s="3593"/>
      <c r="BX72" s="4526">
        <f>(BS69-BS68)*(1+BX73)</f>
        <v>0</v>
      </c>
      <c r="BY72" s="3593"/>
      <c r="BZ72" s="3593"/>
      <c r="CA72" s="3593"/>
      <c r="CB72" s="3593"/>
      <c r="CC72" s="4526"/>
      <c r="CD72" s="3969"/>
      <c r="CE72" s="3593"/>
      <c r="CF72" s="3593"/>
      <c r="CG72" s="3593"/>
      <c r="CH72" s="4526">
        <f>(BX69-BX68)*(1+CH73)</f>
        <v>56292.322196276982</v>
      </c>
      <c r="CI72" s="3593"/>
      <c r="CJ72" s="3593"/>
      <c r="CK72" s="3593"/>
      <c r="CL72" s="3593"/>
      <c r="CM72" s="4526">
        <f>(CH69-CH68)*(1+CM73)</f>
        <v>66495.782657332573</v>
      </c>
      <c r="CN72" s="3593"/>
      <c r="CO72" s="3593"/>
      <c r="CP72" s="3593"/>
      <c r="CQ72" s="3593"/>
      <c r="CR72" s="4526">
        <f>(CM69-CM68)*(1+CR73)</f>
        <v>79385.881283324969</v>
      </c>
      <c r="CS72" s="3593"/>
      <c r="CT72" s="3593"/>
      <c r="CU72" s="3593"/>
      <c r="CV72" s="3593"/>
      <c r="CW72" s="4526">
        <f>(CR69-CR68)*(1+CW73)</f>
        <v>91006</v>
      </c>
      <c r="CX72" s="3593"/>
      <c r="CY72" s="3593"/>
      <c r="CZ72" s="3593"/>
      <c r="DA72" s="3593"/>
      <c r="DB72" s="4526">
        <f>(CW69-CW68)*(1+DB73)</f>
        <v>110897</v>
      </c>
      <c r="DC72" s="3593"/>
      <c r="DD72" s="3593"/>
      <c r="DE72" s="3593"/>
      <c r="DF72" s="3593"/>
      <c r="DG72" s="4526">
        <f t="shared" ref="DG72:DT72" si="254">(DB69-DB68)*(1+DG73)</f>
        <v>135987</v>
      </c>
      <c r="DH72" s="3593">
        <f t="shared" si="254"/>
        <v>37355</v>
      </c>
      <c r="DI72" s="3593">
        <f t="shared" si="254"/>
        <v>40053</v>
      </c>
      <c r="DJ72" s="3593">
        <f t="shared" si="254"/>
        <v>40919</v>
      </c>
      <c r="DK72" s="176">
        <f t="shared" si="254"/>
        <v>46401</v>
      </c>
      <c r="DL72" s="4526">
        <f t="shared" si="254"/>
        <v>164728</v>
      </c>
      <c r="DM72" s="176">
        <f t="shared" si="254"/>
        <v>41502</v>
      </c>
      <c r="DN72" s="176">
        <f t="shared" si="254"/>
        <v>38852</v>
      </c>
      <c r="DO72" s="176">
        <f t="shared" si="254"/>
        <v>46250</v>
      </c>
      <c r="DP72" s="176">
        <f t="shared" si="254"/>
        <v>56611</v>
      </c>
      <c r="DQ72" s="4526">
        <f t="shared" si="254"/>
        <v>183215</v>
      </c>
      <c r="DR72" s="176">
        <f t="shared" si="254"/>
        <v>54322</v>
      </c>
      <c r="DS72" s="176">
        <f t="shared" si="254"/>
        <v>60000</v>
      </c>
      <c r="DT72" s="176">
        <f t="shared" si="254"/>
        <v>64441</v>
      </c>
      <c r="DU72" s="176">
        <f t="shared" ref="DU72:EN72" si="255">(DP69-DP68)*(1+DU73)</f>
        <v>75395</v>
      </c>
      <c r="DV72" s="4526">
        <f t="shared" si="255"/>
        <v>254158</v>
      </c>
      <c r="DW72" s="176">
        <f t="shared" si="255"/>
        <v>69724</v>
      </c>
      <c r="DX72" s="176">
        <f t="shared" si="255"/>
        <v>71992</v>
      </c>
      <c r="DY72" s="176">
        <f t="shared" si="255"/>
        <v>72372</v>
      </c>
      <c r="DZ72" s="176">
        <f t="shared" si="255"/>
        <v>80112</v>
      </c>
      <c r="EA72" s="4526">
        <f t="shared" si="255"/>
        <v>294200</v>
      </c>
      <c r="EB72" s="176">
        <f t="shared" si="255"/>
        <v>71877</v>
      </c>
      <c r="EC72" s="176">
        <f t="shared" si="255"/>
        <v>75747</v>
      </c>
      <c r="ED72" s="176">
        <f t="shared" si="255"/>
        <v>76267</v>
      </c>
      <c r="EE72" s="176">
        <f t="shared" si="255"/>
        <v>85220</v>
      </c>
      <c r="EF72" s="4526">
        <f t="shared" ref="EF72:EK72" si="256">(EA69-EA68)*(1+EF73)</f>
        <v>309111</v>
      </c>
      <c r="EG72" s="176">
        <f t="shared" si="255"/>
        <v>80857</v>
      </c>
      <c r="EH72" s="176">
        <f t="shared" si="255"/>
        <v>85907</v>
      </c>
      <c r="EI72" s="176">
        <f t="shared" si="255"/>
        <v>89268</v>
      </c>
      <c r="EJ72" s="176">
        <f t="shared" si="255"/>
        <v>96714</v>
      </c>
      <c r="EK72" s="4526">
        <f t="shared" si="256"/>
        <v>352746</v>
      </c>
      <c r="EL72" s="176">
        <f t="shared" si="255"/>
        <v>91579</v>
      </c>
      <c r="EM72" s="176">
        <f t="shared" si="255"/>
        <v>95997.000000000015</v>
      </c>
      <c r="EN72" s="176">
        <f t="shared" si="255"/>
        <v>101213.99999999999</v>
      </c>
      <c r="EO72" s="176">
        <f t="shared" ref="EO72:EP72" si="257">(EJ69-EJ68)*(1+EO73)</f>
        <v>111464.11000000002</v>
      </c>
      <c r="EP72" s="4526">
        <f t="shared" si="257"/>
        <v>400254.11</v>
      </c>
      <c r="EQ72" s="176">
        <f t="shared" ref="EQ72" si="258">(EL69-EL68)*(1+EQ73)</f>
        <v>103727.66099999999</v>
      </c>
      <c r="ER72" s="176">
        <f t="shared" ref="ER72" si="259">(EM69-EM68)*(1+ER73)</f>
        <v>112093.39800000002</v>
      </c>
      <c r="ES72" s="176">
        <f t="shared" ref="ES72" si="260">(EN69-EN68)*(1+ES73)</f>
        <v>119447.927</v>
      </c>
      <c r="ET72" s="176">
        <f t="shared" ref="ET72:EU72" si="261">(EO69-EO68)*(1+ET73)</f>
        <v>130688.07070798543</v>
      </c>
      <c r="EU72" s="4526">
        <f t="shared" si="261"/>
        <v>465957.05670798547</v>
      </c>
      <c r="EV72" s="4526">
        <f>(EU69-EU68)*(1+EV73)</f>
        <v>530735.52121275011</v>
      </c>
      <c r="EW72" s="4526">
        <f>(EV69-EV68)*(1+EW73)</f>
        <v>594221.93512936914</v>
      </c>
      <c r="EX72" s="4526">
        <f>(EW69-EW68)*(1+EX73)</f>
        <v>657093.77916525898</v>
      </c>
      <c r="EY72" s="4526">
        <f>(EX69-EX68)*(1+EY73)</f>
        <v>722335.8696067041</v>
      </c>
      <c r="EZ72" s="124"/>
      <c r="FA72" s="738"/>
      <c r="FB72" s="738"/>
    </row>
    <row r="73" spans="1:160" s="183" customFormat="1" ht="11.25" customHeight="1" collapsed="1">
      <c r="A73" s="5646" t="s">
        <v>496</v>
      </c>
      <c r="B73" s="2288"/>
      <c r="C73" s="2288"/>
      <c r="D73" s="2288"/>
      <c r="E73" s="2289"/>
      <c r="F73" s="4244"/>
      <c r="G73" s="2288"/>
      <c r="H73" s="2288"/>
      <c r="I73" s="2288"/>
      <c r="J73" s="2288"/>
      <c r="K73" s="2290"/>
      <c r="L73" s="2288"/>
      <c r="M73" s="2288"/>
      <c r="N73" s="2288"/>
      <c r="O73" s="2288"/>
      <c r="P73" s="2290"/>
      <c r="Q73" s="2497"/>
      <c r="R73" s="2288"/>
      <c r="S73" s="2288"/>
      <c r="T73" s="2288"/>
      <c r="U73" s="2290"/>
      <c r="V73" s="2497"/>
      <c r="W73" s="2288"/>
      <c r="X73" s="2288"/>
      <c r="Y73" s="2288"/>
      <c r="Z73" s="2290"/>
      <c r="AA73" s="2497"/>
      <c r="AB73" s="2288"/>
      <c r="AC73" s="2288"/>
      <c r="AD73" s="2288"/>
      <c r="AE73" s="2290"/>
      <c r="AF73" s="2497"/>
      <c r="AG73" s="2288"/>
      <c r="AH73" s="2288"/>
      <c r="AI73" s="2288"/>
      <c r="AJ73" s="2290"/>
      <c r="AK73" s="2497" t="str">
        <f>AK226</f>
        <v>NA</v>
      </c>
      <c r="AL73" s="2288" t="str">
        <f t="shared" ref="AL73:CW73" si="262">AL226</f>
        <v>NA</v>
      </c>
      <c r="AM73" s="2288" t="str">
        <f t="shared" si="262"/>
        <v>NA</v>
      </c>
      <c r="AN73" s="2288" t="str">
        <f t="shared" si="262"/>
        <v>NA</v>
      </c>
      <c r="AO73" s="2290">
        <f t="shared" si="262"/>
        <v>0</v>
      </c>
      <c r="AP73" s="2497" t="str">
        <f t="shared" si="262"/>
        <v>NA</v>
      </c>
      <c r="AQ73" s="2288" t="str">
        <f t="shared" si="262"/>
        <v>NA</v>
      </c>
      <c r="AR73" s="2288" t="str">
        <f t="shared" si="262"/>
        <v>NA</v>
      </c>
      <c r="AS73" s="2288" t="str">
        <f t="shared" si="262"/>
        <v>NA</v>
      </c>
      <c r="AT73" s="2290">
        <f t="shared" si="262"/>
        <v>0</v>
      </c>
      <c r="AU73" s="2497">
        <f t="shared" si="262"/>
        <v>0.36028451098548553</v>
      </c>
      <c r="AV73" s="2288">
        <f t="shared" si="262"/>
        <v>0.32056606624250894</v>
      </c>
      <c r="AW73" s="2288">
        <f t="shared" si="262"/>
        <v>0.26181708867924214</v>
      </c>
      <c r="AX73" s="2288">
        <f t="shared" si="262"/>
        <v>0.20952812482454286</v>
      </c>
      <c r="AY73" s="2290">
        <f t="shared" si="262"/>
        <v>0.28205784915089116</v>
      </c>
      <c r="AZ73" s="2497">
        <f t="shared" si="262"/>
        <v>0.11529927538202034</v>
      </c>
      <c r="BA73" s="2288">
        <f t="shared" si="262"/>
        <v>9.9486014875395767E-2</v>
      </c>
      <c r="BB73" s="2288">
        <f t="shared" si="262"/>
        <v>0.1263184806918809</v>
      </c>
      <c r="BC73" s="2288">
        <f t="shared" si="262"/>
        <v>0.16113071706337623</v>
      </c>
      <c r="BD73" s="2290">
        <f t="shared" si="262"/>
        <v>0.12599209807815459</v>
      </c>
      <c r="BE73" s="2497">
        <f t="shared" si="262"/>
        <v>0.21811618695833235</v>
      </c>
      <c r="BF73" s="2288">
        <f t="shared" si="262"/>
        <v>0.24414301661987614</v>
      </c>
      <c r="BG73" s="2288">
        <f t="shared" si="262"/>
        <v>0.24723769698896914</v>
      </c>
      <c r="BH73" s="2288">
        <f t="shared" si="262"/>
        <v>0.28221187924975522</v>
      </c>
      <c r="BI73" s="2290">
        <f t="shared" si="262"/>
        <v>0.24983049712454952</v>
      </c>
      <c r="BJ73" s="2497">
        <f t="shared" si="262"/>
        <v>0.26208425720620832</v>
      </c>
      <c r="BK73" s="2288">
        <f t="shared" si="262"/>
        <v>0.27651683726450083</v>
      </c>
      <c r="BL73" s="2288">
        <f t="shared" si="262"/>
        <v>0.28331249131582603</v>
      </c>
      <c r="BM73" s="2288">
        <f t="shared" si="262"/>
        <v>0.25014854426619126</v>
      </c>
      <c r="BN73" s="2290">
        <f t="shared" si="262"/>
        <v>0.26722302355931049</v>
      </c>
      <c r="BO73" s="2288">
        <f t="shared" si="262"/>
        <v>0</v>
      </c>
      <c r="BP73" s="2288">
        <f t="shared" si="262"/>
        <v>0</v>
      </c>
      <c r="BQ73" s="2288">
        <f t="shared" si="262"/>
        <v>0</v>
      </c>
      <c r="BR73" s="2288">
        <f t="shared" si="262"/>
        <v>0</v>
      </c>
      <c r="BS73" s="2499">
        <f t="shared" si="262"/>
        <v>0</v>
      </c>
      <c r="BT73" s="2288">
        <f t="shared" si="262"/>
        <v>0.24693376941946044</v>
      </c>
      <c r="BU73" s="2288">
        <f t="shared" si="262"/>
        <v>0.24506761250277109</v>
      </c>
      <c r="BV73" s="2288">
        <f t="shared" si="262"/>
        <v>0.23685564358473088</v>
      </c>
      <c r="BW73" s="2288">
        <f t="shared" si="262"/>
        <v>0.23695425703191586</v>
      </c>
      <c r="BX73" s="2290">
        <f t="shared" si="262"/>
        <v>0.24111882940228724</v>
      </c>
      <c r="BY73" s="2288">
        <f t="shared" si="262"/>
        <v>0</v>
      </c>
      <c r="BZ73" s="2288">
        <f t="shared" si="262"/>
        <v>0</v>
      </c>
      <c r="CA73" s="2288">
        <f t="shared" si="262"/>
        <v>0</v>
      </c>
      <c r="CB73" s="2288">
        <f t="shared" si="262"/>
        <v>0</v>
      </c>
      <c r="CC73" s="2499">
        <f t="shared" si="262"/>
        <v>0</v>
      </c>
      <c r="CD73" s="2833">
        <f t="shared" si="262"/>
        <v>0.22794117647058831</v>
      </c>
      <c r="CE73" s="2288">
        <f t="shared" si="262"/>
        <v>0.22107874666911687</v>
      </c>
      <c r="CF73" s="2288">
        <f t="shared" si="262"/>
        <v>0.20961270062805304</v>
      </c>
      <c r="CG73" s="2288">
        <f t="shared" si="262"/>
        <v>0.23134908299658075</v>
      </c>
      <c r="CH73" s="2290">
        <f t="shared" si="262"/>
        <v>0.2226829321519761</v>
      </c>
      <c r="CI73" s="2497">
        <f t="shared" si="262"/>
        <v>0.20586868999690311</v>
      </c>
      <c r="CJ73" s="2288">
        <f t="shared" si="262"/>
        <v>0.21090881272949824</v>
      </c>
      <c r="CK73" s="2288">
        <f t="shared" si="262"/>
        <v>0.1948004660646665</v>
      </c>
      <c r="CL73" s="2288">
        <f t="shared" si="262"/>
        <v>0.18256495160468678</v>
      </c>
      <c r="CM73" s="2290">
        <f t="shared" si="262"/>
        <v>0.19771218244803701</v>
      </c>
      <c r="CN73" s="2497">
        <f t="shared" si="262"/>
        <v>0.17135997923695823</v>
      </c>
      <c r="CO73" s="2288">
        <f t="shared" si="262"/>
        <v>0.18063828453194564</v>
      </c>
      <c r="CP73" s="2288">
        <f t="shared" si="262"/>
        <v>0.20910797553442739</v>
      </c>
      <c r="CQ73" s="2288">
        <f t="shared" si="262"/>
        <v>0.24366471734892792</v>
      </c>
      <c r="CR73" s="2290">
        <f t="shared" si="262"/>
        <v>0.20279815886615316</v>
      </c>
      <c r="CS73" s="2497">
        <f t="shared" si="262"/>
        <v>0.2303062488936094</v>
      </c>
      <c r="CT73" s="2288">
        <f t="shared" si="262"/>
        <v>0.24797171998145573</v>
      </c>
      <c r="CU73" s="2288">
        <f t="shared" si="262"/>
        <v>0.22584153570069065</v>
      </c>
      <c r="CV73" s="2288">
        <f t="shared" si="262"/>
        <v>0.24203457636805248</v>
      </c>
      <c r="CW73" s="2290">
        <f t="shared" si="262"/>
        <v>0.23667939501827728</v>
      </c>
      <c r="CX73" s="2497">
        <f t="shared" ref="CX73:DQ73" si="263">CX226</f>
        <v>0.23640979689366781</v>
      </c>
      <c r="CY73" s="2288">
        <f t="shared" si="263"/>
        <v>0.23102418074876296</v>
      </c>
      <c r="CZ73" s="2288">
        <f t="shared" si="263"/>
        <v>0.23995345923207734</v>
      </c>
      <c r="DA73" s="2288">
        <f t="shared" si="263"/>
        <v>0.23588514897399238</v>
      </c>
      <c r="DB73" s="2290">
        <f t="shared" si="263"/>
        <v>0.23585525949204866</v>
      </c>
      <c r="DC73" s="2497">
        <f t="shared" si="263"/>
        <v>0.22585904699792114</v>
      </c>
      <c r="DD73" s="2288">
        <f t="shared" si="263"/>
        <v>0.23013034952128275</v>
      </c>
      <c r="DE73" s="2288">
        <f t="shared" si="263"/>
        <v>0.21750169867324676</v>
      </c>
      <c r="DF73" s="2288">
        <f t="shared" si="263"/>
        <v>0.22616155714768915</v>
      </c>
      <c r="DG73" s="2290">
        <f t="shared" si="263"/>
        <v>0.22484327712926944</v>
      </c>
      <c r="DH73" s="2288">
        <f t="shared" si="263"/>
        <v>0.19021825712920193</v>
      </c>
      <c r="DI73" s="2288">
        <f t="shared" si="263"/>
        <v>0.22261904761904772</v>
      </c>
      <c r="DJ73" s="2288">
        <f t="shared" si="263"/>
        <v>0.21565656565656566</v>
      </c>
      <c r="DK73" s="2288">
        <f t="shared" si="263"/>
        <v>0.18515018389865134</v>
      </c>
      <c r="DL73" s="2290">
        <f t="shared" si="263"/>
        <v>0.20277167286082487</v>
      </c>
      <c r="DM73" s="2288">
        <f t="shared" si="263"/>
        <v>0.14640075133970498</v>
      </c>
      <c r="DN73" s="2288">
        <f t="shared" si="263"/>
        <v>4.1198887630033987E-4</v>
      </c>
      <c r="DO73" s="2288">
        <f t="shared" si="263"/>
        <v>0.14536899455175822</v>
      </c>
      <c r="DP73" s="2288">
        <f t="shared" si="263"/>
        <v>0.23110212247738349</v>
      </c>
      <c r="DQ73" s="2290">
        <f t="shared" si="263"/>
        <v>0.13514702420044356</v>
      </c>
      <c r="DR73" s="2288">
        <f t="shared" ref="DR73:DW73" si="264">DR226</f>
        <v>0.3213816589637557</v>
      </c>
      <c r="DS73" s="2288">
        <f t="shared" si="264"/>
        <v>0.5729041052797148</v>
      </c>
      <c r="DT73" s="2288">
        <f t="shared" si="264"/>
        <v>0.39497781145145572</v>
      </c>
      <c r="DU73" s="2288">
        <f t="shared" si="264"/>
        <v>0.3250439367311071</v>
      </c>
      <c r="DV73" s="2290">
        <f t="shared" si="264"/>
        <v>0.39378451448031537</v>
      </c>
      <c r="DW73" s="2288">
        <f t="shared" si="264"/>
        <v>0.25803366833264163</v>
      </c>
      <c r="DX73" s="2288">
        <f t="shared" ref="DX73:EF73" si="265">DX226</f>
        <v>0.16328146460484438</v>
      </c>
      <c r="DY73" s="2288">
        <f t="shared" si="265"/>
        <v>0.11245696015740281</v>
      </c>
      <c r="DZ73" s="2288">
        <f t="shared" si="265"/>
        <v>6.6425281542024983E-2</v>
      </c>
      <c r="EA73" s="2290">
        <f t="shared" si="265"/>
        <v>0.14257751817560438</v>
      </c>
      <c r="EB73" s="2288">
        <f t="shared" si="265"/>
        <v>6.1181403451788574E-2</v>
      </c>
      <c r="EC73" s="2288">
        <f>EC226</f>
        <v>9.2872601356225548E-2</v>
      </c>
      <c r="ED73" s="2288">
        <f>ED226</f>
        <v>0.11413503958862892</v>
      </c>
      <c r="EE73" s="2288">
        <f t="shared" ref="EE73" si="266">EE226</f>
        <v>0.13055360246222425</v>
      </c>
      <c r="EF73" s="2290">
        <f t="shared" si="265"/>
        <v>0.10052478673863208</v>
      </c>
      <c r="EG73" s="2288">
        <f t="shared" ref="EG73" si="267">EG226</f>
        <v>0.16002180680888922</v>
      </c>
      <c r="EH73" s="2288">
        <f>EH226</f>
        <v>0.15155292824492972</v>
      </c>
      <c r="EI73" s="2288">
        <f>EI226</f>
        <v>0.16395024382611423</v>
      </c>
      <c r="EJ73" s="2288">
        <f t="shared" ref="EJ73" si="268">EJ226</f>
        <v>0.12249303621169916</v>
      </c>
      <c r="EK73" s="2290">
        <f>EK226</f>
        <v>0.14841872912312226</v>
      </c>
      <c r="EL73" s="2288">
        <f t="shared" ref="EL73" si="269">EL226</f>
        <v>0.13809387699305309</v>
      </c>
      <c r="EM73" s="2288">
        <f>EM226</f>
        <v>0.13418005671077515</v>
      </c>
      <c r="EN73" s="2288">
        <f>EN226</f>
        <v>0.14688785396199466</v>
      </c>
      <c r="EO73" s="2288">
        <f t="shared" ref="EO73:EP73" si="270">EO226</f>
        <v>0.15567927091001477</v>
      </c>
      <c r="EP73" s="2290">
        <f t="shared" si="270"/>
        <v>0.14421412378826037</v>
      </c>
      <c r="EQ73" s="2288">
        <f t="shared" ref="EQ73:EU73" si="271">EQ226</f>
        <v>0.15286261586680583</v>
      </c>
      <c r="ER73" s="2288">
        <f t="shared" si="271"/>
        <v>0.16110832815413323</v>
      </c>
      <c r="ES73" s="2288">
        <f t="shared" si="271"/>
        <v>0.16474337171998865</v>
      </c>
      <c r="ET73" s="2288">
        <f t="shared" si="271"/>
        <v>0.16227208801947146</v>
      </c>
      <c r="EU73" s="2290">
        <f t="shared" si="271"/>
        <v>0.16051491729564482</v>
      </c>
      <c r="EV73" s="2290">
        <f>EV226</f>
        <v>0.13190302624226624</v>
      </c>
      <c r="EW73" s="2290">
        <f>EW226</f>
        <v>0.11961968132743461</v>
      </c>
      <c r="EX73" s="2290">
        <f t="shared" ref="EX73:EY73" si="272">EX226</f>
        <v>0.10580532343054938</v>
      </c>
      <c r="EY73" s="2290">
        <f t="shared" si="272"/>
        <v>9.9288857253108764E-2</v>
      </c>
      <c r="EZ73" s="169"/>
      <c r="FA73" s="725"/>
      <c r="FB73" s="725"/>
    </row>
    <row r="74" spans="1:160" s="194" customFormat="1" ht="11.25" customHeight="1">
      <c r="A74" s="5363" t="s">
        <v>46</v>
      </c>
      <c r="B74" s="2612"/>
      <c r="C74" s="169"/>
      <c r="D74" s="169"/>
      <c r="E74" s="169"/>
      <c r="F74" s="5597"/>
      <c r="G74" s="2612"/>
      <c r="H74" s="169"/>
      <c r="I74" s="169"/>
      <c r="J74" s="169"/>
      <c r="K74" s="1381"/>
      <c r="L74" s="169"/>
      <c r="M74" s="169"/>
      <c r="N74" s="169"/>
      <c r="O74" s="169"/>
      <c r="P74" s="1021"/>
      <c r="Q74" s="1226" t="s">
        <v>116</v>
      </c>
      <c r="R74" s="169">
        <f>+R69/Q69-1</f>
        <v>0.857041504079461</v>
      </c>
      <c r="S74" s="169">
        <f>+S69/R69-1</f>
        <v>0.66554600445717926</v>
      </c>
      <c r="T74" s="169">
        <f>+T69/S69-1</f>
        <v>0.43677123873167822</v>
      </c>
      <c r="U74" s="1021"/>
      <c r="V74" s="1226">
        <f>+V69/T69-1</f>
        <v>0.32306251363677485</v>
      </c>
      <c r="W74" s="169">
        <f>+W69/V69-1</f>
        <v>0.25171548319108039</v>
      </c>
      <c r="X74" s="169">
        <f>+X69/W69-1</f>
        <v>0.265884530477283</v>
      </c>
      <c r="Y74" s="169">
        <f>+Y69/X69-1</f>
        <v>0.30012793761518175</v>
      </c>
      <c r="Z74" s="1021"/>
      <c r="AA74" s="1226">
        <f>+AA69/Y69-1</f>
        <v>0.27226631522428879</v>
      </c>
      <c r="AB74" s="169">
        <f>+AB69/AA69-1</f>
        <v>7.4566121821973752E-2</v>
      </c>
      <c r="AC74" s="169">
        <f>+AC69/AB69-1</f>
        <v>0.15091857894466232</v>
      </c>
      <c r="AD74" s="169">
        <f>+AD69/AC69-1</f>
        <v>0.27995860461826561</v>
      </c>
      <c r="AE74" s="1021"/>
      <c r="AF74" s="1226">
        <f>+AF69/AD69-1</f>
        <v>0.21814189405352558</v>
      </c>
      <c r="AG74" s="169">
        <f>+AG69/AF69-1</f>
        <v>0.10185243989769166</v>
      </c>
      <c r="AH74" s="169">
        <f>+AH69/AG69-1</f>
        <v>0.14009512493725151</v>
      </c>
      <c r="AI74" s="169">
        <f>+AI69/AH69-1</f>
        <v>0.21580392484807942</v>
      </c>
      <c r="AJ74" s="1021"/>
      <c r="AK74" s="1226">
        <f>+AK69/AI69-1</f>
        <v>0.17438550398547648</v>
      </c>
      <c r="AL74" s="169">
        <f>+AL69/AK69-1</f>
        <v>8.9732912406184528E-2</v>
      </c>
      <c r="AM74" s="169">
        <f>+AM69/AL69-1</f>
        <v>9.5147742805246072E-2</v>
      </c>
      <c r="AN74" s="184">
        <f>+AN69/AM69-1</f>
        <v>0.19177981858761273</v>
      </c>
      <c r="AO74" s="1021"/>
      <c r="AP74" s="1226">
        <f>+AP69/AN69-1</f>
        <v>0.14302707410829774</v>
      </c>
      <c r="AQ74" s="169">
        <f>+AQ69/AP69-1</f>
        <v>5.6772829260930191E-2</v>
      </c>
      <c r="AR74" s="169">
        <f>+AR69/AQ69-1</f>
        <v>9.2811826492096516E-2</v>
      </c>
      <c r="AS74" s="184">
        <f>+AS69/AR69-1</f>
        <v>0.14069454413023186</v>
      </c>
      <c r="AT74" s="1021"/>
      <c r="AU74" s="1226">
        <f>+AU69/AS69-1</f>
        <v>7.4453677155659204E-2</v>
      </c>
      <c r="AV74" s="169">
        <f>+AV69/AU69-1</f>
        <v>3.4933956390257537E-2</v>
      </c>
      <c r="AW74" s="169">
        <f>+AW69/AV69-1</f>
        <v>3.2452416636421066E-2</v>
      </c>
      <c r="AX74" s="184">
        <f>+AX69/AW69-1</f>
        <v>2.8785732679754927E-2</v>
      </c>
      <c r="AY74" s="1021"/>
      <c r="AZ74" s="1226">
        <f>+AZ69/AX69-1</f>
        <v>-3.3663783849017581E-2</v>
      </c>
      <c r="BA74" s="169">
        <f>+BA69/AZ69-1</f>
        <v>2.5244191766551349E-3</v>
      </c>
      <c r="BB74" s="169">
        <f>+BB69/BA69-1</f>
        <v>7.6400845425869557E-2</v>
      </c>
      <c r="BC74" s="184">
        <f>+BC69/BB69-1</f>
        <v>0.12262275370736808</v>
      </c>
      <c r="BD74" s="1021"/>
      <c r="BE74" s="1226">
        <f>+BE69/BC69-1</f>
        <v>1.515997198008634E-2</v>
      </c>
      <c r="BF74" s="169">
        <f>+BF69/BE69-1</f>
        <v>6.6420664206641167E-3</v>
      </c>
      <c r="BG74" s="169">
        <f>+BG69/BF69-1</f>
        <v>6.8328445747800615E-2</v>
      </c>
      <c r="BH74" s="184">
        <f>+BH69/BG69-1</f>
        <v>0.15838594564919029</v>
      </c>
      <c r="BI74" s="1021"/>
      <c r="BJ74" s="1226">
        <f>+BJ69/BH69-1</f>
        <v>1.5995260663507205E-2</v>
      </c>
      <c r="BK74" s="169">
        <f>+BK69/BJ69-1</f>
        <v>5.2594752186588822E-2</v>
      </c>
      <c r="BL74" s="169">
        <f>+BL69/BK69-1</f>
        <v>7.6888987369820416E-2</v>
      </c>
      <c r="BM74" s="169">
        <f>+BM69/BL69-1</f>
        <v>8.8888888888888795E-2</v>
      </c>
      <c r="BN74" s="1021"/>
      <c r="BO74" s="193"/>
      <c r="BP74" s="193"/>
      <c r="BQ74" s="193"/>
      <c r="BR74" s="193"/>
      <c r="BS74" s="2430"/>
      <c r="BT74" s="169">
        <f>+BT69/BM69-1</f>
        <v>5.7634164777022878E-3</v>
      </c>
      <c r="BU74" s="169">
        <f>+BU69/BT69-1</f>
        <v>2.9967120713950246E-2</v>
      </c>
      <c r="BV74" s="169">
        <f>+BV69/BU69-1</f>
        <v>5.125866472090479E-2</v>
      </c>
      <c r="BW74" s="169">
        <f>+BW69/BV69-1</f>
        <v>0.11964254728440049</v>
      </c>
      <c r="BX74" s="1021"/>
      <c r="BY74" s="193"/>
      <c r="BZ74" s="193"/>
      <c r="CA74" s="193"/>
      <c r="CB74" s="193"/>
      <c r="CC74" s="2430"/>
      <c r="CD74" s="576">
        <f>+CD69/BW69-1</f>
        <v>3.564509879891542E-3</v>
      </c>
      <c r="CE74" s="169">
        <f>+CE69/CD69-1</f>
        <v>1.2045401899467123E-2</v>
      </c>
      <c r="CF74" s="169">
        <f>+CF69/CE69-1</f>
        <v>4.9362935835812971E-2</v>
      </c>
      <c r="CG74" s="169">
        <f>+CG69/CF69-1</f>
        <v>0.14199505598371376</v>
      </c>
      <c r="CH74" s="1021"/>
      <c r="CI74" s="1226">
        <f>+CI69/CG69-1</f>
        <v>-1.8272107977334917E-2</v>
      </c>
      <c r="CJ74" s="169">
        <f>+CJ69/CI69-1</f>
        <v>3.4695201037613588E-2</v>
      </c>
      <c r="CK74" s="169">
        <f>+CK69/CJ69-1</f>
        <v>3.5600125352553968E-2</v>
      </c>
      <c r="CL74" s="169">
        <f>+CL69/CK69-1</f>
        <v>9.5624281304847791E-2</v>
      </c>
      <c r="CM74" s="1021"/>
      <c r="CN74" s="169">
        <f>+CN69/CL69-1</f>
        <v>-4.6677346296194022E-2</v>
      </c>
      <c r="CO74" s="169">
        <f>+CO69/CN69-1</f>
        <v>2.7175802526364645E-2</v>
      </c>
      <c r="CP74" s="169">
        <f>+CP69/CO69-1</f>
        <v>5.3477745811474131E-2</v>
      </c>
      <c r="CQ74" s="169">
        <f>+CQ69/CP69-1</f>
        <v>0.14211512717536823</v>
      </c>
      <c r="CR74" s="1021"/>
      <c r="CS74" s="169">
        <f>+CS69/CQ69-1</f>
        <v>-5.0260209104974418E-2</v>
      </c>
      <c r="CT74" s="169">
        <f>+CT69/CS69-1</f>
        <v>6.1361504665053967E-2</v>
      </c>
      <c r="CU74" s="169">
        <f>+CU69/CT69-1</f>
        <v>4.4232558139534861E-2</v>
      </c>
      <c r="CV74" s="169">
        <f>+CV69/CU69-1</f>
        <v>0.16092824373079151</v>
      </c>
      <c r="CW74" s="1021"/>
      <c r="CX74" s="169">
        <f>+CX69/CV69-1</f>
        <v>-5.0414364640884002E-2</v>
      </c>
      <c r="CY74" s="169">
        <f>+CY69/CX69-1</f>
        <v>5.0909090909091015E-2</v>
      </c>
      <c r="CZ74" s="169">
        <f>+CZ69/CY69-1</f>
        <v>6.7743175701653113E-2</v>
      </c>
      <c r="DA74" s="169">
        <f>+DA69/CZ69-1</f>
        <v>0.1638700849776753</v>
      </c>
      <c r="DB74" s="1021"/>
      <c r="DC74" s="2612">
        <f>+DC69/DA69-1</f>
        <v>-3.6413699223463158E-2</v>
      </c>
      <c r="DD74" s="2612">
        <f>+DD69/DC69-1</f>
        <v>4.8513452770821308E-2</v>
      </c>
      <c r="DE74" s="2612">
        <f>+DE69/DD69-1</f>
        <v>3.316287472823598E-2</v>
      </c>
      <c r="DF74" s="2612">
        <f>+DF69/DE69-1</f>
        <v>0.16407824540604632</v>
      </c>
      <c r="DG74" s="1021"/>
      <c r="DH74" s="2612">
        <f>+DH69/DF69-1</f>
        <v>-7.4778490681332133E-2</v>
      </c>
      <c r="DI74" s="2612">
        <f>+DI69/DH69-1</f>
        <v>7.1686067310603008E-2</v>
      </c>
      <c r="DJ74" s="2612">
        <f>+DJ69/DI69-1</f>
        <v>3.992912900575174E-2</v>
      </c>
      <c r="DK74" s="2612">
        <f>+DK69/DJ69-1</f>
        <v>0.13768241191140529</v>
      </c>
      <c r="DL74" s="1021"/>
      <c r="DM74" s="2612">
        <f>+DM69/DK69-1</f>
        <v>-0.10669560499186115</v>
      </c>
      <c r="DN74" s="2612">
        <f>+DN69/DM69-1</f>
        <v>-6.9535217084963241E-2</v>
      </c>
      <c r="DO74" s="2612">
        <f>+DO69/DN69-1</f>
        <v>0.20565579549311952</v>
      </c>
      <c r="DP74" s="2612">
        <f>+DP69/DO69-1</f>
        <v>0.23227860437918268</v>
      </c>
      <c r="DQ74" s="1021"/>
      <c r="DR74" s="2612">
        <f>+DR69/DP69-1</f>
        <v>-2.7839291363492613E-2</v>
      </c>
      <c r="DS74" s="2612">
        <f>+DS69/DR69-1</f>
        <v>0.11870412553783849</v>
      </c>
      <c r="DT74" s="2612">
        <f>+DT69/DS69-1</f>
        <v>5.2327084680025893E-2</v>
      </c>
      <c r="DU74" s="2612">
        <f>+DU69/DT69-1</f>
        <v>0.15674621456432947</v>
      </c>
      <c r="DV74" s="1021"/>
      <c r="DW74" s="2612">
        <f>+DW69/DU69-1</f>
        <v>-9.7099236641221331E-2</v>
      </c>
      <c r="DX74" s="2612">
        <f>+DX69/DW69-1</f>
        <v>2.4613665436473475E-2</v>
      </c>
      <c r="DY74" s="2612">
        <f>+DY69/DX69-1</f>
        <v>-8.5097223218769669E-3</v>
      </c>
      <c r="DZ74" s="2612">
        <f>+DZ69/DY69-1</f>
        <v>0.10067735772593056</v>
      </c>
      <c r="EA74" s="1021"/>
      <c r="EB74" s="2612">
        <f>+EB69/DZ69-1</f>
        <v>-8.2329581317062916E-2</v>
      </c>
      <c r="EC74" s="2612">
        <f>+EC69/EB69-1</f>
        <v>6.9024316849843004E-2</v>
      </c>
      <c r="ED74" s="2612">
        <f>+ED69/EC69-1</f>
        <v>2.8001179561417677E-2</v>
      </c>
      <c r="EE74" s="2612">
        <f>+EE69/ED69-1</f>
        <v>0.12539605961430644</v>
      </c>
      <c r="EF74" s="1021"/>
      <c r="EG74" s="2612">
        <f>+EG69/EE69-1</f>
        <v>-6.6863631097207721E-2</v>
      </c>
      <c r="EH74" s="2612">
        <f>+EH69/EG69-1</f>
        <v>5.218589751548941E-2</v>
      </c>
      <c r="EI74" s="2612">
        <f>+EI69/EH69-1</f>
        <v>4.1608647423945655E-2</v>
      </c>
      <c r="EJ74" s="2612">
        <f>+EJ69/EI69-1</f>
        <v>9.2910227942176071E-2</v>
      </c>
      <c r="EK74" s="1021"/>
      <c r="EL74" s="2612">
        <f>+EL69/EJ69-1</f>
        <v>-6.463216162705121E-2</v>
      </c>
      <c r="EM74" s="2612">
        <f>+EM69/EL69-1</f>
        <v>6.8643748476184152E-2</v>
      </c>
      <c r="EN74" s="2612">
        <f>+EN69/EM69-1</f>
        <v>6.1372215539055031E-2</v>
      </c>
      <c r="EO74" s="2612">
        <f>+EO69/EN69-1</f>
        <v>9.6733964206446199E-2</v>
      </c>
      <c r="EP74" s="1021"/>
      <c r="EQ74" s="2612">
        <f>+EQ69/EO69-1</f>
        <v>-5.2757373943984387E-2</v>
      </c>
      <c r="ER74" s="2612">
        <f>+ER69/EQ69-1</f>
        <v>5.9148176410463771E-2</v>
      </c>
      <c r="ES74" s="2612">
        <f>+ES69/ER69-1</f>
        <v>5.5721985274721941E-2</v>
      </c>
      <c r="ET74" s="2612">
        <f>+ET69/ES69-1</f>
        <v>9.7459533283644317E-2</v>
      </c>
      <c r="EU74" s="1021"/>
      <c r="EV74" s="1021"/>
      <c r="EW74" s="1021"/>
      <c r="EX74" s="1021"/>
      <c r="EY74" s="1021"/>
      <c r="EZ74" s="193"/>
      <c r="FA74" s="725"/>
      <c r="FB74" s="725"/>
    </row>
    <row r="75" spans="1:160" s="77" customFormat="1" ht="11.25" customHeight="1">
      <c r="A75" s="5365" t="s">
        <v>428</v>
      </c>
      <c r="B75" s="127"/>
      <c r="C75" s="127"/>
      <c r="D75" s="127"/>
      <c r="E75" s="127"/>
      <c r="F75" s="5088"/>
      <c r="G75" s="127"/>
      <c r="H75" s="127"/>
      <c r="I75" s="127"/>
      <c r="J75" s="127"/>
      <c r="K75" s="1219"/>
      <c r="L75" s="127"/>
      <c r="M75" s="127"/>
      <c r="N75" s="127"/>
      <c r="O75" s="127"/>
      <c r="P75" s="1001"/>
      <c r="Q75" s="1502"/>
      <c r="R75" s="127"/>
      <c r="S75" s="127"/>
      <c r="T75" s="127"/>
      <c r="U75" s="1001"/>
      <c r="V75" s="1502"/>
      <c r="W75" s="127"/>
      <c r="X75" s="127"/>
      <c r="Y75" s="127"/>
      <c r="Z75" s="1001"/>
      <c r="AA75" s="1502"/>
      <c r="AB75" s="127"/>
      <c r="AC75" s="127"/>
      <c r="AD75" s="127"/>
      <c r="AE75" s="1001"/>
      <c r="AF75" s="1502"/>
      <c r="AG75" s="127"/>
      <c r="AH75" s="127"/>
      <c r="AI75" s="127"/>
      <c r="AJ75" s="1001"/>
      <c r="AK75" s="1502"/>
      <c r="AL75" s="127"/>
      <c r="AM75" s="127"/>
      <c r="AN75" s="125"/>
      <c r="AO75" s="1001"/>
      <c r="AP75" s="1502"/>
      <c r="AQ75" s="127"/>
      <c r="AR75" s="127"/>
      <c r="AS75" s="125"/>
      <c r="AT75" s="1001"/>
      <c r="AU75" s="1502"/>
      <c r="AV75" s="127"/>
      <c r="AW75" s="127"/>
      <c r="AX75" s="125"/>
      <c r="AY75" s="1001"/>
      <c r="AZ75" s="1502"/>
      <c r="BA75" s="127"/>
      <c r="BB75" s="127"/>
      <c r="BC75" s="125"/>
      <c r="BD75" s="1001"/>
      <c r="BE75" s="1502"/>
      <c r="BF75" s="127"/>
      <c r="BG75" s="127"/>
      <c r="BH75" s="125"/>
      <c r="BI75" s="1001"/>
      <c r="BJ75" s="1502"/>
      <c r="BK75" s="127"/>
      <c r="BL75" s="127"/>
      <c r="BM75" s="127"/>
      <c r="BN75" s="1001"/>
      <c r="BO75" s="42"/>
      <c r="BP75" s="42"/>
      <c r="BQ75" s="42"/>
      <c r="BR75" s="42"/>
      <c r="BS75" s="597"/>
      <c r="BT75" s="127"/>
      <c r="BU75" s="127"/>
      <c r="BV75" s="127"/>
      <c r="BW75" s="127"/>
      <c r="BX75" s="1001"/>
      <c r="BY75" s="42"/>
      <c r="BZ75" s="42"/>
      <c r="CA75" s="42"/>
      <c r="CB75" s="42"/>
      <c r="CC75" s="597"/>
      <c r="CD75" s="1250"/>
      <c r="CE75" s="127"/>
      <c r="CF75" s="127"/>
      <c r="CG75" s="127"/>
      <c r="CH75" s="1001"/>
      <c r="CI75" s="127"/>
      <c r="CJ75" s="127"/>
      <c r="CK75" s="127"/>
      <c r="CL75" s="127"/>
      <c r="CM75" s="1001"/>
      <c r="CN75" s="127">
        <f>+CN69/CR69</f>
        <v>0.2301404205950206</v>
      </c>
      <c r="CO75" s="127">
        <f>+CO69/CR69</f>
        <v>0.23639467121844537</v>
      </c>
      <c r="CP75" s="127">
        <f>+CP69/CR69</f>
        <v>0.24903652535705237</v>
      </c>
      <c r="CQ75" s="127">
        <f>+CQ69/CR69</f>
        <v>0.28442838282948163</v>
      </c>
      <c r="CR75" s="1001"/>
      <c r="CS75" s="127">
        <f>+CS69/CW69</f>
        <v>0.22439959234314072</v>
      </c>
      <c r="CT75" s="127">
        <f>+CT69/CW69</f>
        <v>0.23816908897554059</v>
      </c>
      <c r="CU75" s="127">
        <f>+CU69/CW69</f>
        <v>0.24870391705069125</v>
      </c>
      <c r="CV75" s="127">
        <f>+CV69/CW69</f>
        <v>0.28872740163062743</v>
      </c>
      <c r="CW75" s="1001"/>
      <c r="CX75" s="127">
        <f>+CX69/DB69</f>
        <v>0.22326462496053404</v>
      </c>
      <c r="CY75" s="127">
        <f>+CY69/DB69</f>
        <v>0.23463082404943394</v>
      </c>
      <c r="CZ75" s="127">
        <f>+CZ69/DB69</f>
        <v>0.25052546118803842</v>
      </c>
      <c r="DA75" s="127">
        <f>+DA69/DB69</f>
        <v>0.2915790898019936</v>
      </c>
      <c r="DB75" s="1001"/>
      <c r="DC75" s="127">
        <f>+DC69/DG69</f>
        <v>0.22764382139907469</v>
      </c>
      <c r="DD75" s="127">
        <f>+DD69/DG69</f>
        <v>0.23868760917708798</v>
      </c>
      <c r="DE75" s="127">
        <f>+DE69/DG69</f>
        <v>0.24660317645940988</v>
      </c>
      <c r="DF75" s="127">
        <f>+DF69/DG69</f>
        <v>0.28706539296442746</v>
      </c>
      <c r="DG75" s="1001"/>
      <c r="DH75" s="127">
        <f>+DH69/DL69</f>
        <v>0.22451299603971406</v>
      </c>
      <c r="DI75" s="127">
        <f>+DI69/DL69</f>
        <v>0.24060744978592213</v>
      </c>
      <c r="DJ75" s="127">
        <f>+DJ69/DL69</f>
        <v>0.25021469568816918</v>
      </c>
      <c r="DK75" s="127">
        <f>+DK69/DL69</f>
        <v>0.28466485848619461</v>
      </c>
      <c r="DL75" s="1001"/>
      <c r="DM75" s="127">
        <f>+DM69/DQ69</f>
        <v>0.22549540615908878</v>
      </c>
      <c r="DN75" s="127">
        <f>+DN69/DQ69</f>
        <v>0.20981553414015461</v>
      </c>
      <c r="DO75" s="127">
        <f>+DO69/DQ69</f>
        <v>0.25296531472056188</v>
      </c>
      <c r="DP75" s="127">
        <f>+DP69/DQ69</f>
        <v>0.31172374498019473</v>
      </c>
      <c r="DQ75" s="1001"/>
      <c r="DR75" s="127">
        <f>+DR69/DV69</f>
        <v>0.21469742311857382</v>
      </c>
      <c r="DS75" s="127">
        <f>+DS69/DV69</f>
        <v>0.24018289298509143</v>
      </c>
      <c r="DT75" s="127">
        <f>+DT69/DV69</f>
        <v>0.25275096356501592</v>
      </c>
      <c r="DU75" s="127">
        <f>+DU69/DV69</f>
        <v>0.29236872033131889</v>
      </c>
      <c r="DV75" s="1001"/>
      <c r="DW75" s="127">
        <f>+DW69/EA69</f>
        <v>0.24046090313821436</v>
      </c>
      <c r="DX75" s="127">
        <f>+DX69/EA69</f>
        <v>0.24637952735861066</v>
      </c>
      <c r="DY75" s="127">
        <f>+DY69/EA69</f>
        <v>0.24428290599499355</v>
      </c>
      <c r="DZ75" s="127">
        <f>+DZ69/EA69</f>
        <v>0.2688766635081814</v>
      </c>
      <c r="EA75" s="1001"/>
      <c r="EB75" s="127">
        <f>+EB69/EF69</f>
        <v>0.22702785350397209</v>
      </c>
      <c r="EC75" s="127">
        <f>+EC69/EF69</f>
        <v>0.24269829599797002</v>
      </c>
      <c r="ED75" s="127">
        <f>+ED69/EF69</f>
        <v>0.24949413456345929</v>
      </c>
      <c r="EE75" s="127">
        <f>+EE69/EF69</f>
        <v>0.28077971593459861</v>
      </c>
      <c r="EF75" s="1001"/>
      <c r="EG75" s="127">
        <f>+EG69/EK69</f>
        <v>0.23009959487797771</v>
      </c>
      <c r="EH75" s="127">
        <f>+EH69/EK69</f>
        <v>0.24210754875463547</v>
      </c>
      <c r="EI75" s="127">
        <f>+EI69/EK69</f>
        <v>0.25218131638944286</v>
      </c>
      <c r="EJ75" s="127">
        <f>+EJ69/EK69</f>
        <v>0.27561153997794396</v>
      </c>
      <c r="EK75" s="1001"/>
      <c r="EL75" s="127">
        <f>+EL69/EP69</f>
        <v>0.22487981383992908</v>
      </c>
      <c r="EM75" s="127">
        <f>+EM69/EP69</f>
        <v>0.24031640721852829</v>
      </c>
      <c r="EN75" s="127">
        <f>+EN69/EP69</f>
        <v>0.25506515755991516</v>
      </c>
      <c r="EO75" s="127">
        <f>+EO69/EP69</f>
        <v>0.27973862138162753</v>
      </c>
      <c r="EP75" s="1001"/>
      <c r="EQ75" s="127">
        <f>+EQ69/EU69</f>
        <v>0.22704278734639666</v>
      </c>
      <c r="ER75" s="127">
        <f>+ER69/EU69</f>
        <v>0.24047195418508474</v>
      </c>
      <c r="ES75" s="127">
        <f>+ES69/EU69</f>
        <v>0.25387152887516962</v>
      </c>
      <c r="ET75" s="127">
        <f>+ET69/EU69</f>
        <v>0.27861372959334885</v>
      </c>
      <c r="EU75" s="1001"/>
      <c r="EV75" s="597"/>
      <c r="EW75" s="597"/>
      <c r="EX75" s="597"/>
      <c r="EY75" s="597"/>
      <c r="EZ75" s="42"/>
      <c r="FA75" s="725"/>
      <c r="FB75" s="725"/>
    </row>
    <row r="76" spans="1:160" s="180" customFormat="1" ht="11.25" hidden="1" customHeight="1" outlineLevel="1">
      <c r="A76" s="5647"/>
      <c r="B76" s="5605"/>
      <c r="C76" s="2436"/>
      <c r="D76" s="2436"/>
      <c r="E76" s="2437"/>
      <c r="F76" s="5613"/>
      <c r="G76" s="5605"/>
      <c r="H76" s="2436"/>
      <c r="I76" s="2436"/>
      <c r="J76" s="2436"/>
      <c r="K76" s="2438"/>
      <c r="L76" s="2436"/>
      <c r="M76" s="2436"/>
      <c r="N76" s="2436"/>
      <c r="O76" s="2436"/>
      <c r="P76" s="2439"/>
      <c r="Q76" s="2435"/>
      <c r="R76" s="2436"/>
      <c r="S76" s="2436"/>
      <c r="T76" s="2436"/>
      <c r="U76" s="2439"/>
      <c r="V76" s="2435"/>
      <c r="W76" s="2437"/>
      <c r="X76" s="2437"/>
      <c r="Y76" s="2437"/>
      <c r="Z76" s="2439"/>
      <c r="AA76" s="2435"/>
      <c r="AB76" s="2436"/>
      <c r="AC76" s="2436"/>
      <c r="AD76" s="2436"/>
      <c r="AE76" s="2439"/>
      <c r="AF76" s="2435"/>
      <c r="AG76" s="2436"/>
      <c r="AH76" s="2436"/>
      <c r="AI76" s="2440"/>
      <c r="AJ76" s="2439"/>
      <c r="AK76" s="2435"/>
      <c r="AL76" s="2441"/>
      <c r="AM76" s="2441"/>
      <c r="AN76" s="2441"/>
      <c r="AO76" s="2439"/>
      <c r="AP76" s="2442"/>
      <c r="AQ76" s="2441"/>
      <c r="AR76" s="2441"/>
      <c r="AS76" s="2441"/>
      <c r="AT76" s="2439"/>
      <c r="AU76" s="2442"/>
      <c r="AV76" s="2441"/>
      <c r="AW76" s="2441"/>
      <c r="AX76" s="2441"/>
      <c r="AY76" s="2439"/>
      <c r="AZ76" s="2442"/>
      <c r="BA76" s="2441"/>
      <c r="BB76" s="2441"/>
      <c r="BC76" s="2443"/>
      <c r="BD76" s="2439"/>
      <c r="BE76" s="2444"/>
      <c r="BF76" s="2250"/>
      <c r="BG76" s="2445"/>
      <c r="BH76" s="2250"/>
      <c r="BI76" s="2439"/>
      <c r="BJ76" s="2444"/>
      <c r="BK76" s="2250"/>
      <c r="BL76" s="2250"/>
      <c r="BM76" s="2250"/>
      <c r="BN76" s="2439"/>
      <c r="BO76" s="2446"/>
      <c r="BP76" s="2446"/>
      <c r="BQ76" s="2446"/>
      <c r="BR76" s="2446"/>
      <c r="BS76" s="2447"/>
      <c r="BT76" s="2250"/>
      <c r="BU76" s="2250"/>
      <c r="BV76" s="2448"/>
      <c r="BW76" s="2448"/>
      <c r="BX76" s="2447"/>
      <c r="BY76" s="2446"/>
      <c r="BZ76" s="2446"/>
      <c r="CA76" s="2446"/>
      <c r="CB76" s="2446"/>
      <c r="CC76" s="2447"/>
      <c r="CD76" s="2449"/>
      <c r="CE76" s="2250"/>
      <c r="CF76" s="2250"/>
      <c r="CG76" s="2448"/>
      <c r="CH76" s="2447"/>
      <c r="CI76" s="2450"/>
      <c r="CJ76" s="2446"/>
      <c r="CK76" s="2446"/>
      <c r="CL76" s="2448"/>
      <c r="CM76" s="2439"/>
      <c r="CN76" s="2451"/>
      <c r="CO76" s="2451"/>
      <c r="CP76" s="2451"/>
      <c r="CQ76" s="2451"/>
      <c r="CR76" s="2439"/>
      <c r="CS76" s="2451"/>
      <c r="CT76" s="2451"/>
      <c r="CU76" s="2451"/>
      <c r="CV76" s="2451"/>
      <c r="CW76" s="2439"/>
      <c r="CX76" s="2451"/>
      <c r="CY76" s="2451"/>
      <c r="CZ76" s="2451"/>
      <c r="DA76" s="2451"/>
      <c r="DB76" s="2439"/>
      <c r="DC76" s="2451"/>
      <c r="DD76" s="2451"/>
      <c r="DE76" s="2451"/>
      <c r="DF76" s="2451"/>
      <c r="DG76" s="2439"/>
      <c r="DH76" s="2451"/>
      <c r="DI76" s="2451"/>
      <c r="DJ76" s="2451"/>
      <c r="DK76" s="2451"/>
      <c r="DL76" s="2439"/>
      <c r="DM76" s="2451"/>
      <c r="DN76" s="2451"/>
      <c r="DO76" s="2451"/>
      <c r="DP76" s="2451"/>
      <c r="DQ76" s="2439"/>
      <c r="DR76" s="2451"/>
      <c r="DS76" s="2451"/>
      <c r="DT76" s="2451"/>
      <c r="DU76" s="2451"/>
      <c r="DV76" s="2439"/>
      <c r="DW76" s="2451"/>
      <c r="DX76" s="2451"/>
      <c r="DY76" s="2451"/>
      <c r="DZ76" s="2451"/>
      <c r="EA76" s="2439"/>
      <c r="EB76" s="2451"/>
      <c r="EC76" s="2451"/>
      <c r="ED76" s="2451"/>
      <c r="EE76" s="2451"/>
      <c r="EF76" s="2439"/>
      <c r="EG76" s="2451"/>
      <c r="EH76" s="2451"/>
      <c r="EI76" s="2451"/>
      <c r="EJ76" s="2451"/>
      <c r="EK76" s="2439"/>
      <c r="EL76" s="2451"/>
      <c r="EM76" s="2451"/>
      <c r="EN76" s="2451"/>
      <c r="EO76" s="2451"/>
      <c r="EP76" s="2439"/>
      <c r="EQ76" s="2451"/>
      <c r="ER76" s="2451"/>
      <c r="ES76" s="2451"/>
      <c r="ET76" s="2451"/>
      <c r="EU76" s="2439"/>
      <c r="EV76" s="2439"/>
      <c r="EW76" s="2439"/>
      <c r="EX76" s="2439"/>
      <c r="EY76" s="2439"/>
      <c r="EZ76" s="176"/>
      <c r="FA76" s="717"/>
      <c r="FB76" s="717"/>
    </row>
    <row r="77" spans="1:160" s="180" customFormat="1" ht="11.25" customHeight="1" collapsed="1">
      <c r="A77" s="5648" t="s">
        <v>319</v>
      </c>
      <c r="B77" s="3040"/>
      <c r="C77" s="3038"/>
      <c r="D77" s="3038"/>
      <c r="E77" s="3038"/>
      <c r="F77" s="5614"/>
      <c r="G77" s="3040"/>
      <c r="H77" s="3038"/>
      <c r="I77" s="3038"/>
      <c r="J77" s="3038"/>
      <c r="K77" s="3039"/>
      <c r="L77" s="3038"/>
      <c r="M77" s="3038"/>
      <c r="N77" s="3038"/>
      <c r="O77" s="3038"/>
      <c r="P77" s="3039"/>
      <c r="Q77" s="3037"/>
      <c r="R77" s="3038"/>
      <c r="S77" s="3038"/>
      <c r="T77" s="3038"/>
      <c r="U77" s="3039"/>
      <c r="V77" s="3037"/>
      <c r="W77" s="3038"/>
      <c r="X77" s="3038"/>
      <c r="Y77" s="3038"/>
      <c r="Z77" s="3039"/>
      <c r="AA77" s="3037"/>
      <c r="AB77" s="3038"/>
      <c r="AC77" s="3038"/>
      <c r="AD77" s="3038"/>
      <c r="AE77" s="3039"/>
      <c r="AF77" s="3037"/>
      <c r="AG77" s="3038"/>
      <c r="AH77" s="3038"/>
      <c r="AI77" s="3041"/>
      <c r="AJ77" s="3039"/>
      <c r="AK77" s="3037"/>
      <c r="AL77" s="3038"/>
      <c r="AM77" s="3038"/>
      <c r="AN77" s="3041"/>
      <c r="AO77" s="3039"/>
      <c r="AP77" s="3037"/>
      <c r="AQ77" s="3038"/>
      <c r="AR77" s="3038"/>
      <c r="AS77" s="3041"/>
      <c r="AT77" s="3039"/>
      <c r="AU77" s="3037"/>
      <c r="AV77" s="3067"/>
      <c r="AW77" s="3067"/>
      <c r="AX77" s="3067"/>
      <c r="AY77" s="3039"/>
      <c r="AZ77" s="3037"/>
      <c r="BA77" s="3068"/>
      <c r="BB77" s="3068"/>
      <c r="BC77" s="3068"/>
      <c r="BD77" s="3039"/>
      <c r="BE77" s="3037"/>
      <c r="BF77" s="3069"/>
      <c r="BG77" s="3038"/>
      <c r="BH77" s="3041"/>
      <c r="BI77" s="3039"/>
      <c r="BJ77" s="3037"/>
      <c r="BK77" s="3038"/>
      <c r="BL77" s="3038"/>
      <c r="BM77" s="3038"/>
      <c r="BN77" s="3039"/>
      <c r="BO77" s="3038"/>
      <c r="BP77" s="3038"/>
      <c r="BQ77" s="3038"/>
      <c r="BR77" s="3038"/>
      <c r="BS77" s="3039"/>
      <c r="BT77" s="3038"/>
      <c r="BU77" s="3038"/>
      <c r="BV77" s="3038"/>
      <c r="BW77" s="3038"/>
      <c r="BX77" s="3039"/>
      <c r="BY77" s="3038"/>
      <c r="BZ77" s="3038"/>
      <c r="CA77" s="3038"/>
      <c r="CB77" s="3038"/>
      <c r="CC77" s="3039"/>
      <c r="CD77" s="3043"/>
      <c r="CE77" s="3038"/>
      <c r="CF77" s="3038"/>
      <c r="CG77" s="3038"/>
      <c r="CH77" s="3039"/>
      <c r="CI77" s="3063"/>
      <c r="CJ77" s="3038"/>
      <c r="CK77" s="3038"/>
      <c r="CL77" s="3038"/>
      <c r="CM77" s="3039"/>
      <c r="CN77" s="3038"/>
      <c r="CO77" s="3038"/>
      <c r="CP77" s="3038"/>
      <c r="CQ77" s="3038"/>
      <c r="CR77" s="3039"/>
      <c r="CS77" s="3038"/>
      <c r="CT77" s="3038"/>
      <c r="CU77" s="3038"/>
      <c r="CV77" s="3038"/>
      <c r="CW77" s="3039"/>
      <c r="CX77" s="3038"/>
      <c r="CY77" s="3038"/>
      <c r="CZ77" s="3038"/>
      <c r="DA77" s="3038"/>
      <c r="DB77" s="3039"/>
      <c r="DC77" s="3038"/>
      <c r="DD77" s="3038"/>
      <c r="DE77" s="3038"/>
      <c r="DF77" s="3038"/>
      <c r="DG77" s="3039"/>
      <c r="DH77" s="3038"/>
      <c r="DI77" s="3038"/>
      <c r="DJ77" s="3038"/>
      <c r="DK77" s="3038"/>
      <c r="DL77" s="3039"/>
      <c r="DM77" s="3038"/>
      <c r="DN77" s="3038"/>
      <c r="DO77" s="3038"/>
      <c r="DP77" s="3038"/>
      <c r="DQ77" s="3039"/>
      <c r="DR77" s="3038"/>
      <c r="DS77" s="3038"/>
      <c r="DT77" s="3038"/>
      <c r="DU77" s="3038"/>
      <c r="DV77" s="3039"/>
      <c r="DW77" s="3038"/>
      <c r="DX77" s="3038"/>
      <c r="DY77" s="3038"/>
      <c r="DZ77" s="3038"/>
      <c r="EA77" s="3039"/>
      <c r="EB77" s="3038"/>
      <c r="EC77" s="3038"/>
      <c r="ED77" s="3038"/>
      <c r="EE77" s="3038"/>
      <c r="EF77" s="3039"/>
      <c r="EG77" s="3038"/>
      <c r="EH77" s="3038"/>
      <c r="EI77" s="3038"/>
      <c r="EJ77" s="3038"/>
      <c r="EK77" s="3039"/>
      <c r="EL77" s="3038"/>
      <c r="EM77" s="3038"/>
      <c r="EN77" s="3038"/>
      <c r="EO77" s="3038"/>
      <c r="EP77" s="3039"/>
      <c r="EQ77" s="3038"/>
      <c r="ER77" s="3038"/>
      <c r="ES77" s="3038"/>
      <c r="ET77" s="3038"/>
      <c r="EU77" s="3039"/>
      <c r="EV77" s="3039"/>
      <c r="EW77" s="3039"/>
      <c r="EX77" s="3039"/>
      <c r="EY77" s="3039"/>
      <c r="EZ77" s="176"/>
      <c r="FA77" s="1100"/>
      <c r="FB77" s="1100"/>
    </row>
    <row r="78" spans="1:160" s="180" customFormat="1" ht="11.25" customHeight="1">
      <c r="A78" s="5649" t="str">
        <f>A8</f>
        <v>Google Search &amp; other</v>
      </c>
      <c r="B78" s="175"/>
      <c r="C78" s="175"/>
      <c r="D78" s="175"/>
      <c r="E78" s="176"/>
      <c r="F78" s="5286"/>
      <c r="G78" s="175"/>
      <c r="H78" s="175"/>
      <c r="I78" s="175"/>
      <c r="J78" s="175"/>
      <c r="K78" s="1014"/>
      <c r="L78" s="175"/>
      <c r="M78" s="175"/>
      <c r="N78" s="175"/>
      <c r="O78" s="175"/>
      <c r="P78" s="997"/>
      <c r="Q78" s="2409"/>
      <c r="R78" s="173"/>
      <c r="S78" s="173"/>
      <c r="T78" s="124"/>
      <c r="U78" s="997"/>
      <c r="V78" s="1879"/>
      <c r="W78" s="124"/>
      <c r="X78" s="124"/>
      <c r="Y78" s="124"/>
      <c r="Z78" s="997"/>
      <c r="AA78" s="1879"/>
      <c r="AB78" s="124"/>
      <c r="AC78" s="124"/>
      <c r="AD78" s="123"/>
      <c r="AE78" s="997"/>
      <c r="AF78" s="1879"/>
      <c r="AG78" s="124"/>
      <c r="AH78" s="124"/>
      <c r="AI78" s="124"/>
      <c r="AJ78" s="997"/>
      <c r="AK78" s="1879"/>
      <c r="AL78" s="124"/>
      <c r="AM78" s="124"/>
      <c r="AN78" s="123"/>
      <c r="AO78" s="997"/>
      <c r="AP78" s="1879"/>
      <c r="AQ78" s="124"/>
      <c r="AR78" s="124"/>
      <c r="AS78" s="123"/>
      <c r="AT78" s="997"/>
      <c r="AU78" s="1879"/>
      <c r="AV78" s="124"/>
      <c r="AW78" s="124"/>
      <c r="AX78" s="123"/>
      <c r="AY78" s="997"/>
      <c r="AZ78" s="1879"/>
      <c r="BA78" s="124"/>
      <c r="BB78" s="124"/>
      <c r="BC78" s="123"/>
      <c r="BD78" s="997"/>
      <c r="BE78" s="1879"/>
      <c r="BF78" s="124"/>
      <c r="BG78" s="124"/>
      <c r="BH78" s="123"/>
      <c r="BI78" s="997"/>
      <c r="BJ78" s="1879"/>
      <c r="BK78" s="124"/>
      <c r="BL78" s="124"/>
      <c r="BM78" s="124"/>
      <c r="BN78" s="997"/>
      <c r="BO78" s="124"/>
      <c r="BP78" s="124"/>
      <c r="BQ78" s="124"/>
      <c r="BR78" s="124"/>
      <c r="BS78" s="2255"/>
      <c r="BT78" s="124"/>
      <c r="BU78" s="124"/>
      <c r="BV78" s="124"/>
      <c r="BW78" s="124"/>
      <c r="BX78" s="997"/>
      <c r="BY78" s="124"/>
      <c r="BZ78" s="124"/>
      <c r="CA78" s="124"/>
      <c r="CB78" s="124"/>
      <c r="CC78" s="2255"/>
      <c r="CD78" s="2395"/>
      <c r="CE78" s="124"/>
      <c r="CF78" s="124"/>
      <c r="CG78" s="124"/>
      <c r="CH78" s="997"/>
      <c r="CI78" s="549"/>
      <c r="CJ78" s="124"/>
      <c r="CK78" s="124"/>
      <c r="CL78" s="124"/>
      <c r="CM78" s="997"/>
      <c r="CN78" s="124"/>
      <c r="CO78" s="124"/>
      <c r="CP78" s="124"/>
      <c r="CQ78" s="124"/>
      <c r="CR78" s="997"/>
      <c r="CS78" s="124"/>
      <c r="CT78" s="124"/>
      <c r="CU78" s="124"/>
      <c r="CV78" s="124"/>
      <c r="CW78" s="997"/>
      <c r="CX78" s="124"/>
      <c r="CY78" s="124"/>
      <c r="CZ78" s="124"/>
      <c r="DA78" s="124"/>
      <c r="DB78" s="997">
        <f>DB8/DB69</f>
        <v>0.6297505750755491</v>
      </c>
      <c r="DC78" s="124"/>
      <c r="DD78" s="124"/>
      <c r="DE78" s="124"/>
      <c r="DF78" s="124">
        <f t="shared" ref="DF78:DK78" si="273">DF8/DF69</f>
        <v>0.59374681739484669</v>
      </c>
      <c r="DG78" s="997">
        <f t="shared" si="273"/>
        <v>0.6234221855151697</v>
      </c>
      <c r="DH78" s="124">
        <f t="shared" si="273"/>
        <v>0.62046286359008229</v>
      </c>
      <c r="DI78" s="124">
        <f t="shared" si="273"/>
        <v>0.60707682826622844</v>
      </c>
      <c r="DJ78" s="124">
        <f t="shared" si="273"/>
        <v>0.61090397293760335</v>
      </c>
      <c r="DK78" s="124">
        <f t="shared" si="273"/>
        <v>0.59001627780792187</v>
      </c>
      <c r="DL78" s="997">
        <f t="shared" ref="DL78:DV78" si="274">DL8/DL69</f>
        <v>0.60618323581927258</v>
      </c>
      <c r="DM78" s="124">
        <f t="shared" si="274"/>
        <v>0.5953011492018756</v>
      </c>
      <c r="DN78" s="124">
        <f t="shared" si="274"/>
        <v>0.55667545760764547</v>
      </c>
      <c r="DO78" s="124">
        <f t="shared" si="274"/>
        <v>0.57041994239057459</v>
      </c>
      <c r="DP78" s="124">
        <f t="shared" si="274"/>
        <v>0.56070512144539353</v>
      </c>
      <c r="DQ78" s="997">
        <f t="shared" si="274"/>
        <v>0.57011839344316184</v>
      </c>
      <c r="DR78" s="124">
        <f t="shared" si="274"/>
        <v>0.57632787359438842</v>
      </c>
      <c r="DS78" s="124">
        <f t="shared" si="274"/>
        <v>0.57926632191338079</v>
      </c>
      <c r="DT78" s="124">
        <f t="shared" si="274"/>
        <v>0.58241960748180222</v>
      </c>
      <c r="DU78" s="124">
        <f t="shared" si="274"/>
        <v>0.5748556256223033</v>
      </c>
      <c r="DV78" s="997">
        <f t="shared" si="274"/>
        <v>0.57814289096674776</v>
      </c>
      <c r="DW78" s="124">
        <f t="shared" ref="DW78:EF78" si="275">DW8/DW69</f>
        <v>0.58252341532987306</v>
      </c>
      <c r="DX78" s="124">
        <f t="shared" si="275"/>
        <v>0.58389897395422252</v>
      </c>
      <c r="DY78" s="124">
        <f t="shared" si="275"/>
        <v>0.57226596422161757</v>
      </c>
      <c r="DZ78" s="124">
        <f t="shared" si="275"/>
        <v>0.56022512097622557</v>
      </c>
      <c r="EA78" s="997">
        <f t="shared" si="275"/>
        <v>0.57436111386103605</v>
      </c>
      <c r="EB78" s="124">
        <f t="shared" si="275"/>
        <v>0.57831687850172664</v>
      </c>
      <c r="EC78" s="124">
        <f>EC8/EC69</f>
        <v>0.57139027397994746</v>
      </c>
      <c r="ED78" s="124">
        <f t="shared" si="275"/>
        <v>0.574054998500515</v>
      </c>
      <c r="EE78" s="124">
        <f t="shared" si="275"/>
        <v>0.55636658556366581</v>
      </c>
      <c r="EF78" s="997">
        <f t="shared" si="275"/>
        <v>0.56940929230889348</v>
      </c>
      <c r="EG78" s="124">
        <f t="shared" ref="EG78" si="276">EG8/EG69</f>
        <v>0.57308881411490087</v>
      </c>
      <c r="EH78" s="124">
        <f t="shared" ref="EH78:EW78" si="277">EH8/EH69</f>
        <v>0.57243161596374881</v>
      </c>
      <c r="EI78" s="124">
        <f t="shared" si="277"/>
        <v>0.55948928263923503</v>
      </c>
      <c r="EJ78" s="124">
        <f t="shared" si="277"/>
        <v>0.5601177580362604</v>
      </c>
      <c r="EK78" s="997">
        <f t="shared" si="277"/>
        <v>0.56592518099069189</v>
      </c>
      <c r="EL78" s="124">
        <f t="shared" si="277"/>
        <v>0.56189462951880664</v>
      </c>
      <c r="EM78" s="124">
        <f t="shared" ref="EM78:EN78" si="278">EM8/EM69</f>
        <v>0.56197370058489238</v>
      </c>
      <c r="EN78" s="124">
        <f t="shared" si="278"/>
        <v>0.55270357415043092</v>
      </c>
      <c r="EO78" s="124">
        <f t="shared" ref="EO78:EP78" si="279">EO8/EO69</f>
        <v>0.55118358205211171</v>
      </c>
      <c r="EP78" s="997">
        <f t="shared" si="279"/>
        <v>0.55657301995576025</v>
      </c>
      <c r="EQ78" s="124">
        <f t="shared" ref="EQ78:EU78" si="280">EQ8/EQ69</f>
        <v>0.55332009101302404</v>
      </c>
      <c r="ER78" s="124">
        <f t="shared" si="280"/>
        <v>0.54450514348336299</v>
      </c>
      <c r="ES78" s="124">
        <f t="shared" si="280"/>
        <v>0.52976347543812885</v>
      </c>
      <c r="ET78" s="124">
        <f t="shared" si="280"/>
        <v>0.52762721193146345</v>
      </c>
      <c r="EU78" s="997">
        <f t="shared" si="280"/>
        <v>0.5380616004784996</v>
      </c>
      <c r="EV78" s="2255">
        <f t="shared" si="277"/>
        <v>0.52224250902399949</v>
      </c>
      <c r="EW78" s="2255">
        <f t="shared" si="277"/>
        <v>0.50842651690550555</v>
      </c>
      <c r="EX78" s="2255">
        <f t="shared" ref="EX78:EY78" si="281">EX8/EX69</f>
        <v>0.49656176057686746</v>
      </c>
      <c r="EY78" s="2255">
        <f t="shared" si="281"/>
        <v>0.48559019687873117</v>
      </c>
      <c r="EZ78" s="176"/>
      <c r="FA78" s="1102"/>
      <c r="FB78" s="1102"/>
    </row>
    <row r="79" spans="1:160" s="180" customFormat="1" ht="11.25" customHeight="1">
      <c r="A79" s="5649" t="str">
        <f>A15</f>
        <v>YouTube ads</v>
      </c>
      <c r="B79" s="175"/>
      <c r="C79" s="175"/>
      <c r="D79" s="175"/>
      <c r="E79" s="176"/>
      <c r="F79" s="5286"/>
      <c r="G79" s="175"/>
      <c r="H79" s="175"/>
      <c r="I79" s="175"/>
      <c r="J79" s="175"/>
      <c r="K79" s="1014"/>
      <c r="L79" s="175"/>
      <c r="M79" s="175"/>
      <c r="N79" s="175"/>
      <c r="O79" s="175"/>
      <c r="P79" s="997"/>
      <c r="Q79" s="2409"/>
      <c r="R79" s="173"/>
      <c r="S79" s="173"/>
      <c r="T79" s="124"/>
      <c r="U79" s="997"/>
      <c r="V79" s="1879"/>
      <c r="W79" s="124"/>
      <c r="X79" s="124"/>
      <c r="Y79" s="124"/>
      <c r="Z79" s="997"/>
      <c r="AA79" s="1879"/>
      <c r="AB79" s="124"/>
      <c r="AC79" s="124"/>
      <c r="AD79" s="123"/>
      <c r="AE79" s="997"/>
      <c r="AF79" s="1879"/>
      <c r="AG79" s="124"/>
      <c r="AH79" s="124"/>
      <c r="AI79" s="124"/>
      <c r="AJ79" s="997"/>
      <c r="AK79" s="1879"/>
      <c r="AL79" s="124"/>
      <c r="AM79" s="124"/>
      <c r="AN79" s="123"/>
      <c r="AO79" s="997"/>
      <c r="AP79" s="1879"/>
      <c r="AQ79" s="124"/>
      <c r="AR79" s="124"/>
      <c r="AS79" s="123"/>
      <c r="AT79" s="997"/>
      <c r="AU79" s="1879"/>
      <c r="AV79" s="124"/>
      <c r="AW79" s="124"/>
      <c r="AX79" s="123"/>
      <c r="AY79" s="997"/>
      <c r="AZ79" s="1879"/>
      <c r="BA79" s="124"/>
      <c r="BB79" s="124"/>
      <c r="BC79" s="123"/>
      <c r="BD79" s="997"/>
      <c r="BE79" s="1879"/>
      <c r="BF79" s="124"/>
      <c r="BG79" s="124"/>
      <c r="BH79" s="123"/>
      <c r="BI79" s="997"/>
      <c r="BJ79" s="1879"/>
      <c r="BK79" s="124"/>
      <c r="BL79" s="124"/>
      <c r="BM79" s="124"/>
      <c r="BN79" s="997"/>
      <c r="BO79" s="124"/>
      <c r="BP79" s="124"/>
      <c r="BQ79" s="124"/>
      <c r="BR79" s="124"/>
      <c r="BS79" s="2255"/>
      <c r="BT79" s="124"/>
      <c r="BU79" s="124"/>
      <c r="BV79" s="124"/>
      <c r="BW79" s="124"/>
      <c r="BX79" s="997"/>
      <c r="BY79" s="124"/>
      <c r="BZ79" s="124"/>
      <c r="CA79" s="124"/>
      <c r="CB79" s="124"/>
      <c r="CC79" s="2255"/>
      <c r="CD79" s="2395"/>
      <c r="CE79" s="124"/>
      <c r="CF79" s="124"/>
      <c r="CG79" s="124"/>
      <c r="CH79" s="997"/>
      <c r="CI79" s="549"/>
      <c r="CJ79" s="124"/>
      <c r="CK79" s="124"/>
      <c r="CL79" s="124"/>
      <c r="CM79" s="997"/>
      <c r="CN79" s="124"/>
      <c r="CO79" s="124"/>
      <c r="CP79" s="124"/>
      <c r="CQ79" s="124"/>
      <c r="CR79" s="997"/>
      <c r="CS79" s="124"/>
      <c r="CT79" s="124"/>
      <c r="CU79" s="124"/>
      <c r="CV79" s="124"/>
      <c r="CW79" s="997"/>
      <c r="CX79" s="124"/>
      <c r="CY79" s="124"/>
      <c r="CZ79" s="124"/>
      <c r="DA79" s="124"/>
      <c r="DB79" s="997">
        <f>DB15/DB69</f>
        <v>7.3519462360741514E-2</v>
      </c>
      <c r="DC79" s="124"/>
      <c r="DD79" s="124"/>
      <c r="DE79" s="124"/>
      <c r="DF79" s="124">
        <f t="shared" ref="DF79:DK79" si="282">DF15/DF69</f>
        <v>9.1786332620429775E-2</v>
      </c>
      <c r="DG79" s="997">
        <f t="shared" si="282"/>
        <v>8.1531073900554751E-2</v>
      </c>
      <c r="DH79" s="124">
        <f t="shared" si="282"/>
        <v>8.3243897740719344E-2</v>
      </c>
      <c r="DI79" s="124">
        <f t="shared" si="282"/>
        <v>9.251746096959737E-2</v>
      </c>
      <c r="DJ79" s="124">
        <f t="shared" si="282"/>
        <v>9.3928245141855354E-2</v>
      </c>
      <c r="DK79" s="124">
        <f t="shared" si="282"/>
        <v>0.10237655995659251</v>
      </c>
      <c r="DL79" s="997">
        <f t="shared" ref="DL79:DV79" si="283">DL15/DL69</f>
        <v>9.3594963455395808E-2</v>
      </c>
      <c r="DM79" s="124">
        <f t="shared" si="283"/>
        <v>9.8107339828470086E-2</v>
      </c>
      <c r="DN79" s="124">
        <f t="shared" si="283"/>
        <v>9.9537822805963919E-2</v>
      </c>
      <c r="DO79" s="124">
        <f t="shared" si="283"/>
        <v>0.10908972776297836</v>
      </c>
      <c r="DP79" s="124">
        <f t="shared" si="283"/>
        <v>0.12100601075608984</v>
      </c>
      <c r="DQ79" s="997">
        <f t="shared" si="283"/>
        <v>0.10832370005533427</v>
      </c>
      <c r="DR79" s="124">
        <f t="shared" si="283"/>
        <v>0.10856202769642405</v>
      </c>
      <c r="DS79" s="124">
        <f t="shared" si="283"/>
        <v>0.11315449256625727</v>
      </c>
      <c r="DT79" s="124">
        <f t="shared" si="283"/>
        <v>0.11064529008876194</v>
      </c>
      <c r="DU79" s="124">
        <f t="shared" si="283"/>
        <v>0.11461002323265848</v>
      </c>
      <c r="DV79" s="997">
        <f t="shared" si="283"/>
        <v>0.11195985048731355</v>
      </c>
      <c r="DW79" s="124">
        <f t="shared" ref="DW79:EF79" si="284">DW15/DW69</f>
        <v>0.10099836791107321</v>
      </c>
      <c r="DX79" s="124">
        <f t="shared" si="284"/>
        <v>0.10533113295544234</v>
      </c>
      <c r="DY79" s="124">
        <f t="shared" si="284"/>
        <v>0.1023418051293927</v>
      </c>
      <c r="DZ79" s="124">
        <f t="shared" si="284"/>
        <v>0.10471018304228909</v>
      </c>
      <c r="EA79" s="997">
        <f t="shared" si="284"/>
        <v>0.10339207173061421</v>
      </c>
      <c r="EB79" s="124">
        <f t="shared" si="284"/>
        <v>9.5906114319285821E-2</v>
      </c>
      <c r="EC79" s="124">
        <f>EC15/EC69</f>
        <v>0.10274248029596268</v>
      </c>
      <c r="ED79" s="124">
        <f t="shared" si="284"/>
        <v>0.10368612520047461</v>
      </c>
      <c r="EE79" s="124">
        <f t="shared" si="284"/>
        <v>0.10659251535163944</v>
      </c>
      <c r="EF79" s="997">
        <f t="shared" si="284"/>
        <v>0.10250688042056774</v>
      </c>
      <c r="EG79" s="124">
        <f t="shared" ref="EG79" si="285">EG15/EG69</f>
        <v>0.10044823005003788</v>
      </c>
      <c r="EH79" s="124">
        <f t="shared" ref="EH79:EW79" si="286">EH15/EH69</f>
        <v>0.10222793892048807</v>
      </c>
      <c r="EI79" s="124">
        <f t="shared" si="286"/>
        <v>0.10106720442289391</v>
      </c>
      <c r="EJ79" s="124">
        <f t="shared" si="286"/>
        <v>0.10856337268967232</v>
      </c>
      <c r="EK79" s="997">
        <f t="shared" si="286"/>
        <v>0.10327183173436795</v>
      </c>
      <c r="EL79" s="124">
        <f t="shared" si="286"/>
        <v>9.8931666555843692E-2</v>
      </c>
      <c r="EM79" s="124">
        <f t="shared" ref="EM79:EN79" si="287">EM15/EM69</f>
        <v>0.10158875015555648</v>
      </c>
      <c r="EN79" s="124">
        <f t="shared" si="287"/>
        <v>0.10025794852754383</v>
      </c>
      <c r="EO79" s="124">
        <f t="shared" ref="EO79:EP79" si="288">EO15/EO69</f>
        <v>0.10636110482826842</v>
      </c>
      <c r="EP79" s="997">
        <f t="shared" si="288"/>
        <v>0.10198679648025451</v>
      </c>
      <c r="EQ79" s="124">
        <f t="shared" ref="EQ79:EU79" si="289">EQ15/EQ69</f>
        <v>9.7854951175185542E-2</v>
      </c>
      <c r="ER79" s="124">
        <f t="shared" si="289"/>
        <v>9.9743347801633728E-2</v>
      </c>
      <c r="ES79" s="124">
        <f t="shared" si="289"/>
        <v>9.7812730360150188E-2</v>
      </c>
      <c r="ET79" s="124">
        <f t="shared" si="289"/>
        <v>0.10409832387133006</v>
      </c>
      <c r="EU79" s="997">
        <f t="shared" si="289"/>
        <v>0.10003782829147477</v>
      </c>
      <c r="EV79" s="2255">
        <f t="shared" si="286"/>
        <v>9.7979398475004142E-2</v>
      </c>
      <c r="EW79" s="2255">
        <f t="shared" si="286"/>
        <v>9.6262454224386673E-2</v>
      </c>
      <c r="EX79" s="2255">
        <f t="shared" ref="EX79:EY79" si="290">EX15/EX69</f>
        <v>9.4886570792649491E-2</v>
      </c>
      <c r="EY79" s="2255">
        <f t="shared" si="290"/>
        <v>9.3653209191331077E-2</v>
      </c>
      <c r="EZ79" s="176"/>
      <c r="FA79" s="1102"/>
      <c r="FB79" s="1102"/>
    </row>
    <row r="80" spans="1:160" s="180" customFormat="1" ht="11.25" customHeight="1">
      <c r="A80" s="5649" t="str">
        <f>A29</f>
        <v>Google Network Members' properties</v>
      </c>
      <c r="B80" s="175"/>
      <c r="C80" s="175"/>
      <c r="D80" s="175"/>
      <c r="E80" s="176"/>
      <c r="F80" s="5286"/>
      <c r="G80" s="175"/>
      <c r="H80" s="175"/>
      <c r="I80" s="175"/>
      <c r="J80" s="175"/>
      <c r="K80" s="1014"/>
      <c r="L80" s="175"/>
      <c r="M80" s="175"/>
      <c r="N80" s="175"/>
      <c r="O80" s="175"/>
      <c r="P80" s="997">
        <f>P29/P69</f>
        <v>0</v>
      </c>
      <c r="Q80" s="1878">
        <f>1-Q517-Q485</f>
        <v>0</v>
      </c>
      <c r="R80" s="124">
        <f>1-R517-R485</f>
        <v>0.19000000000000003</v>
      </c>
      <c r="S80" s="124">
        <f>1-S517-S485</f>
        <v>0.24000000000000005</v>
      </c>
      <c r="T80" s="124">
        <f t="shared" ref="T80:BN80" si="291">T29/T69</f>
        <v>0.3066790661536577</v>
      </c>
      <c r="U80" s="997">
        <f t="shared" si="291"/>
        <v>0.23648488764709627</v>
      </c>
      <c r="V80" s="1879">
        <f t="shared" si="291"/>
        <v>0.32667787529462872</v>
      </c>
      <c r="W80" s="124">
        <f t="shared" si="291"/>
        <v>0.37783861773334743</v>
      </c>
      <c r="X80" s="124">
        <f t="shared" si="291"/>
        <v>0.44281645521421931</v>
      </c>
      <c r="Y80" s="124">
        <f t="shared" si="291"/>
        <v>0.49856787230926936</v>
      </c>
      <c r="Z80" s="997">
        <f t="shared" si="291"/>
        <v>0.42880511673786137</v>
      </c>
      <c r="AA80" s="1879">
        <f t="shared" si="291"/>
        <v>0.51218572702314069</v>
      </c>
      <c r="AB80" s="124">
        <f t="shared" si="291"/>
        <v>0.49445882104276989</v>
      </c>
      <c r="AC80" s="124">
        <f t="shared" si="291"/>
        <v>0.47686586332823339</v>
      </c>
      <c r="AD80" s="124">
        <f t="shared" si="291"/>
        <v>0.47502864754503615</v>
      </c>
      <c r="AE80" s="997">
        <f t="shared" si="291"/>
        <v>0.48735084145861191</v>
      </c>
      <c r="AF80" s="1879">
        <f t="shared" si="291"/>
        <v>0.4648684879251021</v>
      </c>
      <c r="AG80" s="124">
        <f t="shared" si="291"/>
        <v>0.45521435613707528</v>
      </c>
      <c r="AH80" s="124">
        <f t="shared" si="291"/>
        <v>0.42764068178017001</v>
      </c>
      <c r="AI80" s="124">
        <f t="shared" si="291"/>
        <v>0.41612001085929651</v>
      </c>
      <c r="AJ80" s="997">
        <f t="shared" si="291"/>
        <v>0.43787821371390728</v>
      </c>
      <c r="AK80" s="1879">
        <f t="shared" si="291"/>
        <v>0.41192410000199664</v>
      </c>
      <c r="AL80" s="124">
        <f t="shared" si="291"/>
        <v>0.40576980941705398</v>
      </c>
      <c r="AM80" s="124">
        <f t="shared" si="291"/>
        <v>0.38555690598820008</v>
      </c>
      <c r="AN80" s="123">
        <f t="shared" si="291"/>
        <v>0.37369138898230481</v>
      </c>
      <c r="AO80" s="997">
        <f t="shared" si="291"/>
        <v>0.39225502660699746</v>
      </c>
      <c r="AP80" s="1879">
        <f t="shared" si="291"/>
        <v>0.36717785157142346</v>
      </c>
      <c r="AQ80" s="124">
        <f t="shared" si="291"/>
        <v>0.34918807794968215</v>
      </c>
      <c r="AR80" s="124">
        <f t="shared" si="291"/>
        <v>0.34379587039694892</v>
      </c>
      <c r="AS80" s="123">
        <f t="shared" si="291"/>
        <v>0.33891543232935106</v>
      </c>
      <c r="AT80" s="997">
        <f t="shared" si="291"/>
        <v>0.34879726908290754</v>
      </c>
      <c r="AU80" s="1879">
        <f t="shared" si="291"/>
        <v>0.32513054750992226</v>
      </c>
      <c r="AV80" s="124">
        <f t="shared" si="291"/>
        <v>0.30840592844106024</v>
      </c>
      <c r="AW80" s="124">
        <f t="shared" si="291"/>
        <v>0.30314789192821806</v>
      </c>
      <c r="AX80" s="123">
        <f t="shared" si="291"/>
        <v>0.29704148675367981</v>
      </c>
      <c r="AY80" s="997">
        <f t="shared" si="291"/>
        <v>0.30807605222166906</v>
      </c>
      <c r="AZ80" s="1879">
        <f t="shared" si="291"/>
        <v>0.29733980275876343</v>
      </c>
      <c r="BA80" s="124">
        <f t="shared" si="291"/>
        <v>0.30482190777774776</v>
      </c>
      <c r="BB80" s="124">
        <f t="shared" si="291"/>
        <v>0.30293273960945366</v>
      </c>
      <c r="BC80" s="123">
        <f t="shared" si="291"/>
        <v>0.30625405970339342</v>
      </c>
      <c r="BD80" s="997">
        <f t="shared" si="291"/>
        <v>0.30300834698945639</v>
      </c>
      <c r="BE80" s="1879">
        <f t="shared" si="291"/>
        <v>0.30051660516605166</v>
      </c>
      <c r="BF80" s="124">
        <f t="shared" si="291"/>
        <v>0.30249266862170088</v>
      </c>
      <c r="BG80" s="124">
        <f t="shared" si="291"/>
        <v>0.30181169365907218</v>
      </c>
      <c r="BH80" s="123">
        <f t="shared" si="291"/>
        <v>0.29561611374407581</v>
      </c>
      <c r="BI80" s="997">
        <f t="shared" si="291"/>
        <v>0.29988745267896727</v>
      </c>
      <c r="BJ80" s="1879">
        <f t="shared" si="291"/>
        <v>0.28303206997084546</v>
      </c>
      <c r="BK80" s="124">
        <f t="shared" si="291"/>
        <v>0.27520496343895412</v>
      </c>
      <c r="BL80" s="124">
        <f t="shared" si="291"/>
        <v>0.26697530864197533</v>
      </c>
      <c r="BM80" s="124">
        <f t="shared" si="291"/>
        <v>0.27210884353741499</v>
      </c>
      <c r="BN80" s="997">
        <f t="shared" si="291"/>
        <v>0.27400079145231498</v>
      </c>
      <c r="BO80" s="124"/>
      <c r="BP80" s="124"/>
      <c r="BQ80" s="124"/>
      <c r="BR80" s="124"/>
      <c r="BS80" s="2255"/>
      <c r="BT80" s="124">
        <f>BT29/BT69</f>
        <v>0.27364960075152656</v>
      </c>
      <c r="BU80" s="124">
        <f>BU29/BU69</f>
        <v>0.27207223641006933</v>
      </c>
      <c r="BV80" s="124">
        <f>BV29/BV69</f>
        <v>0.27182023251778586</v>
      </c>
      <c r="BW80" s="124">
        <f>BW29/BW69</f>
        <v>0.26625339015885313</v>
      </c>
      <c r="BX80" s="997">
        <f>BX29/BX69</f>
        <v>0.27074283231972196</v>
      </c>
      <c r="BY80" s="124"/>
      <c r="BZ80" s="124"/>
      <c r="CA80" s="124"/>
      <c r="CB80" s="124"/>
      <c r="CC80" s="2255"/>
      <c r="CD80" s="2395"/>
      <c r="CE80" s="124"/>
      <c r="CF80" s="124"/>
      <c r="CG80" s="124"/>
      <c r="CH80" s="997"/>
      <c r="CI80" s="549"/>
      <c r="CJ80" s="124"/>
      <c r="CK80" s="124"/>
      <c r="CL80" s="124"/>
      <c r="CM80" s="997"/>
      <c r="CN80" s="124"/>
      <c r="CO80" s="124"/>
      <c r="CP80" s="124"/>
      <c r="CQ80" s="124"/>
      <c r="CR80" s="997"/>
      <c r="CS80" s="124"/>
      <c r="CT80" s="124"/>
      <c r="CU80" s="124"/>
      <c r="CV80" s="124"/>
      <c r="CW80" s="997"/>
      <c r="CX80" s="124"/>
      <c r="CY80" s="124"/>
      <c r="CZ80" s="124"/>
      <c r="DA80" s="124"/>
      <c r="DB80" s="997">
        <f>DB29/DB69</f>
        <v>0.15891028821433403</v>
      </c>
      <c r="DC80" s="124"/>
      <c r="DD80" s="124"/>
      <c r="DE80" s="124"/>
      <c r="DF80" s="124">
        <f t="shared" ref="DF80:DV80" si="292">DF29/DF69</f>
        <v>0.14240248497810368</v>
      </c>
      <c r="DG80" s="997">
        <f t="shared" si="292"/>
        <v>0.14625161709996418</v>
      </c>
      <c r="DH80" s="124">
        <f t="shared" si="292"/>
        <v>0.13800599906436611</v>
      </c>
      <c r="DI80" s="124">
        <f t="shared" si="292"/>
        <v>0.13478327855382088</v>
      </c>
      <c r="DJ80" s="124">
        <f t="shared" si="292"/>
        <v>0.12965752240796069</v>
      </c>
      <c r="DK80" s="124">
        <f t="shared" si="292"/>
        <v>0.13091698317959849</v>
      </c>
      <c r="DL80" s="997">
        <f t="shared" si="292"/>
        <v>0.133123683251265</v>
      </c>
      <c r="DM80" s="124">
        <f t="shared" si="292"/>
        <v>0.12689812677664666</v>
      </c>
      <c r="DN80" s="124">
        <f t="shared" si="292"/>
        <v>0.12366503903700028</v>
      </c>
      <c r="DO80" s="124">
        <f t="shared" si="292"/>
        <v>0.12388192233556407</v>
      </c>
      <c r="DP80" s="124">
        <f t="shared" si="292"/>
        <v>0.13025062392351225</v>
      </c>
      <c r="DQ80" s="997">
        <f t="shared" si="292"/>
        <v>0.12650183260558712</v>
      </c>
      <c r="DR80" s="124">
        <f t="shared" si="292"/>
        <v>0.12293451928987237</v>
      </c>
      <c r="DS80" s="124">
        <f t="shared" si="292"/>
        <v>0.12276987718164188</v>
      </c>
      <c r="DT80" s="124">
        <f>DT29/DT69</f>
        <v>0.12283853926717651</v>
      </c>
      <c r="DU80" s="124">
        <f t="shared" si="292"/>
        <v>0.1235313640889479</v>
      </c>
      <c r="DV80" s="997">
        <f t="shared" si="292"/>
        <v>0.12304521477893315</v>
      </c>
      <c r="DW80" s="124">
        <f t="shared" ref="DW80:EF80" si="293">DW29/DW69</f>
        <v>0.12018644042875418</v>
      </c>
      <c r="DX80" s="124">
        <f t="shared" si="293"/>
        <v>0.11851905001076272</v>
      </c>
      <c r="DY80" s="124">
        <f t="shared" si="293"/>
        <v>0.11393504313089793</v>
      </c>
      <c r="DZ80" s="124">
        <f t="shared" si="293"/>
        <v>0.11144277298548286</v>
      </c>
      <c r="EA80" s="997">
        <f t="shared" si="293"/>
        <v>0.11589755193822568</v>
      </c>
      <c r="EB80" s="124">
        <f t="shared" si="293"/>
        <v>0.10741255534698439</v>
      </c>
      <c r="EC80" s="124">
        <f>EC29/EC69</f>
        <v>0.10522224009436491</v>
      </c>
      <c r="ED80" s="124">
        <f t="shared" si="293"/>
        <v>9.9996088300105618E-2</v>
      </c>
      <c r="EE80" s="124">
        <f t="shared" si="293"/>
        <v>9.6130228247016572E-2</v>
      </c>
      <c r="EF80" s="997">
        <f t="shared" si="293"/>
        <v>0.10186275594188565</v>
      </c>
      <c r="EG80" s="124">
        <f t="shared" ref="EG80" si="294">EG29/EG69</f>
        <v>9.2042364568718255E-2</v>
      </c>
      <c r="EH80" s="124">
        <f>EH29/EH69</f>
        <v>8.784310023365037E-2</v>
      </c>
      <c r="EI80" s="124">
        <f t="shared" ref="EI80:EJ80" si="295">EI29/EI69</f>
        <v>8.5512303439525081E-2</v>
      </c>
      <c r="EJ80" s="124">
        <f t="shared" si="295"/>
        <v>8.2451357430884539E-2</v>
      </c>
      <c r="EK80" s="997">
        <f>EK29/EK69</f>
        <v>8.673553931512093E-2</v>
      </c>
      <c r="EL80" s="124">
        <f t="shared" ref="EL80" si="296">EL29/EL69</f>
        <v>8.0413148037325174E-2</v>
      </c>
      <c r="EM80" s="124">
        <f>EM29/EM69</f>
        <v>7.626415563944082E-2</v>
      </c>
      <c r="EN80" s="124">
        <f t="shared" ref="EN80" si="297">EN29/EN69</f>
        <v>7.1854298165047972E-2</v>
      </c>
      <c r="EO80" s="124">
        <f t="shared" ref="EO80" si="298">EO29/EO69</f>
        <v>6.9341081953673181E-2</v>
      </c>
      <c r="EP80" s="997">
        <f>EP29/EP69</f>
        <v>7.4135728197397499E-2</v>
      </c>
      <c r="EQ80" s="124">
        <f t="shared" ref="EQ80:ET80" si="299">EQ29/EQ69</f>
        <v>6.8979838950603611E-2</v>
      </c>
      <c r="ER80" s="124">
        <f t="shared" si="299"/>
        <v>6.4369482006489412E-2</v>
      </c>
      <c r="ES80" s="124">
        <f t="shared" si="299"/>
        <v>6.0262971760487546E-2</v>
      </c>
      <c r="ET80" s="124">
        <f t="shared" si="299"/>
        <v>5.8340847684804874E-2</v>
      </c>
      <c r="EU80" s="997">
        <f>EU29/EU69</f>
        <v>6.269404397052987E-2</v>
      </c>
      <c r="EV80" s="2255">
        <f>EV29/EV69</f>
        <v>5.4765746738704324E-2</v>
      </c>
      <c r="EW80" s="2255">
        <f>EW29/EW69</f>
        <v>4.867002511103103E-2</v>
      </c>
      <c r="EX80" s="2255">
        <f>EX29/EX69</f>
        <v>4.4013194800004755E-2</v>
      </c>
      <c r="EY80" s="2255">
        <f>EY29/EY69</f>
        <v>4.0238068895316892E-2</v>
      </c>
      <c r="EZ80" s="176"/>
      <c r="FA80" s="1102"/>
      <c r="FB80" s="1102"/>
    </row>
    <row r="81" spans="1:158" s="168" customFormat="1" ht="11.25" customHeight="1">
      <c r="A81" s="3555" t="str">
        <f>A36</f>
        <v>Google advertising</v>
      </c>
      <c r="B81" s="3013"/>
      <c r="C81" s="3013"/>
      <c r="D81" s="3013"/>
      <c r="E81" s="3013"/>
      <c r="F81" s="5593"/>
      <c r="G81" s="3013"/>
      <c r="H81" s="3013"/>
      <c r="I81" s="3013"/>
      <c r="J81" s="3013"/>
      <c r="K81" s="3014"/>
      <c r="L81" s="3013"/>
      <c r="M81" s="3013"/>
      <c r="N81" s="3013"/>
      <c r="O81" s="3045"/>
      <c r="P81" s="3017">
        <f>P36/P69</f>
        <v>0.77444287598639294</v>
      </c>
      <c r="Q81" s="3018">
        <f>SUM(Q80:Q80)</f>
        <v>0</v>
      </c>
      <c r="R81" s="3015">
        <f>SUM(R80:R80)</f>
        <v>0.19000000000000003</v>
      </c>
      <c r="S81" s="3015">
        <f>SUM(S80:S80)</f>
        <v>0.24000000000000005</v>
      </c>
      <c r="T81" s="3015">
        <f>SUM(T80:T80)</f>
        <v>0.3066790661536577</v>
      </c>
      <c r="U81" s="3017">
        <f>U36/U69</f>
        <v>0.93494316371943165</v>
      </c>
      <c r="V81" s="3018">
        <f t="shared" ref="V81:BN81" si="300">SUM(V80:V80)</f>
        <v>0.32667787529462872</v>
      </c>
      <c r="W81" s="3015">
        <f t="shared" si="300"/>
        <v>0.37783861773334743</v>
      </c>
      <c r="X81" s="3015">
        <f t="shared" si="300"/>
        <v>0.44281645521421931</v>
      </c>
      <c r="Y81" s="3015">
        <f t="shared" si="300"/>
        <v>0.49856787230926936</v>
      </c>
      <c r="Z81" s="3017">
        <f t="shared" si="300"/>
        <v>0.42880511673786137</v>
      </c>
      <c r="AA81" s="3018">
        <f t="shared" si="300"/>
        <v>0.51218572702314069</v>
      </c>
      <c r="AB81" s="3015">
        <f t="shared" si="300"/>
        <v>0.49445882104276989</v>
      </c>
      <c r="AC81" s="3015">
        <f t="shared" si="300"/>
        <v>0.47686586332823339</v>
      </c>
      <c r="AD81" s="3015">
        <f t="shared" si="300"/>
        <v>0.47502864754503615</v>
      </c>
      <c r="AE81" s="3017">
        <f t="shared" si="300"/>
        <v>0.48735084145861191</v>
      </c>
      <c r="AF81" s="3018">
        <f t="shared" si="300"/>
        <v>0.4648684879251021</v>
      </c>
      <c r="AG81" s="3015">
        <f t="shared" si="300"/>
        <v>0.45521435613707528</v>
      </c>
      <c r="AH81" s="3015">
        <f t="shared" si="300"/>
        <v>0.42764068178017001</v>
      </c>
      <c r="AI81" s="3015">
        <f t="shared" si="300"/>
        <v>0.41612001085929651</v>
      </c>
      <c r="AJ81" s="3017">
        <f t="shared" si="300"/>
        <v>0.43787821371390728</v>
      </c>
      <c r="AK81" s="3018">
        <f t="shared" si="300"/>
        <v>0.41192410000199664</v>
      </c>
      <c r="AL81" s="3015">
        <f t="shared" si="300"/>
        <v>0.40576980941705398</v>
      </c>
      <c r="AM81" s="3015">
        <f t="shared" si="300"/>
        <v>0.38555690598820008</v>
      </c>
      <c r="AN81" s="3016">
        <f t="shared" si="300"/>
        <v>0.37369138898230481</v>
      </c>
      <c r="AO81" s="3017">
        <f t="shared" si="300"/>
        <v>0.39225502660699746</v>
      </c>
      <c r="AP81" s="3018">
        <f t="shared" si="300"/>
        <v>0.36717785157142346</v>
      </c>
      <c r="AQ81" s="3015">
        <f t="shared" si="300"/>
        <v>0.34918807794968215</v>
      </c>
      <c r="AR81" s="3015">
        <f t="shared" si="300"/>
        <v>0.34379587039694892</v>
      </c>
      <c r="AS81" s="3016">
        <f t="shared" si="300"/>
        <v>0.33891543232935106</v>
      </c>
      <c r="AT81" s="3017">
        <f t="shared" si="300"/>
        <v>0.34879726908290754</v>
      </c>
      <c r="AU81" s="3018">
        <f t="shared" si="300"/>
        <v>0.32513054750992226</v>
      </c>
      <c r="AV81" s="3015">
        <f t="shared" si="300"/>
        <v>0.30840592844106024</v>
      </c>
      <c r="AW81" s="3015">
        <f t="shared" si="300"/>
        <v>0.30314789192821806</v>
      </c>
      <c r="AX81" s="3016">
        <f t="shared" si="300"/>
        <v>0.29704148675367981</v>
      </c>
      <c r="AY81" s="3017">
        <f t="shared" si="300"/>
        <v>0.30807605222166906</v>
      </c>
      <c r="AZ81" s="3018">
        <f t="shared" si="300"/>
        <v>0.29733980275876343</v>
      </c>
      <c r="BA81" s="3015">
        <f t="shared" si="300"/>
        <v>0.30482190777774776</v>
      </c>
      <c r="BB81" s="3015">
        <f t="shared" si="300"/>
        <v>0.30293273960945366</v>
      </c>
      <c r="BC81" s="3016">
        <f t="shared" si="300"/>
        <v>0.30625405970339342</v>
      </c>
      <c r="BD81" s="3017">
        <f t="shared" si="300"/>
        <v>0.30300834698945639</v>
      </c>
      <c r="BE81" s="3018">
        <f t="shared" si="300"/>
        <v>0.30051660516605166</v>
      </c>
      <c r="BF81" s="3015">
        <f t="shared" si="300"/>
        <v>0.30249266862170088</v>
      </c>
      <c r="BG81" s="3015">
        <f t="shared" si="300"/>
        <v>0.30181169365907218</v>
      </c>
      <c r="BH81" s="3016">
        <f t="shared" si="300"/>
        <v>0.29561611374407581</v>
      </c>
      <c r="BI81" s="3017">
        <f t="shared" si="300"/>
        <v>0.29988745267896727</v>
      </c>
      <c r="BJ81" s="3018">
        <f t="shared" si="300"/>
        <v>0.28303206997084546</v>
      </c>
      <c r="BK81" s="3015">
        <f t="shared" si="300"/>
        <v>0.27520496343895412</v>
      </c>
      <c r="BL81" s="3015">
        <f t="shared" si="300"/>
        <v>0.26697530864197533</v>
      </c>
      <c r="BM81" s="3015">
        <f t="shared" si="300"/>
        <v>0.27210884353741499</v>
      </c>
      <c r="BN81" s="3017">
        <f t="shared" si="300"/>
        <v>0.27400079145231498</v>
      </c>
      <c r="BO81" s="3015"/>
      <c r="BP81" s="3015"/>
      <c r="BQ81" s="3015"/>
      <c r="BR81" s="3015"/>
      <c r="BS81" s="3019"/>
      <c r="BT81" s="3015">
        <f>SUM(BT80:BT80)</f>
        <v>0.27364960075152656</v>
      </c>
      <c r="BU81" s="3015">
        <f>SUM(BU80:BU80)</f>
        <v>0.27207223641006933</v>
      </c>
      <c r="BV81" s="3015">
        <f>SUM(BV80:BV80)</f>
        <v>0.27182023251778586</v>
      </c>
      <c r="BW81" s="3015">
        <f>SUM(BW80:BW80)</f>
        <v>0.26625339015885313</v>
      </c>
      <c r="BX81" s="3017">
        <f>SUM(BX80:BX80)</f>
        <v>0.27074283231972196</v>
      </c>
      <c r="BY81" s="3015"/>
      <c r="BZ81" s="3015"/>
      <c r="CA81" s="3015"/>
      <c r="CB81" s="3015"/>
      <c r="CC81" s="3019"/>
      <c r="CD81" s="3020"/>
      <c r="CE81" s="3015"/>
      <c r="CF81" s="3015"/>
      <c r="CG81" s="3015"/>
      <c r="CH81" s="3017"/>
      <c r="CI81" s="3072"/>
      <c r="CJ81" s="3015"/>
      <c r="CK81" s="3015"/>
      <c r="CL81" s="3015"/>
      <c r="CM81" s="3017"/>
      <c r="CN81" s="3015"/>
      <c r="CO81" s="3015"/>
      <c r="CP81" s="3015"/>
      <c r="CQ81" s="3015"/>
      <c r="CR81" s="3017"/>
      <c r="CS81" s="3015"/>
      <c r="CT81" s="3015"/>
      <c r="CU81" s="3015"/>
      <c r="CV81" s="3015"/>
      <c r="CW81" s="3017"/>
      <c r="CX81" s="3015"/>
      <c r="CY81" s="3015"/>
      <c r="CZ81" s="3015"/>
      <c r="DA81" s="3015"/>
      <c r="DB81" s="3017">
        <f>SUM(DB517,DB80)</f>
        <v>0.86218032565062475</v>
      </c>
      <c r="DC81" s="3015"/>
      <c r="DD81" s="3015"/>
      <c r="DE81" s="3015"/>
      <c r="DF81" s="3015">
        <f t="shared" ref="DF81:DV81" si="301">SUM(DF78,DF79,DF80)</f>
        <v>0.82793563499338019</v>
      </c>
      <c r="DG81" s="3017">
        <f t="shared" si="301"/>
        <v>0.85120487651568855</v>
      </c>
      <c r="DH81" s="3015">
        <f t="shared" si="301"/>
        <v>0.84171276039516774</v>
      </c>
      <c r="DI81" s="3015">
        <f t="shared" si="301"/>
        <v>0.83437756778964667</v>
      </c>
      <c r="DJ81" s="3015">
        <f t="shared" si="301"/>
        <v>0.83448974048741942</v>
      </c>
      <c r="DK81" s="3015">
        <f t="shared" si="301"/>
        <v>0.82330982094411276</v>
      </c>
      <c r="DL81" s="3017">
        <f t="shared" si="301"/>
        <v>0.83290188252593333</v>
      </c>
      <c r="DM81" s="3015">
        <f t="shared" si="301"/>
        <v>0.82030661580699238</v>
      </c>
      <c r="DN81" s="3015">
        <f t="shared" si="301"/>
        <v>0.7798783194506097</v>
      </c>
      <c r="DO81" s="3015">
        <f t="shared" si="301"/>
        <v>0.80339159248911696</v>
      </c>
      <c r="DP81" s="3015">
        <f t="shared" si="301"/>
        <v>0.81196175612499566</v>
      </c>
      <c r="DQ81" s="3017">
        <f t="shared" si="301"/>
        <v>0.80494392610408327</v>
      </c>
      <c r="DR81" s="3015">
        <f t="shared" si="301"/>
        <v>0.80782442058068482</v>
      </c>
      <c r="DS81" s="3015">
        <f t="shared" si="301"/>
        <v>0.81519069166128</v>
      </c>
      <c r="DT81" s="3015">
        <f>SUM(DT78,DT79,DT80)</f>
        <v>0.81590343683774058</v>
      </c>
      <c r="DU81" s="3015">
        <f t="shared" si="301"/>
        <v>0.81299701294390969</v>
      </c>
      <c r="DV81" s="3017">
        <f t="shared" si="301"/>
        <v>0.81314795623299441</v>
      </c>
      <c r="DW81" s="3015">
        <f t="shared" ref="DW81:EF81" si="302">SUM(DW78,DW79,DW80)</f>
        <v>0.80370822366970041</v>
      </c>
      <c r="DX81" s="3015">
        <f t="shared" si="302"/>
        <v>0.80774915692042759</v>
      </c>
      <c r="DY81" s="3015">
        <f t="shared" si="302"/>
        <v>0.78854281248190827</v>
      </c>
      <c r="DZ81" s="3015">
        <f t="shared" si="302"/>
        <v>0.77637807700399752</v>
      </c>
      <c r="EA81" s="3017">
        <f t="shared" si="302"/>
        <v>0.79365073752987603</v>
      </c>
      <c r="EB81" s="3015">
        <f t="shared" si="302"/>
        <v>0.78163554816799685</v>
      </c>
      <c r="EC81" s="3015">
        <f>SUM(EC78,EC79,EC80)</f>
        <v>0.779354994370275</v>
      </c>
      <c r="ED81" s="3015">
        <f t="shared" si="302"/>
        <v>0.77773721200109525</v>
      </c>
      <c r="EE81" s="3015">
        <f t="shared" si="302"/>
        <v>0.75908932916232186</v>
      </c>
      <c r="EF81" s="3017">
        <f t="shared" si="302"/>
        <v>0.7737789286713469</v>
      </c>
      <c r="EG81" s="3015">
        <f t="shared" ref="EG81" si="303">SUM(EG78,EG79,EG80)</f>
        <v>0.76557940873365704</v>
      </c>
      <c r="EH81" s="3015">
        <f>SUM(EH78,EH79,EH80)</f>
        <v>0.76250265511788728</v>
      </c>
      <c r="EI81" s="3015">
        <f t="shared" ref="EI81:EJ81" si="304">SUM(EI78,EI79,EI80)</f>
        <v>0.74606879050165409</v>
      </c>
      <c r="EJ81" s="3015">
        <f t="shared" si="304"/>
        <v>0.75113248815681721</v>
      </c>
      <c r="EK81" s="3017">
        <f>SUM(EK78,EK79,EK80)</f>
        <v>0.75593255204018073</v>
      </c>
      <c r="EL81" s="3015">
        <f t="shared" ref="EL81" si="305">SUM(EL78,EL79,EL80)</f>
        <v>0.74123944411197551</v>
      </c>
      <c r="EM81" s="3015">
        <f>SUM(EM78,EM79,EM80)</f>
        <v>0.73982660637988962</v>
      </c>
      <c r="EN81" s="3015">
        <f t="shared" ref="EN81" si="306">SUM(EN78,EN79,EN80)</f>
        <v>0.72481582084302276</v>
      </c>
      <c r="EO81" s="3015">
        <f t="shared" ref="EO81" si="307">SUM(EO78,EO79,EO80)</f>
        <v>0.72688576883405331</v>
      </c>
      <c r="EP81" s="3017">
        <f>SUM(EP78,EP79,EP80)</f>
        <v>0.73269554463341224</v>
      </c>
      <c r="EQ81" s="3015">
        <f t="shared" ref="EQ81:ET81" si="308">SUM(EQ78,EQ79,EQ80)</f>
        <v>0.72015488113881321</v>
      </c>
      <c r="ER81" s="3015">
        <f t="shared" si="308"/>
        <v>0.70861797329148613</v>
      </c>
      <c r="ES81" s="3015">
        <f t="shared" si="308"/>
        <v>0.68783917755876656</v>
      </c>
      <c r="ET81" s="3015">
        <f t="shared" si="308"/>
        <v>0.69006638348759841</v>
      </c>
      <c r="EU81" s="3017">
        <f>SUM(EU78,EU79,EU80)</f>
        <v>0.7007934727405043</v>
      </c>
      <c r="EV81" s="3017">
        <f>SUM(EV78,EV79,EV80)</f>
        <v>0.67498765423770801</v>
      </c>
      <c r="EW81" s="3017">
        <f>SUM(EW78,EW79,EW80)</f>
        <v>0.6533589962409232</v>
      </c>
      <c r="EX81" s="3017">
        <f>SUM(EX78,EX79,EX80)</f>
        <v>0.63546152616952167</v>
      </c>
      <c r="EY81" s="3017">
        <f>SUM(EY78,EY79,EY80)</f>
        <v>0.61948147496537909</v>
      </c>
      <c r="EZ81" s="167"/>
      <c r="FA81" s="1104"/>
      <c r="FB81" s="1104"/>
    </row>
    <row r="82" spans="1:158" s="168" customFormat="1" ht="11.25" customHeight="1">
      <c r="A82" s="3562" t="str">
        <f>A43</f>
        <v>Google subscriptions, platforms, and devices</v>
      </c>
      <c r="B82" s="2609"/>
      <c r="C82" s="2609"/>
      <c r="D82" s="2609"/>
      <c r="E82" s="2609"/>
      <c r="F82" s="5615"/>
      <c r="G82" s="2609"/>
      <c r="H82" s="2609"/>
      <c r="I82" s="2609"/>
      <c r="J82" s="2609"/>
      <c r="K82" s="2306"/>
      <c r="L82" s="2609"/>
      <c r="M82" s="2609"/>
      <c r="N82" s="2609"/>
      <c r="O82" s="2610"/>
      <c r="P82" s="2307"/>
      <c r="Q82" s="1857"/>
      <c r="R82" s="189"/>
      <c r="S82" s="189"/>
      <c r="T82" s="189"/>
      <c r="U82" s="2307"/>
      <c r="V82" s="1857"/>
      <c r="W82" s="189"/>
      <c r="X82" s="189"/>
      <c r="Y82" s="189"/>
      <c r="Z82" s="2307"/>
      <c r="AA82" s="1857"/>
      <c r="AB82" s="189"/>
      <c r="AC82" s="189"/>
      <c r="AD82" s="189"/>
      <c r="AE82" s="2307"/>
      <c r="AF82" s="1857"/>
      <c r="AG82" s="189"/>
      <c r="AH82" s="189"/>
      <c r="AI82" s="189"/>
      <c r="AJ82" s="2307"/>
      <c r="AK82" s="1857"/>
      <c r="AL82" s="189"/>
      <c r="AM82" s="189"/>
      <c r="AN82" s="2309"/>
      <c r="AO82" s="2307"/>
      <c r="AP82" s="1857"/>
      <c r="AQ82" s="189"/>
      <c r="AR82" s="189"/>
      <c r="AS82" s="2309"/>
      <c r="AT82" s="2307"/>
      <c r="AU82" s="1857"/>
      <c r="AV82" s="189"/>
      <c r="AW82" s="189"/>
      <c r="AX82" s="2309"/>
      <c r="AY82" s="2307"/>
      <c r="AZ82" s="1857"/>
      <c r="BA82" s="189"/>
      <c r="BB82" s="189"/>
      <c r="BC82" s="2309"/>
      <c r="BD82" s="2307"/>
      <c r="BE82" s="1857"/>
      <c r="BF82" s="189"/>
      <c r="BG82" s="189"/>
      <c r="BH82" s="2309"/>
      <c r="BI82" s="2307"/>
      <c r="BJ82" s="1857"/>
      <c r="BK82" s="189"/>
      <c r="BL82" s="189"/>
      <c r="BM82" s="189"/>
      <c r="BN82" s="2307"/>
      <c r="BO82" s="189"/>
      <c r="BP82" s="189"/>
      <c r="BQ82" s="189"/>
      <c r="BR82" s="189"/>
      <c r="BS82" s="2307"/>
      <c r="BT82" s="189"/>
      <c r="BU82" s="189"/>
      <c r="BV82" s="189"/>
      <c r="BW82" s="189"/>
      <c r="BX82" s="2307"/>
      <c r="BY82" s="189"/>
      <c r="BZ82" s="189"/>
      <c r="CA82" s="189"/>
      <c r="CB82" s="189"/>
      <c r="CC82" s="2307"/>
      <c r="CD82" s="2315"/>
      <c r="CE82" s="189"/>
      <c r="CF82" s="189"/>
      <c r="CG82" s="189"/>
      <c r="CH82" s="2307"/>
      <c r="CI82" s="2311"/>
      <c r="CJ82" s="189"/>
      <c r="CK82" s="189"/>
      <c r="CL82" s="189"/>
      <c r="CM82" s="2307"/>
      <c r="CN82" s="189"/>
      <c r="CO82" s="189"/>
      <c r="CP82" s="189"/>
      <c r="CQ82" s="189"/>
      <c r="CR82" s="2307"/>
      <c r="CS82" s="189"/>
      <c r="CT82" s="189"/>
      <c r="CU82" s="189"/>
      <c r="CV82" s="189"/>
      <c r="CW82" s="2307"/>
      <c r="CX82" s="189"/>
      <c r="CY82" s="189"/>
      <c r="CZ82" s="189"/>
      <c r="DA82" s="189"/>
      <c r="DB82" s="2307">
        <f>DB43/DB69</f>
        <v>9.8452934012899729E-2</v>
      </c>
      <c r="DC82" s="189"/>
      <c r="DD82" s="189"/>
      <c r="DE82" s="189"/>
      <c r="DF82" s="189">
        <f t="shared" ref="DF82:DK82" si="309">DF43/DF69</f>
        <v>0.12147367349017212</v>
      </c>
      <c r="DG82" s="2307">
        <f t="shared" si="309"/>
        <v>0.10278543184791586</v>
      </c>
      <c r="DH82" s="189">
        <f t="shared" si="309"/>
        <v>9.9617490850050908E-2</v>
      </c>
      <c r="DI82" s="189">
        <f t="shared" si="309"/>
        <v>0.1047658175842235</v>
      </c>
      <c r="DJ82" s="189">
        <f t="shared" si="309"/>
        <v>0.10000246919677029</v>
      </c>
      <c r="DK82" s="189">
        <f t="shared" si="309"/>
        <v>0.11424850786760717</v>
      </c>
      <c r="DL82" s="2307">
        <f t="shared" ref="DL82:DV82" si="310">DL43/DL69</f>
        <v>0.10511748024490754</v>
      </c>
      <c r="DM82" s="189">
        <f t="shared" si="310"/>
        <v>0.10775286085667776</v>
      </c>
      <c r="DN82" s="189">
        <f t="shared" si="310"/>
        <v>0.13379638091756535</v>
      </c>
      <c r="DO82" s="189">
        <f t="shared" si="310"/>
        <v>0.11864076408290559</v>
      </c>
      <c r="DP82" s="189">
        <f t="shared" si="310"/>
        <v>0.11729762030299835</v>
      </c>
      <c r="DQ82" s="2307">
        <f t="shared" si="310"/>
        <v>0.11894678595495461</v>
      </c>
      <c r="DR82" s="189">
        <f t="shared" si="310"/>
        <v>0.11740246592182811</v>
      </c>
      <c r="DS82" s="189">
        <f t="shared" si="310"/>
        <v>0.10702973497091144</v>
      </c>
      <c r="DT82" s="189">
        <f t="shared" si="310"/>
        <v>0.10371940170152646</v>
      </c>
      <c r="DU82" s="189">
        <f t="shared" si="310"/>
        <v>0.10834384334550282</v>
      </c>
      <c r="DV82" s="2307">
        <f t="shared" si="310"/>
        <v>0.1088042478370731</v>
      </c>
      <c r="DW82" s="189">
        <f t="shared" ref="DW82:EF82" si="311">DW43/DW69</f>
        <v>0.10014556468806517</v>
      </c>
      <c r="DX82" s="189">
        <f t="shared" si="311"/>
        <v>9.4037454258448727E-2</v>
      </c>
      <c r="DY82" s="189">
        <f t="shared" si="311"/>
        <v>9.9794476929311648E-2</v>
      </c>
      <c r="DZ82" s="189">
        <f t="shared" si="311"/>
        <v>0.11566379128971176</v>
      </c>
      <c r="EA82" s="2307">
        <f t="shared" si="311"/>
        <v>0.10272737558160913</v>
      </c>
      <c r="EB82" s="189">
        <f t="shared" si="311"/>
        <v>0.10622322209007408</v>
      </c>
      <c r="EC82" s="189">
        <f>EC43/EC69</f>
        <v>0.10913623934373493</v>
      </c>
      <c r="ED82" s="189">
        <f t="shared" si="311"/>
        <v>0.10873221806423011</v>
      </c>
      <c r="EE82" s="189">
        <f t="shared" si="311"/>
        <v>0.12506082725060827</v>
      </c>
      <c r="EF82" s="2307">
        <f t="shared" si="311"/>
        <v>0.11284540361880843</v>
      </c>
      <c r="EG82" s="189">
        <f t="shared" ref="EG82" si="312">EG43/EG69</f>
        <v>0.10850643787481841</v>
      </c>
      <c r="EH82" s="189">
        <f t="shared" ref="EH82:EW82" si="313">EH43/EH69</f>
        <v>0.10988647895966581</v>
      </c>
      <c r="EI82" s="189">
        <f t="shared" si="313"/>
        <v>0.12072325191462364</v>
      </c>
      <c r="EJ82" s="189">
        <f t="shared" si="313"/>
        <v>0.12058796089935626</v>
      </c>
      <c r="EK82" s="2307">
        <f t="shared" si="313"/>
        <v>0.11525121565176648</v>
      </c>
      <c r="EL82" s="189">
        <f t="shared" si="313"/>
        <v>0.11502316200101957</v>
      </c>
      <c r="EM82" s="189">
        <f t="shared" ref="EM82:EN82" si="314">EM43/EM69</f>
        <v>0.11617994773302361</v>
      </c>
      <c r="EN82" s="189">
        <f t="shared" si="314"/>
        <v>0.1257499071776132</v>
      </c>
      <c r="EO82" s="189">
        <f t="shared" ref="EO82:EP82" si="315">EO43/EO69</f>
        <v>0.12441478184831145</v>
      </c>
      <c r="EP82" s="2307">
        <f t="shared" si="315"/>
        <v>0.12066437432925112</v>
      </c>
      <c r="EQ82" s="189">
        <f t="shared" ref="EQ82:EU82" si="316">EQ43/EQ69</f>
        <v>0.1157849676465588</v>
      </c>
      <c r="ER82" s="189">
        <f t="shared" si="316"/>
        <v>0.11607070926632916</v>
      </c>
      <c r="ES82" s="189">
        <f t="shared" si="316"/>
        <v>0.12483529135978623</v>
      </c>
      <c r="ET82" s="189">
        <f t="shared" si="316"/>
        <v>0.12283605729116849</v>
      </c>
      <c r="EU82" s="2307">
        <f t="shared" si="316"/>
        <v>0.12011583039373099</v>
      </c>
      <c r="EV82" s="2307">
        <f t="shared" si="313"/>
        <v>0.1187041235232042</v>
      </c>
      <c r="EW82" s="2307">
        <f t="shared" si="313"/>
        <v>0.11662400907486181</v>
      </c>
      <c r="EX82" s="2307">
        <f t="shared" ref="EX82:EY82" si="317">EX43/EX69</f>
        <v>0.11495709705686112</v>
      </c>
      <c r="EY82" s="2307">
        <f t="shared" si="317"/>
        <v>0.11241711268221465</v>
      </c>
      <c r="EZ82" s="167"/>
      <c r="FA82" s="1104"/>
      <c r="FB82" s="1104"/>
    </row>
    <row r="83" spans="1:158" s="168" customFormat="1" ht="11.25" customHeight="1">
      <c r="A83" s="4474" t="str">
        <f>A50</f>
        <v>Google Services total</v>
      </c>
      <c r="B83" s="3013"/>
      <c r="C83" s="3013"/>
      <c r="D83" s="3013"/>
      <c r="E83" s="3013"/>
      <c r="F83" s="5593"/>
      <c r="G83" s="3013"/>
      <c r="H83" s="3013"/>
      <c r="I83" s="3013"/>
      <c r="J83" s="3013"/>
      <c r="K83" s="3062"/>
      <c r="L83" s="3013"/>
      <c r="M83" s="3013"/>
      <c r="N83" s="3013"/>
      <c r="O83" s="3045"/>
      <c r="P83" s="3073"/>
      <c r="Q83" s="3018"/>
      <c r="R83" s="3015"/>
      <c r="S83" s="3015"/>
      <c r="T83" s="3015"/>
      <c r="U83" s="3073"/>
      <c r="V83" s="3018"/>
      <c r="W83" s="3015"/>
      <c r="X83" s="3015"/>
      <c r="Y83" s="3015"/>
      <c r="Z83" s="3073"/>
      <c r="AA83" s="3018"/>
      <c r="AB83" s="3015"/>
      <c r="AC83" s="3015"/>
      <c r="AD83" s="3015"/>
      <c r="AE83" s="3073"/>
      <c r="AF83" s="3018"/>
      <c r="AG83" s="3015"/>
      <c r="AH83" s="3015"/>
      <c r="AI83" s="3015"/>
      <c r="AJ83" s="3073"/>
      <c r="AK83" s="3018"/>
      <c r="AL83" s="3015"/>
      <c r="AM83" s="3015"/>
      <c r="AN83" s="3016"/>
      <c r="AO83" s="3073"/>
      <c r="AP83" s="3018"/>
      <c r="AQ83" s="3015"/>
      <c r="AR83" s="3015"/>
      <c r="AS83" s="3016"/>
      <c r="AT83" s="3073"/>
      <c r="AU83" s="3018"/>
      <c r="AV83" s="3015"/>
      <c r="AW83" s="3015"/>
      <c r="AX83" s="3016"/>
      <c r="AY83" s="3073"/>
      <c r="AZ83" s="3018"/>
      <c r="BA83" s="3015"/>
      <c r="BB83" s="3015"/>
      <c r="BC83" s="3016"/>
      <c r="BD83" s="3073"/>
      <c r="BE83" s="3018"/>
      <c r="BF83" s="3015"/>
      <c r="BG83" s="3015"/>
      <c r="BH83" s="3016"/>
      <c r="BI83" s="3073"/>
      <c r="BJ83" s="3018"/>
      <c r="BK83" s="3015"/>
      <c r="BL83" s="3015"/>
      <c r="BM83" s="3015"/>
      <c r="BN83" s="3073"/>
      <c r="BO83" s="3015"/>
      <c r="BP83" s="3015"/>
      <c r="BQ83" s="3015"/>
      <c r="BR83" s="3015"/>
      <c r="BS83" s="3073"/>
      <c r="BT83" s="3015"/>
      <c r="BU83" s="3015"/>
      <c r="BV83" s="3015"/>
      <c r="BW83" s="3015"/>
      <c r="BX83" s="3073"/>
      <c r="BY83" s="3015"/>
      <c r="BZ83" s="3015"/>
      <c r="CA83" s="3015"/>
      <c r="CB83" s="3015"/>
      <c r="CC83" s="3073"/>
      <c r="CD83" s="3074"/>
      <c r="CE83" s="3015"/>
      <c r="CF83" s="3015"/>
      <c r="CG83" s="3015"/>
      <c r="CH83" s="3073"/>
      <c r="CI83" s="3072"/>
      <c r="CJ83" s="3015"/>
      <c r="CK83" s="3015"/>
      <c r="CL83" s="3015"/>
      <c r="CM83" s="3073"/>
      <c r="CN83" s="3015"/>
      <c r="CO83" s="3015"/>
      <c r="CP83" s="3015"/>
      <c r="CQ83" s="3015"/>
      <c r="CR83" s="3073"/>
      <c r="CS83" s="3015"/>
      <c r="CT83" s="3015"/>
      <c r="CU83" s="3015"/>
      <c r="CV83" s="3015"/>
      <c r="CW83" s="3073"/>
      <c r="CX83" s="3015"/>
      <c r="CY83" s="3015"/>
      <c r="CZ83" s="3015"/>
      <c r="DA83" s="3015"/>
      <c r="DB83" s="3073">
        <f>SUM(DB81,DB82)</f>
        <v>0.96063325966352453</v>
      </c>
      <c r="DC83" s="3015"/>
      <c r="DD83" s="3015"/>
      <c r="DE83" s="3015"/>
      <c r="DF83" s="3015">
        <f t="shared" ref="DF83:DL83" si="318">SUM(DF81,DF82)</f>
        <v>0.94940930848355232</v>
      </c>
      <c r="DG83" s="3073">
        <f t="shared" si="318"/>
        <v>0.95399030836360443</v>
      </c>
      <c r="DH83" s="3015">
        <f t="shared" si="318"/>
        <v>0.94133025124521863</v>
      </c>
      <c r="DI83" s="3015">
        <f t="shared" si="318"/>
        <v>0.93914338537387021</v>
      </c>
      <c r="DJ83" s="3015">
        <f t="shared" si="318"/>
        <v>0.93449220968418967</v>
      </c>
      <c r="DK83" s="3015">
        <f t="shared" si="318"/>
        <v>0.93755832881171997</v>
      </c>
      <c r="DL83" s="3073">
        <f t="shared" si="318"/>
        <v>0.93801936277084086</v>
      </c>
      <c r="DM83" s="3015">
        <f t="shared" ref="DM83:DV83" si="319">SUM(DM81,DM82)</f>
        <v>0.92805947666367017</v>
      </c>
      <c r="DN83" s="3015">
        <f t="shared" si="319"/>
        <v>0.91367470036817511</v>
      </c>
      <c r="DO83" s="3015">
        <f t="shared" si="319"/>
        <v>0.92203235657202254</v>
      </c>
      <c r="DP83" s="3015">
        <f t="shared" si="319"/>
        <v>0.92925937642799405</v>
      </c>
      <c r="DQ83" s="3073">
        <f t="shared" si="319"/>
        <v>0.92389071205903783</v>
      </c>
      <c r="DR83" s="3015">
        <f t="shared" si="319"/>
        <v>0.92522688650251295</v>
      </c>
      <c r="DS83" s="3015">
        <f t="shared" si="319"/>
        <v>0.92222042663219139</v>
      </c>
      <c r="DT83" s="3015">
        <f t="shared" si="319"/>
        <v>0.91962283853926707</v>
      </c>
      <c r="DU83" s="3015">
        <f t="shared" si="319"/>
        <v>0.92134085628941254</v>
      </c>
      <c r="DV83" s="3073">
        <f t="shared" si="319"/>
        <v>0.9219522040700675</v>
      </c>
      <c r="DW83" s="3015">
        <f t="shared" ref="DW83:EF83" si="320">SUM(DW81,DW82)</f>
        <v>0.90385378835776553</v>
      </c>
      <c r="DX83" s="3015">
        <f t="shared" si="320"/>
        <v>0.90178661117887637</v>
      </c>
      <c r="DY83" s="3015">
        <f t="shared" si="320"/>
        <v>0.88833728941121992</v>
      </c>
      <c r="DZ83" s="3015">
        <f t="shared" si="320"/>
        <v>0.89204186829370924</v>
      </c>
      <c r="EA83" s="3073">
        <f t="shared" si="320"/>
        <v>0.89637811311148519</v>
      </c>
      <c r="EB83" s="3015">
        <f t="shared" si="320"/>
        <v>0.88785877025807092</v>
      </c>
      <c r="EC83" s="3015">
        <f>SUM(EC81,EC82)</f>
        <v>0.88849123371400995</v>
      </c>
      <c r="ED83" s="3015">
        <f t="shared" si="320"/>
        <v>0.8864694300653253</v>
      </c>
      <c r="EE83" s="3015">
        <f t="shared" si="320"/>
        <v>0.88415015641293015</v>
      </c>
      <c r="EF83" s="3073">
        <f t="shared" si="320"/>
        <v>0.88662433229015536</v>
      </c>
      <c r="EG83" s="3015">
        <f t="shared" ref="EG83" si="321">SUM(EG81,EG82)</f>
        <v>0.87408584660847544</v>
      </c>
      <c r="EH83" s="3015">
        <f t="shared" ref="EH83:EW83" si="322">SUM(EH81,EH82)</f>
        <v>0.87238913407755314</v>
      </c>
      <c r="EI83" s="3015">
        <f t="shared" si="322"/>
        <v>0.86679204241627772</v>
      </c>
      <c r="EJ83" s="3015">
        <f t="shared" si="322"/>
        <v>0.87172044905617352</v>
      </c>
      <c r="EK83" s="3073">
        <f t="shared" si="322"/>
        <v>0.87118376769194716</v>
      </c>
      <c r="EL83" s="3015">
        <f t="shared" si="322"/>
        <v>0.85626260611299509</v>
      </c>
      <c r="EM83" s="3015">
        <f t="shared" ref="EM83:EN83" si="323">SUM(EM81,EM82)</f>
        <v>0.85600655411291326</v>
      </c>
      <c r="EN83" s="3015">
        <f t="shared" si="323"/>
        <v>0.85056572802063601</v>
      </c>
      <c r="EO83" s="3015">
        <f t="shared" ref="EO83:EP83" si="324">SUM(EO81,EO82)</f>
        <v>0.85130055068236477</v>
      </c>
      <c r="EP83" s="3073">
        <f t="shared" si="324"/>
        <v>0.85335991896266339</v>
      </c>
      <c r="EQ83" s="3015">
        <f t="shared" ref="EQ83:EU83" si="325">SUM(EQ81,EQ82)</f>
        <v>0.83593984878537198</v>
      </c>
      <c r="ER83" s="3015">
        <f t="shared" si="325"/>
        <v>0.82468868255781524</v>
      </c>
      <c r="ES83" s="3015">
        <f t="shared" si="325"/>
        <v>0.81267446891855277</v>
      </c>
      <c r="ET83" s="3015">
        <f t="shared" si="325"/>
        <v>0.81290244077876694</v>
      </c>
      <c r="EU83" s="3073">
        <f t="shared" si="325"/>
        <v>0.82090930313423527</v>
      </c>
      <c r="EV83" s="3073">
        <f t="shared" si="322"/>
        <v>0.79369177776091226</v>
      </c>
      <c r="EW83" s="3073">
        <f t="shared" si="322"/>
        <v>0.76998300531578501</v>
      </c>
      <c r="EX83" s="3073">
        <f t="shared" ref="EX83:EY83" si="326">SUM(EX81,EX82)</f>
        <v>0.75041862322638275</v>
      </c>
      <c r="EY83" s="3073">
        <f t="shared" si="326"/>
        <v>0.73189858764759375</v>
      </c>
      <c r="EZ83" s="167"/>
      <c r="FA83" s="1104"/>
      <c r="FB83" s="1104"/>
    </row>
    <row r="84" spans="1:158" s="168" customFormat="1" ht="11.25" customHeight="1">
      <c r="A84" s="4474" t="str">
        <f>A57</f>
        <v>Google Cloud</v>
      </c>
      <c r="B84" s="3013"/>
      <c r="C84" s="3013"/>
      <c r="D84" s="3013"/>
      <c r="E84" s="3013"/>
      <c r="F84" s="5593"/>
      <c r="G84" s="3013"/>
      <c r="H84" s="3013"/>
      <c r="I84" s="3013"/>
      <c r="J84" s="3013"/>
      <c r="K84" s="3014"/>
      <c r="L84" s="3013"/>
      <c r="M84" s="3013"/>
      <c r="N84" s="3013"/>
      <c r="O84" s="3045"/>
      <c r="P84" s="3017"/>
      <c r="Q84" s="3018"/>
      <c r="R84" s="3015"/>
      <c r="S84" s="3015"/>
      <c r="T84" s="3015"/>
      <c r="U84" s="3017"/>
      <c r="V84" s="3018"/>
      <c r="W84" s="3015"/>
      <c r="X84" s="3015"/>
      <c r="Y84" s="3015"/>
      <c r="Z84" s="3017"/>
      <c r="AA84" s="3018"/>
      <c r="AB84" s="3015"/>
      <c r="AC84" s="3015"/>
      <c r="AD84" s="3015"/>
      <c r="AE84" s="3017"/>
      <c r="AF84" s="3018"/>
      <c r="AG84" s="3015"/>
      <c r="AH84" s="3015"/>
      <c r="AI84" s="3015"/>
      <c r="AJ84" s="3017"/>
      <c r="AK84" s="3018"/>
      <c r="AL84" s="3015"/>
      <c r="AM84" s="3015"/>
      <c r="AN84" s="3016"/>
      <c r="AO84" s="3017"/>
      <c r="AP84" s="3018"/>
      <c r="AQ84" s="3015"/>
      <c r="AR84" s="3015"/>
      <c r="AS84" s="3016"/>
      <c r="AT84" s="3017"/>
      <c r="AU84" s="3018"/>
      <c r="AV84" s="3015"/>
      <c r="AW84" s="3015"/>
      <c r="AX84" s="3016"/>
      <c r="AY84" s="3017"/>
      <c r="AZ84" s="3018"/>
      <c r="BA84" s="3015"/>
      <c r="BB84" s="3015"/>
      <c r="BC84" s="3016"/>
      <c r="BD84" s="3017"/>
      <c r="BE84" s="3018"/>
      <c r="BF84" s="3015"/>
      <c r="BG84" s="3015"/>
      <c r="BH84" s="3016"/>
      <c r="BI84" s="3017"/>
      <c r="BJ84" s="3018"/>
      <c r="BK84" s="3015"/>
      <c r="BL84" s="3015"/>
      <c r="BM84" s="3015"/>
      <c r="BN84" s="3017"/>
      <c r="BO84" s="3015"/>
      <c r="BP84" s="3015"/>
      <c r="BQ84" s="3015"/>
      <c r="BR84" s="3015"/>
      <c r="BS84" s="3019"/>
      <c r="BT84" s="3015"/>
      <c r="BU84" s="3015"/>
      <c r="BV84" s="3015"/>
      <c r="BW84" s="3015"/>
      <c r="BX84" s="3017"/>
      <c r="BY84" s="3015"/>
      <c r="BZ84" s="3015"/>
      <c r="CA84" s="3015"/>
      <c r="CB84" s="3015"/>
      <c r="CC84" s="3019"/>
      <c r="CD84" s="3020"/>
      <c r="CE84" s="3015"/>
      <c r="CF84" s="3015"/>
      <c r="CG84" s="3015"/>
      <c r="CH84" s="3017"/>
      <c r="CI84" s="3072"/>
      <c r="CJ84" s="3015"/>
      <c r="CK84" s="3015"/>
      <c r="CL84" s="3015"/>
      <c r="CM84" s="3017"/>
      <c r="CN84" s="3015"/>
      <c r="CO84" s="3015"/>
      <c r="CP84" s="3015"/>
      <c r="CQ84" s="3015"/>
      <c r="CR84" s="3017"/>
      <c r="CS84" s="3015"/>
      <c r="CT84" s="3015"/>
      <c r="CU84" s="3015"/>
      <c r="CV84" s="3015"/>
      <c r="CW84" s="3017"/>
      <c r="CX84" s="3015"/>
      <c r="CY84" s="3015"/>
      <c r="CZ84" s="3015"/>
      <c r="DA84" s="3015"/>
      <c r="DB84" s="3017">
        <f>DB57/DB69</f>
        <v>3.6588336114744484E-2</v>
      </c>
      <c r="DC84" s="3015"/>
      <c r="DD84" s="3015"/>
      <c r="DE84" s="3015"/>
      <c r="DF84" s="3015">
        <f t="shared" ref="DF84:DK84" si="327">DF57/DF69</f>
        <v>4.3512577655565737E-2</v>
      </c>
      <c r="DG84" s="3017">
        <f t="shared" si="327"/>
        <v>4.2669512275341874E-2</v>
      </c>
      <c r="DH84" s="3015">
        <f t="shared" si="327"/>
        <v>5.0221525083243901E-2</v>
      </c>
      <c r="DI84" s="3015">
        <f t="shared" si="327"/>
        <v>5.3923582580115037E-2</v>
      </c>
      <c r="DJ84" s="3015">
        <f t="shared" si="327"/>
        <v>5.8742191165213953E-2</v>
      </c>
      <c r="DK84" s="3015">
        <f t="shared" si="327"/>
        <v>5.6733586543678785E-2</v>
      </c>
      <c r="DL84" s="3017">
        <f t="shared" ref="DL84:DV84" si="328">DL57/DL69</f>
        <v>5.5098018621375658E-2</v>
      </c>
      <c r="DM84" s="3015">
        <f t="shared" si="328"/>
        <v>6.7470055151971617E-2</v>
      </c>
      <c r="DN84" s="3015">
        <f t="shared" si="328"/>
        <v>7.8517899574379199E-2</v>
      </c>
      <c r="DO84" s="3015">
        <f t="shared" si="328"/>
        <v>7.4589045546098368E-2</v>
      </c>
      <c r="DP84" s="3015">
        <f t="shared" si="328"/>
        <v>6.7331013392386382E-2</v>
      </c>
      <c r="DQ84" s="3017">
        <f t="shared" si="328"/>
        <v>7.1545579558092778E-2</v>
      </c>
      <c r="DR84" s="3015">
        <f t="shared" si="328"/>
        <v>7.3164117583251975E-2</v>
      </c>
      <c r="DS84" s="3015">
        <f t="shared" si="328"/>
        <v>7.4789915966386553E-2</v>
      </c>
      <c r="DT84" s="3015">
        <f t="shared" si="328"/>
        <v>7.6630117632605424E-2</v>
      </c>
      <c r="DU84" s="3015">
        <f t="shared" si="328"/>
        <v>7.3561234649850649E-2</v>
      </c>
      <c r="DV84" s="3017">
        <f t="shared" si="328"/>
        <v>7.4546746003097381E-2</v>
      </c>
      <c r="DW84" s="3015">
        <f t="shared" ref="DW84:EF84" si="329">DW57/DW69</f>
        <v>8.5589095881548574E-2</v>
      </c>
      <c r="DX84" s="3015">
        <f t="shared" si="329"/>
        <v>9.0062423764081218E-2</v>
      </c>
      <c r="DY84" s="3015">
        <f t="shared" si="329"/>
        <v>9.9403693625890119E-2</v>
      </c>
      <c r="DZ84" s="3015">
        <f t="shared" si="329"/>
        <v>9.6189248895434468E-2</v>
      </c>
      <c r="EA84" s="3017">
        <f t="shared" si="329"/>
        <v>9.2916036148156522E-2</v>
      </c>
      <c r="EB84" s="3015">
        <f t="shared" si="329"/>
        <v>0.10681072406035508</v>
      </c>
      <c r="EC84" s="3015">
        <f>EC57/EC69</f>
        <v>0.10764838346469358</v>
      </c>
      <c r="ED84" s="3015">
        <f t="shared" si="329"/>
        <v>0.10967102603888229</v>
      </c>
      <c r="EE84" s="3015">
        <f t="shared" si="329"/>
        <v>0.10649982620785541</v>
      </c>
      <c r="EF84" s="3017">
        <f t="shared" si="329"/>
        <v>0.10764035732642797</v>
      </c>
      <c r="EG84" s="3015">
        <f t="shared" ref="EG84" si="330">EG57/EG69</f>
        <v>0.11887408584660848</v>
      </c>
      <c r="EH84" s="3015">
        <f t="shared" ref="EH84:EW84" si="331">EH57/EH69</f>
        <v>0.1221000212409431</v>
      </c>
      <c r="EI84" s="3015">
        <f t="shared" si="331"/>
        <v>0.12861965831331854</v>
      </c>
      <c r="EJ84" s="3015">
        <f t="shared" si="331"/>
        <v>0.12392582072997543</v>
      </c>
      <c r="EK84" s="3017">
        <f t="shared" si="331"/>
        <v>0.12350507688176036</v>
      </c>
      <c r="EL84" s="3015">
        <f t="shared" si="331"/>
        <v>0.13586896291863376</v>
      </c>
      <c r="EM84" s="3015">
        <f t="shared" ref="EM84:EN84" si="332">EM57/EM69</f>
        <v>0.14128676318081884</v>
      </c>
      <c r="EN84" s="3015">
        <f t="shared" si="332"/>
        <v>0.1480956754538526</v>
      </c>
      <c r="EO84" s="3015">
        <f t="shared" ref="EO84:EP84" si="333">EO57/EO69</f>
        <v>0.14719851901214759</v>
      </c>
      <c r="EP84" s="3017">
        <f t="shared" si="333"/>
        <v>0.14345887197437046</v>
      </c>
      <c r="EQ84" s="3015">
        <f t="shared" ref="EQ84:EU84" si="334">EQ57/EQ69</f>
        <v>0.16650118631564034</v>
      </c>
      <c r="ER84" s="3015">
        <f t="shared" si="334"/>
        <v>0.1727918651041089</v>
      </c>
      <c r="ES84" s="3015">
        <f t="shared" si="334"/>
        <v>0.18250576427685361</v>
      </c>
      <c r="ET84" s="3015">
        <f t="shared" si="334"/>
        <v>0.18324304008565168</v>
      </c>
      <c r="EU84" s="3017">
        <f t="shared" si="334"/>
        <v>0.17674153513223842</v>
      </c>
      <c r="EV84" s="3017">
        <f t="shared" si="331"/>
        <v>0.20273536351493099</v>
      </c>
      <c r="EW84" s="3017">
        <f t="shared" si="331"/>
        <v>0.22634400646941727</v>
      </c>
      <c r="EX84" s="3017">
        <f t="shared" ref="EX84:EY84" si="335">EX57/EX69</f>
        <v>0.24562443497800673</v>
      </c>
      <c r="EY84" s="3017">
        <f t="shared" si="335"/>
        <v>0.26365848372036543</v>
      </c>
      <c r="EZ84" s="167"/>
      <c r="FA84" s="1104"/>
      <c r="FB84" s="1104"/>
    </row>
    <row r="85" spans="1:158" s="168" customFormat="1" ht="11.25" customHeight="1">
      <c r="A85" s="3562" t="str">
        <f>A64</f>
        <v>Other Bets</v>
      </c>
      <c r="B85" s="2609"/>
      <c r="C85" s="165"/>
      <c r="D85" s="165"/>
      <c r="E85" s="165"/>
      <c r="F85" s="5615"/>
      <c r="G85" s="2609"/>
      <c r="H85" s="165"/>
      <c r="I85" s="165"/>
      <c r="J85" s="165"/>
      <c r="K85" s="2306"/>
      <c r="L85" s="165"/>
      <c r="M85" s="165"/>
      <c r="N85" s="165"/>
      <c r="O85" s="166"/>
      <c r="P85" s="2307"/>
      <c r="Q85" s="1857"/>
      <c r="R85" s="189"/>
      <c r="S85" s="189"/>
      <c r="T85" s="189"/>
      <c r="U85" s="2307"/>
      <c r="V85" s="1857"/>
      <c r="W85" s="189"/>
      <c r="X85" s="189"/>
      <c r="Y85" s="189"/>
      <c r="Z85" s="2307"/>
      <c r="AA85" s="1857"/>
      <c r="AB85" s="189"/>
      <c r="AC85" s="189"/>
      <c r="AD85" s="189"/>
      <c r="AE85" s="2307"/>
      <c r="AF85" s="1857"/>
      <c r="AG85" s="189"/>
      <c r="AH85" s="189"/>
      <c r="AI85" s="189"/>
      <c r="AJ85" s="2307"/>
      <c r="AK85" s="1857"/>
      <c r="AL85" s="189"/>
      <c r="AM85" s="189"/>
      <c r="AN85" s="2309"/>
      <c r="AO85" s="2307"/>
      <c r="AP85" s="1857"/>
      <c r="AQ85" s="189"/>
      <c r="AR85" s="189"/>
      <c r="AS85" s="2309"/>
      <c r="AT85" s="2307"/>
      <c r="AU85" s="1857"/>
      <c r="AV85" s="189"/>
      <c r="AW85" s="189"/>
      <c r="AX85" s="2309"/>
      <c r="AY85" s="2307"/>
      <c r="AZ85" s="1857"/>
      <c r="BA85" s="189"/>
      <c r="BB85" s="189"/>
      <c r="BC85" s="2309"/>
      <c r="BD85" s="2307"/>
      <c r="BE85" s="1857"/>
      <c r="BF85" s="189"/>
      <c r="BG85" s="189"/>
      <c r="BH85" s="2309"/>
      <c r="BI85" s="2307"/>
      <c r="BJ85" s="1857"/>
      <c r="BK85" s="189"/>
      <c r="BL85" s="189"/>
      <c r="BM85" s="189"/>
      <c r="BN85" s="2307"/>
      <c r="BO85" s="189"/>
      <c r="BP85" s="189"/>
      <c r="BQ85" s="189"/>
      <c r="BR85" s="189"/>
      <c r="BS85" s="2307"/>
      <c r="BT85" s="189"/>
      <c r="BU85" s="189"/>
      <c r="BV85" s="189"/>
      <c r="BW85" s="189"/>
      <c r="BX85" s="2307"/>
      <c r="BY85" s="189"/>
      <c r="BZ85" s="189"/>
      <c r="CA85" s="189"/>
      <c r="CB85" s="189"/>
      <c r="CC85" s="2307"/>
      <c r="CD85" s="2315"/>
      <c r="CE85" s="189"/>
      <c r="CF85" s="189"/>
      <c r="CG85" s="189"/>
      <c r="CH85" s="2307"/>
      <c r="CI85" s="2311"/>
      <c r="CJ85" s="189"/>
      <c r="CK85" s="189"/>
      <c r="CL85" s="189"/>
      <c r="CM85" s="2307"/>
      <c r="CN85" s="189"/>
      <c r="CO85" s="189"/>
      <c r="CP85" s="189"/>
      <c r="CQ85" s="189"/>
      <c r="CR85" s="2307"/>
      <c r="CS85" s="189"/>
      <c r="CT85" s="189"/>
      <c r="CU85" s="189"/>
      <c r="CV85" s="189"/>
      <c r="CW85" s="2307"/>
      <c r="CX85" s="189"/>
      <c r="CY85" s="189"/>
      <c r="CZ85" s="189"/>
      <c r="DA85" s="189"/>
      <c r="DB85" s="2307">
        <f>DB64/DB69</f>
        <v>4.3029182265121105E-3</v>
      </c>
      <c r="DC85" s="189"/>
      <c r="DD85" s="189"/>
      <c r="DE85" s="189"/>
      <c r="DF85" s="189">
        <f t="shared" ref="DF85:DK85" si="336">DF64/DF69</f>
        <v>3.9209695488338931E-3</v>
      </c>
      <c r="DG85" s="2307">
        <f t="shared" si="336"/>
        <v>4.3488112031223733E-3</v>
      </c>
      <c r="DH85" s="189">
        <f t="shared" si="336"/>
        <v>4.678169459809021E-3</v>
      </c>
      <c r="DI85" s="189">
        <f t="shared" si="336"/>
        <v>4.159819227608874E-3</v>
      </c>
      <c r="DJ85" s="189">
        <f t="shared" si="336"/>
        <v>3.8272549939504679E-3</v>
      </c>
      <c r="DK85" s="189">
        <f t="shared" si="336"/>
        <v>3.7330439500813891E-3</v>
      </c>
      <c r="DL85" s="2307">
        <f t="shared" ref="DL85:DV85" si="337">DL64/DL69</f>
        <v>4.071495208733635E-3</v>
      </c>
      <c r="DM85" s="189">
        <f t="shared" si="337"/>
        <v>3.2799630700454338E-3</v>
      </c>
      <c r="DN85" s="189">
        <f t="shared" si="337"/>
        <v>3.8645324699062588E-3</v>
      </c>
      <c r="DO85" s="189">
        <f t="shared" si="337"/>
        <v>3.8550668139388819E-3</v>
      </c>
      <c r="DP85" s="189">
        <f t="shared" si="337"/>
        <v>3.4447608000281204E-3</v>
      </c>
      <c r="DQ85" s="2307">
        <f t="shared" si="337"/>
        <v>3.5994674760446398E-3</v>
      </c>
      <c r="DR85" s="189">
        <f t="shared" si="337"/>
        <v>3.5795639440286365E-3</v>
      </c>
      <c r="DS85" s="189">
        <f t="shared" si="337"/>
        <v>3.1027795733678085E-3</v>
      </c>
      <c r="DT85" s="189">
        <f t="shared" si="337"/>
        <v>2.7949261340950273E-3</v>
      </c>
      <c r="DU85" s="189">
        <f t="shared" si="337"/>
        <v>2.4029206770660471E-3</v>
      </c>
      <c r="DV85" s="2307">
        <f t="shared" si="337"/>
        <v>2.9227168457946645E-3</v>
      </c>
      <c r="DW85" s="189">
        <f t="shared" ref="DW85:EF85" si="338">DW64/DW69</f>
        <v>6.4695416917851523E-3</v>
      </c>
      <c r="DX85" s="189">
        <f t="shared" si="338"/>
        <v>2.7696060845232118E-3</v>
      </c>
      <c r="DY85" s="189">
        <f t="shared" si="338"/>
        <v>3.0249522375962487E-3</v>
      </c>
      <c r="DZ85" s="189">
        <f t="shared" si="338"/>
        <v>2.9718072796128762E-3</v>
      </c>
      <c r="EA85" s="2307">
        <f t="shared" si="338"/>
        <v>3.7760398251990555E-3</v>
      </c>
      <c r="EB85" s="189">
        <f t="shared" si="338"/>
        <v>4.1268431083153019E-3</v>
      </c>
      <c r="EC85" s="189">
        <f>EC64/EC69</f>
        <v>3.8201705002412741E-3</v>
      </c>
      <c r="ED85" s="189">
        <f t="shared" si="338"/>
        <v>3.8725828954402617E-3</v>
      </c>
      <c r="EE85" s="189">
        <f t="shared" si="338"/>
        <v>7.6120959332638162E-3</v>
      </c>
      <c r="EF85" s="2307">
        <f t="shared" si="338"/>
        <v>4.9675660552906042E-3</v>
      </c>
      <c r="EG85" s="189">
        <f t="shared" ref="EG85" si="339">EG64/EG69</f>
        <v>6.1460907138156671E-3</v>
      </c>
      <c r="EH85" s="189">
        <f t="shared" ref="EH85:EW85" si="340">EH64/EH69</f>
        <v>4.3071912392910246E-3</v>
      </c>
      <c r="EI85" s="189">
        <f t="shared" si="340"/>
        <v>4.395703992386822E-3</v>
      </c>
      <c r="EJ85" s="189">
        <f t="shared" si="340"/>
        <v>4.146409727477221E-3</v>
      </c>
      <c r="EK85" s="2307">
        <f t="shared" si="340"/>
        <v>4.7083292859224383E-3</v>
      </c>
      <c r="EL85" s="189">
        <f t="shared" si="340"/>
        <v>4.9870337123478952E-3</v>
      </c>
      <c r="EM85" s="189">
        <f t="shared" ref="EM85:EN85" si="341">EM64/EM69</f>
        <v>3.8681710706433814E-3</v>
      </c>
      <c r="EN85" s="189">
        <f t="shared" si="341"/>
        <v>3.3611474801164675E-3</v>
      </c>
      <c r="EO85" s="189">
        <f t="shared" ref="EO85:EP85" si="342">EO64/EO69</f>
        <v>3.2431348628713004E-3</v>
      </c>
      <c r="EP85" s="2307">
        <f t="shared" si="342"/>
        <v>3.8156098741422406E-3</v>
      </c>
      <c r="EQ85" s="189">
        <f t="shared" ref="EQ85:EU85" si="343">EQ64/EQ69</f>
        <v>3.664921577860936E-3</v>
      </c>
      <c r="ER85" s="189">
        <f t="shared" si="343"/>
        <v>3.6738785121970402E-3</v>
      </c>
      <c r="ES85" s="189">
        <f t="shared" si="343"/>
        <v>3.643305775094462E-3</v>
      </c>
      <c r="ET85" s="189">
        <f t="shared" si="343"/>
        <v>3.4467775525558811E-3</v>
      </c>
      <c r="EU85" s="2307">
        <f t="shared" si="343"/>
        <v>3.6008099119893095E-3</v>
      </c>
      <c r="EV85" s="1969">
        <f t="shared" si="340"/>
        <v>3.5728587241568716E-3</v>
      </c>
      <c r="EW85" s="1969">
        <f t="shared" si="340"/>
        <v>3.6729882147976617E-3</v>
      </c>
      <c r="EX85" s="1969">
        <f t="shared" ref="EX85:EY85" si="344">EX64/EX69</f>
        <v>3.9569417956103452E-3</v>
      </c>
      <c r="EY85" s="1969">
        <f t="shared" si="344"/>
        <v>4.4429286320408707E-3</v>
      </c>
      <c r="EZ85" s="167"/>
      <c r="FA85" s="1104"/>
      <c r="FB85" s="1104"/>
    </row>
    <row r="86" spans="1:158" s="168" customFormat="1" ht="11.25" customHeight="1">
      <c r="A86" s="3562" t="str">
        <f>A68</f>
        <v>Hedging gains (losses)</v>
      </c>
      <c r="B86" s="2609"/>
      <c r="C86" s="2609"/>
      <c r="D86" s="2609"/>
      <c r="E86" s="2609"/>
      <c r="F86" s="5615"/>
      <c r="G86" s="2609"/>
      <c r="H86" s="2609"/>
      <c r="I86" s="2609"/>
      <c r="J86" s="2609"/>
      <c r="K86" s="2306"/>
      <c r="L86" s="2609"/>
      <c r="M86" s="2609"/>
      <c r="N86" s="2609"/>
      <c r="O86" s="2610"/>
      <c r="P86" s="2307"/>
      <c r="Q86" s="1857"/>
      <c r="R86" s="189"/>
      <c r="S86" s="189"/>
      <c r="T86" s="189"/>
      <c r="U86" s="2307"/>
      <c r="V86" s="1857"/>
      <c r="W86" s="189"/>
      <c r="X86" s="189"/>
      <c r="Y86" s="189"/>
      <c r="Z86" s="2307"/>
      <c r="AA86" s="1857"/>
      <c r="AB86" s="189"/>
      <c r="AC86" s="189"/>
      <c r="AD86" s="189"/>
      <c r="AE86" s="2307"/>
      <c r="AF86" s="1857"/>
      <c r="AG86" s="189"/>
      <c r="AH86" s="189"/>
      <c r="AI86" s="189"/>
      <c r="AJ86" s="2307"/>
      <c r="AK86" s="1857"/>
      <c r="AL86" s="189"/>
      <c r="AM86" s="189"/>
      <c r="AN86" s="2309"/>
      <c r="AO86" s="2307"/>
      <c r="AP86" s="1857"/>
      <c r="AQ86" s="189"/>
      <c r="AR86" s="189"/>
      <c r="AS86" s="2309"/>
      <c r="AT86" s="2307"/>
      <c r="AU86" s="1857"/>
      <c r="AV86" s="189"/>
      <c r="AW86" s="189"/>
      <c r="AX86" s="2309"/>
      <c r="AY86" s="2307"/>
      <c r="AZ86" s="1857"/>
      <c r="BA86" s="189"/>
      <c r="BB86" s="189"/>
      <c r="BC86" s="2309"/>
      <c r="BD86" s="2307"/>
      <c r="BE86" s="1857"/>
      <c r="BF86" s="189"/>
      <c r="BG86" s="189"/>
      <c r="BH86" s="2309"/>
      <c r="BI86" s="2307"/>
      <c r="BJ86" s="1857"/>
      <c r="BK86" s="189"/>
      <c r="BL86" s="189"/>
      <c r="BM86" s="189"/>
      <c r="BN86" s="2307"/>
      <c r="BO86" s="189"/>
      <c r="BP86" s="189"/>
      <c r="BQ86" s="189"/>
      <c r="BR86" s="189"/>
      <c r="BS86" s="2307"/>
      <c r="BT86" s="189"/>
      <c r="BU86" s="189"/>
      <c r="BV86" s="189"/>
      <c r="BW86" s="189"/>
      <c r="BX86" s="2307"/>
      <c r="BY86" s="189"/>
      <c r="BZ86" s="189"/>
      <c r="CA86" s="189"/>
      <c r="CB86" s="189"/>
      <c r="CC86" s="2307"/>
      <c r="CD86" s="2315"/>
      <c r="CE86" s="189"/>
      <c r="CF86" s="189"/>
      <c r="CG86" s="189"/>
      <c r="CH86" s="2307"/>
      <c r="CI86" s="2311"/>
      <c r="CJ86" s="189"/>
      <c r="CK86" s="189"/>
      <c r="CL86" s="189"/>
      <c r="CM86" s="2307"/>
      <c r="CN86" s="189"/>
      <c r="CO86" s="189"/>
      <c r="CP86" s="189"/>
      <c r="CQ86" s="189"/>
      <c r="CR86" s="2307"/>
      <c r="CS86" s="189"/>
      <c r="CT86" s="189"/>
      <c r="CU86" s="189"/>
      <c r="CV86" s="189"/>
      <c r="CW86" s="2307"/>
      <c r="CX86" s="189"/>
      <c r="CY86" s="189"/>
      <c r="CZ86" s="189"/>
      <c r="DA86" s="189"/>
      <c r="DB86" s="2307">
        <f>DB68/DB69</f>
        <v>-1.5245140047810202E-3</v>
      </c>
      <c r="DC86" s="189"/>
      <c r="DD86" s="189"/>
      <c r="DE86" s="189"/>
      <c r="DF86" s="189">
        <f t="shared" ref="DF86:DK86" si="345">DF68/DF69</f>
        <v>3.1571443120480699E-3</v>
      </c>
      <c r="DG86" s="2307">
        <f t="shared" si="345"/>
        <v>-1.0086318420687184E-3</v>
      </c>
      <c r="DH86" s="189">
        <f t="shared" si="345"/>
        <v>3.7700542117284461E-3</v>
      </c>
      <c r="DI86" s="189">
        <f t="shared" si="345"/>
        <v>2.7732128184059161E-3</v>
      </c>
      <c r="DJ86" s="189">
        <f t="shared" si="345"/>
        <v>2.9383441566458433E-3</v>
      </c>
      <c r="DK86" s="189">
        <f t="shared" si="345"/>
        <v>1.9750406945198045E-3</v>
      </c>
      <c r="DL86" s="2307">
        <f t="shared" ref="DL86:DV86" si="346">DL68/DL69</f>
        <v>2.8111233990497785E-3</v>
      </c>
      <c r="DM86" s="189">
        <f t="shared" si="346"/>
        <v>1.190505114312787E-3</v>
      </c>
      <c r="DN86" s="189">
        <f t="shared" si="346"/>
        <v>3.9428675875394937E-3</v>
      </c>
      <c r="DO86" s="189">
        <f t="shared" si="346"/>
        <v>-4.7646893205986182E-4</v>
      </c>
      <c r="DP86" s="189">
        <f t="shared" si="346"/>
        <v>-3.5150620408450207E-5</v>
      </c>
      <c r="DQ86" s="2307">
        <f t="shared" si="346"/>
        <v>9.6424090682474377E-4</v>
      </c>
      <c r="DR86" s="189">
        <f t="shared" si="346"/>
        <v>-1.9705680297935424E-3</v>
      </c>
      <c r="DS86" s="189">
        <f t="shared" si="346"/>
        <v>-1.1312217194570136E-4</v>
      </c>
      <c r="DT86" s="189">
        <f t="shared" si="346"/>
        <v>9.5211769403237198E-4</v>
      </c>
      <c r="DU86" s="189">
        <f t="shared" si="346"/>
        <v>2.6949883836707603E-3</v>
      </c>
      <c r="DV86" s="2307">
        <f t="shared" si="346"/>
        <v>5.783330810403785E-4</v>
      </c>
      <c r="DW86" s="189">
        <f t="shared" ref="DW86:EF86" si="347">DW68/DW69</f>
        <v>4.0875740689006188E-3</v>
      </c>
      <c r="DX86" s="189">
        <f t="shared" si="347"/>
        <v>5.3813589725191938E-3</v>
      </c>
      <c r="DY86" s="189">
        <f t="shared" si="347"/>
        <v>9.2340647252938113E-3</v>
      </c>
      <c r="DZ86" s="189">
        <f t="shared" si="347"/>
        <v>8.7970755312434257E-3</v>
      </c>
      <c r="EA86" s="2307">
        <f t="shared" si="347"/>
        <v>6.9298109151593153E-3</v>
      </c>
      <c r="EB86" s="189">
        <f t="shared" si="347"/>
        <v>1.2036625732586299E-3</v>
      </c>
      <c r="EC86" s="189">
        <f>EC68/EC69</f>
        <v>4.0212321055171307E-5</v>
      </c>
      <c r="ED86" s="189">
        <f t="shared" si="347"/>
        <v>-1.303899964794701E-5</v>
      </c>
      <c r="EE86" s="189">
        <f t="shared" si="347"/>
        <v>1.7379214459506431E-3</v>
      </c>
      <c r="EF86" s="2307">
        <f t="shared" si="347"/>
        <v>7.6774432812611829E-4</v>
      </c>
      <c r="EG86" s="189">
        <f t="shared" ref="EG86" si="348">EG68/EG69</f>
        <v>8.9397683110046069E-4</v>
      </c>
      <c r="EH86" s="189">
        <f t="shared" ref="EH86:EW86" si="349">EH68/EH69</f>
        <v>1.2036534422128343E-3</v>
      </c>
      <c r="EI86" s="189">
        <f t="shared" si="349"/>
        <v>1.9259527801694838E-4</v>
      </c>
      <c r="EJ86" s="189">
        <f t="shared" si="349"/>
        <v>2.0732048637386104E-4</v>
      </c>
      <c r="EK86" s="2307">
        <f t="shared" si="349"/>
        <v>6.0282614036992379E-4</v>
      </c>
      <c r="EL86" s="189">
        <f t="shared" si="349"/>
        <v>2.8813972560232286E-3</v>
      </c>
      <c r="EM86" s="189">
        <f t="shared" ref="EM86:EN86" si="350">EM68/EM69</f>
        <v>-1.1614883643754927E-3</v>
      </c>
      <c r="EN86" s="189">
        <f t="shared" si="350"/>
        <v>-2.0225509546049673E-3</v>
      </c>
      <c r="EO86" s="189">
        <f t="shared" ref="EO86:EP86" si="351">EO68/EO69</f>
        <v>-1.742204557383582E-3</v>
      </c>
      <c r="EP86" s="2307">
        <f t="shared" si="351"/>
        <v>-6.3440081117600172E-4</v>
      </c>
      <c r="EQ86" s="189">
        <f t="shared" ref="EQ86:EU86" si="352">EQ68/EQ69</f>
        <v>-6.1059566788731661E-3</v>
      </c>
      <c r="ER86" s="189">
        <f t="shared" si="352"/>
        <v>-1.154426174121306E-3</v>
      </c>
      <c r="ES86" s="189">
        <f t="shared" si="352"/>
        <v>1.1764610294991409E-3</v>
      </c>
      <c r="ET86" s="189">
        <f t="shared" si="352"/>
        <v>4.0774158302561968E-4</v>
      </c>
      <c r="EU86" s="2307">
        <f t="shared" si="352"/>
        <v>-1.251648178463005E-3</v>
      </c>
      <c r="EV86" s="1969">
        <f t="shared" si="349"/>
        <v>0</v>
      </c>
      <c r="EW86" s="1969">
        <f t="shared" si="349"/>
        <v>0</v>
      </c>
      <c r="EX86" s="1969">
        <f t="shared" ref="EX86:EY86" si="353">EX68/EX69</f>
        <v>0</v>
      </c>
      <c r="EY86" s="1969">
        <f t="shared" si="353"/>
        <v>0</v>
      </c>
      <c r="EZ86" s="167"/>
      <c r="FA86" s="1104"/>
      <c r="FB86" s="1104"/>
    </row>
    <row r="87" spans="1:158" s="168" customFormat="1" ht="11.25" hidden="1" customHeight="1" outlineLevel="1">
      <c r="A87" s="5650" t="str">
        <f>A69</f>
        <v>Alphabet total revenues (gross)</v>
      </c>
      <c r="B87" s="5606"/>
      <c r="C87" s="2396"/>
      <c r="D87" s="2396"/>
      <c r="E87" s="2396"/>
      <c r="F87" s="5616"/>
      <c r="G87" s="5606"/>
      <c r="H87" s="2396"/>
      <c r="I87" s="2396"/>
      <c r="J87" s="2396"/>
      <c r="K87" s="2000"/>
      <c r="L87" s="2396"/>
      <c r="M87" s="2396"/>
      <c r="N87" s="2396"/>
      <c r="O87" s="2396"/>
      <c r="P87" s="2397">
        <f t="shared" ref="P87:AU87" si="354">SUM(P81,P485)</f>
        <v>1</v>
      </c>
      <c r="Q87" s="2398">
        <f t="shared" si="354"/>
        <v>0.12</v>
      </c>
      <c r="R87" s="1923">
        <f t="shared" si="354"/>
        <v>0.28000000000000003</v>
      </c>
      <c r="S87" s="1923">
        <f t="shared" si="354"/>
        <v>0.30000000000000004</v>
      </c>
      <c r="T87" s="1923">
        <f t="shared" si="354"/>
        <v>0.35246845581152764</v>
      </c>
      <c r="U87" s="2397">
        <f t="shared" si="354"/>
        <v>0.99999999999999989</v>
      </c>
      <c r="V87" s="2398">
        <f t="shared" si="354"/>
        <v>1</v>
      </c>
      <c r="W87" s="1923">
        <f t="shared" si="354"/>
        <v>0.41162407334213791</v>
      </c>
      <c r="X87" s="1923">
        <f t="shared" si="354"/>
        <v>0.47393524935142733</v>
      </c>
      <c r="Y87" s="1923">
        <f t="shared" si="354"/>
        <v>0.5239459169229268</v>
      </c>
      <c r="Z87" s="2397">
        <f t="shared" si="354"/>
        <v>0.45968713461861183</v>
      </c>
      <c r="AA87" s="2398">
        <f t="shared" si="354"/>
        <v>0.53419078209332693</v>
      </c>
      <c r="AB87" s="1923">
        <f t="shared" si="354"/>
        <v>0.50951711767293328</v>
      </c>
      <c r="AC87" s="1923">
        <f t="shared" si="354"/>
        <v>0.48913433272903017</v>
      </c>
      <c r="AD87" s="1923">
        <f t="shared" si="354"/>
        <v>0.4858100129713756</v>
      </c>
      <c r="AE87" s="2397">
        <f t="shared" si="354"/>
        <v>0.50174023524217803</v>
      </c>
      <c r="AF87" s="2398">
        <f t="shared" si="354"/>
        <v>0.47712826213566117</v>
      </c>
      <c r="AG87" s="1923">
        <f t="shared" si="354"/>
        <v>0.46755170657893314</v>
      </c>
      <c r="AH87" s="1923">
        <f t="shared" si="354"/>
        <v>0.43952888138788793</v>
      </c>
      <c r="AI87" s="1923">
        <f t="shared" si="354"/>
        <v>0.42774373102293634</v>
      </c>
      <c r="AJ87" s="2397">
        <f t="shared" si="354"/>
        <v>0.44986108956696974</v>
      </c>
      <c r="AK87" s="2398">
        <f t="shared" si="354"/>
        <v>0.42437532029879022</v>
      </c>
      <c r="AL87" s="1923">
        <f t="shared" si="354"/>
        <v>0.41674826984300833</v>
      </c>
      <c r="AM87" s="1923">
        <f t="shared" si="354"/>
        <v>0.39547409666528238</v>
      </c>
      <c r="AN87" s="2399">
        <f t="shared" si="354"/>
        <v>0.38323405598755639</v>
      </c>
      <c r="AO87" s="2397">
        <f t="shared" si="354"/>
        <v>0.40284332258328848</v>
      </c>
      <c r="AP87" s="2398">
        <f t="shared" si="354"/>
        <v>0.37714545229752089</v>
      </c>
      <c r="AQ87" s="1923">
        <f t="shared" si="354"/>
        <v>0.35787716119768026</v>
      </c>
      <c r="AR87" s="1923">
        <f t="shared" si="354"/>
        <v>0.35369200049818611</v>
      </c>
      <c r="AS87" s="2399">
        <f t="shared" si="354"/>
        <v>0.35327395917565679</v>
      </c>
      <c r="AT87" s="2397">
        <f t="shared" si="354"/>
        <v>0.35972550537285014</v>
      </c>
      <c r="AU87" s="2398">
        <f t="shared" si="354"/>
        <v>0.34431608068039538</v>
      </c>
      <c r="AV87" s="1923">
        <f t="shared" ref="AV87:BN87" si="355">SUM(AV81,AV485)</f>
        <v>0.34227584079033951</v>
      </c>
      <c r="AW87" s="1923">
        <f t="shared" si="355"/>
        <v>0.3373304644988957</v>
      </c>
      <c r="AX87" s="2399">
        <f t="shared" si="355"/>
        <v>0.33148041082607255</v>
      </c>
      <c r="AY87" s="2397">
        <f t="shared" si="355"/>
        <v>0.33868028106654796</v>
      </c>
      <c r="AZ87" s="2398">
        <f t="shared" si="355"/>
        <v>0.32967331579835868</v>
      </c>
      <c r="BA87" s="1923">
        <f t="shared" si="355"/>
        <v>0.33863912363384646</v>
      </c>
      <c r="BB87" s="1923">
        <f t="shared" si="355"/>
        <v>0.33459543393097663</v>
      </c>
      <c r="BC87" s="2399">
        <f t="shared" si="355"/>
        <v>0.33751574247152116</v>
      </c>
      <c r="BD87" s="2397">
        <f t="shared" si="355"/>
        <v>0.33521726311546995</v>
      </c>
      <c r="BE87" s="2398">
        <f t="shared" si="355"/>
        <v>0.34479704797047972</v>
      </c>
      <c r="BF87" s="1923">
        <f t="shared" si="355"/>
        <v>0.3403225806451613</v>
      </c>
      <c r="BG87" s="1923">
        <f t="shared" si="355"/>
        <v>0.3366730716442492</v>
      </c>
      <c r="BH87" s="2399">
        <f t="shared" si="355"/>
        <v>0.32796208530805687</v>
      </c>
      <c r="BI87" s="2397">
        <f t="shared" si="355"/>
        <v>0.33689164762456941</v>
      </c>
      <c r="BJ87" s="2398">
        <f t="shared" si="355"/>
        <v>0.31440233236151599</v>
      </c>
      <c r="BK87" s="1923">
        <f t="shared" si="355"/>
        <v>0.30955018834478171</v>
      </c>
      <c r="BL87" s="1923">
        <f t="shared" si="355"/>
        <v>0.30658436213991769</v>
      </c>
      <c r="BM87" s="1923">
        <f t="shared" si="355"/>
        <v>0.31084656084656087</v>
      </c>
      <c r="BN87" s="2397">
        <f t="shared" si="355"/>
        <v>0.31024930747922436</v>
      </c>
      <c r="BO87" s="1923"/>
      <c r="BP87" s="1923"/>
      <c r="BQ87" s="1923"/>
      <c r="BR87" s="1923"/>
      <c r="BS87" s="2397"/>
      <c r="BT87" s="1923">
        <f>SUM(BT81,BT485)</f>
        <v>0.31310474401127292</v>
      </c>
      <c r="BU87" s="1923">
        <f>SUM(BU81,BU485)</f>
        <v>0.31211236774899676</v>
      </c>
      <c r="BV87" s="1923">
        <f>SUM(BV81,BV485)</f>
        <v>0.32960263751518304</v>
      </c>
      <c r="BW87" s="1923">
        <f>SUM(BW81,BW485)</f>
        <v>0.33049205734211545</v>
      </c>
      <c r="BX87" s="2397">
        <f>SUM(BX81,BX485)</f>
        <v>0.32187228496959164</v>
      </c>
      <c r="BY87" s="1923"/>
      <c r="BZ87" s="1923"/>
      <c r="CA87" s="1923"/>
      <c r="CB87" s="1923"/>
      <c r="CC87" s="2397"/>
      <c r="CD87" s="2400"/>
      <c r="CE87" s="1923"/>
      <c r="CF87" s="1923"/>
      <c r="CG87" s="1923"/>
      <c r="CH87" s="2397"/>
      <c r="CI87" s="2410"/>
      <c r="CJ87" s="1923"/>
      <c r="CK87" s="1923"/>
      <c r="CL87" s="1923"/>
      <c r="CM87" s="2397"/>
      <c r="CN87" s="1923"/>
      <c r="CO87" s="1923"/>
      <c r="CP87" s="1923"/>
      <c r="CQ87" s="1923"/>
      <c r="CR87" s="2397"/>
      <c r="CS87" s="1923"/>
      <c r="CT87" s="1923"/>
      <c r="CU87" s="1923"/>
      <c r="CV87" s="1923"/>
      <c r="CW87" s="2397"/>
      <c r="CX87" s="1923"/>
      <c r="CY87" s="1923"/>
      <c r="CZ87" s="1923"/>
      <c r="DA87" s="1923"/>
      <c r="DB87" s="2397">
        <f>SUM(DB83,DB84,DB85,DB86)</f>
        <v>1</v>
      </c>
      <c r="DC87" s="1923"/>
      <c r="DD87" s="1923"/>
      <c r="DE87" s="1923"/>
      <c r="DF87" s="1923">
        <f t="shared" ref="DF87:DL87" si="356">SUM(DF83,DF84,DF85,DF86)</f>
        <v>1</v>
      </c>
      <c r="DG87" s="2397">
        <f t="shared" si="356"/>
        <v>1</v>
      </c>
      <c r="DH87" s="1923">
        <f t="shared" si="356"/>
        <v>1</v>
      </c>
      <c r="DI87" s="1923">
        <f t="shared" si="356"/>
        <v>1</v>
      </c>
      <c r="DJ87" s="1923">
        <f t="shared" si="356"/>
        <v>0.99999999999999989</v>
      </c>
      <c r="DK87" s="1923">
        <f t="shared" si="356"/>
        <v>0.99999999999999989</v>
      </c>
      <c r="DL87" s="2397">
        <f t="shared" si="356"/>
        <v>0.99999999999999989</v>
      </c>
      <c r="DM87" s="1923">
        <f t="shared" ref="DM87:DV87" si="357">SUM(DM83,DM84,DM85,DM86)</f>
        <v>0.99999999999999989</v>
      </c>
      <c r="DN87" s="1923">
        <f t="shared" si="357"/>
        <v>1</v>
      </c>
      <c r="DO87" s="1923">
        <f t="shared" si="357"/>
        <v>0.99999999999999989</v>
      </c>
      <c r="DP87" s="1923">
        <f t="shared" si="357"/>
        <v>1.0000000000000002</v>
      </c>
      <c r="DQ87" s="2397">
        <f t="shared" si="357"/>
        <v>1</v>
      </c>
      <c r="DR87" s="1923">
        <f t="shared" si="357"/>
        <v>0.99999999999999989</v>
      </c>
      <c r="DS87" s="1923">
        <f t="shared" si="357"/>
        <v>1</v>
      </c>
      <c r="DT87" s="1923">
        <f t="shared" si="357"/>
        <v>0.99999999999999989</v>
      </c>
      <c r="DU87" s="1923">
        <f t="shared" si="357"/>
        <v>1</v>
      </c>
      <c r="DV87" s="2397">
        <f t="shared" si="357"/>
        <v>1</v>
      </c>
      <c r="DW87" s="1923">
        <f t="shared" ref="DW87:EF87" si="358">SUM(DW83,DW84,DW85,DW86)</f>
        <v>0.99999999999999989</v>
      </c>
      <c r="DX87" s="1923">
        <f t="shared" si="358"/>
        <v>1</v>
      </c>
      <c r="DY87" s="1923">
        <f t="shared" si="358"/>
        <v>1</v>
      </c>
      <c r="DZ87" s="1923">
        <f t="shared" si="358"/>
        <v>1</v>
      </c>
      <c r="EA87" s="2397">
        <f t="shared" si="358"/>
        <v>1</v>
      </c>
      <c r="EB87" s="1923">
        <f t="shared" si="358"/>
        <v>1</v>
      </c>
      <c r="EC87" s="1923">
        <f>SUM(EC83,EC84,EC85,EC86)</f>
        <v>1</v>
      </c>
      <c r="ED87" s="1923">
        <f t="shared" si="358"/>
        <v>0.99999999999999978</v>
      </c>
      <c r="EE87" s="1923">
        <f t="shared" si="358"/>
        <v>1</v>
      </c>
      <c r="EF87" s="2397">
        <f t="shared" si="358"/>
        <v>1</v>
      </c>
      <c r="EG87" s="1923">
        <f t="shared" ref="EG87" si="359">SUM(EG83,EG84,EG85,EG86)</f>
        <v>1</v>
      </c>
      <c r="EH87" s="1923">
        <f t="shared" ref="EH87:EW87" si="360">SUM(EH83,EH84,EH85,EH86)</f>
        <v>1</v>
      </c>
      <c r="EI87" s="1923">
        <f t="shared" si="360"/>
        <v>1</v>
      </c>
      <c r="EJ87" s="1923">
        <f t="shared" si="360"/>
        <v>1.0000000000000002</v>
      </c>
      <c r="EK87" s="2397">
        <f t="shared" si="360"/>
        <v>0.99999999999999989</v>
      </c>
      <c r="EL87" s="1923">
        <f t="shared" si="360"/>
        <v>0.99999999999999989</v>
      </c>
      <c r="EM87" s="1923">
        <f t="shared" ref="EM87:EN87" si="361">SUM(EM83,EM84,EM85,EM86)</f>
        <v>1</v>
      </c>
      <c r="EN87" s="1923">
        <f t="shared" si="361"/>
        <v>1</v>
      </c>
      <c r="EO87" s="1923">
        <f t="shared" ref="EO87:EP87" si="362">SUM(EO83,EO84,EO85,EO86)</f>
        <v>1</v>
      </c>
      <c r="EP87" s="2397">
        <f t="shared" si="362"/>
        <v>1</v>
      </c>
      <c r="EQ87" s="1923">
        <f t="shared" ref="EQ87:EU87" si="363">SUM(EQ83,EQ84,EQ85,EQ86)</f>
        <v>1</v>
      </c>
      <c r="ER87" s="1923">
        <f t="shared" si="363"/>
        <v>0.99999999999999989</v>
      </c>
      <c r="ES87" s="1923">
        <f t="shared" si="363"/>
        <v>0.99999999999999989</v>
      </c>
      <c r="ET87" s="1923">
        <f t="shared" si="363"/>
        <v>1</v>
      </c>
      <c r="EU87" s="2397">
        <f t="shared" si="363"/>
        <v>1</v>
      </c>
      <c r="EV87" s="2397">
        <f t="shared" si="360"/>
        <v>1</v>
      </c>
      <c r="EW87" s="2397">
        <f t="shared" si="360"/>
        <v>1</v>
      </c>
      <c r="EX87" s="2397">
        <f t="shared" ref="EX87:EY87" si="364">SUM(EX83,EX84,EX85,EX86)</f>
        <v>0.99999999999999989</v>
      </c>
      <c r="EY87" s="2397">
        <f t="shared" si="364"/>
        <v>1</v>
      </c>
      <c r="EZ87" s="167"/>
      <c r="FA87" s="1104"/>
      <c r="FB87" s="1104"/>
    </row>
    <row r="88" spans="1:158" s="161" customFormat="1" ht="11.25" hidden="1" customHeight="1" outlineLevel="1">
      <c r="A88" s="5651"/>
      <c r="B88" s="185"/>
      <c r="C88" s="185"/>
      <c r="D88" s="185"/>
      <c r="E88" s="185"/>
      <c r="F88" s="5569"/>
      <c r="G88" s="185"/>
      <c r="H88" s="185"/>
      <c r="I88" s="185"/>
      <c r="J88" s="185"/>
      <c r="K88" s="1505"/>
      <c r="L88" s="185"/>
      <c r="M88" s="185"/>
      <c r="N88" s="185"/>
      <c r="O88" s="185"/>
      <c r="P88" s="1005"/>
      <c r="Q88" s="1882"/>
      <c r="R88" s="185"/>
      <c r="S88" s="174"/>
      <c r="T88" s="185"/>
      <c r="U88" s="1005"/>
      <c r="V88" s="1882"/>
      <c r="W88" s="174"/>
      <c r="X88" s="174"/>
      <c r="Y88" s="174"/>
      <c r="Z88" s="1005"/>
      <c r="AA88" s="1880"/>
      <c r="AB88" s="185"/>
      <c r="AC88" s="185"/>
      <c r="AD88" s="185"/>
      <c r="AE88" s="1005"/>
      <c r="AF88" s="1882"/>
      <c r="AG88" s="174"/>
      <c r="AH88" s="174"/>
      <c r="AI88" s="174"/>
      <c r="AJ88" s="1005"/>
      <c r="AK88" s="1882"/>
      <c r="AL88" s="174"/>
      <c r="AM88" s="174"/>
      <c r="AN88" s="196"/>
      <c r="AO88" s="1005"/>
      <c r="AP88" s="1882"/>
      <c r="AQ88" s="174"/>
      <c r="AR88" s="174"/>
      <c r="AS88" s="196"/>
      <c r="AT88" s="1005"/>
      <c r="AU88" s="1882"/>
      <c r="AV88" s="174"/>
      <c r="AW88" s="174"/>
      <c r="AX88" s="196"/>
      <c r="AY88" s="1005"/>
      <c r="AZ88" s="1883"/>
      <c r="BA88" s="82"/>
      <c r="BB88" s="82"/>
      <c r="BC88" s="81"/>
      <c r="BD88" s="1005"/>
      <c r="BE88" s="1883"/>
      <c r="BF88" s="82"/>
      <c r="BG88" s="82"/>
      <c r="BH88" s="81"/>
      <c r="BI88" s="1005"/>
      <c r="BJ88" s="1883"/>
      <c r="BK88" s="82"/>
      <c r="BL88" s="82"/>
      <c r="BM88" s="82"/>
      <c r="BN88" s="1005"/>
      <c r="BO88" s="186"/>
      <c r="BP88" s="186"/>
      <c r="BQ88" s="186"/>
      <c r="BR88" s="186"/>
      <c r="BS88" s="1964"/>
      <c r="BT88" s="82"/>
      <c r="BU88" s="82"/>
      <c r="BV88" s="82"/>
      <c r="BW88" s="82"/>
      <c r="BX88" s="1005"/>
      <c r="BY88" s="186"/>
      <c r="BZ88" s="186"/>
      <c r="CA88" s="186"/>
      <c r="CB88" s="186"/>
      <c r="CC88" s="1964"/>
      <c r="CD88" s="1694"/>
      <c r="CE88" s="82"/>
      <c r="CF88" s="82"/>
      <c r="CG88" s="82"/>
      <c r="CH88" s="1005"/>
      <c r="CI88" s="554"/>
      <c r="CJ88" s="174"/>
      <c r="CK88" s="174"/>
      <c r="CL88" s="174"/>
      <c r="CM88" s="1005"/>
      <c r="CN88" s="186"/>
      <c r="CO88" s="186"/>
      <c r="CP88" s="186"/>
      <c r="CQ88" s="186"/>
      <c r="CR88" s="1005"/>
      <c r="CS88" s="186"/>
      <c r="CT88" s="186"/>
      <c r="CU88" s="186"/>
      <c r="CV88" s="186"/>
      <c r="CW88" s="1005"/>
      <c r="CX88" s="186"/>
      <c r="CY88" s="186"/>
      <c r="CZ88" s="186"/>
      <c r="DA88" s="186"/>
      <c r="DB88" s="1005"/>
      <c r="DC88" s="186"/>
      <c r="DD88" s="186"/>
      <c r="DE88" s="186"/>
      <c r="DF88" s="186"/>
      <c r="DG88" s="1005"/>
      <c r="DH88" s="186"/>
      <c r="DI88" s="186"/>
      <c r="DJ88" s="186"/>
      <c r="DK88" s="186"/>
      <c r="DL88" s="1005"/>
      <c r="DM88" s="186"/>
      <c r="DN88" s="186"/>
      <c r="DO88" s="186"/>
      <c r="DP88" s="186"/>
      <c r="DQ88" s="1005"/>
      <c r="DR88" s="186"/>
      <c r="DS88" s="186"/>
      <c r="DT88" s="186"/>
      <c r="DU88" s="186"/>
      <c r="DV88" s="1005"/>
      <c r="DW88" s="186"/>
      <c r="DX88" s="186"/>
      <c r="DY88" s="186"/>
      <c r="DZ88" s="186"/>
      <c r="EA88" s="1005"/>
      <c r="EB88" s="186"/>
      <c r="EC88" s="186"/>
      <c r="ED88" s="186"/>
      <c r="EE88" s="186"/>
      <c r="EF88" s="1005"/>
      <c r="EG88" s="186"/>
      <c r="EH88" s="186"/>
      <c r="EI88" s="186"/>
      <c r="EJ88" s="186"/>
      <c r="EK88" s="1005"/>
      <c r="EL88" s="186"/>
      <c r="EM88" s="186"/>
      <c r="EN88" s="186"/>
      <c r="EO88" s="186"/>
      <c r="EP88" s="1005"/>
      <c r="EQ88" s="186"/>
      <c r="ER88" s="186"/>
      <c r="ES88" s="186"/>
      <c r="ET88" s="186"/>
      <c r="EU88" s="1005"/>
      <c r="EV88" s="1005"/>
      <c r="EW88" s="1005"/>
      <c r="EX88" s="1005"/>
      <c r="EY88" s="1005"/>
      <c r="EZ88" s="174"/>
      <c r="FA88" s="1104"/>
      <c r="FB88" s="1104"/>
    </row>
    <row r="89" spans="1:158" s="161" customFormat="1" ht="11.25" customHeight="1" collapsed="1">
      <c r="A89" s="5626" t="s">
        <v>318</v>
      </c>
      <c r="B89" s="2920"/>
      <c r="C89" s="2453"/>
      <c r="D89" s="2453"/>
      <c r="E89" s="2453"/>
      <c r="F89" s="5617"/>
      <c r="G89" s="2920"/>
      <c r="H89" s="2453"/>
      <c r="I89" s="2453"/>
      <c r="J89" s="2453"/>
      <c r="K89" s="2454"/>
      <c r="L89" s="2453"/>
      <c r="M89" s="2453"/>
      <c r="N89" s="2453"/>
      <c r="O89" s="2453"/>
      <c r="P89" s="2455"/>
      <c r="Q89" s="2456"/>
      <c r="R89" s="2453"/>
      <c r="S89" s="2457"/>
      <c r="T89" s="2453"/>
      <c r="U89" s="2455"/>
      <c r="V89" s="2456"/>
      <c r="W89" s="2457"/>
      <c r="X89" s="2457"/>
      <c r="Y89" s="2457"/>
      <c r="Z89" s="2455"/>
      <c r="AA89" s="2452"/>
      <c r="AB89" s="2453"/>
      <c r="AC89" s="2453"/>
      <c r="AD89" s="2453"/>
      <c r="AE89" s="2455"/>
      <c r="AF89" s="2456"/>
      <c r="AG89" s="2457"/>
      <c r="AH89" s="2457"/>
      <c r="AI89" s="2457"/>
      <c r="AJ89" s="2455"/>
      <c r="AK89" s="2456"/>
      <c r="AL89" s="2457"/>
      <c r="AM89" s="2457"/>
      <c r="AN89" s="2458"/>
      <c r="AO89" s="2459"/>
      <c r="AP89" s="2456"/>
      <c r="AQ89" s="2457"/>
      <c r="AR89" s="2457"/>
      <c r="AS89" s="2458"/>
      <c r="AT89" s="2455"/>
      <c r="AU89" s="2460"/>
      <c r="AV89" s="2461"/>
      <c r="AW89" s="2457"/>
      <c r="AX89" s="2458"/>
      <c r="AY89" s="2455"/>
      <c r="AZ89" s="2462"/>
      <c r="BA89" s="2463"/>
      <c r="BB89" s="2463"/>
      <c r="BC89" s="2463"/>
      <c r="BD89" s="2455"/>
      <c r="BE89" s="2462"/>
      <c r="BF89" s="2463"/>
      <c r="BG89" s="2463"/>
      <c r="BH89" s="2463"/>
      <c r="BI89" s="2455"/>
      <c r="BJ89" s="2462"/>
      <c r="BK89" s="2463"/>
      <c r="BL89" s="2463"/>
      <c r="BM89" s="2463"/>
      <c r="BN89" s="2455"/>
      <c r="BO89" s="2464"/>
      <c r="BP89" s="2464"/>
      <c r="BQ89" s="2464"/>
      <c r="BR89" s="2464"/>
      <c r="BS89" s="2459"/>
      <c r="BT89" s="2463"/>
      <c r="BU89" s="2463"/>
      <c r="BV89" s="2463"/>
      <c r="BW89" s="2463"/>
      <c r="BX89" s="2459"/>
      <c r="BY89" s="2464"/>
      <c r="BZ89" s="2464"/>
      <c r="CA89" s="2464"/>
      <c r="CB89" s="2464"/>
      <c r="CC89" s="2459"/>
      <c r="CD89" s="2465"/>
      <c r="CE89" s="2463"/>
      <c r="CF89" s="2463"/>
      <c r="CG89" s="2463"/>
      <c r="CH89" s="2459"/>
      <c r="CI89" s="2466"/>
      <c r="CJ89" s="2464"/>
      <c r="CK89" s="2464"/>
      <c r="CL89" s="2464"/>
      <c r="CM89" s="2459"/>
      <c r="CN89" s="2464"/>
      <c r="CO89" s="2464"/>
      <c r="CP89" s="2464"/>
      <c r="CQ89" s="2464"/>
      <c r="CR89" s="2459"/>
      <c r="CS89" s="2464"/>
      <c r="CT89" s="2464"/>
      <c r="CU89" s="2464"/>
      <c r="CV89" s="2464"/>
      <c r="CW89" s="2459"/>
      <c r="CX89" s="2464"/>
      <c r="CY89" s="2464"/>
      <c r="CZ89" s="2464"/>
      <c r="DA89" s="2464"/>
      <c r="DB89" s="2459"/>
      <c r="DC89" s="2464"/>
      <c r="DD89" s="2464"/>
      <c r="DE89" s="2464"/>
      <c r="DF89" s="2464"/>
      <c r="DG89" s="2459"/>
      <c r="DH89" s="2464"/>
      <c r="DI89" s="2464"/>
      <c r="DJ89" s="2464"/>
      <c r="DK89" s="2464"/>
      <c r="DL89" s="5784"/>
      <c r="DM89" s="5785"/>
      <c r="DN89" s="5785"/>
      <c r="DO89" s="5785"/>
      <c r="DP89" s="5785"/>
      <c r="DQ89" s="5784"/>
      <c r="DR89" s="5785"/>
      <c r="DS89" s="5785"/>
      <c r="DT89" s="5785"/>
      <c r="DU89" s="5785"/>
      <c r="DV89" s="5784"/>
      <c r="DW89" s="5785"/>
      <c r="DX89" s="5785"/>
      <c r="DY89" s="5785"/>
      <c r="DZ89" s="5785"/>
      <c r="EA89" s="5784"/>
      <c r="EB89" s="5785"/>
      <c r="EC89" s="5785"/>
      <c r="ED89" s="5785"/>
      <c r="EE89" s="5785"/>
      <c r="EF89" s="5784"/>
      <c r="EG89" s="5785"/>
      <c r="EH89" s="5785"/>
      <c r="EI89" s="5785"/>
      <c r="EJ89" s="5785"/>
      <c r="EK89" s="5784"/>
      <c r="EL89" s="5785"/>
      <c r="EM89" s="5785"/>
      <c r="EN89" s="5785"/>
      <c r="EO89" s="5785"/>
      <c r="EP89" s="5784"/>
      <c r="EQ89" s="5785"/>
      <c r="ER89" s="5785"/>
      <c r="ES89" s="5785"/>
      <c r="ET89" s="5785"/>
      <c r="EU89" s="5784"/>
      <c r="EV89" s="5784"/>
      <c r="EW89" s="5784"/>
      <c r="EX89" s="5784"/>
      <c r="EY89" s="5784"/>
      <c r="EZ89" s="174"/>
      <c r="FA89" s="1104"/>
      <c r="FB89" s="1104"/>
    </row>
    <row r="90" spans="1:158" s="161" customFormat="1" ht="11.25" hidden="1" customHeight="1" outlineLevel="1">
      <c r="A90" s="5642" t="s">
        <v>639</v>
      </c>
      <c r="B90" s="158"/>
      <c r="C90" s="158"/>
      <c r="D90" s="158"/>
      <c r="E90" s="158"/>
      <c r="F90" s="5568"/>
      <c r="G90" s="158"/>
      <c r="H90" s="158"/>
      <c r="I90" s="158"/>
      <c r="J90" s="158"/>
      <c r="K90" s="2331"/>
      <c r="L90" s="158"/>
      <c r="M90" s="158"/>
      <c r="N90" s="158"/>
      <c r="O90" s="158"/>
      <c r="P90" s="2345"/>
      <c r="Q90" s="4207">
        <v>0</v>
      </c>
      <c r="R90" s="4208">
        <v>0</v>
      </c>
      <c r="S90" s="4208">
        <v>0</v>
      </c>
      <c r="T90" s="4209">
        <v>0</v>
      </c>
      <c r="U90" s="2345"/>
      <c r="V90" s="4207">
        <v>0</v>
      </c>
      <c r="W90" s="4208">
        <v>0</v>
      </c>
      <c r="X90" s="4208">
        <v>0</v>
      </c>
      <c r="Y90" s="4209">
        <v>0</v>
      </c>
      <c r="Z90" s="2345"/>
      <c r="AA90" s="4210">
        <v>0</v>
      </c>
      <c r="AB90" s="4211">
        <v>0</v>
      </c>
      <c r="AC90" s="4211">
        <v>0</v>
      </c>
      <c r="AD90" s="4212">
        <v>0</v>
      </c>
      <c r="AE90" s="2345">
        <f>SUM(AA90:AD90)</f>
        <v>0</v>
      </c>
      <c r="AF90" s="4213">
        <v>18.195</v>
      </c>
      <c r="AG90" s="4211">
        <v>19</v>
      </c>
      <c r="AH90" s="4211">
        <f>AM90-20.5</f>
        <v>24.5</v>
      </c>
      <c r="AI90" s="4214">
        <f>AJ90-AH90-AG90-AF90</f>
        <v>28.205000000000005</v>
      </c>
      <c r="AJ90" s="2345">
        <v>89.9</v>
      </c>
      <c r="AK90" s="4215">
        <f>AP90-40.7</f>
        <v>32.409999999999997</v>
      </c>
      <c r="AL90" s="4216">
        <f>AQ90-50.2</f>
        <v>36.739999999999995</v>
      </c>
      <c r="AM90" s="4217">
        <v>45</v>
      </c>
      <c r="AN90" s="4218">
        <f>AM90+14.98</f>
        <v>59.980000000000004</v>
      </c>
      <c r="AO90" s="2345">
        <f>SUM(AK90:AN90)</f>
        <v>174.13</v>
      </c>
      <c r="AP90" s="4219">
        <f>AN90+13.13</f>
        <v>73.11</v>
      </c>
      <c r="AQ90" s="4217">
        <f>AP90+13.83</f>
        <v>86.94</v>
      </c>
      <c r="AR90" s="4217">
        <f>AQ90+18.43</f>
        <v>105.37</v>
      </c>
      <c r="AS90" s="4217">
        <f>AR90+20</f>
        <v>125.37</v>
      </c>
      <c r="AT90" s="2345">
        <f>SUM(AP90:AS90)</f>
        <v>390.79</v>
      </c>
      <c r="AU90" s="4219">
        <f>AP90+70</f>
        <v>143.11000000000001</v>
      </c>
      <c r="AV90" s="4217">
        <f>AQ90+67.5</f>
        <v>154.44</v>
      </c>
      <c r="AW90" s="4217">
        <v>166.8</v>
      </c>
      <c r="AX90" s="4217">
        <v>190.1</v>
      </c>
      <c r="AY90" s="2345">
        <f>SUM(AU90:AX90)</f>
        <v>654.45000000000005</v>
      </c>
      <c r="AZ90" s="4219">
        <v>206.9</v>
      </c>
      <c r="BA90" s="4217">
        <v>218</v>
      </c>
      <c r="BB90" s="4217">
        <v>229</v>
      </c>
      <c r="BC90" s="4220">
        <f>BD90-BB90-BA90-AZ90</f>
        <v>249.89999999999995</v>
      </c>
      <c r="BD90" s="2345">
        <v>903.8</v>
      </c>
      <c r="BE90" s="4221">
        <v>265</v>
      </c>
      <c r="BF90" s="4222">
        <v>269</v>
      </c>
      <c r="BG90" s="4222">
        <v>285</v>
      </c>
      <c r="BH90" s="4222">
        <v>333</v>
      </c>
      <c r="BI90" s="2345">
        <f>SUM(BE90:BH90)</f>
        <v>1152</v>
      </c>
      <c r="BJ90" s="4221">
        <v>337</v>
      </c>
      <c r="BK90" s="4222">
        <v>355</v>
      </c>
      <c r="BL90" s="4222">
        <v>383</v>
      </c>
      <c r="BM90" s="4222">
        <v>442</v>
      </c>
      <c r="BN90" s="2345">
        <f>SUM(BJ90:BM90)</f>
        <v>1517</v>
      </c>
      <c r="BO90" s="2336"/>
      <c r="BP90" s="2336"/>
      <c r="BQ90" s="2336"/>
      <c r="BR90" s="2336"/>
      <c r="BS90" s="4223"/>
      <c r="BT90" s="4222">
        <v>468</v>
      </c>
      <c r="BU90" s="4222">
        <v>507</v>
      </c>
      <c r="BV90" s="4222">
        <v>556</v>
      </c>
      <c r="BW90" s="4222">
        <v>634</v>
      </c>
      <c r="BX90" s="2345">
        <f>SUM(BT90:BW90)</f>
        <v>2165</v>
      </c>
      <c r="BY90" s="2336"/>
      <c r="BZ90" s="2336"/>
      <c r="CA90" s="2336"/>
      <c r="CB90" s="2336"/>
      <c r="CC90" s="4223"/>
      <c r="CD90" s="4224">
        <v>680</v>
      </c>
      <c r="CE90" s="4222">
        <v>706</v>
      </c>
      <c r="CF90" s="4222">
        <v>755</v>
      </c>
      <c r="CG90" s="4222">
        <v>824</v>
      </c>
      <c r="CH90" s="2345">
        <f>SUM(CD90:CG90)</f>
        <v>2965</v>
      </c>
      <c r="CI90" s="4225">
        <v>845</v>
      </c>
      <c r="CJ90" s="4222">
        <v>893</v>
      </c>
      <c r="CK90" s="4222">
        <v>927</v>
      </c>
      <c r="CL90" s="4222">
        <v>968</v>
      </c>
      <c r="CM90" s="2345">
        <f>SUM(CI90:CL90)</f>
        <v>3633</v>
      </c>
      <c r="CN90" s="4226">
        <v>913</v>
      </c>
      <c r="CO90" s="4222">
        <v>945</v>
      </c>
      <c r="CP90" s="4222">
        <v>1052</v>
      </c>
      <c r="CQ90" s="4222">
        <v>1191</v>
      </c>
      <c r="CR90" s="2345">
        <f>SUM(CN90:CQ90)</f>
        <v>4101</v>
      </c>
      <c r="CS90" s="4227">
        <v>1217</v>
      </c>
      <c r="CT90" s="4226">
        <v>1352</v>
      </c>
      <c r="CU90" s="4226">
        <v>1559</v>
      </c>
      <c r="CV90" s="4226">
        <v>1766</v>
      </c>
      <c r="CW90" s="2345">
        <f>SUM(CS90:CV90)</f>
        <v>5894</v>
      </c>
      <c r="CX90" s="4226">
        <v>1805</v>
      </c>
      <c r="CY90" s="4226">
        <v>2049</v>
      </c>
      <c r="CZ90" s="4226">
        <v>2401</v>
      </c>
      <c r="DA90" s="4226">
        <v>2776</v>
      </c>
      <c r="DB90" s="2345">
        <f>SUM(CX90:DA90)</f>
        <v>9031</v>
      </c>
      <c r="DC90" s="4226">
        <v>2902</v>
      </c>
      <c r="DD90" s="4226">
        <v>3009</v>
      </c>
      <c r="DE90" s="4226">
        <v>3155</v>
      </c>
      <c r="DF90" s="4226">
        <v>3506</v>
      </c>
      <c r="DG90" s="2345">
        <f>SUM(DC90:DF90)</f>
        <v>12572</v>
      </c>
      <c r="DH90" s="4226">
        <v>3383</v>
      </c>
      <c r="DI90" s="4226">
        <v>3617</v>
      </c>
      <c r="DJ90" s="4226">
        <v>3856</v>
      </c>
      <c r="DK90" s="4297">
        <f>DK8*DK96</f>
        <v>4300.6670000000004</v>
      </c>
      <c r="DL90" s="2926">
        <f>SUM(DH90:DK90)</f>
        <v>15156.667000000001</v>
      </c>
      <c r="DM90" s="4297">
        <f>DM8*DM96</f>
        <v>3802.7103999999999</v>
      </c>
      <c r="DN90" s="4297">
        <f>DN8*DN96</f>
        <v>3423.8314</v>
      </c>
      <c r="DO90" s="4297">
        <f>DO8*DO96</f>
        <v>4240.4179999999997</v>
      </c>
      <c r="DP90" s="4297">
        <f>DP8*DP96</f>
        <v>5232.0920000000006</v>
      </c>
      <c r="DQ90" s="2926">
        <f>SUM(DM90:DP90)</f>
        <v>16699.051800000001</v>
      </c>
      <c r="DR90" s="4297">
        <f>DR8*DR96</f>
        <v>5005.0029999999997</v>
      </c>
      <c r="DS90" s="4297">
        <f>DS8*DS96</f>
        <v>5735.2</v>
      </c>
      <c r="DT90" s="4297">
        <f>DT8*DT96</f>
        <v>6087.1230000000005</v>
      </c>
      <c r="DU90" s="4297">
        <f>DU8*DU96</f>
        <v>7079.7134999999998</v>
      </c>
      <c r="DV90" s="2926">
        <f>SUM(DR90:DU90)</f>
        <v>23907.039499999999</v>
      </c>
      <c r="DW90" s="4297">
        <f>DW8*DW96</f>
        <v>6319.0709999999999</v>
      </c>
      <c r="DX90" s="4297">
        <f>DX8*DX96</f>
        <v>6563.1356999999998</v>
      </c>
      <c r="DY90" s="4297">
        <f>DY8*DY96</f>
        <v>6484.3960000000006</v>
      </c>
      <c r="DZ90" s="4297">
        <f>DZ8*DZ96</f>
        <v>7119.1283999999996</v>
      </c>
      <c r="EA90" s="2926">
        <f>SUM(DW90:DZ90)</f>
        <v>26485.731099999997</v>
      </c>
      <c r="EB90" s="4297">
        <f>EB8*EB96</f>
        <v>6513.9425999999994</v>
      </c>
      <c r="EC90" s="4297">
        <f>EC8*EC96</f>
        <v>7127.4015999999992</v>
      </c>
      <c r="ED90" s="4297">
        <f>ED8*ED96</f>
        <v>7484.420000000001</v>
      </c>
      <c r="EE90" s="4297">
        <f>EE8*EE96</f>
        <v>8259.4399999999987</v>
      </c>
      <c r="EF90" s="2926">
        <f>SUM(EB90:EE90)</f>
        <v>29385.2042</v>
      </c>
      <c r="EG90" s="4297">
        <f>EG8*EG96</f>
        <v>7938.8319999999994</v>
      </c>
      <c r="EH90" s="4297">
        <f>EH8*EH96</f>
        <v>8198.0210000000006</v>
      </c>
      <c r="EI90" s="4297">
        <f>EI8*EI96</f>
        <v>8543.6049999999996</v>
      </c>
      <c r="EJ90" s="4297">
        <f>EJ8*EJ96</f>
        <v>9391.1092000000008</v>
      </c>
      <c r="EK90" s="2926">
        <f>SUM(EG90:EJ90)</f>
        <v>34071.567199999998</v>
      </c>
      <c r="EL90" s="4297">
        <f>EL8*EL96</f>
        <v>8872.8499999999985</v>
      </c>
      <c r="EM90" s="4297">
        <f>EM8*EM96</f>
        <v>9591.6299999999992</v>
      </c>
      <c r="EN90" s="4297">
        <f>EN8*EN96</f>
        <v>10012.359</v>
      </c>
      <c r="EO90" s="2925">
        <f t="shared" ref="EO90" si="365">EO8*EO96</f>
        <v>11043.498085253374</v>
      </c>
      <c r="EP90" s="2926">
        <f>SUM(EL90:EO90)</f>
        <v>39520.33708525337</v>
      </c>
      <c r="EQ90" s="2925">
        <f t="shared" ref="EQ90:ET90" si="366">EQ8*EQ96</f>
        <v>10530.836515924901</v>
      </c>
      <c r="ER90" s="2925">
        <f t="shared" si="366"/>
        <v>11037.344916532791</v>
      </c>
      <c r="ES90" s="2925">
        <f t="shared" si="366"/>
        <v>11368.388519676264</v>
      </c>
      <c r="ET90" s="2925">
        <f t="shared" si="366"/>
        <v>12460.456825279845</v>
      </c>
      <c r="EU90" s="2926">
        <f>SUM(EQ90:ET90)</f>
        <v>45397.026777413805</v>
      </c>
      <c r="EV90" s="2928">
        <f>EV8*EV96</f>
        <v>50722.594991414131</v>
      </c>
      <c r="EW90" s="2928">
        <f>EW8*EW96</f>
        <v>56042.924012508098</v>
      </c>
      <c r="EX90" s="2928">
        <f>EX8*EX96</f>
        <v>60852.645577355157</v>
      </c>
      <c r="EY90" s="2928">
        <f>EY8*EY96</f>
        <v>65591.973604224244</v>
      </c>
      <c r="EZ90" s="174"/>
      <c r="FA90" s="1319">
        <f>(EV90/EK90)^(1/3)-1</f>
        <v>0.14183438705343021</v>
      </c>
      <c r="FB90" s="1319">
        <f>(EX90/EK90)^(1/5)-1</f>
        <v>0.12299409005068629</v>
      </c>
    </row>
    <row r="91" spans="1:158" s="1105" customFormat="1" ht="11.25" hidden="1" customHeight="1" outlineLevel="1">
      <c r="A91" s="5639" t="s">
        <v>45</v>
      </c>
      <c r="B91" s="185"/>
      <c r="C91" s="185"/>
      <c r="D91" s="185"/>
      <c r="E91" s="185"/>
      <c r="F91" s="5569"/>
      <c r="G91" s="185"/>
      <c r="H91" s="185"/>
      <c r="I91" s="185"/>
      <c r="J91" s="185"/>
      <c r="K91" s="1505"/>
      <c r="L91" s="185"/>
      <c r="M91" s="185"/>
      <c r="N91" s="185"/>
      <c r="O91" s="185"/>
      <c r="P91" s="992"/>
      <c r="Q91" s="1226" t="s">
        <v>116</v>
      </c>
      <c r="R91" s="169" t="s">
        <v>116</v>
      </c>
      <c r="S91" s="169" t="s">
        <v>116</v>
      </c>
      <c r="T91" s="184" t="s">
        <v>116</v>
      </c>
      <c r="U91" s="992"/>
      <c r="V91" s="1226" t="s">
        <v>116</v>
      </c>
      <c r="W91" s="169" t="s">
        <v>116</v>
      </c>
      <c r="X91" s="169" t="s">
        <v>116</v>
      </c>
      <c r="Y91" s="169" t="s">
        <v>116</v>
      </c>
      <c r="Z91" s="992"/>
      <c r="AA91" s="1226" t="s">
        <v>116</v>
      </c>
      <c r="AB91" s="169" t="s">
        <v>116</v>
      </c>
      <c r="AC91" s="169" t="s">
        <v>116</v>
      </c>
      <c r="AD91" s="169" t="s">
        <v>116</v>
      </c>
      <c r="AE91" s="992"/>
      <c r="AF91" s="1226" t="s">
        <v>116</v>
      </c>
      <c r="AG91" s="169" t="s">
        <v>116</v>
      </c>
      <c r="AH91" s="169" t="s">
        <v>116</v>
      </c>
      <c r="AI91" s="184" t="s">
        <v>116</v>
      </c>
      <c r="AJ91" s="992" t="s">
        <v>116</v>
      </c>
      <c r="AK91" s="1226">
        <f>+AK90/AF90-1</f>
        <v>0.78125858752404476</v>
      </c>
      <c r="AL91" s="169">
        <f>+AL90/AG90-1</f>
        <v>0.93368421052631545</v>
      </c>
      <c r="AM91" s="169">
        <f>+AM90/AH90-1</f>
        <v>0.83673469387755106</v>
      </c>
      <c r="AN91" s="169">
        <f>+AN90/AI90-1</f>
        <v>1.1265733026059208</v>
      </c>
      <c r="AO91" s="992">
        <f>AO90/AJ90-1</f>
        <v>0.93692992213570614</v>
      </c>
      <c r="AP91" s="1226">
        <f>+AP90/AK90-1</f>
        <v>1.2557852514655972</v>
      </c>
      <c r="AQ91" s="169">
        <f>+AQ90/AL90-1</f>
        <v>1.3663581927054982</v>
      </c>
      <c r="AR91" s="169">
        <f>+AR90/AM90-1</f>
        <v>1.3415555555555558</v>
      </c>
      <c r="AS91" s="169">
        <f>+AS90/AN90-1</f>
        <v>1.0901967322440811</v>
      </c>
      <c r="AT91" s="992">
        <f>AT90/AO90-1</f>
        <v>1.2442428070981451</v>
      </c>
      <c r="AU91" s="1226">
        <f>+AU90/AP90-1</f>
        <v>0.9574613595951309</v>
      </c>
      <c r="AV91" s="169">
        <f>+AV90/AQ90-1</f>
        <v>0.77639751552795033</v>
      </c>
      <c r="AW91" s="169">
        <f>+AW90/AR90-1</f>
        <v>0.58299326183923328</v>
      </c>
      <c r="AX91" s="169">
        <f>+AX90/AS90-1</f>
        <v>0.51631171731674241</v>
      </c>
      <c r="AY91" s="992">
        <f>AY90/AT90-1</f>
        <v>0.67468461321937623</v>
      </c>
      <c r="AZ91" s="1226">
        <f>+AZ90/AU90-1</f>
        <v>0.445741038362099</v>
      </c>
      <c r="BA91" s="169">
        <f>+BA90/AV90-1</f>
        <v>0.41155141155141162</v>
      </c>
      <c r="BB91" s="169">
        <f>+BB90/AW90-1</f>
        <v>0.37290167865707424</v>
      </c>
      <c r="BC91" s="169">
        <f>+BC90/AX90-1</f>
        <v>0.31457127827459219</v>
      </c>
      <c r="BD91" s="992">
        <f>BD90/AY90-1</f>
        <v>0.38100695240278082</v>
      </c>
      <c r="BE91" s="1226">
        <f>+BE90/AZ90-1</f>
        <v>0.28081198646689209</v>
      </c>
      <c r="BF91" s="169">
        <f>+BF90/BA90-1</f>
        <v>0.23394495412844041</v>
      </c>
      <c r="BG91" s="169">
        <f>+BG90/BB90-1</f>
        <v>0.24454148471615711</v>
      </c>
      <c r="BH91" s="169">
        <f>+BH90/BC90-1</f>
        <v>0.33253301320528239</v>
      </c>
      <c r="BI91" s="992">
        <f>BI90/BD90-1</f>
        <v>0.27461827838017272</v>
      </c>
      <c r="BJ91" s="1226">
        <f>+BJ90/BE90-1</f>
        <v>0.27169811320754711</v>
      </c>
      <c r="BK91" s="169">
        <f>+BK90/BF90-1</f>
        <v>0.31970260223048319</v>
      </c>
      <c r="BL91" s="169">
        <f>+BL90/BG90-1</f>
        <v>0.34385964912280698</v>
      </c>
      <c r="BM91" s="169">
        <f>+BM90/BH90-1</f>
        <v>0.32732732732732739</v>
      </c>
      <c r="BN91" s="992">
        <f>BN90/BI90-1</f>
        <v>0.31684027777777768</v>
      </c>
      <c r="BO91" s="169"/>
      <c r="BP91" s="169"/>
      <c r="BQ91" s="169"/>
      <c r="BR91" s="169"/>
      <c r="BS91" s="600"/>
      <c r="BT91" s="169">
        <f>+BT90/BJ90-1</f>
        <v>0.38872403560830859</v>
      </c>
      <c r="BU91" s="169">
        <f>BU90/BK90-1</f>
        <v>0.42816901408450714</v>
      </c>
      <c r="BV91" s="169">
        <f>+BV90/BL90-1</f>
        <v>0.45169712793733674</v>
      </c>
      <c r="BW91" s="169">
        <f>+BW90/BM90-1</f>
        <v>0.43438914027149322</v>
      </c>
      <c r="BX91" s="992">
        <f>BX90/BN90-1</f>
        <v>0.42715886618325638</v>
      </c>
      <c r="BY91" s="169"/>
      <c r="BZ91" s="169"/>
      <c r="CA91" s="169"/>
      <c r="CB91" s="169"/>
      <c r="CC91" s="600"/>
      <c r="CD91" s="576">
        <f>CD90/BT90-1</f>
        <v>0.45299145299145294</v>
      </c>
      <c r="CE91" s="169">
        <f>CE90/BU90-1</f>
        <v>0.39250493096646943</v>
      </c>
      <c r="CF91" s="169">
        <f>+CF90/BV90-1</f>
        <v>0.3579136690647482</v>
      </c>
      <c r="CG91" s="169">
        <f>+CG90/BW90-1</f>
        <v>0.2996845425867507</v>
      </c>
      <c r="CH91" s="992">
        <f>CH90/BX90-1</f>
        <v>0.36951501154734401</v>
      </c>
      <c r="CI91" s="550">
        <f>CI90/CD90-1</f>
        <v>0.24264705882352944</v>
      </c>
      <c r="CJ91" s="169">
        <f>CJ90/CE90-1</f>
        <v>0.26487252124645888</v>
      </c>
      <c r="CK91" s="169">
        <f>+CK90/CF90-1</f>
        <v>0.22781456953642376</v>
      </c>
      <c r="CL91" s="169">
        <f>+CL90/CG90-1</f>
        <v>0.17475728155339798</v>
      </c>
      <c r="CM91" s="992">
        <f>CM90/CH90-1</f>
        <v>0.22529510961214161</v>
      </c>
      <c r="CN91" s="169">
        <f>CN90/CI90-1</f>
        <v>8.0473372781065144E-2</v>
      </c>
      <c r="CO91" s="169">
        <f>CO90/CJ90-1</f>
        <v>5.8230683090705559E-2</v>
      </c>
      <c r="CP91" s="169">
        <f>+CP90/CK90-1</f>
        <v>0.13484358144552311</v>
      </c>
      <c r="CQ91" s="169">
        <f>+CQ90/CL90-1</f>
        <v>0.23037190082644621</v>
      </c>
      <c r="CR91" s="992">
        <f t="shared" ref="CR91:DH91" si="367">CR90/CM90-1</f>
        <v>0.12881915772089192</v>
      </c>
      <c r="CS91" s="169">
        <f t="shared" si="367"/>
        <v>0.33296823658269448</v>
      </c>
      <c r="CT91" s="169">
        <f t="shared" si="367"/>
        <v>0.43068783068783079</v>
      </c>
      <c r="CU91" s="169">
        <f t="shared" si="367"/>
        <v>0.48193916349809895</v>
      </c>
      <c r="CV91" s="169">
        <f t="shared" si="367"/>
        <v>0.48278757346767431</v>
      </c>
      <c r="CW91" s="992">
        <f t="shared" si="367"/>
        <v>0.43721043647890756</v>
      </c>
      <c r="CX91" s="169">
        <f t="shared" si="367"/>
        <v>0.48315529991783079</v>
      </c>
      <c r="CY91" s="169">
        <f t="shared" si="367"/>
        <v>0.51553254437869822</v>
      </c>
      <c r="CZ91" s="2612">
        <f t="shared" si="367"/>
        <v>0.54008980115458627</v>
      </c>
      <c r="DA91" s="169">
        <f t="shared" si="367"/>
        <v>0.57191392978482436</v>
      </c>
      <c r="DB91" s="992">
        <f t="shared" si="367"/>
        <v>0.53223617237869014</v>
      </c>
      <c r="DC91" s="2612">
        <f t="shared" si="367"/>
        <v>0.60775623268698054</v>
      </c>
      <c r="DD91" s="2612">
        <f t="shared" si="367"/>
        <v>0.46852122986822842</v>
      </c>
      <c r="DE91" s="2612">
        <f t="shared" si="367"/>
        <v>0.31403581840899619</v>
      </c>
      <c r="DF91" s="2612">
        <f t="shared" si="367"/>
        <v>0.26296829971181546</v>
      </c>
      <c r="DG91" s="2588">
        <f t="shared" si="367"/>
        <v>0.39209389879304624</v>
      </c>
      <c r="DH91" s="2612">
        <f t="shared" si="367"/>
        <v>0.16574776016540316</v>
      </c>
      <c r="DI91" s="2612">
        <f t="shared" ref="DI91:EI91" si="368">DI90/DD90-1</f>
        <v>0.20206048521103348</v>
      </c>
      <c r="DJ91" s="2612">
        <f t="shared" si="368"/>
        <v>0.22218700475435815</v>
      </c>
      <c r="DK91" s="2660">
        <f t="shared" si="368"/>
        <v>0.2266591557330293</v>
      </c>
      <c r="DL91" s="2597">
        <f t="shared" si="368"/>
        <v>0.20558916640152725</v>
      </c>
      <c r="DM91" s="2660">
        <f t="shared" si="368"/>
        <v>0.12406455808454031</v>
      </c>
      <c r="DN91" s="2660">
        <f t="shared" si="368"/>
        <v>-5.3405750622062431E-2</v>
      </c>
      <c r="DO91" s="2660">
        <f t="shared" si="368"/>
        <v>9.9693464730290282E-2</v>
      </c>
      <c r="DP91" s="2660">
        <f t="shared" si="368"/>
        <v>0.21657687051799179</v>
      </c>
      <c r="DQ91" s="2597">
        <f t="shared" si="368"/>
        <v>0.10176279521084686</v>
      </c>
      <c r="DR91" s="2660">
        <f t="shared" si="368"/>
        <v>0.31616727900184038</v>
      </c>
      <c r="DS91" s="2660">
        <f t="shared" si="368"/>
        <v>0.67508248215726963</v>
      </c>
      <c r="DT91" s="2660">
        <f t="shared" si="368"/>
        <v>0.43550069828021698</v>
      </c>
      <c r="DU91" s="2660">
        <f t="shared" si="368"/>
        <v>0.35313245638647017</v>
      </c>
      <c r="DV91" s="2597">
        <f>DV90/DQ90-1</f>
        <v>0.43164053781784162</v>
      </c>
      <c r="DW91" s="2660">
        <f t="shared" si="368"/>
        <v>0.26255089157788714</v>
      </c>
      <c r="DX91" s="2660">
        <f>DX90/DS90-1</f>
        <v>0.1443603884781699</v>
      </c>
      <c r="DY91" s="2660">
        <f t="shared" si="368"/>
        <v>6.526449358752906E-2</v>
      </c>
      <c r="DZ91" s="2660">
        <f t="shared" si="368"/>
        <v>5.5673015581774177E-3</v>
      </c>
      <c r="EA91" s="2597">
        <f t="shared" ref="EA91:EF91" si="369">EA90/DV90-1</f>
        <v>0.10786327600286927</v>
      </c>
      <c r="EB91" s="2660">
        <f t="shared" si="368"/>
        <v>3.0838647009979736E-2</v>
      </c>
      <c r="EC91" s="2660">
        <f>EC90/DX90-1</f>
        <v>8.5975046958117751E-2</v>
      </c>
      <c r="ED91" s="2660">
        <f t="shared" si="368"/>
        <v>0.15422006922464337</v>
      </c>
      <c r="EE91" s="2660">
        <f t="shared" si="368"/>
        <v>0.16017573162467458</v>
      </c>
      <c r="EF91" s="2597">
        <f t="shared" si="369"/>
        <v>0.10947302489225996</v>
      </c>
      <c r="EG91" s="2660">
        <f t="shared" si="368"/>
        <v>0.21874454343518468</v>
      </c>
      <c r="EH91" s="2660">
        <f>EH90/EC90-1</f>
        <v>0.15021174055914033</v>
      </c>
      <c r="EI91" s="2660">
        <f t="shared" si="368"/>
        <v>0.14151864807159376</v>
      </c>
      <c r="EJ91" s="2660">
        <f>EJ90/EE90-1</f>
        <v>0.13701524558565747</v>
      </c>
      <c r="EK91" s="2597">
        <f>EK90/EF90-1</f>
        <v>0.15948036188906234</v>
      </c>
      <c r="EL91" s="2660">
        <f t="shared" ref="EL91" si="370">EL90/EG90-1</f>
        <v>0.1176518157834805</v>
      </c>
      <c r="EM91" s="2660">
        <f>EM90/EH90-1</f>
        <v>0.16999334351546525</v>
      </c>
      <c r="EN91" s="2660">
        <f t="shared" ref="EN91" si="371">EN90/EI90-1</f>
        <v>0.17191267620635564</v>
      </c>
      <c r="EO91" s="2660">
        <f t="shared" ref="EO91" si="372">EO90/EJ90-1</f>
        <v>0.17595247271252812</v>
      </c>
      <c r="EP91" s="2597">
        <f>EP90/EK90-1</f>
        <v>0.15992131660011721</v>
      </c>
      <c r="EQ91" s="2660">
        <f t="shared" ref="EQ91" si="373">EQ90/EL90-1</f>
        <v>0.1868606497264016</v>
      </c>
      <c r="ER91" s="2660">
        <f t="shared" ref="ER91" si="374">ER90/EM90-1</f>
        <v>0.15072671866333387</v>
      </c>
      <c r="ES91" s="2660">
        <f t="shared" ref="ES91" si="375">ES90/EN90-1</f>
        <v>0.13543556715018545</v>
      </c>
      <c r="ET91" s="2660">
        <f t="shared" ref="ET91" si="376">ET90/EO90-1</f>
        <v>0.1283070571559719</v>
      </c>
      <c r="EU91" s="2597">
        <f>EU90/EP90-1</f>
        <v>0.14870039391322054</v>
      </c>
      <c r="EV91" s="4418">
        <f>EV90/EU90-1</f>
        <v>0.11731094725899394</v>
      </c>
      <c r="EW91" s="4418">
        <f>EW90/EV90-1</f>
        <v>0.10489071038251385</v>
      </c>
      <c r="EX91" s="4418">
        <f>EX90/EW90-1</f>
        <v>8.5822102425876068E-2</v>
      </c>
      <c r="EY91" s="4418">
        <f>EY90/EX90-1</f>
        <v>7.7882037533512083E-2</v>
      </c>
      <c r="EZ91" s="185"/>
      <c r="FA91" s="1104"/>
      <c r="FB91" s="1104"/>
    </row>
    <row r="92" spans="1:158" s="1105" customFormat="1" ht="11.25" hidden="1" customHeight="1" outlineLevel="1">
      <c r="A92" s="5788" t="s">
        <v>1050</v>
      </c>
      <c r="B92" s="185"/>
      <c r="C92" s="185"/>
      <c r="D92" s="185"/>
      <c r="E92" s="185"/>
      <c r="F92" s="5569"/>
      <c r="G92" s="185"/>
      <c r="H92" s="185"/>
      <c r="I92" s="185"/>
      <c r="J92" s="185"/>
      <c r="K92" s="5569"/>
      <c r="L92" s="185"/>
      <c r="M92" s="185"/>
      <c r="N92" s="185"/>
      <c r="O92" s="185"/>
      <c r="P92" s="4241"/>
      <c r="Q92" s="5789"/>
      <c r="R92" s="5790"/>
      <c r="S92" s="5790"/>
      <c r="T92" s="5791"/>
      <c r="U92" s="4241"/>
      <c r="V92" s="5789"/>
      <c r="W92" s="5790"/>
      <c r="X92" s="5790"/>
      <c r="Y92" s="5790"/>
      <c r="Z92" s="4241"/>
      <c r="AA92" s="5789"/>
      <c r="AB92" s="5790"/>
      <c r="AC92" s="5790"/>
      <c r="AD92" s="5790"/>
      <c r="AE92" s="4241"/>
      <c r="AF92" s="2611"/>
      <c r="AG92" s="2612"/>
      <c r="AH92" s="2612"/>
      <c r="AI92" s="2612"/>
      <c r="AJ92" s="4241"/>
      <c r="AK92" s="2611"/>
      <c r="AL92" s="2612"/>
      <c r="AM92" s="2612"/>
      <c r="AN92" s="2612"/>
      <c r="AO92" s="4241"/>
      <c r="AP92" s="2611"/>
      <c r="AQ92" s="2612"/>
      <c r="AR92" s="2612"/>
      <c r="AS92" s="2612"/>
      <c r="AT92" s="4241"/>
      <c r="AU92" s="2611"/>
      <c r="AV92" s="2612"/>
      <c r="AW92" s="2612"/>
      <c r="AX92" s="2612"/>
      <c r="AY92" s="4241"/>
      <c r="AZ92" s="2611"/>
      <c r="BA92" s="2612"/>
      <c r="BB92" s="2612"/>
      <c r="BC92" s="2612"/>
      <c r="BD92" s="4241"/>
      <c r="BE92" s="2611"/>
      <c r="BF92" s="2612"/>
      <c r="BG92" s="2612"/>
      <c r="BH92" s="2612"/>
      <c r="BI92" s="4241"/>
      <c r="BJ92" s="2611"/>
      <c r="BK92" s="2612"/>
      <c r="BL92" s="2612"/>
      <c r="BM92" s="2612"/>
      <c r="BN92" s="4241"/>
      <c r="BO92" s="2612"/>
      <c r="BP92" s="2612"/>
      <c r="BQ92" s="2612"/>
      <c r="BR92" s="2612"/>
      <c r="BS92" s="2587"/>
      <c r="BT92" s="2612"/>
      <c r="BU92" s="2612"/>
      <c r="BV92" s="2612"/>
      <c r="BW92" s="2612"/>
      <c r="BX92" s="2587"/>
      <c r="BY92" s="2612"/>
      <c r="BZ92" s="2612"/>
      <c r="CA92" s="2612"/>
      <c r="CB92" s="2612"/>
      <c r="CC92" s="2587"/>
      <c r="CD92" s="5792"/>
      <c r="CE92" s="5792"/>
      <c r="CF92" s="5792"/>
      <c r="CG92" s="5792"/>
      <c r="CH92" s="2587"/>
      <c r="CI92" s="5792"/>
      <c r="CJ92" s="5792"/>
      <c r="CK92" s="5792"/>
      <c r="CL92" s="5792"/>
      <c r="CM92" s="2587"/>
      <c r="CN92" s="5792"/>
      <c r="CO92" s="5792"/>
      <c r="CP92" s="5792"/>
      <c r="CQ92" s="5792"/>
      <c r="CR92" s="5793"/>
      <c r="CS92" s="5792"/>
      <c r="CT92" s="5792"/>
      <c r="CU92" s="5792"/>
      <c r="CV92" s="5792"/>
      <c r="CW92" s="5793"/>
      <c r="CX92" s="5792"/>
      <c r="CY92" s="5792"/>
      <c r="CZ92" s="5792"/>
      <c r="DA92" s="5792"/>
      <c r="DB92" s="5793"/>
      <c r="DC92" s="5792"/>
      <c r="DD92" s="5792"/>
      <c r="DE92" s="5792"/>
      <c r="DF92" s="5792"/>
      <c r="DG92" s="5793"/>
      <c r="DH92" s="5792"/>
      <c r="DI92" s="5792"/>
      <c r="DJ92" s="5792"/>
      <c r="DK92" s="5794"/>
      <c r="DL92" s="4418">
        <f>DL9</f>
        <v>0.15028840742824978</v>
      </c>
      <c r="DM92" s="2660">
        <f t="shared" ref="DM92:EV92" si="377">DM9</f>
        <v>8.6707765999911368E-2</v>
      </c>
      <c r="DN92" s="2660">
        <f t="shared" si="377"/>
        <v>-9.8257338634633262E-2</v>
      </c>
      <c r="DO92" s="2660">
        <f t="shared" si="377"/>
        <v>6.4548724788812128E-2</v>
      </c>
      <c r="DP92" s="2660">
        <f t="shared" si="377"/>
        <v>0.17355159095089201</v>
      </c>
      <c r="DQ92" s="4418">
        <f t="shared" si="377"/>
        <v>6.0612546501554343E-2</v>
      </c>
      <c r="DR92" s="2660">
        <f t="shared" si="377"/>
        <v>0.30107746306423966</v>
      </c>
      <c r="DS92" s="2660">
        <f t="shared" si="377"/>
        <v>0.68136404146535945</v>
      </c>
      <c r="DT92" s="2660">
        <f t="shared" si="377"/>
        <v>0.43997266307236682</v>
      </c>
      <c r="DU92" s="2660">
        <f t="shared" si="377"/>
        <v>0.35727047613077145</v>
      </c>
      <c r="DV92" s="4418">
        <f t="shared" si="377"/>
        <v>0.43136783840402826</v>
      </c>
      <c r="DW92" s="2660">
        <f t="shared" si="377"/>
        <v>0.24276169265033398</v>
      </c>
      <c r="DX92" s="2660">
        <f t="shared" si="377"/>
        <v>0.13513739712651684</v>
      </c>
      <c r="DY92" s="2660">
        <f t="shared" si="377"/>
        <v>4.2530190370722032E-2</v>
      </c>
      <c r="DZ92" s="2660">
        <f t="shared" si="377"/>
        <v>-1.6096625943973542E-2</v>
      </c>
      <c r="EA92" s="4418">
        <f t="shared" si="377"/>
        <v>9.0627118985438182E-2</v>
      </c>
      <c r="EB92" s="2660">
        <f t="shared" si="377"/>
        <v>1.8703619566863505E-2</v>
      </c>
      <c r="EC92" s="2660">
        <f t="shared" si="377"/>
        <v>4.7654157143208309E-2</v>
      </c>
      <c r="ED92" s="2660">
        <f>ED9</f>
        <v>0.11348289031083225</v>
      </c>
      <c r="EE92" s="2660">
        <f t="shared" ref="EE92" si="378">EE9</f>
        <v>0.12712421368885551</v>
      </c>
      <c r="EF92" s="4418">
        <f t="shared" si="377"/>
        <v>7.7457679285934056E-2</v>
      </c>
      <c r="EG92" s="2660">
        <f t="shared" ref="EG92:EH92" si="379">EG9</f>
        <v>0.14363586808394668</v>
      </c>
      <c r="EH92" s="2660">
        <f t="shared" si="379"/>
        <v>0.13796096462419061</v>
      </c>
      <c r="EI92" s="2660">
        <f>EI9</f>
        <v>0.12172352700676869</v>
      </c>
      <c r="EJ92" s="2660">
        <f>EJ9</f>
        <v>0.12523948354852155</v>
      </c>
      <c r="EK92" s="4418">
        <f>EK9</f>
        <v>0.13169516605440124</v>
      </c>
      <c r="EL92" s="2660">
        <f t="shared" ref="EL92:EM92" si="380">EL9</f>
        <v>9.8492070370049367E-2</v>
      </c>
      <c r="EM92" s="2660">
        <f t="shared" si="380"/>
        <v>0.11711228844132027</v>
      </c>
      <c r="EN92" s="2660">
        <f>EN9</f>
        <v>0.14542877391920617</v>
      </c>
      <c r="EO92" s="2660">
        <f t="shared" ref="EO92" si="381">EO9</f>
        <v>0.14498901824894928</v>
      </c>
      <c r="EP92" s="4418">
        <f>EP9</f>
        <v>0.12743753464219076</v>
      </c>
      <c r="EQ92" s="2660">
        <f t="shared" ref="EQ92:ET92" si="382">EQ9</f>
        <v>0.1603386240341913</v>
      </c>
      <c r="ER92" s="2660">
        <f t="shared" si="382"/>
        <v>0.13154794001894476</v>
      </c>
      <c r="ES92" s="2660">
        <f t="shared" si="382"/>
        <v>0.11341881100045881</v>
      </c>
      <c r="ET92" s="2660">
        <f t="shared" si="382"/>
        <v>0.11272270553779551</v>
      </c>
      <c r="EU92" s="4418">
        <f>EU9</f>
        <v>0.12827717552137097</v>
      </c>
      <c r="EV92" s="4418">
        <f t="shared" si="377"/>
        <v>0.10000000000000009</v>
      </c>
      <c r="EW92" s="4418">
        <f>EW9</f>
        <v>9.000000000000008E-2</v>
      </c>
      <c r="EX92" s="4418">
        <f>EX9</f>
        <v>8.0000000000000071E-2</v>
      </c>
      <c r="EY92" s="4418">
        <f>EY9</f>
        <v>7.4999999999999956E-2</v>
      </c>
      <c r="EZ92" s="185"/>
      <c r="FA92" s="1104"/>
      <c r="FB92" s="1104"/>
    </row>
    <row r="93" spans="1:158" s="161" customFormat="1" ht="11.25" hidden="1" customHeight="1" outlineLevel="1">
      <c r="A93" s="5652" t="s">
        <v>878</v>
      </c>
      <c r="B93" s="159"/>
      <c r="C93" s="159"/>
      <c r="D93" s="159"/>
      <c r="E93" s="159"/>
      <c r="F93" s="5618"/>
      <c r="G93" s="159"/>
      <c r="H93" s="159"/>
      <c r="I93" s="159"/>
      <c r="J93" s="159"/>
      <c r="K93" s="4228"/>
      <c r="L93" s="159"/>
      <c r="M93" s="159"/>
      <c r="N93" s="159"/>
      <c r="O93" s="159"/>
      <c r="P93" s="4229"/>
      <c r="Q93" s="4207">
        <v>0</v>
      </c>
      <c r="R93" s="4208">
        <v>0</v>
      </c>
      <c r="S93" s="4208">
        <v>0</v>
      </c>
      <c r="T93" s="4209">
        <v>0</v>
      </c>
      <c r="U93" s="4229"/>
      <c r="V93" s="4207">
        <v>0</v>
      </c>
      <c r="W93" s="4208">
        <v>0</v>
      </c>
      <c r="X93" s="4208">
        <v>0</v>
      </c>
      <c r="Y93" s="4209">
        <v>0</v>
      </c>
      <c r="Z93" s="4229"/>
      <c r="AA93" s="4207">
        <v>0</v>
      </c>
      <c r="AB93" s="4208">
        <v>0</v>
      </c>
      <c r="AC93" s="4208">
        <v>0</v>
      </c>
      <c r="AD93" s="4209">
        <v>0</v>
      </c>
      <c r="AE93" s="4230">
        <f t="shared" ref="AE93:BN93" si="383">AE90/AE22</f>
        <v>0</v>
      </c>
      <c r="AF93" s="4231">
        <f t="shared" si="383"/>
        <v>2.7694207245516949E-2</v>
      </c>
      <c r="AG93" s="709">
        <f t="shared" si="383"/>
        <v>2.5774174819445123E-2</v>
      </c>
      <c r="AH93" s="709">
        <f t="shared" si="383"/>
        <v>2.7693660638491477E-2</v>
      </c>
      <c r="AI93" s="709">
        <f t="shared" si="383"/>
        <v>2.5682631693487518E-2</v>
      </c>
      <c r="AJ93" s="4230">
        <f t="shared" si="383"/>
        <v>2.6620783766805965E-2</v>
      </c>
      <c r="AK93" s="4231">
        <f t="shared" si="383"/>
        <v>2.4982328914212946E-2</v>
      </c>
      <c r="AL93" s="709">
        <f t="shared" si="383"/>
        <v>2.5648167733711421E-2</v>
      </c>
      <c r="AM93" s="709">
        <f t="shared" si="383"/>
        <v>2.7675668229009388E-2</v>
      </c>
      <c r="AN93" s="709">
        <f t="shared" si="383"/>
        <v>3.0338252803936389E-2</v>
      </c>
      <c r="AO93" s="4230">
        <f t="shared" si="383"/>
        <v>2.749653904901736E-2</v>
      </c>
      <c r="AP93" s="4231">
        <f t="shared" si="383"/>
        <v>3.2035987574716679E-2</v>
      </c>
      <c r="AQ93" s="709">
        <f t="shared" si="383"/>
        <v>3.4967763213462628E-2</v>
      </c>
      <c r="AR93" s="709">
        <f t="shared" si="383"/>
        <v>3.8529945633175321E-2</v>
      </c>
      <c r="AS93" s="709">
        <f t="shared" si="383"/>
        <v>4.0162881194180176E-2</v>
      </c>
      <c r="AT93" s="4230">
        <f t="shared" si="383"/>
        <v>3.678125305302566E-2</v>
      </c>
      <c r="AU93" s="4231">
        <f t="shared" si="383"/>
        <v>4.2086163265846278E-2</v>
      </c>
      <c r="AV93" s="709">
        <f t="shared" si="383"/>
        <v>4.3748911163705738E-2</v>
      </c>
      <c r="AW93" s="709">
        <f t="shared" si="383"/>
        <v>4.5423463506413617E-2</v>
      </c>
      <c r="AX93" s="709">
        <f t="shared" si="383"/>
        <v>4.9879748087593136E-2</v>
      </c>
      <c r="AY93" s="4230">
        <f t="shared" si="383"/>
        <v>4.5404319061134839E-2</v>
      </c>
      <c r="AZ93" s="4231">
        <f t="shared" si="383"/>
        <v>5.6027597315116376E-2</v>
      </c>
      <c r="BA93" s="709">
        <f t="shared" si="383"/>
        <v>5.9683055597230264E-2</v>
      </c>
      <c r="BB93" s="709">
        <f t="shared" si="383"/>
        <v>5.7890690747171632E-2</v>
      </c>
      <c r="BC93" s="709">
        <f t="shared" si="383"/>
        <v>5.6521786332719925E-2</v>
      </c>
      <c r="BD93" s="4230">
        <f t="shared" si="383"/>
        <v>5.7484547927089895E-2</v>
      </c>
      <c r="BE93" s="4231">
        <f t="shared" si="383"/>
        <v>5.9698130209506643E-2</v>
      </c>
      <c r="BF93" s="709">
        <f t="shared" si="383"/>
        <v>5.9791064681040229E-2</v>
      </c>
      <c r="BG93" s="709">
        <f t="shared" si="383"/>
        <v>5.8969584109248914E-2</v>
      </c>
      <c r="BH93" s="709">
        <f t="shared" si="383"/>
        <v>5.8709449929478137E-2</v>
      </c>
      <c r="BI93" s="4230">
        <f t="shared" si="383"/>
        <v>5.9250115722882274E-2</v>
      </c>
      <c r="BJ93" s="4231">
        <f t="shared" si="383"/>
        <v>5.7322673924136758E-2</v>
      </c>
      <c r="BK93" s="709">
        <f t="shared" si="383"/>
        <v>5.696405648267009E-2</v>
      </c>
      <c r="BL93" s="709">
        <f t="shared" si="383"/>
        <v>5.682492581602374E-2</v>
      </c>
      <c r="BM93" s="709">
        <f t="shared" si="383"/>
        <v>6.0597751576638333E-2</v>
      </c>
      <c r="BN93" s="4230">
        <f t="shared" si="383"/>
        <v>5.8022566456301397E-2</v>
      </c>
      <c r="BO93" s="709"/>
      <c r="BP93" s="709"/>
      <c r="BQ93" s="709"/>
      <c r="BR93" s="709"/>
      <c r="BS93" s="4232"/>
      <c r="BT93" s="709">
        <f>BT90/BT22</f>
        <v>6.4004376367614885E-2</v>
      </c>
      <c r="BU93" s="709">
        <f>BU90/BU22</f>
        <v>6.7223548130469366E-2</v>
      </c>
      <c r="BV93" s="709">
        <f>BV90/BV22</f>
        <v>7.1955480781674644E-2</v>
      </c>
      <c r="BW93" s="709">
        <f>BW90/BW22</f>
        <v>7.3379629629629628E-2</v>
      </c>
      <c r="BX93" s="4230">
        <f>BX90/BX22</f>
        <v>6.9344351558246059E-2</v>
      </c>
      <c r="BY93" s="709"/>
      <c r="BZ93" s="709"/>
      <c r="CA93" s="709"/>
      <c r="CB93" s="709"/>
      <c r="CC93" s="4232"/>
      <c r="CD93" s="4233">
        <f t="shared" ref="CD93:DI93" si="384">CD90/CD22</f>
        <v>7.8703703703703706E-2</v>
      </c>
      <c r="CE93" s="709">
        <f t="shared" si="384"/>
        <v>7.9612088407758227E-2</v>
      </c>
      <c r="CF93" s="709">
        <f t="shared" si="384"/>
        <v>8.0524744027303752E-2</v>
      </c>
      <c r="CG93" s="709">
        <f t="shared" si="384"/>
        <v>7.8193205541848554E-2</v>
      </c>
      <c r="CH93" s="4230">
        <f t="shared" si="384"/>
        <v>7.9231468120357015E-2</v>
      </c>
      <c r="CI93" s="709">
        <f t="shared" si="384"/>
        <v>8.0714490400229252E-2</v>
      </c>
      <c r="CJ93" s="709">
        <f t="shared" si="384"/>
        <v>8.1664380429812528E-2</v>
      </c>
      <c r="CK93" s="709">
        <f t="shared" si="384"/>
        <v>8.2385353714895124E-2</v>
      </c>
      <c r="CL93" s="709">
        <f t="shared" si="384"/>
        <v>7.7882371872234291E-2</v>
      </c>
      <c r="CM93" s="4230">
        <f t="shared" si="384"/>
        <v>8.0581124542530774E-2</v>
      </c>
      <c r="CN93" s="709">
        <f t="shared" si="384"/>
        <v>7.6516929265839764E-2</v>
      </c>
      <c r="CO93" s="709">
        <f t="shared" si="384"/>
        <v>7.6197387518142229E-2</v>
      </c>
      <c r="CP93" s="709">
        <f t="shared" si="384"/>
        <v>8.0385114999617938E-2</v>
      </c>
      <c r="CQ93" s="709">
        <f t="shared" si="384"/>
        <v>7.9740224959828604E-2</v>
      </c>
      <c r="CR93" s="4234">
        <f t="shared" si="384"/>
        <v>7.8327635273220397E-2</v>
      </c>
      <c r="CS93" s="732">
        <f t="shared" si="384"/>
        <v>8.4938581797878276E-2</v>
      </c>
      <c r="CT93" s="732">
        <f t="shared" si="384"/>
        <v>8.7792207792207796E-2</v>
      </c>
      <c r="CU93" s="732">
        <f t="shared" si="384"/>
        <v>9.6898502082167937E-2</v>
      </c>
      <c r="CV93" s="732">
        <f t="shared" si="384"/>
        <v>9.8285841495992871E-2</v>
      </c>
      <c r="CW93" s="4234">
        <f t="shared" si="384"/>
        <v>9.2404170259465387E-2</v>
      </c>
      <c r="CX93" s="732">
        <f t="shared" si="384"/>
        <v>0.10371774981325059</v>
      </c>
      <c r="CY93" s="732">
        <f t="shared" si="384"/>
        <v>0.11120759837177747</v>
      </c>
      <c r="CZ93" s="732">
        <f t="shared" si="384"/>
        <v>0.12173604421234092</v>
      </c>
      <c r="DA93" s="732">
        <f t="shared" si="384"/>
        <v>0.12483698340603498</v>
      </c>
      <c r="DB93" s="4234">
        <f t="shared" si="384"/>
        <v>0.11583997126768512</v>
      </c>
      <c r="DC93" s="732">
        <f t="shared" si="384"/>
        <v>0.13192108373488498</v>
      </c>
      <c r="DD93" s="732">
        <f t="shared" si="384"/>
        <v>0.12935259221047202</v>
      </c>
      <c r="DE93" s="732">
        <f t="shared" si="384"/>
        <v>0.13116321609711482</v>
      </c>
      <c r="DF93" s="732">
        <f t="shared" si="384"/>
        <v>0.13021355617455896</v>
      </c>
      <c r="DG93" s="4234">
        <f t="shared" si="384"/>
        <v>0.13034597878715617</v>
      </c>
      <c r="DH93" s="732">
        <f t="shared" si="384"/>
        <v>0.13229313311434382</v>
      </c>
      <c r="DI93" s="732">
        <f t="shared" si="384"/>
        <v>0.13275830427601396</v>
      </c>
      <c r="DJ93" s="732">
        <f t="shared" ref="DJ93:DV93" si="385">DJ90/DJ22</f>
        <v>0.13508495358206341</v>
      </c>
      <c r="DK93" s="4530">
        <f t="shared" si="385"/>
        <v>0.13480869537960002</v>
      </c>
      <c r="DL93" s="4420">
        <f t="shared" si="385"/>
        <v>0.13381716167537788</v>
      </c>
      <c r="DM93" s="4530">
        <f t="shared" si="385"/>
        <v>0.13324142957252977</v>
      </c>
      <c r="DN93" s="4530">
        <f t="shared" si="385"/>
        <v>0.13623936174445903</v>
      </c>
      <c r="DO93" s="4530">
        <f t="shared" si="385"/>
        <v>0.13515276494023903</v>
      </c>
      <c r="DP93" s="4530">
        <f t="shared" si="385"/>
        <v>0.13488945034546768</v>
      </c>
      <c r="DQ93" s="4420">
        <f t="shared" si="385"/>
        <v>0.13485029797955328</v>
      </c>
      <c r="DR93" s="4530">
        <f t="shared" si="385"/>
        <v>0.13211390032731496</v>
      </c>
      <c r="DS93" s="4530">
        <f t="shared" si="385"/>
        <v>0.13385301187947815</v>
      </c>
      <c r="DT93" s="4530">
        <f t="shared" si="385"/>
        <v>0.13487675876891717</v>
      </c>
      <c r="DU93" s="4530">
        <f t="shared" si="385"/>
        <v>0.13632135980282667</v>
      </c>
      <c r="DV93" s="4420">
        <f t="shared" si="385"/>
        <v>0.13446331469774347</v>
      </c>
      <c r="DW93" s="4530">
        <f t="shared" ref="DW93:EF93" si="386">DW90/DW22</f>
        <v>0.13593200249532128</v>
      </c>
      <c r="DX93" s="4530">
        <f t="shared" si="386"/>
        <v>0.13664943471652544</v>
      </c>
      <c r="DY93" s="4530">
        <f t="shared" si="386"/>
        <v>0.13912027461918045</v>
      </c>
      <c r="DZ93" s="4530">
        <f t="shared" si="386"/>
        <v>0.14078605414598452</v>
      </c>
      <c r="EA93" s="4420">
        <f t="shared" si="386"/>
        <v>0.13816744012561752</v>
      </c>
      <c r="EB93" s="4530">
        <f>EB90/EB22</f>
        <v>0.13844135424636572</v>
      </c>
      <c r="EC93" s="4530">
        <f>EC90/EC22</f>
        <v>0.14171756705704569</v>
      </c>
      <c r="ED93" s="4530">
        <f>ED90/ED22</f>
        <v>0.14399207356958715</v>
      </c>
      <c r="EE93" s="4530">
        <f t="shared" ref="EE93" si="387">EE90/EE22</f>
        <v>0.14434533379937084</v>
      </c>
      <c r="EF93" s="4420">
        <f t="shared" si="386"/>
        <v>0.14227160542840958</v>
      </c>
      <c r="EG93" s="4530">
        <f>EG90/EG22</f>
        <v>0.14634870773881944</v>
      </c>
      <c r="EH93" s="4530">
        <f>EH90/EH22</f>
        <v>0.14339223745889598</v>
      </c>
      <c r="EI93" s="4530">
        <f>EI90/EI22</f>
        <v>0.14653045998696532</v>
      </c>
      <c r="EJ93" s="4530">
        <f t="shared" ref="EJ93:EW93" si="388">EJ90/EJ22</f>
        <v>0.14558279256514797</v>
      </c>
      <c r="EK93" s="4420">
        <f t="shared" si="388"/>
        <v>0.14546139153229076</v>
      </c>
      <c r="EL93" s="4530">
        <f>EL90/EL22</f>
        <v>0.14880091901591505</v>
      </c>
      <c r="EM93" s="4530">
        <f>EM90/EM22</f>
        <v>0.14990200981464694</v>
      </c>
      <c r="EN93" s="4530">
        <f>EN90/EN22</f>
        <v>0.1498228137906267</v>
      </c>
      <c r="EO93" s="4530">
        <f t="shared" ref="EO93:EP93" si="389">EO90/EO22</f>
        <v>0.14962674227219522</v>
      </c>
      <c r="EP93" s="4420">
        <f t="shared" si="389"/>
        <v>0.14955663184686346</v>
      </c>
      <c r="EQ93" s="4530">
        <f t="shared" ref="EQ93:EU93" si="390">EQ90/EQ22</f>
        <v>0.15210087898716557</v>
      </c>
      <c r="ER93" s="4530">
        <f t="shared" si="390"/>
        <v>0.15213217749492278</v>
      </c>
      <c r="ES93" s="4530">
        <f t="shared" si="390"/>
        <v>0.152367643057707</v>
      </c>
      <c r="ET93" s="4530">
        <f t="shared" si="390"/>
        <v>0.15117407789798035</v>
      </c>
      <c r="EU93" s="4420">
        <f t="shared" si="390"/>
        <v>0.15191944467700497</v>
      </c>
      <c r="EV93" s="4499">
        <f t="shared" si="388"/>
        <v>0.15409062143059729</v>
      </c>
      <c r="EW93" s="4499">
        <f t="shared" si="388"/>
        <v>0.15596963627390523</v>
      </c>
      <c r="EX93" s="4499">
        <f t="shared" ref="EX93:EY93" si="391">EX90/EX22</f>
        <v>0.15657964260909707</v>
      </c>
      <c r="EY93" s="4499">
        <f t="shared" si="391"/>
        <v>0.15676547348618311</v>
      </c>
      <c r="EZ93" s="174"/>
      <c r="FA93" s="1104"/>
      <c r="FB93" s="1104"/>
    </row>
    <row r="94" spans="1:158" s="161" customFormat="1" ht="11.25" hidden="1" customHeight="1" outlineLevel="1">
      <c r="A94" s="5653" t="s">
        <v>680</v>
      </c>
      <c r="B94" s="174"/>
      <c r="C94" s="174"/>
      <c r="D94" s="174"/>
      <c r="E94" s="174"/>
      <c r="F94" s="5619"/>
      <c r="G94" s="174"/>
      <c r="H94" s="174"/>
      <c r="I94" s="174"/>
      <c r="J94" s="174"/>
      <c r="K94" s="1718"/>
      <c r="L94" s="174"/>
      <c r="M94" s="174"/>
      <c r="N94" s="174"/>
      <c r="O94" s="174"/>
      <c r="P94" s="996"/>
      <c r="Q94" s="2835"/>
      <c r="R94" s="73"/>
      <c r="S94" s="73"/>
      <c r="T94" s="74"/>
      <c r="U94" s="996"/>
      <c r="V94" s="2835"/>
      <c r="W94" s="73"/>
      <c r="X94" s="73"/>
      <c r="Y94" s="73"/>
      <c r="Z94" s="996"/>
      <c r="AA94" s="2835"/>
      <c r="AB94" s="73"/>
      <c r="AC94" s="73"/>
      <c r="AD94" s="73"/>
      <c r="AE94" s="995"/>
      <c r="AF94" s="2836"/>
      <c r="AG94" s="127"/>
      <c r="AH94" s="127"/>
      <c r="AI94" s="127"/>
      <c r="AJ94" s="995"/>
      <c r="AK94" s="2836"/>
      <c r="AL94" s="127"/>
      <c r="AM94" s="127"/>
      <c r="AN94" s="127"/>
      <c r="AO94" s="995"/>
      <c r="AP94" s="2836"/>
      <c r="AQ94" s="127"/>
      <c r="AR94" s="127"/>
      <c r="AS94" s="127"/>
      <c r="AT94" s="995"/>
      <c r="AU94" s="2836"/>
      <c r="AV94" s="127"/>
      <c r="AW94" s="127"/>
      <c r="AX94" s="127"/>
      <c r="AY94" s="995"/>
      <c r="AZ94" s="2836"/>
      <c r="BA94" s="127"/>
      <c r="BB94" s="127"/>
      <c r="BC94" s="127"/>
      <c r="BD94" s="995"/>
      <c r="BE94" s="2836"/>
      <c r="BF94" s="127"/>
      <c r="BG94" s="127"/>
      <c r="BH94" s="127"/>
      <c r="BI94" s="995"/>
      <c r="BJ94" s="2836"/>
      <c r="BK94" s="127"/>
      <c r="BL94" s="127"/>
      <c r="BM94" s="127"/>
      <c r="BN94" s="995"/>
      <c r="BO94" s="127"/>
      <c r="BP94" s="127"/>
      <c r="BQ94" s="127"/>
      <c r="BR94" s="127"/>
      <c r="BS94" s="1957"/>
      <c r="BT94" s="127"/>
      <c r="BU94" s="127"/>
      <c r="BV94" s="127"/>
      <c r="BW94" s="127"/>
      <c r="BX94" s="1957"/>
      <c r="BY94" s="127"/>
      <c r="BZ94" s="127"/>
      <c r="CA94" s="127"/>
      <c r="CB94" s="127"/>
      <c r="CC94" s="1957"/>
      <c r="CD94" s="2838"/>
      <c r="CE94" s="2839"/>
      <c r="CF94" s="2839"/>
      <c r="CG94" s="2839"/>
      <c r="CH94" s="2840"/>
      <c r="CI94" s="2839">
        <f t="shared" ref="CI94:DK94" si="392">(CI93-CD93)*10000</f>
        <v>20.107866965255461</v>
      </c>
      <c r="CJ94" s="2839">
        <f t="shared" si="392"/>
        <v>20.522920220543</v>
      </c>
      <c r="CK94" s="2839">
        <f t="shared" si="392"/>
        <v>18.606096875913718</v>
      </c>
      <c r="CL94" s="2839">
        <f t="shared" si="392"/>
        <v>-3.1083366961426329</v>
      </c>
      <c r="CM94" s="2840">
        <f t="shared" si="392"/>
        <v>13.496564221737589</v>
      </c>
      <c r="CN94" s="2839">
        <f t="shared" si="392"/>
        <v>-41.975611343894883</v>
      </c>
      <c r="CO94" s="2839">
        <f t="shared" si="392"/>
        <v>-54.669929116702988</v>
      </c>
      <c r="CP94" s="2839">
        <f t="shared" si="392"/>
        <v>-20.00238715277186</v>
      </c>
      <c r="CQ94" s="2839">
        <f t="shared" si="392"/>
        <v>18.578530875943134</v>
      </c>
      <c r="CR94" s="2840">
        <f t="shared" si="392"/>
        <v>-22.534892693103771</v>
      </c>
      <c r="CS94" s="2839">
        <f t="shared" si="392"/>
        <v>84.216525320385117</v>
      </c>
      <c r="CT94" s="2839">
        <f t="shared" si="392"/>
        <v>115.94820274065567</v>
      </c>
      <c r="CU94" s="2839">
        <f t="shared" si="392"/>
        <v>165.1338708255</v>
      </c>
      <c r="CV94" s="2839">
        <f t="shared" si="392"/>
        <v>185.45616536164266</v>
      </c>
      <c r="CW94" s="2840">
        <f t="shared" si="392"/>
        <v>140.76534986244991</v>
      </c>
      <c r="CX94" s="2839">
        <f t="shared" si="392"/>
        <v>187.79168015372312</v>
      </c>
      <c r="CY94" s="2839">
        <f t="shared" si="392"/>
        <v>234.15390579569677</v>
      </c>
      <c r="CZ94" s="2839">
        <f t="shared" si="392"/>
        <v>248.37542130172989</v>
      </c>
      <c r="DA94" s="2839">
        <f t="shared" si="392"/>
        <v>265.51141910042111</v>
      </c>
      <c r="DB94" s="2840">
        <f t="shared" si="392"/>
        <v>234.35801008219735</v>
      </c>
      <c r="DC94" s="2839">
        <f t="shared" si="392"/>
        <v>282.0333392163439</v>
      </c>
      <c r="DD94" s="2839">
        <f t="shared" si="392"/>
        <v>181.44993838694543</v>
      </c>
      <c r="DE94" s="2839">
        <f t="shared" si="392"/>
        <v>94.27171884773891</v>
      </c>
      <c r="DF94" s="2839">
        <f t="shared" si="392"/>
        <v>53.765727685239767</v>
      </c>
      <c r="DG94" s="2840">
        <f>(DG93-DB93)*10000</f>
        <v>145.06007519471052</v>
      </c>
      <c r="DH94" s="2839">
        <f t="shared" si="392"/>
        <v>3.7204937945883865</v>
      </c>
      <c r="DI94" s="2839">
        <f t="shared" si="392"/>
        <v>34.057120655419382</v>
      </c>
      <c r="DJ94" s="2839">
        <f t="shared" si="392"/>
        <v>39.2173748494859</v>
      </c>
      <c r="DK94" s="4424">
        <f t="shared" si="392"/>
        <v>45.951392050410654</v>
      </c>
      <c r="DL94" s="4422">
        <f t="shared" ref="DL94:EI94" si="393">(DL93-DG93)*10000</f>
        <v>34.711828882217077</v>
      </c>
      <c r="DM94" s="4424">
        <f t="shared" si="393"/>
        <v>9.4829645818594877</v>
      </c>
      <c r="DN94" s="4424">
        <f t="shared" si="393"/>
        <v>34.8105746844507</v>
      </c>
      <c r="DO94" s="4424">
        <f t="shared" si="393"/>
        <v>0.67811358175629</v>
      </c>
      <c r="DP94" s="4424">
        <f t="shared" si="393"/>
        <v>0.80754965867652073</v>
      </c>
      <c r="DQ94" s="4422">
        <f t="shared" si="393"/>
        <v>10.331363041753971</v>
      </c>
      <c r="DR94" s="4424">
        <f t="shared" si="393"/>
        <v>-11.27529245214809</v>
      </c>
      <c r="DS94" s="4424">
        <f t="shared" si="393"/>
        <v>-23.863498649808747</v>
      </c>
      <c r="DT94" s="4424">
        <f t="shared" si="393"/>
        <v>-2.7600617132186867</v>
      </c>
      <c r="DU94" s="4424">
        <f t="shared" si="393"/>
        <v>14.319094573589929</v>
      </c>
      <c r="DV94" s="4422">
        <f>(DV93-DQ93)*10000</f>
        <v>-3.8698328180980512</v>
      </c>
      <c r="DW94" s="4424">
        <f t="shared" si="393"/>
        <v>38.181021680063211</v>
      </c>
      <c r="DX94" s="4424">
        <f>(DX93-DS93)*10000</f>
        <v>27.964228370472853</v>
      </c>
      <c r="DY94" s="4424">
        <f t="shared" si="393"/>
        <v>42.435158502632795</v>
      </c>
      <c r="DZ94" s="4424">
        <f t="shared" si="393"/>
        <v>44.646943431578542</v>
      </c>
      <c r="EA94" s="4422">
        <f t="shared" ref="EA94:EF94" si="394">(EA93-DV93)*10000</f>
        <v>37.041254278740446</v>
      </c>
      <c r="EB94" s="4424">
        <f t="shared" si="393"/>
        <v>25.093517510444418</v>
      </c>
      <c r="EC94" s="4424">
        <f>(EC93-DX93)*10000</f>
        <v>50.681323405202541</v>
      </c>
      <c r="ED94" s="4424">
        <f t="shared" si="393"/>
        <v>48.717989504067084</v>
      </c>
      <c r="EE94" s="4424">
        <f t="shared" si="393"/>
        <v>35.592796533863158</v>
      </c>
      <c r="EF94" s="4422">
        <f t="shared" si="394"/>
        <v>41.041653027920624</v>
      </c>
      <c r="EG94" s="4424">
        <f t="shared" si="393"/>
        <v>79.073534924537228</v>
      </c>
      <c r="EH94" s="4424">
        <f>(EH93-EC93)*10000</f>
        <v>16.746704018502921</v>
      </c>
      <c r="EI94" s="4424">
        <f t="shared" si="393"/>
        <v>25.383864173781635</v>
      </c>
      <c r="EJ94" s="4424">
        <f>(EJ93-EE93)*10000</f>
        <v>12.374587657771329</v>
      </c>
      <c r="EK94" s="4422">
        <f>(EK93-EF93)*10000</f>
        <v>31.897861038811815</v>
      </c>
      <c r="EL94" s="4424">
        <f t="shared" ref="EL94" si="395">(EL93-EG93)*10000</f>
        <v>24.522112770956063</v>
      </c>
      <c r="EM94" s="4424">
        <f>(EM93-EH93)*10000</f>
        <v>65.097723557509539</v>
      </c>
      <c r="EN94" s="4424">
        <f t="shared" ref="EN94" si="396">(EN93-EI93)*10000</f>
        <v>32.923538036613856</v>
      </c>
      <c r="EO94" s="4424">
        <f>(EO93-EJ93)*10000</f>
        <v>40.439497070472456</v>
      </c>
      <c r="EP94" s="4422">
        <f>(EP93-EK93)*10000</f>
        <v>40.952403145727011</v>
      </c>
      <c r="EQ94" s="4424">
        <f t="shared" ref="EQ94:ET94" si="397">(EQ93-EL93)*10000</f>
        <v>32.999599712505159</v>
      </c>
      <c r="ER94" s="4424">
        <f t="shared" si="397"/>
        <v>22.301676802758408</v>
      </c>
      <c r="ES94" s="4424">
        <f t="shared" si="397"/>
        <v>25.448292670803006</v>
      </c>
      <c r="ET94" s="4424">
        <f t="shared" si="397"/>
        <v>15.47335625785129</v>
      </c>
      <c r="EU94" s="4422">
        <f>(EU93-EP93)*10000</f>
        <v>23.628128301415032</v>
      </c>
      <c r="EV94" s="4422">
        <f>(EV93-EU93)*10000</f>
        <v>21.711767535923244</v>
      </c>
      <c r="EW94" s="4422">
        <f>(EW93-EV93)*10000</f>
        <v>18.790148433079356</v>
      </c>
      <c r="EX94" s="4422">
        <f>(EX93-EW93)*10000</f>
        <v>6.1000633519184273</v>
      </c>
      <c r="EY94" s="4422">
        <f>(EY93-EX93)*10000</f>
        <v>1.8583087708604062</v>
      </c>
      <c r="EZ94" s="174"/>
      <c r="FA94" s="1104"/>
      <c r="FB94" s="1104"/>
    </row>
    <row r="95" spans="1:158" s="161" customFormat="1" ht="11.25" hidden="1" customHeight="1" outlineLevel="1">
      <c r="A95" s="5653" t="s">
        <v>681</v>
      </c>
      <c r="B95" s="174"/>
      <c r="C95" s="174"/>
      <c r="D95" s="174"/>
      <c r="E95" s="174"/>
      <c r="F95" s="5619"/>
      <c r="G95" s="174"/>
      <c r="H95" s="174"/>
      <c r="I95" s="174"/>
      <c r="J95" s="174"/>
      <c r="K95" s="1718"/>
      <c r="L95" s="174"/>
      <c r="M95" s="174"/>
      <c r="N95" s="174"/>
      <c r="O95" s="174"/>
      <c r="P95" s="995"/>
      <c r="Q95" s="1878"/>
      <c r="R95" s="73"/>
      <c r="S95" s="73"/>
      <c r="T95" s="74"/>
      <c r="U95" s="995"/>
      <c r="V95" s="1878"/>
      <c r="W95" s="73"/>
      <c r="X95" s="73"/>
      <c r="Y95" s="73"/>
      <c r="Z95" s="995"/>
      <c r="AA95" s="1878"/>
      <c r="AB95" s="73"/>
      <c r="AC95" s="73"/>
      <c r="AD95" s="73"/>
      <c r="AE95" s="995"/>
      <c r="AF95" s="1502"/>
      <c r="AG95" s="127"/>
      <c r="AH95" s="127"/>
      <c r="AI95" s="127"/>
      <c r="AJ95" s="995"/>
      <c r="AK95" s="1502"/>
      <c r="AL95" s="127"/>
      <c r="AM95" s="127"/>
      <c r="AN95" s="127"/>
      <c r="AO95" s="995"/>
      <c r="AP95" s="1502"/>
      <c r="AQ95" s="127"/>
      <c r="AR95" s="127"/>
      <c r="AS95" s="127"/>
      <c r="AT95" s="995"/>
      <c r="AU95" s="1502"/>
      <c r="AV95" s="127"/>
      <c r="AW95" s="127"/>
      <c r="AX95" s="127"/>
      <c r="AY95" s="995"/>
      <c r="AZ95" s="1502"/>
      <c r="BA95" s="127"/>
      <c r="BB95" s="127"/>
      <c r="BC95" s="127"/>
      <c r="BD95" s="995"/>
      <c r="BE95" s="1502"/>
      <c r="BF95" s="127"/>
      <c r="BG95" s="127"/>
      <c r="BH95" s="127"/>
      <c r="BI95" s="995"/>
      <c r="BJ95" s="1502"/>
      <c r="BK95" s="127"/>
      <c r="BL95" s="127"/>
      <c r="BM95" s="127"/>
      <c r="BN95" s="995"/>
      <c r="BO95" s="127"/>
      <c r="BP95" s="127"/>
      <c r="BQ95" s="127"/>
      <c r="BR95" s="127"/>
      <c r="BS95" s="1229"/>
      <c r="BT95" s="127"/>
      <c r="BU95" s="127"/>
      <c r="BV95" s="127"/>
      <c r="BW95" s="127"/>
      <c r="BX95" s="1229"/>
      <c r="BY95" s="127"/>
      <c r="BZ95" s="127"/>
      <c r="CA95" s="127"/>
      <c r="CB95" s="127"/>
      <c r="CC95" s="1229"/>
      <c r="CD95" s="2839"/>
      <c r="CE95" s="2839">
        <f>(CE93-CD93)*10000</f>
        <v>9.0838470405452121</v>
      </c>
      <c r="CF95" s="2839">
        <f>(CF93-CE93)*10000</f>
        <v>9.1265561954552439</v>
      </c>
      <c r="CG95" s="2839">
        <f>(CG93-CF93)*10000</f>
        <v>-23.315384854551979</v>
      </c>
      <c r="CH95" s="1229"/>
      <c r="CI95" s="2839">
        <f>(CI93-CG93)*10000</f>
        <v>25.212848583806984</v>
      </c>
      <c r="CJ95" s="2839">
        <f>(CJ93-CI93)*10000</f>
        <v>9.4989002958327511</v>
      </c>
      <c r="CK95" s="2839">
        <f>(CK93-CJ93)*10000</f>
        <v>7.2097328508259615</v>
      </c>
      <c r="CL95" s="2839">
        <f>(CL93-CK93)*10000</f>
        <v>-45.02981842660833</v>
      </c>
      <c r="CM95" s="1229"/>
      <c r="CN95" s="2839">
        <f>(CN93-CL93)*10000</f>
        <v>-13.654426063945262</v>
      </c>
      <c r="CO95" s="2839">
        <f>(CO93-CN93)*10000</f>
        <v>-3.1954174769753543</v>
      </c>
      <c r="CP95" s="2839">
        <f>(CP93-CO93)*10000</f>
        <v>41.877274814757087</v>
      </c>
      <c r="CQ95" s="2839">
        <f>(CQ93-CP93)*10000</f>
        <v>-6.448900397893337</v>
      </c>
      <c r="CR95" s="2837"/>
      <c r="CS95" s="2839">
        <f>(CS93-CQ93)*10000</f>
        <v>51.983568380496727</v>
      </c>
      <c r="CT95" s="2839">
        <f>(CT93-CS93)*10000</f>
        <v>28.5362599432952</v>
      </c>
      <c r="CU95" s="2839">
        <f>(CU93-CT93)*10000</f>
        <v>91.062942899601396</v>
      </c>
      <c r="CV95" s="2839">
        <f>(CV93-CU93)*10000</f>
        <v>13.87339413824934</v>
      </c>
      <c r="CW95" s="2837"/>
      <c r="CX95" s="2839">
        <f>(CX93-CV93)*10000</f>
        <v>54.319083172577194</v>
      </c>
      <c r="CY95" s="2839">
        <f>(CY93-CX93)*10000</f>
        <v>74.898485585268844</v>
      </c>
      <c r="CZ95" s="2839">
        <f>(CZ93-CY93)*10000</f>
        <v>105.2844584056345</v>
      </c>
      <c r="DA95" s="2839">
        <f>(DA93-CZ93)*10000</f>
        <v>31.009391936940577</v>
      </c>
      <c r="DB95" s="2837"/>
      <c r="DC95" s="2839">
        <f>(DC93-DA93)*10000</f>
        <v>70.841003288499991</v>
      </c>
      <c r="DD95" s="2839">
        <f>(DD93-DC93)*10000</f>
        <v>-25.684915244129634</v>
      </c>
      <c r="DE95" s="2839">
        <f>(DE93-DD93)*10000</f>
        <v>18.106238866427983</v>
      </c>
      <c r="DF95" s="2839">
        <f>(DF93-DE93)*10000</f>
        <v>-9.4965992255585654</v>
      </c>
      <c r="DG95" s="2837"/>
      <c r="DH95" s="2839">
        <f>(DH93-DF93)*10000</f>
        <v>20.795769397848606</v>
      </c>
      <c r="DI95" s="2839">
        <f>(DI93-DH93)*10000</f>
        <v>4.651711616701359</v>
      </c>
      <c r="DJ95" s="2839">
        <f>(DJ93-DI93)*10000</f>
        <v>23.266493060494497</v>
      </c>
      <c r="DK95" s="4424">
        <f>(DK93-DJ93)*10000</f>
        <v>-2.7625820246338084</v>
      </c>
      <c r="DL95" s="4423"/>
      <c r="DM95" s="4424">
        <f>(DM93-DK93)*10000</f>
        <v>-15.67265807070256</v>
      </c>
      <c r="DN95" s="4424">
        <f>(DN93-DM93)*10000</f>
        <v>29.979321719292574</v>
      </c>
      <c r="DO95" s="4424">
        <f>(DO93-DN93)*10000</f>
        <v>-10.865968042199913</v>
      </c>
      <c r="DP95" s="4424">
        <f>(DP93-DO93)*10000</f>
        <v>-2.6331459477135777</v>
      </c>
      <c r="DQ95" s="4423"/>
      <c r="DR95" s="4424">
        <f>(DR93-DP93)*10000</f>
        <v>-27.755500181527172</v>
      </c>
      <c r="DS95" s="4424">
        <f>(DS93-DR93)*10000</f>
        <v>17.391115521631917</v>
      </c>
      <c r="DT95" s="4424">
        <f>(DT93-DS93)*10000</f>
        <v>10.237468894390144</v>
      </c>
      <c r="DU95" s="4424">
        <f>(DU93-DT93)*10000</f>
        <v>14.446010339095039</v>
      </c>
      <c r="DV95" s="4423"/>
      <c r="DW95" s="4424">
        <f>(DW93-DU93)*10000</f>
        <v>-3.8935730750538911</v>
      </c>
      <c r="DX95" s="4424">
        <f>(DX93-DW93)*10000</f>
        <v>7.1743222120415613</v>
      </c>
      <c r="DY95" s="4424">
        <f>(DY93-DX93)*10000</f>
        <v>24.708399026550087</v>
      </c>
      <c r="DZ95" s="4424">
        <f>(DZ93-DY93)*10000</f>
        <v>16.657795268040786</v>
      </c>
      <c r="EA95" s="4423"/>
      <c r="EB95" s="4424">
        <f>(EB93-DZ93)*10000</f>
        <v>-23.446998996188018</v>
      </c>
      <c r="EC95" s="4424">
        <f>(EC93-EB93)*10000</f>
        <v>32.762128106799679</v>
      </c>
      <c r="ED95" s="4424">
        <f>(ED93-EC93)*10000</f>
        <v>22.745065125414634</v>
      </c>
      <c r="EE95" s="4424">
        <f>(EE93-ED93)*10000</f>
        <v>3.5326022978368621</v>
      </c>
      <c r="EF95" s="4423"/>
      <c r="EG95" s="4424">
        <f>(EG93-EE93)*10000</f>
        <v>20.033739394486048</v>
      </c>
      <c r="EH95" s="4424">
        <f>(EH93-EG93)*10000</f>
        <v>-29.56470279923462</v>
      </c>
      <c r="EI95" s="4424">
        <f>(EI93-EH93)*10000</f>
        <v>31.382225280693344</v>
      </c>
      <c r="EJ95" s="4424">
        <f>(EJ93-EI93)*10000</f>
        <v>-9.4766742181734429</v>
      </c>
      <c r="EK95" s="4423"/>
      <c r="EL95" s="4424">
        <f>(EL93-EJ93)*10000</f>
        <v>32.181264507670782</v>
      </c>
      <c r="EM95" s="4424">
        <f>(EM93-EL93)*10000</f>
        <v>11.010907987318852</v>
      </c>
      <c r="EN95" s="4424">
        <f>(EN93-EM93)*10000</f>
        <v>-0.79196024020233846</v>
      </c>
      <c r="EO95" s="4424">
        <f>(EO93-EN93)*10000</f>
        <v>-1.9607151843148429</v>
      </c>
      <c r="EP95" s="4423"/>
      <c r="EQ95" s="4424">
        <f>(EQ93-EO93)*10000</f>
        <v>24.741367149703485</v>
      </c>
      <c r="ER95" s="4424">
        <f>(ER93-EQ93)*10000</f>
        <v>0.31298507757210325</v>
      </c>
      <c r="ES95" s="4424">
        <f>(ES93-ER93)*10000</f>
        <v>2.3546556278422615</v>
      </c>
      <c r="ET95" s="4424">
        <f>(ET93-ES93)*10000</f>
        <v>-11.935651597266562</v>
      </c>
      <c r="EU95" s="4423"/>
      <c r="EV95" s="4423"/>
      <c r="EW95" s="4423"/>
      <c r="EX95" s="4423"/>
      <c r="EY95" s="4423"/>
      <c r="EZ95" s="174"/>
      <c r="FA95" s="1104"/>
      <c r="FB95" s="1104"/>
    </row>
    <row r="96" spans="1:158" s="161" customFormat="1" ht="11.25" hidden="1" customHeight="1" outlineLevel="1">
      <c r="A96" s="5652" t="s">
        <v>879</v>
      </c>
      <c r="B96" s="159"/>
      <c r="C96" s="159"/>
      <c r="D96" s="159"/>
      <c r="E96" s="159"/>
      <c r="F96" s="5618"/>
      <c r="G96" s="159"/>
      <c r="H96" s="159"/>
      <c r="I96" s="159"/>
      <c r="J96" s="159"/>
      <c r="K96" s="4228"/>
      <c r="L96" s="159"/>
      <c r="M96" s="159"/>
      <c r="N96" s="159"/>
      <c r="O96" s="159"/>
      <c r="P96" s="4229"/>
      <c r="Q96" s="4207"/>
      <c r="R96" s="4208"/>
      <c r="S96" s="4208"/>
      <c r="T96" s="4209"/>
      <c r="U96" s="4229"/>
      <c r="V96" s="4207"/>
      <c r="W96" s="4208"/>
      <c r="X96" s="4208"/>
      <c r="Y96" s="4209"/>
      <c r="Z96" s="4229"/>
      <c r="AA96" s="4207"/>
      <c r="AB96" s="4208"/>
      <c r="AC96" s="4208"/>
      <c r="AD96" s="4209"/>
      <c r="AE96" s="4230"/>
      <c r="AF96" s="4231"/>
      <c r="AG96" s="709"/>
      <c r="AH96" s="709"/>
      <c r="AI96" s="709"/>
      <c r="AJ96" s="4230"/>
      <c r="AK96" s="4231"/>
      <c r="AL96" s="709"/>
      <c r="AM96" s="709"/>
      <c r="AN96" s="709"/>
      <c r="AO96" s="4230"/>
      <c r="AP96" s="4231"/>
      <c r="AQ96" s="709"/>
      <c r="AR96" s="709"/>
      <c r="AS96" s="709"/>
      <c r="AT96" s="4230"/>
      <c r="AU96" s="4231"/>
      <c r="AV96" s="709"/>
      <c r="AW96" s="709"/>
      <c r="AX96" s="709"/>
      <c r="AY96" s="4230"/>
      <c r="AZ96" s="4231"/>
      <c r="BA96" s="709"/>
      <c r="BB96" s="709"/>
      <c r="BC96" s="709"/>
      <c r="BD96" s="4230"/>
      <c r="BE96" s="4231"/>
      <c r="BF96" s="709"/>
      <c r="BG96" s="709"/>
      <c r="BH96" s="709"/>
      <c r="BI96" s="4230"/>
      <c r="BJ96" s="4231"/>
      <c r="BK96" s="709"/>
      <c r="BL96" s="709"/>
      <c r="BM96" s="709"/>
      <c r="BN96" s="4230"/>
      <c r="BO96" s="709"/>
      <c r="BP96" s="709"/>
      <c r="BQ96" s="709"/>
      <c r="BR96" s="709"/>
      <c r="BS96" s="4232"/>
      <c r="BT96" s="709"/>
      <c r="BU96" s="709"/>
      <c r="BV96" s="709"/>
      <c r="BW96" s="709"/>
      <c r="BX96" s="4230"/>
      <c r="BY96" s="709"/>
      <c r="BZ96" s="709"/>
      <c r="CA96" s="709"/>
      <c r="CB96" s="709"/>
      <c r="CC96" s="4232"/>
      <c r="CD96" s="4233"/>
      <c r="CE96" s="709"/>
      <c r="CF96" s="709"/>
      <c r="CG96" s="709"/>
      <c r="CH96" s="4230"/>
      <c r="CI96" s="709"/>
      <c r="CJ96" s="709"/>
      <c r="CK96" s="709"/>
      <c r="CL96" s="709"/>
      <c r="CM96" s="4230"/>
      <c r="CN96" s="709"/>
      <c r="CO96" s="709"/>
      <c r="CP96" s="709"/>
      <c r="CQ96" s="709"/>
      <c r="CR96" s="4234"/>
      <c r="CS96" s="732"/>
      <c r="CT96" s="732"/>
      <c r="CU96" s="732"/>
      <c r="CV96" s="732"/>
      <c r="CW96" s="4234"/>
      <c r="CX96" s="732"/>
      <c r="CY96" s="732"/>
      <c r="CZ96" s="732"/>
      <c r="DA96" s="732"/>
      <c r="DB96" s="4234">
        <f>DB90/DB8</f>
        <v>0.12936356734612023</v>
      </c>
      <c r="DC96" s="732"/>
      <c r="DD96" s="732"/>
      <c r="DE96" s="732"/>
      <c r="DF96" s="732">
        <f>DF90/DF8</f>
        <v>0.15034305317324184</v>
      </c>
      <c r="DG96" s="4234">
        <f>DG90/DG8</f>
        <v>0.14739260926655412</v>
      </c>
      <c r="DH96" s="732">
        <f>DH90/DH8</f>
        <v>0.15004213420854215</v>
      </c>
      <c r="DI96" s="732">
        <f>DI90/DI8</f>
        <v>0.15299044074105406</v>
      </c>
      <c r="DJ96" s="732">
        <f>DJ90/DJ8</f>
        <v>0.15585465421769532</v>
      </c>
      <c r="DK96" s="4419">
        <v>0.15820000000000001</v>
      </c>
      <c r="DL96" s="4420">
        <f>DL90/DL8</f>
        <v>0.15447859144881007</v>
      </c>
      <c r="DM96" s="4419">
        <v>0.1552</v>
      </c>
      <c r="DN96" s="4419">
        <v>0.16059999999999999</v>
      </c>
      <c r="DO96" s="4419">
        <v>0.161</v>
      </c>
      <c r="DP96" s="4419">
        <v>0.16400000000000001</v>
      </c>
      <c r="DQ96" s="4420">
        <f>DQ90/DQ8</f>
        <v>0.16047213968595647</v>
      </c>
      <c r="DR96" s="4419">
        <v>0.157</v>
      </c>
      <c r="DS96" s="4419">
        <v>0.16</v>
      </c>
      <c r="DT96" s="4419">
        <v>0.1605</v>
      </c>
      <c r="DU96" s="4419">
        <v>0.16350000000000001</v>
      </c>
      <c r="DV96" s="4420">
        <f>DV90/DV8</f>
        <v>0.16050271230136084</v>
      </c>
      <c r="DW96" s="4419">
        <v>0.1595</v>
      </c>
      <c r="DX96" s="4419">
        <v>0.1613</v>
      </c>
      <c r="DY96" s="4419">
        <v>0.16400000000000001</v>
      </c>
      <c r="DZ96" s="4419">
        <v>0.1671</v>
      </c>
      <c r="EA96" s="4420">
        <f>EA90/EA8</f>
        <v>0.16303928039396737</v>
      </c>
      <c r="EB96" s="4419">
        <v>0.16139999999999999</v>
      </c>
      <c r="EC96" s="4419">
        <v>0.16719999999999999</v>
      </c>
      <c r="ED96" s="4419">
        <v>0.17</v>
      </c>
      <c r="EE96" s="4419">
        <v>0.17199999999999999</v>
      </c>
      <c r="EF96" s="4420">
        <f>EF90/EF8</f>
        <v>0.16788379448446863</v>
      </c>
      <c r="EG96" s="4419">
        <v>0.17199999999999999</v>
      </c>
      <c r="EH96" s="4419">
        <v>0.16900000000000001</v>
      </c>
      <c r="EI96" s="4419">
        <v>0.17299999999999999</v>
      </c>
      <c r="EJ96" s="4419">
        <v>0.17380000000000001</v>
      </c>
      <c r="EK96" s="4420">
        <f>EK90/EK8</f>
        <v>0.17200565012822841</v>
      </c>
      <c r="EL96" s="4419">
        <v>0.17499999999999999</v>
      </c>
      <c r="EM96" s="4419">
        <v>0.17699999999999999</v>
      </c>
      <c r="EN96" s="4419">
        <v>0.17699999999999999</v>
      </c>
      <c r="EO96" s="4419">
        <v>0.17849999999999999</v>
      </c>
      <c r="EP96" s="4420">
        <f>EP90/EP8</f>
        <v>0.17696148480874579</v>
      </c>
      <c r="EQ96" s="4419">
        <v>0.17899999999999999</v>
      </c>
      <c r="ER96" s="4419">
        <v>0.18</v>
      </c>
      <c r="ES96" s="4419">
        <v>0.18049999999999999</v>
      </c>
      <c r="ET96" s="4419">
        <v>0.18099999999999999</v>
      </c>
      <c r="EU96" s="4420">
        <f>EU90/EU8</f>
        <v>0.18016470750047922</v>
      </c>
      <c r="EV96" s="4571">
        <v>0.183</v>
      </c>
      <c r="EW96" s="4571">
        <v>0.1855</v>
      </c>
      <c r="EX96" s="4571">
        <v>0.1865</v>
      </c>
      <c r="EY96" s="4571">
        <v>0.187</v>
      </c>
      <c r="EZ96" s="174"/>
      <c r="FA96" s="1104"/>
      <c r="FB96" s="1104"/>
    </row>
    <row r="97" spans="1:158" s="161" customFormat="1" ht="11.25" hidden="1" customHeight="1" outlineLevel="1">
      <c r="A97" s="5653" t="s">
        <v>680</v>
      </c>
      <c r="B97" s="174"/>
      <c r="C97" s="174"/>
      <c r="D97" s="174"/>
      <c r="E97" s="174"/>
      <c r="F97" s="5619"/>
      <c r="G97" s="174"/>
      <c r="H97" s="174"/>
      <c r="I97" s="174"/>
      <c r="J97" s="174"/>
      <c r="K97" s="1718"/>
      <c r="L97" s="174"/>
      <c r="M97" s="174"/>
      <c r="N97" s="174"/>
      <c r="O97" s="174"/>
      <c r="P97" s="996"/>
      <c r="Q97" s="2835"/>
      <c r="R97" s="73"/>
      <c r="S97" s="73"/>
      <c r="T97" s="74"/>
      <c r="U97" s="996"/>
      <c r="V97" s="2835"/>
      <c r="W97" s="73"/>
      <c r="X97" s="73"/>
      <c r="Y97" s="73"/>
      <c r="Z97" s="996"/>
      <c r="AA97" s="2835"/>
      <c r="AB97" s="73"/>
      <c r="AC97" s="73"/>
      <c r="AD97" s="73"/>
      <c r="AE97" s="995"/>
      <c r="AF97" s="2836"/>
      <c r="AG97" s="127"/>
      <c r="AH97" s="127"/>
      <c r="AI97" s="127"/>
      <c r="AJ97" s="995"/>
      <c r="AK97" s="2836"/>
      <c r="AL97" s="127"/>
      <c r="AM97" s="127"/>
      <c r="AN97" s="127"/>
      <c r="AO97" s="995"/>
      <c r="AP97" s="2836"/>
      <c r="AQ97" s="127"/>
      <c r="AR97" s="127"/>
      <c r="AS97" s="127"/>
      <c r="AT97" s="995"/>
      <c r="AU97" s="2836"/>
      <c r="AV97" s="127"/>
      <c r="AW97" s="127"/>
      <c r="AX97" s="127"/>
      <c r="AY97" s="995"/>
      <c r="AZ97" s="2836"/>
      <c r="BA97" s="127"/>
      <c r="BB97" s="127"/>
      <c r="BC97" s="127"/>
      <c r="BD97" s="995"/>
      <c r="BE97" s="2836"/>
      <c r="BF97" s="127"/>
      <c r="BG97" s="127"/>
      <c r="BH97" s="127"/>
      <c r="BI97" s="995"/>
      <c r="BJ97" s="2836"/>
      <c r="BK97" s="127"/>
      <c r="BL97" s="127"/>
      <c r="BM97" s="127"/>
      <c r="BN97" s="995"/>
      <c r="BO97" s="127"/>
      <c r="BP97" s="127"/>
      <c r="BQ97" s="127"/>
      <c r="BR97" s="127"/>
      <c r="BS97" s="1957"/>
      <c r="BT97" s="127"/>
      <c r="BU97" s="127"/>
      <c r="BV97" s="127"/>
      <c r="BW97" s="127"/>
      <c r="BX97" s="1957"/>
      <c r="BY97" s="127"/>
      <c r="BZ97" s="127"/>
      <c r="CA97" s="127"/>
      <c r="CB97" s="127"/>
      <c r="CC97" s="1957"/>
      <c r="CD97" s="2838"/>
      <c r="CE97" s="2839"/>
      <c r="CF97" s="2839"/>
      <c r="CG97" s="2839"/>
      <c r="CH97" s="2840"/>
      <c r="CI97" s="2839"/>
      <c r="CJ97" s="2839"/>
      <c r="CK97" s="2839"/>
      <c r="CL97" s="2839"/>
      <c r="CM97" s="2840"/>
      <c r="CN97" s="2839"/>
      <c r="CO97" s="2839"/>
      <c r="CP97" s="2839"/>
      <c r="CQ97" s="2839"/>
      <c r="CR97" s="2840"/>
      <c r="CS97" s="2839"/>
      <c r="CT97" s="2839"/>
      <c r="CU97" s="2839"/>
      <c r="CV97" s="2839"/>
      <c r="CW97" s="2840"/>
      <c r="CX97" s="2839"/>
      <c r="CY97" s="2839"/>
      <c r="CZ97" s="2839"/>
      <c r="DA97" s="2839"/>
      <c r="DB97" s="2840"/>
      <c r="DC97" s="2839"/>
      <c r="DD97" s="2839"/>
      <c r="DE97" s="2839"/>
      <c r="DF97" s="2839"/>
      <c r="DG97" s="2840">
        <f>(DG96-DB96)*10000</f>
        <v>180.29041920433892</v>
      </c>
      <c r="DH97" s="2839"/>
      <c r="DI97" s="2839"/>
      <c r="DJ97" s="2839"/>
      <c r="DK97" s="4493">
        <f t="shared" ref="DK97:DZ97" si="398">(DK96-DF96)*10000</f>
        <v>78.569468267581655</v>
      </c>
      <c r="DL97" s="4422">
        <f t="shared" si="398"/>
        <v>70.85982182255951</v>
      </c>
      <c r="DM97" s="4424">
        <f t="shared" si="398"/>
        <v>51.57865791457855</v>
      </c>
      <c r="DN97" s="4424">
        <f t="shared" si="398"/>
        <v>76.095592589459358</v>
      </c>
      <c r="DO97" s="4424">
        <f t="shared" si="398"/>
        <v>51.45345782304689</v>
      </c>
      <c r="DP97" s="4424">
        <f t="shared" si="398"/>
        <v>57.999999999999993</v>
      </c>
      <c r="DQ97" s="4422">
        <f t="shared" si="398"/>
        <v>59.935482371464012</v>
      </c>
      <c r="DR97" s="4424">
        <f t="shared" si="398"/>
        <v>17.999999999999961</v>
      </c>
      <c r="DS97" s="4424">
        <f t="shared" si="398"/>
        <v>-5.9999999999998943</v>
      </c>
      <c r="DT97" s="4424">
        <f t="shared" si="398"/>
        <v>-5.0000000000000044</v>
      </c>
      <c r="DU97" s="4424">
        <f t="shared" si="398"/>
        <v>-5.0000000000000044</v>
      </c>
      <c r="DV97" s="4422">
        <f>(DV96-DQ96)*10000</f>
        <v>0.30572615404372838</v>
      </c>
      <c r="DW97" s="4424">
        <f t="shared" si="398"/>
        <v>25.000000000000021</v>
      </c>
      <c r="DX97" s="4424">
        <f>(DX96-DS96)*10000</f>
        <v>12.999999999999956</v>
      </c>
      <c r="DY97" s="4424">
        <f t="shared" si="398"/>
        <v>35.000000000000028</v>
      </c>
      <c r="DZ97" s="4424">
        <f t="shared" si="398"/>
        <v>35.999999999999922</v>
      </c>
      <c r="EA97" s="4422">
        <f t="shared" ref="EA97:EG97" si="399">(EA96-DV96)*10000</f>
        <v>25.365680926065227</v>
      </c>
      <c r="EB97" s="4424">
        <f t="shared" ref="EB97" si="400">(EB96-DW96)*10000</f>
        <v>18.999999999999851</v>
      </c>
      <c r="EC97" s="4424">
        <f>(EC96-DX96)*10000</f>
        <v>58.999999999999886</v>
      </c>
      <c r="ED97" s="4424">
        <f t="shared" ref="ED97" si="401">(ED96-DY96)*10000</f>
        <v>60.000000000000057</v>
      </c>
      <c r="EE97" s="4424">
        <f t="shared" ref="EE97" si="402">(EE96-DZ96)*10000</f>
        <v>48.999999999999879</v>
      </c>
      <c r="EF97" s="4422">
        <f t="shared" si="399"/>
        <v>48.445140905012671</v>
      </c>
      <c r="EG97" s="4424">
        <f t="shared" si="399"/>
        <v>105.99999999999999</v>
      </c>
      <c r="EH97" s="4424">
        <f>(EH96-EC96)*10000</f>
        <v>18.000000000000238</v>
      </c>
      <c r="EI97" s="4424">
        <f t="shared" ref="EI97:EJ97" si="403">(EI96-ED96)*10000</f>
        <v>29.999999999999748</v>
      </c>
      <c r="EJ97" s="4424">
        <f t="shared" si="403"/>
        <v>18.000000000000238</v>
      </c>
      <c r="EK97" s="4422">
        <f>(EK96-EF96)*10000</f>
        <v>41.218556437597755</v>
      </c>
      <c r="EL97" s="4424">
        <f t="shared" ref="EL97" si="404">(EL96-EG96)*10000</f>
        <v>30.000000000000028</v>
      </c>
      <c r="EM97" s="4424">
        <f>(EM96-EH96)*10000</f>
        <v>79.999999999999787</v>
      </c>
      <c r="EN97" s="4424">
        <f t="shared" ref="EN97" si="405">(EN96-EI96)*10000</f>
        <v>40.000000000000036</v>
      </c>
      <c r="EO97" s="4424">
        <f>(EO96-EJ96)*10000</f>
        <v>46.999999999999822</v>
      </c>
      <c r="EP97" s="4422">
        <f>(EP96-EK96)*10000</f>
        <v>49.558346805173848</v>
      </c>
      <c r="EQ97" s="4424">
        <f t="shared" ref="EQ97:ET97" si="406">(EQ96-EL96)*10000</f>
        <v>40.000000000000036</v>
      </c>
      <c r="ER97" s="4424">
        <f t="shared" si="406"/>
        <v>30.000000000000028</v>
      </c>
      <c r="ES97" s="4424">
        <f t="shared" si="406"/>
        <v>35.000000000000028</v>
      </c>
      <c r="ET97" s="4424">
        <f t="shared" si="406"/>
        <v>25.000000000000021</v>
      </c>
      <c r="EU97" s="4422">
        <f>(EU96-EP96)*10000</f>
        <v>32.032226917334263</v>
      </c>
      <c r="EV97" s="4422">
        <f>(EV96-EU96)*10000</f>
        <v>28.352924995207751</v>
      </c>
      <c r="EW97" s="4422">
        <f>(EW96-EV96)*10000</f>
        <v>25.000000000000021</v>
      </c>
      <c r="EX97" s="4422">
        <f>(EX96-EW96)*10000</f>
        <v>10.000000000000009</v>
      </c>
      <c r="EY97" s="4422">
        <f>(EY96-EX96)*10000</f>
        <v>5.0000000000000044</v>
      </c>
      <c r="EZ97" s="174"/>
      <c r="FA97" s="1104"/>
      <c r="FB97" s="1104"/>
    </row>
    <row r="98" spans="1:158" s="161" customFormat="1" ht="11.25" hidden="1" customHeight="1" outlineLevel="1">
      <c r="A98" s="5653" t="s">
        <v>681</v>
      </c>
      <c r="B98" s="174"/>
      <c r="C98" s="174"/>
      <c r="D98" s="174"/>
      <c r="E98" s="174"/>
      <c r="F98" s="5619"/>
      <c r="G98" s="174"/>
      <c r="H98" s="174"/>
      <c r="I98" s="174"/>
      <c r="J98" s="174"/>
      <c r="K98" s="1718"/>
      <c r="L98" s="174"/>
      <c r="M98" s="174"/>
      <c r="N98" s="174"/>
      <c r="O98" s="174"/>
      <c r="P98" s="995"/>
      <c r="Q98" s="1878"/>
      <c r="R98" s="73"/>
      <c r="S98" s="73"/>
      <c r="T98" s="74"/>
      <c r="U98" s="995"/>
      <c r="V98" s="1878"/>
      <c r="W98" s="73"/>
      <c r="X98" s="73"/>
      <c r="Y98" s="73"/>
      <c r="Z98" s="995"/>
      <c r="AA98" s="1878"/>
      <c r="AB98" s="73"/>
      <c r="AC98" s="73"/>
      <c r="AD98" s="73"/>
      <c r="AE98" s="995"/>
      <c r="AF98" s="1502"/>
      <c r="AG98" s="127"/>
      <c r="AH98" s="127"/>
      <c r="AI98" s="127"/>
      <c r="AJ98" s="995"/>
      <c r="AK98" s="1502"/>
      <c r="AL98" s="127"/>
      <c r="AM98" s="127"/>
      <c r="AN98" s="127"/>
      <c r="AO98" s="995"/>
      <c r="AP98" s="1502"/>
      <c r="AQ98" s="127"/>
      <c r="AR98" s="127"/>
      <c r="AS98" s="127"/>
      <c r="AT98" s="995"/>
      <c r="AU98" s="1502"/>
      <c r="AV98" s="127"/>
      <c r="AW98" s="127"/>
      <c r="AX98" s="127"/>
      <c r="AY98" s="995"/>
      <c r="AZ98" s="1502"/>
      <c r="BA98" s="127"/>
      <c r="BB98" s="127"/>
      <c r="BC98" s="127"/>
      <c r="BD98" s="995"/>
      <c r="BE98" s="1502"/>
      <c r="BF98" s="127"/>
      <c r="BG98" s="127"/>
      <c r="BH98" s="127"/>
      <c r="BI98" s="995"/>
      <c r="BJ98" s="1502"/>
      <c r="BK98" s="127"/>
      <c r="BL98" s="127"/>
      <c r="BM98" s="127"/>
      <c r="BN98" s="995"/>
      <c r="BO98" s="127"/>
      <c r="BP98" s="127"/>
      <c r="BQ98" s="127"/>
      <c r="BR98" s="127"/>
      <c r="BS98" s="1229"/>
      <c r="BT98" s="127"/>
      <c r="BU98" s="127"/>
      <c r="BV98" s="127"/>
      <c r="BW98" s="127"/>
      <c r="BX98" s="1229"/>
      <c r="BY98" s="127"/>
      <c r="BZ98" s="127"/>
      <c r="CA98" s="127"/>
      <c r="CB98" s="127"/>
      <c r="CC98" s="1229"/>
      <c r="CD98" s="2839"/>
      <c r="CE98" s="2839"/>
      <c r="CF98" s="2839"/>
      <c r="CG98" s="2839"/>
      <c r="CH98" s="1229"/>
      <c r="CI98" s="2839"/>
      <c r="CJ98" s="2839"/>
      <c r="CK98" s="2839"/>
      <c r="CL98" s="2839"/>
      <c r="CM98" s="1229"/>
      <c r="CN98" s="2839"/>
      <c r="CO98" s="2839"/>
      <c r="CP98" s="2839"/>
      <c r="CQ98" s="2839"/>
      <c r="CR98" s="2837"/>
      <c r="CS98" s="2839"/>
      <c r="CT98" s="2839"/>
      <c r="CU98" s="2839"/>
      <c r="CV98" s="2839"/>
      <c r="CW98" s="2837"/>
      <c r="CX98" s="2839"/>
      <c r="CY98" s="2839"/>
      <c r="CZ98" s="2839"/>
      <c r="DA98" s="2839"/>
      <c r="DB98" s="2837"/>
      <c r="DC98" s="2839"/>
      <c r="DD98" s="2839"/>
      <c r="DE98" s="2839"/>
      <c r="DF98" s="2839"/>
      <c r="DG98" s="2837"/>
      <c r="DH98" s="2839">
        <f>(DH96-DF96)*10000</f>
        <v>-3.0091896469969237</v>
      </c>
      <c r="DI98" s="2839">
        <f>(DI96-DH96)*10000</f>
        <v>29.483065325119075</v>
      </c>
      <c r="DJ98" s="2839">
        <f>(DJ96-DI96)*10000</f>
        <v>28.642134766412585</v>
      </c>
      <c r="DK98" s="4421">
        <f>(DK96-DJ96)*10000</f>
        <v>23.453457823046918</v>
      </c>
      <c r="DL98" s="4423"/>
      <c r="DM98" s="4424">
        <f>(DM96-DK96)*10000</f>
        <v>-30.000000000000028</v>
      </c>
      <c r="DN98" s="4424">
        <f>(DN96-DM96)*10000</f>
        <v>53.999999999999879</v>
      </c>
      <c r="DO98" s="4424">
        <f>(DO96-DN96)*10000</f>
        <v>4.0000000000001146</v>
      </c>
      <c r="DP98" s="4424">
        <f>(DP96-DO96)*10000</f>
        <v>30.000000000000028</v>
      </c>
      <c r="DQ98" s="4423"/>
      <c r="DR98" s="4424">
        <f>(DR96-DP96)*10000</f>
        <v>-70.000000000000057</v>
      </c>
      <c r="DS98" s="4424">
        <f>(DS96-DR96)*10000</f>
        <v>30.000000000000028</v>
      </c>
      <c r="DT98" s="4424">
        <f>(DT96-DS96)*10000</f>
        <v>5.0000000000000044</v>
      </c>
      <c r="DU98" s="4424">
        <f>(DU96-DT96)*10000</f>
        <v>30.000000000000028</v>
      </c>
      <c r="DV98" s="4423"/>
      <c r="DW98" s="4424">
        <f>(DW96-DU96)*10000</f>
        <v>-40.000000000000036</v>
      </c>
      <c r="DX98" s="4424">
        <f>(DX96-DW96)*10000</f>
        <v>17.999999999999961</v>
      </c>
      <c r="DY98" s="4424">
        <f>(DY96-DX96)*10000</f>
        <v>27.000000000000078</v>
      </c>
      <c r="DZ98" s="4424">
        <f>(DZ96-DY96)*10000</f>
        <v>30.999999999999915</v>
      </c>
      <c r="EA98" s="4423"/>
      <c r="EB98" s="4424">
        <f>(EB96-DZ96)*10000</f>
        <v>-57.000000000000107</v>
      </c>
      <c r="EC98" s="4424">
        <f>(EC96-EB96)*10000</f>
        <v>57.999999999999993</v>
      </c>
      <c r="ED98" s="4424">
        <f>(ED96-EC96)*10000</f>
        <v>28.000000000000249</v>
      </c>
      <c r="EE98" s="4424">
        <f>(EE96-ED96)*10000</f>
        <v>19.999999999999741</v>
      </c>
      <c r="EF98" s="4423"/>
      <c r="EG98" s="4424">
        <f>(EG96-EE96)*10000</f>
        <v>0</v>
      </c>
      <c r="EH98" s="4424">
        <f>(EH96-EG96)*10000</f>
        <v>-29.999999999999748</v>
      </c>
      <c r="EI98" s="4424">
        <f>(EI96-EH96)*10000</f>
        <v>39.999999999999758</v>
      </c>
      <c r="EJ98" s="4424">
        <f>(EJ96-EI96)*10000</f>
        <v>8.0000000000002292</v>
      </c>
      <c r="EK98" s="4423"/>
      <c r="EL98" s="4424">
        <f>(EL96-EJ96)*10000</f>
        <v>11.999999999999789</v>
      </c>
      <c r="EM98" s="4424">
        <f>(EM96-EL96)*10000</f>
        <v>20.000000000000018</v>
      </c>
      <c r="EN98" s="4424">
        <f>(EN96-EM96)*10000</f>
        <v>0</v>
      </c>
      <c r="EO98" s="4424">
        <f>(EO96-EN96)*10000</f>
        <v>15.000000000000014</v>
      </c>
      <c r="EP98" s="4423"/>
      <c r="EQ98" s="4424">
        <f>(EQ96-EO96)*10000</f>
        <v>5.0000000000000044</v>
      </c>
      <c r="ER98" s="4424">
        <f>(ER96-EQ96)*10000</f>
        <v>10.000000000000009</v>
      </c>
      <c r="ES98" s="4424">
        <f>(ES96-ER96)*10000</f>
        <v>5.0000000000000044</v>
      </c>
      <c r="ET98" s="4424">
        <f>(ET96-ES96)*10000</f>
        <v>5.0000000000000044</v>
      </c>
      <c r="EU98" s="4423"/>
      <c r="EV98" s="4423"/>
      <c r="EW98" s="4423"/>
      <c r="EX98" s="4423"/>
      <c r="EY98" s="4423"/>
      <c r="EZ98" s="174"/>
      <c r="FA98" s="1104"/>
      <c r="FB98" s="1104"/>
    </row>
    <row r="99" spans="1:158" s="180" customFormat="1" ht="11.25" hidden="1" customHeight="1" outlineLevel="1" collapsed="1">
      <c r="A99" s="5361" t="s">
        <v>640</v>
      </c>
      <c r="B99" s="175"/>
      <c r="C99" s="175"/>
      <c r="D99" s="175"/>
      <c r="E99" s="176"/>
      <c r="F99" s="5286"/>
      <c r="G99" s="175"/>
      <c r="H99" s="175"/>
      <c r="I99" s="175"/>
      <c r="J99" s="175"/>
      <c r="K99" s="1014"/>
      <c r="L99" s="175"/>
      <c r="M99" s="175"/>
      <c r="N99" s="175"/>
      <c r="O99" s="175"/>
      <c r="P99" s="1007"/>
      <c r="Q99" s="2401">
        <v>0</v>
      </c>
      <c r="R99" s="176">
        <v>14</v>
      </c>
      <c r="S99" s="176">
        <v>29</v>
      </c>
      <c r="T99" s="176">
        <f>U99-S99-R99-Q99</f>
        <v>51.5</v>
      </c>
      <c r="U99" s="1007">
        <f>IS!U8</f>
        <v>94.5</v>
      </c>
      <c r="V99" s="2401">
        <v>70.131</v>
      </c>
      <c r="W99" s="176">
        <v>96.558999999999997</v>
      </c>
      <c r="X99" s="176">
        <v>143.48699999999999</v>
      </c>
      <c r="Y99" s="176">
        <v>216.35599999999999</v>
      </c>
      <c r="Z99" s="1007">
        <f>IS!Z8</f>
        <v>526.53300000000002</v>
      </c>
      <c r="AA99" s="2401">
        <v>271.00200000000001</v>
      </c>
      <c r="AB99" s="175">
        <v>277.03399999999999</v>
      </c>
      <c r="AC99" s="175">
        <v>302.89999999999998</v>
      </c>
      <c r="AD99" s="175">
        <v>377.70800000000003</v>
      </c>
      <c r="AE99" s="1007">
        <f>SUM(AA99:AD99)</f>
        <v>1228.644</v>
      </c>
      <c r="AF99" s="1877">
        <f>AF105-AF90</f>
        <v>443.60500000000002</v>
      </c>
      <c r="AG99" s="175">
        <f>AG105-AG90</f>
        <v>475.3</v>
      </c>
      <c r="AH99" s="175">
        <f>AH105-AH90</f>
        <v>505.4</v>
      </c>
      <c r="AI99" s="175">
        <f>AI105-AI90</f>
        <v>600.69499999999994</v>
      </c>
      <c r="AJ99" s="1007">
        <f>SUM(AF99:AI99)</f>
        <v>2024.9999999999998</v>
      </c>
      <c r="AK99" s="2467">
        <v>690.32600000000002</v>
      </c>
      <c r="AL99" s="2293">
        <v>748.4190000000001</v>
      </c>
      <c r="AM99" s="175">
        <v>780.26400000000001</v>
      </c>
      <c r="AN99" s="177">
        <v>915.61800000000005</v>
      </c>
      <c r="AO99" s="1007">
        <f>SUM(AK99:AN99)</f>
        <v>3134.627</v>
      </c>
      <c r="AP99" s="1877">
        <f>AN99+(149.4-13.1)</f>
        <v>1051.9180000000001</v>
      </c>
      <c r="AQ99" s="175">
        <f>AP99+9.1</f>
        <v>1061.018</v>
      </c>
      <c r="AR99" s="175">
        <f>IS!AR8-'Revenue Drivers'!AR90</f>
        <v>1115.75</v>
      </c>
      <c r="AS99" s="177">
        <f>AS105-AS90</f>
        <v>1314.444</v>
      </c>
      <c r="AT99" s="1007">
        <f>SUM(AP99:AS99)</f>
        <v>4543.13</v>
      </c>
      <c r="AU99" s="1877">
        <f>AU105-AU90</f>
        <v>1343.2739999999999</v>
      </c>
      <c r="AV99" s="175">
        <f>AV105-AV90</f>
        <v>1319.54</v>
      </c>
      <c r="AW99" s="175">
        <f>AW105-AW90</f>
        <v>1328.4059999999999</v>
      </c>
      <c r="AX99" s="175">
        <f>AX105-AX90</f>
        <v>1293.2820000000002</v>
      </c>
      <c r="AY99" s="1007">
        <f>SUM(AU99:AX99)</f>
        <v>5284.5020000000004</v>
      </c>
      <c r="AZ99" s="1877">
        <f>AZ105-AZ90</f>
        <v>1229.06</v>
      </c>
      <c r="BA99" s="175">
        <f>BA105-BA90</f>
        <v>1235.354</v>
      </c>
      <c r="BB99" s="175">
        <f>BB105-BB90</f>
        <v>1330.2159999999999</v>
      </c>
      <c r="BC99" s="51">
        <f>BD99-BB99-BA99-AZ99</f>
        <v>1470.9700000000007</v>
      </c>
      <c r="BD99" s="1007">
        <v>5265.6</v>
      </c>
      <c r="BE99" s="1877">
        <f>BE105-BE90</f>
        <v>1446</v>
      </c>
      <c r="BF99" s="175">
        <f>BF105-BF90</f>
        <v>1463</v>
      </c>
      <c r="BG99" s="175">
        <f>BG105-BG90</f>
        <v>1520</v>
      </c>
      <c r="BH99" s="177">
        <f>BH105-BH90</f>
        <v>1736</v>
      </c>
      <c r="BI99" s="1007">
        <f>SUM(BE99:BH99)</f>
        <v>6165</v>
      </c>
      <c r="BJ99" s="1877">
        <f>BJ105-BJ90</f>
        <v>1701</v>
      </c>
      <c r="BK99" s="175">
        <f>BK105-BK90</f>
        <v>1755</v>
      </c>
      <c r="BL99" s="175">
        <f>BL105-BL90</f>
        <v>1827</v>
      </c>
      <c r="BM99" s="175">
        <f>BM105-BM90</f>
        <v>2008</v>
      </c>
      <c r="BN99" s="1007">
        <f>SUM(BJ99:BM99)</f>
        <v>7291</v>
      </c>
      <c r="BO99" s="176"/>
      <c r="BP99" s="176"/>
      <c r="BQ99" s="176"/>
      <c r="BR99" s="176"/>
      <c r="BS99" s="598"/>
      <c r="BT99" s="175">
        <f>BT105-BT90</f>
        <v>2042</v>
      </c>
      <c r="BU99" s="175">
        <f>BU105-BU90</f>
        <v>2093</v>
      </c>
      <c r="BV99" s="175">
        <f>BV105-BV90</f>
        <v>2214</v>
      </c>
      <c r="BW99" s="175">
        <f>BW105-BW90</f>
        <v>2446</v>
      </c>
      <c r="BX99" s="1007">
        <f>SUM(BT99:BW99)</f>
        <v>8795</v>
      </c>
      <c r="BY99" s="176"/>
      <c r="BZ99" s="176"/>
      <c r="CA99" s="176"/>
      <c r="CB99" s="176"/>
      <c r="CC99" s="598"/>
      <c r="CD99" s="2468">
        <f>CD105-CD90</f>
        <v>2282</v>
      </c>
      <c r="CE99" s="175">
        <f>CE105-CE90</f>
        <v>2307</v>
      </c>
      <c r="CF99" s="175">
        <f>CF105-CF90</f>
        <v>2217</v>
      </c>
      <c r="CG99" s="175">
        <f>CG105-CG90</f>
        <v>2486</v>
      </c>
      <c r="CH99" s="1007">
        <f>SUM(CD99:CG99)</f>
        <v>9292</v>
      </c>
      <c r="CI99" s="175">
        <f>CI105-CI90</f>
        <v>2387</v>
      </c>
      <c r="CJ99" s="175">
        <f>CJ105-CJ90</f>
        <v>2400</v>
      </c>
      <c r="CK99" s="175">
        <f>CK105-CK90</f>
        <v>2421</v>
      </c>
      <c r="CL99" s="175">
        <f>CL105-CL90</f>
        <v>2652</v>
      </c>
      <c r="CM99" s="1007">
        <f>SUM(CI99:CL99)</f>
        <v>9860</v>
      </c>
      <c r="CN99" s="175">
        <f>CN105-CN90</f>
        <v>2432</v>
      </c>
      <c r="CO99" s="175">
        <f>CO105-CO90</f>
        <v>2432</v>
      </c>
      <c r="CP99" s="175">
        <f>CP105-CP90</f>
        <v>2514</v>
      </c>
      <c r="CQ99" s="175">
        <f>CQ105-CQ90</f>
        <v>2864</v>
      </c>
      <c r="CR99" s="1007">
        <f>SUM(CN99:CQ99)</f>
        <v>10242</v>
      </c>
      <c r="CS99" s="175">
        <f>CS105-CS90</f>
        <v>2571</v>
      </c>
      <c r="CT99" s="175">
        <f>CT105-CT90</f>
        <v>2623</v>
      </c>
      <c r="CU99" s="175">
        <f>CU105-CU90</f>
        <v>2623</v>
      </c>
      <c r="CV99" s="175">
        <f>CV105-CV90</f>
        <v>3082</v>
      </c>
      <c r="CW99" s="1007">
        <f>SUM(CS99:CV99)</f>
        <v>10899</v>
      </c>
      <c r="CX99" s="175">
        <f>CX105-CX90</f>
        <v>2824</v>
      </c>
      <c r="CY99" s="176">
        <f>CY105-CY90</f>
        <v>3042</v>
      </c>
      <c r="CZ99" s="175">
        <f>CZ105-CZ90</f>
        <v>3101</v>
      </c>
      <c r="DA99" s="176">
        <f>DA105-DA90</f>
        <v>3674</v>
      </c>
      <c r="DB99" s="1007">
        <f>SUM(CX99:DA99)</f>
        <v>12641</v>
      </c>
      <c r="DC99" s="175">
        <f>DC105-DC90</f>
        <v>3386</v>
      </c>
      <c r="DD99" s="175">
        <f>DD105-DD90</f>
        <v>3411</v>
      </c>
      <c r="DE99" s="176">
        <f>DE105-DE90</f>
        <v>3427</v>
      </c>
      <c r="DF99" s="176">
        <f>DF105-DF90</f>
        <v>3930</v>
      </c>
      <c r="DG99" s="1007">
        <f>SUM(DC99:DF99)</f>
        <v>14154</v>
      </c>
      <c r="DH99" s="175">
        <f>DH105-DH90</f>
        <v>3477</v>
      </c>
      <c r="DI99" s="176">
        <f>DI105-DI90</f>
        <v>3621</v>
      </c>
      <c r="DJ99" s="176">
        <f>DJ105-DJ90</f>
        <v>3634</v>
      </c>
      <c r="DK99" s="4299">
        <f>DK105-DK90</f>
        <v>4200.3329999999996</v>
      </c>
      <c r="DL99" s="1140">
        <f>SUM(DH99:DK99)</f>
        <v>14932.332999999999</v>
      </c>
      <c r="DM99" s="4299">
        <f>DM105-DM90</f>
        <v>3649.2896000000001</v>
      </c>
      <c r="DN99" s="4299">
        <f>DN105-DN90</f>
        <v>3270.1686</v>
      </c>
      <c r="DO99" s="4299">
        <f>DO105-DO90</f>
        <v>3925.5820000000003</v>
      </c>
      <c r="DP99" s="4299">
        <f>DP105-DP90</f>
        <v>5233.9079999999994</v>
      </c>
      <c r="DQ99" s="1140">
        <f>SUM(DM99:DP99)</f>
        <v>16078.948199999999</v>
      </c>
      <c r="DR99" s="4299">
        <f>DR105-DR90</f>
        <v>4706.9970000000003</v>
      </c>
      <c r="DS99" s="4299">
        <f>DS105-DS90</f>
        <v>5193.8</v>
      </c>
      <c r="DT99" s="4299">
        <f>DT105-DT90</f>
        <v>5410.8769999999995</v>
      </c>
      <c r="DU99" s="4299">
        <f>DU105-DU90</f>
        <v>6347.2865000000002</v>
      </c>
      <c r="DV99" s="1140">
        <f>SUM(DR99:DU99)</f>
        <v>21658.960500000001</v>
      </c>
      <c r="DW99" s="4299">
        <f>DW105-DW90</f>
        <v>5670.9290000000001</v>
      </c>
      <c r="DX99" s="4299">
        <f>DX105-DX90</f>
        <v>5650.8643000000002</v>
      </c>
      <c r="DY99" s="4299">
        <f>DY105-DY90</f>
        <v>5341.6039999999994</v>
      </c>
      <c r="DZ99" s="4299">
        <f>DZ105-DZ90</f>
        <v>5805.8716000000004</v>
      </c>
      <c r="EA99" s="1140">
        <f>SUM(DW99:DZ99)</f>
        <v>22469.268900000003</v>
      </c>
      <c r="EB99" s="4299">
        <f>EB105-EB90</f>
        <v>5207.0574000000006</v>
      </c>
      <c r="EC99" s="4299">
        <f>EC105-EC90</f>
        <v>5409.5984000000008</v>
      </c>
      <c r="ED99" s="4299">
        <f>ED105-ED90</f>
        <v>5157.579999999999</v>
      </c>
      <c r="EE99" s="4299">
        <f>EE105-EE90</f>
        <v>5726.5600000000013</v>
      </c>
      <c r="EF99" s="1140">
        <f>SUM(EB99:EE99)</f>
        <v>21500.7958</v>
      </c>
      <c r="EG99" s="4299">
        <f>EG105-EG90</f>
        <v>5007.1680000000006</v>
      </c>
      <c r="EH99" s="4299">
        <f>EH105-EH90</f>
        <v>5188.9789999999994</v>
      </c>
      <c r="EI99" s="4299">
        <f>EI105-EI90</f>
        <v>5175.3950000000004</v>
      </c>
      <c r="EJ99" s="4299">
        <f>EJ105-EJ90</f>
        <v>5456.8907999999992</v>
      </c>
      <c r="EK99" s="1140">
        <f>SUM(EG99:EJ99)</f>
        <v>20828.432800000002</v>
      </c>
      <c r="EL99" s="4299">
        <f>EL105-EL90</f>
        <v>4875.1500000000015</v>
      </c>
      <c r="EM99" s="4299">
        <f>EM105-EM90</f>
        <v>5113.3700000000008</v>
      </c>
      <c r="EN99" s="4299">
        <f>EN105-EN90</f>
        <v>4863.6409999999996</v>
      </c>
      <c r="EO99" s="1138">
        <f t="shared" ref="EO99" si="407">EO29*EO102</f>
        <v>5214.7991180473809</v>
      </c>
      <c r="EP99" s="1140">
        <f>SUM(EL99:EO99)</f>
        <v>20066.960118047384</v>
      </c>
      <c r="EQ99" s="1138">
        <f t="shared" ref="EQ99:ET99" si="408">EQ29*EQ102</f>
        <v>4913.9459901905857</v>
      </c>
      <c r="ER99" s="1138">
        <f t="shared" si="408"/>
        <v>4856.7409524626619</v>
      </c>
      <c r="ES99" s="1138">
        <f t="shared" si="408"/>
        <v>4800.2630350370855</v>
      </c>
      <c r="ET99" s="1138">
        <f t="shared" si="408"/>
        <v>5100.065359462239</v>
      </c>
      <c r="EU99" s="1140">
        <f>SUM(EQ99:ET99)</f>
        <v>19671.01533715257</v>
      </c>
      <c r="EV99" s="4425">
        <f>EV102*EV29</f>
        <v>19474.305183781042</v>
      </c>
      <c r="EW99" s="4425">
        <f>EW102*EW29</f>
        <v>19376.933657862137</v>
      </c>
      <c r="EX99" s="4425">
        <f>EX102*EX29</f>
        <v>19376.933657862137</v>
      </c>
      <c r="EY99" s="4425">
        <f>EY102*EY29</f>
        <v>19473.818326151446</v>
      </c>
      <c r="EZ99" s="175"/>
      <c r="FA99" s="1319">
        <f>(EV99/EK99)^(1/3)-1</f>
        <v>-2.2158512536616826E-2</v>
      </c>
      <c r="FB99" s="1319">
        <f>(EX99/EK99)^(1/5)-1</f>
        <v>-1.434326956415688E-2</v>
      </c>
    </row>
    <row r="100" spans="1:158" s="1105" customFormat="1" ht="11.25" hidden="1" customHeight="1" outlineLevel="1">
      <c r="A100" s="5639" t="s">
        <v>45</v>
      </c>
      <c r="B100" s="185"/>
      <c r="C100" s="185"/>
      <c r="D100" s="185"/>
      <c r="E100" s="185"/>
      <c r="F100" s="5569"/>
      <c r="G100" s="185"/>
      <c r="H100" s="185"/>
      <c r="I100" s="185"/>
      <c r="J100" s="185"/>
      <c r="K100" s="1505"/>
      <c r="L100" s="185"/>
      <c r="M100" s="185"/>
      <c r="N100" s="185"/>
      <c r="O100" s="185"/>
      <c r="P100" s="992"/>
      <c r="Q100" s="1226" t="s">
        <v>116</v>
      </c>
      <c r="R100" s="169" t="s">
        <v>116</v>
      </c>
      <c r="S100" s="169" t="s">
        <v>116</v>
      </c>
      <c r="T100" s="184" t="s">
        <v>116</v>
      </c>
      <c r="U100" s="992"/>
      <c r="V100" s="1226" t="s">
        <v>116</v>
      </c>
      <c r="W100" s="169">
        <f>+W99/R99-1</f>
        <v>5.8970714285714285</v>
      </c>
      <c r="X100" s="169">
        <f>+X99/S99-1</f>
        <v>3.9478275862068966</v>
      </c>
      <c r="Y100" s="169">
        <f>+Y99/T99-1</f>
        <v>3.2010873786407767</v>
      </c>
      <c r="Z100" s="992">
        <f>Z99/U99-1</f>
        <v>4.5717777777777782</v>
      </c>
      <c r="AA100" s="1226">
        <f>+AA99/V99-1</f>
        <v>2.8642255208110536</v>
      </c>
      <c r="AB100" s="169">
        <f>+AB99/W99-1</f>
        <v>1.8690645097815843</v>
      </c>
      <c r="AC100" s="169">
        <f>+AC99/X99-1</f>
        <v>1.110992633478991</v>
      </c>
      <c r="AD100" s="169">
        <f>+AD99/Y99-1</f>
        <v>0.74577085913956642</v>
      </c>
      <c r="AE100" s="992">
        <f>AE99/Z99-1</f>
        <v>1.3334605808182962</v>
      </c>
      <c r="AF100" s="1226">
        <f>+AF99/AA99-1</f>
        <v>0.63690673869565528</v>
      </c>
      <c r="AG100" s="169">
        <f>+AG99/AB99-1</f>
        <v>0.71567388840358959</v>
      </c>
      <c r="AH100" s="169">
        <f>+AH99/AC99-1</f>
        <v>0.66853747111257844</v>
      </c>
      <c r="AI100" s="169">
        <f>+AI99/AD99-1</f>
        <v>0.5903687504633206</v>
      </c>
      <c r="AJ100" s="992">
        <f>AJ99/AE99-1</f>
        <v>0.64815845761668944</v>
      </c>
      <c r="AK100" s="1226">
        <f>+AK99/AF99-1</f>
        <v>0.55617272122721784</v>
      </c>
      <c r="AL100" s="169">
        <f>+AL99/AG99-1</f>
        <v>0.57462444771723131</v>
      </c>
      <c r="AM100" s="169">
        <f>+AM99/AH99-1</f>
        <v>0.54385437277404036</v>
      </c>
      <c r="AN100" s="169">
        <f>+AN99/AI99-1</f>
        <v>0.52426439374391354</v>
      </c>
      <c r="AO100" s="992">
        <f>AO99/AJ99-1</f>
        <v>0.5479639506172842</v>
      </c>
      <c r="AP100" s="1226">
        <f>+AP99/AK99-1</f>
        <v>0.52379890080918301</v>
      </c>
      <c r="AQ100" s="169">
        <f>+AQ99/AL99-1</f>
        <v>0.41767913428173231</v>
      </c>
      <c r="AR100" s="169">
        <f>+AR99/AM99-1</f>
        <v>0.42996472988629497</v>
      </c>
      <c r="AS100" s="169">
        <f>+AS99/AN99-1</f>
        <v>0.4355812139997246</v>
      </c>
      <c r="AT100" s="992">
        <f>AT99/AO99-1</f>
        <v>0.44933671534125108</v>
      </c>
      <c r="AU100" s="1226">
        <f>+AU99/AP99-1</f>
        <v>0.27697596200464258</v>
      </c>
      <c r="AV100" s="169">
        <f>+AV99/AQ99-1</f>
        <v>0.24365467880846503</v>
      </c>
      <c r="AW100" s="169">
        <f>+AW99/AR99-1</f>
        <v>0.19059466726417207</v>
      </c>
      <c r="AX100" s="169">
        <f>+AX99/AS99-1</f>
        <v>-1.6099582789376954E-2</v>
      </c>
      <c r="AY100" s="992">
        <f>AY99/AT99-1</f>
        <v>0.16318529295881912</v>
      </c>
      <c r="AZ100" s="1226">
        <f>+AZ99/AU99-1</f>
        <v>-8.5026584300745722E-2</v>
      </c>
      <c r="BA100" s="169">
        <f>+BA99/AV99-1</f>
        <v>-6.3799505888415653E-2</v>
      </c>
      <c r="BB100" s="169">
        <f>+BB99/AW99-1</f>
        <v>1.3625352490127529E-3</v>
      </c>
      <c r="BC100" s="169">
        <f>+BC99/AX99-1</f>
        <v>0.13739308209655787</v>
      </c>
      <c r="BD100" s="992">
        <f>BD99/AY99-1</f>
        <v>-3.5768744150347365E-3</v>
      </c>
      <c r="BE100" s="1226">
        <f>+BE99/AZ99-1</f>
        <v>0.17650887670252069</v>
      </c>
      <c r="BF100" s="169">
        <f>+BF99/BA99-1</f>
        <v>0.18427592414805782</v>
      </c>
      <c r="BG100" s="169">
        <f>+BG99/BB99-1</f>
        <v>0.14267156612159226</v>
      </c>
      <c r="BH100" s="169">
        <f>+BH99/BC99-1</f>
        <v>0.18017362692644934</v>
      </c>
      <c r="BI100" s="992">
        <f>BI99/BD99-1</f>
        <v>0.17080674567000909</v>
      </c>
      <c r="BJ100" s="1226">
        <f>+BJ99/BE99-1</f>
        <v>0.17634854771784236</v>
      </c>
      <c r="BK100" s="169">
        <f>+BK99/BF99-1</f>
        <v>0.19958988380041021</v>
      </c>
      <c r="BL100" s="169">
        <f>+BL99/BG99-1</f>
        <v>0.20197368421052642</v>
      </c>
      <c r="BM100" s="169">
        <f>+BM99/BH99-1</f>
        <v>0.15668202764976957</v>
      </c>
      <c r="BN100" s="992">
        <f>BN99/BI99-1</f>
        <v>0.18264395782643961</v>
      </c>
      <c r="BO100" s="169"/>
      <c r="BP100" s="169"/>
      <c r="BQ100" s="169"/>
      <c r="BR100" s="169"/>
      <c r="BS100" s="600"/>
      <c r="BT100" s="169">
        <f>+BT99/BJ99-1</f>
        <v>0.20047031158142259</v>
      </c>
      <c r="BU100" s="169">
        <f>+BU99/BK99-1</f>
        <v>0.19259259259259265</v>
      </c>
      <c r="BV100" s="169">
        <f>+BV99/BL99-1</f>
        <v>0.21182266009852224</v>
      </c>
      <c r="BW100" s="169">
        <f>+BW99/BM99-1</f>
        <v>0.21812749003984067</v>
      </c>
      <c r="BX100" s="992">
        <f>BX99/BN99-1</f>
        <v>0.20628171718557131</v>
      </c>
      <c r="BY100" s="169"/>
      <c r="BZ100" s="169"/>
      <c r="CA100" s="169"/>
      <c r="CB100" s="169"/>
      <c r="CC100" s="600"/>
      <c r="CD100" s="576">
        <f>+CD99/BT99-1</f>
        <v>0.11753183153770808</v>
      </c>
      <c r="CE100" s="169">
        <f>+CE99/BU99-1</f>
        <v>0.10224558050645016</v>
      </c>
      <c r="CF100" s="169">
        <f>+CF99/BV99-1</f>
        <v>1.3550135501354532E-3</v>
      </c>
      <c r="CG100" s="169">
        <f>+CG99/BW99-1</f>
        <v>1.6353229762878119E-2</v>
      </c>
      <c r="CH100" s="992">
        <f>CH99/BX99-1</f>
        <v>5.6509380329732739E-2</v>
      </c>
      <c r="CI100" s="169">
        <f>+CI99/CD99-1</f>
        <v>4.6012269938650263E-2</v>
      </c>
      <c r="CJ100" s="169">
        <f>+CJ99/CE99-1</f>
        <v>4.0312093628088519E-2</v>
      </c>
      <c r="CK100" s="169">
        <f>+CK99/CF99-1</f>
        <v>9.201623815967519E-2</v>
      </c>
      <c r="CL100" s="169">
        <f>+CL99/CG99-1</f>
        <v>6.6773934030571303E-2</v>
      </c>
      <c r="CM100" s="992">
        <f>CM99/CH99-1</f>
        <v>6.1127851915626419E-2</v>
      </c>
      <c r="CN100" s="169">
        <f>+CN99/CI99-1</f>
        <v>1.8852115626309285E-2</v>
      </c>
      <c r="CO100" s="169">
        <f>+CO99/CJ99-1</f>
        <v>1.3333333333333419E-2</v>
      </c>
      <c r="CP100" s="169">
        <f>+CP99/CK99-1</f>
        <v>3.8413878562577386E-2</v>
      </c>
      <c r="CQ100" s="169">
        <f>+CQ99/CL99-1</f>
        <v>7.9939668174962231E-2</v>
      </c>
      <c r="CR100" s="992">
        <f>CR99/CM99-1</f>
        <v>3.8742393509127782E-2</v>
      </c>
      <c r="CS100" s="169">
        <f>+CS99/CN99-1</f>
        <v>5.7154605263157965E-2</v>
      </c>
      <c r="CT100" s="169">
        <f>+CT99/CO99-1</f>
        <v>7.8536184210526327E-2</v>
      </c>
      <c r="CU100" s="169">
        <f>+CU99/CP99-1</f>
        <v>4.3357199681782088E-2</v>
      </c>
      <c r="CV100" s="169">
        <f>CV99/CQ99-1</f>
        <v>7.61173184357542E-2</v>
      </c>
      <c r="CW100" s="992">
        <f>CW99/CR99-1</f>
        <v>6.4147627416520248E-2</v>
      </c>
      <c r="CX100" s="169">
        <f>+CX99/CS99-1</f>
        <v>9.8405289770517212E-2</v>
      </c>
      <c r="CY100" s="169">
        <f>+CY99/CT99-1</f>
        <v>0.15974075486084627</v>
      </c>
      <c r="CZ100" s="2612">
        <f>+CZ99/CU99-1</f>
        <v>0.18223408311094169</v>
      </c>
      <c r="DA100" s="2612">
        <f t="shared" ref="DA100:DZ100" si="409">DA99/CV99-1</f>
        <v>0.19208306294613897</v>
      </c>
      <c r="DB100" s="992">
        <f t="shared" si="409"/>
        <v>0.15983117717221762</v>
      </c>
      <c r="DC100" s="2612">
        <f>+DC99/CX99-1</f>
        <v>0.19900849858356939</v>
      </c>
      <c r="DD100" s="2612">
        <f t="shared" si="409"/>
        <v>0.12130177514792906</v>
      </c>
      <c r="DE100" s="2612">
        <f t="shared" si="409"/>
        <v>0.10512737826507568</v>
      </c>
      <c r="DF100" s="2612">
        <f t="shared" si="409"/>
        <v>6.9678824169842057E-2</v>
      </c>
      <c r="DG100" s="2588">
        <f t="shared" si="409"/>
        <v>0.1196898979511114</v>
      </c>
      <c r="DH100" s="2612">
        <f>+DH99/DC99-1</f>
        <v>2.6875369167158825E-2</v>
      </c>
      <c r="DI100" s="2612">
        <f t="shared" si="409"/>
        <v>6.1565523306948089E-2</v>
      </c>
      <c r="DJ100" s="2612">
        <f t="shared" si="409"/>
        <v>6.0402684563758413E-2</v>
      </c>
      <c r="DK100" s="2660">
        <f t="shared" si="409"/>
        <v>6.8787022900763217E-2</v>
      </c>
      <c r="DL100" s="2597">
        <f>DL99/DG99-1</f>
        <v>5.4990320757382971E-2</v>
      </c>
      <c r="DM100" s="2660">
        <f t="shared" si="409"/>
        <v>4.9551222318090282E-2</v>
      </c>
      <c r="DN100" s="2660">
        <f t="shared" ref="DN100:DX100" si="410">DN99/DI99-1</f>
        <v>-9.6887986743993348E-2</v>
      </c>
      <c r="DO100" s="2660">
        <f t="shared" si="409"/>
        <v>8.0237204182718846E-2</v>
      </c>
      <c r="DP100" s="2660">
        <f t="shared" si="409"/>
        <v>0.24606977589633972</v>
      </c>
      <c r="DQ100" s="2597">
        <f t="shared" si="410"/>
        <v>7.6787411585316212E-2</v>
      </c>
      <c r="DR100" s="2660">
        <f t="shared" si="409"/>
        <v>0.28983926077009614</v>
      </c>
      <c r="DS100" s="2660">
        <f t="shared" si="410"/>
        <v>0.58823615394019746</v>
      </c>
      <c r="DT100" s="2660">
        <f t="shared" si="409"/>
        <v>0.37836300451754634</v>
      </c>
      <c r="DU100" s="2660">
        <f t="shared" si="409"/>
        <v>0.21272412507059757</v>
      </c>
      <c r="DV100" s="2597">
        <f t="shared" si="410"/>
        <v>0.34703839023500316</v>
      </c>
      <c r="DW100" s="2660">
        <f t="shared" si="409"/>
        <v>0.20478704362887834</v>
      </c>
      <c r="DX100" s="2660">
        <f t="shared" si="410"/>
        <v>8.8001906118833961E-2</v>
      </c>
      <c r="DY100" s="2660">
        <f t="shared" si="409"/>
        <v>-1.2802545687140898E-2</v>
      </c>
      <c r="DZ100" s="2660">
        <f t="shared" si="409"/>
        <v>-8.5298639032600709E-2</v>
      </c>
      <c r="EA100" s="2597">
        <f t="shared" ref="EA100:EN100" si="411">EA99/DV99-1</f>
        <v>3.7412155583367079E-2</v>
      </c>
      <c r="EB100" s="2660">
        <f t="shared" ref="EB100" si="412">EB99/DW99-1</f>
        <v>-8.1798167460745752E-2</v>
      </c>
      <c r="EC100" s="2660">
        <f t="shared" ref="EC100" si="413">EC99/DX99-1</f>
        <v>-4.269539794116084E-2</v>
      </c>
      <c r="ED100" s="2660">
        <f t="shared" ref="ED100" si="414">ED99/DY99-1</f>
        <v>-3.4451074995450859E-2</v>
      </c>
      <c r="EE100" s="2660">
        <f t="shared" ref="EE100" si="415">EE99/DZ99-1</f>
        <v>-1.3660584570971079E-2</v>
      </c>
      <c r="EF100" s="2597">
        <f t="shared" si="411"/>
        <v>-4.3102118912289211E-2</v>
      </c>
      <c r="EG100" s="2660">
        <f t="shared" si="411"/>
        <v>-3.8388169102956282E-2</v>
      </c>
      <c r="EH100" s="2660">
        <f t="shared" si="411"/>
        <v>-4.0782953499838626E-2</v>
      </c>
      <c r="EI100" s="2660">
        <f t="shared" si="411"/>
        <v>3.454139344421403E-3</v>
      </c>
      <c r="EJ100" s="2660">
        <f t="shared" si="411"/>
        <v>-4.709095862088275E-2</v>
      </c>
      <c r="EK100" s="2597">
        <f>EK99/EF99-1</f>
        <v>-3.1271540191084357E-2</v>
      </c>
      <c r="EL100" s="2660">
        <f t="shared" si="411"/>
        <v>-2.6365801986272253E-2</v>
      </c>
      <c r="EM100" s="2660">
        <f t="shared" si="411"/>
        <v>-1.4571074579411203E-2</v>
      </c>
      <c r="EN100" s="2660">
        <f t="shared" si="411"/>
        <v>-6.0237720985548138E-2</v>
      </c>
      <c r="EO100" s="2660">
        <f t="shared" ref="EO100" si="416">EO99/EJ99-1</f>
        <v>-4.4364399220269912E-2</v>
      </c>
      <c r="EP100" s="2597">
        <f>EP99/EK99-1</f>
        <v>-3.6559288414278468E-2</v>
      </c>
      <c r="EQ100" s="2660">
        <f t="shared" ref="EQ100" si="417">EQ99/EL99-1</f>
        <v>7.9579069752897524E-3</v>
      </c>
      <c r="ER100" s="2660">
        <f t="shared" ref="ER100" si="418">ER99/EM99-1</f>
        <v>-5.0187850192209615E-2</v>
      </c>
      <c r="ES100" s="2660">
        <f t="shared" ref="ES100" si="419">ES99/EN99-1</f>
        <v>-1.3030971028271665E-2</v>
      </c>
      <c r="ET100" s="2660">
        <f t="shared" ref="ET100" si="420">ET99/EO99-1</f>
        <v>-2.2001568226870161E-2</v>
      </c>
      <c r="EU100" s="2597">
        <f>EU99/EP99-1</f>
        <v>-1.9731178941184924E-2</v>
      </c>
      <c r="EV100" s="4418">
        <f>EV99/EU99-1</f>
        <v>-1.000000000000012E-2</v>
      </c>
      <c r="EW100" s="4418">
        <f>EW99/EV99-1</f>
        <v>-5.0000000000000044E-3</v>
      </c>
      <c r="EX100" s="4418">
        <f>EX99/EW99-1</f>
        <v>0</v>
      </c>
      <c r="EY100" s="4418">
        <f>EY99/EX99-1</f>
        <v>4.9999999999998934E-3</v>
      </c>
      <c r="EZ100" s="185"/>
      <c r="FA100" s="1104"/>
      <c r="FB100" s="1104"/>
    </row>
    <row r="101" spans="1:158" s="1105" customFormat="1" ht="11.25" hidden="1" customHeight="1" outlineLevel="1">
      <c r="A101" s="5786" t="s">
        <v>1051</v>
      </c>
      <c r="B101" s="185"/>
      <c r="C101" s="185"/>
      <c r="D101" s="185"/>
      <c r="E101" s="185"/>
      <c r="F101" s="5787"/>
      <c r="G101" s="185"/>
      <c r="H101" s="185"/>
      <c r="I101" s="185"/>
      <c r="J101" s="185"/>
      <c r="K101" s="5787"/>
      <c r="L101" s="185"/>
      <c r="M101" s="185"/>
      <c r="N101" s="185"/>
      <c r="O101" s="185"/>
      <c r="P101" s="2587"/>
      <c r="Q101" s="2611"/>
      <c r="R101" s="2612"/>
      <c r="S101" s="2612"/>
      <c r="T101" s="2612"/>
      <c r="U101" s="4241"/>
      <c r="V101" s="2611"/>
      <c r="W101" s="2612"/>
      <c r="X101" s="2612"/>
      <c r="Y101" s="2612"/>
      <c r="Z101" s="4241"/>
      <c r="AA101" s="2611"/>
      <c r="AB101" s="2612"/>
      <c r="AC101" s="2612"/>
      <c r="AD101" s="2612"/>
      <c r="AE101" s="4241"/>
      <c r="AF101" s="2611"/>
      <c r="AG101" s="2612"/>
      <c r="AH101" s="2612"/>
      <c r="AI101" s="2612"/>
      <c r="AJ101" s="4241"/>
      <c r="AK101" s="2611"/>
      <c r="AL101" s="2612"/>
      <c r="AM101" s="2612"/>
      <c r="AN101" s="2612"/>
      <c r="AO101" s="4241"/>
      <c r="AP101" s="2611"/>
      <c r="AQ101" s="2612"/>
      <c r="AR101" s="2612"/>
      <c r="AS101" s="2612"/>
      <c r="AT101" s="4241"/>
      <c r="AU101" s="2611"/>
      <c r="AV101" s="2612"/>
      <c r="AW101" s="2612"/>
      <c r="AX101" s="2612"/>
      <c r="AY101" s="4241"/>
      <c r="AZ101" s="2611"/>
      <c r="BA101" s="2612"/>
      <c r="BB101" s="2612"/>
      <c r="BC101" s="2612"/>
      <c r="BD101" s="4241"/>
      <c r="BE101" s="2611"/>
      <c r="BF101" s="2612"/>
      <c r="BG101" s="2612"/>
      <c r="BH101" s="2612"/>
      <c r="BI101" s="4241"/>
      <c r="BJ101" s="2611"/>
      <c r="BK101" s="2612"/>
      <c r="BL101" s="2612"/>
      <c r="BM101" s="2612"/>
      <c r="BN101" s="4241"/>
      <c r="BO101" s="2612"/>
      <c r="BP101" s="2612"/>
      <c r="BQ101" s="2612"/>
      <c r="BR101" s="2612"/>
      <c r="BS101" s="2587"/>
      <c r="BT101" s="2612"/>
      <c r="BU101" s="2612"/>
      <c r="BV101" s="2612"/>
      <c r="BW101" s="2612"/>
      <c r="BX101" s="2587"/>
      <c r="BY101" s="2612"/>
      <c r="BZ101" s="2612"/>
      <c r="CA101" s="2612"/>
      <c r="CB101" s="2612"/>
      <c r="CC101" s="2587"/>
      <c r="CD101" s="576"/>
      <c r="CE101" s="2612"/>
      <c r="CF101" s="2612"/>
      <c r="CG101" s="2612"/>
      <c r="CH101" s="2587"/>
      <c r="CI101" s="2612"/>
      <c r="CJ101" s="2612"/>
      <c r="CK101" s="2612"/>
      <c r="CL101" s="2612"/>
      <c r="CM101" s="2587"/>
      <c r="CN101" s="2612"/>
      <c r="CO101" s="2612"/>
      <c r="CP101" s="2612"/>
      <c r="CQ101" s="2612"/>
      <c r="CR101" s="2587"/>
      <c r="CS101" s="2612"/>
      <c r="CT101" s="2612"/>
      <c r="CU101" s="2612"/>
      <c r="CV101" s="2612"/>
      <c r="CW101" s="2587"/>
      <c r="CX101" s="2612"/>
      <c r="CY101" s="2612"/>
      <c r="CZ101" s="2612"/>
      <c r="DA101" s="2612"/>
      <c r="DB101" s="2587"/>
      <c r="DC101" s="2612"/>
      <c r="DD101" s="2612"/>
      <c r="DE101" s="2612"/>
      <c r="DF101" s="2612"/>
      <c r="DG101" s="2587"/>
      <c r="DH101" s="2612"/>
      <c r="DI101" s="2612"/>
      <c r="DJ101" s="2612"/>
      <c r="DK101" s="2660"/>
      <c r="DL101" s="4418">
        <f>DL16</f>
        <v>0.35804571940833707</v>
      </c>
      <c r="DM101" s="2660">
        <f t="shared" ref="DM101:EV101" si="421">DM16</f>
        <v>0.3348760330578513</v>
      </c>
      <c r="DN101" s="2660">
        <f t="shared" si="421"/>
        <v>5.8007216208714851E-2</v>
      </c>
      <c r="DO101" s="2660">
        <f t="shared" si="421"/>
        <v>0.32413249211356465</v>
      </c>
      <c r="DP101" s="2660">
        <f t="shared" si="421"/>
        <v>0.45961416154335377</v>
      </c>
      <c r="DQ101" s="4418">
        <f t="shared" si="421"/>
        <v>0.30516865799722748</v>
      </c>
      <c r="DR101" s="2660">
        <f t="shared" si="421"/>
        <v>0.48712233779098568</v>
      </c>
      <c r="DS101" s="2660">
        <f t="shared" si="421"/>
        <v>0.83683105981112282</v>
      </c>
      <c r="DT101" s="2660">
        <f t="shared" si="421"/>
        <v>0.4304149295215407</v>
      </c>
      <c r="DU101" s="2660">
        <f t="shared" si="421"/>
        <v>0.25388525780682647</v>
      </c>
      <c r="DV101" s="4418">
        <f t="shared" si="421"/>
        <v>0.45888124620675708</v>
      </c>
      <c r="DW101" s="2660">
        <f t="shared" si="421"/>
        <v>0.143880099916736</v>
      </c>
      <c r="DX101" s="2660">
        <f t="shared" si="421"/>
        <v>4.8271922307911996E-2</v>
      </c>
      <c r="DY101" s="2660">
        <f t="shared" si="421"/>
        <v>-1.8598195697432374E-2</v>
      </c>
      <c r="DZ101" s="2660">
        <f t="shared" si="421"/>
        <v>-7.7609174099386058E-2</v>
      </c>
      <c r="EA101" s="4418">
        <f t="shared" si="421"/>
        <v>1.3797885248743258E-2</v>
      </c>
      <c r="EB101" s="2660">
        <f t="shared" ref="EB101:EE101" si="422">EB16</f>
        <v>-2.5622361333527466E-2</v>
      </c>
      <c r="EC101" s="2660">
        <f t="shared" si="422"/>
        <v>4.4277929155313256E-2</v>
      </c>
      <c r="ED101" s="2660">
        <f t="shared" si="422"/>
        <v>0.12459340970159816</v>
      </c>
      <c r="EE101" s="2660">
        <f t="shared" si="422"/>
        <v>0.15534346351877426</v>
      </c>
      <c r="EF101" s="4418">
        <f t="shared" si="421"/>
        <v>7.7522825975447018E-2</v>
      </c>
      <c r="EG101" s="2660">
        <f t="shared" si="421"/>
        <v>0.20872553414014638</v>
      </c>
      <c r="EH101" s="2660">
        <f t="shared" si="421"/>
        <v>0.13020221787345077</v>
      </c>
      <c r="EI101" s="2660">
        <f t="shared" si="421"/>
        <v>0.12185613682092544</v>
      </c>
      <c r="EJ101" s="2660">
        <f t="shared" si="421"/>
        <v>0.1383695652173913</v>
      </c>
      <c r="EK101" s="4418">
        <f>EK16</f>
        <v>0.14715963186290071</v>
      </c>
      <c r="EL101" s="2660">
        <f t="shared" ref="EL101:EN101" si="423">EL16</f>
        <v>0.10346106304079106</v>
      </c>
      <c r="EM101" s="2660">
        <f t="shared" si="423"/>
        <v>0.1307861018123051</v>
      </c>
      <c r="EN101" s="2660">
        <f t="shared" si="423"/>
        <v>0.15020737585472488</v>
      </c>
      <c r="EO101" s="2660">
        <f t="shared" ref="EO101" si="424">EO16</f>
        <v>0.13994501376327095</v>
      </c>
      <c r="EP101" s="4418">
        <f>EP16</f>
        <v>0.13211730238035613</v>
      </c>
      <c r="EQ101" s="2660">
        <f t="shared" ref="EQ101:ET101" si="425">EQ16</f>
        <v>0.16549568458545427</v>
      </c>
      <c r="ER101" s="2660">
        <f t="shared" si="425"/>
        <v>0.14663524588586418</v>
      </c>
      <c r="ES101" s="2660">
        <f t="shared" si="425"/>
        <v>0.13330128976832412</v>
      </c>
      <c r="ET101" s="2660">
        <f t="shared" si="425"/>
        <v>0.13767164512384489</v>
      </c>
      <c r="EU101" s="4418">
        <f>EU16</f>
        <v>0.14479113662385901</v>
      </c>
      <c r="EV101" s="4418">
        <f t="shared" si="421"/>
        <v>0.1100000000000001</v>
      </c>
      <c r="EW101" s="4418">
        <f>EW16</f>
        <v>0.10000000000000009</v>
      </c>
      <c r="EX101" s="4418">
        <f>EX16</f>
        <v>9.000000000000008E-2</v>
      </c>
      <c r="EY101" s="4418">
        <f>EY16</f>
        <v>8.4999999999999964E-2</v>
      </c>
      <c r="EZ101" s="185"/>
      <c r="FA101" s="1104"/>
      <c r="FB101" s="1104"/>
    </row>
    <row r="102" spans="1:158" s="161" customFormat="1" ht="11.25" hidden="1" customHeight="1" outlineLevel="1">
      <c r="A102" s="5652" t="s">
        <v>279</v>
      </c>
      <c r="B102" s="159"/>
      <c r="C102" s="159"/>
      <c r="D102" s="159"/>
      <c r="E102" s="159"/>
      <c r="F102" s="5618"/>
      <c r="G102" s="159"/>
      <c r="H102" s="159"/>
      <c r="I102" s="159"/>
      <c r="J102" s="159"/>
      <c r="K102" s="4228"/>
      <c r="L102" s="159"/>
      <c r="M102" s="159"/>
      <c r="N102" s="159"/>
      <c r="O102" s="159"/>
      <c r="P102" s="4229"/>
      <c r="Q102" s="4231" t="s">
        <v>116</v>
      </c>
      <c r="R102" s="709">
        <f t="shared" ref="R102:AW102" si="426">R99/R29</f>
        <v>0.93835352469042688</v>
      </c>
      <c r="S102" s="709">
        <f t="shared" si="426"/>
        <v>0.92389406694345233</v>
      </c>
      <c r="T102" s="709">
        <f t="shared" si="426"/>
        <v>0.89365706508790765</v>
      </c>
      <c r="U102" s="4230">
        <f t="shared" si="426"/>
        <v>0.90920461433368294</v>
      </c>
      <c r="V102" s="4231">
        <f t="shared" si="426"/>
        <v>0.86349085178162477</v>
      </c>
      <c r="W102" s="709">
        <f t="shared" si="426"/>
        <v>0.8211986426609289</v>
      </c>
      <c r="X102" s="709">
        <f t="shared" si="426"/>
        <v>0.82253903831602126</v>
      </c>
      <c r="Y102" s="709">
        <f t="shared" si="426"/>
        <v>0.84727867979354143</v>
      </c>
      <c r="Z102" s="4230">
        <f t="shared" si="426"/>
        <v>0.83762806236080178</v>
      </c>
      <c r="AA102" s="4231">
        <f t="shared" si="426"/>
        <v>0.81198614540137592</v>
      </c>
      <c r="AB102" s="709">
        <f t="shared" si="426"/>
        <v>0.80015365685997009</v>
      </c>
      <c r="AC102" s="709">
        <f t="shared" si="426"/>
        <v>0.78818631277647666</v>
      </c>
      <c r="AD102" s="709">
        <f t="shared" si="426"/>
        <v>0.77084366511358327</v>
      </c>
      <c r="AE102" s="4230">
        <f t="shared" si="426"/>
        <v>0.79049535119679903</v>
      </c>
      <c r="AF102" s="4231">
        <f t="shared" si="426"/>
        <v>0.75944857396134258</v>
      </c>
      <c r="AG102" s="709">
        <f t="shared" si="426"/>
        <v>0.75415475325351222</v>
      </c>
      <c r="AH102" s="709">
        <f t="shared" si="426"/>
        <v>0.74872743003087361</v>
      </c>
      <c r="AI102" s="709">
        <f t="shared" si="426"/>
        <v>0.75221050548916624</v>
      </c>
      <c r="AJ102" s="4230">
        <f t="shared" si="426"/>
        <v>0.75336458202812129</v>
      </c>
      <c r="AK102" s="4231">
        <f t="shared" si="426"/>
        <v>0.74358449593699105</v>
      </c>
      <c r="AL102" s="709">
        <f t="shared" si="426"/>
        <v>0.75099717329592497</v>
      </c>
      <c r="AM102" s="709">
        <f t="shared" si="426"/>
        <v>0.75240833849233679</v>
      </c>
      <c r="AN102" s="709">
        <f t="shared" si="426"/>
        <v>0.76437367420590108</v>
      </c>
      <c r="AO102" s="4230">
        <f t="shared" si="426"/>
        <v>0.75354653745632028</v>
      </c>
      <c r="AP102" s="4231">
        <f t="shared" si="426"/>
        <v>0.78190390603339421</v>
      </c>
      <c r="AQ102" s="709">
        <f t="shared" si="426"/>
        <v>0.78474702507523764</v>
      </c>
      <c r="AR102" s="709">
        <f t="shared" si="426"/>
        <v>0.76698555943029623</v>
      </c>
      <c r="AS102" s="709">
        <f t="shared" si="426"/>
        <v>0.80353042725554391</v>
      </c>
      <c r="AT102" s="4230">
        <f t="shared" si="426"/>
        <v>0.7849307965860719</v>
      </c>
      <c r="AU102" s="4231">
        <f t="shared" si="426"/>
        <v>0.79665579568968425</v>
      </c>
      <c r="AV102" s="709">
        <f t="shared" si="426"/>
        <v>0.79717026726596107</v>
      </c>
      <c r="AW102" s="709">
        <f t="shared" si="426"/>
        <v>0.79078328504560791</v>
      </c>
      <c r="AX102" s="709">
        <f t="shared" ref="AX102:BN102" si="427">AX99/AX29</f>
        <v>0.76371688993477649</v>
      </c>
      <c r="AY102" s="4230">
        <f t="shared" si="427"/>
        <v>0.78700645316751183</v>
      </c>
      <c r="AZ102" s="4231">
        <f t="shared" si="427"/>
        <v>0.75032264129979576</v>
      </c>
      <c r="BA102" s="709">
        <f t="shared" si="427"/>
        <v>0.73380100980100982</v>
      </c>
      <c r="BB102" s="709">
        <f t="shared" si="427"/>
        <v>0.73864367062952196</v>
      </c>
      <c r="BC102" s="709">
        <f t="shared" si="427"/>
        <v>0.71969278129993586</v>
      </c>
      <c r="BD102" s="4230">
        <f t="shared" si="427"/>
        <v>0.73477063116652108</v>
      </c>
      <c r="BE102" s="4231">
        <f t="shared" si="427"/>
        <v>0.71021611001964635</v>
      </c>
      <c r="BF102" s="709">
        <f t="shared" si="427"/>
        <v>0.709161415414445</v>
      </c>
      <c r="BG102" s="709">
        <f t="shared" si="427"/>
        <v>0.69122328331059568</v>
      </c>
      <c r="BH102" s="709">
        <f t="shared" si="427"/>
        <v>0.69579158316633272</v>
      </c>
      <c r="BI102" s="4230">
        <f t="shared" si="427"/>
        <v>0.7011258955987717</v>
      </c>
      <c r="BJ102" s="4231">
        <f t="shared" si="427"/>
        <v>0.70086526576019781</v>
      </c>
      <c r="BK102" s="709">
        <f t="shared" si="427"/>
        <v>0.70652173913043481</v>
      </c>
      <c r="BL102" s="709">
        <f t="shared" si="427"/>
        <v>0.70404624277456651</v>
      </c>
      <c r="BM102" s="709">
        <f t="shared" si="427"/>
        <v>0.69722222222222219</v>
      </c>
      <c r="BN102" s="4230">
        <f t="shared" si="427"/>
        <v>0.70200269593683806</v>
      </c>
      <c r="BO102" s="709"/>
      <c r="BP102" s="709"/>
      <c r="BQ102" s="709"/>
      <c r="BR102" s="709"/>
      <c r="BS102" s="4232"/>
      <c r="BT102" s="709">
        <f>BT99/BT29</f>
        <v>0.70099553724682462</v>
      </c>
      <c r="BU102" s="709">
        <f>BU99/BU29</f>
        <v>0.70164264163593693</v>
      </c>
      <c r="BV102" s="709">
        <f>BV99/BV29</f>
        <v>0.70667092243855734</v>
      </c>
      <c r="BW102" s="709">
        <f>BW99/BW29</f>
        <v>0.71187427240977885</v>
      </c>
      <c r="BX102" s="4230">
        <f>BX99/BX29</f>
        <v>0.70557561171279581</v>
      </c>
      <c r="BY102" s="709"/>
      <c r="BZ102" s="709"/>
      <c r="CA102" s="709"/>
      <c r="CB102" s="709"/>
      <c r="CC102" s="4232"/>
      <c r="CD102" s="4233">
        <f t="shared" ref="CD102:DI102" si="428">CD99/CD29</f>
        <v>0.67295782954880567</v>
      </c>
      <c r="CE102" s="709">
        <f t="shared" si="428"/>
        <v>0.69613759806879905</v>
      </c>
      <c r="CF102" s="709">
        <f t="shared" si="428"/>
        <v>0.67653341470857487</v>
      </c>
      <c r="CG102" s="709">
        <f t="shared" si="428"/>
        <v>0.67775354416575795</v>
      </c>
      <c r="CH102" s="4230">
        <f t="shared" si="428"/>
        <v>0.68073260073260078</v>
      </c>
      <c r="CI102" s="709">
        <f t="shared" si="428"/>
        <v>0.67658730158730163</v>
      </c>
      <c r="CJ102" s="709">
        <f t="shared" si="428"/>
        <v>0.67358967162503514</v>
      </c>
      <c r="CK102" s="709">
        <f t="shared" si="428"/>
        <v>0.67853139013452912</v>
      </c>
      <c r="CL102" s="709">
        <f t="shared" si="428"/>
        <v>0.68350515463917527</v>
      </c>
      <c r="CM102" s="4230">
        <f t="shared" si="428"/>
        <v>0.67817594057362951</v>
      </c>
      <c r="CN102" s="709">
        <f t="shared" si="428"/>
        <v>0.68008948545861303</v>
      </c>
      <c r="CO102" s="709">
        <f t="shared" si="428"/>
        <v>0.67163766915216794</v>
      </c>
      <c r="CP102" s="709">
        <f t="shared" si="428"/>
        <v>0.68056307525717374</v>
      </c>
      <c r="CQ102" s="709">
        <f t="shared" si="428"/>
        <v>0.69145340415258327</v>
      </c>
      <c r="CR102" s="4230">
        <f t="shared" si="428"/>
        <v>0.68130113749750554</v>
      </c>
      <c r="CS102" s="709">
        <f t="shared" si="428"/>
        <v>0.69637053087757317</v>
      </c>
      <c r="CT102" s="709">
        <f t="shared" si="428"/>
        <v>0.70077477958856538</v>
      </c>
      <c r="CU102" s="709">
        <f t="shared" si="428"/>
        <v>0.70284030010718113</v>
      </c>
      <c r="CV102" s="709">
        <f t="shared" si="428"/>
        <v>0.69555405100428802</v>
      </c>
      <c r="CW102" s="4230">
        <f t="shared" si="428"/>
        <v>0.69874342864469807</v>
      </c>
      <c r="CX102" s="709">
        <f t="shared" si="428"/>
        <v>0.70459081836327342</v>
      </c>
      <c r="CY102" s="709">
        <f t="shared" si="428"/>
        <v>0.71627030845302564</v>
      </c>
      <c r="CZ102" s="709">
        <f t="shared" si="428"/>
        <v>0.7141870105941962</v>
      </c>
      <c r="DA102" s="709">
        <f t="shared" si="428"/>
        <v>0.73627254509018036</v>
      </c>
      <c r="DB102" s="4230">
        <f t="shared" si="428"/>
        <v>0.71758628519527701</v>
      </c>
      <c r="DC102" s="709">
        <f t="shared" si="428"/>
        <v>0.7291128337639966</v>
      </c>
      <c r="DD102" s="709">
        <f t="shared" si="428"/>
        <v>0.70694300518134712</v>
      </c>
      <c r="DE102" s="709">
        <f t="shared" si="428"/>
        <v>0.69938775510204076</v>
      </c>
      <c r="DF102" s="709">
        <f t="shared" si="428"/>
        <v>0.70266404434114071</v>
      </c>
      <c r="DG102" s="4230">
        <f t="shared" si="428"/>
        <v>0.70734632683658172</v>
      </c>
      <c r="DH102" s="709">
        <f t="shared" si="428"/>
        <v>0.69332003988035895</v>
      </c>
      <c r="DI102" s="709">
        <f t="shared" si="428"/>
        <v>0.68984568489236042</v>
      </c>
      <c r="DJ102" s="709">
        <f t="shared" ref="DJ102:EA102" si="429">DJ99/DJ29</f>
        <v>0.69205865549419154</v>
      </c>
      <c r="DK102" s="1854">
        <f t="shared" si="429"/>
        <v>0.69634167771883282</v>
      </c>
      <c r="DL102" s="2962">
        <f t="shared" si="429"/>
        <v>0.69301215946535477</v>
      </c>
      <c r="DM102" s="1854">
        <f t="shared" si="429"/>
        <v>0.69869607505265174</v>
      </c>
      <c r="DN102" s="1854">
        <f t="shared" si="429"/>
        <v>0.69049168074324319</v>
      </c>
      <c r="DO102" s="1854">
        <f t="shared" si="429"/>
        <v>0.6862905594405595</v>
      </c>
      <c r="DP102" s="1854">
        <f t="shared" si="429"/>
        <v>0.70623505599784098</v>
      </c>
      <c r="DQ102" s="2962">
        <f t="shared" si="429"/>
        <v>0.6963598181030749</v>
      </c>
      <c r="DR102" s="1854">
        <f t="shared" si="429"/>
        <v>0.69220544117647065</v>
      </c>
      <c r="DS102" s="1854">
        <f t="shared" si="429"/>
        <v>0.68366460444912469</v>
      </c>
      <c r="DT102" s="1854">
        <f t="shared" si="429"/>
        <v>0.67644418052256527</v>
      </c>
      <c r="DU102" s="1854">
        <f t="shared" si="429"/>
        <v>0.68213718430951098</v>
      </c>
      <c r="DV102" s="2962">
        <f t="shared" si="429"/>
        <v>0.68322641241601212</v>
      </c>
      <c r="DW102" s="1854">
        <f t="shared" si="429"/>
        <v>0.69377648642035727</v>
      </c>
      <c r="DX102" s="1854">
        <f t="shared" si="429"/>
        <v>0.68420684102191553</v>
      </c>
      <c r="DY102" s="1854">
        <f t="shared" si="429"/>
        <v>0.67855741869918695</v>
      </c>
      <c r="DZ102" s="1854">
        <f t="shared" si="429"/>
        <v>0.68505859587020657</v>
      </c>
      <c r="EA102" s="2962">
        <f t="shared" si="429"/>
        <v>0.68545664734594269</v>
      </c>
      <c r="EB102" s="1854">
        <f t="shared" ref="EB102:EE102" si="430">EB99/EB29</f>
        <v>0.69464479722518679</v>
      </c>
      <c r="EC102" s="1854">
        <f t="shared" si="430"/>
        <v>0.68912081528662428</v>
      </c>
      <c r="ED102" s="1854">
        <f t="shared" si="430"/>
        <v>0.67252314512974298</v>
      </c>
      <c r="EE102" s="1854">
        <f t="shared" si="430"/>
        <v>0.69019645655056061</v>
      </c>
      <c r="EF102" s="2962">
        <f>EF99/EF29</f>
        <v>0.68666312595809909</v>
      </c>
      <c r="EG102" s="1854">
        <f t="shared" ref="EG102:EJ102" si="431">EG99/EG29</f>
        <v>0.67545770942938088</v>
      </c>
      <c r="EH102" s="1854">
        <f t="shared" si="431"/>
        <v>0.69706864588930673</v>
      </c>
      <c r="EI102" s="1854">
        <f t="shared" si="431"/>
        <v>0.6856644144144145</v>
      </c>
      <c r="EJ102" s="1854">
        <f t="shared" si="431"/>
        <v>0.68605617299471955</v>
      </c>
      <c r="EK102" s="2962">
        <f>EK99/EK29</f>
        <v>0.68607110906156332</v>
      </c>
      <c r="EL102" s="1854">
        <f t="shared" ref="EL102:EN102" si="432">EL99/EL29</f>
        <v>0.6718784454244765</v>
      </c>
      <c r="EM102" s="1854">
        <f t="shared" si="432"/>
        <v>0.69531819418003815</v>
      </c>
      <c r="EN102" s="1854">
        <f t="shared" si="432"/>
        <v>0.66135994016861566</v>
      </c>
      <c r="EO102" s="5803">
        <v>0.67</v>
      </c>
      <c r="EP102" s="2962">
        <f>EP99/EP29</f>
        <v>0.67458129246169651</v>
      </c>
      <c r="EQ102" s="5803">
        <v>0.67</v>
      </c>
      <c r="ER102" s="5803">
        <v>0.67</v>
      </c>
      <c r="ES102" s="5803">
        <v>0.67</v>
      </c>
      <c r="ET102" s="5803">
        <v>0.67</v>
      </c>
      <c r="EU102" s="2962">
        <f>EU99/EU29</f>
        <v>0.66999999999999993</v>
      </c>
      <c r="EV102" s="5804">
        <f>EU102</f>
        <v>0.66999999999999993</v>
      </c>
      <c r="EW102" s="5804">
        <f>EV102</f>
        <v>0.66999999999999993</v>
      </c>
      <c r="EX102" s="5804">
        <f>EW102</f>
        <v>0.66999999999999993</v>
      </c>
      <c r="EY102" s="5804">
        <f>EX102</f>
        <v>0.66999999999999993</v>
      </c>
      <c r="EZ102" s="204"/>
      <c r="FA102" s="1102"/>
      <c r="FB102" s="1102"/>
    </row>
    <row r="103" spans="1:158" s="161" customFormat="1" ht="11.25" hidden="1" customHeight="1" outlineLevel="1">
      <c r="A103" s="5653" t="s">
        <v>680</v>
      </c>
      <c r="B103" s="174"/>
      <c r="C103" s="174"/>
      <c r="D103" s="174"/>
      <c r="E103" s="174"/>
      <c r="F103" s="5619"/>
      <c r="G103" s="174"/>
      <c r="H103" s="174"/>
      <c r="I103" s="174"/>
      <c r="J103" s="174"/>
      <c r="K103" s="1718"/>
      <c r="L103" s="174"/>
      <c r="M103" s="174"/>
      <c r="N103" s="174"/>
      <c r="O103" s="174"/>
      <c r="P103" s="996"/>
      <c r="Q103" s="2835"/>
      <c r="R103" s="73"/>
      <c r="S103" s="73"/>
      <c r="T103" s="74"/>
      <c r="U103" s="996"/>
      <c r="V103" s="2835"/>
      <c r="W103" s="73"/>
      <c r="X103" s="73"/>
      <c r="Y103" s="73"/>
      <c r="Z103" s="996"/>
      <c r="AA103" s="2835"/>
      <c r="AB103" s="73"/>
      <c r="AC103" s="73"/>
      <c r="AD103" s="73"/>
      <c r="AE103" s="995"/>
      <c r="AF103" s="2836"/>
      <c r="AG103" s="127"/>
      <c r="AH103" s="127"/>
      <c r="AI103" s="127"/>
      <c r="AJ103" s="995"/>
      <c r="AK103" s="2836"/>
      <c r="AL103" s="127"/>
      <c r="AM103" s="127"/>
      <c r="AN103" s="127"/>
      <c r="AO103" s="995"/>
      <c r="AP103" s="2836"/>
      <c r="AQ103" s="127"/>
      <c r="AR103" s="127"/>
      <c r="AS103" s="127"/>
      <c r="AT103" s="995"/>
      <c r="AU103" s="2836"/>
      <c r="AV103" s="127"/>
      <c r="AW103" s="127"/>
      <c r="AX103" s="127"/>
      <c r="AY103" s="995"/>
      <c r="AZ103" s="2836"/>
      <c r="BA103" s="127"/>
      <c r="BB103" s="127"/>
      <c r="BC103" s="127"/>
      <c r="BD103" s="995"/>
      <c r="BE103" s="2836"/>
      <c r="BF103" s="127"/>
      <c r="BG103" s="127"/>
      <c r="BH103" s="127"/>
      <c r="BI103" s="995"/>
      <c r="BJ103" s="2836"/>
      <c r="BK103" s="127"/>
      <c r="BL103" s="127"/>
      <c r="BM103" s="127"/>
      <c r="BN103" s="995"/>
      <c r="BO103" s="127"/>
      <c r="BP103" s="127"/>
      <c r="BQ103" s="127"/>
      <c r="BR103" s="127"/>
      <c r="BS103" s="1957"/>
      <c r="BT103" s="127"/>
      <c r="BU103" s="127"/>
      <c r="BV103" s="127"/>
      <c r="BW103" s="127"/>
      <c r="BX103" s="1957"/>
      <c r="BY103" s="127"/>
      <c r="BZ103" s="127"/>
      <c r="CA103" s="127"/>
      <c r="CB103" s="127"/>
      <c r="CC103" s="1957"/>
      <c r="CD103" s="2838"/>
      <c r="CE103" s="2839"/>
      <c r="CF103" s="2839"/>
      <c r="CG103" s="2839"/>
      <c r="CH103" s="2840"/>
      <c r="CI103" s="2839">
        <f t="shared" ref="CI103:DA103" si="433">(CI102-CD102)*10000</f>
        <v>36.294720384959511</v>
      </c>
      <c r="CJ103" s="2839">
        <f t="shared" si="433"/>
        <v>-225.4792644376391</v>
      </c>
      <c r="CK103" s="2839">
        <f t="shared" si="433"/>
        <v>19.97975425954257</v>
      </c>
      <c r="CL103" s="2839">
        <f t="shared" si="433"/>
        <v>57.516104734173233</v>
      </c>
      <c r="CM103" s="2840">
        <f t="shared" si="433"/>
        <v>-25.56660158971269</v>
      </c>
      <c r="CN103" s="2839">
        <f t="shared" si="433"/>
        <v>35.021838713114036</v>
      </c>
      <c r="CO103" s="2839">
        <f t="shared" si="433"/>
        <v>-19.520024728671981</v>
      </c>
      <c r="CP103" s="2839">
        <f t="shared" si="433"/>
        <v>20.316851226446218</v>
      </c>
      <c r="CQ103" s="2839">
        <f t="shared" si="433"/>
        <v>79.482495134080011</v>
      </c>
      <c r="CR103" s="2840">
        <f t="shared" si="433"/>
        <v>31.251969238760282</v>
      </c>
      <c r="CS103" s="2839">
        <f t="shared" si="433"/>
        <v>162.81045418960139</v>
      </c>
      <c r="CT103" s="2839">
        <f t="shared" si="433"/>
        <v>291.37110436397438</v>
      </c>
      <c r="CU103" s="2839">
        <f t="shared" si="433"/>
        <v>222.77224850007383</v>
      </c>
      <c r="CV103" s="2839">
        <f t="shared" si="433"/>
        <v>41.00646851704748</v>
      </c>
      <c r="CW103" s="2840">
        <f t="shared" si="433"/>
        <v>174.42291147192535</v>
      </c>
      <c r="CX103" s="2839">
        <f t="shared" si="433"/>
        <v>82.202874857002513</v>
      </c>
      <c r="CY103" s="2839">
        <f t="shared" si="433"/>
        <v>154.9552886446026</v>
      </c>
      <c r="CZ103" s="2839">
        <f t="shared" si="433"/>
        <v>113.46710487015076</v>
      </c>
      <c r="DA103" s="2839">
        <f t="shared" si="433"/>
        <v>407.18494085892343</v>
      </c>
      <c r="DB103" s="2840">
        <f t="shared" ref="DB103:DK103" si="434">(DB102-CW102)*10000</f>
        <v>188.42856550578935</v>
      </c>
      <c r="DC103" s="2839">
        <f t="shared" si="434"/>
        <v>245.22015400723186</v>
      </c>
      <c r="DD103" s="2839">
        <f t="shared" si="434"/>
        <v>-93.273032716785224</v>
      </c>
      <c r="DE103" s="2839">
        <f t="shared" si="434"/>
        <v>-147.99255492155439</v>
      </c>
      <c r="DF103" s="2839">
        <f t="shared" si="434"/>
        <v>-336.08500749039649</v>
      </c>
      <c r="DG103" s="2840">
        <f>(DG102-DB102)*10000</f>
        <v>-102.39958358695289</v>
      </c>
      <c r="DH103" s="2839">
        <f t="shared" si="434"/>
        <v>-357.92793883637654</v>
      </c>
      <c r="DI103" s="2839">
        <f t="shared" si="434"/>
        <v>-170.97320288986694</v>
      </c>
      <c r="DJ103" s="2839">
        <f t="shared" si="434"/>
        <v>-73.290996078492213</v>
      </c>
      <c r="DK103" s="4424">
        <f t="shared" si="434"/>
        <v>-63.223666223078958</v>
      </c>
      <c r="DL103" s="4422">
        <f t="shared" ref="DL103:DZ103" si="435">(DL102-DG102)*10000</f>
        <v>-143.34167371226948</v>
      </c>
      <c r="DM103" s="4424">
        <f t="shared" si="435"/>
        <v>53.760351722927922</v>
      </c>
      <c r="DN103" s="4424">
        <f t="shared" si="435"/>
        <v>6.4599585088276346</v>
      </c>
      <c r="DO103" s="4424">
        <f t="shared" si="435"/>
        <v>-57.680960536320434</v>
      </c>
      <c r="DP103" s="4424">
        <f t="shared" si="435"/>
        <v>98.93378279008158</v>
      </c>
      <c r="DQ103" s="4422">
        <f t="shared" si="435"/>
        <v>33.476586377201301</v>
      </c>
      <c r="DR103" s="4424">
        <f t="shared" si="435"/>
        <v>-64.906338761810957</v>
      </c>
      <c r="DS103" s="4424">
        <f t="shared" si="435"/>
        <v>-68.270762941184955</v>
      </c>
      <c r="DT103" s="4424">
        <f t="shared" si="435"/>
        <v>-98.463789179942253</v>
      </c>
      <c r="DU103" s="4424">
        <f t="shared" si="435"/>
        <v>-240.97871688329997</v>
      </c>
      <c r="DV103" s="4422">
        <f>(DV102-DQ102)*10000</f>
        <v>-131.33405687062782</v>
      </c>
      <c r="DW103" s="4424">
        <f t="shared" si="435"/>
        <v>15.710452438866263</v>
      </c>
      <c r="DX103" s="4424">
        <f t="shared" si="435"/>
        <v>5.4223657279084403</v>
      </c>
      <c r="DY103" s="4424">
        <f t="shared" si="435"/>
        <v>21.132381766216788</v>
      </c>
      <c r="DZ103" s="4424">
        <f t="shared" si="435"/>
        <v>29.214115606955858</v>
      </c>
      <c r="EA103" s="4422">
        <f t="shared" ref="EA103:EN103" si="436">(EA102-DV102)*10000</f>
        <v>22.302349299305746</v>
      </c>
      <c r="EB103" s="4424">
        <f t="shared" ref="EB103" si="437">(EB102-DW102)*10000</f>
        <v>8.6831080482951961</v>
      </c>
      <c r="EC103" s="4424">
        <f t="shared" ref="EC103" si="438">(EC102-DX102)*10000</f>
        <v>49.139742647087424</v>
      </c>
      <c r="ED103" s="4424">
        <f t="shared" ref="ED103" si="439">(ED102-DY102)*10000</f>
        <v>-60.34273569443971</v>
      </c>
      <c r="EE103" s="4424">
        <f t="shared" ref="EE103" si="440">(EE102-DZ102)*10000</f>
        <v>51.37860680354045</v>
      </c>
      <c r="EF103" s="4422">
        <f t="shared" si="436"/>
        <v>12.06478612156392</v>
      </c>
      <c r="EG103" s="4424">
        <f t="shared" si="436"/>
        <v>-191.87087795805914</v>
      </c>
      <c r="EH103" s="4424">
        <f t="shared" si="436"/>
        <v>79.478306026824484</v>
      </c>
      <c r="EI103" s="4424">
        <f t="shared" si="436"/>
        <v>131.4126928467152</v>
      </c>
      <c r="EJ103" s="4424">
        <f t="shared" si="436"/>
        <v>-41.402835558410622</v>
      </c>
      <c r="EK103" s="4422">
        <f>(EK102-EF102)*10000</f>
        <v>-5.9201689653576306</v>
      </c>
      <c r="EL103" s="4424">
        <f t="shared" si="436"/>
        <v>-35.792640049043811</v>
      </c>
      <c r="EM103" s="4424">
        <f t="shared" si="436"/>
        <v>-17.504517092685745</v>
      </c>
      <c r="EN103" s="4424">
        <f t="shared" si="436"/>
        <v>-243.04474245798846</v>
      </c>
      <c r="EO103" s="4424">
        <f>(EO102-EJ102)*10000</f>
        <v>-160.56172994719509</v>
      </c>
      <c r="EP103" s="4422">
        <f>(EP102-EK102)*10000</f>
        <v>-114.89816599866809</v>
      </c>
      <c r="EQ103" s="4424">
        <f t="shared" ref="EQ103:ET103" si="441">(EQ102-EL102)*10000</f>
        <v>-18.784454244764603</v>
      </c>
      <c r="ER103" s="4424">
        <f t="shared" si="441"/>
        <v>-253.18194180038111</v>
      </c>
      <c r="ES103" s="4424">
        <f t="shared" si="441"/>
        <v>86.40059831384383</v>
      </c>
      <c r="ET103" s="4424">
        <f t="shared" si="441"/>
        <v>0</v>
      </c>
      <c r="EU103" s="4422">
        <f>(EU102-EP102)*10000</f>
        <v>-45.812924616965844</v>
      </c>
      <c r="EV103" s="4422">
        <f>(EV102-EU102)*10000</f>
        <v>0</v>
      </c>
      <c r="EW103" s="4422">
        <f>(EW102-EV102)*10000</f>
        <v>0</v>
      </c>
      <c r="EX103" s="4422">
        <f>(EX102-EW102)*10000</f>
        <v>0</v>
      </c>
      <c r="EY103" s="4422">
        <f>(EY102-EX102)*10000</f>
        <v>0</v>
      </c>
      <c r="EZ103" s="174"/>
      <c r="FA103" s="1104"/>
      <c r="FB103" s="1104"/>
    </row>
    <row r="104" spans="1:158" s="161" customFormat="1" ht="11.25" hidden="1" customHeight="1" outlineLevel="1">
      <c r="A104" s="5653" t="s">
        <v>681</v>
      </c>
      <c r="B104" s="174"/>
      <c r="C104" s="174"/>
      <c r="D104" s="174"/>
      <c r="E104" s="174"/>
      <c r="F104" s="5619"/>
      <c r="G104" s="174"/>
      <c r="H104" s="174"/>
      <c r="I104" s="174"/>
      <c r="J104" s="174"/>
      <c r="K104" s="1718"/>
      <c r="L104" s="174"/>
      <c r="M104" s="174"/>
      <c r="N104" s="174"/>
      <c r="O104" s="174"/>
      <c r="P104" s="995"/>
      <c r="Q104" s="1878"/>
      <c r="R104" s="73"/>
      <c r="S104" s="73"/>
      <c r="T104" s="74"/>
      <c r="U104" s="995"/>
      <c r="V104" s="1878"/>
      <c r="W104" s="73"/>
      <c r="X104" s="73"/>
      <c r="Y104" s="73"/>
      <c r="Z104" s="995"/>
      <c r="AA104" s="1878"/>
      <c r="AB104" s="73"/>
      <c r="AC104" s="73"/>
      <c r="AD104" s="73"/>
      <c r="AE104" s="995"/>
      <c r="AF104" s="1502"/>
      <c r="AG104" s="127"/>
      <c r="AH104" s="127"/>
      <c r="AI104" s="127"/>
      <c r="AJ104" s="995"/>
      <c r="AK104" s="1502"/>
      <c r="AL104" s="127"/>
      <c r="AM104" s="127"/>
      <c r="AN104" s="127"/>
      <c r="AO104" s="995"/>
      <c r="AP104" s="1502"/>
      <c r="AQ104" s="127"/>
      <c r="AR104" s="127"/>
      <c r="AS104" s="127"/>
      <c r="AT104" s="995"/>
      <c r="AU104" s="1502"/>
      <c r="AV104" s="127"/>
      <c r="AW104" s="127"/>
      <c r="AX104" s="127"/>
      <c r="AY104" s="995"/>
      <c r="AZ104" s="1502"/>
      <c r="BA104" s="127"/>
      <c r="BB104" s="127"/>
      <c r="BC104" s="127"/>
      <c r="BD104" s="995"/>
      <c r="BE104" s="1502"/>
      <c r="BF104" s="127"/>
      <c r="BG104" s="127"/>
      <c r="BH104" s="127"/>
      <c r="BI104" s="995"/>
      <c r="BJ104" s="1502"/>
      <c r="BK104" s="127"/>
      <c r="BL104" s="127"/>
      <c r="BM104" s="127"/>
      <c r="BN104" s="995"/>
      <c r="BO104" s="127"/>
      <c r="BP104" s="127"/>
      <c r="BQ104" s="127"/>
      <c r="BR104" s="127"/>
      <c r="BS104" s="1229"/>
      <c r="BT104" s="127"/>
      <c r="BU104" s="127"/>
      <c r="BV104" s="127"/>
      <c r="BW104" s="127"/>
      <c r="BX104" s="1229"/>
      <c r="BY104" s="127"/>
      <c r="BZ104" s="127"/>
      <c r="CA104" s="127"/>
      <c r="CB104" s="127"/>
      <c r="CC104" s="1229"/>
      <c r="CD104" s="2839"/>
      <c r="CE104" s="2839">
        <f>(CE102-CD102)*10000</f>
        <v>231.79768519993371</v>
      </c>
      <c r="CF104" s="2839">
        <f>(CF102-CE102)*10000</f>
        <v>-196.04183360224181</v>
      </c>
      <c r="CG104" s="2839">
        <f>(CG102-CF102)*10000</f>
        <v>12.201294571830834</v>
      </c>
      <c r="CH104" s="1229"/>
      <c r="CI104" s="2839">
        <f>(CI102-CG102)*10000</f>
        <v>-11.662425784563224</v>
      </c>
      <c r="CJ104" s="2839">
        <f>(CJ102-CI102)*10000</f>
        <v>-29.976299622664904</v>
      </c>
      <c r="CK104" s="2839">
        <f>(CK102-CJ102)*10000</f>
        <v>49.417185094939867</v>
      </c>
      <c r="CL104" s="2839">
        <f>(CL102-CK102)*10000</f>
        <v>49.737645046461495</v>
      </c>
      <c r="CM104" s="1229"/>
      <c r="CN104" s="2839">
        <f>(CN102-CL102)*10000</f>
        <v>-34.156691805622415</v>
      </c>
      <c r="CO104" s="2839">
        <f>(CO102-CN102)*10000</f>
        <v>-84.518163064450931</v>
      </c>
      <c r="CP104" s="2839">
        <f>(CP102-CO102)*10000</f>
        <v>89.25406105005807</v>
      </c>
      <c r="CQ104" s="2839">
        <f>(CQ102-CP102)*10000</f>
        <v>108.90328895409529</v>
      </c>
      <c r="CR104" s="2837"/>
      <c r="CS104" s="2839">
        <f>(CS102-CQ102)*10000</f>
        <v>49.171267249898953</v>
      </c>
      <c r="CT104" s="2839">
        <f>(CT102-CS102)*10000</f>
        <v>44.042487109922092</v>
      </c>
      <c r="CU104" s="2839">
        <f>(CU102-CT102)*10000</f>
        <v>20.655205186157488</v>
      </c>
      <c r="CV104" s="2839">
        <f>(CV102-CU102)*10000</f>
        <v>-72.862491028931061</v>
      </c>
      <c r="CW104" s="2837"/>
      <c r="CX104" s="2839">
        <f>(CX102-CV102)*10000</f>
        <v>90.367673589853979</v>
      </c>
      <c r="CY104" s="2839">
        <f>(CY102-CX102)*10000</f>
        <v>116.7949008975222</v>
      </c>
      <c r="CZ104" s="2839">
        <f>(CZ102-CY102)*10000</f>
        <v>-20.83297858829436</v>
      </c>
      <c r="DA104" s="2839">
        <f>(DA102-CZ102)*10000</f>
        <v>220.8553449598416</v>
      </c>
      <c r="DB104" s="2837"/>
      <c r="DC104" s="2839">
        <f>(DC102-DA102)*10000</f>
        <v>-71.597113261837592</v>
      </c>
      <c r="DD104" s="2839">
        <f>(DD102-DC102)*10000</f>
        <v>-221.69828582649487</v>
      </c>
      <c r="DE104" s="2839">
        <f>(DE102-DD102)*10000</f>
        <v>-75.55250079306353</v>
      </c>
      <c r="DF104" s="2839">
        <f>(DF102-DE102)*10000</f>
        <v>32.762892390999497</v>
      </c>
      <c r="DG104" s="2837"/>
      <c r="DH104" s="2839">
        <f>(DH102-DF102)*10000</f>
        <v>-93.440044607817626</v>
      </c>
      <c r="DI104" s="2839">
        <f>(DI102-DH102)*10000</f>
        <v>-34.743549879985295</v>
      </c>
      <c r="DJ104" s="2839">
        <f>(DJ102-DI102)*10000</f>
        <v>22.129706018311211</v>
      </c>
      <c r="DK104" s="4424">
        <f>(DK102-DJ102)*10000</f>
        <v>42.830222246412752</v>
      </c>
      <c r="DL104" s="4423"/>
      <c r="DM104" s="4424">
        <f>(DM102-DK102)*10000</f>
        <v>23.54397333818925</v>
      </c>
      <c r="DN104" s="4424">
        <f>(DN102-DM102)*10000</f>
        <v>-82.043943094085577</v>
      </c>
      <c r="DO104" s="4424">
        <f>(DO102-DN102)*10000</f>
        <v>-42.011213026836856</v>
      </c>
      <c r="DP104" s="4424">
        <f>(DP102-DO102)*10000</f>
        <v>199.44496557281477</v>
      </c>
      <c r="DQ104" s="4423"/>
      <c r="DR104" s="4424">
        <f>(DR102-DP102)*10000</f>
        <v>-140.29614821370328</v>
      </c>
      <c r="DS104" s="4424">
        <f>(DS102-DR102)*10000</f>
        <v>-85.408367273459575</v>
      </c>
      <c r="DT104" s="4424">
        <f>(DT102-DS102)*10000</f>
        <v>-72.204239265594168</v>
      </c>
      <c r="DU104" s="4424">
        <f>(DU102-DT102)*10000</f>
        <v>56.930037869457053</v>
      </c>
      <c r="DV104" s="4423"/>
      <c r="DW104" s="4424">
        <f>(DW102-DU102)*10000</f>
        <v>116.39302110846295</v>
      </c>
      <c r="DX104" s="4424">
        <f>(DX102-DW102)*10000</f>
        <v>-95.696453984417388</v>
      </c>
      <c r="DY104" s="4424">
        <f>(DY102-DX102)*10000</f>
        <v>-56.494223227285815</v>
      </c>
      <c r="DZ104" s="4424">
        <f>(DZ102-DY102)*10000</f>
        <v>65.011771710196115</v>
      </c>
      <c r="EA104" s="4423"/>
      <c r="EB104" s="4424">
        <f>(EB102-DZ102)*10000</f>
        <v>95.862013549802285</v>
      </c>
      <c r="EC104" s="4424">
        <f>(EC102-EB102)*10000</f>
        <v>-55.239819385625168</v>
      </c>
      <c r="ED104" s="4424">
        <f>(ED102-EC102)*10000</f>
        <v>-165.97670156881296</v>
      </c>
      <c r="EE104" s="4424">
        <f>(EE102-ED102)*10000</f>
        <v>176.73311420817629</v>
      </c>
      <c r="EF104" s="4423"/>
      <c r="EG104" s="4424">
        <f>(EG102-EE102)*10000</f>
        <v>-147.3874712117973</v>
      </c>
      <c r="EH104" s="4424">
        <f>(EH102-EG102)*10000</f>
        <v>216.10936459925844</v>
      </c>
      <c r="EI104" s="4424">
        <f>(EI102-EH102)*10000</f>
        <v>-114.04231474892224</v>
      </c>
      <c r="EJ104" s="4424">
        <f>(EJ102-EI102)*10000</f>
        <v>3.9175858030504607</v>
      </c>
      <c r="EK104" s="4423"/>
      <c r="EL104" s="4424">
        <f>(EL102-EJ102)*10000</f>
        <v>-141.77727570243047</v>
      </c>
      <c r="EM104" s="4424">
        <f>(EM102-EL102)*10000</f>
        <v>234.39748755561652</v>
      </c>
      <c r="EN104" s="4424">
        <f>(EN102-EM102)*10000</f>
        <v>-339.58254011422497</v>
      </c>
      <c r="EO104" s="4424">
        <f>(EO102-EN102)*10000</f>
        <v>86.40059831384383</v>
      </c>
      <c r="EP104" s="4423"/>
      <c r="EQ104" s="4424">
        <f>(EQ102-EO102)*10000</f>
        <v>0</v>
      </c>
      <c r="ER104" s="4424">
        <f>(ER102-EQ102)*10000</f>
        <v>0</v>
      </c>
      <c r="ES104" s="4424">
        <f>(ES102-ER102)*10000</f>
        <v>0</v>
      </c>
      <c r="ET104" s="4424">
        <f>(ET102-ES102)*10000</f>
        <v>0</v>
      </c>
      <c r="EU104" s="4423"/>
      <c r="EV104" s="4423"/>
      <c r="EW104" s="4423"/>
      <c r="EX104" s="4423"/>
      <c r="EY104" s="4423"/>
      <c r="EZ104" s="174"/>
      <c r="FA104" s="1104"/>
      <c r="FB104" s="1104"/>
    </row>
    <row r="105" spans="1:158" s="161" customFormat="1" ht="11.25" customHeight="1" collapsed="1">
      <c r="A105" s="5654" t="s">
        <v>280</v>
      </c>
      <c r="B105" s="3051"/>
      <c r="C105" s="3051"/>
      <c r="D105" s="3051"/>
      <c r="E105" s="3051"/>
      <c r="F105" s="5620"/>
      <c r="G105" s="3051"/>
      <c r="H105" s="3051"/>
      <c r="I105" s="3051"/>
      <c r="J105" s="3051"/>
      <c r="K105" s="3052"/>
      <c r="L105" s="3051"/>
      <c r="M105" s="3051"/>
      <c r="N105" s="3051"/>
      <c r="O105" s="3051"/>
      <c r="P105" s="3053"/>
      <c r="Q105" s="3054">
        <f>Q90+Q99</f>
        <v>0</v>
      </c>
      <c r="R105" s="3055">
        <f>R90+R99</f>
        <v>14</v>
      </c>
      <c r="S105" s="3055">
        <f>S90+S99</f>
        <v>29</v>
      </c>
      <c r="T105" s="3055">
        <f>T90+T99</f>
        <v>51.5</v>
      </c>
      <c r="U105" s="3053">
        <f>U99+U90</f>
        <v>94.5</v>
      </c>
      <c r="V105" s="3054">
        <f>V90+V99</f>
        <v>70.131</v>
      </c>
      <c r="W105" s="3055">
        <f>W90+W99</f>
        <v>96.558999999999997</v>
      </c>
      <c r="X105" s="3055">
        <f>X90+X99</f>
        <v>143.48699999999999</v>
      </c>
      <c r="Y105" s="3055">
        <f>Y90+Y99</f>
        <v>216.35599999999999</v>
      </c>
      <c r="Z105" s="3053">
        <f>Z99+Z90</f>
        <v>526.53300000000002</v>
      </c>
      <c r="AA105" s="3054">
        <f>AA90+AA99</f>
        <v>271.00200000000001</v>
      </c>
      <c r="AB105" s="3055">
        <f>AB90+AB99</f>
        <v>277.03399999999999</v>
      </c>
      <c r="AC105" s="3055">
        <f>AC90+AC99</f>
        <v>302.89999999999998</v>
      </c>
      <c r="AD105" s="3055">
        <f>AD90+AD99</f>
        <v>377.70800000000003</v>
      </c>
      <c r="AE105" s="3053">
        <f>AE99+AE90</f>
        <v>1228.644</v>
      </c>
      <c r="AF105" s="3054">
        <v>461.8</v>
      </c>
      <c r="AG105" s="3055">
        <v>494.3</v>
      </c>
      <c r="AH105" s="3055">
        <v>529.9</v>
      </c>
      <c r="AI105" s="3055">
        <v>628.9</v>
      </c>
      <c r="AJ105" s="3053">
        <f>AJ99+AJ90</f>
        <v>2114.8999999999996</v>
      </c>
      <c r="AK105" s="3054">
        <f>AK90+AK99</f>
        <v>722.73599999999999</v>
      </c>
      <c r="AL105" s="3055">
        <f>AL90+AL99</f>
        <v>785.15900000000011</v>
      </c>
      <c r="AM105" s="3055">
        <f>AM90+AM99</f>
        <v>825.26400000000001</v>
      </c>
      <c r="AN105" s="3055">
        <f>AN90+AN99</f>
        <v>975.59800000000007</v>
      </c>
      <c r="AO105" s="3053">
        <f>AO99+AO90</f>
        <v>3308.7570000000001</v>
      </c>
      <c r="AP105" s="3054">
        <f>AP90+AP99</f>
        <v>1125.028</v>
      </c>
      <c r="AQ105" s="3055">
        <f>AQ90+AQ99</f>
        <v>1147.9580000000001</v>
      </c>
      <c r="AR105" s="3055">
        <f>AR90+AR99</f>
        <v>1221.1199999999999</v>
      </c>
      <c r="AS105" s="3055">
        <f>IS!AS8</f>
        <v>1439.8140000000001</v>
      </c>
      <c r="AT105" s="3053">
        <f>AT99+AT90</f>
        <v>4933.92</v>
      </c>
      <c r="AU105" s="3054">
        <f>IS!AU8</f>
        <v>1486.384</v>
      </c>
      <c r="AV105" s="3055">
        <f>IS!AV8</f>
        <v>1473.98</v>
      </c>
      <c r="AW105" s="3055">
        <f>IS!AW8</f>
        <v>1495.2059999999999</v>
      </c>
      <c r="AX105" s="3055">
        <f>IS!AX8</f>
        <v>1483.3820000000001</v>
      </c>
      <c r="AY105" s="3053">
        <f>AY99+AY90</f>
        <v>5938.9520000000002</v>
      </c>
      <c r="AZ105" s="3054">
        <f>IS!AZ8</f>
        <v>1435.96</v>
      </c>
      <c r="BA105" s="3055">
        <f>IS!BA8</f>
        <v>1453.354</v>
      </c>
      <c r="BB105" s="3055">
        <f>IS!BB8</f>
        <v>1559.2159999999999</v>
      </c>
      <c r="BC105" s="3055">
        <f>IS!BC8</f>
        <v>1720.886</v>
      </c>
      <c r="BD105" s="3053">
        <f>BD99+BD90</f>
        <v>6169.4000000000005</v>
      </c>
      <c r="BE105" s="5923">
        <f>IS!BE8</f>
        <v>1711</v>
      </c>
      <c r="BF105" s="3149">
        <f>IS!BF8</f>
        <v>1732</v>
      </c>
      <c r="BG105" s="3149">
        <f>IS!BG8</f>
        <v>1805</v>
      </c>
      <c r="BH105" s="5924">
        <v>2069</v>
      </c>
      <c r="BI105" s="3150">
        <f>BI99+BI90</f>
        <v>7317</v>
      </c>
      <c r="BJ105" s="5925">
        <v>2038</v>
      </c>
      <c r="BK105" s="5924">
        <v>2110</v>
      </c>
      <c r="BL105" s="5924">
        <v>2210</v>
      </c>
      <c r="BM105" s="5924">
        <v>2450</v>
      </c>
      <c r="BN105" s="3150">
        <f>BN99+BN90</f>
        <v>8808</v>
      </c>
      <c r="BO105" s="3149"/>
      <c r="BP105" s="3149"/>
      <c r="BQ105" s="3149"/>
      <c r="BR105" s="3149"/>
      <c r="BS105" s="5926"/>
      <c r="BT105" s="5924">
        <v>2510</v>
      </c>
      <c r="BU105" s="5924">
        <v>2600</v>
      </c>
      <c r="BV105" s="5924">
        <v>2770</v>
      </c>
      <c r="BW105" s="5924">
        <v>3080</v>
      </c>
      <c r="BX105" s="3150">
        <f>BX99+BX90</f>
        <v>10960</v>
      </c>
      <c r="BY105" s="3149"/>
      <c r="BZ105" s="3149"/>
      <c r="CA105" s="3149"/>
      <c r="CB105" s="3149"/>
      <c r="CC105" s="5926"/>
      <c r="CD105" s="5927">
        <v>2962</v>
      </c>
      <c r="CE105" s="5924">
        <v>3013</v>
      </c>
      <c r="CF105" s="5924">
        <v>2972</v>
      </c>
      <c r="CG105" s="5924">
        <v>3310</v>
      </c>
      <c r="CH105" s="3150">
        <f>CH99+CH90</f>
        <v>12257</v>
      </c>
      <c r="CI105" s="5928">
        <v>3232</v>
      </c>
      <c r="CJ105" s="5924">
        <v>3293</v>
      </c>
      <c r="CK105" s="5924">
        <v>3348</v>
      </c>
      <c r="CL105" s="5924">
        <v>3620</v>
      </c>
      <c r="CM105" s="3150">
        <f>CM99+CM90</f>
        <v>13493</v>
      </c>
      <c r="CN105" s="5924">
        <v>3345</v>
      </c>
      <c r="CO105" s="5924">
        <v>3377</v>
      </c>
      <c r="CP105" s="5924">
        <v>3566</v>
      </c>
      <c r="CQ105" s="5924">
        <v>4055</v>
      </c>
      <c r="CR105" s="3150">
        <f>SUM(CN105:CQ105)</f>
        <v>14343</v>
      </c>
      <c r="CS105" s="5929">
        <v>3788</v>
      </c>
      <c r="CT105" s="5924">
        <v>3975</v>
      </c>
      <c r="CU105" s="5924">
        <v>4182</v>
      </c>
      <c r="CV105" s="5924">
        <v>4848</v>
      </c>
      <c r="CW105" s="3150">
        <f>CW99+CW90</f>
        <v>16793</v>
      </c>
      <c r="CX105" s="5924">
        <v>4629</v>
      </c>
      <c r="CY105" s="5924">
        <v>5091</v>
      </c>
      <c r="CZ105" s="5924">
        <v>5502</v>
      </c>
      <c r="DA105" s="5924">
        <v>6450</v>
      </c>
      <c r="DB105" s="3150">
        <f>DB99+DB90</f>
        <v>21672</v>
      </c>
      <c r="DC105" s="5924">
        <v>6288</v>
      </c>
      <c r="DD105" s="5924">
        <v>6420</v>
      </c>
      <c r="DE105" s="5924">
        <v>6582</v>
      </c>
      <c r="DF105" s="5924">
        <v>7436</v>
      </c>
      <c r="DG105" s="3150">
        <f>DG99+DG90</f>
        <v>26726</v>
      </c>
      <c r="DH105" s="5924">
        <v>6860</v>
      </c>
      <c r="DI105" s="5924">
        <v>7238</v>
      </c>
      <c r="DJ105" s="5924">
        <v>7490</v>
      </c>
      <c r="DK105" s="5924">
        <v>8501</v>
      </c>
      <c r="DL105" s="3150">
        <f>DL99+DL90</f>
        <v>30089</v>
      </c>
      <c r="DM105" s="5924">
        <v>7452</v>
      </c>
      <c r="DN105" s="5924">
        <v>6694</v>
      </c>
      <c r="DO105" s="5924">
        <v>8166</v>
      </c>
      <c r="DP105" s="5924">
        <v>10466</v>
      </c>
      <c r="DQ105" s="3150">
        <f>DQ99+DQ90</f>
        <v>32778</v>
      </c>
      <c r="DR105" s="5924">
        <v>9712</v>
      </c>
      <c r="DS105" s="5924">
        <v>10929</v>
      </c>
      <c r="DT105" s="5924">
        <v>11498</v>
      </c>
      <c r="DU105" s="5924">
        <v>13427</v>
      </c>
      <c r="DV105" s="3150">
        <f>DV99+DV90</f>
        <v>45566</v>
      </c>
      <c r="DW105" s="5924">
        <v>11990</v>
      </c>
      <c r="DX105" s="5924">
        <v>12214</v>
      </c>
      <c r="DY105" s="5924">
        <v>11826</v>
      </c>
      <c r="DZ105" s="5924">
        <v>12925</v>
      </c>
      <c r="EA105" s="3150">
        <f>EA99+EA90</f>
        <v>48955</v>
      </c>
      <c r="EB105" s="5924">
        <v>11721</v>
      </c>
      <c r="EC105" s="5924">
        <v>12537</v>
      </c>
      <c r="ED105" s="5924">
        <v>12642</v>
      </c>
      <c r="EE105" s="5924">
        <v>13986</v>
      </c>
      <c r="EF105" s="3150">
        <f t="shared" ref="EF105:EV105" si="442">EF99+EF90</f>
        <v>50886</v>
      </c>
      <c r="EG105" s="5924">
        <v>12946</v>
      </c>
      <c r="EH105" s="5924">
        <v>13387</v>
      </c>
      <c r="EI105" s="5924">
        <v>13719</v>
      </c>
      <c r="EJ105" s="5924">
        <v>14848</v>
      </c>
      <c r="EK105" s="3053">
        <f>EK99+EK90</f>
        <v>54900</v>
      </c>
      <c r="EL105" s="5924">
        <v>13748</v>
      </c>
      <c r="EM105" s="5924">
        <v>14705</v>
      </c>
      <c r="EN105" s="5924">
        <v>14876</v>
      </c>
      <c r="EO105" s="3055">
        <f t="shared" ref="EO105" si="443">EO99+EO90</f>
        <v>16258.297203300754</v>
      </c>
      <c r="EP105" s="3053">
        <f>EP99+EP90</f>
        <v>59587.297203300754</v>
      </c>
      <c r="EQ105" s="3055">
        <f t="shared" ref="EQ105:ET105" si="444">EQ99+EQ90</f>
        <v>15444.782506115487</v>
      </c>
      <c r="ER105" s="3055">
        <f t="shared" si="444"/>
        <v>15894.085868995453</v>
      </c>
      <c r="ES105" s="3055">
        <f t="shared" si="444"/>
        <v>16168.651554713349</v>
      </c>
      <c r="ET105" s="3055">
        <f t="shared" si="444"/>
        <v>17560.522184742083</v>
      </c>
      <c r="EU105" s="3053">
        <f>EU99+EU90</f>
        <v>65068.042114566371</v>
      </c>
      <c r="EV105" s="3056">
        <f t="shared" si="442"/>
        <v>70196.900175195173</v>
      </c>
      <c r="EW105" s="3056">
        <f>EW99+EW90</f>
        <v>75419.857670370227</v>
      </c>
      <c r="EX105" s="3056">
        <f>EX99+EX90</f>
        <v>80229.579235217301</v>
      </c>
      <c r="EY105" s="3056">
        <f>EY99+EY90</f>
        <v>85065.791930375693</v>
      </c>
      <c r="EZ105" s="174"/>
      <c r="FA105" s="1319">
        <f>(EV105/EK105)^(1/3)-1</f>
        <v>8.538012164230091E-2</v>
      </c>
      <c r="FB105" s="1319">
        <f>(EX105/EK105)^(1/5)-1</f>
        <v>7.8828557365533181E-2</v>
      </c>
    </row>
    <row r="106" spans="1:158" s="206" customFormat="1" ht="11.25" customHeight="1">
      <c r="A106" s="5655" t="s">
        <v>45</v>
      </c>
      <c r="B106" s="3313"/>
      <c r="C106" s="3313"/>
      <c r="D106" s="3313"/>
      <c r="E106" s="3313"/>
      <c r="F106" s="5621"/>
      <c r="G106" s="3313"/>
      <c r="H106" s="3313"/>
      <c r="I106" s="3313"/>
      <c r="J106" s="3313"/>
      <c r="K106" s="4108"/>
      <c r="L106" s="3313"/>
      <c r="M106" s="3313"/>
      <c r="N106" s="3313"/>
      <c r="O106" s="3313"/>
      <c r="P106" s="3318"/>
      <c r="Q106" s="4109"/>
      <c r="R106" s="3313"/>
      <c r="S106" s="3313"/>
      <c r="T106" s="3313"/>
      <c r="U106" s="3318"/>
      <c r="V106" s="4109"/>
      <c r="W106" s="3313"/>
      <c r="X106" s="3313"/>
      <c r="Y106" s="3313"/>
      <c r="Z106" s="3318"/>
      <c r="AA106" s="4109"/>
      <c r="AB106" s="3313"/>
      <c r="AC106" s="3313"/>
      <c r="AD106" s="3313"/>
      <c r="AE106" s="3318"/>
      <c r="AF106" s="4110">
        <f t="shared" ref="AF106:BN106" si="445">AF105/AA105-1</f>
        <v>0.70404646460173725</v>
      </c>
      <c r="AG106" s="3064">
        <f t="shared" si="445"/>
        <v>0.78425752795685733</v>
      </c>
      <c r="AH106" s="3064">
        <f t="shared" si="445"/>
        <v>0.74942225156817432</v>
      </c>
      <c r="AI106" s="3064">
        <f t="shared" si="445"/>
        <v>0.66504283732407021</v>
      </c>
      <c r="AJ106" s="3318">
        <f t="shared" si="445"/>
        <v>0.72132855408075858</v>
      </c>
      <c r="AK106" s="4110">
        <f t="shared" si="445"/>
        <v>0.56504114335210032</v>
      </c>
      <c r="AL106" s="3064">
        <f t="shared" si="445"/>
        <v>0.58842605705037454</v>
      </c>
      <c r="AM106" s="3064">
        <f t="shared" si="445"/>
        <v>0.55739573504434814</v>
      </c>
      <c r="AN106" s="3064">
        <f t="shared" si="445"/>
        <v>0.55127683256479587</v>
      </c>
      <c r="AO106" s="3318">
        <f t="shared" si="445"/>
        <v>0.56449808501584031</v>
      </c>
      <c r="AP106" s="4110">
        <f t="shared" si="445"/>
        <v>0.55662371875760996</v>
      </c>
      <c r="AQ106" s="3064">
        <f t="shared" si="445"/>
        <v>0.46207073981193614</v>
      </c>
      <c r="AR106" s="3064">
        <f t="shared" si="445"/>
        <v>0.47967195951840846</v>
      </c>
      <c r="AS106" s="3064">
        <f t="shared" si="445"/>
        <v>0.47582713371696128</v>
      </c>
      <c r="AT106" s="3318">
        <f t="shared" si="445"/>
        <v>0.49117024912980911</v>
      </c>
      <c r="AU106" s="4110">
        <f t="shared" si="445"/>
        <v>0.32119733908844927</v>
      </c>
      <c r="AV106" s="3064">
        <f t="shared" si="445"/>
        <v>0.28400167950395394</v>
      </c>
      <c r="AW106" s="3064">
        <f t="shared" si="445"/>
        <v>0.22445459905660381</v>
      </c>
      <c r="AX106" s="3064">
        <f t="shared" si="445"/>
        <v>3.025946406966451E-2</v>
      </c>
      <c r="AY106" s="3318">
        <f t="shared" si="445"/>
        <v>0.20369847909978267</v>
      </c>
      <c r="AZ106" s="4110">
        <f t="shared" si="445"/>
        <v>-3.3923938901387563E-2</v>
      </c>
      <c r="BA106" s="3064">
        <f t="shared" si="445"/>
        <v>-1.3993405609302734E-2</v>
      </c>
      <c r="BB106" s="3064">
        <f t="shared" si="445"/>
        <v>4.2810154587394678E-2</v>
      </c>
      <c r="BC106" s="3064">
        <f t="shared" si="445"/>
        <v>0.16010980313904311</v>
      </c>
      <c r="BD106" s="3318">
        <f t="shared" si="445"/>
        <v>3.8802805612842217E-2</v>
      </c>
      <c r="BE106" s="4110">
        <f t="shared" si="445"/>
        <v>0.1915373687289339</v>
      </c>
      <c r="BF106" s="3064">
        <f t="shared" si="445"/>
        <v>0.19172617270121384</v>
      </c>
      <c r="BG106" s="3064">
        <f t="shared" si="445"/>
        <v>0.15763306687463441</v>
      </c>
      <c r="BH106" s="3064">
        <f t="shared" si="445"/>
        <v>0.20228765879901411</v>
      </c>
      <c r="BI106" s="3318">
        <f t="shared" si="445"/>
        <v>0.18601484747301189</v>
      </c>
      <c r="BJ106" s="4110">
        <f t="shared" si="445"/>
        <v>0.19111630625365295</v>
      </c>
      <c r="BK106" s="3064">
        <f t="shared" si="445"/>
        <v>0.21824480369515009</v>
      </c>
      <c r="BL106" s="3064">
        <f t="shared" si="445"/>
        <v>0.22437673130193914</v>
      </c>
      <c r="BM106" s="3064">
        <f t="shared" si="445"/>
        <v>0.18414693088448519</v>
      </c>
      <c r="BN106" s="3318">
        <f t="shared" si="445"/>
        <v>0.20377203772037711</v>
      </c>
      <c r="BO106" s="3064"/>
      <c r="BP106" s="3064"/>
      <c r="BQ106" s="3064"/>
      <c r="BR106" s="3064"/>
      <c r="BS106" s="3318"/>
      <c r="BT106" s="3064">
        <f>BT105/BJ105-1</f>
        <v>0.23159960745829244</v>
      </c>
      <c r="BU106" s="3064">
        <f>BU105/BK105-1</f>
        <v>0.23222748815165883</v>
      </c>
      <c r="BV106" s="3064">
        <f>BV105/BL105-1</f>
        <v>0.25339366515837103</v>
      </c>
      <c r="BW106" s="3064">
        <f>BW105/BM105-1</f>
        <v>0.25714285714285712</v>
      </c>
      <c r="BX106" s="3318">
        <f>BX105/BN105-1</f>
        <v>0.24432334241598541</v>
      </c>
      <c r="BY106" s="3064"/>
      <c r="BZ106" s="3064"/>
      <c r="CA106" s="3064"/>
      <c r="CB106" s="3064"/>
      <c r="CC106" s="3318"/>
      <c r="CD106" s="3066">
        <f>CD105/BT105-1</f>
        <v>0.18007968127490037</v>
      </c>
      <c r="CE106" s="3064">
        <f>CE105/BU105-1</f>
        <v>0.15884615384615386</v>
      </c>
      <c r="CF106" s="3064">
        <f>CF105/BV105-1</f>
        <v>7.2924187725631695E-2</v>
      </c>
      <c r="CG106" s="3064">
        <f>CG105/BW105-1</f>
        <v>7.4675324675324672E-2</v>
      </c>
      <c r="CH106" s="3318">
        <f>CH105/BX105-1</f>
        <v>0.11833941605839415</v>
      </c>
      <c r="CI106" s="3320">
        <f t="shared" ref="CI106:DL106" si="446">CI105/CD105-1</f>
        <v>9.1154625253207389E-2</v>
      </c>
      <c r="CJ106" s="3064">
        <f t="shared" si="446"/>
        <v>9.2930633919681371E-2</v>
      </c>
      <c r="CK106" s="3064">
        <f t="shared" si="446"/>
        <v>0.12651413189771188</v>
      </c>
      <c r="CL106" s="3064">
        <f t="shared" si="446"/>
        <v>9.3655589123867067E-2</v>
      </c>
      <c r="CM106" s="3318">
        <f t="shared" si="446"/>
        <v>0.10084033613445387</v>
      </c>
      <c r="CN106" s="3064">
        <f t="shared" si="446"/>
        <v>3.4962871287128605E-2</v>
      </c>
      <c r="CO106" s="3064">
        <f t="shared" si="446"/>
        <v>2.5508654722137925E-2</v>
      </c>
      <c r="CP106" s="3064">
        <f t="shared" si="446"/>
        <v>6.5113500597371532E-2</v>
      </c>
      <c r="CQ106" s="3064">
        <f t="shared" si="446"/>
        <v>0.12016574585635365</v>
      </c>
      <c r="CR106" s="3318">
        <f t="shared" si="446"/>
        <v>6.2995627362335993E-2</v>
      </c>
      <c r="CS106" s="3064">
        <f t="shared" si="446"/>
        <v>0.13243647234678635</v>
      </c>
      <c r="CT106" s="3064">
        <f t="shared" si="446"/>
        <v>0.17708024874148642</v>
      </c>
      <c r="CU106" s="3064">
        <f t="shared" si="446"/>
        <v>0.17274256870443083</v>
      </c>
      <c r="CV106" s="3064">
        <f t="shared" si="446"/>
        <v>0.19556103575832307</v>
      </c>
      <c r="CW106" s="3318">
        <f t="shared" si="446"/>
        <v>0.17081503172279167</v>
      </c>
      <c r="CX106" s="3064">
        <f t="shared" si="446"/>
        <v>0.22201689545934533</v>
      </c>
      <c r="CY106" s="3064">
        <f t="shared" si="446"/>
        <v>0.28075471698113197</v>
      </c>
      <c r="CZ106" s="3064">
        <f t="shared" si="446"/>
        <v>0.31563845050215211</v>
      </c>
      <c r="DA106" s="3064">
        <f t="shared" si="446"/>
        <v>0.33044554455445541</v>
      </c>
      <c r="DB106" s="3318">
        <f t="shared" si="446"/>
        <v>0.29053772405168821</v>
      </c>
      <c r="DC106" s="3064">
        <f t="shared" si="446"/>
        <v>0.35839274141283206</v>
      </c>
      <c r="DD106" s="3064">
        <f t="shared" si="446"/>
        <v>0.26104890984089568</v>
      </c>
      <c r="DE106" s="3064">
        <f t="shared" si="446"/>
        <v>0.19629225736095957</v>
      </c>
      <c r="DF106" s="3064">
        <f t="shared" si="446"/>
        <v>0.15286821705426346</v>
      </c>
      <c r="DG106" s="3318">
        <f t="shared" si="446"/>
        <v>0.23320413436692511</v>
      </c>
      <c r="DH106" s="3064">
        <f t="shared" si="446"/>
        <v>9.0966921119592925E-2</v>
      </c>
      <c r="DI106" s="3064">
        <f t="shared" si="446"/>
        <v>0.12741433021806858</v>
      </c>
      <c r="DJ106" s="3064">
        <f t="shared" si="446"/>
        <v>0.13795199027651162</v>
      </c>
      <c r="DK106" s="3064">
        <f t="shared" si="446"/>
        <v>0.14322216245293173</v>
      </c>
      <c r="DL106" s="3318">
        <f t="shared" si="446"/>
        <v>0.1258325226371324</v>
      </c>
      <c r="DM106" s="3064">
        <f t="shared" ref="DM106:ED106" si="447">DM105/DH105-1</f>
        <v>8.6297376093294353E-2</v>
      </c>
      <c r="DN106" s="3064">
        <f t="shared" si="447"/>
        <v>-7.5158883669521948E-2</v>
      </c>
      <c r="DO106" s="3064">
        <f t="shared" si="447"/>
        <v>9.0253671562082749E-2</v>
      </c>
      <c r="DP106" s="3064">
        <f t="shared" si="447"/>
        <v>0.23114927655569928</v>
      </c>
      <c r="DQ106" s="3318">
        <f t="shared" si="447"/>
        <v>8.9368207650636355E-2</v>
      </c>
      <c r="DR106" s="3064">
        <f t="shared" si="447"/>
        <v>0.30327428878153517</v>
      </c>
      <c r="DS106" s="3064">
        <f t="shared" si="447"/>
        <v>0.63265610994920829</v>
      </c>
      <c r="DT106" s="3064">
        <f t="shared" si="447"/>
        <v>0.40803330884153799</v>
      </c>
      <c r="DU106" s="3064">
        <f t="shared" si="447"/>
        <v>0.28291610930632527</v>
      </c>
      <c r="DV106" s="3318">
        <f t="shared" si="447"/>
        <v>0.39013972786625173</v>
      </c>
      <c r="DW106" s="3064">
        <f t="shared" si="447"/>
        <v>0.23455518945634268</v>
      </c>
      <c r="DX106" s="3064">
        <f t="shared" si="447"/>
        <v>0.11757708848019033</v>
      </c>
      <c r="DY106" s="3064">
        <f t="shared" si="447"/>
        <v>2.85267002957037E-2</v>
      </c>
      <c r="DZ106" s="3064">
        <f t="shared" si="447"/>
        <v>-3.7387353839279047E-2</v>
      </c>
      <c r="EA106" s="3318">
        <f t="shared" ref="EA106:EN106" si="448">EA105/DV105-1</f>
        <v>7.437563095290356E-2</v>
      </c>
      <c r="EB106" s="3064">
        <f t="shared" si="447"/>
        <v>-2.2435362802335268E-2</v>
      </c>
      <c r="EC106" s="3064">
        <f t="shared" si="447"/>
        <v>2.6445063042410455E-2</v>
      </c>
      <c r="ED106" s="3064">
        <f t="shared" si="447"/>
        <v>6.9000507356671736E-2</v>
      </c>
      <c r="EE106" s="3064">
        <f t="shared" si="448"/>
        <v>8.2088974854932273E-2</v>
      </c>
      <c r="EF106" s="3318">
        <f t="shared" si="448"/>
        <v>3.9444387702992634E-2</v>
      </c>
      <c r="EG106" s="3064">
        <f t="shared" si="448"/>
        <v>0.10451326678611039</v>
      </c>
      <c r="EH106" s="3064">
        <f t="shared" si="448"/>
        <v>6.7799314030469793E-2</v>
      </c>
      <c r="EI106" s="3064">
        <f t="shared" si="448"/>
        <v>8.5192216421452249E-2</v>
      </c>
      <c r="EJ106" s="3064">
        <f t="shared" si="448"/>
        <v>6.1633061633061592E-2</v>
      </c>
      <c r="EK106" s="3318">
        <f>EK105/EF105-1</f>
        <v>7.8882207286876449E-2</v>
      </c>
      <c r="EL106" s="3064">
        <f t="shared" si="448"/>
        <v>6.1949636953499088E-2</v>
      </c>
      <c r="EM106" s="3064">
        <f t="shared" si="448"/>
        <v>9.8453723761858569E-2</v>
      </c>
      <c r="EN106" s="3064">
        <f t="shared" si="448"/>
        <v>8.4335592973248774E-2</v>
      </c>
      <c r="EO106" s="3064">
        <f t="shared" ref="EO106" si="449">EO105/EJ105-1</f>
        <v>9.4982300868854619E-2</v>
      </c>
      <c r="EP106" s="3318">
        <f>EP105/EK105-1</f>
        <v>8.5378819732254252E-2</v>
      </c>
      <c r="EQ106" s="3064">
        <f t="shared" ref="EQ106" si="450">EQ105/EL105-1</f>
        <v>0.12342031612710858</v>
      </c>
      <c r="ER106" s="3064">
        <f t="shared" ref="ER106" si="451">ER105/EM105-1</f>
        <v>8.0862690853142016E-2</v>
      </c>
      <c r="ES106" s="3064">
        <f t="shared" ref="ES106" si="452">ES105/EN105-1</f>
        <v>8.6895103167071053E-2</v>
      </c>
      <c r="ET106" s="3064">
        <f t="shared" ref="ET106" si="453">ET105/EO105-1</f>
        <v>8.0096025134597237E-2</v>
      </c>
      <c r="EU106" s="3318">
        <f>EU105/EP105-1</f>
        <v>9.1978410978540204E-2</v>
      </c>
      <c r="EV106" s="3318">
        <f>EV105/EU105-1</f>
        <v>7.8822996573315374E-2</v>
      </c>
      <c r="EW106" s="3318">
        <f>EW105/EV105-1</f>
        <v>7.4404389398103898E-2</v>
      </c>
      <c r="EX106" s="3318">
        <f>EX105/EW105-1</f>
        <v>6.377261524237321E-2</v>
      </c>
      <c r="EY106" s="3318">
        <f>EY105/EX105-1</f>
        <v>6.0279671677942792E-2</v>
      </c>
      <c r="EZ106" s="205"/>
      <c r="FA106" s="725"/>
      <c r="FB106" s="725"/>
    </row>
    <row r="107" spans="1:158" s="4577" customFormat="1" ht="11.25" customHeight="1">
      <c r="A107" s="5656" t="s">
        <v>283</v>
      </c>
      <c r="B107" s="3141"/>
      <c r="C107" s="3141"/>
      <c r="D107" s="3141"/>
      <c r="E107" s="3141"/>
      <c r="F107" s="5622"/>
      <c r="G107" s="3141"/>
      <c r="H107" s="3141"/>
      <c r="I107" s="3141"/>
      <c r="J107" s="3141"/>
      <c r="K107" s="3183"/>
      <c r="L107" s="3141"/>
      <c r="M107" s="3141"/>
      <c r="N107" s="3141"/>
      <c r="O107" s="3141"/>
      <c r="P107" s="3401"/>
      <c r="Q107" s="4572">
        <f t="shared" ref="Q107:AV107" si="454">Q105/Q36</f>
        <v>0</v>
      </c>
      <c r="R107" s="3333">
        <f t="shared" si="454"/>
        <v>0.19591996669360565</v>
      </c>
      <c r="S107" s="3333">
        <f t="shared" si="454"/>
        <v>0.23588784687917935</v>
      </c>
      <c r="T107" s="3333">
        <f t="shared" si="454"/>
        <v>0.28721742476172257</v>
      </c>
      <c r="U107" s="3401">
        <f t="shared" si="454"/>
        <v>0.2299745689497828</v>
      </c>
      <c r="V107" s="4572">
        <f t="shared" si="454"/>
        <v>0.29329034200687526</v>
      </c>
      <c r="W107" s="3333">
        <f t="shared" si="454"/>
        <v>0.3211300863029416</v>
      </c>
      <c r="X107" s="3333">
        <f t="shared" si="454"/>
        <v>0.37593238367965037</v>
      </c>
      <c r="Y107" s="3333">
        <f t="shared" si="454"/>
        <v>0.43342628652018522</v>
      </c>
      <c r="Z107" s="3401">
        <f t="shared" si="454"/>
        <v>0.37062484206317753</v>
      </c>
      <c r="AA107" s="4572">
        <f t="shared" si="454"/>
        <v>0.42524525957030151</v>
      </c>
      <c r="AB107" s="3333">
        <f t="shared" si="454"/>
        <v>0.40169182853198931</v>
      </c>
      <c r="AC107" s="3333">
        <f t="shared" si="454"/>
        <v>0.38052763819095475</v>
      </c>
      <c r="AD107" s="3333">
        <f t="shared" si="454"/>
        <v>0.37016369375752783</v>
      </c>
      <c r="AE107" s="3401">
        <f t="shared" si="454"/>
        <v>0.39087300009257692</v>
      </c>
      <c r="AF107" s="4572">
        <f t="shared" si="454"/>
        <v>0.37208591784523426</v>
      </c>
      <c r="AG107" s="3333">
        <f t="shared" si="454"/>
        <v>0.36148525611117044</v>
      </c>
      <c r="AH107" s="3333">
        <f t="shared" si="454"/>
        <v>0.33974678317692419</v>
      </c>
      <c r="AI107" s="3333">
        <f t="shared" si="454"/>
        <v>0.33156086137286966</v>
      </c>
      <c r="AJ107" s="3401">
        <f t="shared" si="454"/>
        <v>0.34870556188751256</v>
      </c>
      <c r="AK107" s="4572">
        <f t="shared" si="454"/>
        <v>0.32472402977409731</v>
      </c>
      <c r="AL107" s="3333">
        <f t="shared" si="454"/>
        <v>0.32323999558671207</v>
      </c>
      <c r="AM107" s="3333">
        <f t="shared" si="454"/>
        <v>0.3099002290274987</v>
      </c>
      <c r="AN107" s="3333">
        <f t="shared" si="454"/>
        <v>0.3072837678182273</v>
      </c>
      <c r="AO107" s="3401">
        <f t="shared" si="454"/>
        <v>0.31534108372649028</v>
      </c>
      <c r="AP107" s="4572">
        <f t="shared" si="454"/>
        <v>0.31014293787646974</v>
      </c>
      <c r="AQ107" s="3333">
        <f t="shared" si="454"/>
        <v>0.29907660627338739</v>
      </c>
      <c r="AR107" s="3333">
        <f t="shared" si="454"/>
        <v>0.29147313614563342</v>
      </c>
      <c r="AS107" s="3333">
        <f t="shared" si="454"/>
        <v>0.30264883470401222</v>
      </c>
      <c r="AT107" s="3401">
        <f t="shared" si="454"/>
        <v>0.30061703041978066</v>
      </c>
      <c r="AU107" s="4572">
        <f t="shared" si="454"/>
        <v>0.29221872760022222</v>
      </c>
      <c r="AV107" s="3333">
        <f t="shared" si="454"/>
        <v>0.2842544246614308</v>
      </c>
      <c r="AW107" s="3333">
        <f t="shared" ref="AW107:BN107" si="455">AW105/AW36</f>
        <v>0.27937477998763821</v>
      </c>
      <c r="AX107" s="3333">
        <f t="shared" si="455"/>
        <v>0.26948185426257559</v>
      </c>
      <c r="AY107" s="3401">
        <f t="shared" si="455"/>
        <v>0.28108706556457302</v>
      </c>
      <c r="AZ107" s="4572">
        <f t="shared" si="455"/>
        <v>0.26936716649174197</v>
      </c>
      <c r="BA107" s="3333">
        <f t="shared" si="455"/>
        <v>0.27236115775333725</v>
      </c>
      <c r="BB107" s="3333">
        <f t="shared" si="455"/>
        <v>0.27085611507167134</v>
      </c>
      <c r="BC107" s="3333">
        <f t="shared" si="455"/>
        <v>0.26617717344733871</v>
      </c>
      <c r="BD107" s="3401">
        <f t="shared" si="455"/>
        <v>0.26953789284927254</v>
      </c>
      <c r="BE107" s="4572">
        <f t="shared" si="455"/>
        <v>0.26424710424710424</v>
      </c>
      <c r="BF107" s="3333">
        <f t="shared" si="455"/>
        <v>0.26394391953672663</v>
      </c>
      <c r="BG107" s="3333">
        <f t="shared" si="455"/>
        <v>0.25668373151308305</v>
      </c>
      <c r="BH107" s="3333">
        <f t="shared" si="455"/>
        <v>0.2533365985061834</v>
      </c>
      <c r="BI107" s="3401">
        <f t="shared" si="455"/>
        <v>0.25913727156821081</v>
      </c>
      <c r="BJ107" s="4572">
        <f t="shared" si="455"/>
        <v>0.24536479653262702</v>
      </c>
      <c r="BK107" s="3333">
        <f t="shared" si="455"/>
        <v>0.24208352455254703</v>
      </c>
      <c r="BL107" s="3333">
        <f t="shared" si="455"/>
        <v>0.23674343867166578</v>
      </c>
      <c r="BM107" s="3333">
        <f t="shared" si="455"/>
        <v>0.24080990760762727</v>
      </c>
      <c r="BN107" s="3401">
        <f t="shared" si="455"/>
        <v>0.24111028989077771</v>
      </c>
      <c r="BO107" s="3333"/>
      <c r="BP107" s="3333"/>
      <c r="BQ107" s="3333"/>
      <c r="BR107" s="3333"/>
      <c r="BS107" s="4573"/>
      <c r="BT107" s="3333">
        <f>BT105/BT36</f>
        <v>0.24547677261613693</v>
      </c>
      <c r="BU107" s="3333">
        <f>BU105/BU36</f>
        <v>0.24703087885985747</v>
      </c>
      <c r="BV107" s="3333">
        <f>BV105/BV36</f>
        <v>0.2550644567219153</v>
      </c>
      <c r="BW107" s="3333">
        <f>BW105/BW36</f>
        <v>0.2550513415038092</v>
      </c>
      <c r="BX107" s="3401">
        <f>BX105/BX36</f>
        <v>0.25088128920020142</v>
      </c>
      <c r="BY107" s="3333"/>
      <c r="BZ107" s="3333"/>
      <c r="CA107" s="3333"/>
      <c r="CB107" s="3333"/>
      <c r="CC107" s="4573"/>
      <c r="CD107" s="4574">
        <f t="shared" ref="CD107:DI107" si="456">CD105/CD36</f>
        <v>0.24619732358074972</v>
      </c>
      <c r="CE107" s="3333">
        <f t="shared" si="456"/>
        <v>0.24733212937120341</v>
      </c>
      <c r="CF107" s="3333">
        <f t="shared" si="456"/>
        <v>0.23488500750810085</v>
      </c>
      <c r="CG107" s="3333">
        <f t="shared" si="456"/>
        <v>0.23300014078558356</v>
      </c>
      <c r="CH107" s="3401">
        <f t="shared" si="456"/>
        <v>0.23999451754385964</v>
      </c>
      <c r="CI107" s="4575">
        <f t="shared" si="456"/>
        <v>0.2309066228477531</v>
      </c>
      <c r="CJ107" s="3333">
        <f t="shared" si="456"/>
        <v>0.22713477721064976</v>
      </c>
      <c r="CK107" s="3333">
        <f t="shared" si="456"/>
        <v>0.22591093117408906</v>
      </c>
      <c r="CL107" s="3333">
        <f t="shared" si="456"/>
        <v>0.2219633331289472</v>
      </c>
      <c r="CM107" s="3401">
        <f t="shared" si="456"/>
        <v>0.22630148933315444</v>
      </c>
      <c r="CN107" s="3333">
        <f t="shared" si="456"/>
        <v>0.21569512509672428</v>
      </c>
      <c r="CO107" s="3333">
        <f t="shared" si="456"/>
        <v>0.2107595331710666</v>
      </c>
      <c r="CP107" s="3333">
        <f t="shared" si="456"/>
        <v>0.21250223467016269</v>
      </c>
      <c r="CQ107" s="3333">
        <f t="shared" si="456"/>
        <v>0.21254848516615998</v>
      </c>
      <c r="CR107" s="3401">
        <f t="shared" si="456"/>
        <v>0.21283573230449621</v>
      </c>
      <c r="CS107" s="3333">
        <f t="shared" si="456"/>
        <v>0.21021087680355161</v>
      </c>
      <c r="CT107" s="3333">
        <f t="shared" si="456"/>
        <v>0.20764770412161104</v>
      </c>
      <c r="CU107" s="3333">
        <f t="shared" si="456"/>
        <v>0.21098834569396094</v>
      </c>
      <c r="CV107" s="3333">
        <f t="shared" si="456"/>
        <v>0.21643823384972544</v>
      </c>
      <c r="CW107" s="3401">
        <f t="shared" si="456"/>
        <v>0.21154403335726793</v>
      </c>
      <c r="CX107" s="3333">
        <f t="shared" si="456"/>
        <v>0.21619728177105227</v>
      </c>
      <c r="CY107" s="3333">
        <f t="shared" si="456"/>
        <v>0.22455010585744531</v>
      </c>
      <c r="CZ107" s="3333">
        <f t="shared" si="456"/>
        <v>0.22863079160606689</v>
      </c>
      <c r="DA107" s="3333">
        <f t="shared" si="456"/>
        <v>0.23689719763470085</v>
      </c>
      <c r="DB107" s="3401">
        <f t="shared" si="456"/>
        <v>0.22674911328039174</v>
      </c>
      <c r="DC107" s="3333">
        <f t="shared" si="456"/>
        <v>0.23601831694317243</v>
      </c>
      <c r="DD107" s="3333">
        <f t="shared" si="456"/>
        <v>0.22857549756114928</v>
      </c>
      <c r="DE107" s="3333">
        <f t="shared" si="456"/>
        <v>0.22732610347447677</v>
      </c>
      <c r="DF107" s="3333">
        <f t="shared" si="456"/>
        <v>0.22867335014453533</v>
      </c>
      <c r="DG107" s="3401">
        <f t="shared" si="456"/>
        <v>0.2294845484754553</v>
      </c>
      <c r="DH107" s="3333">
        <f t="shared" si="456"/>
        <v>0.22427828816163731</v>
      </c>
      <c r="DI107" s="3333">
        <f t="shared" si="456"/>
        <v>0.22274881516587677</v>
      </c>
      <c r="DJ107" s="3333">
        <f t="shared" ref="DJ107:EV107" si="457">DJ105/DJ36</f>
        <v>0.22162386081193042</v>
      </c>
      <c r="DK107" s="3333">
        <f t="shared" si="457"/>
        <v>0.22409975220119155</v>
      </c>
      <c r="DL107" s="3401">
        <f t="shared" si="457"/>
        <v>0.22319395301570347</v>
      </c>
      <c r="DM107" s="3333">
        <f t="shared" si="457"/>
        <v>0.22071498385806948</v>
      </c>
      <c r="DN107" s="3333">
        <f t="shared" si="457"/>
        <v>0.22412696286871797</v>
      </c>
      <c r="DO107" s="3333">
        <f t="shared" si="457"/>
        <v>0.2201374848362313</v>
      </c>
      <c r="DP107" s="3333">
        <f t="shared" si="457"/>
        <v>0.22654170003679733</v>
      </c>
      <c r="DQ107" s="3401">
        <f t="shared" si="457"/>
        <v>0.22309493343497319</v>
      </c>
      <c r="DR107" s="3333">
        <f t="shared" si="457"/>
        <v>0.21734849163011369</v>
      </c>
      <c r="DS107" s="3333">
        <f t="shared" si="457"/>
        <v>0.21665609388628976</v>
      </c>
      <c r="DT107" s="3333">
        <f t="shared" si="457"/>
        <v>0.21641257293431207</v>
      </c>
      <c r="DU107" s="3333">
        <f t="shared" si="457"/>
        <v>0.21925570306504025</v>
      </c>
      <c r="DV107" s="3401">
        <f t="shared" si="457"/>
        <v>0.21750192126856233</v>
      </c>
      <c r="DW107" s="3333">
        <f t="shared" si="457"/>
        <v>0.21935200600062202</v>
      </c>
      <c r="DX107" s="3333">
        <f t="shared" si="457"/>
        <v>0.21699118817509949</v>
      </c>
      <c r="DY107" s="3333">
        <f t="shared" si="457"/>
        <v>0.21706251606035021</v>
      </c>
      <c r="DZ107" s="3333">
        <f t="shared" si="457"/>
        <v>0.21891196097693166</v>
      </c>
      <c r="EA107" s="3401">
        <f t="shared" si="457"/>
        <v>0.21808858971903081</v>
      </c>
      <c r="EB107" s="3333">
        <f t="shared" si="457"/>
        <v>0.21487497250128326</v>
      </c>
      <c r="EC107" s="3333">
        <f t="shared" si="457"/>
        <v>0.21562354883648935</v>
      </c>
      <c r="ED107" s="3333">
        <f>ED105/ED36</f>
        <v>0.21194695458279544</v>
      </c>
      <c r="EE107" s="3333">
        <f t="shared" si="457"/>
        <v>0.21347131278904713</v>
      </c>
      <c r="EF107" s="3401">
        <f t="shared" si="457"/>
        <v>0.21393706249605851</v>
      </c>
      <c r="EG107" s="3333">
        <f t="shared" ref="EG107:EH107" si="458">EG105/EG36</f>
        <v>0.20996123842423653</v>
      </c>
      <c r="EH107" s="3333">
        <f t="shared" si="458"/>
        <v>0.20717778878296397</v>
      </c>
      <c r="EI107" s="3333">
        <f>EI105/EI36</f>
        <v>0.20832447535457224</v>
      </c>
      <c r="EJ107" s="3333">
        <f t="shared" ref="EJ107" si="459">EJ105/EJ36</f>
        <v>0.20491022757069319</v>
      </c>
      <c r="EK107" s="3401">
        <f>EK105/EK36</f>
        <v>0.20749083487660153</v>
      </c>
      <c r="EL107" s="3333">
        <f t="shared" ref="EL107:EM107" si="460">EL105/EL36</f>
        <v>0.20554683411826269</v>
      </c>
      <c r="EM107" s="3333">
        <f t="shared" si="460"/>
        <v>0.206125595738716</v>
      </c>
      <c r="EN107" s="3333">
        <f>EN105/EN36</f>
        <v>0.20053382222102398</v>
      </c>
      <c r="EO107" s="3333">
        <f t="shared" ref="EO107" si="461">EO105/EO36</f>
        <v>0.19926761606242258</v>
      </c>
      <c r="EP107" s="3401">
        <f>EP105/EP36</f>
        <v>0.20267976849122019</v>
      </c>
      <c r="EQ107" s="3333">
        <f t="shared" ref="EQ107:ET107" si="462">EQ105/EQ36</f>
        <v>0.20170770509605981</v>
      </c>
      <c r="ER107" s="3333">
        <f t="shared" si="462"/>
        <v>0.1991742858507721</v>
      </c>
      <c r="ES107" s="3333">
        <f t="shared" si="462"/>
        <v>0.19771845343091071</v>
      </c>
      <c r="ET107" s="3333">
        <f t="shared" si="462"/>
        <v>0.19503760294509831</v>
      </c>
      <c r="EU107" s="3401">
        <f>EU105/EU36</f>
        <v>0.19826771471536414</v>
      </c>
      <c r="EV107" s="3401">
        <f t="shared" si="457"/>
        <v>0.19594940534978297</v>
      </c>
      <c r="EW107" s="3401">
        <f>EW105/EW36</f>
        <v>0.19426079144942254</v>
      </c>
      <c r="EX107" s="3401">
        <f>EX105/EX36</f>
        <v>0.19214004913810795</v>
      </c>
      <c r="EY107" s="3401">
        <f>EY105/EY36</f>
        <v>0.190102331926498</v>
      </c>
      <c r="EZ107" s="159"/>
      <c r="FA107" s="4576"/>
      <c r="FB107" s="4576"/>
    </row>
    <row r="108" spans="1:158" s="161" customFormat="1" ht="11.25" hidden="1" customHeight="1" outlineLevel="1">
      <c r="A108" s="5657" t="s">
        <v>680</v>
      </c>
      <c r="B108" s="4081"/>
      <c r="C108" s="4081"/>
      <c r="D108" s="4081"/>
      <c r="E108" s="4081"/>
      <c r="F108" s="4494"/>
      <c r="G108" s="4081"/>
      <c r="H108" s="4081"/>
      <c r="I108" s="4081"/>
      <c r="J108" s="4081"/>
      <c r="K108" s="4082"/>
      <c r="L108" s="4081"/>
      <c r="M108" s="4081"/>
      <c r="N108" s="4081"/>
      <c r="O108" s="4081"/>
      <c r="P108" s="4083"/>
      <c r="Q108" s="4084"/>
      <c r="R108" s="4085"/>
      <c r="S108" s="4085"/>
      <c r="T108" s="4086"/>
      <c r="U108" s="4083"/>
      <c r="V108" s="4084"/>
      <c r="W108" s="4085"/>
      <c r="X108" s="4085"/>
      <c r="Y108" s="4085"/>
      <c r="Z108" s="4083"/>
      <c r="AA108" s="4084"/>
      <c r="AB108" s="4085"/>
      <c r="AC108" s="4085"/>
      <c r="AD108" s="4085"/>
      <c r="AE108" s="4087"/>
      <c r="AF108" s="4088"/>
      <c r="AG108" s="4089"/>
      <c r="AH108" s="4089"/>
      <c r="AI108" s="4089"/>
      <c r="AJ108" s="4087"/>
      <c r="AK108" s="4088"/>
      <c r="AL108" s="4089"/>
      <c r="AM108" s="4089"/>
      <c r="AN108" s="4089"/>
      <c r="AO108" s="4087"/>
      <c r="AP108" s="4088"/>
      <c r="AQ108" s="4089"/>
      <c r="AR108" s="4089"/>
      <c r="AS108" s="4089"/>
      <c r="AT108" s="4087"/>
      <c r="AU108" s="4088"/>
      <c r="AV108" s="4089"/>
      <c r="AW108" s="4089"/>
      <c r="AX108" s="4089"/>
      <c r="AY108" s="4087"/>
      <c r="AZ108" s="4088"/>
      <c r="BA108" s="4089"/>
      <c r="BB108" s="4089"/>
      <c r="BC108" s="4089"/>
      <c r="BD108" s="4087"/>
      <c r="BE108" s="4088"/>
      <c r="BF108" s="4089"/>
      <c r="BG108" s="4089"/>
      <c r="BH108" s="4089"/>
      <c r="BI108" s="4087"/>
      <c r="BJ108" s="4088"/>
      <c r="BK108" s="4089"/>
      <c r="BL108" s="4089"/>
      <c r="BM108" s="4089"/>
      <c r="BN108" s="4087"/>
      <c r="BO108" s="4089"/>
      <c r="BP108" s="4089"/>
      <c r="BQ108" s="4089"/>
      <c r="BR108" s="4089"/>
      <c r="BS108" s="4090"/>
      <c r="BT108" s="4089"/>
      <c r="BU108" s="4089"/>
      <c r="BV108" s="4089"/>
      <c r="BW108" s="4089"/>
      <c r="BX108" s="4090"/>
      <c r="BY108" s="4089"/>
      <c r="BZ108" s="4089"/>
      <c r="CA108" s="4089"/>
      <c r="CB108" s="4089"/>
      <c r="CC108" s="4090"/>
      <c r="CD108" s="4091"/>
      <c r="CE108" s="4092"/>
      <c r="CF108" s="4092"/>
      <c r="CG108" s="4092"/>
      <c r="CH108" s="4093"/>
      <c r="CI108" s="4092">
        <f t="shared" ref="CI108:DQ108" si="463">(CI107-CD107)*10000</f>
        <v>-152.90700732996626</v>
      </c>
      <c r="CJ108" s="4092">
        <f t="shared" si="463"/>
        <v>-201.97352160553655</v>
      </c>
      <c r="CK108" s="4092">
        <f t="shared" si="463"/>
        <v>-89.74076334011788</v>
      </c>
      <c r="CL108" s="4092">
        <f t="shared" si="463"/>
        <v>-110.36807656636365</v>
      </c>
      <c r="CM108" s="4093">
        <f t="shared" si="463"/>
        <v>-136.93028210705199</v>
      </c>
      <c r="CN108" s="4092">
        <f t="shared" si="463"/>
        <v>-152.11497751028813</v>
      </c>
      <c r="CO108" s="4092">
        <f t="shared" si="463"/>
        <v>-163.75244039583154</v>
      </c>
      <c r="CP108" s="4092">
        <f t="shared" si="463"/>
        <v>-134.0869650392637</v>
      </c>
      <c r="CQ108" s="4092">
        <f t="shared" si="463"/>
        <v>-94.148479627872149</v>
      </c>
      <c r="CR108" s="4093">
        <f t="shared" si="463"/>
        <v>-134.65757028658237</v>
      </c>
      <c r="CS108" s="4092">
        <f t="shared" si="463"/>
        <v>-54.842482931726778</v>
      </c>
      <c r="CT108" s="4092">
        <f t="shared" si="463"/>
        <v>-31.118290494555612</v>
      </c>
      <c r="CU108" s="4092">
        <f t="shared" si="463"/>
        <v>-15.138889762017493</v>
      </c>
      <c r="CV108" s="4092">
        <f t="shared" si="463"/>
        <v>38.897486835654526</v>
      </c>
      <c r="CW108" s="4093">
        <f t="shared" si="463"/>
        <v>-12.916989472282758</v>
      </c>
      <c r="CX108" s="4092">
        <f t="shared" si="463"/>
        <v>59.864049675006633</v>
      </c>
      <c r="CY108" s="4092">
        <f t="shared" si="463"/>
        <v>169.02401735834266</v>
      </c>
      <c r="CZ108" s="4092">
        <f t="shared" si="463"/>
        <v>176.42445912105953</v>
      </c>
      <c r="DA108" s="4092">
        <f t="shared" si="463"/>
        <v>204.58963784975415</v>
      </c>
      <c r="DB108" s="4093">
        <f t="shared" si="463"/>
        <v>152.0507992312381</v>
      </c>
      <c r="DC108" s="4092">
        <f t="shared" si="463"/>
        <v>198.21035172120165</v>
      </c>
      <c r="DD108" s="4092">
        <f t="shared" si="463"/>
        <v>40.253917037039734</v>
      </c>
      <c r="DE108" s="4092">
        <f t="shared" si="463"/>
        <v>-13.04688131590126</v>
      </c>
      <c r="DF108" s="4092">
        <f t="shared" si="463"/>
        <v>-82.238474901655252</v>
      </c>
      <c r="DG108" s="4093">
        <f t="shared" si="463"/>
        <v>27.354351950635568</v>
      </c>
      <c r="DH108" s="4092">
        <f t="shared" si="463"/>
        <v>-117.40028781535128</v>
      </c>
      <c r="DI108" s="4092">
        <f t="shared" si="463"/>
        <v>-58.26682395272509</v>
      </c>
      <c r="DJ108" s="4092">
        <f t="shared" si="463"/>
        <v>-57.022426625463474</v>
      </c>
      <c r="DK108" s="4092">
        <f t="shared" si="463"/>
        <v>-45.73597943343777</v>
      </c>
      <c r="DL108" s="4093">
        <f t="shared" si="463"/>
        <v>-62.905954597518296</v>
      </c>
      <c r="DM108" s="4092">
        <f t="shared" si="463"/>
        <v>-35.63304303567827</v>
      </c>
      <c r="DN108" s="4092">
        <f t="shared" si="463"/>
        <v>13.781477028411981</v>
      </c>
      <c r="DO108" s="4092">
        <f t="shared" si="463"/>
        <v>-14.863759756991168</v>
      </c>
      <c r="DP108" s="4092">
        <f t="shared" si="463"/>
        <v>24.419478356057787</v>
      </c>
      <c r="DQ108" s="4093">
        <f t="shared" si="463"/>
        <v>-0.9901958073027517</v>
      </c>
      <c r="DR108" s="4092">
        <f t="shared" ref="DR108:ED108" si="464">(DR107-DM107)*10000</f>
        <v>-33.664922279557921</v>
      </c>
      <c r="DS108" s="4092">
        <f t="shared" si="464"/>
        <v>-74.708689824282132</v>
      </c>
      <c r="DT108" s="4092">
        <f t="shared" si="464"/>
        <v>-37.249119019192314</v>
      </c>
      <c r="DU108" s="4092">
        <f t="shared" si="464"/>
        <v>-72.859969717570806</v>
      </c>
      <c r="DV108" s="4093">
        <f t="shared" si="464"/>
        <v>-55.930121664108654</v>
      </c>
      <c r="DW108" s="4092">
        <f t="shared" si="464"/>
        <v>20.035143705083303</v>
      </c>
      <c r="DX108" s="4092">
        <f t="shared" si="464"/>
        <v>3.3509428880973413</v>
      </c>
      <c r="DY108" s="4092">
        <f t="shared" si="464"/>
        <v>6.4994312603813835</v>
      </c>
      <c r="DZ108" s="4092">
        <f t="shared" si="464"/>
        <v>-3.4374208810858398</v>
      </c>
      <c r="EA108" s="4093">
        <f t="shared" si="464"/>
        <v>5.8666845046848053</v>
      </c>
      <c r="EB108" s="4092">
        <f t="shared" si="464"/>
        <v>-44.770334993387564</v>
      </c>
      <c r="EC108" s="4092">
        <f t="shared" si="464"/>
        <v>-13.676393386101438</v>
      </c>
      <c r="ED108" s="4092">
        <f t="shared" si="464"/>
        <v>-51.15561477554764</v>
      </c>
      <c r="EE108" s="4092">
        <f t="shared" ref="EE108:EN108" si="465">(EE107-DZ107)*10000</f>
        <v>-54.406481878845334</v>
      </c>
      <c r="EF108" s="4093">
        <f t="shared" si="465"/>
        <v>-41.515272229722953</v>
      </c>
      <c r="EG108" s="4092">
        <f t="shared" si="465"/>
        <v>-49.137340770467333</v>
      </c>
      <c r="EH108" s="4092">
        <f t="shared" si="465"/>
        <v>-84.457600535253746</v>
      </c>
      <c r="EI108" s="4092">
        <f t="shared" si="465"/>
        <v>-36.224792282232023</v>
      </c>
      <c r="EJ108" s="4092">
        <f t="shared" si="465"/>
        <v>-85.610852183539421</v>
      </c>
      <c r="EK108" s="4093">
        <f t="shared" si="465"/>
        <v>-64.462276194569839</v>
      </c>
      <c r="EL108" s="4092">
        <f t="shared" si="465"/>
        <v>-44.144043059738401</v>
      </c>
      <c r="EM108" s="4092">
        <f t="shared" si="465"/>
        <v>-10.521930442479732</v>
      </c>
      <c r="EN108" s="4092">
        <f t="shared" si="465"/>
        <v>-77.90653133548264</v>
      </c>
      <c r="EO108" s="4092">
        <f t="shared" ref="EO108" si="466">(EO107-EJ107)*10000</f>
        <v>-56.426115082706119</v>
      </c>
      <c r="EP108" s="4093">
        <f t="shared" ref="EP108" si="467">(EP107-EK107)*10000</f>
        <v>-48.110663853813406</v>
      </c>
      <c r="EQ108" s="4092">
        <f t="shared" ref="EQ108" si="468">(EQ107-EL107)*10000</f>
        <v>-38.391290222028751</v>
      </c>
      <c r="ER108" s="4092">
        <f t="shared" ref="ER108" si="469">(ER107-EM107)*10000</f>
        <v>-69.513098879439013</v>
      </c>
      <c r="ES108" s="4092">
        <f t="shared" ref="ES108" si="470">(ES107-EN107)*10000</f>
        <v>-28.153687901132653</v>
      </c>
      <c r="ET108" s="4092">
        <f t="shared" ref="ET108:EU108" si="471">(ET107-EO107)*10000</f>
        <v>-42.300131173242661</v>
      </c>
      <c r="EU108" s="4093">
        <f t="shared" si="471"/>
        <v>-44.120537758560452</v>
      </c>
      <c r="EV108" s="4093">
        <f>(EV107-EU107)*10000</f>
        <v>-23.183093655811671</v>
      </c>
      <c r="EW108" s="4093">
        <f>(EW107-EV107)*10000</f>
        <v>-16.886139003604306</v>
      </c>
      <c r="EX108" s="4093">
        <f>(EX107-EW107)*10000</f>
        <v>-21.207423113145939</v>
      </c>
      <c r="EY108" s="4093">
        <f>(EY107-EX107)*10000</f>
        <v>-20.377172116099462</v>
      </c>
      <c r="EZ108" s="174"/>
      <c r="FA108" s="1104"/>
      <c r="FB108" s="1104"/>
    </row>
    <row r="109" spans="1:158" s="161" customFormat="1" ht="11.25" hidden="1" customHeight="1" outlineLevel="1">
      <c r="A109" s="5657" t="s">
        <v>681</v>
      </c>
      <c r="B109" s="4081"/>
      <c r="C109" s="4081"/>
      <c r="D109" s="4081"/>
      <c r="E109" s="4081"/>
      <c r="F109" s="4494"/>
      <c r="G109" s="4081"/>
      <c r="H109" s="4081"/>
      <c r="I109" s="4081"/>
      <c r="J109" s="4081"/>
      <c r="K109" s="4494"/>
      <c r="L109" s="4081"/>
      <c r="M109" s="4081"/>
      <c r="N109" s="4081"/>
      <c r="O109" s="4081"/>
      <c r="P109" s="4495"/>
      <c r="Q109" s="4084"/>
      <c r="R109" s="4085"/>
      <c r="S109" s="4085"/>
      <c r="T109" s="4086"/>
      <c r="U109" s="4495"/>
      <c r="V109" s="4084"/>
      <c r="W109" s="4085"/>
      <c r="X109" s="4085"/>
      <c r="Y109" s="4085"/>
      <c r="Z109" s="4495"/>
      <c r="AA109" s="4084"/>
      <c r="AB109" s="4085"/>
      <c r="AC109" s="4085"/>
      <c r="AD109" s="4085"/>
      <c r="AE109" s="4496"/>
      <c r="AF109" s="4088"/>
      <c r="AG109" s="4089"/>
      <c r="AH109" s="4089"/>
      <c r="AI109" s="4089"/>
      <c r="AJ109" s="4496"/>
      <c r="AK109" s="4088"/>
      <c r="AL109" s="4089"/>
      <c r="AM109" s="4089"/>
      <c r="AN109" s="4089"/>
      <c r="AO109" s="4496"/>
      <c r="AP109" s="4088"/>
      <c r="AQ109" s="4089"/>
      <c r="AR109" s="4089"/>
      <c r="AS109" s="4089"/>
      <c r="AT109" s="4496"/>
      <c r="AU109" s="4088"/>
      <c r="AV109" s="4089"/>
      <c r="AW109" s="4089"/>
      <c r="AX109" s="4089"/>
      <c r="AY109" s="4496"/>
      <c r="AZ109" s="4088"/>
      <c r="BA109" s="4089"/>
      <c r="BB109" s="4089"/>
      <c r="BC109" s="4089"/>
      <c r="BD109" s="4496"/>
      <c r="BE109" s="4088"/>
      <c r="BF109" s="4089"/>
      <c r="BG109" s="4089"/>
      <c r="BH109" s="4089"/>
      <c r="BI109" s="4496"/>
      <c r="BJ109" s="4088"/>
      <c r="BK109" s="4089"/>
      <c r="BL109" s="4089"/>
      <c r="BM109" s="4089"/>
      <c r="BN109" s="4496"/>
      <c r="BO109" s="4089"/>
      <c r="BP109" s="4089"/>
      <c r="BQ109" s="4089"/>
      <c r="BR109" s="4089"/>
      <c r="BS109" s="4090"/>
      <c r="BT109" s="4089"/>
      <c r="BU109" s="4089"/>
      <c r="BV109" s="4089"/>
      <c r="BW109" s="4089"/>
      <c r="BX109" s="4090"/>
      <c r="BY109" s="4089"/>
      <c r="BZ109" s="4089"/>
      <c r="CA109" s="4089"/>
      <c r="CB109" s="4089"/>
      <c r="CC109" s="4090"/>
      <c r="CD109" s="4092"/>
      <c r="CE109" s="4092">
        <f>(CE107-CD107)*10000</f>
        <v>11.348057904536912</v>
      </c>
      <c r="CF109" s="4092">
        <f>(CF107-CE107)*10000</f>
        <v>-124.47121863102566</v>
      </c>
      <c r="CG109" s="4092">
        <f>(CG107-CF107)*10000</f>
        <v>-18.848667225172811</v>
      </c>
      <c r="CH109" s="4090"/>
      <c r="CI109" s="4092">
        <f>(CI107-CG107)*10000</f>
        <v>-20.935179378304692</v>
      </c>
      <c r="CJ109" s="4092">
        <f>(CJ107-CI107)*10000</f>
        <v>-37.718456371033383</v>
      </c>
      <c r="CK109" s="4092">
        <f>(CK107-CJ107)*10000</f>
        <v>-12.238460365606995</v>
      </c>
      <c r="CL109" s="4092">
        <f>(CL107-CK107)*10000</f>
        <v>-39.475980451418593</v>
      </c>
      <c r="CM109" s="4090"/>
      <c r="CN109" s="4092">
        <f>(CN107-CL107)*10000</f>
        <v>-62.682080322229162</v>
      </c>
      <c r="CO109" s="4092">
        <f>(CO107-CN107)*10000</f>
        <v>-49.355919256576783</v>
      </c>
      <c r="CP109" s="4092">
        <f>(CP107-CO107)*10000</f>
        <v>17.427014990960831</v>
      </c>
      <c r="CQ109" s="4092">
        <f>(CQ107-CP107)*10000</f>
        <v>0.4625049599729647</v>
      </c>
      <c r="CR109" s="4497"/>
      <c r="CS109" s="4092">
        <f>(CS107-CQ107)*10000</f>
        <v>-23.376083626083787</v>
      </c>
      <c r="CT109" s="4092">
        <f>(CT107-CS107)*10000</f>
        <v>-25.631726819405621</v>
      </c>
      <c r="CU109" s="4092">
        <f>(CU107-CT107)*10000</f>
        <v>33.406415723498952</v>
      </c>
      <c r="CV109" s="4092">
        <f>(CV107-CU107)*10000</f>
        <v>54.498881557644985</v>
      </c>
      <c r="CW109" s="4497"/>
      <c r="CX109" s="4092">
        <f>(CX107-CV107)*10000</f>
        <v>-2.4095207867316781</v>
      </c>
      <c r="CY109" s="4092">
        <f>(CY107-CX107)*10000</f>
        <v>83.528240863930407</v>
      </c>
      <c r="CZ109" s="4092">
        <f>(CZ107-CY107)*10000</f>
        <v>40.806857486215819</v>
      </c>
      <c r="DA109" s="4092">
        <f>(DA107-CZ107)*10000</f>
        <v>82.664060286339605</v>
      </c>
      <c r="DB109" s="4497"/>
      <c r="DC109" s="4092">
        <f>(DC107-DA107)*10000</f>
        <v>-8.7888069152841641</v>
      </c>
      <c r="DD109" s="4092">
        <f>(DD107-DC107)*10000</f>
        <v>-74.428193820231527</v>
      </c>
      <c r="DE109" s="4092">
        <f>(DE107-DD107)*10000</f>
        <v>-12.493940866725172</v>
      </c>
      <c r="DF109" s="4092">
        <f>(DF107-DE107)*10000</f>
        <v>13.472466700585606</v>
      </c>
      <c r="DG109" s="4497"/>
      <c r="DH109" s="4092">
        <f>(DH107-DF107)*10000</f>
        <v>-43.950619828980187</v>
      </c>
      <c r="DI109" s="4092">
        <f>(DI107-DH107)*10000</f>
        <v>-15.294729957605336</v>
      </c>
      <c r="DJ109" s="4092">
        <f>(DJ107-DI107)*10000</f>
        <v>-11.249543539463557</v>
      </c>
      <c r="DK109" s="4092">
        <f>(DK107-DJ107)*10000</f>
        <v>24.758913892611311</v>
      </c>
      <c r="DL109" s="4497"/>
      <c r="DM109" s="4092">
        <f>(DM107-DK107)*10000</f>
        <v>-33.847683431220688</v>
      </c>
      <c r="DN109" s="4092">
        <f>(DN107-DM107)*10000</f>
        <v>34.119790106484913</v>
      </c>
      <c r="DO109" s="4092">
        <f>(DO107-DN107)*10000</f>
        <v>-39.894780324866709</v>
      </c>
      <c r="DP109" s="4092">
        <f>(DP107-DO107)*10000</f>
        <v>64.04215200566027</v>
      </c>
      <c r="DQ109" s="4498"/>
      <c r="DR109" s="4092">
        <f>(DR107-DP107)*10000</f>
        <v>-91.932084066836396</v>
      </c>
      <c r="DS109" s="4092">
        <f>(DS107-DR107)*10000</f>
        <v>-6.9239774382393033</v>
      </c>
      <c r="DT109" s="4092">
        <f>(DT107-DS107)*10000</f>
        <v>-2.4352095197768819</v>
      </c>
      <c r="DU109" s="4092">
        <f>(DU107-DT107)*10000</f>
        <v>28.431301307281775</v>
      </c>
      <c r="DV109" s="4498"/>
      <c r="DW109" s="4092">
        <f>(DW107-DU107)*10000</f>
        <v>0.96302935581771276</v>
      </c>
      <c r="DX109" s="4092">
        <f>(DX107-DW107)*10000</f>
        <v>-23.608178255225265</v>
      </c>
      <c r="DY109" s="4092">
        <f>(DY107-DX107)*10000</f>
        <v>0.71327885250715983</v>
      </c>
      <c r="DZ109" s="4092">
        <f>(DZ107-DY107)*10000</f>
        <v>18.494449165814551</v>
      </c>
      <c r="EA109" s="4498"/>
      <c r="EB109" s="4092">
        <f>(EB107-DZ107)*10000</f>
        <v>-40.369884756484012</v>
      </c>
      <c r="EC109" s="4092">
        <f>(EC107-EB107)*10000</f>
        <v>7.4857633520608591</v>
      </c>
      <c r="ED109" s="4092">
        <f>(ED107-EC107)*10000</f>
        <v>-36.765942536939043</v>
      </c>
      <c r="EE109" s="4092">
        <f>(EE107-ED107)*10000</f>
        <v>15.243582062516857</v>
      </c>
      <c r="EF109" s="4498"/>
      <c r="EG109" s="4092">
        <f>(EG107-EE107)*10000</f>
        <v>-35.100743648106004</v>
      </c>
      <c r="EH109" s="4092">
        <f>(EH107-EG107)*10000</f>
        <v>-27.834496412725564</v>
      </c>
      <c r="EI109" s="4092">
        <f>(EI107-EH107)*10000</f>
        <v>11.466865716082687</v>
      </c>
      <c r="EJ109" s="4092">
        <f>(EJ107-EI107)*10000</f>
        <v>-34.142477838790541</v>
      </c>
      <c r="EK109" s="4498"/>
      <c r="EL109" s="4092">
        <f>(EL107-EJ107)*10000</f>
        <v>6.3660654756950148</v>
      </c>
      <c r="EM109" s="4092">
        <f>(EM107-EL107)*10000</f>
        <v>5.7876162045331085</v>
      </c>
      <c r="EN109" s="4092">
        <f>(EN107-EM107)*10000</f>
        <v>-55.917735176920225</v>
      </c>
      <c r="EO109" s="4092">
        <f>(EO107-EN107)*10000</f>
        <v>-12.662061586014017</v>
      </c>
      <c r="EP109" s="4498"/>
      <c r="EQ109" s="4092">
        <f>(EQ107-EO107)*10000</f>
        <v>24.400890336372385</v>
      </c>
      <c r="ER109" s="4092">
        <f>(ER107-EQ107)*10000</f>
        <v>-25.334192452877158</v>
      </c>
      <c r="ES109" s="4092">
        <f>(ES107-ER107)*10000</f>
        <v>-14.558324198613859</v>
      </c>
      <c r="ET109" s="4092">
        <f>(ET107-ES107)*10000</f>
        <v>-26.808504858124028</v>
      </c>
      <c r="EU109" s="4498"/>
      <c r="EV109" s="4498"/>
      <c r="EW109" s="4498"/>
      <c r="EX109" s="4498"/>
      <c r="EY109" s="4498"/>
      <c r="EZ109" s="174"/>
      <c r="FA109" s="1104"/>
      <c r="FB109" s="1104"/>
    </row>
    <row r="110" spans="1:158" s="4577" customFormat="1" ht="11.25" customHeight="1" collapsed="1">
      <c r="A110" s="5656" t="s">
        <v>887</v>
      </c>
      <c r="B110" s="3141"/>
      <c r="C110" s="3141"/>
      <c r="D110" s="3141"/>
      <c r="E110" s="3141"/>
      <c r="F110" s="5622"/>
      <c r="G110" s="3141"/>
      <c r="H110" s="3141"/>
      <c r="I110" s="3141"/>
      <c r="J110" s="3141"/>
      <c r="K110" s="3183"/>
      <c r="L110" s="3141"/>
      <c r="M110" s="3141"/>
      <c r="N110" s="3141"/>
      <c r="O110" s="3141"/>
      <c r="P110" s="3401"/>
      <c r="Q110" s="4572"/>
      <c r="R110" s="3333"/>
      <c r="S110" s="3333"/>
      <c r="T110" s="3333"/>
      <c r="U110" s="3401"/>
      <c r="V110" s="4572"/>
      <c r="W110" s="3333"/>
      <c r="X110" s="3333"/>
      <c r="Y110" s="3333"/>
      <c r="Z110" s="3401"/>
      <c r="AA110" s="4572"/>
      <c r="AB110" s="3333"/>
      <c r="AC110" s="3333"/>
      <c r="AD110" s="3333"/>
      <c r="AE110" s="3401"/>
      <c r="AF110" s="4572"/>
      <c r="AG110" s="3333"/>
      <c r="AH110" s="3333"/>
      <c r="AI110" s="3333"/>
      <c r="AJ110" s="3401"/>
      <c r="AK110" s="4572"/>
      <c r="AL110" s="3333"/>
      <c r="AM110" s="3333"/>
      <c r="AN110" s="3333"/>
      <c r="AO110" s="3401"/>
      <c r="AP110" s="4572"/>
      <c r="AQ110" s="3333"/>
      <c r="AR110" s="3333"/>
      <c r="AS110" s="3333"/>
      <c r="AT110" s="3401"/>
      <c r="AU110" s="4572"/>
      <c r="AV110" s="3333"/>
      <c r="AW110" s="3333"/>
      <c r="AX110" s="3333"/>
      <c r="AY110" s="3401"/>
      <c r="AZ110" s="4572"/>
      <c r="BA110" s="3333"/>
      <c r="BB110" s="3333"/>
      <c r="BC110" s="3333"/>
      <c r="BD110" s="3401"/>
      <c r="BE110" s="4572"/>
      <c r="BF110" s="3333"/>
      <c r="BG110" s="3333"/>
      <c r="BH110" s="3333"/>
      <c r="BI110" s="3401"/>
      <c r="BJ110" s="4572"/>
      <c r="BK110" s="3333"/>
      <c r="BL110" s="3333"/>
      <c r="BM110" s="3333"/>
      <c r="BN110" s="3401"/>
      <c r="BO110" s="3333"/>
      <c r="BP110" s="3333"/>
      <c r="BQ110" s="3333"/>
      <c r="BR110" s="3333"/>
      <c r="BS110" s="4573"/>
      <c r="BT110" s="3333"/>
      <c r="BU110" s="3333"/>
      <c r="BV110" s="3333"/>
      <c r="BW110" s="3333"/>
      <c r="BX110" s="3401"/>
      <c r="BY110" s="3333"/>
      <c r="BZ110" s="3333"/>
      <c r="CA110" s="3333"/>
      <c r="CB110" s="3333"/>
      <c r="CC110" s="4573"/>
      <c r="CD110" s="4574"/>
      <c r="CE110" s="3333"/>
      <c r="CF110" s="3333"/>
      <c r="CG110" s="3333"/>
      <c r="CH110" s="3401"/>
      <c r="CI110" s="4575"/>
      <c r="CJ110" s="3333"/>
      <c r="CK110" s="3333"/>
      <c r="CL110" s="3333"/>
      <c r="CM110" s="3401"/>
      <c r="CN110" s="3333"/>
      <c r="CO110" s="3333"/>
      <c r="CP110" s="3333"/>
      <c r="CQ110" s="3333"/>
      <c r="CR110" s="3401"/>
      <c r="CS110" s="3333"/>
      <c r="CT110" s="3333"/>
      <c r="CU110" s="3333"/>
      <c r="CV110" s="3333"/>
      <c r="CW110" s="3401"/>
      <c r="CX110" s="3333"/>
      <c r="CY110" s="3333"/>
      <c r="CZ110" s="3333"/>
      <c r="DA110" s="3333"/>
      <c r="DB110" s="3401">
        <f>DB105/SUM(DB8,DB29)</f>
        <v>0.24788680842302721</v>
      </c>
      <c r="DC110" s="3333"/>
      <c r="DD110" s="3333"/>
      <c r="DE110" s="3333"/>
      <c r="DF110" s="3333">
        <f t="shared" ref="DF110:EV110" si="472">DF105/SUM(DF8,DF29)</f>
        <v>0.25718534915090097</v>
      </c>
      <c r="DG110" s="3401">
        <f t="shared" si="472"/>
        <v>0.25379370596167361</v>
      </c>
      <c r="DH110" s="3333">
        <f t="shared" si="472"/>
        <v>0.24889340396197662</v>
      </c>
      <c r="DI110" s="3333">
        <f t="shared" si="472"/>
        <v>0.25052784604202</v>
      </c>
      <c r="DJ110" s="3333">
        <f t="shared" si="472"/>
        <v>0.2497332622032542</v>
      </c>
      <c r="DK110" s="3333">
        <f t="shared" si="472"/>
        <v>0.25592317186982572</v>
      </c>
      <c r="DL110" s="3401">
        <f t="shared" si="472"/>
        <v>0.25144991726696864</v>
      </c>
      <c r="DM110" s="3333">
        <f t="shared" si="472"/>
        <v>0.25069806560134567</v>
      </c>
      <c r="DN110" s="3333">
        <f t="shared" si="472"/>
        <v>0.25691805795432737</v>
      </c>
      <c r="DO110" s="3333">
        <f t="shared" si="472"/>
        <v>0.25472580947033502</v>
      </c>
      <c r="DP110" s="3333">
        <f t="shared" si="472"/>
        <v>0.26621559749707485</v>
      </c>
      <c r="DQ110" s="3401">
        <f t="shared" si="472"/>
        <v>0.25778595696489243</v>
      </c>
      <c r="DR110" s="3333">
        <f t="shared" si="472"/>
        <v>0.2510923240001034</v>
      </c>
      <c r="DS110" s="3333">
        <f t="shared" si="472"/>
        <v>0.25157681506376317</v>
      </c>
      <c r="DT110" s="3333">
        <f t="shared" si="472"/>
        <v>0.25036472509526403</v>
      </c>
      <c r="DU110" s="3333">
        <f t="shared" si="472"/>
        <v>0.25523704520396912</v>
      </c>
      <c r="DV110" s="3401">
        <f t="shared" si="472"/>
        <v>0.25223080840511036</v>
      </c>
      <c r="DW110" s="3333">
        <f t="shared" si="472"/>
        <v>0.25087880816873115</v>
      </c>
      <c r="DX110" s="3333">
        <f t="shared" si="472"/>
        <v>0.24953011358993218</v>
      </c>
      <c r="DY110" s="3333">
        <f t="shared" si="472"/>
        <v>0.24943578494442217</v>
      </c>
      <c r="DZ110" s="3333">
        <f t="shared" si="472"/>
        <v>0.25303940954208187</v>
      </c>
      <c r="EA110" s="3401">
        <f t="shared" si="472"/>
        <v>0.25075551913128108</v>
      </c>
      <c r="EB110" s="3333">
        <f t="shared" si="472"/>
        <v>0.244927384808275</v>
      </c>
      <c r="EC110" s="3333">
        <f t="shared" si="472"/>
        <v>0.24836562462855105</v>
      </c>
      <c r="ED110" s="3333">
        <f>ED105/SUM(ED8,ED29)</f>
        <v>0.24454976303317535</v>
      </c>
      <c r="EE110" s="3333">
        <f t="shared" si="472"/>
        <v>0.24834419447058614</v>
      </c>
      <c r="EF110" s="3401">
        <f t="shared" si="472"/>
        <v>0.24660641159223631</v>
      </c>
      <c r="EG110" s="3333">
        <f t="shared" ref="EG110:EH110" si="473">EG105/SUM(EG8,EG29)</f>
        <v>0.24166962235621348</v>
      </c>
      <c r="EH110" s="3333">
        <f t="shared" si="473"/>
        <v>0.23925437420692366</v>
      </c>
      <c r="EI110" s="3333">
        <f>EI105/SUM(EI8,EI29)</f>
        <v>0.24096745297103614</v>
      </c>
      <c r="EJ110" s="3333">
        <f t="shared" ref="EJ110" si="474">EJ105/SUM(EJ8,EJ29)</f>
        <v>0.23953023165774021</v>
      </c>
      <c r="EK110" s="3401">
        <f>EK105/SUM(EK8,EK29)</f>
        <v>0.24032253122223049</v>
      </c>
      <c r="EL110" s="3333">
        <f t="shared" ref="EL110:EM110" si="475">EL105/SUM(EL8,EL29)</f>
        <v>0.23720625280375443</v>
      </c>
      <c r="EM110" s="3333">
        <f t="shared" si="475"/>
        <v>0.23893474587287145</v>
      </c>
      <c r="EN110" s="3333">
        <f>EN105/SUM(EN8,EN29)</f>
        <v>0.23272476963752131</v>
      </c>
      <c r="EO110" s="3333">
        <f t="shared" ref="EO110" si="476">EO105/SUM(EO8,EO29)</f>
        <v>0.23342310581213682</v>
      </c>
      <c r="EP110" s="3401">
        <f>EP105/SUM(EP8,EP29)</f>
        <v>0.23545347007742304</v>
      </c>
      <c r="EQ110" s="3333">
        <f t="shared" ref="EQ110:ET110" si="477">EQ105/SUM(EQ8,EQ29)</f>
        <v>0.2334256865443099</v>
      </c>
      <c r="ER110" s="3333">
        <f t="shared" si="477"/>
        <v>0.23180220173866561</v>
      </c>
      <c r="ES110" s="3333">
        <f t="shared" si="477"/>
        <v>0.23049559734451822</v>
      </c>
      <c r="ET110" s="3333">
        <f t="shared" si="477"/>
        <v>0.22968639860089318</v>
      </c>
      <c r="EU110" s="3401">
        <f>EU105/SUM(EU8,EU29)</f>
        <v>0.23128325403439839</v>
      </c>
      <c r="EV110" s="3401">
        <f t="shared" si="472"/>
        <v>0.22922276786403117</v>
      </c>
      <c r="EW110" s="3401">
        <f>EW105/SUM(EW8,EW29)</f>
        <v>0.22782772129753151</v>
      </c>
      <c r="EX110" s="3401">
        <f>EX105/SUM(EX8,EX29)</f>
        <v>0.22586619607352376</v>
      </c>
      <c r="EY110" s="3401">
        <f>EY105/SUM(EY8,EY29)</f>
        <v>0.22396071234936127</v>
      </c>
      <c r="EZ110" s="159"/>
      <c r="FA110" s="4576"/>
      <c r="FB110" s="4576"/>
    </row>
    <row r="111" spans="1:158" s="161" customFormat="1" ht="11.25" hidden="1" customHeight="1" outlineLevel="1">
      <c r="A111" s="5657" t="s">
        <v>680</v>
      </c>
      <c r="B111" s="4081"/>
      <c r="C111" s="4081"/>
      <c r="D111" s="4081"/>
      <c r="E111" s="4081"/>
      <c r="F111" s="4494"/>
      <c r="G111" s="4081"/>
      <c r="H111" s="4081"/>
      <c r="I111" s="4081"/>
      <c r="J111" s="4081"/>
      <c r="K111" s="4082"/>
      <c r="L111" s="4081"/>
      <c r="M111" s="4081"/>
      <c r="N111" s="4081"/>
      <c r="O111" s="4081"/>
      <c r="P111" s="4083"/>
      <c r="Q111" s="4084"/>
      <c r="R111" s="4085"/>
      <c r="S111" s="4085"/>
      <c r="T111" s="4086"/>
      <c r="U111" s="4083"/>
      <c r="V111" s="4084"/>
      <c r="W111" s="4085"/>
      <c r="X111" s="4085"/>
      <c r="Y111" s="4085"/>
      <c r="Z111" s="4083"/>
      <c r="AA111" s="4084"/>
      <c r="AB111" s="4085"/>
      <c r="AC111" s="4085"/>
      <c r="AD111" s="4085"/>
      <c r="AE111" s="4087"/>
      <c r="AF111" s="4088"/>
      <c r="AG111" s="4089"/>
      <c r="AH111" s="4089"/>
      <c r="AI111" s="4089"/>
      <c r="AJ111" s="4087"/>
      <c r="AK111" s="4088"/>
      <c r="AL111" s="4089"/>
      <c r="AM111" s="4089"/>
      <c r="AN111" s="4089"/>
      <c r="AO111" s="4087"/>
      <c r="AP111" s="4088"/>
      <c r="AQ111" s="4089"/>
      <c r="AR111" s="4089"/>
      <c r="AS111" s="4089"/>
      <c r="AT111" s="4087"/>
      <c r="AU111" s="4088"/>
      <c r="AV111" s="4089"/>
      <c r="AW111" s="4089"/>
      <c r="AX111" s="4089"/>
      <c r="AY111" s="4087"/>
      <c r="AZ111" s="4088"/>
      <c r="BA111" s="4089"/>
      <c r="BB111" s="4089"/>
      <c r="BC111" s="4089"/>
      <c r="BD111" s="4087"/>
      <c r="BE111" s="4088"/>
      <c r="BF111" s="4089"/>
      <c r="BG111" s="4089"/>
      <c r="BH111" s="4089"/>
      <c r="BI111" s="4087"/>
      <c r="BJ111" s="4088"/>
      <c r="BK111" s="4089"/>
      <c r="BL111" s="4089"/>
      <c r="BM111" s="4089"/>
      <c r="BN111" s="4087"/>
      <c r="BO111" s="4089"/>
      <c r="BP111" s="4089"/>
      <c r="BQ111" s="4089"/>
      <c r="BR111" s="4089"/>
      <c r="BS111" s="4090"/>
      <c r="BT111" s="4089"/>
      <c r="BU111" s="4089"/>
      <c r="BV111" s="4089"/>
      <c r="BW111" s="4089"/>
      <c r="BX111" s="4090"/>
      <c r="BY111" s="4089"/>
      <c r="BZ111" s="4089"/>
      <c r="CA111" s="4089"/>
      <c r="CB111" s="4089"/>
      <c r="CC111" s="4090"/>
      <c r="CD111" s="4091"/>
      <c r="CE111" s="4092"/>
      <c r="CF111" s="4092"/>
      <c r="CG111" s="4092"/>
      <c r="CH111" s="4093"/>
      <c r="CI111" s="4092"/>
      <c r="CJ111" s="4092"/>
      <c r="CK111" s="4092"/>
      <c r="CL111" s="4092"/>
      <c r="CM111" s="4093"/>
      <c r="CN111" s="4092"/>
      <c r="CO111" s="4092"/>
      <c r="CP111" s="4092"/>
      <c r="CQ111" s="4092"/>
      <c r="CR111" s="4093"/>
      <c r="CS111" s="4092"/>
      <c r="CT111" s="4092"/>
      <c r="CU111" s="4092"/>
      <c r="CV111" s="4092"/>
      <c r="CW111" s="4093"/>
      <c r="CX111" s="4092"/>
      <c r="CY111" s="4092"/>
      <c r="CZ111" s="4092"/>
      <c r="DA111" s="4092"/>
      <c r="DB111" s="4093"/>
      <c r="DC111" s="4092"/>
      <c r="DD111" s="4092"/>
      <c r="DE111" s="4092"/>
      <c r="DF111" s="4092"/>
      <c r="DG111" s="4093">
        <f>(DG110-DB110)*10000</f>
        <v>59.068975386463997</v>
      </c>
      <c r="DH111" s="4092"/>
      <c r="DI111" s="4092"/>
      <c r="DJ111" s="4092"/>
      <c r="DK111" s="4092">
        <f t="shared" ref="DK111:DQ111" si="478">(DK110-DF110)*10000</f>
        <v>-12.621772810752496</v>
      </c>
      <c r="DL111" s="4093">
        <f t="shared" si="478"/>
        <v>-23.437886947049734</v>
      </c>
      <c r="DM111" s="4092">
        <f t="shared" si="478"/>
        <v>18.046616393690428</v>
      </c>
      <c r="DN111" s="4092">
        <f t="shared" si="478"/>
        <v>63.902119123073753</v>
      </c>
      <c r="DO111" s="4092">
        <f t="shared" si="478"/>
        <v>49.925472670808155</v>
      </c>
      <c r="DP111" s="4092">
        <f t="shared" si="478"/>
        <v>102.92425627249135</v>
      </c>
      <c r="DQ111" s="4093">
        <f t="shared" si="478"/>
        <v>63.360396979237898</v>
      </c>
      <c r="DR111" s="4092">
        <f t="shared" ref="DR111:ED111" si="479">(DR110-DM110)*10000</f>
        <v>3.9425839875772972</v>
      </c>
      <c r="DS111" s="4092">
        <f t="shared" si="479"/>
        <v>-53.412428905642017</v>
      </c>
      <c r="DT111" s="4092">
        <f t="shared" si="479"/>
        <v>-43.61084375070989</v>
      </c>
      <c r="DU111" s="4092">
        <f t="shared" si="479"/>
        <v>-109.78552293105737</v>
      </c>
      <c r="DV111" s="4093">
        <f t="shared" si="479"/>
        <v>-55.551485597820637</v>
      </c>
      <c r="DW111" s="4092">
        <f t="shared" si="479"/>
        <v>-2.1351583137224628</v>
      </c>
      <c r="DX111" s="4092">
        <f t="shared" si="479"/>
        <v>-20.467014738309864</v>
      </c>
      <c r="DY111" s="4092">
        <f t="shared" si="479"/>
        <v>-9.2894015084185604</v>
      </c>
      <c r="DZ111" s="4092">
        <f t="shared" si="479"/>
        <v>-21.97635661887243</v>
      </c>
      <c r="EA111" s="4093">
        <f t="shared" si="479"/>
        <v>-14.752892738292832</v>
      </c>
      <c r="EB111" s="4092">
        <f t="shared" si="479"/>
        <v>-59.514233604561483</v>
      </c>
      <c r="EC111" s="4092">
        <f t="shared" si="479"/>
        <v>-11.644889613811326</v>
      </c>
      <c r="ED111" s="4092">
        <f t="shared" si="479"/>
        <v>-48.860219112468187</v>
      </c>
      <c r="EE111" s="4092">
        <f t="shared" ref="EE111:EN111" si="480">(EE110-DZ110)*10000</f>
        <v>-46.952150714957284</v>
      </c>
      <c r="EF111" s="4093">
        <f t="shared" si="480"/>
        <v>-41.491075390447662</v>
      </c>
      <c r="EG111" s="4092">
        <f t="shared" si="480"/>
        <v>-32.577624520615245</v>
      </c>
      <c r="EH111" s="4092">
        <f t="shared" si="480"/>
        <v>-91.112504216273877</v>
      </c>
      <c r="EI111" s="4092">
        <f t="shared" si="480"/>
        <v>-35.823100621392157</v>
      </c>
      <c r="EJ111" s="4092">
        <f t="shared" si="480"/>
        <v>-88.139628128459378</v>
      </c>
      <c r="EK111" s="4093">
        <f t="shared" si="480"/>
        <v>-62.838803700058236</v>
      </c>
      <c r="EL111" s="4092">
        <f t="shared" si="480"/>
        <v>-44.633695524590458</v>
      </c>
      <c r="EM111" s="4092">
        <f t="shared" si="480"/>
        <v>-3.196283340522188</v>
      </c>
      <c r="EN111" s="4092">
        <f t="shared" si="480"/>
        <v>-82.426833335148274</v>
      </c>
      <c r="EO111" s="4092">
        <f t="shared" ref="EO111" si="481">(EO110-EJ110)*10000</f>
        <v>-61.071258456033839</v>
      </c>
      <c r="EP111" s="4093">
        <f t="shared" ref="EP111" si="482">(EP110-EK110)*10000</f>
        <v>-48.69061144807452</v>
      </c>
      <c r="EQ111" s="4092">
        <f t="shared" ref="EQ111" si="483">(EQ110-EL110)*10000</f>
        <v>-37.805662594445344</v>
      </c>
      <c r="ER111" s="4092">
        <f t="shared" ref="ER111" si="484">(ER110-EM110)*10000</f>
        <v>-71.325441342058312</v>
      </c>
      <c r="ES111" s="4092">
        <f t="shared" ref="ES111" si="485">(ES110-EN110)*10000</f>
        <v>-22.291722930030954</v>
      </c>
      <c r="ET111" s="4092">
        <f t="shared" ref="ET111:EU111" si="486">(ET110-EO110)*10000</f>
        <v>-37.367072112436396</v>
      </c>
      <c r="EU111" s="4093">
        <f t="shared" si="486"/>
        <v>-41.702160430246437</v>
      </c>
      <c r="EV111" s="4093">
        <f>(EV110-EU110)*10000</f>
        <v>-20.604861703672206</v>
      </c>
      <c r="EW111" s="4093">
        <f>(EW110-EV110)*10000</f>
        <v>-13.950465664996637</v>
      </c>
      <c r="EX111" s="4093">
        <f>(EX110-EW110)*10000</f>
        <v>-19.615252240077485</v>
      </c>
      <c r="EY111" s="4093">
        <f>(EY110-EX110)*10000</f>
        <v>-19.054837241624934</v>
      </c>
      <c r="EZ111" s="174"/>
      <c r="FA111" s="1104"/>
      <c r="FB111" s="1104"/>
    </row>
    <row r="112" spans="1:158" s="161" customFormat="1" ht="11.25" hidden="1" customHeight="1" outlineLevel="1">
      <c r="A112" s="5658" t="s">
        <v>681</v>
      </c>
      <c r="B112" s="5607"/>
      <c r="C112" s="4095"/>
      <c r="D112" s="4095"/>
      <c r="E112" s="4095"/>
      <c r="F112" s="5623"/>
      <c r="G112" s="5607"/>
      <c r="H112" s="4095"/>
      <c r="I112" s="4095"/>
      <c r="J112" s="4095"/>
      <c r="K112" s="4096"/>
      <c r="L112" s="4095"/>
      <c r="M112" s="4095"/>
      <c r="N112" s="4095"/>
      <c r="O112" s="4095"/>
      <c r="P112" s="4097"/>
      <c r="Q112" s="4098"/>
      <c r="R112" s="4099"/>
      <c r="S112" s="4099"/>
      <c r="T112" s="4100"/>
      <c r="U112" s="4097"/>
      <c r="V112" s="4098"/>
      <c r="W112" s="4099"/>
      <c r="X112" s="4099"/>
      <c r="Y112" s="4099"/>
      <c r="Z112" s="4097"/>
      <c r="AA112" s="4098"/>
      <c r="AB112" s="4099"/>
      <c r="AC112" s="4099"/>
      <c r="AD112" s="4099"/>
      <c r="AE112" s="4101"/>
      <c r="AF112" s="4102"/>
      <c r="AG112" s="4103"/>
      <c r="AH112" s="4103"/>
      <c r="AI112" s="4103"/>
      <c r="AJ112" s="4101"/>
      <c r="AK112" s="4102"/>
      <c r="AL112" s="4103"/>
      <c r="AM112" s="4103"/>
      <c r="AN112" s="4103"/>
      <c r="AO112" s="4101"/>
      <c r="AP112" s="4102"/>
      <c r="AQ112" s="4103"/>
      <c r="AR112" s="4103"/>
      <c r="AS112" s="4103"/>
      <c r="AT112" s="4101"/>
      <c r="AU112" s="4102"/>
      <c r="AV112" s="4103"/>
      <c r="AW112" s="4103"/>
      <c r="AX112" s="4103"/>
      <c r="AY112" s="4101"/>
      <c r="AZ112" s="4102"/>
      <c r="BA112" s="4103"/>
      <c r="BB112" s="4103"/>
      <c r="BC112" s="4103"/>
      <c r="BD112" s="4101"/>
      <c r="BE112" s="4102"/>
      <c r="BF112" s="4103"/>
      <c r="BG112" s="4103"/>
      <c r="BH112" s="4103"/>
      <c r="BI112" s="4101"/>
      <c r="BJ112" s="4102"/>
      <c r="BK112" s="4103"/>
      <c r="BL112" s="4103"/>
      <c r="BM112" s="4103"/>
      <c r="BN112" s="4101"/>
      <c r="BO112" s="4103"/>
      <c r="BP112" s="4103"/>
      <c r="BQ112" s="4103"/>
      <c r="BR112" s="4103"/>
      <c r="BS112" s="4104"/>
      <c r="BT112" s="4103"/>
      <c r="BU112" s="4103"/>
      <c r="BV112" s="4103"/>
      <c r="BW112" s="4103"/>
      <c r="BX112" s="4104"/>
      <c r="BY112" s="4103"/>
      <c r="BZ112" s="4103"/>
      <c r="CA112" s="4103"/>
      <c r="CB112" s="4103"/>
      <c r="CC112" s="4104"/>
      <c r="CD112" s="4105"/>
      <c r="CE112" s="4105"/>
      <c r="CF112" s="4105"/>
      <c r="CG112" s="4105"/>
      <c r="CH112" s="4104"/>
      <c r="CI112" s="4105"/>
      <c r="CJ112" s="4105"/>
      <c r="CK112" s="4105"/>
      <c r="CL112" s="4105"/>
      <c r="CM112" s="4104"/>
      <c r="CN112" s="4105"/>
      <c r="CO112" s="4105"/>
      <c r="CP112" s="4105"/>
      <c r="CQ112" s="4105"/>
      <c r="CR112" s="4106"/>
      <c r="CS112" s="4105"/>
      <c r="CT112" s="4105"/>
      <c r="CU112" s="4105"/>
      <c r="CV112" s="4105"/>
      <c r="CW112" s="4106"/>
      <c r="CX112" s="4105"/>
      <c r="CY112" s="4105"/>
      <c r="CZ112" s="4105"/>
      <c r="DA112" s="4105"/>
      <c r="DB112" s="4106"/>
      <c r="DC112" s="4105"/>
      <c r="DD112" s="4105"/>
      <c r="DE112" s="4105"/>
      <c r="DF112" s="4092"/>
      <c r="DG112" s="4106"/>
      <c r="DH112" s="4092">
        <f>(DH110-DF110)*10000</f>
        <v>-82.919451889243433</v>
      </c>
      <c r="DI112" s="4092">
        <f>(DI110-DH110)*10000</f>
        <v>16.344420800433745</v>
      </c>
      <c r="DJ112" s="4092">
        <f>(DJ110-DI110)*10000</f>
        <v>-7.9458383876579441</v>
      </c>
      <c r="DK112" s="4092">
        <f>(DK110-DJ110)*10000</f>
        <v>61.899096665715135</v>
      </c>
      <c r="DL112" s="4106"/>
      <c r="DM112" s="4092">
        <f>(DM110-DK110)*10000</f>
        <v>-52.251062684800509</v>
      </c>
      <c r="DN112" s="4092">
        <f>(DN110-DM110)*10000</f>
        <v>62.19992352981707</v>
      </c>
      <c r="DO112" s="4092">
        <f>(DO110-DN110)*10000</f>
        <v>-21.922484839923541</v>
      </c>
      <c r="DP112" s="4092">
        <f>(DP110-DO110)*10000</f>
        <v>114.89788026739834</v>
      </c>
      <c r="DQ112" s="4107"/>
      <c r="DR112" s="4092">
        <f>(DR110-DP110)*10000</f>
        <v>-151.23273496971456</v>
      </c>
      <c r="DS112" s="4092">
        <f>(DS110-DR110)*10000</f>
        <v>4.8449106365977546</v>
      </c>
      <c r="DT112" s="4092">
        <f>(DT110-DS110)*10000</f>
        <v>-12.120899684991414</v>
      </c>
      <c r="DU112" s="4092">
        <f>(DU110-DT110)*10000</f>
        <v>48.72320108705086</v>
      </c>
      <c r="DV112" s="4107"/>
      <c r="DW112" s="4092">
        <f>(DW110-DU110)*10000</f>
        <v>-43.582370352379662</v>
      </c>
      <c r="DX112" s="4092">
        <f>(DX110-DW110)*10000</f>
        <v>-13.486945787989645</v>
      </c>
      <c r="DY112" s="4092">
        <f>(DY110-DX110)*10000</f>
        <v>-0.94328645510011189</v>
      </c>
      <c r="DZ112" s="4092">
        <f>(DZ110-DY110)*10000</f>
        <v>36.036245976596994</v>
      </c>
      <c r="EA112" s="4107"/>
      <c r="EB112" s="4092">
        <f>(EB110-DZ110)*10000</f>
        <v>-81.120247338068722</v>
      </c>
      <c r="EC112" s="4092">
        <f>(EC110-EB110)*10000</f>
        <v>34.382398202760513</v>
      </c>
      <c r="ED112" s="4092">
        <f>(ED110-EC110)*10000</f>
        <v>-38.158615953756971</v>
      </c>
      <c r="EE112" s="4092">
        <f>(EE110-ED110)*10000</f>
        <v>37.94431437410789</v>
      </c>
      <c r="EF112" s="4107"/>
      <c r="EG112" s="4092">
        <f>(EG110-EE110)*10000</f>
        <v>-66.745721143726684</v>
      </c>
      <c r="EH112" s="4092">
        <f>(EH110-EG110)*10000</f>
        <v>-24.152481492898115</v>
      </c>
      <c r="EI112" s="4092">
        <f>(EI110-EH110)*10000</f>
        <v>17.130787641124744</v>
      </c>
      <c r="EJ112" s="4092">
        <f>(EJ110-EI110)*10000</f>
        <v>-14.372213132959333</v>
      </c>
      <c r="EK112" s="4107"/>
      <c r="EL112" s="4092">
        <f>(EL110-EJ110)*10000</f>
        <v>-23.239788539857752</v>
      </c>
      <c r="EM112" s="4092">
        <f>(EM110-EL110)*10000</f>
        <v>17.284930691170153</v>
      </c>
      <c r="EN112" s="4092">
        <f>(EN110-EM110)*10000</f>
        <v>-62.09976235350134</v>
      </c>
      <c r="EO112" s="4092">
        <f>(EO110-EN110)*10000</f>
        <v>6.9833617461551034</v>
      </c>
      <c r="EP112" s="4107"/>
      <c r="EQ112" s="4092">
        <f>(EQ110-EO110)*10000</f>
        <v>2.5807321730741961E-2</v>
      </c>
      <c r="ER112" s="4092">
        <f>(ER110-EQ110)*10000</f>
        <v>-16.234848056442818</v>
      </c>
      <c r="ES112" s="4092">
        <f>(ES110-ER110)*10000</f>
        <v>-13.066043941473982</v>
      </c>
      <c r="ET112" s="4092">
        <f>(ET110-ES110)*10000</f>
        <v>-8.0919874362503368</v>
      </c>
      <c r="EU112" s="4107"/>
      <c r="EV112" s="4107"/>
      <c r="EW112" s="4107"/>
      <c r="EX112" s="4107"/>
      <c r="EY112" s="4107"/>
      <c r="EZ112" s="174"/>
      <c r="FA112" s="1104"/>
      <c r="FB112" s="1104"/>
    </row>
    <row r="113" spans="1:158" s="161" customFormat="1" ht="11.25" hidden="1" customHeight="1" outlineLevel="1">
      <c r="A113" s="5659"/>
      <c r="B113" s="4111"/>
      <c r="C113" s="4111"/>
      <c r="D113" s="4111"/>
      <c r="E113" s="4111"/>
      <c r="F113" s="5624"/>
      <c r="G113" s="4111"/>
      <c r="H113" s="4111"/>
      <c r="I113" s="4111"/>
      <c r="J113" s="4111"/>
      <c r="K113" s="4112"/>
      <c r="L113" s="4111"/>
      <c r="M113" s="4111"/>
      <c r="N113" s="4111"/>
      <c r="O113" s="4111"/>
      <c r="P113" s="4113"/>
      <c r="Q113" s="4114"/>
      <c r="R113" s="3610"/>
      <c r="S113" s="3610"/>
      <c r="T113" s="3610"/>
      <c r="U113" s="4113"/>
      <c r="V113" s="4114"/>
      <c r="W113" s="3610"/>
      <c r="X113" s="3610"/>
      <c r="Y113" s="3610"/>
      <c r="Z113" s="4113"/>
      <c r="AA113" s="4114"/>
      <c r="AB113" s="3610"/>
      <c r="AC113" s="3610"/>
      <c r="AD113" s="3610"/>
      <c r="AE113" s="4113"/>
      <c r="AF113" s="4114"/>
      <c r="AG113" s="3610"/>
      <c r="AH113" s="3610"/>
      <c r="AI113" s="3610"/>
      <c r="AJ113" s="4113"/>
      <c r="AK113" s="4114"/>
      <c r="AL113" s="3610"/>
      <c r="AM113" s="3610"/>
      <c r="AN113" s="3610"/>
      <c r="AO113" s="4113"/>
      <c r="AP113" s="4114"/>
      <c r="AQ113" s="3610"/>
      <c r="AR113" s="4115"/>
      <c r="AS113" s="4116"/>
      <c r="AT113" s="4113"/>
      <c r="AU113" s="4114"/>
      <c r="AV113" s="3610"/>
      <c r="AW113" s="4115"/>
      <c r="AX113" s="3610"/>
      <c r="AY113" s="4113"/>
      <c r="AZ113" s="4114"/>
      <c r="BA113" s="3610"/>
      <c r="BB113" s="3610"/>
      <c r="BC113" s="3610"/>
      <c r="BD113" s="4113"/>
      <c r="BE113" s="4114"/>
      <c r="BF113" s="4115"/>
      <c r="BG113" s="4115"/>
      <c r="BH113" s="3610"/>
      <c r="BI113" s="4113"/>
      <c r="BJ113" s="4114"/>
      <c r="BK113" s="4115"/>
      <c r="BL113" s="4115"/>
      <c r="BM113" s="3610"/>
      <c r="BN113" s="4113"/>
      <c r="BO113" s="3610"/>
      <c r="BP113" s="3610"/>
      <c r="BQ113" s="3610"/>
      <c r="BR113" s="3610"/>
      <c r="BS113" s="3616"/>
      <c r="BT113" s="3610"/>
      <c r="BU113" s="3610"/>
      <c r="BV113" s="3610"/>
      <c r="BW113" s="3610"/>
      <c r="BX113" s="3616"/>
      <c r="BY113" s="3610"/>
      <c r="BZ113" s="3610"/>
      <c r="CA113" s="3610"/>
      <c r="CB113" s="3610"/>
      <c r="CC113" s="3616"/>
      <c r="CD113" s="4117"/>
      <c r="CE113" s="3610"/>
      <c r="CF113" s="3610"/>
      <c r="CG113" s="3610"/>
      <c r="CH113" s="3616"/>
      <c r="CI113" s="4118"/>
      <c r="CJ113" s="3610"/>
      <c r="CK113" s="3610"/>
      <c r="CL113" s="3610"/>
      <c r="CM113" s="4113"/>
      <c r="CN113" s="3610"/>
      <c r="CO113" s="3610"/>
      <c r="CP113" s="3610"/>
      <c r="CQ113" s="3610"/>
      <c r="CR113" s="4113"/>
      <c r="CS113" s="3610"/>
      <c r="CT113" s="3610"/>
      <c r="CU113" s="3610"/>
      <c r="CV113" s="3610"/>
      <c r="CW113" s="4113"/>
      <c r="CX113" s="3610"/>
      <c r="CY113" s="3610"/>
      <c r="CZ113" s="3610"/>
      <c r="DA113" s="3610"/>
      <c r="DB113" s="4113"/>
      <c r="DC113" s="3610"/>
      <c r="DD113" s="3610"/>
      <c r="DE113" s="3610"/>
      <c r="DF113" s="3610"/>
      <c r="DG113" s="4113"/>
      <c r="DH113" s="3610"/>
      <c r="DI113" s="3610"/>
      <c r="DJ113" s="3610"/>
      <c r="DK113" s="3610"/>
      <c r="DL113" s="4113"/>
      <c r="DM113" s="3610"/>
      <c r="DN113" s="3610"/>
      <c r="DO113" s="3610"/>
      <c r="DP113" s="3610"/>
      <c r="DQ113" s="4113"/>
      <c r="DR113" s="3610"/>
      <c r="DS113" s="3610"/>
      <c r="DT113" s="3610"/>
      <c r="DU113" s="3610"/>
      <c r="DV113" s="4113"/>
      <c r="DW113" s="3610"/>
      <c r="DX113" s="3610"/>
      <c r="DY113" s="3610"/>
      <c r="DZ113" s="3610"/>
      <c r="EA113" s="4113"/>
      <c r="EB113" s="3610"/>
      <c r="EC113" s="3610"/>
      <c r="ED113" s="3610"/>
      <c r="EE113" s="3610"/>
      <c r="EF113" s="4113"/>
      <c r="EG113" s="3610"/>
      <c r="EH113" s="3610"/>
      <c r="EI113" s="3610"/>
      <c r="EJ113" s="3610"/>
      <c r="EK113" s="4113"/>
      <c r="EL113" s="3610"/>
      <c r="EM113" s="3610"/>
      <c r="EN113" s="3610"/>
      <c r="EO113" s="3610"/>
      <c r="EP113" s="4113"/>
      <c r="EQ113" s="3610"/>
      <c r="ER113" s="3610"/>
      <c r="ES113" s="3610"/>
      <c r="ET113" s="3610"/>
      <c r="EU113" s="4113"/>
      <c r="EV113" s="4113"/>
      <c r="EW113" s="4113"/>
      <c r="EX113" s="4113"/>
      <c r="EY113" s="4113"/>
      <c r="EZ113" s="174"/>
      <c r="FA113" s="725"/>
      <c r="FB113" s="725"/>
    </row>
    <row r="114" spans="1:158" s="138" customFormat="1" ht="11.25" customHeight="1" collapsed="1">
      <c r="A114" s="5626" t="s">
        <v>662</v>
      </c>
      <c r="B114" s="2921"/>
      <c r="C114" s="2412"/>
      <c r="D114" s="2412"/>
      <c r="E114" s="2413"/>
      <c r="F114" s="5127"/>
      <c r="G114" s="2921"/>
      <c r="H114" s="2412"/>
      <c r="I114" s="2412"/>
      <c r="J114" s="2412"/>
      <c r="K114" s="2414"/>
      <c r="L114" s="2412"/>
      <c r="M114" s="2412"/>
      <c r="N114" s="2412"/>
      <c r="O114" s="2413"/>
      <c r="P114" s="2414"/>
      <c r="Q114" s="2415"/>
      <c r="R114" s="2413"/>
      <c r="S114" s="2413"/>
      <c r="T114" s="2413"/>
      <c r="U114" s="2414"/>
      <c r="V114" s="2411"/>
      <c r="W114" s="2412"/>
      <c r="X114" s="2412"/>
      <c r="Y114" s="2412"/>
      <c r="Z114" s="2414"/>
      <c r="AA114" s="2415"/>
      <c r="AB114" s="2416"/>
      <c r="AC114" s="2413"/>
      <c r="AD114" s="2413"/>
      <c r="AE114" s="2414"/>
      <c r="AF114" s="2417"/>
      <c r="AG114" s="2413"/>
      <c r="AH114" s="2413"/>
      <c r="AI114" s="2413"/>
      <c r="AJ114" s="2414"/>
      <c r="AK114" s="2415"/>
      <c r="AL114" s="2413"/>
      <c r="AM114" s="2413"/>
      <c r="AN114" s="2418"/>
      <c r="AO114" s="2414"/>
      <c r="AP114" s="2411"/>
      <c r="AQ114" s="2412"/>
      <c r="AR114" s="2412"/>
      <c r="AS114" s="2419"/>
      <c r="AT114" s="2414"/>
      <c r="AU114" s="2411"/>
      <c r="AV114" s="2412"/>
      <c r="AW114" s="2412"/>
      <c r="AX114" s="2419"/>
      <c r="AY114" s="2414"/>
      <c r="AZ114" s="2411"/>
      <c r="BA114" s="2412"/>
      <c r="BB114" s="2412"/>
      <c r="BC114" s="2419"/>
      <c r="BD114" s="2414"/>
      <c r="BE114" s="2411"/>
      <c r="BF114" s="2420"/>
      <c r="BG114" s="2412"/>
      <c r="BH114" s="2421"/>
      <c r="BI114" s="2414"/>
      <c r="BJ114" s="2411"/>
      <c r="BK114" s="2412"/>
      <c r="BL114" s="2412"/>
      <c r="BM114" s="2420"/>
      <c r="BN114" s="2414"/>
      <c r="BO114" s="2412"/>
      <c r="BP114" s="2412"/>
      <c r="BQ114" s="2412"/>
      <c r="BR114" s="2412"/>
      <c r="BS114" s="2414"/>
      <c r="BT114" s="2420"/>
      <c r="BU114" s="2412"/>
      <c r="BV114" s="2412"/>
      <c r="BW114" s="2420"/>
      <c r="BX114" s="2414"/>
      <c r="BY114" s="2412"/>
      <c r="BZ114" s="2412"/>
      <c r="CA114" s="2412"/>
      <c r="CB114" s="2412"/>
      <c r="CC114" s="2414"/>
      <c r="CD114" s="2422"/>
      <c r="CE114" s="2412"/>
      <c r="CF114" s="2412"/>
      <c r="CG114" s="2420"/>
      <c r="CH114" s="2414"/>
      <c r="CI114" s="2423"/>
      <c r="CJ114" s="2412"/>
      <c r="CK114" s="2412"/>
      <c r="CL114" s="2420"/>
      <c r="CM114" s="2414"/>
      <c r="CN114" s="2424"/>
      <c r="CO114" s="2424"/>
      <c r="CP114" s="2424"/>
      <c r="CQ114" s="2424"/>
      <c r="CR114" s="2414"/>
      <c r="CS114" s="2412"/>
      <c r="CT114" s="2412"/>
      <c r="CU114" s="2412"/>
      <c r="CV114" s="2412"/>
      <c r="CW114" s="4528"/>
      <c r="CX114" s="4529"/>
      <c r="CY114" s="4529"/>
      <c r="CZ114" s="4529"/>
      <c r="DA114" s="4529"/>
      <c r="DB114" s="4528"/>
      <c r="DC114" s="4529"/>
      <c r="DD114" s="4529"/>
      <c r="DE114" s="4529"/>
      <c r="DF114" s="4529"/>
      <c r="DG114" s="4528"/>
      <c r="DH114" s="4529"/>
      <c r="DI114" s="4529"/>
      <c r="DJ114" s="4529"/>
      <c r="DK114" s="4529"/>
      <c r="DL114" s="4528"/>
      <c r="DM114" s="4529"/>
      <c r="DN114" s="4529"/>
      <c r="DO114" s="4529"/>
      <c r="DP114" s="4529"/>
      <c r="DQ114" s="4528"/>
      <c r="DR114" s="4529"/>
      <c r="DS114" s="4529"/>
      <c r="DT114" s="4529"/>
      <c r="DU114" s="4529"/>
      <c r="DV114" s="4528"/>
      <c r="DW114" s="4529"/>
      <c r="DX114" s="4529"/>
      <c r="DY114" s="4529"/>
      <c r="DZ114" s="4529"/>
      <c r="EA114" s="4528"/>
      <c r="EB114" s="4529"/>
      <c r="EC114" s="4529"/>
      <c r="ED114" s="4529"/>
      <c r="EE114" s="4529"/>
      <c r="EF114" s="4528"/>
      <c r="EG114" s="4529"/>
      <c r="EH114" s="4529"/>
      <c r="EI114" s="4529"/>
      <c r="EJ114" s="4529"/>
      <c r="EK114" s="4528"/>
      <c r="EL114" s="4529"/>
      <c r="EM114" s="4529"/>
      <c r="EN114" s="4529"/>
      <c r="EO114" s="4529"/>
      <c r="EP114" s="4528"/>
      <c r="EQ114" s="4529"/>
      <c r="ER114" s="4529"/>
      <c r="ES114" s="4529"/>
      <c r="ET114" s="4529"/>
      <c r="EU114" s="4528"/>
      <c r="EV114" s="4528"/>
      <c r="EW114" s="4528"/>
      <c r="EX114" s="4528"/>
      <c r="EY114" s="4528"/>
      <c r="EZ114" s="124"/>
      <c r="FA114" s="1319"/>
      <c r="FB114" s="717"/>
    </row>
    <row r="115" spans="1:158" s="180" customFormat="1" ht="11.25" customHeight="1">
      <c r="A115" s="5649" t="s">
        <v>641</v>
      </c>
      <c r="B115" s="175"/>
      <c r="C115" s="175"/>
      <c r="D115" s="175"/>
      <c r="E115" s="176"/>
      <c r="F115" s="5286"/>
      <c r="G115" s="175"/>
      <c r="H115" s="175"/>
      <c r="I115" s="175"/>
      <c r="J115" s="175"/>
      <c r="K115" s="1014"/>
      <c r="L115" s="175"/>
      <c r="M115" s="175"/>
      <c r="N115" s="175"/>
      <c r="O115" s="175"/>
      <c r="P115" s="1014">
        <v>66.932000000000002</v>
      </c>
      <c r="Q115" s="1877">
        <f t="shared" ref="Q115:AV115" si="487">Q22-Q90</f>
        <v>37.210799999999999</v>
      </c>
      <c r="R115" s="175">
        <f t="shared" si="487"/>
        <v>56.538000000000004</v>
      </c>
      <c r="S115" s="175">
        <f t="shared" si="487"/>
        <v>91.550899999999999</v>
      </c>
      <c r="T115" s="175">
        <f t="shared" si="487"/>
        <v>121.67829999999998</v>
      </c>
      <c r="U115" s="1014">
        <f t="shared" si="487"/>
        <v>306.97800000000001</v>
      </c>
      <c r="V115" s="1877">
        <f t="shared" si="487"/>
        <v>157.9</v>
      </c>
      <c r="W115" s="175">
        <f t="shared" si="487"/>
        <v>183.102</v>
      </c>
      <c r="X115" s="175">
        <f t="shared" si="487"/>
        <v>207.239</v>
      </c>
      <c r="Y115" s="175">
        <f t="shared" si="487"/>
        <v>243.822</v>
      </c>
      <c r="Z115" s="1014">
        <f t="shared" si="487"/>
        <v>792.06299999999999</v>
      </c>
      <c r="AA115" s="1877">
        <f t="shared" si="487"/>
        <v>303.53199999999998</v>
      </c>
      <c r="AB115" s="175">
        <f t="shared" si="487"/>
        <v>343.44200000000001</v>
      </c>
      <c r="AC115" s="175">
        <f t="shared" si="487"/>
        <v>411.7</v>
      </c>
      <c r="AD115" s="175">
        <f t="shared" si="487"/>
        <v>530.38800000000003</v>
      </c>
      <c r="AE115" s="1014">
        <f t="shared" si="487"/>
        <v>1589.0619999999999</v>
      </c>
      <c r="AF115" s="1877">
        <f t="shared" si="487"/>
        <v>638.80159999999989</v>
      </c>
      <c r="AG115" s="175">
        <f t="shared" si="487"/>
        <v>718.17200000000003</v>
      </c>
      <c r="AH115" s="175">
        <f t="shared" si="487"/>
        <v>860.17899999999997</v>
      </c>
      <c r="AI115" s="175">
        <f t="shared" si="487"/>
        <v>1070.008</v>
      </c>
      <c r="AJ115" s="1014">
        <f t="shared" si="487"/>
        <v>3287.1605999999997</v>
      </c>
      <c r="AK115" s="1877">
        <f t="shared" si="487"/>
        <v>1264.9069999999999</v>
      </c>
      <c r="AL115" s="175">
        <f t="shared" si="487"/>
        <v>1395.721</v>
      </c>
      <c r="AM115" s="175">
        <f t="shared" si="487"/>
        <v>1580.9770000000001</v>
      </c>
      <c r="AN115" s="175">
        <f t="shared" si="487"/>
        <v>1917.0619999999999</v>
      </c>
      <c r="AO115" s="1014">
        <f t="shared" si="487"/>
        <v>6158.6670000000004</v>
      </c>
      <c r="AP115" s="1877">
        <f t="shared" si="487"/>
        <v>2209.011</v>
      </c>
      <c r="AQ115" s="175">
        <f t="shared" si="487"/>
        <v>2399.35</v>
      </c>
      <c r="AR115" s="175">
        <f t="shared" si="487"/>
        <v>2629.386</v>
      </c>
      <c r="AS115" s="175">
        <f t="shared" si="487"/>
        <v>2996.1690000000003</v>
      </c>
      <c r="AT115" s="1014">
        <f t="shared" si="487"/>
        <v>10233.915999999999</v>
      </c>
      <c r="AU115" s="1877">
        <f t="shared" si="487"/>
        <v>3257.2950000000001</v>
      </c>
      <c r="AV115" s="175">
        <f t="shared" si="487"/>
        <v>3375.7049999999999</v>
      </c>
      <c r="AW115" s="175">
        <f t="shared" ref="AW115:BM115" si="488">AW22-AW90</f>
        <v>3505.3109999999997</v>
      </c>
      <c r="AX115" s="175">
        <f t="shared" si="488"/>
        <v>3621.0660000000003</v>
      </c>
      <c r="AY115" s="1014">
        <f t="shared" si="488"/>
        <v>13759.377</v>
      </c>
      <c r="AZ115" s="1877">
        <f t="shared" si="488"/>
        <v>3485.9229999999998</v>
      </c>
      <c r="BA115" s="175">
        <f t="shared" si="488"/>
        <v>3434.6280000000002</v>
      </c>
      <c r="BB115" s="175">
        <f t="shared" si="488"/>
        <v>3726.7310000000002</v>
      </c>
      <c r="BC115" s="175">
        <f t="shared" si="488"/>
        <v>4171.4040000000005</v>
      </c>
      <c r="BD115" s="1014">
        <f t="shared" si="488"/>
        <v>14818.686000000002</v>
      </c>
      <c r="BE115" s="1877">
        <f t="shared" si="488"/>
        <v>4174</v>
      </c>
      <c r="BF115" s="175">
        <f t="shared" si="488"/>
        <v>4230</v>
      </c>
      <c r="BG115" s="175">
        <f t="shared" si="488"/>
        <v>4548</v>
      </c>
      <c r="BH115" s="175">
        <f t="shared" si="488"/>
        <v>5339</v>
      </c>
      <c r="BI115" s="1014">
        <f t="shared" si="488"/>
        <v>18291</v>
      </c>
      <c r="BJ115" s="1877">
        <f t="shared" si="488"/>
        <v>5542</v>
      </c>
      <c r="BK115" s="175">
        <f t="shared" si="488"/>
        <v>5877</v>
      </c>
      <c r="BL115" s="175">
        <f t="shared" si="488"/>
        <v>6357</v>
      </c>
      <c r="BM115" s="175">
        <f t="shared" si="488"/>
        <v>6852</v>
      </c>
      <c r="BN115" s="1014">
        <f>+SUM(BJ115:BM115)</f>
        <v>24628</v>
      </c>
      <c r="BO115" s="175"/>
      <c r="BP115" s="175"/>
      <c r="BQ115" s="175"/>
      <c r="BR115" s="175"/>
      <c r="BS115" s="2402"/>
      <c r="BT115" s="175">
        <f>BT22-BT90</f>
        <v>6844</v>
      </c>
      <c r="BU115" s="175">
        <f>BU22-BU90</f>
        <v>7035</v>
      </c>
      <c r="BV115" s="175">
        <f>BV22-BV90</f>
        <v>7171</v>
      </c>
      <c r="BW115" s="175">
        <f>BW22-BW90</f>
        <v>8006</v>
      </c>
      <c r="BX115" s="1014">
        <f>+SUM(BT115:BW115)</f>
        <v>29056</v>
      </c>
      <c r="BY115" s="175"/>
      <c r="BZ115" s="175"/>
      <c r="CA115" s="175"/>
      <c r="CB115" s="175"/>
      <c r="CC115" s="2402"/>
      <c r="CD115" s="2468">
        <f>CD22-CD90</f>
        <v>7960</v>
      </c>
      <c r="CE115" s="175">
        <f>CE22-CE90</f>
        <v>8162</v>
      </c>
      <c r="CF115" s="175">
        <f>CF22-CF90</f>
        <v>8621</v>
      </c>
      <c r="CG115" s="175">
        <f>CG22-CG90</f>
        <v>9714</v>
      </c>
      <c r="CH115" s="1014">
        <f>+SUM(CD115:CG115)</f>
        <v>34457</v>
      </c>
      <c r="CI115" s="553">
        <f>CI22-CI90</f>
        <v>9624</v>
      </c>
      <c r="CJ115" s="175">
        <f>CJ22-CJ90</f>
        <v>10042</v>
      </c>
      <c r="CK115" s="175">
        <f>CK22-CK90</f>
        <v>10325</v>
      </c>
      <c r="CL115" s="175">
        <f>CL22-CL90</f>
        <v>11461</v>
      </c>
      <c r="CM115" s="1014">
        <f>+SUM(CI115:CL115)</f>
        <v>41452</v>
      </c>
      <c r="CN115" s="175">
        <f>CN22-CN90</f>
        <v>11019</v>
      </c>
      <c r="CO115" s="175">
        <f>CO22-CO90</f>
        <v>11457</v>
      </c>
      <c r="CP115" s="175">
        <f>CP22-CP90</f>
        <v>12035</v>
      </c>
      <c r="CQ115" s="175">
        <f>CQ22-CQ90</f>
        <v>13745</v>
      </c>
      <c r="CR115" s="1014">
        <f>SUM(CN115:CQ115)</f>
        <v>48256</v>
      </c>
      <c r="CS115" s="175">
        <f>CS22-CS90</f>
        <v>13111</v>
      </c>
      <c r="CT115" s="175">
        <f>CT22-CT90</f>
        <v>14048</v>
      </c>
      <c r="CU115" s="175">
        <f>CU22-CU90</f>
        <v>14530</v>
      </c>
      <c r="CV115" s="175">
        <f>CV22-CV90</f>
        <v>16202</v>
      </c>
      <c r="CW115" s="1014">
        <f>SUM(CS115:CV115)</f>
        <v>57891</v>
      </c>
      <c r="CX115" s="175">
        <f t="shared" ref="CX115:EV115" si="489">CX22-CX90</f>
        <v>15598</v>
      </c>
      <c r="CY115" s="175">
        <f t="shared" si="489"/>
        <v>16376</v>
      </c>
      <c r="CZ115" s="175">
        <f t="shared" si="489"/>
        <v>17322</v>
      </c>
      <c r="DA115" s="175">
        <f t="shared" si="489"/>
        <v>19461</v>
      </c>
      <c r="DB115" s="1014">
        <f t="shared" si="489"/>
        <v>68930</v>
      </c>
      <c r="DC115" s="175">
        <f t="shared" si="489"/>
        <v>19096</v>
      </c>
      <c r="DD115" s="175">
        <f t="shared" si="489"/>
        <v>20253</v>
      </c>
      <c r="DE115" s="175">
        <f t="shared" si="489"/>
        <v>20899</v>
      </c>
      <c r="DF115" s="175">
        <f t="shared" si="489"/>
        <v>23419</v>
      </c>
      <c r="DG115" s="1014">
        <f t="shared" si="489"/>
        <v>83879</v>
      </c>
      <c r="DH115" s="175">
        <f t="shared" si="489"/>
        <v>22189</v>
      </c>
      <c r="DI115" s="175">
        <f t="shared" si="489"/>
        <v>23628</v>
      </c>
      <c r="DJ115" s="175">
        <f t="shared" si="489"/>
        <v>24689</v>
      </c>
      <c r="DK115" s="175">
        <f t="shared" si="489"/>
        <v>27601.332999999999</v>
      </c>
      <c r="DL115" s="1014">
        <f t="shared" si="489"/>
        <v>98107.332999999999</v>
      </c>
      <c r="DM115" s="175">
        <f t="shared" si="489"/>
        <v>24737.2896</v>
      </c>
      <c r="DN115" s="175">
        <f t="shared" si="489"/>
        <v>21707.168600000001</v>
      </c>
      <c r="DO115" s="175">
        <f t="shared" si="489"/>
        <v>27134.582000000002</v>
      </c>
      <c r="DP115" s="175">
        <f t="shared" si="489"/>
        <v>33555.907999999996</v>
      </c>
      <c r="DQ115" s="1014">
        <f t="shared" si="489"/>
        <v>107134.9482</v>
      </c>
      <c r="DR115" s="175">
        <f t="shared" si="489"/>
        <v>32878.997000000003</v>
      </c>
      <c r="DS115" s="175">
        <f t="shared" si="489"/>
        <v>37111.800000000003</v>
      </c>
      <c r="DT115" s="175">
        <f t="shared" si="489"/>
        <v>39043.877</v>
      </c>
      <c r="DU115" s="175">
        <f t="shared" si="489"/>
        <v>44854.286500000002</v>
      </c>
      <c r="DV115" s="1014">
        <f t="shared" si="489"/>
        <v>153888.96049999999</v>
      </c>
      <c r="DW115" s="175">
        <f t="shared" si="489"/>
        <v>40167.929000000004</v>
      </c>
      <c r="DX115" s="175">
        <f t="shared" si="489"/>
        <v>41465.864300000001</v>
      </c>
      <c r="DY115" s="175">
        <f t="shared" si="489"/>
        <v>40125.603999999999</v>
      </c>
      <c r="DZ115" s="175">
        <f t="shared" si="489"/>
        <v>43447.871599999999</v>
      </c>
      <c r="EA115" s="1014">
        <f t="shared" si="489"/>
        <v>165207.2689</v>
      </c>
      <c r="EB115" s="175">
        <f t="shared" si="489"/>
        <v>40538.057399999998</v>
      </c>
      <c r="EC115" s="175">
        <f t="shared" si="489"/>
        <v>43165.598400000003</v>
      </c>
      <c r="ED115" s="175">
        <f t="shared" si="489"/>
        <v>44493.58</v>
      </c>
      <c r="EE115" s="175">
        <f t="shared" si="489"/>
        <v>48960.56</v>
      </c>
      <c r="EF115" s="1014">
        <f t="shared" si="489"/>
        <v>177157.79579999999</v>
      </c>
      <c r="EG115" s="175">
        <f t="shared" ref="EG115" si="490">EG22-EG90</f>
        <v>46307.167999999998</v>
      </c>
      <c r="EH115" s="175">
        <f>EH22-EH90</f>
        <v>48973.978999999999</v>
      </c>
      <c r="EI115" s="175">
        <f t="shared" ref="EI115:EJ115" si="491">EI22-EI90</f>
        <v>49762.395000000004</v>
      </c>
      <c r="EJ115" s="175">
        <f t="shared" si="491"/>
        <v>55115.890800000001</v>
      </c>
      <c r="EK115" s="1014">
        <f>EK22-EK90</f>
        <v>200159.43280000001</v>
      </c>
      <c r="EL115" s="175">
        <f t="shared" ref="EL115" si="492">EL22-EL90</f>
        <v>50756.15</v>
      </c>
      <c r="EM115" s="175">
        <f>EM22-EM90</f>
        <v>54394.37</v>
      </c>
      <c r="EN115" s="175">
        <f t="shared" ref="EN115" si="493">EN22-EN90</f>
        <v>56815.641000000003</v>
      </c>
      <c r="EO115" s="175">
        <f t="shared" ref="EO115" si="494">EO22-EO90</f>
        <v>62763.482655953077</v>
      </c>
      <c r="EP115" s="1014">
        <f>EP22-EP90</f>
        <v>224729.64365595306</v>
      </c>
      <c r="EQ115" s="175">
        <f t="shared" ref="EQ115:ET115" si="495">EQ22-EQ90</f>
        <v>58705.032376151015</v>
      </c>
      <c r="ER115" s="175">
        <f t="shared" si="495"/>
        <v>61513.676821791756</v>
      </c>
      <c r="ES115" s="175">
        <f t="shared" si="495"/>
        <v>63243.177896499466</v>
      </c>
      <c r="ET115" s="175">
        <f t="shared" si="495"/>
        <v>69964.102983768695</v>
      </c>
      <c r="EU115" s="1014">
        <f>EU22-EU90</f>
        <v>253425.99007821095</v>
      </c>
      <c r="EV115" s="2402">
        <f t="shared" si="489"/>
        <v>278451.20235263568</v>
      </c>
      <c r="EW115" s="2402">
        <f>EW22-EW90</f>
        <v>303276.52656368364</v>
      </c>
      <c r="EX115" s="2402">
        <f>EX22-EX90</f>
        <v>327784.37366322713</v>
      </c>
      <c r="EY115" s="2402">
        <f>EY22-EY90</f>
        <v>352816.31583334343</v>
      </c>
      <c r="EZ115" s="175"/>
      <c r="FA115" s="1319">
        <f>(EV115/EK115)^(1/3)-1</f>
        <v>0.11632592821013987</v>
      </c>
      <c r="FB115" s="1319">
        <f>(EX115/EK115)^(1/5)-1</f>
        <v>0.10367812993110737</v>
      </c>
    </row>
    <row r="116" spans="1:158" s="183" customFormat="1" ht="11.25" customHeight="1">
      <c r="A116" s="5634" t="s">
        <v>45</v>
      </c>
      <c r="B116" s="181"/>
      <c r="C116" s="181"/>
      <c r="D116" s="181"/>
      <c r="E116" s="182"/>
      <c r="F116" s="4242"/>
      <c r="G116" s="181"/>
      <c r="H116" s="181"/>
      <c r="I116" s="181"/>
      <c r="J116" s="181"/>
      <c r="K116" s="991"/>
      <c r="L116" s="181"/>
      <c r="M116" s="181"/>
      <c r="N116" s="181"/>
      <c r="O116" s="181"/>
      <c r="P116" s="991" t="s">
        <v>116</v>
      </c>
      <c r="Q116" s="1224" t="s">
        <v>116</v>
      </c>
      <c r="R116" s="181" t="s">
        <v>116</v>
      </c>
      <c r="S116" s="181" t="s">
        <v>116</v>
      </c>
      <c r="T116" s="181" t="s">
        <v>116</v>
      </c>
      <c r="U116" s="991">
        <f t="shared" ref="U116:Z116" si="496">+U115/P115-1</f>
        <v>3.5864160640650216</v>
      </c>
      <c r="V116" s="1226">
        <f t="shared" si="496"/>
        <v>3.243391703483935</v>
      </c>
      <c r="W116" s="169">
        <f t="shared" si="496"/>
        <v>2.2385652127772468</v>
      </c>
      <c r="X116" s="169">
        <f t="shared" si="496"/>
        <v>1.2636478723857438</v>
      </c>
      <c r="Y116" s="169">
        <f t="shared" si="496"/>
        <v>1.0038248397618972</v>
      </c>
      <c r="Z116" s="991">
        <f t="shared" si="496"/>
        <v>1.5801946719308875</v>
      </c>
      <c r="AA116" s="1226">
        <f t="shared" ref="AA116:AJ116" si="497">+AA115/V115-1</f>
        <v>0.92230525649145001</v>
      </c>
      <c r="AB116" s="181">
        <f t="shared" si="497"/>
        <v>0.87568677567694508</v>
      </c>
      <c r="AC116" s="181">
        <f t="shared" si="497"/>
        <v>0.9865951871993206</v>
      </c>
      <c r="AD116" s="181">
        <f t="shared" si="497"/>
        <v>1.1753082166498512</v>
      </c>
      <c r="AE116" s="991">
        <f t="shared" si="497"/>
        <v>1.0062318275187705</v>
      </c>
      <c r="AF116" s="1226">
        <f t="shared" si="497"/>
        <v>1.1045609688599551</v>
      </c>
      <c r="AG116" s="181">
        <f t="shared" si="497"/>
        <v>1.09110126309537</v>
      </c>
      <c r="AH116" s="181">
        <f t="shared" si="497"/>
        <v>1.08933446684479</v>
      </c>
      <c r="AI116" s="181">
        <f t="shared" si="497"/>
        <v>1.0174061253271192</v>
      </c>
      <c r="AJ116" s="991">
        <f t="shared" si="497"/>
        <v>1.0686169576769187</v>
      </c>
      <c r="AK116" s="1224">
        <f t="shared" ref="AK116:AT116" si="498">+AK115/AF115-1</f>
        <v>0.98012497150915112</v>
      </c>
      <c r="AL116" s="181">
        <f t="shared" si="498"/>
        <v>0.94343555582785177</v>
      </c>
      <c r="AM116" s="181">
        <f t="shared" si="498"/>
        <v>0.83796279611569235</v>
      </c>
      <c r="AN116" s="190">
        <f t="shared" si="498"/>
        <v>0.7916333335825525</v>
      </c>
      <c r="AO116" s="991">
        <f t="shared" si="498"/>
        <v>0.87355220794505772</v>
      </c>
      <c r="AP116" s="1224">
        <f t="shared" si="498"/>
        <v>0.7463821450905086</v>
      </c>
      <c r="AQ116" s="181">
        <f t="shared" si="498"/>
        <v>0.71907566053674055</v>
      </c>
      <c r="AR116" s="181">
        <f t="shared" si="498"/>
        <v>0.66313994447737046</v>
      </c>
      <c r="AS116" s="190">
        <f t="shared" si="498"/>
        <v>0.56289624435725116</v>
      </c>
      <c r="AT116" s="991">
        <f t="shared" si="498"/>
        <v>0.66170958748053743</v>
      </c>
      <c r="AU116" s="1224">
        <f t="shared" ref="AU116:BD116" si="499">+AU115/AP115-1</f>
        <v>0.47454901763730462</v>
      </c>
      <c r="AV116" s="181">
        <f t="shared" si="499"/>
        <v>0.40692479213120225</v>
      </c>
      <c r="AW116" s="181">
        <f t="shared" si="499"/>
        <v>0.33312910314423205</v>
      </c>
      <c r="AX116" s="190">
        <f t="shared" si="499"/>
        <v>0.20856533793654486</v>
      </c>
      <c r="AY116" s="991">
        <f t="shared" si="499"/>
        <v>0.34448797508207041</v>
      </c>
      <c r="AZ116" s="1224">
        <f t="shared" si="499"/>
        <v>7.0189528427728964E-2</v>
      </c>
      <c r="BA116" s="181">
        <f t="shared" si="499"/>
        <v>1.7455020506827568E-2</v>
      </c>
      <c r="BB116" s="181">
        <f t="shared" si="499"/>
        <v>6.3167005723600678E-2</v>
      </c>
      <c r="BC116" s="190">
        <f t="shared" si="499"/>
        <v>0.15198231680947005</v>
      </c>
      <c r="BD116" s="991">
        <f t="shared" si="499"/>
        <v>7.6988151425751328E-2</v>
      </c>
      <c r="BE116" s="1224">
        <f t="shared" ref="BE116:BN116" si="500">+BE115/AZ115-1</f>
        <v>0.19738732037397266</v>
      </c>
      <c r="BF116" s="181">
        <f t="shared" si="500"/>
        <v>0.23157442378039184</v>
      </c>
      <c r="BG116" s="181">
        <f t="shared" si="500"/>
        <v>0.22037249267521575</v>
      </c>
      <c r="BH116" s="190">
        <f t="shared" si="500"/>
        <v>0.27990479943922941</v>
      </c>
      <c r="BI116" s="991">
        <f t="shared" si="500"/>
        <v>0.23431996602127869</v>
      </c>
      <c r="BJ116" s="1224">
        <f t="shared" si="500"/>
        <v>0.32774317201724967</v>
      </c>
      <c r="BK116" s="181">
        <f t="shared" si="500"/>
        <v>0.38936170212765964</v>
      </c>
      <c r="BL116" s="181">
        <f t="shared" si="500"/>
        <v>0.39775725593667555</v>
      </c>
      <c r="BM116" s="181">
        <f t="shared" si="500"/>
        <v>0.28338640194793041</v>
      </c>
      <c r="BN116" s="991">
        <f t="shared" si="500"/>
        <v>0.34645454048439128</v>
      </c>
      <c r="BO116" s="181"/>
      <c r="BP116" s="181"/>
      <c r="BQ116" s="181"/>
      <c r="BR116" s="181"/>
      <c r="BS116" s="599"/>
      <c r="BT116" s="181">
        <f>+BT115/BJ115-1</f>
        <v>0.23493323709852043</v>
      </c>
      <c r="BU116" s="181">
        <f>+BU115/BK115-1</f>
        <v>0.19703930576824913</v>
      </c>
      <c r="BV116" s="181">
        <f>+BV115/BL115-1</f>
        <v>0.12804782129935499</v>
      </c>
      <c r="BW116" s="181">
        <f>+BW115/BM115-1</f>
        <v>0.16841798015178044</v>
      </c>
      <c r="BX116" s="991">
        <f>+BX115/BN115-1</f>
        <v>0.1797953548806237</v>
      </c>
      <c r="BY116" s="181"/>
      <c r="BZ116" s="181"/>
      <c r="CA116" s="181"/>
      <c r="CB116" s="181"/>
      <c r="CC116" s="599"/>
      <c r="CD116" s="578">
        <f>+CD115/BT115-1</f>
        <v>0.16306253652834601</v>
      </c>
      <c r="CE116" s="181">
        <f>+CE115/BU115-1</f>
        <v>0.16019900497512429</v>
      </c>
      <c r="CF116" s="181">
        <f>+CF115/BV115-1</f>
        <v>0.20220331892344157</v>
      </c>
      <c r="CG116" s="181">
        <f>+CG115/BW115-1</f>
        <v>0.21333999500374712</v>
      </c>
      <c r="CH116" s="991">
        <f>+CH115/BX115-1</f>
        <v>0.1858824339207048</v>
      </c>
      <c r="CI116" s="551">
        <f t="shared" ref="CI116:CQ116" si="501">+CI115/CD115-1</f>
        <v>0.20904522613065324</v>
      </c>
      <c r="CJ116" s="181">
        <f t="shared" si="501"/>
        <v>0.23033570203381526</v>
      </c>
      <c r="CK116" s="181">
        <f t="shared" si="501"/>
        <v>0.19765688435216333</v>
      </c>
      <c r="CL116" s="181">
        <f t="shared" si="501"/>
        <v>0.17984352480955312</v>
      </c>
      <c r="CM116" s="991">
        <f t="shared" si="501"/>
        <v>0.20300664596453544</v>
      </c>
      <c r="CN116" s="181">
        <f t="shared" si="501"/>
        <v>0.14495012468827939</v>
      </c>
      <c r="CO116" s="181">
        <f t="shared" ref="CO116:CY116" si="502">+CO115/CJ115-1</f>
        <v>0.14090818562039442</v>
      </c>
      <c r="CP116" s="181">
        <f t="shared" si="501"/>
        <v>0.16561743341404367</v>
      </c>
      <c r="CQ116" s="181">
        <f t="shared" si="501"/>
        <v>0.19928453014571157</v>
      </c>
      <c r="CR116" s="991">
        <f t="shared" si="502"/>
        <v>0.16414165782109436</v>
      </c>
      <c r="CS116" s="181">
        <f t="shared" si="502"/>
        <v>0.18985388873763509</v>
      </c>
      <c r="CT116" s="181">
        <f t="shared" si="502"/>
        <v>0.2261499519944139</v>
      </c>
      <c r="CU116" s="181">
        <f t="shared" si="502"/>
        <v>0.20731200664727867</v>
      </c>
      <c r="CV116" s="181">
        <f t="shared" si="502"/>
        <v>0.17875591124045109</v>
      </c>
      <c r="CW116" s="991">
        <f t="shared" si="502"/>
        <v>0.19966429045092848</v>
      </c>
      <c r="CX116" s="181">
        <f t="shared" si="502"/>
        <v>0.18968804820379837</v>
      </c>
      <c r="CY116" s="181">
        <f t="shared" si="502"/>
        <v>0.16571753986332571</v>
      </c>
      <c r="CZ116" s="181">
        <f t="shared" ref="CZ116:DS116" si="503">+CZ115/CU115-1</f>
        <v>0.19215416379903649</v>
      </c>
      <c r="DA116" s="181">
        <f t="shared" si="503"/>
        <v>0.20114800641896058</v>
      </c>
      <c r="DB116" s="991">
        <f t="shared" si="503"/>
        <v>0.19068594427458496</v>
      </c>
      <c r="DC116" s="181">
        <f t="shared" si="503"/>
        <v>0.22425952045134001</v>
      </c>
      <c r="DD116" s="181">
        <f t="shared" si="503"/>
        <v>0.23674890083048372</v>
      </c>
      <c r="DE116" s="181">
        <f t="shared" si="503"/>
        <v>0.20650040411037995</v>
      </c>
      <c r="DF116" s="181">
        <f t="shared" si="503"/>
        <v>0.20338112121679264</v>
      </c>
      <c r="DG116" s="991">
        <f t="shared" si="503"/>
        <v>0.21687218917742634</v>
      </c>
      <c r="DH116" s="181">
        <f t="shared" si="503"/>
        <v>0.16197109342270632</v>
      </c>
      <c r="DI116" s="181">
        <f t="shared" si="503"/>
        <v>0.16664197896607913</v>
      </c>
      <c r="DJ116" s="181">
        <f t="shared" si="503"/>
        <v>0.18134838987511359</v>
      </c>
      <c r="DK116" s="181">
        <f t="shared" si="503"/>
        <v>0.17858717280840342</v>
      </c>
      <c r="DL116" s="991">
        <f t="shared" si="503"/>
        <v>0.16962926358206465</v>
      </c>
      <c r="DM116" s="181">
        <f t="shared" si="503"/>
        <v>0.11484472486367125</v>
      </c>
      <c r="DN116" s="181">
        <f t="shared" si="503"/>
        <v>-8.1294709666497322E-2</v>
      </c>
      <c r="DO116" s="181">
        <f t="shared" si="503"/>
        <v>9.9055530803191738E-2</v>
      </c>
      <c r="DP116" s="181">
        <f t="shared" si="503"/>
        <v>0.2157350516368175</v>
      </c>
      <c r="DQ116" s="991">
        <f t="shared" si="503"/>
        <v>9.2017741426117405E-2</v>
      </c>
      <c r="DR116" s="181">
        <f>+DR115/DM115-1</f>
        <v>0.32912689836480724</v>
      </c>
      <c r="DS116" s="181">
        <f t="shared" si="503"/>
        <v>0.70965641276679459</v>
      </c>
      <c r="DT116" s="181">
        <f t="shared" ref="DT116:EC116" si="504">+DT115/DO115-1</f>
        <v>0.43889730823935302</v>
      </c>
      <c r="DU116" s="181">
        <f t="shared" si="504"/>
        <v>0.33670310754219512</v>
      </c>
      <c r="DV116" s="991">
        <f t="shared" si="504"/>
        <v>0.43640299533929294</v>
      </c>
      <c r="DW116" s="181">
        <f t="shared" si="504"/>
        <v>0.2216896093271945</v>
      </c>
      <c r="DX116" s="181">
        <f t="shared" si="504"/>
        <v>0.11732290807775425</v>
      </c>
      <c r="DY116" s="181">
        <f t="shared" si="504"/>
        <v>2.7705419725607694E-2</v>
      </c>
      <c r="DZ116" s="181">
        <f t="shared" si="504"/>
        <v>-3.1355195004606817E-2</v>
      </c>
      <c r="EA116" s="991">
        <f t="shared" si="504"/>
        <v>7.3548540215137903E-2</v>
      </c>
      <c r="EB116" s="181">
        <f t="shared" si="504"/>
        <v>9.2145253493152168E-3</v>
      </c>
      <c r="EC116" s="181">
        <f t="shared" si="504"/>
        <v>4.0991165352364245E-2</v>
      </c>
      <c r="ED116" s="181">
        <f t="shared" ref="ED116:EN116" si="505">+ED115/DY115-1</f>
        <v>0.10885757632458315</v>
      </c>
      <c r="EE116" s="181">
        <f t="shared" si="505"/>
        <v>0.12688051674319523</v>
      </c>
      <c r="EF116" s="991">
        <f t="shared" si="505"/>
        <v>7.2336568357858733E-2</v>
      </c>
      <c r="EG116" s="181">
        <f t="shared" si="505"/>
        <v>0.1423134449456871</v>
      </c>
      <c r="EH116" s="181">
        <f t="shared" si="505"/>
        <v>0.13456040956911641</v>
      </c>
      <c r="EI116" s="181">
        <f t="shared" si="505"/>
        <v>0.1184174211200808</v>
      </c>
      <c r="EJ116" s="181">
        <f t="shared" si="505"/>
        <v>0.12572018784098882</v>
      </c>
      <c r="EK116" s="991">
        <f t="shared" si="505"/>
        <v>0.12983700150552457</v>
      </c>
      <c r="EL116" s="181">
        <f t="shared" si="505"/>
        <v>9.6075449917386591E-2</v>
      </c>
      <c r="EM116" s="181">
        <f t="shared" si="505"/>
        <v>0.11067899955607041</v>
      </c>
      <c r="EN116" s="181">
        <f t="shared" si="505"/>
        <v>0.14173847540899098</v>
      </c>
      <c r="EO116" s="181">
        <f t="shared" ref="EO116:EP116" si="506">+EO115/EJ115-1</f>
        <v>0.13875475375521051</v>
      </c>
      <c r="EP116" s="991">
        <f t="shared" si="506"/>
        <v>0.12275319984796162</v>
      </c>
      <c r="EQ116" s="181">
        <f t="shared" ref="EQ116" si="507">+EQ115/EL115-1</f>
        <v>0.15660924589731517</v>
      </c>
      <c r="ER116" s="181">
        <f t="shared" ref="ER116" si="508">+ER115/EM115-1</f>
        <v>0.1308831561389856</v>
      </c>
      <c r="ES116" s="181">
        <f t="shared" ref="ES116" si="509">+ES115/EN115-1</f>
        <v>0.11312970835794078</v>
      </c>
      <c r="ET116" s="181">
        <f t="shared" ref="ET116:EU116" si="510">+ET115/EO115-1</f>
        <v>0.11472627112308031</v>
      </c>
      <c r="EU116" s="991">
        <f t="shared" si="510"/>
        <v>0.12769275096698052</v>
      </c>
      <c r="EV116" s="991">
        <f>+EV115/EU115-1</f>
        <v>9.8747615691277657E-2</v>
      </c>
      <c r="EW116" s="991">
        <f>+EW115/EV115-1</f>
        <v>8.9155026091820355E-2</v>
      </c>
      <c r="EX116" s="991">
        <f>+EX115/EW115-1</f>
        <v>8.0810234069985665E-2</v>
      </c>
      <c r="EY116" s="991">
        <f>+EY115/EX115-1</f>
        <v>7.6367100390925424E-2</v>
      </c>
      <c r="EZ116" s="181"/>
      <c r="FA116" s="4266"/>
      <c r="FB116" s="4266"/>
    </row>
    <row r="117" spans="1:158" s="77" customFormat="1" ht="11.25" customHeight="1">
      <c r="A117" s="5634" t="s">
        <v>46</v>
      </c>
      <c r="B117" s="2612"/>
      <c r="C117" s="169"/>
      <c r="D117" s="169"/>
      <c r="E117" s="169"/>
      <c r="F117" s="5088"/>
      <c r="G117" s="2612"/>
      <c r="H117" s="169"/>
      <c r="I117" s="169"/>
      <c r="J117" s="169"/>
      <c r="K117" s="1219"/>
      <c r="L117" s="169"/>
      <c r="M117" s="169"/>
      <c r="N117" s="169"/>
      <c r="O117" s="169"/>
      <c r="P117" s="1001"/>
      <c r="Q117" s="1226" t="s">
        <v>116</v>
      </c>
      <c r="R117" s="169">
        <f>+R115/Q115-1</f>
        <v>0.51939759424683163</v>
      </c>
      <c r="S117" s="169">
        <f>+S115/R115-1</f>
        <v>0.61928083766670183</v>
      </c>
      <c r="T117" s="169">
        <f>+T115/S115-1</f>
        <v>0.3290781412307251</v>
      </c>
      <c r="U117" s="1001"/>
      <c r="V117" s="1226">
        <f>+V115/T115-1</f>
        <v>0.29768413924257686</v>
      </c>
      <c r="W117" s="169">
        <f>+W115/V115-1</f>
        <v>0.15960734642178598</v>
      </c>
      <c r="X117" s="169">
        <f>+X115/W115-1</f>
        <v>0.13182269991589379</v>
      </c>
      <c r="Y117" s="169">
        <f>+Y115/X115-1</f>
        <v>0.17652565395509523</v>
      </c>
      <c r="Z117" s="1001"/>
      <c r="AA117" s="1226">
        <f>+AA115/Y115-1</f>
        <v>0.24489176530419732</v>
      </c>
      <c r="AB117" s="169">
        <f>+AB115/AA115-1</f>
        <v>0.13148531291593657</v>
      </c>
      <c r="AC117" s="169">
        <f>+AC115/AB115-1</f>
        <v>0.19874680440947801</v>
      </c>
      <c r="AD117" s="169">
        <f>+AD115/AC115-1</f>
        <v>0.28828758804955079</v>
      </c>
      <c r="AE117" s="1001"/>
      <c r="AF117" s="1226">
        <f>+AF115/AD115-1</f>
        <v>0.20440432287306631</v>
      </c>
      <c r="AG117" s="169">
        <f>+AG115/AF115-1</f>
        <v>0.12424890607662875</v>
      </c>
      <c r="AH117" s="169">
        <f>+AH115/AG115-1</f>
        <v>0.19773396902134865</v>
      </c>
      <c r="AI117" s="169">
        <f>+AI115/AH115-1</f>
        <v>0.24393643648589425</v>
      </c>
      <c r="AJ117" s="1001"/>
      <c r="AK117" s="1226">
        <f>+AK115/AI115-1</f>
        <v>0.18214723628234553</v>
      </c>
      <c r="AL117" s="169">
        <f>+AL115/AK115-1</f>
        <v>0.10341787973345085</v>
      </c>
      <c r="AM117" s="169">
        <f>+AM115/AL115-1</f>
        <v>0.13273139832387715</v>
      </c>
      <c r="AN117" s="184">
        <f>+AN115/AM115-1</f>
        <v>0.21258057517598283</v>
      </c>
      <c r="AO117" s="1001"/>
      <c r="AP117" s="1226">
        <f>+AP115/AN115-1</f>
        <v>0.1522898059635005</v>
      </c>
      <c r="AQ117" s="169">
        <f>+AQ115/AP115-1</f>
        <v>8.6164804068427081E-2</v>
      </c>
      <c r="AR117" s="169">
        <f>+AR115/AQ115-1</f>
        <v>9.5874299289390841E-2</v>
      </c>
      <c r="AS117" s="184">
        <f>+AS115/AR115-1</f>
        <v>0.13949378295921577</v>
      </c>
      <c r="AT117" s="1001"/>
      <c r="AU117" s="1226">
        <f>+AU115/AS115-1</f>
        <v>8.7153294757405186E-2</v>
      </c>
      <c r="AV117" s="169">
        <f>+AV115/AU115-1</f>
        <v>3.6352249335721787E-2</v>
      </c>
      <c r="AW117" s="169">
        <f>+AW115/AV115-1</f>
        <v>3.8393757748381274E-2</v>
      </c>
      <c r="AX117" s="184">
        <f>+AX115/AW115-1</f>
        <v>3.3022747482320591E-2</v>
      </c>
      <c r="AY117" s="1001"/>
      <c r="AZ117" s="1226">
        <f>+AZ115/AX115-1</f>
        <v>-3.7321330238112349E-2</v>
      </c>
      <c r="BA117" s="169">
        <f>+BA115/AZ115-1</f>
        <v>-1.4714897603877009E-2</v>
      </c>
      <c r="BB117" s="169">
        <f>+BB115/BA115-1</f>
        <v>8.5046473737476092E-2</v>
      </c>
      <c r="BC117" s="184">
        <f>+BC115/BB115-1</f>
        <v>0.11931985431736281</v>
      </c>
      <c r="BD117" s="1001"/>
      <c r="BE117" s="1226">
        <f>+BE115/BC115-1</f>
        <v>6.2233243291687224E-4</v>
      </c>
      <c r="BF117" s="169">
        <f>+BF115/BE115-1</f>
        <v>1.3416387158600829E-2</v>
      </c>
      <c r="BG117" s="169">
        <f>+BG115/BF115-1</f>
        <v>7.5177304964539005E-2</v>
      </c>
      <c r="BH117" s="184">
        <f>+BH115/BG115-1</f>
        <v>0.17392260334212839</v>
      </c>
      <c r="BI117" s="1001"/>
      <c r="BJ117" s="1226">
        <f>+BJ115/BH115-1</f>
        <v>3.8022101517138029E-2</v>
      </c>
      <c r="BK117" s="169">
        <f>+BK115/BJ115-1</f>
        <v>6.0447491880187609E-2</v>
      </c>
      <c r="BL117" s="169">
        <f>+BL115/BK115-1</f>
        <v>8.167432363450744E-2</v>
      </c>
      <c r="BM117" s="169">
        <f>+BM115/BL115-1</f>
        <v>7.7866918357715864E-2</v>
      </c>
      <c r="BN117" s="1001"/>
      <c r="BO117" s="42"/>
      <c r="BP117" s="42"/>
      <c r="BQ117" s="42"/>
      <c r="BR117" s="42"/>
      <c r="BS117" s="597"/>
      <c r="BT117" s="169">
        <f>+BT115/BM115-1</f>
        <v>-1.1675423234092097E-3</v>
      </c>
      <c r="BU117" s="169">
        <f>+BU115/BT115-1</f>
        <v>2.7907656341320974E-2</v>
      </c>
      <c r="BV117" s="169">
        <f>+BV115/BU115-1</f>
        <v>1.9331911869225227E-2</v>
      </c>
      <c r="BW117" s="169">
        <f>+BW115/BV115-1</f>
        <v>0.11644122158694747</v>
      </c>
      <c r="BX117" s="1001"/>
      <c r="BY117" s="42"/>
      <c r="BZ117" s="42"/>
      <c r="CA117" s="42"/>
      <c r="CB117" s="42"/>
      <c r="CC117" s="597"/>
      <c r="CD117" s="576">
        <f>+CD115/BW115-1</f>
        <v>-5.7456907319510808E-3</v>
      </c>
      <c r="CE117" s="169">
        <f>+CE115/CD115-1</f>
        <v>2.5376884422110502E-2</v>
      </c>
      <c r="CF117" s="169">
        <f>+CF115/CE115-1</f>
        <v>5.623621661357503E-2</v>
      </c>
      <c r="CG117" s="169">
        <f>+CG115/CF115-1</f>
        <v>0.12678343579631135</v>
      </c>
      <c r="CH117" s="1001"/>
      <c r="CI117" s="169">
        <f>+CI115/CG115-1</f>
        <v>-9.2649783817171372E-3</v>
      </c>
      <c r="CJ117" s="169">
        <f>+CJ115/CI115-1</f>
        <v>4.3433083956774698E-2</v>
      </c>
      <c r="CK117" s="169">
        <f>+CK115/CJ115-1</f>
        <v>2.818163712407884E-2</v>
      </c>
      <c r="CL117" s="169">
        <f>+CL115/CK115-1</f>
        <v>0.11002421307506061</v>
      </c>
      <c r="CM117" s="1001"/>
      <c r="CN117" s="169">
        <f>+CN115/CL115-1</f>
        <v>-3.8565570194572851E-2</v>
      </c>
      <c r="CO117" s="169">
        <f>+CO115/CN115-1</f>
        <v>3.9749523550231425E-2</v>
      </c>
      <c r="CP117" s="169">
        <f>+CP115/CO115-1</f>
        <v>5.0449506851706349E-2</v>
      </c>
      <c r="CQ117" s="169">
        <f>+CQ115/CP115-1</f>
        <v>0.14208558371416702</v>
      </c>
      <c r="CR117" s="1001"/>
      <c r="CS117" s="169">
        <f>+CS115/CQ115-1</f>
        <v>-4.6125863950527424E-2</v>
      </c>
      <c r="CT117" s="169">
        <f>+CT115/CS115-1</f>
        <v>7.1466707344977509E-2</v>
      </c>
      <c r="CU117" s="169">
        <f>+CU115/CT115-1</f>
        <v>3.4310933940774557E-2</v>
      </c>
      <c r="CV117" s="169">
        <f>+CV115/CU115-1</f>
        <v>0.11507226428079842</v>
      </c>
      <c r="CW117" s="1001"/>
      <c r="CX117" s="169">
        <f>+CX115/CV115-1</f>
        <v>-3.7279348228613784E-2</v>
      </c>
      <c r="CY117" s="169">
        <f>+CY115/CX115-1</f>
        <v>4.9878189511475934E-2</v>
      </c>
      <c r="CZ117" s="169">
        <f>+CZ115/CY115-1</f>
        <v>5.7767464582315631E-2</v>
      </c>
      <c r="DA117" s="169">
        <f>+DA115/CZ115-1</f>
        <v>0.12348458607551094</v>
      </c>
      <c r="DB117" s="1001"/>
      <c r="DC117" s="2612">
        <f>+DC115/DA115-1</f>
        <v>-1.8755459637223137E-2</v>
      </c>
      <c r="DD117" s="2612">
        <f>+DD115/DC115-1</f>
        <v>6.0588604943443647E-2</v>
      </c>
      <c r="DE117" s="2612">
        <f>+DE115/DD115-1</f>
        <v>3.1896509159136999E-2</v>
      </c>
      <c r="DF117" s="2612">
        <f>+DF115/DE115-1</f>
        <v>0.12057993205416517</v>
      </c>
      <c r="DG117" s="1001"/>
      <c r="DH117" s="2612">
        <f>+DH115/DF115-1</f>
        <v>-5.2521456936675315E-2</v>
      </c>
      <c r="DI117" s="2612">
        <f>+DI115/DH115-1</f>
        <v>6.4851953670737705E-2</v>
      </c>
      <c r="DJ117" s="2612">
        <f>+DJ115/DI115-1</f>
        <v>4.4904350770272661E-2</v>
      </c>
      <c r="DK117" s="2612">
        <f>+DK115/DJ115-1</f>
        <v>0.11796075175179221</v>
      </c>
      <c r="DL117" s="1001"/>
      <c r="DM117" s="2612">
        <f>+DM115/DK115-1</f>
        <v>-0.10376467687267132</v>
      </c>
      <c r="DN117" s="2612">
        <f>+DN115/DM115-1</f>
        <v>-0.12249203728447267</v>
      </c>
      <c r="DO117" s="2612">
        <f>+DO115/DN115-1</f>
        <v>0.25002861957777389</v>
      </c>
      <c r="DP117" s="2612">
        <f>+DP115/DO115-1</f>
        <v>0.23664731596012767</v>
      </c>
      <c r="DQ117" s="1001"/>
      <c r="DR117" s="2612">
        <f>+DR115/DP115-1</f>
        <v>-2.0172632491422759E-2</v>
      </c>
      <c r="DS117" s="2612">
        <f>+DS115/DR115-1</f>
        <v>0.12873881158844358</v>
      </c>
      <c r="DT117" s="2612">
        <f>+DT115/DS115-1</f>
        <v>5.2060988688233945E-2</v>
      </c>
      <c r="DU117" s="2612">
        <f>+DU115/DT115-1</f>
        <v>0.14881743173199724</v>
      </c>
      <c r="DV117" s="1001"/>
      <c r="DW117" s="2612">
        <f>+DW115/DU115-1</f>
        <v>-0.10447959081904024</v>
      </c>
      <c r="DX117" s="2612">
        <f>+DX115/DW115-1</f>
        <v>3.2312726404191583E-2</v>
      </c>
      <c r="DY117" s="2612">
        <f>+DY115/DX115-1</f>
        <v>-3.232201529198564E-2</v>
      </c>
      <c r="DZ117" s="2612">
        <f>+DZ115/DY115-1</f>
        <v>8.2796700082072183E-2</v>
      </c>
      <c r="EA117" s="1001"/>
      <c r="EB117" s="2612">
        <f>+EB115/DZ115-1</f>
        <v>-6.6972537269236465E-2</v>
      </c>
      <c r="EC117" s="2612">
        <f>+EC115/EB115-1</f>
        <v>6.4816648071547744E-2</v>
      </c>
      <c r="ED117" s="2612">
        <f>+ED115/EC115-1</f>
        <v>3.0764813861586582E-2</v>
      </c>
      <c r="EE117" s="2612">
        <f>+EE115/ED115-1</f>
        <v>0.10039605713902988</v>
      </c>
      <c r="EF117" s="1001"/>
      <c r="EG117" s="2612">
        <f>+EG115/EE115-1</f>
        <v>-5.4194478167733373E-2</v>
      </c>
      <c r="EH117" s="2612">
        <f>+EH115/EG115-1</f>
        <v>5.7589593904770808E-2</v>
      </c>
      <c r="EI117" s="2612">
        <f>+EI115/EH115-1</f>
        <v>1.6098671500635264E-2</v>
      </c>
      <c r="EJ117" s="2612">
        <f>+EJ115/EI115-1</f>
        <v>0.10758115239429289</v>
      </c>
      <c r="EK117" s="1001"/>
      <c r="EL117" s="2612">
        <f>+EL115/EJ115-1</f>
        <v>-7.9101339681150518E-2</v>
      </c>
      <c r="EM117" s="2612">
        <f>+EM115/EL115-1</f>
        <v>7.1680377648817073E-2</v>
      </c>
      <c r="EN117" s="2612">
        <f>+EN115/EM115-1</f>
        <v>4.4513264883847325E-2</v>
      </c>
      <c r="EO117" s="2612">
        <f>+EO115/EN115-1</f>
        <v>0.10468669456625634</v>
      </c>
      <c r="EP117" s="1001"/>
      <c r="EQ117" s="2612">
        <f>+EQ115/EO115-1</f>
        <v>-6.4662604878843788E-2</v>
      </c>
      <c r="ER117" s="2612">
        <f>+ER115/EQ115-1</f>
        <v>4.7843333560305679E-2</v>
      </c>
      <c r="ES117" s="2612">
        <f>+ES115/ER115-1</f>
        <v>2.8115716114940792E-2</v>
      </c>
      <c r="ET117" s="2612">
        <f>+ET115/ES115-1</f>
        <v>0.10627114751046118</v>
      </c>
      <c r="EU117" s="1001"/>
      <c r="EV117" s="597"/>
      <c r="EW117" s="597"/>
      <c r="EX117" s="597"/>
      <c r="EY117" s="597"/>
      <c r="EZ117" s="42"/>
      <c r="FA117" s="725"/>
      <c r="FB117" s="725"/>
    </row>
    <row r="118" spans="1:158" s="180" customFormat="1" ht="11.25" customHeight="1">
      <c r="A118" s="5649" t="s">
        <v>642</v>
      </c>
      <c r="B118" s="175"/>
      <c r="C118" s="175"/>
      <c r="D118" s="175"/>
      <c r="E118" s="176"/>
      <c r="F118" s="5286"/>
      <c r="G118" s="175"/>
      <c r="H118" s="175"/>
      <c r="I118" s="175"/>
      <c r="J118" s="175"/>
      <c r="K118" s="1014"/>
      <c r="L118" s="175"/>
      <c r="M118" s="175"/>
      <c r="N118" s="175"/>
      <c r="O118" s="175"/>
      <c r="P118" s="1014">
        <v>0</v>
      </c>
      <c r="Q118" s="2401">
        <f t="shared" ref="Q118:AV118" si="511">Q29-Q99</f>
        <v>0</v>
      </c>
      <c r="R118" s="176">
        <f t="shared" si="511"/>
        <v>0.91975000000000406</v>
      </c>
      <c r="S118" s="176">
        <f t="shared" si="511"/>
        <v>2.3888800000000074</v>
      </c>
      <c r="T118" s="176">
        <f t="shared" si="511"/>
        <v>6.1283699999999754</v>
      </c>
      <c r="U118" s="1014">
        <f t="shared" si="511"/>
        <v>9.4369999999999976</v>
      </c>
      <c r="V118" s="2401">
        <f t="shared" si="511"/>
        <v>11.087000000000003</v>
      </c>
      <c r="W118" s="176">
        <f t="shared" si="511"/>
        <v>21.024000000000001</v>
      </c>
      <c r="X118" s="176">
        <f t="shared" si="511"/>
        <v>30.956999999999994</v>
      </c>
      <c r="Y118" s="176">
        <f t="shared" si="511"/>
        <v>38.998000000000019</v>
      </c>
      <c r="Z118" s="1014">
        <f t="shared" si="511"/>
        <v>102.06700000000001</v>
      </c>
      <c r="AA118" s="2401">
        <f t="shared" si="511"/>
        <v>62.75</v>
      </c>
      <c r="AB118" s="176">
        <f t="shared" si="511"/>
        <v>69.192000000000007</v>
      </c>
      <c r="AC118" s="176">
        <f t="shared" si="511"/>
        <v>81.400000000000034</v>
      </c>
      <c r="AD118" s="176">
        <f t="shared" si="511"/>
        <v>112.28499999999997</v>
      </c>
      <c r="AE118" s="1014">
        <f t="shared" si="511"/>
        <v>325.62699999999995</v>
      </c>
      <c r="AF118" s="2401">
        <f t="shared" si="511"/>
        <v>140.50959999999998</v>
      </c>
      <c r="AG118" s="176">
        <f t="shared" si="511"/>
        <v>154.94199999999995</v>
      </c>
      <c r="AH118" s="176">
        <f t="shared" si="511"/>
        <v>169.61199999999997</v>
      </c>
      <c r="AI118" s="176">
        <f t="shared" si="511"/>
        <v>197.87800000000004</v>
      </c>
      <c r="AJ118" s="1014">
        <f t="shared" si="511"/>
        <v>662.94160000000034</v>
      </c>
      <c r="AK118" s="2401">
        <f t="shared" si="511"/>
        <v>238.04999999999995</v>
      </c>
      <c r="AL118" s="176">
        <f t="shared" si="511"/>
        <v>248.14799999999991</v>
      </c>
      <c r="AM118" s="176">
        <f t="shared" si="511"/>
        <v>256.75799999999992</v>
      </c>
      <c r="AN118" s="176">
        <f t="shared" si="511"/>
        <v>282.24899999999991</v>
      </c>
      <c r="AO118" s="1014">
        <f t="shared" si="511"/>
        <v>1025.2050000000004</v>
      </c>
      <c r="AP118" s="2401">
        <f t="shared" si="511"/>
        <v>293.41099999999983</v>
      </c>
      <c r="AQ118" s="176">
        <f t="shared" si="511"/>
        <v>291.0329999999999</v>
      </c>
      <c r="AR118" s="176">
        <f t="shared" si="511"/>
        <v>338.971</v>
      </c>
      <c r="AS118" s="176">
        <f t="shared" si="511"/>
        <v>321.39200000000005</v>
      </c>
      <c r="AT118" s="1014">
        <f t="shared" si="511"/>
        <v>1244.8070000000007</v>
      </c>
      <c r="AU118" s="2401">
        <f t="shared" si="511"/>
        <v>342.86700000000019</v>
      </c>
      <c r="AV118" s="176">
        <f t="shared" si="511"/>
        <v>335.74</v>
      </c>
      <c r="AW118" s="176">
        <f t="shared" ref="AW118:BM118" si="512">AW29-AW99</f>
        <v>351.45500000000015</v>
      </c>
      <c r="AX118" s="176">
        <f t="shared" si="512"/>
        <v>400.12299999999982</v>
      </c>
      <c r="AY118" s="1014">
        <f t="shared" si="512"/>
        <v>1430.1849999999995</v>
      </c>
      <c r="AZ118" s="2401">
        <f t="shared" si="512"/>
        <v>408.98199999999997</v>
      </c>
      <c r="BA118" s="176">
        <f t="shared" si="512"/>
        <v>448.14599999999996</v>
      </c>
      <c r="BB118" s="176">
        <f t="shared" si="512"/>
        <v>470.67400000000021</v>
      </c>
      <c r="BC118" s="176">
        <f t="shared" si="512"/>
        <v>572.91599999999926</v>
      </c>
      <c r="BD118" s="1014">
        <f t="shared" si="512"/>
        <v>1900.7179999999989</v>
      </c>
      <c r="BE118" s="2401">
        <f t="shared" si="512"/>
        <v>590</v>
      </c>
      <c r="BF118" s="176">
        <f t="shared" si="512"/>
        <v>600</v>
      </c>
      <c r="BG118" s="176">
        <f t="shared" si="512"/>
        <v>679</v>
      </c>
      <c r="BH118" s="176">
        <f t="shared" si="512"/>
        <v>759</v>
      </c>
      <c r="BI118" s="1014">
        <f t="shared" si="512"/>
        <v>2628</v>
      </c>
      <c r="BJ118" s="2401">
        <f t="shared" si="512"/>
        <v>726</v>
      </c>
      <c r="BK118" s="176">
        <f t="shared" si="512"/>
        <v>729</v>
      </c>
      <c r="BL118" s="176">
        <f t="shared" si="512"/>
        <v>768</v>
      </c>
      <c r="BM118" s="176">
        <f t="shared" si="512"/>
        <v>872</v>
      </c>
      <c r="BN118" s="1014">
        <f>+SUM(BJ118:BM118)</f>
        <v>3095</v>
      </c>
      <c r="BO118" s="175"/>
      <c r="BP118" s="175"/>
      <c r="BQ118" s="175"/>
      <c r="BR118" s="175"/>
      <c r="BS118" s="2402"/>
      <c r="BT118" s="176">
        <f>BT29-BT99</f>
        <v>871</v>
      </c>
      <c r="BU118" s="176">
        <f>BU29-BU99</f>
        <v>890</v>
      </c>
      <c r="BV118" s="176">
        <f>BV29-BV99</f>
        <v>919</v>
      </c>
      <c r="BW118" s="176">
        <f>BW29-BW99</f>
        <v>990</v>
      </c>
      <c r="BX118" s="1014">
        <f>+SUM(BT118:BW118)</f>
        <v>3670</v>
      </c>
      <c r="BY118" s="175"/>
      <c r="BZ118" s="175"/>
      <c r="CA118" s="175"/>
      <c r="CB118" s="175"/>
      <c r="CC118" s="2402"/>
      <c r="CD118" s="2403">
        <f>CD29-CD99</f>
        <v>1109</v>
      </c>
      <c r="CE118" s="176">
        <f>CE29-CE99</f>
        <v>1007</v>
      </c>
      <c r="CF118" s="176">
        <f>CF29-CF99</f>
        <v>1060</v>
      </c>
      <c r="CG118" s="176">
        <f>CG29-CG99</f>
        <v>1182</v>
      </c>
      <c r="CH118" s="1014">
        <f>+SUM(CD118:CG118)</f>
        <v>4358</v>
      </c>
      <c r="CI118" s="553">
        <f>CI29-CI99</f>
        <v>1141</v>
      </c>
      <c r="CJ118" s="176">
        <f>CJ29-CJ99</f>
        <v>1163</v>
      </c>
      <c r="CK118" s="176">
        <f>CK29-CK99</f>
        <v>1147</v>
      </c>
      <c r="CL118" s="176">
        <f>CL29-CL99</f>
        <v>1228</v>
      </c>
      <c r="CM118" s="1014">
        <f>+SUM(CI118:CL118)</f>
        <v>4679</v>
      </c>
      <c r="CN118" s="175">
        <f>CN29-CN99</f>
        <v>1144</v>
      </c>
      <c r="CO118" s="175">
        <f>CO29-CO99</f>
        <v>1189</v>
      </c>
      <c r="CP118" s="176">
        <f>CP29-CP99</f>
        <v>1180</v>
      </c>
      <c r="CQ118" s="176">
        <f>CQ29-CQ99</f>
        <v>1278</v>
      </c>
      <c r="CR118" s="1014">
        <f>SUM(CN118:CQ118)</f>
        <v>4791</v>
      </c>
      <c r="CS118" s="175">
        <f>CS29-CS99</f>
        <v>1121</v>
      </c>
      <c r="CT118" s="175">
        <f>CT29-CT99</f>
        <v>1120</v>
      </c>
      <c r="CU118" s="175">
        <f>CU29-CU99</f>
        <v>1109</v>
      </c>
      <c r="CV118" s="175">
        <f>CV29-CV99</f>
        <v>1349</v>
      </c>
      <c r="CW118" s="1014">
        <f>SUM(CS118:CV118)</f>
        <v>4699</v>
      </c>
      <c r="CX118" s="175">
        <f t="shared" ref="CX118:EC118" si="513">CX29-CX99</f>
        <v>1184</v>
      </c>
      <c r="CY118" s="175">
        <f t="shared" si="513"/>
        <v>1205</v>
      </c>
      <c r="CZ118" s="175">
        <f t="shared" si="513"/>
        <v>1241</v>
      </c>
      <c r="DA118" s="175">
        <f t="shared" si="513"/>
        <v>1316</v>
      </c>
      <c r="DB118" s="1014">
        <f t="shared" si="513"/>
        <v>4975</v>
      </c>
      <c r="DC118" s="175">
        <f t="shared" si="513"/>
        <v>1258</v>
      </c>
      <c r="DD118" s="175">
        <f t="shared" si="513"/>
        <v>1414</v>
      </c>
      <c r="DE118" s="175">
        <f t="shared" si="513"/>
        <v>1473</v>
      </c>
      <c r="DF118" s="175">
        <f t="shared" si="513"/>
        <v>1663</v>
      </c>
      <c r="DG118" s="1014">
        <f t="shared" si="513"/>
        <v>5856</v>
      </c>
      <c r="DH118" s="175">
        <f t="shared" si="513"/>
        <v>1538</v>
      </c>
      <c r="DI118" s="175">
        <f t="shared" si="513"/>
        <v>1628</v>
      </c>
      <c r="DJ118" s="175">
        <f t="shared" si="513"/>
        <v>1617</v>
      </c>
      <c r="DK118" s="175">
        <f t="shared" si="513"/>
        <v>1831.6670000000004</v>
      </c>
      <c r="DL118" s="1014">
        <f t="shared" si="513"/>
        <v>6614.6670000000013</v>
      </c>
      <c r="DM118" s="175">
        <f t="shared" si="513"/>
        <v>1573.7103999999999</v>
      </c>
      <c r="DN118" s="175">
        <f t="shared" si="513"/>
        <v>1465.8314</v>
      </c>
      <c r="DO118" s="175">
        <f t="shared" si="513"/>
        <v>1794.4179999999997</v>
      </c>
      <c r="DP118" s="175">
        <f t="shared" si="513"/>
        <v>2177.0920000000006</v>
      </c>
      <c r="DQ118" s="1014">
        <f t="shared" si="513"/>
        <v>7011.0518000000011</v>
      </c>
      <c r="DR118" s="175">
        <f t="shared" si="513"/>
        <v>2093.0029999999997</v>
      </c>
      <c r="DS118" s="175">
        <f t="shared" si="513"/>
        <v>2403.1999999999998</v>
      </c>
      <c r="DT118" s="175">
        <f t="shared" si="513"/>
        <v>2588.1230000000005</v>
      </c>
      <c r="DU118" s="175">
        <f t="shared" si="513"/>
        <v>2957.7134999999998</v>
      </c>
      <c r="DV118" s="1014">
        <f t="shared" si="513"/>
        <v>10042.039499999999</v>
      </c>
      <c r="DW118" s="175">
        <f t="shared" si="513"/>
        <v>2503.0709999999999</v>
      </c>
      <c r="DX118" s="175">
        <f t="shared" si="513"/>
        <v>2608.1356999999998</v>
      </c>
      <c r="DY118" s="175">
        <f t="shared" si="513"/>
        <v>2530.3960000000006</v>
      </c>
      <c r="DZ118" s="175">
        <f t="shared" si="513"/>
        <v>2669.1283999999996</v>
      </c>
      <c r="EA118" s="1014">
        <f t="shared" si="513"/>
        <v>10310.731099999997</v>
      </c>
      <c r="EB118" s="175">
        <f t="shared" si="513"/>
        <v>2288.9425999999994</v>
      </c>
      <c r="EC118" s="175">
        <f t="shared" si="513"/>
        <v>2440.4015999999992</v>
      </c>
      <c r="ED118" s="175">
        <f t="shared" ref="ED118:EX118" si="514">ED29-ED99</f>
        <v>2511.420000000001</v>
      </c>
      <c r="EE118" s="175">
        <f t="shared" si="514"/>
        <v>2570.4399999999987</v>
      </c>
      <c r="EF118" s="1014">
        <f t="shared" si="514"/>
        <v>9811.2042000000001</v>
      </c>
      <c r="EG118" s="175">
        <f t="shared" si="514"/>
        <v>2405.8319999999994</v>
      </c>
      <c r="EH118" s="175">
        <f t="shared" si="514"/>
        <v>2255.0210000000006</v>
      </c>
      <c r="EI118" s="175">
        <f t="shared" ref="EI118:EJ118" si="515">EI29-EI99</f>
        <v>2372.6049999999996</v>
      </c>
      <c r="EJ118" s="175">
        <f t="shared" si="515"/>
        <v>2497.1092000000008</v>
      </c>
      <c r="EK118" s="1014">
        <f t="shared" si="514"/>
        <v>9530.5671999999977</v>
      </c>
      <c r="EL118" s="175">
        <f t="shared" ref="EL118:EN118" si="516">EL29-EL99</f>
        <v>2380.8499999999985</v>
      </c>
      <c r="EM118" s="175">
        <f t="shared" si="516"/>
        <v>2240.6299999999992</v>
      </c>
      <c r="EN118" s="175">
        <f t="shared" si="516"/>
        <v>2490.3590000000004</v>
      </c>
      <c r="EO118" s="175">
        <f t="shared" si="514"/>
        <v>2568.4831476949785</v>
      </c>
      <c r="EP118" s="1014">
        <f t="shared" si="514"/>
        <v>9680.3221476949766</v>
      </c>
      <c r="EQ118" s="175">
        <f t="shared" ref="EQ118:EU118" si="517">EQ29-EQ99</f>
        <v>2420.3017563625262</v>
      </c>
      <c r="ER118" s="175">
        <f t="shared" si="517"/>
        <v>2392.1261407651909</v>
      </c>
      <c r="ES118" s="175">
        <f t="shared" si="517"/>
        <v>2364.3086590481162</v>
      </c>
      <c r="ET118" s="175">
        <f t="shared" si="517"/>
        <v>2511.9724904814011</v>
      </c>
      <c r="EU118" s="1014">
        <f t="shared" si="517"/>
        <v>9688.7090466572372</v>
      </c>
      <c r="EV118" s="2402">
        <f t="shared" si="514"/>
        <v>9591.8219561906662</v>
      </c>
      <c r="EW118" s="2402">
        <f t="shared" si="514"/>
        <v>9543.8628464097128</v>
      </c>
      <c r="EX118" s="2402">
        <f t="shared" si="514"/>
        <v>9543.8628464097128</v>
      </c>
      <c r="EY118" s="2402">
        <f t="shared" ref="EY118" si="518">EY29-EY99</f>
        <v>9591.5821606417594</v>
      </c>
      <c r="EZ118" s="175"/>
      <c r="FA118" s="1319">
        <f>(EV118/EK118)^(1/3)-1</f>
        <v>2.1378227734811794E-3</v>
      </c>
      <c r="FB118" s="1319">
        <f>(EX118/EK118)^(1/5)-1</f>
        <v>2.7885503732072436E-4</v>
      </c>
    </row>
    <row r="119" spans="1:158" s="183" customFormat="1" ht="11.25" customHeight="1">
      <c r="A119" s="5634" t="s">
        <v>45</v>
      </c>
      <c r="B119" s="181"/>
      <c r="C119" s="181"/>
      <c r="D119" s="181"/>
      <c r="E119" s="182"/>
      <c r="F119" s="4242"/>
      <c r="G119" s="181"/>
      <c r="H119" s="181"/>
      <c r="I119" s="181"/>
      <c r="J119" s="181"/>
      <c r="K119" s="991"/>
      <c r="L119" s="181"/>
      <c r="M119" s="181"/>
      <c r="N119" s="181"/>
      <c r="O119" s="181"/>
      <c r="P119" s="991" t="s">
        <v>116</v>
      </c>
      <c r="Q119" s="1224" t="s">
        <v>116</v>
      </c>
      <c r="R119" s="181" t="s">
        <v>116</v>
      </c>
      <c r="S119" s="181" t="s">
        <v>116</v>
      </c>
      <c r="T119" s="181" t="s">
        <v>116</v>
      </c>
      <c r="U119" s="991" t="s">
        <v>116</v>
      </c>
      <c r="V119" s="1224" t="s">
        <v>116</v>
      </c>
      <c r="W119" s="169">
        <f>+W118/R118-1</f>
        <v>21.858385430823493</v>
      </c>
      <c r="X119" s="169">
        <f>+X118/S118-1</f>
        <v>11.958792404808905</v>
      </c>
      <c r="Y119" s="169">
        <f>+Y118/T118-1</f>
        <v>5.3635191739402446</v>
      </c>
      <c r="Z119" s="991">
        <f>+Z118/U118-1</f>
        <v>9.8156193705626826</v>
      </c>
      <c r="AA119" s="1226">
        <f>+AA118/V118-1</f>
        <v>4.6597817263461696</v>
      </c>
      <c r="AB119" s="169">
        <f t="shared" ref="AB119:AJ119" si="519">+AB118/W118-1</f>
        <v>2.2910958904109591</v>
      </c>
      <c r="AC119" s="169">
        <f t="shared" si="519"/>
        <v>1.6294537584391269</v>
      </c>
      <c r="AD119" s="169">
        <f t="shared" si="519"/>
        <v>1.8792502179598931</v>
      </c>
      <c r="AE119" s="991">
        <f t="shared" si="519"/>
        <v>2.1903259623580582</v>
      </c>
      <c r="AF119" s="1226">
        <f t="shared" si="519"/>
        <v>1.2391968127490038</v>
      </c>
      <c r="AG119" s="169">
        <f t="shared" si="519"/>
        <v>1.2393051219794184</v>
      </c>
      <c r="AH119" s="169">
        <f t="shared" si="519"/>
        <v>1.0836855036855022</v>
      </c>
      <c r="AI119" s="169">
        <f t="shared" si="519"/>
        <v>0.76228347508572036</v>
      </c>
      <c r="AJ119" s="991">
        <f t="shared" si="519"/>
        <v>1.0358926010435265</v>
      </c>
      <c r="AK119" s="1226">
        <f t="shared" ref="AK119:AT119" si="520">+AK118/AF118-1</f>
        <v>0.69419029020081191</v>
      </c>
      <c r="AL119" s="169">
        <f t="shared" si="520"/>
        <v>0.60155412993249091</v>
      </c>
      <c r="AM119" s="169">
        <f t="shared" si="520"/>
        <v>0.51379619366554241</v>
      </c>
      <c r="AN119" s="184">
        <f t="shared" si="520"/>
        <v>0.42637887991590695</v>
      </c>
      <c r="AO119" s="991">
        <f t="shared" si="520"/>
        <v>0.54644843527695319</v>
      </c>
      <c r="AP119" s="1226">
        <f t="shared" si="520"/>
        <v>0.23256038647342958</v>
      </c>
      <c r="AQ119" s="169">
        <f t="shared" si="520"/>
        <v>0.17282025243000154</v>
      </c>
      <c r="AR119" s="169">
        <f t="shared" si="520"/>
        <v>0.32019644957508664</v>
      </c>
      <c r="AS119" s="184">
        <f t="shared" si="520"/>
        <v>0.13868251083263416</v>
      </c>
      <c r="AT119" s="991">
        <f t="shared" si="520"/>
        <v>0.2142030130559256</v>
      </c>
      <c r="AU119" s="1226">
        <f t="shared" ref="AU119:BD119" si="521">+AU118/AP118-1</f>
        <v>0.16855537113468944</v>
      </c>
      <c r="AV119" s="169">
        <f t="shared" si="521"/>
        <v>0.15361488216112984</v>
      </c>
      <c r="AW119" s="169">
        <f t="shared" si="521"/>
        <v>3.6829109274835181E-2</v>
      </c>
      <c r="AX119" s="184">
        <f t="shared" si="521"/>
        <v>0.2449687608901272</v>
      </c>
      <c r="AY119" s="991">
        <f t="shared" si="521"/>
        <v>0.14892107772530094</v>
      </c>
      <c r="AZ119" s="1226">
        <f t="shared" si="521"/>
        <v>0.1928298728078226</v>
      </c>
      <c r="BA119" s="169">
        <f t="shared" si="521"/>
        <v>0.33480073866682525</v>
      </c>
      <c r="BB119" s="169">
        <f t="shared" si="521"/>
        <v>0.33921554679830979</v>
      </c>
      <c r="BC119" s="184">
        <f t="shared" si="521"/>
        <v>0.43184970621533747</v>
      </c>
      <c r="BD119" s="991">
        <f t="shared" si="521"/>
        <v>0.32900149281386648</v>
      </c>
      <c r="BE119" s="1226">
        <f t="shared" ref="BE119:BN119" si="522">+BE118/AZ118-1</f>
        <v>0.44260627607082959</v>
      </c>
      <c r="BF119" s="169">
        <f t="shared" si="522"/>
        <v>0.33884939283180038</v>
      </c>
      <c r="BG119" s="169">
        <f t="shared" si="522"/>
        <v>0.44261208394769991</v>
      </c>
      <c r="BH119" s="184">
        <f t="shared" si="522"/>
        <v>0.32480154158725005</v>
      </c>
      <c r="BI119" s="991">
        <f t="shared" si="522"/>
        <v>0.38263540409466401</v>
      </c>
      <c r="BJ119" s="1226">
        <f t="shared" si="522"/>
        <v>0.23050847457627111</v>
      </c>
      <c r="BK119" s="169">
        <f t="shared" si="522"/>
        <v>0.21500000000000008</v>
      </c>
      <c r="BL119" s="169">
        <f t="shared" si="522"/>
        <v>0.13107511045655373</v>
      </c>
      <c r="BM119" s="169">
        <f t="shared" si="522"/>
        <v>0.14888010540184449</v>
      </c>
      <c r="BN119" s="991">
        <f t="shared" si="522"/>
        <v>0.17770167427701677</v>
      </c>
      <c r="BO119" s="181"/>
      <c r="BP119" s="181"/>
      <c r="BQ119" s="181"/>
      <c r="BR119" s="181"/>
      <c r="BS119" s="599"/>
      <c r="BT119" s="169">
        <f>+BT118/BJ118-1</f>
        <v>0.19972451790633605</v>
      </c>
      <c r="BU119" s="169">
        <f>+BU118/BK118-1</f>
        <v>0.22085048010973929</v>
      </c>
      <c r="BV119" s="169">
        <f>+BV118/BL118-1</f>
        <v>0.19661458333333326</v>
      </c>
      <c r="BW119" s="169">
        <f>+BW118/BM118-1</f>
        <v>0.1353211009174311</v>
      </c>
      <c r="BX119" s="991">
        <f>+BX118/BN118-1</f>
        <v>0.18578352180936997</v>
      </c>
      <c r="BY119" s="181"/>
      <c r="BZ119" s="181"/>
      <c r="CA119" s="181"/>
      <c r="CB119" s="181"/>
      <c r="CC119" s="599"/>
      <c r="CD119" s="576">
        <f>+CD118/BT118-1</f>
        <v>0.27324913892078073</v>
      </c>
      <c r="CE119" s="169">
        <f>+CE118/BU118-1</f>
        <v>0.13146067415730345</v>
      </c>
      <c r="CF119" s="169">
        <f>+CF118/BV118-1</f>
        <v>0.15342763873775844</v>
      </c>
      <c r="CG119" s="169">
        <f>+CG118/BW118-1</f>
        <v>0.19393939393939386</v>
      </c>
      <c r="CH119" s="991">
        <f>+CH118/BX118-1</f>
        <v>0.18746594005449602</v>
      </c>
      <c r="CI119" s="551">
        <f t="shared" ref="CI119:CQ119" si="523">+CI118/CD118-1</f>
        <v>2.8854824165915227E-2</v>
      </c>
      <c r="CJ119" s="169">
        <f t="shared" si="523"/>
        <v>0.15491559086395235</v>
      </c>
      <c r="CK119" s="169">
        <f t="shared" si="523"/>
        <v>8.2075471698113134E-2</v>
      </c>
      <c r="CL119" s="169">
        <f t="shared" si="523"/>
        <v>3.891708967851093E-2</v>
      </c>
      <c r="CM119" s="991">
        <f t="shared" si="523"/>
        <v>7.3657641119779793E-2</v>
      </c>
      <c r="CN119" s="181">
        <f t="shared" si="523"/>
        <v>2.6292725679228912E-3</v>
      </c>
      <c r="CO119" s="181">
        <f t="shared" ref="CO119:CY119" si="524">+CO118/CJ118-1</f>
        <v>2.2355975924333693E-2</v>
      </c>
      <c r="CP119" s="169">
        <f t="shared" si="523"/>
        <v>2.8770706190061057E-2</v>
      </c>
      <c r="CQ119" s="169">
        <f t="shared" si="523"/>
        <v>4.0716612377850181E-2</v>
      </c>
      <c r="CR119" s="991">
        <f t="shared" si="524"/>
        <v>2.3936738619363185E-2</v>
      </c>
      <c r="CS119" s="181">
        <f t="shared" si="524"/>
        <v>-2.0104895104895104E-2</v>
      </c>
      <c r="CT119" s="181">
        <f t="shared" si="524"/>
        <v>-5.8031959629941121E-2</v>
      </c>
      <c r="CU119" s="181">
        <f t="shared" si="524"/>
        <v>-6.0169491525423724E-2</v>
      </c>
      <c r="CV119" s="181">
        <f t="shared" si="524"/>
        <v>5.555555555555558E-2</v>
      </c>
      <c r="CW119" s="991">
        <f t="shared" si="524"/>
        <v>-1.9202671676059269E-2</v>
      </c>
      <c r="CX119" s="181">
        <f t="shared" si="524"/>
        <v>5.6199821587868071E-2</v>
      </c>
      <c r="CY119" s="181">
        <f t="shared" si="524"/>
        <v>7.5892857142857206E-2</v>
      </c>
      <c r="CZ119" s="181">
        <f t="shared" ref="CZ119:DS119" si="525">+CZ118/CU118-1</f>
        <v>0.11902614968440028</v>
      </c>
      <c r="DA119" s="181">
        <f t="shared" si="525"/>
        <v>-2.4462564862861358E-2</v>
      </c>
      <c r="DB119" s="991">
        <f t="shared" si="525"/>
        <v>5.8735901255586365E-2</v>
      </c>
      <c r="DC119" s="181">
        <f t="shared" si="525"/>
        <v>6.25E-2</v>
      </c>
      <c r="DD119" s="181">
        <f t="shared" si="525"/>
        <v>0.17344398340248968</v>
      </c>
      <c r="DE119" s="181">
        <f t="shared" si="525"/>
        <v>0.1869460112812249</v>
      </c>
      <c r="DF119" s="181">
        <f t="shared" si="525"/>
        <v>0.26367781155015191</v>
      </c>
      <c r="DG119" s="991">
        <f t="shared" si="525"/>
        <v>0.17708542713567832</v>
      </c>
      <c r="DH119" s="181">
        <f t="shared" si="525"/>
        <v>0.22257551669316378</v>
      </c>
      <c r="DI119" s="181">
        <f t="shared" si="525"/>
        <v>0.15134370579915135</v>
      </c>
      <c r="DJ119" s="181">
        <f t="shared" si="525"/>
        <v>9.775967413441955E-2</v>
      </c>
      <c r="DK119" s="181">
        <f t="shared" si="525"/>
        <v>0.10142333132892389</v>
      </c>
      <c r="DL119" s="991">
        <f t="shared" si="525"/>
        <v>0.12955379098360686</v>
      </c>
      <c r="DM119" s="181">
        <f t="shared" si="525"/>
        <v>2.3218725617685232E-2</v>
      </c>
      <c r="DN119" s="181">
        <f t="shared" si="525"/>
        <v>-9.9612162162162177E-2</v>
      </c>
      <c r="DO119" s="181">
        <f t="shared" si="525"/>
        <v>0.10972047000618401</v>
      </c>
      <c r="DP119" s="181">
        <f t="shared" si="525"/>
        <v>0.1885850430236502</v>
      </c>
      <c r="DQ119" s="991">
        <f t="shared" si="525"/>
        <v>5.9925133041466738E-2</v>
      </c>
      <c r="DR119" s="181">
        <f>+DR118/DM118-1</f>
        <v>0.32997977264431877</v>
      </c>
      <c r="DS119" s="181">
        <f t="shared" si="525"/>
        <v>0.63947913791449662</v>
      </c>
      <c r="DT119" s="181">
        <f t="shared" ref="DT119:EC119" si="526">+DT118/DO118-1</f>
        <v>0.44231890228475246</v>
      </c>
      <c r="DU119" s="181">
        <f t="shared" si="526"/>
        <v>0.35856155826212177</v>
      </c>
      <c r="DV119" s="991">
        <f t="shared" si="526"/>
        <v>0.43231569049311513</v>
      </c>
      <c r="DW119" s="181">
        <f t="shared" si="526"/>
        <v>0.19592327387968411</v>
      </c>
      <c r="DX119" s="181">
        <f t="shared" si="526"/>
        <v>8.5276173435419489E-2</v>
      </c>
      <c r="DY119" s="181">
        <f t="shared" si="526"/>
        <v>-2.2304581351040853E-2</v>
      </c>
      <c r="DZ119" s="181">
        <f t="shared" si="526"/>
        <v>-9.7570336004484615E-2</v>
      </c>
      <c r="EA119" s="991">
        <f t="shared" si="526"/>
        <v>2.6756676270791147E-2</v>
      </c>
      <c r="EB119" s="181">
        <f t="shared" si="526"/>
        <v>-8.5546274955844437E-2</v>
      </c>
      <c r="EC119" s="181">
        <f t="shared" si="526"/>
        <v>-6.431187610368605E-2</v>
      </c>
      <c r="ED119" s="181">
        <f t="shared" ref="ED119:EN119" si="527">+ED118/DY118-1</f>
        <v>-7.4992214657308987E-3</v>
      </c>
      <c r="EE119" s="181">
        <f t="shared" si="527"/>
        <v>-3.6974017435804529E-2</v>
      </c>
      <c r="EF119" s="991">
        <f t="shared" si="527"/>
        <v>-4.8447282268858416E-2</v>
      </c>
      <c r="EG119" s="181">
        <f t="shared" si="527"/>
        <v>5.1066986127131342E-2</v>
      </c>
      <c r="EH119" s="181">
        <f t="shared" si="527"/>
        <v>-7.5963152949907409E-2</v>
      </c>
      <c r="EI119" s="181">
        <f t="shared" si="527"/>
        <v>-5.5273510603563447E-2</v>
      </c>
      <c r="EJ119" s="181">
        <f t="shared" si="527"/>
        <v>-2.8528500957033742E-2</v>
      </c>
      <c r="EK119" s="991">
        <f t="shared" si="527"/>
        <v>-2.8603726339729296E-2</v>
      </c>
      <c r="EL119" s="181">
        <f t="shared" si="527"/>
        <v>-1.0383933707757143E-2</v>
      </c>
      <c r="EM119" s="181">
        <f t="shared" si="527"/>
        <v>-6.3817587508060436E-3</v>
      </c>
      <c r="EN119" s="181">
        <f t="shared" si="527"/>
        <v>4.9630680201719457E-2</v>
      </c>
      <c r="EO119" s="181">
        <f t="shared" ref="EO119:EP119" si="528">+EO118/EJ118-1</f>
        <v>2.8582629744417165E-2</v>
      </c>
      <c r="EP119" s="991">
        <f t="shared" si="528"/>
        <v>1.571312016927795E-2</v>
      </c>
      <c r="EQ119" s="181">
        <f t="shared" ref="EQ119" si="529">+EQ118/EL118-1</f>
        <v>1.6570450201620401E-2</v>
      </c>
      <c r="ER119" s="181">
        <f t="shared" ref="ER119" si="530">+ER118/EM118-1</f>
        <v>6.7613189489202474E-2</v>
      </c>
      <c r="ES119" s="181">
        <f t="shared" ref="ES119" si="531">+ES118/EN118-1</f>
        <v>-5.0615329336808124E-2</v>
      </c>
      <c r="ET119" s="181">
        <f t="shared" ref="ET119:EU119" si="532">+ET118/EO118-1</f>
        <v>-2.2001568226870161E-2</v>
      </c>
      <c r="EU119" s="991">
        <f t="shared" si="532"/>
        <v>8.6638634895619404E-4</v>
      </c>
      <c r="EV119" s="599">
        <f>+EV118/EU118-1</f>
        <v>-9.9999999999998979E-3</v>
      </c>
      <c r="EW119" s="599">
        <f>+EW118/EV118-1</f>
        <v>-5.0000000000000044E-3</v>
      </c>
      <c r="EX119" s="599">
        <f>+EX118/EW118-1</f>
        <v>0</v>
      </c>
      <c r="EY119" s="599">
        <f>+EY118/EX118-1</f>
        <v>4.9999999999998934E-3</v>
      </c>
      <c r="EZ119" s="169"/>
      <c r="FA119" s="725"/>
      <c r="FB119" s="725"/>
    </row>
    <row r="120" spans="1:158" s="77" customFormat="1" ht="11.25" hidden="1" customHeight="1" outlineLevel="1">
      <c r="A120" s="5634" t="s">
        <v>46</v>
      </c>
      <c r="B120" s="2612"/>
      <c r="C120" s="169"/>
      <c r="D120" s="169"/>
      <c r="E120" s="169"/>
      <c r="F120" s="5088"/>
      <c r="G120" s="2612"/>
      <c r="H120" s="169"/>
      <c r="I120" s="169"/>
      <c r="J120" s="169"/>
      <c r="K120" s="1219"/>
      <c r="L120" s="169"/>
      <c r="M120" s="169"/>
      <c r="N120" s="169"/>
      <c r="O120" s="169"/>
      <c r="P120" s="1001"/>
      <c r="Q120" s="1226" t="s">
        <v>116</v>
      </c>
      <c r="R120" s="181" t="s">
        <v>116</v>
      </c>
      <c r="S120" s="169">
        <f>+S118/R118-1</f>
        <v>1.5973144876325054</v>
      </c>
      <c r="T120" s="169">
        <f>+T118/S118-1</f>
        <v>1.5653737316231693</v>
      </c>
      <c r="U120" s="1001"/>
      <c r="V120" s="1226">
        <f>+V118/T118-1</f>
        <v>0.80912705988705769</v>
      </c>
      <c r="W120" s="169">
        <f>+W118/V118-1</f>
        <v>0.89627491656895408</v>
      </c>
      <c r="X120" s="169">
        <f>+X118/W118-1</f>
        <v>0.47246004566209998</v>
      </c>
      <c r="Y120" s="169">
        <f>+Y118/X118-1</f>
        <v>0.259747391543109</v>
      </c>
      <c r="Z120" s="1001"/>
      <c r="AA120" s="1226">
        <f>+AA118/Y118-1</f>
        <v>0.60905687471152281</v>
      </c>
      <c r="AB120" s="169">
        <f>+AB118/AA118-1</f>
        <v>0.10266135458167347</v>
      </c>
      <c r="AC120" s="169">
        <f>+AC118/AB118-1</f>
        <v>0.17643658226384584</v>
      </c>
      <c r="AD120" s="169">
        <f>+AD118/AC118-1</f>
        <v>0.37942260442260345</v>
      </c>
      <c r="AE120" s="1001"/>
      <c r="AF120" s="1226">
        <f>+AF118/AD118-1</f>
        <v>0.25136572115598721</v>
      </c>
      <c r="AG120" s="169">
        <f>+AG118/AF118-1</f>
        <v>0.1027146899571274</v>
      </c>
      <c r="AH120" s="169">
        <f>+AH118/AG118-1</f>
        <v>9.468059015631658E-2</v>
      </c>
      <c r="AI120" s="169">
        <f>+AI118/AH118-1</f>
        <v>0.16665094450864371</v>
      </c>
      <c r="AJ120" s="1001"/>
      <c r="AK120" s="1226">
        <f>+AK118/AI118-1</f>
        <v>0.20301397830986723</v>
      </c>
      <c r="AL120" s="169">
        <f>+AL118/AK118-1</f>
        <v>4.2419659735349446E-2</v>
      </c>
      <c r="AM120" s="169">
        <f>+AM118/AL118-1</f>
        <v>3.4697035640021356E-2</v>
      </c>
      <c r="AN120" s="184">
        <f>+AN118/AM118-1</f>
        <v>9.9280256116654586E-2</v>
      </c>
      <c r="AO120" s="1001"/>
      <c r="AP120" s="1226">
        <f>+AP118/AN118-1</f>
        <v>3.9546641440713515E-2</v>
      </c>
      <c r="AQ120" s="169">
        <f>+AQ118/AP118-1</f>
        <v>-8.1046722856332742E-3</v>
      </c>
      <c r="AR120" s="169">
        <f>+AR118/AQ118-1</f>
        <v>0.16471671597379034</v>
      </c>
      <c r="AS120" s="184">
        <f>+AS118/AR118-1</f>
        <v>-5.1859893619218056E-2</v>
      </c>
      <c r="AT120" s="1001"/>
      <c r="AU120" s="1226">
        <f>+AU118/AS118-1</f>
        <v>6.6818713595858448E-2</v>
      </c>
      <c r="AV120" s="169">
        <f>+AV118/AU118-1</f>
        <v>-2.0786485721869363E-2</v>
      </c>
      <c r="AW120" s="169">
        <f>+AW118/AV118-1</f>
        <v>4.680705307678612E-2</v>
      </c>
      <c r="AX120" s="184">
        <f>+AX118/AW118-1</f>
        <v>0.13847576503392944</v>
      </c>
      <c r="AY120" s="1001"/>
      <c r="AZ120" s="1226">
        <f>+AZ118/AX118-1</f>
        <v>2.2140691737291274E-2</v>
      </c>
      <c r="BA120" s="169">
        <f>+BA118/AZ118-1</f>
        <v>9.575971558650509E-2</v>
      </c>
      <c r="BB120" s="169">
        <f>+BB118/BA118-1</f>
        <v>5.0269331869525313E-2</v>
      </c>
      <c r="BC120" s="184">
        <f>+BC118/BB118-1</f>
        <v>0.21722466080556613</v>
      </c>
      <c r="BD120" s="1001"/>
      <c r="BE120" s="1226">
        <f>+BE118/BC118-1</f>
        <v>2.9819380153461861E-2</v>
      </c>
      <c r="BF120" s="169">
        <f>+BF118/BE118-1</f>
        <v>1.6949152542372836E-2</v>
      </c>
      <c r="BG120" s="169">
        <f>+BG118/BF118-1</f>
        <v>0.1316666666666666</v>
      </c>
      <c r="BH120" s="184">
        <f>+BH118/BG118-1</f>
        <v>0.11782032400589104</v>
      </c>
      <c r="BI120" s="1001"/>
      <c r="BJ120" s="1226">
        <f>+BJ118/BH118-1</f>
        <v>-4.3478260869565188E-2</v>
      </c>
      <c r="BK120" s="169">
        <f>+BK118/BJ118-1</f>
        <v>4.1322314049587749E-3</v>
      </c>
      <c r="BL120" s="169">
        <f>+BL118/BK118-1</f>
        <v>5.3497942386831365E-2</v>
      </c>
      <c r="BM120" s="169">
        <f>+BM118/BL118-1</f>
        <v>0.13541666666666674</v>
      </c>
      <c r="BN120" s="1001"/>
      <c r="BO120" s="42"/>
      <c r="BP120" s="42"/>
      <c r="BQ120" s="42"/>
      <c r="BR120" s="42"/>
      <c r="BS120" s="597"/>
      <c r="BT120" s="169">
        <f>+BT118/BM118-1</f>
        <v>-1.1467889908256534E-3</v>
      </c>
      <c r="BU120" s="169">
        <f>+BU118/BT118-1</f>
        <v>2.1814006888633664E-2</v>
      </c>
      <c r="BV120" s="169">
        <f>+BV118/BU118-1</f>
        <v>3.2584269662921272E-2</v>
      </c>
      <c r="BW120" s="169">
        <f>+BW118/BV118-1</f>
        <v>7.7257889009793246E-2</v>
      </c>
      <c r="BX120" s="1001"/>
      <c r="BY120" s="42"/>
      <c r="BZ120" s="42"/>
      <c r="CA120" s="42"/>
      <c r="CB120" s="42"/>
      <c r="CC120" s="597"/>
      <c r="CD120" s="576">
        <f>+CD118/BW118-1</f>
        <v>0.1202020202020202</v>
      </c>
      <c r="CE120" s="169">
        <f>+CE118/CD118-1</f>
        <v>-9.1974752028854856E-2</v>
      </c>
      <c r="CF120" s="169">
        <f>+CF118/CE118-1</f>
        <v>5.2631578947368363E-2</v>
      </c>
      <c r="CG120" s="169">
        <f>+CG118/CF118-1</f>
        <v>0.11509433962264159</v>
      </c>
      <c r="CH120" s="1001"/>
      <c r="CI120" s="169">
        <f>+CI118/CG118-1</f>
        <v>-3.4686971235194597E-2</v>
      </c>
      <c r="CJ120" s="169">
        <f>+CJ118/CI118-1</f>
        <v>1.9281332164767795E-2</v>
      </c>
      <c r="CK120" s="169">
        <f>+CK118/CJ118-1</f>
        <v>-1.3757523645743786E-2</v>
      </c>
      <c r="CL120" s="169">
        <f>+CL118/CK118-1</f>
        <v>7.061900610287708E-2</v>
      </c>
      <c r="CM120" s="1001"/>
      <c r="CN120" s="169">
        <f>+CN118/CL118-1</f>
        <v>-6.8403908794788304E-2</v>
      </c>
      <c r="CO120" s="169">
        <f>+CO118/CN118-1</f>
        <v>3.9335664335664378E-2</v>
      </c>
      <c r="CP120" s="169">
        <f>+CP118/CO118-1</f>
        <v>-7.569386038687953E-3</v>
      </c>
      <c r="CQ120" s="169">
        <f>+CQ118/CP118-1</f>
        <v>8.3050847457627031E-2</v>
      </c>
      <c r="CR120" s="1001"/>
      <c r="CS120" s="169">
        <f>+CS118/CQ118-1</f>
        <v>-0.12284820031298904</v>
      </c>
      <c r="CT120" s="169">
        <f>+CT118/CS118-1</f>
        <v>-8.9206066012492702E-4</v>
      </c>
      <c r="CU120" s="169">
        <f>+CU118/CT118-1</f>
        <v>-9.8214285714285365E-3</v>
      </c>
      <c r="CV120" s="169">
        <f>+CV118/CU118-1</f>
        <v>0.21641118124436431</v>
      </c>
      <c r="CW120" s="1001"/>
      <c r="CX120" s="169">
        <f>+CX118/CV118-1</f>
        <v>-0.1223128243143069</v>
      </c>
      <c r="CY120" s="169">
        <f>+CY118/CX118-1</f>
        <v>1.7736486486486402E-2</v>
      </c>
      <c r="CZ120" s="169">
        <f>+CZ118/CY118-1</f>
        <v>2.9875518672199064E-2</v>
      </c>
      <c r="DA120" s="169">
        <f>+DA118/CZ118-1</f>
        <v>6.0435132957292526E-2</v>
      </c>
      <c r="DB120" s="1001"/>
      <c r="DC120" s="2612">
        <f>+DC118/DA118-1</f>
        <v>-4.4072948328267469E-2</v>
      </c>
      <c r="DD120" s="2612">
        <f>+DD118/DC118-1</f>
        <v>0.12400635930047699</v>
      </c>
      <c r="DE120" s="2612">
        <f>+DE118/DD118-1</f>
        <v>4.1725601131541667E-2</v>
      </c>
      <c r="DF120" s="2612">
        <f>+DF118/DE118-1</f>
        <v>0.12898845892735911</v>
      </c>
      <c r="DG120" s="1001"/>
      <c r="DH120" s="2612">
        <f>+DH118/DF118-1</f>
        <v>-7.5165363800360763E-2</v>
      </c>
      <c r="DI120" s="2612">
        <f>+DI118/DH118-1</f>
        <v>5.8517555266579979E-2</v>
      </c>
      <c r="DJ120" s="2612">
        <f>+DJ118/DI118-1</f>
        <v>-6.7567567567567988E-3</v>
      </c>
      <c r="DK120" s="2612">
        <f>+DK118/DJ118-1</f>
        <v>0.13275633889919636</v>
      </c>
      <c r="DL120" s="1001"/>
      <c r="DM120" s="2612">
        <f>+DM118/DK118-1</f>
        <v>-0.14083160312436727</v>
      </c>
      <c r="DN120" s="2612">
        <f>+DN118/DM118-1</f>
        <v>-6.855073207878648E-2</v>
      </c>
      <c r="DO120" s="2612">
        <f>+DO118/DN118-1</f>
        <v>0.22416397956818201</v>
      </c>
      <c r="DP120" s="2612">
        <f>+DP118/DO118-1</f>
        <v>0.21325800343063928</v>
      </c>
      <c r="DQ120" s="1001"/>
      <c r="DR120" s="2612">
        <f>+DR118/DP118-1</f>
        <v>-3.8624458681581153E-2</v>
      </c>
      <c r="DS120" s="2612">
        <f>+DS118/DR118-1</f>
        <v>0.14820666764452817</v>
      </c>
      <c r="DT120" s="2612">
        <f>+DT118/DS118-1</f>
        <v>7.6948651797603462E-2</v>
      </c>
      <c r="DU120" s="2612">
        <f>+DU118/DT118-1</f>
        <v>0.14280252522774206</v>
      </c>
      <c r="DV120" s="1001"/>
      <c r="DW120" s="2612">
        <f>+DW118/DU118-1</f>
        <v>-0.15371417819880118</v>
      </c>
      <c r="DX120" s="2612">
        <f>+DX118/DW118-1</f>
        <v>4.1974318746851313E-2</v>
      </c>
      <c r="DY120" s="2612">
        <f>+DY118/DX118-1</f>
        <v>-2.9806616273838515E-2</v>
      </c>
      <c r="DZ120" s="2612">
        <f>+DZ118/DY118-1</f>
        <v>5.4826359194370733E-2</v>
      </c>
      <c r="EA120" s="1001"/>
      <c r="EB120" s="2612">
        <f>+EB118/DZ118-1</f>
        <v>-0.14243818319118717</v>
      </c>
      <c r="EC120" s="2612">
        <f>+EC118/EB118-1</f>
        <v>6.6169855023887392E-2</v>
      </c>
      <c r="ED120" s="2612">
        <f>+ED118/EC118-1</f>
        <v>2.9101111882569475E-2</v>
      </c>
      <c r="EE120" s="2612">
        <f>+EE118/ED118-1</f>
        <v>2.3500649035206322E-2</v>
      </c>
      <c r="EF120" s="1001"/>
      <c r="EG120" s="2612">
        <f>+EG118/EE118-1</f>
        <v>-6.4038841599103447E-2</v>
      </c>
      <c r="EH120" s="2612">
        <f>+EH118/EG118-1</f>
        <v>-6.2685590681310632E-2</v>
      </c>
      <c r="EI120" s="2612">
        <f>+EI118/EH118-1</f>
        <v>5.2143195118803387E-2</v>
      </c>
      <c r="EJ120" s="2612">
        <f>+EJ118/EI118-1</f>
        <v>5.2475738692281837E-2</v>
      </c>
      <c r="EK120" s="1001"/>
      <c r="EL120" s="2612">
        <f>+EL118/EJ118-1</f>
        <v>-4.6557515386192239E-2</v>
      </c>
      <c r="EM120" s="2612">
        <f>+EM118/EL118-1</f>
        <v>-5.889493248209654E-2</v>
      </c>
      <c r="EN120" s="2612">
        <f>+EN118/EM118-1</f>
        <v>0.1114548140478353</v>
      </c>
      <c r="EO120" s="2612">
        <f>+EO118/EN118-1</f>
        <v>3.1370636801753449E-2</v>
      </c>
      <c r="EP120" s="1001"/>
      <c r="EQ120" s="2612">
        <f>+EQ118/EO118-1</f>
        <v>-5.7692179707479863E-2</v>
      </c>
      <c r="ER120" s="2612">
        <f>+ER118/EQ118-1</f>
        <v>-1.1641364769193308E-2</v>
      </c>
      <c r="ES120" s="2612">
        <f>+ES118/ER118-1</f>
        <v>-1.1628768752209973E-2</v>
      </c>
      <c r="ET120" s="2612">
        <f>+ET118/ES118-1</f>
        <v>6.2455395097497535E-2</v>
      </c>
      <c r="EU120" s="1001"/>
      <c r="EV120" s="597"/>
      <c r="EW120" s="597"/>
      <c r="EX120" s="597"/>
      <c r="EY120" s="597"/>
      <c r="EZ120" s="42"/>
      <c r="FA120" s="725"/>
      <c r="FB120" s="725"/>
    </row>
    <row r="121" spans="1:158" s="168" customFormat="1" ht="11.25" customHeight="1" collapsed="1">
      <c r="A121" s="3555" t="s">
        <v>643</v>
      </c>
      <c r="B121" s="3013"/>
      <c r="C121" s="3013"/>
      <c r="D121" s="3013"/>
      <c r="E121" s="3013"/>
      <c r="F121" s="5593"/>
      <c r="G121" s="3013"/>
      <c r="H121" s="3013"/>
      <c r="I121" s="3013"/>
      <c r="J121" s="3013"/>
      <c r="K121" s="3014"/>
      <c r="L121" s="3013"/>
      <c r="M121" s="3013"/>
      <c r="N121" s="3013"/>
      <c r="O121" s="3045"/>
      <c r="P121" s="3014">
        <f>P115+P118</f>
        <v>66.932000000000002</v>
      </c>
      <c r="Q121" s="3012">
        <f>Q115+Q118</f>
        <v>37.210799999999999</v>
      </c>
      <c r="R121" s="3013">
        <f>R115+R118</f>
        <v>57.457750000000004</v>
      </c>
      <c r="S121" s="3013">
        <f>S115+S118</f>
        <v>93.939780000000013</v>
      </c>
      <c r="T121" s="3045">
        <f>T115+T118</f>
        <v>127.80666999999995</v>
      </c>
      <c r="U121" s="3014">
        <f>SUM(Q121:T121)</f>
        <v>316.41499999999996</v>
      </c>
      <c r="V121" s="3046">
        <f t="shared" ref="V121:BM121" si="533">V115+V118</f>
        <v>168.98700000000002</v>
      </c>
      <c r="W121" s="3013">
        <f t="shared" si="533"/>
        <v>204.126</v>
      </c>
      <c r="X121" s="3013">
        <f t="shared" si="533"/>
        <v>238.196</v>
      </c>
      <c r="Y121" s="3045">
        <f t="shared" si="533"/>
        <v>282.82000000000005</v>
      </c>
      <c r="Z121" s="3014">
        <f t="shared" si="533"/>
        <v>894.13</v>
      </c>
      <c r="AA121" s="3012">
        <f t="shared" si="533"/>
        <v>366.28199999999998</v>
      </c>
      <c r="AB121" s="3013">
        <f t="shared" si="533"/>
        <v>412.63400000000001</v>
      </c>
      <c r="AC121" s="3013">
        <f t="shared" si="533"/>
        <v>493.1</v>
      </c>
      <c r="AD121" s="3045">
        <f t="shared" si="533"/>
        <v>642.673</v>
      </c>
      <c r="AE121" s="3014">
        <f t="shared" si="533"/>
        <v>1914.6889999999999</v>
      </c>
      <c r="AF121" s="3012">
        <f t="shared" si="533"/>
        <v>779.31119999999987</v>
      </c>
      <c r="AG121" s="3013">
        <f t="shared" si="533"/>
        <v>873.11400000000003</v>
      </c>
      <c r="AH121" s="3013">
        <f t="shared" si="533"/>
        <v>1029.7909999999999</v>
      </c>
      <c r="AI121" s="3045">
        <f t="shared" si="533"/>
        <v>1267.886</v>
      </c>
      <c r="AJ121" s="3014">
        <f t="shared" si="533"/>
        <v>3950.1022000000003</v>
      </c>
      <c r="AK121" s="3012">
        <f t="shared" si="533"/>
        <v>1502.9569999999999</v>
      </c>
      <c r="AL121" s="3013">
        <f t="shared" si="533"/>
        <v>1643.8689999999999</v>
      </c>
      <c r="AM121" s="3013">
        <f t="shared" si="533"/>
        <v>1837.7350000000001</v>
      </c>
      <c r="AN121" s="3045">
        <f t="shared" si="533"/>
        <v>2199.3109999999997</v>
      </c>
      <c r="AO121" s="3014">
        <f t="shared" si="533"/>
        <v>7183.8720000000012</v>
      </c>
      <c r="AP121" s="3012">
        <f t="shared" si="533"/>
        <v>2502.4219999999996</v>
      </c>
      <c r="AQ121" s="3013">
        <f t="shared" si="533"/>
        <v>2690.3829999999998</v>
      </c>
      <c r="AR121" s="3013">
        <f t="shared" si="533"/>
        <v>2968.357</v>
      </c>
      <c r="AS121" s="3045">
        <f t="shared" si="533"/>
        <v>3317.5610000000006</v>
      </c>
      <c r="AT121" s="3014">
        <f t="shared" si="533"/>
        <v>11478.723</v>
      </c>
      <c r="AU121" s="3012">
        <f t="shared" si="533"/>
        <v>3600.1620000000003</v>
      </c>
      <c r="AV121" s="3013">
        <f t="shared" si="533"/>
        <v>3711.4449999999997</v>
      </c>
      <c r="AW121" s="3013">
        <f t="shared" si="533"/>
        <v>3856.7659999999996</v>
      </c>
      <c r="AX121" s="3045">
        <f t="shared" si="533"/>
        <v>4021.1890000000003</v>
      </c>
      <c r="AY121" s="3014">
        <f t="shared" si="533"/>
        <v>15189.562</v>
      </c>
      <c r="AZ121" s="3012">
        <f t="shared" si="533"/>
        <v>3894.9049999999997</v>
      </c>
      <c r="BA121" s="3013">
        <f t="shared" si="533"/>
        <v>3882.7740000000003</v>
      </c>
      <c r="BB121" s="3013">
        <f t="shared" si="533"/>
        <v>4197.4050000000007</v>
      </c>
      <c r="BC121" s="3045">
        <f t="shared" si="533"/>
        <v>4744.32</v>
      </c>
      <c r="BD121" s="3014">
        <f t="shared" si="533"/>
        <v>16719.404000000002</v>
      </c>
      <c r="BE121" s="3012">
        <f t="shared" si="533"/>
        <v>4764</v>
      </c>
      <c r="BF121" s="3013">
        <f t="shared" si="533"/>
        <v>4830</v>
      </c>
      <c r="BG121" s="3013">
        <f t="shared" si="533"/>
        <v>5227</v>
      </c>
      <c r="BH121" s="3045">
        <f t="shared" si="533"/>
        <v>6098</v>
      </c>
      <c r="BI121" s="3014">
        <f t="shared" si="533"/>
        <v>20919</v>
      </c>
      <c r="BJ121" s="3012">
        <f t="shared" si="533"/>
        <v>6268</v>
      </c>
      <c r="BK121" s="3013">
        <f t="shared" si="533"/>
        <v>6606</v>
      </c>
      <c r="BL121" s="3013">
        <f t="shared" si="533"/>
        <v>7125</v>
      </c>
      <c r="BM121" s="3013">
        <f t="shared" si="533"/>
        <v>7724</v>
      </c>
      <c r="BN121" s="3014">
        <f>SUM(BJ121:BM121)</f>
        <v>27723</v>
      </c>
      <c r="BO121" s="3013"/>
      <c r="BP121" s="3013"/>
      <c r="BQ121" s="3013"/>
      <c r="BR121" s="3013"/>
      <c r="BS121" s="3047"/>
      <c r="BT121" s="3013">
        <f>BT115+BT118</f>
        <v>7715</v>
      </c>
      <c r="BU121" s="3013">
        <f>BU115+BU118</f>
        <v>7925</v>
      </c>
      <c r="BV121" s="3013">
        <f>BV115+BV118</f>
        <v>8090</v>
      </c>
      <c r="BW121" s="3013">
        <f>BW115+BW118</f>
        <v>8996</v>
      </c>
      <c r="BX121" s="3014">
        <f>SUM(BT121:BW121)</f>
        <v>32726</v>
      </c>
      <c r="BY121" s="3013"/>
      <c r="BZ121" s="3013"/>
      <c r="CA121" s="3013"/>
      <c r="CB121" s="3013"/>
      <c r="CC121" s="3047"/>
      <c r="CD121" s="3048">
        <f>CD115+CD118</f>
        <v>9069</v>
      </c>
      <c r="CE121" s="3013">
        <f>CE115+CE118</f>
        <v>9169</v>
      </c>
      <c r="CF121" s="3013">
        <f>CF115+CF118</f>
        <v>9681</v>
      </c>
      <c r="CG121" s="3013">
        <f>CG115+CG118</f>
        <v>10896</v>
      </c>
      <c r="CH121" s="3014">
        <f>SUM(CD121:CG121)</f>
        <v>38815</v>
      </c>
      <c r="CI121" s="3049">
        <f>CI115+CI118</f>
        <v>10765</v>
      </c>
      <c r="CJ121" s="3013">
        <f>CJ115+CJ118</f>
        <v>11205</v>
      </c>
      <c r="CK121" s="3013">
        <f>CK115+CK118</f>
        <v>11472</v>
      </c>
      <c r="CL121" s="3013">
        <f>CL115+CL118</f>
        <v>12689</v>
      </c>
      <c r="CM121" s="3014">
        <f>SUM(CI121:CL121)</f>
        <v>46131</v>
      </c>
      <c r="CN121" s="3013">
        <f>CN115+CN118</f>
        <v>12163</v>
      </c>
      <c r="CO121" s="3013">
        <f>CO115+CO118</f>
        <v>12646</v>
      </c>
      <c r="CP121" s="3013">
        <f>CP115+CP118</f>
        <v>13215</v>
      </c>
      <c r="CQ121" s="3013">
        <f>CQ115+CQ118</f>
        <v>15023</v>
      </c>
      <c r="CR121" s="3014">
        <f>SUM(CN121:CQ121)</f>
        <v>53047</v>
      </c>
      <c r="CS121" s="3013">
        <f>CS115+CS118</f>
        <v>14232</v>
      </c>
      <c r="CT121" s="3013">
        <f>CT115+CT118</f>
        <v>15168</v>
      </c>
      <c r="CU121" s="3013">
        <f>CU115+CU118</f>
        <v>15639</v>
      </c>
      <c r="CV121" s="3013">
        <f>CV115+CV118</f>
        <v>17551</v>
      </c>
      <c r="CW121" s="3014">
        <f>SUM(CS121:CV121)</f>
        <v>62590</v>
      </c>
      <c r="CX121" s="3013">
        <f t="shared" ref="CX121:EC121" si="534">CX115+CX118</f>
        <v>16782</v>
      </c>
      <c r="CY121" s="3013">
        <f t="shared" si="534"/>
        <v>17581</v>
      </c>
      <c r="CZ121" s="3013">
        <f t="shared" si="534"/>
        <v>18563</v>
      </c>
      <c r="DA121" s="3013">
        <f t="shared" si="534"/>
        <v>20777</v>
      </c>
      <c r="DB121" s="3014">
        <f t="shared" si="534"/>
        <v>73905</v>
      </c>
      <c r="DC121" s="3013">
        <f t="shared" si="534"/>
        <v>20354</v>
      </c>
      <c r="DD121" s="3013">
        <f t="shared" si="534"/>
        <v>21667</v>
      </c>
      <c r="DE121" s="3013">
        <f t="shared" si="534"/>
        <v>22372</v>
      </c>
      <c r="DF121" s="3013">
        <f t="shared" si="534"/>
        <v>25082</v>
      </c>
      <c r="DG121" s="3014">
        <f t="shared" si="534"/>
        <v>89735</v>
      </c>
      <c r="DH121" s="3013">
        <f t="shared" si="534"/>
        <v>23727</v>
      </c>
      <c r="DI121" s="3013">
        <f t="shared" si="534"/>
        <v>25256</v>
      </c>
      <c r="DJ121" s="3013">
        <f t="shared" si="534"/>
        <v>26306</v>
      </c>
      <c r="DK121" s="3013">
        <f t="shared" si="534"/>
        <v>29433</v>
      </c>
      <c r="DL121" s="3014">
        <f t="shared" si="534"/>
        <v>104722</v>
      </c>
      <c r="DM121" s="3013">
        <f t="shared" si="534"/>
        <v>26311</v>
      </c>
      <c r="DN121" s="3013">
        <f t="shared" si="534"/>
        <v>23173</v>
      </c>
      <c r="DO121" s="3013">
        <f t="shared" si="534"/>
        <v>28929</v>
      </c>
      <c r="DP121" s="3013">
        <f t="shared" si="534"/>
        <v>35733</v>
      </c>
      <c r="DQ121" s="3014">
        <f t="shared" si="534"/>
        <v>114146</v>
      </c>
      <c r="DR121" s="3013">
        <f t="shared" si="534"/>
        <v>34972</v>
      </c>
      <c r="DS121" s="3013">
        <f t="shared" si="534"/>
        <v>39515</v>
      </c>
      <c r="DT121" s="3013">
        <f t="shared" si="534"/>
        <v>41632</v>
      </c>
      <c r="DU121" s="3013">
        <f t="shared" si="534"/>
        <v>47812</v>
      </c>
      <c r="DV121" s="3014">
        <f t="shared" si="534"/>
        <v>163931</v>
      </c>
      <c r="DW121" s="3013">
        <f t="shared" si="534"/>
        <v>42671</v>
      </c>
      <c r="DX121" s="3013">
        <f t="shared" si="534"/>
        <v>44074</v>
      </c>
      <c r="DY121" s="3013">
        <f t="shared" si="534"/>
        <v>42656</v>
      </c>
      <c r="DZ121" s="3013">
        <f t="shared" si="534"/>
        <v>46117</v>
      </c>
      <c r="EA121" s="3014">
        <f t="shared" si="534"/>
        <v>175518</v>
      </c>
      <c r="EB121" s="3013">
        <f t="shared" si="534"/>
        <v>42827</v>
      </c>
      <c r="EC121" s="3013">
        <f t="shared" si="534"/>
        <v>45606</v>
      </c>
      <c r="ED121" s="3013">
        <f t="shared" ref="ED121:EX121" si="535">ED115+ED118</f>
        <v>47005</v>
      </c>
      <c r="EE121" s="3013">
        <f t="shared" si="535"/>
        <v>51531</v>
      </c>
      <c r="EF121" s="3014">
        <f t="shared" si="535"/>
        <v>186969</v>
      </c>
      <c r="EG121" s="3013">
        <f t="shared" si="535"/>
        <v>48713</v>
      </c>
      <c r="EH121" s="3013">
        <f t="shared" si="535"/>
        <v>51229</v>
      </c>
      <c r="EI121" s="3013">
        <f t="shared" ref="EI121:EJ121" si="536">EI115+EI118</f>
        <v>52135</v>
      </c>
      <c r="EJ121" s="3013">
        <f t="shared" si="536"/>
        <v>57613</v>
      </c>
      <c r="EK121" s="3014">
        <f t="shared" si="535"/>
        <v>209690</v>
      </c>
      <c r="EL121" s="3013">
        <f t="shared" ref="EL121:EN121" si="537">EL115+EL118</f>
        <v>53137</v>
      </c>
      <c r="EM121" s="3013">
        <f t="shared" si="537"/>
        <v>56635</v>
      </c>
      <c r="EN121" s="3013">
        <f t="shared" si="537"/>
        <v>59306</v>
      </c>
      <c r="EO121" s="3013">
        <f t="shared" si="535"/>
        <v>65331.965803648054</v>
      </c>
      <c r="EP121" s="3014">
        <f t="shared" si="535"/>
        <v>234409.96580364803</v>
      </c>
      <c r="EQ121" s="3013">
        <f t="shared" ref="EQ121:EU121" si="538">EQ115+EQ118</f>
        <v>61125.334132513541</v>
      </c>
      <c r="ER121" s="3013">
        <f t="shared" si="538"/>
        <v>63905.802962556947</v>
      </c>
      <c r="ES121" s="3013">
        <f t="shared" si="538"/>
        <v>65607.486555547584</v>
      </c>
      <c r="ET121" s="3013">
        <f t="shared" si="538"/>
        <v>72476.075474250101</v>
      </c>
      <c r="EU121" s="3014">
        <f t="shared" si="538"/>
        <v>263114.6991248682</v>
      </c>
      <c r="EV121" s="3047">
        <f t="shared" si="535"/>
        <v>288043.02430882637</v>
      </c>
      <c r="EW121" s="3047">
        <f t="shared" si="535"/>
        <v>312820.38941009337</v>
      </c>
      <c r="EX121" s="3047">
        <f t="shared" si="535"/>
        <v>337328.23650963686</v>
      </c>
      <c r="EY121" s="3047">
        <f t="shared" ref="EY121" si="539">EY115+EY118</f>
        <v>362407.89799398521</v>
      </c>
      <c r="EZ121" s="167"/>
      <c r="FA121" s="1319">
        <f>(EV121/EK121)^(1/3)-1</f>
        <v>0.11162903265967428</v>
      </c>
      <c r="FB121" s="1319">
        <f>(EX121/EK121)^(1/5)-1</f>
        <v>9.9752594549072038E-2</v>
      </c>
    </row>
    <row r="122" spans="1:158" s="183" customFormat="1" ht="11.25" customHeight="1">
      <c r="A122" s="5639" t="s">
        <v>45</v>
      </c>
      <c r="B122" s="181"/>
      <c r="C122" s="181"/>
      <c r="D122" s="181"/>
      <c r="E122" s="182"/>
      <c r="F122" s="4242"/>
      <c r="G122" s="181"/>
      <c r="H122" s="181"/>
      <c r="I122" s="181"/>
      <c r="J122" s="181"/>
      <c r="K122" s="991"/>
      <c r="L122" s="181"/>
      <c r="M122" s="181"/>
      <c r="N122" s="181"/>
      <c r="O122" s="181"/>
      <c r="P122" s="991" t="s">
        <v>116</v>
      </c>
      <c r="Q122" s="1224" t="s">
        <v>116</v>
      </c>
      <c r="R122" s="181" t="s">
        <v>116</v>
      </c>
      <c r="S122" s="181" t="s">
        <v>116</v>
      </c>
      <c r="T122" s="181" t="s">
        <v>116</v>
      </c>
      <c r="U122" s="991">
        <f t="shared" ref="U122:AA122" si="540">+U121/P121-1</f>
        <v>3.7274099085639145</v>
      </c>
      <c r="V122" s="1226">
        <f t="shared" si="540"/>
        <v>3.5413428359508536</v>
      </c>
      <c r="W122" s="169">
        <f t="shared" si="540"/>
        <v>2.5526278004272704</v>
      </c>
      <c r="X122" s="169">
        <f t="shared" si="540"/>
        <v>1.5356244181112619</v>
      </c>
      <c r="Y122" s="169">
        <f t="shared" si="540"/>
        <v>1.2128735534694721</v>
      </c>
      <c r="Z122" s="991">
        <f t="shared" si="540"/>
        <v>1.8258141997060826</v>
      </c>
      <c r="AA122" s="1226">
        <f t="shared" si="540"/>
        <v>1.167515844414067</v>
      </c>
      <c r="AB122" s="181">
        <f t="shared" ref="AB122:AJ122" si="541">+AB121/W121-1</f>
        <v>1.021467133045276</v>
      </c>
      <c r="AC122" s="181">
        <f t="shared" si="541"/>
        <v>1.070143915095132</v>
      </c>
      <c r="AD122" s="181">
        <f t="shared" si="541"/>
        <v>1.2723746552577606</v>
      </c>
      <c r="AE122" s="991">
        <f t="shared" si="541"/>
        <v>1.1413989017256996</v>
      </c>
      <c r="AF122" s="1226">
        <f t="shared" si="541"/>
        <v>1.1276262551804344</v>
      </c>
      <c r="AG122" s="181">
        <f t="shared" si="541"/>
        <v>1.115952635992187</v>
      </c>
      <c r="AH122" s="181">
        <f t="shared" si="541"/>
        <v>1.0884019468667612</v>
      </c>
      <c r="AI122" s="181">
        <f t="shared" si="541"/>
        <v>0.97283221793976082</v>
      </c>
      <c r="AJ122" s="991">
        <f t="shared" si="541"/>
        <v>1.0630515974134704</v>
      </c>
      <c r="AK122" s="1224">
        <f t="shared" ref="AK122:AT122" si="542">+AK121/AF121-1</f>
        <v>0.92857102528489288</v>
      </c>
      <c r="AL122" s="181">
        <f t="shared" si="542"/>
        <v>0.88276559532890309</v>
      </c>
      <c r="AM122" s="181">
        <f t="shared" si="542"/>
        <v>0.78457084981321468</v>
      </c>
      <c r="AN122" s="190">
        <f t="shared" si="542"/>
        <v>0.73462834986741687</v>
      </c>
      <c r="AO122" s="991">
        <f t="shared" si="542"/>
        <v>0.81865471733870598</v>
      </c>
      <c r="AP122" s="1224">
        <f t="shared" si="542"/>
        <v>0.66499906517618257</v>
      </c>
      <c r="AQ122" s="181">
        <f t="shared" si="542"/>
        <v>0.63661642138150909</v>
      </c>
      <c r="AR122" s="181">
        <f t="shared" si="542"/>
        <v>0.61522580785586589</v>
      </c>
      <c r="AS122" s="190">
        <f t="shared" si="542"/>
        <v>0.5084546933107692</v>
      </c>
      <c r="AT122" s="991">
        <f t="shared" si="542"/>
        <v>0.59784625895338861</v>
      </c>
      <c r="AU122" s="1224">
        <f t="shared" ref="AU122:BD122" si="543">+AU121/AP121-1</f>
        <v>0.43867101552016452</v>
      </c>
      <c r="AV122" s="181">
        <f t="shared" si="543"/>
        <v>0.37952291551054262</v>
      </c>
      <c r="AW122" s="181">
        <f t="shared" si="543"/>
        <v>0.29929317801059629</v>
      </c>
      <c r="AX122" s="190">
        <f t="shared" si="543"/>
        <v>0.2120919555058669</v>
      </c>
      <c r="AY122" s="991">
        <f t="shared" si="543"/>
        <v>0.3232797759820496</v>
      </c>
      <c r="AZ122" s="1224">
        <f t="shared" si="543"/>
        <v>8.1869371433840987E-2</v>
      </c>
      <c r="BA122" s="181">
        <f t="shared" si="543"/>
        <v>4.6162343777154335E-2</v>
      </c>
      <c r="BB122" s="181">
        <f t="shared" si="543"/>
        <v>8.8322444244737897E-2</v>
      </c>
      <c r="BC122" s="190">
        <f t="shared" si="543"/>
        <v>0.17983014476564008</v>
      </c>
      <c r="BD122" s="991">
        <f t="shared" si="543"/>
        <v>0.10071666319279005</v>
      </c>
      <c r="BE122" s="1224">
        <f t="shared" ref="BE122:BN122" si="544">+BE121/AZ121-1</f>
        <v>0.2231363794495631</v>
      </c>
      <c r="BF122" s="181">
        <f t="shared" si="544"/>
        <v>0.24395599640875298</v>
      </c>
      <c r="BG122" s="181">
        <f t="shared" si="544"/>
        <v>0.24529322283649035</v>
      </c>
      <c r="BH122" s="190">
        <f t="shared" si="544"/>
        <v>0.28532645352758679</v>
      </c>
      <c r="BI122" s="991">
        <f t="shared" si="544"/>
        <v>0.25118096314916483</v>
      </c>
      <c r="BJ122" s="1224">
        <f t="shared" si="544"/>
        <v>0.31570109151973136</v>
      </c>
      <c r="BK122" s="181">
        <f t="shared" si="544"/>
        <v>0.36770186335403721</v>
      </c>
      <c r="BL122" s="181">
        <f t="shared" si="544"/>
        <v>0.3631145972833365</v>
      </c>
      <c r="BM122" s="181">
        <f t="shared" si="544"/>
        <v>0.26664480157428661</v>
      </c>
      <c r="BN122" s="991">
        <f t="shared" si="544"/>
        <v>0.32525455327692532</v>
      </c>
      <c r="BO122" s="181"/>
      <c r="BP122" s="181"/>
      <c r="BQ122" s="181"/>
      <c r="BR122" s="181"/>
      <c r="BS122" s="599"/>
      <c r="BT122" s="181">
        <f>+BT121/BJ121-1</f>
        <v>0.23085513720484996</v>
      </c>
      <c r="BU122" s="181">
        <f>+BU121/BK121-1</f>
        <v>0.19966696942173789</v>
      </c>
      <c r="BV122" s="181">
        <f>+BV121/BL121-1</f>
        <v>0.13543859649122814</v>
      </c>
      <c r="BW122" s="181">
        <f>+BW121/BM121-1</f>
        <v>0.16468151216986016</v>
      </c>
      <c r="BX122" s="991">
        <f>+BX121/BN121-1</f>
        <v>0.18046387476102876</v>
      </c>
      <c r="BY122" s="181"/>
      <c r="BZ122" s="181"/>
      <c r="CA122" s="181"/>
      <c r="CB122" s="181"/>
      <c r="CC122" s="599"/>
      <c r="CD122" s="578">
        <f>+CD121/BT121-1</f>
        <v>0.17550226830848992</v>
      </c>
      <c r="CE122" s="181">
        <f>+CE121/BU121-1</f>
        <v>0.15697160883280747</v>
      </c>
      <c r="CF122" s="181">
        <f>+CF121/BV121-1</f>
        <v>0.19666254635352276</v>
      </c>
      <c r="CG122" s="181">
        <f>+CG121/BW121-1</f>
        <v>0.2112049799911071</v>
      </c>
      <c r="CH122" s="991">
        <f>+CH121/BX121-1</f>
        <v>0.18606001344496725</v>
      </c>
      <c r="CI122" s="551">
        <f t="shared" ref="CI122:CQ122" si="545">+CI121/CD121-1</f>
        <v>0.18701069577682206</v>
      </c>
      <c r="CJ122" s="181">
        <f t="shared" si="545"/>
        <v>0.22205256843712506</v>
      </c>
      <c r="CK122" s="181">
        <f t="shared" si="545"/>
        <v>0.1850015494267121</v>
      </c>
      <c r="CL122" s="181">
        <f t="shared" si="545"/>
        <v>0.16455580029368577</v>
      </c>
      <c r="CM122" s="991">
        <f t="shared" si="545"/>
        <v>0.18848383356949627</v>
      </c>
      <c r="CN122" s="181">
        <f t="shared" si="545"/>
        <v>0.12986530422666043</v>
      </c>
      <c r="CO122" s="181">
        <f t="shared" ref="CO122:CY122" si="546">+CO121/CJ121-1</f>
        <v>0.1286033020972781</v>
      </c>
      <c r="CP122" s="181">
        <f t="shared" si="545"/>
        <v>0.15193514644351458</v>
      </c>
      <c r="CQ122" s="181">
        <f t="shared" si="545"/>
        <v>0.18393884466861055</v>
      </c>
      <c r="CR122" s="991">
        <f t="shared" si="546"/>
        <v>0.14992087750102967</v>
      </c>
      <c r="CS122" s="181">
        <f t="shared" si="546"/>
        <v>0.17010605936035517</v>
      </c>
      <c r="CT122" s="181">
        <f t="shared" si="546"/>
        <v>0.19943065000790772</v>
      </c>
      <c r="CU122" s="181">
        <f t="shared" si="546"/>
        <v>0.18342792281498288</v>
      </c>
      <c r="CV122" s="181">
        <f t="shared" si="546"/>
        <v>0.16827531118950945</v>
      </c>
      <c r="CW122" s="991">
        <f t="shared" si="546"/>
        <v>0.17989707240748776</v>
      </c>
      <c r="CX122" s="181">
        <f t="shared" si="546"/>
        <v>0.17917369308600328</v>
      </c>
      <c r="CY122" s="181">
        <f t="shared" si="546"/>
        <v>0.15908491561181437</v>
      </c>
      <c r="CZ122" s="181">
        <f t="shared" ref="CZ122:DS122" si="547">+CZ121/CU121-1</f>
        <v>0.18696847624528412</v>
      </c>
      <c r="DA122" s="181">
        <f t="shared" si="547"/>
        <v>0.18380719047347727</v>
      </c>
      <c r="DB122" s="991">
        <f t="shared" si="547"/>
        <v>0.18077967726473876</v>
      </c>
      <c r="DC122" s="181">
        <f t="shared" si="547"/>
        <v>0.21284709808127755</v>
      </c>
      <c r="DD122" s="181">
        <f t="shared" si="547"/>
        <v>0.23240998805528701</v>
      </c>
      <c r="DE122" s="181">
        <f t="shared" si="547"/>
        <v>0.20519312611108109</v>
      </c>
      <c r="DF122" s="181">
        <f t="shared" si="547"/>
        <v>0.20720026952880599</v>
      </c>
      <c r="DG122" s="991">
        <f t="shared" si="547"/>
        <v>0.21419389757120633</v>
      </c>
      <c r="DH122" s="181">
        <f t="shared" si="547"/>
        <v>0.16571681242016312</v>
      </c>
      <c r="DI122" s="181">
        <f t="shared" si="547"/>
        <v>0.16564360548299262</v>
      </c>
      <c r="DJ122" s="181">
        <f t="shared" si="547"/>
        <v>0.17584480600750929</v>
      </c>
      <c r="DK122" s="181">
        <f t="shared" si="547"/>
        <v>0.1734710150705685</v>
      </c>
      <c r="DL122" s="991">
        <f t="shared" si="547"/>
        <v>0.16701398562433822</v>
      </c>
      <c r="DM122" s="181">
        <f t="shared" si="547"/>
        <v>0.10890546634635645</v>
      </c>
      <c r="DN122" s="181">
        <f t="shared" si="547"/>
        <v>-8.2475451377890363E-2</v>
      </c>
      <c r="DO122" s="181">
        <f t="shared" si="547"/>
        <v>9.9711092526419742E-2</v>
      </c>
      <c r="DP122" s="181">
        <f t="shared" si="547"/>
        <v>0.21404545917847306</v>
      </c>
      <c r="DQ122" s="991">
        <f t="shared" si="547"/>
        <v>8.9990641889956313E-2</v>
      </c>
      <c r="DR122" s="181">
        <f>+DR121/DM121-1</f>
        <v>0.32917791037968902</v>
      </c>
      <c r="DS122" s="181">
        <f t="shared" si="547"/>
        <v>0.70521727872955586</v>
      </c>
      <c r="DT122" s="181">
        <f t="shared" ref="DT122:EC122" si="548">+DT121/DO121-1</f>
        <v>0.43910954405613745</v>
      </c>
      <c r="DU122" s="181">
        <f t="shared" si="548"/>
        <v>0.33803486972826247</v>
      </c>
      <c r="DV122" s="991">
        <f t="shared" si="548"/>
        <v>0.43615194575368399</v>
      </c>
      <c r="DW122" s="181">
        <f t="shared" si="548"/>
        <v>0.22014754660871549</v>
      </c>
      <c r="DX122" s="181">
        <f t="shared" si="548"/>
        <v>0.1153739086422878</v>
      </c>
      <c r="DY122" s="181">
        <f t="shared" si="548"/>
        <v>2.4596464258262785E-2</v>
      </c>
      <c r="DZ122" s="181">
        <f t="shared" si="548"/>
        <v>-3.545135112524056E-2</v>
      </c>
      <c r="EA122" s="991">
        <f t="shared" si="548"/>
        <v>7.0682177257504586E-2</v>
      </c>
      <c r="EB122" s="181">
        <f t="shared" si="548"/>
        <v>3.6558786998195369E-3</v>
      </c>
      <c r="EC122" s="181">
        <f t="shared" si="548"/>
        <v>3.4759722285247596E-2</v>
      </c>
      <c r="ED122" s="181">
        <f t="shared" ref="ED122:EN122" si="549">+ED121/DY121-1</f>
        <v>0.10195517629407358</v>
      </c>
      <c r="EE122" s="181">
        <f t="shared" si="549"/>
        <v>0.11739705531582723</v>
      </c>
      <c r="EF122" s="991">
        <f t="shared" si="549"/>
        <v>6.5241171845622725E-2</v>
      </c>
      <c r="EG122" s="181">
        <f t="shared" si="549"/>
        <v>0.13743666378686337</v>
      </c>
      <c r="EH122" s="181">
        <f t="shared" si="549"/>
        <v>0.12329518045871168</v>
      </c>
      <c r="EI122" s="181">
        <f t="shared" si="549"/>
        <v>0.10913732581640256</v>
      </c>
      <c r="EJ122" s="181">
        <f t="shared" si="549"/>
        <v>0.11802604257631333</v>
      </c>
      <c r="EK122" s="991">
        <f t="shared" si="549"/>
        <v>0.12152281929089859</v>
      </c>
      <c r="EL122" s="181">
        <f t="shared" si="549"/>
        <v>9.0817646213536385E-2</v>
      </c>
      <c r="EM122" s="181">
        <f t="shared" si="549"/>
        <v>0.10552616681957483</v>
      </c>
      <c r="EN122" s="181">
        <f t="shared" si="549"/>
        <v>0.13754675362040847</v>
      </c>
      <c r="EO122" s="181">
        <f t="shared" ref="EO122:EP122" si="550">+EO121/EJ121-1</f>
        <v>0.13397958453210301</v>
      </c>
      <c r="EP122" s="991">
        <f t="shared" si="550"/>
        <v>0.11788814823619642</v>
      </c>
      <c r="EQ122" s="181">
        <f t="shared" ref="EQ122" si="551">+EQ121/EL121-1</f>
        <v>0.15033468454209942</v>
      </c>
      <c r="ER122" s="181">
        <f t="shared" ref="ER122" si="552">+ER121/EM121-1</f>
        <v>0.12838002935564496</v>
      </c>
      <c r="ES122" s="181">
        <f t="shared" ref="ES122" si="553">+ES121/EN121-1</f>
        <v>0.10625377795750146</v>
      </c>
      <c r="ET122" s="181">
        <f t="shared" ref="ET122:EU122" si="554">+ET121/EO121-1</f>
        <v>0.10935090629406918</v>
      </c>
      <c r="EU122" s="991">
        <f t="shared" si="554"/>
        <v>0.12245526005180385</v>
      </c>
      <c r="EV122" s="599">
        <f>+EV121/EU121-1</f>
        <v>9.4743187160850173E-2</v>
      </c>
      <c r="EW122" s="599">
        <f>+EW121/EV121-1</f>
        <v>8.6019667237981379E-2</v>
      </c>
      <c r="EX122" s="599">
        <f>+EX121/EW121-1</f>
        <v>7.8344788029193424E-2</v>
      </c>
      <c r="EY122" s="599">
        <f>+EY121/EX121-1</f>
        <v>7.4347945917156766E-2</v>
      </c>
      <c r="EZ122" s="169"/>
      <c r="FA122" s="725"/>
      <c r="FB122" s="725"/>
    </row>
    <row r="123" spans="1:158" s="77" customFormat="1" ht="11.25" hidden="1" customHeight="1" outlineLevel="1">
      <c r="A123" s="5639" t="s">
        <v>46</v>
      </c>
      <c r="B123" s="2612"/>
      <c r="C123" s="169"/>
      <c r="D123" s="169"/>
      <c r="E123" s="169"/>
      <c r="F123" s="5088"/>
      <c r="G123" s="2612"/>
      <c r="H123" s="169"/>
      <c r="I123" s="169"/>
      <c r="J123" s="169"/>
      <c r="K123" s="1219"/>
      <c r="L123" s="169"/>
      <c r="M123" s="169"/>
      <c r="N123" s="169"/>
      <c r="O123" s="169"/>
      <c r="P123" s="1001"/>
      <c r="Q123" s="1226" t="s">
        <v>116</v>
      </c>
      <c r="R123" s="169">
        <f>+R121/Q121-1</f>
        <v>0.54411488062605495</v>
      </c>
      <c r="S123" s="169">
        <f>+S121/R121-1</f>
        <v>0.63493662734792089</v>
      </c>
      <c r="T123" s="169">
        <f>+T121/S121-1</f>
        <v>0.36051702484293591</v>
      </c>
      <c r="U123" s="1001"/>
      <c r="V123" s="1226">
        <f>+V121/T121-1</f>
        <v>0.32220798804945061</v>
      </c>
      <c r="W123" s="169">
        <f>+W121/V121-1</f>
        <v>0.20793907223632568</v>
      </c>
      <c r="X123" s="169">
        <f>+X121/W121-1</f>
        <v>0.16690671448027206</v>
      </c>
      <c r="Y123" s="169">
        <f>+Y121/X121-1</f>
        <v>0.18734151706997615</v>
      </c>
      <c r="Z123" s="1001"/>
      <c r="AA123" s="1226">
        <f>+AA121/Y121-1</f>
        <v>0.29510642811682319</v>
      </c>
      <c r="AB123" s="169">
        <f>+AB121/AA121-1</f>
        <v>0.12654730508187684</v>
      </c>
      <c r="AC123" s="169">
        <f>+AC121/AB121-1</f>
        <v>0.19500574358874934</v>
      </c>
      <c r="AD123" s="169">
        <f>+AD121/AC121-1</f>
        <v>0.30333198134252681</v>
      </c>
      <c r="AE123" s="1001"/>
      <c r="AF123" s="1226">
        <f>+AF121/AD121-1</f>
        <v>0.21260921183867976</v>
      </c>
      <c r="AG123" s="169">
        <f>+AG121/AF121-1</f>
        <v>0.12036629269539589</v>
      </c>
      <c r="AH123" s="169">
        <f>+AH121/AG121-1</f>
        <v>0.17944621206394573</v>
      </c>
      <c r="AI123" s="169">
        <f>+AI121/AH121-1</f>
        <v>0.23120710901532449</v>
      </c>
      <c r="AJ123" s="1001"/>
      <c r="AK123" s="1226">
        <f>+AK121/AI121-1</f>
        <v>0.18540389277900382</v>
      </c>
      <c r="AL123" s="169">
        <f>+AL121/AK121-1</f>
        <v>9.3756508003888461E-2</v>
      </c>
      <c r="AM123" s="169">
        <f>+AM121/AL121-1</f>
        <v>0.11793275498230105</v>
      </c>
      <c r="AN123" s="184">
        <f>+AN121/AM121-1</f>
        <v>0.196750891722691</v>
      </c>
      <c r="AO123" s="1001"/>
      <c r="AP123" s="1226">
        <f>+AP121/AN121-1</f>
        <v>0.13782089026972533</v>
      </c>
      <c r="AQ123" s="169">
        <f>+AQ121/AP121-1</f>
        <v>7.5111631851062732E-2</v>
      </c>
      <c r="AR123" s="169">
        <f>+AR121/AQ121-1</f>
        <v>0.10332134867043097</v>
      </c>
      <c r="AS123" s="184">
        <f>+AS121/AR121-1</f>
        <v>0.11764218387478342</v>
      </c>
      <c r="AT123" s="1001"/>
      <c r="AU123" s="1226">
        <f>+AU121/AS121-1</f>
        <v>8.5183362114517047E-2</v>
      </c>
      <c r="AV123" s="169">
        <f>+AV121/AU121-1</f>
        <v>3.0910553469538193E-2</v>
      </c>
      <c r="AW123" s="169">
        <f>+AW121/AV121-1</f>
        <v>3.915483053096569E-2</v>
      </c>
      <c r="AX123" s="184">
        <f>+AX121/AW121-1</f>
        <v>4.2632350523729157E-2</v>
      </c>
      <c r="AY123" s="1001"/>
      <c r="AZ123" s="1226">
        <f>+AZ121/AX121-1</f>
        <v>-3.140464176142943E-2</v>
      </c>
      <c r="BA123" s="169">
        <f>+BA121/AZ121-1</f>
        <v>-3.1145817420449307E-3</v>
      </c>
      <c r="BB123" s="169">
        <f>+BB121/BA121-1</f>
        <v>8.1032529835627809E-2</v>
      </c>
      <c r="BC123" s="184">
        <f>+BC121/BB121-1</f>
        <v>0.13029836291708774</v>
      </c>
      <c r="BD123" s="1001"/>
      <c r="BE123" s="1226">
        <f>+BE121/BC121-1</f>
        <v>4.1481181707812009E-3</v>
      </c>
      <c r="BF123" s="169">
        <f>+BF121/BE121-1</f>
        <v>1.385390428211597E-2</v>
      </c>
      <c r="BG123" s="169">
        <f>+BG121/BF121-1</f>
        <v>8.2194616977225632E-2</v>
      </c>
      <c r="BH123" s="184">
        <f>+BH121/BG121-1</f>
        <v>0.16663478094509276</v>
      </c>
      <c r="BI123" s="1001"/>
      <c r="BJ123" s="1226">
        <f>+BJ121/BH121-1</f>
        <v>2.7877992784519412E-2</v>
      </c>
      <c r="BK123" s="169">
        <f>+BK121/BJ121-1</f>
        <v>5.3924696873005828E-2</v>
      </c>
      <c r="BL123" s="169">
        <f>+BL121/BK121-1</f>
        <v>7.8564940962761121E-2</v>
      </c>
      <c r="BM123" s="169">
        <f>+BM121/BL121-1</f>
        <v>8.4070175438596406E-2</v>
      </c>
      <c r="BN123" s="1001"/>
      <c r="BO123" s="42"/>
      <c r="BP123" s="42"/>
      <c r="BQ123" s="42"/>
      <c r="BR123" s="42"/>
      <c r="BS123" s="597"/>
      <c r="BT123" s="169">
        <f>+BT121/BM121-1</f>
        <v>-1.1651993785602999E-3</v>
      </c>
      <c r="BU123" s="169">
        <f>+BU121/BT121-1</f>
        <v>2.7219701879455549E-2</v>
      </c>
      <c r="BV123" s="169">
        <f>+BV121/BU121-1</f>
        <v>2.0820189274447953E-2</v>
      </c>
      <c r="BW123" s="169">
        <f>+BW121/BV121-1</f>
        <v>0.11199011124845493</v>
      </c>
      <c r="BX123" s="1001"/>
      <c r="BY123" s="42"/>
      <c r="BZ123" s="42"/>
      <c r="CA123" s="42"/>
      <c r="CB123" s="42"/>
      <c r="CC123" s="597"/>
      <c r="CD123" s="576">
        <f>+CD121/BW121-1</f>
        <v>8.1147176522899933E-3</v>
      </c>
      <c r="CE123" s="169">
        <f>+CE121/CD121-1</f>
        <v>1.1026574043444759E-2</v>
      </c>
      <c r="CF123" s="169">
        <f>+CF121/CE121-1</f>
        <v>5.5840331551968658E-2</v>
      </c>
      <c r="CG123" s="169">
        <f>+CG121/CF121-1</f>
        <v>0.12550356368143789</v>
      </c>
      <c r="CH123" s="1001"/>
      <c r="CI123" s="169">
        <f>+CI121/CG121-1</f>
        <v>-1.2022760646108632E-2</v>
      </c>
      <c r="CJ123" s="169">
        <f>+CJ121/CI121-1</f>
        <v>4.0873200185787217E-2</v>
      </c>
      <c r="CK123" s="169">
        <f>+CK121/CJ121-1</f>
        <v>2.3828647925033364E-2</v>
      </c>
      <c r="CL123" s="169">
        <f>+CL121/CK121-1</f>
        <v>0.10608437935843784</v>
      </c>
      <c r="CM123" s="1001"/>
      <c r="CN123" s="169">
        <f>+CN121/CL121-1</f>
        <v>-4.1453227204665488E-2</v>
      </c>
      <c r="CO123" s="169">
        <f>+CO121/CN121-1</f>
        <v>3.9710597714379681E-2</v>
      </c>
      <c r="CP123" s="169">
        <f>+CP121/CO121-1</f>
        <v>4.4994464652854615E-2</v>
      </c>
      <c r="CQ123" s="169">
        <f>+CQ121/CP121-1</f>
        <v>0.13681422625804007</v>
      </c>
      <c r="CR123" s="1001"/>
      <c r="CS123" s="169">
        <f>+CS121/CQ121-1</f>
        <v>-5.2652599347666862E-2</v>
      </c>
      <c r="CT123" s="169">
        <f>+CT121/CS121-1</f>
        <v>6.5767284991568253E-2</v>
      </c>
      <c r="CU123" s="169">
        <f>+CU121/CT121-1</f>
        <v>3.1052215189873333E-2</v>
      </c>
      <c r="CV123" s="169">
        <f>+CV121/CU121-1</f>
        <v>0.12225845642304489</v>
      </c>
      <c r="CW123" s="1001"/>
      <c r="CX123" s="169">
        <f>+CX121/CV121-1</f>
        <v>-4.3815167226938678E-2</v>
      </c>
      <c r="CY123" s="169">
        <f>+CY121/CX121-1</f>
        <v>4.7610535097127871E-2</v>
      </c>
      <c r="CZ123" s="169">
        <f>+CZ121/CY121-1</f>
        <v>5.5855753370115391E-2</v>
      </c>
      <c r="DA123" s="169">
        <f>+DA121/CZ121-1</f>
        <v>0.11926951462586866</v>
      </c>
      <c r="DB123" s="1001"/>
      <c r="DC123" s="2612">
        <f>+DC121/DA121-1</f>
        <v>-2.0359050873562157E-2</v>
      </c>
      <c r="DD123" s="2612">
        <f>+DD121/DC121-1</f>
        <v>6.4508204775474143E-2</v>
      </c>
      <c r="DE123" s="2612">
        <f>+DE121/DD121-1</f>
        <v>3.2537960954446943E-2</v>
      </c>
      <c r="DF123" s="2612">
        <f>+DF121/DE121-1</f>
        <v>0.12113355980690144</v>
      </c>
      <c r="DG123" s="1001"/>
      <c r="DH123" s="2612">
        <f>+DH121/DF121-1</f>
        <v>-5.4022805198947421E-2</v>
      </c>
      <c r="DI123" s="2612">
        <f>+DI121/DH121-1</f>
        <v>6.4441353732035189E-2</v>
      </c>
      <c r="DJ123" s="2612">
        <f>+DJ121/DI121-1</f>
        <v>4.1574279379157364E-2</v>
      </c>
      <c r="DK123" s="2612">
        <f>+DK121/DJ121-1</f>
        <v>0.11887021972173639</v>
      </c>
      <c r="DL123" s="1001"/>
      <c r="DM123" s="2612">
        <f>+DM121/DK121-1</f>
        <v>-0.1060714164373322</v>
      </c>
      <c r="DN123" s="2612">
        <f>+DN121/DM121-1</f>
        <v>-0.11926570635855727</v>
      </c>
      <c r="DO123" s="2612">
        <f>+DO121/DN121-1</f>
        <v>0.24839252578431803</v>
      </c>
      <c r="DP123" s="2612">
        <f>+DP121/DO121-1</f>
        <v>0.23519651560717625</v>
      </c>
      <c r="DQ123" s="1001"/>
      <c r="DR123" s="2612">
        <f>+DR121/DP121-1</f>
        <v>-2.1296840455601318E-2</v>
      </c>
      <c r="DS123" s="2612">
        <f>+DS121/DR121-1</f>
        <v>0.12990392313851085</v>
      </c>
      <c r="DT123" s="2612">
        <f>+DT121/DS121-1</f>
        <v>5.3574591927116222E-2</v>
      </c>
      <c r="DU123" s="2612">
        <f>+DU121/DT121-1</f>
        <v>0.14844350499615677</v>
      </c>
      <c r="DV123" s="1001"/>
      <c r="DW123" s="2612">
        <f>+DW121/DU121-1</f>
        <v>-0.10752530745419564</v>
      </c>
      <c r="DX123" s="2612">
        <f>+DX121/DW121-1</f>
        <v>3.287947317850537E-2</v>
      </c>
      <c r="DY123" s="2612">
        <f>+DY121/DX121-1</f>
        <v>-3.2173163316240871E-2</v>
      </c>
      <c r="DZ123" s="2612">
        <f>+DZ121/DY121-1</f>
        <v>8.1137471867966937E-2</v>
      </c>
      <c r="EA123" s="1001"/>
      <c r="EB123" s="2612">
        <f>+EB121/DZ121-1</f>
        <v>-7.1340286662185282E-2</v>
      </c>
      <c r="EC123" s="2612">
        <f>+EC121/EB121-1</f>
        <v>6.4888971910243454E-2</v>
      </c>
      <c r="ED123" s="2612">
        <f>+ED121/EC121-1</f>
        <v>3.0675788273472726E-2</v>
      </c>
      <c r="EE123" s="2612">
        <f>+EE121/ED121-1</f>
        <v>9.6287628975640915E-2</v>
      </c>
      <c r="EF123" s="1001"/>
      <c r="EG123" s="2612">
        <f>+EG121/EE121-1</f>
        <v>-5.4685529098988939E-2</v>
      </c>
      <c r="EH123" s="2612">
        <f>+EH121/EG121-1</f>
        <v>5.1649457023792422E-2</v>
      </c>
      <c r="EI123" s="2612">
        <f>+EI121/EH121-1</f>
        <v>1.7685295438130799E-2</v>
      </c>
      <c r="EJ123" s="2612">
        <f>+EJ121/EI121-1</f>
        <v>0.10507336721971794</v>
      </c>
      <c r="EK123" s="1001"/>
      <c r="EL123" s="2612">
        <f>+EL121/EJ121-1</f>
        <v>-7.769079895162545E-2</v>
      </c>
      <c r="EM123" s="2612">
        <f>+EM121/EL121-1</f>
        <v>6.5829836084084548E-2</v>
      </c>
      <c r="EN123" s="2612">
        <f>+EN121/EM121-1</f>
        <v>4.7161649156881813E-2</v>
      </c>
      <c r="EO123" s="2612">
        <f>+EO121/EN121-1</f>
        <v>0.10160802960321136</v>
      </c>
      <c r="EP123" s="1001"/>
      <c r="EQ123" s="2612">
        <f>+EQ121/EO121-1</f>
        <v>-6.4388567210381109E-2</v>
      </c>
      <c r="ER123" s="2612">
        <f>+ER121/EQ121-1</f>
        <v>4.5487993963609696E-2</v>
      </c>
      <c r="ES123" s="2612">
        <f>+ES121/ER121-1</f>
        <v>2.6627997992415109E-2</v>
      </c>
      <c r="ET123" s="2612">
        <f>+ET121/ES121-1</f>
        <v>0.10469215144962329</v>
      </c>
      <c r="EU123" s="1001"/>
      <c r="EV123" s="597"/>
      <c r="EW123" s="597"/>
      <c r="EX123" s="597"/>
      <c r="EY123" s="597"/>
      <c r="EZ123" s="42"/>
      <c r="FA123" s="4266"/>
      <c r="FB123" s="4266"/>
    </row>
    <row r="124" spans="1:158" s="168" customFormat="1" ht="11.25" customHeight="1" collapsed="1">
      <c r="A124" s="3555" t="s">
        <v>880</v>
      </c>
      <c r="B124" s="3013"/>
      <c r="C124" s="3013"/>
      <c r="D124" s="3013"/>
      <c r="E124" s="3013"/>
      <c r="F124" s="5593"/>
      <c r="G124" s="3013"/>
      <c r="H124" s="3013"/>
      <c r="I124" s="3013"/>
      <c r="J124" s="3013"/>
      <c r="K124" s="3014"/>
      <c r="L124" s="3013"/>
      <c r="M124" s="3013"/>
      <c r="N124" s="3013"/>
      <c r="O124" s="3045"/>
      <c r="P124" s="3014">
        <v>19.494</v>
      </c>
      <c r="Q124" s="3012">
        <f>Q481</f>
        <v>5.0741999999999994</v>
      </c>
      <c r="R124" s="3013">
        <f>R481</f>
        <v>7.0672500000000005</v>
      </c>
      <c r="S124" s="3013">
        <f>S481</f>
        <v>7.8472200000000001</v>
      </c>
      <c r="T124" s="3045">
        <f>T481</f>
        <v>8.6043299999999991</v>
      </c>
      <c r="U124" s="3014">
        <f>SUM(Q124:T124)</f>
        <v>28.592999999999996</v>
      </c>
      <c r="V124" s="3046">
        <f>V481</f>
        <v>9.5</v>
      </c>
      <c r="W124" s="3013">
        <f>W481</f>
        <v>10.513999999999999</v>
      </c>
      <c r="X124" s="3013">
        <f>X481</f>
        <v>12.259</v>
      </c>
      <c r="Y124" s="3045">
        <f>Y481</f>
        <v>12.997999999999999</v>
      </c>
      <c r="Z124" s="3014">
        <f>SUM(V124:Y124)</f>
        <v>45.270999999999994</v>
      </c>
      <c r="AA124" s="3012">
        <f>AA481</f>
        <v>14.339</v>
      </c>
      <c r="AB124" s="3013">
        <f>AB481</f>
        <v>10.544</v>
      </c>
      <c r="AC124" s="3013">
        <f>AC481</f>
        <v>9.8869999999999436</v>
      </c>
      <c r="AD124" s="3045">
        <f>AD481</f>
        <v>11.121</v>
      </c>
      <c r="AE124" s="3014">
        <f>SUM(AA124:AD124)</f>
        <v>45.890999999999948</v>
      </c>
      <c r="AF124" s="3012">
        <f>AF481</f>
        <v>15.4046</v>
      </c>
      <c r="AG124" s="3013">
        <f>AG481</f>
        <v>17.081</v>
      </c>
      <c r="AH124" s="3013">
        <f>AH481</f>
        <v>18.765000000000001</v>
      </c>
      <c r="AI124" s="3045">
        <f>AI481</f>
        <v>22.306999999999999</v>
      </c>
      <c r="AJ124" s="3014">
        <f>SUM(AF124:AI124)</f>
        <v>73.557599999999994</v>
      </c>
      <c r="AK124" s="3012">
        <f t="shared" ref="AK124:BM124" si="555">AK481</f>
        <v>28.062000000000001</v>
      </c>
      <c r="AL124" s="3013">
        <f t="shared" si="555"/>
        <v>26.963000000000001</v>
      </c>
      <c r="AM124" s="3013">
        <f t="shared" si="555"/>
        <v>26.673999999999999</v>
      </c>
      <c r="AN124" s="3045">
        <f t="shared" si="555"/>
        <v>30.588999999999999</v>
      </c>
      <c r="AO124" s="3014">
        <f t="shared" si="555"/>
        <v>112.28800000000001</v>
      </c>
      <c r="AP124" s="3012">
        <f t="shared" si="555"/>
        <v>36.521000000000001</v>
      </c>
      <c r="AQ124" s="3013">
        <f t="shared" si="555"/>
        <v>33.643999999999998</v>
      </c>
      <c r="AR124" s="3013">
        <f t="shared" si="555"/>
        <v>41.874000000000002</v>
      </c>
      <c r="AS124" s="3045">
        <f t="shared" si="555"/>
        <v>69.304000000000002</v>
      </c>
      <c r="AT124" s="3014">
        <f t="shared" si="555"/>
        <v>181.34299999999999</v>
      </c>
      <c r="AU124" s="3012">
        <f t="shared" si="555"/>
        <v>99.497</v>
      </c>
      <c r="AV124" s="3013">
        <f t="shared" si="555"/>
        <v>181.78700000000001</v>
      </c>
      <c r="AW124" s="3013">
        <f t="shared" si="555"/>
        <v>189.41900000000001</v>
      </c>
      <c r="AX124" s="3045">
        <f t="shared" si="555"/>
        <v>196.333</v>
      </c>
      <c r="AY124" s="3014">
        <f t="shared" si="555"/>
        <v>667.03599999999994</v>
      </c>
      <c r="AZ124" s="3012">
        <f t="shared" si="555"/>
        <v>178.125</v>
      </c>
      <c r="BA124" s="3013">
        <f t="shared" si="555"/>
        <v>186.76900000000001</v>
      </c>
      <c r="BB124" s="3013">
        <f t="shared" si="555"/>
        <v>188.23</v>
      </c>
      <c r="BC124" s="3045">
        <f t="shared" si="555"/>
        <v>208.63499999999999</v>
      </c>
      <c r="BD124" s="3014">
        <f t="shared" si="555"/>
        <v>761.75900000000001</v>
      </c>
      <c r="BE124" s="3012">
        <f t="shared" si="555"/>
        <v>300</v>
      </c>
      <c r="BF124" s="3013">
        <f t="shared" si="555"/>
        <v>258</v>
      </c>
      <c r="BG124" s="3013">
        <f t="shared" si="555"/>
        <v>254</v>
      </c>
      <c r="BH124" s="3045">
        <f t="shared" si="555"/>
        <v>273</v>
      </c>
      <c r="BI124" s="3014">
        <f t="shared" si="555"/>
        <v>1085</v>
      </c>
      <c r="BJ124" s="3012">
        <f t="shared" si="555"/>
        <v>269</v>
      </c>
      <c r="BK124" s="3013">
        <f t="shared" si="555"/>
        <v>310</v>
      </c>
      <c r="BL124" s="3013">
        <f t="shared" si="555"/>
        <v>385</v>
      </c>
      <c r="BM124" s="3013">
        <f t="shared" si="555"/>
        <v>410</v>
      </c>
      <c r="BN124" s="3014">
        <f>SUM(BJ124:BM124)</f>
        <v>1374</v>
      </c>
      <c r="BO124" s="3013"/>
      <c r="BP124" s="3013"/>
      <c r="BQ124" s="3013"/>
      <c r="BR124" s="3013"/>
      <c r="BS124" s="3047"/>
      <c r="BT124" s="3013">
        <f>BT481</f>
        <v>420</v>
      </c>
      <c r="BU124" s="3013">
        <f>BU481</f>
        <v>439</v>
      </c>
      <c r="BV124" s="3013">
        <f>BV481</f>
        <v>666</v>
      </c>
      <c r="BW124" s="3013">
        <f>BW481</f>
        <v>829</v>
      </c>
      <c r="BX124" s="3014">
        <f>SUM(BT124:BW124)</f>
        <v>2354</v>
      </c>
      <c r="BY124" s="3013"/>
      <c r="BZ124" s="3013"/>
      <c r="CA124" s="3013"/>
      <c r="CB124" s="3013"/>
      <c r="CC124" s="3047"/>
      <c r="CD124" s="3048">
        <f>CD481</f>
        <v>920</v>
      </c>
      <c r="CE124" s="3013">
        <f>CE481</f>
        <v>925</v>
      </c>
      <c r="CF124" s="3013">
        <f>CF481</f>
        <v>1101</v>
      </c>
      <c r="CG124" s="3013">
        <f>CG481</f>
        <v>1501</v>
      </c>
      <c r="CH124" s="3014">
        <f>SUM(CD124:CG124)</f>
        <v>4447</v>
      </c>
      <c r="CI124" s="3049">
        <f>CI481</f>
        <v>1423</v>
      </c>
      <c r="CJ124" s="3013">
        <f>CJ481</f>
        <v>1457</v>
      </c>
      <c r="CK124" s="3013">
        <f>CK481</f>
        <v>1703</v>
      </c>
      <c r="CL124" s="3013">
        <f>CL481</f>
        <v>1794</v>
      </c>
      <c r="CM124" s="3014">
        <f>SUM(CI124:CL124)</f>
        <v>6377</v>
      </c>
      <c r="CN124" s="3013">
        <f>CN481</f>
        <v>1750</v>
      </c>
      <c r="CO124" s="3013">
        <f>CO481</f>
        <v>1704</v>
      </c>
      <c r="CP124" s="3013">
        <f>CP481</f>
        <v>1894</v>
      </c>
      <c r="CQ124" s="3013">
        <f>CQ481</f>
        <v>2251</v>
      </c>
      <c r="CR124" s="3014">
        <f>SUM(CN124:CQ124)</f>
        <v>7599</v>
      </c>
      <c r="CS124" s="3013">
        <f>CS481</f>
        <v>2237</v>
      </c>
      <c r="CT124" s="3013">
        <f>CT481</f>
        <v>2357</v>
      </c>
      <c r="CU124" s="3013">
        <f>CU481</f>
        <v>2630</v>
      </c>
      <c r="CV124" s="3013">
        <f>CV481</f>
        <v>3665</v>
      </c>
      <c r="CW124" s="3014">
        <f>SUM(CS124:CV124)</f>
        <v>10889</v>
      </c>
      <c r="CX124" s="3013">
        <f>SUM(CX491,CX64)</f>
        <v>3339</v>
      </c>
      <c r="CY124" s="3013">
        <f>SUM(CY491,CY64)</f>
        <v>3338</v>
      </c>
      <c r="CZ124" s="3013">
        <f>SUM(CZ491,CZ64)</f>
        <v>3707</v>
      </c>
      <c r="DA124" s="3013">
        <f>SUM(DA491,DA64)</f>
        <v>5096</v>
      </c>
      <c r="DB124" s="3014">
        <f>SUM(DB57,DB43,DB64,DB68)</f>
        <v>15278</v>
      </c>
      <c r="DC124" s="3013">
        <f>SUM(DC491,DC64)</f>
        <v>4504</v>
      </c>
      <c r="DD124" s="3013">
        <f>SUM(DD491,DD64)</f>
        <v>4570</v>
      </c>
      <c r="DE124" s="3013">
        <f>SUM(DE491,DE64)</f>
        <v>4786</v>
      </c>
      <c r="DF124" s="3013">
        <f t="shared" ref="DF124:EX124" si="556">SUM(DF57,DF43,DF64,DF68)</f>
        <v>6758</v>
      </c>
      <c r="DG124" s="3014">
        <f t="shared" si="556"/>
        <v>20358</v>
      </c>
      <c r="DH124" s="3013">
        <f t="shared" si="556"/>
        <v>5752</v>
      </c>
      <c r="DI124" s="3013">
        <f t="shared" si="556"/>
        <v>6450</v>
      </c>
      <c r="DJ124" s="3013">
        <f t="shared" si="556"/>
        <v>6703</v>
      </c>
      <c r="DK124" s="3013">
        <f t="shared" si="556"/>
        <v>8141</v>
      </c>
      <c r="DL124" s="3014">
        <f t="shared" si="556"/>
        <v>27046</v>
      </c>
      <c r="DM124" s="3013">
        <f t="shared" si="556"/>
        <v>7396</v>
      </c>
      <c r="DN124" s="3013">
        <f t="shared" si="556"/>
        <v>8430</v>
      </c>
      <c r="DO124" s="3013">
        <f t="shared" si="556"/>
        <v>9078</v>
      </c>
      <c r="DP124" s="3013">
        <f t="shared" si="556"/>
        <v>10699</v>
      </c>
      <c r="DQ124" s="3014">
        <f t="shared" si="556"/>
        <v>35603</v>
      </c>
      <c r="DR124" s="3013">
        <f t="shared" si="556"/>
        <v>10630</v>
      </c>
      <c r="DS124" s="3013">
        <f t="shared" si="556"/>
        <v>11436</v>
      </c>
      <c r="DT124" s="3013">
        <f t="shared" si="556"/>
        <v>11988</v>
      </c>
      <c r="DU124" s="3013">
        <f t="shared" si="556"/>
        <v>14086</v>
      </c>
      <c r="DV124" s="3014">
        <f t="shared" si="556"/>
        <v>48140</v>
      </c>
      <c r="DW124" s="3013">
        <f t="shared" si="556"/>
        <v>13350</v>
      </c>
      <c r="DX124" s="3013">
        <f t="shared" si="556"/>
        <v>13397</v>
      </c>
      <c r="DY124" s="3013">
        <f t="shared" si="556"/>
        <v>14610</v>
      </c>
      <c r="DZ124" s="3013">
        <f t="shared" si="556"/>
        <v>17006</v>
      </c>
      <c r="EA124" s="3014">
        <f t="shared" si="556"/>
        <v>58363</v>
      </c>
      <c r="EB124" s="3013">
        <f t="shared" si="556"/>
        <v>15239</v>
      </c>
      <c r="EC124" s="3013">
        <f t="shared" si="556"/>
        <v>16461</v>
      </c>
      <c r="ED124" s="3013">
        <f t="shared" si="556"/>
        <v>17046</v>
      </c>
      <c r="EE124" s="3013">
        <f t="shared" si="556"/>
        <v>20793</v>
      </c>
      <c r="EF124" s="3014">
        <f t="shared" si="556"/>
        <v>69539</v>
      </c>
      <c r="EG124" s="3013">
        <f t="shared" si="556"/>
        <v>18880</v>
      </c>
      <c r="EH124" s="3013">
        <f t="shared" si="556"/>
        <v>20126</v>
      </c>
      <c r="EI124" s="3013">
        <f t="shared" ref="EI124:EJ124" si="557">SUM(EI57,EI43,EI64,EI68)</f>
        <v>22414</v>
      </c>
      <c r="EJ124" s="3013">
        <f t="shared" si="557"/>
        <v>24008</v>
      </c>
      <c r="EK124" s="3014">
        <f t="shared" si="556"/>
        <v>85428</v>
      </c>
      <c r="EL124" s="3013">
        <f t="shared" ref="EL124:EN124" si="558">SUM(EL57,EL43,EL64,EL68)</f>
        <v>23349</v>
      </c>
      <c r="EM124" s="3013">
        <f t="shared" si="558"/>
        <v>25088</v>
      </c>
      <c r="EN124" s="3013">
        <f t="shared" si="558"/>
        <v>28164</v>
      </c>
      <c r="EO124" s="3013">
        <f t="shared" si="556"/>
        <v>30656.07129372413</v>
      </c>
      <c r="EP124" s="3014">
        <f t="shared" si="556"/>
        <v>107257.07129372412</v>
      </c>
      <c r="EQ124" s="3013">
        <f t="shared" ref="EQ124:EU124" si="559">SUM(EQ57,EQ43,EQ64,EQ68)</f>
        <v>29754.395829501824</v>
      </c>
      <c r="ER124" s="3013">
        <f t="shared" si="559"/>
        <v>32813.524656800015</v>
      </c>
      <c r="ES124" s="3013">
        <f t="shared" si="559"/>
        <v>37112.318346225613</v>
      </c>
      <c r="ET124" s="3013">
        <f t="shared" si="559"/>
        <v>40438.672276556405</v>
      </c>
      <c r="EU124" s="3014">
        <f t="shared" si="559"/>
        <v>140118.91110908386</v>
      </c>
      <c r="EV124" s="3047">
        <f t="shared" si="556"/>
        <v>172495.59672872862</v>
      </c>
      <c r="EW124" s="3047">
        <f t="shared" si="556"/>
        <v>205981.68804890549</v>
      </c>
      <c r="EX124" s="3047">
        <f t="shared" si="556"/>
        <v>239535.96342040479</v>
      </c>
      <c r="EY124" s="3047">
        <f t="shared" ref="EY124" si="560">SUM(EY57,EY43,EY64,EY68)</f>
        <v>274862.17968234338</v>
      </c>
      <c r="EZ124" s="167"/>
      <c r="FA124" s="1319">
        <f>(EV124/EK124)^(1/3)-1</f>
        <v>0.26393844758555596</v>
      </c>
      <c r="FB124" s="1319">
        <f>(EX124/EK124)^(1/5)-1</f>
        <v>0.22900626721988004</v>
      </c>
    </row>
    <row r="125" spans="1:158" s="183" customFormat="1" ht="11.25" customHeight="1">
      <c r="A125" s="5639" t="s">
        <v>45</v>
      </c>
      <c r="B125" s="181"/>
      <c r="C125" s="181"/>
      <c r="D125" s="181"/>
      <c r="E125" s="182"/>
      <c r="F125" s="4242"/>
      <c r="G125" s="181"/>
      <c r="H125" s="181"/>
      <c r="I125" s="181"/>
      <c r="J125" s="181"/>
      <c r="K125" s="991"/>
      <c r="L125" s="181"/>
      <c r="M125" s="181"/>
      <c r="N125" s="181"/>
      <c r="O125" s="181"/>
      <c r="P125" s="991" t="s">
        <v>116</v>
      </c>
      <c r="Q125" s="1224" t="s">
        <v>116</v>
      </c>
      <c r="R125" s="181" t="s">
        <v>116</v>
      </c>
      <c r="S125" s="181" t="s">
        <v>116</v>
      </c>
      <c r="T125" s="181" t="s">
        <v>116</v>
      </c>
      <c r="U125" s="991">
        <f t="shared" ref="U125:AA125" si="561">+U124/P124-1</f>
        <v>0.46675900277008298</v>
      </c>
      <c r="V125" s="1226">
        <f t="shared" si="561"/>
        <v>0.87221630996019095</v>
      </c>
      <c r="W125" s="169">
        <f t="shared" si="561"/>
        <v>0.48770738264530022</v>
      </c>
      <c r="X125" s="169">
        <f t="shared" si="561"/>
        <v>0.5622092919530739</v>
      </c>
      <c r="Y125" s="169">
        <f t="shared" si="561"/>
        <v>0.51063476180016343</v>
      </c>
      <c r="Z125" s="991">
        <f t="shared" si="561"/>
        <v>0.58328961633966347</v>
      </c>
      <c r="AA125" s="1226">
        <f t="shared" si="561"/>
        <v>0.50936842105263169</v>
      </c>
      <c r="AB125" s="181">
        <f t="shared" ref="AB125:AJ125" si="562">+AB124/W124-1</f>
        <v>2.8533384059350464E-3</v>
      </c>
      <c r="AC125" s="181">
        <f t="shared" si="562"/>
        <v>-0.1934904967778821</v>
      </c>
      <c r="AD125" s="181">
        <f t="shared" si="562"/>
        <v>-0.14440683182027991</v>
      </c>
      <c r="AE125" s="991">
        <f t="shared" si="562"/>
        <v>1.3695301627972833E-2</v>
      </c>
      <c r="AF125" s="1226">
        <f t="shared" si="562"/>
        <v>7.4314805774461146E-2</v>
      </c>
      <c r="AG125" s="181">
        <f t="shared" si="562"/>
        <v>0.61997344461305004</v>
      </c>
      <c r="AH125" s="181">
        <f t="shared" si="562"/>
        <v>0.8979467988267531</v>
      </c>
      <c r="AI125" s="181">
        <f t="shared" si="562"/>
        <v>1.0058447981296643</v>
      </c>
      <c r="AJ125" s="991">
        <f t="shared" si="562"/>
        <v>0.60287638098973817</v>
      </c>
      <c r="AK125" s="1224">
        <f t="shared" ref="AK125:AT125" si="563">+AK124/AF124-1</f>
        <v>0.82166365890707982</v>
      </c>
      <c r="AL125" s="181">
        <f t="shared" si="563"/>
        <v>0.57853755634915993</v>
      </c>
      <c r="AM125" s="181">
        <f t="shared" si="563"/>
        <v>0.42147615241140413</v>
      </c>
      <c r="AN125" s="190">
        <f t="shared" si="563"/>
        <v>0.37127359124938364</v>
      </c>
      <c r="AO125" s="991">
        <f t="shared" si="563"/>
        <v>0.52653158885009876</v>
      </c>
      <c r="AP125" s="1224">
        <f t="shared" si="563"/>
        <v>0.30143966930368471</v>
      </c>
      <c r="AQ125" s="181">
        <f t="shared" si="563"/>
        <v>0.24778400029670289</v>
      </c>
      <c r="AR125" s="181">
        <f t="shared" si="563"/>
        <v>0.56984329309439907</v>
      </c>
      <c r="AS125" s="190">
        <f t="shared" si="563"/>
        <v>1.2656510510314165</v>
      </c>
      <c r="AT125" s="991">
        <f t="shared" si="563"/>
        <v>0.61498111997720128</v>
      </c>
      <c r="AU125" s="1224">
        <f t="shared" ref="AU125:BD125" si="564">+AU124/AP124-1</f>
        <v>1.7243777552640944</v>
      </c>
      <c r="AV125" s="181">
        <f t="shared" si="564"/>
        <v>4.4032516942099633</v>
      </c>
      <c r="AW125" s="181">
        <f t="shared" si="564"/>
        <v>3.5235468309690976</v>
      </c>
      <c r="AX125" s="190">
        <f t="shared" si="564"/>
        <v>1.8329245065219899</v>
      </c>
      <c r="AY125" s="991">
        <f t="shared" si="564"/>
        <v>2.6783112664949846</v>
      </c>
      <c r="AZ125" s="1224">
        <f t="shared" si="564"/>
        <v>0.79025498256228821</v>
      </c>
      <c r="BA125" s="181">
        <f t="shared" si="564"/>
        <v>2.7405700077563377E-2</v>
      </c>
      <c r="BB125" s="181">
        <f t="shared" si="564"/>
        <v>-6.277089415528625E-3</v>
      </c>
      <c r="BC125" s="190">
        <f t="shared" si="564"/>
        <v>6.2658850015025358E-2</v>
      </c>
      <c r="BD125" s="991">
        <f t="shared" si="564"/>
        <v>0.14200582877086099</v>
      </c>
      <c r="BE125" s="1224">
        <f t="shared" ref="BE125:BN125" si="565">+BE124/AZ124-1</f>
        <v>0.68421052631578938</v>
      </c>
      <c r="BF125" s="181">
        <f t="shared" si="565"/>
        <v>0.38138556184377492</v>
      </c>
      <c r="BG125" s="181">
        <f t="shared" si="565"/>
        <v>0.3494129522392817</v>
      </c>
      <c r="BH125" s="190">
        <f t="shared" si="565"/>
        <v>0.30850528434826385</v>
      </c>
      <c r="BI125" s="991">
        <f t="shared" si="565"/>
        <v>0.42433499308836509</v>
      </c>
      <c r="BJ125" s="1224">
        <f t="shared" si="565"/>
        <v>-0.10333333333333339</v>
      </c>
      <c r="BK125" s="181">
        <f t="shared" si="565"/>
        <v>0.20155038759689914</v>
      </c>
      <c r="BL125" s="181">
        <f t="shared" si="565"/>
        <v>0.51574803149606296</v>
      </c>
      <c r="BM125" s="181">
        <f t="shared" si="565"/>
        <v>0.50183150183150182</v>
      </c>
      <c r="BN125" s="991">
        <f t="shared" si="565"/>
        <v>0.26635944700460823</v>
      </c>
      <c r="BO125" s="181"/>
      <c r="BP125" s="181"/>
      <c r="BQ125" s="181"/>
      <c r="BR125" s="181"/>
      <c r="BS125" s="599"/>
      <c r="BT125" s="181">
        <f>+BT124/BJ124-1</f>
        <v>0.5613382899628252</v>
      </c>
      <c r="BU125" s="181">
        <f>+BU124/BK124-1</f>
        <v>0.41612903225806441</v>
      </c>
      <c r="BV125" s="181">
        <f>+BV124/BL124-1</f>
        <v>0.72987012987012978</v>
      </c>
      <c r="BW125" s="181">
        <f>+BW124/BM124-1</f>
        <v>1.0219512195121951</v>
      </c>
      <c r="BX125" s="991">
        <f>+BX124/BN124-1</f>
        <v>0.71324599708879188</v>
      </c>
      <c r="BY125" s="181"/>
      <c r="BZ125" s="181"/>
      <c r="CA125" s="181"/>
      <c r="CB125" s="181"/>
      <c r="CC125" s="599"/>
      <c r="CD125" s="578">
        <f>+CD124/BT124-1</f>
        <v>1.1904761904761907</v>
      </c>
      <c r="CE125" s="181">
        <f>+CE124/BU124-1</f>
        <v>1.1070615034168565</v>
      </c>
      <c r="CF125" s="181">
        <f>+CF124/BV124-1</f>
        <v>0.65315315315315314</v>
      </c>
      <c r="CG125" s="181">
        <f>+CG124/BW124-1</f>
        <v>0.81061519903498191</v>
      </c>
      <c r="CH125" s="991">
        <f>+CH124/BX124-1</f>
        <v>0.88912489379779092</v>
      </c>
      <c r="CI125" s="551">
        <f t="shared" ref="CI125:CQ125" si="566">+CI124/CD124-1</f>
        <v>0.54673913043478262</v>
      </c>
      <c r="CJ125" s="181">
        <f t="shared" si="566"/>
        <v>0.57513513513513503</v>
      </c>
      <c r="CK125" s="181">
        <f t="shared" si="566"/>
        <v>0.54677565849227983</v>
      </c>
      <c r="CL125" s="181">
        <f t="shared" si="566"/>
        <v>0.19520319786808793</v>
      </c>
      <c r="CM125" s="991">
        <f t="shared" si="566"/>
        <v>0.43400044974139873</v>
      </c>
      <c r="CN125" s="181">
        <f t="shared" si="566"/>
        <v>0.2297962052002811</v>
      </c>
      <c r="CO125" s="181">
        <f t="shared" ref="CO125:CY125" si="567">+CO124/CJ124-1</f>
        <v>0.16952642415923136</v>
      </c>
      <c r="CP125" s="181">
        <f t="shared" si="566"/>
        <v>0.11215502055196702</v>
      </c>
      <c r="CQ125" s="181">
        <f t="shared" si="566"/>
        <v>0.25473801560758091</v>
      </c>
      <c r="CR125" s="991">
        <f t="shared" si="567"/>
        <v>0.19162615649992154</v>
      </c>
      <c r="CS125" s="181">
        <f t="shared" si="567"/>
        <v>0.27828571428571425</v>
      </c>
      <c r="CT125" s="181">
        <f t="shared" si="567"/>
        <v>0.38321596244131451</v>
      </c>
      <c r="CU125" s="181">
        <f t="shared" si="567"/>
        <v>0.38859556494192193</v>
      </c>
      <c r="CV125" s="181">
        <f t="shared" si="567"/>
        <v>0.62816525988449579</v>
      </c>
      <c r="CW125" s="991">
        <f t="shared" si="567"/>
        <v>0.43295170417160156</v>
      </c>
      <c r="CX125" s="181">
        <f t="shared" si="567"/>
        <v>0.49262405006705401</v>
      </c>
      <c r="CY125" s="181">
        <f t="shared" si="567"/>
        <v>0.41620704285108179</v>
      </c>
      <c r="CZ125" s="181">
        <f t="shared" ref="CZ125:DS125" si="568">+CZ124/CU124-1</f>
        <v>0.40950570342205328</v>
      </c>
      <c r="DA125" s="181">
        <f t="shared" si="568"/>
        <v>0.39045020463847213</v>
      </c>
      <c r="DB125" s="991">
        <f t="shared" si="568"/>
        <v>0.40306731563963627</v>
      </c>
      <c r="DC125" s="181">
        <f t="shared" si="568"/>
        <v>0.34890685834082058</v>
      </c>
      <c r="DD125" s="181">
        <f t="shared" si="568"/>
        <v>0.36908328340323537</v>
      </c>
      <c r="DE125" s="181">
        <f t="shared" si="568"/>
        <v>0.29107094685729695</v>
      </c>
      <c r="DF125" s="181">
        <f t="shared" si="568"/>
        <v>0.32613814756671911</v>
      </c>
      <c r="DG125" s="991">
        <f t="shared" si="568"/>
        <v>0.33250425448357124</v>
      </c>
      <c r="DH125" s="181">
        <f t="shared" si="568"/>
        <v>0.27708703374777977</v>
      </c>
      <c r="DI125" s="181">
        <f t="shared" si="568"/>
        <v>0.4113785557986871</v>
      </c>
      <c r="DJ125" s="181">
        <f t="shared" si="568"/>
        <v>0.4005432511491851</v>
      </c>
      <c r="DK125" s="181">
        <f t="shared" si="568"/>
        <v>0.20464634507250667</v>
      </c>
      <c r="DL125" s="991">
        <f t="shared" si="568"/>
        <v>0.32851950093329396</v>
      </c>
      <c r="DM125" s="181">
        <f t="shared" si="568"/>
        <v>0.28581363004172466</v>
      </c>
      <c r="DN125" s="181">
        <f t="shared" si="568"/>
        <v>0.30697674418604648</v>
      </c>
      <c r="DO125" s="181">
        <f t="shared" si="568"/>
        <v>0.3543189616589586</v>
      </c>
      <c r="DP125" s="181">
        <f t="shared" si="568"/>
        <v>0.31421201326618342</v>
      </c>
      <c r="DQ125" s="991">
        <f t="shared" si="568"/>
        <v>0.31638689639872819</v>
      </c>
      <c r="DR125" s="181">
        <f>+DR124/DM124-1</f>
        <v>0.43726338561384526</v>
      </c>
      <c r="DS125" s="181">
        <f t="shared" si="568"/>
        <v>0.35658362989323833</v>
      </c>
      <c r="DT125" s="181">
        <f t="shared" ref="DT125:EC125" si="569">+DT124/DO124-1</f>
        <v>0.32055518836748176</v>
      </c>
      <c r="DU125" s="181">
        <f t="shared" si="569"/>
        <v>0.31657164220955236</v>
      </c>
      <c r="DV125" s="991">
        <f t="shared" si="569"/>
        <v>0.35213324719826988</v>
      </c>
      <c r="DW125" s="181">
        <f t="shared" si="569"/>
        <v>0.25587958607714012</v>
      </c>
      <c r="DX125" s="181">
        <f t="shared" si="569"/>
        <v>0.17147604057362709</v>
      </c>
      <c r="DY125" s="181">
        <f t="shared" si="569"/>
        <v>0.21871871871871873</v>
      </c>
      <c r="DZ125" s="181">
        <f t="shared" si="569"/>
        <v>0.20729802640920059</v>
      </c>
      <c r="EA125" s="991">
        <f t="shared" si="569"/>
        <v>0.21235978396343991</v>
      </c>
      <c r="EB125" s="181">
        <f t="shared" si="569"/>
        <v>0.14149812734082401</v>
      </c>
      <c r="EC125" s="181">
        <f t="shared" si="569"/>
        <v>0.22870791968351134</v>
      </c>
      <c r="ED125" s="181">
        <f t="shared" ref="ED125:EN125" si="570">+ED124/DY124-1</f>
        <v>0.16673511293634502</v>
      </c>
      <c r="EE125" s="181">
        <f t="shared" si="570"/>
        <v>0.22268611078442913</v>
      </c>
      <c r="EF125" s="991">
        <f t="shared" si="570"/>
        <v>0.19149118448331981</v>
      </c>
      <c r="EG125" s="181">
        <f t="shared" si="570"/>
        <v>0.2389264387426997</v>
      </c>
      <c r="EH125" s="181">
        <f t="shared" si="570"/>
        <v>0.22264746977704886</v>
      </c>
      <c r="EI125" s="181">
        <f t="shared" si="570"/>
        <v>0.31491258946380385</v>
      </c>
      <c r="EJ125" s="181">
        <f t="shared" si="570"/>
        <v>0.15461934304814129</v>
      </c>
      <c r="EK125" s="991">
        <f t="shared" si="570"/>
        <v>0.22849048735242095</v>
      </c>
      <c r="EL125" s="181">
        <f t="shared" si="570"/>
        <v>0.23670550847457617</v>
      </c>
      <c r="EM125" s="181">
        <f t="shared" si="570"/>
        <v>0.24654675544072346</v>
      </c>
      <c r="EN125" s="181">
        <f t="shared" si="570"/>
        <v>0.25653609351298301</v>
      </c>
      <c r="EO125" s="181">
        <f t="shared" ref="EO125:EP125" si="571">+EO124/EJ124-1</f>
        <v>0.27691066701616673</v>
      </c>
      <c r="EP125" s="991">
        <f t="shared" si="571"/>
        <v>0.25552595511687182</v>
      </c>
      <c r="EQ125" s="181">
        <f t="shared" ref="EQ125" si="572">+EQ124/EL124-1</f>
        <v>0.27433276926214512</v>
      </c>
      <c r="ER125" s="181">
        <f t="shared" ref="ER125" si="573">+ER124/EM124-1</f>
        <v>0.30793704786352105</v>
      </c>
      <c r="ES125" s="181">
        <f t="shared" ref="ES125" si="574">+ES124/EN124-1</f>
        <v>0.31772185578133838</v>
      </c>
      <c r="ET125" s="181">
        <f t="shared" ref="ET125:EU125" si="575">+ET124/EO124-1</f>
        <v>0.31910811040013987</v>
      </c>
      <c r="EU125" s="991">
        <f t="shared" si="575"/>
        <v>0.30638390009146721</v>
      </c>
      <c r="EV125" s="599">
        <f>+EV124/EU124-1</f>
        <v>0.23106578093830055</v>
      </c>
      <c r="EW125" s="599">
        <f>+EW124/EV124-1</f>
        <v>0.19412722385509951</v>
      </c>
      <c r="EX125" s="599">
        <f>+EX124/EW124-1</f>
        <v>0.16289931250360778</v>
      </c>
      <c r="EY125" s="599">
        <f>+EY124/EX124-1</f>
        <v>0.14747771381593444</v>
      </c>
      <c r="EZ125" s="169"/>
      <c r="FA125" s="725"/>
      <c r="FB125" s="725"/>
    </row>
    <row r="126" spans="1:158" s="77" customFormat="1" ht="11.25" hidden="1" customHeight="1" outlineLevel="1">
      <c r="A126" s="5639" t="s">
        <v>46</v>
      </c>
      <c r="B126" s="2612"/>
      <c r="C126" s="169"/>
      <c r="D126" s="169"/>
      <c r="E126" s="169"/>
      <c r="F126" s="5088"/>
      <c r="G126" s="2612"/>
      <c r="H126" s="169"/>
      <c r="I126" s="169"/>
      <c r="J126" s="169"/>
      <c r="K126" s="1219"/>
      <c r="L126" s="169"/>
      <c r="M126" s="169"/>
      <c r="N126" s="169"/>
      <c r="O126" s="169"/>
      <c r="P126" s="1001"/>
      <c r="Q126" s="1226" t="s">
        <v>116</v>
      </c>
      <c r="R126" s="169">
        <f>+R124/Q124-1</f>
        <v>0.39278112805959586</v>
      </c>
      <c r="S126" s="169">
        <f>+S124/R124-1</f>
        <v>0.11036400297145277</v>
      </c>
      <c r="T126" s="169">
        <f>+T124/S124-1</f>
        <v>9.6481301658421614E-2</v>
      </c>
      <c r="U126" s="1001"/>
      <c r="V126" s="1226">
        <f>+V124/T124-1</f>
        <v>0.10409526366376021</v>
      </c>
      <c r="W126" s="169">
        <f>+W124/V124-1</f>
        <v>0.10673684210526302</v>
      </c>
      <c r="X126" s="169">
        <f>+X124/W124-1</f>
        <v>0.16596918394521598</v>
      </c>
      <c r="Y126" s="169">
        <f>+Y124/X124-1</f>
        <v>6.0282241618402788E-2</v>
      </c>
      <c r="Z126" s="1001"/>
      <c r="AA126" s="1226">
        <f>+AA124/Y124-1</f>
        <v>0.10316971841821831</v>
      </c>
      <c r="AB126" s="169">
        <f>+AB124/AA124-1</f>
        <v>-0.26466280772717765</v>
      </c>
      <c r="AC126" s="169">
        <f>+AC124/AB124-1</f>
        <v>-6.2310318664648756E-2</v>
      </c>
      <c r="AD126" s="169">
        <f>+AD124/AC124-1</f>
        <v>0.12481035703449628</v>
      </c>
      <c r="AE126" s="1001"/>
      <c r="AF126" s="1226">
        <f>+AF124/AD124-1</f>
        <v>0.38518118874201956</v>
      </c>
      <c r="AG126" s="169">
        <f>+AG124/AF124-1</f>
        <v>0.10882463679680088</v>
      </c>
      <c r="AH126" s="169">
        <f>+AH124/AG124-1</f>
        <v>9.8589075581055008E-2</v>
      </c>
      <c r="AI126" s="169">
        <f>+AI124/AH124-1</f>
        <v>0.18875566213695705</v>
      </c>
      <c r="AJ126" s="1001"/>
      <c r="AK126" s="1226">
        <f>+AK124/AI124-1</f>
        <v>0.25799076523064524</v>
      </c>
      <c r="AL126" s="169">
        <f>+AL124/AK124-1</f>
        <v>-3.9163281305680253E-2</v>
      </c>
      <c r="AM126" s="169">
        <f>+AM124/AL124-1</f>
        <v>-1.0718391870340849E-2</v>
      </c>
      <c r="AN126" s="184">
        <f>+AN124/AM124-1</f>
        <v>0.14677213766214292</v>
      </c>
      <c r="AO126" s="1001"/>
      <c r="AP126" s="1226">
        <f>+AP124/AN124-1</f>
        <v>0.1939259210827422</v>
      </c>
      <c r="AQ126" s="169">
        <f>+AQ124/AP124-1</f>
        <v>-7.8776594288217816E-2</v>
      </c>
      <c r="AR126" s="169">
        <f>+AR124/AQ124-1</f>
        <v>0.24462014029247436</v>
      </c>
      <c r="AS126" s="184">
        <f>+AS124/AR124-1</f>
        <v>0.65506041935329784</v>
      </c>
      <c r="AT126" s="1001"/>
      <c r="AU126" s="1226">
        <f>+AU124/AS124-1</f>
        <v>0.43566027934895524</v>
      </c>
      <c r="AV126" s="169">
        <f>+AV124/AU124-1</f>
        <v>0.82706011236519705</v>
      </c>
      <c r="AW126" s="169">
        <f>+AW124/AV124-1</f>
        <v>4.1983200118820507E-2</v>
      </c>
      <c r="AX126" s="184">
        <f>+AX124/AW124-1</f>
        <v>3.6501090175747875E-2</v>
      </c>
      <c r="AY126" s="1001"/>
      <c r="AZ126" s="1226">
        <f>+AZ124/AX124-1</f>
        <v>-9.2740395144983223E-2</v>
      </c>
      <c r="BA126" s="169">
        <f>+BA124/AZ124-1</f>
        <v>4.852771929824562E-2</v>
      </c>
      <c r="BB126" s="169">
        <f>+BB124/BA124-1</f>
        <v>7.8224973095106787E-3</v>
      </c>
      <c r="BC126" s="184">
        <f>+BC124/BB124-1</f>
        <v>0.10840461137969504</v>
      </c>
      <c r="BD126" s="1001"/>
      <c r="BE126" s="1226">
        <f>+BE124/BC124-1</f>
        <v>0.43791789488820188</v>
      </c>
      <c r="BF126" s="169">
        <f>+BF124/BE124-1</f>
        <v>-0.14000000000000001</v>
      </c>
      <c r="BG126" s="169">
        <f>+BG124/BF124-1</f>
        <v>-1.5503875968992276E-2</v>
      </c>
      <c r="BH126" s="184">
        <f>+BH124/BG124-1</f>
        <v>7.4803149606299302E-2</v>
      </c>
      <c r="BI126" s="1001"/>
      <c r="BJ126" s="1226">
        <f>+BJ124/BH124-1</f>
        <v>-1.46520146520146E-2</v>
      </c>
      <c r="BK126" s="169">
        <f>+BK124/BJ124-1</f>
        <v>0.15241635687732336</v>
      </c>
      <c r="BL126" s="169">
        <f>+BL124/BK124-1</f>
        <v>0.24193548387096775</v>
      </c>
      <c r="BM126" s="169">
        <f>+BM124/BL124-1</f>
        <v>6.4935064935064846E-2</v>
      </c>
      <c r="BN126" s="1001"/>
      <c r="BO126" s="42"/>
      <c r="BP126" s="42"/>
      <c r="BQ126" s="42"/>
      <c r="BR126" s="42"/>
      <c r="BS126" s="597"/>
      <c r="BT126" s="169">
        <f>+BT124/BM124-1</f>
        <v>2.4390243902439046E-2</v>
      </c>
      <c r="BU126" s="169">
        <f>+BU124/BT124-1</f>
        <v>4.5238095238095299E-2</v>
      </c>
      <c r="BV126" s="169">
        <f>+BV124/BU124-1</f>
        <v>0.51708428246013671</v>
      </c>
      <c r="BW126" s="169">
        <f>+BW124/BV124-1</f>
        <v>0.24474474474474484</v>
      </c>
      <c r="BX126" s="1001"/>
      <c r="BY126" s="42"/>
      <c r="BZ126" s="42"/>
      <c r="CA126" s="42"/>
      <c r="CB126" s="42"/>
      <c r="CC126" s="597"/>
      <c r="CD126" s="576">
        <f>+CD124/BW124-1</f>
        <v>0.10977080820265384</v>
      </c>
      <c r="CE126" s="169">
        <f>+CE124/CD124-1</f>
        <v>5.4347826086955653E-3</v>
      </c>
      <c r="CF126" s="169">
        <f>+CF124/CE124-1</f>
        <v>0.19027027027027033</v>
      </c>
      <c r="CG126" s="169">
        <f>+CG124/CF124-1</f>
        <v>0.3633060853769301</v>
      </c>
      <c r="CH126" s="1001"/>
      <c r="CI126" s="169">
        <f>+CI124/CG124-1</f>
        <v>-5.1965356429047316E-2</v>
      </c>
      <c r="CJ126" s="169">
        <f>+CJ124/CI124-1</f>
        <v>2.3893183415319763E-2</v>
      </c>
      <c r="CK126" s="169">
        <f>+CK124/CJ124-1</f>
        <v>0.16884008236101589</v>
      </c>
      <c r="CL126" s="169">
        <f>+CL124/CK124-1</f>
        <v>5.3435114503816772E-2</v>
      </c>
      <c r="CM126" s="1001"/>
      <c r="CN126" s="169">
        <f>+CN124/CL124-1</f>
        <v>-2.4526198439241864E-2</v>
      </c>
      <c r="CO126" s="169">
        <f>+CO124/CN124-1</f>
        <v>-2.6285714285714246E-2</v>
      </c>
      <c r="CP126" s="169">
        <f>+CP124/CO124-1</f>
        <v>0.11150234741784049</v>
      </c>
      <c r="CQ126" s="169">
        <f>+CQ124/CP124-1</f>
        <v>0.18848996832101372</v>
      </c>
      <c r="CR126" s="1001"/>
      <c r="CS126" s="169">
        <f>+CS124/CQ124-1</f>
        <v>-6.2194580186584192E-3</v>
      </c>
      <c r="CT126" s="169">
        <f>+CT124/CS124-1</f>
        <v>5.3643272239606521E-2</v>
      </c>
      <c r="CU126" s="169">
        <f>+CU124/CT124-1</f>
        <v>0.11582520152736531</v>
      </c>
      <c r="CV126" s="169">
        <f>+CV124/CU124-1</f>
        <v>0.39353612167300378</v>
      </c>
      <c r="CW126" s="1001"/>
      <c r="CX126" s="169">
        <f>+CX124/CV124-1</f>
        <v>-8.8949522510231915E-2</v>
      </c>
      <c r="CY126" s="169">
        <f>+CY124/CX124-1</f>
        <v>-2.994908655286066E-4</v>
      </c>
      <c r="CZ126" s="169">
        <f>+CZ124/CY124-1</f>
        <v>0.11054523666866389</v>
      </c>
      <c r="DA126" s="169">
        <f>+DA124/CZ124-1</f>
        <v>0.37469652009711352</v>
      </c>
      <c r="DB126" s="1001"/>
      <c r="DC126" s="2612">
        <f>+DC124/DA124-1</f>
        <v>-0.1161695447409733</v>
      </c>
      <c r="DD126" s="2612">
        <f>+DD124/DC124-1</f>
        <v>1.4653641207815316E-2</v>
      </c>
      <c r="DE126" s="2612">
        <f>+DE124/DD124-1</f>
        <v>4.7264770240700305E-2</v>
      </c>
      <c r="DF126" s="2612">
        <f>+DF124/DE124-1</f>
        <v>0.41203510238194729</v>
      </c>
      <c r="DG126" s="1001"/>
      <c r="DH126" s="2612">
        <f>+DH124/DF124-1</f>
        <v>-0.14886060964782477</v>
      </c>
      <c r="DI126" s="2612">
        <f>+DI124/DH124-1</f>
        <v>0.12134909596662036</v>
      </c>
      <c r="DJ126" s="2612">
        <f>+DJ124/DI124-1</f>
        <v>3.9224806201550333E-2</v>
      </c>
      <c r="DK126" s="2612">
        <f>+DK124/DJ124-1</f>
        <v>0.2145308071012979</v>
      </c>
      <c r="DL126" s="1001"/>
      <c r="DM126" s="2612">
        <f>+DM124/DK124-1</f>
        <v>-9.1512099250706247E-2</v>
      </c>
      <c r="DN126" s="2612">
        <f>+DN124/DM124-1</f>
        <v>0.1398053001622499</v>
      </c>
      <c r="DO126" s="2612">
        <f>+DO124/DN124-1</f>
        <v>7.6868327402135339E-2</v>
      </c>
      <c r="DP126" s="2612">
        <f>+DP124/DO124-1</f>
        <v>0.17856356025556286</v>
      </c>
      <c r="DQ126" s="1001"/>
      <c r="DR126" s="2612">
        <f>+DR124/DP124-1</f>
        <v>-6.4492008598934225E-3</v>
      </c>
      <c r="DS126" s="2612">
        <f>+DS124/DR124-1</f>
        <v>7.5823142050799541E-2</v>
      </c>
      <c r="DT126" s="2612">
        <f>+DT124/DS124-1</f>
        <v>4.8268625393494302E-2</v>
      </c>
      <c r="DU126" s="2612">
        <f>+DU124/DT124-1</f>
        <v>0.17500834167500834</v>
      </c>
      <c r="DV126" s="1001"/>
      <c r="DW126" s="2612">
        <f>+DW124/DU124-1</f>
        <v>-5.2250461451086139E-2</v>
      </c>
      <c r="DX126" s="2612">
        <f>+DX124/DW124-1</f>
        <v>3.5205992509363959E-3</v>
      </c>
      <c r="DY126" s="2612">
        <f>+DY124/DX124-1</f>
        <v>9.0542658804209974E-2</v>
      </c>
      <c r="DZ126" s="2612">
        <f>+DZ124/DY124-1</f>
        <v>0.16399726214921295</v>
      </c>
      <c r="EA126" s="1001"/>
      <c r="EB126" s="2612">
        <f>+EB124/DZ124-1</f>
        <v>-0.10390450429260256</v>
      </c>
      <c r="EC126" s="2612">
        <f>+EC124/EB124-1</f>
        <v>8.0188988778791215E-2</v>
      </c>
      <c r="ED126" s="2612">
        <f>+ED124/EC124-1</f>
        <v>3.5538545653362563E-2</v>
      </c>
      <c r="EE126" s="2612">
        <f>+EE124/ED124-1</f>
        <v>0.21981696585709254</v>
      </c>
      <c r="EF126" s="1001"/>
      <c r="EG126" s="2612">
        <f>+EG124/EE124-1</f>
        <v>-9.2002116096763342E-2</v>
      </c>
      <c r="EH126" s="2612">
        <f>+EH124/EG124-1</f>
        <v>6.5995762711864359E-2</v>
      </c>
      <c r="EI126" s="2612">
        <f>+EI124/EH124-1</f>
        <v>0.11368379210970891</v>
      </c>
      <c r="EJ126" s="2612">
        <f>+EJ124/EI124-1</f>
        <v>7.111626661907744E-2</v>
      </c>
      <c r="EK126" s="1001"/>
      <c r="EL126" s="2612">
        <f>+EL124/EJ124-1</f>
        <v>-2.7449183605464889E-2</v>
      </c>
      <c r="EM126" s="2612">
        <f>+EM124/EL124-1</f>
        <v>7.4478564392479241E-2</v>
      </c>
      <c r="EN126" s="2612">
        <f>+EN124/EM124-1</f>
        <v>0.12260841836734704</v>
      </c>
      <c r="EO126" s="2612">
        <f>+EO124/EN124-1</f>
        <v>8.8484281129247666E-2</v>
      </c>
      <c r="EP126" s="1001"/>
      <c r="EQ126" s="2612">
        <f>+EQ124/EO124-1</f>
        <v>-2.941262288905544E-2</v>
      </c>
      <c r="ER126" s="2612">
        <f>+ER124/EQ124-1</f>
        <v>0.10281266824665392</v>
      </c>
      <c r="ES126" s="2612">
        <f>+ES124/ER124-1</f>
        <v>0.13100676426525704</v>
      </c>
      <c r="ET126" s="2612">
        <f>+ET124/ES124-1</f>
        <v>8.9629375866492778E-2</v>
      </c>
      <c r="EU126" s="1001"/>
      <c r="EV126" s="597"/>
      <c r="EW126" s="597"/>
      <c r="EX126" s="597"/>
      <c r="EY126" s="597"/>
      <c r="EZ126" s="42"/>
      <c r="FA126" s="1100"/>
      <c r="FB126" s="1100"/>
    </row>
    <row r="127" spans="1:158" s="168" customFormat="1" ht="11.25" customHeight="1" collapsed="1">
      <c r="A127" s="4474" t="s">
        <v>644</v>
      </c>
      <c r="B127" s="3013"/>
      <c r="C127" s="3013"/>
      <c r="D127" s="3013"/>
      <c r="E127" s="3013"/>
      <c r="F127" s="5593"/>
      <c r="G127" s="3013"/>
      <c r="H127" s="3013"/>
      <c r="I127" s="3013"/>
      <c r="J127" s="3013"/>
      <c r="K127" s="3014"/>
      <c r="L127" s="3013"/>
      <c r="M127" s="3013"/>
      <c r="N127" s="3013"/>
      <c r="O127" s="3045"/>
      <c r="P127" s="3014">
        <f t="shared" ref="P127:AU127" si="576">P121+P124</f>
        <v>86.426000000000002</v>
      </c>
      <c r="Q127" s="3012">
        <f t="shared" si="576"/>
        <v>42.284999999999997</v>
      </c>
      <c r="R127" s="3013">
        <f t="shared" si="576"/>
        <v>64.525000000000006</v>
      </c>
      <c r="S127" s="3013">
        <f t="shared" si="576"/>
        <v>101.78700000000001</v>
      </c>
      <c r="T127" s="3045">
        <f t="shared" si="576"/>
        <v>136.41099999999994</v>
      </c>
      <c r="U127" s="3014">
        <f t="shared" si="576"/>
        <v>345.00799999999998</v>
      </c>
      <c r="V127" s="3046">
        <f t="shared" si="576"/>
        <v>178.48700000000002</v>
      </c>
      <c r="W127" s="3013">
        <f t="shared" si="576"/>
        <v>214.64000000000001</v>
      </c>
      <c r="X127" s="3013">
        <f t="shared" si="576"/>
        <v>250.45499999999998</v>
      </c>
      <c r="Y127" s="3045">
        <f t="shared" si="576"/>
        <v>295.81800000000004</v>
      </c>
      <c r="Z127" s="3014">
        <f t="shared" si="576"/>
        <v>939.40099999999995</v>
      </c>
      <c r="AA127" s="3012">
        <f t="shared" si="576"/>
        <v>380.62099999999998</v>
      </c>
      <c r="AB127" s="3013">
        <f t="shared" si="576"/>
        <v>423.178</v>
      </c>
      <c r="AC127" s="3013">
        <f t="shared" si="576"/>
        <v>502.98699999999997</v>
      </c>
      <c r="AD127" s="3045">
        <f t="shared" si="576"/>
        <v>653.79399999999998</v>
      </c>
      <c r="AE127" s="3014">
        <f t="shared" si="576"/>
        <v>1960.5799999999997</v>
      </c>
      <c r="AF127" s="3012">
        <f t="shared" si="576"/>
        <v>794.71579999999983</v>
      </c>
      <c r="AG127" s="3013">
        <f t="shared" si="576"/>
        <v>890.19500000000005</v>
      </c>
      <c r="AH127" s="3013">
        <f t="shared" si="576"/>
        <v>1048.556</v>
      </c>
      <c r="AI127" s="3045">
        <f t="shared" si="576"/>
        <v>1290.193</v>
      </c>
      <c r="AJ127" s="3014">
        <f t="shared" si="576"/>
        <v>4023.6598000000004</v>
      </c>
      <c r="AK127" s="3012">
        <f t="shared" si="576"/>
        <v>1531.0189999999998</v>
      </c>
      <c r="AL127" s="3013">
        <f t="shared" si="576"/>
        <v>1670.8319999999999</v>
      </c>
      <c r="AM127" s="3013">
        <f t="shared" si="576"/>
        <v>1864.4090000000001</v>
      </c>
      <c r="AN127" s="3045">
        <f t="shared" si="576"/>
        <v>2229.8999999999996</v>
      </c>
      <c r="AO127" s="3014">
        <f t="shared" si="576"/>
        <v>7296.1600000000017</v>
      </c>
      <c r="AP127" s="3012">
        <f t="shared" si="576"/>
        <v>2538.9429999999998</v>
      </c>
      <c r="AQ127" s="3013">
        <f t="shared" si="576"/>
        <v>2724.0269999999996</v>
      </c>
      <c r="AR127" s="3013">
        <f t="shared" si="576"/>
        <v>3010.2309999999998</v>
      </c>
      <c r="AS127" s="3045">
        <f t="shared" si="576"/>
        <v>3386.8650000000007</v>
      </c>
      <c r="AT127" s="3014">
        <f t="shared" si="576"/>
        <v>11660.066000000001</v>
      </c>
      <c r="AU127" s="3012">
        <f t="shared" si="576"/>
        <v>3699.6590000000001</v>
      </c>
      <c r="AV127" s="3013">
        <f t="shared" ref="AV127:BN127" si="577">AV121+AV124</f>
        <v>3893.2319999999995</v>
      </c>
      <c r="AW127" s="3013">
        <f t="shared" si="577"/>
        <v>4046.1849999999995</v>
      </c>
      <c r="AX127" s="3045">
        <f t="shared" si="577"/>
        <v>4217.5219999999999</v>
      </c>
      <c r="AY127" s="3014">
        <f t="shared" si="577"/>
        <v>15856.598</v>
      </c>
      <c r="AZ127" s="3012">
        <f t="shared" si="577"/>
        <v>4073.0299999999997</v>
      </c>
      <c r="BA127" s="3013">
        <f t="shared" si="577"/>
        <v>4069.5430000000006</v>
      </c>
      <c r="BB127" s="3013">
        <f t="shared" si="577"/>
        <v>4385.6350000000002</v>
      </c>
      <c r="BC127" s="3045">
        <f t="shared" si="577"/>
        <v>4952.9549999999999</v>
      </c>
      <c r="BD127" s="3014">
        <f t="shared" si="577"/>
        <v>17481.163</v>
      </c>
      <c r="BE127" s="3012">
        <f t="shared" si="577"/>
        <v>5064</v>
      </c>
      <c r="BF127" s="3013">
        <f t="shared" si="577"/>
        <v>5088</v>
      </c>
      <c r="BG127" s="3013">
        <f t="shared" si="577"/>
        <v>5481</v>
      </c>
      <c r="BH127" s="3045">
        <f t="shared" si="577"/>
        <v>6371</v>
      </c>
      <c r="BI127" s="3014">
        <f t="shared" si="577"/>
        <v>22004</v>
      </c>
      <c r="BJ127" s="3012">
        <f t="shared" si="577"/>
        <v>6537</v>
      </c>
      <c r="BK127" s="3013">
        <f t="shared" si="577"/>
        <v>6916</v>
      </c>
      <c r="BL127" s="3013">
        <f t="shared" si="577"/>
        <v>7510</v>
      </c>
      <c r="BM127" s="3013">
        <f t="shared" si="577"/>
        <v>8134</v>
      </c>
      <c r="BN127" s="3014">
        <f t="shared" si="577"/>
        <v>29097</v>
      </c>
      <c r="BO127" s="3013"/>
      <c r="BP127" s="3013"/>
      <c r="BQ127" s="3013"/>
      <c r="BR127" s="3013"/>
      <c r="BS127" s="3047"/>
      <c r="BT127" s="3013">
        <f>BT121+BT124</f>
        <v>8135</v>
      </c>
      <c r="BU127" s="3013">
        <f>BU121+BU124</f>
        <v>8364</v>
      </c>
      <c r="BV127" s="3013">
        <f>BV121+BV124</f>
        <v>8756</v>
      </c>
      <c r="BW127" s="3013">
        <f>BW121+BW124</f>
        <v>9825</v>
      </c>
      <c r="BX127" s="3014">
        <f>BX121+BX124</f>
        <v>35080</v>
      </c>
      <c r="BY127" s="3013"/>
      <c r="BZ127" s="3013"/>
      <c r="CA127" s="3013"/>
      <c r="CB127" s="3013"/>
      <c r="CC127" s="3047"/>
      <c r="CD127" s="3048">
        <f t="shared" ref="CD127:CQ127" si="578">CD121+CD124</f>
        <v>9989</v>
      </c>
      <c r="CE127" s="3013">
        <f t="shared" si="578"/>
        <v>10094</v>
      </c>
      <c r="CF127" s="3013">
        <f t="shared" si="578"/>
        <v>10782</v>
      </c>
      <c r="CG127" s="3013">
        <f t="shared" si="578"/>
        <v>12397</v>
      </c>
      <c r="CH127" s="3014">
        <f t="shared" si="578"/>
        <v>43262</v>
      </c>
      <c r="CI127" s="3049">
        <f t="shared" si="578"/>
        <v>12188</v>
      </c>
      <c r="CJ127" s="3013">
        <f t="shared" si="578"/>
        <v>12662</v>
      </c>
      <c r="CK127" s="3013">
        <f t="shared" si="578"/>
        <v>13175</v>
      </c>
      <c r="CL127" s="3013">
        <f t="shared" si="578"/>
        <v>14483</v>
      </c>
      <c r="CM127" s="3014">
        <f t="shared" si="578"/>
        <v>52508</v>
      </c>
      <c r="CN127" s="3013">
        <f t="shared" si="578"/>
        <v>13913</v>
      </c>
      <c r="CO127" s="3013">
        <f t="shared" si="578"/>
        <v>14350</v>
      </c>
      <c r="CP127" s="3013">
        <f t="shared" si="578"/>
        <v>15109</v>
      </c>
      <c r="CQ127" s="3013">
        <f t="shared" si="578"/>
        <v>17274</v>
      </c>
      <c r="CR127" s="3014">
        <f>SUM(CN127:CQ127)</f>
        <v>60646</v>
      </c>
      <c r="CS127" s="3013">
        <f>CS121+CS124</f>
        <v>16469</v>
      </c>
      <c r="CT127" s="3013">
        <f>CT121+CT124</f>
        <v>17525</v>
      </c>
      <c r="CU127" s="3013">
        <f>CU121+CU124</f>
        <v>18269</v>
      </c>
      <c r="CV127" s="3013">
        <f>CV121+CV124</f>
        <v>21216</v>
      </c>
      <c r="CW127" s="3014">
        <f>SUM(CS127:CV127)</f>
        <v>73479</v>
      </c>
      <c r="CX127" s="3013">
        <f t="shared" ref="CX127:EC127" si="579">CX121+CX124</f>
        <v>20121</v>
      </c>
      <c r="CY127" s="3013">
        <f t="shared" si="579"/>
        <v>20919</v>
      </c>
      <c r="CZ127" s="3013">
        <f t="shared" si="579"/>
        <v>22270</v>
      </c>
      <c r="DA127" s="3013">
        <f t="shared" si="579"/>
        <v>25873</v>
      </c>
      <c r="DB127" s="3014">
        <f t="shared" si="579"/>
        <v>89183</v>
      </c>
      <c r="DC127" s="3013">
        <f t="shared" si="579"/>
        <v>24858</v>
      </c>
      <c r="DD127" s="3013">
        <f t="shared" si="579"/>
        <v>26237</v>
      </c>
      <c r="DE127" s="3013">
        <f t="shared" si="579"/>
        <v>27158</v>
      </c>
      <c r="DF127" s="3013">
        <f t="shared" si="579"/>
        <v>31840</v>
      </c>
      <c r="DG127" s="3014">
        <f t="shared" si="579"/>
        <v>110093</v>
      </c>
      <c r="DH127" s="3013">
        <f t="shared" si="579"/>
        <v>29479</v>
      </c>
      <c r="DI127" s="3013">
        <f t="shared" si="579"/>
        <v>31706</v>
      </c>
      <c r="DJ127" s="3013">
        <f t="shared" si="579"/>
        <v>33009</v>
      </c>
      <c r="DK127" s="3013">
        <f t="shared" si="579"/>
        <v>37574</v>
      </c>
      <c r="DL127" s="3014">
        <f t="shared" si="579"/>
        <v>131768</v>
      </c>
      <c r="DM127" s="3013">
        <f t="shared" si="579"/>
        <v>33707</v>
      </c>
      <c r="DN127" s="3013">
        <f t="shared" si="579"/>
        <v>31603</v>
      </c>
      <c r="DO127" s="3013">
        <f t="shared" si="579"/>
        <v>38007</v>
      </c>
      <c r="DP127" s="3013">
        <f t="shared" si="579"/>
        <v>46432</v>
      </c>
      <c r="DQ127" s="3014">
        <f t="shared" si="579"/>
        <v>149749</v>
      </c>
      <c r="DR127" s="3013">
        <f t="shared" si="579"/>
        <v>45602</v>
      </c>
      <c r="DS127" s="3013">
        <f t="shared" si="579"/>
        <v>50951</v>
      </c>
      <c r="DT127" s="3013">
        <f t="shared" si="579"/>
        <v>53620</v>
      </c>
      <c r="DU127" s="3013">
        <f t="shared" si="579"/>
        <v>61898</v>
      </c>
      <c r="DV127" s="3014">
        <f t="shared" si="579"/>
        <v>212071</v>
      </c>
      <c r="DW127" s="3013">
        <f t="shared" si="579"/>
        <v>56021</v>
      </c>
      <c r="DX127" s="3013">
        <f t="shared" si="579"/>
        <v>57471</v>
      </c>
      <c r="DY127" s="3013">
        <f t="shared" si="579"/>
        <v>57266</v>
      </c>
      <c r="DZ127" s="3013">
        <f t="shared" si="579"/>
        <v>63123</v>
      </c>
      <c r="EA127" s="3014">
        <f t="shared" si="579"/>
        <v>233881</v>
      </c>
      <c r="EB127" s="3013">
        <f t="shared" si="579"/>
        <v>58066</v>
      </c>
      <c r="EC127" s="3013">
        <f t="shared" si="579"/>
        <v>62067</v>
      </c>
      <c r="ED127" s="3013">
        <f t="shared" ref="ED127:EX127" si="580">ED121+ED124</f>
        <v>64051</v>
      </c>
      <c r="EE127" s="3013">
        <f t="shared" si="580"/>
        <v>72324</v>
      </c>
      <c r="EF127" s="3014">
        <f t="shared" si="580"/>
        <v>256508</v>
      </c>
      <c r="EG127" s="3013">
        <f t="shared" si="580"/>
        <v>67593</v>
      </c>
      <c r="EH127" s="3013">
        <f t="shared" si="580"/>
        <v>71355</v>
      </c>
      <c r="EI127" s="3013">
        <f t="shared" ref="EI127:EJ127" si="581">EI121+EI124</f>
        <v>74549</v>
      </c>
      <c r="EJ127" s="3013">
        <f t="shared" si="581"/>
        <v>81621</v>
      </c>
      <c r="EK127" s="3014">
        <f t="shared" si="580"/>
        <v>295118</v>
      </c>
      <c r="EL127" s="3013">
        <f t="shared" ref="EL127:EN127" si="582">EL121+EL124</f>
        <v>76486</v>
      </c>
      <c r="EM127" s="3013">
        <f t="shared" si="582"/>
        <v>81723</v>
      </c>
      <c r="EN127" s="3013">
        <f t="shared" si="582"/>
        <v>87470</v>
      </c>
      <c r="EO127" s="3013">
        <f t="shared" si="580"/>
        <v>95988.037097372187</v>
      </c>
      <c r="EP127" s="3014">
        <f t="shared" si="580"/>
        <v>341667.03709737211</v>
      </c>
      <c r="EQ127" s="3013">
        <f t="shared" ref="EQ127:EU127" si="583">EQ121+EQ124</f>
        <v>90879.729962015364</v>
      </c>
      <c r="ER127" s="3013">
        <f t="shared" si="583"/>
        <v>96719.327619356962</v>
      </c>
      <c r="ES127" s="3013">
        <f t="shared" si="583"/>
        <v>102719.8049017732</v>
      </c>
      <c r="ET127" s="3013">
        <f t="shared" si="583"/>
        <v>112914.74775080651</v>
      </c>
      <c r="EU127" s="3014">
        <f t="shared" si="583"/>
        <v>403233.61023395206</v>
      </c>
      <c r="EV127" s="3047">
        <f t="shared" si="580"/>
        <v>460538.62103755499</v>
      </c>
      <c r="EW127" s="3047">
        <f t="shared" si="580"/>
        <v>518802.07745899889</v>
      </c>
      <c r="EX127" s="3047">
        <f t="shared" si="580"/>
        <v>576864.19993004168</v>
      </c>
      <c r="EY127" s="3047">
        <f t="shared" ref="EY127" si="584">EY121+EY124</f>
        <v>637270.0776763286</v>
      </c>
      <c r="EZ127" s="167"/>
      <c r="FA127" s="1319">
        <f>(EV127/EK127)^(1/3)-1</f>
        <v>0.15990775585861572</v>
      </c>
      <c r="FB127" s="1319">
        <f>(EX127/EK127)^(1/5)-1</f>
        <v>0.14344578443648581</v>
      </c>
    </row>
    <row r="128" spans="1:158" s="194" customFormat="1" ht="11.25" customHeight="1">
      <c r="A128" s="5363" t="s">
        <v>45</v>
      </c>
      <c r="B128" s="2612"/>
      <c r="C128" s="169"/>
      <c r="D128" s="169"/>
      <c r="E128" s="169"/>
      <c r="F128" s="4241"/>
      <c r="G128" s="2612"/>
      <c r="H128" s="169"/>
      <c r="I128" s="169"/>
      <c r="J128" s="169"/>
      <c r="K128" s="992"/>
      <c r="L128" s="169"/>
      <c r="M128" s="169"/>
      <c r="N128" s="169"/>
      <c r="O128" s="184"/>
      <c r="P128" s="1013" t="s">
        <v>116</v>
      </c>
      <c r="Q128" s="1226" t="s">
        <v>116</v>
      </c>
      <c r="R128" s="169" t="s">
        <v>116</v>
      </c>
      <c r="S128" s="169" t="s">
        <v>116</v>
      </c>
      <c r="T128" s="184" t="s">
        <v>116</v>
      </c>
      <c r="U128" s="1013">
        <f t="shared" ref="U128:AE128" si="585">+U127/P127-1</f>
        <v>2.9919468678406957</v>
      </c>
      <c r="V128" s="1226">
        <f t="shared" si="585"/>
        <v>3.2210476528319747</v>
      </c>
      <c r="W128" s="169">
        <f t="shared" si="585"/>
        <v>2.3264626113909337</v>
      </c>
      <c r="X128" s="169">
        <f t="shared" si="585"/>
        <v>1.4605794453122694</v>
      </c>
      <c r="Y128" s="169">
        <f t="shared" si="585"/>
        <v>1.1685787803036423</v>
      </c>
      <c r="Z128" s="1013">
        <f t="shared" si="585"/>
        <v>1.7228383109956869</v>
      </c>
      <c r="AA128" s="1226">
        <f t="shared" si="585"/>
        <v>1.1324858393048229</v>
      </c>
      <c r="AB128" s="169">
        <f t="shared" si="585"/>
        <v>0.97157100260901963</v>
      </c>
      <c r="AC128" s="169">
        <f t="shared" si="585"/>
        <v>1.0082929069094249</v>
      </c>
      <c r="AD128" s="169">
        <f t="shared" si="585"/>
        <v>1.2101224401490103</v>
      </c>
      <c r="AE128" s="1013">
        <f t="shared" si="585"/>
        <v>1.0870533456958209</v>
      </c>
      <c r="AF128" s="1226">
        <f>+AF127/AA127-1</f>
        <v>1.0879452263537743</v>
      </c>
      <c r="AG128" s="169">
        <f>+AG127/AB127-1</f>
        <v>1.1035947048287009</v>
      </c>
      <c r="AH128" s="169">
        <f>+AH127/AC127-1</f>
        <v>1.0846582516049126</v>
      </c>
      <c r="AI128" s="169">
        <f>+AI127/AD127-1</f>
        <v>0.97339376011404211</v>
      </c>
      <c r="AJ128" s="1013">
        <f>AJ127/AE127-1</f>
        <v>1.0522803456120133</v>
      </c>
      <c r="AK128" s="1226">
        <f>+AK127/AF127-1</f>
        <v>0.92649875590745778</v>
      </c>
      <c r="AL128" s="169">
        <f>+AL127/AG127-1</f>
        <v>0.87692808878953454</v>
      </c>
      <c r="AM128" s="169">
        <f>+AM127/AH127-1</f>
        <v>0.77807289262566814</v>
      </c>
      <c r="AN128" s="184">
        <f>+AN127/AI127-1</f>
        <v>0.72834606915399447</v>
      </c>
      <c r="AO128" s="1013">
        <f>AO127/AJ127-1</f>
        <v>0.8133143363661115</v>
      </c>
      <c r="AP128" s="1226">
        <f>+AP127/AK127-1</f>
        <v>0.65833539622957016</v>
      </c>
      <c r="AQ128" s="169">
        <f>+AQ127/AL127-1</f>
        <v>0.63034165014795018</v>
      </c>
      <c r="AR128" s="169">
        <f>+AR127/AM127-1</f>
        <v>0.61457652264068652</v>
      </c>
      <c r="AS128" s="184">
        <f>+AS127/AN127-1</f>
        <v>0.51884165209202271</v>
      </c>
      <c r="AT128" s="1013">
        <f>AT127/AO127-1</f>
        <v>0.59810996469375644</v>
      </c>
      <c r="AU128" s="1226">
        <f>+AU127/AP127-1</f>
        <v>0.45716504860487239</v>
      </c>
      <c r="AV128" s="169">
        <f>+AV127/AQ127-1</f>
        <v>0.42921931390547896</v>
      </c>
      <c r="AW128" s="169">
        <f>+AW127/AR127-1</f>
        <v>0.34414435304134461</v>
      </c>
      <c r="AX128" s="184">
        <f>+AX127/AS127-1</f>
        <v>0.24525837315629628</v>
      </c>
      <c r="AY128" s="1013">
        <f>AY127/AT127-1</f>
        <v>0.3599063675968901</v>
      </c>
      <c r="AZ128" s="1226">
        <f>+AZ127/AU127-1</f>
        <v>0.10092038212170351</v>
      </c>
      <c r="BA128" s="169">
        <f>+BA127/AV127-1</f>
        <v>4.5286538279763811E-2</v>
      </c>
      <c r="BB128" s="169">
        <f>+BB127/AW127-1</f>
        <v>8.3893840741340542E-2</v>
      </c>
      <c r="BC128" s="184">
        <f>+BC127/AX127-1</f>
        <v>0.17437561677212354</v>
      </c>
      <c r="BD128" s="1013">
        <f>BD127/AY127-1</f>
        <v>0.10245356538647199</v>
      </c>
      <c r="BE128" s="1226">
        <f>+BE127/AZ127-1</f>
        <v>0.24330044217695423</v>
      </c>
      <c r="BF128" s="169">
        <f>+BF127/BA127-1</f>
        <v>0.25026323594565758</v>
      </c>
      <c r="BG128" s="169">
        <f>+BG127/BB127-1</f>
        <v>0.24976200709817387</v>
      </c>
      <c r="BH128" s="184">
        <f>+BH127/BC127-1</f>
        <v>0.28630282326409184</v>
      </c>
      <c r="BI128" s="1013">
        <f>BI127/BD127-1</f>
        <v>0.25872632158398146</v>
      </c>
      <c r="BJ128" s="1226">
        <f>+BJ127/BE127-1</f>
        <v>0.29087677725118488</v>
      </c>
      <c r="BK128" s="169">
        <f>+BK127/BF127-1</f>
        <v>0.35927672955974832</v>
      </c>
      <c r="BL128" s="169">
        <f>+BL127/BG127-1</f>
        <v>0.37018792191205985</v>
      </c>
      <c r="BM128" s="169">
        <f>+BM127/BH127-1</f>
        <v>0.27672264950557213</v>
      </c>
      <c r="BN128" s="1013">
        <f>BN127/BI127-1</f>
        <v>0.32235048173059444</v>
      </c>
      <c r="BO128" s="629"/>
      <c r="BP128" s="629"/>
      <c r="BQ128" s="629"/>
      <c r="BR128" s="629"/>
      <c r="BS128" s="2404"/>
      <c r="BT128" s="169">
        <f>BT127/BJ127-1</f>
        <v>0.24445464280250873</v>
      </c>
      <c r="BU128" s="169">
        <f>BU127/BK127-1</f>
        <v>0.20936957779063037</v>
      </c>
      <c r="BV128" s="169">
        <f>BV127/BL127-1</f>
        <v>0.1659121171770972</v>
      </c>
      <c r="BW128" s="169">
        <f>BW127/BM127-1</f>
        <v>0.20789279567248586</v>
      </c>
      <c r="BX128" s="1013">
        <f>BX127/BN127-1</f>
        <v>0.20562257277382545</v>
      </c>
      <c r="BY128" s="629"/>
      <c r="BZ128" s="629"/>
      <c r="CA128" s="629"/>
      <c r="CB128" s="629"/>
      <c r="CC128" s="2404"/>
      <c r="CD128" s="576">
        <f>CD127/BT127-1</f>
        <v>0.22790411800860477</v>
      </c>
      <c r="CE128" s="169">
        <f>CE127/BU127-1</f>
        <v>0.20683883309421325</v>
      </c>
      <c r="CF128" s="169">
        <f>CF127/BV127-1</f>
        <v>0.23138419369575147</v>
      </c>
      <c r="CG128" s="169">
        <f>CG127/BW127-1</f>
        <v>0.2617811704834605</v>
      </c>
      <c r="CH128" s="1013">
        <f>CH127/BX127-1</f>
        <v>0.23323831242873427</v>
      </c>
      <c r="CI128" s="552">
        <f t="shared" ref="CI128:CN128" si="586">CI127/CD127-1</f>
        <v>0.22014215637200918</v>
      </c>
      <c r="CJ128" s="169">
        <f t="shared" si="586"/>
        <v>0.25440855954032093</v>
      </c>
      <c r="CK128" s="169">
        <f t="shared" si="586"/>
        <v>0.22194398070858834</v>
      </c>
      <c r="CL128" s="169">
        <f t="shared" si="586"/>
        <v>0.16826651609260312</v>
      </c>
      <c r="CM128" s="1013">
        <f t="shared" si="586"/>
        <v>0.21372104849521523</v>
      </c>
      <c r="CN128" s="629">
        <f t="shared" si="586"/>
        <v>0.14153265507056112</v>
      </c>
      <c r="CO128" s="629">
        <f t="shared" ref="CO128:CY128" si="587">CO127/CJ127-1</f>
        <v>0.13331227294266301</v>
      </c>
      <c r="CP128" s="169">
        <f>CP127/CK127-1</f>
        <v>0.14679316888045535</v>
      </c>
      <c r="CQ128" s="169">
        <f>CQ127/CL127-1</f>
        <v>0.19270869295035564</v>
      </c>
      <c r="CR128" s="1013">
        <f t="shared" si="587"/>
        <v>0.15498590690942327</v>
      </c>
      <c r="CS128" s="629">
        <f t="shared" si="587"/>
        <v>0.18371307410335658</v>
      </c>
      <c r="CT128" s="629">
        <f t="shared" si="587"/>
        <v>0.22125435540069693</v>
      </c>
      <c r="CU128" s="629">
        <f t="shared" si="587"/>
        <v>0.20914686610629429</v>
      </c>
      <c r="CV128" s="629">
        <f t="shared" si="587"/>
        <v>0.22820423758249397</v>
      </c>
      <c r="CW128" s="1013">
        <f t="shared" si="587"/>
        <v>0.21160505227055371</v>
      </c>
      <c r="CX128" s="629">
        <f t="shared" si="587"/>
        <v>0.22174995445989443</v>
      </c>
      <c r="CY128" s="629">
        <f t="shared" si="587"/>
        <v>0.19366619115549222</v>
      </c>
      <c r="CZ128" s="629">
        <f t="shared" ref="CZ128:DS128" si="588">CZ127/CU127-1</f>
        <v>0.21900487164048399</v>
      </c>
      <c r="DA128" s="629">
        <f t="shared" si="588"/>
        <v>0.21950414781297134</v>
      </c>
      <c r="DB128" s="1013">
        <f t="shared" si="588"/>
        <v>0.21372092706759749</v>
      </c>
      <c r="DC128" s="629">
        <f t="shared" si="588"/>
        <v>0.23542567466825703</v>
      </c>
      <c r="DD128" s="629">
        <f t="shared" si="588"/>
        <v>0.25421865289927825</v>
      </c>
      <c r="DE128" s="629">
        <f t="shared" si="588"/>
        <v>0.21948810058374502</v>
      </c>
      <c r="DF128" s="629">
        <f t="shared" si="588"/>
        <v>0.2306265218567618</v>
      </c>
      <c r="DG128" s="1013">
        <f t="shared" si="588"/>
        <v>0.23446172476817329</v>
      </c>
      <c r="DH128" s="629">
        <f t="shared" si="588"/>
        <v>0.18589588864751794</v>
      </c>
      <c r="DI128" s="629">
        <f t="shared" si="588"/>
        <v>0.20844608758623329</v>
      </c>
      <c r="DJ128" s="629">
        <f t="shared" si="588"/>
        <v>0.21544296339936664</v>
      </c>
      <c r="DK128" s="629">
        <f t="shared" si="588"/>
        <v>0.18008793969849246</v>
      </c>
      <c r="DL128" s="1013">
        <f t="shared" si="588"/>
        <v>0.1968790022980571</v>
      </c>
      <c r="DM128" s="629">
        <f t="shared" si="588"/>
        <v>0.14342413243325747</v>
      </c>
      <c r="DN128" s="629">
        <f t="shared" si="588"/>
        <v>-3.2485964801615141E-3</v>
      </c>
      <c r="DO128" s="629">
        <f t="shared" si="588"/>
        <v>0.15141325093156421</v>
      </c>
      <c r="DP128" s="629">
        <f t="shared" si="588"/>
        <v>0.23574812370256026</v>
      </c>
      <c r="DQ128" s="1013">
        <f t="shared" si="588"/>
        <v>0.13645953494019802</v>
      </c>
      <c r="DR128" s="629">
        <f>DR127/DM127-1</f>
        <v>0.3528940576141455</v>
      </c>
      <c r="DS128" s="629">
        <f t="shared" si="588"/>
        <v>0.61222035882669368</v>
      </c>
      <c r="DT128" s="629">
        <f t="shared" ref="DT128:EC128" si="589">DT127/DO127-1</f>
        <v>0.41079274870418603</v>
      </c>
      <c r="DU128" s="629">
        <f t="shared" si="589"/>
        <v>0.3330892487939352</v>
      </c>
      <c r="DV128" s="1013">
        <f t="shared" si="589"/>
        <v>0.41617640184575522</v>
      </c>
      <c r="DW128" s="629">
        <f t="shared" si="589"/>
        <v>0.22847682119205293</v>
      </c>
      <c r="DX128" s="629">
        <f t="shared" si="589"/>
        <v>0.12796608506211848</v>
      </c>
      <c r="DY128" s="629">
        <f t="shared" si="589"/>
        <v>6.7997016038791491E-2</v>
      </c>
      <c r="DZ128" s="629">
        <f t="shared" si="589"/>
        <v>1.9790623283466369E-2</v>
      </c>
      <c r="EA128" s="1013">
        <f t="shared" si="589"/>
        <v>0.10284291581592964</v>
      </c>
      <c r="EB128" s="629">
        <f t="shared" si="589"/>
        <v>3.6504168079827259E-2</v>
      </c>
      <c r="EC128" s="629">
        <f t="shared" si="589"/>
        <v>7.9970767865532144E-2</v>
      </c>
      <c r="ED128" s="629">
        <f t="shared" ref="ED128:EN128" si="590">ED127/DY127-1</f>
        <v>0.11848217092166391</v>
      </c>
      <c r="EE128" s="629">
        <f t="shared" si="590"/>
        <v>0.14576303407632718</v>
      </c>
      <c r="EF128" s="1013">
        <f t="shared" si="590"/>
        <v>9.6745780974085038E-2</v>
      </c>
      <c r="EG128" s="629">
        <f t="shared" si="590"/>
        <v>0.16407191816209132</v>
      </c>
      <c r="EH128" s="629">
        <f t="shared" si="590"/>
        <v>0.14964473875006035</v>
      </c>
      <c r="EI128" s="629">
        <f t="shared" si="590"/>
        <v>0.16390064167616436</v>
      </c>
      <c r="EJ128" s="629">
        <f t="shared" si="590"/>
        <v>0.12854654056744641</v>
      </c>
      <c r="EK128" s="1013">
        <f t="shared" si="590"/>
        <v>0.15052162115801448</v>
      </c>
      <c r="EL128" s="629">
        <f t="shared" si="590"/>
        <v>0.13156687822703539</v>
      </c>
      <c r="EM128" s="629">
        <f t="shared" si="590"/>
        <v>0.14530166071053174</v>
      </c>
      <c r="EN128" s="629">
        <f t="shared" si="590"/>
        <v>0.17332224442983812</v>
      </c>
      <c r="EO128" s="629">
        <f t="shared" ref="EO128:EP128" si="591">EO127/EJ127-1</f>
        <v>0.17602133148787913</v>
      </c>
      <c r="EP128" s="1013">
        <f t="shared" si="591"/>
        <v>0.15773025399119045</v>
      </c>
      <c r="EQ128" s="629">
        <f t="shared" ref="EQ128" si="592">EQ127/EL127-1</f>
        <v>0.18818777242914209</v>
      </c>
      <c r="ER128" s="629">
        <f t="shared" ref="ER128" si="593">ER127/EM127-1</f>
        <v>0.18350192258430265</v>
      </c>
      <c r="ES128" s="629">
        <f t="shared" ref="ES128" si="594">ES127/EN127-1</f>
        <v>0.17434325942349593</v>
      </c>
      <c r="ET128" s="629">
        <f t="shared" ref="ET128:EU128" si="595">ET127/EO127-1</f>
        <v>0.17634187723063377</v>
      </c>
      <c r="EU128" s="1013">
        <f t="shared" si="595"/>
        <v>0.18019465283984659</v>
      </c>
      <c r="EV128" s="2404">
        <f>EV127/EU127-1</f>
        <v>0.14211367641292383</v>
      </c>
      <c r="EW128" s="2404">
        <f>EW127/EV127-1</f>
        <v>0.12651155355913746</v>
      </c>
      <c r="EX128" s="2404">
        <f>EX127/EW127-1</f>
        <v>0.11191574782317915</v>
      </c>
      <c r="EY128" s="2404">
        <f>EY127/EX127-1</f>
        <v>0.1047142078735559</v>
      </c>
      <c r="EZ128" s="193"/>
      <c r="FA128" s="1100"/>
      <c r="FB128" s="1100"/>
    </row>
    <row r="129" spans="1:158" s="77" customFormat="1" ht="11.25" customHeight="1">
      <c r="A129" s="5363" t="s">
        <v>46</v>
      </c>
      <c r="B129" s="2612"/>
      <c r="C129" s="169"/>
      <c r="D129" s="169"/>
      <c r="E129" s="169"/>
      <c r="F129" s="5088"/>
      <c r="G129" s="2612"/>
      <c r="H129" s="169"/>
      <c r="I129" s="169"/>
      <c r="J129" s="169"/>
      <c r="K129" s="1219"/>
      <c r="L129" s="169"/>
      <c r="M129" s="169"/>
      <c r="N129" s="169"/>
      <c r="O129" s="169"/>
      <c r="P129" s="1005"/>
      <c r="Q129" s="1226" t="s">
        <v>116</v>
      </c>
      <c r="R129" s="169">
        <f>+R127/Q127-1</f>
        <v>0.52595483031807988</v>
      </c>
      <c r="S129" s="169">
        <f>+S127/R127-1</f>
        <v>0.57748159628051132</v>
      </c>
      <c r="T129" s="169">
        <f>+T127/S127-1</f>
        <v>0.34016131726055332</v>
      </c>
      <c r="U129" s="1005"/>
      <c r="V129" s="1226">
        <f>+V127/T127-1</f>
        <v>0.30845019829779186</v>
      </c>
      <c r="W129" s="169">
        <f>+W127/V127-1</f>
        <v>0.20255256685360834</v>
      </c>
      <c r="X129" s="169">
        <f>+X127/W127-1</f>
        <v>0.16686079016026811</v>
      </c>
      <c r="Y129" s="169">
        <f>+Y127/X127-1</f>
        <v>0.1811223573096965</v>
      </c>
      <c r="Z129" s="1005"/>
      <c r="AA129" s="1226">
        <f>+AA127/Y127-1</f>
        <v>0.28667288670736712</v>
      </c>
      <c r="AB129" s="169">
        <f>+AB127/AA127-1</f>
        <v>0.11180938518894123</v>
      </c>
      <c r="AC129" s="169">
        <f>+AC127/AB127-1</f>
        <v>0.18859439762936625</v>
      </c>
      <c r="AD129" s="169">
        <f>+AD127/AC127-1</f>
        <v>0.29982285824484545</v>
      </c>
      <c r="AE129" s="1005"/>
      <c r="AF129" s="1226">
        <f>+AF127/AD127-1</f>
        <v>0.21554465167927495</v>
      </c>
      <c r="AG129" s="169">
        <f>+AG127/AF127-1</f>
        <v>0.12014257172186626</v>
      </c>
      <c r="AH129" s="169">
        <f>+AH127/AG127-1</f>
        <v>0.17789473092974006</v>
      </c>
      <c r="AI129" s="169">
        <f>+AI127/AH127-1</f>
        <v>0.23044739622871835</v>
      </c>
      <c r="AJ129" s="1005"/>
      <c r="AK129" s="1226">
        <f>+AK127/AI127-1</f>
        <v>0.18665889521955226</v>
      </c>
      <c r="AL129" s="169">
        <f>+AL127/AK127-1</f>
        <v>9.1320225287863988E-2</v>
      </c>
      <c r="AM129" s="169">
        <f>+AM127/AL127-1</f>
        <v>0.11585665105767684</v>
      </c>
      <c r="AN129" s="184">
        <f>+AN127/AM127-1</f>
        <v>0.1960358483573077</v>
      </c>
      <c r="AO129" s="1005"/>
      <c r="AP129" s="1226">
        <f>+AP127/AN127-1</f>
        <v>0.13859051975424919</v>
      </c>
      <c r="AQ129" s="169">
        <f>+AQ127/AP127-1</f>
        <v>7.2898052457262663E-2</v>
      </c>
      <c r="AR129" s="169">
        <f>+AR127/AQ127-1</f>
        <v>0.10506650631583314</v>
      </c>
      <c r="AS129" s="184">
        <f>+AS127/AR127-1</f>
        <v>0.12511797267385827</v>
      </c>
      <c r="AT129" s="1005"/>
      <c r="AU129" s="1226">
        <f>+AU127/AS127-1</f>
        <v>9.2355024484294335E-2</v>
      </c>
      <c r="AV129" s="169">
        <f>+AV127/AU127-1</f>
        <v>5.2321849121770292E-2</v>
      </c>
      <c r="AW129" s="169">
        <f>+AW127/AV127-1</f>
        <v>3.9286895823315904E-2</v>
      </c>
      <c r="AX129" s="184">
        <f>+AX127/AW127-1</f>
        <v>4.2345320344967075E-2</v>
      </c>
      <c r="AY129" s="1005"/>
      <c r="AZ129" s="1226">
        <f>+AZ127/AX127-1</f>
        <v>-3.4259927986149297E-2</v>
      </c>
      <c r="BA129" s="169">
        <f>+BA127/AZ127-1</f>
        <v>-8.5611940005336784E-4</v>
      </c>
      <c r="BB129" s="169">
        <f>+BB127/BA127-1</f>
        <v>7.7672603533123885E-2</v>
      </c>
      <c r="BC129" s="184">
        <f>+BC127/BB127-1</f>
        <v>0.12935869036068892</v>
      </c>
      <c r="BD129" s="1005"/>
      <c r="BE129" s="1226">
        <f>+BE127/BC127-1</f>
        <v>2.2419949302991959E-2</v>
      </c>
      <c r="BF129" s="169">
        <f>+BF127/BE127-1</f>
        <v>4.7393364928909332E-3</v>
      </c>
      <c r="BG129" s="169">
        <f>+BG127/BF127-1</f>
        <v>7.7240566037735769E-2</v>
      </c>
      <c r="BH129" s="184">
        <f>+BH127/BG127-1</f>
        <v>0.16237912789636932</v>
      </c>
      <c r="BI129" s="1005"/>
      <c r="BJ129" s="1226">
        <f>+BJ127/BH127-1</f>
        <v>2.6055564275623944E-2</v>
      </c>
      <c r="BK129" s="169">
        <f>+BK127/BJ127-1</f>
        <v>5.7977665595839056E-2</v>
      </c>
      <c r="BL129" s="169">
        <f>+BL127/BK127-1</f>
        <v>8.5887796414112261E-2</v>
      </c>
      <c r="BM129" s="169">
        <f>+BM127/BL127-1</f>
        <v>8.3089214380825505E-2</v>
      </c>
      <c r="BN129" s="1005"/>
      <c r="BO129" s="186"/>
      <c r="BP129" s="186"/>
      <c r="BQ129" s="186"/>
      <c r="BR129" s="186"/>
      <c r="BS129" s="2405"/>
      <c r="BT129" s="169">
        <f>+BT127/BM127-1</f>
        <v>1.2294074256202769E-4</v>
      </c>
      <c r="BU129" s="169">
        <f>+BU127/BT127-1</f>
        <v>2.8149969268592478E-2</v>
      </c>
      <c r="BV129" s="169">
        <f>+BV127/BU127-1</f>
        <v>4.6867527498804407E-2</v>
      </c>
      <c r="BW129" s="169">
        <f>+BW127/BV127-1</f>
        <v>0.12208771128369111</v>
      </c>
      <c r="BX129" s="1005"/>
      <c r="BY129" s="186"/>
      <c r="BZ129" s="186"/>
      <c r="CA129" s="186"/>
      <c r="CB129" s="186"/>
      <c r="CC129" s="2405"/>
      <c r="CD129" s="576">
        <f>+CD127/BW127-1</f>
        <v>1.6692111959287548E-2</v>
      </c>
      <c r="CE129" s="169">
        <f>+CE127/CD127-1</f>
        <v>1.0511562718990897E-2</v>
      </c>
      <c r="CF129" s="169">
        <f>+CF127/CE127-1</f>
        <v>6.8159302555973911E-2</v>
      </c>
      <c r="CG129" s="169">
        <f>+CG127/CF127-1</f>
        <v>0.1497866815062141</v>
      </c>
      <c r="CH129" s="1005"/>
      <c r="CI129" s="169">
        <f>+CI127/CG127-1</f>
        <v>-1.685891748003554E-2</v>
      </c>
      <c r="CJ129" s="169">
        <f>+CJ127/CI127-1</f>
        <v>3.889071217591078E-2</v>
      </c>
      <c r="CK129" s="169">
        <f>+CK127/CJ127-1</f>
        <v>4.0514926551887598E-2</v>
      </c>
      <c r="CL129" s="169">
        <f>+CL127/CK127-1</f>
        <v>9.9278937381404253E-2</v>
      </c>
      <c r="CM129" s="1005"/>
      <c r="CN129" s="169">
        <f>+CN127/CL127-1</f>
        <v>-3.9356486915694266E-2</v>
      </c>
      <c r="CO129" s="169">
        <f>+CO127/CN127-1</f>
        <v>3.1409473154603518E-2</v>
      </c>
      <c r="CP129" s="169">
        <f>+CP127/CO127-1</f>
        <v>5.2891986062717722E-2</v>
      </c>
      <c r="CQ129" s="169">
        <f>+CQ127/CP127-1</f>
        <v>0.14329207756966045</v>
      </c>
      <c r="CR129" s="1005"/>
      <c r="CS129" s="169">
        <f>+CS127/CQ127-1</f>
        <v>-4.6601829338890788E-2</v>
      </c>
      <c r="CT129" s="169">
        <f>+CT127/CS127-1</f>
        <v>6.4120468759487625E-2</v>
      </c>
      <c r="CU129" s="169">
        <f>+CU127/CT127-1</f>
        <v>4.2453637660484933E-2</v>
      </c>
      <c r="CV129" s="169">
        <f>+CV127/CU127-1</f>
        <v>0.16131151130330057</v>
      </c>
      <c r="CW129" s="1005"/>
      <c r="CX129" s="169">
        <f>+CX127/CV127-1</f>
        <v>-5.1611990950226283E-2</v>
      </c>
      <c r="CY129" s="169">
        <f>+CY127/CX127-1</f>
        <v>3.966005665722383E-2</v>
      </c>
      <c r="CZ129" s="169">
        <f>+CZ127/CY127-1</f>
        <v>6.4582437018978034E-2</v>
      </c>
      <c r="DA129" s="169">
        <f>+DA127/CZ127-1</f>
        <v>0.16178715761113605</v>
      </c>
      <c r="DB129" s="1005"/>
      <c r="DC129" s="2612">
        <f>+DC127/DA127-1</f>
        <v>-3.9230085417230276E-2</v>
      </c>
      <c r="DD129" s="2612">
        <f>+DD127/DC127-1</f>
        <v>5.5475098559819802E-2</v>
      </c>
      <c r="DE129" s="2612">
        <f>+DE127/DD127-1</f>
        <v>3.5103098677440325E-2</v>
      </c>
      <c r="DF129" s="2612">
        <f>+DF127/DE127-1</f>
        <v>0.1723985565947419</v>
      </c>
      <c r="DG129" s="1005"/>
      <c r="DH129" s="2612">
        <f>+DH127/DF127-1</f>
        <v>-7.4152010050251294E-2</v>
      </c>
      <c r="DI129" s="2612">
        <f>+DI127/DH127-1</f>
        <v>7.5545303436344469E-2</v>
      </c>
      <c r="DJ129" s="2612">
        <f>+DJ127/DI127-1</f>
        <v>4.109632246262529E-2</v>
      </c>
      <c r="DK129" s="2612">
        <f>+DK127/DJ127-1</f>
        <v>0.13829561634705678</v>
      </c>
      <c r="DL129" s="1005"/>
      <c r="DM129" s="2612">
        <f>+DM127/DK127-1</f>
        <v>-0.10291691062969077</v>
      </c>
      <c r="DN129" s="2612">
        <f>+DN127/DM127-1</f>
        <v>-6.242026878689888E-2</v>
      </c>
      <c r="DO129" s="2612">
        <f>+DO127/DN127-1</f>
        <v>0.20263898996930663</v>
      </c>
      <c r="DP129" s="2612">
        <f>+DP127/DO127-1</f>
        <v>0.22166969242507961</v>
      </c>
      <c r="DQ129" s="1005"/>
      <c r="DR129" s="2612">
        <f>+DR127/DP127-1</f>
        <v>-1.7875603032391441E-2</v>
      </c>
      <c r="DS129" s="2612">
        <f>+DS127/DR127-1</f>
        <v>0.11729748695232667</v>
      </c>
      <c r="DT129" s="2612">
        <f>+DT127/DS127-1</f>
        <v>5.2383662734784453E-2</v>
      </c>
      <c r="DU129" s="2612">
        <f>+DU127/DT127-1</f>
        <v>0.15438269302499075</v>
      </c>
      <c r="DV129" s="1005"/>
      <c r="DW129" s="2612">
        <f>+DW127/DU127-1</f>
        <v>-9.4946524928107512E-2</v>
      </c>
      <c r="DX129" s="2612">
        <f>+DX127/DW127-1</f>
        <v>2.5883150961246715E-2</v>
      </c>
      <c r="DY129" s="2612">
        <f>+DY127/DX127-1</f>
        <v>-3.5670164082755029E-3</v>
      </c>
      <c r="DZ129" s="2612">
        <f>+DZ127/DY127-1</f>
        <v>0.10227709286487618</v>
      </c>
      <c r="EA129" s="1005"/>
      <c r="EB129" s="2612">
        <f>+EB127/DZ127-1</f>
        <v>-8.0113429336374997E-2</v>
      </c>
      <c r="EC129" s="2612">
        <f>+EC127/EB127-1</f>
        <v>6.8904350222160904E-2</v>
      </c>
      <c r="ED129" s="2612">
        <f>+ED127/EC127-1</f>
        <v>3.1965456683906046E-2</v>
      </c>
      <c r="EE129" s="2612">
        <f>+EE127/ED127-1</f>
        <v>0.129162698474653</v>
      </c>
      <c r="EF129" s="1005"/>
      <c r="EG129" s="2612">
        <f>+EG127/EE127-1</f>
        <v>-6.5413970466235316E-2</v>
      </c>
      <c r="EH129" s="2612">
        <f>+EH127/EG127-1</f>
        <v>5.5656650836625188E-2</v>
      </c>
      <c r="EI129" s="2612">
        <f>+EI127/EH127-1</f>
        <v>4.4762104968117056E-2</v>
      </c>
      <c r="EJ129" s="2612">
        <f>+EJ127/EI127-1</f>
        <v>9.4863780868958747E-2</v>
      </c>
      <c r="EK129" s="1005"/>
      <c r="EL129" s="2612">
        <f>+EL127/EJ127-1</f>
        <v>-6.2912730792320626E-2</v>
      </c>
      <c r="EM129" s="2612">
        <f>+EM127/EL127-1</f>
        <v>6.8470046805951368E-2</v>
      </c>
      <c r="EN129" s="2612">
        <f>+EN127/EM127-1</f>
        <v>7.0322920108170317E-2</v>
      </c>
      <c r="EO129" s="2612">
        <f>+EO127/EN127-1</f>
        <v>9.7382383644360138E-2</v>
      </c>
      <c r="EP129" s="1005"/>
      <c r="EQ129" s="2612">
        <f>+EQ127/EO127-1</f>
        <v>-5.3218164365366194E-2</v>
      </c>
      <c r="ER129" s="2612">
        <f>+ER127/EQ127-1</f>
        <v>6.4256327123576984E-2</v>
      </c>
      <c r="ES129" s="2612">
        <f>+ES127/ER127-1</f>
        <v>6.2040105427855874E-2</v>
      </c>
      <c r="ET129" s="2612">
        <f>+ET127/ES127-1</f>
        <v>9.925002153949114E-2</v>
      </c>
      <c r="EU129" s="1005"/>
      <c r="EV129" s="2405"/>
      <c r="EW129" s="2405"/>
      <c r="EX129" s="2405"/>
      <c r="EY129" s="2405"/>
      <c r="EZ129" s="42"/>
      <c r="FA129" s="725"/>
      <c r="FB129" s="725"/>
    </row>
    <row r="130" spans="1:158" s="77" customFormat="1" ht="11.25" customHeight="1">
      <c r="A130" s="5365" t="s">
        <v>428</v>
      </c>
      <c r="B130" s="127"/>
      <c r="C130" s="127"/>
      <c r="D130" s="127"/>
      <c r="E130" s="127"/>
      <c r="F130" s="5088"/>
      <c r="G130" s="127"/>
      <c r="H130" s="127"/>
      <c r="I130" s="127"/>
      <c r="J130" s="127"/>
      <c r="K130" s="1219"/>
      <c r="L130" s="127"/>
      <c r="M130" s="127"/>
      <c r="N130" s="127"/>
      <c r="O130" s="127"/>
      <c r="P130" s="1001"/>
      <c r="Q130" s="1502"/>
      <c r="R130" s="127"/>
      <c r="S130" s="127"/>
      <c r="T130" s="127"/>
      <c r="U130" s="1001"/>
      <c r="V130" s="1502"/>
      <c r="W130" s="127"/>
      <c r="X130" s="127"/>
      <c r="Y130" s="127"/>
      <c r="Z130" s="1001"/>
      <c r="AA130" s="1502"/>
      <c r="AB130" s="127"/>
      <c r="AC130" s="127"/>
      <c r="AD130" s="127"/>
      <c r="AE130" s="1001"/>
      <c r="AF130" s="1502"/>
      <c r="AG130" s="127"/>
      <c r="AH130" s="127"/>
      <c r="AI130" s="127"/>
      <c r="AJ130" s="1001"/>
      <c r="AK130" s="1502"/>
      <c r="AL130" s="127"/>
      <c r="AM130" s="127"/>
      <c r="AN130" s="125"/>
      <c r="AO130" s="1001"/>
      <c r="AP130" s="1502"/>
      <c r="AQ130" s="127"/>
      <c r="AR130" s="127"/>
      <c r="AS130" s="125"/>
      <c r="AT130" s="1001"/>
      <c r="AU130" s="1502"/>
      <c r="AV130" s="127"/>
      <c r="AW130" s="127"/>
      <c r="AX130" s="125"/>
      <c r="AY130" s="1001"/>
      <c r="AZ130" s="1502"/>
      <c r="BA130" s="127"/>
      <c r="BB130" s="127"/>
      <c r="BC130" s="125"/>
      <c r="BD130" s="1001"/>
      <c r="BE130" s="1502"/>
      <c r="BF130" s="127"/>
      <c r="BG130" s="127"/>
      <c r="BH130" s="125"/>
      <c r="BI130" s="1001"/>
      <c r="BJ130" s="1502"/>
      <c r="BK130" s="127"/>
      <c r="BL130" s="127"/>
      <c r="BM130" s="127"/>
      <c r="BN130" s="1001"/>
      <c r="BO130" s="42"/>
      <c r="BP130" s="42"/>
      <c r="BQ130" s="42"/>
      <c r="BR130" s="42"/>
      <c r="BS130" s="597"/>
      <c r="BT130" s="127">
        <f>+BT127/BX127</f>
        <v>0.23189851767388825</v>
      </c>
      <c r="BU130" s="127">
        <f>+BU127/BX127</f>
        <v>0.23842645381984037</v>
      </c>
      <c r="BV130" s="127">
        <f>+BV127/BX127</f>
        <v>0.24960091220068414</v>
      </c>
      <c r="BW130" s="127">
        <f>+BW127/BX127</f>
        <v>0.28007411630558721</v>
      </c>
      <c r="BX130" s="1001"/>
      <c r="BY130" s="42"/>
      <c r="BZ130" s="42"/>
      <c r="CA130" s="42"/>
      <c r="CB130" s="42"/>
      <c r="CC130" s="597"/>
      <c r="CD130" s="1250">
        <f>+CD127/CH127</f>
        <v>0.23089547408811428</v>
      </c>
      <c r="CE130" s="127">
        <f>+CE127/CH127</f>
        <v>0.23332254634552263</v>
      </c>
      <c r="CF130" s="127">
        <f>+CF127/CH127</f>
        <v>0.24922564837501734</v>
      </c>
      <c r="CG130" s="127">
        <f>+CG127/CH127</f>
        <v>0.28655633119134577</v>
      </c>
      <c r="CH130" s="1001"/>
      <c r="CI130" s="127">
        <f>+CI127/CM127</f>
        <v>0.23211701074122038</v>
      </c>
      <c r="CJ130" s="127">
        <f>+CJ127/CM127</f>
        <v>0.24114420659708996</v>
      </c>
      <c r="CK130" s="127">
        <f>+CK127/CM127</f>
        <v>0.25091414641578424</v>
      </c>
      <c r="CL130" s="127">
        <f>+CL127/CM127</f>
        <v>0.27582463624590536</v>
      </c>
      <c r="CM130" s="1001"/>
      <c r="CN130" s="127">
        <f>+CN127/CR127</f>
        <v>0.22941331662434455</v>
      </c>
      <c r="CO130" s="127">
        <f>+CO127/CR127</f>
        <v>0.23661906803416549</v>
      </c>
      <c r="CP130" s="127">
        <f>+CP127/CR127</f>
        <v>0.24913432048280185</v>
      </c>
      <c r="CQ130" s="127">
        <f>+CQ127/CR127</f>
        <v>0.28483329485868814</v>
      </c>
      <c r="CR130" s="1001"/>
      <c r="CS130" s="127">
        <f>+CS127/CW127</f>
        <v>0.22413206494372542</v>
      </c>
      <c r="CT130" s="127">
        <f>+CT127/CW127</f>
        <v>0.238503518011949</v>
      </c>
      <c r="CU130" s="127">
        <f>+CU127/CW127</f>
        <v>0.24862885994637923</v>
      </c>
      <c r="CV130" s="127">
        <f>+CV127/CW127</f>
        <v>0.28873555709794635</v>
      </c>
      <c r="CW130" s="1001"/>
      <c r="CX130" s="127">
        <f>+CX127/DB127</f>
        <v>0.22561474720518485</v>
      </c>
      <c r="CY130" s="127">
        <f>+CY127/DB127</f>
        <v>0.2345626408620477</v>
      </c>
      <c r="CZ130" s="127">
        <f>+CZ127/DB127</f>
        <v>0.24971126784252604</v>
      </c>
      <c r="DA130" s="127">
        <f>+DA127/DB127</f>
        <v>0.29011134409024142</v>
      </c>
      <c r="DB130" s="1001"/>
      <c r="DC130" s="127">
        <f>+DC127/DG127</f>
        <v>0.22579092222030464</v>
      </c>
      <c r="DD130" s="127">
        <f>+DD127/DG127</f>
        <v>0.23831669588438864</v>
      </c>
      <c r="DE130" s="127">
        <f>+DE127/DG127</f>
        <v>0.24668235037649988</v>
      </c>
      <c r="DF130" s="127">
        <f>+DF127/DG127</f>
        <v>0.28921003151880681</v>
      </c>
      <c r="DG130" s="1001"/>
      <c r="DH130" s="127">
        <f>+DH127/DL127</f>
        <v>0.22371896059741364</v>
      </c>
      <c r="DI130" s="127">
        <f>+DI127/DL127</f>
        <v>0.24061987736020884</v>
      </c>
      <c r="DJ130" s="127">
        <f>+DJ127/DL127</f>
        <v>0.25050846943112137</v>
      </c>
      <c r="DK130" s="127">
        <f>+DK127/DL127</f>
        <v>0.28515269261125614</v>
      </c>
      <c r="DL130" s="1001"/>
      <c r="DM130" s="127">
        <f>+DM127/DQ127</f>
        <v>0.22508998390640339</v>
      </c>
      <c r="DN130" s="127">
        <f>+DN127/DQ127</f>
        <v>0.21103980660972693</v>
      </c>
      <c r="DO130" s="127">
        <f>+DO127/DQ127</f>
        <v>0.25380469986443982</v>
      </c>
      <c r="DP130" s="127">
        <f>+DP127/DQ127</f>
        <v>0.31006550961942986</v>
      </c>
      <c r="DQ130" s="1001"/>
      <c r="DR130" s="127">
        <f>+DR127/DV127</f>
        <v>0.2150317582319129</v>
      </c>
      <c r="DS130" s="127">
        <f>+DS127/DV127</f>
        <v>0.24025444308745655</v>
      </c>
      <c r="DT130" s="127">
        <f>+DT127/DV127</f>
        <v>0.25283985080468335</v>
      </c>
      <c r="DU130" s="127">
        <f>+DU127/DV127</f>
        <v>0.29187394787594723</v>
      </c>
      <c r="DV130" s="1001"/>
      <c r="DW130" s="127">
        <f>+DW127/EA127</f>
        <v>0.23952779404911045</v>
      </c>
      <c r="DX130" s="127">
        <f>+DX127/EA127</f>
        <v>0.24572752810189796</v>
      </c>
      <c r="DY130" s="127">
        <f>+DY127/EA127</f>
        <v>0.24485101397719353</v>
      </c>
      <c r="DZ130" s="127">
        <f>+DZ127/EA127</f>
        <v>0.26989366387179803</v>
      </c>
      <c r="EA130" s="1001"/>
      <c r="EB130" s="127">
        <f>+EB127/EF127</f>
        <v>0.22637110733388432</v>
      </c>
      <c r="EC130" s="127">
        <f>+EC127/EF127</f>
        <v>0.24196906139379667</v>
      </c>
      <c r="ED130" s="127">
        <f>+ED127/EF127</f>
        <v>0.24970371294462551</v>
      </c>
      <c r="EE130" s="127">
        <f>+EE127/EF127</f>
        <v>0.28195611832769346</v>
      </c>
      <c r="EF130" s="1001"/>
      <c r="EG130" s="127">
        <f>+EG127/EK127</f>
        <v>0.22903719867985009</v>
      </c>
      <c r="EH130" s="127">
        <f>+EH127/EK127</f>
        <v>0.24178464207537323</v>
      </c>
      <c r="EI130" s="127">
        <f>+EI127/EK127</f>
        <v>0.25260743160362975</v>
      </c>
      <c r="EJ130" s="127">
        <f>+EJ127/EK127</f>
        <v>0.27657072764114693</v>
      </c>
      <c r="EK130" s="1001"/>
      <c r="EL130" s="127">
        <f>+EL127/EP127</f>
        <v>0.22386122070711245</v>
      </c>
      <c r="EM130" s="127">
        <f>+EM127/EP127</f>
        <v>0.23918900896696588</v>
      </c>
      <c r="EN130" s="127">
        <f>+EN127/EP127</f>
        <v>0.25600947853530226</v>
      </c>
      <c r="EO130" s="127">
        <f>+EO127/EP127</f>
        <v>0.28094029179061963</v>
      </c>
      <c r="EP130" s="1001"/>
      <c r="EQ130" s="127">
        <f>+EQ127/EU127</f>
        <v>0.22537736849189696</v>
      </c>
      <c r="ER130" s="127">
        <f>+ER127/EU127</f>
        <v>0.23985929040796322</v>
      </c>
      <c r="ES130" s="127">
        <f>+ES127/EU127</f>
        <v>0.25474018607272397</v>
      </c>
      <c r="ET130" s="127">
        <f>+ET127/EU127</f>
        <v>0.28002315502741576</v>
      </c>
      <c r="EU130" s="1001"/>
      <c r="EV130" s="597"/>
      <c r="EW130" s="597"/>
      <c r="EX130" s="597"/>
      <c r="EY130" s="597"/>
      <c r="EZ130" s="42"/>
      <c r="FA130" s="725"/>
      <c r="FB130" s="725"/>
    </row>
    <row r="131" spans="1:158" s="77" customFormat="1" ht="11.25" hidden="1" customHeight="1" outlineLevel="1">
      <c r="A131" s="5660"/>
      <c r="B131" s="5608"/>
      <c r="C131" s="1822"/>
      <c r="D131" s="1822"/>
      <c r="E131" s="1822"/>
      <c r="F131" s="5594"/>
      <c r="G131" s="5608"/>
      <c r="H131" s="1822"/>
      <c r="I131" s="1822"/>
      <c r="J131" s="1822"/>
      <c r="K131" s="2164"/>
      <c r="L131" s="1822"/>
      <c r="M131" s="1822"/>
      <c r="N131" s="1822"/>
      <c r="O131" s="1822"/>
      <c r="P131" s="2363"/>
      <c r="Q131" s="2361"/>
      <c r="R131" s="1822"/>
      <c r="S131" s="1822"/>
      <c r="T131" s="1822"/>
      <c r="U131" s="2363"/>
      <c r="V131" s="2361"/>
      <c r="W131" s="1822"/>
      <c r="X131" s="1822"/>
      <c r="Y131" s="1822"/>
      <c r="Z131" s="2363"/>
      <c r="AA131" s="2361"/>
      <c r="AB131" s="1822"/>
      <c r="AC131" s="1822"/>
      <c r="AD131" s="1822"/>
      <c r="AE131" s="2363"/>
      <c r="AF131" s="2361"/>
      <c r="AG131" s="1822"/>
      <c r="AH131" s="1822"/>
      <c r="AI131" s="1822"/>
      <c r="AJ131" s="2363"/>
      <c r="AK131" s="2361"/>
      <c r="AL131" s="1822"/>
      <c r="AM131" s="1822"/>
      <c r="AN131" s="1503"/>
      <c r="AO131" s="2363"/>
      <c r="AP131" s="2361"/>
      <c r="AQ131" s="1822"/>
      <c r="AR131" s="1822"/>
      <c r="AS131" s="1503"/>
      <c r="AT131" s="2363"/>
      <c r="AU131" s="2361"/>
      <c r="AV131" s="1822"/>
      <c r="AW131" s="1822"/>
      <c r="AX131" s="1503"/>
      <c r="AY131" s="2363"/>
      <c r="AZ131" s="2361"/>
      <c r="BA131" s="1822"/>
      <c r="BB131" s="1822"/>
      <c r="BC131" s="1503"/>
      <c r="BD131" s="2363"/>
      <c r="BE131" s="2361"/>
      <c r="BF131" s="1822"/>
      <c r="BG131" s="1822"/>
      <c r="BH131" s="1503"/>
      <c r="BI131" s="2363"/>
      <c r="BJ131" s="2361"/>
      <c r="BK131" s="1822"/>
      <c r="BL131" s="1822"/>
      <c r="BM131" s="1822"/>
      <c r="BN131" s="2363"/>
      <c r="BO131" s="2365"/>
      <c r="BP131" s="2365"/>
      <c r="BQ131" s="2365"/>
      <c r="BR131" s="2365"/>
      <c r="BS131" s="2363"/>
      <c r="BT131" s="1822"/>
      <c r="BU131" s="1822"/>
      <c r="BV131" s="1822"/>
      <c r="BW131" s="1822"/>
      <c r="BX131" s="2363"/>
      <c r="BY131" s="2365"/>
      <c r="BZ131" s="2365"/>
      <c r="CA131" s="2365"/>
      <c r="CB131" s="2365"/>
      <c r="CC131" s="2363"/>
      <c r="CD131" s="2470"/>
      <c r="CE131" s="1822"/>
      <c r="CF131" s="1822"/>
      <c r="CG131" s="1822"/>
      <c r="CH131" s="2363"/>
      <c r="CI131" s="1822"/>
      <c r="CJ131" s="1822"/>
      <c r="CK131" s="1822"/>
      <c r="CL131" s="1822"/>
      <c r="CM131" s="2363"/>
      <c r="CN131" s="1822"/>
      <c r="CO131" s="1822"/>
      <c r="CP131" s="1822"/>
      <c r="CQ131" s="1822"/>
      <c r="CR131" s="2363"/>
      <c r="CS131" s="1822"/>
      <c r="CT131" s="1822"/>
      <c r="CU131" s="1822"/>
      <c r="CV131" s="1822"/>
      <c r="CW131" s="2363"/>
      <c r="CX131" s="1822"/>
      <c r="CY131" s="1822"/>
      <c r="CZ131" s="1822"/>
      <c r="DA131" s="1822"/>
      <c r="DB131" s="2363"/>
      <c r="DC131" s="1822"/>
      <c r="DD131" s="1822"/>
      <c r="DE131" s="1822"/>
      <c r="DF131" s="1822"/>
      <c r="DG131" s="2363"/>
      <c r="DH131" s="1822"/>
      <c r="DI131" s="1822"/>
      <c r="DJ131" s="1822"/>
      <c r="DK131" s="1822"/>
      <c r="DL131" s="2363"/>
      <c r="DM131" s="1822"/>
      <c r="DN131" s="1822"/>
      <c r="DO131" s="1822"/>
      <c r="DP131" s="1822"/>
      <c r="DQ131" s="2363"/>
      <c r="DR131" s="1822"/>
      <c r="DS131" s="1822"/>
      <c r="DT131" s="1822"/>
      <c r="DU131" s="1822"/>
      <c r="DV131" s="2363"/>
      <c r="DW131" s="1822"/>
      <c r="DX131" s="1822"/>
      <c r="DY131" s="1822"/>
      <c r="DZ131" s="1822"/>
      <c r="EA131" s="2363"/>
      <c r="EB131" s="1822"/>
      <c r="EC131" s="1822"/>
      <c r="ED131" s="1822"/>
      <c r="EE131" s="1822"/>
      <c r="EF131" s="2363"/>
      <c r="EG131" s="1822"/>
      <c r="EH131" s="1822"/>
      <c r="EI131" s="1822"/>
      <c r="EJ131" s="1822"/>
      <c r="EK131" s="2363"/>
      <c r="EL131" s="1822"/>
      <c r="EM131" s="1822"/>
      <c r="EN131" s="1822"/>
      <c r="EO131" s="1822"/>
      <c r="EP131" s="2363"/>
      <c r="EQ131" s="1822"/>
      <c r="ER131" s="1822"/>
      <c r="ES131" s="1822"/>
      <c r="ET131" s="1822"/>
      <c r="EU131" s="2363"/>
      <c r="EV131" s="2363"/>
      <c r="EW131" s="2363"/>
      <c r="EX131" s="2363"/>
      <c r="EY131" s="2363"/>
      <c r="EZ131" s="42"/>
      <c r="FA131" s="725"/>
      <c r="FB131" s="725"/>
    </row>
    <row r="132" spans="1:158" s="180" customFormat="1" ht="11.25" customHeight="1" collapsed="1">
      <c r="A132" s="5648" t="s">
        <v>317</v>
      </c>
      <c r="B132" s="3040"/>
      <c r="C132" s="3038"/>
      <c r="D132" s="3038"/>
      <c r="E132" s="3038"/>
      <c r="F132" s="5614"/>
      <c r="G132" s="3040"/>
      <c r="H132" s="3038"/>
      <c r="I132" s="3038"/>
      <c r="J132" s="3038"/>
      <c r="K132" s="3039"/>
      <c r="L132" s="3038"/>
      <c r="M132" s="3038"/>
      <c r="N132" s="3038"/>
      <c r="O132" s="3038"/>
      <c r="P132" s="3039"/>
      <c r="Q132" s="3037"/>
      <c r="R132" s="3038"/>
      <c r="S132" s="3038"/>
      <c r="T132" s="3038"/>
      <c r="U132" s="3039"/>
      <c r="V132" s="3037"/>
      <c r="W132" s="3038"/>
      <c r="X132" s="3038"/>
      <c r="Y132" s="3038"/>
      <c r="Z132" s="3039"/>
      <c r="AA132" s="3037"/>
      <c r="AB132" s="3038"/>
      <c r="AC132" s="3038"/>
      <c r="AD132" s="3038"/>
      <c r="AE132" s="3039"/>
      <c r="AF132" s="3037"/>
      <c r="AG132" s="3038"/>
      <c r="AH132" s="3038"/>
      <c r="AI132" s="3041"/>
      <c r="AJ132" s="3039"/>
      <c r="AK132" s="3037"/>
      <c r="AL132" s="3038"/>
      <c r="AM132" s="3038"/>
      <c r="AN132" s="3041"/>
      <c r="AO132" s="3039"/>
      <c r="AP132" s="3037"/>
      <c r="AQ132" s="3038"/>
      <c r="AR132" s="3038"/>
      <c r="AS132" s="3041"/>
      <c r="AT132" s="3039"/>
      <c r="AU132" s="3037"/>
      <c r="AV132" s="3038"/>
      <c r="AW132" s="3038"/>
      <c r="AX132" s="3041"/>
      <c r="AY132" s="3039"/>
      <c r="AZ132" s="3037"/>
      <c r="BA132" s="3038"/>
      <c r="BB132" s="3038"/>
      <c r="BC132" s="3041"/>
      <c r="BD132" s="3039"/>
      <c r="BE132" s="3037"/>
      <c r="BF132" s="3038"/>
      <c r="BG132" s="3038"/>
      <c r="BH132" s="3041"/>
      <c r="BI132" s="3039"/>
      <c r="BJ132" s="3037"/>
      <c r="BK132" s="3038"/>
      <c r="BL132" s="3038"/>
      <c r="BM132" s="3042"/>
      <c r="BN132" s="3039"/>
      <c r="BO132" s="3038"/>
      <c r="BP132" s="3038"/>
      <c r="BQ132" s="3038"/>
      <c r="BR132" s="3038"/>
      <c r="BS132" s="3039"/>
      <c r="BT132" s="3042"/>
      <c r="BU132" s="3042"/>
      <c r="BV132" s="3042"/>
      <c r="BW132" s="3042"/>
      <c r="BX132" s="3039"/>
      <c r="BY132" s="3038"/>
      <c r="BZ132" s="3038"/>
      <c r="CA132" s="3038"/>
      <c r="CB132" s="3038"/>
      <c r="CC132" s="3039"/>
      <c r="CD132" s="3043"/>
      <c r="CE132" s="3038"/>
      <c r="CF132" s="3038"/>
      <c r="CG132" s="3042"/>
      <c r="CH132" s="3039"/>
      <c r="CI132" s="3044"/>
      <c r="CJ132" s="3038"/>
      <c r="CK132" s="3042"/>
      <c r="CL132" s="3042"/>
      <c r="CM132" s="3039"/>
      <c r="CN132" s="3042"/>
      <c r="CO132" s="3042"/>
      <c r="CP132" s="3042"/>
      <c r="CQ132" s="3042"/>
      <c r="CR132" s="3039"/>
      <c r="CS132" s="3038"/>
      <c r="CT132" s="3042"/>
      <c r="CU132" s="3038"/>
      <c r="CV132" s="3038"/>
      <c r="CW132" s="3039"/>
      <c r="CX132" s="3038"/>
      <c r="CY132" s="3038"/>
      <c r="CZ132" s="3038"/>
      <c r="DA132" s="3038"/>
      <c r="DB132" s="3039"/>
      <c r="DC132" s="3038"/>
      <c r="DD132" s="3038"/>
      <c r="DE132" s="3038"/>
      <c r="DF132" s="3038"/>
      <c r="DG132" s="3039"/>
      <c r="DH132" s="3038"/>
      <c r="DI132" s="3038"/>
      <c r="DJ132" s="3038"/>
      <c r="DK132" s="3038"/>
      <c r="DL132" s="3039"/>
      <c r="DM132" s="3038"/>
      <c r="DN132" s="3038"/>
      <c r="DO132" s="3038"/>
      <c r="DP132" s="3038"/>
      <c r="DQ132" s="3039"/>
      <c r="DR132" s="3038"/>
      <c r="DS132" s="3038"/>
      <c r="DT132" s="3038"/>
      <c r="DU132" s="3038"/>
      <c r="DV132" s="3039"/>
      <c r="DW132" s="3038"/>
      <c r="DX132" s="3038"/>
      <c r="DY132" s="3038"/>
      <c r="DZ132" s="3038"/>
      <c r="EA132" s="3039"/>
      <c r="EB132" s="3038"/>
      <c r="EC132" s="3038"/>
      <c r="ED132" s="3038"/>
      <c r="EE132" s="3038"/>
      <c r="EF132" s="3039"/>
      <c r="EG132" s="3038"/>
      <c r="EH132" s="3038"/>
      <c r="EI132" s="3038"/>
      <c r="EJ132" s="3038"/>
      <c r="EK132" s="3039"/>
      <c r="EL132" s="3038"/>
      <c r="EM132" s="3038"/>
      <c r="EN132" s="3038"/>
      <c r="EO132" s="3038"/>
      <c r="EP132" s="3039"/>
      <c r="EQ132" s="3038"/>
      <c r="ER132" s="3038"/>
      <c r="ES132" s="3038"/>
      <c r="ET132" s="3038"/>
      <c r="EU132" s="3039"/>
      <c r="EV132" s="3039"/>
      <c r="EW132" s="3039"/>
      <c r="EX132" s="3039"/>
      <c r="EY132" s="3039"/>
      <c r="EZ132" s="176"/>
      <c r="FA132" s="4266"/>
      <c r="FB132" s="4266"/>
    </row>
    <row r="133" spans="1:158" s="180" customFormat="1" ht="11.25" customHeight="1">
      <c r="A133" s="5361" t="s">
        <v>645</v>
      </c>
      <c r="B133" s="175"/>
      <c r="C133" s="175"/>
      <c r="D133" s="175"/>
      <c r="E133" s="176"/>
      <c r="F133" s="5286"/>
      <c r="G133" s="175"/>
      <c r="H133" s="175"/>
      <c r="I133" s="175"/>
      <c r="J133" s="175"/>
      <c r="K133" s="1014"/>
      <c r="L133" s="124"/>
      <c r="M133" s="124"/>
      <c r="N133" s="124"/>
      <c r="O133" s="124"/>
      <c r="P133" s="997">
        <f t="shared" ref="P133:AU133" si="596">P115/P127</f>
        <v>0.77444287598639294</v>
      </c>
      <c r="Q133" s="1879">
        <f t="shared" si="596"/>
        <v>0.88</v>
      </c>
      <c r="R133" s="124">
        <f t="shared" si="596"/>
        <v>0.87621851995350641</v>
      </c>
      <c r="S133" s="124">
        <f t="shared" si="596"/>
        <v>0.8994360772986727</v>
      </c>
      <c r="T133" s="124">
        <f t="shared" si="596"/>
        <v>0.89199771279442297</v>
      </c>
      <c r="U133" s="997">
        <f t="shared" si="596"/>
        <v>0.88977067198441784</v>
      </c>
      <c r="V133" s="1879">
        <f t="shared" si="596"/>
        <v>0.8846582664283672</v>
      </c>
      <c r="W133" s="124">
        <f t="shared" si="596"/>
        <v>0.85306559821095784</v>
      </c>
      <c r="X133" s="124">
        <f t="shared" si="596"/>
        <v>0.82745004092551566</v>
      </c>
      <c r="Y133" s="124">
        <f t="shared" si="596"/>
        <v>0.8242297628947528</v>
      </c>
      <c r="Z133" s="997">
        <f t="shared" si="596"/>
        <v>0.84315750142910217</v>
      </c>
      <c r="AA133" s="1879">
        <f t="shared" si="596"/>
        <v>0.79746519503653235</v>
      </c>
      <c r="AB133" s="124">
        <f t="shared" si="596"/>
        <v>0.81157810661234753</v>
      </c>
      <c r="AC133" s="124">
        <f t="shared" si="596"/>
        <v>0.81851021994604234</v>
      </c>
      <c r="AD133" s="124">
        <f t="shared" si="596"/>
        <v>0.81124635588579896</v>
      </c>
      <c r="AE133" s="997">
        <f t="shared" si="596"/>
        <v>0.8105060747329873</v>
      </c>
      <c r="AF133" s="1879">
        <f t="shared" si="596"/>
        <v>0.80381137508528211</v>
      </c>
      <c r="AG133" s="124">
        <f t="shared" si="596"/>
        <v>0.80675806986109788</v>
      </c>
      <c r="AH133" s="124">
        <f t="shared" si="596"/>
        <v>0.82034626667531341</v>
      </c>
      <c r="AI133" s="124">
        <f t="shared" si="596"/>
        <v>0.82933948641792354</v>
      </c>
      <c r="AJ133" s="997">
        <f t="shared" si="596"/>
        <v>0.81695788495836541</v>
      </c>
      <c r="AK133" s="1879">
        <f t="shared" si="596"/>
        <v>0.82618635039800292</v>
      </c>
      <c r="AL133" s="124">
        <f t="shared" si="596"/>
        <v>0.83534490601089761</v>
      </c>
      <c r="AM133" s="124">
        <f t="shared" si="596"/>
        <v>0.84797756286308423</v>
      </c>
      <c r="AN133" s="123">
        <f t="shared" si="596"/>
        <v>0.85970761020673581</v>
      </c>
      <c r="AO133" s="997">
        <f t="shared" si="596"/>
        <v>0.84409703186333618</v>
      </c>
      <c r="AP133" s="1879">
        <f t="shared" si="596"/>
        <v>0.87005143478998948</v>
      </c>
      <c r="AQ133" s="124">
        <f t="shared" si="596"/>
        <v>0.88080991855073398</v>
      </c>
      <c r="AR133" s="124">
        <f t="shared" si="596"/>
        <v>0.87348313136101519</v>
      </c>
      <c r="AS133" s="123">
        <f t="shared" si="596"/>
        <v>0.88464376348038665</v>
      </c>
      <c r="AT133" s="997">
        <f t="shared" si="596"/>
        <v>0.87768937156959481</v>
      </c>
      <c r="AU133" s="1879">
        <f t="shared" si="596"/>
        <v>0.88043114243772191</v>
      </c>
      <c r="AV133" s="124">
        <f t="shared" ref="AV133:BN133" si="597">AV115/AV127</f>
        <v>0.8670700847008348</v>
      </c>
      <c r="AW133" s="124">
        <f t="shared" si="597"/>
        <v>0.86632494559690176</v>
      </c>
      <c r="AX133" s="123">
        <f t="shared" si="597"/>
        <v>0.85857667132501037</v>
      </c>
      <c r="AY133" s="997">
        <f t="shared" si="597"/>
        <v>0.86773827525929592</v>
      </c>
      <c r="AZ133" s="1879">
        <f t="shared" si="597"/>
        <v>0.85585497774384178</v>
      </c>
      <c r="BA133" s="124">
        <f t="shared" si="597"/>
        <v>0.84398371021021268</v>
      </c>
      <c r="BB133" s="124">
        <f t="shared" si="597"/>
        <v>0.84975858684090222</v>
      </c>
      <c r="BC133" s="123">
        <f t="shared" si="597"/>
        <v>0.84220510785985347</v>
      </c>
      <c r="BD133" s="997">
        <f t="shared" si="597"/>
        <v>0.84769451551936226</v>
      </c>
      <c r="BE133" s="1879">
        <f t="shared" si="597"/>
        <v>0.82424960505529221</v>
      </c>
      <c r="BF133" s="124">
        <f t="shared" si="597"/>
        <v>0.83136792452830188</v>
      </c>
      <c r="BG133" s="124">
        <f t="shared" si="597"/>
        <v>0.82977558839627807</v>
      </c>
      <c r="BH133" s="123">
        <f t="shared" si="597"/>
        <v>0.83801601004551873</v>
      </c>
      <c r="BI133" s="997">
        <f t="shared" si="597"/>
        <v>0.83125795309943651</v>
      </c>
      <c r="BJ133" s="1879">
        <f t="shared" si="597"/>
        <v>0.84778950588955182</v>
      </c>
      <c r="BK133" s="124">
        <f t="shared" si="597"/>
        <v>0.84976865240023136</v>
      </c>
      <c r="BL133" s="124">
        <f t="shared" si="597"/>
        <v>0.84647137150466045</v>
      </c>
      <c r="BM133" s="124">
        <f t="shared" si="597"/>
        <v>0.84238996803540689</v>
      </c>
      <c r="BN133" s="997">
        <f t="shared" si="597"/>
        <v>0.84641028284702891</v>
      </c>
      <c r="BO133" s="124"/>
      <c r="BP133" s="124"/>
      <c r="BQ133" s="124"/>
      <c r="BR133" s="124"/>
      <c r="BS133" s="2255"/>
      <c r="BT133" s="124">
        <f>BT115/BT127</f>
        <v>0.84130301167793486</v>
      </c>
      <c r="BU133" s="124">
        <f>BU115/BU127</f>
        <v>0.8411047345767575</v>
      </c>
      <c r="BV133" s="124">
        <f>BV115/BV127</f>
        <v>0.81898126998629506</v>
      </c>
      <c r="BW133" s="124">
        <f>BW115/BW127</f>
        <v>0.81486005089058522</v>
      </c>
      <c r="BX133" s="997">
        <f>BX115/BX127</f>
        <v>0.8282782212086659</v>
      </c>
      <c r="BY133" s="124"/>
      <c r="BZ133" s="124"/>
      <c r="CA133" s="124"/>
      <c r="CB133" s="124"/>
      <c r="CC133" s="2255"/>
      <c r="CD133" s="2395">
        <f t="shared" ref="CD133:DI133" si="598">CD115/CD127</f>
        <v>0.79687656422064268</v>
      </c>
      <c r="CE133" s="124">
        <f t="shared" si="598"/>
        <v>0.80859916782246877</v>
      </c>
      <c r="CF133" s="124">
        <f t="shared" si="598"/>
        <v>0.7995733630124281</v>
      </c>
      <c r="CG133" s="124">
        <f t="shared" si="598"/>
        <v>0.78357667177542956</v>
      </c>
      <c r="CH133" s="997">
        <f t="shared" si="598"/>
        <v>0.79647265498589992</v>
      </c>
      <c r="CI133" s="124">
        <f t="shared" si="598"/>
        <v>0.7896291434197571</v>
      </c>
      <c r="CJ133" s="124">
        <f t="shared" si="598"/>
        <v>0.79308166166482386</v>
      </c>
      <c r="CK133" s="124">
        <f t="shared" si="598"/>
        <v>0.78368121442125238</v>
      </c>
      <c r="CL133" s="124">
        <f t="shared" si="598"/>
        <v>0.79134157287854723</v>
      </c>
      <c r="CM133" s="997">
        <f t="shared" si="598"/>
        <v>0.78944160889769177</v>
      </c>
      <c r="CN133" s="124">
        <f t="shared" si="598"/>
        <v>0.79199309997843748</v>
      </c>
      <c r="CO133" s="124">
        <f t="shared" si="598"/>
        <v>0.798397212543554</v>
      </c>
      <c r="CP133" s="124">
        <f t="shared" si="598"/>
        <v>0.79654510556621883</v>
      </c>
      <c r="CQ133" s="124">
        <f t="shared" si="598"/>
        <v>0.79570452703485006</v>
      </c>
      <c r="CR133" s="997">
        <f t="shared" si="598"/>
        <v>0.79569963394123278</v>
      </c>
      <c r="CS133" s="124">
        <f t="shared" si="598"/>
        <v>0.79610176695609935</v>
      </c>
      <c r="CT133" s="124">
        <f t="shared" si="598"/>
        <v>0.80159771754636233</v>
      </c>
      <c r="CU133" s="124">
        <f t="shared" si="598"/>
        <v>0.79533636214352177</v>
      </c>
      <c r="CV133" s="124">
        <f t="shared" si="598"/>
        <v>0.76366892911010553</v>
      </c>
      <c r="CW133" s="997">
        <f t="shared" si="598"/>
        <v>0.78785775527701796</v>
      </c>
      <c r="CX133" s="124">
        <f t="shared" si="598"/>
        <v>0.7752099796232792</v>
      </c>
      <c r="CY133" s="124">
        <f t="shared" si="598"/>
        <v>0.78282900712271142</v>
      </c>
      <c r="CZ133" s="124">
        <f t="shared" si="598"/>
        <v>0.77781769196228112</v>
      </c>
      <c r="DA133" s="124">
        <f t="shared" si="598"/>
        <v>0.75217408108839334</v>
      </c>
      <c r="DB133" s="997">
        <f t="shared" si="598"/>
        <v>0.77290515008465743</v>
      </c>
      <c r="DC133" s="124">
        <f t="shared" si="598"/>
        <v>0.76820339528522008</v>
      </c>
      <c r="DD133" s="124">
        <f t="shared" si="598"/>
        <v>0.77192514388077904</v>
      </c>
      <c r="DE133" s="124">
        <f t="shared" si="598"/>
        <v>0.76953383901612782</v>
      </c>
      <c r="DF133" s="124">
        <f t="shared" si="598"/>
        <v>0.73552135678391961</v>
      </c>
      <c r="DG133" s="997">
        <f t="shared" si="598"/>
        <v>0.76189221839717325</v>
      </c>
      <c r="DH133" s="124">
        <f t="shared" si="598"/>
        <v>0.75270531564842769</v>
      </c>
      <c r="DI133" s="124">
        <f t="shared" si="598"/>
        <v>0.74522172459471392</v>
      </c>
      <c r="DJ133" s="124">
        <f t="shared" ref="DJ133:EX133" si="599">DJ115/DJ127</f>
        <v>0.74794752946166199</v>
      </c>
      <c r="DK133" s="124">
        <f t="shared" si="599"/>
        <v>0.73458596369830198</v>
      </c>
      <c r="DL133" s="997">
        <f t="shared" si="599"/>
        <v>0.74454596715439259</v>
      </c>
      <c r="DM133" s="124">
        <f t="shared" si="599"/>
        <v>0.73389176135520817</v>
      </c>
      <c r="DN133" s="124">
        <f t="shared" si="599"/>
        <v>0.68687050596462362</v>
      </c>
      <c r="DO133" s="124">
        <f t="shared" si="599"/>
        <v>0.71393643276238594</v>
      </c>
      <c r="DP133" s="124">
        <f t="shared" si="599"/>
        <v>0.72268926602343198</v>
      </c>
      <c r="DQ133" s="997">
        <f t="shared" si="599"/>
        <v>0.71543014110277869</v>
      </c>
      <c r="DR133" s="124">
        <f t="shared" si="599"/>
        <v>0.72099901320117543</v>
      </c>
      <c r="DS133" s="124">
        <f t="shared" si="599"/>
        <v>0.72838217110557213</v>
      </c>
      <c r="DT133" s="124">
        <f t="shared" si="599"/>
        <v>0.72815883998508024</v>
      </c>
      <c r="DU133" s="124">
        <f t="shared" si="599"/>
        <v>0.72464839736340436</v>
      </c>
      <c r="DV133" s="997">
        <f t="shared" si="599"/>
        <v>0.72564829939029851</v>
      </c>
      <c r="DW133" s="124">
        <f t="shared" si="599"/>
        <v>0.71701556559147472</v>
      </c>
      <c r="DX133" s="124">
        <f t="shared" si="599"/>
        <v>0.7215093577630457</v>
      </c>
      <c r="DY133" s="124">
        <f t="shared" si="599"/>
        <v>0.70068808717214404</v>
      </c>
      <c r="DZ133" s="124">
        <f t="shared" si="599"/>
        <v>0.68830492213614691</v>
      </c>
      <c r="EA133" s="997">
        <f t="shared" si="599"/>
        <v>0.70637319363265938</v>
      </c>
      <c r="EB133" s="124">
        <f t="shared" si="599"/>
        <v>0.69813759170598966</v>
      </c>
      <c r="EC133" s="124">
        <f t="shared" si="599"/>
        <v>0.69546777514621305</v>
      </c>
      <c r="ED133" s="124">
        <f t="shared" si="599"/>
        <v>0.69465863140310069</v>
      </c>
      <c r="EE133" s="124">
        <f t="shared" si="599"/>
        <v>0.67696145124716545</v>
      </c>
      <c r="EF133" s="997">
        <f t="shared" si="599"/>
        <v>0.69065212702917644</v>
      </c>
      <c r="EG133" s="124">
        <f t="shared" si="599"/>
        <v>0.68508821919429519</v>
      </c>
      <c r="EH133" s="124">
        <f t="shared" si="599"/>
        <v>0.68634263891808567</v>
      </c>
      <c r="EI133" s="124">
        <f t="shared" ref="EI133:EJ133" si="600">EI115/EI127</f>
        <v>0.66751257562140343</v>
      </c>
      <c r="EJ133" s="124">
        <f t="shared" si="600"/>
        <v>0.67526605652956961</v>
      </c>
      <c r="EK133" s="997">
        <f t="shared" si="599"/>
        <v>0.67823525776130233</v>
      </c>
      <c r="EL133" s="124">
        <f t="shared" ref="EL133:EN133" si="601">EL115/EL127</f>
        <v>0.66360052820123949</v>
      </c>
      <c r="EM133" s="124">
        <f t="shared" si="601"/>
        <v>0.66559438591339037</v>
      </c>
      <c r="EN133" s="124">
        <f t="shared" si="601"/>
        <v>0.64954431233565801</v>
      </c>
      <c r="EO133" s="124">
        <f t="shared" si="599"/>
        <v>0.65386775846123979</v>
      </c>
      <c r="EP133" s="997">
        <f t="shared" si="599"/>
        <v>0.65774458538681646</v>
      </c>
      <c r="EQ133" s="124">
        <f t="shared" ref="EQ133:EU133" si="602">EQ115/EQ127</f>
        <v>0.64596398339528216</v>
      </c>
      <c r="ER133" s="124">
        <f t="shared" si="602"/>
        <v>0.63600190712534166</v>
      </c>
      <c r="ES133" s="124">
        <f t="shared" si="602"/>
        <v>0.61568631245918315</v>
      </c>
      <c r="ET133" s="124">
        <f t="shared" si="602"/>
        <v>0.61961882196445828</v>
      </c>
      <c r="EU133" s="997">
        <f t="shared" si="602"/>
        <v>0.62848429209850776</v>
      </c>
      <c r="EV133" s="2255">
        <f t="shared" si="599"/>
        <v>0.60462074109074371</v>
      </c>
      <c r="EW133" s="2255">
        <f t="shared" si="599"/>
        <v>0.58457076357342019</v>
      </c>
      <c r="EX133" s="2255">
        <f t="shared" si="599"/>
        <v>0.56821756958219749</v>
      </c>
      <c r="EY133" s="2255">
        <f t="shared" ref="EY133" si="603">EY115/EY127</f>
        <v>0.55363703426938538</v>
      </c>
      <c r="EZ133" s="176"/>
      <c r="FA133" s="4266"/>
      <c r="FB133" s="4266"/>
    </row>
    <row r="134" spans="1:158" s="180" customFormat="1" ht="11.25" customHeight="1">
      <c r="A134" s="5361" t="s">
        <v>646</v>
      </c>
      <c r="B134" s="175"/>
      <c r="C134" s="175"/>
      <c r="D134" s="175"/>
      <c r="E134" s="176"/>
      <c r="F134" s="5286"/>
      <c r="G134" s="175"/>
      <c r="H134" s="175"/>
      <c r="I134" s="175"/>
      <c r="J134" s="175"/>
      <c r="K134" s="1014"/>
      <c r="L134" s="124"/>
      <c r="M134" s="124"/>
      <c r="N134" s="124"/>
      <c r="O134" s="124"/>
      <c r="P134" s="997">
        <f t="shared" ref="P134:AU134" si="604">P118/P127</f>
        <v>0</v>
      </c>
      <c r="Q134" s="1879">
        <f t="shared" si="604"/>
        <v>0</v>
      </c>
      <c r="R134" s="124">
        <f t="shared" si="604"/>
        <v>1.4254165052305369E-2</v>
      </c>
      <c r="S134" s="124">
        <f t="shared" si="604"/>
        <v>2.3469401790012549E-2</v>
      </c>
      <c r="T134" s="124">
        <f t="shared" si="604"/>
        <v>4.4925775780545393E-2</v>
      </c>
      <c r="U134" s="997">
        <f t="shared" si="604"/>
        <v>2.7352988916199038E-2</v>
      </c>
      <c r="V134" s="1879">
        <f t="shared" si="604"/>
        <v>6.2116568713687842E-2</v>
      </c>
      <c r="W134" s="124">
        <f t="shared" si="604"/>
        <v>9.7950055907566155E-2</v>
      </c>
      <c r="X134" s="124">
        <f t="shared" si="604"/>
        <v>0.12360304246271783</v>
      </c>
      <c r="Y134" s="124">
        <f t="shared" si="604"/>
        <v>0.13183105828583797</v>
      </c>
      <c r="Z134" s="997">
        <f t="shared" si="604"/>
        <v>0.10865115110586428</v>
      </c>
      <c r="AA134" s="1879">
        <f t="shared" si="604"/>
        <v>0.16486215947096983</v>
      </c>
      <c r="AB134" s="124">
        <f t="shared" si="604"/>
        <v>0.16350566428311492</v>
      </c>
      <c r="AC134" s="124">
        <f t="shared" si="604"/>
        <v>0.16183320841294116</v>
      </c>
      <c r="AD134" s="124">
        <f t="shared" si="604"/>
        <v>0.17174369908564466</v>
      </c>
      <c r="AE134" s="997">
        <f t="shared" si="604"/>
        <v>0.16608707627334768</v>
      </c>
      <c r="AF134" s="1879">
        <f t="shared" si="604"/>
        <v>0.17680484017053644</v>
      </c>
      <c r="AG134" s="124">
        <f t="shared" si="604"/>
        <v>0.17405399940462477</v>
      </c>
      <c r="AH134" s="124">
        <f t="shared" si="604"/>
        <v>0.16175769343745108</v>
      </c>
      <c r="AI134" s="124">
        <f t="shared" si="604"/>
        <v>0.15337085226783903</v>
      </c>
      <c r="AJ134" s="997">
        <f t="shared" si="604"/>
        <v>0.16476084782316841</v>
      </c>
      <c r="AK134" s="1879">
        <f t="shared" si="604"/>
        <v>0.15548468046444883</v>
      </c>
      <c r="AL134" s="124">
        <f t="shared" si="604"/>
        <v>0.14851762475221922</v>
      </c>
      <c r="AM134" s="124">
        <f t="shared" si="604"/>
        <v>0.13771549053882484</v>
      </c>
      <c r="AN134" s="123">
        <f t="shared" si="604"/>
        <v>0.1265747342930176</v>
      </c>
      <c r="AO134" s="997">
        <f t="shared" si="604"/>
        <v>0.14051295475976405</v>
      </c>
      <c r="AP134" s="1879">
        <f t="shared" si="604"/>
        <v>0.11556423283232427</v>
      </c>
      <c r="AQ134" s="124">
        <f t="shared" si="604"/>
        <v>0.10683924939069986</v>
      </c>
      <c r="AR134" s="124">
        <f t="shared" si="604"/>
        <v>0.11260630828663981</v>
      </c>
      <c r="AS134" s="123">
        <f t="shared" si="604"/>
        <v>9.4893655342034589E-2</v>
      </c>
      <c r="AT134" s="997">
        <f t="shared" si="604"/>
        <v>0.10675814356453905</v>
      </c>
      <c r="AU134" s="1879">
        <f t="shared" si="604"/>
        <v>9.2675297912591451E-2</v>
      </c>
      <c r="AV134" s="124">
        <f t="shared" ref="AV134:BN134" si="605">AV118/AV127</f>
        <v>8.6236833561421478E-2</v>
      </c>
      <c r="AW134" s="124">
        <f t="shared" si="605"/>
        <v>8.6860833105752752E-2</v>
      </c>
      <c r="AX134" s="123">
        <f t="shared" si="605"/>
        <v>9.4871585732095726E-2</v>
      </c>
      <c r="AY134" s="997">
        <f t="shared" si="605"/>
        <v>9.0194945977693286E-2</v>
      </c>
      <c r="AZ134" s="1879">
        <f t="shared" si="605"/>
        <v>0.10041222382354169</v>
      </c>
      <c r="BA134" s="124">
        <f t="shared" si="605"/>
        <v>0.11012194735379376</v>
      </c>
      <c r="BB134" s="124">
        <f t="shared" si="605"/>
        <v>0.10732174474163951</v>
      </c>
      <c r="BC134" s="123">
        <f t="shared" si="605"/>
        <v>0.11567155364827648</v>
      </c>
      <c r="BD134" s="997">
        <f t="shared" si="605"/>
        <v>0.10872949356973555</v>
      </c>
      <c r="BE134" s="1879">
        <f t="shared" si="605"/>
        <v>0.11650868878357031</v>
      </c>
      <c r="BF134" s="124">
        <f t="shared" si="605"/>
        <v>0.11792452830188679</v>
      </c>
      <c r="BG134" s="124">
        <f t="shared" si="605"/>
        <v>0.12388250319284802</v>
      </c>
      <c r="BH134" s="123">
        <f t="shared" si="605"/>
        <v>0.11913357400722022</v>
      </c>
      <c r="BI134" s="997">
        <f t="shared" si="605"/>
        <v>0.11943283039447374</v>
      </c>
      <c r="BJ134" s="1879">
        <f t="shared" si="605"/>
        <v>0.11106011932078935</v>
      </c>
      <c r="BK134" s="124">
        <f t="shared" si="605"/>
        <v>0.10540775014459225</v>
      </c>
      <c r="BL134" s="124">
        <f t="shared" si="605"/>
        <v>0.10226364846870839</v>
      </c>
      <c r="BM134" s="124">
        <f t="shared" si="605"/>
        <v>0.10720432751413818</v>
      </c>
      <c r="BN134" s="997">
        <f t="shared" si="605"/>
        <v>0.10636835412585489</v>
      </c>
      <c r="BO134" s="124"/>
      <c r="BP134" s="124"/>
      <c r="BQ134" s="124"/>
      <c r="BR134" s="124"/>
      <c r="BS134" s="2255"/>
      <c r="BT134" s="124">
        <f>BT118/BT127</f>
        <v>0.10706822372464658</v>
      </c>
      <c r="BU134" s="124">
        <f>BU118/BU127</f>
        <v>0.10640841702534673</v>
      </c>
      <c r="BV134" s="124">
        <f>BV118/BV127</f>
        <v>0.10495660118775697</v>
      </c>
      <c r="BW134" s="124">
        <f>BW118/BW127</f>
        <v>0.10076335877862595</v>
      </c>
      <c r="BX134" s="997">
        <f>BX118/BX127</f>
        <v>0.10461801596351197</v>
      </c>
      <c r="BY134" s="124"/>
      <c r="BZ134" s="124"/>
      <c r="CA134" s="124"/>
      <c r="CB134" s="124"/>
      <c r="CC134" s="2255"/>
      <c r="CD134" s="2395">
        <f t="shared" ref="CD134:DI134" si="606">CD118/CD127</f>
        <v>0.11102212433677044</v>
      </c>
      <c r="CE134" s="124">
        <f t="shared" si="606"/>
        <v>9.9762234991083817E-2</v>
      </c>
      <c r="CF134" s="124">
        <f t="shared" si="606"/>
        <v>9.8312001483954733E-2</v>
      </c>
      <c r="CG134" s="124">
        <f t="shared" si="606"/>
        <v>9.5345648140679196E-2</v>
      </c>
      <c r="CH134" s="997">
        <f t="shared" si="606"/>
        <v>0.10073505616938652</v>
      </c>
      <c r="CI134" s="124">
        <f t="shared" si="606"/>
        <v>9.3616672136527732E-2</v>
      </c>
      <c r="CJ134" s="124">
        <f t="shared" si="606"/>
        <v>9.1849628810614439E-2</v>
      </c>
      <c r="CK134" s="124">
        <f t="shared" si="606"/>
        <v>8.7058823529411758E-2</v>
      </c>
      <c r="CL134" s="124">
        <f t="shared" si="606"/>
        <v>8.478906303942553E-2</v>
      </c>
      <c r="CM134" s="997">
        <f t="shared" si="606"/>
        <v>8.9110230821969991E-2</v>
      </c>
      <c r="CN134" s="124">
        <f t="shared" si="606"/>
        <v>8.2225256953927975E-2</v>
      </c>
      <c r="CO134" s="124">
        <f t="shared" si="606"/>
        <v>8.2857142857142851E-2</v>
      </c>
      <c r="CP134" s="124">
        <f t="shared" si="606"/>
        <v>7.8099146204249126E-2</v>
      </c>
      <c r="CQ134" s="124">
        <f t="shared" si="606"/>
        <v>7.3984022229940952E-2</v>
      </c>
      <c r="CR134" s="997">
        <f t="shared" si="606"/>
        <v>7.8999439369455526E-2</v>
      </c>
      <c r="CS134" s="124">
        <f t="shared" si="606"/>
        <v>6.8067277916084759E-2</v>
      </c>
      <c r="CT134" s="124">
        <f t="shared" si="606"/>
        <v>6.3908701854493585E-2</v>
      </c>
      <c r="CU134" s="124">
        <f t="shared" si="606"/>
        <v>6.0703924681153869E-2</v>
      </c>
      <c r="CV134" s="124">
        <f t="shared" si="606"/>
        <v>6.3584087481146301E-2</v>
      </c>
      <c r="CW134" s="997">
        <f t="shared" si="606"/>
        <v>6.3950244287483499E-2</v>
      </c>
      <c r="CX134" s="124">
        <f t="shared" si="606"/>
        <v>5.8843993837284427E-2</v>
      </c>
      <c r="CY134" s="124">
        <f t="shared" si="606"/>
        <v>5.760313590515799E-2</v>
      </c>
      <c r="CZ134" s="124">
        <f t="shared" si="606"/>
        <v>5.5725190839694655E-2</v>
      </c>
      <c r="DA134" s="124">
        <f t="shared" si="606"/>
        <v>5.0863834885788273E-2</v>
      </c>
      <c r="DB134" s="997">
        <f t="shared" si="606"/>
        <v>5.5784174113900631E-2</v>
      </c>
      <c r="DC134" s="124">
        <f t="shared" si="606"/>
        <v>5.0607450317805135E-2</v>
      </c>
      <c r="DD134" s="124">
        <f t="shared" si="606"/>
        <v>5.3893356709989709E-2</v>
      </c>
      <c r="DE134" s="124">
        <f t="shared" si="606"/>
        <v>5.423816186758966E-2</v>
      </c>
      <c r="DF134" s="124">
        <f t="shared" si="606"/>
        <v>5.2229899497487436E-2</v>
      </c>
      <c r="DG134" s="997">
        <f t="shared" si="606"/>
        <v>5.3191392731599646E-2</v>
      </c>
      <c r="DH134" s="124">
        <f t="shared" si="606"/>
        <v>5.2172733132060112E-2</v>
      </c>
      <c r="DI134" s="124">
        <f t="shared" si="606"/>
        <v>5.1346748249542676E-2</v>
      </c>
      <c r="DJ134" s="124">
        <f t="shared" ref="DJ134:EX134" si="607">DJ118/DJ127</f>
        <v>4.8986640007270744E-2</v>
      </c>
      <c r="DK134" s="124">
        <f t="shared" si="607"/>
        <v>4.8748256773300698E-2</v>
      </c>
      <c r="DL134" s="997">
        <f t="shared" si="607"/>
        <v>5.0199342784287546E-2</v>
      </c>
      <c r="DM134" s="124">
        <f t="shared" si="607"/>
        <v>4.6687940190464884E-2</v>
      </c>
      <c r="DN134" s="124">
        <f t="shared" si="607"/>
        <v>4.6382666202575709E-2</v>
      </c>
      <c r="DO134" s="124">
        <f t="shared" si="607"/>
        <v>4.7212829215670792E-2</v>
      </c>
      <c r="DP134" s="124">
        <f t="shared" si="607"/>
        <v>4.6887749827705043E-2</v>
      </c>
      <c r="DQ134" s="997">
        <f t="shared" si="607"/>
        <v>4.6818688605600046E-2</v>
      </c>
      <c r="DR134" s="124">
        <f t="shared" si="607"/>
        <v>4.5897175562475322E-2</v>
      </c>
      <c r="DS134" s="124">
        <f t="shared" si="607"/>
        <v>4.716688583148515E-2</v>
      </c>
      <c r="DT134" s="124">
        <f t="shared" si="607"/>
        <v>4.8267866467735926E-2</v>
      </c>
      <c r="DU134" s="124">
        <f t="shared" si="607"/>
        <v>4.7783668292998155E-2</v>
      </c>
      <c r="DV134" s="997">
        <f t="shared" si="607"/>
        <v>4.7352252311725788E-2</v>
      </c>
      <c r="DW134" s="124">
        <f t="shared" si="607"/>
        <v>4.468094107566805E-2</v>
      </c>
      <c r="DX134" s="124">
        <f t="shared" si="607"/>
        <v>4.5381769936141701E-2</v>
      </c>
      <c r="DY134" s="124">
        <f t="shared" si="607"/>
        <v>4.4186707645024983E-2</v>
      </c>
      <c r="DZ134" s="124">
        <f t="shared" si="607"/>
        <v>4.2284561887109287E-2</v>
      </c>
      <c r="EA134" s="997">
        <f t="shared" si="607"/>
        <v>4.4085372903314067E-2</v>
      </c>
      <c r="EB134" s="124">
        <f t="shared" si="607"/>
        <v>3.9419670719526047E-2</v>
      </c>
      <c r="EC134" s="124">
        <f t="shared" si="607"/>
        <v>3.9318826429503587E-2</v>
      </c>
      <c r="ED134" s="124">
        <f t="shared" si="607"/>
        <v>3.9209692276467208E-2</v>
      </c>
      <c r="EE134" s="124">
        <f t="shared" si="607"/>
        <v>3.5540622753166287E-2</v>
      </c>
      <c r="EF134" s="997">
        <f t="shared" si="607"/>
        <v>3.8249115817050539E-2</v>
      </c>
      <c r="EG134" s="124">
        <f t="shared" si="607"/>
        <v>3.559291642625715E-2</v>
      </c>
      <c r="EH134" s="124">
        <f t="shared" si="607"/>
        <v>3.1602844930278193E-2</v>
      </c>
      <c r="EI134" s="124">
        <f t="shared" ref="EI134:EJ134" si="608">EI118/EI127</f>
        <v>3.1826114367731285E-2</v>
      </c>
      <c r="EJ134" s="124">
        <f t="shared" si="608"/>
        <v>3.0593954987074415E-2</v>
      </c>
      <c r="EK134" s="997">
        <f t="shared" si="607"/>
        <v>3.229408982169843E-2</v>
      </c>
      <c r="EL134" s="124">
        <f t="shared" ref="EL134:EN134" si="609">EL118/EL127</f>
        <v>3.1127918834819426E-2</v>
      </c>
      <c r="EM134" s="124">
        <f t="shared" si="609"/>
        <v>2.7417373322075785E-2</v>
      </c>
      <c r="EN134" s="124">
        <f t="shared" si="609"/>
        <v>2.8471007202469423E-2</v>
      </c>
      <c r="EO134" s="124">
        <f t="shared" si="607"/>
        <v>2.6758367244133326E-2</v>
      </c>
      <c r="EP134" s="997">
        <f t="shared" si="607"/>
        <v>2.8332619470505634E-2</v>
      </c>
      <c r="EQ134" s="124">
        <f t="shared" ref="EQ134:EU134" si="610">EQ118/EQ127</f>
        <v>2.6631920642525345E-2</v>
      </c>
      <c r="ER134" s="124">
        <f t="shared" si="610"/>
        <v>2.4732658917765694E-2</v>
      </c>
      <c r="ES134" s="124">
        <f t="shared" si="610"/>
        <v>2.3017067266716571E-2</v>
      </c>
      <c r="ET134" s="124">
        <f t="shared" si="610"/>
        <v>2.2246628899398654E-2</v>
      </c>
      <c r="EU134" s="997">
        <f t="shared" si="610"/>
        <v>2.4027533421720343E-2</v>
      </c>
      <c r="EV134" s="2255">
        <f t="shared" si="607"/>
        <v>2.0827399740289087E-2</v>
      </c>
      <c r="EW134" s="2255">
        <f t="shared" si="607"/>
        <v>1.839596112096133E-2</v>
      </c>
      <c r="EX134" s="2255">
        <f t="shared" si="607"/>
        <v>1.6544384011986064E-2</v>
      </c>
      <c r="EY134" s="2255">
        <f t="shared" ref="EY134" si="611">EY118/EY127</f>
        <v>1.5051047423433795E-2</v>
      </c>
      <c r="EZ134" s="176"/>
      <c r="FA134" s="717"/>
      <c r="FB134" s="717"/>
    </row>
    <row r="135" spans="1:158" s="168" customFormat="1" ht="11.25" customHeight="1">
      <c r="A135" s="4474" t="s">
        <v>647</v>
      </c>
      <c r="B135" s="3013"/>
      <c r="C135" s="3013"/>
      <c r="D135" s="3013"/>
      <c r="E135" s="3013"/>
      <c r="F135" s="5593"/>
      <c r="G135" s="3013"/>
      <c r="H135" s="3013"/>
      <c r="I135" s="3013"/>
      <c r="J135" s="3013"/>
      <c r="K135" s="3014"/>
      <c r="L135" s="3015"/>
      <c r="M135" s="3015"/>
      <c r="N135" s="3015"/>
      <c r="O135" s="3016"/>
      <c r="P135" s="3017">
        <f t="shared" ref="P135:AT135" si="612">SUM(P133:P134)</f>
        <v>0.77444287598639294</v>
      </c>
      <c r="Q135" s="3018">
        <f t="shared" si="612"/>
        <v>0.88</v>
      </c>
      <c r="R135" s="3015">
        <f t="shared" si="612"/>
        <v>0.89047268500581178</v>
      </c>
      <c r="S135" s="3015">
        <f t="shared" si="612"/>
        <v>0.92290547908868525</v>
      </c>
      <c r="T135" s="3016">
        <f t="shared" si="612"/>
        <v>0.93692348857496832</v>
      </c>
      <c r="U135" s="3017">
        <f t="shared" si="612"/>
        <v>0.91712366090061692</v>
      </c>
      <c r="V135" s="3018">
        <f t="shared" si="612"/>
        <v>0.94677483514205507</v>
      </c>
      <c r="W135" s="3015">
        <f t="shared" si="612"/>
        <v>0.95101565411852396</v>
      </c>
      <c r="X135" s="3015">
        <f t="shared" si="612"/>
        <v>0.95105308338823347</v>
      </c>
      <c r="Y135" s="3016">
        <f t="shared" si="612"/>
        <v>0.95606082118059077</v>
      </c>
      <c r="Z135" s="3017">
        <f t="shared" si="612"/>
        <v>0.95180865253496649</v>
      </c>
      <c r="AA135" s="3018">
        <f t="shared" si="612"/>
        <v>0.96232735450750218</v>
      </c>
      <c r="AB135" s="3015">
        <f t="shared" si="612"/>
        <v>0.9750837708954625</v>
      </c>
      <c r="AC135" s="3015">
        <f t="shared" si="612"/>
        <v>0.98034342835898347</v>
      </c>
      <c r="AD135" s="3016">
        <f t="shared" si="612"/>
        <v>0.98299005497144365</v>
      </c>
      <c r="AE135" s="3017">
        <f t="shared" si="612"/>
        <v>0.97659315100633504</v>
      </c>
      <c r="AF135" s="3018">
        <f t="shared" si="612"/>
        <v>0.98061621525581855</v>
      </c>
      <c r="AG135" s="3015">
        <f t="shared" si="612"/>
        <v>0.98081206926572262</v>
      </c>
      <c r="AH135" s="3015">
        <f t="shared" si="612"/>
        <v>0.98210396011276446</v>
      </c>
      <c r="AI135" s="3016">
        <f t="shared" si="612"/>
        <v>0.98271033868576252</v>
      </c>
      <c r="AJ135" s="3017">
        <f t="shared" si="612"/>
        <v>0.98171873278153376</v>
      </c>
      <c r="AK135" s="3018">
        <f t="shared" si="612"/>
        <v>0.98167103086245178</v>
      </c>
      <c r="AL135" s="3015">
        <f t="shared" si="612"/>
        <v>0.9838625307631168</v>
      </c>
      <c r="AM135" s="3015">
        <f t="shared" si="612"/>
        <v>0.98569305340190905</v>
      </c>
      <c r="AN135" s="3016">
        <f t="shared" si="612"/>
        <v>0.98628234449975338</v>
      </c>
      <c r="AO135" s="3017">
        <f t="shared" si="612"/>
        <v>0.98460998662310018</v>
      </c>
      <c r="AP135" s="3018">
        <f t="shared" si="612"/>
        <v>0.98561566762231378</v>
      </c>
      <c r="AQ135" s="3015">
        <f t="shared" si="612"/>
        <v>0.98764916794143387</v>
      </c>
      <c r="AR135" s="3015">
        <f t="shared" si="612"/>
        <v>0.98608943964765494</v>
      </c>
      <c r="AS135" s="3016">
        <f t="shared" si="612"/>
        <v>0.97953741882242129</v>
      </c>
      <c r="AT135" s="3017">
        <f t="shared" si="612"/>
        <v>0.98444751513413387</v>
      </c>
      <c r="AU135" s="3018">
        <f t="shared" ref="AU135:BD135" si="613">SUM(AU133:AU134)</f>
        <v>0.97310644035031335</v>
      </c>
      <c r="AV135" s="3015">
        <f t="shared" si="613"/>
        <v>0.95330691826225622</v>
      </c>
      <c r="AW135" s="3015">
        <f t="shared" si="613"/>
        <v>0.95318577870265453</v>
      </c>
      <c r="AX135" s="3016">
        <f t="shared" si="613"/>
        <v>0.95344825705710612</v>
      </c>
      <c r="AY135" s="3017">
        <f t="shared" si="613"/>
        <v>0.95793322123698921</v>
      </c>
      <c r="AZ135" s="3018">
        <f t="shared" si="613"/>
        <v>0.95626720156738343</v>
      </c>
      <c r="BA135" s="3015">
        <f t="shared" si="613"/>
        <v>0.95410565756400645</v>
      </c>
      <c r="BB135" s="3015">
        <f t="shared" si="613"/>
        <v>0.95708033158254169</v>
      </c>
      <c r="BC135" s="3016">
        <f t="shared" si="613"/>
        <v>0.95787666150813</v>
      </c>
      <c r="BD135" s="3017">
        <f t="shared" si="613"/>
        <v>0.95642400908909786</v>
      </c>
      <c r="BE135" s="3018">
        <f t="shared" ref="BE135:BW135" si="614">SUM(BE133:BE134)</f>
        <v>0.94075829383886256</v>
      </c>
      <c r="BF135" s="3015">
        <f t="shared" si="614"/>
        <v>0.9492924528301887</v>
      </c>
      <c r="BG135" s="3015">
        <f t="shared" si="614"/>
        <v>0.95365809158912607</v>
      </c>
      <c r="BH135" s="3016">
        <f t="shared" si="614"/>
        <v>0.95714958405273898</v>
      </c>
      <c r="BI135" s="3017">
        <f t="shared" si="614"/>
        <v>0.95069078349391023</v>
      </c>
      <c r="BJ135" s="3018">
        <f>SUM(BJ133:BJ134)</f>
        <v>0.95884962521034112</v>
      </c>
      <c r="BK135" s="3015">
        <f t="shared" si="614"/>
        <v>0.95517640254482361</v>
      </c>
      <c r="BL135" s="3015">
        <f t="shared" si="614"/>
        <v>0.94873501997336884</v>
      </c>
      <c r="BM135" s="3015">
        <f t="shared" si="614"/>
        <v>0.94959429554954511</v>
      </c>
      <c r="BN135" s="3017">
        <f t="shared" si="614"/>
        <v>0.95277863697288379</v>
      </c>
      <c r="BO135" s="3015"/>
      <c r="BP135" s="3015"/>
      <c r="BQ135" s="3015"/>
      <c r="BR135" s="3015"/>
      <c r="BS135" s="3019"/>
      <c r="BT135" s="3015">
        <f t="shared" si="614"/>
        <v>0.9483712354025815</v>
      </c>
      <c r="BU135" s="3015">
        <f t="shared" si="614"/>
        <v>0.94751315160210425</v>
      </c>
      <c r="BV135" s="3015">
        <f t="shared" si="614"/>
        <v>0.92393787117405202</v>
      </c>
      <c r="BW135" s="3015">
        <f t="shared" si="614"/>
        <v>0.91562340966921119</v>
      </c>
      <c r="BX135" s="3017">
        <f>SUM(BX133:BX134)</f>
        <v>0.93289623717217784</v>
      </c>
      <c r="BY135" s="3015"/>
      <c r="BZ135" s="3015"/>
      <c r="CA135" s="3015"/>
      <c r="CB135" s="3015"/>
      <c r="CC135" s="3019"/>
      <c r="CD135" s="3020">
        <f>SUM(CD133:CD134)</f>
        <v>0.90789868855741318</v>
      </c>
      <c r="CE135" s="3015">
        <f>SUM(CE133:CE134)</f>
        <v>0.9083614028135526</v>
      </c>
      <c r="CF135" s="3015">
        <f>SUM(CF133:CF134)</f>
        <v>0.89788536449638279</v>
      </c>
      <c r="CG135" s="3015">
        <f>SUM(CG133:CG134)</f>
        <v>0.8789223199161087</v>
      </c>
      <c r="CH135" s="3017">
        <f>SUM(CH133:CH134)</f>
        <v>0.89720771115528641</v>
      </c>
      <c r="CI135" s="3015">
        <f t="shared" ref="CI135:CP135" si="615">SUM(CI133:CI134)</f>
        <v>0.88324581555628479</v>
      </c>
      <c r="CJ135" s="3015">
        <f t="shared" si="615"/>
        <v>0.88493129047543828</v>
      </c>
      <c r="CK135" s="3015">
        <f t="shared" si="615"/>
        <v>0.87074003795066413</v>
      </c>
      <c r="CL135" s="3015">
        <f t="shared" si="615"/>
        <v>0.8761306359179728</v>
      </c>
      <c r="CM135" s="3017">
        <f t="shared" si="615"/>
        <v>0.87855183971966178</v>
      </c>
      <c r="CN135" s="3015">
        <f>SUM(CN133:CN134)</f>
        <v>0.87421835693236549</v>
      </c>
      <c r="CO135" s="3015">
        <f t="shared" si="615"/>
        <v>0.88125435540069685</v>
      </c>
      <c r="CP135" s="3015">
        <f t="shared" si="615"/>
        <v>0.87464425177046801</v>
      </c>
      <c r="CQ135" s="3015">
        <f>SUM(CQ133:CQ134)</f>
        <v>0.869688549264791</v>
      </c>
      <c r="CR135" s="3017">
        <f>SUM(CR133:CR134)</f>
        <v>0.8746990733106883</v>
      </c>
      <c r="CS135" s="3015">
        <f t="shared" ref="CS135:DF135" si="616">SUM(CS133:CS134)</f>
        <v>0.86416904487218416</v>
      </c>
      <c r="CT135" s="3015">
        <f t="shared" si="616"/>
        <v>0.86550641940085593</v>
      </c>
      <c r="CU135" s="3015">
        <f t="shared" si="616"/>
        <v>0.85604028682467559</v>
      </c>
      <c r="CV135" s="3015">
        <f t="shared" si="616"/>
        <v>0.82725301659125183</v>
      </c>
      <c r="CW135" s="3017">
        <f t="shared" si="616"/>
        <v>0.85180799956450148</v>
      </c>
      <c r="CX135" s="3015">
        <f>SUM(CX133:CX134)</f>
        <v>0.83405397346056365</v>
      </c>
      <c r="CY135" s="3015">
        <f>SUM(CY133:CY134)</f>
        <v>0.84043214302786939</v>
      </c>
      <c r="CZ135" s="3015">
        <f>SUM(CZ133:CZ134)</f>
        <v>0.83354288280197575</v>
      </c>
      <c r="DA135" s="3015">
        <f>SUM(DA133:DA134)</f>
        <v>0.80303791597418162</v>
      </c>
      <c r="DB135" s="3017">
        <f t="shared" si="616"/>
        <v>0.82868932419855801</v>
      </c>
      <c r="DC135" s="3015">
        <f t="shared" si="616"/>
        <v>0.81881084560302519</v>
      </c>
      <c r="DD135" s="3015">
        <f t="shared" si="616"/>
        <v>0.82581850059076878</v>
      </c>
      <c r="DE135" s="3015">
        <f t="shared" si="616"/>
        <v>0.82377200088371749</v>
      </c>
      <c r="DF135" s="3015">
        <f t="shared" si="616"/>
        <v>0.78775125628140708</v>
      </c>
      <c r="DG135" s="3017">
        <f t="shared" ref="DG135:DQ135" si="617">SUM(DG133:DG134)</f>
        <v>0.81508361112877292</v>
      </c>
      <c r="DH135" s="3015">
        <f t="shared" si="617"/>
        <v>0.80487804878048785</v>
      </c>
      <c r="DI135" s="3015">
        <f t="shared" si="617"/>
        <v>0.79656847284425658</v>
      </c>
      <c r="DJ135" s="3015">
        <f t="shared" si="617"/>
        <v>0.7969341694689327</v>
      </c>
      <c r="DK135" s="3015">
        <f t="shared" si="617"/>
        <v>0.78333422047160273</v>
      </c>
      <c r="DL135" s="3017">
        <f t="shared" si="617"/>
        <v>0.79474530993868009</v>
      </c>
      <c r="DM135" s="3015">
        <f t="shared" si="617"/>
        <v>0.78057970154567302</v>
      </c>
      <c r="DN135" s="3015">
        <f t="shared" si="617"/>
        <v>0.73325317216719932</v>
      </c>
      <c r="DO135" s="3015">
        <f t="shared" si="617"/>
        <v>0.76114926197805677</v>
      </c>
      <c r="DP135" s="3015">
        <f t="shared" si="617"/>
        <v>0.76957701585113703</v>
      </c>
      <c r="DQ135" s="3017">
        <f t="shared" si="617"/>
        <v>0.76224882970837871</v>
      </c>
      <c r="DR135" s="3015">
        <f t="shared" ref="DR135:DW135" si="618">SUM(DR133:DR134)</f>
        <v>0.76689618876365073</v>
      </c>
      <c r="DS135" s="3015">
        <f t="shared" si="618"/>
        <v>0.77554905693705734</v>
      </c>
      <c r="DT135" s="3015">
        <f t="shared" si="618"/>
        <v>0.7764267064528162</v>
      </c>
      <c r="DU135" s="3015">
        <f t="shared" si="618"/>
        <v>0.77243206565640254</v>
      </c>
      <c r="DV135" s="3017">
        <f t="shared" si="618"/>
        <v>0.77300055170202431</v>
      </c>
      <c r="DW135" s="3015">
        <f t="shared" si="618"/>
        <v>0.76169650666714273</v>
      </c>
      <c r="DX135" s="3015">
        <f t="shared" ref="DX135:EV135" si="619">SUM(DX133:DX134)</f>
        <v>0.76689112769918744</v>
      </c>
      <c r="DY135" s="3015">
        <f t="shared" si="619"/>
        <v>0.74487479481716901</v>
      </c>
      <c r="DZ135" s="3015">
        <f t="shared" si="619"/>
        <v>0.73058948402325619</v>
      </c>
      <c r="EA135" s="3017">
        <f t="shared" si="619"/>
        <v>0.75045856653597343</v>
      </c>
      <c r="EB135" s="3015">
        <f t="shared" si="619"/>
        <v>0.73755726242551567</v>
      </c>
      <c r="EC135" s="3015">
        <f>SUM(EC133:EC134)</f>
        <v>0.73478660157571662</v>
      </c>
      <c r="ED135" s="3015">
        <f t="shared" si="619"/>
        <v>0.73386832367956789</v>
      </c>
      <c r="EE135" s="3015">
        <f t="shared" si="619"/>
        <v>0.71250207400033172</v>
      </c>
      <c r="EF135" s="3017">
        <f t="shared" si="619"/>
        <v>0.72890124284622693</v>
      </c>
      <c r="EG135" s="3015">
        <f t="shared" ref="EG135" si="620">SUM(EG133:EG134)</f>
        <v>0.72068113562055236</v>
      </c>
      <c r="EH135" s="3015">
        <f>SUM(EH133:EH134)</f>
        <v>0.71794548384836387</v>
      </c>
      <c r="EI135" s="3015">
        <f t="shared" ref="EI135:EJ135" si="621">SUM(EI133:EI134)</f>
        <v>0.69933868998913473</v>
      </c>
      <c r="EJ135" s="3015">
        <f t="shared" si="621"/>
        <v>0.70586001151664401</v>
      </c>
      <c r="EK135" s="3017">
        <f>SUM(EK133:EK134)</f>
        <v>0.71052934758300079</v>
      </c>
      <c r="EL135" s="3015">
        <f t="shared" ref="EL135" si="622">SUM(EL133:EL134)</f>
        <v>0.69472844703605896</v>
      </c>
      <c r="EM135" s="3015">
        <f>SUM(EM133:EM134)</f>
        <v>0.69301175923546621</v>
      </c>
      <c r="EN135" s="3015">
        <f t="shared" ref="EN135" si="623">SUM(EN133:EN134)</f>
        <v>0.67801531953812744</v>
      </c>
      <c r="EO135" s="3015">
        <f t="shared" ref="EO135" si="624">SUM(EO133:EO134)</f>
        <v>0.68062612570537306</v>
      </c>
      <c r="EP135" s="3017">
        <f>SUM(EP133:EP134)</f>
        <v>0.68607720485732204</v>
      </c>
      <c r="EQ135" s="3015">
        <f t="shared" ref="EQ135:ET135" si="625">SUM(EQ133:EQ134)</f>
        <v>0.67259590403780756</v>
      </c>
      <c r="ER135" s="3015">
        <f t="shared" si="625"/>
        <v>0.66073456604310732</v>
      </c>
      <c r="ES135" s="3015">
        <f t="shared" si="625"/>
        <v>0.63870337972589974</v>
      </c>
      <c r="ET135" s="3015">
        <f t="shared" si="625"/>
        <v>0.64186545086385693</v>
      </c>
      <c r="EU135" s="3017">
        <f>SUM(EU133:EU134)</f>
        <v>0.65251182552022813</v>
      </c>
      <c r="EV135" s="3019">
        <f t="shared" si="619"/>
        <v>0.62544814083103284</v>
      </c>
      <c r="EW135" s="3019">
        <f>SUM(EW133:EW134)</f>
        <v>0.60296672469438151</v>
      </c>
      <c r="EX135" s="3019">
        <f>SUM(EX133:EX134)</f>
        <v>0.58476195359418359</v>
      </c>
      <c r="EY135" s="3019">
        <f>SUM(EY133:EY134)</f>
        <v>0.56868808169281915</v>
      </c>
      <c r="EZ135" s="167"/>
      <c r="FA135" s="725"/>
      <c r="FB135" s="725"/>
    </row>
    <row r="136" spans="1:158" s="168" customFormat="1" ht="11.25" customHeight="1">
      <c r="A136" s="5661" t="s">
        <v>648</v>
      </c>
      <c r="B136" s="5609"/>
      <c r="C136" s="3021"/>
      <c r="D136" s="3021"/>
      <c r="E136" s="3021"/>
      <c r="F136" s="5625"/>
      <c r="G136" s="5609"/>
      <c r="H136" s="3021"/>
      <c r="I136" s="3021"/>
      <c r="J136" s="3021"/>
      <c r="K136" s="3022"/>
      <c r="L136" s="3023"/>
      <c r="M136" s="3023"/>
      <c r="N136" s="3023"/>
      <c r="O136" s="3024"/>
      <c r="P136" s="3025">
        <f t="shared" ref="P136:AU136" si="626">P124/P127</f>
        <v>0.225557124013607</v>
      </c>
      <c r="Q136" s="3026">
        <f t="shared" si="626"/>
        <v>0.12</v>
      </c>
      <c r="R136" s="3023">
        <f t="shared" si="626"/>
        <v>0.1095273149941883</v>
      </c>
      <c r="S136" s="3023">
        <f t="shared" si="626"/>
        <v>7.7094520911314801E-2</v>
      </c>
      <c r="T136" s="3024">
        <f t="shared" si="626"/>
        <v>6.307651142503172E-2</v>
      </c>
      <c r="U136" s="3025">
        <f t="shared" si="626"/>
        <v>8.2876339099383203E-2</v>
      </c>
      <c r="V136" s="3026">
        <f t="shared" si="626"/>
        <v>5.3225164857944832E-2</v>
      </c>
      <c r="W136" s="3023">
        <f t="shared" si="626"/>
        <v>4.8984345881475953E-2</v>
      </c>
      <c r="X136" s="3023">
        <f t="shared" si="626"/>
        <v>4.8946916611766589E-2</v>
      </c>
      <c r="Y136" s="3024">
        <f t="shared" si="626"/>
        <v>4.3939178819409223E-2</v>
      </c>
      <c r="Z136" s="3025">
        <f t="shared" si="626"/>
        <v>4.8191347465033563E-2</v>
      </c>
      <c r="AA136" s="3026">
        <f t="shared" si="626"/>
        <v>3.767264549249779E-2</v>
      </c>
      <c r="AB136" s="3023">
        <f t="shared" si="626"/>
        <v>2.4916229104537571E-2</v>
      </c>
      <c r="AC136" s="3023">
        <f t="shared" si="626"/>
        <v>1.9656571641016456E-2</v>
      </c>
      <c r="AD136" s="3024">
        <f t="shared" si="626"/>
        <v>1.7009945028556395E-2</v>
      </c>
      <c r="AE136" s="3025">
        <f t="shared" si="626"/>
        <v>2.3406848993665116E-2</v>
      </c>
      <c r="AF136" s="3026">
        <f t="shared" si="626"/>
        <v>1.9383784744181509E-2</v>
      </c>
      <c r="AG136" s="3023">
        <f t="shared" si="626"/>
        <v>1.9187930734277318E-2</v>
      </c>
      <c r="AH136" s="3023">
        <f t="shared" si="626"/>
        <v>1.7896039887235399E-2</v>
      </c>
      <c r="AI136" s="3024">
        <f t="shared" si="626"/>
        <v>1.7289661314237481E-2</v>
      </c>
      <c r="AJ136" s="3025">
        <f t="shared" si="626"/>
        <v>1.8281267218466131E-2</v>
      </c>
      <c r="AK136" s="3026">
        <f t="shared" si="626"/>
        <v>1.8328969137548265E-2</v>
      </c>
      <c r="AL136" s="3023">
        <f t="shared" si="626"/>
        <v>1.6137469236883185E-2</v>
      </c>
      <c r="AM136" s="3023">
        <f t="shared" si="626"/>
        <v>1.4306946598090868E-2</v>
      </c>
      <c r="AN136" s="3024">
        <f t="shared" si="626"/>
        <v>1.371765550024665E-2</v>
      </c>
      <c r="AO136" s="3025">
        <f t="shared" si="626"/>
        <v>1.5390013376899627E-2</v>
      </c>
      <c r="AP136" s="3026">
        <f t="shared" si="626"/>
        <v>1.4384332377686307E-2</v>
      </c>
      <c r="AQ136" s="3023">
        <f t="shared" si="626"/>
        <v>1.2350832058566234E-2</v>
      </c>
      <c r="AR136" s="3023">
        <f t="shared" si="626"/>
        <v>1.3910560352345055E-2</v>
      </c>
      <c r="AS136" s="3024">
        <f t="shared" si="626"/>
        <v>2.0462581177578671E-2</v>
      </c>
      <c r="AT136" s="3025">
        <f t="shared" si="626"/>
        <v>1.555248486586611E-2</v>
      </c>
      <c r="AU136" s="3026">
        <f t="shared" si="626"/>
        <v>2.6893559649686632E-2</v>
      </c>
      <c r="AV136" s="3023">
        <f t="shared" ref="AV136:BN136" si="627">AV124/AV127</f>
        <v>4.6693081737743863E-2</v>
      </c>
      <c r="AW136" s="3023">
        <f t="shared" si="627"/>
        <v>4.6814221297345533E-2</v>
      </c>
      <c r="AX136" s="3024">
        <f t="shared" si="627"/>
        <v>4.6551742942893957E-2</v>
      </c>
      <c r="AY136" s="3025">
        <f t="shared" si="627"/>
        <v>4.2066778763010827E-2</v>
      </c>
      <c r="AZ136" s="3026">
        <f t="shared" si="627"/>
        <v>4.3732798432616508E-2</v>
      </c>
      <c r="BA136" s="3023">
        <f t="shared" si="627"/>
        <v>4.589434243599342E-2</v>
      </c>
      <c r="BB136" s="3023">
        <f t="shared" si="627"/>
        <v>4.2919668417458354E-2</v>
      </c>
      <c r="BC136" s="3024">
        <f t="shared" si="627"/>
        <v>4.2123338491870006E-2</v>
      </c>
      <c r="BD136" s="3025">
        <f t="shared" si="627"/>
        <v>4.357599091090221E-2</v>
      </c>
      <c r="BE136" s="3026">
        <f t="shared" si="627"/>
        <v>5.9241706161137442E-2</v>
      </c>
      <c r="BF136" s="3023">
        <f t="shared" si="627"/>
        <v>5.0707547169811323E-2</v>
      </c>
      <c r="BG136" s="3023">
        <f t="shared" si="627"/>
        <v>4.6341908410873926E-2</v>
      </c>
      <c r="BH136" s="3024">
        <f t="shared" si="627"/>
        <v>4.2850415947261029E-2</v>
      </c>
      <c r="BI136" s="3025">
        <f t="shared" si="627"/>
        <v>4.9309216506089805E-2</v>
      </c>
      <c r="BJ136" s="3026">
        <f t="shared" si="627"/>
        <v>4.1150374789658863E-2</v>
      </c>
      <c r="BK136" s="3023">
        <f t="shared" si="627"/>
        <v>4.4823597455176403E-2</v>
      </c>
      <c r="BL136" s="3023">
        <f t="shared" si="627"/>
        <v>5.1264980026631157E-2</v>
      </c>
      <c r="BM136" s="3023">
        <f t="shared" si="627"/>
        <v>5.0405704450454877E-2</v>
      </c>
      <c r="BN136" s="3025">
        <f t="shared" si="627"/>
        <v>4.72213630271162E-2</v>
      </c>
      <c r="BO136" s="3023"/>
      <c r="BP136" s="3023"/>
      <c r="BQ136" s="3023"/>
      <c r="BR136" s="3023"/>
      <c r="BS136" s="3025"/>
      <c r="BT136" s="3023">
        <f>BT124/BT127</f>
        <v>5.162876459741856E-2</v>
      </c>
      <c r="BU136" s="3023">
        <f>BU124/BU127</f>
        <v>5.2486848397895747E-2</v>
      </c>
      <c r="BV136" s="3023">
        <f>BV124/BV127</f>
        <v>7.6062128825947928E-2</v>
      </c>
      <c r="BW136" s="3023">
        <f>BW124/BW127</f>
        <v>8.43765903307888E-2</v>
      </c>
      <c r="BX136" s="3025">
        <f>BX124/BX127</f>
        <v>6.7103762827822128E-2</v>
      </c>
      <c r="BY136" s="3023"/>
      <c r="BZ136" s="3023"/>
      <c r="CA136" s="3023"/>
      <c r="CB136" s="3023"/>
      <c r="CC136" s="3025"/>
      <c r="CD136" s="3027">
        <f t="shared" ref="CD136:DB136" si="628">CD124/CD127</f>
        <v>9.2101311442586847E-2</v>
      </c>
      <c r="CE136" s="3023">
        <f t="shared" si="628"/>
        <v>9.1638597186447401E-2</v>
      </c>
      <c r="CF136" s="3023">
        <f t="shared" si="628"/>
        <v>0.10211463550361714</v>
      </c>
      <c r="CG136" s="3023">
        <f t="shared" si="628"/>
        <v>0.12107768008389126</v>
      </c>
      <c r="CH136" s="3028">
        <f t="shared" si="628"/>
        <v>0.1027922888447136</v>
      </c>
      <c r="CI136" s="3023">
        <f t="shared" si="628"/>
        <v>0.11675418444371513</v>
      </c>
      <c r="CJ136" s="3023">
        <f t="shared" si="628"/>
        <v>0.11506870952456168</v>
      </c>
      <c r="CK136" s="3023">
        <f t="shared" si="628"/>
        <v>0.12925996204933587</v>
      </c>
      <c r="CL136" s="3023">
        <f t="shared" si="628"/>
        <v>0.1238693640820272</v>
      </c>
      <c r="CM136" s="3028">
        <f t="shared" si="628"/>
        <v>0.12144816028033824</v>
      </c>
      <c r="CN136" s="3023">
        <f t="shared" si="628"/>
        <v>0.12578164306763459</v>
      </c>
      <c r="CO136" s="3023">
        <f t="shared" si="628"/>
        <v>0.11874564459930313</v>
      </c>
      <c r="CP136" s="3023">
        <f t="shared" si="628"/>
        <v>0.12535574822953208</v>
      </c>
      <c r="CQ136" s="3023">
        <f t="shared" si="628"/>
        <v>0.13031145073520897</v>
      </c>
      <c r="CR136" s="3028">
        <f t="shared" si="628"/>
        <v>0.12530092668931175</v>
      </c>
      <c r="CS136" s="3023">
        <f t="shared" si="628"/>
        <v>0.1358309551278159</v>
      </c>
      <c r="CT136" s="3023">
        <f t="shared" si="628"/>
        <v>0.13449358059914407</v>
      </c>
      <c r="CU136" s="3023">
        <f t="shared" si="628"/>
        <v>0.14395971317532433</v>
      </c>
      <c r="CV136" s="3023">
        <f t="shared" si="628"/>
        <v>0.17274698340874811</v>
      </c>
      <c r="CW136" s="3028">
        <f t="shared" si="628"/>
        <v>0.14819200043549857</v>
      </c>
      <c r="CX136" s="3023">
        <f t="shared" si="628"/>
        <v>0.16594602653943641</v>
      </c>
      <c r="CY136" s="3023">
        <f t="shared" si="628"/>
        <v>0.15956785697213061</v>
      </c>
      <c r="CZ136" s="3023">
        <f t="shared" si="628"/>
        <v>0.16645711719802425</v>
      </c>
      <c r="DA136" s="3023">
        <f t="shared" si="628"/>
        <v>0.19696208402581841</v>
      </c>
      <c r="DB136" s="3028">
        <f t="shared" si="628"/>
        <v>0.17131067580144199</v>
      </c>
      <c r="DC136" s="3023">
        <f t="shared" ref="DC136:DQ136" si="629">DC124/DC127</f>
        <v>0.18118915439697481</v>
      </c>
      <c r="DD136" s="3023">
        <f t="shared" si="629"/>
        <v>0.17418149940923125</v>
      </c>
      <c r="DE136" s="3023">
        <f t="shared" si="629"/>
        <v>0.17622799911628251</v>
      </c>
      <c r="DF136" s="3023">
        <f t="shared" si="629"/>
        <v>0.21224874371859295</v>
      </c>
      <c r="DG136" s="3028">
        <f t="shared" si="629"/>
        <v>0.18491638887122705</v>
      </c>
      <c r="DH136" s="3023">
        <f t="shared" si="629"/>
        <v>0.1951219512195122</v>
      </c>
      <c r="DI136" s="3023">
        <f t="shared" si="629"/>
        <v>0.20343152715574339</v>
      </c>
      <c r="DJ136" s="3023">
        <f t="shared" si="629"/>
        <v>0.20306583053106728</v>
      </c>
      <c r="DK136" s="3023">
        <f t="shared" si="629"/>
        <v>0.2166657795283973</v>
      </c>
      <c r="DL136" s="3028">
        <f t="shared" si="629"/>
        <v>0.20525469006131988</v>
      </c>
      <c r="DM136" s="3023">
        <f t="shared" si="629"/>
        <v>0.21942029845432701</v>
      </c>
      <c r="DN136" s="3023">
        <f t="shared" si="629"/>
        <v>0.26674682783280068</v>
      </c>
      <c r="DO136" s="3023">
        <f t="shared" si="629"/>
        <v>0.23885073802194332</v>
      </c>
      <c r="DP136" s="3023">
        <f t="shared" si="629"/>
        <v>0.23042298414886286</v>
      </c>
      <c r="DQ136" s="3028">
        <f t="shared" si="629"/>
        <v>0.23775117029162132</v>
      </c>
      <c r="DR136" s="3023">
        <f t="shared" ref="DR136:DW136" si="630">DR124/DR127</f>
        <v>0.2331038112363493</v>
      </c>
      <c r="DS136" s="3023">
        <f t="shared" si="630"/>
        <v>0.22445094306294283</v>
      </c>
      <c r="DT136" s="3023">
        <f t="shared" si="630"/>
        <v>0.22357329354718389</v>
      </c>
      <c r="DU136" s="3023">
        <f t="shared" si="630"/>
        <v>0.22756793434359754</v>
      </c>
      <c r="DV136" s="3028">
        <f t="shared" si="630"/>
        <v>0.22699944829797566</v>
      </c>
      <c r="DW136" s="3023">
        <f t="shared" si="630"/>
        <v>0.23830349333285733</v>
      </c>
      <c r="DX136" s="3023">
        <f>DX124/DX127</f>
        <v>0.23310887230081259</v>
      </c>
      <c r="DY136" s="3023">
        <f>DY124/DY127</f>
        <v>0.25512520518283099</v>
      </c>
      <c r="DZ136" s="3023">
        <f>DZ124/DZ127</f>
        <v>0.26941051597674381</v>
      </c>
      <c r="EA136" s="3028">
        <f t="shared" ref="EA136:EV136" si="631">EA124/EA127</f>
        <v>0.24954143346402657</v>
      </c>
      <c r="EB136" s="3023">
        <f t="shared" si="631"/>
        <v>0.26244273757448422</v>
      </c>
      <c r="EC136" s="3023">
        <f>EC124/EC127</f>
        <v>0.26521339842428343</v>
      </c>
      <c r="ED136" s="3023">
        <f t="shared" si="631"/>
        <v>0.26613167632043216</v>
      </c>
      <c r="EE136" s="3023">
        <f t="shared" si="631"/>
        <v>0.28749792599966817</v>
      </c>
      <c r="EF136" s="3028">
        <f t="shared" ref="EF136:EK136" si="632">EF124/EF127</f>
        <v>0.27109875715377296</v>
      </c>
      <c r="EG136" s="3023">
        <f t="shared" si="632"/>
        <v>0.27931886437944758</v>
      </c>
      <c r="EH136" s="3023">
        <f t="shared" si="632"/>
        <v>0.28205451615163618</v>
      </c>
      <c r="EI136" s="3023">
        <f t="shared" si="632"/>
        <v>0.30066131001086532</v>
      </c>
      <c r="EJ136" s="3023">
        <f t="shared" si="632"/>
        <v>0.29413998848335599</v>
      </c>
      <c r="EK136" s="3028">
        <f t="shared" si="632"/>
        <v>0.28947065241699932</v>
      </c>
      <c r="EL136" s="3023">
        <f t="shared" ref="EL136:EN136" si="633">EL124/EL127</f>
        <v>0.3052715529639411</v>
      </c>
      <c r="EM136" s="3023">
        <f t="shared" si="633"/>
        <v>0.30698824076453385</v>
      </c>
      <c r="EN136" s="3023">
        <f t="shared" si="633"/>
        <v>0.32198468046187262</v>
      </c>
      <c r="EO136" s="3023">
        <f t="shared" ref="EO136:EP136" si="634">EO124/EO127</f>
        <v>0.31937387429462694</v>
      </c>
      <c r="EP136" s="3028">
        <f t="shared" si="634"/>
        <v>0.31392279514267801</v>
      </c>
      <c r="EQ136" s="3023">
        <f t="shared" ref="EQ136:EU136" si="635">EQ124/EQ127</f>
        <v>0.32740409596219255</v>
      </c>
      <c r="ER136" s="3023">
        <f t="shared" si="635"/>
        <v>0.33926543395689268</v>
      </c>
      <c r="ES136" s="3023">
        <f t="shared" si="635"/>
        <v>0.36129662027410026</v>
      </c>
      <c r="ET136" s="3023">
        <f t="shared" si="635"/>
        <v>0.35813454913614301</v>
      </c>
      <c r="EU136" s="3028">
        <f t="shared" si="635"/>
        <v>0.34748817447977187</v>
      </c>
      <c r="EV136" s="3028">
        <f t="shared" si="631"/>
        <v>0.37455185916896711</v>
      </c>
      <c r="EW136" s="3028">
        <f>EW124/EW127</f>
        <v>0.39703327530561844</v>
      </c>
      <c r="EX136" s="3028">
        <f>EX124/EX127</f>
        <v>0.41523804640581641</v>
      </c>
      <c r="EY136" s="3028">
        <f>EY124/EY127</f>
        <v>0.43131191830718074</v>
      </c>
      <c r="EZ136" s="167"/>
      <c r="FA136" s="4267"/>
      <c r="FB136" s="4267"/>
    </row>
    <row r="137" spans="1:158" s="168" customFormat="1" ht="11.25" hidden="1" customHeight="1" outlineLevel="1">
      <c r="A137" s="5661" t="s">
        <v>644</v>
      </c>
      <c r="B137" s="5609"/>
      <c r="C137" s="3029"/>
      <c r="D137" s="3029"/>
      <c r="E137" s="3029"/>
      <c r="F137" s="5625"/>
      <c r="G137" s="5609"/>
      <c r="H137" s="3029"/>
      <c r="I137" s="3029"/>
      <c r="J137" s="3029"/>
      <c r="K137" s="3030"/>
      <c r="L137" s="3031"/>
      <c r="M137" s="3031"/>
      <c r="N137" s="3031"/>
      <c r="O137" s="3031"/>
      <c r="P137" s="3032">
        <f t="shared" ref="P137:Y137" si="636">P135+P136</f>
        <v>1</v>
      </c>
      <c r="Q137" s="3033">
        <f t="shared" si="636"/>
        <v>1</v>
      </c>
      <c r="R137" s="3031">
        <f t="shared" si="636"/>
        <v>1</v>
      </c>
      <c r="S137" s="3031">
        <f t="shared" si="636"/>
        <v>1</v>
      </c>
      <c r="T137" s="3034">
        <f t="shared" si="636"/>
        <v>1</v>
      </c>
      <c r="U137" s="3035">
        <f t="shared" si="636"/>
        <v>1.0000000000000002</v>
      </c>
      <c r="V137" s="3033">
        <f t="shared" si="636"/>
        <v>0.99999999999999989</v>
      </c>
      <c r="W137" s="3031">
        <f t="shared" si="636"/>
        <v>0.99999999999999989</v>
      </c>
      <c r="X137" s="3031">
        <f t="shared" si="636"/>
        <v>1</v>
      </c>
      <c r="Y137" s="3034">
        <f t="shared" si="636"/>
        <v>1</v>
      </c>
      <c r="Z137" s="3032">
        <f t="shared" ref="Z137:AZ137" si="637">Z135+Z136</f>
        <v>1</v>
      </c>
      <c r="AA137" s="3033">
        <f t="shared" si="637"/>
        <v>1</v>
      </c>
      <c r="AB137" s="3031">
        <f t="shared" si="637"/>
        <v>1</v>
      </c>
      <c r="AC137" s="3031">
        <f t="shared" si="637"/>
        <v>0.99999999999999989</v>
      </c>
      <c r="AD137" s="3034">
        <f t="shared" si="637"/>
        <v>1</v>
      </c>
      <c r="AE137" s="3032">
        <f t="shared" si="637"/>
        <v>1.0000000000000002</v>
      </c>
      <c r="AF137" s="3033">
        <f t="shared" si="637"/>
        <v>1</v>
      </c>
      <c r="AG137" s="3031">
        <f t="shared" si="637"/>
        <v>0.99999999999999989</v>
      </c>
      <c r="AH137" s="3031">
        <f t="shared" si="637"/>
        <v>0.99999999999999989</v>
      </c>
      <c r="AI137" s="3034">
        <f t="shared" si="637"/>
        <v>1</v>
      </c>
      <c r="AJ137" s="3032">
        <f t="shared" si="637"/>
        <v>0.99999999999999989</v>
      </c>
      <c r="AK137" s="3033">
        <f t="shared" si="637"/>
        <v>1</v>
      </c>
      <c r="AL137" s="3031">
        <f t="shared" si="637"/>
        <v>1</v>
      </c>
      <c r="AM137" s="3031">
        <f t="shared" si="637"/>
        <v>0.99999999999999989</v>
      </c>
      <c r="AN137" s="3034">
        <f t="shared" si="637"/>
        <v>1</v>
      </c>
      <c r="AO137" s="3032">
        <f t="shared" si="637"/>
        <v>0.99999999999999978</v>
      </c>
      <c r="AP137" s="3033">
        <f t="shared" si="637"/>
        <v>1</v>
      </c>
      <c r="AQ137" s="3031">
        <f t="shared" si="637"/>
        <v>1</v>
      </c>
      <c r="AR137" s="3031">
        <f t="shared" si="637"/>
        <v>1</v>
      </c>
      <c r="AS137" s="3034">
        <f t="shared" si="637"/>
        <v>1</v>
      </c>
      <c r="AT137" s="3032">
        <f t="shared" si="637"/>
        <v>1</v>
      </c>
      <c r="AU137" s="3033">
        <f t="shared" si="637"/>
        <v>1</v>
      </c>
      <c r="AV137" s="3031">
        <f t="shared" si="637"/>
        <v>1</v>
      </c>
      <c r="AW137" s="3031">
        <f t="shared" si="637"/>
        <v>1</v>
      </c>
      <c r="AX137" s="3034">
        <f t="shared" si="637"/>
        <v>1</v>
      </c>
      <c r="AY137" s="3032">
        <f t="shared" si="637"/>
        <v>1</v>
      </c>
      <c r="AZ137" s="3033">
        <f t="shared" si="637"/>
        <v>0.99999999999999989</v>
      </c>
      <c r="BA137" s="3031">
        <f t="shared" ref="BA137:DF137" si="638">BA135+BA136</f>
        <v>0.99999999999999989</v>
      </c>
      <c r="BB137" s="3031">
        <f t="shared" si="638"/>
        <v>1</v>
      </c>
      <c r="BC137" s="3034">
        <f t="shared" si="638"/>
        <v>1</v>
      </c>
      <c r="BD137" s="3032">
        <f t="shared" si="638"/>
        <v>1</v>
      </c>
      <c r="BE137" s="3033">
        <f t="shared" si="638"/>
        <v>1</v>
      </c>
      <c r="BF137" s="3031">
        <f t="shared" si="638"/>
        <v>1</v>
      </c>
      <c r="BG137" s="3031">
        <f t="shared" si="638"/>
        <v>1</v>
      </c>
      <c r="BH137" s="3034">
        <f t="shared" si="638"/>
        <v>1</v>
      </c>
      <c r="BI137" s="3032">
        <f t="shared" si="638"/>
        <v>1</v>
      </c>
      <c r="BJ137" s="3033">
        <f t="shared" si="638"/>
        <v>1</v>
      </c>
      <c r="BK137" s="3031">
        <f t="shared" si="638"/>
        <v>1</v>
      </c>
      <c r="BL137" s="3031">
        <f t="shared" si="638"/>
        <v>1</v>
      </c>
      <c r="BM137" s="3031">
        <f t="shared" si="638"/>
        <v>1</v>
      </c>
      <c r="BN137" s="3032">
        <f t="shared" si="638"/>
        <v>1</v>
      </c>
      <c r="BO137" s="3031"/>
      <c r="BP137" s="3031"/>
      <c r="BQ137" s="3031"/>
      <c r="BR137" s="3031"/>
      <c r="BS137" s="3032"/>
      <c r="BT137" s="3031">
        <f t="shared" si="638"/>
        <v>1</v>
      </c>
      <c r="BU137" s="3031">
        <f t="shared" si="638"/>
        <v>1</v>
      </c>
      <c r="BV137" s="3031">
        <f t="shared" si="638"/>
        <v>1</v>
      </c>
      <c r="BW137" s="3031">
        <f t="shared" si="638"/>
        <v>1</v>
      </c>
      <c r="BX137" s="3032">
        <f t="shared" si="638"/>
        <v>1</v>
      </c>
      <c r="BY137" s="3031"/>
      <c r="BZ137" s="3031"/>
      <c r="CA137" s="3031"/>
      <c r="CB137" s="3031"/>
      <c r="CC137" s="3032"/>
      <c r="CD137" s="3036">
        <f t="shared" si="638"/>
        <v>1</v>
      </c>
      <c r="CE137" s="3031">
        <f t="shared" si="638"/>
        <v>1</v>
      </c>
      <c r="CF137" s="3031">
        <f t="shared" si="638"/>
        <v>0.99999999999999989</v>
      </c>
      <c r="CG137" s="3031">
        <f t="shared" si="638"/>
        <v>1</v>
      </c>
      <c r="CH137" s="3032">
        <f t="shared" si="638"/>
        <v>1</v>
      </c>
      <c r="CI137" s="3031">
        <f t="shared" si="638"/>
        <v>0.99999999999999989</v>
      </c>
      <c r="CJ137" s="3031">
        <f t="shared" si="638"/>
        <v>1</v>
      </c>
      <c r="CK137" s="3031">
        <f>CK135+CK136</f>
        <v>1</v>
      </c>
      <c r="CL137" s="3031">
        <f>CL135+CL136</f>
        <v>1</v>
      </c>
      <c r="CM137" s="3032">
        <f t="shared" si="638"/>
        <v>1</v>
      </c>
      <c r="CN137" s="3031">
        <f>CN135+CN136</f>
        <v>1</v>
      </c>
      <c r="CO137" s="3031">
        <f>CO135+CO136</f>
        <v>1</v>
      </c>
      <c r="CP137" s="3031">
        <f>CP135+CP136</f>
        <v>1</v>
      </c>
      <c r="CQ137" s="3031">
        <f>CQ135+CQ136</f>
        <v>1</v>
      </c>
      <c r="CR137" s="3032">
        <f t="shared" si="638"/>
        <v>1</v>
      </c>
      <c r="CS137" s="3031">
        <f t="shared" ref="CS137:DA137" si="639">CS135+CS136</f>
        <v>1</v>
      </c>
      <c r="CT137" s="3031">
        <f t="shared" si="639"/>
        <v>1</v>
      </c>
      <c r="CU137" s="3031">
        <f t="shared" si="639"/>
        <v>0.99999999999999989</v>
      </c>
      <c r="CV137" s="3031">
        <f t="shared" si="639"/>
        <v>1</v>
      </c>
      <c r="CW137" s="3032">
        <f t="shared" si="639"/>
        <v>1</v>
      </c>
      <c r="CX137" s="3031">
        <f>CX135+CX136</f>
        <v>1</v>
      </c>
      <c r="CY137" s="3031">
        <f t="shared" si="639"/>
        <v>1</v>
      </c>
      <c r="CZ137" s="3031">
        <f t="shared" si="639"/>
        <v>1</v>
      </c>
      <c r="DA137" s="3031">
        <f t="shared" si="639"/>
        <v>1</v>
      </c>
      <c r="DB137" s="3032">
        <f t="shared" si="638"/>
        <v>1</v>
      </c>
      <c r="DC137" s="3031">
        <f t="shared" si="638"/>
        <v>1</v>
      </c>
      <c r="DD137" s="3031">
        <f t="shared" si="638"/>
        <v>1</v>
      </c>
      <c r="DE137" s="3031">
        <f t="shared" si="638"/>
        <v>1</v>
      </c>
      <c r="DF137" s="3031">
        <f t="shared" si="638"/>
        <v>1</v>
      </c>
      <c r="DG137" s="3032">
        <f t="shared" ref="DG137:DQ137" si="640">DG135+DG136</f>
        <v>1</v>
      </c>
      <c r="DH137" s="3031">
        <f t="shared" si="640"/>
        <v>1</v>
      </c>
      <c r="DI137" s="3031">
        <f t="shared" si="640"/>
        <v>1</v>
      </c>
      <c r="DJ137" s="3031">
        <f t="shared" si="640"/>
        <v>1</v>
      </c>
      <c r="DK137" s="3031">
        <f t="shared" si="640"/>
        <v>1</v>
      </c>
      <c r="DL137" s="3032">
        <f t="shared" si="640"/>
        <v>1</v>
      </c>
      <c r="DM137" s="3031">
        <f t="shared" si="640"/>
        <v>1</v>
      </c>
      <c r="DN137" s="3031">
        <f t="shared" si="640"/>
        <v>1</v>
      </c>
      <c r="DO137" s="3031">
        <f t="shared" si="640"/>
        <v>1</v>
      </c>
      <c r="DP137" s="3031">
        <f t="shared" si="640"/>
        <v>0.99999999999999989</v>
      </c>
      <c r="DQ137" s="3032">
        <f t="shared" si="640"/>
        <v>1</v>
      </c>
      <c r="DR137" s="3031">
        <f t="shared" ref="DR137:DW137" si="641">DR135+DR136</f>
        <v>1</v>
      </c>
      <c r="DS137" s="3031">
        <f t="shared" si="641"/>
        <v>1.0000000000000002</v>
      </c>
      <c r="DT137" s="3031">
        <f t="shared" si="641"/>
        <v>1</v>
      </c>
      <c r="DU137" s="3031">
        <f t="shared" si="641"/>
        <v>1</v>
      </c>
      <c r="DV137" s="3032">
        <f t="shared" si="641"/>
        <v>1</v>
      </c>
      <c r="DW137" s="3031">
        <f t="shared" si="641"/>
        <v>1</v>
      </c>
      <c r="DX137" s="3031">
        <f t="shared" ref="DX137:EV137" si="642">DX135+DX136</f>
        <v>1</v>
      </c>
      <c r="DY137" s="3031">
        <f t="shared" si="642"/>
        <v>1</v>
      </c>
      <c r="DZ137" s="3031">
        <f t="shared" si="642"/>
        <v>1</v>
      </c>
      <c r="EA137" s="3032">
        <f t="shared" si="642"/>
        <v>1</v>
      </c>
      <c r="EB137" s="3031">
        <f t="shared" si="642"/>
        <v>0.99999999999999989</v>
      </c>
      <c r="EC137" s="3031">
        <f>EC135+EC136</f>
        <v>1</v>
      </c>
      <c r="ED137" s="3031">
        <f t="shared" si="642"/>
        <v>1</v>
      </c>
      <c r="EE137" s="3031">
        <f t="shared" si="642"/>
        <v>0.99999999999999989</v>
      </c>
      <c r="EF137" s="3032">
        <f t="shared" si="642"/>
        <v>0.99999999999999989</v>
      </c>
      <c r="EG137" s="3031">
        <f t="shared" ref="EG137" si="643">EG135+EG136</f>
        <v>1</v>
      </c>
      <c r="EH137" s="3031">
        <f>EH135+EH136</f>
        <v>1</v>
      </c>
      <c r="EI137" s="3031">
        <f t="shared" ref="EI137:EJ137" si="644">EI135+EI136</f>
        <v>1</v>
      </c>
      <c r="EJ137" s="3031">
        <f t="shared" si="644"/>
        <v>1</v>
      </c>
      <c r="EK137" s="3032">
        <f>EK135+EK136</f>
        <v>1</v>
      </c>
      <c r="EL137" s="3031">
        <f t="shared" ref="EL137" si="645">EL135+EL136</f>
        <v>1</v>
      </c>
      <c r="EM137" s="3031">
        <f>EM135+EM136</f>
        <v>1</v>
      </c>
      <c r="EN137" s="3031">
        <f t="shared" ref="EN137" si="646">EN135+EN136</f>
        <v>1</v>
      </c>
      <c r="EO137" s="3031">
        <f t="shared" ref="EO137" si="647">EO135+EO136</f>
        <v>1</v>
      </c>
      <c r="EP137" s="3032">
        <f>EP135+EP136</f>
        <v>1</v>
      </c>
      <c r="EQ137" s="3031">
        <f t="shared" ref="EQ137:ET137" si="648">EQ135+EQ136</f>
        <v>1</v>
      </c>
      <c r="ER137" s="3031">
        <f t="shared" si="648"/>
        <v>1</v>
      </c>
      <c r="ES137" s="3031">
        <f t="shared" si="648"/>
        <v>1</v>
      </c>
      <c r="ET137" s="3031">
        <f t="shared" si="648"/>
        <v>1</v>
      </c>
      <c r="EU137" s="3032">
        <f>EU135+EU136</f>
        <v>1</v>
      </c>
      <c r="EV137" s="3032">
        <f t="shared" si="642"/>
        <v>1</v>
      </c>
      <c r="EW137" s="3032">
        <f>EW135+EW136</f>
        <v>1</v>
      </c>
      <c r="EX137" s="3032">
        <f>EX135+EX136</f>
        <v>1</v>
      </c>
      <c r="EY137" s="3032">
        <f>EY135+EY136</f>
        <v>0.99999999999999989</v>
      </c>
      <c r="EZ137" s="167"/>
      <c r="FA137" s="4267"/>
      <c r="FB137" s="4267"/>
    </row>
    <row r="138" spans="1:158" s="211" customFormat="1" ht="11.25" customHeight="1" collapsed="1">
      <c r="A138" s="1574"/>
      <c r="B138" s="169"/>
      <c r="C138" s="169"/>
      <c r="D138" s="169"/>
      <c r="E138" s="169"/>
      <c r="F138" s="1700"/>
      <c r="G138" s="169"/>
      <c r="H138" s="169"/>
      <c r="I138" s="169"/>
      <c r="J138" s="169"/>
      <c r="K138" s="209"/>
      <c r="L138" s="209"/>
      <c r="M138" s="209"/>
      <c r="N138" s="209"/>
      <c r="O138" s="209"/>
      <c r="P138" s="209"/>
      <c r="Q138" s="209"/>
      <c r="R138" s="209"/>
      <c r="S138" s="209"/>
      <c r="T138" s="209"/>
      <c r="U138" s="209"/>
      <c r="V138" s="209"/>
      <c r="W138" s="209"/>
      <c r="X138" s="209"/>
      <c r="Y138" s="209"/>
      <c r="Z138" s="209"/>
      <c r="AA138" s="209"/>
      <c r="AB138" s="124"/>
      <c r="AC138" s="209"/>
      <c r="AD138" s="209"/>
      <c r="AE138" s="209"/>
      <c r="AF138" s="209"/>
      <c r="AG138" s="209"/>
      <c r="AH138" s="209"/>
      <c r="AI138" s="209"/>
      <c r="AJ138" s="209"/>
      <c r="AK138" s="209"/>
      <c r="AL138" s="209"/>
      <c r="AM138" s="209"/>
      <c r="AN138" s="209"/>
      <c r="AO138" s="209"/>
      <c r="AP138" s="209"/>
      <c r="AQ138" s="209"/>
      <c r="AR138" s="209"/>
      <c r="AS138" s="209"/>
      <c r="AT138" s="209"/>
      <c r="AU138" s="209"/>
      <c r="AV138" s="209"/>
      <c r="AW138" s="209"/>
      <c r="AX138" s="209"/>
      <c r="AY138" s="209"/>
      <c r="AZ138" s="209"/>
      <c r="BA138" s="209"/>
      <c r="BB138" s="209"/>
      <c r="BC138" s="209"/>
      <c r="BD138" s="209"/>
      <c r="BE138" s="209"/>
      <c r="BF138" s="209"/>
      <c r="BG138" s="209"/>
      <c r="BH138" s="209"/>
      <c r="BI138" s="209"/>
      <c r="BJ138" s="209"/>
      <c r="BK138" s="209"/>
      <c r="BL138" s="209"/>
      <c r="BM138" s="209"/>
      <c r="BN138" s="209"/>
      <c r="BO138" s="209"/>
      <c r="BP138" s="209"/>
      <c r="BQ138" s="209"/>
      <c r="BR138" s="209"/>
      <c r="BS138" s="209"/>
      <c r="BT138" s="209"/>
      <c r="BU138" s="209"/>
      <c r="BV138" s="209"/>
      <c r="BW138" s="209"/>
      <c r="BX138" s="209"/>
      <c r="BY138" s="209"/>
      <c r="BZ138" s="209"/>
      <c r="CA138" s="209"/>
      <c r="CB138" s="209"/>
      <c r="CC138" s="209"/>
      <c r="CD138" s="209"/>
      <c r="CE138" s="209"/>
      <c r="CF138" s="209"/>
      <c r="CG138" s="209"/>
      <c r="CH138" s="209"/>
      <c r="CI138" s="209"/>
      <c r="CJ138" s="209"/>
      <c r="CK138" s="209"/>
      <c r="CL138" s="209"/>
      <c r="CM138" s="209"/>
      <c r="CN138" s="209"/>
      <c r="CO138" s="209"/>
      <c r="CP138" s="209"/>
      <c r="CQ138" s="209"/>
      <c r="CR138" s="209"/>
      <c r="CS138" s="209"/>
      <c r="CT138" s="209"/>
      <c r="CU138" s="209"/>
      <c r="CV138" s="209"/>
      <c r="CW138" s="209"/>
      <c r="CX138" s="209"/>
      <c r="CY138" s="209"/>
      <c r="CZ138" s="209"/>
      <c r="DA138" s="209"/>
      <c r="DB138" s="209"/>
      <c r="DC138" s="209"/>
      <c r="DD138" s="209"/>
      <c r="DE138" s="209"/>
      <c r="DF138" s="209"/>
      <c r="DG138" s="209"/>
      <c r="DH138" s="209"/>
      <c r="DI138" s="209"/>
      <c r="DJ138" s="209"/>
      <c r="DK138" s="209"/>
      <c r="DL138" s="209"/>
      <c r="DM138" s="209"/>
      <c r="DN138" s="209"/>
      <c r="DO138" s="209"/>
      <c r="DP138" s="209"/>
      <c r="DQ138" s="209"/>
      <c r="DR138" s="209"/>
      <c r="DS138" s="209"/>
      <c r="DT138" s="209"/>
      <c r="DU138" s="209"/>
      <c r="DV138" s="209"/>
      <c r="DW138" s="209"/>
      <c r="DX138" s="209"/>
      <c r="DY138" s="209"/>
      <c r="DZ138" s="209"/>
      <c r="EA138" s="209"/>
      <c r="EB138" s="209"/>
      <c r="EC138" s="209"/>
      <c r="ED138" s="209"/>
      <c r="EE138" s="209"/>
      <c r="EF138" s="209"/>
      <c r="EG138" s="209"/>
      <c r="EH138" s="209"/>
      <c r="EI138" s="209"/>
      <c r="EJ138" s="209"/>
      <c r="EK138" s="209"/>
      <c r="EL138" s="209"/>
      <c r="EM138" s="209"/>
      <c r="EN138" s="209"/>
      <c r="EO138" s="209"/>
      <c r="EP138" s="209"/>
      <c r="EQ138" s="209"/>
      <c r="ER138" s="209"/>
      <c r="ES138" s="209"/>
      <c r="ET138" s="209"/>
      <c r="EU138" s="209"/>
      <c r="EV138" s="209"/>
      <c r="EW138" s="209"/>
      <c r="EX138" s="209"/>
      <c r="EY138" s="209"/>
      <c r="EZ138" s="209"/>
      <c r="FA138" s="4267"/>
      <c r="FB138" s="4267"/>
    </row>
    <row r="139" spans="1:158" s="31" customFormat="1" ht="11.25" customHeight="1">
      <c r="A139" s="1570" t="s">
        <v>509</v>
      </c>
      <c r="B139" s="1016" t="s">
        <v>37</v>
      </c>
      <c r="C139" s="1016" t="s">
        <v>38</v>
      </c>
      <c r="D139" s="1016" t="s">
        <v>39</v>
      </c>
      <c r="E139" s="1016" t="s">
        <v>40</v>
      </c>
      <c r="F139" s="1017" t="s">
        <v>41</v>
      </c>
      <c r="G139" s="1016" t="s">
        <v>42</v>
      </c>
      <c r="H139" s="1016" t="s">
        <v>43</v>
      </c>
      <c r="I139" s="1016" t="s">
        <v>44</v>
      </c>
      <c r="J139" s="1016" t="s">
        <v>109</v>
      </c>
      <c r="K139" s="1016" t="s">
        <v>104</v>
      </c>
      <c r="L139" s="1016" t="s">
        <v>111</v>
      </c>
      <c r="M139" s="1016" t="s">
        <v>112</v>
      </c>
      <c r="N139" s="1016" t="s">
        <v>114</v>
      </c>
      <c r="O139" s="1016" t="s">
        <v>115</v>
      </c>
      <c r="P139" s="1018" t="s">
        <v>113</v>
      </c>
      <c r="Q139" s="1016" t="s">
        <v>118</v>
      </c>
      <c r="R139" s="1016" t="s">
        <v>120</v>
      </c>
      <c r="S139" s="1016" t="s">
        <v>122</v>
      </c>
      <c r="T139" s="1016" t="s">
        <v>124</v>
      </c>
      <c r="U139" s="1018" t="s">
        <v>129</v>
      </c>
      <c r="V139" s="1016" t="s">
        <v>125</v>
      </c>
      <c r="W139" s="1016" t="s">
        <v>126</v>
      </c>
      <c r="X139" s="1016" t="s">
        <v>127</v>
      </c>
      <c r="Y139" s="1016" t="s">
        <v>128</v>
      </c>
      <c r="Z139" s="1018" t="s">
        <v>184</v>
      </c>
      <c r="AA139" s="1016" t="s">
        <v>130</v>
      </c>
      <c r="AB139" s="1016" t="s">
        <v>233</v>
      </c>
      <c r="AC139" s="1016" t="s">
        <v>254</v>
      </c>
      <c r="AD139" s="1016" t="s">
        <v>255</v>
      </c>
      <c r="AE139" s="1018" t="s">
        <v>256</v>
      </c>
      <c r="AF139" s="1016" t="s">
        <v>258</v>
      </c>
      <c r="AG139" s="1016" t="s">
        <v>261</v>
      </c>
      <c r="AH139" s="1016" t="s">
        <v>263</v>
      </c>
      <c r="AI139" s="1016" t="s">
        <v>265</v>
      </c>
      <c r="AJ139" s="1018" t="s">
        <v>266</v>
      </c>
      <c r="AK139" s="1016" t="s">
        <v>267</v>
      </c>
      <c r="AL139" s="1016" t="s">
        <v>269</v>
      </c>
      <c r="AM139" s="1016" t="s">
        <v>273</v>
      </c>
      <c r="AN139" s="1016" t="s">
        <v>275</v>
      </c>
      <c r="AO139" s="1018" t="s">
        <v>276</v>
      </c>
      <c r="AP139" s="1016" t="s">
        <v>277</v>
      </c>
      <c r="AQ139" s="1016" t="str">
        <f t="shared" ref="AQ139:BN139" si="649">AQ6</f>
        <v>6/07A</v>
      </c>
      <c r="AR139" s="1016" t="str">
        <f t="shared" si="649"/>
        <v>9/07A</v>
      </c>
      <c r="AS139" s="1016" t="str">
        <f t="shared" si="649"/>
        <v>12/07A</v>
      </c>
      <c r="AT139" s="1018" t="str">
        <f t="shared" si="649"/>
        <v>2007A</v>
      </c>
      <c r="AU139" s="1016" t="str">
        <f t="shared" si="649"/>
        <v>3/08A</v>
      </c>
      <c r="AV139" s="1016" t="str">
        <f t="shared" si="649"/>
        <v>6/08A</v>
      </c>
      <c r="AW139" s="1016" t="str">
        <f t="shared" si="649"/>
        <v>9/08A</v>
      </c>
      <c r="AX139" s="1016" t="str">
        <f t="shared" si="649"/>
        <v>12/08A</v>
      </c>
      <c r="AY139" s="1018" t="str">
        <f t="shared" si="649"/>
        <v>2008A</v>
      </c>
      <c r="AZ139" s="1016" t="str">
        <f t="shared" si="649"/>
        <v>3/09A</v>
      </c>
      <c r="BA139" s="1016" t="str">
        <f t="shared" si="649"/>
        <v>6/09A</v>
      </c>
      <c r="BB139" s="1016" t="str">
        <f t="shared" si="649"/>
        <v>9/09A</v>
      </c>
      <c r="BC139" s="1016" t="str">
        <f t="shared" si="649"/>
        <v>12/09A</v>
      </c>
      <c r="BD139" s="1018" t="str">
        <f t="shared" si="649"/>
        <v>2009A</v>
      </c>
      <c r="BE139" s="1016" t="str">
        <f t="shared" si="649"/>
        <v>3/10A</v>
      </c>
      <c r="BF139" s="1016" t="str">
        <f t="shared" si="649"/>
        <v>6/10A</v>
      </c>
      <c r="BG139" s="1016" t="str">
        <f t="shared" si="649"/>
        <v>9/10A</v>
      </c>
      <c r="BH139" s="1016" t="str">
        <f t="shared" si="649"/>
        <v>12/10A</v>
      </c>
      <c r="BI139" s="1018" t="str">
        <f t="shared" si="649"/>
        <v>2010A</v>
      </c>
      <c r="BJ139" s="1016" t="str">
        <f t="shared" si="649"/>
        <v>3/11A</v>
      </c>
      <c r="BK139" s="1016" t="str">
        <f t="shared" si="649"/>
        <v>6/11A</v>
      </c>
      <c r="BL139" s="1016" t="str">
        <f t="shared" si="649"/>
        <v>9/11A</v>
      </c>
      <c r="BM139" s="1016" t="str">
        <f t="shared" si="649"/>
        <v>12/11A</v>
      </c>
      <c r="BN139" s="1018" t="str">
        <f t="shared" si="649"/>
        <v>2011A</v>
      </c>
      <c r="BO139" s="1018"/>
      <c r="BP139" s="1018"/>
      <c r="BQ139" s="1018"/>
      <c r="BR139" s="1018"/>
      <c r="BS139" s="1018"/>
      <c r="BT139" s="1924" t="str">
        <f>BT6</f>
        <v>3/12A</v>
      </c>
      <c r="BU139" s="1018" t="str">
        <f>BU6</f>
        <v>6/12A</v>
      </c>
      <c r="BV139" s="1018" t="str">
        <f>BV6</f>
        <v>9/12A</v>
      </c>
      <c r="BW139" s="1018" t="str">
        <f>BW6</f>
        <v>12/12A</v>
      </c>
      <c r="BX139" s="1018" t="str">
        <f>BX6</f>
        <v>2012A</v>
      </c>
      <c r="BY139" s="1018"/>
      <c r="BZ139" s="1018"/>
      <c r="CA139" s="1018"/>
      <c r="CB139" s="1018"/>
      <c r="CC139" s="1018"/>
      <c r="CD139" s="1018" t="str">
        <f t="shared" ref="CD139:DI139" si="650">CD6</f>
        <v>3/13A</v>
      </c>
      <c r="CE139" s="1018" t="str">
        <f t="shared" si="650"/>
        <v>6/13A</v>
      </c>
      <c r="CF139" s="1018" t="str">
        <f t="shared" si="650"/>
        <v>9/13A</v>
      </c>
      <c r="CG139" s="1018" t="str">
        <f t="shared" si="650"/>
        <v>12/13A</v>
      </c>
      <c r="CH139" s="1018" t="str">
        <f t="shared" si="650"/>
        <v>2013A</v>
      </c>
      <c r="CI139" s="1016" t="str">
        <f t="shared" si="650"/>
        <v>3/14A</v>
      </c>
      <c r="CJ139" s="1016" t="str">
        <f t="shared" si="650"/>
        <v>6/14A</v>
      </c>
      <c r="CK139" s="1016" t="str">
        <f t="shared" si="650"/>
        <v>9/14A</v>
      </c>
      <c r="CL139" s="1016" t="str">
        <f t="shared" si="650"/>
        <v>12/14A</v>
      </c>
      <c r="CM139" s="1018" t="str">
        <f t="shared" si="650"/>
        <v>2014A</v>
      </c>
      <c r="CN139" s="1018" t="str">
        <f t="shared" si="650"/>
        <v>3/15A</v>
      </c>
      <c r="CO139" s="1018" t="str">
        <f t="shared" si="650"/>
        <v>6/15A</v>
      </c>
      <c r="CP139" s="1018" t="str">
        <f t="shared" si="650"/>
        <v>9/15A</v>
      </c>
      <c r="CQ139" s="1018" t="str">
        <f t="shared" si="650"/>
        <v>12/15A</v>
      </c>
      <c r="CR139" s="1018" t="str">
        <f t="shared" si="650"/>
        <v>2015A</v>
      </c>
      <c r="CS139" s="1018" t="str">
        <f t="shared" si="650"/>
        <v>3/16A</v>
      </c>
      <c r="CT139" s="1018" t="str">
        <f t="shared" si="650"/>
        <v>6/16A</v>
      </c>
      <c r="CU139" s="1018" t="str">
        <f t="shared" si="650"/>
        <v>9/16A</v>
      </c>
      <c r="CV139" s="1018" t="str">
        <f t="shared" si="650"/>
        <v>12/16A</v>
      </c>
      <c r="CW139" s="1018" t="str">
        <f t="shared" si="650"/>
        <v>2016A</v>
      </c>
      <c r="CX139" s="1018" t="str">
        <f t="shared" si="650"/>
        <v>3/17A</v>
      </c>
      <c r="CY139" s="1018" t="str">
        <f t="shared" si="650"/>
        <v>6/17A</v>
      </c>
      <c r="CZ139" s="1018" t="str">
        <f t="shared" si="650"/>
        <v>9/17A</v>
      </c>
      <c r="DA139" s="1018" t="str">
        <f t="shared" si="650"/>
        <v>12/17A</v>
      </c>
      <c r="DB139" s="1018" t="str">
        <f t="shared" si="650"/>
        <v>2017A</v>
      </c>
      <c r="DC139" s="1018" t="str">
        <f t="shared" si="650"/>
        <v>3/18A</v>
      </c>
      <c r="DD139" s="1018" t="str">
        <f t="shared" si="650"/>
        <v>6/18A</v>
      </c>
      <c r="DE139" s="1018" t="str">
        <f t="shared" si="650"/>
        <v>9/18A</v>
      </c>
      <c r="DF139" s="1018" t="str">
        <f t="shared" si="650"/>
        <v>12/18A</v>
      </c>
      <c r="DG139" s="1018" t="str">
        <f t="shared" si="650"/>
        <v>2018A</v>
      </c>
      <c r="DH139" s="1018" t="str">
        <f t="shared" si="650"/>
        <v>3/19A</v>
      </c>
      <c r="DI139" s="1018" t="str">
        <f t="shared" si="650"/>
        <v>6/19A</v>
      </c>
      <c r="DJ139" s="1018" t="str">
        <f t="shared" ref="DJ139:EX139" si="651">DJ6</f>
        <v>9/19A</v>
      </c>
      <c r="DK139" s="1018" t="str">
        <f t="shared" si="651"/>
        <v>12/19A</v>
      </c>
      <c r="DL139" s="1018" t="str">
        <f t="shared" si="651"/>
        <v>2019A</v>
      </c>
      <c r="DM139" s="1018" t="str">
        <f t="shared" si="651"/>
        <v>3/20A</v>
      </c>
      <c r="DN139" s="1018" t="str">
        <f t="shared" si="651"/>
        <v>6/20A</v>
      </c>
      <c r="DO139" s="1018" t="str">
        <f t="shared" si="651"/>
        <v>9/20A</v>
      </c>
      <c r="DP139" s="1018" t="str">
        <f t="shared" si="651"/>
        <v>12/20A</v>
      </c>
      <c r="DQ139" s="1018" t="str">
        <f t="shared" si="651"/>
        <v>2020A</v>
      </c>
      <c r="DR139" s="1018" t="str">
        <f t="shared" si="651"/>
        <v>3/21A</v>
      </c>
      <c r="DS139" s="1018" t="str">
        <f t="shared" si="651"/>
        <v>6/21A</v>
      </c>
      <c r="DT139" s="1018" t="str">
        <f t="shared" si="651"/>
        <v>9/21A</v>
      </c>
      <c r="DU139" s="1018" t="str">
        <f t="shared" si="651"/>
        <v>12/21A</v>
      </c>
      <c r="DV139" s="1018" t="str">
        <f t="shared" si="651"/>
        <v>2021A</v>
      </c>
      <c r="DW139" s="1018" t="str">
        <f t="shared" si="651"/>
        <v>3/22A</v>
      </c>
      <c r="DX139" s="1018" t="str">
        <f t="shared" si="651"/>
        <v>6/22A</v>
      </c>
      <c r="DY139" s="1018" t="str">
        <f t="shared" si="651"/>
        <v>9/22A</v>
      </c>
      <c r="DZ139" s="1018" t="str">
        <f t="shared" si="651"/>
        <v>12/22A</v>
      </c>
      <c r="EA139" s="1018" t="str">
        <f t="shared" si="651"/>
        <v>2022A</v>
      </c>
      <c r="EB139" s="1018" t="str">
        <f t="shared" si="651"/>
        <v>3/23A</v>
      </c>
      <c r="EC139" s="1018" t="str">
        <f t="shared" si="651"/>
        <v>6/23A</v>
      </c>
      <c r="ED139" s="1018" t="str">
        <f t="shared" si="651"/>
        <v>9/23A</v>
      </c>
      <c r="EE139" s="1018" t="str">
        <f t="shared" si="651"/>
        <v>12/23A</v>
      </c>
      <c r="EF139" s="1018" t="str">
        <f t="shared" si="651"/>
        <v>2023A</v>
      </c>
      <c r="EG139" s="1018" t="str">
        <f t="shared" si="651"/>
        <v>3/24A</v>
      </c>
      <c r="EH139" s="1018" t="str">
        <f t="shared" si="651"/>
        <v>6/24A</v>
      </c>
      <c r="EI139" s="1018" t="str">
        <f t="shared" si="651"/>
        <v>9/24A</v>
      </c>
      <c r="EJ139" s="1018" t="str">
        <f t="shared" ref="EJ139" si="652">EJ6</f>
        <v>12/24A</v>
      </c>
      <c r="EK139" s="1018" t="str">
        <f t="shared" si="651"/>
        <v>2024A</v>
      </c>
      <c r="EL139" s="1018" t="str">
        <f t="shared" si="651"/>
        <v>3/25A</v>
      </c>
      <c r="EM139" s="1018" t="str">
        <f t="shared" si="651"/>
        <v>6/25A</v>
      </c>
      <c r="EN139" s="1018" t="str">
        <f t="shared" ref="EN139" si="653">EN6</f>
        <v>9/25A</v>
      </c>
      <c r="EO139" s="1018" t="str">
        <f t="shared" si="651"/>
        <v>12/25E</v>
      </c>
      <c r="EP139" s="1018" t="str">
        <f t="shared" si="651"/>
        <v>2025E</v>
      </c>
      <c r="EQ139" s="1018" t="str">
        <f t="shared" ref="EQ139:EU139" si="654">EQ6</f>
        <v>3/26E</v>
      </c>
      <c r="ER139" s="1018" t="str">
        <f t="shared" si="654"/>
        <v>6/26E</v>
      </c>
      <c r="ES139" s="1018" t="str">
        <f t="shared" si="654"/>
        <v>9/26E</v>
      </c>
      <c r="ET139" s="1018" t="str">
        <f t="shared" si="654"/>
        <v>12/26E</v>
      </c>
      <c r="EU139" s="1018" t="str">
        <f t="shared" si="654"/>
        <v>2026E</v>
      </c>
      <c r="EV139" s="1018" t="str">
        <f t="shared" si="651"/>
        <v>2027E</v>
      </c>
      <c r="EW139" s="1018" t="str">
        <f t="shared" si="651"/>
        <v>2028E</v>
      </c>
      <c r="EX139" s="1018" t="str">
        <f t="shared" si="651"/>
        <v>2029E</v>
      </c>
      <c r="EY139" s="1018" t="str">
        <f t="shared" ref="EY139" si="655">EY6</f>
        <v>2030E</v>
      </c>
      <c r="EZ139" s="159"/>
      <c r="FA139" s="717"/>
      <c r="FB139" s="717"/>
    </row>
    <row r="140" spans="1:158" s="4" customFormat="1" ht="11.25" customHeight="1">
      <c r="A140" s="5662" t="s">
        <v>830</v>
      </c>
      <c r="B140" s="2918"/>
      <c r="C140" s="2295"/>
      <c r="D140" s="2295"/>
      <c r="E140" s="2295"/>
      <c r="F140" s="5592"/>
      <c r="G140" s="2918"/>
      <c r="H140" s="2295"/>
      <c r="I140" s="2295"/>
      <c r="J140" s="2295"/>
      <c r="K140" s="2296"/>
      <c r="L140" s="2297"/>
      <c r="M140" s="2295"/>
      <c r="N140" s="2295"/>
      <c r="O140" s="2295"/>
      <c r="P140" s="2298"/>
      <c r="Q140" s="2294"/>
      <c r="R140" s="2295"/>
      <c r="S140" s="2295"/>
      <c r="T140" s="2295"/>
      <c r="U140" s="2298"/>
      <c r="V140" s="2294"/>
      <c r="W140" s="2295"/>
      <c r="X140" s="2295"/>
      <c r="Y140" s="2295"/>
      <c r="Z140" s="2298"/>
      <c r="AA140" s="2294"/>
      <c r="AB140" s="2295"/>
      <c r="AC140" s="2295"/>
      <c r="AD140" s="2295"/>
      <c r="AE140" s="2298"/>
      <c r="AF140" s="2294"/>
      <c r="AG140" s="2295"/>
      <c r="AH140" s="2295"/>
      <c r="AI140" s="2295"/>
      <c r="AJ140" s="2298"/>
      <c r="AK140" s="2294"/>
      <c r="AL140" s="2295"/>
      <c r="AM140" s="2295"/>
      <c r="AN140" s="2295"/>
      <c r="AO140" s="2298"/>
      <c r="AP140" s="2294"/>
      <c r="AQ140" s="2295"/>
      <c r="AR140" s="2295"/>
      <c r="AS140" s="2295"/>
      <c r="AT140" s="2298"/>
      <c r="AU140" s="2294"/>
      <c r="AV140" s="2299"/>
      <c r="AW140" s="2295"/>
      <c r="AX140" s="2295"/>
      <c r="AY140" s="2298"/>
      <c r="AZ140" s="2294"/>
      <c r="BA140" s="2299"/>
      <c r="BB140" s="2295"/>
      <c r="BC140" s="2295"/>
      <c r="BD140" s="2298"/>
      <c r="BE140" s="2294"/>
      <c r="BF140" s="2299"/>
      <c r="BG140" s="2295"/>
      <c r="BH140" s="2295"/>
      <c r="BI140" s="2298"/>
      <c r="BJ140" s="2294"/>
      <c r="BK140" s="2295"/>
      <c r="BL140" s="2295"/>
      <c r="BM140" s="2295"/>
      <c r="BN140" s="2298"/>
      <c r="BO140" s="2295"/>
      <c r="BP140" s="2295"/>
      <c r="BQ140" s="2295"/>
      <c r="BR140" s="2295"/>
      <c r="BS140" s="2296"/>
      <c r="BT140" s="2297"/>
      <c r="BU140" s="2295"/>
      <c r="BV140" s="2295"/>
      <c r="BW140" s="2295"/>
      <c r="BX140" s="2298"/>
      <c r="BY140" s="2295"/>
      <c r="BZ140" s="2295"/>
      <c r="CA140" s="2295"/>
      <c r="CB140" s="2295"/>
      <c r="CC140" s="2296"/>
      <c r="CD140" s="2295"/>
      <c r="CE140" s="2295"/>
      <c r="CF140" s="2295"/>
      <c r="CG140" s="2295"/>
      <c r="CH140" s="2298"/>
      <c r="CI140" s="2300"/>
      <c r="CJ140" s="2295"/>
      <c r="CK140" s="2295"/>
      <c r="CL140" s="2295"/>
      <c r="CM140" s="2298"/>
      <c r="CN140" s="2295"/>
      <c r="CO140" s="2295"/>
      <c r="CP140" s="2295"/>
      <c r="CQ140" s="2295"/>
      <c r="CR140" s="2298"/>
      <c r="CS140" s="2295"/>
      <c r="CT140" s="2295"/>
      <c r="CU140" s="2295"/>
      <c r="CV140" s="2301"/>
      <c r="CW140" s="2302"/>
      <c r="CX140" s="2301"/>
      <c r="CY140" s="2301"/>
      <c r="CZ140" s="2301"/>
      <c r="DA140" s="2301"/>
      <c r="DB140" s="2302"/>
      <c r="DC140" s="2301"/>
      <c r="DD140" s="2301"/>
      <c r="DE140" s="2301"/>
      <c r="DF140" s="2301"/>
      <c r="DG140" s="2302"/>
      <c r="DH140" s="2301"/>
      <c r="DI140" s="2301"/>
      <c r="DJ140" s="2301"/>
      <c r="DK140" s="2301"/>
      <c r="DL140" s="2302"/>
      <c r="DM140" s="2301"/>
      <c r="DN140" s="2301"/>
      <c r="DO140" s="2301"/>
      <c r="DP140" s="2301"/>
      <c r="DQ140" s="2302"/>
      <c r="DR140" s="2301"/>
      <c r="DS140" s="2301"/>
      <c r="DT140" s="2301"/>
      <c r="DU140" s="2301"/>
      <c r="DV140" s="2302"/>
      <c r="DW140" s="2301"/>
      <c r="DX140" s="2301"/>
      <c r="DY140" s="2301"/>
      <c r="DZ140" s="2301"/>
      <c r="EA140" s="2302"/>
      <c r="EB140" s="2301"/>
      <c r="EC140" s="2301"/>
      <c r="ED140" s="2301"/>
      <c r="EE140" s="2301"/>
      <c r="EF140" s="2302"/>
      <c r="EG140" s="2301"/>
      <c r="EH140" s="2301"/>
      <c r="EI140" s="2301"/>
      <c r="EJ140" s="2301"/>
      <c r="EK140" s="2302"/>
      <c r="EL140" s="2301"/>
      <c r="EM140" s="2301"/>
      <c r="EN140" s="2301"/>
      <c r="EO140" s="2301"/>
      <c r="EP140" s="2302"/>
      <c r="EQ140" s="2301"/>
      <c r="ER140" s="2301"/>
      <c r="ES140" s="2301"/>
      <c r="ET140" s="2301"/>
      <c r="EU140" s="2302"/>
      <c r="EV140" s="2302"/>
      <c r="EW140" s="2302"/>
      <c r="EX140" s="2302"/>
      <c r="EY140" s="2302"/>
      <c r="EZ140" s="159"/>
      <c r="FA140" s="1100"/>
      <c r="FB140" s="1100"/>
    </row>
    <row r="141" spans="1:158" s="31" customFormat="1" ht="11.25" customHeight="1">
      <c r="A141" s="6172" t="s">
        <v>895</v>
      </c>
      <c r="B141" s="5600"/>
      <c r="C141" s="3077"/>
      <c r="D141" s="3077"/>
      <c r="E141" s="3077"/>
      <c r="F141" s="5602"/>
      <c r="G141" s="5600"/>
      <c r="H141" s="3077"/>
      <c r="I141" s="3077"/>
      <c r="J141" s="3077"/>
      <c r="K141" s="3078"/>
      <c r="L141" s="3077"/>
      <c r="M141" s="3077"/>
      <c r="N141" s="3077"/>
      <c r="O141" s="3077"/>
      <c r="P141" s="3078"/>
      <c r="Q141" s="3076"/>
      <c r="R141" s="3077"/>
      <c r="S141" s="3077"/>
      <c r="T141" s="3077"/>
      <c r="U141" s="3078"/>
      <c r="V141" s="3076"/>
      <c r="W141" s="3077"/>
      <c r="X141" s="3077"/>
      <c r="Y141" s="3077"/>
      <c r="Z141" s="3078"/>
      <c r="AA141" s="3076"/>
      <c r="AB141" s="3077"/>
      <c r="AC141" s="3077"/>
      <c r="AD141" s="3077"/>
      <c r="AE141" s="3078"/>
      <c r="AF141" s="3076"/>
      <c r="AG141" s="3077"/>
      <c r="AH141" s="3077"/>
      <c r="AI141" s="3077"/>
      <c r="AJ141" s="3078"/>
      <c r="AK141" s="3076"/>
      <c r="AL141" s="3077"/>
      <c r="AM141" s="3077"/>
      <c r="AN141" s="3077"/>
      <c r="AO141" s="3078"/>
      <c r="AP141" s="3076"/>
      <c r="AQ141" s="3077"/>
      <c r="AR141" s="3077"/>
      <c r="AS141" s="3077"/>
      <c r="AT141" s="3078"/>
      <c r="AU141" s="3076"/>
      <c r="AV141" s="3079"/>
      <c r="AW141" s="3079"/>
      <c r="AX141" s="3079"/>
      <c r="AY141" s="3078"/>
      <c r="AZ141" s="3076"/>
      <c r="BA141" s="3079"/>
      <c r="BB141" s="3079"/>
      <c r="BC141" s="3079"/>
      <c r="BD141" s="3078"/>
      <c r="BE141" s="3076"/>
      <c r="BF141" s="3079"/>
      <c r="BG141" s="3079"/>
      <c r="BH141" s="3079"/>
      <c r="BI141" s="3078"/>
      <c r="BJ141" s="3076"/>
      <c r="BK141" s="3079"/>
      <c r="BL141" s="3079"/>
      <c r="BM141" s="3079"/>
      <c r="BN141" s="3078"/>
      <c r="BO141" s="3077"/>
      <c r="BP141" s="3077"/>
      <c r="BQ141" s="3077"/>
      <c r="BR141" s="3077"/>
      <c r="BS141" s="3080"/>
      <c r="BT141" s="3079"/>
      <c r="BU141" s="3079"/>
      <c r="BV141" s="3079"/>
      <c r="BW141" s="3079"/>
      <c r="BX141" s="3080"/>
      <c r="BY141" s="3077"/>
      <c r="BZ141" s="3077"/>
      <c r="CA141" s="3077"/>
      <c r="CB141" s="3077"/>
      <c r="CC141" s="3080"/>
      <c r="CD141" s="3079"/>
      <c r="CE141" s="3079"/>
      <c r="CF141" s="3079"/>
      <c r="CG141" s="3079"/>
      <c r="CH141" s="3080"/>
      <c r="CI141" s="3081"/>
      <c r="CJ141" s="3077"/>
      <c r="CK141" s="3077"/>
      <c r="CL141" s="3077"/>
      <c r="CM141" s="3080"/>
      <c r="CN141" s="3077"/>
      <c r="CO141" s="3077"/>
      <c r="CP141" s="3077"/>
      <c r="CQ141" s="3077"/>
      <c r="CR141" s="3080"/>
      <c r="CS141" s="3077"/>
      <c r="CT141" s="3077"/>
      <c r="CU141" s="3077"/>
      <c r="CV141" s="3082"/>
      <c r="CW141" s="3080"/>
      <c r="CX141" s="3077"/>
      <c r="CY141" s="3077"/>
      <c r="CZ141" s="3077"/>
      <c r="DA141" s="3077"/>
      <c r="DB141" s="3080"/>
      <c r="DC141" s="3077"/>
      <c r="DD141" s="3077"/>
      <c r="DE141" s="3077"/>
      <c r="DF141" s="3077"/>
      <c r="DG141" s="3080"/>
      <c r="DH141" s="3077"/>
      <c r="DI141" s="3077"/>
      <c r="DJ141" s="3077"/>
      <c r="DK141" s="3077"/>
      <c r="DL141" s="3080"/>
      <c r="DM141" s="3077"/>
      <c r="DN141" s="3077"/>
      <c r="DO141" s="3077"/>
      <c r="DP141" s="3077"/>
      <c r="DQ141" s="3080"/>
      <c r="DR141" s="3077"/>
      <c r="DS141" s="3077"/>
      <c r="DT141" s="3077"/>
      <c r="DU141" s="3077"/>
      <c r="DV141" s="3080"/>
      <c r="DW141" s="3077"/>
      <c r="DX141" s="3077"/>
      <c r="DY141" s="3077"/>
      <c r="DZ141" s="3077"/>
      <c r="EA141" s="3080"/>
      <c r="EB141" s="3077"/>
      <c r="EC141" s="3077"/>
      <c r="ED141" s="3077"/>
      <c r="EE141" s="3077"/>
      <c r="EF141" s="3080"/>
      <c r="EG141" s="3077"/>
      <c r="EH141" s="3077"/>
      <c r="EI141" s="3077"/>
      <c r="EJ141" s="3077"/>
      <c r="EK141" s="3080"/>
      <c r="EL141" s="3077"/>
      <c r="EM141" s="3077"/>
      <c r="EN141" s="3077"/>
      <c r="EO141" s="3077"/>
      <c r="EP141" s="3080"/>
      <c r="EQ141" s="3077"/>
      <c r="ER141" s="3077"/>
      <c r="ES141" s="3077"/>
      <c r="ET141" s="3077"/>
      <c r="EU141" s="3080"/>
      <c r="EV141" s="3080"/>
      <c r="EW141" s="3080"/>
      <c r="EX141" s="3080"/>
      <c r="EY141" s="3080"/>
      <c r="EZ141" s="32"/>
      <c r="FA141" s="1100"/>
      <c r="FB141" s="1100"/>
    </row>
    <row r="142" spans="1:158" s="234" customFormat="1" ht="11.25" customHeight="1">
      <c r="A142" s="6173" t="s">
        <v>1148</v>
      </c>
      <c r="B142" s="209"/>
      <c r="C142" s="209"/>
      <c r="D142" s="209"/>
      <c r="E142" s="209"/>
      <c r="F142" s="4303"/>
      <c r="G142" s="209"/>
      <c r="H142" s="209"/>
      <c r="I142" s="209"/>
      <c r="J142" s="209"/>
      <c r="K142" s="2244"/>
      <c r="L142" s="209"/>
      <c r="M142" s="209"/>
      <c r="N142" s="209"/>
      <c r="O142" s="209"/>
      <c r="P142" s="2244"/>
      <c r="Q142" s="2242"/>
      <c r="R142" s="209"/>
      <c r="S142" s="209"/>
      <c r="T142" s="209"/>
      <c r="U142" s="1019"/>
      <c r="V142" s="2242"/>
      <c r="W142" s="209"/>
      <c r="X142" s="209"/>
      <c r="Y142" s="209"/>
      <c r="Z142" s="1019"/>
      <c r="AA142" s="2242"/>
      <c r="AB142" s="209"/>
      <c r="AC142" s="209"/>
      <c r="AD142" s="209"/>
      <c r="AE142" s="1019"/>
      <c r="AF142" s="2242"/>
      <c r="AG142" s="209"/>
      <c r="AH142" s="209"/>
      <c r="AI142" s="209"/>
      <c r="AJ142" s="1019"/>
      <c r="AK142" s="2242"/>
      <c r="AL142" s="209"/>
      <c r="AM142" s="209"/>
      <c r="AN142" s="169"/>
      <c r="AO142" s="1019"/>
      <c r="AP142" s="2242"/>
      <c r="AQ142" s="209"/>
      <c r="AR142" s="209"/>
      <c r="AS142" s="209"/>
      <c r="AT142" s="1019"/>
      <c r="AU142" s="2242"/>
      <c r="AV142" s="209"/>
      <c r="AW142" s="209"/>
      <c r="AX142" s="209"/>
      <c r="AY142" s="1019"/>
      <c r="AZ142" s="2242"/>
      <c r="BA142" s="209"/>
      <c r="BB142" s="209"/>
      <c r="BC142" s="209"/>
      <c r="BD142" s="1019"/>
      <c r="BE142" s="2243"/>
      <c r="BF142" s="241"/>
      <c r="BG142" s="241"/>
      <c r="BH142" s="241"/>
      <c r="BI142" s="1019"/>
      <c r="BJ142" s="223"/>
      <c r="BK142" s="223"/>
      <c r="BL142" s="223"/>
      <c r="BM142" s="223"/>
      <c r="BN142" s="1019"/>
      <c r="BO142" s="209"/>
      <c r="BP142" s="209"/>
      <c r="BQ142" s="209"/>
      <c r="BR142" s="209"/>
      <c r="BS142" s="2244"/>
      <c r="BT142" s="209"/>
      <c r="BU142" s="223"/>
      <c r="BV142" s="209"/>
      <c r="BW142" s="223"/>
      <c r="BX142" s="1019"/>
      <c r="BY142" s="209"/>
      <c r="BZ142" s="209"/>
      <c r="CA142" s="209"/>
      <c r="CB142" s="209"/>
      <c r="CC142" s="2244"/>
      <c r="CD142" s="2008"/>
      <c r="CE142" s="2007"/>
      <c r="CF142" s="2008"/>
      <c r="CG142" s="2007"/>
      <c r="CH142" s="2009"/>
      <c r="CI142" s="2940"/>
      <c r="CJ142" s="2007"/>
      <c r="CK142" s="2008"/>
      <c r="CL142" s="2008"/>
      <c r="CM142" s="2009"/>
      <c r="CN142" s="2008"/>
      <c r="CO142" s="2008"/>
      <c r="CP142" s="2008"/>
      <c r="CQ142" s="2008"/>
      <c r="CR142" s="2009"/>
      <c r="CS142" s="3526" t="s">
        <v>555</v>
      </c>
      <c r="CT142" s="2008"/>
      <c r="CU142" s="2008"/>
      <c r="CV142" s="2008"/>
      <c r="CW142" s="2009"/>
      <c r="CX142" s="2008"/>
      <c r="CY142" s="2008"/>
      <c r="CZ142" s="2008"/>
      <c r="DA142" s="2008"/>
      <c r="DB142" s="2009"/>
      <c r="DC142" s="2008"/>
      <c r="DD142" s="2008"/>
      <c r="DE142" s="2008"/>
      <c r="DF142" s="2008"/>
      <c r="DG142" s="2009"/>
      <c r="DH142" s="2008"/>
      <c r="DI142" s="2008"/>
      <c r="DJ142" s="2008"/>
      <c r="DK142" s="2008"/>
      <c r="DL142" s="6203" t="s">
        <v>1177</v>
      </c>
      <c r="DM142" s="209"/>
      <c r="DN142" s="209"/>
      <c r="DO142" s="209"/>
      <c r="DP142" s="209"/>
      <c r="DQ142" s="6203" t="s">
        <v>1175</v>
      </c>
      <c r="DR142" s="209"/>
      <c r="DS142" s="209"/>
      <c r="DT142" s="209"/>
      <c r="DU142" s="209"/>
      <c r="DV142" s="1019"/>
      <c r="DW142" s="209"/>
      <c r="DX142" s="209"/>
      <c r="DY142" s="209"/>
      <c r="DZ142" s="209"/>
      <c r="EA142" s="1019"/>
      <c r="EB142" s="209"/>
      <c r="EC142" s="209"/>
      <c r="ED142" s="209"/>
      <c r="EE142" s="209"/>
      <c r="EF142" s="1019"/>
      <c r="EG142" s="209"/>
      <c r="EH142" s="209"/>
      <c r="EI142" s="209"/>
      <c r="EJ142" s="209"/>
      <c r="EK142" s="1019"/>
      <c r="EL142" s="209"/>
      <c r="EM142" s="209"/>
      <c r="EN142" s="209"/>
      <c r="EO142" s="209"/>
      <c r="EP142" s="1019"/>
      <c r="EQ142" s="209"/>
      <c r="ER142" s="209"/>
      <c r="ES142" s="209"/>
      <c r="ET142" s="209"/>
      <c r="EU142" s="1019"/>
      <c r="EV142" s="2244"/>
      <c r="EW142" s="2244"/>
      <c r="EX142" s="2244"/>
      <c r="EY142" s="2244"/>
      <c r="EZ142" s="209"/>
      <c r="FA142" s="1100"/>
      <c r="FB142" s="1100"/>
    </row>
    <row r="143" spans="1:158" s="234" customFormat="1" ht="11.25" customHeight="1">
      <c r="A143" s="6174" t="s">
        <v>45</v>
      </c>
      <c r="B143" s="209"/>
      <c r="C143" s="209"/>
      <c r="D143" s="209"/>
      <c r="E143" s="209"/>
      <c r="F143" s="4303"/>
      <c r="G143" s="209"/>
      <c r="H143" s="209"/>
      <c r="I143" s="209"/>
      <c r="J143" s="209"/>
      <c r="K143" s="1019"/>
      <c r="L143" s="209"/>
      <c r="M143" s="209"/>
      <c r="N143" s="209"/>
      <c r="O143" s="209"/>
      <c r="P143" s="1043"/>
      <c r="Q143" s="2242"/>
      <c r="R143" s="209"/>
      <c r="S143" s="209"/>
      <c r="T143" s="209"/>
      <c r="U143" s="1043"/>
      <c r="V143" s="2242"/>
      <c r="W143" s="209"/>
      <c r="X143" s="209"/>
      <c r="Y143" s="209"/>
      <c r="Z143" s="1043"/>
      <c r="AA143" s="2242"/>
      <c r="AB143" s="209"/>
      <c r="AC143" s="209"/>
      <c r="AD143" s="209"/>
      <c r="AE143" s="1043"/>
      <c r="AF143" s="2242"/>
      <c r="AG143" s="209"/>
      <c r="AH143" s="209"/>
      <c r="AI143" s="209"/>
      <c r="AJ143" s="1043"/>
      <c r="AK143" s="2242"/>
      <c r="AL143" s="209"/>
      <c r="AM143" s="209"/>
      <c r="AN143" s="169"/>
      <c r="AO143" s="1043"/>
      <c r="AP143" s="2242"/>
      <c r="AQ143" s="209"/>
      <c r="AR143" s="209"/>
      <c r="AS143" s="209"/>
      <c r="AT143" s="1043"/>
      <c r="AU143" s="2242"/>
      <c r="AV143" s="209"/>
      <c r="AW143" s="209"/>
      <c r="AX143" s="209"/>
      <c r="AY143" s="1043"/>
      <c r="AZ143" s="2242"/>
      <c r="BA143" s="209"/>
      <c r="BB143" s="209"/>
      <c r="BC143" s="209"/>
      <c r="BD143" s="1043"/>
      <c r="BE143" s="2243"/>
      <c r="BF143" s="241"/>
      <c r="BG143" s="241"/>
      <c r="BH143" s="241"/>
      <c r="BI143" s="1043"/>
      <c r="BJ143" s="223"/>
      <c r="BK143" s="223"/>
      <c r="BL143" s="223"/>
      <c r="BM143" s="223"/>
      <c r="BN143" s="1043"/>
      <c r="BO143" s="534"/>
      <c r="BP143" s="534"/>
      <c r="BQ143" s="534"/>
      <c r="BR143" s="534"/>
      <c r="BS143" s="2471"/>
      <c r="BT143" s="209"/>
      <c r="BU143" s="223"/>
      <c r="BV143" s="209"/>
      <c r="BW143" s="223"/>
      <c r="BX143" s="1043"/>
      <c r="BY143" s="534"/>
      <c r="BZ143" s="534"/>
      <c r="CA143" s="534"/>
      <c r="CB143" s="534"/>
      <c r="CC143" s="2471"/>
      <c r="CD143" s="2929">
        <v>0.2</v>
      </c>
      <c r="CE143" s="2930">
        <v>0.28999999999999998</v>
      </c>
      <c r="CF143" s="2929">
        <v>0.4</v>
      </c>
      <c r="CG143" s="2930">
        <v>0.44</v>
      </c>
      <c r="CH143" s="2009">
        <f>AVERAGE(CD143:CG143)</f>
        <v>0.33250000000000002</v>
      </c>
      <c r="CI143" s="2931">
        <v>0.37</v>
      </c>
      <c r="CJ143" s="2930">
        <v>0.33</v>
      </c>
      <c r="CK143" s="2929">
        <v>0.24</v>
      </c>
      <c r="CL143" s="2930">
        <v>0.25</v>
      </c>
      <c r="CM143" s="2009">
        <f>AVERAGE(CI143:CL143)</f>
        <v>0.29749999999999999</v>
      </c>
      <c r="CN143" s="2929">
        <v>0.25</v>
      </c>
      <c r="CO143" s="2930">
        <v>0.3</v>
      </c>
      <c r="CP143" s="2929">
        <v>0.35</v>
      </c>
      <c r="CQ143" s="2930">
        <v>0.4</v>
      </c>
      <c r="CR143" s="2009">
        <f>AVERAGE(CN143:CQ143)</f>
        <v>0.32500000000000001</v>
      </c>
      <c r="CS143" s="3532">
        <v>0.38</v>
      </c>
      <c r="CT143" s="2929">
        <v>0.36</v>
      </c>
      <c r="CU143" s="2929">
        <v>0.41</v>
      </c>
      <c r="CV143" s="2929">
        <v>0.47</v>
      </c>
      <c r="CW143" s="2009">
        <f>AVERAGE(CS143:CV143)</f>
        <v>0.40499999999999997</v>
      </c>
      <c r="CX143" s="2929">
        <v>0.53</v>
      </c>
      <c r="CY143" s="2929">
        <v>0.61</v>
      </c>
      <c r="CZ143" s="2929">
        <v>0.55000000000000004</v>
      </c>
      <c r="DA143" s="2929">
        <v>0.48</v>
      </c>
      <c r="DB143" s="2009">
        <f>AVERAGE(CX143:DA143)</f>
        <v>0.54249999999999998</v>
      </c>
      <c r="DC143" s="2929">
        <v>0.59</v>
      </c>
      <c r="DD143" s="2929">
        <v>0.57999999999999996</v>
      </c>
      <c r="DE143" s="2929">
        <v>0.62</v>
      </c>
      <c r="DF143" s="2929">
        <v>0.66</v>
      </c>
      <c r="DG143" s="6204">
        <v>0.62</v>
      </c>
      <c r="DH143" s="6205">
        <v>0.39</v>
      </c>
      <c r="DI143" s="6205">
        <v>0.28000000000000003</v>
      </c>
      <c r="DJ143" s="6205">
        <v>0.18</v>
      </c>
      <c r="DK143" s="5178"/>
      <c r="DL143" s="5179">
        <v>0.23</v>
      </c>
      <c r="DM143" s="6205">
        <v>0.12</v>
      </c>
      <c r="DN143" s="6205">
        <v>0.08</v>
      </c>
      <c r="DO143" s="6205">
        <v>0.27</v>
      </c>
      <c r="DP143" s="5178"/>
      <c r="DQ143" s="5179">
        <v>0.19</v>
      </c>
      <c r="DR143" s="5177">
        <v>0.25</v>
      </c>
      <c r="DS143" s="5177">
        <v>0.26</v>
      </c>
      <c r="DT143" s="5177">
        <v>0.22</v>
      </c>
      <c r="DU143" s="5180">
        <f>((1+DV143)-(DR14*(1+DR143)+DS14*(1+DS143)+DT14*(1+DT143)))/DU14-1</f>
        <v>0.19920001847532354</v>
      </c>
      <c r="DV143" s="5179">
        <v>0.23</v>
      </c>
      <c r="DW143" s="5177">
        <v>0.16</v>
      </c>
      <c r="DX143" s="5177">
        <v>0.12</v>
      </c>
      <c r="DY143" s="5177">
        <v>0.08</v>
      </c>
      <c r="DZ143" s="5180">
        <f>((1+EA143)-(DW14*(1+DW143)+DX14*(1+DX143)+DY14*(1+DY143)))/DZ14-1</f>
        <v>4.3665383532063062E-2</v>
      </c>
      <c r="EA143" s="5179">
        <v>0.1</v>
      </c>
      <c r="EB143" s="5177">
        <v>0.08</v>
      </c>
      <c r="EC143" s="5177">
        <v>0.08</v>
      </c>
      <c r="ED143" s="5177">
        <v>7.0000000000000007E-2</v>
      </c>
      <c r="EE143" s="5180">
        <f>((1+EF143)-(EB14*(1+EB143)+EC14*(1+EC143)+ED14*(1+ED143)))/EE14-1</f>
        <v>5.271824239900047E-2</v>
      </c>
      <c r="EF143" s="5179">
        <v>7.0000000000000007E-2</v>
      </c>
      <c r="EG143" s="5177">
        <v>0.05</v>
      </c>
      <c r="EH143" s="5177">
        <v>0.06</v>
      </c>
      <c r="EI143" s="5177">
        <v>0.04</v>
      </c>
      <c r="EJ143" s="5180">
        <f>((1+EK143)-(EG14*(1+EG143)+EH14*(1+EH143)+EI14*(1+EI143)))/EJ14-1</f>
        <v>5.0162120146574285E-2</v>
      </c>
      <c r="EK143" s="5179">
        <v>0.05</v>
      </c>
      <c r="EL143" s="5177">
        <v>0.02</v>
      </c>
      <c r="EM143" s="5177">
        <v>0.04</v>
      </c>
      <c r="EN143" s="5177">
        <v>7.0000000000000007E-2</v>
      </c>
      <c r="EO143" s="5180"/>
      <c r="EP143" s="1716"/>
      <c r="EQ143" s="5180"/>
      <c r="ER143" s="5180"/>
      <c r="ES143" s="5180"/>
      <c r="ET143" s="5180"/>
      <c r="EU143" s="1716"/>
      <c r="EV143" s="5181"/>
      <c r="EW143" s="5181"/>
      <c r="EX143" s="5181"/>
      <c r="EY143" s="5181"/>
      <c r="EZ143" s="209"/>
      <c r="FA143" s="4268"/>
      <c r="FB143" s="4268"/>
    </row>
    <row r="144" spans="1:158" s="234" customFormat="1" ht="11.25" customHeight="1">
      <c r="A144" s="6174" t="s">
        <v>1176</v>
      </c>
      <c r="B144" s="209"/>
      <c r="C144" s="209"/>
      <c r="D144" s="209"/>
      <c r="E144" s="209"/>
      <c r="F144" s="4303"/>
      <c r="G144" s="209"/>
      <c r="H144" s="209"/>
      <c r="I144" s="209"/>
      <c r="J144" s="209"/>
      <c r="K144" s="4303"/>
      <c r="L144" s="209"/>
      <c r="M144" s="209"/>
      <c r="N144" s="209"/>
      <c r="O144" s="209"/>
      <c r="P144" s="6207"/>
      <c r="Q144" s="2576"/>
      <c r="R144" s="209"/>
      <c r="S144" s="209"/>
      <c r="T144" s="209"/>
      <c r="U144" s="6207"/>
      <c r="V144" s="2576"/>
      <c r="W144" s="209"/>
      <c r="X144" s="209"/>
      <c r="Y144" s="209"/>
      <c r="Z144" s="6207"/>
      <c r="AA144" s="2576"/>
      <c r="AB144" s="209"/>
      <c r="AC144" s="209"/>
      <c r="AD144" s="209"/>
      <c r="AE144" s="6207"/>
      <c r="AF144" s="2576"/>
      <c r="AG144" s="209"/>
      <c r="AH144" s="209"/>
      <c r="AI144" s="209"/>
      <c r="AJ144" s="6207"/>
      <c r="AK144" s="2576"/>
      <c r="AL144" s="209"/>
      <c r="AM144" s="209"/>
      <c r="AN144" s="2612"/>
      <c r="AO144" s="6207"/>
      <c r="AP144" s="2576"/>
      <c r="AQ144" s="209"/>
      <c r="AR144" s="209"/>
      <c r="AS144" s="209"/>
      <c r="AT144" s="6207"/>
      <c r="AU144" s="2576"/>
      <c r="AV144" s="209"/>
      <c r="AW144" s="209"/>
      <c r="AX144" s="209"/>
      <c r="AY144" s="6207"/>
      <c r="AZ144" s="2576"/>
      <c r="BA144" s="209"/>
      <c r="BB144" s="209"/>
      <c r="BC144" s="209"/>
      <c r="BD144" s="6207"/>
      <c r="BE144" s="2572"/>
      <c r="BF144" s="241"/>
      <c r="BG144" s="241"/>
      <c r="BH144" s="241"/>
      <c r="BI144" s="6207"/>
      <c r="BJ144" s="223"/>
      <c r="BK144" s="223"/>
      <c r="BL144" s="223"/>
      <c r="BM144" s="223"/>
      <c r="BN144" s="6207"/>
      <c r="BO144" s="534"/>
      <c r="BP144" s="534"/>
      <c r="BQ144" s="534"/>
      <c r="BR144" s="534"/>
      <c r="BS144" s="2471"/>
      <c r="BT144" s="209"/>
      <c r="BU144" s="223"/>
      <c r="BV144" s="209"/>
      <c r="BW144" s="223"/>
      <c r="BX144" s="2471"/>
      <c r="BY144" s="534"/>
      <c r="BZ144" s="534"/>
      <c r="CA144" s="534"/>
      <c r="CB144" s="534"/>
      <c r="CC144" s="2471"/>
      <c r="CD144" s="2929"/>
      <c r="CE144" s="2930"/>
      <c r="CF144" s="2929"/>
      <c r="CG144" s="2930"/>
      <c r="CH144" s="2938"/>
      <c r="CI144" s="2931"/>
      <c r="CJ144" s="2930"/>
      <c r="CK144" s="2929"/>
      <c r="CL144" s="2930"/>
      <c r="CM144" s="2938"/>
      <c r="CN144" s="2929"/>
      <c r="CO144" s="2930"/>
      <c r="CP144" s="2929"/>
      <c r="CQ144" s="2930"/>
      <c r="CR144" s="2938"/>
      <c r="CS144" s="3532"/>
      <c r="CT144" s="2929"/>
      <c r="CU144" s="2929"/>
      <c r="CV144" s="2929"/>
      <c r="CW144" s="2938"/>
      <c r="CX144" s="2929"/>
      <c r="CY144" s="2929"/>
      <c r="CZ144" s="2929"/>
      <c r="DA144" s="2929"/>
      <c r="DB144" s="2938"/>
      <c r="DC144" s="2929"/>
      <c r="DD144" s="2929"/>
      <c r="DE144" s="2929"/>
      <c r="DF144" s="2929"/>
      <c r="DG144" s="6208"/>
      <c r="DH144" s="6205"/>
      <c r="DI144" s="6205"/>
      <c r="DJ144" s="6205"/>
      <c r="DK144" s="5178"/>
      <c r="DL144" s="6209"/>
      <c r="DM144" s="6205"/>
      <c r="DN144" s="6205"/>
      <c r="DO144" s="6205"/>
      <c r="DP144" s="5178"/>
      <c r="DQ144" s="6209"/>
      <c r="DR144" s="510">
        <f>DR143</f>
        <v>0.25</v>
      </c>
      <c r="DS144" s="5177">
        <v>0.25</v>
      </c>
      <c r="DT144" s="5177">
        <v>0.24</v>
      </c>
      <c r="DU144" s="5180"/>
      <c r="DV144" s="6209"/>
      <c r="DW144" s="510">
        <f>DW143</f>
        <v>0.16</v>
      </c>
      <c r="DX144" s="5177">
        <v>0.14000000000000001</v>
      </c>
      <c r="DY144" s="5177">
        <v>0.12</v>
      </c>
      <c r="DZ144" s="5180"/>
      <c r="EA144" s="6209"/>
      <c r="EB144" s="510">
        <f>EB143</f>
        <v>0.08</v>
      </c>
      <c r="EC144" s="5177">
        <v>0.08</v>
      </c>
      <c r="ED144" s="5177">
        <v>0.08</v>
      </c>
      <c r="EE144" s="5180"/>
      <c r="EF144" s="6209"/>
      <c r="EG144" s="510">
        <f>EG143</f>
        <v>0.05</v>
      </c>
      <c r="EH144" s="5177">
        <v>0.05</v>
      </c>
      <c r="EI144" s="5177">
        <v>0.05</v>
      </c>
      <c r="EJ144" s="5180"/>
      <c r="EK144" s="6209"/>
      <c r="EL144" s="510">
        <f>EL143</f>
        <v>0.02</v>
      </c>
      <c r="EM144" s="5177">
        <v>0.03</v>
      </c>
      <c r="EN144" s="5177">
        <v>0.04</v>
      </c>
      <c r="EO144" s="5180"/>
      <c r="EP144" s="5183"/>
      <c r="EQ144" s="5180"/>
      <c r="ER144" s="5180"/>
      <c r="ES144" s="5180"/>
      <c r="ET144" s="5180"/>
      <c r="EU144" s="5183"/>
      <c r="EV144" s="5181"/>
      <c r="EW144" s="5181"/>
      <c r="EX144" s="5181"/>
      <c r="EY144" s="5181"/>
      <c r="EZ144" s="209"/>
      <c r="FA144" s="4268"/>
      <c r="FB144" s="4268"/>
    </row>
    <row r="145" spans="1:158" s="234" customFormat="1" ht="11.25" hidden="1" customHeight="1" outlineLevel="1">
      <c r="A145" s="6174" t="s">
        <v>46</v>
      </c>
      <c r="B145" s="209"/>
      <c r="C145" s="209"/>
      <c r="D145" s="209"/>
      <c r="E145" s="209"/>
      <c r="F145" s="4303"/>
      <c r="G145" s="209"/>
      <c r="H145" s="209"/>
      <c r="I145" s="209"/>
      <c r="J145" s="209"/>
      <c r="K145" s="1019"/>
      <c r="L145" s="209"/>
      <c r="M145" s="209"/>
      <c r="N145" s="209"/>
      <c r="O145" s="209"/>
      <c r="P145" s="1019"/>
      <c r="Q145" s="2242"/>
      <c r="R145" s="209"/>
      <c r="S145" s="209"/>
      <c r="T145" s="209"/>
      <c r="U145" s="1019"/>
      <c r="V145" s="2242"/>
      <c r="W145" s="209"/>
      <c r="X145" s="209"/>
      <c r="Y145" s="209"/>
      <c r="Z145" s="1019"/>
      <c r="AA145" s="2242"/>
      <c r="AB145" s="209"/>
      <c r="AC145" s="209"/>
      <c r="AD145" s="209"/>
      <c r="AE145" s="1019"/>
      <c r="AF145" s="2242"/>
      <c r="AG145" s="209"/>
      <c r="AH145" s="209"/>
      <c r="AI145" s="209"/>
      <c r="AJ145" s="1019"/>
      <c r="AK145" s="2242"/>
      <c r="AL145" s="209"/>
      <c r="AM145" s="209"/>
      <c r="AN145" s="169"/>
      <c r="AO145" s="1019"/>
      <c r="AP145" s="2242"/>
      <c r="AQ145" s="209"/>
      <c r="AR145" s="209"/>
      <c r="AS145" s="209"/>
      <c r="AT145" s="1019"/>
      <c r="AU145" s="2242"/>
      <c r="AV145" s="209"/>
      <c r="AW145" s="209"/>
      <c r="AX145" s="209"/>
      <c r="AY145" s="1019"/>
      <c r="AZ145" s="2242"/>
      <c r="BA145" s="209"/>
      <c r="BB145" s="209"/>
      <c r="BC145" s="209"/>
      <c r="BD145" s="1019"/>
      <c r="BE145" s="2243"/>
      <c r="BF145" s="241"/>
      <c r="BG145" s="241"/>
      <c r="BH145" s="241"/>
      <c r="BI145" s="1019"/>
      <c r="BJ145" s="223"/>
      <c r="BK145" s="223"/>
      <c r="BL145" s="223"/>
      <c r="BM145" s="223"/>
      <c r="BN145" s="1019"/>
      <c r="BO145" s="209"/>
      <c r="BP145" s="209"/>
      <c r="BQ145" s="209"/>
      <c r="BR145" s="209"/>
      <c r="BS145" s="2244"/>
      <c r="BT145" s="209"/>
      <c r="BU145" s="223"/>
      <c r="BV145" s="209"/>
      <c r="BW145" s="223"/>
      <c r="BX145" s="1019"/>
      <c r="BY145" s="209"/>
      <c r="BZ145" s="209"/>
      <c r="CA145" s="209"/>
      <c r="CB145" s="209"/>
      <c r="CC145" s="2244"/>
      <c r="CD145" s="2929">
        <v>0.02</v>
      </c>
      <c r="CE145" s="2930">
        <v>0.09</v>
      </c>
      <c r="CF145" s="2929">
        <v>0.11</v>
      </c>
      <c r="CG145" s="2930">
        <v>0.16</v>
      </c>
      <c r="CH145" s="2009"/>
      <c r="CI145" s="2931">
        <v>-0.03</v>
      </c>
      <c r="CJ145" s="2930">
        <v>0.06</v>
      </c>
      <c r="CK145" s="2929">
        <v>0.04</v>
      </c>
      <c r="CL145" s="2930">
        <v>0.18</v>
      </c>
      <c r="CM145" s="2009"/>
      <c r="CN145" s="2929">
        <v>-0.03</v>
      </c>
      <c r="CO145" s="2930">
        <v>0.1</v>
      </c>
      <c r="CP145" s="2929">
        <v>7.0000000000000007E-2</v>
      </c>
      <c r="CQ145" s="2930">
        <v>0.22</v>
      </c>
      <c r="CR145" s="2009"/>
      <c r="CS145" s="3532">
        <v>-0.03</v>
      </c>
      <c r="CT145" s="2929">
        <v>0.09</v>
      </c>
      <c r="CU145" s="2929">
        <v>0.11</v>
      </c>
      <c r="CV145" s="2929">
        <v>0.25</v>
      </c>
      <c r="CW145" s="2009"/>
      <c r="CX145" s="2929">
        <v>0.01</v>
      </c>
      <c r="CY145" s="2929">
        <v>0.15</v>
      </c>
      <c r="CZ145" s="2929">
        <v>7.0000000000000007E-2</v>
      </c>
      <c r="DA145" s="2929">
        <v>0.19</v>
      </c>
      <c r="DB145" s="2009"/>
      <c r="DC145" s="2929">
        <v>0.08</v>
      </c>
      <c r="DD145" s="2929">
        <v>0.15</v>
      </c>
      <c r="DE145" s="2929">
        <v>0.1</v>
      </c>
      <c r="DF145" s="2929">
        <v>0.22</v>
      </c>
      <c r="DG145" s="2009"/>
      <c r="DH145" s="6205">
        <v>-0.09</v>
      </c>
      <c r="DI145" s="6205">
        <v>0.06</v>
      </c>
      <c r="DJ145" s="6205">
        <v>0.01</v>
      </c>
      <c r="DK145" s="5178"/>
      <c r="DL145" s="1716"/>
      <c r="DM145" s="5182"/>
      <c r="DN145" s="5182"/>
      <c r="DO145" s="5182"/>
      <c r="DP145" s="5182"/>
      <c r="DQ145" s="1716"/>
      <c r="DR145" s="510"/>
      <c r="DS145" s="510"/>
      <c r="DT145" s="510"/>
      <c r="DU145" s="510"/>
      <c r="DV145" s="1716"/>
      <c r="DW145" s="510"/>
      <c r="DX145" s="510"/>
      <c r="DY145" s="510"/>
      <c r="DZ145" s="510"/>
      <c r="EA145" s="1716"/>
      <c r="EB145" s="510"/>
      <c r="EC145" s="510"/>
      <c r="ED145" s="5177"/>
      <c r="EE145" s="510"/>
      <c r="EF145" s="1716"/>
      <c r="EG145" s="510"/>
      <c r="EH145" s="5177"/>
      <c r="EI145" s="510"/>
      <c r="EJ145" s="510"/>
      <c r="EK145" s="1716"/>
      <c r="EL145" s="510"/>
      <c r="EM145" s="510"/>
      <c r="EN145" s="510"/>
      <c r="EO145" s="510"/>
      <c r="EP145" s="1716"/>
      <c r="EQ145" s="510"/>
      <c r="ER145" s="510"/>
      <c r="ES145" s="510"/>
      <c r="ET145" s="510"/>
      <c r="EU145" s="1716"/>
      <c r="EV145" s="5183"/>
      <c r="EW145" s="5183"/>
      <c r="EX145" s="5183"/>
      <c r="EY145" s="5183"/>
      <c r="EZ145" s="209"/>
      <c r="FA145" s="4268"/>
      <c r="FB145" s="4268"/>
    </row>
    <row r="146" spans="1:158" s="234" customFormat="1" ht="11.25" customHeight="1" collapsed="1">
      <c r="A146" s="6174"/>
      <c r="B146" s="209"/>
      <c r="C146" s="209"/>
      <c r="D146" s="209"/>
      <c r="E146" s="209"/>
      <c r="F146" s="4303"/>
      <c r="G146" s="209"/>
      <c r="H146" s="209"/>
      <c r="I146" s="209"/>
      <c r="J146" s="209"/>
      <c r="K146" s="1019"/>
      <c r="L146" s="209"/>
      <c r="M146" s="209"/>
      <c r="N146" s="209"/>
      <c r="O146" s="209"/>
      <c r="P146" s="1019"/>
      <c r="Q146" s="2242"/>
      <c r="R146" s="209"/>
      <c r="S146" s="209"/>
      <c r="T146" s="209"/>
      <c r="U146" s="1019"/>
      <c r="V146" s="2242"/>
      <c r="W146" s="209"/>
      <c r="X146" s="209"/>
      <c r="Y146" s="209"/>
      <c r="Z146" s="1019"/>
      <c r="AA146" s="2242"/>
      <c r="AB146" s="209"/>
      <c r="AC146" s="209"/>
      <c r="AD146" s="209"/>
      <c r="AE146" s="1019"/>
      <c r="AF146" s="2242"/>
      <c r="AG146" s="209"/>
      <c r="AH146" s="209"/>
      <c r="AI146" s="209"/>
      <c r="AJ146" s="1019"/>
      <c r="AK146" s="2242"/>
      <c r="AL146" s="209"/>
      <c r="AM146" s="209"/>
      <c r="AN146" s="169"/>
      <c r="AO146" s="1019"/>
      <c r="AP146" s="2242"/>
      <c r="AQ146" s="209"/>
      <c r="AR146" s="209"/>
      <c r="AS146" s="209"/>
      <c r="AT146" s="1019"/>
      <c r="AU146" s="2242"/>
      <c r="AV146" s="209"/>
      <c r="AW146" s="209"/>
      <c r="AX146" s="209"/>
      <c r="AY146" s="1019"/>
      <c r="AZ146" s="2242"/>
      <c r="BA146" s="209"/>
      <c r="BB146" s="209"/>
      <c r="BC146" s="209"/>
      <c r="BD146" s="1019"/>
      <c r="BE146" s="2243"/>
      <c r="BF146" s="241"/>
      <c r="BG146" s="241"/>
      <c r="BH146" s="241"/>
      <c r="BI146" s="1019"/>
      <c r="BJ146" s="223"/>
      <c r="BK146" s="223"/>
      <c r="BL146" s="223"/>
      <c r="BM146" s="223"/>
      <c r="BN146" s="1019"/>
      <c r="BO146" s="209"/>
      <c r="BP146" s="209"/>
      <c r="BQ146" s="209"/>
      <c r="BR146" s="209"/>
      <c r="BS146" s="2244"/>
      <c r="BT146" s="209"/>
      <c r="BU146" s="223"/>
      <c r="BV146" s="209"/>
      <c r="BW146" s="223"/>
      <c r="BX146" s="1019"/>
      <c r="BY146" s="209"/>
      <c r="BZ146" s="209"/>
      <c r="CA146" s="209"/>
      <c r="CB146" s="209"/>
      <c r="CC146" s="2244"/>
      <c r="CD146" s="2008"/>
      <c r="CE146" s="2007"/>
      <c r="CF146" s="2008"/>
      <c r="CG146" s="2007"/>
      <c r="CH146" s="2009"/>
      <c r="CI146" s="2931"/>
      <c r="CJ146" s="2930"/>
      <c r="CK146" s="2008"/>
      <c r="CL146" s="2007"/>
      <c r="CM146" s="2009"/>
      <c r="CN146" s="2929"/>
      <c r="CO146" s="2930"/>
      <c r="CP146" s="2008"/>
      <c r="CQ146" s="2007"/>
      <c r="CR146" s="2009"/>
      <c r="CS146" s="2008"/>
      <c r="CT146" s="2008"/>
      <c r="CU146" s="2008"/>
      <c r="CV146" s="2929"/>
      <c r="CW146" s="2009"/>
      <c r="CX146" s="2008"/>
      <c r="CY146" s="2008"/>
      <c r="CZ146" s="2008"/>
      <c r="DA146" s="2008"/>
      <c r="DB146" s="2009"/>
      <c r="DC146" s="2008"/>
      <c r="DD146" s="2008"/>
      <c r="DE146" s="2008"/>
      <c r="DF146" s="2008"/>
      <c r="DG146" s="2009"/>
      <c r="DH146" s="5182"/>
      <c r="DI146" s="5182"/>
      <c r="DJ146" s="5182"/>
      <c r="DK146" s="5178"/>
      <c r="DL146" s="1716"/>
      <c r="DM146" s="5182"/>
      <c r="DN146" s="5182"/>
      <c r="DO146" s="5182"/>
      <c r="DP146" s="5182"/>
      <c r="DQ146" s="1716"/>
      <c r="DR146" s="510"/>
      <c r="DS146" s="510"/>
      <c r="DT146" s="510"/>
      <c r="DU146" s="510"/>
      <c r="DV146" s="1716"/>
      <c r="DW146" s="510"/>
      <c r="DX146" s="510"/>
      <c r="DY146" s="510"/>
      <c r="DZ146" s="510"/>
      <c r="EA146" s="1716"/>
      <c r="EB146" s="510"/>
      <c r="EC146" s="510"/>
      <c r="ED146" s="5177"/>
      <c r="EE146" s="510"/>
      <c r="EF146" s="1716"/>
      <c r="EG146" s="510"/>
      <c r="EH146" s="5177"/>
      <c r="EI146" s="510"/>
      <c r="EJ146" s="510"/>
      <c r="EK146" s="1716"/>
      <c r="EL146" s="510"/>
      <c r="EM146" s="510"/>
      <c r="EN146" s="510"/>
      <c r="EO146" s="510"/>
      <c r="EP146" s="1716"/>
      <c r="EQ146" s="510"/>
      <c r="ER146" s="510"/>
      <c r="ES146" s="510"/>
      <c r="ET146" s="510"/>
      <c r="EU146" s="1716"/>
      <c r="EV146" s="5183"/>
      <c r="EW146" s="5183"/>
      <c r="EX146" s="5183"/>
      <c r="EY146" s="5183"/>
      <c r="EZ146" s="209"/>
      <c r="FA146" s="4268"/>
      <c r="FB146" s="4268"/>
    </row>
    <row r="147" spans="1:158" s="239" customFormat="1" ht="11.25" customHeight="1">
      <c r="A147" s="6173" t="s">
        <v>1149</v>
      </c>
      <c r="B147" s="209"/>
      <c r="C147" s="209"/>
      <c r="D147" s="209"/>
      <c r="E147" s="209"/>
      <c r="F147" s="4303"/>
      <c r="G147" s="209"/>
      <c r="H147" s="209"/>
      <c r="I147" s="209"/>
      <c r="J147" s="209"/>
      <c r="K147" s="1019"/>
      <c r="L147" s="209"/>
      <c r="M147" s="209"/>
      <c r="N147" s="209"/>
      <c r="O147" s="209"/>
      <c r="P147" s="1020"/>
      <c r="Q147" s="2242"/>
      <c r="R147" s="209"/>
      <c r="S147" s="209"/>
      <c r="T147" s="209"/>
      <c r="U147" s="1020"/>
      <c r="V147" s="2242"/>
      <c r="W147" s="209"/>
      <c r="X147" s="209"/>
      <c r="Y147" s="209"/>
      <c r="Z147" s="1020"/>
      <c r="AA147" s="2242"/>
      <c r="AB147" s="209"/>
      <c r="AC147" s="209"/>
      <c r="AD147" s="209"/>
      <c r="AE147" s="1020"/>
      <c r="AF147" s="2242"/>
      <c r="AG147" s="209"/>
      <c r="AH147" s="209"/>
      <c r="AI147" s="209"/>
      <c r="AJ147" s="1020"/>
      <c r="AK147" s="2242"/>
      <c r="AL147" s="209"/>
      <c r="AM147" s="209"/>
      <c r="AN147" s="209"/>
      <c r="AO147" s="1020"/>
      <c r="AP147" s="2242"/>
      <c r="AQ147" s="209"/>
      <c r="AR147" s="209"/>
      <c r="AS147" s="209"/>
      <c r="AT147" s="1020"/>
      <c r="AU147" s="2242"/>
      <c r="AV147" s="209"/>
      <c r="AW147" s="209"/>
      <c r="AX147" s="209"/>
      <c r="AY147" s="1020"/>
      <c r="AZ147" s="1226"/>
      <c r="BA147" s="209"/>
      <c r="BB147" s="209"/>
      <c r="BC147" s="209"/>
      <c r="BD147" s="1020"/>
      <c r="BE147" s="2243"/>
      <c r="BF147" s="241"/>
      <c r="BG147" s="241"/>
      <c r="BH147" s="241"/>
      <c r="BI147" s="1020"/>
      <c r="BJ147" s="2243"/>
      <c r="BK147" s="209"/>
      <c r="BL147" s="209"/>
      <c r="BM147" s="209"/>
      <c r="BN147" s="1020"/>
      <c r="BO147" s="223"/>
      <c r="BP147" s="223"/>
      <c r="BQ147" s="223"/>
      <c r="BR147" s="223"/>
      <c r="BS147" s="1050"/>
      <c r="BT147" s="209"/>
      <c r="BU147" s="209"/>
      <c r="BV147" s="209"/>
      <c r="BW147" s="209"/>
      <c r="BX147" s="1020"/>
      <c r="BY147" s="223"/>
      <c r="BZ147" s="223"/>
      <c r="CA147" s="223"/>
      <c r="CB147" s="223"/>
      <c r="CC147" s="1050"/>
      <c r="CD147" s="2932"/>
      <c r="CE147" s="2932"/>
      <c r="CF147" s="2932"/>
      <c r="CG147" s="2932"/>
      <c r="CH147" s="2933"/>
      <c r="CI147" s="2934"/>
      <c r="CJ147" s="2932"/>
      <c r="CK147" s="2932"/>
      <c r="CL147" s="2932"/>
      <c r="CM147" s="2933"/>
      <c r="CN147" s="2935"/>
      <c r="CO147" s="2932"/>
      <c r="CP147" s="2932"/>
      <c r="CQ147" s="2932"/>
      <c r="CR147" s="2933"/>
      <c r="CS147" s="2007"/>
      <c r="CT147" s="2007"/>
      <c r="CU147" s="2007"/>
      <c r="CV147" s="2930"/>
      <c r="CW147" s="2933"/>
      <c r="CX147" s="2007"/>
      <c r="CY147" s="2007"/>
      <c r="CZ147" s="2007"/>
      <c r="DA147" s="2007"/>
      <c r="DB147" s="2933"/>
      <c r="DC147" s="2007"/>
      <c r="DD147" s="2007"/>
      <c r="DE147" s="2007"/>
      <c r="DF147" s="2007"/>
      <c r="DG147" s="2933"/>
      <c r="DH147" s="5185"/>
      <c r="DI147" s="5185"/>
      <c r="DJ147" s="5185"/>
      <c r="DK147" s="6200"/>
      <c r="DL147" s="1460"/>
      <c r="DM147" s="5185"/>
      <c r="DN147" s="5185"/>
      <c r="DO147" s="5185"/>
      <c r="DP147" s="5185"/>
      <c r="DQ147" s="1460"/>
      <c r="DR147" s="5184"/>
      <c r="DS147" s="5184"/>
      <c r="DT147" s="5184"/>
      <c r="DU147" s="5184"/>
      <c r="DV147" s="1460"/>
      <c r="DW147" s="5184"/>
      <c r="DX147" s="5184"/>
      <c r="DY147" s="5184"/>
      <c r="DZ147" s="5184"/>
      <c r="EA147" s="1460"/>
      <c r="EB147" s="5184"/>
      <c r="EC147" s="5184"/>
      <c r="ED147" s="5187"/>
      <c r="EE147" s="5184"/>
      <c r="EF147" s="1460"/>
      <c r="EG147" s="5184"/>
      <c r="EH147" s="5187"/>
      <c r="EI147" s="5184"/>
      <c r="EJ147" s="5184"/>
      <c r="EK147" s="1460"/>
      <c r="EL147" s="5184"/>
      <c r="EM147" s="5184"/>
      <c r="EN147" s="5184"/>
      <c r="EO147" s="5184"/>
      <c r="EP147" s="1460"/>
      <c r="EQ147" s="5184"/>
      <c r="ER147" s="5184"/>
      <c r="ES147" s="5184"/>
      <c r="ET147" s="5184"/>
      <c r="EU147" s="1460"/>
      <c r="EV147" s="5186"/>
      <c r="EW147" s="5186"/>
      <c r="EX147" s="5186"/>
      <c r="EY147" s="5186"/>
      <c r="EZ147" s="223"/>
      <c r="FA147" s="4268"/>
      <c r="FB147" s="4268"/>
    </row>
    <row r="148" spans="1:158" s="239" customFormat="1" ht="11.25" customHeight="1">
      <c r="A148" s="6174" t="s">
        <v>45</v>
      </c>
      <c r="B148" s="223"/>
      <c r="C148" s="223"/>
      <c r="D148" s="223"/>
      <c r="E148" s="223"/>
      <c r="F148" s="4304"/>
      <c r="G148" s="223"/>
      <c r="H148" s="223"/>
      <c r="I148" s="223"/>
      <c r="J148" s="223"/>
      <c r="K148" s="1020"/>
      <c r="L148" s="223"/>
      <c r="M148" s="223"/>
      <c r="N148" s="223"/>
      <c r="O148" s="223"/>
      <c r="P148" s="1043"/>
      <c r="Q148" s="1488"/>
      <c r="R148" s="223"/>
      <c r="S148" s="223"/>
      <c r="T148" s="223"/>
      <c r="U148" s="1043"/>
      <c r="V148" s="1488"/>
      <c r="W148" s="223"/>
      <c r="X148" s="223"/>
      <c r="Y148" s="223"/>
      <c r="Z148" s="1043"/>
      <c r="AA148" s="1488"/>
      <c r="AB148" s="223"/>
      <c r="AC148" s="223"/>
      <c r="AD148" s="223"/>
      <c r="AE148" s="1043"/>
      <c r="AF148" s="1488"/>
      <c r="AG148" s="223"/>
      <c r="AH148" s="223"/>
      <c r="AI148" s="223"/>
      <c r="AJ148" s="1043"/>
      <c r="AK148" s="1488"/>
      <c r="AL148" s="223"/>
      <c r="AM148" s="223"/>
      <c r="AN148" s="169"/>
      <c r="AO148" s="1043"/>
      <c r="AP148" s="1226"/>
      <c r="AQ148" s="169"/>
      <c r="AR148" s="169"/>
      <c r="AS148" s="169"/>
      <c r="AT148" s="1043"/>
      <c r="AU148" s="1226"/>
      <c r="AV148" s="169"/>
      <c r="AW148" s="169"/>
      <c r="AX148" s="169"/>
      <c r="AY148" s="1043"/>
      <c r="AZ148" s="2472"/>
      <c r="BA148" s="236"/>
      <c r="BB148" s="236"/>
      <c r="BC148" s="243"/>
      <c r="BD148" s="1043"/>
      <c r="BE148" s="2473"/>
      <c r="BF148" s="244"/>
      <c r="BG148" s="244"/>
      <c r="BH148" s="245"/>
      <c r="BI148" s="1043"/>
      <c r="BJ148" s="2473"/>
      <c r="BK148" s="244"/>
      <c r="BL148" s="244"/>
      <c r="BM148" s="244"/>
      <c r="BN148" s="1043"/>
      <c r="BO148" s="534"/>
      <c r="BP148" s="534"/>
      <c r="BQ148" s="534"/>
      <c r="BR148" s="534"/>
      <c r="BS148" s="2471"/>
      <c r="BT148" s="244"/>
      <c r="BU148" s="244"/>
      <c r="BV148" s="244"/>
      <c r="BW148" s="244"/>
      <c r="BX148" s="1043"/>
      <c r="BY148" s="534"/>
      <c r="BZ148" s="534"/>
      <c r="CA148" s="534"/>
      <c r="CB148" s="534"/>
      <c r="CC148" s="2471"/>
      <c r="CD148" s="2936">
        <v>-0.02</v>
      </c>
      <c r="CE148" s="2935">
        <v>-0.08</v>
      </c>
      <c r="CF148" s="2935">
        <v>-0.13</v>
      </c>
      <c r="CG148" s="2935">
        <v>-0.15</v>
      </c>
      <c r="CH148" s="2009">
        <f>((1+CH364)/(1+CH143))-1</f>
        <v>-0.24953095684803006</v>
      </c>
      <c r="CI148" s="2934">
        <v>-0.11</v>
      </c>
      <c r="CJ148" s="2935">
        <v>-7.0000000000000007E-2</v>
      </c>
      <c r="CK148" s="2935">
        <v>-0.04</v>
      </c>
      <c r="CL148" s="2935">
        <v>-0.08</v>
      </c>
      <c r="CM148" s="2009">
        <f>AVERAGE(CI148:CL148)</f>
        <v>-7.4999999999999997E-2</v>
      </c>
      <c r="CN148" s="2935">
        <v>-0.13</v>
      </c>
      <c r="CO148" s="2935">
        <v>-0.16</v>
      </c>
      <c r="CP148" s="2935">
        <v>-0.16</v>
      </c>
      <c r="CQ148" s="2935">
        <v>-0.16</v>
      </c>
      <c r="CR148" s="2009">
        <f>AVERAGE(CN148:CQ148)</f>
        <v>-0.15250000000000002</v>
      </c>
      <c r="CS148" s="3532">
        <v>-0.11</v>
      </c>
      <c r="CT148" s="2929">
        <v>-0.08</v>
      </c>
      <c r="CU148" s="2929">
        <v>-0.12</v>
      </c>
      <c r="CV148" s="2929">
        <v>-0.18</v>
      </c>
      <c r="CW148" s="2009">
        <f>AVERAGE(CS148:CV148)</f>
        <v>-0.1225</v>
      </c>
      <c r="CX148" s="2929">
        <v>-0.21</v>
      </c>
      <c r="CY148" s="2929">
        <v>-0.26</v>
      </c>
      <c r="CZ148" s="2929">
        <v>-0.21</v>
      </c>
      <c r="DA148" s="2929">
        <v>-0.16</v>
      </c>
      <c r="DB148" s="2009">
        <f>AVERAGE(CX148:DA148)</f>
        <v>-0.21</v>
      </c>
      <c r="DC148" s="2929">
        <v>-0.19</v>
      </c>
      <c r="DD148" s="2929">
        <v>-0.22</v>
      </c>
      <c r="DE148" s="2929">
        <v>-0.28000000000000003</v>
      </c>
      <c r="DF148" s="2929">
        <v>-0.28999999999999998</v>
      </c>
      <c r="DG148" s="6204">
        <v>-0.25</v>
      </c>
      <c r="DH148" s="6205">
        <v>-0.19</v>
      </c>
      <c r="DI148" s="6205">
        <v>-0.11</v>
      </c>
      <c r="DJ148" s="6205">
        <v>-0.02</v>
      </c>
      <c r="DK148" s="5178"/>
      <c r="DL148" s="5179">
        <v>-0.06</v>
      </c>
      <c r="DM148" s="6205">
        <v>-0.04</v>
      </c>
      <c r="DN148" s="6205">
        <v>-0.15</v>
      </c>
      <c r="DO148" s="6205">
        <v>-0.15</v>
      </c>
      <c r="DP148" s="5178"/>
      <c r="DQ148" s="5179">
        <v>-0.1</v>
      </c>
      <c r="DR148" s="5177">
        <v>0.03</v>
      </c>
      <c r="DS148" s="5177">
        <v>0.31</v>
      </c>
      <c r="DT148" s="5177">
        <v>0.18</v>
      </c>
      <c r="DU148" s="5180">
        <f>(1+DU154)/(1+DU143)-1</f>
        <v>0.13181325485336504</v>
      </c>
      <c r="DV148" s="5179">
        <v>0.15</v>
      </c>
      <c r="DW148" s="5177">
        <v>0.08</v>
      </c>
      <c r="DX148" s="5177">
        <v>0</v>
      </c>
      <c r="DY148" s="5177">
        <v>-0.05</v>
      </c>
      <c r="DZ148" s="5180">
        <f>(1+DZ154)/(1+DZ143)-1</f>
        <v>-5.7261657250511466E-2</v>
      </c>
      <c r="EA148" s="5179">
        <v>-0.01</v>
      </c>
      <c r="EB148" s="5177">
        <v>-7.0000000000000007E-2</v>
      </c>
      <c r="EC148" s="5177">
        <v>-0.03</v>
      </c>
      <c r="ED148" s="5177">
        <v>0.04</v>
      </c>
      <c r="EE148" s="5180">
        <f>(1+EE154)/(1+EE143)-1</f>
        <v>7.0679853633289325E-2</v>
      </c>
      <c r="EF148" s="5179">
        <v>0.01</v>
      </c>
      <c r="EG148" s="5177">
        <v>0.08</v>
      </c>
      <c r="EH148" s="5177">
        <v>7.0000000000000007E-2</v>
      </c>
      <c r="EI148" s="5177">
        <v>0.08</v>
      </c>
      <c r="EJ148" s="5180">
        <f>(1+EJ154)/(1+EJ143)-1</f>
        <v>7.1491212605791166E-2</v>
      </c>
      <c r="EK148" s="5179">
        <v>7.0000000000000007E-2</v>
      </c>
      <c r="EL148" s="5177">
        <v>7.0000000000000007E-2</v>
      </c>
      <c r="EM148" s="5177">
        <v>0.08</v>
      </c>
      <c r="EN148" s="5177">
        <v>7.0000000000000007E-2</v>
      </c>
      <c r="EO148" s="510"/>
      <c r="EP148" s="1716"/>
      <c r="EQ148" s="510"/>
      <c r="ER148" s="510"/>
      <c r="ES148" s="510"/>
      <c r="ET148" s="510"/>
      <c r="EU148" s="1716"/>
      <c r="EV148" s="1716"/>
      <c r="EW148" s="1716"/>
      <c r="EX148" s="1716"/>
      <c r="EY148" s="1716"/>
      <c r="EZ148" s="223"/>
      <c r="FA148" s="4268"/>
      <c r="FB148" s="4268"/>
    </row>
    <row r="149" spans="1:158" s="239" customFormat="1" ht="11.25" hidden="1" customHeight="1" outlineLevel="1">
      <c r="A149" s="6174" t="s">
        <v>654</v>
      </c>
      <c r="B149" s="223"/>
      <c r="C149" s="223"/>
      <c r="D149" s="223"/>
      <c r="E149" s="223"/>
      <c r="F149" s="4304"/>
      <c r="G149" s="223"/>
      <c r="H149" s="223"/>
      <c r="I149" s="223"/>
      <c r="J149" s="223"/>
      <c r="K149" s="1020"/>
      <c r="L149" s="223"/>
      <c r="M149" s="223"/>
      <c r="N149" s="223"/>
      <c r="O149" s="223"/>
      <c r="P149" s="1043"/>
      <c r="Q149" s="1488"/>
      <c r="R149" s="223"/>
      <c r="S149" s="223"/>
      <c r="T149" s="223"/>
      <c r="U149" s="1043"/>
      <c r="V149" s="1488"/>
      <c r="W149" s="223"/>
      <c r="X149" s="223"/>
      <c r="Y149" s="223"/>
      <c r="Z149" s="1043"/>
      <c r="AA149" s="1488"/>
      <c r="AB149" s="223"/>
      <c r="AC149" s="223"/>
      <c r="AD149" s="223"/>
      <c r="AE149" s="1043"/>
      <c r="AF149" s="1488"/>
      <c r="AG149" s="223"/>
      <c r="AH149" s="223"/>
      <c r="AI149" s="223"/>
      <c r="AJ149" s="1043"/>
      <c r="AK149" s="1488"/>
      <c r="AL149" s="223"/>
      <c r="AM149" s="223"/>
      <c r="AN149" s="169"/>
      <c r="AO149" s="1043"/>
      <c r="AP149" s="1226"/>
      <c r="AQ149" s="169"/>
      <c r="AR149" s="169"/>
      <c r="AS149" s="169"/>
      <c r="AT149" s="1043"/>
      <c r="AU149" s="1226"/>
      <c r="AV149" s="169"/>
      <c r="AW149" s="169"/>
      <c r="AX149" s="169"/>
      <c r="AY149" s="1043"/>
      <c r="AZ149" s="2472"/>
      <c r="BA149" s="236"/>
      <c r="BB149" s="236"/>
      <c r="BC149" s="236"/>
      <c r="BD149" s="1043"/>
      <c r="BE149" s="2473"/>
      <c r="BF149" s="244"/>
      <c r="BG149" s="244"/>
      <c r="BH149" s="244"/>
      <c r="BI149" s="1043"/>
      <c r="BJ149" s="2473"/>
      <c r="BK149" s="244"/>
      <c r="BL149" s="244"/>
      <c r="BM149" s="244"/>
      <c r="BN149" s="1043"/>
      <c r="BO149" s="534"/>
      <c r="BP149" s="534"/>
      <c r="BQ149" s="534"/>
      <c r="BR149" s="534"/>
      <c r="BS149" s="2471"/>
      <c r="BT149" s="244"/>
      <c r="BU149" s="244"/>
      <c r="BV149" s="244"/>
      <c r="BW149" s="244"/>
      <c r="BX149" s="2471"/>
      <c r="BY149" s="534"/>
      <c r="BZ149" s="534"/>
      <c r="CA149" s="534"/>
      <c r="CB149" s="534"/>
      <c r="CC149" s="2471"/>
      <c r="CD149" s="2937">
        <f t="shared" ref="CD149:DJ149" si="656">(1+CD463)/(1+CD143)-1</f>
        <v>-1.1882778696396867E-2</v>
      </c>
      <c r="CE149" s="2660">
        <f t="shared" si="656"/>
        <v>-8.1731167827828077E-2</v>
      </c>
      <c r="CF149" s="2660">
        <f t="shared" si="656"/>
        <v>-0.12859291108912185</v>
      </c>
      <c r="CG149" s="2660">
        <f t="shared" si="656"/>
        <v>-0.15056741615322256</v>
      </c>
      <c r="CH149" s="2938">
        <f t="shared" si="656"/>
        <v>-9.6215760530679817E-2</v>
      </c>
      <c r="CI149" s="2939">
        <f t="shared" si="656"/>
        <v>-0.11555487969721556</v>
      </c>
      <c r="CJ149" s="2660">
        <f t="shared" si="656"/>
        <v>-7.2868232828349644E-2</v>
      </c>
      <c r="CK149" s="2660">
        <f t="shared" si="656"/>
        <v>-3.2189254651546872E-2</v>
      </c>
      <c r="CL149" s="2660">
        <f t="shared" si="656"/>
        <v>-5.6443347883848971E-2</v>
      </c>
      <c r="CM149" s="2938">
        <f t="shared" si="656"/>
        <v>-7.1466209124098068E-2</v>
      </c>
      <c r="CN149" s="2660">
        <f t="shared" si="656"/>
        <v>-8.8203266787658885E-2</v>
      </c>
      <c r="CO149" s="2660">
        <f t="shared" si="656"/>
        <v>-0.12757201646090532</v>
      </c>
      <c r="CP149" s="2660">
        <f t="shared" si="656"/>
        <v>-0.13845768982633555</v>
      </c>
      <c r="CQ149" s="2660">
        <f t="shared" si="656"/>
        <v>-0.14163879406457247</v>
      </c>
      <c r="CR149" s="2938">
        <f t="shared" si="656"/>
        <v>-0.12355069355368575</v>
      </c>
      <c r="CS149" s="2008">
        <f t="shared" si="656"/>
        <v>-0.12985176871838955</v>
      </c>
      <c r="CT149" s="2008">
        <f t="shared" si="656"/>
        <v>-8.6959408824003548E-2</v>
      </c>
      <c r="CU149" s="2008">
        <f t="shared" si="656"/>
        <v>-0.1280936579909574</v>
      </c>
      <c r="CV149" s="2008">
        <f t="shared" si="656"/>
        <v>-0.18163301742764593</v>
      </c>
      <c r="CW149" s="2938">
        <f t="shared" si="656"/>
        <v>-0.13290340331845751</v>
      </c>
      <c r="CX149" s="2008">
        <f t="shared" si="656"/>
        <v>-0.20613415662188939</v>
      </c>
      <c r="CY149" s="2008">
        <f t="shared" si="656"/>
        <v>-0.25687666370896178</v>
      </c>
      <c r="CZ149" s="2008">
        <f t="shared" si="656"/>
        <v>-0.2091170284646493</v>
      </c>
      <c r="DA149" s="2008">
        <f t="shared" si="656"/>
        <v>-0.16379118432769368</v>
      </c>
      <c r="DB149" s="2938">
        <f t="shared" si="656"/>
        <v>-0.20937804000955906</v>
      </c>
      <c r="DC149" s="2008">
        <f t="shared" si="656"/>
        <v>-0.20500947389610047</v>
      </c>
      <c r="DD149" s="2008">
        <f t="shared" si="656"/>
        <v>-0.20093433866341492</v>
      </c>
      <c r="DE149" s="2008">
        <f t="shared" si="656"/>
        <v>-0.24716583946924164</v>
      </c>
      <c r="DF149" s="2008">
        <f t="shared" si="656"/>
        <v>-0.2594476510166448</v>
      </c>
      <c r="DG149" s="2938">
        <f t="shared" si="656"/>
        <v>-0.23303477027138997</v>
      </c>
      <c r="DH149" s="5182">
        <f t="shared" si="656"/>
        <v>-0.1403088289415424</v>
      </c>
      <c r="DI149" s="5182">
        <f t="shared" si="656"/>
        <v>-5.8924894047879595E-2</v>
      </c>
      <c r="DJ149" s="5182">
        <f t="shared" si="656"/>
        <v>1.6111684148285565E-2</v>
      </c>
      <c r="DK149" s="5178"/>
      <c r="DL149" s="5183"/>
      <c r="DM149" s="5182"/>
      <c r="DN149" s="5182"/>
      <c r="DO149" s="5182"/>
      <c r="DP149" s="5182"/>
      <c r="DQ149" s="5183"/>
      <c r="DR149" s="510"/>
      <c r="DS149" s="510"/>
      <c r="DT149" s="510"/>
      <c r="DU149" s="510"/>
      <c r="DV149" s="5183"/>
      <c r="DW149" s="510"/>
      <c r="DX149" s="510"/>
      <c r="DY149" s="510"/>
      <c r="DZ149" s="510"/>
      <c r="EA149" s="5183"/>
      <c r="EB149" s="510"/>
      <c r="EC149" s="510"/>
      <c r="ED149" s="5177"/>
      <c r="EE149" s="510"/>
      <c r="EF149" s="5183"/>
      <c r="EG149" s="510"/>
      <c r="EH149" s="5177"/>
      <c r="EI149" s="510"/>
      <c r="EJ149" s="510"/>
      <c r="EK149" s="5183"/>
      <c r="EL149" s="510"/>
      <c r="EM149" s="510"/>
      <c r="EN149" s="510"/>
      <c r="EO149" s="510"/>
      <c r="EP149" s="5183"/>
      <c r="EQ149" s="510"/>
      <c r="ER149" s="510"/>
      <c r="ES149" s="510"/>
      <c r="ET149" s="510"/>
      <c r="EU149" s="5183"/>
      <c r="EV149" s="5183"/>
      <c r="EW149" s="5183"/>
      <c r="EX149" s="5183"/>
      <c r="EY149" s="5183"/>
      <c r="EZ149" s="223"/>
      <c r="FA149" s="4268"/>
      <c r="FB149" s="4268"/>
    </row>
    <row r="150" spans="1:158" s="234" customFormat="1" ht="11.25" customHeight="1" collapsed="1">
      <c r="A150" s="6174" t="s">
        <v>1176</v>
      </c>
      <c r="B150" s="209"/>
      <c r="C150" s="209"/>
      <c r="D150" s="209"/>
      <c r="E150" s="209"/>
      <c r="F150" s="4303"/>
      <c r="G150" s="209"/>
      <c r="H150" s="209"/>
      <c r="I150" s="209"/>
      <c r="J150" s="209"/>
      <c r="K150" s="4303"/>
      <c r="L150" s="209"/>
      <c r="M150" s="209"/>
      <c r="N150" s="209"/>
      <c r="O150" s="209"/>
      <c r="P150" s="6207"/>
      <c r="Q150" s="2576"/>
      <c r="R150" s="209"/>
      <c r="S150" s="209"/>
      <c r="T150" s="209"/>
      <c r="U150" s="6207"/>
      <c r="V150" s="2576"/>
      <c r="W150" s="209"/>
      <c r="X150" s="209"/>
      <c r="Y150" s="209"/>
      <c r="Z150" s="6207"/>
      <c r="AA150" s="2576"/>
      <c r="AB150" s="209"/>
      <c r="AC150" s="209"/>
      <c r="AD150" s="209"/>
      <c r="AE150" s="6207"/>
      <c r="AF150" s="2576"/>
      <c r="AG150" s="209"/>
      <c r="AH150" s="209"/>
      <c r="AI150" s="209"/>
      <c r="AJ150" s="6207"/>
      <c r="AK150" s="2576"/>
      <c r="AL150" s="209"/>
      <c r="AM150" s="209"/>
      <c r="AN150" s="2612"/>
      <c r="AO150" s="6207"/>
      <c r="AP150" s="2576"/>
      <c r="AQ150" s="209"/>
      <c r="AR150" s="209"/>
      <c r="AS150" s="209"/>
      <c r="AT150" s="6207"/>
      <c r="AU150" s="2576"/>
      <c r="AV150" s="209"/>
      <c r="AW150" s="209"/>
      <c r="AX150" s="209"/>
      <c r="AY150" s="6207"/>
      <c r="AZ150" s="2576"/>
      <c r="BA150" s="209"/>
      <c r="BB150" s="209"/>
      <c r="BC150" s="209"/>
      <c r="BD150" s="6207"/>
      <c r="BE150" s="2572"/>
      <c r="BF150" s="241"/>
      <c r="BG150" s="241"/>
      <c r="BH150" s="241"/>
      <c r="BI150" s="6207"/>
      <c r="BJ150" s="223"/>
      <c r="BK150" s="223"/>
      <c r="BL150" s="223"/>
      <c r="BM150" s="223"/>
      <c r="BN150" s="6207"/>
      <c r="BO150" s="534"/>
      <c r="BP150" s="534"/>
      <c r="BQ150" s="534"/>
      <c r="BR150" s="534"/>
      <c r="BS150" s="2471"/>
      <c r="BT150" s="209"/>
      <c r="BU150" s="223"/>
      <c r="BV150" s="209"/>
      <c r="BW150" s="223"/>
      <c r="BX150" s="2471"/>
      <c r="BY150" s="534"/>
      <c r="BZ150" s="534"/>
      <c r="CA150" s="534"/>
      <c r="CB150" s="534"/>
      <c r="CC150" s="2471"/>
      <c r="CD150" s="2929"/>
      <c r="CE150" s="2930"/>
      <c r="CF150" s="2929"/>
      <c r="CG150" s="2930"/>
      <c r="CH150" s="2938"/>
      <c r="CI150" s="2931"/>
      <c r="CJ150" s="2930"/>
      <c r="CK150" s="2929"/>
      <c r="CL150" s="2930"/>
      <c r="CM150" s="2938"/>
      <c r="CN150" s="2929"/>
      <c r="CO150" s="2930"/>
      <c r="CP150" s="2929"/>
      <c r="CQ150" s="2930"/>
      <c r="CR150" s="2938"/>
      <c r="CS150" s="3532"/>
      <c r="CT150" s="2929"/>
      <c r="CU150" s="2929"/>
      <c r="CV150" s="2929"/>
      <c r="CW150" s="2938"/>
      <c r="CX150" s="2929"/>
      <c r="CY150" s="2929"/>
      <c r="CZ150" s="2929"/>
      <c r="DA150" s="2929"/>
      <c r="DB150" s="2938"/>
      <c r="DC150" s="2929"/>
      <c r="DD150" s="2929"/>
      <c r="DE150" s="2929"/>
      <c r="DF150" s="2929"/>
      <c r="DG150" s="6208"/>
      <c r="DH150" s="6205"/>
      <c r="DI150" s="6205"/>
      <c r="DJ150" s="6205"/>
      <c r="DK150" s="5178"/>
      <c r="DL150" s="6209"/>
      <c r="DM150" s="6205"/>
      <c r="DN150" s="6205"/>
      <c r="DO150" s="6205"/>
      <c r="DP150" s="5178"/>
      <c r="DQ150" s="6209"/>
      <c r="DR150" s="510">
        <f>DR148</f>
        <v>0.03</v>
      </c>
      <c r="DS150" s="5177">
        <v>0.16</v>
      </c>
      <c r="DT150" s="5177">
        <v>0.17</v>
      </c>
      <c r="DU150" s="5180"/>
      <c r="DV150" s="6209"/>
      <c r="DW150" s="510">
        <f>DW148</f>
        <v>0.08</v>
      </c>
      <c r="DX150" s="5177">
        <v>0.04</v>
      </c>
      <c r="DY150" s="5177">
        <v>0.01</v>
      </c>
      <c r="DZ150" s="5180"/>
      <c r="EA150" s="6209"/>
      <c r="EB150" s="510">
        <f>EB148</f>
        <v>-7.0000000000000007E-2</v>
      </c>
      <c r="EC150" s="5177">
        <v>-0.05</v>
      </c>
      <c r="ED150" s="5177">
        <v>-0.02</v>
      </c>
      <c r="EE150" s="5180"/>
      <c r="EF150" s="6209"/>
      <c r="EG150" s="510">
        <f>EG148</f>
        <v>0.08</v>
      </c>
      <c r="EH150" s="5177">
        <v>0.08</v>
      </c>
      <c r="EI150" s="5177">
        <v>0.08</v>
      </c>
      <c r="EJ150" s="5180"/>
      <c r="EK150" s="6209"/>
      <c r="EL150" s="510">
        <f>EL148</f>
        <v>7.0000000000000007E-2</v>
      </c>
      <c r="EM150" s="5177">
        <v>0.08</v>
      </c>
      <c r="EN150" s="5177">
        <v>7.0000000000000007E-2</v>
      </c>
      <c r="EO150" s="5180"/>
      <c r="EP150" s="5183"/>
      <c r="EQ150" s="5180"/>
      <c r="ER150" s="5180"/>
      <c r="ES150" s="5180"/>
      <c r="ET150" s="5180"/>
      <c r="EU150" s="5183"/>
      <c r="EV150" s="5181"/>
      <c r="EW150" s="5181"/>
      <c r="EX150" s="5181"/>
      <c r="EY150" s="5181"/>
      <c r="EZ150" s="209"/>
      <c r="FA150" s="4268"/>
      <c r="FB150" s="4268"/>
    </row>
    <row r="151" spans="1:158" s="239" customFormat="1" ht="11.25" hidden="1" customHeight="1" outlineLevel="1">
      <c r="A151" s="6174" t="s">
        <v>46</v>
      </c>
      <c r="B151" s="223"/>
      <c r="C151" s="223"/>
      <c r="D151" s="223"/>
      <c r="E151" s="223"/>
      <c r="F151" s="4304"/>
      <c r="G151" s="223"/>
      <c r="H151" s="223"/>
      <c r="I151" s="223"/>
      <c r="J151" s="223"/>
      <c r="K151" s="1020"/>
      <c r="L151" s="223"/>
      <c r="M151" s="223"/>
      <c r="N151" s="223"/>
      <c r="O151" s="223"/>
      <c r="P151" s="1020"/>
      <c r="Q151" s="1488"/>
      <c r="R151" s="223"/>
      <c r="S151" s="223"/>
      <c r="T151" s="223"/>
      <c r="U151" s="1020"/>
      <c r="V151" s="1488"/>
      <c r="W151" s="223"/>
      <c r="X151" s="223"/>
      <c r="Y151" s="223"/>
      <c r="Z151" s="1020"/>
      <c r="AA151" s="1488"/>
      <c r="AB151" s="223"/>
      <c r="AC151" s="223"/>
      <c r="AD151" s="223"/>
      <c r="AE151" s="1020"/>
      <c r="AF151" s="1488"/>
      <c r="AG151" s="223"/>
      <c r="AH151" s="223"/>
      <c r="AI151" s="223"/>
      <c r="AJ151" s="1020"/>
      <c r="AK151" s="1488"/>
      <c r="AL151" s="223"/>
      <c r="AM151" s="223"/>
      <c r="AN151" s="169"/>
      <c r="AO151" s="1020"/>
      <c r="AP151" s="1226"/>
      <c r="AQ151" s="169"/>
      <c r="AR151" s="169"/>
      <c r="AS151" s="169"/>
      <c r="AT151" s="1020"/>
      <c r="AU151" s="1226"/>
      <c r="AV151" s="169"/>
      <c r="AW151" s="169"/>
      <c r="AX151" s="169"/>
      <c r="AY151" s="1020"/>
      <c r="AZ151" s="2472"/>
      <c r="BA151" s="236"/>
      <c r="BB151" s="236"/>
      <c r="BC151" s="236"/>
      <c r="BD151" s="1020"/>
      <c r="BE151" s="2473"/>
      <c r="BF151" s="244"/>
      <c r="BG151" s="244"/>
      <c r="BH151" s="244"/>
      <c r="BI151" s="1020"/>
      <c r="BJ151" s="2473"/>
      <c r="BK151" s="244"/>
      <c r="BL151" s="244"/>
      <c r="BM151" s="244"/>
      <c r="BN151" s="1020"/>
      <c r="BO151" s="223"/>
      <c r="BP151" s="223"/>
      <c r="BQ151" s="223"/>
      <c r="BR151" s="223"/>
      <c r="BS151" s="1050"/>
      <c r="BT151" s="244"/>
      <c r="BU151" s="244"/>
      <c r="BV151" s="244"/>
      <c r="BW151" s="244"/>
      <c r="BX151" s="1020"/>
      <c r="BY151" s="223"/>
      <c r="BZ151" s="223"/>
      <c r="CA151" s="223"/>
      <c r="CB151" s="223"/>
      <c r="CC151" s="1050"/>
      <c r="CD151" s="2936">
        <v>-0.02</v>
      </c>
      <c r="CE151" s="2935">
        <v>-0.06</v>
      </c>
      <c r="CF151" s="2935">
        <v>-0.05</v>
      </c>
      <c r="CG151" s="2935">
        <v>-0.04</v>
      </c>
      <c r="CH151" s="2933"/>
      <c r="CI151" s="2934">
        <v>0.03</v>
      </c>
      <c r="CJ151" s="2935">
        <v>-0.02</v>
      </c>
      <c r="CK151" s="2935">
        <v>-0.01</v>
      </c>
      <c r="CL151" s="2935">
        <v>-0.08</v>
      </c>
      <c r="CM151" s="2933"/>
      <c r="CN151" s="2935">
        <v>-0.03</v>
      </c>
      <c r="CO151" s="2935">
        <v>-0.05</v>
      </c>
      <c r="CP151" s="2935">
        <v>-0.02</v>
      </c>
      <c r="CQ151" s="2935">
        <v>-0.08</v>
      </c>
      <c r="CR151" s="2933"/>
      <c r="CS151" s="3540">
        <v>0.01</v>
      </c>
      <c r="CT151" s="2930">
        <v>-0.02</v>
      </c>
      <c r="CU151" s="2930">
        <v>-0.06</v>
      </c>
      <c r="CV151" s="2930">
        <v>-0.12</v>
      </c>
      <c r="CW151" s="2933"/>
      <c r="CX151" s="2930">
        <v>-0.03</v>
      </c>
      <c r="CY151" s="2930">
        <v>-0.08</v>
      </c>
      <c r="CZ151" s="2930">
        <v>0.01</v>
      </c>
      <c r="DA151" s="2930">
        <v>-7.0000000000000007E-2</v>
      </c>
      <c r="DB151" s="2933"/>
      <c r="DC151" s="2930">
        <v>-7.0000000000000007E-2</v>
      </c>
      <c r="DD151" s="2930">
        <v>-0.1</v>
      </c>
      <c r="DE151" s="2930">
        <v>-7.0000000000000007E-2</v>
      </c>
      <c r="DF151" s="2930">
        <v>-0.09</v>
      </c>
      <c r="DG151" s="2933"/>
      <c r="DH151" s="6206">
        <v>0.05</v>
      </c>
      <c r="DI151" s="6206">
        <v>-0.01</v>
      </c>
      <c r="DJ151" s="6206">
        <v>0.03</v>
      </c>
      <c r="DK151" s="6200"/>
      <c r="DL151" s="1460"/>
      <c r="DM151" s="5185"/>
      <c r="DN151" s="5185"/>
      <c r="DO151" s="5185"/>
      <c r="DP151" s="5185"/>
      <c r="DQ151" s="1460"/>
      <c r="DR151" s="5184"/>
      <c r="DS151" s="5184"/>
      <c r="DT151" s="5184"/>
      <c r="DU151" s="5184"/>
      <c r="DV151" s="1460"/>
      <c r="DW151" s="5184"/>
      <c r="DX151" s="5184"/>
      <c r="DY151" s="5184"/>
      <c r="DZ151" s="5184"/>
      <c r="EA151" s="1460"/>
      <c r="EB151" s="5184"/>
      <c r="EC151" s="5184"/>
      <c r="ED151" s="5187"/>
      <c r="EE151" s="5184"/>
      <c r="EF151" s="1460"/>
      <c r="EG151" s="5184"/>
      <c r="EH151" s="5187"/>
      <c r="EI151" s="5184"/>
      <c r="EJ151" s="5184"/>
      <c r="EK151" s="1460"/>
      <c r="EL151" s="5184"/>
      <c r="EM151" s="5184"/>
      <c r="EN151" s="5184"/>
      <c r="EO151" s="5184"/>
      <c r="EP151" s="1460"/>
      <c r="EQ151" s="5184"/>
      <c r="ER151" s="5184"/>
      <c r="ES151" s="5184"/>
      <c r="ET151" s="5184"/>
      <c r="EU151" s="1460"/>
      <c r="EV151" s="1460"/>
      <c r="EW151" s="1460"/>
      <c r="EX151" s="1460"/>
      <c r="EY151" s="1460"/>
      <c r="EZ151" s="223"/>
      <c r="FA151" s="4268"/>
      <c r="FB151" s="4268"/>
    </row>
    <row r="152" spans="1:158" s="239" customFormat="1" ht="11.25" hidden="1" customHeight="1" outlineLevel="1" collapsed="1">
      <c r="A152" s="6171"/>
      <c r="B152" s="223"/>
      <c r="C152" s="223"/>
      <c r="D152" s="223"/>
      <c r="E152" s="223"/>
      <c r="F152" s="4304"/>
      <c r="G152" s="223"/>
      <c r="H152" s="223"/>
      <c r="I152" s="223"/>
      <c r="J152" s="223"/>
      <c r="K152" s="1020"/>
      <c r="L152" s="223"/>
      <c r="M152" s="223"/>
      <c r="N152" s="223"/>
      <c r="O152" s="223"/>
      <c r="P152" s="1020"/>
      <c r="Q152" s="1488"/>
      <c r="R152" s="223"/>
      <c r="S152" s="223"/>
      <c r="T152" s="223"/>
      <c r="U152" s="1020"/>
      <c r="V152" s="1488"/>
      <c r="W152" s="223"/>
      <c r="X152" s="223"/>
      <c r="Y152" s="223"/>
      <c r="Z152" s="1020"/>
      <c r="AA152" s="1488"/>
      <c r="AB152" s="223"/>
      <c r="AC152" s="223"/>
      <c r="AD152" s="223"/>
      <c r="AE152" s="1020"/>
      <c r="AF152" s="1488"/>
      <c r="AG152" s="223"/>
      <c r="AH152" s="223"/>
      <c r="AI152" s="223"/>
      <c r="AJ152" s="1020"/>
      <c r="AK152" s="1488"/>
      <c r="AL152" s="223"/>
      <c r="AM152" s="223"/>
      <c r="AN152" s="169"/>
      <c r="AO152" s="1020"/>
      <c r="AP152" s="1488"/>
      <c r="AQ152" s="223"/>
      <c r="AR152" s="223"/>
      <c r="AS152" s="223"/>
      <c r="AT152" s="1020"/>
      <c r="AU152" s="1488"/>
      <c r="AV152" s="223"/>
      <c r="AW152" s="223"/>
      <c r="AX152" s="223"/>
      <c r="AY152" s="1020"/>
      <c r="AZ152" s="1489"/>
      <c r="BA152" s="223"/>
      <c r="BB152" s="223"/>
      <c r="BC152" s="223"/>
      <c r="BD152" s="1050"/>
      <c r="BE152" s="1488"/>
      <c r="BF152" s="223"/>
      <c r="BG152" s="223"/>
      <c r="BH152" s="223"/>
      <c r="BI152" s="1050"/>
      <c r="BJ152" s="1488"/>
      <c r="BK152" s="223"/>
      <c r="BL152" s="223"/>
      <c r="BM152" s="223"/>
      <c r="BN152" s="1050"/>
      <c r="BO152" s="223"/>
      <c r="BP152" s="223"/>
      <c r="BQ152" s="223"/>
      <c r="BR152" s="223"/>
      <c r="BS152" s="1050"/>
      <c r="BT152" s="223"/>
      <c r="BU152" s="223"/>
      <c r="BV152" s="223"/>
      <c r="BW152" s="223"/>
      <c r="BX152" s="1050"/>
      <c r="BY152" s="223"/>
      <c r="BZ152" s="223"/>
      <c r="CA152" s="223"/>
      <c r="CB152" s="223"/>
      <c r="CC152" s="1050"/>
      <c r="CD152" s="3542"/>
      <c r="CE152" s="3542"/>
      <c r="CF152" s="3542"/>
      <c r="CG152" s="3542"/>
      <c r="CH152" s="3534"/>
      <c r="CI152" s="3542"/>
      <c r="CJ152" s="3542"/>
      <c r="CK152" s="3542"/>
      <c r="CL152" s="3542"/>
      <c r="CM152" s="3534"/>
      <c r="CN152" s="3542"/>
      <c r="CO152" s="3542"/>
      <c r="CP152" s="3542"/>
      <c r="CQ152" s="2007"/>
      <c r="CR152" s="3534"/>
      <c r="CS152" s="2007"/>
      <c r="CT152" s="2007"/>
      <c r="CU152" s="2007"/>
      <c r="CV152" s="2007"/>
      <c r="CW152" s="3534"/>
      <c r="CX152" s="2007"/>
      <c r="CY152" s="2007"/>
      <c r="CZ152" s="2007"/>
      <c r="DA152" s="2007"/>
      <c r="DB152" s="3534"/>
      <c r="DC152" s="2007"/>
      <c r="DD152" s="2007"/>
      <c r="DE152" s="2007"/>
      <c r="DF152" s="2007"/>
      <c r="DG152" s="3534"/>
      <c r="DH152" s="5185"/>
      <c r="DI152" s="5185"/>
      <c r="DJ152" s="5185"/>
      <c r="DK152" s="6200"/>
      <c r="DL152" s="5186"/>
      <c r="DM152" s="5185"/>
      <c r="DN152" s="5185"/>
      <c r="DO152" s="5185"/>
      <c r="DP152" s="5185"/>
      <c r="DQ152" s="5186"/>
      <c r="DR152" s="5184"/>
      <c r="DS152" s="5184"/>
      <c r="DT152" s="5184"/>
      <c r="DU152" s="5184"/>
      <c r="DV152" s="5186"/>
      <c r="DW152" s="5184"/>
      <c r="DX152" s="5184"/>
      <c r="DY152" s="5184"/>
      <c r="DZ152" s="5184"/>
      <c r="EA152" s="5186"/>
      <c r="EB152" s="5184"/>
      <c r="EC152" s="5184"/>
      <c r="ED152" s="5187"/>
      <c r="EE152" s="5184"/>
      <c r="EF152" s="5186"/>
      <c r="EG152" s="5184"/>
      <c r="EH152" s="5187"/>
      <c r="EI152" s="5184"/>
      <c r="EJ152" s="5184"/>
      <c r="EK152" s="5186"/>
      <c r="EL152" s="5184"/>
      <c r="EM152" s="5184"/>
      <c r="EN152" s="5184"/>
      <c r="EO152" s="5184"/>
      <c r="EP152" s="5186"/>
      <c r="EQ152" s="5184"/>
      <c r="ER152" s="5184"/>
      <c r="ES152" s="5184"/>
      <c r="ET152" s="5184"/>
      <c r="EU152" s="5186"/>
      <c r="EV152" s="5186"/>
      <c r="EW152" s="5186"/>
      <c r="EX152" s="5186"/>
      <c r="EY152" s="5186"/>
      <c r="EZ152" s="223"/>
      <c r="FA152" s="725"/>
      <c r="FB152" s="725"/>
    </row>
    <row r="153" spans="1:158" s="5167" customFormat="1" ht="11.25" hidden="1" customHeight="1" outlineLevel="1">
      <c r="A153" s="6173" t="s">
        <v>1179</v>
      </c>
      <c r="B153" s="6212"/>
      <c r="C153" s="6212"/>
      <c r="D153" s="6212"/>
      <c r="E153" s="6212"/>
      <c r="F153" s="6213"/>
      <c r="G153" s="6212"/>
      <c r="H153" s="6212"/>
      <c r="I153" s="6212"/>
      <c r="J153" s="6212"/>
      <c r="K153" s="6214"/>
      <c r="L153" s="6212"/>
      <c r="M153" s="6212"/>
      <c r="N153" s="6212"/>
      <c r="O153" s="6212"/>
      <c r="P153" s="2506"/>
      <c r="Q153" s="6215"/>
      <c r="R153" s="6212"/>
      <c r="S153" s="6212"/>
      <c r="T153" s="6212"/>
      <c r="U153" s="2506"/>
      <c r="V153" s="6215"/>
      <c r="W153" s="6212"/>
      <c r="X153" s="6212"/>
      <c r="Y153" s="6212"/>
      <c r="Z153" s="2506"/>
      <c r="AA153" s="6215"/>
      <c r="AB153" s="6212"/>
      <c r="AC153" s="6212"/>
      <c r="AD153" s="6212"/>
      <c r="AE153" s="2506"/>
      <c r="AF153" s="6215"/>
      <c r="AG153" s="6212"/>
      <c r="AH153" s="6212"/>
      <c r="AI153" s="6212"/>
      <c r="AJ153" s="2506"/>
      <c r="AK153" s="6215"/>
      <c r="AL153" s="6212"/>
      <c r="AM153" s="6212"/>
      <c r="AN153" s="6212"/>
      <c r="AO153" s="2506"/>
      <c r="AP153" s="6215"/>
      <c r="AQ153" s="6212"/>
      <c r="AR153" s="6212"/>
      <c r="AS153" s="6212"/>
      <c r="AT153" s="2506"/>
      <c r="AU153" s="6215"/>
      <c r="AV153" s="6212"/>
      <c r="AW153" s="6212"/>
      <c r="AX153" s="6212"/>
      <c r="AY153" s="2506"/>
      <c r="AZ153" s="2497"/>
      <c r="BA153" s="6212"/>
      <c r="BB153" s="6212"/>
      <c r="BC153" s="6212"/>
      <c r="BD153" s="2506"/>
      <c r="BE153" s="6216"/>
      <c r="BF153" s="6217"/>
      <c r="BG153" s="6217"/>
      <c r="BH153" s="6217"/>
      <c r="BI153" s="2506"/>
      <c r="BJ153" s="6216"/>
      <c r="BK153" s="6212"/>
      <c r="BL153" s="6212"/>
      <c r="BM153" s="6212"/>
      <c r="BN153" s="2506"/>
      <c r="BO153" s="2505"/>
      <c r="BP153" s="2505"/>
      <c r="BQ153" s="2505"/>
      <c r="BR153" s="2505"/>
      <c r="BS153" s="2507"/>
      <c r="BT153" s="6212"/>
      <c r="BU153" s="6212"/>
      <c r="BV153" s="6212"/>
      <c r="BW153" s="6212"/>
      <c r="BX153" s="2506"/>
      <c r="BY153" s="2505"/>
      <c r="BZ153" s="2505"/>
      <c r="CA153" s="2505"/>
      <c r="CB153" s="2505"/>
      <c r="CC153" s="2507"/>
      <c r="CD153" s="6218"/>
      <c r="CE153" s="6218"/>
      <c r="CF153" s="6218"/>
      <c r="CG153" s="6218"/>
      <c r="CH153" s="3995"/>
      <c r="CI153" s="6219"/>
      <c r="CJ153" s="6218"/>
      <c r="CK153" s="6218"/>
      <c r="CL153" s="6218"/>
      <c r="CM153" s="3995"/>
      <c r="CN153" s="6220"/>
      <c r="CO153" s="6218"/>
      <c r="CP153" s="6218"/>
      <c r="CQ153" s="6218"/>
      <c r="CR153" s="3995"/>
      <c r="CS153" s="3503"/>
      <c r="CT153" s="3503"/>
      <c r="CU153" s="3503"/>
      <c r="CV153" s="6221"/>
      <c r="CW153" s="3995"/>
      <c r="CX153" s="3503"/>
      <c r="CY153" s="3503"/>
      <c r="CZ153" s="3503"/>
      <c r="DA153" s="3503"/>
      <c r="DB153" s="3995"/>
      <c r="DC153" s="3503"/>
      <c r="DD153" s="3503"/>
      <c r="DE153" s="3503"/>
      <c r="DF153" s="3503"/>
      <c r="DG153" s="3995"/>
      <c r="DH153" s="6222"/>
      <c r="DI153" s="6222"/>
      <c r="DJ153" s="6222"/>
      <c r="DK153" s="6223"/>
      <c r="DL153" s="2290">
        <f>(1+DL143)*(1+DL148)-1</f>
        <v>0.15619999999999989</v>
      </c>
      <c r="DM153" s="1143"/>
      <c r="DN153" s="1143"/>
      <c r="DO153" s="1143"/>
      <c r="DP153" s="1143"/>
      <c r="DQ153" s="2290">
        <f t="shared" ref="DQ153:EL153" si="657">(1+DQ143)*(1+DQ148)-1</f>
        <v>7.0999999999999952E-2</v>
      </c>
      <c r="DR153" s="2288">
        <f t="shared" si="657"/>
        <v>0.28750000000000009</v>
      </c>
      <c r="DS153" s="2288">
        <f t="shared" si="657"/>
        <v>0.65060000000000007</v>
      </c>
      <c r="DT153" s="2288">
        <f t="shared" si="657"/>
        <v>0.43959999999999999</v>
      </c>
      <c r="DU153" s="2288">
        <f t="shared" si="657"/>
        <v>0.35727047613077145</v>
      </c>
      <c r="DV153" s="2290">
        <f t="shared" si="657"/>
        <v>0.41449999999999987</v>
      </c>
      <c r="DW153" s="2288">
        <f t="shared" si="657"/>
        <v>0.25279999999999991</v>
      </c>
      <c r="DX153" s="2288">
        <f t="shared" si="657"/>
        <v>0.12000000000000011</v>
      </c>
      <c r="DY153" s="2288">
        <f t="shared" si="657"/>
        <v>2.6000000000000023E-2</v>
      </c>
      <c r="DZ153" s="2288">
        <f t="shared" si="657"/>
        <v>-1.6096625943973542E-2</v>
      </c>
      <c r="EA153" s="2290">
        <f t="shared" si="657"/>
        <v>8.8999999999999968E-2</v>
      </c>
      <c r="EB153" s="2288">
        <f t="shared" si="657"/>
        <v>4.3999999999999595E-3</v>
      </c>
      <c r="EC153" s="2288">
        <f t="shared" si="657"/>
        <v>4.7600000000000087E-2</v>
      </c>
      <c r="ED153" s="2288">
        <f t="shared" si="657"/>
        <v>0.11280000000000001</v>
      </c>
      <c r="EE153" s="2288">
        <f t="shared" si="657"/>
        <v>0.12712421368885551</v>
      </c>
      <c r="EF153" s="2290">
        <f t="shared" si="657"/>
        <v>8.0699999999999994E-2</v>
      </c>
      <c r="EG153" s="2288">
        <f t="shared" si="657"/>
        <v>0.13400000000000012</v>
      </c>
      <c r="EH153" s="2288">
        <f t="shared" si="657"/>
        <v>0.1342000000000001</v>
      </c>
      <c r="EI153" s="2288">
        <f t="shared" si="657"/>
        <v>0.1232000000000002</v>
      </c>
      <c r="EJ153" s="2288">
        <f t="shared" si="657"/>
        <v>0.12523948354852132</v>
      </c>
      <c r="EK153" s="2290">
        <f t="shared" si="657"/>
        <v>0.12350000000000017</v>
      </c>
      <c r="EL153" s="2288">
        <f t="shared" si="657"/>
        <v>9.1400000000000148E-2</v>
      </c>
      <c r="EM153" s="2288">
        <f>(1+EM143)*(1+EM148)-1</f>
        <v>0.1232000000000002</v>
      </c>
      <c r="EN153" s="2288">
        <f t="shared" ref="EN153" si="658">(1+EN143)*(1+EN148)-1</f>
        <v>0.14490000000000003</v>
      </c>
      <c r="EO153" s="5076"/>
      <c r="EP153" s="5077"/>
      <c r="EQ153" s="5076"/>
      <c r="ER153" s="5076"/>
      <c r="ES153" s="5076"/>
      <c r="ET153" s="5076"/>
      <c r="EU153" s="5077"/>
      <c r="EV153" s="6224"/>
      <c r="EW153" s="6224"/>
      <c r="EX153" s="6224"/>
      <c r="EY153" s="6224"/>
      <c r="EZ153" s="2505"/>
      <c r="FA153" s="6225"/>
      <c r="FB153" s="6225"/>
    </row>
    <row r="154" spans="1:158" s="5167" customFormat="1" ht="11.25" hidden="1" customHeight="1" outlineLevel="1">
      <c r="A154" s="6173" t="s">
        <v>1180</v>
      </c>
      <c r="B154" s="6212"/>
      <c r="C154" s="6212"/>
      <c r="D154" s="6212"/>
      <c r="E154" s="6212"/>
      <c r="F154" s="6213"/>
      <c r="G154" s="6212"/>
      <c r="H154" s="6212"/>
      <c r="I154" s="6212"/>
      <c r="J154" s="6212"/>
      <c r="K154" s="6214"/>
      <c r="L154" s="6212"/>
      <c r="M154" s="6212"/>
      <c r="N154" s="6212"/>
      <c r="O154" s="6212"/>
      <c r="P154" s="2506"/>
      <c r="Q154" s="6215"/>
      <c r="R154" s="6212"/>
      <c r="S154" s="6212"/>
      <c r="T154" s="6212"/>
      <c r="U154" s="2506"/>
      <c r="V154" s="6215"/>
      <c r="W154" s="6212"/>
      <c r="X154" s="6212"/>
      <c r="Y154" s="6212"/>
      <c r="Z154" s="2506"/>
      <c r="AA154" s="6215"/>
      <c r="AB154" s="6212"/>
      <c r="AC154" s="6212"/>
      <c r="AD154" s="6212"/>
      <c r="AE154" s="2506"/>
      <c r="AF154" s="6215"/>
      <c r="AG154" s="6212"/>
      <c r="AH154" s="6212"/>
      <c r="AI154" s="6212"/>
      <c r="AJ154" s="2506"/>
      <c r="AK154" s="6215"/>
      <c r="AL154" s="6212"/>
      <c r="AM154" s="6212"/>
      <c r="AN154" s="6212"/>
      <c r="AO154" s="2506"/>
      <c r="AP154" s="6215"/>
      <c r="AQ154" s="6212"/>
      <c r="AR154" s="6212"/>
      <c r="AS154" s="6212"/>
      <c r="AT154" s="2506"/>
      <c r="AU154" s="6215"/>
      <c r="AV154" s="6212"/>
      <c r="AW154" s="6212"/>
      <c r="AX154" s="6212"/>
      <c r="AY154" s="2506"/>
      <c r="AZ154" s="2497"/>
      <c r="BA154" s="6212"/>
      <c r="BB154" s="6212"/>
      <c r="BC154" s="6212"/>
      <c r="BD154" s="2506"/>
      <c r="BE154" s="6216"/>
      <c r="BF154" s="6217"/>
      <c r="BG154" s="6217"/>
      <c r="BH154" s="6217"/>
      <c r="BI154" s="2506"/>
      <c r="BJ154" s="6216"/>
      <c r="BK154" s="6212"/>
      <c r="BL154" s="6212"/>
      <c r="BM154" s="6212"/>
      <c r="BN154" s="2506"/>
      <c r="BO154" s="2505"/>
      <c r="BP154" s="2505"/>
      <c r="BQ154" s="2505"/>
      <c r="BR154" s="2505"/>
      <c r="BS154" s="2507"/>
      <c r="BT154" s="6212"/>
      <c r="BU154" s="6212"/>
      <c r="BV154" s="6212"/>
      <c r="BW154" s="6212"/>
      <c r="BX154" s="2506"/>
      <c r="BY154" s="2505"/>
      <c r="BZ154" s="2505"/>
      <c r="CA154" s="2505"/>
      <c r="CB154" s="2505"/>
      <c r="CC154" s="2507"/>
      <c r="CD154" s="6218"/>
      <c r="CE154" s="6218"/>
      <c r="CF154" s="6218"/>
      <c r="CG154" s="6218"/>
      <c r="CH154" s="3995"/>
      <c r="CI154" s="6219"/>
      <c r="CJ154" s="6218"/>
      <c r="CK154" s="6218"/>
      <c r="CL154" s="6218"/>
      <c r="CM154" s="3995"/>
      <c r="CN154" s="6220"/>
      <c r="CO154" s="6218"/>
      <c r="CP154" s="6218"/>
      <c r="CQ154" s="6218"/>
      <c r="CR154" s="3995"/>
      <c r="CS154" s="3503"/>
      <c r="CT154" s="3503"/>
      <c r="CU154" s="3503"/>
      <c r="CV154" s="6221"/>
      <c r="CW154" s="3995"/>
      <c r="CX154" s="3503"/>
      <c r="CY154" s="3503"/>
      <c r="CZ154" s="3503"/>
      <c r="DA154" s="3503"/>
      <c r="DB154" s="3995"/>
      <c r="DC154" s="3503"/>
      <c r="DD154" s="3503"/>
      <c r="DE154" s="3503"/>
      <c r="DF154" s="3503"/>
      <c r="DG154" s="3995"/>
      <c r="DH154" s="6222"/>
      <c r="DI154" s="6222"/>
      <c r="DJ154" s="6222"/>
      <c r="DK154" s="6223"/>
      <c r="DL154" s="2290">
        <f>DL9</f>
        <v>0.15028840742824978</v>
      </c>
      <c r="DM154" s="1143"/>
      <c r="DN154" s="1143"/>
      <c r="DO154" s="1143"/>
      <c r="DP154" s="1143"/>
      <c r="DQ154" s="2290">
        <f t="shared" ref="DQ154:EM154" si="659">DQ9</f>
        <v>6.0612546501554343E-2</v>
      </c>
      <c r="DR154" s="2288">
        <f t="shared" si="659"/>
        <v>0.30107746306423966</v>
      </c>
      <c r="DS154" s="2288">
        <f t="shared" si="659"/>
        <v>0.68136404146535945</v>
      </c>
      <c r="DT154" s="2288">
        <f t="shared" si="659"/>
        <v>0.43997266307236682</v>
      </c>
      <c r="DU154" s="2288">
        <f t="shared" si="659"/>
        <v>0.35727047613077145</v>
      </c>
      <c r="DV154" s="2290">
        <f t="shared" si="659"/>
        <v>0.43136783840402826</v>
      </c>
      <c r="DW154" s="2288">
        <f t="shared" si="659"/>
        <v>0.24276169265033398</v>
      </c>
      <c r="DX154" s="2288">
        <f t="shared" si="659"/>
        <v>0.13513739712651684</v>
      </c>
      <c r="DY154" s="2288">
        <f t="shared" si="659"/>
        <v>4.2530190370722032E-2</v>
      </c>
      <c r="DZ154" s="2288">
        <f t="shared" si="659"/>
        <v>-1.6096625943973542E-2</v>
      </c>
      <c r="EA154" s="2290">
        <f t="shared" si="659"/>
        <v>9.0627118985438182E-2</v>
      </c>
      <c r="EB154" s="2288">
        <f t="shared" si="659"/>
        <v>1.8703619566863505E-2</v>
      </c>
      <c r="EC154" s="2288">
        <f t="shared" si="659"/>
        <v>4.7654157143208309E-2</v>
      </c>
      <c r="ED154" s="2288">
        <f t="shared" si="659"/>
        <v>0.11348289031083225</v>
      </c>
      <c r="EE154" s="2288">
        <f t="shared" si="659"/>
        <v>0.12712421368885551</v>
      </c>
      <c r="EF154" s="2290">
        <f t="shared" si="659"/>
        <v>7.7457679285934056E-2</v>
      </c>
      <c r="EG154" s="2288">
        <f t="shared" si="659"/>
        <v>0.14363586808394668</v>
      </c>
      <c r="EH154" s="2288">
        <f t="shared" si="659"/>
        <v>0.13796096462419061</v>
      </c>
      <c r="EI154" s="2288">
        <f t="shared" si="659"/>
        <v>0.12172352700676869</v>
      </c>
      <c r="EJ154" s="2288">
        <f t="shared" si="659"/>
        <v>0.12523948354852155</v>
      </c>
      <c r="EK154" s="2290">
        <f t="shared" si="659"/>
        <v>0.13169516605440124</v>
      </c>
      <c r="EL154" s="2288">
        <f t="shared" si="659"/>
        <v>9.8492070370049367E-2</v>
      </c>
      <c r="EM154" s="2288">
        <f t="shared" si="659"/>
        <v>0.11711228844132027</v>
      </c>
      <c r="EN154" s="2288">
        <f t="shared" ref="EN154" si="660">EN9</f>
        <v>0.14542877391920617</v>
      </c>
      <c r="EO154" s="5076"/>
      <c r="EP154" s="5077"/>
      <c r="EQ154" s="5076"/>
      <c r="ER154" s="5076"/>
      <c r="ES154" s="5076"/>
      <c r="ET154" s="5076"/>
      <c r="EU154" s="5077"/>
      <c r="EV154" s="6224"/>
      <c r="EW154" s="6224"/>
      <c r="EX154" s="6224"/>
      <c r="EY154" s="6224"/>
      <c r="EZ154" s="2505"/>
      <c r="FA154" s="6225"/>
      <c r="FB154" s="6225"/>
    </row>
    <row r="155" spans="1:158" s="239" customFormat="1" ht="11.25" hidden="1" customHeight="1" outlineLevel="1">
      <c r="A155" s="6211" t="s">
        <v>1178</v>
      </c>
      <c r="B155" s="209"/>
      <c r="C155" s="209"/>
      <c r="D155" s="209"/>
      <c r="E155" s="209"/>
      <c r="F155" s="2244"/>
      <c r="G155" s="209"/>
      <c r="H155" s="209"/>
      <c r="I155" s="209"/>
      <c r="J155" s="209"/>
      <c r="K155" s="2244"/>
      <c r="L155" s="209"/>
      <c r="M155" s="209"/>
      <c r="N155" s="209"/>
      <c r="O155" s="209"/>
      <c r="P155" s="1050"/>
      <c r="Q155" s="2576"/>
      <c r="R155" s="209"/>
      <c r="S155" s="209"/>
      <c r="T155" s="209"/>
      <c r="U155" s="1050"/>
      <c r="V155" s="2576"/>
      <c r="W155" s="209"/>
      <c r="X155" s="209"/>
      <c r="Y155" s="209"/>
      <c r="Z155" s="1050"/>
      <c r="AA155" s="2576"/>
      <c r="AB155" s="209"/>
      <c r="AC155" s="209"/>
      <c r="AD155" s="209"/>
      <c r="AE155" s="1050"/>
      <c r="AF155" s="2576"/>
      <c r="AG155" s="209"/>
      <c r="AH155" s="209"/>
      <c r="AI155" s="209"/>
      <c r="AJ155" s="1050"/>
      <c r="AK155" s="2576"/>
      <c r="AL155" s="209"/>
      <c r="AM155" s="209"/>
      <c r="AN155" s="209"/>
      <c r="AO155" s="1050"/>
      <c r="AP155" s="2576"/>
      <c r="AQ155" s="209"/>
      <c r="AR155" s="209"/>
      <c r="AS155" s="209"/>
      <c r="AT155" s="1050"/>
      <c r="AU155" s="2576"/>
      <c r="AV155" s="209"/>
      <c r="AW155" s="209"/>
      <c r="AX155" s="209"/>
      <c r="AY155" s="1050"/>
      <c r="AZ155" s="2611"/>
      <c r="BA155" s="209"/>
      <c r="BB155" s="209"/>
      <c r="BC155" s="209"/>
      <c r="BD155" s="1050"/>
      <c r="BE155" s="2572"/>
      <c r="BF155" s="241"/>
      <c r="BG155" s="241"/>
      <c r="BH155" s="241"/>
      <c r="BI155" s="1050"/>
      <c r="BJ155" s="241"/>
      <c r="BK155" s="209"/>
      <c r="BL155" s="209"/>
      <c r="BM155" s="209"/>
      <c r="BN155" s="1050"/>
      <c r="BO155" s="223"/>
      <c r="BP155" s="223"/>
      <c r="BQ155" s="223"/>
      <c r="BR155" s="223"/>
      <c r="BS155" s="1050"/>
      <c r="BT155" s="209"/>
      <c r="BU155" s="209"/>
      <c r="BV155" s="209"/>
      <c r="BW155" s="209"/>
      <c r="BX155" s="1050"/>
      <c r="BY155" s="223"/>
      <c r="BZ155" s="223"/>
      <c r="CA155" s="223"/>
      <c r="CB155" s="223"/>
      <c r="CC155" s="1050"/>
      <c r="CD155" s="2932"/>
      <c r="CE155" s="2932"/>
      <c r="CF155" s="2932"/>
      <c r="CG155" s="2932"/>
      <c r="CH155" s="3534"/>
      <c r="CI155" s="2935"/>
      <c r="CJ155" s="2932"/>
      <c r="CK155" s="2932"/>
      <c r="CL155" s="2932"/>
      <c r="CM155" s="3534"/>
      <c r="CN155" s="2935"/>
      <c r="CO155" s="2932"/>
      <c r="CP155" s="2932"/>
      <c r="CQ155" s="2932"/>
      <c r="CR155" s="3534"/>
      <c r="CS155" s="2007"/>
      <c r="CT155" s="2007"/>
      <c r="CU155" s="2007"/>
      <c r="CV155" s="2930"/>
      <c r="CW155" s="3534"/>
      <c r="CX155" s="2007"/>
      <c r="CY155" s="2007"/>
      <c r="CZ155" s="2007"/>
      <c r="DA155" s="2007"/>
      <c r="DB155" s="3534"/>
      <c r="DC155" s="2007"/>
      <c r="DD155" s="2007"/>
      <c r="DE155" s="2007"/>
      <c r="DF155" s="2007"/>
      <c r="DG155" s="3534"/>
      <c r="DH155" s="5185"/>
      <c r="DI155" s="5185"/>
      <c r="DJ155" s="5185"/>
      <c r="DK155" s="6200"/>
      <c r="DL155" s="6226">
        <f>(DL154-DL153)*10000</f>
        <v>-59.115925717501128</v>
      </c>
      <c r="DM155" s="4287"/>
      <c r="DN155" s="4287"/>
      <c r="DO155" s="4287"/>
      <c r="DP155" s="4287"/>
      <c r="DQ155" s="6226">
        <f t="shared" ref="DQ155:EM155" si="661">(DQ154-DQ153)*10000</f>
        <v>-103.87453498445609</v>
      </c>
      <c r="DR155" s="6089">
        <f t="shared" si="661"/>
        <v>135.77463064239569</v>
      </c>
      <c r="DS155" s="6089">
        <f t="shared" si="661"/>
        <v>307.64041465359384</v>
      </c>
      <c r="DT155" s="6089">
        <f t="shared" si="661"/>
        <v>3.7266307236683005</v>
      </c>
      <c r="DU155" s="6089">
        <f t="shared" si="661"/>
        <v>0</v>
      </c>
      <c r="DV155" s="6226">
        <f t="shared" si="661"/>
        <v>168.6783840402839</v>
      </c>
      <c r="DW155" s="6089">
        <f t="shared" si="661"/>
        <v>-100.38307349665931</v>
      </c>
      <c r="DX155" s="6089">
        <f t="shared" si="661"/>
        <v>151.37397126516737</v>
      </c>
      <c r="DY155" s="6089">
        <f t="shared" si="661"/>
        <v>165.30190370722008</v>
      </c>
      <c r="DZ155" s="6089">
        <f t="shared" si="661"/>
        <v>0</v>
      </c>
      <c r="EA155" s="6226">
        <f t="shared" si="661"/>
        <v>16.27118985438214</v>
      </c>
      <c r="EB155" s="6089">
        <f t="shared" si="661"/>
        <v>143.03619566863546</v>
      </c>
      <c r="EC155" s="6089">
        <f t="shared" si="661"/>
        <v>0.5415714320822218</v>
      </c>
      <c r="ED155" s="6089">
        <f t="shared" si="661"/>
        <v>6.8289031083224039</v>
      </c>
      <c r="EE155" s="6089">
        <f t="shared" si="661"/>
        <v>0</v>
      </c>
      <c r="EF155" s="6226">
        <f t="shared" si="661"/>
        <v>-32.423207140659386</v>
      </c>
      <c r="EG155" s="6089">
        <f t="shared" si="661"/>
        <v>96.358680839465634</v>
      </c>
      <c r="EH155" s="6089">
        <f t="shared" si="661"/>
        <v>37.609646241905104</v>
      </c>
      <c r="EI155" s="6089">
        <f t="shared" si="661"/>
        <v>-14.764729932315035</v>
      </c>
      <c r="EJ155" s="6089">
        <f t="shared" si="661"/>
        <v>2.2204460492503131E-12</v>
      </c>
      <c r="EK155" s="6226">
        <f t="shared" si="661"/>
        <v>81.951660544010707</v>
      </c>
      <c r="EL155" s="6089">
        <f t="shared" si="661"/>
        <v>70.920703700492197</v>
      </c>
      <c r="EM155" s="6089">
        <f t="shared" si="661"/>
        <v>-60.877115586799313</v>
      </c>
      <c r="EN155" s="6089">
        <f t="shared" ref="EN155" si="662">(EN154-EN153)*10000</f>
        <v>5.2877391920613803</v>
      </c>
      <c r="EO155" s="6089"/>
      <c r="EP155" s="6226"/>
      <c r="EQ155" s="6089"/>
      <c r="ER155" s="6089"/>
      <c r="ES155" s="6089"/>
      <c r="ET155" s="6089"/>
      <c r="EU155" s="6226"/>
      <c r="EV155" s="6226"/>
      <c r="EW155" s="6226"/>
      <c r="EX155" s="6226"/>
      <c r="EY155" s="6226"/>
      <c r="EZ155" s="223"/>
      <c r="FA155" s="4268"/>
      <c r="FB155" s="4268"/>
    </row>
    <row r="156" spans="1:158" s="239" customFormat="1" ht="11.25" customHeight="1" collapsed="1">
      <c r="A156" s="6210"/>
      <c r="B156" s="223"/>
      <c r="C156" s="223"/>
      <c r="D156" s="223"/>
      <c r="E156" s="223"/>
      <c r="F156" s="1050"/>
      <c r="G156" s="223"/>
      <c r="H156" s="223"/>
      <c r="I156" s="223"/>
      <c r="J156" s="223"/>
      <c r="K156" s="1050"/>
      <c r="L156" s="223"/>
      <c r="M156" s="223"/>
      <c r="N156" s="223"/>
      <c r="O156" s="223"/>
      <c r="P156" s="1050"/>
      <c r="Q156" s="2581"/>
      <c r="R156" s="223"/>
      <c r="S156" s="223"/>
      <c r="T156" s="223"/>
      <c r="U156" s="1050"/>
      <c r="V156" s="2581"/>
      <c r="W156" s="223"/>
      <c r="X156" s="223"/>
      <c r="Y156" s="223"/>
      <c r="Z156" s="1050"/>
      <c r="AA156" s="2581"/>
      <c r="AB156" s="223"/>
      <c r="AC156" s="223"/>
      <c r="AD156" s="223"/>
      <c r="AE156" s="1050"/>
      <c r="AF156" s="2581"/>
      <c r="AG156" s="223"/>
      <c r="AH156" s="223"/>
      <c r="AI156" s="223"/>
      <c r="AJ156" s="1050"/>
      <c r="AK156" s="2581"/>
      <c r="AL156" s="223"/>
      <c r="AM156" s="223"/>
      <c r="AN156" s="2612"/>
      <c r="AO156" s="1050"/>
      <c r="AP156" s="2581"/>
      <c r="AQ156" s="223"/>
      <c r="AR156" s="223"/>
      <c r="AS156" s="223"/>
      <c r="AT156" s="1050"/>
      <c r="AU156" s="2581"/>
      <c r="AV156" s="223"/>
      <c r="AW156" s="223"/>
      <c r="AX156" s="223"/>
      <c r="AY156" s="1050"/>
      <c r="AZ156" s="2664"/>
      <c r="BA156" s="223"/>
      <c r="BB156" s="223"/>
      <c r="BC156" s="223"/>
      <c r="BD156" s="1050"/>
      <c r="BE156" s="2581"/>
      <c r="BF156" s="223"/>
      <c r="BG156" s="223"/>
      <c r="BH156" s="223"/>
      <c r="BI156" s="1050"/>
      <c r="BJ156" s="223"/>
      <c r="BK156" s="223"/>
      <c r="BL156" s="223"/>
      <c r="BM156" s="223"/>
      <c r="BN156" s="1050"/>
      <c r="BO156" s="223"/>
      <c r="BP156" s="223"/>
      <c r="BQ156" s="223"/>
      <c r="BR156" s="223"/>
      <c r="BS156" s="1050"/>
      <c r="BT156" s="223"/>
      <c r="BU156" s="223"/>
      <c r="BV156" s="223"/>
      <c r="BW156" s="223"/>
      <c r="BX156" s="1050"/>
      <c r="BY156" s="223"/>
      <c r="BZ156" s="223"/>
      <c r="CA156" s="223"/>
      <c r="CB156" s="223"/>
      <c r="CC156" s="1050"/>
      <c r="CD156" s="3542"/>
      <c r="CE156" s="3542"/>
      <c r="CF156" s="3542"/>
      <c r="CG156" s="3542"/>
      <c r="CH156" s="3534"/>
      <c r="CI156" s="3542"/>
      <c r="CJ156" s="3542"/>
      <c r="CK156" s="3542"/>
      <c r="CL156" s="3542"/>
      <c r="CM156" s="3534"/>
      <c r="CN156" s="3542"/>
      <c r="CO156" s="3542"/>
      <c r="CP156" s="3542"/>
      <c r="CQ156" s="2007"/>
      <c r="CR156" s="3534"/>
      <c r="CS156" s="2007"/>
      <c r="CT156" s="2007"/>
      <c r="CU156" s="2007"/>
      <c r="CV156" s="2007"/>
      <c r="CW156" s="3534"/>
      <c r="CX156" s="2007"/>
      <c r="CY156" s="2007"/>
      <c r="CZ156" s="2007"/>
      <c r="DA156" s="2007"/>
      <c r="DB156" s="3534"/>
      <c r="DC156" s="2007"/>
      <c r="DD156" s="2007"/>
      <c r="DE156" s="2007"/>
      <c r="DF156" s="2007"/>
      <c r="DG156" s="3534"/>
      <c r="DH156" s="5185"/>
      <c r="DI156" s="5185"/>
      <c r="DJ156" s="5185"/>
      <c r="DK156" s="6200"/>
      <c r="DL156" s="5186"/>
      <c r="DM156" s="5185"/>
      <c r="DN156" s="5185"/>
      <c r="DO156" s="5185"/>
      <c r="DP156" s="5185"/>
      <c r="DQ156" s="5186"/>
      <c r="DR156" s="5184"/>
      <c r="DS156" s="5184"/>
      <c r="DT156" s="5184"/>
      <c r="DU156" s="5184"/>
      <c r="DV156" s="5186"/>
      <c r="DW156" s="5184"/>
      <c r="DX156" s="5184"/>
      <c r="DY156" s="5184"/>
      <c r="DZ156" s="5184"/>
      <c r="EA156" s="5186"/>
      <c r="EB156" s="5184"/>
      <c r="EC156" s="5184"/>
      <c r="ED156" s="5187"/>
      <c r="EE156" s="5184"/>
      <c r="EF156" s="5186"/>
      <c r="EG156" s="5184"/>
      <c r="EH156" s="5187"/>
      <c r="EI156" s="5184"/>
      <c r="EJ156" s="5184"/>
      <c r="EK156" s="5186"/>
      <c r="EL156" s="5184"/>
      <c r="EM156" s="5184"/>
      <c r="EN156" s="5184"/>
      <c r="EO156" s="5184"/>
      <c r="EP156" s="5186"/>
      <c r="EQ156" s="5184"/>
      <c r="ER156" s="5184"/>
      <c r="ES156" s="5184"/>
      <c r="ET156" s="5184"/>
      <c r="EU156" s="5186"/>
      <c r="EV156" s="5186"/>
      <c r="EW156" s="5186"/>
      <c r="EX156" s="5186"/>
      <c r="EY156" s="5186"/>
      <c r="EZ156" s="223"/>
      <c r="FA156" s="725"/>
      <c r="FB156" s="725"/>
    </row>
    <row r="157" spans="1:158" s="180" customFormat="1" ht="11.25" customHeight="1">
      <c r="A157" s="6170" t="s">
        <v>634</v>
      </c>
      <c r="B157" s="3004"/>
      <c r="C157" s="3002"/>
      <c r="D157" s="3002"/>
      <c r="E157" s="3002"/>
      <c r="F157" s="5603"/>
      <c r="G157" s="3004"/>
      <c r="H157" s="3002"/>
      <c r="I157" s="3002"/>
      <c r="J157" s="3002"/>
      <c r="K157" s="3007"/>
      <c r="L157" s="3002"/>
      <c r="M157" s="3002"/>
      <c r="N157" s="3002"/>
      <c r="O157" s="3002"/>
      <c r="P157" s="3007"/>
      <c r="Q157" s="3001"/>
      <c r="R157" s="3002"/>
      <c r="S157" s="3002"/>
      <c r="T157" s="3002"/>
      <c r="U157" s="3007"/>
      <c r="V157" s="3001"/>
      <c r="W157" s="3002"/>
      <c r="X157" s="3002"/>
      <c r="Y157" s="3002"/>
      <c r="Z157" s="3007"/>
      <c r="AA157" s="3001"/>
      <c r="AB157" s="3002"/>
      <c r="AC157" s="3002"/>
      <c r="AD157" s="3002"/>
      <c r="AE157" s="3007"/>
      <c r="AF157" s="3001"/>
      <c r="AG157" s="3002"/>
      <c r="AH157" s="3002"/>
      <c r="AI157" s="3002"/>
      <c r="AJ157" s="3007"/>
      <c r="AK157" s="3001"/>
      <c r="AL157" s="3002"/>
      <c r="AM157" s="3002"/>
      <c r="AN157" s="3002"/>
      <c r="AO157" s="3007"/>
      <c r="AP157" s="3001"/>
      <c r="AQ157" s="3002"/>
      <c r="AR157" s="3002"/>
      <c r="AS157" s="3002"/>
      <c r="AT157" s="3007"/>
      <c r="AU157" s="3001"/>
      <c r="AV157" s="3002"/>
      <c r="AW157" s="3002"/>
      <c r="AX157" s="3002"/>
      <c r="AY157" s="3007"/>
      <c r="AZ157" s="3001"/>
      <c r="BA157" s="3002"/>
      <c r="BB157" s="3002"/>
      <c r="BC157" s="3002"/>
      <c r="BD157" s="3007"/>
      <c r="BE157" s="3005"/>
      <c r="BF157" s="3006"/>
      <c r="BG157" s="3006"/>
      <c r="BH157" s="3006"/>
      <c r="BI157" s="3007"/>
      <c r="BJ157" s="3006"/>
      <c r="BK157" s="3006"/>
      <c r="BL157" s="3006"/>
      <c r="BM157" s="3006"/>
      <c r="BN157" s="3007"/>
      <c r="BO157" s="3002"/>
      <c r="BP157" s="3002"/>
      <c r="BQ157" s="3002"/>
      <c r="BR157" s="3002"/>
      <c r="BS157" s="3007"/>
      <c r="BT157" s="3006"/>
      <c r="BU157" s="3006"/>
      <c r="BV157" s="3006"/>
      <c r="BW157" s="3006"/>
      <c r="BX157" s="3007"/>
      <c r="BY157" s="3002"/>
      <c r="BZ157" s="3002"/>
      <c r="CA157" s="3002"/>
      <c r="CB157" s="3002"/>
      <c r="CC157" s="3007"/>
      <c r="CD157" s="3006"/>
      <c r="CE157" s="3006"/>
      <c r="CF157" s="3006"/>
      <c r="CG157" s="3006"/>
      <c r="CH157" s="3007"/>
      <c r="CI157" s="3008"/>
      <c r="CJ157" s="3006"/>
      <c r="CK157" s="3002"/>
      <c r="CL157" s="3006"/>
      <c r="CM157" s="3007"/>
      <c r="CN157" s="3002"/>
      <c r="CO157" s="3002"/>
      <c r="CP157" s="3002"/>
      <c r="CQ157" s="3002"/>
      <c r="CR157" s="3007"/>
      <c r="CS157" s="3002"/>
      <c r="CT157" s="3002"/>
      <c r="CU157" s="3002"/>
      <c r="CV157" s="3002"/>
      <c r="CW157" s="3007"/>
      <c r="CX157" s="3002"/>
      <c r="CY157" s="3002"/>
      <c r="CZ157" s="3002"/>
      <c r="DA157" s="3002"/>
      <c r="DB157" s="3007"/>
      <c r="DC157" s="3002"/>
      <c r="DD157" s="3002"/>
      <c r="DE157" s="3002"/>
      <c r="DF157" s="3002"/>
      <c r="DG157" s="3007"/>
      <c r="DH157" s="5188"/>
      <c r="DI157" s="5188"/>
      <c r="DJ157" s="5188"/>
      <c r="DK157" s="6201"/>
      <c r="DL157" s="5189"/>
      <c r="DM157" s="5188"/>
      <c r="DN157" s="5188"/>
      <c r="DO157" s="5188"/>
      <c r="DP157" s="5188"/>
      <c r="DQ157" s="5189"/>
      <c r="DR157" s="5188"/>
      <c r="DS157" s="5188"/>
      <c r="DT157" s="5188"/>
      <c r="DU157" s="5188"/>
      <c r="DV157" s="5189"/>
      <c r="DW157" s="5188"/>
      <c r="DX157" s="5188"/>
      <c r="DY157" s="5188"/>
      <c r="DZ157" s="5188"/>
      <c r="EA157" s="5189"/>
      <c r="EB157" s="5188"/>
      <c r="EC157" s="5188"/>
      <c r="ED157" s="5862"/>
      <c r="EE157" s="5188"/>
      <c r="EF157" s="5189"/>
      <c r="EG157" s="5188"/>
      <c r="EH157" s="5862"/>
      <c r="EI157" s="5188"/>
      <c r="EJ157" s="5188"/>
      <c r="EK157" s="5189"/>
      <c r="EL157" s="5188"/>
      <c r="EM157" s="5188"/>
      <c r="EN157" s="5188"/>
      <c r="EO157" s="5188"/>
      <c r="EP157" s="5189"/>
      <c r="EQ157" s="5188"/>
      <c r="ER157" s="5188"/>
      <c r="ES157" s="5188"/>
      <c r="ET157" s="5188"/>
      <c r="EU157" s="5189"/>
      <c r="EV157" s="5189"/>
      <c r="EW157" s="5189"/>
      <c r="EX157" s="5189"/>
      <c r="EY157" s="5189"/>
      <c r="EZ157" s="175"/>
      <c r="FA157" s="725"/>
      <c r="FB157" s="725"/>
    </row>
    <row r="158" spans="1:158" s="234" customFormat="1" ht="11.25" customHeight="1">
      <c r="A158" s="5671" t="s">
        <v>1147</v>
      </c>
      <c r="B158" s="209"/>
      <c r="C158" s="209"/>
      <c r="D158" s="209"/>
      <c r="E158" s="209"/>
      <c r="F158" s="4303"/>
      <c r="G158" s="209"/>
      <c r="H158" s="209"/>
      <c r="I158" s="209"/>
      <c r="J158" s="209"/>
      <c r="K158" s="2244"/>
      <c r="L158" s="209"/>
      <c r="M158" s="209"/>
      <c r="N158" s="209"/>
      <c r="O158" s="209"/>
      <c r="P158" s="2244"/>
      <c r="Q158" s="2242"/>
      <c r="R158" s="209"/>
      <c r="S158" s="209"/>
      <c r="T158" s="209"/>
      <c r="U158" s="1019"/>
      <c r="V158" s="2242"/>
      <c r="W158" s="209"/>
      <c r="X158" s="209"/>
      <c r="Y158" s="209"/>
      <c r="Z158" s="1019"/>
      <c r="AA158" s="2242"/>
      <c r="AB158" s="209"/>
      <c r="AC158" s="209"/>
      <c r="AD158" s="209"/>
      <c r="AE158" s="1019"/>
      <c r="AF158" s="2242"/>
      <c r="AG158" s="209"/>
      <c r="AH158" s="209"/>
      <c r="AI158" s="209"/>
      <c r="AJ158" s="1019"/>
      <c r="AK158" s="2242"/>
      <c r="AL158" s="209"/>
      <c r="AM158" s="209"/>
      <c r="AN158" s="2612"/>
      <c r="AO158" s="1019"/>
      <c r="AP158" s="2242"/>
      <c r="AQ158" s="209"/>
      <c r="AR158" s="209"/>
      <c r="AS158" s="209"/>
      <c r="AT158" s="1019"/>
      <c r="AU158" s="2242"/>
      <c r="AV158" s="209"/>
      <c r="AW158" s="209"/>
      <c r="AX158" s="209"/>
      <c r="AY158" s="1019"/>
      <c r="AZ158" s="2242"/>
      <c r="BA158" s="209"/>
      <c r="BB158" s="209"/>
      <c r="BC158" s="209"/>
      <c r="BD158" s="1019"/>
      <c r="BE158" s="2243"/>
      <c r="BF158" s="241"/>
      <c r="BG158" s="241"/>
      <c r="BH158" s="241"/>
      <c r="BI158" s="1019"/>
      <c r="BJ158" s="223"/>
      <c r="BK158" s="223"/>
      <c r="BL158" s="223"/>
      <c r="BM158" s="223"/>
      <c r="BN158" s="1019"/>
      <c r="BO158" s="209"/>
      <c r="BP158" s="209"/>
      <c r="BQ158" s="209"/>
      <c r="BR158" s="209"/>
      <c r="BS158" s="2244"/>
      <c r="BT158" s="209"/>
      <c r="BU158" s="223"/>
      <c r="BV158" s="209"/>
      <c r="BW158" s="223"/>
      <c r="BX158" s="1019"/>
      <c r="BY158" s="209"/>
      <c r="BZ158" s="209"/>
      <c r="CA158" s="209"/>
      <c r="CB158" s="209"/>
      <c r="CC158" s="2244"/>
      <c r="CD158" s="209"/>
      <c r="CE158" s="223"/>
      <c r="CF158" s="209"/>
      <c r="CG158" s="223"/>
      <c r="CH158" s="1019"/>
      <c r="CI158" s="616"/>
      <c r="CJ158" s="238"/>
      <c r="CK158" s="209"/>
      <c r="CL158" s="223"/>
      <c r="CM158" s="1019"/>
      <c r="CN158" s="209"/>
      <c r="CO158" s="209"/>
      <c r="CP158" s="209"/>
      <c r="CQ158" s="209"/>
      <c r="CR158" s="1019"/>
      <c r="CS158" s="1669"/>
      <c r="CT158" s="209"/>
      <c r="CU158" s="209"/>
      <c r="CV158" s="127"/>
      <c r="CW158" s="1229"/>
      <c r="CX158" s="127"/>
      <c r="CY158" s="127"/>
      <c r="CZ158" s="127"/>
      <c r="DA158" s="127"/>
      <c r="DB158" s="1229"/>
      <c r="DC158" s="127"/>
      <c r="DD158" s="127"/>
      <c r="DE158" s="127"/>
      <c r="DF158" s="127"/>
      <c r="DG158" s="1229"/>
      <c r="DH158" s="5190"/>
      <c r="DI158" s="5190"/>
      <c r="DJ158" s="5190"/>
      <c r="DK158" s="6202"/>
      <c r="DL158" s="5191"/>
      <c r="DM158" s="5190"/>
      <c r="DN158" s="5190"/>
      <c r="DO158" s="5190"/>
      <c r="DP158" s="5190"/>
      <c r="DQ158" s="5191"/>
      <c r="DR158" s="5190"/>
      <c r="DS158" s="5190"/>
      <c r="DT158" s="5190"/>
      <c r="DU158" s="5190"/>
      <c r="DV158" s="5191"/>
      <c r="DW158" s="5190"/>
      <c r="DX158" s="5190"/>
      <c r="DY158" s="5190"/>
      <c r="DZ158" s="5190"/>
      <c r="EA158" s="5191"/>
      <c r="EB158" s="5190"/>
      <c r="EC158" s="5190"/>
      <c r="ED158" s="5863"/>
      <c r="EE158" s="5190"/>
      <c r="EF158" s="5191"/>
      <c r="EG158" s="5190"/>
      <c r="EH158" s="5863"/>
      <c r="EI158" s="5190"/>
      <c r="EJ158" s="5190"/>
      <c r="EK158" s="5191"/>
      <c r="EL158" s="5190"/>
      <c r="EM158" s="5190"/>
      <c r="EN158" s="5190"/>
      <c r="EO158" s="5190"/>
      <c r="EP158" s="5191"/>
      <c r="EQ158" s="5190"/>
      <c r="ER158" s="5190"/>
      <c r="ES158" s="5190"/>
      <c r="ET158" s="5190"/>
      <c r="EU158" s="5191"/>
      <c r="EV158" s="5191"/>
      <c r="EW158" s="5191"/>
      <c r="EX158" s="5191"/>
      <c r="EY158" s="5191"/>
      <c r="EZ158" s="209"/>
      <c r="FA158" s="725"/>
      <c r="FB158" s="725"/>
    </row>
    <row r="159" spans="1:158" s="234" customFormat="1" ht="11.25" customHeight="1">
      <c r="A159" s="6171" t="s">
        <v>45</v>
      </c>
      <c r="B159" s="209"/>
      <c r="C159" s="209"/>
      <c r="D159" s="209"/>
      <c r="E159" s="209"/>
      <c r="F159" s="4303"/>
      <c r="G159" s="209"/>
      <c r="H159" s="209"/>
      <c r="I159" s="209"/>
      <c r="J159" s="209"/>
      <c r="K159" s="1019"/>
      <c r="L159" s="209"/>
      <c r="M159" s="209"/>
      <c r="N159" s="209"/>
      <c r="O159" s="209"/>
      <c r="P159" s="1043"/>
      <c r="Q159" s="2242"/>
      <c r="R159" s="209"/>
      <c r="S159" s="209"/>
      <c r="T159" s="209"/>
      <c r="U159" s="1043"/>
      <c r="V159" s="2242"/>
      <c r="W159" s="209"/>
      <c r="X159" s="209"/>
      <c r="Y159" s="209"/>
      <c r="Z159" s="1043"/>
      <c r="AA159" s="2242"/>
      <c r="AB159" s="209"/>
      <c r="AC159" s="209"/>
      <c r="AD159" s="209"/>
      <c r="AE159" s="1043"/>
      <c r="AF159" s="2242"/>
      <c r="AG159" s="209"/>
      <c r="AH159" s="209"/>
      <c r="AI159" s="209"/>
      <c r="AJ159" s="1043"/>
      <c r="AK159" s="2242"/>
      <c r="AL159" s="209"/>
      <c r="AM159" s="209"/>
      <c r="AN159" s="2612"/>
      <c r="AO159" s="1043"/>
      <c r="AP159" s="2242"/>
      <c r="AQ159" s="209"/>
      <c r="AR159" s="209"/>
      <c r="AS159" s="209"/>
      <c r="AT159" s="1043"/>
      <c r="AU159" s="2242"/>
      <c r="AV159" s="209"/>
      <c r="AW159" s="209"/>
      <c r="AX159" s="209"/>
      <c r="AY159" s="1043"/>
      <c r="AZ159" s="2242"/>
      <c r="BA159" s="209"/>
      <c r="BB159" s="209"/>
      <c r="BC159" s="209"/>
      <c r="BD159" s="1043"/>
      <c r="BE159" s="2243"/>
      <c r="BF159" s="241"/>
      <c r="BG159" s="241"/>
      <c r="BH159" s="241"/>
      <c r="BI159" s="1043"/>
      <c r="BJ159" s="223"/>
      <c r="BK159" s="223"/>
      <c r="BL159" s="223"/>
      <c r="BM159" s="223"/>
      <c r="BN159" s="1043"/>
      <c r="BO159" s="534"/>
      <c r="BP159" s="534"/>
      <c r="BQ159" s="534"/>
      <c r="BR159" s="534"/>
      <c r="BS159" s="2471"/>
      <c r="BT159" s="209"/>
      <c r="BU159" s="223"/>
      <c r="BV159" s="209"/>
      <c r="BW159" s="223"/>
      <c r="BX159" s="1043"/>
      <c r="BY159" s="534"/>
      <c r="BZ159" s="534"/>
      <c r="CA159" s="534"/>
      <c r="CB159" s="534"/>
      <c r="CC159" s="2471"/>
      <c r="CD159" s="241"/>
      <c r="CE159" s="238"/>
      <c r="CF159" s="241"/>
      <c r="CG159" s="238"/>
      <c r="CH159" s="1019"/>
      <c r="CI159" s="616"/>
      <c r="CJ159" s="238"/>
      <c r="CK159" s="241"/>
      <c r="CL159" s="238"/>
      <c r="CM159" s="1019"/>
      <c r="CN159" s="241"/>
      <c r="CO159" s="238"/>
      <c r="CP159" s="241"/>
      <c r="CQ159" s="238"/>
      <c r="CR159" s="1019"/>
      <c r="CS159" s="257"/>
      <c r="CT159" s="241"/>
      <c r="CU159" s="241"/>
      <c r="CV159" s="241"/>
      <c r="CW159" s="1019"/>
      <c r="CX159" s="241">
        <v>0.08</v>
      </c>
      <c r="CY159" s="241">
        <v>0.03</v>
      </c>
      <c r="CZ159" s="241">
        <v>0.04</v>
      </c>
      <c r="DA159" s="241">
        <v>-0.03</v>
      </c>
      <c r="DB159" s="1019">
        <f>AVERAGE(CX159:DA159)</f>
        <v>0.03</v>
      </c>
      <c r="DC159" s="241">
        <v>0</v>
      </c>
      <c r="DD159" s="241">
        <v>0.01</v>
      </c>
      <c r="DE159" s="241">
        <v>0.01</v>
      </c>
      <c r="DF159" s="241">
        <v>7.0000000000000007E-2</v>
      </c>
      <c r="DG159" s="4505">
        <v>0.02</v>
      </c>
      <c r="DH159" s="5177">
        <v>0.06</v>
      </c>
      <c r="DI159" s="5177">
        <v>0.11</v>
      </c>
      <c r="DJ159" s="5177">
        <v>0.12</v>
      </c>
      <c r="DK159" s="5178"/>
      <c r="DL159" s="5179">
        <v>0.09</v>
      </c>
      <c r="DM159" s="5177">
        <v>0.12</v>
      </c>
      <c r="DN159" s="5177">
        <v>0.16</v>
      </c>
      <c r="DO159" s="5177">
        <v>0.15</v>
      </c>
      <c r="DP159" s="5180"/>
      <c r="DQ159" s="5179">
        <v>0.15</v>
      </c>
      <c r="DR159" s="5177">
        <v>7.0000000000000007E-2</v>
      </c>
      <c r="DS159" s="5177">
        <v>-0.01</v>
      </c>
      <c r="DT159" s="5177">
        <v>0.02</v>
      </c>
      <c r="DU159" s="5180"/>
      <c r="DV159" s="5179">
        <v>0.02</v>
      </c>
      <c r="DW159" s="5177">
        <v>0.05</v>
      </c>
      <c r="DX159" s="5177">
        <v>0.06</v>
      </c>
      <c r="DY159" s="5177">
        <v>0.03</v>
      </c>
      <c r="DZ159" s="5180"/>
      <c r="EA159" s="5179">
        <v>0.03</v>
      </c>
      <c r="EB159" s="5177">
        <v>-0.05</v>
      </c>
      <c r="EC159" s="5177">
        <v>0</v>
      </c>
      <c r="ED159" s="5177">
        <v>-0.03</v>
      </c>
      <c r="EE159" s="5180"/>
      <c r="EF159" s="5179">
        <v>-0.05</v>
      </c>
      <c r="EG159" s="5177">
        <v>-0.13</v>
      </c>
      <c r="EH159" s="5177">
        <v>-0.17</v>
      </c>
      <c r="EI159" s="5177">
        <v>-0.14000000000000001</v>
      </c>
      <c r="EJ159" s="5180"/>
      <c r="EK159" s="5179">
        <v>-0.11</v>
      </c>
      <c r="EL159" s="5177">
        <v>-0.05</v>
      </c>
      <c r="EM159" s="5177">
        <v>-0.06</v>
      </c>
      <c r="EN159" s="5177">
        <v>-0.05</v>
      </c>
      <c r="EO159" s="5180"/>
      <c r="EP159" s="1716"/>
      <c r="EQ159" s="5180"/>
      <c r="ER159" s="5180"/>
      <c r="ES159" s="5180"/>
      <c r="ET159" s="5180"/>
      <c r="EU159" s="1716"/>
      <c r="EV159" s="5181"/>
      <c r="EW159" s="5181"/>
      <c r="EX159" s="5181"/>
      <c r="EY159" s="5181"/>
      <c r="EZ159" s="209"/>
      <c r="FA159" s="4268"/>
      <c r="FB159" s="4268"/>
    </row>
    <row r="160" spans="1:158" s="234" customFormat="1" ht="11.25" hidden="1" customHeight="1" outlineLevel="1">
      <c r="A160" s="6171" t="s">
        <v>46</v>
      </c>
      <c r="B160" s="209"/>
      <c r="C160" s="209"/>
      <c r="D160" s="209"/>
      <c r="E160" s="209"/>
      <c r="F160" s="4303"/>
      <c r="G160" s="209"/>
      <c r="H160" s="209"/>
      <c r="I160" s="209"/>
      <c r="J160" s="209"/>
      <c r="K160" s="1019"/>
      <c r="L160" s="209"/>
      <c r="M160" s="209"/>
      <c r="N160" s="209"/>
      <c r="O160" s="209"/>
      <c r="P160" s="1019"/>
      <c r="Q160" s="2242"/>
      <c r="R160" s="209"/>
      <c r="S160" s="209"/>
      <c r="T160" s="209"/>
      <c r="U160" s="1019"/>
      <c r="V160" s="2242"/>
      <c r="W160" s="209"/>
      <c r="X160" s="209"/>
      <c r="Y160" s="209"/>
      <c r="Z160" s="1019"/>
      <c r="AA160" s="2242"/>
      <c r="AB160" s="209"/>
      <c r="AC160" s="209"/>
      <c r="AD160" s="209"/>
      <c r="AE160" s="1019"/>
      <c r="AF160" s="2242"/>
      <c r="AG160" s="209"/>
      <c r="AH160" s="209"/>
      <c r="AI160" s="209"/>
      <c r="AJ160" s="1019"/>
      <c r="AK160" s="2242"/>
      <c r="AL160" s="209"/>
      <c r="AM160" s="209"/>
      <c r="AN160" s="2612"/>
      <c r="AO160" s="1019"/>
      <c r="AP160" s="2242"/>
      <c r="AQ160" s="209"/>
      <c r="AR160" s="209"/>
      <c r="AS160" s="209"/>
      <c r="AT160" s="1019"/>
      <c r="AU160" s="2242"/>
      <c r="AV160" s="209"/>
      <c r="AW160" s="209"/>
      <c r="AX160" s="209"/>
      <c r="AY160" s="1019"/>
      <c r="AZ160" s="2242"/>
      <c r="BA160" s="209"/>
      <c r="BB160" s="209"/>
      <c r="BC160" s="209"/>
      <c r="BD160" s="1019"/>
      <c r="BE160" s="2243"/>
      <c r="BF160" s="241"/>
      <c r="BG160" s="241"/>
      <c r="BH160" s="241"/>
      <c r="BI160" s="1019"/>
      <c r="BJ160" s="223"/>
      <c r="BK160" s="223"/>
      <c r="BL160" s="223"/>
      <c r="BM160" s="223"/>
      <c r="BN160" s="1019"/>
      <c r="BO160" s="209"/>
      <c r="BP160" s="209"/>
      <c r="BQ160" s="209"/>
      <c r="BR160" s="209"/>
      <c r="BS160" s="2244"/>
      <c r="BT160" s="209"/>
      <c r="BU160" s="223"/>
      <c r="BV160" s="209"/>
      <c r="BW160" s="223"/>
      <c r="BX160" s="1019"/>
      <c r="BY160" s="209"/>
      <c r="BZ160" s="209"/>
      <c r="CA160" s="209"/>
      <c r="CB160" s="209"/>
      <c r="CC160" s="2244"/>
      <c r="CD160" s="241"/>
      <c r="CE160" s="238"/>
      <c r="CF160" s="241"/>
      <c r="CG160" s="238"/>
      <c r="CH160" s="1019"/>
      <c r="CI160" s="616"/>
      <c r="CJ160" s="238"/>
      <c r="CK160" s="241"/>
      <c r="CL160" s="238"/>
      <c r="CM160" s="1019"/>
      <c r="CN160" s="241"/>
      <c r="CO160" s="238"/>
      <c r="CP160" s="241"/>
      <c r="CQ160" s="238"/>
      <c r="CR160" s="1019"/>
      <c r="CS160" s="257"/>
      <c r="CT160" s="241"/>
      <c r="CU160" s="241"/>
      <c r="CV160" s="241"/>
      <c r="CW160" s="1019"/>
      <c r="CX160" s="241">
        <v>0.01</v>
      </c>
      <c r="CY160" s="241">
        <v>-0.05</v>
      </c>
      <c r="CZ160" s="241">
        <v>-0.01</v>
      </c>
      <c r="DA160" s="241">
        <v>0.01</v>
      </c>
      <c r="DB160" s="1019"/>
      <c r="DC160" s="241">
        <v>0.05</v>
      </c>
      <c r="DD160" s="241">
        <v>-0.04</v>
      </c>
      <c r="DE160" s="241">
        <v>-0.01</v>
      </c>
      <c r="DF160" s="241">
        <v>7.0000000000000007E-2</v>
      </c>
      <c r="DG160" s="1019"/>
      <c r="DH160" s="5177">
        <v>0.05</v>
      </c>
      <c r="DI160" s="5177">
        <v>0</v>
      </c>
      <c r="DJ160" s="5177">
        <v>0</v>
      </c>
      <c r="DK160" s="5178"/>
      <c r="DL160" s="1716"/>
      <c r="DM160" s="510"/>
      <c r="DN160" s="510"/>
      <c r="DO160" s="510"/>
      <c r="DP160" s="510"/>
      <c r="DQ160" s="1716"/>
      <c r="DR160" s="510"/>
      <c r="DS160" s="510"/>
      <c r="DT160" s="510"/>
      <c r="DU160" s="510"/>
      <c r="DV160" s="1716"/>
      <c r="DW160" s="510"/>
      <c r="DX160" s="510"/>
      <c r="DY160" s="510"/>
      <c r="DZ160" s="510"/>
      <c r="EA160" s="1716"/>
      <c r="EB160" s="510"/>
      <c r="EC160" s="510"/>
      <c r="ED160" s="5177"/>
      <c r="EE160" s="510"/>
      <c r="EF160" s="1716"/>
      <c r="EG160" s="510"/>
      <c r="EH160" s="5177"/>
      <c r="EI160" s="510"/>
      <c r="EJ160" s="510"/>
      <c r="EK160" s="1716"/>
      <c r="EL160" s="510"/>
      <c r="EM160" s="510"/>
      <c r="EN160" s="510"/>
      <c r="EO160" s="510"/>
      <c r="EP160" s="1716"/>
      <c r="EQ160" s="510"/>
      <c r="ER160" s="510"/>
      <c r="ES160" s="510"/>
      <c r="ET160" s="510"/>
      <c r="EU160" s="1716"/>
      <c r="EV160" s="5183"/>
      <c r="EW160" s="5183"/>
      <c r="EX160" s="5183"/>
      <c r="EY160" s="5183"/>
      <c r="EZ160" s="209"/>
      <c r="FA160" s="4268"/>
      <c r="FB160" s="4268"/>
    </row>
    <row r="161" spans="1:158" s="234" customFormat="1" ht="11.25" customHeight="1" collapsed="1">
      <c r="A161" s="4477"/>
      <c r="B161" s="209"/>
      <c r="C161" s="209"/>
      <c r="D161" s="209"/>
      <c r="E161" s="209"/>
      <c r="F161" s="4303"/>
      <c r="G161" s="209"/>
      <c r="H161" s="209"/>
      <c r="I161" s="209"/>
      <c r="J161" s="209"/>
      <c r="K161" s="1019"/>
      <c r="L161" s="209"/>
      <c r="M161" s="209"/>
      <c r="N161" s="209"/>
      <c r="O161" s="209"/>
      <c r="P161" s="1019"/>
      <c r="Q161" s="2242"/>
      <c r="R161" s="209"/>
      <c r="S161" s="209"/>
      <c r="T161" s="209"/>
      <c r="U161" s="1019"/>
      <c r="V161" s="2242"/>
      <c r="W161" s="209"/>
      <c r="X161" s="209"/>
      <c r="Y161" s="209"/>
      <c r="Z161" s="1019"/>
      <c r="AA161" s="2242"/>
      <c r="AB161" s="209"/>
      <c r="AC161" s="209"/>
      <c r="AD161" s="209"/>
      <c r="AE161" s="1019"/>
      <c r="AF161" s="2242"/>
      <c r="AG161" s="209"/>
      <c r="AH161" s="209"/>
      <c r="AI161" s="209"/>
      <c r="AJ161" s="1019"/>
      <c r="AK161" s="2242"/>
      <c r="AL161" s="209"/>
      <c r="AM161" s="209"/>
      <c r="AN161" s="2612"/>
      <c r="AO161" s="1019"/>
      <c r="AP161" s="2242"/>
      <c r="AQ161" s="209"/>
      <c r="AR161" s="209"/>
      <c r="AS161" s="209"/>
      <c r="AT161" s="1019"/>
      <c r="AU161" s="2242"/>
      <c r="AV161" s="209"/>
      <c r="AW161" s="209"/>
      <c r="AX161" s="209"/>
      <c r="AY161" s="1019"/>
      <c r="AZ161" s="2242"/>
      <c r="BA161" s="209"/>
      <c r="BB161" s="209"/>
      <c r="BC161" s="209"/>
      <c r="BD161" s="1019"/>
      <c r="BE161" s="2243"/>
      <c r="BF161" s="241"/>
      <c r="BG161" s="241"/>
      <c r="BH161" s="241"/>
      <c r="BI161" s="1019"/>
      <c r="BJ161" s="223"/>
      <c r="BK161" s="223"/>
      <c r="BL161" s="223"/>
      <c r="BM161" s="223"/>
      <c r="BN161" s="1019"/>
      <c r="BO161" s="209"/>
      <c r="BP161" s="209"/>
      <c r="BQ161" s="209"/>
      <c r="BR161" s="209"/>
      <c r="BS161" s="2244"/>
      <c r="BT161" s="209"/>
      <c r="BU161" s="223"/>
      <c r="BV161" s="209"/>
      <c r="BW161" s="223"/>
      <c r="BX161" s="1019"/>
      <c r="BY161" s="209"/>
      <c r="BZ161" s="209"/>
      <c r="CA161" s="209"/>
      <c r="CB161" s="209"/>
      <c r="CC161" s="2244"/>
      <c r="CD161" s="209"/>
      <c r="CE161" s="223"/>
      <c r="CF161" s="209"/>
      <c r="CG161" s="223"/>
      <c r="CH161" s="1019"/>
      <c r="CI161" s="556"/>
      <c r="CJ161" s="223"/>
      <c r="CK161" s="209"/>
      <c r="CL161" s="223"/>
      <c r="CM161" s="1019"/>
      <c r="CN161" s="209"/>
      <c r="CO161" s="223"/>
      <c r="CP161" s="209"/>
      <c r="CQ161" s="223"/>
      <c r="CR161" s="1019"/>
      <c r="CS161" s="209"/>
      <c r="CT161" s="209"/>
      <c r="CU161" s="209"/>
      <c r="CV161" s="241"/>
      <c r="CW161" s="1019"/>
      <c r="CX161" s="209"/>
      <c r="CY161" s="209"/>
      <c r="CZ161" s="209"/>
      <c r="DA161" s="209"/>
      <c r="DB161" s="1019"/>
      <c r="DC161" s="209"/>
      <c r="DD161" s="209"/>
      <c r="DE161" s="209"/>
      <c r="DF161" s="209"/>
      <c r="DG161" s="1019"/>
      <c r="DH161" s="510"/>
      <c r="DI161" s="510"/>
      <c r="DJ161" s="510"/>
      <c r="DK161" s="5178"/>
      <c r="DL161" s="1716"/>
      <c r="DM161" s="510"/>
      <c r="DN161" s="510"/>
      <c r="DO161" s="510"/>
      <c r="DP161" s="510"/>
      <c r="DQ161" s="1716"/>
      <c r="DR161" s="510"/>
      <c r="DS161" s="510"/>
      <c r="DT161" s="510"/>
      <c r="DU161" s="510"/>
      <c r="DV161" s="1716"/>
      <c r="DW161" s="510"/>
      <c r="DX161" s="510"/>
      <c r="DY161" s="510"/>
      <c r="DZ161" s="510"/>
      <c r="EA161" s="1716"/>
      <c r="EB161" s="510"/>
      <c r="EC161" s="510"/>
      <c r="ED161" s="5177"/>
      <c r="EE161" s="510"/>
      <c r="EF161" s="1716"/>
      <c r="EG161" s="510"/>
      <c r="EH161" s="5177"/>
      <c r="EI161" s="510"/>
      <c r="EJ161" s="510"/>
      <c r="EK161" s="1716"/>
      <c r="EL161" s="510"/>
      <c r="EM161" s="510"/>
      <c r="EN161" s="510"/>
      <c r="EO161" s="510"/>
      <c r="EP161" s="1716"/>
      <c r="EQ161" s="510"/>
      <c r="ER161" s="510"/>
      <c r="ES161" s="510"/>
      <c r="ET161" s="510"/>
      <c r="EU161" s="1716"/>
      <c r="EV161" s="1716"/>
      <c r="EW161" s="1716"/>
      <c r="EX161" s="1716"/>
      <c r="EY161" s="1716"/>
      <c r="EZ161" s="209"/>
      <c r="FA161" s="4268"/>
      <c r="FB161" s="4268"/>
    </row>
    <row r="162" spans="1:158" s="239" customFormat="1" ht="11.25" customHeight="1">
      <c r="A162" s="5671" t="s">
        <v>1150</v>
      </c>
      <c r="B162" s="209"/>
      <c r="C162" s="209"/>
      <c r="D162" s="209"/>
      <c r="E162" s="209"/>
      <c r="F162" s="4303"/>
      <c r="G162" s="209"/>
      <c r="H162" s="209"/>
      <c r="I162" s="209"/>
      <c r="J162" s="209"/>
      <c r="K162" s="1019"/>
      <c r="L162" s="209"/>
      <c r="M162" s="209"/>
      <c r="N162" s="209"/>
      <c r="O162" s="209"/>
      <c r="P162" s="1020"/>
      <c r="Q162" s="2242"/>
      <c r="R162" s="209"/>
      <c r="S162" s="209"/>
      <c r="T162" s="209"/>
      <c r="U162" s="1020"/>
      <c r="V162" s="2242"/>
      <c r="W162" s="209"/>
      <c r="X162" s="209"/>
      <c r="Y162" s="209"/>
      <c r="Z162" s="1020"/>
      <c r="AA162" s="2242"/>
      <c r="AB162" s="209"/>
      <c r="AC162" s="209"/>
      <c r="AD162" s="209"/>
      <c r="AE162" s="1020"/>
      <c r="AF162" s="2242"/>
      <c r="AG162" s="209"/>
      <c r="AH162" s="209"/>
      <c r="AI162" s="209"/>
      <c r="AJ162" s="1020"/>
      <c r="AK162" s="2242"/>
      <c r="AL162" s="209"/>
      <c r="AM162" s="209"/>
      <c r="AN162" s="209"/>
      <c r="AO162" s="1020"/>
      <c r="AP162" s="2242"/>
      <c r="AQ162" s="209"/>
      <c r="AR162" s="209"/>
      <c r="AS162" s="209"/>
      <c r="AT162" s="1020"/>
      <c r="AU162" s="2242"/>
      <c r="AV162" s="209"/>
      <c r="AW162" s="209"/>
      <c r="AX162" s="209"/>
      <c r="AY162" s="1020"/>
      <c r="AZ162" s="1226"/>
      <c r="BA162" s="209"/>
      <c r="BB162" s="209"/>
      <c r="BC162" s="209"/>
      <c r="BD162" s="1020"/>
      <c r="BE162" s="2243"/>
      <c r="BF162" s="241"/>
      <c r="BG162" s="241"/>
      <c r="BH162" s="241"/>
      <c r="BI162" s="1020"/>
      <c r="BJ162" s="2243"/>
      <c r="BK162" s="209"/>
      <c r="BL162" s="209"/>
      <c r="BM162" s="209"/>
      <c r="BN162" s="1020"/>
      <c r="BO162" s="223"/>
      <c r="BP162" s="223"/>
      <c r="BQ162" s="223"/>
      <c r="BR162" s="223"/>
      <c r="BS162" s="1050"/>
      <c r="BT162" s="209"/>
      <c r="BU162" s="209"/>
      <c r="BV162" s="209"/>
      <c r="BW162" s="209"/>
      <c r="BX162" s="1020"/>
      <c r="BY162" s="223"/>
      <c r="BZ162" s="223"/>
      <c r="CA162" s="223"/>
      <c r="CB162" s="223"/>
      <c r="CC162" s="1050"/>
      <c r="CD162" s="637"/>
      <c r="CE162" s="637"/>
      <c r="CF162" s="637"/>
      <c r="CG162" s="637"/>
      <c r="CH162" s="1020"/>
      <c r="CI162" s="588"/>
      <c r="CJ162" s="637"/>
      <c r="CK162" s="637"/>
      <c r="CL162" s="637"/>
      <c r="CM162" s="1020"/>
      <c r="CN162" s="244"/>
      <c r="CO162" s="637"/>
      <c r="CP162" s="637"/>
      <c r="CQ162" s="637"/>
      <c r="CR162" s="1020"/>
      <c r="CS162" s="223"/>
      <c r="CT162" s="223"/>
      <c r="CU162" s="223"/>
      <c r="CV162" s="238"/>
      <c r="CW162" s="1020"/>
      <c r="CX162" s="223"/>
      <c r="CY162" s="223"/>
      <c r="CZ162" s="223"/>
      <c r="DA162" s="223"/>
      <c r="DB162" s="1020"/>
      <c r="DC162" s="223"/>
      <c r="DD162" s="223"/>
      <c r="DE162" s="223"/>
      <c r="DF162" s="223"/>
      <c r="DG162" s="1020"/>
      <c r="DH162" s="5184"/>
      <c r="DI162" s="5184"/>
      <c r="DJ162" s="5184"/>
      <c r="DK162" s="6200"/>
      <c r="DL162" s="1460"/>
      <c r="DM162" s="5184"/>
      <c r="DN162" s="5184"/>
      <c r="DO162" s="5184"/>
      <c r="DP162" s="5184"/>
      <c r="DQ162" s="1460"/>
      <c r="DR162" s="5184"/>
      <c r="DS162" s="5184"/>
      <c r="DT162" s="5184"/>
      <c r="DU162" s="5184"/>
      <c r="DV162" s="1460"/>
      <c r="DW162" s="5184"/>
      <c r="DX162" s="5184"/>
      <c r="DY162" s="5184"/>
      <c r="DZ162" s="5184"/>
      <c r="EA162" s="1460"/>
      <c r="EB162" s="5184"/>
      <c r="EC162" s="5184"/>
      <c r="ED162" s="5187"/>
      <c r="EE162" s="5184"/>
      <c r="EF162" s="1460"/>
      <c r="EG162" s="5184"/>
      <c r="EH162" s="5187"/>
      <c r="EI162" s="5184"/>
      <c r="EJ162" s="5184"/>
      <c r="EK162" s="1460"/>
      <c r="EL162" s="5184"/>
      <c r="EM162" s="5184"/>
      <c r="EN162" s="5184"/>
      <c r="EO162" s="5184"/>
      <c r="EP162" s="1460"/>
      <c r="EQ162" s="5184"/>
      <c r="ER162" s="5184"/>
      <c r="ES162" s="5184"/>
      <c r="ET162" s="5184"/>
      <c r="EU162" s="1460"/>
      <c r="EV162" s="1460"/>
      <c r="EW162" s="1460"/>
      <c r="EX162" s="1460"/>
      <c r="EY162" s="1460"/>
      <c r="EZ162" s="223"/>
      <c r="FA162" s="4268"/>
      <c r="FB162" s="4268"/>
    </row>
    <row r="163" spans="1:158" s="239" customFormat="1" ht="11.25" customHeight="1">
      <c r="A163" s="6171" t="s">
        <v>45</v>
      </c>
      <c r="B163" s="223"/>
      <c r="C163" s="223"/>
      <c r="D163" s="223"/>
      <c r="E163" s="223"/>
      <c r="F163" s="4304"/>
      <c r="G163" s="223"/>
      <c r="H163" s="223"/>
      <c r="I163" s="223"/>
      <c r="J163" s="223"/>
      <c r="K163" s="1020"/>
      <c r="L163" s="223"/>
      <c r="M163" s="223"/>
      <c r="N163" s="223"/>
      <c r="O163" s="223"/>
      <c r="P163" s="1043"/>
      <c r="Q163" s="1488"/>
      <c r="R163" s="223"/>
      <c r="S163" s="223"/>
      <c r="T163" s="223"/>
      <c r="U163" s="1043"/>
      <c r="V163" s="1488"/>
      <c r="W163" s="223"/>
      <c r="X163" s="223"/>
      <c r="Y163" s="223"/>
      <c r="Z163" s="1043"/>
      <c r="AA163" s="1488"/>
      <c r="AB163" s="223"/>
      <c r="AC163" s="223"/>
      <c r="AD163" s="223"/>
      <c r="AE163" s="1043"/>
      <c r="AF163" s="1488"/>
      <c r="AG163" s="223"/>
      <c r="AH163" s="223"/>
      <c r="AI163" s="223"/>
      <c r="AJ163" s="1043"/>
      <c r="AK163" s="1488"/>
      <c r="AL163" s="223"/>
      <c r="AM163" s="223"/>
      <c r="AN163" s="2612"/>
      <c r="AO163" s="1043"/>
      <c r="AP163" s="1226"/>
      <c r="AQ163" s="2612"/>
      <c r="AR163" s="2612"/>
      <c r="AS163" s="2612"/>
      <c r="AT163" s="1043"/>
      <c r="AU163" s="1226"/>
      <c r="AV163" s="2612"/>
      <c r="AW163" s="2612"/>
      <c r="AX163" s="2612"/>
      <c r="AY163" s="1043"/>
      <c r="AZ163" s="2472"/>
      <c r="BA163" s="236"/>
      <c r="BB163" s="236"/>
      <c r="BC163" s="243"/>
      <c r="BD163" s="1043"/>
      <c r="BE163" s="2473"/>
      <c r="BF163" s="244"/>
      <c r="BG163" s="244"/>
      <c r="BH163" s="245"/>
      <c r="BI163" s="1043"/>
      <c r="BJ163" s="2473"/>
      <c r="BK163" s="244"/>
      <c r="BL163" s="244"/>
      <c r="BM163" s="244"/>
      <c r="BN163" s="1043"/>
      <c r="BO163" s="534"/>
      <c r="BP163" s="534"/>
      <c r="BQ163" s="534"/>
      <c r="BR163" s="534"/>
      <c r="BS163" s="2471"/>
      <c r="BT163" s="244"/>
      <c r="BU163" s="244"/>
      <c r="BV163" s="244"/>
      <c r="BW163" s="244"/>
      <c r="BX163" s="1043"/>
      <c r="BY163" s="534"/>
      <c r="BZ163" s="534"/>
      <c r="CA163" s="534"/>
      <c r="CB163" s="534"/>
      <c r="CC163" s="2471"/>
      <c r="CD163" s="2473"/>
      <c r="CE163" s="244"/>
      <c r="CF163" s="244"/>
      <c r="CG163" s="244"/>
      <c r="CH163" s="1019"/>
      <c r="CI163" s="588"/>
      <c r="CJ163" s="244"/>
      <c r="CK163" s="244"/>
      <c r="CL163" s="244"/>
      <c r="CM163" s="1019"/>
      <c r="CN163" s="244"/>
      <c r="CO163" s="244"/>
      <c r="CP163" s="244"/>
      <c r="CQ163" s="244"/>
      <c r="CR163" s="1019"/>
      <c r="CS163" s="257"/>
      <c r="CT163" s="241"/>
      <c r="CU163" s="241"/>
      <c r="CV163" s="241"/>
      <c r="CW163" s="1019"/>
      <c r="CX163" s="241">
        <v>-0.02</v>
      </c>
      <c r="CY163" s="241">
        <v>7.0000000000000007E-2</v>
      </c>
      <c r="CZ163" s="241">
        <v>0.1</v>
      </c>
      <c r="DA163" s="241">
        <v>0.19</v>
      </c>
      <c r="DB163" s="1019">
        <f>AVERAGE(CX163:DA163)</f>
        <v>8.5000000000000006E-2</v>
      </c>
      <c r="DC163" s="241">
        <v>0.18</v>
      </c>
      <c r="DD163" s="241">
        <v>0.14000000000000001</v>
      </c>
      <c r="DE163" s="241">
        <v>0.11</v>
      </c>
      <c r="DF163" s="241">
        <v>0.05</v>
      </c>
      <c r="DG163" s="4505">
        <v>0.12</v>
      </c>
      <c r="DH163" s="5177">
        <v>0.01</v>
      </c>
      <c r="DI163" s="5177">
        <v>-0.01</v>
      </c>
      <c r="DJ163" s="5177">
        <v>-0.03</v>
      </c>
      <c r="DK163" s="5178"/>
      <c r="DL163" s="5179">
        <v>0.01</v>
      </c>
      <c r="DM163" s="5177">
        <v>-7.0000000000000007E-2</v>
      </c>
      <c r="DN163" s="5177">
        <v>-0.23</v>
      </c>
      <c r="DO163" s="5177">
        <v>-7.0000000000000007E-2</v>
      </c>
      <c r="DP163" s="5180"/>
      <c r="DQ163" s="5179">
        <v>-0.08</v>
      </c>
      <c r="DR163" s="5177">
        <v>0.19</v>
      </c>
      <c r="DS163" s="5177">
        <v>0.63</v>
      </c>
      <c r="DT163" s="5177">
        <v>0.39</v>
      </c>
      <c r="DU163" s="5180"/>
      <c r="DV163" s="5179">
        <v>0.35</v>
      </c>
      <c r="DW163" s="5177">
        <v>0.17</v>
      </c>
      <c r="DX163" s="5177">
        <v>0.02</v>
      </c>
      <c r="DY163" s="5177">
        <v>-0.05</v>
      </c>
      <c r="DZ163" s="5180"/>
      <c r="EA163" s="5179">
        <v>0.01</v>
      </c>
      <c r="EB163" s="5177">
        <v>-0.05</v>
      </c>
      <c r="EC163" s="5177">
        <v>-0.05</v>
      </c>
      <c r="ED163" s="5177">
        <v>0.01</v>
      </c>
      <c r="EE163" s="5180"/>
      <c r="EF163" s="5179">
        <v>0</v>
      </c>
      <c r="EG163" s="5177">
        <v>0.14000000000000001</v>
      </c>
      <c r="EH163" s="5177">
        <v>0.13</v>
      </c>
      <c r="EI163" s="5177">
        <v>0.15</v>
      </c>
      <c r="EJ163" s="5180"/>
      <c r="EK163" s="5179">
        <v>0.1</v>
      </c>
      <c r="EL163" s="5177">
        <v>0.04</v>
      </c>
      <c r="EM163" s="5177">
        <v>0.06</v>
      </c>
      <c r="EN163" s="5177">
        <v>0.06</v>
      </c>
      <c r="EO163" s="5180"/>
      <c r="EP163" s="1716"/>
      <c r="EQ163" s="5180"/>
      <c r="ER163" s="5180"/>
      <c r="ES163" s="5180"/>
      <c r="ET163" s="5180"/>
      <c r="EU163" s="1716"/>
      <c r="EV163" s="5192"/>
      <c r="EW163" s="5192"/>
      <c r="EX163" s="5192"/>
      <c r="EY163" s="5192"/>
      <c r="EZ163" s="223"/>
      <c r="FA163" s="4268"/>
      <c r="FB163" s="4268"/>
    </row>
    <row r="164" spans="1:158" s="239" customFormat="1" ht="11.25" hidden="1" customHeight="1" outlineLevel="1">
      <c r="A164" s="6171" t="s">
        <v>654</v>
      </c>
      <c r="B164" s="223"/>
      <c r="C164" s="223"/>
      <c r="D164" s="223"/>
      <c r="E164" s="223"/>
      <c r="F164" s="4304"/>
      <c r="G164" s="223"/>
      <c r="H164" s="223"/>
      <c r="I164" s="223"/>
      <c r="J164" s="223"/>
      <c r="K164" s="1020"/>
      <c r="L164" s="223"/>
      <c r="M164" s="223"/>
      <c r="N164" s="223"/>
      <c r="O164" s="223"/>
      <c r="P164" s="1043"/>
      <c r="Q164" s="1488"/>
      <c r="R164" s="223"/>
      <c r="S164" s="223"/>
      <c r="T164" s="223"/>
      <c r="U164" s="1043"/>
      <c r="V164" s="1488"/>
      <c r="W164" s="223"/>
      <c r="X164" s="223"/>
      <c r="Y164" s="223"/>
      <c r="Z164" s="1043"/>
      <c r="AA164" s="1488"/>
      <c r="AB164" s="223"/>
      <c r="AC164" s="223"/>
      <c r="AD164" s="223"/>
      <c r="AE164" s="1043"/>
      <c r="AF164" s="1488"/>
      <c r="AG164" s="223"/>
      <c r="AH164" s="223"/>
      <c r="AI164" s="223"/>
      <c r="AJ164" s="1043"/>
      <c r="AK164" s="1488"/>
      <c r="AL164" s="223"/>
      <c r="AM164" s="223"/>
      <c r="AN164" s="2612"/>
      <c r="AO164" s="1043"/>
      <c r="AP164" s="1226"/>
      <c r="AQ164" s="2612"/>
      <c r="AR164" s="2612"/>
      <c r="AS164" s="2612"/>
      <c r="AT164" s="1043"/>
      <c r="AU164" s="1226"/>
      <c r="AV164" s="2612"/>
      <c r="AW164" s="2612"/>
      <c r="AX164" s="2612"/>
      <c r="AY164" s="1043"/>
      <c r="AZ164" s="2472"/>
      <c r="BA164" s="236"/>
      <c r="BB164" s="236"/>
      <c r="BC164" s="236"/>
      <c r="BD164" s="1043"/>
      <c r="BE164" s="2473"/>
      <c r="BF164" s="244"/>
      <c r="BG164" s="244"/>
      <c r="BH164" s="244"/>
      <c r="BI164" s="1043"/>
      <c r="BJ164" s="2473"/>
      <c r="BK164" s="244"/>
      <c r="BL164" s="244"/>
      <c r="BM164" s="244"/>
      <c r="BN164" s="1043"/>
      <c r="BO164" s="534"/>
      <c r="BP164" s="534"/>
      <c r="BQ164" s="534"/>
      <c r="BR164" s="534"/>
      <c r="BS164" s="2471"/>
      <c r="BT164" s="244"/>
      <c r="BU164" s="244"/>
      <c r="BV164" s="244"/>
      <c r="BW164" s="244"/>
      <c r="BX164" s="2471"/>
      <c r="BY164" s="534"/>
      <c r="BZ164" s="534"/>
      <c r="CA164" s="534"/>
      <c r="CB164" s="534"/>
      <c r="CC164" s="2471"/>
      <c r="CD164" s="1226"/>
      <c r="CE164" s="2612"/>
      <c r="CF164" s="2612"/>
      <c r="CG164" s="2612"/>
      <c r="CH164" s="2244"/>
      <c r="CI164" s="2637"/>
      <c r="CJ164" s="2612"/>
      <c r="CK164" s="2612"/>
      <c r="CL164" s="2612"/>
      <c r="CM164" s="2244"/>
      <c r="CN164" s="2612"/>
      <c r="CO164" s="2612"/>
      <c r="CP164" s="2612"/>
      <c r="CQ164" s="2612"/>
      <c r="CR164" s="2244"/>
      <c r="CS164" s="209"/>
      <c r="CT164" s="209"/>
      <c r="CU164" s="209"/>
      <c r="CV164" s="209"/>
      <c r="CW164" s="2244"/>
      <c r="CX164" s="209">
        <f>(1+CX$470)/(1+CX159)-1</f>
        <v>5.1763572890333176E-3</v>
      </c>
      <c r="CY164" s="209">
        <f>(1+CY$470)/(1+CY159)-1</f>
        <v>0.10160325163606365</v>
      </c>
      <c r="CZ164" s="209">
        <f>(1+CZ$470)/(1+CZ159)-1</f>
        <v>0.1187031082529475</v>
      </c>
      <c r="DA164" s="209">
        <f>(1+DA$470)/(1+DA159)-1</f>
        <v>0.16098621008964487</v>
      </c>
      <c r="DB164" s="2244">
        <f>(1+DB470)/(1+DB159)-1</f>
        <v>9.4676066261918157E-2</v>
      </c>
      <c r="DC164" s="209">
        <f>(1+DC$470)/(1+DC159)-1</f>
        <v>0.15868263473053901</v>
      </c>
      <c r="DD164" s="209">
        <f>(1+DD$470)/(1+DD159)-1</f>
        <v>0.12484759189363714</v>
      </c>
      <c r="DE164" s="209">
        <f>(1+DE$470)/(1+DE159)-1</f>
        <v>0.1173388181747701</v>
      </c>
      <c r="DF164" s="209">
        <f>(1+DF$470)/(1+DF159)-1</f>
        <v>6.3517968832405236E-2</v>
      </c>
      <c r="DG164" s="2244">
        <f>(1+DG470)/(1+DG159)-1</f>
        <v>0.11755014515996454</v>
      </c>
      <c r="DH164" s="510">
        <f>(1+DH$470)/(1+DH159)-1</f>
        <v>4.7245806122201861E-2</v>
      </c>
      <c r="DI164" s="510">
        <f>(1+DI$470)/(1+DI159)-1</f>
        <v>7.9773432135903377E-3</v>
      </c>
      <c r="DJ164" s="510">
        <f>(1+DJ$470)/(1+DJ159)-1</f>
        <v>-3.3262361623297543E-2</v>
      </c>
      <c r="DK164" s="5182"/>
      <c r="DL164" s="5183"/>
      <c r="DM164" s="510"/>
      <c r="DN164" s="510"/>
      <c r="DO164" s="510"/>
      <c r="DP164" s="510"/>
      <c r="DQ164" s="5183"/>
      <c r="DR164" s="510"/>
      <c r="DS164" s="510"/>
      <c r="DT164" s="510"/>
      <c r="DU164" s="510"/>
      <c r="DV164" s="5183"/>
      <c r="DW164" s="510"/>
      <c r="DX164" s="510"/>
      <c r="DY164" s="510"/>
      <c r="DZ164" s="510"/>
      <c r="EA164" s="5183"/>
      <c r="EB164" s="510"/>
      <c r="EC164" s="510"/>
      <c r="ED164" s="510"/>
      <c r="EE164" s="510"/>
      <c r="EF164" s="5183"/>
      <c r="EG164" s="510"/>
      <c r="EH164" s="510"/>
      <c r="EI164" s="510"/>
      <c r="EJ164" s="510"/>
      <c r="EK164" s="5183"/>
      <c r="EL164" s="510"/>
      <c r="EM164" s="510"/>
      <c r="EN164" s="510"/>
      <c r="EO164" s="510"/>
      <c r="EP164" s="5183"/>
      <c r="EQ164" s="510"/>
      <c r="ER164" s="510"/>
      <c r="ES164" s="510"/>
      <c r="ET164" s="510"/>
      <c r="EU164" s="5183"/>
      <c r="EV164" s="5183"/>
      <c r="EW164" s="5183"/>
      <c r="EX164" s="5183"/>
      <c r="EY164" s="5183"/>
      <c r="EZ164" s="223"/>
      <c r="FA164" s="4268"/>
      <c r="FB164" s="4268"/>
    </row>
    <row r="165" spans="1:158" s="239" customFormat="1" ht="11.25" hidden="1" customHeight="1" outlineLevel="1" collapsed="1">
      <c r="A165" s="6171" t="s">
        <v>46</v>
      </c>
      <c r="B165" s="223"/>
      <c r="C165" s="223"/>
      <c r="D165" s="223"/>
      <c r="E165" s="223"/>
      <c r="F165" s="4304"/>
      <c r="G165" s="223"/>
      <c r="H165" s="223"/>
      <c r="I165" s="223"/>
      <c r="J165" s="223"/>
      <c r="K165" s="1020"/>
      <c r="L165" s="223"/>
      <c r="M165" s="223"/>
      <c r="N165" s="223"/>
      <c r="O165" s="223"/>
      <c r="P165" s="1020"/>
      <c r="Q165" s="1488"/>
      <c r="R165" s="223"/>
      <c r="S165" s="223"/>
      <c r="T165" s="223"/>
      <c r="U165" s="1020"/>
      <c r="V165" s="1488"/>
      <c r="W165" s="223"/>
      <c r="X165" s="223"/>
      <c r="Y165" s="223"/>
      <c r="Z165" s="1020"/>
      <c r="AA165" s="1488"/>
      <c r="AB165" s="223"/>
      <c r="AC165" s="223"/>
      <c r="AD165" s="223"/>
      <c r="AE165" s="1020"/>
      <c r="AF165" s="1488"/>
      <c r="AG165" s="223"/>
      <c r="AH165" s="223"/>
      <c r="AI165" s="223"/>
      <c r="AJ165" s="1020"/>
      <c r="AK165" s="1488"/>
      <c r="AL165" s="223"/>
      <c r="AM165" s="223"/>
      <c r="AN165" s="2612"/>
      <c r="AO165" s="1020"/>
      <c r="AP165" s="1226"/>
      <c r="AQ165" s="2612"/>
      <c r="AR165" s="2612"/>
      <c r="AS165" s="2612"/>
      <c r="AT165" s="1020"/>
      <c r="AU165" s="1226"/>
      <c r="AV165" s="2612"/>
      <c r="AW165" s="2612"/>
      <c r="AX165" s="2612"/>
      <c r="AY165" s="1020"/>
      <c r="AZ165" s="2472"/>
      <c r="BA165" s="236"/>
      <c r="BB165" s="236"/>
      <c r="BC165" s="236"/>
      <c r="BD165" s="1020"/>
      <c r="BE165" s="2473"/>
      <c r="BF165" s="244"/>
      <c r="BG165" s="244"/>
      <c r="BH165" s="244"/>
      <c r="BI165" s="1020"/>
      <c r="BJ165" s="2473"/>
      <c r="BK165" s="244"/>
      <c r="BL165" s="244"/>
      <c r="BM165" s="244"/>
      <c r="BN165" s="1020"/>
      <c r="BO165" s="223"/>
      <c r="BP165" s="223"/>
      <c r="BQ165" s="223"/>
      <c r="BR165" s="223"/>
      <c r="BS165" s="1050"/>
      <c r="BT165" s="244"/>
      <c r="BU165" s="244"/>
      <c r="BV165" s="244"/>
      <c r="BW165" s="244"/>
      <c r="BX165" s="1020"/>
      <c r="BY165" s="223"/>
      <c r="BZ165" s="223"/>
      <c r="CA165" s="223"/>
      <c r="CB165" s="223"/>
      <c r="CC165" s="1050"/>
      <c r="CD165" s="2473"/>
      <c r="CE165" s="244"/>
      <c r="CF165" s="244"/>
      <c r="CG165" s="244"/>
      <c r="CH165" s="1020"/>
      <c r="CI165" s="588"/>
      <c r="CJ165" s="244"/>
      <c r="CK165" s="244"/>
      <c r="CL165" s="244"/>
      <c r="CM165" s="1020"/>
      <c r="CN165" s="244"/>
      <c r="CO165" s="244"/>
      <c r="CP165" s="244"/>
      <c r="CQ165" s="244"/>
      <c r="CR165" s="1020"/>
      <c r="CS165" s="237"/>
      <c r="CT165" s="238"/>
      <c r="CU165" s="238"/>
      <c r="CV165" s="238"/>
      <c r="CW165" s="1020"/>
      <c r="CX165" s="238">
        <v>-0.1</v>
      </c>
      <c r="CY165" s="238">
        <v>0.11</v>
      </c>
      <c r="CZ165" s="238">
        <v>0.05</v>
      </c>
      <c r="DA165" s="238">
        <v>0.14000000000000001</v>
      </c>
      <c r="DB165" s="1020"/>
      <c r="DC165" s="238">
        <v>-0.1</v>
      </c>
      <c r="DD165" s="238">
        <v>7.0000000000000007E-2</v>
      </c>
      <c r="DE165" s="238">
        <v>0.02</v>
      </c>
      <c r="DF165" s="238">
        <v>7.0000000000000007E-2</v>
      </c>
      <c r="DG165" s="1020"/>
      <c r="DH165" s="5187">
        <v>-0.14000000000000001</v>
      </c>
      <c r="DI165" s="5187">
        <v>0.05</v>
      </c>
      <c r="DJ165" s="5187">
        <v>0</v>
      </c>
      <c r="DK165" s="5185"/>
      <c r="DL165" s="1460"/>
      <c r="DM165" s="5184"/>
      <c r="DN165" s="5184"/>
      <c r="DO165" s="5184"/>
      <c r="DP165" s="5184"/>
      <c r="DQ165" s="1460"/>
      <c r="DR165" s="5184"/>
      <c r="DS165" s="5184"/>
      <c r="DT165" s="5184"/>
      <c r="DU165" s="5184"/>
      <c r="DV165" s="1460"/>
      <c r="DW165" s="5184"/>
      <c r="DX165" s="5184"/>
      <c r="DY165" s="5184"/>
      <c r="DZ165" s="5184"/>
      <c r="EA165" s="1460"/>
      <c r="EB165" s="5184"/>
      <c r="EC165" s="5184"/>
      <c r="ED165" s="5184"/>
      <c r="EE165" s="5184"/>
      <c r="EF165" s="1460"/>
      <c r="EG165" s="5184"/>
      <c r="EH165" s="5184"/>
      <c r="EI165" s="5184"/>
      <c r="EJ165" s="5184"/>
      <c r="EK165" s="1460"/>
      <c r="EL165" s="5184"/>
      <c r="EM165" s="5184"/>
      <c r="EN165" s="5184"/>
      <c r="EO165" s="5184"/>
      <c r="EP165" s="1460"/>
      <c r="EQ165" s="5184"/>
      <c r="ER165" s="5184"/>
      <c r="ES165" s="5184"/>
      <c r="ET165" s="5184"/>
      <c r="EU165" s="1460"/>
      <c r="EV165" s="1460"/>
      <c r="EW165" s="1460"/>
      <c r="EX165" s="1460"/>
      <c r="EY165" s="1460"/>
      <c r="EZ165" s="223"/>
      <c r="FA165" s="4268"/>
      <c r="FB165" s="4268"/>
    </row>
    <row r="166" spans="1:158" s="180" customFormat="1" ht="11.25" customHeight="1" collapsed="1">
      <c r="A166" s="5663"/>
      <c r="B166" s="5601"/>
      <c r="C166" s="2437"/>
      <c r="D166" s="2437"/>
      <c r="E166" s="2437"/>
      <c r="F166" s="5604"/>
      <c r="G166" s="5601"/>
      <c r="H166" s="2437"/>
      <c r="I166" s="2437"/>
      <c r="J166" s="2437"/>
      <c r="K166" s="2475"/>
      <c r="L166" s="2437"/>
      <c r="M166" s="2437"/>
      <c r="N166" s="2437"/>
      <c r="O166" s="2437"/>
      <c r="P166" s="2476"/>
      <c r="Q166" s="2474"/>
      <c r="R166" s="2437"/>
      <c r="S166" s="2437"/>
      <c r="T166" s="2437"/>
      <c r="U166" s="2476"/>
      <c r="V166" s="2474"/>
      <c r="W166" s="2437"/>
      <c r="X166" s="2437"/>
      <c r="Y166" s="2437"/>
      <c r="Z166" s="2476"/>
      <c r="AA166" s="2474"/>
      <c r="AB166" s="2437"/>
      <c r="AC166" s="2437"/>
      <c r="AD166" s="2437"/>
      <c r="AE166" s="2476"/>
      <c r="AF166" s="2474"/>
      <c r="AG166" s="2437"/>
      <c r="AH166" s="2437"/>
      <c r="AI166" s="2437"/>
      <c r="AJ166" s="2476"/>
      <c r="AK166" s="2474"/>
      <c r="AL166" s="2437"/>
      <c r="AM166" s="2437"/>
      <c r="AN166" s="2482"/>
      <c r="AO166" s="2480"/>
      <c r="AP166" s="2474"/>
      <c r="AQ166" s="2437"/>
      <c r="AR166" s="2437"/>
      <c r="AS166" s="2482"/>
      <c r="AT166" s="2476"/>
      <c r="AU166" s="2474"/>
      <c r="AV166" s="2437"/>
      <c r="AW166" s="2437"/>
      <c r="AX166" s="2482"/>
      <c r="AY166" s="2476"/>
      <c r="AZ166" s="2474"/>
      <c r="BA166" s="2437"/>
      <c r="BB166" s="2437"/>
      <c r="BC166" s="2482"/>
      <c r="BD166" s="2476"/>
      <c r="BE166" s="2477"/>
      <c r="BF166" s="2478"/>
      <c r="BG166" s="2478"/>
      <c r="BH166" s="2483"/>
      <c r="BI166" s="2476"/>
      <c r="BJ166" s="2477"/>
      <c r="BK166" s="2478"/>
      <c r="BL166" s="2478"/>
      <c r="BM166" s="2478"/>
      <c r="BN166" s="2476"/>
      <c r="BO166" s="2479"/>
      <c r="BP166" s="2479"/>
      <c r="BQ166" s="2479"/>
      <c r="BR166" s="2479"/>
      <c r="BS166" s="2476"/>
      <c r="BT166" s="2478"/>
      <c r="BU166" s="2478"/>
      <c r="BV166" s="2478"/>
      <c r="BW166" s="2478"/>
      <c r="BX166" s="2476"/>
      <c r="BY166" s="2479"/>
      <c r="BZ166" s="2479"/>
      <c r="CA166" s="2479"/>
      <c r="CB166" s="2479"/>
      <c r="CC166" s="2476"/>
      <c r="CD166" s="2477"/>
      <c r="CE166" s="2478"/>
      <c r="CF166" s="2478"/>
      <c r="CG166" s="2478"/>
      <c r="CH166" s="2476"/>
      <c r="CI166" s="2481"/>
      <c r="CJ166" s="2478"/>
      <c r="CK166" s="2437"/>
      <c r="CL166" s="2478"/>
      <c r="CM166" s="2476"/>
      <c r="CN166" s="2479"/>
      <c r="CO166" s="2479"/>
      <c r="CP166" s="2479"/>
      <c r="CQ166" s="2479"/>
      <c r="CR166" s="2476"/>
      <c r="CS166" s="1822"/>
      <c r="CT166" s="1822"/>
      <c r="CU166" s="1822"/>
      <c r="CV166" s="2479"/>
      <c r="CW166" s="2476"/>
      <c r="CX166" s="1822"/>
      <c r="CY166" s="1822"/>
      <c r="CZ166" s="1822"/>
      <c r="DA166" s="1822"/>
      <c r="DB166" s="2476"/>
      <c r="DC166" s="1822"/>
      <c r="DD166" s="1822"/>
      <c r="DE166" s="1822"/>
      <c r="DF166" s="1822"/>
      <c r="DG166" s="2476"/>
      <c r="DH166" s="1822"/>
      <c r="DI166" s="1822"/>
      <c r="DJ166" s="1822"/>
      <c r="DK166" s="1822"/>
      <c r="DL166" s="2476"/>
      <c r="DM166" s="1822"/>
      <c r="DN166" s="1822"/>
      <c r="DO166" s="1822"/>
      <c r="DP166" s="1822"/>
      <c r="DQ166" s="2476"/>
      <c r="DR166" s="1822"/>
      <c r="DS166" s="1822"/>
      <c r="DT166" s="1822"/>
      <c r="DU166" s="1822"/>
      <c r="DV166" s="2476"/>
      <c r="DW166" s="1822"/>
      <c r="DX166" s="1822"/>
      <c r="DY166" s="1822"/>
      <c r="DZ166" s="1822"/>
      <c r="EA166" s="2476"/>
      <c r="EB166" s="1822"/>
      <c r="EC166" s="1822"/>
      <c r="ED166" s="1822"/>
      <c r="EE166" s="1822"/>
      <c r="EF166" s="2476"/>
      <c r="EG166" s="1822"/>
      <c r="EH166" s="1822"/>
      <c r="EI166" s="1822"/>
      <c r="EJ166" s="1822"/>
      <c r="EK166" s="2476"/>
      <c r="EL166" s="1822"/>
      <c r="EM166" s="1822"/>
      <c r="EN166" s="1822"/>
      <c r="EO166" s="1822"/>
      <c r="EP166" s="2476"/>
      <c r="EQ166" s="1822"/>
      <c r="ER166" s="1822"/>
      <c r="ES166" s="1822"/>
      <c r="ET166" s="1822"/>
      <c r="EU166" s="2476"/>
      <c r="EV166" s="2476"/>
      <c r="EW166" s="2476"/>
      <c r="EX166" s="2476"/>
      <c r="EY166" s="2476"/>
      <c r="EZ166" s="175"/>
      <c r="FA166" s="725"/>
      <c r="FB166" s="725"/>
    </row>
    <row r="167" spans="1:158" s="211" customFormat="1" ht="11.25" customHeight="1">
      <c r="A167" s="1557"/>
      <c r="B167" s="209"/>
      <c r="C167" s="209"/>
      <c r="D167" s="209"/>
      <c r="E167" s="209"/>
      <c r="F167" s="209"/>
      <c r="G167" s="209"/>
      <c r="H167" s="209"/>
      <c r="I167" s="209"/>
      <c r="J167" s="209"/>
      <c r="K167" s="209"/>
      <c r="L167" s="209"/>
      <c r="M167" s="209"/>
      <c r="N167" s="209"/>
      <c r="O167" s="209"/>
      <c r="P167" s="209"/>
      <c r="Q167" s="209"/>
      <c r="R167" s="209"/>
      <c r="S167" s="209"/>
      <c r="T167" s="209"/>
      <c r="U167" s="209"/>
      <c r="V167" s="209"/>
      <c r="W167" s="209"/>
      <c r="X167" s="209"/>
      <c r="Y167" s="209"/>
      <c r="Z167" s="209"/>
      <c r="AA167" s="209"/>
      <c r="AB167" s="209"/>
      <c r="AC167" s="209"/>
      <c r="AD167" s="209"/>
      <c r="AE167" s="209"/>
      <c r="AF167" s="209"/>
      <c r="AG167" s="209"/>
      <c r="AH167" s="209"/>
      <c r="AI167" s="209"/>
      <c r="AJ167" s="209"/>
      <c r="AK167" s="209"/>
      <c r="AL167" s="209"/>
      <c r="AM167" s="209"/>
      <c r="AN167" s="169"/>
      <c r="AO167" s="209"/>
      <c r="AP167" s="209"/>
      <c r="AQ167" s="209"/>
      <c r="AR167" s="209"/>
      <c r="AS167" s="209"/>
      <c r="AT167" s="209"/>
      <c r="AU167" s="209"/>
      <c r="AV167" s="209"/>
      <c r="AW167" s="209"/>
      <c r="AX167" s="209"/>
      <c r="AY167" s="209"/>
      <c r="AZ167" s="209"/>
      <c r="BA167" s="209"/>
      <c r="BB167" s="209"/>
      <c r="BC167" s="209"/>
      <c r="BD167" s="209"/>
      <c r="BE167" s="209"/>
      <c r="BF167" s="209"/>
      <c r="BG167" s="209"/>
      <c r="BH167" s="209"/>
      <c r="BI167" s="209"/>
      <c r="BJ167" s="209"/>
      <c r="BK167" s="209"/>
      <c r="BL167" s="209"/>
      <c r="BM167" s="209"/>
      <c r="BN167" s="209"/>
      <c r="BO167" s="209"/>
      <c r="BP167" s="209"/>
      <c r="BQ167" s="209"/>
      <c r="BR167" s="209"/>
      <c r="BS167" s="209"/>
      <c r="BT167" s="209"/>
      <c r="BU167" s="209"/>
      <c r="BV167" s="209"/>
      <c r="BW167" s="209"/>
      <c r="BX167" s="209"/>
      <c r="BY167" s="209"/>
      <c r="BZ167" s="209"/>
      <c r="CA167" s="209"/>
      <c r="CB167" s="209"/>
      <c r="CC167" s="209"/>
      <c r="CD167" s="209"/>
      <c r="CE167" s="209"/>
      <c r="CF167" s="209"/>
      <c r="CG167" s="209"/>
      <c r="CH167" s="209"/>
      <c r="CI167" s="209"/>
      <c r="CJ167" s="677"/>
      <c r="CK167" s="209"/>
      <c r="CL167" s="209"/>
      <c r="CM167" s="209"/>
      <c r="CN167" s="209"/>
      <c r="CO167" s="209"/>
      <c r="CP167" s="209"/>
      <c r="CQ167" s="209"/>
      <c r="CR167" s="209"/>
      <c r="CS167" s="209"/>
      <c r="CT167" s="209"/>
      <c r="CU167" s="209"/>
      <c r="CV167" s="209"/>
      <c r="CW167" s="209"/>
      <c r="CX167" s="209"/>
      <c r="CY167" s="209"/>
      <c r="CZ167" s="209"/>
      <c r="DA167" s="209"/>
      <c r="DB167" s="209"/>
      <c r="DC167" s="209"/>
      <c r="DD167" s="209"/>
      <c r="DE167" s="209"/>
      <c r="DF167" s="209"/>
      <c r="DG167" s="209"/>
      <c r="DH167" s="209"/>
      <c r="DI167" s="209"/>
      <c r="DJ167" s="209"/>
      <c r="DK167" s="209"/>
      <c r="DL167" s="209"/>
      <c r="DM167" s="209"/>
      <c r="DN167" s="209"/>
      <c r="DO167" s="209"/>
      <c r="DP167" s="209"/>
      <c r="DQ167" s="209"/>
      <c r="DR167" s="209"/>
      <c r="DS167" s="209"/>
      <c r="DT167" s="209"/>
      <c r="DU167" s="209"/>
      <c r="DV167" s="209"/>
      <c r="DW167" s="209"/>
      <c r="DX167" s="209"/>
      <c r="DY167" s="209"/>
      <c r="DZ167" s="209"/>
      <c r="EA167" s="209"/>
      <c r="EB167" s="209"/>
      <c r="EC167" s="209"/>
      <c r="ED167" s="209"/>
      <c r="EE167" s="209"/>
      <c r="EF167" s="209"/>
      <c r="EG167" s="209"/>
      <c r="EH167" s="209"/>
      <c r="EI167" s="209"/>
      <c r="EJ167" s="209"/>
      <c r="EK167" s="209"/>
      <c r="EL167" s="209"/>
      <c r="EM167" s="209"/>
      <c r="EN167" s="209"/>
      <c r="EO167" s="209"/>
      <c r="EP167" s="209"/>
      <c r="EQ167" s="209"/>
      <c r="ER167" s="209"/>
      <c r="ES167" s="209"/>
      <c r="ET167" s="209"/>
      <c r="EU167" s="209"/>
      <c r="EV167" s="209"/>
      <c r="EW167" s="209"/>
      <c r="EX167" s="209"/>
      <c r="EY167" s="209"/>
      <c r="EZ167" s="209"/>
      <c r="FA167" s="725"/>
      <c r="FB167" s="725"/>
    </row>
    <row r="168" spans="1:158" s="31" customFormat="1" ht="11.25" customHeight="1">
      <c r="A168" s="1570" t="s">
        <v>509</v>
      </c>
      <c r="B168" s="5194" t="s">
        <v>37</v>
      </c>
      <c r="C168" s="5194" t="s">
        <v>38</v>
      </c>
      <c r="D168" s="5194" t="s">
        <v>39</v>
      </c>
      <c r="E168" s="5194" t="s">
        <v>40</v>
      </c>
      <c r="F168" s="5195" t="s">
        <v>41</v>
      </c>
      <c r="G168" s="5194" t="s">
        <v>42</v>
      </c>
      <c r="H168" s="5194" t="s">
        <v>43</v>
      </c>
      <c r="I168" s="5194" t="s">
        <v>44</v>
      </c>
      <c r="J168" s="5194" t="s">
        <v>109</v>
      </c>
      <c r="K168" s="5194" t="s">
        <v>104</v>
      </c>
      <c r="L168" s="5194" t="s">
        <v>111</v>
      </c>
      <c r="M168" s="5194" t="s">
        <v>112</v>
      </c>
      <c r="N168" s="5194" t="s">
        <v>114</v>
      </c>
      <c r="O168" s="5194" t="s">
        <v>115</v>
      </c>
      <c r="P168" s="5194" t="s">
        <v>113</v>
      </c>
      <c r="Q168" s="5194" t="s">
        <v>118</v>
      </c>
      <c r="R168" s="5194" t="s">
        <v>120</v>
      </c>
      <c r="S168" s="5194" t="s">
        <v>122</v>
      </c>
      <c r="T168" s="5194" t="s">
        <v>124</v>
      </c>
      <c r="U168" s="5194" t="s">
        <v>129</v>
      </c>
      <c r="V168" s="5194" t="s">
        <v>125</v>
      </c>
      <c r="W168" s="5194" t="s">
        <v>126</v>
      </c>
      <c r="X168" s="5194" t="s">
        <v>127</v>
      </c>
      <c r="Y168" s="5194" t="s">
        <v>128</v>
      </c>
      <c r="Z168" s="5194" t="s">
        <v>184</v>
      </c>
      <c r="AA168" s="5194" t="s">
        <v>130</v>
      </c>
      <c r="AB168" s="5194" t="s">
        <v>233</v>
      </c>
      <c r="AC168" s="5194" t="s">
        <v>254</v>
      </c>
      <c r="AD168" s="5194" t="s">
        <v>255</v>
      </c>
      <c r="AE168" s="5194" t="s">
        <v>256</v>
      </c>
      <c r="AF168" s="5194" t="s">
        <v>258</v>
      </c>
      <c r="AG168" s="5194" t="s">
        <v>261</v>
      </c>
      <c r="AH168" s="5194" t="s">
        <v>263</v>
      </c>
      <c r="AI168" s="5194" t="s">
        <v>265</v>
      </c>
      <c r="AJ168" s="5194" t="s">
        <v>266</v>
      </c>
      <c r="AK168" s="5194" t="s">
        <v>267</v>
      </c>
      <c r="AL168" s="5194" t="s">
        <v>269</v>
      </c>
      <c r="AM168" s="5194" t="s">
        <v>273</v>
      </c>
      <c r="AN168" s="5194" t="s">
        <v>275</v>
      </c>
      <c r="AO168" s="5194" t="s">
        <v>276</v>
      </c>
      <c r="AP168" s="5194" t="s">
        <v>277</v>
      </c>
      <c r="AQ168" s="5194" t="str">
        <f t="shared" ref="AQ168:BN168" si="663">AQ6</f>
        <v>6/07A</v>
      </c>
      <c r="AR168" s="5194" t="str">
        <f t="shared" si="663"/>
        <v>9/07A</v>
      </c>
      <c r="AS168" s="5194" t="str">
        <f t="shared" si="663"/>
        <v>12/07A</v>
      </c>
      <c r="AT168" s="5194" t="str">
        <f t="shared" si="663"/>
        <v>2007A</v>
      </c>
      <c r="AU168" s="5194" t="str">
        <f t="shared" si="663"/>
        <v>3/08A</v>
      </c>
      <c r="AV168" s="5194" t="str">
        <f t="shared" si="663"/>
        <v>6/08A</v>
      </c>
      <c r="AW168" s="5194" t="str">
        <f t="shared" si="663"/>
        <v>9/08A</v>
      </c>
      <c r="AX168" s="5194" t="str">
        <f t="shared" si="663"/>
        <v>12/08A</v>
      </c>
      <c r="AY168" s="5194" t="str">
        <f t="shared" si="663"/>
        <v>2008A</v>
      </c>
      <c r="AZ168" s="5194" t="str">
        <f t="shared" si="663"/>
        <v>3/09A</v>
      </c>
      <c r="BA168" s="5194" t="str">
        <f t="shared" si="663"/>
        <v>6/09A</v>
      </c>
      <c r="BB168" s="5194" t="str">
        <f t="shared" si="663"/>
        <v>9/09A</v>
      </c>
      <c r="BC168" s="5194" t="str">
        <f t="shared" si="663"/>
        <v>12/09A</v>
      </c>
      <c r="BD168" s="5194" t="str">
        <f t="shared" si="663"/>
        <v>2009A</v>
      </c>
      <c r="BE168" s="5194" t="str">
        <f t="shared" si="663"/>
        <v>3/10A</v>
      </c>
      <c r="BF168" s="5194" t="str">
        <f t="shared" si="663"/>
        <v>6/10A</v>
      </c>
      <c r="BG168" s="5194" t="str">
        <f t="shared" si="663"/>
        <v>9/10A</v>
      </c>
      <c r="BH168" s="5194" t="str">
        <f t="shared" si="663"/>
        <v>12/10A</v>
      </c>
      <c r="BI168" s="5194" t="str">
        <f t="shared" si="663"/>
        <v>2010A</v>
      </c>
      <c r="BJ168" s="5194" t="str">
        <f t="shared" si="663"/>
        <v>3/11A</v>
      </c>
      <c r="BK168" s="5194" t="str">
        <f t="shared" si="663"/>
        <v>6/11A</v>
      </c>
      <c r="BL168" s="5194" t="str">
        <f t="shared" si="663"/>
        <v>9/11A</v>
      </c>
      <c r="BM168" s="5194" t="str">
        <f t="shared" si="663"/>
        <v>12/11A</v>
      </c>
      <c r="BN168" s="5194" t="str">
        <f t="shared" si="663"/>
        <v>2011A</v>
      </c>
      <c r="BO168" s="5194"/>
      <c r="BP168" s="5194"/>
      <c r="BQ168" s="5194"/>
      <c r="BR168" s="5194"/>
      <c r="BS168" s="5194"/>
      <c r="BT168" s="5194" t="str">
        <f>BT6</f>
        <v>3/12A</v>
      </c>
      <c r="BU168" s="5194" t="str">
        <f>BU6</f>
        <v>6/12A</v>
      </c>
      <c r="BV168" s="5194" t="str">
        <f>BV6</f>
        <v>9/12A</v>
      </c>
      <c r="BW168" s="5194" t="str">
        <f>BW6</f>
        <v>12/12A</v>
      </c>
      <c r="BX168" s="5194" t="str">
        <f>BX6</f>
        <v>2012A</v>
      </c>
      <c r="BY168" s="5194"/>
      <c r="BZ168" s="5194"/>
      <c r="CA168" s="5194"/>
      <c r="CB168" s="5194"/>
      <c r="CC168" s="5194"/>
      <c r="CD168" s="5194" t="str">
        <f t="shared" ref="CD168:DI168" si="664">CD6</f>
        <v>3/13A</v>
      </c>
      <c r="CE168" s="5194" t="str">
        <f t="shared" si="664"/>
        <v>6/13A</v>
      </c>
      <c r="CF168" s="5194" t="str">
        <f t="shared" si="664"/>
        <v>9/13A</v>
      </c>
      <c r="CG168" s="5194" t="str">
        <f t="shared" si="664"/>
        <v>12/13A</v>
      </c>
      <c r="CH168" s="5194" t="str">
        <f t="shared" si="664"/>
        <v>2013A</v>
      </c>
      <c r="CI168" s="5194" t="str">
        <f t="shared" si="664"/>
        <v>3/14A</v>
      </c>
      <c r="CJ168" s="5194" t="str">
        <f t="shared" si="664"/>
        <v>6/14A</v>
      </c>
      <c r="CK168" s="5194" t="str">
        <f t="shared" si="664"/>
        <v>9/14A</v>
      </c>
      <c r="CL168" s="5194" t="str">
        <f t="shared" si="664"/>
        <v>12/14A</v>
      </c>
      <c r="CM168" s="5196" t="str">
        <f t="shared" si="664"/>
        <v>2014A</v>
      </c>
      <c r="CN168" s="5196" t="str">
        <f t="shared" si="664"/>
        <v>3/15A</v>
      </c>
      <c r="CO168" s="5196" t="str">
        <f t="shared" si="664"/>
        <v>6/15A</v>
      </c>
      <c r="CP168" s="5196" t="str">
        <f t="shared" si="664"/>
        <v>9/15A</v>
      </c>
      <c r="CQ168" s="5196" t="str">
        <f t="shared" si="664"/>
        <v>12/15A</v>
      </c>
      <c r="CR168" s="5196" t="str">
        <f t="shared" si="664"/>
        <v>2015A</v>
      </c>
      <c r="CS168" s="5196" t="str">
        <f t="shared" si="664"/>
        <v>3/16A</v>
      </c>
      <c r="CT168" s="5196" t="str">
        <f t="shared" si="664"/>
        <v>6/16A</v>
      </c>
      <c r="CU168" s="5196" t="str">
        <f t="shared" si="664"/>
        <v>9/16A</v>
      </c>
      <c r="CV168" s="5196" t="str">
        <f t="shared" si="664"/>
        <v>12/16A</v>
      </c>
      <c r="CW168" s="5196" t="str">
        <f t="shared" si="664"/>
        <v>2016A</v>
      </c>
      <c r="CX168" s="5196" t="str">
        <f t="shared" si="664"/>
        <v>3/17A</v>
      </c>
      <c r="CY168" s="5196" t="str">
        <f t="shared" si="664"/>
        <v>6/17A</v>
      </c>
      <c r="CZ168" s="5196" t="str">
        <f t="shared" si="664"/>
        <v>9/17A</v>
      </c>
      <c r="DA168" s="5196" t="str">
        <f t="shared" si="664"/>
        <v>12/17A</v>
      </c>
      <c r="DB168" s="5196" t="str">
        <f t="shared" si="664"/>
        <v>2017A</v>
      </c>
      <c r="DC168" s="5196" t="str">
        <f t="shared" si="664"/>
        <v>3/18A</v>
      </c>
      <c r="DD168" s="5196" t="str">
        <f t="shared" si="664"/>
        <v>6/18A</v>
      </c>
      <c r="DE168" s="5196" t="str">
        <f t="shared" si="664"/>
        <v>9/18A</v>
      </c>
      <c r="DF168" s="5196" t="str">
        <f t="shared" si="664"/>
        <v>12/18A</v>
      </c>
      <c r="DG168" s="5196" t="str">
        <f t="shared" si="664"/>
        <v>2018A</v>
      </c>
      <c r="DH168" s="5196" t="str">
        <f t="shared" si="664"/>
        <v>3/19A</v>
      </c>
      <c r="DI168" s="5196" t="str">
        <f t="shared" si="664"/>
        <v>6/19A</v>
      </c>
      <c r="DJ168" s="5196" t="str">
        <f t="shared" ref="DJ168:EX168" si="665">DJ6</f>
        <v>9/19A</v>
      </c>
      <c r="DK168" s="5196" t="str">
        <f t="shared" si="665"/>
        <v>12/19A</v>
      </c>
      <c r="DL168" s="5196" t="str">
        <f t="shared" si="665"/>
        <v>2019A</v>
      </c>
      <c r="DM168" s="5196" t="str">
        <f t="shared" si="665"/>
        <v>3/20A</v>
      </c>
      <c r="DN168" s="5196" t="str">
        <f t="shared" si="665"/>
        <v>6/20A</v>
      </c>
      <c r="DO168" s="5196" t="str">
        <f t="shared" si="665"/>
        <v>9/20A</v>
      </c>
      <c r="DP168" s="5196" t="str">
        <f t="shared" si="665"/>
        <v>12/20A</v>
      </c>
      <c r="DQ168" s="5196" t="str">
        <f t="shared" si="665"/>
        <v>2020A</v>
      </c>
      <c r="DR168" s="5196" t="str">
        <f t="shared" si="665"/>
        <v>3/21A</v>
      </c>
      <c r="DS168" s="5196" t="str">
        <f t="shared" si="665"/>
        <v>6/21A</v>
      </c>
      <c r="DT168" s="5196" t="str">
        <f t="shared" si="665"/>
        <v>9/21A</v>
      </c>
      <c r="DU168" s="5196" t="str">
        <f t="shared" si="665"/>
        <v>12/21A</v>
      </c>
      <c r="DV168" s="5196" t="str">
        <f t="shared" si="665"/>
        <v>2021A</v>
      </c>
      <c r="DW168" s="5196" t="str">
        <f t="shared" si="665"/>
        <v>3/22A</v>
      </c>
      <c r="DX168" s="5196" t="str">
        <f t="shared" si="665"/>
        <v>6/22A</v>
      </c>
      <c r="DY168" s="5196" t="str">
        <f t="shared" si="665"/>
        <v>9/22A</v>
      </c>
      <c r="DZ168" s="5196" t="str">
        <f t="shared" si="665"/>
        <v>12/22A</v>
      </c>
      <c r="EA168" s="5196" t="str">
        <f t="shared" si="665"/>
        <v>2022A</v>
      </c>
      <c r="EB168" s="5196" t="str">
        <f t="shared" si="665"/>
        <v>3/23A</v>
      </c>
      <c r="EC168" s="5196" t="str">
        <f t="shared" si="665"/>
        <v>6/23A</v>
      </c>
      <c r="ED168" s="5196" t="str">
        <f t="shared" si="665"/>
        <v>9/23A</v>
      </c>
      <c r="EE168" s="5196" t="str">
        <f t="shared" si="665"/>
        <v>12/23A</v>
      </c>
      <c r="EF168" s="5196" t="str">
        <f t="shared" si="665"/>
        <v>2023A</v>
      </c>
      <c r="EG168" s="5196" t="str">
        <f t="shared" si="665"/>
        <v>3/24A</v>
      </c>
      <c r="EH168" s="5196" t="str">
        <f t="shared" si="665"/>
        <v>6/24A</v>
      </c>
      <c r="EI168" s="5196" t="str">
        <f t="shared" si="665"/>
        <v>9/24A</v>
      </c>
      <c r="EJ168" s="5196" t="str">
        <f t="shared" ref="EJ168" si="666">EJ6</f>
        <v>12/24A</v>
      </c>
      <c r="EK168" s="5196" t="str">
        <f t="shared" si="665"/>
        <v>2024A</v>
      </c>
      <c r="EL168" s="5196" t="str">
        <f t="shared" si="665"/>
        <v>3/25A</v>
      </c>
      <c r="EM168" s="5196" t="str">
        <f t="shared" ref="EM168:EN168" si="667">EM6</f>
        <v>6/25A</v>
      </c>
      <c r="EN168" s="5196" t="str">
        <f t="shared" si="667"/>
        <v>9/25A</v>
      </c>
      <c r="EO168" s="5196" t="str">
        <f t="shared" si="665"/>
        <v>12/25E</v>
      </c>
      <c r="EP168" s="5196" t="str">
        <f t="shared" si="665"/>
        <v>2025E</v>
      </c>
      <c r="EQ168" s="5196" t="str">
        <f t="shared" ref="EQ168:EU168" si="668">EQ6</f>
        <v>3/26E</v>
      </c>
      <c r="ER168" s="5196" t="str">
        <f t="shared" si="668"/>
        <v>6/26E</v>
      </c>
      <c r="ES168" s="5196" t="str">
        <f t="shared" si="668"/>
        <v>9/26E</v>
      </c>
      <c r="ET168" s="5196" t="str">
        <f t="shared" si="668"/>
        <v>12/26E</v>
      </c>
      <c r="EU168" s="5196" t="str">
        <f t="shared" si="668"/>
        <v>2026E</v>
      </c>
      <c r="EV168" s="5196" t="str">
        <f t="shared" si="665"/>
        <v>2027E</v>
      </c>
      <c r="EW168" s="5196" t="str">
        <f t="shared" si="665"/>
        <v>2028E</v>
      </c>
      <c r="EX168" s="5196" t="str">
        <f t="shared" si="665"/>
        <v>2029E</v>
      </c>
      <c r="EY168" s="5196" t="str">
        <f t="shared" ref="EY168" si="669">EY6</f>
        <v>2030E</v>
      </c>
      <c r="EZ168" s="32"/>
      <c r="FA168" s="4269"/>
      <c r="FB168" s="4269"/>
    </row>
    <row r="169" spans="1:158" s="4" customFormat="1" ht="11.25" customHeight="1">
      <c r="A169" s="5662" t="s">
        <v>185</v>
      </c>
      <c r="B169" s="2918"/>
      <c r="C169" s="2918"/>
      <c r="D169" s="2918"/>
      <c r="E169" s="2918"/>
      <c r="F169" s="5592"/>
      <c r="G169" s="2918"/>
      <c r="H169" s="2918"/>
      <c r="I169" s="2918"/>
      <c r="J169" s="2918"/>
      <c r="K169" s="5198"/>
      <c r="L169" s="2918"/>
      <c r="M169" s="2918"/>
      <c r="N169" s="2918"/>
      <c r="O169" s="2918"/>
      <c r="P169" s="5198"/>
      <c r="Q169" s="5197"/>
      <c r="R169" s="2918"/>
      <c r="S169" s="2918"/>
      <c r="T169" s="2918"/>
      <c r="U169" s="5198"/>
      <c r="V169" s="5197"/>
      <c r="W169" s="2918"/>
      <c r="X169" s="2918"/>
      <c r="Y169" s="2918"/>
      <c r="Z169" s="5198"/>
      <c r="AA169" s="5197"/>
      <c r="AB169" s="2918"/>
      <c r="AC169" s="2918"/>
      <c r="AD169" s="2918"/>
      <c r="AE169" s="5198"/>
      <c r="AF169" s="5197"/>
      <c r="AG169" s="2918"/>
      <c r="AH169" s="2918"/>
      <c r="AI169" s="2918"/>
      <c r="AJ169" s="5198"/>
      <c r="AK169" s="5197"/>
      <c r="AL169" s="2918"/>
      <c r="AM169" s="2918"/>
      <c r="AN169" s="2918"/>
      <c r="AO169" s="5198"/>
      <c r="AP169" s="5197"/>
      <c r="AQ169" s="2918"/>
      <c r="AR169" s="2918"/>
      <c r="AS169" s="2918"/>
      <c r="AT169" s="5198"/>
      <c r="AU169" s="5197"/>
      <c r="AV169" s="5105"/>
      <c r="AW169" s="2918"/>
      <c r="AX169" s="2918"/>
      <c r="AY169" s="5198"/>
      <c r="AZ169" s="5197"/>
      <c r="BA169" s="5105"/>
      <c r="BB169" s="2918"/>
      <c r="BC169" s="2918"/>
      <c r="BD169" s="5198"/>
      <c r="BE169" s="5197"/>
      <c r="BF169" s="5105"/>
      <c r="BG169" s="2918"/>
      <c r="BH169" s="2918"/>
      <c r="BI169" s="5198"/>
      <c r="BJ169" s="5197"/>
      <c r="BK169" s="2918"/>
      <c r="BL169" s="2918"/>
      <c r="BM169" s="2918"/>
      <c r="BN169" s="5198"/>
      <c r="BO169" s="2918"/>
      <c r="BP169" s="2918"/>
      <c r="BQ169" s="2918"/>
      <c r="BR169" s="2918"/>
      <c r="BS169" s="5198"/>
      <c r="BT169" s="2918"/>
      <c r="BU169" s="2918"/>
      <c r="BV169" s="2918"/>
      <c r="BW169" s="2918"/>
      <c r="BX169" s="5198"/>
      <c r="BY169" s="2918"/>
      <c r="BZ169" s="2918"/>
      <c r="CA169" s="2918"/>
      <c r="CB169" s="2918"/>
      <c r="CC169" s="5198"/>
      <c r="CD169" s="2918"/>
      <c r="CE169" s="2918"/>
      <c r="CF169" s="2918"/>
      <c r="CG169" s="2918"/>
      <c r="CH169" s="5198"/>
      <c r="CI169" s="2347"/>
      <c r="CJ169" s="2918"/>
      <c r="CK169" s="2918"/>
      <c r="CL169" s="2918"/>
      <c r="CM169" s="5198"/>
      <c r="CN169" s="2918"/>
      <c r="CO169" s="2918"/>
      <c r="CP169" s="2918"/>
      <c r="CQ169" s="2918"/>
      <c r="CR169" s="5198"/>
      <c r="CS169" s="2918"/>
      <c r="CT169" s="2918"/>
      <c r="CU169" s="2918"/>
      <c r="CV169" s="5106"/>
      <c r="CW169" s="5199"/>
      <c r="CX169" s="5106"/>
      <c r="CY169" s="5106"/>
      <c r="CZ169" s="5106"/>
      <c r="DA169" s="5106"/>
      <c r="DB169" s="5199"/>
      <c r="DC169" s="5106"/>
      <c r="DD169" s="5106"/>
      <c r="DE169" s="5106"/>
      <c r="DF169" s="5106"/>
      <c r="DG169" s="5199"/>
      <c r="DH169" s="5106"/>
      <c r="DI169" s="5106"/>
      <c r="DJ169" s="5106"/>
      <c r="DK169" s="5106"/>
      <c r="DL169" s="5199"/>
      <c r="DM169" s="5106"/>
      <c r="DN169" s="5106"/>
      <c r="DO169" s="5106"/>
      <c r="DP169" s="5106"/>
      <c r="DQ169" s="5199"/>
      <c r="DR169" s="5106"/>
      <c r="DS169" s="5106"/>
      <c r="DT169" s="5106"/>
      <c r="DU169" s="5106"/>
      <c r="DV169" s="5199"/>
      <c r="DW169" s="5106"/>
      <c r="DX169" s="5106"/>
      <c r="DY169" s="5821"/>
      <c r="DZ169" s="5106"/>
      <c r="EA169" s="5199"/>
      <c r="EB169" s="5106"/>
      <c r="EC169" s="5106"/>
      <c r="ED169" s="5821"/>
      <c r="EE169" s="5106"/>
      <c r="EF169" s="5199"/>
      <c r="EG169" s="5106"/>
      <c r="EH169" s="5106"/>
      <c r="EI169" s="5106"/>
      <c r="EJ169" s="5106"/>
      <c r="EK169" s="5199"/>
      <c r="EL169" s="5106"/>
      <c r="EM169" s="5106"/>
      <c r="EN169" s="5106"/>
      <c r="EO169" s="5106"/>
      <c r="EP169" s="5199"/>
      <c r="EQ169" s="5106"/>
      <c r="ER169" s="5106"/>
      <c r="ES169" s="5106"/>
      <c r="ET169" s="5106"/>
      <c r="EU169" s="5199"/>
      <c r="EV169" s="5199"/>
      <c r="EW169" s="5199"/>
      <c r="EX169" s="5199"/>
      <c r="EY169" s="5199"/>
      <c r="EZ169" s="159"/>
      <c r="FA169" s="1100"/>
      <c r="FB169" s="1100"/>
    </row>
    <row r="170" spans="1:158" s="168" customFormat="1" ht="11.25" customHeight="1">
      <c r="A170" s="4474" t="str">
        <f>A69</f>
        <v>Alphabet total revenues (gross)</v>
      </c>
      <c r="B170" s="3013"/>
      <c r="C170" s="3013"/>
      <c r="D170" s="3013"/>
      <c r="E170" s="3013"/>
      <c r="F170" s="5593"/>
      <c r="G170" s="3013"/>
      <c r="H170" s="3013"/>
      <c r="I170" s="3013"/>
      <c r="J170" s="3013"/>
      <c r="K170" s="3014">
        <f>K69</f>
        <v>19.108000000000001</v>
      </c>
      <c r="L170" s="3013"/>
      <c r="M170" s="3013"/>
      <c r="N170" s="3013"/>
      <c r="O170" s="3013"/>
      <c r="P170" s="3014">
        <f t="shared" ref="P170:AU170" si="670">P69</f>
        <v>86.426000000000002</v>
      </c>
      <c r="Q170" s="3013">
        <f t="shared" si="670"/>
        <v>42.284999999999997</v>
      </c>
      <c r="R170" s="3013">
        <f t="shared" si="670"/>
        <v>78.525000000000006</v>
      </c>
      <c r="S170" s="3013">
        <f t="shared" si="670"/>
        <v>130.78700000000001</v>
      </c>
      <c r="T170" s="3013">
        <f t="shared" si="670"/>
        <v>187.911</v>
      </c>
      <c r="U170" s="3014">
        <f t="shared" si="670"/>
        <v>439.50800000000004</v>
      </c>
      <c r="V170" s="3087">
        <f t="shared" si="670"/>
        <v>248.61799999999999</v>
      </c>
      <c r="W170" s="3013">
        <f t="shared" si="670"/>
        <v>311.19900000000001</v>
      </c>
      <c r="X170" s="3013">
        <f t="shared" si="670"/>
        <v>393.94200000000001</v>
      </c>
      <c r="Y170" s="3013">
        <f t="shared" si="670"/>
        <v>512.17499999999995</v>
      </c>
      <c r="Z170" s="3014">
        <f t="shared" si="670"/>
        <v>1465.934</v>
      </c>
      <c r="AA170" s="3013">
        <f t="shared" si="670"/>
        <v>651.62300000000005</v>
      </c>
      <c r="AB170" s="3013">
        <f t="shared" si="670"/>
        <v>700.21199999999999</v>
      </c>
      <c r="AC170" s="3013">
        <f t="shared" si="670"/>
        <v>805.88699999999994</v>
      </c>
      <c r="AD170" s="3013">
        <f t="shared" si="670"/>
        <v>1031.5020000000002</v>
      </c>
      <c r="AE170" s="3014">
        <f t="shared" si="670"/>
        <v>3189.2239999999997</v>
      </c>
      <c r="AF170" s="3013">
        <f t="shared" si="670"/>
        <v>1256.5157999999999</v>
      </c>
      <c r="AG170" s="3013">
        <f t="shared" si="670"/>
        <v>1384.4949999999999</v>
      </c>
      <c r="AH170" s="3013">
        <f t="shared" si="670"/>
        <v>1578.4559999999999</v>
      </c>
      <c r="AI170" s="3013">
        <f t="shared" si="670"/>
        <v>1919.0930000000001</v>
      </c>
      <c r="AJ170" s="3014">
        <f t="shared" si="670"/>
        <v>6138.5598</v>
      </c>
      <c r="AK170" s="3013">
        <f t="shared" si="670"/>
        <v>2253.7550000000001</v>
      </c>
      <c r="AL170" s="3013">
        <f t="shared" si="670"/>
        <v>2455.9910000000004</v>
      </c>
      <c r="AM170" s="3013">
        <f t="shared" si="670"/>
        <v>2689.6729999999998</v>
      </c>
      <c r="AN170" s="3013">
        <f t="shared" si="670"/>
        <v>3205.4979999999996</v>
      </c>
      <c r="AO170" s="3014">
        <f t="shared" si="670"/>
        <v>10604.917000000001</v>
      </c>
      <c r="AP170" s="3013">
        <f t="shared" si="670"/>
        <v>3663.971</v>
      </c>
      <c r="AQ170" s="3013">
        <f t="shared" si="670"/>
        <v>3871.9849999999997</v>
      </c>
      <c r="AR170" s="3013">
        <f t="shared" si="670"/>
        <v>4231.3509999999997</v>
      </c>
      <c r="AS170" s="3013">
        <f t="shared" si="670"/>
        <v>4826.6790000000001</v>
      </c>
      <c r="AT170" s="3014">
        <f t="shared" si="670"/>
        <v>16593.986000000001</v>
      </c>
      <c r="AU170" s="3013">
        <f t="shared" si="670"/>
        <v>5186.0430000000006</v>
      </c>
      <c r="AV170" s="3013">
        <f t="shared" ref="AV170:BN170" si="671">AV69</f>
        <v>5367.2120000000004</v>
      </c>
      <c r="AW170" s="3013">
        <f t="shared" si="671"/>
        <v>5541.3909999999996</v>
      </c>
      <c r="AX170" s="3013">
        <f t="shared" si="671"/>
        <v>5700.9039999999995</v>
      </c>
      <c r="AY170" s="3014">
        <f t="shared" si="671"/>
        <v>21795.550000000003</v>
      </c>
      <c r="AZ170" s="3013">
        <f t="shared" si="671"/>
        <v>5508.99</v>
      </c>
      <c r="BA170" s="3013">
        <f t="shared" si="671"/>
        <v>5522.8970000000008</v>
      </c>
      <c r="BB170" s="3013">
        <f t="shared" si="671"/>
        <v>5944.8509999999997</v>
      </c>
      <c r="BC170" s="3013">
        <f t="shared" si="671"/>
        <v>6673.8250000000007</v>
      </c>
      <c r="BD170" s="3014">
        <f t="shared" si="671"/>
        <v>23650.563000000002</v>
      </c>
      <c r="BE170" s="3013">
        <f t="shared" si="671"/>
        <v>6775</v>
      </c>
      <c r="BF170" s="3013">
        <f t="shared" si="671"/>
        <v>6820</v>
      </c>
      <c r="BG170" s="3013">
        <f t="shared" si="671"/>
        <v>7286</v>
      </c>
      <c r="BH170" s="3013">
        <f t="shared" si="671"/>
        <v>8440</v>
      </c>
      <c r="BI170" s="3014">
        <f t="shared" si="671"/>
        <v>29321</v>
      </c>
      <c r="BJ170" s="3013">
        <f t="shared" si="671"/>
        <v>8575</v>
      </c>
      <c r="BK170" s="3013">
        <f t="shared" si="671"/>
        <v>9026</v>
      </c>
      <c r="BL170" s="3013">
        <f t="shared" si="671"/>
        <v>9720</v>
      </c>
      <c r="BM170" s="3013">
        <f t="shared" si="671"/>
        <v>10584</v>
      </c>
      <c r="BN170" s="3014">
        <f t="shared" si="671"/>
        <v>37905</v>
      </c>
      <c r="BO170" s="3013"/>
      <c r="BP170" s="3013"/>
      <c r="BQ170" s="3013"/>
      <c r="BR170" s="3013"/>
      <c r="BS170" s="3014"/>
      <c r="BT170" s="3013">
        <f>BT69</f>
        <v>10645</v>
      </c>
      <c r="BU170" s="3013">
        <f>BU69</f>
        <v>10964</v>
      </c>
      <c r="BV170" s="3013">
        <f>BV69</f>
        <v>11526</v>
      </c>
      <c r="BW170" s="3013">
        <f>BW69</f>
        <v>12905</v>
      </c>
      <c r="BX170" s="3014">
        <f>BX69</f>
        <v>46040</v>
      </c>
      <c r="BY170" s="3013"/>
      <c r="BZ170" s="3013"/>
      <c r="CA170" s="3013"/>
      <c r="CB170" s="3013"/>
      <c r="CC170" s="3014"/>
      <c r="CD170" s="3013">
        <f t="shared" ref="CD170:CQ170" si="672">CD69</f>
        <v>12951</v>
      </c>
      <c r="CE170" s="3013">
        <f t="shared" si="672"/>
        <v>13107</v>
      </c>
      <c r="CF170" s="3013">
        <f t="shared" si="672"/>
        <v>13754</v>
      </c>
      <c r="CG170" s="3013">
        <f t="shared" si="672"/>
        <v>15707</v>
      </c>
      <c r="CH170" s="3014">
        <f t="shared" si="672"/>
        <v>55519</v>
      </c>
      <c r="CI170" s="3013">
        <f t="shared" si="672"/>
        <v>15420</v>
      </c>
      <c r="CJ170" s="3013">
        <f t="shared" si="672"/>
        <v>15955</v>
      </c>
      <c r="CK170" s="3013">
        <f t="shared" si="672"/>
        <v>16523</v>
      </c>
      <c r="CL170" s="3013">
        <f t="shared" si="672"/>
        <v>18103</v>
      </c>
      <c r="CM170" s="3014">
        <f t="shared" si="672"/>
        <v>66001</v>
      </c>
      <c r="CN170" s="3013">
        <f t="shared" si="672"/>
        <v>17258</v>
      </c>
      <c r="CO170" s="3013">
        <f t="shared" si="672"/>
        <v>17727</v>
      </c>
      <c r="CP170" s="3013">
        <f t="shared" si="672"/>
        <v>18675</v>
      </c>
      <c r="CQ170" s="3013">
        <f t="shared" si="672"/>
        <v>21329</v>
      </c>
      <c r="CR170" s="3014">
        <f>SUM(CN170:CQ170)</f>
        <v>74989</v>
      </c>
      <c r="CS170" s="3013">
        <f>CS69</f>
        <v>20257</v>
      </c>
      <c r="CT170" s="3013">
        <f>CT69</f>
        <v>21500</v>
      </c>
      <c r="CU170" s="3013">
        <f>CU69</f>
        <v>22451</v>
      </c>
      <c r="CV170" s="3013">
        <f>CV69</f>
        <v>26064</v>
      </c>
      <c r="CW170" s="3014">
        <f>SUM(CS170:CV170)</f>
        <v>90272</v>
      </c>
      <c r="CX170" s="3013">
        <f t="shared" ref="CX170:EH170" si="673">CX69</f>
        <v>24750</v>
      </c>
      <c r="CY170" s="3013">
        <f t="shared" si="673"/>
        <v>26010</v>
      </c>
      <c r="CZ170" s="3013">
        <f t="shared" si="673"/>
        <v>27772</v>
      </c>
      <c r="DA170" s="3013">
        <f t="shared" si="673"/>
        <v>32323</v>
      </c>
      <c r="DB170" s="3014">
        <f t="shared" si="673"/>
        <v>110855</v>
      </c>
      <c r="DC170" s="3013">
        <f t="shared" si="673"/>
        <v>31146</v>
      </c>
      <c r="DD170" s="3013">
        <f t="shared" si="673"/>
        <v>32657</v>
      </c>
      <c r="DE170" s="3013">
        <f t="shared" si="673"/>
        <v>33740</v>
      </c>
      <c r="DF170" s="3013">
        <f t="shared" si="673"/>
        <v>39276</v>
      </c>
      <c r="DG170" s="3014">
        <f t="shared" si="673"/>
        <v>136819</v>
      </c>
      <c r="DH170" s="3013">
        <f t="shared" si="673"/>
        <v>36339</v>
      </c>
      <c r="DI170" s="3013">
        <f t="shared" si="673"/>
        <v>38944</v>
      </c>
      <c r="DJ170" s="3013">
        <f t="shared" si="673"/>
        <v>40499</v>
      </c>
      <c r="DK170" s="3013">
        <f t="shared" si="673"/>
        <v>46075</v>
      </c>
      <c r="DL170" s="3014">
        <f t="shared" si="673"/>
        <v>161857</v>
      </c>
      <c r="DM170" s="3013">
        <f t="shared" si="673"/>
        <v>41159</v>
      </c>
      <c r="DN170" s="3013">
        <f t="shared" si="673"/>
        <v>38297</v>
      </c>
      <c r="DO170" s="3013">
        <f t="shared" si="673"/>
        <v>46173</v>
      </c>
      <c r="DP170" s="3013">
        <f t="shared" si="673"/>
        <v>56898</v>
      </c>
      <c r="DQ170" s="5241">
        <f t="shared" si="673"/>
        <v>182527</v>
      </c>
      <c r="DR170" s="5242">
        <f t="shared" si="673"/>
        <v>55314</v>
      </c>
      <c r="DS170" s="5242">
        <f t="shared" si="673"/>
        <v>61880</v>
      </c>
      <c r="DT170" s="5242">
        <f t="shared" si="673"/>
        <v>65118</v>
      </c>
      <c r="DU170" s="5242">
        <f t="shared" si="673"/>
        <v>75325</v>
      </c>
      <c r="DV170" s="5241">
        <f t="shared" si="673"/>
        <v>257637</v>
      </c>
      <c r="DW170" s="5242">
        <f t="shared" si="673"/>
        <v>68011</v>
      </c>
      <c r="DX170" s="5242">
        <f t="shared" si="673"/>
        <v>69685</v>
      </c>
      <c r="DY170" s="5242">
        <f t="shared" si="673"/>
        <v>69092</v>
      </c>
      <c r="DZ170" s="5242">
        <f t="shared" si="673"/>
        <v>76048</v>
      </c>
      <c r="EA170" s="3014">
        <f t="shared" si="673"/>
        <v>282836</v>
      </c>
      <c r="EB170" s="5242">
        <f t="shared" si="673"/>
        <v>69787</v>
      </c>
      <c r="EC170" s="5242">
        <f t="shared" si="673"/>
        <v>74604</v>
      </c>
      <c r="ED170" s="5242">
        <f t="shared" si="673"/>
        <v>76693</v>
      </c>
      <c r="EE170" s="5242">
        <f t="shared" si="673"/>
        <v>86310</v>
      </c>
      <c r="EF170" s="3014">
        <f t="shared" si="673"/>
        <v>307394</v>
      </c>
      <c r="EG170" s="5242">
        <f t="shared" si="673"/>
        <v>80539</v>
      </c>
      <c r="EH170" s="5242">
        <f t="shared" si="673"/>
        <v>84742</v>
      </c>
      <c r="EI170" s="5242">
        <f t="shared" ref="EI170:EJ170" si="674">EI69</f>
        <v>88268</v>
      </c>
      <c r="EJ170" s="5242">
        <f t="shared" si="674"/>
        <v>96469</v>
      </c>
      <c r="EK170" s="3014">
        <f>EK69</f>
        <v>350018</v>
      </c>
      <c r="EL170" s="5242">
        <f t="shared" ref="EL170:EN170" si="675">EL69</f>
        <v>90234</v>
      </c>
      <c r="EM170" s="5242">
        <f t="shared" si="675"/>
        <v>96428</v>
      </c>
      <c r="EN170" s="5242">
        <f t="shared" si="675"/>
        <v>102346</v>
      </c>
      <c r="EO170" s="3943">
        <f t="shared" ref="EO170" si="676">SUM(EO175,EO179,EO184)</f>
        <v>112246.33430067294</v>
      </c>
      <c r="EP170" s="3014">
        <f>EP69</f>
        <v>401254.33430067293</v>
      </c>
      <c r="EQ170" s="3943">
        <f t="shared" ref="EQ170:ET170" si="677">SUM(EQ175,EQ179,EQ184)</f>
        <v>106324.51246813085</v>
      </c>
      <c r="ER170" s="3943">
        <f t="shared" si="677"/>
        <v>112613.41348835241</v>
      </c>
      <c r="ES170" s="3943">
        <f t="shared" si="677"/>
        <v>118888.45645648654</v>
      </c>
      <c r="ET170" s="3943">
        <f t="shared" si="677"/>
        <v>130475.26993554858</v>
      </c>
      <c r="EU170" s="3014">
        <f>EU69</f>
        <v>468301.65234851843</v>
      </c>
      <c r="EV170" s="3944">
        <f>SUM(EV175,EV179,EV184)</f>
        <v>530735.52121275011</v>
      </c>
      <c r="EW170" s="3944">
        <f>SUM(EW175,EW179,EW184)</f>
        <v>594221.93512936914</v>
      </c>
      <c r="EX170" s="3944">
        <f>SUM(EX175,EX179,EX184)</f>
        <v>657093.77916525898</v>
      </c>
      <c r="EY170" s="3944">
        <f>SUM(EY175,EY179,EY184)</f>
        <v>722335.86960670422</v>
      </c>
      <c r="EZ170" s="167"/>
      <c r="FA170" s="1319">
        <f>(EV170/EK170)^(1/3)-1</f>
        <v>0.14884805174012783</v>
      </c>
      <c r="FB170" s="1319">
        <f>(EX170/EK170)^(1/5)-1</f>
        <v>0.13424636296782211</v>
      </c>
    </row>
    <row r="171" spans="1:158" s="194" customFormat="1" ht="11.25" customHeight="1">
      <c r="A171" s="5363" t="s">
        <v>45</v>
      </c>
      <c r="B171" s="2612"/>
      <c r="C171" s="2612"/>
      <c r="D171" s="2612"/>
      <c r="E171" s="2612"/>
      <c r="F171" s="4241"/>
      <c r="G171" s="2612"/>
      <c r="H171" s="2612"/>
      <c r="I171" s="2612"/>
      <c r="J171" s="2612"/>
      <c r="K171" s="1013"/>
      <c r="L171" s="2612"/>
      <c r="M171" s="2612"/>
      <c r="N171" s="2612"/>
      <c r="O171" s="2612"/>
      <c r="P171" s="1013" t="s">
        <v>116</v>
      </c>
      <c r="Q171" s="2612" t="s">
        <v>116</v>
      </c>
      <c r="R171" s="2612" t="s">
        <v>116</v>
      </c>
      <c r="S171" s="2612" t="s">
        <v>116</v>
      </c>
      <c r="T171" s="2612" t="s">
        <v>116</v>
      </c>
      <c r="U171" s="1013">
        <f t="shared" ref="U171:AI171" si="678">+U170/P170-1</f>
        <v>4.0853678291254951</v>
      </c>
      <c r="V171" s="2612">
        <f t="shared" si="678"/>
        <v>4.8795790469433609</v>
      </c>
      <c r="W171" s="2612">
        <f t="shared" si="678"/>
        <v>2.9630563514804202</v>
      </c>
      <c r="X171" s="2612">
        <f t="shared" si="678"/>
        <v>2.0120883574055526</v>
      </c>
      <c r="Y171" s="2612">
        <f t="shared" si="678"/>
        <v>1.7256254290595012</v>
      </c>
      <c r="Z171" s="1013">
        <f t="shared" si="678"/>
        <v>2.3353977629531197</v>
      </c>
      <c r="AA171" s="2612">
        <f t="shared" si="678"/>
        <v>1.6209807817615784</v>
      </c>
      <c r="AB171" s="2612">
        <f t="shared" si="678"/>
        <v>1.250045790635574</v>
      </c>
      <c r="AC171" s="2612">
        <f t="shared" si="678"/>
        <v>1.0456996207563547</v>
      </c>
      <c r="AD171" s="2612">
        <f t="shared" si="678"/>
        <v>1.0139639771562461</v>
      </c>
      <c r="AE171" s="1013">
        <f t="shared" si="678"/>
        <v>1.1755576990505712</v>
      </c>
      <c r="AF171" s="2612">
        <f t="shared" si="678"/>
        <v>0.92828644783870407</v>
      </c>
      <c r="AG171" s="2612">
        <f t="shared" si="678"/>
        <v>0.97725117535831996</v>
      </c>
      <c r="AH171" s="2612">
        <f t="shared" si="678"/>
        <v>0.9586567347531354</v>
      </c>
      <c r="AI171" s="2612">
        <f t="shared" si="678"/>
        <v>0.86048403202320478</v>
      </c>
      <c r="AJ171" s="1013">
        <f>AJ170/AE170-1</f>
        <v>0.92478163967159421</v>
      </c>
      <c r="AK171" s="2612">
        <f>+AK170/AF170-1</f>
        <v>0.79365432571560213</v>
      </c>
      <c r="AL171" s="2612">
        <f>+AL170/AG170-1</f>
        <v>0.77392551074579585</v>
      </c>
      <c r="AM171" s="2612">
        <f>+AM170/AH170-1</f>
        <v>0.70398984830745981</v>
      </c>
      <c r="AN171" s="2612">
        <f>+AN170/AI170-1</f>
        <v>0.67031926019218435</v>
      </c>
      <c r="AO171" s="1013">
        <f>AO170/AJ170-1</f>
        <v>0.72759040320825763</v>
      </c>
      <c r="AP171" s="2612">
        <f>+AP170/AK170-1</f>
        <v>0.62571841216103774</v>
      </c>
      <c r="AQ171" s="2612">
        <f>+AQ170/AL170-1</f>
        <v>0.57654690102691708</v>
      </c>
      <c r="AR171" s="2612">
        <f>+AR170/AM170-1</f>
        <v>0.57318417517668507</v>
      </c>
      <c r="AS171" s="2612">
        <f>+AS170/AN170-1</f>
        <v>0.50575012057408886</v>
      </c>
      <c r="AT171" s="1013">
        <f>AT170/AO170-1</f>
        <v>0.56474454255511852</v>
      </c>
      <c r="AU171" s="2612">
        <f>+AU170/AP170-1</f>
        <v>0.41541595170922485</v>
      </c>
      <c r="AV171" s="2612">
        <f>+AV170/AQ170-1</f>
        <v>0.38616549392624222</v>
      </c>
      <c r="AW171" s="2612">
        <f>+AW170/AR170-1</f>
        <v>0.30960324492106661</v>
      </c>
      <c r="AX171" s="2612">
        <f>+AX170/AS170-1</f>
        <v>0.18112350127282117</v>
      </c>
      <c r="AY171" s="1013">
        <f>AY170/AT170-1</f>
        <v>0.31346079236176294</v>
      </c>
      <c r="AZ171" s="2612">
        <f>+AZ170/AU170-1</f>
        <v>6.227233364628848E-2</v>
      </c>
      <c r="BA171" s="2612">
        <f>+BA170/AV170-1</f>
        <v>2.9006679818125436E-2</v>
      </c>
      <c r="BB171" s="2612">
        <f>+BB170/AW170-1</f>
        <v>7.2808433839084863E-2</v>
      </c>
      <c r="BC171" s="2612">
        <f>+BC170/AX170-1</f>
        <v>0.1706608285282476</v>
      </c>
      <c r="BD171" s="1013">
        <f>BD170/AY170-1</f>
        <v>8.5109712762467593E-2</v>
      </c>
      <c r="BE171" s="2612">
        <f>+BE170/AZ170-1</f>
        <v>0.22980800473408025</v>
      </c>
      <c r="BF171" s="2612">
        <f>+BF170/BA170-1</f>
        <v>0.23485916901944748</v>
      </c>
      <c r="BG171" s="2612">
        <f>+BG170/BB170-1</f>
        <v>0.22559842122199547</v>
      </c>
      <c r="BH171" s="2612">
        <f>+BH170/BC170-1</f>
        <v>0.26464209055526622</v>
      </c>
      <c r="BI171" s="1013">
        <f>BI170/BD170-1</f>
        <v>0.23975907042889411</v>
      </c>
      <c r="BJ171" s="2612">
        <f>+BJ170/BE170-1</f>
        <v>0.26568265682656822</v>
      </c>
      <c r="BK171" s="2612">
        <f>+BK170/BF170-1</f>
        <v>0.32346041055718477</v>
      </c>
      <c r="BL171" s="2612">
        <f>+BL170/BG170-1</f>
        <v>0.33406533077134237</v>
      </c>
      <c r="BM171" s="2612">
        <f>+BM170/BH170-1</f>
        <v>0.2540284360189573</v>
      </c>
      <c r="BN171" s="1013">
        <f>BN170/BI170-1</f>
        <v>0.2927594556802291</v>
      </c>
      <c r="BO171" s="629"/>
      <c r="BP171" s="629"/>
      <c r="BQ171" s="629"/>
      <c r="BR171" s="629"/>
      <c r="BS171" s="1013"/>
      <c r="BT171" s="2612">
        <f>BT170/BJ170-1</f>
        <v>0.24139941690962097</v>
      </c>
      <c r="BU171" s="2612">
        <f>BU170/BK170-1</f>
        <v>0.21471305118546424</v>
      </c>
      <c r="BV171" s="2612">
        <f>BV170/BL170-1</f>
        <v>0.18580246913580245</v>
      </c>
      <c r="BW171" s="2612">
        <f>BW170/BM170-1</f>
        <v>0.21929327286470146</v>
      </c>
      <c r="BX171" s="1013">
        <f>BX170/BN170-1</f>
        <v>0.21461548608363024</v>
      </c>
      <c r="BY171" s="629"/>
      <c r="BZ171" s="629"/>
      <c r="CA171" s="629"/>
      <c r="CB171" s="629"/>
      <c r="CC171" s="1013"/>
      <c r="CD171" s="2612">
        <f>CD170/BT170-1</f>
        <v>0.21662752465946444</v>
      </c>
      <c r="CE171" s="2612">
        <f>CE170/BU170-1</f>
        <v>0.1954578620941263</v>
      </c>
      <c r="CF171" s="2612">
        <f>CF170/BV170-1</f>
        <v>0.19330209960090228</v>
      </c>
      <c r="CG171" s="2612">
        <f>CG170/BW170-1</f>
        <v>0.21712514529252225</v>
      </c>
      <c r="CH171" s="1013">
        <f>CH170/BX170-1</f>
        <v>0.20588618592528229</v>
      </c>
      <c r="CI171" s="2612">
        <f t="shared" ref="CI171:CN171" si="679">CI170/CD170-1</f>
        <v>0.19064164929349081</v>
      </c>
      <c r="CJ171" s="2612">
        <f t="shared" si="679"/>
        <v>0.21728847180895694</v>
      </c>
      <c r="CK171" s="2612">
        <f t="shared" si="679"/>
        <v>0.20132325141776941</v>
      </c>
      <c r="CL171" s="2612">
        <f t="shared" si="679"/>
        <v>0.15254345196409247</v>
      </c>
      <c r="CM171" s="1013">
        <f t="shared" si="679"/>
        <v>0.18880023055170292</v>
      </c>
      <c r="CN171" s="2612">
        <f t="shared" si="679"/>
        <v>0.11919584954604412</v>
      </c>
      <c r="CO171" s="2612">
        <f t="shared" ref="CO171:CX171" si="680">CO170/CJ170-1</f>
        <v>0.11106236289564397</v>
      </c>
      <c r="CP171" s="2612">
        <f>CP170/CK170-1</f>
        <v>0.13024269200508387</v>
      </c>
      <c r="CQ171" s="2612">
        <f t="shared" si="680"/>
        <v>0.17820250787162339</v>
      </c>
      <c r="CR171" s="1013">
        <f t="shared" si="680"/>
        <v>0.13617975485219924</v>
      </c>
      <c r="CS171" s="2612">
        <f t="shared" si="680"/>
        <v>0.17377448139993046</v>
      </c>
      <c r="CT171" s="2612">
        <f t="shared" si="680"/>
        <v>0.21283917188469559</v>
      </c>
      <c r="CU171" s="2612">
        <f t="shared" si="680"/>
        <v>0.20219544846050863</v>
      </c>
      <c r="CV171" s="2612">
        <f t="shared" si="680"/>
        <v>0.22199821838811018</v>
      </c>
      <c r="CW171" s="1013">
        <f t="shared" si="680"/>
        <v>0.20380322447292265</v>
      </c>
      <c r="CX171" s="2612">
        <f t="shared" si="680"/>
        <v>0.22179987164930637</v>
      </c>
      <c r="CY171" s="2612">
        <f t="shared" ref="CY171:EN171" si="681">CY170/CT170-1</f>
        <v>0.20976744186046514</v>
      </c>
      <c r="CZ171" s="2612">
        <f t="shared" si="681"/>
        <v>0.23700503318337707</v>
      </c>
      <c r="DA171" s="2612">
        <f t="shared" si="681"/>
        <v>0.24013965623081646</v>
      </c>
      <c r="DB171" s="1013">
        <f t="shared" si="681"/>
        <v>0.22801090038993266</v>
      </c>
      <c r="DC171" s="2612">
        <f t="shared" si="681"/>
        <v>0.25842424242424245</v>
      </c>
      <c r="DD171" s="2612">
        <f t="shared" si="681"/>
        <v>0.25555555555555554</v>
      </c>
      <c r="DE171" s="2612">
        <f t="shared" si="681"/>
        <v>0.21489269768111763</v>
      </c>
      <c r="DF171" s="2612">
        <f t="shared" si="681"/>
        <v>0.21510998360300704</v>
      </c>
      <c r="DG171" s="1013">
        <f t="shared" si="681"/>
        <v>0.23421586757475987</v>
      </c>
      <c r="DH171" s="2612">
        <f t="shared" si="681"/>
        <v>0.16673088036987083</v>
      </c>
      <c r="DI171" s="2612">
        <f t="shared" si="681"/>
        <v>0.19251615273907574</v>
      </c>
      <c r="DJ171" s="2612">
        <f t="shared" si="681"/>
        <v>0.2003260225251926</v>
      </c>
      <c r="DK171" s="2612">
        <f t="shared" si="681"/>
        <v>0.17310825949689379</v>
      </c>
      <c r="DL171" s="5236">
        <f t="shared" si="681"/>
        <v>0.18300089899794614</v>
      </c>
      <c r="DM171" s="5237">
        <f t="shared" si="681"/>
        <v>0.13263986350752632</v>
      </c>
      <c r="DN171" s="5237">
        <f t="shared" si="681"/>
        <v>-1.6613599013968749E-2</v>
      </c>
      <c r="DO171" s="5237">
        <f t="shared" si="681"/>
        <v>0.14010222474628997</v>
      </c>
      <c r="DP171" s="5237">
        <f t="shared" si="681"/>
        <v>0.23489962018448174</v>
      </c>
      <c r="DQ171" s="5236">
        <f t="shared" si="681"/>
        <v>0.12770532012826141</v>
      </c>
      <c r="DR171" s="5237">
        <f t="shared" si="681"/>
        <v>0.34391020189994892</v>
      </c>
      <c r="DS171" s="5237">
        <f t="shared" si="681"/>
        <v>0.61579235971486024</v>
      </c>
      <c r="DT171" s="5237">
        <f t="shared" si="681"/>
        <v>0.41030472353973102</v>
      </c>
      <c r="DU171" s="5237">
        <f t="shared" si="681"/>
        <v>0.32386024113325607</v>
      </c>
      <c r="DV171" s="5236">
        <f>DV170/DQ170-1</f>
        <v>0.41150076427049154</v>
      </c>
      <c r="DW171" s="5237">
        <f t="shared" si="681"/>
        <v>0.22954405756228069</v>
      </c>
      <c r="DX171" s="5237">
        <f t="shared" si="681"/>
        <v>0.12613122171945701</v>
      </c>
      <c r="DY171" s="5237">
        <f t="shared" si="681"/>
        <v>6.1027672840074931E-2</v>
      </c>
      <c r="DZ171" s="5237">
        <f t="shared" si="681"/>
        <v>9.5984069034185104E-3</v>
      </c>
      <c r="EA171" s="1013">
        <f t="shared" ref="EA171:EF171" si="682">EA170/DV170-1</f>
        <v>9.7808156437157789E-2</v>
      </c>
      <c r="EB171" s="5237">
        <f t="shared" si="681"/>
        <v>2.6113422828660138E-2</v>
      </c>
      <c r="EC171" s="5237">
        <f t="shared" si="681"/>
        <v>7.0589079428858392E-2</v>
      </c>
      <c r="ED171" s="5237">
        <f t="shared" si="681"/>
        <v>0.11001273664100042</v>
      </c>
      <c r="EE171" s="5237">
        <f t="shared" si="681"/>
        <v>0.13494108983799702</v>
      </c>
      <c r="EF171" s="1013">
        <f t="shared" si="682"/>
        <v>8.6827702272695095E-2</v>
      </c>
      <c r="EG171" s="5237">
        <f t="shared" si="681"/>
        <v>0.15406880937710454</v>
      </c>
      <c r="EH171" s="5237">
        <f t="shared" si="681"/>
        <v>0.13589083695244231</v>
      </c>
      <c r="EI171" s="5237">
        <f t="shared" si="681"/>
        <v>0.15092642092498654</v>
      </c>
      <c r="EJ171" s="5237">
        <f t="shared" si="681"/>
        <v>0.11770362646275045</v>
      </c>
      <c r="EK171" s="1013">
        <f>EK170/EF170-1</f>
        <v>0.13866243322901561</v>
      </c>
      <c r="EL171" s="5237">
        <f t="shared" si="681"/>
        <v>0.12037646357665222</v>
      </c>
      <c r="EM171" s="5237">
        <f t="shared" si="681"/>
        <v>0.13790092280097244</v>
      </c>
      <c r="EN171" s="5237">
        <f t="shared" si="681"/>
        <v>0.1594915484660353</v>
      </c>
      <c r="EO171" s="2612">
        <f t="shared" ref="EO171" si="683">EO170/EJ170-1</f>
        <v>0.16354823104492566</v>
      </c>
      <c r="EP171" s="1013">
        <f>EP170/EK170-1</f>
        <v>0.14638199835629284</v>
      </c>
      <c r="EQ171" s="2612">
        <f t="shared" ref="EQ171" si="684">EQ170/EL170-1</f>
        <v>0.17831984028338388</v>
      </c>
      <c r="ER171" s="2612">
        <f t="shared" ref="ER171" si="685">ER170/EM170-1</f>
        <v>0.16784972713685242</v>
      </c>
      <c r="ES171" s="2612">
        <f t="shared" ref="ES171" si="686">ES170/EN170-1</f>
        <v>0.16163266230714002</v>
      </c>
      <c r="ET171" s="2612">
        <f t="shared" ref="ET171" si="687">ET170/EO170-1</f>
        <v>0.16240116658104853</v>
      </c>
      <c r="EU171" s="1013">
        <f>EU170/EP170-1</f>
        <v>0.16709431479338188</v>
      </c>
      <c r="EV171" s="1013">
        <f>EV170/EU170-1</f>
        <v>0.13331977060325917</v>
      </c>
      <c r="EW171" s="1013">
        <f>EW170/EV170-1</f>
        <v>0.11961968132743461</v>
      </c>
      <c r="EX171" s="1013">
        <f>EX170/EW170-1</f>
        <v>0.10580532343054938</v>
      </c>
      <c r="EY171" s="1013">
        <f>EY170/EX170-1</f>
        <v>9.9288857253108764E-2</v>
      </c>
      <c r="EZ171" s="193"/>
      <c r="FA171" s="725"/>
      <c r="FB171" s="725"/>
    </row>
    <row r="172" spans="1:158" s="194" customFormat="1" ht="11.25" customHeight="1">
      <c r="A172" s="5664" t="str">
        <f>A226</f>
        <v>Y/Y growth (ex-FX &amp; Hedging)</v>
      </c>
      <c r="B172" s="2288"/>
      <c r="C172" s="2288"/>
      <c r="D172" s="2288"/>
      <c r="E172" s="2288"/>
      <c r="F172" s="4244"/>
      <c r="G172" s="2288"/>
      <c r="H172" s="2288"/>
      <c r="I172" s="2288"/>
      <c r="J172" s="2288"/>
      <c r="K172" s="4134"/>
      <c r="L172" s="2288"/>
      <c r="M172" s="2288"/>
      <c r="N172" s="2288"/>
      <c r="O172" s="2288"/>
      <c r="P172" s="4134"/>
      <c r="Q172" s="2288"/>
      <c r="R172" s="2288"/>
      <c r="S172" s="2288"/>
      <c r="T172" s="2288"/>
      <c r="U172" s="4134"/>
      <c r="V172" s="2288"/>
      <c r="W172" s="2288"/>
      <c r="X172" s="2288"/>
      <c r="Y172" s="2288"/>
      <c r="Z172" s="4134"/>
      <c r="AA172" s="2288"/>
      <c r="AB172" s="2288"/>
      <c r="AC172" s="2288"/>
      <c r="AD172" s="2288"/>
      <c r="AE172" s="4134"/>
      <c r="AF172" s="2288"/>
      <c r="AG172" s="2288"/>
      <c r="AH172" s="2288"/>
      <c r="AI172" s="2288"/>
      <c r="AJ172" s="4134"/>
      <c r="AK172" s="2288"/>
      <c r="AL172" s="2288"/>
      <c r="AM172" s="2288"/>
      <c r="AN172" s="2288"/>
      <c r="AO172" s="4134"/>
      <c r="AP172" s="2288"/>
      <c r="AQ172" s="2288"/>
      <c r="AR172" s="2288"/>
      <c r="AS172" s="2288"/>
      <c r="AT172" s="4134"/>
      <c r="AU172" s="2288">
        <f t="shared" ref="AU172:CA172" si="688">AU226</f>
        <v>0.36028451098548553</v>
      </c>
      <c r="AV172" s="2288">
        <f t="shared" si="688"/>
        <v>0.32056606624250894</v>
      </c>
      <c r="AW172" s="2288">
        <f t="shared" si="688"/>
        <v>0.26181708867924214</v>
      </c>
      <c r="AX172" s="2288">
        <f t="shared" si="688"/>
        <v>0.20952812482454286</v>
      </c>
      <c r="AY172" s="4134">
        <f t="shared" si="688"/>
        <v>0.28205784915089116</v>
      </c>
      <c r="AZ172" s="2288">
        <f t="shared" si="688"/>
        <v>0.11529927538202034</v>
      </c>
      <c r="BA172" s="2288">
        <f t="shared" si="688"/>
        <v>9.9486014875395767E-2</v>
      </c>
      <c r="BB172" s="2288">
        <f t="shared" si="688"/>
        <v>0.1263184806918809</v>
      </c>
      <c r="BC172" s="2288">
        <f t="shared" si="688"/>
        <v>0.16113071706337623</v>
      </c>
      <c r="BD172" s="4134">
        <f t="shared" si="688"/>
        <v>0.12599209807815459</v>
      </c>
      <c r="BE172" s="2288">
        <f t="shared" si="688"/>
        <v>0.21811618695833235</v>
      </c>
      <c r="BF172" s="2288">
        <f t="shared" si="688"/>
        <v>0.24414301661987614</v>
      </c>
      <c r="BG172" s="2288">
        <f t="shared" si="688"/>
        <v>0.24723769698896914</v>
      </c>
      <c r="BH172" s="2288">
        <f t="shared" si="688"/>
        <v>0.28221187924975522</v>
      </c>
      <c r="BI172" s="4134">
        <f t="shared" si="688"/>
        <v>0.24983049712454952</v>
      </c>
      <c r="BJ172" s="2288">
        <f t="shared" si="688"/>
        <v>0.26208425720620832</v>
      </c>
      <c r="BK172" s="2288">
        <f t="shared" si="688"/>
        <v>0.27651683726450083</v>
      </c>
      <c r="BL172" s="2288">
        <f t="shared" si="688"/>
        <v>0.28331249131582603</v>
      </c>
      <c r="BM172" s="2288">
        <f t="shared" si="688"/>
        <v>0.25014854426619126</v>
      </c>
      <c r="BN172" s="4134">
        <f t="shared" si="688"/>
        <v>0.26722302355931049</v>
      </c>
      <c r="BO172" s="4135">
        <f t="shared" si="688"/>
        <v>0</v>
      </c>
      <c r="BP172" s="4135">
        <f t="shared" si="688"/>
        <v>0</v>
      </c>
      <c r="BQ172" s="4135">
        <f t="shared" si="688"/>
        <v>0</v>
      </c>
      <c r="BR172" s="4135">
        <f t="shared" si="688"/>
        <v>0</v>
      </c>
      <c r="BS172" s="4134">
        <f t="shared" si="688"/>
        <v>0</v>
      </c>
      <c r="BT172" s="2288">
        <f t="shared" si="688"/>
        <v>0.24693376941946044</v>
      </c>
      <c r="BU172" s="2288">
        <f t="shared" si="688"/>
        <v>0.24506761250277109</v>
      </c>
      <c r="BV172" s="2288">
        <f t="shared" si="688"/>
        <v>0.23685564358473088</v>
      </c>
      <c r="BW172" s="2288">
        <f t="shared" si="688"/>
        <v>0.23695425703191586</v>
      </c>
      <c r="BX172" s="4134">
        <f t="shared" si="688"/>
        <v>0.24111882940228724</v>
      </c>
      <c r="BY172" s="4135">
        <f t="shared" si="688"/>
        <v>0</v>
      </c>
      <c r="BZ172" s="4135">
        <f t="shared" si="688"/>
        <v>0</v>
      </c>
      <c r="CA172" s="4135">
        <f t="shared" si="688"/>
        <v>0</v>
      </c>
      <c r="CB172" s="4135">
        <f t="shared" ref="CB172:DG172" si="689">CB226</f>
        <v>0</v>
      </c>
      <c r="CC172" s="4134">
        <f t="shared" si="689"/>
        <v>0</v>
      </c>
      <c r="CD172" s="2288">
        <f t="shared" si="689"/>
        <v>0.22794117647058831</v>
      </c>
      <c r="CE172" s="2288">
        <f t="shared" si="689"/>
        <v>0.22107874666911687</v>
      </c>
      <c r="CF172" s="2288">
        <f t="shared" si="689"/>
        <v>0.20961270062805304</v>
      </c>
      <c r="CG172" s="2288">
        <f t="shared" si="689"/>
        <v>0.23134908299658075</v>
      </c>
      <c r="CH172" s="4134">
        <f t="shared" si="689"/>
        <v>0.2226829321519761</v>
      </c>
      <c r="CI172" s="2288">
        <f t="shared" si="689"/>
        <v>0.20586868999690311</v>
      </c>
      <c r="CJ172" s="2288">
        <f t="shared" si="689"/>
        <v>0.21090881272949824</v>
      </c>
      <c r="CK172" s="2288">
        <f t="shared" si="689"/>
        <v>0.1948004660646665</v>
      </c>
      <c r="CL172" s="2288">
        <f t="shared" si="689"/>
        <v>0.18256495160468678</v>
      </c>
      <c r="CM172" s="4134">
        <f t="shared" si="689"/>
        <v>0.19771218244803701</v>
      </c>
      <c r="CN172" s="2288">
        <f t="shared" si="689"/>
        <v>0.17135997923695823</v>
      </c>
      <c r="CO172" s="2288">
        <f t="shared" si="689"/>
        <v>0.18063828453194564</v>
      </c>
      <c r="CP172" s="2288">
        <f t="shared" si="689"/>
        <v>0.20910797553442739</v>
      </c>
      <c r="CQ172" s="2288">
        <f t="shared" si="689"/>
        <v>0.24366471734892792</v>
      </c>
      <c r="CR172" s="4134">
        <f t="shared" si="689"/>
        <v>0.20279815886615316</v>
      </c>
      <c r="CS172" s="2288">
        <f t="shared" si="689"/>
        <v>0.2303062488936094</v>
      </c>
      <c r="CT172" s="2288">
        <f t="shared" si="689"/>
        <v>0.24797171998145573</v>
      </c>
      <c r="CU172" s="2288">
        <f t="shared" si="689"/>
        <v>0.22584153570069065</v>
      </c>
      <c r="CV172" s="2288">
        <f t="shared" si="689"/>
        <v>0.24203457636805248</v>
      </c>
      <c r="CW172" s="4134">
        <f t="shared" si="689"/>
        <v>0.23667939501827728</v>
      </c>
      <c r="CX172" s="2288">
        <f t="shared" si="689"/>
        <v>0.23640979689366781</v>
      </c>
      <c r="CY172" s="2288">
        <f t="shared" si="689"/>
        <v>0.23102418074876296</v>
      </c>
      <c r="CZ172" s="2288">
        <f t="shared" si="689"/>
        <v>0.23995345923207734</v>
      </c>
      <c r="DA172" s="2288">
        <f t="shared" si="689"/>
        <v>0.23588514897399238</v>
      </c>
      <c r="DB172" s="4134">
        <f t="shared" si="689"/>
        <v>0.23585525949204866</v>
      </c>
      <c r="DC172" s="2288">
        <f t="shared" si="689"/>
        <v>0.22585904699792114</v>
      </c>
      <c r="DD172" s="2288">
        <f t="shared" si="689"/>
        <v>0.23013034952128275</v>
      </c>
      <c r="DE172" s="2288">
        <f t="shared" si="689"/>
        <v>0.21750169867324676</v>
      </c>
      <c r="DF172" s="2288">
        <f t="shared" si="689"/>
        <v>0.22616155714768915</v>
      </c>
      <c r="DG172" s="4134">
        <f t="shared" si="689"/>
        <v>0.22484327712926944</v>
      </c>
      <c r="DH172" s="2288">
        <f t="shared" ref="DH172:DQ172" si="690">DH226</f>
        <v>0.19021825712920193</v>
      </c>
      <c r="DI172" s="2288">
        <f t="shared" si="690"/>
        <v>0.22261904761904772</v>
      </c>
      <c r="DJ172" s="2288">
        <f t="shared" si="690"/>
        <v>0.21565656565656566</v>
      </c>
      <c r="DK172" s="2288">
        <f t="shared" si="690"/>
        <v>0.18515018389865134</v>
      </c>
      <c r="DL172" s="5238">
        <f t="shared" si="690"/>
        <v>0.20277167286082487</v>
      </c>
      <c r="DM172" s="5074">
        <f t="shared" si="690"/>
        <v>0.14640075133970498</v>
      </c>
      <c r="DN172" s="5074">
        <f t="shared" si="690"/>
        <v>4.1198887630033987E-4</v>
      </c>
      <c r="DO172" s="5074">
        <f>DO226</f>
        <v>0.14536899455175822</v>
      </c>
      <c r="DP172" s="5074">
        <f>DP226</f>
        <v>0.23110212247738349</v>
      </c>
      <c r="DQ172" s="5238">
        <f t="shared" si="690"/>
        <v>0.13514702420044356</v>
      </c>
      <c r="DR172" s="5074">
        <f t="shared" ref="DR172:EV172" si="691">DR226</f>
        <v>0.3213816589637557</v>
      </c>
      <c r="DS172" s="5074">
        <f t="shared" si="691"/>
        <v>0.5729041052797148</v>
      </c>
      <c r="DT172" s="5074">
        <f t="shared" si="691"/>
        <v>0.39497781145145572</v>
      </c>
      <c r="DU172" s="5074">
        <f t="shared" si="691"/>
        <v>0.3250439367311071</v>
      </c>
      <c r="DV172" s="5238">
        <f t="shared" si="691"/>
        <v>0.39378451448031537</v>
      </c>
      <c r="DW172" s="5074">
        <f t="shared" si="691"/>
        <v>0.25803366833264163</v>
      </c>
      <c r="DX172" s="5074">
        <f t="shared" si="691"/>
        <v>0.16328146460484438</v>
      </c>
      <c r="DY172" s="5074">
        <f t="shared" si="691"/>
        <v>0.11245696015740281</v>
      </c>
      <c r="DZ172" s="5074">
        <f t="shared" si="691"/>
        <v>6.6425281542024983E-2</v>
      </c>
      <c r="EA172" s="4134">
        <f t="shared" si="691"/>
        <v>0.14257751817560438</v>
      </c>
      <c r="EB172" s="5074">
        <f>EB226</f>
        <v>6.1181403451788574E-2</v>
      </c>
      <c r="EC172" s="5074">
        <f>EC226</f>
        <v>9.2872601356225548E-2</v>
      </c>
      <c r="ED172" s="5074">
        <f>ED226</f>
        <v>0.11413503958862892</v>
      </c>
      <c r="EE172" s="5074">
        <f t="shared" ref="EE172" si="692">EE226</f>
        <v>0.13055360246222425</v>
      </c>
      <c r="EF172" s="4134">
        <f t="shared" si="691"/>
        <v>0.10052478673863208</v>
      </c>
      <c r="EG172" s="5074">
        <f>EG226</f>
        <v>0.16002180680888922</v>
      </c>
      <c r="EH172" s="5074">
        <f>EH226</f>
        <v>0.15155292824492972</v>
      </c>
      <c r="EI172" s="5074">
        <f>EI226</f>
        <v>0.16395024382611423</v>
      </c>
      <c r="EJ172" s="5074">
        <f t="shared" ref="EJ172" si="693">EJ226</f>
        <v>0.12249303621169916</v>
      </c>
      <c r="EK172" s="4134">
        <f>EK226</f>
        <v>0.14841872912312226</v>
      </c>
      <c r="EL172" s="5074">
        <f>EL226</f>
        <v>0.13809387699305309</v>
      </c>
      <c r="EM172" s="5074">
        <f>EM226</f>
        <v>0.13418005671077515</v>
      </c>
      <c r="EN172" s="5074">
        <f>EN226</f>
        <v>0.14688785396199466</v>
      </c>
      <c r="EO172" s="2288">
        <f t="shared" ref="EO172" si="694">EO226</f>
        <v>0.15567927091001477</v>
      </c>
      <c r="EP172" s="4134">
        <f>EP226</f>
        <v>0.14421412378826037</v>
      </c>
      <c r="EQ172" s="2288">
        <f t="shared" ref="EQ172:ET172" si="695">EQ226</f>
        <v>0.15286261586680583</v>
      </c>
      <c r="ER172" s="2288">
        <f t="shared" si="695"/>
        <v>0.16110832815413323</v>
      </c>
      <c r="ES172" s="2288">
        <f t="shared" si="695"/>
        <v>0.16474337171998865</v>
      </c>
      <c r="ET172" s="2288">
        <f t="shared" si="695"/>
        <v>0.16227208801947146</v>
      </c>
      <c r="EU172" s="4134">
        <f>EU226</f>
        <v>0.16051491729564482</v>
      </c>
      <c r="EV172" s="4134">
        <f t="shared" si="691"/>
        <v>0.13190302624226624</v>
      </c>
      <c r="EW172" s="4134">
        <f>EW226</f>
        <v>0.11961968132743461</v>
      </c>
      <c r="EX172" s="4134">
        <f>EX226</f>
        <v>0.10580532343054938</v>
      </c>
      <c r="EY172" s="4134">
        <f>EY226</f>
        <v>9.9288857253108764E-2</v>
      </c>
      <c r="EZ172" s="193"/>
      <c r="FA172" s="725"/>
      <c r="FB172" s="725"/>
    </row>
    <row r="173" spans="1:158" s="77" customFormat="1" ht="11.25" customHeight="1">
      <c r="A173" s="5665" t="s">
        <v>46</v>
      </c>
      <c r="B173" s="5589"/>
      <c r="C173" s="5193"/>
      <c r="D173" s="5193"/>
      <c r="E173" s="5193"/>
      <c r="F173" s="5594"/>
      <c r="G173" s="5589"/>
      <c r="H173" s="5193"/>
      <c r="I173" s="5193"/>
      <c r="J173" s="5193"/>
      <c r="K173" s="5200"/>
      <c r="L173" s="5193"/>
      <c r="M173" s="5193"/>
      <c r="N173" s="5193"/>
      <c r="O173" s="5193"/>
      <c r="P173" s="5201"/>
      <c r="Q173" s="5193" t="s">
        <v>116</v>
      </c>
      <c r="R173" s="5193">
        <f>+R170/Q170-1</f>
        <v>0.857041504079461</v>
      </c>
      <c r="S173" s="5193">
        <f>+S170/R170-1</f>
        <v>0.66554600445717926</v>
      </c>
      <c r="T173" s="5193">
        <f>+T170/S170-1</f>
        <v>0.43677123873167822</v>
      </c>
      <c r="U173" s="5201"/>
      <c r="V173" s="5193">
        <f>+V170/T170-1</f>
        <v>0.32306251363677485</v>
      </c>
      <c r="W173" s="5193">
        <f>+W170/V170-1</f>
        <v>0.25171548319108039</v>
      </c>
      <c r="X173" s="5193">
        <f>+X170/W170-1</f>
        <v>0.265884530477283</v>
      </c>
      <c r="Y173" s="5193">
        <f>+Y170/X170-1</f>
        <v>0.30012793761518175</v>
      </c>
      <c r="Z173" s="5201"/>
      <c r="AA173" s="5193">
        <f>+AA170/Y170-1</f>
        <v>0.27226631522428879</v>
      </c>
      <c r="AB173" s="5193">
        <f>+AB170/AA170-1</f>
        <v>7.4566121821973752E-2</v>
      </c>
      <c r="AC173" s="5193">
        <f>+AC170/AB170-1</f>
        <v>0.15091857894466232</v>
      </c>
      <c r="AD173" s="5193">
        <f>+AD170/AC170-1</f>
        <v>0.27995860461826561</v>
      </c>
      <c r="AE173" s="5201"/>
      <c r="AF173" s="5193">
        <f>+AF170/AD170-1</f>
        <v>0.21814189405352558</v>
      </c>
      <c r="AG173" s="5193">
        <f>+AG170/AF170-1</f>
        <v>0.10185243989769166</v>
      </c>
      <c r="AH173" s="5193">
        <f>+AH170/AG170-1</f>
        <v>0.14009512493725151</v>
      </c>
      <c r="AI173" s="5193">
        <f>+AI170/AH170-1</f>
        <v>0.21580392484807942</v>
      </c>
      <c r="AJ173" s="5201"/>
      <c r="AK173" s="5193">
        <f>+AK170/AI170-1</f>
        <v>0.17438550398547648</v>
      </c>
      <c r="AL173" s="5193">
        <f>+AL170/AK170-1</f>
        <v>8.9732912406184528E-2</v>
      </c>
      <c r="AM173" s="5193">
        <f>+AM170/AL170-1</f>
        <v>9.5147742805246072E-2</v>
      </c>
      <c r="AN173" s="5193">
        <f>+AN170/AM170-1</f>
        <v>0.19177981858761273</v>
      </c>
      <c r="AO173" s="5201"/>
      <c r="AP173" s="5193">
        <f>+AP170/AN170-1</f>
        <v>0.14302707410829774</v>
      </c>
      <c r="AQ173" s="5193">
        <f>+AQ170/AP170-1</f>
        <v>5.6772829260930191E-2</v>
      </c>
      <c r="AR173" s="5193">
        <f>+AR170/AQ170-1</f>
        <v>9.2811826492096516E-2</v>
      </c>
      <c r="AS173" s="5193">
        <f>+AS170/AR170-1</f>
        <v>0.14069454413023186</v>
      </c>
      <c r="AT173" s="5201"/>
      <c r="AU173" s="5193">
        <f>+AU170/AS170-1</f>
        <v>7.4453677155659204E-2</v>
      </c>
      <c r="AV173" s="5193">
        <f>+AV170/AU170-1</f>
        <v>3.4933956390257537E-2</v>
      </c>
      <c r="AW173" s="5193">
        <f>+AW170/AV170-1</f>
        <v>3.2452416636421066E-2</v>
      </c>
      <c r="AX173" s="5193">
        <f>+AX170/AW170-1</f>
        <v>2.8785732679754927E-2</v>
      </c>
      <c r="AY173" s="5201"/>
      <c r="AZ173" s="5193">
        <f>+AZ170/AX170-1</f>
        <v>-3.3663783849017581E-2</v>
      </c>
      <c r="BA173" s="5193">
        <f>+BA170/AZ170-1</f>
        <v>2.5244191766551349E-3</v>
      </c>
      <c r="BB173" s="5193">
        <f>+BB170/BA170-1</f>
        <v>7.6400845425869557E-2</v>
      </c>
      <c r="BC173" s="5193">
        <f>+BC170/BB170-1</f>
        <v>0.12262275370736808</v>
      </c>
      <c r="BD173" s="5201"/>
      <c r="BE173" s="5193">
        <f>+BE170/BC170-1</f>
        <v>1.515997198008634E-2</v>
      </c>
      <c r="BF173" s="5193">
        <f>+BF170/BE170-1</f>
        <v>6.6420664206641167E-3</v>
      </c>
      <c r="BG173" s="5193">
        <f>+BG170/BF170-1</f>
        <v>6.8328445747800615E-2</v>
      </c>
      <c r="BH173" s="5193">
        <f>+BH170/BG170-1</f>
        <v>0.15838594564919029</v>
      </c>
      <c r="BI173" s="5201"/>
      <c r="BJ173" s="5193">
        <f>+BJ170/BH170-1</f>
        <v>1.5995260663507205E-2</v>
      </c>
      <c r="BK173" s="5193">
        <f>+BK170/BJ170-1</f>
        <v>5.2594752186588822E-2</v>
      </c>
      <c r="BL173" s="5193">
        <f>+BL170/BK170-1</f>
        <v>7.6888987369820416E-2</v>
      </c>
      <c r="BM173" s="5193">
        <f>+BM170/BL170-1</f>
        <v>8.8888888888888795E-2</v>
      </c>
      <c r="BN173" s="5201"/>
      <c r="BO173" s="5202"/>
      <c r="BP173" s="5202"/>
      <c r="BQ173" s="5202"/>
      <c r="BR173" s="5202"/>
      <c r="BS173" s="5201"/>
      <c r="BT173" s="5193">
        <f>+BT170/BM170-1</f>
        <v>5.7634164777022878E-3</v>
      </c>
      <c r="BU173" s="5193">
        <f>+BU170/BT170-1</f>
        <v>2.9967120713950246E-2</v>
      </c>
      <c r="BV173" s="5193">
        <f>+BV170/BU170-1</f>
        <v>5.125866472090479E-2</v>
      </c>
      <c r="BW173" s="5193">
        <f>+BW170/BV170-1</f>
        <v>0.11964254728440049</v>
      </c>
      <c r="BX173" s="5201"/>
      <c r="BY173" s="5202"/>
      <c r="BZ173" s="5202"/>
      <c r="CA173" s="5202"/>
      <c r="CB173" s="5202"/>
      <c r="CC173" s="5201"/>
      <c r="CD173" s="5193">
        <f>+CD170/BW170-1</f>
        <v>3.564509879891542E-3</v>
      </c>
      <c r="CE173" s="5193">
        <f>+CE170/CD170-1</f>
        <v>1.2045401899467123E-2</v>
      </c>
      <c r="CF173" s="5193">
        <f>+CF170/CE170-1</f>
        <v>4.9362935835812971E-2</v>
      </c>
      <c r="CG173" s="5193">
        <f>+CG170/CF170-1</f>
        <v>0.14199505598371376</v>
      </c>
      <c r="CH173" s="5201"/>
      <c r="CI173" s="5193">
        <f>+CI170/CG170-1</f>
        <v>-1.8272107977334917E-2</v>
      </c>
      <c r="CJ173" s="5193">
        <f>+CJ170/CI170-1</f>
        <v>3.4695201037613588E-2</v>
      </c>
      <c r="CK173" s="5193">
        <f>+CK170/CJ170-1</f>
        <v>3.5600125352553968E-2</v>
      </c>
      <c r="CL173" s="5193">
        <f>+CL170/CK170-1</f>
        <v>9.5624281304847791E-2</v>
      </c>
      <c r="CM173" s="5201"/>
      <c r="CN173" s="5193">
        <f>+CN170/CL170-1</f>
        <v>-4.6677346296194022E-2</v>
      </c>
      <c r="CO173" s="5193">
        <f>+CO170/CN170-1</f>
        <v>2.7175802526364645E-2</v>
      </c>
      <c r="CP173" s="5193">
        <f>+CP170/CO170-1</f>
        <v>5.3477745811474131E-2</v>
      </c>
      <c r="CQ173" s="5193">
        <f>+CQ170/CP170-1</f>
        <v>0.14211512717536823</v>
      </c>
      <c r="CR173" s="5201"/>
      <c r="CS173" s="5193">
        <f>+CS170/CQ170-1</f>
        <v>-5.0260209104974418E-2</v>
      </c>
      <c r="CT173" s="5193">
        <f>+CT170/CS170-1</f>
        <v>6.1361504665053967E-2</v>
      </c>
      <c r="CU173" s="5193">
        <f>+CU170/CT170-1</f>
        <v>4.4232558139534861E-2</v>
      </c>
      <c r="CV173" s="5193">
        <f>+CV170/CU170-1</f>
        <v>0.16092824373079151</v>
      </c>
      <c r="CW173" s="5201"/>
      <c r="CX173" s="5193">
        <f>+CX170/CV170-1</f>
        <v>-5.0414364640884002E-2</v>
      </c>
      <c r="CY173" s="5193">
        <f>+CY170/CX170-1</f>
        <v>5.0909090909091015E-2</v>
      </c>
      <c r="CZ173" s="5193">
        <f>+CZ170/CY170-1</f>
        <v>6.7743175701653113E-2</v>
      </c>
      <c r="DA173" s="5193">
        <f>+DA170/CZ170-1</f>
        <v>0.1638700849776753</v>
      </c>
      <c r="DB173" s="5201"/>
      <c r="DC173" s="5193">
        <f>+DC170/DA170-1</f>
        <v>-3.6413699223463158E-2</v>
      </c>
      <c r="DD173" s="5193">
        <f>+DD170/DC170-1</f>
        <v>4.8513452770821308E-2</v>
      </c>
      <c r="DE173" s="5193">
        <f>+DE170/DD170-1</f>
        <v>3.316287472823598E-2</v>
      </c>
      <c r="DF173" s="5193">
        <f>+DF170/DE170-1</f>
        <v>0.16407824540604632</v>
      </c>
      <c r="DG173" s="5201"/>
      <c r="DH173" s="5193">
        <f>+DH170/DF170-1</f>
        <v>-7.4778490681332133E-2</v>
      </c>
      <c r="DI173" s="5193">
        <f>+DI170/DH170-1</f>
        <v>7.1686067310603008E-2</v>
      </c>
      <c r="DJ173" s="5193">
        <f>+DJ170/DI170-1</f>
        <v>3.992912900575174E-2</v>
      </c>
      <c r="DK173" s="5193">
        <f>+DK170/DJ170-1</f>
        <v>0.13768241191140529</v>
      </c>
      <c r="DL173" s="5239"/>
      <c r="DM173" s="5240">
        <f>+DM170/DK170-1</f>
        <v>-0.10669560499186115</v>
      </c>
      <c r="DN173" s="5240">
        <f>+DN170/DM170-1</f>
        <v>-6.9535217084963241E-2</v>
      </c>
      <c r="DO173" s="5240">
        <f>+DO170/DN170-1</f>
        <v>0.20565579549311952</v>
      </c>
      <c r="DP173" s="5240">
        <f>+DP170/DO170-1</f>
        <v>0.23227860437918268</v>
      </c>
      <c r="DQ173" s="5239"/>
      <c r="DR173" s="5240">
        <f>+DR170/DP170-1</f>
        <v>-2.7839291363492613E-2</v>
      </c>
      <c r="DS173" s="5240">
        <f>+DS170/DR170-1</f>
        <v>0.11870412553783849</v>
      </c>
      <c r="DT173" s="5240">
        <f>+DT170/DS170-1</f>
        <v>5.2327084680025893E-2</v>
      </c>
      <c r="DU173" s="5240">
        <f>+DU170/DT170-1</f>
        <v>0.15674621456432947</v>
      </c>
      <c r="DV173" s="5239"/>
      <c r="DW173" s="5240">
        <f>+DW170/DU170-1</f>
        <v>-9.7099236641221331E-2</v>
      </c>
      <c r="DX173" s="5240">
        <f>+DX170/DW170-1</f>
        <v>2.4613665436473475E-2</v>
      </c>
      <c r="DY173" s="5240">
        <f>+DY170/DX170-1</f>
        <v>-8.5097223218769669E-3</v>
      </c>
      <c r="DZ173" s="5240">
        <f>+DZ170/DY170-1</f>
        <v>0.10067735772593056</v>
      </c>
      <c r="EA173" s="5201"/>
      <c r="EB173" s="5240">
        <f>+EB170/DZ170-1</f>
        <v>-8.2329581317062916E-2</v>
      </c>
      <c r="EC173" s="5240">
        <f>+EC170/EB170-1</f>
        <v>6.9024316849843004E-2</v>
      </c>
      <c r="ED173" s="5240">
        <f>+ED170/EC170-1</f>
        <v>2.8001179561417677E-2</v>
      </c>
      <c r="EE173" s="5240">
        <f>+EE170/ED170-1</f>
        <v>0.12539605961430644</v>
      </c>
      <c r="EF173" s="5201"/>
      <c r="EG173" s="5240">
        <f>+EG170/EE170-1</f>
        <v>-6.6863631097207721E-2</v>
      </c>
      <c r="EH173" s="5240">
        <f>+EH170/EG170-1</f>
        <v>5.218589751548941E-2</v>
      </c>
      <c r="EI173" s="5240">
        <f>+EI170/EH170-1</f>
        <v>4.1608647423945655E-2</v>
      </c>
      <c r="EJ173" s="5240">
        <f>+EJ170/EI170-1</f>
        <v>9.2910227942176071E-2</v>
      </c>
      <c r="EK173" s="5201"/>
      <c r="EL173" s="5240">
        <f>+EL170/EJ170-1</f>
        <v>-6.463216162705121E-2</v>
      </c>
      <c r="EM173" s="5240">
        <f>+EM170/EL170-1</f>
        <v>6.8643748476184152E-2</v>
      </c>
      <c r="EN173" s="5240">
        <f>+EN170/EM170-1</f>
        <v>6.1372215539055031E-2</v>
      </c>
      <c r="EO173" s="5193">
        <f>+EO170/EN170-1</f>
        <v>9.6733964206446199E-2</v>
      </c>
      <c r="EP173" s="5201"/>
      <c r="EQ173" s="5193">
        <f>+EQ170/EO170-1</f>
        <v>-5.2757373943984387E-2</v>
      </c>
      <c r="ER173" s="5193">
        <f>+ER170/EQ170-1</f>
        <v>5.9148176410463771E-2</v>
      </c>
      <c r="ES173" s="5193">
        <f>+ES170/ER170-1</f>
        <v>5.5721985274721941E-2</v>
      </c>
      <c r="ET173" s="5193">
        <f>+ET170/ES170-1</f>
        <v>9.7459533283644317E-2</v>
      </c>
      <c r="EU173" s="5201"/>
      <c r="EV173" s="5201"/>
      <c r="EW173" s="5201"/>
      <c r="EX173" s="5201"/>
      <c r="EY173" s="5201"/>
      <c r="EZ173" s="42"/>
      <c r="FA173" s="725"/>
      <c r="FB173" s="725"/>
    </row>
    <row r="174" spans="1:158" s="214" customFormat="1" ht="11.25" customHeight="1">
      <c r="A174" s="5648" t="s">
        <v>185</v>
      </c>
      <c r="B174" s="5107"/>
      <c r="C174" s="5107"/>
      <c r="D174" s="5107"/>
      <c r="E174" s="5107"/>
      <c r="F174" s="5595"/>
      <c r="G174" s="5107"/>
      <c r="H174" s="5107"/>
      <c r="I174" s="5107"/>
      <c r="J174" s="5107"/>
      <c r="K174" s="5203"/>
      <c r="L174" s="5108"/>
      <c r="M174" s="5108"/>
      <c r="N174" s="5108"/>
      <c r="O174" s="5108"/>
      <c r="P174" s="5203"/>
      <c r="Q174" s="5108"/>
      <c r="R174" s="5108"/>
      <c r="S174" s="5108"/>
      <c r="T174" s="5108"/>
      <c r="U174" s="5203"/>
      <c r="V174" s="5108"/>
      <c r="W174" s="5108"/>
      <c r="X174" s="5108"/>
      <c r="Y174" s="5108"/>
      <c r="Z174" s="5203"/>
      <c r="AA174" s="5108"/>
      <c r="AB174" s="5108"/>
      <c r="AC174" s="5108"/>
      <c r="AD174" s="5108"/>
      <c r="AE174" s="5203"/>
      <c r="AF174" s="5108"/>
      <c r="AG174" s="5108"/>
      <c r="AH174" s="5108"/>
      <c r="AI174" s="5108"/>
      <c r="AJ174" s="5203"/>
      <c r="AK174" s="5108"/>
      <c r="AL174" s="5108"/>
      <c r="AM174" s="5108"/>
      <c r="AN174" s="5108"/>
      <c r="AO174" s="5203"/>
      <c r="AP174" s="5108"/>
      <c r="AQ174" s="5108"/>
      <c r="AR174" s="5108"/>
      <c r="AS174" s="5108"/>
      <c r="AT174" s="5203"/>
      <c r="AU174" s="5108"/>
      <c r="AV174" s="5108"/>
      <c r="AW174" s="5108"/>
      <c r="AX174" s="5108"/>
      <c r="AY174" s="5203"/>
      <c r="AZ174" s="5108"/>
      <c r="BA174" s="5108"/>
      <c r="BB174" s="5104"/>
      <c r="BC174" s="5108"/>
      <c r="BD174" s="5203"/>
      <c r="BE174" s="5108"/>
      <c r="BF174" s="5108"/>
      <c r="BG174" s="5104"/>
      <c r="BH174" s="5108"/>
      <c r="BI174" s="5203"/>
      <c r="BJ174" s="5108"/>
      <c r="BK174" s="5104"/>
      <c r="BL174" s="5104"/>
      <c r="BM174" s="5108"/>
      <c r="BN174" s="5203"/>
      <c r="BO174" s="5108"/>
      <c r="BP174" s="5108"/>
      <c r="BQ174" s="5108"/>
      <c r="BR174" s="5108"/>
      <c r="BS174" s="5203"/>
      <c r="BT174" s="5108"/>
      <c r="BU174" s="5108"/>
      <c r="BV174" s="5108"/>
      <c r="BW174" s="5108"/>
      <c r="BX174" s="5203"/>
      <c r="BY174" s="5108"/>
      <c r="BZ174" s="5108"/>
      <c r="CA174" s="5108"/>
      <c r="CB174" s="5108"/>
      <c r="CC174" s="5203"/>
      <c r="CD174" s="5108"/>
      <c r="CE174" s="5108"/>
      <c r="CF174" s="5108"/>
      <c r="CG174" s="5108"/>
      <c r="CH174" s="5203"/>
      <c r="CI174" s="5108"/>
      <c r="CJ174" s="5108"/>
      <c r="CK174" s="5108"/>
      <c r="CL174" s="5108"/>
      <c r="CM174" s="5203"/>
      <c r="CN174" s="5108"/>
      <c r="CO174" s="5108"/>
      <c r="CP174" s="5108"/>
      <c r="CQ174" s="5108"/>
      <c r="CR174" s="5203"/>
      <c r="CS174" s="5108"/>
      <c r="CT174" s="5108"/>
      <c r="CU174" s="5108"/>
      <c r="CV174" s="5108"/>
      <c r="CW174" s="5203"/>
      <c r="CX174" s="5104"/>
      <c r="CY174" s="5104"/>
      <c r="CZ174" s="5104"/>
      <c r="DA174" s="5104"/>
      <c r="DB174" s="5204"/>
      <c r="DC174" s="5104"/>
      <c r="DD174" s="5104"/>
      <c r="DE174" s="5104"/>
      <c r="DF174" s="5104"/>
      <c r="DG174" s="5203"/>
      <c r="DH174" s="5104"/>
      <c r="DI174" s="5104"/>
      <c r="DJ174" s="5104"/>
      <c r="DK174" s="5104"/>
      <c r="DL174" s="5203"/>
      <c r="DM174" s="5104"/>
      <c r="DN174" s="5104"/>
      <c r="DO174" s="5104"/>
      <c r="DP174" s="5104"/>
      <c r="DQ174" s="5203"/>
      <c r="DR174" s="5104"/>
      <c r="DS174" s="5104"/>
      <c r="DT174" s="5104"/>
      <c r="DU174" s="5104"/>
      <c r="DV174" s="5203"/>
      <c r="DW174" s="5104"/>
      <c r="DX174" s="5104"/>
      <c r="DY174" s="5104"/>
      <c r="DZ174" s="5104"/>
      <c r="EA174" s="5203"/>
      <c r="EB174" s="5104"/>
      <c r="EC174" s="5104"/>
      <c r="ED174" s="5104"/>
      <c r="EE174" s="5104"/>
      <c r="EF174" s="5203"/>
      <c r="EG174" s="5104"/>
      <c r="EH174" s="5104"/>
      <c r="EI174" s="5104"/>
      <c r="EJ174" s="5104"/>
      <c r="EK174" s="5203"/>
      <c r="EL174" s="5104"/>
      <c r="EM174" s="5104"/>
      <c r="EN174" s="5104"/>
      <c r="EO174" s="5104"/>
      <c r="EP174" s="5203"/>
      <c r="EQ174" s="5104"/>
      <c r="ER174" s="5104"/>
      <c r="ES174" s="5104"/>
      <c r="ET174" s="5104"/>
      <c r="EU174" s="5203"/>
      <c r="EV174" s="5203"/>
      <c r="EW174" s="5203"/>
      <c r="EX174" s="5203"/>
      <c r="EY174" s="5203"/>
      <c r="EZ174" s="51"/>
      <c r="FA174" s="725"/>
      <c r="FB174" s="725"/>
    </row>
    <row r="175" spans="1:158" s="216" customFormat="1" ht="11.25" customHeight="1">
      <c r="A175" s="5666" t="s">
        <v>216</v>
      </c>
      <c r="B175" s="1968"/>
      <c r="C175" s="1968"/>
      <c r="D175" s="1968"/>
      <c r="E175" s="1968"/>
      <c r="F175" s="5596"/>
      <c r="G175" s="1968"/>
      <c r="H175" s="1968"/>
      <c r="I175" s="1968"/>
      <c r="J175" s="1968"/>
      <c r="K175" s="2257"/>
      <c r="L175" s="1968"/>
      <c r="M175" s="1968"/>
      <c r="N175" s="1968"/>
      <c r="O175" s="1968"/>
      <c r="P175" s="2257">
        <v>71.028999999999996</v>
      </c>
      <c r="Q175" s="2258">
        <f>Q170*Q178</f>
        <v>35.318969099999997</v>
      </c>
      <c r="R175" s="2258">
        <f>R170*R178</f>
        <v>63.369675000000008</v>
      </c>
      <c r="S175" s="2258">
        <f>S170*S178</f>
        <v>100.444416</v>
      </c>
      <c r="T175" s="2258">
        <f>T170*T178</f>
        <v>142.43653800000001</v>
      </c>
      <c r="U175" s="2257">
        <f>SUM(Q175:T175)</f>
        <v>341.56959810000001</v>
      </c>
      <c r="V175" s="2258">
        <f>V170*V178</f>
        <v>180.99390399999999</v>
      </c>
      <c r="W175" s="2258">
        <f>W170*W178</f>
        <v>223.53424170000002</v>
      </c>
      <c r="X175" s="2258">
        <v>276.64</v>
      </c>
      <c r="Y175" s="2258">
        <f>Y170*Y178</f>
        <v>357.24206249999997</v>
      </c>
      <c r="Z175" s="2257">
        <f>SUM(V175:Y175)</f>
        <v>1038.4102081999999</v>
      </c>
      <c r="AA175" s="2258">
        <v>446.41300000000001</v>
      </c>
      <c r="AB175" s="2258">
        <v>482.50799999999998</v>
      </c>
      <c r="AC175" s="2258">
        <v>524.52800000000002</v>
      </c>
      <c r="AD175" s="2258">
        <f>2119.043-SUM(AA175:AC175)</f>
        <v>665.59400000000005</v>
      </c>
      <c r="AE175" s="2257">
        <f>SUM(AA175:AD175)</f>
        <v>2119.0430000000001</v>
      </c>
      <c r="AF175" s="2258">
        <v>771.81200000000001</v>
      </c>
      <c r="AG175" s="2258">
        <v>843.25800000000004</v>
      </c>
      <c r="AH175" s="2258">
        <v>957.08600000000001</v>
      </c>
      <c r="AI175" s="2258">
        <f>AI170-AI179</f>
        <v>1184.73</v>
      </c>
      <c r="AJ175" s="2257">
        <f>SUM(AF175:AI175)</f>
        <v>3756.886</v>
      </c>
      <c r="AK175" s="2258">
        <f>AK170-AK179</f>
        <v>1317.5210000000002</v>
      </c>
      <c r="AL175" s="2258">
        <f>AL170-AL179</f>
        <v>1421.0260000000005</v>
      </c>
      <c r="AM175" s="2258">
        <f>AM170-AM179</f>
        <v>1506.8049999999998</v>
      </c>
      <c r="AN175" s="2258">
        <f>AN170-AN179</f>
        <v>1784.7879999999991</v>
      </c>
      <c r="AO175" s="2257">
        <f>SUM(AK175:AN175)</f>
        <v>6030.1399999999994</v>
      </c>
      <c r="AP175" s="2258">
        <f>AP170-AP179</f>
        <v>1958.3820000000001</v>
      </c>
      <c r="AQ175" s="2258">
        <f>AQ170-AQ179</f>
        <v>2027.9419999999996</v>
      </c>
      <c r="AR175" s="2258">
        <f>AR170-AR179</f>
        <v>2205.8089999999997</v>
      </c>
      <c r="AS175" s="2258">
        <f>AS170-AS179</f>
        <v>2505.8879999999995</v>
      </c>
      <c r="AT175" s="2257">
        <f>SUM(AP175:AS175)</f>
        <v>8698.0209999999988</v>
      </c>
      <c r="AU175" s="2258">
        <f>AU170-AU179</f>
        <v>2535.4740000000006</v>
      </c>
      <c r="AV175" s="2258">
        <f>AV170-AV179</f>
        <v>2567.0240000000003</v>
      </c>
      <c r="AW175" s="2258">
        <f>AW170-AW179</f>
        <v>2695.0119999999997</v>
      </c>
      <c r="AX175" s="2259">
        <f>AY175-AW175-AV175-AU175</f>
        <v>2838.0429999999992</v>
      </c>
      <c r="AY175" s="2257">
        <v>10635.553</v>
      </c>
      <c r="AZ175" s="2258">
        <f>AZ170-AZ179</f>
        <v>2627.06</v>
      </c>
      <c r="BA175" s="2258">
        <f>BA170-BA179</f>
        <v>2609.1290000000008</v>
      </c>
      <c r="BB175" s="2258">
        <f>BB170-BB179</f>
        <v>2802.2149999999997</v>
      </c>
      <c r="BC175" s="2259">
        <f>BD175-BB175-BA175-AZ175</f>
        <v>3155.1529999999998</v>
      </c>
      <c r="BD175" s="2257">
        <v>11193.557000000001</v>
      </c>
      <c r="BE175" s="2260">
        <v>3196</v>
      </c>
      <c r="BF175" s="2260">
        <f>3288</f>
        <v>3288</v>
      </c>
      <c r="BG175" s="2258">
        <f>BG170-BG179</f>
        <v>3517</v>
      </c>
      <c r="BH175" s="2258">
        <f>BH170-BH179</f>
        <v>4055</v>
      </c>
      <c r="BI175" s="2257">
        <f>SUM(BE175:BH175)</f>
        <v>14056</v>
      </c>
      <c r="BJ175" s="2258">
        <f>BJ170-BJ179</f>
        <v>4005</v>
      </c>
      <c r="BK175" s="2258">
        <f>BK170-BK179</f>
        <v>4155</v>
      </c>
      <c r="BL175" s="2258">
        <f>BL170-BL179</f>
        <v>4420</v>
      </c>
      <c r="BM175" s="2258">
        <f>BM170-BM179</f>
        <v>4980</v>
      </c>
      <c r="BN175" s="2257">
        <f>SUM(BJ175:BM175)</f>
        <v>17560</v>
      </c>
      <c r="BO175" s="2258"/>
      <c r="BP175" s="2258"/>
      <c r="BQ175" s="2258"/>
      <c r="BR175" s="2258"/>
      <c r="BS175" s="2257"/>
      <c r="BT175" s="2258">
        <f>BT170-BT179</f>
        <v>4874</v>
      </c>
      <c r="BU175" s="2258">
        <f>BU170-BU179</f>
        <v>5005</v>
      </c>
      <c r="BV175" s="2258">
        <f>BV170-BV179</f>
        <v>5416</v>
      </c>
      <c r="BW175" s="2258">
        <f>BW170-BW179</f>
        <v>5992</v>
      </c>
      <c r="BX175" s="2257">
        <f>SUM(BT175:BW175)</f>
        <v>21287</v>
      </c>
      <c r="BY175" s="2258"/>
      <c r="BZ175" s="2258"/>
      <c r="CA175" s="2258"/>
      <c r="CB175" s="2258"/>
      <c r="CC175" s="2257"/>
      <c r="CD175" s="2258">
        <f>CD170-CD179</f>
        <v>5836</v>
      </c>
      <c r="CE175" s="2258">
        <f>CE170-CE179</f>
        <v>5896</v>
      </c>
      <c r="CF175" s="2258">
        <f>CF170-CF179</f>
        <v>6080</v>
      </c>
      <c r="CG175" s="2258">
        <f>CG170-CG179</f>
        <v>6935</v>
      </c>
      <c r="CH175" s="2899">
        <v>25587</v>
      </c>
      <c r="CI175" s="2260">
        <v>6895</v>
      </c>
      <c r="CJ175" s="2260">
        <v>6958</v>
      </c>
      <c r="CK175" s="2260">
        <v>7324</v>
      </c>
      <c r="CL175" s="2260">
        <v>8305</v>
      </c>
      <c r="CM175" s="2257">
        <f>SUM(CI175:CL175)</f>
        <v>29482</v>
      </c>
      <c r="CN175" s="2258">
        <f>CN170-CN179</f>
        <v>7721</v>
      </c>
      <c r="CO175" s="2258">
        <f>CO170-CO179</f>
        <v>8048</v>
      </c>
      <c r="CP175" s="2258">
        <f>CP170-CP179</f>
        <v>8748</v>
      </c>
      <c r="CQ175" s="2258">
        <f>CQ170-CQ179</f>
        <v>10293</v>
      </c>
      <c r="CR175" s="2257">
        <f>SUM(CN175:CQ175)</f>
        <v>34810</v>
      </c>
      <c r="CS175" s="2258">
        <f>CS170-CS179</f>
        <v>9381</v>
      </c>
      <c r="CT175" s="2258">
        <f>CT170-CT179</f>
        <v>10035</v>
      </c>
      <c r="CU175" s="2258">
        <f>CU170-CU179</f>
        <v>10649</v>
      </c>
      <c r="CV175" s="2258">
        <f>CV170-CV179</f>
        <v>12716</v>
      </c>
      <c r="CW175" s="2257">
        <f>SUM(CS175:CV175)</f>
        <v>42781</v>
      </c>
      <c r="CX175" s="2258">
        <f>CX170-CX179</f>
        <v>11769</v>
      </c>
      <c r="CY175" s="2258">
        <f>CY170-CY179</f>
        <v>12322</v>
      </c>
      <c r="CZ175" s="2258">
        <f>CZ170-CZ179</f>
        <v>12930</v>
      </c>
      <c r="DA175" s="2258">
        <f>DA170-DA179</f>
        <v>15428</v>
      </c>
      <c r="DB175" s="2257">
        <f>SUM(CX175:DA175)</f>
        <v>52449</v>
      </c>
      <c r="DC175" s="2258">
        <f>DC170-DC179-DC184</f>
        <v>14144</v>
      </c>
      <c r="DD175" s="2258">
        <f>DD170-DD179-DD184</f>
        <v>14933</v>
      </c>
      <c r="DE175" s="2258">
        <f>DE170-DE179-DE184</f>
        <v>15523</v>
      </c>
      <c r="DF175" s="2258">
        <f>DF170-DF179-DF184</f>
        <v>18669</v>
      </c>
      <c r="DG175" s="2257">
        <f>SUM(DC175:DF175)</f>
        <v>63269</v>
      </c>
      <c r="DH175" s="2258">
        <f>DH170-DH179-DH184</f>
        <v>16532</v>
      </c>
      <c r="DI175" s="2258">
        <f>DI170-DI179-DI184</f>
        <v>17863</v>
      </c>
      <c r="DJ175" s="2258">
        <f>DJ170-DJ179-DJ184</f>
        <v>18711</v>
      </c>
      <c r="DK175" s="2258">
        <f>DK170-DK179-DK184</f>
        <v>21737</v>
      </c>
      <c r="DL175" s="5243">
        <f>SUM(DH175:DK175)</f>
        <v>74843</v>
      </c>
      <c r="DM175" s="5244">
        <f>DM170-DM179-DM184</f>
        <v>18870</v>
      </c>
      <c r="DN175" s="5244">
        <f>DN170-DN179-DN184</f>
        <v>17999</v>
      </c>
      <c r="DO175" s="5244">
        <f>DO170-DO179-DO184</f>
        <v>21442</v>
      </c>
      <c r="DP175" s="5244">
        <f>DP170-DP179-DP184</f>
        <v>26703</v>
      </c>
      <c r="DQ175" s="5243">
        <f>SUM(DM175:DP175)</f>
        <v>85014</v>
      </c>
      <c r="DR175" s="5244">
        <f>DR170-DR179-DR184</f>
        <v>25032</v>
      </c>
      <c r="DS175" s="5244">
        <f>DS170-DS179-DS184</f>
        <v>28208</v>
      </c>
      <c r="DT175" s="5244">
        <f>DT170-DT179-DT184</f>
        <v>29824</v>
      </c>
      <c r="DU175" s="5244">
        <f>DU170-DU179-DU184</f>
        <v>34790</v>
      </c>
      <c r="DV175" s="5243">
        <f>SUM(DR175:DU175)</f>
        <v>117854</v>
      </c>
      <c r="DW175" s="5244">
        <f>DW170-DW179-DW184</f>
        <v>31733</v>
      </c>
      <c r="DX175" s="5244">
        <f>DX170-DX179-DX184</f>
        <v>32727</v>
      </c>
      <c r="DY175" s="5244">
        <f>DY170-DY179-DY184</f>
        <v>33372</v>
      </c>
      <c r="DZ175" s="5244">
        <f>DZ170-DZ179-DZ184</f>
        <v>36982</v>
      </c>
      <c r="EA175" s="2257">
        <f>SUM(DW175:DZ175)</f>
        <v>134814</v>
      </c>
      <c r="EB175" s="5244">
        <f>EB170-EB179-EB184</f>
        <v>32864</v>
      </c>
      <c r="EC175" s="5244">
        <f>EC170-EC179-EC184</f>
        <v>35073</v>
      </c>
      <c r="ED175" s="5244">
        <f>ED170-ED179-ED184</f>
        <v>36354</v>
      </c>
      <c r="EE175" s="5244">
        <f>EE170-EE179-EE184</f>
        <v>41995</v>
      </c>
      <c r="EF175" s="2257">
        <f>SUM(EB175:EE175)</f>
        <v>146286</v>
      </c>
      <c r="EG175" s="5244">
        <f>EG170-EG179-EG184</f>
        <v>38737</v>
      </c>
      <c r="EH175" s="5244">
        <f>EH170-EH179-EH184</f>
        <v>41196</v>
      </c>
      <c r="EI175" s="5244">
        <f>EI170-EI179-EI184</f>
        <v>43139</v>
      </c>
      <c r="EJ175" s="5244">
        <f>EJ170-EJ179-EJ184</f>
        <v>47375</v>
      </c>
      <c r="EK175" s="2257">
        <f>SUM(EG175:EJ175)</f>
        <v>170447</v>
      </c>
      <c r="EL175" s="5244">
        <f>EL170-EL179-EL184</f>
        <v>43964</v>
      </c>
      <c r="EM175" s="5244">
        <f>EM170-EM179-EM184</f>
        <v>46063</v>
      </c>
      <c r="EN175" s="5244">
        <f>EN170-EN179-EN184</f>
        <v>48758</v>
      </c>
      <c r="EO175" s="2516">
        <f t="shared" ref="EO175" si="696">EJ175*(1+EO176)</f>
        <v>54007.500000000007</v>
      </c>
      <c r="EP175" s="2257">
        <f>SUM(EL175:EO175)</f>
        <v>192792.5</v>
      </c>
      <c r="EQ175" s="2516">
        <f t="shared" ref="EQ175" si="697">EL175*(1+EQ176)</f>
        <v>49899.14</v>
      </c>
      <c r="ER175" s="2516">
        <f t="shared" ref="ER175" si="698">EM175*(1+ER176)</f>
        <v>52327.568000000007</v>
      </c>
      <c r="ES175" s="2516">
        <f t="shared" ref="ES175" si="699">EN175*(1+ES176)</f>
        <v>55584.12</v>
      </c>
      <c r="ET175" s="2516">
        <f t="shared" ref="ET175" si="700">EO175*(1+ET176)</f>
        <v>61622.55750000001</v>
      </c>
      <c r="EU175" s="2257">
        <f>SUM(EQ175:ET175)</f>
        <v>219433.38550000003</v>
      </c>
      <c r="EV175" s="5205">
        <f>EU175*(1+EV176)</f>
        <v>245984.82514550004</v>
      </c>
      <c r="EW175" s="5205">
        <f>EV175*(1+EW176)</f>
        <v>274273.08003723255</v>
      </c>
      <c r="EX175" s="5205">
        <f>EW175*(1+EX176)</f>
        <v>301700.38804095582</v>
      </c>
      <c r="EY175" s="5205">
        <f>EX175*(1+EY176)</f>
        <v>330663.62529288762</v>
      </c>
      <c r="EZ175" s="215"/>
      <c r="FA175" s="1319">
        <f>(EV175/EK175)^(1/3)-1</f>
        <v>0.13007253005808317</v>
      </c>
      <c r="FB175" s="1319">
        <f>(EX175/EK175)^(1/5)-1</f>
        <v>0.12097854738969849</v>
      </c>
    </row>
    <row r="176" spans="1:158" s="194" customFormat="1" ht="11.25" customHeight="1">
      <c r="A176" s="5664" t="s">
        <v>45</v>
      </c>
      <c r="B176" s="2288"/>
      <c r="C176" s="2288"/>
      <c r="D176" s="2288"/>
      <c r="E176" s="2288"/>
      <c r="F176" s="4244"/>
      <c r="G176" s="2288"/>
      <c r="H176" s="2288"/>
      <c r="I176" s="2288"/>
      <c r="J176" s="2288"/>
      <c r="K176" s="2290"/>
      <c r="L176" s="2288"/>
      <c r="M176" s="2288"/>
      <c r="N176" s="2288"/>
      <c r="O176" s="2288"/>
      <c r="P176" s="2290" t="s">
        <v>116</v>
      </c>
      <c r="Q176" s="2288" t="s">
        <v>116</v>
      </c>
      <c r="R176" s="2288" t="s">
        <v>116</v>
      </c>
      <c r="S176" s="2288" t="s">
        <v>116</v>
      </c>
      <c r="T176" s="2288" t="s">
        <v>116</v>
      </c>
      <c r="U176" s="2290">
        <f t="shared" ref="U176:AE176" si="701">+U175/P175-1</f>
        <v>3.8088752213884476</v>
      </c>
      <c r="V176" s="2288" t="s">
        <v>116</v>
      </c>
      <c r="W176" s="2288" t="s">
        <v>116</v>
      </c>
      <c r="X176" s="2288" t="s">
        <v>116</v>
      </c>
      <c r="Y176" s="2288" t="s">
        <v>116</v>
      </c>
      <c r="Z176" s="2290">
        <f t="shared" si="701"/>
        <v>2.0401130954751676</v>
      </c>
      <c r="AA176" s="2288">
        <f t="shared" si="701"/>
        <v>1.4664532348006598</v>
      </c>
      <c r="AB176" s="2288">
        <f t="shared" si="701"/>
        <v>1.158541780133902</v>
      </c>
      <c r="AC176" s="2288">
        <f t="shared" si="701"/>
        <v>0.89606709080393299</v>
      </c>
      <c r="AD176" s="2288">
        <f t="shared" si="701"/>
        <v>0.86314566471298471</v>
      </c>
      <c r="AE176" s="2290">
        <f t="shared" si="701"/>
        <v>1.0406607940355186</v>
      </c>
      <c r="AF176" s="2288">
        <f t="shared" ref="AF176:AQ176" si="702">+AF175/AA175-1</f>
        <v>0.72891918470116246</v>
      </c>
      <c r="AG176" s="2288">
        <f t="shared" si="702"/>
        <v>0.74765599741351463</v>
      </c>
      <c r="AH176" s="2288">
        <f t="shared" si="702"/>
        <v>0.82466140987707037</v>
      </c>
      <c r="AI176" s="2288">
        <f t="shared" si="702"/>
        <v>0.7799589539569165</v>
      </c>
      <c r="AJ176" s="2290">
        <f t="shared" si="702"/>
        <v>0.77291635894127664</v>
      </c>
      <c r="AK176" s="2288">
        <f t="shared" si="702"/>
        <v>0.70704912595295255</v>
      </c>
      <c r="AL176" s="2288">
        <f t="shared" si="702"/>
        <v>0.68516159941560062</v>
      </c>
      <c r="AM176" s="2288">
        <f t="shared" si="702"/>
        <v>0.57436740272034048</v>
      </c>
      <c r="AN176" s="2288">
        <f t="shared" si="702"/>
        <v>0.50649346264549644</v>
      </c>
      <c r="AO176" s="2290">
        <f t="shared" si="702"/>
        <v>0.60508996014252214</v>
      </c>
      <c r="AP176" s="2288">
        <f t="shared" si="702"/>
        <v>0.48641425829265694</v>
      </c>
      <c r="AQ176" s="2288">
        <f t="shared" si="702"/>
        <v>0.42709704115195546</v>
      </c>
      <c r="AR176" s="2288">
        <f t="shared" ref="AR176:AY176" si="703">+AR175/AM175-1</f>
        <v>0.46389811554912552</v>
      </c>
      <c r="AS176" s="2288">
        <f t="shared" si="703"/>
        <v>0.40402557614685941</v>
      </c>
      <c r="AT176" s="2290">
        <f t="shared" si="703"/>
        <v>0.4424243881568255</v>
      </c>
      <c r="AU176" s="2288">
        <f t="shared" si="703"/>
        <v>0.2946779535351125</v>
      </c>
      <c r="AV176" s="2288">
        <f t="shared" si="703"/>
        <v>0.26582712917825102</v>
      </c>
      <c r="AW176" s="2288">
        <f t="shared" si="703"/>
        <v>0.22177940157103349</v>
      </c>
      <c r="AX176" s="2288">
        <f t="shared" si="703"/>
        <v>0.13254981866707527</v>
      </c>
      <c r="AY176" s="2290">
        <f t="shared" si="703"/>
        <v>0.22275549806099582</v>
      </c>
      <c r="AZ176" s="2288">
        <f t="shared" ref="AZ176:BM176" si="704">+AZ175/AU175-1</f>
        <v>3.6121845461637214E-2</v>
      </c>
      <c r="BA176" s="2288">
        <f t="shared" si="704"/>
        <v>1.6402261918860406E-2</v>
      </c>
      <c r="BB176" s="2288">
        <f t="shared" si="704"/>
        <v>3.9778301543740735E-2</v>
      </c>
      <c r="BC176" s="2288">
        <f t="shared" si="704"/>
        <v>0.11173544586886131</v>
      </c>
      <c r="BD176" s="2290">
        <f t="shared" si="704"/>
        <v>5.2465913149979171E-2</v>
      </c>
      <c r="BE176" s="2288">
        <f t="shared" si="704"/>
        <v>0.21656909244554745</v>
      </c>
      <c r="BF176" s="2288">
        <f t="shared" si="704"/>
        <v>0.26019066132797541</v>
      </c>
      <c r="BG176" s="2288">
        <f t="shared" si="704"/>
        <v>0.25507857177268711</v>
      </c>
      <c r="BH176" s="2288">
        <f t="shared" si="704"/>
        <v>0.28519916466808426</v>
      </c>
      <c r="BI176" s="2290">
        <f t="shared" si="704"/>
        <v>0.25572237672082254</v>
      </c>
      <c r="BJ176" s="2288">
        <f t="shared" si="704"/>
        <v>0.25312891113892366</v>
      </c>
      <c r="BK176" s="2288">
        <f t="shared" si="704"/>
        <v>0.26368613138686126</v>
      </c>
      <c r="BL176" s="2288">
        <f t="shared" si="704"/>
        <v>0.25675291441569525</v>
      </c>
      <c r="BM176" s="2288">
        <f t="shared" si="704"/>
        <v>0.2281134401972873</v>
      </c>
      <c r="BN176" s="2290">
        <f>+BN175/BI175-1</f>
        <v>0.24928856004553213</v>
      </c>
      <c r="BO176" s="2288"/>
      <c r="BP176" s="2288"/>
      <c r="BQ176" s="2288"/>
      <c r="BR176" s="2288"/>
      <c r="BS176" s="2290"/>
      <c r="BT176" s="2288">
        <f>+BT175/BJ175-1</f>
        <v>0.21697877652933828</v>
      </c>
      <c r="BU176" s="2288">
        <f>+BU175/BK175-1</f>
        <v>0.20457280385078214</v>
      </c>
      <c r="BV176" s="2288">
        <f>+BV175/BL175-1</f>
        <v>0.22533936651583719</v>
      </c>
      <c r="BW176" s="2288">
        <f>+BW175/BM175-1</f>
        <v>0.2032128514056224</v>
      </c>
      <c r="BX176" s="2290">
        <f>+BX175/BN175-1</f>
        <v>0.21224373576309796</v>
      </c>
      <c r="BY176" s="2288"/>
      <c r="BZ176" s="2288"/>
      <c r="CA176" s="2288"/>
      <c r="CB176" s="2288"/>
      <c r="CC176" s="2290"/>
      <c r="CD176" s="2288">
        <f>+CD175/BT175-1</f>
        <v>0.19737382027082484</v>
      </c>
      <c r="CE176" s="2288">
        <f>+CE175/BU175-1</f>
        <v>0.17802197802197806</v>
      </c>
      <c r="CF176" s="2288">
        <f>+CF175/BV175-1</f>
        <v>0.12259970457902503</v>
      </c>
      <c r="CG176" s="2288">
        <f>+CG175/BW175-1</f>
        <v>0.15737650200267028</v>
      </c>
      <c r="CH176" s="2290">
        <f>+CH175/BX175-1</f>
        <v>0.20200122140273402</v>
      </c>
      <c r="CI176" s="2288">
        <f t="shared" ref="CI176:CU176" si="705">+CI175/CD175-1</f>
        <v>0.18145990404386558</v>
      </c>
      <c r="CJ176" s="2288">
        <f t="shared" si="705"/>
        <v>0.1801221166892808</v>
      </c>
      <c r="CK176" s="2288">
        <f t="shared" si="705"/>
        <v>0.20460526315789473</v>
      </c>
      <c r="CL176" s="2288">
        <f t="shared" si="705"/>
        <v>0.19754866618601308</v>
      </c>
      <c r="CM176" s="2290">
        <f t="shared" si="705"/>
        <v>0.15222573963340769</v>
      </c>
      <c r="CN176" s="2288">
        <f t="shared" si="705"/>
        <v>0.11979695431472082</v>
      </c>
      <c r="CO176" s="2288">
        <f t="shared" si="705"/>
        <v>0.15665421098016674</v>
      </c>
      <c r="CP176" s="2288">
        <f t="shared" si="705"/>
        <v>0.19442927362097207</v>
      </c>
      <c r="CQ176" s="2288">
        <f t="shared" si="705"/>
        <v>0.23937387116195064</v>
      </c>
      <c r="CR176" s="2290">
        <f t="shared" ref="CR176:EN176" si="706">+CR175/CM175-1</f>
        <v>0.18072043959025841</v>
      </c>
      <c r="CS176" s="2288">
        <f t="shared" si="705"/>
        <v>0.2149980572464707</v>
      </c>
      <c r="CT176" s="2288">
        <f t="shared" si="705"/>
        <v>0.24689363817097409</v>
      </c>
      <c r="CU176" s="2288">
        <f t="shared" si="705"/>
        <v>0.21730681298582533</v>
      </c>
      <c r="CV176" s="2288">
        <f t="shared" si="706"/>
        <v>0.2354027008646653</v>
      </c>
      <c r="CW176" s="2290">
        <f t="shared" si="706"/>
        <v>0.22898592358517678</v>
      </c>
      <c r="CX176" s="2288">
        <f t="shared" si="706"/>
        <v>0.25455708346658135</v>
      </c>
      <c r="CY176" s="2288">
        <f t="shared" si="706"/>
        <v>0.22790234180368718</v>
      </c>
      <c r="CZ176" s="2288">
        <f t="shared" si="706"/>
        <v>0.21419851629260966</v>
      </c>
      <c r="DA176" s="2288">
        <f t="shared" si="706"/>
        <v>0.21327461465869768</v>
      </c>
      <c r="DB176" s="2290">
        <f t="shared" si="706"/>
        <v>0.22598817231948765</v>
      </c>
      <c r="DC176" s="2288">
        <f t="shared" si="706"/>
        <v>0.20180134250998383</v>
      </c>
      <c r="DD176" s="2288">
        <f t="shared" si="706"/>
        <v>0.21189741925012173</v>
      </c>
      <c r="DE176" s="2288">
        <f t="shared" si="706"/>
        <v>0.20054137664346472</v>
      </c>
      <c r="DF176" s="2288">
        <f t="shared" si="706"/>
        <v>0.21007259528130673</v>
      </c>
      <c r="DG176" s="2290">
        <f>+DG175/DB175-1</f>
        <v>0.20629563957368102</v>
      </c>
      <c r="DH176" s="2288">
        <f t="shared" si="706"/>
        <v>0.16883484162895934</v>
      </c>
      <c r="DI176" s="2288">
        <f t="shared" si="706"/>
        <v>0.19620973682448262</v>
      </c>
      <c r="DJ176" s="2288">
        <f t="shared" si="706"/>
        <v>0.20537267280809113</v>
      </c>
      <c r="DK176" s="2288">
        <f t="shared" si="706"/>
        <v>0.16433660078204504</v>
      </c>
      <c r="DL176" s="5082">
        <f>+DL175/DG175-1</f>
        <v>0.18293319002987252</v>
      </c>
      <c r="DM176" s="5074">
        <f t="shared" si="706"/>
        <v>0.14142269537865948</v>
      </c>
      <c r="DN176" s="5074">
        <f t="shared" si="706"/>
        <v>7.6135027710910741E-3</v>
      </c>
      <c r="DO176" s="5074">
        <f t="shared" si="706"/>
        <v>0.14595692373470159</v>
      </c>
      <c r="DP176" s="5074">
        <f t="shared" si="706"/>
        <v>0.22845838892211434</v>
      </c>
      <c r="DQ176" s="5082">
        <f>+DQ175/DL175-1</f>
        <v>0.13589781275469992</v>
      </c>
      <c r="DR176" s="5074">
        <f t="shared" si="706"/>
        <v>0.32655007949125592</v>
      </c>
      <c r="DS176" s="5074">
        <f t="shared" si="706"/>
        <v>0.56719817767653757</v>
      </c>
      <c r="DT176" s="5074">
        <f t="shared" si="706"/>
        <v>0.39091502658334121</v>
      </c>
      <c r="DU176" s="5074">
        <f t="shared" si="706"/>
        <v>0.30284986705613592</v>
      </c>
      <c r="DV176" s="5082">
        <f>+DV175/DQ175-1</f>
        <v>0.38628931705366165</v>
      </c>
      <c r="DW176" s="5074">
        <f t="shared" si="706"/>
        <v>0.26769734739533391</v>
      </c>
      <c r="DX176" s="5074">
        <f>+DX175/DS175-1</f>
        <v>0.1602027793533749</v>
      </c>
      <c r="DY176" s="5074">
        <f t="shared" si="706"/>
        <v>0.11896459227467804</v>
      </c>
      <c r="DZ176" s="5074">
        <f t="shared" si="706"/>
        <v>6.3006611095142384E-2</v>
      </c>
      <c r="EA176" s="2290">
        <f>+EA175/DV175-1</f>
        <v>0.14390686781950546</v>
      </c>
      <c r="EB176" s="5074">
        <f t="shared" si="706"/>
        <v>3.5641130684145761E-2</v>
      </c>
      <c r="EC176" s="5074">
        <f>+EC175/DX175-1</f>
        <v>7.1683930699422582E-2</v>
      </c>
      <c r="ED176" s="5074">
        <f t="shared" si="706"/>
        <v>8.935634663789993E-2</v>
      </c>
      <c r="EE176" s="5074">
        <f t="shared" si="706"/>
        <v>0.13555243091233571</v>
      </c>
      <c r="EF176" s="2290">
        <f>+EF175/EA175-1</f>
        <v>8.5095019805064842E-2</v>
      </c>
      <c r="EG176" s="5074">
        <f t="shared" si="706"/>
        <v>0.17870618305744879</v>
      </c>
      <c r="EH176" s="5074">
        <f>+EH175/EC175-1</f>
        <v>0.17457873577965954</v>
      </c>
      <c r="EI176" s="5074">
        <f t="shared" si="706"/>
        <v>0.18663695879408038</v>
      </c>
      <c r="EJ176" s="5074">
        <f t="shared" si="706"/>
        <v>0.12811048934396951</v>
      </c>
      <c r="EK176" s="2290">
        <f>+EK175/EF175-1</f>
        <v>0.16516276335397784</v>
      </c>
      <c r="EL176" s="5074">
        <f t="shared" si="706"/>
        <v>0.13493559129514421</v>
      </c>
      <c r="EM176" s="5074">
        <f>+EM175/EH175-1</f>
        <v>0.11814253811049613</v>
      </c>
      <c r="EN176" s="5074">
        <f t="shared" si="706"/>
        <v>0.1302533670228796</v>
      </c>
      <c r="EO176" s="2526">
        <v>0.14000000000000001</v>
      </c>
      <c r="EP176" s="2290">
        <f>+EP175/EK175-1</f>
        <v>0.13109940333358749</v>
      </c>
      <c r="EQ176" s="2526">
        <v>0.13500000000000001</v>
      </c>
      <c r="ER176" s="2526">
        <v>0.13600000000000001</v>
      </c>
      <c r="ES176" s="2526">
        <v>0.14000000000000001</v>
      </c>
      <c r="ET176" s="2526">
        <v>0.14099999999999999</v>
      </c>
      <c r="EU176" s="2290">
        <f>+EU175/EP175-1</f>
        <v>0.13818424212560143</v>
      </c>
      <c r="EV176" s="2527">
        <v>0.121</v>
      </c>
      <c r="EW176" s="2527">
        <v>0.115</v>
      </c>
      <c r="EX176" s="2527">
        <v>0.1</v>
      </c>
      <c r="EY176" s="2527">
        <v>9.6000000000000002E-2</v>
      </c>
      <c r="EZ176" s="193"/>
      <c r="FA176" s="725"/>
      <c r="FB176" s="725"/>
    </row>
    <row r="177" spans="1:158" s="194" customFormat="1" ht="11.25" customHeight="1">
      <c r="A177" s="5363" t="s">
        <v>46</v>
      </c>
      <c r="B177" s="2612"/>
      <c r="C177" s="2612"/>
      <c r="D177" s="2612"/>
      <c r="E177" s="2612"/>
      <c r="F177" s="5597"/>
      <c r="G177" s="2612"/>
      <c r="H177" s="2612"/>
      <c r="I177" s="2612"/>
      <c r="J177" s="2612"/>
      <c r="K177" s="1381"/>
      <c r="L177" s="2612"/>
      <c r="M177" s="2612"/>
      <c r="N177" s="2612"/>
      <c r="O177" s="2612"/>
      <c r="P177" s="1021"/>
      <c r="Q177" s="2612" t="s">
        <v>116</v>
      </c>
      <c r="R177" s="2612">
        <f>+R175/Q175-1</f>
        <v>0.79421077723358624</v>
      </c>
      <c r="S177" s="2612">
        <f>+S175/R175-1</f>
        <v>0.58505493360980609</v>
      </c>
      <c r="T177" s="2612">
        <f>+T175/S175-1</f>
        <v>0.41806327989402625</v>
      </c>
      <c r="U177" s="1021"/>
      <c r="V177" s="2612" t="s">
        <v>116</v>
      </c>
      <c r="W177" s="2612">
        <f>+W175/V175-1</f>
        <v>0.23503740601119927</v>
      </c>
      <c r="X177" s="2612">
        <f>+X175/W175-1</f>
        <v>0.23757325900553505</v>
      </c>
      <c r="Y177" s="2612">
        <f>+Y175/X175-1</f>
        <v>0.29136083899652965</v>
      </c>
      <c r="Z177" s="1021"/>
      <c r="AA177" s="2612">
        <f>+AA175/Y175-1</f>
        <v>0.24960928977953167</v>
      </c>
      <c r="AB177" s="2612">
        <f>+AB175/AA175-1</f>
        <v>8.0855620244034032E-2</v>
      </c>
      <c r="AC177" s="2612">
        <f>+AC175/AB175-1</f>
        <v>8.7086638978006725E-2</v>
      </c>
      <c r="AD177" s="2612">
        <f>+AD175/AC175-1</f>
        <v>0.2689389317634141</v>
      </c>
      <c r="AE177" s="1021"/>
      <c r="AF177" s="2612">
        <f>+AF175/AD175-1</f>
        <v>0.1595837702863907</v>
      </c>
      <c r="AG177" s="2612">
        <f>+AG175/AF175-1</f>
        <v>9.25691748767834E-2</v>
      </c>
      <c r="AH177" s="2612">
        <f>+AH175/AG175-1</f>
        <v>0.13498597107883947</v>
      </c>
      <c r="AI177" s="2612">
        <f>+AI175/AH175-1</f>
        <v>0.23785114399332974</v>
      </c>
      <c r="AJ177" s="1021"/>
      <c r="AK177" s="2612">
        <f>+AK175/AI175-1</f>
        <v>0.11208545406970383</v>
      </c>
      <c r="AL177" s="2612">
        <f>+AL175/AK175-1</f>
        <v>7.8560417632812074E-2</v>
      </c>
      <c r="AM177" s="2612">
        <f>+AM175/AL175-1</f>
        <v>6.0364131268533683E-2</v>
      </c>
      <c r="AN177" s="2612">
        <f>+AN175/AM175-1</f>
        <v>0.18448505281041627</v>
      </c>
      <c r="AO177" s="1021"/>
      <c r="AP177" s="2612">
        <f>+AP175/AN175-1</f>
        <v>9.7263092311244304E-2</v>
      </c>
      <c r="AQ177" s="2612">
        <f>+AQ175/AP175-1</f>
        <v>3.5519117312148296E-2</v>
      </c>
      <c r="AR177" s="2612">
        <f>+AR175/AQ175-1</f>
        <v>8.7708129719686445E-2</v>
      </c>
      <c r="AS177" s="2612">
        <f>+AS175/AR175-1</f>
        <v>0.13604033712801056</v>
      </c>
      <c r="AT177" s="1021"/>
      <c r="AU177" s="2612">
        <f>+AU175/AS175-1</f>
        <v>1.1806593111903352E-2</v>
      </c>
      <c r="AV177" s="2612">
        <f>+AV175/AU175-1</f>
        <v>1.2443432667816667E-2</v>
      </c>
      <c r="AW177" s="2612">
        <f>+AW175/AV175-1</f>
        <v>4.9858513204395161E-2</v>
      </c>
      <c r="AX177" s="2612">
        <f>+AX175/AW175-1</f>
        <v>5.3072490957368545E-2</v>
      </c>
      <c r="AY177" s="1021"/>
      <c r="AZ177" s="2612">
        <f>+AZ175/AX175-1</f>
        <v>-7.4341015974740077E-2</v>
      </c>
      <c r="BA177" s="2612">
        <f>+BA175/AZ175-1</f>
        <v>-6.8255007498874143E-3</v>
      </c>
      <c r="BB177" s="2612">
        <f>+BB175/BA175-1</f>
        <v>7.4004006701086311E-2</v>
      </c>
      <c r="BC177" s="2612">
        <f>+BC175/BB175-1</f>
        <v>0.12594965054430163</v>
      </c>
      <c r="BD177" s="1021"/>
      <c r="BE177" s="2612">
        <f>+BE175/BC175-1</f>
        <v>1.2946123373414942E-2</v>
      </c>
      <c r="BF177" s="2612">
        <f>+BF175/BE175-1</f>
        <v>2.8785982478097605E-2</v>
      </c>
      <c r="BG177" s="2612">
        <f>+BG175/BF175-1</f>
        <v>6.9647201946472004E-2</v>
      </c>
      <c r="BH177" s="2612">
        <f>+BH175/BG175-1</f>
        <v>0.15297128234290591</v>
      </c>
      <c r="BI177" s="1021"/>
      <c r="BJ177" s="2612">
        <f>+BJ175/BH175-1</f>
        <v>-1.2330456226880449E-2</v>
      </c>
      <c r="BK177" s="2612">
        <f>+BK175/BJ175-1</f>
        <v>3.7453183520599342E-2</v>
      </c>
      <c r="BL177" s="2612">
        <f>+BL175/BK175-1</f>
        <v>6.3778580024067333E-2</v>
      </c>
      <c r="BM177" s="2612">
        <f>+BM175/BL175-1</f>
        <v>0.12669683257918551</v>
      </c>
      <c r="BN177" s="1021"/>
      <c r="BO177" s="193"/>
      <c r="BP177" s="193"/>
      <c r="BQ177" s="193"/>
      <c r="BR177" s="193"/>
      <c r="BS177" s="1021"/>
      <c r="BT177" s="2612">
        <f>+BT175/BM175-1</f>
        <v>-2.128514056224895E-2</v>
      </c>
      <c r="BU177" s="2612">
        <f>+BU175/BT175-1</f>
        <v>2.6877308165777603E-2</v>
      </c>
      <c r="BV177" s="2612">
        <f>+BV175/BU175-1</f>
        <v>8.2117882117882068E-2</v>
      </c>
      <c r="BW177" s="2612">
        <f>+BW175/BV175-1</f>
        <v>0.10635155096011806</v>
      </c>
      <c r="BX177" s="1021"/>
      <c r="BY177" s="193"/>
      <c r="BZ177" s="193"/>
      <c r="CA177" s="193"/>
      <c r="CB177" s="193"/>
      <c r="CC177" s="1021"/>
      <c r="CD177" s="2612">
        <f>+CD175/BW175-1</f>
        <v>-2.603471295060078E-2</v>
      </c>
      <c r="CE177" s="2612">
        <f>+CE175/CD175-1</f>
        <v>1.0281014393420218E-2</v>
      </c>
      <c r="CF177" s="2612">
        <f>+CF175/CE175-1</f>
        <v>3.1207598371777445E-2</v>
      </c>
      <c r="CG177" s="2612">
        <f>+CG175/CF175-1</f>
        <v>0.140625</v>
      </c>
      <c r="CH177" s="1021"/>
      <c r="CI177" s="2612">
        <f>+CI175/CG175-1</f>
        <v>-5.7678442682047582E-3</v>
      </c>
      <c r="CJ177" s="2612">
        <f>+CJ175/CI175-1</f>
        <v>9.1370558375634126E-3</v>
      </c>
      <c r="CK177" s="2612">
        <f>+CK175/CJ175-1</f>
        <v>5.2601322219028468E-2</v>
      </c>
      <c r="CL177" s="2612">
        <f>+CL175/CK175-1</f>
        <v>0.13394320043691965</v>
      </c>
      <c r="CM177" s="1021"/>
      <c r="CN177" s="2612">
        <f>+CN175/CL175-1</f>
        <v>-7.0319084888621264E-2</v>
      </c>
      <c r="CO177" s="2612">
        <f>+CO175/CN175-1</f>
        <v>4.2352026939515675E-2</v>
      </c>
      <c r="CP177" s="2612">
        <f>+CP175/CO175-1</f>
        <v>8.6978131212723575E-2</v>
      </c>
      <c r="CQ177" s="2612">
        <f>+CQ175/CP175-1</f>
        <v>0.17661179698216745</v>
      </c>
      <c r="CR177" s="1021"/>
      <c r="CS177" s="2612">
        <f>+CS175/CQ175-1</f>
        <v>-8.8603905566890129E-2</v>
      </c>
      <c r="CT177" s="2612">
        <f>+CT175/CS175-1</f>
        <v>6.9715382155420613E-2</v>
      </c>
      <c r="CU177" s="2612">
        <f>+CU175/CT175-1</f>
        <v>6.1185849526656622E-2</v>
      </c>
      <c r="CV177" s="2612">
        <f>+CV175/CU175-1</f>
        <v>0.19410273265095324</v>
      </c>
      <c r="CW177" s="1021"/>
      <c r="CX177" s="2612">
        <f>+CX175/CV175-1</f>
        <v>-7.4473104749921304E-2</v>
      </c>
      <c r="CY177" s="2612">
        <f>+CY175/CX175-1</f>
        <v>4.6987849434956264E-2</v>
      </c>
      <c r="CZ177" s="2612">
        <f>+CZ175/CY175-1</f>
        <v>4.934263918195092E-2</v>
      </c>
      <c r="DA177" s="2612">
        <f>+DA175/CZ175-1</f>
        <v>0.19319412219644239</v>
      </c>
      <c r="DB177" s="1021"/>
      <c r="DC177" s="2612">
        <f>+DC175/DA175-1</f>
        <v>-8.3225304640912601E-2</v>
      </c>
      <c r="DD177" s="2612">
        <f>+DD175/DC175-1</f>
        <v>5.5783371040724061E-2</v>
      </c>
      <c r="DE177" s="2612">
        <f>+DE175/DD175-1</f>
        <v>3.9509810486841213E-2</v>
      </c>
      <c r="DF177" s="2612">
        <f>+DF175/DE175-1</f>
        <v>0.20266701024286538</v>
      </c>
      <c r="DG177" s="1021"/>
      <c r="DH177" s="2612">
        <f>+DH175/DF175-1</f>
        <v>-0.11446783437784558</v>
      </c>
      <c r="DI177" s="2612">
        <f>+DI175/DH175-1</f>
        <v>8.0510525042342129E-2</v>
      </c>
      <c r="DJ177" s="2612">
        <f>+DJ175/DI175-1</f>
        <v>4.7472429043273756E-2</v>
      </c>
      <c r="DK177" s="2612">
        <f>+DK175/DJ175-1</f>
        <v>0.16172305061193959</v>
      </c>
      <c r="DL177" s="1460"/>
      <c r="DM177" s="5237">
        <f>+DM175/DK175-1</f>
        <v>-0.13189492570271888</v>
      </c>
      <c r="DN177" s="5237">
        <f>+DN175/DM175-1</f>
        <v>-4.6157922628510817E-2</v>
      </c>
      <c r="DO177" s="5237">
        <f>+DO175/DN175-1</f>
        <v>0.19128840491138388</v>
      </c>
      <c r="DP177" s="5237">
        <f>+DP175/DO175-1</f>
        <v>0.24535957466654224</v>
      </c>
      <c r="DQ177" s="1460"/>
      <c r="DR177" s="5237">
        <f>+DR175/DP175-1</f>
        <v>-6.2577238512526723E-2</v>
      </c>
      <c r="DS177" s="5237">
        <f>+DS175/DR175-1</f>
        <v>0.12687759667625431</v>
      </c>
      <c r="DT177" s="5237">
        <f>+DT175/DS175-1</f>
        <v>5.7288712422007837E-2</v>
      </c>
      <c r="DU177" s="5237">
        <f>+DU175/DT175-1</f>
        <v>0.16651019313304727</v>
      </c>
      <c r="DV177" s="1460"/>
      <c r="DW177" s="5237">
        <f>+DW175/DU175-1</f>
        <v>-8.7870077608508179E-2</v>
      </c>
      <c r="DX177" s="5237">
        <f>+DX175/DW175-1</f>
        <v>3.1323858443891295E-2</v>
      </c>
      <c r="DY177" s="5237">
        <f>+DY175/DX175-1</f>
        <v>1.9708497570813055E-2</v>
      </c>
      <c r="DZ177" s="5237">
        <f>+DZ175/DY175-1</f>
        <v>0.10817451755963092</v>
      </c>
      <c r="EA177" s="1021"/>
      <c r="EB177" s="5237">
        <f>+EB175/DZ175-1</f>
        <v>-0.11135146828186682</v>
      </c>
      <c r="EC177" s="5237">
        <f>+EC175/EB175-1</f>
        <v>6.7216407010710855E-2</v>
      </c>
      <c r="ED177" s="5237">
        <f>+ED175/EC175-1</f>
        <v>3.652382174322133E-2</v>
      </c>
      <c r="EE177" s="5237">
        <f>+EE175/ED175-1</f>
        <v>0.15516861968421636</v>
      </c>
      <c r="EF177" s="1021"/>
      <c r="EG177" s="5237">
        <f>+EG175/EE175-1</f>
        <v>-7.7580664364805374E-2</v>
      </c>
      <c r="EH177" s="5237">
        <f>+EH175/EG175-1</f>
        <v>6.3479360817822794E-2</v>
      </c>
      <c r="EI177" s="5237">
        <f>+EI175/EH175-1</f>
        <v>4.7164773278959071E-2</v>
      </c>
      <c r="EJ177" s="5237">
        <f>+EJ175/EI175-1</f>
        <v>9.8194209416073708E-2</v>
      </c>
      <c r="EK177" s="1021"/>
      <c r="EL177" s="5237">
        <f>+EL175/EJ175-1</f>
        <v>-7.1999999999999953E-2</v>
      </c>
      <c r="EM177" s="5237">
        <f>+EM175/EL175-1</f>
        <v>4.7743608406878302E-2</v>
      </c>
      <c r="EN177" s="5237">
        <f>+EN175/EM175-1</f>
        <v>5.8506827605670386E-2</v>
      </c>
      <c r="EO177" s="2612">
        <f>+EO175/EN175-1</f>
        <v>0.1076643832806925</v>
      </c>
      <c r="EP177" s="1021"/>
      <c r="EQ177" s="2612">
        <f>+EQ175/EO175-1</f>
        <v>-7.6070175438596621E-2</v>
      </c>
      <c r="ER177" s="2612">
        <f>+ER175/EQ175-1</f>
        <v>4.8666730528822866E-2</v>
      </c>
      <c r="ES177" s="2612">
        <f>+ES175/ER175-1</f>
        <v>6.2233964322591762E-2</v>
      </c>
      <c r="ET177" s="2612">
        <f>+ET175/ES175-1</f>
        <v>0.10863601870462292</v>
      </c>
      <c r="EU177" s="1021"/>
      <c r="EV177" s="1021"/>
      <c r="EW177" s="1021"/>
      <c r="EX177" s="1021"/>
      <c r="EY177" s="1021"/>
      <c r="EZ177" s="193"/>
      <c r="FA177" s="1100"/>
      <c r="FB177" s="1100"/>
    </row>
    <row r="178" spans="1:158" s="710" customFormat="1" ht="11.25" customHeight="1">
      <c r="A178" s="5361" t="s">
        <v>236</v>
      </c>
      <c r="B178" s="124"/>
      <c r="C178" s="124"/>
      <c r="D178" s="124"/>
      <c r="E178" s="124"/>
      <c r="F178" s="3574"/>
      <c r="G178" s="124"/>
      <c r="H178" s="124"/>
      <c r="I178" s="124"/>
      <c r="J178" s="124"/>
      <c r="K178" s="997"/>
      <c r="L178" s="124"/>
      <c r="M178" s="124"/>
      <c r="N178" s="124"/>
      <c r="O178" s="124"/>
      <c r="P178" s="995">
        <f>P175/P170</f>
        <v>0.82184759215976666</v>
      </c>
      <c r="Q178" s="173">
        <v>0.83526</v>
      </c>
      <c r="R178" s="173">
        <v>0.80700000000000005</v>
      </c>
      <c r="S178" s="173">
        <v>0.76800000000000002</v>
      </c>
      <c r="T178" s="173">
        <v>0.75800000000000001</v>
      </c>
      <c r="U178" s="995">
        <f>U175/U170</f>
        <v>0.7771635512891687</v>
      </c>
      <c r="V178" s="173">
        <v>0.72799999999999998</v>
      </c>
      <c r="W178" s="173">
        <v>0.71830000000000005</v>
      </c>
      <c r="X178" s="124">
        <f>X175/X170</f>
        <v>0.70223535444303975</v>
      </c>
      <c r="Y178" s="173">
        <v>0.69750000000000001</v>
      </c>
      <c r="Z178" s="995">
        <f t="shared" ref="Z178:BB178" si="707">Z175/Z170</f>
        <v>0.70836081856345512</v>
      </c>
      <c r="AA178" s="124">
        <f t="shared" si="707"/>
        <v>0.68507864209826841</v>
      </c>
      <c r="AB178" s="124">
        <f t="shared" si="707"/>
        <v>0.68908844749875753</v>
      </c>
      <c r="AC178" s="124">
        <f t="shared" si="707"/>
        <v>0.65087040738962165</v>
      </c>
      <c r="AD178" s="124">
        <f t="shared" si="707"/>
        <v>0.64526680510556444</v>
      </c>
      <c r="AE178" s="995">
        <f t="shared" si="707"/>
        <v>0.66443843392624669</v>
      </c>
      <c r="AF178" s="124">
        <f t="shared" si="707"/>
        <v>0.61424774762084178</v>
      </c>
      <c r="AG178" s="124">
        <f t="shared" si="707"/>
        <v>0.60907262214742564</v>
      </c>
      <c r="AH178" s="124">
        <f t="shared" si="707"/>
        <v>0.60634316065826355</v>
      </c>
      <c r="AI178" s="124">
        <f t="shared" si="707"/>
        <v>0.61733850313663796</v>
      </c>
      <c r="AJ178" s="995">
        <f t="shared" si="707"/>
        <v>0.61201423825829637</v>
      </c>
      <c r="AK178" s="124">
        <f t="shared" si="707"/>
        <v>0.58458927434437202</v>
      </c>
      <c r="AL178" s="124">
        <f t="shared" si="707"/>
        <v>0.57859576846983574</v>
      </c>
      <c r="AM178" s="124">
        <f t="shared" si="707"/>
        <v>0.56021865855068631</v>
      </c>
      <c r="AN178" s="124">
        <f t="shared" si="707"/>
        <v>0.5567896158412825</v>
      </c>
      <c r="AO178" s="995">
        <f t="shared" si="707"/>
        <v>0.56861736871679414</v>
      </c>
      <c r="AP178" s="124">
        <f t="shared" si="707"/>
        <v>0.53449713439325808</v>
      </c>
      <c r="AQ178" s="124">
        <f t="shared" si="707"/>
        <v>0.52374738021970635</v>
      </c>
      <c r="AR178" s="124">
        <f t="shared" si="707"/>
        <v>0.5213013526885385</v>
      </c>
      <c r="AS178" s="124">
        <f t="shared" si="707"/>
        <v>0.51917436398815819</v>
      </c>
      <c r="AT178" s="995">
        <f t="shared" si="707"/>
        <v>0.52416706871995666</v>
      </c>
      <c r="AU178" s="124">
        <f t="shared" si="707"/>
        <v>0.48890338934713812</v>
      </c>
      <c r="AV178" s="124">
        <f t="shared" si="707"/>
        <v>0.47827885315504587</v>
      </c>
      <c r="AW178" s="124">
        <f t="shared" si="707"/>
        <v>0.48634214766653355</v>
      </c>
      <c r="AX178" s="124">
        <f t="shared" si="707"/>
        <v>0.49782332766873455</v>
      </c>
      <c r="AY178" s="995">
        <f t="shared" si="707"/>
        <v>0.48796901202309639</v>
      </c>
      <c r="AZ178" s="124">
        <f t="shared" si="707"/>
        <v>0.47686781061501293</v>
      </c>
      <c r="BA178" s="124">
        <f t="shared" si="707"/>
        <v>0.47242036199480097</v>
      </c>
      <c r="BB178" s="124">
        <f t="shared" si="707"/>
        <v>0.47136841613019398</v>
      </c>
      <c r="BC178" s="1380">
        <v>0.47199999999999998</v>
      </c>
      <c r="BD178" s="995">
        <f t="shared" ref="BD178:BN178" si="708">BD175/BD170</f>
        <v>0.47328924051406301</v>
      </c>
      <c r="BE178" s="124">
        <f t="shared" si="708"/>
        <v>0.47173431734317345</v>
      </c>
      <c r="BF178" s="124">
        <f t="shared" si="708"/>
        <v>0.48211143695014663</v>
      </c>
      <c r="BG178" s="124">
        <f t="shared" si="708"/>
        <v>0.48270656052703814</v>
      </c>
      <c r="BH178" s="124">
        <f t="shared" si="708"/>
        <v>0.48045023696682465</v>
      </c>
      <c r="BI178" s="995">
        <f t="shared" si="708"/>
        <v>0.47938337710173595</v>
      </c>
      <c r="BJ178" s="124">
        <f t="shared" si="708"/>
        <v>0.46705539358600584</v>
      </c>
      <c r="BK178" s="124">
        <f t="shared" si="708"/>
        <v>0.46033680478617328</v>
      </c>
      <c r="BL178" s="124">
        <f t="shared" si="708"/>
        <v>0.45473251028806583</v>
      </c>
      <c r="BM178" s="124">
        <f t="shared" si="708"/>
        <v>0.47052154195011336</v>
      </c>
      <c r="BN178" s="995">
        <f t="shared" si="708"/>
        <v>0.46326342171217516</v>
      </c>
      <c r="BO178" s="127"/>
      <c r="BP178" s="127"/>
      <c r="BQ178" s="127"/>
      <c r="BR178" s="127"/>
      <c r="BS178" s="995"/>
      <c r="BT178" s="124">
        <f>BT175/BT170</f>
        <v>0.45786754344762798</v>
      </c>
      <c r="BU178" s="124">
        <f>BU175/BU170</f>
        <v>0.45649398029916088</v>
      </c>
      <c r="BV178" s="124">
        <f>BV175/BV170</f>
        <v>0.46989415235120596</v>
      </c>
      <c r="BW178" s="124">
        <f>BW175/BW170</f>
        <v>0.46431615652847735</v>
      </c>
      <c r="BX178" s="995">
        <f>BX175/BX170</f>
        <v>0.4623588184187663</v>
      </c>
      <c r="BY178" s="127"/>
      <c r="BZ178" s="127"/>
      <c r="CA178" s="127"/>
      <c r="CB178" s="127"/>
      <c r="CC178" s="995"/>
      <c r="CD178" s="124">
        <f t="shared" ref="CD178:DN178" si="709">CD175/CD170</f>
        <v>0.4506215736236584</v>
      </c>
      <c r="CE178" s="124">
        <f t="shared" si="709"/>
        <v>0.44983596551461053</v>
      </c>
      <c r="CF178" s="124">
        <f t="shared" si="709"/>
        <v>0.44205322088119819</v>
      </c>
      <c r="CG178" s="124">
        <f t="shared" si="709"/>
        <v>0.44152288788438276</v>
      </c>
      <c r="CH178" s="995">
        <f t="shared" si="709"/>
        <v>0.46086925196779482</v>
      </c>
      <c r="CI178" s="124">
        <f t="shared" si="709"/>
        <v>0.44714656290531779</v>
      </c>
      <c r="CJ178" s="124">
        <f t="shared" si="709"/>
        <v>0.43610153556878722</v>
      </c>
      <c r="CK178" s="124">
        <f t="shared" si="709"/>
        <v>0.44326090903588938</v>
      </c>
      <c r="CL178" s="124">
        <f t="shared" si="709"/>
        <v>0.45876374081643928</v>
      </c>
      <c r="CM178" s="995">
        <f t="shared" si="709"/>
        <v>0.44669020166361117</v>
      </c>
      <c r="CN178" s="124">
        <f t="shared" si="709"/>
        <v>0.44738671920268863</v>
      </c>
      <c r="CO178" s="124">
        <f t="shared" si="709"/>
        <v>0.45399672815479214</v>
      </c>
      <c r="CP178" s="124">
        <f t="shared" si="709"/>
        <v>0.46843373493975904</v>
      </c>
      <c r="CQ178" s="124">
        <f t="shared" si="709"/>
        <v>0.48258239954990856</v>
      </c>
      <c r="CR178" s="995">
        <f t="shared" si="709"/>
        <v>0.46420141620771044</v>
      </c>
      <c r="CS178" s="124">
        <f t="shared" si="709"/>
        <v>0.46309917559362196</v>
      </c>
      <c r="CT178" s="124">
        <f t="shared" si="709"/>
        <v>0.46674418604651163</v>
      </c>
      <c r="CU178" s="124">
        <f t="shared" si="709"/>
        <v>0.47432185648746156</v>
      </c>
      <c r="CV178" s="124">
        <f t="shared" si="709"/>
        <v>0.48787599754450584</v>
      </c>
      <c r="CW178" s="995">
        <f t="shared" si="709"/>
        <v>0.47391217653314427</v>
      </c>
      <c r="CX178" s="124">
        <f t="shared" si="709"/>
        <v>0.4755151515151515</v>
      </c>
      <c r="CY178" s="124">
        <f>CY175/CY170</f>
        <v>0.47374086889657824</v>
      </c>
      <c r="CZ178" s="124">
        <f>CZ175/CZ170</f>
        <v>0.46557683998271643</v>
      </c>
      <c r="DA178" s="127">
        <f t="shared" si="709"/>
        <v>0.47730718064536087</v>
      </c>
      <c r="DB178" s="995">
        <f t="shared" si="709"/>
        <v>0.47313156826485048</v>
      </c>
      <c r="DC178" s="124">
        <f t="shared" ref="DC178:DK178" si="710">DC175/DC170</f>
        <v>0.45411930906055353</v>
      </c>
      <c r="DD178" s="124">
        <f t="shared" si="710"/>
        <v>0.45726796705147443</v>
      </c>
      <c r="DE178" s="127">
        <f t="shared" si="710"/>
        <v>0.46007705986959097</v>
      </c>
      <c r="DF178" s="127">
        <f t="shared" si="710"/>
        <v>0.47532844485181791</v>
      </c>
      <c r="DG178" s="995">
        <f t="shared" si="710"/>
        <v>0.46242846388294023</v>
      </c>
      <c r="DH178" s="124">
        <f t="shared" si="710"/>
        <v>0.45493822064448664</v>
      </c>
      <c r="DI178" s="124">
        <f t="shared" si="710"/>
        <v>0.45868426458504519</v>
      </c>
      <c r="DJ178" s="124">
        <f t="shared" si="710"/>
        <v>0.46201140768907872</v>
      </c>
      <c r="DK178" s="127">
        <f t="shared" si="710"/>
        <v>0.47177428106348346</v>
      </c>
      <c r="DL178" s="5251">
        <f t="shared" si="709"/>
        <v>0.46240199682435729</v>
      </c>
      <c r="DM178" s="5252">
        <f t="shared" si="709"/>
        <v>0.45846594912412836</v>
      </c>
      <c r="DN178" s="5252">
        <f t="shared" si="709"/>
        <v>0.4699845940935321</v>
      </c>
      <c r="DO178" s="5252">
        <f>DO175/DO170</f>
        <v>0.46438394732852534</v>
      </c>
      <c r="DP178" s="5190">
        <f>DP175/DP170</f>
        <v>0.46931350838342295</v>
      </c>
      <c r="DQ178" s="5251">
        <f t="shared" ref="DQ178:DV178" si="711">DQ175/DQ170</f>
        <v>0.46576122984544754</v>
      </c>
      <c r="DR178" s="5252">
        <f t="shared" si="711"/>
        <v>0.45254365983295369</v>
      </c>
      <c r="DS178" s="5252">
        <f t="shared" si="711"/>
        <v>0.45585003232062055</v>
      </c>
      <c r="DT178" s="5252">
        <f>DT175/DT170</f>
        <v>0.45799932430357199</v>
      </c>
      <c r="DU178" s="5190">
        <f>DU175/DU170</f>
        <v>0.46186525058081646</v>
      </c>
      <c r="DV178" s="5251">
        <f t="shared" si="711"/>
        <v>0.45744205995256892</v>
      </c>
      <c r="DW178" s="5252">
        <f t="shared" ref="DW178:EW178" si="712">DW175/DW170</f>
        <v>0.46658628751231418</v>
      </c>
      <c r="DX178" s="5252">
        <f t="shared" si="712"/>
        <v>0.46964196024969507</v>
      </c>
      <c r="DY178" s="5252">
        <f t="shared" si="712"/>
        <v>0.48300816302900479</v>
      </c>
      <c r="DZ178" s="5190">
        <f t="shared" si="712"/>
        <v>0.48629812749842205</v>
      </c>
      <c r="EA178" s="995">
        <f t="shared" si="712"/>
        <v>0.47665077995728972</v>
      </c>
      <c r="EB178" s="5252">
        <f t="shared" si="712"/>
        <v>0.4709186524710906</v>
      </c>
      <c r="EC178" s="5252">
        <f t="shared" si="712"/>
        <v>0.47012224545600773</v>
      </c>
      <c r="ED178" s="5252">
        <f t="shared" si="712"/>
        <v>0.47401979320146559</v>
      </c>
      <c r="EE178" s="5190">
        <f t="shared" ref="EE178" si="713">EE175/EE170</f>
        <v>0.48656007415131503</v>
      </c>
      <c r="EF178" s="995">
        <f t="shared" si="712"/>
        <v>0.47589087620448023</v>
      </c>
      <c r="EG178" s="5252">
        <f t="shared" ref="EG178:EJ178" si="714">EG175/EG170</f>
        <v>0.48097195147692423</v>
      </c>
      <c r="EH178" s="5252">
        <f t="shared" si="714"/>
        <v>0.48613438436666589</v>
      </c>
      <c r="EI178" s="5252">
        <f t="shared" si="714"/>
        <v>0.48872751166900802</v>
      </c>
      <c r="EJ178" s="5190">
        <f t="shared" si="714"/>
        <v>0.4910904020980833</v>
      </c>
      <c r="EK178" s="995">
        <f t="shared" si="712"/>
        <v>0.48696638458593561</v>
      </c>
      <c r="EL178" s="5252">
        <f t="shared" si="712"/>
        <v>0.48722211139925081</v>
      </c>
      <c r="EM178" s="5252">
        <f t="shared" si="712"/>
        <v>0.47769320114489566</v>
      </c>
      <c r="EN178" s="5252">
        <f t="shared" si="712"/>
        <v>0.47640357219627538</v>
      </c>
      <c r="EO178" s="124">
        <f t="shared" ref="EO178:EP178" si="715">EO175/EO170</f>
        <v>0.48115157021814853</v>
      </c>
      <c r="EP178" s="995">
        <f t="shared" si="715"/>
        <v>0.48047456069479938</v>
      </c>
      <c r="EQ178" s="124">
        <f t="shared" ref="EQ178:EU178" si="716">EQ175/EQ170</f>
        <v>0.46930984061607151</v>
      </c>
      <c r="ER178" s="124">
        <f t="shared" si="716"/>
        <v>0.46466549924278994</v>
      </c>
      <c r="ES178" s="124">
        <f t="shared" si="716"/>
        <v>0.46753168185293015</v>
      </c>
      <c r="ET178" s="124">
        <f t="shared" si="716"/>
        <v>0.47229300640987343</v>
      </c>
      <c r="EU178" s="995">
        <f t="shared" si="716"/>
        <v>0.46857273383416082</v>
      </c>
      <c r="EV178" s="995">
        <f t="shared" si="712"/>
        <v>0.46347910647362683</v>
      </c>
      <c r="EW178" s="995">
        <f t="shared" si="712"/>
        <v>0.46156673764915807</v>
      </c>
      <c r="EX178" s="995">
        <f t="shared" ref="EX178:EY178" si="717">EX175/EX170</f>
        <v>0.45914357677259066</v>
      </c>
      <c r="EY178" s="995">
        <f t="shared" si="717"/>
        <v>0.45776990899389586</v>
      </c>
      <c r="EZ178" s="708"/>
      <c r="FA178" s="4270"/>
      <c r="FB178" s="4270"/>
    </row>
    <row r="179" spans="1:158" s="168" customFormat="1" ht="11.25" customHeight="1">
      <c r="A179" s="5667" t="s">
        <v>217</v>
      </c>
      <c r="B179" s="2261"/>
      <c r="C179" s="2261"/>
      <c r="D179" s="2261"/>
      <c r="E179" s="2261"/>
      <c r="F179" s="5598"/>
      <c r="G179" s="2261"/>
      <c r="H179" s="2261"/>
      <c r="I179" s="2261"/>
      <c r="J179" s="2261"/>
      <c r="K179" s="2262"/>
      <c r="L179" s="2261"/>
      <c r="M179" s="2261"/>
      <c r="N179" s="2261"/>
      <c r="O179" s="2261"/>
      <c r="P179" s="2263">
        <v>15.397</v>
      </c>
      <c r="Q179" s="2261">
        <f>Q170*Q183</f>
        <v>6.9660308999999989</v>
      </c>
      <c r="R179" s="2261">
        <f>R170*R183</f>
        <v>15.155324999999998</v>
      </c>
      <c r="S179" s="2261">
        <f>S170*S183</f>
        <v>30.342583999999999</v>
      </c>
      <c r="T179" s="2261">
        <f>T170*T183</f>
        <v>45.474461999999995</v>
      </c>
      <c r="U179" s="2263">
        <f>SUM(Q179:T179)</f>
        <v>97.938401900000002</v>
      </c>
      <c r="V179" s="2261">
        <f>V170*V183</f>
        <v>67.624096000000009</v>
      </c>
      <c r="W179" s="2261">
        <f>W170*W183</f>
        <v>87.664758299999988</v>
      </c>
      <c r="X179" s="2261">
        <v>117.30200000000001</v>
      </c>
      <c r="Y179" s="2261">
        <f>Y170*Y183</f>
        <v>154.93293749999998</v>
      </c>
      <c r="Z179" s="2263">
        <f>SUM(V179:Y179)</f>
        <v>427.52379179999997</v>
      </c>
      <c r="AA179" s="2261">
        <f>76.221+128.989</f>
        <v>205.21</v>
      </c>
      <c r="AB179" s="2261">
        <f>81.421+136.283</f>
        <v>217.70400000000001</v>
      </c>
      <c r="AC179" s="2261">
        <v>281.35899999999998</v>
      </c>
      <c r="AD179" s="2261">
        <f>1070.18-SUM(AA179:AC179)</f>
        <v>365.90700000000015</v>
      </c>
      <c r="AE179" s="2263">
        <f>SUM(AA179:AD179)</f>
        <v>1070.18</v>
      </c>
      <c r="AF179" s="2261">
        <f>186.215+298.489</f>
        <v>484.70399999999995</v>
      </c>
      <c r="AG179" s="2261">
        <f>199.164+342.073</f>
        <v>541.23699999999997</v>
      </c>
      <c r="AH179" s="2261">
        <f>233.207+388.163</f>
        <v>621.37</v>
      </c>
      <c r="AI179" s="2261">
        <f>AJ179-AH179-AG179-AF179</f>
        <v>734.36300000000006</v>
      </c>
      <c r="AJ179" s="2263">
        <f>(878.11+1503.564)</f>
        <v>2381.674</v>
      </c>
      <c r="AK179" s="2261">
        <f>342.871+593.363</f>
        <v>936.23400000000004</v>
      </c>
      <c r="AL179" s="2261">
        <f>369.949+665.016</f>
        <v>1034.9649999999999</v>
      </c>
      <c r="AM179" s="2261">
        <f>422.494+760.374</f>
        <v>1182.8679999999999</v>
      </c>
      <c r="AN179" s="2261">
        <f>AO179-AM179-AL179-AK179</f>
        <v>1420.7100000000005</v>
      </c>
      <c r="AO179" s="2263">
        <f>2970.935+1603.842</f>
        <v>4574.777</v>
      </c>
      <c r="AP179" s="2264">
        <f>578.359+1127.23</f>
        <v>1705.5889999999999</v>
      </c>
      <c r="AQ179" s="2264">
        <f>599.514+1244.529</f>
        <v>1844.0430000000001</v>
      </c>
      <c r="AR179" s="2264">
        <f>661.016+1364.526</f>
        <v>2025.5419999999999</v>
      </c>
      <c r="AS179" s="2261">
        <f>AT179-AR179-AQ179-AP179</f>
        <v>2320.7910000000006</v>
      </c>
      <c r="AT179" s="2263">
        <f>2530.916+5365.049</f>
        <v>7895.9650000000001</v>
      </c>
      <c r="AU179" s="2264">
        <f>802.973+1847.596</f>
        <v>2650.569</v>
      </c>
      <c r="AV179" s="2264">
        <f>773.958+2026.23</f>
        <v>2800.1880000000001</v>
      </c>
      <c r="AW179" s="2265">
        <f>776.16+2070.219</f>
        <v>2846.3789999999999</v>
      </c>
      <c r="AX179" s="2261">
        <f>AY179-AW179-AV179-AU179</f>
        <v>2862.8609999999985</v>
      </c>
      <c r="AY179" s="2263">
        <f>3038.488+8121.509</f>
        <v>11159.996999999999</v>
      </c>
      <c r="AZ179" s="2261">
        <f t="shared" ref="AZ179:BH179" si="718">AZ392+AZ397</f>
        <v>2881.93</v>
      </c>
      <c r="BA179" s="2261">
        <f t="shared" si="718"/>
        <v>2913.768</v>
      </c>
      <c r="BB179" s="2261">
        <f t="shared" si="718"/>
        <v>3142.636</v>
      </c>
      <c r="BC179" s="2261">
        <f t="shared" si="718"/>
        <v>3518.6720000000005</v>
      </c>
      <c r="BD179" s="2263">
        <f t="shared" si="718"/>
        <v>12457.006000000001</v>
      </c>
      <c r="BE179" s="2261">
        <f t="shared" si="718"/>
        <v>3579</v>
      </c>
      <c r="BF179" s="2261">
        <f t="shared" si="718"/>
        <v>3532</v>
      </c>
      <c r="BG179" s="2261">
        <f t="shared" si="718"/>
        <v>3769</v>
      </c>
      <c r="BH179" s="2261">
        <f t="shared" si="718"/>
        <v>4385</v>
      </c>
      <c r="BI179" s="2263">
        <f>SUM(BE179:BH179)</f>
        <v>15265</v>
      </c>
      <c r="BJ179" s="2261">
        <f>BJ392+BJ397</f>
        <v>4570</v>
      </c>
      <c r="BK179" s="2261">
        <f>BK392+BK397</f>
        <v>4871</v>
      </c>
      <c r="BL179" s="2261">
        <f>BL392+BL397</f>
        <v>5300</v>
      </c>
      <c r="BM179" s="2261">
        <f>BM392+BM397</f>
        <v>5604</v>
      </c>
      <c r="BN179" s="2263">
        <f>SUM(BJ179:BM179)</f>
        <v>20345</v>
      </c>
      <c r="BO179" s="623"/>
      <c r="BP179" s="623"/>
      <c r="BQ179" s="623"/>
      <c r="BR179" s="623"/>
      <c r="BS179" s="2263"/>
      <c r="BT179" s="2261">
        <f>BT392+BT397</f>
        <v>5771</v>
      </c>
      <c r="BU179" s="2261">
        <f>BU392+BU397</f>
        <v>5959</v>
      </c>
      <c r="BV179" s="2261">
        <f>BV392+BV397</f>
        <v>6110</v>
      </c>
      <c r="BW179" s="2261">
        <f>BW392+BW397</f>
        <v>6913</v>
      </c>
      <c r="BX179" s="2263">
        <f>SUM(BT179:BW179)</f>
        <v>24753</v>
      </c>
      <c r="BY179" s="623"/>
      <c r="BZ179" s="623"/>
      <c r="CA179" s="623"/>
      <c r="CB179" s="623"/>
      <c r="CC179" s="2263"/>
      <c r="CD179" s="2261">
        <f>CD392+CD397</f>
        <v>7115</v>
      </c>
      <c r="CE179" s="2261">
        <f>CE392+CE397</f>
        <v>7211</v>
      </c>
      <c r="CF179" s="2261">
        <f>CF392+CF397</f>
        <v>7674</v>
      </c>
      <c r="CG179" s="2261">
        <f>CG392+CG397</f>
        <v>8772</v>
      </c>
      <c r="CH179" s="2263">
        <f>SUM(CD179:CG179)</f>
        <v>30772</v>
      </c>
      <c r="CI179" s="2261">
        <f>CI392+CI397</f>
        <v>8525</v>
      </c>
      <c r="CJ179" s="2261">
        <f>CJ392+CJ397</f>
        <v>8997</v>
      </c>
      <c r="CK179" s="2261">
        <f>CK392+CK397</f>
        <v>9199</v>
      </c>
      <c r="CL179" s="2261">
        <f>CL392+CL397</f>
        <v>9798</v>
      </c>
      <c r="CM179" s="2263">
        <f>SUM(CI179:CL179)</f>
        <v>36519</v>
      </c>
      <c r="CN179" s="2261">
        <f>CN392+CN397</f>
        <v>9537</v>
      </c>
      <c r="CO179" s="2261">
        <f>CO392+CO397</f>
        <v>9679</v>
      </c>
      <c r="CP179" s="2261">
        <f>CP392+CP397</f>
        <v>9927</v>
      </c>
      <c r="CQ179" s="2261">
        <f>CQ392+CQ397</f>
        <v>11036</v>
      </c>
      <c r="CR179" s="2263">
        <f>SUM(CN179:CQ179)</f>
        <v>40179</v>
      </c>
      <c r="CS179" s="2261">
        <f>CS392+CS397</f>
        <v>10876</v>
      </c>
      <c r="CT179" s="2261">
        <f>CT392+CT397</f>
        <v>11465</v>
      </c>
      <c r="CU179" s="2261">
        <f>CU392+CU397</f>
        <v>11802</v>
      </c>
      <c r="CV179" s="2261">
        <f>CV392+CV397</f>
        <v>13348</v>
      </c>
      <c r="CW179" s="2263">
        <f>SUM(CS179:CV179)</f>
        <v>47491</v>
      </c>
      <c r="CX179" s="2261">
        <f>SUM(CX186,CX192,CX198)</f>
        <v>12981</v>
      </c>
      <c r="CY179" s="2261">
        <f>SUM(CY186,CY192,CY198)</f>
        <v>13688</v>
      </c>
      <c r="CZ179" s="2261">
        <f>SUM(CZ186,CZ192,CZ198)</f>
        <v>14842</v>
      </c>
      <c r="DA179" s="1968">
        <f>SUM(DA186,DA192,DA198)</f>
        <v>16895</v>
      </c>
      <c r="DB179" s="2263">
        <f>SUM(CX179:DA179)</f>
        <v>58406</v>
      </c>
      <c r="DC179" s="2261">
        <f>SUM(DC186,DC192,DC198)-DC184</f>
        <v>17241</v>
      </c>
      <c r="DD179" s="2261">
        <f>SUM(DD186,DD192,DD198)-DD184</f>
        <v>17827</v>
      </c>
      <c r="DE179" s="2261">
        <f>SUM(DE186,DE192,DE198)-DE184</f>
        <v>18137</v>
      </c>
      <c r="DF179" s="2261">
        <f>SUM(DF186,DF192,DF198)</f>
        <v>20483</v>
      </c>
      <c r="DG179" s="2263">
        <f>SUM(DC179:DF179)</f>
        <v>73688</v>
      </c>
      <c r="DH179" s="1968">
        <f>SUM(DH186,DH192,DH198)</f>
        <v>19670</v>
      </c>
      <c r="DI179" s="2261">
        <f>SUM(DI186,DI192,DI198)</f>
        <v>20973</v>
      </c>
      <c r="DJ179" s="2261">
        <f>SUM(DJ186,DJ192,DJ198)</f>
        <v>21669</v>
      </c>
      <c r="DK179" s="2261">
        <f>SUM(DK186,DK192,DK198)</f>
        <v>24247</v>
      </c>
      <c r="DL179" s="5245">
        <f>SUM(DH179:DK179)</f>
        <v>86559</v>
      </c>
      <c r="DM179" s="5246">
        <f>SUM(DM186,DM192,DM198)</f>
        <v>22240</v>
      </c>
      <c r="DN179" s="5246">
        <f>SUM(DN186,DN192,DN198)</f>
        <v>20147</v>
      </c>
      <c r="DO179" s="5246">
        <f>SUM(DO186,DO192,DO198)</f>
        <v>24753</v>
      </c>
      <c r="DP179" s="5247">
        <f>SUM(DP186,DP192,DP198)</f>
        <v>30197</v>
      </c>
      <c r="DQ179" s="5245">
        <f>SUM(DM179:DP179)</f>
        <v>97337</v>
      </c>
      <c r="DR179" s="5246">
        <f>SUM(DR186,DR192,DR198)</f>
        <v>30391</v>
      </c>
      <c r="DS179" s="5246">
        <f>SUM(DS186,DS192,DS198)</f>
        <v>33679</v>
      </c>
      <c r="DT179" s="5246">
        <f>SUM(DT186,DT192,DT198)</f>
        <v>35232</v>
      </c>
      <c r="DU179" s="5247">
        <f>SUM(DU186,DU192,DU198)</f>
        <v>40332</v>
      </c>
      <c r="DV179" s="5245">
        <f>SUM(DR179:DU179)</f>
        <v>139634</v>
      </c>
      <c r="DW179" s="5246">
        <f>SUM(DW186,DW192,DW198)</f>
        <v>36000</v>
      </c>
      <c r="DX179" s="5246">
        <f>SUM(DX186,DX192,DX198)</f>
        <v>36583</v>
      </c>
      <c r="DY179" s="5246">
        <f>SUM(DY186,DY192,DY198)</f>
        <v>35082</v>
      </c>
      <c r="DZ179" s="5247">
        <f>SUM(DZ186,DZ192,DZ198)</f>
        <v>38397</v>
      </c>
      <c r="EA179" s="2263">
        <f>SUM(DW179:DZ179)</f>
        <v>146062</v>
      </c>
      <c r="EB179" s="5246">
        <f>SUM(EB186,EB192,EB198)</f>
        <v>36839</v>
      </c>
      <c r="EC179" s="5246">
        <f>SUM(EC186,EC192,EC198)</f>
        <v>39528</v>
      </c>
      <c r="ED179" s="5246">
        <f>SUM(ED186,ED192,ED198)</f>
        <v>40340</v>
      </c>
      <c r="EE179" s="5247">
        <f>SUM(EE186,EE192,EE198)</f>
        <v>44165</v>
      </c>
      <c r="EF179" s="2263">
        <f>SUM(EB179:EE179)</f>
        <v>160872</v>
      </c>
      <c r="EG179" s="5246">
        <f>SUM(EG186,EG192,EG198)</f>
        <v>41730</v>
      </c>
      <c r="EH179" s="5246">
        <f>SUM(EH186,EH192,EH198)</f>
        <v>43444</v>
      </c>
      <c r="EI179" s="5246">
        <f>SUM(EI186,EI192,EI198)</f>
        <v>45112</v>
      </c>
      <c r="EJ179" s="5247">
        <f>SUM(EJ186,EJ192,EJ198)</f>
        <v>49074</v>
      </c>
      <c r="EK179" s="2263">
        <f>SUM(EG179:EJ179)</f>
        <v>179360</v>
      </c>
      <c r="EL179" s="5246">
        <f>SUM(EL186,EL192,EL198)</f>
        <v>46010</v>
      </c>
      <c r="EM179" s="5246">
        <f>SUM(EM186,EM192,EM198)</f>
        <v>50477</v>
      </c>
      <c r="EN179" s="5246">
        <f>SUM(EN186,EN192,EN198)</f>
        <v>53795</v>
      </c>
      <c r="EO179" s="2517">
        <f t="shared" ref="EO179" si="719">SUM(EO186,EO192,EO198)</f>
        <v>58434.390375841169</v>
      </c>
      <c r="EP179" s="2263">
        <f>SUM(EL179:EO179)</f>
        <v>208716.39037584118</v>
      </c>
      <c r="EQ179" s="2517">
        <f t="shared" ref="EQ179:ET179" si="720">SUM(EQ186,EQ192,EQ198)</f>
        <v>57074.585335163574</v>
      </c>
      <c r="ER179" s="2517">
        <f t="shared" si="720"/>
        <v>60415.849360440494</v>
      </c>
      <c r="ES179" s="2517">
        <f t="shared" si="720"/>
        <v>63164.468820608185</v>
      </c>
      <c r="ET179" s="2517">
        <f t="shared" si="720"/>
        <v>68799.512242439363</v>
      </c>
      <c r="EU179" s="2263">
        <f>SUM(EQ179:ET179)</f>
        <v>249454.41575865162</v>
      </c>
      <c r="EV179" s="2518">
        <f>SUM(EV186,EV192,EV198)</f>
        <v>284750.6960672501</v>
      </c>
      <c r="EW179" s="2518">
        <f>SUM(EW186,EW192,EW198)</f>
        <v>319948.85509213654</v>
      </c>
      <c r="EX179" s="2518">
        <f>SUM(EX186,EX192,EX198)</f>
        <v>355393.39112430316</v>
      </c>
      <c r="EY179" s="2518">
        <f>SUM(EY186,EY192,EY198)</f>
        <v>391672.24431381654</v>
      </c>
      <c r="EZ179" s="59"/>
      <c r="FA179" s="1319">
        <f>(EV179/EK179)^(1/3)-1</f>
        <v>0.16657607774104366</v>
      </c>
      <c r="FB179" s="1319">
        <f>(EX179/EK179)^(1/5)-1</f>
        <v>0.14655990482476211</v>
      </c>
    </row>
    <row r="180" spans="1:158" s="194" customFormat="1" ht="11.25" customHeight="1">
      <c r="A180" s="5363" t="s">
        <v>45</v>
      </c>
      <c r="B180" s="2612"/>
      <c r="C180" s="2612"/>
      <c r="D180" s="2612"/>
      <c r="E180" s="2612"/>
      <c r="F180" s="4241"/>
      <c r="G180" s="2612"/>
      <c r="H180" s="2612"/>
      <c r="I180" s="2612"/>
      <c r="J180" s="2612"/>
      <c r="K180" s="2588"/>
      <c r="L180" s="2612"/>
      <c r="M180" s="2612"/>
      <c r="N180" s="2612"/>
      <c r="O180" s="2612"/>
      <c r="P180" s="2588" t="s">
        <v>116</v>
      </c>
      <c r="Q180" s="2612" t="s">
        <v>116</v>
      </c>
      <c r="R180" s="2612" t="s">
        <v>116</v>
      </c>
      <c r="S180" s="2612" t="s">
        <v>116</v>
      </c>
      <c r="T180" s="2612" t="s">
        <v>116</v>
      </c>
      <c r="U180" s="2588">
        <f t="shared" ref="U180:AE180" si="721">+U179/P179-1</f>
        <v>5.3608756186270057</v>
      </c>
      <c r="V180" s="2612" t="s">
        <v>116</v>
      </c>
      <c r="W180" s="2612" t="s">
        <v>116</v>
      </c>
      <c r="X180" s="2612" t="s">
        <v>116</v>
      </c>
      <c r="Y180" s="2612" t="s">
        <v>116</v>
      </c>
      <c r="Z180" s="2588">
        <f t="shared" si="721"/>
        <v>3.3652314465629436</v>
      </c>
      <c r="AA180" s="2612">
        <f t="shared" si="721"/>
        <v>2.0345692162746247</v>
      </c>
      <c r="AB180" s="2612">
        <f t="shared" si="721"/>
        <v>1.4833696484394463</v>
      </c>
      <c r="AC180" s="2612">
        <f t="shared" si="721"/>
        <v>1.3985865543639493</v>
      </c>
      <c r="AD180" s="2612">
        <f t="shared" si="721"/>
        <v>1.3617121440042417</v>
      </c>
      <c r="AE180" s="2588">
        <f t="shared" si="721"/>
        <v>1.5032057174975688</v>
      </c>
      <c r="AF180" s="2612">
        <f t="shared" ref="AF180:AQ180" si="722">+AF179/AA179-1</f>
        <v>1.3619901564251253</v>
      </c>
      <c r="AG180" s="2612">
        <f t="shared" si="722"/>
        <v>1.4861141733730201</v>
      </c>
      <c r="AH180" s="2612">
        <f t="shared" si="722"/>
        <v>1.2084596547471382</v>
      </c>
      <c r="AI180" s="2612">
        <f t="shared" si="722"/>
        <v>1.0069662509872721</v>
      </c>
      <c r="AJ180" s="2588">
        <f t="shared" si="722"/>
        <v>1.2254891700461603</v>
      </c>
      <c r="AK180" s="2612">
        <f t="shared" si="722"/>
        <v>0.93155822935234722</v>
      </c>
      <c r="AL180" s="2612">
        <f t="shared" si="722"/>
        <v>0.91222144827496998</v>
      </c>
      <c r="AM180" s="2612">
        <f t="shared" si="722"/>
        <v>0.90364517115406273</v>
      </c>
      <c r="AN180" s="2612">
        <f t="shared" si="722"/>
        <v>0.93461544222680115</v>
      </c>
      <c r="AO180" s="2588">
        <f t="shared" si="722"/>
        <v>0.92082417660855342</v>
      </c>
      <c r="AP180" s="2612">
        <f t="shared" si="722"/>
        <v>0.82175503132763805</v>
      </c>
      <c r="AQ180" s="2612">
        <f t="shared" si="722"/>
        <v>0.78174431019406487</v>
      </c>
      <c r="AR180" s="2612">
        <f t="shared" ref="AR180:AY180" si="723">+AR179/AM179-1</f>
        <v>0.7123990166273837</v>
      </c>
      <c r="AS180" s="2612">
        <f t="shared" si="723"/>
        <v>0.63354308761112388</v>
      </c>
      <c r="AT180" s="2588">
        <f t="shared" si="723"/>
        <v>0.72597811871485751</v>
      </c>
      <c r="AU180" s="2612">
        <f t="shared" si="723"/>
        <v>0.55404907043842333</v>
      </c>
      <c r="AV180" s="2612">
        <f t="shared" si="723"/>
        <v>0.51850472033461248</v>
      </c>
      <c r="AW180" s="2612">
        <f t="shared" si="723"/>
        <v>0.40524313986083715</v>
      </c>
      <c r="AX180" s="2612">
        <f t="shared" si="723"/>
        <v>0.23357122636204553</v>
      </c>
      <c r="AY180" s="2588">
        <f t="shared" si="723"/>
        <v>0.4133797452243011</v>
      </c>
      <c r="AZ180" s="2612">
        <f t="shared" ref="AZ180:BL180" si="724">+AZ179/AU179-1</f>
        <v>8.7287295671231391E-2</v>
      </c>
      <c r="BA180" s="2612">
        <f t="shared" si="724"/>
        <v>4.0561562295102993E-2</v>
      </c>
      <c r="BB180" s="2612">
        <f t="shared" si="724"/>
        <v>0.10408206356216088</v>
      </c>
      <c r="BC180" s="2612">
        <f t="shared" si="724"/>
        <v>0.2290753899682878</v>
      </c>
      <c r="BD180" s="2588">
        <f t="shared" si="724"/>
        <v>0.11621947568623914</v>
      </c>
      <c r="BE180" s="2612">
        <f t="shared" si="724"/>
        <v>0.24187610386095426</v>
      </c>
      <c r="BF180" s="2612">
        <f t="shared" si="724"/>
        <v>0.21217612383690132</v>
      </c>
      <c r="BG180" s="2612">
        <f t="shared" si="724"/>
        <v>0.19931166065684991</v>
      </c>
      <c r="BH180" s="2612">
        <f t="shared" si="724"/>
        <v>0.24620879695521469</v>
      </c>
      <c r="BI180" s="2588">
        <f t="shared" si="724"/>
        <v>0.22541483884650915</v>
      </c>
      <c r="BJ180" s="2612">
        <f t="shared" si="724"/>
        <v>0.27689298686784025</v>
      </c>
      <c r="BK180" s="2612">
        <f t="shared" si="724"/>
        <v>0.379105322763307</v>
      </c>
      <c r="BL180" s="2612">
        <f t="shared" si="724"/>
        <v>0.40620854338020695</v>
      </c>
      <c r="BM180" s="2612">
        <f>+BM179/BH179-1</f>
        <v>0.27799315849486894</v>
      </c>
      <c r="BN180" s="2588">
        <f>+BN179/BI179-1</f>
        <v>0.33278742220766455</v>
      </c>
      <c r="BO180" s="2612"/>
      <c r="BP180" s="2612"/>
      <c r="BQ180" s="2612"/>
      <c r="BR180" s="2612"/>
      <c r="BS180" s="2588"/>
      <c r="BT180" s="2612">
        <f>+BT179/BJ179-1</f>
        <v>0.26280087527352292</v>
      </c>
      <c r="BU180" s="2612">
        <f>+BU179/BK179-1</f>
        <v>0.22336275918702531</v>
      </c>
      <c r="BV180" s="2612">
        <f>+BV179/BL179-1</f>
        <v>0.15283018867924536</v>
      </c>
      <c r="BW180" s="2612">
        <f>+BW179/BM179-1</f>
        <v>0.23358315488936476</v>
      </c>
      <c r="BX180" s="2588">
        <f>+BX179/BN179-1</f>
        <v>0.21666257065618089</v>
      </c>
      <c r="BY180" s="2612"/>
      <c r="BZ180" s="2612"/>
      <c r="CA180" s="2612"/>
      <c r="CB180" s="2612"/>
      <c r="CC180" s="2588"/>
      <c r="CD180" s="2612">
        <f>+CD179/BT179-1</f>
        <v>0.23288858083521058</v>
      </c>
      <c r="CE180" s="2612">
        <f>+CE179/BU179-1</f>
        <v>0.21010236616882016</v>
      </c>
      <c r="CF180" s="2612">
        <f>+CF179/BV179-1</f>
        <v>0.25597381342062198</v>
      </c>
      <c r="CG180" s="2612">
        <f>+CG179/BW179-1</f>
        <v>0.26891364096629533</v>
      </c>
      <c r="CH180" s="2588">
        <f>+CH179/BX179-1</f>
        <v>0.2431624449561669</v>
      </c>
      <c r="CI180" s="2612">
        <f t="shared" ref="CI180:CQ180" si="725">+CI179/CD179-1</f>
        <v>0.19817287420941665</v>
      </c>
      <c r="CJ180" s="2612">
        <f t="shared" si="725"/>
        <v>0.24767715989460548</v>
      </c>
      <c r="CK180" s="2612">
        <f t="shared" si="725"/>
        <v>0.19872296064633832</v>
      </c>
      <c r="CL180" s="2612">
        <f t="shared" si="725"/>
        <v>0.11696306429548553</v>
      </c>
      <c r="CM180" s="2588">
        <f t="shared" si="725"/>
        <v>0.18676069153776154</v>
      </c>
      <c r="CN180" s="2612">
        <f t="shared" si="725"/>
        <v>0.11870967741935479</v>
      </c>
      <c r="CO180" s="2612">
        <f t="shared" si="725"/>
        <v>7.5803045459597707E-2</v>
      </c>
      <c r="CP180" s="2612">
        <f t="shared" si="725"/>
        <v>7.9139036851831657E-2</v>
      </c>
      <c r="CQ180" s="2612">
        <f t="shared" si="725"/>
        <v>0.12635231679934678</v>
      </c>
      <c r="CR180" s="2588">
        <f t="shared" ref="CR180:DB180" si="726">+CR179/CM179-1</f>
        <v>0.10022180234946187</v>
      </c>
      <c r="CS180" s="2612">
        <f>+CS179/CN179-1</f>
        <v>0.14040054524483581</v>
      </c>
      <c r="CT180" s="2612">
        <f>+CT179/CO179-1</f>
        <v>0.18452319454489108</v>
      </c>
      <c r="CU180" s="2612">
        <f>+CU179/CP179-1</f>
        <v>0.18887881535207018</v>
      </c>
      <c r="CV180" s="2612">
        <f t="shared" si="726"/>
        <v>0.20949619427328736</v>
      </c>
      <c r="CW180" s="2588">
        <f t="shared" si="726"/>
        <v>0.18198561437566885</v>
      </c>
      <c r="CX180" s="2612">
        <f t="shared" si="726"/>
        <v>0.19354542111070239</v>
      </c>
      <c r="CY180" s="2612">
        <f t="shared" si="726"/>
        <v>0.19389446140427391</v>
      </c>
      <c r="CZ180" s="2612">
        <f t="shared" si="726"/>
        <v>0.25758346043043545</v>
      </c>
      <c r="DA180" s="2612">
        <f t="shared" si="726"/>
        <v>0.26573269403655986</v>
      </c>
      <c r="DB180" s="2588">
        <f t="shared" si="726"/>
        <v>0.22983302099345138</v>
      </c>
      <c r="DC180" s="2612">
        <f t="shared" ref="DC180:EN180" si="727">+DC179/CX179-1</f>
        <v>0.32817194360989133</v>
      </c>
      <c r="DD180" s="2612">
        <f t="shared" si="727"/>
        <v>0.30238164815897139</v>
      </c>
      <c r="DE180" s="2612">
        <f t="shared" si="727"/>
        <v>0.22200512060369215</v>
      </c>
      <c r="DF180" s="2612">
        <f t="shared" si="727"/>
        <v>0.21237052382361643</v>
      </c>
      <c r="DG180" s="2588">
        <f t="shared" si="727"/>
        <v>0.26165120021915556</v>
      </c>
      <c r="DH180" s="2612">
        <f t="shared" si="727"/>
        <v>0.14088509947218841</v>
      </c>
      <c r="DI180" s="2612">
        <f t="shared" si="727"/>
        <v>0.1764738879228136</v>
      </c>
      <c r="DJ180" s="2612">
        <f t="shared" si="727"/>
        <v>0.19474003418426422</v>
      </c>
      <c r="DK180" s="2612">
        <f t="shared" si="727"/>
        <v>0.18376214421715575</v>
      </c>
      <c r="DL180" s="5253">
        <f t="shared" si="727"/>
        <v>0.17466887417218535</v>
      </c>
      <c r="DM180" s="5237">
        <f t="shared" si="727"/>
        <v>0.13065582104728013</v>
      </c>
      <c r="DN180" s="5237">
        <f t="shared" si="727"/>
        <v>-3.938396986601822E-2</v>
      </c>
      <c r="DO180" s="5237">
        <f t="shared" si="727"/>
        <v>0.14232313443167666</v>
      </c>
      <c r="DP180" s="5237">
        <f t="shared" si="727"/>
        <v>0.24539118241431934</v>
      </c>
      <c r="DQ180" s="5253">
        <f t="shared" si="727"/>
        <v>0.12451622592682443</v>
      </c>
      <c r="DR180" s="5237">
        <f t="shared" si="727"/>
        <v>0.36650179856115117</v>
      </c>
      <c r="DS180" s="5237">
        <f t="shared" si="727"/>
        <v>0.67166327492926992</v>
      </c>
      <c r="DT180" s="5237">
        <f t="shared" si="727"/>
        <v>0.42334262513634702</v>
      </c>
      <c r="DU180" s="5237">
        <f t="shared" si="727"/>
        <v>0.33562936715567782</v>
      </c>
      <c r="DV180" s="5253">
        <f>+DV179/DQ179-1</f>
        <v>0.43454184945087682</v>
      </c>
      <c r="DW180" s="5237">
        <f t="shared" si="727"/>
        <v>0.18456121878187615</v>
      </c>
      <c r="DX180" s="5237">
        <f t="shared" si="727"/>
        <v>8.6225838059324822E-2</v>
      </c>
      <c r="DY180" s="5237">
        <f t="shared" si="727"/>
        <v>-4.2574931880109412E-3</v>
      </c>
      <c r="DZ180" s="5237">
        <f t="shared" si="727"/>
        <v>-4.7976792621243658E-2</v>
      </c>
      <c r="EA180" s="2588">
        <f t="shared" ref="EA180:EF180" si="728">+EA179/DV179-1</f>
        <v>4.6034633398742475E-2</v>
      </c>
      <c r="EB180" s="5237">
        <f t="shared" si="727"/>
        <v>2.3305555555555468E-2</v>
      </c>
      <c r="EC180" s="5237">
        <f t="shared" si="727"/>
        <v>8.0501872454418644E-2</v>
      </c>
      <c r="ED180" s="5237">
        <f t="shared" si="727"/>
        <v>0.14987743002109344</v>
      </c>
      <c r="EE180" s="5237">
        <f t="shared" si="727"/>
        <v>0.15022006927624565</v>
      </c>
      <c r="EF180" s="2588">
        <f t="shared" si="728"/>
        <v>0.10139529788719859</v>
      </c>
      <c r="EG180" s="5237">
        <f t="shared" si="727"/>
        <v>0.13276690463910534</v>
      </c>
      <c r="EH180" s="5237">
        <f t="shared" si="727"/>
        <v>9.9069014369560726E-2</v>
      </c>
      <c r="EI180" s="5237">
        <f t="shared" si="727"/>
        <v>0.11829449677739223</v>
      </c>
      <c r="EJ180" s="5237">
        <f t="shared" si="727"/>
        <v>0.11115136420242266</v>
      </c>
      <c r="EK180" s="2588">
        <f>+EK179/EF179-1</f>
        <v>0.11492366602019</v>
      </c>
      <c r="EL180" s="5237">
        <f t="shared" si="727"/>
        <v>0.10256410256410264</v>
      </c>
      <c r="EM180" s="5237">
        <f t="shared" si="727"/>
        <v>0.16188656661449219</v>
      </c>
      <c r="EN180" s="5237">
        <f t="shared" si="727"/>
        <v>0.19247650292605067</v>
      </c>
      <c r="EO180" s="2612">
        <f t="shared" ref="EO180" si="729">+EO179/EJ179-1</f>
        <v>0.19074031821007398</v>
      </c>
      <c r="EP180" s="2588">
        <f>+EP179/EK179-1</f>
        <v>0.16367300610973001</v>
      </c>
      <c r="EQ180" s="2612">
        <f t="shared" ref="EQ180" si="730">+EQ179/EL179-1</f>
        <v>0.24048218507201846</v>
      </c>
      <c r="ER180" s="2612">
        <f t="shared" ref="ER180" si="731">+ER179/EM179-1</f>
        <v>0.19689857480516859</v>
      </c>
      <c r="ES180" s="2612">
        <f t="shared" ref="ES180" si="732">+ES179/EN179-1</f>
        <v>0.17416988234237718</v>
      </c>
      <c r="ET180" s="2612">
        <f t="shared" ref="ET180" si="733">+ET179/EO179-1</f>
        <v>0.17738050829197149</v>
      </c>
      <c r="EU180" s="2588">
        <f>+EU179/EP179-1</f>
        <v>0.19518364278652189</v>
      </c>
      <c r="EV180" s="2588">
        <f>+EV179/EU179-1</f>
        <v>0.14149390862155675</v>
      </c>
      <c r="EW180" s="2588">
        <f>+EW179/EV179-1</f>
        <v>0.12361044068027005</v>
      </c>
      <c r="EX180" s="2588">
        <f>+EX179/EW179-1</f>
        <v>0.11078188112896847</v>
      </c>
      <c r="EY180" s="2588">
        <f>+EY179/EX179-1</f>
        <v>0.10208083238335863</v>
      </c>
      <c r="EZ180" s="193"/>
      <c r="FA180" s="725"/>
      <c r="FB180" s="725"/>
    </row>
    <row r="181" spans="1:158" s="194" customFormat="1" ht="11.25" customHeight="1">
      <c r="A181" s="5363" t="s">
        <v>496</v>
      </c>
      <c r="B181" s="2612"/>
      <c r="C181" s="2612"/>
      <c r="D181" s="2612"/>
      <c r="E181" s="2612"/>
      <c r="F181" s="4241"/>
      <c r="G181" s="2612"/>
      <c r="H181" s="2612"/>
      <c r="I181" s="2612"/>
      <c r="J181" s="2612"/>
      <c r="K181" s="2588"/>
      <c r="L181" s="2612"/>
      <c r="M181" s="2612"/>
      <c r="N181" s="2612"/>
      <c r="O181" s="2612"/>
      <c r="P181" s="2588"/>
      <c r="Q181" s="2612"/>
      <c r="R181" s="2612"/>
      <c r="S181" s="2612"/>
      <c r="T181" s="2612"/>
      <c r="U181" s="2588"/>
      <c r="V181" s="2612"/>
      <c r="W181" s="2612"/>
      <c r="X181" s="2612"/>
      <c r="Y181" s="2612"/>
      <c r="Z181" s="2588"/>
      <c r="AA181" s="2612"/>
      <c r="AB181" s="2612"/>
      <c r="AC181" s="2612"/>
      <c r="AD181" s="2612"/>
      <c r="AE181" s="2588"/>
      <c r="AF181" s="2612"/>
      <c r="AG181" s="2612"/>
      <c r="AH181" s="2612"/>
      <c r="AI181" s="2612"/>
      <c r="AJ181" s="2588"/>
      <c r="AK181" s="2612"/>
      <c r="AL181" s="2612"/>
      <c r="AM181" s="2612"/>
      <c r="AN181" s="2612"/>
      <c r="AO181" s="2588"/>
      <c r="AP181" s="2612"/>
      <c r="AQ181" s="2612"/>
      <c r="AR181" s="2612"/>
      <c r="AS181" s="2612"/>
      <c r="AT181" s="2588"/>
      <c r="AU181" s="2612"/>
      <c r="AV181" s="2612"/>
      <c r="AW181" s="2612"/>
      <c r="AX181" s="2612"/>
      <c r="AY181" s="2588"/>
      <c r="AZ181" s="2612"/>
      <c r="BA181" s="2612"/>
      <c r="BB181" s="2612"/>
      <c r="BC181" s="2612"/>
      <c r="BD181" s="2588"/>
      <c r="BE181" s="2612"/>
      <c r="BF181" s="2612"/>
      <c r="BG181" s="2612"/>
      <c r="BH181" s="2612"/>
      <c r="BI181" s="2588"/>
      <c r="BJ181" s="2612"/>
      <c r="BK181" s="2612"/>
      <c r="BL181" s="2612"/>
      <c r="BM181" s="2612"/>
      <c r="BN181" s="2588"/>
      <c r="BO181" s="2612"/>
      <c r="BP181" s="2612"/>
      <c r="BQ181" s="2612"/>
      <c r="BR181" s="2612"/>
      <c r="BS181" s="1927"/>
      <c r="BT181" s="2612"/>
      <c r="BU181" s="2612"/>
      <c r="BV181" s="2612"/>
      <c r="BW181" s="2612"/>
      <c r="BX181" s="1927"/>
      <c r="BY181" s="2612"/>
      <c r="BZ181" s="2612"/>
      <c r="CA181" s="2612"/>
      <c r="CB181" s="2612"/>
      <c r="CC181" s="1927"/>
      <c r="CD181" s="2612"/>
      <c r="CE181" s="2612"/>
      <c r="CF181" s="2612"/>
      <c r="CG181" s="2612"/>
      <c r="CH181" s="1927"/>
      <c r="CI181" s="2612"/>
      <c r="CJ181" s="2612"/>
      <c r="CK181" s="2612"/>
      <c r="CL181" s="2612"/>
      <c r="CM181" s="1927"/>
      <c r="CN181" s="2612"/>
      <c r="CO181" s="2612"/>
      <c r="CP181" s="2612"/>
      <c r="CQ181" s="2612"/>
      <c r="CR181" s="1927">
        <f>(CR179-CR212)/(CM179-CM184)-1</f>
        <v>0.25329280648429586</v>
      </c>
      <c r="CS181" s="2612">
        <f>CS543</f>
        <v>0.24311727725991772</v>
      </c>
      <c r="CT181" s="2612">
        <f>CT543</f>
        <v>0.24891398783666374</v>
      </c>
      <c r="CU181" s="2612">
        <f>CU543</f>
        <v>0.233585727621616</v>
      </c>
      <c r="CV181" s="2612">
        <f>CV543</f>
        <v>0.24841180866965629</v>
      </c>
      <c r="CW181" s="1927">
        <f t="shared" ref="CW181:DB181" si="734">(CW179-CW212)/(CR179-CR184)-1</f>
        <v>0.25748472111194198</v>
      </c>
      <c r="CX181" s="2612">
        <f t="shared" si="734"/>
        <v>0.24077706173531332</v>
      </c>
      <c r="CY181" s="2612">
        <f t="shared" si="734"/>
        <v>0.23403881619390532</v>
      </c>
      <c r="CZ181" s="2612">
        <f t="shared" si="734"/>
        <v>0.24707189877746427</v>
      </c>
      <c r="DA181" s="2612">
        <f t="shared" si="734"/>
        <v>0.24268672593267993</v>
      </c>
      <c r="DB181" s="1927">
        <f t="shared" si="734"/>
        <v>0.24124637928096782</v>
      </c>
      <c r="DC181" s="2612">
        <f>(DC179-DC212)/CX179-1</f>
        <v>0.22717818349896013</v>
      </c>
      <c r="DD181" s="2612">
        <f>(DD179-DD212)/CY179-1</f>
        <v>0.24627410870835775</v>
      </c>
      <c r="DE181" s="2612">
        <f>(DE179-DE212)/CZ179-1</f>
        <v>0.24794502088667292</v>
      </c>
      <c r="DF181" s="2612">
        <f>(DF179-DF212)/DA179-1</f>
        <v>0.25522343888724475</v>
      </c>
      <c r="DG181" s="1927">
        <f>(DG179-DG212)/DB179-1</f>
        <v>0.24504331746738339</v>
      </c>
      <c r="DH181" s="2612">
        <f t="shared" ref="DH181:EN181" si="735">(DH179-DH212)/DC179-1</f>
        <v>0.20776057073255605</v>
      </c>
      <c r="DI181" s="2612">
        <f t="shared" si="735"/>
        <v>0.24474112301565043</v>
      </c>
      <c r="DJ181" s="2612">
        <f t="shared" si="735"/>
        <v>0.22445828968407122</v>
      </c>
      <c r="DK181" s="2612">
        <f t="shared" si="735"/>
        <v>0.20412049016257394</v>
      </c>
      <c r="DL181" s="5254">
        <f t="shared" si="735"/>
        <v>0.21980512430789267</v>
      </c>
      <c r="DM181" s="5237">
        <f t="shared" si="735"/>
        <v>0.150584646670056</v>
      </c>
      <c r="DN181" s="5237">
        <f t="shared" si="735"/>
        <v>-5.7216421112858962E-3</v>
      </c>
      <c r="DO181" s="5237">
        <f t="shared" si="735"/>
        <v>0.14486132262679408</v>
      </c>
      <c r="DP181" s="5237">
        <f t="shared" si="735"/>
        <v>0.23347218212562382</v>
      </c>
      <c r="DQ181" s="5254">
        <f t="shared" si="735"/>
        <v>0.13449785695306082</v>
      </c>
      <c r="DR181" s="5237">
        <f t="shared" si="735"/>
        <v>0.31699640287769792</v>
      </c>
      <c r="DS181" s="5237">
        <f t="shared" si="735"/>
        <v>0.57800168759616821</v>
      </c>
      <c r="DT181" s="5237">
        <f t="shared" si="735"/>
        <v>0.39849715186038059</v>
      </c>
      <c r="DU181" s="5237">
        <f t="shared" si="735"/>
        <v>0.34467000033115869</v>
      </c>
      <c r="DV181" s="5254">
        <f t="shared" si="735"/>
        <v>0.40033080945580823</v>
      </c>
      <c r="DW181" s="5237">
        <f t="shared" si="735"/>
        <v>0.25007403507617387</v>
      </c>
      <c r="DX181" s="5237">
        <f t="shared" si="735"/>
        <v>0.1658600314736185</v>
      </c>
      <c r="DY181" s="5237">
        <f t="shared" si="735"/>
        <v>0.10694822888283384</v>
      </c>
      <c r="DZ181" s="5237">
        <f t="shared" si="735"/>
        <v>6.9374194188237537E-2</v>
      </c>
      <c r="EA181" s="1927">
        <f t="shared" si="735"/>
        <v>0.14145551942936541</v>
      </c>
      <c r="EB181" s="5237">
        <f t="shared" si="735"/>
        <v>8.3694444444444516E-2</v>
      </c>
      <c r="EC181" s="5237">
        <f t="shared" si="735"/>
        <v>0.1118278982040839</v>
      </c>
      <c r="ED181" s="5237">
        <f t="shared" si="735"/>
        <v>0.13770594606920938</v>
      </c>
      <c r="EE181" s="5237">
        <f t="shared" si="735"/>
        <v>0.12573899002526234</v>
      </c>
      <c r="EF181" s="1927">
        <f t="shared" ref="EF181:EK181" si="736">(EF179-EF212)/EA179-1</f>
        <v>0.11476633210554432</v>
      </c>
      <c r="EG181" s="5237">
        <f t="shared" si="735"/>
        <v>0.14335351122451745</v>
      </c>
      <c r="EH181" s="5237">
        <f t="shared" si="735"/>
        <v>0.13112224246104032</v>
      </c>
      <c r="EI181" s="5237">
        <f t="shared" si="735"/>
        <v>0.14350520575111547</v>
      </c>
      <c r="EJ181" s="5237">
        <f t="shared" si="735"/>
        <v>0.1171515906260614</v>
      </c>
      <c r="EK181" s="1927">
        <f t="shared" si="736"/>
        <v>0.13319284897309669</v>
      </c>
      <c r="EL181" s="5237">
        <f t="shared" si="735"/>
        <v>0.14102564102564097</v>
      </c>
      <c r="EM181" s="5237">
        <f t="shared" si="735"/>
        <v>0.14938771752140689</v>
      </c>
      <c r="EN181" s="5237">
        <f t="shared" si="735"/>
        <v>0.16279482177691085</v>
      </c>
      <c r="EO181" s="2612">
        <f t="shared" ref="EO181:EP181" si="737">(EO179-EO212)/EJ179-1</f>
        <v>0.17081570689163295</v>
      </c>
      <c r="EP181" s="1927">
        <f t="shared" si="737"/>
        <v>0.15667712979482618</v>
      </c>
      <c r="EQ181" s="2612">
        <f t="shared" ref="EQ181" si="738">(EQ179-EQ212)/EL179-1</f>
        <v>0.16993090632471186</v>
      </c>
      <c r="ER181" s="2612">
        <f t="shared" ref="ER181" si="739">(ER179-ER212)/EM179-1</f>
        <v>0.18402103928521885</v>
      </c>
      <c r="ES181" s="2612">
        <f t="shared" ref="ES181" si="740">(ES179-ES212)/EN179-1</f>
        <v>0.18716994144437193</v>
      </c>
      <c r="ET181" s="2612">
        <f t="shared" ref="ET181:EU181" si="741">(ET179-ET212)/EO179-1</f>
        <v>0.18193263870413445</v>
      </c>
      <c r="EU181" s="1927">
        <f t="shared" si="741"/>
        <v>0.18114188715157287</v>
      </c>
      <c r="EV181" s="1927">
        <f>(EV179-EV212)/EU179-1</f>
        <v>0.14149390862155675</v>
      </c>
      <c r="EW181" s="1927">
        <f>(EW179-EW212)/EV179-1</f>
        <v>0.12361044068027005</v>
      </c>
      <c r="EX181" s="1927">
        <f>(EX179-EX212)/EW179-1</f>
        <v>0.11078188112896847</v>
      </c>
      <c r="EY181" s="1927">
        <f>(EY179-EY212)/EX179-1</f>
        <v>0.10208083238335863</v>
      </c>
      <c r="EZ181" s="193"/>
      <c r="FA181" s="725"/>
      <c r="FB181" s="725"/>
    </row>
    <row r="182" spans="1:158" s="194" customFormat="1" ht="11.25" customHeight="1">
      <c r="A182" s="5363" t="s">
        <v>46</v>
      </c>
      <c r="B182" s="2612"/>
      <c r="C182" s="2612"/>
      <c r="D182" s="2612"/>
      <c r="E182" s="2612"/>
      <c r="F182" s="5597"/>
      <c r="G182" s="2612"/>
      <c r="H182" s="2612"/>
      <c r="I182" s="2612"/>
      <c r="J182" s="2612"/>
      <c r="K182" s="1381"/>
      <c r="L182" s="2612"/>
      <c r="M182" s="2612"/>
      <c r="N182" s="2612"/>
      <c r="O182" s="2612"/>
      <c r="P182" s="1021"/>
      <c r="Q182" s="2612" t="s">
        <v>116</v>
      </c>
      <c r="R182" s="2612">
        <f>+R179/Q179-1</f>
        <v>1.1756040444781832</v>
      </c>
      <c r="S182" s="2612">
        <f>+S179/R179-1</f>
        <v>1.0021071141661433</v>
      </c>
      <c r="T182" s="2612">
        <f>+T179/S179-1</f>
        <v>0.49870103350459538</v>
      </c>
      <c r="U182" s="1021"/>
      <c r="V182" s="2612" t="s">
        <v>116</v>
      </c>
      <c r="W182" s="2612">
        <f>+W179/V179-1</f>
        <v>0.29635386623135007</v>
      </c>
      <c r="X182" s="2612">
        <f>+X179/W179-1</f>
        <v>0.33807475517787422</v>
      </c>
      <c r="Y182" s="2612">
        <f>+Y179/X179-1</f>
        <v>0.32080388654924863</v>
      </c>
      <c r="Z182" s="1021"/>
      <c r="AA182" s="2612">
        <f>+AA179/Y179-1</f>
        <v>0.32450854744815016</v>
      </c>
      <c r="AB182" s="2612">
        <f>+AB179/AA179-1</f>
        <v>6.0883972515959339E-2</v>
      </c>
      <c r="AC182" s="2612">
        <f>+AC179/AB179-1</f>
        <v>0.29239242273913191</v>
      </c>
      <c r="AD182" s="2612">
        <f>+AD179/AC179-1</f>
        <v>0.30049865118940633</v>
      </c>
      <c r="AE182" s="1021"/>
      <c r="AF182" s="2612">
        <f>+AF179/AD179-1</f>
        <v>0.32466446392115955</v>
      </c>
      <c r="AG182" s="2612">
        <f>+AG179/AF179-1</f>
        <v>0.11663406945269705</v>
      </c>
      <c r="AH182" s="2612">
        <f>+AH179/AG179-1</f>
        <v>0.14805528816396518</v>
      </c>
      <c r="AI182" s="2612">
        <f>+AI179/AH179-1</f>
        <v>0.18184495550155311</v>
      </c>
      <c r="AJ182" s="1021"/>
      <c r="AK182" s="2612">
        <f>+AK179/AI179-1</f>
        <v>0.27489266207583984</v>
      </c>
      <c r="AL182" s="2612">
        <f>+AL179/AK179-1</f>
        <v>0.10545547373840281</v>
      </c>
      <c r="AM182" s="2612">
        <f>+AM179/AL179-1</f>
        <v>0.14290628185494203</v>
      </c>
      <c r="AN182" s="2612">
        <f>+AN179/AM179-1</f>
        <v>0.20107230899813056</v>
      </c>
      <c r="AO182" s="1021"/>
      <c r="AP182" s="2612">
        <f>+AP179/AN179-1</f>
        <v>0.20051875470715297</v>
      </c>
      <c r="AQ182" s="2612">
        <f>+AQ179/AP179-1</f>
        <v>8.1176649239646848E-2</v>
      </c>
      <c r="AR182" s="2612">
        <f>+AR179/AQ179-1</f>
        <v>9.8424494439663057E-2</v>
      </c>
      <c r="AS182" s="2612">
        <f>+AS179/AR179-1</f>
        <v>0.14576296122223131</v>
      </c>
      <c r="AT182" s="1021"/>
      <c r="AU182" s="2612">
        <f>+AU179/AS179-1</f>
        <v>0.14209724184556016</v>
      </c>
      <c r="AV182" s="2612">
        <f>+AV179/AU179-1</f>
        <v>5.6447879681683411E-2</v>
      </c>
      <c r="AW182" s="2612">
        <f>+AW179/AV179-1</f>
        <v>1.6495678147324222E-2</v>
      </c>
      <c r="AX182" s="2612">
        <f>+AX179/AW179-1</f>
        <v>5.7905148962940078E-3</v>
      </c>
      <c r="AY182" s="1021"/>
      <c r="AZ182" s="2612">
        <f>+AZ179/AX179-1</f>
        <v>6.6608193691559681E-3</v>
      </c>
      <c r="BA182" s="2612">
        <f>+BA179/AZ179-1</f>
        <v>1.1047457780029468E-2</v>
      </c>
      <c r="BB182" s="2612">
        <f>+BB179/BA179-1</f>
        <v>7.8547090914582007E-2</v>
      </c>
      <c r="BC182" s="2612">
        <f>+BC179/BB179-1</f>
        <v>0.11965623762981159</v>
      </c>
      <c r="BD182" s="1021"/>
      <c r="BE182" s="2612">
        <f>+BE179/BC179-1</f>
        <v>1.71451047440625E-2</v>
      </c>
      <c r="BF182" s="2612">
        <f>+BF179/BE179-1</f>
        <v>-1.3132159821179101E-2</v>
      </c>
      <c r="BG182" s="2612">
        <f>+BG179/BF179-1</f>
        <v>6.7100792751981775E-2</v>
      </c>
      <c r="BH182" s="2612">
        <f>+BH179/BG179-1</f>
        <v>0.16343857787211458</v>
      </c>
      <c r="BI182" s="1021"/>
      <c r="BJ182" s="2612">
        <f>+BJ179/BH179-1</f>
        <v>4.218928164196134E-2</v>
      </c>
      <c r="BK182" s="2612">
        <f>+BK179/BJ179-1</f>
        <v>6.5864332603938758E-2</v>
      </c>
      <c r="BL182" s="2612">
        <f>+BL179/BK179-1</f>
        <v>8.807226442208993E-2</v>
      </c>
      <c r="BM182" s="2612">
        <f>+BM179/BL179-1</f>
        <v>5.7358490566037812E-2</v>
      </c>
      <c r="BN182" s="1021"/>
      <c r="BO182" s="193"/>
      <c r="BP182" s="193"/>
      <c r="BQ182" s="193"/>
      <c r="BR182" s="193"/>
      <c r="BS182" s="2902"/>
      <c r="BT182" s="2612">
        <f>+BT179/BM179-1</f>
        <v>2.9800142755174841E-2</v>
      </c>
      <c r="BU182" s="2612">
        <f>+BU179/BT179-1</f>
        <v>3.2576676485877698E-2</v>
      </c>
      <c r="BV182" s="2612">
        <f>+BV179/BU179-1</f>
        <v>2.5339822117804944E-2</v>
      </c>
      <c r="BW182" s="2612">
        <f>+BW179/BV179-1</f>
        <v>0.13142389525368259</v>
      </c>
      <c r="BX182" s="1021"/>
      <c r="BY182" s="193"/>
      <c r="BZ182" s="193"/>
      <c r="CA182" s="193"/>
      <c r="CB182" s="193"/>
      <c r="CC182" s="2902"/>
      <c r="CD182" s="2612">
        <f>+CD179/BW179-1</f>
        <v>2.9220309561695412E-2</v>
      </c>
      <c r="CE182" s="2612">
        <f>+CE179/CD179-1</f>
        <v>1.3492621222768841E-2</v>
      </c>
      <c r="CF182" s="2612">
        <f>+CF179/CE179-1</f>
        <v>6.4207460823741513E-2</v>
      </c>
      <c r="CG182" s="2612">
        <f>+CG179/CF179-1</f>
        <v>0.14308053166536361</v>
      </c>
      <c r="CH182" s="1021"/>
      <c r="CI182" s="2612">
        <f>+CI179/CG179-1</f>
        <v>-2.8157774737802121E-2</v>
      </c>
      <c r="CJ182" s="2612">
        <f>+CJ179/CI179-1</f>
        <v>5.536656891495606E-2</v>
      </c>
      <c r="CK182" s="2612">
        <f>+CK179/CJ179-1</f>
        <v>2.2451928420584633E-2</v>
      </c>
      <c r="CL182" s="2612">
        <f>+CL179/CK179-1</f>
        <v>6.5115773453636283E-2</v>
      </c>
      <c r="CM182" s="1021"/>
      <c r="CN182" s="2612">
        <f>+CN179/CL179-1</f>
        <v>-2.6638089406001209E-2</v>
      </c>
      <c r="CO182" s="2612">
        <f>+CO179/CN179-1</f>
        <v>1.4889378211177418E-2</v>
      </c>
      <c r="CP182" s="2612">
        <f>+CP179/CO179-1</f>
        <v>2.5622481661328633E-2</v>
      </c>
      <c r="CQ182" s="2612">
        <f>+CQ179/CP179-1</f>
        <v>0.11171552332023782</v>
      </c>
      <c r="CR182" s="1021"/>
      <c r="CS182" s="2612">
        <f>+CS179/CQ179-1</f>
        <v>-1.4498006524102935E-2</v>
      </c>
      <c r="CT182" s="2612">
        <f>+CT179/CS179-1</f>
        <v>5.4155939683707244E-2</v>
      </c>
      <c r="CU182" s="2612">
        <f>+CU179/CT179-1</f>
        <v>2.9393807239424419E-2</v>
      </c>
      <c r="CV182" s="2612">
        <f>+CV179/CU179-1</f>
        <v>0.13099474665310962</v>
      </c>
      <c r="CW182" s="1021"/>
      <c r="CX182" s="2612">
        <f>+CX179/CV179-1</f>
        <v>-2.7494755768654455E-2</v>
      </c>
      <c r="CY182" s="2612">
        <f>+CY179/CX179-1</f>
        <v>5.4464216932439635E-2</v>
      </c>
      <c r="CZ182" s="2612">
        <f>+CZ179/CY179-1</f>
        <v>8.4307422559906531E-2</v>
      </c>
      <c r="DA182" s="2612">
        <f>+DA179/CZ179-1</f>
        <v>0.13832367605444018</v>
      </c>
      <c r="DB182" s="1021"/>
      <c r="DC182" s="2612">
        <f>+DC179/DA179-1</f>
        <v>2.0479431784551583E-2</v>
      </c>
      <c r="DD182" s="2612">
        <f>+DD179/DC179-1</f>
        <v>3.3988747752450532E-2</v>
      </c>
      <c r="DE182" s="2612">
        <f>+DE179/DD179-1</f>
        <v>1.7389353228249194E-2</v>
      </c>
      <c r="DF182" s="2612">
        <f>+DF179/DE179-1</f>
        <v>0.12934884490268517</v>
      </c>
      <c r="DG182" s="1021"/>
      <c r="DH182" s="2612">
        <f>+DH179/DF179-1</f>
        <v>-3.9691451447541826E-2</v>
      </c>
      <c r="DI182" s="2612">
        <f>+DI179/DH179-1</f>
        <v>6.6243009659379792E-2</v>
      </c>
      <c r="DJ182" s="2612">
        <f>+DJ179/DI179-1</f>
        <v>3.3185524245458398E-2</v>
      </c>
      <c r="DK182" s="2612">
        <f>+DK179/DJ179-1</f>
        <v>0.11897180303659605</v>
      </c>
      <c r="DL182" s="1460"/>
      <c r="DM182" s="5237">
        <f>+DM179/DK179-1</f>
        <v>-8.2773126572359468E-2</v>
      </c>
      <c r="DN182" s="5237">
        <f>+DN179/DM179-1</f>
        <v>-9.4109712230215803E-2</v>
      </c>
      <c r="DO182" s="5237">
        <f>+DO179/DN179-1</f>
        <v>0.22861964560480463</v>
      </c>
      <c r="DP182" s="5237">
        <f>+DP179/DO179-1</f>
        <v>0.2199329374217267</v>
      </c>
      <c r="DQ182" s="1460"/>
      <c r="DR182" s="5237">
        <f>+DR179/DP179-1</f>
        <v>6.4244792529060124E-3</v>
      </c>
      <c r="DS182" s="5237">
        <f>+DS179/DR179-1</f>
        <v>0.10818992464874477</v>
      </c>
      <c r="DT182" s="5237">
        <f>+DT179/DS179-1</f>
        <v>4.6111820422221506E-2</v>
      </c>
      <c r="DU182" s="5237">
        <f>+DU179/DT179-1</f>
        <v>0.14475476839237067</v>
      </c>
      <c r="DV182" s="1460"/>
      <c r="DW182" s="5237">
        <f>+DW179/DU179-1</f>
        <v>-0.10740850937221069</v>
      </c>
      <c r="DX182" s="5237">
        <f>+DX179/DW179-1</f>
        <v>1.61944444444444E-2</v>
      </c>
      <c r="DY182" s="5237">
        <f>+DY179/DX179-1</f>
        <v>-4.1029986605800484E-2</v>
      </c>
      <c r="DZ182" s="5237">
        <f>+DZ179/DY179-1</f>
        <v>9.449290234308183E-2</v>
      </c>
      <c r="EA182" s="1021"/>
      <c r="EB182" s="5237">
        <f>+EB179/DZ179-1</f>
        <v>-4.0576086673438039E-2</v>
      </c>
      <c r="EC182" s="5237">
        <f>+EC179/EB179-1</f>
        <v>7.2993295149162529E-2</v>
      </c>
      <c r="ED182" s="5237">
        <f>+ED179/EC179-1</f>
        <v>2.0542400323821042E-2</v>
      </c>
      <c r="EE182" s="5237">
        <f>+EE179/ED179-1</f>
        <v>9.4819038175508075E-2</v>
      </c>
      <c r="EF182" s="1021"/>
      <c r="EG182" s="5237">
        <f>+EG179/EE179-1</f>
        <v>-5.5134156005887003E-2</v>
      </c>
      <c r="EH182" s="5237">
        <f>+EH179/EG179-1</f>
        <v>4.1073568176371866E-2</v>
      </c>
      <c r="EI182" s="5237">
        <f>+EI179/EH179-1</f>
        <v>3.8394254672682093E-2</v>
      </c>
      <c r="EJ182" s="5237">
        <f>+EJ179/EI179-1</f>
        <v>8.7825855648164586E-2</v>
      </c>
      <c r="EK182" s="1021"/>
      <c r="EL182" s="5237">
        <f>+EL179/EJ179-1</f>
        <v>-6.2436320658597166E-2</v>
      </c>
      <c r="EM182" s="5237">
        <f>+EM179/EL179-1</f>
        <v>9.708758965442299E-2</v>
      </c>
      <c r="EN182" s="5237">
        <f>+EN179/EM179-1</f>
        <v>6.5732908057134942E-2</v>
      </c>
      <c r="EO182" s="2612">
        <f>+EO179/EN179-1</f>
        <v>8.6242036914976561E-2</v>
      </c>
      <c r="EP182" s="1021"/>
      <c r="EQ182" s="2612">
        <f>+EQ179/EO179-1</f>
        <v>-2.3270629366226481E-2</v>
      </c>
      <c r="ER182" s="2612">
        <f>+ER179/EQ179-1</f>
        <v>5.854206396166961E-2</v>
      </c>
      <c r="ES182" s="2612">
        <f>+ES179/ER179-1</f>
        <v>4.5495006513430747E-2</v>
      </c>
      <c r="ET182" s="2612">
        <f>+ET179/ES179-1</f>
        <v>8.9212234774507904E-2</v>
      </c>
      <c r="EU182" s="1021"/>
      <c r="EV182" s="2902"/>
      <c r="EW182" s="2902"/>
      <c r="EX182" s="2902"/>
      <c r="EY182" s="2902"/>
      <c r="EZ182" s="193"/>
      <c r="FA182" s="1382"/>
      <c r="FB182" s="1382"/>
    </row>
    <row r="183" spans="1:158" s="138" customFormat="1" ht="11.25" customHeight="1">
      <c r="A183" s="5361" t="s">
        <v>237</v>
      </c>
      <c r="B183" s="124"/>
      <c r="C183" s="124"/>
      <c r="D183" s="124"/>
      <c r="E183" s="124"/>
      <c r="F183" s="3574"/>
      <c r="G183" s="124"/>
      <c r="H183" s="124"/>
      <c r="I183" s="173"/>
      <c r="J183" s="173"/>
      <c r="K183" s="997"/>
      <c r="L183" s="124"/>
      <c r="M183" s="124"/>
      <c r="N183" s="124"/>
      <c r="O183" s="124"/>
      <c r="P183" s="995">
        <f>P179/P170</f>
        <v>0.17815240784023326</v>
      </c>
      <c r="Q183" s="124">
        <f>1-Q178</f>
        <v>0.16474</v>
      </c>
      <c r="R183" s="124">
        <f>1-R178</f>
        <v>0.19299999999999995</v>
      </c>
      <c r="S183" s="124">
        <f>1-S178</f>
        <v>0.23199999999999998</v>
      </c>
      <c r="T183" s="124">
        <f>1-T178</f>
        <v>0.24199999999999999</v>
      </c>
      <c r="U183" s="995">
        <f>U179/U170</f>
        <v>0.22283644871083119</v>
      </c>
      <c r="V183" s="124">
        <f>1-V178</f>
        <v>0.27200000000000002</v>
      </c>
      <c r="W183" s="124">
        <f>1-W178</f>
        <v>0.28169999999999995</v>
      </c>
      <c r="X183" s="124">
        <f>X179/X170</f>
        <v>0.29776464555696019</v>
      </c>
      <c r="Y183" s="124">
        <f>1-Y178</f>
        <v>0.30249999999999999</v>
      </c>
      <c r="Z183" s="995">
        <f t="shared" ref="Z183:AF183" si="742">Z179/Z170</f>
        <v>0.29163918143654488</v>
      </c>
      <c r="AA183" s="124">
        <f t="shared" si="742"/>
        <v>0.31492135790173154</v>
      </c>
      <c r="AB183" s="124">
        <f t="shared" si="742"/>
        <v>0.31091155250124247</v>
      </c>
      <c r="AC183" s="124">
        <f t="shared" si="742"/>
        <v>0.3491295926103784</v>
      </c>
      <c r="AD183" s="124">
        <f t="shared" si="742"/>
        <v>0.35473222543436667</v>
      </c>
      <c r="AE183" s="995">
        <f t="shared" si="742"/>
        <v>0.3355612525178539</v>
      </c>
      <c r="AF183" s="124">
        <f t="shared" si="742"/>
        <v>0.38575241154946083</v>
      </c>
      <c r="AG183" s="124">
        <f>1-AG178</f>
        <v>0.39092737785257436</v>
      </c>
      <c r="AH183" s="124">
        <f>1-AH178</f>
        <v>0.39365683934173645</v>
      </c>
      <c r="AI183" s="124">
        <f>1-AI178</f>
        <v>0.38266149686336204</v>
      </c>
      <c r="AJ183" s="995">
        <f>AJ179/AJ170</f>
        <v>0.38798579432263575</v>
      </c>
      <c r="AK183" s="124">
        <f>1-AK178</f>
        <v>0.41541072565562798</v>
      </c>
      <c r="AL183" s="124">
        <f>1-AL178</f>
        <v>0.42140423153016426</v>
      </c>
      <c r="AM183" s="124">
        <f>1-AM178</f>
        <v>0.43978134144931369</v>
      </c>
      <c r="AN183" s="124">
        <f>1-AN178</f>
        <v>0.4432103841587175</v>
      </c>
      <c r="AO183" s="995">
        <f>AO179/AO170</f>
        <v>0.43138263128320564</v>
      </c>
      <c r="AP183" s="124">
        <f>1-AP178</f>
        <v>0.46550286560674192</v>
      </c>
      <c r="AQ183" s="124">
        <f>1-AQ178</f>
        <v>0.47625261978029365</v>
      </c>
      <c r="AR183" s="124">
        <f>1-AR178</f>
        <v>0.4786986473114615</v>
      </c>
      <c r="AS183" s="124">
        <f>1-AS178</f>
        <v>0.48082563601184181</v>
      </c>
      <c r="AT183" s="995">
        <f>AT179/AT170</f>
        <v>0.47583293128004323</v>
      </c>
      <c r="AU183" s="124">
        <f t="shared" ref="AU183:AZ183" si="743">1-AU178</f>
        <v>0.51109661065286183</v>
      </c>
      <c r="AV183" s="127">
        <f t="shared" si="743"/>
        <v>0.52172114684495408</v>
      </c>
      <c r="AW183" s="124">
        <f t="shared" si="743"/>
        <v>0.5136578523334665</v>
      </c>
      <c r="AX183" s="124">
        <f t="shared" si="743"/>
        <v>0.50217667233126551</v>
      </c>
      <c r="AY183" s="995">
        <f t="shared" si="743"/>
        <v>0.51203098797690361</v>
      </c>
      <c r="AZ183" s="124">
        <f t="shared" si="743"/>
        <v>0.52313218938498707</v>
      </c>
      <c r="BA183" s="124">
        <f>BA179/BA170</f>
        <v>0.52757963800519903</v>
      </c>
      <c r="BB183" s="124">
        <f>BB179/BB170</f>
        <v>0.52863158386980602</v>
      </c>
      <c r="BC183" s="124">
        <f t="shared" ref="BC183:CQ183" si="744">1-BC178</f>
        <v>0.52800000000000002</v>
      </c>
      <c r="BD183" s="995">
        <f t="shared" si="744"/>
        <v>0.52671075948593704</v>
      </c>
      <c r="BE183" s="124">
        <f t="shared" si="744"/>
        <v>0.52826568265682661</v>
      </c>
      <c r="BF183" s="124">
        <f t="shared" si="744"/>
        <v>0.51788856304985331</v>
      </c>
      <c r="BG183" s="124">
        <f t="shared" si="744"/>
        <v>0.5172934394729618</v>
      </c>
      <c r="BH183" s="124">
        <f t="shared" si="744"/>
        <v>0.51954976303317535</v>
      </c>
      <c r="BI183" s="995">
        <f t="shared" si="744"/>
        <v>0.52061662289826405</v>
      </c>
      <c r="BJ183" s="124">
        <f t="shared" si="744"/>
        <v>0.53294460641399422</v>
      </c>
      <c r="BK183" s="124">
        <f t="shared" si="744"/>
        <v>0.53966319521382666</v>
      </c>
      <c r="BL183" s="124">
        <f t="shared" si="744"/>
        <v>0.54526748971193417</v>
      </c>
      <c r="BM183" s="124">
        <f t="shared" si="744"/>
        <v>0.52947845804988658</v>
      </c>
      <c r="BN183" s="995">
        <f t="shared" si="744"/>
        <v>0.53673657828782484</v>
      </c>
      <c r="BO183" s="127"/>
      <c r="BP183" s="127"/>
      <c r="BQ183" s="127"/>
      <c r="BR183" s="127"/>
      <c r="BS183" s="995"/>
      <c r="BT183" s="124">
        <f t="shared" si="744"/>
        <v>0.54213245655237197</v>
      </c>
      <c r="BU183" s="124">
        <f t="shared" si="744"/>
        <v>0.54350601970083912</v>
      </c>
      <c r="BV183" s="124">
        <f t="shared" si="744"/>
        <v>0.53010584764879409</v>
      </c>
      <c r="BW183" s="124">
        <f t="shared" si="744"/>
        <v>0.53568384347152265</v>
      </c>
      <c r="BX183" s="995">
        <f t="shared" si="744"/>
        <v>0.53764118158123364</v>
      </c>
      <c r="BY183" s="127"/>
      <c r="BZ183" s="127"/>
      <c r="CA183" s="127"/>
      <c r="CB183" s="127"/>
      <c r="CC183" s="995"/>
      <c r="CD183" s="124">
        <f t="shared" si="744"/>
        <v>0.5493784263763416</v>
      </c>
      <c r="CE183" s="124">
        <f t="shared" si="744"/>
        <v>0.55016403448538953</v>
      </c>
      <c r="CF183" s="124">
        <f t="shared" si="744"/>
        <v>0.55794677911880175</v>
      </c>
      <c r="CG183" s="124">
        <f t="shared" si="744"/>
        <v>0.55847711211561724</v>
      </c>
      <c r="CH183" s="995">
        <f t="shared" si="744"/>
        <v>0.53913074803220518</v>
      </c>
      <c r="CI183" s="124">
        <f t="shared" si="744"/>
        <v>0.55285343709468227</v>
      </c>
      <c r="CJ183" s="124">
        <f t="shared" si="744"/>
        <v>0.56389846443121283</v>
      </c>
      <c r="CK183" s="124">
        <f t="shared" si="744"/>
        <v>0.55673909096411056</v>
      </c>
      <c r="CL183" s="124">
        <f t="shared" si="744"/>
        <v>0.54123625918356066</v>
      </c>
      <c r="CM183" s="995">
        <f t="shared" si="744"/>
        <v>0.55330979833638883</v>
      </c>
      <c r="CN183" s="124">
        <f t="shared" si="744"/>
        <v>0.55261328079731142</v>
      </c>
      <c r="CO183" s="124">
        <f t="shared" si="744"/>
        <v>0.54600327184520792</v>
      </c>
      <c r="CP183" s="124">
        <f t="shared" si="744"/>
        <v>0.53156626506024096</v>
      </c>
      <c r="CQ183" s="124">
        <f t="shared" si="744"/>
        <v>0.51741760045009144</v>
      </c>
      <c r="CR183" s="995">
        <f t="shared" ref="CR183:DQ183" si="745">CR179/CR170</f>
        <v>0.53579858379228951</v>
      </c>
      <c r="CS183" s="124">
        <f t="shared" si="745"/>
        <v>0.5369008244063781</v>
      </c>
      <c r="CT183" s="124">
        <f t="shared" si="745"/>
        <v>0.53325581395348842</v>
      </c>
      <c r="CU183" s="124">
        <f t="shared" si="745"/>
        <v>0.52567814351253839</v>
      </c>
      <c r="CV183" s="127">
        <f t="shared" si="745"/>
        <v>0.51212400245549416</v>
      </c>
      <c r="CW183" s="995">
        <f t="shared" si="745"/>
        <v>0.52608782346685568</v>
      </c>
      <c r="CX183" s="124">
        <f t="shared" si="745"/>
        <v>0.52448484848484844</v>
      </c>
      <c r="CY183" s="127">
        <f t="shared" si="745"/>
        <v>0.52625913110342171</v>
      </c>
      <c r="CZ183" s="127">
        <f t="shared" si="745"/>
        <v>0.53442316001728363</v>
      </c>
      <c r="DA183" s="127">
        <f t="shared" si="745"/>
        <v>0.52269281935463907</v>
      </c>
      <c r="DB183" s="995">
        <f t="shared" si="745"/>
        <v>0.52686843173514952</v>
      </c>
      <c r="DC183" s="124">
        <f t="shared" si="745"/>
        <v>0.55355422847235602</v>
      </c>
      <c r="DD183" s="127">
        <f t="shared" si="745"/>
        <v>0.54588602749793302</v>
      </c>
      <c r="DE183" s="127">
        <f t="shared" si="745"/>
        <v>0.53755186721991699</v>
      </c>
      <c r="DF183" s="127">
        <f t="shared" si="745"/>
        <v>0.52151441083613403</v>
      </c>
      <c r="DG183" s="995">
        <f t="shared" si="745"/>
        <v>0.53858016795912844</v>
      </c>
      <c r="DH183" s="124">
        <f t="shared" si="745"/>
        <v>0.54129172514378487</v>
      </c>
      <c r="DI183" s="127">
        <f t="shared" si="745"/>
        <v>0.53854252259654889</v>
      </c>
      <c r="DJ183" s="127">
        <f t="shared" si="745"/>
        <v>0.53505024815427538</v>
      </c>
      <c r="DK183" s="127">
        <f t="shared" si="745"/>
        <v>0.52625067824199678</v>
      </c>
      <c r="DL183" s="5251">
        <f t="shared" si="745"/>
        <v>0.53478687977659289</v>
      </c>
      <c r="DM183" s="5252">
        <f t="shared" si="745"/>
        <v>0.54034354576155885</v>
      </c>
      <c r="DN183" s="5190">
        <f t="shared" si="745"/>
        <v>0.52607253831892842</v>
      </c>
      <c r="DO183" s="5190">
        <f>DO179/DO170</f>
        <v>0.53609252160353449</v>
      </c>
      <c r="DP183" s="5190">
        <f>DP179/DP170</f>
        <v>0.53072164223698548</v>
      </c>
      <c r="DQ183" s="5251">
        <f t="shared" si="745"/>
        <v>0.53327452924772778</v>
      </c>
      <c r="DR183" s="5252">
        <f t="shared" ref="DR183:DW183" si="746">DR179/DR170</f>
        <v>0.54942690819683981</v>
      </c>
      <c r="DS183" s="5190">
        <f t="shared" si="746"/>
        <v>0.5442630898513251</v>
      </c>
      <c r="DT183" s="5190">
        <f t="shared" si="746"/>
        <v>0.5410485580023956</v>
      </c>
      <c r="DU183" s="5190">
        <f t="shared" si="746"/>
        <v>0.53543976103551283</v>
      </c>
      <c r="DV183" s="5251">
        <f t="shared" si="746"/>
        <v>0.54197960696639069</v>
      </c>
      <c r="DW183" s="5252">
        <f t="shared" si="746"/>
        <v>0.52932613841878517</v>
      </c>
      <c r="DX183" s="5190">
        <f t="shared" ref="DX183:EF183" si="747">DX179/DX170</f>
        <v>0.5249766807777857</v>
      </c>
      <c r="DY183" s="5190">
        <f t="shared" si="747"/>
        <v>0.5077577722457014</v>
      </c>
      <c r="DZ183" s="5190">
        <f t="shared" si="747"/>
        <v>0.50490479697033452</v>
      </c>
      <c r="EA183" s="995">
        <f t="shared" si="747"/>
        <v>0.51641940912755091</v>
      </c>
      <c r="EB183" s="5252">
        <f t="shared" si="747"/>
        <v>0.52787768495565079</v>
      </c>
      <c r="EC183" s="5190">
        <f>EC179/EC170</f>
        <v>0.52983754222293711</v>
      </c>
      <c r="ED183" s="5190">
        <f>ED179/ED170</f>
        <v>0.52599324579818241</v>
      </c>
      <c r="EE183" s="5190">
        <f t="shared" ref="EE183" si="748">EE179/EE170</f>
        <v>0.51170200440273428</v>
      </c>
      <c r="EF183" s="995">
        <f t="shared" si="747"/>
        <v>0.52334137946739367</v>
      </c>
      <c r="EG183" s="5252">
        <f t="shared" ref="EG183" si="749">EG179/EG170</f>
        <v>0.51813407169197534</v>
      </c>
      <c r="EH183" s="5190">
        <f>EH179/EH170</f>
        <v>0.51266196219112126</v>
      </c>
      <c r="EI183" s="5190">
        <f>EI179/EI170</f>
        <v>0.51107989305297508</v>
      </c>
      <c r="EJ183" s="5190">
        <f t="shared" ref="EJ183" si="750">EJ179/EJ170</f>
        <v>0.50870227741554286</v>
      </c>
      <c r="EK183" s="995">
        <f>EK179/EK170</f>
        <v>0.51243078927369445</v>
      </c>
      <c r="EL183" s="5252">
        <f t="shared" ref="EL183" si="751">EL179/EL170</f>
        <v>0.50989649134472592</v>
      </c>
      <c r="EM183" s="5190">
        <f>EM179/EM170</f>
        <v>0.5234682872194798</v>
      </c>
      <c r="EN183" s="5190">
        <f>EN179/EN170</f>
        <v>0.52561897875832964</v>
      </c>
      <c r="EO183" s="127">
        <f t="shared" ref="EO183" si="752">EO179/EO170</f>
        <v>0.52059063433923514</v>
      </c>
      <c r="EP183" s="995">
        <f>EP179/EP170</f>
        <v>0.52015984011637661</v>
      </c>
      <c r="EQ183" s="127">
        <f t="shared" ref="EQ183:ET183" si="753">EQ179/EQ170</f>
        <v>0.53679611606280164</v>
      </c>
      <c r="ER183" s="127">
        <f t="shared" si="753"/>
        <v>0.53648892693133132</v>
      </c>
      <c r="ES183" s="127">
        <f t="shared" si="753"/>
        <v>0.53129185711757076</v>
      </c>
      <c r="ET183" s="127">
        <f t="shared" si="753"/>
        <v>0.52729925200710104</v>
      </c>
      <c r="EU183" s="995">
        <f>EU179/EU170</f>
        <v>0.53267891434430215</v>
      </c>
      <c r="EV183" s="995">
        <f>EV179/EV170</f>
        <v>0.53652089352637322</v>
      </c>
      <c r="EW183" s="995">
        <f>EW179/EW170</f>
        <v>0.53843326235084188</v>
      </c>
      <c r="EX183" s="995">
        <f>EX179/EX170</f>
        <v>0.54085642322740934</v>
      </c>
      <c r="EY183" s="995">
        <f>EY179/EY170</f>
        <v>0.54223009100610409</v>
      </c>
      <c r="EZ183" s="127"/>
      <c r="FA183" s="1382"/>
      <c r="FB183" s="1382"/>
    </row>
    <row r="184" spans="1:158" s="168" customFormat="1" ht="11.25" customHeight="1">
      <c r="A184" s="5667" t="s">
        <v>869</v>
      </c>
      <c r="B184" s="2261"/>
      <c r="C184" s="2261"/>
      <c r="D184" s="2261"/>
      <c r="E184" s="2261"/>
      <c r="F184" s="5598"/>
      <c r="G184" s="2261"/>
      <c r="H184" s="2261"/>
      <c r="I184" s="2261"/>
      <c r="J184" s="2261"/>
      <c r="K184" s="2262"/>
      <c r="L184" s="2261"/>
      <c r="M184" s="2261"/>
      <c r="N184" s="2261"/>
      <c r="O184" s="2261"/>
      <c r="P184" s="2263"/>
      <c r="Q184" s="2261"/>
      <c r="R184" s="2261"/>
      <c r="S184" s="2261"/>
      <c r="T184" s="2261"/>
      <c r="U184" s="2263"/>
      <c r="V184" s="2261"/>
      <c r="W184" s="2261"/>
      <c r="X184" s="2261"/>
      <c r="Y184" s="2261"/>
      <c r="Z184" s="2263"/>
      <c r="AA184" s="2261"/>
      <c r="AB184" s="2261"/>
      <c r="AC184" s="2261"/>
      <c r="AD184" s="2261"/>
      <c r="AE184" s="2263"/>
      <c r="AF184" s="2261"/>
      <c r="AG184" s="2261"/>
      <c r="AH184" s="2261"/>
      <c r="AI184" s="2261"/>
      <c r="AJ184" s="2263"/>
      <c r="AK184" s="2261"/>
      <c r="AL184" s="2261"/>
      <c r="AM184" s="2261"/>
      <c r="AN184" s="2261"/>
      <c r="AO184" s="2263"/>
      <c r="AP184" s="2264"/>
      <c r="AQ184" s="2264"/>
      <c r="AR184" s="2264"/>
      <c r="AS184" s="2261"/>
      <c r="AT184" s="2263"/>
      <c r="AU184" s="2264"/>
      <c r="AV184" s="2264"/>
      <c r="AW184" s="2265"/>
      <c r="AX184" s="2261"/>
      <c r="AY184" s="2263"/>
      <c r="AZ184" s="2261"/>
      <c r="BA184" s="2261"/>
      <c r="BB184" s="2261"/>
      <c r="BC184" s="2261"/>
      <c r="BD184" s="2263"/>
      <c r="BE184" s="2261"/>
      <c r="BF184" s="2261"/>
      <c r="BG184" s="2261"/>
      <c r="BH184" s="2261"/>
      <c r="BI184" s="2263"/>
      <c r="BJ184" s="2261"/>
      <c r="BK184" s="2261"/>
      <c r="BL184" s="2261"/>
      <c r="BM184" s="2261"/>
      <c r="BN184" s="2263"/>
      <c r="BO184" s="623"/>
      <c r="BP184" s="623"/>
      <c r="BQ184" s="623"/>
      <c r="BR184" s="623"/>
      <c r="BS184" s="2263"/>
      <c r="BT184" s="2261"/>
      <c r="BU184" s="2261"/>
      <c r="BV184" s="2261"/>
      <c r="BW184" s="2261"/>
      <c r="BX184" s="2263"/>
      <c r="BY184" s="623"/>
      <c r="BZ184" s="623"/>
      <c r="CA184" s="623"/>
      <c r="CB184" s="623"/>
      <c r="CC184" s="2263"/>
      <c r="CD184" s="2261"/>
      <c r="CE184" s="2261"/>
      <c r="CF184" s="2261"/>
      <c r="CG184" s="2261"/>
      <c r="CH184" s="2263"/>
      <c r="CI184" s="2261"/>
      <c r="CJ184" s="2261"/>
      <c r="CK184" s="2261"/>
      <c r="CL184" s="2261"/>
      <c r="CM184" s="2263">
        <f t="shared" ref="CM184:DP184" si="754">CM68</f>
        <v>0</v>
      </c>
      <c r="CN184" s="2261">
        <f t="shared" si="754"/>
        <v>0</v>
      </c>
      <c r="CO184" s="2261">
        <f t="shared" si="754"/>
        <v>0</v>
      </c>
      <c r="CP184" s="2261">
        <f t="shared" si="754"/>
        <v>0</v>
      </c>
      <c r="CQ184" s="2261">
        <f t="shared" si="754"/>
        <v>0</v>
      </c>
      <c r="CR184" s="2263">
        <f t="shared" si="754"/>
        <v>1400</v>
      </c>
      <c r="CS184" s="2261">
        <f t="shared" si="754"/>
        <v>169</v>
      </c>
      <c r="CT184" s="2261">
        <f t="shared" si="754"/>
        <v>78</v>
      </c>
      <c r="CU184" s="2261">
        <f t="shared" si="754"/>
        <v>105</v>
      </c>
      <c r="CV184" s="2261">
        <f t="shared" si="754"/>
        <v>187</v>
      </c>
      <c r="CW184" s="2263">
        <f t="shared" si="754"/>
        <v>539</v>
      </c>
      <c r="CX184" s="2261">
        <f t="shared" si="754"/>
        <v>217</v>
      </c>
      <c r="CY184" s="2261">
        <f t="shared" si="754"/>
        <v>3</v>
      </c>
      <c r="CZ184" s="2261">
        <f t="shared" si="754"/>
        <v>-191</v>
      </c>
      <c r="DA184" s="2261">
        <f t="shared" si="754"/>
        <v>-198</v>
      </c>
      <c r="DB184" s="2263">
        <f t="shared" si="754"/>
        <v>-169</v>
      </c>
      <c r="DC184" s="2261">
        <f t="shared" si="754"/>
        <v>-239</v>
      </c>
      <c r="DD184" s="2261">
        <f t="shared" si="754"/>
        <v>-103</v>
      </c>
      <c r="DE184" s="2261">
        <f t="shared" si="754"/>
        <v>80</v>
      </c>
      <c r="DF184" s="2261">
        <f t="shared" si="754"/>
        <v>124</v>
      </c>
      <c r="DG184" s="2263">
        <f t="shared" si="754"/>
        <v>-138</v>
      </c>
      <c r="DH184" s="2261">
        <f t="shared" si="754"/>
        <v>137</v>
      </c>
      <c r="DI184" s="2261">
        <f t="shared" si="754"/>
        <v>108</v>
      </c>
      <c r="DJ184" s="2261">
        <f t="shared" si="754"/>
        <v>119</v>
      </c>
      <c r="DK184" s="2261">
        <f t="shared" si="754"/>
        <v>91</v>
      </c>
      <c r="DL184" s="2263">
        <f t="shared" si="754"/>
        <v>455</v>
      </c>
      <c r="DM184" s="2261">
        <f t="shared" si="754"/>
        <v>49</v>
      </c>
      <c r="DN184" s="2261">
        <f t="shared" si="754"/>
        <v>151</v>
      </c>
      <c r="DO184" s="2261">
        <f t="shared" si="754"/>
        <v>-22</v>
      </c>
      <c r="DP184" s="2261">
        <f t="shared" si="754"/>
        <v>-2</v>
      </c>
      <c r="DQ184" s="2263">
        <f>DQ214</f>
        <v>176</v>
      </c>
      <c r="DR184" s="2261">
        <f>DR68</f>
        <v>-109</v>
      </c>
      <c r="DS184" s="2261">
        <f>DS68</f>
        <v>-7</v>
      </c>
      <c r="DT184" s="2261">
        <f>DT68</f>
        <v>62</v>
      </c>
      <c r="DU184" s="2261">
        <f>DU68</f>
        <v>203</v>
      </c>
      <c r="DV184" s="2263">
        <f>DV214</f>
        <v>149</v>
      </c>
      <c r="DW184" s="2261">
        <f>DW68</f>
        <v>278</v>
      </c>
      <c r="DX184" s="2261">
        <f>DX68</f>
        <v>375</v>
      </c>
      <c r="DY184" s="2261">
        <f>DY68</f>
        <v>638</v>
      </c>
      <c r="DZ184" s="2261">
        <f>DZ68</f>
        <v>669</v>
      </c>
      <c r="EA184" s="2263">
        <f>EA214</f>
        <v>1960</v>
      </c>
      <c r="EB184" s="2261">
        <f>EB68</f>
        <v>84</v>
      </c>
      <c r="EC184" s="2261">
        <f>EC68</f>
        <v>3</v>
      </c>
      <c r="ED184" s="2261">
        <f>ED68</f>
        <v>-1</v>
      </c>
      <c r="EE184" s="2261">
        <f>EE68</f>
        <v>150</v>
      </c>
      <c r="EF184" s="2263">
        <f t="shared" ref="EF184:EW184" si="755">EF214</f>
        <v>236</v>
      </c>
      <c r="EG184" s="2261">
        <f>EG68</f>
        <v>72</v>
      </c>
      <c r="EH184" s="2261">
        <f>EH68</f>
        <v>102</v>
      </c>
      <c r="EI184" s="2261">
        <f>EI68</f>
        <v>17</v>
      </c>
      <c r="EJ184" s="2261">
        <f>EJ68</f>
        <v>20</v>
      </c>
      <c r="EK184" s="2263">
        <f t="shared" si="755"/>
        <v>211</v>
      </c>
      <c r="EL184" s="2261">
        <f>EL68</f>
        <v>260</v>
      </c>
      <c r="EM184" s="2261">
        <f>EM68</f>
        <v>-112</v>
      </c>
      <c r="EN184" s="2261">
        <f>EN68</f>
        <v>-207</v>
      </c>
      <c r="EO184" s="2517">
        <f t="shared" ref="EO184:EP184" si="756">EO214</f>
        <v>-195.55607516823349</v>
      </c>
      <c r="EP184" s="2263">
        <f t="shared" si="756"/>
        <v>-254.55607516823349</v>
      </c>
      <c r="EQ184" s="2517">
        <f t="shared" ref="EQ184:EU184" si="757">EQ214</f>
        <v>-649.21286703271676</v>
      </c>
      <c r="ER184" s="2517">
        <f t="shared" si="757"/>
        <v>-130.00387208809934</v>
      </c>
      <c r="ES184" s="2517">
        <f t="shared" si="757"/>
        <v>139.86763587836194</v>
      </c>
      <c r="ET184" s="2517">
        <f t="shared" si="757"/>
        <v>53.200193109215618</v>
      </c>
      <c r="EU184" s="2263">
        <f t="shared" si="757"/>
        <v>-586.14891013323847</v>
      </c>
      <c r="EV184" s="2518">
        <f t="shared" si="755"/>
        <v>0</v>
      </c>
      <c r="EW184" s="2518">
        <f t="shared" si="755"/>
        <v>0</v>
      </c>
      <c r="EX184" s="2518">
        <f t="shared" ref="EX184:EY184" si="758">EX214</f>
        <v>0</v>
      </c>
      <c r="EY184" s="2518">
        <f t="shared" si="758"/>
        <v>0</v>
      </c>
      <c r="EZ184" s="59"/>
      <c r="FA184" s="4276"/>
      <c r="FB184" s="4276"/>
    </row>
    <row r="185" spans="1:158" s="214" customFormat="1" ht="11.25" customHeight="1">
      <c r="A185" s="5648" t="s">
        <v>1114</v>
      </c>
      <c r="B185" s="5107"/>
      <c r="C185" s="5107"/>
      <c r="D185" s="5107"/>
      <c r="E185" s="5107"/>
      <c r="F185" s="5595"/>
      <c r="G185" s="5107"/>
      <c r="H185" s="5107"/>
      <c r="I185" s="5107"/>
      <c r="J185" s="5107"/>
      <c r="K185" s="5206"/>
      <c r="L185" s="5108"/>
      <c r="M185" s="5108"/>
      <c r="N185" s="5108"/>
      <c r="O185" s="5108"/>
      <c r="P185" s="5206"/>
      <c r="Q185" s="5108"/>
      <c r="R185" s="5108"/>
      <c r="S185" s="5108"/>
      <c r="T185" s="5108"/>
      <c r="U185" s="5206"/>
      <c r="V185" s="5108"/>
      <c r="W185" s="5108"/>
      <c r="X185" s="5108"/>
      <c r="Y185" s="5108"/>
      <c r="Z185" s="5206"/>
      <c r="AA185" s="5108"/>
      <c r="AB185" s="5108"/>
      <c r="AC185" s="5108"/>
      <c r="AD185" s="5108"/>
      <c r="AE185" s="5206"/>
      <c r="AF185" s="5108"/>
      <c r="AG185" s="5108"/>
      <c r="AH185" s="5108"/>
      <c r="AI185" s="5108"/>
      <c r="AJ185" s="5206"/>
      <c r="AK185" s="5108"/>
      <c r="AL185" s="5108"/>
      <c r="AM185" s="5108"/>
      <c r="AN185" s="5108"/>
      <c r="AO185" s="5206"/>
      <c r="AP185" s="5108"/>
      <c r="AQ185" s="5108"/>
      <c r="AR185" s="5108"/>
      <c r="AS185" s="5108"/>
      <c r="AT185" s="5206"/>
      <c r="AU185" s="5108"/>
      <c r="AV185" s="5108"/>
      <c r="AW185" s="5108"/>
      <c r="AX185" s="5108"/>
      <c r="AY185" s="5206"/>
      <c r="AZ185" s="5108"/>
      <c r="BA185" s="5108"/>
      <c r="BB185" s="5104"/>
      <c r="BC185" s="5108"/>
      <c r="BD185" s="5206"/>
      <c r="BE185" s="5108"/>
      <c r="BF185" s="5108"/>
      <c r="BG185" s="5104"/>
      <c r="BH185" s="5108"/>
      <c r="BI185" s="5206"/>
      <c r="BJ185" s="5108"/>
      <c r="BK185" s="5104"/>
      <c r="BL185" s="5104"/>
      <c r="BM185" s="5108"/>
      <c r="BN185" s="5206"/>
      <c r="BO185" s="5108"/>
      <c r="BP185" s="5108"/>
      <c r="BQ185" s="5108"/>
      <c r="BR185" s="5108"/>
      <c r="BS185" s="5206"/>
      <c r="BT185" s="5108"/>
      <c r="BU185" s="5108"/>
      <c r="BV185" s="5108"/>
      <c r="BW185" s="5108"/>
      <c r="BX185" s="5206"/>
      <c r="BY185" s="5108"/>
      <c r="BZ185" s="5108"/>
      <c r="CA185" s="5108"/>
      <c r="CB185" s="5108"/>
      <c r="CC185" s="5206"/>
      <c r="CD185" s="5108"/>
      <c r="CE185" s="5108"/>
      <c r="CF185" s="5108"/>
      <c r="CG185" s="5108"/>
      <c r="CH185" s="5206"/>
      <c r="CI185" s="5108"/>
      <c r="CJ185" s="5108"/>
      <c r="CK185" s="5108"/>
      <c r="CL185" s="5108"/>
      <c r="CM185" s="5206"/>
      <c r="CN185" s="5108"/>
      <c r="CO185" s="5108"/>
      <c r="CP185" s="5108"/>
      <c r="CQ185" s="5108"/>
      <c r="CR185" s="5206"/>
      <c r="CS185" s="5108"/>
      <c r="CT185" s="5108"/>
      <c r="CU185" s="5108"/>
      <c r="CV185" s="5108"/>
      <c r="CW185" s="5206"/>
      <c r="CX185" s="5108"/>
      <c r="CY185" s="5108"/>
      <c r="CZ185" s="5108"/>
      <c r="DA185" s="5108"/>
      <c r="DB185" s="5206"/>
      <c r="DC185" s="5108"/>
      <c r="DD185" s="5108"/>
      <c r="DE185" s="5108"/>
      <c r="DF185" s="5108"/>
      <c r="DG185" s="5206"/>
      <c r="DH185" s="5108"/>
      <c r="DI185" s="5108"/>
      <c r="DJ185" s="5108"/>
      <c r="DK185" s="5108"/>
      <c r="DL185" s="5206"/>
      <c r="DM185" s="5104"/>
      <c r="DN185" s="5104"/>
      <c r="DO185" s="5104"/>
      <c r="DP185" s="5104"/>
      <c r="DQ185" s="5206"/>
      <c r="DR185" s="5104"/>
      <c r="DS185" s="5104"/>
      <c r="DT185" s="5104"/>
      <c r="DU185" s="5104"/>
      <c r="DV185" s="5206"/>
      <c r="DW185" s="5104"/>
      <c r="DX185" s="5104"/>
      <c r="DY185" s="5104"/>
      <c r="DZ185" s="5104"/>
      <c r="EA185" s="5206"/>
      <c r="EB185" s="5104"/>
      <c r="EC185" s="5104"/>
      <c r="ED185" s="5104"/>
      <c r="EE185" s="5104"/>
      <c r="EF185" s="5206"/>
      <c r="EG185" s="5104"/>
      <c r="EH185" s="5104"/>
      <c r="EI185" s="5104"/>
      <c r="EJ185" s="5104"/>
      <c r="EK185" s="5206"/>
      <c r="EL185" s="5104"/>
      <c r="EM185" s="5104"/>
      <c r="EN185" s="5104"/>
      <c r="EO185" s="5104"/>
      <c r="EP185" s="5206"/>
      <c r="EQ185" s="5104"/>
      <c r="ER185" s="5104"/>
      <c r="ES185" s="5104"/>
      <c r="ET185" s="5104"/>
      <c r="EU185" s="5206"/>
      <c r="EV185" s="5206"/>
      <c r="EW185" s="5206"/>
      <c r="EX185" s="5206"/>
      <c r="EY185" s="5206"/>
      <c r="EZ185" s="51"/>
      <c r="FA185" s="725"/>
      <c r="FB185" s="725"/>
    </row>
    <row r="186" spans="1:158" s="220" customFormat="1" ht="11.25" customHeight="1">
      <c r="A186" s="5668" t="s">
        <v>557</v>
      </c>
      <c r="B186" s="2237"/>
      <c r="C186" s="2237"/>
      <c r="D186" s="2237"/>
      <c r="E186" s="2237"/>
      <c r="F186" s="5599"/>
      <c r="G186" s="2237"/>
      <c r="H186" s="2237"/>
      <c r="I186" s="2266"/>
      <c r="J186" s="2266"/>
      <c r="K186" s="2274"/>
      <c r="L186" s="2237"/>
      <c r="M186" s="2237"/>
      <c r="N186" s="2237"/>
      <c r="O186" s="2237"/>
      <c r="P186" s="2274"/>
      <c r="Q186" s="2237"/>
      <c r="R186" s="2237"/>
      <c r="S186" s="2237"/>
      <c r="T186" s="2237"/>
      <c r="U186" s="2274"/>
      <c r="V186" s="2237"/>
      <c r="W186" s="2237"/>
      <c r="X186" s="2237"/>
      <c r="Y186" s="2237"/>
      <c r="Z186" s="2274"/>
      <c r="AA186" s="2237"/>
      <c r="AB186" s="2237"/>
      <c r="AC186" s="2267"/>
      <c r="AD186" s="2267"/>
      <c r="AE186" s="2274"/>
      <c r="AF186" s="2237"/>
      <c r="AG186" s="2235"/>
      <c r="AH186" s="2235"/>
      <c r="AI186" s="2235"/>
      <c r="AJ186" s="2274"/>
      <c r="AK186" s="2235"/>
      <c r="AL186" s="2235"/>
      <c r="AM186" s="2235"/>
      <c r="AN186" s="2235"/>
      <c r="AO186" s="2274"/>
      <c r="AP186" s="2268"/>
      <c r="AQ186" s="2268"/>
      <c r="AR186" s="2268"/>
      <c r="AS186" s="2237"/>
      <c r="AT186" s="2274"/>
      <c r="AU186" s="2269"/>
      <c r="AV186" s="2269"/>
      <c r="AW186" s="2269"/>
      <c r="AX186" s="2237"/>
      <c r="AY186" s="2274"/>
      <c r="AZ186" s="2269"/>
      <c r="BA186" s="2269"/>
      <c r="BB186" s="2269"/>
      <c r="BC186" s="2237"/>
      <c r="BD186" s="2274"/>
      <c r="BE186" s="2270"/>
      <c r="BF186" s="2270"/>
      <c r="BG186" s="2270"/>
      <c r="BH186" s="2270"/>
      <c r="BI186" s="2274"/>
      <c r="BJ186" s="2270"/>
      <c r="BK186" s="2270"/>
      <c r="BL186" s="2270"/>
      <c r="BM186" s="2270"/>
      <c r="BN186" s="2274"/>
      <c r="BO186" s="2237"/>
      <c r="BP186" s="2237"/>
      <c r="BQ186" s="2237"/>
      <c r="BR186" s="2237"/>
      <c r="BS186" s="2274"/>
      <c r="BT186" s="2270"/>
      <c r="BU186" s="2270"/>
      <c r="BV186" s="2270"/>
      <c r="BW186" s="2270"/>
      <c r="BX186" s="2274"/>
      <c r="BY186" s="2237"/>
      <c r="BZ186" s="2237"/>
      <c r="CA186" s="2237"/>
      <c r="CB186" s="2237"/>
      <c r="CC186" s="2274"/>
      <c r="CD186" s="2270"/>
      <c r="CE186" s="2270"/>
      <c r="CF186" s="2270"/>
      <c r="CG186" s="2270"/>
      <c r="CH186" s="2274"/>
      <c r="CI186" s="2235"/>
      <c r="CJ186" s="2237"/>
      <c r="CK186" s="2237"/>
      <c r="CL186" s="2237"/>
      <c r="CM186" s="2274"/>
      <c r="CN186" s="2271"/>
      <c r="CO186" s="2270"/>
      <c r="CP186" s="2270"/>
      <c r="CQ186" s="2270"/>
      <c r="CR186" s="3456">
        <v>26368</v>
      </c>
      <c r="CS186" s="2268">
        <v>7130</v>
      </c>
      <c r="CT186" s="2271">
        <v>7485</v>
      </c>
      <c r="CU186" s="2271">
        <v>7392</v>
      </c>
      <c r="CV186" s="2271">
        <v>8297</v>
      </c>
      <c r="CW186" s="2274">
        <f>SUM(CS186:CV186)</f>
        <v>30304</v>
      </c>
      <c r="CX186" s="2271">
        <v>8091</v>
      </c>
      <c r="CY186" s="2271">
        <v>8545</v>
      </c>
      <c r="CZ186" s="2271">
        <v>9097</v>
      </c>
      <c r="DA186" s="2271">
        <v>10313</v>
      </c>
      <c r="DB186" s="2274">
        <f>SUM(CX186:DA186)</f>
        <v>36046</v>
      </c>
      <c r="DC186" s="4432">
        <v>10474</v>
      </c>
      <c r="DD186" s="4432">
        <v>10785</v>
      </c>
      <c r="DE186" s="4432">
        <v>10958</v>
      </c>
      <c r="DF186" s="2271">
        <v>12251</v>
      </c>
      <c r="DG186" s="2274">
        <f>SUM(DC186:DF186)</f>
        <v>44468</v>
      </c>
      <c r="DH186" s="2271">
        <v>11668</v>
      </c>
      <c r="DI186" s="2271">
        <v>12313</v>
      </c>
      <c r="DJ186" s="2271">
        <v>12565</v>
      </c>
      <c r="DK186" s="2271">
        <v>14099</v>
      </c>
      <c r="DL186" s="5248">
        <f>SUM(DH186:DK186)</f>
        <v>50645</v>
      </c>
      <c r="DM186" s="5249">
        <v>12845</v>
      </c>
      <c r="DN186" s="5249">
        <v>11363</v>
      </c>
      <c r="DO186" s="5249">
        <v>13924</v>
      </c>
      <c r="DP186" s="5249">
        <v>17238</v>
      </c>
      <c r="DQ186" s="5248">
        <f>SUM(DM186:DP186)</f>
        <v>55370</v>
      </c>
      <c r="DR186" s="5249">
        <v>17031</v>
      </c>
      <c r="DS186" s="5249">
        <v>19084</v>
      </c>
      <c r="DT186" s="5249">
        <v>19839</v>
      </c>
      <c r="DU186" s="5249">
        <v>23153</v>
      </c>
      <c r="DV186" s="5248">
        <f>SUM(DR186:DU186)</f>
        <v>79107</v>
      </c>
      <c r="DW186" s="5249">
        <v>20317</v>
      </c>
      <c r="DX186" s="5249">
        <v>20533</v>
      </c>
      <c r="DY186" s="5249">
        <v>19450</v>
      </c>
      <c r="DZ186" s="5249">
        <v>21762</v>
      </c>
      <c r="EA186" s="2274">
        <f>SUM(DW186:DZ186)</f>
        <v>82062</v>
      </c>
      <c r="EB186" s="5249">
        <v>21078</v>
      </c>
      <c r="EC186" s="5249">
        <v>22289</v>
      </c>
      <c r="ED186" s="5249">
        <v>22661</v>
      </c>
      <c r="EE186" s="5249">
        <v>25010</v>
      </c>
      <c r="EF186" s="2274">
        <f>SUM(EB186:EE186)</f>
        <v>91038</v>
      </c>
      <c r="EG186" s="5249">
        <v>23788</v>
      </c>
      <c r="EH186" s="5249">
        <v>24683</v>
      </c>
      <c r="EI186" s="5249">
        <v>25472</v>
      </c>
      <c r="EJ186" s="5249">
        <v>28184</v>
      </c>
      <c r="EK186" s="2274">
        <f>SUM(EG186:EJ186)</f>
        <v>102127</v>
      </c>
      <c r="EL186" s="5249">
        <v>25923</v>
      </c>
      <c r="EM186" s="5249">
        <v>28262</v>
      </c>
      <c r="EN186" s="5249">
        <v>29911</v>
      </c>
      <c r="EO186" s="3914">
        <f t="shared" ref="EO186" si="759">EO240</f>
        <v>33265.988804486216</v>
      </c>
      <c r="EP186" s="2274">
        <f>SUM(EL186:EO186)</f>
        <v>117361.98880448622</v>
      </c>
      <c r="EQ186" s="3914">
        <f t="shared" ref="EQ186:ET186" si="760">EQ240</f>
        <v>31722.518025259342</v>
      </c>
      <c r="ER186" s="3914">
        <f t="shared" si="760"/>
        <v>32750.470517032114</v>
      </c>
      <c r="ES186" s="3914">
        <f t="shared" si="760"/>
        <v>33665.882156486754</v>
      </c>
      <c r="ET186" s="3914">
        <f t="shared" si="760"/>
        <v>37673.034210083199</v>
      </c>
      <c r="EU186" s="2274">
        <f>SUM(EQ186:ET186)</f>
        <v>135811.90490886141</v>
      </c>
      <c r="EV186" s="5109">
        <f>EV240</f>
        <v>152109.33349792479</v>
      </c>
      <c r="EW186" s="5109">
        <f>EW240</f>
        <v>168993.46951619443</v>
      </c>
      <c r="EX186" s="5109">
        <f>EX240</f>
        <v>185385.83605926528</v>
      </c>
      <c r="EY186" s="5109">
        <f>EY240</f>
        <v>202255.94714065842</v>
      </c>
      <c r="EZ186" s="218"/>
      <c r="FA186" s="1319">
        <f>(EV186/EK186)^(1/3)-1</f>
        <v>0.14201488076417346</v>
      </c>
      <c r="FB186" s="1319">
        <f>(EX186/EK186)^(1/5)-1</f>
        <v>0.12664526303974011</v>
      </c>
    </row>
    <row r="187" spans="1:158" s="183" customFormat="1" ht="11.25" customHeight="1">
      <c r="A187" s="5639" t="s">
        <v>45</v>
      </c>
      <c r="B187" s="181"/>
      <c r="C187" s="181"/>
      <c r="D187" s="181"/>
      <c r="E187" s="181"/>
      <c r="F187" s="4242"/>
      <c r="G187" s="181"/>
      <c r="H187" s="181"/>
      <c r="I187" s="221"/>
      <c r="J187" s="221"/>
      <c r="K187" s="1962"/>
      <c r="L187" s="181"/>
      <c r="M187" s="181"/>
      <c r="N187" s="181"/>
      <c r="O187" s="181"/>
      <c r="P187" s="1927"/>
      <c r="Q187" s="181"/>
      <c r="R187" s="181"/>
      <c r="S187" s="181"/>
      <c r="T187" s="181"/>
      <c r="U187" s="1927"/>
      <c r="V187" s="181"/>
      <c r="W187" s="181"/>
      <c r="X187" s="181"/>
      <c r="Y187" s="181"/>
      <c r="Z187" s="1927"/>
      <c r="AA187" s="2612"/>
      <c r="AB187" s="2612"/>
      <c r="AC187" s="2612"/>
      <c r="AD187" s="2612"/>
      <c r="AE187" s="1927"/>
      <c r="AF187" s="181"/>
      <c r="AG187" s="222"/>
      <c r="AH187" s="2612"/>
      <c r="AI187" s="2612"/>
      <c r="AJ187" s="1927"/>
      <c r="AK187" s="181"/>
      <c r="AL187" s="222"/>
      <c r="AM187" s="222"/>
      <c r="AN187" s="222"/>
      <c r="AO187" s="1927"/>
      <c r="AP187" s="181"/>
      <c r="AQ187" s="222"/>
      <c r="AR187" s="222"/>
      <c r="AS187" s="222"/>
      <c r="AT187" s="1927"/>
      <c r="AU187" s="181"/>
      <c r="AV187" s="222"/>
      <c r="AW187" s="222"/>
      <c r="AX187" s="222"/>
      <c r="AY187" s="1927"/>
      <c r="AZ187" s="181"/>
      <c r="BA187" s="222"/>
      <c r="BB187" s="222"/>
      <c r="BC187" s="222"/>
      <c r="BD187" s="1927"/>
      <c r="BE187" s="181"/>
      <c r="BF187" s="222"/>
      <c r="BG187" s="222"/>
      <c r="BH187" s="222"/>
      <c r="BI187" s="1927"/>
      <c r="BJ187" s="181"/>
      <c r="BK187" s="205"/>
      <c r="BL187" s="205"/>
      <c r="BM187" s="222"/>
      <c r="BN187" s="1927"/>
      <c r="BO187" s="2612"/>
      <c r="BP187" s="2612"/>
      <c r="BQ187" s="2612"/>
      <c r="BR187" s="2612"/>
      <c r="BS187" s="1927"/>
      <c r="BT187" s="181"/>
      <c r="BU187" s="205"/>
      <c r="BV187" s="205"/>
      <c r="BW187" s="222"/>
      <c r="BX187" s="1927"/>
      <c r="BY187" s="2612"/>
      <c r="BZ187" s="2612"/>
      <c r="CA187" s="2612"/>
      <c r="CB187" s="2612"/>
      <c r="CC187" s="1927"/>
      <c r="CD187" s="181"/>
      <c r="CE187" s="205"/>
      <c r="CF187" s="205"/>
      <c r="CG187" s="222"/>
      <c r="CH187" s="1927"/>
      <c r="CI187" s="222"/>
      <c r="CJ187" s="205"/>
      <c r="CK187" s="205"/>
      <c r="CL187" s="222"/>
      <c r="CM187" s="1927"/>
      <c r="CN187" s="222"/>
      <c r="CO187" s="205"/>
      <c r="CP187" s="205"/>
      <c r="CQ187" s="205"/>
      <c r="CR187" s="1967"/>
      <c r="CS187" s="2251"/>
      <c r="CT187" s="2251"/>
      <c r="CU187" s="2251"/>
      <c r="CV187" s="2251"/>
      <c r="CW187" s="1927">
        <f t="shared" ref="CW187:DB187" si="761">CW186/CR186-1</f>
        <v>0.14927184466019416</v>
      </c>
      <c r="CX187" s="222">
        <f>CX186/CS186-1</f>
        <v>0.13478260869565228</v>
      </c>
      <c r="CY187" s="2612">
        <f t="shared" si="761"/>
        <v>0.14161656646626586</v>
      </c>
      <c r="CZ187" s="2612">
        <f t="shared" si="761"/>
        <v>0.23065476190476186</v>
      </c>
      <c r="DA187" s="2612">
        <f t="shared" si="761"/>
        <v>0.24297939014101488</v>
      </c>
      <c r="DB187" s="1927">
        <f t="shared" si="761"/>
        <v>0.18947993664202745</v>
      </c>
      <c r="DC187" s="222">
        <f t="shared" ref="DC187:DQ187" si="762">DC186/CX186-1</f>
        <v>0.29452478062044252</v>
      </c>
      <c r="DD187" s="2612">
        <f t="shared" si="762"/>
        <v>0.26214160327677005</v>
      </c>
      <c r="DE187" s="2612">
        <f t="shared" si="762"/>
        <v>0.20457293613279104</v>
      </c>
      <c r="DF187" s="2612">
        <f t="shared" si="762"/>
        <v>0.18791816154368268</v>
      </c>
      <c r="DG187" s="1927">
        <f t="shared" si="762"/>
        <v>0.23364589690950455</v>
      </c>
      <c r="DH187" s="222">
        <f t="shared" si="762"/>
        <v>0.11399656291770088</v>
      </c>
      <c r="DI187" s="2612">
        <f t="shared" si="762"/>
        <v>0.14167825683820112</v>
      </c>
      <c r="DJ187" s="2612">
        <f t="shared" si="762"/>
        <v>0.14665084869501732</v>
      </c>
      <c r="DK187" s="2612">
        <f t="shared" si="762"/>
        <v>0.15084482899355156</v>
      </c>
      <c r="DL187" s="5254">
        <f t="shared" si="762"/>
        <v>0.13890887829450382</v>
      </c>
      <c r="DM187" s="5237">
        <f t="shared" si="762"/>
        <v>0.10087418580733631</v>
      </c>
      <c r="DN187" s="5237">
        <f t="shared" si="762"/>
        <v>-7.7154227239502937E-2</v>
      </c>
      <c r="DO187" s="5237">
        <f t="shared" si="762"/>
        <v>0.10815758058097891</v>
      </c>
      <c r="DP187" s="5237">
        <f t="shared" si="762"/>
        <v>0.22263990353925811</v>
      </c>
      <c r="DQ187" s="5254">
        <f t="shared" si="762"/>
        <v>9.3296475466482454E-2</v>
      </c>
      <c r="DR187" s="5237">
        <f t="shared" ref="DR187:EN187" si="763">DR186/DM186-1</f>
        <v>0.32588555858310619</v>
      </c>
      <c r="DS187" s="5237">
        <f t="shared" si="763"/>
        <v>0.67948605121886829</v>
      </c>
      <c r="DT187" s="5237">
        <f t="shared" si="763"/>
        <v>0.42480609020396431</v>
      </c>
      <c r="DU187" s="5237">
        <f t="shared" si="763"/>
        <v>0.34313725490196068</v>
      </c>
      <c r="DV187" s="5254">
        <f t="shared" si="763"/>
        <v>0.42869785082174472</v>
      </c>
      <c r="DW187" s="5237">
        <f t="shared" si="763"/>
        <v>0.19294228172156647</v>
      </c>
      <c r="DX187" s="5237">
        <f t="shared" si="763"/>
        <v>7.592747851603443E-2</v>
      </c>
      <c r="DY187" s="5237">
        <f t="shared" si="763"/>
        <v>-1.9607843137254943E-2</v>
      </c>
      <c r="DZ187" s="5237">
        <f t="shared" si="763"/>
        <v>-6.0078607523862959E-2</v>
      </c>
      <c r="EA187" s="1927">
        <f t="shared" si="763"/>
        <v>3.7354469263150003E-2</v>
      </c>
      <c r="EB187" s="5237">
        <f t="shared" si="763"/>
        <v>3.7456317369690462E-2</v>
      </c>
      <c r="EC187" s="5237">
        <f t="shared" si="763"/>
        <v>8.5520868845273545E-2</v>
      </c>
      <c r="ED187" s="5237">
        <f t="shared" si="763"/>
        <v>0.16508997429305916</v>
      </c>
      <c r="EE187" s="5237">
        <f t="shared" si="763"/>
        <v>0.14925098796066538</v>
      </c>
      <c r="EF187" s="1927">
        <f t="shared" ref="EF187:EK187" si="764">EF186/EA186-1</f>
        <v>0.10938071214447609</v>
      </c>
      <c r="EG187" s="5237">
        <f t="shared" si="763"/>
        <v>0.12857007306196033</v>
      </c>
      <c r="EH187" s="5237">
        <f t="shared" si="763"/>
        <v>0.1074072412400735</v>
      </c>
      <c r="EI187" s="5237">
        <f t="shared" si="763"/>
        <v>0.1240457173116809</v>
      </c>
      <c r="EJ187" s="5237">
        <f t="shared" si="763"/>
        <v>0.12690923630547779</v>
      </c>
      <c r="EK187" s="1927">
        <f t="shared" si="764"/>
        <v>0.12180627869680793</v>
      </c>
      <c r="EL187" s="5237">
        <f t="shared" si="763"/>
        <v>8.9751135026063578E-2</v>
      </c>
      <c r="EM187" s="5237">
        <f t="shared" si="763"/>
        <v>0.1449985820200137</v>
      </c>
      <c r="EN187" s="5237">
        <f t="shared" si="763"/>
        <v>0.17426978643216073</v>
      </c>
      <c r="EO187" s="2612">
        <f t="shared" ref="EO187:EP187" si="765">EO186/EJ186-1</f>
        <v>0.18031467515207988</v>
      </c>
      <c r="EP187" s="1927">
        <f t="shared" si="765"/>
        <v>0.14917689547804414</v>
      </c>
      <c r="EQ187" s="2612">
        <f t="shared" ref="EQ187" si="766">EQ186/EL186-1</f>
        <v>0.22372094376651397</v>
      </c>
      <c r="ER187" s="2612">
        <f t="shared" ref="ER187" si="767">ER186/EM186-1</f>
        <v>0.15881645025235702</v>
      </c>
      <c r="ES187" s="2612">
        <f t="shared" ref="ES187" si="768">ES186/EN186-1</f>
        <v>0.12553515952280936</v>
      </c>
      <c r="ET187" s="2612">
        <f t="shared" ref="ET187:EU187" si="769">ET186/EO186-1</f>
        <v>0.13247901427185749</v>
      </c>
      <c r="EU187" s="1927">
        <f t="shared" si="769"/>
        <v>0.15720521007113275</v>
      </c>
      <c r="EV187" s="1927">
        <f>EV186/EU186-1</f>
        <v>0.12000000000000011</v>
      </c>
      <c r="EW187" s="1927">
        <f>EW186/EV186-1</f>
        <v>0.11099999999999999</v>
      </c>
      <c r="EX187" s="1927">
        <f>EX186/EW186-1</f>
        <v>9.6999999999999975E-2</v>
      </c>
      <c r="EY187" s="1927">
        <f>EY186/EX186-1</f>
        <v>9.099999999999997E-2</v>
      </c>
      <c r="EZ187" s="169"/>
      <c r="FA187" s="1382"/>
      <c r="FB187" s="1382"/>
    </row>
    <row r="188" spans="1:158" s="183" customFormat="1" ht="11.25" customHeight="1">
      <c r="A188" s="5643" t="s">
        <v>496</v>
      </c>
      <c r="B188" s="1098"/>
      <c r="C188" s="1098"/>
      <c r="D188" s="1098"/>
      <c r="E188" s="1098"/>
      <c r="F188" s="4245"/>
      <c r="G188" s="1098"/>
      <c r="H188" s="1098"/>
      <c r="I188" s="2871"/>
      <c r="J188" s="2871"/>
      <c r="K188" s="2872"/>
      <c r="L188" s="1098"/>
      <c r="M188" s="1098"/>
      <c r="N188" s="1098"/>
      <c r="O188" s="1098"/>
      <c r="P188" s="2873"/>
      <c r="Q188" s="1098"/>
      <c r="R188" s="1098"/>
      <c r="S188" s="1098"/>
      <c r="T188" s="1098"/>
      <c r="U188" s="2873"/>
      <c r="V188" s="1098"/>
      <c r="W188" s="1098"/>
      <c r="X188" s="1098"/>
      <c r="Y188" s="1098"/>
      <c r="Z188" s="2873"/>
      <c r="AA188" s="2288"/>
      <c r="AB188" s="2288"/>
      <c r="AC188" s="2288"/>
      <c r="AD188" s="2288"/>
      <c r="AE188" s="2873"/>
      <c r="AF188" s="1098"/>
      <c r="AG188" s="2874"/>
      <c r="AH188" s="2288"/>
      <c r="AI188" s="2288"/>
      <c r="AJ188" s="2873"/>
      <c r="AK188" s="1098"/>
      <c r="AL188" s="2874"/>
      <c r="AM188" s="2874"/>
      <c r="AN188" s="2874"/>
      <c r="AO188" s="2873"/>
      <c r="AP188" s="1098"/>
      <c r="AQ188" s="2874"/>
      <c r="AR188" s="2874"/>
      <c r="AS188" s="2874"/>
      <c r="AT188" s="2873"/>
      <c r="AU188" s="1098"/>
      <c r="AV188" s="2874"/>
      <c r="AW188" s="2874"/>
      <c r="AX188" s="2874"/>
      <c r="AY188" s="2873"/>
      <c r="AZ188" s="1098"/>
      <c r="BA188" s="2874"/>
      <c r="BB188" s="2874"/>
      <c r="BC188" s="2874"/>
      <c r="BD188" s="2873"/>
      <c r="BE188" s="1098"/>
      <c r="BF188" s="2874"/>
      <c r="BG188" s="2874"/>
      <c r="BH188" s="2874"/>
      <c r="BI188" s="2873"/>
      <c r="BJ188" s="1098"/>
      <c r="BK188" s="2500"/>
      <c r="BL188" s="2500"/>
      <c r="BM188" s="2874"/>
      <c r="BN188" s="2873"/>
      <c r="BO188" s="2288"/>
      <c r="BP188" s="2288"/>
      <c r="BQ188" s="2288"/>
      <c r="BR188" s="2288"/>
      <c r="BS188" s="2873"/>
      <c r="BT188" s="1098"/>
      <c r="BU188" s="2500"/>
      <c r="BV188" s="2500"/>
      <c r="BW188" s="2874"/>
      <c r="BX188" s="2873"/>
      <c r="BY188" s="2288"/>
      <c r="BZ188" s="2288"/>
      <c r="CA188" s="2288"/>
      <c r="CB188" s="2288"/>
      <c r="CC188" s="2873"/>
      <c r="CD188" s="1098"/>
      <c r="CE188" s="2500"/>
      <c r="CF188" s="2500"/>
      <c r="CG188" s="2874"/>
      <c r="CH188" s="2873"/>
      <c r="CI188" s="2874"/>
      <c r="CJ188" s="2500"/>
      <c r="CK188" s="2500"/>
      <c r="CL188" s="2874"/>
      <c r="CM188" s="2873"/>
      <c r="CN188" s="2874"/>
      <c r="CO188" s="2500"/>
      <c r="CP188" s="2500"/>
      <c r="CQ188" s="2500"/>
      <c r="CR188" s="2873">
        <f>CR254</f>
        <v>0.19120708658203056</v>
      </c>
      <c r="CS188" s="2875"/>
      <c r="CT188" s="2875"/>
      <c r="CU188" s="2875"/>
      <c r="CV188" s="2875"/>
      <c r="CW188" s="2873">
        <f t="shared" ref="CW188:DQ188" si="770">CW254</f>
        <v>0.22605303597462467</v>
      </c>
      <c r="CX188" s="2874">
        <f t="shared" si="770"/>
        <v>0.19483668520895736</v>
      </c>
      <c r="CY188" s="2288">
        <f t="shared" si="770"/>
        <v>0.20741739716790297</v>
      </c>
      <c r="CZ188" s="2288">
        <f t="shared" si="770"/>
        <v>0.23147639956092214</v>
      </c>
      <c r="DA188" s="2288">
        <f t="shared" si="770"/>
        <v>0.22377018863272102</v>
      </c>
      <c r="DB188" s="2873">
        <f t="shared" si="770"/>
        <v>0.21478625314333621</v>
      </c>
      <c r="DC188" s="2874">
        <f t="shared" si="770"/>
        <v>0.20975671246691041</v>
      </c>
      <c r="DD188" s="2288">
        <f t="shared" si="770"/>
        <v>0.18815005258852402</v>
      </c>
      <c r="DE188" s="2288">
        <f t="shared" si="770"/>
        <v>0.19161806005616766</v>
      </c>
      <c r="DF188" s="2288">
        <f t="shared" si="770"/>
        <v>0.20308924485125868</v>
      </c>
      <c r="DG188" s="2873">
        <f t="shared" si="770"/>
        <v>0.19809029694226732</v>
      </c>
      <c r="DH188" s="2874">
        <f t="shared" si="770"/>
        <v>0.162660181461042</v>
      </c>
      <c r="DI188" s="2288">
        <f t="shared" si="770"/>
        <v>0.20582292432035265</v>
      </c>
      <c r="DJ188" s="2288">
        <f t="shared" si="770"/>
        <v>0.19360161334677795</v>
      </c>
      <c r="DK188" s="2288">
        <f t="shared" si="770"/>
        <v>0.18047506326014195</v>
      </c>
      <c r="DL188" s="5075">
        <f t="shared" si="770"/>
        <v>0.18558751871968537</v>
      </c>
      <c r="DM188" s="5074">
        <f t="shared" si="770"/>
        <v>0.12101474117243738</v>
      </c>
      <c r="DN188" s="5074">
        <f t="shared" si="770"/>
        <v>-4.7835620888491803E-2</v>
      </c>
      <c r="DO188" s="5074">
        <f t="shared" si="770"/>
        <v>8.8261042578591242E-2</v>
      </c>
      <c r="DP188" s="5074">
        <f t="shared" si="770"/>
        <v>0.19022625718136044</v>
      </c>
      <c r="DQ188" s="5075">
        <f t="shared" si="770"/>
        <v>9.1104748741237973E-2</v>
      </c>
      <c r="DR188" s="5074">
        <f t="shared" ref="DR188:EA188" si="771">DR254</f>
        <v>0.25356169715842736</v>
      </c>
      <c r="DS188" s="5074">
        <f t="shared" si="771"/>
        <v>0.55407902842559187</v>
      </c>
      <c r="DT188" s="5074">
        <f t="shared" si="771"/>
        <v>0.38961505314564771</v>
      </c>
      <c r="DU188" s="5074">
        <f t="shared" si="771"/>
        <v>0.34650191437521749</v>
      </c>
      <c r="DV188" s="5075">
        <f t="shared" si="771"/>
        <v>0.3783817951959545</v>
      </c>
      <c r="DW188" s="5074">
        <f t="shared" si="771"/>
        <v>0.26991955845223425</v>
      </c>
      <c r="DX188" s="5074">
        <f t="shared" si="771"/>
        <v>0.17842171452525668</v>
      </c>
      <c r="DY188" s="5074">
        <f>DY254</f>
        <v>0.11361459750995517</v>
      </c>
      <c r="DZ188" s="5074">
        <f>DZ254</f>
        <v>7.2474409363797454E-2</v>
      </c>
      <c r="EA188" s="2873">
        <f t="shared" si="771"/>
        <v>0.15085896317645719</v>
      </c>
      <c r="EB188" s="5074">
        <f t="shared" ref="EB188:EN188" si="772">EB254</f>
        <v>9.5191219176059549E-2</v>
      </c>
      <c r="EC188" s="5074">
        <f t="shared" si="772"/>
        <v>9.8913943408172278E-2</v>
      </c>
      <c r="ED188" s="5074">
        <f t="shared" si="772"/>
        <v>0.12380462724935737</v>
      </c>
      <c r="EE188" s="5074">
        <f>EE254</f>
        <v>9.8474404926017778E-2</v>
      </c>
      <c r="EF188" s="2873">
        <f t="shared" si="772"/>
        <v>0.10377519436523608</v>
      </c>
      <c r="EG188" s="5074">
        <f t="shared" ref="EG188:EI188" si="773">EG254</f>
        <v>0.11903406395293681</v>
      </c>
      <c r="EH188" s="5074">
        <f t="shared" si="773"/>
        <v>0.12387276234914091</v>
      </c>
      <c r="EI188" s="5074">
        <f t="shared" si="773"/>
        <v>0.13048850447906091</v>
      </c>
      <c r="EJ188" s="5074">
        <f>EJ254</f>
        <v>0.11291483406637348</v>
      </c>
      <c r="EK188" s="2873">
        <f t="shared" si="772"/>
        <v>0.12138887058151537</v>
      </c>
      <c r="EL188" s="5074">
        <f t="shared" si="772"/>
        <v>0.12018664873045237</v>
      </c>
      <c r="EM188" s="5074">
        <f t="shared" si="772"/>
        <v>0.11339788518413485</v>
      </c>
      <c r="EN188" s="5074">
        <f t="shared" si="772"/>
        <v>0.12476444723618085</v>
      </c>
      <c r="EO188" s="2288">
        <f t="shared" ref="EO188:EP188" si="774">EO254</f>
        <v>0.13</v>
      </c>
      <c r="EP188" s="2873">
        <f t="shared" si="774"/>
        <v>0.12239584047313645</v>
      </c>
      <c r="EQ188" s="2288">
        <f t="shared" ref="EQ188:EU188" si="775">EQ254</f>
        <v>0.125</v>
      </c>
      <c r="ER188" s="2288">
        <f t="shared" si="775"/>
        <v>0.13500000000000001</v>
      </c>
      <c r="ES188" s="2288">
        <f t="shared" si="775"/>
        <v>0.13700000000000001</v>
      </c>
      <c r="ET188" s="2288">
        <f t="shared" si="775"/>
        <v>0.13800000000000001</v>
      </c>
      <c r="EU188" s="2873">
        <f t="shared" si="775"/>
        <v>0.13415125813220086</v>
      </c>
      <c r="EV188" s="2873">
        <f>EV254</f>
        <v>0.12</v>
      </c>
      <c r="EW188" s="2873">
        <f>EW254</f>
        <v>0.111</v>
      </c>
      <c r="EX188" s="2873">
        <f>EX254</f>
        <v>9.7000000000000003E-2</v>
      </c>
      <c r="EY188" s="2873">
        <f>EY254</f>
        <v>9.0999999999999998E-2</v>
      </c>
      <c r="EZ188" s="169"/>
      <c r="FA188" s="1382"/>
      <c r="FB188" s="1382"/>
    </row>
    <row r="189" spans="1:158" s="138" customFormat="1" ht="11.25" customHeight="1">
      <c r="A189" s="5639" t="s">
        <v>46</v>
      </c>
      <c r="B189" s="124"/>
      <c r="C189" s="124"/>
      <c r="D189" s="124"/>
      <c r="E189" s="124"/>
      <c r="F189" s="3574"/>
      <c r="G189" s="124"/>
      <c r="H189" s="124"/>
      <c r="I189" s="173"/>
      <c r="J189" s="173"/>
      <c r="K189" s="1958"/>
      <c r="L189" s="124"/>
      <c r="M189" s="124"/>
      <c r="N189" s="124"/>
      <c r="O189" s="124"/>
      <c r="P189" s="1957"/>
      <c r="Q189" s="124"/>
      <c r="R189" s="124"/>
      <c r="S189" s="124"/>
      <c r="T189" s="124"/>
      <c r="U189" s="1957"/>
      <c r="V189" s="124"/>
      <c r="W189" s="124"/>
      <c r="X189" s="124"/>
      <c r="Y189" s="124"/>
      <c r="Z189" s="1957"/>
      <c r="AA189" s="2612"/>
      <c r="AB189" s="224"/>
      <c r="AC189" s="224"/>
      <c r="AD189" s="224"/>
      <c r="AE189" s="1957"/>
      <c r="AF189" s="224"/>
      <c r="AG189" s="224"/>
      <c r="AH189" s="224"/>
      <c r="AI189" s="224"/>
      <c r="AJ189" s="1957"/>
      <c r="AK189" s="224"/>
      <c r="AL189" s="224"/>
      <c r="AM189" s="224"/>
      <c r="AN189" s="224"/>
      <c r="AO189" s="1957"/>
      <c r="AP189" s="224"/>
      <c r="AQ189" s="224"/>
      <c r="AR189" s="224"/>
      <c r="AS189" s="224"/>
      <c r="AT189" s="1957"/>
      <c r="AU189" s="124"/>
      <c r="AV189" s="224"/>
      <c r="AW189" s="224"/>
      <c r="AX189" s="224"/>
      <c r="AY189" s="1957"/>
      <c r="AZ189" s="124"/>
      <c r="BA189" s="224"/>
      <c r="BB189" s="224"/>
      <c r="BC189" s="225"/>
      <c r="BD189" s="1957"/>
      <c r="BE189" s="225"/>
      <c r="BF189" s="225"/>
      <c r="BG189" s="225"/>
      <c r="BH189" s="225"/>
      <c r="BI189" s="1957"/>
      <c r="BJ189" s="225"/>
      <c r="BK189" s="225"/>
      <c r="BL189" s="225"/>
      <c r="BM189" s="225"/>
      <c r="BN189" s="1957"/>
      <c r="BO189" s="127"/>
      <c r="BP189" s="127"/>
      <c r="BQ189" s="127"/>
      <c r="BR189" s="127"/>
      <c r="BS189" s="1957"/>
      <c r="BT189" s="225"/>
      <c r="BU189" s="225"/>
      <c r="BV189" s="225"/>
      <c r="BW189" s="225"/>
      <c r="BX189" s="1957"/>
      <c r="BY189" s="127"/>
      <c r="BZ189" s="127"/>
      <c r="CA189" s="127"/>
      <c r="CB189" s="127"/>
      <c r="CC189" s="1957"/>
      <c r="CD189" s="225"/>
      <c r="CE189" s="225"/>
      <c r="CF189" s="225"/>
      <c r="CG189" s="225"/>
      <c r="CH189" s="1957"/>
      <c r="CI189" s="2612"/>
      <c r="CJ189" s="225"/>
      <c r="CK189" s="225"/>
      <c r="CL189" s="225"/>
      <c r="CM189" s="1957"/>
      <c r="CN189" s="2612"/>
      <c r="CO189" s="225"/>
      <c r="CP189" s="225"/>
      <c r="CQ189" s="225"/>
      <c r="CR189" s="1965"/>
      <c r="CS189" s="2660"/>
      <c r="CT189" s="2612">
        <f>CT186/CS186-1</f>
        <v>4.9789621318373056E-2</v>
      </c>
      <c r="CU189" s="2612">
        <f>CU186/CT186-1</f>
        <v>-1.2424849699398832E-2</v>
      </c>
      <c r="CV189" s="2612">
        <f>CV186/CU186-1</f>
        <v>0.12242965367965364</v>
      </c>
      <c r="CW189" s="1957"/>
      <c r="CX189" s="2612">
        <f>CX186/CV186-1</f>
        <v>-2.482825117512355E-2</v>
      </c>
      <c r="CY189" s="2612">
        <f>CY186/CX186-1</f>
        <v>5.6111729081695705E-2</v>
      </c>
      <c r="CZ189" s="2612">
        <f>CZ186/CY186-1</f>
        <v>6.459918080748972E-2</v>
      </c>
      <c r="DA189" s="2612">
        <f>DA186/CZ186-1</f>
        <v>0.13367044080466095</v>
      </c>
      <c r="DB189" s="1957"/>
      <c r="DC189" s="2612">
        <f>DC186/DA186-1</f>
        <v>1.5611364297488661E-2</v>
      </c>
      <c r="DD189" s="2612">
        <f>DD186/DC186-1</f>
        <v>2.969257208325371E-2</v>
      </c>
      <c r="DE189" s="2612">
        <f>DE186/DD186-1</f>
        <v>1.6040797403801488E-2</v>
      </c>
      <c r="DF189" s="2612">
        <f>DF186/DE186-1</f>
        <v>0.11799598466873507</v>
      </c>
      <c r="DG189" s="1957"/>
      <c r="DH189" s="2612">
        <f>DH186/DF186-1</f>
        <v>-4.7587952003918077E-2</v>
      </c>
      <c r="DI189" s="2612">
        <f>DI186/DH186-1</f>
        <v>5.5279396640383949E-2</v>
      </c>
      <c r="DJ189" s="2612">
        <f>DJ186/DI186-1</f>
        <v>2.046617396247874E-2</v>
      </c>
      <c r="DK189" s="2612">
        <f>DK186/DJ186-1</f>
        <v>0.12208515718265023</v>
      </c>
      <c r="DL189" s="5255"/>
      <c r="DM189" s="5237">
        <f>DM186/DK186-1</f>
        <v>-8.8942478189942498E-2</v>
      </c>
      <c r="DN189" s="5237">
        <f>DN186/DM186-1</f>
        <v>-0.11537563254184513</v>
      </c>
      <c r="DO189" s="5237">
        <f>DO186/DN186-1</f>
        <v>0.22538062131479353</v>
      </c>
      <c r="DP189" s="5237">
        <f>DP186/DO186-1</f>
        <v>0.23800632002298183</v>
      </c>
      <c r="DQ189" s="5255"/>
      <c r="DR189" s="5237">
        <f>DR186/DP186-1</f>
        <v>-1.2008353637312896E-2</v>
      </c>
      <c r="DS189" s="5237">
        <f>DS186/DR186-1</f>
        <v>0.12054488873231173</v>
      </c>
      <c r="DT189" s="5237">
        <f>DT186/DS186-1</f>
        <v>3.9561936700901246E-2</v>
      </c>
      <c r="DU189" s="5237">
        <f>DU186/DT186-1</f>
        <v>0.16704470991481424</v>
      </c>
      <c r="DV189" s="5255"/>
      <c r="DW189" s="5237">
        <f>DW186/DU186-1</f>
        <v>-0.12248952619530951</v>
      </c>
      <c r="DX189" s="5237">
        <f>DX186/DW186-1</f>
        <v>1.0631490869714932E-2</v>
      </c>
      <c r="DY189" s="5237">
        <f>DY186/DX186-1</f>
        <v>-5.2744362733161299E-2</v>
      </c>
      <c r="DZ189" s="5237">
        <f>DZ186/DY186-1</f>
        <v>0.11886889460154237</v>
      </c>
      <c r="EA189" s="1957"/>
      <c r="EB189" s="5237">
        <f>EB186/DZ186-1</f>
        <v>-3.1430934656741072E-2</v>
      </c>
      <c r="EC189" s="5237">
        <f>EC186/EB186-1</f>
        <v>5.7453268811082703E-2</v>
      </c>
      <c r="ED189" s="5237">
        <f>ED186/EC186-1</f>
        <v>1.6689847009735637E-2</v>
      </c>
      <c r="EE189" s="5237">
        <f>EE186/ED186-1</f>
        <v>0.10365826750805351</v>
      </c>
      <c r="EF189" s="1957"/>
      <c r="EG189" s="5237">
        <f>EG186/EE186-1</f>
        <v>-4.8860455817672954E-2</v>
      </c>
      <c r="EH189" s="5237">
        <f>EH186/EG186-1</f>
        <v>3.762401210694466E-2</v>
      </c>
      <c r="EI189" s="5237">
        <f>EI186/EH186-1</f>
        <v>3.1965320260908259E-2</v>
      </c>
      <c r="EJ189" s="5237">
        <f>EJ186/EI186-1</f>
        <v>0.10646984924623126</v>
      </c>
      <c r="EK189" s="1957"/>
      <c r="EL189" s="5237">
        <f>EL186/EJ186-1</f>
        <v>-8.0222821458983851E-2</v>
      </c>
      <c r="EM189" s="5237">
        <f>EM186/EL186-1</f>
        <v>9.0228754387995158E-2</v>
      </c>
      <c r="EN189" s="5237">
        <f>EN186/EM186-1</f>
        <v>5.8346896893354927E-2</v>
      </c>
      <c r="EO189" s="2612">
        <f>EO186/EN186-1</f>
        <v>0.1121657184476017</v>
      </c>
      <c r="EP189" s="1957"/>
      <c r="EQ189" s="2612">
        <f>EQ186/EO186-1</f>
        <v>-4.6397862642782006E-2</v>
      </c>
      <c r="ER189" s="2612">
        <f>ER186/EQ186-1</f>
        <v>3.2404504930984901E-2</v>
      </c>
      <c r="ES189" s="2612">
        <f>ES186/ER186-1</f>
        <v>2.7951098869818392E-2</v>
      </c>
      <c r="ET189" s="2612">
        <f>ET186/ES186-1</f>
        <v>0.11902709202658879</v>
      </c>
      <c r="EU189" s="1957"/>
      <c r="EV189" s="1957"/>
      <c r="EW189" s="1957"/>
      <c r="EX189" s="1957"/>
      <c r="EY189" s="1957"/>
      <c r="EZ189" s="127"/>
      <c r="FA189" s="725"/>
      <c r="FB189" s="725"/>
    </row>
    <row r="190" spans="1:158" s="138" customFormat="1" ht="11.25" hidden="1" customHeight="1" outlineLevel="1">
      <c r="A190" s="5649" t="s">
        <v>716</v>
      </c>
      <c r="B190" s="124"/>
      <c r="C190" s="124"/>
      <c r="D190" s="124"/>
      <c r="E190" s="124"/>
      <c r="F190" s="3574"/>
      <c r="G190" s="124"/>
      <c r="H190" s="124"/>
      <c r="I190" s="173"/>
      <c r="J190" s="173"/>
      <c r="K190" s="997"/>
      <c r="L190" s="124"/>
      <c r="M190" s="124"/>
      <c r="N190" s="124"/>
      <c r="O190" s="124"/>
      <c r="P190" s="995"/>
      <c r="Q190" s="124"/>
      <c r="R190" s="124"/>
      <c r="S190" s="124"/>
      <c r="T190" s="124"/>
      <c r="U190" s="995"/>
      <c r="V190" s="124"/>
      <c r="W190" s="124"/>
      <c r="X190" s="124"/>
      <c r="Y190" s="124"/>
      <c r="Z190" s="995"/>
      <c r="AA190" s="124"/>
      <c r="AB190" s="124"/>
      <c r="AC190" s="124"/>
      <c r="AD190" s="124"/>
      <c r="AE190" s="995"/>
      <c r="AF190" s="124"/>
      <c r="AG190" s="124"/>
      <c r="AH190" s="124"/>
      <c r="AI190" s="124"/>
      <c r="AJ190" s="995"/>
      <c r="AK190" s="124"/>
      <c r="AL190" s="124"/>
      <c r="AM190" s="124"/>
      <c r="AN190" s="124"/>
      <c r="AO190" s="995"/>
      <c r="AP190" s="124"/>
      <c r="AQ190" s="124"/>
      <c r="AR190" s="124"/>
      <c r="AS190" s="124"/>
      <c r="AT190" s="995"/>
      <c r="AU190" s="124"/>
      <c r="AV190" s="124"/>
      <c r="AW190" s="124"/>
      <c r="AX190" s="124"/>
      <c r="AY190" s="995"/>
      <c r="AZ190" s="124"/>
      <c r="BA190" s="124"/>
      <c r="BB190" s="124"/>
      <c r="BC190" s="127"/>
      <c r="BD190" s="995"/>
      <c r="BE190" s="127"/>
      <c r="BF190" s="127"/>
      <c r="BG190" s="127"/>
      <c r="BH190" s="127"/>
      <c r="BI190" s="995"/>
      <c r="BJ190" s="127"/>
      <c r="BK190" s="127"/>
      <c r="BL190" s="127"/>
      <c r="BM190" s="127"/>
      <c r="BN190" s="995"/>
      <c r="BO190" s="127"/>
      <c r="BP190" s="127"/>
      <c r="BQ190" s="127"/>
      <c r="BR190" s="127"/>
      <c r="BS190" s="995"/>
      <c r="BT190" s="127"/>
      <c r="BU190" s="127"/>
      <c r="BV190" s="127"/>
      <c r="BW190" s="127"/>
      <c r="BX190" s="995"/>
      <c r="BY190" s="127"/>
      <c r="BZ190" s="127"/>
      <c r="CA190" s="127"/>
      <c r="CB190" s="127"/>
      <c r="CC190" s="995"/>
      <c r="CD190" s="127"/>
      <c r="CE190" s="127"/>
      <c r="CF190" s="127"/>
      <c r="CG190" s="127"/>
      <c r="CH190" s="995"/>
      <c r="CI190" s="124"/>
      <c r="CJ190" s="127"/>
      <c r="CK190" s="127"/>
      <c r="CL190" s="127"/>
      <c r="CM190" s="995"/>
      <c r="CN190" s="124"/>
      <c r="CO190" s="127"/>
      <c r="CP190" s="127"/>
      <c r="CQ190" s="127"/>
      <c r="CR190" s="995">
        <f t="shared" ref="CR190:DQ190" si="776">CR186/CR$179</f>
        <v>0.6562632220811867</v>
      </c>
      <c r="CS190" s="124">
        <f t="shared" si="776"/>
        <v>0.65557190143435085</v>
      </c>
      <c r="CT190" s="124">
        <f t="shared" si="776"/>
        <v>0.65285651984300042</v>
      </c>
      <c r="CU190" s="124">
        <f t="shared" si="776"/>
        <v>0.62633451957295372</v>
      </c>
      <c r="CV190" s="124">
        <f t="shared" si="776"/>
        <v>0.62159124962541201</v>
      </c>
      <c r="CW190" s="995">
        <f t="shared" si="776"/>
        <v>0.63809985049798912</v>
      </c>
      <c r="CX190" s="124">
        <f t="shared" si="776"/>
        <v>0.62329558585625144</v>
      </c>
      <c r="CY190" s="124">
        <f t="shared" si="776"/>
        <v>0.6242694330800701</v>
      </c>
      <c r="CZ190" s="124">
        <f t="shared" si="776"/>
        <v>0.61292278668643041</v>
      </c>
      <c r="DA190" s="124">
        <f t="shared" si="776"/>
        <v>0.61041728321988753</v>
      </c>
      <c r="DB190" s="995">
        <f t="shared" si="776"/>
        <v>0.61716262027873847</v>
      </c>
      <c r="DC190" s="124">
        <f t="shared" si="776"/>
        <v>0.60750536511803255</v>
      </c>
      <c r="DD190" s="124">
        <f t="shared" si="776"/>
        <v>0.60498120827957591</v>
      </c>
      <c r="DE190" s="124">
        <f t="shared" si="776"/>
        <v>0.60417930197937919</v>
      </c>
      <c r="DF190" s="124">
        <f t="shared" si="776"/>
        <v>0.59810574622857982</v>
      </c>
      <c r="DG190" s="995">
        <f t="shared" si="776"/>
        <v>0.60346325046140481</v>
      </c>
      <c r="DH190" s="124">
        <f t="shared" si="776"/>
        <v>0.59318759532282661</v>
      </c>
      <c r="DI190" s="124">
        <f t="shared" si="776"/>
        <v>0.58708816096886474</v>
      </c>
      <c r="DJ190" s="124">
        <f t="shared" si="776"/>
        <v>0.57986063039364988</v>
      </c>
      <c r="DK190" s="124">
        <f t="shared" si="776"/>
        <v>0.58147399678310718</v>
      </c>
      <c r="DL190" s="5251">
        <f t="shared" si="776"/>
        <v>0.58509224921729686</v>
      </c>
      <c r="DM190" s="5252">
        <f t="shared" si="776"/>
        <v>0.57756294964028776</v>
      </c>
      <c r="DN190" s="5252">
        <f t="shared" si="776"/>
        <v>0.56400456643669028</v>
      </c>
      <c r="DO190" s="5252">
        <f t="shared" si="776"/>
        <v>0.56251767462529789</v>
      </c>
      <c r="DP190" s="5252">
        <f t="shared" si="776"/>
        <v>0.57085140908037224</v>
      </c>
      <c r="DQ190" s="5251">
        <f t="shared" si="776"/>
        <v>0.56884843379187766</v>
      </c>
      <c r="DR190" s="5252">
        <f t="shared" ref="DR190:EA190" si="777">DR186/DR$179</f>
        <v>0.56039616991872598</v>
      </c>
      <c r="DS190" s="5252">
        <f t="shared" si="777"/>
        <v>0.56664390272870335</v>
      </c>
      <c r="DT190" s="5252">
        <f t="shared" si="777"/>
        <v>0.56309604904632149</v>
      </c>
      <c r="DU190" s="5252">
        <f t="shared" si="777"/>
        <v>0.57406029951403348</v>
      </c>
      <c r="DV190" s="5251">
        <f t="shared" si="777"/>
        <v>0.56653107409370207</v>
      </c>
      <c r="DW190" s="5252">
        <f t="shared" si="777"/>
        <v>0.56436111111111109</v>
      </c>
      <c r="DX190" s="5252">
        <f t="shared" si="777"/>
        <v>0.56127162889866877</v>
      </c>
      <c r="DY190" s="5252">
        <f>DY186/DY$179</f>
        <v>0.55441536970526195</v>
      </c>
      <c r="DZ190" s="5252">
        <f>DZ186/DZ$179</f>
        <v>0.56676302836159076</v>
      </c>
      <c r="EA190" s="995">
        <f t="shared" si="777"/>
        <v>0.56182990784735254</v>
      </c>
      <c r="EB190" s="5252">
        <f t="shared" ref="EB190:EN190" si="778">EB186/EB$179</f>
        <v>0.57216536822389319</v>
      </c>
      <c r="EC190" s="5252">
        <f t="shared" si="778"/>
        <v>0.56387876947986237</v>
      </c>
      <c r="ED190" s="5252">
        <f t="shared" si="778"/>
        <v>0.56175012394645518</v>
      </c>
      <c r="EE190" s="5252">
        <f>EE186/EE$179</f>
        <v>0.5662855202083098</v>
      </c>
      <c r="EF190" s="995">
        <f t="shared" si="778"/>
        <v>0.56590332686856626</v>
      </c>
      <c r="EG190" s="5252">
        <f t="shared" ref="EG190:EI190" si="779">EG186/EG$179</f>
        <v>0.57004553079319431</v>
      </c>
      <c r="EH190" s="5252">
        <f t="shared" si="779"/>
        <v>0.56815670748549862</v>
      </c>
      <c r="EI190" s="5252">
        <f t="shared" si="779"/>
        <v>0.5646391204114205</v>
      </c>
      <c r="EJ190" s="5252">
        <f>EJ186/EJ$179</f>
        <v>0.57431633859069975</v>
      </c>
      <c r="EK190" s="995">
        <f t="shared" si="778"/>
        <v>0.56939674397859052</v>
      </c>
      <c r="EL190" s="5252">
        <f t="shared" si="778"/>
        <v>0.56342099543577484</v>
      </c>
      <c r="EM190" s="5252">
        <f t="shared" si="778"/>
        <v>0.55989856766448087</v>
      </c>
      <c r="EN190" s="5252">
        <f t="shared" si="778"/>
        <v>0.55601821730644108</v>
      </c>
      <c r="EO190" s="124">
        <f t="shared" ref="EO190:EP190" si="780">EO186/EO$179</f>
        <v>0.56928785584181507</v>
      </c>
      <c r="EP190" s="995">
        <f t="shared" si="780"/>
        <v>0.56230365326436194</v>
      </c>
      <c r="EQ190" s="124">
        <f t="shared" ref="EQ190:EU190" si="781">EQ186/EQ$179</f>
        <v>0.55580812088204767</v>
      </c>
      <c r="ER190" s="124">
        <f t="shared" si="781"/>
        <v>0.54208408660520613</v>
      </c>
      <c r="ES190" s="124">
        <f t="shared" si="781"/>
        <v>0.53298765564071116</v>
      </c>
      <c r="ET190" s="124">
        <f t="shared" si="781"/>
        <v>0.547577053705395</v>
      </c>
      <c r="EU190" s="995">
        <f t="shared" si="781"/>
        <v>0.54443576192397447</v>
      </c>
      <c r="EV190" s="995">
        <f>EV186/EV$179</f>
        <v>0.53418423764625611</v>
      </c>
      <c r="EW190" s="995">
        <f>EW186/EW$179</f>
        <v>0.52818901154538878</v>
      </c>
      <c r="EX190" s="995">
        <f>EX186/EX$179</f>
        <v>0.5216355753628078</v>
      </c>
      <c r="EY190" s="995">
        <f>EY186/EY$179</f>
        <v>0.51639080909344814</v>
      </c>
      <c r="EZ190" s="127"/>
      <c r="FA190" s="725"/>
      <c r="FB190" s="725"/>
    </row>
    <row r="191" spans="1:158" s="138" customFormat="1" ht="11.25" customHeight="1" collapsed="1">
      <c r="A191" s="5649" t="s">
        <v>715</v>
      </c>
      <c r="B191" s="124"/>
      <c r="C191" s="124"/>
      <c r="D191" s="124"/>
      <c r="E191" s="124"/>
      <c r="F191" s="3574"/>
      <c r="G191" s="124"/>
      <c r="H191" s="124"/>
      <c r="I191" s="173"/>
      <c r="J191" s="173"/>
      <c r="K191" s="997"/>
      <c r="L191" s="124"/>
      <c r="M191" s="124"/>
      <c r="N191" s="124"/>
      <c r="O191" s="124"/>
      <c r="P191" s="995"/>
      <c r="Q191" s="124"/>
      <c r="R191" s="124"/>
      <c r="S191" s="124"/>
      <c r="T191" s="124"/>
      <c r="U191" s="995"/>
      <c r="V191" s="124"/>
      <c r="W191" s="124"/>
      <c r="X191" s="124"/>
      <c r="Y191" s="124"/>
      <c r="Z191" s="995"/>
      <c r="AA191" s="124"/>
      <c r="AB191" s="124"/>
      <c r="AC191" s="124"/>
      <c r="AD191" s="124"/>
      <c r="AE191" s="995"/>
      <c r="AF191" s="124"/>
      <c r="AG191" s="124"/>
      <c r="AH191" s="124"/>
      <c r="AI191" s="124"/>
      <c r="AJ191" s="995"/>
      <c r="AK191" s="124"/>
      <c r="AL191" s="124"/>
      <c r="AM191" s="124"/>
      <c r="AN191" s="124"/>
      <c r="AO191" s="995"/>
      <c r="AP191" s="124"/>
      <c r="AQ191" s="124"/>
      <c r="AR191" s="124"/>
      <c r="AS191" s="124"/>
      <c r="AT191" s="995"/>
      <c r="AU191" s="124"/>
      <c r="AV191" s="124"/>
      <c r="AW191" s="124"/>
      <c r="AX191" s="124"/>
      <c r="AY191" s="995"/>
      <c r="AZ191" s="124"/>
      <c r="BA191" s="124"/>
      <c r="BB191" s="124"/>
      <c r="BC191" s="124"/>
      <c r="BD191" s="995"/>
      <c r="BE191" s="124"/>
      <c r="BF191" s="124"/>
      <c r="BG191" s="124"/>
      <c r="BH191" s="124"/>
      <c r="BI191" s="995"/>
      <c r="BJ191" s="124"/>
      <c r="BK191" s="124"/>
      <c r="BL191" s="124"/>
      <c r="BM191" s="124"/>
      <c r="BN191" s="995"/>
      <c r="BO191" s="127"/>
      <c r="BP191" s="127"/>
      <c r="BQ191" s="127"/>
      <c r="BR191" s="127"/>
      <c r="BS191" s="1957"/>
      <c r="BT191" s="124"/>
      <c r="BU191" s="124"/>
      <c r="BV191" s="124"/>
      <c r="BW191" s="124"/>
      <c r="BX191" s="995"/>
      <c r="BY191" s="127"/>
      <c r="BZ191" s="127"/>
      <c r="CA191" s="127"/>
      <c r="CB191" s="127"/>
      <c r="CC191" s="1957"/>
      <c r="CD191" s="124"/>
      <c r="CE191" s="124"/>
      <c r="CF191" s="124"/>
      <c r="CG191" s="124"/>
      <c r="CH191" s="995"/>
      <c r="CI191" s="124"/>
      <c r="CJ191" s="124"/>
      <c r="CK191" s="124"/>
      <c r="CL191" s="124"/>
      <c r="CM191" s="995"/>
      <c r="CN191" s="124"/>
      <c r="CO191" s="124"/>
      <c r="CP191" s="124"/>
      <c r="CQ191" s="124"/>
      <c r="CR191" s="995">
        <f t="shared" ref="CR191:DQ191" si="782">CR186/CR$170</f>
        <v>0.35162490498606463</v>
      </c>
      <c r="CS191" s="124">
        <f t="shared" si="782"/>
        <v>0.35197709433775981</v>
      </c>
      <c r="CT191" s="124">
        <f t="shared" si="782"/>
        <v>0.3481395348837209</v>
      </c>
      <c r="CU191" s="124">
        <f t="shared" si="782"/>
        <v>0.32925036746692798</v>
      </c>
      <c r="CV191" s="124">
        <f t="shared" si="782"/>
        <v>0.31833179864947819</v>
      </c>
      <c r="CW191" s="995">
        <f t="shared" si="782"/>
        <v>0.33569656150301314</v>
      </c>
      <c r="CX191" s="124">
        <f t="shared" si="782"/>
        <v>0.32690909090909093</v>
      </c>
      <c r="CY191" s="124">
        <f t="shared" si="782"/>
        <v>0.32852748942714338</v>
      </c>
      <c r="CZ191" s="124">
        <f t="shared" si="782"/>
        <v>0.32756013250756155</v>
      </c>
      <c r="DA191" s="124">
        <f t="shared" si="782"/>
        <v>0.31906073074900226</v>
      </c>
      <c r="DB191" s="995">
        <f t="shared" si="782"/>
        <v>0.32516350187181453</v>
      </c>
      <c r="DC191" s="124">
        <f t="shared" si="782"/>
        <v>0.33628716368072947</v>
      </c>
      <c r="DD191" s="124">
        <f t="shared" si="782"/>
        <v>0.33025078849863737</v>
      </c>
      <c r="DE191" s="124">
        <f t="shared" si="782"/>
        <v>0.32477771191464139</v>
      </c>
      <c r="DF191" s="124">
        <f t="shared" si="782"/>
        <v>0.3119207658621041</v>
      </c>
      <c r="DG191" s="995">
        <f t="shared" si="782"/>
        <v>0.32501333879066502</v>
      </c>
      <c r="DH191" s="124">
        <f t="shared" si="782"/>
        <v>0.32108753680618618</v>
      </c>
      <c r="DI191" s="124">
        <f t="shared" si="782"/>
        <v>0.31617193919474118</v>
      </c>
      <c r="DJ191" s="124">
        <f t="shared" si="782"/>
        <v>0.31025457418701696</v>
      </c>
      <c r="DK191" s="124">
        <f t="shared" si="782"/>
        <v>0.30600108518719477</v>
      </c>
      <c r="DL191" s="5251">
        <f t="shared" si="782"/>
        <v>0.31289965834038691</v>
      </c>
      <c r="DM191" s="5252">
        <f t="shared" si="782"/>
        <v>0.31208241210913773</v>
      </c>
      <c r="DN191" s="5252">
        <f t="shared" si="782"/>
        <v>0.29670731388881638</v>
      </c>
      <c r="DO191" s="5252">
        <f t="shared" si="782"/>
        <v>0.30156151863643255</v>
      </c>
      <c r="DP191" s="5252">
        <f t="shared" si="782"/>
        <v>0.30296319730043236</v>
      </c>
      <c r="DQ191" s="5251">
        <f t="shared" si="782"/>
        <v>0.30335238074367082</v>
      </c>
      <c r="DR191" s="5252">
        <f t="shared" ref="DR191:EA191" si="783">DR186/DR$170</f>
        <v>0.3078967350037965</v>
      </c>
      <c r="DS191" s="5252">
        <f t="shared" si="783"/>
        <v>0.30840336134453783</v>
      </c>
      <c r="DT191" s="5252">
        <f t="shared" si="783"/>
        <v>0.30466230535335853</v>
      </c>
      <c r="DU191" s="5252">
        <f t="shared" si="783"/>
        <v>0.30737470959176899</v>
      </c>
      <c r="DV191" s="5251">
        <f t="shared" si="783"/>
        <v>0.30704828887155183</v>
      </c>
      <c r="DW191" s="5252">
        <f t="shared" si="783"/>
        <v>0.2987310876181794</v>
      </c>
      <c r="DX191" s="5252">
        <f t="shared" si="783"/>
        <v>0.29465451675396426</v>
      </c>
      <c r="DY191" s="5252">
        <f>DY186/DY$170</f>
        <v>0.28150871302032071</v>
      </c>
      <c r="DZ191" s="5252">
        <f>DZ186/DZ$170</f>
        <v>0.2861613717652009</v>
      </c>
      <c r="EA191" s="995">
        <f t="shared" si="783"/>
        <v>0.29013986904071615</v>
      </c>
      <c r="EB191" s="5252">
        <f t="shared" ref="EB191:EN191" si="784">EB186/EB$170</f>
        <v>0.30203332998982618</v>
      </c>
      <c r="EC191" s="5252">
        <f t="shared" si="784"/>
        <v>0.29876414133290441</v>
      </c>
      <c r="ED191" s="5252">
        <f t="shared" si="784"/>
        <v>0.29547677102212716</v>
      </c>
      <c r="EE191" s="5252">
        <f>EE186/EE$170</f>
        <v>0.28976943575483721</v>
      </c>
      <c r="EF191" s="995">
        <f t="shared" si="784"/>
        <v>0.29616062772858287</v>
      </c>
      <c r="EG191" s="5252">
        <f t="shared" ref="EG191:EI191" si="785">EG186/EG$170</f>
        <v>0.29536001191969108</v>
      </c>
      <c r="EH191" s="5252">
        <f t="shared" si="785"/>
        <v>0.29127233249156265</v>
      </c>
      <c r="EI191" s="5252">
        <f t="shared" si="785"/>
        <v>0.28857570127339466</v>
      </c>
      <c r="EJ191" s="5252">
        <f>EJ186/EJ$170</f>
        <v>0.29215602939804497</v>
      </c>
      <c r="EK191" s="995">
        <f t="shared" si="784"/>
        <v>0.29177642292682093</v>
      </c>
      <c r="EL191" s="5252">
        <f t="shared" si="784"/>
        <v>0.28728638872265444</v>
      </c>
      <c r="EM191" s="5252">
        <f t="shared" si="784"/>
        <v>0.2930891442319658</v>
      </c>
      <c r="EN191" s="5252">
        <f t="shared" si="784"/>
        <v>0.29225372755163859</v>
      </c>
      <c r="EO191" s="124">
        <f t="shared" ref="EO191:EP191" si="786">EO186/EO$170</f>
        <v>0.29636592599431355</v>
      </c>
      <c r="EP191" s="995">
        <f t="shared" si="786"/>
        <v>0.29248777837884504</v>
      </c>
      <c r="EQ191" s="124">
        <f t="shared" ref="EQ191:EU191" si="787">EQ186/EQ$170</f>
        <v>0.2983556405656474</v>
      </c>
      <c r="ER191" s="124">
        <f t="shared" si="787"/>
        <v>0.2908221099293779</v>
      </c>
      <c r="ES191" s="124">
        <f t="shared" si="787"/>
        <v>0.28317200138609377</v>
      </c>
      <c r="ET191" s="124">
        <f t="shared" si="787"/>
        <v>0.28873697083510697</v>
      </c>
      <c r="EU191" s="995">
        <f t="shared" si="787"/>
        <v>0.29000945059187572</v>
      </c>
      <c r="EV191" s="995">
        <f>EV186/EV$170</f>
        <v>0.28660100448967385</v>
      </c>
      <c r="EW191" s="995">
        <f>EW186/EW$170</f>
        <v>0.28439453262425013</v>
      </c>
      <c r="EX191" s="995">
        <f>EX186/EX$170</f>
        <v>0.28212995151889997</v>
      </c>
      <c r="EY191" s="995">
        <f>EY186/EY$170</f>
        <v>0.28000263540945608</v>
      </c>
      <c r="EZ191" s="127"/>
      <c r="FA191" s="725"/>
      <c r="FB191" s="725"/>
    </row>
    <row r="192" spans="1:158" s="220" customFormat="1" ht="11.25" customHeight="1">
      <c r="A192" s="5668" t="s">
        <v>558</v>
      </c>
      <c r="B192" s="2237"/>
      <c r="C192" s="2237"/>
      <c r="D192" s="2237"/>
      <c r="E192" s="2237"/>
      <c r="F192" s="5599"/>
      <c r="G192" s="2237"/>
      <c r="H192" s="2237"/>
      <c r="I192" s="2266"/>
      <c r="J192" s="2266"/>
      <c r="K192" s="2236"/>
      <c r="L192" s="2237"/>
      <c r="M192" s="2237"/>
      <c r="N192" s="2237"/>
      <c r="O192" s="2237"/>
      <c r="P192" s="2236"/>
      <c r="Q192" s="2237"/>
      <c r="R192" s="2237"/>
      <c r="S192" s="2237"/>
      <c r="T192" s="2237"/>
      <c r="U192" s="2236"/>
      <c r="V192" s="2237"/>
      <c r="W192" s="2237"/>
      <c r="X192" s="2237"/>
      <c r="Y192" s="2237"/>
      <c r="Z192" s="2236"/>
      <c r="AA192" s="2237"/>
      <c r="AB192" s="2237"/>
      <c r="AC192" s="2267"/>
      <c r="AD192" s="2267"/>
      <c r="AE192" s="2236"/>
      <c r="AF192" s="2237"/>
      <c r="AG192" s="2235"/>
      <c r="AH192" s="2235"/>
      <c r="AI192" s="2235"/>
      <c r="AJ192" s="2236"/>
      <c r="AK192" s="2235"/>
      <c r="AL192" s="2235"/>
      <c r="AM192" s="2235"/>
      <c r="AN192" s="2235"/>
      <c r="AO192" s="2236"/>
      <c r="AP192" s="2268"/>
      <c r="AQ192" s="2268"/>
      <c r="AR192" s="2268"/>
      <c r="AS192" s="2237"/>
      <c r="AT192" s="2236"/>
      <c r="AU192" s="2269"/>
      <c r="AV192" s="2269"/>
      <c r="AW192" s="2269"/>
      <c r="AX192" s="2237"/>
      <c r="AY192" s="2236"/>
      <c r="AZ192" s="2269"/>
      <c r="BA192" s="2269"/>
      <c r="BB192" s="2269"/>
      <c r="BC192" s="2237"/>
      <c r="BD192" s="2236"/>
      <c r="BE192" s="2270"/>
      <c r="BF192" s="2270"/>
      <c r="BG192" s="2270"/>
      <c r="BH192" s="2270"/>
      <c r="BI192" s="2236"/>
      <c r="BJ192" s="2270"/>
      <c r="BK192" s="2270"/>
      <c r="BL192" s="2270"/>
      <c r="BM192" s="2270"/>
      <c r="BN192" s="2236"/>
      <c r="BO192" s="2237"/>
      <c r="BP192" s="2237"/>
      <c r="BQ192" s="2237"/>
      <c r="BR192" s="2237"/>
      <c r="BS192" s="2236"/>
      <c r="BT192" s="2270"/>
      <c r="BU192" s="2270"/>
      <c r="BV192" s="2270"/>
      <c r="BW192" s="2270"/>
      <c r="BX192" s="2236"/>
      <c r="BY192" s="2237"/>
      <c r="BZ192" s="2237"/>
      <c r="CA192" s="2237"/>
      <c r="CB192" s="2237"/>
      <c r="CC192" s="2236"/>
      <c r="CD192" s="2270"/>
      <c r="CE192" s="2270"/>
      <c r="CF192" s="2270"/>
      <c r="CG192" s="2270"/>
      <c r="CH192" s="2236"/>
      <c r="CI192" s="2235"/>
      <c r="CJ192" s="2237"/>
      <c r="CK192" s="2237"/>
      <c r="CL192" s="2237"/>
      <c r="CM192" s="2236"/>
      <c r="CN192" s="2271"/>
      <c r="CO192" s="2270"/>
      <c r="CP192" s="2270"/>
      <c r="CQ192" s="2270"/>
      <c r="CR192" s="3457">
        <v>9887</v>
      </c>
      <c r="CS192" s="2268">
        <v>2799</v>
      </c>
      <c r="CT192" s="2271">
        <v>2904</v>
      </c>
      <c r="CU192" s="2271">
        <v>3248</v>
      </c>
      <c r="CV192" s="2271">
        <v>3608</v>
      </c>
      <c r="CW192" s="2236">
        <f>SUM(CS192:CV192)</f>
        <v>12559</v>
      </c>
      <c r="CX192" s="2271">
        <v>3619</v>
      </c>
      <c r="CY192" s="2271">
        <v>3730</v>
      </c>
      <c r="CZ192" s="2271">
        <v>4199</v>
      </c>
      <c r="DA192" s="2271">
        <v>4687</v>
      </c>
      <c r="DB192" s="2236">
        <f>SUM(CX192:DA192)</f>
        <v>16235</v>
      </c>
      <c r="DC192" s="4432">
        <v>4804</v>
      </c>
      <c r="DD192" s="4432">
        <v>5090</v>
      </c>
      <c r="DE192" s="4432">
        <v>5424</v>
      </c>
      <c r="DF192" s="2271">
        <v>6031</v>
      </c>
      <c r="DG192" s="2236">
        <f>SUM(DC192:DF192)</f>
        <v>21349</v>
      </c>
      <c r="DH192" s="2271">
        <v>6096</v>
      </c>
      <c r="DI192" s="2271">
        <v>6536</v>
      </c>
      <c r="DJ192" s="2271">
        <v>6814</v>
      </c>
      <c r="DK192" s="2271">
        <v>7482</v>
      </c>
      <c r="DL192" s="5250">
        <f>SUM(DH192:DK192)</f>
        <v>26928</v>
      </c>
      <c r="DM192" s="5249">
        <v>7238</v>
      </c>
      <c r="DN192" s="5249">
        <v>6945</v>
      </c>
      <c r="DO192" s="5249">
        <v>8458</v>
      </c>
      <c r="DP192" s="5249">
        <v>9909</v>
      </c>
      <c r="DQ192" s="5250">
        <f>SUM(DM192:DP192)</f>
        <v>32550</v>
      </c>
      <c r="DR192" s="5249">
        <v>10455</v>
      </c>
      <c r="DS192" s="5249">
        <v>11231</v>
      </c>
      <c r="DT192" s="5249">
        <v>11705</v>
      </c>
      <c r="DU192" s="5249">
        <v>12732</v>
      </c>
      <c r="DV192" s="5250">
        <f>SUM(DR192:DU192)</f>
        <v>46123</v>
      </c>
      <c r="DW192" s="5249">
        <v>11841</v>
      </c>
      <c r="DX192" s="5249">
        <v>11710</v>
      </c>
      <c r="DY192" s="5249">
        <v>11494</v>
      </c>
      <c r="DZ192" s="5249">
        <v>11979</v>
      </c>
      <c r="EA192" s="2236">
        <f>SUM(DW192:DZ192)</f>
        <v>47024</v>
      </c>
      <c r="EB192" s="5249">
        <v>11681</v>
      </c>
      <c r="EC192" s="5249">
        <v>12728</v>
      </c>
      <c r="ED192" s="5249">
        <v>13126</v>
      </c>
      <c r="EE192" s="5249">
        <v>13979</v>
      </c>
      <c r="EF192" s="2236">
        <f>SUM(EB192:EE192)</f>
        <v>51514</v>
      </c>
      <c r="EG192" s="5249">
        <v>13289</v>
      </c>
      <c r="EH192" s="5249">
        <v>13823</v>
      </c>
      <c r="EI192" s="5249">
        <v>14547</v>
      </c>
      <c r="EJ192" s="5249">
        <v>15156</v>
      </c>
      <c r="EK192" s="2236">
        <f>SUM(EG192:EJ192)</f>
        <v>56815</v>
      </c>
      <c r="EL192" s="5249">
        <v>14854</v>
      </c>
      <c r="EM192" s="5249">
        <v>16480</v>
      </c>
      <c r="EN192" s="5249">
        <v>17819</v>
      </c>
      <c r="EO192" s="3914">
        <f t="shared" ref="EO192" si="788">EO264</f>
        <v>18195.600714335844</v>
      </c>
      <c r="EP192" s="2236">
        <f>SUM(EL192:EO192)</f>
        <v>67348.600714335844</v>
      </c>
      <c r="EQ192" s="3914">
        <f t="shared" ref="EQ192:ET192" si="789">EQ264</f>
        <v>18694.208416817044</v>
      </c>
      <c r="ER192" s="3914">
        <f t="shared" si="789"/>
        <v>20499.003770269366</v>
      </c>
      <c r="ES192" s="3914">
        <f t="shared" si="789"/>
        <v>21951.774076887919</v>
      </c>
      <c r="ET192" s="3914">
        <f t="shared" si="789"/>
        <v>22507.444120704291</v>
      </c>
      <c r="EU192" s="2236">
        <f>SUM(EQ192:ET192)</f>
        <v>83652.430384678621</v>
      </c>
      <c r="EV192" s="3942">
        <f>EV264</f>
        <v>96953.166815842531</v>
      </c>
      <c r="EW192" s="3942">
        <f>EW264</f>
        <v>109557.07850190205</v>
      </c>
      <c r="EX192" s="3942">
        <f>EX264</f>
        <v>122813.48500063221</v>
      </c>
      <c r="EY192" s="3942">
        <f>EY264</f>
        <v>136322.96835070176</v>
      </c>
      <c r="EZ192" s="218"/>
      <c r="FA192" s="1319">
        <f>(EV192/EK192)^(1/3)-1</f>
        <v>0.19499566377435684</v>
      </c>
      <c r="FB192" s="1319">
        <f>(EX192/EK192)^(1/5)-1</f>
        <v>0.16669304480505653</v>
      </c>
    </row>
    <row r="193" spans="1:158" s="183" customFormat="1" ht="11.25" customHeight="1">
      <c r="A193" s="5639" t="s">
        <v>45</v>
      </c>
      <c r="B193" s="181"/>
      <c r="C193" s="181"/>
      <c r="D193" s="181"/>
      <c r="E193" s="181"/>
      <c r="F193" s="4242"/>
      <c r="G193" s="181"/>
      <c r="H193" s="181"/>
      <c r="I193" s="221"/>
      <c r="J193" s="221"/>
      <c r="K193" s="991"/>
      <c r="L193" s="181"/>
      <c r="M193" s="181"/>
      <c r="N193" s="181"/>
      <c r="O193" s="181"/>
      <c r="P193" s="2588"/>
      <c r="Q193" s="181"/>
      <c r="R193" s="181"/>
      <c r="S193" s="181"/>
      <c r="T193" s="181"/>
      <c r="U193" s="2588"/>
      <c r="V193" s="181"/>
      <c r="W193" s="181"/>
      <c r="X193" s="181"/>
      <c r="Y193" s="181"/>
      <c r="Z193" s="2588"/>
      <c r="AA193" s="2612"/>
      <c r="AB193" s="2612"/>
      <c r="AC193" s="2612"/>
      <c r="AD193" s="2612"/>
      <c r="AE193" s="2588"/>
      <c r="AF193" s="181"/>
      <c r="AG193" s="222"/>
      <c r="AH193" s="2612"/>
      <c r="AI193" s="2612"/>
      <c r="AJ193" s="2588"/>
      <c r="AK193" s="181"/>
      <c r="AL193" s="222"/>
      <c r="AM193" s="222"/>
      <c r="AN193" s="222"/>
      <c r="AO193" s="2588"/>
      <c r="AP193" s="181"/>
      <c r="AQ193" s="222"/>
      <c r="AR193" s="222"/>
      <c r="AS193" s="222"/>
      <c r="AT193" s="2588"/>
      <c r="AU193" s="181"/>
      <c r="AV193" s="222"/>
      <c r="AW193" s="222"/>
      <c r="AX193" s="222"/>
      <c r="AY193" s="2588"/>
      <c r="AZ193" s="181"/>
      <c r="BA193" s="222"/>
      <c r="BB193" s="222"/>
      <c r="BC193" s="222"/>
      <c r="BD193" s="2588"/>
      <c r="BE193" s="181"/>
      <c r="BF193" s="222"/>
      <c r="BG193" s="222"/>
      <c r="BH193" s="222"/>
      <c r="BI193" s="2588"/>
      <c r="BJ193" s="181"/>
      <c r="BK193" s="205"/>
      <c r="BL193" s="205"/>
      <c r="BM193" s="222"/>
      <c r="BN193" s="2588"/>
      <c r="BO193" s="2612"/>
      <c r="BP193" s="2612"/>
      <c r="BQ193" s="2612"/>
      <c r="BR193" s="2612"/>
      <c r="BS193" s="2588"/>
      <c r="BT193" s="181"/>
      <c r="BU193" s="205"/>
      <c r="BV193" s="205"/>
      <c r="BW193" s="222"/>
      <c r="BX193" s="2588"/>
      <c r="BY193" s="2612"/>
      <c r="BZ193" s="2612"/>
      <c r="CA193" s="2612"/>
      <c r="CB193" s="2612"/>
      <c r="CC193" s="2588"/>
      <c r="CD193" s="181"/>
      <c r="CE193" s="205"/>
      <c r="CF193" s="205"/>
      <c r="CG193" s="222"/>
      <c r="CH193" s="2588"/>
      <c r="CI193" s="222"/>
      <c r="CJ193" s="205"/>
      <c r="CK193" s="205"/>
      <c r="CL193" s="222"/>
      <c r="CM193" s="2588"/>
      <c r="CN193" s="222"/>
      <c r="CO193" s="205"/>
      <c r="CP193" s="205"/>
      <c r="CQ193" s="205"/>
      <c r="CR193" s="2597"/>
      <c r="CS193" s="2251"/>
      <c r="CT193" s="2251"/>
      <c r="CU193" s="2251"/>
      <c r="CV193" s="2251"/>
      <c r="CW193" s="2588">
        <f t="shared" ref="CW193:DB193" si="790">CW192/CR192-1</f>
        <v>0.27025386871649637</v>
      </c>
      <c r="CX193" s="222">
        <f>CX192/CS192-1</f>
        <v>0.29296177206145058</v>
      </c>
      <c r="CY193" s="2612">
        <f t="shared" si="790"/>
        <v>0.28443526170798905</v>
      </c>
      <c r="CZ193" s="2612">
        <f t="shared" si="790"/>
        <v>0.29279556650246308</v>
      </c>
      <c r="DA193" s="2612">
        <f t="shared" si="790"/>
        <v>0.29905764966740578</v>
      </c>
      <c r="DB193" s="2588">
        <f t="shared" si="790"/>
        <v>0.29269846325344373</v>
      </c>
      <c r="DC193" s="222">
        <f t="shared" ref="DC193:DQ193" si="791">DC192/CX192-1</f>
        <v>0.32743851892788056</v>
      </c>
      <c r="DD193" s="2612">
        <f t="shared" si="791"/>
        <v>0.36461126005361932</v>
      </c>
      <c r="DE193" s="2612">
        <f t="shared" si="791"/>
        <v>0.29173612764944035</v>
      </c>
      <c r="DF193" s="2612">
        <f t="shared" si="791"/>
        <v>0.28675058672925102</v>
      </c>
      <c r="DG193" s="2588">
        <f t="shared" si="791"/>
        <v>0.31499846011703103</v>
      </c>
      <c r="DH193" s="222">
        <f t="shared" si="791"/>
        <v>0.2689425478767693</v>
      </c>
      <c r="DI193" s="2612">
        <f t="shared" si="791"/>
        <v>0.28408644400785854</v>
      </c>
      <c r="DJ193" s="2612">
        <f t="shared" si="791"/>
        <v>0.25626843657817111</v>
      </c>
      <c r="DK193" s="2612">
        <f t="shared" si="791"/>
        <v>0.24059028353506884</v>
      </c>
      <c r="DL193" s="5253">
        <f t="shared" si="791"/>
        <v>0.26132371539650578</v>
      </c>
      <c r="DM193" s="5237">
        <f t="shared" si="791"/>
        <v>0.18733595800524938</v>
      </c>
      <c r="DN193" s="5237">
        <f t="shared" si="791"/>
        <v>6.2576499388004914E-2</v>
      </c>
      <c r="DO193" s="5237">
        <f t="shared" si="791"/>
        <v>0.24126797769298514</v>
      </c>
      <c r="DP193" s="5237">
        <f t="shared" si="791"/>
        <v>0.32437850842020843</v>
      </c>
      <c r="DQ193" s="5253">
        <f t="shared" si="791"/>
        <v>0.20877896613190727</v>
      </c>
      <c r="DR193" s="5237">
        <f t="shared" ref="DR193:EN193" si="792">DR192/DM192-1</f>
        <v>0.44445979552362536</v>
      </c>
      <c r="DS193" s="5237">
        <f t="shared" si="792"/>
        <v>0.61713462922966156</v>
      </c>
      <c r="DT193" s="5237">
        <f t="shared" si="792"/>
        <v>0.38389690234097906</v>
      </c>
      <c r="DU193" s="5237">
        <f t="shared" si="792"/>
        <v>0.28489252194974268</v>
      </c>
      <c r="DV193" s="5253">
        <f t="shared" si="792"/>
        <v>0.41698924731182796</v>
      </c>
      <c r="DW193" s="5237">
        <f t="shared" si="792"/>
        <v>0.13256814921090387</v>
      </c>
      <c r="DX193" s="5237">
        <f t="shared" si="792"/>
        <v>4.2649808565577318E-2</v>
      </c>
      <c r="DY193" s="5237">
        <f t="shared" si="792"/>
        <v>-1.8026484408372512E-2</v>
      </c>
      <c r="DZ193" s="5237">
        <f t="shared" si="792"/>
        <v>-5.9142318567389274E-2</v>
      </c>
      <c r="EA193" s="2588">
        <f t="shared" si="792"/>
        <v>1.9534722372785751E-2</v>
      </c>
      <c r="EB193" s="5237">
        <f t="shared" si="792"/>
        <v>-1.3512372265855888E-2</v>
      </c>
      <c r="EC193" s="5237">
        <f t="shared" si="792"/>
        <v>8.6934244235695957E-2</v>
      </c>
      <c r="ED193" s="5237">
        <f t="shared" si="792"/>
        <v>0.14198712371672184</v>
      </c>
      <c r="EE193" s="5237">
        <f t="shared" si="792"/>
        <v>0.16695884464479516</v>
      </c>
      <c r="EF193" s="2588">
        <f t="shared" ref="EF193:EK193" si="793">EF192/EA192-1</f>
        <v>9.5483157536577101E-2</v>
      </c>
      <c r="EG193" s="5237">
        <f t="shared" si="792"/>
        <v>0.13765944696515708</v>
      </c>
      <c r="EH193" s="5237">
        <f t="shared" si="792"/>
        <v>8.6030798240100514E-2</v>
      </c>
      <c r="EI193" s="5237">
        <f t="shared" si="792"/>
        <v>0.10825841840621675</v>
      </c>
      <c r="EJ193" s="5237">
        <f t="shared" si="792"/>
        <v>8.4197725159167236E-2</v>
      </c>
      <c r="EK193" s="2588">
        <f t="shared" si="793"/>
        <v>0.10290406491439219</v>
      </c>
      <c r="EL193" s="5237">
        <f t="shared" si="792"/>
        <v>0.11776657385807821</v>
      </c>
      <c r="EM193" s="5237">
        <f t="shared" si="792"/>
        <v>0.19221587209722935</v>
      </c>
      <c r="EN193" s="5237">
        <f t="shared" si="792"/>
        <v>0.22492610160170479</v>
      </c>
      <c r="EO193" s="2612">
        <f t="shared" ref="EO193:EP193" si="794">EO192/EJ192-1</f>
        <v>0.20055428307837442</v>
      </c>
      <c r="EP193" s="2588">
        <f t="shared" si="794"/>
        <v>0.18540175507059486</v>
      </c>
      <c r="EQ193" s="2612">
        <f t="shared" ref="EQ193" si="795">EQ192/EL192-1</f>
        <v>0.25853025560906451</v>
      </c>
      <c r="ER193" s="2612">
        <f t="shared" ref="ER193" si="796">ER192/EM192-1</f>
        <v>0.24387158800178188</v>
      </c>
      <c r="ES193" s="2612">
        <f t="shared" ref="ES193" si="797">ES192/EN192-1</f>
        <v>0.23193075239283467</v>
      </c>
      <c r="ET193" s="2612">
        <f t="shared" ref="ET193:EU193" si="798">ET192/EO192-1</f>
        <v>0.23697175345089083</v>
      </c>
      <c r="EU193" s="2588">
        <f t="shared" si="798"/>
        <v>0.24208119392853744</v>
      </c>
      <c r="EV193" s="2588">
        <f>EV192/EU192-1</f>
        <v>0.15900000000000003</v>
      </c>
      <c r="EW193" s="2588">
        <f>EW192/EV192-1</f>
        <v>0.12999999999999989</v>
      </c>
      <c r="EX193" s="2588">
        <f>EX192/EW192-1</f>
        <v>0.121</v>
      </c>
      <c r="EY193" s="2588">
        <f>EY192/EX192-1</f>
        <v>0.1100000000000001</v>
      </c>
      <c r="EZ193" s="169"/>
      <c r="FA193" s="1382"/>
      <c r="FB193" s="1382"/>
    </row>
    <row r="194" spans="1:158" s="183" customFormat="1" ht="11.25" customHeight="1">
      <c r="A194" s="5643" t="s">
        <v>496</v>
      </c>
      <c r="B194" s="1098"/>
      <c r="C194" s="1098"/>
      <c r="D194" s="1098"/>
      <c r="E194" s="1098"/>
      <c r="F194" s="4245"/>
      <c r="G194" s="1098"/>
      <c r="H194" s="1098"/>
      <c r="I194" s="2871"/>
      <c r="J194" s="2871"/>
      <c r="K194" s="2876"/>
      <c r="L194" s="1098"/>
      <c r="M194" s="1098"/>
      <c r="N194" s="1098"/>
      <c r="O194" s="1098"/>
      <c r="P194" s="2290"/>
      <c r="Q194" s="1098"/>
      <c r="R194" s="1098"/>
      <c r="S194" s="1098"/>
      <c r="T194" s="1098"/>
      <c r="U194" s="2290"/>
      <c r="V194" s="1098"/>
      <c r="W194" s="1098"/>
      <c r="X194" s="1098"/>
      <c r="Y194" s="1098"/>
      <c r="Z194" s="2290"/>
      <c r="AA194" s="2288"/>
      <c r="AB194" s="2288"/>
      <c r="AC194" s="2288"/>
      <c r="AD194" s="2288"/>
      <c r="AE194" s="2290"/>
      <c r="AF194" s="1098"/>
      <c r="AG194" s="2874"/>
      <c r="AH194" s="2288"/>
      <c r="AI194" s="2288"/>
      <c r="AJ194" s="2290"/>
      <c r="AK194" s="1098"/>
      <c r="AL194" s="2874"/>
      <c r="AM194" s="2874"/>
      <c r="AN194" s="2874"/>
      <c r="AO194" s="2290"/>
      <c r="AP194" s="1098"/>
      <c r="AQ194" s="2874"/>
      <c r="AR194" s="2874"/>
      <c r="AS194" s="2874"/>
      <c r="AT194" s="2290"/>
      <c r="AU194" s="1098"/>
      <c r="AV194" s="2874"/>
      <c r="AW194" s="2874"/>
      <c r="AX194" s="2874"/>
      <c r="AY194" s="2290"/>
      <c r="AZ194" s="1098"/>
      <c r="BA194" s="2874"/>
      <c r="BB194" s="2874"/>
      <c r="BC194" s="2874"/>
      <c r="BD194" s="2290"/>
      <c r="BE194" s="1098"/>
      <c r="BF194" s="2874"/>
      <c r="BG194" s="2874"/>
      <c r="BH194" s="2874"/>
      <c r="BI194" s="2290"/>
      <c r="BJ194" s="1098"/>
      <c r="BK194" s="2500"/>
      <c r="BL194" s="2500"/>
      <c r="BM194" s="2874"/>
      <c r="BN194" s="2290"/>
      <c r="BO194" s="2288"/>
      <c r="BP194" s="2288"/>
      <c r="BQ194" s="2288"/>
      <c r="BR194" s="2288"/>
      <c r="BS194" s="2290"/>
      <c r="BT194" s="1098"/>
      <c r="BU194" s="2500"/>
      <c r="BV194" s="2500"/>
      <c r="BW194" s="2874"/>
      <c r="BX194" s="2290"/>
      <c r="BY194" s="2288"/>
      <c r="BZ194" s="2288"/>
      <c r="CA194" s="2288"/>
      <c r="CB194" s="2288"/>
      <c r="CC194" s="2290"/>
      <c r="CD194" s="1098"/>
      <c r="CE194" s="2500"/>
      <c r="CF194" s="2500"/>
      <c r="CG194" s="2874"/>
      <c r="CH194" s="2290"/>
      <c r="CI194" s="2874"/>
      <c r="CJ194" s="2500"/>
      <c r="CK194" s="2500"/>
      <c r="CL194" s="2874"/>
      <c r="CM194" s="2290"/>
      <c r="CN194" s="2874"/>
      <c r="CO194" s="2500"/>
      <c r="CP194" s="2500"/>
      <c r="CQ194" s="2500"/>
      <c r="CR194" s="2290">
        <f>CR278</f>
        <v>0.30248500428449021</v>
      </c>
      <c r="CS194" s="2875"/>
      <c r="CT194" s="2875"/>
      <c r="CU194" s="2875"/>
      <c r="CV194" s="2875"/>
      <c r="CW194" s="2290">
        <f t="shared" ref="CW194:DQ194" si="799">CW278</f>
        <v>0.27206189878711839</v>
      </c>
      <c r="CX194" s="2874">
        <f t="shared" si="799"/>
        <v>0.26154401154401152</v>
      </c>
      <c r="CY194" s="2288">
        <f t="shared" si="799"/>
        <v>0.2741379310344827</v>
      </c>
      <c r="CZ194" s="2288">
        <f t="shared" si="799"/>
        <v>0.31496305418719217</v>
      </c>
      <c r="DA194" s="2288">
        <f t="shared" si="799"/>
        <v>0.31790465631929044</v>
      </c>
      <c r="DB194" s="2290">
        <f t="shared" si="799"/>
        <v>0.29454022988505746</v>
      </c>
      <c r="DC194" s="2874">
        <f t="shared" si="799"/>
        <v>0.29803370786516847</v>
      </c>
      <c r="DD194" s="2288">
        <f t="shared" si="799"/>
        <v>0.34417854261898362</v>
      </c>
      <c r="DE194" s="2288">
        <f t="shared" si="799"/>
        <v>0.30305904671567463</v>
      </c>
      <c r="DF194" s="2288">
        <f t="shared" si="799"/>
        <v>0.31537478705281097</v>
      </c>
      <c r="DG194" s="2290">
        <f t="shared" si="799"/>
        <v>0.31497035573122534</v>
      </c>
      <c r="DH194" s="2874">
        <f t="shared" si="799"/>
        <v>0.30628761153766337</v>
      </c>
      <c r="DI194" s="2288">
        <f t="shared" si="799"/>
        <v>0.3267190569744598</v>
      </c>
      <c r="DJ194" s="2288">
        <f t="shared" si="799"/>
        <v>0.26476578411405294</v>
      </c>
      <c r="DK194" s="2288">
        <f t="shared" si="799"/>
        <v>0.23312883435582821</v>
      </c>
      <c r="DL194" s="5082">
        <f t="shared" si="799"/>
        <v>0.27997750808303268</v>
      </c>
      <c r="DM194" s="5074">
        <f t="shared" si="799"/>
        <v>0.19734251968503935</v>
      </c>
      <c r="DN194" s="5074">
        <f t="shared" si="799"/>
        <v>7.8641370869033E-2</v>
      </c>
      <c r="DO194" s="5074">
        <f t="shared" si="799"/>
        <v>0.24141473437041383</v>
      </c>
      <c r="DP194" s="5074">
        <f t="shared" si="799"/>
        <v>0.30352846832397762</v>
      </c>
      <c r="DQ194" s="5082">
        <f t="shared" si="799"/>
        <v>0.20918746286393342</v>
      </c>
      <c r="DR194" s="5074">
        <f t="shared" ref="DR194:EA194" si="800">DR278</f>
        <v>0.39430781983973473</v>
      </c>
      <c r="DS194" s="5074">
        <f t="shared" si="800"/>
        <v>0.56673866090712743</v>
      </c>
      <c r="DT194" s="5074">
        <f t="shared" si="800"/>
        <v>0.38295105225821713</v>
      </c>
      <c r="DU194" s="5074">
        <f t="shared" si="800"/>
        <v>0.31153496821071758</v>
      </c>
      <c r="DV194" s="5082">
        <f t="shared" si="800"/>
        <v>0.40294930875576029</v>
      </c>
      <c r="DW194" s="5074">
        <f t="shared" si="800"/>
        <v>0.18986131037780973</v>
      </c>
      <c r="DX194" s="5074">
        <f t="shared" si="800"/>
        <v>0.10996349390081028</v>
      </c>
      <c r="DY194" s="5074">
        <f>DY278</f>
        <v>7.6804784280222194E-2</v>
      </c>
      <c r="DZ194" s="5074">
        <f>DZ278</f>
        <v>5.4743952246308458E-2</v>
      </c>
      <c r="EA194" s="2290">
        <f t="shared" si="800"/>
        <v>0.10441645166186064</v>
      </c>
      <c r="EB194" s="5074">
        <f t="shared" ref="EB194:EN194" si="801">EB278</f>
        <v>5.6920868169918037E-2</v>
      </c>
      <c r="EC194" s="5074">
        <f t="shared" si="801"/>
        <v>0.13518360375747229</v>
      </c>
      <c r="ED194" s="5074">
        <f t="shared" si="801"/>
        <v>0.16547764050809111</v>
      </c>
      <c r="EE194" s="5074">
        <f>EE278</f>
        <v>0.17447199265381075</v>
      </c>
      <c r="EF194" s="2290">
        <f t="shared" si="801"/>
        <v>0.13288958829533848</v>
      </c>
      <c r="EG194" s="5074">
        <f t="shared" ref="EG194:EI194" si="802">EG278</f>
        <v>0.17524184573238588</v>
      </c>
      <c r="EH194" s="5074">
        <f t="shared" si="802"/>
        <v>0.13277812696417346</v>
      </c>
      <c r="EI194" s="5074">
        <f t="shared" si="802"/>
        <v>0.12997104982477525</v>
      </c>
      <c r="EJ194" s="5074">
        <f>EJ278</f>
        <v>8.7774518921239109E-2</v>
      </c>
      <c r="EK194" s="2290">
        <f t="shared" si="801"/>
        <v>0.12947936483286093</v>
      </c>
      <c r="EL194" s="5074">
        <f t="shared" si="801"/>
        <v>0.14643690270148246</v>
      </c>
      <c r="EM194" s="5074">
        <f t="shared" si="801"/>
        <v>0.18389640454315281</v>
      </c>
      <c r="EN194" s="5074">
        <f t="shared" si="801"/>
        <v>0.21612703650237153</v>
      </c>
      <c r="EO194" s="2288">
        <f t="shared" ref="EO194:EP194" si="803">EO278</f>
        <v>0.23</v>
      </c>
      <c r="EP194" s="2290">
        <f t="shared" si="803"/>
        <v>0.19568564639619823</v>
      </c>
      <c r="EQ194" s="2288">
        <f t="shared" ref="EQ194:EU194" si="804">EQ278</f>
        <v>0.23</v>
      </c>
      <c r="ER194" s="2288">
        <f t="shared" si="804"/>
        <v>0.25</v>
      </c>
      <c r="ES194" s="2288">
        <f t="shared" si="804"/>
        <v>0.25</v>
      </c>
      <c r="ET194" s="2288">
        <f t="shared" si="804"/>
        <v>0.24</v>
      </c>
      <c r="EU194" s="2290">
        <f t="shared" si="804"/>
        <v>0.24288721663015345</v>
      </c>
      <c r="EV194" s="2290">
        <f>EV278</f>
        <v>0.159</v>
      </c>
      <c r="EW194" s="2290">
        <f>EW278</f>
        <v>0.13</v>
      </c>
      <c r="EX194" s="2290">
        <f>EX278</f>
        <v>0.121</v>
      </c>
      <c r="EY194" s="2290">
        <f>EY278</f>
        <v>0.11</v>
      </c>
      <c r="EZ194" s="169"/>
      <c r="FA194" s="1382"/>
      <c r="FB194" s="1382"/>
    </row>
    <row r="195" spans="1:158" s="138" customFormat="1" ht="11.25" customHeight="1">
      <c r="A195" s="5639" t="s">
        <v>46</v>
      </c>
      <c r="B195" s="124"/>
      <c r="C195" s="124"/>
      <c r="D195" s="124"/>
      <c r="E195" s="124"/>
      <c r="F195" s="3574"/>
      <c r="G195" s="124"/>
      <c r="H195" s="124"/>
      <c r="I195" s="173"/>
      <c r="J195" s="173"/>
      <c r="K195" s="997"/>
      <c r="L195" s="124"/>
      <c r="M195" s="124"/>
      <c r="N195" s="124"/>
      <c r="O195" s="124"/>
      <c r="P195" s="995"/>
      <c r="Q195" s="124"/>
      <c r="R195" s="124"/>
      <c r="S195" s="124"/>
      <c r="T195" s="124"/>
      <c r="U195" s="995"/>
      <c r="V195" s="124"/>
      <c r="W195" s="124"/>
      <c r="X195" s="124"/>
      <c r="Y195" s="124"/>
      <c r="Z195" s="995"/>
      <c r="AA195" s="2612"/>
      <c r="AB195" s="224"/>
      <c r="AC195" s="224"/>
      <c r="AD195" s="224"/>
      <c r="AE195" s="995"/>
      <c r="AF195" s="224"/>
      <c r="AG195" s="224"/>
      <c r="AH195" s="224"/>
      <c r="AI195" s="224"/>
      <c r="AJ195" s="995"/>
      <c r="AK195" s="224"/>
      <c r="AL195" s="224"/>
      <c r="AM195" s="224"/>
      <c r="AN195" s="224"/>
      <c r="AO195" s="995"/>
      <c r="AP195" s="224"/>
      <c r="AQ195" s="224"/>
      <c r="AR195" s="224"/>
      <c r="AS195" s="224"/>
      <c r="AT195" s="995"/>
      <c r="AU195" s="124"/>
      <c r="AV195" s="224"/>
      <c r="AW195" s="224"/>
      <c r="AX195" s="224"/>
      <c r="AY195" s="995"/>
      <c r="AZ195" s="124"/>
      <c r="BA195" s="224"/>
      <c r="BB195" s="224"/>
      <c r="BC195" s="225"/>
      <c r="BD195" s="995"/>
      <c r="BE195" s="225"/>
      <c r="BF195" s="225"/>
      <c r="BG195" s="225"/>
      <c r="BH195" s="225"/>
      <c r="BI195" s="995"/>
      <c r="BJ195" s="225"/>
      <c r="BK195" s="225"/>
      <c r="BL195" s="225"/>
      <c r="BM195" s="225"/>
      <c r="BN195" s="995"/>
      <c r="BO195" s="127"/>
      <c r="BP195" s="127"/>
      <c r="BQ195" s="127"/>
      <c r="BR195" s="127"/>
      <c r="BS195" s="1957"/>
      <c r="BT195" s="225"/>
      <c r="BU195" s="225"/>
      <c r="BV195" s="225"/>
      <c r="BW195" s="225"/>
      <c r="BX195" s="995"/>
      <c r="BY195" s="127"/>
      <c r="BZ195" s="127"/>
      <c r="CA195" s="127"/>
      <c r="CB195" s="127"/>
      <c r="CC195" s="1957"/>
      <c r="CD195" s="225"/>
      <c r="CE195" s="225"/>
      <c r="CF195" s="225"/>
      <c r="CG195" s="225"/>
      <c r="CH195" s="995"/>
      <c r="CI195" s="2612"/>
      <c r="CJ195" s="225"/>
      <c r="CK195" s="225"/>
      <c r="CL195" s="225"/>
      <c r="CM195" s="995"/>
      <c r="CN195" s="2612"/>
      <c r="CO195" s="225"/>
      <c r="CP195" s="225"/>
      <c r="CQ195" s="225"/>
      <c r="CR195" s="1122"/>
      <c r="CS195" s="2660"/>
      <c r="CT195" s="2612">
        <f>CT192/CS192-1</f>
        <v>3.7513397642015001E-2</v>
      </c>
      <c r="CU195" s="2612">
        <f>CU192/CT192-1</f>
        <v>0.11845730027548207</v>
      </c>
      <c r="CV195" s="2612">
        <f>CV192/CU192-1</f>
        <v>0.11083743842364524</v>
      </c>
      <c r="CW195" s="995"/>
      <c r="CX195" s="2612">
        <f>CX192/CV192-1</f>
        <v>3.0487804878047697E-3</v>
      </c>
      <c r="CY195" s="2612">
        <f>CY192/CX192-1</f>
        <v>3.0671456203371195E-2</v>
      </c>
      <c r="CZ195" s="2612">
        <f>CZ192/CY192-1</f>
        <v>0.12573726541554953</v>
      </c>
      <c r="DA195" s="2612">
        <f>DA192/CZ192-1</f>
        <v>0.11621814717789958</v>
      </c>
      <c r="DB195" s="995"/>
      <c r="DC195" s="2612">
        <f>DC192/DA192-1</f>
        <v>2.4962662684019588E-2</v>
      </c>
      <c r="DD195" s="2612">
        <f>DD192/DC192-1</f>
        <v>5.9533721898417991E-2</v>
      </c>
      <c r="DE195" s="2612">
        <f>DE192/DD192-1</f>
        <v>6.5618860510805455E-2</v>
      </c>
      <c r="DF195" s="2612">
        <f>DF192/DE192-1</f>
        <v>0.11191002949852513</v>
      </c>
      <c r="DG195" s="995"/>
      <c r="DH195" s="2612">
        <f>DH192/DF192-1</f>
        <v>1.077764881445864E-2</v>
      </c>
      <c r="DI195" s="2612">
        <f>DI192/DH192-1</f>
        <v>7.2178477690288734E-2</v>
      </c>
      <c r="DJ195" s="2612">
        <f>DJ192/DI192-1</f>
        <v>4.2533659730722206E-2</v>
      </c>
      <c r="DK195" s="2612">
        <f>DK192/DJ192-1</f>
        <v>9.8033460522453764E-2</v>
      </c>
      <c r="DL195" s="5251"/>
      <c r="DM195" s="5237">
        <f>DM192/DK192-1</f>
        <v>-3.2611601176156135E-2</v>
      </c>
      <c r="DN195" s="5237">
        <f>DN192/DM192-1</f>
        <v>-4.0480795799944791E-2</v>
      </c>
      <c r="DO195" s="5237">
        <f>DO192/DN192-1</f>
        <v>0.21785457163426925</v>
      </c>
      <c r="DP195" s="5237">
        <f>DP192/DO192-1</f>
        <v>0.17155355876093648</v>
      </c>
      <c r="DQ195" s="5251"/>
      <c r="DR195" s="5237">
        <f>DR192/DP192-1</f>
        <v>5.5101422948834466E-2</v>
      </c>
      <c r="DS195" s="5237">
        <f>DS192/DR192-1</f>
        <v>7.4222859875657576E-2</v>
      </c>
      <c r="DT195" s="5237">
        <f>DT192/DS192-1</f>
        <v>4.2204612233995187E-2</v>
      </c>
      <c r="DU195" s="5237">
        <f>DU192/DT192-1</f>
        <v>8.7740281930798858E-2</v>
      </c>
      <c r="DV195" s="5251"/>
      <c r="DW195" s="5237">
        <f>DW192/DU192-1</f>
        <v>-6.9981149858623914E-2</v>
      </c>
      <c r="DX195" s="5237">
        <f>DX192/DW192-1</f>
        <v>-1.1063254792669563E-2</v>
      </c>
      <c r="DY195" s="5237">
        <f>DY192/DX192-1</f>
        <v>-1.8445772843723285E-2</v>
      </c>
      <c r="DZ195" s="5237">
        <f>DZ192/DY192-1</f>
        <v>4.2195928310422737E-2</v>
      </c>
      <c r="EA195" s="995"/>
      <c r="EB195" s="5237">
        <f>EB192/DZ192-1</f>
        <v>-2.4876867852074436E-2</v>
      </c>
      <c r="EC195" s="5237">
        <f>EC192/EB192-1</f>
        <v>8.9632736923208611E-2</v>
      </c>
      <c r="ED195" s="5237">
        <f>ED192/EC192-1</f>
        <v>3.1269641734757991E-2</v>
      </c>
      <c r="EE195" s="5237">
        <f>EE192/ED192-1</f>
        <v>6.4985524912387627E-2</v>
      </c>
      <c r="EF195" s="995"/>
      <c r="EG195" s="5237">
        <f>EG192/EE192-1</f>
        <v>-4.93597539165892E-2</v>
      </c>
      <c r="EH195" s="5237">
        <f>EH192/EG192-1</f>
        <v>4.0183610504928913E-2</v>
      </c>
      <c r="EI195" s="5237">
        <f>EI192/EH192-1</f>
        <v>5.2376473992620909E-2</v>
      </c>
      <c r="EJ195" s="5237">
        <f>EJ192/EI192-1</f>
        <v>4.1864301917921232E-2</v>
      </c>
      <c r="EK195" s="995"/>
      <c r="EL195" s="5237">
        <f>EL192/EJ192-1</f>
        <v>-1.9926101873845359E-2</v>
      </c>
      <c r="EM195" s="5237">
        <f>EM192/EL192-1</f>
        <v>0.10946546384812161</v>
      </c>
      <c r="EN195" s="5237">
        <f>EN192/EM192-1</f>
        <v>8.1250000000000044E-2</v>
      </c>
      <c r="EO195" s="2612">
        <f>EO192/EN192-1</f>
        <v>2.1134783901220366E-2</v>
      </c>
      <c r="EP195" s="995"/>
      <c r="EQ195" s="2612">
        <f>EQ192/EO192-1</f>
        <v>2.7402651350134422E-2</v>
      </c>
      <c r="ER195" s="2612">
        <f>ER192/EQ192-1</f>
        <v>9.6543020876388219E-2</v>
      </c>
      <c r="ES195" s="2612">
        <f>ES192/ER192-1</f>
        <v>7.0870288278378268E-2</v>
      </c>
      <c r="ET195" s="2612">
        <f>ET192/ES192-1</f>
        <v>2.5313218051082886E-2</v>
      </c>
      <c r="EU195" s="995"/>
      <c r="EV195" s="995"/>
      <c r="EW195" s="995"/>
      <c r="EX195" s="995"/>
      <c r="EY195" s="995"/>
      <c r="EZ195" s="127"/>
      <c r="FA195" s="725"/>
      <c r="FB195" s="725"/>
    </row>
    <row r="196" spans="1:158" s="138" customFormat="1" ht="11.25" hidden="1" customHeight="1" outlineLevel="1">
      <c r="A196" s="5649" t="s">
        <v>714</v>
      </c>
      <c r="B196" s="124"/>
      <c r="C196" s="124"/>
      <c r="D196" s="124"/>
      <c r="E196" s="124"/>
      <c r="F196" s="3574"/>
      <c r="G196" s="124"/>
      <c r="H196" s="124"/>
      <c r="I196" s="173"/>
      <c r="J196" s="173"/>
      <c r="K196" s="997"/>
      <c r="L196" s="124"/>
      <c r="M196" s="124"/>
      <c r="N196" s="124"/>
      <c r="O196" s="124"/>
      <c r="P196" s="995"/>
      <c r="Q196" s="124"/>
      <c r="R196" s="124"/>
      <c r="S196" s="124"/>
      <c r="T196" s="124"/>
      <c r="U196" s="995"/>
      <c r="V196" s="124"/>
      <c r="W196" s="124"/>
      <c r="X196" s="124"/>
      <c r="Y196" s="124"/>
      <c r="Z196" s="995"/>
      <c r="AA196" s="124"/>
      <c r="AB196" s="124"/>
      <c r="AC196" s="124"/>
      <c r="AD196" s="124"/>
      <c r="AE196" s="995"/>
      <c r="AF196" s="124"/>
      <c r="AG196" s="124"/>
      <c r="AH196" s="124"/>
      <c r="AI196" s="124"/>
      <c r="AJ196" s="995"/>
      <c r="AK196" s="124"/>
      <c r="AL196" s="124"/>
      <c r="AM196" s="124"/>
      <c r="AN196" s="124"/>
      <c r="AO196" s="995"/>
      <c r="AP196" s="124"/>
      <c r="AQ196" s="124"/>
      <c r="AR196" s="124"/>
      <c r="AS196" s="124"/>
      <c r="AT196" s="995"/>
      <c r="AU196" s="124"/>
      <c r="AV196" s="124"/>
      <c r="AW196" s="124"/>
      <c r="AX196" s="124"/>
      <c r="AY196" s="995"/>
      <c r="AZ196" s="124"/>
      <c r="BA196" s="124"/>
      <c r="BB196" s="124"/>
      <c r="BC196" s="127"/>
      <c r="BD196" s="995"/>
      <c r="BE196" s="127"/>
      <c r="BF196" s="127"/>
      <c r="BG196" s="127"/>
      <c r="BH196" s="127"/>
      <c r="BI196" s="995"/>
      <c r="BJ196" s="127"/>
      <c r="BK196" s="127"/>
      <c r="BL196" s="127"/>
      <c r="BM196" s="127"/>
      <c r="BN196" s="995"/>
      <c r="BO196" s="127"/>
      <c r="BP196" s="127"/>
      <c r="BQ196" s="127"/>
      <c r="BR196" s="127"/>
      <c r="BS196" s="1957"/>
      <c r="BT196" s="127"/>
      <c r="BU196" s="127"/>
      <c r="BV196" s="127"/>
      <c r="BW196" s="127"/>
      <c r="BX196" s="995"/>
      <c r="BY196" s="127"/>
      <c r="BZ196" s="127"/>
      <c r="CA196" s="127"/>
      <c r="CB196" s="127"/>
      <c r="CC196" s="1957"/>
      <c r="CD196" s="127"/>
      <c r="CE196" s="127"/>
      <c r="CF196" s="127"/>
      <c r="CG196" s="127"/>
      <c r="CH196" s="995"/>
      <c r="CI196" s="124"/>
      <c r="CJ196" s="127"/>
      <c r="CK196" s="127"/>
      <c r="CL196" s="127"/>
      <c r="CM196" s="995"/>
      <c r="CN196" s="124"/>
      <c r="CO196" s="127"/>
      <c r="CP196" s="127"/>
      <c r="CQ196" s="127"/>
      <c r="CR196" s="995">
        <f t="shared" ref="CR196:DQ196" si="805">CR192/CR$179</f>
        <v>0.24607381965703476</v>
      </c>
      <c r="CS196" s="124">
        <f t="shared" si="805"/>
        <v>0.25735564545788892</v>
      </c>
      <c r="CT196" s="124">
        <f t="shared" si="805"/>
        <v>0.25329262974269517</v>
      </c>
      <c r="CU196" s="124">
        <f t="shared" si="805"/>
        <v>0.27520759193357058</v>
      </c>
      <c r="CV196" s="124">
        <f t="shared" si="805"/>
        <v>0.27030266706622713</v>
      </c>
      <c r="CW196" s="995">
        <f t="shared" si="805"/>
        <v>0.26445010633593735</v>
      </c>
      <c r="CX196" s="124">
        <f t="shared" si="805"/>
        <v>0.27879208073337958</v>
      </c>
      <c r="CY196" s="124">
        <f t="shared" si="805"/>
        <v>0.27250146113383988</v>
      </c>
      <c r="CZ196" s="124">
        <f t="shared" si="805"/>
        <v>0.28291335399541839</v>
      </c>
      <c r="DA196" s="124">
        <f t="shared" si="805"/>
        <v>0.27741935483870966</v>
      </c>
      <c r="DB196" s="995">
        <f t="shared" si="805"/>
        <v>0.27796801698455637</v>
      </c>
      <c r="DC196" s="124">
        <f t="shared" si="805"/>
        <v>0.27863813003886084</v>
      </c>
      <c r="DD196" s="124">
        <f t="shared" si="805"/>
        <v>0.28552196107028666</v>
      </c>
      <c r="DE196" s="124">
        <f t="shared" si="805"/>
        <v>0.29905717593868886</v>
      </c>
      <c r="DF196" s="124">
        <f t="shared" si="805"/>
        <v>0.29443929111946493</v>
      </c>
      <c r="DG196" s="995">
        <f t="shared" si="805"/>
        <v>0.28972152860710021</v>
      </c>
      <c r="DH196" s="124">
        <f t="shared" si="805"/>
        <v>0.30991357397051345</v>
      </c>
      <c r="DI196" s="124">
        <f t="shared" si="805"/>
        <v>0.31163877366137416</v>
      </c>
      <c r="DJ196" s="124">
        <f t="shared" si="805"/>
        <v>0.3144584429369145</v>
      </c>
      <c r="DK196" s="124">
        <f t="shared" si="805"/>
        <v>0.30857425660906501</v>
      </c>
      <c r="DL196" s="5251">
        <f t="shared" si="805"/>
        <v>0.31109416698436904</v>
      </c>
      <c r="DM196" s="5252">
        <f t="shared" si="805"/>
        <v>0.32544964028776979</v>
      </c>
      <c r="DN196" s="5252">
        <f t="shared" si="805"/>
        <v>0.34471633493820419</v>
      </c>
      <c r="DO196" s="5252">
        <f t="shared" si="805"/>
        <v>0.34169595604573183</v>
      </c>
      <c r="DP196" s="5252">
        <f t="shared" si="805"/>
        <v>0.32814517998476672</v>
      </c>
      <c r="DQ196" s="5251">
        <f t="shared" si="805"/>
        <v>0.33440521076260826</v>
      </c>
      <c r="DR196" s="5252">
        <f t="shared" ref="DR196:EA196" si="806">DR192/DR$179</f>
        <v>0.34401632062123655</v>
      </c>
      <c r="DS196" s="5252">
        <f t="shared" si="806"/>
        <v>0.33347189643397962</v>
      </c>
      <c r="DT196" s="5252">
        <f t="shared" si="806"/>
        <v>0.33222638510445052</v>
      </c>
      <c r="DU196" s="5252">
        <f t="shared" si="806"/>
        <v>0.31567985718536151</v>
      </c>
      <c r="DV196" s="5251">
        <f t="shared" si="806"/>
        <v>0.33031353395304869</v>
      </c>
      <c r="DW196" s="5252">
        <f t="shared" si="806"/>
        <v>0.32891666666666669</v>
      </c>
      <c r="DX196" s="5252">
        <f t="shared" si="806"/>
        <v>0.32009403274745102</v>
      </c>
      <c r="DY196" s="5252">
        <f>DY192/DY$179</f>
        <v>0.32763240408186534</v>
      </c>
      <c r="DZ196" s="5252">
        <f>DZ192/DZ$179</f>
        <v>0.31197749824205018</v>
      </c>
      <c r="EA196" s="995">
        <f t="shared" si="806"/>
        <v>0.32194547520915773</v>
      </c>
      <c r="EB196" s="5252">
        <f t="shared" ref="EB196:EN196" si="807">EB192/EB$179</f>
        <v>0.31708243980564077</v>
      </c>
      <c r="EC196" s="5252">
        <f t="shared" si="807"/>
        <v>0.32199959522363891</v>
      </c>
      <c r="ED196" s="5252">
        <f t="shared" si="807"/>
        <v>0.32538423401090727</v>
      </c>
      <c r="EE196" s="5252">
        <f>EE192/EE$179</f>
        <v>0.31651760443790333</v>
      </c>
      <c r="EF196" s="995">
        <f t="shared" si="807"/>
        <v>0.32021731562981748</v>
      </c>
      <c r="EG196" s="5252">
        <f t="shared" ref="EG196:EI196" si="808">EG192/EG$179</f>
        <v>0.31845195303139229</v>
      </c>
      <c r="EH196" s="5252">
        <f t="shared" si="808"/>
        <v>0.31817972562379154</v>
      </c>
      <c r="EI196" s="5252">
        <f t="shared" si="808"/>
        <v>0.32246408937754922</v>
      </c>
      <c r="EJ196" s="5252">
        <f>EJ192/EJ$179</f>
        <v>0.30883971145616823</v>
      </c>
      <c r="EK196" s="995">
        <f t="shared" si="807"/>
        <v>0.3167651650312221</v>
      </c>
      <c r="EL196" s="5252">
        <f t="shared" si="807"/>
        <v>0.3228428602477722</v>
      </c>
      <c r="EM196" s="5252">
        <f t="shared" si="807"/>
        <v>0.32648532995225549</v>
      </c>
      <c r="EN196" s="5252">
        <f t="shared" si="807"/>
        <v>0.33123896272887815</v>
      </c>
      <c r="EO196" s="124">
        <f t="shared" ref="EO196:EP196" si="809">EO192/EO$179</f>
        <v>0.31138513805491064</v>
      </c>
      <c r="EP196" s="995">
        <f t="shared" si="809"/>
        <v>0.32267998020212701</v>
      </c>
      <c r="EQ196" s="124">
        <f t="shared" ref="EQ196:EU196" si="810">EQ192/EQ$179</f>
        <v>0.32753997785595068</v>
      </c>
      <c r="ER196" s="124">
        <f t="shared" si="810"/>
        <v>0.33929844547864363</v>
      </c>
      <c r="ES196" s="124">
        <f t="shared" si="810"/>
        <v>0.34753358156517711</v>
      </c>
      <c r="ET196" s="124">
        <f t="shared" si="810"/>
        <v>0.32714540244691515</v>
      </c>
      <c r="EU196" s="995">
        <f t="shared" si="810"/>
        <v>0.33534154979887293</v>
      </c>
      <c r="EV196" s="995">
        <f>EV192/EV$179</f>
        <v>0.34048438916877982</v>
      </c>
      <c r="EW196" s="995">
        <f>EW192/EW$179</f>
        <v>0.34242059866209745</v>
      </c>
      <c r="EX196" s="995">
        <f>EX192/EX$179</f>
        <v>0.34557053695372941</v>
      </c>
      <c r="EY196" s="995">
        <f>EY192/EY$179</f>
        <v>0.34805368603417491</v>
      </c>
      <c r="EZ196" s="127"/>
      <c r="FA196" s="725"/>
      <c r="FB196" s="725"/>
    </row>
    <row r="197" spans="1:158" s="138" customFormat="1" ht="11.25" customHeight="1" collapsed="1">
      <c r="A197" s="5649" t="s">
        <v>713</v>
      </c>
      <c r="B197" s="124"/>
      <c r="C197" s="124"/>
      <c r="D197" s="124"/>
      <c r="E197" s="124"/>
      <c r="F197" s="3574"/>
      <c r="G197" s="124"/>
      <c r="H197" s="124"/>
      <c r="I197" s="173"/>
      <c r="J197" s="173"/>
      <c r="K197" s="997"/>
      <c r="L197" s="124"/>
      <c r="M197" s="124"/>
      <c r="N197" s="124"/>
      <c r="O197" s="124"/>
      <c r="P197" s="995"/>
      <c r="Q197" s="124"/>
      <c r="R197" s="124"/>
      <c r="S197" s="124"/>
      <c r="T197" s="124"/>
      <c r="U197" s="995"/>
      <c r="V197" s="124"/>
      <c r="W197" s="124"/>
      <c r="X197" s="124"/>
      <c r="Y197" s="124"/>
      <c r="Z197" s="995"/>
      <c r="AA197" s="124"/>
      <c r="AB197" s="124"/>
      <c r="AC197" s="124"/>
      <c r="AD197" s="124"/>
      <c r="AE197" s="995"/>
      <c r="AF197" s="124"/>
      <c r="AG197" s="124"/>
      <c r="AH197" s="124"/>
      <c r="AI197" s="124"/>
      <c r="AJ197" s="995"/>
      <c r="AK197" s="124"/>
      <c r="AL197" s="124"/>
      <c r="AM197" s="124"/>
      <c r="AN197" s="124"/>
      <c r="AO197" s="995"/>
      <c r="AP197" s="124"/>
      <c r="AQ197" s="124"/>
      <c r="AR197" s="124"/>
      <c r="AS197" s="124"/>
      <c r="AT197" s="995"/>
      <c r="AU197" s="124"/>
      <c r="AV197" s="124"/>
      <c r="AW197" s="124"/>
      <c r="AX197" s="124"/>
      <c r="AY197" s="995"/>
      <c r="AZ197" s="124"/>
      <c r="BA197" s="124"/>
      <c r="BB197" s="124"/>
      <c r="BC197" s="124"/>
      <c r="BD197" s="995"/>
      <c r="BE197" s="124"/>
      <c r="BF197" s="124"/>
      <c r="BG197" s="124"/>
      <c r="BH197" s="124"/>
      <c r="BI197" s="995"/>
      <c r="BJ197" s="124"/>
      <c r="BK197" s="124"/>
      <c r="BL197" s="124"/>
      <c r="BM197" s="124"/>
      <c r="BN197" s="995"/>
      <c r="BO197" s="127"/>
      <c r="BP197" s="127"/>
      <c r="BQ197" s="127"/>
      <c r="BR197" s="127"/>
      <c r="BS197" s="1957"/>
      <c r="BT197" s="124"/>
      <c r="BU197" s="124"/>
      <c r="BV197" s="124"/>
      <c r="BW197" s="124"/>
      <c r="BX197" s="995"/>
      <c r="BY197" s="127"/>
      <c r="BZ197" s="127"/>
      <c r="CA197" s="127"/>
      <c r="CB197" s="127"/>
      <c r="CC197" s="1957"/>
      <c r="CD197" s="124"/>
      <c r="CE197" s="124"/>
      <c r="CF197" s="124"/>
      <c r="CG197" s="124"/>
      <c r="CH197" s="995"/>
      <c r="CI197" s="124"/>
      <c r="CJ197" s="124"/>
      <c r="CK197" s="124"/>
      <c r="CL197" s="124"/>
      <c r="CM197" s="995"/>
      <c r="CN197" s="124"/>
      <c r="CO197" s="124"/>
      <c r="CP197" s="124"/>
      <c r="CQ197" s="124"/>
      <c r="CR197" s="995">
        <f t="shared" ref="CR197:DQ197" si="811">CR192/CR$170</f>
        <v>0.13184600408059849</v>
      </c>
      <c r="CS197" s="124">
        <f t="shared" si="811"/>
        <v>0.1381744582119761</v>
      </c>
      <c r="CT197" s="124">
        <f t="shared" si="811"/>
        <v>0.13506976744186047</v>
      </c>
      <c r="CU197" s="124">
        <f t="shared" si="811"/>
        <v>0.14467061600819561</v>
      </c>
      <c r="CV197" s="124">
        <f t="shared" si="811"/>
        <v>0.13842848373235114</v>
      </c>
      <c r="CW197" s="995">
        <f t="shared" si="811"/>
        <v>0.13912398085785183</v>
      </c>
      <c r="CX197" s="124">
        <f t="shared" si="811"/>
        <v>0.14622222222222223</v>
      </c>
      <c r="CY197" s="124">
        <f t="shared" si="811"/>
        <v>0.14340638216070742</v>
      </c>
      <c r="CZ197" s="124">
        <f t="shared" si="811"/>
        <v>0.15119544865331988</v>
      </c>
      <c r="DA197" s="124">
        <f t="shared" si="811"/>
        <v>0.1450051047241902</v>
      </c>
      <c r="DB197" s="995">
        <f t="shared" si="811"/>
        <v>0.14645257318118263</v>
      </c>
      <c r="DC197" s="124">
        <f t="shared" si="811"/>
        <v>0.15424131509664163</v>
      </c>
      <c r="DD197" s="124">
        <f t="shared" si="811"/>
        <v>0.15586244909207828</v>
      </c>
      <c r="DE197" s="124">
        <f t="shared" si="811"/>
        <v>0.16075874333135745</v>
      </c>
      <c r="DF197" s="124">
        <f t="shared" si="811"/>
        <v>0.15355433343517669</v>
      </c>
      <c r="DG197" s="995">
        <f t="shared" si="811"/>
        <v>0.15603826953858749</v>
      </c>
      <c r="DH197" s="124">
        <f t="shared" si="811"/>
        <v>0.16775365309997523</v>
      </c>
      <c r="DI197" s="124">
        <f t="shared" si="811"/>
        <v>0.16783073130649137</v>
      </c>
      <c r="DJ197" s="124">
        <f t="shared" si="811"/>
        <v>0.16825106792760314</v>
      </c>
      <c r="DK197" s="124">
        <f t="shared" si="811"/>
        <v>0.16238741182854041</v>
      </c>
      <c r="DL197" s="5251">
        <f t="shared" si="811"/>
        <v>0.1663690788782691</v>
      </c>
      <c r="DM197" s="5252">
        <f t="shared" si="811"/>
        <v>0.17585461259991739</v>
      </c>
      <c r="DN197" s="5252">
        <f t="shared" si="811"/>
        <v>0.18134579732093897</v>
      </c>
      <c r="DO197" s="5252">
        <f t="shared" si="811"/>
        <v>0.18318064669828688</v>
      </c>
      <c r="DP197" s="5252">
        <f t="shared" si="811"/>
        <v>0.17415374881366655</v>
      </c>
      <c r="DQ197" s="5251">
        <f t="shared" si="811"/>
        <v>0.17832978134741709</v>
      </c>
      <c r="DR197" s="5252">
        <f t="shared" ref="DR197:EA197" si="812">DR192/DR$170</f>
        <v>0.18901182340817876</v>
      </c>
      <c r="DS197" s="5252">
        <f t="shared" si="812"/>
        <v>0.18149644473173884</v>
      </c>
      <c r="DT197" s="5252">
        <f t="shared" si="812"/>
        <v>0.17975060659111153</v>
      </c>
      <c r="DU197" s="5252">
        <f t="shared" si="812"/>
        <v>0.16902754729505476</v>
      </c>
      <c r="DV197" s="5251">
        <f t="shared" si="812"/>
        <v>0.17902319930755287</v>
      </c>
      <c r="DW197" s="5252">
        <f t="shared" si="812"/>
        <v>0.17410418902824543</v>
      </c>
      <c r="DX197" s="5252">
        <f t="shared" si="812"/>
        <v>0.16804190284853268</v>
      </c>
      <c r="DY197" s="5252">
        <f>DY192/DY$170</f>
        <v>0.16635789961211139</v>
      </c>
      <c r="DZ197" s="5252">
        <f>DZ192/DZ$170</f>
        <v>0.15751893540921524</v>
      </c>
      <c r="EA197" s="995">
        <f t="shared" si="812"/>
        <v>0.16625889207880185</v>
      </c>
      <c r="EB197" s="5252">
        <f t="shared" ref="EB197:EN197" si="813">EB192/EB$170</f>
        <v>0.16738074426469113</v>
      </c>
      <c r="EC197" s="5252">
        <f t="shared" si="813"/>
        <v>0.17060747413007346</v>
      </c>
      <c r="ED197" s="5252">
        <f t="shared" si="813"/>
        <v>0.17114990937895244</v>
      </c>
      <c r="EE197" s="5252">
        <f>EE192/EE$170</f>
        <v>0.16196269261962692</v>
      </c>
      <c r="EF197" s="995">
        <f t="shared" si="813"/>
        <v>0.16758297169105449</v>
      </c>
      <c r="EG197" s="5252">
        <f t="shared" ref="EG197:EI197" si="814">EG192/EG$170</f>
        <v>0.16500080706241696</v>
      </c>
      <c r="EH197" s="5252">
        <f t="shared" si="814"/>
        <v>0.16311864246772556</v>
      </c>
      <c r="EI197" s="5252">
        <f t="shared" si="814"/>
        <v>0.16480491231250283</v>
      </c>
      <c r="EJ197" s="5252">
        <f>EJ192/EJ$170</f>
        <v>0.1571074645741119</v>
      </c>
      <c r="EK197" s="995">
        <f t="shared" si="813"/>
        <v>0.16232022353136125</v>
      </c>
      <c r="EL197" s="5252">
        <f t="shared" si="813"/>
        <v>0.16461644169603476</v>
      </c>
      <c r="EM197" s="5252">
        <f t="shared" si="813"/>
        <v>0.17090471647239391</v>
      </c>
      <c r="EN197" s="5252">
        <f t="shared" si="813"/>
        <v>0.17410548531452133</v>
      </c>
      <c r="EO197" s="124">
        <f t="shared" ref="EO197:EP197" si="815">EO192/EO$170</f>
        <v>0.16210418654381623</v>
      </c>
      <c r="EP197" s="995">
        <f t="shared" si="815"/>
        <v>0.16784516691069398</v>
      </c>
      <c r="EQ197" s="124">
        <f t="shared" ref="EQ197:EU197" si="816">EQ192/EQ$170</f>
        <v>0.1758221879683704</v>
      </c>
      <c r="ER197" s="124">
        <f t="shared" si="816"/>
        <v>0.18202985892430634</v>
      </c>
      <c r="ES197" s="124">
        <f t="shared" si="816"/>
        <v>0.18464176196048371</v>
      </c>
      <c r="ET197" s="124">
        <f t="shared" si="816"/>
        <v>0.1725035260078204</v>
      </c>
      <c r="EU197" s="995">
        <f t="shared" si="816"/>
        <v>0.17862937268139936</v>
      </c>
      <c r="EV197" s="995">
        <f>EV192/EV$170</f>
        <v>0.18267698870861515</v>
      </c>
      <c r="EW197" s="995">
        <f>EW192/EW$170</f>
        <v>0.18437064003376144</v>
      </c>
      <c r="EX197" s="995">
        <f>EX192/EX$170</f>
        <v>0.18690404458956936</v>
      </c>
      <c r="EY197" s="995">
        <f>EY192/EY$170</f>
        <v>0.18872518185332066</v>
      </c>
      <c r="EZ197" s="127"/>
      <c r="FA197" s="725"/>
      <c r="FB197" s="725"/>
    </row>
    <row r="198" spans="1:158" s="220" customFormat="1" ht="11.25" customHeight="1">
      <c r="A198" s="5668" t="s">
        <v>629</v>
      </c>
      <c r="B198" s="2237"/>
      <c r="C198" s="2237"/>
      <c r="D198" s="2237"/>
      <c r="E198" s="2237"/>
      <c r="F198" s="5599"/>
      <c r="G198" s="2237"/>
      <c r="H198" s="2237"/>
      <c r="I198" s="2266"/>
      <c r="J198" s="2266"/>
      <c r="K198" s="2236"/>
      <c r="L198" s="2237"/>
      <c r="M198" s="2237"/>
      <c r="N198" s="2237"/>
      <c r="O198" s="2237"/>
      <c r="P198" s="2236"/>
      <c r="Q198" s="2237"/>
      <c r="R198" s="2237"/>
      <c r="S198" s="2237"/>
      <c r="T198" s="2237"/>
      <c r="U198" s="2236"/>
      <c r="V198" s="2237"/>
      <c r="W198" s="2237"/>
      <c r="X198" s="2237"/>
      <c r="Y198" s="2237"/>
      <c r="Z198" s="2236"/>
      <c r="AA198" s="2237"/>
      <c r="AB198" s="2237"/>
      <c r="AC198" s="2267"/>
      <c r="AD198" s="2267"/>
      <c r="AE198" s="2236"/>
      <c r="AF198" s="2237"/>
      <c r="AG198" s="2235"/>
      <c r="AH198" s="2235"/>
      <c r="AI198" s="2235"/>
      <c r="AJ198" s="2236"/>
      <c r="AK198" s="2235"/>
      <c r="AL198" s="2235"/>
      <c r="AM198" s="2235"/>
      <c r="AN198" s="2235"/>
      <c r="AO198" s="2236"/>
      <c r="AP198" s="2268"/>
      <c r="AQ198" s="2268"/>
      <c r="AR198" s="2268"/>
      <c r="AS198" s="2237"/>
      <c r="AT198" s="2236"/>
      <c r="AU198" s="2269"/>
      <c r="AV198" s="2269"/>
      <c r="AW198" s="2269"/>
      <c r="AX198" s="2237"/>
      <c r="AY198" s="2236"/>
      <c r="AZ198" s="2269"/>
      <c r="BA198" s="2269"/>
      <c r="BB198" s="2269"/>
      <c r="BC198" s="2237"/>
      <c r="BD198" s="2236"/>
      <c r="BE198" s="2270"/>
      <c r="BF198" s="2270"/>
      <c r="BG198" s="2270"/>
      <c r="BH198" s="2270"/>
      <c r="BI198" s="2236"/>
      <c r="BJ198" s="2270"/>
      <c r="BK198" s="2270"/>
      <c r="BL198" s="2270"/>
      <c r="BM198" s="2270"/>
      <c r="BN198" s="2236"/>
      <c r="BO198" s="2237"/>
      <c r="BP198" s="2237"/>
      <c r="BQ198" s="2237"/>
      <c r="BR198" s="2237"/>
      <c r="BS198" s="2274"/>
      <c r="BT198" s="2270"/>
      <c r="BU198" s="2270"/>
      <c r="BV198" s="2270"/>
      <c r="BW198" s="2270"/>
      <c r="BX198" s="2236"/>
      <c r="BY198" s="2237"/>
      <c r="BZ198" s="2237"/>
      <c r="CA198" s="2237"/>
      <c r="CB198" s="2237"/>
      <c r="CC198" s="2274"/>
      <c r="CD198" s="2270"/>
      <c r="CE198" s="2270"/>
      <c r="CF198" s="2270"/>
      <c r="CG198" s="2270"/>
      <c r="CH198" s="2236"/>
      <c r="CI198" s="2235"/>
      <c r="CJ198" s="2237"/>
      <c r="CK198" s="2237"/>
      <c r="CL198" s="2237"/>
      <c r="CM198" s="2236"/>
      <c r="CN198" s="2271"/>
      <c r="CO198" s="2270"/>
      <c r="CP198" s="2270"/>
      <c r="CQ198" s="2270"/>
      <c r="CR198" s="3457">
        <v>3924</v>
      </c>
      <c r="CS198" s="2268">
        <v>947</v>
      </c>
      <c r="CT198" s="2271">
        <v>1076</v>
      </c>
      <c r="CU198" s="2271">
        <v>1162</v>
      </c>
      <c r="CV198" s="2271">
        <v>1443</v>
      </c>
      <c r="CW198" s="2236">
        <f>SUM(CS198:CV198)</f>
        <v>4628</v>
      </c>
      <c r="CX198" s="2271">
        <v>1271</v>
      </c>
      <c r="CY198" s="2271">
        <v>1413</v>
      </c>
      <c r="CZ198" s="2271">
        <v>1546</v>
      </c>
      <c r="DA198" s="2271">
        <v>1895</v>
      </c>
      <c r="DB198" s="2236">
        <f>SUM(CX198:DA198)</f>
        <v>6125</v>
      </c>
      <c r="DC198" s="4432">
        <v>1724</v>
      </c>
      <c r="DD198" s="4432">
        <v>1849</v>
      </c>
      <c r="DE198" s="4432">
        <v>1835</v>
      </c>
      <c r="DF198" s="2271">
        <v>2201</v>
      </c>
      <c r="DG198" s="2236">
        <f>SUM(DC198:DF198)</f>
        <v>7609</v>
      </c>
      <c r="DH198" s="2271">
        <v>1906</v>
      </c>
      <c r="DI198" s="2271">
        <v>2124</v>
      </c>
      <c r="DJ198" s="2271">
        <v>2290</v>
      </c>
      <c r="DK198" s="2271">
        <v>2666</v>
      </c>
      <c r="DL198" s="5250">
        <f>SUM(DH198:DK198)</f>
        <v>8986</v>
      </c>
      <c r="DM198" s="5249">
        <v>2157</v>
      </c>
      <c r="DN198" s="5249">
        <v>1839</v>
      </c>
      <c r="DO198" s="5249">
        <v>2371</v>
      </c>
      <c r="DP198" s="5249">
        <v>3050</v>
      </c>
      <c r="DQ198" s="5250">
        <f>SUM(DM198:DP198)</f>
        <v>9417</v>
      </c>
      <c r="DR198" s="5249">
        <v>2905</v>
      </c>
      <c r="DS198" s="5249">
        <v>3364</v>
      </c>
      <c r="DT198" s="5249">
        <v>3688</v>
      </c>
      <c r="DU198" s="5249">
        <v>4447</v>
      </c>
      <c r="DV198" s="5250">
        <f>SUM(DR198:DU198)</f>
        <v>14404</v>
      </c>
      <c r="DW198" s="5249">
        <v>3842</v>
      </c>
      <c r="DX198" s="5249">
        <v>4340</v>
      </c>
      <c r="DY198" s="5249">
        <v>4138</v>
      </c>
      <c r="DZ198" s="5249">
        <v>4656</v>
      </c>
      <c r="EA198" s="2236">
        <f>SUM(DW198:DZ198)</f>
        <v>16976</v>
      </c>
      <c r="EB198" s="5249">
        <v>4080</v>
      </c>
      <c r="EC198" s="5249">
        <v>4511</v>
      </c>
      <c r="ED198" s="5249">
        <v>4553</v>
      </c>
      <c r="EE198" s="5249">
        <v>5176</v>
      </c>
      <c r="EF198" s="2236">
        <f>SUM(EB198:EE198)</f>
        <v>18320</v>
      </c>
      <c r="EG198" s="5249">
        <v>4653</v>
      </c>
      <c r="EH198" s="5249">
        <v>4938</v>
      </c>
      <c r="EI198" s="5249">
        <v>5093</v>
      </c>
      <c r="EJ198" s="5249">
        <v>5734</v>
      </c>
      <c r="EK198" s="2236">
        <f>SUM(EG198:EJ198)</f>
        <v>20418</v>
      </c>
      <c r="EL198" s="5249">
        <v>5233</v>
      </c>
      <c r="EM198" s="5249">
        <v>5735</v>
      </c>
      <c r="EN198" s="5249">
        <v>6065</v>
      </c>
      <c r="EO198" s="3914">
        <f t="shared" ref="EO198" si="817">EO288</f>
        <v>6972.8008570191068</v>
      </c>
      <c r="EP198" s="2236">
        <f>SUM(EL198:EO198)</f>
        <v>24005.800857019109</v>
      </c>
      <c r="EQ198" s="3914">
        <f t="shared" ref="EQ198:ET198" si="818">EQ288</f>
        <v>6657.8588930871956</v>
      </c>
      <c r="ER198" s="3914">
        <f t="shared" si="818"/>
        <v>7166.3750731390155</v>
      </c>
      <c r="ES198" s="3914">
        <f t="shared" si="818"/>
        <v>7546.8125872335177</v>
      </c>
      <c r="ET198" s="3914">
        <f t="shared" si="818"/>
        <v>8619.033911651879</v>
      </c>
      <c r="EU198" s="2236">
        <f>SUM(EQ198:ET198)</f>
        <v>29990.080465111605</v>
      </c>
      <c r="EV198" s="3942">
        <f>EV288</f>
        <v>35688.195753482811</v>
      </c>
      <c r="EW198" s="3942">
        <f>EW288</f>
        <v>41398.307074040058</v>
      </c>
      <c r="EX198" s="3942">
        <f>EX288</f>
        <v>47194.070064405671</v>
      </c>
      <c r="EY198" s="3942">
        <f>EY288</f>
        <v>53093.32882245638</v>
      </c>
      <c r="EZ198" s="218"/>
      <c r="FA198" s="1319">
        <f>(EV198/EK198)^(1/3)-1</f>
        <v>0.20458411276234201</v>
      </c>
      <c r="FB198" s="1319">
        <f>(EX198/EK198)^(1/5)-1</f>
        <v>0.182428384955728</v>
      </c>
    </row>
    <row r="199" spans="1:158" s="183" customFormat="1" ht="11.25" customHeight="1">
      <c r="A199" s="5639" t="s">
        <v>45</v>
      </c>
      <c r="B199" s="181"/>
      <c r="C199" s="181"/>
      <c r="D199" s="181"/>
      <c r="E199" s="181"/>
      <c r="F199" s="4242"/>
      <c r="G199" s="181"/>
      <c r="H199" s="181"/>
      <c r="I199" s="221"/>
      <c r="J199" s="221"/>
      <c r="K199" s="991"/>
      <c r="L199" s="181"/>
      <c r="M199" s="181"/>
      <c r="N199" s="181"/>
      <c r="O199" s="181"/>
      <c r="P199" s="2588"/>
      <c r="Q199" s="181"/>
      <c r="R199" s="181"/>
      <c r="S199" s="181"/>
      <c r="T199" s="181"/>
      <c r="U199" s="2588"/>
      <c r="V199" s="181"/>
      <c r="W199" s="181"/>
      <c r="X199" s="181"/>
      <c r="Y199" s="181"/>
      <c r="Z199" s="2588"/>
      <c r="AA199" s="2612"/>
      <c r="AB199" s="2612"/>
      <c r="AC199" s="2612"/>
      <c r="AD199" s="2612"/>
      <c r="AE199" s="2588"/>
      <c r="AF199" s="181"/>
      <c r="AG199" s="222"/>
      <c r="AH199" s="2612"/>
      <c r="AI199" s="2612"/>
      <c r="AJ199" s="2588"/>
      <c r="AK199" s="181"/>
      <c r="AL199" s="222"/>
      <c r="AM199" s="222"/>
      <c r="AN199" s="222"/>
      <c r="AO199" s="2588"/>
      <c r="AP199" s="181"/>
      <c r="AQ199" s="222"/>
      <c r="AR199" s="222"/>
      <c r="AS199" s="222"/>
      <c r="AT199" s="2588"/>
      <c r="AU199" s="181"/>
      <c r="AV199" s="222"/>
      <c r="AW199" s="222"/>
      <c r="AX199" s="222"/>
      <c r="AY199" s="2588"/>
      <c r="AZ199" s="181"/>
      <c r="BA199" s="222"/>
      <c r="BB199" s="222"/>
      <c r="BC199" s="222"/>
      <c r="BD199" s="2588"/>
      <c r="BE199" s="181"/>
      <c r="BF199" s="222"/>
      <c r="BG199" s="222"/>
      <c r="BH199" s="222"/>
      <c r="BI199" s="2588"/>
      <c r="BJ199" s="181"/>
      <c r="BK199" s="205"/>
      <c r="BL199" s="205"/>
      <c r="BM199" s="222"/>
      <c r="BN199" s="2588"/>
      <c r="BO199" s="2612"/>
      <c r="BP199" s="2612"/>
      <c r="BQ199" s="2612"/>
      <c r="BR199" s="2612"/>
      <c r="BS199" s="1927"/>
      <c r="BT199" s="181"/>
      <c r="BU199" s="205"/>
      <c r="BV199" s="205"/>
      <c r="BW199" s="222"/>
      <c r="BX199" s="2588"/>
      <c r="BY199" s="2612"/>
      <c r="BZ199" s="2612"/>
      <c r="CA199" s="2612"/>
      <c r="CB199" s="2612"/>
      <c r="CC199" s="1927"/>
      <c r="CD199" s="181"/>
      <c r="CE199" s="205"/>
      <c r="CF199" s="205"/>
      <c r="CG199" s="222"/>
      <c r="CH199" s="2588"/>
      <c r="CI199" s="222"/>
      <c r="CJ199" s="205"/>
      <c r="CK199" s="205"/>
      <c r="CL199" s="222"/>
      <c r="CM199" s="2588"/>
      <c r="CN199" s="222"/>
      <c r="CO199" s="205"/>
      <c r="CP199" s="205"/>
      <c r="CQ199" s="205"/>
      <c r="CR199" s="2597"/>
      <c r="CS199" s="2251"/>
      <c r="CT199" s="2251"/>
      <c r="CU199" s="2251"/>
      <c r="CV199" s="2251"/>
      <c r="CW199" s="2588">
        <f t="shared" ref="CW199:DB199" si="819">CW198/CR198-1</f>
        <v>0.17940876656472993</v>
      </c>
      <c r="CX199" s="222">
        <f>CX198/CS198-1</f>
        <v>0.34213305174234421</v>
      </c>
      <c r="CY199" s="2612">
        <f t="shared" si="819"/>
        <v>0.31319702602230493</v>
      </c>
      <c r="CZ199" s="2612">
        <f t="shared" si="819"/>
        <v>0.33046471600688476</v>
      </c>
      <c r="DA199" s="2612">
        <f t="shared" si="819"/>
        <v>0.31323631323631318</v>
      </c>
      <c r="DB199" s="2588">
        <f t="shared" si="819"/>
        <v>0.32346585998271382</v>
      </c>
      <c r="DC199" s="222">
        <f t="shared" ref="DC199:DQ199" si="820">DC198/CX198-1</f>
        <v>0.35641227380015739</v>
      </c>
      <c r="DD199" s="2612">
        <f t="shared" si="820"/>
        <v>0.30856334041047417</v>
      </c>
      <c r="DE199" s="2612">
        <f t="shared" si="820"/>
        <v>0.18693402328589914</v>
      </c>
      <c r="DF199" s="2612">
        <f t="shared" si="820"/>
        <v>0.16147757255936668</v>
      </c>
      <c r="DG199" s="2588">
        <f t="shared" si="820"/>
        <v>0.24228571428571422</v>
      </c>
      <c r="DH199" s="222">
        <f t="shared" si="820"/>
        <v>0.10556844547563804</v>
      </c>
      <c r="DI199" s="2612">
        <f t="shared" si="820"/>
        <v>0.14872904272579768</v>
      </c>
      <c r="DJ199" s="2612">
        <f t="shared" si="820"/>
        <v>0.24795640326975477</v>
      </c>
      <c r="DK199" s="2612">
        <f t="shared" si="820"/>
        <v>0.21126760563380276</v>
      </c>
      <c r="DL199" s="5253">
        <f t="shared" si="820"/>
        <v>0.18096990406098046</v>
      </c>
      <c r="DM199" s="5237">
        <f t="shared" si="820"/>
        <v>0.13168940188877221</v>
      </c>
      <c r="DN199" s="5237">
        <f t="shared" si="820"/>
        <v>-0.13418079096045199</v>
      </c>
      <c r="DO199" s="5237">
        <f t="shared" si="820"/>
        <v>3.5371179039301204E-2</v>
      </c>
      <c r="DP199" s="5237">
        <f t="shared" si="820"/>
        <v>0.14403600900225055</v>
      </c>
      <c r="DQ199" s="5253">
        <f t="shared" si="820"/>
        <v>4.7963498775873692E-2</v>
      </c>
      <c r="DR199" s="5237">
        <f t="shared" ref="DR199:EN199" si="821">DR198/DM198-1</f>
        <v>0.34677793231339815</v>
      </c>
      <c r="DS199" s="5237">
        <f t="shared" si="821"/>
        <v>0.82925502990755851</v>
      </c>
      <c r="DT199" s="5237">
        <f t="shared" si="821"/>
        <v>0.55546183045128639</v>
      </c>
      <c r="DU199" s="5237">
        <f t="shared" si="821"/>
        <v>0.45803278688524585</v>
      </c>
      <c r="DV199" s="5253">
        <f t="shared" si="821"/>
        <v>0.52957417436550913</v>
      </c>
      <c r="DW199" s="5237">
        <f t="shared" si="821"/>
        <v>0.32254733218588649</v>
      </c>
      <c r="DX199" s="5237">
        <f t="shared" si="821"/>
        <v>0.29013079667063013</v>
      </c>
      <c r="DY199" s="5237">
        <f t="shared" si="821"/>
        <v>0.12201735357917576</v>
      </c>
      <c r="DZ199" s="5237">
        <f t="shared" si="821"/>
        <v>4.6997976163705824E-2</v>
      </c>
      <c r="EA199" s="2588">
        <f t="shared" si="821"/>
        <v>0.17856151069147463</v>
      </c>
      <c r="EB199" s="5237">
        <f t="shared" si="821"/>
        <v>6.1946902654867353E-2</v>
      </c>
      <c r="EC199" s="5237">
        <f t="shared" si="821"/>
        <v>3.9400921658986121E-2</v>
      </c>
      <c r="ED199" s="5237">
        <f t="shared" si="821"/>
        <v>0.1002899951667473</v>
      </c>
      <c r="EE199" s="5237">
        <f t="shared" si="821"/>
        <v>0.11168384879725091</v>
      </c>
      <c r="EF199" s="2588">
        <f t="shared" ref="EF199:EK199" si="822">EF198/EA198-1</f>
        <v>7.9170593779453347E-2</v>
      </c>
      <c r="EG199" s="5237">
        <f t="shared" si="821"/>
        <v>0.14044117647058818</v>
      </c>
      <c r="EH199" s="5237">
        <f t="shared" si="821"/>
        <v>9.4657503879405969E-2</v>
      </c>
      <c r="EI199" s="5237">
        <f t="shared" si="821"/>
        <v>0.11860311882275432</v>
      </c>
      <c r="EJ199" s="5237">
        <f t="shared" si="821"/>
        <v>0.10780525502318383</v>
      </c>
      <c r="EK199" s="2588">
        <f t="shared" si="822"/>
        <v>0.1145196506550219</v>
      </c>
      <c r="EL199" s="5237">
        <f t="shared" si="821"/>
        <v>0.12465076294863531</v>
      </c>
      <c r="EM199" s="5237">
        <f t="shared" si="821"/>
        <v>0.16140137707573921</v>
      </c>
      <c r="EN199" s="5237">
        <f t="shared" si="821"/>
        <v>0.1908501865305321</v>
      </c>
      <c r="EO199" s="2612">
        <f t="shared" ref="EO199:EP199" si="823">EO198/EJ198-1</f>
        <v>0.21604479543409605</v>
      </c>
      <c r="EP199" s="2588">
        <f t="shared" si="823"/>
        <v>0.17571754613669843</v>
      </c>
      <c r="EQ199" s="2612">
        <f t="shared" ref="EQ199" si="824">EQ198/EL198-1</f>
        <v>0.2722833734162422</v>
      </c>
      <c r="ER199" s="2612">
        <f t="shared" ref="ER199" si="825">ER198/EM198-1</f>
        <v>0.24958588895187717</v>
      </c>
      <c r="ES199" s="2612">
        <f t="shared" ref="ES199" si="826">ES198/EN198-1</f>
        <v>0.24432194348450409</v>
      </c>
      <c r="ET199" s="2612">
        <f t="shared" ref="ET199:EU199" si="827">ET198/EO198-1</f>
        <v>0.23609351369551979</v>
      </c>
      <c r="EU199" s="2588">
        <f t="shared" si="827"/>
        <v>0.24928473095879822</v>
      </c>
      <c r="EV199" s="2588">
        <f>EV198/EU198-1</f>
        <v>0.18999999999999995</v>
      </c>
      <c r="EW199" s="2588">
        <f>EW198/EV198-1</f>
        <v>0.15999999999999992</v>
      </c>
      <c r="EX199" s="2588">
        <f>EX198/EW198-1</f>
        <v>0.14000000000000012</v>
      </c>
      <c r="EY199" s="2588">
        <f>EY198/EX198-1</f>
        <v>0.125</v>
      </c>
      <c r="EZ199" s="169"/>
      <c r="FA199" s="1382"/>
      <c r="FB199" s="1382"/>
    </row>
    <row r="200" spans="1:158" s="183" customFormat="1" ht="11.25" customHeight="1">
      <c r="A200" s="5643" t="s">
        <v>496</v>
      </c>
      <c r="B200" s="1098"/>
      <c r="C200" s="1098"/>
      <c r="D200" s="1098"/>
      <c r="E200" s="1098"/>
      <c r="F200" s="4245"/>
      <c r="G200" s="1098"/>
      <c r="H200" s="1098"/>
      <c r="I200" s="2871"/>
      <c r="J200" s="2871"/>
      <c r="K200" s="2876"/>
      <c r="L200" s="1098"/>
      <c r="M200" s="1098"/>
      <c r="N200" s="1098"/>
      <c r="O200" s="1098"/>
      <c r="P200" s="2290"/>
      <c r="Q200" s="1098"/>
      <c r="R200" s="1098"/>
      <c r="S200" s="1098"/>
      <c r="T200" s="1098"/>
      <c r="U200" s="2290"/>
      <c r="V200" s="1098"/>
      <c r="W200" s="1098"/>
      <c r="X200" s="1098"/>
      <c r="Y200" s="1098"/>
      <c r="Z200" s="2290"/>
      <c r="AA200" s="2288"/>
      <c r="AB200" s="2288"/>
      <c r="AC200" s="2288"/>
      <c r="AD200" s="2288"/>
      <c r="AE200" s="2290"/>
      <c r="AF200" s="1098"/>
      <c r="AG200" s="2874"/>
      <c r="AH200" s="2288"/>
      <c r="AI200" s="2288"/>
      <c r="AJ200" s="2290"/>
      <c r="AK200" s="1098"/>
      <c r="AL200" s="2874"/>
      <c r="AM200" s="2874"/>
      <c r="AN200" s="2874"/>
      <c r="AO200" s="2290"/>
      <c r="AP200" s="1098"/>
      <c r="AQ200" s="2874"/>
      <c r="AR200" s="2874"/>
      <c r="AS200" s="2874"/>
      <c r="AT200" s="2290"/>
      <c r="AU200" s="1098"/>
      <c r="AV200" s="2874"/>
      <c r="AW200" s="2874"/>
      <c r="AX200" s="2874"/>
      <c r="AY200" s="2290"/>
      <c r="AZ200" s="1098"/>
      <c r="BA200" s="2874"/>
      <c r="BB200" s="2874"/>
      <c r="BC200" s="2874"/>
      <c r="BD200" s="2290"/>
      <c r="BE200" s="1098"/>
      <c r="BF200" s="2874"/>
      <c r="BG200" s="2874"/>
      <c r="BH200" s="2874"/>
      <c r="BI200" s="2290"/>
      <c r="BJ200" s="1098"/>
      <c r="BK200" s="2500"/>
      <c r="BL200" s="2500"/>
      <c r="BM200" s="2874"/>
      <c r="BN200" s="2290"/>
      <c r="BO200" s="2288"/>
      <c r="BP200" s="2288"/>
      <c r="BQ200" s="2288"/>
      <c r="BR200" s="2288"/>
      <c r="BS200" s="2873"/>
      <c r="BT200" s="1098"/>
      <c r="BU200" s="2500"/>
      <c r="BV200" s="2500"/>
      <c r="BW200" s="2874"/>
      <c r="BX200" s="2873"/>
      <c r="BY200" s="2288"/>
      <c r="BZ200" s="2288"/>
      <c r="CA200" s="2288"/>
      <c r="CB200" s="2288"/>
      <c r="CC200" s="2873"/>
      <c r="CD200" s="1098"/>
      <c r="CE200" s="2500"/>
      <c r="CF200" s="2500"/>
      <c r="CG200" s="2874"/>
      <c r="CH200" s="2873"/>
      <c r="CI200" s="2874"/>
      <c r="CJ200" s="2500"/>
      <c r="CK200" s="2500"/>
      <c r="CL200" s="2874"/>
      <c r="CM200" s="2873"/>
      <c r="CN200" s="2874"/>
      <c r="CO200" s="2500"/>
      <c r="CP200" s="2500"/>
      <c r="CQ200" s="2500"/>
      <c r="CR200" s="2873">
        <f>CR302</f>
        <v>0.23553382233088827</v>
      </c>
      <c r="CS200" s="2875"/>
      <c r="CT200" s="2875"/>
      <c r="CU200" s="2875"/>
      <c r="CV200" s="2875"/>
      <c r="CW200" s="2873">
        <f t="shared" ref="CW200:DQ200" si="828">CW302</f>
        <v>0.28858185610010434</v>
      </c>
      <c r="CX200" s="2874">
        <f t="shared" si="828"/>
        <v>0.29220779220779214</v>
      </c>
      <c r="CY200" s="2288">
        <f t="shared" si="828"/>
        <v>0.30690298507462677</v>
      </c>
      <c r="CZ200" s="2288">
        <f t="shared" si="828"/>
        <v>0.31955211024978469</v>
      </c>
      <c r="DA200" s="2288">
        <f t="shared" si="828"/>
        <v>0.29819694868238567</v>
      </c>
      <c r="DB200" s="2873">
        <f t="shared" si="828"/>
        <v>0.30441400304414001</v>
      </c>
      <c r="DC200" s="2874">
        <f t="shared" si="828"/>
        <v>0.3469708890637293</v>
      </c>
      <c r="DD200" s="2288">
        <f t="shared" si="828"/>
        <v>0.34350603264726765</v>
      </c>
      <c r="DE200" s="2288">
        <f t="shared" si="828"/>
        <v>0.28048780487804881</v>
      </c>
      <c r="DF200" s="2288">
        <f t="shared" si="828"/>
        <v>0.26348873755893143</v>
      </c>
      <c r="DG200" s="2873">
        <f t="shared" si="828"/>
        <v>0.30340003253619652</v>
      </c>
      <c r="DH200" s="2874">
        <f t="shared" si="828"/>
        <v>0.21201617562102837</v>
      </c>
      <c r="DI200" s="2288">
        <f t="shared" si="828"/>
        <v>0.24824229313142232</v>
      </c>
      <c r="DJ200" s="2288">
        <f t="shared" si="828"/>
        <v>0.28954570333880669</v>
      </c>
      <c r="DK200" s="2288">
        <f t="shared" si="828"/>
        <v>0.25624716038164475</v>
      </c>
      <c r="DL200" s="5075">
        <f t="shared" si="828"/>
        <v>0.25223449001051534</v>
      </c>
      <c r="DM200" s="5074">
        <f t="shared" si="828"/>
        <v>0.1820566631689402</v>
      </c>
      <c r="DN200" s="5074">
        <f t="shared" si="828"/>
        <v>-2.1186440677966156E-2</v>
      </c>
      <c r="DO200" s="5074">
        <f t="shared" si="828"/>
        <v>0.16812227074235797</v>
      </c>
      <c r="DP200" s="5074">
        <f t="shared" si="828"/>
        <v>0.26556639159789941</v>
      </c>
      <c r="DQ200" s="5075">
        <f t="shared" si="828"/>
        <v>0.15524148675717786</v>
      </c>
      <c r="DR200" s="5074">
        <f t="shared" ref="DR200:EA200" si="829">DR302</f>
        <v>0.43532684283727408</v>
      </c>
      <c r="DS200" s="5074">
        <f t="shared" si="829"/>
        <v>0.76835236541598695</v>
      </c>
      <c r="DT200" s="5074">
        <f t="shared" si="829"/>
        <v>0.50611556305356387</v>
      </c>
      <c r="DU200" s="5074">
        <f t="shared" si="829"/>
        <v>0.44196721311475407</v>
      </c>
      <c r="DV200" s="5075">
        <f t="shared" si="829"/>
        <v>0.52033556334289055</v>
      </c>
      <c r="DW200" s="5074">
        <f t="shared" si="829"/>
        <v>0.3504302925989673</v>
      </c>
      <c r="DX200" s="5074">
        <f t="shared" si="829"/>
        <v>0.28121284185493467</v>
      </c>
      <c r="DY200" s="5074">
        <f>DY302</f>
        <v>0.16675704989154005</v>
      </c>
      <c r="DZ200" s="5074">
        <f>DZ302</f>
        <v>9.5120305824151208E-2</v>
      </c>
      <c r="EA200" s="2873">
        <f t="shared" si="829"/>
        <v>0.20841432935295745</v>
      </c>
      <c r="EB200" s="5074">
        <f t="shared" ref="EB200:EN200" si="830">EB302</f>
        <v>0.10541384695471101</v>
      </c>
      <c r="EC200" s="5074">
        <f t="shared" si="830"/>
        <v>0.10990783410138238</v>
      </c>
      <c r="ED200" s="5074">
        <f t="shared" si="830"/>
        <v>0.1259062348960851</v>
      </c>
      <c r="EE200" s="5074">
        <f>EE302</f>
        <v>0.12779209621993126</v>
      </c>
      <c r="EF200" s="2873">
        <f t="shared" si="830"/>
        <v>0.11769557021677657</v>
      </c>
      <c r="EG200" s="5074">
        <f t="shared" ref="EG200:EI200" si="831">EG302</f>
        <v>0.17769607843137258</v>
      </c>
      <c r="EH200" s="5074">
        <f t="shared" si="831"/>
        <v>0.16227000665041014</v>
      </c>
      <c r="EI200" s="5074">
        <f t="shared" si="831"/>
        <v>0.2473094662859654</v>
      </c>
      <c r="EJ200" s="5074">
        <f>EJ302</f>
        <v>0.21696290571870169</v>
      </c>
      <c r="EK200" s="2873">
        <f t="shared" si="830"/>
        <v>0.20229257641921405</v>
      </c>
      <c r="EL200" s="5074">
        <f t="shared" si="830"/>
        <v>0.23210831721470027</v>
      </c>
      <c r="EM200" s="5074">
        <f t="shared" si="830"/>
        <v>0.23268529769137292</v>
      </c>
      <c r="EN200" s="5074">
        <f t="shared" si="830"/>
        <v>0.20066758295699971</v>
      </c>
      <c r="EO200" s="2288">
        <f t="shared" ref="EO200:EP200" si="832">EO302</f>
        <v>0.215</v>
      </c>
      <c r="EP200" s="2873">
        <f t="shared" si="832"/>
        <v>0.21960084239396616</v>
      </c>
      <c r="EQ200" s="2288">
        <f t="shared" ref="EQ200:EU200" si="833">EQ302</f>
        <v>0.222</v>
      </c>
      <c r="ER200" s="2288">
        <f t="shared" si="833"/>
        <v>0.23599999999999999</v>
      </c>
      <c r="ES200" s="2288">
        <f t="shared" si="833"/>
        <v>0.25</v>
      </c>
      <c r="ET200" s="2288">
        <f t="shared" si="833"/>
        <v>0.24</v>
      </c>
      <c r="EU200" s="2873">
        <f t="shared" si="833"/>
        <v>0.23764706870908281</v>
      </c>
      <c r="EV200" s="2873">
        <f>EV302</f>
        <v>0.19</v>
      </c>
      <c r="EW200" s="2873">
        <f>EW302</f>
        <v>0.16</v>
      </c>
      <c r="EX200" s="2873">
        <f>EX302</f>
        <v>0.14000000000000001</v>
      </c>
      <c r="EY200" s="2873">
        <f>EY302</f>
        <v>0.125</v>
      </c>
      <c r="EZ200" s="169"/>
      <c r="FA200" s="1382"/>
      <c r="FB200" s="1382"/>
    </row>
    <row r="201" spans="1:158" s="138" customFormat="1" ht="11.25" customHeight="1">
      <c r="A201" s="5639" t="s">
        <v>46</v>
      </c>
      <c r="B201" s="124"/>
      <c r="C201" s="124"/>
      <c r="D201" s="124"/>
      <c r="E201" s="124"/>
      <c r="F201" s="3574"/>
      <c r="G201" s="124"/>
      <c r="H201" s="124"/>
      <c r="I201" s="173"/>
      <c r="J201" s="173"/>
      <c r="K201" s="997"/>
      <c r="L201" s="124"/>
      <c r="M201" s="124"/>
      <c r="N201" s="124"/>
      <c r="O201" s="124"/>
      <c r="P201" s="995"/>
      <c r="Q201" s="124"/>
      <c r="R201" s="124"/>
      <c r="S201" s="124"/>
      <c r="T201" s="124"/>
      <c r="U201" s="995"/>
      <c r="V201" s="124"/>
      <c r="W201" s="124"/>
      <c r="X201" s="124"/>
      <c r="Y201" s="124"/>
      <c r="Z201" s="995"/>
      <c r="AA201" s="2612"/>
      <c r="AB201" s="224"/>
      <c r="AC201" s="224"/>
      <c r="AD201" s="224"/>
      <c r="AE201" s="995"/>
      <c r="AF201" s="224"/>
      <c r="AG201" s="224"/>
      <c r="AH201" s="224"/>
      <c r="AI201" s="224"/>
      <c r="AJ201" s="995"/>
      <c r="AK201" s="224"/>
      <c r="AL201" s="224"/>
      <c r="AM201" s="224"/>
      <c r="AN201" s="224"/>
      <c r="AO201" s="995"/>
      <c r="AP201" s="224"/>
      <c r="AQ201" s="224"/>
      <c r="AR201" s="224"/>
      <c r="AS201" s="224"/>
      <c r="AT201" s="995"/>
      <c r="AU201" s="124"/>
      <c r="AV201" s="224"/>
      <c r="AW201" s="224"/>
      <c r="AX201" s="224"/>
      <c r="AY201" s="995"/>
      <c r="AZ201" s="124"/>
      <c r="BA201" s="224"/>
      <c r="BB201" s="224"/>
      <c r="BC201" s="225"/>
      <c r="BD201" s="995"/>
      <c r="BE201" s="225"/>
      <c r="BF201" s="225"/>
      <c r="BG201" s="225"/>
      <c r="BH201" s="225"/>
      <c r="BI201" s="995"/>
      <c r="BJ201" s="225"/>
      <c r="BK201" s="225"/>
      <c r="BL201" s="225"/>
      <c r="BM201" s="225"/>
      <c r="BN201" s="995"/>
      <c r="BO201" s="127"/>
      <c r="BP201" s="127"/>
      <c r="BQ201" s="127"/>
      <c r="BR201" s="127"/>
      <c r="BS201" s="1957"/>
      <c r="BT201" s="225"/>
      <c r="BU201" s="225"/>
      <c r="BV201" s="225"/>
      <c r="BW201" s="225"/>
      <c r="BX201" s="995"/>
      <c r="BY201" s="127"/>
      <c r="BZ201" s="127"/>
      <c r="CA201" s="127"/>
      <c r="CB201" s="127"/>
      <c r="CC201" s="1957"/>
      <c r="CD201" s="225"/>
      <c r="CE201" s="225"/>
      <c r="CF201" s="225"/>
      <c r="CG201" s="225"/>
      <c r="CH201" s="995"/>
      <c r="CI201" s="2612"/>
      <c r="CJ201" s="225"/>
      <c r="CK201" s="225"/>
      <c r="CL201" s="225"/>
      <c r="CM201" s="995"/>
      <c r="CN201" s="2612"/>
      <c r="CO201" s="225"/>
      <c r="CP201" s="225"/>
      <c r="CQ201" s="225"/>
      <c r="CR201" s="1122"/>
      <c r="CS201" s="2660"/>
      <c r="CT201" s="2612">
        <f>CT198/CS198-1</f>
        <v>0.13621964097148886</v>
      </c>
      <c r="CU201" s="2612">
        <f>CU198/CT198-1</f>
        <v>7.9925650557620909E-2</v>
      </c>
      <c r="CV201" s="2612">
        <f>CV198/CU198-1</f>
        <v>0.24182444061962127</v>
      </c>
      <c r="CW201" s="995"/>
      <c r="CX201" s="2612">
        <f>CX198/CV198-1</f>
        <v>-0.11919611919611917</v>
      </c>
      <c r="CY201" s="2612">
        <f>CY198/CX198-1</f>
        <v>0.1117230527143982</v>
      </c>
      <c r="CZ201" s="2612">
        <f>CZ198/CY198-1</f>
        <v>9.412597310686488E-2</v>
      </c>
      <c r="DA201" s="2612">
        <f>DA198/CZ198-1</f>
        <v>0.22574385510996109</v>
      </c>
      <c r="DB201" s="995"/>
      <c r="DC201" s="2612">
        <f>DC198/DA198-1</f>
        <v>-9.0237467018469686E-2</v>
      </c>
      <c r="DD201" s="2612">
        <f>DD198/DC198-1</f>
        <v>7.2505800464037096E-2</v>
      </c>
      <c r="DE201" s="2612">
        <f>DE198/DD198-1</f>
        <v>-7.5716603569496721E-3</v>
      </c>
      <c r="DF201" s="2612">
        <f>DF198/DE198-1</f>
        <v>0.19945504087193466</v>
      </c>
      <c r="DG201" s="995"/>
      <c r="DH201" s="2612">
        <f>DH198/DF198-1</f>
        <v>-0.13402998636983188</v>
      </c>
      <c r="DI201" s="2612">
        <f>DI198/DH198-1</f>
        <v>0.11437565582371456</v>
      </c>
      <c r="DJ201" s="2612">
        <f>DJ198/DI198-1</f>
        <v>7.8154425612052769E-2</v>
      </c>
      <c r="DK201" s="2612">
        <f>DK198/DJ198-1</f>
        <v>0.16419213973799129</v>
      </c>
      <c r="DL201" s="5251"/>
      <c r="DM201" s="5237">
        <f>DM198/DK198-1</f>
        <v>-0.19092273068267063</v>
      </c>
      <c r="DN201" s="5237">
        <f>DN198/DM198-1</f>
        <v>-0.14742698191933246</v>
      </c>
      <c r="DO201" s="5237">
        <f>DO198/DN198-1</f>
        <v>0.28928765633496467</v>
      </c>
      <c r="DP201" s="5237">
        <f>DP198/DO198-1</f>
        <v>0.28637705609447495</v>
      </c>
      <c r="DQ201" s="5251"/>
      <c r="DR201" s="5237">
        <f>DR198/DP198-1</f>
        <v>-4.7540983606557341E-2</v>
      </c>
      <c r="DS201" s="5237">
        <f>DS198/DR198-1</f>
        <v>0.15800344234079167</v>
      </c>
      <c r="DT201" s="5237">
        <f>DT198/DS198-1</f>
        <v>9.6313912009512448E-2</v>
      </c>
      <c r="DU201" s="5237">
        <f>DU198/DT198-1</f>
        <v>0.20580260303687625</v>
      </c>
      <c r="DV201" s="5251"/>
      <c r="DW201" s="5237">
        <f>DW198/DU198-1</f>
        <v>-0.13604677310546431</v>
      </c>
      <c r="DX201" s="5237">
        <f>DX198/DW198-1</f>
        <v>0.12961998958875576</v>
      </c>
      <c r="DY201" s="5237">
        <f>DY198/DX198-1</f>
        <v>-4.654377880184335E-2</v>
      </c>
      <c r="DZ201" s="5237">
        <f>DZ198/DY198-1</f>
        <v>0.12518124697921706</v>
      </c>
      <c r="EA201" s="995"/>
      <c r="EB201" s="5237">
        <f>EB198/DZ198-1</f>
        <v>-0.12371134020618557</v>
      </c>
      <c r="EC201" s="5237">
        <f>EC198/EB198-1</f>
        <v>0.10563725490196085</v>
      </c>
      <c r="ED201" s="5237">
        <f>ED198/EC198-1</f>
        <v>9.3105741520727037E-3</v>
      </c>
      <c r="EE201" s="5237">
        <f>EE198/ED198-1</f>
        <v>0.13683285745662199</v>
      </c>
      <c r="EF201" s="995"/>
      <c r="EG201" s="5237">
        <f>EG198/EE198-1</f>
        <v>-0.10104327666151469</v>
      </c>
      <c r="EH201" s="5237">
        <f>EH198/EG198-1</f>
        <v>6.1250805931656993E-2</v>
      </c>
      <c r="EI201" s="5237">
        <f>EI198/EH198-1</f>
        <v>3.1389226407452453E-2</v>
      </c>
      <c r="EJ201" s="5237">
        <f>EJ198/EI198-1</f>
        <v>0.12585902218731593</v>
      </c>
      <c r="EK201" s="995"/>
      <c r="EL201" s="5237">
        <f>EL198/EJ198-1</f>
        <v>-8.7373561213812345E-2</v>
      </c>
      <c r="EM201" s="5237">
        <f>EM198/EL198-1</f>
        <v>9.5929677049493511E-2</v>
      </c>
      <c r="EN201" s="5237">
        <f>EN198/EM198-1</f>
        <v>5.7541412380122114E-2</v>
      </c>
      <c r="EO201" s="2612">
        <f>EO198/EN198-1</f>
        <v>0.14967862440545865</v>
      </c>
      <c r="EP201" s="995"/>
      <c r="EQ201" s="2612">
        <f>EQ198/EO198-1</f>
        <v>-4.5167210478251008E-2</v>
      </c>
      <c r="ER201" s="2612">
        <f>ER198/EQ198-1</f>
        <v>7.6378335470553171E-2</v>
      </c>
      <c r="ES201" s="2612">
        <f>ES198/ER198-1</f>
        <v>5.3086464246123066E-2</v>
      </c>
      <c r="ET201" s="2612">
        <f>ET198/ES198-1</f>
        <v>0.14207605025625947</v>
      </c>
      <c r="EU201" s="995"/>
      <c r="EV201" s="995"/>
      <c r="EW201" s="995"/>
      <c r="EX201" s="995"/>
      <c r="EY201" s="995"/>
      <c r="EZ201" s="127"/>
      <c r="FA201" s="725"/>
      <c r="FB201" s="725"/>
    </row>
    <row r="202" spans="1:158" s="138" customFormat="1" ht="11.25" hidden="1" customHeight="1" outlineLevel="1">
      <c r="A202" s="5649" t="s">
        <v>711</v>
      </c>
      <c r="B202" s="124"/>
      <c r="C202" s="124"/>
      <c r="D202" s="124"/>
      <c r="E202" s="124"/>
      <c r="F202" s="3574"/>
      <c r="G202" s="124"/>
      <c r="H202" s="124"/>
      <c r="I202" s="173"/>
      <c r="J202" s="173"/>
      <c r="K202" s="997"/>
      <c r="L202" s="124"/>
      <c r="M202" s="124"/>
      <c r="N202" s="124"/>
      <c r="O202" s="124"/>
      <c r="P202" s="995"/>
      <c r="Q202" s="124"/>
      <c r="R202" s="124"/>
      <c r="S202" s="124"/>
      <c r="T202" s="124"/>
      <c r="U202" s="995"/>
      <c r="V202" s="124"/>
      <c r="W202" s="124"/>
      <c r="X202" s="124"/>
      <c r="Y202" s="124"/>
      <c r="Z202" s="995"/>
      <c r="AA202" s="124"/>
      <c r="AB202" s="124"/>
      <c r="AC202" s="124"/>
      <c r="AD202" s="124"/>
      <c r="AE202" s="995"/>
      <c r="AF202" s="124"/>
      <c r="AG202" s="124"/>
      <c r="AH202" s="124"/>
      <c r="AI202" s="124"/>
      <c r="AJ202" s="995"/>
      <c r="AK202" s="124"/>
      <c r="AL202" s="124"/>
      <c r="AM202" s="124"/>
      <c r="AN202" s="124"/>
      <c r="AO202" s="995"/>
      <c r="AP202" s="124"/>
      <c r="AQ202" s="124"/>
      <c r="AR202" s="124"/>
      <c r="AS202" s="124"/>
      <c r="AT202" s="995"/>
      <c r="AU202" s="124"/>
      <c r="AV202" s="124"/>
      <c r="AW202" s="124"/>
      <c r="AX202" s="124"/>
      <c r="AY202" s="995"/>
      <c r="AZ202" s="124"/>
      <c r="BA202" s="124"/>
      <c r="BB202" s="124"/>
      <c r="BC202" s="127"/>
      <c r="BD202" s="995"/>
      <c r="BE202" s="127"/>
      <c r="BF202" s="127"/>
      <c r="BG202" s="127"/>
      <c r="BH202" s="127"/>
      <c r="BI202" s="995"/>
      <c r="BJ202" s="127"/>
      <c r="BK202" s="127"/>
      <c r="BL202" s="127"/>
      <c r="BM202" s="127"/>
      <c r="BN202" s="995"/>
      <c r="BO202" s="127"/>
      <c r="BP202" s="127"/>
      <c r="BQ202" s="127"/>
      <c r="BR202" s="127"/>
      <c r="BS202" s="1957"/>
      <c r="BT202" s="127"/>
      <c r="BU202" s="127"/>
      <c r="BV202" s="127"/>
      <c r="BW202" s="127"/>
      <c r="BX202" s="995"/>
      <c r="BY202" s="127"/>
      <c r="BZ202" s="127"/>
      <c r="CA202" s="127"/>
      <c r="CB202" s="127"/>
      <c r="CC202" s="1957"/>
      <c r="CD202" s="127"/>
      <c r="CE202" s="127"/>
      <c r="CF202" s="127"/>
      <c r="CG202" s="127"/>
      <c r="CH202" s="995"/>
      <c r="CI202" s="124"/>
      <c r="CJ202" s="127"/>
      <c r="CK202" s="127"/>
      <c r="CL202" s="127"/>
      <c r="CM202" s="995"/>
      <c r="CN202" s="124"/>
      <c r="CO202" s="127"/>
      <c r="CP202" s="127"/>
      <c r="CQ202" s="127"/>
      <c r="CR202" s="995">
        <f>CR198/CR$179</f>
        <v>9.7662958261778537E-2</v>
      </c>
      <c r="CS202" s="124">
        <f t="shared" ref="CS202:DB202" si="834">CS198/CS$179</f>
        <v>8.7072453107760212E-2</v>
      </c>
      <c r="CT202" s="124">
        <f t="shared" si="834"/>
        <v>9.385085041430441E-2</v>
      </c>
      <c r="CU202" s="124">
        <f t="shared" si="834"/>
        <v>9.8457888493475684E-2</v>
      </c>
      <c r="CV202" s="124">
        <f t="shared" si="834"/>
        <v>0.1081060833083608</v>
      </c>
      <c r="CW202" s="995">
        <f t="shared" si="834"/>
        <v>9.7450043166073572E-2</v>
      </c>
      <c r="CX202" s="124">
        <f t="shared" si="834"/>
        <v>9.7912333410369007E-2</v>
      </c>
      <c r="CY202" s="124">
        <f t="shared" si="834"/>
        <v>0.10322910578609</v>
      </c>
      <c r="CZ202" s="124">
        <f t="shared" si="834"/>
        <v>0.1041638593181512</v>
      </c>
      <c r="DA202" s="124">
        <f t="shared" si="834"/>
        <v>0.11216336194140278</v>
      </c>
      <c r="DB202" s="995">
        <f t="shared" si="834"/>
        <v>0.10486936273670514</v>
      </c>
      <c r="DC202" s="124">
        <f>DC198/DC$179</f>
        <v>9.9994199872397188E-2</v>
      </c>
      <c r="DD202" s="124">
        <f>DD198/DD$179</f>
        <v>0.10371907780333202</v>
      </c>
      <c r="DE202" s="124">
        <f>DE198/DE$179</f>
        <v>0.10117439488338754</v>
      </c>
      <c r="DF202" s="124">
        <f>DF198/DF$179</f>
        <v>0.10745496265195528</v>
      </c>
      <c r="DG202" s="995">
        <f>100%-DG190-DG196</f>
        <v>0.10681522093149498</v>
      </c>
      <c r="DH202" s="124">
        <f>DH198/DH$179</f>
        <v>9.6898830706659889E-2</v>
      </c>
      <c r="DI202" s="124">
        <f>DI198/DI$179</f>
        <v>0.10127306536976112</v>
      </c>
      <c r="DJ202" s="124">
        <f>DJ198/DJ$179</f>
        <v>0.1056809266694356</v>
      </c>
      <c r="DK202" s="124">
        <f>DK198/DK$179</f>
        <v>0.10995174660782778</v>
      </c>
      <c r="DL202" s="5251">
        <f>100%-DL190-DL196</f>
        <v>0.10381358379833411</v>
      </c>
      <c r="DM202" s="5252">
        <f>DM198/DM$179</f>
        <v>9.6987410071942448E-2</v>
      </c>
      <c r="DN202" s="5252">
        <f>DN198/DN$179</f>
        <v>9.127909862510547E-2</v>
      </c>
      <c r="DO202" s="5252">
        <f>DO198/DO$179</f>
        <v>9.5786369328970222E-2</v>
      </c>
      <c r="DP202" s="5252">
        <f>DP198/DP$179</f>
        <v>0.10100341093486108</v>
      </c>
      <c r="DQ202" s="5251">
        <f>100%-DQ190-DQ196</f>
        <v>9.6746355445514076E-2</v>
      </c>
      <c r="DR202" s="5252">
        <f>DR198/DR$179</f>
        <v>9.5587509460037509E-2</v>
      </c>
      <c r="DS202" s="5252">
        <f>DS198/DS$179</f>
        <v>9.9884200837317028E-2</v>
      </c>
      <c r="DT202" s="5252">
        <f>DT198/DT$179</f>
        <v>0.10467756584922798</v>
      </c>
      <c r="DU202" s="5252">
        <f>DU198/DU$179</f>
        <v>0.11025984330060498</v>
      </c>
      <c r="DV202" s="5251">
        <f>100%-DV190-DV196</f>
        <v>0.10315539195324924</v>
      </c>
      <c r="DW202" s="5252">
        <f>DW198/DW$179</f>
        <v>0.10672222222222222</v>
      </c>
      <c r="DX202" s="5252">
        <f>DX198/DX$179</f>
        <v>0.11863433835388022</v>
      </c>
      <c r="DY202" s="5252">
        <f>DY198/DY$179</f>
        <v>0.1179522262128727</v>
      </c>
      <c r="DZ202" s="5252">
        <f>DZ198/DZ$179</f>
        <v>0.12125947339635909</v>
      </c>
      <c r="EA202" s="995">
        <f>100%-EA190-EA196</f>
        <v>0.11622461694348973</v>
      </c>
      <c r="EB202" s="5252">
        <f>EB198/EB$179</f>
        <v>0.11075219197046608</v>
      </c>
      <c r="EC202" s="5252">
        <f>EC198/EC$179</f>
        <v>0.11412163529649869</v>
      </c>
      <c r="ED202" s="5252">
        <f>ED198/ED$179</f>
        <v>0.11286564204263758</v>
      </c>
      <c r="EE202" s="5252">
        <f>EE198/EE$179</f>
        <v>0.11719687535378694</v>
      </c>
      <c r="EF202" s="995">
        <f>100%-EF190-EF196</f>
        <v>0.11387935750161626</v>
      </c>
      <c r="EG202" s="5252">
        <f>EG198/EG$179</f>
        <v>0.11150251617541337</v>
      </c>
      <c r="EH202" s="5252">
        <f>EH198/EH$179</f>
        <v>0.11366356689070987</v>
      </c>
      <c r="EI202" s="5252">
        <f>EI198/EI$179</f>
        <v>0.11289679021103033</v>
      </c>
      <c r="EJ202" s="5252">
        <f>EJ198/EJ$179</f>
        <v>0.11684394995313201</v>
      </c>
      <c r="EK202" s="995">
        <f>100%-EK190-EK196</f>
        <v>0.11383809099018738</v>
      </c>
      <c r="EL202" s="5252">
        <f>EL198/EL$179</f>
        <v>0.11373614431645294</v>
      </c>
      <c r="EM202" s="5252">
        <f>EM198/EM$179</f>
        <v>0.11361610238326367</v>
      </c>
      <c r="EN202" s="5252">
        <f>EN198/EN$179</f>
        <v>0.11274281996468073</v>
      </c>
      <c r="EO202" s="124">
        <f t="shared" ref="EO202" si="835">EO198/EO$179</f>
        <v>0.11932700610327421</v>
      </c>
      <c r="EP202" s="995">
        <f>100%-EP190-EP196</f>
        <v>0.11501636653351105</v>
      </c>
      <c r="EQ202" s="124">
        <f t="shared" ref="EQ202:ET202" si="836">EQ198/EQ$179</f>
        <v>0.11665190126200177</v>
      </c>
      <c r="ER202" s="124">
        <f t="shared" si="836"/>
        <v>0.11861746791615023</v>
      </c>
      <c r="ES202" s="124">
        <f t="shared" si="836"/>
        <v>0.11947876279411182</v>
      </c>
      <c r="ET202" s="124">
        <f t="shared" si="836"/>
        <v>0.12527754384768996</v>
      </c>
      <c r="EU202" s="995">
        <f>100%-EU190-EU196</f>
        <v>0.1202226882771526</v>
      </c>
      <c r="EV202" s="995">
        <f>100%-EV190-EV196</f>
        <v>0.12533137318496407</v>
      </c>
      <c r="EW202" s="995">
        <f>100%-EW190-EW196</f>
        <v>0.12939038979251377</v>
      </c>
      <c r="EX202" s="995">
        <f>100%-EX190-EX196</f>
        <v>0.13279388768346279</v>
      </c>
      <c r="EY202" s="995">
        <f>100%-EY190-EY196</f>
        <v>0.13555550487237694</v>
      </c>
      <c r="EZ202" s="127"/>
      <c r="FA202" s="725"/>
      <c r="FB202" s="725"/>
    </row>
    <row r="203" spans="1:158" s="138" customFormat="1" ht="11.25" customHeight="1" collapsed="1">
      <c r="A203" s="5669" t="s">
        <v>712</v>
      </c>
      <c r="B203" s="5591"/>
      <c r="C203" s="5207"/>
      <c r="D203" s="5207"/>
      <c r="E203" s="5207"/>
      <c r="F203" s="5209"/>
      <c r="G203" s="5591"/>
      <c r="H203" s="5207"/>
      <c r="I203" s="5208"/>
      <c r="J203" s="5208"/>
      <c r="K203" s="5209"/>
      <c r="L203" s="5207"/>
      <c r="M203" s="5207"/>
      <c r="N203" s="5207"/>
      <c r="O203" s="5207"/>
      <c r="P203" s="5210"/>
      <c r="Q203" s="5207"/>
      <c r="R203" s="5207"/>
      <c r="S203" s="5207"/>
      <c r="T203" s="5207"/>
      <c r="U203" s="5210"/>
      <c r="V203" s="5207"/>
      <c r="W203" s="5207"/>
      <c r="X203" s="5207"/>
      <c r="Y203" s="5207"/>
      <c r="Z203" s="5210"/>
      <c r="AA203" s="5207"/>
      <c r="AB203" s="5207"/>
      <c r="AC203" s="5207"/>
      <c r="AD203" s="5207"/>
      <c r="AE203" s="5210"/>
      <c r="AF203" s="5207"/>
      <c r="AG203" s="5207"/>
      <c r="AH203" s="5207"/>
      <c r="AI203" s="5207"/>
      <c r="AJ203" s="5210"/>
      <c r="AK203" s="5207"/>
      <c r="AL203" s="5207"/>
      <c r="AM203" s="5207"/>
      <c r="AN203" s="5207"/>
      <c r="AO203" s="5210"/>
      <c r="AP203" s="5207"/>
      <c r="AQ203" s="5207"/>
      <c r="AR203" s="5207"/>
      <c r="AS203" s="5207"/>
      <c r="AT203" s="5210"/>
      <c r="AU203" s="5207"/>
      <c r="AV203" s="5207"/>
      <c r="AW203" s="5207"/>
      <c r="AX203" s="5207"/>
      <c r="AY203" s="5210"/>
      <c r="AZ203" s="5207"/>
      <c r="BA203" s="5207"/>
      <c r="BB203" s="5207"/>
      <c r="BC203" s="5207"/>
      <c r="BD203" s="5210"/>
      <c r="BE203" s="5207"/>
      <c r="BF203" s="5207"/>
      <c r="BG203" s="5207"/>
      <c r="BH203" s="5207"/>
      <c r="BI203" s="5210"/>
      <c r="BJ203" s="5207"/>
      <c r="BK203" s="5207"/>
      <c r="BL203" s="5207"/>
      <c r="BM203" s="5207"/>
      <c r="BN203" s="5210"/>
      <c r="BO203" s="5211"/>
      <c r="BP203" s="5211"/>
      <c r="BQ203" s="5211"/>
      <c r="BR203" s="5211"/>
      <c r="BS203" s="5210"/>
      <c r="BT203" s="5207"/>
      <c r="BU203" s="5207"/>
      <c r="BV203" s="5207"/>
      <c r="BW203" s="5207"/>
      <c r="BX203" s="5210"/>
      <c r="BY203" s="5211"/>
      <c r="BZ203" s="5211"/>
      <c r="CA203" s="5211"/>
      <c r="CB203" s="5211"/>
      <c r="CC203" s="5210"/>
      <c r="CD203" s="5207"/>
      <c r="CE203" s="5207"/>
      <c r="CF203" s="5207"/>
      <c r="CG203" s="5207"/>
      <c r="CH203" s="5210"/>
      <c r="CI203" s="5207"/>
      <c r="CJ203" s="5207"/>
      <c r="CK203" s="5207"/>
      <c r="CL203" s="5207"/>
      <c r="CM203" s="5210"/>
      <c r="CN203" s="5207"/>
      <c r="CO203" s="5207"/>
      <c r="CP203" s="5207"/>
      <c r="CQ203" s="5207"/>
      <c r="CR203" s="5210">
        <f>CR198/CR$170</f>
        <v>5.2327674725626425E-2</v>
      </c>
      <c r="CS203" s="5207">
        <f t="shared" ref="CS203:DK203" si="837">CS198/CS$170</f>
        <v>4.6749271856642148E-2</v>
      </c>
      <c r="CT203" s="5207">
        <f t="shared" si="837"/>
        <v>5.0046511627906978E-2</v>
      </c>
      <c r="CU203" s="5207">
        <f t="shared" si="837"/>
        <v>5.1757160037414818E-2</v>
      </c>
      <c r="CV203" s="5207">
        <f t="shared" si="837"/>
        <v>5.5363720073664822E-2</v>
      </c>
      <c r="CW203" s="5210">
        <f t="shared" si="837"/>
        <v>5.1267281105990783E-2</v>
      </c>
      <c r="CX203" s="5207">
        <f t="shared" si="837"/>
        <v>5.1353535353535353E-2</v>
      </c>
      <c r="CY203" s="5207">
        <f t="shared" si="837"/>
        <v>5.4325259515570934E-2</v>
      </c>
      <c r="CZ203" s="5207">
        <f t="shared" si="837"/>
        <v>5.5667578856402132E-2</v>
      </c>
      <c r="DA203" s="5207">
        <f t="shared" si="837"/>
        <v>5.8626983881446645E-2</v>
      </c>
      <c r="DB203" s="5210">
        <f t="shared" si="837"/>
        <v>5.5252356682152358E-2</v>
      </c>
      <c r="DC203" s="5207">
        <f>DC198/DC$170</f>
        <v>5.5352212162075386E-2</v>
      </c>
      <c r="DD203" s="5207">
        <f>DD198/DD$170</f>
        <v>5.6618795357809962E-2</v>
      </c>
      <c r="DE203" s="5207">
        <f>DE198/DE$170</f>
        <v>5.4386484884410197E-2</v>
      </c>
      <c r="DF203" s="5207">
        <f>DF198/DF$170</f>
        <v>5.6039311538853241E-2</v>
      </c>
      <c r="DG203" s="5210">
        <f t="shared" si="837"/>
        <v>5.561362091522376E-2</v>
      </c>
      <c r="DH203" s="5207">
        <f t="shared" si="837"/>
        <v>5.245053523762349E-2</v>
      </c>
      <c r="DI203" s="5207">
        <f t="shared" si="837"/>
        <v>5.4539852095316352E-2</v>
      </c>
      <c r="DJ203" s="5207">
        <f t="shared" si="837"/>
        <v>5.6544606039655297E-2</v>
      </c>
      <c r="DK203" s="5207">
        <f t="shared" si="837"/>
        <v>5.7862181226261529E-2</v>
      </c>
      <c r="DL203" s="5256">
        <f t="shared" ref="DL203:DQ203" si="838">DL198/DL$170</f>
        <v>5.5518142557936946E-2</v>
      </c>
      <c r="DM203" s="5257">
        <f t="shared" si="838"/>
        <v>5.2406521052503707E-2</v>
      </c>
      <c r="DN203" s="5257">
        <f t="shared" si="838"/>
        <v>4.8019427109173042E-2</v>
      </c>
      <c r="DO203" s="5257">
        <f t="shared" si="838"/>
        <v>5.1350356268815109E-2</v>
      </c>
      <c r="DP203" s="5257">
        <f t="shared" si="838"/>
        <v>5.3604696122886569E-2</v>
      </c>
      <c r="DQ203" s="5256">
        <f t="shared" si="838"/>
        <v>5.159236715663984E-2</v>
      </c>
      <c r="DR203" s="5257">
        <f t="shared" ref="DR203:DX203" si="839">DR198/DR$170</f>
        <v>5.2518349784864589E-2</v>
      </c>
      <c r="DS203" s="5257">
        <f t="shared" si="839"/>
        <v>5.4363283775048482E-2</v>
      </c>
      <c r="DT203" s="5257">
        <f t="shared" si="839"/>
        <v>5.6635646057925614E-2</v>
      </c>
      <c r="DU203" s="5257">
        <f t="shared" si="839"/>
        <v>5.9037504148689017E-2</v>
      </c>
      <c r="DV203" s="5256">
        <f t="shared" si="839"/>
        <v>5.5908118787285986E-2</v>
      </c>
      <c r="DW203" s="5257">
        <f t="shared" si="839"/>
        <v>5.6490861772360353E-2</v>
      </c>
      <c r="DX203" s="5257">
        <f t="shared" si="839"/>
        <v>6.2280261175288801E-2</v>
      </c>
      <c r="DY203" s="5257">
        <f t="shared" ref="DY203:EE203" si="840">DY198/DY$170</f>
        <v>5.9891159613269261E-2</v>
      </c>
      <c r="DZ203" s="5257">
        <f t="shared" si="840"/>
        <v>6.1224489795918366E-2</v>
      </c>
      <c r="EA203" s="5210">
        <f t="shared" si="840"/>
        <v>6.0020648008032924E-2</v>
      </c>
      <c r="EB203" s="5257">
        <f t="shared" si="840"/>
        <v>5.8463610701133449E-2</v>
      </c>
      <c r="EC203" s="5257">
        <f t="shared" si="840"/>
        <v>6.0465926759959251E-2</v>
      </c>
      <c r="ED203" s="5257">
        <f t="shared" si="840"/>
        <v>5.9366565397102736E-2</v>
      </c>
      <c r="EE203" s="5257">
        <f t="shared" si="840"/>
        <v>5.996987602827019E-2</v>
      </c>
      <c r="EF203" s="5210">
        <f t="shared" ref="EF203:EK203" si="841">EF198/EF$170</f>
        <v>5.9597780047756302E-2</v>
      </c>
      <c r="EG203" s="5257">
        <f t="shared" si="841"/>
        <v>5.7773252709867266E-2</v>
      </c>
      <c r="EH203" s="5257">
        <f t="shared" si="841"/>
        <v>5.8270987231833091E-2</v>
      </c>
      <c r="EI203" s="5257">
        <f t="shared" si="841"/>
        <v>5.7699279467077536E-2</v>
      </c>
      <c r="EJ203" s="5257">
        <f t="shared" si="841"/>
        <v>5.9438783443385955E-2</v>
      </c>
      <c r="EK203" s="5210">
        <f t="shared" si="841"/>
        <v>5.8334142815512344E-2</v>
      </c>
      <c r="EL203" s="5257">
        <f t="shared" ref="EL203:EN203" si="842">EL198/EL$170</f>
        <v>5.799366092603675E-2</v>
      </c>
      <c r="EM203" s="5257">
        <f t="shared" si="842"/>
        <v>5.9474426515120089E-2</v>
      </c>
      <c r="EN203" s="5257">
        <f t="shared" si="842"/>
        <v>5.9259765892169698E-2</v>
      </c>
      <c r="EO203" s="5207">
        <f t="shared" ref="EO203:EP203" si="843">EO198/EO$170</f>
        <v>6.2120521801105298E-2</v>
      </c>
      <c r="EP203" s="5210">
        <f t="shared" si="843"/>
        <v>5.9826894826837639E-2</v>
      </c>
      <c r="EQ203" s="5207">
        <f t="shared" ref="EQ203:EU203" si="844">EQ198/EQ$170</f>
        <v>6.2618287528783984E-2</v>
      </c>
      <c r="ER203" s="5207">
        <f t="shared" si="844"/>
        <v>6.3636958077647049E-2</v>
      </c>
      <c r="ES203" s="5207">
        <f t="shared" si="844"/>
        <v>6.3478093770993393E-2</v>
      </c>
      <c r="ET203" s="5207">
        <f t="shared" si="844"/>
        <v>6.6058755164173713E-2</v>
      </c>
      <c r="EU203" s="5210">
        <f t="shared" si="844"/>
        <v>6.4040091071027122E-2</v>
      </c>
      <c r="EV203" s="5210">
        <f>EV198/EV$170</f>
        <v>6.7242900328084276E-2</v>
      </c>
      <c r="EW203" s="5210">
        <f>EW198/EW$170</f>
        <v>6.9668089692830268E-2</v>
      </c>
      <c r="EX203" s="5210">
        <f>EX198/EX$170</f>
        <v>7.1822427118940005E-2</v>
      </c>
      <c r="EY203" s="5210">
        <f>EY198/EY$170</f>
        <v>7.3502273743327351E-2</v>
      </c>
      <c r="EZ203" s="127"/>
      <c r="FA203" s="725"/>
      <c r="FB203" s="725"/>
    </row>
    <row r="204" spans="1:158" s="138" customFormat="1" ht="11.25" hidden="1" customHeight="1" outlineLevel="1">
      <c r="A204" s="5670" t="s">
        <v>75</v>
      </c>
      <c r="B204" s="2906"/>
      <c r="C204" s="2906"/>
      <c r="D204" s="2906"/>
      <c r="E204" s="2906"/>
      <c r="F204" s="5110"/>
      <c r="G204" s="2906"/>
      <c r="H204" s="2906"/>
      <c r="I204" s="2907"/>
      <c r="J204" s="2907"/>
      <c r="K204" s="5110"/>
      <c r="L204" s="2906"/>
      <c r="M204" s="2906"/>
      <c r="N204" s="2906"/>
      <c r="O204" s="2906"/>
      <c r="P204" s="5110"/>
      <c r="Q204" s="2906"/>
      <c r="R204" s="2906"/>
      <c r="S204" s="2906"/>
      <c r="T204" s="2906"/>
      <c r="U204" s="5110"/>
      <c r="V204" s="2906"/>
      <c r="W204" s="2906"/>
      <c r="X204" s="2906"/>
      <c r="Y204" s="2906"/>
      <c r="Z204" s="5110"/>
      <c r="AA204" s="2906"/>
      <c r="AB204" s="2906"/>
      <c r="AC204" s="2906"/>
      <c r="AD204" s="2906"/>
      <c r="AE204" s="5110"/>
      <c r="AF204" s="2906"/>
      <c r="AG204" s="2906"/>
      <c r="AH204" s="2906"/>
      <c r="AI204" s="2906"/>
      <c r="AJ204" s="5110"/>
      <c r="AK204" s="2906"/>
      <c r="AL204" s="2906"/>
      <c r="AM204" s="2906"/>
      <c r="AN204" s="2906"/>
      <c r="AO204" s="5110"/>
      <c r="AP204" s="2906"/>
      <c r="AQ204" s="2906"/>
      <c r="AR204" s="2906"/>
      <c r="AS204" s="2906"/>
      <c r="AT204" s="5110"/>
      <c r="AU204" s="2906"/>
      <c r="AV204" s="2906"/>
      <c r="AW204" s="2906"/>
      <c r="AX204" s="2906"/>
      <c r="AY204" s="5110"/>
      <c r="AZ204" s="2906"/>
      <c r="BA204" s="2906"/>
      <c r="BB204" s="2906"/>
      <c r="BC204" s="2906"/>
      <c r="BD204" s="5110"/>
      <c r="BE204" s="2906"/>
      <c r="BF204" s="2906"/>
      <c r="BG204" s="2906"/>
      <c r="BH204" s="2906"/>
      <c r="BI204" s="5110"/>
      <c r="BJ204" s="2906"/>
      <c r="BK204" s="2906"/>
      <c r="BL204" s="2906"/>
      <c r="BM204" s="2906"/>
      <c r="BN204" s="5110"/>
      <c r="BO204" s="2906"/>
      <c r="BP204" s="2906"/>
      <c r="BQ204" s="2906"/>
      <c r="BR204" s="2906"/>
      <c r="BS204" s="5110"/>
      <c r="BT204" s="2906"/>
      <c r="BU204" s="2906"/>
      <c r="BV204" s="2906"/>
      <c r="BW204" s="2906"/>
      <c r="BX204" s="5110"/>
      <c r="BY204" s="2906"/>
      <c r="BZ204" s="2906"/>
      <c r="CA204" s="2906"/>
      <c r="CB204" s="2906"/>
      <c r="CC204" s="5110"/>
      <c r="CD204" s="2906"/>
      <c r="CE204" s="2906"/>
      <c r="CF204" s="2906"/>
      <c r="CG204" s="2906"/>
      <c r="CH204" s="5110"/>
      <c r="CI204" s="2906"/>
      <c r="CJ204" s="2906"/>
      <c r="CK204" s="2906"/>
      <c r="CL204" s="2906"/>
      <c r="CM204" s="5110"/>
      <c r="CN204" s="2906"/>
      <c r="CO204" s="2906"/>
      <c r="CP204" s="2906"/>
      <c r="CQ204" s="2906"/>
      <c r="CR204" s="5110" t="str">
        <f t="shared" ref="CR204:DL204" si="845">IF(SUM(CR186,CR192,CR198)&lt;&gt;CR179,"err","ok")</f>
        <v>ok</v>
      </c>
      <c r="CS204" s="2906" t="str">
        <f t="shared" si="845"/>
        <v>ok</v>
      </c>
      <c r="CT204" s="2906" t="str">
        <f t="shared" si="845"/>
        <v>ok</v>
      </c>
      <c r="CU204" s="2906" t="str">
        <f t="shared" si="845"/>
        <v>ok</v>
      </c>
      <c r="CV204" s="2906" t="str">
        <f t="shared" si="845"/>
        <v>ok</v>
      </c>
      <c r="CW204" s="5110" t="str">
        <f t="shared" si="845"/>
        <v>ok</v>
      </c>
      <c r="CX204" s="2906" t="str">
        <f t="shared" si="845"/>
        <v>ok</v>
      </c>
      <c r="CY204" s="2906" t="str">
        <f t="shared" si="845"/>
        <v>ok</v>
      </c>
      <c r="CZ204" s="2906" t="str">
        <f t="shared" si="845"/>
        <v>ok</v>
      </c>
      <c r="DA204" s="2906" t="str">
        <f t="shared" si="845"/>
        <v>ok</v>
      </c>
      <c r="DB204" s="5110" t="str">
        <f t="shared" si="845"/>
        <v>ok</v>
      </c>
      <c r="DC204" s="2906" t="str">
        <f t="shared" si="845"/>
        <v>err</v>
      </c>
      <c r="DD204" s="2906" t="str">
        <f t="shared" si="845"/>
        <v>err</v>
      </c>
      <c r="DE204" s="2906" t="str">
        <f t="shared" si="845"/>
        <v>err</v>
      </c>
      <c r="DF204" s="2906" t="str">
        <f t="shared" si="845"/>
        <v>ok</v>
      </c>
      <c r="DG204" s="5110" t="str">
        <f t="shared" si="845"/>
        <v>err</v>
      </c>
      <c r="DH204" s="2906" t="str">
        <f t="shared" si="845"/>
        <v>ok</v>
      </c>
      <c r="DI204" s="2906" t="str">
        <f t="shared" si="845"/>
        <v>ok</v>
      </c>
      <c r="DJ204" s="2906" t="str">
        <f t="shared" si="845"/>
        <v>ok</v>
      </c>
      <c r="DK204" s="2906" t="str">
        <f t="shared" si="845"/>
        <v>ok</v>
      </c>
      <c r="DL204" s="5110" t="str">
        <f t="shared" si="845"/>
        <v>ok</v>
      </c>
      <c r="DM204" s="2906" t="str">
        <f t="shared" ref="DM204:DV204" si="846">IF(SUM(DM186,DM192,DM198)&lt;&gt;DM179,"err","ok")</f>
        <v>ok</v>
      </c>
      <c r="DN204" s="2906" t="str">
        <f t="shared" si="846"/>
        <v>ok</v>
      </c>
      <c r="DO204" s="2906" t="str">
        <f t="shared" si="846"/>
        <v>ok</v>
      </c>
      <c r="DP204" s="2906" t="str">
        <f t="shared" si="846"/>
        <v>ok</v>
      </c>
      <c r="DQ204" s="5110" t="str">
        <f t="shared" si="846"/>
        <v>ok</v>
      </c>
      <c r="DR204" s="2906" t="str">
        <f t="shared" si="846"/>
        <v>ok</v>
      </c>
      <c r="DS204" s="2906" t="str">
        <f t="shared" si="846"/>
        <v>ok</v>
      </c>
      <c r="DT204" s="2906" t="str">
        <f>IF(SUM(DT186,DT192,DT198)&lt;&gt;DT179,"err","ok")</f>
        <v>ok</v>
      </c>
      <c r="DU204" s="2906" t="str">
        <f t="shared" si="846"/>
        <v>ok</v>
      </c>
      <c r="DV204" s="5110" t="str">
        <f t="shared" si="846"/>
        <v>ok</v>
      </c>
      <c r="DW204" s="2906" t="str">
        <f t="shared" ref="DW204:EW204" si="847">IF(SUM(DW186,DW192,DW198)&lt;&gt;DW179,"err","ok")</f>
        <v>ok</v>
      </c>
      <c r="DX204" s="2906" t="str">
        <f t="shared" si="847"/>
        <v>ok</v>
      </c>
      <c r="DY204" s="2906" t="str">
        <f t="shared" si="847"/>
        <v>ok</v>
      </c>
      <c r="DZ204" s="2906" t="str">
        <f t="shared" si="847"/>
        <v>ok</v>
      </c>
      <c r="EA204" s="5110" t="str">
        <f t="shared" si="847"/>
        <v>ok</v>
      </c>
      <c r="EB204" s="2906" t="str">
        <f t="shared" si="847"/>
        <v>ok</v>
      </c>
      <c r="EC204" s="2906" t="str">
        <f t="shared" si="847"/>
        <v>ok</v>
      </c>
      <c r="ED204" s="2906" t="str">
        <f t="shared" si="847"/>
        <v>ok</v>
      </c>
      <c r="EE204" s="2906" t="str">
        <f t="shared" si="847"/>
        <v>ok</v>
      </c>
      <c r="EF204" s="5110" t="str">
        <f t="shared" si="847"/>
        <v>ok</v>
      </c>
      <c r="EG204" s="2906" t="str">
        <f t="shared" ref="EG204" si="848">IF(SUM(EG186,EG192,EG198)&lt;&gt;EG179,"err","ok")</f>
        <v>ok</v>
      </c>
      <c r="EH204" s="2906" t="str">
        <f t="shared" si="847"/>
        <v>ok</v>
      </c>
      <c r="EI204" s="2906" t="str">
        <f t="shared" ref="EI204:EJ204" si="849">IF(SUM(EI186,EI192,EI198)&lt;&gt;EI179,"err","ok")</f>
        <v>ok</v>
      </c>
      <c r="EJ204" s="2906" t="str">
        <f t="shared" si="849"/>
        <v>ok</v>
      </c>
      <c r="EK204" s="5110" t="str">
        <f t="shared" si="847"/>
        <v>ok</v>
      </c>
      <c r="EL204" s="2906" t="str">
        <f t="shared" si="847"/>
        <v>ok</v>
      </c>
      <c r="EM204" s="2906" t="str">
        <f t="shared" ref="EM204:EN204" si="850">IF(SUM(EM186,EM192,EM198)&lt;&gt;EM179,"err","ok")</f>
        <v>ok</v>
      </c>
      <c r="EN204" s="2906" t="str">
        <f t="shared" si="850"/>
        <v>ok</v>
      </c>
      <c r="EO204" s="2906" t="str">
        <f t="shared" ref="EO204:EP204" si="851">IF(SUM(EO186,EO192,EO198)&lt;&gt;EO179,"err","ok")</f>
        <v>ok</v>
      </c>
      <c r="EP204" s="5110" t="str">
        <f t="shared" si="851"/>
        <v>ok</v>
      </c>
      <c r="EQ204" s="2906" t="str">
        <f t="shared" ref="EQ204:EU204" si="852">IF(SUM(EQ186,EQ192,EQ198)&lt;&gt;EQ179,"err","ok")</f>
        <v>ok</v>
      </c>
      <c r="ER204" s="2906" t="str">
        <f t="shared" si="852"/>
        <v>ok</v>
      </c>
      <c r="ES204" s="2906" t="str">
        <f t="shared" si="852"/>
        <v>ok</v>
      </c>
      <c r="ET204" s="2906" t="str">
        <f t="shared" si="852"/>
        <v>ok</v>
      </c>
      <c r="EU204" s="5110" t="str">
        <f t="shared" si="852"/>
        <v>ok</v>
      </c>
      <c r="EV204" s="5110" t="str">
        <f t="shared" si="847"/>
        <v>ok</v>
      </c>
      <c r="EW204" s="5110" t="str">
        <f t="shared" si="847"/>
        <v>ok</v>
      </c>
      <c r="EX204" s="5110" t="str">
        <f t="shared" ref="EX204:EY204" si="853">IF(SUM(EX186,EX192,EX198)&lt;&gt;EX179,"err","ok")</f>
        <v>ok</v>
      </c>
      <c r="EY204" s="5110" t="str">
        <f t="shared" si="853"/>
        <v>ok</v>
      </c>
      <c r="EZ204" s="127"/>
      <c r="FA204" s="725"/>
      <c r="FB204" s="725"/>
    </row>
    <row r="205" spans="1:158" s="130" customFormat="1" ht="11.25" hidden="1" customHeight="1" outlineLevel="1" collapsed="1">
      <c r="A205" s="1548"/>
      <c r="B205" s="132"/>
      <c r="C205" s="132"/>
      <c r="D205" s="132"/>
      <c r="E205" s="132"/>
      <c r="F205" s="132"/>
      <c r="G205" s="132"/>
      <c r="H205" s="132"/>
      <c r="I205" s="132"/>
      <c r="J205" s="132"/>
      <c r="K205" s="132"/>
      <c r="L205" s="132"/>
      <c r="M205" s="132"/>
      <c r="N205" s="132"/>
      <c r="O205" s="132"/>
      <c r="P205" s="131"/>
      <c r="Q205" s="131"/>
      <c r="R205" s="132"/>
      <c r="S205" s="131"/>
      <c r="T205" s="132"/>
      <c r="U205" s="131"/>
      <c r="V205" s="131"/>
      <c r="W205" s="131"/>
      <c r="X205" s="131"/>
      <c r="Y205" s="131"/>
      <c r="Z205" s="131"/>
      <c r="AA205" s="132"/>
      <c r="AB205" s="132"/>
      <c r="AC205" s="132"/>
      <c r="AD205" s="132"/>
      <c r="AE205" s="131"/>
      <c r="AF205" s="131"/>
      <c r="AG205" s="131"/>
      <c r="AH205" s="131"/>
      <c r="AI205" s="131"/>
      <c r="AJ205" s="131"/>
      <c r="AK205" s="132"/>
      <c r="AL205" s="132"/>
      <c r="AM205" s="132"/>
      <c r="AN205" s="132"/>
      <c r="AO205" s="131"/>
      <c r="AP205" s="131"/>
      <c r="AQ205" s="131"/>
      <c r="AR205" s="131"/>
      <c r="AS205" s="131"/>
      <c r="AT205" s="131"/>
      <c r="AU205" s="131"/>
      <c r="AV205" s="131"/>
      <c r="AW205" s="131"/>
      <c r="AX205" s="131"/>
      <c r="AY205" s="131"/>
      <c r="AZ205" s="131"/>
      <c r="BA205" s="131"/>
      <c r="BB205" s="131"/>
      <c r="BC205" s="131"/>
      <c r="BD205" s="131"/>
      <c r="BE205" s="131"/>
      <c r="BF205" s="131"/>
      <c r="BG205" s="131"/>
      <c r="BH205" s="131"/>
      <c r="BI205" s="131"/>
      <c r="BJ205" s="131"/>
      <c r="BK205" s="131"/>
      <c r="BL205" s="131"/>
      <c r="BM205" s="131"/>
      <c r="BN205" s="131"/>
      <c r="BO205" s="131"/>
      <c r="BP205" s="131"/>
      <c r="BQ205" s="131"/>
      <c r="BR205" s="131"/>
      <c r="BS205" s="131"/>
      <c r="BT205" s="131"/>
      <c r="BU205" s="131"/>
      <c r="BV205" s="131"/>
      <c r="BW205" s="131"/>
      <c r="BX205" s="131"/>
      <c r="BY205" s="131"/>
      <c r="BZ205" s="131"/>
      <c r="CA205" s="131"/>
      <c r="CB205" s="131"/>
      <c r="CC205" s="131"/>
      <c r="CD205" s="174"/>
      <c r="CE205" s="174"/>
      <c r="CF205" s="174"/>
      <c r="CG205" s="174"/>
      <c r="CH205" s="131"/>
      <c r="CI205" s="131"/>
      <c r="CJ205" s="131"/>
      <c r="CK205" s="131"/>
      <c r="CL205" s="131"/>
      <c r="CM205" s="131"/>
      <c r="CN205" s="131"/>
      <c r="CO205" s="131"/>
      <c r="CP205" s="131"/>
      <c r="CQ205" s="131"/>
      <c r="CR205" s="131"/>
      <c r="CS205" s="131"/>
      <c r="CT205" s="131"/>
      <c r="CU205" s="131"/>
      <c r="CV205" s="131"/>
      <c r="CW205" s="131"/>
      <c r="CX205" s="131"/>
      <c r="CY205" s="131"/>
      <c r="CZ205" s="131"/>
      <c r="DA205" s="131"/>
      <c r="DB205" s="131"/>
      <c r="DC205" s="131"/>
      <c r="DD205" s="131"/>
      <c r="DE205" s="131"/>
      <c r="DF205" s="131"/>
      <c r="DG205" s="131"/>
      <c r="DH205" s="131"/>
      <c r="DI205" s="131"/>
      <c r="DJ205" s="131"/>
      <c r="DK205" s="131"/>
      <c r="DL205" s="131"/>
      <c r="DM205" s="131"/>
      <c r="DN205" s="131"/>
      <c r="DO205" s="131"/>
      <c r="DP205" s="131"/>
      <c r="DQ205" s="131"/>
      <c r="DR205" s="131"/>
      <c r="DS205" s="131"/>
      <c r="DT205" s="131"/>
      <c r="DU205" s="131"/>
      <c r="DV205" s="131"/>
      <c r="DW205" s="131"/>
      <c r="DX205" s="131"/>
      <c r="DY205" s="131"/>
      <c r="DZ205" s="131"/>
      <c r="EA205" s="131"/>
      <c r="EB205" s="131"/>
      <c r="EC205" s="131"/>
      <c r="ED205" s="131"/>
      <c r="EE205" s="131"/>
      <c r="EF205" s="131"/>
      <c r="EG205" s="131"/>
      <c r="EH205" s="131"/>
      <c r="EI205" s="131"/>
      <c r="EJ205" s="131"/>
      <c r="EK205" s="131"/>
      <c r="EL205" s="131"/>
      <c r="EM205" s="131"/>
      <c r="EN205" s="131"/>
      <c r="EO205" s="131"/>
      <c r="EP205" s="131"/>
      <c r="EQ205" s="131"/>
      <c r="ER205" s="131"/>
      <c r="ES205" s="131"/>
      <c r="ET205" s="131"/>
      <c r="EU205" s="131"/>
      <c r="EV205" s="131"/>
      <c r="EW205" s="131"/>
      <c r="EX205" s="131"/>
      <c r="EY205" s="131"/>
      <c r="EZ205" s="131"/>
      <c r="FA205" s="1100"/>
      <c r="FB205" s="1100"/>
    </row>
    <row r="206" spans="1:158" s="31" customFormat="1" ht="11.25" hidden="1" customHeight="1" outlineLevel="1">
      <c r="A206" s="5212" t="s">
        <v>509</v>
      </c>
      <c r="B206" s="5194" t="s">
        <v>37</v>
      </c>
      <c r="C206" s="5194" t="s">
        <v>38</v>
      </c>
      <c r="D206" s="5194" t="s">
        <v>39</v>
      </c>
      <c r="E206" s="5194" t="s">
        <v>40</v>
      </c>
      <c r="F206" s="5195" t="s">
        <v>41</v>
      </c>
      <c r="G206" s="5194" t="s">
        <v>42</v>
      </c>
      <c r="H206" s="5194" t="s">
        <v>43</v>
      </c>
      <c r="I206" s="5194" t="s">
        <v>44</v>
      </c>
      <c r="J206" s="5194" t="s">
        <v>109</v>
      </c>
      <c r="K206" s="5196" t="s">
        <v>104</v>
      </c>
      <c r="L206" s="5196" t="s">
        <v>111</v>
      </c>
      <c r="M206" s="5196" t="s">
        <v>112</v>
      </c>
      <c r="N206" s="5196" t="s">
        <v>114</v>
      </c>
      <c r="O206" s="5196" t="s">
        <v>115</v>
      </c>
      <c r="P206" s="5196" t="s">
        <v>113</v>
      </c>
      <c r="Q206" s="5196" t="s">
        <v>118</v>
      </c>
      <c r="R206" s="5196" t="s">
        <v>120</v>
      </c>
      <c r="S206" s="5196" t="s">
        <v>122</v>
      </c>
      <c r="T206" s="5196" t="s">
        <v>124</v>
      </c>
      <c r="U206" s="5196" t="s">
        <v>129</v>
      </c>
      <c r="V206" s="5196" t="s">
        <v>125</v>
      </c>
      <c r="W206" s="5196" t="s">
        <v>126</v>
      </c>
      <c r="X206" s="5196" t="s">
        <v>127</v>
      </c>
      <c r="Y206" s="5196" t="s">
        <v>128</v>
      </c>
      <c r="Z206" s="5196" t="s">
        <v>184</v>
      </c>
      <c r="AA206" s="5196" t="s">
        <v>130</v>
      </c>
      <c r="AB206" s="5196" t="s">
        <v>233</v>
      </c>
      <c r="AC206" s="5196" t="s">
        <v>254</v>
      </c>
      <c r="AD206" s="5196" t="s">
        <v>255</v>
      </c>
      <c r="AE206" s="5196" t="s">
        <v>256</v>
      </c>
      <c r="AF206" s="5196" t="str">
        <f t="shared" ref="AF206:BN206" si="854">AF168</f>
        <v>3/05A</v>
      </c>
      <c r="AG206" s="5196" t="str">
        <f t="shared" si="854"/>
        <v>6/05A</v>
      </c>
      <c r="AH206" s="5196" t="str">
        <f t="shared" si="854"/>
        <v>9/05A</v>
      </c>
      <c r="AI206" s="5196" t="str">
        <f t="shared" si="854"/>
        <v>12/05A</v>
      </c>
      <c r="AJ206" s="5196" t="str">
        <f t="shared" si="854"/>
        <v>2005A</v>
      </c>
      <c r="AK206" s="5196" t="str">
        <f t="shared" si="854"/>
        <v>3/06A</v>
      </c>
      <c r="AL206" s="5196" t="str">
        <f t="shared" si="854"/>
        <v>6/06A</v>
      </c>
      <c r="AM206" s="5196" t="str">
        <f t="shared" si="854"/>
        <v>9/06A</v>
      </c>
      <c r="AN206" s="5196" t="str">
        <f t="shared" si="854"/>
        <v>12/06A</v>
      </c>
      <c r="AO206" s="5196" t="str">
        <f t="shared" si="854"/>
        <v>2006A</v>
      </c>
      <c r="AP206" s="5196" t="str">
        <f t="shared" si="854"/>
        <v>3/07A</v>
      </c>
      <c r="AQ206" s="5196" t="str">
        <f t="shared" si="854"/>
        <v>6/07A</v>
      </c>
      <c r="AR206" s="5196" t="str">
        <f t="shared" si="854"/>
        <v>9/07A</v>
      </c>
      <c r="AS206" s="5196" t="str">
        <f t="shared" si="854"/>
        <v>12/07A</v>
      </c>
      <c r="AT206" s="5196" t="str">
        <f t="shared" si="854"/>
        <v>2007A</v>
      </c>
      <c r="AU206" s="5196" t="str">
        <f t="shared" si="854"/>
        <v>3/08A</v>
      </c>
      <c r="AV206" s="5196" t="str">
        <f t="shared" si="854"/>
        <v>6/08A</v>
      </c>
      <c r="AW206" s="5196" t="str">
        <f t="shared" si="854"/>
        <v>9/08A</v>
      </c>
      <c r="AX206" s="5196" t="str">
        <f t="shared" si="854"/>
        <v>12/08A</v>
      </c>
      <c r="AY206" s="5196" t="str">
        <f t="shared" si="854"/>
        <v>2008A</v>
      </c>
      <c r="AZ206" s="5196" t="str">
        <f t="shared" si="854"/>
        <v>3/09A</v>
      </c>
      <c r="BA206" s="5196" t="str">
        <f t="shared" si="854"/>
        <v>6/09A</v>
      </c>
      <c r="BB206" s="5196" t="str">
        <f t="shared" si="854"/>
        <v>9/09A</v>
      </c>
      <c r="BC206" s="5196" t="str">
        <f t="shared" si="854"/>
        <v>12/09A</v>
      </c>
      <c r="BD206" s="5196" t="str">
        <f t="shared" si="854"/>
        <v>2009A</v>
      </c>
      <c r="BE206" s="5196" t="str">
        <f t="shared" si="854"/>
        <v>3/10A</v>
      </c>
      <c r="BF206" s="5196" t="str">
        <f t="shared" si="854"/>
        <v>6/10A</v>
      </c>
      <c r="BG206" s="5196" t="str">
        <f t="shared" si="854"/>
        <v>9/10A</v>
      </c>
      <c r="BH206" s="5196" t="str">
        <f t="shared" si="854"/>
        <v>12/10A</v>
      </c>
      <c r="BI206" s="5196" t="str">
        <f t="shared" si="854"/>
        <v>2010A</v>
      </c>
      <c r="BJ206" s="5196" t="str">
        <f t="shared" si="854"/>
        <v>3/11A</v>
      </c>
      <c r="BK206" s="5196" t="str">
        <f t="shared" si="854"/>
        <v>6/11A</v>
      </c>
      <c r="BL206" s="5196" t="str">
        <f t="shared" si="854"/>
        <v>9/11A</v>
      </c>
      <c r="BM206" s="5196" t="str">
        <f t="shared" si="854"/>
        <v>12/11A</v>
      </c>
      <c r="BN206" s="5196" t="str">
        <f t="shared" si="854"/>
        <v>2011A</v>
      </c>
      <c r="BO206" s="5196"/>
      <c r="BP206" s="5196"/>
      <c r="BQ206" s="5196"/>
      <c r="BR206" s="5196"/>
      <c r="BS206" s="5196"/>
      <c r="BT206" s="5196" t="str">
        <f>+BT6</f>
        <v>3/12A</v>
      </c>
      <c r="BU206" s="5196" t="str">
        <f>+BU6</f>
        <v>6/12A</v>
      </c>
      <c r="BV206" s="5196" t="str">
        <f>+BV6</f>
        <v>9/12A</v>
      </c>
      <c r="BW206" s="5196" t="str">
        <f>+BW6</f>
        <v>12/12A</v>
      </c>
      <c r="BX206" s="5196" t="str">
        <f>+BX6</f>
        <v>2012A</v>
      </c>
      <c r="BY206" s="5196"/>
      <c r="BZ206" s="5196"/>
      <c r="CA206" s="5196"/>
      <c r="CB206" s="5196"/>
      <c r="CC206" s="5196"/>
      <c r="CD206" s="5196" t="str">
        <f t="shared" ref="CD206:CM206" si="855">+CD6</f>
        <v>3/13A</v>
      </c>
      <c r="CE206" s="5196" t="str">
        <f t="shared" si="855"/>
        <v>6/13A</v>
      </c>
      <c r="CF206" s="5196" t="str">
        <f t="shared" si="855"/>
        <v>9/13A</v>
      </c>
      <c r="CG206" s="5196" t="str">
        <f t="shared" si="855"/>
        <v>12/13A</v>
      </c>
      <c r="CH206" s="5196" t="str">
        <f t="shared" si="855"/>
        <v>2013A</v>
      </c>
      <c r="CI206" s="5196" t="str">
        <f t="shared" si="855"/>
        <v>3/14A</v>
      </c>
      <c r="CJ206" s="5196" t="str">
        <f t="shared" si="855"/>
        <v>6/14A</v>
      </c>
      <c r="CK206" s="5196" t="str">
        <f t="shared" si="855"/>
        <v>9/14A</v>
      </c>
      <c r="CL206" s="5196" t="str">
        <f t="shared" si="855"/>
        <v>12/14A</v>
      </c>
      <c r="CM206" s="5196" t="str">
        <f t="shared" si="855"/>
        <v>2014A</v>
      </c>
      <c r="CN206" s="5196" t="str">
        <f t="shared" ref="CN206:DS206" si="856">CN6</f>
        <v>3/15A</v>
      </c>
      <c r="CO206" s="5196" t="str">
        <f t="shared" si="856"/>
        <v>6/15A</v>
      </c>
      <c r="CP206" s="5196" t="str">
        <f t="shared" si="856"/>
        <v>9/15A</v>
      </c>
      <c r="CQ206" s="5196" t="str">
        <f t="shared" si="856"/>
        <v>12/15A</v>
      </c>
      <c r="CR206" s="5196" t="str">
        <f t="shared" si="856"/>
        <v>2015A</v>
      </c>
      <c r="CS206" s="5196" t="str">
        <f t="shared" si="856"/>
        <v>3/16A</v>
      </c>
      <c r="CT206" s="5196" t="str">
        <f t="shared" si="856"/>
        <v>6/16A</v>
      </c>
      <c r="CU206" s="5196" t="str">
        <f t="shared" si="856"/>
        <v>9/16A</v>
      </c>
      <c r="CV206" s="5196" t="str">
        <f t="shared" si="856"/>
        <v>12/16A</v>
      </c>
      <c r="CW206" s="5196" t="str">
        <f t="shared" si="856"/>
        <v>2016A</v>
      </c>
      <c r="CX206" s="5196" t="str">
        <f t="shared" si="856"/>
        <v>3/17A</v>
      </c>
      <c r="CY206" s="5196" t="str">
        <f t="shared" si="856"/>
        <v>6/17A</v>
      </c>
      <c r="CZ206" s="5196" t="str">
        <f t="shared" si="856"/>
        <v>9/17A</v>
      </c>
      <c r="DA206" s="5196" t="str">
        <f t="shared" si="856"/>
        <v>12/17A</v>
      </c>
      <c r="DB206" s="5196" t="str">
        <f t="shared" si="856"/>
        <v>2017A</v>
      </c>
      <c r="DC206" s="5196" t="str">
        <f t="shared" si="856"/>
        <v>3/18A</v>
      </c>
      <c r="DD206" s="5196" t="str">
        <f t="shared" si="856"/>
        <v>6/18A</v>
      </c>
      <c r="DE206" s="5196" t="str">
        <f t="shared" si="856"/>
        <v>9/18A</v>
      </c>
      <c r="DF206" s="5196" t="str">
        <f t="shared" si="856"/>
        <v>12/18A</v>
      </c>
      <c r="DG206" s="5196" t="str">
        <f t="shared" si="856"/>
        <v>2018A</v>
      </c>
      <c r="DH206" s="5196" t="str">
        <f t="shared" si="856"/>
        <v>3/19A</v>
      </c>
      <c r="DI206" s="5196" t="str">
        <f t="shared" si="856"/>
        <v>6/19A</v>
      </c>
      <c r="DJ206" s="5196" t="str">
        <f t="shared" si="856"/>
        <v>9/19A</v>
      </c>
      <c r="DK206" s="5196" t="str">
        <f t="shared" si="856"/>
        <v>12/19A</v>
      </c>
      <c r="DL206" s="5196" t="str">
        <f t="shared" si="856"/>
        <v>2019A</v>
      </c>
      <c r="DM206" s="5196" t="str">
        <f t="shared" si="856"/>
        <v>3/20A</v>
      </c>
      <c r="DN206" s="5196" t="str">
        <f t="shared" si="856"/>
        <v>6/20A</v>
      </c>
      <c r="DO206" s="5196" t="str">
        <f t="shared" si="856"/>
        <v>9/20A</v>
      </c>
      <c r="DP206" s="5196" t="str">
        <f t="shared" si="856"/>
        <v>12/20A</v>
      </c>
      <c r="DQ206" s="5196" t="str">
        <f t="shared" si="856"/>
        <v>2020A</v>
      </c>
      <c r="DR206" s="5196" t="str">
        <f t="shared" si="856"/>
        <v>3/21A</v>
      </c>
      <c r="DS206" s="5196" t="str">
        <f t="shared" si="856"/>
        <v>6/21A</v>
      </c>
      <c r="DT206" s="5196" t="str">
        <f t="shared" ref="DT206:EX206" si="857">DT6</f>
        <v>9/21A</v>
      </c>
      <c r="DU206" s="5196" t="str">
        <f t="shared" si="857"/>
        <v>12/21A</v>
      </c>
      <c r="DV206" s="5196" t="str">
        <f t="shared" si="857"/>
        <v>2021A</v>
      </c>
      <c r="DW206" s="5196" t="str">
        <f t="shared" si="857"/>
        <v>3/22A</v>
      </c>
      <c r="DX206" s="5196" t="str">
        <f t="shared" si="857"/>
        <v>6/22A</v>
      </c>
      <c r="DY206" s="5196" t="str">
        <f t="shared" si="857"/>
        <v>9/22A</v>
      </c>
      <c r="DZ206" s="5196" t="str">
        <f t="shared" si="857"/>
        <v>12/22A</v>
      </c>
      <c r="EA206" s="5196" t="str">
        <f t="shared" si="857"/>
        <v>2022A</v>
      </c>
      <c r="EB206" s="5196" t="str">
        <f t="shared" si="857"/>
        <v>3/23A</v>
      </c>
      <c r="EC206" s="5196" t="str">
        <f t="shared" si="857"/>
        <v>6/23A</v>
      </c>
      <c r="ED206" s="5196" t="str">
        <f t="shared" si="857"/>
        <v>9/23A</v>
      </c>
      <c r="EE206" s="5196" t="str">
        <f t="shared" si="857"/>
        <v>12/23A</v>
      </c>
      <c r="EF206" s="5196" t="str">
        <f t="shared" si="857"/>
        <v>2023A</v>
      </c>
      <c r="EG206" s="5196" t="str">
        <f t="shared" si="857"/>
        <v>3/24A</v>
      </c>
      <c r="EH206" s="5196" t="str">
        <f t="shared" si="857"/>
        <v>6/24A</v>
      </c>
      <c r="EI206" s="5196" t="str">
        <f t="shared" ref="EI206:EJ206" si="858">EI6</f>
        <v>9/24A</v>
      </c>
      <c r="EJ206" s="5196" t="str">
        <f t="shared" si="858"/>
        <v>12/24A</v>
      </c>
      <c r="EK206" s="5196" t="str">
        <f t="shared" si="857"/>
        <v>2024A</v>
      </c>
      <c r="EL206" s="5196" t="str">
        <f t="shared" ref="EL206:EN206" si="859">EL6</f>
        <v>3/25A</v>
      </c>
      <c r="EM206" s="5196" t="str">
        <f t="shared" si="859"/>
        <v>6/25A</v>
      </c>
      <c r="EN206" s="5196" t="str">
        <f t="shared" si="859"/>
        <v>9/25A</v>
      </c>
      <c r="EO206" s="5196" t="str">
        <f t="shared" si="857"/>
        <v>12/25E</v>
      </c>
      <c r="EP206" s="5196" t="str">
        <f t="shared" si="857"/>
        <v>2025E</v>
      </c>
      <c r="EQ206" s="5196" t="str">
        <f t="shared" ref="EQ206:EU206" si="860">EQ6</f>
        <v>3/26E</v>
      </c>
      <c r="ER206" s="5196" t="str">
        <f t="shared" si="860"/>
        <v>6/26E</v>
      </c>
      <c r="ES206" s="5196" t="str">
        <f t="shared" si="860"/>
        <v>9/26E</v>
      </c>
      <c r="ET206" s="5196" t="str">
        <f t="shared" si="860"/>
        <v>12/26E</v>
      </c>
      <c r="EU206" s="5196" t="str">
        <f t="shared" si="860"/>
        <v>2026E</v>
      </c>
      <c r="EV206" s="5196" t="str">
        <f t="shared" si="857"/>
        <v>2027E</v>
      </c>
      <c r="EW206" s="5196" t="str">
        <f t="shared" si="857"/>
        <v>2028E</v>
      </c>
      <c r="EX206" s="5196" t="str">
        <f t="shared" si="857"/>
        <v>2029E</v>
      </c>
      <c r="EY206" s="5196" t="str">
        <f t="shared" ref="EY206" si="861">EY6</f>
        <v>2030E</v>
      </c>
      <c r="EZ206" s="32"/>
      <c r="FA206" s="725"/>
      <c r="FB206" s="725"/>
    </row>
    <row r="207" spans="1:158" s="31" customFormat="1" ht="11.25" customHeight="1" collapsed="1">
      <c r="A207" s="5662" t="s">
        <v>321</v>
      </c>
      <c r="B207" s="2918"/>
      <c r="C207" s="2918"/>
      <c r="D207" s="2918"/>
      <c r="E207" s="2918"/>
      <c r="F207" s="5566"/>
      <c r="G207" s="2918"/>
      <c r="H207" s="2918"/>
      <c r="I207" s="2918"/>
      <c r="J207" s="2918"/>
      <c r="K207" s="5198"/>
      <c r="L207" s="2918"/>
      <c r="M207" s="2918"/>
      <c r="N207" s="2918"/>
      <c r="O207" s="2918"/>
      <c r="P207" s="5198"/>
      <c r="Q207" s="5197"/>
      <c r="R207" s="2918"/>
      <c r="S207" s="2918"/>
      <c r="T207" s="2918"/>
      <c r="U207" s="5198"/>
      <c r="V207" s="5197"/>
      <c r="W207" s="2918"/>
      <c r="X207" s="2918"/>
      <c r="Y207" s="2918"/>
      <c r="Z207" s="5198"/>
      <c r="AA207" s="5197"/>
      <c r="AB207" s="2918"/>
      <c r="AC207" s="2918"/>
      <c r="AD207" s="2918"/>
      <c r="AE207" s="5198"/>
      <c r="AF207" s="5197"/>
      <c r="AG207" s="2918"/>
      <c r="AH207" s="2918"/>
      <c r="AI207" s="2918"/>
      <c r="AJ207" s="5198"/>
      <c r="AK207" s="5197"/>
      <c r="AL207" s="2918"/>
      <c r="AM207" s="2918"/>
      <c r="AN207" s="2918"/>
      <c r="AO207" s="5198"/>
      <c r="AP207" s="5197"/>
      <c r="AQ207" s="2918"/>
      <c r="AR207" s="2918"/>
      <c r="AS207" s="2918"/>
      <c r="AT207" s="5198"/>
      <c r="AU207" s="5197"/>
      <c r="AV207" s="2918"/>
      <c r="AW207" s="2918"/>
      <c r="AX207" s="2918"/>
      <c r="AY207" s="5198"/>
      <c r="AZ207" s="5197"/>
      <c r="BA207" s="2918"/>
      <c r="BB207" s="2918"/>
      <c r="BC207" s="2918"/>
      <c r="BD207" s="5198"/>
      <c r="BE207" s="5197"/>
      <c r="BF207" s="2918"/>
      <c r="BG207" s="2918"/>
      <c r="BH207" s="2918"/>
      <c r="BI207" s="5198"/>
      <c r="BJ207" s="5197"/>
      <c r="BK207" s="2918"/>
      <c r="BL207" s="2918"/>
      <c r="BM207" s="2918"/>
      <c r="BN207" s="5198"/>
      <c r="BO207" s="2918"/>
      <c r="BP207" s="2918"/>
      <c r="BQ207" s="2918"/>
      <c r="BR207" s="2918"/>
      <c r="BS207" s="5198"/>
      <c r="BT207" s="2918"/>
      <c r="BU207" s="2918"/>
      <c r="BV207" s="2918"/>
      <c r="BW207" s="2918"/>
      <c r="BX207" s="5198"/>
      <c r="BY207" s="2918"/>
      <c r="BZ207" s="2918"/>
      <c r="CA207" s="2918"/>
      <c r="CB207" s="2918"/>
      <c r="CC207" s="5198"/>
      <c r="CD207" s="2918"/>
      <c r="CE207" s="2918"/>
      <c r="CF207" s="2918"/>
      <c r="CG207" s="2918"/>
      <c r="CH207" s="5198"/>
      <c r="CI207" s="2347"/>
      <c r="CJ207" s="2918"/>
      <c r="CK207" s="2918"/>
      <c r="CL207" s="2918"/>
      <c r="CM207" s="5198"/>
      <c r="CN207" s="2918"/>
      <c r="CO207" s="2918"/>
      <c r="CP207" s="2918"/>
      <c r="CQ207" s="2918"/>
      <c r="CR207" s="5198"/>
      <c r="CS207" s="2918"/>
      <c r="CT207" s="2918"/>
      <c r="CU207" s="2918"/>
      <c r="CV207" s="5111"/>
      <c r="CW207" s="5213"/>
      <c r="CX207" s="5111"/>
      <c r="CY207" s="5111"/>
      <c r="CZ207" s="5111"/>
      <c r="DA207" s="5111"/>
      <c r="DB207" s="5213"/>
      <c r="DC207" s="5111"/>
      <c r="DD207" s="5111"/>
      <c r="DE207" s="5111"/>
      <c r="DF207" s="5111"/>
      <c r="DG207" s="5213"/>
      <c r="DH207" s="5111"/>
      <c r="DI207" s="5111"/>
      <c r="DJ207" s="5111"/>
      <c r="DK207" s="5111"/>
      <c r="DL207" s="5213"/>
      <c r="DM207" s="5111"/>
      <c r="DN207" s="5111"/>
      <c r="DO207" s="5111"/>
      <c r="DP207" s="5111"/>
      <c r="DQ207" s="5199"/>
      <c r="DR207" s="5111"/>
      <c r="DS207" s="5111"/>
      <c r="DT207" s="5111"/>
      <c r="DU207" s="5111"/>
      <c r="DV207" s="5199"/>
      <c r="DW207" s="5111"/>
      <c r="DX207" s="5111"/>
      <c r="DY207" s="5111"/>
      <c r="DZ207" s="5111"/>
      <c r="EA207" s="5199"/>
      <c r="EB207" s="5111"/>
      <c r="EC207" s="5111"/>
      <c r="ED207" s="5111"/>
      <c r="EE207" s="5111"/>
      <c r="EF207" s="5199"/>
      <c r="EG207" s="5111"/>
      <c r="EH207" s="5111"/>
      <c r="EI207" s="5111"/>
      <c r="EJ207" s="5111"/>
      <c r="EK207" s="5199"/>
      <c r="EL207" s="5111"/>
      <c r="EM207" s="5111"/>
      <c r="EN207" s="5111"/>
      <c r="EO207" s="5111"/>
      <c r="EP207" s="5199"/>
      <c r="EQ207" s="5111"/>
      <c r="ER207" s="5111"/>
      <c r="ES207" s="5111"/>
      <c r="ET207" s="5111"/>
      <c r="EU207" s="5199"/>
      <c r="EV207" s="5213"/>
      <c r="EW207" s="5213"/>
      <c r="EX207" s="5213"/>
      <c r="EY207" s="5213"/>
      <c r="EZ207" s="32"/>
      <c r="FA207" s="725"/>
      <c r="FB207" s="725"/>
    </row>
    <row r="208" spans="1:158" s="168" customFormat="1" ht="11.25" customHeight="1">
      <c r="A208" s="5671" t="s">
        <v>289</v>
      </c>
      <c r="B208" s="1968"/>
      <c r="C208" s="1968"/>
      <c r="D208" s="1968"/>
      <c r="E208" s="1968"/>
      <c r="F208" s="5567"/>
      <c r="G208" s="1968"/>
      <c r="H208" s="1968"/>
      <c r="I208" s="1968"/>
      <c r="J208" s="1968"/>
      <c r="K208" s="3464"/>
      <c r="L208" s="1968"/>
      <c r="M208" s="1968"/>
      <c r="N208" s="1968"/>
      <c r="O208" s="1968"/>
      <c r="P208" s="3464"/>
      <c r="Q208" s="2898"/>
      <c r="R208" s="1968"/>
      <c r="S208" s="1968"/>
      <c r="T208" s="1968"/>
      <c r="U208" s="3464"/>
      <c r="V208" s="2898">
        <f t="shared" ref="V208:Y209" si="862">V170</f>
        <v>248.61799999999999</v>
      </c>
      <c r="W208" s="1968">
        <f t="shared" si="862"/>
        <v>311.19900000000001</v>
      </c>
      <c r="X208" s="1968">
        <f t="shared" si="862"/>
        <v>393.94200000000001</v>
      </c>
      <c r="Y208" s="1968">
        <f t="shared" si="862"/>
        <v>512.17499999999995</v>
      </c>
      <c r="Z208" s="3464">
        <f>SUM(V208:Y208)</f>
        <v>1465.934</v>
      </c>
      <c r="AA208" s="2898">
        <f t="shared" ref="AA208:AD209" si="863">AA170</f>
        <v>651.62300000000005</v>
      </c>
      <c r="AB208" s="1968">
        <f t="shared" si="863"/>
        <v>700.21199999999999</v>
      </c>
      <c r="AC208" s="1968">
        <f t="shared" si="863"/>
        <v>805.88699999999994</v>
      </c>
      <c r="AD208" s="3465">
        <f t="shared" si="863"/>
        <v>1031.5020000000002</v>
      </c>
      <c r="AE208" s="3464">
        <f>SUM(AA208:AD208)</f>
        <v>3189.2240000000002</v>
      </c>
      <c r="AF208" s="2898">
        <f t="shared" ref="AF208:BN208" si="864">AF170</f>
        <v>1256.5157999999999</v>
      </c>
      <c r="AG208" s="1968">
        <f t="shared" si="864"/>
        <v>1384.4949999999999</v>
      </c>
      <c r="AH208" s="1968">
        <f t="shared" si="864"/>
        <v>1578.4559999999999</v>
      </c>
      <c r="AI208" s="3465">
        <f t="shared" si="864"/>
        <v>1919.0930000000001</v>
      </c>
      <c r="AJ208" s="3464">
        <f t="shared" si="864"/>
        <v>6138.5598</v>
      </c>
      <c r="AK208" s="2898">
        <f t="shared" si="864"/>
        <v>2253.7550000000001</v>
      </c>
      <c r="AL208" s="1968">
        <f t="shared" si="864"/>
        <v>2455.9910000000004</v>
      </c>
      <c r="AM208" s="1968">
        <f t="shared" si="864"/>
        <v>2689.6729999999998</v>
      </c>
      <c r="AN208" s="1968">
        <f t="shared" si="864"/>
        <v>3205.4979999999996</v>
      </c>
      <c r="AO208" s="3464">
        <f t="shared" si="864"/>
        <v>10604.917000000001</v>
      </c>
      <c r="AP208" s="2898">
        <f t="shared" si="864"/>
        <v>3663.971</v>
      </c>
      <c r="AQ208" s="1968">
        <f t="shared" si="864"/>
        <v>3871.9849999999997</v>
      </c>
      <c r="AR208" s="1968">
        <f t="shared" si="864"/>
        <v>4231.3509999999997</v>
      </c>
      <c r="AS208" s="1968">
        <f t="shared" si="864"/>
        <v>4826.6790000000001</v>
      </c>
      <c r="AT208" s="3464">
        <f t="shared" si="864"/>
        <v>16593.986000000001</v>
      </c>
      <c r="AU208" s="2898">
        <f t="shared" si="864"/>
        <v>5186.0430000000006</v>
      </c>
      <c r="AV208" s="1968">
        <f t="shared" si="864"/>
        <v>5367.2120000000004</v>
      </c>
      <c r="AW208" s="1968">
        <f t="shared" si="864"/>
        <v>5541.3909999999996</v>
      </c>
      <c r="AX208" s="1968">
        <f t="shared" si="864"/>
        <v>5700.9039999999995</v>
      </c>
      <c r="AY208" s="3464">
        <f t="shared" si="864"/>
        <v>21795.550000000003</v>
      </c>
      <c r="AZ208" s="2898">
        <f t="shared" si="864"/>
        <v>5508.99</v>
      </c>
      <c r="BA208" s="1968">
        <f t="shared" si="864"/>
        <v>5522.8970000000008</v>
      </c>
      <c r="BB208" s="1968">
        <f t="shared" si="864"/>
        <v>5944.8509999999997</v>
      </c>
      <c r="BC208" s="1968">
        <f t="shared" si="864"/>
        <v>6673.8250000000007</v>
      </c>
      <c r="BD208" s="3464">
        <f t="shared" si="864"/>
        <v>23650.563000000002</v>
      </c>
      <c r="BE208" s="2898">
        <f t="shared" si="864"/>
        <v>6775</v>
      </c>
      <c r="BF208" s="1968">
        <f t="shared" si="864"/>
        <v>6820</v>
      </c>
      <c r="BG208" s="1968">
        <f t="shared" si="864"/>
        <v>7286</v>
      </c>
      <c r="BH208" s="1968">
        <f t="shared" si="864"/>
        <v>8440</v>
      </c>
      <c r="BI208" s="3464">
        <f t="shared" si="864"/>
        <v>29321</v>
      </c>
      <c r="BJ208" s="2898">
        <f t="shared" si="864"/>
        <v>8575</v>
      </c>
      <c r="BK208" s="1968">
        <f t="shared" si="864"/>
        <v>9026</v>
      </c>
      <c r="BL208" s="1968">
        <f t="shared" si="864"/>
        <v>9720</v>
      </c>
      <c r="BM208" s="1968">
        <f t="shared" si="864"/>
        <v>10584</v>
      </c>
      <c r="BN208" s="3464">
        <f t="shared" si="864"/>
        <v>37905</v>
      </c>
      <c r="BO208" s="1968"/>
      <c r="BP208" s="1968"/>
      <c r="BQ208" s="1968"/>
      <c r="BR208" s="1968"/>
      <c r="BS208" s="3464"/>
      <c r="BT208" s="1968">
        <f t="shared" ref="BT208:BX209" si="865">BT170</f>
        <v>10645</v>
      </c>
      <c r="BU208" s="1968">
        <f t="shared" si="865"/>
        <v>10964</v>
      </c>
      <c r="BV208" s="1968">
        <f t="shared" si="865"/>
        <v>11526</v>
      </c>
      <c r="BW208" s="1968">
        <f t="shared" si="865"/>
        <v>12905</v>
      </c>
      <c r="BX208" s="3464">
        <f t="shared" si="865"/>
        <v>46040</v>
      </c>
      <c r="BY208" s="1968"/>
      <c r="BZ208" s="1968"/>
      <c r="CA208" s="1968"/>
      <c r="CB208" s="1968"/>
      <c r="CC208" s="3464"/>
      <c r="CD208" s="1968">
        <f t="shared" ref="CD208:DE208" si="866">CD170</f>
        <v>12951</v>
      </c>
      <c r="CE208" s="1968">
        <f t="shared" si="866"/>
        <v>13107</v>
      </c>
      <c r="CF208" s="1968">
        <f t="shared" si="866"/>
        <v>13754</v>
      </c>
      <c r="CG208" s="1968">
        <f t="shared" si="866"/>
        <v>15707</v>
      </c>
      <c r="CH208" s="3464">
        <f t="shared" si="866"/>
        <v>55519</v>
      </c>
      <c r="CI208" s="1968">
        <f t="shared" si="866"/>
        <v>15420</v>
      </c>
      <c r="CJ208" s="1968">
        <f t="shared" si="866"/>
        <v>15955</v>
      </c>
      <c r="CK208" s="1968">
        <f t="shared" si="866"/>
        <v>16523</v>
      </c>
      <c r="CL208" s="1968">
        <f t="shared" si="866"/>
        <v>18103</v>
      </c>
      <c r="CM208" s="3464">
        <f t="shared" si="866"/>
        <v>66001</v>
      </c>
      <c r="CN208" s="1968">
        <f t="shared" si="866"/>
        <v>17258</v>
      </c>
      <c r="CO208" s="1968">
        <f t="shared" si="866"/>
        <v>17727</v>
      </c>
      <c r="CP208" s="1968">
        <f t="shared" si="866"/>
        <v>18675</v>
      </c>
      <c r="CQ208" s="1968">
        <f t="shared" si="866"/>
        <v>21329</v>
      </c>
      <c r="CR208" s="3464">
        <f t="shared" si="866"/>
        <v>74989</v>
      </c>
      <c r="CS208" s="1968">
        <f t="shared" si="866"/>
        <v>20257</v>
      </c>
      <c r="CT208" s="1968">
        <f t="shared" si="866"/>
        <v>21500</v>
      </c>
      <c r="CU208" s="1968">
        <f t="shared" si="866"/>
        <v>22451</v>
      </c>
      <c r="CV208" s="1968">
        <f t="shared" si="866"/>
        <v>26064</v>
      </c>
      <c r="CW208" s="3464">
        <f t="shared" si="866"/>
        <v>90272</v>
      </c>
      <c r="CX208" s="1968">
        <f t="shared" si="866"/>
        <v>24750</v>
      </c>
      <c r="CY208" s="1968">
        <f t="shared" si="866"/>
        <v>26010</v>
      </c>
      <c r="CZ208" s="1968">
        <f t="shared" si="866"/>
        <v>27772</v>
      </c>
      <c r="DA208" s="1968">
        <f t="shared" si="866"/>
        <v>32323</v>
      </c>
      <c r="DB208" s="3464">
        <f t="shared" si="866"/>
        <v>110855</v>
      </c>
      <c r="DC208" s="1968">
        <f t="shared" si="866"/>
        <v>31146</v>
      </c>
      <c r="DD208" s="1968">
        <f t="shared" si="866"/>
        <v>32657</v>
      </c>
      <c r="DE208" s="1968">
        <f t="shared" si="866"/>
        <v>33740</v>
      </c>
      <c r="DF208" s="1968">
        <f t="shared" ref="DF208:DQ208" si="867">DF170</f>
        <v>39276</v>
      </c>
      <c r="DG208" s="3464">
        <f t="shared" si="867"/>
        <v>136819</v>
      </c>
      <c r="DH208" s="1968">
        <f t="shared" si="867"/>
        <v>36339</v>
      </c>
      <c r="DI208" s="1968">
        <f t="shared" si="867"/>
        <v>38944</v>
      </c>
      <c r="DJ208" s="1968">
        <f t="shared" si="867"/>
        <v>40499</v>
      </c>
      <c r="DK208" s="1968">
        <f t="shared" si="867"/>
        <v>46075</v>
      </c>
      <c r="DL208" s="3464">
        <f t="shared" si="867"/>
        <v>161857</v>
      </c>
      <c r="DM208" s="1968">
        <f t="shared" si="867"/>
        <v>41159</v>
      </c>
      <c r="DN208" s="1968">
        <f t="shared" si="867"/>
        <v>38297</v>
      </c>
      <c r="DO208" s="1968">
        <f t="shared" si="867"/>
        <v>46173</v>
      </c>
      <c r="DP208" s="1968">
        <f>DP170</f>
        <v>56898</v>
      </c>
      <c r="DQ208" s="3464">
        <f t="shared" si="867"/>
        <v>182527</v>
      </c>
      <c r="DR208" s="5712">
        <f t="shared" ref="DR208:DV209" si="868">DR170</f>
        <v>55314</v>
      </c>
      <c r="DS208" s="5712">
        <f t="shared" si="868"/>
        <v>61880</v>
      </c>
      <c r="DT208" s="5712">
        <f t="shared" si="868"/>
        <v>65118</v>
      </c>
      <c r="DU208" s="5712">
        <f t="shared" si="868"/>
        <v>75325</v>
      </c>
      <c r="DV208" s="5713">
        <f t="shared" si="868"/>
        <v>257637</v>
      </c>
      <c r="DW208" s="5712">
        <f t="shared" ref="DW208:EV208" si="869">DW170</f>
        <v>68011</v>
      </c>
      <c r="DX208" s="5712">
        <f t="shared" si="869"/>
        <v>69685</v>
      </c>
      <c r="DY208" s="5712">
        <f t="shared" si="869"/>
        <v>69092</v>
      </c>
      <c r="DZ208" s="5712">
        <f t="shared" si="869"/>
        <v>76048</v>
      </c>
      <c r="EA208" s="5713">
        <f t="shared" si="869"/>
        <v>282836</v>
      </c>
      <c r="EB208" s="5712">
        <f t="shared" ref="EB208:EE209" si="870">EB170</f>
        <v>69787</v>
      </c>
      <c r="EC208" s="5712">
        <f t="shared" si="870"/>
        <v>74604</v>
      </c>
      <c r="ED208" s="5712">
        <f t="shared" si="870"/>
        <v>76693</v>
      </c>
      <c r="EE208" s="5712">
        <f t="shared" si="870"/>
        <v>86310</v>
      </c>
      <c r="EF208" s="3464">
        <f t="shared" si="869"/>
        <v>307394</v>
      </c>
      <c r="EG208" s="5712">
        <f t="shared" si="869"/>
        <v>80539</v>
      </c>
      <c r="EH208" s="5712">
        <f t="shared" si="869"/>
        <v>84742</v>
      </c>
      <c r="EI208" s="5712">
        <f t="shared" si="869"/>
        <v>88268</v>
      </c>
      <c r="EJ208" s="5712">
        <f t="shared" si="869"/>
        <v>96469</v>
      </c>
      <c r="EK208" s="3464">
        <f t="shared" ref="EK208:EN209" si="871">EK170</f>
        <v>350018</v>
      </c>
      <c r="EL208" s="5712">
        <f t="shared" si="871"/>
        <v>90234</v>
      </c>
      <c r="EM208" s="5712">
        <f t="shared" si="871"/>
        <v>96428</v>
      </c>
      <c r="EN208" s="5712">
        <f t="shared" si="871"/>
        <v>102346</v>
      </c>
      <c r="EO208" s="1968">
        <f t="shared" ref="EO208:EP208" si="872">EO170</f>
        <v>112246.33430067294</v>
      </c>
      <c r="EP208" s="3464">
        <f t="shared" si="872"/>
        <v>401254.33430067293</v>
      </c>
      <c r="EQ208" s="1968">
        <f t="shared" ref="EQ208:EU208" si="873">EQ170</f>
        <v>106324.51246813085</v>
      </c>
      <c r="ER208" s="1968">
        <f t="shared" si="873"/>
        <v>112613.41348835241</v>
      </c>
      <c r="ES208" s="1968">
        <f t="shared" si="873"/>
        <v>118888.45645648654</v>
      </c>
      <c r="ET208" s="1968">
        <f t="shared" si="873"/>
        <v>130475.26993554858</v>
      </c>
      <c r="EU208" s="3464">
        <f t="shared" si="873"/>
        <v>468301.65234851843</v>
      </c>
      <c r="EV208" s="3464">
        <f t="shared" si="869"/>
        <v>530735.52121275011</v>
      </c>
      <c r="EW208" s="3464">
        <f>EW170</f>
        <v>594221.93512936914</v>
      </c>
      <c r="EX208" s="3464">
        <f>EX170</f>
        <v>657093.77916525898</v>
      </c>
      <c r="EY208" s="3464">
        <f>EY170</f>
        <v>722335.86960670422</v>
      </c>
      <c r="EZ208" s="167"/>
      <c r="FA208" s="1319">
        <f>(EV208/EK208)^(1/3)-1</f>
        <v>0.14884805174012783</v>
      </c>
      <c r="FB208" s="1319">
        <f>(EX208/EK208)^(1/5)-1</f>
        <v>0.13424636296782211</v>
      </c>
    </row>
    <row r="209" spans="1:158" s="249" customFormat="1" ht="11.25" customHeight="1">
      <c r="A209" s="5664" t="s">
        <v>45</v>
      </c>
      <c r="B209" s="158"/>
      <c r="C209" s="158"/>
      <c r="D209" s="158"/>
      <c r="E209" s="158"/>
      <c r="F209" s="5568"/>
      <c r="G209" s="158"/>
      <c r="H209" s="158"/>
      <c r="I209" s="158"/>
      <c r="J209" s="158"/>
      <c r="K209" s="2331"/>
      <c r="L209" s="158"/>
      <c r="M209" s="158"/>
      <c r="N209" s="158"/>
      <c r="O209" s="158"/>
      <c r="P209" s="3513"/>
      <c r="Q209" s="3504"/>
      <c r="R209" s="158"/>
      <c r="S209" s="158"/>
      <c r="T209" s="158"/>
      <c r="U209" s="3513"/>
      <c r="V209" s="3502">
        <f t="shared" si="862"/>
        <v>4.8795790469433609</v>
      </c>
      <c r="W209" s="2505">
        <f t="shared" si="862"/>
        <v>2.9630563514804202</v>
      </c>
      <c r="X209" s="2505">
        <f t="shared" si="862"/>
        <v>2.0120883574055526</v>
      </c>
      <c r="Y209" s="2505">
        <f t="shared" si="862"/>
        <v>1.7256254290595012</v>
      </c>
      <c r="Z209" s="3513"/>
      <c r="AA209" s="3502">
        <f t="shared" si="863"/>
        <v>1.6209807817615784</v>
      </c>
      <c r="AB209" s="2505">
        <f t="shared" si="863"/>
        <v>1.250045790635574</v>
      </c>
      <c r="AC209" s="2505">
        <f t="shared" si="863"/>
        <v>1.0456996207563547</v>
      </c>
      <c r="AD209" s="2505">
        <f t="shared" si="863"/>
        <v>1.0139639771562461</v>
      </c>
      <c r="AE209" s="3513">
        <f>AE208/Z208-1</f>
        <v>1.1755576990505712</v>
      </c>
      <c r="AF209" s="3502">
        <f t="shared" ref="AF209:BN209" si="874">AF171</f>
        <v>0.92828644783870407</v>
      </c>
      <c r="AG209" s="2505">
        <f t="shared" si="874"/>
        <v>0.97725117535831996</v>
      </c>
      <c r="AH209" s="2505">
        <f t="shared" si="874"/>
        <v>0.9586567347531354</v>
      </c>
      <c r="AI209" s="2505">
        <f t="shared" si="874"/>
        <v>0.86048403202320478</v>
      </c>
      <c r="AJ209" s="3513">
        <f t="shared" si="874"/>
        <v>0.92478163967159421</v>
      </c>
      <c r="AK209" s="3502">
        <f t="shared" si="874"/>
        <v>0.79365432571560213</v>
      </c>
      <c r="AL209" s="2505">
        <f t="shared" si="874"/>
        <v>0.77392551074579585</v>
      </c>
      <c r="AM209" s="2505">
        <f t="shared" si="874"/>
        <v>0.70398984830745981</v>
      </c>
      <c r="AN209" s="2505">
        <f t="shared" si="874"/>
        <v>0.67031926019218435</v>
      </c>
      <c r="AO209" s="3513">
        <f t="shared" si="874"/>
        <v>0.72759040320825763</v>
      </c>
      <c r="AP209" s="3502">
        <f t="shared" si="874"/>
        <v>0.62571841216103774</v>
      </c>
      <c r="AQ209" s="2505">
        <f t="shared" si="874"/>
        <v>0.57654690102691708</v>
      </c>
      <c r="AR209" s="2505">
        <f t="shared" si="874"/>
        <v>0.57318417517668507</v>
      </c>
      <c r="AS209" s="2505">
        <f t="shared" si="874"/>
        <v>0.50575012057408886</v>
      </c>
      <c r="AT209" s="3513">
        <f t="shared" si="874"/>
        <v>0.56474454255511852</v>
      </c>
      <c r="AU209" s="3502">
        <f t="shared" si="874"/>
        <v>0.41541595170922485</v>
      </c>
      <c r="AV209" s="2505">
        <f t="shared" si="874"/>
        <v>0.38616549392624222</v>
      </c>
      <c r="AW209" s="2505">
        <f t="shared" si="874"/>
        <v>0.30960324492106661</v>
      </c>
      <c r="AX209" s="2505">
        <f t="shared" si="874"/>
        <v>0.18112350127282117</v>
      </c>
      <c r="AY209" s="3513">
        <f t="shared" si="874"/>
        <v>0.31346079236176294</v>
      </c>
      <c r="AZ209" s="3502">
        <f t="shared" si="874"/>
        <v>6.227233364628848E-2</v>
      </c>
      <c r="BA209" s="2505">
        <f t="shared" si="874"/>
        <v>2.9006679818125436E-2</v>
      </c>
      <c r="BB209" s="2505">
        <f t="shared" si="874"/>
        <v>7.2808433839084863E-2</v>
      </c>
      <c r="BC209" s="2505">
        <f t="shared" si="874"/>
        <v>0.1706608285282476</v>
      </c>
      <c r="BD209" s="3513">
        <f t="shared" si="874"/>
        <v>8.5109712762467593E-2</v>
      </c>
      <c r="BE209" s="3502">
        <f t="shared" si="874"/>
        <v>0.22980800473408025</v>
      </c>
      <c r="BF209" s="2505">
        <f t="shared" si="874"/>
        <v>0.23485916901944748</v>
      </c>
      <c r="BG209" s="2505">
        <f t="shared" si="874"/>
        <v>0.22559842122199547</v>
      </c>
      <c r="BH209" s="2505">
        <f t="shared" si="874"/>
        <v>0.26464209055526622</v>
      </c>
      <c r="BI209" s="3513">
        <f t="shared" si="874"/>
        <v>0.23975907042889411</v>
      </c>
      <c r="BJ209" s="3502">
        <f t="shared" si="874"/>
        <v>0.26568265682656822</v>
      </c>
      <c r="BK209" s="2505">
        <f t="shared" si="874"/>
        <v>0.32346041055718477</v>
      </c>
      <c r="BL209" s="2505">
        <f t="shared" si="874"/>
        <v>0.33406533077134237</v>
      </c>
      <c r="BM209" s="2505">
        <f t="shared" si="874"/>
        <v>0.2540284360189573</v>
      </c>
      <c r="BN209" s="3513">
        <f t="shared" si="874"/>
        <v>0.2927594556802291</v>
      </c>
      <c r="BO209" s="2505"/>
      <c r="BP209" s="2505"/>
      <c r="BQ209" s="2505"/>
      <c r="BR209" s="2505"/>
      <c r="BS209" s="3507"/>
      <c r="BT209" s="2505">
        <f t="shared" si="865"/>
        <v>0.24139941690962097</v>
      </c>
      <c r="BU209" s="2505">
        <f t="shared" si="865"/>
        <v>0.21471305118546424</v>
      </c>
      <c r="BV209" s="2505">
        <f t="shared" si="865"/>
        <v>0.18580246913580245</v>
      </c>
      <c r="BW209" s="2505">
        <f t="shared" si="865"/>
        <v>0.21929327286470146</v>
      </c>
      <c r="BX209" s="3513">
        <f t="shared" si="865"/>
        <v>0.21461548608363024</v>
      </c>
      <c r="BY209" s="2505"/>
      <c r="BZ209" s="2505"/>
      <c r="CA209" s="2505"/>
      <c r="CB209" s="2505"/>
      <c r="CC209" s="3507"/>
      <c r="CD209" s="2505">
        <f t="shared" ref="CD209:DG209" si="875">CD171</f>
        <v>0.21662752465946444</v>
      </c>
      <c r="CE209" s="2505">
        <f t="shared" si="875"/>
        <v>0.1954578620941263</v>
      </c>
      <c r="CF209" s="2505">
        <f t="shared" si="875"/>
        <v>0.19330209960090228</v>
      </c>
      <c r="CG209" s="2505">
        <f t="shared" si="875"/>
        <v>0.21712514529252225</v>
      </c>
      <c r="CH209" s="3513">
        <f t="shared" si="875"/>
        <v>0.20588618592528229</v>
      </c>
      <c r="CI209" s="2505">
        <f t="shared" si="875"/>
        <v>0.19064164929349081</v>
      </c>
      <c r="CJ209" s="2505">
        <f t="shared" si="875"/>
        <v>0.21728847180895694</v>
      </c>
      <c r="CK209" s="2505">
        <f t="shared" si="875"/>
        <v>0.20132325141776941</v>
      </c>
      <c r="CL209" s="2505">
        <f t="shared" si="875"/>
        <v>0.15254345196409247</v>
      </c>
      <c r="CM209" s="3507">
        <f t="shared" si="875"/>
        <v>0.18880023055170292</v>
      </c>
      <c r="CN209" s="2505">
        <f t="shared" si="875"/>
        <v>0.11919584954604412</v>
      </c>
      <c r="CO209" s="2505">
        <f t="shared" si="875"/>
        <v>0.11106236289564397</v>
      </c>
      <c r="CP209" s="2505">
        <f t="shared" si="875"/>
        <v>0.13024269200508387</v>
      </c>
      <c r="CQ209" s="2505">
        <f t="shared" si="875"/>
        <v>0.17820250787162339</v>
      </c>
      <c r="CR209" s="3507">
        <f t="shared" si="875"/>
        <v>0.13617975485219924</v>
      </c>
      <c r="CS209" s="2505">
        <f t="shared" si="875"/>
        <v>0.17377448139993046</v>
      </c>
      <c r="CT209" s="2505">
        <f t="shared" si="875"/>
        <v>0.21283917188469559</v>
      </c>
      <c r="CU209" s="2505">
        <f t="shared" si="875"/>
        <v>0.20219544846050863</v>
      </c>
      <c r="CV209" s="2505">
        <f t="shared" si="875"/>
        <v>0.22199821838811018</v>
      </c>
      <c r="CW209" s="3507">
        <f t="shared" si="875"/>
        <v>0.20380322447292265</v>
      </c>
      <c r="CX209" s="2505">
        <f t="shared" si="875"/>
        <v>0.22179987164930637</v>
      </c>
      <c r="CY209" s="2505">
        <f t="shared" si="875"/>
        <v>0.20976744186046514</v>
      </c>
      <c r="CZ209" s="2505">
        <f t="shared" si="875"/>
        <v>0.23700503318337707</v>
      </c>
      <c r="DA209" s="2505">
        <f t="shared" si="875"/>
        <v>0.24013965623081646</v>
      </c>
      <c r="DB209" s="3507">
        <f t="shared" si="875"/>
        <v>0.22801090038993266</v>
      </c>
      <c r="DC209" s="2505">
        <f t="shared" si="875"/>
        <v>0.25842424242424245</v>
      </c>
      <c r="DD209" s="2505">
        <f t="shared" si="875"/>
        <v>0.25555555555555554</v>
      </c>
      <c r="DE209" s="2505">
        <f t="shared" si="875"/>
        <v>0.21489269768111763</v>
      </c>
      <c r="DF209" s="2505">
        <f t="shared" si="875"/>
        <v>0.21510998360300704</v>
      </c>
      <c r="DG209" s="3507">
        <f t="shared" si="875"/>
        <v>0.23421586757475987</v>
      </c>
      <c r="DH209" s="2505">
        <f t="shared" ref="DH209:DQ209" si="876">DH171</f>
        <v>0.16673088036987083</v>
      </c>
      <c r="DI209" s="2505">
        <f t="shared" si="876"/>
        <v>0.19251615273907574</v>
      </c>
      <c r="DJ209" s="2505">
        <f t="shared" si="876"/>
        <v>0.2003260225251926</v>
      </c>
      <c r="DK209" s="2505">
        <f t="shared" si="876"/>
        <v>0.17310825949689379</v>
      </c>
      <c r="DL209" s="5081">
        <f t="shared" si="876"/>
        <v>0.18300089899794614</v>
      </c>
      <c r="DM209" s="5076">
        <f t="shared" si="876"/>
        <v>0.13263986350752632</v>
      </c>
      <c r="DN209" s="5076">
        <f t="shared" si="876"/>
        <v>-1.6613599013968749E-2</v>
      </c>
      <c r="DO209" s="5076">
        <f t="shared" si="876"/>
        <v>0.14010222474628997</v>
      </c>
      <c r="DP209" s="5076">
        <f>DP171</f>
        <v>0.23489962018448174</v>
      </c>
      <c r="DQ209" s="5081">
        <f t="shared" si="876"/>
        <v>0.12770532012826141</v>
      </c>
      <c r="DR209" s="5076">
        <f t="shared" si="868"/>
        <v>0.34391020189994892</v>
      </c>
      <c r="DS209" s="5076">
        <f t="shared" si="868"/>
        <v>0.61579235971486024</v>
      </c>
      <c r="DT209" s="5076">
        <f t="shared" si="868"/>
        <v>0.41030472353973102</v>
      </c>
      <c r="DU209" s="5076">
        <f t="shared" ref="DU209:EA209" si="877">DU171</f>
        <v>0.32386024113325607</v>
      </c>
      <c r="DV209" s="5081">
        <f t="shared" si="877"/>
        <v>0.41150076427049154</v>
      </c>
      <c r="DW209" s="5076">
        <f t="shared" si="877"/>
        <v>0.22954405756228069</v>
      </c>
      <c r="DX209" s="5076">
        <f>DX171</f>
        <v>0.12613122171945701</v>
      </c>
      <c r="DY209" s="5076">
        <f>DY171</f>
        <v>6.1027672840074931E-2</v>
      </c>
      <c r="DZ209" s="5076">
        <f>DZ171</f>
        <v>9.5984069034185104E-3</v>
      </c>
      <c r="EA209" s="3507">
        <f t="shared" si="877"/>
        <v>9.7808156437157789E-2</v>
      </c>
      <c r="EB209" s="5076">
        <f t="shared" si="870"/>
        <v>2.6113422828660138E-2</v>
      </c>
      <c r="EC209" s="5076">
        <f t="shared" si="870"/>
        <v>7.0589079428858392E-2</v>
      </c>
      <c r="ED209" s="5076">
        <f t="shared" si="870"/>
        <v>0.11001273664100042</v>
      </c>
      <c r="EE209" s="5076">
        <f>EE171</f>
        <v>0.13494108983799702</v>
      </c>
      <c r="EF209" s="3507">
        <f>EF171</f>
        <v>8.6827702272695095E-2</v>
      </c>
      <c r="EG209" s="5076">
        <f t="shared" ref="EG209:EI209" si="878">EG171</f>
        <v>0.15406880937710454</v>
      </c>
      <c r="EH209" s="5076">
        <f t="shared" si="878"/>
        <v>0.13589083695244231</v>
      </c>
      <c r="EI209" s="5076">
        <f t="shared" si="878"/>
        <v>0.15092642092498654</v>
      </c>
      <c r="EJ209" s="5076">
        <f>EJ171</f>
        <v>0.11770362646275045</v>
      </c>
      <c r="EK209" s="3507">
        <f t="shared" si="871"/>
        <v>0.13866243322901561</v>
      </c>
      <c r="EL209" s="5076">
        <f t="shared" si="871"/>
        <v>0.12037646357665222</v>
      </c>
      <c r="EM209" s="5076">
        <f t="shared" si="871"/>
        <v>0.13790092280097244</v>
      </c>
      <c r="EN209" s="5076">
        <f t="shared" si="871"/>
        <v>0.1594915484660353</v>
      </c>
      <c r="EO209" s="2505">
        <f t="shared" ref="EO209:EP209" si="879">EO171</f>
        <v>0.16354823104492566</v>
      </c>
      <c r="EP209" s="3507">
        <f t="shared" si="879"/>
        <v>0.14638199835629284</v>
      </c>
      <c r="EQ209" s="2505">
        <f t="shared" ref="EQ209:EU209" si="880">EQ171</f>
        <v>0.17831984028338388</v>
      </c>
      <c r="ER209" s="2505">
        <f t="shared" si="880"/>
        <v>0.16784972713685242</v>
      </c>
      <c r="ES209" s="2505">
        <f t="shared" si="880"/>
        <v>0.16163266230714002</v>
      </c>
      <c r="ET209" s="2505">
        <f t="shared" si="880"/>
        <v>0.16240116658104853</v>
      </c>
      <c r="EU209" s="3507">
        <f t="shared" si="880"/>
        <v>0.16709431479338188</v>
      </c>
      <c r="EV209" s="3507">
        <f>EV208/EU208-1</f>
        <v>0.13331977060325917</v>
      </c>
      <c r="EW209" s="3507">
        <f>EW208/EV208-1</f>
        <v>0.11961968132743461</v>
      </c>
      <c r="EX209" s="3507">
        <f>EX208/EW208-1</f>
        <v>0.10580532343054938</v>
      </c>
      <c r="EY209" s="3507">
        <f>EY208/EX208-1</f>
        <v>9.9288857253108764E-2</v>
      </c>
      <c r="EZ209" s="185"/>
      <c r="FA209" s="725"/>
      <c r="FB209" s="725"/>
    </row>
    <row r="210" spans="1:158" s="249" customFormat="1" ht="11.25" customHeight="1">
      <c r="A210" s="5664" t="s">
        <v>46</v>
      </c>
      <c r="B210" s="158"/>
      <c r="C210" s="158"/>
      <c r="D210" s="158"/>
      <c r="E210" s="158"/>
      <c r="F210" s="5568"/>
      <c r="G210" s="158"/>
      <c r="H210" s="158"/>
      <c r="I210" s="158"/>
      <c r="J210" s="158"/>
      <c r="K210" s="2331"/>
      <c r="L210" s="158"/>
      <c r="M210" s="158"/>
      <c r="N210" s="158"/>
      <c r="O210" s="158"/>
      <c r="P210" s="2506"/>
      <c r="Q210" s="3504"/>
      <c r="R210" s="158"/>
      <c r="S210" s="158"/>
      <c r="T210" s="158"/>
      <c r="U210" s="2506"/>
      <c r="V210" s="3502">
        <f>V173</f>
        <v>0.32306251363677485</v>
      </c>
      <c r="W210" s="2505">
        <f>W173</f>
        <v>0.25171548319108039</v>
      </c>
      <c r="X210" s="2505">
        <f>X173</f>
        <v>0.265884530477283</v>
      </c>
      <c r="Y210" s="2505">
        <f>Y173</f>
        <v>0.30012793761518175</v>
      </c>
      <c r="Z210" s="2506"/>
      <c r="AA210" s="3502">
        <f>AA173</f>
        <v>0.27226631522428879</v>
      </c>
      <c r="AB210" s="2505">
        <f>AB173</f>
        <v>7.4566121821973752E-2</v>
      </c>
      <c r="AC210" s="2505">
        <f>AC173</f>
        <v>0.15091857894466232</v>
      </c>
      <c r="AD210" s="2505">
        <f>AD173</f>
        <v>0.27995860461826561</v>
      </c>
      <c r="AE210" s="2506"/>
      <c r="AF210" s="3502">
        <f>AF173</f>
        <v>0.21814189405352558</v>
      </c>
      <c r="AG210" s="2505">
        <f>AG173</f>
        <v>0.10185243989769166</v>
      </c>
      <c r="AH210" s="2505">
        <f>AH173</f>
        <v>0.14009512493725151</v>
      </c>
      <c r="AI210" s="2505">
        <f>AI173</f>
        <v>0.21580392484807942</v>
      </c>
      <c r="AJ210" s="2506"/>
      <c r="AK210" s="3502">
        <f>AK173</f>
        <v>0.17438550398547648</v>
      </c>
      <c r="AL210" s="2505">
        <f>AL173</f>
        <v>8.9732912406184528E-2</v>
      </c>
      <c r="AM210" s="2505">
        <f>AM173</f>
        <v>9.5147742805246072E-2</v>
      </c>
      <c r="AN210" s="2505">
        <f>AN173</f>
        <v>0.19177981858761273</v>
      </c>
      <c r="AO210" s="2506"/>
      <c r="AP210" s="3502">
        <f>AP173</f>
        <v>0.14302707410829774</v>
      </c>
      <c r="AQ210" s="2505">
        <f>AQ173</f>
        <v>5.6772829260930191E-2</v>
      </c>
      <c r="AR210" s="2505">
        <f>AR173</f>
        <v>9.2811826492096516E-2</v>
      </c>
      <c r="AS210" s="2505">
        <f>AS173</f>
        <v>0.14069454413023186</v>
      </c>
      <c r="AT210" s="2506"/>
      <c r="AU210" s="3502">
        <f>AU173</f>
        <v>7.4453677155659204E-2</v>
      </c>
      <c r="AV210" s="2505">
        <f>AV173</f>
        <v>3.4933956390257537E-2</v>
      </c>
      <c r="AW210" s="2505">
        <f>AW173</f>
        <v>3.2452416636421066E-2</v>
      </c>
      <c r="AX210" s="2505">
        <f>AX173</f>
        <v>2.8785732679754927E-2</v>
      </c>
      <c r="AY210" s="2506"/>
      <c r="AZ210" s="3502">
        <f>AZ173</f>
        <v>-3.3663783849017581E-2</v>
      </c>
      <c r="BA210" s="2505">
        <f>BA173</f>
        <v>2.5244191766551349E-3</v>
      </c>
      <c r="BB210" s="2505">
        <f>BB173</f>
        <v>7.6400845425869557E-2</v>
      </c>
      <c r="BC210" s="2505">
        <f>BC173</f>
        <v>0.12262275370736808</v>
      </c>
      <c r="BD210" s="2506"/>
      <c r="BE210" s="3502">
        <f>BE173</f>
        <v>1.515997198008634E-2</v>
      </c>
      <c r="BF210" s="2505">
        <f>BF173</f>
        <v>6.6420664206641167E-3</v>
      </c>
      <c r="BG210" s="2505">
        <f>BG173</f>
        <v>6.8328445747800615E-2</v>
      </c>
      <c r="BH210" s="2505">
        <f>BH173</f>
        <v>0.15838594564919029</v>
      </c>
      <c r="BI210" s="2506"/>
      <c r="BJ210" s="3502">
        <f>BJ173</f>
        <v>1.5995260663507205E-2</v>
      </c>
      <c r="BK210" s="2505">
        <f>BK173</f>
        <v>5.2594752186588822E-2</v>
      </c>
      <c r="BL210" s="2505">
        <f>BL173</f>
        <v>7.6888987369820416E-2</v>
      </c>
      <c r="BM210" s="2505">
        <f>BM173</f>
        <v>8.8888888888888795E-2</v>
      </c>
      <c r="BN210" s="2506"/>
      <c r="BO210" s="2505"/>
      <c r="BP210" s="2505"/>
      <c r="BQ210" s="2505"/>
      <c r="BR210" s="2505"/>
      <c r="BS210" s="2506"/>
      <c r="BT210" s="2505">
        <f>BT173</f>
        <v>5.7634164777022878E-3</v>
      </c>
      <c r="BU210" s="2505">
        <f>BU173</f>
        <v>2.9967120713950246E-2</v>
      </c>
      <c r="BV210" s="2505">
        <f>BV173</f>
        <v>5.125866472090479E-2</v>
      </c>
      <c r="BW210" s="2505">
        <f>BW173</f>
        <v>0.11964254728440049</v>
      </c>
      <c r="BX210" s="2506"/>
      <c r="BY210" s="2505"/>
      <c r="BZ210" s="2505"/>
      <c r="CA210" s="2505"/>
      <c r="CB210" s="2505"/>
      <c r="CC210" s="2506"/>
      <c r="CD210" s="3502">
        <f>CD173</f>
        <v>3.564509879891542E-3</v>
      </c>
      <c r="CE210" s="2505">
        <f>CE173</f>
        <v>1.2045401899467123E-2</v>
      </c>
      <c r="CF210" s="2505">
        <f>CF173</f>
        <v>4.9362935835812971E-2</v>
      </c>
      <c r="CG210" s="2505">
        <f>CG173</f>
        <v>0.14199505598371376</v>
      </c>
      <c r="CH210" s="2506"/>
      <c r="CI210" s="3506">
        <f>+CI208/CG208-1</f>
        <v>-1.8272107977334917E-2</v>
      </c>
      <c r="CJ210" s="2505">
        <f>CJ208/CI208-1</f>
        <v>3.4695201037613588E-2</v>
      </c>
      <c r="CK210" s="2505">
        <f>CK208/CJ208-1</f>
        <v>3.5600125352553968E-2</v>
      </c>
      <c r="CL210" s="2505">
        <f>CL173</f>
        <v>9.5624281304847791E-2</v>
      </c>
      <c r="CM210" s="2506"/>
      <c r="CN210" s="2505">
        <f>+CN208/CL208-1</f>
        <v>-4.6677346296194022E-2</v>
      </c>
      <c r="CO210" s="2505">
        <f>CO208/CN208-1</f>
        <v>2.7175802526364645E-2</v>
      </c>
      <c r="CP210" s="2505">
        <f>CP208/CO208-1</f>
        <v>5.3477745811474131E-2</v>
      </c>
      <c r="CQ210" s="2505">
        <f>CQ208/CP208-1</f>
        <v>0.14211512717536823</v>
      </c>
      <c r="CR210" s="2506"/>
      <c r="CS210" s="2505">
        <f>+CS208/CQ208-1</f>
        <v>-5.0260209104974418E-2</v>
      </c>
      <c r="CT210" s="2505">
        <f>CT208/CS208-1</f>
        <v>6.1361504665053967E-2</v>
      </c>
      <c r="CU210" s="2505">
        <f>CU173</f>
        <v>4.4232558139534861E-2</v>
      </c>
      <c r="CV210" s="2505">
        <f>CV173</f>
        <v>0.16092824373079151</v>
      </c>
      <c r="CW210" s="2506"/>
      <c r="CX210" s="2505">
        <f>CX173</f>
        <v>-5.0414364640884002E-2</v>
      </c>
      <c r="CY210" s="2505">
        <f>CY173</f>
        <v>5.0909090909091015E-2</v>
      </c>
      <c r="CZ210" s="2505">
        <f>CZ173</f>
        <v>6.7743175701653113E-2</v>
      </c>
      <c r="DA210" s="2505">
        <f>DA173</f>
        <v>0.1638700849776753</v>
      </c>
      <c r="DB210" s="2506"/>
      <c r="DC210" s="2505">
        <f>DC173</f>
        <v>-3.6413699223463158E-2</v>
      </c>
      <c r="DD210" s="2505">
        <f>DD173</f>
        <v>4.8513452770821308E-2</v>
      </c>
      <c r="DE210" s="2505">
        <f>DE173</f>
        <v>3.316287472823598E-2</v>
      </c>
      <c r="DF210" s="2505">
        <f>DF173</f>
        <v>0.16407824540604632</v>
      </c>
      <c r="DG210" s="2506"/>
      <c r="DH210" s="2505">
        <f t="shared" ref="DH210:DO210" si="881">DH173</f>
        <v>-7.4778490681332133E-2</v>
      </c>
      <c r="DI210" s="2505">
        <f t="shared" si="881"/>
        <v>7.1686067310603008E-2</v>
      </c>
      <c r="DJ210" s="2505">
        <f t="shared" si="881"/>
        <v>3.992912900575174E-2</v>
      </c>
      <c r="DK210" s="2505">
        <f t="shared" si="881"/>
        <v>0.13768241191140529</v>
      </c>
      <c r="DL210" s="5077"/>
      <c r="DM210" s="5076">
        <f>DM173</f>
        <v>-0.10669560499186115</v>
      </c>
      <c r="DN210" s="5076">
        <f t="shared" si="881"/>
        <v>-6.9535217084963241E-2</v>
      </c>
      <c r="DO210" s="5076">
        <f t="shared" si="881"/>
        <v>0.20565579549311952</v>
      </c>
      <c r="DP210" s="5076">
        <f>DP173</f>
        <v>0.23227860437918268</v>
      </c>
      <c r="DQ210" s="5077"/>
      <c r="DR210" s="5076">
        <f>DR173</f>
        <v>-2.7839291363492613E-2</v>
      </c>
      <c r="DS210" s="5076">
        <f>DS173</f>
        <v>0.11870412553783849</v>
      </c>
      <c r="DT210" s="5076">
        <f>DT173</f>
        <v>5.2327084680025893E-2</v>
      </c>
      <c r="DU210" s="5076">
        <f>DU173</f>
        <v>0.15674621456432947</v>
      </c>
      <c r="DV210" s="5077"/>
      <c r="DW210" s="5076">
        <f>DW173</f>
        <v>-9.7099236641221331E-2</v>
      </c>
      <c r="DX210" s="5076">
        <f>DX173</f>
        <v>2.4613665436473475E-2</v>
      </c>
      <c r="DY210" s="5076">
        <f>DY173</f>
        <v>-8.5097223218769669E-3</v>
      </c>
      <c r="DZ210" s="5076">
        <f>DZ173</f>
        <v>0.10067735772593056</v>
      </c>
      <c r="EA210" s="2506"/>
      <c r="EB210" s="5076">
        <f>EB173</f>
        <v>-8.2329581317062916E-2</v>
      </c>
      <c r="EC210" s="5076">
        <f>EC173</f>
        <v>6.9024316849843004E-2</v>
      </c>
      <c r="ED210" s="5076">
        <f>ED173</f>
        <v>2.8001179561417677E-2</v>
      </c>
      <c r="EE210" s="5076">
        <f>EE173</f>
        <v>0.12539605961430644</v>
      </c>
      <c r="EF210" s="2506"/>
      <c r="EG210" s="5076">
        <f>EG173</f>
        <v>-6.6863631097207721E-2</v>
      </c>
      <c r="EH210" s="5076">
        <f>EH173</f>
        <v>5.218589751548941E-2</v>
      </c>
      <c r="EI210" s="5076">
        <f>EI173</f>
        <v>4.1608647423945655E-2</v>
      </c>
      <c r="EJ210" s="5076">
        <f>EJ173</f>
        <v>9.2910227942176071E-2</v>
      </c>
      <c r="EK210" s="2506"/>
      <c r="EL210" s="5076">
        <f>EL173</f>
        <v>-6.463216162705121E-2</v>
      </c>
      <c r="EM210" s="5076">
        <f>EM173</f>
        <v>6.8643748476184152E-2</v>
      </c>
      <c r="EN210" s="5076">
        <f>EN173</f>
        <v>6.1372215539055031E-2</v>
      </c>
      <c r="EO210" s="2505">
        <f>EO173</f>
        <v>9.6733964206446199E-2</v>
      </c>
      <c r="EP210" s="2506"/>
      <c r="EQ210" s="2505">
        <f>EQ173</f>
        <v>-5.2757373943984387E-2</v>
      </c>
      <c r="ER210" s="2505">
        <f>ER173</f>
        <v>5.9148176410463771E-2</v>
      </c>
      <c r="ES210" s="2505">
        <f>ES173</f>
        <v>5.5721985274721941E-2</v>
      </c>
      <c r="ET210" s="2505">
        <f>ET173</f>
        <v>9.7459533283644317E-2</v>
      </c>
      <c r="EU210" s="2506"/>
      <c r="EV210" s="2506"/>
      <c r="EW210" s="2506"/>
      <c r="EX210" s="2506"/>
      <c r="EY210" s="2506"/>
      <c r="EZ210" s="185"/>
      <c r="FA210" s="725"/>
      <c r="FB210" s="725"/>
    </row>
    <row r="211" spans="1:158" s="249" customFormat="1" ht="11.25" hidden="1" customHeight="1" outlineLevel="1">
      <c r="A211" s="5363"/>
      <c r="B211" s="185"/>
      <c r="C211" s="185"/>
      <c r="D211" s="185"/>
      <c r="E211" s="185"/>
      <c r="F211" s="5569"/>
      <c r="G211" s="185"/>
      <c r="H211" s="185"/>
      <c r="I211" s="185"/>
      <c r="J211" s="185"/>
      <c r="K211" s="1505"/>
      <c r="L211" s="185"/>
      <c r="M211" s="185"/>
      <c r="N211" s="185"/>
      <c r="O211" s="185"/>
      <c r="P211" s="1020"/>
      <c r="Q211" s="2605"/>
      <c r="R211" s="185"/>
      <c r="S211" s="185"/>
      <c r="T211" s="185"/>
      <c r="U211" s="1020"/>
      <c r="V211" s="2581"/>
      <c r="W211" s="223"/>
      <c r="X211" s="223"/>
      <c r="Y211" s="223"/>
      <c r="Z211" s="1931"/>
      <c r="AA211" s="2581"/>
      <c r="AB211" s="223"/>
      <c r="AC211" s="223"/>
      <c r="AD211" s="223"/>
      <c r="AE211" s="1931"/>
      <c r="AF211" s="2581"/>
      <c r="AG211" s="223"/>
      <c r="AH211" s="223"/>
      <c r="AI211" s="223"/>
      <c r="AJ211" s="1931"/>
      <c r="AK211" s="2581"/>
      <c r="AL211" s="223"/>
      <c r="AM211" s="223"/>
      <c r="AN211" s="223"/>
      <c r="AO211" s="1931"/>
      <c r="AP211" s="2581"/>
      <c r="AQ211" s="223"/>
      <c r="AR211" s="223"/>
      <c r="AS211" s="223"/>
      <c r="AT211" s="1931"/>
      <c r="AU211" s="2581"/>
      <c r="AV211" s="223"/>
      <c r="AW211" s="223"/>
      <c r="AX211" s="223"/>
      <c r="AY211" s="1931"/>
      <c r="AZ211" s="2581"/>
      <c r="BA211" s="223"/>
      <c r="BB211" s="223"/>
      <c r="BC211" s="223"/>
      <c r="BD211" s="1931"/>
      <c r="BE211" s="2581"/>
      <c r="BF211" s="223"/>
      <c r="BG211" s="223"/>
      <c r="BH211" s="223"/>
      <c r="BI211" s="1931"/>
      <c r="BJ211" s="2581"/>
      <c r="BK211" s="460"/>
      <c r="BL211" s="460"/>
      <c r="BM211" s="460"/>
      <c r="BN211" s="1931"/>
      <c r="BO211" s="223"/>
      <c r="BP211" s="223"/>
      <c r="BQ211" s="223"/>
      <c r="BR211" s="223"/>
      <c r="BS211" s="1931"/>
      <c r="BT211" s="460"/>
      <c r="BU211" s="460"/>
      <c r="BV211" s="460"/>
      <c r="BW211" s="460"/>
      <c r="BX211" s="1931"/>
      <c r="BY211" s="223"/>
      <c r="BZ211" s="223"/>
      <c r="CA211" s="223"/>
      <c r="CB211" s="223"/>
      <c r="CC211" s="1931"/>
      <c r="CD211" s="460"/>
      <c r="CE211" s="460"/>
      <c r="CF211" s="460"/>
      <c r="CG211" s="460"/>
      <c r="CH211" s="1931"/>
      <c r="CI211" s="560"/>
      <c r="CJ211" s="460"/>
      <c r="CK211" s="460"/>
      <c r="CL211" s="223"/>
      <c r="CM211" s="1931"/>
      <c r="CN211" s="223"/>
      <c r="CO211" s="460"/>
      <c r="CP211" s="460"/>
      <c r="CQ211" s="223"/>
      <c r="CR211" s="1931"/>
      <c r="CS211" s="223"/>
      <c r="CT211" s="223"/>
      <c r="CU211" s="223"/>
      <c r="CV211" s="223"/>
      <c r="CW211" s="1931"/>
      <c r="CX211" s="223"/>
      <c r="CY211" s="223"/>
      <c r="CZ211" s="223"/>
      <c r="DA211" s="223"/>
      <c r="DB211" s="1931"/>
      <c r="DC211" s="223"/>
      <c r="DD211" s="223"/>
      <c r="DE211" s="223"/>
      <c r="DF211" s="223"/>
      <c r="DG211" s="1931"/>
      <c r="DH211" s="223"/>
      <c r="DI211" s="223"/>
      <c r="DJ211" s="223"/>
      <c r="DK211" s="223"/>
      <c r="DL211" s="1931"/>
      <c r="DM211" s="223"/>
      <c r="DN211" s="223"/>
      <c r="DO211" s="223"/>
      <c r="DP211" s="223"/>
      <c r="DQ211" s="1020"/>
      <c r="DR211" s="223"/>
      <c r="DS211" s="223"/>
      <c r="DT211" s="223"/>
      <c r="DU211" s="223"/>
      <c r="DV211" s="1020"/>
      <c r="DW211" s="223"/>
      <c r="DX211" s="223"/>
      <c r="DY211" s="223"/>
      <c r="DZ211" s="223"/>
      <c r="EA211" s="1020"/>
      <c r="EB211" s="223"/>
      <c r="EC211" s="223"/>
      <c r="ED211" s="223"/>
      <c r="EE211" s="223"/>
      <c r="EF211" s="1020"/>
      <c r="EG211" s="223"/>
      <c r="EH211" s="223"/>
      <c r="EI211" s="223"/>
      <c r="EJ211" s="223"/>
      <c r="EK211" s="1020"/>
      <c r="EL211" s="223"/>
      <c r="EM211" s="223"/>
      <c r="EN211" s="223"/>
      <c r="EO211" s="223"/>
      <c r="EP211" s="1020"/>
      <c r="EQ211" s="223"/>
      <c r="ER211" s="223"/>
      <c r="ES211" s="223"/>
      <c r="ET211" s="223"/>
      <c r="EU211" s="1020"/>
      <c r="EV211" s="1020"/>
      <c r="EW211" s="1020"/>
      <c r="EX211" s="1020"/>
      <c r="EY211" s="1020"/>
      <c r="EZ211" s="185"/>
      <c r="FA211" s="725"/>
      <c r="FB211" s="725"/>
    </row>
    <row r="212" spans="1:158" s="214" customFormat="1" ht="11.25" customHeight="1" collapsed="1">
      <c r="A212" s="5368" t="s">
        <v>23</v>
      </c>
      <c r="B212" s="2615"/>
      <c r="C212" s="2615"/>
      <c r="D212" s="2615"/>
      <c r="E212" s="2615"/>
      <c r="F212" s="4301"/>
      <c r="G212" s="2615"/>
      <c r="H212" s="2615"/>
      <c r="I212" s="2615"/>
      <c r="J212" s="2615"/>
      <c r="K212" s="2590"/>
      <c r="L212" s="2606"/>
      <c r="M212" s="2606"/>
      <c r="N212" s="2606"/>
      <c r="O212" s="2606"/>
      <c r="P212" s="2590"/>
      <c r="Q212" s="2655"/>
      <c r="R212" s="2606"/>
      <c r="S212" s="2606"/>
      <c r="T212" s="2606"/>
      <c r="U212" s="2590"/>
      <c r="V212" s="2655"/>
      <c r="W212" s="2606"/>
      <c r="X212" s="2606"/>
      <c r="Y212" s="2606"/>
      <c r="Z212" s="2590"/>
      <c r="AA212" s="2655"/>
      <c r="AB212" s="2606"/>
      <c r="AC212" s="2606"/>
      <c r="AD212" s="2606"/>
      <c r="AE212" s="2590"/>
      <c r="AF212" s="2655"/>
      <c r="AG212" s="2606"/>
      <c r="AH212" s="2606"/>
      <c r="AI212" s="2606"/>
      <c r="AJ212" s="2590"/>
      <c r="AK212" s="2669">
        <v>-65</v>
      </c>
      <c r="AL212" s="2619">
        <v>-18</v>
      </c>
      <c r="AM212" s="2619">
        <v>35</v>
      </c>
      <c r="AN212" s="2619">
        <v>81</v>
      </c>
      <c r="AO212" s="2590">
        <f>SUM(AK212:AN212)</f>
        <v>33</v>
      </c>
      <c r="AP212" s="2669">
        <v>115</v>
      </c>
      <c r="AQ212" s="2619">
        <v>121</v>
      </c>
      <c r="AR212" s="2619">
        <v>121</v>
      </c>
      <c r="AS212" s="2619">
        <f>AT212-AR212-AQ212-AP212</f>
        <v>185</v>
      </c>
      <c r="AT212" s="2590">
        <v>542</v>
      </c>
      <c r="AU212" s="2669">
        <v>202</v>
      </c>
      <c r="AV212" s="2619">
        <v>249.2</v>
      </c>
      <c r="AW212" s="2619">
        <v>168</v>
      </c>
      <c r="AX212" s="2619">
        <v>-266</v>
      </c>
      <c r="AY212" s="2590">
        <f>SUM(AU212:AX212)</f>
        <v>353.20000000000005</v>
      </c>
      <c r="AZ212" s="2669">
        <f>-429</f>
        <v>-429</v>
      </c>
      <c r="BA212" s="2619">
        <v>-497</v>
      </c>
      <c r="BB212" s="2619">
        <v>-297</v>
      </c>
      <c r="BC212" s="2619">
        <v>196</v>
      </c>
      <c r="BD212" s="2590">
        <f>SUM(AZ212:BC212)</f>
        <v>-1027</v>
      </c>
      <c r="BE212" s="2656">
        <v>242</v>
      </c>
      <c r="BF212" s="2607">
        <v>24</v>
      </c>
      <c r="BG212" s="2607">
        <v>-169</v>
      </c>
      <c r="BH212" s="2607">
        <v>-132</v>
      </c>
      <c r="BI212" s="2590">
        <f>SUM(BE212:BH212)</f>
        <v>-35</v>
      </c>
      <c r="BJ212" s="2656">
        <v>23</v>
      </c>
      <c r="BK212" s="2629">
        <v>417</v>
      </c>
      <c r="BL212" s="2629">
        <f>56+427</f>
        <v>483</v>
      </c>
      <c r="BM212" s="2607">
        <v>39</v>
      </c>
      <c r="BN212" s="2590">
        <f>SUM(BJ212:BM212)</f>
        <v>962</v>
      </c>
      <c r="BO212" s="2606"/>
      <c r="BP212" s="2606"/>
      <c r="BQ212" s="2606"/>
      <c r="BR212" s="2606"/>
      <c r="BS212" s="1932"/>
      <c r="BT212" s="2607">
        <v>-67</v>
      </c>
      <c r="BU212" s="2634">
        <v>-350</v>
      </c>
      <c r="BV212" s="2634">
        <v>-557</v>
      </c>
      <c r="BW212" s="2607">
        <v>-193</v>
      </c>
      <c r="BX212" s="2590">
        <f>SUM(BT212:BW212)</f>
        <v>-1167</v>
      </c>
      <c r="BY212" s="2606"/>
      <c r="BZ212" s="2606"/>
      <c r="CA212" s="2606"/>
      <c r="CB212" s="2606"/>
      <c r="CC212" s="1932"/>
      <c r="CD212" s="2656">
        <v>-110</v>
      </c>
      <c r="CE212" s="2634">
        <v>-217</v>
      </c>
      <c r="CF212" s="2634">
        <v>-135</v>
      </c>
      <c r="CG212" s="2607">
        <v>-141</v>
      </c>
      <c r="CH212" s="2590">
        <f>SUM(CD212:CG212)</f>
        <v>-603</v>
      </c>
      <c r="CI212" s="2634">
        <v>-163</v>
      </c>
      <c r="CJ212" s="2634">
        <f>124-4</f>
        <v>120</v>
      </c>
      <c r="CK212" s="2634">
        <f>121-15</f>
        <v>106</v>
      </c>
      <c r="CL212" s="2607">
        <f>-12-604</f>
        <v>-616</v>
      </c>
      <c r="CM212" s="2590">
        <f>SUM(CI212:CL212)</f>
        <v>-553</v>
      </c>
      <c r="CN212" s="2634">
        <f>-116-990</f>
        <v>-1106</v>
      </c>
      <c r="CO212" s="2634">
        <f>-167-1407</f>
        <v>-1574</v>
      </c>
      <c r="CP212" s="2634">
        <f>-145-1432</f>
        <v>-1577</v>
      </c>
      <c r="CQ212" s="2607">
        <f>-110-1223</f>
        <v>-1333</v>
      </c>
      <c r="CR212" s="2590">
        <f>SUM(CN212:CQ212)</f>
        <v>-5590</v>
      </c>
      <c r="CS212" s="2619">
        <f>-129-633</f>
        <v>-762</v>
      </c>
      <c r="CT212" s="2607">
        <f>-71-42</f>
        <v>-113</v>
      </c>
      <c r="CU212" s="2607">
        <f>-277+81</f>
        <v>-196</v>
      </c>
      <c r="CV212" s="2607">
        <f>-349+147</f>
        <v>-202</v>
      </c>
      <c r="CW212" s="2590">
        <f>SUM(CS212:CV212)</f>
        <v>-1273</v>
      </c>
      <c r="CX212" s="2607">
        <f>-444+63+77</f>
        <v>-304</v>
      </c>
      <c r="CY212" s="2607">
        <f>SUM(CY244,CY268,CY292)</f>
        <v>-364</v>
      </c>
      <c r="CZ212" s="2607">
        <f>SUM(CZ244,CZ268,CZ292)</f>
        <v>255</v>
      </c>
      <c r="DA212" s="2607">
        <f>SUM(DA244,DA268,DA292)</f>
        <v>540</v>
      </c>
      <c r="DB212" s="2590">
        <f>SUM(CX212:DA212)</f>
        <v>127</v>
      </c>
      <c r="DC212" s="2607">
        <f>SUM(DC244,DC268,DC292)</f>
        <v>1311</v>
      </c>
      <c r="DD212" s="2607">
        <f>SUM(DD244,DD268,DD292)</f>
        <v>768</v>
      </c>
      <c r="DE212" s="2607">
        <f>SUM(DE244,DE268,DE292)</f>
        <v>-385</v>
      </c>
      <c r="DF212" s="2607">
        <f>SUM(DF244,DF268,DF292)</f>
        <v>-724</v>
      </c>
      <c r="DG212" s="2590">
        <f>SUM(DC212:DF212)</f>
        <v>970</v>
      </c>
      <c r="DH212" s="2607">
        <f>SUM(DH244,DH268,DH292)</f>
        <v>-1153</v>
      </c>
      <c r="DI212" s="2607">
        <f>SUM(DI244,DI268,DI292)</f>
        <v>-1217</v>
      </c>
      <c r="DJ212" s="2607">
        <f>SUM(DJ244,DJ268,DJ292)</f>
        <v>-539</v>
      </c>
      <c r="DK212" s="2607">
        <f>SUM(DK244,DK268,DK292)</f>
        <v>-417</v>
      </c>
      <c r="DL212" s="2590">
        <f>SUM(DH212:DK212)</f>
        <v>-3326</v>
      </c>
      <c r="DM212" s="2607">
        <f>SUM(DM244,DM268,DM292)</f>
        <v>-392</v>
      </c>
      <c r="DN212" s="2607">
        <f>SUM(DN244,DN268,DN292)</f>
        <v>-706</v>
      </c>
      <c r="DO212" s="2607">
        <f>SUM(DO244,DO268,DO292)</f>
        <v>-55</v>
      </c>
      <c r="DP212" s="2607">
        <f>SUM(DP244,DP268,DP292)</f>
        <v>289</v>
      </c>
      <c r="DQ212" s="1932">
        <f>SUM(DM212:DP212)</f>
        <v>-864</v>
      </c>
      <c r="DR212" s="528">
        <f>SUM(DR244,DR268,DR292)</f>
        <v>1101</v>
      </c>
      <c r="DS212" s="528">
        <f>SUM(DS244,DS268,DS292)</f>
        <v>1887</v>
      </c>
      <c r="DT212" s="528">
        <f>SUM(DT244,DT268,DT292)</f>
        <v>615</v>
      </c>
      <c r="DU212" s="528">
        <f>SUM(DU244,DU268,DU292)</f>
        <v>-273</v>
      </c>
      <c r="DV212" s="5710">
        <f>SUM(DR212:DU212)</f>
        <v>3330</v>
      </c>
      <c r="DW212" s="528">
        <f>SUM(DW244,DW268,DW292)</f>
        <v>-1991</v>
      </c>
      <c r="DX212" s="528">
        <f>SUM(DX244,DX268,DX292)</f>
        <v>-2682</v>
      </c>
      <c r="DY212" s="528">
        <f>SUM(DY244,DY268,DY292)</f>
        <v>-3918</v>
      </c>
      <c r="DZ212" s="528">
        <f>SUM(DZ244,DZ268,DZ292)</f>
        <v>-4733</v>
      </c>
      <c r="EA212" s="5710">
        <f>SUM(DW212:DZ212)</f>
        <v>-13324</v>
      </c>
      <c r="EB212" s="528">
        <f>SUM(EB244,EB268,EB292)</f>
        <v>-2174</v>
      </c>
      <c r="EC212" s="528">
        <f>SUM(EC244,EC268,EC292)</f>
        <v>-1146</v>
      </c>
      <c r="ED212" s="528">
        <f>SUM(ED244,ED268,ED292)</f>
        <v>427</v>
      </c>
      <c r="EE212" s="528">
        <f>SUM(EE244,EE268,EE292)</f>
        <v>940</v>
      </c>
      <c r="EF212" s="1932">
        <f>SUM(EB212:EE212)</f>
        <v>-1953</v>
      </c>
      <c r="EG212" s="528">
        <f>SUM(EG244,EG268,EG292)</f>
        <v>-390</v>
      </c>
      <c r="EH212" s="528">
        <f>SUM(EH244,EH268,EH292)</f>
        <v>-1267</v>
      </c>
      <c r="EI212" s="528">
        <f>SUM(EI244,EI268,EI292)</f>
        <v>-1017</v>
      </c>
      <c r="EJ212" s="528">
        <f>SUM(EJ244,EJ268,EJ292)</f>
        <v>-265</v>
      </c>
      <c r="EK212" s="1932">
        <f>SUM(EG212:EJ212)</f>
        <v>-2939</v>
      </c>
      <c r="EL212" s="528">
        <f>SUM(EL244,EL268,EL292)</f>
        <v>-1605</v>
      </c>
      <c r="EM212" s="528">
        <f>SUM(EM244,EM268,EM292)</f>
        <v>543</v>
      </c>
      <c r="EN212" s="528">
        <f>SUM(EN244,EN268,EN292)</f>
        <v>1339</v>
      </c>
      <c r="EO212" s="2635">
        <f t="shared" ref="EO212" si="882">SUM(EO244,EO268,EO292)</f>
        <v>977.78037584116737</v>
      </c>
      <c r="EP212" s="1932">
        <f>SUM(EL212:EO212)</f>
        <v>1254.7803758411674</v>
      </c>
      <c r="EQ212" s="2635">
        <f t="shared" ref="EQ212:ET212" si="883">SUM(EQ244,EQ268,EQ292)</f>
        <v>3246.0643351635836</v>
      </c>
      <c r="ER212" s="2635">
        <f t="shared" si="883"/>
        <v>650.01936044049671</v>
      </c>
      <c r="ES212" s="2635">
        <f t="shared" si="883"/>
        <v>-699.33817939180972</v>
      </c>
      <c r="ET212" s="2635">
        <f t="shared" si="883"/>
        <v>-266.00096554607808</v>
      </c>
      <c r="EU212" s="1932">
        <f>SUM(EQ212:ET212)</f>
        <v>2930.7445506661925</v>
      </c>
      <c r="EV212" s="2908">
        <f>SUM(EV244,EV268,EV292)</f>
        <v>0</v>
      </c>
      <c r="EW212" s="2908">
        <f>SUM(EW244,EW268,EW292)</f>
        <v>0</v>
      </c>
      <c r="EX212" s="2908">
        <f>SUM(EX244,EX268,EX292)</f>
        <v>0</v>
      </c>
      <c r="EY212" s="2908">
        <f>SUM(EY244,EY268,EY292)</f>
        <v>0</v>
      </c>
      <c r="EZ212" s="51"/>
      <c r="FA212" s="725"/>
      <c r="FB212" s="725"/>
    </row>
    <row r="213" spans="1:158" s="2616" customFormat="1" ht="11.25" customHeight="1">
      <c r="A213" s="5368"/>
      <c r="B213" s="2615"/>
      <c r="C213" s="2615"/>
      <c r="D213" s="2615"/>
      <c r="E213" s="2615"/>
      <c r="F213" s="4301"/>
      <c r="G213" s="2615"/>
      <c r="H213" s="2615"/>
      <c r="I213" s="2615"/>
      <c r="J213" s="2615"/>
      <c r="K213" s="2590"/>
      <c r="L213" s="2606"/>
      <c r="M213" s="2606"/>
      <c r="N213" s="2606"/>
      <c r="O213" s="2606"/>
      <c r="P213" s="1042"/>
      <c r="Q213" s="2956"/>
      <c r="R213" s="2618"/>
      <c r="S213" s="2618"/>
      <c r="T213" s="2618"/>
      <c r="U213" s="1042"/>
      <c r="V213" s="2956"/>
      <c r="W213" s="2618"/>
      <c r="X213" s="2618"/>
      <c r="Y213" s="2618"/>
      <c r="Z213" s="1042"/>
      <c r="AA213" s="2956"/>
      <c r="AB213" s="2618"/>
      <c r="AC213" s="2618"/>
      <c r="AD213" s="2618"/>
      <c r="AE213" s="1042"/>
      <c r="AF213" s="2956"/>
      <c r="AG213" s="2618"/>
      <c r="AH213" s="2618"/>
      <c r="AI213" s="2618"/>
      <c r="AJ213" s="1042"/>
      <c r="AK213" s="4427"/>
      <c r="AL213" s="4428"/>
      <c r="AM213" s="4428"/>
      <c r="AN213" s="4428"/>
      <c r="AO213" s="1042"/>
      <c r="AP213" s="4427"/>
      <c r="AQ213" s="4428"/>
      <c r="AR213" s="4428"/>
      <c r="AS213" s="4428"/>
      <c r="AT213" s="1042"/>
      <c r="AU213" s="4427"/>
      <c r="AV213" s="4428"/>
      <c r="AW213" s="4428"/>
      <c r="AX213" s="4428"/>
      <c r="AY213" s="1042"/>
      <c r="AZ213" s="4427"/>
      <c r="BA213" s="4428"/>
      <c r="BB213" s="4428"/>
      <c r="BC213" s="4428"/>
      <c r="BD213" s="1042"/>
      <c r="BE213" s="4429"/>
      <c r="BF213" s="3573"/>
      <c r="BG213" s="3573"/>
      <c r="BH213" s="3573"/>
      <c r="BI213" s="1042"/>
      <c r="BJ213" s="4429"/>
      <c r="BK213" s="4430"/>
      <c r="BL213" s="4430"/>
      <c r="BM213" s="3573"/>
      <c r="BN213" s="1042"/>
      <c r="BO213" s="2618"/>
      <c r="BP213" s="2618"/>
      <c r="BQ213" s="2618"/>
      <c r="BR213" s="2618"/>
      <c r="BS213" s="2910"/>
      <c r="BT213" s="3573"/>
      <c r="BU213" s="4431"/>
      <c r="BV213" s="4431"/>
      <c r="BW213" s="3573"/>
      <c r="BX213" s="2910"/>
      <c r="BY213" s="2618"/>
      <c r="BZ213" s="2618"/>
      <c r="CA213" s="2618"/>
      <c r="CB213" s="2618"/>
      <c r="CC213" s="2910"/>
      <c r="CD213" s="4429"/>
      <c r="CE213" s="4431"/>
      <c r="CF213" s="4431"/>
      <c r="CG213" s="3573"/>
      <c r="CH213" s="2910"/>
      <c r="CI213" s="4431"/>
      <c r="CJ213" s="4431"/>
      <c r="CK213" s="4431"/>
      <c r="CL213" s="3573"/>
      <c r="CM213" s="2910"/>
      <c r="CN213" s="4431"/>
      <c r="CO213" s="4431"/>
      <c r="CP213" s="4431"/>
      <c r="CQ213" s="3573"/>
      <c r="CR213" s="2910">
        <f t="shared" ref="CR213:DJ213" si="884">CR214/CR212</f>
        <v>-0.25044722719141321</v>
      </c>
      <c r="CS213" s="4428">
        <f t="shared" si="884"/>
        <v>-0.22178477690288714</v>
      </c>
      <c r="CT213" s="3573">
        <f t="shared" si="884"/>
        <v>-0.69026548672566368</v>
      </c>
      <c r="CU213" s="3573">
        <f t="shared" si="884"/>
        <v>-0.5357142857142857</v>
      </c>
      <c r="CV213" s="3573">
        <f t="shared" si="884"/>
        <v>-0.92574257425742579</v>
      </c>
      <c r="CW213" s="2910">
        <f t="shared" si="884"/>
        <v>-0.42340926944226237</v>
      </c>
      <c r="CX213" s="3573">
        <f t="shared" si="884"/>
        <v>-0.71381578947368418</v>
      </c>
      <c r="CY213" s="3573">
        <f t="shared" si="884"/>
        <v>-8.241758241758242E-3</v>
      </c>
      <c r="CZ213" s="3573">
        <f t="shared" si="884"/>
        <v>-0.74901960784313726</v>
      </c>
      <c r="DA213" s="3573">
        <f t="shared" si="884"/>
        <v>-0.36666666666666664</v>
      </c>
      <c r="DB213" s="2910">
        <f t="shared" si="884"/>
        <v>-1.3307086614173229</v>
      </c>
      <c r="DC213" s="3573">
        <f t="shared" si="884"/>
        <v>-0.18230358504958047</v>
      </c>
      <c r="DD213" s="3573">
        <f t="shared" si="884"/>
        <v>-0.13411458333333334</v>
      </c>
      <c r="DE213" s="3573">
        <f t="shared" si="884"/>
        <v>-0.20779220779220781</v>
      </c>
      <c r="DF213" s="3573">
        <f t="shared" si="884"/>
        <v>-0.17127071823204421</v>
      </c>
      <c r="DG213" s="2910">
        <f t="shared" si="884"/>
        <v>-0.1422680412371134</v>
      </c>
      <c r="DH213" s="3573">
        <f t="shared" si="884"/>
        <v>-0.11882046834345186</v>
      </c>
      <c r="DI213" s="3573">
        <f t="shared" si="884"/>
        <v>-8.8742810188989316E-2</v>
      </c>
      <c r="DJ213" s="3573">
        <f t="shared" si="884"/>
        <v>-0.22077922077922077</v>
      </c>
      <c r="DK213" s="2618">
        <f t="shared" ref="DK213:DQ213" si="885">DK214/DK212</f>
        <v>-0.21822541966426859</v>
      </c>
      <c r="DL213" s="2910">
        <f t="shared" si="885"/>
        <v>-0.13680096211665665</v>
      </c>
      <c r="DM213" s="2618">
        <f t="shared" si="885"/>
        <v>-0.125</v>
      </c>
      <c r="DN213" s="2618">
        <f t="shared" si="885"/>
        <v>-0.21388101983002833</v>
      </c>
      <c r="DO213" s="2618">
        <f t="shared" si="885"/>
        <v>0.4</v>
      </c>
      <c r="DP213" s="2618">
        <f t="shared" si="885"/>
        <v>-6.920415224913495E-3</v>
      </c>
      <c r="DQ213" s="2910">
        <f t="shared" si="885"/>
        <v>-0.20370370370370369</v>
      </c>
      <c r="DR213" s="2618">
        <f t="shared" ref="DR213:DW213" si="886">DR214/DR212</f>
        <v>-9.9000908265213447E-2</v>
      </c>
      <c r="DS213" s="2618">
        <f t="shared" si="886"/>
        <v>-3.7095919448860626E-3</v>
      </c>
      <c r="DT213" s="2618">
        <f t="shared" si="886"/>
        <v>0.1008130081300813</v>
      </c>
      <c r="DU213" s="2618">
        <f t="shared" si="886"/>
        <v>-0.74358974358974361</v>
      </c>
      <c r="DV213" s="2910">
        <f t="shared" si="886"/>
        <v>4.4744744744744748E-2</v>
      </c>
      <c r="DW213" s="2618">
        <f t="shared" si="886"/>
        <v>-0.13962832747363135</v>
      </c>
      <c r="DX213" s="2618">
        <f t="shared" ref="DX213:ED213" si="887">DX214/DX212</f>
        <v>-0.13982102908277405</v>
      </c>
      <c r="DY213" s="2618">
        <f t="shared" si="887"/>
        <v>-0.16283818274629913</v>
      </c>
      <c r="DZ213" s="2618">
        <f t="shared" si="887"/>
        <v>-0.1413479822522713</v>
      </c>
      <c r="EA213" s="2910">
        <f t="shared" si="887"/>
        <v>-0.14710297208045631</v>
      </c>
      <c r="EB213" s="2618">
        <f t="shared" si="887"/>
        <v>-3.8638454461821528E-2</v>
      </c>
      <c r="EC213" s="2618">
        <f t="shared" si="887"/>
        <v>-2.617801047120419E-3</v>
      </c>
      <c r="ED213" s="2618">
        <f t="shared" si="887"/>
        <v>-2.34192037470726E-3</v>
      </c>
      <c r="EE213" s="2618">
        <f t="shared" ref="EE213" si="888">EE214/EE212</f>
        <v>0.15957446808510639</v>
      </c>
      <c r="EF213" s="2957">
        <f>EF214/EF212</f>
        <v>-0.12083973374295955</v>
      </c>
      <c r="EG213" s="2618">
        <f t="shared" ref="EG213:EJ213" si="889">EG214/EG212</f>
        <v>-0.18461538461538463</v>
      </c>
      <c r="EH213" s="2618">
        <f t="shared" si="889"/>
        <v>-8.050513022888714E-2</v>
      </c>
      <c r="EI213" s="2618">
        <f t="shared" si="889"/>
        <v>-1.6715830875122909E-2</v>
      </c>
      <c r="EJ213" s="2618">
        <f t="shared" si="889"/>
        <v>-7.5471698113207544E-2</v>
      </c>
      <c r="EK213" s="2957">
        <f>EK214/EK212</f>
        <v>-7.1793126913916303E-2</v>
      </c>
      <c r="EL213" s="2618">
        <f t="shared" ref="EL213:EN213" si="890">EL214/EL212</f>
        <v>-0.16199376947040497</v>
      </c>
      <c r="EM213" s="2618">
        <f t="shared" si="890"/>
        <v>-0.20626151012891344</v>
      </c>
      <c r="EN213" s="2618">
        <f t="shared" si="890"/>
        <v>-0.15459297983569828</v>
      </c>
      <c r="EO213" s="2678">
        <v>-0.2</v>
      </c>
      <c r="EP213" s="2957">
        <f>EP214/EP212</f>
        <v>-0.20286902797438691</v>
      </c>
      <c r="EQ213" s="2678">
        <v>-0.2</v>
      </c>
      <c r="ER213" s="2678">
        <v>-0.2</v>
      </c>
      <c r="ES213" s="2678">
        <v>-0.2</v>
      </c>
      <c r="ET213" s="2678">
        <v>-0.2</v>
      </c>
      <c r="EU213" s="2957">
        <f>EU214/EU212</f>
        <v>-0.19999999999999998</v>
      </c>
      <c r="EV213" s="5823">
        <v>-0.2</v>
      </c>
      <c r="EW213" s="5823">
        <v>-0.2</v>
      </c>
      <c r="EX213" s="5823">
        <v>-0.2</v>
      </c>
      <c r="EY213" s="5823">
        <v>-0.2</v>
      </c>
      <c r="EZ213" s="2606"/>
      <c r="FA213" s="725"/>
      <c r="FB213" s="725"/>
    </row>
    <row r="214" spans="1:158" s="214" customFormat="1" ht="11.25" customHeight="1">
      <c r="A214" s="5368" t="s">
        <v>16</v>
      </c>
      <c r="B214" s="2615"/>
      <c r="C214" s="2615"/>
      <c r="D214" s="2615"/>
      <c r="E214" s="2615"/>
      <c r="F214" s="4301"/>
      <c r="G214" s="2615"/>
      <c r="H214" s="2615"/>
      <c r="I214" s="2615"/>
      <c r="J214" s="2615"/>
      <c r="K214" s="2590"/>
      <c r="L214" s="2606"/>
      <c r="M214" s="2606"/>
      <c r="N214" s="2606"/>
      <c r="O214" s="2606"/>
      <c r="P214" s="2590"/>
      <c r="Q214" s="2655"/>
      <c r="R214" s="2606"/>
      <c r="S214" s="2606"/>
      <c r="T214" s="2606"/>
      <c r="U214" s="2590"/>
      <c r="V214" s="2655"/>
      <c r="W214" s="2606"/>
      <c r="X214" s="2606"/>
      <c r="Y214" s="2606"/>
      <c r="Z214" s="2590"/>
      <c r="AA214" s="2655"/>
      <c r="AB214" s="2606"/>
      <c r="AC214" s="2606"/>
      <c r="AD214" s="2606"/>
      <c r="AE214" s="2590"/>
      <c r="AF214" s="2655"/>
      <c r="AG214" s="2606"/>
      <c r="AH214" s="2606"/>
      <c r="AI214" s="2606"/>
      <c r="AJ214" s="2590"/>
      <c r="AK214" s="2669">
        <v>0</v>
      </c>
      <c r="AL214" s="2619">
        <v>0</v>
      </c>
      <c r="AM214" s="2619">
        <v>0</v>
      </c>
      <c r="AN214" s="2619">
        <v>0</v>
      </c>
      <c r="AO214" s="2590"/>
      <c r="AP214" s="2669">
        <v>0</v>
      </c>
      <c r="AQ214" s="2619">
        <v>0</v>
      </c>
      <c r="AR214" s="2619">
        <v>0</v>
      </c>
      <c r="AS214" s="2619">
        <v>0</v>
      </c>
      <c r="AT214" s="2590"/>
      <c r="AU214" s="2669">
        <v>0</v>
      </c>
      <c r="AV214" s="2619">
        <v>4.8</v>
      </c>
      <c r="AW214" s="2619">
        <v>34.200000000000003</v>
      </c>
      <c r="AX214" s="2619">
        <v>128.9</v>
      </c>
      <c r="AY214" s="2590">
        <f>SUM(AU214:AX214)</f>
        <v>167.9</v>
      </c>
      <c r="AZ214" s="2669">
        <v>154</v>
      </c>
      <c r="BA214" s="2619">
        <v>124</v>
      </c>
      <c r="BB214" s="2619">
        <v>39</v>
      </c>
      <c r="BC214" s="2619">
        <v>8</v>
      </c>
      <c r="BD214" s="2590">
        <f>SUM(AZ214:BC214)</f>
        <v>325</v>
      </c>
      <c r="BE214" s="2656">
        <v>10</v>
      </c>
      <c r="BF214" s="2607">
        <v>79</v>
      </c>
      <c r="BG214" s="2607">
        <v>89</v>
      </c>
      <c r="BH214" s="2607">
        <v>25</v>
      </c>
      <c r="BI214" s="2590">
        <f>SUM(BE214:BH214)</f>
        <v>203</v>
      </c>
      <c r="BJ214" s="2656">
        <v>14</v>
      </c>
      <c r="BK214" s="2629">
        <v>4</v>
      </c>
      <c r="BL214" s="2629">
        <v>1</v>
      </c>
      <c r="BM214" s="2607">
        <v>25</v>
      </c>
      <c r="BN214" s="2590">
        <f>SUM(BJ214:BM214)</f>
        <v>44</v>
      </c>
      <c r="BO214" s="2606"/>
      <c r="BP214" s="2606"/>
      <c r="BQ214" s="2606"/>
      <c r="BR214" s="2606"/>
      <c r="BS214" s="1932"/>
      <c r="BT214" s="2607">
        <v>37</v>
      </c>
      <c r="BU214" s="2629">
        <v>81</v>
      </c>
      <c r="BV214" s="2634">
        <v>62</v>
      </c>
      <c r="BW214" s="2607">
        <v>37</v>
      </c>
      <c r="BX214" s="2590">
        <f>SUM(BT214:BW214)</f>
        <v>217</v>
      </c>
      <c r="BY214" s="2606"/>
      <c r="BZ214" s="2606"/>
      <c r="CA214" s="2606"/>
      <c r="CB214" s="2606"/>
      <c r="CC214" s="1932"/>
      <c r="CD214" s="2656">
        <v>35</v>
      </c>
      <c r="CE214" s="2607">
        <v>35</v>
      </c>
      <c r="CF214" s="2607">
        <v>22</v>
      </c>
      <c r="CG214" s="2607">
        <v>3</v>
      </c>
      <c r="CH214" s="2590">
        <f>SUM(CD214:CG214)</f>
        <v>95</v>
      </c>
      <c r="CI214" s="2634">
        <v>8</v>
      </c>
      <c r="CJ214" s="2607">
        <v>6</v>
      </c>
      <c r="CK214" s="2607">
        <f>0+10</f>
        <v>10</v>
      </c>
      <c r="CL214" s="2607">
        <f>3+145</f>
        <v>148</v>
      </c>
      <c r="CM214" s="2590">
        <f>SUM(CI214:CL214)</f>
        <v>172</v>
      </c>
      <c r="CN214" s="2634">
        <f>20+291</f>
        <v>311</v>
      </c>
      <c r="CO214" s="2607">
        <f>54+417</f>
        <v>471</v>
      </c>
      <c r="CP214" s="2607">
        <f>20+266</f>
        <v>286</v>
      </c>
      <c r="CQ214" s="2607">
        <f>39+293</f>
        <v>332</v>
      </c>
      <c r="CR214" s="2590">
        <f>SUM(CN214:CQ214)</f>
        <v>1400</v>
      </c>
      <c r="CS214" s="2619">
        <f>42+127</f>
        <v>169</v>
      </c>
      <c r="CT214" s="2607">
        <f>37+41</f>
        <v>78</v>
      </c>
      <c r="CU214" s="2607">
        <f>84+21</f>
        <v>105</v>
      </c>
      <c r="CV214" s="2607">
        <f>134+53</f>
        <v>187</v>
      </c>
      <c r="CW214" s="2590">
        <f>SUM(CS214:CV214)</f>
        <v>539</v>
      </c>
      <c r="CX214" s="2607">
        <f>158+59+0</f>
        <v>217</v>
      </c>
      <c r="CY214" s="2607">
        <f>SUM(CY246,CY270,CY294)</f>
        <v>3</v>
      </c>
      <c r="CZ214" s="2607">
        <f>SUM(CZ246,CZ270,CZ294)</f>
        <v>-191</v>
      </c>
      <c r="DA214" s="2607">
        <f>SUM(DA246,DA270,DA294)</f>
        <v>-198</v>
      </c>
      <c r="DB214" s="2590">
        <f>SUM(CX214:DA214)</f>
        <v>-169</v>
      </c>
      <c r="DC214" s="2607">
        <f>SUM(DC246,DC270,DC294)</f>
        <v>-239</v>
      </c>
      <c r="DD214" s="2607">
        <f>SUM(DD246,DD270,DD294)</f>
        <v>-103</v>
      </c>
      <c r="DE214" s="2607">
        <f>SUM(DE246,DE270,DE294)</f>
        <v>80</v>
      </c>
      <c r="DF214" s="2607">
        <f>SUM(DF246,DF270,DF294)</f>
        <v>124</v>
      </c>
      <c r="DG214" s="2590">
        <f>SUM(DC214:DF214)</f>
        <v>-138</v>
      </c>
      <c r="DH214" s="2607">
        <f>SUM(DH246,DH270,DH294)</f>
        <v>137</v>
      </c>
      <c r="DI214" s="2607">
        <f>SUM(DI246,DI270,DI294)</f>
        <v>108</v>
      </c>
      <c r="DJ214" s="2607">
        <f>SUM(DJ246,DJ270,DJ294)</f>
        <v>119</v>
      </c>
      <c r="DK214" s="2606">
        <f>DK68</f>
        <v>91</v>
      </c>
      <c r="DL214" s="2590">
        <f>SUM(DH214:DK214)</f>
        <v>455</v>
      </c>
      <c r="DM214" s="2606">
        <f>DM68</f>
        <v>49</v>
      </c>
      <c r="DN214" s="2606">
        <f>DN68</f>
        <v>151</v>
      </c>
      <c r="DO214" s="2606">
        <f>DO68</f>
        <v>-22</v>
      </c>
      <c r="DP214" s="2606">
        <f>DP68</f>
        <v>-2</v>
      </c>
      <c r="DQ214" s="2590">
        <f>SUM(DM214:DP214)</f>
        <v>176</v>
      </c>
      <c r="DR214" s="677">
        <f>DR68</f>
        <v>-109</v>
      </c>
      <c r="DS214" s="677">
        <f>DS68</f>
        <v>-7</v>
      </c>
      <c r="DT214" s="677">
        <f>DT68</f>
        <v>62</v>
      </c>
      <c r="DU214" s="677">
        <f>DU68</f>
        <v>203</v>
      </c>
      <c r="DV214" s="1260">
        <f>SUM(DR214:DU214)</f>
        <v>149</v>
      </c>
      <c r="DW214" s="677">
        <f>DW68</f>
        <v>278</v>
      </c>
      <c r="DX214" s="677">
        <f>DX68</f>
        <v>375</v>
      </c>
      <c r="DY214" s="677">
        <f>DY68</f>
        <v>638</v>
      </c>
      <c r="DZ214" s="677">
        <f>DZ68</f>
        <v>669</v>
      </c>
      <c r="EA214" s="1260">
        <f>SUM(DW214:DZ214)</f>
        <v>1960</v>
      </c>
      <c r="EB214" s="677">
        <f>EB68</f>
        <v>84</v>
      </c>
      <c r="EC214" s="677">
        <f>EC68</f>
        <v>3</v>
      </c>
      <c r="ED214" s="677">
        <f>ED68</f>
        <v>-1</v>
      </c>
      <c r="EE214" s="677">
        <f>EE68</f>
        <v>150</v>
      </c>
      <c r="EF214" s="4301">
        <f>SUM(EB214:EE214)</f>
        <v>236</v>
      </c>
      <c r="EG214" s="677">
        <f>EG68</f>
        <v>72</v>
      </c>
      <c r="EH214" s="677">
        <f>EH68</f>
        <v>102</v>
      </c>
      <c r="EI214" s="677">
        <f>EI68</f>
        <v>17</v>
      </c>
      <c r="EJ214" s="677">
        <f>EJ68</f>
        <v>20</v>
      </c>
      <c r="EK214" s="4301">
        <f>SUM(EG214:EJ214)</f>
        <v>211</v>
      </c>
      <c r="EL214" s="677">
        <f>EL68</f>
        <v>260</v>
      </c>
      <c r="EM214" s="677">
        <f>EM68</f>
        <v>-112</v>
      </c>
      <c r="EN214" s="677">
        <f>EN68</f>
        <v>-207</v>
      </c>
      <c r="EO214" s="2635">
        <f t="shared" ref="EO214" si="891">EO212*EO213</f>
        <v>-195.55607516823349</v>
      </c>
      <c r="EP214" s="4301">
        <f>SUM(EL214:EO214)</f>
        <v>-254.55607516823349</v>
      </c>
      <c r="EQ214" s="2635">
        <f t="shared" ref="EQ214:ET214" si="892">EQ212*EQ213</f>
        <v>-649.21286703271676</v>
      </c>
      <c r="ER214" s="2635">
        <f t="shared" si="892"/>
        <v>-130.00387208809934</v>
      </c>
      <c r="ES214" s="2635">
        <f t="shared" si="892"/>
        <v>139.86763587836194</v>
      </c>
      <c r="ET214" s="2635">
        <f t="shared" si="892"/>
        <v>53.200193109215618</v>
      </c>
      <c r="EU214" s="4301">
        <f>SUM(EQ214:ET214)</f>
        <v>-586.14891013323847</v>
      </c>
      <c r="EV214" s="5824">
        <f>EV212*EV213</f>
        <v>0</v>
      </c>
      <c r="EW214" s="5824">
        <f>EW212*EW213</f>
        <v>0</v>
      </c>
      <c r="EX214" s="5824">
        <f>EX212*EX213</f>
        <v>0</v>
      </c>
      <c r="EY214" s="5824">
        <f>EY212*EY213</f>
        <v>0</v>
      </c>
      <c r="EZ214" s="51"/>
      <c r="FA214" s="725"/>
      <c r="FB214" s="725"/>
    </row>
    <row r="215" spans="1:158" s="516" customFormat="1" ht="11.25" hidden="1" customHeight="1" outlineLevel="1">
      <c r="A215" s="5368"/>
      <c r="B215" s="2630"/>
      <c r="C215" s="2630"/>
      <c r="D215" s="2630"/>
      <c r="E215" s="2630"/>
      <c r="F215" s="5575"/>
      <c r="G215" s="2630"/>
      <c r="H215" s="2630"/>
      <c r="I215" s="2630"/>
      <c r="J215" s="2630"/>
      <c r="K215" s="2593"/>
      <c r="L215" s="2631"/>
      <c r="M215" s="2631"/>
      <c r="N215" s="2631"/>
      <c r="O215" s="2631"/>
      <c r="P215" s="2593"/>
      <c r="Q215" s="2682"/>
      <c r="R215" s="2631"/>
      <c r="S215" s="2631"/>
      <c r="T215" s="2631"/>
      <c r="U215" s="2593"/>
      <c r="V215" s="2682"/>
      <c r="W215" s="2631"/>
      <c r="X215" s="2631"/>
      <c r="Y215" s="2631"/>
      <c r="Z215" s="2593"/>
      <c r="AA215" s="2682"/>
      <c r="AB215" s="2631"/>
      <c r="AC215" s="2631"/>
      <c r="AD215" s="2631"/>
      <c r="AE215" s="2593"/>
      <c r="AF215" s="2682"/>
      <c r="AG215" s="2631"/>
      <c r="AH215" s="2631"/>
      <c r="AI215" s="2631"/>
      <c r="AJ215" s="2593"/>
      <c r="AK215" s="2683"/>
      <c r="AL215" s="2632"/>
      <c r="AM215" s="2632"/>
      <c r="AN215" s="2632"/>
      <c r="AO215" s="2593"/>
      <c r="AP215" s="2683"/>
      <c r="AQ215" s="2632"/>
      <c r="AR215" s="2632"/>
      <c r="AS215" s="2632"/>
      <c r="AT215" s="2593"/>
      <c r="AU215" s="2683"/>
      <c r="AV215" s="2632"/>
      <c r="AW215" s="2632"/>
      <c r="AX215" s="2632">
        <f>-AX214/AX212</f>
        <v>0.48458646616541357</v>
      </c>
      <c r="AY215" s="2593"/>
      <c r="AZ215" s="2632">
        <f>-AZ214/AZ212</f>
        <v>0.35897435897435898</v>
      </c>
      <c r="BA215" s="2632">
        <f>-BA214/BA212</f>
        <v>0.24949698189134809</v>
      </c>
      <c r="BB215" s="2632">
        <f>-BB214/BB212</f>
        <v>0.13131313131313133</v>
      </c>
      <c r="BC215" s="2633"/>
      <c r="BD215" s="2593"/>
      <c r="BE215" s="2683"/>
      <c r="BF215" s="2633"/>
      <c r="BG215" s="2632"/>
      <c r="BH215" s="2632"/>
      <c r="BI215" s="2593"/>
      <c r="BJ215" s="2683"/>
      <c r="BK215" s="2633"/>
      <c r="BL215" s="2633"/>
      <c r="BM215" s="2633"/>
      <c r="BN215" s="2593"/>
      <c r="BO215" s="2631"/>
      <c r="BP215" s="2631"/>
      <c r="BQ215" s="2631"/>
      <c r="BR215" s="2631"/>
      <c r="BS215" s="2909"/>
      <c r="BT215" s="2633"/>
      <c r="BU215" s="2633"/>
      <c r="BV215" s="2633"/>
      <c r="BW215" s="2633"/>
      <c r="BX215" s="2593"/>
      <c r="BY215" s="2631"/>
      <c r="BZ215" s="2631"/>
      <c r="CA215" s="2631"/>
      <c r="CB215" s="2631"/>
      <c r="CC215" s="2909"/>
      <c r="CD215" s="2631"/>
      <c r="CE215" s="2631"/>
      <c r="CF215" s="2631"/>
      <c r="CG215" s="2633"/>
      <c r="CH215" s="2593"/>
      <c r="CI215" s="2639"/>
      <c r="CJ215" s="2631"/>
      <c r="CK215" s="2631"/>
      <c r="CL215" s="2631"/>
      <c r="CM215" s="2593"/>
      <c r="CN215" s="2631"/>
      <c r="CO215" s="2631"/>
      <c r="CP215" s="2631"/>
      <c r="CQ215" s="2631"/>
      <c r="CR215" s="2593"/>
      <c r="CS215" s="2631"/>
      <c r="CT215" s="2631"/>
      <c r="CU215" s="2631"/>
      <c r="CV215" s="2631"/>
      <c r="CW215" s="2593"/>
      <c r="CX215" s="2631"/>
      <c r="CY215" s="2631"/>
      <c r="CZ215" s="2631"/>
      <c r="DA215" s="2631"/>
      <c r="DB215" s="2593"/>
      <c r="DC215" s="2631"/>
      <c r="DD215" s="2631"/>
      <c r="DE215" s="2631"/>
      <c r="DF215" s="2631"/>
      <c r="DG215" s="2593"/>
      <c r="DH215" s="2631"/>
      <c r="DI215" s="2631"/>
      <c r="DJ215" s="2631"/>
      <c r="DK215" s="2631"/>
      <c r="DL215" s="2909"/>
      <c r="DM215" s="2631"/>
      <c r="DN215" s="2631"/>
      <c r="DO215" s="2631"/>
      <c r="DP215" s="2631"/>
      <c r="DQ215" s="2593"/>
      <c r="DR215" s="2631"/>
      <c r="DS215" s="2631"/>
      <c r="DT215" s="2631"/>
      <c r="DU215" s="2631"/>
      <c r="DV215" s="2593"/>
      <c r="DW215" s="2631"/>
      <c r="DX215" s="2631"/>
      <c r="DY215" s="2631"/>
      <c r="DZ215" s="2631"/>
      <c r="EA215" s="2593"/>
      <c r="EB215" s="2631"/>
      <c r="EC215" s="2631"/>
      <c r="ED215" s="2631"/>
      <c r="EE215" s="2631"/>
      <c r="EF215" s="2593"/>
      <c r="EG215" s="2631"/>
      <c r="EH215" s="2631"/>
      <c r="EI215" s="2631"/>
      <c r="EJ215" s="2631"/>
      <c r="EK215" s="2593"/>
      <c r="EL215" s="2631"/>
      <c r="EM215" s="2631"/>
      <c r="EN215" s="2631"/>
      <c r="EO215" s="2631"/>
      <c r="EP215" s="2593"/>
      <c r="EQ215" s="2631"/>
      <c r="ER215" s="2631"/>
      <c r="ES215" s="2631"/>
      <c r="ET215" s="2631"/>
      <c r="EU215" s="2593"/>
      <c r="EV215" s="2909"/>
      <c r="EW215" s="2909"/>
      <c r="EX215" s="2909"/>
      <c r="EY215" s="2909"/>
      <c r="EZ215" s="515"/>
      <c r="FA215" s="725"/>
      <c r="FB215" s="725"/>
    </row>
    <row r="216" spans="1:158" s="252" customFormat="1" ht="11.25" hidden="1" customHeight="1" outlineLevel="1" collapsed="1">
      <c r="A216" s="5672" t="s">
        <v>875</v>
      </c>
      <c r="B216" s="3466"/>
      <c r="C216" s="3466"/>
      <c r="D216" s="3466"/>
      <c r="E216" s="3466"/>
      <c r="F216" s="5570"/>
      <c r="G216" s="3466"/>
      <c r="H216" s="3466"/>
      <c r="I216" s="3466"/>
      <c r="J216" s="3466"/>
      <c r="K216" s="3467"/>
      <c r="L216" s="3468"/>
      <c r="M216" s="3468"/>
      <c r="N216" s="3468"/>
      <c r="O216" s="3468"/>
      <c r="P216" s="3467"/>
      <c r="Q216" s="3469"/>
      <c r="R216" s="3468"/>
      <c r="S216" s="3468"/>
      <c r="T216" s="3468"/>
      <c r="U216" s="3467"/>
      <c r="V216" s="3469"/>
      <c r="W216" s="3468"/>
      <c r="X216" s="3468"/>
      <c r="Y216" s="3468"/>
      <c r="Z216" s="3467"/>
      <c r="AA216" s="3469"/>
      <c r="AB216" s="3468"/>
      <c r="AC216" s="3468"/>
      <c r="AD216" s="3468"/>
      <c r="AE216" s="3467"/>
      <c r="AF216" s="3469"/>
      <c r="AG216" s="3468"/>
      <c r="AH216" s="3468"/>
      <c r="AI216" s="3468"/>
      <c r="AJ216" s="3467"/>
      <c r="AK216" s="3468">
        <f t="shared" ref="AK216:BN216" si="893">AK208-AK214</f>
        <v>2253.7550000000001</v>
      </c>
      <c r="AL216" s="3468">
        <f t="shared" si="893"/>
        <v>2455.9910000000004</v>
      </c>
      <c r="AM216" s="3468">
        <f t="shared" si="893"/>
        <v>2689.6729999999998</v>
      </c>
      <c r="AN216" s="3468">
        <f t="shared" si="893"/>
        <v>3205.4979999999996</v>
      </c>
      <c r="AO216" s="3467">
        <f t="shared" si="893"/>
        <v>10604.917000000001</v>
      </c>
      <c r="AP216" s="3468">
        <f t="shared" si="893"/>
        <v>3663.971</v>
      </c>
      <c r="AQ216" s="3468">
        <f t="shared" si="893"/>
        <v>3871.9849999999997</v>
      </c>
      <c r="AR216" s="3468">
        <f t="shared" si="893"/>
        <v>4231.3509999999997</v>
      </c>
      <c r="AS216" s="3468">
        <f t="shared" si="893"/>
        <v>4826.6790000000001</v>
      </c>
      <c r="AT216" s="3467">
        <f t="shared" si="893"/>
        <v>16593.986000000001</v>
      </c>
      <c r="AU216" s="3468">
        <f t="shared" si="893"/>
        <v>5186.0430000000006</v>
      </c>
      <c r="AV216" s="3468">
        <f t="shared" si="893"/>
        <v>5362.4120000000003</v>
      </c>
      <c r="AW216" s="3468">
        <f t="shared" si="893"/>
        <v>5507.1909999999998</v>
      </c>
      <c r="AX216" s="3468">
        <f t="shared" si="893"/>
        <v>5572.0039999999999</v>
      </c>
      <c r="AY216" s="3467">
        <f t="shared" si="893"/>
        <v>21627.65</v>
      </c>
      <c r="AZ216" s="3468">
        <f t="shared" si="893"/>
        <v>5354.99</v>
      </c>
      <c r="BA216" s="3468">
        <f t="shared" si="893"/>
        <v>5398.8970000000008</v>
      </c>
      <c r="BB216" s="3468">
        <f t="shared" si="893"/>
        <v>5905.8509999999997</v>
      </c>
      <c r="BC216" s="3468">
        <f t="shared" si="893"/>
        <v>6665.8250000000007</v>
      </c>
      <c r="BD216" s="3467">
        <f t="shared" si="893"/>
        <v>23325.563000000002</v>
      </c>
      <c r="BE216" s="3468">
        <f t="shared" si="893"/>
        <v>6765</v>
      </c>
      <c r="BF216" s="3468">
        <f t="shared" si="893"/>
        <v>6741</v>
      </c>
      <c r="BG216" s="3468">
        <f t="shared" si="893"/>
        <v>7197</v>
      </c>
      <c r="BH216" s="3468">
        <f t="shared" si="893"/>
        <v>8415</v>
      </c>
      <c r="BI216" s="3467">
        <f t="shared" si="893"/>
        <v>29118</v>
      </c>
      <c r="BJ216" s="3468">
        <f t="shared" si="893"/>
        <v>8561</v>
      </c>
      <c r="BK216" s="3468">
        <f t="shared" si="893"/>
        <v>9022</v>
      </c>
      <c r="BL216" s="3468">
        <f t="shared" si="893"/>
        <v>9719</v>
      </c>
      <c r="BM216" s="3468">
        <f t="shared" si="893"/>
        <v>10559</v>
      </c>
      <c r="BN216" s="3467">
        <f t="shared" si="893"/>
        <v>37861</v>
      </c>
      <c r="BO216" s="3468"/>
      <c r="BP216" s="3468"/>
      <c r="BQ216" s="3468"/>
      <c r="BR216" s="3468"/>
      <c r="BS216" s="3467"/>
      <c r="BT216" s="3468">
        <f>BT208-BT214</f>
        <v>10608</v>
      </c>
      <c r="BU216" s="3468">
        <f>BU208-BU214</f>
        <v>10883</v>
      </c>
      <c r="BV216" s="3468">
        <f>BV208-BV214</f>
        <v>11464</v>
      </c>
      <c r="BW216" s="3468">
        <f>BW208-BW214</f>
        <v>12868</v>
      </c>
      <c r="BX216" s="3467">
        <f>BX208-BX214</f>
        <v>45823</v>
      </c>
      <c r="BY216" s="3468"/>
      <c r="BZ216" s="3468"/>
      <c r="CA216" s="3468"/>
      <c r="CB216" s="3468"/>
      <c r="CC216" s="3467"/>
      <c r="CD216" s="3468">
        <f t="shared" ref="CD216:DQ216" si="894">CD208-CD214</f>
        <v>12916</v>
      </c>
      <c r="CE216" s="3468">
        <f t="shared" si="894"/>
        <v>13072</v>
      </c>
      <c r="CF216" s="3468">
        <f t="shared" si="894"/>
        <v>13732</v>
      </c>
      <c r="CG216" s="3468">
        <f t="shared" si="894"/>
        <v>15704</v>
      </c>
      <c r="CH216" s="3467">
        <f t="shared" si="894"/>
        <v>55424</v>
      </c>
      <c r="CI216" s="3468">
        <f t="shared" si="894"/>
        <v>15412</v>
      </c>
      <c r="CJ216" s="3468">
        <f t="shared" si="894"/>
        <v>15949</v>
      </c>
      <c r="CK216" s="3468">
        <f t="shared" si="894"/>
        <v>16513</v>
      </c>
      <c r="CL216" s="3468">
        <f t="shared" si="894"/>
        <v>17955</v>
      </c>
      <c r="CM216" s="3467">
        <f t="shared" si="894"/>
        <v>65829</v>
      </c>
      <c r="CN216" s="3468">
        <f t="shared" si="894"/>
        <v>16947</v>
      </c>
      <c r="CO216" s="3468">
        <f t="shared" si="894"/>
        <v>17256</v>
      </c>
      <c r="CP216" s="3468">
        <f t="shared" si="894"/>
        <v>18389</v>
      </c>
      <c r="CQ216" s="3468">
        <f t="shared" si="894"/>
        <v>20997</v>
      </c>
      <c r="CR216" s="3467">
        <f t="shared" si="894"/>
        <v>73589</v>
      </c>
      <c r="CS216" s="3468">
        <f t="shared" si="894"/>
        <v>20088</v>
      </c>
      <c r="CT216" s="3468">
        <f t="shared" si="894"/>
        <v>21422</v>
      </c>
      <c r="CU216" s="3468">
        <f t="shared" si="894"/>
        <v>22346</v>
      </c>
      <c r="CV216" s="3468">
        <f t="shared" si="894"/>
        <v>25877</v>
      </c>
      <c r="CW216" s="3467">
        <f t="shared" si="894"/>
        <v>89733</v>
      </c>
      <c r="CX216" s="3468">
        <f t="shared" si="894"/>
        <v>24533</v>
      </c>
      <c r="CY216" s="3468">
        <f t="shared" si="894"/>
        <v>26007</v>
      </c>
      <c r="CZ216" s="3468">
        <f t="shared" si="894"/>
        <v>27963</v>
      </c>
      <c r="DA216" s="3468">
        <f t="shared" si="894"/>
        <v>32521</v>
      </c>
      <c r="DB216" s="3467">
        <f t="shared" si="894"/>
        <v>111024</v>
      </c>
      <c r="DC216" s="3468">
        <f t="shared" si="894"/>
        <v>31385</v>
      </c>
      <c r="DD216" s="3468">
        <f t="shared" si="894"/>
        <v>32760</v>
      </c>
      <c r="DE216" s="3468">
        <f t="shared" si="894"/>
        <v>33660</v>
      </c>
      <c r="DF216" s="3468">
        <f t="shared" si="894"/>
        <v>39152</v>
      </c>
      <c r="DG216" s="3467">
        <f t="shared" si="894"/>
        <v>136957</v>
      </c>
      <c r="DH216" s="3468">
        <f t="shared" si="894"/>
        <v>36202</v>
      </c>
      <c r="DI216" s="3468">
        <f t="shared" si="894"/>
        <v>38836</v>
      </c>
      <c r="DJ216" s="3468">
        <f t="shared" si="894"/>
        <v>40380</v>
      </c>
      <c r="DK216" s="3468">
        <f t="shared" si="894"/>
        <v>45984</v>
      </c>
      <c r="DL216" s="3467">
        <f t="shared" si="894"/>
        <v>161402</v>
      </c>
      <c r="DM216" s="3468">
        <f t="shared" si="894"/>
        <v>41110</v>
      </c>
      <c r="DN216" s="3468">
        <f t="shared" si="894"/>
        <v>38146</v>
      </c>
      <c r="DO216" s="3468">
        <f t="shared" si="894"/>
        <v>46195</v>
      </c>
      <c r="DP216" s="3468">
        <f t="shared" si="894"/>
        <v>56900</v>
      </c>
      <c r="DQ216" s="3467">
        <f t="shared" si="894"/>
        <v>182351</v>
      </c>
      <c r="DR216" s="5728">
        <f t="shared" ref="DR216:EA216" si="895">DR208-DR214</f>
        <v>55423</v>
      </c>
      <c r="DS216" s="5728">
        <f t="shared" si="895"/>
        <v>61887</v>
      </c>
      <c r="DT216" s="5728">
        <f t="shared" si="895"/>
        <v>65056</v>
      </c>
      <c r="DU216" s="5728">
        <f t="shared" si="895"/>
        <v>75122</v>
      </c>
      <c r="DV216" s="5721">
        <f t="shared" si="895"/>
        <v>257488</v>
      </c>
      <c r="DW216" s="5728">
        <f t="shared" si="895"/>
        <v>67733</v>
      </c>
      <c r="DX216" s="5728">
        <f>DX208-DX214</f>
        <v>69310</v>
      </c>
      <c r="DY216" s="5728">
        <f>DY208-DY214</f>
        <v>68454</v>
      </c>
      <c r="DZ216" s="5728">
        <f>DZ208-DZ214</f>
        <v>75379</v>
      </c>
      <c r="EA216" s="5721">
        <f t="shared" si="895"/>
        <v>280876</v>
      </c>
      <c r="EB216" s="5728">
        <f t="shared" ref="EB216:EN216" si="896">EB208-EB214</f>
        <v>69703</v>
      </c>
      <c r="EC216" s="5728">
        <f t="shared" si="896"/>
        <v>74601</v>
      </c>
      <c r="ED216" s="5728">
        <f t="shared" si="896"/>
        <v>76694</v>
      </c>
      <c r="EE216" s="5728">
        <f>EE208-EE214</f>
        <v>86160</v>
      </c>
      <c r="EF216" s="3467">
        <f t="shared" si="896"/>
        <v>307158</v>
      </c>
      <c r="EG216" s="5728">
        <f t="shared" ref="EG216:EI216" si="897">EG208-EG214</f>
        <v>80467</v>
      </c>
      <c r="EH216" s="5728">
        <f t="shared" si="897"/>
        <v>84640</v>
      </c>
      <c r="EI216" s="5728">
        <f t="shared" si="897"/>
        <v>88251</v>
      </c>
      <c r="EJ216" s="5728">
        <f>EJ208-EJ214</f>
        <v>96449</v>
      </c>
      <c r="EK216" s="3467">
        <f t="shared" si="896"/>
        <v>349807</v>
      </c>
      <c r="EL216" s="5728">
        <f t="shared" si="896"/>
        <v>89974</v>
      </c>
      <c r="EM216" s="5728">
        <f t="shared" si="896"/>
        <v>96540</v>
      </c>
      <c r="EN216" s="5728">
        <f t="shared" si="896"/>
        <v>102553</v>
      </c>
      <c r="EO216" s="3468">
        <f t="shared" ref="EO216:EP216" si="898">EO208-EO214</f>
        <v>112441.89037584118</v>
      </c>
      <c r="EP216" s="3467">
        <f t="shared" si="898"/>
        <v>401508.89037584118</v>
      </c>
      <c r="EQ216" s="3468">
        <f t="shared" ref="EQ216:EU216" si="899">EQ208-EQ214</f>
        <v>106973.72533516357</v>
      </c>
      <c r="ER216" s="3468">
        <f t="shared" si="899"/>
        <v>112743.41736044051</v>
      </c>
      <c r="ES216" s="3468">
        <f t="shared" si="899"/>
        <v>118748.58882060819</v>
      </c>
      <c r="ET216" s="3468">
        <f t="shared" si="899"/>
        <v>130422.06974243937</v>
      </c>
      <c r="EU216" s="3467">
        <f t="shared" si="899"/>
        <v>468887.80125865166</v>
      </c>
      <c r="EV216" s="4306">
        <f>EV208-EV214</f>
        <v>530735.52121275011</v>
      </c>
      <c r="EW216" s="4306">
        <f>EW208-EW214</f>
        <v>594221.93512936914</v>
      </c>
      <c r="EX216" s="4306">
        <f>EX208-EX214</f>
        <v>657093.77916525898</v>
      </c>
      <c r="EY216" s="4306">
        <f>EY208-EY214</f>
        <v>722335.86960670422</v>
      </c>
      <c r="FA216" s="725"/>
      <c r="FB216" s="725"/>
    </row>
    <row r="217" spans="1:158" s="249" customFormat="1" ht="11.25" hidden="1" customHeight="1" outlineLevel="1">
      <c r="A217" s="5363" t="s">
        <v>616</v>
      </c>
      <c r="B217" s="185"/>
      <c r="C217" s="185"/>
      <c r="D217" s="185"/>
      <c r="E217" s="185"/>
      <c r="F217" s="5569"/>
      <c r="G217" s="185"/>
      <c r="H217" s="185"/>
      <c r="I217" s="185"/>
      <c r="J217" s="185"/>
      <c r="K217" s="1505"/>
      <c r="L217" s="185"/>
      <c r="M217" s="185"/>
      <c r="N217" s="185"/>
      <c r="O217" s="185"/>
      <c r="P217" s="2588"/>
      <c r="Q217" s="2605"/>
      <c r="R217" s="185"/>
      <c r="S217" s="185"/>
      <c r="T217" s="185"/>
      <c r="U217" s="2588"/>
      <c r="V217" s="2581"/>
      <c r="W217" s="223"/>
      <c r="X217" s="223"/>
      <c r="Y217" s="223"/>
      <c r="Z217" s="2588"/>
      <c r="AA217" s="2581"/>
      <c r="AB217" s="223"/>
      <c r="AC217" s="223"/>
      <c r="AD217" s="223"/>
      <c r="AE217" s="2588"/>
      <c r="AF217" s="2581"/>
      <c r="AG217" s="223"/>
      <c r="AH217" s="223"/>
      <c r="AI217" s="223"/>
      <c r="AJ217" s="2588"/>
      <c r="AK217" s="2612"/>
      <c r="AL217" s="2612"/>
      <c r="AM217" s="2612"/>
      <c r="AN217" s="2612"/>
      <c r="AO217" s="2588"/>
      <c r="AP217" s="2612">
        <f t="shared" ref="AP217:BN217" si="900">AP216/AK216-1</f>
        <v>0.62571841216103774</v>
      </c>
      <c r="AQ217" s="2612">
        <f t="shared" si="900"/>
        <v>0.57654690102691708</v>
      </c>
      <c r="AR217" s="2612">
        <f t="shared" si="900"/>
        <v>0.57318417517668507</v>
      </c>
      <c r="AS217" s="2612">
        <f t="shared" si="900"/>
        <v>0.50575012057408886</v>
      </c>
      <c r="AT217" s="2588">
        <f t="shared" si="900"/>
        <v>0.56474454255511852</v>
      </c>
      <c r="AU217" s="2612">
        <f t="shared" si="900"/>
        <v>0.41541595170922485</v>
      </c>
      <c r="AV217" s="2612">
        <f t="shared" si="900"/>
        <v>0.38492581970229756</v>
      </c>
      <c r="AW217" s="2612">
        <f t="shared" si="900"/>
        <v>0.30152071997808738</v>
      </c>
      <c r="AX217" s="2612">
        <f t="shared" si="900"/>
        <v>0.15441776840763599</v>
      </c>
      <c r="AY217" s="2588">
        <f t="shared" si="900"/>
        <v>0.30334266884400174</v>
      </c>
      <c r="AZ217" s="2612">
        <f t="shared" si="900"/>
        <v>3.2577246274278604E-2</v>
      </c>
      <c r="BA217" s="2612">
        <f t="shared" si="900"/>
        <v>6.8038412565092354E-3</v>
      </c>
      <c r="BB217" s="2612">
        <f t="shared" si="900"/>
        <v>7.2388991048249363E-2</v>
      </c>
      <c r="BC217" s="2612">
        <f t="shared" si="900"/>
        <v>0.19630657120849171</v>
      </c>
      <c r="BD217" s="2588">
        <f t="shared" si="900"/>
        <v>7.8506587632035885E-2</v>
      </c>
      <c r="BE217" s="2612">
        <f t="shared" si="900"/>
        <v>0.26330768124683712</v>
      </c>
      <c r="BF217" s="2612">
        <f t="shared" si="900"/>
        <v>0.24858836906871895</v>
      </c>
      <c r="BG217" s="2612">
        <f t="shared" si="900"/>
        <v>0.21862200722639291</v>
      </c>
      <c r="BH217" s="2612">
        <f t="shared" si="900"/>
        <v>0.26240937918412177</v>
      </c>
      <c r="BI217" s="2588">
        <f t="shared" si="900"/>
        <v>0.24832999743671769</v>
      </c>
      <c r="BJ217" s="2612">
        <f t="shared" si="900"/>
        <v>0.26548410938654832</v>
      </c>
      <c r="BK217" s="2612">
        <f t="shared" si="900"/>
        <v>0.33837709538644112</v>
      </c>
      <c r="BL217" s="2612">
        <f t="shared" si="900"/>
        <v>0.35042378768931504</v>
      </c>
      <c r="BM217" s="2612">
        <f t="shared" si="900"/>
        <v>0.25478312537136061</v>
      </c>
      <c r="BN217" s="2588">
        <f t="shared" si="900"/>
        <v>0.30026100693728974</v>
      </c>
      <c r="BO217" s="2612"/>
      <c r="BP217" s="2612"/>
      <c r="BQ217" s="2612"/>
      <c r="BR217" s="2612"/>
      <c r="BS217" s="2588"/>
      <c r="BT217" s="2612">
        <f>BT216/BJ216-1</f>
        <v>0.23910758089008288</v>
      </c>
      <c r="BU217" s="2612">
        <f>BU216/BK216-1</f>
        <v>0.20627355353580135</v>
      </c>
      <c r="BV217" s="2612">
        <f>BV216/BL216-1</f>
        <v>0.1795452207017183</v>
      </c>
      <c r="BW217" s="2612">
        <f>BW216/BM216-1</f>
        <v>0.21867601098588874</v>
      </c>
      <c r="BX217" s="2588">
        <f>BX216/BN216-1</f>
        <v>0.21029555479253048</v>
      </c>
      <c r="BY217" s="2612"/>
      <c r="BZ217" s="2612"/>
      <c r="CA217" s="2612"/>
      <c r="CB217" s="2612"/>
      <c r="CC217" s="2588"/>
      <c r="CD217" s="2612">
        <f>CD216/BT216-1</f>
        <v>0.21757164404223217</v>
      </c>
      <c r="CE217" s="2612">
        <f>CE216/BU216-1</f>
        <v>0.20113939171184425</v>
      </c>
      <c r="CF217" s="2612">
        <f>CF216/BV216-1</f>
        <v>0.19783670621074667</v>
      </c>
      <c r="CG217" s="2612">
        <f>CG216/BW216-1</f>
        <v>0.22039166925707177</v>
      </c>
      <c r="CH217" s="2588">
        <f>CH216/BX216-1</f>
        <v>0.20952360168474349</v>
      </c>
      <c r="CI217" s="2612">
        <f t="shared" ref="CI217:DT217" si="901">CI216/CD216-1</f>
        <v>0.19324868380303495</v>
      </c>
      <c r="CJ217" s="2612">
        <f t="shared" si="901"/>
        <v>0.22008873929008566</v>
      </c>
      <c r="CK217" s="2612">
        <f t="shared" si="901"/>
        <v>0.20251966210311689</v>
      </c>
      <c r="CL217" s="2612">
        <f t="shared" si="901"/>
        <v>0.14333927661742241</v>
      </c>
      <c r="CM217" s="2588">
        <f t="shared" si="901"/>
        <v>0.18773455542725181</v>
      </c>
      <c r="CN217" s="2612">
        <f t="shared" si="901"/>
        <v>9.9597716065403574E-2</v>
      </c>
      <c r="CO217" s="2612">
        <f t="shared" si="901"/>
        <v>8.1948711517963568E-2</v>
      </c>
      <c r="CP217" s="2612">
        <f t="shared" si="901"/>
        <v>0.11360746078846962</v>
      </c>
      <c r="CQ217" s="2612">
        <f t="shared" si="901"/>
        <v>0.16942355889724303</v>
      </c>
      <c r="CR217" s="2588">
        <f t="shared" si="901"/>
        <v>0.11788117698886502</v>
      </c>
      <c r="CS217" s="2612">
        <f t="shared" si="901"/>
        <v>0.18534253850238991</v>
      </c>
      <c r="CT217" s="2612">
        <f t="shared" si="901"/>
        <v>0.24142327306444145</v>
      </c>
      <c r="CU217" s="2612">
        <f t="shared" si="901"/>
        <v>0.21518298983087725</v>
      </c>
      <c r="CV217" s="2612">
        <f t="shared" si="901"/>
        <v>0.23241415440301005</v>
      </c>
      <c r="CW217" s="2588">
        <f t="shared" si="901"/>
        <v>0.21938061395045461</v>
      </c>
      <c r="CX217" s="2612">
        <f t="shared" si="901"/>
        <v>0.22127638391079252</v>
      </c>
      <c r="CY217" s="2612">
        <f t="shared" si="901"/>
        <v>0.21403230323966027</v>
      </c>
      <c r="CZ217" s="2612">
        <f t="shared" si="901"/>
        <v>0.25136489752080915</v>
      </c>
      <c r="DA217" s="2612">
        <f t="shared" si="901"/>
        <v>0.25675310120956829</v>
      </c>
      <c r="DB217" s="2588">
        <f t="shared" si="901"/>
        <v>0.2372705693557553</v>
      </c>
      <c r="DC217" s="2612">
        <f t="shared" si="901"/>
        <v>0.27929727306077523</v>
      </c>
      <c r="DD217" s="2612">
        <f t="shared" si="901"/>
        <v>0.25966086053754767</v>
      </c>
      <c r="DE217" s="2612">
        <f t="shared" si="901"/>
        <v>0.20373350498873521</v>
      </c>
      <c r="DF217" s="2612">
        <f t="shared" si="901"/>
        <v>0.2038990190953538</v>
      </c>
      <c r="DG217" s="2588">
        <f t="shared" si="901"/>
        <v>0.23358012681942641</v>
      </c>
      <c r="DH217" s="2612">
        <f t="shared" si="901"/>
        <v>0.1534809622431097</v>
      </c>
      <c r="DI217" s="2612">
        <f t="shared" si="901"/>
        <v>0.18547008547008548</v>
      </c>
      <c r="DJ217" s="2612">
        <f t="shared" si="901"/>
        <v>0.19964349376114088</v>
      </c>
      <c r="DK217" s="2612">
        <f t="shared" si="901"/>
        <v>0.1744993870044953</v>
      </c>
      <c r="DL217" s="2588">
        <f t="shared" si="901"/>
        <v>0.17848667830048837</v>
      </c>
      <c r="DM217" s="2612">
        <f t="shared" si="901"/>
        <v>0.13557262029722117</v>
      </c>
      <c r="DN217" s="2612">
        <f t="shared" si="901"/>
        <v>-1.7767020290452185E-2</v>
      </c>
      <c r="DO217" s="2612">
        <f t="shared" si="901"/>
        <v>0.14400693412580479</v>
      </c>
      <c r="DP217" s="2612">
        <f t="shared" si="901"/>
        <v>0.2373869171885874</v>
      </c>
      <c r="DQ217" s="2588">
        <f t="shared" si="901"/>
        <v>0.12979393068239542</v>
      </c>
      <c r="DR217" s="2612">
        <f>DR216/DM216-1</f>
        <v>0.34816346387740205</v>
      </c>
      <c r="DS217" s="2612">
        <f t="shared" si="901"/>
        <v>0.62237193939076185</v>
      </c>
      <c r="DT217" s="2612">
        <f t="shared" si="901"/>
        <v>0.40829094057798465</v>
      </c>
      <c r="DU217" s="2612">
        <f t="shared" ref="DU217:EN217" si="902">DU216/DP216-1</f>
        <v>0.32024604569420045</v>
      </c>
      <c r="DV217" s="2588">
        <f t="shared" si="902"/>
        <v>0.41204599919934637</v>
      </c>
      <c r="DW217" s="2612">
        <f t="shared" si="902"/>
        <v>0.22210995435108161</v>
      </c>
      <c r="DX217" s="2612">
        <f t="shared" si="902"/>
        <v>0.11994441482055995</v>
      </c>
      <c r="DY217" s="2612">
        <f t="shared" si="902"/>
        <v>5.2231923266109259E-2</v>
      </c>
      <c r="DZ217" s="2612">
        <f t="shared" si="902"/>
        <v>3.4211016746092948E-3</v>
      </c>
      <c r="EA217" s="2588">
        <f t="shared" si="902"/>
        <v>9.0831417386441293E-2</v>
      </c>
      <c r="EB217" s="2612">
        <f t="shared" si="902"/>
        <v>2.9084788803094508E-2</v>
      </c>
      <c r="EC217" s="2612">
        <f t="shared" si="902"/>
        <v>7.6338190737267331E-2</v>
      </c>
      <c r="ED217" s="2612">
        <f t="shared" si="902"/>
        <v>0.1203728050953925</v>
      </c>
      <c r="EE217" s="2612">
        <f t="shared" si="902"/>
        <v>0.14302391912866974</v>
      </c>
      <c r="EF217" s="2588">
        <f t="shared" ref="EF217:EK217" si="903">EF216/EA216-1</f>
        <v>9.3571540466255598E-2</v>
      </c>
      <c r="EG217" s="2612">
        <f t="shared" si="902"/>
        <v>0.15442663873864837</v>
      </c>
      <c r="EH217" s="2612">
        <f t="shared" si="902"/>
        <v>0.13456924169917284</v>
      </c>
      <c r="EI217" s="2612">
        <f t="shared" si="902"/>
        <v>0.15068975408767304</v>
      </c>
      <c r="EJ217" s="2612">
        <f t="shared" si="902"/>
        <v>0.11941736304549666</v>
      </c>
      <c r="EK217" s="2588">
        <f t="shared" si="903"/>
        <v>0.13885036365648951</v>
      </c>
      <c r="EL217" s="2612">
        <f t="shared" si="902"/>
        <v>0.1181478121465942</v>
      </c>
      <c r="EM217" s="2612">
        <f t="shared" si="902"/>
        <v>0.1405954631379962</v>
      </c>
      <c r="EN217" s="2612">
        <f t="shared" si="902"/>
        <v>0.16206048656672456</v>
      </c>
      <c r="EO217" s="2612">
        <f t="shared" ref="EO217:EP217" si="904">EO216/EJ216-1</f>
        <v>0.16581706783731476</v>
      </c>
      <c r="EP217" s="2588">
        <f t="shared" si="904"/>
        <v>0.14780118858639524</v>
      </c>
      <c r="EQ217" s="2612">
        <f t="shared" ref="EQ217" si="905">EQ216/EL216-1</f>
        <v>0.18894041984532839</v>
      </c>
      <c r="ER217" s="2612">
        <f t="shared" ref="ER217" si="906">ER216/EM216-1</f>
        <v>0.16784148912824226</v>
      </c>
      <c r="ES217" s="2612">
        <f t="shared" ref="ES217" si="907">ES216/EN216-1</f>
        <v>0.15792408628327004</v>
      </c>
      <c r="ET217" s="2612">
        <f t="shared" ref="ET217:EU217" si="908">ET216/EO216-1</f>
        <v>0.15990641305032116</v>
      </c>
      <c r="EU217" s="2588">
        <f t="shared" si="908"/>
        <v>0.16781424396291444</v>
      </c>
      <c r="EV217" s="577">
        <f>EV216/EU216-1</f>
        <v>0.13190302624226624</v>
      </c>
      <c r="EW217" s="577">
        <f>EW216/EV216-1</f>
        <v>0.11961968132743461</v>
      </c>
      <c r="EX217" s="577">
        <f>EX216/EW216-1</f>
        <v>0.10580532343054938</v>
      </c>
      <c r="EY217" s="577">
        <f>EY216/EX216-1</f>
        <v>9.9288857253108764E-2</v>
      </c>
      <c r="EZ217" s="185"/>
      <c r="FA217" s="725"/>
      <c r="FB217" s="725"/>
    </row>
    <row r="218" spans="1:158" s="249" customFormat="1" ht="11.25" hidden="1" customHeight="1" outlineLevel="1">
      <c r="A218" s="5363" t="s">
        <v>617</v>
      </c>
      <c r="B218" s="185"/>
      <c r="C218" s="185"/>
      <c r="D218" s="185"/>
      <c r="E218" s="185"/>
      <c r="F218" s="5569"/>
      <c r="G218" s="185"/>
      <c r="H218" s="185"/>
      <c r="I218" s="185"/>
      <c r="J218" s="185"/>
      <c r="K218" s="1505"/>
      <c r="L218" s="185"/>
      <c r="M218" s="185"/>
      <c r="N218" s="185"/>
      <c r="O218" s="185"/>
      <c r="P218" s="1020"/>
      <c r="Q218" s="2605"/>
      <c r="R218" s="185"/>
      <c r="S218" s="185"/>
      <c r="T218" s="185"/>
      <c r="U218" s="1020"/>
      <c r="V218" s="2581"/>
      <c r="W218" s="223"/>
      <c r="X218" s="223"/>
      <c r="Y218" s="223"/>
      <c r="Z218" s="1020"/>
      <c r="AA218" s="2581"/>
      <c r="AB218" s="223"/>
      <c r="AC218" s="223"/>
      <c r="AD218" s="223"/>
      <c r="AE218" s="1020"/>
      <c r="AF218" s="2581"/>
      <c r="AG218" s="223"/>
      <c r="AH218" s="223"/>
      <c r="AI218" s="223"/>
      <c r="AJ218" s="1020"/>
      <c r="AK218" s="223"/>
      <c r="AL218" s="223">
        <f>AL216/AK216-1</f>
        <v>8.9732912406184528E-2</v>
      </c>
      <c r="AM218" s="223">
        <f>AM216/AL216-1</f>
        <v>9.5147742805246072E-2</v>
      </c>
      <c r="AN218" s="223">
        <f>AN216/AM216-1</f>
        <v>0.19177981858761273</v>
      </c>
      <c r="AO218" s="1020"/>
      <c r="AP218" s="223">
        <f>AP216/AN216-1</f>
        <v>0.14302707410829774</v>
      </c>
      <c r="AQ218" s="223">
        <f>AQ216/AP216-1</f>
        <v>5.6772829260930191E-2</v>
      </c>
      <c r="AR218" s="223">
        <f>AR216/AQ216-1</f>
        <v>9.2811826492096516E-2</v>
      </c>
      <c r="AS218" s="223">
        <f>AS216/AR216-1</f>
        <v>0.14069454413023186</v>
      </c>
      <c r="AT218" s="1020"/>
      <c r="AU218" s="223">
        <f>AU216/AS216-1</f>
        <v>7.4453677155659204E-2</v>
      </c>
      <c r="AV218" s="223">
        <f>AV216/AU216-1</f>
        <v>3.4008395225415544E-2</v>
      </c>
      <c r="AW218" s="223">
        <f>AW216/AV216-1</f>
        <v>2.6998857976596957E-2</v>
      </c>
      <c r="AX218" s="223">
        <f>AX216/AW216-1</f>
        <v>1.1768794654116732E-2</v>
      </c>
      <c r="AY218" s="1020"/>
      <c r="AZ218" s="223">
        <f>AZ216/AX216-1</f>
        <v>-3.8947208221673968E-2</v>
      </c>
      <c r="BA218" s="223">
        <f>BA216/AZ216-1</f>
        <v>8.1992683459728433E-3</v>
      </c>
      <c r="BB218" s="223">
        <f>BB216/BA216-1</f>
        <v>9.3899550222943384E-2</v>
      </c>
      <c r="BC218" s="223">
        <f>BC216/BB216-1</f>
        <v>0.12868153971375196</v>
      </c>
      <c r="BD218" s="1020"/>
      <c r="BE218" s="223">
        <f>BE216/BC216-1</f>
        <v>1.4878128363705834E-2</v>
      </c>
      <c r="BF218" s="223">
        <f>BF216/BE216-1</f>
        <v>-3.5476718403547602E-3</v>
      </c>
      <c r="BG218" s="223">
        <f>BG216/BF216-1</f>
        <v>6.7645749888740614E-2</v>
      </c>
      <c r="BH218" s="223">
        <f>BH216/BG216-1</f>
        <v>0.16923718215923311</v>
      </c>
      <c r="BI218" s="1020"/>
      <c r="BJ218" s="223">
        <f>BJ216/BH216-1</f>
        <v>1.7349970291146821E-2</v>
      </c>
      <c r="BK218" s="223">
        <f>BK216/BJ216-1</f>
        <v>5.3848849433477453E-2</v>
      </c>
      <c r="BL218" s="223">
        <f>BL216/BK216-1</f>
        <v>7.7255597428508072E-2</v>
      </c>
      <c r="BM218" s="223">
        <f>BM216/BL216-1</f>
        <v>8.6428644922317055E-2</v>
      </c>
      <c r="BN218" s="1020"/>
      <c r="BO218" s="223"/>
      <c r="BP218" s="223"/>
      <c r="BQ218" s="223"/>
      <c r="BR218" s="223"/>
      <c r="BS218" s="1931"/>
      <c r="BT218" s="223">
        <f>BT216/BM216-1</f>
        <v>4.6405909650535371E-3</v>
      </c>
      <c r="BU218" s="223">
        <f>BU216/BT216-1</f>
        <v>2.5923831070889802E-2</v>
      </c>
      <c r="BV218" s="223">
        <f>BV216/BU216-1</f>
        <v>5.3386014885601352E-2</v>
      </c>
      <c r="BW218" s="223">
        <f>BW216/BV216-1</f>
        <v>0.12247034193998596</v>
      </c>
      <c r="BX218" s="1020"/>
      <c r="BY218" s="223"/>
      <c r="BZ218" s="223"/>
      <c r="CA218" s="223"/>
      <c r="CB218" s="223"/>
      <c r="CC218" s="1931"/>
      <c r="CD218" s="223">
        <f>CD216/BW216-1</f>
        <v>3.730183400683762E-3</v>
      </c>
      <c r="CE218" s="223">
        <f>CE216/CD216-1</f>
        <v>1.2078042737689643E-2</v>
      </c>
      <c r="CF218" s="223">
        <f>CF216/CE216-1</f>
        <v>5.0489596083231225E-2</v>
      </c>
      <c r="CG218" s="223">
        <f>CG216/CF216-1</f>
        <v>0.14360617535683073</v>
      </c>
      <c r="CH218" s="1020"/>
      <c r="CI218" s="223">
        <f>CI216/CG216-1</f>
        <v>-1.8593988792664273E-2</v>
      </c>
      <c r="CJ218" s="223">
        <f>CJ216/CI216-1</f>
        <v>3.4842979496496174E-2</v>
      </c>
      <c r="CK218" s="223">
        <f>CK216/CJ216-1</f>
        <v>3.5362718665747028E-2</v>
      </c>
      <c r="CL218" s="223">
        <f>CL216/CK216-1</f>
        <v>8.7325137770241534E-2</v>
      </c>
      <c r="CM218" s="1020"/>
      <c r="CN218" s="223">
        <f>CN216/CL216-1</f>
        <v>-5.6140350877192935E-2</v>
      </c>
      <c r="CO218" s="223">
        <f>CO216/CN216-1</f>
        <v>1.8233315631085212E-2</v>
      </c>
      <c r="CP218" s="223">
        <f>CP216/CO216-1</f>
        <v>6.5658321743161885E-2</v>
      </c>
      <c r="CQ218" s="223">
        <f>CQ216/CP216-1</f>
        <v>0.14182391647180381</v>
      </c>
      <c r="CR218" s="1020"/>
      <c r="CS218" s="223">
        <f>CS216/CQ216-1</f>
        <v>-4.3291898842691801E-2</v>
      </c>
      <c r="CT218" s="223">
        <f>CT216/CS216-1</f>
        <v>6.6407805655117391E-2</v>
      </c>
      <c r="CU218" s="223">
        <f>CU216/CT216-1</f>
        <v>4.3133227523107109E-2</v>
      </c>
      <c r="CV218" s="223">
        <f>CV216/CU216-1</f>
        <v>0.15801485724514452</v>
      </c>
      <c r="CW218" s="1020"/>
      <c r="CX218" s="223">
        <f>CX216/CV216-1</f>
        <v>-5.1938014452989179E-2</v>
      </c>
      <c r="CY218" s="223">
        <f>CY216/CX216-1</f>
        <v>6.0082338075245545E-2</v>
      </c>
      <c r="CZ218" s="223">
        <f>CZ216/CY216-1</f>
        <v>7.5210520244549439E-2</v>
      </c>
      <c r="DA218" s="223">
        <f>DA216/CZ216-1</f>
        <v>0.16300110860780315</v>
      </c>
      <c r="DB218" s="1020"/>
      <c r="DC218" s="223">
        <f>DC216/DA216-1</f>
        <v>-3.4931275176040111E-2</v>
      </c>
      <c r="DD218" s="223">
        <f>DD216/DC216-1</f>
        <v>4.3810737613509732E-2</v>
      </c>
      <c r="DE218" s="223">
        <f>DE216/DD216-1</f>
        <v>2.7472527472527375E-2</v>
      </c>
      <c r="DF218" s="223">
        <f>DF216/DE216-1</f>
        <v>0.1631610219845514</v>
      </c>
      <c r="DG218" s="1020"/>
      <c r="DH218" s="223">
        <f>DH216/DF216-1</f>
        <v>-7.5347364119329741E-2</v>
      </c>
      <c r="DI218" s="223">
        <f>DI216/DH216-1</f>
        <v>7.275841113750614E-2</v>
      </c>
      <c r="DJ218" s="223">
        <f>DJ216/DI216-1</f>
        <v>3.9756926562982908E-2</v>
      </c>
      <c r="DK218" s="223">
        <f>DK216/DJ216-1</f>
        <v>0.13878157503714705</v>
      </c>
      <c r="DL218" s="1020"/>
      <c r="DM218" s="223">
        <f>DM216/DK216-1</f>
        <v>-0.10599338900487121</v>
      </c>
      <c r="DN218" s="223">
        <f>DN216/DM216-1</f>
        <v>-7.2099245925565603E-2</v>
      </c>
      <c r="DO218" s="223">
        <f>DO216/DN216-1</f>
        <v>0.2110050857232737</v>
      </c>
      <c r="DP218" s="223">
        <f>DP216/DO216-1</f>
        <v>0.23173503625933534</v>
      </c>
      <c r="DQ218" s="1020"/>
      <c r="DR218" s="223">
        <f>DR216/DP216-1</f>
        <v>-2.5957820738137127E-2</v>
      </c>
      <c r="DS218" s="223">
        <f>DS216/DR216-1</f>
        <v>0.11663027984771657</v>
      </c>
      <c r="DT218" s="223">
        <f>DT216/DS216-1</f>
        <v>5.1206230710811651E-2</v>
      </c>
      <c r="DU218" s="223">
        <f>DU216/DT216-1</f>
        <v>0.15472823413674375</v>
      </c>
      <c r="DV218" s="1020"/>
      <c r="DW218" s="223">
        <f>DW216/DU216-1</f>
        <v>-9.8360001064934366E-2</v>
      </c>
      <c r="DX218" s="223">
        <f>DX216/DV216-1</f>
        <v>-0.730822407257814</v>
      </c>
      <c r="DY218" s="223">
        <f>DY216/DW216-1</f>
        <v>1.0644737424888806E-2</v>
      </c>
      <c r="DZ218" s="223">
        <f>DZ216/DY216-1</f>
        <v>0.1011628246705818</v>
      </c>
      <c r="EA218" s="1020"/>
      <c r="EB218" s="223">
        <f>EB216/DZ216-1</f>
        <v>-7.5299486594409548E-2</v>
      </c>
      <c r="EC218" s="223">
        <f>EC216/EA216-1</f>
        <v>-0.73439880943904079</v>
      </c>
      <c r="ED218" s="223">
        <f>ED216/EB216-1</f>
        <v>0.10029697430526663</v>
      </c>
      <c r="EE218" s="223">
        <f>EE216/ED216-1</f>
        <v>0.12342556132161575</v>
      </c>
      <c r="EF218" s="1020"/>
      <c r="EG218" s="223">
        <f>EG216/EE216-1</f>
        <v>-6.6074744661095641E-2</v>
      </c>
      <c r="EH218" s="223">
        <f>EH216/EF216-1</f>
        <v>-0.7244414926519902</v>
      </c>
      <c r="EI218" s="223">
        <f>EI216/EG216-1</f>
        <v>9.6735307641641954E-2</v>
      </c>
      <c r="EJ218" s="223">
        <f>EJ216/EI216-1</f>
        <v>9.2894131511257694E-2</v>
      </c>
      <c r="EK218" s="1020"/>
      <c r="EL218" s="223">
        <f>EL216/EJ216-1</f>
        <v>-6.7133925701666208E-2</v>
      </c>
      <c r="EM218" s="223">
        <f>EM216/EK216-1</f>
        <v>-0.72401924489790082</v>
      </c>
      <c r="EN218" s="223">
        <f>EN216/EL216-1</f>
        <v>0.1398070553715518</v>
      </c>
      <c r="EO218" s="223">
        <f>EO216/EN216-1</f>
        <v>9.6427119400126493E-2</v>
      </c>
      <c r="EP218" s="1020"/>
      <c r="EQ218" s="223">
        <f>EQ216/EO216-1</f>
        <v>-4.8631030858695579E-2</v>
      </c>
      <c r="ER218" s="223">
        <f>ER216/EP216-1</f>
        <v>-0.71920069502096307</v>
      </c>
      <c r="ES218" s="223">
        <f>ES216/EQ216-1</f>
        <v>0.11007248227125244</v>
      </c>
      <c r="ET218" s="223">
        <f>ET216/ES216-1</f>
        <v>9.8304165445419756E-2</v>
      </c>
      <c r="EU218" s="1020"/>
      <c r="EV218" s="4305"/>
      <c r="EW218" s="4305"/>
      <c r="EX218" s="4305"/>
      <c r="EY218" s="4305"/>
      <c r="EZ218" s="185"/>
      <c r="FA218" s="725"/>
      <c r="FB218" s="725"/>
    </row>
    <row r="219" spans="1:158" s="211" customFormat="1" ht="11.25" hidden="1" customHeight="1" outlineLevel="1">
      <c r="A219" s="5673" t="s">
        <v>613</v>
      </c>
      <c r="B219" s="2612"/>
      <c r="C219" s="2612"/>
      <c r="D219" s="2612"/>
      <c r="E219" s="2612"/>
      <c r="F219" s="4303"/>
      <c r="G219" s="2612"/>
      <c r="H219" s="2612"/>
      <c r="I219" s="2612"/>
      <c r="J219" s="2612"/>
      <c r="K219" s="1019"/>
      <c r="L219" s="209"/>
      <c r="M219" s="209"/>
      <c r="N219" s="209"/>
      <c r="O219" s="209"/>
      <c r="P219" s="1019"/>
      <c r="Q219" s="2576"/>
      <c r="R219" s="209"/>
      <c r="S219" s="209"/>
      <c r="T219" s="209"/>
      <c r="U219" s="1019"/>
      <c r="V219" s="2576"/>
      <c r="W219" s="209"/>
      <c r="X219" s="209"/>
      <c r="Y219" s="209"/>
      <c r="Z219" s="1019"/>
      <c r="AA219" s="2576"/>
      <c r="AB219" s="209"/>
      <c r="AC219" s="209"/>
      <c r="AD219" s="209"/>
      <c r="AE219" s="1019"/>
      <c r="AF219" s="2576"/>
      <c r="AG219" s="209"/>
      <c r="AH219" s="209"/>
      <c r="AI219" s="209"/>
      <c r="AJ219" s="1019"/>
      <c r="AK219" s="2606"/>
      <c r="AL219" s="2606"/>
      <c r="AM219" s="2606"/>
      <c r="AN219" s="2606"/>
      <c r="AO219" s="2590"/>
      <c r="AP219" s="2606">
        <f t="shared" ref="AP219:BN219" si="909">(AP209-AP217)*10000</f>
        <v>0</v>
      </c>
      <c r="AQ219" s="2606">
        <f t="shared" si="909"/>
        <v>0</v>
      </c>
      <c r="AR219" s="2606">
        <f t="shared" si="909"/>
        <v>0</v>
      </c>
      <c r="AS219" s="2606">
        <f t="shared" si="909"/>
        <v>0</v>
      </c>
      <c r="AT219" s="2590">
        <f t="shared" si="909"/>
        <v>0</v>
      </c>
      <c r="AU219" s="2606">
        <f t="shared" si="909"/>
        <v>0</v>
      </c>
      <c r="AV219" s="2606">
        <f t="shared" si="909"/>
        <v>12.396742239446645</v>
      </c>
      <c r="AW219" s="2606">
        <f t="shared" si="909"/>
        <v>80.825249429792308</v>
      </c>
      <c r="AX219" s="2606">
        <f t="shared" si="909"/>
        <v>267.05732865185183</v>
      </c>
      <c r="AY219" s="2590">
        <f t="shared" si="909"/>
        <v>101.18123517761202</v>
      </c>
      <c r="AZ219" s="2606">
        <f t="shared" si="909"/>
        <v>296.95087372009874</v>
      </c>
      <c r="BA219" s="2606">
        <f t="shared" si="909"/>
        <v>222.02838561616201</v>
      </c>
      <c r="BB219" s="2606">
        <f t="shared" si="909"/>
        <v>4.1944279083550029</v>
      </c>
      <c r="BC219" s="2606">
        <f t="shared" si="909"/>
        <v>-256.45742680244109</v>
      </c>
      <c r="BD219" s="2590">
        <f t="shared" si="909"/>
        <v>66.031251304317081</v>
      </c>
      <c r="BE219" s="2606">
        <f t="shared" si="909"/>
        <v>-334.99676512756872</v>
      </c>
      <c r="BF219" s="2606">
        <f t="shared" si="909"/>
        <v>-137.29200049271472</v>
      </c>
      <c r="BG219" s="2606">
        <f t="shared" si="909"/>
        <v>69.764139956025588</v>
      </c>
      <c r="BH219" s="2606">
        <f t="shared" si="909"/>
        <v>22.327113711444468</v>
      </c>
      <c r="BI219" s="2590">
        <f t="shared" si="909"/>
        <v>-85.709270078235818</v>
      </c>
      <c r="BJ219" s="2606">
        <f t="shared" si="909"/>
        <v>1.9854744001990277</v>
      </c>
      <c r="BK219" s="2606">
        <f t="shared" si="909"/>
        <v>-149.16684829256343</v>
      </c>
      <c r="BL219" s="2606">
        <f t="shared" si="909"/>
        <v>-163.58456917972663</v>
      </c>
      <c r="BM219" s="2606">
        <f t="shared" si="909"/>
        <v>-7.5468935240330381</v>
      </c>
      <c r="BN219" s="2590">
        <f t="shared" si="909"/>
        <v>-75.015512570606461</v>
      </c>
      <c r="BO219" s="2606"/>
      <c r="BP219" s="2606"/>
      <c r="BQ219" s="2606"/>
      <c r="BR219" s="2606"/>
      <c r="BS219" s="1932"/>
      <c r="BT219" s="2606">
        <f>(BT209-BT217)*10000</f>
        <v>22.918360195380849</v>
      </c>
      <c r="BU219" s="2606">
        <f>(BU209-BU217)*10000</f>
        <v>84.394976496628971</v>
      </c>
      <c r="BV219" s="2606">
        <f>(BV209-BV217)*10000</f>
        <v>62.572484340841505</v>
      </c>
      <c r="BW219" s="2606">
        <f>(BW209-BW217)*10000</f>
        <v>6.1726187881272487</v>
      </c>
      <c r="BX219" s="2590">
        <f>(BX209-BX217)*10000</f>
        <v>43.199312910997548</v>
      </c>
      <c r="BY219" s="2606"/>
      <c r="BZ219" s="2606"/>
      <c r="CA219" s="2606"/>
      <c r="CB219" s="2606"/>
      <c r="CC219" s="1932"/>
      <c r="CD219" s="2606">
        <f t="shared" ref="CD219:DQ219" si="910">(CD209-CD217)*10000</f>
        <v>-9.4411938276772744</v>
      </c>
      <c r="CE219" s="2606">
        <f t="shared" si="910"/>
        <v>-56.815296177179505</v>
      </c>
      <c r="CF219" s="2606">
        <f t="shared" si="910"/>
        <v>-45.346066098443941</v>
      </c>
      <c r="CG219" s="2606">
        <f t="shared" si="910"/>
        <v>-32.66523964549517</v>
      </c>
      <c r="CH219" s="2590">
        <f t="shared" si="910"/>
        <v>-36.37415759461193</v>
      </c>
      <c r="CI219" s="2606">
        <f t="shared" si="910"/>
        <v>-26.070345095441372</v>
      </c>
      <c r="CJ219" s="2606">
        <f t="shared" si="910"/>
        <v>-28.002674811287154</v>
      </c>
      <c r="CK219" s="2606">
        <f t="shared" si="910"/>
        <v>-11.964106853474821</v>
      </c>
      <c r="CL219" s="2606">
        <f t="shared" si="910"/>
        <v>92.041753466700627</v>
      </c>
      <c r="CM219" s="2590">
        <f t="shared" si="910"/>
        <v>10.656751244511042</v>
      </c>
      <c r="CN219" s="2606">
        <f t="shared" si="910"/>
        <v>195.98133480640544</v>
      </c>
      <c r="CO219" s="2606">
        <f t="shared" si="910"/>
        <v>291.13651377680407</v>
      </c>
      <c r="CP219" s="2606">
        <f t="shared" si="910"/>
        <v>166.35231216614255</v>
      </c>
      <c r="CQ219" s="2606">
        <f t="shared" si="910"/>
        <v>87.789489743803628</v>
      </c>
      <c r="CR219" s="2590">
        <f t="shared" si="910"/>
        <v>182.98577863334219</v>
      </c>
      <c r="CS219" s="2606">
        <f t="shared" si="910"/>
        <v>-115.6805710245945</v>
      </c>
      <c r="CT219" s="2606">
        <f t="shared" si="910"/>
        <v>-285.84101179745858</v>
      </c>
      <c r="CU219" s="2606">
        <f t="shared" si="910"/>
        <v>-129.87541370368615</v>
      </c>
      <c r="CV219" s="2606">
        <f t="shared" si="910"/>
        <v>-104.15936014899873</v>
      </c>
      <c r="CW219" s="2590">
        <f t="shared" si="910"/>
        <v>-155.77389477531955</v>
      </c>
      <c r="CX219" s="2606">
        <f t="shared" si="910"/>
        <v>5.2348773851385033</v>
      </c>
      <c r="CY219" s="2606">
        <f t="shared" si="910"/>
        <v>-42.648613791951284</v>
      </c>
      <c r="CZ219" s="2606">
        <f t="shared" si="910"/>
        <v>-143.59864337432083</v>
      </c>
      <c r="DA219" s="2606">
        <f t="shared" si="910"/>
        <v>-166.13444978751835</v>
      </c>
      <c r="DB219" s="2590">
        <f t="shared" si="910"/>
        <v>-92.596689658226424</v>
      </c>
      <c r="DC219" s="2606">
        <f t="shared" si="910"/>
        <v>-208.73030636532786</v>
      </c>
      <c r="DD219" s="2606">
        <f t="shared" si="910"/>
        <v>-41.053049819921306</v>
      </c>
      <c r="DE219" s="2606">
        <f t="shared" si="910"/>
        <v>111.59192692382413</v>
      </c>
      <c r="DF219" s="2606">
        <f t="shared" si="910"/>
        <v>112.10964507653243</v>
      </c>
      <c r="DG219" s="2590">
        <f t="shared" si="910"/>
        <v>6.357407553334582</v>
      </c>
      <c r="DH219" s="2606">
        <f t="shared" si="910"/>
        <v>132.49918126761128</v>
      </c>
      <c r="DI219" s="2606">
        <f t="shared" si="910"/>
        <v>70.460672689902637</v>
      </c>
      <c r="DJ219" s="2606">
        <f t="shared" si="910"/>
        <v>6.8252876405172636</v>
      </c>
      <c r="DK219" s="2606">
        <f t="shared" si="910"/>
        <v>-13.911275076015084</v>
      </c>
      <c r="DL219" s="2590">
        <f t="shared" si="910"/>
        <v>45.142206974577718</v>
      </c>
      <c r="DM219" s="2606">
        <f t="shared" si="910"/>
        <v>-29.327567896948459</v>
      </c>
      <c r="DN219" s="2606">
        <f t="shared" si="910"/>
        <v>11.534212764834351</v>
      </c>
      <c r="DO219" s="2606">
        <f t="shared" si="910"/>
        <v>-39.047093795148143</v>
      </c>
      <c r="DP219" s="2606">
        <f t="shared" si="910"/>
        <v>-24.872970041056597</v>
      </c>
      <c r="DQ219" s="2590">
        <f t="shared" si="910"/>
        <v>-20.886105541340072</v>
      </c>
      <c r="DR219" s="2606">
        <f t="shared" ref="DR219:EA219" si="911">(DR209-DR217)*10000</f>
        <v>-42.53261977453127</v>
      </c>
      <c r="DS219" s="2606">
        <f t="shared" si="911"/>
        <v>-65.795796759016142</v>
      </c>
      <c r="DT219" s="2606">
        <f t="shared" si="911"/>
        <v>20.137829617463687</v>
      </c>
      <c r="DU219" s="2606">
        <f t="shared" si="911"/>
        <v>36.141954390556123</v>
      </c>
      <c r="DV219" s="2590">
        <f t="shared" si="911"/>
        <v>-5.4523492885483194</v>
      </c>
      <c r="DW219" s="2606">
        <f t="shared" si="911"/>
        <v>74.341032111990842</v>
      </c>
      <c r="DX219" s="2606">
        <f>(DX209-DX217)*10000</f>
        <v>61.86806898897057</v>
      </c>
      <c r="DY219" s="2606">
        <f>(DY209-DY217)*10000</f>
        <v>87.957495739656721</v>
      </c>
      <c r="DZ219" s="2606">
        <f>(DZ209-DZ217)*10000</f>
        <v>61.77305228809216</v>
      </c>
      <c r="EA219" s="2590">
        <f t="shared" si="911"/>
        <v>69.767390507164961</v>
      </c>
      <c r="EB219" s="2606">
        <f t="shared" ref="EB219:EN219" si="912">(EB209-EB217)*10000</f>
        <v>-29.713659744343701</v>
      </c>
      <c r="EC219" s="2606">
        <f t="shared" si="912"/>
        <v>-57.491113084089385</v>
      </c>
      <c r="ED219" s="2606">
        <f t="shared" si="912"/>
        <v>-103.60068454392079</v>
      </c>
      <c r="EE219" s="2606">
        <f>(EE209-EE217)*10000</f>
        <v>-80.828292906727214</v>
      </c>
      <c r="EF219" s="2590">
        <f t="shared" si="912"/>
        <v>-67.438381935605037</v>
      </c>
      <c r="EG219" s="2606">
        <f t="shared" ref="EG219:EI219" si="913">(EG209-EG217)*10000</f>
        <v>-3.5782936154382661</v>
      </c>
      <c r="EH219" s="2606">
        <f t="shared" si="913"/>
        <v>13.215952532694697</v>
      </c>
      <c r="EI219" s="2606">
        <f t="shared" si="913"/>
        <v>2.3666683731349281</v>
      </c>
      <c r="EJ219" s="2606">
        <f>(EJ209-EJ217)*10000</f>
        <v>-17.137365827462059</v>
      </c>
      <c r="EK219" s="2590">
        <f t="shared" si="912"/>
        <v>-1.8793042747389244</v>
      </c>
      <c r="EL219" s="2606">
        <f t="shared" si="912"/>
        <v>22.286514300580151</v>
      </c>
      <c r="EM219" s="2606">
        <f t="shared" si="912"/>
        <v>-26.945403370237653</v>
      </c>
      <c r="EN219" s="2606">
        <f t="shared" si="912"/>
        <v>-25.689381006892553</v>
      </c>
      <c r="EO219" s="2606">
        <f t="shared" ref="EO219" si="914">(EO209-EO217)*10000</f>
        <v>-22.688367923890951</v>
      </c>
      <c r="EP219" s="2590">
        <f t="shared" ref="EP219:ET219" si="915">(EP209-EP217)*10000</f>
        <v>-14.191902301023962</v>
      </c>
      <c r="EQ219" s="2606">
        <f t="shared" si="915"/>
        <v>-106.2057956194451</v>
      </c>
      <c r="ER219" s="2606">
        <f t="shared" si="915"/>
        <v>8.2380086101618843E-2</v>
      </c>
      <c r="ES219" s="2606">
        <f t="shared" si="915"/>
        <v>37.085760238699805</v>
      </c>
      <c r="ET219" s="2606">
        <f t="shared" si="915"/>
        <v>24.947535307273672</v>
      </c>
      <c r="EU219" s="2590">
        <f t="shared" ref="EU219" si="916">(EU209-EU217)*10000</f>
        <v>-7.199291695325627</v>
      </c>
      <c r="EV219" s="574">
        <f>(EV209-EV217)*10000</f>
        <v>14.167443609929276</v>
      </c>
      <c r="EW219" s="574">
        <f>(EW209-EW217)*10000</f>
        <v>0</v>
      </c>
      <c r="EX219" s="574">
        <f>(EX209-EX217)*10000</f>
        <v>0</v>
      </c>
      <c r="EY219" s="574">
        <f>(EY209-EY217)*10000</f>
        <v>0</v>
      </c>
      <c r="EZ219" s="209"/>
      <c r="FA219" s="725"/>
      <c r="FB219" s="725"/>
    </row>
    <row r="220" spans="1:158" s="211" customFormat="1" ht="11.25" hidden="1" customHeight="1" outlineLevel="1">
      <c r="A220" s="5674"/>
      <c r="B220" s="2612"/>
      <c r="C220" s="2612"/>
      <c r="D220" s="2612"/>
      <c r="E220" s="2612"/>
      <c r="F220" s="4303"/>
      <c r="G220" s="2612"/>
      <c r="H220" s="2612"/>
      <c r="I220" s="2612"/>
      <c r="J220" s="2612"/>
      <c r="K220" s="1019"/>
      <c r="L220" s="209"/>
      <c r="M220" s="209"/>
      <c r="N220" s="209"/>
      <c r="O220" s="209"/>
      <c r="P220" s="1019"/>
      <c r="Q220" s="2576"/>
      <c r="R220" s="209"/>
      <c r="S220" s="209"/>
      <c r="T220" s="209"/>
      <c r="U220" s="1019"/>
      <c r="V220" s="2576"/>
      <c r="W220" s="209"/>
      <c r="X220" s="209"/>
      <c r="Y220" s="209"/>
      <c r="Z220" s="1019"/>
      <c r="AA220" s="2576"/>
      <c r="AB220" s="209"/>
      <c r="AC220" s="209"/>
      <c r="AD220" s="209"/>
      <c r="AE220" s="1019"/>
      <c r="AF220" s="2576"/>
      <c r="AG220" s="209"/>
      <c r="AH220" s="209"/>
      <c r="AI220" s="209"/>
      <c r="AJ220" s="1019"/>
      <c r="AK220" s="2576"/>
      <c r="AL220" s="209"/>
      <c r="AM220" s="209"/>
      <c r="AN220" s="209"/>
      <c r="AO220" s="1019"/>
      <c r="AP220" s="2577"/>
      <c r="AQ220" s="257"/>
      <c r="AR220" s="257"/>
      <c r="AS220" s="257"/>
      <c r="AT220" s="1019"/>
      <c r="AU220" s="2577"/>
      <c r="AV220" s="257"/>
      <c r="AW220" s="257"/>
      <c r="AX220" s="257"/>
      <c r="AY220" s="1019"/>
      <c r="AZ220" s="2571"/>
      <c r="BA220" s="258"/>
      <c r="BB220" s="258"/>
      <c r="BC220" s="258"/>
      <c r="BD220" s="1019"/>
      <c r="BE220" s="2572"/>
      <c r="BF220" s="241"/>
      <c r="BG220" s="241"/>
      <c r="BH220" s="241"/>
      <c r="BI220" s="1019"/>
      <c r="BJ220" s="2572"/>
      <c r="BK220" s="258"/>
      <c r="BL220" s="258"/>
      <c r="BM220" s="258"/>
      <c r="BN220" s="1019"/>
      <c r="BO220" s="209"/>
      <c r="BP220" s="209"/>
      <c r="BQ220" s="209"/>
      <c r="BR220" s="209"/>
      <c r="BS220" s="1933"/>
      <c r="BT220" s="258"/>
      <c r="BU220" s="258"/>
      <c r="BV220" s="258"/>
      <c r="BW220" s="258"/>
      <c r="BX220" s="1019"/>
      <c r="BY220" s="209"/>
      <c r="BZ220" s="209"/>
      <c r="CA220" s="209"/>
      <c r="CB220" s="209"/>
      <c r="CC220" s="1933"/>
      <c r="CD220" s="209"/>
      <c r="CE220" s="209"/>
      <c r="CF220" s="209"/>
      <c r="CG220" s="258"/>
      <c r="CH220" s="1019"/>
      <c r="CI220" s="209"/>
      <c r="CJ220" s="209"/>
      <c r="CK220" s="209"/>
      <c r="CL220" s="209"/>
      <c r="CM220" s="1019"/>
      <c r="CN220" s="209"/>
      <c r="CO220" s="209"/>
      <c r="CP220" s="209"/>
      <c r="CQ220" s="209"/>
      <c r="CR220" s="1019"/>
      <c r="CS220" s="209"/>
      <c r="CT220" s="209"/>
      <c r="CU220" s="209"/>
      <c r="CV220" s="209"/>
      <c r="CW220" s="1019"/>
      <c r="CX220" s="209"/>
      <c r="CY220" s="209"/>
      <c r="CZ220" s="209"/>
      <c r="DA220" s="209"/>
      <c r="DB220" s="1019"/>
      <c r="DC220" s="209"/>
      <c r="DD220" s="209"/>
      <c r="DE220" s="209"/>
      <c r="DF220" s="209"/>
      <c r="DG220" s="1019"/>
      <c r="DH220" s="209"/>
      <c r="DI220" s="209"/>
      <c r="DJ220" s="209"/>
      <c r="DK220" s="209"/>
      <c r="DL220" s="1019"/>
      <c r="DM220" s="209"/>
      <c r="DN220" s="209"/>
      <c r="DO220" s="209"/>
      <c r="DP220" s="209"/>
      <c r="DQ220" s="1019"/>
      <c r="DR220" s="209"/>
      <c r="DS220" s="209"/>
      <c r="DT220" s="209"/>
      <c r="DU220" s="209"/>
      <c r="DV220" s="1019"/>
      <c r="DW220" s="209"/>
      <c r="DX220" s="209"/>
      <c r="DY220" s="209"/>
      <c r="DZ220" s="209"/>
      <c r="EA220" s="1019"/>
      <c r="EB220" s="209"/>
      <c r="EC220" s="209"/>
      <c r="ED220" s="209"/>
      <c r="EE220" s="209"/>
      <c r="EF220" s="1019"/>
      <c r="EG220" s="209"/>
      <c r="EH220" s="209"/>
      <c r="EI220" s="209"/>
      <c r="EJ220" s="209"/>
      <c r="EK220" s="1019"/>
      <c r="EL220" s="209"/>
      <c r="EM220" s="209"/>
      <c r="EN220" s="209"/>
      <c r="EO220" s="209"/>
      <c r="EP220" s="1019"/>
      <c r="EQ220" s="209"/>
      <c r="ER220" s="209"/>
      <c r="ES220" s="209"/>
      <c r="ET220" s="209"/>
      <c r="EU220" s="1019"/>
      <c r="EV220" s="4307"/>
      <c r="EW220" s="4307"/>
      <c r="EX220" s="4307"/>
      <c r="EY220" s="4307"/>
      <c r="EZ220" s="209"/>
      <c r="FA220" s="725"/>
      <c r="FB220" s="725"/>
    </row>
    <row r="221" spans="1:158" s="252" customFormat="1" ht="11.25" hidden="1" customHeight="1" outlineLevel="1" collapsed="1">
      <c r="A221" s="5675" t="s">
        <v>298</v>
      </c>
      <c r="B221" s="2620"/>
      <c r="C221" s="2620"/>
      <c r="D221" s="2620"/>
      <c r="E221" s="2620"/>
      <c r="F221" s="4316"/>
      <c r="G221" s="2620"/>
      <c r="H221" s="2620"/>
      <c r="I221" s="2620"/>
      <c r="J221" s="2620"/>
      <c r="K221" s="2592"/>
      <c r="L221" s="2621"/>
      <c r="M221" s="2621"/>
      <c r="N221" s="2621"/>
      <c r="O221" s="2621"/>
      <c r="P221" s="2592"/>
      <c r="Q221" s="2665"/>
      <c r="R221" s="2621"/>
      <c r="S221" s="2621"/>
      <c r="T221" s="2621"/>
      <c r="U221" s="2592"/>
      <c r="V221" s="2665"/>
      <c r="W221" s="2621"/>
      <c r="X221" s="2621"/>
      <c r="Y221" s="2621"/>
      <c r="Z221" s="2592"/>
      <c r="AA221" s="2665"/>
      <c r="AB221" s="2621"/>
      <c r="AC221" s="2621"/>
      <c r="AD221" s="2621"/>
      <c r="AE221" s="2592"/>
      <c r="AF221" s="2665"/>
      <c r="AG221" s="2621"/>
      <c r="AH221" s="2621"/>
      <c r="AI221" s="2621"/>
      <c r="AJ221" s="2592"/>
      <c r="AK221" s="2665">
        <f>AK208-AK212</f>
        <v>2318.7550000000001</v>
      </c>
      <c r="AL221" s="2621">
        <f>AL208-AL212</f>
        <v>2473.9910000000004</v>
      </c>
      <c r="AM221" s="2621">
        <f>AM208-AM212</f>
        <v>2654.6729999999998</v>
      </c>
      <c r="AN221" s="2621">
        <f>AN208-AN212</f>
        <v>3124.4979999999996</v>
      </c>
      <c r="AO221" s="2592">
        <f>SUM(AK221:AN221)</f>
        <v>10571.917000000001</v>
      </c>
      <c r="AP221" s="2665">
        <f>AP208-AP212</f>
        <v>3548.971</v>
      </c>
      <c r="AQ221" s="2621">
        <f>AQ208-AQ212</f>
        <v>3750.9849999999997</v>
      </c>
      <c r="AR221" s="2621">
        <f>AR208-AR212</f>
        <v>4110.3509999999997</v>
      </c>
      <c r="AS221" s="2621">
        <f>AS208-AS212</f>
        <v>4641.6790000000001</v>
      </c>
      <c r="AT221" s="2592">
        <f>SUM(AP221:AS221)</f>
        <v>16051.986000000001</v>
      </c>
      <c r="AU221" s="2665">
        <f>AU208-AU212</f>
        <v>4984.0430000000006</v>
      </c>
      <c r="AV221" s="2621">
        <f>AV208-AV212</f>
        <v>5118.0120000000006</v>
      </c>
      <c r="AW221" s="2621">
        <f>AW208-AW212</f>
        <v>5373.3909999999996</v>
      </c>
      <c r="AX221" s="2621">
        <f>AX208-AX212</f>
        <v>5966.9039999999995</v>
      </c>
      <c r="AY221" s="2592">
        <f>SUM(AU221:AX221)</f>
        <v>21442.35</v>
      </c>
      <c r="AZ221" s="2665">
        <f>AZ208-AZ212</f>
        <v>5937.99</v>
      </c>
      <c r="BA221" s="2621">
        <f>BA208-BA212</f>
        <v>6019.8970000000008</v>
      </c>
      <c r="BB221" s="2621">
        <f>BB208-BB212</f>
        <v>6241.8509999999997</v>
      </c>
      <c r="BC221" s="2621">
        <f>BC208-BC212</f>
        <v>6477.8250000000007</v>
      </c>
      <c r="BD221" s="2592">
        <f>SUM(AZ221:BC221)</f>
        <v>24677.563000000002</v>
      </c>
      <c r="BE221" s="2665">
        <f>BE208-BE212</f>
        <v>6533</v>
      </c>
      <c r="BF221" s="2621">
        <f>BF208-BF212</f>
        <v>6796</v>
      </c>
      <c r="BG221" s="2621">
        <f>BG208-BG212</f>
        <v>7455</v>
      </c>
      <c r="BH221" s="2621">
        <f>BH208-BH212</f>
        <v>8572</v>
      </c>
      <c r="BI221" s="2592">
        <f>SUM(BE221:BH221)</f>
        <v>29356</v>
      </c>
      <c r="BJ221" s="2665">
        <f>BJ208-BJ212</f>
        <v>8552</v>
      </c>
      <c r="BK221" s="2621">
        <f>BK208-BK212</f>
        <v>8609</v>
      </c>
      <c r="BL221" s="2621">
        <f>BL208-BL212</f>
        <v>9237</v>
      </c>
      <c r="BM221" s="2621">
        <f>BM208-BM212</f>
        <v>10545</v>
      </c>
      <c r="BN221" s="2592">
        <f>SUM(BJ221:BM221)</f>
        <v>36943</v>
      </c>
      <c r="BO221" s="2621"/>
      <c r="BP221" s="2621"/>
      <c r="BQ221" s="2621"/>
      <c r="BR221" s="2621"/>
      <c r="BS221" s="1678"/>
      <c r="BT221" s="2621">
        <f>BT208-BT212</f>
        <v>10712</v>
      </c>
      <c r="BU221" s="2621">
        <f>BU208-BU212</f>
        <v>11314</v>
      </c>
      <c r="BV221" s="2621">
        <f>BV208-BV212</f>
        <v>12083</v>
      </c>
      <c r="BW221" s="2621">
        <f>BW208-BW212</f>
        <v>13098</v>
      </c>
      <c r="BX221" s="2592">
        <f>SUM(BT221:BW221)</f>
        <v>47207</v>
      </c>
      <c r="BY221" s="2621"/>
      <c r="BZ221" s="2621"/>
      <c r="CA221" s="2621"/>
      <c r="CB221" s="2621"/>
      <c r="CC221" s="1678"/>
      <c r="CD221" s="2621">
        <f>CD208-CD212</f>
        <v>13061</v>
      </c>
      <c r="CE221" s="2621">
        <f>CE208-CE212</f>
        <v>13324</v>
      </c>
      <c r="CF221" s="2621">
        <f>CF208-CF212</f>
        <v>13889</v>
      </c>
      <c r="CG221" s="2621">
        <f>CG208-CG212</f>
        <v>15848</v>
      </c>
      <c r="CH221" s="2592">
        <f>SUM(CD221:CG221)</f>
        <v>56122</v>
      </c>
      <c r="CI221" s="2621">
        <f>CI208-CI212</f>
        <v>15583</v>
      </c>
      <c r="CJ221" s="2621">
        <f>CJ208-CJ212</f>
        <v>15835</v>
      </c>
      <c r="CK221" s="2621">
        <f>CK208-CK212</f>
        <v>16417</v>
      </c>
      <c r="CL221" s="2621">
        <f>CL208-CL212</f>
        <v>18719</v>
      </c>
      <c r="CM221" s="2592">
        <f>SUM(CI221:CL221)</f>
        <v>66554</v>
      </c>
      <c r="CN221" s="2621">
        <f>CN208-CN212</f>
        <v>18364</v>
      </c>
      <c r="CO221" s="2621">
        <f>CO208-CO212</f>
        <v>19301</v>
      </c>
      <c r="CP221" s="2621">
        <f>CP208-CP212</f>
        <v>20252</v>
      </c>
      <c r="CQ221" s="2621">
        <f>CQ208-CQ212</f>
        <v>22662</v>
      </c>
      <c r="CR221" s="2592">
        <f>SUM(CN221:CQ221)</f>
        <v>80579</v>
      </c>
      <c r="CS221" s="2621">
        <f>CS208-CS212</f>
        <v>21019</v>
      </c>
      <c r="CT221" s="2621">
        <f>CT208-CT212</f>
        <v>21613</v>
      </c>
      <c r="CU221" s="2621">
        <f>CU208-CU212</f>
        <v>22647</v>
      </c>
      <c r="CV221" s="2621">
        <f>CV208-CV212</f>
        <v>26266</v>
      </c>
      <c r="CW221" s="2592">
        <f>SUM(CS221:CV221)</f>
        <v>91545</v>
      </c>
      <c r="CX221" s="2621">
        <f t="shared" ref="CX221:DL221" si="917">CX208-CX212</f>
        <v>25054</v>
      </c>
      <c r="CY221" s="2621">
        <f t="shared" si="917"/>
        <v>26374</v>
      </c>
      <c r="CZ221" s="2621">
        <f t="shared" si="917"/>
        <v>27517</v>
      </c>
      <c r="DA221" s="2621">
        <f t="shared" si="917"/>
        <v>31783</v>
      </c>
      <c r="DB221" s="2592">
        <f t="shared" si="917"/>
        <v>110728</v>
      </c>
      <c r="DC221" s="2621">
        <f t="shared" si="917"/>
        <v>29835</v>
      </c>
      <c r="DD221" s="2621">
        <f t="shared" si="917"/>
        <v>31889</v>
      </c>
      <c r="DE221" s="2621">
        <f t="shared" si="917"/>
        <v>34125</v>
      </c>
      <c r="DF221" s="2621">
        <f t="shared" si="917"/>
        <v>40000</v>
      </c>
      <c r="DG221" s="2592">
        <f t="shared" si="917"/>
        <v>135849</v>
      </c>
      <c r="DH221" s="2621">
        <f t="shared" si="917"/>
        <v>37492</v>
      </c>
      <c r="DI221" s="2621">
        <f t="shared" si="917"/>
        <v>40161</v>
      </c>
      <c r="DJ221" s="2621">
        <f t="shared" si="917"/>
        <v>41038</v>
      </c>
      <c r="DK221" s="2621">
        <f t="shared" si="917"/>
        <v>46492</v>
      </c>
      <c r="DL221" s="2592">
        <f t="shared" si="917"/>
        <v>165183</v>
      </c>
      <c r="DM221" s="2621"/>
      <c r="DN221" s="2621"/>
      <c r="DO221" s="2621"/>
      <c r="DP221" s="2621"/>
      <c r="DQ221" s="2592"/>
      <c r="DR221" s="2621"/>
      <c r="DS221" s="2621"/>
      <c r="DT221" s="2621"/>
      <c r="DU221" s="2621"/>
      <c r="DV221" s="2592"/>
      <c r="DW221" s="2621"/>
      <c r="DX221" s="2621"/>
      <c r="DY221" s="2621"/>
      <c r="DZ221" s="2621"/>
      <c r="EA221" s="2592"/>
      <c r="EB221" s="2621"/>
      <c r="EC221" s="2621"/>
      <c r="ED221" s="2621"/>
      <c r="EE221" s="2621"/>
      <c r="EF221" s="2592"/>
      <c r="EG221" s="2621"/>
      <c r="EH221" s="2621"/>
      <c r="EI221" s="2621"/>
      <c r="EJ221" s="2621"/>
      <c r="EK221" s="2592"/>
      <c r="EL221" s="2621"/>
      <c r="EM221" s="2621"/>
      <c r="EN221" s="2621"/>
      <c r="EO221" s="2621"/>
      <c r="EP221" s="2592"/>
      <c r="EQ221" s="2621"/>
      <c r="ER221" s="2621"/>
      <c r="ES221" s="2621"/>
      <c r="ET221" s="2621"/>
      <c r="EU221" s="2592"/>
      <c r="EV221" s="4308"/>
      <c r="EW221" s="4308"/>
      <c r="EX221" s="4308"/>
      <c r="EY221" s="4308"/>
      <c r="EZ221" s="251"/>
      <c r="FA221" s="725"/>
      <c r="FB221" s="725"/>
    </row>
    <row r="222" spans="1:158" s="254" customFormat="1" ht="11.25" hidden="1" customHeight="1" outlineLevel="1">
      <c r="A222" s="5676" t="s">
        <v>18</v>
      </c>
      <c r="B222" s="2623"/>
      <c r="C222" s="2623"/>
      <c r="D222" s="2623"/>
      <c r="E222" s="2623"/>
      <c r="F222" s="4939"/>
      <c r="G222" s="2623"/>
      <c r="H222" s="2623"/>
      <c r="I222" s="2623"/>
      <c r="J222" s="2623"/>
      <c r="K222" s="2594"/>
      <c r="L222" s="2623"/>
      <c r="M222" s="2623"/>
      <c r="N222" s="2623"/>
      <c r="O222" s="2623"/>
      <c r="P222" s="2594"/>
      <c r="Q222" s="2663"/>
      <c r="R222" s="2623"/>
      <c r="S222" s="2623"/>
      <c r="T222" s="2623"/>
      <c r="U222" s="2594"/>
      <c r="V222" s="2663"/>
      <c r="W222" s="2623"/>
      <c r="X222" s="2623"/>
      <c r="Y222" s="2623"/>
      <c r="Z222" s="2594"/>
      <c r="AA222" s="2663"/>
      <c r="AB222" s="2623"/>
      <c r="AC222" s="2623"/>
      <c r="AD222" s="2623"/>
      <c r="AE222" s="2594"/>
      <c r="AF222" s="2663"/>
      <c r="AG222" s="2623"/>
      <c r="AH222" s="2623"/>
      <c r="AI222" s="2623"/>
      <c r="AJ222" s="2594"/>
      <c r="AK222" s="2611">
        <f t="shared" ref="AK222:BN222" si="918">AK221/AF208-1</f>
        <v>0.84538467403275019</v>
      </c>
      <c r="AL222" s="2612">
        <f t="shared" si="918"/>
        <v>0.78692664112185362</v>
      </c>
      <c r="AM222" s="2612">
        <f t="shared" si="918"/>
        <v>0.68181628122671767</v>
      </c>
      <c r="AN222" s="2612">
        <f t="shared" si="918"/>
        <v>0.62811182157404533</v>
      </c>
      <c r="AO222" s="2594">
        <f t="shared" si="918"/>
        <v>0.72221454941271435</v>
      </c>
      <c r="AP222" s="2611">
        <f t="shared" si="918"/>
        <v>0.57469245769837451</v>
      </c>
      <c r="AQ222" s="2612">
        <f t="shared" si="918"/>
        <v>0.52727961951000601</v>
      </c>
      <c r="AR222" s="2612">
        <f t="shared" si="918"/>
        <v>0.52819729387178294</v>
      </c>
      <c r="AS222" s="2612">
        <f t="shared" si="918"/>
        <v>0.44803677930855068</v>
      </c>
      <c r="AT222" s="2594">
        <f t="shared" si="918"/>
        <v>0.51363617461598232</v>
      </c>
      <c r="AU222" s="2611">
        <f t="shared" si="918"/>
        <v>0.36028451098548553</v>
      </c>
      <c r="AV222" s="2612">
        <f t="shared" si="918"/>
        <v>0.3218057404664536</v>
      </c>
      <c r="AW222" s="2612">
        <f t="shared" si="918"/>
        <v>0.26989961362222137</v>
      </c>
      <c r="AX222" s="2612">
        <f t="shared" si="918"/>
        <v>0.23623385768972827</v>
      </c>
      <c r="AY222" s="2594">
        <f t="shared" si="918"/>
        <v>0.29217597266865214</v>
      </c>
      <c r="AZ222" s="2611">
        <f t="shared" si="918"/>
        <v>0.14499436275403021</v>
      </c>
      <c r="BA222" s="2612">
        <f t="shared" si="918"/>
        <v>0.12160596600246087</v>
      </c>
      <c r="BB222" s="2612">
        <f t="shared" si="918"/>
        <v>0.12640508493264591</v>
      </c>
      <c r="BC222" s="2612">
        <f t="shared" si="918"/>
        <v>0.13628031624458181</v>
      </c>
      <c r="BD222" s="2594">
        <f t="shared" si="918"/>
        <v>0.13222942297854368</v>
      </c>
      <c r="BE222" s="2611">
        <f t="shared" si="918"/>
        <v>0.18587980736940901</v>
      </c>
      <c r="BF222" s="2612">
        <f t="shared" si="918"/>
        <v>0.2305136235566223</v>
      </c>
      <c r="BG222" s="2612">
        <f t="shared" si="918"/>
        <v>0.25402638350397688</v>
      </c>
      <c r="BH222" s="2612">
        <f t="shared" si="918"/>
        <v>0.28442085310897403</v>
      </c>
      <c r="BI222" s="2594">
        <f t="shared" si="918"/>
        <v>0.24123895063301437</v>
      </c>
      <c r="BJ222" s="2611">
        <f t="shared" si="918"/>
        <v>0.26228782287822883</v>
      </c>
      <c r="BK222" s="2612">
        <f t="shared" si="918"/>
        <v>0.26231671554252189</v>
      </c>
      <c r="BL222" s="2612">
        <f t="shared" si="918"/>
        <v>0.26777381279165513</v>
      </c>
      <c r="BM222" s="2612">
        <f t="shared" si="918"/>
        <v>0.24940758293838861</v>
      </c>
      <c r="BN222" s="2594">
        <f t="shared" si="918"/>
        <v>0.25995020633675514</v>
      </c>
      <c r="BO222" s="2623"/>
      <c r="BP222" s="2623"/>
      <c r="BQ222" s="2623"/>
      <c r="BR222" s="2623"/>
      <c r="BS222" s="2594"/>
      <c r="BT222" s="2612">
        <f>BT221/BJ208-1</f>
        <v>0.2492128279883381</v>
      </c>
      <c r="BU222" s="2612">
        <f>BU221/BK208-1</f>
        <v>0.25348991801462439</v>
      </c>
      <c r="BV222" s="2612">
        <f>BV221/BL208-1</f>
        <v>0.24310699588477358</v>
      </c>
      <c r="BW222" s="2612">
        <f>BW221/BM208-1</f>
        <v>0.23752834467120176</v>
      </c>
      <c r="BX222" s="2594">
        <f>BX221/BN208-1</f>
        <v>0.24540298113705306</v>
      </c>
      <c r="BY222" s="2623"/>
      <c r="BZ222" s="2623"/>
      <c r="CA222" s="2623"/>
      <c r="CB222" s="2623"/>
      <c r="CC222" s="2594"/>
      <c r="CD222" s="2612">
        <f>CD221/BT208-1</f>
        <v>0.22696101456082673</v>
      </c>
      <c r="CE222" s="2612">
        <f>CE221/BU208-1</f>
        <v>0.21524990879241157</v>
      </c>
      <c r="CF222" s="2612">
        <f>CF221/BV208-1</f>
        <v>0.20501474926253693</v>
      </c>
      <c r="CG222" s="2612">
        <f>CG221/BW208-1</f>
        <v>0.22805114296784201</v>
      </c>
      <c r="CH222" s="2594">
        <f>CH221/BX208-1</f>
        <v>0.21898349261511729</v>
      </c>
      <c r="CI222" s="2612">
        <f t="shared" ref="CI222:DB222" si="919">CI221/CD208-1</f>
        <v>0.20322754999613935</v>
      </c>
      <c r="CJ222" s="2612">
        <f t="shared" si="919"/>
        <v>0.20813305867093912</v>
      </c>
      <c r="CK222" s="2612">
        <f t="shared" si="919"/>
        <v>0.19361640250109069</v>
      </c>
      <c r="CL222" s="2612">
        <f t="shared" si="919"/>
        <v>0.19176163493983567</v>
      </c>
      <c r="CM222" s="2594">
        <f t="shared" si="919"/>
        <v>0.19876078459626445</v>
      </c>
      <c r="CN222" s="2612">
        <f t="shared" si="919"/>
        <v>0.19092088197146562</v>
      </c>
      <c r="CO222" s="2612">
        <f t="shared" si="919"/>
        <v>0.20971482293951738</v>
      </c>
      <c r="CP222" s="2612">
        <f t="shared" si="919"/>
        <v>0.22568540821884642</v>
      </c>
      <c r="CQ222" s="2612">
        <f t="shared" si="919"/>
        <v>0.25183671214715786</v>
      </c>
      <c r="CR222" s="2594">
        <f t="shared" si="919"/>
        <v>0.22087544128119263</v>
      </c>
      <c r="CS222" s="2612">
        <f t="shared" si="919"/>
        <v>0.21792791748754192</v>
      </c>
      <c r="CT222" s="2612">
        <f t="shared" si="919"/>
        <v>0.21921362892762453</v>
      </c>
      <c r="CU222" s="2612">
        <f t="shared" si="919"/>
        <v>0.2126907630522088</v>
      </c>
      <c r="CV222" s="2612">
        <f t="shared" si="919"/>
        <v>0.23146889211871158</v>
      </c>
      <c r="CW222" s="2594">
        <f t="shared" si="919"/>
        <v>0.22077904759364708</v>
      </c>
      <c r="CX222" s="2612">
        <f t="shared" si="919"/>
        <v>0.23680702966875655</v>
      </c>
      <c r="CY222" s="2612">
        <f t="shared" si="919"/>
        <v>0.22669767441860467</v>
      </c>
      <c r="CZ222" s="2612">
        <f t="shared" si="919"/>
        <v>0.22564696450046773</v>
      </c>
      <c r="DA222" s="2612">
        <f t="shared" si="919"/>
        <v>0.21942142418661748</v>
      </c>
      <c r="DB222" s="2594">
        <f t="shared" si="919"/>
        <v>0.22660404112017019</v>
      </c>
      <c r="DC222" s="2612">
        <f t="shared" ref="DC222:DL222" si="920">DC221/CX208-1</f>
        <v>0.20545454545454556</v>
      </c>
      <c r="DD222" s="2612">
        <f t="shared" si="920"/>
        <v>0.22602845059592469</v>
      </c>
      <c r="DE222" s="2612">
        <f t="shared" si="920"/>
        <v>0.22875558116088146</v>
      </c>
      <c r="DF222" s="2612">
        <f t="shared" si="920"/>
        <v>0.23750889459517999</v>
      </c>
      <c r="DG222" s="2594">
        <f t="shared" si="920"/>
        <v>0.22546569843489239</v>
      </c>
      <c r="DH222" s="2612">
        <f t="shared" si="920"/>
        <v>0.20375008026712904</v>
      </c>
      <c r="DI222" s="2612">
        <f t="shared" si="920"/>
        <v>0.22978228251217203</v>
      </c>
      <c r="DJ222" s="2612">
        <f t="shared" si="920"/>
        <v>0.21630112625963238</v>
      </c>
      <c r="DK222" s="2612">
        <f t="shared" si="920"/>
        <v>0.18372543028821675</v>
      </c>
      <c r="DL222" s="2594">
        <f t="shared" si="920"/>
        <v>0.20731038817708058</v>
      </c>
      <c r="DM222" s="2612"/>
      <c r="DN222" s="2612"/>
      <c r="DO222" s="2612"/>
      <c r="DP222" s="2612"/>
      <c r="DQ222" s="2588"/>
      <c r="DR222" s="2612"/>
      <c r="DS222" s="2612"/>
      <c r="DT222" s="2612"/>
      <c r="DU222" s="2612"/>
      <c r="DV222" s="2588"/>
      <c r="DW222" s="2612"/>
      <c r="DX222" s="2612"/>
      <c r="DY222" s="2612"/>
      <c r="DZ222" s="2612"/>
      <c r="EA222" s="2588"/>
      <c r="EB222" s="2612"/>
      <c r="EC222" s="2612"/>
      <c r="ED222" s="2612"/>
      <c r="EE222" s="2612"/>
      <c r="EF222" s="2588"/>
      <c r="EG222" s="2612"/>
      <c r="EH222" s="2612"/>
      <c r="EI222" s="2612"/>
      <c r="EJ222" s="2612"/>
      <c r="EK222" s="2588"/>
      <c r="EL222" s="2612"/>
      <c r="EM222" s="2612"/>
      <c r="EN222" s="2612"/>
      <c r="EO222" s="2612"/>
      <c r="EP222" s="2588"/>
      <c r="EQ222" s="2612"/>
      <c r="ER222" s="2612"/>
      <c r="ES222" s="2612"/>
      <c r="ET222" s="2612"/>
      <c r="EU222" s="2588"/>
      <c r="EV222" s="577"/>
      <c r="EW222" s="577"/>
      <c r="EX222" s="577"/>
      <c r="EY222" s="577"/>
      <c r="EZ222" s="253"/>
      <c r="FA222" s="725"/>
      <c r="FB222" s="725"/>
    </row>
    <row r="223" spans="1:158" s="214" customFormat="1" ht="11.25" hidden="1" customHeight="1" outlineLevel="1">
      <c r="A223" s="5640" t="s">
        <v>297</v>
      </c>
      <c r="B223" s="2615"/>
      <c r="C223" s="2615"/>
      <c r="D223" s="2615"/>
      <c r="E223" s="2615"/>
      <c r="F223" s="4301"/>
      <c r="G223" s="2615"/>
      <c r="H223" s="2615"/>
      <c r="I223" s="2615"/>
      <c r="J223" s="2615"/>
      <c r="K223" s="2590"/>
      <c r="L223" s="2606"/>
      <c r="M223" s="2606"/>
      <c r="N223" s="2606"/>
      <c r="O223" s="2606"/>
      <c r="P223" s="2590"/>
      <c r="Q223" s="2655"/>
      <c r="R223" s="2606"/>
      <c r="S223" s="2606"/>
      <c r="T223" s="2606"/>
      <c r="U223" s="2590"/>
      <c r="V223" s="2655"/>
      <c r="W223" s="2606"/>
      <c r="X223" s="2606"/>
      <c r="Y223" s="2606"/>
      <c r="Z223" s="2590"/>
      <c r="AA223" s="2655"/>
      <c r="AB223" s="2606"/>
      <c r="AC223" s="2606"/>
      <c r="AD223" s="2606"/>
      <c r="AE223" s="2590"/>
      <c r="AF223" s="2655"/>
      <c r="AG223" s="2606"/>
      <c r="AH223" s="2606"/>
      <c r="AI223" s="2606"/>
      <c r="AJ223" s="2590"/>
      <c r="AK223" s="2655">
        <f t="shared" ref="AK223:BN223" si="921">(AK209-AK222)*10000</f>
        <v>-517.30348317148071</v>
      </c>
      <c r="AL223" s="2606">
        <f t="shared" si="921"/>
        <v>-130.01130376057768</v>
      </c>
      <c r="AM223" s="2606">
        <f t="shared" si="921"/>
        <v>221.7356708074214</v>
      </c>
      <c r="AN223" s="2606">
        <f t="shared" si="921"/>
        <v>422.07438618139025</v>
      </c>
      <c r="AO223" s="2590">
        <f t="shared" si="921"/>
        <v>53.758537955432843</v>
      </c>
      <c r="AP223" s="2655">
        <f t="shared" si="921"/>
        <v>510.25954462663225</v>
      </c>
      <c r="AQ223" s="2606">
        <f t="shared" si="921"/>
        <v>492.67281516911066</v>
      </c>
      <c r="AR223" s="2606">
        <f t="shared" si="921"/>
        <v>449.86881304902136</v>
      </c>
      <c r="AS223" s="2606">
        <f t="shared" si="921"/>
        <v>577.13341265538179</v>
      </c>
      <c r="AT223" s="2590">
        <f t="shared" si="921"/>
        <v>511.08367939136201</v>
      </c>
      <c r="AU223" s="2655">
        <f t="shared" si="921"/>
        <v>551.3144072373932</v>
      </c>
      <c r="AV223" s="2606">
        <f t="shared" si="921"/>
        <v>643.59753459788612</v>
      </c>
      <c r="AW223" s="2606">
        <f t="shared" si="921"/>
        <v>397.03631298845244</v>
      </c>
      <c r="AX223" s="2606">
        <f t="shared" si="921"/>
        <v>-551.10356416907086</v>
      </c>
      <c r="AY223" s="2590">
        <f t="shared" si="921"/>
        <v>212.84819693110802</v>
      </c>
      <c r="AZ223" s="2655">
        <f t="shared" si="921"/>
        <v>-827.2202910774173</v>
      </c>
      <c r="BA223" s="2606">
        <f t="shared" si="921"/>
        <v>-925.99286184335438</v>
      </c>
      <c r="BB223" s="2606">
        <f t="shared" si="921"/>
        <v>-535.96651093561047</v>
      </c>
      <c r="BC223" s="2606">
        <f t="shared" si="921"/>
        <v>343.80512283665786</v>
      </c>
      <c r="BD223" s="2590">
        <f t="shared" si="921"/>
        <v>-471.19710216076083</v>
      </c>
      <c r="BE223" s="2655">
        <f t="shared" si="921"/>
        <v>439.2819736467124</v>
      </c>
      <c r="BF223" s="2606">
        <f t="shared" si="921"/>
        <v>43.455454628251729</v>
      </c>
      <c r="BG223" s="2606">
        <f t="shared" si="921"/>
        <v>-284.27962281981411</v>
      </c>
      <c r="BH223" s="2606">
        <f t="shared" si="921"/>
        <v>-197.78762553707807</v>
      </c>
      <c r="BI223" s="2590">
        <f t="shared" si="921"/>
        <v>-14.798802041202652</v>
      </c>
      <c r="BJ223" s="2655">
        <f t="shared" si="921"/>
        <v>33.94833948339393</v>
      </c>
      <c r="BK223" s="2606">
        <f t="shared" si="921"/>
        <v>611.43695014662876</v>
      </c>
      <c r="BL223" s="2606">
        <f t="shared" si="921"/>
        <v>662.91517979687239</v>
      </c>
      <c r="BM223" s="2606">
        <f t="shared" si="921"/>
        <v>46.208530805686991</v>
      </c>
      <c r="BN223" s="2590">
        <f t="shared" si="921"/>
        <v>328.09249343473954</v>
      </c>
      <c r="BO223" s="2606"/>
      <c r="BP223" s="2606"/>
      <c r="BQ223" s="2606"/>
      <c r="BR223" s="2606"/>
      <c r="BS223" s="1932"/>
      <c r="BT223" s="2606">
        <f>(BT209-BT222)*10000</f>
        <v>-78.134110787171366</v>
      </c>
      <c r="BU223" s="2606">
        <f>(BU209-BU222)*10000</f>
        <v>-387.7686682916015</v>
      </c>
      <c r="BV223" s="2606">
        <f>(BV209-BV222)*10000</f>
        <v>-573.04526748971125</v>
      </c>
      <c r="BW223" s="2606">
        <f>(BW209-BW222)*10000</f>
        <v>-182.35071806500304</v>
      </c>
      <c r="BX223" s="2590">
        <f>(BX209-BX222)*10000</f>
        <v>-307.87495053422822</v>
      </c>
      <c r="BY223" s="2606"/>
      <c r="BZ223" s="2606"/>
      <c r="CA223" s="2606"/>
      <c r="CB223" s="2606"/>
      <c r="CC223" s="1932"/>
      <c r="CD223" s="2606">
        <f t="shared" ref="CD223:DB223" si="922">(CD209-CD222)*10000</f>
        <v>-103.33489901362292</v>
      </c>
      <c r="CE223" s="2606">
        <f t="shared" si="922"/>
        <v>-197.9204669828527</v>
      </c>
      <c r="CF223" s="2606">
        <f t="shared" si="922"/>
        <v>-117.12649661634656</v>
      </c>
      <c r="CG223" s="2606">
        <f t="shared" si="922"/>
        <v>-109.25997675319765</v>
      </c>
      <c r="CH223" s="2590">
        <f t="shared" si="922"/>
        <v>-130.97306689834997</v>
      </c>
      <c r="CI223" s="2606">
        <f t="shared" si="922"/>
        <v>-125.85900702648533</v>
      </c>
      <c r="CJ223" s="2606">
        <f t="shared" si="922"/>
        <v>91.554131380178205</v>
      </c>
      <c r="CK223" s="2606">
        <f t="shared" si="922"/>
        <v>77.068489166787217</v>
      </c>
      <c r="CL223" s="2606">
        <f t="shared" si="922"/>
        <v>-392.18182975743201</v>
      </c>
      <c r="CM223" s="2590">
        <f t="shared" si="922"/>
        <v>-99.605540445615318</v>
      </c>
      <c r="CN223" s="2606">
        <f t="shared" si="922"/>
        <v>-717.250324254215</v>
      </c>
      <c r="CO223" s="2606">
        <f t="shared" si="922"/>
        <v>-986.52460043873407</v>
      </c>
      <c r="CP223" s="2606">
        <f t="shared" si="922"/>
        <v>-954.42716213762549</v>
      </c>
      <c r="CQ223" s="2606">
        <f t="shared" si="922"/>
        <v>-736.34204275534466</v>
      </c>
      <c r="CR223" s="2590">
        <f t="shared" si="922"/>
        <v>-846.95686428993383</v>
      </c>
      <c r="CS223" s="2606">
        <f t="shared" si="922"/>
        <v>-441.53436087611465</v>
      </c>
      <c r="CT223" s="2606">
        <f t="shared" si="922"/>
        <v>-63.744570429289382</v>
      </c>
      <c r="CU223" s="2606">
        <f t="shared" si="922"/>
        <v>-104.95314591700166</v>
      </c>
      <c r="CV223" s="2606">
        <f t="shared" si="922"/>
        <v>-94.706737306013977</v>
      </c>
      <c r="CW223" s="2590">
        <f t="shared" si="922"/>
        <v>-169.75823120724431</v>
      </c>
      <c r="CX223" s="2606">
        <f t="shared" si="922"/>
        <v>-150.07158019450185</v>
      </c>
      <c r="CY223" s="2606">
        <f t="shared" si="922"/>
        <v>-169.30232558139525</v>
      </c>
      <c r="CZ223" s="2606">
        <f t="shared" si="922"/>
        <v>113.58068682909339</v>
      </c>
      <c r="DA223" s="2606">
        <f t="shared" si="922"/>
        <v>207.18232044198982</v>
      </c>
      <c r="DB223" s="2590">
        <f t="shared" si="922"/>
        <v>14.068592697624727</v>
      </c>
      <c r="DC223" s="2606">
        <f t="shared" ref="DC223:DL223" si="923">(DC209-DC222)*10000</f>
        <v>529.69696969696884</v>
      </c>
      <c r="DD223" s="2606">
        <f t="shared" si="923"/>
        <v>295.27104959630844</v>
      </c>
      <c r="DE223" s="2606">
        <f t="shared" si="923"/>
        <v>-138.62883479763832</v>
      </c>
      <c r="DF223" s="2606">
        <f t="shared" si="923"/>
        <v>-223.98910992172949</v>
      </c>
      <c r="DG223" s="2590">
        <f t="shared" si="923"/>
        <v>87.501691398674808</v>
      </c>
      <c r="DH223" s="2606">
        <f t="shared" si="923"/>
        <v>-370.19199897258216</v>
      </c>
      <c r="DI223" s="2606">
        <f t="shared" si="923"/>
        <v>-372.66129773096293</v>
      </c>
      <c r="DJ223" s="2606">
        <f t="shared" si="923"/>
        <v>-159.75103734439779</v>
      </c>
      <c r="DK223" s="2606">
        <f t="shared" si="923"/>
        <v>-106.17170791322961</v>
      </c>
      <c r="DL223" s="2590">
        <f t="shared" si="923"/>
        <v>-243.09489179134448</v>
      </c>
      <c r="DM223" s="2606"/>
      <c r="DN223" s="2606"/>
      <c r="DO223" s="2606"/>
      <c r="DP223" s="2606"/>
      <c r="DQ223" s="2590"/>
      <c r="DR223" s="2606"/>
      <c r="DS223" s="2606"/>
      <c r="DT223" s="2606"/>
      <c r="DU223" s="2606"/>
      <c r="DV223" s="2590"/>
      <c r="DW223" s="2606"/>
      <c r="DX223" s="2606"/>
      <c r="DY223" s="2606"/>
      <c r="DZ223" s="2606"/>
      <c r="EA223" s="2590"/>
      <c r="EB223" s="2606"/>
      <c r="EC223" s="2606"/>
      <c r="ED223" s="2606"/>
      <c r="EE223" s="2606"/>
      <c r="EF223" s="2590"/>
      <c r="EG223" s="2606"/>
      <c r="EH223" s="2606"/>
      <c r="EI223" s="2606"/>
      <c r="EJ223" s="2606"/>
      <c r="EK223" s="2590"/>
      <c r="EL223" s="2606"/>
      <c r="EM223" s="2606"/>
      <c r="EN223" s="2606"/>
      <c r="EO223" s="2606"/>
      <c r="EP223" s="2590"/>
      <c r="EQ223" s="2606"/>
      <c r="ER223" s="2606"/>
      <c r="ES223" s="2606"/>
      <c r="ET223" s="2606"/>
      <c r="EU223" s="2590"/>
      <c r="EV223" s="574"/>
      <c r="EW223" s="574"/>
      <c r="EX223" s="574"/>
      <c r="EY223" s="574"/>
      <c r="EZ223" s="51"/>
      <c r="FA223" s="725"/>
      <c r="FB223" s="725"/>
    </row>
    <row r="224" spans="1:158" s="211" customFormat="1" ht="11.25" hidden="1" customHeight="1" outlineLevel="1">
      <c r="A224" s="5363"/>
      <c r="B224" s="2612"/>
      <c r="C224" s="2612"/>
      <c r="D224" s="2612"/>
      <c r="E224" s="2612"/>
      <c r="F224" s="4303"/>
      <c r="G224" s="2612"/>
      <c r="H224" s="2612"/>
      <c r="I224" s="2612"/>
      <c r="J224" s="2612"/>
      <c r="K224" s="1019"/>
      <c r="L224" s="209"/>
      <c r="M224" s="209"/>
      <c r="N224" s="209"/>
      <c r="O224" s="209"/>
      <c r="P224" s="1019"/>
      <c r="Q224" s="2576"/>
      <c r="R224" s="209"/>
      <c r="S224" s="209"/>
      <c r="T224" s="209"/>
      <c r="U224" s="1019"/>
      <c r="V224" s="2576"/>
      <c r="W224" s="209"/>
      <c r="X224" s="209"/>
      <c r="Y224" s="209"/>
      <c r="Z224" s="1019"/>
      <c r="AA224" s="2576"/>
      <c r="AB224" s="209"/>
      <c r="AC224" s="209"/>
      <c r="AD224" s="209"/>
      <c r="AE224" s="1019"/>
      <c r="AF224" s="2576"/>
      <c r="AG224" s="209"/>
      <c r="AH224" s="209"/>
      <c r="AI224" s="209"/>
      <c r="AJ224" s="1019"/>
      <c r="AK224" s="2576"/>
      <c r="AL224" s="209"/>
      <c r="AM224" s="209"/>
      <c r="AN224" s="209"/>
      <c r="AO224" s="1019"/>
      <c r="AP224" s="2576"/>
      <c r="AQ224" s="209"/>
      <c r="AR224" s="209"/>
      <c r="AS224" s="209"/>
      <c r="AT224" s="1019"/>
      <c r="AU224" s="2576"/>
      <c r="AV224" s="209"/>
      <c r="AW224" s="209"/>
      <c r="AX224" s="209"/>
      <c r="AY224" s="1019"/>
      <c r="AZ224" s="2576"/>
      <c r="BA224" s="209"/>
      <c r="BB224" s="209"/>
      <c r="BC224" s="209"/>
      <c r="BD224" s="1019"/>
      <c r="BE224" s="2576"/>
      <c r="BF224" s="209"/>
      <c r="BG224" s="209"/>
      <c r="BH224" s="209"/>
      <c r="BI224" s="1019"/>
      <c r="BJ224" s="2576"/>
      <c r="BK224" s="209"/>
      <c r="BL224" s="209"/>
      <c r="BM224" s="209"/>
      <c r="BN224" s="1019"/>
      <c r="BO224" s="209"/>
      <c r="BP224" s="209"/>
      <c r="BQ224" s="209"/>
      <c r="BR224" s="209"/>
      <c r="BS224" s="1933"/>
      <c r="BT224" s="209"/>
      <c r="BU224" s="209"/>
      <c r="BV224" s="209"/>
      <c r="BW224" s="209"/>
      <c r="BX224" s="1019"/>
      <c r="BY224" s="209"/>
      <c r="BZ224" s="209"/>
      <c r="CA224" s="209"/>
      <c r="CB224" s="209"/>
      <c r="CC224" s="1933"/>
      <c r="CD224" s="209"/>
      <c r="CE224" s="209"/>
      <c r="CF224" s="209"/>
      <c r="CG224" s="209"/>
      <c r="CH224" s="1019"/>
      <c r="CI224" s="209"/>
      <c r="CJ224" s="209"/>
      <c r="CK224" s="209"/>
      <c r="CL224" s="209"/>
      <c r="CM224" s="1019"/>
      <c r="CN224" s="209"/>
      <c r="CO224" s="209"/>
      <c r="CP224" s="209"/>
      <c r="CQ224" s="209"/>
      <c r="CR224" s="1019"/>
      <c r="CS224" s="209"/>
      <c r="CT224" s="209"/>
      <c r="CU224" s="209"/>
      <c r="CV224" s="209"/>
      <c r="CW224" s="1019"/>
      <c r="CX224" s="209"/>
      <c r="CY224" s="209"/>
      <c r="CZ224" s="209"/>
      <c r="DA224" s="209"/>
      <c r="DB224" s="1019"/>
      <c r="DC224" s="209"/>
      <c r="DD224" s="209"/>
      <c r="DE224" s="209"/>
      <c r="DF224" s="209"/>
      <c r="DG224" s="1019"/>
      <c r="DH224" s="209"/>
      <c r="DI224" s="209"/>
      <c r="DJ224" s="209"/>
      <c r="DK224" s="209"/>
      <c r="DL224" s="1933"/>
      <c r="DM224" s="209"/>
      <c r="DN224" s="209"/>
      <c r="DO224" s="209"/>
      <c r="DP224" s="209"/>
      <c r="DQ224" s="4303"/>
      <c r="DR224" s="209"/>
      <c r="DS224" s="209"/>
      <c r="DT224" s="209"/>
      <c r="DU224" s="209"/>
      <c r="DV224" s="4303"/>
      <c r="DW224" s="209"/>
      <c r="DX224" s="209"/>
      <c r="DY224" s="209"/>
      <c r="DZ224" s="209"/>
      <c r="EA224" s="4303"/>
      <c r="EB224" s="209"/>
      <c r="EC224" s="209"/>
      <c r="ED224" s="209"/>
      <c r="EE224" s="209"/>
      <c r="EF224" s="4303"/>
      <c r="EG224" s="209"/>
      <c r="EH224" s="209"/>
      <c r="EI224" s="209"/>
      <c r="EJ224" s="209"/>
      <c r="EK224" s="4303"/>
      <c r="EL224" s="209"/>
      <c r="EM224" s="209"/>
      <c r="EN224" s="209"/>
      <c r="EO224" s="209"/>
      <c r="EP224" s="4303"/>
      <c r="EQ224" s="209"/>
      <c r="ER224" s="209"/>
      <c r="ES224" s="209"/>
      <c r="ET224" s="209"/>
      <c r="EU224" s="4303"/>
      <c r="EV224" s="4303"/>
      <c r="EW224" s="4303"/>
      <c r="EX224" s="4303"/>
      <c r="EY224" s="4303"/>
      <c r="EZ224" s="209"/>
      <c r="FA224" s="725"/>
      <c r="FB224" s="725"/>
    </row>
    <row r="225" spans="1:158" s="252" customFormat="1" ht="11.25" customHeight="1" collapsed="1">
      <c r="A225" s="5677" t="s">
        <v>723</v>
      </c>
      <c r="B225" s="2983"/>
      <c r="C225" s="2983"/>
      <c r="D225" s="2983"/>
      <c r="E225" s="2983"/>
      <c r="F225" s="5112"/>
      <c r="G225" s="2983"/>
      <c r="H225" s="2983"/>
      <c r="I225" s="2983"/>
      <c r="J225" s="2983"/>
      <c r="K225" s="5112"/>
      <c r="L225" s="2985"/>
      <c r="M225" s="2985"/>
      <c r="N225" s="2985"/>
      <c r="O225" s="2985"/>
      <c r="P225" s="5112"/>
      <c r="Q225" s="3471"/>
      <c r="R225" s="2985"/>
      <c r="S225" s="2985"/>
      <c r="T225" s="2985"/>
      <c r="U225" s="5112"/>
      <c r="V225" s="3471"/>
      <c r="W225" s="2985"/>
      <c r="X225" s="2985"/>
      <c r="Y225" s="2985"/>
      <c r="Z225" s="5112"/>
      <c r="AA225" s="3471"/>
      <c r="AB225" s="2985"/>
      <c r="AC225" s="2985"/>
      <c r="AD225" s="2985"/>
      <c r="AE225" s="5112"/>
      <c r="AF225" s="3471"/>
      <c r="AG225" s="2985"/>
      <c r="AH225" s="2985"/>
      <c r="AI225" s="2985"/>
      <c r="AJ225" s="5112"/>
      <c r="AK225" s="3471" t="s">
        <v>116</v>
      </c>
      <c r="AL225" s="2985" t="s">
        <v>116</v>
      </c>
      <c r="AM225" s="2985" t="s">
        <v>116</v>
      </c>
      <c r="AN225" s="2985" t="s">
        <v>116</v>
      </c>
      <c r="AO225" s="5112"/>
      <c r="AP225" s="3471" t="s">
        <v>116</v>
      </c>
      <c r="AQ225" s="2985" t="s">
        <v>116</v>
      </c>
      <c r="AR225" s="2985" t="s">
        <v>116</v>
      </c>
      <c r="AS225" s="2985" t="s">
        <v>116</v>
      </c>
      <c r="AT225" s="5112"/>
      <c r="AU225" s="2985">
        <f t="shared" ref="AU225:BN225" si="924">AU216-AU212</f>
        <v>4984.0430000000006</v>
      </c>
      <c r="AV225" s="2985">
        <f t="shared" si="924"/>
        <v>5113.2120000000004</v>
      </c>
      <c r="AW225" s="2985">
        <f t="shared" si="924"/>
        <v>5339.1909999999998</v>
      </c>
      <c r="AX225" s="2985">
        <f t="shared" si="924"/>
        <v>5838.0039999999999</v>
      </c>
      <c r="AY225" s="5112">
        <f t="shared" si="924"/>
        <v>21274.45</v>
      </c>
      <c r="AZ225" s="2985">
        <f t="shared" si="924"/>
        <v>5783.99</v>
      </c>
      <c r="BA225" s="2985">
        <f t="shared" si="924"/>
        <v>5895.8970000000008</v>
      </c>
      <c r="BB225" s="2985">
        <f t="shared" si="924"/>
        <v>6202.8509999999997</v>
      </c>
      <c r="BC225" s="2985">
        <f t="shared" si="924"/>
        <v>6469.8250000000007</v>
      </c>
      <c r="BD225" s="5112">
        <f t="shared" si="924"/>
        <v>24352.563000000002</v>
      </c>
      <c r="BE225" s="2985">
        <f t="shared" si="924"/>
        <v>6523</v>
      </c>
      <c r="BF225" s="2985">
        <f t="shared" si="924"/>
        <v>6717</v>
      </c>
      <c r="BG225" s="2985">
        <f t="shared" si="924"/>
        <v>7366</v>
      </c>
      <c r="BH225" s="2985">
        <f t="shared" si="924"/>
        <v>8547</v>
      </c>
      <c r="BI225" s="5112">
        <f t="shared" si="924"/>
        <v>29153</v>
      </c>
      <c r="BJ225" s="2985">
        <f t="shared" si="924"/>
        <v>8538</v>
      </c>
      <c r="BK225" s="2985">
        <f t="shared" si="924"/>
        <v>8605</v>
      </c>
      <c r="BL225" s="2985">
        <f t="shared" si="924"/>
        <v>9236</v>
      </c>
      <c r="BM225" s="2985">
        <f t="shared" si="924"/>
        <v>10520</v>
      </c>
      <c r="BN225" s="5112">
        <f t="shared" si="924"/>
        <v>36899</v>
      </c>
      <c r="BO225" s="2985"/>
      <c r="BP225" s="2985"/>
      <c r="BQ225" s="2985"/>
      <c r="BR225" s="2985"/>
      <c r="BS225" s="5112"/>
      <c r="BT225" s="2985">
        <f>BT216-BT212</f>
        <v>10675</v>
      </c>
      <c r="BU225" s="2985">
        <f>BU216-BU212</f>
        <v>11233</v>
      </c>
      <c r="BV225" s="2985">
        <f>BV216-BV212</f>
        <v>12021</v>
      </c>
      <c r="BW225" s="2985">
        <f>BW216-BW212</f>
        <v>13061</v>
      </c>
      <c r="BX225" s="5112">
        <f>BX216-BX212</f>
        <v>46990</v>
      </c>
      <c r="BY225" s="2985"/>
      <c r="BZ225" s="2985"/>
      <c r="CA225" s="2985"/>
      <c r="CB225" s="2985"/>
      <c r="CC225" s="5112"/>
      <c r="CD225" s="2985">
        <f t="shared" ref="CD225:CW225" si="925">CD216-CD212</f>
        <v>13026</v>
      </c>
      <c r="CE225" s="2985">
        <f t="shared" si="925"/>
        <v>13289</v>
      </c>
      <c r="CF225" s="2985">
        <f t="shared" si="925"/>
        <v>13867</v>
      </c>
      <c r="CG225" s="2985">
        <f t="shared" si="925"/>
        <v>15845</v>
      </c>
      <c r="CH225" s="5112">
        <f t="shared" si="925"/>
        <v>56027</v>
      </c>
      <c r="CI225" s="2985">
        <f t="shared" si="925"/>
        <v>15575</v>
      </c>
      <c r="CJ225" s="2985">
        <f t="shared" si="925"/>
        <v>15829</v>
      </c>
      <c r="CK225" s="2985">
        <f t="shared" si="925"/>
        <v>16407</v>
      </c>
      <c r="CL225" s="2985">
        <f t="shared" si="925"/>
        <v>18571</v>
      </c>
      <c r="CM225" s="5112">
        <f t="shared" si="925"/>
        <v>66382</v>
      </c>
      <c r="CN225" s="2985">
        <f t="shared" si="925"/>
        <v>18053</v>
      </c>
      <c r="CO225" s="2985">
        <f t="shared" si="925"/>
        <v>18830</v>
      </c>
      <c r="CP225" s="2985">
        <f t="shared" si="925"/>
        <v>19966</v>
      </c>
      <c r="CQ225" s="2985">
        <f t="shared" si="925"/>
        <v>22330</v>
      </c>
      <c r="CR225" s="5112">
        <f t="shared" si="925"/>
        <v>79179</v>
      </c>
      <c r="CS225" s="2985">
        <f t="shared" si="925"/>
        <v>20850</v>
      </c>
      <c r="CT225" s="2985">
        <f t="shared" si="925"/>
        <v>21535</v>
      </c>
      <c r="CU225" s="2985">
        <f t="shared" si="925"/>
        <v>22542</v>
      </c>
      <c r="CV225" s="2985">
        <f t="shared" si="925"/>
        <v>26079</v>
      </c>
      <c r="CW225" s="5112">
        <f t="shared" si="925"/>
        <v>91006</v>
      </c>
      <c r="CX225" s="2985">
        <f t="shared" ref="CX225:DC225" si="926">CX216-CX212</f>
        <v>24837</v>
      </c>
      <c r="CY225" s="2985">
        <f t="shared" si="926"/>
        <v>26371</v>
      </c>
      <c r="CZ225" s="2985">
        <f t="shared" si="926"/>
        <v>27708</v>
      </c>
      <c r="DA225" s="2985">
        <f t="shared" si="926"/>
        <v>31981</v>
      </c>
      <c r="DB225" s="5112">
        <f t="shared" si="926"/>
        <v>110897</v>
      </c>
      <c r="DC225" s="2985">
        <f t="shared" si="926"/>
        <v>30074</v>
      </c>
      <c r="DD225" s="2985">
        <f t="shared" ref="DD225:DL225" si="927">DD216-DD212</f>
        <v>31992</v>
      </c>
      <c r="DE225" s="2985">
        <f t="shared" si="927"/>
        <v>34045</v>
      </c>
      <c r="DF225" s="2985">
        <f t="shared" si="927"/>
        <v>39876</v>
      </c>
      <c r="DG225" s="5112">
        <f t="shared" si="927"/>
        <v>135987</v>
      </c>
      <c r="DH225" s="2985">
        <f t="shared" si="927"/>
        <v>37355</v>
      </c>
      <c r="DI225" s="2985">
        <f t="shared" si="927"/>
        <v>40053</v>
      </c>
      <c r="DJ225" s="2985">
        <f t="shared" si="927"/>
        <v>40919</v>
      </c>
      <c r="DK225" s="2985">
        <f t="shared" si="927"/>
        <v>46401</v>
      </c>
      <c r="DL225" s="5112">
        <f t="shared" si="927"/>
        <v>164728</v>
      </c>
      <c r="DM225" s="2985">
        <f t="shared" ref="DM225:DV225" si="928">DM216-DM212</f>
        <v>41502</v>
      </c>
      <c r="DN225" s="2985">
        <f t="shared" si="928"/>
        <v>38852</v>
      </c>
      <c r="DO225" s="2985">
        <f t="shared" si="928"/>
        <v>46250</v>
      </c>
      <c r="DP225" s="2985">
        <f t="shared" si="928"/>
        <v>56611</v>
      </c>
      <c r="DQ225" s="5112">
        <f t="shared" si="928"/>
        <v>183215</v>
      </c>
      <c r="DR225" s="5729">
        <f t="shared" si="928"/>
        <v>54322</v>
      </c>
      <c r="DS225" s="5729">
        <f>DS216-DS212</f>
        <v>60000</v>
      </c>
      <c r="DT225" s="5729">
        <f>DT216-DT212</f>
        <v>64441</v>
      </c>
      <c r="DU225" s="5729">
        <f t="shared" si="928"/>
        <v>75395</v>
      </c>
      <c r="DV225" s="5730">
        <f t="shared" si="928"/>
        <v>254158</v>
      </c>
      <c r="DW225" s="5729">
        <f t="shared" ref="DW225:EF225" si="929">DW216-DW212</f>
        <v>69724</v>
      </c>
      <c r="DX225" s="5729">
        <f t="shared" si="929"/>
        <v>71992</v>
      </c>
      <c r="DY225" s="5729">
        <f t="shared" si="929"/>
        <v>72372</v>
      </c>
      <c r="DZ225" s="5729">
        <f t="shared" si="929"/>
        <v>80112</v>
      </c>
      <c r="EA225" s="5730">
        <f t="shared" si="929"/>
        <v>294200</v>
      </c>
      <c r="EB225" s="5729">
        <f>EB216-EB212</f>
        <v>71877</v>
      </c>
      <c r="EC225" s="5729">
        <f>EC216-EC212</f>
        <v>75747</v>
      </c>
      <c r="ED225" s="5729">
        <f>ED216-ED212</f>
        <v>76267</v>
      </c>
      <c r="EE225" s="5729">
        <f t="shared" ref="EE225" si="930">EE216-EE212</f>
        <v>85220</v>
      </c>
      <c r="EF225" s="5112">
        <f t="shared" si="929"/>
        <v>309111</v>
      </c>
      <c r="EG225" s="5729">
        <f>EG216-EG212</f>
        <v>80857</v>
      </c>
      <c r="EH225" s="5729">
        <f>EH216-EH212</f>
        <v>85907</v>
      </c>
      <c r="EI225" s="5729">
        <f>EI216-EI212</f>
        <v>89268</v>
      </c>
      <c r="EJ225" s="5729">
        <f t="shared" ref="EJ225" si="931">EJ216-EJ212</f>
        <v>96714</v>
      </c>
      <c r="EK225" s="5112">
        <f>EK216-EK212</f>
        <v>352746</v>
      </c>
      <c r="EL225" s="5729">
        <f>EL216-EL212</f>
        <v>91579</v>
      </c>
      <c r="EM225" s="5729">
        <f>EM216-EM212</f>
        <v>95997</v>
      </c>
      <c r="EN225" s="5729">
        <f>EN216-EN212</f>
        <v>101214</v>
      </c>
      <c r="EO225" s="2985">
        <f t="shared" ref="EO225" si="932">EO216-EO212</f>
        <v>111464.11000000002</v>
      </c>
      <c r="EP225" s="5112">
        <f>EP216-EP212</f>
        <v>400254.11</v>
      </c>
      <c r="EQ225" s="2985">
        <f t="shared" ref="EQ225:ET225" si="933">EQ216-EQ212</f>
        <v>103727.66099999999</v>
      </c>
      <c r="ER225" s="2985">
        <f t="shared" si="933"/>
        <v>112093.39800000002</v>
      </c>
      <c r="ES225" s="2985">
        <f t="shared" si="933"/>
        <v>119447.927</v>
      </c>
      <c r="ET225" s="2985">
        <f t="shared" si="933"/>
        <v>130688.07070798545</v>
      </c>
      <c r="EU225" s="5112">
        <f>EU216-EU212</f>
        <v>465957.05670798547</v>
      </c>
      <c r="EV225" s="5214">
        <f>EV208-EV212</f>
        <v>530735.52121275011</v>
      </c>
      <c r="EW225" s="5214">
        <f>EW208-EW212</f>
        <v>594221.93512936914</v>
      </c>
      <c r="EX225" s="5214">
        <f>EX208-EX212</f>
        <v>657093.77916525898</v>
      </c>
      <c r="EY225" s="5214">
        <f>EY208-EY212</f>
        <v>722335.86960670422</v>
      </c>
      <c r="EZ225" s="251"/>
      <c r="FA225" s="1319">
        <f>(EV225/EK225)^(1/3)-1</f>
        <v>0.14587880326315839</v>
      </c>
      <c r="FB225" s="1319">
        <f>(EX225/EK225)^(1/5)-1</f>
        <v>0.13248654681469496</v>
      </c>
    </row>
    <row r="226" spans="1:158" s="267" customFormat="1" ht="11.25" customHeight="1">
      <c r="A226" s="5678" t="s">
        <v>19</v>
      </c>
      <c r="B226" s="3510"/>
      <c r="C226" s="3510"/>
      <c r="D226" s="3510"/>
      <c r="E226" s="3510"/>
      <c r="F226" s="5113"/>
      <c r="G226" s="3510"/>
      <c r="H226" s="3510"/>
      <c r="I226" s="3510"/>
      <c r="J226" s="3510"/>
      <c r="K226" s="5113"/>
      <c r="L226" s="3510"/>
      <c r="M226" s="3510"/>
      <c r="N226" s="3510"/>
      <c r="O226" s="3510"/>
      <c r="P226" s="5113"/>
      <c r="Q226" s="3509"/>
      <c r="R226" s="3510"/>
      <c r="S226" s="3510"/>
      <c r="T226" s="3510"/>
      <c r="U226" s="5113"/>
      <c r="V226" s="3509"/>
      <c r="W226" s="3510"/>
      <c r="X226" s="3510"/>
      <c r="Y226" s="3510"/>
      <c r="Z226" s="5113"/>
      <c r="AA226" s="3509"/>
      <c r="AB226" s="3510"/>
      <c r="AC226" s="3510"/>
      <c r="AD226" s="3510"/>
      <c r="AE226" s="5113"/>
      <c r="AF226" s="3509"/>
      <c r="AG226" s="3510"/>
      <c r="AH226" s="3510"/>
      <c r="AI226" s="3510"/>
      <c r="AJ226" s="5113"/>
      <c r="AK226" s="3511" t="s">
        <v>116</v>
      </c>
      <c r="AL226" s="3512" t="s">
        <v>116</v>
      </c>
      <c r="AM226" s="3512" t="s">
        <v>116</v>
      </c>
      <c r="AN226" s="3512" t="s">
        <v>116</v>
      </c>
      <c r="AO226" s="5113"/>
      <c r="AP226" s="3511" t="s">
        <v>116</v>
      </c>
      <c r="AQ226" s="3512" t="s">
        <v>116</v>
      </c>
      <c r="AR226" s="3512" t="s">
        <v>116</v>
      </c>
      <c r="AS226" s="3512" t="s">
        <v>116</v>
      </c>
      <c r="AT226" s="5113"/>
      <c r="AU226" s="3509">
        <f t="shared" ref="AU226:BN226" si="934">AU225/AP216-1</f>
        <v>0.36028451098548553</v>
      </c>
      <c r="AV226" s="3510">
        <f t="shared" si="934"/>
        <v>0.32056606624250894</v>
      </c>
      <c r="AW226" s="3510">
        <f t="shared" si="934"/>
        <v>0.26181708867924214</v>
      </c>
      <c r="AX226" s="3510">
        <f t="shared" si="934"/>
        <v>0.20952812482454286</v>
      </c>
      <c r="AY226" s="5113">
        <f t="shared" si="934"/>
        <v>0.28205784915089116</v>
      </c>
      <c r="AZ226" s="3509">
        <f t="shared" si="934"/>
        <v>0.11529927538202034</v>
      </c>
      <c r="BA226" s="3510">
        <f t="shared" si="934"/>
        <v>9.9486014875395767E-2</v>
      </c>
      <c r="BB226" s="3510">
        <f t="shared" si="934"/>
        <v>0.1263184806918809</v>
      </c>
      <c r="BC226" s="3510">
        <f t="shared" si="934"/>
        <v>0.16113071706337623</v>
      </c>
      <c r="BD226" s="5113">
        <f t="shared" si="934"/>
        <v>0.12599209807815459</v>
      </c>
      <c r="BE226" s="3509">
        <f t="shared" si="934"/>
        <v>0.21811618695833235</v>
      </c>
      <c r="BF226" s="3510">
        <f t="shared" si="934"/>
        <v>0.24414301661987614</v>
      </c>
      <c r="BG226" s="3510">
        <f t="shared" si="934"/>
        <v>0.24723769698896914</v>
      </c>
      <c r="BH226" s="3510">
        <f t="shared" si="934"/>
        <v>0.28221187924975522</v>
      </c>
      <c r="BI226" s="5113">
        <f t="shared" si="934"/>
        <v>0.24983049712454952</v>
      </c>
      <c r="BJ226" s="3509">
        <f t="shared" si="934"/>
        <v>0.26208425720620832</v>
      </c>
      <c r="BK226" s="3510">
        <f t="shared" si="934"/>
        <v>0.27651683726450083</v>
      </c>
      <c r="BL226" s="3510">
        <f t="shared" si="934"/>
        <v>0.28331249131582603</v>
      </c>
      <c r="BM226" s="3510">
        <f t="shared" si="934"/>
        <v>0.25014854426619126</v>
      </c>
      <c r="BN226" s="5113">
        <f t="shared" si="934"/>
        <v>0.26722302355931049</v>
      </c>
      <c r="BO226" s="3510"/>
      <c r="BP226" s="3510"/>
      <c r="BQ226" s="3510"/>
      <c r="BR226" s="3510"/>
      <c r="BS226" s="5113"/>
      <c r="BT226" s="3510">
        <f>BT225/BJ216-1</f>
        <v>0.24693376941946044</v>
      </c>
      <c r="BU226" s="3510">
        <f>BU225/BK216-1</f>
        <v>0.24506761250277109</v>
      </c>
      <c r="BV226" s="3510">
        <f>BV225/BL216-1</f>
        <v>0.23685564358473088</v>
      </c>
      <c r="BW226" s="3510">
        <f>BW225/BM216-1</f>
        <v>0.23695425703191586</v>
      </c>
      <c r="BX226" s="5113">
        <f>BX225/BN216-1</f>
        <v>0.24111882940228724</v>
      </c>
      <c r="BY226" s="3510"/>
      <c r="BZ226" s="3510"/>
      <c r="CA226" s="3510"/>
      <c r="CB226" s="3510"/>
      <c r="CC226" s="5113"/>
      <c r="CD226" s="3510">
        <f>CD225/BT216-1</f>
        <v>0.22794117647058831</v>
      </c>
      <c r="CE226" s="3510">
        <f>CE225/BU216-1</f>
        <v>0.22107874666911687</v>
      </c>
      <c r="CF226" s="3510">
        <f>CF225/BV216-1</f>
        <v>0.20961270062805304</v>
      </c>
      <c r="CG226" s="3510">
        <f>CG225/BW216-1</f>
        <v>0.23134908299658075</v>
      </c>
      <c r="CH226" s="5113">
        <f>CH225/BX216-1</f>
        <v>0.2226829321519761</v>
      </c>
      <c r="CI226" s="3510">
        <f t="shared" ref="CI226:DV226" si="935">CI225/CD216-1</f>
        <v>0.20586868999690311</v>
      </c>
      <c r="CJ226" s="3510">
        <f t="shared" si="935"/>
        <v>0.21090881272949824</v>
      </c>
      <c r="CK226" s="3510">
        <f t="shared" si="935"/>
        <v>0.1948004660646665</v>
      </c>
      <c r="CL226" s="3510">
        <f t="shared" si="935"/>
        <v>0.18256495160468678</v>
      </c>
      <c r="CM226" s="5113">
        <f t="shared" si="935"/>
        <v>0.19771218244803701</v>
      </c>
      <c r="CN226" s="3510">
        <f t="shared" si="935"/>
        <v>0.17135997923695823</v>
      </c>
      <c r="CO226" s="3510">
        <f t="shared" si="935"/>
        <v>0.18063828453194564</v>
      </c>
      <c r="CP226" s="3510">
        <f t="shared" si="935"/>
        <v>0.20910797553442739</v>
      </c>
      <c r="CQ226" s="3510">
        <f t="shared" si="935"/>
        <v>0.24366471734892792</v>
      </c>
      <c r="CR226" s="5113">
        <f t="shared" si="935"/>
        <v>0.20279815886615316</v>
      </c>
      <c r="CS226" s="3510">
        <f t="shared" si="935"/>
        <v>0.2303062488936094</v>
      </c>
      <c r="CT226" s="3510">
        <f t="shared" si="935"/>
        <v>0.24797171998145573</v>
      </c>
      <c r="CU226" s="3510">
        <f t="shared" si="935"/>
        <v>0.22584153570069065</v>
      </c>
      <c r="CV226" s="3510">
        <f t="shared" si="935"/>
        <v>0.24203457636805248</v>
      </c>
      <c r="CW226" s="5113">
        <f t="shared" si="935"/>
        <v>0.23667939501827728</v>
      </c>
      <c r="CX226" s="3510">
        <f t="shared" si="935"/>
        <v>0.23640979689366781</v>
      </c>
      <c r="CY226" s="3510">
        <f t="shared" si="935"/>
        <v>0.23102418074876296</v>
      </c>
      <c r="CZ226" s="3510">
        <f t="shared" si="935"/>
        <v>0.23995345923207734</v>
      </c>
      <c r="DA226" s="3510">
        <f t="shared" si="935"/>
        <v>0.23588514897399238</v>
      </c>
      <c r="DB226" s="5113">
        <f t="shared" si="935"/>
        <v>0.23585525949204866</v>
      </c>
      <c r="DC226" s="3510">
        <f t="shared" si="935"/>
        <v>0.22585904699792114</v>
      </c>
      <c r="DD226" s="3510">
        <f t="shared" si="935"/>
        <v>0.23013034952128275</v>
      </c>
      <c r="DE226" s="3510">
        <f t="shared" si="935"/>
        <v>0.21750169867324676</v>
      </c>
      <c r="DF226" s="3510">
        <f t="shared" si="935"/>
        <v>0.22616155714768915</v>
      </c>
      <c r="DG226" s="5113">
        <f t="shared" si="935"/>
        <v>0.22484327712926944</v>
      </c>
      <c r="DH226" s="3510">
        <f t="shared" si="935"/>
        <v>0.19021825712920193</v>
      </c>
      <c r="DI226" s="3510">
        <f t="shared" si="935"/>
        <v>0.22261904761904772</v>
      </c>
      <c r="DJ226" s="3510">
        <f t="shared" si="935"/>
        <v>0.21565656565656566</v>
      </c>
      <c r="DK226" s="3510">
        <f t="shared" si="935"/>
        <v>0.18515018389865134</v>
      </c>
      <c r="DL226" s="5114">
        <f t="shared" si="935"/>
        <v>0.20277167286082487</v>
      </c>
      <c r="DM226" s="5083">
        <f t="shared" si="935"/>
        <v>0.14640075133970498</v>
      </c>
      <c r="DN226" s="5083">
        <f t="shared" si="935"/>
        <v>4.1198887630033987E-4</v>
      </c>
      <c r="DO226" s="5083">
        <f t="shared" si="935"/>
        <v>0.14536899455175822</v>
      </c>
      <c r="DP226" s="5083">
        <f t="shared" si="935"/>
        <v>0.23110212247738349</v>
      </c>
      <c r="DQ226" s="5114">
        <f t="shared" si="935"/>
        <v>0.13514702420044356</v>
      </c>
      <c r="DR226" s="5083">
        <f>DR225/DM216-1</f>
        <v>0.3213816589637557</v>
      </c>
      <c r="DS226" s="5083">
        <f t="shared" si="935"/>
        <v>0.5729041052797148</v>
      </c>
      <c r="DT226" s="5083">
        <f t="shared" si="935"/>
        <v>0.39497781145145572</v>
      </c>
      <c r="DU226" s="5083">
        <f t="shared" si="935"/>
        <v>0.3250439367311071</v>
      </c>
      <c r="DV226" s="5114">
        <f t="shared" si="935"/>
        <v>0.39378451448031537</v>
      </c>
      <c r="DW226" s="5083">
        <f t="shared" ref="DW226:EN226" si="936">DW225/DR216-1</f>
        <v>0.25803366833264163</v>
      </c>
      <c r="DX226" s="5083">
        <f t="shared" si="936"/>
        <v>0.16328146460484438</v>
      </c>
      <c r="DY226" s="5083">
        <f t="shared" si="936"/>
        <v>0.11245696015740281</v>
      </c>
      <c r="DZ226" s="5083">
        <f t="shared" si="936"/>
        <v>6.6425281542024983E-2</v>
      </c>
      <c r="EA226" s="5113">
        <f t="shared" si="936"/>
        <v>0.14257751817560438</v>
      </c>
      <c r="EB226" s="5083">
        <f t="shared" si="936"/>
        <v>6.1181403451788574E-2</v>
      </c>
      <c r="EC226" s="5083">
        <f t="shared" si="936"/>
        <v>9.2872601356225548E-2</v>
      </c>
      <c r="ED226" s="5083">
        <f t="shared" si="936"/>
        <v>0.11413503958862892</v>
      </c>
      <c r="EE226" s="5083">
        <f t="shared" si="936"/>
        <v>0.13055360246222425</v>
      </c>
      <c r="EF226" s="5113">
        <f t="shared" si="936"/>
        <v>0.10052478673863208</v>
      </c>
      <c r="EG226" s="5083">
        <f t="shared" si="936"/>
        <v>0.16002180680888922</v>
      </c>
      <c r="EH226" s="5083">
        <f t="shared" si="936"/>
        <v>0.15155292824492972</v>
      </c>
      <c r="EI226" s="5083">
        <f t="shared" si="936"/>
        <v>0.16395024382611423</v>
      </c>
      <c r="EJ226" s="5083">
        <f t="shared" si="936"/>
        <v>0.12249303621169916</v>
      </c>
      <c r="EK226" s="5113">
        <f>EK225/EF216-1</f>
        <v>0.14841872912312226</v>
      </c>
      <c r="EL226" s="5083">
        <f t="shared" si="936"/>
        <v>0.13809387699305309</v>
      </c>
      <c r="EM226" s="5083">
        <f t="shared" si="936"/>
        <v>0.13418005671077515</v>
      </c>
      <c r="EN226" s="5083">
        <f t="shared" si="936"/>
        <v>0.14688785396199466</v>
      </c>
      <c r="EO226" s="3510">
        <f t="shared" ref="EO226" si="937">EO225/EJ216-1</f>
        <v>0.15567927091001477</v>
      </c>
      <c r="EP226" s="5113">
        <f>EP225/EK216-1</f>
        <v>0.14421412378826037</v>
      </c>
      <c r="EQ226" s="3510">
        <f t="shared" ref="EQ226" si="938">EQ225/EL216-1</f>
        <v>0.15286261586680583</v>
      </c>
      <c r="ER226" s="3510">
        <f t="shared" ref="ER226" si="939">ER225/EM216-1</f>
        <v>0.16110832815413323</v>
      </c>
      <c r="ES226" s="3510">
        <f t="shared" ref="ES226" si="940">ES225/EN216-1</f>
        <v>0.16474337171998865</v>
      </c>
      <c r="ET226" s="3510">
        <f t="shared" ref="ET226" si="941">ET225/EO216-1</f>
        <v>0.16227208801947146</v>
      </c>
      <c r="EU226" s="5113">
        <f>EU225/EP216-1</f>
        <v>0.16051491729564482</v>
      </c>
      <c r="EV226" s="4309">
        <f>EV225/EU216-1</f>
        <v>0.13190302624226624</v>
      </c>
      <c r="EW226" s="4309">
        <f>EW225/EV216-1</f>
        <v>0.11961968132743461</v>
      </c>
      <c r="EX226" s="4309">
        <f>EX225/EW216-1</f>
        <v>0.10580532343054938</v>
      </c>
      <c r="EY226" s="4309">
        <f>EY225/EX216-1</f>
        <v>9.9288857253108764E-2</v>
      </c>
      <c r="EZ226" s="227"/>
      <c r="FA226" s="725"/>
      <c r="FB226" s="725"/>
    </row>
    <row r="227" spans="1:158" s="252" customFormat="1" ht="11.25" customHeight="1">
      <c r="A227" s="5679" t="s">
        <v>21</v>
      </c>
      <c r="B227" s="3089"/>
      <c r="C227" s="3089"/>
      <c r="D227" s="3089"/>
      <c r="E227" s="3089"/>
      <c r="F227" s="5115"/>
      <c r="G227" s="3089"/>
      <c r="H227" s="3089"/>
      <c r="I227" s="3089"/>
      <c r="J227" s="3089"/>
      <c r="K227" s="5115"/>
      <c r="L227" s="3092"/>
      <c r="M227" s="3092"/>
      <c r="N227" s="3092"/>
      <c r="O227" s="3092"/>
      <c r="P227" s="5115"/>
      <c r="Q227" s="3093"/>
      <c r="R227" s="3092"/>
      <c r="S227" s="3092"/>
      <c r="T227" s="3092"/>
      <c r="U227" s="5115"/>
      <c r="V227" s="3093"/>
      <c r="W227" s="3092"/>
      <c r="X227" s="3092"/>
      <c r="Y227" s="3092"/>
      <c r="Z227" s="5115"/>
      <c r="AA227" s="3093"/>
      <c r="AB227" s="3092"/>
      <c r="AC227" s="3092"/>
      <c r="AD227" s="3092"/>
      <c r="AE227" s="5115"/>
      <c r="AF227" s="3093"/>
      <c r="AG227" s="3092"/>
      <c r="AH227" s="3092"/>
      <c r="AI227" s="3092"/>
      <c r="AJ227" s="5115"/>
      <c r="AK227" s="3093" t="s">
        <v>116</v>
      </c>
      <c r="AL227" s="3092" t="s">
        <v>116</v>
      </c>
      <c r="AM227" s="3092" t="s">
        <v>116</v>
      </c>
      <c r="AN227" s="3092" t="s">
        <v>116</v>
      </c>
      <c r="AO227" s="5115"/>
      <c r="AP227" s="3093" t="s">
        <v>116</v>
      </c>
      <c r="AQ227" s="3092" t="s">
        <v>116</v>
      </c>
      <c r="AR227" s="3092" t="s">
        <v>116</v>
      </c>
      <c r="AS227" s="3092" t="s">
        <v>116</v>
      </c>
      <c r="AT227" s="5115"/>
      <c r="AU227" s="3093">
        <f t="shared" ref="AU227:BN227" si="942">(AU209-AU226)*10000</f>
        <v>551.3144072373932</v>
      </c>
      <c r="AV227" s="3092">
        <f t="shared" si="942"/>
        <v>655.99427683733279</v>
      </c>
      <c r="AW227" s="3092">
        <f t="shared" si="942"/>
        <v>477.86156241824472</v>
      </c>
      <c r="AX227" s="3092">
        <f t="shared" si="942"/>
        <v>-284.04623551721687</v>
      </c>
      <c r="AY227" s="5115">
        <f t="shared" si="942"/>
        <v>314.0294321087178</v>
      </c>
      <c r="AZ227" s="3093">
        <f t="shared" si="942"/>
        <v>-530.26941735731862</v>
      </c>
      <c r="BA227" s="3092">
        <f t="shared" si="942"/>
        <v>-704.79335057270328</v>
      </c>
      <c r="BB227" s="3092">
        <f t="shared" si="942"/>
        <v>-535.10046852796029</v>
      </c>
      <c r="BC227" s="3092">
        <f t="shared" si="942"/>
        <v>95.301114648713707</v>
      </c>
      <c r="BD227" s="5115">
        <f t="shared" si="942"/>
        <v>-408.82385315686997</v>
      </c>
      <c r="BE227" s="3093">
        <f t="shared" si="942"/>
        <v>116.91817775747904</v>
      </c>
      <c r="BF227" s="3092">
        <f t="shared" si="942"/>
        <v>-92.838476004286633</v>
      </c>
      <c r="BG227" s="3092">
        <f t="shared" si="942"/>
        <v>-216.39275766973665</v>
      </c>
      <c r="BH227" s="3092">
        <f t="shared" si="942"/>
        <v>-175.69788694488997</v>
      </c>
      <c r="BI227" s="5115">
        <f t="shared" si="942"/>
        <v>-100.71426695655417</v>
      </c>
      <c r="BJ227" s="3093">
        <f t="shared" si="942"/>
        <v>35.983996203599048</v>
      </c>
      <c r="BK227" s="3092">
        <f t="shared" si="942"/>
        <v>469.43573292683948</v>
      </c>
      <c r="BL227" s="3092">
        <f t="shared" si="942"/>
        <v>507.5283945551634</v>
      </c>
      <c r="BM227" s="3092">
        <f t="shared" si="942"/>
        <v>38.798917527660407</v>
      </c>
      <c r="BN227" s="5115">
        <f t="shared" si="942"/>
        <v>255.36432120918607</v>
      </c>
      <c r="BO227" s="3092"/>
      <c r="BP227" s="3092"/>
      <c r="BQ227" s="3092"/>
      <c r="BR227" s="3092"/>
      <c r="BS227" s="5115"/>
      <c r="BT227" s="3092">
        <f>(BT209-BT226)*10000</f>
        <v>-55.343525098394686</v>
      </c>
      <c r="BU227" s="3092">
        <f>(BU209-BU226)*10000</f>
        <v>-303.54561317306849</v>
      </c>
      <c r="BV227" s="3092">
        <f>(BV209-BV226)*10000</f>
        <v>-510.53174448928428</v>
      </c>
      <c r="BW227" s="3092">
        <f>(BW209-BW226)*10000</f>
        <v>-176.609841672144</v>
      </c>
      <c r="BX227" s="5115">
        <f>(BX209-BX226)*10000</f>
        <v>-265.03343318657005</v>
      </c>
      <c r="BY227" s="3092"/>
      <c r="BZ227" s="3092"/>
      <c r="CA227" s="3092"/>
      <c r="CB227" s="3092"/>
      <c r="CC227" s="5115"/>
      <c r="CD227" s="3092">
        <f t="shared" ref="CD227:DP227" si="943">(CD209-CD226)*10000</f>
        <v>-113.1365181112387</v>
      </c>
      <c r="CE227" s="3092">
        <f t="shared" si="943"/>
        <v>-256.20884574990566</v>
      </c>
      <c r="CF227" s="3092">
        <f t="shared" si="943"/>
        <v>-163.10601027150761</v>
      </c>
      <c r="CG227" s="3092">
        <f t="shared" si="943"/>
        <v>-142.23937704058497</v>
      </c>
      <c r="CH227" s="5115">
        <f t="shared" si="943"/>
        <v>-167.96746226693804</v>
      </c>
      <c r="CI227" s="3092">
        <f t="shared" si="943"/>
        <v>-152.27040703412297</v>
      </c>
      <c r="CJ227" s="3092">
        <f t="shared" si="943"/>
        <v>63.79659079458699</v>
      </c>
      <c r="CK227" s="3092">
        <f t="shared" si="943"/>
        <v>65.227853531029112</v>
      </c>
      <c r="CL227" s="3092">
        <f t="shared" si="943"/>
        <v>-300.21499640594305</v>
      </c>
      <c r="CM227" s="5115">
        <f t="shared" si="943"/>
        <v>-89.119518963340909</v>
      </c>
      <c r="CN227" s="3092">
        <f t="shared" si="943"/>
        <v>-521.64129690914103</v>
      </c>
      <c r="CO227" s="3092">
        <f t="shared" si="943"/>
        <v>-695.75921636301666</v>
      </c>
      <c r="CP227" s="3092">
        <f t="shared" si="943"/>
        <v>-788.65283529343526</v>
      </c>
      <c r="CQ227" s="3092">
        <f t="shared" si="943"/>
        <v>-654.62209477304521</v>
      </c>
      <c r="CR227" s="5115">
        <f t="shared" si="943"/>
        <v>-666.18404013953909</v>
      </c>
      <c r="CS227" s="3092">
        <f t="shared" si="943"/>
        <v>-565.31767493678944</v>
      </c>
      <c r="CT227" s="3092">
        <f t="shared" si="943"/>
        <v>-351.32548096760144</v>
      </c>
      <c r="CU227" s="3092">
        <f t="shared" si="943"/>
        <v>-236.46087240182024</v>
      </c>
      <c r="CV227" s="3092">
        <f t="shared" si="943"/>
        <v>-200.36357979942298</v>
      </c>
      <c r="CW227" s="5115">
        <f t="shared" si="943"/>
        <v>-328.76170545354631</v>
      </c>
      <c r="CX227" s="3092">
        <f t="shared" si="943"/>
        <v>-146.09925244361443</v>
      </c>
      <c r="CY227" s="3092">
        <f t="shared" si="943"/>
        <v>-212.56738888297821</v>
      </c>
      <c r="CZ227" s="3092">
        <f t="shared" si="943"/>
        <v>-29.4842604870027</v>
      </c>
      <c r="DA227" s="3092">
        <f t="shared" si="943"/>
        <v>42.545072568240805</v>
      </c>
      <c r="DB227" s="5115">
        <f t="shared" si="943"/>
        <v>-78.443591021160046</v>
      </c>
      <c r="DC227" s="3092">
        <f t="shared" ref="DC227:DK227" si="944">(DC209-DC226)*10000</f>
        <v>325.65195426321304</v>
      </c>
      <c r="DD227" s="3092">
        <f t="shared" si="944"/>
        <v>254.25206034272784</v>
      </c>
      <c r="DE227" s="3092">
        <f t="shared" si="944"/>
        <v>-26.090009921291291</v>
      </c>
      <c r="DF227" s="3092">
        <f t="shared" si="944"/>
        <v>-110.51573544682114</v>
      </c>
      <c r="DG227" s="5115">
        <f t="shared" si="944"/>
        <v>93.725904454904367</v>
      </c>
      <c r="DH227" s="3092">
        <f t="shared" si="944"/>
        <v>-234.87376759331102</v>
      </c>
      <c r="DI227" s="3092">
        <f t="shared" si="944"/>
        <v>-301.02894879971973</v>
      </c>
      <c r="DJ227" s="3092">
        <f t="shared" si="944"/>
        <v>-153.30543131373054</v>
      </c>
      <c r="DK227" s="3092">
        <f t="shared" si="944"/>
        <v>-120.41924401757554</v>
      </c>
      <c r="DL227" s="5115">
        <f t="shared" si="943"/>
        <v>-197.70773862878733</v>
      </c>
      <c r="DM227" s="3092">
        <f t="shared" si="943"/>
        <v>-137.60887832178659</v>
      </c>
      <c r="DN227" s="3092">
        <f t="shared" si="943"/>
        <v>-170.25587890269088</v>
      </c>
      <c r="DO227" s="3092">
        <f t="shared" si="943"/>
        <v>-52.667698054682518</v>
      </c>
      <c r="DP227" s="3092">
        <f t="shared" si="943"/>
        <v>37.974977070982519</v>
      </c>
      <c r="DQ227" s="5115">
        <f t="shared" ref="DQ227:EW227" si="945">(DQ209-DQ226)*10000</f>
        <v>-74.417040721821422</v>
      </c>
      <c r="DR227" s="3092">
        <f t="shared" si="945"/>
        <v>225.28542936193219</v>
      </c>
      <c r="DS227" s="3092">
        <f t="shared" si="945"/>
        <v>428.88254435145433</v>
      </c>
      <c r="DT227" s="3092">
        <f t="shared" si="945"/>
        <v>153.26912088275301</v>
      </c>
      <c r="DU227" s="3092">
        <f t="shared" si="945"/>
        <v>-11.836955978510311</v>
      </c>
      <c r="DV227" s="5115">
        <f t="shared" si="945"/>
        <v>177.16249790176164</v>
      </c>
      <c r="DW227" s="3092">
        <f t="shared" si="945"/>
        <v>-284.8961077036094</v>
      </c>
      <c r="DX227" s="3092">
        <f t="shared" si="945"/>
        <v>-371.50242885387377</v>
      </c>
      <c r="DY227" s="3092">
        <f t="shared" si="945"/>
        <v>-514.29287317327874</v>
      </c>
      <c r="DZ227" s="3092">
        <f t="shared" si="945"/>
        <v>-568.26874638606478</v>
      </c>
      <c r="EA227" s="5115">
        <f t="shared" si="945"/>
        <v>-447.69361738446588</v>
      </c>
      <c r="EB227" s="3092">
        <f t="shared" si="945"/>
        <v>-350.67980623128437</v>
      </c>
      <c r="EC227" s="3092">
        <f t="shared" si="945"/>
        <v>-222.83521927367156</v>
      </c>
      <c r="ED227" s="3092">
        <f t="shared" si="945"/>
        <v>-41.223029476284978</v>
      </c>
      <c r="EE227" s="3092">
        <f t="shared" ref="EE227" si="946">(EE209-EE226)*10000</f>
        <v>43.874873757727698</v>
      </c>
      <c r="EF227" s="5115">
        <f t="shared" si="945"/>
        <v>-136.97084465936982</v>
      </c>
      <c r="EG227" s="3092">
        <f t="shared" ref="EG227:EJ227" si="947">(EG209-EG226)*10000</f>
        <v>-59.529974317846793</v>
      </c>
      <c r="EH227" s="3092">
        <f t="shared" si="947"/>
        <v>-156.62091292487412</v>
      </c>
      <c r="EI227" s="3092">
        <f t="shared" si="947"/>
        <v>-130.2382290112769</v>
      </c>
      <c r="EJ227" s="3092">
        <f t="shared" si="947"/>
        <v>-47.894097489487031</v>
      </c>
      <c r="EK227" s="5115">
        <f t="shared" si="945"/>
        <v>-97.562958941066483</v>
      </c>
      <c r="EL227" s="3092">
        <f t="shared" si="945"/>
        <v>-177.17413416400873</v>
      </c>
      <c r="EM227" s="3092">
        <f t="shared" si="945"/>
        <v>37.208660901972834</v>
      </c>
      <c r="EN227" s="3092">
        <f t="shared" si="945"/>
        <v>126.03694504040641</v>
      </c>
      <c r="EO227" s="3092">
        <f t="shared" ref="EO227:EP227" si="948">(EO209-EO226)*10000</f>
        <v>78.689601349108955</v>
      </c>
      <c r="EP227" s="5115">
        <f t="shared" si="948"/>
        <v>21.678745680324685</v>
      </c>
      <c r="EQ227" s="3092">
        <f t="shared" ref="EQ227:EU227" si="949">(EQ209-EQ226)*10000</f>
        <v>254.57224416578049</v>
      </c>
      <c r="ER227" s="3092">
        <f t="shared" si="949"/>
        <v>67.413989827191926</v>
      </c>
      <c r="ES227" s="3092">
        <f t="shared" si="949"/>
        <v>-31.107094128486334</v>
      </c>
      <c r="ET227" s="3092">
        <f t="shared" si="949"/>
        <v>1.2907856157706732</v>
      </c>
      <c r="EU227" s="5115">
        <f t="shared" si="949"/>
        <v>65.79397497737061</v>
      </c>
      <c r="EV227" s="5115">
        <f t="shared" si="945"/>
        <v>14.167443609929276</v>
      </c>
      <c r="EW227" s="5115">
        <f t="shared" si="945"/>
        <v>0</v>
      </c>
      <c r="EX227" s="5115">
        <f t="shared" ref="EX227:EY227" si="950">(EX209-EX226)*10000</f>
        <v>0</v>
      </c>
      <c r="EY227" s="5115">
        <f t="shared" si="950"/>
        <v>0</v>
      </c>
      <c r="EZ227" s="251"/>
      <c r="FA227" s="725"/>
      <c r="FB227" s="725"/>
    </row>
    <row r="228" spans="1:158" s="211" customFormat="1" ht="11.25" hidden="1" customHeight="1" outlineLevel="1">
      <c r="A228" s="5363"/>
      <c r="B228" s="2612"/>
      <c r="C228" s="2612"/>
      <c r="D228" s="2612"/>
      <c r="E228" s="2612"/>
      <c r="F228" s="4303"/>
      <c r="G228" s="2612"/>
      <c r="H228" s="2612"/>
      <c r="I228" s="2612"/>
      <c r="J228" s="2612"/>
      <c r="K228" s="1019"/>
      <c r="L228" s="209"/>
      <c r="M228" s="209"/>
      <c r="N228" s="209"/>
      <c r="O228" s="209"/>
      <c r="P228" s="1019"/>
      <c r="Q228" s="2576"/>
      <c r="R228" s="209"/>
      <c r="S228" s="209"/>
      <c r="T228" s="209"/>
      <c r="U228" s="1019"/>
      <c r="V228" s="2576"/>
      <c r="W228" s="209"/>
      <c r="X228" s="209"/>
      <c r="Y228" s="209"/>
      <c r="Z228" s="1019"/>
      <c r="AA228" s="2576"/>
      <c r="AB228" s="209"/>
      <c r="AC228" s="209"/>
      <c r="AD228" s="209"/>
      <c r="AE228" s="1019"/>
      <c r="AF228" s="2576"/>
      <c r="AG228" s="209"/>
      <c r="AH228" s="209"/>
      <c r="AI228" s="209"/>
      <c r="AJ228" s="1019"/>
      <c r="AK228" s="2576"/>
      <c r="AL228" s="209"/>
      <c r="AM228" s="209"/>
      <c r="AN228" s="209"/>
      <c r="AO228" s="1019"/>
      <c r="AP228" s="2576"/>
      <c r="AQ228" s="209"/>
      <c r="AR228" s="209"/>
      <c r="AS228" s="209"/>
      <c r="AT228" s="1019"/>
      <c r="AU228" s="2576"/>
      <c r="AV228" s="209"/>
      <c r="AW228" s="209"/>
      <c r="AX228" s="209"/>
      <c r="AY228" s="1019"/>
      <c r="AZ228" s="2576"/>
      <c r="BA228" s="209"/>
      <c r="BB228" s="209"/>
      <c r="BC228" s="209"/>
      <c r="BD228" s="1019"/>
      <c r="BE228" s="2576"/>
      <c r="BF228" s="209"/>
      <c r="BG228" s="209"/>
      <c r="BH228" s="209"/>
      <c r="BI228" s="1019"/>
      <c r="BJ228" s="2576"/>
      <c r="BK228" s="209"/>
      <c r="BL228" s="209"/>
      <c r="BM228" s="209"/>
      <c r="BN228" s="1019"/>
      <c r="BO228" s="209"/>
      <c r="BP228" s="209"/>
      <c r="BQ228" s="209"/>
      <c r="BR228" s="209"/>
      <c r="BS228" s="1933"/>
      <c r="BT228" s="209"/>
      <c r="BU228" s="2616"/>
      <c r="BV228" s="2616"/>
      <c r="BW228" s="2616"/>
      <c r="BX228" s="1019"/>
      <c r="BY228" s="209"/>
      <c r="BZ228" s="209"/>
      <c r="CA228" s="209"/>
      <c r="CB228" s="209"/>
      <c r="CC228" s="1933"/>
      <c r="CD228" s="2576"/>
      <c r="CE228" s="2616"/>
      <c r="CF228" s="2616"/>
      <c r="CG228" s="2616"/>
      <c r="CH228" s="1019"/>
      <c r="CI228" s="556"/>
      <c r="CJ228" s="209"/>
      <c r="CK228" s="209"/>
      <c r="CL228" s="209"/>
      <c r="CM228" s="1019"/>
      <c r="CN228" s="209"/>
      <c r="CO228" s="209"/>
      <c r="CP228" s="209"/>
      <c r="CQ228" s="209"/>
      <c r="CR228" s="1019"/>
      <c r="CS228" s="209"/>
      <c r="CT228" s="2608"/>
      <c r="CU228" s="209"/>
      <c r="CV228" s="209"/>
      <c r="CW228" s="1019"/>
      <c r="CX228" s="209"/>
      <c r="CY228" s="209"/>
      <c r="CZ228" s="209"/>
      <c r="DA228" s="209"/>
      <c r="DB228" s="1019"/>
      <c r="DC228" s="209"/>
      <c r="DD228" s="209"/>
      <c r="DE228" s="209"/>
      <c r="DF228" s="209"/>
      <c r="DG228" s="1019"/>
      <c r="DH228" s="209"/>
      <c r="DI228" s="209"/>
      <c r="DJ228" s="209"/>
      <c r="DK228" s="209"/>
      <c r="DL228" s="1933"/>
      <c r="DM228" s="209"/>
      <c r="DN228" s="209"/>
      <c r="DO228" s="209"/>
      <c r="DP228" s="209"/>
      <c r="DQ228" s="4303"/>
      <c r="DR228" s="209"/>
      <c r="DS228" s="209"/>
      <c r="DT228" s="209"/>
      <c r="DU228" s="209"/>
      <c r="DV228" s="4303"/>
      <c r="DW228" s="209"/>
      <c r="DX228" s="209"/>
      <c r="DY228" s="209"/>
      <c r="DZ228" s="209"/>
      <c r="EA228" s="4303"/>
      <c r="EB228" s="209"/>
      <c r="EC228" s="209"/>
      <c r="ED228" s="209"/>
      <c r="EE228" s="209"/>
      <c r="EF228" s="4303"/>
      <c r="EG228" s="209"/>
      <c r="EH228" s="209"/>
      <c r="EI228" s="209"/>
      <c r="EJ228" s="209"/>
      <c r="EK228" s="4303"/>
      <c r="EL228" s="209"/>
      <c r="EM228" s="209"/>
      <c r="EN228" s="209"/>
      <c r="EO228" s="209"/>
      <c r="EP228" s="4303"/>
      <c r="EQ228" s="209"/>
      <c r="ER228" s="209"/>
      <c r="ES228" s="209"/>
      <c r="ET228" s="209"/>
      <c r="EU228" s="4303"/>
      <c r="EV228" s="4303"/>
      <c r="EW228" s="4303"/>
      <c r="EX228" s="4303"/>
      <c r="EY228" s="4303"/>
      <c r="EZ228" s="209"/>
      <c r="FA228" s="725"/>
      <c r="FB228" s="725"/>
    </row>
    <row r="229" spans="1:158" s="214" customFormat="1" ht="11.25" hidden="1" customHeight="1" outlineLevel="1" collapsed="1">
      <c r="A229" s="5368" t="s">
        <v>24</v>
      </c>
      <c r="B229" s="2615"/>
      <c r="C229" s="2615"/>
      <c r="D229" s="2615"/>
      <c r="E229" s="2615"/>
      <c r="F229" s="4301"/>
      <c r="G229" s="2615"/>
      <c r="H229" s="2615"/>
      <c r="I229" s="2615"/>
      <c r="J229" s="2615"/>
      <c r="K229" s="2590"/>
      <c r="L229" s="2606"/>
      <c r="M229" s="2606"/>
      <c r="N229" s="2606"/>
      <c r="O229" s="2606"/>
      <c r="P229" s="2590"/>
      <c r="Q229" s="2655"/>
      <c r="R229" s="2606"/>
      <c r="S229" s="2606"/>
      <c r="T229" s="2606"/>
      <c r="U229" s="2590"/>
      <c r="V229" s="2655"/>
      <c r="W229" s="2606"/>
      <c r="X229" s="2606"/>
      <c r="Y229" s="2606"/>
      <c r="Z229" s="2590"/>
      <c r="AA229" s="2655"/>
      <c r="AB229" s="2606"/>
      <c r="AC229" s="2606"/>
      <c r="AD229" s="2606"/>
      <c r="AE229" s="2590"/>
      <c r="AF229" s="2655"/>
      <c r="AG229" s="2606"/>
      <c r="AH229" s="2606"/>
      <c r="AI229" s="2606"/>
      <c r="AJ229" s="2590"/>
      <c r="AK229" s="2655" t="s">
        <v>116</v>
      </c>
      <c r="AL229" s="2619">
        <v>26</v>
      </c>
      <c r="AM229" s="2619">
        <v>19</v>
      </c>
      <c r="AN229" s="2619">
        <v>18</v>
      </c>
      <c r="AO229" s="2590"/>
      <c r="AP229" s="2669">
        <v>22.8</v>
      </c>
      <c r="AQ229" s="2619">
        <v>35</v>
      </c>
      <c r="AR229" s="2619">
        <v>24.2</v>
      </c>
      <c r="AS229" s="2619">
        <v>93.6</v>
      </c>
      <c r="AT229" s="2590"/>
      <c r="AU229" s="2669">
        <v>18.100000000000001</v>
      </c>
      <c r="AV229" s="2619">
        <v>87.6</v>
      </c>
      <c r="AW229" s="2619">
        <f>-59</f>
        <v>-59</v>
      </c>
      <c r="AX229" s="2619">
        <v>-334</v>
      </c>
      <c r="AY229" s="2590"/>
      <c r="AZ229" s="2669">
        <f>-120</f>
        <v>-120</v>
      </c>
      <c r="BA229" s="2619">
        <v>44</v>
      </c>
      <c r="BB229" s="2619">
        <v>166</v>
      </c>
      <c r="BC229" s="2619">
        <v>112</v>
      </c>
      <c r="BD229" s="2590"/>
      <c r="BE229" s="2656">
        <v>-112</v>
      </c>
      <c r="BF229" s="2607">
        <v>-176</v>
      </c>
      <c r="BG229" s="2607">
        <v>9</v>
      </c>
      <c r="BH229" s="2607">
        <v>201</v>
      </c>
      <c r="BI229" s="2590"/>
      <c r="BJ229" s="2656">
        <v>19</v>
      </c>
      <c r="BK229" s="2619">
        <v>167</v>
      </c>
      <c r="BL229" s="2619">
        <f>-1+54</f>
        <v>53</v>
      </c>
      <c r="BM229" s="2619">
        <v>-239</v>
      </c>
      <c r="BN229" s="2590"/>
      <c r="BO229" s="2606"/>
      <c r="BP229" s="2606"/>
      <c r="BQ229" s="2606"/>
      <c r="BR229" s="2606"/>
      <c r="BS229" s="1932"/>
      <c r="BT229" s="2607">
        <v>-79</v>
      </c>
      <c r="BU229" s="2619">
        <v>-68</v>
      </c>
      <c r="BV229" s="2626">
        <v>-136</v>
      </c>
      <c r="BW229" s="2619">
        <v>130</v>
      </c>
      <c r="BX229" s="2590"/>
      <c r="BY229" s="2606"/>
      <c r="BZ229" s="2606"/>
      <c r="CA229" s="2606"/>
      <c r="CB229" s="2606"/>
      <c r="CC229" s="1932"/>
      <c r="CD229" s="2656">
        <v>-11</v>
      </c>
      <c r="CE229" s="2619">
        <v>-177</v>
      </c>
      <c r="CF229" s="2626">
        <v>-41</v>
      </c>
      <c r="CG229" s="2619">
        <v>156</v>
      </c>
      <c r="CH229" s="2590"/>
      <c r="CI229" s="2640">
        <v>-50</v>
      </c>
      <c r="CJ229" s="2634">
        <f>16+61</f>
        <v>77</v>
      </c>
      <c r="CK229" s="2626">
        <f>9-75</f>
        <v>-66</v>
      </c>
      <c r="CL229" s="2619">
        <f>-78-463</f>
        <v>-541</v>
      </c>
      <c r="CM229" s="2590"/>
      <c r="CN229" s="2607">
        <f>-62-512</f>
        <v>-574</v>
      </c>
      <c r="CO229" s="2634">
        <f>-30-292</f>
        <v>-322</v>
      </c>
      <c r="CP229" s="2626">
        <f>39-61</f>
        <v>-22</v>
      </c>
      <c r="CQ229" s="2619">
        <f>-44-167</f>
        <v>-211</v>
      </c>
      <c r="CR229" s="2590"/>
      <c r="CS229" s="2619">
        <f>-93-57</f>
        <v>-150</v>
      </c>
      <c r="CT229" s="2607">
        <f>21+280</f>
        <v>301</v>
      </c>
      <c r="CU229" s="2607">
        <f>-153+41</f>
        <v>-112</v>
      </c>
      <c r="CV229" s="2607">
        <f>-87-132</f>
        <v>-219</v>
      </c>
      <c r="CW229" s="2590"/>
      <c r="CX229" s="2606">
        <f>SUM(CX258,CX282,CX306)</f>
        <v>-306</v>
      </c>
      <c r="CY229" s="2606">
        <f>SUM(CY258,CY282,CY306)</f>
        <v>309</v>
      </c>
      <c r="CZ229" s="2606">
        <f>SUM(CZ258,CZ282,CZ306)</f>
        <v>487</v>
      </c>
      <c r="DA229" s="2606">
        <f>SUM(DA258,DA282,DA306)</f>
        <v>-15</v>
      </c>
      <c r="DB229" s="2590"/>
      <c r="DC229" s="2606">
        <f>SUM(DC258,DC282,DC306)</f>
        <v>417</v>
      </c>
      <c r="DD229" s="2606">
        <f>SUM(DD258,DD282,DD306)</f>
        <v>-207</v>
      </c>
      <c r="DE229" s="2606">
        <f>SUM(DE258,DE282,DE306)</f>
        <v>-615</v>
      </c>
      <c r="DF229" s="2606">
        <f>SUM(DF258,DF282,DF306)</f>
        <v>-294</v>
      </c>
      <c r="DG229" s="2590"/>
      <c r="DH229" s="2606">
        <f>SUM(DH258,DH282,DH306)</f>
        <v>27</v>
      </c>
      <c r="DI229" s="2606">
        <f>SUM(DI258,DI282,DI306)</f>
        <v>-223</v>
      </c>
      <c r="DJ229" s="2606">
        <f>SUM(DJ258,DJ282,DJ306)</f>
        <v>-30</v>
      </c>
      <c r="DK229" s="2606">
        <f>SUM(DK258,DK282,DK306)</f>
        <v>-152</v>
      </c>
      <c r="DL229" s="2590"/>
      <c r="DM229" s="2606">
        <f>SUM(DM258,DM282,DM306)</f>
        <v>12</v>
      </c>
      <c r="DN229" s="2606">
        <f>SUM(DN258,DN282,DN306)</f>
        <v>-545</v>
      </c>
      <c r="DO229" s="2606">
        <f>SUM(DO258,DO282,DO306)</f>
        <v>820</v>
      </c>
      <c r="DP229" s="2606">
        <f>SUM(DP258,DP282,DP306)</f>
        <v>189</v>
      </c>
      <c r="DQ229" s="2590"/>
      <c r="DR229" s="677">
        <f>SUM(DR258,DR282,DR306)</f>
        <v>782</v>
      </c>
      <c r="DS229" s="677">
        <f>SUM(DS258,DS282,DS306)</f>
        <v>-244</v>
      </c>
      <c r="DT229" s="677">
        <f>SUM(DT258,DT282,DT306)</f>
        <v>-264</v>
      </c>
      <c r="DU229" s="677">
        <f>SUM(DU258,DU282,DU306)</f>
        <v>-762</v>
      </c>
      <c r="DV229" s="1260"/>
      <c r="DW229" s="677">
        <f>SUM(DW258,DW282,DW306)</f>
        <v>-665</v>
      </c>
      <c r="DX229" s="677">
        <f>SUM(DX258,DX282,DX306)</f>
        <v>-856</v>
      </c>
      <c r="DY229" s="677">
        <f>SUM(DY258,DY282,DY306)</f>
        <v>-1547</v>
      </c>
      <c r="DZ229" s="677">
        <f>SUM(DZ258,DZ282,DZ306)</f>
        <v>-1087</v>
      </c>
      <c r="EA229" s="1260"/>
      <c r="EB229" s="677">
        <f>SUM(EB258,EB282,EB306)</f>
        <v>1442</v>
      </c>
      <c r="EC229" s="677">
        <f>SUM(EC258,EC282,EC306)</f>
        <v>184</v>
      </c>
      <c r="ED229" s="677">
        <f>SUM(ED258,ED282,ED306)</f>
        <v>-114</v>
      </c>
      <c r="EE229" s="677">
        <f>SUM(EE258,EE282,EE306)</f>
        <v>-855</v>
      </c>
      <c r="EF229" s="2590"/>
      <c r="EG229" s="677">
        <f>SUM(EG258,EG282,EG306)</f>
        <v>373</v>
      </c>
      <c r="EH229" s="677">
        <f>SUM(EH258,EH282,EH306)</f>
        <v>-564</v>
      </c>
      <c r="EI229" s="677">
        <f>SUM(EI258,EI282,EI306)</f>
        <v>146</v>
      </c>
      <c r="EJ229" s="677">
        <f>SUM(EJ258,EJ282,EJ306)</f>
        <v>-91</v>
      </c>
      <c r="EK229" s="2590"/>
      <c r="EL229" s="677">
        <f>SUM(EL258,EL282,EL306)</f>
        <v>-1021</v>
      </c>
      <c r="EM229" s="677">
        <f>SUM(EM258,EM282,EM306)</f>
        <v>1621</v>
      </c>
      <c r="EN229" s="677">
        <f>SUM(EN258,EN282,EN306)</f>
        <v>918</v>
      </c>
      <c r="EO229" s="2606">
        <f>SUM(EO258,EO282,EO306)</f>
        <v>-408.59083987161557</v>
      </c>
      <c r="EP229" s="2590"/>
      <c r="EQ229" s="2606">
        <f>SUM(EQ258,EQ282,EQ306)</f>
        <v>-221.45817996640653</v>
      </c>
      <c r="ER229" s="2606">
        <f>SUM(ER258,ER282,ER306)</f>
        <v>0</v>
      </c>
      <c r="ES229" s="2606">
        <f>SUM(ES258,ES282,ES306)</f>
        <v>0</v>
      </c>
      <c r="ET229" s="2606">
        <f>SUM(ET258,ET282,ET306)</f>
        <v>0</v>
      </c>
      <c r="EU229" s="2590"/>
      <c r="EV229" s="4301"/>
      <c r="EW229" s="4301"/>
      <c r="EX229" s="4301"/>
      <c r="EY229" s="4301"/>
      <c r="EZ229" s="51"/>
      <c r="FA229" s="725"/>
      <c r="FB229" s="725"/>
    </row>
    <row r="230" spans="1:158" s="252" customFormat="1" ht="11.25" hidden="1" customHeight="1" outlineLevel="1">
      <c r="A230" s="5675" t="s">
        <v>295</v>
      </c>
      <c r="B230" s="2620"/>
      <c r="C230" s="2620"/>
      <c r="D230" s="2620"/>
      <c r="E230" s="2620"/>
      <c r="F230" s="4316"/>
      <c r="G230" s="2620"/>
      <c r="H230" s="2620"/>
      <c r="I230" s="2620"/>
      <c r="J230" s="2620"/>
      <c r="K230" s="2592"/>
      <c r="L230" s="2621"/>
      <c r="M230" s="2621"/>
      <c r="N230" s="2621"/>
      <c r="O230" s="2621"/>
      <c r="P230" s="2592"/>
      <c r="Q230" s="2665"/>
      <c r="R230" s="2621"/>
      <c r="S230" s="2621"/>
      <c r="T230" s="2621"/>
      <c r="U230" s="2592"/>
      <c r="V230" s="2665"/>
      <c r="W230" s="2621"/>
      <c r="X230" s="2621"/>
      <c r="Y230" s="2621"/>
      <c r="Z230" s="2592"/>
      <c r="AA230" s="2665"/>
      <c r="AB230" s="2621"/>
      <c r="AC230" s="2621"/>
      <c r="AD230" s="2621"/>
      <c r="AE230" s="2592"/>
      <c r="AF230" s="2665"/>
      <c r="AG230" s="2621"/>
      <c r="AH230" s="2621"/>
      <c r="AI230" s="2621"/>
      <c r="AJ230" s="2592"/>
      <c r="AK230" s="2665" t="s">
        <v>116</v>
      </c>
      <c r="AL230" s="2621">
        <f>AL208-AL229</f>
        <v>2429.9910000000004</v>
      </c>
      <c r="AM230" s="2621">
        <f>AM208-AM229</f>
        <v>2670.6729999999998</v>
      </c>
      <c r="AN230" s="2621">
        <f>AN208-AN229</f>
        <v>3187.4979999999996</v>
      </c>
      <c r="AO230" s="2592"/>
      <c r="AP230" s="2665">
        <f>AP208-AP229</f>
        <v>3641.1709999999998</v>
      </c>
      <c r="AQ230" s="2621">
        <f>AQ208-AQ229</f>
        <v>3836.9849999999997</v>
      </c>
      <c r="AR230" s="2621">
        <f>AR208-AR229</f>
        <v>4207.1509999999998</v>
      </c>
      <c r="AS230" s="2621">
        <f>AS208-AS229</f>
        <v>4733.0789999999997</v>
      </c>
      <c r="AT230" s="2592"/>
      <c r="AU230" s="2665">
        <f>AU208-AU229</f>
        <v>5167.9430000000002</v>
      </c>
      <c r="AV230" s="2621">
        <f>AV208-AV229</f>
        <v>5279.6120000000001</v>
      </c>
      <c r="AW230" s="2621">
        <f>AW208-AW229</f>
        <v>5600.3909999999996</v>
      </c>
      <c r="AX230" s="2621">
        <f>AX208-AX229</f>
        <v>6034.9039999999995</v>
      </c>
      <c r="AY230" s="2592"/>
      <c r="AZ230" s="2665">
        <f>AZ208-AZ229</f>
        <v>5628.99</v>
      </c>
      <c r="BA230" s="2621">
        <f>BA208-BA229</f>
        <v>5478.8970000000008</v>
      </c>
      <c r="BB230" s="2621">
        <f>BB208-BB229</f>
        <v>5778.8509999999997</v>
      </c>
      <c r="BC230" s="2621">
        <f>BC208-BC229</f>
        <v>6561.8250000000007</v>
      </c>
      <c r="BD230" s="2592"/>
      <c r="BE230" s="2665">
        <f>BE208-BE229</f>
        <v>6887</v>
      </c>
      <c r="BF230" s="2621">
        <f>BF208-BF229</f>
        <v>6996</v>
      </c>
      <c r="BG230" s="2621">
        <f>BG208-BG229</f>
        <v>7277</v>
      </c>
      <c r="BH230" s="2621">
        <f>BH208-BH229</f>
        <v>8239</v>
      </c>
      <c r="BI230" s="2592"/>
      <c r="BJ230" s="2665">
        <f>BJ208-BJ229</f>
        <v>8556</v>
      </c>
      <c r="BK230" s="2621">
        <f>BK208-BK229</f>
        <v>8859</v>
      </c>
      <c r="BL230" s="2621">
        <f>BL208-BL229</f>
        <v>9667</v>
      </c>
      <c r="BM230" s="2621">
        <f>BM208-BM229</f>
        <v>10823</v>
      </c>
      <c r="BN230" s="2592"/>
      <c r="BO230" s="2621"/>
      <c r="BP230" s="2621"/>
      <c r="BQ230" s="2621"/>
      <c r="BR230" s="2621"/>
      <c r="BS230" s="1678"/>
      <c r="BT230" s="2621">
        <f>BT208-BT229</f>
        <v>10724</v>
      </c>
      <c r="BU230" s="2621">
        <f>BU208-BU229</f>
        <v>11032</v>
      </c>
      <c r="BV230" s="2621">
        <f>BV208-BV229</f>
        <v>11662</v>
      </c>
      <c r="BW230" s="2621">
        <f>BW208-BW229</f>
        <v>12775</v>
      </c>
      <c r="BX230" s="2592"/>
      <c r="BY230" s="2621"/>
      <c r="BZ230" s="2621"/>
      <c r="CA230" s="2621"/>
      <c r="CB230" s="2621"/>
      <c r="CC230" s="1678"/>
      <c r="CD230" s="2665">
        <f>CD208-CD229</f>
        <v>12962</v>
      </c>
      <c r="CE230" s="2621">
        <f>CE208-CE229</f>
        <v>13284</v>
      </c>
      <c r="CF230" s="2621">
        <f>CF208-CF229</f>
        <v>13795</v>
      </c>
      <c r="CG230" s="2621">
        <f>CG208-CG229</f>
        <v>15551</v>
      </c>
      <c r="CH230" s="2592"/>
      <c r="CI230" s="2621">
        <f>CI208-CI229</f>
        <v>15470</v>
      </c>
      <c r="CJ230" s="2621">
        <f>CJ208-CJ229</f>
        <v>15878</v>
      </c>
      <c r="CK230" s="2621">
        <f>CK208-CK229</f>
        <v>16589</v>
      </c>
      <c r="CL230" s="2621">
        <f>CL208-CL229</f>
        <v>18644</v>
      </c>
      <c r="CM230" s="2592"/>
      <c r="CN230" s="2621">
        <f>CN208-CN229</f>
        <v>17832</v>
      </c>
      <c r="CO230" s="2621">
        <f>CO208-CO229</f>
        <v>18049</v>
      </c>
      <c r="CP230" s="2621">
        <f>CP208-CP229</f>
        <v>18697</v>
      </c>
      <c r="CQ230" s="2621">
        <f>CQ208-CQ229</f>
        <v>21540</v>
      </c>
      <c r="CR230" s="2592"/>
      <c r="CS230" s="2621">
        <f>CS208-CS229</f>
        <v>20407</v>
      </c>
      <c r="CT230" s="2621">
        <f>CT208-CT229</f>
        <v>21199</v>
      </c>
      <c r="CU230" s="2621">
        <f>CU208-CU229</f>
        <v>22563</v>
      </c>
      <c r="CV230" s="2621">
        <f>CV208-CV229</f>
        <v>26283</v>
      </c>
      <c r="CW230" s="2592"/>
      <c r="CX230" s="2621">
        <f>CX208-CX229</f>
        <v>25056</v>
      </c>
      <c r="CY230" s="2621">
        <f>CY208-CY229</f>
        <v>25701</v>
      </c>
      <c r="CZ230" s="2621">
        <f>CZ208-CZ229</f>
        <v>27285</v>
      </c>
      <c r="DA230" s="2621">
        <f>DA208-DA229</f>
        <v>32338</v>
      </c>
      <c r="DB230" s="2592"/>
      <c r="DC230" s="2621">
        <f>DC208-DC229</f>
        <v>30729</v>
      </c>
      <c r="DD230" s="2621">
        <f>DD208-DD229</f>
        <v>32864</v>
      </c>
      <c r="DE230" s="2621">
        <f>DE208-DE229</f>
        <v>34355</v>
      </c>
      <c r="DF230" s="2621">
        <f>DF208-DF229</f>
        <v>39570</v>
      </c>
      <c r="DG230" s="2592"/>
      <c r="DH230" s="2621">
        <f>DH208-DH229</f>
        <v>36312</v>
      </c>
      <c r="DI230" s="2621">
        <f>DI208-DI229</f>
        <v>39167</v>
      </c>
      <c r="DJ230" s="2621">
        <f>DJ208-DJ229</f>
        <v>40529</v>
      </c>
      <c r="DK230" s="2621">
        <f>DK208-DK229</f>
        <v>46227</v>
      </c>
      <c r="DL230" s="1678"/>
      <c r="DM230" s="2621"/>
      <c r="DN230" s="2621"/>
      <c r="DO230" s="2621"/>
      <c r="DP230" s="2621"/>
      <c r="DQ230" s="4316"/>
      <c r="DR230" s="2621"/>
      <c r="DS230" s="2621"/>
      <c r="DT230" s="2621"/>
      <c r="DU230" s="2621"/>
      <c r="DV230" s="4316"/>
      <c r="DW230" s="2621"/>
      <c r="DX230" s="2621"/>
      <c r="DY230" s="2621"/>
      <c r="DZ230" s="2621"/>
      <c r="EA230" s="4316"/>
      <c r="EB230" s="2621"/>
      <c r="EC230" s="2621"/>
      <c r="ED230" s="2621"/>
      <c r="EE230" s="2621"/>
      <c r="EF230" s="4316"/>
      <c r="EG230" s="2621"/>
      <c r="EH230" s="2621"/>
      <c r="EI230" s="2621"/>
      <c r="EJ230" s="2621"/>
      <c r="EK230" s="4316"/>
      <c r="EL230" s="2621"/>
      <c r="EM230" s="2621"/>
      <c r="EN230" s="2621"/>
      <c r="EO230" s="2621"/>
      <c r="EP230" s="4316"/>
      <c r="EQ230" s="2621"/>
      <c r="ER230" s="2621"/>
      <c r="ES230" s="2621"/>
      <c r="ET230" s="2621"/>
      <c r="EU230" s="4316"/>
      <c r="EV230" s="4316"/>
      <c r="EW230" s="4316"/>
      <c r="EX230" s="4316"/>
      <c r="EY230" s="4316"/>
      <c r="EZ230" s="251"/>
      <c r="FA230" s="725"/>
      <c r="FB230" s="725"/>
    </row>
    <row r="231" spans="1:158" s="239" customFormat="1" ht="11.25" hidden="1" customHeight="1" outlineLevel="1">
      <c r="A231" s="5363" t="s">
        <v>46</v>
      </c>
      <c r="B231" s="2612"/>
      <c r="C231" s="2612"/>
      <c r="D231" s="2612"/>
      <c r="E231" s="2612"/>
      <c r="F231" s="4304"/>
      <c r="G231" s="2612"/>
      <c r="H231" s="2612"/>
      <c r="I231" s="2612"/>
      <c r="J231" s="2612"/>
      <c r="K231" s="1020"/>
      <c r="L231" s="223"/>
      <c r="M231" s="223"/>
      <c r="N231" s="223"/>
      <c r="O231" s="223"/>
      <c r="P231" s="1020"/>
      <c r="Q231" s="2581"/>
      <c r="R231" s="223"/>
      <c r="S231" s="223"/>
      <c r="T231" s="223"/>
      <c r="U231" s="1020"/>
      <c r="V231" s="2581"/>
      <c r="W231" s="223"/>
      <c r="X231" s="223"/>
      <c r="Y231" s="223"/>
      <c r="Z231" s="1020"/>
      <c r="AA231" s="2581"/>
      <c r="AB231" s="223"/>
      <c r="AC231" s="223"/>
      <c r="AD231" s="223"/>
      <c r="AE231" s="1020"/>
      <c r="AF231" s="2581"/>
      <c r="AG231" s="223"/>
      <c r="AH231" s="223"/>
      <c r="AI231" s="223"/>
      <c r="AJ231" s="1020"/>
      <c r="AK231" s="2581" t="s">
        <v>116</v>
      </c>
      <c r="AL231" s="223">
        <f>AL230/AK208-1</f>
        <v>7.8196609658104155E-2</v>
      </c>
      <c r="AM231" s="223">
        <f>AM230/AL208-1</f>
        <v>8.7411558104243614E-2</v>
      </c>
      <c r="AN231" s="223">
        <f>AN230/AM208-1</f>
        <v>0.18508755525299914</v>
      </c>
      <c r="AO231" s="1020"/>
      <c r="AP231" s="2581">
        <f>AP230/AN208-1</f>
        <v>0.13591429475232863</v>
      </c>
      <c r="AQ231" s="223">
        <f>AQ230/AP208-1</f>
        <v>4.7220351907806934E-2</v>
      </c>
      <c r="AR231" s="223">
        <f>AR230/AQ208-1</f>
        <v>8.6561802279709221E-2</v>
      </c>
      <c r="AS231" s="223">
        <f>AS230/AR208-1</f>
        <v>0.11857394954944644</v>
      </c>
      <c r="AT231" s="1020"/>
      <c r="AU231" s="2581">
        <f>AU230/AS208-1</f>
        <v>7.0703686737817018E-2</v>
      </c>
      <c r="AV231" s="223">
        <f>AV230/AU208-1</f>
        <v>1.8042465131893337E-2</v>
      </c>
      <c r="AW231" s="223">
        <f>AW230/AV208-1</f>
        <v>4.3445088436976143E-2</v>
      </c>
      <c r="AX231" s="223">
        <f>AX230/AW208-1</f>
        <v>8.905940764692466E-2</v>
      </c>
      <c r="AY231" s="1020"/>
      <c r="AZ231" s="2581">
        <f>AZ230/AX208-1</f>
        <v>-1.2614490614120122E-2</v>
      </c>
      <c r="BA231" s="223">
        <f>BA230/AZ208-1</f>
        <v>-5.4625257987397369E-3</v>
      </c>
      <c r="BB231" s="223">
        <f>BB230/BA208-1</f>
        <v>4.6344155974663126E-2</v>
      </c>
      <c r="BC231" s="223">
        <f>BC230/BB208-1</f>
        <v>0.10378292071575901</v>
      </c>
      <c r="BD231" s="1020"/>
      <c r="BE231" s="2581">
        <f>BE230/BC208-1</f>
        <v>3.1941952328687018E-2</v>
      </c>
      <c r="BF231" s="223">
        <f>BF230/BE208-1</f>
        <v>3.2619926199261906E-2</v>
      </c>
      <c r="BG231" s="223">
        <f>BG230/BF208-1</f>
        <v>6.700879765395884E-2</v>
      </c>
      <c r="BH231" s="223">
        <f>BH230/BG208-1</f>
        <v>0.1307987922042273</v>
      </c>
      <c r="BI231" s="1020"/>
      <c r="BJ231" s="2581">
        <f>BJ230/BH208-1</f>
        <v>1.3744075829383862E-2</v>
      </c>
      <c r="BK231" s="223">
        <f>BK230/BJ208-1</f>
        <v>3.3119533527696809E-2</v>
      </c>
      <c r="BL231" s="223">
        <f>BL230/BK208-1</f>
        <v>7.101706182140477E-2</v>
      </c>
      <c r="BM231" s="223">
        <f>BM230/BL208-1</f>
        <v>0.11347736625514404</v>
      </c>
      <c r="BN231" s="1020"/>
      <c r="BO231" s="223"/>
      <c r="BP231" s="223"/>
      <c r="BQ231" s="223"/>
      <c r="BR231" s="223"/>
      <c r="BS231" s="1931"/>
      <c r="BT231" s="223">
        <f>BT230/BM208-1</f>
        <v>1.3227513227513255E-2</v>
      </c>
      <c r="BU231" s="223">
        <f>BU230/BT208-1</f>
        <v>3.6355096289337752E-2</v>
      </c>
      <c r="BV231" s="223">
        <f>BV230/BU208-1</f>
        <v>6.3662896753009957E-2</v>
      </c>
      <c r="BW231" s="223">
        <f>BW230/BV208-1</f>
        <v>0.10836369946208579</v>
      </c>
      <c r="BX231" s="1020"/>
      <c r="BY231" s="223"/>
      <c r="BZ231" s="223"/>
      <c r="CA231" s="223"/>
      <c r="CB231" s="223"/>
      <c r="CC231" s="1931"/>
      <c r="CD231" s="2581">
        <f>CD230/BW208-1</f>
        <v>4.4168926772569783E-3</v>
      </c>
      <c r="CE231" s="223">
        <f>CE230/CD208-1</f>
        <v>2.5712300208478034E-2</v>
      </c>
      <c r="CF231" s="223">
        <f>CF230/CE208-1</f>
        <v>5.2491035324635726E-2</v>
      </c>
      <c r="CG231" s="223">
        <f>CG230/CF208-1</f>
        <v>0.13065290097426208</v>
      </c>
      <c r="CH231" s="1020"/>
      <c r="CI231" s="223">
        <f>CI230/CG208-1</f>
        <v>-1.5088813904628462E-2</v>
      </c>
      <c r="CJ231" s="223">
        <f>CJ230/CI208-1</f>
        <v>2.9701686121919479E-2</v>
      </c>
      <c r="CK231" s="223">
        <f>CK230/CJ208-1</f>
        <v>3.9736759636477492E-2</v>
      </c>
      <c r="CL231" s="223">
        <f>CL230/CK208-1</f>
        <v>0.12836651939720389</v>
      </c>
      <c r="CM231" s="1020"/>
      <c r="CN231" s="223">
        <f>CN230/CL208-1</f>
        <v>-1.4969894492625535E-2</v>
      </c>
      <c r="CO231" s="223">
        <f>CO230/CN208-1</f>
        <v>4.5833816201181987E-2</v>
      </c>
      <c r="CP231" s="223">
        <f>CP230/CO208-1</f>
        <v>5.4718790545495555E-2</v>
      </c>
      <c r="CQ231" s="223">
        <f>CQ230/CP208-1</f>
        <v>0.15341365461847389</v>
      </c>
      <c r="CR231" s="1020"/>
      <c r="CS231" s="223">
        <f>CS230/CQ208-1</f>
        <v>-4.3227530592151564E-2</v>
      </c>
      <c r="CT231" s="223">
        <f>CT230/CS208-1</f>
        <v>4.6502443599743204E-2</v>
      </c>
      <c r="CU231" s="223">
        <f>CU230/CT208-1</f>
        <v>4.9441860465116338E-2</v>
      </c>
      <c r="CV231" s="223">
        <f>CV230/CU208-1</f>
        <v>0.17068282036434912</v>
      </c>
      <c r="CW231" s="1020"/>
      <c r="CX231" s="223">
        <f>CX230/CV208-1</f>
        <v>-3.8674033149171283E-2</v>
      </c>
      <c r="CY231" s="223">
        <f>CY230/CX208-1</f>
        <v>3.8424242424242472E-2</v>
      </c>
      <c r="CZ231" s="223">
        <f>CZ230/CY208-1</f>
        <v>4.9019607843137303E-2</v>
      </c>
      <c r="DA231" s="223">
        <f>DA230/CZ208-1</f>
        <v>0.16441019732104278</v>
      </c>
      <c r="DB231" s="1020"/>
      <c r="DC231" s="223">
        <f>DC230/DA208-1</f>
        <v>-4.93147294496179E-2</v>
      </c>
      <c r="DD231" s="223">
        <f>DD230/DC208-1</f>
        <v>5.5159571052462608E-2</v>
      </c>
      <c r="DE231" s="223">
        <f>DE230/DD208-1</f>
        <v>5.1994978105766032E-2</v>
      </c>
      <c r="DF231" s="223">
        <f>DF230/DE208-1</f>
        <v>0.17279193835210438</v>
      </c>
      <c r="DG231" s="1020"/>
      <c r="DH231" s="223">
        <f>DH230/DF208-1</f>
        <v>-7.54659333944393E-2</v>
      </c>
      <c r="DI231" s="223">
        <f>DI230/DH208-1</f>
        <v>7.782272489611719E-2</v>
      </c>
      <c r="DJ231" s="223">
        <f>DJ230/DI208-1</f>
        <v>4.0699465899753484E-2</v>
      </c>
      <c r="DK231" s="223">
        <f>DK230/DJ208-1</f>
        <v>0.1414355910022469</v>
      </c>
      <c r="DL231" s="1931"/>
      <c r="DM231" s="223"/>
      <c r="DN231" s="223"/>
      <c r="DO231" s="223"/>
      <c r="DP231" s="223"/>
      <c r="DQ231" s="4304"/>
      <c r="DR231" s="223"/>
      <c r="DS231" s="223"/>
      <c r="DT231" s="223"/>
      <c r="DU231" s="223"/>
      <c r="DV231" s="4304"/>
      <c r="DW231" s="223"/>
      <c r="DX231" s="223"/>
      <c r="DY231" s="223"/>
      <c r="DZ231" s="223"/>
      <c r="EA231" s="4304"/>
      <c r="EB231" s="223"/>
      <c r="EC231" s="223"/>
      <c r="ED231" s="223"/>
      <c r="EE231" s="223"/>
      <c r="EF231" s="4304"/>
      <c r="EG231" s="223"/>
      <c r="EH231" s="223"/>
      <c r="EI231" s="223"/>
      <c r="EJ231" s="223"/>
      <c r="EK231" s="4304"/>
      <c r="EL231" s="223"/>
      <c r="EM231" s="223"/>
      <c r="EN231" s="223"/>
      <c r="EO231" s="223"/>
      <c r="EP231" s="4304"/>
      <c r="EQ231" s="223"/>
      <c r="ER231" s="223"/>
      <c r="ES231" s="223"/>
      <c r="ET231" s="223"/>
      <c r="EU231" s="4304"/>
      <c r="EV231" s="4304"/>
      <c r="EW231" s="4304"/>
      <c r="EX231" s="4304"/>
      <c r="EY231" s="4304"/>
      <c r="EZ231" s="223"/>
      <c r="FA231" s="725"/>
      <c r="FB231" s="725"/>
    </row>
    <row r="232" spans="1:158" s="211" customFormat="1" ht="11.25" hidden="1" customHeight="1" outlineLevel="1">
      <c r="A232" s="5640" t="s">
        <v>296</v>
      </c>
      <c r="B232" s="2612"/>
      <c r="C232" s="2612"/>
      <c r="D232" s="2612"/>
      <c r="E232" s="2612"/>
      <c r="F232" s="4303"/>
      <c r="G232" s="2612"/>
      <c r="H232" s="2612"/>
      <c r="I232" s="2612"/>
      <c r="J232" s="2612"/>
      <c r="K232" s="1019"/>
      <c r="L232" s="209"/>
      <c r="M232" s="209"/>
      <c r="N232" s="209"/>
      <c r="O232" s="209"/>
      <c r="P232" s="1019"/>
      <c r="Q232" s="2576"/>
      <c r="R232" s="209"/>
      <c r="S232" s="209"/>
      <c r="T232" s="209"/>
      <c r="U232" s="1019"/>
      <c r="V232" s="2576"/>
      <c r="W232" s="209"/>
      <c r="X232" s="209"/>
      <c r="Y232" s="209"/>
      <c r="Z232" s="1019"/>
      <c r="AA232" s="2576"/>
      <c r="AB232" s="209"/>
      <c r="AC232" s="209"/>
      <c r="AD232" s="209"/>
      <c r="AE232" s="1019"/>
      <c r="AF232" s="2576"/>
      <c r="AG232" s="209"/>
      <c r="AH232" s="209"/>
      <c r="AI232" s="209"/>
      <c r="AJ232" s="1019"/>
      <c r="AK232" s="2655" t="s">
        <v>116</v>
      </c>
      <c r="AL232" s="2606">
        <f>(AL210-AL231)*10000</f>
        <v>115.36302748080374</v>
      </c>
      <c r="AM232" s="2606">
        <f>(AM210-AM231)*10000</f>
        <v>77.361847010024576</v>
      </c>
      <c r="AN232" s="2606">
        <f>(AN210-AN231)*10000</f>
        <v>66.92263334613591</v>
      </c>
      <c r="AO232" s="1019"/>
      <c r="AP232" s="2655">
        <f>(AP210-AP231)*10000</f>
        <v>71.127793559691014</v>
      </c>
      <c r="AQ232" s="2606">
        <f>(AQ210-AQ231)*10000</f>
        <v>95.524773531232569</v>
      </c>
      <c r="AR232" s="2606">
        <f>(AR210-AR231)*10000</f>
        <v>62.500242123872951</v>
      </c>
      <c r="AS232" s="2606">
        <f>(AS210-AS231)*10000</f>
        <v>221.20594580785414</v>
      </c>
      <c r="AT232" s="1019"/>
      <c r="AU232" s="2655">
        <f>(AU210-AU231)*10000</f>
        <v>37.499904178421858</v>
      </c>
      <c r="AV232" s="2606">
        <f>(AV210-AV231)*10000</f>
        <v>168.91491258364201</v>
      </c>
      <c r="AW232" s="2606">
        <f>(AW210-AW231)*10000</f>
        <v>-109.92671800555075</v>
      </c>
      <c r="AX232" s="2606">
        <f>(AX210-AX231)*10000</f>
        <v>-602.73674967169734</v>
      </c>
      <c r="AY232" s="1019"/>
      <c r="AZ232" s="2655">
        <f>(AZ210-AZ231)*10000</f>
        <v>-210.49293234897459</v>
      </c>
      <c r="BA232" s="2606">
        <f>(BA210-BA231)*10000</f>
        <v>79.869449753948714</v>
      </c>
      <c r="BB232" s="2606">
        <f>(BB210-BB231)*10000</f>
        <v>300.56689451206432</v>
      </c>
      <c r="BC232" s="2606">
        <f>(BC210-BC231)*10000</f>
        <v>188.39832991609074</v>
      </c>
      <c r="BD232" s="1019"/>
      <c r="BE232" s="2655">
        <f>(BE210-BE231)*10000</f>
        <v>-167.81980348600678</v>
      </c>
      <c r="BF232" s="2606">
        <f>(BF210-BF231)*10000</f>
        <v>-259.77859778597792</v>
      </c>
      <c r="BG232" s="2606">
        <f>(BG210-BG231)*10000</f>
        <v>13.196480938417743</v>
      </c>
      <c r="BH232" s="2606">
        <f>(BH210-BH231)*10000</f>
        <v>275.87153444962985</v>
      </c>
      <c r="BI232" s="1019"/>
      <c r="BJ232" s="2655">
        <f>(BJ210-BJ231)*10000</f>
        <v>22.511848341233431</v>
      </c>
      <c r="BK232" s="2606">
        <f>(BK210-BK231)*10000</f>
        <v>194.75218658892013</v>
      </c>
      <c r="BL232" s="2606">
        <f>(BL210-BL231)*10000</f>
        <v>58.719255484156463</v>
      </c>
      <c r="BM232" s="2606">
        <f>(BM210-BM231)*10000</f>
        <v>-245.88477366255245</v>
      </c>
      <c r="BN232" s="1019"/>
      <c r="BO232" s="209"/>
      <c r="BP232" s="209"/>
      <c r="BQ232" s="209"/>
      <c r="BR232" s="209"/>
      <c r="BS232" s="1933"/>
      <c r="BT232" s="2606">
        <f>(BT210-BT231)*10000</f>
        <v>-74.64096749810966</v>
      </c>
      <c r="BU232" s="2606">
        <f>(BU210-BU231)*10000</f>
        <v>-63.87975575387506</v>
      </c>
      <c r="BV232" s="2606">
        <f>(BV210-BV231)*10000</f>
        <v>-124.04232032105168</v>
      </c>
      <c r="BW232" s="2606">
        <f>(BW210-BW231)*10000</f>
        <v>112.78847822314697</v>
      </c>
      <c r="BX232" s="1019"/>
      <c r="BY232" s="209"/>
      <c r="BZ232" s="209"/>
      <c r="CA232" s="209"/>
      <c r="CB232" s="209"/>
      <c r="CC232" s="1933"/>
      <c r="CD232" s="2655">
        <f>(CD210-CD231)*10000</f>
        <v>-8.5238279736543632</v>
      </c>
      <c r="CE232" s="2606">
        <f>(CE210-CE231)*10000</f>
        <v>-136.66898309010912</v>
      </c>
      <c r="CF232" s="2606">
        <f>(CF210-CF231)*10000</f>
        <v>-31.280994888227553</v>
      </c>
      <c r="CG232" s="2606">
        <f>(CG210-CG231)*10000</f>
        <v>113.42155009451682</v>
      </c>
      <c r="CH232" s="1019"/>
      <c r="CI232" s="2606">
        <f>(CI210-CI231)*10000</f>
        <v>-31.832940727064553</v>
      </c>
      <c r="CJ232" s="2606">
        <f>(CJ210-CJ231)*10000</f>
        <v>49.93514915694108</v>
      </c>
      <c r="CK232" s="2606">
        <f>(CK210-CK231)*10000</f>
        <v>-41.366342839235237</v>
      </c>
      <c r="CL232" s="2606">
        <f>(CL210-CL231)*10000</f>
        <v>-327.42238092356104</v>
      </c>
      <c r="CM232" s="1019"/>
      <c r="CN232" s="2606">
        <f>(CN210-CN231)*10000</f>
        <v>-317.07451803568489</v>
      </c>
      <c r="CO232" s="2606">
        <f>(CO210-CO231)*10000</f>
        <v>-186.58013674817343</v>
      </c>
      <c r="CP232" s="2606">
        <f>(CP210-CP231)*10000</f>
        <v>-12.410447340214237</v>
      </c>
      <c r="CQ232" s="2606">
        <f>(CQ210-CQ231)*10000</f>
        <v>-112.98527443105667</v>
      </c>
      <c r="CR232" s="1019"/>
      <c r="CS232" s="2606">
        <f>(CS210-CS231)*10000</f>
        <v>-70.326785128228536</v>
      </c>
      <c r="CT232" s="2606">
        <f>(CT210-CT231)*10000</f>
        <v>148.59061065310763</v>
      </c>
      <c r="CU232" s="2606">
        <f>(CU210-CU231)*10000</f>
        <v>-52.093023255814771</v>
      </c>
      <c r="CV232" s="2606">
        <f>(CV210-CV231)*10000</f>
        <v>-97.545766335576104</v>
      </c>
      <c r="CW232" s="1019"/>
      <c r="CX232" s="2606">
        <f>(CX210-CX231)*10000</f>
        <v>-117.40331491712719</v>
      </c>
      <c r="CY232" s="2606">
        <f>(CY210-CY231)*10000</f>
        <v>124.84848484848543</v>
      </c>
      <c r="CZ232" s="2606">
        <f>(CZ210-CZ231)*10000</f>
        <v>187.2356785851581</v>
      </c>
      <c r="DA232" s="2606">
        <f>(DA210-DA231)*10000</f>
        <v>-5.4011234336748259</v>
      </c>
      <c r="DB232" s="1019"/>
      <c r="DC232" s="2606">
        <f>(DC210-DC231)*10000</f>
        <v>129.01030226154742</v>
      </c>
      <c r="DD232" s="2606">
        <f>(DD210-DD231)*10000</f>
        <v>-66.461182816413</v>
      </c>
      <c r="DE232" s="2606">
        <f>(DE210-DE231)*10000</f>
        <v>-188.32103377530052</v>
      </c>
      <c r="DF232" s="2606">
        <f>(DF210-DF231)*10000</f>
        <v>-87.136929460580603</v>
      </c>
      <c r="DG232" s="1019"/>
      <c r="DH232" s="2606">
        <f>(DH210-DH231)*10000</f>
        <v>6.8744271310716698</v>
      </c>
      <c r="DI232" s="2606">
        <f>(DI210-DI231)*10000</f>
        <v>-61.366575855141825</v>
      </c>
      <c r="DJ232" s="2606">
        <f>(DJ210-DJ231)*10000</f>
        <v>-7.703368940017441</v>
      </c>
      <c r="DK232" s="2606">
        <f>(DK210-DK231)*10000</f>
        <v>-37.53179090841607</v>
      </c>
      <c r="DL232" s="1933"/>
      <c r="DM232" s="2606"/>
      <c r="DN232" s="2606"/>
      <c r="DO232" s="2606"/>
      <c r="DP232" s="2606"/>
      <c r="DQ232" s="4303"/>
      <c r="DR232" s="2606"/>
      <c r="DS232" s="2606"/>
      <c r="DT232" s="2606"/>
      <c r="DU232" s="2606"/>
      <c r="DV232" s="4303"/>
      <c r="DW232" s="2606"/>
      <c r="DX232" s="2606"/>
      <c r="DY232" s="2606"/>
      <c r="DZ232" s="2606"/>
      <c r="EA232" s="4303"/>
      <c r="EB232" s="2606"/>
      <c r="EC232" s="2606"/>
      <c r="ED232" s="2606"/>
      <c r="EE232" s="2606"/>
      <c r="EF232" s="4303"/>
      <c r="EG232" s="2606"/>
      <c r="EH232" s="2606"/>
      <c r="EI232" s="2606"/>
      <c r="EJ232" s="2606"/>
      <c r="EK232" s="4303"/>
      <c r="EL232" s="2606"/>
      <c r="EM232" s="2606"/>
      <c r="EN232" s="2606"/>
      <c r="EO232" s="2606"/>
      <c r="EP232" s="4303"/>
      <c r="EQ232" s="2606"/>
      <c r="ER232" s="2606"/>
      <c r="ES232" s="2606"/>
      <c r="ET232" s="2606"/>
      <c r="EU232" s="4303"/>
      <c r="EV232" s="1019"/>
      <c r="EW232" s="1019"/>
      <c r="EX232" s="1019"/>
      <c r="EY232" s="1019"/>
      <c r="EZ232" s="209"/>
      <c r="FA232" s="725"/>
      <c r="FB232" s="725"/>
    </row>
    <row r="233" spans="1:158" s="211" customFormat="1" ht="11.25" hidden="1" customHeight="1" outlineLevel="1">
      <c r="A233" s="5363"/>
      <c r="B233" s="2612"/>
      <c r="C233" s="2612"/>
      <c r="D233" s="2612"/>
      <c r="E233" s="2612"/>
      <c r="F233" s="4303"/>
      <c r="G233" s="2612"/>
      <c r="H233" s="2612"/>
      <c r="I233" s="2612"/>
      <c r="J233" s="2612"/>
      <c r="K233" s="1019"/>
      <c r="L233" s="209"/>
      <c r="M233" s="209"/>
      <c r="N233" s="209"/>
      <c r="O233" s="209"/>
      <c r="P233" s="1019"/>
      <c r="Q233" s="2576"/>
      <c r="R233" s="209"/>
      <c r="S233" s="209"/>
      <c r="T233" s="209"/>
      <c r="U233" s="1019"/>
      <c r="V233" s="2576"/>
      <c r="W233" s="209"/>
      <c r="X233" s="209"/>
      <c r="Y233" s="209"/>
      <c r="Z233" s="1019"/>
      <c r="AA233" s="2576"/>
      <c r="AB233" s="209"/>
      <c r="AC233" s="209"/>
      <c r="AD233" s="209"/>
      <c r="AE233" s="1019"/>
      <c r="AF233" s="2576"/>
      <c r="AG233" s="209"/>
      <c r="AH233" s="209"/>
      <c r="AI233" s="209"/>
      <c r="AJ233" s="1019"/>
      <c r="AK233" s="2576"/>
      <c r="AL233" s="209"/>
      <c r="AM233" s="209"/>
      <c r="AN233" s="209"/>
      <c r="AO233" s="1019"/>
      <c r="AP233" s="2576"/>
      <c r="AQ233" s="209"/>
      <c r="AR233" s="209"/>
      <c r="AS233" s="209"/>
      <c r="AT233" s="1019"/>
      <c r="AU233" s="2576"/>
      <c r="AV233" s="209"/>
      <c r="AW233" s="209"/>
      <c r="AX233" s="209"/>
      <c r="AY233" s="1019"/>
      <c r="AZ233" s="2576"/>
      <c r="BA233" s="209"/>
      <c r="BB233" s="209"/>
      <c r="BC233" s="209"/>
      <c r="BD233" s="1019"/>
      <c r="BE233" s="2576"/>
      <c r="BF233" s="209"/>
      <c r="BG233" s="209"/>
      <c r="BH233" s="209"/>
      <c r="BI233" s="1019"/>
      <c r="BJ233" s="2576"/>
      <c r="BK233" s="209"/>
      <c r="BL233" s="209"/>
      <c r="BM233" s="209"/>
      <c r="BN233" s="1019"/>
      <c r="BO233" s="209"/>
      <c r="BP233" s="209"/>
      <c r="BQ233" s="209"/>
      <c r="BR233" s="209"/>
      <c r="BS233" s="1933"/>
      <c r="BT233" s="209"/>
      <c r="BU233" s="209"/>
      <c r="BV233" s="209"/>
      <c r="BW233" s="209"/>
      <c r="BX233" s="1019"/>
      <c r="BY233" s="209"/>
      <c r="BZ233" s="209"/>
      <c r="CA233" s="209"/>
      <c r="CB233" s="209"/>
      <c r="CC233" s="1933"/>
      <c r="CD233" s="2576"/>
      <c r="CE233" s="209"/>
      <c r="CF233" s="209"/>
      <c r="CG233" s="209"/>
      <c r="CH233" s="1019"/>
      <c r="CI233" s="556"/>
      <c r="CJ233" s="209"/>
      <c r="CK233" s="209"/>
      <c r="CL233" s="209"/>
      <c r="CM233" s="1019"/>
      <c r="CN233" s="209"/>
      <c r="CO233" s="209"/>
      <c r="CP233" s="209"/>
      <c r="CQ233" s="209"/>
      <c r="CR233" s="1019"/>
      <c r="CS233" s="209"/>
      <c r="CT233" s="209"/>
      <c r="CU233" s="209"/>
      <c r="CV233" s="209"/>
      <c r="CW233" s="1019"/>
      <c r="CX233" s="209"/>
      <c r="CY233" s="209"/>
      <c r="CZ233" s="209"/>
      <c r="DA233" s="209"/>
      <c r="DB233" s="1019"/>
      <c r="DC233" s="209"/>
      <c r="DD233" s="209"/>
      <c r="DE233" s="209"/>
      <c r="DF233" s="209"/>
      <c r="DG233" s="1019"/>
      <c r="DH233" s="209"/>
      <c r="DI233" s="209"/>
      <c r="DJ233" s="209"/>
      <c r="DK233" s="209"/>
      <c r="DL233" s="1933"/>
      <c r="DM233" s="209"/>
      <c r="DN233" s="209"/>
      <c r="DO233" s="209"/>
      <c r="DP233" s="209"/>
      <c r="DQ233" s="4303"/>
      <c r="DR233" s="209"/>
      <c r="DS233" s="209"/>
      <c r="DT233" s="209"/>
      <c r="DU233" s="209"/>
      <c r="DV233" s="4303"/>
      <c r="DW233" s="209"/>
      <c r="DX233" s="209"/>
      <c r="DY233" s="209"/>
      <c r="DZ233" s="209"/>
      <c r="EA233" s="4303"/>
      <c r="EB233" s="209"/>
      <c r="EC233" s="209"/>
      <c r="ED233" s="209"/>
      <c r="EE233" s="209"/>
      <c r="EF233" s="4303"/>
      <c r="EG233" s="209"/>
      <c r="EH233" s="209"/>
      <c r="EI233" s="209"/>
      <c r="EJ233" s="209"/>
      <c r="EK233" s="4303"/>
      <c r="EL233" s="209"/>
      <c r="EM233" s="209"/>
      <c r="EN233" s="209"/>
      <c r="EO233" s="209"/>
      <c r="EP233" s="4303"/>
      <c r="EQ233" s="209"/>
      <c r="ER233" s="209"/>
      <c r="ES233" s="209"/>
      <c r="ET233" s="209"/>
      <c r="EU233" s="4303"/>
      <c r="EV233" s="1019"/>
      <c r="EW233" s="1019"/>
      <c r="EX233" s="1019"/>
      <c r="EY233" s="1019"/>
      <c r="EZ233" s="209"/>
      <c r="FA233" s="725"/>
      <c r="FB233" s="725"/>
    </row>
    <row r="234" spans="1:158" s="252" customFormat="1" ht="11.25" customHeight="1" collapsed="1">
      <c r="A234" s="5666" t="s">
        <v>27</v>
      </c>
      <c r="B234" s="3472"/>
      <c r="C234" s="3472"/>
      <c r="D234" s="3472"/>
      <c r="E234" s="3472"/>
      <c r="F234" s="4317"/>
      <c r="G234" s="3472"/>
      <c r="H234" s="3472"/>
      <c r="I234" s="3472"/>
      <c r="J234" s="3472"/>
      <c r="K234" s="3473"/>
      <c r="L234" s="3474"/>
      <c r="M234" s="3474"/>
      <c r="N234" s="3474"/>
      <c r="O234" s="3474"/>
      <c r="P234" s="3473"/>
      <c r="Q234" s="3475"/>
      <c r="R234" s="3474"/>
      <c r="S234" s="3474"/>
      <c r="T234" s="3474"/>
      <c r="U234" s="3473"/>
      <c r="V234" s="3475"/>
      <c r="W234" s="3474"/>
      <c r="X234" s="3474"/>
      <c r="Y234" s="3474"/>
      <c r="Z234" s="3473"/>
      <c r="AA234" s="3475"/>
      <c r="AB234" s="3474"/>
      <c r="AC234" s="3474"/>
      <c r="AD234" s="3474"/>
      <c r="AE234" s="3473"/>
      <c r="AF234" s="3475"/>
      <c r="AG234" s="3474"/>
      <c r="AH234" s="3474"/>
      <c r="AI234" s="3474"/>
      <c r="AJ234" s="3473"/>
      <c r="AK234" s="3475" t="s">
        <v>116</v>
      </c>
      <c r="AL234" s="3474" t="s">
        <v>116</v>
      </c>
      <c r="AM234" s="3474" t="s">
        <v>116</v>
      </c>
      <c r="AN234" s="3474" t="s">
        <v>116</v>
      </c>
      <c r="AO234" s="3473"/>
      <c r="AP234" s="3475" t="s">
        <v>116</v>
      </c>
      <c r="AQ234" s="3474" t="s">
        <v>116</v>
      </c>
      <c r="AR234" s="3474" t="s">
        <v>116</v>
      </c>
      <c r="AS234" s="3474" t="s">
        <v>116</v>
      </c>
      <c r="AT234" s="3473"/>
      <c r="AU234" s="3475">
        <f>AU208-AU229-AU214</f>
        <v>5167.9430000000002</v>
      </c>
      <c r="AV234" s="3474">
        <f>AV208-AV229-AV214</f>
        <v>5274.8119999999999</v>
      </c>
      <c r="AW234" s="3474">
        <f>AW208-AW229-AW214</f>
        <v>5566.1909999999998</v>
      </c>
      <c r="AX234" s="3474">
        <f>AX208-AX229-AX214</f>
        <v>5906.0039999999999</v>
      </c>
      <c r="AY234" s="3473"/>
      <c r="AZ234" s="3475">
        <f>AZ208-AZ229-AZ214</f>
        <v>5474.99</v>
      </c>
      <c r="BA234" s="3474">
        <f>BA208-BA229-BA214</f>
        <v>5354.8970000000008</v>
      </c>
      <c r="BB234" s="3474">
        <f>BB208-BB229-BB214</f>
        <v>5739.8509999999997</v>
      </c>
      <c r="BC234" s="3474">
        <f>BC208-BC229-BC214</f>
        <v>6553.8250000000007</v>
      </c>
      <c r="BD234" s="3473"/>
      <c r="BE234" s="3475">
        <f>BE208-BE229-BE214</f>
        <v>6877</v>
      </c>
      <c r="BF234" s="3474">
        <f>BF208-BF229-BF214</f>
        <v>6917</v>
      </c>
      <c r="BG234" s="3474">
        <f>BG208-BG229-BG214</f>
        <v>7188</v>
      </c>
      <c r="BH234" s="3474">
        <f>BH208-BH229-BH214</f>
        <v>8214</v>
      </c>
      <c r="BI234" s="3473"/>
      <c r="BJ234" s="3475">
        <f>BJ208-BJ229-BJ214</f>
        <v>8542</v>
      </c>
      <c r="BK234" s="3474">
        <f>BK208-BK229-BK214</f>
        <v>8855</v>
      </c>
      <c r="BL234" s="3474">
        <f>BL208-BL229-BL214</f>
        <v>9666</v>
      </c>
      <c r="BM234" s="3474">
        <f>BM208-BM229-BM214</f>
        <v>10798</v>
      </c>
      <c r="BN234" s="3473"/>
      <c r="BO234" s="3474"/>
      <c r="BP234" s="3474"/>
      <c r="BQ234" s="3474"/>
      <c r="BR234" s="3474"/>
      <c r="BS234" s="3476"/>
      <c r="BT234" s="3474">
        <f>BT208-BT229-BT214</f>
        <v>10687</v>
      </c>
      <c r="BU234" s="3474">
        <f>BU208-BU229-BU214</f>
        <v>10951</v>
      </c>
      <c r="BV234" s="3474">
        <f>BV208-BV229-BV214</f>
        <v>11600</v>
      </c>
      <c r="BW234" s="3474">
        <f>BW208-BW229-BW214</f>
        <v>12738</v>
      </c>
      <c r="BX234" s="3473"/>
      <c r="BY234" s="3474"/>
      <c r="BZ234" s="3474"/>
      <c r="CA234" s="3474"/>
      <c r="CB234" s="3474"/>
      <c r="CC234" s="3476"/>
      <c r="CD234" s="3475">
        <f>CD208-CD229-CD214</f>
        <v>12927</v>
      </c>
      <c r="CE234" s="3474">
        <f>CE208-CE229-CE214</f>
        <v>13249</v>
      </c>
      <c r="CF234" s="3474">
        <f>CF208-CF229-CF214</f>
        <v>13773</v>
      </c>
      <c r="CG234" s="3474">
        <f>CG208-CG229-CG214</f>
        <v>15548</v>
      </c>
      <c r="CH234" s="3473"/>
      <c r="CI234" s="3474">
        <f>CI208-CI229-CI214</f>
        <v>15462</v>
      </c>
      <c r="CJ234" s="3474">
        <f>CJ208-CJ229-CJ214</f>
        <v>15872</v>
      </c>
      <c r="CK234" s="3474">
        <f>CK208-CK229-CK214</f>
        <v>16579</v>
      </c>
      <c r="CL234" s="3474">
        <f>CL208-CL229-CL214</f>
        <v>18496</v>
      </c>
      <c r="CM234" s="3473"/>
      <c r="CN234" s="3474">
        <f>CN208-CN229-CN214</f>
        <v>17521</v>
      </c>
      <c r="CO234" s="3474">
        <f>CO208-CO229-CO214</f>
        <v>17578</v>
      </c>
      <c r="CP234" s="3474">
        <f>CP208-CP229-CP214</f>
        <v>18411</v>
      </c>
      <c r="CQ234" s="3474">
        <f>CQ208-CQ229-CQ214</f>
        <v>21208</v>
      </c>
      <c r="CR234" s="3473"/>
      <c r="CS234" s="3474">
        <f>CS216-CS229</f>
        <v>20238</v>
      </c>
      <c r="CT234" s="3474">
        <f>CT216-CT229</f>
        <v>21121</v>
      </c>
      <c r="CU234" s="3474">
        <f>CU216-CU229</f>
        <v>22458</v>
      </c>
      <c r="CV234" s="3474">
        <f>CV216-CV229</f>
        <v>26096</v>
      </c>
      <c r="CW234" s="3473"/>
      <c r="CX234" s="3474">
        <f>CX216-CX229</f>
        <v>24839</v>
      </c>
      <c r="CY234" s="3474">
        <f>CY216-CY229</f>
        <v>25698</v>
      </c>
      <c r="CZ234" s="3474">
        <f>CZ216-CZ229</f>
        <v>27476</v>
      </c>
      <c r="DA234" s="3474">
        <f>DA216-DA229</f>
        <v>32536</v>
      </c>
      <c r="DB234" s="3473"/>
      <c r="DC234" s="3474">
        <f>DC216-DC229</f>
        <v>30968</v>
      </c>
      <c r="DD234" s="3474">
        <f>DD216-DD229</f>
        <v>32967</v>
      </c>
      <c r="DE234" s="3474">
        <f>DE216-DE229</f>
        <v>34275</v>
      </c>
      <c r="DF234" s="3474">
        <f>DF216-DF229</f>
        <v>39446</v>
      </c>
      <c r="DG234" s="2592"/>
      <c r="DH234" s="3474">
        <f>DH216-DH229</f>
        <v>36175</v>
      </c>
      <c r="DI234" s="3474">
        <f>DI216-DI229</f>
        <v>39059</v>
      </c>
      <c r="DJ234" s="3474">
        <f>DJ216-DJ229</f>
        <v>40410</v>
      </c>
      <c r="DK234" s="3474">
        <f>DK216-DK229</f>
        <v>46136</v>
      </c>
      <c r="DL234" s="1678"/>
      <c r="DM234" s="3474">
        <f>DM216-DM229</f>
        <v>41098</v>
      </c>
      <c r="DN234" s="3474">
        <f>DN216-DN229</f>
        <v>38691</v>
      </c>
      <c r="DO234" s="3474">
        <f>DO216-DO229</f>
        <v>45375</v>
      </c>
      <c r="DP234" s="3474">
        <f>DP216-DP229</f>
        <v>56711</v>
      </c>
      <c r="DQ234" s="4316"/>
      <c r="DR234" s="5707">
        <f>DR216-DR229</f>
        <v>54641</v>
      </c>
      <c r="DS234" s="5707">
        <f>DS216-DS229</f>
        <v>62131</v>
      </c>
      <c r="DT234" s="5707">
        <f>DT216-DT229</f>
        <v>65320</v>
      </c>
      <c r="DU234" s="5707">
        <f>DU216-DU229</f>
        <v>75884</v>
      </c>
      <c r="DV234" s="5731"/>
      <c r="DW234" s="5707">
        <f>DW216-DW229</f>
        <v>68398</v>
      </c>
      <c r="DX234" s="5707">
        <f>DX216-DX229</f>
        <v>70166</v>
      </c>
      <c r="DY234" s="5707">
        <f>DY216-DY229</f>
        <v>70001</v>
      </c>
      <c r="DZ234" s="5707">
        <f>DZ216-DZ229</f>
        <v>76466</v>
      </c>
      <c r="EA234" s="5731"/>
      <c r="EB234" s="5707">
        <f>EB216-EB229</f>
        <v>68261</v>
      </c>
      <c r="EC234" s="5707">
        <f>EC216-EC229</f>
        <v>74417</v>
      </c>
      <c r="ED234" s="5707">
        <f>ED216-ED229</f>
        <v>76808</v>
      </c>
      <c r="EE234" s="5707">
        <f>EE216-EE229</f>
        <v>87015</v>
      </c>
      <c r="EF234" s="4316"/>
      <c r="EG234" s="5707">
        <f>EG216-EG229</f>
        <v>80094</v>
      </c>
      <c r="EH234" s="5707">
        <f>EH216-EH229</f>
        <v>85204</v>
      </c>
      <c r="EI234" s="5707">
        <f>EI216-EI229</f>
        <v>88105</v>
      </c>
      <c r="EJ234" s="5707">
        <f>EJ216-EJ229</f>
        <v>96540</v>
      </c>
      <c r="EK234" s="4316"/>
      <c r="EL234" s="5707">
        <f>EL216-EL229</f>
        <v>90995</v>
      </c>
      <c r="EM234" s="5707">
        <f>EM216-EM229</f>
        <v>94919</v>
      </c>
      <c r="EN234" s="5707">
        <f>EN216-EN229</f>
        <v>101635</v>
      </c>
      <c r="EO234" s="3474">
        <f t="shared" ref="EO234" si="951">EO208-EO229</f>
        <v>112654.92514054455</v>
      </c>
      <c r="EP234" s="4316"/>
      <c r="EQ234" s="3474">
        <f t="shared" ref="EQ234:ET234" si="952">EQ208-EQ229</f>
        <v>106545.97064809725</v>
      </c>
      <c r="ER234" s="3474">
        <f t="shared" si="952"/>
        <v>112613.41348835241</v>
      </c>
      <c r="ES234" s="3474">
        <f t="shared" si="952"/>
        <v>118888.45645648654</v>
      </c>
      <c r="ET234" s="3474">
        <f t="shared" si="952"/>
        <v>130475.26993554858</v>
      </c>
      <c r="EU234" s="4316"/>
      <c r="EV234" s="1678"/>
      <c r="EW234" s="1678"/>
      <c r="EX234" s="1678"/>
      <c r="EY234" s="1678"/>
      <c r="EZ234" s="251"/>
      <c r="FA234" s="725"/>
      <c r="FB234" s="725"/>
    </row>
    <row r="235" spans="1:158" s="5167" customFormat="1" ht="11.25" customHeight="1">
      <c r="A235" s="5664" t="s">
        <v>20</v>
      </c>
      <c r="B235" s="2288"/>
      <c r="C235" s="2288"/>
      <c r="D235" s="2288"/>
      <c r="E235" s="2288"/>
      <c r="F235" s="4315"/>
      <c r="G235" s="2288"/>
      <c r="H235" s="2288"/>
      <c r="I235" s="2288"/>
      <c r="J235" s="2288"/>
      <c r="K235" s="2506"/>
      <c r="L235" s="2505"/>
      <c r="M235" s="2505"/>
      <c r="N235" s="2505"/>
      <c r="O235" s="2505"/>
      <c r="P235" s="2506"/>
      <c r="Q235" s="3502"/>
      <c r="R235" s="2505"/>
      <c r="S235" s="2505"/>
      <c r="T235" s="2505"/>
      <c r="U235" s="2506"/>
      <c r="V235" s="3502"/>
      <c r="W235" s="2505"/>
      <c r="X235" s="2505"/>
      <c r="Y235" s="2505"/>
      <c r="Z235" s="2506"/>
      <c r="AA235" s="3502"/>
      <c r="AB235" s="2505"/>
      <c r="AC235" s="2505"/>
      <c r="AD235" s="2505"/>
      <c r="AE235" s="2506"/>
      <c r="AF235" s="3502"/>
      <c r="AG235" s="2505"/>
      <c r="AH235" s="2505"/>
      <c r="AI235" s="2505"/>
      <c r="AJ235" s="2506"/>
      <c r="AK235" s="3502" t="s">
        <v>116</v>
      </c>
      <c r="AL235" s="2505" t="s">
        <v>116</v>
      </c>
      <c r="AM235" s="2505" t="s">
        <v>116</v>
      </c>
      <c r="AN235" s="2505" t="s">
        <v>116</v>
      </c>
      <c r="AO235" s="2506"/>
      <c r="AP235" s="3502" t="s">
        <v>116</v>
      </c>
      <c r="AQ235" s="2505" t="s">
        <v>116</v>
      </c>
      <c r="AR235" s="2505" t="s">
        <v>116</v>
      </c>
      <c r="AS235" s="2505" t="s">
        <v>116</v>
      </c>
      <c r="AT235" s="2506"/>
      <c r="AU235" s="2288">
        <f>AU234/AS216-1</f>
        <v>7.0703686737817018E-2</v>
      </c>
      <c r="AV235" s="2288">
        <f>AV234/AU216-1</f>
        <v>1.7116903967051345E-2</v>
      </c>
      <c r="AW235" s="2288">
        <f>AW234/AV216-1</f>
        <v>3.8001369532963736E-2</v>
      </c>
      <c r="AX235" s="2288">
        <f>AX234/AW216-1</f>
        <v>7.2416772906550797E-2</v>
      </c>
      <c r="AY235" s="2506"/>
      <c r="AZ235" s="2288">
        <f>AZ234/AX216-1</f>
        <v>-1.7410970989970576E-2</v>
      </c>
      <c r="BA235" s="2288">
        <f>BA234/AZ216-1</f>
        <v>-1.7366979209842981E-5</v>
      </c>
      <c r="BB235" s="2288">
        <f>BB234/BA216-1</f>
        <v>6.3152529118447376E-2</v>
      </c>
      <c r="BC235" s="2288">
        <f>BC234/BB216-1</f>
        <v>0.10971729561074284</v>
      </c>
      <c r="BD235" s="2506"/>
      <c r="BE235" s="2288">
        <f>BE234/BC216-1</f>
        <v>3.1680249631515833E-2</v>
      </c>
      <c r="BF235" s="2288">
        <f>BF234/BE216-1</f>
        <v>2.2468588322246852E-2</v>
      </c>
      <c r="BG235" s="2288">
        <f>BG234/BF216-1</f>
        <v>6.6310636404094403E-2</v>
      </c>
      <c r="BH235" s="2288">
        <f>BH234/BG216-1</f>
        <v>0.14130887869945807</v>
      </c>
      <c r="BI235" s="2506"/>
      <c r="BJ235" s="2288">
        <f>BJ234/BH216-1</f>
        <v>1.5092097445038588E-2</v>
      </c>
      <c r="BK235" s="2288">
        <f>BK234/BJ216-1</f>
        <v>3.4341782502044227E-2</v>
      </c>
      <c r="BL235" s="2288">
        <f>BL234/BK216-1</f>
        <v>7.1381068499224209E-2</v>
      </c>
      <c r="BM235" s="2288">
        <f>BM234/BL216-1</f>
        <v>0.11101965222759547</v>
      </c>
      <c r="BN235" s="2506"/>
      <c r="BO235" s="2505"/>
      <c r="BP235" s="2505"/>
      <c r="BQ235" s="2505"/>
      <c r="BR235" s="2505"/>
      <c r="BS235" s="3507"/>
      <c r="BT235" s="2288" t="e">
        <f>BT234/BR216-1</f>
        <v>#DIV/0!</v>
      </c>
      <c r="BU235" s="2288">
        <f>BU234/BT216-1</f>
        <v>3.2334087481146412E-2</v>
      </c>
      <c r="BV235" s="2288">
        <f>BV234/BU216-1</f>
        <v>6.5882569144537273E-2</v>
      </c>
      <c r="BW235" s="2288">
        <f>BW234/BV216-1</f>
        <v>0.11113049546406151</v>
      </c>
      <c r="BX235" s="2506"/>
      <c r="BY235" s="2505"/>
      <c r="BZ235" s="2505"/>
      <c r="CA235" s="2505"/>
      <c r="CB235" s="2505"/>
      <c r="CC235" s="3507"/>
      <c r="CD235" s="2288" t="e">
        <f>CD234/CB216-1</f>
        <v>#DIV/0!</v>
      </c>
      <c r="CE235" s="2288">
        <f>CE234/CD216-1</f>
        <v>2.5781975843914617E-2</v>
      </c>
      <c r="CF235" s="2288">
        <f>CF234/CE216-1</f>
        <v>5.3626070991432018E-2</v>
      </c>
      <c r="CG235" s="2288">
        <f>CG234/CF216-1</f>
        <v>0.13224584911156434</v>
      </c>
      <c r="CH235" s="2506"/>
      <c r="CI235" s="2288">
        <f>CI234/CG216-1</f>
        <v>-1.5410086602139605E-2</v>
      </c>
      <c r="CJ235" s="2288">
        <f>CJ234/CI216-1</f>
        <v>2.9846872566831051E-2</v>
      </c>
      <c r="CK235" s="2288">
        <f>CK234/CJ216-1</f>
        <v>3.9500909147909047E-2</v>
      </c>
      <c r="CL235" s="2288">
        <f>CL234/CK216-1</f>
        <v>0.12008720402107431</v>
      </c>
      <c r="CM235" s="2506"/>
      <c r="CN235" s="2288">
        <f>CN234/CL216-1</f>
        <v>-2.4171539961013622E-2</v>
      </c>
      <c r="CO235" s="2288">
        <f>CO234/CN216-1</f>
        <v>3.723372868354291E-2</v>
      </c>
      <c r="CP235" s="2288">
        <f>CP234/CO216-1</f>
        <v>6.6933240611961153E-2</v>
      </c>
      <c r="CQ235" s="2288">
        <f>CQ234/CP216-1</f>
        <v>0.15329816738267432</v>
      </c>
      <c r="CR235" s="2506"/>
      <c r="CS235" s="2288">
        <f>CS234/CQ216-1</f>
        <v>-3.6148021145878007E-2</v>
      </c>
      <c r="CT235" s="2288">
        <f>CT234/CS216-1</f>
        <v>5.1423735563520534E-2</v>
      </c>
      <c r="CU235" s="2288">
        <f>CU234/CT216-1</f>
        <v>4.8361497525907904E-2</v>
      </c>
      <c r="CV235" s="2288">
        <f>CV234/CU216-1</f>
        <v>0.16781526895193766</v>
      </c>
      <c r="CW235" s="2506"/>
      <c r="CX235" s="2288">
        <f>CX234/CV216-1</f>
        <v>-4.0112841519496123E-2</v>
      </c>
      <c r="CY235" s="2288">
        <f>CY234/CX216-1</f>
        <v>4.7487058248073977E-2</v>
      </c>
      <c r="CZ235" s="2288">
        <f>CZ234/CY216-1</f>
        <v>5.6484792555850261E-2</v>
      </c>
      <c r="DA235" s="2288">
        <f>DA234/CZ216-1</f>
        <v>0.16353753173836849</v>
      </c>
      <c r="DB235" s="2506"/>
      <c r="DC235" s="2288">
        <f>DC234/DA216-1</f>
        <v>-4.7753759109498528E-2</v>
      </c>
      <c r="DD235" s="2288">
        <f>DD234/DC216-1</f>
        <v>5.0406245021507035E-2</v>
      </c>
      <c r="DE235" s="2288">
        <f>DE234/DD216-1</f>
        <v>4.6245421245421303E-2</v>
      </c>
      <c r="DF235" s="2288">
        <f>DF234/DE216-1</f>
        <v>0.17189542483660136</v>
      </c>
      <c r="DG235" s="2506"/>
      <c r="DH235" s="2288">
        <f>DH234/DF216-1</f>
        <v>-7.6036984062116897E-2</v>
      </c>
      <c r="DI235" s="2288">
        <f>DI234/DH216-1</f>
        <v>7.8918291807082541E-2</v>
      </c>
      <c r="DJ235" s="2288">
        <f>DJ234/DI216-1</f>
        <v>4.0529405706045907E-2</v>
      </c>
      <c r="DK235" s="2288">
        <f>DK234/DJ216-1</f>
        <v>0.14254581475978201</v>
      </c>
      <c r="DL235" s="5081"/>
      <c r="DM235" s="5074">
        <f>DM234/DK208-1</f>
        <v>-0.1080195333695062</v>
      </c>
      <c r="DN235" s="5074">
        <f>DN234/DM208-1</f>
        <v>-5.9962584124978791E-2</v>
      </c>
      <c r="DO235" s="5074">
        <f>DO234/DN208-1</f>
        <v>0.18481865420267907</v>
      </c>
      <c r="DP235" s="5074">
        <f>DP234/DO208-1</f>
        <v>0.22822861845667375</v>
      </c>
      <c r="DQ235" s="5081"/>
      <c r="DR235" s="5074">
        <f>DR234/DP208-1</f>
        <v>-3.9667475130936047E-2</v>
      </c>
      <c r="DS235" s="5074">
        <f>DS234/DR208-1</f>
        <v>0.12324185558809697</v>
      </c>
      <c r="DT235" s="5074">
        <f>DT234/DS208-1</f>
        <v>5.5591467356173263E-2</v>
      </c>
      <c r="DU235" s="5074">
        <f>DU234/DT208-1</f>
        <v>0.1653306305476212</v>
      </c>
      <c r="DV235" s="4315"/>
      <c r="DW235" s="5074">
        <f>DW234/DU216-1</f>
        <v>-8.950773408588697E-2</v>
      </c>
      <c r="DX235" s="5074">
        <f>DX234/DW216-1</f>
        <v>3.5920452364430977E-2</v>
      </c>
      <c r="DY235" s="5074">
        <f>DY234/DX216-1</f>
        <v>9.9697013417976432E-3</v>
      </c>
      <c r="DZ235" s="5074">
        <f>DZ234/DY208-1</f>
        <v>0.10672726220112305</v>
      </c>
      <c r="EA235" s="4315"/>
      <c r="EB235" s="5074">
        <f>EB234/DZ216-1</f>
        <v>-9.4429483012510085E-2</v>
      </c>
      <c r="EC235" s="5074">
        <f>EC234/EB216-1</f>
        <v>6.7629800725937272E-2</v>
      </c>
      <c r="ED235" s="5074">
        <f>ED234/EC216-1</f>
        <v>2.958405383305851E-2</v>
      </c>
      <c r="EE235" s="5074">
        <f>EE234/ED208-1</f>
        <v>0.13458855436610895</v>
      </c>
      <c r="EF235" s="4315"/>
      <c r="EG235" s="5074">
        <f>EG234/EE216-1</f>
        <v>-7.0403899721448449E-2</v>
      </c>
      <c r="EH235" s="5074">
        <f>EH234/EG216-1</f>
        <v>5.886885307020262E-2</v>
      </c>
      <c r="EI235" s="5074">
        <f>EI234/EH216-1</f>
        <v>4.0938090737240085E-2</v>
      </c>
      <c r="EJ235" s="5074">
        <f>EJ234/EI208-1</f>
        <v>9.3714596456246912E-2</v>
      </c>
      <c r="EK235" s="4315"/>
      <c r="EL235" s="5074">
        <f>EL234/EJ216-1</f>
        <v>-5.654802019720262E-2</v>
      </c>
      <c r="EM235" s="5074">
        <f>EM234/EL216-1</f>
        <v>5.4960321870762607E-2</v>
      </c>
      <c r="EN235" s="5074">
        <f>EN234/EM216-1</f>
        <v>5.2776051377667388E-2</v>
      </c>
      <c r="EO235" s="2288">
        <f>EO234/EN216-1</f>
        <v>9.8504433225206078E-2</v>
      </c>
      <c r="EP235" s="4315"/>
      <c r="EQ235" s="2288">
        <f>EQ234/EO216-1</f>
        <v>-5.2435259742046214E-2</v>
      </c>
      <c r="ER235" s="2288">
        <f>ER234/EQ216-1</f>
        <v>5.2720311791693675E-2</v>
      </c>
      <c r="ES235" s="2288">
        <f>ES234/ER216-1</f>
        <v>5.4504637520435884E-2</v>
      </c>
      <c r="ET235" s="2288">
        <f>ET234/ES216-1</f>
        <v>9.8752172395545124E-2</v>
      </c>
      <c r="EU235" s="4315"/>
      <c r="EV235" s="4315"/>
      <c r="EW235" s="4315"/>
      <c r="EX235" s="4315"/>
      <c r="EY235" s="4315"/>
      <c r="EZ235" s="2505"/>
      <c r="FA235" s="4272"/>
      <c r="FB235" s="4272"/>
    </row>
    <row r="236" spans="1:158" s="211" customFormat="1" ht="11.25" customHeight="1">
      <c r="A236" s="5680" t="s">
        <v>22</v>
      </c>
      <c r="B236" s="5589"/>
      <c r="C236" s="5193"/>
      <c r="D236" s="5193"/>
      <c r="E236" s="5193"/>
      <c r="F236" s="5590"/>
      <c r="G236" s="5589"/>
      <c r="H236" s="5193"/>
      <c r="I236" s="5193"/>
      <c r="J236" s="5193"/>
      <c r="K236" s="5215"/>
      <c r="L236" s="5216"/>
      <c r="M236" s="5216"/>
      <c r="N236" s="5216"/>
      <c r="O236" s="5216"/>
      <c r="P236" s="5215"/>
      <c r="Q236" s="5217"/>
      <c r="R236" s="5216"/>
      <c r="S236" s="5216"/>
      <c r="T236" s="5216"/>
      <c r="U236" s="5215"/>
      <c r="V236" s="5217"/>
      <c r="W236" s="5216"/>
      <c r="X236" s="5216"/>
      <c r="Y236" s="5216"/>
      <c r="Z236" s="5215"/>
      <c r="AA236" s="5217"/>
      <c r="AB236" s="5216"/>
      <c r="AC236" s="5216"/>
      <c r="AD236" s="5216"/>
      <c r="AE236" s="5215"/>
      <c r="AF236" s="5217"/>
      <c r="AG236" s="5216"/>
      <c r="AH236" s="5216"/>
      <c r="AI236" s="5216"/>
      <c r="AJ236" s="5215"/>
      <c r="AK236" s="5218" t="s">
        <v>116</v>
      </c>
      <c r="AL236" s="5219" t="s">
        <v>116</v>
      </c>
      <c r="AM236" s="5219" t="s">
        <v>116</v>
      </c>
      <c r="AN236" s="5219" t="s">
        <v>116</v>
      </c>
      <c r="AO236" s="5215"/>
      <c r="AP236" s="5218" t="s">
        <v>116</v>
      </c>
      <c r="AQ236" s="5219" t="s">
        <v>116</v>
      </c>
      <c r="AR236" s="5219" t="s">
        <v>116</v>
      </c>
      <c r="AS236" s="5219" t="s">
        <v>116</v>
      </c>
      <c r="AT236" s="5215"/>
      <c r="AU236" s="5218">
        <f>(AU210-AU235)*10000</f>
        <v>37.499904178421858</v>
      </c>
      <c r="AV236" s="5219">
        <f>(AV210-AV235)*10000</f>
        <v>178.17052423206192</v>
      </c>
      <c r="AW236" s="5219">
        <f>(AW210-AW235)*10000</f>
        <v>-55.489528965426693</v>
      </c>
      <c r="AX236" s="5219">
        <f>(AX210-AX235)*10000</f>
        <v>-436.31040226795869</v>
      </c>
      <c r="AY236" s="5215"/>
      <c r="AZ236" s="5218">
        <f>(AZ210-AZ235)*10000</f>
        <v>-162.52812859047006</v>
      </c>
      <c r="BA236" s="5219">
        <f>(BA210-BA235)*10000</f>
        <v>25.417861558649779</v>
      </c>
      <c r="BB236" s="5219">
        <f>(BB210-BB235)*10000</f>
        <v>132.48316307422181</v>
      </c>
      <c r="BC236" s="5219">
        <f>(BC210-BC235)*10000</f>
        <v>129.05458096625244</v>
      </c>
      <c r="BD236" s="5215"/>
      <c r="BE236" s="5218">
        <f>(BE210-BE235)*10000</f>
        <v>-165.20277651429492</v>
      </c>
      <c r="BF236" s="5219">
        <f>(BF210-BF235)*10000</f>
        <v>-158.26521901582734</v>
      </c>
      <c r="BG236" s="5219">
        <f>(BG210-BG235)*10000</f>
        <v>20.178093437062117</v>
      </c>
      <c r="BH236" s="5219">
        <f>(BH210-BH235)*10000</f>
        <v>170.7706694973221</v>
      </c>
      <c r="BI236" s="5215"/>
      <c r="BJ236" s="5218">
        <f>(BJ210-BJ235)*10000</f>
        <v>9.0316321846861669</v>
      </c>
      <c r="BK236" s="5219">
        <f>(BK210-BK235)*10000</f>
        <v>182.52969684544595</v>
      </c>
      <c r="BL236" s="5219">
        <f>(BL210-BL235)*10000</f>
        <v>55.079188705962068</v>
      </c>
      <c r="BM236" s="5219">
        <f>(BM210-BM235)*10000</f>
        <v>-221.30763338706672</v>
      </c>
      <c r="BN236" s="5215"/>
      <c r="BO236" s="5216"/>
      <c r="BP236" s="5216"/>
      <c r="BQ236" s="5216"/>
      <c r="BR236" s="5216"/>
      <c r="BS236" s="5215"/>
      <c r="BT236" s="5219" t="e">
        <f>(BT210-BT235)*10000</f>
        <v>#DIV/0!</v>
      </c>
      <c r="BU236" s="5219">
        <f>(BU210-BU235)*10000</f>
        <v>-23.669667671961658</v>
      </c>
      <c r="BV236" s="5219">
        <f>(BV210-BV235)*10000</f>
        <v>-146.23904423632484</v>
      </c>
      <c r="BW236" s="5219">
        <f>(BW210-BW235)*10000</f>
        <v>85.120518203389835</v>
      </c>
      <c r="BX236" s="5215"/>
      <c r="BY236" s="5216"/>
      <c r="BZ236" s="5216"/>
      <c r="CA236" s="5216"/>
      <c r="CB236" s="5216"/>
      <c r="CC236" s="5215"/>
      <c r="CD236" s="5218" t="e">
        <f>(CD210-CD235)*10000</f>
        <v>#DIV/0!</v>
      </c>
      <c r="CE236" s="5219">
        <f>(CE210-CE235)*10000</f>
        <v>-137.36573944447494</v>
      </c>
      <c r="CF236" s="5219">
        <f>(CF210-CF235)*10000</f>
        <v>-42.631351556190467</v>
      </c>
      <c r="CG236" s="5219">
        <f>(CG210-CG235)*10000</f>
        <v>97.492068721494178</v>
      </c>
      <c r="CH236" s="5215"/>
      <c r="CI236" s="5219">
        <f>(CI210-CI235)*10000</f>
        <v>-28.620213751953116</v>
      </c>
      <c r="CJ236" s="5219">
        <f>(CJ210-CJ235)*10000</f>
        <v>48.483284707825369</v>
      </c>
      <c r="CK236" s="5219">
        <f>(CK210-CK235)*10000</f>
        <v>-39.007837953550784</v>
      </c>
      <c r="CL236" s="5219">
        <f>(CL210-CL235)*10000</f>
        <v>-244.62922716226521</v>
      </c>
      <c r="CM236" s="5215"/>
      <c r="CN236" s="5219">
        <f>(CN210-CN235)*10000</f>
        <v>-225.05806335180401</v>
      </c>
      <c r="CO236" s="5219">
        <f>(CO210-CO235)*10000</f>
        <v>-100.57926157178265</v>
      </c>
      <c r="CP236" s="5219">
        <f>(CP210-CP235)*10000</f>
        <v>-134.55494800487023</v>
      </c>
      <c r="CQ236" s="5219">
        <f>(CQ210-CQ235)*10000</f>
        <v>-111.83040207306094</v>
      </c>
      <c r="CR236" s="5215"/>
      <c r="CS236" s="5219">
        <f>(CS210-CS235)*10000</f>
        <v>-141.12187959096411</v>
      </c>
      <c r="CT236" s="5219">
        <f>(CT210-CT235)*10000</f>
        <v>99.377691015334335</v>
      </c>
      <c r="CU236" s="5219">
        <f>(CU210-CU235)*10000</f>
        <v>-41.289393863730425</v>
      </c>
      <c r="CV236" s="5219">
        <f>(CV210-CV235)*10000</f>
        <v>-68.870252211461477</v>
      </c>
      <c r="CW236" s="5215"/>
      <c r="CX236" s="5219">
        <f>(CX210-CX235)*10000</f>
        <v>-103.01523121387879</v>
      </c>
      <c r="CY236" s="5219">
        <f>(CY210-CY235)*10000</f>
        <v>34.220326610170382</v>
      </c>
      <c r="CZ236" s="5219">
        <f>(CZ210-CZ235)*10000</f>
        <v>112.58383145802853</v>
      </c>
      <c r="DA236" s="5219">
        <f>(DA210-DA235)*10000</f>
        <v>3.325532393068098</v>
      </c>
      <c r="DB236" s="5215"/>
      <c r="DC236" s="5219">
        <f>(DC210-DC235)*10000</f>
        <v>113.4005988603537</v>
      </c>
      <c r="DD236" s="5219">
        <f>(DD210-DD235)*10000</f>
        <v>-18.927922506857264</v>
      </c>
      <c r="DE236" s="5219">
        <f>(DE210-DE235)*10000</f>
        <v>-130.82546517185324</v>
      </c>
      <c r="DF236" s="5219">
        <f>(DF210-DF235)*10000</f>
        <v>-78.171794305550435</v>
      </c>
      <c r="DG236" s="5215"/>
      <c r="DH236" s="5219">
        <f>(DH210-DH235)*10000</f>
        <v>12.584933807847642</v>
      </c>
      <c r="DI236" s="5219">
        <f>(DI210-DI235)*10000</f>
        <v>-72.322244964795331</v>
      </c>
      <c r="DJ236" s="5219">
        <f>(DJ210-DJ235)*10000</f>
        <v>-6.0027670029416669</v>
      </c>
      <c r="DK236" s="5219">
        <f>(DK210-DK235)*10000</f>
        <v>-48.634028483767189</v>
      </c>
      <c r="DL236" s="5215"/>
      <c r="DM236" s="5219">
        <f>(DM210-DM235)*10000</f>
        <v>13.239283776450561</v>
      </c>
      <c r="DN236" s="5219">
        <f>(DN210-DN235)*10000</f>
        <v>-95.726329599844505</v>
      </c>
      <c r="DO236" s="5219">
        <f>(DO210-DO235)*10000</f>
        <v>208.37141290440454</v>
      </c>
      <c r="DP236" s="5219">
        <f>(DP210-DP235)*10000</f>
        <v>40.499859225089367</v>
      </c>
      <c r="DQ236" s="5215"/>
      <c r="DR236" s="5219">
        <f>(DR210-DR235)*10000</f>
        <v>118.28183767443434</v>
      </c>
      <c r="DS236" s="5219">
        <f>(DS210-DS235)*10000</f>
        <v>-45.377300502584816</v>
      </c>
      <c r="DT236" s="5219">
        <f>(DT210-DT235)*10000</f>
        <v>-32.643826761473704</v>
      </c>
      <c r="DU236" s="5219">
        <f>(DU210-DU235)*10000</f>
        <v>-85.84415983291737</v>
      </c>
      <c r="DV236" s="5215"/>
      <c r="DW236" s="5219">
        <f>(DW210-DW235)*10000</f>
        <v>-75.915025553343611</v>
      </c>
      <c r="DX236" s="5219">
        <f>(DX210-DX235)*10000</f>
        <v>-113.06786927957502</v>
      </c>
      <c r="DY236" s="5219">
        <f>(DY210-DY235)*10000</f>
        <v>-184.79423663674609</v>
      </c>
      <c r="DZ236" s="5219">
        <f>(DZ210-DZ235)*10000</f>
        <v>-60.499044751924913</v>
      </c>
      <c r="EA236" s="5215"/>
      <c r="EB236" s="5219">
        <f>(EB210-EB235)*10000</f>
        <v>120.99901695447168</v>
      </c>
      <c r="EC236" s="5219">
        <f>(EC210-EC235)*10000</f>
        <v>13.945161239057313</v>
      </c>
      <c r="ED236" s="5219">
        <f>(ED210-ED235)*10000</f>
        <v>-15.828742716408328</v>
      </c>
      <c r="EE236" s="5219">
        <f>(EE210-EE235)*10000</f>
        <v>-91.92494751802505</v>
      </c>
      <c r="EF236" s="5215"/>
      <c r="EG236" s="5219">
        <f>(EG210-EG235)*10000</f>
        <v>35.402686242407277</v>
      </c>
      <c r="EH236" s="5219">
        <f>(EH210-EH235)*10000</f>
        <v>-66.829555547132102</v>
      </c>
      <c r="EI236" s="5219">
        <f>(EI210-EI235)*10000</f>
        <v>6.7055668670557012</v>
      </c>
      <c r="EJ236" s="5219">
        <f>(EJ210-EJ235)*10000</f>
        <v>-8.043685140708412</v>
      </c>
      <c r="EK236" s="5215"/>
      <c r="EL236" s="5219">
        <f>(EL210-EL235)*10000</f>
        <v>-80.841414298485901</v>
      </c>
      <c r="EM236" s="5219">
        <f>(EM210-EM235)*10000</f>
        <v>136.83426605421545</v>
      </c>
      <c r="EN236" s="5219">
        <f>(EN210-EN235)*10000</f>
        <v>85.961641613876424</v>
      </c>
      <c r="EO236" s="5219">
        <f>(EO210-EO235)*10000</f>
        <v>-17.704690187598793</v>
      </c>
      <c r="EP236" s="5215"/>
      <c r="EQ236" s="5219">
        <f>(EQ210-EQ235)*10000</f>
        <v>-3.2211420193817286</v>
      </c>
      <c r="ER236" s="5219">
        <f>(ER210-ER235)*10000</f>
        <v>64.278646187700957</v>
      </c>
      <c r="ES236" s="5219">
        <f>(ES210-ES235)*10000</f>
        <v>12.173477542860578</v>
      </c>
      <c r="ET236" s="5219">
        <f>(ET210-ET235)*10000</f>
        <v>-12.926391119008063</v>
      </c>
      <c r="EU236" s="5215"/>
      <c r="EV236" s="5215"/>
      <c r="EW236" s="5215"/>
      <c r="EX236" s="5215"/>
      <c r="EY236" s="5215"/>
      <c r="EZ236" s="209"/>
      <c r="FA236" s="725"/>
      <c r="FB236" s="725"/>
    </row>
    <row r="237" spans="1:158" s="211" customFormat="1" ht="11.25" customHeight="1" collapsed="1">
      <c r="A237" s="1557"/>
      <c r="B237" s="209"/>
      <c r="C237" s="209"/>
      <c r="D237" s="209"/>
      <c r="E237" s="209"/>
      <c r="F237" s="209"/>
      <c r="G237" s="209"/>
      <c r="H237" s="209"/>
      <c r="I237" s="209"/>
      <c r="J237" s="209"/>
      <c r="K237" s="209"/>
      <c r="L237" s="209"/>
      <c r="M237" s="209"/>
      <c r="N237" s="209"/>
      <c r="O237" s="209"/>
      <c r="P237" s="209"/>
      <c r="Q237" s="209"/>
      <c r="R237" s="209"/>
      <c r="S237" s="209"/>
      <c r="T237" s="209"/>
      <c r="U237" s="209"/>
      <c r="V237" s="209"/>
      <c r="W237" s="209"/>
      <c r="X237" s="209"/>
      <c r="Y237" s="209"/>
      <c r="Z237" s="209"/>
      <c r="AA237" s="209"/>
      <c r="AB237" s="209"/>
      <c r="AC237" s="209"/>
      <c r="AD237" s="209"/>
      <c r="AE237" s="209"/>
      <c r="AF237" s="209"/>
      <c r="AG237" s="209"/>
      <c r="AH237" s="209"/>
      <c r="AI237" s="209"/>
      <c r="AJ237" s="209"/>
      <c r="AK237" s="209"/>
      <c r="AL237" s="209"/>
      <c r="AM237" s="209"/>
      <c r="AN237" s="2612"/>
      <c r="AO237" s="209"/>
      <c r="AP237" s="209"/>
      <c r="AQ237" s="209"/>
      <c r="AR237" s="209"/>
      <c r="AS237" s="209"/>
      <c r="AT237" s="209"/>
      <c r="AU237" s="209"/>
      <c r="AV237" s="209"/>
      <c r="AW237" s="209"/>
      <c r="AX237" s="209"/>
      <c r="AY237" s="209"/>
      <c r="AZ237" s="209"/>
      <c r="BA237" s="209"/>
      <c r="BB237" s="209"/>
      <c r="BC237" s="209"/>
      <c r="BD237" s="209"/>
      <c r="BE237" s="209"/>
      <c r="BF237" s="209"/>
      <c r="BG237" s="209"/>
      <c r="BH237" s="209"/>
      <c r="BI237" s="209"/>
      <c r="BJ237" s="209"/>
      <c r="BK237" s="209"/>
      <c r="BL237" s="209"/>
      <c r="BM237" s="209"/>
      <c r="BN237" s="209"/>
      <c r="BO237" s="209"/>
      <c r="BP237" s="209"/>
      <c r="BQ237" s="209"/>
      <c r="BR237" s="209"/>
      <c r="BS237" s="209"/>
      <c r="BT237" s="209"/>
      <c r="BU237" s="209"/>
      <c r="BV237" s="209"/>
      <c r="BW237" s="209"/>
      <c r="BX237" s="209"/>
      <c r="BY237" s="209"/>
      <c r="BZ237" s="209"/>
      <c r="CA237" s="209"/>
      <c r="CB237" s="209"/>
      <c r="CC237" s="209"/>
      <c r="CD237" s="209"/>
      <c r="CE237" s="209"/>
      <c r="CF237" s="209"/>
      <c r="CG237" s="209"/>
      <c r="CH237" s="209"/>
      <c r="CI237" s="209"/>
      <c r="CJ237" s="677"/>
      <c r="CK237" s="209"/>
      <c r="CL237" s="209"/>
      <c r="CM237" s="209"/>
      <c r="CN237" s="209"/>
      <c r="CO237" s="209"/>
      <c r="CP237" s="209"/>
      <c r="CQ237" s="209"/>
      <c r="CR237" s="209"/>
      <c r="CS237" s="209"/>
      <c r="CT237" s="209"/>
      <c r="CU237" s="209"/>
      <c r="CV237" s="209"/>
      <c r="CW237" s="209"/>
      <c r="CX237" s="209"/>
      <c r="CY237" s="209"/>
      <c r="CZ237" s="209"/>
      <c r="DA237" s="209"/>
      <c r="DB237" s="209"/>
      <c r="DC237" s="209"/>
      <c r="DD237" s="209"/>
      <c r="DE237" s="209"/>
      <c r="DF237" s="209"/>
      <c r="DG237" s="209"/>
      <c r="DH237" s="209"/>
      <c r="DI237" s="209"/>
      <c r="DJ237" s="209"/>
      <c r="DK237" s="209"/>
      <c r="DL237" s="209"/>
      <c r="DM237" s="209"/>
      <c r="DN237" s="209"/>
      <c r="DO237" s="209"/>
      <c r="DP237" s="209"/>
      <c r="DQ237" s="209"/>
      <c r="DR237" s="209"/>
      <c r="DS237" s="209"/>
      <c r="DT237" s="209"/>
      <c r="DU237" s="209"/>
      <c r="DV237" s="209"/>
      <c r="DW237" s="209"/>
      <c r="DX237" s="209"/>
      <c r="DY237" s="209"/>
      <c r="DZ237" s="209"/>
      <c r="EA237" s="209"/>
      <c r="EB237" s="209"/>
      <c r="EC237" s="209"/>
      <c r="ED237" s="209"/>
      <c r="EE237" s="209"/>
      <c r="EF237" s="209"/>
      <c r="EG237" s="209"/>
      <c r="EH237" s="209"/>
      <c r="EI237" s="209"/>
      <c r="EJ237" s="209"/>
      <c r="EK237" s="209"/>
      <c r="EL237" s="209"/>
      <c r="EM237" s="209"/>
      <c r="EN237" s="209"/>
      <c r="EO237" s="209"/>
      <c r="EP237" s="209"/>
      <c r="EQ237" s="209"/>
      <c r="ER237" s="209"/>
      <c r="ES237" s="209"/>
      <c r="ET237" s="209"/>
      <c r="EU237" s="209"/>
      <c r="EV237" s="209"/>
      <c r="EW237" s="209"/>
      <c r="EX237" s="209"/>
      <c r="EY237" s="209"/>
      <c r="EZ237" s="209"/>
      <c r="FA237" s="725"/>
      <c r="FB237" s="725"/>
    </row>
    <row r="238" spans="1:158" s="31" customFormat="1" ht="11.25" customHeight="1">
      <c r="A238" s="1570" t="str">
        <f t="shared" ref="A238:AF238" si="953">A6</f>
        <v>$ millions except where noted</v>
      </c>
      <c r="B238" s="5194" t="str">
        <f t="shared" si="953"/>
        <v>3/99A</v>
      </c>
      <c r="C238" s="5194" t="str">
        <f t="shared" si="953"/>
        <v>6/99A</v>
      </c>
      <c r="D238" s="5194" t="str">
        <f t="shared" si="953"/>
        <v>9/99A</v>
      </c>
      <c r="E238" s="5194" t="str">
        <f t="shared" si="953"/>
        <v>12/99A</v>
      </c>
      <c r="F238" s="5195" t="str">
        <f t="shared" si="953"/>
        <v>1999A</v>
      </c>
      <c r="G238" s="5194" t="str">
        <f t="shared" si="953"/>
        <v>3/00A</v>
      </c>
      <c r="H238" s="5194" t="str">
        <f t="shared" si="953"/>
        <v>6/00A</v>
      </c>
      <c r="I238" s="5194" t="str">
        <f t="shared" si="953"/>
        <v>9/00A</v>
      </c>
      <c r="J238" s="5194" t="str">
        <f t="shared" si="953"/>
        <v>12/00A</v>
      </c>
      <c r="K238" s="5194" t="str">
        <f t="shared" si="953"/>
        <v>2000A</v>
      </c>
      <c r="L238" s="5194" t="str">
        <f t="shared" si="953"/>
        <v>3/01A</v>
      </c>
      <c r="M238" s="5194" t="str">
        <f t="shared" si="953"/>
        <v>6/01A</v>
      </c>
      <c r="N238" s="5194" t="str">
        <f t="shared" si="953"/>
        <v>9/01A</v>
      </c>
      <c r="O238" s="5194" t="str">
        <f t="shared" si="953"/>
        <v>12/01A</v>
      </c>
      <c r="P238" s="5194" t="str">
        <f t="shared" si="953"/>
        <v>2001A</v>
      </c>
      <c r="Q238" s="5194" t="str">
        <f t="shared" si="953"/>
        <v>3/02A</v>
      </c>
      <c r="R238" s="5194" t="str">
        <f t="shared" si="953"/>
        <v>6/02A</v>
      </c>
      <c r="S238" s="5194" t="str">
        <f t="shared" si="953"/>
        <v>9/02A</v>
      </c>
      <c r="T238" s="5194" t="str">
        <f t="shared" si="953"/>
        <v>12/02A</v>
      </c>
      <c r="U238" s="5194" t="str">
        <f t="shared" si="953"/>
        <v>2002A</v>
      </c>
      <c r="V238" s="5194" t="str">
        <f t="shared" si="953"/>
        <v>3/03A</v>
      </c>
      <c r="W238" s="5194" t="str">
        <f t="shared" si="953"/>
        <v>6/03A</v>
      </c>
      <c r="X238" s="5194" t="str">
        <f t="shared" si="953"/>
        <v>9/03A</v>
      </c>
      <c r="Y238" s="5194" t="str">
        <f t="shared" si="953"/>
        <v>12/03A</v>
      </c>
      <c r="Z238" s="5194" t="str">
        <f t="shared" si="953"/>
        <v>2003A</v>
      </c>
      <c r="AA238" s="5194" t="str">
        <f t="shared" si="953"/>
        <v>3/04A</v>
      </c>
      <c r="AB238" s="5194" t="str">
        <f t="shared" si="953"/>
        <v>6/04A</v>
      </c>
      <c r="AC238" s="5194" t="str">
        <f t="shared" si="953"/>
        <v>9/04A</v>
      </c>
      <c r="AD238" s="5194" t="str">
        <f t="shared" si="953"/>
        <v>12/04A</v>
      </c>
      <c r="AE238" s="5194" t="str">
        <f t="shared" si="953"/>
        <v>2004A</v>
      </c>
      <c r="AF238" s="5194" t="str">
        <f t="shared" si="953"/>
        <v>3/05A</v>
      </c>
      <c r="AG238" s="5194" t="str">
        <f t="shared" ref="AG238:BL238" si="954">AG6</f>
        <v>6/05A</v>
      </c>
      <c r="AH238" s="5194" t="str">
        <f t="shared" si="954"/>
        <v>9/05A</v>
      </c>
      <c r="AI238" s="5194" t="str">
        <f t="shared" si="954"/>
        <v>12/05A</v>
      </c>
      <c r="AJ238" s="5194" t="str">
        <f t="shared" si="954"/>
        <v>2005A</v>
      </c>
      <c r="AK238" s="5194" t="str">
        <f t="shared" si="954"/>
        <v>3/06A</v>
      </c>
      <c r="AL238" s="5194" t="str">
        <f t="shared" si="954"/>
        <v>6/06A</v>
      </c>
      <c r="AM238" s="5194" t="str">
        <f t="shared" si="954"/>
        <v>9/06A</v>
      </c>
      <c r="AN238" s="5194" t="str">
        <f t="shared" si="954"/>
        <v>12/06A</v>
      </c>
      <c r="AO238" s="5194" t="str">
        <f t="shared" si="954"/>
        <v>2006A</v>
      </c>
      <c r="AP238" s="5194" t="str">
        <f t="shared" si="954"/>
        <v>3/07A</v>
      </c>
      <c r="AQ238" s="5194" t="str">
        <f t="shared" si="954"/>
        <v>6/07A</v>
      </c>
      <c r="AR238" s="5194" t="str">
        <f t="shared" si="954"/>
        <v>9/07A</v>
      </c>
      <c r="AS238" s="5194" t="str">
        <f t="shared" si="954"/>
        <v>12/07A</v>
      </c>
      <c r="AT238" s="5194" t="str">
        <f t="shared" si="954"/>
        <v>2007A</v>
      </c>
      <c r="AU238" s="5194" t="str">
        <f t="shared" si="954"/>
        <v>3/08A</v>
      </c>
      <c r="AV238" s="5194" t="str">
        <f t="shared" si="954"/>
        <v>6/08A</v>
      </c>
      <c r="AW238" s="5194" t="str">
        <f t="shared" si="954"/>
        <v>9/08A</v>
      </c>
      <c r="AX238" s="5194" t="str">
        <f t="shared" si="954"/>
        <v>12/08A</v>
      </c>
      <c r="AY238" s="5194" t="str">
        <f t="shared" si="954"/>
        <v>2008A</v>
      </c>
      <c r="AZ238" s="5194" t="str">
        <f t="shared" si="954"/>
        <v>3/09A</v>
      </c>
      <c r="BA238" s="5194" t="str">
        <f t="shared" si="954"/>
        <v>6/09A</v>
      </c>
      <c r="BB238" s="5194" t="str">
        <f t="shared" si="954"/>
        <v>9/09A</v>
      </c>
      <c r="BC238" s="5194" t="str">
        <f t="shared" si="954"/>
        <v>12/09A</v>
      </c>
      <c r="BD238" s="5194" t="str">
        <f t="shared" si="954"/>
        <v>2009A</v>
      </c>
      <c r="BE238" s="5194" t="str">
        <f t="shared" si="954"/>
        <v>3/10A</v>
      </c>
      <c r="BF238" s="5194" t="str">
        <f t="shared" si="954"/>
        <v>6/10A</v>
      </c>
      <c r="BG238" s="5194" t="str">
        <f t="shared" si="954"/>
        <v>9/10A</v>
      </c>
      <c r="BH238" s="5194" t="str">
        <f t="shared" si="954"/>
        <v>12/10A</v>
      </c>
      <c r="BI238" s="5194" t="str">
        <f t="shared" si="954"/>
        <v>2010A</v>
      </c>
      <c r="BJ238" s="5194" t="str">
        <f t="shared" si="954"/>
        <v>3/11A</v>
      </c>
      <c r="BK238" s="5194" t="str">
        <f t="shared" si="954"/>
        <v>6/11A</v>
      </c>
      <c r="BL238" s="5194" t="str">
        <f t="shared" si="954"/>
        <v>9/11A</v>
      </c>
      <c r="BM238" s="5194" t="str">
        <f t="shared" ref="BM238:CR238" si="955">BM6</f>
        <v>12/11A</v>
      </c>
      <c r="BN238" s="5194" t="str">
        <f t="shared" si="955"/>
        <v>2011A</v>
      </c>
      <c r="BO238" s="5194">
        <f t="shared" si="955"/>
        <v>0</v>
      </c>
      <c r="BP238" s="5194">
        <f t="shared" si="955"/>
        <v>0</v>
      </c>
      <c r="BQ238" s="5194">
        <f t="shared" si="955"/>
        <v>0</v>
      </c>
      <c r="BR238" s="5194">
        <f t="shared" si="955"/>
        <v>0</v>
      </c>
      <c r="BS238" s="5194">
        <f t="shared" si="955"/>
        <v>0</v>
      </c>
      <c r="BT238" s="5194" t="str">
        <f t="shared" si="955"/>
        <v>3/12A</v>
      </c>
      <c r="BU238" s="5194" t="str">
        <f t="shared" si="955"/>
        <v>6/12A</v>
      </c>
      <c r="BV238" s="5194" t="str">
        <f t="shared" si="955"/>
        <v>9/12A</v>
      </c>
      <c r="BW238" s="5194" t="str">
        <f t="shared" si="955"/>
        <v>12/12A</v>
      </c>
      <c r="BX238" s="5194" t="str">
        <f t="shared" si="955"/>
        <v>2012A</v>
      </c>
      <c r="BY238" s="5194">
        <f t="shared" si="955"/>
        <v>0</v>
      </c>
      <c r="BZ238" s="5194">
        <f t="shared" si="955"/>
        <v>0</v>
      </c>
      <c r="CA238" s="5194">
        <f t="shared" si="955"/>
        <v>0</v>
      </c>
      <c r="CB238" s="5194">
        <f t="shared" si="955"/>
        <v>0</v>
      </c>
      <c r="CC238" s="5194">
        <f t="shared" si="955"/>
        <v>0</v>
      </c>
      <c r="CD238" s="5194" t="str">
        <f t="shared" si="955"/>
        <v>3/13A</v>
      </c>
      <c r="CE238" s="5194" t="str">
        <f t="shared" si="955"/>
        <v>6/13A</v>
      </c>
      <c r="CF238" s="5194" t="str">
        <f t="shared" si="955"/>
        <v>9/13A</v>
      </c>
      <c r="CG238" s="5194" t="str">
        <f t="shared" si="955"/>
        <v>12/13A</v>
      </c>
      <c r="CH238" s="5194" t="str">
        <f t="shared" si="955"/>
        <v>2013A</v>
      </c>
      <c r="CI238" s="5194" t="str">
        <f t="shared" si="955"/>
        <v>3/14A</v>
      </c>
      <c r="CJ238" s="5194" t="str">
        <f t="shared" si="955"/>
        <v>6/14A</v>
      </c>
      <c r="CK238" s="5194" t="str">
        <f t="shared" si="955"/>
        <v>9/14A</v>
      </c>
      <c r="CL238" s="5194" t="str">
        <f t="shared" si="955"/>
        <v>12/14A</v>
      </c>
      <c r="CM238" s="5196" t="str">
        <f t="shared" si="955"/>
        <v>2014A</v>
      </c>
      <c r="CN238" s="5196" t="str">
        <f t="shared" si="955"/>
        <v>3/15A</v>
      </c>
      <c r="CO238" s="5196" t="str">
        <f t="shared" si="955"/>
        <v>6/15A</v>
      </c>
      <c r="CP238" s="5196" t="str">
        <f t="shared" si="955"/>
        <v>9/15A</v>
      </c>
      <c r="CQ238" s="5196" t="str">
        <f t="shared" si="955"/>
        <v>12/15A</v>
      </c>
      <c r="CR238" s="5196" t="str">
        <f t="shared" si="955"/>
        <v>2015A</v>
      </c>
      <c r="CS238" s="5196" t="str">
        <f t="shared" ref="CS238:DX238" si="956">CS6</f>
        <v>3/16A</v>
      </c>
      <c r="CT238" s="5196" t="str">
        <f t="shared" si="956"/>
        <v>6/16A</v>
      </c>
      <c r="CU238" s="5196" t="str">
        <f t="shared" si="956"/>
        <v>9/16A</v>
      </c>
      <c r="CV238" s="5196" t="str">
        <f t="shared" si="956"/>
        <v>12/16A</v>
      </c>
      <c r="CW238" s="5196" t="str">
        <f t="shared" si="956"/>
        <v>2016A</v>
      </c>
      <c r="CX238" s="5196" t="str">
        <f t="shared" si="956"/>
        <v>3/17A</v>
      </c>
      <c r="CY238" s="5196" t="str">
        <f t="shared" si="956"/>
        <v>6/17A</v>
      </c>
      <c r="CZ238" s="5196" t="str">
        <f t="shared" si="956"/>
        <v>9/17A</v>
      </c>
      <c r="DA238" s="5196" t="str">
        <f t="shared" si="956"/>
        <v>12/17A</v>
      </c>
      <c r="DB238" s="5196" t="str">
        <f t="shared" si="956"/>
        <v>2017A</v>
      </c>
      <c r="DC238" s="5196" t="str">
        <f t="shared" si="956"/>
        <v>3/18A</v>
      </c>
      <c r="DD238" s="5196" t="str">
        <f t="shared" si="956"/>
        <v>6/18A</v>
      </c>
      <c r="DE238" s="5196" t="str">
        <f t="shared" si="956"/>
        <v>9/18A</v>
      </c>
      <c r="DF238" s="5196" t="str">
        <f t="shared" si="956"/>
        <v>12/18A</v>
      </c>
      <c r="DG238" s="5196" t="str">
        <f t="shared" si="956"/>
        <v>2018A</v>
      </c>
      <c r="DH238" s="5196" t="str">
        <f t="shared" si="956"/>
        <v>3/19A</v>
      </c>
      <c r="DI238" s="5196" t="str">
        <f t="shared" si="956"/>
        <v>6/19A</v>
      </c>
      <c r="DJ238" s="5196" t="str">
        <f t="shared" si="956"/>
        <v>9/19A</v>
      </c>
      <c r="DK238" s="5196" t="str">
        <f t="shared" si="956"/>
        <v>12/19A</v>
      </c>
      <c r="DL238" s="5196" t="str">
        <f t="shared" si="956"/>
        <v>2019A</v>
      </c>
      <c r="DM238" s="5196" t="str">
        <f t="shared" si="956"/>
        <v>3/20A</v>
      </c>
      <c r="DN238" s="5196" t="str">
        <f t="shared" si="956"/>
        <v>6/20A</v>
      </c>
      <c r="DO238" s="5196" t="str">
        <f t="shared" si="956"/>
        <v>9/20A</v>
      </c>
      <c r="DP238" s="5196" t="str">
        <f t="shared" si="956"/>
        <v>12/20A</v>
      </c>
      <c r="DQ238" s="5196" t="str">
        <f t="shared" si="956"/>
        <v>2020A</v>
      </c>
      <c r="DR238" s="5196" t="str">
        <f t="shared" si="956"/>
        <v>3/21A</v>
      </c>
      <c r="DS238" s="5196" t="str">
        <f t="shared" si="956"/>
        <v>6/21A</v>
      </c>
      <c r="DT238" s="5196" t="str">
        <f t="shared" si="956"/>
        <v>9/21A</v>
      </c>
      <c r="DU238" s="5196" t="str">
        <f t="shared" si="956"/>
        <v>12/21A</v>
      </c>
      <c r="DV238" s="5196" t="str">
        <f t="shared" si="956"/>
        <v>2021A</v>
      </c>
      <c r="DW238" s="5196" t="str">
        <f t="shared" si="956"/>
        <v>3/22A</v>
      </c>
      <c r="DX238" s="5196" t="str">
        <f t="shared" si="956"/>
        <v>6/22A</v>
      </c>
      <c r="DY238" s="5196" t="str">
        <f t="shared" ref="DY238:EX238" si="957">DY6</f>
        <v>9/22A</v>
      </c>
      <c r="DZ238" s="5196" t="str">
        <f t="shared" si="957"/>
        <v>12/22A</v>
      </c>
      <c r="EA238" s="5196" t="str">
        <f t="shared" si="957"/>
        <v>2022A</v>
      </c>
      <c r="EB238" s="5196" t="str">
        <f t="shared" si="957"/>
        <v>3/23A</v>
      </c>
      <c r="EC238" s="5196" t="str">
        <f t="shared" si="957"/>
        <v>6/23A</v>
      </c>
      <c r="ED238" s="5196" t="str">
        <f t="shared" si="957"/>
        <v>9/23A</v>
      </c>
      <c r="EE238" s="5196" t="str">
        <f t="shared" si="957"/>
        <v>12/23A</v>
      </c>
      <c r="EF238" s="5196" t="str">
        <f t="shared" si="957"/>
        <v>2023A</v>
      </c>
      <c r="EG238" s="5196" t="str">
        <f t="shared" si="957"/>
        <v>3/24A</v>
      </c>
      <c r="EH238" s="5196" t="str">
        <f t="shared" si="957"/>
        <v>6/24A</v>
      </c>
      <c r="EI238" s="5196" t="str">
        <f t="shared" ref="EI238:EJ238" si="958">EI6</f>
        <v>9/24A</v>
      </c>
      <c r="EJ238" s="5196" t="str">
        <f t="shared" si="958"/>
        <v>12/24A</v>
      </c>
      <c r="EK238" s="5196" t="str">
        <f t="shared" si="957"/>
        <v>2024A</v>
      </c>
      <c r="EL238" s="5196" t="str">
        <f t="shared" ref="EL238:EN238" si="959">EL6</f>
        <v>3/25A</v>
      </c>
      <c r="EM238" s="5196" t="str">
        <f t="shared" si="959"/>
        <v>6/25A</v>
      </c>
      <c r="EN238" s="5196" t="str">
        <f t="shared" si="959"/>
        <v>9/25A</v>
      </c>
      <c r="EO238" s="5196" t="str">
        <f t="shared" si="957"/>
        <v>12/25E</v>
      </c>
      <c r="EP238" s="5196" t="str">
        <f t="shared" si="957"/>
        <v>2025E</v>
      </c>
      <c r="EQ238" s="5196" t="str">
        <f t="shared" ref="EQ238:EU238" si="960">EQ6</f>
        <v>3/26E</v>
      </c>
      <c r="ER238" s="5196" t="str">
        <f t="shared" si="960"/>
        <v>6/26E</v>
      </c>
      <c r="ES238" s="5196" t="str">
        <f t="shared" si="960"/>
        <v>9/26E</v>
      </c>
      <c r="ET238" s="5196" t="str">
        <f t="shared" si="960"/>
        <v>12/26E</v>
      </c>
      <c r="EU238" s="5196" t="str">
        <f t="shared" si="960"/>
        <v>2026E</v>
      </c>
      <c r="EV238" s="5196" t="str">
        <f t="shared" si="957"/>
        <v>2027E</v>
      </c>
      <c r="EW238" s="5196" t="str">
        <f t="shared" si="957"/>
        <v>2028E</v>
      </c>
      <c r="EX238" s="5196" t="str">
        <f t="shared" si="957"/>
        <v>2029E</v>
      </c>
      <c r="EY238" s="5196" t="str">
        <f t="shared" ref="EY238" si="961">EY6</f>
        <v>2030E</v>
      </c>
      <c r="EZ238" s="32"/>
      <c r="FA238" s="4269"/>
      <c r="FB238" s="4269"/>
    </row>
    <row r="239" spans="1:158" s="31" customFormat="1" ht="11.25" customHeight="1" collapsed="1">
      <c r="A239" s="5662" t="s">
        <v>1111</v>
      </c>
      <c r="B239" s="2918"/>
      <c r="C239" s="2918"/>
      <c r="D239" s="2918"/>
      <c r="E239" s="2918"/>
      <c r="F239" s="5566"/>
      <c r="G239" s="2918"/>
      <c r="H239" s="2918"/>
      <c r="I239" s="2918"/>
      <c r="J239" s="2918"/>
      <c r="K239" s="5198"/>
      <c r="L239" s="2918"/>
      <c r="M239" s="2918"/>
      <c r="N239" s="2918"/>
      <c r="O239" s="2918"/>
      <c r="P239" s="5198"/>
      <c r="Q239" s="5197"/>
      <c r="R239" s="2918"/>
      <c r="S239" s="2918"/>
      <c r="T239" s="2918"/>
      <c r="U239" s="5198"/>
      <c r="V239" s="5197"/>
      <c r="W239" s="2918"/>
      <c r="X239" s="2918"/>
      <c r="Y239" s="2918"/>
      <c r="Z239" s="5198"/>
      <c r="AA239" s="5197"/>
      <c r="AB239" s="2918"/>
      <c r="AC239" s="2918"/>
      <c r="AD239" s="2918"/>
      <c r="AE239" s="5198"/>
      <c r="AF239" s="5197"/>
      <c r="AG239" s="2918"/>
      <c r="AH239" s="2918"/>
      <c r="AI239" s="2918"/>
      <c r="AJ239" s="5198"/>
      <c r="AK239" s="5197"/>
      <c r="AL239" s="2918"/>
      <c r="AM239" s="2918"/>
      <c r="AN239" s="2918"/>
      <c r="AO239" s="5198"/>
      <c r="AP239" s="5197"/>
      <c r="AQ239" s="2918"/>
      <c r="AR239" s="2918"/>
      <c r="AS239" s="2918"/>
      <c r="AT239" s="5198"/>
      <c r="AU239" s="5197"/>
      <c r="AV239" s="2918"/>
      <c r="AW239" s="2918"/>
      <c r="AX239" s="2918"/>
      <c r="AY239" s="5198"/>
      <c r="AZ239" s="5197"/>
      <c r="BA239" s="2918"/>
      <c r="BB239" s="2918"/>
      <c r="BC239" s="2918"/>
      <c r="BD239" s="5198"/>
      <c r="BE239" s="5197"/>
      <c r="BF239" s="2918"/>
      <c r="BG239" s="2918"/>
      <c r="BH239" s="2918"/>
      <c r="BI239" s="5198"/>
      <c r="BJ239" s="5197"/>
      <c r="BK239" s="2918"/>
      <c r="BL239" s="2918"/>
      <c r="BM239" s="2918"/>
      <c r="BN239" s="5198"/>
      <c r="BO239" s="2918"/>
      <c r="BP239" s="2918"/>
      <c r="BQ239" s="2918"/>
      <c r="BR239" s="2918"/>
      <c r="BS239" s="5198"/>
      <c r="BT239" s="2918"/>
      <c r="BU239" s="2918"/>
      <c r="BV239" s="2918"/>
      <c r="BW239" s="2918"/>
      <c r="BX239" s="5198"/>
      <c r="BY239" s="2918"/>
      <c r="BZ239" s="2918"/>
      <c r="CA239" s="2918"/>
      <c r="CB239" s="2918"/>
      <c r="CC239" s="5198"/>
      <c r="CD239" s="2918"/>
      <c r="CE239" s="2918"/>
      <c r="CF239" s="2918"/>
      <c r="CG239" s="2918"/>
      <c r="CH239" s="5198"/>
      <c r="CI239" s="2347"/>
      <c r="CJ239" s="2918"/>
      <c r="CK239" s="2918"/>
      <c r="CL239" s="2918"/>
      <c r="CM239" s="5198"/>
      <c r="CN239" s="2918"/>
      <c r="CO239" s="2918"/>
      <c r="CP239" s="2918"/>
      <c r="CQ239" s="2918"/>
      <c r="CR239" s="5198"/>
      <c r="CS239" s="2918"/>
      <c r="CT239" s="2918"/>
      <c r="CU239" s="2918"/>
      <c r="CV239" s="5111"/>
      <c r="CW239" s="5213"/>
      <c r="CX239" s="5111"/>
      <c r="CY239" s="5111"/>
      <c r="CZ239" s="5111"/>
      <c r="DA239" s="5111"/>
      <c r="DB239" s="5213"/>
      <c r="DC239" s="5111"/>
      <c r="DD239" s="5111"/>
      <c r="DE239" s="5111"/>
      <c r="DF239" s="5111"/>
      <c r="DG239" s="5213"/>
      <c r="DH239" s="5111"/>
      <c r="DI239" s="5111"/>
      <c r="DJ239" s="5111"/>
      <c r="DK239" s="5111"/>
      <c r="DL239" s="5213"/>
      <c r="DM239" s="5111"/>
      <c r="DN239" s="5111"/>
      <c r="DO239" s="5111"/>
      <c r="DP239" s="5111"/>
      <c r="DQ239" s="5199"/>
      <c r="DR239" s="5111"/>
      <c r="DS239" s="5111"/>
      <c r="DT239" s="5111"/>
      <c r="DU239" s="5111"/>
      <c r="DV239" s="5199"/>
      <c r="DW239" s="5111"/>
      <c r="DX239" s="5111"/>
      <c r="DY239" s="5111"/>
      <c r="DZ239" s="5111"/>
      <c r="EA239" s="5199"/>
      <c r="EB239" s="5111"/>
      <c r="EC239" s="5111"/>
      <c r="ED239" s="5111"/>
      <c r="EE239" s="5111"/>
      <c r="EF239" s="5199"/>
      <c r="EG239" s="5111"/>
      <c r="EH239" s="5111"/>
      <c r="EI239" s="5111"/>
      <c r="EJ239" s="5111"/>
      <c r="EK239" s="5199"/>
      <c r="EL239" s="5111"/>
      <c r="EM239" s="5111"/>
      <c r="EN239" s="5111"/>
      <c r="EO239" s="5111"/>
      <c r="EP239" s="5199"/>
      <c r="EQ239" s="5111"/>
      <c r="ER239" s="5111"/>
      <c r="ES239" s="5111"/>
      <c r="ET239" s="5111"/>
      <c r="EU239" s="5199"/>
      <c r="EV239" s="5213"/>
      <c r="EW239" s="5213"/>
      <c r="EX239" s="5213"/>
      <c r="EY239" s="5213"/>
      <c r="EZ239" s="32"/>
      <c r="FA239" s="725"/>
      <c r="FB239" s="725"/>
    </row>
    <row r="240" spans="1:158" s="168" customFormat="1" ht="11.25" customHeight="1">
      <c r="A240" s="3568" t="s">
        <v>604</v>
      </c>
      <c r="B240" s="1968"/>
      <c r="C240" s="1968"/>
      <c r="D240" s="1968"/>
      <c r="E240" s="1968"/>
      <c r="F240" s="5567"/>
      <c r="G240" s="1968"/>
      <c r="H240" s="1968"/>
      <c r="I240" s="1968"/>
      <c r="J240" s="1968"/>
      <c r="K240" s="3464"/>
      <c r="L240" s="1968"/>
      <c r="M240" s="1968"/>
      <c r="N240" s="1968"/>
      <c r="O240" s="1968"/>
      <c r="P240" s="3464"/>
      <c r="Q240" s="2898"/>
      <c r="R240" s="1968"/>
      <c r="S240" s="1968"/>
      <c r="T240" s="1968"/>
      <c r="U240" s="3464"/>
      <c r="V240" s="2898"/>
      <c r="W240" s="1968"/>
      <c r="X240" s="1968"/>
      <c r="Y240" s="1968"/>
      <c r="Z240" s="3464"/>
      <c r="AA240" s="2898"/>
      <c r="AB240" s="1968"/>
      <c r="AC240" s="1968"/>
      <c r="AD240" s="3465"/>
      <c r="AE240" s="3464"/>
      <c r="AF240" s="2898"/>
      <c r="AG240" s="1968"/>
      <c r="AH240" s="1968"/>
      <c r="AI240" s="3465"/>
      <c r="AJ240" s="3464"/>
      <c r="AK240" s="2898"/>
      <c r="AL240" s="1968"/>
      <c r="AM240" s="1968"/>
      <c r="AN240" s="1968"/>
      <c r="AO240" s="3464"/>
      <c r="AP240" s="2898"/>
      <c r="AQ240" s="1968"/>
      <c r="AR240" s="1968"/>
      <c r="AS240" s="1968"/>
      <c r="AT240" s="3464"/>
      <c r="AU240" s="2898"/>
      <c r="AV240" s="1968"/>
      <c r="AW240" s="1968"/>
      <c r="AX240" s="1968"/>
      <c r="AY240" s="3464"/>
      <c r="AZ240" s="2898"/>
      <c r="BA240" s="1968"/>
      <c r="BB240" s="1968"/>
      <c r="BC240" s="1968"/>
      <c r="BD240" s="3464"/>
      <c r="BE240" s="2898"/>
      <c r="BF240" s="1968"/>
      <c r="BG240" s="1968"/>
      <c r="BH240" s="1968"/>
      <c r="BI240" s="3464"/>
      <c r="BJ240" s="2898"/>
      <c r="BK240" s="1968"/>
      <c r="BL240" s="1968"/>
      <c r="BM240" s="1968"/>
      <c r="BN240" s="3464"/>
      <c r="BO240" s="1968"/>
      <c r="BP240" s="1968"/>
      <c r="BQ240" s="1968"/>
      <c r="BR240" s="1968"/>
      <c r="BS240" s="3477"/>
      <c r="BT240" s="1968"/>
      <c r="BU240" s="1968"/>
      <c r="BV240" s="1968"/>
      <c r="BW240" s="1968"/>
      <c r="BX240" s="3464"/>
      <c r="BY240" s="1968"/>
      <c r="BZ240" s="1968"/>
      <c r="CA240" s="1968"/>
      <c r="CB240" s="1968"/>
      <c r="CC240" s="3477"/>
      <c r="CD240" s="1968"/>
      <c r="CE240" s="1968"/>
      <c r="CF240" s="1968"/>
      <c r="CG240" s="1968"/>
      <c r="CH240" s="3464"/>
      <c r="CI240" s="3478"/>
      <c r="CJ240" s="1968"/>
      <c r="CK240" s="1968"/>
      <c r="CL240" s="1968"/>
      <c r="CM240" s="3464"/>
      <c r="CN240" s="1968"/>
      <c r="CO240" s="1968"/>
      <c r="CP240" s="1968"/>
      <c r="CQ240" s="1968"/>
      <c r="CR240" s="3464">
        <f t="shared" ref="CR240:DF240" si="962">CR186</f>
        <v>26368</v>
      </c>
      <c r="CS240" s="1968">
        <f t="shared" si="962"/>
        <v>7130</v>
      </c>
      <c r="CT240" s="1968">
        <f t="shared" si="962"/>
        <v>7485</v>
      </c>
      <c r="CU240" s="1968">
        <f t="shared" si="962"/>
        <v>7392</v>
      </c>
      <c r="CV240" s="1968">
        <f t="shared" si="962"/>
        <v>8297</v>
      </c>
      <c r="CW240" s="3464">
        <f t="shared" si="962"/>
        <v>30304</v>
      </c>
      <c r="CX240" s="1968">
        <f t="shared" si="962"/>
        <v>8091</v>
      </c>
      <c r="CY240" s="1968">
        <f t="shared" si="962"/>
        <v>8545</v>
      </c>
      <c r="CZ240" s="1968">
        <f t="shared" si="962"/>
        <v>9097</v>
      </c>
      <c r="DA240" s="1968">
        <f t="shared" si="962"/>
        <v>10313</v>
      </c>
      <c r="DB240" s="3464">
        <f t="shared" si="962"/>
        <v>36046</v>
      </c>
      <c r="DC240" s="1968">
        <f t="shared" si="962"/>
        <v>10474</v>
      </c>
      <c r="DD240" s="1968">
        <f t="shared" si="962"/>
        <v>10785</v>
      </c>
      <c r="DE240" s="1968">
        <f t="shared" si="962"/>
        <v>10958</v>
      </c>
      <c r="DF240" s="1968">
        <f t="shared" si="962"/>
        <v>12251</v>
      </c>
      <c r="DG240" s="3464">
        <f t="shared" ref="DG240:DX240" si="963">DG186</f>
        <v>44468</v>
      </c>
      <c r="DH240" s="1968">
        <f t="shared" si="963"/>
        <v>11668</v>
      </c>
      <c r="DI240" s="1968">
        <f t="shared" si="963"/>
        <v>12313</v>
      </c>
      <c r="DJ240" s="1968">
        <f t="shared" si="963"/>
        <v>12565</v>
      </c>
      <c r="DK240" s="1968">
        <f t="shared" si="963"/>
        <v>14099</v>
      </c>
      <c r="DL240" s="3464">
        <f t="shared" si="963"/>
        <v>50645</v>
      </c>
      <c r="DM240" s="1968">
        <f t="shared" si="963"/>
        <v>12845</v>
      </c>
      <c r="DN240" s="1968">
        <f t="shared" si="963"/>
        <v>11363</v>
      </c>
      <c r="DO240" s="1968">
        <f t="shared" si="963"/>
        <v>13924</v>
      </c>
      <c r="DP240" s="1968">
        <f t="shared" si="963"/>
        <v>17238</v>
      </c>
      <c r="DQ240" s="3464">
        <f t="shared" si="963"/>
        <v>55370</v>
      </c>
      <c r="DR240" s="5712">
        <f t="shared" si="963"/>
        <v>17031</v>
      </c>
      <c r="DS240" s="5712">
        <f t="shared" si="963"/>
        <v>19084</v>
      </c>
      <c r="DT240" s="5712">
        <f t="shared" si="963"/>
        <v>19839</v>
      </c>
      <c r="DU240" s="5712">
        <f t="shared" si="963"/>
        <v>23153</v>
      </c>
      <c r="DV240" s="5713">
        <f t="shared" si="963"/>
        <v>79107</v>
      </c>
      <c r="DW240" s="5712">
        <f t="shared" si="963"/>
        <v>20317</v>
      </c>
      <c r="DX240" s="5712">
        <f t="shared" si="963"/>
        <v>20533</v>
      </c>
      <c r="DY240" s="5712">
        <f t="shared" ref="DY240:EC241" si="964">DY186</f>
        <v>19450</v>
      </c>
      <c r="DZ240" s="5712">
        <f t="shared" si="964"/>
        <v>21762</v>
      </c>
      <c r="EA240" s="5713">
        <f t="shared" si="964"/>
        <v>82062</v>
      </c>
      <c r="EB240" s="5712">
        <f t="shared" si="964"/>
        <v>21078</v>
      </c>
      <c r="EC240" s="5712">
        <f t="shared" si="964"/>
        <v>22289</v>
      </c>
      <c r="ED240" s="5712">
        <f>ED186</f>
        <v>22661</v>
      </c>
      <c r="EE240" s="5712">
        <f t="shared" ref="EE240" si="965">EE186</f>
        <v>25010</v>
      </c>
      <c r="EF240" s="3464">
        <f>EF186</f>
        <v>91038</v>
      </c>
      <c r="EG240" s="5712">
        <f t="shared" ref="EG240:EH240" si="966">EG186</f>
        <v>23788</v>
      </c>
      <c r="EH240" s="5712">
        <f t="shared" si="966"/>
        <v>24683</v>
      </c>
      <c r="EI240" s="5712">
        <f>EI186</f>
        <v>25472</v>
      </c>
      <c r="EJ240" s="5712">
        <f t="shared" ref="EJ240:EJ241" si="967">EJ186</f>
        <v>28184</v>
      </c>
      <c r="EK240" s="3464">
        <f>EK186</f>
        <v>102127</v>
      </c>
      <c r="EL240" s="5712">
        <f t="shared" ref="EL240:EM240" si="968">EL186</f>
        <v>25923</v>
      </c>
      <c r="EM240" s="5712">
        <f t="shared" si="968"/>
        <v>28262</v>
      </c>
      <c r="EN240" s="5712">
        <f>EN186</f>
        <v>29911</v>
      </c>
      <c r="EO240" s="2517">
        <f t="shared" ref="EO240" si="969">EJ240*(1+EO241)</f>
        <v>33265.988804486216</v>
      </c>
      <c r="EP240" s="3464">
        <f>EP186</f>
        <v>117361.98880448622</v>
      </c>
      <c r="EQ240" s="2517">
        <f t="shared" ref="EQ240" si="970">EL240*(1+EQ241)</f>
        <v>31722.518025259342</v>
      </c>
      <c r="ER240" s="2517">
        <f t="shared" ref="ER240" si="971">EM240*(1+ER241)</f>
        <v>32750.470517032114</v>
      </c>
      <c r="ES240" s="2517">
        <f t="shared" ref="ES240" si="972">EN240*(1+ES241)</f>
        <v>33665.882156486754</v>
      </c>
      <c r="ET240" s="2517">
        <f t="shared" ref="ET240" si="973">EO240*(1+ET241)</f>
        <v>37673.034210083199</v>
      </c>
      <c r="EU240" s="3464">
        <f>EU186</f>
        <v>135811.90490886141</v>
      </c>
      <c r="EV240" s="3479">
        <f>EU240*(1+EV241)</f>
        <v>152109.33349792479</v>
      </c>
      <c r="EW240" s="3479">
        <f>EV240*(1+EW241)</f>
        <v>168993.46951619443</v>
      </c>
      <c r="EX240" s="3479">
        <f>EW240*(1+EX241)</f>
        <v>185385.83605926528</v>
      </c>
      <c r="EY240" s="3479">
        <f>EX240*(1+EY241)</f>
        <v>202255.94714065842</v>
      </c>
      <c r="EZ240" s="167"/>
      <c r="FA240" s="1319">
        <f>(EV240/EK240)^(1/3)-1</f>
        <v>0.14201488076417346</v>
      </c>
      <c r="FB240" s="1319">
        <f>(EX240/EK240)^(1/5)-1</f>
        <v>0.12664526303974011</v>
      </c>
    </row>
    <row r="241" spans="1:158" s="249" customFormat="1" ht="11.25" customHeight="1">
      <c r="A241" s="5643" t="s">
        <v>45</v>
      </c>
      <c r="B241" s="158"/>
      <c r="C241" s="158"/>
      <c r="D241" s="158"/>
      <c r="E241" s="158"/>
      <c r="F241" s="5568"/>
      <c r="G241" s="158"/>
      <c r="H241" s="158"/>
      <c r="I241" s="158"/>
      <c r="J241" s="158"/>
      <c r="K241" s="2331"/>
      <c r="L241" s="158"/>
      <c r="M241" s="158"/>
      <c r="N241" s="158"/>
      <c r="O241" s="158"/>
      <c r="P241" s="2290"/>
      <c r="Q241" s="3504"/>
      <c r="R241" s="158"/>
      <c r="S241" s="158"/>
      <c r="T241" s="158"/>
      <c r="U241" s="2290"/>
      <c r="V241" s="3502"/>
      <c r="W241" s="2505"/>
      <c r="X241" s="2505"/>
      <c r="Y241" s="2505"/>
      <c r="Z241" s="2290"/>
      <c r="AA241" s="3502"/>
      <c r="AB241" s="2505"/>
      <c r="AC241" s="2505"/>
      <c r="AD241" s="2505"/>
      <c r="AE241" s="2290"/>
      <c r="AF241" s="3502"/>
      <c r="AG241" s="2505"/>
      <c r="AH241" s="2505"/>
      <c r="AI241" s="2505"/>
      <c r="AJ241" s="2290"/>
      <c r="AK241" s="3502"/>
      <c r="AL241" s="2505"/>
      <c r="AM241" s="2505"/>
      <c r="AN241" s="2505"/>
      <c r="AO241" s="2290"/>
      <c r="AP241" s="3502"/>
      <c r="AQ241" s="2505"/>
      <c r="AR241" s="2505"/>
      <c r="AS241" s="2505"/>
      <c r="AT241" s="2290"/>
      <c r="AU241" s="3502"/>
      <c r="AV241" s="2505"/>
      <c r="AW241" s="2505"/>
      <c r="AX241" s="2505"/>
      <c r="AY241" s="2290"/>
      <c r="AZ241" s="3502"/>
      <c r="BA241" s="2505"/>
      <c r="BB241" s="2505"/>
      <c r="BC241" s="2505"/>
      <c r="BD241" s="2290"/>
      <c r="BE241" s="3502"/>
      <c r="BF241" s="2505"/>
      <c r="BG241" s="2505"/>
      <c r="BH241" s="2505"/>
      <c r="BI241" s="2290"/>
      <c r="BJ241" s="3502"/>
      <c r="BK241" s="2505"/>
      <c r="BL241" s="2505"/>
      <c r="BM241" s="2505"/>
      <c r="BN241" s="2290"/>
      <c r="BO241" s="2288"/>
      <c r="BP241" s="2288"/>
      <c r="BQ241" s="2288"/>
      <c r="BR241" s="2288"/>
      <c r="BS241" s="2873"/>
      <c r="BT241" s="2505"/>
      <c r="BU241" s="2505"/>
      <c r="BV241" s="2505"/>
      <c r="BW241" s="2505"/>
      <c r="BX241" s="2290"/>
      <c r="BY241" s="2288"/>
      <c r="BZ241" s="2288"/>
      <c r="CA241" s="2288"/>
      <c r="CB241" s="2288"/>
      <c r="CC241" s="2873"/>
      <c r="CD241" s="2505"/>
      <c r="CE241" s="2505"/>
      <c r="CF241" s="2505"/>
      <c r="CG241" s="2505"/>
      <c r="CH241" s="2290"/>
      <c r="CI241" s="3505"/>
      <c r="CJ241" s="2505"/>
      <c r="CK241" s="2505"/>
      <c r="CL241" s="2505"/>
      <c r="CM241" s="2290"/>
      <c r="CN241" s="2288"/>
      <c r="CO241" s="2505"/>
      <c r="CP241" s="2505"/>
      <c r="CQ241" s="2505"/>
      <c r="CR241" s="2290"/>
      <c r="CS241" s="1143"/>
      <c r="CT241" s="3503"/>
      <c r="CU241" s="1143"/>
      <c r="CV241" s="1143"/>
      <c r="CW241" s="2290">
        <f t="shared" ref="CW241:DF241" si="974">CW187</f>
        <v>0.14927184466019416</v>
      </c>
      <c r="CX241" s="2288">
        <f t="shared" si="974"/>
        <v>0.13478260869565228</v>
      </c>
      <c r="CY241" s="2288">
        <f t="shared" si="974"/>
        <v>0.14161656646626586</v>
      </c>
      <c r="CZ241" s="2288">
        <f t="shared" si="974"/>
        <v>0.23065476190476186</v>
      </c>
      <c r="DA241" s="2288">
        <f t="shared" si="974"/>
        <v>0.24297939014101488</v>
      </c>
      <c r="DB241" s="2290">
        <f t="shared" si="974"/>
        <v>0.18947993664202745</v>
      </c>
      <c r="DC241" s="2288">
        <f t="shared" si="974"/>
        <v>0.29452478062044252</v>
      </c>
      <c r="DD241" s="2288">
        <f t="shared" si="974"/>
        <v>0.26214160327677005</v>
      </c>
      <c r="DE241" s="2288">
        <f t="shared" si="974"/>
        <v>0.20457293613279104</v>
      </c>
      <c r="DF241" s="2288">
        <f t="shared" si="974"/>
        <v>0.18791816154368268</v>
      </c>
      <c r="DG241" s="2290">
        <f t="shared" ref="DG241:DX241" si="975">DG187</f>
        <v>0.23364589690950455</v>
      </c>
      <c r="DH241" s="2288">
        <f t="shared" si="975"/>
        <v>0.11399656291770088</v>
      </c>
      <c r="DI241" s="2288">
        <f t="shared" si="975"/>
        <v>0.14167825683820112</v>
      </c>
      <c r="DJ241" s="2288">
        <f t="shared" si="975"/>
        <v>0.14665084869501732</v>
      </c>
      <c r="DK241" s="2288">
        <f t="shared" si="975"/>
        <v>0.15084482899355156</v>
      </c>
      <c r="DL241" s="5075">
        <f t="shared" si="975"/>
        <v>0.13890887829450382</v>
      </c>
      <c r="DM241" s="5074">
        <f t="shared" si="975"/>
        <v>0.10087418580733631</v>
      </c>
      <c r="DN241" s="5074">
        <f t="shared" si="975"/>
        <v>-7.7154227239502937E-2</v>
      </c>
      <c r="DO241" s="5074">
        <f t="shared" si="975"/>
        <v>0.10815758058097891</v>
      </c>
      <c r="DP241" s="5074">
        <f t="shared" si="975"/>
        <v>0.22263990353925811</v>
      </c>
      <c r="DQ241" s="5075">
        <f t="shared" si="975"/>
        <v>9.3296475466482454E-2</v>
      </c>
      <c r="DR241" s="5074">
        <f t="shared" si="975"/>
        <v>0.32588555858310619</v>
      </c>
      <c r="DS241" s="5074">
        <f t="shared" si="975"/>
        <v>0.67948605121886829</v>
      </c>
      <c r="DT241" s="5074">
        <f t="shared" si="975"/>
        <v>0.42480609020396431</v>
      </c>
      <c r="DU241" s="5074">
        <f t="shared" si="975"/>
        <v>0.34313725490196068</v>
      </c>
      <c r="DV241" s="2873">
        <f t="shared" si="975"/>
        <v>0.42869785082174472</v>
      </c>
      <c r="DW241" s="5074">
        <f t="shared" si="975"/>
        <v>0.19294228172156647</v>
      </c>
      <c r="DX241" s="5074">
        <f t="shared" si="975"/>
        <v>7.592747851603443E-2</v>
      </c>
      <c r="DY241" s="5074">
        <f t="shared" si="964"/>
        <v>-1.9607843137254943E-2</v>
      </c>
      <c r="DZ241" s="5074">
        <f t="shared" si="964"/>
        <v>-6.0078607523862959E-2</v>
      </c>
      <c r="EA241" s="2873">
        <f t="shared" si="964"/>
        <v>3.7354469263150003E-2</v>
      </c>
      <c r="EB241" s="5074">
        <f t="shared" si="964"/>
        <v>3.7456317369690462E-2</v>
      </c>
      <c r="EC241" s="5074">
        <f t="shared" si="964"/>
        <v>8.5520868845273545E-2</v>
      </c>
      <c r="ED241" s="5074">
        <f>ED187</f>
        <v>0.16508997429305916</v>
      </c>
      <c r="EE241" s="5074">
        <f t="shared" ref="EE241" si="976">EE187</f>
        <v>0.14925098796066538</v>
      </c>
      <c r="EF241" s="2873">
        <f>EF187</f>
        <v>0.10938071214447609</v>
      </c>
      <c r="EG241" s="5074">
        <f t="shared" ref="EG241:EH241" si="977">EG187</f>
        <v>0.12857007306196033</v>
      </c>
      <c r="EH241" s="5074">
        <f t="shared" si="977"/>
        <v>0.1074072412400735</v>
      </c>
      <c r="EI241" s="5074">
        <f>EI187</f>
        <v>0.1240457173116809</v>
      </c>
      <c r="EJ241" s="5074">
        <f t="shared" si="967"/>
        <v>0.12690923630547779</v>
      </c>
      <c r="EK241" s="2873">
        <f>EK187</f>
        <v>0.12180627869680793</v>
      </c>
      <c r="EL241" s="5074">
        <f t="shared" ref="EL241:EM241" si="978">EL187</f>
        <v>8.9751135026063578E-2</v>
      </c>
      <c r="EM241" s="5074">
        <f t="shared" si="978"/>
        <v>0.1449985820200137</v>
      </c>
      <c r="EN241" s="5074">
        <f>EN187</f>
        <v>0.17426978643216073</v>
      </c>
      <c r="EO241" s="2288">
        <f>(1+EO254)*(1+FX!EO30*FX!EO31)-1</f>
        <v>0.18031467515207988</v>
      </c>
      <c r="EP241" s="2873">
        <f>EP187</f>
        <v>0.14917689547804414</v>
      </c>
      <c r="EQ241" s="2288">
        <f>(1+EQ254)*(1+FX!EQ30*FX!EQ31)-1</f>
        <v>0.22372094376651397</v>
      </c>
      <c r="ER241" s="2288">
        <f>(1+ER254)*(1+FX!ER30*FX!ER31)-1</f>
        <v>0.15881645025235702</v>
      </c>
      <c r="ES241" s="2288">
        <f>(1+ES254)*(1+FX!ES30*FX!ES31)-1</f>
        <v>0.12553515952280958</v>
      </c>
      <c r="ET241" s="2288">
        <f>(1+ET254)*(1+FX!ET30*FX!ET31)-1</f>
        <v>0.13247901427185749</v>
      </c>
      <c r="EU241" s="2873">
        <f>EU187</f>
        <v>0.15720521007113275</v>
      </c>
      <c r="EV241" s="2499">
        <f>(1+EV254)*(1+FX!EZ30*FX!EZ31)-1</f>
        <v>0.12000000000000011</v>
      </c>
      <c r="EW241" s="2499">
        <f>(1+EW254)*(1+FX!FA30*FX!FA31)-1</f>
        <v>0.11099999999999999</v>
      </c>
      <c r="EX241" s="2499">
        <f>(1+EX254)*(1+FX!FB30*FX!FB31)-1</f>
        <v>9.6999999999999975E-2</v>
      </c>
      <c r="EY241" s="2499">
        <f>(1+EY254)*(1+FX!FC30*FX!FC31)-1</f>
        <v>9.099999999999997E-2</v>
      </c>
      <c r="EZ241" s="185"/>
      <c r="FA241" s="725"/>
      <c r="FB241" s="725"/>
    </row>
    <row r="242" spans="1:158" s="249" customFormat="1" ht="11.25" customHeight="1">
      <c r="A242" s="5643" t="s">
        <v>46</v>
      </c>
      <c r="B242" s="158"/>
      <c r="C242" s="158"/>
      <c r="D242" s="158"/>
      <c r="E242" s="158"/>
      <c r="F242" s="5568"/>
      <c r="G242" s="158"/>
      <c r="H242" s="158"/>
      <c r="I242" s="158"/>
      <c r="J242" s="158"/>
      <c r="K242" s="2331"/>
      <c r="L242" s="158"/>
      <c r="M242" s="158"/>
      <c r="N242" s="158"/>
      <c r="O242" s="158"/>
      <c r="P242" s="2506"/>
      <c r="Q242" s="3504"/>
      <c r="R242" s="158"/>
      <c r="S242" s="158"/>
      <c r="T242" s="158"/>
      <c r="U242" s="2506"/>
      <c r="V242" s="3502"/>
      <c r="W242" s="2505"/>
      <c r="X242" s="2505"/>
      <c r="Y242" s="2505"/>
      <c r="Z242" s="2506"/>
      <c r="AA242" s="3502"/>
      <c r="AB242" s="2505"/>
      <c r="AC242" s="2505"/>
      <c r="AD242" s="2505"/>
      <c r="AE242" s="2506"/>
      <c r="AF242" s="3502"/>
      <c r="AG242" s="2505"/>
      <c r="AH242" s="2505"/>
      <c r="AI242" s="2505"/>
      <c r="AJ242" s="2506"/>
      <c r="AK242" s="3502"/>
      <c r="AL242" s="2505"/>
      <c r="AM242" s="2505"/>
      <c r="AN242" s="2505"/>
      <c r="AO242" s="2506"/>
      <c r="AP242" s="3502"/>
      <c r="AQ242" s="2505"/>
      <c r="AR242" s="2505"/>
      <c r="AS242" s="2505"/>
      <c r="AT242" s="2506"/>
      <c r="AU242" s="3502"/>
      <c r="AV242" s="2505"/>
      <c r="AW242" s="2505"/>
      <c r="AX242" s="2505"/>
      <c r="AY242" s="2506"/>
      <c r="AZ242" s="3502"/>
      <c r="BA242" s="2505"/>
      <c r="BB242" s="2505"/>
      <c r="BC242" s="2505"/>
      <c r="BD242" s="2506"/>
      <c r="BE242" s="3502"/>
      <c r="BF242" s="2505"/>
      <c r="BG242" s="2505"/>
      <c r="BH242" s="2505"/>
      <c r="BI242" s="2506"/>
      <c r="BJ242" s="3502"/>
      <c r="BK242" s="2505"/>
      <c r="BL242" s="2505"/>
      <c r="BM242" s="2505"/>
      <c r="BN242" s="2506"/>
      <c r="BO242" s="2505"/>
      <c r="BP242" s="2505"/>
      <c r="BQ242" s="2505"/>
      <c r="BR242" s="2505"/>
      <c r="BS242" s="2506"/>
      <c r="BT242" s="2505"/>
      <c r="BU242" s="2505"/>
      <c r="BV242" s="2505"/>
      <c r="BW242" s="2505"/>
      <c r="BX242" s="2506"/>
      <c r="BY242" s="2505"/>
      <c r="BZ242" s="2505"/>
      <c r="CA242" s="2505"/>
      <c r="CB242" s="2505"/>
      <c r="CC242" s="2506"/>
      <c r="CD242" s="2505"/>
      <c r="CE242" s="2505"/>
      <c r="CF242" s="2505"/>
      <c r="CG242" s="2505"/>
      <c r="CH242" s="2506"/>
      <c r="CI242" s="3506"/>
      <c r="CJ242" s="2505"/>
      <c r="CK242" s="2505"/>
      <c r="CL242" s="2505"/>
      <c r="CM242" s="2506"/>
      <c r="CN242" s="2505"/>
      <c r="CO242" s="2505"/>
      <c r="CP242" s="2505"/>
      <c r="CQ242" s="2505"/>
      <c r="CR242" s="2506"/>
      <c r="CS242" s="3503"/>
      <c r="CT242" s="2505">
        <f>CT189</f>
        <v>4.9789621318373056E-2</v>
      </c>
      <c r="CU242" s="2505">
        <f>CU189</f>
        <v>-1.2424849699398832E-2</v>
      </c>
      <c r="CV242" s="2505">
        <f>CV189</f>
        <v>0.12242965367965364</v>
      </c>
      <c r="CW242" s="2506"/>
      <c r="CX242" s="2505">
        <f>CX189</f>
        <v>-2.482825117512355E-2</v>
      </c>
      <c r="CY242" s="2505">
        <f>CY189</f>
        <v>5.6111729081695705E-2</v>
      </c>
      <c r="CZ242" s="2505">
        <f>CZ189</f>
        <v>6.459918080748972E-2</v>
      </c>
      <c r="DA242" s="2505">
        <f>DA189</f>
        <v>0.13367044080466095</v>
      </c>
      <c r="DB242" s="2506"/>
      <c r="DC242" s="2505">
        <f>DC189</f>
        <v>1.5611364297488661E-2</v>
      </c>
      <c r="DD242" s="2505">
        <f>DD189</f>
        <v>2.969257208325371E-2</v>
      </c>
      <c r="DE242" s="2505">
        <f>DE189</f>
        <v>1.6040797403801488E-2</v>
      </c>
      <c r="DF242" s="2505">
        <f>DF189</f>
        <v>0.11799598466873507</v>
      </c>
      <c r="DG242" s="2506"/>
      <c r="DH242" s="2505">
        <f>DH189</f>
        <v>-4.7587952003918077E-2</v>
      </c>
      <c r="DI242" s="2505">
        <f>DI189</f>
        <v>5.5279396640383949E-2</v>
      </c>
      <c r="DJ242" s="2505">
        <f>DJ189</f>
        <v>2.046617396247874E-2</v>
      </c>
      <c r="DK242" s="2505">
        <f>DK189</f>
        <v>0.12208515718265023</v>
      </c>
      <c r="DL242" s="2506"/>
      <c r="DM242" s="5076">
        <f>DM189</f>
        <v>-8.8942478189942498E-2</v>
      </c>
      <c r="DN242" s="5076">
        <f>DN189</f>
        <v>-0.11537563254184513</v>
      </c>
      <c r="DO242" s="5076">
        <f>DO189</f>
        <v>0.22538062131479353</v>
      </c>
      <c r="DP242" s="5076">
        <f>DP189</f>
        <v>0.23800632002298183</v>
      </c>
      <c r="DQ242" s="5077"/>
      <c r="DR242" s="5076">
        <f>DR189</f>
        <v>-1.2008353637312896E-2</v>
      </c>
      <c r="DS242" s="5076">
        <f>DS189</f>
        <v>0.12054488873231173</v>
      </c>
      <c r="DT242" s="5076">
        <f>DT189</f>
        <v>3.9561936700901246E-2</v>
      </c>
      <c r="DU242" s="5076">
        <f>DU189</f>
        <v>0.16704470991481424</v>
      </c>
      <c r="DV242" s="2506"/>
      <c r="DW242" s="5076">
        <f>DW189</f>
        <v>-0.12248952619530951</v>
      </c>
      <c r="DX242" s="5076">
        <f>DX189</f>
        <v>1.0631490869714932E-2</v>
      </c>
      <c r="DY242" s="5076">
        <f>DY189</f>
        <v>-5.2744362733161299E-2</v>
      </c>
      <c r="DZ242" s="5076">
        <f>DZ189</f>
        <v>0.11886889460154237</v>
      </c>
      <c r="EA242" s="2506"/>
      <c r="EB242" s="5076">
        <f>EB189</f>
        <v>-3.1430934656741072E-2</v>
      </c>
      <c r="EC242" s="5076">
        <f>EC189</f>
        <v>5.7453268811082703E-2</v>
      </c>
      <c r="ED242" s="5076">
        <f>ED189</f>
        <v>1.6689847009735637E-2</v>
      </c>
      <c r="EE242" s="5076">
        <f>EE189</f>
        <v>0.10365826750805351</v>
      </c>
      <c r="EF242" s="2506"/>
      <c r="EG242" s="5076">
        <f>EG189</f>
        <v>-4.8860455817672954E-2</v>
      </c>
      <c r="EH242" s="5076">
        <f>EH189</f>
        <v>3.762401210694466E-2</v>
      </c>
      <c r="EI242" s="5076">
        <f>EI189</f>
        <v>3.1965320260908259E-2</v>
      </c>
      <c r="EJ242" s="5076">
        <f>EJ189</f>
        <v>0.10646984924623126</v>
      </c>
      <c r="EK242" s="2506"/>
      <c r="EL242" s="5076">
        <f>EL189</f>
        <v>-8.0222821458983851E-2</v>
      </c>
      <c r="EM242" s="5076">
        <f>EM189</f>
        <v>9.0228754387995158E-2</v>
      </c>
      <c r="EN242" s="5076">
        <f>EN189</f>
        <v>5.8346896893354927E-2</v>
      </c>
      <c r="EO242" s="2505">
        <f>EO189</f>
        <v>0.1121657184476017</v>
      </c>
      <c r="EP242" s="2506"/>
      <c r="EQ242" s="2505">
        <f>EQ189</f>
        <v>-4.6397862642782006E-2</v>
      </c>
      <c r="ER242" s="2505">
        <f>ER189</f>
        <v>3.2404504930984901E-2</v>
      </c>
      <c r="ES242" s="2505">
        <f>ES189</f>
        <v>2.7951098869818392E-2</v>
      </c>
      <c r="ET242" s="2505">
        <f>ET189</f>
        <v>0.11902709202658879</v>
      </c>
      <c r="EU242" s="2506"/>
      <c r="EV242" s="2506"/>
      <c r="EW242" s="2506"/>
      <c r="EX242" s="2506"/>
      <c r="EY242" s="2506"/>
      <c r="EZ242" s="185"/>
      <c r="FA242" s="725"/>
      <c r="FB242" s="725"/>
    </row>
    <row r="243" spans="1:158" s="249" customFormat="1" ht="11.25" hidden="1" customHeight="1" outlineLevel="1">
      <c r="A243" s="5639"/>
      <c r="B243" s="185"/>
      <c r="C243" s="185"/>
      <c r="D243" s="185"/>
      <c r="E243" s="185"/>
      <c r="F243" s="5569"/>
      <c r="G243" s="185"/>
      <c r="H243" s="185"/>
      <c r="I243" s="185"/>
      <c r="J243" s="185"/>
      <c r="K243" s="1505"/>
      <c r="L243" s="185"/>
      <c r="M243" s="185"/>
      <c r="N243" s="185"/>
      <c r="O243" s="185"/>
      <c r="P243" s="1020"/>
      <c r="Q243" s="2605"/>
      <c r="R243" s="185"/>
      <c r="S243" s="185"/>
      <c r="T243" s="185"/>
      <c r="U243" s="1020"/>
      <c r="V243" s="2581"/>
      <c r="W243" s="223"/>
      <c r="X243" s="223"/>
      <c r="Y243" s="223"/>
      <c r="Z243" s="1020"/>
      <c r="AA243" s="2581"/>
      <c r="AB243" s="223"/>
      <c r="AC243" s="223"/>
      <c r="AD243" s="223"/>
      <c r="AE243" s="1020"/>
      <c r="AF243" s="2581"/>
      <c r="AG243" s="223"/>
      <c r="AH243" s="223"/>
      <c r="AI243" s="223"/>
      <c r="AJ243" s="1020"/>
      <c r="AK243" s="2581"/>
      <c r="AL243" s="223"/>
      <c r="AM243" s="223"/>
      <c r="AN243" s="223"/>
      <c r="AO243" s="1020"/>
      <c r="AP243" s="2581"/>
      <c r="AQ243" s="223"/>
      <c r="AR243" s="223"/>
      <c r="AS243" s="223"/>
      <c r="AT243" s="1020"/>
      <c r="AU243" s="2581"/>
      <c r="AV243" s="223"/>
      <c r="AW243" s="223"/>
      <c r="AX243" s="223"/>
      <c r="AY243" s="1020"/>
      <c r="AZ243" s="2581"/>
      <c r="BA243" s="223"/>
      <c r="BB243" s="223"/>
      <c r="BC243" s="223"/>
      <c r="BD243" s="1020"/>
      <c r="BE243" s="2581"/>
      <c r="BF243" s="223"/>
      <c r="BG243" s="223"/>
      <c r="BH243" s="223"/>
      <c r="BI243" s="1020"/>
      <c r="BJ243" s="2581"/>
      <c r="BK243" s="223"/>
      <c r="BL243" s="223"/>
      <c r="BM243" s="223"/>
      <c r="BN243" s="1020"/>
      <c r="BO243" s="223"/>
      <c r="BP243" s="223"/>
      <c r="BQ243" s="223"/>
      <c r="BR243" s="223"/>
      <c r="BS243" s="1931"/>
      <c r="BT243" s="223"/>
      <c r="BU243" s="223"/>
      <c r="BV243" s="223"/>
      <c r="BW243" s="223"/>
      <c r="BX243" s="1931"/>
      <c r="BY243" s="223"/>
      <c r="BZ243" s="223"/>
      <c r="CA243" s="223"/>
      <c r="CB243" s="223"/>
      <c r="CC243" s="1931"/>
      <c r="CD243" s="223"/>
      <c r="CE243" s="223"/>
      <c r="CF243" s="223"/>
      <c r="CG243" s="223"/>
      <c r="CH243" s="1931"/>
      <c r="CI243" s="223"/>
      <c r="CJ243" s="223"/>
      <c r="CK243" s="223"/>
      <c r="CL243" s="223"/>
      <c r="CM243" s="1931"/>
      <c r="CN243" s="223"/>
      <c r="CO243" s="223"/>
      <c r="CP243" s="223"/>
      <c r="CQ243" s="223"/>
      <c r="CR243" s="1931"/>
      <c r="CS243" s="223"/>
      <c r="CT243" s="223"/>
      <c r="CU243" s="223"/>
      <c r="CV243" s="223"/>
      <c r="CW243" s="1931"/>
      <c r="CX243" s="2607"/>
      <c r="CY243" s="2635"/>
      <c r="CZ243" s="223"/>
      <c r="DA243" s="223"/>
      <c r="DB243" s="1931"/>
      <c r="DC243" s="2607"/>
      <c r="DD243" s="2635"/>
      <c r="DE243" s="223"/>
      <c r="DF243" s="223"/>
      <c r="DG243" s="1931"/>
      <c r="DH243" s="223"/>
      <c r="DI243" s="223"/>
      <c r="DJ243" s="223"/>
      <c r="DK243" s="223"/>
      <c r="DL243" s="1931"/>
      <c r="DM243" s="223"/>
      <c r="DN243" s="223"/>
      <c r="DO243" s="223"/>
      <c r="DP243" s="223"/>
      <c r="DQ243" s="1931"/>
      <c r="DR243" s="223"/>
      <c r="DS243" s="223"/>
      <c r="DT243" s="223"/>
      <c r="DU243" s="223"/>
      <c r="DV243" s="1931"/>
      <c r="DW243" s="223"/>
      <c r="DX243" s="223"/>
      <c r="DY243" s="223"/>
      <c r="DZ243" s="223"/>
      <c r="EA243" s="1931"/>
      <c r="EB243" s="223"/>
      <c r="EC243" s="223"/>
      <c r="ED243" s="223"/>
      <c r="EE243" s="223"/>
      <c r="EF243" s="1931"/>
      <c r="EG243" s="223"/>
      <c r="EH243" s="223"/>
      <c r="EI243" s="223"/>
      <c r="EJ243" s="223"/>
      <c r="EK243" s="1931"/>
      <c r="EL243" s="223"/>
      <c r="EM243" s="223"/>
      <c r="EN243" s="223"/>
      <c r="EO243" s="223"/>
      <c r="EP243" s="1931"/>
      <c r="EQ243" s="223"/>
      <c r="ER243" s="223"/>
      <c r="ES243" s="223"/>
      <c r="ET243" s="223"/>
      <c r="EU243" s="1931"/>
      <c r="EV243" s="1050"/>
      <c r="EW243" s="1050"/>
      <c r="EX243" s="1050"/>
      <c r="EY243" s="1050"/>
      <c r="EZ243" s="185"/>
      <c r="FA243" s="725"/>
      <c r="FB243" s="725"/>
    </row>
    <row r="244" spans="1:158" s="214" customFormat="1" ht="11.25" customHeight="1" collapsed="1">
      <c r="A244" s="5681" t="s">
        <v>23</v>
      </c>
      <c r="B244" s="2615"/>
      <c r="C244" s="2615"/>
      <c r="D244" s="2615"/>
      <c r="E244" s="2615"/>
      <c r="F244" s="4301"/>
      <c r="G244" s="2615"/>
      <c r="H244" s="2615"/>
      <c r="I244" s="2615"/>
      <c r="J244" s="2615"/>
      <c r="K244" s="2590"/>
      <c r="L244" s="2606"/>
      <c r="M244" s="2606"/>
      <c r="N244" s="2606"/>
      <c r="O244" s="2606"/>
      <c r="P244" s="2590"/>
      <c r="Q244" s="2655"/>
      <c r="R244" s="2606"/>
      <c r="S244" s="2606"/>
      <c r="T244" s="2606"/>
      <c r="U244" s="2590"/>
      <c r="V244" s="2655"/>
      <c r="W244" s="2606"/>
      <c r="X244" s="2606"/>
      <c r="Y244" s="2606"/>
      <c r="Z244" s="2590"/>
      <c r="AA244" s="2655"/>
      <c r="AB244" s="2606"/>
      <c r="AC244" s="2606"/>
      <c r="AD244" s="2606"/>
      <c r="AE244" s="2590"/>
      <c r="AF244" s="2655"/>
      <c r="AG244" s="2606"/>
      <c r="AH244" s="2606"/>
      <c r="AI244" s="2606"/>
      <c r="AJ244" s="2590"/>
      <c r="AK244" s="2669"/>
      <c r="AL244" s="2619"/>
      <c r="AM244" s="2619"/>
      <c r="AN244" s="2619"/>
      <c r="AO244" s="2590"/>
      <c r="AP244" s="2669"/>
      <c r="AQ244" s="2619"/>
      <c r="AR244" s="2619"/>
      <c r="AS244" s="2619"/>
      <c r="AT244" s="2590"/>
      <c r="AU244" s="2669"/>
      <c r="AV244" s="2619"/>
      <c r="AW244" s="2619"/>
      <c r="AX244" s="2619"/>
      <c r="AY244" s="2590"/>
      <c r="AZ244" s="2669"/>
      <c r="BA244" s="2619"/>
      <c r="BB244" s="2619"/>
      <c r="BC244" s="2619"/>
      <c r="BD244" s="2590"/>
      <c r="BE244" s="2656"/>
      <c r="BF244" s="2607"/>
      <c r="BG244" s="2607"/>
      <c r="BH244" s="2607"/>
      <c r="BI244" s="2590"/>
      <c r="BJ244" s="2656"/>
      <c r="BK244" s="2629"/>
      <c r="BL244" s="2629"/>
      <c r="BM244" s="2607"/>
      <c r="BN244" s="2590"/>
      <c r="BO244" s="2606"/>
      <c r="BP244" s="2606"/>
      <c r="BQ244" s="2606"/>
      <c r="BR244" s="2606"/>
      <c r="BS244" s="1932"/>
      <c r="BT244" s="2607"/>
      <c r="BU244" s="2634"/>
      <c r="BV244" s="2634"/>
      <c r="BW244" s="2607"/>
      <c r="BX244" s="2590"/>
      <c r="BY244" s="2606"/>
      <c r="BZ244" s="2606"/>
      <c r="CA244" s="2606"/>
      <c r="CB244" s="2606"/>
      <c r="CC244" s="1932"/>
      <c r="CD244" s="2656"/>
      <c r="CE244" s="2634"/>
      <c r="CF244" s="2634"/>
      <c r="CG244" s="2607"/>
      <c r="CH244" s="2590"/>
      <c r="CI244" s="2634"/>
      <c r="CJ244" s="2634"/>
      <c r="CK244" s="2634"/>
      <c r="CL244" s="2607"/>
      <c r="CM244" s="2590"/>
      <c r="CN244" s="2634"/>
      <c r="CO244" s="2634"/>
      <c r="CP244" s="2634"/>
      <c r="CQ244" s="2607"/>
      <c r="CR244" s="3458">
        <v>-3802</v>
      </c>
      <c r="CS244" s="2011"/>
      <c r="CT244" s="2011"/>
      <c r="CU244" s="2011"/>
      <c r="CV244" s="2011"/>
      <c r="CW244" s="3458">
        <v>-1291</v>
      </c>
      <c r="CX244" s="2607">
        <v>-444</v>
      </c>
      <c r="CY244" s="2607">
        <v>-396</v>
      </c>
      <c r="CZ244" s="2607">
        <v>283</v>
      </c>
      <c r="DA244" s="2607">
        <v>562</v>
      </c>
      <c r="DB244" s="2590">
        <f>SUM(CX244:DA244)</f>
        <v>5</v>
      </c>
      <c r="DC244" s="2607">
        <v>1094</v>
      </c>
      <c r="DD244" s="2607">
        <v>721</v>
      </c>
      <c r="DE244" s="2607">
        <v>-123</v>
      </c>
      <c r="DF244" s="2607">
        <v>-367</v>
      </c>
      <c r="DG244" s="2590">
        <f>SUM(DC244:DF244)</f>
        <v>1325</v>
      </c>
      <c r="DH244" s="2607">
        <v>-762</v>
      </c>
      <c r="DI244" s="2607">
        <v>-816</v>
      </c>
      <c r="DJ244" s="2607">
        <v>-456</v>
      </c>
      <c r="DK244" s="2607">
        <v>-363</v>
      </c>
      <c r="DL244" s="2590">
        <f>SUM(DH244:DK244)</f>
        <v>-2397</v>
      </c>
      <c r="DM244" s="2607">
        <v>-235</v>
      </c>
      <c r="DN244" s="2607">
        <v>-361</v>
      </c>
      <c r="DO244" s="2607">
        <v>250</v>
      </c>
      <c r="DP244" s="2607">
        <v>457</v>
      </c>
      <c r="DQ244" s="2590">
        <f>SUM(DM244:DP244)</f>
        <v>111</v>
      </c>
      <c r="DR244" s="528">
        <v>929</v>
      </c>
      <c r="DS244" s="528">
        <v>1425</v>
      </c>
      <c r="DT244" s="528">
        <v>490</v>
      </c>
      <c r="DU244" s="677">
        <f>DU240-DU253</f>
        <v>-58</v>
      </c>
      <c r="DV244" s="1260">
        <f>SUM(DR244:DU244)</f>
        <v>2786</v>
      </c>
      <c r="DW244" s="677">
        <f>DW240-DW253</f>
        <v>-1311</v>
      </c>
      <c r="DX244" s="677">
        <f>DX240-DX253</f>
        <v>-1956</v>
      </c>
      <c r="DY244" s="677">
        <f>DY240-DY253</f>
        <v>-2643</v>
      </c>
      <c r="DZ244" s="677">
        <f>DZ240-DZ253</f>
        <v>-3069</v>
      </c>
      <c r="EA244" s="1260">
        <f>SUM(DW244:DZ244)</f>
        <v>-8979</v>
      </c>
      <c r="EB244" s="677">
        <f>EB240-EB253</f>
        <v>-1173</v>
      </c>
      <c r="EC244" s="677">
        <f>EC240-EC253</f>
        <v>-275</v>
      </c>
      <c r="ED244" s="677">
        <f>ED240-ED253</f>
        <v>803</v>
      </c>
      <c r="EE244" s="677">
        <f>EE240-EE253</f>
        <v>1105</v>
      </c>
      <c r="EF244" s="2590">
        <f>SUM(EB244:EE244)</f>
        <v>460</v>
      </c>
      <c r="EG244" s="677">
        <f>EG240-EG253</f>
        <v>201</v>
      </c>
      <c r="EH244" s="677">
        <f>EH240-EH253</f>
        <v>-367</v>
      </c>
      <c r="EI244" s="677">
        <f>EI240-EI253</f>
        <v>-146</v>
      </c>
      <c r="EJ244" s="677">
        <f>EJ240-EJ253</f>
        <v>350</v>
      </c>
      <c r="EK244" s="2590">
        <f>SUM(EG244:EJ244)</f>
        <v>38</v>
      </c>
      <c r="EL244" s="677">
        <f>EL240-EL253</f>
        <v>-724</v>
      </c>
      <c r="EM244" s="677">
        <f>EM240-EM253</f>
        <v>780</v>
      </c>
      <c r="EN244" s="677">
        <f>EN240-EN253</f>
        <v>1261</v>
      </c>
      <c r="EO244" s="2635">
        <f t="shared" ref="EO244" si="979">EO240-EO253</f>
        <v>1418.0688044862181</v>
      </c>
      <c r="EP244" s="2590">
        <f>SUM(EL244:EO244)</f>
        <v>2735.0688044862181</v>
      </c>
      <c r="EQ244" s="2635">
        <f t="shared" ref="EQ244:ET244" si="980">EQ240-EQ253</f>
        <v>2559.1430252593418</v>
      </c>
      <c r="ER244" s="2635">
        <f t="shared" si="980"/>
        <v>673.10051703211502</v>
      </c>
      <c r="ES244" s="2635">
        <f t="shared" si="980"/>
        <v>-342.92484351324674</v>
      </c>
      <c r="ET244" s="2635">
        <f t="shared" si="980"/>
        <v>-183.6610494221095</v>
      </c>
      <c r="EU244" s="2590">
        <f>SUM(EQ244:ET244)</f>
        <v>2705.6576493561006</v>
      </c>
      <c r="EV244" s="3939">
        <f>EV240-EV253</f>
        <v>0</v>
      </c>
      <c r="EW244" s="3939">
        <f>EW240-EW253</f>
        <v>0</v>
      </c>
      <c r="EX244" s="3939">
        <f>EX240-EX253</f>
        <v>0</v>
      </c>
      <c r="EY244" s="3939">
        <f>EY240-EY253</f>
        <v>0</v>
      </c>
      <c r="EZ244" s="51"/>
      <c r="FA244" s="725"/>
      <c r="FB244" s="725"/>
    </row>
    <row r="245" spans="1:158" s="214" customFormat="1" ht="11.25" hidden="1" customHeight="1" outlineLevel="1">
      <c r="A245" s="5673" t="s">
        <v>611</v>
      </c>
      <c r="B245" s="2615"/>
      <c r="C245" s="2615"/>
      <c r="D245" s="2615"/>
      <c r="E245" s="2615"/>
      <c r="F245" s="4301"/>
      <c r="G245" s="2615"/>
      <c r="H245" s="2615"/>
      <c r="I245" s="2615"/>
      <c r="J245" s="2615"/>
      <c r="K245" s="2590"/>
      <c r="L245" s="2606"/>
      <c r="M245" s="2606"/>
      <c r="N245" s="2606"/>
      <c r="O245" s="2606"/>
      <c r="P245" s="2590"/>
      <c r="Q245" s="2655"/>
      <c r="R245" s="2606"/>
      <c r="S245" s="2606"/>
      <c r="T245" s="2606"/>
      <c r="U245" s="2590"/>
      <c r="V245" s="2655"/>
      <c r="W245" s="2606"/>
      <c r="X245" s="2606"/>
      <c r="Y245" s="2606"/>
      <c r="Z245" s="2590"/>
      <c r="AA245" s="2655"/>
      <c r="AB245" s="2606"/>
      <c r="AC245" s="2606"/>
      <c r="AD245" s="2606"/>
      <c r="AE245" s="2590"/>
      <c r="AF245" s="2655"/>
      <c r="AG245" s="2606"/>
      <c r="AH245" s="2606"/>
      <c r="AI245" s="2606"/>
      <c r="AJ245" s="2590"/>
      <c r="AK245" s="2669"/>
      <c r="AL245" s="2619"/>
      <c r="AM245" s="2619"/>
      <c r="AN245" s="2619"/>
      <c r="AO245" s="2590"/>
      <c r="AP245" s="2669"/>
      <c r="AQ245" s="2619"/>
      <c r="AR245" s="2619"/>
      <c r="AS245" s="2619"/>
      <c r="AT245" s="2590"/>
      <c r="AU245" s="2669"/>
      <c r="AV245" s="2619"/>
      <c r="AW245" s="2619"/>
      <c r="AX245" s="2619"/>
      <c r="AY245" s="2590"/>
      <c r="AZ245" s="2669"/>
      <c r="BA245" s="2619"/>
      <c r="BB245" s="2619"/>
      <c r="BC245" s="2619"/>
      <c r="BD245" s="2590"/>
      <c r="BE245" s="2656"/>
      <c r="BF245" s="2607"/>
      <c r="BG245" s="2607"/>
      <c r="BH245" s="2607"/>
      <c r="BI245" s="2590"/>
      <c r="BJ245" s="2656"/>
      <c r="BK245" s="2629"/>
      <c r="BL245" s="2629"/>
      <c r="BM245" s="2607"/>
      <c r="BN245" s="2590"/>
      <c r="BO245" s="2606"/>
      <c r="BP245" s="2606"/>
      <c r="BQ245" s="2606"/>
      <c r="BR245" s="2606"/>
      <c r="BS245" s="1932"/>
      <c r="BT245" s="2607"/>
      <c r="BU245" s="2634"/>
      <c r="BV245" s="2634"/>
      <c r="BW245" s="2607"/>
      <c r="BX245" s="1932"/>
      <c r="BY245" s="2606"/>
      <c r="BZ245" s="2606"/>
      <c r="CA245" s="2606"/>
      <c r="CB245" s="2606"/>
      <c r="CC245" s="1932"/>
      <c r="CD245" s="2656"/>
      <c r="CE245" s="2634"/>
      <c r="CF245" s="2634"/>
      <c r="CG245" s="2607"/>
      <c r="CH245" s="1932"/>
      <c r="CI245" s="2634"/>
      <c r="CJ245" s="2634"/>
      <c r="CK245" s="2634"/>
      <c r="CL245" s="2607"/>
      <c r="CM245" s="1932"/>
      <c r="CN245" s="2634"/>
      <c r="CO245" s="2634"/>
      <c r="CP245" s="2634"/>
      <c r="CQ245" s="2607"/>
      <c r="CR245" s="2910">
        <f t="shared" ref="CR245:CW245" si="981">IFERROR(CR246/CR244,"NA")</f>
        <v>-0.26012624934245132</v>
      </c>
      <c r="CS245" s="2618" t="str">
        <f t="shared" si="981"/>
        <v>NA</v>
      </c>
      <c r="CT245" s="2618" t="str">
        <f t="shared" si="981"/>
        <v>NA</v>
      </c>
      <c r="CU245" s="2618" t="str">
        <f t="shared" si="981"/>
        <v>NA</v>
      </c>
      <c r="CV245" s="2618" t="str">
        <f t="shared" si="981"/>
        <v>NA</v>
      </c>
      <c r="CW245" s="2910">
        <f t="shared" si="981"/>
        <v>-0.37103020914020141</v>
      </c>
      <c r="CX245" s="2618">
        <f t="shared" ref="CX245:DJ245" si="982">IFERROR(CX246/CX244,"NA")</f>
        <v>-0.35585585585585583</v>
      </c>
      <c r="CY245" s="2618">
        <f t="shared" si="982"/>
        <v>3.0303030303030304E-2</v>
      </c>
      <c r="CZ245" s="2618">
        <f t="shared" si="982"/>
        <v>-0.56890459363957602</v>
      </c>
      <c r="DA245" s="2618">
        <f t="shared" si="982"/>
        <v>-0.31138790035587188</v>
      </c>
      <c r="DB245" s="2910">
        <f>DB246/DB244</f>
        <v>-38</v>
      </c>
      <c r="DC245" s="2618">
        <f t="shared" si="982"/>
        <v>-0.1983546617915905</v>
      </c>
      <c r="DD245" s="2618">
        <f t="shared" si="982"/>
        <v>-0.14285714285714285</v>
      </c>
      <c r="DE245" s="2618">
        <f t="shared" si="982"/>
        <v>-0.3983739837398374</v>
      </c>
      <c r="DF245" s="2618">
        <f t="shared" si="982"/>
        <v>-0.26975476839237056</v>
      </c>
      <c r="DG245" s="2910">
        <f>DG246/DG244</f>
        <v>-0.12981132075471699</v>
      </c>
      <c r="DH245" s="2618">
        <f t="shared" si="982"/>
        <v>-0.16141732283464566</v>
      </c>
      <c r="DI245" s="2618">
        <f t="shared" si="982"/>
        <v>-0.10784313725490197</v>
      </c>
      <c r="DJ245" s="2618">
        <f t="shared" si="982"/>
        <v>-0.22368421052631579</v>
      </c>
      <c r="DK245" s="2678"/>
      <c r="DL245" s="2910">
        <f>DL246/DL244</f>
        <v>-0.13057989153108052</v>
      </c>
      <c r="DM245" s="2678"/>
      <c r="DN245" s="2678"/>
      <c r="DO245" s="2678"/>
      <c r="DP245" s="2678"/>
      <c r="DQ245" s="2910"/>
      <c r="DR245" s="5717"/>
      <c r="DS245" s="5717"/>
      <c r="DT245" s="5717"/>
      <c r="DU245" s="5717"/>
      <c r="DV245" s="5718"/>
      <c r="DW245" s="5717"/>
      <c r="DX245" s="5717"/>
      <c r="DY245" s="5717"/>
      <c r="DZ245" s="5717"/>
      <c r="EA245" s="5718"/>
      <c r="EB245" s="5717"/>
      <c r="EC245" s="5717"/>
      <c r="ED245" s="5717"/>
      <c r="EE245" s="5717"/>
      <c r="EF245" s="2910"/>
      <c r="EG245" s="5717"/>
      <c r="EH245" s="5717"/>
      <c r="EI245" s="5717"/>
      <c r="EJ245" s="5717"/>
      <c r="EK245" s="2910"/>
      <c r="EL245" s="5717"/>
      <c r="EM245" s="5717"/>
      <c r="EN245" s="5717"/>
      <c r="EO245" s="2678"/>
      <c r="EP245" s="2910"/>
      <c r="EQ245" s="2678"/>
      <c r="ER245" s="2678"/>
      <c r="ES245" s="2678"/>
      <c r="ET245" s="2678"/>
      <c r="EU245" s="2910"/>
      <c r="EV245" s="2911"/>
      <c r="EW245" s="2911"/>
      <c r="EX245" s="2911"/>
      <c r="EY245" s="2911"/>
      <c r="EZ245" s="51"/>
      <c r="FA245" s="725"/>
      <c r="FB245" s="725"/>
    </row>
    <row r="246" spans="1:158" s="214" customFormat="1" ht="11.25" hidden="1" customHeight="1" outlineLevel="1">
      <c r="A246" s="5681" t="s">
        <v>16</v>
      </c>
      <c r="B246" s="2615"/>
      <c r="C246" s="2615"/>
      <c r="D246" s="2615"/>
      <c r="E246" s="2615"/>
      <c r="F246" s="4301"/>
      <c r="G246" s="2615"/>
      <c r="H246" s="2615"/>
      <c r="I246" s="2615"/>
      <c r="J246" s="2615"/>
      <c r="K246" s="2590"/>
      <c r="L246" s="2606"/>
      <c r="M246" s="2606"/>
      <c r="N246" s="2606"/>
      <c r="O246" s="2606"/>
      <c r="P246" s="2590"/>
      <c r="Q246" s="2655"/>
      <c r="R246" s="2606"/>
      <c r="S246" s="2606"/>
      <c r="T246" s="2606"/>
      <c r="U246" s="2590"/>
      <c r="V246" s="2655"/>
      <c r="W246" s="2606"/>
      <c r="X246" s="2606"/>
      <c r="Y246" s="2606"/>
      <c r="Z246" s="2590"/>
      <c r="AA246" s="2655"/>
      <c r="AB246" s="2606"/>
      <c r="AC246" s="2606"/>
      <c r="AD246" s="2606"/>
      <c r="AE246" s="2590"/>
      <c r="AF246" s="2655"/>
      <c r="AG246" s="2606"/>
      <c r="AH246" s="2606"/>
      <c r="AI246" s="2606"/>
      <c r="AJ246" s="2590"/>
      <c r="AK246" s="2669"/>
      <c r="AL246" s="2619"/>
      <c r="AM246" s="2619"/>
      <c r="AN246" s="2619"/>
      <c r="AO246" s="2590"/>
      <c r="AP246" s="2669"/>
      <c r="AQ246" s="2619"/>
      <c r="AR246" s="2619"/>
      <c r="AS246" s="2619"/>
      <c r="AT246" s="2590"/>
      <c r="AU246" s="2669"/>
      <c r="AV246" s="2619"/>
      <c r="AW246" s="2619"/>
      <c r="AX246" s="2619"/>
      <c r="AY246" s="2590"/>
      <c r="AZ246" s="2669"/>
      <c r="BA246" s="2619"/>
      <c r="BB246" s="2619"/>
      <c r="BC246" s="2619"/>
      <c r="BD246" s="2590"/>
      <c r="BE246" s="2656"/>
      <c r="BF246" s="2607"/>
      <c r="BG246" s="2607"/>
      <c r="BH246" s="2607"/>
      <c r="BI246" s="2590"/>
      <c r="BJ246" s="2656"/>
      <c r="BK246" s="2629"/>
      <c r="BL246" s="2629"/>
      <c r="BM246" s="2607"/>
      <c r="BN246" s="2590"/>
      <c r="BO246" s="2606"/>
      <c r="BP246" s="2606"/>
      <c r="BQ246" s="2606"/>
      <c r="BR246" s="2606"/>
      <c r="BS246" s="1932"/>
      <c r="BT246" s="2607"/>
      <c r="BU246" s="2629"/>
      <c r="BV246" s="2634"/>
      <c r="BW246" s="2607"/>
      <c r="BX246" s="2590"/>
      <c r="BY246" s="2606"/>
      <c r="BZ246" s="2606"/>
      <c r="CA246" s="2606"/>
      <c r="CB246" s="2606"/>
      <c r="CC246" s="1932"/>
      <c r="CD246" s="2656"/>
      <c r="CE246" s="2607"/>
      <c r="CF246" s="2607"/>
      <c r="CG246" s="2607"/>
      <c r="CH246" s="2590"/>
      <c r="CI246" s="2634"/>
      <c r="CJ246" s="2607"/>
      <c r="CK246" s="2607"/>
      <c r="CL246" s="2607"/>
      <c r="CM246" s="2590"/>
      <c r="CN246" s="2634"/>
      <c r="CO246" s="2607"/>
      <c r="CP246" s="2607"/>
      <c r="CQ246" s="2607"/>
      <c r="CR246" s="3458">
        <v>989</v>
      </c>
      <c r="CS246" s="2607">
        <f>CS240-7011</f>
        <v>119</v>
      </c>
      <c r="CT246" s="2607">
        <f>CT240-7415</f>
        <v>70</v>
      </c>
      <c r="CU246" s="2607">
        <f>CU240-7288</f>
        <v>104</v>
      </c>
      <c r="CV246" s="2607">
        <f>CV240-8111</f>
        <v>186</v>
      </c>
      <c r="CW246" s="2590">
        <f>SUM(CS246:CV246)</f>
        <v>479</v>
      </c>
      <c r="CX246" s="2607">
        <v>158</v>
      </c>
      <c r="CY246" s="2607">
        <v>-12</v>
      </c>
      <c r="CZ246" s="2607">
        <v>-161</v>
      </c>
      <c r="DA246" s="2607">
        <v>-175</v>
      </c>
      <c r="DB246" s="2590">
        <f>SUM(CX246:DA246)</f>
        <v>-190</v>
      </c>
      <c r="DC246" s="2607">
        <v>-217</v>
      </c>
      <c r="DD246" s="2607">
        <v>-103</v>
      </c>
      <c r="DE246" s="2607">
        <v>49</v>
      </c>
      <c r="DF246" s="2607">
        <v>99</v>
      </c>
      <c r="DG246" s="2590">
        <f>SUM(DC246:DF246)</f>
        <v>-172</v>
      </c>
      <c r="DH246" s="2607">
        <v>123</v>
      </c>
      <c r="DI246" s="2607">
        <v>88</v>
      </c>
      <c r="DJ246" s="2607">
        <v>102</v>
      </c>
      <c r="DK246" s="2635"/>
      <c r="DL246" s="2590">
        <f>SUM(DH246:DK246)</f>
        <v>313</v>
      </c>
      <c r="DM246" s="2635"/>
      <c r="DN246" s="2635"/>
      <c r="DO246" s="2635"/>
      <c r="DP246" s="2635"/>
      <c r="DQ246" s="2590"/>
      <c r="DR246" s="5719"/>
      <c r="DS246" s="5719"/>
      <c r="DT246" s="5719"/>
      <c r="DU246" s="5719"/>
      <c r="DV246" s="1260"/>
      <c r="DW246" s="5719"/>
      <c r="DX246" s="5719"/>
      <c r="DY246" s="5719"/>
      <c r="DZ246" s="5719"/>
      <c r="EA246" s="1260"/>
      <c r="EB246" s="5719"/>
      <c r="EC246" s="5719"/>
      <c r="ED246" s="5719"/>
      <c r="EE246" s="5719"/>
      <c r="EF246" s="2590"/>
      <c r="EG246" s="5719"/>
      <c r="EH246" s="5719"/>
      <c r="EI246" s="5719"/>
      <c r="EJ246" s="5719"/>
      <c r="EK246" s="2590"/>
      <c r="EL246" s="5719"/>
      <c r="EM246" s="5719"/>
      <c r="EN246" s="5719"/>
      <c r="EO246" s="2635"/>
      <c r="EP246" s="2590"/>
      <c r="EQ246" s="2635"/>
      <c r="ER246" s="2635"/>
      <c r="ES246" s="2635"/>
      <c r="ET246" s="2635"/>
      <c r="EU246" s="2590"/>
      <c r="EV246" s="2908"/>
      <c r="EW246" s="2908"/>
      <c r="EX246" s="2908"/>
      <c r="EY246" s="2908"/>
      <c r="EZ246" s="51"/>
      <c r="FA246" s="725"/>
      <c r="FB246" s="725"/>
    </row>
    <row r="247" spans="1:158" s="214" customFormat="1" ht="11.25" hidden="1" customHeight="1" outlineLevel="1">
      <c r="A247" s="5681"/>
      <c r="B247" s="2615"/>
      <c r="C247" s="2615"/>
      <c r="D247" s="2615"/>
      <c r="E247" s="2615"/>
      <c r="F247" s="4301"/>
      <c r="G247" s="2615"/>
      <c r="H247" s="2615"/>
      <c r="I247" s="2615"/>
      <c r="J247" s="2615"/>
      <c r="K247" s="1932"/>
      <c r="L247" s="2606"/>
      <c r="M247" s="2606"/>
      <c r="N247" s="2606"/>
      <c r="O247" s="2606"/>
      <c r="P247" s="1932"/>
      <c r="Q247" s="2655"/>
      <c r="R247" s="2606"/>
      <c r="S247" s="2606"/>
      <c r="T247" s="2606"/>
      <c r="U247" s="1932"/>
      <c r="V247" s="2655"/>
      <c r="W247" s="2606"/>
      <c r="X247" s="2606"/>
      <c r="Y247" s="2606"/>
      <c r="Z247" s="1932"/>
      <c r="AA247" s="2655"/>
      <c r="AB247" s="2606"/>
      <c r="AC247" s="2606"/>
      <c r="AD247" s="2606"/>
      <c r="AE247" s="1932"/>
      <c r="AF247" s="2655"/>
      <c r="AG247" s="2606"/>
      <c r="AH247" s="2606"/>
      <c r="AI247" s="2606"/>
      <c r="AJ247" s="1932"/>
      <c r="AK247" s="2619"/>
      <c r="AL247" s="2619"/>
      <c r="AM247" s="2619"/>
      <c r="AN247" s="2619"/>
      <c r="AO247" s="1932"/>
      <c r="AP247" s="2669"/>
      <c r="AQ247" s="2619"/>
      <c r="AR247" s="2619"/>
      <c r="AS247" s="2619"/>
      <c r="AT247" s="1932"/>
      <c r="AU247" s="2669"/>
      <c r="AV247" s="2619"/>
      <c r="AW247" s="2619"/>
      <c r="AX247" s="2619"/>
      <c r="AY247" s="1932"/>
      <c r="AZ247" s="2669"/>
      <c r="BA247" s="2619"/>
      <c r="BB247" s="2619"/>
      <c r="BC247" s="2619"/>
      <c r="BD247" s="1932"/>
      <c r="BE247" s="2656"/>
      <c r="BF247" s="2607"/>
      <c r="BG247" s="2607"/>
      <c r="BH247" s="2607"/>
      <c r="BI247" s="1932"/>
      <c r="BJ247" s="2656"/>
      <c r="BK247" s="2629"/>
      <c r="BL247" s="2629"/>
      <c r="BM247" s="2607"/>
      <c r="BN247" s="1932"/>
      <c r="BO247" s="2606"/>
      <c r="BP247" s="2606"/>
      <c r="BQ247" s="2606"/>
      <c r="BR247" s="2606"/>
      <c r="BS247" s="1932"/>
      <c r="BT247" s="2607"/>
      <c r="BU247" s="2629"/>
      <c r="BV247" s="2634"/>
      <c r="BW247" s="2607"/>
      <c r="BX247" s="1932"/>
      <c r="BY247" s="2606"/>
      <c r="BZ247" s="2606"/>
      <c r="CA247" s="2606"/>
      <c r="CB247" s="2606"/>
      <c r="CC247" s="1932"/>
      <c r="CD247" s="2607"/>
      <c r="CE247" s="2607"/>
      <c r="CF247" s="2607"/>
      <c r="CG247" s="2607"/>
      <c r="CH247" s="1932"/>
      <c r="CI247" s="2634"/>
      <c r="CJ247" s="2607"/>
      <c r="CK247" s="2607"/>
      <c r="CL247" s="2607"/>
      <c r="CM247" s="1932"/>
      <c r="CN247" s="2634"/>
      <c r="CO247" s="2607"/>
      <c r="CP247" s="2607"/>
      <c r="CQ247" s="2607"/>
      <c r="CR247" s="1932"/>
      <c r="CS247" s="2607"/>
      <c r="CT247" s="2635"/>
      <c r="CU247" s="2635"/>
      <c r="CV247" s="2607"/>
      <c r="CW247" s="1932"/>
      <c r="CX247" s="2607"/>
      <c r="CY247" s="2635"/>
      <c r="CZ247" s="2635"/>
      <c r="DA247" s="2635"/>
      <c r="DB247" s="1932"/>
      <c r="DC247" s="2607"/>
      <c r="DD247" s="2635"/>
      <c r="DE247" s="2635"/>
      <c r="DF247" s="2635"/>
      <c r="DG247" s="2908"/>
      <c r="DH247" s="2635"/>
      <c r="DI247" s="2635"/>
      <c r="DJ247" s="2635"/>
      <c r="DK247" s="2635"/>
      <c r="DL247" s="1932"/>
      <c r="DM247" s="2635"/>
      <c r="DN247" s="2635"/>
      <c r="DO247" s="2635"/>
      <c r="DP247" s="2635"/>
      <c r="DQ247" s="1932"/>
      <c r="DR247" s="5719"/>
      <c r="DS247" s="5719"/>
      <c r="DT247" s="5719"/>
      <c r="DU247" s="5719"/>
      <c r="DV247" s="5710"/>
      <c r="DW247" s="5719"/>
      <c r="DX247" s="5719"/>
      <c r="DY247" s="5719"/>
      <c r="DZ247" s="5719"/>
      <c r="EA247" s="5710"/>
      <c r="EB247" s="5719"/>
      <c r="EC247" s="5719"/>
      <c r="ED247" s="5719"/>
      <c r="EE247" s="5719"/>
      <c r="EF247" s="1932"/>
      <c r="EG247" s="5719"/>
      <c r="EH247" s="5719"/>
      <c r="EI247" s="5719"/>
      <c r="EJ247" s="5719"/>
      <c r="EK247" s="1932"/>
      <c r="EL247" s="5719"/>
      <c r="EM247" s="5719"/>
      <c r="EN247" s="5719"/>
      <c r="EO247" s="2635"/>
      <c r="EP247" s="1932"/>
      <c r="EQ247" s="2635"/>
      <c r="ER247" s="2635"/>
      <c r="ES247" s="2635"/>
      <c r="ET247" s="2635"/>
      <c r="EU247" s="1932"/>
      <c r="EV247" s="2600"/>
      <c r="EW247" s="2600"/>
      <c r="EX247" s="2600"/>
      <c r="EY247" s="2600"/>
      <c r="EZ247" s="51"/>
      <c r="FA247" s="725"/>
      <c r="FB247" s="725"/>
    </row>
    <row r="248" spans="1:158" s="252" customFormat="1" ht="11.25" hidden="1" customHeight="1" outlineLevel="1" collapsed="1">
      <c r="A248" s="5682" t="s">
        <v>615</v>
      </c>
      <c r="B248" s="3466"/>
      <c r="C248" s="3466"/>
      <c r="D248" s="3466"/>
      <c r="E248" s="3466"/>
      <c r="F248" s="5570"/>
      <c r="G248" s="3466"/>
      <c r="H248" s="3466"/>
      <c r="I248" s="3466"/>
      <c r="J248" s="3466"/>
      <c r="K248" s="3467"/>
      <c r="L248" s="3468"/>
      <c r="M248" s="3468"/>
      <c r="N248" s="3468"/>
      <c r="O248" s="3468"/>
      <c r="P248" s="3467"/>
      <c r="Q248" s="3469"/>
      <c r="R248" s="3468"/>
      <c r="S248" s="3468"/>
      <c r="T248" s="3468"/>
      <c r="U248" s="3467"/>
      <c r="V248" s="3469"/>
      <c r="W248" s="3468"/>
      <c r="X248" s="3468"/>
      <c r="Y248" s="3468"/>
      <c r="Z248" s="3467"/>
      <c r="AA248" s="3469"/>
      <c r="AB248" s="3468"/>
      <c r="AC248" s="3468"/>
      <c r="AD248" s="3468"/>
      <c r="AE248" s="3467"/>
      <c r="AF248" s="3469"/>
      <c r="AG248" s="3468"/>
      <c r="AH248" s="3468"/>
      <c r="AI248" s="3468"/>
      <c r="AJ248" s="3467"/>
      <c r="AK248" s="3474"/>
      <c r="AL248" s="3474"/>
      <c r="AM248" s="3474"/>
      <c r="AN248" s="3474"/>
      <c r="AO248" s="3467"/>
      <c r="AP248" s="3475"/>
      <c r="AQ248" s="3474"/>
      <c r="AR248" s="3474"/>
      <c r="AS248" s="3474"/>
      <c r="AT248" s="3467"/>
      <c r="AU248" s="3469"/>
      <c r="AV248" s="3468"/>
      <c r="AW248" s="3468"/>
      <c r="AX248" s="3468"/>
      <c r="AY248" s="3467"/>
      <c r="AZ248" s="3469"/>
      <c r="BA248" s="3468"/>
      <c r="BB248" s="3468"/>
      <c r="BC248" s="3468"/>
      <c r="BD248" s="3467"/>
      <c r="BE248" s="3469"/>
      <c r="BF248" s="3468"/>
      <c r="BG248" s="3468"/>
      <c r="BH248" s="3468"/>
      <c r="BI248" s="3467"/>
      <c r="BJ248" s="3469"/>
      <c r="BK248" s="3468"/>
      <c r="BL248" s="3468"/>
      <c r="BM248" s="3468"/>
      <c r="BN248" s="3467"/>
      <c r="BO248" s="3468"/>
      <c r="BP248" s="3468"/>
      <c r="BQ248" s="3468"/>
      <c r="BR248" s="3468"/>
      <c r="BS248" s="3467"/>
      <c r="BT248" s="3468"/>
      <c r="BU248" s="3468"/>
      <c r="BV248" s="3468"/>
      <c r="BW248" s="3468"/>
      <c r="BX248" s="3467"/>
      <c r="BY248" s="3468"/>
      <c r="BZ248" s="3468"/>
      <c r="CA248" s="3468"/>
      <c r="CB248" s="3468"/>
      <c r="CC248" s="3467"/>
      <c r="CD248" s="3468"/>
      <c r="CE248" s="3468"/>
      <c r="CF248" s="3468"/>
      <c r="CG248" s="3468"/>
      <c r="CH248" s="3467"/>
      <c r="CI248" s="3468"/>
      <c r="CJ248" s="3468"/>
      <c r="CK248" s="3468"/>
      <c r="CL248" s="3468"/>
      <c r="CM248" s="3490">
        <v>24497</v>
      </c>
      <c r="CN248" s="3468"/>
      <c r="CO248" s="3468"/>
      <c r="CP248" s="3468"/>
      <c r="CQ248" s="3468"/>
      <c r="CR248" s="3467">
        <f t="shared" ref="CR248:CW248" si="983">CR240-CR246</f>
        <v>25379</v>
      </c>
      <c r="CS248" s="3468">
        <f t="shared" si="983"/>
        <v>7011</v>
      </c>
      <c r="CT248" s="3468">
        <f t="shared" si="983"/>
        <v>7415</v>
      </c>
      <c r="CU248" s="3468">
        <f t="shared" si="983"/>
        <v>7288</v>
      </c>
      <c r="CV248" s="3468">
        <f t="shared" si="983"/>
        <v>8111</v>
      </c>
      <c r="CW248" s="3467">
        <f t="shared" si="983"/>
        <v>29825</v>
      </c>
      <c r="CX248" s="3468">
        <f t="shared" ref="CX248:DE248" si="984">CX240-CX246</f>
        <v>7933</v>
      </c>
      <c r="CY248" s="3468">
        <f t="shared" si="984"/>
        <v>8557</v>
      </c>
      <c r="CZ248" s="3468">
        <f t="shared" si="984"/>
        <v>9258</v>
      </c>
      <c r="DA248" s="3468">
        <f t="shared" si="984"/>
        <v>10488</v>
      </c>
      <c r="DB248" s="3467">
        <f t="shared" si="984"/>
        <v>36236</v>
      </c>
      <c r="DC248" s="3468">
        <f t="shared" si="984"/>
        <v>10691</v>
      </c>
      <c r="DD248" s="3468">
        <f t="shared" si="984"/>
        <v>10888</v>
      </c>
      <c r="DE248" s="3468">
        <f t="shared" si="984"/>
        <v>10909</v>
      </c>
      <c r="DF248" s="3489">
        <f>DF240</f>
        <v>12251</v>
      </c>
      <c r="DG248" s="3467">
        <f>SUM(DC248:DF248)</f>
        <v>44739</v>
      </c>
      <c r="DH248" s="3468"/>
      <c r="DI248" s="3468"/>
      <c r="DJ248" s="3468"/>
      <c r="DK248" s="3489"/>
      <c r="DL248" s="3467"/>
      <c r="DM248" s="3489"/>
      <c r="DN248" s="3489"/>
      <c r="DO248" s="3489"/>
      <c r="DP248" s="3489"/>
      <c r="DQ248" s="3467"/>
      <c r="DR248" s="5720"/>
      <c r="DS248" s="5720"/>
      <c r="DT248" s="5720"/>
      <c r="DU248" s="5720"/>
      <c r="DV248" s="5721"/>
      <c r="DW248" s="5720"/>
      <c r="DX248" s="5720"/>
      <c r="DY248" s="5720"/>
      <c r="DZ248" s="5720"/>
      <c r="EA248" s="5721"/>
      <c r="EB248" s="5720"/>
      <c r="EC248" s="5720"/>
      <c r="ED248" s="5720"/>
      <c r="EE248" s="5720"/>
      <c r="EF248" s="3467"/>
      <c r="EG248" s="5720"/>
      <c r="EH248" s="5720"/>
      <c r="EI248" s="5720"/>
      <c r="EJ248" s="5720"/>
      <c r="EK248" s="3467"/>
      <c r="EL248" s="5720"/>
      <c r="EM248" s="5720"/>
      <c r="EN248" s="5720"/>
      <c r="EO248" s="3489"/>
      <c r="EP248" s="3467"/>
      <c r="EQ248" s="3489"/>
      <c r="ER248" s="3489"/>
      <c r="ES248" s="3489"/>
      <c r="ET248" s="3489"/>
      <c r="EU248" s="3467"/>
      <c r="EV248" s="3470"/>
      <c r="EW248" s="3470"/>
      <c r="EX248" s="3470"/>
      <c r="EY248" s="3470"/>
      <c r="FA248" s="1319"/>
      <c r="FB248" s="1319"/>
    </row>
    <row r="249" spans="1:158" s="249" customFormat="1" ht="11.25" hidden="1" customHeight="1" outlineLevel="1">
      <c r="A249" s="5639" t="s">
        <v>616</v>
      </c>
      <c r="B249" s="185"/>
      <c r="C249" s="185"/>
      <c r="D249" s="185"/>
      <c r="E249" s="185"/>
      <c r="F249" s="5569"/>
      <c r="G249" s="185"/>
      <c r="H249" s="185"/>
      <c r="I249" s="185"/>
      <c r="J249" s="185"/>
      <c r="K249" s="1505"/>
      <c r="L249" s="185"/>
      <c r="M249" s="185"/>
      <c r="N249" s="185"/>
      <c r="O249" s="185"/>
      <c r="P249" s="2588"/>
      <c r="Q249" s="2605"/>
      <c r="R249" s="185"/>
      <c r="S249" s="185"/>
      <c r="T249" s="185"/>
      <c r="U249" s="2588"/>
      <c r="V249" s="2581"/>
      <c r="W249" s="223"/>
      <c r="X249" s="223"/>
      <c r="Y249" s="223"/>
      <c r="Z249" s="2588"/>
      <c r="AA249" s="2581"/>
      <c r="AB249" s="223"/>
      <c r="AC249" s="223"/>
      <c r="AD249" s="223"/>
      <c r="AE249" s="2588"/>
      <c r="AF249" s="2581"/>
      <c r="AG249" s="223"/>
      <c r="AH249" s="223"/>
      <c r="AI249" s="223"/>
      <c r="AJ249" s="2588"/>
      <c r="AK249" s="2581"/>
      <c r="AL249" s="223"/>
      <c r="AM249" s="223"/>
      <c r="AN249" s="223"/>
      <c r="AO249" s="2588"/>
      <c r="AP249" s="2581"/>
      <c r="AQ249" s="223"/>
      <c r="AR249" s="223"/>
      <c r="AS249" s="223"/>
      <c r="AT249" s="2588"/>
      <c r="AU249" s="2581"/>
      <c r="AV249" s="223"/>
      <c r="AW249" s="223"/>
      <c r="AX249" s="223"/>
      <c r="AY249" s="2588"/>
      <c r="AZ249" s="2581"/>
      <c r="BA249" s="223"/>
      <c r="BB249" s="223"/>
      <c r="BC249" s="223"/>
      <c r="BD249" s="2588"/>
      <c r="BE249" s="2581"/>
      <c r="BF249" s="223"/>
      <c r="BG249" s="223"/>
      <c r="BH249" s="223"/>
      <c r="BI249" s="2588"/>
      <c r="BJ249" s="2581"/>
      <c r="BK249" s="223"/>
      <c r="BL249" s="223"/>
      <c r="BM249" s="223"/>
      <c r="BN249" s="2588"/>
      <c r="BO249" s="2612"/>
      <c r="BP249" s="2612"/>
      <c r="BQ249" s="2612"/>
      <c r="BR249" s="2612"/>
      <c r="BS249" s="1927"/>
      <c r="BT249" s="223"/>
      <c r="BU249" s="223"/>
      <c r="BV249" s="223"/>
      <c r="BW249" s="223"/>
      <c r="BX249" s="2588"/>
      <c r="BY249" s="2612"/>
      <c r="BZ249" s="2612"/>
      <c r="CA249" s="2612"/>
      <c r="CB249" s="2612"/>
      <c r="CC249" s="1927"/>
      <c r="CD249" s="223"/>
      <c r="CE249" s="223"/>
      <c r="CF249" s="223"/>
      <c r="CG249" s="223"/>
      <c r="CH249" s="2588"/>
      <c r="CI249" s="2637"/>
      <c r="CJ249" s="223"/>
      <c r="CK249" s="223"/>
      <c r="CL249" s="223"/>
      <c r="CM249" s="2588"/>
      <c r="CN249" s="2612"/>
      <c r="CO249" s="223"/>
      <c r="CP249" s="223"/>
      <c r="CQ249" s="223"/>
      <c r="CR249" s="2588"/>
      <c r="CS249" s="2660"/>
      <c r="CT249" s="2007"/>
      <c r="CU249" s="2660"/>
      <c r="CV249" s="2660"/>
      <c r="CW249" s="2588">
        <f t="shared" ref="CW249:DB249" si="985">CW248/CR248-1</f>
        <v>0.17518420741557983</v>
      </c>
      <c r="CX249" s="2612">
        <f>CX248/CS248-1</f>
        <v>0.13150763086578232</v>
      </c>
      <c r="CY249" s="2612">
        <f t="shared" si="985"/>
        <v>0.154012137559002</v>
      </c>
      <c r="CZ249" s="2612">
        <f t="shared" si="985"/>
        <v>0.27030735455543353</v>
      </c>
      <c r="DA249" s="2612">
        <f t="shared" si="985"/>
        <v>0.29305880902478121</v>
      </c>
      <c r="DB249" s="2588">
        <f t="shared" si="985"/>
        <v>0.21495389773679796</v>
      </c>
      <c r="DC249" s="2612">
        <f>DC248/CX248-1</f>
        <v>0.3476616664565737</v>
      </c>
      <c r="DD249" s="2612">
        <f>DD248/CY248-1</f>
        <v>0.27240855439990641</v>
      </c>
      <c r="DE249" s="2612">
        <f>DE248/CZ248-1</f>
        <v>0.17833225318643331</v>
      </c>
      <c r="DF249" s="2612">
        <f>DF248/DA248-1</f>
        <v>0.16809687261632345</v>
      </c>
      <c r="DG249" s="2588">
        <f>DG248/DB248-1</f>
        <v>0.2346561430621481</v>
      </c>
      <c r="DH249" s="2612"/>
      <c r="DI249" s="2612"/>
      <c r="DJ249" s="2612"/>
      <c r="DK249" s="2628"/>
      <c r="DL249" s="2588"/>
      <c r="DM249" s="2628"/>
      <c r="DN249" s="2628"/>
      <c r="DO249" s="2628"/>
      <c r="DP249" s="2628"/>
      <c r="DQ249" s="2588"/>
      <c r="DR249" s="5722"/>
      <c r="DS249" s="5722"/>
      <c r="DT249" s="5722"/>
      <c r="DU249" s="5722"/>
      <c r="DV249" s="5723"/>
      <c r="DW249" s="5722"/>
      <c r="DX249" s="5722"/>
      <c r="DY249" s="5722"/>
      <c r="DZ249" s="5722"/>
      <c r="EA249" s="5723"/>
      <c r="EB249" s="5722"/>
      <c r="EC249" s="5722"/>
      <c r="ED249" s="5722"/>
      <c r="EE249" s="5722"/>
      <c r="EF249" s="2588"/>
      <c r="EG249" s="5722"/>
      <c r="EH249" s="5722"/>
      <c r="EI249" s="5722"/>
      <c r="EJ249" s="5722"/>
      <c r="EK249" s="2588"/>
      <c r="EL249" s="5722"/>
      <c r="EM249" s="5722"/>
      <c r="EN249" s="5722"/>
      <c r="EO249" s="2628"/>
      <c r="EP249" s="2588"/>
      <c r="EQ249" s="2628"/>
      <c r="ER249" s="2628"/>
      <c r="ES249" s="2628"/>
      <c r="ET249" s="2628"/>
      <c r="EU249" s="2588"/>
      <c r="EV249" s="3938"/>
      <c r="EW249" s="3938"/>
      <c r="EX249" s="3938"/>
      <c r="EY249" s="3938"/>
      <c r="EZ249" s="185"/>
      <c r="FA249" s="725"/>
      <c r="FB249" s="725"/>
    </row>
    <row r="250" spans="1:158" s="249" customFormat="1" ht="11.25" hidden="1" customHeight="1" outlineLevel="1">
      <c r="A250" s="5639" t="s">
        <v>617</v>
      </c>
      <c r="B250" s="185"/>
      <c r="C250" s="185"/>
      <c r="D250" s="185"/>
      <c r="E250" s="185"/>
      <c r="F250" s="5569"/>
      <c r="G250" s="185"/>
      <c r="H250" s="185"/>
      <c r="I250" s="185"/>
      <c r="J250" s="185"/>
      <c r="K250" s="1505"/>
      <c r="L250" s="185"/>
      <c r="M250" s="185"/>
      <c r="N250" s="185"/>
      <c r="O250" s="185"/>
      <c r="P250" s="1020"/>
      <c r="Q250" s="2605"/>
      <c r="R250" s="185"/>
      <c r="S250" s="185"/>
      <c r="T250" s="185"/>
      <c r="U250" s="1020"/>
      <c r="V250" s="2581"/>
      <c r="W250" s="223"/>
      <c r="X250" s="223"/>
      <c r="Y250" s="223"/>
      <c r="Z250" s="1020"/>
      <c r="AA250" s="2581"/>
      <c r="AB250" s="223"/>
      <c r="AC250" s="223"/>
      <c r="AD250" s="223"/>
      <c r="AE250" s="1020"/>
      <c r="AF250" s="2581"/>
      <c r="AG250" s="223"/>
      <c r="AH250" s="223"/>
      <c r="AI250" s="223"/>
      <c r="AJ250" s="1020"/>
      <c r="AK250" s="2581"/>
      <c r="AL250" s="223"/>
      <c r="AM250" s="223"/>
      <c r="AN250" s="223"/>
      <c r="AO250" s="1020"/>
      <c r="AP250" s="2581"/>
      <c r="AQ250" s="223"/>
      <c r="AR250" s="223"/>
      <c r="AS250" s="223"/>
      <c r="AT250" s="1020"/>
      <c r="AU250" s="2581"/>
      <c r="AV250" s="223"/>
      <c r="AW250" s="223"/>
      <c r="AX250" s="223"/>
      <c r="AY250" s="1020"/>
      <c r="AZ250" s="2581"/>
      <c r="BA250" s="223"/>
      <c r="BB250" s="223"/>
      <c r="BC250" s="223"/>
      <c r="BD250" s="1020"/>
      <c r="BE250" s="2581"/>
      <c r="BF250" s="223"/>
      <c r="BG250" s="223"/>
      <c r="BH250" s="223"/>
      <c r="BI250" s="1020"/>
      <c r="BJ250" s="2581"/>
      <c r="BK250" s="223"/>
      <c r="BL250" s="223"/>
      <c r="BM250" s="223"/>
      <c r="BN250" s="1020"/>
      <c r="BO250" s="223"/>
      <c r="BP250" s="223"/>
      <c r="BQ250" s="223"/>
      <c r="BR250" s="223"/>
      <c r="BS250" s="1931"/>
      <c r="BT250" s="223"/>
      <c r="BU250" s="223"/>
      <c r="BV250" s="223"/>
      <c r="BW250" s="223"/>
      <c r="BX250" s="1020"/>
      <c r="BY250" s="223"/>
      <c r="BZ250" s="223"/>
      <c r="CA250" s="223"/>
      <c r="CB250" s="223"/>
      <c r="CC250" s="1931"/>
      <c r="CD250" s="223"/>
      <c r="CE250" s="223"/>
      <c r="CF250" s="223"/>
      <c r="CG250" s="223"/>
      <c r="CH250" s="1020"/>
      <c r="CI250" s="560"/>
      <c r="CJ250" s="223"/>
      <c r="CK250" s="223"/>
      <c r="CL250" s="223"/>
      <c r="CM250" s="1020"/>
      <c r="CN250" s="223"/>
      <c r="CO250" s="223"/>
      <c r="CP250" s="223"/>
      <c r="CQ250" s="223"/>
      <c r="CR250" s="1020"/>
      <c r="CS250" s="2007"/>
      <c r="CT250" s="223">
        <f>CT248/CS248-1</f>
        <v>5.7623734132078219E-2</v>
      </c>
      <c r="CU250" s="223">
        <f>CU248/CT248-1</f>
        <v>-1.7127444369521294E-2</v>
      </c>
      <c r="CV250" s="223">
        <f>CV248/CU248-1</f>
        <v>0.11292535675082327</v>
      </c>
      <c r="CW250" s="1020"/>
      <c r="CX250" s="223">
        <f>CX248/CV248-1</f>
        <v>-2.1945506102823309E-2</v>
      </c>
      <c r="CY250" s="223">
        <f>CY248/CX248-1</f>
        <v>7.8658767175091349E-2</v>
      </c>
      <c r="CZ250" s="223">
        <f>CZ248/CY248-1</f>
        <v>8.1921234077363625E-2</v>
      </c>
      <c r="DA250" s="223">
        <f>DA248/CZ248-1</f>
        <v>0.13285806869734285</v>
      </c>
      <c r="DB250" s="1020"/>
      <c r="DC250" s="223">
        <f>DC248/DA248-1</f>
        <v>1.9355453852021309E-2</v>
      </c>
      <c r="DD250" s="223">
        <f>DD248/DC248-1</f>
        <v>1.8426714058553895E-2</v>
      </c>
      <c r="DE250" s="223">
        <f>DE248/DD248-1</f>
        <v>1.9287288758265131E-3</v>
      </c>
      <c r="DF250" s="223">
        <f>DF248/DE248-1</f>
        <v>0.12301769181409838</v>
      </c>
      <c r="DG250" s="1020"/>
      <c r="DH250" s="223"/>
      <c r="DI250" s="223"/>
      <c r="DJ250" s="223"/>
      <c r="DK250" s="223"/>
      <c r="DL250" s="1931"/>
      <c r="DM250" s="223"/>
      <c r="DN250" s="223"/>
      <c r="DO250" s="223"/>
      <c r="DP250" s="223"/>
      <c r="DQ250" s="1931"/>
      <c r="DR250" s="5724"/>
      <c r="DS250" s="5724"/>
      <c r="DT250" s="5724"/>
      <c r="DU250" s="5724"/>
      <c r="DV250" s="5725"/>
      <c r="DW250" s="5724"/>
      <c r="DX250" s="5724"/>
      <c r="DY250" s="5724"/>
      <c r="DZ250" s="5724"/>
      <c r="EA250" s="5725"/>
      <c r="EB250" s="5724"/>
      <c r="EC250" s="5724"/>
      <c r="ED250" s="5724"/>
      <c r="EE250" s="5724"/>
      <c r="EF250" s="1931"/>
      <c r="EG250" s="5724"/>
      <c r="EH250" s="5724"/>
      <c r="EI250" s="5724"/>
      <c r="EJ250" s="5724"/>
      <c r="EK250" s="1931"/>
      <c r="EL250" s="5724"/>
      <c r="EM250" s="5724"/>
      <c r="EN250" s="5724"/>
      <c r="EO250" s="223"/>
      <c r="EP250" s="1931"/>
      <c r="EQ250" s="223"/>
      <c r="ER250" s="223"/>
      <c r="ES250" s="223"/>
      <c r="ET250" s="223"/>
      <c r="EU250" s="1931"/>
      <c r="EV250" s="1020"/>
      <c r="EW250" s="1020"/>
      <c r="EX250" s="1020"/>
      <c r="EY250" s="1020"/>
      <c r="EZ250" s="185"/>
      <c r="FA250" s="725"/>
      <c r="FB250" s="725"/>
    </row>
    <row r="251" spans="1:158" s="211" customFormat="1" ht="11.25" hidden="1" customHeight="1" outlineLevel="1">
      <c r="A251" s="5683" t="s">
        <v>613</v>
      </c>
      <c r="B251" s="2612"/>
      <c r="C251" s="2612"/>
      <c r="D251" s="2612"/>
      <c r="E251" s="2612"/>
      <c r="F251" s="4303"/>
      <c r="G251" s="2612"/>
      <c r="H251" s="2612"/>
      <c r="I251" s="2612"/>
      <c r="J251" s="2612"/>
      <c r="K251" s="1019"/>
      <c r="L251" s="209"/>
      <c r="M251" s="209"/>
      <c r="N251" s="209"/>
      <c r="O251" s="209"/>
      <c r="P251" s="1019"/>
      <c r="Q251" s="2576"/>
      <c r="R251" s="209"/>
      <c r="S251" s="209"/>
      <c r="T251" s="209"/>
      <c r="U251" s="1019"/>
      <c r="V251" s="2576"/>
      <c r="W251" s="209"/>
      <c r="X251" s="209"/>
      <c r="Y251" s="209"/>
      <c r="Z251" s="1019"/>
      <c r="AA251" s="2576"/>
      <c r="AB251" s="209"/>
      <c r="AC251" s="209"/>
      <c r="AD251" s="209"/>
      <c r="AE251" s="1019"/>
      <c r="AF251" s="2576"/>
      <c r="AG251" s="209"/>
      <c r="AH251" s="209"/>
      <c r="AI251" s="209"/>
      <c r="AJ251" s="1019"/>
      <c r="AK251" s="2576"/>
      <c r="AL251" s="209"/>
      <c r="AM251" s="209"/>
      <c r="AN251" s="209"/>
      <c r="AO251" s="1019"/>
      <c r="AP251" s="2655"/>
      <c r="AQ251" s="2606"/>
      <c r="AR251" s="2606"/>
      <c r="AS251" s="2606"/>
      <c r="AT251" s="2590"/>
      <c r="AU251" s="2655"/>
      <c r="AV251" s="2606"/>
      <c r="AW251" s="2606"/>
      <c r="AX251" s="2606"/>
      <c r="AY251" s="2590"/>
      <c r="AZ251" s="2655"/>
      <c r="BA251" s="2606"/>
      <c r="BB251" s="2606"/>
      <c r="BC251" s="2606"/>
      <c r="BD251" s="2590"/>
      <c r="BE251" s="2655"/>
      <c r="BF251" s="2606"/>
      <c r="BG251" s="2606"/>
      <c r="BH251" s="2606"/>
      <c r="BI251" s="2590"/>
      <c r="BJ251" s="2655"/>
      <c r="BK251" s="2606"/>
      <c r="BL251" s="2606"/>
      <c r="BM251" s="2606"/>
      <c r="BN251" s="2590"/>
      <c r="BO251" s="2606"/>
      <c r="BP251" s="2606"/>
      <c r="BQ251" s="2606"/>
      <c r="BR251" s="2606"/>
      <c r="BS251" s="1932"/>
      <c r="BT251" s="2606"/>
      <c r="BU251" s="2606"/>
      <c r="BV251" s="2606"/>
      <c r="BW251" s="2606"/>
      <c r="BX251" s="2590"/>
      <c r="BY251" s="2606"/>
      <c r="BZ251" s="2606"/>
      <c r="CA251" s="2606"/>
      <c r="CB251" s="2606"/>
      <c r="CC251" s="1932"/>
      <c r="CD251" s="2606"/>
      <c r="CE251" s="2606"/>
      <c r="CF251" s="2606"/>
      <c r="CG251" s="2606"/>
      <c r="CH251" s="2590"/>
      <c r="CI251" s="2606"/>
      <c r="CJ251" s="2606"/>
      <c r="CK251" s="2606"/>
      <c r="CL251" s="2606"/>
      <c r="CM251" s="2590"/>
      <c r="CN251" s="2606"/>
      <c r="CO251" s="2606"/>
      <c r="CP251" s="2606"/>
      <c r="CQ251" s="2606"/>
      <c r="CR251" s="2590"/>
      <c r="CS251" s="2606"/>
      <c r="CT251" s="2606"/>
      <c r="CU251" s="2606"/>
      <c r="CV251" s="2606"/>
      <c r="CW251" s="2590">
        <f t="shared" ref="CW251:DE251" si="986">(CW241-CW249)*10000</f>
        <v>-259.12362755385664</v>
      </c>
      <c r="CX251" s="2606">
        <f t="shared" si="986"/>
        <v>32.749778298699624</v>
      </c>
      <c r="CY251" s="2606">
        <f t="shared" si="986"/>
        <v>-123.95571092736147</v>
      </c>
      <c r="CZ251" s="2606">
        <f t="shared" si="986"/>
        <v>-396.5259265067167</v>
      </c>
      <c r="DA251" s="2606">
        <f t="shared" si="986"/>
        <v>-500.79418883766323</v>
      </c>
      <c r="DB251" s="2590">
        <f t="shared" si="986"/>
        <v>-254.73961094770513</v>
      </c>
      <c r="DC251" s="2606">
        <f t="shared" si="986"/>
        <v>-531.36885836131182</v>
      </c>
      <c r="DD251" s="2606">
        <f t="shared" si="986"/>
        <v>-102.66951123136359</v>
      </c>
      <c r="DE251" s="2606">
        <f t="shared" si="986"/>
        <v>262.40682946357731</v>
      </c>
      <c r="DF251" s="2606"/>
      <c r="DG251" s="2590"/>
      <c r="DH251" s="2606"/>
      <c r="DI251" s="2606"/>
      <c r="DJ251" s="2606"/>
      <c r="DK251" s="2606"/>
      <c r="DL251" s="1932"/>
      <c r="DM251" s="2606"/>
      <c r="DN251" s="2606"/>
      <c r="DO251" s="2606"/>
      <c r="DP251" s="2606"/>
      <c r="DQ251" s="1932"/>
      <c r="DR251" s="677"/>
      <c r="DS251" s="677"/>
      <c r="DT251" s="677"/>
      <c r="DU251" s="677"/>
      <c r="DV251" s="5710"/>
      <c r="DW251" s="677"/>
      <c r="DX251" s="677"/>
      <c r="DY251" s="677"/>
      <c r="DZ251" s="677"/>
      <c r="EA251" s="5710"/>
      <c r="EB251" s="677"/>
      <c r="EC251" s="677"/>
      <c r="ED251" s="677"/>
      <c r="EE251" s="677"/>
      <c r="EF251" s="1932"/>
      <c r="EG251" s="677"/>
      <c r="EH251" s="677"/>
      <c r="EI251" s="677"/>
      <c r="EJ251" s="677"/>
      <c r="EK251" s="1932"/>
      <c r="EL251" s="677"/>
      <c r="EM251" s="677"/>
      <c r="EN251" s="677"/>
      <c r="EO251" s="2606"/>
      <c r="EP251" s="1932"/>
      <c r="EQ251" s="2606"/>
      <c r="ER251" s="2606"/>
      <c r="ES251" s="2606"/>
      <c r="ET251" s="2606"/>
      <c r="EU251" s="1932"/>
      <c r="EV251" s="2832"/>
      <c r="EW251" s="2832"/>
      <c r="EX251" s="2832"/>
      <c r="EY251" s="2832"/>
      <c r="EZ251" s="209"/>
      <c r="FA251" s="725"/>
      <c r="FB251" s="725"/>
    </row>
    <row r="252" spans="1:158" s="211" customFormat="1" ht="11.25" hidden="1" customHeight="1" outlineLevel="1">
      <c r="A252" s="5365"/>
      <c r="B252" s="2612"/>
      <c r="C252" s="2612"/>
      <c r="D252" s="2612"/>
      <c r="E252" s="2612"/>
      <c r="F252" s="4303"/>
      <c r="G252" s="2612"/>
      <c r="H252" s="2612"/>
      <c r="I252" s="2612"/>
      <c r="J252" s="2612"/>
      <c r="K252" s="1019"/>
      <c r="L252" s="209"/>
      <c r="M252" s="209"/>
      <c r="N252" s="209"/>
      <c r="O252" s="209"/>
      <c r="P252" s="1019"/>
      <c r="Q252" s="2576"/>
      <c r="R252" s="209"/>
      <c r="S252" s="209"/>
      <c r="T252" s="209"/>
      <c r="U252" s="1019"/>
      <c r="V252" s="2576"/>
      <c r="W252" s="209"/>
      <c r="X252" s="209"/>
      <c r="Y252" s="209"/>
      <c r="Z252" s="1019"/>
      <c r="AA252" s="2576"/>
      <c r="AB252" s="209"/>
      <c r="AC252" s="209"/>
      <c r="AD252" s="209"/>
      <c r="AE252" s="1019"/>
      <c r="AF252" s="2576"/>
      <c r="AG252" s="209"/>
      <c r="AH252" s="209"/>
      <c r="AI252" s="209"/>
      <c r="AJ252" s="1019"/>
      <c r="AK252" s="2576"/>
      <c r="AL252" s="209"/>
      <c r="AM252" s="209"/>
      <c r="AN252" s="209"/>
      <c r="AO252" s="1019"/>
      <c r="AP252" s="2577"/>
      <c r="AQ252" s="257"/>
      <c r="AR252" s="257"/>
      <c r="AS252" s="257"/>
      <c r="AT252" s="1019"/>
      <c r="AU252" s="2577"/>
      <c r="AV252" s="257"/>
      <c r="AW252" s="257"/>
      <c r="AX252" s="257"/>
      <c r="AY252" s="1019"/>
      <c r="AZ252" s="2571"/>
      <c r="BA252" s="258"/>
      <c r="BB252" s="258"/>
      <c r="BC252" s="258"/>
      <c r="BD252" s="1019"/>
      <c r="BE252" s="2572"/>
      <c r="BF252" s="241"/>
      <c r="BG252" s="241"/>
      <c r="BH252" s="241"/>
      <c r="BI252" s="1019"/>
      <c r="BJ252" s="2572"/>
      <c r="BK252" s="258"/>
      <c r="BL252" s="258"/>
      <c r="BM252" s="258"/>
      <c r="BN252" s="1019"/>
      <c r="BO252" s="209"/>
      <c r="BP252" s="209"/>
      <c r="BQ252" s="209"/>
      <c r="BR252" s="209"/>
      <c r="BS252" s="1933"/>
      <c r="BT252" s="258"/>
      <c r="BU252" s="258"/>
      <c r="BV252" s="258"/>
      <c r="BW252" s="258"/>
      <c r="BX252" s="1019"/>
      <c r="BY252" s="209"/>
      <c r="BZ252" s="209"/>
      <c r="CA252" s="209"/>
      <c r="CB252" s="209"/>
      <c r="CC252" s="1933"/>
      <c r="CD252" s="209"/>
      <c r="CE252" s="209"/>
      <c r="CF252" s="209"/>
      <c r="CG252" s="258"/>
      <c r="CH252" s="1019"/>
      <c r="CI252" s="209"/>
      <c r="CJ252" s="209"/>
      <c r="CK252" s="209"/>
      <c r="CL252" s="209"/>
      <c r="CM252" s="1019"/>
      <c r="CN252" s="209"/>
      <c r="CO252" s="209"/>
      <c r="CP252" s="209"/>
      <c r="CQ252" s="209"/>
      <c r="CR252" s="1019"/>
      <c r="CS252" s="209"/>
      <c r="CT252" s="209"/>
      <c r="CU252" s="209"/>
      <c r="CV252" s="209"/>
      <c r="CW252" s="1019"/>
      <c r="CX252" s="209"/>
      <c r="CY252" s="209"/>
      <c r="CZ252" s="209"/>
      <c r="DA252" s="209"/>
      <c r="DB252" s="1019"/>
      <c r="DC252" s="209"/>
      <c r="DD252" s="209"/>
      <c r="DE252" s="209"/>
      <c r="DF252" s="209"/>
      <c r="DG252" s="1019"/>
      <c r="DH252" s="209"/>
      <c r="DI252" s="209"/>
      <c r="DJ252" s="209"/>
      <c r="DK252" s="209"/>
      <c r="DL252" s="1933"/>
      <c r="DM252" s="209"/>
      <c r="DN252" s="209"/>
      <c r="DO252" s="209"/>
      <c r="DP252" s="209"/>
      <c r="DQ252" s="1933"/>
      <c r="DR252" s="682"/>
      <c r="DS252" s="682"/>
      <c r="DT252" s="682"/>
      <c r="DU252" s="682"/>
      <c r="DV252" s="5726"/>
      <c r="DW252" s="682"/>
      <c r="DX252" s="682"/>
      <c r="DY252" s="682"/>
      <c r="DZ252" s="682"/>
      <c r="EA252" s="5726"/>
      <c r="EB252" s="682"/>
      <c r="EC252" s="682"/>
      <c r="ED252" s="682"/>
      <c r="EE252" s="682"/>
      <c r="EF252" s="1933"/>
      <c r="EG252" s="682"/>
      <c r="EH252" s="682"/>
      <c r="EI252" s="682"/>
      <c r="EJ252" s="682"/>
      <c r="EK252" s="1933"/>
      <c r="EL252" s="682"/>
      <c r="EM252" s="682"/>
      <c r="EN252" s="682"/>
      <c r="EO252" s="209"/>
      <c r="EP252" s="1933"/>
      <c r="EQ252" s="209"/>
      <c r="ER252" s="209"/>
      <c r="ES252" s="209"/>
      <c r="ET252" s="209"/>
      <c r="EU252" s="1933"/>
      <c r="EV252" s="2244"/>
      <c r="EW252" s="2244"/>
      <c r="EX252" s="2244"/>
      <c r="EY252" s="2244"/>
      <c r="EZ252" s="209"/>
      <c r="FA252" s="725"/>
      <c r="FB252" s="725"/>
    </row>
    <row r="253" spans="1:158" s="252" customFormat="1" ht="11.25" customHeight="1" collapsed="1">
      <c r="A253" s="5684" t="s">
        <v>723</v>
      </c>
      <c r="B253" s="3480"/>
      <c r="C253" s="3480"/>
      <c r="D253" s="3480"/>
      <c r="E253" s="3480"/>
      <c r="F253" s="5571"/>
      <c r="G253" s="3480"/>
      <c r="H253" s="3480"/>
      <c r="I253" s="3480"/>
      <c r="J253" s="3480"/>
      <c r="K253" s="3481"/>
      <c r="L253" s="3482"/>
      <c r="M253" s="3482"/>
      <c r="N253" s="3482"/>
      <c r="O253" s="3482"/>
      <c r="P253" s="3481"/>
      <c r="Q253" s="3483"/>
      <c r="R253" s="3482"/>
      <c r="S253" s="3482"/>
      <c r="T253" s="3482"/>
      <c r="U253" s="3481"/>
      <c r="V253" s="3483"/>
      <c r="W253" s="3482"/>
      <c r="X253" s="3482"/>
      <c r="Y253" s="3482"/>
      <c r="Z253" s="3481"/>
      <c r="AA253" s="3483"/>
      <c r="AB253" s="3482"/>
      <c r="AC253" s="3482"/>
      <c r="AD253" s="3482"/>
      <c r="AE253" s="3481"/>
      <c r="AF253" s="3483"/>
      <c r="AG253" s="3482"/>
      <c r="AH253" s="3482"/>
      <c r="AI253" s="3482"/>
      <c r="AJ253" s="3481"/>
      <c r="AK253" s="2985"/>
      <c r="AL253" s="2985"/>
      <c r="AM253" s="2985"/>
      <c r="AN253" s="2985"/>
      <c r="AO253" s="3481"/>
      <c r="AP253" s="3471"/>
      <c r="AQ253" s="2985"/>
      <c r="AR253" s="2985"/>
      <c r="AS253" s="2985"/>
      <c r="AT253" s="3481"/>
      <c r="AU253" s="3483"/>
      <c r="AV253" s="3482"/>
      <c r="AW253" s="3482"/>
      <c r="AX253" s="3482"/>
      <c r="AY253" s="3481"/>
      <c r="AZ253" s="3483"/>
      <c r="BA253" s="3482"/>
      <c r="BB253" s="3482"/>
      <c r="BC253" s="3482"/>
      <c r="BD253" s="3481"/>
      <c r="BE253" s="3483"/>
      <c r="BF253" s="3482"/>
      <c r="BG253" s="3482"/>
      <c r="BH253" s="3482"/>
      <c r="BI253" s="3481"/>
      <c r="BJ253" s="3483"/>
      <c r="BK253" s="3482"/>
      <c r="BL253" s="3482"/>
      <c r="BM253" s="3482"/>
      <c r="BN253" s="3481"/>
      <c r="BO253" s="3482"/>
      <c r="BP253" s="3482"/>
      <c r="BQ253" s="3482"/>
      <c r="BR253" s="3482"/>
      <c r="BS253" s="3484"/>
      <c r="BT253" s="3482"/>
      <c r="BU253" s="3482"/>
      <c r="BV253" s="3482"/>
      <c r="BW253" s="3482"/>
      <c r="BX253" s="3481"/>
      <c r="BY253" s="3482"/>
      <c r="BZ253" s="3482"/>
      <c r="CA253" s="3482"/>
      <c r="CB253" s="3482"/>
      <c r="CC253" s="3484"/>
      <c r="CD253" s="3482"/>
      <c r="CE253" s="3482"/>
      <c r="CF253" s="3482"/>
      <c r="CG253" s="3482"/>
      <c r="CH253" s="3481"/>
      <c r="CI253" s="3482"/>
      <c r="CJ253" s="3482"/>
      <c r="CK253" s="3482"/>
      <c r="CL253" s="3482"/>
      <c r="CM253" s="3481"/>
      <c r="CN253" s="3482"/>
      <c r="CO253" s="3482"/>
      <c r="CP253" s="3482"/>
      <c r="CQ253" s="3482"/>
      <c r="CR253" s="3481">
        <f>CR248-CR244</f>
        <v>29181</v>
      </c>
      <c r="CS253" s="3482"/>
      <c r="CT253" s="3482"/>
      <c r="CU253" s="3482"/>
      <c r="CV253" s="3482"/>
      <c r="CW253" s="3481">
        <f>CW248-CW244</f>
        <v>31116</v>
      </c>
      <c r="CX253" s="3482">
        <f>CX248-CX244</f>
        <v>8377</v>
      </c>
      <c r="CY253" s="3482">
        <f>CY248-CY244</f>
        <v>8953</v>
      </c>
      <c r="CZ253" s="3482">
        <f>CZ248-CZ244</f>
        <v>8975</v>
      </c>
      <c r="DA253" s="3482">
        <f>DA248-DA244</f>
        <v>9926</v>
      </c>
      <c r="DB253" s="3481">
        <f>SUM(CX253:DA253)</f>
        <v>36231</v>
      </c>
      <c r="DC253" s="3482">
        <f>DC248-DC244</f>
        <v>9597</v>
      </c>
      <c r="DD253" s="3482">
        <f>DD248-DD244</f>
        <v>10167</v>
      </c>
      <c r="DE253" s="3482">
        <f>DE248-DE244</f>
        <v>11032</v>
      </c>
      <c r="DF253" s="3482">
        <f>DF240-DF244</f>
        <v>12618</v>
      </c>
      <c r="DG253" s="3481">
        <f>DG248-DG244</f>
        <v>43414</v>
      </c>
      <c r="DH253" s="3482">
        <f t="shared" ref="DH253:DN253" si="987">DH240-DH244</f>
        <v>12430</v>
      </c>
      <c r="DI253" s="3482">
        <f t="shared" si="987"/>
        <v>13129</v>
      </c>
      <c r="DJ253" s="3482">
        <f t="shared" si="987"/>
        <v>13021</v>
      </c>
      <c r="DK253" s="3482">
        <f t="shared" si="987"/>
        <v>14462</v>
      </c>
      <c r="DL253" s="3481">
        <f t="shared" si="987"/>
        <v>53042</v>
      </c>
      <c r="DM253" s="3482">
        <f t="shared" si="987"/>
        <v>13080</v>
      </c>
      <c r="DN253" s="3482">
        <f t="shared" si="987"/>
        <v>11724</v>
      </c>
      <c r="DO253" s="3482">
        <f t="shared" ref="DO253:DT253" si="988">DO240-DO244</f>
        <v>13674</v>
      </c>
      <c r="DP253" s="3482">
        <f t="shared" si="988"/>
        <v>16781</v>
      </c>
      <c r="DQ253" s="3481">
        <f t="shared" si="988"/>
        <v>55259</v>
      </c>
      <c r="DR253" s="5714">
        <f t="shared" si="988"/>
        <v>16102</v>
      </c>
      <c r="DS253" s="5714">
        <f t="shared" si="988"/>
        <v>17659</v>
      </c>
      <c r="DT253" s="5714">
        <f t="shared" si="988"/>
        <v>19349</v>
      </c>
      <c r="DU253" s="5715">
        <v>23211</v>
      </c>
      <c r="DV253" s="5716">
        <f>DV240-DV244</f>
        <v>76321</v>
      </c>
      <c r="DW253" s="5715">
        <v>21628</v>
      </c>
      <c r="DX253" s="5715">
        <v>22489</v>
      </c>
      <c r="DY253" s="5715">
        <v>22093</v>
      </c>
      <c r="DZ253" s="5715">
        <v>24831</v>
      </c>
      <c r="EA253" s="5716">
        <f>EA240-EA244</f>
        <v>91041</v>
      </c>
      <c r="EB253" s="5715">
        <v>22251</v>
      </c>
      <c r="EC253" s="5715">
        <v>22564</v>
      </c>
      <c r="ED253" s="5715">
        <v>21858</v>
      </c>
      <c r="EE253" s="5715">
        <v>23905</v>
      </c>
      <c r="EF253" s="5716">
        <f>EF240-EF244</f>
        <v>90578</v>
      </c>
      <c r="EG253" s="5715">
        <v>23587</v>
      </c>
      <c r="EH253" s="5715">
        <v>25050</v>
      </c>
      <c r="EI253" s="5715">
        <v>25618</v>
      </c>
      <c r="EJ253" s="5715">
        <v>27834</v>
      </c>
      <c r="EK253" s="5716">
        <f>EK240-EK244</f>
        <v>102089</v>
      </c>
      <c r="EL253" s="5715">
        <v>26647</v>
      </c>
      <c r="EM253" s="5715">
        <v>27482</v>
      </c>
      <c r="EN253" s="5715">
        <v>28650</v>
      </c>
      <c r="EO253" s="3492">
        <f t="shared" ref="EO253" si="989">EJ240*(1+EO254)</f>
        <v>31847.919999999998</v>
      </c>
      <c r="EP253" s="3481">
        <f>EP240-EP244</f>
        <v>114626.92</v>
      </c>
      <c r="EQ253" s="3492">
        <f t="shared" ref="EQ253" si="990">EL240*(1+EQ254)</f>
        <v>29163.375</v>
      </c>
      <c r="ER253" s="3492">
        <f t="shared" ref="ER253" si="991">EM240*(1+ER254)</f>
        <v>32077.37</v>
      </c>
      <c r="ES253" s="3492">
        <f t="shared" ref="ES253" si="992">EN240*(1+ES254)</f>
        <v>34008.807000000001</v>
      </c>
      <c r="ET253" s="3492">
        <f t="shared" ref="ET253" si="993">EO240*(1+ET254)</f>
        <v>37856.695259505308</v>
      </c>
      <c r="EU253" s="3481">
        <f>EU240-EU244</f>
        <v>133106.24725950533</v>
      </c>
      <c r="EV253" s="3941">
        <f>EU240*(1+EV254)</f>
        <v>152109.33349792479</v>
      </c>
      <c r="EW253" s="3941">
        <f>EV240*(1+EW254)</f>
        <v>168993.46951619443</v>
      </c>
      <c r="EX253" s="3941">
        <f>EW240*(1+EX254)</f>
        <v>185385.83605926528</v>
      </c>
      <c r="EY253" s="3941">
        <f>EX240*(1+EY254)</f>
        <v>202255.94714065842</v>
      </c>
      <c r="FA253" s="1319">
        <f>(EV253/EK253)^(1/3)-1</f>
        <v>0.14215655839240116</v>
      </c>
      <c r="FB253" s="1319">
        <f>(EX253/EK253)^(1/5)-1</f>
        <v>0.12672912348910437</v>
      </c>
    </row>
    <row r="254" spans="1:158" s="239" customFormat="1" ht="11.25" customHeight="1">
      <c r="A254" s="5685" t="s">
        <v>618</v>
      </c>
      <c r="B254" s="3494"/>
      <c r="C254" s="3494"/>
      <c r="D254" s="3494"/>
      <c r="E254" s="3494"/>
      <c r="F254" s="5572"/>
      <c r="G254" s="3494"/>
      <c r="H254" s="3494"/>
      <c r="I254" s="3494"/>
      <c r="J254" s="3494"/>
      <c r="K254" s="3495"/>
      <c r="L254" s="3496"/>
      <c r="M254" s="3496"/>
      <c r="N254" s="3496"/>
      <c r="O254" s="3496"/>
      <c r="P254" s="3495"/>
      <c r="Q254" s="3497"/>
      <c r="R254" s="3496"/>
      <c r="S254" s="3496"/>
      <c r="T254" s="3496"/>
      <c r="U254" s="3495"/>
      <c r="V254" s="3497"/>
      <c r="W254" s="3496"/>
      <c r="X254" s="3496"/>
      <c r="Y254" s="3496"/>
      <c r="Z254" s="3495"/>
      <c r="AA254" s="3497"/>
      <c r="AB254" s="3496"/>
      <c r="AC254" s="3496"/>
      <c r="AD254" s="3496"/>
      <c r="AE254" s="3495"/>
      <c r="AF254" s="3497"/>
      <c r="AG254" s="3496"/>
      <c r="AH254" s="3496"/>
      <c r="AI254" s="3496"/>
      <c r="AJ254" s="3495"/>
      <c r="AK254" s="3498"/>
      <c r="AL254" s="3499"/>
      <c r="AM254" s="3499"/>
      <c r="AN254" s="3499"/>
      <c r="AO254" s="3495"/>
      <c r="AP254" s="3498"/>
      <c r="AQ254" s="3499"/>
      <c r="AR254" s="3499"/>
      <c r="AS254" s="3499"/>
      <c r="AT254" s="3495"/>
      <c r="AU254" s="3498"/>
      <c r="AV254" s="3499"/>
      <c r="AW254" s="3499"/>
      <c r="AX254" s="3496"/>
      <c r="AY254" s="3495"/>
      <c r="AZ254" s="3493"/>
      <c r="BA254" s="3494"/>
      <c r="BB254" s="3494"/>
      <c r="BC254" s="3494"/>
      <c r="BD254" s="3495"/>
      <c r="BE254" s="3493"/>
      <c r="BF254" s="3494"/>
      <c r="BG254" s="3494"/>
      <c r="BH254" s="3494"/>
      <c r="BI254" s="3495"/>
      <c r="BJ254" s="3493"/>
      <c r="BK254" s="3494"/>
      <c r="BL254" s="3494"/>
      <c r="BM254" s="3494"/>
      <c r="BN254" s="3495"/>
      <c r="BO254" s="3496"/>
      <c r="BP254" s="3496"/>
      <c r="BQ254" s="3496"/>
      <c r="BR254" s="3496"/>
      <c r="BS254" s="3500"/>
      <c r="BT254" s="3494"/>
      <c r="BU254" s="3494"/>
      <c r="BV254" s="3494"/>
      <c r="BW254" s="3494"/>
      <c r="BX254" s="3495"/>
      <c r="BY254" s="3496"/>
      <c r="BZ254" s="3496"/>
      <c r="CA254" s="3496"/>
      <c r="CB254" s="3496"/>
      <c r="CC254" s="3500"/>
      <c r="CD254" s="3494"/>
      <c r="CE254" s="3494"/>
      <c r="CF254" s="3494"/>
      <c r="CG254" s="3494"/>
      <c r="CH254" s="3495"/>
      <c r="CI254" s="3494"/>
      <c r="CJ254" s="3494"/>
      <c r="CK254" s="3494"/>
      <c r="CL254" s="3494"/>
      <c r="CM254" s="3495"/>
      <c r="CN254" s="3494"/>
      <c r="CO254" s="3494"/>
      <c r="CP254" s="3494"/>
      <c r="CQ254" s="3494"/>
      <c r="CR254" s="3495">
        <f>CR253/CM248-1</f>
        <v>0.19120708658203056</v>
      </c>
      <c r="CS254" s="3494"/>
      <c r="CT254" s="3494"/>
      <c r="CU254" s="3494"/>
      <c r="CV254" s="3494"/>
      <c r="CW254" s="3495">
        <f t="shared" ref="CW254:DL254" si="994">CW253/CR248-1</f>
        <v>0.22605303597462467</v>
      </c>
      <c r="CX254" s="3494">
        <f t="shared" si="994"/>
        <v>0.19483668520895736</v>
      </c>
      <c r="CY254" s="3494">
        <f t="shared" si="994"/>
        <v>0.20741739716790297</v>
      </c>
      <c r="CZ254" s="3494">
        <f t="shared" si="994"/>
        <v>0.23147639956092214</v>
      </c>
      <c r="DA254" s="3494">
        <f t="shared" si="994"/>
        <v>0.22377018863272102</v>
      </c>
      <c r="DB254" s="3495">
        <f t="shared" si="994"/>
        <v>0.21478625314333621</v>
      </c>
      <c r="DC254" s="3494">
        <f t="shared" si="994"/>
        <v>0.20975671246691041</v>
      </c>
      <c r="DD254" s="3494">
        <f t="shared" si="994"/>
        <v>0.18815005258852402</v>
      </c>
      <c r="DE254" s="3494">
        <f t="shared" si="994"/>
        <v>0.19161806005616766</v>
      </c>
      <c r="DF254" s="3494">
        <f t="shared" si="994"/>
        <v>0.20308924485125868</v>
      </c>
      <c r="DG254" s="3495">
        <f t="shared" si="994"/>
        <v>0.19809029694226732</v>
      </c>
      <c r="DH254" s="3494">
        <f t="shared" si="994"/>
        <v>0.162660181461042</v>
      </c>
      <c r="DI254" s="3494">
        <f t="shared" si="994"/>
        <v>0.20582292432035265</v>
      </c>
      <c r="DJ254" s="3494">
        <f t="shared" si="994"/>
        <v>0.19360161334677795</v>
      </c>
      <c r="DK254" s="3494">
        <f t="shared" si="994"/>
        <v>0.18047506326014195</v>
      </c>
      <c r="DL254" s="5078">
        <f t="shared" si="994"/>
        <v>0.18558751871968537</v>
      </c>
      <c r="DM254" s="5079">
        <f t="shared" ref="DM254:EN254" si="995">DM253/DH240-1</f>
        <v>0.12101474117243738</v>
      </c>
      <c r="DN254" s="5079">
        <f t="shared" si="995"/>
        <v>-4.7835620888491803E-2</v>
      </c>
      <c r="DO254" s="5079">
        <f t="shared" si="995"/>
        <v>8.8261042578591242E-2</v>
      </c>
      <c r="DP254" s="5079">
        <f t="shared" si="995"/>
        <v>0.19022625718136044</v>
      </c>
      <c r="DQ254" s="5078">
        <f t="shared" si="995"/>
        <v>9.1104748741237973E-2</v>
      </c>
      <c r="DR254" s="5079">
        <f t="shared" si="995"/>
        <v>0.25356169715842736</v>
      </c>
      <c r="DS254" s="5079">
        <f t="shared" si="995"/>
        <v>0.55407902842559187</v>
      </c>
      <c r="DT254" s="5079">
        <f t="shared" si="995"/>
        <v>0.38961505314564771</v>
      </c>
      <c r="DU254" s="5079">
        <f t="shared" si="995"/>
        <v>0.34650191437521749</v>
      </c>
      <c r="DV254" s="3495">
        <f>DV253/DQ240-1</f>
        <v>0.3783817951959545</v>
      </c>
      <c r="DW254" s="5079">
        <f t="shared" si="995"/>
        <v>0.26991955845223425</v>
      </c>
      <c r="DX254" s="5079">
        <f t="shared" si="995"/>
        <v>0.17842171452525668</v>
      </c>
      <c r="DY254" s="5079">
        <f t="shared" si="995"/>
        <v>0.11361459750995517</v>
      </c>
      <c r="DZ254" s="5079">
        <f t="shared" si="995"/>
        <v>7.2474409363797454E-2</v>
      </c>
      <c r="EA254" s="3495">
        <f>EA253/DV240-1</f>
        <v>0.15085896317645719</v>
      </c>
      <c r="EB254" s="5079">
        <f t="shared" si="995"/>
        <v>9.5191219176059549E-2</v>
      </c>
      <c r="EC254" s="5079">
        <f t="shared" si="995"/>
        <v>9.8913943408172278E-2</v>
      </c>
      <c r="ED254" s="5079">
        <f t="shared" si="995"/>
        <v>0.12380462724935737</v>
      </c>
      <c r="EE254" s="5079">
        <f t="shared" si="995"/>
        <v>9.8474404926017778E-2</v>
      </c>
      <c r="EF254" s="3495">
        <f>EF253/EA240-1</f>
        <v>0.10377519436523608</v>
      </c>
      <c r="EG254" s="5079">
        <f t="shared" si="995"/>
        <v>0.11903406395293681</v>
      </c>
      <c r="EH254" s="5079">
        <f t="shared" si="995"/>
        <v>0.12387276234914091</v>
      </c>
      <c r="EI254" s="5079">
        <f t="shared" si="995"/>
        <v>0.13048850447906091</v>
      </c>
      <c r="EJ254" s="5079">
        <f t="shared" si="995"/>
        <v>0.11291483406637348</v>
      </c>
      <c r="EK254" s="3495">
        <f>EK253/EF240-1</f>
        <v>0.12138887058151537</v>
      </c>
      <c r="EL254" s="5079">
        <f t="shared" si="995"/>
        <v>0.12018664873045237</v>
      </c>
      <c r="EM254" s="5079">
        <f t="shared" si="995"/>
        <v>0.11339788518413485</v>
      </c>
      <c r="EN254" s="5079">
        <f t="shared" si="995"/>
        <v>0.12476444723618085</v>
      </c>
      <c r="EO254" s="3501">
        <v>0.13</v>
      </c>
      <c r="EP254" s="3495">
        <f>EP253/EK240-1</f>
        <v>0.12239584047313645</v>
      </c>
      <c r="EQ254" s="3501">
        <v>0.125</v>
      </c>
      <c r="ER254" s="3501">
        <v>0.13500000000000001</v>
      </c>
      <c r="ES254" s="3501">
        <v>0.13700000000000001</v>
      </c>
      <c r="ET254" s="3501">
        <v>0.13800000000000001</v>
      </c>
      <c r="EU254" s="3495">
        <f>EU253/EP240-1</f>
        <v>0.13415125813220086</v>
      </c>
      <c r="EV254" s="3508">
        <v>0.12</v>
      </c>
      <c r="EW254" s="3508">
        <v>0.111</v>
      </c>
      <c r="EX254" s="3508">
        <v>9.7000000000000003E-2</v>
      </c>
      <c r="EY254" s="3508">
        <v>9.0999999999999998E-2</v>
      </c>
      <c r="FA254" s="725"/>
      <c r="FB254" s="725"/>
    </row>
    <row r="255" spans="1:158" s="214" customFormat="1" ht="11.25" customHeight="1">
      <c r="A255" s="5686" t="s">
        <v>21</v>
      </c>
      <c r="B255" s="3359"/>
      <c r="C255" s="3359"/>
      <c r="D255" s="3359"/>
      <c r="E255" s="3359"/>
      <c r="F255" s="5573"/>
      <c r="G255" s="3359"/>
      <c r="H255" s="3359"/>
      <c r="I255" s="3359"/>
      <c r="J255" s="3359"/>
      <c r="K255" s="3360"/>
      <c r="L255" s="3361"/>
      <c r="M255" s="3361"/>
      <c r="N255" s="3361"/>
      <c r="O255" s="3361"/>
      <c r="P255" s="3360"/>
      <c r="Q255" s="3362"/>
      <c r="R255" s="3361"/>
      <c r="S255" s="3361"/>
      <c r="T255" s="3361"/>
      <c r="U255" s="3360"/>
      <c r="V255" s="3362"/>
      <c r="W255" s="3361"/>
      <c r="X255" s="3361"/>
      <c r="Y255" s="3361"/>
      <c r="Z255" s="3360"/>
      <c r="AA255" s="3362"/>
      <c r="AB255" s="3361"/>
      <c r="AC255" s="3361"/>
      <c r="AD255" s="3361"/>
      <c r="AE255" s="3360"/>
      <c r="AF255" s="3362"/>
      <c r="AG255" s="3361"/>
      <c r="AH255" s="3361"/>
      <c r="AI255" s="3361"/>
      <c r="AJ255" s="3360"/>
      <c r="AK255" s="3345"/>
      <c r="AL255" s="3345"/>
      <c r="AM255" s="3345"/>
      <c r="AN255" s="3345"/>
      <c r="AO255" s="3360"/>
      <c r="AP255" s="3344"/>
      <c r="AQ255" s="3345"/>
      <c r="AR255" s="3345"/>
      <c r="AS255" s="3345"/>
      <c r="AT255" s="3360"/>
      <c r="AU255" s="3344"/>
      <c r="AV255" s="3345"/>
      <c r="AW255" s="3345"/>
      <c r="AX255" s="3361"/>
      <c r="AY255" s="3360"/>
      <c r="AZ255" s="3362"/>
      <c r="BA255" s="3361"/>
      <c r="BB255" s="3361"/>
      <c r="BC255" s="3361"/>
      <c r="BD255" s="3360"/>
      <c r="BE255" s="3362"/>
      <c r="BF255" s="3361"/>
      <c r="BG255" s="3361"/>
      <c r="BH255" s="3361"/>
      <c r="BI255" s="3360"/>
      <c r="BJ255" s="3362"/>
      <c r="BK255" s="3361"/>
      <c r="BL255" s="3361"/>
      <c r="BM255" s="3361"/>
      <c r="BN255" s="3360"/>
      <c r="BO255" s="3361"/>
      <c r="BP255" s="3361"/>
      <c r="BQ255" s="3361"/>
      <c r="BR255" s="3361"/>
      <c r="BS255" s="3363"/>
      <c r="BT255" s="3361"/>
      <c r="BU255" s="3361"/>
      <c r="BV255" s="3361"/>
      <c r="BW255" s="3361"/>
      <c r="BX255" s="3360"/>
      <c r="BY255" s="3361"/>
      <c r="BZ255" s="3361"/>
      <c r="CA255" s="3361"/>
      <c r="CB255" s="3361"/>
      <c r="CC255" s="3363"/>
      <c r="CD255" s="3361"/>
      <c r="CE255" s="3361"/>
      <c r="CF255" s="3361"/>
      <c r="CG255" s="3361"/>
      <c r="CH255" s="3360"/>
      <c r="CI255" s="3361"/>
      <c r="CJ255" s="3361"/>
      <c r="CK255" s="3361"/>
      <c r="CL255" s="3361"/>
      <c r="CM255" s="3360"/>
      <c r="CN255" s="3361"/>
      <c r="CO255" s="3361"/>
      <c r="CP255" s="3361"/>
      <c r="CQ255" s="3361"/>
      <c r="CR255" s="3360"/>
      <c r="CS255" s="3361"/>
      <c r="CT255" s="3361"/>
      <c r="CU255" s="3361"/>
      <c r="CV255" s="3361"/>
      <c r="CW255" s="3360">
        <f t="shared" ref="CW255:DB255" si="996">(CW241-CW254)*10000</f>
        <v>-767.81191314430509</v>
      </c>
      <c r="CX255" s="3361">
        <f t="shared" si="996"/>
        <v>-600.54076513305074</v>
      </c>
      <c r="CY255" s="3361">
        <f t="shared" si="996"/>
        <v>-658.00830701637119</v>
      </c>
      <c r="CZ255" s="3361">
        <f t="shared" si="996"/>
        <v>-8.2163765616027895</v>
      </c>
      <c r="DA255" s="3361">
        <f t="shared" si="996"/>
        <v>192.09201508293862</v>
      </c>
      <c r="DB255" s="3360">
        <f t="shared" si="996"/>
        <v>-253.06316501308768</v>
      </c>
      <c r="DC255" s="3361">
        <f t="shared" ref="DC255:DL255" si="997">(DC241-DC254)*10000</f>
        <v>847.68068153532101</v>
      </c>
      <c r="DD255" s="3361">
        <f t="shared" si="997"/>
        <v>739.91550688246036</v>
      </c>
      <c r="DE255" s="3361">
        <f t="shared" si="997"/>
        <v>129.54876076623378</v>
      </c>
      <c r="DF255" s="3361">
        <f t="shared" si="997"/>
        <v>-151.71083307575995</v>
      </c>
      <c r="DG255" s="3360">
        <f t="shared" si="997"/>
        <v>355.55599967237231</v>
      </c>
      <c r="DH255" s="3361">
        <f t="shared" si="997"/>
        <v>-486.63618543341113</v>
      </c>
      <c r="DI255" s="3361">
        <f t="shared" si="997"/>
        <v>-641.44667482151533</v>
      </c>
      <c r="DJ255" s="3361">
        <f t="shared" si="997"/>
        <v>-469.50764651760625</v>
      </c>
      <c r="DK255" s="3361">
        <f t="shared" si="997"/>
        <v>-296.30234266590395</v>
      </c>
      <c r="DL255" s="3360">
        <f t="shared" si="997"/>
        <v>-466.7864042518155</v>
      </c>
      <c r="DM255" s="3361">
        <f>(DM241-DM254)*10000</f>
        <v>-201.40555365101065</v>
      </c>
      <c r="DN255" s="3361">
        <f>(DN241-DN254)*10000</f>
        <v>-293.18606351011135</v>
      </c>
      <c r="DO255" s="3361">
        <f>(DO241-DO254)*10000</f>
        <v>198.96538002387666</v>
      </c>
      <c r="DP255" s="3361">
        <f>(DP241-DP254)*10000</f>
        <v>324.13646357897676</v>
      </c>
      <c r="DQ255" s="3360">
        <f>(DQ241-DQ254)*10000</f>
        <v>21.917267252444805</v>
      </c>
      <c r="DR255" s="3361">
        <f t="shared" ref="DR255:DW255" si="998">(DR241-DR254)*10000</f>
        <v>723.23861424678842</v>
      </c>
      <c r="DS255" s="3361">
        <f t="shared" si="998"/>
        <v>1254.0702279327643</v>
      </c>
      <c r="DT255" s="3361">
        <f t="shared" si="998"/>
        <v>351.91037058316613</v>
      </c>
      <c r="DU255" s="3361">
        <f t="shared" si="998"/>
        <v>-33.646594732568147</v>
      </c>
      <c r="DV255" s="3360">
        <f t="shared" si="998"/>
        <v>503.16055625790221</v>
      </c>
      <c r="DW255" s="3361">
        <f t="shared" si="998"/>
        <v>-769.77276730667791</v>
      </c>
      <c r="DX255" s="3361">
        <f t="shared" ref="DX255:EW255" si="999">(DX241-DX254)*10000</f>
        <v>-1024.9423600922225</v>
      </c>
      <c r="DY255" s="3361">
        <f t="shared" si="999"/>
        <v>-1332.2244064721012</v>
      </c>
      <c r="DZ255" s="3361">
        <f t="shared" si="999"/>
        <v>-1325.5301688766042</v>
      </c>
      <c r="EA255" s="3360">
        <f t="shared" si="999"/>
        <v>-1135.0449391330719</v>
      </c>
      <c r="EB255" s="3361">
        <f t="shared" si="999"/>
        <v>-577.34901806369089</v>
      </c>
      <c r="EC255" s="3361">
        <f t="shared" si="999"/>
        <v>-133.93074562898732</v>
      </c>
      <c r="ED255" s="3361">
        <f t="shared" si="999"/>
        <v>412.8534704370179</v>
      </c>
      <c r="EE255" s="3361">
        <f t="shared" ref="EE255" si="1000">(EE241-EE254)*10000</f>
        <v>507.76583034647604</v>
      </c>
      <c r="EF255" s="3360">
        <f t="shared" si="999"/>
        <v>56.055177792400102</v>
      </c>
      <c r="EG255" s="3361">
        <f t="shared" ref="EG255:EJ255" si="1001">(EG241-EG254)*10000</f>
        <v>95.360091090235244</v>
      </c>
      <c r="EH255" s="3361">
        <f t="shared" si="1001"/>
        <v>-164.65521109067404</v>
      </c>
      <c r="EI255" s="3361">
        <f t="shared" si="1001"/>
        <v>-64.427871673800041</v>
      </c>
      <c r="EJ255" s="3361">
        <f t="shared" si="1001"/>
        <v>139.94402239104309</v>
      </c>
      <c r="EK255" s="3360">
        <f t="shared" si="999"/>
        <v>4.1740811529256128</v>
      </c>
      <c r="EL255" s="3361">
        <f t="shared" si="999"/>
        <v>-304.35513704388796</v>
      </c>
      <c r="EM255" s="3361">
        <f t="shared" si="999"/>
        <v>316.00696835878853</v>
      </c>
      <c r="EN255" s="3361">
        <f t="shared" si="999"/>
        <v>495.05339195979883</v>
      </c>
      <c r="EO255" s="3361">
        <f t="shared" ref="EO255:EP255" si="1002">(EO241-EO254)*10000</f>
        <v>503.14675152079877</v>
      </c>
      <c r="EP255" s="3360">
        <f t="shared" si="1002"/>
        <v>267.81055004907682</v>
      </c>
      <c r="EQ255" s="3361">
        <f t="shared" ref="EQ255:EU255" si="1003">(EQ241-EQ254)*10000</f>
        <v>987.20943766513972</v>
      </c>
      <c r="ER255" s="3361">
        <f t="shared" si="1003"/>
        <v>238.16450252357012</v>
      </c>
      <c r="ES255" s="3361">
        <f t="shared" si="1003"/>
        <v>-114.6484047719043</v>
      </c>
      <c r="ET255" s="3361">
        <f t="shared" si="1003"/>
        <v>-55.209857281425244</v>
      </c>
      <c r="EU255" s="3360">
        <f t="shared" si="1003"/>
        <v>230.53951938931894</v>
      </c>
      <c r="EV255" s="3364">
        <f t="shared" si="999"/>
        <v>1.1102230246251565E-12</v>
      </c>
      <c r="EW255" s="3364">
        <f t="shared" si="999"/>
        <v>-1.3877787807814457E-13</v>
      </c>
      <c r="EX255" s="3364">
        <f t="shared" ref="EX255:EY255" si="1004">(EX241-EX254)*10000</f>
        <v>-2.7755575615628914E-13</v>
      </c>
      <c r="EY255" s="3364">
        <f t="shared" si="1004"/>
        <v>-2.7755575615628914E-13</v>
      </c>
      <c r="FA255" s="725"/>
      <c r="FB255" s="725"/>
    </row>
    <row r="256" spans="1:158" s="239" customFormat="1" ht="11.25" customHeight="1">
      <c r="A256" s="5687" t="s">
        <v>623</v>
      </c>
      <c r="B256" s="3350"/>
      <c r="C256" s="3350"/>
      <c r="D256" s="3350"/>
      <c r="E256" s="3350"/>
      <c r="F256" s="5574"/>
      <c r="G256" s="3350"/>
      <c r="H256" s="3350"/>
      <c r="I256" s="3350"/>
      <c r="J256" s="3350"/>
      <c r="K256" s="3352"/>
      <c r="L256" s="3353"/>
      <c r="M256" s="3353"/>
      <c r="N256" s="3353"/>
      <c r="O256" s="3353"/>
      <c r="P256" s="3352"/>
      <c r="Q256" s="3354"/>
      <c r="R256" s="3353"/>
      <c r="S256" s="3353"/>
      <c r="T256" s="3353"/>
      <c r="U256" s="3352"/>
      <c r="V256" s="3354"/>
      <c r="W256" s="3353"/>
      <c r="X256" s="3353"/>
      <c r="Y256" s="3353"/>
      <c r="Z256" s="3352"/>
      <c r="AA256" s="3354"/>
      <c r="AB256" s="3353"/>
      <c r="AC256" s="3353"/>
      <c r="AD256" s="3353"/>
      <c r="AE256" s="3352"/>
      <c r="AF256" s="3354"/>
      <c r="AG256" s="3353"/>
      <c r="AH256" s="3353"/>
      <c r="AI256" s="3353"/>
      <c r="AJ256" s="3352"/>
      <c r="AK256" s="3355"/>
      <c r="AL256" s="3356"/>
      <c r="AM256" s="3356"/>
      <c r="AN256" s="3356"/>
      <c r="AO256" s="3352"/>
      <c r="AP256" s="3355"/>
      <c r="AQ256" s="3356"/>
      <c r="AR256" s="3356"/>
      <c r="AS256" s="3356"/>
      <c r="AT256" s="3352"/>
      <c r="AU256" s="3355"/>
      <c r="AV256" s="3356"/>
      <c r="AW256" s="3356"/>
      <c r="AX256" s="3353"/>
      <c r="AY256" s="3352"/>
      <c r="AZ256" s="3349"/>
      <c r="BA256" s="3350"/>
      <c r="BB256" s="3350"/>
      <c r="BC256" s="3350"/>
      <c r="BD256" s="3352"/>
      <c r="BE256" s="3349"/>
      <c r="BF256" s="3350"/>
      <c r="BG256" s="3350"/>
      <c r="BH256" s="3350"/>
      <c r="BI256" s="3352"/>
      <c r="BJ256" s="3349"/>
      <c r="BK256" s="3350"/>
      <c r="BL256" s="3350"/>
      <c r="BM256" s="3350"/>
      <c r="BN256" s="3352"/>
      <c r="BO256" s="3353"/>
      <c r="BP256" s="3353"/>
      <c r="BQ256" s="3353"/>
      <c r="BR256" s="3353"/>
      <c r="BS256" s="3373"/>
      <c r="BT256" s="3350"/>
      <c r="BU256" s="3350"/>
      <c r="BV256" s="3350"/>
      <c r="BW256" s="3350"/>
      <c r="BX256" s="3352"/>
      <c r="BY256" s="3353"/>
      <c r="BZ256" s="3353"/>
      <c r="CA256" s="3353"/>
      <c r="CB256" s="3353"/>
      <c r="CC256" s="3373"/>
      <c r="CD256" s="3350"/>
      <c r="CE256" s="3350"/>
      <c r="CF256" s="3350"/>
      <c r="CG256" s="3350"/>
      <c r="CH256" s="3352"/>
      <c r="CI256" s="3350"/>
      <c r="CJ256" s="3350"/>
      <c r="CK256" s="3350"/>
      <c r="CL256" s="3350"/>
      <c r="CM256" s="3352"/>
      <c r="CN256" s="3350"/>
      <c r="CO256" s="3350"/>
      <c r="CP256" s="3350"/>
      <c r="CQ256" s="3350"/>
      <c r="CR256" s="3352"/>
      <c r="CS256" s="3350"/>
      <c r="CT256" s="3350"/>
      <c r="CU256" s="3350"/>
      <c r="CV256" s="3350"/>
      <c r="CW256" s="3352">
        <f t="shared" ref="CW256:DG256" si="1005">(1+CW249)/(1+CW254)-1</f>
        <v>-4.1489908728628344E-2</v>
      </c>
      <c r="CX256" s="3350">
        <f t="shared" si="1005"/>
        <v>-5.3002268115077023E-2</v>
      </c>
      <c r="CY256" s="3350">
        <f t="shared" si="1005"/>
        <v>-4.4230984027700315E-2</v>
      </c>
      <c r="CZ256" s="3350">
        <f t="shared" si="1005"/>
        <v>3.1532033426183714E-2</v>
      </c>
      <c r="DA256" s="3350">
        <f t="shared" si="1005"/>
        <v>5.6618980455369838E-2</v>
      </c>
      <c r="DB256" s="3352">
        <f t="shared" si="1005"/>
        <v>1.3800336728198026E-4</v>
      </c>
      <c r="DC256" s="3350">
        <f t="shared" si="1005"/>
        <v>0.1139939564447221</v>
      </c>
      <c r="DD256" s="3350">
        <f t="shared" si="1005"/>
        <v>7.091570768171529E-2</v>
      </c>
      <c r="DE256" s="3350">
        <f t="shared" si="1005"/>
        <v>-1.1149383611312569E-2</v>
      </c>
      <c r="DF256" s="3350">
        <f t="shared" si="1005"/>
        <v>-2.9085433507687442E-2</v>
      </c>
      <c r="DG256" s="3352">
        <f t="shared" si="1005"/>
        <v>3.0520108720689221E-2</v>
      </c>
      <c r="DH256" s="3350">
        <f t="shared" ref="DH256:DQ256" si="1006">(1+DH241)/(1+DH254)-1</f>
        <v>-4.1855409963544643E-2</v>
      </c>
      <c r="DI256" s="3350">
        <f t="shared" si="1006"/>
        <v>-5.3195760495518774E-2</v>
      </c>
      <c r="DJ256" s="3350">
        <f t="shared" si="1006"/>
        <v>-3.9335372981034955E-2</v>
      </c>
      <c r="DK256" s="3350">
        <f t="shared" si="1006"/>
        <v>-2.510026275757149E-2</v>
      </c>
      <c r="DL256" s="3352">
        <f t="shared" si="1006"/>
        <v>-3.9371737377591254E-2</v>
      </c>
      <c r="DM256" s="3350">
        <f t="shared" si="1006"/>
        <v>-1.7966360856269015E-2</v>
      </c>
      <c r="DN256" s="3350">
        <f t="shared" si="1006"/>
        <v>-3.079153872398499E-2</v>
      </c>
      <c r="DO256" s="3350">
        <f t="shared" si="1006"/>
        <v>1.8282872604943767E-2</v>
      </c>
      <c r="DP256" s="3350">
        <f t="shared" si="1006"/>
        <v>2.7233180382575384E-2</v>
      </c>
      <c r="DQ256" s="3352">
        <f t="shared" si="1006"/>
        <v>2.0087225610307957E-3</v>
      </c>
      <c r="DR256" s="3350">
        <f t="shared" ref="DR256:DW256" si="1007">(1+DR241)/(1+DR254)-1</f>
        <v>5.7694696311017202E-2</v>
      </c>
      <c r="DS256" s="3350">
        <f t="shared" si="1007"/>
        <v>8.0695396115295415E-2</v>
      </c>
      <c r="DT256" s="3350">
        <f t="shared" si="1007"/>
        <v>2.5324306165693367E-2</v>
      </c>
      <c r="DU256" s="3350">
        <f t="shared" si="1007"/>
        <v>-2.4988152169230782E-3</v>
      </c>
      <c r="DV256" s="3352">
        <f t="shared" si="1007"/>
        <v>3.6503714573970614E-2</v>
      </c>
      <c r="DW256" s="3350">
        <f t="shared" si="1007"/>
        <v>-6.0615868318846133E-2</v>
      </c>
      <c r="DX256" s="3350">
        <f t="shared" ref="DX256:EV256" si="1008">(1+DX241)/(1+DX254)-1</f>
        <v>-8.6975854862377022E-2</v>
      </c>
      <c r="DY256" s="3350">
        <f t="shared" si="1008"/>
        <v>-0.1196306522427919</v>
      </c>
      <c r="DZ256" s="3350">
        <f t="shared" si="1008"/>
        <v>-0.12359550561797761</v>
      </c>
      <c r="EA256" s="3352">
        <f t="shared" si="1008"/>
        <v>-9.8625893828055422E-2</v>
      </c>
      <c r="EB256" s="3350">
        <f t="shared" si="1008"/>
        <v>-5.2716731832277208E-2</v>
      </c>
      <c r="EC256" s="3350">
        <f>(1+EC241)/(1+EC254)-1</f>
        <v>-1.2187555397979111E-2</v>
      </c>
      <c r="ED256" s="3350">
        <f>(1+ED241)/(1+ED254)-1</f>
        <v>3.6737121420075125E-2</v>
      </c>
      <c r="EE256" s="3350">
        <f t="shared" ref="EE256" si="1009">(1+EE241)/(1+EE254)-1</f>
        <v>4.6224639196820849E-2</v>
      </c>
      <c r="EF256" s="3352">
        <f t="shared" si="1008"/>
        <v>5.0784958820022652E-3</v>
      </c>
      <c r="EG256" s="3350">
        <f t="shared" ref="EG256" si="1010">(1+EG241)/(1+EG254)-1</f>
        <v>8.521643278076807E-3</v>
      </c>
      <c r="EH256" s="3350">
        <f>(1+EH241)/(1+EH254)-1</f>
        <v>-1.4650698602794554E-2</v>
      </c>
      <c r="EI256" s="3350">
        <f>(1+EI241)/(1+EI254)-1</f>
        <v>-5.6991178077913096E-3</v>
      </c>
      <c r="EJ256" s="3350">
        <f t="shared" ref="EJ256" si="1011">(1+EJ241)/(1+EJ254)-1</f>
        <v>1.2574549112596145E-2</v>
      </c>
      <c r="EK256" s="3352">
        <f>(1+EK241)/(1+EK254)-1</f>
        <v>3.7222423571603436E-4</v>
      </c>
      <c r="EL256" s="3350">
        <f t="shared" ref="EL256" si="1012">(1+EL241)/(1+EL254)-1</f>
        <v>-2.717003790295347E-2</v>
      </c>
      <c r="EM256" s="3350">
        <f>(1+EM241)/(1+EM254)-1</f>
        <v>2.8382213812677248E-2</v>
      </c>
      <c r="EN256" s="3350">
        <f>(1+EN241)/(1+EN254)-1</f>
        <v>4.4013961605584573E-2</v>
      </c>
      <c r="EO256" s="3350">
        <f t="shared" ref="EO256" si="1013">(1+EO241)/(1+EO254)-1</f>
        <v>4.4526261196530914E-2</v>
      </c>
      <c r="EP256" s="3352">
        <f>(1+EP241)/(1+EP254)-1</f>
        <v>2.386061498020009E-2</v>
      </c>
      <c r="EQ256" s="3350">
        <f t="shared" ref="EQ256:ET256" si="1014">(1+EQ241)/(1+EQ254)-1</f>
        <v>8.7751950014679059E-2</v>
      </c>
      <c r="ER256" s="3350">
        <f t="shared" si="1014"/>
        <v>2.0983656610006118E-2</v>
      </c>
      <c r="ES256" s="3350">
        <f t="shared" si="1014"/>
        <v>-1.0083412908698741E-2</v>
      </c>
      <c r="ET256" s="3350">
        <f t="shared" si="1014"/>
        <v>-4.8514813076823149E-3</v>
      </c>
      <c r="EU256" s="3352">
        <f>(1+EU241)/(1+EU254)-1</f>
        <v>2.0327052298913628E-2</v>
      </c>
      <c r="EV256" s="3357">
        <f t="shared" si="1008"/>
        <v>0</v>
      </c>
      <c r="EW256" s="3357">
        <f>(1+EW241)/(1+EW254)-1</f>
        <v>0</v>
      </c>
      <c r="EX256" s="3357">
        <f>(1+EX241)/(1+EX254)-1</f>
        <v>0</v>
      </c>
      <c r="EY256" s="3357">
        <f>(1+EY241)/(1+EY254)-1</f>
        <v>0</v>
      </c>
      <c r="FA256" s="725"/>
      <c r="FB256" s="725"/>
    </row>
    <row r="257" spans="1:158" s="211" customFormat="1" ht="11.25" hidden="1" customHeight="1" outlineLevel="1">
      <c r="A257" s="5639"/>
      <c r="B257" s="2612"/>
      <c r="C257" s="2612"/>
      <c r="D257" s="2612"/>
      <c r="E257" s="2612"/>
      <c r="F257" s="4303"/>
      <c r="G257" s="2612"/>
      <c r="H257" s="2612"/>
      <c r="I257" s="2612"/>
      <c r="J257" s="2612"/>
      <c r="K257" s="1019"/>
      <c r="L257" s="209"/>
      <c r="M257" s="209"/>
      <c r="N257" s="209"/>
      <c r="O257" s="209"/>
      <c r="P257" s="1019"/>
      <c r="Q257" s="2576"/>
      <c r="R257" s="209"/>
      <c r="S257" s="209"/>
      <c r="T257" s="209"/>
      <c r="U257" s="1019"/>
      <c r="V257" s="2576"/>
      <c r="W257" s="209"/>
      <c r="X257" s="209"/>
      <c r="Y257" s="209"/>
      <c r="Z257" s="1019"/>
      <c r="AA257" s="2576"/>
      <c r="AB257" s="209"/>
      <c r="AC257" s="209"/>
      <c r="AD257" s="209"/>
      <c r="AE257" s="1019"/>
      <c r="AF257" s="2576"/>
      <c r="AG257" s="209"/>
      <c r="AH257" s="209"/>
      <c r="AI257" s="209"/>
      <c r="AJ257" s="1019"/>
      <c r="AK257" s="2576"/>
      <c r="AL257" s="209"/>
      <c r="AM257" s="209"/>
      <c r="AN257" s="209"/>
      <c r="AO257" s="1019"/>
      <c r="AP257" s="2576"/>
      <c r="AQ257" s="209"/>
      <c r="AR257" s="209"/>
      <c r="AS257" s="209"/>
      <c r="AT257" s="1019"/>
      <c r="AU257" s="2576"/>
      <c r="AV257" s="209"/>
      <c r="AW257" s="209"/>
      <c r="AX257" s="209"/>
      <c r="AY257" s="1019"/>
      <c r="AZ257" s="2576"/>
      <c r="BA257" s="209"/>
      <c r="BB257" s="209"/>
      <c r="BC257" s="209"/>
      <c r="BD257" s="1019"/>
      <c r="BE257" s="2576"/>
      <c r="BF257" s="209"/>
      <c r="BG257" s="209"/>
      <c r="BH257" s="209"/>
      <c r="BI257" s="1019"/>
      <c r="BJ257" s="2576"/>
      <c r="BK257" s="209"/>
      <c r="BL257" s="209"/>
      <c r="BM257" s="209"/>
      <c r="BN257" s="1019"/>
      <c r="BO257" s="209"/>
      <c r="BP257" s="209"/>
      <c r="BQ257" s="209"/>
      <c r="BR257" s="209"/>
      <c r="BS257" s="1933"/>
      <c r="BT257" s="209"/>
      <c r="BU257" s="2616"/>
      <c r="BV257" s="2616"/>
      <c r="BW257" s="2616"/>
      <c r="BX257" s="1019"/>
      <c r="BY257" s="209"/>
      <c r="BZ257" s="209"/>
      <c r="CA257" s="209"/>
      <c r="CB257" s="209"/>
      <c r="CC257" s="1933"/>
      <c r="CD257" s="2576"/>
      <c r="CE257" s="2616"/>
      <c r="CF257" s="2616"/>
      <c r="CG257" s="2616"/>
      <c r="CH257" s="1019"/>
      <c r="CI257" s="556"/>
      <c r="CJ257" s="209"/>
      <c r="CK257" s="209"/>
      <c r="CL257" s="209"/>
      <c r="CM257" s="1019"/>
      <c r="CN257" s="209"/>
      <c r="CO257" s="209"/>
      <c r="CP257" s="209"/>
      <c r="CQ257" s="209"/>
      <c r="CR257" s="1019"/>
      <c r="CS257" s="209"/>
      <c r="CT257" s="209"/>
      <c r="CU257" s="209"/>
      <c r="CV257" s="209"/>
      <c r="CW257" s="1019"/>
      <c r="CX257" s="209"/>
      <c r="CY257" s="209"/>
      <c r="CZ257" s="209"/>
      <c r="DA257" s="209"/>
      <c r="DB257" s="1019"/>
      <c r="DC257" s="209"/>
      <c r="DD257" s="209"/>
      <c r="DE257" s="209"/>
      <c r="DF257" s="209"/>
      <c r="DG257" s="1019"/>
      <c r="DH257" s="209"/>
      <c r="DI257" s="209"/>
      <c r="DJ257" s="209"/>
      <c r="DK257" s="209"/>
      <c r="DL257" s="1933"/>
      <c r="DM257" s="209"/>
      <c r="DN257" s="209"/>
      <c r="DO257" s="209"/>
      <c r="DP257" s="209"/>
      <c r="DQ257" s="4303"/>
      <c r="DR257" s="209"/>
      <c r="DS257" s="209"/>
      <c r="DT257" s="209"/>
      <c r="DU257" s="209"/>
      <c r="DV257" s="4303"/>
      <c r="DW257" s="209"/>
      <c r="DX257" s="209"/>
      <c r="DY257" s="209"/>
      <c r="DZ257" s="209"/>
      <c r="EA257" s="4303"/>
      <c r="EB257" s="209"/>
      <c r="EC257" s="209"/>
      <c r="ED257" s="209"/>
      <c r="EE257" s="209"/>
      <c r="EF257" s="4303"/>
      <c r="EG257" s="209"/>
      <c r="EH257" s="209"/>
      <c r="EI257" s="209"/>
      <c r="EJ257" s="209"/>
      <c r="EK257" s="4303"/>
      <c r="EL257" s="209"/>
      <c r="EM257" s="209"/>
      <c r="EN257" s="209"/>
      <c r="EO257" s="209"/>
      <c r="EP257" s="4303"/>
      <c r="EQ257" s="209"/>
      <c r="ER257" s="209"/>
      <c r="ES257" s="209"/>
      <c r="ET257" s="209"/>
      <c r="EU257" s="4303"/>
      <c r="EV257" s="1019"/>
      <c r="EW257" s="1019"/>
      <c r="EX257" s="1019"/>
      <c r="EY257" s="1019"/>
      <c r="EZ257" s="209"/>
      <c r="FA257" s="725"/>
      <c r="FB257" s="725"/>
    </row>
    <row r="258" spans="1:158" s="214" customFormat="1" ht="11.25" hidden="1" customHeight="1" outlineLevel="1">
      <c r="A258" s="5681" t="s">
        <v>24</v>
      </c>
      <c r="B258" s="2615"/>
      <c r="C258" s="2615"/>
      <c r="D258" s="2615"/>
      <c r="E258" s="2615"/>
      <c r="F258" s="4301"/>
      <c r="G258" s="2615"/>
      <c r="H258" s="2615"/>
      <c r="I258" s="2615"/>
      <c r="J258" s="2615"/>
      <c r="K258" s="2590"/>
      <c r="L258" s="2606"/>
      <c r="M258" s="2606"/>
      <c r="N258" s="2606"/>
      <c r="O258" s="2606"/>
      <c r="P258" s="2590"/>
      <c r="Q258" s="2655"/>
      <c r="R258" s="2606"/>
      <c r="S258" s="2606"/>
      <c r="T258" s="2606"/>
      <c r="U258" s="2590"/>
      <c r="V258" s="2655"/>
      <c r="W258" s="2606"/>
      <c r="X258" s="2606"/>
      <c r="Y258" s="2606"/>
      <c r="Z258" s="2590"/>
      <c r="AA258" s="2655"/>
      <c r="AB258" s="2606"/>
      <c r="AC258" s="2606"/>
      <c r="AD258" s="2606"/>
      <c r="AE258" s="2590"/>
      <c r="AF258" s="2655"/>
      <c r="AG258" s="2606"/>
      <c r="AH258" s="2606"/>
      <c r="AI258" s="2606"/>
      <c r="AJ258" s="2590"/>
      <c r="AK258" s="2655"/>
      <c r="AL258" s="2619"/>
      <c r="AM258" s="2619"/>
      <c r="AN258" s="2619"/>
      <c r="AO258" s="2590"/>
      <c r="AP258" s="2669"/>
      <c r="AQ258" s="2619"/>
      <c r="AR258" s="2619"/>
      <c r="AS258" s="2619"/>
      <c r="AT258" s="2590"/>
      <c r="AU258" s="2669"/>
      <c r="AV258" s="2619"/>
      <c r="AW258" s="2619"/>
      <c r="AX258" s="2619"/>
      <c r="AY258" s="2590"/>
      <c r="AZ258" s="2669"/>
      <c r="BA258" s="2619"/>
      <c r="BB258" s="2619"/>
      <c r="BC258" s="2619"/>
      <c r="BD258" s="2590"/>
      <c r="BE258" s="2656"/>
      <c r="BF258" s="2607"/>
      <c r="BG258" s="2607"/>
      <c r="BH258" s="2607"/>
      <c r="BI258" s="2590"/>
      <c r="BJ258" s="2656"/>
      <c r="BK258" s="2619"/>
      <c r="BL258" s="2619"/>
      <c r="BM258" s="2619"/>
      <c r="BN258" s="2590"/>
      <c r="BO258" s="2606"/>
      <c r="BP258" s="2606"/>
      <c r="BQ258" s="2606"/>
      <c r="BR258" s="2606"/>
      <c r="BS258" s="1932"/>
      <c r="BT258" s="2607"/>
      <c r="BU258" s="2619"/>
      <c r="BV258" s="2626"/>
      <c r="BW258" s="2619"/>
      <c r="BX258" s="2590"/>
      <c r="BY258" s="2606"/>
      <c r="BZ258" s="2606"/>
      <c r="CA258" s="2606"/>
      <c r="CB258" s="2606"/>
      <c r="CC258" s="1932"/>
      <c r="CD258" s="2656"/>
      <c r="CE258" s="2619"/>
      <c r="CF258" s="2626"/>
      <c r="CG258" s="2619"/>
      <c r="CH258" s="2590"/>
      <c r="CI258" s="2640"/>
      <c r="CJ258" s="2634"/>
      <c r="CK258" s="2626"/>
      <c r="CL258" s="2619"/>
      <c r="CM258" s="2590"/>
      <c r="CN258" s="2607"/>
      <c r="CO258" s="2634"/>
      <c r="CP258" s="2626"/>
      <c r="CQ258" s="2619"/>
      <c r="CR258" s="2590"/>
      <c r="CS258" s="2690"/>
      <c r="CT258" s="2691"/>
      <c r="CU258" s="2691"/>
      <c r="CV258" s="2691"/>
      <c r="CW258" s="2590"/>
      <c r="CX258" s="2607">
        <v>-177</v>
      </c>
      <c r="CY258" s="2607">
        <v>235</v>
      </c>
      <c r="CZ258" s="2607">
        <v>413</v>
      </c>
      <c r="DA258" s="2607">
        <v>38</v>
      </c>
      <c r="DB258" s="2590"/>
      <c r="DC258" s="2607">
        <v>324</v>
      </c>
      <c r="DD258" s="2607">
        <v>-127</v>
      </c>
      <c r="DE258" s="2607">
        <v>-398</v>
      </c>
      <c r="DF258" s="2607">
        <v>-175</v>
      </c>
      <c r="DG258" s="2590"/>
      <c r="DH258" s="2607">
        <v>-40</v>
      </c>
      <c r="DI258" s="2607">
        <v>-154</v>
      </c>
      <c r="DJ258" s="2607">
        <v>-82</v>
      </c>
      <c r="DK258" s="2607">
        <v>-55</v>
      </c>
      <c r="DL258" s="1932"/>
      <c r="DM258" s="2607">
        <v>63</v>
      </c>
      <c r="DN258" s="2607">
        <v>-281</v>
      </c>
      <c r="DO258" s="2607">
        <v>605</v>
      </c>
      <c r="DP258" s="2607">
        <v>91</v>
      </c>
      <c r="DQ258" s="4301"/>
      <c r="DR258" s="528">
        <v>550</v>
      </c>
      <c r="DS258" s="528">
        <v>-79</v>
      </c>
      <c r="DT258" s="528">
        <v>-184</v>
      </c>
      <c r="DU258" s="677">
        <f>DU240-DU259</f>
        <v>-509</v>
      </c>
      <c r="DV258" s="4293"/>
      <c r="DW258" s="677">
        <f>DW240-DW259</f>
        <v>-519</v>
      </c>
      <c r="DX258" s="677">
        <f>DX240-DX259</f>
        <v>-631</v>
      </c>
      <c r="DY258" s="677">
        <f>DY240-DY259</f>
        <v>-940</v>
      </c>
      <c r="DZ258" s="677">
        <f>DZ240-DZ259</f>
        <v>-580</v>
      </c>
      <c r="EA258" s="4293"/>
      <c r="EB258" s="677">
        <f>EB240-EB259</f>
        <v>1010</v>
      </c>
      <c r="EC258" s="677">
        <f>EC240-EC259</f>
        <v>275</v>
      </c>
      <c r="ED258" s="677">
        <f>ED240-ED259</f>
        <v>46</v>
      </c>
      <c r="EE258" s="677">
        <f>EE240-EE259</f>
        <v>-508</v>
      </c>
      <c r="EF258" s="4301"/>
      <c r="EG258" s="677">
        <f>EG240-EG259</f>
        <v>360</v>
      </c>
      <c r="EH258" s="677">
        <f>EH240-EH259</f>
        <v>-250</v>
      </c>
      <c r="EI258" s="677">
        <f>EI240-EI259</f>
        <v>228</v>
      </c>
      <c r="EJ258" s="677">
        <f>EJ240-EJ259</f>
        <v>-36</v>
      </c>
      <c r="EK258" s="4301"/>
      <c r="EL258" s="677">
        <f>EL240-EL259</f>
        <v>-631</v>
      </c>
      <c r="EM258" s="677">
        <f>EM240-EM259</f>
        <v>1270</v>
      </c>
      <c r="EN258" s="677">
        <f>EN240-EN259</f>
        <v>753</v>
      </c>
      <c r="EO258" s="2635">
        <f>EO240-(1+EO242)/(1+FX!EO42*FX!EO43)*EN240</f>
        <v>-176.00828091763105</v>
      </c>
      <c r="EP258" s="4301"/>
      <c r="EQ258" s="2635">
        <f>EQ240-(1+EQ242)/(1+FX!EQ42*FX!EQ43)*EO240</f>
        <v>-154.65149205507259</v>
      </c>
      <c r="ER258" s="2635">
        <f>ER240-(1+ER242)/(1+FX!ER42*FX!ER43)*EQ240</f>
        <v>0</v>
      </c>
      <c r="ES258" s="2635">
        <f>ES240-(1+ES242)/(1+FX!ES42*FX!ES43)*ER240</f>
        <v>0</v>
      </c>
      <c r="ET258" s="2635">
        <f>ET240-(1+ET242)/(1+FX!ET42*FX!ET43)*ES240</f>
        <v>0</v>
      </c>
      <c r="EU258" s="4301"/>
      <c r="EV258" s="2590"/>
      <c r="EW258" s="2590"/>
      <c r="EX258" s="2590"/>
      <c r="EY258" s="2590"/>
      <c r="EZ258" s="51"/>
      <c r="FA258" s="725"/>
      <c r="FB258" s="725"/>
    </row>
    <row r="259" spans="1:158" s="252" customFormat="1" ht="11.25" hidden="1" customHeight="1" outlineLevel="1">
      <c r="A259" s="5688" t="s">
        <v>619</v>
      </c>
      <c r="B259" s="3472"/>
      <c r="C259" s="3472"/>
      <c r="D259" s="3472"/>
      <c r="E259" s="3472"/>
      <c r="F259" s="4317"/>
      <c r="G259" s="3472"/>
      <c r="H259" s="3472"/>
      <c r="I259" s="3472"/>
      <c r="J259" s="3472"/>
      <c r="K259" s="3473"/>
      <c r="L259" s="3474"/>
      <c r="M259" s="3474"/>
      <c r="N259" s="3474"/>
      <c r="O259" s="3474"/>
      <c r="P259" s="3473"/>
      <c r="Q259" s="3475"/>
      <c r="R259" s="3474"/>
      <c r="S259" s="3474"/>
      <c r="T259" s="3474"/>
      <c r="U259" s="3473"/>
      <c r="V259" s="3475"/>
      <c r="W259" s="3474"/>
      <c r="X259" s="3474"/>
      <c r="Y259" s="3474"/>
      <c r="Z259" s="3473"/>
      <c r="AA259" s="3475"/>
      <c r="AB259" s="3474"/>
      <c r="AC259" s="3474"/>
      <c r="AD259" s="3474"/>
      <c r="AE259" s="3473"/>
      <c r="AF259" s="3475"/>
      <c r="AG259" s="3474"/>
      <c r="AH259" s="3474"/>
      <c r="AI259" s="3474"/>
      <c r="AJ259" s="3473"/>
      <c r="AK259" s="3475"/>
      <c r="AL259" s="3474"/>
      <c r="AM259" s="3474"/>
      <c r="AN259" s="3474"/>
      <c r="AO259" s="3473"/>
      <c r="AP259" s="3475"/>
      <c r="AQ259" s="3474"/>
      <c r="AR259" s="3474"/>
      <c r="AS259" s="3474"/>
      <c r="AT259" s="3473"/>
      <c r="AU259" s="3475"/>
      <c r="AV259" s="3474"/>
      <c r="AW259" s="3474"/>
      <c r="AX259" s="3474"/>
      <c r="AY259" s="3473"/>
      <c r="AZ259" s="3475"/>
      <c r="BA259" s="3474"/>
      <c r="BB259" s="3474"/>
      <c r="BC259" s="3474"/>
      <c r="BD259" s="3473"/>
      <c r="BE259" s="3475"/>
      <c r="BF259" s="3474"/>
      <c r="BG259" s="3474"/>
      <c r="BH259" s="3474"/>
      <c r="BI259" s="3473"/>
      <c r="BJ259" s="3475"/>
      <c r="BK259" s="3474"/>
      <c r="BL259" s="3474"/>
      <c r="BM259" s="3474"/>
      <c r="BN259" s="3473"/>
      <c r="BO259" s="3474"/>
      <c r="BP259" s="3474"/>
      <c r="BQ259" s="3474"/>
      <c r="BR259" s="3474"/>
      <c r="BS259" s="3473"/>
      <c r="BT259" s="3474"/>
      <c r="BU259" s="3474"/>
      <c r="BV259" s="3474"/>
      <c r="BW259" s="3474"/>
      <c r="BX259" s="3473"/>
      <c r="BY259" s="3474"/>
      <c r="BZ259" s="3474"/>
      <c r="CA259" s="3474"/>
      <c r="CB259" s="3474"/>
      <c r="CC259" s="3473"/>
      <c r="CD259" s="3475"/>
      <c r="CE259" s="3474"/>
      <c r="CF259" s="3474"/>
      <c r="CG259" s="3474"/>
      <c r="CH259" s="3473"/>
      <c r="CI259" s="3474"/>
      <c r="CJ259" s="3474"/>
      <c r="CK259" s="3474"/>
      <c r="CL259" s="3474"/>
      <c r="CM259" s="3473"/>
      <c r="CN259" s="3474"/>
      <c r="CO259" s="3474"/>
      <c r="CP259" s="3474"/>
      <c r="CQ259" s="3474"/>
      <c r="CR259" s="3473"/>
      <c r="CS259" s="2233"/>
      <c r="CT259" s="2233"/>
      <c r="CU259" s="2233"/>
      <c r="CV259" s="2233"/>
      <c r="CW259" s="3473"/>
      <c r="CX259" s="3474">
        <f>CX248-CX258</f>
        <v>8110</v>
      </c>
      <c r="CY259" s="3474">
        <f>CY248-CY258</f>
        <v>8322</v>
      </c>
      <c r="CZ259" s="3474">
        <f>CZ248-CZ258</f>
        <v>8845</v>
      </c>
      <c r="DA259" s="3474">
        <f>DA248-DA258</f>
        <v>10450</v>
      </c>
      <c r="DB259" s="3473"/>
      <c r="DC259" s="3474">
        <f>DC248-DC258</f>
        <v>10367</v>
      </c>
      <c r="DD259" s="3474">
        <f>DD248-DD258</f>
        <v>11015</v>
      </c>
      <c r="DE259" s="3474">
        <f>DE248-DE258</f>
        <v>11307</v>
      </c>
      <c r="DF259" s="3474">
        <f>DF248-DF258</f>
        <v>12426</v>
      </c>
      <c r="DG259" s="3473"/>
      <c r="DH259" s="3474">
        <f>DH240-DH258</f>
        <v>11708</v>
      </c>
      <c r="DI259" s="3474">
        <f>DI240-DI258</f>
        <v>12467</v>
      </c>
      <c r="DJ259" s="3474">
        <f>DJ240-DJ258</f>
        <v>12647</v>
      </c>
      <c r="DK259" s="3474">
        <f>DK240-DK258</f>
        <v>14154</v>
      </c>
      <c r="DL259" s="3476"/>
      <c r="DM259" s="3474">
        <f>DM240-DM258</f>
        <v>12782</v>
      </c>
      <c r="DN259" s="3474">
        <f>DN240-DN258</f>
        <v>11644</v>
      </c>
      <c r="DO259" s="3474">
        <f>DO240-DO258</f>
        <v>13319</v>
      </c>
      <c r="DP259" s="3474">
        <f>DP240-DP258</f>
        <v>17147</v>
      </c>
      <c r="DQ259" s="4317"/>
      <c r="DR259" s="5707">
        <f>DR240-DR258</f>
        <v>16481</v>
      </c>
      <c r="DS259" s="5707">
        <f>DS240-DS258</f>
        <v>19163</v>
      </c>
      <c r="DT259" s="5707">
        <f>DT240-DT258</f>
        <v>20023</v>
      </c>
      <c r="DU259" s="5708">
        <v>23662</v>
      </c>
      <c r="DV259" s="5727"/>
      <c r="DW259" s="5708">
        <v>20836</v>
      </c>
      <c r="DX259" s="5708">
        <v>21164</v>
      </c>
      <c r="DY259" s="5708">
        <v>20390</v>
      </c>
      <c r="DZ259" s="5708">
        <v>22342</v>
      </c>
      <c r="EA259" s="5727"/>
      <c r="EB259" s="5708">
        <v>20068</v>
      </c>
      <c r="EC259" s="5708">
        <v>22014</v>
      </c>
      <c r="ED259" s="5708">
        <v>22615</v>
      </c>
      <c r="EE259" s="5708">
        <v>25518</v>
      </c>
      <c r="EF259" s="4317"/>
      <c r="EG259" s="5708">
        <v>23428</v>
      </c>
      <c r="EH259" s="5708">
        <v>24933</v>
      </c>
      <c r="EI259" s="5708">
        <v>25244</v>
      </c>
      <c r="EJ259" s="5708">
        <v>28220</v>
      </c>
      <c r="EK259" s="4317"/>
      <c r="EL259" s="5708">
        <v>26554</v>
      </c>
      <c r="EM259" s="5708">
        <v>26992</v>
      </c>
      <c r="EN259" s="5708">
        <v>29158</v>
      </c>
      <c r="EO259" s="3474">
        <f t="shared" ref="EO259" si="1015">EO240-EO258</f>
        <v>33441.997085403847</v>
      </c>
      <c r="EP259" s="4317"/>
      <c r="EQ259" s="3474">
        <f t="shared" ref="EQ259:ET259" si="1016">EQ240-EQ258</f>
        <v>31877.169517314414</v>
      </c>
      <c r="ER259" s="3474">
        <f t="shared" si="1016"/>
        <v>32750.470517032114</v>
      </c>
      <c r="ES259" s="3474">
        <f t="shared" si="1016"/>
        <v>33665.882156486754</v>
      </c>
      <c r="ET259" s="3474">
        <f t="shared" si="1016"/>
        <v>37673.034210083199</v>
      </c>
      <c r="EU259" s="4317"/>
      <c r="EV259" s="3473"/>
      <c r="EW259" s="3473"/>
      <c r="EX259" s="3473"/>
      <c r="EY259" s="3473"/>
      <c r="EZ259" s="251"/>
      <c r="FA259" s="725"/>
      <c r="FB259" s="725"/>
    </row>
    <row r="260" spans="1:158" s="239" customFormat="1" ht="11.25" hidden="1" customHeight="1" outlineLevel="1">
      <c r="A260" s="5643" t="s">
        <v>620</v>
      </c>
      <c r="B260" s="2288"/>
      <c r="C260" s="2288"/>
      <c r="D260" s="2288"/>
      <c r="E260" s="2288"/>
      <c r="F260" s="4315"/>
      <c r="G260" s="2288"/>
      <c r="H260" s="2288"/>
      <c r="I260" s="2288"/>
      <c r="J260" s="2288"/>
      <c r="K260" s="2506"/>
      <c r="L260" s="2505"/>
      <c r="M260" s="2505"/>
      <c r="N260" s="2505"/>
      <c r="O260" s="2505"/>
      <c r="P260" s="2506"/>
      <c r="Q260" s="3502"/>
      <c r="R260" s="2505"/>
      <c r="S260" s="2505"/>
      <c r="T260" s="2505"/>
      <c r="U260" s="2506"/>
      <c r="V260" s="3502"/>
      <c r="W260" s="2505"/>
      <c r="X260" s="2505"/>
      <c r="Y260" s="2505"/>
      <c r="Z260" s="2506"/>
      <c r="AA260" s="3502"/>
      <c r="AB260" s="2505"/>
      <c r="AC260" s="2505"/>
      <c r="AD260" s="2505"/>
      <c r="AE260" s="2506"/>
      <c r="AF260" s="3502"/>
      <c r="AG260" s="2505"/>
      <c r="AH260" s="2505"/>
      <c r="AI260" s="2505"/>
      <c r="AJ260" s="2506"/>
      <c r="AK260" s="3502"/>
      <c r="AL260" s="2505"/>
      <c r="AM260" s="2505"/>
      <c r="AN260" s="2505"/>
      <c r="AO260" s="2506"/>
      <c r="AP260" s="3502"/>
      <c r="AQ260" s="2505"/>
      <c r="AR260" s="2505"/>
      <c r="AS260" s="2505"/>
      <c r="AT260" s="2506"/>
      <c r="AU260" s="3502"/>
      <c r="AV260" s="2505"/>
      <c r="AW260" s="2505"/>
      <c r="AX260" s="2505"/>
      <c r="AY260" s="2506"/>
      <c r="AZ260" s="3502"/>
      <c r="BA260" s="2505"/>
      <c r="BB260" s="2505"/>
      <c r="BC260" s="2505"/>
      <c r="BD260" s="2506"/>
      <c r="BE260" s="3502"/>
      <c r="BF260" s="2505"/>
      <c r="BG260" s="2505"/>
      <c r="BH260" s="2505"/>
      <c r="BI260" s="2506"/>
      <c r="BJ260" s="3502"/>
      <c r="BK260" s="2505"/>
      <c r="BL260" s="2505"/>
      <c r="BM260" s="2505"/>
      <c r="BN260" s="2506"/>
      <c r="BO260" s="2505"/>
      <c r="BP260" s="2505"/>
      <c r="BQ260" s="2505"/>
      <c r="BR260" s="2505"/>
      <c r="BS260" s="3507"/>
      <c r="BT260" s="2505"/>
      <c r="BU260" s="2505"/>
      <c r="BV260" s="2505"/>
      <c r="BW260" s="2505"/>
      <c r="BX260" s="2506"/>
      <c r="BY260" s="2505"/>
      <c r="BZ260" s="2505"/>
      <c r="CA260" s="2505"/>
      <c r="CB260" s="2505"/>
      <c r="CC260" s="3507"/>
      <c r="CD260" s="3502"/>
      <c r="CE260" s="2505"/>
      <c r="CF260" s="2505"/>
      <c r="CG260" s="2505"/>
      <c r="CH260" s="2506"/>
      <c r="CI260" s="2505"/>
      <c r="CJ260" s="2505"/>
      <c r="CK260" s="2505"/>
      <c r="CL260" s="2505"/>
      <c r="CM260" s="2506"/>
      <c r="CN260" s="2505"/>
      <c r="CO260" s="2505"/>
      <c r="CP260" s="2505"/>
      <c r="CQ260" s="2505"/>
      <c r="CR260" s="2506"/>
      <c r="CS260" s="3503"/>
      <c r="CT260" s="3503"/>
      <c r="CU260" s="3503"/>
      <c r="CV260" s="3503"/>
      <c r="CW260" s="2506"/>
      <c r="CX260" s="2505">
        <f>CX259/CV248-1</f>
        <v>-1.2328936012817593E-4</v>
      </c>
      <c r="CY260" s="2505">
        <f>CY259/CX248-1</f>
        <v>4.9035673767805266E-2</v>
      </c>
      <c r="CZ260" s="2505">
        <f>CZ259/CY248-1</f>
        <v>3.3656655369872723E-2</v>
      </c>
      <c r="DA260" s="2505">
        <f>DA259/CZ248-1</f>
        <v>0.12875351047742489</v>
      </c>
      <c r="DB260" s="2506"/>
      <c r="DC260" s="2505">
        <f>DC259/DA248-1</f>
        <v>-1.1536994660564459E-2</v>
      </c>
      <c r="DD260" s="2505">
        <f>DD259/DC248-1</f>
        <v>3.0305864746048128E-2</v>
      </c>
      <c r="DE260" s="2505">
        <f>DE259/DD248-1</f>
        <v>3.8482733284349813E-2</v>
      </c>
      <c r="DF260" s="2505">
        <f>DF259/DE248-1</f>
        <v>0.13905949216243463</v>
      </c>
      <c r="DG260" s="2506"/>
      <c r="DH260" s="2505">
        <f>DH259/DF240-1</f>
        <v>-4.4322912415313054E-2</v>
      </c>
      <c r="DI260" s="2505">
        <f>DI259/DH240-1</f>
        <v>6.8477888241343932E-2</v>
      </c>
      <c r="DJ260" s="2505">
        <f>DJ259/DI240-1</f>
        <v>2.7125801997888388E-2</v>
      </c>
      <c r="DK260" s="2505">
        <f>DK259/DJ240-1</f>
        <v>0.1264623955431754</v>
      </c>
      <c r="DL260" s="3507"/>
      <c r="DM260" s="5076">
        <f>DM259/DK240-1</f>
        <v>-9.3410880204269797E-2</v>
      </c>
      <c r="DN260" s="5076">
        <f>DN259/DM240-1</f>
        <v>-9.3499416115219947E-2</v>
      </c>
      <c r="DO260" s="5076">
        <f>DO259/DN240-1</f>
        <v>0.17213763970782359</v>
      </c>
      <c r="DP260" s="5076">
        <f>DP259/DO240-1</f>
        <v>0.2314708417121516</v>
      </c>
      <c r="DQ260" s="5080"/>
      <c r="DR260" s="5076">
        <f>DR259/DP240-1</f>
        <v>-4.3914607263023542E-2</v>
      </c>
      <c r="DS260" s="5076">
        <f>DS259/DR240-1</f>
        <v>0.12518348893194764</v>
      </c>
      <c r="DT260" s="5076">
        <f>DT259/DS240-1</f>
        <v>4.9203521274366002E-2</v>
      </c>
      <c r="DU260" s="5076">
        <f>DU259/DT240-1</f>
        <v>0.19270124502243058</v>
      </c>
      <c r="DV260" s="4315"/>
      <c r="DW260" s="5076">
        <f>DW259/DU240-1</f>
        <v>-0.10007342461020174</v>
      </c>
      <c r="DX260" s="5076">
        <f>DX259/DW240-1</f>
        <v>4.1689225771521343E-2</v>
      </c>
      <c r="DY260" s="5076">
        <f>DY259/DX240-1</f>
        <v>-6.9643987727073808E-3</v>
      </c>
      <c r="DZ260" s="5076">
        <f>DZ259/DY240-1</f>
        <v>0.14868894601542415</v>
      </c>
      <c r="EA260" s="4315"/>
      <c r="EB260" s="5076">
        <f>EB259/DZ240-1</f>
        <v>-7.7842110100174611E-2</v>
      </c>
      <c r="EC260" s="5076">
        <f>EC259/EB240-1</f>
        <v>4.4406490179333957E-2</v>
      </c>
      <c r="ED260" s="5076">
        <f>ED259/EC240-1</f>
        <v>1.4626048723585638E-2</v>
      </c>
      <c r="EE260" s="5076">
        <f>EE259/ED240-1</f>
        <v>0.12607563655619791</v>
      </c>
      <c r="EF260" s="4315"/>
      <c r="EG260" s="5076">
        <f>EG259/EE240-1</f>
        <v>-6.3254698120751685E-2</v>
      </c>
      <c r="EH260" s="5076">
        <f>EH259/EG240-1</f>
        <v>4.8133512695476721E-2</v>
      </c>
      <c r="EI260" s="5076">
        <f>EI259/EH240-1</f>
        <v>2.2728193493497528E-2</v>
      </c>
      <c r="EJ260" s="5076">
        <f>EJ259/EI240-1</f>
        <v>0.1078831658291457</v>
      </c>
      <c r="EK260" s="4315"/>
      <c r="EL260" s="5076">
        <f>EL259/EJ240-1</f>
        <v>-5.783423218847572E-2</v>
      </c>
      <c r="EM260" s="5076">
        <f>EM259/EL240-1</f>
        <v>4.1237511090537415E-2</v>
      </c>
      <c r="EN260" s="5076">
        <f>EN259/EM240-1</f>
        <v>3.1703347250725322E-2</v>
      </c>
      <c r="EO260" s="2505">
        <f>EO259/EN240-1</f>
        <v>0.11805011819744737</v>
      </c>
      <c r="EP260" s="4315"/>
      <c r="EQ260" s="2505">
        <f>EQ259/EO240-1</f>
        <v>-4.1748925466616793E-2</v>
      </c>
      <c r="ER260" s="2505">
        <f>ER259/EQ240-1</f>
        <v>3.2404504930984901E-2</v>
      </c>
      <c r="ES260" s="2505">
        <f>ES259/ER240-1</f>
        <v>2.7951098869818392E-2</v>
      </c>
      <c r="ET260" s="2505">
        <f>ET259/ES240-1</f>
        <v>0.11902709202658879</v>
      </c>
      <c r="EU260" s="4315"/>
      <c r="EV260" s="2506"/>
      <c r="EW260" s="2506"/>
      <c r="EX260" s="2506"/>
      <c r="EY260" s="2506"/>
      <c r="EZ260" s="223"/>
      <c r="FA260" s="725"/>
      <c r="FB260" s="725"/>
    </row>
    <row r="261" spans="1:158" s="211" customFormat="1" ht="11.25" hidden="1" customHeight="1" outlineLevel="1">
      <c r="A261" s="5635" t="s">
        <v>22</v>
      </c>
      <c r="B261" s="2612"/>
      <c r="C261" s="2612"/>
      <c r="D261" s="2612"/>
      <c r="E261" s="2612"/>
      <c r="F261" s="4303"/>
      <c r="G261" s="2612"/>
      <c r="H261" s="2612"/>
      <c r="I261" s="2612"/>
      <c r="J261" s="2612"/>
      <c r="K261" s="1019"/>
      <c r="L261" s="209"/>
      <c r="M261" s="209"/>
      <c r="N261" s="209"/>
      <c r="O261" s="209"/>
      <c r="P261" s="1019"/>
      <c r="Q261" s="2576"/>
      <c r="R261" s="209"/>
      <c r="S261" s="209"/>
      <c r="T261" s="209"/>
      <c r="U261" s="1019"/>
      <c r="V261" s="2576"/>
      <c r="W261" s="209"/>
      <c r="X261" s="209"/>
      <c r="Y261" s="209"/>
      <c r="Z261" s="1019"/>
      <c r="AA261" s="2576"/>
      <c r="AB261" s="209"/>
      <c r="AC261" s="209"/>
      <c r="AD261" s="209"/>
      <c r="AE261" s="1019"/>
      <c r="AF261" s="2576"/>
      <c r="AG261" s="209"/>
      <c r="AH261" s="209"/>
      <c r="AI261" s="209"/>
      <c r="AJ261" s="1019"/>
      <c r="AK261" s="2655"/>
      <c r="AL261" s="2606"/>
      <c r="AM261" s="2606"/>
      <c r="AN261" s="2606"/>
      <c r="AO261" s="1019"/>
      <c r="AP261" s="2655"/>
      <c r="AQ261" s="2606"/>
      <c r="AR261" s="2606"/>
      <c r="AS261" s="2606"/>
      <c r="AT261" s="1019"/>
      <c r="AU261" s="2655"/>
      <c r="AV261" s="2606"/>
      <c r="AW261" s="2606"/>
      <c r="AX261" s="2606"/>
      <c r="AY261" s="1019"/>
      <c r="AZ261" s="2655"/>
      <c r="BA261" s="2606"/>
      <c r="BB261" s="2606"/>
      <c r="BC261" s="2606"/>
      <c r="BD261" s="1019"/>
      <c r="BE261" s="2655"/>
      <c r="BF261" s="2606"/>
      <c r="BG261" s="2606"/>
      <c r="BH261" s="2606"/>
      <c r="BI261" s="1019"/>
      <c r="BJ261" s="2655"/>
      <c r="BK261" s="2606"/>
      <c r="BL261" s="2606"/>
      <c r="BM261" s="2606"/>
      <c r="BN261" s="1019"/>
      <c r="BO261" s="209"/>
      <c r="BP261" s="209"/>
      <c r="BQ261" s="209"/>
      <c r="BR261" s="209"/>
      <c r="BS261" s="1933"/>
      <c r="BT261" s="2606"/>
      <c r="BU261" s="2606"/>
      <c r="BV261" s="2606"/>
      <c r="BW261" s="2606"/>
      <c r="BX261" s="1019"/>
      <c r="BY261" s="209"/>
      <c r="BZ261" s="209"/>
      <c r="CA261" s="209"/>
      <c r="CB261" s="209"/>
      <c r="CC261" s="1933"/>
      <c r="CD261" s="2655"/>
      <c r="CE261" s="2606"/>
      <c r="CF261" s="2606"/>
      <c r="CG261" s="2606"/>
      <c r="CH261" s="1019"/>
      <c r="CI261" s="2606"/>
      <c r="CJ261" s="2606"/>
      <c r="CK261" s="2606"/>
      <c r="CL261" s="2606"/>
      <c r="CM261" s="1019"/>
      <c r="CN261" s="2606"/>
      <c r="CO261" s="2606"/>
      <c r="CP261" s="2606"/>
      <c r="CQ261" s="2606"/>
      <c r="CR261" s="1019"/>
      <c r="CS261" s="2671"/>
      <c r="CT261" s="2671"/>
      <c r="CU261" s="2671"/>
      <c r="CV261" s="2671"/>
      <c r="CW261" s="1019"/>
      <c r="CX261" s="2606">
        <f>(CX242-CX260)*10000</f>
        <v>-247.04961814995374</v>
      </c>
      <c r="CY261" s="2606">
        <f>(CY242-CY260)*10000</f>
        <v>70.760553138904385</v>
      </c>
      <c r="CZ261" s="2606">
        <f>(CZ242-CZ260)*10000</f>
        <v>309.42525437616996</v>
      </c>
      <c r="DA261" s="2606">
        <f>(DA242-DA260)*10000</f>
        <v>49.16930327236058</v>
      </c>
      <c r="DB261" s="1019"/>
      <c r="DC261" s="2606">
        <f>(DC242-DC260)*10000</f>
        <v>271.4835895805312</v>
      </c>
      <c r="DD261" s="2606">
        <f>(DD242-DD260)*10000</f>
        <v>-6.1329266279441796</v>
      </c>
      <c r="DE261" s="2606">
        <f>(DE242-DE260)*10000</f>
        <v>-224.41935880548326</v>
      </c>
      <c r="DF261" s="2606">
        <f>(DF242-DF260)*10000</f>
        <v>-210.63507493699564</v>
      </c>
      <c r="DG261" s="1019"/>
      <c r="DH261" s="2606">
        <f>(DH242-DH260)*10000</f>
        <v>-32.650395886050234</v>
      </c>
      <c r="DI261" s="2606">
        <f>(DI242-DI260)*10000</f>
        <v>-131.98491600959983</v>
      </c>
      <c r="DJ261" s="2606">
        <f>(DJ242-DJ260)*10000</f>
        <v>-66.596280354096479</v>
      </c>
      <c r="DK261" s="2606">
        <f>(DK242-DK260)*10000</f>
        <v>-43.772383605251704</v>
      </c>
      <c r="DL261" s="1933"/>
      <c r="DM261" s="2606">
        <f>(DM242-DM260)*10000</f>
        <v>44.684020143272996</v>
      </c>
      <c r="DN261" s="2606">
        <f>(DN242-DN260)*10000</f>
        <v>-218.76216426625183</v>
      </c>
      <c r="DO261" s="2606">
        <f>(DO242-DO260)*10000</f>
        <v>532.42981606969943</v>
      </c>
      <c r="DP261" s="2606">
        <f>(DP242-DP260)*10000</f>
        <v>65.354783108302342</v>
      </c>
      <c r="DQ261" s="4303"/>
      <c r="DR261" s="2606">
        <f>(DR242-DR260)*10000</f>
        <v>319.06253625710644</v>
      </c>
      <c r="DS261" s="2606">
        <f>(DS242-DS260)*10000</f>
        <v>-46.386001996359113</v>
      </c>
      <c r="DT261" s="2606">
        <f>(DT242-DT260)*10000</f>
        <v>-96.415845734647561</v>
      </c>
      <c r="DU261" s="2606">
        <f>(DU242-DU260)*10000</f>
        <v>-256.56535107616338</v>
      </c>
      <c r="DV261" s="4303"/>
      <c r="DW261" s="2606">
        <f>(DW242-DW260)*10000</f>
        <v>-224.16101585107762</v>
      </c>
      <c r="DX261" s="2606">
        <f>(DX242-DX260)*10000</f>
        <v>-310.57734901806413</v>
      </c>
      <c r="DY261" s="2606">
        <f>(DY242-DY260)*10000</f>
        <v>-457.79963960453915</v>
      </c>
      <c r="DZ261" s="2606">
        <f>(DZ242-DZ260)*10000</f>
        <v>-298.20051413881777</v>
      </c>
      <c r="EA261" s="4303"/>
      <c r="EB261" s="2606">
        <f>(EB242-EB260)*10000</f>
        <v>464.11175443433541</v>
      </c>
      <c r="EC261" s="2606">
        <f>(EC242-EC260)*10000</f>
        <v>130.46778631748745</v>
      </c>
      <c r="ED261" s="2606">
        <f>(ED242-ED260)*10000</f>
        <v>20.637982861499982</v>
      </c>
      <c r="EE261" s="2606">
        <f>(EE242-EE260)*10000</f>
        <v>-224.17369048144397</v>
      </c>
      <c r="EF261" s="4303"/>
      <c r="EG261" s="2606">
        <f>(EG242-EG260)*10000</f>
        <v>143.9424230307873</v>
      </c>
      <c r="EH261" s="2606">
        <f>(EH242-EH260)*10000</f>
        <v>-105.09500588532062</v>
      </c>
      <c r="EI261" s="2606">
        <f>(EI242-EI260)*10000</f>
        <v>92.371267674107301</v>
      </c>
      <c r="EJ261" s="2606">
        <f>(EJ242-EJ260)*10000</f>
        <v>-14.133165829144367</v>
      </c>
      <c r="EK261" s="4303"/>
      <c r="EL261" s="2606">
        <f>(EL242-EL260)*10000</f>
        <v>-223.88589270508129</v>
      </c>
      <c r="EM261" s="2606">
        <f>(EM242-EM260)*10000</f>
        <v>489.91243297457743</v>
      </c>
      <c r="EN261" s="2606">
        <f>(EN242-EN260)*10000</f>
        <v>266.43549642629603</v>
      </c>
      <c r="EO261" s="2606">
        <f>(EO242-EO260)*10000</f>
        <v>-58.843997498456702</v>
      </c>
      <c r="EP261" s="4303"/>
      <c r="EQ261" s="2606">
        <f t="shared" ref="EQ261:ET261" si="1017">(EQ242-EQ260)*10000</f>
        <v>-46.48937176165213</v>
      </c>
      <c r="ER261" s="2606">
        <f t="shared" si="1017"/>
        <v>0</v>
      </c>
      <c r="ES261" s="2606">
        <f t="shared" si="1017"/>
        <v>0</v>
      </c>
      <c r="ET261" s="2606">
        <f t="shared" si="1017"/>
        <v>0</v>
      </c>
      <c r="EU261" s="4303"/>
      <c r="EV261" s="1019"/>
      <c r="EW261" s="1019"/>
      <c r="EX261" s="1019"/>
      <c r="EY261" s="1019"/>
      <c r="EZ261" s="209"/>
      <c r="FA261" s="725"/>
      <c r="FB261" s="725"/>
    </row>
    <row r="262" spans="1:158" s="239" customFormat="1" ht="11.25" hidden="1" customHeight="1" outlineLevel="1">
      <c r="A262" s="5689" t="s">
        <v>624</v>
      </c>
      <c r="B262" s="2613"/>
      <c r="C262" s="2613"/>
      <c r="D262" s="2613"/>
      <c r="E262" s="2613"/>
      <c r="F262" s="4311"/>
      <c r="G262" s="2613"/>
      <c r="H262" s="2613"/>
      <c r="I262" s="2613"/>
      <c r="J262" s="2613"/>
      <c r="K262" s="1030"/>
      <c r="P262" s="1030"/>
      <c r="Q262" s="2575"/>
      <c r="U262" s="1030"/>
      <c r="V262" s="2575"/>
      <c r="Z262" s="1030"/>
      <c r="AA262" s="2575"/>
      <c r="AE262" s="1030"/>
      <c r="AF262" s="2575"/>
      <c r="AJ262" s="1030"/>
      <c r="AK262" s="2581"/>
      <c r="AL262" s="223"/>
      <c r="AM262" s="223"/>
      <c r="AN262" s="223"/>
      <c r="AO262" s="1030"/>
      <c r="AP262" s="2581"/>
      <c r="AQ262" s="223"/>
      <c r="AR262" s="223"/>
      <c r="AS262" s="223"/>
      <c r="AT262" s="1030"/>
      <c r="AU262" s="2581"/>
      <c r="AV262" s="223"/>
      <c r="AW262" s="223"/>
      <c r="AY262" s="1030"/>
      <c r="AZ262" s="2625"/>
      <c r="BA262" s="2613"/>
      <c r="BB262" s="2613"/>
      <c r="BC262" s="2613"/>
      <c r="BD262" s="1030"/>
      <c r="BE262" s="2625"/>
      <c r="BF262" s="2613"/>
      <c r="BG262" s="2613"/>
      <c r="BH262" s="2613"/>
      <c r="BI262" s="1030"/>
      <c r="BJ262" s="2625"/>
      <c r="BK262" s="2613"/>
      <c r="BL262" s="2613"/>
      <c r="BM262" s="2613"/>
      <c r="BN262" s="1030"/>
      <c r="BS262" s="1940"/>
      <c r="BT262" s="2613"/>
      <c r="BU262" s="2613"/>
      <c r="BV262" s="2613"/>
      <c r="BW262" s="2613"/>
      <c r="BX262" s="1030"/>
      <c r="CC262" s="1940"/>
      <c r="CD262" s="2613"/>
      <c r="CE262" s="2613"/>
      <c r="CF262" s="2613"/>
      <c r="CG262" s="2613"/>
      <c r="CH262" s="1030"/>
      <c r="CI262" s="2613"/>
      <c r="CJ262" s="2613"/>
      <c r="CK262" s="2613"/>
      <c r="CL262" s="2613"/>
      <c r="CM262" s="1030"/>
      <c r="CN262" s="2613"/>
      <c r="CO262" s="2613"/>
      <c r="CP262" s="2613"/>
      <c r="CQ262" s="2613"/>
      <c r="CR262" s="1030"/>
      <c r="CS262" s="2672"/>
      <c r="CT262" s="2672"/>
      <c r="CU262" s="2672"/>
      <c r="CV262" s="2672"/>
      <c r="CW262" s="1030"/>
      <c r="CX262" s="2613">
        <f>(1+CX250)/(1+CX260)-1</f>
        <v>-2.1824907521578285E-2</v>
      </c>
      <c r="CY262" s="2613">
        <f>(1+CY250)/(1+CY260)-1</f>
        <v>2.8238404229752545E-2</v>
      </c>
      <c r="CZ262" s="2613">
        <f>(1+CZ250)/(1+CZ260)-1</f>
        <v>4.6693046919163317E-2</v>
      </c>
      <c r="DA262" s="2613">
        <f>(1+DA250)/(1+DA260)-1</f>
        <v>3.6363636363636598E-3</v>
      </c>
      <c r="DB262" s="1030"/>
      <c r="DC262" s="2613">
        <f>(1+DC250)/(1+DC260)-1</f>
        <v>3.1253014372528254E-2</v>
      </c>
      <c r="DD262" s="2613">
        <f>(1+DD250)/(1+DD260)-1</f>
        <v>-1.1529732183386376E-2</v>
      </c>
      <c r="DE262" s="2613">
        <f>(1+DE250)/(1+DE260)-1</f>
        <v>-3.51994339789512E-2</v>
      </c>
      <c r="DF262" s="2613">
        <f>(1+DF250)/(1+DF260)-1</f>
        <v>-1.4083373571543545E-2</v>
      </c>
      <c r="DG262" s="1030"/>
      <c r="DH262" s="3374">
        <f>(1+DH242)/(1+DH260)-1</f>
        <v>-3.416467372736598E-3</v>
      </c>
      <c r="DI262" s="3374">
        <f>(1+DI242)/(1+DI260)-1</f>
        <v>-1.2352610892756966E-2</v>
      </c>
      <c r="DJ262" s="3374">
        <f>(1+DJ242)/(1+DJ260)-1</f>
        <v>-6.4837510872143289E-3</v>
      </c>
      <c r="DK262" s="3374">
        <f>(1+DK242)/(1+DK260)-1</f>
        <v>-3.8858273279637201E-3</v>
      </c>
      <c r="DL262" s="1940"/>
      <c r="DM262" s="3374">
        <f>(1+DM242)/(1+DM260)-1</f>
        <v>4.9288061336254518E-3</v>
      </c>
      <c r="DN262" s="3374">
        <f>(1+DN242)/(1+DN260)-1</f>
        <v>-2.4132600480934463E-2</v>
      </c>
      <c r="DO262" s="3374">
        <f>(1+DO242)/(1+DO260)-1</f>
        <v>4.5423830617914218E-2</v>
      </c>
      <c r="DP262" s="3374">
        <f>(1+DP242)/(1+DP260)-1</f>
        <v>5.307050796057533E-3</v>
      </c>
      <c r="DQ262" s="4311"/>
      <c r="DR262" s="3374">
        <f>(1+DR242)/(1+DR260)-1</f>
        <v>3.337176142224374E-2</v>
      </c>
      <c r="DS262" s="3374">
        <f>(1+DS242)/(1+DS260)-1</f>
        <v>-4.1225277879246569E-3</v>
      </c>
      <c r="DT262" s="3374">
        <f>(1+DT242)/(1+DT260)-1</f>
        <v>-9.1894321530241463E-3</v>
      </c>
      <c r="DU262" s="3374">
        <f>(1+DU242)/(1+DU260)-1</f>
        <v>-2.1511283915138235E-2</v>
      </c>
      <c r="DV262" s="4311"/>
      <c r="DW262" s="3374">
        <f>(1+DW242)/(1+DW260)-1</f>
        <v>-2.4908811672106013E-2</v>
      </c>
      <c r="DX262" s="3374">
        <f>(1+DX242)/(1+DX260)-1</f>
        <v>-2.9814779814779868E-2</v>
      </c>
      <c r="DY262" s="3374">
        <f>(1+DY242)/(1+DY260)-1</f>
        <v>-4.6101029916625791E-2</v>
      </c>
      <c r="DZ262" s="3374">
        <f>(1+DZ242)/(1+DZ260)-1</f>
        <v>-2.596007519470056E-2</v>
      </c>
      <c r="EA262" s="4311"/>
      <c r="EB262" s="3374">
        <f>(1+EB242)/(1+EB260)-1</f>
        <v>5.0328881801873671E-2</v>
      </c>
      <c r="EC262" s="3374">
        <f>(1+EC242)/(1+EC260)-1</f>
        <v>1.2492050513309705E-2</v>
      </c>
      <c r="ED262" s="3374">
        <f>(1+ED242)/(1+ED260)-1</f>
        <v>2.0340481980984926E-3</v>
      </c>
      <c r="EE262" s="3374">
        <f>(1+EE242)/(1+EE260)-1</f>
        <v>-1.9907516263030001E-2</v>
      </c>
      <c r="EF262" s="4311"/>
      <c r="EG262" s="3374">
        <f>(1+EG242)/(1+EG260)-1</f>
        <v>1.5366228444596119E-2</v>
      </c>
      <c r="EH262" s="3374">
        <f>(1+EH242)/(1+EH260)-1</f>
        <v>-1.0026872017005584E-2</v>
      </c>
      <c r="EI262" s="3374">
        <f>(1+EI242)/(1+EI260)-1</f>
        <v>9.0318491522738409E-3</v>
      </c>
      <c r="EJ262" s="3374">
        <f>(1+EJ242)/(1+EJ260)-1</f>
        <v>-1.2756909992911458E-3</v>
      </c>
      <c r="EK262" s="4311"/>
      <c r="EL262" s="3374">
        <f>(1+EL242)/(1+EL260)-1</f>
        <v>-2.3762898245085484E-2</v>
      </c>
      <c r="EM262" s="3374">
        <f>(1+EM242)/(1+EM260)-1</f>
        <v>4.7050978067575411E-2</v>
      </c>
      <c r="EN262" s="3374">
        <f>(1+EN242)/(1+EN260)-1</f>
        <v>2.5824816516907712E-2</v>
      </c>
      <c r="EO262" s="3374">
        <f>(1+EO242)/(1+EO260)-1</f>
        <v>-5.2630912103767136E-3</v>
      </c>
      <c r="EP262" s="4311"/>
      <c r="EQ262" s="3374">
        <f t="shared" ref="EQ262:ET262" si="1018">(1+EQ242)/(1+EQ260)-1</f>
        <v>-4.8514813076823149E-3</v>
      </c>
      <c r="ER262" s="3374">
        <f t="shared" si="1018"/>
        <v>0</v>
      </c>
      <c r="ES262" s="3374">
        <f t="shared" si="1018"/>
        <v>0</v>
      </c>
      <c r="ET262" s="3374">
        <f t="shared" si="1018"/>
        <v>0</v>
      </c>
      <c r="EU262" s="4311"/>
      <c r="EV262" s="2249"/>
      <c r="EW262" s="2249"/>
      <c r="EX262" s="2249"/>
      <c r="EY262" s="2249"/>
      <c r="FA262" s="725"/>
      <c r="FB262" s="725"/>
    </row>
    <row r="263" spans="1:158" s="31" customFormat="1" ht="11.25" customHeight="1" collapsed="1">
      <c r="A263" s="5662" t="s">
        <v>1112</v>
      </c>
      <c r="B263" s="2918"/>
      <c r="C263" s="2918"/>
      <c r="D263" s="2918"/>
      <c r="E263" s="2918"/>
      <c r="F263" s="5566"/>
      <c r="G263" s="2918"/>
      <c r="H263" s="2918"/>
      <c r="I263" s="2918"/>
      <c r="J263" s="2918"/>
      <c r="K263" s="5198"/>
      <c r="L263" s="2918"/>
      <c r="M263" s="2918"/>
      <c r="N263" s="2918"/>
      <c r="O263" s="2918"/>
      <c r="P263" s="5198"/>
      <c r="Q263" s="5197"/>
      <c r="R263" s="2918"/>
      <c r="S263" s="2918"/>
      <c r="T263" s="2918"/>
      <c r="U263" s="5198"/>
      <c r="V263" s="5197"/>
      <c r="W263" s="2918"/>
      <c r="X263" s="2918"/>
      <c r="Y263" s="2918"/>
      <c r="Z263" s="5198"/>
      <c r="AA263" s="5197"/>
      <c r="AB263" s="2918"/>
      <c r="AC263" s="2918"/>
      <c r="AD263" s="2918"/>
      <c r="AE263" s="5198"/>
      <c r="AF263" s="5197"/>
      <c r="AG263" s="2918"/>
      <c r="AH263" s="2918"/>
      <c r="AI263" s="2918"/>
      <c r="AJ263" s="5198"/>
      <c r="AK263" s="5197"/>
      <c r="AL263" s="2918"/>
      <c r="AM263" s="2918"/>
      <c r="AN263" s="2918"/>
      <c r="AO263" s="5198"/>
      <c r="AP263" s="5197"/>
      <c r="AQ263" s="2918"/>
      <c r="AR263" s="2918"/>
      <c r="AS263" s="2918"/>
      <c r="AT263" s="5198"/>
      <c r="AU263" s="5197"/>
      <c r="AV263" s="2918"/>
      <c r="AW263" s="2918"/>
      <c r="AX263" s="2918"/>
      <c r="AY263" s="5198"/>
      <c r="AZ263" s="5197"/>
      <c r="BA263" s="2918"/>
      <c r="BB263" s="2918"/>
      <c r="BC263" s="2918"/>
      <c r="BD263" s="5198"/>
      <c r="BE263" s="5197"/>
      <c r="BF263" s="2918"/>
      <c r="BG263" s="2918"/>
      <c r="BH263" s="2918"/>
      <c r="BI263" s="5198"/>
      <c r="BJ263" s="5197"/>
      <c r="BK263" s="2918"/>
      <c r="BL263" s="2918"/>
      <c r="BM263" s="2918"/>
      <c r="BN263" s="5198"/>
      <c r="BO263" s="2918"/>
      <c r="BP263" s="2918"/>
      <c r="BQ263" s="2918"/>
      <c r="BR263" s="2918"/>
      <c r="BS263" s="5198"/>
      <c r="BT263" s="2918"/>
      <c r="BU263" s="2918"/>
      <c r="BV263" s="2918"/>
      <c r="BW263" s="2918"/>
      <c r="BX263" s="5198"/>
      <c r="BY263" s="2918"/>
      <c r="BZ263" s="2918"/>
      <c r="CA263" s="2918"/>
      <c r="CB263" s="2918"/>
      <c r="CC263" s="5198"/>
      <c r="CD263" s="2918"/>
      <c r="CE263" s="2918"/>
      <c r="CF263" s="2918"/>
      <c r="CG263" s="2918"/>
      <c r="CH263" s="5198"/>
      <c r="CI263" s="2347"/>
      <c r="CJ263" s="2918"/>
      <c r="CK263" s="2918"/>
      <c r="CL263" s="2918"/>
      <c r="CM263" s="5198"/>
      <c r="CN263" s="2918"/>
      <c r="CO263" s="2918"/>
      <c r="CP263" s="2918"/>
      <c r="CQ263" s="2918"/>
      <c r="CR263" s="5198"/>
      <c r="CS263" s="2918"/>
      <c r="CT263" s="2918"/>
      <c r="CU263" s="2918"/>
      <c r="CV263" s="5111"/>
      <c r="CW263" s="5213"/>
      <c r="CX263" s="5111"/>
      <c r="CY263" s="5111"/>
      <c r="CZ263" s="5111"/>
      <c r="DA263" s="5111"/>
      <c r="DB263" s="5213"/>
      <c r="DC263" s="5111"/>
      <c r="DD263" s="5111"/>
      <c r="DE263" s="5111"/>
      <c r="DF263" s="5111"/>
      <c r="DG263" s="5213"/>
      <c r="DH263" s="5111"/>
      <c r="DI263" s="5111"/>
      <c r="DJ263" s="5111"/>
      <c r="DK263" s="5111"/>
      <c r="DL263" s="5213"/>
      <c r="DM263" s="5111"/>
      <c r="DN263" s="5111"/>
      <c r="DO263" s="5111"/>
      <c r="DP263" s="5111"/>
      <c r="DQ263" s="5199"/>
      <c r="DR263" s="5111"/>
      <c r="DS263" s="5111"/>
      <c r="DT263" s="5111"/>
      <c r="DU263" s="5111"/>
      <c r="DV263" s="5199"/>
      <c r="DW263" s="5111"/>
      <c r="DX263" s="5111"/>
      <c r="DY263" s="5111"/>
      <c r="DZ263" s="5111"/>
      <c r="EA263" s="5199"/>
      <c r="EB263" s="5111"/>
      <c r="EC263" s="5111"/>
      <c r="ED263" s="5111"/>
      <c r="EE263" s="5111"/>
      <c r="EF263" s="5199"/>
      <c r="EG263" s="5111"/>
      <c r="EH263" s="5111"/>
      <c r="EI263" s="5111"/>
      <c r="EJ263" s="5111"/>
      <c r="EK263" s="5199"/>
      <c r="EL263" s="5111"/>
      <c r="EM263" s="5111"/>
      <c r="EN263" s="5111"/>
      <c r="EO263" s="5111"/>
      <c r="EP263" s="5199"/>
      <c r="EQ263" s="5111"/>
      <c r="ER263" s="5111"/>
      <c r="ES263" s="5111"/>
      <c r="ET263" s="5111"/>
      <c r="EU263" s="5199"/>
      <c r="EV263" s="5213"/>
      <c r="EW263" s="5213"/>
      <c r="EX263" s="5213"/>
      <c r="EY263" s="5213"/>
      <c r="EZ263" s="32"/>
      <c r="FA263" s="725"/>
      <c r="FB263" s="725"/>
    </row>
    <row r="264" spans="1:158" s="168" customFormat="1" ht="11.25" customHeight="1">
      <c r="A264" s="3568" t="s">
        <v>636</v>
      </c>
      <c r="B264" s="1968"/>
      <c r="C264" s="1968"/>
      <c r="D264" s="1968"/>
      <c r="E264" s="1968"/>
      <c r="F264" s="5567"/>
      <c r="G264" s="1968"/>
      <c r="H264" s="1968"/>
      <c r="I264" s="1968"/>
      <c r="J264" s="1968"/>
      <c r="K264" s="3464"/>
      <c r="L264" s="1968"/>
      <c r="M264" s="1968"/>
      <c r="N264" s="1968"/>
      <c r="O264" s="1968"/>
      <c r="P264" s="3464"/>
      <c r="Q264" s="2898"/>
      <c r="R264" s="1968"/>
      <c r="S264" s="1968"/>
      <c r="T264" s="1968"/>
      <c r="U264" s="3464"/>
      <c r="V264" s="2898"/>
      <c r="W264" s="1968"/>
      <c r="X264" s="1968"/>
      <c r="Y264" s="1968"/>
      <c r="Z264" s="3464"/>
      <c r="AA264" s="2898"/>
      <c r="AB264" s="1968"/>
      <c r="AC264" s="1968"/>
      <c r="AD264" s="3465"/>
      <c r="AE264" s="3464"/>
      <c r="AF264" s="2898"/>
      <c r="AG264" s="1968"/>
      <c r="AH264" s="1968"/>
      <c r="AI264" s="3465"/>
      <c r="AJ264" s="3464"/>
      <c r="AK264" s="2898"/>
      <c r="AL264" s="1968"/>
      <c r="AM264" s="1968"/>
      <c r="AN264" s="1968"/>
      <c r="AO264" s="3464"/>
      <c r="AP264" s="2898"/>
      <c r="AQ264" s="1968"/>
      <c r="AR264" s="1968"/>
      <c r="AS264" s="1968"/>
      <c r="AT264" s="3464"/>
      <c r="AU264" s="2898"/>
      <c r="AV264" s="1968"/>
      <c r="AW264" s="1968"/>
      <c r="AX264" s="1968"/>
      <c r="AY264" s="3464"/>
      <c r="AZ264" s="2898"/>
      <c r="BA264" s="1968"/>
      <c r="BB264" s="1968"/>
      <c r="BC264" s="1968"/>
      <c r="BD264" s="3464"/>
      <c r="BE264" s="2898"/>
      <c r="BF264" s="1968"/>
      <c r="BG264" s="1968"/>
      <c r="BH264" s="1968"/>
      <c r="BI264" s="3464"/>
      <c r="BJ264" s="2898"/>
      <c r="BK264" s="1968"/>
      <c r="BL264" s="1968"/>
      <c r="BM264" s="1968"/>
      <c r="BN264" s="3464"/>
      <c r="BO264" s="1968"/>
      <c r="BP264" s="1968"/>
      <c r="BQ264" s="1968"/>
      <c r="BR264" s="1968"/>
      <c r="BS264" s="3477"/>
      <c r="BT264" s="1968"/>
      <c r="BU264" s="1968"/>
      <c r="BV264" s="1968"/>
      <c r="BW264" s="1968"/>
      <c r="BX264" s="3464"/>
      <c r="BY264" s="1968"/>
      <c r="BZ264" s="1968"/>
      <c r="CA264" s="1968"/>
      <c r="CB264" s="1968"/>
      <c r="CC264" s="3477"/>
      <c r="CD264" s="1968"/>
      <c r="CE264" s="1968"/>
      <c r="CF264" s="1968"/>
      <c r="CG264" s="1968"/>
      <c r="CH264" s="3464"/>
      <c r="CI264" s="3478"/>
      <c r="CJ264" s="1968"/>
      <c r="CK264" s="1968"/>
      <c r="CL264" s="1968"/>
      <c r="CM264" s="3464"/>
      <c r="CN264" s="1968"/>
      <c r="CO264" s="1968"/>
      <c r="CP264" s="1968"/>
      <c r="CQ264" s="1968"/>
      <c r="CR264" s="3464">
        <f t="shared" ref="CR264:DF264" si="1019">CR192</f>
        <v>9887</v>
      </c>
      <c r="CS264" s="1968">
        <f t="shared" si="1019"/>
        <v>2799</v>
      </c>
      <c r="CT264" s="1968">
        <f t="shared" si="1019"/>
        <v>2904</v>
      </c>
      <c r="CU264" s="1968">
        <f t="shared" si="1019"/>
        <v>3248</v>
      </c>
      <c r="CV264" s="1968">
        <f t="shared" si="1019"/>
        <v>3608</v>
      </c>
      <c r="CW264" s="3464">
        <f t="shared" si="1019"/>
        <v>12559</v>
      </c>
      <c r="CX264" s="1968">
        <f t="shared" si="1019"/>
        <v>3619</v>
      </c>
      <c r="CY264" s="1968">
        <f t="shared" si="1019"/>
        <v>3730</v>
      </c>
      <c r="CZ264" s="1968">
        <f t="shared" si="1019"/>
        <v>4199</v>
      </c>
      <c r="DA264" s="1968">
        <f t="shared" si="1019"/>
        <v>4687</v>
      </c>
      <c r="DB264" s="3464">
        <f t="shared" si="1019"/>
        <v>16235</v>
      </c>
      <c r="DC264" s="1968">
        <f t="shared" si="1019"/>
        <v>4804</v>
      </c>
      <c r="DD264" s="1968">
        <f t="shared" si="1019"/>
        <v>5090</v>
      </c>
      <c r="DE264" s="1968">
        <f t="shared" si="1019"/>
        <v>5424</v>
      </c>
      <c r="DF264" s="1968">
        <f t="shared" si="1019"/>
        <v>6031</v>
      </c>
      <c r="DG264" s="3464">
        <f t="shared" ref="DG264:DM264" si="1020">DG192</f>
        <v>21349</v>
      </c>
      <c r="DH264" s="1968">
        <f t="shared" si="1020"/>
        <v>6096</v>
      </c>
      <c r="DI264" s="1968">
        <f t="shared" si="1020"/>
        <v>6536</v>
      </c>
      <c r="DJ264" s="1968">
        <f t="shared" si="1020"/>
        <v>6814</v>
      </c>
      <c r="DK264" s="1968">
        <f t="shared" si="1020"/>
        <v>7482</v>
      </c>
      <c r="DL264" s="3464">
        <f t="shared" si="1020"/>
        <v>26928</v>
      </c>
      <c r="DM264" s="1968">
        <f t="shared" si="1020"/>
        <v>7238</v>
      </c>
      <c r="DN264" s="1968">
        <f t="shared" ref="DN264:DX264" si="1021">DN192</f>
        <v>6945</v>
      </c>
      <c r="DO264" s="1968">
        <f t="shared" si="1021"/>
        <v>8458</v>
      </c>
      <c r="DP264" s="1968">
        <f t="shared" si="1021"/>
        <v>9909</v>
      </c>
      <c r="DQ264" s="3464">
        <f t="shared" si="1021"/>
        <v>32550</v>
      </c>
      <c r="DR264" s="5712">
        <f t="shared" si="1021"/>
        <v>10455</v>
      </c>
      <c r="DS264" s="5712">
        <f t="shared" si="1021"/>
        <v>11231</v>
      </c>
      <c r="DT264" s="5712">
        <f t="shared" si="1021"/>
        <v>11705</v>
      </c>
      <c r="DU264" s="5712">
        <f t="shared" si="1021"/>
        <v>12732</v>
      </c>
      <c r="DV264" s="5713">
        <f t="shared" si="1021"/>
        <v>46123</v>
      </c>
      <c r="DW264" s="5712">
        <f t="shared" si="1021"/>
        <v>11841</v>
      </c>
      <c r="DX264" s="5712">
        <f t="shared" si="1021"/>
        <v>11710</v>
      </c>
      <c r="DY264" s="5712">
        <f t="shared" ref="DY264:EC265" si="1022">DY192</f>
        <v>11494</v>
      </c>
      <c r="DZ264" s="5712">
        <f t="shared" si="1022"/>
        <v>11979</v>
      </c>
      <c r="EA264" s="5713">
        <f t="shared" si="1022"/>
        <v>47024</v>
      </c>
      <c r="EB264" s="5712">
        <f t="shared" si="1022"/>
        <v>11681</v>
      </c>
      <c r="EC264" s="5712">
        <f t="shared" si="1022"/>
        <v>12728</v>
      </c>
      <c r="ED264" s="5712">
        <f>ED192</f>
        <v>13126</v>
      </c>
      <c r="EE264" s="5712">
        <f t="shared" ref="EE264" si="1023">EE192</f>
        <v>13979</v>
      </c>
      <c r="EF264" s="3464">
        <f>EF192</f>
        <v>51514</v>
      </c>
      <c r="EG264" s="5712">
        <f t="shared" ref="EG264:EH264" si="1024">EG192</f>
        <v>13289</v>
      </c>
      <c r="EH264" s="5712">
        <f t="shared" si="1024"/>
        <v>13823</v>
      </c>
      <c r="EI264" s="5712">
        <f>EI192</f>
        <v>14547</v>
      </c>
      <c r="EJ264" s="5712">
        <f t="shared" ref="EJ264:EJ265" si="1025">EJ192</f>
        <v>15156</v>
      </c>
      <c r="EK264" s="3464">
        <f>EK192</f>
        <v>56815</v>
      </c>
      <c r="EL264" s="5712">
        <f t="shared" ref="EL264:EM264" si="1026">EL192</f>
        <v>14854</v>
      </c>
      <c r="EM264" s="5712">
        <f t="shared" si="1026"/>
        <v>16480</v>
      </c>
      <c r="EN264" s="5712">
        <f>EN192</f>
        <v>17819</v>
      </c>
      <c r="EO264" s="2517">
        <f t="shared" ref="EO264" si="1027">EJ264*(1+EO265)</f>
        <v>18195.600714335844</v>
      </c>
      <c r="EP264" s="3464">
        <f>EP192</f>
        <v>67348.600714335844</v>
      </c>
      <c r="EQ264" s="2517">
        <f t="shared" ref="EQ264" si="1028">EL264*(1+EQ265)</f>
        <v>18694.208416817044</v>
      </c>
      <c r="ER264" s="2517">
        <f t="shared" ref="ER264" si="1029">EM264*(1+ER265)</f>
        <v>20499.003770269366</v>
      </c>
      <c r="ES264" s="2517">
        <f t="shared" ref="ES264" si="1030">EN264*(1+ES265)</f>
        <v>21951.774076887919</v>
      </c>
      <c r="ET264" s="2517">
        <f t="shared" ref="ET264" si="1031">EO264*(1+ET265)</f>
        <v>22507.444120704291</v>
      </c>
      <c r="EU264" s="3464">
        <f>EU192</f>
        <v>83652.430384678621</v>
      </c>
      <c r="EV264" s="3479">
        <f>EU264*(1+EV265)</f>
        <v>96953.166815842531</v>
      </c>
      <c r="EW264" s="3479">
        <f>EV264*(1+EW265)</f>
        <v>109557.07850190205</v>
      </c>
      <c r="EX264" s="3479">
        <f>EW264*(1+EX265)</f>
        <v>122813.48500063221</v>
      </c>
      <c r="EY264" s="3479">
        <f>EX264*(1+EY265)</f>
        <v>136322.96835070176</v>
      </c>
      <c r="EZ264" s="167"/>
      <c r="FA264" s="1319">
        <f>(EV264/EK264)^(1/3)-1</f>
        <v>0.19499566377435684</v>
      </c>
      <c r="FB264" s="1319">
        <f>(EX264/EK264)^(1/5)-1</f>
        <v>0.16669304480505653</v>
      </c>
    </row>
    <row r="265" spans="1:158" s="249" customFormat="1" ht="11.25" customHeight="1">
      <c r="A265" s="5643" t="s">
        <v>45</v>
      </c>
      <c r="B265" s="158"/>
      <c r="C265" s="158"/>
      <c r="D265" s="158"/>
      <c r="E265" s="158"/>
      <c r="F265" s="5568"/>
      <c r="G265" s="158"/>
      <c r="H265" s="158"/>
      <c r="I265" s="158"/>
      <c r="J265" s="158"/>
      <c r="K265" s="2331"/>
      <c r="L265" s="158"/>
      <c r="M265" s="158"/>
      <c r="N265" s="158"/>
      <c r="O265" s="158"/>
      <c r="P265" s="2290"/>
      <c r="Q265" s="3504"/>
      <c r="R265" s="158"/>
      <c r="S265" s="158"/>
      <c r="T265" s="158"/>
      <c r="U265" s="2290"/>
      <c r="V265" s="3502"/>
      <c r="W265" s="2505"/>
      <c r="X265" s="2505"/>
      <c r="Y265" s="2505"/>
      <c r="Z265" s="2290"/>
      <c r="AA265" s="3502"/>
      <c r="AB265" s="2505"/>
      <c r="AC265" s="2505"/>
      <c r="AD265" s="2505"/>
      <c r="AE265" s="2290"/>
      <c r="AF265" s="3502"/>
      <c r="AG265" s="2505"/>
      <c r="AH265" s="2505"/>
      <c r="AI265" s="2505"/>
      <c r="AJ265" s="2290"/>
      <c r="AK265" s="3502"/>
      <c r="AL265" s="2505"/>
      <c r="AM265" s="2505"/>
      <c r="AN265" s="2505"/>
      <c r="AO265" s="2290"/>
      <c r="AP265" s="3502"/>
      <c r="AQ265" s="2505"/>
      <c r="AR265" s="2505"/>
      <c r="AS265" s="2505"/>
      <c r="AT265" s="2290"/>
      <c r="AU265" s="3502"/>
      <c r="AV265" s="2505"/>
      <c r="AW265" s="2505"/>
      <c r="AX265" s="2505"/>
      <c r="AY265" s="2290"/>
      <c r="AZ265" s="3502"/>
      <c r="BA265" s="2505"/>
      <c r="BB265" s="2505"/>
      <c r="BC265" s="2505"/>
      <c r="BD265" s="2290"/>
      <c r="BE265" s="3502"/>
      <c r="BF265" s="2505"/>
      <c r="BG265" s="2505"/>
      <c r="BH265" s="2505"/>
      <c r="BI265" s="2290"/>
      <c r="BJ265" s="3502"/>
      <c r="BK265" s="2505"/>
      <c r="BL265" s="2505"/>
      <c r="BM265" s="2505"/>
      <c r="BN265" s="2290"/>
      <c r="BO265" s="2288"/>
      <c r="BP265" s="2288"/>
      <c r="BQ265" s="2288"/>
      <c r="BR265" s="2288"/>
      <c r="BS265" s="2873"/>
      <c r="BT265" s="2505"/>
      <c r="BU265" s="2505"/>
      <c r="BV265" s="2505"/>
      <c r="BW265" s="2505"/>
      <c r="BX265" s="2290"/>
      <c r="BY265" s="2288"/>
      <c r="BZ265" s="2288"/>
      <c r="CA265" s="2288"/>
      <c r="CB265" s="2288"/>
      <c r="CC265" s="2873"/>
      <c r="CD265" s="2505"/>
      <c r="CE265" s="2505"/>
      <c r="CF265" s="2505"/>
      <c r="CG265" s="2505"/>
      <c r="CH265" s="2290"/>
      <c r="CI265" s="3505"/>
      <c r="CJ265" s="2505"/>
      <c r="CK265" s="2505"/>
      <c r="CL265" s="2505"/>
      <c r="CM265" s="2290"/>
      <c r="CN265" s="2288"/>
      <c r="CO265" s="2505"/>
      <c r="CP265" s="2505"/>
      <c r="CQ265" s="2505"/>
      <c r="CR265" s="2290"/>
      <c r="CS265" s="1143"/>
      <c r="CT265" s="3503"/>
      <c r="CU265" s="1143"/>
      <c r="CV265" s="1143"/>
      <c r="CW265" s="2290">
        <f t="shared" ref="CW265:DJ265" si="1032">CW193</f>
        <v>0.27025386871649637</v>
      </c>
      <c r="CX265" s="2288">
        <f t="shared" si="1032"/>
        <v>0.29296177206145058</v>
      </c>
      <c r="CY265" s="2288">
        <f t="shared" si="1032"/>
        <v>0.28443526170798905</v>
      </c>
      <c r="CZ265" s="2288">
        <f t="shared" si="1032"/>
        <v>0.29279556650246308</v>
      </c>
      <c r="DA265" s="2288">
        <f t="shared" si="1032"/>
        <v>0.29905764966740578</v>
      </c>
      <c r="DB265" s="2290">
        <f t="shared" si="1032"/>
        <v>0.29269846325344373</v>
      </c>
      <c r="DC265" s="2288">
        <f t="shared" si="1032"/>
        <v>0.32743851892788056</v>
      </c>
      <c r="DD265" s="2288">
        <f t="shared" si="1032"/>
        <v>0.36461126005361932</v>
      </c>
      <c r="DE265" s="2288">
        <f t="shared" si="1032"/>
        <v>0.29173612764944035</v>
      </c>
      <c r="DF265" s="2288">
        <f t="shared" si="1032"/>
        <v>0.28675058672925102</v>
      </c>
      <c r="DG265" s="2290">
        <f>DG193</f>
        <v>0.31499846011703103</v>
      </c>
      <c r="DH265" s="2288">
        <f>DH193</f>
        <v>0.2689425478767693</v>
      </c>
      <c r="DI265" s="2288">
        <f t="shared" si="1032"/>
        <v>0.28408644400785854</v>
      </c>
      <c r="DJ265" s="2288">
        <f t="shared" si="1032"/>
        <v>0.25626843657817111</v>
      </c>
      <c r="DK265" s="2288">
        <f>DK193</f>
        <v>0.24059028353506884</v>
      </c>
      <c r="DL265" s="5075">
        <f>DL193</f>
        <v>0.26132371539650578</v>
      </c>
      <c r="DM265" s="5074">
        <f>DM193</f>
        <v>0.18733595800524938</v>
      </c>
      <c r="DN265" s="5074">
        <f t="shared" ref="DN265:DX265" si="1033">DN193</f>
        <v>6.2576499388004914E-2</v>
      </c>
      <c r="DO265" s="5074">
        <f t="shared" si="1033"/>
        <v>0.24126797769298514</v>
      </c>
      <c r="DP265" s="5074">
        <f t="shared" si="1033"/>
        <v>0.32437850842020843</v>
      </c>
      <c r="DQ265" s="5075">
        <f t="shared" si="1033"/>
        <v>0.20877896613190727</v>
      </c>
      <c r="DR265" s="5074">
        <f t="shared" si="1033"/>
        <v>0.44445979552362536</v>
      </c>
      <c r="DS265" s="5074">
        <f t="shared" si="1033"/>
        <v>0.61713462922966156</v>
      </c>
      <c r="DT265" s="5074">
        <f t="shared" si="1033"/>
        <v>0.38389690234097906</v>
      </c>
      <c r="DU265" s="5074">
        <f t="shared" si="1033"/>
        <v>0.28489252194974268</v>
      </c>
      <c r="DV265" s="2873">
        <f t="shared" si="1033"/>
        <v>0.41698924731182796</v>
      </c>
      <c r="DW265" s="5074">
        <f t="shared" si="1033"/>
        <v>0.13256814921090387</v>
      </c>
      <c r="DX265" s="5074">
        <f t="shared" si="1033"/>
        <v>4.2649808565577318E-2</v>
      </c>
      <c r="DY265" s="5074">
        <f t="shared" si="1022"/>
        <v>-1.8026484408372512E-2</v>
      </c>
      <c r="DZ265" s="5074">
        <f t="shared" si="1022"/>
        <v>-5.9142318567389274E-2</v>
      </c>
      <c r="EA265" s="2873">
        <f t="shared" si="1022"/>
        <v>1.9534722372785751E-2</v>
      </c>
      <c r="EB265" s="5074">
        <f t="shared" si="1022"/>
        <v>-1.3512372265855888E-2</v>
      </c>
      <c r="EC265" s="5074">
        <f t="shared" si="1022"/>
        <v>8.6934244235695957E-2</v>
      </c>
      <c r="ED265" s="5074">
        <f>ED193</f>
        <v>0.14198712371672184</v>
      </c>
      <c r="EE265" s="5074">
        <f t="shared" ref="EE265" si="1034">EE193</f>
        <v>0.16695884464479516</v>
      </c>
      <c r="EF265" s="2873">
        <f>EF193</f>
        <v>9.5483157536577101E-2</v>
      </c>
      <c r="EG265" s="5074">
        <f t="shared" ref="EG265:EH265" si="1035">EG193</f>
        <v>0.13765944696515708</v>
      </c>
      <c r="EH265" s="5074">
        <f t="shared" si="1035"/>
        <v>8.6030798240100514E-2</v>
      </c>
      <c r="EI265" s="5074">
        <f>EI193</f>
        <v>0.10825841840621675</v>
      </c>
      <c r="EJ265" s="5074">
        <f t="shared" si="1025"/>
        <v>8.4197725159167236E-2</v>
      </c>
      <c r="EK265" s="2873">
        <f>EK193</f>
        <v>0.10290406491439219</v>
      </c>
      <c r="EL265" s="5074">
        <f t="shared" ref="EL265:EM265" si="1036">EL193</f>
        <v>0.11776657385807821</v>
      </c>
      <c r="EM265" s="5074">
        <f t="shared" si="1036"/>
        <v>0.19221587209722935</v>
      </c>
      <c r="EN265" s="5074">
        <f>EN193</f>
        <v>0.22492610160170479</v>
      </c>
      <c r="EO265" s="2288">
        <f>(1+EO278)*(1+FX!EO76*FX!EO77)-1</f>
        <v>0.20055428307837442</v>
      </c>
      <c r="EP265" s="2873">
        <f>EP193</f>
        <v>0.18540175507059486</v>
      </c>
      <c r="EQ265" s="2288">
        <f>(1+EQ278)*(1+FX!EQ76*FX!EQ77)-1</f>
        <v>0.25853025560906451</v>
      </c>
      <c r="ER265" s="2288">
        <f>(1+ER278)*(1+FX!ER76*FX!ER77)-1</f>
        <v>0.24387158800178188</v>
      </c>
      <c r="ES265" s="2288">
        <f>(1+ES278)*(1+FX!ES76*FX!ES77)-1</f>
        <v>0.23193075239283467</v>
      </c>
      <c r="ET265" s="2288">
        <f>(1+ET278)*(1+FX!ET76*FX!ET77)-1</f>
        <v>0.23697175345089083</v>
      </c>
      <c r="EU265" s="2873">
        <f>EU193</f>
        <v>0.24208119392853744</v>
      </c>
      <c r="EV265" s="2499">
        <f>(1+EV278)*(1+FX!EZ76*FX!EZ77)-1</f>
        <v>0.15900000000000003</v>
      </c>
      <c r="EW265" s="2499">
        <f>(1+EW278)*(1+FX!FA76*FX!FA77)-1</f>
        <v>0.12999999999999989</v>
      </c>
      <c r="EX265" s="2499">
        <f>(1+EX278)*(1+FX!FB76*FX!FB77)-1</f>
        <v>0.121</v>
      </c>
      <c r="EY265" s="2499">
        <f>(1+EY278)*(1+FX!FC76*FX!FC77)-1</f>
        <v>0.1100000000000001</v>
      </c>
      <c r="EZ265" s="185"/>
      <c r="FA265" s="725"/>
      <c r="FB265" s="725"/>
    </row>
    <row r="266" spans="1:158" s="249" customFormat="1" ht="11.25" customHeight="1">
      <c r="A266" s="5643" t="s">
        <v>46</v>
      </c>
      <c r="B266" s="158"/>
      <c r="C266" s="158"/>
      <c r="D266" s="158"/>
      <c r="E266" s="158"/>
      <c r="F266" s="5568"/>
      <c r="G266" s="158"/>
      <c r="H266" s="158"/>
      <c r="I266" s="158"/>
      <c r="J266" s="158"/>
      <c r="K266" s="2331"/>
      <c r="L266" s="158"/>
      <c r="M266" s="158"/>
      <c r="N266" s="158"/>
      <c r="O266" s="158"/>
      <c r="P266" s="2506"/>
      <c r="Q266" s="3504"/>
      <c r="R266" s="158"/>
      <c r="S266" s="158"/>
      <c r="T266" s="158"/>
      <c r="U266" s="2506"/>
      <c r="V266" s="3502"/>
      <c r="W266" s="2505"/>
      <c r="X266" s="2505"/>
      <c r="Y266" s="2505"/>
      <c r="Z266" s="2506"/>
      <c r="AA266" s="3502"/>
      <c r="AB266" s="2505"/>
      <c r="AC266" s="2505"/>
      <c r="AD266" s="2505"/>
      <c r="AE266" s="2506"/>
      <c r="AF266" s="3502"/>
      <c r="AG266" s="2505"/>
      <c r="AH266" s="2505"/>
      <c r="AI266" s="2505"/>
      <c r="AJ266" s="2506"/>
      <c r="AK266" s="3502"/>
      <c r="AL266" s="2505"/>
      <c r="AM266" s="2505"/>
      <c r="AN266" s="2505"/>
      <c r="AO266" s="2506"/>
      <c r="AP266" s="3502"/>
      <c r="AQ266" s="2505"/>
      <c r="AR266" s="2505"/>
      <c r="AS266" s="2505"/>
      <c r="AT266" s="2506"/>
      <c r="AU266" s="3502"/>
      <c r="AV266" s="2505"/>
      <c r="AW266" s="2505"/>
      <c r="AX266" s="2505"/>
      <c r="AY266" s="2506"/>
      <c r="AZ266" s="3502"/>
      <c r="BA266" s="2505"/>
      <c r="BB266" s="2505"/>
      <c r="BC266" s="2505"/>
      <c r="BD266" s="2506"/>
      <c r="BE266" s="3502"/>
      <c r="BF266" s="2505"/>
      <c r="BG266" s="2505"/>
      <c r="BH266" s="2505"/>
      <c r="BI266" s="2506"/>
      <c r="BJ266" s="3502"/>
      <c r="BK266" s="2505"/>
      <c r="BL266" s="2505"/>
      <c r="BM266" s="2505"/>
      <c r="BN266" s="2506"/>
      <c r="BO266" s="2505"/>
      <c r="BP266" s="2505"/>
      <c r="BQ266" s="2505"/>
      <c r="BR266" s="2505"/>
      <c r="BS266" s="2506"/>
      <c r="BT266" s="2505"/>
      <c r="BU266" s="2505"/>
      <c r="BV266" s="2505"/>
      <c r="BW266" s="2505"/>
      <c r="BX266" s="2506"/>
      <c r="BY266" s="2505"/>
      <c r="BZ266" s="2505"/>
      <c r="CA266" s="2505"/>
      <c r="CB266" s="2505"/>
      <c r="CC266" s="2506"/>
      <c r="CD266" s="2505"/>
      <c r="CE266" s="2505"/>
      <c r="CF266" s="2505"/>
      <c r="CG266" s="2505"/>
      <c r="CH266" s="2506"/>
      <c r="CI266" s="3506"/>
      <c r="CJ266" s="2505"/>
      <c r="CK266" s="2505"/>
      <c r="CL266" s="2505"/>
      <c r="CM266" s="2506"/>
      <c r="CN266" s="2505"/>
      <c r="CO266" s="2505"/>
      <c r="CP266" s="2505"/>
      <c r="CQ266" s="2505"/>
      <c r="CR266" s="2506"/>
      <c r="CS266" s="3503"/>
      <c r="CT266" s="2505">
        <f>CT195</f>
        <v>3.7513397642015001E-2</v>
      </c>
      <c r="CU266" s="2505">
        <f>CU195</f>
        <v>0.11845730027548207</v>
      </c>
      <c r="CV266" s="2505">
        <f>CV195</f>
        <v>0.11083743842364524</v>
      </c>
      <c r="CW266" s="2506"/>
      <c r="CX266" s="2505">
        <f>CX195</f>
        <v>3.0487804878047697E-3</v>
      </c>
      <c r="CY266" s="2505">
        <f>CY195</f>
        <v>3.0671456203371195E-2</v>
      </c>
      <c r="CZ266" s="2505">
        <f>CZ195</f>
        <v>0.12573726541554953</v>
      </c>
      <c r="DA266" s="2505">
        <f>DA195</f>
        <v>0.11621814717789958</v>
      </c>
      <c r="DB266" s="2506"/>
      <c r="DC266" s="2505">
        <f>DC195</f>
        <v>2.4962662684019588E-2</v>
      </c>
      <c r="DD266" s="2505">
        <f>DD195</f>
        <v>5.9533721898417991E-2</v>
      </c>
      <c r="DE266" s="2505">
        <f>DE195</f>
        <v>6.5618860510805455E-2</v>
      </c>
      <c r="DF266" s="2505">
        <f>DF195</f>
        <v>0.11191002949852513</v>
      </c>
      <c r="DG266" s="2506"/>
      <c r="DH266" s="2505">
        <f>DH195</f>
        <v>1.077764881445864E-2</v>
      </c>
      <c r="DI266" s="2505">
        <f>DI195</f>
        <v>7.2178477690288734E-2</v>
      </c>
      <c r="DJ266" s="2505">
        <f>DJ195</f>
        <v>4.2533659730722206E-2</v>
      </c>
      <c r="DK266" s="2505">
        <f>DK195</f>
        <v>9.8033460522453764E-2</v>
      </c>
      <c r="DL266" s="5077"/>
      <c r="DM266" s="5076">
        <f>DM195</f>
        <v>-3.2611601176156135E-2</v>
      </c>
      <c r="DN266" s="5076">
        <f>DN195</f>
        <v>-4.0480795799944791E-2</v>
      </c>
      <c r="DO266" s="5076">
        <f>DO195</f>
        <v>0.21785457163426925</v>
      </c>
      <c r="DP266" s="5076">
        <f>DP195</f>
        <v>0.17155355876093648</v>
      </c>
      <c r="DQ266" s="5077"/>
      <c r="DR266" s="5076">
        <f>DR195</f>
        <v>5.5101422948834466E-2</v>
      </c>
      <c r="DS266" s="5076">
        <f>DS195</f>
        <v>7.4222859875657576E-2</v>
      </c>
      <c r="DT266" s="5076">
        <f>DT195</f>
        <v>4.2204612233995187E-2</v>
      </c>
      <c r="DU266" s="5076">
        <f>DU195</f>
        <v>8.7740281930798858E-2</v>
      </c>
      <c r="DV266" s="2506"/>
      <c r="DW266" s="5076">
        <f>DW195</f>
        <v>-6.9981149858623914E-2</v>
      </c>
      <c r="DX266" s="5076">
        <f>DX195</f>
        <v>-1.1063254792669563E-2</v>
      </c>
      <c r="DY266" s="5076">
        <f>DY195</f>
        <v>-1.8445772843723285E-2</v>
      </c>
      <c r="DZ266" s="5076">
        <f>DZ195</f>
        <v>4.2195928310422737E-2</v>
      </c>
      <c r="EA266" s="2506"/>
      <c r="EB266" s="5076">
        <f>EB195</f>
        <v>-2.4876867852074436E-2</v>
      </c>
      <c r="EC266" s="5076">
        <f>EC195</f>
        <v>8.9632736923208611E-2</v>
      </c>
      <c r="ED266" s="5076">
        <f>ED195</f>
        <v>3.1269641734757991E-2</v>
      </c>
      <c r="EE266" s="5076">
        <f>EE195</f>
        <v>6.4985524912387627E-2</v>
      </c>
      <c r="EF266" s="2506"/>
      <c r="EG266" s="5076">
        <f>EG195</f>
        <v>-4.93597539165892E-2</v>
      </c>
      <c r="EH266" s="5076">
        <f>EH195</f>
        <v>4.0183610504928913E-2</v>
      </c>
      <c r="EI266" s="5076">
        <f>EI195</f>
        <v>5.2376473992620909E-2</v>
      </c>
      <c r="EJ266" s="5076">
        <f>EJ195</f>
        <v>4.1864301917921232E-2</v>
      </c>
      <c r="EK266" s="2506"/>
      <c r="EL266" s="5076">
        <f>EL195</f>
        <v>-1.9926101873845359E-2</v>
      </c>
      <c r="EM266" s="5076">
        <f>EM195</f>
        <v>0.10946546384812161</v>
      </c>
      <c r="EN266" s="5076">
        <f>EN195</f>
        <v>8.1250000000000044E-2</v>
      </c>
      <c r="EO266" s="2505">
        <f>EO195</f>
        <v>2.1134783901220366E-2</v>
      </c>
      <c r="EP266" s="2506"/>
      <c r="EQ266" s="2505">
        <f>EQ195</f>
        <v>2.7402651350134422E-2</v>
      </c>
      <c r="ER266" s="2505">
        <f>ER195</f>
        <v>9.6543020876388219E-2</v>
      </c>
      <c r="ES266" s="2505">
        <f>ES195</f>
        <v>7.0870288278378268E-2</v>
      </c>
      <c r="ET266" s="2505">
        <f>ET195</f>
        <v>2.5313218051082886E-2</v>
      </c>
      <c r="EU266" s="2506"/>
      <c r="EV266" s="2506"/>
      <c r="EW266" s="2506"/>
      <c r="EX266" s="2506"/>
      <c r="EY266" s="2506"/>
      <c r="EZ266" s="185"/>
      <c r="FA266" s="725"/>
      <c r="FB266" s="725"/>
    </row>
    <row r="267" spans="1:158" s="211" customFormat="1" ht="11.25" hidden="1" customHeight="1" outlineLevel="1">
      <c r="A267" s="5365"/>
      <c r="B267" s="2612"/>
      <c r="C267" s="2612"/>
      <c r="D267" s="2612"/>
      <c r="E267" s="2612"/>
      <c r="F267" s="4303"/>
      <c r="G267" s="2612"/>
      <c r="H267" s="2612"/>
      <c r="I267" s="2612"/>
      <c r="J267" s="2612"/>
      <c r="K267" s="1019"/>
      <c r="L267" s="209"/>
      <c r="M267" s="209"/>
      <c r="N267" s="209"/>
      <c r="O267" s="209"/>
      <c r="P267" s="1019"/>
      <c r="Q267" s="2576"/>
      <c r="R267" s="209"/>
      <c r="S267" s="209"/>
      <c r="T267" s="209"/>
      <c r="U267" s="1019"/>
      <c r="V267" s="2576"/>
      <c r="W267" s="209"/>
      <c r="X267" s="209"/>
      <c r="Y267" s="209"/>
      <c r="Z267" s="1019"/>
      <c r="AA267" s="2576"/>
      <c r="AB267" s="209"/>
      <c r="AC267" s="209"/>
      <c r="AD267" s="209"/>
      <c r="AE267" s="1019"/>
      <c r="AF267" s="2576"/>
      <c r="AG267" s="209"/>
      <c r="AH267" s="209"/>
      <c r="AI267" s="209"/>
      <c r="AJ267" s="1019"/>
      <c r="AK267" s="2576"/>
      <c r="AL267" s="209"/>
      <c r="AM267" s="209"/>
      <c r="AN267" s="209"/>
      <c r="AO267" s="1019"/>
      <c r="AP267" s="2577"/>
      <c r="AQ267" s="257"/>
      <c r="AR267" s="257"/>
      <c r="AS267" s="257"/>
      <c r="AT267" s="1019"/>
      <c r="AU267" s="2577"/>
      <c r="AV267" s="257"/>
      <c r="AW267" s="257"/>
      <c r="AX267" s="257"/>
      <c r="AY267" s="1019"/>
      <c r="AZ267" s="2571"/>
      <c r="BA267" s="258"/>
      <c r="BB267" s="258"/>
      <c r="BC267" s="258"/>
      <c r="BD267" s="1019"/>
      <c r="BE267" s="2572"/>
      <c r="BF267" s="241"/>
      <c r="BG267" s="241"/>
      <c r="BH267" s="241"/>
      <c r="BI267" s="1019"/>
      <c r="BJ267" s="2572"/>
      <c r="BK267" s="258"/>
      <c r="BL267" s="258"/>
      <c r="BM267" s="258"/>
      <c r="BN267" s="1019"/>
      <c r="BO267" s="209"/>
      <c r="BP267" s="209"/>
      <c r="BQ267" s="209"/>
      <c r="BR267" s="209"/>
      <c r="BS267" s="1933"/>
      <c r="BT267" s="258"/>
      <c r="BU267" s="258"/>
      <c r="BV267" s="258"/>
      <c r="BW267" s="258"/>
      <c r="BX267" s="1019"/>
      <c r="BY267" s="209"/>
      <c r="BZ267" s="209"/>
      <c r="CA267" s="209"/>
      <c r="CB267" s="209"/>
      <c r="CC267" s="1933"/>
      <c r="CD267" s="209"/>
      <c r="CE267" s="209"/>
      <c r="CF267" s="209"/>
      <c r="CG267" s="258"/>
      <c r="CH267" s="1019"/>
      <c r="CI267" s="209"/>
      <c r="CJ267" s="209"/>
      <c r="CK267" s="209"/>
      <c r="CL267" s="209"/>
      <c r="CM267" s="1019"/>
      <c r="CN267" s="209"/>
      <c r="CO267" s="209"/>
      <c r="CP267" s="209"/>
      <c r="CQ267" s="209"/>
      <c r="CR267" s="1019"/>
      <c r="CS267" s="209"/>
      <c r="CT267" s="209"/>
      <c r="CU267" s="209"/>
      <c r="CV267" s="209"/>
      <c r="CW267" s="1019"/>
      <c r="CX267" s="209"/>
      <c r="CY267" s="209"/>
      <c r="CZ267" s="209"/>
      <c r="DA267" s="209"/>
      <c r="DB267" s="1019"/>
      <c r="DC267" s="209"/>
      <c r="DD267" s="209"/>
      <c r="DE267" s="209"/>
      <c r="DF267" s="209"/>
      <c r="DG267" s="1019"/>
      <c r="DH267" s="209"/>
      <c r="DI267" s="209"/>
      <c r="DJ267" s="209"/>
      <c r="DK267" s="209"/>
      <c r="DL267" s="1933"/>
      <c r="DM267" s="209"/>
      <c r="DN267" s="209"/>
      <c r="DO267" s="209"/>
      <c r="DP267" s="209"/>
      <c r="DQ267" s="1933"/>
      <c r="DR267" s="209"/>
      <c r="DS267" s="209"/>
      <c r="DT267" s="209"/>
      <c r="DU267" s="209"/>
      <c r="DV267" s="1933"/>
      <c r="DW267" s="209"/>
      <c r="DX267" s="209"/>
      <c r="DY267" s="209"/>
      <c r="DZ267" s="209"/>
      <c r="EA267" s="1933"/>
      <c r="EB267" s="209"/>
      <c r="EC267" s="209"/>
      <c r="ED267" s="209"/>
      <c r="EE267" s="209"/>
      <c r="EF267" s="1933"/>
      <c r="EG267" s="209"/>
      <c r="EH267" s="209"/>
      <c r="EI267" s="209"/>
      <c r="EJ267" s="209"/>
      <c r="EK267" s="1933"/>
      <c r="EL267" s="209"/>
      <c r="EM267" s="209"/>
      <c r="EN267" s="209"/>
      <c r="EO267" s="209"/>
      <c r="EP267" s="1933"/>
      <c r="EQ267" s="209"/>
      <c r="ER267" s="209"/>
      <c r="ES267" s="209"/>
      <c r="ET267" s="209"/>
      <c r="EU267" s="1933"/>
      <c r="EV267" s="2244"/>
      <c r="EW267" s="2244"/>
      <c r="EX267" s="2244"/>
      <c r="EY267" s="2244"/>
      <c r="EZ267" s="209"/>
      <c r="FA267" s="725"/>
      <c r="FB267" s="725"/>
    </row>
    <row r="268" spans="1:158" s="214" customFormat="1" ht="11.25" customHeight="1" collapsed="1">
      <c r="A268" s="5681" t="s">
        <v>23</v>
      </c>
      <c r="B268" s="2615"/>
      <c r="C268" s="2615"/>
      <c r="D268" s="2615"/>
      <c r="E268" s="2615"/>
      <c r="F268" s="4301"/>
      <c r="G268" s="2615"/>
      <c r="H268" s="2615"/>
      <c r="I268" s="2615"/>
      <c r="J268" s="2615"/>
      <c r="K268" s="2590"/>
      <c r="L268" s="2606"/>
      <c r="M268" s="2606"/>
      <c r="N268" s="2606"/>
      <c r="O268" s="2606"/>
      <c r="P268" s="2590"/>
      <c r="Q268" s="2655"/>
      <c r="R268" s="2606"/>
      <c r="S268" s="2606"/>
      <c r="T268" s="2606"/>
      <c r="U268" s="2590"/>
      <c r="V268" s="2655"/>
      <c r="W268" s="2606"/>
      <c r="X268" s="2606"/>
      <c r="Y268" s="2606"/>
      <c r="Z268" s="2590"/>
      <c r="AA268" s="2655"/>
      <c r="AB268" s="2606"/>
      <c r="AC268" s="2606"/>
      <c r="AD268" s="2606"/>
      <c r="AE268" s="2590"/>
      <c r="AF268" s="2655"/>
      <c r="AG268" s="2606"/>
      <c r="AH268" s="2606"/>
      <c r="AI268" s="2606"/>
      <c r="AJ268" s="2590"/>
      <c r="AK268" s="2669"/>
      <c r="AL268" s="2619"/>
      <c r="AM268" s="2619"/>
      <c r="AN268" s="2619"/>
      <c r="AO268" s="2590"/>
      <c r="AP268" s="2669"/>
      <c r="AQ268" s="2619"/>
      <c r="AR268" s="2619"/>
      <c r="AS268" s="2619"/>
      <c r="AT268" s="2590"/>
      <c r="AU268" s="2669"/>
      <c r="AV268" s="2619"/>
      <c r="AW268" s="2619"/>
      <c r="AX268" s="2619"/>
      <c r="AY268" s="2590"/>
      <c r="AZ268" s="2669"/>
      <c r="BA268" s="2619"/>
      <c r="BB268" s="2619"/>
      <c r="BC268" s="2619"/>
      <c r="BD268" s="2590"/>
      <c r="BE268" s="2656"/>
      <c r="BF268" s="2607"/>
      <c r="BG268" s="2607"/>
      <c r="BH268" s="2607"/>
      <c r="BI268" s="2590"/>
      <c r="BJ268" s="2656"/>
      <c r="BK268" s="2629"/>
      <c r="BL268" s="2629"/>
      <c r="BM268" s="2607"/>
      <c r="BN268" s="2590"/>
      <c r="BO268" s="2606"/>
      <c r="BP268" s="2606"/>
      <c r="BQ268" s="2606"/>
      <c r="BR268" s="2606"/>
      <c r="BS268" s="1932"/>
      <c r="BT268" s="2607"/>
      <c r="BU268" s="2634"/>
      <c r="BV268" s="2634"/>
      <c r="BW268" s="2607"/>
      <c r="BX268" s="2590"/>
      <c r="BY268" s="2606"/>
      <c r="BZ268" s="2606"/>
      <c r="CA268" s="2606"/>
      <c r="CB268" s="2606"/>
      <c r="CC268" s="1932"/>
      <c r="CD268" s="2656"/>
      <c r="CE268" s="2634"/>
      <c r="CF268" s="2634"/>
      <c r="CG268" s="2607"/>
      <c r="CH268" s="2590"/>
      <c r="CI268" s="2634"/>
      <c r="CJ268" s="2634"/>
      <c r="CK268" s="2634"/>
      <c r="CL268" s="2607"/>
      <c r="CM268" s="2590"/>
      <c r="CN268" s="2634"/>
      <c r="CO268" s="2634"/>
      <c r="CP268" s="2634"/>
      <c r="CQ268" s="2607"/>
      <c r="CR268" s="3458">
        <v>-1076</v>
      </c>
      <c r="CS268" s="2011"/>
      <c r="CT268" s="2011"/>
      <c r="CU268" s="2011"/>
      <c r="CV268" s="2011"/>
      <c r="CW268" s="3458">
        <v>362</v>
      </c>
      <c r="CX268" s="2607">
        <v>63</v>
      </c>
      <c r="CY268" s="2607">
        <v>24</v>
      </c>
      <c r="CZ268" s="2607">
        <v>-54</v>
      </c>
      <c r="DA268" s="2607">
        <v>-59</v>
      </c>
      <c r="DB268" s="2590">
        <f>SUM(CX268:DA268)</f>
        <v>-26</v>
      </c>
      <c r="DC268" s="2607">
        <v>198</v>
      </c>
      <c r="DD268" s="2607">
        <v>91</v>
      </c>
      <c r="DE268" s="2607">
        <v>-94</v>
      </c>
      <c r="DF268" s="2607">
        <v>-146</v>
      </c>
      <c r="DG268" s="2590">
        <f>SUM(DC268:DF268)</f>
        <v>49</v>
      </c>
      <c r="DH268" s="2607">
        <v>-199</v>
      </c>
      <c r="DI268" s="2607">
        <v>-217</v>
      </c>
      <c r="DJ268" s="2607">
        <v>-17</v>
      </c>
      <c r="DK268" s="2607">
        <v>45</v>
      </c>
      <c r="DL268" s="2590">
        <f>SUM(DH268:DK268)</f>
        <v>-388</v>
      </c>
      <c r="DM268" s="2607">
        <v>-61</v>
      </c>
      <c r="DN268" s="2607">
        <v>-105</v>
      </c>
      <c r="DO268" s="2607">
        <v>-1</v>
      </c>
      <c r="DP268" s="2607">
        <v>156</v>
      </c>
      <c r="DQ268" s="2590">
        <f>SUM(DM268:DP268)</f>
        <v>-11</v>
      </c>
      <c r="DR268" s="528">
        <v>363</v>
      </c>
      <c r="DS268" s="528">
        <v>350</v>
      </c>
      <c r="DT268" s="528">
        <v>8</v>
      </c>
      <c r="DU268" s="677">
        <f>DU264-DU277</f>
        <v>-264</v>
      </c>
      <c r="DV268" s="1260">
        <f>SUM(DR268:DU268)</f>
        <v>457</v>
      </c>
      <c r="DW268" s="677">
        <f>DW264-DW277</f>
        <v>-599</v>
      </c>
      <c r="DX268" s="677">
        <f>DX264-DX277</f>
        <v>-756</v>
      </c>
      <c r="DY268" s="677">
        <f>DY264-DY277</f>
        <v>-1110</v>
      </c>
      <c r="DZ268" s="677">
        <f>DZ264-DZ277</f>
        <v>-1450</v>
      </c>
      <c r="EA268" s="1260">
        <f>SUM(DW268:DZ268)</f>
        <v>-3915</v>
      </c>
      <c r="EB268" s="677">
        <f>EB264-EB277</f>
        <v>-834</v>
      </c>
      <c r="EC268" s="677">
        <f>EC264-EC277</f>
        <v>-565</v>
      </c>
      <c r="ED268" s="677">
        <f>ED264-ED277</f>
        <v>-270</v>
      </c>
      <c r="EE268" s="677">
        <f>EE264-EE277</f>
        <v>-90</v>
      </c>
      <c r="EF268" s="2590">
        <f>SUM(EB268:EE268)</f>
        <v>-1759</v>
      </c>
      <c r="EG268" s="677">
        <f>EG264-EG277</f>
        <v>-439</v>
      </c>
      <c r="EH268" s="677">
        <f>EH264-EH277</f>
        <v>-595</v>
      </c>
      <c r="EI268" s="677">
        <f>EI264-EI277</f>
        <v>-285</v>
      </c>
      <c r="EJ268" s="677">
        <f>EJ264-EJ277</f>
        <v>-50</v>
      </c>
      <c r="EK268" s="2590">
        <f>SUM(EG268:EJ268)</f>
        <v>-1369</v>
      </c>
      <c r="EL268" s="677">
        <f>EL264-EL277</f>
        <v>-381</v>
      </c>
      <c r="EM268" s="677">
        <f>EM264-EM277</f>
        <v>115</v>
      </c>
      <c r="EN268" s="677">
        <f>EN264-EN277</f>
        <v>128</v>
      </c>
      <c r="EO268" s="2635">
        <f t="shared" ref="EO268" si="1037">EO264-EO277</f>
        <v>-446.27928566415721</v>
      </c>
      <c r="EP268" s="2590">
        <f>SUM(EL268:EO268)</f>
        <v>-584.27928566415721</v>
      </c>
      <c r="EQ268" s="2635">
        <f t="shared" ref="EQ268:ET268" si="1038">EQ264-EQ277</f>
        <v>423.7884168170458</v>
      </c>
      <c r="ER268" s="2635">
        <f t="shared" si="1038"/>
        <v>-100.99622973063379</v>
      </c>
      <c r="ES268" s="2635">
        <f t="shared" si="1038"/>
        <v>-321.97592311208064</v>
      </c>
      <c r="ET268" s="2635">
        <f t="shared" si="1038"/>
        <v>-55.1007650721549</v>
      </c>
      <c r="EU268" s="2590">
        <f>SUM(EQ268:ET268)</f>
        <v>-54.284501097823522</v>
      </c>
      <c r="EV268" s="3939">
        <f>EV264-EV277</f>
        <v>0</v>
      </c>
      <c r="EW268" s="3939">
        <f>EW264-EW277</f>
        <v>0</v>
      </c>
      <c r="EX268" s="3939">
        <f>EX264-EX277</f>
        <v>0</v>
      </c>
      <c r="EY268" s="3939">
        <f>EY264-EY277</f>
        <v>0</v>
      </c>
      <c r="EZ268" s="51"/>
      <c r="FA268" s="725"/>
      <c r="FB268" s="725"/>
    </row>
    <row r="269" spans="1:158" s="214" customFormat="1" ht="11.25" hidden="1" customHeight="1" outlineLevel="1">
      <c r="A269" s="5673" t="s">
        <v>611</v>
      </c>
      <c r="B269" s="2615"/>
      <c r="C269" s="2615"/>
      <c r="D269" s="2615"/>
      <c r="E269" s="2615"/>
      <c r="F269" s="4301"/>
      <c r="G269" s="2615"/>
      <c r="H269" s="2615"/>
      <c r="I269" s="2615"/>
      <c r="J269" s="2615"/>
      <c r="K269" s="2590"/>
      <c r="L269" s="2606"/>
      <c r="M269" s="2606"/>
      <c r="N269" s="2606"/>
      <c r="O269" s="2606"/>
      <c r="P269" s="2590"/>
      <c r="Q269" s="2655"/>
      <c r="R269" s="2606"/>
      <c r="S269" s="2606"/>
      <c r="T269" s="2606"/>
      <c r="U269" s="2590"/>
      <c r="V269" s="2655"/>
      <c r="W269" s="2606"/>
      <c r="X269" s="2606"/>
      <c r="Y269" s="2606"/>
      <c r="Z269" s="2590"/>
      <c r="AA269" s="2655"/>
      <c r="AB269" s="2606"/>
      <c r="AC269" s="2606"/>
      <c r="AD269" s="2606"/>
      <c r="AE269" s="2590"/>
      <c r="AF269" s="2655"/>
      <c r="AG269" s="2606"/>
      <c r="AH269" s="2606"/>
      <c r="AI269" s="2606"/>
      <c r="AJ269" s="2590"/>
      <c r="AK269" s="2669"/>
      <c r="AL269" s="2619"/>
      <c r="AM269" s="2619"/>
      <c r="AN269" s="2619"/>
      <c r="AO269" s="2590"/>
      <c r="AP269" s="2669"/>
      <c r="AQ269" s="2619"/>
      <c r="AR269" s="2619"/>
      <c r="AS269" s="2619"/>
      <c r="AT269" s="2590"/>
      <c r="AU269" s="2669"/>
      <c r="AV269" s="2619"/>
      <c r="AW269" s="2619"/>
      <c r="AX269" s="2619"/>
      <c r="AY269" s="2590"/>
      <c r="AZ269" s="2669"/>
      <c r="BA269" s="2619"/>
      <c r="BB269" s="2619"/>
      <c r="BC269" s="2619"/>
      <c r="BD269" s="2590"/>
      <c r="BE269" s="2656"/>
      <c r="BF269" s="2607"/>
      <c r="BG269" s="2607"/>
      <c r="BH269" s="2607"/>
      <c r="BI269" s="2590"/>
      <c r="BJ269" s="2656"/>
      <c r="BK269" s="2629"/>
      <c r="BL269" s="2629"/>
      <c r="BM269" s="2607"/>
      <c r="BN269" s="2590"/>
      <c r="BO269" s="2606"/>
      <c r="BP269" s="2606"/>
      <c r="BQ269" s="2606"/>
      <c r="BR269" s="2606"/>
      <c r="BS269" s="1932"/>
      <c r="BT269" s="2607"/>
      <c r="BU269" s="2634"/>
      <c r="BV269" s="2634"/>
      <c r="BW269" s="2607"/>
      <c r="BX269" s="1932"/>
      <c r="BY269" s="2606"/>
      <c r="BZ269" s="2606"/>
      <c r="CA269" s="2606"/>
      <c r="CB269" s="2606"/>
      <c r="CC269" s="1932"/>
      <c r="CD269" s="2656"/>
      <c r="CE269" s="2634"/>
      <c r="CF269" s="2634"/>
      <c r="CG269" s="2607"/>
      <c r="CH269" s="1932"/>
      <c r="CI269" s="2634"/>
      <c r="CJ269" s="2634"/>
      <c r="CK269" s="2634"/>
      <c r="CL269" s="2607"/>
      <c r="CM269" s="1932"/>
      <c r="CN269" s="2634"/>
      <c r="CO269" s="2634"/>
      <c r="CP269" s="2634"/>
      <c r="CQ269" s="2607"/>
      <c r="CR269" s="2910">
        <f t="shared" ref="CR269:DJ269" si="1039">IFERROR(CR270/CR268,"NA")</f>
        <v>-0.30018587360594795</v>
      </c>
      <c r="CS269" s="2618" t="str">
        <f>IFERROR(CS270/CS268,"NA")</f>
        <v>NA</v>
      </c>
      <c r="CT269" s="2618" t="str">
        <f t="shared" si="1039"/>
        <v>NA</v>
      </c>
      <c r="CU269" s="2618" t="str">
        <f t="shared" si="1039"/>
        <v>NA</v>
      </c>
      <c r="CV269" s="2618" t="str">
        <f t="shared" si="1039"/>
        <v>NA</v>
      </c>
      <c r="CW269" s="2910">
        <f t="shared" si="1039"/>
        <v>8.5635359116022103E-2</v>
      </c>
      <c r="CX269" s="2618">
        <f t="shared" si="1039"/>
        <v>0.93650793650793651</v>
      </c>
      <c r="CY269" s="2618">
        <f t="shared" si="1039"/>
        <v>0.45833333333333331</v>
      </c>
      <c r="CZ269" s="2618">
        <f t="shared" si="1039"/>
        <v>0.33333333333333331</v>
      </c>
      <c r="DA269" s="2618">
        <f t="shared" si="1039"/>
        <v>0.15254237288135594</v>
      </c>
      <c r="DB269" s="2910">
        <f>DB270/DB268</f>
        <v>-1.6538461538461537</v>
      </c>
      <c r="DC269" s="2618">
        <f t="shared" si="1039"/>
        <v>-7.575757575757576E-2</v>
      </c>
      <c r="DD269" s="2618">
        <f t="shared" si="1039"/>
        <v>0</v>
      </c>
      <c r="DE269" s="2618">
        <f t="shared" si="1039"/>
        <v>-0.24468085106382978</v>
      </c>
      <c r="DF269" s="2618">
        <f t="shared" si="1039"/>
        <v>-0.17123287671232876</v>
      </c>
      <c r="DG269" s="2910">
        <f>DG270/DG268</f>
        <v>0.67346938775510201</v>
      </c>
      <c r="DH269" s="2618">
        <f t="shared" si="1039"/>
        <v>-8.0402010050251257E-2</v>
      </c>
      <c r="DI269" s="2618">
        <f t="shared" si="1039"/>
        <v>-6.9124423963133647E-2</v>
      </c>
      <c r="DJ269" s="2618">
        <f t="shared" si="1039"/>
        <v>-0.82352941176470584</v>
      </c>
      <c r="DK269" s="2678"/>
      <c r="DL269" s="2910">
        <f>DL270/DL268</f>
        <v>-0.11597938144329897</v>
      </c>
      <c r="DM269" s="2678"/>
      <c r="DN269" s="2678"/>
      <c r="DO269" s="2678"/>
      <c r="DP269" s="2678"/>
      <c r="DQ269" s="2910"/>
      <c r="DR269" s="2678"/>
      <c r="DS269" s="2678"/>
      <c r="DT269" s="2678"/>
      <c r="DU269" s="2678"/>
      <c r="DV269" s="2910"/>
      <c r="DW269" s="2678"/>
      <c r="DX269" s="2678"/>
      <c r="DY269" s="2678"/>
      <c r="DZ269" s="2678"/>
      <c r="EA269" s="2910"/>
      <c r="EB269" s="2678"/>
      <c r="EC269" s="2678"/>
      <c r="ED269" s="2678"/>
      <c r="EE269" s="2678"/>
      <c r="EF269" s="2910"/>
      <c r="EG269" s="2678"/>
      <c r="EH269" s="2678"/>
      <c r="EI269" s="2678"/>
      <c r="EJ269" s="2678"/>
      <c r="EK269" s="2910"/>
      <c r="EL269" s="2678"/>
      <c r="EM269" s="2678"/>
      <c r="EN269" s="2678"/>
      <c r="EO269" s="2678"/>
      <c r="EP269" s="2910"/>
      <c r="EQ269" s="2678"/>
      <c r="ER269" s="2678"/>
      <c r="ES269" s="2678"/>
      <c r="ET269" s="2678"/>
      <c r="EU269" s="2910"/>
      <c r="EV269" s="2911"/>
      <c r="EW269" s="2911"/>
      <c r="EX269" s="2911"/>
      <c r="EY269" s="2911"/>
      <c r="EZ269" s="51"/>
      <c r="FA269" s="725"/>
      <c r="FB269" s="725"/>
    </row>
    <row r="270" spans="1:158" s="214" customFormat="1" ht="11.25" hidden="1" customHeight="1" outlineLevel="1">
      <c r="A270" s="5681" t="s">
        <v>16</v>
      </c>
      <c r="B270" s="2615"/>
      <c r="C270" s="2615"/>
      <c r="D270" s="2615"/>
      <c r="E270" s="2615"/>
      <c r="F270" s="4301"/>
      <c r="G270" s="2615"/>
      <c r="H270" s="2615"/>
      <c r="I270" s="2615"/>
      <c r="J270" s="2615"/>
      <c r="K270" s="2590"/>
      <c r="L270" s="2606"/>
      <c r="M270" s="2606"/>
      <c r="N270" s="2606"/>
      <c r="O270" s="2606"/>
      <c r="P270" s="2590"/>
      <c r="Q270" s="2655"/>
      <c r="R270" s="2606"/>
      <c r="S270" s="2606"/>
      <c r="T270" s="2606"/>
      <c r="U270" s="2590"/>
      <c r="V270" s="2655"/>
      <c r="W270" s="2606"/>
      <c r="X270" s="2606"/>
      <c r="Y270" s="2606"/>
      <c r="Z270" s="2590"/>
      <c r="AA270" s="2655"/>
      <c r="AB270" s="2606"/>
      <c r="AC270" s="2606"/>
      <c r="AD270" s="2606"/>
      <c r="AE270" s="2590"/>
      <c r="AF270" s="2655"/>
      <c r="AG270" s="2606"/>
      <c r="AH270" s="2606"/>
      <c r="AI270" s="2606"/>
      <c r="AJ270" s="2590"/>
      <c r="AK270" s="2669"/>
      <c r="AL270" s="2619"/>
      <c r="AM270" s="2619"/>
      <c r="AN270" s="2619"/>
      <c r="AO270" s="2590"/>
      <c r="AP270" s="2669"/>
      <c r="AQ270" s="2619"/>
      <c r="AR270" s="2619"/>
      <c r="AS270" s="2619"/>
      <c r="AT270" s="2590"/>
      <c r="AU270" s="2669"/>
      <c r="AV270" s="2619"/>
      <c r="AW270" s="2619"/>
      <c r="AX270" s="2619"/>
      <c r="AY270" s="2590"/>
      <c r="AZ270" s="2669"/>
      <c r="BA270" s="2619"/>
      <c r="BB270" s="2619"/>
      <c r="BC270" s="2619"/>
      <c r="BD270" s="2590"/>
      <c r="BE270" s="2656"/>
      <c r="BF270" s="2607"/>
      <c r="BG270" s="2607"/>
      <c r="BH270" s="2607"/>
      <c r="BI270" s="2590"/>
      <c r="BJ270" s="2656"/>
      <c r="BK270" s="2629"/>
      <c r="BL270" s="2629"/>
      <c r="BM270" s="2607"/>
      <c r="BN270" s="2590"/>
      <c r="BO270" s="2606"/>
      <c r="BP270" s="2606"/>
      <c r="BQ270" s="2606"/>
      <c r="BR270" s="2606"/>
      <c r="BS270" s="1932"/>
      <c r="BT270" s="2607"/>
      <c r="BU270" s="2629"/>
      <c r="BV270" s="2634"/>
      <c r="BW270" s="2607"/>
      <c r="BX270" s="2590"/>
      <c r="BY270" s="2606"/>
      <c r="BZ270" s="2606"/>
      <c r="CA270" s="2606"/>
      <c r="CB270" s="2606"/>
      <c r="CC270" s="1932"/>
      <c r="CD270" s="2656"/>
      <c r="CE270" s="2607"/>
      <c r="CF270" s="2607"/>
      <c r="CG270" s="2607"/>
      <c r="CH270" s="2590"/>
      <c r="CI270" s="2634"/>
      <c r="CJ270" s="2607"/>
      <c r="CK270" s="2607"/>
      <c r="CL270" s="2607"/>
      <c r="CM270" s="2590"/>
      <c r="CN270" s="2634"/>
      <c r="CO270" s="2607"/>
      <c r="CP270" s="2607"/>
      <c r="CQ270" s="2607"/>
      <c r="CR270" s="3458">
        <v>323</v>
      </c>
      <c r="CS270" s="2607">
        <f>CS264-2772</f>
        <v>27</v>
      </c>
      <c r="CT270" s="2607">
        <f>CT264-2900</f>
        <v>4</v>
      </c>
      <c r="CU270" s="2607">
        <f>CU264-3248</f>
        <v>0</v>
      </c>
      <c r="CV270" s="2607">
        <f>CV264-3608</f>
        <v>0</v>
      </c>
      <c r="CW270" s="2590">
        <f>SUM(CS270:CV270)</f>
        <v>31</v>
      </c>
      <c r="CX270" s="2607">
        <v>59</v>
      </c>
      <c r="CY270" s="2607">
        <v>11</v>
      </c>
      <c r="CZ270" s="2607">
        <v>-18</v>
      </c>
      <c r="DA270" s="2607">
        <v>-9</v>
      </c>
      <c r="DB270" s="2590">
        <f>SUM(CX270:DA270)</f>
        <v>43</v>
      </c>
      <c r="DC270" s="2607">
        <v>-15</v>
      </c>
      <c r="DD270" s="2607">
        <v>0</v>
      </c>
      <c r="DE270" s="2607">
        <v>23</v>
      </c>
      <c r="DF270" s="2607">
        <v>25</v>
      </c>
      <c r="DG270" s="2590">
        <f>SUM(DC270:DF270)</f>
        <v>33</v>
      </c>
      <c r="DH270" s="2607">
        <v>16</v>
      </c>
      <c r="DI270" s="2607">
        <v>15</v>
      </c>
      <c r="DJ270" s="2607">
        <v>14</v>
      </c>
      <c r="DK270" s="2635"/>
      <c r="DL270" s="2590">
        <f>SUM(DH270:DK270)</f>
        <v>45</v>
      </c>
      <c r="DM270" s="2635"/>
      <c r="DN270" s="2635"/>
      <c r="DO270" s="2635"/>
      <c r="DP270" s="2635"/>
      <c r="DQ270" s="2590"/>
      <c r="DR270" s="2635"/>
      <c r="DS270" s="2635"/>
      <c r="DT270" s="2635"/>
      <c r="DU270" s="2635"/>
      <c r="DV270" s="2590"/>
      <c r="DW270" s="2635"/>
      <c r="DX270" s="2635"/>
      <c r="DY270" s="2635"/>
      <c r="DZ270" s="2635"/>
      <c r="EA270" s="2590"/>
      <c r="EB270" s="2635"/>
      <c r="EC270" s="2635"/>
      <c r="ED270" s="2635"/>
      <c r="EE270" s="2635"/>
      <c r="EF270" s="2590"/>
      <c r="EG270" s="2635"/>
      <c r="EH270" s="2635"/>
      <c r="EI270" s="2635"/>
      <c r="EJ270" s="2635"/>
      <c r="EK270" s="2590"/>
      <c r="EL270" s="2635"/>
      <c r="EM270" s="2635"/>
      <c r="EN270" s="2635"/>
      <c r="EO270" s="2635"/>
      <c r="EP270" s="2590"/>
      <c r="EQ270" s="2635"/>
      <c r="ER270" s="2635"/>
      <c r="ES270" s="2635"/>
      <c r="ET270" s="2635"/>
      <c r="EU270" s="2590"/>
      <c r="EV270" s="2908"/>
      <c r="EW270" s="2908"/>
      <c r="EX270" s="2908"/>
      <c r="EY270" s="2908"/>
      <c r="EZ270" s="51"/>
      <c r="FA270" s="725"/>
      <c r="FB270" s="725"/>
    </row>
    <row r="271" spans="1:158" s="516" customFormat="1" ht="11.25" hidden="1" customHeight="1" outlineLevel="1">
      <c r="A271" s="5681"/>
      <c r="B271" s="2630"/>
      <c r="C271" s="2630"/>
      <c r="D271" s="2630"/>
      <c r="E271" s="2630"/>
      <c r="F271" s="5575"/>
      <c r="G271" s="2630"/>
      <c r="H271" s="2630"/>
      <c r="I271" s="2630"/>
      <c r="J271" s="2630"/>
      <c r="K271" s="2593"/>
      <c r="L271" s="2631"/>
      <c r="M271" s="2631"/>
      <c r="N271" s="2631"/>
      <c r="O271" s="2631"/>
      <c r="P271" s="2593"/>
      <c r="Q271" s="2682"/>
      <c r="R271" s="2631"/>
      <c r="S271" s="2631"/>
      <c r="T271" s="2631"/>
      <c r="U271" s="2593"/>
      <c r="V271" s="2682"/>
      <c r="W271" s="2631"/>
      <c r="X271" s="2631"/>
      <c r="Y271" s="2631"/>
      <c r="Z271" s="2593"/>
      <c r="AA271" s="2682"/>
      <c r="AB271" s="2631"/>
      <c r="AC271" s="2631"/>
      <c r="AD271" s="2631"/>
      <c r="AE271" s="2593"/>
      <c r="AF271" s="2682"/>
      <c r="AG271" s="2631"/>
      <c r="AH271" s="2631"/>
      <c r="AI271" s="2631"/>
      <c r="AJ271" s="2593"/>
      <c r="AK271" s="2683"/>
      <c r="AL271" s="2632"/>
      <c r="AM271" s="2632"/>
      <c r="AN271" s="2632"/>
      <c r="AO271" s="2593"/>
      <c r="AP271" s="2683"/>
      <c r="AQ271" s="2632"/>
      <c r="AR271" s="2632"/>
      <c r="AS271" s="2632"/>
      <c r="AT271" s="2593"/>
      <c r="AU271" s="2683"/>
      <c r="AV271" s="2632"/>
      <c r="AW271" s="2632"/>
      <c r="AX271" s="2632"/>
      <c r="AY271" s="2593"/>
      <c r="AZ271" s="2632"/>
      <c r="BA271" s="2632"/>
      <c r="BB271" s="2632"/>
      <c r="BC271" s="2633"/>
      <c r="BD271" s="2593"/>
      <c r="BE271" s="2683"/>
      <c r="BF271" s="2633"/>
      <c r="BG271" s="2632"/>
      <c r="BH271" s="2632"/>
      <c r="BI271" s="2593"/>
      <c r="BJ271" s="2683"/>
      <c r="BK271" s="2633"/>
      <c r="BL271" s="2633"/>
      <c r="BM271" s="2633"/>
      <c r="BN271" s="2593"/>
      <c r="BO271" s="2631"/>
      <c r="BP271" s="2631"/>
      <c r="BQ271" s="2631"/>
      <c r="BR271" s="2631"/>
      <c r="BS271" s="2909"/>
      <c r="BT271" s="2633"/>
      <c r="BU271" s="2633"/>
      <c r="BV271" s="2633"/>
      <c r="BW271" s="2633"/>
      <c r="BX271" s="2593"/>
      <c r="BY271" s="2631"/>
      <c r="BZ271" s="2631"/>
      <c r="CA271" s="2631"/>
      <c r="CB271" s="2631"/>
      <c r="CC271" s="2909"/>
      <c r="CD271" s="2631"/>
      <c r="CE271" s="2631"/>
      <c r="CF271" s="2631"/>
      <c r="CG271" s="2633"/>
      <c r="CH271" s="2593"/>
      <c r="CI271" s="2639"/>
      <c r="CJ271" s="2631"/>
      <c r="CK271" s="2631"/>
      <c r="CL271" s="2631"/>
      <c r="CM271" s="2593"/>
      <c r="CN271" s="2631"/>
      <c r="CO271" s="2631"/>
      <c r="CP271" s="2631"/>
      <c r="CQ271" s="2631"/>
      <c r="CR271" s="2593"/>
      <c r="CS271" s="2631"/>
      <c r="CT271" s="2631"/>
      <c r="CU271" s="2631"/>
      <c r="CV271" s="2631"/>
      <c r="CW271" s="2593"/>
      <c r="CX271" s="2631"/>
      <c r="CY271" s="2631"/>
      <c r="CZ271" s="2631"/>
      <c r="DA271" s="2631"/>
      <c r="DB271" s="2593"/>
      <c r="DC271" s="2631"/>
      <c r="DD271" s="2631"/>
      <c r="DE271" s="2631"/>
      <c r="DF271" s="2631"/>
      <c r="DG271" s="2593"/>
      <c r="DH271" s="2631"/>
      <c r="DI271" s="2631"/>
      <c r="DJ271" s="2631"/>
      <c r="DK271" s="2631"/>
      <c r="DL271" s="2909"/>
      <c r="DM271" s="2631"/>
      <c r="DN271" s="2631"/>
      <c r="DO271" s="2631"/>
      <c r="DP271" s="2631"/>
      <c r="DQ271" s="2909"/>
      <c r="DR271" s="2631"/>
      <c r="DS271" s="2631"/>
      <c r="DT271" s="2631"/>
      <c r="DU271" s="2631"/>
      <c r="DV271" s="2909"/>
      <c r="DW271" s="2631"/>
      <c r="DX271" s="2631"/>
      <c r="DY271" s="2631"/>
      <c r="DZ271" s="2631"/>
      <c r="EA271" s="2909"/>
      <c r="EB271" s="2631"/>
      <c r="EC271" s="2631"/>
      <c r="ED271" s="2631"/>
      <c r="EE271" s="2631"/>
      <c r="EF271" s="2909"/>
      <c r="EG271" s="2631"/>
      <c r="EH271" s="2631"/>
      <c r="EI271" s="2631"/>
      <c r="EJ271" s="2631"/>
      <c r="EK271" s="2909"/>
      <c r="EL271" s="2631"/>
      <c r="EM271" s="2631"/>
      <c r="EN271" s="2631"/>
      <c r="EO271" s="2631"/>
      <c r="EP271" s="2909"/>
      <c r="EQ271" s="2631"/>
      <c r="ER271" s="2631"/>
      <c r="ES271" s="2631"/>
      <c r="ET271" s="2631"/>
      <c r="EU271" s="2909"/>
      <c r="EV271" s="2246"/>
      <c r="EW271" s="2246"/>
      <c r="EX271" s="2246"/>
      <c r="EY271" s="2246"/>
      <c r="EZ271" s="515"/>
      <c r="FA271" s="725"/>
      <c r="FB271" s="725"/>
    </row>
    <row r="272" spans="1:158" s="259" customFormat="1" ht="11.25" hidden="1" customHeight="1" outlineLevel="1" collapsed="1">
      <c r="A272" s="5682" t="s">
        <v>621</v>
      </c>
      <c r="B272" s="2895"/>
      <c r="C272" s="2895"/>
      <c r="D272" s="2895"/>
      <c r="E272" s="2895"/>
      <c r="F272" s="5576"/>
      <c r="G272" s="2895"/>
      <c r="H272" s="2895"/>
      <c r="I272" s="2895"/>
      <c r="J272" s="2895"/>
      <c r="K272" s="3485"/>
      <c r="L272" s="626"/>
      <c r="M272" s="626"/>
      <c r="N272" s="626"/>
      <c r="O272" s="626"/>
      <c r="P272" s="3485"/>
      <c r="Q272" s="3486"/>
      <c r="R272" s="626"/>
      <c r="S272" s="626"/>
      <c r="T272" s="626"/>
      <c r="U272" s="3485"/>
      <c r="V272" s="3486"/>
      <c r="W272" s="626"/>
      <c r="X272" s="626"/>
      <c r="Y272" s="626"/>
      <c r="Z272" s="3485"/>
      <c r="AA272" s="3486"/>
      <c r="AB272" s="626"/>
      <c r="AC272" s="626"/>
      <c r="AD272" s="626"/>
      <c r="AE272" s="3485"/>
      <c r="AF272" s="3486"/>
      <c r="AG272" s="626"/>
      <c r="AH272" s="626"/>
      <c r="AI272" s="626"/>
      <c r="AJ272" s="3485"/>
      <c r="AK272" s="3486"/>
      <c r="AL272" s="626"/>
      <c r="AM272" s="626"/>
      <c r="AN272" s="626"/>
      <c r="AO272" s="3485"/>
      <c r="AP272" s="3475"/>
      <c r="AQ272" s="3474"/>
      <c r="AR272" s="3474"/>
      <c r="AS272" s="3474"/>
      <c r="AT272" s="3473"/>
      <c r="AU272" s="3475"/>
      <c r="AV272" s="3474"/>
      <c r="AW272" s="3474"/>
      <c r="AX272" s="3474"/>
      <c r="AY272" s="3473"/>
      <c r="AZ272" s="3475"/>
      <c r="BA272" s="3474"/>
      <c r="BB272" s="3474"/>
      <c r="BC272" s="3474"/>
      <c r="BD272" s="3473"/>
      <c r="BE272" s="3475"/>
      <c r="BF272" s="3474"/>
      <c r="BG272" s="3474"/>
      <c r="BH272" s="3474"/>
      <c r="BI272" s="3473"/>
      <c r="BJ272" s="3475"/>
      <c r="BK272" s="3474"/>
      <c r="BL272" s="3474"/>
      <c r="BM272" s="3474"/>
      <c r="BN272" s="3473"/>
      <c r="BO272" s="3474"/>
      <c r="BP272" s="3474"/>
      <c r="BQ272" s="3474"/>
      <c r="BR272" s="3474"/>
      <c r="BS272" s="3473"/>
      <c r="BT272" s="3474"/>
      <c r="BU272" s="3474"/>
      <c r="BV272" s="3474"/>
      <c r="BW272" s="3474"/>
      <c r="BX272" s="3473"/>
      <c r="BY272" s="3474"/>
      <c r="BZ272" s="3474"/>
      <c r="CA272" s="3474"/>
      <c r="CB272" s="3474"/>
      <c r="CC272" s="3473"/>
      <c r="CD272" s="3474"/>
      <c r="CE272" s="3474"/>
      <c r="CF272" s="3474"/>
      <c r="CG272" s="3474"/>
      <c r="CH272" s="3473"/>
      <c r="CI272" s="3474"/>
      <c r="CJ272" s="3474"/>
      <c r="CK272" s="3474"/>
      <c r="CL272" s="3474"/>
      <c r="CM272" s="3487">
        <v>8169</v>
      </c>
      <c r="CN272" s="3474"/>
      <c r="CO272" s="3474"/>
      <c r="CP272" s="3474"/>
      <c r="CQ272" s="3474"/>
      <c r="CR272" s="3488">
        <f t="shared" ref="CR272:CX272" si="1040">CR264-CR270</f>
        <v>9564</v>
      </c>
      <c r="CS272" s="3474">
        <f>CS264-CS270</f>
        <v>2772</v>
      </c>
      <c r="CT272" s="3474">
        <f t="shared" si="1040"/>
        <v>2900</v>
      </c>
      <c r="CU272" s="3474">
        <f t="shared" si="1040"/>
        <v>3248</v>
      </c>
      <c r="CV272" s="3474">
        <f t="shared" si="1040"/>
        <v>3608</v>
      </c>
      <c r="CW272" s="3488">
        <f>SUM(CS272:CV272)</f>
        <v>12528</v>
      </c>
      <c r="CX272" s="3474">
        <f t="shared" si="1040"/>
        <v>3560</v>
      </c>
      <c r="CY272" s="3474">
        <f>CY264-CY270</f>
        <v>3719</v>
      </c>
      <c r="CZ272" s="3474">
        <f>CZ264-CZ270</f>
        <v>4217</v>
      </c>
      <c r="DA272" s="3468">
        <f>DA264-DA270</f>
        <v>4696</v>
      </c>
      <c r="DB272" s="3488">
        <f>SUM(CX272:DA272)</f>
        <v>16192</v>
      </c>
      <c r="DC272" s="3474">
        <f>DC264-DC270</f>
        <v>4819</v>
      </c>
      <c r="DD272" s="3474">
        <f>DD264-DD270</f>
        <v>5090</v>
      </c>
      <c r="DE272" s="3474">
        <f>DE264-DE270</f>
        <v>5401</v>
      </c>
      <c r="DF272" s="4461">
        <f>DF264</f>
        <v>6031</v>
      </c>
      <c r="DG272" s="3488">
        <f>SUM(DC272:DF272)</f>
        <v>21341</v>
      </c>
      <c r="DH272" s="3474"/>
      <c r="DI272" s="3474"/>
      <c r="DJ272" s="3474"/>
      <c r="DK272" s="3489"/>
      <c r="DL272" s="3488"/>
      <c r="DM272" s="3489"/>
      <c r="DN272" s="3489"/>
      <c r="DO272" s="3489"/>
      <c r="DP272" s="3489"/>
      <c r="DQ272" s="3488"/>
      <c r="DR272" s="3489"/>
      <c r="DS272" s="3489"/>
      <c r="DT272" s="3489"/>
      <c r="DU272" s="3489"/>
      <c r="DV272" s="3488"/>
      <c r="DW272" s="3489"/>
      <c r="DX272" s="3489"/>
      <c r="DY272" s="3489"/>
      <c r="DZ272" s="3489"/>
      <c r="EA272" s="3488"/>
      <c r="EB272" s="3489"/>
      <c r="EC272" s="3489"/>
      <c r="ED272" s="3489"/>
      <c r="EE272" s="3489"/>
      <c r="EF272" s="3488"/>
      <c r="EG272" s="3489"/>
      <c r="EH272" s="3489"/>
      <c r="EI272" s="3489"/>
      <c r="EJ272" s="3489"/>
      <c r="EK272" s="3488"/>
      <c r="EL272" s="3489"/>
      <c r="EM272" s="3489"/>
      <c r="EN272" s="3489"/>
      <c r="EO272" s="3489"/>
      <c r="EP272" s="3488"/>
      <c r="EQ272" s="3489"/>
      <c r="ER272" s="3489"/>
      <c r="ES272" s="3489"/>
      <c r="ET272" s="3489"/>
      <c r="EU272" s="3488"/>
      <c r="EV272" s="3470"/>
      <c r="EW272" s="3470"/>
      <c r="EX272" s="3470"/>
      <c r="EY272" s="3470"/>
      <c r="EZ272" s="217"/>
      <c r="FA272" s="1319"/>
      <c r="FB272" s="1319"/>
    </row>
    <row r="273" spans="1:158" s="239" customFormat="1" ht="11.25" hidden="1" customHeight="1" outlineLevel="1">
      <c r="A273" s="5639" t="s">
        <v>616</v>
      </c>
      <c r="B273" s="2612"/>
      <c r="C273" s="2612"/>
      <c r="D273" s="2612"/>
      <c r="E273" s="2612"/>
      <c r="F273" s="4304"/>
      <c r="G273" s="2612"/>
      <c r="H273" s="2612"/>
      <c r="I273" s="2612"/>
      <c r="J273" s="2612"/>
      <c r="K273" s="1020"/>
      <c r="L273" s="223"/>
      <c r="M273" s="223"/>
      <c r="N273" s="223"/>
      <c r="O273" s="223"/>
      <c r="P273" s="1020"/>
      <c r="Q273" s="2581"/>
      <c r="R273" s="223"/>
      <c r="S273" s="223"/>
      <c r="T273" s="223"/>
      <c r="U273" s="1020"/>
      <c r="V273" s="2581"/>
      <c r="W273" s="223"/>
      <c r="X273" s="223"/>
      <c r="Y273" s="223"/>
      <c r="Z273" s="1020"/>
      <c r="AA273" s="2581"/>
      <c r="AB273" s="223"/>
      <c r="AC273" s="223"/>
      <c r="AD273" s="223"/>
      <c r="AE273" s="1020"/>
      <c r="AF273" s="2581"/>
      <c r="AG273" s="223"/>
      <c r="AH273" s="223"/>
      <c r="AI273" s="223"/>
      <c r="AJ273" s="1020"/>
      <c r="AK273" s="2581"/>
      <c r="AL273" s="223"/>
      <c r="AM273" s="223"/>
      <c r="AN273" s="223"/>
      <c r="AO273" s="1020"/>
      <c r="AP273" s="2611"/>
      <c r="AQ273" s="2612"/>
      <c r="AR273" s="2612"/>
      <c r="AS273" s="2612"/>
      <c r="AT273" s="2594"/>
      <c r="AU273" s="2611"/>
      <c r="AV273" s="2612"/>
      <c r="AW273" s="2612"/>
      <c r="AX273" s="2612"/>
      <c r="AY273" s="2594"/>
      <c r="AZ273" s="2611"/>
      <c r="BA273" s="2612"/>
      <c r="BB273" s="2612"/>
      <c r="BC273" s="2612"/>
      <c r="BD273" s="2594"/>
      <c r="BE273" s="2611"/>
      <c r="BF273" s="2612"/>
      <c r="BG273" s="2612"/>
      <c r="BH273" s="2612"/>
      <c r="BI273" s="2594"/>
      <c r="BJ273" s="2611"/>
      <c r="BK273" s="2612"/>
      <c r="BL273" s="2612"/>
      <c r="BM273" s="2612"/>
      <c r="BN273" s="2594"/>
      <c r="BO273" s="2623"/>
      <c r="BP273" s="2623"/>
      <c r="BQ273" s="2623"/>
      <c r="BR273" s="2623"/>
      <c r="BS273" s="1929"/>
      <c r="BT273" s="2612"/>
      <c r="BU273" s="2612"/>
      <c r="BV273" s="2612"/>
      <c r="BW273" s="2612"/>
      <c r="BX273" s="2594"/>
      <c r="BY273" s="2623"/>
      <c r="BZ273" s="2623"/>
      <c r="CA273" s="2623"/>
      <c r="CB273" s="2623"/>
      <c r="CC273" s="1929"/>
      <c r="CD273" s="2612"/>
      <c r="CE273" s="2612"/>
      <c r="CF273" s="2612"/>
      <c r="CG273" s="2612"/>
      <c r="CH273" s="2594"/>
      <c r="CI273" s="2612"/>
      <c r="CJ273" s="2612"/>
      <c r="CK273" s="2612"/>
      <c r="CL273" s="2612"/>
      <c r="CM273" s="2594"/>
      <c r="CN273" s="2612"/>
      <c r="CO273" s="2612"/>
      <c r="CP273" s="2612"/>
      <c r="CQ273" s="2612"/>
      <c r="CR273" s="2594"/>
      <c r="CS273" s="2660"/>
      <c r="CT273" s="2660"/>
      <c r="CU273" s="2660"/>
      <c r="CV273" s="2660"/>
      <c r="CW273" s="2588">
        <f t="shared" ref="CW273:DF273" si="1041">CW272/CR272-1</f>
        <v>0.30991217063989973</v>
      </c>
      <c r="CX273" s="2612">
        <f t="shared" si="1041"/>
        <v>0.28427128427128423</v>
      </c>
      <c r="CY273" s="2612">
        <f t="shared" si="1041"/>
        <v>0.28241379310344827</v>
      </c>
      <c r="CZ273" s="2612">
        <f t="shared" si="1041"/>
        <v>0.29833743842364524</v>
      </c>
      <c r="DA273" s="2612">
        <f t="shared" si="1041"/>
        <v>0.30155210643015518</v>
      </c>
      <c r="DB273" s="2588">
        <f t="shared" si="1041"/>
        <v>0.29246487867177517</v>
      </c>
      <c r="DC273" s="2612">
        <f t="shared" si="1041"/>
        <v>0.35365168539325853</v>
      </c>
      <c r="DD273" s="2612">
        <f t="shared" si="1041"/>
        <v>0.36864748588330198</v>
      </c>
      <c r="DE273" s="2612">
        <f t="shared" si="1041"/>
        <v>0.28076831870998342</v>
      </c>
      <c r="DF273" s="2612">
        <f t="shared" si="1041"/>
        <v>0.28428449744463369</v>
      </c>
      <c r="DG273" s="2588">
        <f>DG272/DB272-1</f>
        <v>0.31799654150197632</v>
      </c>
      <c r="DH273" s="2612"/>
      <c r="DI273" s="2612"/>
      <c r="DJ273" s="2612"/>
      <c r="DK273" s="2628"/>
      <c r="DL273" s="2588"/>
      <c r="DM273" s="2628"/>
      <c r="DN273" s="2628"/>
      <c r="DO273" s="2628"/>
      <c r="DP273" s="2628"/>
      <c r="DQ273" s="2588"/>
      <c r="DR273" s="2628"/>
      <c r="DS273" s="2628"/>
      <c r="DT273" s="2628"/>
      <c r="DU273" s="2628"/>
      <c r="DV273" s="2588"/>
      <c r="DW273" s="2628"/>
      <c r="DX273" s="2628"/>
      <c r="DY273" s="2628"/>
      <c r="DZ273" s="2628"/>
      <c r="EA273" s="2588"/>
      <c r="EB273" s="2628"/>
      <c r="EC273" s="2628"/>
      <c r="ED273" s="2628"/>
      <c r="EE273" s="2628"/>
      <c r="EF273" s="2588"/>
      <c r="EG273" s="2628"/>
      <c r="EH273" s="2628"/>
      <c r="EI273" s="2628"/>
      <c r="EJ273" s="2628"/>
      <c r="EK273" s="2588"/>
      <c r="EL273" s="2628"/>
      <c r="EM273" s="2628"/>
      <c r="EN273" s="2628"/>
      <c r="EO273" s="2628"/>
      <c r="EP273" s="2588"/>
      <c r="EQ273" s="2628"/>
      <c r="ER273" s="2628"/>
      <c r="ES273" s="2628"/>
      <c r="ET273" s="2628"/>
      <c r="EU273" s="2588"/>
      <c r="EV273" s="4004"/>
      <c r="EW273" s="4004"/>
      <c r="EX273" s="4004"/>
      <c r="EY273" s="4004"/>
      <c r="EZ273" s="223"/>
      <c r="FA273" s="725"/>
      <c r="FB273" s="725"/>
    </row>
    <row r="274" spans="1:158" s="249" customFormat="1" ht="11.25" hidden="1" customHeight="1" outlineLevel="1">
      <c r="A274" s="5639" t="s">
        <v>617</v>
      </c>
      <c r="B274" s="185"/>
      <c r="C274" s="185"/>
      <c r="D274" s="185"/>
      <c r="E274" s="185"/>
      <c r="F274" s="5569"/>
      <c r="G274" s="185"/>
      <c r="H274" s="185"/>
      <c r="I274" s="185"/>
      <c r="J274" s="185"/>
      <c r="K274" s="1505"/>
      <c r="L274" s="185"/>
      <c r="M274" s="185"/>
      <c r="N274" s="185"/>
      <c r="O274" s="185"/>
      <c r="P274" s="1020"/>
      <c r="Q274" s="2605"/>
      <c r="R274" s="185"/>
      <c r="S274" s="185"/>
      <c r="T274" s="185"/>
      <c r="U274" s="1020"/>
      <c r="V274" s="2581"/>
      <c r="W274" s="223"/>
      <c r="X274" s="223"/>
      <c r="Y274" s="223"/>
      <c r="Z274" s="1020"/>
      <c r="AA274" s="2581"/>
      <c r="AB274" s="223"/>
      <c r="AC274" s="223"/>
      <c r="AD274" s="223"/>
      <c r="AE274" s="1020"/>
      <c r="AF274" s="2581"/>
      <c r="AG274" s="223"/>
      <c r="AH274" s="223"/>
      <c r="AI274" s="223"/>
      <c r="AJ274" s="1020"/>
      <c r="AK274" s="2581"/>
      <c r="AL274" s="223"/>
      <c r="AM274" s="223"/>
      <c r="AN274" s="223"/>
      <c r="AO274" s="1020"/>
      <c r="AP274" s="2581"/>
      <c r="AQ274" s="223"/>
      <c r="AR274" s="223"/>
      <c r="AS274" s="223"/>
      <c r="AT274" s="1020"/>
      <c r="AU274" s="2581"/>
      <c r="AV274" s="223"/>
      <c r="AW274" s="223"/>
      <c r="AX274" s="223"/>
      <c r="AY274" s="1020"/>
      <c r="AZ274" s="2581"/>
      <c r="BA274" s="223"/>
      <c r="BB274" s="223"/>
      <c r="BC274" s="223"/>
      <c r="BD274" s="1020"/>
      <c r="BE274" s="2581"/>
      <c r="BF274" s="223"/>
      <c r="BG274" s="223"/>
      <c r="BH274" s="223"/>
      <c r="BI274" s="1020"/>
      <c r="BJ274" s="2581"/>
      <c r="BK274" s="223"/>
      <c r="BL274" s="223"/>
      <c r="BM274" s="223"/>
      <c r="BN274" s="1020"/>
      <c r="BO274" s="223"/>
      <c r="BP274" s="223"/>
      <c r="BQ274" s="223"/>
      <c r="BR274" s="223"/>
      <c r="BS274" s="1931"/>
      <c r="BT274" s="223"/>
      <c r="BU274" s="223"/>
      <c r="BV274" s="223"/>
      <c r="BW274" s="223"/>
      <c r="BX274" s="1020"/>
      <c r="BY274" s="223"/>
      <c r="BZ274" s="223"/>
      <c r="CA274" s="223"/>
      <c r="CB274" s="223"/>
      <c r="CC274" s="1931"/>
      <c r="CD274" s="223"/>
      <c r="CE274" s="223"/>
      <c r="CF274" s="223"/>
      <c r="CG274" s="223"/>
      <c r="CH274" s="1020"/>
      <c r="CI274" s="560"/>
      <c r="CJ274" s="223"/>
      <c r="CK274" s="223"/>
      <c r="CL274" s="223"/>
      <c r="CM274" s="1020"/>
      <c r="CN274" s="223"/>
      <c r="CO274" s="223"/>
      <c r="CP274" s="223"/>
      <c r="CQ274" s="223"/>
      <c r="CR274" s="1020"/>
      <c r="CS274" s="2007"/>
      <c r="CT274" s="223">
        <f>CT272/CS272-1</f>
        <v>4.6176046176046093E-2</v>
      </c>
      <c r="CU274" s="223">
        <f>CU272/CT272-1</f>
        <v>0.12000000000000011</v>
      </c>
      <c r="CV274" s="223">
        <f>CV272/CU272-1</f>
        <v>0.11083743842364524</v>
      </c>
      <c r="CW274" s="1020"/>
      <c r="CX274" s="223">
        <f>CX272/CV272-1</f>
        <v>-1.3303769401330379E-2</v>
      </c>
      <c r="CY274" s="223">
        <f>CY272/CX272-1</f>
        <v>4.466292134831451E-2</v>
      </c>
      <c r="CZ274" s="223">
        <f>CZ272/CY272-1</f>
        <v>0.13390696423769821</v>
      </c>
      <c r="DA274" s="223">
        <f>DA272/CZ272-1</f>
        <v>0.11358785866729892</v>
      </c>
      <c r="DB274" s="1020"/>
      <c r="DC274" s="223">
        <f>DC272/DA272-1</f>
        <v>2.6192504258943705E-2</v>
      </c>
      <c r="DD274" s="223">
        <f>DD272/DC272-1</f>
        <v>5.6235733554679479E-2</v>
      </c>
      <c r="DE274" s="223">
        <f>DE272/DD272-1</f>
        <v>6.1100196463654166E-2</v>
      </c>
      <c r="DF274" s="223">
        <f>DF272/DE272-1</f>
        <v>0.1166450657285687</v>
      </c>
      <c r="DG274" s="1020"/>
      <c r="DH274" s="223"/>
      <c r="DI274" s="223"/>
      <c r="DJ274" s="223"/>
      <c r="DK274" s="223"/>
      <c r="DL274" s="1020"/>
      <c r="DM274" s="223"/>
      <c r="DN274" s="223"/>
      <c r="DO274" s="223"/>
      <c r="DP274" s="223"/>
      <c r="DQ274" s="1020"/>
      <c r="DR274" s="223"/>
      <c r="DS274" s="223"/>
      <c r="DT274" s="223"/>
      <c r="DU274" s="223"/>
      <c r="DV274" s="1020"/>
      <c r="DW274" s="223"/>
      <c r="DX274" s="223"/>
      <c r="DY274" s="223"/>
      <c r="DZ274" s="223"/>
      <c r="EA274" s="1020"/>
      <c r="EB274" s="223"/>
      <c r="EC274" s="223"/>
      <c r="ED274" s="223"/>
      <c r="EE274" s="223"/>
      <c r="EF274" s="1020"/>
      <c r="EG274" s="223"/>
      <c r="EH274" s="223"/>
      <c r="EI274" s="223"/>
      <c r="EJ274" s="223"/>
      <c r="EK274" s="1020"/>
      <c r="EL274" s="223"/>
      <c r="EM274" s="223"/>
      <c r="EN274" s="223"/>
      <c r="EO274" s="223"/>
      <c r="EP274" s="1020"/>
      <c r="EQ274" s="223"/>
      <c r="ER274" s="223"/>
      <c r="ES274" s="223"/>
      <c r="ET274" s="223"/>
      <c r="EU274" s="1020"/>
      <c r="EV274" s="1050"/>
      <c r="EW274" s="1050"/>
      <c r="EX274" s="1050"/>
      <c r="EY274" s="1050"/>
      <c r="EZ274" s="185"/>
      <c r="FA274" s="725"/>
      <c r="FB274" s="725"/>
    </row>
    <row r="275" spans="1:158" s="211" customFormat="1" ht="11.25" hidden="1" customHeight="1" outlineLevel="1">
      <c r="A275" s="5683" t="s">
        <v>613</v>
      </c>
      <c r="B275" s="2612"/>
      <c r="C275" s="2612"/>
      <c r="D275" s="2612"/>
      <c r="E275" s="2612"/>
      <c r="F275" s="4303"/>
      <c r="G275" s="2612"/>
      <c r="H275" s="2612"/>
      <c r="I275" s="2612"/>
      <c r="J275" s="2612"/>
      <c r="K275" s="1019"/>
      <c r="L275" s="209"/>
      <c r="M275" s="209"/>
      <c r="N275" s="209"/>
      <c r="O275" s="209"/>
      <c r="P275" s="1019"/>
      <c r="Q275" s="2576"/>
      <c r="R275" s="209"/>
      <c r="S275" s="209"/>
      <c r="T275" s="209"/>
      <c r="U275" s="1019"/>
      <c r="V275" s="2576"/>
      <c r="W275" s="209"/>
      <c r="X275" s="209"/>
      <c r="Y275" s="209"/>
      <c r="Z275" s="1019"/>
      <c r="AA275" s="2576"/>
      <c r="AB275" s="209"/>
      <c r="AC275" s="209"/>
      <c r="AD275" s="209"/>
      <c r="AE275" s="1019"/>
      <c r="AF275" s="2576"/>
      <c r="AG275" s="209"/>
      <c r="AH275" s="209"/>
      <c r="AI275" s="209"/>
      <c r="AJ275" s="1019"/>
      <c r="AK275" s="2576"/>
      <c r="AL275" s="209"/>
      <c r="AM275" s="209"/>
      <c r="AN275" s="209"/>
      <c r="AO275" s="1019"/>
      <c r="AP275" s="2655"/>
      <c r="AQ275" s="2606"/>
      <c r="AR275" s="2606"/>
      <c r="AS275" s="2606"/>
      <c r="AT275" s="2590"/>
      <c r="AU275" s="2655"/>
      <c r="AV275" s="2606"/>
      <c r="AW275" s="2606"/>
      <c r="AX275" s="2606"/>
      <c r="AY275" s="2590"/>
      <c r="AZ275" s="2655"/>
      <c r="BA275" s="2606"/>
      <c r="BB275" s="2606"/>
      <c r="BC275" s="2606"/>
      <c r="BD275" s="2590"/>
      <c r="BE275" s="2655"/>
      <c r="BF275" s="2606"/>
      <c r="BG275" s="2606"/>
      <c r="BH275" s="2606"/>
      <c r="BI275" s="2590"/>
      <c r="BJ275" s="2655"/>
      <c r="BK275" s="2606"/>
      <c r="BL275" s="2606"/>
      <c r="BM275" s="2606"/>
      <c r="BN275" s="2590"/>
      <c r="BO275" s="2606"/>
      <c r="BP275" s="2606"/>
      <c r="BQ275" s="2606"/>
      <c r="BR275" s="2606"/>
      <c r="BS275" s="1932"/>
      <c r="BT275" s="2606"/>
      <c r="BU275" s="2606"/>
      <c r="BV275" s="2606"/>
      <c r="BW275" s="2606"/>
      <c r="BX275" s="2590"/>
      <c r="BY275" s="2606"/>
      <c r="BZ275" s="2606"/>
      <c r="CA275" s="2606"/>
      <c r="CB275" s="2606"/>
      <c r="CC275" s="1932"/>
      <c r="CD275" s="2606"/>
      <c r="CE275" s="2606"/>
      <c r="CF275" s="2606"/>
      <c r="CG275" s="2606"/>
      <c r="CH275" s="2590"/>
      <c r="CI275" s="2606"/>
      <c r="CJ275" s="2606"/>
      <c r="CK275" s="2606"/>
      <c r="CL275" s="2606"/>
      <c r="CM275" s="2590"/>
      <c r="CN275" s="2606"/>
      <c r="CO275" s="2606"/>
      <c r="CP275" s="2606"/>
      <c r="CQ275" s="2606"/>
      <c r="CR275" s="2590"/>
      <c r="CS275" s="2606"/>
      <c r="CT275" s="2606"/>
      <c r="CU275" s="2606"/>
      <c r="CV275" s="2606"/>
      <c r="CW275" s="2590">
        <f>(CW265-CW273)*10000</f>
        <v>-396.5830192340336</v>
      </c>
      <c r="CX275" s="2606">
        <f>(CX265-CX273)*10000</f>
        <v>86.904877901663454</v>
      </c>
      <c r="CY275" s="2606">
        <f>(CY265-CY273)*10000</f>
        <v>20.21468604540777</v>
      </c>
      <c r="CZ275" s="2606">
        <f>(CZ265-CZ273)*10000</f>
        <v>-55.418719211821625</v>
      </c>
      <c r="DA275" s="2606">
        <f t="shared" ref="DA275:DF275" si="1042">(DA265-DA273)*10000</f>
        <v>-24.944567627493974</v>
      </c>
      <c r="DB275" s="2590">
        <f t="shared" si="1042"/>
        <v>2.3358458166855556</v>
      </c>
      <c r="DC275" s="2606">
        <f>(DC265-DC273)*10000</f>
        <v>-262.13166465377969</v>
      </c>
      <c r="DD275" s="2606">
        <f>(DD265-DD273)*10000</f>
        <v>-40.362258296826603</v>
      </c>
      <c r="DE275" s="2606">
        <f t="shared" si="1042"/>
        <v>109.67808939456924</v>
      </c>
      <c r="DF275" s="2606">
        <f t="shared" si="1042"/>
        <v>24.660892846173343</v>
      </c>
      <c r="DG275" s="2590">
        <f>(DG265-DG273)*10000</f>
        <v>-29.980813849452836</v>
      </c>
      <c r="DH275" s="2606"/>
      <c r="DI275" s="2606"/>
      <c r="DJ275" s="2606"/>
      <c r="DK275" s="2606"/>
      <c r="DL275" s="2590"/>
      <c r="DM275" s="2606"/>
      <c r="DN275" s="2606"/>
      <c r="DO275" s="2606"/>
      <c r="DP275" s="2606"/>
      <c r="DQ275" s="2590"/>
      <c r="DR275" s="2606"/>
      <c r="DS275" s="2606"/>
      <c r="DT275" s="2606"/>
      <c r="DU275" s="2606"/>
      <c r="DV275" s="2590"/>
      <c r="DW275" s="2606"/>
      <c r="DX275" s="2606"/>
      <c r="DY275" s="2606"/>
      <c r="DZ275" s="2606"/>
      <c r="EA275" s="2590"/>
      <c r="EB275" s="2606"/>
      <c r="EC275" s="2606"/>
      <c r="ED275" s="2606"/>
      <c r="EE275" s="2606"/>
      <c r="EF275" s="2590"/>
      <c r="EG275" s="2606"/>
      <c r="EH275" s="2606"/>
      <c r="EI275" s="2606"/>
      <c r="EJ275" s="2606"/>
      <c r="EK275" s="2590"/>
      <c r="EL275" s="2606"/>
      <c r="EM275" s="2606"/>
      <c r="EN275" s="2606"/>
      <c r="EO275" s="2606"/>
      <c r="EP275" s="2590"/>
      <c r="EQ275" s="2606"/>
      <c r="ER275" s="2606"/>
      <c r="ES275" s="2606"/>
      <c r="ET275" s="2606"/>
      <c r="EU275" s="2590"/>
      <c r="EV275" s="2590"/>
      <c r="EW275" s="2590"/>
      <c r="EX275" s="2590"/>
      <c r="EY275" s="2590"/>
      <c r="EZ275" s="209"/>
      <c r="FA275" s="725"/>
      <c r="FB275" s="725"/>
    </row>
    <row r="276" spans="1:158" s="211" customFormat="1" ht="11.25" hidden="1" customHeight="1" outlineLevel="1">
      <c r="A276" s="3560"/>
      <c r="B276" s="2612"/>
      <c r="C276" s="2612"/>
      <c r="D276" s="2612"/>
      <c r="E276" s="2612"/>
      <c r="F276" s="4303"/>
      <c r="G276" s="2612"/>
      <c r="H276" s="2612"/>
      <c r="I276" s="2612"/>
      <c r="J276" s="2612"/>
      <c r="K276" s="1019"/>
      <c r="L276" s="209"/>
      <c r="M276" s="209"/>
      <c r="N276" s="209"/>
      <c r="O276" s="209"/>
      <c r="P276" s="1019"/>
      <c r="Q276" s="2576"/>
      <c r="R276" s="209"/>
      <c r="S276" s="209"/>
      <c r="T276" s="209"/>
      <c r="U276" s="1019"/>
      <c r="V276" s="2576"/>
      <c r="W276" s="209"/>
      <c r="X276" s="209"/>
      <c r="Y276" s="209"/>
      <c r="Z276" s="1019"/>
      <c r="AA276" s="2576"/>
      <c r="AB276" s="209"/>
      <c r="AC276" s="209"/>
      <c r="AD276" s="209"/>
      <c r="AE276" s="1019"/>
      <c r="AF276" s="2576"/>
      <c r="AG276" s="209"/>
      <c r="AH276" s="209"/>
      <c r="AI276" s="209"/>
      <c r="AJ276" s="1019"/>
      <c r="AK276" s="2576"/>
      <c r="AL276" s="209"/>
      <c r="AM276" s="209"/>
      <c r="AN276" s="209"/>
      <c r="AO276" s="1019"/>
      <c r="AP276" s="2576"/>
      <c r="AQ276" s="209"/>
      <c r="AR276" s="209"/>
      <c r="AS276" s="209"/>
      <c r="AT276" s="1019"/>
      <c r="AU276" s="2576"/>
      <c r="AV276" s="209"/>
      <c r="AW276" s="209"/>
      <c r="AX276" s="209"/>
      <c r="AY276" s="1019"/>
      <c r="AZ276" s="2576"/>
      <c r="BA276" s="209"/>
      <c r="BB276" s="209"/>
      <c r="BC276" s="209"/>
      <c r="BD276" s="1019"/>
      <c r="BE276" s="2576"/>
      <c r="BF276" s="209"/>
      <c r="BG276" s="209"/>
      <c r="BH276" s="209"/>
      <c r="BI276" s="1019"/>
      <c r="BJ276" s="2576"/>
      <c r="BK276" s="209"/>
      <c r="BL276" s="209"/>
      <c r="BM276" s="209"/>
      <c r="BN276" s="1019"/>
      <c r="BO276" s="209"/>
      <c r="BP276" s="209"/>
      <c r="BQ276" s="209"/>
      <c r="BR276" s="209"/>
      <c r="BS276" s="1933"/>
      <c r="BT276" s="209"/>
      <c r="BU276" s="209"/>
      <c r="BV276" s="209"/>
      <c r="BW276" s="209"/>
      <c r="BX276" s="1019"/>
      <c r="BY276" s="209"/>
      <c r="BZ276" s="209"/>
      <c r="CA276" s="209"/>
      <c r="CB276" s="209"/>
      <c r="CC276" s="1933"/>
      <c r="CD276" s="209"/>
      <c r="CE276" s="209"/>
      <c r="CF276" s="209"/>
      <c r="CG276" s="209"/>
      <c r="CH276" s="1019"/>
      <c r="CI276" s="209"/>
      <c r="CJ276" s="209"/>
      <c r="CK276" s="209"/>
      <c r="CL276" s="209"/>
      <c r="CM276" s="1019"/>
      <c r="CN276" s="209"/>
      <c r="CO276" s="209"/>
      <c r="CP276" s="209"/>
      <c r="CQ276" s="209"/>
      <c r="CR276" s="1019"/>
      <c r="CS276" s="209"/>
      <c r="CT276" s="209"/>
      <c r="CU276" s="209"/>
      <c r="CV276" s="209"/>
      <c r="CW276" s="1019"/>
      <c r="CX276" s="209"/>
      <c r="CY276" s="209"/>
      <c r="CZ276" s="209"/>
      <c r="DA276" s="209"/>
      <c r="DB276" s="1019"/>
      <c r="DC276" s="209"/>
      <c r="DD276" s="209"/>
      <c r="DE276" s="209"/>
      <c r="DF276" s="209"/>
      <c r="DG276" s="1019"/>
      <c r="DH276" s="209"/>
      <c r="DI276" s="209"/>
      <c r="DJ276" s="209"/>
      <c r="DK276" s="209"/>
      <c r="DL276" s="1933"/>
      <c r="DM276" s="209"/>
      <c r="DN276" s="209"/>
      <c r="DO276" s="209"/>
      <c r="DP276" s="209"/>
      <c r="DQ276" s="1933"/>
      <c r="DR276" s="209"/>
      <c r="DS276" s="209"/>
      <c r="DT276" s="209"/>
      <c r="DU276" s="209"/>
      <c r="DV276" s="1933"/>
      <c r="DW276" s="209"/>
      <c r="DX276" s="209"/>
      <c r="DY276" s="209"/>
      <c r="DZ276" s="209"/>
      <c r="EA276" s="1933"/>
      <c r="EB276" s="209"/>
      <c r="EC276" s="209"/>
      <c r="ED276" s="209"/>
      <c r="EE276" s="209"/>
      <c r="EF276" s="1933"/>
      <c r="EG276" s="209"/>
      <c r="EH276" s="209"/>
      <c r="EI276" s="209"/>
      <c r="EJ276" s="209"/>
      <c r="EK276" s="1933"/>
      <c r="EL276" s="209"/>
      <c r="EM276" s="209"/>
      <c r="EN276" s="209"/>
      <c r="EO276" s="209"/>
      <c r="EP276" s="1933"/>
      <c r="EQ276" s="209"/>
      <c r="ER276" s="209"/>
      <c r="ES276" s="209"/>
      <c r="ET276" s="209"/>
      <c r="EU276" s="1933"/>
      <c r="EV276" s="1019"/>
      <c r="EW276" s="1019"/>
      <c r="EX276" s="1019"/>
      <c r="EY276" s="1019"/>
      <c r="EZ276" s="209"/>
      <c r="FA276" s="725"/>
      <c r="FB276" s="725"/>
    </row>
    <row r="277" spans="1:158" s="252" customFormat="1" ht="11.25" customHeight="1" collapsed="1">
      <c r="A277" s="5684" t="s">
        <v>723</v>
      </c>
      <c r="B277" s="3480"/>
      <c r="C277" s="3480"/>
      <c r="D277" s="3480"/>
      <c r="E277" s="3480"/>
      <c r="F277" s="5571"/>
      <c r="G277" s="3480"/>
      <c r="H277" s="3480"/>
      <c r="I277" s="3480"/>
      <c r="J277" s="3480"/>
      <c r="K277" s="3481"/>
      <c r="L277" s="3482"/>
      <c r="M277" s="3482"/>
      <c r="N277" s="3482"/>
      <c r="O277" s="3482"/>
      <c r="P277" s="3481"/>
      <c r="Q277" s="3483"/>
      <c r="R277" s="3482"/>
      <c r="S277" s="3482"/>
      <c r="T277" s="3482"/>
      <c r="U277" s="3481"/>
      <c r="V277" s="3483"/>
      <c r="W277" s="3482"/>
      <c r="X277" s="3482"/>
      <c r="Y277" s="3482"/>
      <c r="Z277" s="3481"/>
      <c r="AA277" s="3483"/>
      <c r="AB277" s="3482"/>
      <c r="AC277" s="3482"/>
      <c r="AD277" s="3482"/>
      <c r="AE277" s="3481"/>
      <c r="AF277" s="3483"/>
      <c r="AG277" s="3482"/>
      <c r="AH277" s="3482"/>
      <c r="AI277" s="3482"/>
      <c r="AJ277" s="3481"/>
      <c r="AK277" s="2985"/>
      <c r="AL277" s="2985"/>
      <c r="AM277" s="2985"/>
      <c r="AN277" s="2985"/>
      <c r="AO277" s="3481"/>
      <c r="AP277" s="3471"/>
      <c r="AQ277" s="2985"/>
      <c r="AR277" s="2985"/>
      <c r="AS277" s="2985"/>
      <c r="AT277" s="3481"/>
      <c r="AU277" s="3483"/>
      <c r="AV277" s="3482"/>
      <c r="AW277" s="3482"/>
      <c r="AX277" s="3482"/>
      <c r="AY277" s="3481"/>
      <c r="AZ277" s="3483"/>
      <c r="BA277" s="3482"/>
      <c r="BB277" s="3482"/>
      <c r="BC277" s="3482"/>
      <c r="BD277" s="3481"/>
      <c r="BE277" s="3483"/>
      <c r="BF277" s="3482"/>
      <c r="BG277" s="3482"/>
      <c r="BH277" s="3482"/>
      <c r="BI277" s="3481"/>
      <c r="BJ277" s="3483"/>
      <c r="BK277" s="3482"/>
      <c r="BL277" s="3482"/>
      <c r="BM277" s="3482"/>
      <c r="BN277" s="3481"/>
      <c r="BO277" s="3482"/>
      <c r="BP277" s="3482"/>
      <c r="BQ277" s="3482"/>
      <c r="BR277" s="3482"/>
      <c r="BS277" s="3484"/>
      <c r="BT277" s="3482"/>
      <c r="BU277" s="3482"/>
      <c r="BV277" s="3482"/>
      <c r="BW277" s="3482"/>
      <c r="BX277" s="3481"/>
      <c r="BY277" s="3482"/>
      <c r="BZ277" s="3482"/>
      <c r="CA277" s="3482"/>
      <c r="CB277" s="3482"/>
      <c r="CC277" s="3484"/>
      <c r="CD277" s="3482"/>
      <c r="CE277" s="3482"/>
      <c r="CF277" s="3482"/>
      <c r="CG277" s="3482"/>
      <c r="CH277" s="3481"/>
      <c r="CI277" s="3482"/>
      <c r="CJ277" s="3482"/>
      <c r="CK277" s="3482"/>
      <c r="CL277" s="3482"/>
      <c r="CM277" s="3481"/>
      <c r="CN277" s="3482"/>
      <c r="CO277" s="3482"/>
      <c r="CP277" s="3482"/>
      <c r="CQ277" s="3482"/>
      <c r="CR277" s="3481">
        <f>CR272-CR268</f>
        <v>10640</v>
      </c>
      <c r="CS277" s="3482"/>
      <c r="CT277" s="3482"/>
      <c r="CU277" s="3482"/>
      <c r="CV277" s="3482"/>
      <c r="CW277" s="3481">
        <f t="shared" ref="CW277:DE277" si="1043">CW272-CW268</f>
        <v>12166</v>
      </c>
      <c r="CX277" s="3482">
        <f t="shared" si="1043"/>
        <v>3497</v>
      </c>
      <c r="CY277" s="3482">
        <f t="shared" si="1043"/>
        <v>3695</v>
      </c>
      <c r="CZ277" s="3482">
        <f t="shared" si="1043"/>
        <v>4271</v>
      </c>
      <c r="DA277" s="3482">
        <f t="shared" si="1043"/>
        <v>4755</v>
      </c>
      <c r="DB277" s="3481">
        <f t="shared" si="1043"/>
        <v>16218</v>
      </c>
      <c r="DC277" s="3482">
        <f t="shared" si="1043"/>
        <v>4621</v>
      </c>
      <c r="DD277" s="3482">
        <f t="shared" si="1043"/>
        <v>4999</v>
      </c>
      <c r="DE277" s="3482">
        <f t="shared" si="1043"/>
        <v>5495</v>
      </c>
      <c r="DF277" s="3482">
        <f>DF264-DF268</f>
        <v>6177</v>
      </c>
      <c r="DG277" s="3481">
        <f>DG272-DG268</f>
        <v>21292</v>
      </c>
      <c r="DH277" s="3482">
        <f t="shared" ref="DH277:DN277" si="1044">DH264-DH268</f>
        <v>6295</v>
      </c>
      <c r="DI277" s="3482">
        <f t="shared" si="1044"/>
        <v>6753</v>
      </c>
      <c r="DJ277" s="3482">
        <f t="shared" si="1044"/>
        <v>6831</v>
      </c>
      <c r="DK277" s="3482">
        <f t="shared" si="1044"/>
        <v>7437</v>
      </c>
      <c r="DL277" s="3481">
        <f t="shared" si="1044"/>
        <v>27316</v>
      </c>
      <c r="DM277" s="3482">
        <f t="shared" si="1044"/>
        <v>7299</v>
      </c>
      <c r="DN277" s="3482">
        <f t="shared" si="1044"/>
        <v>7050</v>
      </c>
      <c r="DO277" s="3482">
        <f t="shared" ref="DO277:DT277" si="1045">DO264-DO268</f>
        <v>8459</v>
      </c>
      <c r="DP277" s="3482">
        <f t="shared" si="1045"/>
        <v>9753</v>
      </c>
      <c r="DQ277" s="3481">
        <f t="shared" si="1045"/>
        <v>32561</v>
      </c>
      <c r="DR277" s="5714">
        <f t="shared" si="1045"/>
        <v>10092</v>
      </c>
      <c r="DS277" s="5714">
        <f t="shared" si="1045"/>
        <v>10881</v>
      </c>
      <c r="DT277" s="5714">
        <f t="shared" si="1045"/>
        <v>11697</v>
      </c>
      <c r="DU277" s="5715">
        <v>12996</v>
      </c>
      <c r="DV277" s="5716">
        <f>DV264-DV268</f>
        <v>45666</v>
      </c>
      <c r="DW277" s="5715">
        <v>12440</v>
      </c>
      <c r="DX277" s="5715">
        <v>12466</v>
      </c>
      <c r="DY277" s="5715">
        <v>12604</v>
      </c>
      <c r="DZ277" s="5715">
        <v>13429</v>
      </c>
      <c r="EA277" s="5716">
        <f>EA264-EA268</f>
        <v>50939</v>
      </c>
      <c r="EB277" s="5715">
        <v>12515</v>
      </c>
      <c r="EC277" s="5715">
        <v>13293</v>
      </c>
      <c r="ED277" s="5715">
        <v>13396</v>
      </c>
      <c r="EE277" s="5715">
        <v>14069</v>
      </c>
      <c r="EF277" s="5716">
        <f>EF264-EF268</f>
        <v>53273</v>
      </c>
      <c r="EG277" s="5715">
        <v>13728</v>
      </c>
      <c r="EH277" s="5715">
        <v>14418</v>
      </c>
      <c r="EI277" s="5715">
        <v>14832</v>
      </c>
      <c r="EJ277" s="5715">
        <v>15206</v>
      </c>
      <c r="EK277" s="5716">
        <f>EK264-EK268</f>
        <v>58184</v>
      </c>
      <c r="EL277" s="5715">
        <v>15235</v>
      </c>
      <c r="EM277" s="5715">
        <v>16365</v>
      </c>
      <c r="EN277" s="5715">
        <v>17691</v>
      </c>
      <c r="EO277" s="3492">
        <f t="shared" ref="EO277" si="1046">EJ264*(1+EO278)</f>
        <v>18641.88</v>
      </c>
      <c r="EP277" s="3481">
        <f>EP264-EP268</f>
        <v>67932.88</v>
      </c>
      <c r="EQ277" s="3492">
        <f t="shared" ref="EQ277" si="1047">EL264*(1+EQ278)</f>
        <v>18270.419999999998</v>
      </c>
      <c r="ER277" s="3492">
        <f t="shared" ref="ER277" si="1048">EM264*(1+ER278)</f>
        <v>20600</v>
      </c>
      <c r="ES277" s="3492">
        <f t="shared" ref="ES277" si="1049">EN264*(1+ES278)</f>
        <v>22273.75</v>
      </c>
      <c r="ET277" s="3492">
        <f t="shared" ref="ET277" si="1050">EO264*(1+ET278)</f>
        <v>22562.544885776446</v>
      </c>
      <c r="EU277" s="3481">
        <f>EU264-EU268</f>
        <v>83706.71488577644</v>
      </c>
      <c r="EV277" s="3941">
        <f>EU264*(1+EV278)</f>
        <v>96953.166815842531</v>
      </c>
      <c r="EW277" s="3941">
        <f>EV264*(1+EW278)</f>
        <v>109557.07850190205</v>
      </c>
      <c r="EX277" s="3941">
        <f>EW264*(1+EX278)</f>
        <v>122813.48500063221</v>
      </c>
      <c r="EY277" s="3941">
        <f>EX264*(1+EY278)</f>
        <v>136322.96835070176</v>
      </c>
      <c r="FA277" s="1319">
        <f>(EV277/EK277)^(1/3)-1</f>
        <v>0.18554890808276792</v>
      </c>
      <c r="FB277" s="1319">
        <f>(EX277/EK277)^(1/5)-1</f>
        <v>0.16115045351208934</v>
      </c>
    </row>
    <row r="278" spans="1:158" s="239" customFormat="1" ht="11.25" customHeight="1">
      <c r="A278" s="5685" t="s">
        <v>618</v>
      </c>
      <c r="B278" s="3494"/>
      <c r="C278" s="3494"/>
      <c r="D278" s="3494"/>
      <c r="E278" s="3494"/>
      <c r="F278" s="5572"/>
      <c r="G278" s="3494"/>
      <c r="H278" s="3494"/>
      <c r="I278" s="3494"/>
      <c r="J278" s="3494"/>
      <c r="K278" s="3495"/>
      <c r="L278" s="3496"/>
      <c r="M278" s="3496"/>
      <c r="N278" s="3496"/>
      <c r="O278" s="3496"/>
      <c r="P278" s="3495"/>
      <c r="Q278" s="3497"/>
      <c r="R278" s="3496"/>
      <c r="S278" s="3496"/>
      <c r="T278" s="3496"/>
      <c r="U278" s="3495"/>
      <c r="V278" s="3497"/>
      <c r="W278" s="3496"/>
      <c r="X278" s="3496"/>
      <c r="Y278" s="3496"/>
      <c r="Z278" s="3495"/>
      <c r="AA278" s="3497"/>
      <c r="AB278" s="3496"/>
      <c r="AC278" s="3496"/>
      <c r="AD278" s="3496"/>
      <c r="AE278" s="3495"/>
      <c r="AF278" s="3497"/>
      <c r="AG278" s="3496"/>
      <c r="AH278" s="3496"/>
      <c r="AI278" s="3496"/>
      <c r="AJ278" s="3495"/>
      <c r="AK278" s="3498"/>
      <c r="AL278" s="3499"/>
      <c r="AM278" s="3499"/>
      <c r="AN278" s="3499"/>
      <c r="AO278" s="3495"/>
      <c r="AP278" s="3498"/>
      <c r="AQ278" s="3499"/>
      <c r="AR278" s="3499"/>
      <c r="AS278" s="3499"/>
      <c r="AT278" s="3495"/>
      <c r="AU278" s="3498"/>
      <c r="AV278" s="3499"/>
      <c r="AW278" s="3499"/>
      <c r="AX278" s="3496"/>
      <c r="AY278" s="3495"/>
      <c r="AZ278" s="3493"/>
      <c r="BA278" s="3494"/>
      <c r="BB278" s="3494"/>
      <c r="BC278" s="3494"/>
      <c r="BD278" s="3495"/>
      <c r="BE278" s="3493"/>
      <c r="BF278" s="3494"/>
      <c r="BG278" s="3494"/>
      <c r="BH278" s="3494"/>
      <c r="BI278" s="3495"/>
      <c r="BJ278" s="3493"/>
      <c r="BK278" s="3494"/>
      <c r="BL278" s="3494"/>
      <c r="BM278" s="3494"/>
      <c r="BN278" s="3495"/>
      <c r="BO278" s="3496"/>
      <c r="BP278" s="3496"/>
      <c r="BQ278" s="3496"/>
      <c r="BR278" s="3496"/>
      <c r="BS278" s="3500"/>
      <c r="BT278" s="3494"/>
      <c r="BU278" s="3494"/>
      <c r="BV278" s="3494"/>
      <c r="BW278" s="3494"/>
      <c r="BX278" s="3495"/>
      <c r="BY278" s="3496"/>
      <c r="BZ278" s="3496"/>
      <c r="CA278" s="3496"/>
      <c r="CB278" s="3496"/>
      <c r="CC278" s="3500"/>
      <c r="CD278" s="3494"/>
      <c r="CE278" s="3494"/>
      <c r="CF278" s="3494"/>
      <c r="CG278" s="3494"/>
      <c r="CH278" s="3495"/>
      <c r="CI278" s="3494"/>
      <c r="CJ278" s="3494"/>
      <c r="CK278" s="3494"/>
      <c r="CL278" s="3494"/>
      <c r="CM278" s="3495"/>
      <c r="CN278" s="3494"/>
      <c r="CO278" s="3494"/>
      <c r="CP278" s="3494"/>
      <c r="CQ278" s="3494"/>
      <c r="CR278" s="3495">
        <f>CR277/CM272-1</f>
        <v>0.30248500428449021</v>
      </c>
      <c r="CS278" s="3494"/>
      <c r="CT278" s="3494"/>
      <c r="CU278" s="3494"/>
      <c r="CV278" s="3494"/>
      <c r="CW278" s="3495">
        <f t="shared" ref="CW278:DL278" si="1051">CW277/CR272-1</f>
        <v>0.27206189878711839</v>
      </c>
      <c r="CX278" s="3494">
        <f t="shared" si="1051"/>
        <v>0.26154401154401152</v>
      </c>
      <c r="CY278" s="3494">
        <f t="shared" si="1051"/>
        <v>0.2741379310344827</v>
      </c>
      <c r="CZ278" s="3494">
        <f t="shared" si="1051"/>
        <v>0.31496305418719217</v>
      </c>
      <c r="DA278" s="3494">
        <f t="shared" si="1051"/>
        <v>0.31790465631929044</v>
      </c>
      <c r="DB278" s="3495">
        <f t="shared" si="1051"/>
        <v>0.29454022988505746</v>
      </c>
      <c r="DC278" s="3494">
        <f t="shared" si="1051"/>
        <v>0.29803370786516847</v>
      </c>
      <c r="DD278" s="3494">
        <f t="shared" si="1051"/>
        <v>0.34417854261898362</v>
      </c>
      <c r="DE278" s="3494">
        <f t="shared" si="1051"/>
        <v>0.30305904671567463</v>
      </c>
      <c r="DF278" s="3494">
        <f t="shared" si="1051"/>
        <v>0.31537478705281097</v>
      </c>
      <c r="DG278" s="3495">
        <f t="shared" si="1051"/>
        <v>0.31497035573122534</v>
      </c>
      <c r="DH278" s="3494">
        <f t="shared" si="1051"/>
        <v>0.30628761153766337</v>
      </c>
      <c r="DI278" s="3494">
        <f t="shared" si="1051"/>
        <v>0.3267190569744598</v>
      </c>
      <c r="DJ278" s="3494">
        <f t="shared" si="1051"/>
        <v>0.26476578411405294</v>
      </c>
      <c r="DK278" s="3494">
        <f t="shared" si="1051"/>
        <v>0.23312883435582821</v>
      </c>
      <c r="DL278" s="5078">
        <f t="shared" si="1051"/>
        <v>0.27997750808303268</v>
      </c>
      <c r="DM278" s="5079">
        <f t="shared" ref="DM278:EN278" si="1052">DM277/DH264-1</f>
        <v>0.19734251968503935</v>
      </c>
      <c r="DN278" s="5079">
        <f t="shared" si="1052"/>
        <v>7.8641370869033E-2</v>
      </c>
      <c r="DO278" s="5079">
        <f t="shared" si="1052"/>
        <v>0.24141473437041383</v>
      </c>
      <c r="DP278" s="5079">
        <f t="shared" si="1052"/>
        <v>0.30352846832397762</v>
      </c>
      <c r="DQ278" s="5078">
        <f t="shared" si="1052"/>
        <v>0.20918746286393342</v>
      </c>
      <c r="DR278" s="5079">
        <f t="shared" si="1052"/>
        <v>0.39430781983973473</v>
      </c>
      <c r="DS278" s="5079">
        <f t="shared" si="1052"/>
        <v>0.56673866090712743</v>
      </c>
      <c r="DT278" s="5079">
        <f t="shared" si="1052"/>
        <v>0.38295105225821713</v>
      </c>
      <c r="DU278" s="5079">
        <f t="shared" si="1052"/>
        <v>0.31153496821071758</v>
      </c>
      <c r="DV278" s="3495">
        <f>DV277/DQ264-1</f>
        <v>0.40294930875576029</v>
      </c>
      <c r="DW278" s="5079">
        <f t="shared" si="1052"/>
        <v>0.18986131037780973</v>
      </c>
      <c r="DX278" s="5079">
        <f t="shared" si="1052"/>
        <v>0.10996349390081028</v>
      </c>
      <c r="DY278" s="5079">
        <f t="shared" si="1052"/>
        <v>7.6804784280222194E-2</v>
      </c>
      <c r="DZ278" s="5079">
        <f t="shared" si="1052"/>
        <v>5.4743952246308458E-2</v>
      </c>
      <c r="EA278" s="3495">
        <f>EA277/DV264-1</f>
        <v>0.10441645166186064</v>
      </c>
      <c r="EB278" s="5079">
        <f t="shared" si="1052"/>
        <v>5.6920868169918037E-2</v>
      </c>
      <c r="EC278" s="5079">
        <f t="shared" si="1052"/>
        <v>0.13518360375747229</v>
      </c>
      <c r="ED278" s="5079">
        <f t="shared" si="1052"/>
        <v>0.16547764050809111</v>
      </c>
      <c r="EE278" s="5079">
        <f t="shared" si="1052"/>
        <v>0.17447199265381075</v>
      </c>
      <c r="EF278" s="3495">
        <f>EF277/EA264-1</f>
        <v>0.13288958829533848</v>
      </c>
      <c r="EG278" s="5079">
        <f t="shared" si="1052"/>
        <v>0.17524184573238588</v>
      </c>
      <c r="EH278" s="5079">
        <f t="shared" si="1052"/>
        <v>0.13277812696417346</v>
      </c>
      <c r="EI278" s="5079">
        <f t="shared" si="1052"/>
        <v>0.12997104982477525</v>
      </c>
      <c r="EJ278" s="5079">
        <f t="shared" si="1052"/>
        <v>8.7774518921239109E-2</v>
      </c>
      <c r="EK278" s="3495">
        <f>EK277/EF264-1</f>
        <v>0.12947936483286093</v>
      </c>
      <c r="EL278" s="5079">
        <f t="shared" si="1052"/>
        <v>0.14643690270148246</v>
      </c>
      <c r="EM278" s="5079">
        <f t="shared" si="1052"/>
        <v>0.18389640454315281</v>
      </c>
      <c r="EN278" s="5079">
        <f t="shared" si="1052"/>
        <v>0.21612703650237153</v>
      </c>
      <c r="EO278" s="3501">
        <v>0.23</v>
      </c>
      <c r="EP278" s="3495">
        <f>EP277/EK264-1</f>
        <v>0.19568564639619823</v>
      </c>
      <c r="EQ278" s="3501">
        <v>0.23</v>
      </c>
      <c r="ER278" s="3501">
        <v>0.25</v>
      </c>
      <c r="ES278" s="3501">
        <v>0.25</v>
      </c>
      <c r="ET278" s="3501">
        <v>0.24</v>
      </c>
      <c r="EU278" s="3495">
        <f>EU277/EP264-1</f>
        <v>0.24288721663015345</v>
      </c>
      <c r="EV278" s="3508">
        <v>0.159</v>
      </c>
      <c r="EW278" s="3508">
        <v>0.13</v>
      </c>
      <c r="EX278" s="3508">
        <v>0.121</v>
      </c>
      <c r="EY278" s="3508">
        <v>0.11</v>
      </c>
      <c r="FA278" s="725"/>
      <c r="FB278" s="725"/>
    </row>
    <row r="279" spans="1:158" s="214" customFormat="1" ht="11.25" customHeight="1">
      <c r="A279" s="5686" t="s">
        <v>21</v>
      </c>
      <c r="B279" s="3359"/>
      <c r="C279" s="3359"/>
      <c r="D279" s="3359"/>
      <c r="E279" s="3359"/>
      <c r="F279" s="5573"/>
      <c r="G279" s="3359"/>
      <c r="H279" s="3359"/>
      <c r="I279" s="3359"/>
      <c r="J279" s="3359"/>
      <c r="K279" s="3360"/>
      <c r="L279" s="3361"/>
      <c r="M279" s="3361"/>
      <c r="N279" s="3361"/>
      <c r="O279" s="3361"/>
      <c r="P279" s="3360"/>
      <c r="Q279" s="3362"/>
      <c r="R279" s="3361"/>
      <c r="S279" s="3361"/>
      <c r="T279" s="3361"/>
      <c r="U279" s="3360"/>
      <c r="V279" s="3362"/>
      <c r="W279" s="3361"/>
      <c r="X279" s="3361"/>
      <c r="Y279" s="3361"/>
      <c r="Z279" s="3360"/>
      <c r="AA279" s="3362"/>
      <c r="AB279" s="3361"/>
      <c r="AC279" s="3361"/>
      <c r="AD279" s="3361"/>
      <c r="AE279" s="3360"/>
      <c r="AF279" s="3362"/>
      <c r="AG279" s="3361"/>
      <c r="AH279" s="3361"/>
      <c r="AI279" s="3361"/>
      <c r="AJ279" s="3360"/>
      <c r="AK279" s="3345"/>
      <c r="AL279" s="3345"/>
      <c r="AM279" s="3345"/>
      <c r="AN279" s="3345"/>
      <c r="AO279" s="3360"/>
      <c r="AP279" s="3344"/>
      <c r="AQ279" s="3345"/>
      <c r="AR279" s="3345"/>
      <c r="AS279" s="3345"/>
      <c r="AT279" s="3360"/>
      <c r="AU279" s="3344"/>
      <c r="AV279" s="3345"/>
      <c r="AW279" s="3345"/>
      <c r="AX279" s="3361"/>
      <c r="AY279" s="3360"/>
      <c r="AZ279" s="3362"/>
      <c r="BA279" s="3361"/>
      <c r="BB279" s="3361"/>
      <c r="BC279" s="3361"/>
      <c r="BD279" s="3360"/>
      <c r="BE279" s="3362"/>
      <c r="BF279" s="3361"/>
      <c r="BG279" s="3361"/>
      <c r="BH279" s="3361"/>
      <c r="BI279" s="3360"/>
      <c r="BJ279" s="3362"/>
      <c r="BK279" s="3361"/>
      <c r="BL279" s="3361"/>
      <c r="BM279" s="3361"/>
      <c r="BN279" s="3360"/>
      <c r="BO279" s="3361"/>
      <c r="BP279" s="3361"/>
      <c r="BQ279" s="3361"/>
      <c r="BR279" s="3361"/>
      <c r="BS279" s="3363"/>
      <c r="BT279" s="3361"/>
      <c r="BU279" s="3361"/>
      <c r="BV279" s="3361"/>
      <c r="BW279" s="3361"/>
      <c r="BX279" s="3360"/>
      <c r="BY279" s="3361"/>
      <c r="BZ279" s="3361"/>
      <c r="CA279" s="3361"/>
      <c r="CB279" s="3361"/>
      <c r="CC279" s="3363"/>
      <c r="CD279" s="3361"/>
      <c r="CE279" s="3361"/>
      <c r="CF279" s="3361"/>
      <c r="CG279" s="3361"/>
      <c r="CH279" s="3360"/>
      <c r="CI279" s="3361"/>
      <c r="CJ279" s="3361"/>
      <c r="CK279" s="3361"/>
      <c r="CL279" s="3361"/>
      <c r="CM279" s="3360"/>
      <c r="CN279" s="3361"/>
      <c r="CO279" s="3361"/>
      <c r="CP279" s="3361"/>
      <c r="CQ279" s="3361"/>
      <c r="CR279" s="3360"/>
      <c r="CS279" s="3361"/>
      <c r="CT279" s="3361"/>
      <c r="CU279" s="3361"/>
      <c r="CV279" s="3361"/>
      <c r="CW279" s="3360">
        <f t="shared" ref="CW279:DQ279" si="1053">(CW265-CW278)*10000</f>
        <v>-18.080300706220243</v>
      </c>
      <c r="CX279" s="3361">
        <f t="shared" si="1053"/>
        <v>314.17760517439052</v>
      </c>
      <c r="CY279" s="3361">
        <f t="shared" si="1053"/>
        <v>102.97330673506355</v>
      </c>
      <c r="CZ279" s="3361">
        <f t="shared" si="1053"/>
        <v>-221.67487684729093</v>
      </c>
      <c r="DA279" s="3361">
        <f t="shared" si="1053"/>
        <v>-188.47006651884658</v>
      </c>
      <c r="DB279" s="3360">
        <f t="shared" si="1053"/>
        <v>-18.417666316137282</v>
      </c>
      <c r="DC279" s="3361">
        <f t="shared" si="1053"/>
        <v>294.04811062712088</v>
      </c>
      <c r="DD279" s="3361">
        <f t="shared" si="1053"/>
        <v>204.32717434635705</v>
      </c>
      <c r="DE279" s="3361">
        <f t="shared" si="1053"/>
        <v>-113.22919066234283</v>
      </c>
      <c r="DF279" s="3361">
        <f t="shared" si="1053"/>
        <v>-286.24200323559944</v>
      </c>
      <c r="DG279" s="3360">
        <f t="shared" si="1053"/>
        <v>0.28104385805693965</v>
      </c>
      <c r="DH279" s="3361">
        <f t="shared" si="1053"/>
        <v>-373.45063660894073</v>
      </c>
      <c r="DI279" s="3361">
        <f t="shared" si="1053"/>
        <v>-426.32612966601255</v>
      </c>
      <c r="DJ279" s="3361">
        <f t="shared" si="1053"/>
        <v>-84.973475358818277</v>
      </c>
      <c r="DK279" s="3361">
        <f t="shared" si="1053"/>
        <v>74.614491792406312</v>
      </c>
      <c r="DL279" s="3360">
        <f t="shared" si="1053"/>
        <v>-186.53792686526893</v>
      </c>
      <c r="DM279" s="3361">
        <f t="shared" si="1053"/>
        <v>-100.06561679789971</v>
      </c>
      <c r="DN279" s="3361">
        <f t="shared" si="1053"/>
        <v>-160.64871481028086</v>
      </c>
      <c r="DO279" s="3361">
        <f t="shared" si="1053"/>
        <v>-1.4675667742869436</v>
      </c>
      <c r="DP279" s="3361">
        <f t="shared" si="1053"/>
        <v>208.50040096230816</v>
      </c>
      <c r="DQ279" s="3360">
        <f t="shared" si="1053"/>
        <v>-4.0849673202614234</v>
      </c>
      <c r="DR279" s="3361">
        <f t="shared" ref="DR279:DW279" si="1054">(DR265-DR278)*10000</f>
        <v>501.51975683890623</v>
      </c>
      <c r="DS279" s="3361">
        <f t="shared" si="1054"/>
        <v>503.95968322534122</v>
      </c>
      <c r="DT279" s="3361">
        <f t="shared" si="1054"/>
        <v>9.4585008276193427</v>
      </c>
      <c r="DU279" s="3361">
        <f t="shared" si="1054"/>
        <v>-266.42446260974896</v>
      </c>
      <c r="DV279" s="3360">
        <f t="shared" si="1054"/>
        <v>140.39938556067665</v>
      </c>
      <c r="DW279" s="3361">
        <f t="shared" si="1054"/>
        <v>-572.93161166905861</v>
      </c>
      <c r="DX279" s="3361">
        <f t="shared" ref="DX279:EF279" si="1055">(DX265-DX278)*10000</f>
        <v>-673.13685335232969</v>
      </c>
      <c r="DY279" s="3361">
        <f t="shared" si="1055"/>
        <v>-948.31268688594707</v>
      </c>
      <c r="DZ279" s="3361">
        <f t="shared" si="1055"/>
        <v>-1138.8627081369773</v>
      </c>
      <c r="EA279" s="3360">
        <f t="shared" si="1055"/>
        <v>-848.81729289074894</v>
      </c>
      <c r="EB279" s="3361">
        <f t="shared" si="1055"/>
        <v>-704.33240435773928</v>
      </c>
      <c r="EC279" s="3361">
        <f>(EC265-EC278)*10000</f>
        <v>-482.49359521776336</v>
      </c>
      <c r="ED279" s="3361">
        <f>(ED265-ED278)*10000</f>
        <v>-234.90516791369265</v>
      </c>
      <c r="EE279" s="3361">
        <f t="shared" ref="EE279" si="1056">(EE265-EE278)*10000</f>
        <v>-75.131480090155918</v>
      </c>
      <c r="EF279" s="3360">
        <f t="shared" si="1055"/>
        <v>-374.06430758761377</v>
      </c>
      <c r="EG279" s="3361">
        <f t="shared" ref="EG279" si="1057">(EG265-EG278)*10000</f>
        <v>-375.82398767228796</v>
      </c>
      <c r="EH279" s="3361">
        <f>(EH265-EH278)*10000</f>
        <v>-467.47328724072946</v>
      </c>
      <c r="EI279" s="3361">
        <f>(EI265-EI278)*10000</f>
        <v>-217.12631418558504</v>
      </c>
      <c r="EJ279" s="3361">
        <f t="shared" ref="EJ279" si="1058">(EJ265-EJ278)*10000</f>
        <v>-35.767937620718726</v>
      </c>
      <c r="EK279" s="3360">
        <f t="shared" ref="EK279:EW279" si="1059">(EK265-EK278)*10000</f>
        <v>-265.75299918468744</v>
      </c>
      <c r="EL279" s="3361">
        <f t="shared" si="1059"/>
        <v>-286.70328843404258</v>
      </c>
      <c r="EM279" s="3361">
        <f>(EM265-EM278)*10000</f>
        <v>83.194675540765317</v>
      </c>
      <c r="EN279" s="3361">
        <f>(EN265-EN278)*10000</f>
        <v>87.990650993332594</v>
      </c>
      <c r="EO279" s="3361">
        <f t="shared" ref="EO279:EP279" si="1060">(EO265-EO278)*10000</f>
        <v>-294.45716921625592</v>
      </c>
      <c r="EP279" s="3360">
        <f t="shared" si="1060"/>
        <v>-102.83891325603366</v>
      </c>
      <c r="EQ279" s="3361">
        <f t="shared" ref="EQ279:EU279" si="1061">(EQ265-EQ278)*10000</f>
        <v>285.302556090645</v>
      </c>
      <c r="ER279" s="3361">
        <f t="shared" si="1061"/>
        <v>-61.284119982181195</v>
      </c>
      <c r="ES279" s="3361">
        <f t="shared" si="1061"/>
        <v>-180.69247607165329</v>
      </c>
      <c r="ET279" s="3361">
        <f t="shared" si="1061"/>
        <v>-30.282465491091592</v>
      </c>
      <c r="EU279" s="3360">
        <f t="shared" si="1061"/>
        <v>-8.0602270161600487</v>
      </c>
      <c r="EV279" s="3364">
        <f t="shared" si="1059"/>
        <v>2.7755575615628914E-13</v>
      </c>
      <c r="EW279" s="3364">
        <f t="shared" si="1059"/>
        <v>-1.1102230246251565E-12</v>
      </c>
      <c r="EX279" s="3364">
        <f t="shared" ref="EX279:EY279" si="1062">(EX265-EX278)*10000</f>
        <v>0</v>
      </c>
      <c r="EY279" s="3364">
        <f t="shared" si="1062"/>
        <v>9.7144514654701197E-13</v>
      </c>
      <c r="FA279" s="725"/>
      <c r="FB279" s="725"/>
    </row>
    <row r="280" spans="1:158" s="239" customFormat="1" ht="11.25" customHeight="1">
      <c r="A280" s="5687" t="s">
        <v>623</v>
      </c>
      <c r="B280" s="3350"/>
      <c r="C280" s="3350"/>
      <c r="D280" s="3350"/>
      <c r="E280" s="3350"/>
      <c r="F280" s="5574"/>
      <c r="G280" s="3350"/>
      <c r="H280" s="3350"/>
      <c r="I280" s="3350"/>
      <c r="J280" s="3350"/>
      <c r="K280" s="3352"/>
      <c r="L280" s="3353"/>
      <c r="M280" s="3353"/>
      <c r="N280" s="3353"/>
      <c r="O280" s="3353"/>
      <c r="P280" s="3352"/>
      <c r="Q280" s="3354"/>
      <c r="R280" s="3353"/>
      <c r="S280" s="3353"/>
      <c r="T280" s="3353"/>
      <c r="U280" s="3352"/>
      <c r="V280" s="3354"/>
      <c r="W280" s="3353"/>
      <c r="X280" s="3353"/>
      <c r="Y280" s="3353"/>
      <c r="Z280" s="3352"/>
      <c r="AA280" s="3354"/>
      <c r="AB280" s="3353"/>
      <c r="AC280" s="3353"/>
      <c r="AD280" s="3353"/>
      <c r="AE280" s="3352"/>
      <c r="AF280" s="3354"/>
      <c r="AG280" s="3353"/>
      <c r="AH280" s="3353"/>
      <c r="AI280" s="3353"/>
      <c r="AJ280" s="3352"/>
      <c r="AK280" s="3355"/>
      <c r="AL280" s="3356"/>
      <c r="AM280" s="3356"/>
      <c r="AN280" s="3356"/>
      <c r="AO280" s="3352"/>
      <c r="AP280" s="3355"/>
      <c r="AQ280" s="3356"/>
      <c r="AR280" s="3356"/>
      <c r="AS280" s="3356"/>
      <c r="AT280" s="3352"/>
      <c r="AU280" s="3355"/>
      <c r="AV280" s="3356"/>
      <c r="AW280" s="3356"/>
      <c r="AX280" s="3353"/>
      <c r="AY280" s="3352"/>
      <c r="AZ280" s="3349"/>
      <c r="BA280" s="3350"/>
      <c r="BB280" s="3350"/>
      <c r="BC280" s="3350"/>
      <c r="BD280" s="3352"/>
      <c r="BE280" s="3349"/>
      <c r="BF280" s="3350"/>
      <c r="BG280" s="3350"/>
      <c r="BH280" s="3350"/>
      <c r="BI280" s="3352"/>
      <c r="BJ280" s="3349"/>
      <c r="BK280" s="3350"/>
      <c r="BL280" s="3350"/>
      <c r="BM280" s="3350"/>
      <c r="BN280" s="3352"/>
      <c r="BO280" s="3353"/>
      <c r="BP280" s="3353"/>
      <c r="BQ280" s="3353"/>
      <c r="BR280" s="3353"/>
      <c r="BS280" s="3373"/>
      <c r="BT280" s="3350"/>
      <c r="BU280" s="3350"/>
      <c r="BV280" s="3350"/>
      <c r="BW280" s="3350"/>
      <c r="BX280" s="3352"/>
      <c r="BY280" s="3353"/>
      <c r="BZ280" s="3353"/>
      <c r="CA280" s="3353"/>
      <c r="CB280" s="3353"/>
      <c r="CC280" s="3373"/>
      <c r="CD280" s="3350"/>
      <c r="CE280" s="3350"/>
      <c r="CF280" s="3350"/>
      <c r="CG280" s="3350"/>
      <c r="CH280" s="3352"/>
      <c r="CI280" s="3350"/>
      <c r="CJ280" s="3350"/>
      <c r="CK280" s="3350"/>
      <c r="CL280" s="3350"/>
      <c r="CM280" s="3352"/>
      <c r="CN280" s="3350"/>
      <c r="CO280" s="3350"/>
      <c r="CP280" s="3350"/>
      <c r="CQ280" s="3350"/>
      <c r="CR280" s="3352"/>
      <c r="CS280" s="3350"/>
      <c r="CT280" s="3350"/>
      <c r="CU280" s="3350"/>
      <c r="CV280" s="3350"/>
      <c r="CW280" s="3352">
        <f t="shared" ref="CW280:DG280" si="1063">(1+CW273)/(1+CW278)-1</f>
        <v>2.9755055071510883E-2</v>
      </c>
      <c r="CX280" s="3350">
        <f t="shared" si="1063"/>
        <v>1.8015441807263333E-2</v>
      </c>
      <c r="CY280" s="3350">
        <f t="shared" si="1063"/>
        <v>6.4952638700948029E-3</v>
      </c>
      <c r="CZ280" s="3350">
        <f t="shared" si="1063"/>
        <v>-1.2643409037696229E-2</v>
      </c>
      <c r="DA280" s="3350">
        <f t="shared" si="1063"/>
        <v>-1.2407991587802369E-2</v>
      </c>
      <c r="DB280" s="3352">
        <f t="shared" si="1063"/>
        <v>-1.6031569860649464E-3</v>
      </c>
      <c r="DC280" s="3350">
        <f t="shared" si="1063"/>
        <v>4.2847868426747482E-2</v>
      </c>
      <c r="DD280" s="3350">
        <f t="shared" si="1063"/>
        <v>1.820364072814562E-2</v>
      </c>
      <c r="DE280" s="3350">
        <f t="shared" si="1063"/>
        <v>-1.7106460418562341E-2</v>
      </c>
      <c r="DF280" s="3350">
        <f t="shared" si="1063"/>
        <v>-2.3636069289299066E-2</v>
      </c>
      <c r="DG280" s="3352">
        <f t="shared" si="1063"/>
        <v>2.3013338343038647E-3</v>
      </c>
      <c r="DH280" s="3350">
        <f t="shared" ref="DH280:DQ280" si="1064">(1+DH265)/(1+DH278)-1</f>
        <v>-2.8588699250492233E-2</v>
      </c>
      <c r="DI280" s="3350">
        <f t="shared" si="1064"/>
        <v>-3.2133866429735036E-2</v>
      </c>
      <c r="DJ280" s="3350">
        <f t="shared" si="1064"/>
        <v>-6.7185147183864702E-3</v>
      </c>
      <c r="DK280" s="3350">
        <f t="shared" si="1064"/>
        <v>6.0508269463492859E-3</v>
      </c>
      <c r="DL280" s="3352">
        <f t="shared" si="1064"/>
        <v>-1.4573531619679669E-2</v>
      </c>
      <c r="DM280" s="3350">
        <f t="shared" si="1064"/>
        <v>-8.3573092204410893E-3</v>
      </c>
      <c r="DN280" s="3350">
        <f t="shared" si="1064"/>
        <v>-1.4893617021276562E-2</v>
      </c>
      <c r="DO280" s="3350">
        <f t="shared" si="1064"/>
        <v>-1.1821728336669501E-4</v>
      </c>
      <c r="DP280" s="3350">
        <f t="shared" si="1064"/>
        <v>1.5995078437403665E-2</v>
      </c>
      <c r="DQ280" s="3352">
        <f t="shared" si="1064"/>
        <v>-3.3782746230148764E-4</v>
      </c>
      <c r="DR280" s="3350">
        <f t="shared" ref="DR280:DW280" si="1065">(1+DR265)/(1+DR278)-1</f>
        <v>3.5969084423305597E-2</v>
      </c>
      <c r="DS280" s="3350">
        <f t="shared" si="1065"/>
        <v>3.2166161198419196E-2</v>
      </c>
      <c r="DT280" s="3350">
        <f t="shared" si="1065"/>
        <v>6.8393605197925034E-4</v>
      </c>
      <c r="DU280" s="3350">
        <f t="shared" si="1065"/>
        <v>-2.031394275161591E-2</v>
      </c>
      <c r="DV280" s="3352">
        <f t="shared" si="1065"/>
        <v>1.0007445364165868E-2</v>
      </c>
      <c r="DW280" s="3350">
        <f t="shared" si="1065"/>
        <v>-4.815112540192934E-2</v>
      </c>
      <c r="DX280" s="3350">
        <f t="shared" ref="DX280:EV280" si="1066">(1+DX265)/(1+DX278)-1</f>
        <v>-6.0644954275629881E-2</v>
      </c>
      <c r="DY280" s="3350">
        <f t="shared" si="1066"/>
        <v>-8.8067280228498968E-2</v>
      </c>
      <c r="DZ280" s="3350">
        <f t="shared" si="1066"/>
        <v>-0.10797527738476431</v>
      </c>
      <c r="EA280" s="3352">
        <f t="shared" si="1066"/>
        <v>-7.685663244272567E-2</v>
      </c>
      <c r="EB280" s="3350">
        <f t="shared" si="1066"/>
        <v>-6.6640031961645918E-2</v>
      </c>
      <c r="EC280" s="3350">
        <f>(1+EC265)/(1+EC278)-1</f>
        <v>-4.2503573309260578E-2</v>
      </c>
      <c r="ED280" s="3350">
        <f>(1+ED265)/(1+ED278)-1</f>
        <v>-2.0155270229919253E-2</v>
      </c>
      <c r="EE280" s="3350">
        <f t="shared" ref="EE280" si="1067">(1+EE265)/(1+EE278)-1</f>
        <v>-6.3970431445019571E-3</v>
      </c>
      <c r="EF280" s="3352">
        <f t="shared" si="1066"/>
        <v>-3.301860229384479E-2</v>
      </c>
      <c r="EG280" s="3350">
        <f t="shared" ref="EG280" si="1068">(1+EG265)/(1+EG278)-1</f>
        <v>-3.1978438228438155E-2</v>
      </c>
      <c r="EH280" s="3350">
        <f>(1+EH265)/(1+EH278)-1</f>
        <v>-4.1267859619919522E-2</v>
      </c>
      <c r="EI280" s="3350">
        <f>(1+EI265)/(1+EI278)-1</f>
        <v>-1.9215210355986945E-2</v>
      </c>
      <c r="EJ280" s="3350">
        <f t="shared" ref="EJ280" si="1069">(1+EJ265)/(1+EJ278)-1</f>
        <v>-3.2881757201106421E-3</v>
      </c>
      <c r="EK280" s="3352">
        <f>(1+EK265)/(1+EK278)-1</f>
        <v>-2.3528805169806155E-2</v>
      </c>
      <c r="EL280" s="3350">
        <f t="shared" ref="EL280" si="1070">(1+EL265)/(1+EL278)-1</f>
        <v>-2.5008204791598265E-2</v>
      </c>
      <c r="EM280" s="3350">
        <f>(1+EM265)/(1+EM278)-1</f>
        <v>7.0271921784295088E-3</v>
      </c>
      <c r="EN280" s="3350">
        <f>(1+EN265)/(1+EN278)-1</f>
        <v>7.2353173930248538E-3</v>
      </c>
      <c r="EO280" s="3350">
        <f t="shared" ref="EO280" si="1071">(1+EO265)/(1+EO278)-1</f>
        <v>-2.3939607253354089E-2</v>
      </c>
      <c r="EP280" s="3352">
        <f>(1+EP265)/(1+EP278)-1</f>
        <v>-8.6008319633166241E-3</v>
      </c>
      <c r="EQ280" s="3350">
        <f t="shared" ref="EQ280:ET280" si="1072">(1+EQ265)/(1+EQ278)-1</f>
        <v>2.3195329763467054E-2</v>
      </c>
      <c r="ER280" s="3350">
        <f t="shared" si="1072"/>
        <v>-4.9027295985745178E-3</v>
      </c>
      <c r="ES280" s="3350">
        <f t="shared" si="1072"/>
        <v>-1.4455398085732263E-2</v>
      </c>
      <c r="ET280" s="3350">
        <f t="shared" si="1072"/>
        <v>-2.4421343137976947E-3</v>
      </c>
      <c r="EU280" s="3352">
        <f>(1+EU265)/(1+EU278)-1</f>
        <v>-6.4850832065144193E-4</v>
      </c>
      <c r="EV280" s="3357">
        <f t="shared" si="1066"/>
        <v>0</v>
      </c>
      <c r="EW280" s="3357">
        <f>(1+EW265)/(1+EW278)-1</f>
        <v>0</v>
      </c>
      <c r="EX280" s="3357">
        <f>(1+EX265)/(1+EX278)-1</f>
        <v>0</v>
      </c>
      <c r="EY280" s="3357">
        <f>(1+EY265)/(1+EY278)-1</f>
        <v>0</v>
      </c>
      <c r="FA280" s="725"/>
      <c r="FB280" s="725"/>
    </row>
    <row r="281" spans="1:158" s="211" customFormat="1" ht="11.25" hidden="1" customHeight="1" outlineLevel="1">
      <c r="A281" s="5639"/>
      <c r="B281" s="2612"/>
      <c r="C281" s="2612"/>
      <c r="D281" s="2612"/>
      <c r="E281" s="2612"/>
      <c r="F281" s="4303"/>
      <c r="G281" s="2612"/>
      <c r="H281" s="2612"/>
      <c r="I281" s="2612"/>
      <c r="J281" s="2612"/>
      <c r="K281" s="1019"/>
      <c r="L281" s="209"/>
      <c r="M281" s="209"/>
      <c r="N281" s="209"/>
      <c r="O281" s="209"/>
      <c r="P281" s="1019"/>
      <c r="Q281" s="2576"/>
      <c r="R281" s="209"/>
      <c r="S281" s="209"/>
      <c r="T281" s="209"/>
      <c r="U281" s="1019"/>
      <c r="V281" s="2576"/>
      <c r="W281" s="209"/>
      <c r="X281" s="209"/>
      <c r="Y281" s="209"/>
      <c r="Z281" s="1019"/>
      <c r="AA281" s="2576"/>
      <c r="AB281" s="209"/>
      <c r="AC281" s="209"/>
      <c r="AD281" s="209"/>
      <c r="AE281" s="1019"/>
      <c r="AF281" s="2576"/>
      <c r="AG281" s="209"/>
      <c r="AH281" s="209"/>
      <c r="AI281" s="209"/>
      <c r="AJ281" s="1019"/>
      <c r="AK281" s="2576"/>
      <c r="AL281" s="209"/>
      <c r="AM281" s="209"/>
      <c r="AN281" s="209"/>
      <c r="AO281" s="1019"/>
      <c r="AP281" s="2576"/>
      <c r="AQ281" s="209"/>
      <c r="AR281" s="209"/>
      <c r="AS281" s="209"/>
      <c r="AT281" s="1019"/>
      <c r="AU281" s="2576"/>
      <c r="AV281" s="209"/>
      <c r="AW281" s="209"/>
      <c r="AX281" s="209"/>
      <c r="AY281" s="1019"/>
      <c r="AZ281" s="2576"/>
      <c r="BA281" s="209"/>
      <c r="BB281" s="209"/>
      <c r="BC281" s="209"/>
      <c r="BD281" s="1019"/>
      <c r="BE281" s="2576"/>
      <c r="BF281" s="209"/>
      <c r="BG281" s="209"/>
      <c r="BH281" s="209"/>
      <c r="BI281" s="1019"/>
      <c r="BJ281" s="2576"/>
      <c r="BK281" s="209"/>
      <c r="BL281" s="209"/>
      <c r="BM281" s="209"/>
      <c r="BN281" s="1019"/>
      <c r="BO281" s="209"/>
      <c r="BP281" s="209"/>
      <c r="BQ281" s="209"/>
      <c r="BR281" s="209"/>
      <c r="BS281" s="1933"/>
      <c r="BT281" s="209"/>
      <c r="BU281" s="2616"/>
      <c r="BV281" s="2616"/>
      <c r="BW281" s="2616"/>
      <c r="BX281" s="1019"/>
      <c r="BY281" s="209"/>
      <c r="BZ281" s="209"/>
      <c r="CA281" s="209"/>
      <c r="CB281" s="209"/>
      <c r="CC281" s="1933"/>
      <c r="CD281" s="2576"/>
      <c r="CE281" s="2616"/>
      <c r="CF281" s="2616"/>
      <c r="CG281" s="2616"/>
      <c r="CH281" s="1019"/>
      <c r="CI281" s="556"/>
      <c r="CJ281" s="209"/>
      <c r="CK281" s="209"/>
      <c r="CL281" s="209"/>
      <c r="CM281" s="1019"/>
      <c r="CN281" s="209"/>
      <c r="CO281" s="209"/>
      <c r="CP281" s="209"/>
      <c r="CQ281" s="209"/>
      <c r="CR281" s="1019"/>
      <c r="CS281" s="209"/>
      <c r="CT281" s="2608"/>
      <c r="CU281" s="209"/>
      <c r="CV281" s="209"/>
      <c r="CW281" s="1019"/>
      <c r="CX281" s="209"/>
      <c r="CY281" s="209"/>
      <c r="CZ281" s="209"/>
      <c r="DA281" s="209"/>
      <c r="DB281" s="1019"/>
      <c r="DC281" s="209"/>
      <c r="DD281" s="209"/>
      <c r="DE281" s="209"/>
      <c r="DF281" s="209"/>
      <c r="DG281" s="1019"/>
      <c r="DH281" s="209"/>
      <c r="DI281" s="209"/>
      <c r="DJ281" s="209"/>
      <c r="DK281" s="209"/>
      <c r="DL281" s="1933"/>
      <c r="DM281" s="209"/>
      <c r="DN281" s="209"/>
      <c r="DO281" s="209"/>
      <c r="DP281" s="209"/>
      <c r="DQ281" s="1933"/>
      <c r="DR281" s="209"/>
      <c r="DS281" s="209"/>
      <c r="DT281" s="209"/>
      <c r="DU281" s="209"/>
      <c r="DV281" s="1933"/>
      <c r="DW281" s="209"/>
      <c r="DX281" s="209"/>
      <c r="DY281" s="209"/>
      <c r="DZ281" s="209"/>
      <c r="EA281" s="1933"/>
      <c r="EB281" s="209"/>
      <c r="EC281" s="209"/>
      <c r="ED281" s="209"/>
      <c r="EE281" s="209"/>
      <c r="EF281" s="1933"/>
      <c r="EG281" s="209"/>
      <c r="EH281" s="209"/>
      <c r="EI281" s="209"/>
      <c r="EJ281" s="209"/>
      <c r="EK281" s="1933"/>
      <c r="EL281" s="209"/>
      <c r="EM281" s="209"/>
      <c r="EN281" s="209"/>
      <c r="EO281" s="209"/>
      <c r="EP281" s="1933"/>
      <c r="EQ281" s="209"/>
      <c r="ER281" s="209"/>
      <c r="ES281" s="209"/>
      <c r="ET281" s="209"/>
      <c r="EU281" s="1933"/>
      <c r="EV281" s="1019"/>
      <c r="EW281" s="1019"/>
      <c r="EX281" s="1019"/>
      <c r="EY281" s="1019"/>
      <c r="EZ281" s="209"/>
      <c r="FA281" s="725"/>
      <c r="FB281" s="725"/>
    </row>
    <row r="282" spans="1:158" s="214" customFormat="1" ht="11.25" hidden="1" customHeight="1" outlineLevel="1">
      <c r="A282" s="5681" t="s">
        <v>24</v>
      </c>
      <c r="B282" s="2615"/>
      <c r="C282" s="2615"/>
      <c r="D282" s="2615"/>
      <c r="E282" s="2615"/>
      <c r="F282" s="4301"/>
      <c r="G282" s="2615"/>
      <c r="H282" s="2615"/>
      <c r="I282" s="2615"/>
      <c r="J282" s="2615"/>
      <c r="K282" s="2590"/>
      <c r="L282" s="2606"/>
      <c r="M282" s="2606"/>
      <c r="N282" s="2606"/>
      <c r="O282" s="2606"/>
      <c r="P282" s="2590"/>
      <c r="Q282" s="2655"/>
      <c r="R282" s="2606"/>
      <c r="S282" s="2606"/>
      <c r="T282" s="2606"/>
      <c r="U282" s="2590"/>
      <c r="V282" s="2655"/>
      <c r="W282" s="2606"/>
      <c r="X282" s="2606"/>
      <c r="Y282" s="2606"/>
      <c r="Z282" s="2590"/>
      <c r="AA282" s="2655"/>
      <c r="AB282" s="2606"/>
      <c r="AC282" s="2606"/>
      <c r="AD282" s="2606"/>
      <c r="AE282" s="2590"/>
      <c r="AF282" s="2655"/>
      <c r="AG282" s="2606"/>
      <c r="AH282" s="2606"/>
      <c r="AI282" s="2606"/>
      <c r="AJ282" s="2590"/>
      <c r="AK282" s="2655"/>
      <c r="AL282" s="2619"/>
      <c r="AM282" s="2619"/>
      <c r="AN282" s="2619"/>
      <c r="AO282" s="2590"/>
      <c r="AP282" s="2669"/>
      <c r="AQ282" s="2619"/>
      <c r="AR282" s="2619"/>
      <c r="AS282" s="2619"/>
      <c r="AT282" s="2590"/>
      <c r="AU282" s="2669"/>
      <c r="AV282" s="2619"/>
      <c r="AW282" s="2619"/>
      <c r="AX282" s="2619"/>
      <c r="AY282" s="2590"/>
      <c r="AZ282" s="2669"/>
      <c r="BA282" s="2619"/>
      <c r="BB282" s="2619"/>
      <c r="BC282" s="2619"/>
      <c r="BD282" s="2590"/>
      <c r="BE282" s="2656"/>
      <c r="BF282" s="2607"/>
      <c r="BG282" s="2607"/>
      <c r="BH282" s="2607"/>
      <c r="BI282" s="2590"/>
      <c r="BJ282" s="2656"/>
      <c r="BK282" s="2619"/>
      <c r="BL282" s="2619"/>
      <c r="BM282" s="2619"/>
      <c r="BN282" s="2590"/>
      <c r="BO282" s="2606"/>
      <c r="BP282" s="2606"/>
      <c r="BQ282" s="2606"/>
      <c r="BR282" s="2606"/>
      <c r="BS282" s="1932"/>
      <c r="BT282" s="2607"/>
      <c r="BU282" s="2619"/>
      <c r="BV282" s="2626"/>
      <c r="BW282" s="2619"/>
      <c r="BX282" s="2590"/>
      <c r="BY282" s="2606"/>
      <c r="BZ282" s="2606"/>
      <c r="CA282" s="2606"/>
      <c r="CB282" s="2606"/>
      <c r="CC282" s="1932"/>
      <c r="CD282" s="2656"/>
      <c r="CE282" s="2619"/>
      <c r="CF282" s="2626"/>
      <c r="CG282" s="2619"/>
      <c r="CH282" s="2590"/>
      <c r="CI282" s="2640"/>
      <c r="CJ282" s="2634"/>
      <c r="CK282" s="2626"/>
      <c r="CL282" s="2619"/>
      <c r="CM282" s="2590"/>
      <c r="CN282" s="2607"/>
      <c r="CO282" s="2634"/>
      <c r="CP282" s="2626"/>
      <c r="CQ282" s="2619"/>
      <c r="CR282" s="2590"/>
      <c r="CS282" s="2690"/>
      <c r="CT282" s="2691"/>
      <c r="CU282" s="2691"/>
      <c r="CV282" s="2691"/>
      <c r="CW282" s="2590"/>
      <c r="CX282" s="2607">
        <v>-138</v>
      </c>
      <c r="CY282" s="2607">
        <v>77</v>
      </c>
      <c r="CZ282" s="2607">
        <v>44</v>
      </c>
      <c r="DA282" s="2607">
        <v>-41</v>
      </c>
      <c r="DB282" s="2590"/>
      <c r="DC282" s="2607">
        <v>96</v>
      </c>
      <c r="DD282" s="2607">
        <v>-15</v>
      </c>
      <c r="DE282" s="2607">
        <v>-135</v>
      </c>
      <c r="DF282" s="2607">
        <v>-92</v>
      </c>
      <c r="DG282" s="2590"/>
      <c r="DH282" s="2607">
        <v>66</v>
      </c>
      <c r="DI282" s="2607">
        <v>-26</v>
      </c>
      <c r="DJ282" s="2607">
        <v>39</v>
      </c>
      <c r="DK282" s="2607">
        <v>-40</v>
      </c>
      <c r="DL282" s="1932"/>
      <c r="DM282" s="2607">
        <v>-37</v>
      </c>
      <c r="DN282" s="2607">
        <v>-74</v>
      </c>
      <c r="DO282" s="2607">
        <v>180</v>
      </c>
      <c r="DP282" s="2607">
        <v>109</v>
      </c>
      <c r="DQ282" s="1932"/>
      <c r="DR282" s="528">
        <v>155</v>
      </c>
      <c r="DS282" s="528">
        <v>-158</v>
      </c>
      <c r="DT282" s="528">
        <v>-134</v>
      </c>
      <c r="DU282" s="677">
        <f>DU264-DU283</f>
        <v>-140</v>
      </c>
      <c r="DV282" s="5710"/>
      <c r="DW282" s="677">
        <f>DW264-DW283</f>
        <v>-134</v>
      </c>
      <c r="DX282" s="677">
        <f>DX264-DX283</f>
        <v>-334</v>
      </c>
      <c r="DY282" s="677">
        <f>DY264-DY283</f>
        <v>-455</v>
      </c>
      <c r="DZ282" s="677">
        <f>DZ264-DZ283</f>
        <v>-366</v>
      </c>
      <c r="EA282" s="5710"/>
      <c r="EB282" s="677">
        <f>EB264-EB283</f>
        <v>415</v>
      </c>
      <c r="EC282" s="677">
        <f>EC264-EC283</f>
        <v>-99</v>
      </c>
      <c r="ED282" s="677">
        <f>ED264-ED283</f>
        <v>-219</v>
      </c>
      <c r="EE282" s="677">
        <f>EE264-EE283</f>
        <v>-196</v>
      </c>
      <c r="EF282" s="1932"/>
      <c r="EG282" s="677">
        <f>EG264-EG283</f>
        <v>85</v>
      </c>
      <c r="EH282" s="677">
        <f>EH264-EH283</f>
        <v>-250</v>
      </c>
      <c r="EI282" s="677">
        <f>EI264-EI283</f>
        <v>96</v>
      </c>
      <c r="EJ282" s="677">
        <f>EJ264-EJ283</f>
        <v>26</v>
      </c>
      <c r="EK282" s="1932"/>
      <c r="EL282" s="677">
        <f>EL264-EL283</f>
        <v>-246</v>
      </c>
      <c r="EM282" s="677">
        <f>EM264-EM283</f>
        <v>242</v>
      </c>
      <c r="EN282" s="677">
        <f>EN264-EN283</f>
        <v>75</v>
      </c>
      <c r="EO282" s="2635">
        <f>EO264-(1+EO266)/(1+FX!EO90*FX!EO91)*EN264</f>
        <v>-222.18377940459686</v>
      </c>
      <c r="EP282" s="1932"/>
      <c r="EQ282" s="2635">
        <f>EQ264-(1+EQ266)/(1+FX!EQ90*FX!EQ91)*EO264</f>
        <v>-45.765533423556917</v>
      </c>
      <c r="ER282" s="2635">
        <f>ER264-(1+ER266)/(1+FX!ER90*FX!ER91)*EQ264</f>
        <v>0</v>
      </c>
      <c r="ES282" s="2635">
        <f>ES264-(1+ES266)/(1+FX!ES90*FX!ES91)*ER264</f>
        <v>0</v>
      </c>
      <c r="ET282" s="2635">
        <f>ET264-(1+ET266)/(1+FX!ET90*FX!ET91)*ES264</f>
        <v>0</v>
      </c>
      <c r="EU282" s="1932"/>
      <c r="EV282" s="2590"/>
      <c r="EW282" s="2590"/>
      <c r="EX282" s="2590"/>
      <c r="EY282" s="2590"/>
      <c r="EZ282" s="51"/>
      <c r="FA282" s="725"/>
      <c r="FB282" s="725"/>
    </row>
    <row r="283" spans="1:158" s="252" customFormat="1" ht="11.25" hidden="1" customHeight="1" outlineLevel="1">
      <c r="A283" s="5688" t="s">
        <v>619</v>
      </c>
      <c r="B283" s="3472"/>
      <c r="C283" s="3472"/>
      <c r="D283" s="3472"/>
      <c r="E283" s="3472"/>
      <c r="F283" s="4317"/>
      <c r="G283" s="3472"/>
      <c r="H283" s="3472"/>
      <c r="I283" s="3472"/>
      <c r="J283" s="3472"/>
      <c r="K283" s="3473"/>
      <c r="L283" s="3474"/>
      <c r="M283" s="3474"/>
      <c r="N283" s="3474"/>
      <c r="O283" s="3474"/>
      <c r="P283" s="3473"/>
      <c r="Q283" s="3475"/>
      <c r="R283" s="3474"/>
      <c r="S283" s="3474"/>
      <c r="T283" s="3474"/>
      <c r="U283" s="3473"/>
      <c r="V283" s="3475"/>
      <c r="W283" s="3474"/>
      <c r="X283" s="3474"/>
      <c r="Y283" s="3474"/>
      <c r="Z283" s="3473"/>
      <c r="AA283" s="3475"/>
      <c r="AB283" s="3474"/>
      <c r="AC283" s="3474"/>
      <c r="AD283" s="3474"/>
      <c r="AE283" s="3473"/>
      <c r="AF283" s="3475"/>
      <c r="AG283" s="3474"/>
      <c r="AH283" s="3474"/>
      <c r="AI283" s="3474"/>
      <c r="AJ283" s="3473"/>
      <c r="AK283" s="3475"/>
      <c r="AL283" s="3474"/>
      <c r="AM283" s="3474"/>
      <c r="AN283" s="3474"/>
      <c r="AO283" s="3473"/>
      <c r="AP283" s="3475"/>
      <c r="AQ283" s="3474"/>
      <c r="AR283" s="3474"/>
      <c r="AS283" s="3474"/>
      <c r="AT283" s="3473"/>
      <c r="AU283" s="3475"/>
      <c r="AV283" s="3474"/>
      <c r="AW283" s="3474"/>
      <c r="AX283" s="3474"/>
      <c r="AY283" s="3473"/>
      <c r="AZ283" s="3475"/>
      <c r="BA283" s="3474"/>
      <c r="BB283" s="3474"/>
      <c r="BC283" s="3474"/>
      <c r="BD283" s="3473"/>
      <c r="BE283" s="3475"/>
      <c r="BF283" s="3474"/>
      <c r="BG283" s="3474"/>
      <c r="BH283" s="3474"/>
      <c r="BI283" s="3473"/>
      <c r="BJ283" s="3475"/>
      <c r="BK283" s="3474"/>
      <c r="BL283" s="3474"/>
      <c r="BM283" s="3474"/>
      <c r="BN283" s="3473"/>
      <c r="BO283" s="3474"/>
      <c r="BP283" s="3474"/>
      <c r="BQ283" s="3474"/>
      <c r="BR283" s="3474"/>
      <c r="BS283" s="3476"/>
      <c r="BT283" s="3474"/>
      <c r="BU283" s="3474"/>
      <c r="BV283" s="3474"/>
      <c r="BW283" s="3474"/>
      <c r="BX283" s="3473"/>
      <c r="BY283" s="3474"/>
      <c r="BZ283" s="3474"/>
      <c r="CA283" s="3474"/>
      <c r="CB283" s="3474"/>
      <c r="CC283" s="3476"/>
      <c r="CD283" s="3475"/>
      <c r="CE283" s="3474"/>
      <c r="CF283" s="3474"/>
      <c r="CG283" s="3474"/>
      <c r="CH283" s="3473"/>
      <c r="CI283" s="3474"/>
      <c r="CJ283" s="3474"/>
      <c r="CK283" s="3474"/>
      <c r="CL283" s="3474"/>
      <c r="CM283" s="3473"/>
      <c r="CN283" s="3474"/>
      <c r="CO283" s="3474"/>
      <c r="CP283" s="3474"/>
      <c r="CQ283" s="3474"/>
      <c r="CR283" s="3473"/>
      <c r="CS283" s="2233"/>
      <c r="CT283" s="2233"/>
      <c r="CU283" s="2233"/>
      <c r="CV283" s="2233"/>
      <c r="CW283" s="3473"/>
      <c r="CX283" s="3474">
        <f>CX272-CX282</f>
        <v>3698</v>
      </c>
      <c r="CY283" s="3474">
        <f>CY272-CY282</f>
        <v>3642</v>
      </c>
      <c r="CZ283" s="3474">
        <f>CZ272-CZ282</f>
        <v>4173</v>
      </c>
      <c r="DA283" s="3474">
        <f>DA272-DA282</f>
        <v>4737</v>
      </c>
      <c r="DB283" s="3473"/>
      <c r="DC283" s="3474">
        <f>DC272-DC282</f>
        <v>4723</v>
      </c>
      <c r="DD283" s="3474">
        <f>DD272-DD282</f>
        <v>5105</v>
      </c>
      <c r="DE283" s="3474">
        <f>DE272-DE282</f>
        <v>5536</v>
      </c>
      <c r="DF283" s="3474">
        <f>DF264-DF282</f>
        <v>6123</v>
      </c>
      <c r="DG283" s="3473"/>
      <c r="DH283" s="3474">
        <f>DH264-DH282</f>
        <v>6030</v>
      </c>
      <c r="DI283" s="3474">
        <f>DI264-DI282</f>
        <v>6562</v>
      </c>
      <c r="DJ283" s="3474">
        <f>DJ264-DJ282</f>
        <v>6775</v>
      </c>
      <c r="DK283" s="3474">
        <f>DK264-DK282</f>
        <v>7522</v>
      </c>
      <c r="DL283" s="3476"/>
      <c r="DM283" s="3474">
        <f>DM264-DM282</f>
        <v>7275</v>
      </c>
      <c r="DN283" s="3474">
        <f>DN264-DN282</f>
        <v>7019</v>
      </c>
      <c r="DO283" s="3474">
        <f>DO264-DO282</f>
        <v>8278</v>
      </c>
      <c r="DP283" s="3474">
        <f>DP264-DP282</f>
        <v>9800</v>
      </c>
      <c r="DQ283" s="3476"/>
      <c r="DR283" s="5707">
        <f>DR264-DR282</f>
        <v>10300</v>
      </c>
      <c r="DS283" s="5707">
        <f>DS264-DS282</f>
        <v>11389</v>
      </c>
      <c r="DT283" s="5707">
        <f>DT264-DT282</f>
        <v>11839</v>
      </c>
      <c r="DU283" s="5708">
        <v>12872</v>
      </c>
      <c r="DV283" s="5711"/>
      <c r="DW283" s="5708">
        <v>11975</v>
      </c>
      <c r="DX283" s="5708">
        <v>12044</v>
      </c>
      <c r="DY283" s="5708">
        <v>11949</v>
      </c>
      <c r="DZ283" s="5708">
        <v>12345</v>
      </c>
      <c r="EA283" s="5711"/>
      <c r="EB283" s="5708">
        <v>11266</v>
      </c>
      <c r="EC283" s="5708">
        <v>12827</v>
      </c>
      <c r="ED283" s="5708">
        <v>13345</v>
      </c>
      <c r="EE283" s="5708">
        <v>14175</v>
      </c>
      <c r="EF283" s="3476"/>
      <c r="EG283" s="5708">
        <v>13204</v>
      </c>
      <c r="EH283" s="5708">
        <v>14073</v>
      </c>
      <c r="EI283" s="5708">
        <v>14451</v>
      </c>
      <c r="EJ283" s="5708">
        <v>15130</v>
      </c>
      <c r="EK283" s="3476"/>
      <c r="EL283" s="5708">
        <v>15100</v>
      </c>
      <c r="EM283" s="5708">
        <v>16238</v>
      </c>
      <c r="EN283" s="5708">
        <v>17744</v>
      </c>
      <c r="EO283" s="3474">
        <f t="shared" ref="EO283" si="1073">EO264-EO282</f>
        <v>18417.784493740441</v>
      </c>
      <c r="EP283" s="3476"/>
      <c r="EQ283" s="3474">
        <f t="shared" ref="EQ283:ET283" si="1074">EQ264-EQ282</f>
        <v>18739.973950240601</v>
      </c>
      <c r="ER283" s="3474">
        <f t="shared" si="1074"/>
        <v>20499.003770269366</v>
      </c>
      <c r="ES283" s="3474">
        <f t="shared" si="1074"/>
        <v>21951.774076887919</v>
      </c>
      <c r="ET283" s="3474">
        <f t="shared" si="1074"/>
        <v>22507.444120704291</v>
      </c>
      <c r="EU283" s="3476"/>
      <c r="EV283" s="3491"/>
      <c r="EW283" s="3491"/>
      <c r="EX283" s="3491"/>
      <c r="EY283" s="3491"/>
      <c r="EZ283" s="251"/>
      <c r="FA283" s="725"/>
      <c r="FB283" s="725"/>
    </row>
    <row r="284" spans="1:158" s="239" customFormat="1" ht="11.25" hidden="1" customHeight="1" outlineLevel="1">
      <c r="A284" s="5643" t="s">
        <v>620</v>
      </c>
      <c r="B284" s="2288"/>
      <c r="C284" s="2288"/>
      <c r="D284" s="2288"/>
      <c r="E284" s="2288"/>
      <c r="F284" s="4315"/>
      <c r="G284" s="2288"/>
      <c r="H284" s="2288"/>
      <c r="I284" s="2288"/>
      <c r="J284" s="2288"/>
      <c r="K284" s="2506"/>
      <c r="L284" s="2505"/>
      <c r="M284" s="2505"/>
      <c r="N284" s="2505"/>
      <c r="O284" s="2505"/>
      <c r="P284" s="2506"/>
      <c r="Q284" s="3502"/>
      <c r="R284" s="2505"/>
      <c r="S284" s="2505"/>
      <c r="T284" s="2505"/>
      <c r="U284" s="2506"/>
      <c r="V284" s="3502"/>
      <c r="W284" s="2505"/>
      <c r="X284" s="2505"/>
      <c r="Y284" s="2505"/>
      <c r="Z284" s="2506"/>
      <c r="AA284" s="3502"/>
      <c r="AB284" s="2505"/>
      <c r="AC284" s="2505"/>
      <c r="AD284" s="2505"/>
      <c r="AE284" s="2506"/>
      <c r="AF284" s="3502"/>
      <c r="AG284" s="2505"/>
      <c r="AH284" s="2505"/>
      <c r="AI284" s="2505"/>
      <c r="AJ284" s="2506"/>
      <c r="AK284" s="3502"/>
      <c r="AL284" s="2505"/>
      <c r="AM284" s="2505"/>
      <c r="AN284" s="2505"/>
      <c r="AO284" s="2506"/>
      <c r="AP284" s="3502"/>
      <c r="AQ284" s="2505"/>
      <c r="AR284" s="2505"/>
      <c r="AS284" s="2505"/>
      <c r="AT284" s="2506"/>
      <c r="AU284" s="3502"/>
      <c r="AV284" s="2505"/>
      <c r="AW284" s="2505"/>
      <c r="AX284" s="2505"/>
      <c r="AY284" s="2506"/>
      <c r="AZ284" s="3502"/>
      <c r="BA284" s="2505"/>
      <c r="BB284" s="2505"/>
      <c r="BC284" s="2505"/>
      <c r="BD284" s="2506"/>
      <c r="BE284" s="3502"/>
      <c r="BF284" s="2505"/>
      <c r="BG284" s="2505"/>
      <c r="BH284" s="2505"/>
      <c r="BI284" s="2506"/>
      <c r="BJ284" s="3502"/>
      <c r="BK284" s="2505"/>
      <c r="BL284" s="2505"/>
      <c r="BM284" s="2505"/>
      <c r="BN284" s="2506"/>
      <c r="BO284" s="2505"/>
      <c r="BP284" s="2505"/>
      <c r="BQ284" s="2505"/>
      <c r="BR284" s="2505"/>
      <c r="BS284" s="3507"/>
      <c r="BT284" s="2505"/>
      <c r="BU284" s="2505"/>
      <c r="BV284" s="2505"/>
      <c r="BW284" s="2505"/>
      <c r="BX284" s="2506"/>
      <c r="BY284" s="2505"/>
      <c r="BZ284" s="2505"/>
      <c r="CA284" s="2505"/>
      <c r="CB284" s="2505"/>
      <c r="CC284" s="3507"/>
      <c r="CD284" s="3502"/>
      <c r="CE284" s="2505"/>
      <c r="CF284" s="2505"/>
      <c r="CG284" s="2505"/>
      <c r="CH284" s="2506"/>
      <c r="CI284" s="2505"/>
      <c r="CJ284" s="2505"/>
      <c r="CK284" s="2505"/>
      <c r="CL284" s="2505"/>
      <c r="CM284" s="2506"/>
      <c r="CN284" s="2505"/>
      <c r="CO284" s="2505"/>
      <c r="CP284" s="2505"/>
      <c r="CQ284" s="2505"/>
      <c r="CR284" s="2506"/>
      <c r="CS284" s="3503"/>
      <c r="CT284" s="3503"/>
      <c r="CU284" s="3503"/>
      <c r="CV284" s="3503"/>
      <c r="CW284" s="2506"/>
      <c r="CX284" s="2505">
        <f>CX283/CV272-1</f>
        <v>2.4944567627494418E-2</v>
      </c>
      <c r="CY284" s="2505">
        <f>CY283/CX272-1</f>
        <v>2.3033707865168562E-2</v>
      </c>
      <c r="CZ284" s="2505">
        <f>CZ283/CY272-1</f>
        <v>0.12207582683517071</v>
      </c>
      <c r="DA284" s="2505">
        <f>DA283/CZ272-1</f>
        <v>0.12331041024424949</v>
      </c>
      <c r="DB284" s="2506"/>
      <c r="DC284" s="2505">
        <f>DC283/DA272-1</f>
        <v>5.7495741056217131E-3</v>
      </c>
      <c r="DD284" s="2505">
        <f>DD283/DC272-1</f>
        <v>5.9348412533720696E-2</v>
      </c>
      <c r="DE284" s="2505">
        <f>DE283/DD272-1</f>
        <v>8.7622789783889932E-2</v>
      </c>
      <c r="DF284" s="2505">
        <f>DF283/DE272-1</f>
        <v>0.13367894834289951</v>
      </c>
      <c r="DG284" s="2506"/>
      <c r="DH284" s="2505">
        <f>DH283/DF264-1</f>
        <v>-1.6580998176085604E-4</v>
      </c>
      <c r="DI284" s="2505">
        <f>DI283/DH264-1</f>
        <v>7.6443569553805713E-2</v>
      </c>
      <c r="DJ284" s="2505">
        <f>DJ283/DI264-1</f>
        <v>3.6566707466340276E-2</v>
      </c>
      <c r="DK284" s="2505">
        <f>DK283/DJ264-1</f>
        <v>0.10390372761960665</v>
      </c>
      <c r="DL284" s="3507"/>
      <c r="DM284" s="5076">
        <f>DM283/DK264-1</f>
        <v>-2.766639935846027E-2</v>
      </c>
      <c r="DN284" s="5076">
        <f>DN283/DM264-1</f>
        <v>-3.0256977065487689E-2</v>
      </c>
      <c r="DO284" s="5076">
        <f>DO283/DN264-1</f>
        <v>0.19193664506839458</v>
      </c>
      <c r="DP284" s="5076">
        <f>DP283/DO264-1</f>
        <v>0.15866635138330576</v>
      </c>
      <c r="DQ284" s="5081"/>
      <c r="DR284" s="5076">
        <f>DR283/DP264-1</f>
        <v>3.9459077606216475E-2</v>
      </c>
      <c r="DS284" s="5076">
        <f>DS283/DR264-1</f>
        <v>8.9335246293639425E-2</v>
      </c>
      <c r="DT284" s="5076">
        <f>DT283/DS264-1</f>
        <v>5.413587392039898E-2</v>
      </c>
      <c r="DU284" s="5076">
        <f>DU283/DT264-1</f>
        <v>9.9700982486117029E-2</v>
      </c>
      <c r="DV284" s="3507"/>
      <c r="DW284" s="5076">
        <f>DW283/DU264-1</f>
        <v>-5.9456487590323626E-2</v>
      </c>
      <c r="DX284" s="5076">
        <f>DX283/DW264-1</f>
        <v>1.7143822312304602E-2</v>
      </c>
      <c r="DY284" s="5076">
        <f>DY283/DX264-1</f>
        <v>2.0409906063193928E-2</v>
      </c>
      <c r="DZ284" s="5076">
        <f>DZ283/DY264-1</f>
        <v>7.4038628849834698E-2</v>
      </c>
      <c r="EA284" s="3507"/>
      <c r="EB284" s="5076">
        <f>EB283/DZ264-1</f>
        <v>-5.9520828115869451E-2</v>
      </c>
      <c r="EC284" s="5076">
        <f>EC283/EB264-1</f>
        <v>9.8108038695317257E-2</v>
      </c>
      <c r="ED284" s="5076">
        <f>ED283/EC264-1</f>
        <v>4.8475801382778183E-2</v>
      </c>
      <c r="EE284" s="5076">
        <f>EE283/ED264-1</f>
        <v>7.9917720554624427E-2</v>
      </c>
      <c r="EF284" s="3507"/>
      <c r="EG284" s="5076">
        <f>EG283/EE264-1</f>
        <v>-5.5440303312111028E-2</v>
      </c>
      <c r="EH284" s="5076">
        <f>EH283/EG264-1</f>
        <v>5.8996162239446148E-2</v>
      </c>
      <c r="EI284" s="5076">
        <f>EI283/EH264-1</f>
        <v>4.54315271648702E-2</v>
      </c>
      <c r="EJ284" s="5076">
        <f>EJ283/EI264-1</f>
        <v>4.0076991819619101E-2</v>
      </c>
      <c r="EK284" s="3507"/>
      <c r="EL284" s="5076">
        <f>EL283/EJ264-1</f>
        <v>-3.694906307732948E-3</v>
      </c>
      <c r="EM284" s="5076">
        <f>EM283/EL264-1</f>
        <v>9.3173555944526809E-2</v>
      </c>
      <c r="EN284" s="5076">
        <f>EN283/EM264-1</f>
        <v>7.6699029126213514E-2</v>
      </c>
      <c r="EO284" s="2505">
        <f>EO283/EN264-1</f>
        <v>3.3603709172256524E-2</v>
      </c>
      <c r="EP284" s="3507"/>
      <c r="EQ284" s="2505">
        <f>EQ283/EO264-1</f>
        <v>2.9917849069740265E-2</v>
      </c>
      <c r="ER284" s="2505">
        <f>ER283/EQ264-1</f>
        <v>9.6543020876388219E-2</v>
      </c>
      <c r="ES284" s="2505">
        <f>ES283/ER264-1</f>
        <v>7.0870288278378268E-2</v>
      </c>
      <c r="ET284" s="2505">
        <f>ET283/ES264-1</f>
        <v>2.5313218051082886E-2</v>
      </c>
      <c r="EU284" s="3507"/>
      <c r="EV284" s="2506"/>
      <c r="EW284" s="2506"/>
      <c r="EX284" s="2506"/>
      <c r="EY284" s="2506"/>
      <c r="EZ284" s="223"/>
      <c r="FA284" s="725"/>
      <c r="FB284" s="725"/>
    </row>
    <row r="285" spans="1:158" s="211" customFormat="1" ht="11.25" hidden="1" customHeight="1" outlineLevel="1">
      <c r="A285" s="5635" t="s">
        <v>22</v>
      </c>
      <c r="B285" s="2612"/>
      <c r="C285" s="2612"/>
      <c r="D285" s="2612"/>
      <c r="E285" s="2612"/>
      <c r="F285" s="4303"/>
      <c r="G285" s="2612"/>
      <c r="H285" s="2612"/>
      <c r="I285" s="2612"/>
      <c r="J285" s="2612"/>
      <c r="K285" s="1019"/>
      <c r="L285" s="209"/>
      <c r="M285" s="209"/>
      <c r="N285" s="209"/>
      <c r="O285" s="209"/>
      <c r="P285" s="1019"/>
      <c r="Q285" s="2576"/>
      <c r="R285" s="209"/>
      <c r="S285" s="209"/>
      <c r="T285" s="209"/>
      <c r="U285" s="1019"/>
      <c r="V285" s="2576"/>
      <c r="W285" s="209"/>
      <c r="X285" s="209"/>
      <c r="Y285" s="209"/>
      <c r="Z285" s="1019"/>
      <c r="AA285" s="2576"/>
      <c r="AB285" s="209"/>
      <c r="AC285" s="209"/>
      <c r="AD285" s="209"/>
      <c r="AE285" s="1019"/>
      <c r="AF285" s="2576"/>
      <c r="AG285" s="209"/>
      <c r="AH285" s="209"/>
      <c r="AI285" s="209"/>
      <c r="AJ285" s="1019"/>
      <c r="AK285" s="2655"/>
      <c r="AL285" s="2606"/>
      <c r="AM285" s="2606"/>
      <c r="AN285" s="2606"/>
      <c r="AO285" s="1019"/>
      <c r="AP285" s="2655"/>
      <c r="AQ285" s="2606"/>
      <c r="AR285" s="2606"/>
      <c r="AS285" s="2606"/>
      <c r="AT285" s="1019"/>
      <c r="AU285" s="2655"/>
      <c r="AV285" s="2606"/>
      <c r="AW285" s="2606"/>
      <c r="AX285" s="2606"/>
      <c r="AY285" s="1019"/>
      <c r="AZ285" s="2655"/>
      <c r="BA285" s="2606"/>
      <c r="BB285" s="2606"/>
      <c r="BC285" s="2606"/>
      <c r="BD285" s="1019"/>
      <c r="BE285" s="2655"/>
      <c r="BF285" s="2606"/>
      <c r="BG285" s="2606"/>
      <c r="BH285" s="2606"/>
      <c r="BI285" s="1019"/>
      <c r="BJ285" s="2655"/>
      <c r="BK285" s="2606"/>
      <c r="BL285" s="2606"/>
      <c r="BM285" s="2606"/>
      <c r="BN285" s="1019"/>
      <c r="BO285" s="209"/>
      <c r="BP285" s="209"/>
      <c r="BQ285" s="209"/>
      <c r="BR285" s="209"/>
      <c r="BS285" s="1933"/>
      <c r="BT285" s="2606"/>
      <c r="BU285" s="2606"/>
      <c r="BV285" s="2606"/>
      <c r="BW285" s="2606"/>
      <c r="BX285" s="1019"/>
      <c r="BY285" s="209"/>
      <c r="BZ285" s="209"/>
      <c r="CA285" s="209"/>
      <c r="CB285" s="209"/>
      <c r="CC285" s="1933"/>
      <c r="CD285" s="2655"/>
      <c r="CE285" s="2606"/>
      <c r="CF285" s="2606"/>
      <c r="CG285" s="2606"/>
      <c r="CH285" s="1019"/>
      <c r="CI285" s="2606"/>
      <c r="CJ285" s="2606"/>
      <c r="CK285" s="2606"/>
      <c r="CL285" s="2606"/>
      <c r="CM285" s="1019"/>
      <c r="CN285" s="2606"/>
      <c r="CO285" s="2606"/>
      <c r="CP285" s="2606"/>
      <c r="CQ285" s="2606"/>
      <c r="CR285" s="1019"/>
      <c r="CS285" s="2671"/>
      <c r="CT285" s="2671"/>
      <c r="CU285" s="2671"/>
      <c r="CV285" s="2671"/>
      <c r="CW285" s="1019"/>
      <c r="CX285" s="2606">
        <f>(CX266-CX284)*10000</f>
        <v>-218.95787139689648</v>
      </c>
      <c r="CY285" s="2606">
        <f>(CY266-CY284)*10000</f>
        <v>76.377483382026327</v>
      </c>
      <c r="CZ285" s="2606">
        <f>(CZ266-CZ284)*10000</f>
        <v>36.614385803788174</v>
      </c>
      <c r="DA285" s="2606">
        <f>(DA266-DA284)*10000</f>
        <v>-70.922630663499135</v>
      </c>
      <c r="DB285" s="1019"/>
      <c r="DC285" s="2606">
        <f>(DC266-DC284)*10000</f>
        <v>192.13088578397875</v>
      </c>
      <c r="DD285" s="2606">
        <f t="shared" ref="DD285:DK285" si="1075">(DD266-DD284)*10000</f>
        <v>1.8530936469729475</v>
      </c>
      <c r="DE285" s="2606">
        <f t="shared" si="1075"/>
        <v>-220.03929273084478</v>
      </c>
      <c r="DF285" s="2606">
        <f t="shared" si="1075"/>
        <v>-217.68918844374375</v>
      </c>
      <c r="DG285" s="1019"/>
      <c r="DH285" s="2606">
        <f t="shared" si="1075"/>
        <v>109.43458796219497</v>
      </c>
      <c r="DI285" s="2606">
        <f t="shared" si="1075"/>
        <v>-42.650918635169788</v>
      </c>
      <c r="DJ285" s="2606">
        <f t="shared" si="1075"/>
        <v>59.669522643819306</v>
      </c>
      <c r="DK285" s="2606">
        <f t="shared" si="1075"/>
        <v>-58.702670971528818</v>
      </c>
      <c r="DL285" s="1933"/>
      <c r="DM285" s="2606">
        <f>(DM266-DM284)*10000</f>
        <v>-49.45201817695866</v>
      </c>
      <c r="DN285" s="2606">
        <f>(DN266-DN284)*10000</f>
        <v>-102.23818734457102</v>
      </c>
      <c r="DO285" s="2606">
        <f>(DO266-DO284)*10000</f>
        <v>259.1792656587466</v>
      </c>
      <c r="DP285" s="2606">
        <f>(DP266-DP284)*10000</f>
        <v>128.87207377630716</v>
      </c>
      <c r="DQ285" s="1933"/>
      <c r="DR285" s="2606">
        <f>(DR266-DR284)*10000</f>
        <v>156.42345342617992</v>
      </c>
      <c r="DS285" s="2606">
        <f>(DS266-DS284)*10000</f>
        <v>-151.1238641798185</v>
      </c>
      <c r="DT285" s="2606">
        <f>(DT266-DT284)*10000</f>
        <v>-119.31261686403793</v>
      </c>
      <c r="DU285" s="2606">
        <f>(DU266-DU284)*10000</f>
        <v>-119.60700555318171</v>
      </c>
      <c r="DV285" s="1933"/>
      <c r="DW285" s="2606">
        <f>(DW266-DW284)*10000</f>
        <v>-105.24662268300288</v>
      </c>
      <c r="DX285" s="2606">
        <f>(DX266-DX284)*10000</f>
        <v>-282.07077104974167</v>
      </c>
      <c r="DY285" s="2606">
        <f>(DY266-DY284)*10000</f>
        <v>-388.55678906917211</v>
      </c>
      <c r="DZ285" s="2606">
        <f>(DZ266-DZ284)*10000</f>
        <v>-318.42700539411959</v>
      </c>
      <c r="EA285" s="1933"/>
      <c r="EB285" s="2606">
        <f>(EB266-EB284)*10000</f>
        <v>346.43960263795014</v>
      </c>
      <c r="EC285" s="2606">
        <f>(EC266-EC284)*10000</f>
        <v>-84.753017721086451</v>
      </c>
      <c r="ED285" s="2606">
        <f>(ED266-ED284)*10000</f>
        <v>-172.06159648020193</v>
      </c>
      <c r="EE285" s="2606">
        <f>(EE266-EE284)*10000</f>
        <v>-149.321956422368</v>
      </c>
      <c r="EF285" s="1933"/>
      <c r="EG285" s="2606">
        <f>(EG266-EG284)*10000</f>
        <v>60.805493955218282</v>
      </c>
      <c r="EH285" s="2606">
        <f>(EH266-EH284)*10000</f>
        <v>-188.12551734517234</v>
      </c>
      <c r="EI285" s="2606">
        <f>(EI266-EI284)*10000</f>
        <v>69.449468277507094</v>
      </c>
      <c r="EJ285" s="2606">
        <f>(EJ266-EJ284)*10000</f>
        <v>17.873100983021306</v>
      </c>
      <c r="EK285" s="1933"/>
      <c r="EL285" s="2606">
        <f>(EL266-EL284)*10000</f>
        <v>-162.3119556611241</v>
      </c>
      <c r="EM285" s="2606">
        <f>(EM266-EM284)*10000</f>
        <v>162.91907903594804</v>
      </c>
      <c r="EN285" s="2606">
        <f>(EN266-EN284)*10000</f>
        <v>45.50970873786531</v>
      </c>
      <c r="EO285" s="2606">
        <f>(EO266-EO284)*10000</f>
        <v>-124.68925271036157</v>
      </c>
      <c r="EP285" s="1933"/>
      <c r="EQ285" s="2606">
        <f t="shared" ref="EQ285:ET285" si="1076">(EQ266-EQ284)*10000</f>
        <v>-25.151977196058439</v>
      </c>
      <c r="ER285" s="2606">
        <f t="shared" si="1076"/>
        <v>0</v>
      </c>
      <c r="ES285" s="2606">
        <f t="shared" si="1076"/>
        <v>0</v>
      </c>
      <c r="ET285" s="2606">
        <f t="shared" si="1076"/>
        <v>0</v>
      </c>
      <c r="EU285" s="1933"/>
      <c r="EV285" s="1019"/>
      <c r="EW285" s="1019"/>
      <c r="EX285" s="1019"/>
      <c r="EY285" s="1019"/>
      <c r="EZ285" s="209"/>
      <c r="FA285" s="725"/>
      <c r="FB285" s="725"/>
    </row>
    <row r="286" spans="1:158" s="239" customFormat="1" ht="11.25" hidden="1" customHeight="1" outlineLevel="1">
      <c r="A286" s="5690" t="s">
        <v>624</v>
      </c>
      <c r="B286" s="4538"/>
      <c r="C286" s="3374"/>
      <c r="D286" s="3374"/>
      <c r="E286" s="3374"/>
      <c r="F286" s="5577"/>
      <c r="G286" s="4538"/>
      <c r="H286" s="3374"/>
      <c r="I286" s="3374"/>
      <c r="J286" s="3374"/>
      <c r="K286" s="3375"/>
      <c r="L286" s="3376"/>
      <c r="M286" s="3376"/>
      <c r="N286" s="3376"/>
      <c r="O286" s="3376"/>
      <c r="P286" s="3375"/>
      <c r="Q286" s="2495"/>
      <c r="R286" s="3376"/>
      <c r="S286" s="3376"/>
      <c r="T286" s="3376"/>
      <c r="U286" s="3375"/>
      <c r="V286" s="2495"/>
      <c r="W286" s="3376"/>
      <c r="X286" s="3376"/>
      <c r="Y286" s="3376"/>
      <c r="Z286" s="3375"/>
      <c r="AA286" s="2495"/>
      <c r="AB286" s="3376"/>
      <c r="AC286" s="3376"/>
      <c r="AD286" s="3376"/>
      <c r="AE286" s="3375"/>
      <c r="AF286" s="2495"/>
      <c r="AG286" s="3376"/>
      <c r="AH286" s="3376"/>
      <c r="AI286" s="3376"/>
      <c r="AJ286" s="3375"/>
      <c r="AK286" s="2348"/>
      <c r="AL286" s="3377"/>
      <c r="AM286" s="3377"/>
      <c r="AN286" s="3377"/>
      <c r="AO286" s="3375"/>
      <c r="AP286" s="2348"/>
      <c r="AQ286" s="3377"/>
      <c r="AR286" s="3377"/>
      <c r="AS286" s="3377"/>
      <c r="AT286" s="3375"/>
      <c r="AU286" s="2348"/>
      <c r="AV286" s="3377"/>
      <c r="AW286" s="3377"/>
      <c r="AX286" s="3376"/>
      <c r="AY286" s="3375"/>
      <c r="AZ286" s="2599"/>
      <c r="BA286" s="3374"/>
      <c r="BB286" s="3374"/>
      <c r="BC286" s="3374"/>
      <c r="BD286" s="3375"/>
      <c r="BE286" s="2599"/>
      <c r="BF286" s="3374"/>
      <c r="BG286" s="3374"/>
      <c r="BH286" s="3374"/>
      <c r="BI286" s="3375"/>
      <c r="BJ286" s="2599"/>
      <c r="BK286" s="3374"/>
      <c r="BL286" s="3374"/>
      <c r="BM286" s="3374"/>
      <c r="BN286" s="3375"/>
      <c r="BO286" s="3376"/>
      <c r="BP286" s="3376"/>
      <c r="BQ286" s="3376"/>
      <c r="BR286" s="3376"/>
      <c r="BS286" s="2496"/>
      <c r="BT286" s="3374"/>
      <c r="BU286" s="3374"/>
      <c r="BV286" s="3374"/>
      <c r="BW286" s="3374"/>
      <c r="BX286" s="2496"/>
      <c r="BY286" s="3376"/>
      <c r="BZ286" s="3376"/>
      <c r="CA286" s="3376"/>
      <c r="CB286" s="3376"/>
      <c r="CC286" s="2496"/>
      <c r="CD286" s="3374"/>
      <c r="CE286" s="3374"/>
      <c r="CF286" s="3374"/>
      <c r="CG286" s="3374"/>
      <c r="CH286" s="2496"/>
      <c r="CI286" s="3374"/>
      <c r="CJ286" s="3374"/>
      <c r="CK286" s="3374"/>
      <c r="CL286" s="3374"/>
      <c r="CM286" s="2496"/>
      <c r="CN286" s="3374"/>
      <c r="CO286" s="3374"/>
      <c r="CP286" s="3374"/>
      <c r="CQ286" s="3374"/>
      <c r="CR286" s="2496"/>
      <c r="CS286" s="3378"/>
      <c r="CT286" s="3378"/>
      <c r="CU286" s="3378"/>
      <c r="CV286" s="3378"/>
      <c r="CW286" s="2496"/>
      <c r="CX286" s="3374">
        <f>(1+CX274)/(1+CX284)-1</f>
        <v>-3.7317468902109185E-2</v>
      </c>
      <c r="CY286" s="3374">
        <f>(1+CY274)/(1+CY284)-1</f>
        <v>2.1142229544206304E-2</v>
      </c>
      <c r="CZ286" s="3374">
        <f>(1+CZ274)/(1+CZ284)-1</f>
        <v>1.0543973160795472E-2</v>
      </c>
      <c r="DA286" s="3374">
        <f>(1+DA274)/(1+DA284)-1</f>
        <v>-8.6552670466540915E-3</v>
      </c>
      <c r="DB286" s="2496"/>
      <c r="DC286" s="3374">
        <f>(1+DC274)/(1+DC284)-1</f>
        <v>2.0326063942409434E-2</v>
      </c>
      <c r="DD286" s="3374">
        <f>(1+DD274)/(1+DD284)-1</f>
        <v>-2.9382957884426242E-3</v>
      </c>
      <c r="DE286" s="3374">
        <f>(1+DE274)/(1+DE284)-1</f>
        <v>-2.4385838150289052E-2</v>
      </c>
      <c r="DF286" s="3374">
        <f>(1+DF274)/(1+DF284)-1</f>
        <v>-1.5025314388371847E-2</v>
      </c>
      <c r="DG286" s="2496"/>
      <c r="DH286" s="3374">
        <f>(1+DH266)/(1+DH284)-1</f>
        <v>1.0945273631840724E-2</v>
      </c>
      <c r="DI286" s="3374">
        <f>(1+DI266)/(1+DI284)-1</f>
        <v>-3.96220664431568E-3</v>
      </c>
      <c r="DJ286" s="3374">
        <f>(1+DJ266)/(1+DJ284)-1</f>
        <v>5.7564575645756566E-3</v>
      </c>
      <c r="DK286" s="3374">
        <f>(1+DK266)/(1+DK284)-1</f>
        <v>-5.31773464504115E-3</v>
      </c>
      <c r="DL286" s="2496"/>
      <c r="DM286" s="3374">
        <f>(1+DM266)/(1+DM284)-1</f>
        <v>-5.0859106529210774E-3</v>
      </c>
      <c r="DN286" s="3374">
        <f>(1+DN266)/(1+DN284)-1</f>
        <v>-1.0542812366434062E-2</v>
      </c>
      <c r="DO286" s="3374">
        <f>(1+DO266)/(1+DO284)-1</f>
        <v>2.1744382701135434E-2</v>
      </c>
      <c r="DP286" s="3374">
        <f>(1+DP266)/(1+DP284)-1</f>
        <v>1.1122448979591804E-2</v>
      </c>
      <c r="DQ286" s="2496"/>
      <c r="DR286" s="3374">
        <f>(1+DR266)/(1+DR284)-1</f>
        <v>1.5048543689320626E-2</v>
      </c>
      <c r="DS286" s="3374">
        <f>(1+DS266)/(1+DS284)-1</f>
        <v>-1.3873035385020605E-2</v>
      </c>
      <c r="DT286" s="3374">
        <f>(1+DT266)/(1+DT284)-1</f>
        <v>-1.1318523523946356E-2</v>
      </c>
      <c r="DU286" s="3374">
        <f>(1+DU266)/(1+DU284)-1</f>
        <v>-1.0876320696084463E-2</v>
      </c>
      <c r="DV286" s="2496"/>
      <c r="DW286" s="3374">
        <f>(1+DW266)/(1+DW284)-1</f>
        <v>-1.118997912317321E-2</v>
      </c>
      <c r="DX286" s="3374">
        <f>(1+DX266)/(1+DX284)-1</f>
        <v>-2.7731650614413739E-2</v>
      </c>
      <c r="DY286" s="3374">
        <f>(1+DY266)/(1+DY284)-1</f>
        <v>-3.8078500292911599E-2</v>
      </c>
      <c r="DZ286" s="3374">
        <f>(1+DZ266)/(1+DZ284)-1</f>
        <v>-2.9647630619684118E-2</v>
      </c>
      <c r="EA286" s="2496"/>
      <c r="EB286" s="3374">
        <f>(1+EB266)/(1+EB284)-1</f>
        <v>3.6836499201136297E-2</v>
      </c>
      <c r="EC286" s="3374">
        <f>(1+EC266)/(1+EC284)-1</f>
        <v>-7.7180946441102183E-3</v>
      </c>
      <c r="ED286" s="3374">
        <f>(1+ED266)/(1+ED284)-1</f>
        <v>-1.6410640689396905E-2</v>
      </c>
      <c r="EE286" s="3374">
        <f>(1+EE266)/(1+EE284)-1</f>
        <v>-1.3827160493827151E-2</v>
      </c>
      <c r="EF286" s="2496"/>
      <c r="EG286" s="3374">
        <f>(1+EG266)/(1+EG284)-1</f>
        <v>6.4374431990306125E-3</v>
      </c>
      <c r="EH286" s="3374">
        <f>(1+EH266)/(1+EH284)-1</f>
        <v>-1.7764513607617438E-2</v>
      </c>
      <c r="EI286" s="3374">
        <f>(1+EI266)/(1+EI284)-1</f>
        <v>6.6431388831220683E-3</v>
      </c>
      <c r="EJ286" s="3374">
        <f>(1+EJ266)/(1+EJ284)-1</f>
        <v>1.7184401850629527E-3</v>
      </c>
      <c r="EK286" s="2496"/>
      <c r="EL286" s="3374">
        <f>(1+EL266)/(1+EL284)-1</f>
        <v>-1.6291390728476851E-2</v>
      </c>
      <c r="EM286" s="3374">
        <f>(1+EM266)/(1+EM284)-1</f>
        <v>1.4903313215913094E-2</v>
      </c>
      <c r="EN286" s="3374">
        <f>(1+EN266)/(1+EN284)-1</f>
        <v>4.2267808836791154E-3</v>
      </c>
      <c r="EO286" s="3374">
        <f>(1+EO266)/(1+EO284)-1</f>
        <v>-1.2063545399833786E-2</v>
      </c>
      <c r="EP286" s="2496"/>
      <c r="EQ286" s="3374">
        <f>(1+EQ266)/(1+EQ284)-1</f>
        <v>-2.4421343137975837E-3</v>
      </c>
      <c r="ER286" s="3374">
        <f>(1+ER266)/(1+ER284)-1</f>
        <v>0</v>
      </c>
      <c r="ES286" s="3374">
        <f>(1+ES266)/(1+ES284)-1</f>
        <v>0</v>
      </c>
      <c r="ET286" s="3374">
        <f>(1+ET266)/(1+ET284)-1</f>
        <v>0</v>
      </c>
      <c r="EU286" s="2496"/>
      <c r="EV286" s="2496"/>
      <c r="EW286" s="2496"/>
      <c r="EX286" s="2496"/>
      <c r="EY286" s="2496"/>
      <c r="FA286" s="725"/>
      <c r="FB286" s="725"/>
    </row>
    <row r="287" spans="1:158" s="31" customFormat="1" ht="11.25" customHeight="1" collapsed="1">
      <c r="A287" s="5662" t="s">
        <v>1113</v>
      </c>
      <c r="B287" s="2918"/>
      <c r="C287" s="2918"/>
      <c r="D287" s="2918"/>
      <c r="E287" s="2918"/>
      <c r="F287" s="5566"/>
      <c r="G287" s="2918"/>
      <c r="H287" s="2918"/>
      <c r="I287" s="2918"/>
      <c r="J287" s="2918"/>
      <c r="K287" s="5198"/>
      <c r="L287" s="2918"/>
      <c r="M287" s="2918"/>
      <c r="N287" s="2918"/>
      <c r="O287" s="2918"/>
      <c r="P287" s="5198"/>
      <c r="Q287" s="5197"/>
      <c r="R287" s="2918"/>
      <c r="S287" s="2918"/>
      <c r="T287" s="2918"/>
      <c r="U287" s="5198"/>
      <c r="V287" s="5197"/>
      <c r="W287" s="2918"/>
      <c r="X287" s="2918"/>
      <c r="Y287" s="2918"/>
      <c r="Z287" s="5198"/>
      <c r="AA287" s="5197"/>
      <c r="AB287" s="2918"/>
      <c r="AC287" s="2918"/>
      <c r="AD287" s="2918"/>
      <c r="AE287" s="5198"/>
      <c r="AF287" s="5197"/>
      <c r="AG287" s="2918"/>
      <c r="AH287" s="2918"/>
      <c r="AI287" s="2918"/>
      <c r="AJ287" s="5198"/>
      <c r="AK287" s="5197"/>
      <c r="AL287" s="2918"/>
      <c r="AM287" s="2918"/>
      <c r="AN287" s="2918"/>
      <c r="AO287" s="5198"/>
      <c r="AP287" s="5197"/>
      <c r="AQ287" s="2918"/>
      <c r="AR287" s="2918"/>
      <c r="AS287" s="2918"/>
      <c r="AT287" s="5198"/>
      <c r="AU287" s="5197"/>
      <c r="AV287" s="2918"/>
      <c r="AW287" s="2918"/>
      <c r="AX287" s="2918"/>
      <c r="AY287" s="5198"/>
      <c r="AZ287" s="5197"/>
      <c r="BA287" s="2918"/>
      <c r="BB287" s="2918"/>
      <c r="BC287" s="2918"/>
      <c r="BD287" s="5198"/>
      <c r="BE287" s="5197"/>
      <c r="BF287" s="2918"/>
      <c r="BG287" s="2918"/>
      <c r="BH287" s="2918"/>
      <c r="BI287" s="5198"/>
      <c r="BJ287" s="5197"/>
      <c r="BK287" s="2918"/>
      <c r="BL287" s="2918"/>
      <c r="BM287" s="2918"/>
      <c r="BN287" s="5198"/>
      <c r="BO287" s="2918"/>
      <c r="BP287" s="2918"/>
      <c r="BQ287" s="2918"/>
      <c r="BR287" s="2918"/>
      <c r="BS287" s="5198"/>
      <c r="BT287" s="2918"/>
      <c r="BU287" s="2918"/>
      <c r="BV287" s="2918"/>
      <c r="BW287" s="2918"/>
      <c r="BX287" s="5198"/>
      <c r="BY287" s="2918"/>
      <c r="BZ287" s="2918"/>
      <c r="CA287" s="2918"/>
      <c r="CB287" s="2918"/>
      <c r="CC287" s="5198"/>
      <c r="CD287" s="2918"/>
      <c r="CE287" s="2918"/>
      <c r="CF287" s="2918"/>
      <c r="CG287" s="2918"/>
      <c r="CH287" s="5198"/>
      <c r="CI287" s="2347"/>
      <c r="CJ287" s="2918"/>
      <c r="CK287" s="2918"/>
      <c r="CL287" s="2918"/>
      <c r="CM287" s="5198"/>
      <c r="CN287" s="2918"/>
      <c r="CO287" s="2918"/>
      <c r="CP287" s="2918"/>
      <c r="CQ287" s="2918"/>
      <c r="CR287" s="5198"/>
      <c r="CS287" s="2918"/>
      <c r="CT287" s="2918"/>
      <c r="CU287" s="2918"/>
      <c r="CV287" s="5111"/>
      <c r="CW287" s="5213"/>
      <c r="CX287" s="5111"/>
      <c r="CY287" s="5111"/>
      <c r="CZ287" s="5111"/>
      <c r="DA287" s="5111"/>
      <c r="DB287" s="5213"/>
      <c r="DC287" s="5111"/>
      <c r="DD287" s="5111"/>
      <c r="DE287" s="5111"/>
      <c r="DF287" s="5111"/>
      <c r="DG287" s="5213"/>
      <c r="DH287" s="5111"/>
      <c r="DI287" s="5111"/>
      <c r="DJ287" s="5111"/>
      <c r="DK287" s="5111"/>
      <c r="DL287" s="5213"/>
      <c r="DM287" s="5111"/>
      <c r="DN287" s="5111"/>
      <c r="DO287" s="5111"/>
      <c r="DP287" s="5111"/>
      <c r="DQ287" s="5199"/>
      <c r="DR287" s="5111"/>
      <c r="DS287" s="5111"/>
      <c r="DT287" s="5111"/>
      <c r="DU287" s="5111"/>
      <c r="DV287" s="5199"/>
      <c r="DW287" s="5111"/>
      <c r="DX287" s="5111"/>
      <c r="DY287" s="5111"/>
      <c r="DZ287" s="5111"/>
      <c r="EA287" s="5199"/>
      <c r="EB287" s="5111"/>
      <c r="EC287" s="5111"/>
      <c r="ED287" s="5111"/>
      <c r="EE287" s="5111"/>
      <c r="EF287" s="5199"/>
      <c r="EG287" s="5111"/>
      <c r="EH287" s="5111"/>
      <c r="EI287" s="5111"/>
      <c r="EJ287" s="5111"/>
      <c r="EK287" s="5199"/>
      <c r="EL287" s="5111"/>
      <c r="EM287" s="5111"/>
      <c r="EN287" s="5111"/>
      <c r="EO287" s="5111"/>
      <c r="EP287" s="5199"/>
      <c r="EQ287" s="5111"/>
      <c r="ER287" s="5111"/>
      <c r="ES287" s="5111"/>
      <c r="ET287" s="5111"/>
      <c r="EU287" s="5199"/>
      <c r="EV287" s="5213"/>
      <c r="EW287" s="5213"/>
      <c r="EX287" s="5213"/>
      <c r="EY287" s="5213"/>
      <c r="EZ287" s="32"/>
      <c r="FA287" s="725"/>
      <c r="FB287" s="725"/>
    </row>
    <row r="288" spans="1:158" s="168" customFormat="1" ht="11.25" customHeight="1">
      <c r="A288" s="3568" t="s">
        <v>614</v>
      </c>
      <c r="B288" s="1968"/>
      <c r="C288" s="1968"/>
      <c r="D288" s="1968"/>
      <c r="E288" s="1968"/>
      <c r="F288" s="5567"/>
      <c r="G288" s="1968"/>
      <c r="H288" s="1968"/>
      <c r="I288" s="1968"/>
      <c r="J288" s="1968"/>
      <c r="K288" s="3464"/>
      <c r="L288" s="1968"/>
      <c r="M288" s="1968"/>
      <c r="N288" s="1968"/>
      <c r="O288" s="1968"/>
      <c r="P288" s="3464"/>
      <c r="Q288" s="2898"/>
      <c r="R288" s="1968"/>
      <c r="S288" s="1968"/>
      <c r="T288" s="1968"/>
      <c r="U288" s="3464"/>
      <c r="V288" s="2898"/>
      <c r="W288" s="1968"/>
      <c r="X288" s="1968"/>
      <c r="Y288" s="1968"/>
      <c r="Z288" s="3464"/>
      <c r="AA288" s="2898"/>
      <c r="AB288" s="1968"/>
      <c r="AC288" s="1968"/>
      <c r="AD288" s="3465"/>
      <c r="AE288" s="3464"/>
      <c r="AF288" s="2898"/>
      <c r="AG288" s="1968"/>
      <c r="AH288" s="1968"/>
      <c r="AI288" s="3465"/>
      <c r="AJ288" s="3464"/>
      <c r="AK288" s="2898"/>
      <c r="AL288" s="1968"/>
      <c r="AM288" s="1968"/>
      <c r="AN288" s="1968"/>
      <c r="AO288" s="3464"/>
      <c r="AP288" s="2898"/>
      <c r="AQ288" s="1968"/>
      <c r="AR288" s="1968"/>
      <c r="AS288" s="1968"/>
      <c r="AT288" s="3464"/>
      <c r="AU288" s="2898"/>
      <c r="AV288" s="1968"/>
      <c r="AW288" s="1968"/>
      <c r="AX288" s="1968"/>
      <c r="AY288" s="3464"/>
      <c r="AZ288" s="2898"/>
      <c r="BA288" s="1968"/>
      <c r="BB288" s="1968"/>
      <c r="BC288" s="1968"/>
      <c r="BD288" s="3464"/>
      <c r="BE288" s="2898"/>
      <c r="BF288" s="1968"/>
      <c r="BG288" s="1968"/>
      <c r="BH288" s="1968"/>
      <c r="BI288" s="3464"/>
      <c r="BJ288" s="2898"/>
      <c r="BK288" s="1968"/>
      <c r="BL288" s="1968"/>
      <c r="BM288" s="1968"/>
      <c r="BN288" s="3464"/>
      <c r="BO288" s="1968"/>
      <c r="BP288" s="1968"/>
      <c r="BQ288" s="1968"/>
      <c r="BR288" s="1968"/>
      <c r="BS288" s="3477"/>
      <c r="BT288" s="1968"/>
      <c r="BU288" s="1968"/>
      <c r="BV288" s="1968"/>
      <c r="BW288" s="1968"/>
      <c r="BX288" s="3464"/>
      <c r="BY288" s="1968"/>
      <c r="BZ288" s="1968"/>
      <c r="CA288" s="1968"/>
      <c r="CB288" s="1968"/>
      <c r="CC288" s="3477"/>
      <c r="CD288" s="1968"/>
      <c r="CE288" s="1968"/>
      <c r="CF288" s="1968"/>
      <c r="CG288" s="1968"/>
      <c r="CH288" s="3464"/>
      <c r="CI288" s="3478"/>
      <c r="CJ288" s="1968"/>
      <c r="CK288" s="1968"/>
      <c r="CL288" s="1968"/>
      <c r="CM288" s="3464"/>
      <c r="CN288" s="1968"/>
      <c r="CO288" s="1968"/>
      <c r="CP288" s="1968"/>
      <c r="CQ288" s="1968"/>
      <c r="CR288" s="3464">
        <f t="shared" ref="CR288:DF288" si="1077">CR198</f>
        <v>3924</v>
      </c>
      <c r="CS288" s="1968">
        <f t="shared" si="1077"/>
        <v>947</v>
      </c>
      <c r="CT288" s="1968">
        <f t="shared" si="1077"/>
        <v>1076</v>
      </c>
      <c r="CU288" s="1968">
        <f t="shared" si="1077"/>
        <v>1162</v>
      </c>
      <c r="CV288" s="1968">
        <f t="shared" si="1077"/>
        <v>1443</v>
      </c>
      <c r="CW288" s="3464">
        <f t="shared" si="1077"/>
        <v>4628</v>
      </c>
      <c r="CX288" s="1968">
        <f t="shared" si="1077"/>
        <v>1271</v>
      </c>
      <c r="CY288" s="1968">
        <f t="shared" si="1077"/>
        <v>1413</v>
      </c>
      <c r="CZ288" s="1968">
        <f t="shared" si="1077"/>
        <v>1546</v>
      </c>
      <c r="DA288" s="1968">
        <f t="shared" si="1077"/>
        <v>1895</v>
      </c>
      <c r="DB288" s="3464">
        <f t="shared" si="1077"/>
        <v>6125</v>
      </c>
      <c r="DC288" s="1968">
        <f t="shared" si="1077"/>
        <v>1724</v>
      </c>
      <c r="DD288" s="1968">
        <f t="shared" si="1077"/>
        <v>1849</v>
      </c>
      <c r="DE288" s="1968">
        <f t="shared" si="1077"/>
        <v>1835</v>
      </c>
      <c r="DF288" s="1968">
        <f t="shared" si="1077"/>
        <v>2201</v>
      </c>
      <c r="DG288" s="3464">
        <f t="shared" ref="DG288:DX288" si="1078">DG198</f>
        <v>7609</v>
      </c>
      <c r="DH288" s="1968">
        <f t="shared" si="1078"/>
        <v>1906</v>
      </c>
      <c r="DI288" s="1968">
        <f t="shared" si="1078"/>
        <v>2124</v>
      </c>
      <c r="DJ288" s="1968">
        <f t="shared" si="1078"/>
        <v>2290</v>
      </c>
      <c r="DK288" s="1968">
        <f t="shared" si="1078"/>
        <v>2666</v>
      </c>
      <c r="DL288" s="3464">
        <f t="shared" si="1078"/>
        <v>8986</v>
      </c>
      <c r="DM288" s="1968">
        <f t="shared" si="1078"/>
        <v>2157</v>
      </c>
      <c r="DN288" s="1968">
        <f t="shared" si="1078"/>
        <v>1839</v>
      </c>
      <c r="DO288" s="1968">
        <f t="shared" si="1078"/>
        <v>2371</v>
      </c>
      <c r="DP288" s="1968">
        <f t="shared" si="1078"/>
        <v>3050</v>
      </c>
      <c r="DQ288" s="3464">
        <f t="shared" si="1078"/>
        <v>9417</v>
      </c>
      <c r="DR288" s="1968">
        <f t="shared" si="1078"/>
        <v>2905</v>
      </c>
      <c r="DS288" s="1968">
        <f t="shared" si="1078"/>
        <v>3364</v>
      </c>
      <c r="DT288" s="1968">
        <f t="shared" si="1078"/>
        <v>3688</v>
      </c>
      <c r="DU288" s="1968">
        <f t="shared" si="1078"/>
        <v>4447</v>
      </c>
      <c r="DV288" s="3464">
        <f t="shared" si="1078"/>
        <v>14404</v>
      </c>
      <c r="DW288" s="1968">
        <f t="shared" si="1078"/>
        <v>3842</v>
      </c>
      <c r="DX288" s="1968">
        <f t="shared" si="1078"/>
        <v>4340</v>
      </c>
      <c r="DY288" s="1968">
        <f t="shared" ref="DY288:EC289" si="1079">DY198</f>
        <v>4138</v>
      </c>
      <c r="DZ288" s="1968">
        <f t="shared" si="1079"/>
        <v>4656</v>
      </c>
      <c r="EA288" s="3464">
        <f t="shared" si="1079"/>
        <v>16976</v>
      </c>
      <c r="EB288" s="1968">
        <f t="shared" si="1079"/>
        <v>4080</v>
      </c>
      <c r="EC288" s="1968">
        <f t="shared" si="1079"/>
        <v>4511</v>
      </c>
      <c r="ED288" s="1968">
        <f>ED198</f>
        <v>4553</v>
      </c>
      <c r="EE288" s="1968">
        <f t="shared" ref="EE288" si="1080">EE198</f>
        <v>5176</v>
      </c>
      <c r="EF288" s="3464">
        <f>EF198</f>
        <v>18320</v>
      </c>
      <c r="EG288" s="1968">
        <f t="shared" ref="EG288:EH288" si="1081">EG198</f>
        <v>4653</v>
      </c>
      <c r="EH288" s="1968">
        <f t="shared" si="1081"/>
        <v>4938</v>
      </c>
      <c r="EI288" s="1968">
        <f>EI198</f>
        <v>5093</v>
      </c>
      <c r="EJ288" s="1968">
        <f t="shared" ref="EJ288:EJ289" si="1082">EJ198</f>
        <v>5734</v>
      </c>
      <c r="EK288" s="3464">
        <f>EK198</f>
        <v>20418</v>
      </c>
      <c r="EL288" s="1968">
        <f t="shared" ref="EL288:EM288" si="1083">EL198</f>
        <v>5233</v>
      </c>
      <c r="EM288" s="1968">
        <f t="shared" si="1083"/>
        <v>5735</v>
      </c>
      <c r="EN288" s="1968">
        <f>EN198</f>
        <v>6065</v>
      </c>
      <c r="EO288" s="2517">
        <f t="shared" ref="EO288" si="1084">EJ288*(1+EO289)</f>
        <v>6972.8008570191068</v>
      </c>
      <c r="EP288" s="3464">
        <f>EP198</f>
        <v>24005.800857019109</v>
      </c>
      <c r="EQ288" s="2517">
        <f t="shared" ref="EQ288" si="1085">EL288*(1+EQ289)</f>
        <v>6657.8588930871956</v>
      </c>
      <c r="ER288" s="2517">
        <f t="shared" ref="ER288" si="1086">EM288*(1+ER289)</f>
        <v>7166.3750731390155</v>
      </c>
      <c r="ES288" s="2517">
        <f t="shared" ref="ES288" si="1087">EN288*(1+ES289)</f>
        <v>7546.8125872335177</v>
      </c>
      <c r="ET288" s="2517">
        <f t="shared" ref="ET288" si="1088">EO288*(1+ET289)</f>
        <v>8619.033911651879</v>
      </c>
      <c r="EU288" s="3464">
        <f>EU198</f>
        <v>29990.080465111605</v>
      </c>
      <c r="EV288" s="3479">
        <f>EU288*(1+EV289)</f>
        <v>35688.195753482811</v>
      </c>
      <c r="EW288" s="3479">
        <f>EV288*(1+EW289)</f>
        <v>41398.307074040058</v>
      </c>
      <c r="EX288" s="3479">
        <f>EW288*(1+EX289)</f>
        <v>47194.070064405671</v>
      </c>
      <c r="EY288" s="3479">
        <f>EX288*(1+EY289)</f>
        <v>53093.32882245638</v>
      </c>
      <c r="EZ288" s="167"/>
      <c r="FA288" s="1319">
        <f>(EV288/EK288)^(1/3)-1</f>
        <v>0.20458411276234201</v>
      </c>
      <c r="FB288" s="1319">
        <f>(EX288/EK288)^(1/5)-1</f>
        <v>0.182428384955728</v>
      </c>
    </row>
    <row r="289" spans="1:158" s="249" customFormat="1" ht="11.25" customHeight="1">
      <c r="A289" s="5643" t="s">
        <v>45</v>
      </c>
      <c r="B289" s="158"/>
      <c r="C289" s="158"/>
      <c r="D289" s="158"/>
      <c r="E289" s="158"/>
      <c r="F289" s="5568"/>
      <c r="G289" s="158"/>
      <c r="H289" s="158"/>
      <c r="I289" s="158"/>
      <c r="J289" s="158"/>
      <c r="K289" s="2331"/>
      <c r="L289" s="158"/>
      <c r="M289" s="158"/>
      <c r="N289" s="158"/>
      <c r="O289" s="158"/>
      <c r="P289" s="2290"/>
      <c r="Q289" s="3504"/>
      <c r="R289" s="158"/>
      <c r="S289" s="158"/>
      <c r="T289" s="158"/>
      <c r="U289" s="2290"/>
      <c r="V289" s="3502"/>
      <c r="W289" s="2505"/>
      <c r="X289" s="2505"/>
      <c r="Y289" s="2505"/>
      <c r="Z289" s="2290"/>
      <c r="AA289" s="3502"/>
      <c r="AB289" s="2505"/>
      <c r="AC289" s="2505"/>
      <c r="AD289" s="2505"/>
      <c r="AE289" s="2290"/>
      <c r="AF289" s="3502"/>
      <c r="AG289" s="2505"/>
      <c r="AH289" s="2505"/>
      <c r="AI289" s="2505"/>
      <c r="AJ289" s="2290"/>
      <c r="AK289" s="3502"/>
      <c r="AL289" s="2505"/>
      <c r="AM289" s="2505"/>
      <c r="AN289" s="2505"/>
      <c r="AO289" s="2290"/>
      <c r="AP289" s="3502"/>
      <c r="AQ289" s="2505"/>
      <c r="AR289" s="2505"/>
      <c r="AS289" s="2505"/>
      <c r="AT289" s="2290"/>
      <c r="AU289" s="3502"/>
      <c r="AV289" s="2505"/>
      <c r="AW289" s="2505"/>
      <c r="AX289" s="2505"/>
      <c r="AY289" s="2290"/>
      <c r="AZ289" s="3502"/>
      <c r="BA289" s="2505"/>
      <c r="BB289" s="2505"/>
      <c r="BC289" s="2505"/>
      <c r="BD289" s="2290"/>
      <c r="BE289" s="3502"/>
      <c r="BF289" s="2505"/>
      <c r="BG289" s="2505"/>
      <c r="BH289" s="2505"/>
      <c r="BI289" s="2290"/>
      <c r="BJ289" s="3502"/>
      <c r="BK289" s="2505"/>
      <c r="BL289" s="2505"/>
      <c r="BM289" s="2505"/>
      <c r="BN289" s="2290"/>
      <c r="BO289" s="2288"/>
      <c r="BP289" s="2288"/>
      <c r="BQ289" s="2288"/>
      <c r="BR289" s="2288"/>
      <c r="BS289" s="2873"/>
      <c r="BT289" s="2505"/>
      <c r="BU289" s="2505"/>
      <c r="BV289" s="2505"/>
      <c r="BW289" s="2505"/>
      <c r="BX289" s="2290"/>
      <c r="BY289" s="2288"/>
      <c r="BZ289" s="2288"/>
      <c r="CA289" s="2288"/>
      <c r="CB289" s="2288"/>
      <c r="CC289" s="2873"/>
      <c r="CD289" s="2505"/>
      <c r="CE289" s="2505"/>
      <c r="CF289" s="2505"/>
      <c r="CG289" s="2505"/>
      <c r="CH289" s="2290"/>
      <c r="CI289" s="3505"/>
      <c r="CJ289" s="2505"/>
      <c r="CK289" s="2505"/>
      <c r="CL289" s="2505"/>
      <c r="CM289" s="2290"/>
      <c r="CN289" s="2288"/>
      <c r="CO289" s="2505"/>
      <c r="CP289" s="2505"/>
      <c r="CQ289" s="2505"/>
      <c r="CR289" s="2290"/>
      <c r="CS289" s="1143"/>
      <c r="CT289" s="3503"/>
      <c r="CU289" s="1143"/>
      <c r="CV289" s="1143"/>
      <c r="CW289" s="2290">
        <f t="shared" ref="CW289:DF289" si="1089">CW199</f>
        <v>0.17940876656472993</v>
      </c>
      <c r="CX289" s="2288">
        <f t="shared" si="1089"/>
        <v>0.34213305174234421</v>
      </c>
      <c r="CY289" s="2288">
        <f t="shared" si="1089"/>
        <v>0.31319702602230493</v>
      </c>
      <c r="CZ289" s="2288">
        <f t="shared" si="1089"/>
        <v>0.33046471600688476</v>
      </c>
      <c r="DA289" s="2288">
        <f t="shared" si="1089"/>
        <v>0.31323631323631318</v>
      </c>
      <c r="DB289" s="2290">
        <f t="shared" si="1089"/>
        <v>0.32346585998271382</v>
      </c>
      <c r="DC289" s="2288">
        <f t="shared" si="1089"/>
        <v>0.35641227380015739</v>
      </c>
      <c r="DD289" s="2288">
        <f t="shared" si="1089"/>
        <v>0.30856334041047417</v>
      </c>
      <c r="DE289" s="2288">
        <f t="shared" si="1089"/>
        <v>0.18693402328589914</v>
      </c>
      <c r="DF289" s="2288">
        <f t="shared" si="1089"/>
        <v>0.16147757255936668</v>
      </c>
      <c r="DG289" s="2290">
        <f t="shared" ref="DG289:DX289" si="1090">DG199</f>
        <v>0.24228571428571422</v>
      </c>
      <c r="DH289" s="2288">
        <f t="shared" si="1090"/>
        <v>0.10556844547563804</v>
      </c>
      <c r="DI289" s="2288">
        <f t="shared" si="1090"/>
        <v>0.14872904272579768</v>
      </c>
      <c r="DJ289" s="2288">
        <f t="shared" si="1090"/>
        <v>0.24795640326975477</v>
      </c>
      <c r="DK289" s="2288">
        <f t="shared" si="1090"/>
        <v>0.21126760563380276</v>
      </c>
      <c r="DL289" s="5082">
        <f t="shared" si="1090"/>
        <v>0.18096990406098046</v>
      </c>
      <c r="DM289" s="5074">
        <f t="shared" si="1090"/>
        <v>0.13168940188877221</v>
      </c>
      <c r="DN289" s="5074">
        <f t="shared" si="1090"/>
        <v>-0.13418079096045199</v>
      </c>
      <c r="DO289" s="5074">
        <f t="shared" si="1090"/>
        <v>3.5371179039301204E-2</v>
      </c>
      <c r="DP289" s="5074">
        <f t="shared" si="1090"/>
        <v>0.14403600900225055</v>
      </c>
      <c r="DQ289" s="5082">
        <f t="shared" si="1090"/>
        <v>4.7963498775873692E-2</v>
      </c>
      <c r="DR289" s="5074">
        <f t="shared" si="1090"/>
        <v>0.34677793231339815</v>
      </c>
      <c r="DS289" s="5074">
        <f t="shared" si="1090"/>
        <v>0.82925502990755851</v>
      </c>
      <c r="DT289" s="5074">
        <f t="shared" si="1090"/>
        <v>0.55546183045128639</v>
      </c>
      <c r="DU289" s="5074">
        <f t="shared" si="1090"/>
        <v>0.45803278688524585</v>
      </c>
      <c r="DV289" s="2290">
        <f t="shared" si="1090"/>
        <v>0.52957417436550913</v>
      </c>
      <c r="DW289" s="5074">
        <f t="shared" si="1090"/>
        <v>0.32254733218588649</v>
      </c>
      <c r="DX289" s="5074">
        <f t="shared" si="1090"/>
        <v>0.29013079667063013</v>
      </c>
      <c r="DY289" s="5074">
        <f t="shared" si="1079"/>
        <v>0.12201735357917576</v>
      </c>
      <c r="DZ289" s="5074">
        <f t="shared" si="1079"/>
        <v>4.6997976163705824E-2</v>
      </c>
      <c r="EA289" s="2290">
        <f t="shared" si="1079"/>
        <v>0.17856151069147463</v>
      </c>
      <c r="EB289" s="5074">
        <f t="shared" si="1079"/>
        <v>6.1946902654867353E-2</v>
      </c>
      <c r="EC289" s="5074">
        <f t="shared" si="1079"/>
        <v>3.9400921658986121E-2</v>
      </c>
      <c r="ED289" s="5074">
        <f>ED199</f>
        <v>0.1002899951667473</v>
      </c>
      <c r="EE289" s="5074">
        <f t="shared" ref="EE289" si="1091">EE199</f>
        <v>0.11168384879725091</v>
      </c>
      <c r="EF289" s="2290">
        <f>EF199</f>
        <v>7.9170593779453347E-2</v>
      </c>
      <c r="EG289" s="5074">
        <f t="shared" ref="EG289:EH289" si="1092">EG199</f>
        <v>0.14044117647058818</v>
      </c>
      <c r="EH289" s="5074">
        <f t="shared" si="1092"/>
        <v>9.4657503879405969E-2</v>
      </c>
      <c r="EI289" s="5074">
        <f>EI199</f>
        <v>0.11860311882275432</v>
      </c>
      <c r="EJ289" s="5074">
        <f t="shared" si="1082"/>
        <v>0.10780525502318383</v>
      </c>
      <c r="EK289" s="2290">
        <f>EK199</f>
        <v>0.1145196506550219</v>
      </c>
      <c r="EL289" s="5074">
        <f t="shared" ref="EL289:EM289" si="1093">EL199</f>
        <v>0.12465076294863531</v>
      </c>
      <c r="EM289" s="5074">
        <f t="shared" si="1093"/>
        <v>0.16140137707573921</v>
      </c>
      <c r="EN289" s="5074">
        <f>EN199</f>
        <v>0.1908501865305321</v>
      </c>
      <c r="EO289" s="2288">
        <f>(1+EO302)*(1+FX!EO118*FX!EO119)-1</f>
        <v>0.21604479543409605</v>
      </c>
      <c r="EP289" s="2290">
        <f>EP199</f>
        <v>0.17571754613669843</v>
      </c>
      <c r="EQ289" s="2288">
        <f>(1+EQ302)*(1+FX!EQ118*FX!EQ119)-1</f>
        <v>0.2722833734162422</v>
      </c>
      <c r="ER289" s="2288">
        <f>(1+ER302)*(1+FX!ER118*FX!ER119)-1</f>
        <v>0.24958588895187717</v>
      </c>
      <c r="ES289" s="2288">
        <f>(1+ES302)*(1+FX!ES118*FX!ES119)-1</f>
        <v>0.24432194348450409</v>
      </c>
      <c r="ET289" s="2288">
        <f>(1+ET302)*(1+FX!ET118*FX!ET119)-1</f>
        <v>0.23609351369551979</v>
      </c>
      <c r="EU289" s="2290">
        <f>EU199</f>
        <v>0.24928473095879822</v>
      </c>
      <c r="EV289" s="2499">
        <f>(1+EV302)*(1+FX!EZ118*FX!EZ119)-1</f>
        <v>0.18999999999999995</v>
      </c>
      <c r="EW289" s="2499">
        <f>(1+EW302)*(1+FX!FA118*FX!FA119)-1</f>
        <v>0.15999999999999992</v>
      </c>
      <c r="EX289" s="2499">
        <f>(1+EX302)*(1+FX!FB118*FX!FB119)-1</f>
        <v>0.14000000000000012</v>
      </c>
      <c r="EY289" s="2499">
        <f>(1+EY302)*(1+FX!FC118*FX!FC119)-1</f>
        <v>0.125</v>
      </c>
      <c r="EZ289" s="185"/>
      <c r="FA289" s="725"/>
      <c r="FB289" s="725"/>
    </row>
    <row r="290" spans="1:158" s="249" customFormat="1" ht="11.25" customHeight="1">
      <c r="A290" s="5643" t="s">
        <v>46</v>
      </c>
      <c r="B290" s="158"/>
      <c r="C290" s="158"/>
      <c r="D290" s="158"/>
      <c r="E290" s="158"/>
      <c r="F290" s="5568"/>
      <c r="G290" s="158"/>
      <c r="H290" s="158"/>
      <c r="I290" s="158"/>
      <c r="J290" s="158"/>
      <c r="K290" s="2331"/>
      <c r="L290" s="158"/>
      <c r="M290" s="158"/>
      <c r="N290" s="158"/>
      <c r="O290" s="158"/>
      <c r="P290" s="2506"/>
      <c r="Q290" s="3504"/>
      <c r="R290" s="158"/>
      <c r="S290" s="158"/>
      <c r="T290" s="158"/>
      <c r="U290" s="2506"/>
      <c r="V290" s="3502"/>
      <c r="W290" s="2505"/>
      <c r="X290" s="2505"/>
      <c r="Y290" s="2505"/>
      <c r="Z290" s="2506"/>
      <c r="AA290" s="3502"/>
      <c r="AB290" s="2505"/>
      <c r="AC290" s="2505"/>
      <c r="AD290" s="2505"/>
      <c r="AE290" s="2506"/>
      <c r="AF290" s="3502"/>
      <c r="AG290" s="2505"/>
      <c r="AH290" s="2505"/>
      <c r="AI290" s="2505"/>
      <c r="AJ290" s="2506"/>
      <c r="AK290" s="3502"/>
      <c r="AL290" s="2505"/>
      <c r="AM290" s="2505"/>
      <c r="AN290" s="2505"/>
      <c r="AO290" s="2506"/>
      <c r="AP290" s="3502"/>
      <c r="AQ290" s="2505"/>
      <c r="AR290" s="2505"/>
      <c r="AS290" s="2505"/>
      <c r="AT290" s="2506"/>
      <c r="AU290" s="3502"/>
      <c r="AV290" s="2505"/>
      <c r="AW290" s="2505"/>
      <c r="AX290" s="2505"/>
      <c r="AY290" s="2506"/>
      <c r="AZ290" s="3502"/>
      <c r="BA290" s="2505"/>
      <c r="BB290" s="2505"/>
      <c r="BC290" s="2505"/>
      <c r="BD290" s="2506"/>
      <c r="BE290" s="3502"/>
      <c r="BF290" s="2505"/>
      <c r="BG290" s="2505"/>
      <c r="BH290" s="2505"/>
      <c r="BI290" s="2506"/>
      <c r="BJ290" s="3502"/>
      <c r="BK290" s="2505"/>
      <c r="BL290" s="2505"/>
      <c r="BM290" s="2505"/>
      <c r="BN290" s="2506"/>
      <c r="BO290" s="2505"/>
      <c r="BP290" s="2505"/>
      <c r="BQ290" s="2505"/>
      <c r="BR290" s="2505"/>
      <c r="BS290" s="2506"/>
      <c r="BT290" s="2505"/>
      <c r="BU290" s="2505"/>
      <c r="BV290" s="2505"/>
      <c r="BW290" s="2505"/>
      <c r="BX290" s="2506"/>
      <c r="BY290" s="2505"/>
      <c r="BZ290" s="2505"/>
      <c r="CA290" s="2505"/>
      <c r="CB290" s="2505"/>
      <c r="CC290" s="2506"/>
      <c r="CD290" s="2505"/>
      <c r="CE290" s="2505"/>
      <c r="CF290" s="2505"/>
      <c r="CG290" s="2505"/>
      <c r="CH290" s="2506"/>
      <c r="CI290" s="3506"/>
      <c r="CJ290" s="2505"/>
      <c r="CK290" s="2505"/>
      <c r="CL290" s="2505"/>
      <c r="CM290" s="2506"/>
      <c r="CN290" s="2505"/>
      <c r="CO290" s="2505"/>
      <c r="CP290" s="2505"/>
      <c r="CQ290" s="2505"/>
      <c r="CR290" s="2506"/>
      <c r="CS290" s="3503"/>
      <c r="CT290" s="2505">
        <f>CT201</f>
        <v>0.13621964097148886</v>
      </c>
      <c r="CU290" s="2505">
        <f>CU201</f>
        <v>7.9925650557620909E-2</v>
      </c>
      <c r="CV290" s="2505">
        <f>CV201</f>
        <v>0.24182444061962127</v>
      </c>
      <c r="CW290" s="2506"/>
      <c r="CX290" s="2505">
        <f>CX201</f>
        <v>-0.11919611919611917</v>
      </c>
      <c r="CY290" s="2505">
        <f>CY201</f>
        <v>0.1117230527143982</v>
      </c>
      <c r="CZ290" s="2505">
        <f>CZ201</f>
        <v>9.412597310686488E-2</v>
      </c>
      <c r="DA290" s="2505">
        <f>DA201</f>
        <v>0.22574385510996109</v>
      </c>
      <c r="DB290" s="2506"/>
      <c r="DC290" s="2505">
        <f>DC201</f>
        <v>-9.0237467018469686E-2</v>
      </c>
      <c r="DD290" s="2505">
        <f>DD201</f>
        <v>7.2505800464037096E-2</v>
      </c>
      <c r="DE290" s="2505">
        <f>DE201</f>
        <v>-7.5716603569496721E-3</v>
      </c>
      <c r="DF290" s="2505">
        <f>DF201</f>
        <v>0.19945504087193466</v>
      </c>
      <c r="DG290" s="2506"/>
      <c r="DH290" s="2505">
        <f>DH201</f>
        <v>-0.13402998636983188</v>
      </c>
      <c r="DI290" s="2505">
        <f>DI201</f>
        <v>0.11437565582371456</v>
      </c>
      <c r="DJ290" s="2505">
        <f>DJ201</f>
        <v>7.8154425612052769E-2</v>
      </c>
      <c r="DK290" s="2505">
        <f>DK201</f>
        <v>0.16419213973799129</v>
      </c>
      <c r="DL290" s="5077"/>
      <c r="DM290" s="5076">
        <f>DM201</f>
        <v>-0.19092273068267063</v>
      </c>
      <c r="DN290" s="5076">
        <f>DN201</f>
        <v>-0.14742698191933246</v>
      </c>
      <c r="DO290" s="5076">
        <f>DO201</f>
        <v>0.28928765633496467</v>
      </c>
      <c r="DP290" s="5076">
        <f>DP201</f>
        <v>0.28637705609447495</v>
      </c>
      <c r="DQ290" s="5077"/>
      <c r="DR290" s="5076">
        <f>DR201</f>
        <v>-4.7540983606557341E-2</v>
      </c>
      <c r="DS290" s="5076">
        <f>DS201</f>
        <v>0.15800344234079167</v>
      </c>
      <c r="DT290" s="5076">
        <f>DT201</f>
        <v>9.6313912009512448E-2</v>
      </c>
      <c r="DU290" s="5076">
        <f>DU201</f>
        <v>0.20580260303687625</v>
      </c>
      <c r="DV290" s="2506"/>
      <c r="DW290" s="5076">
        <f>DW201</f>
        <v>-0.13604677310546431</v>
      </c>
      <c r="DX290" s="5076">
        <f>DX201</f>
        <v>0.12961998958875576</v>
      </c>
      <c r="DY290" s="5076">
        <f>DY201</f>
        <v>-4.654377880184335E-2</v>
      </c>
      <c r="DZ290" s="5076">
        <f>DZ201</f>
        <v>0.12518124697921706</v>
      </c>
      <c r="EA290" s="2506"/>
      <c r="EB290" s="5076">
        <f>EB201</f>
        <v>-0.12371134020618557</v>
      </c>
      <c r="EC290" s="5076">
        <f>EC201</f>
        <v>0.10563725490196085</v>
      </c>
      <c r="ED290" s="5076">
        <f>ED201</f>
        <v>9.3105741520727037E-3</v>
      </c>
      <c r="EE290" s="5076">
        <f>EE201</f>
        <v>0.13683285745662199</v>
      </c>
      <c r="EF290" s="2506"/>
      <c r="EG290" s="5076">
        <f>EG201</f>
        <v>-0.10104327666151469</v>
      </c>
      <c r="EH290" s="5076">
        <f>EH201</f>
        <v>6.1250805931656993E-2</v>
      </c>
      <c r="EI290" s="5076">
        <f>EI201</f>
        <v>3.1389226407452453E-2</v>
      </c>
      <c r="EJ290" s="5076">
        <f>EJ201</f>
        <v>0.12585902218731593</v>
      </c>
      <c r="EK290" s="2506"/>
      <c r="EL290" s="5076">
        <f>EL201</f>
        <v>-8.7373561213812345E-2</v>
      </c>
      <c r="EM290" s="5076">
        <f>EM201</f>
        <v>9.5929677049493511E-2</v>
      </c>
      <c r="EN290" s="5076">
        <f>EN201</f>
        <v>5.7541412380122114E-2</v>
      </c>
      <c r="EO290" s="2505">
        <f>EO201</f>
        <v>0.14967862440545865</v>
      </c>
      <c r="EP290" s="2506"/>
      <c r="EQ290" s="2505">
        <f>EQ201</f>
        <v>-4.5167210478251008E-2</v>
      </c>
      <c r="ER290" s="2505">
        <f>ER201</f>
        <v>7.6378335470553171E-2</v>
      </c>
      <c r="ES290" s="2505">
        <f>ES201</f>
        <v>5.3086464246123066E-2</v>
      </c>
      <c r="ET290" s="2505">
        <f>ET201</f>
        <v>0.14207605025625947</v>
      </c>
      <c r="EU290" s="2506"/>
      <c r="EV290" s="2506"/>
      <c r="EW290" s="2506"/>
      <c r="EX290" s="2506"/>
      <c r="EY290" s="2506"/>
      <c r="EZ290" s="185"/>
      <c r="FA290" s="725"/>
      <c r="FB290" s="725"/>
    </row>
    <row r="291" spans="1:158" s="211" customFormat="1" ht="11.25" hidden="1" customHeight="1" outlineLevel="1">
      <c r="A291" s="5365"/>
      <c r="B291" s="2612"/>
      <c r="C291" s="2612"/>
      <c r="D291" s="2612"/>
      <c r="E291" s="2612"/>
      <c r="F291" s="4303"/>
      <c r="G291" s="2612"/>
      <c r="H291" s="2612"/>
      <c r="I291" s="2612"/>
      <c r="J291" s="2612"/>
      <c r="K291" s="1019"/>
      <c r="L291" s="209"/>
      <c r="M291" s="209"/>
      <c r="N291" s="209"/>
      <c r="O291" s="209"/>
      <c r="P291" s="1019"/>
      <c r="Q291" s="2576"/>
      <c r="R291" s="209"/>
      <c r="S291" s="209"/>
      <c r="T291" s="209"/>
      <c r="U291" s="1019"/>
      <c r="V291" s="2576"/>
      <c r="W291" s="209"/>
      <c r="X291" s="209"/>
      <c r="Y291" s="209"/>
      <c r="Z291" s="1019"/>
      <c r="AA291" s="2576"/>
      <c r="AB291" s="209"/>
      <c r="AC291" s="209"/>
      <c r="AD291" s="209"/>
      <c r="AE291" s="1019"/>
      <c r="AF291" s="2576"/>
      <c r="AG291" s="209"/>
      <c r="AH291" s="209"/>
      <c r="AI291" s="209"/>
      <c r="AJ291" s="1019"/>
      <c r="AK291" s="2576"/>
      <c r="AL291" s="209"/>
      <c r="AM291" s="209"/>
      <c r="AN291" s="209"/>
      <c r="AO291" s="1019"/>
      <c r="AP291" s="2577"/>
      <c r="AQ291" s="257"/>
      <c r="AR291" s="257"/>
      <c r="AS291" s="257"/>
      <c r="AT291" s="1019"/>
      <c r="AU291" s="2577"/>
      <c r="AV291" s="257"/>
      <c r="AW291" s="257"/>
      <c r="AX291" s="257"/>
      <c r="AY291" s="1019"/>
      <c r="AZ291" s="2571"/>
      <c r="BA291" s="258"/>
      <c r="BB291" s="258"/>
      <c r="BC291" s="258"/>
      <c r="BD291" s="1019"/>
      <c r="BE291" s="2572"/>
      <c r="BF291" s="241"/>
      <c r="BG291" s="241"/>
      <c r="BH291" s="241"/>
      <c r="BI291" s="1019"/>
      <c r="BJ291" s="2572"/>
      <c r="BK291" s="258"/>
      <c r="BL291" s="258"/>
      <c r="BM291" s="258"/>
      <c r="BN291" s="1019"/>
      <c r="BO291" s="209"/>
      <c r="BP291" s="209"/>
      <c r="BQ291" s="209"/>
      <c r="BR291" s="209"/>
      <c r="BS291" s="1933"/>
      <c r="BT291" s="258"/>
      <c r="BU291" s="258"/>
      <c r="BV291" s="258"/>
      <c r="BW291" s="258"/>
      <c r="BX291" s="1019"/>
      <c r="BY291" s="209"/>
      <c r="BZ291" s="209"/>
      <c r="CA291" s="209"/>
      <c r="CB291" s="209"/>
      <c r="CC291" s="1933"/>
      <c r="CD291" s="209"/>
      <c r="CE291" s="209"/>
      <c r="CF291" s="209"/>
      <c r="CG291" s="258"/>
      <c r="CH291" s="1019"/>
      <c r="CI291" s="209"/>
      <c r="CJ291" s="209"/>
      <c r="CK291" s="209"/>
      <c r="CL291" s="209"/>
      <c r="CM291" s="1019"/>
      <c r="CN291" s="209"/>
      <c r="CO291" s="209"/>
      <c r="CP291" s="209"/>
      <c r="CQ291" s="209"/>
      <c r="CR291" s="1019"/>
      <c r="CS291" s="209"/>
      <c r="CT291" s="209"/>
      <c r="CU291" s="209"/>
      <c r="CV291" s="209"/>
      <c r="CW291" s="1019"/>
      <c r="CX291" s="209"/>
      <c r="CY291" s="209"/>
      <c r="CZ291" s="209"/>
      <c r="DA291" s="209"/>
      <c r="DB291" s="1019"/>
      <c r="DC291" s="2635"/>
      <c r="DD291" s="2635"/>
      <c r="DE291" s="209"/>
      <c r="DF291" s="209"/>
      <c r="DG291" s="1019"/>
      <c r="DH291" s="209"/>
      <c r="DI291" s="209"/>
      <c r="DJ291" s="209"/>
      <c r="DK291" s="209"/>
      <c r="DL291" s="1933"/>
      <c r="DM291" s="209"/>
      <c r="DN291" s="209"/>
      <c r="DO291" s="209"/>
      <c r="DP291" s="209"/>
      <c r="DQ291" s="1933"/>
      <c r="DR291" s="209"/>
      <c r="DS291" s="209"/>
      <c r="DT291" s="209"/>
      <c r="DU291" s="209"/>
      <c r="DV291" s="1933"/>
      <c r="DW291" s="209"/>
      <c r="DX291" s="209"/>
      <c r="DY291" s="209"/>
      <c r="DZ291" s="209"/>
      <c r="EA291" s="1933"/>
      <c r="EB291" s="209"/>
      <c r="EC291" s="209"/>
      <c r="ED291" s="209"/>
      <c r="EE291" s="209"/>
      <c r="EF291" s="1933"/>
      <c r="EG291" s="209"/>
      <c r="EH291" s="209"/>
      <c r="EI291" s="209"/>
      <c r="EJ291" s="209"/>
      <c r="EK291" s="1933"/>
      <c r="EL291" s="209"/>
      <c r="EM291" s="209"/>
      <c r="EN291" s="209"/>
      <c r="EO291" s="209"/>
      <c r="EP291" s="1933"/>
      <c r="EQ291" s="209"/>
      <c r="ER291" s="209"/>
      <c r="ES291" s="209"/>
      <c r="ET291" s="209"/>
      <c r="EU291" s="1933"/>
      <c r="EV291" s="2244"/>
      <c r="EW291" s="2244"/>
      <c r="EX291" s="2244"/>
      <c r="EY291" s="2244"/>
      <c r="EZ291" s="209"/>
      <c r="FA291" s="725"/>
      <c r="FB291" s="725"/>
    </row>
    <row r="292" spans="1:158" s="214" customFormat="1" ht="11.25" customHeight="1" collapsed="1">
      <c r="A292" s="5681" t="s">
        <v>23</v>
      </c>
      <c r="B292" s="2615"/>
      <c r="C292" s="2615"/>
      <c r="D292" s="2615"/>
      <c r="E292" s="2615"/>
      <c r="F292" s="4301"/>
      <c r="G292" s="2615"/>
      <c r="H292" s="2615"/>
      <c r="I292" s="2615"/>
      <c r="J292" s="2615"/>
      <c r="K292" s="2590"/>
      <c r="L292" s="2606"/>
      <c r="M292" s="2606"/>
      <c r="N292" s="2606"/>
      <c r="O292" s="2606"/>
      <c r="P292" s="2590"/>
      <c r="Q292" s="2655"/>
      <c r="R292" s="2606"/>
      <c r="S292" s="2606"/>
      <c r="T292" s="2606"/>
      <c r="U292" s="2590"/>
      <c r="V292" s="2655"/>
      <c r="W292" s="2606"/>
      <c r="X292" s="2606"/>
      <c r="Y292" s="2606"/>
      <c r="Z292" s="2590"/>
      <c r="AA292" s="2655"/>
      <c r="AB292" s="2606"/>
      <c r="AC292" s="2606"/>
      <c r="AD292" s="2606"/>
      <c r="AE292" s="2590"/>
      <c r="AF292" s="2655"/>
      <c r="AG292" s="2606"/>
      <c r="AH292" s="2606"/>
      <c r="AI292" s="2606"/>
      <c r="AJ292" s="2590"/>
      <c r="AK292" s="2669"/>
      <c r="AL292" s="2619"/>
      <c r="AM292" s="2619"/>
      <c r="AN292" s="2619"/>
      <c r="AO292" s="2590"/>
      <c r="AP292" s="2669"/>
      <c r="AQ292" s="2619"/>
      <c r="AR292" s="2619"/>
      <c r="AS292" s="2619"/>
      <c r="AT292" s="2590"/>
      <c r="AU292" s="2669"/>
      <c r="AV292" s="2619"/>
      <c r="AW292" s="2619"/>
      <c r="AX292" s="2619"/>
      <c r="AY292" s="2590"/>
      <c r="AZ292" s="2669"/>
      <c r="BA292" s="2619"/>
      <c r="BB292" s="2619"/>
      <c r="BC292" s="2619"/>
      <c r="BD292" s="2590"/>
      <c r="BE292" s="2656"/>
      <c r="BF292" s="2607"/>
      <c r="BG292" s="2607"/>
      <c r="BH292" s="2607"/>
      <c r="BI292" s="2590"/>
      <c r="BJ292" s="2656"/>
      <c r="BK292" s="2629"/>
      <c r="BL292" s="2629"/>
      <c r="BM292" s="2607"/>
      <c r="BN292" s="2590"/>
      <c r="BO292" s="2606"/>
      <c r="BP292" s="2606"/>
      <c r="BQ292" s="2606"/>
      <c r="BR292" s="2606"/>
      <c r="BS292" s="1932"/>
      <c r="BT292" s="2607"/>
      <c r="BU292" s="2634"/>
      <c r="BV292" s="2634"/>
      <c r="BW292" s="2607"/>
      <c r="BX292" s="2590"/>
      <c r="BY292" s="2606"/>
      <c r="BZ292" s="2606"/>
      <c r="CA292" s="2606"/>
      <c r="CB292" s="2606"/>
      <c r="CC292" s="1932"/>
      <c r="CD292" s="2656"/>
      <c r="CE292" s="2634"/>
      <c r="CF292" s="2634"/>
      <c r="CG292" s="2607"/>
      <c r="CH292" s="2590"/>
      <c r="CI292" s="2634"/>
      <c r="CJ292" s="2634"/>
      <c r="CK292" s="2634"/>
      <c r="CL292" s="2607"/>
      <c r="CM292" s="2590"/>
      <c r="CN292" s="2634"/>
      <c r="CO292" s="2634"/>
      <c r="CP292" s="2634"/>
      <c r="CQ292" s="2607"/>
      <c r="CR292" s="3458">
        <v>-712</v>
      </c>
      <c r="CS292" s="2011"/>
      <c r="CT292" s="2011"/>
      <c r="CU292" s="2011"/>
      <c r="CV292" s="2011"/>
      <c r="CW292" s="3915">
        <v>-344</v>
      </c>
      <c r="CX292" s="3916">
        <v>77</v>
      </c>
      <c r="CY292" s="3916">
        <v>8</v>
      </c>
      <c r="CZ292" s="3916">
        <v>26</v>
      </c>
      <c r="DA292" s="3916">
        <v>37</v>
      </c>
      <c r="DB292" s="1010">
        <f>SUM(CX292:DA292)</f>
        <v>148</v>
      </c>
      <c r="DC292" s="3916">
        <v>19</v>
      </c>
      <c r="DD292" s="3916">
        <v>-44</v>
      </c>
      <c r="DE292" s="3916">
        <v>-168</v>
      </c>
      <c r="DF292" s="3916">
        <v>-211</v>
      </c>
      <c r="DG292" s="1010">
        <f>SUM(DC292:DF292)</f>
        <v>-404</v>
      </c>
      <c r="DH292" s="3916">
        <v>-192</v>
      </c>
      <c r="DI292" s="3916">
        <v>-184</v>
      </c>
      <c r="DJ292" s="3916">
        <v>-66</v>
      </c>
      <c r="DK292" s="3916">
        <v>-99</v>
      </c>
      <c r="DL292" s="1010">
        <f>SUM(DH292:DK292)</f>
        <v>-541</v>
      </c>
      <c r="DM292" s="2607">
        <v>-96</v>
      </c>
      <c r="DN292" s="2607">
        <v>-240</v>
      </c>
      <c r="DO292" s="2607">
        <v>-304</v>
      </c>
      <c r="DP292" s="2607">
        <v>-324</v>
      </c>
      <c r="DQ292" s="2590">
        <f>SUM(DM292:DP292)</f>
        <v>-964</v>
      </c>
      <c r="DR292" s="2607">
        <v>-191</v>
      </c>
      <c r="DS292" s="2607">
        <v>112</v>
      </c>
      <c r="DT292" s="2607">
        <v>117</v>
      </c>
      <c r="DU292" s="2606">
        <f>DU288-DU301</f>
        <v>49</v>
      </c>
      <c r="DV292" s="2590">
        <f>SUM(DR292:DU292)</f>
        <v>87</v>
      </c>
      <c r="DW292" s="2606">
        <f>DW288-DW301</f>
        <v>-81</v>
      </c>
      <c r="DX292" s="2606">
        <f>DX288-DX301</f>
        <v>30</v>
      </c>
      <c r="DY292" s="2606">
        <f>DY288-DY301</f>
        <v>-165</v>
      </c>
      <c r="DZ292" s="2606">
        <f>DZ288-DZ301</f>
        <v>-214</v>
      </c>
      <c r="EA292" s="2590">
        <f>SUM(DW292:DZ292)</f>
        <v>-430</v>
      </c>
      <c r="EB292" s="2606">
        <f>EB288-EB301</f>
        <v>-167</v>
      </c>
      <c r="EC292" s="2606">
        <f>EC288-EC301</f>
        <v>-306</v>
      </c>
      <c r="ED292" s="2606">
        <f>ED288-ED301</f>
        <v>-106</v>
      </c>
      <c r="EE292" s="2606">
        <f>EE288-EE301</f>
        <v>-75</v>
      </c>
      <c r="EF292" s="2590">
        <f>SUM(EB292:EE292)</f>
        <v>-654</v>
      </c>
      <c r="EG292" s="2606">
        <f>EG288-EG301</f>
        <v>-152</v>
      </c>
      <c r="EH292" s="2606">
        <f>EH288-EH301</f>
        <v>-305</v>
      </c>
      <c r="EI292" s="2606">
        <f>EI288-EI301</f>
        <v>-586</v>
      </c>
      <c r="EJ292" s="2606">
        <f>EJ288-EJ301</f>
        <v>-565</v>
      </c>
      <c r="EK292" s="2590">
        <f>SUM(EG292:EJ292)</f>
        <v>-1608</v>
      </c>
      <c r="EL292" s="2606">
        <f>EL288-EL301</f>
        <v>-500</v>
      </c>
      <c r="EM292" s="2606">
        <f>EM288-EM301</f>
        <v>-352</v>
      </c>
      <c r="EN292" s="2606">
        <f>EN288-EN301</f>
        <v>-50</v>
      </c>
      <c r="EO292" s="2635">
        <f t="shared" ref="EO292" si="1094">EO288-EO301</f>
        <v>5.9908570191064427</v>
      </c>
      <c r="EP292" s="2590">
        <f>SUM(EL292:EO292)</f>
        <v>-896.00914298089356</v>
      </c>
      <c r="EQ292" s="2635">
        <f t="shared" ref="EQ292:ET292" si="1095">EQ288-EQ301</f>
        <v>263.13289308719595</v>
      </c>
      <c r="ER292" s="2635">
        <f t="shared" si="1095"/>
        <v>77.915073139015476</v>
      </c>
      <c r="ES292" s="2635">
        <f t="shared" si="1095"/>
        <v>-34.437412766482339</v>
      </c>
      <c r="ET292" s="2635">
        <f t="shared" si="1095"/>
        <v>-27.239151051813678</v>
      </c>
      <c r="EU292" s="2590">
        <f>SUM(EQ292:ET292)</f>
        <v>279.37140240791541</v>
      </c>
      <c r="EV292" s="3939">
        <f>EV288-EV301</f>
        <v>0</v>
      </c>
      <c r="EW292" s="3939">
        <f>EW288-EW301</f>
        <v>0</v>
      </c>
      <c r="EX292" s="3939">
        <f>EX288-EX301</f>
        <v>0</v>
      </c>
      <c r="EY292" s="3939">
        <f>EY288-EY301</f>
        <v>0</v>
      </c>
      <c r="EZ292" s="51"/>
      <c r="FA292" s="725"/>
      <c r="FB292" s="725"/>
    </row>
    <row r="293" spans="1:158" s="214" customFormat="1" ht="11.25" hidden="1" customHeight="1" outlineLevel="1">
      <c r="A293" s="5673" t="s">
        <v>611</v>
      </c>
      <c r="B293" s="2615"/>
      <c r="C293" s="2615"/>
      <c r="D293" s="2615"/>
      <c r="E293" s="2615"/>
      <c r="F293" s="4301"/>
      <c r="G293" s="2615"/>
      <c r="H293" s="2615"/>
      <c r="I293" s="2615"/>
      <c r="J293" s="2615"/>
      <c r="K293" s="2590"/>
      <c r="L293" s="2606"/>
      <c r="M293" s="2606"/>
      <c r="N293" s="2606"/>
      <c r="O293" s="2606"/>
      <c r="P293" s="2590"/>
      <c r="Q293" s="2655"/>
      <c r="R293" s="2606"/>
      <c r="S293" s="2606"/>
      <c r="T293" s="2606"/>
      <c r="U293" s="2590"/>
      <c r="V293" s="2655"/>
      <c r="W293" s="2606"/>
      <c r="X293" s="2606"/>
      <c r="Y293" s="2606"/>
      <c r="Z293" s="2590"/>
      <c r="AA293" s="2655"/>
      <c r="AB293" s="2606"/>
      <c r="AC293" s="2606"/>
      <c r="AD293" s="2606"/>
      <c r="AE293" s="2590"/>
      <c r="AF293" s="2655"/>
      <c r="AG293" s="2606"/>
      <c r="AH293" s="2606"/>
      <c r="AI293" s="2606"/>
      <c r="AJ293" s="2590"/>
      <c r="AK293" s="2669"/>
      <c r="AL293" s="2619"/>
      <c r="AM293" s="2619"/>
      <c r="AN293" s="2619"/>
      <c r="AO293" s="2590"/>
      <c r="AP293" s="2669"/>
      <c r="AQ293" s="2619"/>
      <c r="AR293" s="2619"/>
      <c r="AS293" s="2619"/>
      <c r="AT293" s="2590"/>
      <c r="AU293" s="2669"/>
      <c r="AV293" s="2619"/>
      <c r="AW293" s="2619"/>
      <c r="AX293" s="2619"/>
      <c r="AY293" s="2590"/>
      <c r="AZ293" s="2669"/>
      <c r="BA293" s="2619"/>
      <c r="BB293" s="2619"/>
      <c r="BC293" s="2619"/>
      <c r="BD293" s="2590"/>
      <c r="BE293" s="2656"/>
      <c r="BF293" s="2607"/>
      <c r="BG293" s="2607"/>
      <c r="BH293" s="2607"/>
      <c r="BI293" s="2590"/>
      <c r="BJ293" s="2656"/>
      <c r="BK293" s="2629"/>
      <c r="BL293" s="2629"/>
      <c r="BM293" s="2607"/>
      <c r="BN293" s="2590"/>
      <c r="BO293" s="2606"/>
      <c r="BP293" s="2606"/>
      <c r="BQ293" s="2606"/>
      <c r="BR293" s="2606"/>
      <c r="BS293" s="1932"/>
      <c r="BT293" s="2607"/>
      <c r="BU293" s="2634"/>
      <c r="BV293" s="2634"/>
      <c r="BW293" s="2607"/>
      <c r="BX293" s="1932"/>
      <c r="BY293" s="2606"/>
      <c r="BZ293" s="2606"/>
      <c r="CA293" s="2606"/>
      <c r="CB293" s="2606"/>
      <c r="CC293" s="1932"/>
      <c r="CD293" s="2656"/>
      <c r="CE293" s="2634"/>
      <c r="CF293" s="2634"/>
      <c r="CG293" s="2607"/>
      <c r="CH293" s="1932"/>
      <c r="CI293" s="2634"/>
      <c r="CJ293" s="2634"/>
      <c r="CK293" s="2634"/>
      <c r="CL293" s="2607"/>
      <c r="CM293" s="1932"/>
      <c r="CN293" s="2634"/>
      <c r="CO293" s="2634"/>
      <c r="CP293" s="2634"/>
      <c r="CQ293" s="2607"/>
      <c r="CR293" s="2910">
        <f t="shared" ref="CR293:CW293" si="1096">IFERROR(CR294/CR292,"NA")</f>
        <v>-0.12359550561797752</v>
      </c>
      <c r="CS293" s="2618" t="str">
        <f t="shared" si="1096"/>
        <v>NA</v>
      </c>
      <c r="CT293" s="2618" t="str">
        <f t="shared" si="1096"/>
        <v>NA</v>
      </c>
      <c r="CU293" s="2618" t="str">
        <f t="shared" si="1096"/>
        <v>NA</v>
      </c>
      <c r="CV293" s="2618" t="str">
        <f t="shared" si="1096"/>
        <v>NA</v>
      </c>
      <c r="CW293" s="2910">
        <f t="shared" si="1096"/>
        <v>-8.4302325581395346E-2</v>
      </c>
      <c r="CX293" s="2618">
        <f t="shared" ref="CX293:DJ293" si="1097">IFERROR(CX294/CX292,"NA")</f>
        <v>0</v>
      </c>
      <c r="CY293" s="2618">
        <f t="shared" si="1097"/>
        <v>0.5</v>
      </c>
      <c r="CZ293" s="2618">
        <f t="shared" si="1097"/>
        <v>-0.46153846153846156</v>
      </c>
      <c r="DA293" s="2618">
        <f t="shared" si="1097"/>
        <v>-0.3783783783783784</v>
      </c>
      <c r="DB293" s="2910">
        <f>DB294/DB292</f>
        <v>-0.14864864864864866</v>
      </c>
      <c r="DC293" s="2618">
        <f t="shared" si="1097"/>
        <v>-0.36842105263157893</v>
      </c>
      <c r="DD293" s="2618">
        <f t="shared" si="1097"/>
        <v>0</v>
      </c>
      <c r="DE293" s="2618">
        <f t="shared" si="1097"/>
        <v>-4.7619047619047616E-2</v>
      </c>
      <c r="DF293" s="2618">
        <f t="shared" si="1097"/>
        <v>0</v>
      </c>
      <c r="DG293" s="2910">
        <f>DG294/DG292</f>
        <v>-2.4752475247524753E-3</v>
      </c>
      <c r="DH293" s="2618">
        <f t="shared" si="1097"/>
        <v>1.0416666666666666E-2</v>
      </c>
      <c r="DI293" s="2618">
        <f t="shared" si="1097"/>
        <v>-2.717391304347826E-2</v>
      </c>
      <c r="DJ293" s="2618">
        <f t="shared" si="1097"/>
        <v>-4.5454545454545456E-2</v>
      </c>
      <c r="DK293" s="2678"/>
      <c r="DL293" s="2910">
        <f>DL294/DL292</f>
        <v>-1.1090573012939002E-2</v>
      </c>
      <c r="DM293" s="2678"/>
      <c r="DN293" s="2678"/>
      <c r="DO293" s="2678"/>
      <c r="DP293" s="2678"/>
      <c r="DQ293" s="2910"/>
      <c r="DR293" s="2678"/>
      <c r="DS293" s="2678"/>
      <c r="DT293" s="2678"/>
      <c r="DU293" s="2678"/>
      <c r="DV293" s="2910"/>
      <c r="DW293" s="2678"/>
      <c r="DX293" s="2678"/>
      <c r="DY293" s="2678"/>
      <c r="DZ293" s="2678"/>
      <c r="EA293" s="2910"/>
      <c r="EB293" s="2678"/>
      <c r="EC293" s="2678"/>
      <c r="ED293" s="2678"/>
      <c r="EE293" s="2678"/>
      <c r="EF293" s="2910"/>
      <c r="EG293" s="2678"/>
      <c r="EH293" s="2678"/>
      <c r="EI293" s="2678"/>
      <c r="EJ293" s="2678"/>
      <c r="EK293" s="2910"/>
      <c r="EL293" s="2678"/>
      <c r="EM293" s="2678"/>
      <c r="EN293" s="2678"/>
      <c r="EO293" s="2678"/>
      <c r="EP293" s="2910"/>
      <c r="EQ293" s="2678"/>
      <c r="ER293" s="2678"/>
      <c r="ES293" s="2678"/>
      <c r="ET293" s="2678"/>
      <c r="EU293" s="2910"/>
      <c r="EV293" s="2911"/>
      <c r="EW293" s="2911"/>
      <c r="EX293" s="2911"/>
      <c r="EY293" s="2911"/>
      <c r="EZ293" s="51"/>
      <c r="FA293" s="725"/>
      <c r="FB293" s="725"/>
    </row>
    <row r="294" spans="1:158" s="214" customFormat="1" ht="11.25" hidden="1" customHeight="1" outlineLevel="1">
      <c r="A294" s="5681" t="s">
        <v>16</v>
      </c>
      <c r="B294" s="2615"/>
      <c r="C294" s="2615"/>
      <c r="D294" s="2615"/>
      <c r="E294" s="2615"/>
      <c r="F294" s="4301"/>
      <c r="G294" s="2615"/>
      <c r="H294" s="2615"/>
      <c r="I294" s="2615"/>
      <c r="J294" s="2615"/>
      <c r="K294" s="2590"/>
      <c r="L294" s="2606"/>
      <c r="M294" s="2606"/>
      <c r="N294" s="2606"/>
      <c r="O294" s="2606"/>
      <c r="P294" s="2590"/>
      <c r="Q294" s="2655"/>
      <c r="R294" s="2606"/>
      <c r="S294" s="2606"/>
      <c r="T294" s="2606"/>
      <c r="U294" s="2590"/>
      <c r="V294" s="2655"/>
      <c r="W294" s="2606"/>
      <c r="X294" s="2606"/>
      <c r="Y294" s="2606"/>
      <c r="Z294" s="2590"/>
      <c r="AA294" s="2655"/>
      <c r="AB294" s="2606"/>
      <c r="AC294" s="2606"/>
      <c r="AD294" s="2606"/>
      <c r="AE294" s="2590"/>
      <c r="AF294" s="2655"/>
      <c r="AG294" s="2606"/>
      <c r="AH294" s="2606"/>
      <c r="AI294" s="2606"/>
      <c r="AJ294" s="2590"/>
      <c r="AK294" s="2669"/>
      <c r="AL294" s="2619"/>
      <c r="AM294" s="2619"/>
      <c r="AN294" s="2619"/>
      <c r="AO294" s="2590"/>
      <c r="AP294" s="2669"/>
      <c r="AQ294" s="2619"/>
      <c r="AR294" s="2619"/>
      <c r="AS294" s="2619"/>
      <c r="AT294" s="2590"/>
      <c r="AU294" s="2669"/>
      <c r="AV294" s="2619"/>
      <c r="AW294" s="2619"/>
      <c r="AX294" s="2619"/>
      <c r="AY294" s="2590"/>
      <c r="AZ294" s="2669"/>
      <c r="BA294" s="2619"/>
      <c r="BB294" s="2619"/>
      <c r="BC294" s="2619"/>
      <c r="BD294" s="2590"/>
      <c r="BE294" s="2656"/>
      <c r="BF294" s="2607"/>
      <c r="BG294" s="2607"/>
      <c r="BH294" s="2607"/>
      <c r="BI294" s="2590"/>
      <c r="BJ294" s="2656"/>
      <c r="BK294" s="2629"/>
      <c r="BL294" s="2629"/>
      <c r="BM294" s="2607"/>
      <c r="BN294" s="2590"/>
      <c r="BO294" s="2606"/>
      <c r="BP294" s="2606"/>
      <c r="BQ294" s="2606"/>
      <c r="BR294" s="2606"/>
      <c r="BS294" s="1932"/>
      <c r="BT294" s="2607"/>
      <c r="BU294" s="2629"/>
      <c r="BV294" s="2634"/>
      <c r="BW294" s="2607"/>
      <c r="BX294" s="2590"/>
      <c r="BY294" s="2606"/>
      <c r="BZ294" s="2606"/>
      <c r="CA294" s="2606"/>
      <c r="CB294" s="2606"/>
      <c r="CC294" s="1932"/>
      <c r="CD294" s="2656"/>
      <c r="CE294" s="2607"/>
      <c r="CF294" s="2607"/>
      <c r="CG294" s="2607"/>
      <c r="CH294" s="2590"/>
      <c r="CI294" s="2634"/>
      <c r="CJ294" s="2607"/>
      <c r="CK294" s="2607"/>
      <c r="CL294" s="2607"/>
      <c r="CM294" s="2590"/>
      <c r="CN294" s="2634"/>
      <c r="CO294" s="2607"/>
      <c r="CP294" s="2607"/>
      <c r="CQ294" s="2607"/>
      <c r="CR294" s="3458">
        <v>88</v>
      </c>
      <c r="CS294" s="2607">
        <f>CS288-924</f>
        <v>23</v>
      </c>
      <c r="CT294" s="2607">
        <f>CT288-1072</f>
        <v>4</v>
      </c>
      <c r="CU294" s="2607">
        <f>CU288-1161</f>
        <v>1</v>
      </c>
      <c r="CV294" s="2607">
        <f>CV288-1442</f>
        <v>1</v>
      </c>
      <c r="CW294" s="2590">
        <f>SUM(CS294:CV294)</f>
        <v>29</v>
      </c>
      <c r="CX294" s="2607">
        <v>0</v>
      </c>
      <c r="CY294" s="2607">
        <v>4</v>
      </c>
      <c r="CZ294" s="2607">
        <v>-12</v>
      </c>
      <c r="DA294" s="2607">
        <v>-14</v>
      </c>
      <c r="DB294" s="2590">
        <f>SUM(CX294:DA294)</f>
        <v>-22</v>
      </c>
      <c r="DC294" s="2607">
        <v>-7</v>
      </c>
      <c r="DD294" s="2607">
        <v>0</v>
      </c>
      <c r="DE294" s="2607">
        <v>8</v>
      </c>
      <c r="DF294" s="2607">
        <v>0</v>
      </c>
      <c r="DG294" s="2590">
        <f>SUM(DC294:DF294)</f>
        <v>1</v>
      </c>
      <c r="DH294" s="2607">
        <v>-2</v>
      </c>
      <c r="DI294" s="2607">
        <v>5</v>
      </c>
      <c r="DJ294" s="2607">
        <v>3</v>
      </c>
      <c r="DK294" s="2635"/>
      <c r="DL294" s="2590">
        <f>SUM(DH294:DK294)</f>
        <v>6</v>
      </c>
      <c r="DM294" s="2635"/>
      <c r="DN294" s="2635"/>
      <c r="DO294" s="2635"/>
      <c r="DP294" s="2635"/>
      <c r="DQ294" s="2590"/>
      <c r="DR294" s="2635"/>
      <c r="DS294" s="2635"/>
      <c r="DT294" s="2635"/>
      <c r="DU294" s="2635"/>
      <c r="DV294" s="2590"/>
      <c r="DW294" s="2635"/>
      <c r="DX294" s="2635"/>
      <c r="DY294" s="2635"/>
      <c r="DZ294" s="2635"/>
      <c r="EA294" s="2590"/>
      <c r="EB294" s="2635"/>
      <c r="EC294" s="2635"/>
      <c r="ED294" s="2635"/>
      <c r="EE294" s="2635"/>
      <c r="EF294" s="2590"/>
      <c r="EG294" s="2635"/>
      <c r="EH294" s="2635"/>
      <c r="EI294" s="2635"/>
      <c r="EJ294" s="2635"/>
      <c r="EK294" s="2590"/>
      <c r="EL294" s="2635"/>
      <c r="EM294" s="2635"/>
      <c r="EN294" s="2635"/>
      <c r="EO294" s="2635"/>
      <c r="EP294" s="2590"/>
      <c r="EQ294" s="2635"/>
      <c r="ER294" s="2635"/>
      <c r="ES294" s="2635"/>
      <c r="ET294" s="2635"/>
      <c r="EU294" s="2590"/>
      <c r="EV294" s="2908"/>
      <c r="EW294" s="2908"/>
      <c r="EX294" s="2908"/>
      <c r="EY294" s="2908"/>
      <c r="EZ294" s="51"/>
      <c r="FA294" s="725"/>
      <c r="FB294" s="725"/>
    </row>
    <row r="295" spans="1:158" s="516" customFormat="1" ht="11.25" hidden="1" customHeight="1" outlineLevel="1">
      <c r="A295" s="5681"/>
      <c r="B295" s="2630"/>
      <c r="C295" s="2630"/>
      <c r="D295" s="2630"/>
      <c r="E295" s="2630"/>
      <c r="F295" s="5575"/>
      <c r="G295" s="2630"/>
      <c r="H295" s="2630"/>
      <c r="I295" s="2630"/>
      <c r="J295" s="2630"/>
      <c r="K295" s="2593"/>
      <c r="L295" s="2631"/>
      <c r="M295" s="2631"/>
      <c r="N295" s="2631"/>
      <c r="O295" s="2631"/>
      <c r="P295" s="2593"/>
      <c r="Q295" s="2682"/>
      <c r="R295" s="2631"/>
      <c r="S295" s="2631"/>
      <c r="T295" s="2631"/>
      <c r="U295" s="2593"/>
      <c r="V295" s="2682"/>
      <c r="W295" s="2631"/>
      <c r="X295" s="2631"/>
      <c r="Y295" s="2631"/>
      <c r="Z295" s="2593"/>
      <c r="AA295" s="2682"/>
      <c r="AB295" s="2631"/>
      <c r="AC295" s="2631"/>
      <c r="AD295" s="2631"/>
      <c r="AE295" s="2593"/>
      <c r="AF295" s="2682"/>
      <c r="AG295" s="2631"/>
      <c r="AH295" s="2631"/>
      <c r="AI295" s="2631"/>
      <c r="AJ295" s="2593"/>
      <c r="AK295" s="2683"/>
      <c r="AL295" s="2632"/>
      <c r="AM295" s="2632"/>
      <c r="AN295" s="2632"/>
      <c r="AO295" s="2593"/>
      <c r="AP295" s="2683"/>
      <c r="AQ295" s="2632"/>
      <c r="AR295" s="2632"/>
      <c r="AS295" s="2632"/>
      <c r="AT295" s="2593"/>
      <c r="AU295" s="2683"/>
      <c r="AV295" s="2632"/>
      <c r="AW295" s="2632"/>
      <c r="AX295" s="2632"/>
      <c r="AY295" s="2593"/>
      <c r="AZ295" s="2632"/>
      <c r="BA295" s="2632"/>
      <c r="BB295" s="2632"/>
      <c r="BC295" s="2633"/>
      <c r="BD295" s="2593"/>
      <c r="BE295" s="2683"/>
      <c r="BF295" s="2633"/>
      <c r="BG295" s="2632"/>
      <c r="BH295" s="2632"/>
      <c r="BI295" s="2593"/>
      <c r="BJ295" s="2683"/>
      <c r="BK295" s="2633"/>
      <c r="BL295" s="2633"/>
      <c r="BM295" s="2633"/>
      <c r="BN295" s="2593"/>
      <c r="BO295" s="2631"/>
      <c r="BP295" s="2631"/>
      <c r="BQ295" s="2631"/>
      <c r="BR295" s="2631"/>
      <c r="BS295" s="2909"/>
      <c r="BT295" s="2633"/>
      <c r="BU295" s="2633"/>
      <c r="BV295" s="2633"/>
      <c r="BW295" s="2633"/>
      <c r="BX295" s="2593"/>
      <c r="BY295" s="2631"/>
      <c r="BZ295" s="2631"/>
      <c r="CA295" s="2631"/>
      <c r="CB295" s="2631"/>
      <c r="CC295" s="2909"/>
      <c r="CD295" s="2631"/>
      <c r="CE295" s="2631"/>
      <c r="CF295" s="2631"/>
      <c r="CG295" s="2633"/>
      <c r="CH295" s="2593"/>
      <c r="CI295" s="2639"/>
      <c r="CJ295" s="2631"/>
      <c r="CK295" s="2631"/>
      <c r="CL295" s="2631"/>
      <c r="CM295" s="2593"/>
      <c r="CN295" s="2631"/>
      <c r="CO295" s="2631"/>
      <c r="CP295" s="2631"/>
      <c r="CQ295" s="2631"/>
      <c r="CR295" s="2593"/>
      <c r="CS295" s="2631"/>
      <c r="CT295" s="2631"/>
      <c r="CU295" s="2631"/>
      <c r="CV295" s="2631"/>
      <c r="CW295" s="2593"/>
      <c r="CX295" s="2621"/>
      <c r="CY295" s="2621"/>
      <c r="CZ295" s="2621"/>
      <c r="DA295" s="2631"/>
      <c r="DB295" s="2593"/>
      <c r="DC295" s="189"/>
      <c r="DD295" s="2635"/>
      <c r="DE295" s="2621"/>
      <c r="DF295" s="2631"/>
      <c r="DG295" s="2593"/>
      <c r="DH295" s="2631"/>
      <c r="DI295" s="2631"/>
      <c r="DJ295" s="2631"/>
      <c r="DK295" s="2631"/>
      <c r="DL295" s="2909"/>
      <c r="DM295" s="2631"/>
      <c r="DN295" s="2631"/>
      <c r="DO295" s="2631"/>
      <c r="DP295" s="2631"/>
      <c r="DQ295" s="2909"/>
      <c r="DR295" s="2631"/>
      <c r="DS295" s="2631"/>
      <c r="DT295" s="2631"/>
      <c r="DU295" s="2631"/>
      <c r="DV295" s="2909"/>
      <c r="DW295" s="2631"/>
      <c r="DX295" s="2631"/>
      <c r="DY295" s="2631"/>
      <c r="DZ295" s="2631"/>
      <c r="EA295" s="2909"/>
      <c r="EB295" s="2631"/>
      <c r="EC295" s="2631"/>
      <c r="ED295" s="2631"/>
      <c r="EE295" s="2631"/>
      <c r="EF295" s="2909"/>
      <c r="EG295" s="2631"/>
      <c r="EH295" s="2631"/>
      <c r="EI295" s="2631"/>
      <c r="EJ295" s="2631"/>
      <c r="EK295" s="2909"/>
      <c r="EL295" s="2631"/>
      <c r="EM295" s="2631"/>
      <c r="EN295" s="2631"/>
      <c r="EO295" s="2631"/>
      <c r="EP295" s="2909"/>
      <c r="EQ295" s="2631"/>
      <c r="ER295" s="2631"/>
      <c r="ES295" s="2631"/>
      <c r="ET295" s="2631"/>
      <c r="EU295" s="2909"/>
      <c r="EV295" s="2246"/>
      <c r="EW295" s="2246"/>
      <c r="EX295" s="2246"/>
      <c r="EY295" s="2246"/>
      <c r="EZ295" s="515"/>
      <c r="FA295" s="725"/>
      <c r="FB295" s="725"/>
    </row>
    <row r="296" spans="1:158" s="259" customFormat="1" ht="11.25" hidden="1" customHeight="1" outlineLevel="1" collapsed="1">
      <c r="A296" s="5682" t="s">
        <v>622</v>
      </c>
      <c r="B296" s="2895"/>
      <c r="C296" s="2895"/>
      <c r="D296" s="2895"/>
      <c r="E296" s="2895"/>
      <c r="F296" s="5576"/>
      <c r="G296" s="2895"/>
      <c r="H296" s="2895"/>
      <c r="I296" s="2895"/>
      <c r="J296" s="2895"/>
      <c r="K296" s="3485"/>
      <c r="L296" s="626"/>
      <c r="M296" s="626"/>
      <c r="N296" s="626"/>
      <c r="O296" s="626"/>
      <c r="P296" s="3485"/>
      <c r="Q296" s="3486"/>
      <c r="R296" s="626"/>
      <c r="S296" s="626"/>
      <c r="T296" s="626"/>
      <c r="U296" s="3485"/>
      <c r="V296" s="3486"/>
      <c r="W296" s="626"/>
      <c r="X296" s="626"/>
      <c r="Y296" s="626"/>
      <c r="Z296" s="3485"/>
      <c r="AA296" s="3486"/>
      <c r="AB296" s="626"/>
      <c r="AC296" s="626"/>
      <c r="AD296" s="626"/>
      <c r="AE296" s="3485"/>
      <c r="AF296" s="3486"/>
      <c r="AG296" s="626"/>
      <c r="AH296" s="626"/>
      <c r="AI296" s="626"/>
      <c r="AJ296" s="3485"/>
      <c r="AK296" s="3486"/>
      <c r="AL296" s="626"/>
      <c r="AM296" s="626"/>
      <c r="AN296" s="626"/>
      <c r="AO296" s="3485"/>
      <c r="AP296" s="3475"/>
      <c r="AQ296" s="3474"/>
      <c r="AR296" s="3474"/>
      <c r="AS296" s="3474"/>
      <c r="AT296" s="3473"/>
      <c r="AU296" s="3475"/>
      <c r="AV296" s="3474"/>
      <c r="AW296" s="3474"/>
      <c r="AX296" s="3474"/>
      <c r="AY296" s="3473"/>
      <c r="AZ296" s="3475"/>
      <c r="BA296" s="3474"/>
      <c r="BB296" s="3474"/>
      <c r="BC296" s="3474"/>
      <c r="BD296" s="3473"/>
      <c r="BE296" s="3475"/>
      <c r="BF296" s="3474"/>
      <c r="BG296" s="3474"/>
      <c r="BH296" s="3474"/>
      <c r="BI296" s="3473"/>
      <c r="BJ296" s="3475"/>
      <c r="BK296" s="3474"/>
      <c r="BL296" s="3474"/>
      <c r="BM296" s="3474"/>
      <c r="BN296" s="3473"/>
      <c r="BO296" s="3474"/>
      <c r="BP296" s="3474"/>
      <c r="BQ296" s="3474"/>
      <c r="BR296" s="3474"/>
      <c r="BS296" s="3473"/>
      <c r="BT296" s="3474"/>
      <c r="BU296" s="3474"/>
      <c r="BV296" s="3474"/>
      <c r="BW296" s="3474"/>
      <c r="BX296" s="3473"/>
      <c r="BY296" s="3474"/>
      <c r="BZ296" s="3474"/>
      <c r="CA296" s="3474"/>
      <c r="CB296" s="3474"/>
      <c r="CC296" s="3473"/>
      <c r="CD296" s="3474"/>
      <c r="CE296" s="3474"/>
      <c r="CF296" s="3474"/>
      <c r="CG296" s="3474"/>
      <c r="CH296" s="3473"/>
      <c r="CI296" s="3474"/>
      <c r="CJ296" s="3474"/>
      <c r="CK296" s="3474"/>
      <c r="CL296" s="3474"/>
      <c r="CM296" s="3487">
        <v>3681</v>
      </c>
      <c r="CN296" s="3474"/>
      <c r="CO296" s="3474"/>
      <c r="CP296" s="3474"/>
      <c r="CQ296" s="3474"/>
      <c r="CR296" s="3473">
        <f>CR288-CR294</f>
        <v>3836</v>
      </c>
      <c r="CS296" s="3474">
        <f>CS288-CS294</f>
        <v>924</v>
      </c>
      <c r="CT296" s="3474">
        <f>CT288-CT294</f>
        <v>1072</v>
      </c>
      <c r="CU296" s="3474">
        <f>CU288-CU294</f>
        <v>1161</v>
      </c>
      <c r="CV296" s="3474">
        <f>CV288-CV294</f>
        <v>1442</v>
      </c>
      <c r="CW296" s="3488">
        <f>SUM(CS296:CV296)</f>
        <v>4599</v>
      </c>
      <c r="CX296" s="3474">
        <f>CX288-CX294</f>
        <v>1271</v>
      </c>
      <c r="CY296" s="3474">
        <f>CY288-CY294</f>
        <v>1409</v>
      </c>
      <c r="CZ296" s="3474">
        <f>CZ288-CZ294</f>
        <v>1558</v>
      </c>
      <c r="DA296" s="3468">
        <f>DA288-DA294</f>
        <v>1909</v>
      </c>
      <c r="DB296" s="3488">
        <f>SUM(CX296:DA296)</f>
        <v>6147</v>
      </c>
      <c r="DC296" s="3474">
        <f>DC288-DC294</f>
        <v>1731</v>
      </c>
      <c r="DD296" s="3474">
        <f>DD288-DD294</f>
        <v>1849</v>
      </c>
      <c r="DE296" s="3474">
        <f>DE288-DE294</f>
        <v>1827</v>
      </c>
      <c r="DF296" s="4461">
        <f>DF288</f>
        <v>2201</v>
      </c>
      <c r="DG296" s="3488">
        <f>SUM(DC296:DF296)</f>
        <v>7608</v>
      </c>
      <c r="DH296" s="3474"/>
      <c r="DI296" s="3474"/>
      <c r="DJ296" s="3474"/>
      <c r="DK296" s="3489"/>
      <c r="DL296" s="3488">
        <f>SUM(DH296:DK296)</f>
        <v>0</v>
      </c>
      <c r="DM296" s="3489"/>
      <c r="DN296" s="3489"/>
      <c r="DO296" s="3489"/>
      <c r="DP296" s="3489"/>
      <c r="DQ296" s="3488"/>
      <c r="DR296" s="3489"/>
      <c r="DS296" s="3489"/>
      <c r="DT296" s="3489"/>
      <c r="DU296" s="3489"/>
      <c r="DV296" s="3488"/>
      <c r="DW296" s="3489"/>
      <c r="DX296" s="3489"/>
      <c r="DY296" s="3489"/>
      <c r="DZ296" s="3489"/>
      <c r="EA296" s="3488"/>
      <c r="EB296" s="3489"/>
      <c r="EC296" s="3489"/>
      <c r="ED296" s="3489"/>
      <c r="EE296" s="3489"/>
      <c r="EF296" s="3488"/>
      <c r="EG296" s="3489"/>
      <c r="EH296" s="3489"/>
      <c r="EI296" s="3489"/>
      <c r="EJ296" s="3489"/>
      <c r="EK296" s="3488"/>
      <c r="EL296" s="3489"/>
      <c r="EM296" s="3489"/>
      <c r="EN296" s="3489"/>
      <c r="EO296" s="3489"/>
      <c r="EP296" s="3488"/>
      <c r="EQ296" s="3489"/>
      <c r="ER296" s="3489"/>
      <c r="ES296" s="3489"/>
      <c r="ET296" s="3489"/>
      <c r="EU296" s="3488"/>
      <c r="EV296" s="3470"/>
      <c r="EW296" s="3470"/>
      <c r="EX296" s="3470"/>
      <c r="EY296" s="3470"/>
      <c r="EZ296" s="217"/>
      <c r="FA296" s="1319"/>
      <c r="FB296" s="1319"/>
    </row>
    <row r="297" spans="1:158" s="239" customFormat="1" ht="11.25" hidden="1" customHeight="1" outlineLevel="1">
      <c r="A297" s="5639" t="s">
        <v>616</v>
      </c>
      <c r="B297" s="2612"/>
      <c r="C297" s="2612"/>
      <c r="D297" s="2612"/>
      <c r="E297" s="2612"/>
      <c r="F297" s="4304"/>
      <c r="G297" s="2612"/>
      <c r="H297" s="2612"/>
      <c r="I297" s="2612"/>
      <c r="J297" s="2612"/>
      <c r="K297" s="1020"/>
      <c r="L297" s="223"/>
      <c r="M297" s="223"/>
      <c r="N297" s="223"/>
      <c r="O297" s="223"/>
      <c r="P297" s="1020"/>
      <c r="Q297" s="2581"/>
      <c r="R297" s="223"/>
      <c r="S297" s="223"/>
      <c r="T297" s="223"/>
      <c r="U297" s="1020"/>
      <c r="V297" s="2581"/>
      <c r="W297" s="223"/>
      <c r="X297" s="223"/>
      <c r="Y297" s="223"/>
      <c r="Z297" s="1020"/>
      <c r="AA297" s="2581"/>
      <c r="AB297" s="223"/>
      <c r="AC297" s="223"/>
      <c r="AD297" s="223"/>
      <c r="AE297" s="1020"/>
      <c r="AF297" s="2581"/>
      <c r="AG297" s="223"/>
      <c r="AH297" s="223"/>
      <c r="AI297" s="223"/>
      <c r="AJ297" s="1020"/>
      <c r="AK297" s="2581"/>
      <c r="AL297" s="223"/>
      <c r="AM297" s="223"/>
      <c r="AN297" s="223"/>
      <c r="AO297" s="1020"/>
      <c r="AP297" s="2611"/>
      <c r="AQ297" s="2612"/>
      <c r="AR297" s="2612"/>
      <c r="AS297" s="2612"/>
      <c r="AT297" s="2594"/>
      <c r="AU297" s="2611"/>
      <c r="AV297" s="2612"/>
      <c r="AW297" s="2612"/>
      <c r="AX297" s="2612"/>
      <c r="AY297" s="2594"/>
      <c r="AZ297" s="2611"/>
      <c r="BA297" s="2612"/>
      <c r="BB297" s="2612"/>
      <c r="BC297" s="2612"/>
      <c r="BD297" s="2594"/>
      <c r="BE297" s="2611"/>
      <c r="BF297" s="2612"/>
      <c r="BG297" s="2612"/>
      <c r="BH297" s="2612"/>
      <c r="BI297" s="2594"/>
      <c r="BJ297" s="2611"/>
      <c r="BK297" s="2612"/>
      <c r="BL297" s="2612"/>
      <c r="BM297" s="2612"/>
      <c r="BN297" s="2594"/>
      <c r="BO297" s="2623"/>
      <c r="BP297" s="2623"/>
      <c r="BQ297" s="2623"/>
      <c r="BR297" s="2623"/>
      <c r="BS297" s="1929"/>
      <c r="BT297" s="2612"/>
      <c r="BU297" s="2612"/>
      <c r="BV297" s="2612"/>
      <c r="BW297" s="2612"/>
      <c r="BX297" s="2594"/>
      <c r="BY297" s="2623"/>
      <c r="BZ297" s="2623"/>
      <c r="CA297" s="2623"/>
      <c r="CB297" s="2623"/>
      <c r="CC297" s="1929"/>
      <c r="CD297" s="2612"/>
      <c r="CE297" s="2612"/>
      <c r="CF297" s="2612"/>
      <c r="CG297" s="2612"/>
      <c r="CH297" s="2594"/>
      <c r="CI297" s="2612"/>
      <c r="CJ297" s="2612"/>
      <c r="CK297" s="2612"/>
      <c r="CL297" s="2612"/>
      <c r="CM297" s="2594"/>
      <c r="CN297" s="2612"/>
      <c r="CO297" s="2612"/>
      <c r="CP297" s="2612"/>
      <c r="CQ297" s="2612"/>
      <c r="CR297" s="2594"/>
      <c r="CS297" s="2660"/>
      <c r="CT297" s="2660"/>
      <c r="CU297" s="2660"/>
      <c r="CV297" s="2660"/>
      <c r="CW297" s="2588">
        <f t="shared" ref="CW297:DD297" si="1098">CW296/CR296-1</f>
        <v>0.19890510948905105</v>
      </c>
      <c r="CX297" s="2612">
        <f t="shared" si="1098"/>
        <v>0.37554112554112562</v>
      </c>
      <c r="CY297" s="2612">
        <f t="shared" si="1098"/>
        <v>0.31436567164179108</v>
      </c>
      <c r="CZ297" s="2612">
        <f t="shared" si="1098"/>
        <v>0.34194659776055114</v>
      </c>
      <c r="DA297" s="2612">
        <f t="shared" si="1098"/>
        <v>0.32385575589459092</v>
      </c>
      <c r="DB297" s="2588">
        <f t="shared" si="1098"/>
        <v>0.33659491193737767</v>
      </c>
      <c r="DC297" s="2612">
        <f t="shared" si="1098"/>
        <v>0.36191974822974027</v>
      </c>
      <c r="DD297" s="2612">
        <f t="shared" si="1098"/>
        <v>0.312278211497516</v>
      </c>
      <c r="DE297" s="2612">
        <f>DE296/CZ296-1</f>
        <v>0.17265725288831835</v>
      </c>
      <c r="DF297" s="2612">
        <f>DF296/DA296-1</f>
        <v>0.15295966474594036</v>
      </c>
      <c r="DG297" s="2588">
        <f>DG296/DB296-1</f>
        <v>0.23767691556857007</v>
      </c>
      <c r="DH297" s="2612"/>
      <c r="DI297" s="2612"/>
      <c r="DJ297" s="2612"/>
      <c r="DK297" s="2628"/>
      <c r="DL297" s="2588">
        <f>DL296/DG296-1</f>
        <v>-1</v>
      </c>
      <c r="DM297" s="2628"/>
      <c r="DN297" s="2628"/>
      <c r="DO297" s="2628"/>
      <c r="DP297" s="2628"/>
      <c r="DQ297" s="2588"/>
      <c r="DR297" s="2628"/>
      <c r="DS297" s="2628"/>
      <c r="DT297" s="2628"/>
      <c r="DU297" s="2628"/>
      <c r="DV297" s="2588"/>
      <c r="DW297" s="2628"/>
      <c r="DX297" s="2628"/>
      <c r="DY297" s="2628"/>
      <c r="DZ297" s="2628"/>
      <c r="EA297" s="2588"/>
      <c r="EB297" s="2628"/>
      <c r="EC297" s="2628"/>
      <c r="ED297" s="2628"/>
      <c r="EE297" s="2628"/>
      <c r="EF297" s="2588"/>
      <c r="EG297" s="2628"/>
      <c r="EH297" s="2628"/>
      <c r="EI297" s="2628"/>
      <c r="EJ297" s="2628"/>
      <c r="EK297" s="2588"/>
      <c r="EL297" s="2628"/>
      <c r="EM297" s="2628"/>
      <c r="EN297" s="2628"/>
      <c r="EO297" s="2628"/>
      <c r="EP297" s="2588"/>
      <c r="EQ297" s="2628"/>
      <c r="ER297" s="2628"/>
      <c r="ES297" s="2628"/>
      <c r="ET297" s="2628"/>
      <c r="EU297" s="2588"/>
      <c r="EV297" s="3940"/>
      <c r="EW297" s="3940"/>
      <c r="EX297" s="3940"/>
      <c r="EY297" s="3940"/>
      <c r="EZ297" s="223"/>
      <c r="FA297" s="725"/>
      <c r="FB297" s="725"/>
    </row>
    <row r="298" spans="1:158" s="249" customFormat="1" ht="11.25" hidden="1" customHeight="1" outlineLevel="1">
      <c r="A298" s="5639" t="s">
        <v>617</v>
      </c>
      <c r="B298" s="185"/>
      <c r="C298" s="185"/>
      <c r="D298" s="185"/>
      <c r="E298" s="185"/>
      <c r="F298" s="5569"/>
      <c r="G298" s="185"/>
      <c r="H298" s="185"/>
      <c r="I298" s="185"/>
      <c r="J298" s="185"/>
      <c r="K298" s="1505"/>
      <c r="L298" s="185"/>
      <c r="M298" s="185"/>
      <c r="N298" s="185"/>
      <c r="O298" s="185"/>
      <c r="P298" s="1020"/>
      <c r="Q298" s="2605"/>
      <c r="R298" s="185"/>
      <c r="S298" s="185"/>
      <c r="T298" s="185"/>
      <c r="U298" s="1020"/>
      <c r="V298" s="2581"/>
      <c r="W298" s="223"/>
      <c r="X298" s="223"/>
      <c r="Y298" s="223"/>
      <c r="Z298" s="1020"/>
      <c r="AA298" s="2581"/>
      <c r="AB298" s="223"/>
      <c r="AC298" s="223"/>
      <c r="AD298" s="223"/>
      <c r="AE298" s="1020"/>
      <c r="AF298" s="2581"/>
      <c r="AG298" s="223"/>
      <c r="AH298" s="223"/>
      <c r="AI298" s="223"/>
      <c r="AJ298" s="1020"/>
      <c r="AK298" s="2581"/>
      <c r="AL298" s="223"/>
      <c r="AM298" s="223"/>
      <c r="AN298" s="223"/>
      <c r="AO298" s="1020"/>
      <c r="AP298" s="2581"/>
      <c r="AQ298" s="223"/>
      <c r="AR298" s="223"/>
      <c r="AS298" s="223"/>
      <c r="AT298" s="1020"/>
      <c r="AU298" s="2581"/>
      <c r="AV298" s="223"/>
      <c r="AW298" s="223"/>
      <c r="AX298" s="223"/>
      <c r="AY298" s="1020"/>
      <c r="AZ298" s="2581"/>
      <c r="BA298" s="223"/>
      <c r="BB298" s="223"/>
      <c r="BC298" s="223"/>
      <c r="BD298" s="1020"/>
      <c r="BE298" s="2581"/>
      <c r="BF298" s="223"/>
      <c r="BG298" s="223"/>
      <c r="BH298" s="223"/>
      <c r="BI298" s="1020"/>
      <c r="BJ298" s="2581"/>
      <c r="BK298" s="223"/>
      <c r="BL298" s="223"/>
      <c r="BM298" s="223"/>
      <c r="BN298" s="1020"/>
      <c r="BO298" s="223"/>
      <c r="BP298" s="223"/>
      <c r="BQ298" s="223"/>
      <c r="BR298" s="223"/>
      <c r="BS298" s="1931"/>
      <c r="BT298" s="223"/>
      <c r="BU298" s="223"/>
      <c r="BV298" s="223"/>
      <c r="BW298" s="223"/>
      <c r="BX298" s="1020"/>
      <c r="BY298" s="223"/>
      <c r="BZ298" s="223"/>
      <c r="CA298" s="223"/>
      <c r="CB298" s="223"/>
      <c r="CC298" s="1931"/>
      <c r="CD298" s="223"/>
      <c r="CE298" s="223"/>
      <c r="CF298" s="223"/>
      <c r="CG298" s="223"/>
      <c r="CH298" s="1020"/>
      <c r="CI298" s="560"/>
      <c r="CJ298" s="223"/>
      <c r="CK298" s="223"/>
      <c r="CL298" s="223"/>
      <c r="CM298" s="1020"/>
      <c r="CN298" s="223"/>
      <c r="CO298" s="223"/>
      <c r="CP298" s="223"/>
      <c r="CQ298" s="223"/>
      <c r="CR298" s="1020"/>
      <c r="CS298" s="2007"/>
      <c r="CT298" s="223">
        <f>CT296/CS296-1</f>
        <v>0.16017316017316019</v>
      </c>
      <c r="CU298" s="223">
        <f>CU296/CT296-1</f>
        <v>8.3022388059701413E-2</v>
      </c>
      <c r="CV298" s="223">
        <f>CV296/CU296-1</f>
        <v>0.24203273040482354</v>
      </c>
      <c r="CW298" s="1020"/>
      <c r="CX298" s="223">
        <f>CX296/CV296-1</f>
        <v>-0.11858529819694863</v>
      </c>
      <c r="CY298" s="223">
        <f>CY296/CX296-1</f>
        <v>0.10857592446892217</v>
      </c>
      <c r="CZ298" s="223">
        <f>CZ296/CY296-1</f>
        <v>0.1057487579843861</v>
      </c>
      <c r="DA298" s="223">
        <f>DA296/CZ296-1</f>
        <v>0.22528883183568671</v>
      </c>
      <c r="DB298" s="1020"/>
      <c r="DC298" s="223">
        <f>DC296/DA296-1</f>
        <v>-9.324253535882665E-2</v>
      </c>
      <c r="DD298" s="223">
        <f>DD296/DC296-1</f>
        <v>6.8168688619295148E-2</v>
      </c>
      <c r="DE298" s="223">
        <f>DE296/DD296-1</f>
        <v>-1.189832341806385E-2</v>
      </c>
      <c r="DF298" s="223">
        <f>DF296/DE296-1</f>
        <v>0.20470717022441165</v>
      </c>
      <c r="DG298" s="1020"/>
      <c r="DH298" s="223"/>
      <c r="DI298" s="223"/>
      <c r="DJ298" s="223"/>
      <c r="DK298" s="223"/>
      <c r="DL298" s="1020"/>
      <c r="DM298" s="223"/>
      <c r="DN298" s="223"/>
      <c r="DO298" s="223"/>
      <c r="DP298" s="223"/>
      <c r="DQ298" s="1020"/>
      <c r="DR298" s="223"/>
      <c r="DS298" s="223"/>
      <c r="DT298" s="223"/>
      <c r="DU298" s="223"/>
      <c r="DV298" s="1020"/>
      <c r="DW298" s="223"/>
      <c r="DX298" s="223"/>
      <c r="DY298" s="223"/>
      <c r="DZ298" s="223"/>
      <c r="EA298" s="1020"/>
      <c r="EB298" s="223"/>
      <c r="EC298" s="223"/>
      <c r="ED298" s="223"/>
      <c r="EE298" s="223"/>
      <c r="EF298" s="1020"/>
      <c r="EG298" s="223"/>
      <c r="EH298" s="223"/>
      <c r="EI298" s="223"/>
      <c r="EJ298" s="223"/>
      <c r="EK298" s="1020"/>
      <c r="EL298" s="223"/>
      <c r="EM298" s="223"/>
      <c r="EN298" s="223"/>
      <c r="EO298" s="223"/>
      <c r="EP298" s="1020"/>
      <c r="EQ298" s="223"/>
      <c r="ER298" s="223"/>
      <c r="ES298" s="223"/>
      <c r="ET298" s="223"/>
      <c r="EU298" s="1020"/>
      <c r="EV298" s="1050"/>
      <c r="EW298" s="1050"/>
      <c r="EX298" s="1050"/>
      <c r="EY298" s="1050"/>
      <c r="EZ298" s="185"/>
      <c r="FA298" s="725"/>
      <c r="FB298" s="725"/>
    </row>
    <row r="299" spans="1:158" s="211" customFormat="1" ht="11.25" hidden="1" customHeight="1" outlineLevel="1">
      <c r="A299" s="5683" t="s">
        <v>613</v>
      </c>
      <c r="B299" s="2612"/>
      <c r="C299" s="2612"/>
      <c r="D299" s="2612"/>
      <c r="E299" s="2612"/>
      <c r="F299" s="4303"/>
      <c r="G299" s="2612"/>
      <c r="H299" s="2612"/>
      <c r="I299" s="2612"/>
      <c r="J299" s="2612"/>
      <c r="K299" s="1019"/>
      <c r="L299" s="209"/>
      <c r="M299" s="209"/>
      <c r="N299" s="209"/>
      <c r="O299" s="209"/>
      <c r="P299" s="1019"/>
      <c r="Q299" s="2576"/>
      <c r="R299" s="209"/>
      <c r="S299" s="209"/>
      <c r="T299" s="209"/>
      <c r="U299" s="1019"/>
      <c r="V299" s="2576"/>
      <c r="W299" s="209"/>
      <c r="X299" s="209"/>
      <c r="Y299" s="209"/>
      <c r="Z299" s="1019"/>
      <c r="AA299" s="2576"/>
      <c r="AB299" s="209"/>
      <c r="AC299" s="209"/>
      <c r="AD299" s="209"/>
      <c r="AE299" s="1019"/>
      <c r="AF299" s="2576"/>
      <c r="AG299" s="209"/>
      <c r="AH299" s="209"/>
      <c r="AI299" s="209"/>
      <c r="AJ299" s="1019"/>
      <c r="AK299" s="2576"/>
      <c r="AL299" s="209"/>
      <c r="AM299" s="209"/>
      <c r="AN299" s="209"/>
      <c r="AO299" s="1019"/>
      <c r="AP299" s="2655"/>
      <c r="AQ299" s="2606"/>
      <c r="AR299" s="2606"/>
      <c r="AS299" s="2606"/>
      <c r="AT299" s="2590"/>
      <c r="AU299" s="2655"/>
      <c r="AV299" s="2606"/>
      <c r="AW299" s="2606"/>
      <c r="AX299" s="2606"/>
      <c r="AY299" s="2590"/>
      <c r="AZ299" s="2655"/>
      <c r="BA299" s="2606"/>
      <c r="BB299" s="2606"/>
      <c r="BC299" s="2606"/>
      <c r="BD299" s="2590"/>
      <c r="BE299" s="2655"/>
      <c r="BF299" s="2606"/>
      <c r="BG299" s="2606"/>
      <c r="BH299" s="2606"/>
      <c r="BI299" s="2590"/>
      <c r="BJ299" s="2655"/>
      <c r="BK299" s="2606"/>
      <c r="BL299" s="2606"/>
      <c r="BM299" s="2606"/>
      <c r="BN299" s="2590"/>
      <c r="BO299" s="2606"/>
      <c r="BP299" s="2606"/>
      <c r="BQ299" s="2606"/>
      <c r="BR299" s="2606"/>
      <c r="BS299" s="1932"/>
      <c r="BT299" s="2606"/>
      <c r="BU299" s="2606"/>
      <c r="BV299" s="2606"/>
      <c r="BW299" s="2606"/>
      <c r="BX299" s="2590"/>
      <c r="BY299" s="2606"/>
      <c r="BZ299" s="2606"/>
      <c r="CA299" s="2606"/>
      <c r="CB299" s="2606"/>
      <c r="CC299" s="1932"/>
      <c r="CD299" s="2606"/>
      <c r="CE299" s="2606"/>
      <c r="CF299" s="2606"/>
      <c r="CG299" s="2606"/>
      <c r="CH299" s="2590"/>
      <c r="CI299" s="2606"/>
      <c r="CJ299" s="2606"/>
      <c r="CK299" s="2606"/>
      <c r="CL299" s="2606"/>
      <c r="CM299" s="2590"/>
      <c r="CN299" s="2606"/>
      <c r="CO299" s="2606"/>
      <c r="CP299" s="2606"/>
      <c r="CQ299" s="2606"/>
      <c r="CR299" s="2590"/>
      <c r="CS299" s="2606"/>
      <c r="CT299" s="2606"/>
      <c r="CU299" s="2606"/>
      <c r="CV299" s="2606"/>
      <c r="CW299" s="2590">
        <f>(CW289-CW297)*10000</f>
        <v>-194.96342924321118</v>
      </c>
      <c r="CX299" s="2606">
        <f>(CX289-CX297)*10000</f>
        <v>-334.08073798781413</v>
      </c>
      <c r="CY299" s="2606">
        <f>(CY289-CY297)*10000</f>
        <v>-11.686456194861528</v>
      </c>
      <c r="CZ299" s="2606">
        <f>(CZ289-CZ297)*10000</f>
        <v>-114.81881753666379</v>
      </c>
      <c r="DA299" s="2606">
        <f t="shared" ref="DA299:DG299" si="1099">(DA289-DA297)*10000</f>
        <v>-106.19442658277745</v>
      </c>
      <c r="DB299" s="2590">
        <f t="shared" si="1099"/>
        <v>-131.29051954663851</v>
      </c>
      <c r="DC299" s="2606">
        <f>(DC289-DC297)*10000</f>
        <v>-55.074744295828815</v>
      </c>
      <c r="DD299" s="2606">
        <f>(DD289-DD297)*10000</f>
        <v>-37.14871087041827</v>
      </c>
      <c r="DE299" s="2606">
        <f t="shared" si="1099"/>
        <v>142.76770397580796</v>
      </c>
      <c r="DF299" s="2606">
        <f t="shared" si="1099"/>
        <v>85.179078134263179</v>
      </c>
      <c r="DG299" s="2590">
        <f t="shared" si="1099"/>
        <v>46.087987171441469</v>
      </c>
      <c r="DH299" s="2606"/>
      <c r="DI299" s="2606"/>
      <c r="DJ299" s="2606"/>
      <c r="DK299" s="2606"/>
      <c r="DL299" s="2590">
        <f>(DL289-DL297)*10000</f>
        <v>11809.699040609805</v>
      </c>
      <c r="DM299" s="2606"/>
      <c r="DN299" s="2606"/>
      <c r="DO299" s="2606"/>
      <c r="DP299" s="2606"/>
      <c r="DQ299" s="2590"/>
      <c r="DR299" s="2606"/>
      <c r="DS299" s="2606"/>
      <c r="DT299" s="2606"/>
      <c r="DU299" s="2606"/>
      <c r="DV299" s="2590"/>
      <c r="DW299" s="2606"/>
      <c r="DX299" s="2606"/>
      <c r="DY299" s="2606"/>
      <c r="DZ299" s="2606"/>
      <c r="EA299" s="2590"/>
      <c r="EB299" s="2606"/>
      <c r="EC299" s="2606"/>
      <c r="ED299" s="2606"/>
      <c r="EE299" s="2606"/>
      <c r="EF299" s="2590"/>
      <c r="EG299" s="2606"/>
      <c r="EH299" s="2606"/>
      <c r="EI299" s="2606"/>
      <c r="EJ299" s="2606"/>
      <c r="EK299" s="2590"/>
      <c r="EL299" s="2606"/>
      <c r="EM299" s="2606"/>
      <c r="EN299" s="2606"/>
      <c r="EO299" s="2606"/>
      <c r="EP299" s="2590"/>
      <c r="EQ299" s="2606"/>
      <c r="ER299" s="2606"/>
      <c r="ES299" s="2606"/>
      <c r="ET299" s="2606"/>
      <c r="EU299" s="2590"/>
      <c r="EV299" s="2574"/>
      <c r="EW299" s="2574"/>
      <c r="EX299" s="2574"/>
      <c r="EY299" s="2574"/>
      <c r="EZ299" s="209"/>
      <c r="FA299" s="725"/>
      <c r="FB299" s="725"/>
    </row>
    <row r="300" spans="1:158" s="211" customFormat="1" ht="11.25" hidden="1" customHeight="1" outlineLevel="1">
      <c r="A300" s="3560"/>
      <c r="B300" s="2612"/>
      <c r="C300" s="2612"/>
      <c r="D300" s="2612"/>
      <c r="E300" s="2612"/>
      <c r="F300" s="4303"/>
      <c r="G300" s="2612"/>
      <c r="H300" s="2612"/>
      <c r="I300" s="2612"/>
      <c r="J300" s="2612"/>
      <c r="K300" s="1019"/>
      <c r="L300" s="209"/>
      <c r="M300" s="209"/>
      <c r="N300" s="209"/>
      <c r="O300" s="209"/>
      <c r="P300" s="1019"/>
      <c r="Q300" s="2576"/>
      <c r="R300" s="209"/>
      <c r="S300" s="209"/>
      <c r="T300" s="209"/>
      <c r="U300" s="1019"/>
      <c r="V300" s="2576"/>
      <c r="W300" s="209"/>
      <c r="X300" s="209"/>
      <c r="Y300" s="209"/>
      <c r="Z300" s="1019"/>
      <c r="AA300" s="2576"/>
      <c r="AB300" s="209"/>
      <c r="AC300" s="209"/>
      <c r="AD300" s="209"/>
      <c r="AE300" s="1019"/>
      <c r="AF300" s="2576"/>
      <c r="AG300" s="209"/>
      <c r="AH300" s="209"/>
      <c r="AI300" s="209"/>
      <c r="AJ300" s="1019"/>
      <c r="AK300" s="2576"/>
      <c r="AL300" s="209"/>
      <c r="AM300" s="209"/>
      <c r="AN300" s="209"/>
      <c r="AO300" s="1019"/>
      <c r="AP300" s="2576"/>
      <c r="AQ300" s="209"/>
      <c r="AR300" s="209"/>
      <c r="AS300" s="209"/>
      <c r="AT300" s="1019"/>
      <c r="AU300" s="2576"/>
      <c r="AV300" s="209"/>
      <c r="AW300" s="209"/>
      <c r="AX300" s="209"/>
      <c r="AY300" s="1019"/>
      <c r="AZ300" s="2576"/>
      <c r="BA300" s="209"/>
      <c r="BB300" s="209"/>
      <c r="BC300" s="209"/>
      <c r="BD300" s="1019"/>
      <c r="BE300" s="2576"/>
      <c r="BF300" s="209"/>
      <c r="BG300" s="209"/>
      <c r="BH300" s="209"/>
      <c r="BI300" s="1019"/>
      <c r="BJ300" s="2576"/>
      <c r="BK300" s="209"/>
      <c r="BL300" s="209"/>
      <c r="BM300" s="209"/>
      <c r="BN300" s="1019"/>
      <c r="BO300" s="209"/>
      <c r="BP300" s="209"/>
      <c r="BQ300" s="209"/>
      <c r="BR300" s="209"/>
      <c r="BS300" s="1933"/>
      <c r="BT300" s="209"/>
      <c r="BU300" s="209"/>
      <c r="BV300" s="209"/>
      <c r="BW300" s="209"/>
      <c r="BX300" s="1019"/>
      <c r="BY300" s="209"/>
      <c r="BZ300" s="209"/>
      <c r="CA300" s="209"/>
      <c r="CB300" s="209"/>
      <c r="CC300" s="1933"/>
      <c r="CD300" s="209"/>
      <c r="CE300" s="209"/>
      <c r="CF300" s="209"/>
      <c r="CG300" s="209"/>
      <c r="CH300" s="1019"/>
      <c r="CI300" s="209"/>
      <c r="CJ300" s="209"/>
      <c r="CK300" s="209"/>
      <c r="CL300" s="209"/>
      <c r="CM300" s="1019"/>
      <c r="CN300" s="209"/>
      <c r="CO300" s="209"/>
      <c r="CP300" s="209"/>
      <c r="CQ300" s="209"/>
      <c r="CR300" s="1019"/>
      <c r="CS300" s="209"/>
      <c r="CT300" s="209"/>
      <c r="CU300" s="209"/>
      <c r="CV300" s="209"/>
      <c r="CW300" s="1019"/>
      <c r="CX300" s="209"/>
      <c r="CY300" s="209"/>
      <c r="CZ300" s="209"/>
      <c r="DA300" s="209"/>
      <c r="DB300" s="1019"/>
      <c r="DC300" s="209"/>
      <c r="DD300" s="209"/>
      <c r="DE300" s="209"/>
      <c r="DF300" s="209"/>
      <c r="DG300" s="1019"/>
      <c r="DH300" s="209"/>
      <c r="DI300" s="209"/>
      <c r="DJ300" s="209"/>
      <c r="DK300" s="209"/>
      <c r="DL300" s="1933"/>
      <c r="DM300" s="209"/>
      <c r="DN300" s="209"/>
      <c r="DO300" s="209"/>
      <c r="DP300" s="209"/>
      <c r="DQ300" s="1933"/>
      <c r="DR300" s="209"/>
      <c r="DS300" s="209"/>
      <c r="DT300" s="209"/>
      <c r="DU300" s="209"/>
      <c r="DV300" s="1933"/>
      <c r="DW300" s="209"/>
      <c r="DX300" s="209"/>
      <c r="DY300" s="209"/>
      <c r="DZ300" s="209"/>
      <c r="EA300" s="1933"/>
      <c r="EB300" s="209"/>
      <c r="EC300" s="209"/>
      <c r="ED300" s="209"/>
      <c r="EE300" s="209"/>
      <c r="EF300" s="1933"/>
      <c r="EG300" s="209"/>
      <c r="EH300" s="209"/>
      <c r="EI300" s="209"/>
      <c r="EJ300" s="209"/>
      <c r="EK300" s="1933"/>
      <c r="EL300" s="209"/>
      <c r="EM300" s="209"/>
      <c r="EN300" s="209"/>
      <c r="EO300" s="209"/>
      <c r="EP300" s="1933"/>
      <c r="EQ300" s="209"/>
      <c r="ER300" s="209"/>
      <c r="ES300" s="209"/>
      <c r="ET300" s="209"/>
      <c r="EU300" s="1933"/>
      <c r="EV300" s="1019"/>
      <c r="EW300" s="1019"/>
      <c r="EX300" s="1019"/>
      <c r="EY300" s="1019"/>
      <c r="EZ300" s="209"/>
      <c r="FA300" s="725"/>
      <c r="FB300" s="725"/>
    </row>
    <row r="301" spans="1:158" s="252" customFormat="1" ht="11.25" customHeight="1" collapsed="1">
      <c r="A301" s="5684" t="s">
        <v>723</v>
      </c>
      <c r="B301" s="3480"/>
      <c r="C301" s="3480"/>
      <c r="D301" s="3480"/>
      <c r="E301" s="3480"/>
      <c r="F301" s="5571"/>
      <c r="G301" s="3480"/>
      <c r="H301" s="3480"/>
      <c r="I301" s="3480"/>
      <c r="J301" s="3480"/>
      <c r="K301" s="3481"/>
      <c r="L301" s="3482"/>
      <c r="M301" s="3482"/>
      <c r="N301" s="3482"/>
      <c r="O301" s="3482"/>
      <c r="P301" s="3481"/>
      <c r="Q301" s="3483"/>
      <c r="R301" s="3482"/>
      <c r="S301" s="3482"/>
      <c r="T301" s="3482"/>
      <c r="U301" s="3481"/>
      <c r="V301" s="3483"/>
      <c r="W301" s="3482"/>
      <c r="X301" s="3482"/>
      <c r="Y301" s="3482"/>
      <c r="Z301" s="3481"/>
      <c r="AA301" s="3483"/>
      <c r="AB301" s="3482"/>
      <c r="AC301" s="3482"/>
      <c r="AD301" s="3482"/>
      <c r="AE301" s="3481"/>
      <c r="AF301" s="3483"/>
      <c r="AG301" s="3482"/>
      <c r="AH301" s="3482"/>
      <c r="AI301" s="3482"/>
      <c r="AJ301" s="3481"/>
      <c r="AK301" s="2985"/>
      <c r="AL301" s="2985"/>
      <c r="AM301" s="2985"/>
      <c r="AN301" s="2985"/>
      <c r="AO301" s="3481"/>
      <c r="AP301" s="3471"/>
      <c r="AQ301" s="2985"/>
      <c r="AR301" s="2985"/>
      <c r="AS301" s="2985"/>
      <c r="AT301" s="3481"/>
      <c r="AU301" s="3483"/>
      <c r="AV301" s="3482"/>
      <c r="AW301" s="3482"/>
      <c r="AX301" s="3482"/>
      <c r="AY301" s="3481"/>
      <c r="AZ301" s="3483"/>
      <c r="BA301" s="3482"/>
      <c r="BB301" s="3482"/>
      <c r="BC301" s="3482"/>
      <c r="BD301" s="3481"/>
      <c r="BE301" s="3483"/>
      <c r="BF301" s="3482"/>
      <c r="BG301" s="3482"/>
      <c r="BH301" s="3482"/>
      <c r="BI301" s="3481"/>
      <c r="BJ301" s="3483"/>
      <c r="BK301" s="3482"/>
      <c r="BL301" s="3482"/>
      <c r="BM301" s="3482"/>
      <c r="BN301" s="3481"/>
      <c r="BO301" s="3482"/>
      <c r="BP301" s="3482"/>
      <c r="BQ301" s="3482"/>
      <c r="BR301" s="3482"/>
      <c r="BS301" s="3484"/>
      <c r="BT301" s="3482"/>
      <c r="BU301" s="3482"/>
      <c r="BV301" s="3482"/>
      <c r="BW301" s="3482"/>
      <c r="BX301" s="3481"/>
      <c r="BY301" s="3482"/>
      <c r="BZ301" s="3482"/>
      <c r="CA301" s="3482"/>
      <c r="CB301" s="3482"/>
      <c r="CC301" s="3484"/>
      <c r="CD301" s="3482"/>
      <c r="CE301" s="3482"/>
      <c r="CF301" s="3482"/>
      <c r="CG301" s="3482"/>
      <c r="CH301" s="3481"/>
      <c r="CI301" s="3482"/>
      <c r="CJ301" s="3482"/>
      <c r="CK301" s="3482"/>
      <c r="CL301" s="3482"/>
      <c r="CM301" s="3481"/>
      <c r="CN301" s="3482"/>
      <c r="CO301" s="3482"/>
      <c r="CP301" s="3482"/>
      <c r="CQ301" s="3482"/>
      <c r="CR301" s="3481">
        <f>CR296-CR292</f>
        <v>4548</v>
      </c>
      <c r="CS301" s="3482"/>
      <c r="CT301" s="3482"/>
      <c r="CU301" s="3482"/>
      <c r="CV301" s="3482"/>
      <c r="CW301" s="3481">
        <f t="shared" ref="CW301:DG301" si="1100">CW296-CW292</f>
        <v>4943</v>
      </c>
      <c r="CX301" s="3482">
        <f t="shared" si="1100"/>
        <v>1194</v>
      </c>
      <c r="CY301" s="3482">
        <f t="shared" si="1100"/>
        <v>1401</v>
      </c>
      <c r="CZ301" s="3482">
        <f t="shared" si="1100"/>
        <v>1532</v>
      </c>
      <c r="DA301" s="3482">
        <f t="shared" si="1100"/>
        <v>1872</v>
      </c>
      <c r="DB301" s="3481">
        <f t="shared" si="1100"/>
        <v>5999</v>
      </c>
      <c r="DC301" s="3482">
        <f t="shared" si="1100"/>
        <v>1712</v>
      </c>
      <c r="DD301" s="3482">
        <f t="shared" si="1100"/>
        <v>1893</v>
      </c>
      <c r="DE301" s="3482">
        <f t="shared" si="1100"/>
        <v>1995</v>
      </c>
      <c r="DF301" s="3482">
        <f t="shared" si="1100"/>
        <v>2412</v>
      </c>
      <c r="DG301" s="3481">
        <f t="shared" si="1100"/>
        <v>8012</v>
      </c>
      <c r="DH301" s="3482">
        <f t="shared" ref="DH301:DM301" si="1101">DH288-DH292</f>
        <v>2098</v>
      </c>
      <c r="DI301" s="3482">
        <f t="shared" si="1101"/>
        <v>2308</v>
      </c>
      <c r="DJ301" s="3482">
        <f t="shared" si="1101"/>
        <v>2356</v>
      </c>
      <c r="DK301" s="3482">
        <f t="shared" si="1101"/>
        <v>2765</v>
      </c>
      <c r="DL301" s="3481">
        <f t="shared" si="1101"/>
        <v>9527</v>
      </c>
      <c r="DM301" s="3482">
        <f t="shared" si="1101"/>
        <v>2253</v>
      </c>
      <c r="DN301" s="3482">
        <f t="shared" ref="DN301:DS301" si="1102">DN288-DN292</f>
        <v>2079</v>
      </c>
      <c r="DO301" s="3482">
        <f t="shared" si="1102"/>
        <v>2675</v>
      </c>
      <c r="DP301" s="3482">
        <f t="shared" si="1102"/>
        <v>3374</v>
      </c>
      <c r="DQ301" s="3481">
        <f t="shared" si="1102"/>
        <v>10381</v>
      </c>
      <c r="DR301" s="3482">
        <f t="shared" si="1102"/>
        <v>3096</v>
      </c>
      <c r="DS301" s="3482">
        <f t="shared" si="1102"/>
        <v>3252</v>
      </c>
      <c r="DT301" s="3482">
        <f>DT288-DT292</f>
        <v>3571</v>
      </c>
      <c r="DU301" s="5166">
        <v>4398</v>
      </c>
      <c r="DV301" s="3481">
        <f>DV288-DV292</f>
        <v>14317</v>
      </c>
      <c r="DW301" s="5166">
        <v>3923</v>
      </c>
      <c r="DX301" s="5166">
        <v>4310</v>
      </c>
      <c r="DY301" s="5166">
        <v>4303</v>
      </c>
      <c r="DZ301" s="5166">
        <v>4870</v>
      </c>
      <c r="EA301" s="5716">
        <f>EA288-EA292</f>
        <v>17406</v>
      </c>
      <c r="EB301" s="5715">
        <v>4247</v>
      </c>
      <c r="EC301" s="5715">
        <v>4817</v>
      </c>
      <c r="ED301" s="5715">
        <v>4659</v>
      </c>
      <c r="EE301" s="5715">
        <v>5251</v>
      </c>
      <c r="EF301" s="5716">
        <f>EF288-EF292</f>
        <v>18974</v>
      </c>
      <c r="EG301" s="5715">
        <v>4805</v>
      </c>
      <c r="EH301" s="5715">
        <v>5243</v>
      </c>
      <c r="EI301" s="5715">
        <v>5679</v>
      </c>
      <c r="EJ301" s="5715">
        <v>6299</v>
      </c>
      <c r="EK301" s="5716">
        <f>EK288-EK292</f>
        <v>22026</v>
      </c>
      <c r="EL301" s="5715">
        <v>5733</v>
      </c>
      <c r="EM301" s="5715">
        <v>6087</v>
      </c>
      <c r="EN301" s="5715">
        <v>6115</v>
      </c>
      <c r="EO301" s="3492">
        <f t="shared" ref="EO301" si="1103">EJ288*(1+EO302)</f>
        <v>6966.81</v>
      </c>
      <c r="EP301" s="3481">
        <f>EP288-EP292</f>
        <v>24901.81</v>
      </c>
      <c r="EQ301" s="3492">
        <f t="shared" ref="EQ301" si="1104">EL288*(1+EQ302)</f>
        <v>6394.7259999999997</v>
      </c>
      <c r="ER301" s="3492">
        <f t="shared" ref="ER301" si="1105">EM288*(1+ER302)</f>
        <v>7088.46</v>
      </c>
      <c r="ES301" s="3492">
        <f t="shared" ref="ES301" si="1106">EN288*(1+ES302)</f>
        <v>7581.25</v>
      </c>
      <c r="ET301" s="3492">
        <f t="shared" ref="ET301" si="1107">EO288*(1+ET302)</f>
        <v>8646.2730627036926</v>
      </c>
      <c r="EU301" s="3481">
        <f>EU288-EU292</f>
        <v>29710.709062703689</v>
      </c>
      <c r="EV301" s="3941">
        <f>EU288*(1+EV302)</f>
        <v>35688.195753482811</v>
      </c>
      <c r="EW301" s="3941">
        <f>EV288*(1+EW302)</f>
        <v>41398.307074040058</v>
      </c>
      <c r="EX301" s="3941">
        <f>EW288*(1+EX302)</f>
        <v>47194.070064405671</v>
      </c>
      <c r="EY301" s="3941">
        <f>EX288*(1+EY302)</f>
        <v>53093.32882245638</v>
      </c>
      <c r="FA301" s="1319">
        <f>(EV301/EK301)^(1/3)-1</f>
        <v>0.17452694876232089</v>
      </c>
      <c r="FB301" s="1319">
        <f>(EX301/EK301)^(1/5)-1</f>
        <v>0.16463640005402924</v>
      </c>
    </row>
    <row r="302" spans="1:158" s="239" customFormat="1" ht="11.25" customHeight="1">
      <c r="A302" s="5685" t="s">
        <v>618</v>
      </c>
      <c r="B302" s="3494"/>
      <c r="C302" s="3494"/>
      <c r="D302" s="3494"/>
      <c r="E302" s="3494"/>
      <c r="F302" s="5572"/>
      <c r="G302" s="3494"/>
      <c r="H302" s="3494"/>
      <c r="I302" s="3494"/>
      <c r="J302" s="3494"/>
      <c r="K302" s="3495"/>
      <c r="L302" s="3496"/>
      <c r="M302" s="3496"/>
      <c r="N302" s="3496"/>
      <c r="O302" s="3496"/>
      <c r="P302" s="3495"/>
      <c r="Q302" s="3497"/>
      <c r="R302" s="3496"/>
      <c r="S302" s="3496"/>
      <c r="T302" s="3496"/>
      <c r="U302" s="3495"/>
      <c r="V302" s="3497"/>
      <c r="W302" s="3496"/>
      <c r="X302" s="3496"/>
      <c r="Y302" s="3496"/>
      <c r="Z302" s="3495"/>
      <c r="AA302" s="3497"/>
      <c r="AB302" s="3496"/>
      <c r="AC302" s="3496"/>
      <c r="AD302" s="3496"/>
      <c r="AE302" s="3495"/>
      <c r="AF302" s="3497"/>
      <c r="AG302" s="3496"/>
      <c r="AH302" s="3496"/>
      <c r="AI302" s="3496"/>
      <c r="AJ302" s="3495"/>
      <c r="AK302" s="3498"/>
      <c r="AL302" s="3499"/>
      <c r="AM302" s="3499"/>
      <c r="AN302" s="3499"/>
      <c r="AO302" s="3495"/>
      <c r="AP302" s="3498"/>
      <c r="AQ302" s="3499"/>
      <c r="AR302" s="3499"/>
      <c r="AS302" s="3499"/>
      <c r="AT302" s="3495"/>
      <c r="AU302" s="3498"/>
      <c r="AV302" s="3499"/>
      <c r="AW302" s="3499"/>
      <c r="AX302" s="3496"/>
      <c r="AY302" s="3495"/>
      <c r="AZ302" s="3493"/>
      <c r="BA302" s="3494"/>
      <c r="BB302" s="3494"/>
      <c r="BC302" s="3494"/>
      <c r="BD302" s="3495"/>
      <c r="BE302" s="3493"/>
      <c r="BF302" s="3494"/>
      <c r="BG302" s="3494"/>
      <c r="BH302" s="3494"/>
      <c r="BI302" s="3495"/>
      <c r="BJ302" s="3493"/>
      <c r="BK302" s="3494"/>
      <c r="BL302" s="3494"/>
      <c r="BM302" s="3494"/>
      <c r="BN302" s="3495"/>
      <c r="BO302" s="3496"/>
      <c r="BP302" s="3496"/>
      <c r="BQ302" s="3496"/>
      <c r="BR302" s="3496"/>
      <c r="BS302" s="3500"/>
      <c r="BT302" s="3494"/>
      <c r="BU302" s="3494"/>
      <c r="BV302" s="3494"/>
      <c r="BW302" s="3494"/>
      <c r="BX302" s="3495"/>
      <c r="BY302" s="3496"/>
      <c r="BZ302" s="3496"/>
      <c r="CA302" s="3496"/>
      <c r="CB302" s="3496"/>
      <c r="CC302" s="3500"/>
      <c r="CD302" s="3494"/>
      <c r="CE302" s="3494"/>
      <c r="CF302" s="3494"/>
      <c r="CG302" s="3494"/>
      <c r="CH302" s="3495"/>
      <c r="CI302" s="3494"/>
      <c r="CJ302" s="3494"/>
      <c r="CK302" s="3494"/>
      <c r="CL302" s="3494"/>
      <c r="CM302" s="3495"/>
      <c r="CN302" s="3494"/>
      <c r="CO302" s="3494"/>
      <c r="CP302" s="3494"/>
      <c r="CQ302" s="3494"/>
      <c r="CR302" s="3495">
        <f>CR301/CM296-1</f>
        <v>0.23553382233088827</v>
      </c>
      <c r="CS302" s="3494"/>
      <c r="CT302" s="3494"/>
      <c r="CU302" s="3494"/>
      <c r="CV302" s="3494"/>
      <c r="CW302" s="3495">
        <f t="shared" ref="CW302:DL302" si="1108">CW301/CR296-1</f>
        <v>0.28858185610010434</v>
      </c>
      <c r="CX302" s="3494">
        <f t="shared" si="1108"/>
        <v>0.29220779220779214</v>
      </c>
      <c r="CY302" s="3494">
        <f t="shared" si="1108"/>
        <v>0.30690298507462677</v>
      </c>
      <c r="CZ302" s="3494">
        <f t="shared" si="1108"/>
        <v>0.31955211024978469</v>
      </c>
      <c r="DA302" s="3494">
        <f t="shared" si="1108"/>
        <v>0.29819694868238567</v>
      </c>
      <c r="DB302" s="3495">
        <f t="shared" si="1108"/>
        <v>0.30441400304414001</v>
      </c>
      <c r="DC302" s="3494">
        <f t="shared" si="1108"/>
        <v>0.3469708890637293</v>
      </c>
      <c r="DD302" s="3494">
        <f t="shared" si="1108"/>
        <v>0.34350603264726765</v>
      </c>
      <c r="DE302" s="3494">
        <f t="shared" si="1108"/>
        <v>0.28048780487804881</v>
      </c>
      <c r="DF302" s="3494">
        <f t="shared" si="1108"/>
        <v>0.26348873755893143</v>
      </c>
      <c r="DG302" s="3495">
        <f t="shared" si="1108"/>
        <v>0.30340003253619652</v>
      </c>
      <c r="DH302" s="3494">
        <f t="shared" si="1108"/>
        <v>0.21201617562102837</v>
      </c>
      <c r="DI302" s="3494">
        <f t="shared" si="1108"/>
        <v>0.24824229313142232</v>
      </c>
      <c r="DJ302" s="3494">
        <f t="shared" si="1108"/>
        <v>0.28954570333880669</v>
      </c>
      <c r="DK302" s="3494">
        <f t="shared" si="1108"/>
        <v>0.25624716038164475</v>
      </c>
      <c r="DL302" s="5078">
        <f t="shared" si="1108"/>
        <v>0.25223449001051534</v>
      </c>
      <c r="DM302" s="5079">
        <f t="shared" ref="DM302:EN302" si="1109">DM301/DH288-1</f>
        <v>0.1820566631689402</v>
      </c>
      <c r="DN302" s="5079">
        <f t="shared" si="1109"/>
        <v>-2.1186440677966156E-2</v>
      </c>
      <c r="DO302" s="5079">
        <f t="shared" si="1109"/>
        <v>0.16812227074235797</v>
      </c>
      <c r="DP302" s="5079">
        <f t="shared" si="1109"/>
        <v>0.26556639159789941</v>
      </c>
      <c r="DQ302" s="5078">
        <f t="shared" si="1109"/>
        <v>0.15524148675717786</v>
      </c>
      <c r="DR302" s="5079">
        <f t="shared" si="1109"/>
        <v>0.43532684283727408</v>
      </c>
      <c r="DS302" s="5079">
        <f t="shared" si="1109"/>
        <v>0.76835236541598695</v>
      </c>
      <c r="DT302" s="5079">
        <f t="shared" si="1109"/>
        <v>0.50611556305356387</v>
      </c>
      <c r="DU302" s="5079">
        <f t="shared" si="1109"/>
        <v>0.44196721311475407</v>
      </c>
      <c r="DV302" s="3495">
        <f>DV301/DQ288-1</f>
        <v>0.52033556334289055</v>
      </c>
      <c r="DW302" s="5079">
        <f t="shared" si="1109"/>
        <v>0.3504302925989673</v>
      </c>
      <c r="DX302" s="5079">
        <f t="shared" si="1109"/>
        <v>0.28121284185493467</v>
      </c>
      <c r="DY302" s="5079">
        <f t="shared" si="1109"/>
        <v>0.16675704989154005</v>
      </c>
      <c r="DZ302" s="5079">
        <f t="shared" si="1109"/>
        <v>9.5120305824151208E-2</v>
      </c>
      <c r="EA302" s="3495">
        <f>EA301/DV288-1</f>
        <v>0.20841432935295745</v>
      </c>
      <c r="EB302" s="5079">
        <f t="shared" si="1109"/>
        <v>0.10541384695471101</v>
      </c>
      <c r="EC302" s="5079">
        <f t="shared" si="1109"/>
        <v>0.10990783410138238</v>
      </c>
      <c r="ED302" s="5079">
        <f t="shared" si="1109"/>
        <v>0.1259062348960851</v>
      </c>
      <c r="EE302" s="5079">
        <f t="shared" si="1109"/>
        <v>0.12779209621993126</v>
      </c>
      <c r="EF302" s="3495">
        <f>EF301/EA288-1</f>
        <v>0.11769557021677657</v>
      </c>
      <c r="EG302" s="5079">
        <f t="shared" si="1109"/>
        <v>0.17769607843137258</v>
      </c>
      <c r="EH302" s="5079">
        <f t="shared" si="1109"/>
        <v>0.16227000665041014</v>
      </c>
      <c r="EI302" s="5079">
        <f t="shared" si="1109"/>
        <v>0.2473094662859654</v>
      </c>
      <c r="EJ302" s="5079">
        <f t="shared" si="1109"/>
        <v>0.21696290571870169</v>
      </c>
      <c r="EK302" s="3495">
        <f>EK301/EF288-1</f>
        <v>0.20229257641921405</v>
      </c>
      <c r="EL302" s="5079">
        <f t="shared" si="1109"/>
        <v>0.23210831721470027</v>
      </c>
      <c r="EM302" s="5079">
        <f t="shared" si="1109"/>
        <v>0.23268529769137292</v>
      </c>
      <c r="EN302" s="5079">
        <f t="shared" si="1109"/>
        <v>0.20066758295699971</v>
      </c>
      <c r="EO302" s="3501">
        <v>0.215</v>
      </c>
      <c r="EP302" s="3495">
        <f>EP301/EK288-1</f>
        <v>0.21960084239396616</v>
      </c>
      <c r="EQ302" s="3501">
        <v>0.222</v>
      </c>
      <c r="ER302" s="3501">
        <v>0.23599999999999999</v>
      </c>
      <c r="ES302" s="3501">
        <v>0.25</v>
      </c>
      <c r="ET302" s="3501">
        <v>0.24</v>
      </c>
      <c r="EU302" s="3495">
        <f>EU301/EP288-1</f>
        <v>0.23764706870908281</v>
      </c>
      <c r="EV302" s="3508">
        <v>0.19</v>
      </c>
      <c r="EW302" s="3508">
        <v>0.16</v>
      </c>
      <c r="EX302" s="3508">
        <v>0.14000000000000001</v>
      </c>
      <c r="EY302" s="3508">
        <v>0.125</v>
      </c>
      <c r="FA302" s="725"/>
      <c r="FB302" s="725"/>
    </row>
    <row r="303" spans="1:158" s="214" customFormat="1" ht="11.25" customHeight="1">
      <c r="A303" s="5686" t="s">
        <v>21</v>
      </c>
      <c r="B303" s="3359"/>
      <c r="C303" s="3359"/>
      <c r="D303" s="3359"/>
      <c r="E303" s="3359"/>
      <c r="F303" s="5573"/>
      <c r="G303" s="3359"/>
      <c r="H303" s="3359"/>
      <c r="I303" s="3359"/>
      <c r="J303" s="3359"/>
      <c r="K303" s="3360"/>
      <c r="L303" s="3361"/>
      <c r="M303" s="3361"/>
      <c r="N303" s="3361"/>
      <c r="O303" s="3361"/>
      <c r="P303" s="3360"/>
      <c r="Q303" s="3362"/>
      <c r="R303" s="3361"/>
      <c r="S303" s="3361"/>
      <c r="T303" s="3361"/>
      <c r="U303" s="3360"/>
      <c r="V303" s="3362"/>
      <c r="W303" s="3361"/>
      <c r="X303" s="3361"/>
      <c r="Y303" s="3361"/>
      <c r="Z303" s="3360"/>
      <c r="AA303" s="3362"/>
      <c r="AB303" s="3361"/>
      <c r="AC303" s="3361"/>
      <c r="AD303" s="3361"/>
      <c r="AE303" s="3360"/>
      <c r="AF303" s="3362"/>
      <c r="AG303" s="3361"/>
      <c r="AH303" s="3361"/>
      <c r="AI303" s="3361"/>
      <c r="AJ303" s="3360"/>
      <c r="AK303" s="3345"/>
      <c r="AL303" s="3345"/>
      <c r="AM303" s="3345"/>
      <c r="AN303" s="3345"/>
      <c r="AO303" s="3360"/>
      <c r="AP303" s="3344"/>
      <c r="AQ303" s="3345"/>
      <c r="AR303" s="3345"/>
      <c r="AS303" s="3345"/>
      <c r="AT303" s="3360"/>
      <c r="AU303" s="3344"/>
      <c r="AV303" s="3345"/>
      <c r="AW303" s="3345"/>
      <c r="AX303" s="3361"/>
      <c r="AY303" s="3360"/>
      <c r="AZ303" s="3362"/>
      <c r="BA303" s="3361"/>
      <c r="BB303" s="3361"/>
      <c r="BC303" s="3361"/>
      <c r="BD303" s="3360"/>
      <c r="BE303" s="3362"/>
      <c r="BF303" s="3361"/>
      <c r="BG303" s="3361"/>
      <c r="BH303" s="3361"/>
      <c r="BI303" s="3360"/>
      <c r="BJ303" s="3362"/>
      <c r="BK303" s="3361"/>
      <c r="BL303" s="3361"/>
      <c r="BM303" s="3361"/>
      <c r="BN303" s="3360"/>
      <c r="BO303" s="3361"/>
      <c r="BP303" s="3361"/>
      <c r="BQ303" s="3361"/>
      <c r="BR303" s="3361"/>
      <c r="BS303" s="3363"/>
      <c r="BT303" s="3361"/>
      <c r="BU303" s="3361"/>
      <c r="BV303" s="3361"/>
      <c r="BW303" s="3361"/>
      <c r="BX303" s="3363"/>
      <c r="BY303" s="3361"/>
      <c r="BZ303" s="3361"/>
      <c r="CA303" s="3361"/>
      <c r="CB303" s="3361"/>
      <c r="CC303" s="3363"/>
      <c r="CD303" s="3361"/>
      <c r="CE303" s="3361"/>
      <c r="CF303" s="3361"/>
      <c r="CG303" s="3361"/>
      <c r="CH303" s="3363"/>
      <c r="CI303" s="3361"/>
      <c r="CJ303" s="3361"/>
      <c r="CK303" s="3361"/>
      <c r="CL303" s="3361"/>
      <c r="CM303" s="3363"/>
      <c r="CN303" s="3361"/>
      <c r="CO303" s="3361"/>
      <c r="CP303" s="3361"/>
      <c r="CQ303" s="3361"/>
      <c r="CR303" s="3363"/>
      <c r="CS303" s="3361"/>
      <c r="CT303" s="3361"/>
      <c r="CU303" s="3361"/>
      <c r="CV303" s="3361"/>
      <c r="CW303" s="3363">
        <f t="shared" ref="CW303:DB303" si="1110">(CW289-CW302)*10000</f>
        <v>-1091.730895353744</v>
      </c>
      <c r="CX303" s="3361">
        <f t="shared" si="1110"/>
        <v>499.25259534552072</v>
      </c>
      <c r="CY303" s="3361">
        <f t="shared" si="1110"/>
        <v>62.940409476781589</v>
      </c>
      <c r="CZ303" s="3361">
        <f t="shared" si="1110"/>
        <v>109.12605757100069</v>
      </c>
      <c r="DA303" s="3361">
        <f t="shared" si="1110"/>
        <v>150.39364553927516</v>
      </c>
      <c r="DB303" s="3363">
        <f t="shared" si="1110"/>
        <v>190.51856938573809</v>
      </c>
      <c r="DC303" s="3361">
        <f t="shared" ref="DC303:DL303" si="1111">(DC289-DC302)*10000</f>
        <v>94.413847364280826</v>
      </c>
      <c r="DD303" s="3361">
        <f t="shared" si="1111"/>
        <v>-349.42692236793471</v>
      </c>
      <c r="DE303" s="3361">
        <f t="shared" si="1111"/>
        <v>-935.53781592149664</v>
      </c>
      <c r="DF303" s="3361">
        <f t="shared" si="1111"/>
        <v>-1020.1116499956476</v>
      </c>
      <c r="DG303" s="3363">
        <f t="shared" si="1111"/>
        <v>-611.14318250482302</v>
      </c>
      <c r="DH303" s="3361">
        <f t="shared" si="1111"/>
        <v>-1064.4773014539032</v>
      </c>
      <c r="DI303" s="3361">
        <f t="shared" si="1111"/>
        <v>-995.13250405624638</v>
      </c>
      <c r="DJ303" s="3361">
        <f t="shared" si="1111"/>
        <v>-415.89300069051927</v>
      </c>
      <c r="DK303" s="3361">
        <f t="shared" si="1111"/>
        <v>-449.79554747841985</v>
      </c>
      <c r="DL303" s="3360">
        <f t="shared" si="1111"/>
        <v>-712.64585949534887</v>
      </c>
      <c r="DM303" s="3361">
        <f>(DM289-DM302)*10000</f>
        <v>-503.67261280167997</v>
      </c>
      <c r="DN303" s="3361">
        <f>(DN289-DN302)*10000</f>
        <v>-1129.9435028248583</v>
      </c>
      <c r="DO303" s="3361">
        <f>(DO289-DO302)*10000</f>
        <v>-1327.5109170305677</v>
      </c>
      <c r="DP303" s="3361">
        <f>(DP289-DP302)*10000</f>
        <v>-1215.3038259564885</v>
      </c>
      <c r="DQ303" s="3360">
        <f>(DQ289-DQ302)*10000</f>
        <v>-1072.7798798130416</v>
      </c>
      <c r="DR303" s="3361">
        <f t="shared" ref="DR303:DW303" si="1112">(DR289-DR302)*10000</f>
        <v>-885.48910523875918</v>
      </c>
      <c r="DS303" s="3361">
        <f t="shared" si="1112"/>
        <v>609.02664491571556</v>
      </c>
      <c r="DT303" s="3361">
        <f t="shared" si="1112"/>
        <v>493.46267397722522</v>
      </c>
      <c r="DU303" s="3361">
        <f t="shared" si="1112"/>
        <v>160.65573770491781</v>
      </c>
      <c r="DV303" s="3360">
        <f t="shared" si="1112"/>
        <v>92.386110226185821</v>
      </c>
      <c r="DW303" s="3361">
        <f t="shared" si="1112"/>
        <v>-278.82960413080804</v>
      </c>
      <c r="DX303" s="3361">
        <f t="shared" ref="DX303:EW303" si="1113">(DX289-DX302)*10000</f>
        <v>89.17954815695461</v>
      </c>
      <c r="DY303" s="3361">
        <f t="shared" si="1113"/>
        <v>-447.39696312364299</v>
      </c>
      <c r="DZ303" s="3361">
        <f t="shared" si="1113"/>
        <v>-481.22329660445382</v>
      </c>
      <c r="EA303" s="3360">
        <f t="shared" si="1113"/>
        <v>-298.52818661482814</v>
      </c>
      <c r="EB303" s="3361">
        <f t="shared" si="1113"/>
        <v>-434.66944299843658</v>
      </c>
      <c r="EC303" s="3361">
        <f t="shared" si="1113"/>
        <v>-705.06912442396265</v>
      </c>
      <c r="ED303" s="3361">
        <f t="shared" si="1113"/>
        <v>-256.16239729337798</v>
      </c>
      <c r="EE303" s="3361">
        <f t="shared" ref="EE303" si="1114">(EE289-EE302)*10000</f>
        <v>-161.08247422680355</v>
      </c>
      <c r="EF303" s="3360">
        <f t="shared" si="1113"/>
        <v>-385.24976437323221</v>
      </c>
      <c r="EG303" s="3361">
        <f t="shared" ref="EG303:EJ303" si="1115">(EG289-EG302)*10000</f>
        <v>-372.54901960784406</v>
      </c>
      <c r="EH303" s="3361">
        <f t="shared" si="1115"/>
        <v>-676.12502771004165</v>
      </c>
      <c r="EI303" s="3361">
        <f t="shared" si="1115"/>
        <v>-1287.0634746321107</v>
      </c>
      <c r="EJ303" s="3361">
        <f t="shared" si="1115"/>
        <v>-1091.5765069551785</v>
      </c>
      <c r="EK303" s="3360">
        <f t="shared" si="1113"/>
        <v>-877.72925764192155</v>
      </c>
      <c r="EL303" s="3361">
        <f t="shared" si="1113"/>
        <v>-1074.5755426606495</v>
      </c>
      <c r="EM303" s="3361">
        <f t="shared" si="1113"/>
        <v>-712.83920615633713</v>
      </c>
      <c r="EN303" s="3361">
        <f t="shared" si="1113"/>
        <v>-98.173964264676172</v>
      </c>
      <c r="EO303" s="3361">
        <f t="shared" ref="EO303:EP303" si="1116">(EO289-EO302)*10000</f>
        <v>10.44795434096052</v>
      </c>
      <c r="EP303" s="3360">
        <f t="shared" si="1116"/>
        <v>-438.83296257267722</v>
      </c>
      <c r="EQ303" s="3361">
        <f t="shared" ref="EQ303:EU303" si="1117">(EQ289-EQ302)*10000</f>
        <v>502.83373416242199</v>
      </c>
      <c r="ER303" s="3361">
        <f t="shared" si="1117"/>
        <v>135.85888951877178</v>
      </c>
      <c r="ES303" s="3361">
        <f t="shared" si="1117"/>
        <v>-56.780565154959106</v>
      </c>
      <c r="ET303" s="3361">
        <f t="shared" si="1117"/>
        <v>-39.064863044802053</v>
      </c>
      <c r="EU303" s="3360">
        <f t="shared" si="1117"/>
        <v>116.37662249715407</v>
      </c>
      <c r="EV303" s="3364">
        <f t="shared" si="1113"/>
        <v>-5.5511151231257827E-13</v>
      </c>
      <c r="EW303" s="3364">
        <f t="shared" si="1113"/>
        <v>-8.3266726846886741E-13</v>
      </c>
      <c r="EX303" s="3364">
        <f t="shared" ref="EX303:EY303" si="1118">(EX289-EX302)*10000</f>
        <v>1.1102230246251565E-12</v>
      </c>
      <c r="EY303" s="3364">
        <f t="shared" si="1118"/>
        <v>0</v>
      </c>
      <c r="FA303" s="725"/>
      <c r="FB303" s="725"/>
    </row>
    <row r="304" spans="1:158" s="239" customFormat="1" ht="11.25" customHeight="1">
      <c r="A304" s="5691" t="s">
        <v>623</v>
      </c>
      <c r="B304" s="5565"/>
      <c r="C304" s="3365"/>
      <c r="D304" s="3365"/>
      <c r="E304" s="3365"/>
      <c r="F304" s="5578"/>
      <c r="G304" s="5565"/>
      <c r="H304" s="3365"/>
      <c r="I304" s="3365"/>
      <c r="J304" s="3365"/>
      <c r="K304" s="3366"/>
      <c r="L304" s="3367"/>
      <c r="M304" s="3367"/>
      <c r="N304" s="3367"/>
      <c r="O304" s="3367"/>
      <c r="P304" s="3366"/>
      <c r="Q304" s="3370"/>
      <c r="R304" s="3367"/>
      <c r="S304" s="3367"/>
      <c r="T304" s="3367"/>
      <c r="U304" s="3366"/>
      <c r="V304" s="3370"/>
      <c r="W304" s="3367"/>
      <c r="X304" s="3367"/>
      <c r="Y304" s="3367"/>
      <c r="Z304" s="3366"/>
      <c r="AA304" s="3370"/>
      <c r="AB304" s="3367"/>
      <c r="AC304" s="3367"/>
      <c r="AD304" s="3367"/>
      <c r="AE304" s="3366"/>
      <c r="AF304" s="3370"/>
      <c r="AG304" s="3367"/>
      <c r="AH304" s="3367"/>
      <c r="AI304" s="3367"/>
      <c r="AJ304" s="3366"/>
      <c r="AK304" s="3371"/>
      <c r="AL304" s="3368"/>
      <c r="AM304" s="3368"/>
      <c r="AN304" s="3368"/>
      <c r="AO304" s="3366"/>
      <c r="AP304" s="3371"/>
      <c r="AQ304" s="3368"/>
      <c r="AR304" s="3368"/>
      <c r="AS304" s="3368"/>
      <c r="AT304" s="3366"/>
      <c r="AU304" s="3371"/>
      <c r="AV304" s="3368"/>
      <c r="AW304" s="3368"/>
      <c r="AX304" s="3367"/>
      <c r="AY304" s="3366"/>
      <c r="AZ304" s="3369"/>
      <c r="BA304" s="3365"/>
      <c r="BB304" s="3365"/>
      <c r="BC304" s="3365"/>
      <c r="BD304" s="3366"/>
      <c r="BE304" s="3369"/>
      <c r="BF304" s="3365"/>
      <c r="BG304" s="3365"/>
      <c r="BH304" s="3365"/>
      <c r="BI304" s="3366"/>
      <c r="BJ304" s="3369"/>
      <c r="BK304" s="3365"/>
      <c r="BL304" s="3365"/>
      <c r="BM304" s="3365"/>
      <c r="BN304" s="3366"/>
      <c r="BO304" s="3367"/>
      <c r="BP304" s="3367"/>
      <c r="BQ304" s="3367"/>
      <c r="BR304" s="3367"/>
      <c r="BS304" s="3372"/>
      <c r="BT304" s="3365"/>
      <c r="BU304" s="3365"/>
      <c r="BV304" s="3365"/>
      <c r="BW304" s="3365"/>
      <c r="BX304" s="3372"/>
      <c r="BY304" s="3367"/>
      <c r="BZ304" s="3367"/>
      <c r="CA304" s="3367"/>
      <c r="CB304" s="3367"/>
      <c r="CC304" s="3372"/>
      <c r="CD304" s="3365"/>
      <c r="CE304" s="3365"/>
      <c r="CF304" s="3365"/>
      <c r="CG304" s="3365"/>
      <c r="CH304" s="3372"/>
      <c r="CI304" s="3365"/>
      <c r="CJ304" s="3365"/>
      <c r="CK304" s="3365"/>
      <c r="CL304" s="3365"/>
      <c r="CM304" s="3372"/>
      <c r="CN304" s="3365"/>
      <c r="CO304" s="3365"/>
      <c r="CP304" s="3365"/>
      <c r="CQ304" s="3365"/>
      <c r="CR304" s="3372"/>
      <c r="CS304" s="3365"/>
      <c r="CT304" s="3365"/>
      <c r="CU304" s="3365"/>
      <c r="CV304" s="3365"/>
      <c r="CW304" s="3372">
        <f t="shared" ref="CW304:DG304" si="1119">(1+CW297)/(1+CW302)-1</f>
        <v>-6.9593364353631504E-2</v>
      </c>
      <c r="CX304" s="3365">
        <f t="shared" si="1119"/>
        <v>6.4489112227805734E-2</v>
      </c>
      <c r="CY304" s="3365">
        <f t="shared" si="1119"/>
        <v>5.710206995003686E-3</v>
      </c>
      <c r="CZ304" s="3365">
        <f t="shared" si="1119"/>
        <v>1.6971279373368064E-2</v>
      </c>
      <c r="DA304" s="3365">
        <f t="shared" si="1119"/>
        <v>1.9764957264957195E-2</v>
      </c>
      <c r="DB304" s="3372">
        <f t="shared" si="1119"/>
        <v>2.4670778463077081E-2</v>
      </c>
      <c r="DC304" s="3365">
        <f t="shared" si="1119"/>
        <v>1.1098130841121545E-2</v>
      </c>
      <c r="DD304" s="3365">
        <f t="shared" si="1119"/>
        <v>-2.3243528790280021E-2</v>
      </c>
      <c r="DE304" s="3365">
        <f t="shared" si="1119"/>
        <v>-8.4210526315789513E-2</v>
      </c>
      <c r="DF304" s="3365">
        <f t="shared" si="1119"/>
        <v>-8.7479270315091173E-2</v>
      </c>
      <c r="DG304" s="3372">
        <f t="shared" si="1119"/>
        <v>-5.0424363454817711E-2</v>
      </c>
      <c r="DH304" s="4433">
        <f t="shared" ref="DH304:DQ304" si="1120">(1+DH289)/(1+DH302)-1</f>
        <v>-8.782698802748834E-2</v>
      </c>
      <c r="DI304" s="3365">
        <f t="shared" si="1120"/>
        <v>-7.9722703639514725E-2</v>
      </c>
      <c r="DJ304" s="3365">
        <f t="shared" si="1120"/>
        <v>-3.2251125308216388E-2</v>
      </c>
      <c r="DK304" s="3365">
        <f t="shared" si="1120"/>
        <v>-3.5804701627486502E-2</v>
      </c>
      <c r="DL304" s="4434">
        <f t="shared" si="1120"/>
        <v>-5.6909937011027756E-2</v>
      </c>
      <c r="DM304" s="4433">
        <f t="shared" si="1120"/>
        <v>-4.2609853528628561E-2</v>
      </c>
      <c r="DN304" s="3365">
        <f t="shared" si="1120"/>
        <v>-0.11544011544011545</v>
      </c>
      <c r="DO304" s="3365">
        <f t="shared" si="1120"/>
        <v>-0.11364485981308414</v>
      </c>
      <c r="DP304" s="3365">
        <f t="shared" si="1120"/>
        <v>-9.6028452874925896E-2</v>
      </c>
      <c r="DQ304" s="4434">
        <f t="shared" si="1120"/>
        <v>-9.2861959348810252E-2</v>
      </c>
      <c r="DR304" s="4433">
        <f t="shared" ref="DR304:DW304" si="1121">(1+DR289)/(1+DR302)-1</f>
        <v>-6.1692506459948393E-2</v>
      </c>
      <c r="DS304" s="3365">
        <f t="shared" si="1121"/>
        <v>3.4440344403444012E-2</v>
      </c>
      <c r="DT304" s="3365">
        <f t="shared" si="1121"/>
        <v>3.2763931671800695E-2</v>
      </c>
      <c r="DU304" s="3365">
        <f t="shared" si="1121"/>
        <v>1.1141427921782521E-2</v>
      </c>
      <c r="DV304" s="4434">
        <f t="shared" si="1121"/>
        <v>6.0766920444226269E-3</v>
      </c>
      <c r="DW304" s="3365">
        <f t="shared" si="1121"/>
        <v>-2.0647463675758315E-2</v>
      </c>
      <c r="DX304" s="3365" t="s">
        <v>31</v>
      </c>
      <c r="DY304" s="3365" t="s">
        <v>31</v>
      </c>
      <c r="DZ304" s="3365">
        <f t="shared" ref="DZ304:EV304" si="1122">(1+DZ289)/(1+DZ302)-1</f>
        <v>-4.3942505133470311E-2</v>
      </c>
      <c r="EA304" s="4434">
        <f t="shared" si="1122"/>
        <v>-2.470412501436281E-2</v>
      </c>
      <c r="EB304" s="3365">
        <f t="shared" si="1122"/>
        <v>-3.9321874264186318E-2</v>
      </c>
      <c r="EC304" s="3365">
        <f t="shared" si="1122"/>
        <v>-6.352501556985668E-2</v>
      </c>
      <c r="ED304" s="3365" t="s">
        <v>31</v>
      </c>
      <c r="EE304" s="3365">
        <f t="shared" ref="EE304" si="1123">(1+EE289)/(1+EE302)-1</f>
        <v>-1.4282993715482695E-2</v>
      </c>
      <c r="EF304" s="4434">
        <f t="shared" si="1122"/>
        <v>-3.4468219669020694E-2</v>
      </c>
      <c r="EG304" s="3365">
        <f t="shared" ref="EG304:EH304" si="1124">(1+EG289)/(1+EG302)-1</f>
        <v>-3.1633714880333064E-2</v>
      </c>
      <c r="EH304" s="3365">
        <f t="shared" si="1124"/>
        <v>-5.8172801831012699E-2</v>
      </c>
      <c r="EI304" s="3365" t="s">
        <v>31</v>
      </c>
      <c r="EJ304" s="3365">
        <f t="shared" ref="EJ304" si="1125">(1+EJ289)/(1+EJ302)-1</f>
        <v>-8.9696777266232819E-2</v>
      </c>
      <c r="EK304" s="4434">
        <f>(1+EK289)/(1+EK302)-1</f>
        <v>-7.3004630890765476E-2</v>
      </c>
      <c r="EL304" s="3365">
        <f t="shared" ref="EL304:EM304" si="1126">(1+EL289)/(1+EL302)-1</f>
        <v>-8.7214372928658634E-2</v>
      </c>
      <c r="EM304" s="3365">
        <f t="shared" si="1126"/>
        <v>-5.78281583702972E-2</v>
      </c>
      <c r="EN304" s="3365" t="s">
        <v>31</v>
      </c>
      <c r="EO304" s="3365">
        <f t="shared" ref="EO304" si="1127">(1+EO289)/(1+EO302)-1</f>
        <v>8.5991393752760104E-4</v>
      </c>
      <c r="EP304" s="4434">
        <f>(1+EP289)/(1+EP302)-1</f>
        <v>-3.5981687394646911E-2</v>
      </c>
      <c r="EQ304" s="3365">
        <f t="shared" ref="EQ304:ET304" si="1128">(1+EQ289)/(1+EQ302)-1</f>
        <v>4.1148423417546764E-2</v>
      </c>
      <c r="ER304" s="3365">
        <f t="shared" si="1128"/>
        <v>1.0991819540353776E-2</v>
      </c>
      <c r="ES304" s="3365">
        <f t="shared" si="1128"/>
        <v>-4.5424452123967729E-3</v>
      </c>
      <c r="ET304" s="3365">
        <f t="shared" si="1128"/>
        <v>-3.1503921810324131E-3</v>
      </c>
      <c r="EU304" s="4434">
        <f>(1+EU289)/(1+EU302)-1</f>
        <v>9.4030540239988802E-3</v>
      </c>
      <c r="EV304" s="4434">
        <f t="shared" si="1122"/>
        <v>0</v>
      </c>
      <c r="EW304" s="4434">
        <f>(1+EW289)/(1+EW302)-1</f>
        <v>0</v>
      </c>
      <c r="EX304" s="4434">
        <f>(1+EX289)/(1+EX302)-1</f>
        <v>0</v>
      </c>
      <c r="EY304" s="4434">
        <f>(1+EY289)/(1+EY302)-1</f>
        <v>0</v>
      </c>
      <c r="FA304" s="725"/>
      <c r="FB304" s="725"/>
    </row>
    <row r="305" spans="1:161" s="211" customFormat="1" ht="11.25" hidden="1" customHeight="1" outlineLevel="1">
      <c r="A305" s="5639"/>
      <c r="B305" s="2612"/>
      <c r="C305" s="2612"/>
      <c r="D305" s="2612"/>
      <c r="E305" s="2612"/>
      <c r="F305" s="4303"/>
      <c r="G305" s="2612"/>
      <c r="H305" s="2612"/>
      <c r="I305" s="2612"/>
      <c r="J305" s="2612"/>
      <c r="K305" s="1019"/>
      <c r="L305" s="209"/>
      <c r="M305" s="209"/>
      <c r="N305" s="209"/>
      <c r="O305" s="209"/>
      <c r="P305" s="1019"/>
      <c r="Q305" s="2576"/>
      <c r="R305" s="209"/>
      <c r="S305" s="209"/>
      <c r="T305" s="209"/>
      <c r="U305" s="1019"/>
      <c r="V305" s="2576"/>
      <c r="W305" s="209"/>
      <c r="X305" s="209"/>
      <c r="Y305" s="209"/>
      <c r="Z305" s="1019"/>
      <c r="AA305" s="2576"/>
      <c r="AB305" s="209"/>
      <c r="AC305" s="209"/>
      <c r="AD305" s="209"/>
      <c r="AE305" s="1019"/>
      <c r="AF305" s="2576"/>
      <c r="AG305" s="209"/>
      <c r="AH305" s="209"/>
      <c r="AI305" s="209"/>
      <c r="AJ305" s="1019"/>
      <c r="AK305" s="2576"/>
      <c r="AL305" s="209"/>
      <c r="AM305" s="209"/>
      <c r="AN305" s="209"/>
      <c r="AO305" s="1019"/>
      <c r="AP305" s="2576"/>
      <c r="AQ305" s="209"/>
      <c r="AR305" s="209"/>
      <c r="AS305" s="209"/>
      <c r="AT305" s="1019"/>
      <c r="AU305" s="2576"/>
      <c r="AV305" s="209"/>
      <c r="AW305" s="209"/>
      <c r="AX305" s="209"/>
      <c r="AY305" s="1019"/>
      <c r="AZ305" s="2576"/>
      <c r="BA305" s="209"/>
      <c r="BB305" s="209"/>
      <c r="BC305" s="209"/>
      <c r="BD305" s="1019"/>
      <c r="BE305" s="2576"/>
      <c r="BF305" s="209"/>
      <c r="BG305" s="209"/>
      <c r="BH305" s="209"/>
      <c r="BI305" s="1019"/>
      <c r="BJ305" s="2576"/>
      <c r="BK305" s="209"/>
      <c r="BL305" s="209"/>
      <c r="BM305" s="209"/>
      <c r="BN305" s="1019"/>
      <c r="BO305" s="209"/>
      <c r="BP305" s="209"/>
      <c r="BQ305" s="209"/>
      <c r="BR305" s="209"/>
      <c r="BS305" s="2244"/>
      <c r="BT305" s="209"/>
      <c r="BU305" s="2616"/>
      <c r="BV305" s="2616"/>
      <c r="BW305" s="2616"/>
      <c r="BX305" s="1019"/>
      <c r="BY305" s="209"/>
      <c r="BZ305" s="209"/>
      <c r="CA305" s="209"/>
      <c r="CB305" s="209"/>
      <c r="CC305" s="2244"/>
      <c r="CD305" s="2576"/>
      <c r="CE305" s="2616"/>
      <c r="CF305" s="2616"/>
      <c r="CG305" s="2616"/>
      <c r="CH305" s="1019"/>
      <c r="CI305" s="556"/>
      <c r="CJ305" s="209"/>
      <c r="CK305" s="209"/>
      <c r="CL305" s="209"/>
      <c r="CM305" s="1019"/>
      <c r="CN305" s="209"/>
      <c r="CO305" s="209"/>
      <c r="CP305" s="209"/>
      <c r="CQ305" s="209"/>
      <c r="CR305" s="1019"/>
      <c r="CS305" s="209"/>
      <c r="CT305" s="2608"/>
      <c r="CU305" s="209"/>
      <c r="CV305" s="209"/>
      <c r="CW305" s="1019"/>
      <c r="CX305" s="209"/>
      <c r="CY305" s="209"/>
      <c r="CZ305" s="209"/>
      <c r="DA305" s="209"/>
      <c r="DB305" s="1019"/>
      <c r="DC305" s="209"/>
      <c r="DD305" s="209"/>
      <c r="DE305" s="209"/>
      <c r="DF305" s="209"/>
      <c r="DG305" s="1019"/>
      <c r="DH305" s="209"/>
      <c r="DI305" s="209"/>
      <c r="DJ305" s="209"/>
      <c r="DK305" s="209"/>
      <c r="DL305" s="1019"/>
      <c r="DM305" s="209"/>
      <c r="DN305" s="209"/>
      <c r="DO305" s="209"/>
      <c r="DP305" s="209"/>
      <c r="DQ305" s="1019"/>
      <c r="DR305" s="209"/>
      <c r="DS305" s="209"/>
      <c r="DT305" s="209"/>
      <c r="DU305" s="209"/>
      <c r="DV305" s="1019"/>
      <c r="DW305" s="209"/>
      <c r="DX305" s="209"/>
      <c r="DY305" s="209"/>
      <c r="DZ305" s="209"/>
      <c r="EA305" s="1019"/>
      <c r="EB305" s="209"/>
      <c r="EC305" s="209"/>
      <c r="ED305" s="209"/>
      <c r="EE305" s="209"/>
      <c r="EF305" s="1019"/>
      <c r="EG305" s="209"/>
      <c r="EH305" s="209"/>
      <c r="EI305" s="209"/>
      <c r="EJ305" s="209"/>
      <c r="EK305" s="1019"/>
      <c r="EL305" s="209"/>
      <c r="EM305" s="209"/>
      <c r="EN305" s="209"/>
      <c r="EO305" s="209"/>
      <c r="EP305" s="1019"/>
      <c r="EQ305" s="209"/>
      <c r="ER305" s="209"/>
      <c r="ES305" s="209"/>
      <c r="ET305" s="209"/>
      <c r="EU305" s="1019"/>
      <c r="EV305" s="1019"/>
      <c r="EW305" s="1019"/>
      <c r="EX305" s="1019"/>
      <c r="EY305" s="1019"/>
      <c r="EZ305" s="209"/>
      <c r="FA305" s="725"/>
      <c r="FB305" s="725"/>
    </row>
    <row r="306" spans="1:161" s="214" customFormat="1" ht="11.25" hidden="1" customHeight="1" outlineLevel="1">
      <c r="A306" s="5681" t="s">
        <v>24</v>
      </c>
      <c r="B306" s="2615"/>
      <c r="C306" s="2615"/>
      <c r="D306" s="2615"/>
      <c r="E306" s="2615"/>
      <c r="F306" s="4301"/>
      <c r="G306" s="2615"/>
      <c r="H306" s="2615"/>
      <c r="I306" s="2615"/>
      <c r="J306" s="2615"/>
      <c r="K306" s="2590"/>
      <c r="L306" s="2606"/>
      <c r="M306" s="2606"/>
      <c r="N306" s="2606"/>
      <c r="O306" s="2606"/>
      <c r="P306" s="2590"/>
      <c r="Q306" s="2655"/>
      <c r="R306" s="2606"/>
      <c r="S306" s="2606"/>
      <c r="T306" s="2606"/>
      <c r="U306" s="2590"/>
      <c r="V306" s="2655"/>
      <c r="W306" s="2606"/>
      <c r="X306" s="2606"/>
      <c r="Y306" s="2606"/>
      <c r="Z306" s="2590"/>
      <c r="AA306" s="2655"/>
      <c r="AB306" s="2606"/>
      <c r="AC306" s="2606"/>
      <c r="AD306" s="2606"/>
      <c r="AE306" s="2590"/>
      <c r="AF306" s="2655"/>
      <c r="AG306" s="2606"/>
      <c r="AH306" s="2606"/>
      <c r="AI306" s="2606"/>
      <c r="AJ306" s="2590"/>
      <c r="AK306" s="2655"/>
      <c r="AL306" s="2619"/>
      <c r="AM306" s="2619"/>
      <c r="AN306" s="2619"/>
      <c r="AO306" s="2590"/>
      <c r="AP306" s="2669"/>
      <c r="AQ306" s="2619"/>
      <c r="AR306" s="2619"/>
      <c r="AS306" s="2619"/>
      <c r="AT306" s="2590"/>
      <c r="AU306" s="2669"/>
      <c r="AV306" s="2619"/>
      <c r="AW306" s="2619"/>
      <c r="AX306" s="2619"/>
      <c r="AY306" s="2590"/>
      <c r="AZ306" s="2669"/>
      <c r="BA306" s="2619"/>
      <c r="BB306" s="2619"/>
      <c r="BC306" s="2619"/>
      <c r="BD306" s="2590"/>
      <c r="BE306" s="2656"/>
      <c r="BF306" s="2607"/>
      <c r="BG306" s="2607"/>
      <c r="BH306" s="2607"/>
      <c r="BI306" s="2590"/>
      <c r="BJ306" s="2656"/>
      <c r="BK306" s="2619"/>
      <c r="BL306" s="2619"/>
      <c r="BM306" s="2619"/>
      <c r="BN306" s="2590"/>
      <c r="BO306" s="2606"/>
      <c r="BP306" s="2606"/>
      <c r="BQ306" s="2606"/>
      <c r="BR306" s="2606"/>
      <c r="BS306" s="2600"/>
      <c r="BT306" s="2607"/>
      <c r="BU306" s="2619"/>
      <c r="BV306" s="2626"/>
      <c r="BW306" s="2619"/>
      <c r="BX306" s="2590"/>
      <c r="BY306" s="2606"/>
      <c r="BZ306" s="2606"/>
      <c r="CA306" s="2606"/>
      <c r="CB306" s="2606"/>
      <c r="CC306" s="2600"/>
      <c r="CD306" s="2656"/>
      <c r="CE306" s="2619"/>
      <c r="CF306" s="2626"/>
      <c r="CG306" s="2619"/>
      <c r="CH306" s="2590"/>
      <c r="CI306" s="2640"/>
      <c r="CJ306" s="2634"/>
      <c r="CK306" s="2626"/>
      <c r="CL306" s="2619"/>
      <c r="CM306" s="2590"/>
      <c r="CN306" s="2607"/>
      <c r="CO306" s="2634"/>
      <c r="CP306" s="2626"/>
      <c r="CQ306" s="2619"/>
      <c r="CR306" s="2590"/>
      <c r="CS306" s="2690"/>
      <c r="CT306" s="2691"/>
      <c r="CU306" s="2691"/>
      <c r="CV306" s="2691"/>
      <c r="CW306" s="2590"/>
      <c r="CX306" s="2607">
        <v>9</v>
      </c>
      <c r="CY306" s="2607">
        <v>-3</v>
      </c>
      <c r="CZ306" s="2607">
        <v>30</v>
      </c>
      <c r="DA306" s="2607">
        <v>-12</v>
      </c>
      <c r="DB306" s="2590"/>
      <c r="DC306" s="2607">
        <v>-3</v>
      </c>
      <c r="DD306" s="2607">
        <v>-65</v>
      </c>
      <c r="DE306" s="2607">
        <v>-82</v>
      </c>
      <c r="DF306" s="2607">
        <v>-27</v>
      </c>
      <c r="DG306" s="2590"/>
      <c r="DH306" s="2607">
        <v>1</v>
      </c>
      <c r="DI306" s="2607">
        <v>-43</v>
      </c>
      <c r="DJ306" s="2607">
        <v>13</v>
      </c>
      <c r="DK306" s="2607">
        <v>-57</v>
      </c>
      <c r="DL306" s="2590"/>
      <c r="DM306" s="2607">
        <v>-14</v>
      </c>
      <c r="DN306" s="2607">
        <v>-190</v>
      </c>
      <c r="DO306" s="2607">
        <v>35</v>
      </c>
      <c r="DP306" s="2607">
        <v>-11</v>
      </c>
      <c r="DQ306" s="2590"/>
      <c r="DR306" s="528">
        <v>77</v>
      </c>
      <c r="DS306" s="528">
        <v>-7</v>
      </c>
      <c r="DT306" s="528">
        <v>54</v>
      </c>
      <c r="DU306" s="677">
        <f>DU288-DU307</f>
        <v>-113</v>
      </c>
      <c r="DV306" s="1260"/>
      <c r="DW306" s="677">
        <f>DW288-DW307</f>
        <v>-12</v>
      </c>
      <c r="DX306" s="677">
        <f>DX288-DX307</f>
        <v>109</v>
      </c>
      <c r="DY306" s="677">
        <f>DY288-DY307</f>
        <v>-152</v>
      </c>
      <c r="DZ306" s="677">
        <f>DZ288-DZ307</f>
        <v>-141</v>
      </c>
      <c r="EA306" s="1260"/>
      <c r="EB306" s="677">
        <f>EB288-EB307</f>
        <v>17</v>
      </c>
      <c r="EC306" s="677">
        <f>EC288-EC307</f>
        <v>8</v>
      </c>
      <c r="ED306" s="677">
        <f>ED288-ED307</f>
        <v>59</v>
      </c>
      <c r="EE306" s="677">
        <f>EE288-EE307</f>
        <v>-151</v>
      </c>
      <c r="EF306" s="2590"/>
      <c r="EG306" s="677">
        <f>EG288-EG307</f>
        <v>-72</v>
      </c>
      <c r="EH306" s="677">
        <f>EH288-EH307</f>
        <v>-64</v>
      </c>
      <c r="EI306" s="677">
        <f>EI288-EI307</f>
        <v>-178</v>
      </c>
      <c r="EJ306" s="677">
        <f>EJ288-EJ307</f>
        <v>-81</v>
      </c>
      <c r="EK306" s="2590"/>
      <c r="EL306" s="677">
        <f>EL288-EL307</f>
        <v>-144</v>
      </c>
      <c r="EM306" s="677">
        <f>EM288-EM307</f>
        <v>109</v>
      </c>
      <c r="EN306" s="677">
        <f>EN288-EN307</f>
        <v>90</v>
      </c>
      <c r="EO306" s="2635">
        <f>EO288-(1+EO290)/(1+FX!EO130*FX!EO131)*EN288</f>
        <v>-10.398779549387655</v>
      </c>
      <c r="EP306" s="2590"/>
      <c r="EQ306" s="2635">
        <f>EQ288-(1+EQ290)/(1+FX!EQ130*FX!EQ131)*EO288</f>
        <v>-21.041154487777021</v>
      </c>
      <c r="ER306" s="2635">
        <f>ER288-(1+ER290)/(1+FX!ER130*FX!ER131)*EQ288</f>
        <v>0</v>
      </c>
      <c r="ES306" s="2635">
        <f>ES288-(1+ES290)/(1+FX!ES130*FX!ES131)*ER288</f>
        <v>0</v>
      </c>
      <c r="ET306" s="2635">
        <f>ET288-(1+ET290)/(1+FX!ET130*FX!ET131)*ES288</f>
        <v>0</v>
      </c>
      <c r="EU306" s="2590"/>
      <c r="EV306" s="2590"/>
      <c r="EW306" s="2590"/>
      <c r="EX306" s="2590"/>
      <c r="EY306" s="2590"/>
      <c r="EZ306" s="51"/>
      <c r="FA306" s="725"/>
      <c r="FB306" s="725"/>
    </row>
    <row r="307" spans="1:161" s="252" customFormat="1" ht="11.25" hidden="1" customHeight="1" outlineLevel="1">
      <c r="A307" s="5688" t="s">
        <v>619</v>
      </c>
      <c r="B307" s="3472"/>
      <c r="C307" s="3472"/>
      <c r="D307" s="3472"/>
      <c r="E307" s="3472"/>
      <c r="F307" s="4317"/>
      <c r="G307" s="3472"/>
      <c r="H307" s="3472"/>
      <c r="I307" s="3472"/>
      <c r="J307" s="3472"/>
      <c r="K307" s="3473"/>
      <c r="L307" s="3474"/>
      <c r="M307" s="3474"/>
      <c r="N307" s="3474"/>
      <c r="O307" s="3474"/>
      <c r="P307" s="3473"/>
      <c r="Q307" s="3475"/>
      <c r="R307" s="3474"/>
      <c r="S307" s="3474"/>
      <c r="T307" s="3474"/>
      <c r="U307" s="3473"/>
      <c r="V307" s="3475"/>
      <c r="W307" s="3474"/>
      <c r="X307" s="3474"/>
      <c r="Y307" s="3474"/>
      <c r="Z307" s="3473"/>
      <c r="AA307" s="3475"/>
      <c r="AB307" s="3474"/>
      <c r="AC307" s="3474"/>
      <c r="AD307" s="3474"/>
      <c r="AE307" s="3473"/>
      <c r="AF307" s="3475"/>
      <c r="AG307" s="3474"/>
      <c r="AH307" s="3474"/>
      <c r="AI307" s="3474"/>
      <c r="AJ307" s="3473"/>
      <c r="AK307" s="3475"/>
      <c r="AL307" s="3474"/>
      <c r="AM307" s="3474"/>
      <c r="AN307" s="3474"/>
      <c r="AO307" s="3473"/>
      <c r="AP307" s="3475"/>
      <c r="AQ307" s="3474"/>
      <c r="AR307" s="3474"/>
      <c r="AS307" s="3474"/>
      <c r="AT307" s="3473"/>
      <c r="AU307" s="3475"/>
      <c r="AV307" s="3474"/>
      <c r="AW307" s="3474"/>
      <c r="AX307" s="3474"/>
      <c r="AY307" s="3473"/>
      <c r="AZ307" s="3475"/>
      <c r="BA307" s="3474"/>
      <c r="BB307" s="3474"/>
      <c r="BC307" s="3474"/>
      <c r="BD307" s="3473"/>
      <c r="BE307" s="3475"/>
      <c r="BF307" s="3474"/>
      <c r="BG307" s="3474"/>
      <c r="BH307" s="3474"/>
      <c r="BI307" s="3473"/>
      <c r="BJ307" s="3475"/>
      <c r="BK307" s="3474"/>
      <c r="BL307" s="3474"/>
      <c r="BM307" s="3474"/>
      <c r="BN307" s="3473"/>
      <c r="BO307" s="3474"/>
      <c r="BP307" s="3474"/>
      <c r="BQ307" s="3474"/>
      <c r="BR307" s="3474"/>
      <c r="BS307" s="3491"/>
      <c r="BT307" s="3474"/>
      <c r="BU307" s="3474"/>
      <c r="BV307" s="3474"/>
      <c r="BW307" s="3474"/>
      <c r="BX307" s="3473"/>
      <c r="BY307" s="3474"/>
      <c r="BZ307" s="3474"/>
      <c r="CA307" s="3474"/>
      <c r="CB307" s="3474"/>
      <c r="CC307" s="3491"/>
      <c r="CD307" s="3475"/>
      <c r="CE307" s="3474"/>
      <c r="CF307" s="3474"/>
      <c r="CG307" s="3474"/>
      <c r="CH307" s="3473"/>
      <c r="CI307" s="3474"/>
      <c r="CJ307" s="3474"/>
      <c r="CK307" s="3474"/>
      <c r="CL307" s="3474"/>
      <c r="CM307" s="3473"/>
      <c r="CN307" s="3474"/>
      <c r="CO307" s="3474"/>
      <c r="CP307" s="3474"/>
      <c r="CQ307" s="3474"/>
      <c r="CR307" s="3473"/>
      <c r="CS307" s="2233"/>
      <c r="CT307" s="2233"/>
      <c r="CU307" s="2233"/>
      <c r="CV307" s="2233"/>
      <c r="CW307" s="3491"/>
      <c r="CX307" s="3474">
        <f>CX296-CX306</f>
        <v>1262</v>
      </c>
      <c r="CY307" s="3474">
        <f>CY296-CY306</f>
        <v>1412</v>
      </c>
      <c r="CZ307" s="3474">
        <f>CZ296-CZ306</f>
        <v>1528</v>
      </c>
      <c r="DA307" s="3474">
        <f>DA296-DA306</f>
        <v>1921</v>
      </c>
      <c r="DB307" s="3473"/>
      <c r="DC307" s="3474">
        <f>DC296-DC306</f>
        <v>1734</v>
      </c>
      <c r="DD307" s="3474">
        <f>DD296-DD306</f>
        <v>1914</v>
      </c>
      <c r="DE307" s="3474">
        <f>DE296-DE306</f>
        <v>1909</v>
      </c>
      <c r="DF307" s="3474">
        <f>DF296-DF306</f>
        <v>2228</v>
      </c>
      <c r="DG307" s="3473"/>
      <c r="DH307" s="3474">
        <f>DH288-DH306</f>
        <v>1905</v>
      </c>
      <c r="DI307" s="3474">
        <f>DI288-DI306</f>
        <v>2167</v>
      </c>
      <c r="DJ307" s="3474">
        <f>DJ288-DJ306</f>
        <v>2277</v>
      </c>
      <c r="DK307" s="3474">
        <f>DK288-DK306</f>
        <v>2723</v>
      </c>
      <c r="DL307" s="3473"/>
      <c r="DM307" s="3474">
        <f>DM288-DM306</f>
        <v>2171</v>
      </c>
      <c r="DN307" s="3474">
        <f>DN288-DN306</f>
        <v>2029</v>
      </c>
      <c r="DO307" s="3474">
        <f>DO288-DO306</f>
        <v>2336</v>
      </c>
      <c r="DP307" s="3474">
        <f>DP288-DP306</f>
        <v>3061</v>
      </c>
      <c r="DQ307" s="3473"/>
      <c r="DR307" s="5707">
        <f>DR288-DR306</f>
        <v>2828</v>
      </c>
      <c r="DS307" s="5707">
        <f>DS288-DS306</f>
        <v>3371</v>
      </c>
      <c r="DT307" s="5707">
        <f>DT288-DT306</f>
        <v>3634</v>
      </c>
      <c r="DU307" s="5708">
        <v>4560</v>
      </c>
      <c r="DV307" s="5709"/>
      <c r="DW307" s="5708">
        <v>3854</v>
      </c>
      <c r="DX307" s="5708">
        <v>4231</v>
      </c>
      <c r="DY307" s="5708">
        <v>4290</v>
      </c>
      <c r="DZ307" s="5708">
        <v>4797</v>
      </c>
      <c r="EA307" s="5709"/>
      <c r="EB307" s="5708">
        <v>4063</v>
      </c>
      <c r="EC307" s="5708">
        <v>4503</v>
      </c>
      <c r="ED307" s="5708">
        <v>4494</v>
      </c>
      <c r="EE307" s="5708">
        <v>5327</v>
      </c>
      <c r="EF307" s="3473"/>
      <c r="EG307" s="5708">
        <v>4725</v>
      </c>
      <c r="EH307" s="5708">
        <v>5002</v>
      </c>
      <c r="EI307" s="5708">
        <v>5271</v>
      </c>
      <c r="EJ307" s="5708">
        <v>5815</v>
      </c>
      <c r="EK307" s="3473"/>
      <c r="EL307" s="5708">
        <v>5377</v>
      </c>
      <c r="EM307" s="5708">
        <v>5626</v>
      </c>
      <c r="EN307" s="5708">
        <v>5975</v>
      </c>
      <c r="EO307" s="3474">
        <f t="shared" ref="EO307" si="1129">EO288-EO306</f>
        <v>6983.1996365684945</v>
      </c>
      <c r="EP307" s="3473"/>
      <c r="EQ307" s="3474">
        <f t="shared" ref="EQ307:ET307" si="1130">EQ288-EQ306</f>
        <v>6678.9000475749726</v>
      </c>
      <c r="ER307" s="3474">
        <f t="shared" si="1130"/>
        <v>7166.3750731390155</v>
      </c>
      <c r="ES307" s="3474">
        <f t="shared" si="1130"/>
        <v>7546.8125872335177</v>
      </c>
      <c r="ET307" s="3474">
        <f t="shared" si="1130"/>
        <v>8619.033911651879</v>
      </c>
      <c r="EU307" s="3473"/>
      <c r="EV307" s="3491"/>
      <c r="EW307" s="3491"/>
      <c r="EX307" s="3491"/>
      <c r="EY307" s="3491"/>
      <c r="EZ307" s="251"/>
      <c r="FA307" s="725"/>
      <c r="FB307" s="725"/>
    </row>
    <row r="308" spans="1:161" s="239" customFormat="1" ht="11.25" hidden="1" customHeight="1" outlineLevel="1">
      <c r="A308" s="5643" t="s">
        <v>620</v>
      </c>
      <c r="B308" s="2288"/>
      <c r="C308" s="2288"/>
      <c r="D308" s="2288"/>
      <c r="E308" s="2288"/>
      <c r="F308" s="4315"/>
      <c r="G308" s="2288"/>
      <c r="H308" s="2288"/>
      <c r="I308" s="2288"/>
      <c r="J308" s="2288"/>
      <c r="K308" s="2506"/>
      <c r="L308" s="2505"/>
      <c r="M308" s="2505"/>
      <c r="N308" s="2505"/>
      <c r="O308" s="2505"/>
      <c r="P308" s="2506"/>
      <c r="Q308" s="3502"/>
      <c r="R308" s="2505"/>
      <c r="S308" s="2505"/>
      <c r="T308" s="2505"/>
      <c r="U308" s="2506"/>
      <c r="V308" s="3502"/>
      <c r="W308" s="2505"/>
      <c r="X308" s="2505"/>
      <c r="Y308" s="2505"/>
      <c r="Z308" s="2506"/>
      <c r="AA308" s="3502"/>
      <c r="AB308" s="2505"/>
      <c r="AC308" s="2505"/>
      <c r="AD308" s="2505"/>
      <c r="AE308" s="2506"/>
      <c r="AF308" s="3502"/>
      <c r="AG308" s="2505"/>
      <c r="AH308" s="2505"/>
      <c r="AI308" s="2505"/>
      <c r="AJ308" s="2506"/>
      <c r="AK308" s="3502"/>
      <c r="AL308" s="2505"/>
      <c r="AM308" s="2505"/>
      <c r="AN308" s="2505"/>
      <c r="AO308" s="2506"/>
      <c r="AP308" s="3502"/>
      <c r="AQ308" s="2505"/>
      <c r="AR308" s="2505"/>
      <c r="AS308" s="2505"/>
      <c r="AT308" s="2506"/>
      <c r="AU308" s="3502"/>
      <c r="AV308" s="2505"/>
      <c r="AW308" s="2505"/>
      <c r="AX308" s="2505"/>
      <c r="AY308" s="2506"/>
      <c r="AZ308" s="3502"/>
      <c r="BA308" s="2505"/>
      <c r="BB308" s="2505"/>
      <c r="BC308" s="2505"/>
      <c r="BD308" s="2506"/>
      <c r="BE308" s="3502"/>
      <c r="BF308" s="2505"/>
      <c r="BG308" s="2505"/>
      <c r="BH308" s="2505"/>
      <c r="BI308" s="2506"/>
      <c r="BJ308" s="3502"/>
      <c r="BK308" s="2505"/>
      <c r="BL308" s="2505"/>
      <c r="BM308" s="2505"/>
      <c r="BN308" s="2506"/>
      <c r="BO308" s="2505"/>
      <c r="BP308" s="2505"/>
      <c r="BQ308" s="2505"/>
      <c r="BR308" s="2505"/>
      <c r="BS308" s="2507"/>
      <c r="BT308" s="2505"/>
      <c r="BU308" s="2505"/>
      <c r="BV308" s="2505"/>
      <c r="BW308" s="2505"/>
      <c r="BX308" s="2506"/>
      <c r="BY308" s="2505"/>
      <c r="BZ308" s="2505"/>
      <c r="CA308" s="2505"/>
      <c r="CB308" s="2505"/>
      <c r="CC308" s="2507"/>
      <c r="CD308" s="3502"/>
      <c r="CE308" s="2505"/>
      <c r="CF308" s="2505"/>
      <c r="CG308" s="2505"/>
      <c r="CH308" s="2506"/>
      <c r="CI308" s="2505"/>
      <c r="CJ308" s="2505"/>
      <c r="CK308" s="2505"/>
      <c r="CL308" s="2505"/>
      <c r="CM308" s="2506"/>
      <c r="CN308" s="2505"/>
      <c r="CO308" s="2505"/>
      <c r="CP308" s="2505"/>
      <c r="CQ308" s="2505"/>
      <c r="CR308" s="2506"/>
      <c r="CS308" s="3503"/>
      <c r="CT308" s="3503"/>
      <c r="CU308" s="3503"/>
      <c r="CV308" s="3503"/>
      <c r="CW308" s="2506"/>
      <c r="CX308" s="2505">
        <f>CX307/CV296-1</f>
        <v>-0.12482662968099856</v>
      </c>
      <c r="CY308" s="2505">
        <f>CY307/CX296-1</f>
        <v>0.11093627065302902</v>
      </c>
      <c r="CZ308" s="2505">
        <f>CZ307/CY296-1</f>
        <v>8.4457061745919049E-2</v>
      </c>
      <c r="DA308" s="2505">
        <f>DA307/CZ296-1</f>
        <v>0.23299101412066747</v>
      </c>
      <c r="DB308" s="2506"/>
      <c r="DC308" s="2505">
        <f>DC307/DA296-1</f>
        <v>-9.1671031953902582E-2</v>
      </c>
      <c r="DD308" s="2505">
        <f>DD307/DC296-1</f>
        <v>0.10571923743500866</v>
      </c>
      <c r="DE308" s="2505">
        <f>DE307/DD296-1</f>
        <v>3.2449972958355833E-2</v>
      </c>
      <c r="DF308" s="2505">
        <f>DF307/DE296-1</f>
        <v>0.21948549534756423</v>
      </c>
      <c r="DG308" s="2506"/>
      <c r="DH308" s="2505">
        <f>DH307/DF288-1</f>
        <v>-0.13448432530667875</v>
      </c>
      <c r="DI308" s="2505">
        <f>DI307/DH288-1</f>
        <v>0.13693599160545644</v>
      </c>
      <c r="DJ308" s="2505">
        <f>DJ307/DI288-1</f>
        <v>7.2033898305084776E-2</v>
      </c>
      <c r="DK308" s="2505">
        <f>DK307/DJ288-1</f>
        <v>0.1890829694323144</v>
      </c>
      <c r="DL308" s="2506"/>
      <c r="DM308" s="5076">
        <f>DM307/DK288-1</f>
        <v>-0.18567141785446362</v>
      </c>
      <c r="DN308" s="5076">
        <f>DN307/DM288-1</f>
        <v>-5.9341678256838226E-2</v>
      </c>
      <c r="DO308" s="5076">
        <f>DO307/DN288-1</f>
        <v>0.27025557368134856</v>
      </c>
      <c r="DP308" s="5076">
        <f>DP307/DO288-1</f>
        <v>0.29101644875579935</v>
      </c>
      <c r="DQ308" s="5077"/>
      <c r="DR308" s="5076">
        <f>DR307/DP288-1</f>
        <v>-7.27868852459016E-2</v>
      </c>
      <c r="DS308" s="5076">
        <f>DS307/DR288-1</f>
        <v>0.16041308089500861</v>
      </c>
      <c r="DT308" s="5076">
        <f>DT307/DS288-1</f>
        <v>8.0261593341260484E-2</v>
      </c>
      <c r="DU308" s="5076">
        <f>DU307/DT288-1</f>
        <v>0.2364425162689805</v>
      </c>
      <c r="DV308" s="2506"/>
      <c r="DW308" s="5076">
        <f>DW307/DU288-1</f>
        <v>-0.13334832471328983</v>
      </c>
      <c r="DX308" s="5076">
        <f>DX307/DW288-1</f>
        <v>0.10124934929724105</v>
      </c>
      <c r="DY308" s="5076">
        <f>DY307/DX288-1</f>
        <v>-1.1520737327188946E-2</v>
      </c>
      <c r="DZ308" s="5076">
        <f>DZ307/DY288-1</f>
        <v>0.15925567907201543</v>
      </c>
      <c r="EA308" s="2506"/>
      <c r="EB308" s="5076">
        <f>EB307/DZ288-1</f>
        <v>-0.12736254295532645</v>
      </c>
      <c r="EC308" s="5076">
        <f>EC307/EB288-1</f>
        <v>0.10367647058823537</v>
      </c>
      <c r="ED308" s="5076">
        <f>ED307/EC288-1</f>
        <v>-3.7685657282199303E-3</v>
      </c>
      <c r="EE308" s="5076">
        <f>EE307/ED288-1</f>
        <v>0.16999780364594774</v>
      </c>
      <c r="EF308" s="2506"/>
      <c r="EG308" s="5076">
        <f>EG307/EE288-1</f>
        <v>-8.7132921174652211E-2</v>
      </c>
      <c r="EH308" s="5076">
        <f>EH307/EG288-1</f>
        <v>7.5005372877713361E-2</v>
      </c>
      <c r="EI308" s="5076">
        <f>EI307/EH288-1</f>
        <v>6.7436208991494606E-2</v>
      </c>
      <c r="EJ308" s="5076">
        <f>EJ307/EI288-1</f>
        <v>0.14176320439819357</v>
      </c>
      <c r="EK308" s="2506"/>
      <c r="EL308" s="5076">
        <f>EL307/EJ288-1</f>
        <v>-6.2260202302057865E-2</v>
      </c>
      <c r="EM308" s="5076">
        <f>EM307/EL288-1</f>
        <v>7.5100324861456125E-2</v>
      </c>
      <c r="EN308" s="5076">
        <f>EN307/EM288-1</f>
        <v>4.1848299912816023E-2</v>
      </c>
      <c r="EO308" s="2505">
        <f>EO307/EN288-1</f>
        <v>0.15139317997831725</v>
      </c>
      <c r="EP308" s="2506"/>
      <c r="EQ308" s="2505">
        <f>EQ307/EO288-1</f>
        <v>-4.2149606086667735E-2</v>
      </c>
      <c r="ER308" s="2505">
        <f>ER307/EQ288-1</f>
        <v>7.6378335470553171E-2</v>
      </c>
      <c r="ES308" s="2505">
        <f>ES307/ER288-1</f>
        <v>5.3086464246123066E-2</v>
      </c>
      <c r="ET308" s="2505">
        <f>ET307/ES288-1</f>
        <v>0.14207605025625947</v>
      </c>
      <c r="EU308" s="2506"/>
      <c r="EV308" s="2506"/>
      <c r="EW308" s="2506"/>
      <c r="EX308" s="2506"/>
      <c r="EY308" s="2506"/>
      <c r="EZ308" s="223"/>
      <c r="FA308" s="725"/>
      <c r="FB308" s="725"/>
    </row>
    <row r="309" spans="1:161" s="211" customFormat="1" ht="11.25" hidden="1" customHeight="1" outlineLevel="1">
      <c r="A309" s="5635" t="s">
        <v>22</v>
      </c>
      <c r="B309" s="2612"/>
      <c r="C309" s="2612"/>
      <c r="D309" s="2612"/>
      <c r="E309" s="2612"/>
      <c r="F309" s="4303"/>
      <c r="G309" s="2612"/>
      <c r="H309" s="2612"/>
      <c r="I309" s="2612"/>
      <c r="J309" s="2612"/>
      <c r="K309" s="1019"/>
      <c r="L309" s="209"/>
      <c r="M309" s="209"/>
      <c r="N309" s="209"/>
      <c r="O309" s="209"/>
      <c r="P309" s="1019"/>
      <c r="Q309" s="2576"/>
      <c r="R309" s="209"/>
      <c r="S309" s="209"/>
      <c r="T309" s="209"/>
      <c r="U309" s="1019"/>
      <c r="V309" s="2576"/>
      <c r="W309" s="209"/>
      <c r="X309" s="209"/>
      <c r="Y309" s="209"/>
      <c r="Z309" s="1019"/>
      <c r="AA309" s="2576"/>
      <c r="AB309" s="209"/>
      <c r="AC309" s="209"/>
      <c r="AD309" s="209"/>
      <c r="AE309" s="1019"/>
      <c r="AF309" s="2576"/>
      <c r="AG309" s="209"/>
      <c r="AH309" s="209"/>
      <c r="AI309" s="209"/>
      <c r="AJ309" s="1019"/>
      <c r="AK309" s="2655"/>
      <c r="AL309" s="2606"/>
      <c r="AM309" s="2606"/>
      <c r="AN309" s="2606"/>
      <c r="AO309" s="1019"/>
      <c r="AP309" s="2655"/>
      <c r="AQ309" s="2606"/>
      <c r="AR309" s="2606"/>
      <c r="AS309" s="2606"/>
      <c r="AT309" s="1019"/>
      <c r="AU309" s="2655"/>
      <c r="AV309" s="2606"/>
      <c r="AW309" s="2606"/>
      <c r="AX309" s="2606"/>
      <c r="AY309" s="1019"/>
      <c r="AZ309" s="2655"/>
      <c r="BA309" s="2606"/>
      <c r="BB309" s="2606"/>
      <c r="BC309" s="2606"/>
      <c r="BD309" s="1019"/>
      <c r="BE309" s="2655"/>
      <c r="BF309" s="2606"/>
      <c r="BG309" s="2606"/>
      <c r="BH309" s="2606"/>
      <c r="BI309" s="1019"/>
      <c r="BJ309" s="2655"/>
      <c r="BK309" s="2606"/>
      <c r="BL309" s="2606"/>
      <c r="BM309" s="2606"/>
      <c r="BN309" s="1019"/>
      <c r="BO309" s="209"/>
      <c r="BP309" s="209"/>
      <c r="BQ309" s="209"/>
      <c r="BR309" s="209"/>
      <c r="BS309" s="2244"/>
      <c r="BT309" s="2606"/>
      <c r="BU309" s="2606"/>
      <c r="BV309" s="2606"/>
      <c r="BW309" s="2606"/>
      <c r="BX309" s="1019"/>
      <c r="BY309" s="209"/>
      <c r="BZ309" s="209"/>
      <c r="CA309" s="209"/>
      <c r="CB309" s="209"/>
      <c r="CC309" s="2244"/>
      <c r="CD309" s="2655"/>
      <c r="CE309" s="2606"/>
      <c r="CF309" s="2606"/>
      <c r="CG309" s="2606"/>
      <c r="CH309" s="1019"/>
      <c r="CI309" s="2606"/>
      <c r="CJ309" s="2606"/>
      <c r="CK309" s="2606"/>
      <c r="CL309" s="2606"/>
      <c r="CM309" s="1019"/>
      <c r="CN309" s="2606"/>
      <c r="CO309" s="2606"/>
      <c r="CP309" s="2606"/>
      <c r="CQ309" s="2606"/>
      <c r="CR309" s="1019"/>
      <c r="CS309" s="2671"/>
      <c r="CT309" s="2671"/>
      <c r="CU309" s="2671"/>
      <c r="CV309" s="2671"/>
      <c r="CW309" s="1019"/>
      <c r="CX309" s="2606">
        <f>(CX290-CX308)*10000</f>
        <v>56.305104848793917</v>
      </c>
      <c r="CY309" s="2606">
        <f>(CY290-CY308)*10000</f>
        <v>7.8678206136917339</v>
      </c>
      <c r="CZ309" s="2606">
        <f>(CZ290-CZ308)*10000</f>
        <v>96.689113609458303</v>
      </c>
      <c r="DA309" s="2606">
        <f>(DA290-DA308)*10000</f>
        <v>-72.471590107063832</v>
      </c>
      <c r="DB309" s="1019"/>
      <c r="DC309" s="2606">
        <f>(DC290-DC308)*10000</f>
        <v>14.335649354328961</v>
      </c>
      <c r="DD309" s="2606">
        <f>(DD290-DD308)*10000</f>
        <v>-332.13436970971566</v>
      </c>
      <c r="DE309" s="2606">
        <f>(DE290-DE308)*10000</f>
        <v>-400.21633315305507</v>
      </c>
      <c r="DF309" s="2606">
        <f>(DF290-DF308)*10000</f>
        <v>-200.30454475629566</v>
      </c>
      <c r="DG309" s="1019"/>
      <c r="DH309" s="2606">
        <f>(DH290-DH308)*10000</f>
        <v>4.5433893684687643</v>
      </c>
      <c r="DI309" s="2606">
        <f>(DI290-DI308)*10000</f>
        <v>-225.60335781741881</v>
      </c>
      <c r="DJ309" s="2606">
        <f>(DJ290-DJ308)*10000</f>
        <v>61.205273069679933</v>
      </c>
      <c r="DK309" s="2606">
        <f>(DK290-DK308)*10000</f>
        <v>-248.90829694323102</v>
      </c>
      <c r="DL309" s="1019"/>
      <c r="DM309" s="2606">
        <f>(DM290-DM308)*10000</f>
        <v>-52.513128282070113</v>
      </c>
      <c r="DN309" s="2606">
        <f>(DN290-DN308)*10000</f>
        <v>-880.85303662494232</v>
      </c>
      <c r="DO309" s="2606">
        <f>(DO290-DO308)*10000</f>
        <v>190.32082653616112</v>
      </c>
      <c r="DP309" s="2606">
        <f>(DP290-DP308)*10000</f>
        <v>-46.393926613244041</v>
      </c>
      <c r="DQ309" s="1019"/>
      <c r="DR309" s="2606">
        <f>(DR290-DR308)*10000</f>
        <v>252.4590163934426</v>
      </c>
      <c r="DS309" s="2606">
        <f>(DS290-DS308)*10000</f>
        <v>-24.096385542169418</v>
      </c>
      <c r="DT309" s="2606">
        <f>(DT290-DT308)*10000</f>
        <v>160.52318668251962</v>
      </c>
      <c r="DU309" s="2606">
        <f>(DU290-DU308)*10000</f>
        <v>-306.39913232104243</v>
      </c>
      <c r="DV309" s="1019"/>
      <c r="DW309" s="2606">
        <f>(DW290-DW308)*10000</f>
        <v>-26.984483921744797</v>
      </c>
      <c r="DX309" s="2606">
        <f>(DX290-DX308)*10000</f>
        <v>283.70640291514701</v>
      </c>
      <c r="DY309" s="2606">
        <f>(DY290-DY308)*10000</f>
        <v>-350.23041474654406</v>
      </c>
      <c r="DZ309" s="2606">
        <f>(DZ290-DZ308)*10000</f>
        <v>-340.74432092798367</v>
      </c>
      <c r="EA309" s="1019"/>
      <c r="EB309" s="2606">
        <f>(EB290-EB308)*10000</f>
        <v>36.512027491408801</v>
      </c>
      <c r="EC309" s="2606">
        <f>(EC290-EC308)*10000</f>
        <v>19.607843137254832</v>
      </c>
      <c r="ED309" s="2606">
        <f>(ED290-ED308)*10000</f>
        <v>130.79139880292635</v>
      </c>
      <c r="EE309" s="2606">
        <f>(EE290-EE308)*10000</f>
        <v>-331.64946189325752</v>
      </c>
      <c r="EF309" s="1019"/>
      <c r="EG309" s="2606">
        <f>(EG290-EG308)*10000</f>
        <v>-139.1035548686248</v>
      </c>
      <c r="EH309" s="2606">
        <f>(EH290-EH308)*10000</f>
        <v>-137.54566946056369</v>
      </c>
      <c r="EI309" s="2606">
        <f>(EI290-EI308)*10000</f>
        <v>-360.46982584042155</v>
      </c>
      <c r="EJ309" s="2606">
        <f>(EJ290-EJ308)*10000</f>
        <v>-159.04182210877639</v>
      </c>
      <c r="EK309" s="1019"/>
      <c r="EL309" s="2606">
        <f>(EL290-EL308)*10000</f>
        <v>-251.1335891175448</v>
      </c>
      <c r="EM309" s="2606">
        <f>(EM290-EM308)*10000</f>
        <v>208.29352188037387</v>
      </c>
      <c r="EN309" s="2606">
        <f>(EN290-EN308)*10000</f>
        <v>156.93112467306091</v>
      </c>
      <c r="EO309" s="2606">
        <f>(EO290-EO308)*10000</f>
        <v>-17.145555728586004</v>
      </c>
      <c r="EP309" s="1019"/>
      <c r="EQ309" s="2606">
        <f t="shared" ref="EQ309:ET309" si="1131">(EQ290-EQ308)*10000</f>
        <v>-30.176043915832729</v>
      </c>
      <c r="ER309" s="2606">
        <f t="shared" si="1131"/>
        <v>0</v>
      </c>
      <c r="ES309" s="2606">
        <f t="shared" si="1131"/>
        <v>0</v>
      </c>
      <c r="ET309" s="2606">
        <f t="shared" si="1131"/>
        <v>0</v>
      </c>
      <c r="EU309" s="1019"/>
      <c r="EV309" s="1019"/>
      <c r="EW309" s="1019"/>
      <c r="EX309" s="1019"/>
      <c r="EY309" s="1019"/>
      <c r="EZ309" s="209"/>
      <c r="FA309" s="725"/>
      <c r="FB309" s="725"/>
    </row>
    <row r="310" spans="1:161" s="239" customFormat="1" ht="11.25" hidden="1" customHeight="1" outlineLevel="1">
      <c r="A310" s="5690" t="s">
        <v>624</v>
      </c>
      <c r="B310" s="4538"/>
      <c r="C310" s="4538"/>
      <c r="D310" s="4538"/>
      <c r="E310" s="4538"/>
      <c r="F310" s="5577"/>
      <c r="G310" s="4538"/>
      <c r="H310" s="4538"/>
      <c r="I310" s="4538"/>
      <c r="J310" s="4538"/>
      <c r="K310" s="4539"/>
      <c r="L310" s="4540"/>
      <c r="M310" s="4540"/>
      <c r="N310" s="4540"/>
      <c r="O310" s="4540"/>
      <c r="P310" s="4539"/>
      <c r="Q310" s="4541"/>
      <c r="R310" s="4540"/>
      <c r="S310" s="4540"/>
      <c r="T310" s="4540"/>
      <c r="U310" s="4539"/>
      <c r="V310" s="4541"/>
      <c r="W310" s="4540"/>
      <c r="X310" s="4540"/>
      <c r="Y310" s="4540"/>
      <c r="Z310" s="4539"/>
      <c r="AA310" s="4541"/>
      <c r="AB310" s="4540"/>
      <c r="AC310" s="4540"/>
      <c r="AD310" s="4540"/>
      <c r="AE310" s="4539"/>
      <c r="AF310" s="4541"/>
      <c r="AG310" s="4540"/>
      <c r="AH310" s="4540"/>
      <c r="AI310" s="4540"/>
      <c r="AJ310" s="4539"/>
      <c r="AK310" s="4542"/>
      <c r="AL310" s="4543"/>
      <c r="AM310" s="4543"/>
      <c r="AN310" s="4543"/>
      <c r="AO310" s="4539"/>
      <c r="AP310" s="4542"/>
      <c r="AQ310" s="4543"/>
      <c r="AR310" s="4543"/>
      <c r="AS310" s="4543"/>
      <c r="AT310" s="4539"/>
      <c r="AU310" s="4542"/>
      <c r="AV310" s="4543"/>
      <c r="AW310" s="4543"/>
      <c r="AX310" s="4540"/>
      <c r="AY310" s="4539"/>
      <c r="AZ310" s="4537"/>
      <c r="BA310" s="4538"/>
      <c r="BB310" s="4538"/>
      <c r="BC310" s="4538"/>
      <c r="BD310" s="4539"/>
      <c r="BE310" s="4537"/>
      <c r="BF310" s="4538"/>
      <c r="BG310" s="4538"/>
      <c r="BH310" s="4538"/>
      <c r="BI310" s="4539"/>
      <c r="BJ310" s="4537"/>
      <c r="BK310" s="4538"/>
      <c r="BL310" s="4538"/>
      <c r="BM310" s="4538"/>
      <c r="BN310" s="4539"/>
      <c r="BO310" s="4540"/>
      <c r="BP310" s="4540"/>
      <c r="BQ310" s="4540"/>
      <c r="BR310" s="4540"/>
      <c r="BS310" s="4544"/>
      <c r="BT310" s="4538"/>
      <c r="BU310" s="4538"/>
      <c r="BV310" s="4538"/>
      <c r="BW310" s="4538"/>
      <c r="BX310" s="4544"/>
      <c r="BY310" s="4540"/>
      <c r="BZ310" s="4540"/>
      <c r="CA310" s="4540"/>
      <c r="CB310" s="4540"/>
      <c r="CC310" s="4544"/>
      <c r="CD310" s="4538"/>
      <c r="CE310" s="4538"/>
      <c r="CF310" s="4538"/>
      <c r="CG310" s="4538"/>
      <c r="CH310" s="4544"/>
      <c r="CI310" s="4538"/>
      <c r="CJ310" s="4538"/>
      <c r="CK310" s="4538"/>
      <c r="CL310" s="4538"/>
      <c r="CM310" s="4544"/>
      <c r="CN310" s="4538"/>
      <c r="CO310" s="4538"/>
      <c r="CP310" s="4538"/>
      <c r="CQ310" s="4538"/>
      <c r="CR310" s="4544"/>
      <c r="CS310" s="4545"/>
      <c r="CT310" s="4545"/>
      <c r="CU310" s="4545"/>
      <c r="CV310" s="4545"/>
      <c r="CW310" s="4544"/>
      <c r="CX310" s="4538">
        <f>(1+CX298)/(1+CX308)-1</f>
        <v>7.1315372424722856E-3</v>
      </c>
      <c r="CY310" s="4538">
        <f>(1+CY298)/(1+CY308)-1</f>
        <v>-2.1246458923511735E-3</v>
      </c>
      <c r="CZ310" s="4538">
        <f>(1+CZ298)/(1+CZ308)-1</f>
        <v>1.963350785340312E-2</v>
      </c>
      <c r="DA310" s="4538">
        <f>(1+DA298)/(1+DA308)-1</f>
        <v>-6.2467464862051569E-3</v>
      </c>
      <c r="DB310" s="4544"/>
      <c r="DC310" s="4538">
        <f>(1+DC298)/(1+DC308)-1</f>
        <v>-1.7301038062284002E-3</v>
      </c>
      <c r="DD310" s="4538">
        <f>(1+DD298)/(1+DD308)-1</f>
        <v>-3.3960292580982321E-2</v>
      </c>
      <c r="DE310" s="4538">
        <f>(1+DE298)/(1+DE308)-1</f>
        <v>-4.295442640125724E-2</v>
      </c>
      <c r="DF310" s="4538">
        <f>(1+DF298)/(1+DF308)-1</f>
        <v>-1.2118491921005226E-2</v>
      </c>
      <c r="DG310" s="4544"/>
      <c r="DH310" s="4538">
        <f>(1+DH290)/(1+DH308)-1</f>
        <v>5.2493438320211361E-4</v>
      </c>
      <c r="DI310" s="4538">
        <f>(1+DI290)/(1+DI308)-1</f>
        <v>-1.9843101061375212E-2</v>
      </c>
      <c r="DJ310" s="4538">
        <f>(1+DJ290)/(1+DJ308)-1</f>
        <v>5.7092665788318619E-3</v>
      </c>
      <c r="DK310" s="4538">
        <f>(1+DK290)/(1+DK308)-1</f>
        <v>-2.0932794711714942E-2</v>
      </c>
      <c r="DL310" s="4544"/>
      <c r="DM310" s="4538">
        <f>(1+DM290)/(1+DM308)-1</f>
        <v>-6.4486411791800924E-3</v>
      </c>
      <c r="DN310" s="4538">
        <f>(1+DN290)/(1+DN308)-1</f>
        <v>-9.3642188270083859E-2</v>
      </c>
      <c r="DO310" s="4538">
        <f>(1+DO290)/(1+DO308)-1</f>
        <v>1.4982876712328785E-2</v>
      </c>
      <c r="DP310" s="4538">
        <f>(1+DP290)/(1+DP308)-1</f>
        <v>-3.5935968637700322E-3</v>
      </c>
      <c r="DQ310" s="4544"/>
      <c r="DR310" s="4538">
        <f>(1+DR290)/(1+DR308)-1</f>
        <v>2.7227722772277252E-2</v>
      </c>
      <c r="DS310" s="4538">
        <f>(1+DS290)/(1+DS308)-1</f>
        <v>-2.0765351527737286E-3</v>
      </c>
      <c r="DT310" s="4538">
        <f>(1+DT290)/(1+DT308)-1</f>
        <v>1.485965877820572E-2</v>
      </c>
      <c r="DU310" s="4538">
        <f>(1+DU290)/(1+DU308)-1</f>
        <v>-2.478070175438607E-2</v>
      </c>
      <c r="DV310" s="4544"/>
      <c r="DW310" s="4538">
        <f>(1+DW290)/(1+DW308)-1</f>
        <v>-3.1136481577581643E-3</v>
      </c>
      <c r="DX310" s="4538">
        <f>(1+DX290)/(1+DX308)-1</f>
        <v>2.5762231151027937E-2</v>
      </c>
      <c r="DY310" s="4538">
        <f>(1+DY290)/(1+DY308)-1</f>
        <v>-3.5431235431235497E-2</v>
      </c>
      <c r="DZ310" s="4538">
        <f>(1+DZ290)/(1+DZ308)-1</f>
        <v>-2.9393370856785395E-2</v>
      </c>
      <c r="EA310" s="4544"/>
      <c r="EB310" s="4538">
        <f>(1+EB290)/(1+EB308)-1</f>
        <v>4.1841004184099972E-3</v>
      </c>
      <c r="EC310" s="4538">
        <f>(1+EC290)/(1+EC308)-1</f>
        <v>1.7765933821896063E-3</v>
      </c>
      <c r="ED310" s="4538">
        <f>(1+ED290)/(1+ED308)-1</f>
        <v>1.3128615932354259E-2</v>
      </c>
      <c r="EE310" s="4538">
        <f>(1+EE290)/(1+EE308)-1</f>
        <v>-2.8346161066266196E-2</v>
      </c>
      <c r="EF310" s="4544"/>
      <c r="EG310" s="4538">
        <f>(1+EG290)/(1+EG308)-1</f>
        <v>-1.5238095238095273E-2</v>
      </c>
      <c r="EH310" s="4538">
        <f>(1+EH290)/(1+EH308)-1</f>
        <v>-1.2794882047181155E-2</v>
      </c>
      <c r="EI310" s="4538">
        <f>(1+EI290)/(1+EI308)-1</f>
        <v>-3.3769683172073628E-2</v>
      </c>
      <c r="EJ310" s="4538">
        <f>(1+EJ290)/(1+EJ308)-1</f>
        <v>-1.3929492691315493E-2</v>
      </c>
      <c r="EK310" s="4544"/>
      <c r="EL310" s="4538">
        <f>(1+EL290)/(1+EL308)-1</f>
        <v>-2.6780732750604441E-2</v>
      </c>
      <c r="EM310" s="4538">
        <f>(1+EM290)/(1+EM308)-1</f>
        <v>1.9374333451830816E-2</v>
      </c>
      <c r="EN310" s="4538">
        <f>(1+EN290)/(1+EN308)-1</f>
        <v>1.5062761506276168E-2</v>
      </c>
      <c r="EO310" s="4538">
        <f>(1+EO290)/(1+EO308)-1</f>
        <v>-1.4891138862668241E-3</v>
      </c>
      <c r="EP310" s="4544"/>
      <c r="EQ310" s="4538">
        <f>(1+EQ290)/(1+EQ308)-1</f>
        <v>-3.1503921810323021E-3</v>
      </c>
      <c r="ER310" s="4538">
        <f>(1+ER290)/(1+ER308)-1</f>
        <v>0</v>
      </c>
      <c r="ES310" s="4538">
        <f>(1+ES290)/(1+ES308)-1</f>
        <v>0</v>
      </c>
      <c r="ET310" s="4538">
        <f>(1+ET290)/(1+ET308)-1</f>
        <v>0</v>
      </c>
      <c r="EU310" s="4544"/>
      <c r="EV310" s="4544"/>
      <c r="EW310" s="4544"/>
      <c r="EX310" s="4544"/>
      <c r="EY310" s="4544"/>
      <c r="FA310" s="725"/>
      <c r="FB310" s="725"/>
    </row>
    <row r="311" spans="1:161" s="211" customFormat="1" ht="11.25" hidden="1" customHeight="1" outlineLevel="1">
      <c r="A311" s="1557"/>
      <c r="B311" s="209"/>
      <c r="C311" s="209"/>
      <c r="D311" s="209"/>
      <c r="E311" s="209"/>
      <c r="F311" s="209"/>
      <c r="G311" s="209"/>
      <c r="H311" s="209"/>
      <c r="I311" s="209"/>
      <c r="J311" s="209"/>
      <c r="K311" s="209"/>
      <c r="L311" s="209"/>
      <c r="M311" s="209"/>
      <c r="N311" s="209"/>
      <c r="O311" s="209"/>
      <c r="P311" s="209"/>
      <c r="Q311" s="209"/>
      <c r="R311" s="209"/>
      <c r="S311" s="209"/>
      <c r="T311" s="209"/>
      <c r="U311" s="209"/>
      <c r="V311" s="209"/>
      <c r="W311" s="209"/>
      <c r="X311" s="209"/>
      <c r="Y311" s="209"/>
      <c r="Z311" s="209"/>
      <c r="AA311" s="209"/>
      <c r="AB311" s="209"/>
      <c r="AC311" s="209"/>
      <c r="AD311" s="209"/>
      <c r="AE311" s="209"/>
      <c r="AF311" s="209"/>
      <c r="AG311" s="209"/>
      <c r="AH311" s="209"/>
      <c r="AI311" s="209"/>
      <c r="AJ311" s="209"/>
      <c r="AK311" s="209"/>
      <c r="AL311" s="209"/>
      <c r="AM311" s="209"/>
      <c r="AN311" s="2612"/>
      <c r="AO311" s="209"/>
      <c r="AP311" s="209"/>
      <c r="AQ311" s="209"/>
      <c r="AR311" s="209"/>
      <c r="AS311" s="209"/>
      <c r="AT311" s="209"/>
      <c r="AU311" s="209"/>
      <c r="AV311" s="209"/>
      <c r="AW311" s="209"/>
      <c r="AX311" s="209"/>
      <c r="AY311" s="209"/>
      <c r="AZ311" s="209"/>
      <c r="BA311" s="209"/>
      <c r="BB311" s="209"/>
      <c r="BC311" s="209"/>
      <c r="BD311" s="209"/>
      <c r="BE311" s="209"/>
      <c r="BF311" s="209"/>
      <c r="BG311" s="209"/>
      <c r="BH311" s="209"/>
      <c r="BI311" s="209"/>
      <c r="BJ311" s="209"/>
      <c r="BK311" s="209"/>
      <c r="BL311" s="209"/>
      <c r="BM311" s="209"/>
      <c r="BN311" s="209"/>
      <c r="BO311" s="209"/>
      <c r="BP311" s="209"/>
      <c r="BQ311" s="209"/>
      <c r="BR311" s="209"/>
      <c r="BS311" s="209"/>
      <c r="BT311" s="209"/>
      <c r="BU311" s="209"/>
      <c r="BV311" s="209"/>
      <c r="BW311" s="209"/>
      <c r="BX311" s="209"/>
      <c r="BY311" s="209"/>
      <c r="BZ311" s="209"/>
      <c r="CA311" s="209"/>
      <c r="CB311" s="209"/>
      <c r="CC311" s="209"/>
      <c r="CD311" s="209"/>
      <c r="CE311" s="209"/>
      <c r="CF311" s="209"/>
      <c r="CG311" s="209"/>
      <c r="CH311" s="209"/>
      <c r="CI311" s="209"/>
      <c r="CJ311" s="677"/>
      <c r="CK311" s="209"/>
      <c r="CL311" s="209"/>
      <c r="CM311" s="209"/>
      <c r="CN311" s="209"/>
      <c r="CO311" s="209"/>
      <c r="CP311" s="209"/>
      <c r="CQ311" s="209"/>
      <c r="CR311" s="209"/>
      <c r="CS311" s="209"/>
      <c r="CT311" s="209"/>
      <c r="CU311" s="209"/>
      <c r="CV311" s="209"/>
      <c r="CW311" s="209"/>
      <c r="CX311" s="209"/>
      <c r="CY311" s="209"/>
      <c r="CZ311" s="209"/>
      <c r="DA311" s="209"/>
      <c r="DB311" s="209"/>
      <c r="DC311" s="209"/>
      <c r="DD311" s="209"/>
      <c r="DE311" s="209"/>
      <c r="DF311" s="209"/>
      <c r="DG311" s="209"/>
      <c r="DH311" s="209"/>
      <c r="DI311" s="209"/>
      <c r="DJ311" s="209"/>
      <c r="DK311" s="209"/>
      <c r="DL311" s="209"/>
      <c r="DM311" s="209"/>
      <c r="DN311" s="209"/>
      <c r="DO311" s="209"/>
      <c r="DP311" s="209"/>
      <c r="DQ311" s="209"/>
      <c r="DR311" s="209"/>
      <c r="DS311" s="209"/>
      <c r="DT311" s="209"/>
      <c r="DU311" s="209"/>
      <c r="DV311" s="209"/>
      <c r="DW311" s="209"/>
      <c r="DX311" s="209"/>
      <c r="DY311" s="209"/>
      <c r="DZ311" s="209"/>
      <c r="EA311" s="209"/>
      <c r="EB311" s="209"/>
      <c r="EC311" s="209"/>
      <c r="ED311" s="209"/>
      <c r="EE311" s="209"/>
      <c r="EF311" s="209"/>
      <c r="EG311" s="209"/>
      <c r="EH311" s="209"/>
      <c r="EI311" s="209"/>
      <c r="EJ311" s="209"/>
      <c r="EK311" s="209"/>
      <c r="EL311" s="209"/>
      <c r="EM311" s="209"/>
      <c r="EN311" s="209"/>
      <c r="EO311" s="209"/>
      <c r="EP311" s="209"/>
      <c r="EQ311" s="209"/>
      <c r="ER311" s="209"/>
      <c r="ES311" s="209"/>
      <c r="ET311" s="209"/>
      <c r="EU311" s="209"/>
      <c r="EV311" s="209"/>
      <c r="EW311" s="209"/>
      <c r="EX311" s="209"/>
      <c r="EY311" s="209"/>
      <c r="EZ311" s="209"/>
      <c r="FA311" s="725"/>
      <c r="FB311" s="725"/>
    </row>
    <row r="312" spans="1:161" s="31" customFormat="1" ht="11.25" hidden="1" customHeight="1" outlineLevel="1">
      <c r="A312" s="1570" t="str">
        <f t="shared" ref="A312:AF312" si="1132">A6</f>
        <v>$ millions except where noted</v>
      </c>
      <c r="B312" s="5194" t="str">
        <f t="shared" si="1132"/>
        <v>3/99A</v>
      </c>
      <c r="C312" s="5194" t="str">
        <f t="shared" si="1132"/>
        <v>6/99A</v>
      </c>
      <c r="D312" s="5194" t="str">
        <f t="shared" si="1132"/>
        <v>9/99A</v>
      </c>
      <c r="E312" s="5194" t="str">
        <f t="shared" si="1132"/>
        <v>12/99A</v>
      </c>
      <c r="F312" s="5195" t="str">
        <f t="shared" si="1132"/>
        <v>1999A</v>
      </c>
      <c r="G312" s="5194" t="str">
        <f t="shared" si="1132"/>
        <v>3/00A</v>
      </c>
      <c r="H312" s="5194" t="str">
        <f t="shared" si="1132"/>
        <v>6/00A</v>
      </c>
      <c r="I312" s="5194" t="str">
        <f t="shared" si="1132"/>
        <v>9/00A</v>
      </c>
      <c r="J312" s="5194" t="str">
        <f t="shared" si="1132"/>
        <v>12/00A</v>
      </c>
      <c r="K312" s="5194" t="str">
        <f t="shared" si="1132"/>
        <v>2000A</v>
      </c>
      <c r="L312" s="5194" t="str">
        <f t="shared" si="1132"/>
        <v>3/01A</v>
      </c>
      <c r="M312" s="5194" t="str">
        <f t="shared" si="1132"/>
        <v>6/01A</v>
      </c>
      <c r="N312" s="5194" t="str">
        <f t="shared" si="1132"/>
        <v>9/01A</v>
      </c>
      <c r="O312" s="5194" t="str">
        <f t="shared" si="1132"/>
        <v>12/01A</v>
      </c>
      <c r="P312" s="5194" t="str">
        <f t="shared" si="1132"/>
        <v>2001A</v>
      </c>
      <c r="Q312" s="5194" t="str">
        <f t="shared" si="1132"/>
        <v>3/02A</v>
      </c>
      <c r="R312" s="5194" t="str">
        <f t="shared" si="1132"/>
        <v>6/02A</v>
      </c>
      <c r="S312" s="5194" t="str">
        <f t="shared" si="1132"/>
        <v>9/02A</v>
      </c>
      <c r="T312" s="5194" t="str">
        <f t="shared" si="1132"/>
        <v>12/02A</v>
      </c>
      <c r="U312" s="5194" t="str">
        <f t="shared" si="1132"/>
        <v>2002A</v>
      </c>
      <c r="V312" s="5194" t="str">
        <f t="shared" si="1132"/>
        <v>3/03A</v>
      </c>
      <c r="W312" s="5194" t="str">
        <f t="shared" si="1132"/>
        <v>6/03A</v>
      </c>
      <c r="X312" s="5194" t="str">
        <f t="shared" si="1132"/>
        <v>9/03A</v>
      </c>
      <c r="Y312" s="5194" t="str">
        <f t="shared" si="1132"/>
        <v>12/03A</v>
      </c>
      <c r="Z312" s="5194" t="str">
        <f t="shared" si="1132"/>
        <v>2003A</v>
      </c>
      <c r="AA312" s="5194" t="str">
        <f t="shared" si="1132"/>
        <v>3/04A</v>
      </c>
      <c r="AB312" s="5194" t="str">
        <f t="shared" si="1132"/>
        <v>6/04A</v>
      </c>
      <c r="AC312" s="5194" t="str">
        <f t="shared" si="1132"/>
        <v>9/04A</v>
      </c>
      <c r="AD312" s="5194" t="str">
        <f t="shared" si="1132"/>
        <v>12/04A</v>
      </c>
      <c r="AE312" s="5194" t="str">
        <f t="shared" si="1132"/>
        <v>2004A</v>
      </c>
      <c r="AF312" s="5194" t="str">
        <f t="shared" si="1132"/>
        <v>3/05A</v>
      </c>
      <c r="AG312" s="5194" t="str">
        <f t="shared" ref="AG312:BL312" si="1133">AG6</f>
        <v>6/05A</v>
      </c>
      <c r="AH312" s="5194" t="str">
        <f t="shared" si="1133"/>
        <v>9/05A</v>
      </c>
      <c r="AI312" s="5194" t="str">
        <f t="shared" si="1133"/>
        <v>12/05A</v>
      </c>
      <c r="AJ312" s="5194" t="str">
        <f t="shared" si="1133"/>
        <v>2005A</v>
      </c>
      <c r="AK312" s="5194" t="str">
        <f t="shared" si="1133"/>
        <v>3/06A</v>
      </c>
      <c r="AL312" s="5194" t="str">
        <f t="shared" si="1133"/>
        <v>6/06A</v>
      </c>
      <c r="AM312" s="5194" t="str">
        <f t="shared" si="1133"/>
        <v>9/06A</v>
      </c>
      <c r="AN312" s="5194" t="str">
        <f t="shared" si="1133"/>
        <v>12/06A</v>
      </c>
      <c r="AO312" s="5194" t="str">
        <f t="shared" si="1133"/>
        <v>2006A</v>
      </c>
      <c r="AP312" s="5194" t="str">
        <f t="shared" si="1133"/>
        <v>3/07A</v>
      </c>
      <c r="AQ312" s="5194" t="str">
        <f t="shared" si="1133"/>
        <v>6/07A</v>
      </c>
      <c r="AR312" s="5194" t="str">
        <f t="shared" si="1133"/>
        <v>9/07A</v>
      </c>
      <c r="AS312" s="5194" t="str">
        <f t="shared" si="1133"/>
        <v>12/07A</v>
      </c>
      <c r="AT312" s="5194" t="str">
        <f t="shared" si="1133"/>
        <v>2007A</v>
      </c>
      <c r="AU312" s="5194" t="str">
        <f t="shared" si="1133"/>
        <v>3/08A</v>
      </c>
      <c r="AV312" s="5194" t="str">
        <f t="shared" si="1133"/>
        <v>6/08A</v>
      </c>
      <c r="AW312" s="5194" t="str">
        <f t="shared" si="1133"/>
        <v>9/08A</v>
      </c>
      <c r="AX312" s="5194" t="str">
        <f t="shared" si="1133"/>
        <v>12/08A</v>
      </c>
      <c r="AY312" s="5194" t="str">
        <f t="shared" si="1133"/>
        <v>2008A</v>
      </c>
      <c r="AZ312" s="5194" t="str">
        <f t="shared" si="1133"/>
        <v>3/09A</v>
      </c>
      <c r="BA312" s="5194" t="str">
        <f t="shared" si="1133"/>
        <v>6/09A</v>
      </c>
      <c r="BB312" s="5194" t="str">
        <f t="shared" si="1133"/>
        <v>9/09A</v>
      </c>
      <c r="BC312" s="5194" t="str">
        <f t="shared" si="1133"/>
        <v>12/09A</v>
      </c>
      <c r="BD312" s="5194" t="str">
        <f t="shared" si="1133"/>
        <v>2009A</v>
      </c>
      <c r="BE312" s="5194" t="str">
        <f t="shared" si="1133"/>
        <v>3/10A</v>
      </c>
      <c r="BF312" s="5194" t="str">
        <f t="shared" si="1133"/>
        <v>6/10A</v>
      </c>
      <c r="BG312" s="5194" t="str">
        <f t="shared" si="1133"/>
        <v>9/10A</v>
      </c>
      <c r="BH312" s="5194" t="str">
        <f t="shared" si="1133"/>
        <v>12/10A</v>
      </c>
      <c r="BI312" s="5194" t="str">
        <f t="shared" si="1133"/>
        <v>2010A</v>
      </c>
      <c r="BJ312" s="5194" t="str">
        <f t="shared" si="1133"/>
        <v>3/11A</v>
      </c>
      <c r="BK312" s="5194" t="str">
        <f t="shared" si="1133"/>
        <v>6/11A</v>
      </c>
      <c r="BL312" s="5194" t="str">
        <f t="shared" si="1133"/>
        <v>9/11A</v>
      </c>
      <c r="BM312" s="5194" t="str">
        <f t="shared" ref="BM312:CR312" si="1134">BM6</f>
        <v>12/11A</v>
      </c>
      <c r="BN312" s="5194" t="str">
        <f t="shared" si="1134"/>
        <v>2011A</v>
      </c>
      <c r="BO312" s="5194">
        <f t="shared" si="1134"/>
        <v>0</v>
      </c>
      <c r="BP312" s="5194">
        <f t="shared" si="1134"/>
        <v>0</v>
      </c>
      <c r="BQ312" s="5194">
        <f t="shared" si="1134"/>
        <v>0</v>
      </c>
      <c r="BR312" s="5194">
        <f t="shared" si="1134"/>
        <v>0</v>
      </c>
      <c r="BS312" s="5194">
        <f t="shared" si="1134"/>
        <v>0</v>
      </c>
      <c r="BT312" s="5194" t="str">
        <f t="shared" si="1134"/>
        <v>3/12A</v>
      </c>
      <c r="BU312" s="5194" t="str">
        <f t="shared" si="1134"/>
        <v>6/12A</v>
      </c>
      <c r="BV312" s="5194" t="str">
        <f t="shared" si="1134"/>
        <v>9/12A</v>
      </c>
      <c r="BW312" s="5194" t="str">
        <f t="shared" si="1134"/>
        <v>12/12A</v>
      </c>
      <c r="BX312" s="5194" t="str">
        <f t="shared" si="1134"/>
        <v>2012A</v>
      </c>
      <c r="BY312" s="5194">
        <f t="shared" si="1134"/>
        <v>0</v>
      </c>
      <c r="BZ312" s="5194">
        <f t="shared" si="1134"/>
        <v>0</v>
      </c>
      <c r="CA312" s="5194">
        <f t="shared" si="1134"/>
        <v>0</v>
      </c>
      <c r="CB312" s="5194">
        <f t="shared" si="1134"/>
        <v>0</v>
      </c>
      <c r="CC312" s="5194">
        <f t="shared" si="1134"/>
        <v>0</v>
      </c>
      <c r="CD312" s="5194" t="str">
        <f t="shared" si="1134"/>
        <v>3/13A</v>
      </c>
      <c r="CE312" s="5194" t="str">
        <f t="shared" si="1134"/>
        <v>6/13A</v>
      </c>
      <c r="CF312" s="5194" t="str">
        <f t="shared" si="1134"/>
        <v>9/13A</v>
      </c>
      <c r="CG312" s="5194" t="str">
        <f t="shared" si="1134"/>
        <v>12/13A</v>
      </c>
      <c r="CH312" s="5194" t="str">
        <f t="shared" si="1134"/>
        <v>2013A</v>
      </c>
      <c r="CI312" s="5194" t="str">
        <f t="shared" si="1134"/>
        <v>3/14A</v>
      </c>
      <c r="CJ312" s="5194" t="str">
        <f t="shared" si="1134"/>
        <v>6/14A</v>
      </c>
      <c r="CK312" s="5194" t="str">
        <f t="shared" si="1134"/>
        <v>9/14A</v>
      </c>
      <c r="CL312" s="5194" t="str">
        <f t="shared" si="1134"/>
        <v>12/14A</v>
      </c>
      <c r="CM312" s="5196" t="str">
        <f t="shared" si="1134"/>
        <v>2014A</v>
      </c>
      <c r="CN312" s="5196" t="str">
        <f t="shared" si="1134"/>
        <v>3/15A</v>
      </c>
      <c r="CO312" s="5196" t="str">
        <f t="shared" si="1134"/>
        <v>6/15A</v>
      </c>
      <c r="CP312" s="5196" t="str">
        <f t="shared" si="1134"/>
        <v>9/15A</v>
      </c>
      <c r="CQ312" s="5196" t="str">
        <f t="shared" si="1134"/>
        <v>12/15A</v>
      </c>
      <c r="CR312" s="5196" t="str">
        <f t="shared" si="1134"/>
        <v>2015A</v>
      </c>
      <c r="CS312" s="5196" t="str">
        <f t="shared" ref="CS312:DX312" si="1135">CS6</f>
        <v>3/16A</v>
      </c>
      <c r="CT312" s="5196" t="str">
        <f t="shared" si="1135"/>
        <v>6/16A</v>
      </c>
      <c r="CU312" s="5196" t="str">
        <f t="shared" si="1135"/>
        <v>9/16A</v>
      </c>
      <c r="CV312" s="5196" t="str">
        <f t="shared" si="1135"/>
        <v>12/16A</v>
      </c>
      <c r="CW312" s="5196" t="str">
        <f t="shared" si="1135"/>
        <v>2016A</v>
      </c>
      <c r="CX312" s="5196" t="str">
        <f t="shared" si="1135"/>
        <v>3/17A</v>
      </c>
      <c r="CY312" s="5196" t="str">
        <f t="shared" si="1135"/>
        <v>6/17A</v>
      </c>
      <c r="CZ312" s="5196" t="str">
        <f t="shared" si="1135"/>
        <v>9/17A</v>
      </c>
      <c r="DA312" s="5196" t="str">
        <f t="shared" si="1135"/>
        <v>12/17A</v>
      </c>
      <c r="DB312" s="5196" t="str">
        <f t="shared" si="1135"/>
        <v>2017A</v>
      </c>
      <c r="DC312" s="5196" t="str">
        <f t="shared" si="1135"/>
        <v>3/18A</v>
      </c>
      <c r="DD312" s="5196" t="str">
        <f t="shared" si="1135"/>
        <v>6/18A</v>
      </c>
      <c r="DE312" s="5196" t="str">
        <f t="shared" si="1135"/>
        <v>9/18A</v>
      </c>
      <c r="DF312" s="5196" t="str">
        <f t="shared" si="1135"/>
        <v>12/18A</v>
      </c>
      <c r="DG312" s="5196" t="str">
        <f t="shared" si="1135"/>
        <v>2018A</v>
      </c>
      <c r="DH312" s="5196" t="str">
        <f t="shared" si="1135"/>
        <v>3/19A</v>
      </c>
      <c r="DI312" s="5196" t="str">
        <f t="shared" si="1135"/>
        <v>6/19A</v>
      </c>
      <c r="DJ312" s="5196" t="str">
        <f t="shared" si="1135"/>
        <v>9/19A</v>
      </c>
      <c r="DK312" s="5196" t="str">
        <f t="shared" si="1135"/>
        <v>12/19A</v>
      </c>
      <c r="DL312" s="5196" t="str">
        <f t="shared" si="1135"/>
        <v>2019A</v>
      </c>
      <c r="DM312" s="5196" t="str">
        <f t="shared" si="1135"/>
        <v>3/20A</v>
      </c>
      <c r="DN312" s="5196" t="str">
        <f t="shared" si="1135"/>
        <v>6/20A</v>
      </c>
      <c r="DO312" s="5196" t="str">
        <f t="shared" si="1135"/>
        <v>9/20A</v>
      </c>
      <c r="DP312" s="5196" t="str">
        <f t="shared" si="1135"/>
        <v>12/20A</v>
      </c>
      <c r="DQ312" s="5196" t="str">
        <f t="shared" si="1135"/>
        <v>2020A</v>
      </c>
      <c r="DR312" s="5196" t="str">
        <f t="shared" si="1135"/>
        <v>3/21A</v>
      </c>
      <c r="DS312" s="5196" t="str">
        <f t="shared" si="1135"/>
        <v>6/21A</v>
      </c>
      <c r="DT312" s="5196" t="str">
        <f t="shared" si="1135"/>
        <v>9/21A</v>
      </c>
      <c r="DU312" s="5196" t="str">
        <f t="shared" si="1135"/>
        <v>12/21A</v>
      </c>
      <c r="DV312" s="5196" t="str">
        <f t="shared" si="1135"/>
        <v>2021A</v>
      </c>
      <c r="DW312" s="5196" t="str">
        <f t="shared" si="1135"/>
        <v>3/22A</v>
      </c>
      <c r="DX312" s="5196" t="str">
        <f t="shared" si="1135"/>
        <v>6/22A</v>
      </c>
      <c r="DY312" s="5196" t="str">
        <f t="shared" ref="DY312:EK312" si="1136">DY6</f>
        <v>9/22A</v>
      </c>
      <c r="DZ312" s="5196" t="str">
        <f t="shared" si="1136"/>
        <v>12/22A</v>
      </c>
      <c r="EA312" s="5196" t="str">
        <f t="shared" si="1136"/>
        <v>2022A</v>
      </c>
      <c r="EB312" s="5196" t="str">
        <f t="shared" si="1136"/>
        <v>3/23A</v>
      </c>
      <c r="EC312" s="5196" t="str">
        <f t="shared" si="1136"/>
        <v>6/23A</v>
      </c>
      <c r="ED312" s="5196" t="str">
        <f t="shared" si="1136"/>
        <v>9/23A</v>
      </c>
      <c r="EE312" s="5196" t="str">
        <f t="shared" si="1136"/>
        <v>12/23A</v>
      </c>
      <c r="EF312" s="5196" t="str">
        <f t="shared" si="1136"/>
        <v>2023A</v>
      </c>
      <c r="EG312" s="5196" t="str">
        <f t="shared" si="1136"/>
        <v>3/24A</v>
      </c>
      <c r="EH312" s="5196" t="str">
        <f t="shared" si="1136"/>
        <v>6/24A</v>
      </c>
      <c r="EI312" s="5196" t="str">
        <f t="shared" si="1136"/>
        <v>9/24A</v>
      </c>
      <c r="EJ312" s="5196" t="str">
        <f t="shared" ref="EJ312" si="1137">EJ6</f>
        <v>12/24A</v>
      </c>
      <c r="EK312" s="5196" t="str">
        <f t="shared" si="1136"/>
        <v>2024A</v>
      </c>
      <c r="EL312" s="5196" t="str">
        <f t="shared" ref="EL312:EN312" si="1138">EL6</f>
        <v>3/25A</v>
      </c>
      <c r="EM312" s="5196" t="str">
        <f t="shared" si="1138"/>
        <v>6/25A</v>
      </c>
      <c r="EN312" s="5196" t="str">
        <f t="shared" si="1138"/>
        <v>9/25A</v>
      </c>
      <c r="EO312" s="5196" t="str">
        <f t="shared" ref="EO312" si="1139">EO6</f>
        <v>12/25E</v>
      </c>
      <c r="EP312" s="5196" t="str">
        <f>EP6</f>
        <v>2025E</v>
      </c>
      <c r="EQ312" s="5196" t="str">
        <f t="shared" ref="EQ312:ET312" si="1140">EQ6</f>
        <v>3/26E</v>
      </c>
      <c r="ER312" s="5196" t="str">
        <f t="shared" si="1140"/>
        <v>6/26E</v>
      </c>
      <c r="ES312" s="5196" t="str">
        <f t="shared" si="1140"/>
        <v>9/26E</v>
      </c>
      <c r="ET312" s="5196" t="str">
        <f t="shared" si="1140"/>
        <v>12/26E</v>
      </c>
      <c r="EU312" s="5196" t="str">
        <f>EU6</f>
        <v>2026E</v>
      </c>
      <c r="EV312" s="5196" t="str">
        <f>EV6</f>
        <v>2027E</v>
      </c>
      <c r="EW312" s="5196" t="str">
        <f>EW6</f>
        <v>2028E</v>
      </c>
      <c r="EX312" s="5196" t="str">
        <f>EX6</f>
        <v>2029E</v>
      </c>
      <c r="EY312" s="5196" t="str">
        <f>EY6</f>
        <v>2030E</v>
      </c>
      <c r="EZ312" s="32"/>
      <c r="FA312" s="4269"/>
      <c r="FB312" s="4269"/>
    </row>
    <row r="313" spans="1:161" s="31" customFormat="1" ht="11.25" customHeight="1" collapsed="1">
      <c r="A313" s="5360" t="s">
        <v>1000</v>
      </c>
      <c r="B313" s="4532"/>
      <c r="C313" s="4532"/>
      <c r="D313" s="4532"/>
      <c r="E313" s="4532"/>
      <c r="F313" s="5579"/>
      <c r="G313" s="4532"/>
      <c r="H313" s="4532"/>
      <c r="I313" s="4532"/>
      <c r="J313" s="4532"/>
      <c r="K313" s="4533"/>
      <c r="L313" s="4532"/>
      <c r="M313" s="4532"/>
      <c r="N313" s="4532"/>
      <c r="O313" s="4532"/>
      <c r="P313" s="4533"/>
      <c r="Q313" s="4532"/>
      <c r="R313" s="4532"/>
      <c r="S313" s="4532"/>
      <c r="T313" s="4532"/>
      <c r="U313" s="4533"/>
      <c r="V313" s="4532"/>
      <c r="W313" s="4532"/>
      <c r="X313" s="4532"/>
      <c r="Y313" s="4532"/>
      <c r="Z313" s="4533"/>
      <c r="AA313" s="4532"/>
      <c r="AB313" s="4532"/>
      <c r="AC313" s="4532"/>
      <c r="AD313" s="4532"/>
      <c r="AE313" s="4533"/>
      <c r="AF313" s="4532"/>
      <c r="AG313" s="4532"/>
      <c r="AH313" s="4532"/>
      <c r="AI313" s="4532"/>
      <c r="AJ313" s="4533"/>
      <c r="AK313" s="4532"/>
      <c r="AL313" s="4532"/>
      <c r="AM313" s="4532"/>
      <c r="AN313" s="4532"/>
      <c r="AO313" s="4533"/>
      <c r="AP313" s="4532"/>
      <c r="AQ313" s="4532"/>
      <c r="AR313" s="4532"/>
      <c r="AS313" s="4532"/>
      <c r="AT313" s="4533"/>
      <c r="AU313" s="4531"/>
      <c r="AV313" s="4532"/>
      <c r="AW313" s="4532"/>
      <c r="AX313" s="4532"/>
      <c r="AY313" s="4533"/>
      <c r="AZ313" s="4531"/>
      <c r="BA313" s="4532"/>
      <c r="BB313" s="4532"/>
      <c r="BC313" s="4534"/>
      <c r="BD313" s="4533"/>
      <c r="BE313" s="4531"/>
      <c r="BF313" s="4532"/>
      <c r="BG313" s="4532"/>
      <c r="BH313" s="4532"/>
      <c r="BI313" s="4533"/>
      <c r="BJ313" s="4531"/>
      <c r="BK313" s="4532"/>
      <c r="BL313" s="4532"/>
      <c r="BM313" s="4532"/>
      <c r="BN313" s="4533"/>
      <c r="BO313" s="4532"/>
      <c r="BP313" s="4532"/>
      <c r="BQ313" s="4532"/>
      <c r="BR313" s="4532"/>
      <c r="BS313" s="4535"/>
      <c r="BT313" s="4532"/>
      <c r="BU313" s="4532"/>
      <c r="BV313" s="4532"/>
      <c r="BW313" s="4532"/>
      <c r="BX313" s="4535"/>
      <c r="BY313" s="4532"/>
      <c r="BZ313" s="4532"/>
      <c r="CA313" s="4532"/>
      <c r="CB313" s="4532"/>
      <c r="CC313" s="4535"/>
      <c r="CD313" s="4532"/>
      <c r="CE313" s="4532"/>
      <c r="CF313" s="4532"/>
      <c r="CG313" s="4532"/>
      <c r="CH313" s="4535"/>
      <c r="CI313" s="4536"/>
      <c r="CJ313" s="4532"/>
      <c r="CK313" s="4532"/>
      <c r="CL313" s="4532"/>
      <c r="CM313" s="4535"/>
      <c r="CN313" s="4532"/>
      <c r="CO313" s="4532"/>
      <c r="CP313" s="4532"/>
      <c r="CQ313" s="4532"/>
      <c r="CR313" s="4535"/>
      <c r="CS313" s="4532"/>
      <c r="CT313" s="4532"/>
      <c r="CU313" s="4532"/>
      <c r="CV313" s="4532"/>
      <c r="CW313" s="4535"/>
      <c r="CX313" s="4532"/>
      <c r="CY313" s="4532"/>
      <c r="CZ313" s="4532"/>
      <c r="DA313" s="4532"/>
      <c r="DB313" s="4535"/>
      <c r="DC313" s="4532"/>
      <c r="DD313" s="4532"/>
      <c r="DE313" s="4532"/>
      <c r="DF313" s="4532"/>
      <c r="DG313" s="4535"/>
      <c r="DH313" s="4532"/>
      <c r="DI313" s="4532"/>
      <c r="DJ313" s="4532"/>
      <c r="DK313" s="4532"/>
      <c r="DL313" s="4535"/>
      <c r="DM313" s="4532"/>
      <c r="DN313" s="4532"/>
      <c r="DO313" s="4532"/>
      <c r="DP313" s="4532"/>
      <c r="DQ313" s="4535"/>
      <c r="DR313" s="4532"/>
      <c r="DS313" s="4532"/>
      <c r="DT313" s="4532"/>
      <c r="DU313" s="4532"/>
      <c r="DV313" s="4535"/>
      <c r="DW313" s="4532"/>
      <c r="DX313" s="4532"/>
      <c r="DY313" s="4532"/>
      <c r="DZ313" s="4532"/>
      <c r="EA313" s="4535"/>
      <c r="EB313" s="4532"/>
      <c r="EC313" s="4532"/>
      <c r="ED313" s="4532"/>
      <c r="EE313" s="4532"/>
      <c r="EF313" s="4535"/>
      <c r="EG313" s="4532"/>
      <c r="EH313" s="4532"/>
      <c r="EI313" s="4532"/>
      <c r="EJ313" s="4532"/>
      <c r="EK313" s="4535"/>
      <c r="EL313" s="4532"/>
      <c r="EM313" s="4532"/>
      <c r="EN313" s="4532"/>
      <c r="EO313" s="4532"/>
      <c r="EP313" s="4535"/>
      <c r="EQ313" s="4532"/>
      <c r="ER313" s="4532"/>
      <c r="ES313" s="4532"/>
      <c r="ET313" s="4532"/>
      <c r="EU313" s="4535"/>
      <c r="EV313" s="4535"/>
      <c r="EW313" s="4535"/>
      <c r="EX313" s="4535"/>
      <c r="EY313" s="4535"/>
      <c r="FA313" s="725"/>
      <c r="FB313" s="725"/>
    </row>
    <row r="314" spans="1:161" s="180" customFormat="1" ht="11.25" hidden="1" customHeight="1" outlineLevel="1">
      <c r="A314" s="5361" t="s">
        <v>1042</v>
      </c>
      <c r="B314" s="175"/>
      <c r="C314" s="175"/>
      <c r="D314" s="175"/>
      <c r="E314" s="176"/>
      <c r="F314" s="5286"/>
      <c r="G314" s="175"/>
      <c r="H314" s="175"/>
      <c r="I314" s="175"/>
      <c r="J314" s="175"/>
      <c r="K314" s="5286"/>
      <c r="L314" s="175"/>
      <c r="M314" s="175"/>
      <c r="N314" s="175"/>
      <c r="O314" s="175"/>
      <c r="P314" s="5287"/>
      <c r="Q314" s="1877"/>
      <c r="R314" s="175"/>
      <c r="S314" s="175"/>
      <c r="T314" s="175"/>
      <c r="U314" s="5287"/>
      <c r="V314" s="1877"/>
      <c r="W314" s="176"/>
      <c r="X314" s="176"/>
      <c r="Y314" s="176"/>
      <c r="Z314" s="5287"/>
      <c r="AA314" s="1877"/>
      <c r="AB314" s="175"/>
      <c r="AC314" s="175"/>
      <c r="AD314" s="175"/>
      <c r="AE314" s="5287"/>
      <c r="AF314" s="1877"/>
      <c r="AG314" s="175"/>
      <c r="AH314" s="175"/>
      <c r="AI314" s="177"/>
      <c r="AJ314" s="5287"/>
      <c r="AK314" s="1877"/>
      <c r="AL314" s="5288"/>
      <c r="AM314" s="5288"/>
      <c r="AN314" s="5288"/>
      <c r="AO314" s="5287"/>
      <c r="AP314" s="5289"/>
      <c r="AQ314" s="5288"/>
      <c r="AR314" s="5288"/>
      <c r="AS314" s="5288"/>
      <c r="AT314" s="5287"/>
      <c r="AU314" s="5289"/>
      <c r="AV314" s="5288"/>
      <c r="AW314" s="5288"/>
      <c r="AX314" s="5288"/>
      <c r="AY314" s="5287"/>
      <c r="AZ314" s="5289"/>
      <c r="BA314" s="5288"/>
      <c r="BB314" s="5288"/>
      <c r="BC314" s="5290"/>
      <c r="BD314" s="5287"/>
      <c r="BE314" s="1226"/>
      <c r="BF314" s="2612"/>
      <c r="BG314" s="2614"/>
      <c r="BH314" s="2612"/>
      <c r="BI314" s="5287"/>
      <c r="BJ314" s="1226"/>
      <c r="BK314" s="2612"/>
      <c r="BL314" s="2612"/>
      <c r="BM314" s="2612"/>
      <c r="BN314" s="5287"/>
      <c r="BO314" s="5291"/>
      <c r="BP314" s="5291"/>
      <c r="BQ314" s="5291"/>
      <c r="BR314" s="5291"/>
      <c r="BS314" s="5292"/>
      <c r="BT314" s="2612"/>
      <c r="BU314" s="2612"/>
      <c r="BV314" s="203"/>
      <c r="BW314" s="203"/>
      <c r="BX314" s="5292"/>
      <c r="BY314" s="5291"/>
      <c r="BZ314" s="5291"/>
      <c r="CA314" s="5291"/>
      <c r="CB314" s="5291"/>
      <c r="CC314" s="5292"/>
      <c r="CD314" s="5311"/>
      <c r="CE314" s="617"/>
      <c r="CF314" s="617"/>
      <c r="CG314" s="3573"/>
      <c r="CH314" s="5293"/>
      <c r="CI314" s="5312"/>
      <c r="CJ314" s="3573"/>
      <c r="CK314" s="3573"/>
      <c r="CL314" s="3573"/>
      <c r="CM314" s="5293"/>
      <c r="CN314" s="3573"/>
      <c r="CO314" s="3573"/>
      <c r="CP314" s="3573"/>
      <c r="CQ314" s="3573"/>
      <c r="CR314" s="5293"/>
      <c r="CS314" s="3573"/>
      <c r="CT314" s="3573"/>
      <c r="CU314" s="3573"/>
      <c r="CV314" s="3573"/>
      <c r="CW314" s="5293"/>
      <c r="CX314" s="3573"/>
      <c r="CY314" s="3573"/>
      <c r="CZ314" s="3573"/>
      <c r="DA314" s="3573"/>
      <c r="DB314" s="5293"/>
      <c r="DC314" s="3573"/>
      <c r="DD314" s="3573"/>
      <c r="DE314" s="3573"/>
      <c r="DF314" s="3573"/>
      <c r="DG314" s="5293">
        <v>0.24</v>
      </c>
      <c r="DH314" s="3573"/>
      <c r="DI314" s="3573"/>
      <c r="DJ314" s="3573"/>
      <c r="DK314" s="3573"/>
      <c r="DL314" s="5293">
        <v>0.23</v>
      </c>
      <c r="DM314" s="3573"/>
      <c r="DN314" s="3573"/>
      <c r="DO314" s="3573"/>
      <c r="DP314" s="3573"/>
      <c r="DQ314" s="5293">
        <v>0.11</v>
      </c>
      <c r="DR314" s="3573"/>
      <c r="DS314" s="3573">
        <v>0.12</v>
      </c>
      <c r="DT314" s="3573">
        <v>0.12</v>
      </c>
      <c r="DU314" s="3573"/>
      <c r="DV314" s="5293">
        <v>0.11</v>
      </c>
      <c r="DW314" s="3573">
        <v>0.14000000000000001</v>
      </c>
      <c r="DX314" s="3573">
        <v>0.18</v>
      </c>
      <c r="DY314" s="3573">
        <v>0.24</v>
      </c>
      <c r="DZ314" s="3573"/>
      <c r="EA314" s="5293">
        <v>0.21</v>
      </c>
      <c r="EB314" s="3573">
        <v>0.14000000000000001</v>
      </c>
      <c r="EC314" s="3573">
        <v>0.06</v>
      </c>
      <c r="ED314" s="3573"/>
      <c r="EE314" s="3573"/>
      <c r="EF314" s="5293">
        <v>0.04</v>
      </c>
      <c r="EG314" s="3573"/>
      <c r="EH314" s="3573"/>
      <c r="EI314" s="3573"/>
      <c r="EJ314" s="3573"/>
      <c r="EK314" s="5293"/>
      <c r="EL314" s="3573"/>
      <c r="EM314" s="3573"/>
      <c r="EN314" s="3573"/>
      <c r="EO314" s="3573"/>
      <c r="EP314" s="5293"/>
      <c r="EQ314" s="3573"/>
      <c r="ER314" s="3573"/>
      <c r="ES314" s="3573"/>
      <c r="ET314" s="3573"/>
      <c r="EU314" s="5293"/>
      <c r="EV314" s="5293"/>
      <c r="EW314" s="5293"/>
      <c r="EX314" s="5293"/>
      <c r="EY314" s="5293"/>
      <c r="EZ314" s="176"/>
      <c r="FA314" s="717"/>
      <c r="FB314" s="717"/>
      <c r="FE314" s="283"/>
    </row>
    <row r="315" spans="1:161" s="180" customFormat="1" ht="11.25" hidden="1" customHeight="1" outlineLevel="1">
      <c r="A315" s="5361" t="s">
        <v>1043</v>
      </c>
      <c r="B315" s="175"/>
      <c r="C315" s="175"/>
      <c r="D315" s="175"/>
      <c r="E315" s="176"/>
      <c r="F315" s="5286"/>
      <c r="G315" s="175"/>
      <c r="H315" s="175"/>
      <c r="I315" s="175"/>
      <c r="J315" s="175"/>
      <c r="K315" s="5286"/>
      <c r="L315" s="175"/>
      <c r="M315" s="175"/>
      <c r="N315" s="175"/>
      <c r="O315" s="175"/>
      <c r="P315" s="5287"/>
      <c r="Q315" s="1877"/>
      <c r="R315" s="175"/>
      <c r="S315" s="175"/>
      <c r="T315" s="175"/>
      <c r="U315" s="5287"/>
      <c r="V315" s="1877"/>
      <c r="W315" s="176"/>
      <c r="X315" s="176"/>
      <c r="Y315" s="176"/>
      <c r="Z315" s="5287"/>
      <c r="AA315" s="1877"/>
      <c r="AB315" s="175"/>
      <c r="AC315" s="175"/>
      <c r="AD315" s="175"/>
      <c r="AE315" s="5287"/>
      <c r="AF315" s="1877"/>
      <c r="AG315" s="175"/>
      <c r="AH315" s="175"/>
      <c r="AI315" s="177"/>
      <c r="AJ315" s="5287"/>
      <c r="AK315" s="1877"/>
      <c r="AL315" s="5288"/>
      <c r="AM315" s="5288"/>
      <c r="AN315" s="5288"/>
      <c r="AO315" s="5287"/>
      <c r="AP315" s="5289"/>
      <c r="AQ315" s="5288"/>
      <c r="AR315" s="5288"/>
      <c r="AS315" s="5288"/>
      <c r="AT315" s="5287"/>
      <c r="AU315" s="5289"/>
      <c r="AV315" s="5288"/>
      <c r="AW315" s="5288"/>
      <c r="AX315" s="5288"/>
      <c r="AY315" s="5287"/>
      <c r="AZ315" s="5289"/>
      <c r="BA315" s="5288"/>
      <c r="BB315" s="5288"/>
      <c r="BC315" s="5290"/>
      <c r="BD315" s="5287"/>
      <c r="BE315" s="1226"/>
      <c r="BF315" s="2612"/>
      <c r="BG315" s="2614"/>
      <c r="BH315" s="2612"/>
      <c r="BI315" s="5287"/>
      <c r="BJ315" s="1226"/>
      <c r="BK315" s="2612"/>
      <c r="BL315" s="2612"/>
      <c r="BM315" s="2612"/>
      <c r="BN315" s="5287"/>
      <c r="BO315" s="5291"/>
      <c r="BP315" s="5291"/>
      <c r="BQ315" s="5291"/>
      <c r="BR315" s="5291"/>
      <c r="BS315" s="5292"/>
      <c r="BT315" s="2612"/>
      <c r="BU315" s="2612"/>
      <c r="BV315" s="203"/>
      <c r="BW315" s="203"/>
      <c r="BX315" s="5292"/>
      <c r="BY315" s="5291"/>
      <c r="BZ315" s="5291"/>
      <c r="CA315" s="5291"/>
      <c r="CB315" s="5291"/>
      <c r="CC315" s="5292"/>
      <c r="CD315" s="5311"/>
      <c r="CE315" s="617"/>
      <c r="CF315" s="617"/>
      <c r="CG315" s="3573"/>
      <c r="CH315" s="5293"/>
      <c r="CI315" s="5312"/>
      <c r="CJ315" s="3573"/>
      <c r="CK315" s="3573"/>
      <c r="CL315" s="3573"/>
      <c r="CM315" s="5294"/>
      <c r="CN315" s="3573"/>
      <c r="CO315" s="3573"/>
      <c r="CP315" s="3573"/>
      <c r="CQ315" s="3573"/>
      <c r="CR315" s="5294"/>
      <c r="CS315" s="3573"/>
      <c r="CT315" s="3573"/>
      <c r="CU315" s="3573"/>
      <c r="CV315" s="3573"/>
      <c r="CW315" s="5294"/>
      <c r="CX315" s="3573"/>
      <c r="CY315" s="3573"/>
      <c r="CZ315" s="3573"/>
      <c r="DA315" s="3573"/>
      <c r="DB315" s="5294"/>
      <c r="DC315" s="3573"/>
      <c r="DD315" s="3573"/>
      <c r="DE315" s="3573"/>
      <c r="DF315" s="3573"/>
      <c r="DG315" s="5294">
        <v>0.12</v>
      </c>
      <c r="DH315" s="3573"/>
      <c r="DI315" s="3573"/>
      <c r="DJ315" s="3573"/>
      <c r="DK315" s="3573"/>
      <c r="DL315" s="5294">
        <v>0.15</v>
      </c>
      <c r="DM315" s="3573"/>
      <c r="DN315" s="3573"/>
      <c r="DO315" s="3573"/>
      <c r="DP315" s="3573"/>
      <c r="DQ315" s="5294">
        <v>0.08</v>
      </c>
      <c r="DR315" s="3573"/>
      <c r="DS315" s="3573">
        <v>0.13</v>
      </c>
      <c r="DT315" s="3573">
        <v>0.16</v>
      </c>
      <c r="DU315" s="3573"/>
      <c r="DV315" s="5294">
        <v>0.14000000000000001</v>
      </c>
      <c r="DW315" s="3573">
        <v>0.21</v>
      </c>
      <c r="DX315" s="3573">
        <v>0.2</v>
      </c>
      <c r="DY315" s="3573">
        <v>0.19</v>
      </c>
      <c r="DZ315" s="3573"/>
      <c r="EA315" s="5294">
        <v>0.19</v>
      </c>
      <c r="EB315" s="3573">
        <v>7.0000000000000007E-2</v>
      </c>
      <c r="EC315" s="3573"/>
      <c r="ED315" s="3573"/>
      <c r="EE315" s="3573"/>
      <c r="EF315" s="5294"/>
      <c r="EG315" s="3573"/>
      <c r="EH315" s="3573"/>
      <c r="EI315" s="3573"/>
      <c r="EJ315" s="3573"/>
      <c r="EK315" s="5294"/>
      <c r="EL315" s="3573"/>
      <c r="EM315" s="3573"/>
      <c r="EN315" s="3573"/>
      <c r="EO315" s="3573"/>
      <c r="EP315" s="5294"/>
      <c r="EQ315" s="3573"/>
      <c r="ER315" s="3573"/>
      <c r="ES315" s="3573"/>
      <c r="ET315" s="3573"/>
      <c r="EU315" s="5294"/>
      <c r="EV315" s="5294"/>
      <c r="EW315" s="5294"/>
      <c r="EX315" s="5294"/>
      <c r="EY315" s="5294"/>
      <c r="EZ315" s="176"/>
      <c r="FA315" s="717"/>
      <c r="FB315" s="717"/>
      <c r="FE315" s="566"/>
    </row>
    <row r="316" spans="1:161" s="180" customFormat="1" ht="11.25" hidden="1" customHeight="1" outlineLevel="1">
      <c r="A316" s="5361" t="s">
        <v>1044</v>
      </c>
      <c r="B316" s="175"/>
      <c r="C316" s="175"/>
      <c r="D316" s="175"/>
      <c r="E316" s="176"/>
      <c r="F316" s="5286"/>
      <c r="G316" s="175"/>
      <c r="H316" s="175"/>
      <c r="I316" s="175"/>
      <c r="J316" s="175"/>
      <c r="K316" s="5286"/>
      <c r="L316" s="175"/>
      <c r="M316" s="175"/>
      <c r="N316" s="175"/>
      <c r="O316" s="175"/>
      <c r="P316" s="5287"/>
      <c r="Q316" s="1877"/>
      <c r="R316" s="175"/>
      <c r="S316" s="175"/>
      <c r="T316" s="175"/>
      <c r="U316" s="5287"/>
      <c r="V316" s="1877"/>
      <c r="W316" s="176"/>
      <c r="X316" s="176"/>
      <c r="Y316" s="176"/>
      <c r="Z316" s="5287"/>
      <c r="AA316" s="1877"/>
      <c r="AB316" s="175"/>
      <c r="AC316" s="175"/>
      <c r="AD316" s="175"/>
      <c r="AE316" s="5287"/>
      <c r="AF316" s="1877"/>
      <c r="AG316" s="175"/>
      <c r="AH316" s="175"/>
      <c r="AI316" s="177"/>
      <c r="AJ316" s="5287"/>
      <c r="AK316" s="1877"/>
      <c r="AL316" s="5288"/>
      <c r="AM316" s="5288"/>
      <c r="AN316" s="5288"/>
      <c r="AO316" s="5287"/>
      <c r="AP316" s="5289"/>
      <c r="AQ316" s="5288"/>
      <c r="AR316" s="5288"/>
      <c r="AS316" s="5288"/>
      <c r="AT316" s="5287"/>
      <c r="AU316" s="5289"/>
      <c r="AV316" s="5288"/>
      <c r="AW316" s="5288"/>
      <c r="AX316" s="5288"/>
      <c r="AY316" s="5287"/>
      <c r="AZ316" s="5289"/>
      <c r="BA316" s="5288"/>
      <c r="BB316" s="5288"/>
      <c r="BC316" s="5290"/>
      <c r="BD316" s="5287"/>
      <c r="BE316" s="1226"/>
      <c r="BF316" s="2612"/>
      <c r="BG316" s="2614"/>
      <c r="BH316" s="2612"/>
      <c r="BI316" s="5287"/>
      <c r="BJ316" s="1226"/>
      <c r="BK316" s="2612"/>
      <c r="BL316" s="2612"/>
      <c r="BM316" s="2612"/>
      <c r="BN316" s="5287"/>
      <c r="BO316" s="5291"/>
      <c r="BP316" s="5291"/>
      <c r="BQ316" s="5291"/>
      <c r="BR316" s="5291"/>
      <c r="BS316" s="5292"/>
      <c r="BT316" s="2612"/>
      <c r="BU316" s="2612"/>
      <c r="BV316" s="203"/>
      <c r="BW316" s="203"/>
      <c r="BX316" s="5292"/>
      <c r="BY316" s="5291"/>
      <c r="BZ316" s="5291"/>
      <c r="CA316" s="5291"/>
      <c r="CB316" s="5291"/>
      <c r="CC316" s="5292"/>
      <c r="CD316" s="5311"/>
      <c r="CE316" s="617"/>
      <c r="CF316" s="617"/>
      <c r="CG316" s="3573"/>
      <c r="CH316" s="5293"/>
      <c r="CI316" s="5312"/>
      <c r="CJ316" s="3573"/>
      <c r="CK316" s="3573"/>
      <c r="CL316" s="3573"/>
      <c r="CM316" s="5293"/>
      <c r="CN316" s="3573"/>
      <c r="CO316" s="3573"/>
      <c r="CP316" s="3573"/>
      <c r="CQ316" s="3573"/>
      <c r="CR316" s="5293"/>
      <c r="CS316" s="3573"/>
      <c r="CT316" s="3573"/>
      <c r="CU316" s="3573"/>
      <c r="CV316" s="3573"/>
      <c r="CW316" s="5293"/>
      <c r="CX316" s="3573"/>
      <c r="CY316" s="3573"/>
      <c r="CZ316" s="3573"/>
      <c r="DA316" s="3573"/>
      <c r="DB316" s="5293"/>
      <c r="DC316" s="3573"/>
      <c r="DD316" s="3573"/>
      <c r="DE316" s="3573"/>
      <c r="DF316" s="3573"/>
      <c r="DG316" s="5293">
        <v>0.09</v>
      </c>
      <c r="DH316" s="3573"/>
      <c r="DI316" s="3573"/>
      <c r="DJ316" s="3573"/>
      <c r="DK316" s="3573"/>
      <c r="DL316" s="5293">
        <v>0.19</v>
      </c>
      <c r="DM316" s="3573"/>
      <c r="DN316" s="3573"/>
      <c r="DO316" s="3573"/>
      <c r="DP316" s="3573"/>
      <c r="DQ316" s="5293">
        <v>0.16</v>
      </c>
      <c r="DR316" s="3573"/>
      <c r="DS316" s="3573"/>
      <c r="DT316" s="3573">
        <v>0.13</v>
      </c>
      <c r="DU316" s="3573"/>
      <c r="DV316" s="5293">
        <v>0.14000000000000001</v>
      </c>
      <c r="DW316" s="3573">
        <v>0.19</v>
      </c>
      <c r="DX316" s="3573">
        <v>0.23</v>
      </c>
      <c r="DY316" s="3573">
        <v>0.23</v>
      </c>
      <c r="DZ316" s="3573"/>
      <c r="EA316" s="5293">
        <v>0.21</v>
      </c>
      <c r="EB316" s="3573">
        <v>0.06</v>
      </c>
      <c r="EC316" s="3573"/>
      <c r="ED316" s="3573"/>
      <c r="EE316" s="3573"/>
      <c r="EF316" s="5293"/>
      <c r="EG316" s="3573"/>
      <c r="EH316" s="3573"/>
      <c r="EI316" s="3573"/>
      <c r="EJ316" s="3573"/>
      <c r="EK316" s="5293"/>
      <c r="EL316" s="3573"/>
      <c r="EM316" s="3573"/>
      <c r="EN316" s="3573"/>
      <c r="EO316" s="3573"/>
      <c r="EP316" s="5293"/>
      <c r="EQ316" s="3573"/>
      <c r="ER316" s="3573"/>
      <c r="ES316" s="3573"/>
      <c r="ET316" s="3573"/>
      <c r="EU316" s="5293"/>
      <c r="EV316" s="5293"/>
      <c r="EW316" s="5293"/>
      <c r="EX316" s="5293"/>
      <c r="EY316" s="5293"/>
      <c r="EZ316" s="176"/>
      <c r="FA316" s="717"/>
      <c r="FB316" s="717"/>
      <c r="FE316" s="566"/>
    </row>
    <row r="317" spans="1:161" s="216" customFormat="1" ht="11.25" customHeight="1" collapsed="1">
      <c r="A317" s="5362" t="s">
        <v>1045</v>
      </c>
      <c r="B317" s="5295"/>
      <c r="C317" s="5295"/>
      <c r="D317" s="5295"/>
      <c r="E317" s="5295"/>
      <c r="F317" s="5296"/>
      <c r="G317" s="5295"/>
      <c r="H317" s="5295"/>
      <c r="I317" s="5295"/>
      <c r="J317" s="5295"/>
      <c r="K317" s="5296"/>
      <c r="L317" s="5295"/>
      <c r="M317" s="5295"/>
      <c r="N317" s="5295"/>
      <c r="O317" s="5297"/>
      <c r="P317" s="5527">
        <v>284</v>
      </c>
      <c r="Q317" s="5299">
        <v>339</v>
      </c>
      <c r="R317" s="5300">
        <v>453</v>
      </c>
      <c r="S317" s="5300">
        <v>555</v>
      </c>
      <c r="T317" s="5301">
        <v>632</v>
      </c>
      <c r="U317" s="5298">
        <f>T317</f>
        <v>632</v>
      </c>
      <c r="V317" s="5299">
        <v>889</v>
      </c>
      <c r="W317" s="5300">
        <v>1154</v>
      </c>
      <c r="X317" s="5300">
        <v>1406</v>
      </c>
      <c r="Y317" s="5301">
        <v>1628</v>
      </c>
      <c r="Z317" s="5527">
        <v>1628</v>
      </c>
      <c r="AA317" s="5299">
        <v>1907</v>
      </c>
      <c r="AB317" s="5300">
        <v>2292</v>
      </c>
      <c r="AC317" s="5300">
        <v>2668</v>
      </c>
      <c r="AD317" s="5300">
        <v>3021</v>
      </c>
      <c r="AE317" s="5527">
        <v>3021</v>
      </c>
      <c r="AF317" s="5299">
        <v>3482</v>
      </c>
      <c r="AG317" s="5302">
        <v>4183</v>
      </c>
      <c r="AH317" s="5302">
        <v>4989</v>
      </c>
      <c r="AI317" s="5302">
        <v>5680</v>
      </c>
      <c r="AJ317" s="5298">
        <f>AI317</f>
        <v>5680</v>
      </c>
      <c r="AK317" s="5303">
        <v>6790</v>
      </c>
      <c r="AL317" s="5302">
        <v>7942</v>
      </c>
      <c r="AM317" s="5302">
        <v>9378</v>
      </c>
      <c r="AN317" s="5302">
        <v>10674</v>
      </c>
      <c r="AO317" s="5298">
        <f>AN317</f>
        <v>10674</v>
      </c>
      <c r="AP317" s="5303">
        <v>12238</v>
      </c>
      <c r="AQ317" s="5302">
        <v>13786</v>
      </c>
      <c r="AR317" s="5302">
        <v>15916</v>
      </c>
      <c r="AS317" s="5302">
        <v>16805</v>
      </c>
      <c r="AT317" s="5298">
        <f>AS317</f>
        <v>16805</v>
      </c>
      <c r="AU317" s="5304">
        <v>19156</v>
      </c>
      <c r="AV317" s="5305">
        <v>19604</v>
      </c>
      <c r="AW317" s="5305">
        <v>20123</v>
      </c>
      <c r="AX317" s="5305">
        <v>20222</v>
      </c>
      <c r="AY317" s="5298">
        <f>AX317</f>
        <v>20222</v>
      </c>
      <c r="AZ317" s="5304">
        <v>20164</v>
      </c>
      <c r="BA317" s="5305">
        <v>19786</v>
      </c>
      <c r="BB317" s="5305">
        <v>19665</v>
      </c>
      <c r="BC317" s="5305">
        <v>19835</v>
      </c>
      <c r="BD317" s="5298">
        <f>BC317</f>
        <v>19835</v>
      </c>
      <c r="BE317" s="5306">
        <v>20621</v>
      </c>
      <c r="BF317" s="5307">
        <v>21805</v>
      </c>
      <c r="BG317" s="5307">
        <v>23331</v>
      </c>
      <c r="BH317" s="5307">
        <v>24400</v>
      </c>
      <c r="BI317" s="5298">
        <f>BH317</f>
        <v>24400</v>
      </c>
      <c r="BJ317" s="5306">
        <v>26316</v>
      </c>
      <c r="BK317" s="5307">
        <v>28768</v>
      </c>
      <c r="BL317" s="5307">
        <v>31353</v>
      </c>
      <c r="BM317" s="5307">
        <v>32467</v>
      </c>
      <c r="BN317" s="5298">
        <f>BM317</f>
        <v>32467</v>
      </c>
      <c r="BO317" s="5302"/>
      <c r="BP317" s="5302"/>
      <c r="BQ317" s="5302"/>
      <c r="BR317" s="5302"/>
      <c r="BS317" s="5308"/>
      <c r="BT317" s="5307">
        <v>33077</v>
      </c>
      <c r="BU317" s="5307">
        <f>54604-20293</f>
        <v>34311</v>
      </c>
      <c r="BV317" s="5307">
        <f>53546-17428</f>
        <v>36118</v>
      </c>
      <c r="BW317" s="5307">
        <v>37544</v>
      </c>
      <c r="BX317" s="5308">
        <f>+BW317</f>
        <v>37544</v>
      </c>
      <c r="BY317" s="5302"/>
      <c r="BZ317" s="5302"/>
      <c r="CA317" s="5302"/>
      <c r="CB317" s="5302"/>
      <c r="CC317" s="5308"/>
      <c r="CD317" s="5307">
        <v>38739</v>
      </c>
      <c r="CE317" s="5307">
        <v>40178</v>
      </c>
      <c r="CF317" s="5307">
        <v>42162</v>
      </c>
      <c r="CG317" s="5307">
        <v>43862</v>
      </c>
      <c r="CH317" s="5308">
        <f>+CG317</f>
        <v>43862</v>
      </c>
      <c r="CI317" s="5309">
        <f>49829-3659</f>
        <v>46170</v>
      </c>
      <c r="CJ317" s="5307">
        <f>52069-3485</f>
        <v>48584</v>
      </c>
      <c r="CK317" s="5307">
        <f>55030-3466</f>
        <v>51564</v>
      </c>
      <c r="CL317" s="5307">
        <v>53600</v>
      </c>
      <c r="CM317" s="5308">
        <f>+CL317</f>
        <v>53600</v>
      </c>
      <c r="CN317" s="5307">
        <v>55400</v>
      </c>
      <c r="CO317" s="5307">
        <v>57148</v>
      </c>
      <c r="CP317" s="5307">
        <v>59976</v>
      </c>
      <c r="CQ317" s="5307">
        <v>61814</v>
      </c>
      <c r="CR317" s="5308">
        <f>+CQ317</f>
        <v>61814</v>
      </c>
      <c r="CS317" s="5305">
        <v>64115</v>
      </c>
      <c r="CT317" s="5307">
        <v>66575</v>
      </c>
      <c r="CU317" s="5307">
        <v>69953</v>
      </c>
      <c r="CV317" s="5307">
        <v>72053</v>
      </c>
      <c r="CW317" s="5308">
        <f>+CV317</f>
        <v>72053</v>
      </c>
      <c r="CX317" s="5307">
        <v>73992</v>
      </c>
      <c r="CY317" s="5307">
        <v>75606</v>
      </c>
      <c r="CZ317" s="5307">
        <v>78101</v>
      </c>
      <c r="DA317" s="5307">
        <v>80110</v>
      </c>
      <c r="DB317" s="5308">
        <f>+DA317</f>
        <v>80110</v>
      </c>
      <c r="DC317" s="5307">
        <v>85050</v>
      </c>
      <c r="DD317" s="5307">
        <v>89058</v>
      </c>
      <c r="DE317" s="5307">
        <v>94372</v>
      </c>
      <c r="DF317" s="5307">
        <v>98771</v>
      </c>
      <c r="DG317" s="5308">
        <f>+DF317</f>
        <v>98771</v>
      </c>
      <c r="DH317" s="5307">
        <v>103459</v>
      </c>
      <c r="DI317" s="5307">
        <v>107646</v>
      </c>
      <c r="DJ317" s="5307">
        <v>114096</v>
      </c>
      <c r="DK317" s="5307">
        <v>118899</v>
      </c>
      <c r="DL317" s="5308">
        <f>+DK317</f>
        <v>118899</v>
      </c>
      <c r="DM317" s="5310">
        <v>123048</v>
      </c>
      <c r="DN317" s="5307">
        <v>127498</v>
      </c>
      <c r="DO317" s="5307">
        <v>132121</v>
      </c>
      <c r="DP317" s="5307">
        <v>135301</v>
      </c>
      <c r="DQ317" s="5308">
        <f>+DP317</f>
        <v>135301</v>
      </c>
      <c r="DR317" s="5307">
        <v>139995</v>
      </c>
      <c r="DS317" s="5307">
        <v>144056</v>
      </c>
      <c r="DT317" s="5307">
        <v>150028</v>
      </c>
      <c r="DU317" s="5307">
        <v>156500</v>
      </c>
      <c r="DV317" s="5308">
        <f>+DU317</f>
        <v>156500</v>
      </c>
      <c r="DW317" s="5307">
        <v>163906</v>
      </c>
      <c r="DX317" s="5307">
        <v>174014</v>
      </c>
      <c r="DY317" s="5307">
        <v>186779</v>
      </c>
      <c r="DZ317" s="5307">
        <v>190234</v>
      </c>
      <c r="EA317" s="5308">
        <f>+DZ317</f>
        <v>190234</v>
      </c>
      <c r="EB317" s="5307">
        <v>190711</v>
      </c>
      <c r="EC317" s="5307">
        <v>181798</v>
      </c>
      <c r="ED317" s="5307">
        <v>182381</v>
      </c>
      <c r="EE317" s="5307">
        <v>182502</v>
      </c>
      <c r="EF317" s="5308">
        <f>+EE317</f>
        <v>182502</v>
      </c>
      <c r="EG317" s="5307">
        <v>180895</v>
      </c>
      <c r="EH317" s="5307">
        <v>179582</v>
      </c>
      <c r="EI317" s="5307">
        <v>181269</v>
      </c>
      <c r="EJ317" s="5307">
        <v>183323</v>
      </c>
      <c r="EK317" s="5308">
        <f>+EJ317</f>
        <v>183323</v>
      </c>
      <c r="EL317" s="5307">
        <v>185719</v>
      </c>
      <c r="EM317" s="5307">
        <v>187103</v>
      </c>
      <c r="EN317" s="5307">
        <v>190167</v>
      </c>
      <c r="EO317" s="5302">
        <f t="shared" ref="EO317" si="1141">EN317+EO320</f>
        <v>191667</v>
      </c>
      <c r="EP317" s="5308">
        <f>+EO317</f>
        <v>191667</v>
      </c>
      <c r="EQ317" s="5302">
        <f t="shared" ref="EQ317" si="1142">EP317+EQ320</f>
        <v>193367</v>
      </c>
      <c r="ER317" s="5302">
        <f t="shared" ref="ER317" si="1143">EQ317+ER320</f>
        <v>195367</v>
      </c>
      <c r="ES317" s="5302">
        <f t="shared" ref="ES317" si="1144">ER317+ES320</f>
        <v>198367</v>
      </c>
      <c r="ET317" s="5302">
        <f t="shared" ref="ET317" si="1145">ES317+ET320</f>
        <v>199867</v>
      </c>
      <c r="EU317" s="5308">
        <f>+ET317</f>
        <v>199867</v>
      </c>
      <c r="EV317" s="5308">
        <f>EU317*(1+EV318)</f>
        <v>206862.34499999997</v>
      </c>
      <c r="EW317" s="5308">
        <f>EV317*(1+EW318)</f>
        <v>213068.21534999998</v>
      </c>
      <c r="EX317" s="5308">
        <f>EW317*(1+EX318)</f>
        <v>218821.05716444997</v>
      </c>
      <c r="EY317" s="5308">
        <f>EX317*(1+EY318)</f>
        <v>224291.5835935612</v>
      </c>
      <c r="EZ317" s="275"/>
      <c r="FA317" s="1319">
        <f>(EV317/EK317)^(1/3)-1</f>
        <v>4.1089730718513851E-2</v>
      </c>
      <c r="FB317" s="1319">
        <f>(EX317/EK317)^(1/5)-1</f>
        <v>3.6035009460475997E-2</v>
      </c>
    </row>
    <row r="318" spans="1:161" s="216" customFormat="1" ht="11.25" customHeight="1">
      <c r="A318" s="5363" t="s">
        <v>45</v>
      </c>
      <c r="F318" s="5580"/>
      <c r="K318" s="1507"/>
      <c r="P318" s="1037"/>
      <c r="Q318" s="962" t="s">
        <v>116</v>
      </c>
      <c r="R318" s="169" t="s">
        <v>116</v>
      </c>
      <c r="S318" s="169" t="s">
        <v>116</v>
      </c>
      <c r="T318" s="184" t="s">
        <v>116</v>
      </c>
      <c r="U318" s="1037">
        <f t="shared" ref="U318:AZ318" si="1146">+U317/P317-1</f>
        <v>1.2253521126760565</v>
      </c>
      <c r="V318" s="1057">
        <f t="shared" si="1146"/>
        <v>1.6224188790560472</v>
      </c>
      <c r="W318" s="183">
        <f t="shared" si="1146"/>
        <v>1.5474613686534218</v>
      </c>
      <c r="X318" s="183">
        <f t="shared" si="1146"/>
        <v>1.5333333333333332</v>
      </c>
      <c r="Y318" s="183">
        <f t="shared" si="1146"/>
        <v>1.5759493670886076</v>
      </c>
      <c r="Z318" s="1037">
        <f t="shared" si="1146"/>
        <v>1.5759493670886076</v>
      </c>
      <c r="AA318" s="1057">
        <f t="shared" si="1146"/>
        <v>1.1451068616422946</v>
      </c>
      <c r="AB318" s="183">
        <f t="shared" si="1146"/>
        <v>0.98613518197573646</v>
      </c>
      <c r="AC318" s="183">
        <f t="shared" si="1146"/>
        <v>0.89758179231863444</v>
      </c>
      <c r="AD318" s="183">
        <f t="shared" si="1146"/>
        <v>0.85565110565110558</v>
      </c>
      <c r="AE318" s="1037">
        <f t="shared" si="1146"/>
        <v>0.85565110565110558</v>
      </c>
      <c r="AF318" s="1057">
        <f t="shared" si="1146"/>
        <v>0.82590456213948604</v>
      </c>
      <c r="AG318" s="183">
        <f t="shared" si="1146"/>
        <v>0.82504363001745196</v>
      </c>
      <c r="AH318" s="183">
        <f t="shared" si="1146"/>
        <v>0.86994002998500752</v>
      </c>
      <c r="AI318" s="183">
        <f t="shared" si="1146"/>
        <v>0.88017212843429338</v>
      </c>
      <c r="AJ318" s="1037">
        <f t="shared" si="1146"/>
        <v>0.88017212843429338</v>
      </c>
      <c r="AK318" s="1057">
        <f t="shared" si="1146"/>
        <v>0.95002871912693854</v>
      </c>
      <c r="AL318" s="183">
        <f t="shared" si="1146"/>
        <v>0.89863734162084619</v>
      </c>
      <c r="AM318" s="183">
        <f t="shared" si="1146"/>
        <v>0.87973541791942278</v>
      </c>
      <c r="AN318" s="183">
        <f t="shared" si="1146"/>
        <v>0.87922535211267605</v>
      </c>
      <c r="AO318" s="1037">
        <f t="shared" si="1146"/>
        <v>0.87922535211267605</v>
      </c>
      <c r="AP318" s="1057">
        <f t="shared" si="1146"/>
        <v>0.80235640648011786</v>
      </c>
      <c r="AQ318" s="183">
        <f t="shared" si="1146"/>
        <v>0.73583480231679688</v>
      </c>
      <c r="AR318" s="183">
        <f t="shared" si="1146"/>
        <v>0.69716357432288345</v>
      </c>
      <c r="AS318" s="183">
        <f t="shared" si="1146"/>
        <v>0.5743863593779277</v>
      </c>
      <c r="AT318" s="1037">
        <f t="shared" si="1146"/>
        <v>0.5743863593779277</v>
      </c>
      <c r="AU318" s="1057">
        <f t="shared" si="1146"/>
        <v>0.56528844582448112</v>
      </c>
      <c r="AV318" s="183">
        <f t="shared" si="1146"/>
        <v>0.42202234150587548</v>
      </c>
      <c r="AW318" s="183">
        <f t="shared" si="1146"/>
        <v>0.26432520733852716</v>
      </c>
      <c r="AX318" s="183">
        <f t="shared" si="1146"/>
        <v>0.20333234156501034</v>
      </c>
      <c r="AY318" s="1037">
        <f t="shared" si="1146"/>
        <v>0.20333234156501034</v>
      </c>
      <c r="AZ318" s="1057">
        <f t="shared" si="1146"/>
        <v>5.2620588849446648E-2</v>
      </c>
      <c r="BA318" s="183">
        <f t="shared" ref="BA318:BN318" si="1147">+BA317/AV317-1</f>
        <v>9.2838196286471053E-3</v>
      </c>
      <c r="BB318" s="183">
        <f t="shared" si="1147"/>
        <v>-2.2760025841077391E-2</v>
      </c>
      <c r="BC318" s="183">
        <f t="shared" si="1147"/>
        <v>-1.9137572940362002E-2</v>
      </c>
      <c r="BD318" s="1037">
        <f t="shared" si="1147"/>
        <v>-1.9137572940362002E-2</v>
      </c>
      <c r="BE318" s="1057">
        <f t="shared" si="1147"/>
        <v>2.2664153937710818E-2</v>
      </c>
      <c r="BF318" s="183">
        <f t="shared" si="1147"/>
        <v>0.10204184777115133</v>
      </c>
      <c r="BG318" s="183">
        <f t="shared" si="1147"/>
        <v>0.18642257818459185</v>
      </c>
      <c r="BH318" s="183">
        <f t="shared" si="1147"/>
        <v>0.23014872699773137</v>
      </c>
      <c r="BI318" s="1037">
        <f t="shared" si="1147"/>
        <v>0.23014872699773137</v>
      </c>
      <c r="BJ318" s="1057">
        <f t="shared" si="1147"/>
        <v>0.27617477328936513</v>
      </c>
      <c r="BK318" s="183">
        <f t="shared" si="1147"/>
        <v>0.3193304288007337</v>
      </c>
      <c r="BL318" s="183">
        <f t="shared" si="1147"/>
        <v>0.34383438343834394</v>
      </c>
      <c r="BM318" s="183">
        <f t="shared" si="1147"/>
        <v>0.33061475409836061</v>
      </c>
      <c r="BN318" s="1037">
        <f t="shared" si="1147"/>
        <v>0.33061475409836061</v>
      </c>
      <c r="BO318" s="267"/>
      <c r="BP318" s="267"/>
      <c r="BQ318" s="267"/>
      <c r="BR318" s="267"/>
      <c r="BS318" s="1947"/>
      <c r="BT318" s="183">
        <f>+BT317/BJ317-1</f>
        <v>0.25691594467244272</v>
      </c>
      <c r="BU318" s="183">
        <f>+BU317/BK317-1</f>
        <v>0.19267936596218016</v>
      </c>
      <c r="BV318" s="183">
        <f>+BV317/BL317-1</f>
        <v>0.15197907696233215</v>
      </c>
      <c r="BW318" s="267">
        <f>+BW317/BM317-1</f>
        <v>0.15637416453629838</v>
      </c>
      <c r="BX318" s="1037">
        <f>+BX317/BN317-1</f>
        <v>0.15637416453629838</v>
      </c>
      <c r="BY318" s="267"/>
      <c r="BZ318" s="267"/>
      <c r="CA318" s="267"/>
      <c r="CB318" s="267"/>
      <c r="CC318" s="1947"/>
      <c r="CD318" s="267">
        <f>+CD317/BT317-1</f>
        <v>0.17117634610152077</v>
      </c>
      <c r="CE318" s="267">
        <f>+CE317/BU317-1</f>
        <v>0.17099472472384947</v>
      </c>
      <c r="CF318" s="267">
        <f>+CF317/BV317-1</f>
        <v>0.16734038429591891</v>
      </c>
      <c r="CG318" s="267">
        <f>+CG317/BW317-1</f>
        <v>0.1682825484764543</v>
      </c>
      <c r="CH318" s="1037">
        <f>+CH317/BX317-1</f>
        <v>0.1682825484764543</v>
      </c>
      <c r="CI318" s="267">
        <f t="shared" ref="CI318:CX318" si="1148">+CI317/CD317-1</f>
        <v>0.19182219468752426</v>
      </c>
      <c r="CJ318" s="267">
        <f t="shared" si="1148"/>
        <v>0.20921897555876345</v>
      </c>
      <c r="CK318" s="267">
        <f t="shared" si="1148"/>
        <v>0.22299701152696749</v>
      </c>
      <c r="CL318" s="267">
        <f t="shared" si="1148"/>
        <v>0.22201450002279888</v>
      </c>
      <c r="CM318" s="1037">
        <f t="shared" si="1148"/>
        <v>0.22201450002279888</v>
      </c>
      <c r="CN318" s="267">
        <f t="shared" si="1148"/>
        <v>0.19991336365605372</v>
      </c>
      <c r="CO318" s="267">
        <f t="shared" si="1148"/>
        <v>0.17627202371151007</v>
      </c>
      <c r="CP318" s="267">
        <f t="shared" si="1148"/>
        <v>0.16313707237607633</v>
      </c>
      <c r="CQ318" s="267">
        <f t="shared" si="1148"/>
        <v>0.15324626865671642</v>
      </c>
      <c r="CR318" s="1037">
        <f t="shared" si="1148"/>
        <v>0.15324626865671642</v>
      </c>
      <c r="CS318" s="267">
        <f t="shared" si="1148"/>
        <v>0.15731046931407944</v>
      </c>
      <c r="CT318" s="267">
        <f t="shared" si="1148"/>
        <v>0.16495765381115701</v>
      </c>
      <c r="CU318" s="267">
        <f t="shared" si="1148"/>
        <v>0.1663498732826465</v>
      </c>
      <c r="CV318" s="267">
        <f t="shared" si="1148"/>
        <v>0.1656420875529816</v>
      </c>
      <c r="CW318" s="1037">
        <f t="shared" si="1148"/>
        <v>0.1656420875529816</v>
      </c>
      <c r="CX318" s="267">
        <f t="shared" si="1148"/>
        <v>0.15405131404507522</v>
      </c>
      <c r="CY318" s="267">
        <f t="shared" ref="CY318:DU318" si="1149">+CY317/CT317-1</f>
        <v>0.13565152084115661</v>
      </c>
      <c r="CZ318" s="267">
        <f t="shared" si="1149"/>
        <v>0.11647820679599152</v>
      </c>
      <c r="DA318" s="267">
        <f t="shared" si="1149"/>
        <v>0.11182046549068048</v>
      </c>
      <c r="DB318" s="1037">
        <f t="shared" si="1149"/>
        <v>0.11182046549068048</v>
      </c>
      <c r="DC318" s="267">
        <f t="shared" si="1149"/>
        <v>0.14944858903665259</v>
      </c>
      <c r="DD318" s="267">
        <f t="shared" si="1149"/>
        <v>0.17792238711213404</v>
      </c>
      <c r="DE318" s="267">
        <f t="shared" si="1149"/>
        <v>0.20833279983610975</v>
      </c>
      <c r="DF318" s="267">
        <f t="shared" si="1149"/>
        <v>0.23294220446885539</v>
      </c>
      <c r="DG318" s="1037">
        <f t="shared" si="1149"/>
        <v>0.23294220446885539</v>
      </c>
      <c r="DH318" s="267">
        <f t="shared" si="1149"/>
        <v>0.21644914756025857</v>
      </c>
      <c r="DI318" s="267">
        <f t="shared" si="1149"/>
        <v>0.20871791416829488</v>
      </c>
      <c r="DJ318" s="267">
        <f t="shared" si="1149"/>
        <v>0.20900267028355879</v>
      </c>
      <c r="DK318" s="267">
        <f t="shared" si="1149"/>
        <v>0.20378451164815581</v>
      </c>
      <c r="DL318" s="1037">
        <f t="shared" si="1149"/>
        <v>0.20378451164815581</v>
      </c>
      <c r="DM318" s="267">
        <f t="shared" si="1149"/>
        <v>0.18934070501358025</v>
      </c>
      <c r="DN318" s="267">
        <f t="shared" si="1149"/>
        <v>0.18441930029912856</v>
      </c>
      <c r="DO318" s="267">
        <f t="shared" si="1149"/>
        <v>0.1579809984574394</v>
      </c>
      <c r="DP318" s="267">
        <f t="shared" si="1149"/>
        <v>0.13794901555101391</v>
      </c>
      <c r="DQ318" s="1037">
        <f t="shared" si="1149"/>
        <v>0.13794901555101391</v>
      </c>
      <c r="DR318" s="267">
        <f t="shared" si="1149"/>
        <v>0.13772674078408431</v>
      </c>
      <c r="DS318" s="267">
        <f t="shared" si="1149"/>
        <v>0.12986870382280502</v>
      </c>
      <c r="DT318" s="267">
        <f t="shared" si="1149"/>
        <v>0.13553485062934745</v>
      </c>
      <c r="DU318" s="267">
        <f t="shared" si="1149"/>
        <v>0.15668029061130362</v>
      </c>
      <c r="DV318" s="1037">
        <f t="shared" ref="DV318:EN318" si="1150">+DV317/DQ317-1</f>
        <v>0.15668029061130362</v>
      </c>
      <c r="DW318" s="267">
        <f t="shared" si="1150"/>
        <v>0.17079895710561099</v>
      </c>
      <c r="DX318" s="267">
        <f t="shared" si="1150"/>
        <v>0.20796079302493475</v>
      </c>
      <c r="DY318" s="267">
        <f t="shared" si="1150"/>
        <v>0.24496094062441687</v>
      </c>
      <c r="DZ318" s="267">
        <f t="shared" si="1150"/>
        <v>0.21555271565495215</v>
      </c>
      <c r="EA318" s="1037">
        <f t="shared" si="1150"/>
        <v>0.21555271565495215</v>
      </c>
      <c r="EB318" s="267">
        <f t="shared" si="1150"/>
        <v>0.16353885763791443</v>
      </c>
      <c r="EC318" s="267">
        <f t="shared" si="1150"/>
        <v>4.4732033054811771E-2</v>
      </c>
      <c r="ED318" s="267">
        <f t="shared" si="1150"/>
        <v>-2.3546544311726647E-2</v>
      </c>
      <c r="EE318" s="267">
        <f t="shared" si="1150"/>
        <v>-4.0644679710251541E-2</v>
      </c>
      <c r="EF318" s="1037">
        <f t="shared" ref="EF318:EK318" si="1151">+EF317/EA317-1</f>
        <v>-4.0644679710251541E-2</v>
      </c>
      <c r="EG318" s="267">
        <f t="shared" si="1150"/>
        <v>-5.1470549679882072E-2</v>
      </c>
      <c r="EH318" s="267">
        <f t="shared" si="1150"/>
        <v>-1.2189353018185023E-2</v>
      </c>
      <c r="EI318" s="267">
        <f t="shared" si="1150"/>
        <v>-6.0971263453978297E-3</v>
      </c>
      <c r="EJ318" s="267">
        <f t="shared" si="1150"/>
        <v>4.4985808374702341E-3</v>
      </c>
      <c r="EK318" s="1037">
        <f t="shared" si="1151"/>
        <v>4.4985808374702341E-3</v>
      </c>
      <c r="EL318" s="267">
        <f t="shared" si="1150"/>
        <v>2.6667403742502538E-2</v>
      </c>
      <c r="EM318" s="267">
        <f t="shared" si="1150"/>
        <v>4.1880589368644916E-2</v>
      </c>
      <c r="EN318" s="267">
        <f t="shared" si="1150"/>
        <v>4.9087268093275682E-2</v>
      </c>
      <c r="EO318" s="267">
        <f t="shared" ref="EO318:EP318" si="1152">+EO317/EJ317-1</f>
        <v>4.551529268013299E-2</v>
      </c>
      <c r="EP318" s="1037">
        <f t="shared" si="1152"/>
        <v>4.551529268013299E-2</v>
      </c>
      <c r="EQ318" s="267">
        <f t="shared" ref="EQ318" si="1153">+EQ317/EL317-1</f>
        <v>4.1180493110559491E-2</v>
      </c>
      <c r="ER318" s="267">
        <f t="shared" ref="ER318" si="1154">+ER317/EM317-1</f>
        <v>4.4168185437967411E-2</v>
      </c>
      <c r="ES318" s="267">
        <f t="shared" ref="ES318" si="1155">+ES317/EN317-1</f>
        <v>4.3119994531122696E-2</v>
      </c>
      <c r="ET318" s="267">
        <f t="shared" ref="ET318:EU318" si="1156">+ET317/EO317-1</f>
        <v>4.2782534291244678E-2</v>
      </c>
      <c r="EU318" s="1037">
        <f t="shared" si="1156"/>
        <v>4.2782534291244678E-2</v>
      </c>
      <c r="EV318" s="4787">
        <v>3.5000000000000003E-2</v>
      </c>
      <c r="EW318" s="4787">
        <v>0.03</v>
      </c>
      <c r="EX318" s="4787">
        <v>2.7E-2</v>
      </c>
      <c r="EY318" s="4787">
        <v>2.5000000000000001E-2</v>
      </c>
      <c r="EZ318" s="275"/>
      <c r="FA318" s="1102"/>
      <c r="FB318" s="1102"/>
    </row>
    <row r="319" spans="1:161" s="216" customFormat="1" ht="11.25" customHeight="1">
      <c r="A319" s="5363" t="s">
        <v>46</v>
      </c>
      <c r="F319" s="5580"/>
      <c r="K319" s="1507"/>
      <c r="P319" s="1036"/>
      <c r="Q319" s="962" t="s">
        <v>116</v>
      </c>
      <c r="R319" s="183">
        <f>+R317/Q317-1</f>
        <v>0.33628318584070804</v>
      </c>
      <c r="S319" s="183">
        <f>+S317/R317-1</f>
        <v>0.22516556291390732</v>
      </c>
      <c r="T319" s="183">
        <f>+T317/S317-1</f>
        <v>0.13873873873873865</v>
      </c>
      <c r="U319" s="1036"/>
      <c r="V319" s="1057">
        <f>+V317/T317-1</f>
        <v>0.40664556962025311</v>
      </c>
      <c r="W319" s="183">
        <f>+W317/V317-1</f>
        <v>0.29808773903262087</v>
      </c>
      <c r="X319" s="183">
        <f>+X317/W317-1</f>
        <v>0.21837088388214898</v>
      </c>
      <c r="Y319" s="183">
        <f>+Y317/X317-1</f>
        <v>0.15789473684210531</v>
      </c>
      <c r="Z319" s="1036"/>
      <c r="AA319" s="1057">
        <f>+AA317/Y317-1</f>
        <v>0.17137592137592139</v>
      </c>
      <c r="AB319" s="183">
        <f>+AB317/AA317-1</f>
        <v>0.20188778185631873</v>
      </c>
      <c r="AC319" s="183">
        <f>+AC317/AB317-1</f>
        <v>0.16404886561954624</v>
      </c>
      <c r="AD319" s="183">
        <f>+AD317/AC317-1</f>
        <v>0.13230884557721145</v>
      </c>
      <c r="AE319" s="1036"/>
      <c r="AF319" s="1057">
        <f>+AF317/AD317-1</f>
        <v>0.152598477325389</v>
      </c>
      <c r="AG319" s="183">
        <f>+AG317/AF317-1</f>
        <v>0.20132107983917291</v>
      </c>
      <c r="AH319" s="183">
        <f>+AH317/AG317-1</f>
        <v>0.19268467606980644</v>
      </c>
      <c r="AI319" s="183">
        <f>+AI317/AH317-1</f>
        <v>0.1385047103627981</v>
      </c>
      <c r="AJ319" s="1036"/>
      <c r="AK319" s="1057">
        <f>+AK317/AI317-1</f>
        <v>0.19542253521126751</v>
      </c>
      <c r="AL319" s="183">
        <f>+AL317/AK317-1</f>
        <v>0.16966126656848313</v>
      </c>
      <c r="AM319" s="183">
        <f>+AM317/AL317-1</f>
        <v>0.18081087887182079</v>
      </c>
      <c r="AN319" s="183">
        <f>+AN317/AM317-1</f>
        <v>0.13819577735124766</v>
      </c>
      <c r="AO319" s="1036"/>
      <c r="AP319" s="1057">
        <f>+AP317/AN317-1</f>
        <v>0.14652426456810952</v>
      </c>
      <c r="AQ319" s="183">
        <f>+AQ317/AP317-1</f>
        <v>0.12649125674129769</v>
      </c>
      <c r="AR319" s="183">
        <f>+AR317/AQ317-1</f>
        <v>0.1545045698534746</v>
      </c>
      <c r="AS319" s="183">
        <f>+AS317/AR317-1</f>
        <v>5.5855742648906803E-2</v>
      </c>
      <c r="AT319" s="1036"/>
      <c r="AU319" s="1057">
        <f>+AU317/AT317-1</f>
        <v>0.13989883963106209</v>
      </c>
      <c r="AV319" s="183">
        <f>+AV317/AU317-1</f>
        <v>2.3386928377531868E-2</v>
      </c>
      <c r="AW319" s="183">
        <f>+AW317/AV317-1</f>
        <v>2.6474188941032484E-2</v>
      </c>
      <c r="AX319" s="183">
        <f>+AX317/AW317-1</f>
        <v>4.9197435770014231E-3</v>
      </c>
      <c r="AY319" s="1036"/>
      <c r="AZ319" s="1057">
        <f>+AZ317/AY317-1</f>
        <v>-2.8681633864108269E-3</v>
      </c>
      <c r="BA319" s="183">
        <f>+BA317/AZ317-1</f>
        <v>-1.8746280499900791E-2</v>
      </c>
      <c r="BB319" s="183">
        <f>+BB317/BA317-1</f>
        <v>-6.1154351561710785E-3</v>
      </c>
      <c r="BC319" s="183">
        <f>+BC317/BB317-1</f>
        <v>8.6448004068140349E-3</v>
      </c>
      <c r="BD319" s="1036"/>
      <c r="BE319" s="1057">
        <f>+BE317/BC317-1</f>
        <v>3.9626922107385942E-2</v>
      </c>
      <c r="BF319" s="183">
        <f>+BF317/BE317-1</f>
        <v>5.7417196062266695E-2</v>
      </c>
      <c r="BG319" s="183">
        <f>+BG317/BF317-1</f>
        <v>6.9983948635633952E-2</v>
      </c>
      <c r="BH319" s="183">
        <f>+BH317/BG317-1</f>
        <v>4.581886760104581E-2</v>
      </c>
      <c r="BI319" s="1036"/>
      <c r="BJ319" s="1057">
        <f>+BJ317/BH317-1</f>
        <v>7.8524590163934427E-2</v>
      </c>
      <c r="BK319" s="183">
        <f>+BK317/BJ317-1</f>
        <v>9.3175254597963164E-2</v>
      </c>
      <c r="BL319" s="183">
        <f>+BL317/BK317-1</f>
        <v>8.9856785317018906E-2</v>
      </c>
      <c r="BM319" s="183">
        <f>+BM317/BL317-1</f>
        <v>3.5530890185947017E-2</v>
      </c>
      <c r="BN319" s="1036"/>
      <c r="BO319" s="272"/>
      <c r="BP319" s="272"/>
      <c r="BQ319" s="272"/>
      <c r="BR319" s="272"/>
      <c r="BS319" s="1946"/>
      <c r="BT319" s="183">
        <f>+BT317/BM317-1</f>
        <v>1.8788308128253384E-2</v>
      </c>
      <c r="BU319" s="183">
        <f>+BU317/BT317-1</f>
        <v>3.7306889983976799E-2</v>
      </c>
      <c r="BV319" s="183">
        <f>+BV317/BU317-1</f>
        <v>5.2665325988749956E-2</v>
      </c>
      <c r="BW319" s="267">
        <f>+BW317/BV317-1</f>
        <v>3.9481698875906801E-2</v>
      </c>
      <c r="BX319" s="1036"/>
      <c r="BY319" s="272"/>
      <c r="BZ319" s="272"/>
      <c r="CA319" s="272"/>
      <c r="CB319" s="272"/>
      <c r="CC319" s="1946"/>
      <c r="CD319" s="267">
        <f>+CD317/BX317-1</f>
        <v>3.1829320264223249E-2</v>
      </c>
      <c r="CE319" s="183">
        <f>+CE317/CD317-1</f>
        <v>3.7146028550040011E-2</v>
      </c>
      <c r="CF319" s="267">
        <f>+CF317/CE317-1</f>
        <v>4.9380257852556175E-2</v>
      </c>
      <c r="CG319" s="267">
        <f>+CG317/CF317-1</f>
        <v>4.032066790000477E-2</v>
      </c>
      <c r="CH319" s="1036"/>
      <c r="CI319" s="267">
        <f>+CI317/CH317-1</f>
        <v>5.2619579590533982E-2</v>
      </c>
      <c r="CJ319" s="183">
        <f>+CJ317/CI317-1</f>
        <v>5.2285033571583206E-2</v>
      </c>
      <c r="CK319" s="267">
        <f>+CK317/CJ317-1</f>
        <v>6.1337065700642235E-2</v>
      </c>
      <c r="CL319" s="267">
        <f>+CL317/CK317-1</f>
        <v>3.9484911954076551E-2</v>
      </c>
      <c r="CM319" s="1036"/>
      <c r="CN319" s="267">
        <f>+CN317/CM317-1</f>
        <v>3.3582089552238736E-2</v>
      </c>
      <c r="CO319" s="183">
        <f>+CO317/CN317-1</f>
        <v>3.1552346570397072E-2</v>
      </c>
      <c r="CP319" s="267">
        <f>+CP317/CO317-1</f>
        <v>4.9485546300833017E-2</v>
      </c>
      <c r="CQ319" s="267">
        <f>+CQ317/CP317-1</f>
        <v>3.0645591569961272E-2</v>
      </c>
      <c r="CR319" s="1036"/>
      <c r="CS319" s="267">
        <f>+CS317/CR317-1</f>
        <v>3.7224576956676581E-2</v>
      </c>
      <c r="CT319" s="183">
        <f>+CT317/CS317-1</f>
        <v>3.8368556500038897E-2</v>
      </c>
      <c r="CU319" s="183">
        <f>+CU317/CT317-1</f>
        <v>5.0739767179872386E-2</v>
      </c>
      <c r="CV319" s="267">
        <f>+CV317/CU317-1</f>
        <v>3.0020156390719421E-2</v>
      </c>
      <c r="CW319" s="1036"/>
      <c r="CX319" s="267">
        <f>+CX317/CW317-1</f>
        <v>2.6910746256228135E-2</v>
      </c>
      <c r="CY319" s="267">
        <f>+CY317/CX317-1</f>
        <v>2.1813168991242193E-2</v>
      </c>
      <c r="CZ319" s="267">
        <f>+CZ317/CY317-1</f>
        <v>3.30000264529271E-2</v>
      </c>
      <c r="DA319" s="267">
        <f>+DA317/CZ317-1</f>
        <v>2.5723102136976372E-2</v>
      </c>
      <c r="DB319" s="1036"/>
      <c r="DC319" s="267">
        <f>+DC317/DB317-1</f>
        <v>6.1665210335788201E-2</v>
      </c>
      <c r="DD319" s="267">
        <f>+DD317/DC317-1</f>
        <v>4.7125220458553718E-2</v>
      </c>
      <c r="DE319" s="267">
        <f>+DE317/DD317-1</f>
        <v>5.9668979765995278E-2</v>
      </c>
      <c r="DF319" s="267">
        <f>+DF317/DE317-1</f>
        <v>4.6613402280337279E-2</v>
      </c>
      <c r="DG319" s="1036"/>
      <c r="DH319" s="267">
        <f>+DH317/DG317-1</f>
        <v>4.746332425509503E-2</v>
      </c>
      <c r="DI319" s="267">
        <f>+DI317/DH317-1</f>
        <v>4.0470137929034644E-2</v>
      </c>
      <c r="DJ319" s="267">
        <f>+DJ317/DI317-1</f>
        <v>5.9918622150381795E-2</v>
      </c>
      <c r="DK319" s="267">
        <f>+DK317/DJ317-1</f>
        <v>4.2096129575094565E-2</v>
      </c>
      <c r="DL319" s="1036"/>
      <c r="DM319" s="267">
        <f>+DM317/DL317-1</f>
        <v>3.4895163121640982E-2</v>
      </c>
      <c r="DN319" s="267">
        <f>+DN317/DM317-1</f>
        <v>3.6164748715948214E-2</v>
      </c>
      <c r="DO319" s="267">
        <f>+DO317/DN317-1</f>
        <v>3.625939230419295E-2</v>
      </c>
      <c r="DP319" s="267">
        <f>+DP317/DO317-1</f>
        <v>2.4068845982092135E-2</v>
      </c>
      <c r="DQ319" s="1036"/>
      <c r="DR319" s="267">
        <f>+DR317/DQ317-1</f>
        <v>3.4693017789964697E-2</v>
      </c>
      <c r="DS319" s="267">
        <f>+DS317/DR317-1</f>
        <v>2.9008178863530798E-2</v>
      </c>
      <c r="DT319" s="267">
        <f>+DT317/DS317-1</f>
        <v>4.1456100405397933E-2</v>
      </c>
      <c r="DU319" s="267">
        <f>+DU317/DT317-1</f>
        <v>4.313861412536335E-2</v>
      </c>
      <c r="DV319" s="1036"/>
      <c r="DW319" s="267">
        <f>+DW317/DV317-1</f>
        <v>4.732268370607029E-2</v>
      </c>
      <c r="DX319" s="267">
        <f>+DX317/DW317-1</f>
        <v>6.1669493490171146E-2</v>
      </c>
      <c r="DY319" s="267">
        <f>+DY317/DX317-1</f>
        <v>7.335616674520451E-2</v>
      </c>
      <c r="DZ319" s="267">
        <f>+DZ317/DY317-1</f>
        <v>1.8497796861531635E-2</v>
      </c>
      <c r="EA319" s="1036"/>
      <c r="EB319" s="267">
        <f>+EB317/EA317-1</f>
        <v>2.5074382076810675E-3</v>
      </c>
      <c r="EC319" s="267">
        <f>+EC317/EB317-1</f>
        <v>-4.6735636643927214E-2</v>
      </c>
      <c r="ED319" s="267">
        <f>+ED317/EC317-1</f>
        <v>3.2068559610116676E-3</v>
      </c>
      <c r="EE319" s="267">
        <f>+EE317/ED317-1</f>
        <v>6.63446301972348E-4</v>
      </c>
      <c r="EF319" s="1036"/>
      <c r="EG319" s="267">
        <f>+EG317/EF317-1</f>
        <v>-8.8053829547073414E-3</v>
      </c>
      <c r="EH319" s="267">
        <f>+EH317/EG317-1</f>
        <v>-7.2583542939274048E-3</v>
      </c>
      <c r="EI319" s="267">
        <f>+EI317/EH317-1</f>
        <v>9.3940372643137593E-3</v>
      </c>
      <c r="EJ319" s="267">
        <f>+EJ317/EI317-1</f>
        <v>1.1331225968036485E-2</v>
      </c>
      <c r="EK319" s="1036"/>
      <c r="EL319" s="267">
        <f>+EL317/EK317-1</f>
        <v>1.3069827572099513E-2</v>
      </c>
      <c r="EM319" s="267">
        <f>+EM317/EL317-1</f>
        <v>7.4521185231450904E-3</v>
      </c>
      <c r="EN319" s="267">
        <f>+EN317/EM317-1</f>
        <v>1.637600679839446E-2</v>
      </c>
      <c r="EO319" s="267">
        <f>+EO317/EN317-1</f>
        <v>7.8878038776444281E-3</v>
      </c>
      <c r="EP319" s="1036"/>
      <c r="EQ319" s="267">
        <f t="shared" ref="EQ319:ET319" si="1157">+EQ317/EP317-1</f>
        <v>8.8695497920874278E-3</v>
      </c>
      <c r="ER319" s="267">
        <f t="shared" si="1157"/>
        <v>1.0343026472976247E-2</v>
      </c>
      <c r="ES319" s="267">
        <f t="shared" si="1157"/>
        <v>1.5355715141246895E-2</v>
      </c>
      <c r="ET319" s="267">
        <f t="shared" si="1157"/>
        <v>7.5617416203299648E-3</v>
      </c>
      <c r="EU319" s="1036"/>
      <c r="EV319" s="1036"/>
      <c r="EW319" s="1036"/>
      <c r="EX319" s="1036"/>
      <c r="EY319" s="1036"/>
      <c r="EZ319" s="275"/>
      <c r="FA319" s="1102"/>
      <c r="FB319" s="1102"/>
    </row>
    <row r="320" spans="1:161" s="272" customFormat="1" ht="11.25" customHeight="1">
      <c r="A320" s="5364" t="s">
        <v>260</v>
      </c>
      <c r="B320" s="5359"/>
      <c r="C320" s="4463"/>
      <c r="D320" s="4463"/>
      <c r="E320" s="4463"/>
      <c r="F320" s="5581"/>
      <c r="G320" s="5359"/>
      <c r="H320" s="4463"/>
      <c r="I320" s="4463"/>
      <c r="J320" s="4463"/>
      <c r="K320" s="4464"/>
      <c r="L320" s="4463"/>
      <c r="M320" s="4463"/>
      <c r="N320" s="4463"/>
      <c r="O320" s="4463"/>
      <c r="P320" s="4465"/>
      <c r="Q320" s="4466"/>
      <c r="R320" s="4467">
        <f>R317-Q317</f>
        <v>114</v>
      </c>
      <c r="S320" s="4467">
        <f>S317-R317</f>
        <v>102</v>
      </c>
      <c r="T320" s="4467">
        <f>T317-S317</f>
        <v>77</v>
      </c>
      <c r="U320" s="4465">
        <f>U317-P317</f>
        <v>348</v>
      </c>
      <c r="V320" s="4468">
        <f>V317-T317</f>
        <v>257</v>
      </c>
      <c r="W320" s="4467">
        <f>W317-V317</f>
        <v>265</v>
      </c>
      <c r="X320" s="4467">
        <f>X317-W317</f>
        <v>252</v>
      </c>
      <c r="Y320" s="4467">
        <f>Y317-X317</f>
        <v>222</v>
      </c>
      <c r="Z320" s="4465">
        <f>Z317-U317</f>
        <v>996</v>
      </c>
      <c r="AA320" s="4468">
        <f>AA317-Y317</f>
        <v>279</v>
      </c>
      <c r="AB320" s="4467">
        <f>AB317-AA317</f>
        <v>385</v>
      </c>
      <c r="AC320" s="4467">
        <f>AC317-AB317</f>
        <v>376</v>
      </c>
      <c r="AD320" s="4467">
        <f>AD317-AC317</f>
        <v>353</v>
      </c>
      <c r="AE320" s="4465">
        <f>AE317-Z317</f>
        <v>1393</v>
      </c>
      <c r="AF320" s="4468">
        <f>AF317-AD317</f>
        <v>461</v>
      </c>
      <c r="AG320" s="4467">
        <f>AG317-AF317</f>
        <v>701</v>
      </c>
      <c r="AH320" s="4467">
        <f>AH317-AG317</f>
        <v>806</v>
      </c>
      <c r="AI320" s="4467">
        <f>AI317-AH317</f>
        <v>691</v>
      </c>
      <c r="AJ320" s="4465">
        <f>AJ317-AE317</f>
        <v>2659</v>
      </c>
      <c r="AK320" s="4468">
        <f>AK317-AI317</f>
        <v>1110</v>
      </c>
      <c r="AL320" s="4467">
        <f>AL317-AK317</f>
        <v>1152</v>
      </c>
      <c r="AM320" s="4467">
        <f>AM317-AL317</f>
        <v>1436</v>
      </c>
      <c r="AN320" s="4467">
        <f>AN317-AM317</f>
        <v>1296</v>
      </c>
      <c r="AO320" s="4465">
        <f>AO317-AJ317</f>
        <v>4994</v>
      </c>
      <c r="AP320" s="4468">
        <f>AP317-AN317</f>
        <v>1564</v>
      </c>
      <c r="AQ320" s="4467">
        <f>AQ317-AP317</f>
        <v>1548</v>
      </c>
      <c r="AR320" s="4467">
        <f>AR317-AQ317</f>
        <v>2130</v>
      </c>
      <c r="AS320" s="4467">
        <f>AS317-AR317</f>
        <v>889</v>
      </c>
      <c r="AT320" s="4465">
        <f>AT317-AO317</f>
        <v>6131</v>
      </c>
      <c r="AU320" s="4468">
        <f>AU317-AS317</f>
        <v>2351</v>
      </c>
      <c r="AV320" s="4467">
        <f>AV317-AU317</f>
        <v>448</v>
      </c>
      <c r="AW320" s="4467">
        <f>AW317-AV317</f>
        <v>519</v>
      </c>
      <c r="AX320" s="4467">
        <f>AX317-AW317</f>
        <v>99</v>
      </c>
      <c r="AY320" s="4465">
        <f>AY317-AT317</f>
        <v>3417</v>
      </c>
      <c r="AZ320" s="4468">
        <f>AZ317-AX317</f>
        <v>-58</v>
      </c>
      <c r="BA320" s="4467">
        <f>BA317-AZ317</f>
        <v>-378</v>
      </c>
      <c r="BB320" s="4467">
        <f>BB317-BA317</f>
        <v>-121</v>
      </c>
      <c r="BC320" s="4467">
        <f>BC317-BB317</f>
        <v>170</v>
      </c>
      <c r="BD320" s="4465">
        <f>BD317-AY317</f>
        <v>-387</v>
      </c>
      <c r="BE320" s="4468">
        <f>BE317-BC317</f>
        <v>786</v>
      </c>
      <c r="BF320" s="4467">
        <f>BF317-BE317</f>
        <v>1184</v>
      </c>
      <c r="BG320" s="4467">
        <f>BG317-BF317</f>
        <v>1526</v>
      </c>
      <c r="BH320" s="4467">
        <f>BH317-BG317</f>
        <v>1069</v>
      </c>
      <c r="BI320" s="4465">
        <f>BI317-BD317</f>
        <v>4565</v>
      </c>
      <c r="BJ320" s="4468">
        <f>BJ317-BH317</f>
        <v>1916</v>
      </c>
      <c r="BK320" s="4467">
        <f>BK317-BJ317</f>
        <v>2452</v>
      </c>
      <c r="BL320" s="4467">
        <f>BL317-BK317</f>
        <v>2585</v>
      </c>
      <c r="BM320" s="4467">
        <f>BM317-BL317</f>
        <v>1114</v>
      </c>
      <c r="BN320" s="4465">
        <f>BN317-BI317</f>
        <v>8067</v>
      </c>
      <c r="BO320" s="4469"/>
      <c r="BP320" s="4469"/>
      <c r="BQ320" s="4469"/>
      <c r="BR320" s="4469"/>
      <c r="BS320" s="4470"/>
      <c r="BT320" s="4467">
        <f>BT317-BM317</f>
        <v>610</v>
      </c>
      <c r="BU320" s="4471">
        <f>BU317-BT317</f>
        <v>1234</v>
      </c>
      <c r="BV320" s="4471">
        <f>BV317-BU317</f>
        <v>1807</v>
      </c>
      <c r="BW320" s="4471">
        <f>BW317-BV317</f>
        <v>1426</v>
      </c>
      <c r="BX320" s="4470">
        <f>BX317-BN317</f>
        <v>5077</v>
      </c>
      <c r="BY320" s="4469"/>
      <c r="BZ320" s="4469"/>
      <c r="CA320" s="4469"/>
      <c r="CB320" s="4469"/>
      <c r="CC320" s="4470"/>
      <c r="CD320" s="4468">
        <f>CD317-BW317</f>
        <v>1195</v>
      </c>
      <c r="CE320" s="4471">
        <f>CE317-CD317</f>
        <v>1439</v>
      </c>
      <c r="CF320" s="4471">
        <f>CF317-CE317</f>
        <v>1984</v>
      </c>
      <c r="CG320" s="4471">
        <f>CG317-CF317</f>
        <v>1700</v>
      </c>
      <c r="CH320" s="4470">
        <f>CH317-BX317</f>
        <v>6318</v>
      </c>
      <c r="CI320" s="4471">
        <f>CI317-CH317</f>
        <v>2308</v>
      </c>
      <c r="CJ320" s="4471">
        <f>CJ317-CI317</f>
        <v>2414</v>
      </c>
      <c r="CK320" s="4471">
        <f>CK317-CJ317</f>
        <v>2980</v>
      </c>
      <c r="CL320" s="4471">
        <f>CL317-CK317</f>
        <v>2036</v>
      </c>
      <c r="CM320" s="4472">
        <f>CM317-CH317</f>
        <v>9738</v>
      </c>
      <c r="CN320" s="4471">
        <f>CN317-CL317</f>
        <v>1800</v>
      </c>
      <c r="CO320" s="4471">
        <f>CO317-CN317</f>
        <v>1748</v>
      </c>
      <c r="CP320" s="4471">
        <f>CP317-CO317</f>
        <v>2828</v>
      </c>
      <c r="CQ320" s="4471">
        <f>CQ317-CP317</f>
        <v>1838</v>
      </c>
      <c r="CR320" s="4472">
        <f>CR317-CM317</f>
        <v>8214</v>
      </c>
      <c r="CS320" s="4471">
        <f>CS317-CQ317</f>
        <v>2301</v>
      </c>
      <c r="CT320" s="4471">
        <f>CT317-CS317</f>
        <v>2460</v>
      </c>
      <c r="CU320" s="4471">
        <f>CU317-CT317</f>
        <v>3378</v>
      </c>
      <c r="CV320" s="4471">
        <f>CV317-CU317</f>
        <v>2100</v>
      </c>
      <c r="CW320" s="4472">
        <f>CW317-CR317</f>
        <v>10239</v>
      </c>
      <c r="CX320" s="4471">
        <f>CX317-CV317</f>
        <v>1939</v>
      </c>
      <c r="CY320" s="4471">
        <f>CY317-CX317</f>
        <v>1614</v>
      </c>
      <c r="CZ320" s="4471">
        <f>CZ317-CY317</f>
        <v>2495</v>
      </c>
      <c r="DA320" s="4471">
        <f>DA317-CZ317</f>
        <v>2009</v>
      </c>
      <c r="DB320" s="4472">
        <f>DB317-CW317</f>
        <v>8057</v>
      </c>
      <c r="DC320" s="4471">
        <f>DC317-DA317</f>
        <v>4940</v>
      </c>
      <c r="DD320" s="4471">
        <f>DD317-DC317</f>
        <v>4008</v>
      </c>
      <c r="DE320" s="4471">
        <f>DE317-DD317</f>
        <v>5314</v>
      </c>
      <c r="DF320" s="4471">
        <f>DF317-DE317</f>
        <v>4399</v>
      </c>
      <c r="DG320" s="4472">
        <f>DG317-DB317</f>
        <v>18661</v>
      </c>
      <c r="DH320" s="4471">
        <f>DH317-DF317</f>
        <v>4688</v>
      </c>
      <c r="DI320" s="4471">
        <f>DI317-DH317</f>
        <v>4187</v>
      </c>
      <c r="DJ320" s="4471">
        <f>DJ317-DI317</f>
        <v>6450</v>
      </c>
      <c r="DK320" s="4471">
        <f>DK317-DJ317</f>
        <v>4803</v>
      </c>
      <c r="DL320" s="4472">
        <f>DL317-DG317</f>
        <v>20128</v>
      </c>
      <c r="DM320" s="4471">
        <f>DM317-DK317</f>
        <v>4149</v>
      </c>
      <c r="DN320" s="4471">
        <f>DN317-DM317</f>
        <v>4450</v>
      </c>
      <c r="DO320" s="4471">
        <f>DO317-DN317</f>
        <v>4623</v>
      </c>
      <c r="DP320" s="4471">
        <f>DP317-DO317</f>
        <v>3180</v>
      </c>
      <c r="DQ320" s="4472">
        <f>DQ317-DL317</f>
        <v>16402</v>
      </c>
      <c r="DR320" s="4471">
        <f>DR317-DP317</f>
        <v>4694</v>
      </c>
      <c r="DS320" s="4471">
        <f>DS317-DR317</f>
        <v>4061</v>
      </c>
      <c r="DT320" s="4471">
        <f>DT317-DS317</f>
        <v>5972</v>
      </c>
      <c r="DU320" s="4471">
        <f>DU317-DT317</f>
        <v>6472</v>
      </c>
      <c r="DV320" s="4472">
        <f>DV317-DQ317</f>
        <v>21199</v>
      </c>
      <c r="DW320" s="4471">
        <f>DW317-DU317</f>
        <v>7406</v>
      </c>
      <c r="DX320" s="4471">
        <f>DX317-DW317</f>
        <v>10108</v>
      </c>
      <c r="DY320" s="4471">
        <f>DY317-DX317</f>
        <v>12765</v>
      </c>
      <c r="DZ320" s="4471">
        <f>DZ317-DY317</f>
        <v>3455</v>
      </c>
      <c r="EA320" s="4472">
        <f>EA317-DV317</f>
        <v>33734</v>
      </c>
      <c r="EB320" s="4471">
        <f>EB317-DZ317</f>
        <v>477</v>
      </c>
      <c r="EC320" s="4471">
        <f>EC317-EB317</f>
        <v>-8913</v>
      </c>
      <c r="ED320" s="4471">
        <f>ED317-EC317</f>
        <v>583</v>
      </c>
      <c r="EE320" s="4471">
        <f>EE317-ED317</f>
        <v>121</v>
      </c>
      <c r="EF320" s="4472">
        <f>EF317-EA317</f>
        <v>-7732</v>
      </c>
      <c r="EG320" s="4471">
        <f>EG317-EE317</f>
        <v>-1607</v>
      </c>
      <c r="EH320" s="4471">
        <f>EH317-EG317</f>
        <v>-1313</v>
      </c>
      <c r="EI320" s="4471">
        <f>EI317-EH317</f>
        <v>1687</v>
      </c>
      <c r="EJ320" s="4471">
        <f>EJ317-EI317</f>
        <v>2054</v>
      </c>
      <c r="EK320" s="4472">
        <f>EK317-EF317</f>
        <v>821</v>
      </c>
      <c r="EL320" s="4471">
        <f>EL317-EJ317</f>
        <v>2396</v>
      </c>
      <c r="EM320" s="4471">
        <f>EM317-EL317</f>
        <v>1384</v>
      </c>
      <c r="EN320" s="4471">
        <f>EN317-EM317</f>
        <v>3064</v>
      </c>
      <c r="EO320" s="4473">
        <v>1500</v>
      </c>
      <c r="EP320" s="4472">
        <f>EP317-EK317</f>
        <v>8344</v>
      </c>
      <c r="EQ320" s="4473">
        <v>1700</v>
      </c>
      <c r="ER320" s="4473">
        <v>2000</v>
      </c>
      <c r="ES320" s="4473">
        <v>3000</v>
      </c>
      <c r="ET320" s="4473">
        <v>1500</v>
      </c>
      <c r="EU320" s="4472">
        <f>EU317-EP317</f>
        <v>8200</v>
      </c>
      <c r="EV320" s="4472">
        <f>EV317-EU317</f>
        <v>6995.3449999999721</v>
      </c>
      <c r="EW320" s="4472">
        <f>EW317-EV317</f>
        <v>6205.870350000012</v>
      </c>
      <c r="EX320" s="4472">
        <f>EX317-EW317</f>
        <v>5752.8418144499883</v>
      </c>
      <c r="EY320" s="4472">
        <f>EY317-EX317</f>
        <v>5470.5264291112253</v>
      </c>
      <c r="EZ320" s="270"/>
      <c r="FA320" s="1319">
        <f>(EV320/EK320)^(1/3)-1</f>
        <v>1.0424683102581018</v>
      </c>
      <c r="FB320" s="1319">
        <f>(EX320/EK320)^(1/5)-1</f>
        <v>0.47607306379557079</v>
      </c>
    </row>
    <row r="321" spans="1:158" s="216" customFormat="1" ht="11.25" hidden="1" customHeight="1" outlineLevel="1">
      <c r="A321" s="5363" t="s">
        <v>45</v>
      </c>
      <c r="F321" s="5580"/>
      <c r="K321" s="1507"/>
      <c r="P321" s="1037"/>
      <c r="Q321" s="962" t="s">
        <v>116</v>
      </c>
      <c r="R321" s="169" t="s">
        <v>116</v>
      </c>
      <c r="S321" s="169" t="s">
        <v>116</v>
      </c>
      <c r="T321" s="184" t="s">
        <v>116</v>
      </c>
      <c r="U321" s="1037"/>
      <c r="V321" s="1057" t="e">
        <f t="shared" ref="V321:BA321" si="1158">+V320/Q320-1</f>
        <v>#DIV/0!</v>
      </c>
      <c r="W321" s="183">
        <f t="shared" si="1158"/>
        <v>1.3245614035087718</v>
      </c>
      <c r="X321" s="183">
        <f t="shared" si="1158"/>
        <v>1.4705882352941178</v>
      </c>
      <c r="Y321" s="183">
        <f t="shared" si="1158"/>
        <v>1.883116883116883</v>
      </c>
      <c r="Z321" s="1037">
        <f t="shared" si="1158"/>
        <v>1.8620689655172415</v>
      </c>
      <c r="AA321" s="1057">
        <f t="shared" si="1158"/>
        <v>8.5603112840466844E-2</v>
      </c>
      <c r="AB321" s="183">
        <f t="shared" si="1158"/>
        <v>0.45283018867924518</v>
      </c>
      <c r="AC321" s="183">
        <f t="shared" si="1158"/>
        <v>0.49206349206349209</v>
      </c>
      <c r="AD321" s="183">
        <f t="shared" si="1158"/>
        <v>0.59009009009009006</v>
      </c>
      <c r="AE321" s="1037">
        <f t="shared" si="1158"/>
        <v>0.39859437751004023</v>
      </c>
      <c r="AF321" s="1057">
        <f t="shared" si="1158"/>
        <v>0.65232974910394259</v>
      </c>
      <c r="AG321" s="183">
        <f t="shared" si="1158"/>
        <v>0.82077922077922083</v>
      </c>
      <c r="AH321" s="183">
        <f t="shared" si="1158"/>
        <v>1.1436170212765959</v>
      </c>
      <c r="AI321" s="183">
        <f t="shared" si="1158"/>
        <v>0.95750708215297453</v>
      </c>
      <c r="AJ321" s="1037">
        <f t="shared" si="1158"/>
        <v>0.90882986360373286</v>
      </c>
      <c r="AK321" s="1057">
        <f t="shared" si="1158"/>
        <v>1.4078091106290671</v>
      </c>
      <c r="AL321" s="183">
        <f t="shared" si="1158"/>
        <v>0.64336661911554915</v>
      </c>
      <c r="AM321" s="183">
        <f t="shared" si="1158"/>
        <v>0.78163771712158803</v>
      </c>
      <c r="AN321" s="183">
        <f t="shared" si="1158"/>
        <v>0.87554269175108534</v>
      </c>
      <c r="AO321" s="1037">
        <f t="shared" si="1158"/>
        <v>0.87814968033095142</v>
      </c>
      <c r="AP321" s="1057">
        <f t="shared" si="1158"/>
        <v>0.40900900900900905</v>
      </c>
      <c r="AQ321" s="183">
        <f t="shared" si="1158"/>
        <v>0.34375</v>
      </c>
      <c r="AR321" s="183">
        <f t="shared" si="1158"/>
        <v>0.48328690807799446</v>
      </c>
      <c r="AS321" s="183">
        <f t="shared" si="1158"/>
        <v>-0.31404320987654322</v>
      </c>
      <c r="AT321" s="1037">
        <f t="shared" si="1158"/>
        <v>0.22767320784941925</v>
      </c>
      <c r="AU321" s="1057">
        <f t="shared" si="1158"/>
        <v>0.50319693094629159</v>
      </c>
      <c r="AV321" s="183">
        <f t="shared" si="1158"/>
        <v>-0.71059431524547811</v>
      </c>
      <c r="AW321" s="183">
        <f t="shared" si="1158"/>
        <v>-0.75633802816901408</v>
      </c>
      <c r="AX321" s="183">
        <f t="shared" si="1158"/>
        <v>-0.88863892013498313</v>
      </c>
      <c r="AY321" s="1037">
        <f t="shared" si="1158"/>
        <v>-0.44266840645897898</v>
      </c>
      <c r="AZ321" s="1057">
        <f t="shared" si="1158"/>
        <v>-1.0246703530412591</v>
      </c>
      <c r="BA321" s="183">
        <f t="shared" si="1158"/>
        <v>-1.84375</v>
      </c>
      <c r="BB321" s="183">
        <f t="shared" ref="BB321:CU321" si="1159">+BB320/AW320-1</f>
        <v>-1.2331406551059731</v>
      </c>
      <c r="BC321" s="183">
        <f t="shared" si="1159"/>
        <v>0.71717171717171713</v>
      </c>
      <c r="BD321" s="1037">
        <f t="shared" si="1159"/>
        <v>-1.1132572431957857</v>
      </c>
      <c r="BE321" s="1057">
        <f t="shared" si="1159"/>
        <v>-14.551724137931034</v>
      </c>
      <c r="BF321" s="183">
        <f t="shared" si="1159"/>
        <v>-4.1322751322751321</v>
      </c>
      <c r="BG321" s="183">
        <f t="shared" si="1159"/>
        <v>-13.611570247933884</v>
      </c>
      <c r="BH321" s="183">
        <f t="shared" si="1159"/>
        <v>5.2882352941176469</v>
      </c>
      <c r="BI321" s="1037">
        <f t="shared" si="1159"/>
        <v>-12.795865633074936</v>
      </c>
      <c r="BJ321" s="1057">
        <f t="shared" si="1159"/>
        <v>1.4376590330788805</v>
      </c>
      <c r="BK321" s="183">
        <f t="shared" si="1159"/>
        <v>1.0709459459459461</v>
      </c>
      <c r="BL321" s="183">
        <f t="shared" si="1159"/>
        <v>0.69397116644823065</v>
      </c>
      <c r="BM321" s="183">
        <f t="shared" si="1159"/>
        <v>4.2095416276894282E-2</v>
      </c>
      <c r="BN321" s="1037">
        <f t="shared" si="1159"/>
        <v>0.76714129244249718</v>
      </c>
      <c r="BO321" s="267"/>
      <c r="BP321" s="267"/>
      <c r="BQ321" s="267"/>
      <c r="BR321" s="267"/>
      <c r="BS321" s="1947"/>
      <c r="BT321" s="183">
        <f>+BT320/BJ320-1</f>
        <v>-0.68162839248434237</v>
      </c>
      <c r="BU321" s="183">
        <f>+BU320/BK320-1</f>
        <v>-0.49673735725938006</v>
      </c>
      <c r="BV321" s="183">
        <f>+BV320/BL320-1</f>
        <v>-0.30096711798839459</v>
      </c>
      <c r="BW321" s="267">
        <f>+BW320/BM320-1</f>
        <v>0.28007181328545783</v>
      </c>
      <c r="BX321" s="1037">
        <f>+BX320/BN320-1</f>
        <v>-0.37064584108094711</v>
      </c>
      <c r="BY321" s="267"/>
      <c r="BZ321" s="267"/>
      <c r="CA321" s="267"/>
      <c r="CB321" s="267"/>
      <c r="CC321" s="1947"/>
      <c r="CD321" s="267">
        <f>+CD320/BT320-1</f>
        <v>0.95901639344262302</v>
      </c>
      <c r="CE321" s="267">
        <f>+CE320/BU320-1</f>
        <v>0.16612641815235007</v>
      </c>
      <c r="CF321" s="267">
        <f>+CF320/BV320-1</f>
        <v>9.7952407304925382E-2</v>
      </c>
      <c r="CG321" s="267">
        <f>+CG320/BW320-1</f>
        <v>0.19214586255259469</v>
      </c>
      <c r="CH321" s="1037">
        <f>+CH320/BX320-1</f>
        <v>0.2444356903683278</v>
      </c>
      <c r="CI321" s="267">
        <f t="shared" si="1159"/>
        <v>0.93138075313807533</v>
      </c>
      <c r="CJ321" s="267">
        <f t="shared" si="1159"/>
        <v>0.67755385684503122</v>
      </c>
      <c r="CK321" s="267">
        <f t="shared" si="1159"/>
        <v>0.50201612903225801</v>
      </c>
      <c r="CL321" s="267">
        <f t="shared" si="1159"/>
        <v>0.19764705882352951</v>
      </c>
      <c r="CM321" s="1037">
        <f t="shared" si="1159"/>
        <v>0.54131054131054124</v>
      </c>
      <c r="CN321" s="267">
        <f t="shared" si="1159"/>
        <v>-0.22010398613518201</v>
      </c>
      <c r="CO321" s="267">
        <f t="shared" si="1159"/>
        <v>-0.27589063794531898</v>
      </c>
      <c r="CP321" s="267">
        <f t="shared" si="1159"/>
        <v>-5.1006711409395944E-2</v>
      </c>
      <c r="CQ321" s="267">
        <f t="shared" si="1159"/>
        <v>-9.7249508840864474E-2</v>
      </c>
      <c r="CR321" s="1037">
        <f t="shared" ref="CR321:CX321" si="1160">+CR320/CM320-1</f>
        <v>-0.15650030807147253</v>
      </c>
      <c r="CS321" s="267">
        <f t="shared" si="1159"/>
        <v>0.27833333333333332</v>
      </c>
      <c r="CT321" s="267">
        <f t="shared" si="1159"/>
        <v>0.40732265446224258</v>
      </c>
      <c r="CU321" s="267">
        <f t="shared" si="1159"/>
        <v>0.19448373408769459</v>
      </c>
      <c r="CV321" s="267">
        <f t="shared" si="1160"/>
        <v>0.14254624591947773</v>
      </c>
      <c r="CW321" s="1037">
        <f t="shared" si="1160"/>
        <v>0.24653031409788162</v>
      </c>
      <c r="CX321" s="267">
        <f t="shared" si="1160"/>
        <v>-0.15732290308561492</v>
      </c>
      <c r="CY321" s="267">
        <f t="shared" ref="CY321:DU321" si="1161">+CY320/CT320-1</f>
        <v>-0.34390243902439022</v>
      </c>
      <c r="CZ321" s="267">
        <f t="shared" si="1161"/>
        <v>-0.26139727649496747</v>
      </c>
      <c r="DA321" s="267">
        <f t="shared" si="1161"/>
        <v>-4.3333333333333335E-2</v>
      </c>
      <c r="DB321" s="1037">
        <f t="shared" si="1161"/>
        <v>-0.21310674870592827</v>
      </c>
      <c r="DC321" s="267">
        <f t="shared" si="1161"/>
        <v>1.547705002578649</v>
      </c>
      <c r="DD321" s="267">
        <f t="shared" si="1161"/>
        <v>1.483271375464684</v>
      </c>
      <c r="DE321" s="267">
        <f t="shared" si="1161"/>
        <v>1.129859719438878</v>
      </c>
      <c r="DF321" s="267">
        <f t="shared" si="1161"/>
        <v>1.1896465903434543</v>
      </c>
      <c r="DG321" s="1037">
        <f t="shared" si="1161"/>
        <v>1.3161226262876999</v>
      </c>
      <c r="DH321" s="267">
        <f t="shared" si="1161"/>
        <v>-5.1012145748987825E-2</v>
      </c>
      <c r="DI321" s="267">
        <f t="shared" si="1161"/>
        <v>4.4660678642714613E-2</v>
      </c>
      <c r="DJ321" s="267">
        <f t="shared" si="1161"/>
        <v>0.21377493413624382</v>
      </c>
      <c r="DK321" s="267">
        <f t="shared" si="1161"/>
        <v>9.1839054330529635E-2</v>
      </c>
      <c r="DL321" s="1037">
        <f t="shared" si="1161"/>
        <v>7.8613150420663525E-2</v>
      </c>
      <c r="DM321" s="267">
        <f t="shared" si="1161"/>
        <v>-0.1149744027303754</v>
      </c>
      <c r="DN321" s="267">
        <f t="shared" si="1161"/>
        <v>6.2813470265106197E-2</v>
      </c>
      <c r="DO321" s="267">
        <f t="shared" si="1161"/>
        <v>-0.28325581395348842</v>
      </c>
      <c r="DP321" s="267">
        <f t="shared" si="1161"/>
        <v>-0.33791380387257963</v>
      </c>
      <c r="DQ321" s="1037">
        <f t="shared" si="1161"/>
        <v>-0.18511526232114472</v>
      </c>
      <c r="DR321" s="267">
        <f>+DR320/DM320-1</f>
        <v>0.13135695348276699</v>
      </c>
      <c r="DS321" s="267">
        <f t="shared" si="1161"/>
        <v>-8.7415730337078612E-2</v>
      </c>
      <c r="DT321" s="267">
        <f t="shared" si="1161"/>
        <v>0.29180186026389787</v>
      </c>
      <c r="DU321" s="267">
        <f t="shared" si="1161"/>
        <v>1.0352201257861635</v>
      </c>
      <c r="DV321" s="1037">
        <f t="shared" ref="DV321:EN321" si="1162">+DV320/DQ320-1</f>
        <v>0.2924643336178514</v>
      </c>
      <c r="DW321" s="267">
        <f t="shared" si="1162"/>
        <v>0.57775884107371112</v>
      </c>
      <c r="DX321" s="267">
        <f t="shared" si="1162"/>
        <v>1.4890421078552083</v>
      </c>
      <c r="DY321" s="267">
        <f t="shared" si="1162"/>
        <v>1.1374748827863361</v>
      </c>
      <c r="DZ321" s="267">
        <f t="shared" si="1162"/>
        <v>-0.46616192830655134</v>
      </c>
      <c r="EA321" s="1037">
        <f t="shared" si="1162"/>
        <v>0.59130147648473974</v>
      </c>
      <c r="EB321" s="267">
        <f t="shared" si="1162"/>
        <v>-0.93559276262489877</v>
      </c>
      <c r="EC321" s="267">
        <f t="shared" si="1162"/>
        <v>-1.8817768104471706</v>
      </c>
      <c r="ED321" s="267">
        <f t="shared" si="1162"/>
        <v>-0.95432824128476301</v>
      </c>
      <c r="EE321" s="267">
        <f t="shared" si="1162"/>
        <v>-0.96497829232995658</v>
      </c>
      <c r="EF321" s="1037">
        <f t="shared" ref="EF321:EK321" si="1163">+EF320/EA320-1</f>
        <v>-1.2292049564237861</v>
      </c>
      <c r="EG321" s="267">
        <f t="shared" si="1162"/>
        <v>-4.3689727463312371</v>
      </c>
      <c r="EH321" s="267">
        <f t="shared" si="1162"/>
        <v>-0.85268708627846967</v>
      </c>
      <c r="EI321" s="267">
        <f t="shared" si="1162"/>
        <v>1.8936535162950259</v>
      </c>
      <c r="EJ321" s="267">
        <f t="shared" si="1162"/>
        <v>15.975206611570247</v>
      </c>
      <c r="EK321" s="1037">
        <f t="shared" si="1163"/>
        <v>-1.1061821003621315</v>
      </c>
      <c r="EL321" s="267">
        <f t="shared" si="1162"/>
        <v>-2.4909769757311762</v>
      </c>
      <c r="EM321" s="267">
        <f t="shared" si="1162"/>
        <v>-2.0540746382330539</v>
      </c>
      <c r="EN321" s="267">
        <f t="shared" si="1162"/>
        <v>0.81624184943687017</v>
      </c>
      <c r="EO321" s="267">
        <f t="shared" ref="EO321:EP321" si="1164">+EO320/EJ320-1</f>
        <v>-0.26971762414800393</v>
      </c>
      <c r="EP321" s="1037">
        <f t="shared" si="1164"/>
        <v>9.1632155907429969</v>
      </c>
      <c r="EQ321" s="267">
        <f t="shared" ref="EQ321" si="1165">+EQ320/EL320-1</f>
        <v>-0.29048414023372282</v>
      </c>
      <c r="ER321" s="267">
        <f t="shared" ref="ER321" si="1166">+ER320/EM320-1</f>
        <v>0.44508670520231219</v>
      </c>
      <c r="ES321" s="267">
        <f t="shared" ref="ES321" si="1167">+ES320/EN320-1</f>
        <v>-2.0887728459530019E-2</v>
      </c>
      <c r="ET321" s="267">
        <f t="shared" ref="ET321:EU321" si="1168">+ET320/EO320-1</f>
        <v>0</v>
      </c>
      <c r="EU321" s="1037">
        <f t="shared" si="1168"/>
        <v>-1.7257909875359578E-2</v>
      </c>
      <c r="EV321" s="1037">
        <f>+EV320/EU320-1</f>
        <v>-0.14690914634146679</v>
      </c>
      <c r="EW321" s="1037">
        <f>+EW320/EV320-1</f>
        <v>-0.11285714285713755</v>
      </c>
      <c r="EX321" s="1037">
        <f>+EX320/EW320-1</f>
        <v>-7.3000000000003618E-2</v>
      </c>
      <c r="EY321" s="1037">
        <f>+EY320/EX320-1</f>
        <v>-4.907407407407649E-2</v>
      </c>
      <c r="EZ321" s="275"/>
      <c r="FA321" s="1102"/>
      <c r="FB321" s="1102"/>
    </row>
    <row r="322" spans="1:158" s="272" customFormat="1" ht="11.25" hidden="1" customHeight="1" outlineLevel="1">
      <c r="A322" s="5365" t="s">
        <v>428</v>
      </c>
      <c r="F322" s="5582"/>
      <c r="K322" s="1508"/>
      <c r="P322" s="1038"/>
      <c r="Q322" s="1064"/>
      <c r="R322" s="276"/>
      <c r="S322" s="276"/>
      <c r="T322" s="276"/>
      <c r="U322" s="1038"/>
      <c r="V322" s="1065"/>
      <c r="W322" s="276"/>
      <c r="X322" s="276"/>
      <c r="Y322" s="276"/>
      <c r="Z322" s="1038"/>
      <c r="AA322" s="1065"/>
      <c r="AB322" s="276"/>
      <c r="AC322" s="276"/>
      <c r="AD322" s="276"/>
      <c r="AE322" s="1038"/>
      <c r="AF322" s="1065"/>
      <c r="AG322" s="276"/>
      <c r="AH322" s="276"/>
      <c r="AI322" s="276"/>
      <c r="AJ322" s="1038"/>
      <c r="AK322" s="1066"/>
      <c r="AL322" s="278"/>
      <c r="AM322" s="278"/>
      <c r="AN322" s="278"/>
      <c r="AO322" s="1038"/>
      <c r="AP322" s="1066"/>
      <c r="AQ322" s="278"/>
      <c r="AR322" s="278"/>
      <c r="AS322" s="277"/>
      <c r="AT322" s="1038"/>
      <c r="AU322" s="1066"/>
      <c r="AV322" s="278"/>
      <c r="AW322" s="278"/>
      <c r="AX322" s="277"/>
      <c r="AY322" s="1038"/>
      <c r="AZ322" s="1066"/>
      <c r="BA322" s="278"/>
      <c r="BB322" s="278"/>
      <c r="BC322" s="277"/>
      <c r="BD322" s="1038"/>
      <c r="BE322" s="1066"/>
      <c r="BF322" s="278"/>
      <c r="BG322" s="279"/>
      <c r="BH322" s="277"/>
      <c r="BI322" s="1038"/>
      <c r="BJ322" s="1066"/>
      <c r="BK322" s="278"/>
      <c r="BL322" s="278"/>
      <c r="BM322" s="278"/>
      <c r="BN322" s="1038"/>
      <c r="BO322" s="511"/>
      <c r="BP322" s="511"/>
      <c r="BQ322" s="511"/>
      <c r="BR322" s="511"/>
      <c r="BS322" s="1949"/>
      <c r="BT322" s="278"/>
      <c r="BU322" s="278"/>
      <c r="BV322" s="278"/>
      <c r="BW322" s="278"/>
      <c r="BX322" s="1038"/>
      <c r="BY322" s="511"/>
      <c r="BZ322" s="511"/>
      <c r="CA322" s="511"/>
      <c r="CB322" s="511"/>
      <c r="CC322" s="1949"/>
      <c r="CD322" s="523"/>
      <c r="CE322" s="523"/>
      <c r="CF322" s="523"/>
      <c r="CG322" s="523"/>
      <c r="CH322" s="1038"/>
      <c r="CI322" s="565"/>
      <c r="CJ322" s="511"/>
      <c r="CK322" s="523"/>
      <c r="CL322" s="523"/>
      <c r="CM322" s="1038"/>
      <c r="CN322" s="511"/>
      <c r="CO322" s="511"/>
      <c r="CP322" s="523"/>
      <c r="CQ322" s="511"/>
      <c r="CR322" s="1038"/>
      <c r="CS322" s="511"/>
      <c r="CT322" s="511"/>
      <c r="CU322" s="511"/>
      <c r="CV322" s="511"/>
      <c r="CW322" s="1038"/>
      <c r="CX322" s="138">
        <f>CX320/$DB$320</f>
        <v>0.24066029539530842</v>
      </c>
      <c r="CY322" s="138">
        <f>CY320/$DB$320</f>
        <v>0.20032270075710562</v>
      </c>
      <c r="CZ322" s="138">
        <f>CZ320/$DB$320</f>
        <v>0.30966861114558769</v>
      </c>
      <c r="DA322" s="138">
        <f>DA320/$DB$320</f>
        <v>0.24934839270199827</v>
      </c>
      <c r="DB322" s="1038"/>
      <c r="DC322" s="138"/>
      <c r="DD322" s="138"/>
      <c r="DE322" s="138"/>
      <c r="DF322" s="138"/>
      <c r="DG322" s="1038"/>
      <c r="DH322" s="138"/>
      <c r="DI322" s="138"/>
      <c r="DJ322" s="138"/>
      <c r="DK322" s="138"/>
      <c r="DL322" s="1038"/>
      <c r="DM322" s="138"/>
      <c r="DN322" s="138"/>
      <c r="DO322" s="138"/>
      <c r="DP322" s="138"/>
      <c r="DQ322" s="1038"/>
      <c r="DR322" s="138"/>
      <c r="DS322" s="138"/>
      <c r="DT322" s="138"/>
      <c r="DU322" s="138"/>
      <c r="DV322" s="1038"/>
      <c r="DW322" s="138"/>
      <c r="DX322" s="138"/>
      <c r="DY322" s="138"/>
      <c r="DZ322" s="138"/>
      <c r="EA322" s="1038"/>
      <c r="EB322" s="138"/>
      <c r="EC322" s="138"/>
      <c r="ED322" s="138"/>
      <c r="EE322" s="138"/>
      <c r="EF322" s="1038"/>
      <c r="EG322" s="138"/>
      <c r="EH322" s="138"/>
      <c r="EI322" s="138"/>
      <c r="EJ322" s="138"/>
      <c r="EK322" s="1038"/>
      <c r="EL322" s="138"/>
      <c r="EM322" s="138"/>
      <c r="EN322" s="138"/>
      <c r="EO322" s="138"/>
      <c r="EP322" s="1038"/>
      <c r="EQ322" s="138"/>
      <c r="ER322" s="138"/>
      <c r="ES322" s="138"/>
      <c r="ET322" s="138"/>
      <c r="EU322" s="1038"/>
      <c r="EV322" s="1038"/>
      <c r="EW322" s="1038"/>
      <c r="EX322" s="1038"/>
      <c r="EY322" s="1038"/>
      <c r="EZ322" s="270"/>
      <c r="FA322" s="725"/>
      <c r="FB322" s="725"/>
    </row>
    <row r="323" spans="1:158" s="272" customFormat="1" ht="11.25" hidden="1" customHeight="1" outlineLevel="1">
      <c r="A323" s="5366" t="s">
        <v>1023</v>
      </c>
      <c r="B323" s="5339"/>
      <c r="C323" s="5339"/>
      <c r="D323" s="5339"/>
      <c r="E323" s="5339"/>
      <c r="F323" s="5583"/>
      <c r="G323" s="5339"/>
      <c r="H323" s="5339"/>
      <c r="I323" s="5339"/>
      <c r="J323" s="5339"/>
      <c r="K323" s="5340"/>
      <c r="L323" s="5339"/>
      <c r="M323" s="5339"/>
      <c r="N323" s="5339"/>
      <c r="O323" s="5339"/>
      <c r="P323" s="5341"/>
      <c r="Q323" s="5342"/>
      <c r="R323" s="5343"/>
      <c r="S323" s="5343"/>
      <c r="T323" s="5343"/>
      <c r="U323" s="5341"/>
      <c r="V323" s="5344"/>
      <c r="W323" s="5343"/>
      <c r="X323" s="5343"/>
      <c r="Y323" s="5343"/>
      <c r="Z323" s="5341"/>
      <c r="AA323" s="5344"/>
      <c r="AB323" s="5343"/>
      <c r="AC323" s="5343"/>
      <c r="AD323" s="5343"/>
      <c r="AE323" s="5341"/>
      <c r="AF323" s="5344"/>
      <c r="AG323" s="5343"/>
      <c r="AH323" s="5343"/>
      <c r="AI323" s="5343"/>
      <c r="AJ323" s="5341"/>
      <c r="AK323" s="5345"/>
      <c r="AL323" s="5346"/>
      <c r="AM323" s="5346"/>
      <c r="AN323" s="5346"/>
      <c r="AO323" s="5341"/>
      <c r="AP323" s="5345"/>
      <c r="AQ323" s="5346"/>
      <c r="AR323" s="5346"/>
      <c r="AS323" s="5347"/>
      <c r="AT323" s="5341"/>
      <c r="AU323" s="5345"/>
      <c r="AV323" s="5346"/>
      <c r="AW323" s="5346"/>
      <c r="AX323" s="5347"/>
      <c r="AY323" s="5341"/>
      <c r="AZ323" s="5345"/>
      <c r="BA323" s="5346"/>
      <c r="BB323" s="5346"/>
      <c r="BC323" s="5347"/>
      <c r="BD323" s="5341"/>
      <c r="BE323" s="5345"/>
      <c r="BF323" s="5346"/>
      <c r="BG323" s="5348"/>
      <c r="BH323" s="5347"/>
      <c r="BI323" s="5341"/>
      <c r="BJ323" s="5345"/>
      <c r="BK323" s="5346"/>
      <c r="BL323" s="5346"/>
      <c r="BM323" s="5346"/>
      <c r="BN323" s="5341"/>
      <c r="BO323" s="5349"/>
      <c r="BP323" s="5349"/>
      <c r="BQ323" s="5349"/>
      <c r="BR323" s="5349"/>
      <c r="BS323" s="5341"/>
      <c r="BT323" s="5346"/>
      <c r="BU323" s="5346"/>
      <c r="BV323" s="5346"/>
      <c r="BW323" s="5346"/>
      <c r="BX323" s="5341"/>
      <c r="BY323" s="5349"/>
      <c r="BZ323" s="5349"/>
      <c r="CA323" s="5349"/>
      <c r="CB323" s="5349"/>
      <c r="CC323" s="5341"/>
      <c r="CD323" s="5350"/>
      <c r="CE323" s="5350"/>
      <c r="CF323" s="5350"/>
      <c r="CG323" s="5350"/>
      <c r="CH323" s="5341"/>
      <c r="CI323" s="5349"/>
      <c r="CJ323" s="5349"/>
      <c r="CK323" s="5350"/>
      <c r="CL323" s="5350"/>
      <c r="CM323" s="5341"/>
      <c r="CN323" s="5349"/>
      <c r="CO323" s="5349"/>
      <c r="CP323" s="5350"/>
      <c r="CQ323" s="5349"/>
      <c r="CR323" s="5341"/>
      <c r="CS323" s="5349"/>
      <c r="CT323" s="5349"/>
      <c r="CU323" s="5349"/>
      <c r="CV323" s="5349"/>
      <c r="CW323" s="5341"/>
      <c r="CX323" s="5351"/>
      <c r="CY323" s="5351"/>
      <c r="CZ323" s="5351"/>
      <c r="DA323" s="5351"/>
      <c r="DB323" s="5341"/>
      <c r="DC323" s="5351"/>
      <c r="DD323" s="5351"/>
      <c r="DE323" s="5351"/>
      <c r="DF323" s="5351"/>
      <c r="DG323" s="5341"/>
      <c r="DH323" s="5351"/>
      <c r="DI323" s="5351"/>
      <c r="DJ323" s="5351"/>
      <c r="DK323" s="5351"/>
      <c r="DL323" s="5341"/>
      <c r="DM323" s="5351"/>
      <c r="DN323" s="5351"/>
      <c r="DO323" s="5351"/>
      <c r="DP323" s="5351"/>
      <c r="DQ323" s="5341"/>
      <c r="DR323" s="5351"/>
      <c r="DS323" s="5351"/>
      <c r="DT323" s="5351"/>
      <c r="DU323" s="5351"/>
      <c r="DV323" s="5341"/>
      <c r="DW323" s="5351"/>
      <c r="DX323" s="5351"/>
      <c r="DY323" s="5351"/>
      <c r="DZ323" s="5351"/>
      <c r="EA323" s="5341"/>
      <c r="EB323" s="5351"/>
      <c r="EC323" s="5351"/>
      <c r="ED323" s="5351"/>
      <c r="EE323" s="5351"/>
      <c r="EF323" s="5341"/>
      <c r="EG323" s="5351"/>
      <c r="EH323" s="5351"/>
      <c r="EI323" s="5351"/>
      <c r="EJ323" s="5351"/>
      <c r="EK323" s="5341"/>
      <c r="EL323" s="5351"/>
      <c r="EM323" s="5351"/>
      <c r="EN323" s="5351"/>
      <c r="EO323" s="5351"/>
      <c r="EP323" s="5341"/>
      <c r="EQ323" s="5351"/>
      <c r="ER323" s="5351"/>
      <c r="ES323" s="5351"/>
      <c r="ET323" s="5351"/>
      <c r="EU323" s="5341"/>
      <c r="EV323" s="5341"/>
      <c r="EW323" s="5341"/>
      <c r="EX323" s="5341"/>
      <c r="EY323" s="5341"/>
      <c r="EZ323" s="270"/>
      <c r="FA323" s="725"/>
      <c r="FB323" s="725"/>
    </row>
    <row r="324" spans="1:158" s="280" customFormat="1" ht="11.25" hidden="1" customHeight="1" outlineLevel="1">
      <c r="A324" s="5367" t="s">
        <v>1024</v>
      </c>
      <c r="B324" s="5352"/>
      <c r="C324" s="5352"/>
      <c r="D324" s="5352"/>
      <c r="E324" s="5352"/>
      <c r="F324" s="5584"/>
      <c r="G324" s="5352"/>
      <c r="H324" s="5352"/>
      <c r="I324" s="5352"/>
      <c r="J324" s="5352"/>
      <c r="K324" s="5353"/>
      <c r="L324" s="5352"/>
      <c r="M324" s="5352"/>
      <c r="N324" s="5352"/>
      <c r="O324" s="5352"/>
      <c r="P324" s="2529"/>
      <c r="Q324" s="5354"/>
      <c r="R324" s="2528"/>
      <c r="S324" s="2528"/>
      <c r="T324" s="5355"/>
      <c r="U324" s="2529"/>
      <c r="V324" s="5354"/>
      <c r="W324" s="2528"/>
      <c r="X324" s="2528"/>
      <c r="Y324" s="5355"/>
      <c r="Z324" s="2529"/>
      <c r="AA324" s="5354"/>
      <c r="AB324" s="2528"/>
      <c r="AC324" s="2528"/>
      <c r="AD324" s="2528"/>
      <c r="AE324" s="2529"/>
      <c r="AF324" s="5354"/>
      <c r="AG324" s="2528"/>
      <c r="AH324" s="2528"/>
      <c r="AI324" s="2528"/>
      <c r="AJ324" s="2529"/>
      <c r="AK324" s="5354"/>
      <c r="AL324" s="2528"/>
      <c r="AM324" s="2528"/>
      <c r="AN324" s="5355"/>
      <c r="AO324" s="2529"/>
      <c r="AP324" s="5354"/>
      <c r="AQ324" s="2528"/>
      <c r="AR324" s="2528"/>
      <c r="AS324" s="5355"/>
      <c r="AT324" s="2529"/>
      <c r="AU324" s="5354"/>
      <c r="AV324" s="2528"/>
      <c r="AW324" s="2528"/>
      <c r="AX324" s="5355"/>
      <c r="AY324" s="2529"/>
      <c r="AZ324" s="5354"/>
      <c r="BA324" s="2528"/>
      <c r="BB324" s="2528"/>
      <c r="BC324" s="5355"/>
      <c r="BD324" s="2529"/>
      <c r="BE324" s="5354"/>
      <c r="BF324" s="2528"/>
      <c r="BG324" s="2528"/>
      <c r="BH324" s="5355"/>
      <c r="BI324" s="2529"/>
      <c r="BJ324" s="5354"/>
      <c r="BK324" s="2528"/>
      <c r="BL324" s="2528"/>
      <c r="BM324" s="2528"/>
      <c r="BN324" s="2529"/>
      <c r="BO324" s="2528"/>
      <c r="BP324" s="2528"/>
      <c r="BQ324" s="2528"/>
      <c r="BR324" s="2528"/>
      <c r="BS324" s="5356"/>
      <c r="BT324" s="2528"/>
      <c r="BU324" s="2528"/>
      <c r="BV324" s="2528"/>
      <c r="BW324" s="2528"/>
      <c r="BX324" s="2529"/>
      <c r="BY324" s="2528"/>
      <c r="BZ324" s="2528"/>
      <c r="CA324" s="2528"/>
      <c r="CB324" s="2528"/>
      <c r="CC324" s="5356"/>
      <c r="CD324" s="2528"/>
      <c r="CE324" s="2528"/>
      <c r="CF324" s="2528"/>
      <c r="CG324" s="2528"/>
      <c r="CH324" s="2529"/>
      <c r="CI324" s="2528"/>
      <c r="CJ324" s="2528"/>
      <c r="CK324" s="2528"/>
      <c r="CL324" s="2528"/>
      <c r="CM324" s="2529"/>
      <c r="CN324" s="2528"/>
      <c r="CO324" s="2528"/>
      <c r="CP324" s="2528"/>
      <c r="CQ324" s="2528"/>
      <c r="CR324" s="2529"/>
      <c r="CS324" s="2528"/>
      <c r="CT324" s="2528"/>
      <c r="CU324" s="2528"/>
      <c r="CV324" s="2528"/>
      <c r="CW324" s="2529"/>
      <c r="CX324" s="2528"/>
      <c r="CY324" s="2528"/>
      <c r="CZ324" s="2528"/>
      <c r="DA324" s="2528"/>
      <c r="DB324" s="2529"/>
      <c r="DC324" s="2528"/>
      <c r="DD324" s="2528"/>
      <c r="DE324" s="2528"/>
      <c r="DF324" s="2528"/>
      <c r="DG324" s="2529"/>
      <c r="DH324" s="2528"/>
      <c r="DI324" s="2528"/>
      <c r="DJ324" s="2528"/>
      <c r="DK324" s="2528"/>
      <c r="DL324" s="2529"/>
      <c r="DM324" s="2528"/>
      <c r="DN324" s="2528"/>
      <c r="DO324" s="2528"/>
      <c r="DP324" s="2528"/>
      <c r="DQ324" s="2529"/>
      <c r="DR324" s="2528"/>
      <c r="DS324" s="2528"/>
      <c r="DT324" s="2528"/>
      <c r="DU324" s="2528"/>
      <c r="DV324" s="2529"/>
      <c r="DW324" s="2528"/>
      <c r="DX324" s="2528"/>
      <c r="DY324" s="2528"/>
      <c r="DZ324" s="2528"/>
      <c r="EA324" s="2529"/>
      <c r="EB324" s="2528"/>
      <c r="EC324" s="2528"/>
      <c r="ED324" s="2528"/>
      <c r="EE324" s="2528"/>
      <c r="EF324" s="2529"/>
      <c r="EG324" s="2528"/>
      <c r="EH324" s="2528"/>
      <c r="EI324" s="2528"/>
      <c r="EJ324" s="2528"/>
      <c r="EK324" s="2529"/>
      <c r="EL324" s="2528"/>
      <c r="EM324" s="2528"/>
      <c r="EN324" s="2528"/>
      <c r="EO324" s="2528"/>
      <c r="EP324" s="2529"/>
      <c r="EQ324" s="2528"/>
      <c r="ER324" s="2528"/>
      <c r="ES324" s="2528"/>
      <c r="ET324" s="2528"/>
      <c r="EU324" s="2529"/>
      <c r="EV324" s="2529"/>
      <c r="EW324" s="2529"/>
      <c r="EX324" s="2529"/>
      <c r="EY324" s="2529"/>
      <c r="EZ324" s="281"/>
      <c r="FA324" s="1319"/>
      <c r="FB324" s="1319"/>
    </row>
    <row r="325" spans="1:158" s="280" customFormat="1" ht="11.25" hidden="1" customHeight="1" outlineLevel="1">
      <c r="A325" s="5520" t="s">
        <v>1026</v>
      </c>
      <c r="B325" s="5521"/>
      <c r="C325" s="5521"/>
      <c r="D325" s="5521"/>
      <c r="E325" s="5521"/>
      <c r="F325" s="5585"/>
      <c r="G325" s="5521"/>
      <c r="H325" s="5521"/>
      <c r="I325" s="5521"/>
      <c r="J325" s="5521"/>
      <c r="K325" s="5522"/>
      <c r="L325" s="5521"/>
      <c r="M325" s="5521"/>
      <c r="N325" s="5521"/>
      <c r="O325" s="5521"/>
      <c r="P325" s="5529"/>
      <c r="Q325" s="5530">
        <f>((Q170*1000000)*4)/(AVERAGE(P317:Q317))</f>
        <v>542985.55377207068</v>
      </c>
      <c r="R325" s="5531">
        <f>((R170*1000000)*4)/(AVERAGE(Q317:R317))</f>
        <v>793181.81818181823</v>
      </c>
      <c r="S325" s="5531">
        <f>((S170*1000000)*4)/(AVERAGE(R317:S317))</f>
        <v>1037992.0634920635</v>
      </c>
      <c r="T325" s="5532">
        <f>((T170*1000000)*4)/(AVERAGE(S317:T317))</f>
        <v>1266459.9831508002</v>
      </c>
      <c r="U325" s="5529">
        <f>(U170*1000000)/AVERAGE(Q317:T317)</f>
        <v>888343.6078827692</v>
      </c>
      <c r="V325" s="5530">
        <f>((V170*1000000)*4)/(AVERAGE(U317:V317))</f>
        <v>1307655.4898093359</v>
      </c>
      <c r="W325" s="5531">
        <f>((W170*1000000)*4)/(AVERAGE(V317:W317))</f>
        <v>1218596.1820851688</v>
      </c>
      <c r="X325" s="5531">
        <f>((X170*1000000)*4)/(AVERAGE(W317:X317))</f>
        <v>1231068.75</v>
      </c>
      <c r="Y325" s="5532">
        <f>((Y170*1000000)*4)/(AVERAGE(X317:Y317))</f>
        <v>1350494.3968358601</v>
      </c>
      <c r="Z325" s="5529">
        <f>(Z170*1000000)/AVERAGE(V317:Y317)</f>
        <v>1154960.8036241876</v>
      </c>
      <c r="AA325" s="5530">
        <f>((AA170*1000000)*4)/(AVERAGE(Z317:AA317))</f>
        <v>1474677.2277227722</v>
      </c>
      <c r="AB325" s="5531">
        <f>((AB170*1000000)*4)/(AVERAGE(AA317:AB317))</f>
        <v>1334054.7749464158</v>
      </c>
      <c r="AC325" s="5531">
        <f>((AC170*1000000)*4)/(AVERAGE(AB317:AC317))</f>
        <v>1299817.7419354839</v>
      </c>
      <c r="AD325" s="5531">
        <f>((AD170*1000000)*4)/(AVERAGE(AC317:AD317))</f>
        <v>1450521.3570047463</v>
      </c>
      <c r="AE325" s="5529">
        <f>(AE170*1000000)/AVERAGE(AA317:AD317)</f>
        <v>1290139.1585760515</v>
      </c>
      <c r="AF325" s="5530">
        <f>((AF170*1000000)*4)/(AVERAGE(AE317:AF317))</f>
        <v>1545767.5534368753</v>
      </c>
      <c r="AG325" s="5531">
        <f>((AG170*1000000)*4)/(AVERAGE(AF317:AG317))</f>
        <v>1445004.5662100457</v>
      </c>
      <c r="AH325" s="5531">
        <f>((AH170*1000000)*4)/(AVERAGE(AG317:AH317))</f>
        <v>1376760.5756650676</v>
      </c>
      <c r="AI325" s="5531">
        <f>((AI170*1000000)*4)/(AVERAGE(AH317:AI317))</f>
        <v>1439004.9676633237</v>
      </c>
      <c r="AJ325" s="5529">
        <f>(AJ170*1000000)/AVERAGE(AF317:AI317)</f>
        <v>1339273.4373295517</v>
      </c>
      <c r="AK325" s="5530">
        <f>((AK170*1000000)*4)/(AVERAGE(AJ317:AK317))</f>
        <v>1445873.2959101845</v>
      </c>
      <c r="AL325" s="5531">
        <f>((AL170*1000000)*4)/(AVERAGE(AK317:AL317))</f>
        <v>1333690.4697257674</v>
      </c>
      <c r="AM325" s="5531">
        <f>((AM170*1000000)*4)/(AVERAGE(AL317:AM317))</f>
        <v>1242343.1870669746</v>
      </c>
      <c r="AN325" s="5532">
        <f>((AN170*1000000)*4)/(AVERAGE(AM317:AN317))</f>
        <v>1278874.1272691002</v>
      </c>
      <c r="AO325" s="5529">
        <f>(AO170*1000000)/AVERAGE(AK317:AN317)</f>
        <v>1219516.6743330269</v>
      </c>
      <c r="AP325" s="5530">
        <f>((AP170*1000000)*4)/(AVERAGE(AO317:AP317))</f>
        <v>1279319.4832402235</v>
      </c>
      <c r="AQ325" s="5531">
        <f>((AQ170*1000000)*4)/(AVERAGE(AP317:AQ317))</f>
        <v>1190281.278819551</v>
      </c>
      <c r="AR325" s="5531">
        <f>((AR170*1000000)*4)/(AVERAGE(AQ317:AR317))</f>
        <v>1139681.0989158978</v>
      </c>
      <c r="AS325" s="5532">
        <f>((AS170*1000000)*4)/(AVERAGE(AR317:AS317))</f>
        <v>1180081.0488676997</v>
      </c>
      <c r="AT325" s="5529">
        <f>(AT170*1000000)/AVERAGE(AP317:AS317)</f>
        <v>1129899.4637841519</v>
      </c>
      <c r="AU325" s="5530">
        <f>((AU170*1000000)*4)/(AVERAGE(AT317:AU317))</f>
        <v>1153703.8458329861</v>
      </c>
      <c r="AV325" s="5531">
        <f>((AV170*1000000)*4)/(AVERAGE(AU317:AV317))</f>
        <v>1107783.6945304438</v>
      </c>
      <c r="AW325" s="5531">
        <f>((AW170*1000000)*4)/(AVERAGE(AV317:AW317))</f>
        <v>1115894.1777632341</v>
      </c>
      <c r="AX325" s="5532">
        <f>((AX170*1000000)*4)/(AVERAGE(AW317:AX317))</f>
        <v>1130430.8340562647</v>
      </c>
      <c r="AY325" s="5529">
        <f>(AY170*1000000)/AVERAGE(AU317:AX317)</f>
        <v>1102107.3257063399</v>
      </c>
      <c r="AZ325" s="5530">
        <f>((AZ170*1000000)*4)/(AVERAGE(AY317:AZ317))</f>
        <v>1091267.2708364285</v>
      </c>
      <c r="BA325" s="5531">
        <f>((BA170*1000000)*4)/(AVERAGE(AZ317:BA317))</f>
        <v>1105961.8523153944</v>
      </c>
      <c r="BB325" s="5531">
        <f>((BB170*1000000)*4)/(AVERAGE(BA317:BB317))</f>
        <v>1205515.9058072038</v>
      </c>
      <c r="BC325" s="5532">
        <f>((BC170*1000000)*4)/(AVERAGE(BB317:BC317))</f>
        <v>1351660.7594936711</v>
      </c>
      <c r="BD325" s="5529">
        <f>(BD170*1000000)/AVERAGE(AZ317:BC317)</f>
        <v>1190714.3108873507</v>
      </c>
      <c r="BE325" s="5530">
        <f>((BE170*1000000)*4)/(AVERAGE(BD317:BE317))</f>
        <v>1339727.1109353371</v>
      </c>
      <c r="BF325" s="5531">
        <f>((BF170*1000000)*4)/(AVERAGE(BE317:BF317))</f>
        <v>1286003.8655541413</v>
      </c>
      <c r="BG325" s="5531">
        <f>((BG170*1000000)*4)/(AVERAGE(BF317:BG317))</f>
        <v>1291386.0333215173</v>
      </c>
      <c r="BH325" s="5532">
        <f>((BH170*1000000)*4)/(AVERAGE(BG317:BH317))</f>
        <v>1414594.2888269678</v>
      </c>
      <c r="BI325" s="5529">
        <f>(BI170*1000000)/AVERAGE(BE317:BH317)</f>
        <v>1300886.2317956453</v>
      </c>
      <c r="BJ325" s="5530">
        <f>((BJ170*1000000)*4)/(AVERAGE(BI317:BJ317))</f>
        <v>1352630.3336225254</v>
      </c>
      <c r="BK325" s="5531">
        <f>((BK170*1000000)*4)/(AVERAGE(BJ317:BK317))</f>
        <v>1310870.6702490742</v>
      </c>
      <c r="BL325" s="5531">
        <f>((BL170*1000000)*4)/(AVERAGE(BK317:BL317))</f>
        <v>1293391.6601520267</v>
      </c>
      <c r="BM325" s="5531">
        <f>((BM170*1000000)*4)/(AVERAGE(BL317:BM317))</f>
        <v>1326731.4321529302</v>
      </c>
      <c r="BN325" s="5529">
        <f>(BN170*1000000)/AVERAGE(BJ317:BM317)</f>
        <v>1275146.3365404024</v>
      </c>
      <c r="BO325" s="5531"/>
      <c r="BP325" s="5531"/>
      <c r="BQ325" s="5531"/>
      <c r="BR325" s="5531"/>
      <c r="BS325" s="5533"/>
      <c r="BT325" s="5531">
        <f>((BT170*1000000)*4)/(AVERAGE(BN317:BT317))</f>
        <v>1299279.8730623703</v>
      </c>
      <c r="BU325" s="5531">
        <f>((BU170*1000000)*4)/(AVERAGE(BT317:BU317))</f>
        <v>1301596.7234522467</v>
      </c>
      <c r="BV325" s="5531">
        <f>((BV170*1000000)*4)/(AVERAGE(BU317:BV317))</f>
        <v>1309233.4123727442</v>
      </c>
      <c r="BW325" s="5531">
        <f>((BW170*1000000)*4)/(AVERAGE(BV317:BW317))</f>
        <v>1401536.7489343216</v>
      </c>
      <c r="BX325" s="5529">
        <f>(BX170*1000000)/AVERAGE(BT317:BW317)</f>
        <v>1305636.2991846863</v>
      </c>
      <c r="BY325" s="5531"/>
      <c r="BZ325" s="5531"/>
      <c r="CA325" s="5531"/>
      <c r="CB325" s="5531"/>
      <c r="CC325" s="5533"/>
      <c r="CD325" s="5531">
        <f>((CD170*1000000)*4)/(AVERAGE(BX317:CD317))</f>
        <v>1358205.6290392354</v>
      </c>
      <c r="CE325" s="5531">
        <f>((CE170*1000000)*4)/(AVERAGE(CD317:CE317))</f>
        <v>1328687.1016384303</v>
      </c>
      <c r="CF325" s="5531">
        <f>((CF170*1000000)*4)/(AVERAGE(CE317:CF317))</f>
        <v>1336312.8491620112</v>
      </c>
      <c r="CG325" s="5531">
        <f>((CG170*1000000)*4)/(AVERAGE(CF317:CG317))</f>
        <v>1460708.639449456</v>
      </c>
      <c r="CH325" s="5529">
        <f>(CH170*1000000)/AVERAGE(CD317:CG317)</f>
        <v>1346396.5902959241</v>
      </c>
      <c r="CI325" s="5531">
        <f>((CI170*1000000)*4)/(AVERAGE(CH317:CI317))</f>
        <v>1370179.4917362717</v>
      </c>
      <c r="CJ325" s="5531">
        <f>((CJ170*1000000)*4)/(AVERAGE(CI317:CJ317))</f>
        <v>1347067.1422842308</v>
      </c>
      <c r="CK325" s="5531">
        <f>((CK170*1000000)*4)/(AVERAGE(CJ317:CK317))</f>
        <v>1319886.5678795383</v>
      </c>
      <c r="CL325" s="5531">
        <f>((CL170*1000000)*4)/(AVERAGE(CK317:CL317))</f>
        <v>1377125.2519873721</v>
      </c>
      <c r="CM325" s="5529">
        <f>(CM170*1000000)/AVERAGE(CI317:CL317)</f>
        <v>1320561.4301863764</v>
      </c>
      <c r="CN325" s="5531">
        <f>((CN170*1000000)*4)/(AVERAGE(CM317:CN317))</f>
        <v>1266642.2018348624</v>
      </c>
      <c r="CO325" s="5531">
        <f>((CO170*1000000)*4)/(AVERAGE(CN317:CO317))</f>
        <v>1260049.045740484</v>
      </c>
      <c r="CP325" s="5531">
        <f>((CP170*1000000)*4)/(AVERAGE(CO317:CP317))</f>
        <v>1275571.189508555</v>
      </c>
      <c r="CQ325" s="5531">
        <f>((CQ170*1000000)*4)/(AVERAGE(CP317:CQ317))</f>
        <v>1401034.5676984973</v>
      </c>
      <c r="CR325" s="5529">
        <f>(CR170*1000000)/AVERAGE(CN317:CQ317)</f>
        <v>1280014.3382635338</v>
      </c>
      <c r="CS325" s="5531">
        <f>((CS170*1000000)*4)/(AVERAGE(CR317:CS317))</f>
        <v>1286883.8790111889</v>
      </c>
      <c r="CT325" s="5531">
        <f>((CT170*1000000)*4)/(AVERAGE(CS317:CT317))</f>
        <v>1316091.5142704109</v>
      </c>
      <c r="CU325" s="5531">
        <f>((CU170*1000000)*4)/(AVERAGE(CT317:CU317))</f>
        <v>1315539.6695183406</v>
      </c>
      <c r="CV325" s="5531">
        <f>((CV170*1000000)*4)/(AVERAGE(CU317:CV317))</f>
        <v>1468332.3239863105</v>
      </c>
      <c r="CW325" s="5529">
        <f>(CW170*1000000)/AVERAGE(CS317:CV317)</f>
        <v>1324141.1681872855</v>
      </c>
      <c r="CX325" s="5531">
        <f>((CX170*1000000)*4)/(AVERAGE(CW317:CX317))</f>
        <v>1355746.5164846452</v>
      </c>
      <c r="CY325" s="5531">
        <f>((CY170*1000000)*4)/(AVERAGE(CX317:CY317))</f>
        <v>1390927.6861990134</v>
      </c>
      <c r="CZ325" s="5531">
        <f>((CZ170*1000000)*4)/(AVERAGE(CY317:CZ317))</f>
        <v>1445451.4108010696</v>
      </c>
      <c r="DA325" s="5531">
        <f>((DA170*1000000)*4)/(AVERAGE(CZ317:DA317))</f>
        <v>1634424.9135647963</v>
      </c>
      <c r="DB325" s="5529">
        <f>(DB170*1000000)/AVERAGE(CX317:DA317)</f>
        <v>1440568.6643340513</v>
      </c>
      <c r="DC325" s="5531">
        <f>((DC170*1000000)*4)/(AVERAGE(DB317:DC317))</f>
        <v>1508646.1612981351</v>
      </c>
      <c r="DD325" s="5531">
        <f>((DD170*1000000)*4)/(AVERAGE(DC317:DD317))</f>
        <v>1500539.8947779539</v>
      </c>
      <c r="DE325" s="5531">
        <f>((DE170*1000000)*4)/(AVERAGE(DD317:DE317))</f>
        <v>1471515.0193534319</v>
      </c>
      <c r="DF325" s="5531">
        <f>((DF170*1000000)*4)/(AVERAGE(DE317:DF317))</f>
        <v>1626815.364781535</v>
      </c>
      <c r="DG325" s="5529">
        <f>(DG170*1000000)/AVERAGE(DC317:DF317)</f>
        <v>1490196.0784313725</v>
      </c>
      <c r="DH325" s="5531">
        <f>((DH170*1000000)*4)/(AVERAGE(DG317:DH317))</f>
        <v>1437531.5235128319</v>
      </c>
      <c r="DI325" s="5531">
        <f>((DI170*1000000)*4)/(AVERAGE(DH317:DI317))</f>
        <v>1475815.3525496791</v>
      </c>
      <c r="DJ325" s="5531">
        <f>((DJ170*1000000)*4)/(AVERAGE(DI317:DJ317))</f>
        <v>1461121.4835258995</v>
      </c>
      <c r="DK325" s="5531">
        <f>((DK170*1000000)*4)/(AVERAGE(DJ317:DK317))</f>
        <v>1582008.1976008068</v>
      </c>
      <c r="DL325" s="5529">
        <f>(DL170*1000000)/AVERAGE(DH317:DK317)</f>
        <v>1457842.8281918487</v>
      </c>
      <c r="DM325" s="5531">
        <f>((DM170*1000000)*4)/(AVERAGE(DL317:DM317))</f>
        <v>1360926.1532484386</v>
      </c>
      <c r="DN325" s="5531">
        <f>((DN170*1000000)*4)/(AVERAGE(DM317:DN317))</f>
        <v>1222833.3320029057</v>
      </c>
      <c r="DO325" s="5531">
        <f>((DO170*1000000)*4)/(AVERAGE(DN317:DO317))</f>
        <v>1422792.6307396607</v>
      </c>
      <c r="DP325" s="5531">
        <f>((DP170*1000000)*4)/(AVERAGE(DO317:DP317))</f>
        <v>1702118.7486444646</v>
      </c>
      <c r="DQ325" s="5529">
        <f>(DQ170*1000000)/AVERAGE(DM317:DP317)</f>
        <v>1409561.9806628982</v>
      </c>
      <c r="DR325" s="5531">
        <f>((DR170*1000000)*4)/(AVERAGE(DQ317:DR317))</f>
        <v>1607404.3938161107</v>
      </c>
      <c r="DS325" s="5531">
        <f>((DS170*1000000)*4)/(AVERAGE(DR317:DS317))</f>
        <v>1742785.6265248142</v>
      </c>
      <c r="DT325" s="5531">
        <f>((DT170*1000000)*4)/(AVERAGE(DS317:DT317))</f>
        <v>1771412.2495613499</v>
      </c>
      <c r="DU325" s="5531">
        <f>((DU170*1000000)*4)/(AVERAGE(DT317:DU317))</f>
        <v>1965888.9236872324</v>
      </c>
      <c r="DV325" s="5529">
        <f>(DV170*1000000)/AVERAGE(DR317:DU317)</f>
        <v>1744979.0798521452</v>
      </c>
      <c r="DW325" s="5531">
        <f>((DW170*1000000)*4)/(AVERAGE(DV317:DW317))</f>
        <v>1698120.5096034405</v>
      </c>
      <c r="DX325" s="5531">
        <f>((DX170*1000000)*4)/(AVERAGE(DW317:DX317))</f>
        <v>1649739.5833333333</v>
      </c>
      <c r="DY325" s="5531">
        <f>((DY170*1000000)*4)/(AVERAGE(DX317:DY317))</f>
        <v>1532003.1153597769</v>
      </c>
      <c r="DZ325" s="5531">
        <f>((DZ170*1000000)*4)/(AVERAGE(DY317:DZ317))</f>
        <v>1613695.018474164</v>
      </c>
      <c r="EA325" s="5529">
        <f>(EA170*1000000)/AVERAGE(DW317:DZ317)</f>
        <v>1582447.5859975689</v>
      </c>
      <c r="EB325" s="5531">
        <f>((EB170*1000000)*4)/(AVERAGE(EA317:EB317))</f>
        <v>1465555.3951357808</v>
      </c>
      <c r="EC325" s="5531">
        <f>((EC170*1000000)*4)/(AVERAGE(EB317:EC317))</f>
        <v>1602194.8462990157</v>
      </c>
      <c r="ED325" s="5531">
        <f>((ED170*1000000)*4)/(AVERAGE(EC317:ED317))</f>
        <v>1684731.9587345782</v>
      </c>
      <c r="EE325" s="5531">
        <f>((EE170*1000000)*4)/(AVERAGE(ED317:EE317))</f>
        <v>1892332.6107272743</v>
      </c>
      <c r="EF325" s="5529">
        <f>(EF170*1000000)/AVERAGE(EB317:EE317)</f>
        <v>1667465.87974917</v>
      </c>
      <c r="EG325" s="5531">
        <f>((EG170*1000000)*4)/(AVERAGE(EF317:EG317))</f>
        <v>1773025.0937679727</v>
      </c>
      <c r="EH325" s="5531">
        <f>((EH170*1000000)*4)/(AVERAGE(EG317:EH317))</f>
        <v>1880663.6761846109</v>
      </c>
      <c r="EI325" s="5531">
        <f>((EI170*1000000)*4)/(AVERAGE(EH317:EI317))</f>
        <v>1956885.2518075327</v>
      </c>
      <c r="EJ325" s="5531">
        <f>((EJ170*1000000)*4)/(AVERAGE(EI317:EJ317))</f>
        <v>2116755.1674200203</v>
      </c>
      <c r="EK325" s="5529">
        <f>(EK170*1000000)/AVERAGE(EG317:EJ317)</f>
        <v>1930950.0199291378</v>
      </c>
      <c r="EL325" s="5531">
        <f>((EL170*1000000)*4)/(AVERAGE(EK317:EL317))</f>
        <v>1956070.0408083634</v>
      </c>
      <c r="EM325" s="5531">
        <f>((EM170*1000000)*4)/(AVERAGE(EL317:EM317))</f>
        <v>2069148.2798761877</v>
      </c>
      <c r="EN325" s="5531">
        <f>((EN170*1000000)*4)/(AVERAGE(EM317:EN317))</f>
        <v>2170244.1222466668</v>
      </c>
      <c r="EO325" s="5531">
        <f t="shared" ref="EO325" si="1169">((EO170*1000000)*4)/(AVERAGE(EN317:EO317))</f>
        <v>2351730.5279398472</v>
      </c>
      <c r="EP325" s="5529">
        <f>(EP170*1000000)/AVERAGE(EL317:EO317)</f>
        <v>2126819.8188349283</v>
      </c>
      <c r="EQ325" s="5531">
        <f t="shared" ref="EQ325" si="1170">((EQ170*1000000)*4)/(AVERAGE(EP317:EQ317))</f>
        <v>2209145.425456055</v>
      </c>
      <c r="ER325" s="5531">
        <f t="shared" ref="ER325" si="1171">((ER170*1000000)*4)/(AVERAGE(EQ317:ER317))</f>
        <v>2317541.8355657575</v>
      </c>
      <c r="ES325" s="5531">
        <f t="shared" ref="ES325" si="1172">((ES170*1000000)*4)/(AVERAGE(ER317:ES317))</f>
        <v>2415609.6543653645</v>
      </c>
      <c r="ET325" s="5531">
        <f t="shared" ref="ET325" si="1173">((ET170*1000000)*4)/(AVERAGE(ES317:ET317))</f>
        <v>2621077.4556777892</v>
      </c>
      <c r="EU325" s="5529">
        <f>(EU170*1000000)/AVERAGE(EQ317:ET317)</f>
        <v>2380283.0730017913</v>
      </c>
      <c r="EV325" s="5529">
        <f>(EV170*1000000)/((EV317+EU317)/2)</f>
        <v>2609772.4579609577</v>
      </c>
      <c r="EW325" s="5529">
        <f>(EW170*1000000)/((EW317+EV317)/2)</f>
        <v>2830096.1693957327</v>
      </c>
      <c r="EX325" s="5529">
        <f>(EX170*1000000)/((EX317+EW317)/2)</f>
        <v>3042880.7612639847</v>
      </c>
      <c r="EY325" s="5529">
        <f>(EY170*1000000)/((EY317+EX317)/2)</f>
        <v>3260281.0354091437</v>
      </c>
      <c r="EZ325" s="281"/>
      <c r="FA325" s="1319">
        <f>(EV325/EK325)^(1/3)-1</f>
        <v>0.10563183970044876</v>
      </c>
      <c r="FB325" s="1319">
        <f>(EX325/EK325)^(1/5)-1</f>
        <v>9.5223566871125653E-2</v>
      </c>
    </row>
    <row r="326" spans="1:158" s="284" customFormat="1" ht="11.25" hidden="1" customHeight="1" outlineLevel="1">
      <c r="A326" s="5369" t="s">
        <v>45</v>
      </c>
      <c r="B326" s="183"/>
      <c r="C326" s="183"/>
      <c r="D326" s="183"/>
      <c r="E326" s="183"/>
      <c r="F326" s="5586"/>
      <c r="G326" s="183"/>
      <c r="H326" s="183"/>
      <c r="I326" s="183"/>
      <c r="J326" s="183"/>
      <c r="K326" s="1032"/>
      <c r="L326" s="183"/>
      <c r="M326" s="183"/>
      <c r="N326" s="183"/>
      <c r="O326" s="183"/>
      <c r="P326" s="2588"/>
      <c r="Q326" s="2612"/>
      <c r="R326" s="2612"/>
      <c r="S326" s="2612"/>
      <c r="T326" s="2612"/>
      <c r="U326" s="2588"/>
      <c r="V326" s="2612">
        <f t="shared" ref="V326:AD326" si="1174">V325/Q325-1</f>
        <v>1.4082693926664782</v>
      </c>
      <c r="W326" s="2612">
        <f t="shared" si="1174"/>
        <v>0.53633902612456796</v>
      </c>
      <c r="X326" s="2612">
        <f t="shared" si="1174"/>
        <v>0.18600979072843615</v>
      </c>
      <c r="Y326" s="2612">
        <f t="shared" si="1174"/>
        <v>6.6353785198954629E-2</v>
      </c>
      <c r="Z326" s="2588">
        <f t="shared" si="1174"/>
        <v>0.30012845634906937</v>
      </c>
      <c r="AA326" s="2612">
        <f t="shared" si="1174"/>
        <v>0.12772610157266184</v>
      </c>
      <c r="AB326" s="2612">
        <f t="shared" si="1174"/>
        <v>9.4747213686229514E-2</v>
      </c>
      <c r="AC326" s="2612">
        <f t="shared" si="1174"/>
        <v>5.584496555166707E-2</v>
      </c>
      <c r="AD326" s="2612">
        <f t="shared" si="1174"/>
        <v>7.406691979118496E-2</v>
      </c>
      <c r="AE326" s="2588">
        <f t="shared" ref="AE326:BN326" si="1175">AE325/Z325-1</f>
        <v>0.11704150870547592</v>
      </c>
      <c r="AF326" s="2612">
        <f t="shared" si="1175"/>
        <v>4.8207380149134282E-2</v>
      </c>
      <c r="AG326" s="2612">
        <f t="shared" si="1175"/>
        <v>8.3167343161067997E-2</v>
      </c>
      <c r="AH326" s="2612">
        <f t="shared" si="1175"/>
        <v>5.919509424068381E-2</v>
      </c>
      <c r="AI326" s="2612">
        <f t="shared" si="1175"/>
        <v>-7.9394827837649951E-3</v>
      </c>
      <c r="AJ326" s="2588">
        <f t="shared" si="1175"/>
        <v>3.8084479822882544E-2</v>
      </c>
      <c r="AK326" s="2612">
        <f t="shared" si="1175"/>
        <v>-6.4624372082713766E-2</v>
      </c>
      <c r="AL326" s="2612">
        <f t="shared" si="1175"/>
        <v>-7.7033733378595981E-2</v>
      </c>
      <c r="AM326" s="2612">
        <f t="shared" si="1175"/>
        <v>-9.7633089568359033E-2</v>
      </c>
      <c r="AN326" s="2612">
        <f t="shared" si="1175"/>
        <v>-0.11127886559991951</v>
      </c>
      <c r="AO326" s="2588">
        <f t="shared" si="1175"/>
        <v>-8.9419202724810409E-2</v>
      </c>
      <c r="AP326" s="2612">
        <f t="shared" si="1175"/>
        <v>-0.11519253667736806</v>
      </c>
      <c r="AQ326" s="2612">
        <f t="shared" si="1175"/>
        <v>-0.10752809153364051</v>
      </c>
      <c r="AR326" s="2612">
        <f t="shared" si="1175"/>
        <v>-8.2635852331150006E-2</v>
      </c>
      <c r="AS326" s="2612">
        <f t="shared" si="1175"/>
        <v>-7.7250040715392876E-2</v>
      </c>
      <c r="AT326" s="2588">
        <f t="shared" si="1175"/>
        <v>-7.3485842740024898E-2</v>
      </c>
      <c r="AU326" s="2612">
        <f t="shared" si="1175"/>
        <v>-9.8189419494403185E-2</v>
      </c>
      <c r="AV326" s="2612">
        <f t="shared" si="1175"/>
        <v>-6.9309318525889396E-2</v>
      </c>
      <c r="AW326" s="2612">
        <f t="shared" si="1175"/>
        <v>-2.087155887317127E-2</v>
      </c>
      <c r="AX326" s="2612">
        <f t="shared" si="1175"/>
        <v>-4.2073563387086788E-2</v>
      </c>
      <c r="AY326" s="2588">
        <f t="shared" si="1175"/>
        <v>-2.4597000855928641E-2</v>
      </c>
      <c r="AZ326" s="2612">
        <f t="shared" si="1175"/>
        <v>-5.4118372944728876E-2</v>
      </c>
      <c r="BA326" s="2612">
        <f t="shared" si="1175"/>
        <v>-1.644582984967613E-3</v>
      </c>
      <c r="BB326" s="2612">
        <f t="shared" si="1175"/>
        <v>8.0313823505749449E-2</v>
      </c>
      <c r="BC326" s="2612">
        <f t="shared" si="1175"/>
        <v>0.19570407916385202</v>
      </c>
      <c r="BD326" s="2588">
        <f t="shared" si="1175"/>
        <v>8.0397782606355994E-2</v>
      </c>
      <c r="BE326" s="2612">
        <f t="shared" si="1175"/>
        <v>0.22768009885284157</v>
      </c>
      <c r="BF326" s="2612">
        <f t="shared" si="1175"/>
        <v>0.16279224537611192</v>
      </c>
      <c r="BG326" s="2612">
        <f t="shared" si="1175"/>
        <v>7.1231019931516704E-2</v>
      </c>
      <c r="BH326" s="2612">
        <f t="shared" si="1175"/>
        <v>4.6560151200121691E-2</v>
      </c>
      <c r="BI326" s="2588">
        <f t="shared" si="1175"/>
        <v>9.2525906425187543E-2</v>
      </c>
      <c r="BJ326" s="2612">
        <f t="shared" si="1175"/>
        <v>9.6312320485774094E-3</v>
      </c>
      <c r="BK326" s="2612">
        <f t="shared" si="1175"/>
        <v>1.9336492961642637E-2</v>
      </c>
      <c r="BL326" s="2612">
        <f t="shared" si="1175"/>
        <v>1.553080782011218E-3</v>
      </c>
      <c r="BM326" s="2612">
        <f t="shared" si="1175"/>
        <v>-6.211170041333669E-2</v>
      </c>
      <c r="BN326" s="2588">
        <f t="shared" si="1175"/>
        <v>-1.9786430685574619E-2</v>
      </c>
      <c r="BO326" s="2612"/>
      <c r="BP326" s="2612"/>
      <c r="BQ326" s="2612"/>
      <c r="BR326" s="2612"/>
      <c r="BS326" s="1927"/>
      <c r="BT326" s="2612">
        <f>BT325/BJ325-1</f>
        <v>-3.9442011046192826E-2</v>
      </c>
      <c r="BU326" s="2612">
        <f>BU325/BK325-1</f>
        <v>-7.0746466507374262E-3</v>
      </c>
      <c r="BV326" s="2612">
        <f>BV325/BL325-1</f>
        <v>1.2248225119106948E-2</v>
      </c>
      <c r="BW326" s="2612">
        <f>BW325/BM325-1</f>
        <v>5.6383164646971906E-2</v>
      </c>
      <c r="BX326" s="2588">
        <f>BX325/BN325-1</f>
        <v>2.3910951841814576E-2</v>
      </c>
      <c r="BY326" s="2612"/>
      <c r="BZ326" s="2612"/>
      <c r="CA326" s="2612"/>
      <c r="CB326" s="2612"/>
      <c r="CC326" s="1927"/>
      <c r="CD326" s="2612">
        <f>CD325/BT325-1</f>
        <v>4.5352627404270152E-2</v>
      </c>
      <c r="CE326" s="2612">
        <f>CE325/BU325-1</f>
        <v>2.0813188676698013E-2</v>
      </c>
      <c r="CF326" s="2612">
        <f>CF325/BV325-1</f>
        <v>2.0683429351371796E-2</v>
      </c>
      <c r="CG326" s="2612">
        <f>CG325/BW325-1</f>
        <v>4.2219292901257477E-2</v>
      </c>
      <c r="CH326" s="2588">
        <f>CH325/BX325-1</f>
        <v>3.1218717752172553E-2</v>
      </c>
      <c r="CI326" s="2612">
        <f t="shared" ref="CI326:DT326" si="1176">CI325/CD325-1</f>
        <v>8.8159424766236505E-3</v>
      </c>
      <c r="CJ326" s="2612">
        <f t="shared" si="1176"/>
        <v>1.3833234794810467E-2</v>
      </c>
      <c r="CK326" s="2612">
        <f t="shared" si="1176"/>
        <v>-1.2292242264057895E-2</v>
      </c>
      <c r="CL326" s="2612">
        <f t="shared" si="1176"/>
        <v>-5.7221122135340252E-2</v>
      </c>
      <c r="CM326" s="2588">
        <f t="shared" si="1176"/>
        <v>-1.9188373095827105E-2</v>
      </c>
      <c r="CN326" s="2612">
        <f t="shared" si="1176"/>
        <v>-7.5564763978629101E-2</v>
      </c>
      <c r="CO326" s="2612">
        <f t="shared" si="1176"/>
        <v>-6.4598188028096026E-2</v>
      </c>
      <c r="CP326" s="2612">
        <f t="shared" si="1176"/>
        <v>-3.3575141568550126E-2</v>
      </c>
      <c r="CQ326" s="2612">
        <f t="shared" si="1176"/>
        <v>1.7361758254466064E-2</v>
      </c>
      <c r="CR326" s="2588">
        <f t="shared" si="1176"/>
        <v>-3.0704434489745802E-2</v>
      </c>
      <c r="CS326" s="2612">
        <f t="shared" si="1176"/>
        <v>1.5980580109366649E-2</v>
      </c>
      <c r="CT326" s="2612">
        <f t="shared" si="1176"/>
        <v>4.4476418373852189E-2</v>
      </c>
      <c r="CU326" s="2612">
        <f t="shared" si="1176"/>
        <v>3.1333790178488252E-2</v>
      </c>
      <c r="CV326" s="2612">
        <f t="shared" si="1176"/>
        <v>4.8034329658521058E-2</v>
      </c>
      <c r="CW326" s="2588">
        <f t="shared" si="1176"/>
        <v>3.447369971153158E-2</v>
      </c>
      <c r="CX326" s="2612">
        <f t="shared" si="1176"/>
        <v>5.3511150925574347E-2</v>
      </c>
      <c r="CY326" s="2612">
        <f t="shared" si="1176"/>
        <v>5.6862437845052627E-2</v>
      </c>
      <c r="CZ326" s="2612">
        <f t="shared" si="1176"/>
        <v>9.8751671494857751E-2</v>
      </c>
      <c r="DA326" s="2612">
        <f t="shared" si="1176"/>
        <v>0.11311648382674599</v>
      </c>
      <c r="DB326" s="2588">
        <f t="shared" si="1176"/>
        <v>8.7926800362345015E-2</v>
      </c>
      <c r="DC326" s="2612">
        <f t="shared" si="1176"/>
        <v>0.11277893245851578</v>
      </c>
      <c r="DD326" s="2612">
        <f t="shared" si="1176"/>
        <v>7.8805109472281476E-2</v>
      </c>
      <c r="DE326" s="2612">
        <f t="shared" si="1176"/>
        <v>1.8031466403922725E-2</v>
      </c>
      <c r="DF326" s="2612">
        <f t="shared" si="1176"/>
        <v>-4.6557958827636581E-3</v>
      </c>
      <c r="DG326" s="2588">
        <f t="shared" si="1176"/>
        <v>3.4449877556001818E-2</v>
      </c>
      <c r="DH326" s="2612">
        <f t="shared" si="1176"/>
        <v>-4.7138049736004106E-2</v>
      </c>
      <c r="DI326" s="2612">
        <f t="shared" si="1176"/>
        <v>-1.6477097552900055E-2</v>
      </c>
      <c r="DJ326" s="2612">
        <f t="shared" si="1176"/>
        <v>-7.0631530707033763E-3</v>
      </c>
      <c r="DK326" s="2612">
        <f t="shared" si="1176"/>
        <v>-2.7542871889918108E-2</v>
      </c>
      <c r="DL326" s="2588">
        <f t="shared" si="1176"/>
        <v>-2.1710733713364627E-2</v>
      </c>
      <c r="DM326" s="2612">
        <f t="shared" si="1176"/>
        <v>-5.328952375054441E-2</v>
      </c>
      <c r="DN326" s="2612">
        <f t="shared" si="1176"/>
        <v>-0.1714184773248979</v>
      </c>
      <c r="DO326" s="2612">
        <f t="shared" si="1176"/>
        <v>-2.6232488686529831E-2</v>
      </c>
      <c r="DP326" s="2612">
        <f t="shared" si="1176"/>
        <v>7.5922837331571014E-2</v>
      </c>
      <c r="DQ326" s="2588">
        <f t="shared" si="1176"/>
        <v>-3.3118005998515554E-2</v>
      </c>
      <c r="DR326" s="2612">
        <f>DR325/DM325-1</f>
        <v>0.18111066495367534</v>
      </c>
      <c r="DS326" s="2612">
        <f t="shared" si="1176"/>
        <v>0.42520291270623711</v>
      </c>
      <c r="DT326" s="2612">
        <f t="shared" si="1176"/>
        <v>0.24502489771854807</v>
      </c>
      <c r="DU326" s="2612">
        <f t="shared" ref="DU326:EC326" si="1177">DU325/DP325-1</f>
        <v>0.15496578911008974</v>
      </c>
      <c r="DV326" s="2588">
        <f t="shared" si="1177"/>
        <v>0.23795838976268691</v>
      </c>
      <c r="DW326" s="2612">
        <f t="shared" si="1177"/>
        <v>5.6436399039548668E-2</v>
      </c>
      <c r="DX326" s="2612">
        <f t="shared" si="1177"/>
        <v>-5.3389264735341224E-2</v>
      </c>
      <c r="DY326" s="2612">
        <f t="shared" si="1177"/>
        <v>-0.13515156297516695</v>
      </c>
      <c r="DZ326" s="2612">
        <f t="shared" si="1177"/>
        <v>-0.17915249481770901</v>
      </c>
      <c r="EA326" s="2588">
        <f t="shared" si="1177"/>
        <v>-9.3142373872097006E-2</v>
      </c>
      <c r="EB326" s="2612">
        <f t="shared" si="1177"/>
        <v>-0.13695442293549021</v>
      </c>
      <c r="EC326" s="2612">
        <f t="shared" si="1177"/>
        <v>-2.8819540680628197E-2</v>
      </c>
      <c r="ED326" s="2612">
        <f t="shared" ref="ED326:EN326" si="1178">ED325/DY325-1</f>
        <v>9.9692253784310569E-2</v>
      </c>
      <c r="EE326" s="2612">
        <f t="shared" si="1178"/>
        <v>0.17267054125046344</v>
      </c>
      <c r="EF326" s="2588">
        <f t="shared" si="1178"/>
        <v>5.3725819738924097E-2</v>
      </c>
      <c r="EG326" s="2612">
        <f t="shared" si="1178"/>
        <v>0.20979739125023333</v>
      </c>
      <c r="EH326" s="2612">
        <f t="shared" si="1178"/>
        <v>0.17380459719293406</v>
      </c>
      <c r="EI326" s="2612">
        <f t="shared" si="1178"/>
        <v>0.16154100458649334</v>
      </c>
      <c r="EJ326" s="2612">
        <f t="shared" si="1178"/>
        <v>0.11859572435656252</v>
      </c>
      <c r="EK326" s="2588">
        <f t="shared" si="1178"/>
        <v>0.15801471165311187</v>
      </c>
      <c r="EL326" s="2612">
        <f t="shared" si="1178"/>
        <v>0.10323877969002115</v>
      </c>
      <c r="EM326" s="2612">
        <f t="shared" si="1178"/>
        <v>0.10022238748927403</v>
      </c>
      <c r="EN326" s="2612">
        <f t="shared" si="1178"/>
        <v>0.10902983209774764</v>
      </c>
      <c r="EO326" s="2612">
        <f t="shared" ref="EO326:EP326" si="1179">EO325/EJ325-1</f>
        <v>0.11100733997792656</v>
      </c>
      <c r="EP326" s="2588">
        <f t="shared" si="1179"/>
        <v>0.10143701125572302</v>
      </c>
      <c r="EQ326" s="2612">
        <f t="shared" ref="EQ326" si="1180">EQ325/EL325-1</f>
        <v>0.12937951063506192</v>
      </c>
      <c r="ER326" s="2612">
        <f t="shared" ref="ER326" si="1181">ER325/EM325-1</f>
        <v>0.12004628092890135</v>
      </c>
      <c r="ES326" s="2612">
        <f t="shared" ref="ES326" si="1182">ES325/EN325-1</f>
        <v>0.11305895479845463</v>
      </c>
      <c r="ET326" s="2612">
        <f t="shared" ref="ET326:EU326" si="1183">ET325/EO325-1</f>
        <v>0.11453137361528154</v>
      </c>
      <c r="EU326" s="2588">
        <f t="shared" si="1183"/>
        <v>0.11917476596852006</v>
      </c>
      <c r="EV326" s="2588">
        <f>EV325/EU325-1</f>
        <v>9.6412644177549689E-2</v>
      </c>
      <c r="EW326" s="2588">
        <f>EW325/EV325-1</f>
        <v>8.4422575141633649E-2</v>
      </c>
      <c r="EX326" s="2588">
        <f>EX325/EW325-1</f>
        <v>7.5186346728876252E-2</v>
      </c>
      <c r="EY326" s="2588">
        <f>EY325/EX325-1</f>
        <v>7.1445544929881866E-2</v>
      </c>
      <c r="EZ326" s="183"/>
      <c r="FA326" s="725"/>
      <c r="FB326" s="725"/>
    </row>
    <row r="327" spans="1:158" s="129" customFormat="1" ht="11.25" hidden="1" customHeight="1" outlineLevel="1">
      <c r="A327" s="5523" t="s">
        <v>979</v>
      </c>
      <c r="B327" s="5524"/>
      <c r="C327" s="5524"/>
      <c r="D327" s="5524"/>
      <c r="E327" s="5524"/>
      <c r="F327" s="5587"/>
      <c r="G327" s="5524"/>
      <c r="H327" s="5524"/>
      <c r="I327" s="5524"/>
      <c r="J327" s="5524"/>
      <c r="K327" s="5525"/>
      <c r="L327" s="5524"/>
      <c r="M327" s="5524"/>
      <c r="N327" s="5524"/>
      <c r="O327" s="5524"/>
      <c r="P327" s="5539"/>
      <c r="Q327" s="5540"/>
      <c r="R327" s="5541"/>
      <c r="S327" s="5541"/>
      <c r="T327" s="5541"/>
      <c r="U327" s="5539">
        <f>(SUM(IS!U8,IS!U12,IS!U17,IS!U20,IS!U23)*1000000)/AVERAGE(Q317:T317)</f>
        <v>511454.26983324904</v>
      </c>
      <c r="V327" s="5540"/>
      <c r="W327" s="5541"/>
      <c r="X327" s="5541"/>
      <c r="Y327" s="5542"/>
      <c r="Z327" s="5539">
        <f>(SUM(IS!Z8,IS!Z12,IS!Z17,IS!Z20,IS!Z23)*1000000)/AVERAGE(V317:Y317)</f>
        <v>885144.77053377975</v>
      </c>
      <c r="AA327" s="5540"/>
      <c r="AB327" s="5541"/>
      <c r="AC327" s="5541"/>
      <c r="AD327" s="5542"/>
      <c r="AE327" s="5539">
        <f>(SUM(IS!AE8,IS!AE12,IS!AE17,IS!AE20,IS!AE23)*1000000)/AVERAGE(AA317:AD317)</f>
        <v>949850.72815533984</v>
      </c>
      <c r="AF327" s="5540"/>
      <c r="AG327" s="5541"/>
      <c r="AH327" s="5541"/>
      <c r="AI327" s="5541"/>
      <c r="AJ327" s="5539">
        <f>(SUM(IS!AJ8,IS!AJ12,IS!AJ17,IS!AJ20,IS!AJ23)*1000000)/AVERAGE(AF317:AI317)</f>
        <v>879520.45380167989</v>
      </c>
      <c r="AK327" s="5540"/>
      <c r="AL327" s="5541"/>
      <c r="AM327" s="5541"/>
      <c r="AN327" s="5542"/>
      <c r="AO327" s="5539">
        <f>(SUM(IS!AO8,IS!AO12,IS!AO17,IS!AO20,IS!AO23)*1000000)/AVERAGE(AK317:AN317)</f>
        <v>811283.46366145357</v>
      </c>
      <c r="AP327" s="5540"/>
      <c r="AQ327" s="5541"/>
      <c r="AR327" s="5541"/>
      <c r="AS327" s="5542"/>
      <c r="AT327" s="5539">
        <f>(SUM(IS!AT8,IS!AT12,IS!AT17,IS!AT20,IS!AT23)*1000000)/AVERAGE(AP317:AS317)</f>
        <v>783691.27585326403</v>
      </c>
      <c r="AU327" s="5540"/>
      <c r="AV327" s="5541"/>
      <c r="AW327" s="5541"/>
      <c r="AX327" s="5541"/>
      <c r="AY327" s="5539">
        <f>(SUM(IS!AY8,IS!AY12,IS!AY17,IS!AY20,IS!AY23)*1000000)/AVERAGE(AU317:AX317)</f>
        <v>766757.14556601981</v>
      </c>
      <c r="AZ327" s="5540"/>
      <c r="BA327" s="5541"/>
      <c r="BB327" s="5541"/>
      <c r="BC327" s="5541"/>
      <c r="BD327" s="5539">
        <f>(SUM(IS!BD8,IS!BD12,IS!BD17,IS!BD20,IS!BD23)*1000000)/AVERAGE(AZ317:BC317)</f>
        <v>772227.9169288862</v>
      </c>
      <c r="BE327" s="5540"/>
      <c r="BF327" s="5541"/>
      <c r="BG327" s="5541"/>
      <c r="BH327" s="5541"/>
      <c r="BI327" s="5539">
        <f>(SUM(IS!BI8,IS!BI12,IS!BI17,IS!BI20,IS!BI23)*1000000)/AVERAGE(BE317:BH317)</f>
        <v>840267.53330301587</v>
      </c>
      <c r="BJ327" s="5540"/>
      <c r="BK327" s="5541"/>
      <c r="BL327" s="5541"/>
      <c r="BM327" s="5541"/>
      <c r="BN327" s="5539">
        <f>(SUM(IS!BN8,IS!BN12,IS!BN17,IS!BN20,IS!BN23)*1000000)/AVERAGE(BJ317:BM317)</f>
        <v>863318.30720581312</v>
      </c>
      <c r="BO327" s="5541"/>
      <c r="BP327" s="5541"/>
      <c r="BQ327" s="5541"/>
      <c r="BR327" s="5541"/>
      <c r="BS327" s="5543"/>
      <c r="BT327" s="5541"/>
      <c r="BU327" s="5541"/>
      <c r="BV327" s="5541"/>
      <c r="BW327" s="5541"/>
      <c r="BX327" s="5539">
        <f>(SUM(IS!BX8,IS!BX12,IS!BX17,IS!BX20,IS!BX23)*1000000)/AVERAGE(BT317:BW317)</f>
        <v>913293.1584544488</v>
      </c>
      <c r="BY327" s="5541"/>
      <c r="BZ327" s="5541"/>
      <c r="CA327" s="5541"/>
      <c r="CB327" s="5541"/>
      <c r="CC327" s="5543"/>
      <c r="CD327" s="5541">
        <f>((SUM(IS!CD8,IS!CD12,IS!CD17,IS!CD20,IS!CD23)*1000000*4))/AVERAGE(BX317,CD317)</f>
        <v>965142.95452459913</v>
      </c>
      <c r="CE327" s="5541">
        <f>((SUM(IS!CE8,IS!CE12,IS!CE17,IS!CE20,IS!CE23)*1000000*4))/AVERAGE(CD317,CE317)</f>
        <v>977431.98550375714</v>
      </c>
      <c r="CF327" s="5541">
        <f>((SUM(IS!CF8,IS!CF12,IS!CF17,IS!CF20,IS!CF23)*1000000*4))/AVERAGE(CE317,CF317)</f>
        <v>970901.14160796697</v>
      </c>
      <c r="CG327" s="5541">
        <f>((SUM(IS!CG8,IS!CG12,IS!CG17,IS!CG20,IS!CG23)*1000000*4))/AVERAGE(CF317,CG317)</f>
        <v>1048823.5841160605</v>
      </c>
      <c r="CH327" s="5539">
        <f>(SUM(IS!CH8,IS!CH12,IS!CH17,IS!CH20,IS!CH23)*1000000)/AVERAGE(CD317:CG317)</f>
        <v>972856.96097392403</v>
      </c>
      <c r="CI327" s="5541">
        <f>((SUM(IS!CI8,IS!CI12,IS!CI17,IS!CI20,IS!CI23)*1000000*4))/AVERAGE(CH317:CI317)</f>
        <v>1004531.7220543807</v>
      </c>
      <c r="CJ327" s="5541">
        <f>((SUM(IS!CJ8,IS!CJ12,IS!CJ17,IS!CJ20,IS!CJ23)*1000000*4))/AVERAGE(CI317:CJ317)</f>
        <v>987567.80716381362</v>
      </c>
      <c r="CK327" s="5541">
        <f>((SUM(IS!CK8,IS!CK12,IS!CK17,IS!CK20,IS!CK23)*1000000*4))/AVERAGE(CJ317:CK317)</f>
        <v>1022406.8378799377</v>
      </c>
      <c r="CL327" s="5541">
        <f>((SUM(IS!CL8,IS!CL12,IS!CL17,IS!CL20,IS!CL23)*1000000*4))/AVERAGE(CK317:CL317)</f>
        <v>1042486.0218325662</v>
      </c>
      <c r="CM327" s="5539">
        <f>(SUM(IS!CM8,IS!CM12,IS!CM17,IS!CM20,IS!CM23)*1000000)/AVERAGE(CI317:CL317)</f>
        <v>990506.10750407667</v>
      </c>
      <c r="CN327" s="5541">
        <f>((SUM(IS!CN8,IS!CN12,IS!CN17,IS!CN20,IS!CN23)*1000000*4))/AVERAGE(CM317:CN317)</f>
        <v>940256.88073394494</v>
      </c>
      <c r="CO327" s="5541">
        <f>((SUM(IS!CO8,IS!CO12,IS!CO17,IS!CO20,IS!CO23)*1000000*4))/AVERAGE(CN317:CO317)</f>
        <v>917084.26626861433</v>
      </c>
      <c r="CP327" s="5541">
        <f>((SUM(IS!CP8,IS!CP12,IS!CP17,IS!CP20,IS!CP23)*1000000*4))/AVERAGE(CO317:CP317)</f>
        <v>953997.47276390833</v>
      </c>
      <c r="CQ327" s="5541">
        <f>((SUM(IS!CQ8,IS!CQ12,IS!CQ17,IS!CQ20,IS!CQ23)*1000000*4))/AVERAGE(CP317:CQ317)</f>
        <v>1047639.3792593809</v>
      </c>
      <c r="CR327" s="5539">
        <f>(SUM(IS!CR8,IS!CR12,IS!CR17,IS!CR20,IS!CR23)*1000000)/AVERAGE(CN317:CQ317)</f>
        <v>949551.50253053277</v>
      </c>
      <c r="CS327" s="5541">
        <f>((SUM(IS!CS8,IS!CS12,IS!CS17,IS!CS20,IS!CS23)*1000000*4))/AVERAGE(CR317:CS317)</f>
        <v>947518.04588299757</v>
      </c>
      <c r="CT327" s="5541">
        <f>((SUM(IS!CT8,IS!CT12,IS!CT17,IS!CT20,IS!CT23)*1000000*4))/AVERAGE(CS317:CT317)</f>
        <v>950768.99533246609</v>
      </c>
      <c r="CU327" s="5541">
        <f>((SUM(IS!CU8,IS!CU12,IS!CU17,IS!CU20,IS!CU23)*1000000*4))/AVERAGE(CT317:CU317)</f>
        <v>977616.31313723198</v>
      </c>
      <c r="CV327" s="5541">
        <f>((SUM(IS!CV8,IS!CV12,IS!CV17,IS!CV20,IS!CV23)*1000000*4))/AVERAGE(CU317:CV317)</f>
        <v>1094319.9583116206</v>
      </c>
      <c r="CW327" s="5539">
        <f>(SUM(IS!CW8,IS!CW12,IS!CW17,IS!CW20,IS!CW23)*1000000)/AVERAGE(CS317:CV317)</f>
        <v>976266.61190483172</v>
      </c>
      <c r="CX327" s="5541">
        <f>((SUM(IS!CX8,IS!CX12,IS!CX17,IS!CX20,IS!CX23)*1000000*4))/AVERAGE(CW317:CX317)</f>
        <v>995966.99647368956</v>
      </c>
      <c r="CY327" s="5541">
        <f>((SUM(IS!CY8,IS!CY12,IS!CY17,IS!CY20,IS!CY23)*1000000*4))/AVERAGE(CX317:CY317)</f>
        <v>1023650.0487974439</v>
      </c>
      <c r="CZ327" s="5541">
        <f>((SUM(IS!CZ8,IS!CZ12,IS!CZ17,IS!CZ20,IS!CZ23)*1000000*4))/AVERAGE(CY317:CZ317)</f>
        <v>1040421.0608495384</v>
      </c>
      <c r="DA327" s="5541">
        <f>((SUM(IS!DA8,IS!DA12,IS!DA17,IS!DA20,IS!DA23)*1000000*4))/AVERAGE(CZ317:DA317)</f>
        <v>1246891.8090398265</v>
      </c>
      <c r="DB327" s="5539">
        <f>(SUM(IS!DB8,IS!DB12,IS!DB17,IS!DB20,IS!DB23)*1000000)/AVERAGE(CX317:DA317)</f>
        <v>1065245.0058315385</v>
      </c>
      <c r="DC327" s="5541">
        <f>((SUM(IS!DC8,IS!DC12,IS!DC17,IS!DC20,IS!DC23)*1000000*4))/AVERAGE(DB317:DC317)</f>
        <v>1138919.8353112133</v>
      </c>
      <c r="DD327" s="5541">
        <f>((SUM(IS!DD8,IS!DD12,IS!DD17,IS!DD20,IS!DD23)*1000000*4))/AVERAGE(DC317:DD317)</f>
        <v>1127621.9358099571</v>
      </c>
      <c r="DE327" s="5541">
        <f>((SUM(IS!DE8,IS!DE12,IS!DE17,IS!DE20,IS!DE23)*1000000*4))/AVERAGE(DD317:DE317)</f>
        <v>1095349.7246906178</v>
      </c>
      <c r="DF327" s="5541">
        <f>((SUM(IS!DF8,IS!DF12,IS!DF17,IS!DF20,IS!DF23)*1000000*4))/AVERAGE(DE317:DF317)</f>
        <v>1286300.8237419943</v>
      </c>
      <c r="DG327" s="5539">
        <f>(SUM(IS!DG8,IS!DG12,IS!DG17,IS!DG20,IS!DG23)*1000000)/AVERAGE(DC317:DF317)</f>
        <v>1135180.0267392057</v>
      </c>
      <c r="DH327" s="5541">
        <f>((SUM(IS!DH8,IS!DH12,IS!DH17,IS!DH20,IS!DH23)*1000000*4))/AVERAGE(DG317:DH317)</f>
        <v>1108994.708994709</v>
      </c>
      <c r="DI327" s="5541">
        <f>((SUM(IS!DI8,IS!DI12,IS!DI17,IS!DI20,IS!DI23)*1000000*4))/AVERAGE(DH317:DI317)</f>
        <v>1127931.5980199426</v>
      </c>
      <c r="DJ327" s="5541">
        <f>((SUM(IS!DJ8,IS!DJ12,IS!DJ17,IS!DJ20,IS!DJ23)*1000000*4))/AVERAGE(DI317:DJ317)</f>
        <v>1130034.0034815236</v>
      </c>
      <c r="DK327" s="5541">
        <f>((SUM(IS!DK8,IS!DK12,IS!DK17,IS!DK20,IS!DK23)*1000000*4))/AVERAGE(DJ317:DK317)</f>
        <v>1263855.4475417926</v>
      </c>
      <c r="DL327" s="5539">
        <f>(SUM(IS!DL8,IS!DL12,IS!DL17,IS!DL20,IS!DL23)*1000000)/AVERAGE(DH317:DK317)</f>
        <v>1134240.0360279216</v>
      </c>
      <c r="DM327" s="5541">
        <f>((SUM(IS!DM8,IS!DM12,IS!DM17,IS!DM20,IS!DM23)*1000000*4))/AVERAGE(DL317:DM317)</f>
        <v>1097165.9082361013</v>
      </c>
      <c r="DN327" s="5541">
        <f>((SUM(IS!DN8,IS!DN12,IS!DN17,IS!DN20,IS!DN23)*1000000*4))/AVERAGE(DM317:DN317)</f>
        <v>1019022.4549583709</v>
      </c>
      <c r="DO327" s="5541">
        <f>((SUM(IS!DO8,IS!DO12,IS!DO17,IS!DO20,IS!DO23)*1000000*4))/AVERAGE(DN317:DO317)</f>
        <v>1077270.9239308371</v>
      </c>
      <c r="DP327" s="5541">
        <f>((SUM(IS!DP8,IS!DP12,IS!DP17,IS!DP20,IS!DP23)*1000000*4))/AVERAGE(DO317:DP317)</f>
        <v>1233914.9359439388</v>
      </c>
      <c r="DQ327" s="5539">
        <f>(SUM(IS!DQ8,IS!DQ12,IS!DQ17,IS!DQ20,IS!DQ23)*1000000)/AVERAGE(DM317:DP317)</f>
        <v>1091210.2678157724</v>
      </c>
      <c r="DR327" s="5541">
        <f>((SUM(IS!DR8,IS!DR12,IS!DR17,IS!DR20,IS!DR23)*1000000*4))/AVERAGE(DQ317:DR317)</f>
        <v>1129751.2495641056</v>
      </c>
      <c r="DS327" s="5541">
        <f>((SUM(IS!DS8,IS!DS12,IS!DS17,IS!DS20,IS!DS23)*1000000*4))/AVERAGE(DR317:DS317)</f>
        <v>1197503.2652587036</v>
      </c>
      <c r="DT327" s="5541">
        <f>((SUM(IS!DT8,IS!DT12,IS!DT17,IS!DT20,IS!DT23)*1000000*4))/AVERAGE(DS317:DT317)</f>
        <v>1199303.6003318781</v>
      </c>
      <c r="DU327" s="5541">
        <f>((SUM(IS!DU8,IS!DU12,IS!DU17,IS!DU20,IS!DU23)*1000000*4))/AVERAGE(DT317:DU317)</f>
        <v>1394717.6114416954</v>
      </c>
      <c r="DV327" s="5539">
        <f>(SUM(IS!DV8,IS!DV12,IS!DV17,IS!DV20,IS!DV23)*1000000)/AVERAGE(DR317:DU317)</f>
        <v>1211848.0338786175</v>
      </c>
      <c r="DW327" s="5541">
        <f>((SUM(IS!DW8,IS!DW12,IS!DW17,IS!DW20,IS!DW23)*1000000*4))/AVERAGE(DV317:DW317)</f>
        <v>1196407.0585444716</v>
      </c>
      <c r="DX327" s="5541">
        <f>((SUM(IS!DX8,IS!DX12,IS!DX17,IS!DX20,IS!DX23)*1000000*4))/AVERAGE(DW317:DX317)</f>
        <v>1189204.5454545454</v>
      </c>
      <c r="DY327" s="5541">
        <f>((SUM(IS!DY8,IS!DY12,IS!DY17,IS!DY20,IS!DY23)*1000000*4))/AVERAGE(DX317:DY317)</f>
        <v>1152062.2628487803</v>
      </c>
      <c r="DZ327" s="5541">
        <f>((SUM(IS!DZ8,IS!DZ12,IS!DZ17,IS!DZ20,IS!DZ23)*1000000*4))/AVERAGE(DY317:DZ317)</f>
        <v>1228350.2160402958</v>
      </c>
      <c r="EA327" s="5539">
        <f>(SUM(IS!EA8,IS!EA12,IS!EA17,IS!EA20,IS!EA23)*1000000)/AVERAGE(DW317:DZ317)</f>
        <v>1163711.8443266712</v>
      </c>
      <c r="EB327" s="5541">
        <f>((SUM(IS!EB8,IS!EB12,IS!EB17,IS!EB20,IS!EB23)*1000000*4))/AVERAGE(EA317:EB317)</f>
        <v>1099833.309270367</v>
      </c>
      <c r="EC327" s="5541">
        <f>((SUM(IS!EC8,IS!EC12,IS!EC17,IS!EC20,IS!EC23)*1000000*4))/AVERAGE(EB317:EC317)</f>
        <v>1133202.150820517</v>
      </c>
      <c r="ED327" s="5541">
        <f>((SUM(IS!ED8,IS!ED12,IS!ED17,IS!ED20,IS!ED23)*1000000*4))/AVERAGE(EC317:ED317)</f>
        <v>1215885.5947212772</v>
      </c>
      <c r="EE327" s="5541">
        <f>((SUM(IS!EE8,IS!EE12,IS!EE17,IS!EE20,IS!EE23)*1000000*4))/AVERAGE(ED317:EE317)</f>
        <v>1372779.7677611727</v>
      </c>
      <c r="EF327" s="5539">
        <f>(SUM(IS!EF8,IS!EF12,IS!EF17,IS!EF20,IS!EF23)*1000000)/AVERAGE(EB317:EE317)</f>
        <v>1210216.5469655218</v>
      </c>
      <c r="EG327" s="5541">
        <f>((SUM(IS!EG8,IS!EG12,IS!EG17,IS!EG20,IS!EG23)*1000000*4))/AVERAGE(EF317:EG317)</f>
        <v>1212271.9780295379</v>
      </c>
      <c r="EH327" s="5541">
        <f>((SUM(IS!EH8,IS!EH12,IS!EH17,IS!EH20,IS!EH23)*1000000*4))/AVERAGE(EG317:EH317)</f>
        <v>1272025.6770889682</v>
      </c>
      <c r="EI327" s="5541">
        <f>((SUM(IS!EI8,IS!EI12,IS!EI17,IS!EI20,IS!EI23)*1000000*4))/AVERAGE(EH317:EI317)</f>
        <v>1324579.9512818309</v>
      </c>
      <c r="EJ327" s="5541">
        <f>((SUM(IS!EJ8,IS!EJ12,IS!EJ17,IS!EJ20,IS!EJ23)*1000000*4))/AVERAGE(EI317:EJ317)</f>
        <v>1437157.1510071531</v>
      </c>
      <c r="EK327" s="5539">
        <f>(SUM(IS!EK8,IS!EK12,IS!EK17,IS!EK20,IS!EK23)*1000000)/AVERAGE(EG317:EJ317)</f>
        <v>1310926.2704652937</v>
      </c>
      <c r="EL327" s="5541">
        <f>((SUM(IS!EL8,IS!EL12,IS!EL17,IS!EL20,IS!EL23)*1000000*4))/AVERAGE(EK317:EL317)</f>
        <v>1292600.8421805648</v>
      </c>
      <c r="EM327" s="5541">
        <f>((SUM(IS!EM8,IS!EM12,IS!EM17,IS!EM20,IS!EM23)*1000000*4))/AVERAGE(EL317:EM317)</f>
        <v>1398136.3760722275</v>
      </c>
      <c r="EN327" s="5541">
        <f>((SUM(IS!EN8,IS!EN12,IS!EN17,IS!EN20,IS!EN23)*1000000*4))/AVERAGE(EM317:EN317)</f>
        <v>1434749.6487926419</v>
      </c>
      <c r="EO327" s="5541">
        <f>((SUM(IS!EO8,IS!EO12,IS!EO17,IS!EO20,IS!EO23)*1000000*4))/AVERAGE(EN317:EO317)</f>
        <v>1569414.7272331992</v>
      </c>
      <c r="EP327" s="5539">
        <f>(SUM(IS!EP8,IS!EP12,IS!EP17,IS!EP20,IS!EP23)*1000000)/AVERAGE(EL317:EO317)</f>
        <v>1417085.3362050797</v>
      </c>
      <c r="EQ327" s="5541">
        <f>((SUM(IS!EQ8,IS!EQ12,IS!EQ17,IS!EQ20,IS!EQ23)*1000000*4))/AVERAGE(EP317:EQ317)</f>
        <v>1437798.0703760721</v>
      </c>
      <c r="ER327" s="5541">
        <f>((SUM(IS!ER8,IS!ER12,IS!ER17,IS!ER20,IS!ER23)*1000000*4))/AVERAGE(EQ317:ER317)</f>
        <v>1516386.7142377307</v>
      </c>
      <c r="ES327" s="5541">
        <f>((SUM(IS!ES8,IS!ES12,IS!ES17,IS!ES20,IS!ES23)*1000000*4))/AVERAGE(ER317:ES317)</f>
        <v>1600600.8654034273</v>
      </c>
      <c r="ET327" s="5541">
        <f>((SUM(IS!ET8,IS!ET12,IS!ET17,IS!ET20,IS!ET23)*1000000*4))/AVERAGE(ES317:ET317)</f>
        <v>1745509.9726037912</v>
      </c>
      <c r="EU327" s="5539">
        <f>(SUM(IS!EU8,IS!EU12,IS!EU17,IS!EU20,IS!EU23)*1000000)/AVERAGE(EQ317:ET317)</f>
        <v>1568300.4993661253</v>
      </c>
      <c r="EV327" s="5539">
        <f>(SUM(IS!EV8,IS!EV12,IS!EV17,IS!EV20,IS!EV23)*1000000)/AVERAGE(EU317,EV317)</f>
        <v>1731109.5969737757</v>
      </c>
      <c r="EW327" s="5539">
        <f>(SUM(IS!EW8,IS!EW12,IS!EW17,IS!EW20,IS!EW23)*1000000)/AVERAGE(EV317,EW317)</f>
        <v>1861505.4852863203</v>
      </c>
      <c r="EX327" s="5539">
        <f>(SUM(IS!EX8,IS!EX12,IS!EX17,IS!EX20,IS!EX23)*1000000)/AVERAGE(EW317,EX317)</f>
        <v>1977011.1950575875</v>
      </c>
      <c r="EY327" s="5539">
        <f>(SUM(IS!EY8,IS!EY12,IS!EY17,IS!EY20,IS!EY23)*1000000)/AVERAGE(EX317,EY317)</f>
        <v>2083860.2439654674</v>
      </c>
      <c r="FA327" s="1319">
        <f>(EV327/EK327)^(1/3)-1</f>
        <v>9.7106443607857251E-2</v>
      </c>
      <c r="FB327" s="1319">
        <f>(EX327/EK327)^(1/5)-1</f>
        <v>8.5640839973230243E-2</v>
      </c>
    </row>
    <row r="328" spans="1:158" s="129" customFormat="1" ht="11.25" hidden="1" customHeight="1" outlineLevel="1">
      <c r="A328" s="5523" t="s">
        <v>1030</v>
      </c>
      <c r="B328" s="5524"/>
      <c r="C328" s="5524"/>
      <c r="D328" s="5524"/>
      <c r="E328" s="5524"/>
      <c r="F328" s="5587"/>
      <c r="G328" s="5524"/>
      <c r="H328" s="5524"/>
      <c r="I328" s="5524"/>
      <c r="J328" s="5524"/>
      <c r="K328" s="5525"/>
      <c r="L328" s="5524"/>
      <c r="M328" s="5524"/>
      <c r="N328" s="5524"/>
      <c r="O328" s="5524"/>
      <c r="P328" s="5539"/>
      <c r="Q328" s="5540"/>
      <c r="R328" s="5541"/>
      <c r="S328" s="5541"/>
      <c r="T328" s="5541"/>
      <c r="U328" s="5539">
        <f>(SUM(IS!U17,IS!U20,IS!U23)*1000000)/AVERAGE(Q317:T317)</f>
        <v>243490.65184436584</v>
      </c>
      <c r="V328" s="5540"/>
      <c r="W328" s="5541"/>
      <c r="X328" s="5541"/>
      <c r="Y328" s="5542"/>
      <c r="Z328" s="5539">
        <f>(SUM(IS!Z17,IS!Z20,IS!Z23)*1000000)/AVERAGE(V317:Y317)</f>
        <v>385313.37403978728</v>
      </c>
      <c r="AA328" s="5540"/>
      <c r="AB328" s="5541"/>
      <c r="AC328" s="5541"/>
      <c r="AD328" s="5542"/>
      <c r="AE328" s="5539">
        <f>(SUM(IS!AE17,IS!AE20,IS!AE23)*1000000)/AVERAGE(AA317:AD317)</f>
        <v>355608.4142394822</v>
      </c>
      <c r="AF328" s="5540"/>
      <c r="AG328" s="5541"/>
      <c r="AH328" s="5541"/>
      <c r="AI328" s="5541"/>
      <c r="AJ328" s="5539">
        <f>(SUM(IS!AJ17,IS!AJ20,IS!AJ23)*1000000)/AVERAGE(AF317:AI317)</f>
        <v>317266.93574779102</v>
      </c>
      <c r="AK328" s="5540"/>
      <c r="AL328" s="5541"/>
      <c r="AM328" s="5541"/>
      <c r="AN328" s="5542"/>
      <c r="AO328" s="5539">
        <f>(SUM(IS!AO17,IS!AO20,IS!AO23)*1000000)/AVERAGE(AK317:AN317)</f>
        <v>325424.7930082797</v>
      </c>
      <c r="AP328" s="5540"/>
      <c r="AQ328" s="5541"/>
      <c r="AR328" s="5541"/>
      <c r="AS328" s="5542"/>
      <c r="AT328" s="5539">
        <f>(SUM(IS!AT17,IS!AT20,IS!AT23)*1000000)/AVERAGE(AP317:AS317)</f>
        <v>330949.08502851304</v>
      </c>
      <c r="AU328" s="5540"/>
      <c r="AV328" s="5541"/>
      <c r="AW328" s="5541"/>
      <c r="AX328" s="5541"/>
      <c r="AY328" s="5539">
        <f>(SUM(IS!AY17,IS!AY20,IS!AY23)*1000000)/AVERAGE(AU317:AX317)</f>
        <v>330804.62676189875</v>
      </c>
      <c r="AZ328" s="5540"/>
      <c r="BA328" s="5541"/>
      <c r="BB328" s="5541"/>
      <c r="BC328" s="5541"/>
      <c r="BD328" s="5539">
        <f>(SUM(IS!BD17,IS!BD20,IS!BD23)*1000000)/AVERAGE(AZ317:BC317)</f>
        <v>326960.95657646318</v>
      </c>
      <c r="BE328" s="5540"/>
      <c r="BF328" s="5541"/>
      <c r="BG328" s="5541"/>
      <c r="BH328" s="5541"/>
      <c r="BI328" s="5539">
        <f>(SUM(IS!BI17,IS!BI20,IS!BI23)*1000000)/AVERAGE(BE317:BH317)</f>
        <v>378095.988109631</v>
      </c>
      <c r="BJ328" s="5540"/>
      <c r="BK328" s="5541"/>
      <c r="BL328" s="5541"/>
      <c r="BM328" s="5541"/>
      <c r="BN328" s="5539">
        <f>(SUM(IS!BN17,IS!BN20,IS!BN23)*1000000)/AVERAGE(BJ317:BM317)</f>
        <v>419666.28540671465</v>
      </c>
      <c r="BO328" s="5541"/>
      <c r="BP328" s="5541"/>
      <c r="BQ328" s="5541"/>
      <c r="BR328" s="5541"/>
      <c r="BS328" s="5543"/>
      <c r="BT328" s="5541"/>
      <c r="BU328" s="5541"/>
      <c r="BV328" s="5541"/>
      <c r="BW328" s="5541"/>
      <c r="BX328" s="5539">
        <f>(SUM(IS!BX17,IS!BX20,IS!BX23)*1000000)/AVERAGE(BT317:BW317)</f>
        <v>426203.47394540941</v>
      </c>
      <c r="BY328" s="5541"/>
      <c r="BZ328" s="5541"/>
      <c r="CA328" s="5541"/>
      <c r="CB328" s="5541"/>
      <c r="CC328" s="5543"/>
      <c r="CD328" s="5541">
        <f>((SUM(IS!CD17,IS!CD20,IS!CD23)*1000000)*4)/(AVERAGE(BX317,CD317))</f>
        <v>426517.04835939856</v>
      </c>
      <c r="CE328" s="5541">
        <f>((SUM(IS!CE17,IS!CE20,IS!CE23)*1000000)*4)/(AVERAGE(CD317:CE317))</f>
        <v>450802.7421214694</v>
      </c>
      <c r="CF328" s="5541">
        <f>((SUM(IS!CF17,IS!CF20,IS!CF23)*1000000)*4)/(AVERAGE(CE317:CF317))</f>
        <v>445372.84430410492</v>
      </c>
      <c r="CG328" s="5541">
        <f>((SUM(IS!CG17,IS!CG20,IS!CG23)*1000000)*4)/(AVERAGE(CF317:CG317))</f>
        <v>467311.44796800893</v>
      </c>
      <c r="CH328" s="5539">
        <f>(SUM(IS!CH17,IS!CH20,IS!CH23)*1000000)/AVERAGE(CD317:CG317)</f>
        <v>439502.61002419045</v>
      </c>
      <c r="CI328" s="5541">
        <f>((SUM(IS!CI17,IS!CI20,IS!CI23)*1000000)*4)/(AVERAGE(CH317:CI317))</f>
        <v>474853.38546294649</v>
      </c>
      <c r="CJ328" s="5541">
        <f>((SUM(IS!CJ17,IS!CJ20,IS!CJ23)*1000000)*4)/(AVERAGE(CI317:CJ317))</f>
        <v>471367.96335774742</v>
      </c>
      <c r="CK328" s="5541">
        <f>((SUM(IS!CK17,IS!CK20,IS!CK23)*1000000)*4)/(AVERAGE(CJ317:CK317))</f>
        <v>487598.35443543555</v>
      </c>
      <c r="CL328" s="5541">
        <f>((SUM(IS!CL17,IS!CL20,IS!CL23)*1000000)*4)/(AVERAGE(CK317:CL317))</f>
        <v>515994.06641055876</v>
      </c>
      <c r="CM328" s="5539">
        <f>(SUM(IS!CM17,IS!CM20,IS!CM23)*1000000)/AVERAGE(CI317:CL317)</f>
        <v>476475.35489550716</v>
      </c>
      <c r="CN328" s="5541">
        <f>((SUM(IS!CN17,IS!CN20,IS!CN23)*1000000)*4)/(AVERAGE(CM317:CN317))</f>
        <v>473761.46788990824</v>
      </c>
      <c r="CO328" s="5541">
        <f>((SUM(IS!CO17,IS!CO20,IS!CO23)*1000000)*4)/(AVERAGE(CN317:CO317))</f>
        <v>449159.46973735653</v>
      </c>
      <c r="CP328" s="5541">
        <f>((SUM(IS!CP17,IS!CP20,IS!CP23)*1000000)*4)/(AVERAGE(CO317:CP317))</f>
        <v>473344.48960076499</v>
      </c>
      <c r="CQ328" s="5541">
        <f>((SUM(IS!CQ17,IS!CQ20,IS!CQ23)*1000000)*4)/(AVERAGE(CP317:CQ317))</f>
        <v>509795.54971672554</v>
      </c>
      <c r="CR328" s="5539">
        <f>(SUM(IS!CR17,IS!CR20,IS!CR23)*1000000)/AVERAGE(CN317:CQ317)</f>
        <v>468810.00947349553</v>
      </c>
      <c r="CS328" s="5541">
        <f>((SUM(IS!CS17,IS!CS20,IS!CS23)*1000000)*4)/(AVERAGE(CR317:CS317))</f>
        <v>461656.96543290268</v>
      </c>
      <c r="CT328" s="5541">
        <f>((SUM(IS!CT17,IS!CT20,IS!CT23)*1000000)*4)/(AVERAGE(CS317:CT317))</f>
        <v>453102.76226184098</v>
      </c>
      <c r="CU328" s="5541">
        <f>((SUM(IS!CU17,IS!CU20,IS!CU23)*1000000)*4)/(AVERAGE(CT317:CU317))</f>
        <v>467889.37067854212</v>
      </c>
      <c r="CV328" s="5541">
        <f>((SUM(IS!CV17,IS!CV20,IS!CV23)*1000000)*4)/(AVERAGE(CU317:CV317))</f>
        <v>493725.61722744111</v>
      </c>
      <c r="CW328" s="5539">
        <f>(SUM(IS!CW17,IS!CW20,IS!CW23)*1000000)/AVERAGE(CS317:CV317)</f>
        <v>460850.17748701852</v>
      </c>
      <c r="CX328" s="5541">
        <f>((SUM(IS!CX17,IS!CX20,IS!CX23)*1000000)*4)/(AVERAGE(CW317:CX317))</f>
        <v>459420.04176794825</v>
      </c>
      <c r="CY328" s="5541">
        <f>((SUM(IS!CY17,IS!CY20,IS!CY23)*1000000)*4)/(AVERAGE(CX317:CY317))</f>
        <v>468936.75049131672</v>
      </c>
      <c r="CZ328" s="5541">
        <f>((SUM(IS!CZ17,IS!CZ20,IS!CZ23)*1000000)*4)/(AVERAGE(CY317:CZ317))</f>
        <v>460200.2511271445</v>
      </c>
      <c r="DA328" s="5541">
        <f>((SUM(IS!DA17,IS!DA20,IS!DA23)*1000000)*4)/(AVERAGE(CZ317:DA317))</f>
        <v>525475.47262832546</v>
      </c>
      <c r="DB328" s="5539">
        <f>(SUM(IS!DB17,IS!DB20,IS!DB23)*1000000)/AVERAGE(CX317:DA317)</f>
        <v>472890.6562186291</v>
      </c>
      <c r="DC328" s="5541">
        <f>((SUM(IS!DC17,IS!DC20,IS!DC23)*1000000)*4)/(AVERAGE(DB317:DC317))</f>
        <v>486606.92661661422</v>
      </c>
      <c r="DD328" s="5541">
        <f>((SUM(IS!DD17,IS!DD20,IS!DD23)*1000000)*4)/(AVERAGE(DC317:DD317))</f>
        <v>489719.02497300529</v>
      </c>
      <c r="DE328" s="5541">
        <f>((SUM(IS!DE17,IS!DE20,IS!DE23)*1000000)*4)/(AVERAGE(DD317:DE317))</f>
        <v>472507.22346399172</v>
      </c>
      <c r="DF328" s="5541">
        <f>((SUM(IS!DF17,IS!DF20,IS!DF23)*1000000)*4)/(AVERAGE(DE317:DF317))</f>
        <v>544135.69220732828</v>
      </c>
      <c r="DG328" s="5539">
        <f>(SUM(IS!DG17,IS!DG20,IS!DG23)*1000000)/AVERAGE(DC317:DF317)</f>
        <v>486588.19172718388</v>
      </c>
      <c r="DH328" s="5541">
        <f>((SUM(IS!DH17,IS!DH20,IS!DH23)*1000000)*4)/(AVERAGE(DG317:DH317))</f>
        <v>475577.31296049053</v>
      </c>
      <c r="DI328" s="5541">
        <f>((SUM(IS!DI17,IS!DI20,IS!DI23)*1000000)*4)/(AVERAGE(DH317:DI317))</f>
        <v>472485.25615215179</v>
      </c>
      <c r="DJ328" s="5541">
        <f>((SUM(IS!DJ17,IS!DJ20,IS!DJ23)*1000000)*4)/(AVERAGE(DI317:DJ317))</f>
        <v>496216.32347502955</v>
      </c>
      <c r="DK328" s="5541">
        <f>((SUM(IS!DK17,IS!DK20,IS!DK23)*1000000)*4)/(AVERAGE(DJ317:DK317))</f>
        <v>542123.22152835899</v>
      </c>
      <c r="DL328" s="5539">
        <f>(SUM(IS!DL17,IS!DL20,IS!DL23)*1000000)/AVERAGE(DH317:DK317)</f>
        <v>486674.17248367483</v>
      </c>
      <c r="DM328" s="5541">
        <f>((SUM(IS!DM17,IS!DM20,IS!DM23)*1000000)*4)/(AVERAGE(DL317:DM317))</f>
        <v>469524.31730916275</v>
      </c>
      <c r="DN328" s="5541">
        <f>((SUM(IS!DN17,IS!DN20,IS!DN23)*1000000)*4)/(AVERAGE(DM317:DN317))</f>
        <v>426620.26134921331</v>
      </c>
      <c r="DO328" s="5541">
        <f>((SUM(IS!DO17,IS!DO20,IS!DO23)*1000000)*4)/(AVERAGE(DN317:DO317))</f>
        <v>426563.5411892042</v>
      </c>
      <c r="DP328" s="5541">
        <f>((SUM(IS!DP17,IS!DP20,IS!DP23)*1000000)*4)/(AVERAGE(DO317:DP317))</f>
        <v>453724.82443478849</v>
      </c>
      <c r="DQ328" s="5539">
        <f>(SUM(IS!DQ17,IS!DQ20,IS!DQ23)*1000000)/AVERAGE(DM317:DP317)</f>
        <v>436868.68686868687</v>
      </c>
      <c r="DR328" s="5541">
        <f>((SUM(IS!DR17,IS!DR20,IS!DR23)*1000000)*4)/(AVERAGE(DQ317:DR317))</f>
        <v>429326.97896082763</v>
      </c>
      <c r="DS328" s="5541">
        <f>((SUM(IS!DS17,IS!DS20,IS!DS23)*1000000)*4)/(AVERAGE(DR317:DS317))</f>
        <v>458847.17885168508</v>
      </c>
      <c r="DT328" s="5541">
        <f>((SUM(IS!DT17,IS!DT20,IS!DT23)*1000000)*4)/(AVERAGE(DS317:DT317))</f>
        <v>447926.44278505462</v>
      </c>
      <c r="DU328" s="5541">
        <f>((SUM(IS!DU17,IS!DU20,IS!DU23)*1000000)*4)/(AVERAGE(DT317:DU317))</f>
        <v>533771.79246267874</v>
      </c>
      <c r="DV328" s="5539">
        <f>(SUM(IS!DV17,IS!DV20,IS!DV23)*1000000)/AVERAGE(DR317:DU317)</f>
        <v>460456.60275763279</v>
      </c>
      <c r="DW328" s="5541">
        <f>((SUM(IS!DW17,IS!DW20,IS!DW23)*1000000)*4)/(AVERAGE(DV317:DW317))</f>
        <v>457369.71217767458</v>
      </c>
      <c r="DX328" s="5541">
        <f>((SUM(IS!DX17,IS!DX20,IS!DX23)*1000000)*4)/(AVERAGE(DW317:DX317))</f>
        <v>476515.15151515149</v>
      </c>
      <c r="DY328" s="5541">
        <f>((SUM(IS!DY17,IS!DY20,IS!DY23)*1000000)*4)/(AVERAGE(DX317:DY317))</f>
        <v>461184.11388247553</v>
      </c>
      <c r="DZ328" s="5541">
        <f>((SUM(IS!DZ17,IS!DZ20,IS!DZ23)*1000000)*4)/(AVERAGE(DY317:DZ317))</f>
        <v>478413.21121552837</v>
      </c>
      <c r="EA328" s="5539">
        <f>(SUM(IS!EA17,IS!EA20,IS!EA23)*1000000)/AVERAGE(DW317:DZ317)</f>
        <v>457614.90936912969</v>
      </c>
      <c r="EB328" s="5541">
        <f>((SUM(IS!EB17,IS!EB20,IS!EB23)*1000000)*4)/(AVERAGE(EA317:EB317))</f>
        <v>456968.85377154185</v>
      </c>
      <c r="EC328" s="5541">
        <f>((SUM(IS!EC17,IS!EC20,IS!EC23)*1000000)*4)/(AVERAGE(EB317:EC317))</f>
        <v>447774.41618860216</v>
      </c>
      <c r="ED328" s="5541">
        <f>((SUM(IS!ED17,IS!ED20,IS!ED23)*1000000)*4)/(AVERAGE(EC317:ED317))</f>
        <v>485936.8607195912</v>
      </c>
      <c r="EE328" s="5541">
        <f>((SUM(IS!EE17,IS!EE20,IS!EE23)*1000000)*4)/(AVERAGE(ED317:EE317))</f>
        <v>548954.04828397045</v>
      </c>
      <c r="EF328" s="5539">
        <f>(SUM(IS!EF17,IS!EF20,IS!EF23)*1000000)/AVERAGE(EB317:EE317)</f>
        <v>486954.02174148895</v>
      </c>
      <c r="EG328" s="5541">
        <f>((SUM(IS!EG17,IS!EG20,IS!EG23)*1000000)*4)/(AVERAGE(EF317:EG317))</f>
        <v>470119.45613199892</v>
      </c>
      <c r="EH328" s="5541">
        <f>((SUM(IS!EH17,IS!EH20,IS!EH23)*1000000)*4)/(AVERAGE(EG317:EH317))</f>
        <v>484025.33310030878</v>
      </c>
      <c r="EI328" s="5541">
        <f>((SUM(IS!EI17,IS!EI20,IS!EI23)*1000000)*4)/(AVERAGE(EH317:EI317))</f>
        <v>515958.11013409967</v>
      </c>
      <c r="EJ328" s="5541">
        <f>((SUM(IS!EJ17,IS!EJ20,IS!EJ23)*1000000)*4)/(AVERAGE(EI317:EJ317))</f>
        <v>546013.07763198309</v>
      </c>
      <c r="EK328" s="5539">
        <f>(SUM(IS!EK17,IS!EK20,IS!EK23)*1000000)/AVERAGE(EG317:EJ317)</f>
        <v>503797.56961061637</v>
      </c>
      <c r="EL328" s="5541">
        <f>((SUM(IS!EL17,IS!EL20,IS!EL23)*1000000)*4)/(AVERAGE(EK317:EL317))</f>
        <v>504376.19566336623</v>
      </c>
      <c r="EM328" s="5541">
        <f>((SUM(IS!EM17,IS!EM20,IS!EM23)*1000000)*4)/(AVERAGE(EL317:EM317))</f>
        <v>560439.02988557541</v>
      </c>
      <c r="EN328" s="5541">
        <f>((SUM(IS!EN17,IS!EN20,IS!EN23)*1000000)*4)/(AVERAGE(EM317:EN317))</f>
        <v>557521.13870702684</v>
      </c>
      <c r="EO328" s="5541">
        <f>((SUM(IS!EO17,IS!EO20,IS!EO23)*1000000)*4)/(AVERAGE(EN317:EO317))</f>
        <v>591261.81338754378</v>
      </c>
      <c r="EP328" s="5539">
        <f>(SUM(IS!EP17,IS!EP20,IS!EP23)*1000000)/AVERAGE(EL317:EO317)</f>
        <v>550701.15605853486</v>
      </c>
      <c r="EQ328" s="5541">
        <f>((SUM(IS!EQ17,IS!EQ20,IS!EQ23)*1000000)*4)/(AVERAGE(EP317:EQ317))</f>
        <v>550422.89842304785</v>
      </c>
      <c r="ER328" s="5541">
        <f>((SUM(IS!ER17,IS!ER20,IS!ER23)*1000000)*4)/(AVERAGE(EQ317:ER317))</f>
        <v>578225.00061066332</v>
      </c>
      <c r="ES328" s="5541">
        <f>((SUM(IS!ES17,IS!ES20,IS!ES23)*1000000)*4)/(AVERAGE(ER317:ES317))</f>
        <v>604212.66172722378</v>
      </c>
      <c r="ET328" s="5541">
        <f>((SUM(IS!ET17,IS!ET20,IS!ET23)*1000000)*4)/(AVERAGE(ES317:ET317))</f>
        <v>639663.29074317985</v>
      </c>
      <c r="EU328" s="5539">
        <f>(SUM(IS!EU17,IS!EU20,IS!EU23)*1000000)/AVERAGE(EQ317:ET317)</f>
        <v>590457.29098078422</v>
      </c>
      <c r="EV328" s="5539">
        <f>(SUM(IS!EV17,IS!EV20,IS!EV23)*1000000)/AVERAGE(EU317,EV317)</f>
        <v>631822.00570985535</v>
      </c>
      <c r="EW328" s="5539">
        <f>(SUM(IS!EW17,IS!EW20,IS!EW23)*1000000)/AVERAGE(EV317,EW317)</f>
        <v>662199.75342174096</v>
      </c>
      <c r="EX328" s="5539">
        <f>(SUM(IS!EX17,IS!EX20,IS!EX23)*1000000)/AVERAGE(EW317,EX317)</f>
        <v>691880.24473046837</v>
      </c>
      <c r="EY328" s="5539">
        <f>(SUM(IS!EY17,IS!EY20,IS!EY23)*1000000)/AVERAGE(EX317,EY317)</f>
        <v>719083.61335188011</v>
      </c>
      <c r="FA328" s="1319">
        <f>(EV328/EK328)^(1/3)-1</f>
        <v>7.8399207241743207E-2</v>
      </c>
      <c r="FB328" s="1319">
        <f>(EX328/EK328)^(1/5)-1</f>
        <v>6.5503725275737557E-2</v>
      </c>
    </row>
    <row r="329" spans="1:158" s="284" customFormat="1" ht="11.25" hidden="1" customHeight="1" outlineLevel="1">
      <c r="A329" s="5369" t="s">
        <v>45</v>
      </c>
      <c r="B329" s="2613"/>
      <c r="C329" s="2613"/>
      <c r="D329" s="2613"/>
      <c r="E329" s="2613"/>
      <c r="F329" s="5586"/>
      <c r="G329" s="2613"/>
      <c r="H329" s="2613"/>
      <c r="I329" s="2613"/>
      <c r="J329" s="2613"/>
      <c r="K329" s="1032"/>
      <c r="L329" s="2613"/>
      <c r="M329" s="2613"/>
      <c r="N329" s="2613"/>
      <c r="O329" s="2613"/>
      <c r="P329" s="995"/>
      <c r="Q329" s="2612"/>
      <c r="R329" s="2612"/>
      <c r="S329" s="2612"/>
      <c r="T329" s="2612"/>
      <c r="U329" s="995"/>
      <c r="V329" s="2612"/>
      <c r="W329" s="2612"/>
      <c r="X329" s="2612"/>
      <c r="Y329" s="2612"/>
      <c r="Z329" s="995">
        <f>Z328/U328-1</f>
        <v>0.58245653835643574</v>
      </c>
      <c r="AA329" s="2612"/>
      <c r="AB329" s="2612"/>
      <c r="AC329" s="2612"/>
      <c r="AD329" s="2612"/>
      <c r="AE329" s="995">
        <f>AE328/Z328-1</f>
        <v>-7.7092989243705223E-2</v>
      </c>
      <c r="AF329" s="2612"/>
      <c r="AG329" s="2612"/>
      <c r="AH329" s="2612"/>
      <c r="AI329" s="2612"/>
      <c r="AJ329" s="995">
        <f>AJ328/AE328-1</f>
        <v>-0.10781937928462615</v>
      </c>
      <c r="AK329" s="2612"/>
      <c r="AL329" s="2612"/>
      <c r="AM329" s="2612"/>
      <c r="AN329" s="2612"/>
      <c r="AO329" s="995">
        <f>AO328/AJ328-1</f>
        <v>2.5712913453337816E-2</v>
      </c>
      <c r="AP329" s="2612"/>
      <c r="AQ329" s="2612"/>
      <c r="AR329" s="2612"/>
      <c r="AS329" s="2612"/>
      <c r="AT329" s="995">
        <f>AT328/AO328-1</f>
        <v>1.6975633507102739E-2</v>
      </c>
      <c r="AU329" s="2612"/>
      <c r="AV329" s="2612"/>
      <c r="AW329" s="2612"/>
      <c r="AX329" s="2612"/>
      <c r="AY329" s="995">
        <f>AY328/AT328-1</f>
        <v>-4.3649695119074572E-4</v>
      </c>
      <c r="AZ329" s="2612"/>
      <c r="BA329" s="2612"/>
      <c r="BB329" s="2612"/>
      <c r="BC329" s="2612"/>
      <c r="BD329" s="995">
        <f>BD328/AY328-1</f>
        <v>-1.1619154856023495E-2</v>
      </c>
      <c r="BE329" s="2612"/>
      <c r="BF329" s="2612"/>
      <c r="BG329" s="2612"/>
      <c r="BH329" s="2612"/>
      <c r="BI329" s="995">
        <f>BI328/BD328-1</f>
        <v>0.15639491659368621</v>
      </c>
      <c r="BJ329" s="2612"/>
      <c r="BK329" s="2612"/>
      <c r="BL329" s="2612"/>
      <c r="BM329" s="2612"/>
      <c r="BN329" s="995">
        <f>BN328/BI328-1</f>
        <v>0.10994641203394662</v>
      </c>
      <c r="BO329" s="127"/>
      <c r="BP329" s="127"/>
      <c r="BQ329" s="127"/>
      <c r="BR329" s="127"/>
      <c r="BS329" s="1957"/>
      <c r="BT329" s="2612"/>
      <c r="BU329" s="2612"/>
      <c r="BV329" s="2612"/>
      <c r="BW329" s="2612"/>
      <c r="BX329" s="995">
        <f>BX328/BN328-1</f>
        <v>1.5577111543185529E-2</v>
      </c>
      <c r="BY329" s="127"/>
      <c r="BZ329" s="127"/>
      <c r="CA329" s="127"/>
      <c r="CB329" s="127"/>
      <c r="CC329" s="1957"/>
      <c r="CD329" s="2612"/>
      <c r="CE329" s="2612"/>
      <c r="CF329" s="2612"/>
      <c r="CG329" s="2612"/>
      <c r="CH329" s="995">
        <f>CH328/BX328-1</f>
        <v>3.1203725196487841E-2</v>
      </c>
      <c r="CI329" s="2612">
        <f t="shared" ref="CI329:DN329" si="1184">CI328/CD328-1</f>
        <v>0.11332803058980656</v>
      </c>
      <c r="CJ329" s="2612">
        <f t="shared" si="1184"/>
        <v>4.5619113006053258E-2</v>
      </c>
      <c r="CK329" s="2612">
        <f t="shared" si="1184"/>
        <v>9.4809350573019424E-2</v>
      </c>
      <c r="CL329" s="2612">
        <f t="shared" si="1184"/>
        <v>0.10417595942542057</v>
      </c>
      <c r="CM329" s="995">
        <f t="shared" si="1184"/>
        <v>8.4124062128508648E-2</v>
      </c>
      <c r="CN329" s="2612">
        <f t="shared" si="1184"/>
        <v>-2.2994836016041464E-3</v>
      </c>
      <c r="CO329" s="2612">
        <f t="shared" si="1184"/>
        <v>-4.7114983084956985E-2</v>
      </c>
      <c r="CP329" s="2612">
        <f t="shared" si="1184"/>
        <v>-2.9232799300921264E-2</v>
      </c>
      <c r="CQ329" s="2612">
        <f t="shared" si="1184"/>
        <v>-1.2012767388881684E-2</v>
      </c>
      <c r="CR329" s="995">
        <f t="shared" si="1184"/>
        <v>-1.6087601054817768E-2</v>
      </c>
      <c r="CS329" s="2612">
        <f t="shared" si="1184"/>
        <v>-2.5549782490581041E-2</v>
      </c>
      <c r="CT329" s="2612">
        <f t="shared" si="1184"/>
        <v>8.7792705935605397E-3</v>
      </c>
      <c r="CU329" s="2612">
        <f t="shared" si="1184"/>
        <v>-1.1524627500837492E-2</v>
      </c>
      <c r="CV329" s="2612">
        <f t="shared" si="1184"/>
        <v>-3.152230830224767E-2</v>
      </c>
      <c r="CW329" s="995">
        <f t="shared" si="1184"/>
        <v>-1.6978801274777466E-2</v>
      </c>
      <c r="CX329" s="2612">
        <f t="shared" si="1184"/>
        <v>-4.8454238372789282E-3</v>
      </c>
      <c r="CY329" s="2612">
        <f t="shared" si="1184"/>
        <v>3.4945689031852689E-2</v>
      </c>
      <c r="CZ329" s="2612">
        <f t="shared" si="1184"/>
        <v>-1.6433627334270784E-2</v>
      </c>
      <c r="DA329" s="2612">
        <f t="shared" si="1184"/>
        <v>6.4306680255276971E-2</v>
      </c>
      <c r="DB329" s="995">
        <f t="shared" si="1184"/>
        <v>2.6126666148348798E-2</v>
      </c>
      <c r="DC329" s="2612">
        <f t="shared" si="1184"/>
        <v>5.9176532099132872E-2</v>
      </c>
      <c r="DD329" s="2612">
        <f t="shared" si="1184"/>
        <v>4.4317862611353176E-2</v>
      </c>
      <c r="DE329" s="2612">
        <f t="shared" si="1184"/>
        <v>2.6742645851896896E-2</v>
      </c>
      <c r="DF329" s="2612">
        <f t="shared" si="1184"/>
        <v>3.5511114316464809E-2</v>
      </c>
      <c r="DG329" s="995">
        <f t="shared" si="1184"/>
        <v>2.8965544843038815E-2</v>
      </c>
      <c r="DH329" s="2612">
        <f t="shared" si="1184"/>
        <v>-2.266637208149247E-2</v>
      </c>
      <c r="DI329" s="2612">
        <f t="shared" si="1184"/>
        <v>-3.5191136022954095E-2</v>
      </c>
      <c r="DJ329" s="2612">
        <f t="shared" si="1184"/>
        <v>5.0177222344294226E-2</v>
      </c>
      <c r="DK329" s="2612">
        <f t="shared" si="1184"/>
        <v>-3.6984721050102864E-3</v>
      </c>
      <c r="DL329" s="995">
        <f t="shared" si="1184"/>
        <v>1.7670128036972876E-4</v>
      </c>
      <c r="DM329" s="2612">
        <f t="shared" si="1184"/>
        <v>-1.2727679572533845E-2</v>
      </c>
      <c r="DN329" s="2612">
        <f t="shared" si="1184"/>
        <v>-9.7071801089532506E-2</v>
      </c>
      <c r="DO329" s="2612">
        <f t="shared" ref="DO329:EF329" si="1185">DO328/DJ328-1</f>
        <v>-0.14036777709778503</v>
      </c>
      <c r="DP329" s="2612">
        <f t="shared" si="1185"/>
        <v>-0.16305960265704333</v>
      </c>
      <c r="DQ329" s="995">
        <f t="shared" si="1185"/>
        <v>-0.10233846057786977</v>
      </c>
      <c r="DR329" s="2612">
        <f t="shared" si="1185"/>
        <v>-8.5612899835956324E-2</v>
      </c>
      <c r="DS329" s="2612">
        <f t="shared" si="1185"/>
        <v>7.5540053818710096E-2</v>
      </c>
      <c r="DT329" s="2612">
        <f t="shared" si="1185"/>
        <v>5.0081405307854876E-2</v>
      </c>
      <c r="DU329" s="2612">
        <f t="shared" si="1185"/>
        <v>0.17642183922293841</v>
      </c>
      <c r="DV329" s="995">
        <f t="shared" si="1185"/>
        <v>5.3993148508800992E-2</v>
      </c>
      <c r="DW329" s="2612">
        <f t="shared" si="1185"/>
        <v>6.531789193570714E-2</v>
      </c>
      <c r="DX329" s="2612">
        <f t="shared" si="1185"/>
        <v>3.8505135212299813E-2</v>
      </c>
      <c r="DY329" s="2612">
        <f t="shared" si="1185"/>
        <v>2.9597875523912354E-2</v>
      </c>
      <c r="DZ329" s="2612">
        <f t="shared" si="1185"/>
        <v>-0.10371207701280138</v>
      </c>
      <c r="EA329" s="995">
        <f t="shared" si="1185"/>
        <v>-6.1714684326046321E-3</v>
      </c>
      <c r="EB329" s="2612">
        <f t="shared" si="1185"/>
        <v>-8.7644283270116308E-4</v>
      </c>
      <c r="EC329" s="2612">
        <f t="shared" si="1185"/>
        <v>-6.0314420717082817E-2</v>
      </c>
      <c r="ED329" s="2612">
        <f t="shared" si="1185"/>
        <v>5.3672158454754371E-2</v>
      </c>
      <c r="EE329" s="2612">
        <f t="shared" si="1185"/>
        <v>0.14744751067642015</v>
      </c>
      <c r="EF329" s="995">
        <f t="shared" si="1185"/>
        <v>6.4113104209839511E-2</v>
      </c>
      <c r="EG329" s="2612">
        <f t="shared" ref="EG329:EN329" si="1186">EG328/EB328-1</f>
        <v>2.8777896462570673E-2</v>
      </c>
      <c r="EH329" s="2612">
        <f t="shared" si="1186"/>
        <v>8.0957990454813666E-2</v>
      </c>
      <c r="EI329" s="2612">
        <f t="shared" si="1186"/>
        <v>6.1780144379358193E-2</v>
      </c>
      <c r="EJ329" s="2612">
        <f t="shared" si="1186"/>
        <v>-5.357407712322737E-3</v>
      </c>
      <c r="EK329" s="995">
        <f t="shared" si="1186"/>
        <v>3.4589606240215565E-2</v>
      </c>
      <c r="EL329" s="2612">
        <f t="shared" si="1186"/>
        <v>7.2868159538048927E-2</v>
      </c>
      <c r="EM329" s="2612">
        <f t="shared" si="1186"/>
        <v>0.1578712756537286</v>
      </c>
      <c r="EN329" s="2612">
        <f t="shared" si="1186"/>
        <v>8.0555044598726866E-2</v>
      </c>
      <c r="EO329" s="2612">
        <f t="shared" ref="EO329" si="1187">EO328/EJ328-1</f>
        <v>8.2871157503774384E-2</v>
      </c>
      <c r="EP329" s="995">
        <f>EP328/EK328-1</f>
        <v>9.3100064941103566E-2</v>
      </c>
      <c r="EQ329" s="2612">
        <f t="shared" ref="EQ329" si="1188">EQ328/EL328-1</f>
        <v>9.1294361541230273E-2</v>
      </c>
      <c r="ER329" s="2612">
        <f t="shared" ref="ER329" si="1189">ER328/EM328-1</f>
        <v>3.1735781729404611E-2</v>
      </c>
      <c r="ES329" s="2612">
        <f t="shared" ref="ES329" si="1190">ES328/EN328-1</f>
        <v>8.3748435312213321E-2</v>
      </c>
      <c r="ET329" s="2612">
        <f t="shared" ref="ET329" si="1191">ET328/EO328-1</f>
        <v>8.1861328196264349E-2</v>
      </c>
      <c r="EU329" s="995">
        <f>EU328/EP328-1</f>
        <v>7.2191849399392938E-2</v>
      </c>
      <c r="EV329" s="995">
        <f>EV328/EU328-1</f>
        <v>7.0055388189655288E-2</v>
      </c>
      <c r="EW329" s="995">
        <f>EW328/EV328-1</f>
        <v>4.807959747738777E-2</v>
      </c>
      <c r="EX329" s="995">
        <f>EX328/EW328-1</f>
        <v>4.4821054606803079E-2</v>
      </c>
      <c r="EY329" s="995">
        <f>EY328/EX328-1</f>
        <v>3.9318030582025321E-2</v>
      </c>
      <c r="EZ329" s="2613"/>
      <c r="FA329" s="725"/>
      <c r="FB329" s="725"/>
    </row>
    <row r="330" spans="1:158" s="511" customFormat="1" ht="11.25" hidden="1" customHeight="1" outlineLevel="1">
      <c r="A330" s="5370" t="s">
        <v>534</v>
      </c>
      <c r="B330" s="3292"/>
      <c r="C330" s="3292"/>
      <c r="D330" s="3292"/>
      <c r="E330" s="3292"/>
      <c r="F330" s="5588"/>
      <c r="G330" s="3292"/>
      <c r="H330" s="3292"/>
      <c r="I330" s="3292"/>
      <c r="J330" s="3292"/>
      <c r="K330" s="3293"/>
      <c r="L330" s="3292"/>
      <c r="M330" s="3292"/>
      <c r="N330" s="3292"/>
      <c r="O330" s="3292"/>
      <c r="P330" s="5544"/>
      <c r="Q330" s="5545">
        <f>IS!AA24*1000000/AVERAGE(P317,Q317)*4</f>
        <v>981996.78972712683</v>
      </c>
      <c r="R330" s="5545">
        <f>IS!AB24*1000000/AVERAGE(Q317,R317)*4</f>
        <v>755161.61616161617</v>
      </c>
      <c r="S330" s="5545">
        <f>IS!AC24*1000000/AVERAGE(R317,S317)*4</f>
        <v>539531.74603174604</v>
      </c>
      <c r="T330" s="5545">
        <f>IS!AD24*1000000/AVERAGE(S317,T317)*4</f>
        <v>401219.88205560239</v>
      </c>
      <c r="U330" s="5544">
        <f>IS!U24*1000000/AVERAGE(Q317:T317)</f>
        <v>43729.15613946438</v>
      </c>
      <c r="V330" s="5545">
        <f>IS!AF24*1000000/AVERAGE(U317,V317)*4</f>
        <v>257241.28862590401</v>
      </c>
      <c r="W330" s="5545">
        <f>IS!AG24*1000000/AVERAGE(V317,W317)*4</f>
        <v>185366.61771904063</v>
      </c>
      <c r="X330" s="5545">
        <f>IS!AH24*1000000/AVERAGE(W317,X317)*4</f>
        <v>144712.5</v>
      </c>
      <c r="Y330" s="5545">
        <f>IS!AI24*1000000/AVERAGE(X317,Y317)*4</f>
        <v>153339.48582729071</v>
      </c>
      <c r="Z330" s="5544">
        <f>IS!Z24*1000000/AVERAGE(V317:Y317)</f>
        <v>180705.92869805003</v>
      </c>
      <c r="AA330" s="5545">
        <f>IS!AK24*1000000/AVERAGE(Z317,AA317)*4</f>
        <v>259494.2008486563</v>
      </c>
      <c r="AB330" s="5545">
        <f>IS!AL24*1000000/AVERAGE(AA317,AB317)*4</f>
        <v>207952.36961181235</v>
      </c>
      <c r="AC330" s="5545">
        <f>IS!AM24*1000000/AVERAGE(AB317,AC317)*4</f>
        <v>161064.51612903227</v>
      </c>
      <c r="AD330" s="5545">
        <f>IS!AN24*1000000/AVERAGE(AC317,AD317)*4</f>
        <v>189034.2766742837</v>
      </c>
      <c r="AE330" s="5544">
        <f>IS!AE24*1000000/AVERAGE(AA317:AD317)</f>
        <v>112761.32686084142</v>
      </c>
      <c r="AF330" s="5545">
        <f>IS!AP24*1000000/AVERAGE(AE317,AF317)*4</f>
        <v>226192.21897585731</v>
      </c>
      <c r="AG330" s="5545">
        <f>IS!AQ24*1000000/AVERAGE(AF317,AG317)*4</f>
        <v>252079.84344422701</v>
      </c>
      <c r="AH330" s="5545">
        <f>IS!AR24*1000000/AVERAGE(AG317,AH317)*4</f>
        <v>172661.14260793722</v>
      </c>
      <c r="AI330" s="5545">
        <f>IS!AS24*1000000/AVERAGE(AH317,AI317)*4</f>
        <v>183934.76427031588</v>
      </c>
      <c r="AJ330" s="5544">
        <f>IS!AJ24*1000000/AVERAGE(AF317:AI317)</f>
        <v>43789.244027489913</v>
      </c>
      <c r="AK330" s="5545">
        <f>IS!AU24*1000000/AVERAGE(AJ317,AK317)*4</f>
        <v>180130.87409783481</v>
      </c>
      <c r="AL330" s="5545">
        <f>IS!AV24*1000000/AVERAGE(AK317,AL317)*4</f>
        <v>148127.07032310616</v>
      </c>
      <c r="AM330" s="5545">
        <f>IS!AW24*1000000/AVERAGE(AL317,AM317)*4</f>
        <v>129348.2678983834</v>
      </c>
      <c r="AN330" s="5545">
        <f>IS!AX24*1000000/AVERAGE(AM317,AN317)*4</f>
        <v>114171.95292240173</v>
      </c>
      <c r="AO330" s="5544">
        <f>IS!AO24*1000000/AVERAGE(AK317:AN317)</f>
        <v>52679.392824287032</v>
      </c>
      <c r="AP330" s="5545">
        <f>IS!AZ24*1000000/AVERAGE(AO317,AP317)*4</f>
        <v>96886.522346368714</v>
      </c>
      <c r="AQ330" s="5545">
        <f>IS!BA24*1000000/AVERAGE(AP317,AQ317)*4</f>
        <v>90092.222563787291</v>
      </c>
      <c r="AR330" s="5545">
        <f>IS!BB24*1000000/AVERAGE(AQ317,AR317)*4</f>
        <v>85523.399097703863</v>
      </c>
      <c r="AS330" s="5545">
        <f>IS!BC24*1000000/AVERAGE(AR317,AS317)*4</f>
        <v>67473.243482778649</v>
      </c>
      <c r="AT330" s="5544">
        <f>IS!AT24*1000000/AVERAGE(AP317:AS317)</f>
        <v>59146.889096944418</v>
      </c>
      <c r="AU330" s="5545">
        <f>IS!BE24*1000000/AVERAGE(AT317,AU317)*4</f>
        <v>64736.798198047887</v>
      </c>
      <c r="AV330" s="5545">
        <f>IS!BF24*1000000/AVERAGE(AU317,AV317)*4</f>
        <v>63777.089783281735</v>
      </c>
      <c r="AW330" s="5545">
        <f>IS!BG24*1000000/AVERAGE(AV317,AW317)*4</f>
        <v>76522.264454904725</v>
      </c>
      <c r="AX330" s="5545">
        <f>IS!BH24*1000000/AVERAGE(AW317,AX317)*4</f>
        <v>78522.741355806167</v>
      </c>
      <c r="AY330" s="5544">
        <f>IS!AY24*1000000/AVERAGE(AU317:AX317)</f>
        <v>56621.755894064852</v>
      </c>
      <c r="AZ330" s="5545">
        <f>IS!BJ24*1000000/AVERAGE(AY317,AZ317)*4</f>
        <v>85574.208884266831</v>
      </c>
      <c r="BA330" s="5545">
        <f>IS!BK24*1000000/AVERAGE(AZ317,BA317)*4</f>
        <v>87108.886107634549</v>
      </c>
      <c r="BB330" s="5545">
        <f>IS!BL24*1000000/AVERAGE(BA317,BB317)*4</f>
        <v>115789.2068642113</v>
      </c>
      <c r="BC330" s="5545">
        <f>IS!BM24*1000000/AVERAGE(BB317,BC317)*4</f>
        <v>108556.96202531646</v>
      </c>
      <c r="BD330" s="5544">
        <f>IS!BD24*1000000/AVERAGE(AZ317:BC317)</f>
        <v>58605.613593455004</v>
      </c>
      <c r="BE330" s="5545">
        <f>IS!BO24*1000000/AVERAGE(BD317,BE317)*4</f>
        <v>109946.60866126162</v>
      </c>
      <c r="BF330" s="5545">
        <f>IS!BP24*1000000/AVERAGE(BE317,BF317)*4</f>
        <v>140857.021637675</v>
      </c>
      <c r="BG330" s="5545">
        <f>IS!BQ24*1000000/AVERAGE(BF317,BG317)*4</f>
        <v>188585.60794044664</v>
      </c>
      <c r="BH330" s="5545">
        <f>IS!BR24*1000000/AVERAGE(BG317,BH317)*4</f>
        <v>147158.03146801869</v>
      </c>
      <c r="BI330" s="5544">
        <f>IS!BI24*1000000/AVERAGE(BE317:BH317)</f>
        <v>61049.058863981722</v>
      </c>
      <c r="BJ330" s="5545">
        <f>IS!BT24*1000000/AVERAGE(BI317,BJ317)*4</f>
        <v>87704.07760864422</v>
      </c>
      <c r="BK330" s="5545">
        <f>IS!BU24*1000000/AVERAGE(BJ317,BK317)*4</f>
        <v>80168.469973131942</v>
      </c>
      <c r="BL330" s="5545">
        <f>IS!BV24*1000000/AVERAGE(BK317,BL317)*4</f>
        <v>91548.710101295714</v>
      </c>
      <c r="BM330" s="5545">
        <f>IS!BW24*1000000/AVERAGE(BL317,BM317)*4</f>
        <v>84863.679097461616</v>
      </c>
      <c r="BN330" s="5544">
        <f>IS!BN24*1000000/AVERAGE(BJ317:BM317)</f>
        <v>66406.51281706251</v>
      </c>
      <c r="BO330" s="5545"/>
      <c r="BP330" s="5545"/>
      <c r="BQ330" s="5545"/>
      <c r="BR330" s="5545"/>
      <c r="BS330" s="5546"/>
      <c r="BT330" s="5545">
        <f>IS!BY24*1000000/AVERAGE(BN317,BT317)*4</f>
        <v>72378.860002441113</v>
      </c>
      <c r="BU330" s="5545">
        <f>IS!BZ24*1000000/AVERAGE(BT317,BU317)*4</f>
        <v>92954.235175402151</v>
      </c>
      <c r="BV330" s="5545">
        <f>IS!CA24*1000000/AVERAGE(BU317,BV317)*4</f>
        <v>100640.36121484048</v>
      </c>
      <c r="BW330" s="5545">
        <f>IS!CB24*1000000/AVERAGE(BV317,BW317)*4</f>
        <v>99590.019277239277</v>
      </c>
      <c r="BX330" s="5544">
        <f>IS!BX24*1000000/AVERAGE(BT317:BW317)</f>
        <v>70131.159163417222</v>
      </c>
      <c r="BY330" s="5545"/>
      <c r="BZ330" s="5545"/>
      <c r="CA330" s="5545"/>
      <c r="CB330" s="5545"/>
      <c r="CC330" s="5546"/>
      <c r="CD330" s="5545">
        <f>IS!CD24*1000000/AVERAGE(BX317,CD317)*4</f>
        <v>68691.5826593081</v>
      </c>
      <c r="CE330" s="5545">
        <f>IS!CE24*1000000/AVERAGE(CD317,CE317)*4</f>
        <v>75319.639621374357</v>
      </c>
      <c r="CF330" s="5545">
        <f>IS!CF24*1000000/AVERAGE(CE317,CF317)*4</f>
        <v>83167.354870051015</v>
      </c>
      <c r="CG330" s="5545">
        <f>IS!CG24*1000000/AVERAGE(CF317,CG317)*4</f>
        <v>81186.645587277962</v>
      </c>
      <c r="CH330" s="5544">
        <f>IS!CH24*1000000/AVERAGE(CD317:CG317)</f>
        <v>75833.176711672655</v>
      </c>
      <c r="CI330" s="5545">
        <f>IS!CI24*1000000/AVERAGE(CH317,CI317)*4</f>
        <v>74551.270659321133</v>
      </c>
      <c r="CJ330" s="5545">
        <f>IS!CJ24*1000000/AVERAGE(CI317,CJ317)*4</f>
        <v>74297.654980264691</v>
      </c>
      <c r="CK330" s="5545">
        <f>IS!CK24*1000000/AVERAGE(CJ317,CK317)*4</f>
        <v>100251.62759116507</v>
      </c>
      <c r="CL330" s="5545">
        <f>IS!CL24*1000000/AVERAGE(CK317,CL317)*4</f>
        <v>91362.063063405731</v>
      </c>
      <c r="CM330" s="5544">
        <f>IS!CM24*1000000/AVERAGE(CI317:CL317)</f>
        <v>83534.249042107258</v>
      </c>
      <c r="CN330" s="5545">
        <f>IS!CN24*1000000/AVERAGE(CM317,CN317)*4</f>
        <v>88293.577981651382</v>
      </c>
      <c r="CO330" s="5545">
        <f>IS!CO24*1000000/AVERAGE(CN317,CO317)*4</f>
        <v>80463.446707182709</v>
      </c>
      <c r="CP330" s="5545">
        <f>IS!CP24*1000000/AVERAGE(CO317,CP317)*4</f>
        <v>97810.867115194153</v>
      </c>
      <c r="CQ330" s="5545">
        <f>IS!CQ24*1000000/AVERAGE(CP317,CQ317)*4</f>
        <v>94326.299367764179</v>
      </c>
      <c r="CR330" s="5544">
        <f>IS!CR24*1000000/AVERAGE(CN317:CQ317)</f>
        <v>88811.887103244037</v>
      </c>
      <c r="CS330" s="5545">
        <f>IS!CS24*1000000/AVERAGE(CR317,CS317)*4</f>
        <v>94910.624240643534</v>
      </c>
      <c r="CT330" s="5545">
        <f>IS!CT24*1000000/AVERAGE(CS317,CT317)*4</f>
        <v>92003.978881322211</v>
      </c>
      <c r="CU330" s="5545">
        <f>IS!CU24*1000000/AVERAGE(CT317,CU317)*4</f>
        <v>108988.63236845189</v>
      </c>
      <c r="CV330" s="5545">
        <f>IS!CV24*1000000/AVERAGE(CU317,CV317)*4</f>
        <v>103995.60581947242</v>
      </c>
      <c r="CW330" s="5544">
        <f>IS!CW24*1000000/AVERAGE(CS317:CV317)</f>
        <v>98321.940915891682</v>
      </c>
      <c r="CX330" s="5545">
        <f>IS!CX24*1000000/AVERAGE(CW317,CX317)*4</f>
        <v>110048.27279263242</v>
      </c>
      <c r="CY330" s="5545">
        <f>IS!CY24*1000000/AVERAGE(CX317,CY317)*4</f>
        <v>107113.73146699822</v>
      </c>
      <c r="CZ330" s="5545">
        <f>IS!CZ24*1000000/AVERAGE(CY317,CZ317)*4</f>
        <v>94725.679376996486</v>
      </c>
      <c r="DA330" s="5545">
        <f>IS!DA24*1000000/AVERAGE(CZ317,DA317)*4</f>
        <v>93394.264621296868</v>
      </c>
      <c r="DB330" s="5544">
        <f>IS!DB24*1000000/AVERAGE(CX317:DA317)</f>
        <v>99789.15496298029</v>
      </c>
      <c r="DC330" s="5545">
        <f>IS!DC24*1000000/AVERAGE(DB317,DC317)*4</f>
        <v>119011.86728021313</v>
      </c>
      <c r="DD330" s="5545">
        <f>IS!DD24*1000000/AVERAGE(DC317,DD317)*4</f>
        <v>110873.71057045052</v>
      </c>
      <c r="DE330" s="5545">
        <f>IS!DE24*1000000/AVERAGE(DD317,DE317)*4</f>
        <v>97257.809518617461</v>
      </c>
      <c r="DF330" s="5545">
        <f>IS!DF24*1000000/AVERAGE(DE317,DF317)*4</f>
        <v>93319.45760395148</v>
      </c>
      <c r="DG330" s="5544">
        <f>IS!DG24*1000000/AVERAGE(DC317:DF317)</f>
        <v>101870.38292611865</v>
      </c>
      <c r="DH330" s="5545">
        <f>IS!DH24*1000000/AVERAGE(DG317,DH317)*4</f>
        <v>109538.64411808336</v>
      </c>
      <c r="DI330" s="5545">
        <f>IS!DI24*1000000/AVERAGE(DH317,DI317)*4</f>
        <v>104440.91802657445</v>
      </c>
      <c r="DJ330" s="5545">
        <f>IS!DJ24*1000000/AVERAGE(DI317,DJ317)*4</f>
        <v>94668.578798784176</v>
      </c>
      <c r="DK330" s="5545">
        <f>IS!DK24*1000000/AVERAGE(DJ317,DK317)*4</f>
        <v>90817.399515011057</v>
      </c>
      <c r="DL330" s="5544">
        <f>IS!DL24*1000000/AVERAGE(DH317:DK317)</f>
        <v>97221.346543571271</v>
      </c>
      <c r="DM330" s="5545">
        <f>IS!DM24*1000000/AVERAGE(DL317,DM317)*4</f>
        <v>105510.71102348862</v>
      </c>
      <c r="DN330" s="5545">
        <f>IS!DN24*1000000/AVERAGE(DM317,DN317)*4</f>
        <v>107988.15387194368</v>
      </c>
      <c r="DO330" s="5545">
        <f>IS!DO24*1000000/AVERAGE(DN317,DO317)*4</f>
        <v>98451.962298599101</v>
      </c>
      <c r="DP330" s="5545">
        <f>IS!DP24*1000000/AVERAGE(DO317,DP317)*4</f>
        <v>96416.899133205196</v>
      </c>
      <c r="DQ330" s="5544">
        <f>IS!DQ24*1000000/AVERAGE(DM317:DP317)</f>
        <v>100322.79986408427</v>
      </c>
      <c r="DR330" s="5545">
        <f>IS!DR24*1000000/AVERAGE(DQ317,DR317)*4</f>
        <v>108828.31570382425</v>
      </c>
      <c r="DS330" s="5545">
        <f>IS!DS24*1000000/AVERAGE(DR317,DS317)*4</f>
        <v>107107.52646531785</v>
      </c>
      <c r="DT330" s="5545">
        <f>IS!DT24*1000000/AVERAGE(DS317,DT317)*4</f>
        <v>105384.85602752955</v>
      </c>
      <c r="DU330" s="5545">
        <f>IS!DU24*1000000/AVERAGE(DT317,DU317)*4</f>
        <v>103194.48794237395</v>
      </c>
      <c r="DV330" s="5544">
        <f>IS!DV24*1000000/AVERAGE(DR317:DU317)</f>
        <v>104141.86755709228</v>
      </c>
      <c r="DW330" s="5545">
        <f>IS!DW24*1000000/AVERAGE(DV317,DW317)*4</f>
        <v>112457.31977553479</v>
      </c>
      <c r="DX330" s="5545">
        <f>IS!DX24*1000000/AVERAGE(DW317,DX317)*4</f>
        <v>113210.22727272728</v>
      </c>
      <c r="DY330" s="5545">
        <f>IS!DY24*1000000/AVERAGE(DX317,DY317)*4</f>
        <v>110334.73487567663</v>
      </c>
      <c r="DZ330" s="5545">
        <f>IS!DZ24*1000000/AVERAGE(DY317,DZ317)*4</f>
        <v>108219.07997867448</v>
      </c>
      <c r="EA330" s="5544">
        <f>IS!EA24*1000000/AVERAGE(DW317:DZ317)</f>
        <v>108329.03223099228</v>
      </c>
      <c r="EB330" s="5545">
        <f>IS!EB24*1000000/AVERAGE(EA317,EB317)*4</f>
        <v>110966.14996915565</v>
      </c>
      <c r="EC330" s="5545">
        <f>IS!EC24*1000000/AVERAGE(EB317,EC317)*4</f>
        <v>124002.37309702585</v>
      </c>
      <c r="ED330" s="5545">
        <f>IS!ED24*1000000/AVERAGE(EC317,ED317)*4</f>
        <v>126157.74111082737</v>
      </c>
      <c r="EE330" s="5545">
        <f>IS!EE24*1000000/AVERAGE(ED317,EE317)*4</f>
        <v>124072.64794468363</v>
      </c>
      <c r="EF330" s="5544">
        <f>IS!EF24*1000000/AVERAGE(EB317:EE317)</f>
        <v>121834.79072189555</v>
      </c>
      <c r="EG330" s="5545">
        <f>IS!EG24*1000000/AVERAGE(EF317,EG317)*4</f>
        <v>115884.28082785493</v>
      </c>
      <c r="EH330" s="5545">
        <f>IS!EH24*1000000/AVERAGE(EG317,EH317)*4</f>
        <v>130160.87018034438</v>
      </c>
      <c r="EI330" s="5545">
        <f>IS!EI24*1000000/AVERAGE(EH317,EI317)*4</f>
        <v>129604.7399064988</v>
      </c>
      <c r="EJ330" s="5545">
        <f>IS!EJ24*1000000/AVERAGE(EI317,EJ317)*4</f>
        <v>127484.9695001536</v>
      </c>
      <c r="EK330" s="5544">
        <f>IS!EK24*1000000/AVERAGE(EG317:EJ317)</f>
        <v>125698.38180917954</v>
      </c>
      <c r="EL330" s="5545">
        <f>IS!EL24*1000000/AVERAGE(EK317,EL317)*4</f>
        <v>119574.46577896283</v>
      </c>
      <c r="EM330" s="5545">
        <f>IS!EM24*1000000/AVERAGE(EL317,EM317)*4</f>
        <v>128704.85110857192</v>
      </c>
      <c r="EN330" s="5545">
        <f>IS!EN24*1000000/AVERAGE(EM317,EN317)*4</f>
        <v>135033.26530071301</v>
      </c>
      <c r="EO330" s="5545">
        <f>IS!EO24*1000000/AVERAGE(EN317,EO317)*4</f>
        <v>136754.4330284115</v>
      </c>
      <c r="EP330" s="5544">
        <f>IS!EP24*1000000/AVERAGE(EL317:EO317)</f>
        <v>129379.14240459922</v>
      </c>
      <c r="EQ330" s="5545">
        <f>IS!EQ24*1000000/AVERAGE(EP317,EQ317)*4</f>
        <v>134065.26856959314</v>
      </c>
      <c r="ER330" s="5545">
        <f>IS!ER24*1000000/AVERAGE(EQ317,ER317)*4</f>
        <v>146087.44347879314</v>
      </c>
      <c r="ES330" s="5545">
        <f>IS!ES24*1000000/AVERAGE(ER317,ES317)*4</f>
        <v>151944.56919664182</v>
      </c>
      <c r="ET330" s="5545">
        <f>IS!ET24*1000000/AVERAGE(ES317,ET317)*4</f>
        <v>149708.42974840378</v>
      </c>
      <c r="EU330" s="5544">
        <f>IS!EU24*1000000/AVERAGE(EQ317:ET317)</f>
        <v>144766.73301341751</v>
      </c>
      <c r="EV330" s="5544">
        <f>IS!EV24*1000000/AVERAGE(EU317,EV317)</f>
        <v>151727.86517046703</v>
      </c>
      <c r="EW330" s="5544">
        <f>IS!EW24*1000000/AVERAGE(EV317,EW317)</f>
        <v>158631.43346893939</v>
      </c>
      <c r="EX330" s="5544">
        <f>IS!EX24*1000000/AVERAGE(EW317,EX317)</f>
        <v>165623.84236791133</v>
      </c>
      <c r="EY330" s="5544">
        <f>IS!EY24*1000000/AVERAGE(EX317,EY317)</f>
        <v>172867.70064979198</v>
      </c>
      <c r="FA330" s="1319">
        <f>(EV330/EK330)^(1/3)-1</f>
        <v>6.4744045925005267E-2</v>
      </c>
      <c r="FB330" s="1319">
        <f>(EX330/EK330)^(1/5)-1</f>
        <v>5.6716852985571276E-2</v>
      </c>
    </row>
    <row r="331" spans="1:158" s="685" customFormat="1" ht="11.25" hidden="1" customHeight="1" outlineLevel="1">
      <c r="A331" s="5371" t="s">
        <v>537</v>
      </c>
      <c r="B331" s="511"/>
      <c r="C331" s="511"/>
      <c r="D331" s="511"/>
      <c r="E331" s="511"/>
      <c r="F331" s="4026"/>
      <c r="G331" s="511"/>
      <c r="H331" s="511"/>
      <c r="I331" s="511"/>
      <c r="J331" s="511"/>
      <c r="K331" s="1038"/>
      <c r="L331" s="511"/>
      <c r="M331" s="511"/>
      <c r="N331" s="511"/>
      <c r="O331" s="511"/>
      <c r="P331" s="5547"/>
      <c r="Q331" s="5548"/>
      <c r="R331" s="5548"/>
      <c r="S331" s="5548"/>
      <c r="T331" s="5548"/>
      <c r="U331" s="5547"/>
      <c r="V331" s="5548">
        <f t="shared" ref="V331:CQ331" si="1192">V330-Q330</f>
        <v>-724755.50110122282</v>
      </c>
      <c r="W331" s="5548">
        <f t="shared" si="1192"/>
        <v>-569794.99844257557</v>
      </c>
      <c r="X331" s="5548">
        <f t="shared" si="1192"/>
        <v>-394819.24603174604</v>
      </c>
      <c r="Y331" s="5548">
        <f t="shared" si="1192"/>
        <v>-247880.39622831167</v>
      </c>
      <c r="Z331" s="5547">
        <f t="shared" si="1192"/>
        <v>136976.77255858565</v>
      </c>
      <c r="AA331" s="5548">
        <f t="shared" si="1192"/>
        <v>2252.9122227522894</v>
      </c>
      <c r="AB331" s="5548">
        <f t="shared" si="1192"/>
        <v>22585.751892771717</v>
      </c>
      <c r="AC331" s="5548">
        <f t="shared" si="1192"/>
        <v>16352.016129032272</v>
      </c>
      <c r="AD331" s="5548">
        <f t="shared" si="1192"/>
        <v>35694.790846992983</v>
      </c>
      <c r="AE331" s="5547">
        <f t="shared" si="1192"/>
        <v>-67944.601837208611</v>
      </c>
      <c r="AF331" s="5548">
        <f t="shared" si="1192"/>
        <v>-33301.981872798991</v>
      </c>
      <c r="AG331" s="5548">
        <f t="shared" si="1192"/>
        <v>44127.47383241466</v>
      </c>
      <c r="AH331" s="5548">
        <f t="shared" si="1192"/>
        <v>11596.626478904946</v>
      </c>
      <c r="AI331" s="5548">
        <f t="shared" si="1192"/>
        <v>-5099.5124039678194</v>
      </c>
      <c r="AJ331" s="5547">
        <f t="shared" si="1192"/>
        <v>-68972.082833351509</v>
      </c>
      <c r="AK331" s="5548">
        <f t="shared" si="1192"/>
        <v>-46061.344878022501</v>
      </c>
      <c r="AL331" s="5548">
        <f t="shared" si="1192"/>
        <v>-103952.77312112084</v>
      </c>
      <c r="AM331" s="5548">
        <f t="shared" si="1192"/>
        <v>-43312.874709553813</v>
      </c>
      <c r="AN331" s="5548">
        <f t="shared" si="1192"/>
        <v>-69762.811347914147</v>
      </c>
      <c r="AO331" s="5547">
        <f t="shared" si="1192"/>
        <v>8890.1487967971188</v>
      </c>
      <c r="AP331" s="5548">
        <f t="shared" si="1192"/>
        <v>-83244.351751466093</v>
      </c>
      <c r="AQ331" s="5548">
        <f t="shared" si="1192"/>
        <v>-58034.847759318873</v>
      </c>
      <c r="AR331" s="5548">
        <f t="shared" si="1192"/>
        <v>-43824.868800679542</v>
      </c>
      <c r="AS331" s="5548">
        <f t="shared" si="1192"/>
        <v>-46698.709439623082</v>
      </c>
      <c r="AT331" s="5547">
        <f t="shared" si="1192"/>
        <v>6467.4962726573867</v>
      </c>
      <c r="AU331" s="5548">
        <f t="shared" si="1192"/>
        <v>-32149.724148320827</v>
      </c>
      <c r="AV331" s="5548">
        <f t="shared" si="1192"/>
        <v>-26315.132780505555</v>
      </c>
      <c r="AW331" s="5548">
        <f t="shared" si="1192"/>
        <v>-9001.1346427991375</v>
      </c>
      <c r="AX331" s="5548">
        <f t="shared" si="1192"/>
        <v>11049.497873027518</v>
      </c>
      <c r="AY331" s="5547">
        <f t="shared" si="1192"/>
        <v>-2525.1332028795659</v>
      </c>
      <c r="AZ331" s="5548">
        <f t="shared" si="1192"/>
        <v>20837.410686218944</v>
      </c>
      <c r="BA331" s="5548">
        <f t="shared" si="1192"/>
        <v>23331.796324352814</v>
      </c>
      <c r="BB331" s="5548">
        <f t="shared" si="1192"/>
        <v>39266.942409306575</v>
      </c>
      <c r="BC331" s="5548">
        <f t="shared" si="1192"/>
        <v>30034.220669510294</v>
      </c>
      <c r="BD331" s="5547">
        <f t="shared" si="1192"/>
        <v>1983.8576993901515</v>
      </c>
      <c r="BE331" s="5548">
        <f t="shared" si="1192"/>
        <v>24372.399776994789</v>
      </c>
      <c r="BF331" s="5548">
        <f t="shared" si="1192"/>
        <v>53748.135530040454</v>
      </c>
      <c r="BG331" s="5548">
        <f t="shared" si="1192"/>
        <v>72796.401076235343</v>
      </c>
      <c r="BH331" s="5548">
        <f t="shared" si="1192"/>
        <v>38601.069442702224</v>
      </c>
      <c r="BI331" s="5547">
        <f t="shared" si="1192"/>
        <v>2443.4452705267176</v>
      </c>
      <c r="BJ331" s="5548">
        <f t="shared" si="1192"/>
        <v>-22242.5310526174</v>
      </c>
      <c r="BK331" s="5548">
        <f t="shared" si="1192"/>
        <v>-60688.551664543062</v>
      </c>
      <c r="BL331" s="5548">
        <f t="shared" si="1192"/>
        <v>-97036.89783915093</v>
      </c>
      <c r="BM331" s="5548">
        <f t="shared" si="1192"/>
        <v>-62294.35237055707</v>
      </c>
      <c r="BN331" s="5547">
        <f t="shared" si="1192"/>
        <v>5357.4539530807888</v>
      </c>
      <c r="BO331" s="5548"/>
      <c r="BP331" s="5548"/>
      <c r="BQ331" s="5548"/>
      <c r="BR331" s="5548"/>
      <c r="BS331" s="5549"/>
      <c r="BT331" s="5548">
        <f>BT330-BJ330</f>
        <v>-15325.217606203107</v>
      </c>
      <c r="BU331" s="5548">
        <f>BU330-BK330</f>
        <v>12785.76520227021</v>
      </c>
      <c r="BV331" s="5548">
        <f>BV330-BL330</f>
        <v>9091.6511135447654</v>
      </c>
      <c r="BW331" s="5548">
        <f>BW330-BM330</f>
        <v>14726.340179777661</v>
      </c>
      <c r="BX331" s="5547">
        <f>BX330-BN330</f>
        <v>3724.6463463547116</v>
      </c>
      <c r="BY331" s="5548"/>
      <c r="BZ331" s="5548"/>
      <c r="CA331" s="5548"/>
      <c r="CB331" s="5548"/>
      <c r="CC331" s="5549"/>
      <c r="CD331" s="5548">
        <f>CD330-BT330</f>
        <v>-3687.2773431330133</v>
      </c>
      <c r="CE331" s="5548">
        <f>CE330-BU330</f>
        <v>-17634.595554027794</v>
      </c>
      <c r="CF331" s="5548">
        <f>CF330-BV330</f>
        <v>-17473.006344789464</v>
      </c>
      <c r="CG331" s="5548">
        <f>CG330-BW330</f>
        <v>-18403.373689961314</v>
      </c>
      <c r="CH331" s="5547">
        <f>CH330-BX330</f>
        <v>5702.0175482554332</v>
      </c>
      <c r="CI331" s="5548">
        <f t="shared" si="1192"/>
        <v>5859.6880000130332</v>
      </c>
      <c r="CJ331" s="5548">
        <f t="shared" si="1192"/>
        <v>-1021.984641109666</v>
      </c>
      <c r="CK331" s="5548">
        <f t="shared" si="1192"/>
        <v>17084.272721114059</v>
      </c>
      <c r="CL331" s="5548">
        <f t="shared" si="1192"/>
        <v>10175.417476127768</v>
      </c>
      <c r="CM331" s="5547">
        <f t="shared" si="1192"/>
        <v>7701.0723304346029</v>
      </c>
      <c r="CN331" s="5548">
        <f t="shared" si="1192"/>
        <v>13742.307322330249</v>
      </c>
      <c r="CO331" s="5548">
        <f t="shared" si="1192"/>
        <v>6165.791726918018</v>
      </c>
      <c r="CP331" s="5548">
        <f t="shared" si="1192"/>
        <v>-2440.7604759709211</v>
      </c>
      <c r="CQ331" s="5548">
        <f t="shared" si="1192"/>
        <v>2964.2363043584483</v>
      </c>
      <c r="CR331" s="5547">
        <f t="shared" ref="CR331:DA331" si="1193">CR330-CM330</f>
        <v>5277.6380611367786</v>
      </c>
      <c r="CS331" s="5548">
        <f t="shared" si="1193"/>
        <v>6617.0462589921517</v>
      </c>
      <c r="CT331" s="5548">
        <f t="shared" si="1193"/>
        <v>11540.532174139502</v>
      </c>
      <c r="CU331" s="5548">
        <f t="shared" si="1193"/>
        <v>11177.765253257734</v>
      </c>
      <c r="CV331" s="5548">
        <f t="shared" si="1193"/>
        <v>9669.3064517082385</v>
      </c>
      <c r="CW331" s="5547">
        <f t="shared" si="1193"/>
        <v>9510.0538126476458</v>
      </c>
      <c r="CX331" s="5548">
        <f t="shared" si="1193"/>
        <v>15137.648551988881</v>
      </c>
      <c r="CY331" s="5548">
        <f t="shared" si="1193"/>
        <v>15109.752585676004</v>
      </c>
      <c r="CZ331" s="5548">
        <f t="shared" si="1193"/>
        <v>-14262.9529914554</v>
      </c>
      <c r="DA331" s="5548">
        <f t="shared" si="1193"/>
        <v>-10601.341198175549</v>
      </c>
      <c r="DB331" s="5547">
        <f t="shared" ref="DB331:DT331" si="1194">DB330-CW330</f>
        <v>1467.2140470886079</v>
      </c>
      <c r="DC331" s="5548">
        <f t="shared" si="1194"/>
        <v>8963.5944875807181</v>
      </c>
      <c r="DD331" s="5548">
        <f t="shared" si="1194"/>
        <v>3759.9791034523078</v>
      </c>
      <c r="DE331" s="5548">
        <f t="shared" si="1194"/>
        <v>2532.1301416209753</v>
      </c>
      <c r="DF331" s="5548">
        <f t="shared" si="1194"/>
        <v>-74.807017345388886</v>
      </c>
      <c r="DG331" s="5547">
        <f t="shared" si="1194"/>
        <v>2081.2279631383572</v>
      </c>
      <c r="DH331" s="5548">
        <f t="shared" si="1194"/>
        <v>-9473.2231621297688</v>
      </c>
      <c r="DI331" s="5548">
        <f t="shared" si="1194"/>
        <v>-6432.7925438760722</v>
      </c>
      <c r="DJ331" s="5548">
        <f t="shared" si="1194"/>
        <v>-2589.2307198332855</v>
      </c>
      <c r="DK331" s="5548">
        <f t="shared" si="1194"/>
        <v>-2502.0580889404227</v>
      </c>
      <c r="DL331" s="5547">
        <f t="shared" si="1194"/>
        <v>-4649.036382547376</v>
      </c>
      <c r="DM331" s="5548">
        <f t="shared" si="1194"/>
        <v>-4027.933094594744</v>
      </c>
      <c r="DN331" s="5548">
        <f t="shared" si="1194"/>
        <v>3547.2358453692286</v>
      </c>
      <c r="DO331" s="5548">
        <f t="shared" si="1194"/>
        <v>3783.383499814925</v>
      </c>
      <c r="DP331" s="5548">
        <f t="shared" si="1194"/>
        <v>5599.4996181941387</v>
      </c>
      <c r="DQ331" s="5547">
        <f t="shared" si="1194"/>
        <v>3101.4533205129992</v>
      </c>
      <c r="DR331" s="5548">
        <f>DR330-DM330</f>
        <v>3317.6046803356294</v>
      </c>
      <c r="DS331" s="5548">
        <f t="shared" si="1194"/>
        <v>-880.62740662583383</v>
      </c>
      <c r="DT331" s="5548">
        <f t="shared" si="1194"/>
        <v>6932.8937289304449</v>
      </c>
      <c r="DU331" s="5548">
        <f t="shared" ref="DU331:EC331" si="1195">DU330-DP330</f>
        <v>6777.5888091687521</v>
      </c>
      <c r="DV331" s="5547">
        <f t="shared" si="1195"/>
        <v>3819.0676930080081</v>
      </c>
      <c r="DW331" s="5548">
        <f t="shared" si="1195"/>
        <v>3629.0040717105439</v>
      </c>
      <c r="DX331" s="5548">
        <f t="shared" si="1195"/>
        <v>6102.7008074094338</v>
      </c>
      <c r="DY331" s="5548">
        <f t="shared" si="1195"/>
        <v>4949.8788481470838</v>
      </c>
      <c r="DZ331" s="5548">
        <f t="shared" si="1195"/>
        <v>5024.592036300528</v>
      </c>
      <c r="EA331" s="5547">
        <f t="shared" si="1195"/>
        <v>4187.1646738999989</v>
      </c>
      <c r="EB331" s="5548">
        <f t="shared" si="1195"/>
        <v>-1491.1698063791409</v>
      </c>
      <c r="EC331" s="5548">
        <f t="shared" si="1195"/>
        <v>10792.145824298568</v>
      </c>
      <c r="ED331" s="5548">
        <f t="shared" ref="ED331:EN331" si="1196">ED330-DY330</f>
        <v>15823.006235150737</v>
      </c>
      <c r="EE331" s="5548">
        <f t="shared" si="1196"/>
        <v>15853.567966009155</v>
      </c>
      <c r="EF331" s="5547">
        <f t="shared" si="1196"/>
        <v>13505.758490903274</v>
      </c>
      <c r="EG331" s="5548">
        <f t="shared" si="1196"/>
        <v>4918.1308586992818</v>
      </c>
      <c r="EH331" s="5548">
        <f t="shared" si="1196"/>
        <v>6158.4970833185362</v>
      </c>
      <c r="EI331" s="5548">
        <f t="shared" si="1196"/>
        <v>3446.9987956714322</v>
      </c>
      <c r="EJ331" s="5548">
        <f t="shared" si="1196"/>
        <v>3412.3215554699709</v>
      </c>
      <c r="EK331" s="5547">
        <f t="shared" si="1196"/>
        <v>3863.5910872839886</v>
      </c>
      <c r="EL331" s="5548">
        <f t="shared" si="1196"/>
        <v>3690.1849511078908</v>
      </c>
      <c r="EM331" s="5548">
        <f t="shared" si="1196"/>
        <v>-1456.0190717724618</v>
      </c>
      <c r="EN331" s="5548">
        <f t="shared" si="1196"/>
        <v>5428.5253942142153</v>
      </c>
      <c r="EO331" s="5548">
        <f t="shared" ref="EO331:EP331" si="1197">EO330-EJ330</f>
        <v>9269.4635282578965</v>
      </c>
      <c r="EP331" s="5547">
        <f t="shared" si="1197"/>
        <v>3680.760595419677</v>
      </c>
      <c r="EQ331" s="5548">
        <f t="shared" ref="EQ331" si="1198">EQ330-EL330</f>
        <v>14490.802790630318</v>
      </c>
      <c r="ER331" s="5548">
        <f t="shared" ref="ER331" si="1199">ER330-EM330</f>
        <v>17382.592370221217</v>
      </c>
      <c r="ES331" s="5548">
        <f t="shared" ref="ES331" si="1200">ES330-EN330</f>
        <v>16911.30389592881</v>
      </c>
      <c r="ET331" s="5548">
        <f t="shared" ref="ET331:EU331" si="1201">ET330-EO330</f>
        <v>12953.996719992283</v>
      </c>
      <c r="EU331" s="5547">
        <f t="shared" si="1201"/>
        <v>15387.590608818296</v>
      </c>
      <c r="EV331" s="5547">
        <f>EV330-EU330</f>
        <v>6961.1321570495202</v>
      </c>
      <c r="EW331" s="5547">
        <f>EW330-EV330</f>
        <v>6903.5682984723535</v>
      </c>
      <c r="EX331" s="5547">
        <f>EX330-EW330</f>
        <v>6992.4088989719457</v>
      </c>
      <c r="EY331" s="5547">
        <f>EY330-EX330</f>
        <v>7243.8582818806462</v>
      </c>
      <c r="EZ331" s="511"/>
      <c r="FA331" s="4274"/>
      <c r="FB331" s="4274"/>
    </row>
    <row r="332" spans="1:158" s="284" customFormat="1" ht="11.25" hidden="1" customHeight="1" outlineLevel="1">
      <c r="A332" s="5369" t="s">
        <v>45</v>
      </c>
      <c r="B332" s="183"/>
      <c r="C332" s="183"/>
      <c r="D332" s="183"/>
      <c r="E332" s="183"/>
      <c r="F332" s="5586"/>
      <c r="G332" s="183"/>
      <c r="H332" s="183"/>
      <c r="I332" s="183"/>
      <c r="J332" s="183"/>
      <c r="K332" s="1032"/>
      <c r="L332" s="183"/>
      <c r="M332" s="183"/>
      <c r="N332" s="183"/>
      <c r="O332" s="183"/>
      <c r="P332" s="995"/>
      <c r="Q332" s="2612"/>
      <c r="R332" s="2612"/>
      <c r="S332" s="2612"/>
      <c r="T332" s="2612"/>
      <c r="U332" s="995" t="s">
        <v>116</v>
      </c>
      <c r="V332" s="2612">
        <f>V330/Q330-1</f>
        <v>-0.73804263790171332</v>
      </c>
      <c r="W332" s="2612">
        <f>W330/R330-1</f>
        <v>-0.75453384579948068</v>
      </c>
      <c r="X332" s="2612">
        <f>X330/S330-1</f>
        <v>-0.73178130654153373</v>
      </c>
      <c r="Y332" s="2612">
        <f>Y330/T330-1</f>
        <v>-0.6178168314050787</v>
      </c>
      <c r="Z332" s="995" t="s">
        <v>116</v>
      </c>
      <c r="AA332" s="2612">
        <f>AA330/V330-1</f>
        <v>8.7579728541502533E-3</v>
      </c>
      <c r="AB332" s="2612">
        <f>AB330/W330-1</f>
        <v>0.12184368561444447</v>
      </c>
      <c r="AC332" s="2612">
        <f>AC330/X330-1</f>
        <v>0.11299656995098739</v>
      </c>
      <c r="AD332" s="2612">
        <f>AD330/Y330-1</f>
        <v>0.23278277381989354</v>
      </c>
      <c r="AE332" s="995" t="s">
        <v>116</v>
      </c>
      <c r="AF332" s="2612">
        <f t="shared" ref="AF332:BK332" si="1202">AF330/AA330-1</f>
        <v>-0.12833420463304135</v>
      </c>
      <c r="AG332" s="2612">
        <f t="shared" si="1202"/>
        <v>0.21219990863671345</v>
      </c>
      <c r="AH332" s="2612">
        <f t="shared" si="1202"/>
        <v>7.1999884006820114E-2</v>
      </c>
      <c r="AI332" s="2612">
        <f t="shared" si="1202"/>
        <v>-2.6976654677048573E-2</v>
      </c>
      <c r="AJ332" s="995">
        <f t="shared" si="1202"/>
        <v>-0.61166434231897471</v>
      </c>
      <c r="AK332" s="2612">
        <f t="shared" si="1202"/>
        <v>-0.20363806096680481</v>
      </c>
      <c r="AL332" s="2612">
        <f t="shared" si="1202"/>
        <v>-0.41238034624581366</v>
      </c>
      <c r="AM332" s="2612">
        <f t="shared" si="1202"/>
        <v>-0.25085479022865409</v>
      </c>
      <c r="AN332" s="2612">
        <f t="shared" si="1202"/>
        <v>-0.37928018460604163</v>
      </c>
      <c r="AO332" s="995">
        <f t="shared" si="1202"/>
        <v>0.20302128968511268</v>
      </c>
      <c r="AP332" s="2612">
        <f t="shared" si="1202"/>
        <v>-0.46213261423609941</v>
      </c>
      <c r="AQ332" s="2612">
        <f t="shared" si="1202"/>
        <v>-0.3917909645598795</v>
      </c>
      <c r="AR332" s="2612">
        <f t="shared" si="1202"/>
        <v>-0.33881295445802617</v>
      </c>
      <c r="AS332" s="2612">
        <f t="shared" si="1202"/>
        <v>-0.40902085183181891</v>
      </c>
      <c r="AT332" s="995">
        <f t="shared" si="1202"/>
        <v>0.12277089628253357</v>
      </c>
      <c r="AU332" s="2612">
        <f t="shared" si="1202"/>
        <v>-0.33182865242480031</v>
      </c>
      <c r="AV332" s="2612">
        <f t="shared" si="1202"/>
        <v>-0.29209105993443396</v>
      </c>
      <c r="AW332" s="2612">
        <f t="shared" si="1202"/>
        <v>-0.10524762506826979</v>
      </c>
      <c r="AX332" s="2612">
        <f t="shared" si="1202"/>
        <v>0.16376117854550309</v>
      </c>
      <c r="AY332" s="995">
        <f t="shared" si="1202"/>
        <v>-4.2692578450588603E-2</v>
      </c>
      <c r="AZ332" s="2612">
        <f t="shared" si="1202"/>
        <v>0.321878919968694</v>
      </c>
      <c r="BA332" s="2612">
        <f t="shared" si="1202"/>
        <v>0.36583350547407556</v>
      </c>
      <c r="BB332" s="2612">
        <f t="shared" si="1202"/>
        <v>0.51314402009688243</v>
      </c>
      <c r="BC332" s="2612">
        <f t="shared" si="1202"/>
        <v>0.38249073008566703</v>
      </c>
      <c r="BD332" s="995">
        <f t="shared" si="1202"/>
        <v>3.5037021866679785E-2</v>
      </c>
      <c r="BE332" s="2612">
        <f t="shared" si="1202"/>
        <v>0.28481010919956939</v>
      </c>
      <c r="BF332" s="2612">
        <f t="shared" si="1202"/>
        <v>0.61702241793825174</v>
      </c>
      <c r="BG332" s="2612">
        <f t="shared" si="1202"/>
        <v>0.62869763985520155</v>
      </c>
      <c r="BH332" s="2612">
        <f t="shared" si="1202"/>
        <v>0.35558354547265347</v>
      </c>
      <c r="BI332" s="995">
        <f t="shared" si="1202"/>
        <v>4.1693024280520463E-2</v>
      </c>
      <c r="BJ332" s="2612">
        <f t="shared" si="1202"/>
        <v>-0.2023030207429608</v>
      </c>
      <c r="BK332" s="2612">
        <f t="shared" si="1202"/>
        <v>-0.43085215744978311</v>
      </c>
      <c r="BL332" s="2612">
        <f t="shared" ref="BL332:DA332" si="1203">BL330/BG330-1</f>
        <v>-0.51455091880497139</v>
      </c>
      <c r="BM332" s="2612">
        <f t="shared" si="1203"/>
        <v>-0.42331602121285017</v>
      </c>
      <c r="BN332" s="995">
        <f t="shared" si="1203"/>
        <v>8.7756536345912961E-2</v>
      </c>
      <c r="BO332" s="127"/>
      <c r="BP332" s="127"/>
      <c r="BQ332" s="127"/>
      <c r="BR332" s="127"/>
      <c r="BS332" s="1957"/>
      <c r="BT332" s="2612">
        <f>BT330/BJ330-1</f>
        <v>-0.17473780038583564</v>
      </c>
      <c r="BU332" s="2612">
        <f>BU330/BK330-1</f>
        <v>0.15948620706563688</v>
      </c>
      <c r="BV332" s="2612">
        <f>BV330/BL330-1</f>
        <v>9.9309439788776377E-2</v>
      </c>
      <c r="BW332" s="2612">
        <f>BW330/BM330-1</f>
        <v>0.1735293630490049</v>
      </c>
      <c r="BX332" s="995">
        <f>BX330/BN330-1</f>
        <v>5.6088570056606057E-2</v>
      </c>
      <c r="BY332" s="127"/>
      <c r="BZ332" s="127"/>
      <c r="CA332" s="127"/>
      <c r="CB332" s="127"/>
      <c r="CC332" s="1957"/>
      <c r="CD332" s="2612">
        <f>CD330/BT330-1</f>
        <v>-5.0944120189357123E-2</v>
      </c>
      <c r="CE332" s="2612">
        <f>CE330/BU330-1</f>
        <v>-0.18971266366456341</v>
      </c>
      <c r="CF332" s="2612">
        <f>CF330/BV330-1</f>
        <v>-0.17361827932522256</v>
      </c>
      <c r="CG332" s="2612">
        <f>CG330/BW330-1</f>
        <v>-0.18479134579470158</v>
      </c>
      <c r="CH332" s="995">
        <f>CH330/BX330-1</f>
        <v>8.130505208061356E-2</v>
      </c>
      <c r="CI332" s="2612">
        <f t="shared" si="1203"/>
        <v>8.5304309104006437E-2</v>
      </c>
      <c r="CJ332" s="2612">
        <f t="shared" si="1203"/>
        <v>-1.3568634239981781E-2</v>
      </c>
      <c r="CK332" s="2612">
        <f t="shared" si="1203"/>
        <v>0.20542041703512437</v>
      </c>
      <c r="CL332" s="2612">
        <f t="shared" si="1203"/>
        <v>0.12533363587720725</v>
      </c>
      <c r="CM332" s="995">
        <f t="shared" si="1203"/>
        <v>0.10155281190072074</v>
      </c>
      <c r="CN332" s="2612">
        <f t="shared" si="1203"/>
        <v>0.18433364315316392</v>
      </c>
      <c r="CO332" s="2612">
        <f t="shared" si="1203"/>
        <v>8.2987703024487214E-2</v>
      </c>
      <c r="CP332" s="2612">
        <f t="shared" si="1203"/>
        <v>-2.4346342644176899E-2</v>
      </c>
      <c r="CQ332" s="2612">
        <f t="shared" si="1203"/>
        <v>3.2444936168979144E-2</v>
      </c>
      <c r="CR332" s="995">
        <f t="shared" si="1203"/>
        <v>6.3179332090200102E-2</v>
      </c>
      <c r="CS332" s="2612">
        <f t="shared" si="1203"/>
        <v>7.4943686848518709E-2</v>
      </c>
      <c r="CT332" s="2612">
        <f t="shared" si="1203"/>
        <v>0.14342577463947137</v>
      </c>
      <c r="CU332" s="2612">
        <f t="shared" si="1203"/>
        <v>0.11427938002117299</v>
      </c>
      <c r="CV332" s="2612">
        <f t="shared" si="1203"/>
        <v>0.10250912541378354</v>
      </c>
      <c r="CW332" s="995">
        <f t="shared" si="1203"/>
        <v>0.10708086634385094</v>
      </c>
      <c r="CX332" s="2612">
        <f t="shared" si="1203"/>
        <v>0.15949372025630915</v>
      </c>
      <c r="CY332" s="2612">
        <f t="shared" si="1203"/>
        <v>0.16422933844161647</v>
      </c>
      <c r="CZ332" s="2612">
        <f t="shared" si="1203"/>
        <v>-0.13086642782375157</v>
      </c>
      <c r="DA332" s="2612">
        <f t="shared" si="1203"/>
        <v>-0.10194028021317147</v>
      </c>
      <c r="DB332" s="995">
        <f t="shared" ref="DB332:DT332" si="1204">DB330/CW330-1</f>
        <v>1.4922549671224639E-2</v>
      </c>
      <c r="DC332" s="2612">
        <f t="shared" si="1204"/>
        <v>8.1451478156963963E-2</v>
      </c>
      <c r="DD332" s="2612">
        <f t="shared" si="1204"/>
        <v>3.5102680598992686E-2</v>
      </c>
      <c r="DE332" s="2612">
        <f t="shared" si="1204"/>
        <v>2.6731190087784018E-2</v>
      </c>
      <c r="DF332" s="2612">
        <f t="shared" si="1204"/>
        <v>-8.0098084875690478E-4</v>
      </c>
      <c r="DG332" s="995">
        <f t="shared" si="1204"/>
        <v>2.0856254007867392E-2</v>
      </c>
      <c r="DH332" s="2612">
        <f t="shared" si="1204"/>
        <v>-7.959897931712212E-2</v>
      </c>
      <c r="DI332" s="2612">
        <f t="shared" si="1204"/>
        <v>-5.8019096779381218E-2</v>
      </c>
      <c r="DJ332" s="2612">
        <f t="shared" si="1204"/>
        <v>-2.6622342541424815E-2</v>
      </c>
      <c r="DK332" s="2612">
        <f t="shared" si="1204"/>
        <v>-2.6811751302275866E-2</v>
      </c>
      <c r="DL332" s="995">
        <f t="shared" si="1204"/>
        <v>-4.5636781260742665E-2</v>
      </c>
      <c r="DM332" s="2612">
        <f t="shared" si="1204"/>
        <v>-3.67717998248418E-2</v>
      </c>
      <c r="DN332" s="2612">
        <f t="shared" si="1204"/>
        <v>3.3964043139362854E-2</v>
      </c>
      <c r="DO332" s="2612">
        <f t="shared" si="1204"/>
        <v>3.9964511433687067E-2</v>
      </c>
      <c r="DP332" s="2612">
        <f t="shared" si="1204"/>
        <v>6.165668305960037E-2</v>
      </c>
      <c r="DQ332" s="995">
        <f t="shared" si="1204"/>
        <v>3.1900950056508837E-2</v>
      </c>
      <c r="DR332" s="2612">
        <f>DR330/DM330-1</f>
        <v>3.1443297539688331E-2</v>
      </c>
      <c r="DS332" s="2612">
        <f t="shared" si="1204"/>
        <v>-8.1548519448727541E-3</v>
      </c>
      <c r="DT332" s="2612">
        <f t="shared" si="1204"/>
        <v>7.041905074378696E-2</v>
      </c>
      <c r="DU332" s="2612">
        <f t="shared" ref="DU332:EC332" si="1205">DU330/DP330-1</f>
        <v>7.0294615052960197E-2</v>
      </c>
      <c r="DV332" s="995">
        <f t="shared" si="1205"/>
        <v>3.8067794142328859E-2</v>
      </c>
      <c r="DW332" s="2612">
        <f t="shared" si="1205"/>
        <v>3.334613834865241E-2</v>
      </c>
      <c r="DX332" s="2612">
        <f t="shared" si="1205"/>
        <v>5.697732931387911E-2</v>
      </c>
      <c r="DY332" s="2612">
        <f t="shared" si="1205"/>
        <v>4.6969546049899558E-2</v>
      </c>
      <c r="DZ332" s="2612">
        <f t="shared" si="1205"/>
        <v>4.8690507957230844E-2</v>
      </c>
      <c r="EA332" s="995">
        <f t="shared" si="1205"/>
        <v>4.0206352854240235E-2</v>
      </c>
      <c r="EB332" s="2612">
        <f t="shared" si="1205"/>
        <v>-1.3259873251074472E-2</v>
      </c>
      <c r="EC332" s="2612">
        <f t="shared" si="1205"/>
        <v>9.532836462115668E-2</v>
      </c>
      <c r="ED332" s="2612">
        <f t="shared" ref="ED332:EN332" si="1206">ED330/DY330-1</f>
        <v>0.14340911094751663</v>
      </c>
      <c r="EE332" s="2612">
        <f t="shared" si="1206"/>
        <v>0.14649512793061303</v>
      </c>
      <c r="EF332" s="995">
        <f t="shared" si="1206"/>
        <v>0.12467348976315651</v>
      </c>
      <c r="EG332" s="2612">
        <f t="shared" si="1206"/>
        <v>4.4321001134727478E-2</v>
      </c>
      <c r="EH332" s="2612">
        <f t="shared" si="1206"/>
        <v>4.9664348588714491E-2</v>
      </c>
      <c r="EI332" s="2612">
        <f t="shared" si="1206"/>
        <v>2.7322927355233118E-2</v>
      </c>
      <c r="EJ332" s="2612">
        <f t="shared" si="1206"/>
        <v>2.750260925350223E-2</v>
      </c>
      <c r="EK332" s="995">
        <f t="shared" si="1206"/>
        <v>3.1711722607240755E-2</v>
      </c>
      <c r="EL332" s="2612">
        <f t="shared" si="1206"/>
        <v>3.1843705848160875E-2</v>
      </c>
      <c r="EM332" s="2612">
        <f t="shared" si="1206"/>
        <v>-1.118630406938026E-2</v>
      </c>
      <c r="EN332" s="2612">
        <f t="shared" si="1206"/>
        <v>4.1885238133501312E-2</v>
      </c>
      <c r="EO332" s="2612">
        <f t="shared" ref="EO332:EP332" si="1207">EO330/EJ330-1</f>
        <v>7.2710246271398438E-2</v>
      </c>
      <c r="EP332" s="995">
        <f t="shared" si="1207"/>
        <v>2.9282481941632188E-2</v>
      </c>
      <c r="EQ332" s="2612">
        <f t="shared" ref="EQ332" si="1208">EQ330/EL330-1</f>
        <v>0.12118643136919394</v>
      </c>
      <c r="ER332" s="2612">
        <f t="shared" ref="ER332" si="1209">ER330/EM330-1</f>
        <v>0.13505778702589644</v>
      </c>
      <c r="ES332" s="2612">
        <f t="shared" ref="ES332" si="1210">ES330/EN330-1</f>
        <v>0.12523805788350084</v>
      </c>
      <c r="ET332" s="2612">
        <f t="shared" ref="ET332:EU332" si="1211">ET330/EO330-1</f>
        <v>9.4724510446407395E-2</v>
      </c>
      <c r="EU332" s="995">
        <f t="shared" si="1211"/>
        <v>0.11893409032421665</v>
      </c>
      <c r="EV332" s="995">
        <f>EV330/EU330-1</f>
        <v>4.8085164403097513E-2</v>
      </c>
      <c r="EW332" s="995">
        <f>EW330/EV330-1</f>
        <v>4.5499673317858758E-2</v>
      </c>
      <c r="EX332" s="995">
        <f>EX330/EW330-1</f>
        <v>4.4079592209832041E-2</v>
      </c>
      <c r="EY332" s="995">
        <f>EY330/EX330-1</f>
        <v>4.373680853140316E-2</v>
      </c>
      <c r="EZ332" s="183"/>
      <c r="FA332" s="725"/>
      <c r="FB332" s="725"/>
    </row>
    <row r="333" spans="1:158" s="284" customFormat="1" ht="11.25" hidden="1" customHeight="1" outlineLevel="1">
      <c r="A333" s="5369" t="s">
        <v>46</v>
      </c>
      <c r="B333" s="2613"/>
      <c r="C333" s="2613"/>
      <c r="D333" s="2613"/>
      <c r="E333" s="2613"/>
      <c r="F333" s="5586"/>
      <c r="G333" s="2613"/>
      <c r="H333" s="2613"/>
      <c r="I333" s="2613"/>
      <c r="J333" s="2613"/>
      <c r="K333" s="5526"/>
      <c r="L333" s="2613"/>
      <c r="M333" s="2613"/>
      <c r="N333" s="2613"/>
      <c r="O333" s="2613"/>
      <c r="P333" s="5550"/>
      <c r="Q333" s="2612"/>
      <c r="R333" s="2612"/>
      <c r="S333" s="2612"/>
      <c r="T333" s="2612"/>
      <c r="U333" s="5550" t="s">
        <v>116</v>
      </c>
      <c r="V333" s="2612">
        <f>V330/T330-1</f>
        <v>-0.35885209050967559</v>
      </c>
      <c r="W333" s="2612">
        <f>W330/V330-1</f>
        <v>-0.27940565564258202</v>
      </c>
      <c r="X333" s="2612">
        <f>X330/W330-1</f>
        <v>-0.21931736263678225</v>
      </c>
      <c r="Y333" s="2612">
        <f>Y330/X330-1</f>
        <v>5.9614655453334775E-2</v>
      </c>
      <c r="Z333" s="5550" t="s">
        <v>116</v>
      </c>
      <c r="AA333" s="2612">
        <f>AA330/Y330-1</f>
        <v>0.69228558090334102</v>
      </c>
      <c r="AB333" s="2612">
        <f>AB330/AA330-1</f>
        <v>-0.19862421228790572</v>
      </c>
      <c r="AC333" s="2612">
        <f>AC330/AB330-1</f>
        <v>-0.22547400431313336</v>
      </c>
      <c r="AD333" s="2612">
        <f>AD330/AC330-1</f>
        <v>0.17365563326713285</v>
      </c>
      <c r="AE333" s="5550"/>
      <c r="AF333" s="2612">
        <f>AF330/AD330-1</f>
        <v>0.19656722026978612</v>
      </c>
      <c r="AG333" s="2612">
        <f>AG330/AF330-1</f>
        <v>0.11444966845271032</v>
      </c>
      <c r="AH333" s="2612">
        <f>AH330/AG330-1</f>
        <v>-0.31505375341071762</v>
      </c>
      <c r="AI333" s="2612">
        <f>AI330/AH330-1</f>
        <v>6.5293334053613705E-2</v>
      </c>
      <c r="AJ333" s="5550"/>
      <c r="AK333" s="2612">
        <f>AK330/AI330-1</f>
        <v>-2.0680648313392003E-2</v>
      </c>
      <c r="AL333" s="2612">
        <f>AL330/AK330-1</f>
        <v>-0.17766973005053177</v>
      </c>
      <c r="AM333" s="2612">
        <f>AM330/AL330-1</f>
        <v>-0.12677495331380684</v>
      </c>
      <c r="AN333" s="2612">
        <f>AN330/AM330-1</f>
        <v>-0.11732909317273776</v>
      </c>
      <c r="AO333" s="5550"/>
      <c r="AP333" s="2612">
        <f>AP330/AN330-1</f>
        <v>-0.15139822113563439</v>
      </c>
      <c r="AQ333" s="2612">
        <f>AQ330/AP330-1</f>
        <v>-7.0126366578540655E-2</v>
      </c>
      <c r="AR333" s="2612">
        <f>AR330/AQ330-1</f>
        <v>-5.0712740079739915E-2</v>
      </c>
      <c r="AS333" s="2612">
        <f>AS330/AR330-1</f>
        <v>-0.21105517092818438</v>
      </c>
      <c r="AT333" s="5550"/>
      <c r="AU333" s="2612">
        <f>AU330/AS330-1</f>
        <v>-4.0556006254971133E-2</v>
      </c>
      <c r="AV333" s="2612">
        <f>AV330/AU330-1</f>
        <v>-1.4824774185311695E-2</v>
      </c>
      <c r="AW333" s="2612">
        <f>AW330/AV330-1</f>
        <v>0.19983938926865163</v>
      </c>
      <c r="AX333" s="2612">
        <f>AX330/AW330-1</f>
        <v>2.6142416395431356E-2</v>
      </c>
      <c r="AY333" s="5550"/>
      <c r="AZ333" s="2612">
        <f>AZ330/AX330-1</f>
        <v>8.9801596412798501E-2</v>
      </c>
      <c r="BA333" s="2612">
        <f>BA330/AZ330-1</f>
        <v>1.7933875677930811E-2</v>
      </c>
      <c r="BB333" s="2612">
        <f>BB330/BA330-1</f>
        <v>0.32924678569690835</v>
      </c>
      <c r="BC333" s="2612">
        <f>BC330/BB330-1</f>
        <v>-6.2460440266909001E-2</v>
      </c>
      <c r="BD333" s="5550"/>
      <c r="BE333" s="2612">
        <f>BE330/BC330-1</f>
        <v>1.2801082583916434E-2</v>
      </c>
      <c r="BF333" s="2612">
        <f>BF330/BE330-1</f>
        <v>0.2811402129887095</v>
      </c>
      <c r="BG333" s="2612">
        <f>BG330/BF330-1</f>
        <v>0.33884421058925529</v>
      </c>
      <c r="BH333" s="2612">
        <f>BH330/BG330-1</f>
        <v>-0.21967517524195357</v>
      </c>
      <c r="BI333" s="5550"/>
      <c r="BJ333" s="2612">
        <f>BJ330/BH330-1</f>
        <v>-0.40401433252588304</v>
      </c>
      <c r="BK333" s="2612">
        <f>BK330/BJ330-1</f>
        <v>-8.5920835621097313E-2</v>
      </c>
      <c r="BL333" s="2612">
        <f>BL330/BK330-1</f>
        <v>0.14195406413491241</v>
      </c>
      <c r="BM333" s="2612">
        <f>BM330/BL330-1</f>
        <v>-7.3021575032977792E-2</v>
      </c>
      <c r="BN333" s="5550"/>
      <c r="BO333" s="5551"/>
      <c r="BP333" s="5551"/>
      <c r="BQ333" s="5551"/>
      <c r="BR333" s="5551"/>
      <c r="BS333" s="5550"/>
      <c r="BT333" s="2612">
        <f>BT330/BN330-1</f>
        <v>8.9936166379211979E-2</v>
      </c>
      <c r="BU333" s="2612">
        <f>BU330/BT330-1</f>
        <v>0.28427326946386122</v>
      </c>
      <c r="BV333" s="2612">
        <f>BV330/BU330-1</f>
        <v>8.2687206504736599E-2</v>
      </c>
      <c r="BW333" s="2612">
        <f>BW330/BV330-1</f>
        <v>-1.0436587517397733E-2</v>
      </c>
      <c r="BX333" s="5550"/>
      <c r="BY333" s="5551"/>
      <c r="BZ333" s="5551"/>
      <c r="CA333" s="5551"/>
      <c r="CB333" s="5551"/>
      <c r="CC333" s="5550"/>
      <c r="CD333" s="2637">
        <f>CD330/BX330-1</f>
        <v>-2.0526917297269631E-2</v>
      </c>
      <c r="CE333" s="2612">
        <f>CE330/CD330-1</f>
        <v>9.6490089549103208E-2</v>
      </c>
      <c r="CF333" s="2612">
        <f>CF330/CE330-1</f>
        <v>0.10419215078731758</v>
      </c>
      <c r="CG333" s="2612">
        <f>CG330/CF330-1</f>
        <v>-2.3815946603903737E-2</v>
      </c>
      <c r="CH333" s="5550"/>
      <c r="CI333" s="2637">
        <f>CI330/CH330-1</f>
        <v>-1.6904290548521939E-2</v>
      </c>
      <c r="CJ333" s="2612">
        <f>CJ330/CI330-1</f>
        <v>-3.4018961288453387E-3</v>
      </c>
      <c r="CK333" s="2612">
        <f>CK330/CJ330-1</f>
        <v>0.34932425010983725</v>
      </c>
      <c r="CL333" s="2612">
        <f>CL330/CK330-1</f>
        <v>-8.8672520749605854E-2</v>
      </c>
      <c r="CM333" s="5550"/>
      <c r="CN333" s="2612">
        <f>CN330/CL330-1</f>
        <v>-3.3585987212491064E-2</v>
      </c>
      <c r="CO333" s="2612">
        <f>CO330/CN330-1</f>
        <v>-8.8682908241592417E-2</v>
      </c>
      <c r="CP333" s="2612">
        <f>CP330/CO330-1</f>
        <v>0.21559380212907153</v>
      </c>
      <c r="CQ333" s="2612">
        <f>CQ330/CP330-1</f>
        <v>-3.5625568509950134E-2</v>
      </c>
      <c r="CR333" s="5550"/>
      <c r="CS333" s="2612">
        <f>CS330/CQ330-1</f>
        <v>6.1947185121846715E-3</v>
      </c>
      <c r="CT333" s="2612">
        <f>CT330/CS330-1</f>
        <v>-3.0625078936912242E-2</v>
      </c>
      <c r="CU333" s="2612">
        <f>CU330/CT330-1</f>
        <v>0.18460781472330146</v>
      </c>
      <c r="CV333" s="2612">
        <f>CV330/CU330-1</f>
        <v>-4.5812360798324514E-2</v>
      </c>
      <c r="CW333" s="5550"/>
      <c r="CX333" s="2612">
        <f>CX330/CV330-1</f>
        <v>5.8201179996652197E-2</v>
      </c>
      <c r="CY333" s="2612">
        <f>CY330/CX330-1</f>
        <v>-2.6665946235829185E-2</v>
      </c>
      <c r="CZ333" s="2612">
        <f>CZ330/CY330-1</f>
        <v>-0.11565325864703435</v>
      </c>
      <c r="DA333" s="2612">
        <f>DA330/CZ330-1</f>
        <v>-1.4055478561423196E-2</v>
      </c>
      <c r="DB333" s="5550"/>
      <c r="DC333" s="2612">
        <f>DC330/DA330-1</f>
        <v>0.27429524460407428</v>
      </c>
      <c r="DD333" s="2612">
        <f>DD330/DC330-1</f>
        <v>-6.8381052207183157E-2</v>
      </c>
      <c r="DE333" s="2612">
        <f>DE330/DD330-1</f>
        <v>-0.12280549628743009</v>
      </c>
      <c r="DF333" s="2612">
        <f>DF330/DE330-1</f>
        <v>-4.0493940118115579E-2</v>
      </c>
      <c r="DG333" s="5550"/>
      <c r="DH333" s="2612">
        <f>DH330/DF330-1</f>
        <v>0.17380283737788371</v>
      </c>
      <c r="DI333" s="2612">
        <f>DI330/DH330-1</f>
        <v>-4.6538152197808214E-2</v>
      </c>
      <c r="DJ333" s="2612">
        <f>DJ330/DI330-1</f>
        <v>-9.3568109247218145E-2</v>
      </c>
      <c r="DK333" s="2612">
        <f>DK330/DJ330-1</f>
        <v>-4.068064961615947E-2</v>
      </c>
      <c r="DL333" s="5550"/>
      <c r="DM333" s="2612">
        <f>DM330/DK330-1</f>
        <v>0.1617896084554693</v>
      </c>
      <c r="DN333" s="2612">
        <f>DN330/DM330-1</f>
        <v>2.3480486714789972E-2</v>
      </c>
      <c r="DO333" s="2612">
        <f>DO330/DN330-1</f>
        <v>-8.8307756280868954E-2</v>
      </c>
      <c r="DP333" s="2612">
        <f>DP330/DO330-1</f>
        <v>-2.0670620654788752E-2</v>
      </c>
      <c r="DQ333" s="5550"/>
      <c r="DR333" s="2612">
        <f>DR330/DP330-1</f>
        <v>0.12872656849783159</v>
      </c>
      <c r="DS333" s="2612">
        <f>DS330/DR330-1</f>
        <v>-1.5811962423359804E-2</v>
      </c>
      <c r="DT333" s="2612">
        <f>DT330/DS330-1</f>
        <v>-1.6083561021700166E-2</v>
      </c>
      <c r="DU333" s="2612">
        <f>DU330/DT330-1</f>
        <v>-2.0784467215891111E-2</v>
      </c>
      <c r="DV333" s="5550"/>
      <c r="DW333" s="2612">
        <f>DW330/DU330-1</f>
        <v>8.9760916671570712E-2</v>
      </c>
      <c r="DX333" s="2612">
        <f>DX330/DW330-1</f>
        <v>6.6950510531043061E-3</v>
      </c>
      <c r="DY333" s="2612">
        <f>DY330/DX330-1</f>
        <v>-2.5399581524763626E-2</v>
      </c>
      <c r="DZ333" s="2612">
        <f>DZ330/DY330-1</f>
        <v>-1.9174876337773816E-2</v>
      </c>
      <c r="EA333" s="5550"/>
      <c r="EB333" s="2612">
        <f>EB330/DZ330-1</f>
        <v>2.5384340645129511E-2</v>
      </c>
      <c r="EC333" s="2612">
        <f>EC330/EB330-1</f>
        <v>0.11747927752286413</v>
      </c>
      <c r="ED333" s="2612">
        <f>ED330/EC330-1</f>
        <v>1.7381667463049588E-2</v>
      </c>
      <c r="EE333" s="2612">
        <f>EE330/ED330-1</f>
        <v>-1.6527667250414879E-2</v>
      </c>
      <c r="EF333" s="5550"/>
      <c r="EG333" s="2612">
        <f>EG330/EE330-1</f>
        <v>-6.5996553249023759E-2</v>
      </c>
      <c r="EH333" s="2612">
        <f>EH330/EG330-1</f>
        <v>0.12319694483583321</v>
      </c>
      <c r="EI333" s="2612">
        <f>EI330/EH330-1</f>
        <v>-4.2726379523664315E-3</v>
      </c>
      <c r="EJ333" s="2612">
        <f>EJ330/EI330-1</f>
        <v>-1.6355654954243737E-2</v>
      </c>
      <c r="EK333" s="5550"/>
      <c r="EL333" s="2612">
        <f>EL330/EJ330-1</f>
        <v>-6.2050481340714003E-2</v>
      </c>
      <c r="EM333" s="2612">
        <f>EM330/EL330-1</f>
        <v>7.6357316506743933E-2</v>
      </c>
      <c r="EN333" s="2612">
        <f>EN330/EM330-1</f>
        <v>4.9169974073491662E-2</v>
      </c>
      <c r="EO333" s="2612">
        <f>EO330/EN330-1</f>
        <v>1.2746249776790286E-2</v>
      </c>
      <c r="EP333" s="5550"/>
      <c r="EQ333" s="2612">
        <f t="shared" ref="EQ333:ET333" si="1212">EQ330/EP330-1</f>
        <v>3.6220105326864038E-2</v>
      </c>
      <c r="ER333" s="2612">
        <f t="shared" si="1212"/>
        <v>8.9674044869863412E-2</v>
      </c>
      <c r="ES333" s="2612">
        <f t="shared" si="1212"/>
        <v>4.0093286447982379E-2</v>
      </c>
      <c r="ET333" s="2612">
        <f t="shared" si="1212"/>
        <v>-1.4716810611007158E-2</v>
      </c>
      <c r="EU333" s="5550"/>
      <c r="EV333" s="5550"/>
      <c r="EW333" s="5550"/>
      <c r="EX333" s="5550"/>
      <c r="EY333" s="5550"/>
      <c r="EZ333" s="183"/>
      <c r="FA333" s="725"/>
      <c r="FB333" s="725"/>
    </row>
    <row r="334" spans="1:158" s="129" customFormat="1" ht="11.25" hidden="1" customHeight="1" outlineLevel="1">
      <c r="A334" s="5523" t="s">
        <v>1029</v>
      </c>
      <c r="B334" s="5524"/>
      <c r="C334" s="5524"/>
      <c r="D334" s="5524"/>
      <c r="E334" s="5524"/>
      <c r="F334" s="5587"/>
      <c r="G334" s="5524"/>
      <c r="H334" s="5524"/>
      <c r="I334" s="5524"/>
      <c r="J334" s="5524"/>
      <c r="K334" s="5525"/>
      <c r="L334" s="5524"/>
      <c r="M334" s="5524"/>
      <c r="N334" s="5524"/>
      <c r="O334" s="5524"/>
      <c r="P334" s="5539"/>
      <c r="Q334" s="5540">
        <f>((IS!Q57*1000000)*4)/(AVERAGE('Revenue Drivers'!P317:Q317))</f>
        <v>243736.75762439801</v>
      </c>
      <c r="R334" s="5541">
        <f>((IS!R57*1000000)*4)/(AVERAGE('Revenue Drivers'!Q317:R317))</f>
        <v>351838.383838384</v>
      </c>
      <c r="S334" s="5541">
        <f>((IS!S57*1000000)*4)/(AVERAGE('Revenue Drivers'!R317:S317))</f>
        <v>500753.96825396834</v>
      </c>
      <c r="T334" s="5541">
        <f>((IS!T57*1000000)*4)/(AVERAGE('Revenue Drivers'!S317:T317))</f>
        <v>614611.62594776752</v>
      </c>
      <c r="U334" s="5539">
        <f>(IS!U57*1000000)/AVERAGE(Q317:T317)</f>
        <v>479199.59575543203</v>
      </c>
      <c r="V334" s="5540">
        <f>((IS!V57*1000000)*4)/(AVERAGE('Revenue Drivers'!U317:V317))</f>
        <v>693322.81393819861</v>
      </c>
      <c r="W334" s="5541">
        <f>((IS!W57*1000000)*4)/(AVERAGE('Revenue Drivers'!V317:W317))</f>
        <v>591232.50122369069</v>
      </c>
      <c r="X334" s="5541">
        <f>((IS!X57*1000000)*4)/(AVERAGE('Revenue Drivers'!W317:X317))</f>
        <v>520046.87500000012</v>
      </c>
      <c r="Y334" s="5542">
        <f>((IS!Y57*1000000)*4)/(AVERAGE('Revenue Drivers'!X317:Y317))</f>
        <v>499071.85234014486</v>
      </c>
      <c r="Z334" s="5539">
        <f>(IS!Z57*1000000)/AVERAGE(V317:Y317)</f>
        <v>503046.68111089227</v>
      </c>
      <c r="AA334" s="5540">
        <f>((IS!AA57*1000000)*4)/(AVERAGE('Revenue Drivers'!Z317:AA317))</f>
        <v>578152.19236209348</v>
      </c>
      <c r="AB334" s="5541">
        <f>((IS!AB57*1000000)*4)/(AVERAGE('Revenue Drivers'!AA317:AB317))</f>
        <v>529042.15289354592</v>
      </c>
      <c r="AC334" s="5541">
        <f>((IS!AC57*1000000)*4)/(AVERAGE('Revenue Drivers'!AB317:AC317))</f>
        <v>518417.74193548388</v>
      </c>
      <c r="AD334" s="5542">
        <f>((IS!AD57*1000000)*4)/(AVERAGE('Revenue Drivers'!AC317:AD317))</f>
        <v>597903.32220073813</v>
      </c>
      <c r="AE334" s="5539">
        <f>(IS!AE57*1000000)/AVERAGE(AA317:AD317)</f>
        <v>517700.24271844659</v>
      </c>
      <c r="AF334" s="5540">
        <f>((IS!AF57*1000000)*4)/(AVERAGE('Revenue Drivers'!AE317:AF317))</f>
        <v>673991.69614024309</v>
      </c>
      <c r="AG334" s="5541">
        <f>((IS!AG57*1000000)*4)/(AVERAGE('Revenue Drivers'!AF317:AG317))</f>
        <v>615749.5107632092</v>
      </c>
      <c r="AH334" s="5541">
        <f>((IS!AH57*1000000)*4)/(AVERAGE('Revenue Drivers'!AG317:AH317))</f>
        <v>586355.86567815091</v>
      </c>
      <c r="AI334" s="5541">
        <f>((IS!AI57*1000000)*4)/(AVERAGE('Revenue Drivers'!AH317:AI317))</f>
        <v>610176.77383072453</v>
      </c>
      <c r="AJ334" s="5539">
        <f>(IS!AJ57*1000000)/AVERAGE(AF317:AI317)</f>
        <v>572453.36533216969</v>
      </c>
      <c r="AK334" s="5540">
        <f>((IS!AK57*1000000)*4)/(AVERAGE('Revenue Drivers'!AJ317:AK317))</f>
        <v>643157.01684041729</v>
      </c>
      <c r="AL334" s="5541">
        <f>((IS!AL57*1000000)*4)/(AVERAGE('Revenue Drivers'!AK317:AL317))</f>
        <v>570590.27966331795</v>
      </c>
      <c r="AM334" s="5541">
        <f>((IS!AM57*1000000)*4)/(AVERAGE('Revenue Drivers'!AL317:AM317))</f>
        <v>546559.35334872955</v>
      </c>
      <c r="AN334" s="5542">
        <f>((IS!AN57*1000000)*4)/(AVERAGE('Revenue Drivers'!AM317:AN317))</f>
        <v>552272.49152204266</v>
      </c>
      <c r="AO334" s="5539">
        <f>(IS!AO57*1000000)/AVERAGE(AK317:AN317)</f>
        <v>531374.77000919962</v>
      </c>
      <c r="AP334" s="5540">
        <f>((IS!AP57*1000000)*4)/(AVERAGE(AO317:AP317))</f>
        <v>562174.30167597777</v>
      </c>
      <c r="AQ334" s="5541">
        <f>((IS!AQ57*1000000)*4)/(AVERAGE(AP317:AQ317))</f>
        <v>483600.92222563789</v>
      </c>
      <c r="AR334" s="5541">
        <f>((IS!AR57*1000000)*4)/(AVERAGE(AQ317:AR317))</f>
        <v>474448.31997845258</v>
      </c>
      <c r="AS334" s="5542">
        <f>((IS!AS57*1000000)*4)/(AVERAGE(AR317:AS317))</f>
        <v>483107.48449008283</v>
      </c>
      <c r="AT334" s="5539">
        <f>(IS!AT57*1000000)/AVERAGE(AP317:AS317)</f>
        <v>471236.63290492812</v>
      </c>
      <c r="AU334" s="5540">
        <f>((IS!AU57*1000000)*4)/(AVERAGE(AT317:AU317))</f>
        <v>481307.63883095578</v>
      </c>
      <c r="AV334" s="5541">
        <f>((IS!AV57*1000000)*4)/(AVERAGE(AU317:AV317))</f>
        <v>462816.92466460279</v>
      </c>
      <c r="AW334" s="5541">
        <f>((IS!AW57*1000000)*4)/(AVERAGE(AV317:AW317))</f>
        <v>485100.81304905983</v>
      </c>
      <c r="AX334" s="5541">
        <f>((IS!AX57*1000000)*4)/(AVERAGE(AW317:AX317))</f>
        <v>502047.04424340086</v>
      </c>
      <c r="AY334" s="5539">
        <f>(IS!AY57*1000000)/AVERAGE(AU317:AX317)</f>
        <v>472623.57625940203</v>
      </c>
      <c r="AZ334" s="5540">
        <f>((IS!AZ57*1000000)*4)/(AVERAGE(AY317:AZ317))</f>
        <v>507957.41098400438</v>
      </c>
      <c r="BA334" s="5541">
        <f>((IS!BA57*1000000)*4)/(AVERAGE(AZ317:BA317))</f>
        <v>509420.97622027533</v>
      </c>
      <c r="BB334" s="5541">
        <f>((IS!BB57*1000000)*4)/(AVERAGE(BA317:BB317))</f>
        <v>561682.69498872024</v>
      </c>
      <c r="BC334" s="5541">
        <f>((IS!BC57*1000000)*4)/(AVERAGE(BB317:BC317))</f>
        <v>632397.56962025317</v>
      </c>
      <c r="BD334" s="5539">
        <f>(IS!BD57*1000000)/AVERAGE(AZ317:BC317)</f>
        <v>553835.01573316543</v>
      </c>
      <c r="BE334" s="5540">
        <f>((IS!BE57*1000000)*4)/(AVERAGE(BD317:BE317))</f>
        <v>614989.12398655328</v>
      </c>
      <c r="BF334" s="5541">
        <f>((IS!BF57*1000000)*4)/(AVERAGE(BE317:BF317))</f>
        <v>568707.86781690468</v>
      </c>
      <c r="BG334" s="5541">
        <f>((IS!BG57*1000000)*4)/(AVERAGE(BF317:BG317))</f>
        <v>579404.46650124073</v>
      </c>
      <c r="BH334" s="5541">
        <f>((IS!BH57*1000000)*4)/(AVERAGE(BG317:BH317))</f>
        <v>630030.79759485449</v>
      </c>
      <c r="BI334" s="5539">
        <f>(IS!BI57*1000000)/AVERAGE(BE317:BH317)</f>
        <v>583604.15719245316</v>
      </c>
      <c r="BJ334" s="5540">
        <f>((IS!BJ57*1000000)*4)/(AVERAGE(BI317:BJ317))</f>
        <v>572442.62165785942</v>
      </c>
      <c r="BK334" s="5541">
        <f>((IS!BK57*1000000)*4)/(AVERAGE(BJ317:BK317))</f>
        <v>547672.6454142764</v>
      </c>
      <c r="BL334" s="5541">
        <f>((IS!BL57*1000000)*4)/(AVERAGE(BK317:BL317))</f>
        <v>548360.80570848787</v>
      </c>
      <c r="BM334" s="5541">
        <f>((IS!BM57*1000000)*4)/(AVERAGE(BL317:BM317))</f>
        <v>569852.71074898157</v>
      </c>
      <c r="BN334" s="5539">
        <f>(IS!BN57*1000000)/AVERAGE(BJ317:BM317)</f>
        <v>540503.26313664811</v>
      </c>
      <c r="BO334" s="5541"/>
      <c r="BP334" s="5541"/>
      <c r="BQ334" s="5541"/>
      <c r="BR334" s="5541"/>
      <c r="BS334" s="5543"/>
      <c r="BT334" s="5541">
        <f>((IS!BT57*1000000)*4)/(AVERAGE(BN317:BT317))</f>
        <v>543878.9210301477</v>
      </c>
      <c r="BU334" s="5541">
        <f>((IS!BU57*1000000)*4)/(AVERAGE(BT317:BU317))</f>
        <v>552976.79112008074</v>
      </c>
      <c r="BV334" s="5541">
        <f>((IS!BV57*1000000)*4)/(AVERAGE(BU317:BV317))</f>
        <v>542844.56686876144</v>
      </c>
      <c r="BW334" s="5541">
        <f>((IS!BW57*1000000)*4)/(AVERAGE(BV317:BW317))</f>
        <v>583964.59504221985</v>
      </c>
      <c r="BX334" s="5539">
        <f>(IS!BX57*1000000)/AVERAGE(BT317:BW317)</f>
        <v>546472.88195675297</v>
      </c>
      <c r="BY334" s="5541"/>
      <c r="BZ334" s="5541"/>
      <c r="CA334" s="5541"/>
      <c r="CB334" s="5541"/>
      <c r="CC334" s="5543"/>
      <c r="CD334" s="5541">
        <f>((IS!CD57*1000000)*4)/(AVERAGE(BX317:CD317))</f>
        <v>556034.76528191078</v>
      </c>
      <c r="CE334" s="5541">
        <f>((IS!CE57*1000000)*4)/(AVERAGE(CD317:CE317))</f>
        <v>530988.2534815059</v>
      </c>
      <c r="CF334" s="5541">
        <f>((IS!CF57*1000000)*4)/(AVERAGE(CE317:CF317))</f>
        <v>543211.07602623268</v>
      </c>
      <c r="CG334" s="5541">
        <f>((IS!CG57*1000000)*4)/(AVERAGE(CF317:CG317))</f>
        <v>589416.90690969967</v>
      </c>
      <c r="CH334" s="5539">
        <f>(IS!CH57*1000000)/AVERAGE(CD317:CG317)</f>
        <v>544897.87257261691</v>
      </c>
      <c r="CI334" s="5541">
        <f>((IS!CI57*1000000)*4)/(AVERAGE(CH317:CI317))</f>
        <v>536698.06291096495</v>
      </c>
      <c r="CJ334" s="5541">
        <f>((IS!CJ57*1000000)*4)/(AVERAGE(CI317:CJ317))</f>
        <v>524896.0466048927</v>
      </c>
      <c r="CK334" s="5541">
        <f>((IS!CK57*1000000)*4)/(AVERAGE(CJ317:CK317))</f>
        <v>521308.46347405837</v>
      </c>
      <c r="CL334" s="5541">
        <f>((IS!CL57*1000000)*4)/(AVERAGE(CK317:CL317))</f>
        <v>522384.08580883191</v>
      </c>
      <c r="CM334" s="5539">
        <f>(IS!CM57*1000000)/AVERAGE(CI317:CL317)</f>
        <v>513210.41627067095</v>
      </c>
      <c r="CN334" s="5541">
        <f>((IS!CN57*1000000)*4)/(AVERAGE(CM317:CN317))</f>
        <v>501064.22018348624</v>
      </c>
      <c r="CO334" s="5541">
        <f>((IS!CO57*1000000)*4)/(AVERAGE(CN317:CO317))</f>
        <v>511141.91278387886</v>
      </c>
      <c r="CP334" s="5541">
        <f>((IS!CP57*1000000)*4)/(AVERAGE(CO317:CP317))</f>
        <v>504627.57419487037</v>
      </c>
      <c r="CQ334" s="5541">
        <f>((IS!CQ57*1000000)*4)/(AVERAGE(CP317:CQ317))</f>
        <v>539945.80835865019</v>
      </c>
      <c r="CR334" s="5539">
        <f>(IS!CR57*1000000)/AVERAGE(CN317:CQ317)</f>
        <v>505696.89935051079</v>
      </c>
      <c r="CS334" s="5541">
        <f>((IS!CS57*1000000)*4)/(AVERAGE(CR317:CS317))</f>
        <v>521373.15471416432</v>
      </c>
      <c r="CT334" s="5541">
        <f>((IS!CT57*1000000)*4)/(AVERAGE(CS317:CT317))</f>
        <v>548534.70043614658</v>
      </c>
      <c r="CU334" s="5541">
        <f>((IS!CU57*1000000)*4)/(AVERAGE(CT317:CU317))</f>
        <v>540431.26684636122</v>
      </c>
      <c r="CV334" s="5541">
        <f>((IS!CV57*1000000)*4)/(AVERAGE(CU317:CV317))</f>
        <v>573046.2093150994</v>
      </c>
      <c r="CW334" s="5539">
        <f>(IS!CW57*1000000)/AVERAGE(CS317:CV317)</f>
        <v>536318.83122598054</v>
      </c>
      <c r="CX334" s="5541">
        <f>((IS!CX57*1000000)*4)/(AVERAGE(CW317:CX317))</f>
        <v>552158.58125920093</v>
      </c>
      <c r="CY334" s="5541">
        <f>((IS!CY57*1000000)*4)/(AVERAGE(CX317:CY317))</f>
        <v>561290.92634928273</v>
      </c>
      <c r="CZ334" s="5541">
        <f>((IS!CZ57*1000000)*4)/(AVERAGE(CY317:CZ317))</f>
        <v>591410.93118725892</v>
      </c>
      <c r="DA334" s="5541">
        <f>((IS!DA57*1000000)*4)/(AVERAGE(CZ317:DA317))</f>
        <v>583372.83753974119</v>
      </c>
      <c r="DB334" s="5539">
        <f>(IS!DB57*1000000)/AVERAGE(CX317:DA317)</f>
        <v>564973.73371148994</v>
      </c>
      <c r="DC334" s="5541">
        <f>((IS!DC57*1000000)*4)/(AVERAGE(DB317:DC317))</f>
        <v>584935.81981109222</v>
      </c>
      <c r="DD334" s="5541">
        <f>((IS!DD57*1000000)*4)/(AVERAGE(DC317:DD317))</f>
        <v>580926.78107841115</v>
      </c>
      <c r="DE334" s="5541">
        <f>((IS!DE57*1000000)*4)/(AVERAGE(DD317:DE317))</f>
        <v>576132.58463719126</v>
      </c>
      <c r="DF334" s="5541">
        <f>((IS!DF57*1000000)*4)/(AVERAGE(DE317:DF317))</f>
        <v>540697.82492764434</v>
      </c>
      <c r="DG334" s="5539">
        <f>(IS!DG57*1000000)/AVERAGE(DC317:DF317)</f>
        <v>555293.24630838307</v>
      </c>
      <c r="DH334" s="5541">
        <f>((IS!DH57*1000000)*4)/(AVERAGE(DG317:DH317))</f>
        <v>541442.91153636947</v>
      </c>
      <c r="DI334" s="5541">
        <f>((IS!DI57*1000000)*4)/(AVERAGE(DH317:DI317))</f>
        <v>559759.36145520001</v>
      </c>
      <c r="DJ334" s="5541">
        <f>((IS!DJ57*1000000)*4)/(AVERAGE(DI317:DJ317))</f>
        <v>531103.71512839245</v>
      </c>
      <c r="DK334" s="5541">
        <f>((IS!DK57*1000000)*4)/(AVERAGE(DJ317:DK317))</f>
        <v>526157.21367411315</v>
      </c>
      <c r="DL334" s="5539">
        <f>(IS!DL57*1000000)/AVERAGE(DH317:DK317)</f>
        <v>526935.37491555954</v>
      </c>
      <c r="DM334" s="5541">
        <f>((IS!DM57*1000000)*4)/(AVERAGE(DL317:DM317))</f>
        <v>472037.26435954979</v>
      </c>
      <c r="DN334" s="5541">
        <f>((IS!DN57*1000000)*4)/(AVERAGE(DM317:DN317))</f>
        <v>419914.90584563313</v>
      </c>
      <c r="DO334" s="5541">
        <f>((IS!DO57*1000000)*4)/(AVERAGE(DN317:DO317))</f>
        <v>551146.10255797917</v>
      </c>
      <c r="DP334" s="5541">
        <f>((IS!DP57*1000000)*4)/(AVERAGE(DO317:DP317))</f>
        <v>676055.07400288677</v>
      </c>
      <c r="DQ334" s="5539">
        <f>(IS!DQ57*1000000)/AVERAGE(DM317:DP317)</f>
        <v>524449.38683470793</v>
      </c>
      <c r="DR334" s="5541">
        <f>((IS!DR57*1000000)*4)/(AVERAGE(DQ317:DR317))</f>
        <v>666482.62234104378</v>
      </c>
      <c r="DS334" s="5541">
        <f>((IS!DS57*1000000)*4)/(AVERAGE(DR317:DS317))</f>
        <v>735332.73954325099</v>
      </c>
      <c r="DT334" s="5541">
        <f>((IS!DT57*1000000)*4)/(AVERAGE(DS317:DT317))</f>
        <v>767372.58742400131</v>
      </c>
      <c r="DU334" s="5541">
        <f>((IS!DU57*1000000)*4)/(AVERAGE(DT317:DU317))</f>
        <v>764119.42791523121</v>
      </c>
      <c r="DV334" s="5539">
        <f>(IS!DV57*1000000)/AVERAGE(DR317:DU317)</f>
        <v>721535.98417823866</v>
      </c>
      <c r="DW334" s="5541">
        <f>((IS!DW57*1000000)*4)/(AVERAGE(DV317:DW317))</f>
        <v>708600.96252879163</v>
      </c>
      <c r="DX334" s="5541">
        <f>((IS!DX57*1000000)*4)/(AVERAGE(DW317:DX317))</f>
        <v>666051.13636363635</v>
      </c>
      <c r="DY334" s="5541">
        <f>((IS!DY57*1000000)*4)/(AVERAGE(DX317:DY317))</f>
        <v>579989.07961074635</v>
      </c>
      <c r="DZ334" s="5541">
        <f>((IS!DZ57*1000000)*4)/(AVERAGE(DY317:DZ317))</f>
        <v>582706.69711654505</v>
      </c>
      <c r="EA334" s="5539">
        <f>(IS!EA57*1000000)/AVERAGE(DW317:DZ317)</f>
        <v>616180.81694368564</v>
      </c>
      <c r="EB334" s="5541">
        <f>((IS!EB57*1000000)*4)/(AVERAGE(EA317:EB317))</f>
        <v>543595.53216343571</v>
      </c>
      <c r="EC334" s="5541">
        <f>((IS!EC57*1000000)*4)/(AVERAGE(EB317:EC317))</f>
        <v>665949.0106279311</v>
      </c>
      <c r="ED334" s="5541">
        <f>((IS!ED57*1000000)*4)/(AVERAGE(EC317:ED317))</f>
        <v>678479.53890806448</v>
      </c>
      <c r="EE334" s="5541">
        <f>((IS!EE57*1000000)*4)/(AVERAGE(ED317:EE317))</f>
        <v>716328.24768487434</v>
      </c>
      <c r="EF334" s="5539">
        <f>(IS!EF57*1000000)/AVERAGE(EB317:EE317)</f>
        <v>653394.66660880507</v>
      </c>
      <c r="EG334" s="5541">
        <f>((IS!EG57*1000000)*4)/(AVERAGE(EF317:EG317))</f>
        <v>751772.85448146239</v>
      </c>
      <c r="EH334" s="5541">
        <f>((IS!EH57*1000000)*4)/(AVERAGE(EG317:EH317))</f>
        <v>821089.83374806156</v>
      </c>
      <c r="EI334" s="5541">
        <f>((IS!EI57*1000000)*4)/(AVERAGE(EH317:EI317))</f>
        <v>850256.75417277496</v>
      </c>
      <c r="EJ334" s="5541">
        <f>((IS!EJ57*1000000)*4)/(AVERAGE(EI317:EJ317))</f>
        <v>899350.50686795102</v>
      </c>
      <c r="EK334" s="5539">
        <f>(IS!EK57*1000000)/AVERAGE(EG317:EJ317)</f>
        <v>830188.57515629544</v>
      </c>
      <c r="EL334" s="5541">
        <f>((IS!EL57*1000000)*4)/(AVERAGE(EK317:EL317))</f>
        <v>880311.72603660286</v>
      </c>
      <c r="EM334" s="5541">
        <f>((IS!EM57*1000000)*4)/(AVERAGE(EL317:EM317))</f>
        <v>906963.64484928467</v>
      </c>
      <c r="EN334" s="5541">
        <f>((IS!EN57*1000000)*4)/(AVERAGE(EM317:EN317))</f>
        <v>989508.83982293843</v>
      </c>
      <c r="EO334" s="5541">
        <f>((IS!EO57*1000000)*4)/(AVERAGE(EN317:EO317))</f>
        <v>1053813.572160112</v>
      </c>
      <c r="EP334" s="5539">
        <f>(IS!EP57*1000000)/AVERAGE(EL317:EO317)</f>
        <v>953216.99656014401</v>
      </c>
      <c r="EQ334" s="5541">
        <f>((IS!EQ57*1000000)*4)/(AVERAGE(EP317:EQ317))</f>
        <v>1062136.8108506498</v>
      </c>
      <c r="ER334" s="5541">
        <f>((IS!ER57*1000000)*4)/(AVERAGE(EQ317:ER317))</f>
        <v>1126382.8403832738</v>
      </c>
      <c r="ES334" s="5541">
        <f>((IS!ES57*1000000)*4)/(AVERAGE(ER317:ES317))</f>
        <v>1163139.852812669</v>
      </c>
      <c r="ET334" s="5541">
        <f>((IS!ET57*1000000)*4)/(AVERAGE(ES317:ET317))</f>
        <v>1245301.9383617225</v>
      </c>
      <c r="EU334" s="5539">
        <f>(IS!EU57*1000000)/AVERAGE(EQ317:ET317)</f>
        <v>1144081.6976239863</v>
      </c>
      <c r="EV334" s="5539">
        <f>(IS!EV57*1000000)/AVERAGE(EU317,EV317)</f>
        <v>1279496.1764375202</v>
      </c>
      <c r="EW334" s="5539">
        <f>(IS!EW57*1000000)/AVERAGE(EV317,EW317)</f>
        <v>1399020.5238335433</v>
      </c>
      <c r="EX334" s="5539">
        <f>(IS!EX57*1000000)/AVERAGE(EW317,EX317)</f>
        <v>1517328.1042737681</v>
      </c>
      <c r="EY334" s="5539">
        <f>(IS!EY57*1000000)/AVERAGE(EX317,EY317)</f>
        <v>1648427.2752478495</v>
      </c>
      <c r="FA334" s="1319">
        <f>(EV334/EK334)^(1/3)-1</f>
        <v>0.15510309273203804</v>
      </c>
      <c r="FB334" s="1319">
        <f>(EX334/EK334)^(1/5)-1</f>
        <v>0.12818559418025433</v>
      </c>
    </row>
    <row r="335" spans="1:158" s="284" customFormat="1" ht="11.25" hidden="1" customHeight="1" outlineLevel="1">
      <c r="A335" s="5369" t="s">
        <v>45</v>
      </c>
      <c r="B335" s="2613"/>
      <c r="C335" s="2613"/>
      <c r="D335" s="2613"/>
      <c r="E335" s="2613"/>
      <c r="F335" s="5586"/>
      <c r="G335" s="2613"/>
      <c r="H335" s="2613"/>
      <c r="I335" s="2613"/>
      <c r="J335" s="2613"/>
      <c r="K335" s="1032"/>
      <c r="L335" s="2613"/>
      <c r="M335" s="2613"/>
      <c r="N335" s="2613"/>
      <c r="O335" s="2613"/>
      <c r="P335" s="995"/>
      <c r="Q335" s="2612"/>
      <c r="R335" s="2612"/>
      <c r="S335" s="2612"/>
      <c r="T335" s="2612"/>
      <c r="U335" s="995"/>
      <c r="V335" s="2612"/>
      <c r="W335" s="2612"/>
      <c r="X335" s="2612"/>
      <c r="Y335" s="2612"/>
      <c r="Z335" s="995">
        <f>Z334/U334-1</f>
        <v>4.9764410418307259E-2</v>
      </c>
      <c r="AA335" s="2612"/>
      <c r="AB335" s="2612"/>
      <c r="AC335" s="2612"/>
      <c r="AD335" s="2612"/>
      <c r="AE335" s="995">
        <f>AE334/Z334-1</f>
        <v>2.9129625853398844E-2</v>
      </c>
      <c r="AF335" s="2612"/>
      <c r="AG335" s="2612"/>
      <c r="AH335" s="2612"/>
      <c r="AI335" s="2612"/>
      <c r="AJ335" s="995">
        <f>AJ334/AE334-1</f>
        <v>0.10576221159606614</v>
      </c>
      <c r="AK335" s="2612"/>
      <c r="AL335" s="2612"/>
      <c r="AM335" s="2612"/>
      <c r="AN335" s="2612"/>
      <c r="AO335" s="995">
        <f>AO334/AJ334-1</f>
        <v>-7.1758850258717533E-2</v>
      </c>
      <c r="AP335" s="2612"/>
      <c r="AQ335" s="2612"/>
      <c r="AR335" s="2612"/>
      <c r="AS335" s="2612"/>
      <c r="AT335" s="995">
        <f>AT334/AO334-1</f>
        <v>-0.11317461892899117</v>
      </c>
      <c r="AU335" s="2612"/>
      <c r="AV335" s="2612"/>
      <c r="AW335" s="2612"/>
      <c r="AX335" s="2612"/>
      <c r="AY335" s="995">
        <f>AY334/AT334-1</f>
        <v>2.9431993559672076E-3</v>
      </c>
      <c r="AZ335" s="2612"/>
      <c r="BA335" s="2612"/>
      <c r="BB335" s="2612"/>
      <c r="BC335" s="2612"/>
      <c r="BD335" s="995">
        <f>BD334/AY334-1</f>
        <v>0.1718311221723523</v>
      </c>
      <c r="BE335" s="2612"/>
      <c r="BF335" s="2612"/>
      <c r="BG335" s="2612"/>
      <c r="BH335" s="2612"/>
      <c r="BI335" s="995">
        <f>BI334/BD334-1</f>
        <v>5.375091970282786E-2</v>
      </c>
      <c r="BJ335" s="2612"/>
      <c r="BK335" s="2612"/>
      <c r="BL335" s="2612"/>
      <c r="BM335" s="2612"/>
      <c r="BN335" s="995">
        <f>BN334/BI334-1</f>
        <v>-7.3852959278341457E-2</v>
      </c>
      <c r="BO335" s="127"/>
      <c r="BP335" s="127"/>
      <c r="BQ335" s="127"/>
      <c r="BR335" s="127"/>
      <c r="BS335" s="1957"/>
      <c r="BT335" s="2612"/>
      <c r="BU335" s="2612"/>
      <c r="BV335" s="2612"/>
      <c r="BW335" s="2612"/>
      <c r="BX335" s="995">
        <f>BX334/BI334-1</f>
        <v>-6.3624075973563565E-2</v>
      </c>
      <c r="BY335" s="127"/>
      <c r="BZ335" s="127"/>
      <c r="CA335" s="127"/>
      <c r="CB335" s="127"/>
      <c r="CC335" s="1957"/>
      <c r="CD335" s="2612"/>
      <c r="CE335" s="2612"/>
      <c r="CF335" s="2612"/>
      <c r="CG335" s="2612"/>
      <c r="CH335" s="995">
        <f>CH334/BX334-1</f>
        <v>-2.8821363989671722E-3</v>
      </c>
      <c r="CI335" s="2612">
        <f t="shared" ref="CI335:DN335" si="1213">CI334/CD334-1</f>
        <v>-3.4776067214326245E-2</v>
      </c>
      <c r="CJ335" s="2612">
        <f t="shared" si="1213"/>
        <v>-1.1473336437611725E-2</v>
      </c>
      <c r="CK335" s="2612">
        <f t="shared" si="1213"/>
        <v>-4.0320629528394547E-2</v>
      </c>
      <c r="CL335" s="2612">
        <f t="shared" si="1213"/>
        <v>-0.11372734700183507</v>
      </c>
      <c r="CM335" s="995">
        <f t="shared" si="1213"/>
        <v>-5.8153018936081602E-2</v>
      </c>
      <c r="CN335" s="2612">
        <f t="shared" si="1213"/>
        <v>-6.6394580472689646E-2</v>
      </c>
      <c r="CO335" s="2612">
        <f t="shared" si="1213"/>
        <v>-2.6203538605363286E-2</v>
      </c>
      <c r="CP335" s="2612">
        <f t="shared" si="1213"/>
        <v>-3.1998117137835624E-2</v>
      </c>
      <c r="CQ335" s="2612">
        <f t="shared" si="1213"/>
        <v>3.361841033619295E-2</v>
      </c>
      <c r="CR335" s="995">
        <f t="shared" si="1213"/>
        <v>-1.4640226858134264E-2</v>
      </c>
      <c r="CS335" s="2612">
        <f t="shared" si="1213"/>
        <v>4.053159996784661E-2</v>
      </c>
      <c r="CT335" s="2612">
        <f t="shared" si="1213"/>
        <v>7.3155393281314041E-2</v>
      </c>
      <c r="CU335" s="2612">
        <f t="shared" si="1213"/>
        <v>7.0950725807275461E-2</v>
      </c>
      <c r="CV335" s="2612">
        <f t="shared" si="1213"/>
        <v>6.1303190883302161E-2</v>
      </c>
      <c r="CW335" s="995">
        <f t="shared" si="1213"/>
        <v>6.0553924524352265E-2</v>
      </c>
      <c r="CX335" s="2612">
        <f t="shared" si="1213"/>
        <v>5.904681947407564E-2</v>
      </c>
      <c r="CY335" s="2612">
        <f t="shared" si="1213"/>
        <v>2.3255093803534299E-2</v>
      </c>
      <c r="CZ335" s="2612">
        <f t="shared" si="1213"/>
        <v>9.4331448730538892E-2</v>
      </c>
      <c r="DA335" s="2612">
        <f t="shared" si="1213"/>
        <v>1.8020585524828991E-2</v>
      </c>
      <c r="DB335" s="995">
        <f t="shared" si="1213"/>
        <v>5.3428857644261196E-2</v>
      </c>
      <c r="DC335" s="2612">
        <f t="shared" si="1213"/>
        <v>5.9362001541554577E-2</v>
      </c>
      <c r="DD335" s="2612">
        <f t="shared" si="1213"/>
        <v>3.4983381714083439E-2</v>
      </c>
      <c r="DE335" s="2612">
        <f t="shared" si="1213"/>
        <v>-2.5833723633407191E-2</v>
      </c>
      <c r="DF335" s="2612">
        <f t="shared" si="1213"/>
        <v>-7.3152210500698311E-2</v>
      </c>
      <c r="DG335" s="995">
        <f t="shared" si="1213"/>
        <v>-1.7134402584546238E-2</v>
      </c>
      <c r="DH335" s="2612">
        <f t="shared" si="1213"/>
        <v>-7.435500921924898E-2</v>
      </c>
      <c r="DI335" s="2612">
        <f t="shared" si="1213"/>
        <v>-3.6437327926105767E-2</v>
      </c>
      <c r="DJ335" s="2612">
        <f t="shared" si="1213"/>
        <v>-7.8157130336856229E-2</v>
      </c>
      <c r="DK335" s="2612">
        <f t="shared" si="1213"/>
        <v>-2.6892305800336858E-2</v>
      </c>
      <c r="DL335" s="995">
        <f t="shared" si="1213"/>
        <v>-5.1068280735175553E-2</v>
      </c>
      <c r="DM335" s="2612">
        <f t="shared" si="1213"/>
        <v>-0.12818645456060718</v>
      </c>
      <c r="DN335" s="2612">
        <f t="shared" si="1213"/>
        <v>-0.24982959685750472</v>
      </c>
      <c r="DO335" s="2612">
        <f t="shared" ref="DO335:EF335" si="1214">DO334/DJ334-1</f>
        <v>3.7737238243083171E-2</v>
      </c>
      <c r="DP335" s="2612">
        <f t="shared" si="1214"/>
        <v>0.28489177081133032</v>
      </c>
      <c r="DQ335" s="995">
        <f t="shared" si="1214"/>
        <v>-4.7178234736090507E-3</v>
      </c>
      <c r="DR335" s="2612">
        <f t="shared" si="1214"/>
        <v>0.41192798251916263</v>
      </c>
      <c r="DS335" s="2612">
        <f t="shared" si="1214"/>
        <v>0.7511470283781021</v>
      </c>
      <c r="DT335" s="2612">
        <f t="shared" si="1214"/>
        <v>0.39232153482075227</v>
      </c>
      <c r="DU335" s="2612">
        <f t="shared" si="1214"/>
        <v>0.13026210038025443</v>
      </c>
      <c r="DV335" s="995">
        <f t="shared" si="1214"/>
        <v>0.37579717374261512</v>
      </c>
      <c r="DW335" s="2612">
        <f t="shared" si="1214"/>
        <v>6.3194956291291904E-2</v>
      </c>
      <c r="DX335" s="2612">
        <f t="shared" si="1214"/>
        <v>-9.4218031448795037E-2</v>
      </c>
      <c r="DY335" s="2612">
        <f t="shared" si="1214"/>
        <v>-0.24418843060615969</v>
      </c>
      <c r="DZ335" s="2612">
        <f t="shared" si="1214"/>
        <v>-0.23741410592535206</v>
      </c>
      <c r="EA335" s="995">
        <f t="shared" si="1214"/>
        <v>-0.14601512543347728</v>
      </c>
      <c r="EB335" s="2612">
        <f t="shared" si="1214"/>
        <v>-0.23286086117707117</v>
      </c>
      <c r="EC335" s="2612">
        <f t="shared" si="1214"/>
        <v>-1.533301726093228E-4</v>
      </c>
      <c r="ED335" s="2612">
        <f t="shared" si="1214"/>
        <v>0.16981433402749402</v>
      </c>
      <c r="EE335" s="2612">
        <f t="shared" si="1214"/>
        <v>0.22931184973424834</v>
      </c>
      <c r="EF335" s="995">
        <f t="shared" si="1214"/>
        <v>6.0394365812463269E-2</v>
      </c>
      <c r="EG335" s="2612">
        <f t="shared" ref="EG335:EN335" si="1215">EG334/EB334-1</f>
        <v>0.38296363748522633</v>
      </c>
      <c r="EH335" s="2612">
        <f t="shared" si="1215"/>
        <v>0.2329620145750293</v>
      </c>
      <c r="EI335" s="2612">
        <f t="shared" si="1215"/>
        <v>0.25317965452748403</v>
      </c>
      <c r="EJ335" s="2612">
        <f t="shared" si="1215"/>
        <v>0.25550054709498404</v>
      </c>
      <c r="EK335" s="995">
        <f t="shared" si="1215"/>
        <v>0.27057752011517255</v>
      </c>
      <c r="EL335" s="2612">
        <f t="shared" si="1215"/>
        <v>0.1709809961731068</v>
      </c>
      <c r="EM335" s="2612">
        <f t="shared" si="1215"/>
        <v>0.10458515934758505</v>
      </c>
      <c r="EN335" s="2612">
        <f t="shared" si="1215"/>
        <v>0.16377651217324751</v>
      </c>
      <c r="EO335" s="2612">
        <f t="shared" ref="EO335" si="1216">EO334/EJ334-1</f>
        <v>0.17174957273342639</v>
      </c>
      <c r="EP335" s="995">
        <f>EP334/EK334-1</f>
        <v>0.14819334436237774</v>
      </c>
      <c r="EQ335" s="2612">
        <f t="shared" ref="EQ335" si="1217">EQ334/EL334-1</f>
        <v>0.20654624883014083</v>
      </c>
      <c r="ER335" s="2612">
        <f t="shared" ref="ER335" si="1218">ER334/EM334-1</f>
        <v>0.24192722252990784</v>
      </c>
      <c r="ES335" s="2612">
        <f t="shared" ref="ES335" si="1219">ES334/EN334-1</f>
        <v>0.17547191697731557</v>
      </c>
      <c r="ET335" s="2612">
        <f t="shared" ref="ET335" si="1220">ET334/EO334-1</f>
        <v>0.18170990700859613</v>
      </c>
      <c r="EU335" s="995">
        <f>EU334/EP334-1</f>
        <v>0.20023216303592162</v>
      </c>
      <c r="EV335" s="995">
        <f>EV334/EU334-1</f>
        <v>0.11836084703982319</v>
      </c>
      <c r="EW335" s="995">
        <f>EW334/EV334-1</f>
        <v>9.3415165748140572E-2</v>
      </c>
      <c r="EX335" s="995">
        <f>EX334/EW334-1</f>
        <v>8.4564578163616178E-2</v>
      </c>
      <c r="EY335" s="995">
        <f>EY334/EX334-1</f>
        <v>8.64013331097091E-2</v>
      </c>
      <c r="EZ335" s="2613"/>
      <c r="FA335" s="725"/>
      <c r="FB335" s="725"/>
    </row>
    <row r="336" spans="1:158" s="280" customFormat="1" ht="11.25" hidden="1" customHeight="1" outlineLevel="1">
      <c r="A336" s="5367" t="s">
        <v>1025</v>
      </c>
      <c r="B336" s="5352"/>
      <c r="C336" s="5352"/>
      <c r="D336" s="5352"/>
      <c r="E336" s="5352"/>
      <c r="F336" s="5584"/>
      <c r="G336" s="5352"/>
      <c r="H336" s="5352"/>
      <c r="I336" s="5352"/>
      <c r="J336" s="5352"/>
      <c r="K336" s="5353"/>
      <c r="L336" s="5352"/>
      <c r="M336" s="5352"/>
      <c r="N336" s="5352"/>
      <c r="O336" s="5352"/>
      <c r="P336" s="5552"/>
      <c r="Q336" s="5553"/>
      <c r="R336" s="5554"/>
      <c r="S336" s="5554"/>
      <c r="T336" s="5555"/>
      <c r="U336" s="5552"/>
      <c r="V336" s="5553"/>
      <c r="W336" s="5554"/>
      <c r="X336" s="5554"/>
      <c r="Y336" s="5555"/>
      <c r="Z336" s="5552"/>
      <c r="AA336" s="5553"/>
      <c r="AB336" s="5554"/>
      <c r="AC336" s="5554"/>
      <c r="AD336" s="5554"/>
      <c r="AE336" s="5552"/>
      <c r="AF336" s="5553"/>
      <c r="AG336" s="5554"/>
      <c r="AH336" s="5554"/>
      <c r="AI336" s="5554"/>
      <c r="AJ336" s="5552"/>
      <c r="AK336" s="5553"/>
      <c r="AL336" s="5554"/>
      <c r="AM336" s="5554"/>
      <c r="AN336" s="5555"/>
      <c r="AO336" s="5552"/>
      <c r="AP336" s="5553"/>
      <c r="AQ336" s="5554"/>
      <c r="AR336" s="5554"/>
      <c r="AS336" s="5555"/>
      <c r="AT336" s="5552"/>
      <c r="AU336" s="5553"/>
      <c r="AV336" s="5554"/>
      <c r="AW336" s="5554"/>
      <c r="AX336" s="5555"/>
      <c r="AY336" s="5552"/>
      <c r="AZ336" s="5553"/>
      <c r="BA336" s="5554"/>
      <c r="BB336" s="5554"/>
      <c r="BC336" s="5555"/>
      <c r="BD336" s="5552"/>
      <c r="BE336" s="5553"/>
      <c r="BF336" s="5554"/>
      <c r="BG336" s="5554"/>
      <c r="BH336" s="5555"/>
      <c r="BI336" s="5552"/>
      <c r="BJ336" s="5553"/>
      <c r="BK336" s="5554"/>
      <c r="BL336" s="5554"/>
      <c r="BM336" s="5554"/>
      <c r="BN336" s="5552"/>
      <c r="BO336" s="5554"/>
      <c r="BP336" s="5554"/>
      <c r="BQ336" s="5554"/>
      <c r="BR336" s="5554"/>
      <c r="BS336" s="5556"/>
      <c r="BT336" s="5554"/>
      <c r="BU336" s="5554"/>
      <c r="BV336" s="5554"/>
      <c r="BW336" s="5554"/>
      <c r="BX336" s="5552"/>
      <c r="BY336" s="5554"/>
      <c r="BZ336" s="5554"/>
      <c r="CA336" s="5554"/>
      <c r="CB336" s="5554"/>
      <c r="CC336" s="5556"/>
      <c r="CD336" s="5554"/>
      <c r="CE336" s="5554"/>
      <c r="CF336" s="5554"/>
      <c r="CG336" s="5554"/>
      <c r="CH336" s="5552"/>
      <c r="CI336" s="5554"/>
      <c r="CJ336" s="5554"/>
      <c r="CK336" s="5554"/>
      <c r="CL336" s="5554"/>
      <c r="CM336" s="5552"/>
      <c r="CN336" s="5554"/>
      <c r="CO336" s="5554"/>
      <c r="CP336" s="5554"/>
      <c r="CQ336" s="5554"/>
      <c r="CR336" s="5552"/>
      <c r="CS336" s="5554"/>
      <c r="CT336" s="5554"/>
      <c r="CU336" s="5554"/>
      <c r="CV336" s="5554"/>
      <c r="CW336" s="5552"/>
      <c r="CX336" s="5554"/>
      <c r="CY336" s="5554"/>
      <c r="CZ336" s="5554"/>
      <c r="DA336" s="5554"/>
      <c r="DB336" s="5552"/>
      <c r="DC336" s="5554"/>
      <c r="DD336" s="5554"/>
      <c r="DE336" s="5554"/>
      <c r="DF336" s="5554"/>
      <c r="DG336" s="5552"/>
      <c r="DH336" s="5554"/>
      <c r="DI336" s="5554"/>
      <c r="DJ336" s="5554"/>
      <c r="DK336" s="5554"/>
      <c r="DL336" s="5552"/>
      <c r="DM336" s="5554"/>
      <c r="DN336" s="5554"/>
      <c r="DO336" s="5554"/>
      <c r="DP336" s="5554"/>
      <c r="DQ336" s="5552"/>
      <c r="DR336" s="5554"/>
      <c r="DS336" s="5554"/>
      <c r="DT336" s="5554"/>
      <c r="DU336" s="5554"/>
      <c r="DV336" s="5552"/>
      <c r="DW336" s="5554"/>
      <c r="DX336" s="5554"/>
      <c r="DY336" s="5554"/>
      <c r="DZ336" s="5554"/>
      <c r="EA336" s="5552"/>
      <c r="EB336" s="5554"/>
      <c r="EC336" s="5554"/>
      <c r="ED336" s="5554"/>
      <c r="EE336" s="5554"/>
      <c r="EF336" s="5552"/>
      <c r="EG336" s="5554"/>
      <c r="EH336" s="5554"/>
      <c r="EI336" s="5554"/>
      <c r="EJ336" s="5554"/>
      <c r="EK336" s="5552"/>
      <c r="EL336" s="5554"/>
      <c r="EM336" s="5554"/>
      <c r="EN336" s="5554"/>
      <c r="EO336" s="5554"/>
      <c r="EP336" s="5552"/>
      <c r="EQ336" s="5554"/>
      <c r="ER336" s="5554"/>
      <c r="ES336" s="5554"/>
      <c r="ET336" s="5554"/>
      <c r="EU336" s="5552"/>
      <c r="EV336" s="5552"/>
      <c r="EW336" s="5552"/>
      <c r="EX336" s="5552"/>
      <c r="EY336" s="5552"/>
      <c r="EZ336" s="281"/>
      <c r="FA336" s="1319"/>
      <c r="FB336" s="1319"/>
    </row>
    <row r="337" spans="1:158" s="280" customFormat="1" ht="11.25" hidden="1" customHeight="1" outlineLevel="1">
      <c r="A337" s="5368" t="s">
        <v>1027</v>
      </c>
      <c r="B337" s="591"/>
      <c r="C337" s="591"/>
      <c r="D337" s="591"/>
      <c r="E337" s="591"/>
      <c r="F337" s="5564"/>
      <c r="G337" s="591"/>
      <c r="H337" s="591"/>
      <c r="I337" s="591"/>
      <c r="J337" s="591"/>
      <c r="K337" s="1509"/>
      <c r="L337" s="591"/>
      <c r="M337" s="591"/>
      <c r="N337" s="591"/>
      <c r="O337" s="591"/>
      <c r="P337" s="5534"/>
      <c r="Q337" s="5535"/>
      <c r="R337" s="5536"/>
      <c r="S337" s="5536"/>
      <c r="T337" s="5537"/>
      <c r="U337" s="5534"/>
      <c r="V337" s="5535"/>
      <c r="W337" s="5536"/>
      <c r="X337" s="5536"/>
      <c r="Y337" s="5537"/>
      <c r="Z337" s="5534"/>
      <c r="AA337" s="5535"/>
      <c r="AB337" s="5536"/>
      <c r="AC337" s="5536"/>
      <c r="AD337" s="5537"/>
      <c r="AE337" s="5534"/>
      <c r="AF337" s="5535"/>
      <c r="AG337" s="5536"/>
      <c r="AH337" s="5536"/>
      <c r="AI337" s="5537"/>
      <c r="AJ337" s="5534"/>
      <c r="AK337" s="5535"/>
      <c r="AL337" s="5536"/>
      <c r="AM337" s="5536"/>
      <c r="AN337" s="5537"/>
      <c r="AO337" s="5534"/>
      <c r="AP337" s="5535"/>
      <c r="AQ337" s="5536"/>
      <c r="AR337" s="5536"/>
      <c r="AS337" s="5537"/>
      <c r="AT337" s="5534"/>
      <c r="AU337" s="5535"/>
      <c r="AV337" s="5536"/>
      <c r="AW337" s="5536"/>
      <c r="AX337" s="5537"/>
      <c r="AY337" s="5534"/>
      <c r="AZ337" s="5535"/>
      <c r="BA337" s="5536"/>
      <c r="BB337" s="5536"/>
      <c r="BC337" s="5537"/>
      <c r="BD337" s="5534"/>
      <c r="BE337" s="5535"/>
      <c r="BF337" s="5536"/>
      <c r="BG337" s="5536"/>
      <c r="BH337" s="5537"/>
      <c r="BI337" s="5534"/>
      <c r="BJ337" s="5535"/>
      <c r="BK337" s="5536"/>
      <c r="BL337" s="5536"/>
      <c r="BM337" s="5537"/>
      <c r="BN337" s="5534"/>
      <c r="BO337" s="5536"/>
      <c r="BP337" s="5536"/>
      <c r="BQ337" s="5536"/>
      <c r="BR337" s="5536"/>
      <c r="BS337" s="5538"/>
      <c r="BT337" s="5535"/>
      <c r="BU337" s="5536"/>
      <c r="BV337" s="5536"/>
      <c r="BW337" s="5537"/>
      <c r="BX337" s="5534">
        <f>CH72*1000000/BX317</f>
        <v>1499369.3318846417</v>
      </c>
      <c r="BY337" s="5536"/>
      <c r="BZ337" s="5536"/>
      <c r="CA337" s="5536"/>
      <c r="CB337" s="5536"/>
      <c r="CC337" s="5538"/>
      <c r="CD337" s="5535"/>
      <c r="CE337" s="5536"/>
      <c r="CF337" s="5536"/>
      <c r="CG337" s="5537"/>
      <c r="CH337" s="5534">
        <f>CM72*1000000/CH317</f>
        <v>1516022.5857765852</v>
      </c>
      <c r="CI337" s="5535"/>
      <c r="CJ337" s="5536"/>
      <c r="CK337" s="5536"/>
      <c r="CL337" s="5537"/>
      <c r="CM337" s="5534">
        <f>CR72*1000000/CM317</f>
        <v>1481079.8746888987</v>
      </c>
      <c r="CN337" s="5535"/>
      <c r="CO337" s="5536"/>
      <c r="CP337" s="5536"/>
      <c r="CQ337" s="5537"/>
      <c r="CR337" s="5534">
        <f>CW72*1000000/CR317</f>
        <v>1472255.4761057366</v>
      </c>
      <c r="CS337" s="5535"/>
      <c r="CT337" s="5536"/>
      <c r="CU337" s="5536"/>
      <c r="CV337" s="5537"/>
      <c r="CW337" s="5534">
        <f>DB72*1000000/CW317</f>
        <v>1539103.160173761</v>
      </c>
      <c r="CX337" s="5535"/>
      <c r="CY337" s="5536"/>
      <c r="CZ337" s="5536"/>
      <c r="DA337" s="5537"/>
      <c r="DB337" s="5534">
        <f>DG72*1000000/DB317</f>
        <v>1697503.4327799275</v>
      </c>
      <c r="DC337" s="5535"/>
      <c r="DD337" s="5536"/>
      <c r="DE337" s="5536"/>
      <c r="DF337" s="5537"/>
      <c r="DG337" s="5534">
        <f>DL72*1000000/DG317</f>
        <v>1667776.9790728048</v>
      </c>
      <c r="DH337" s="5535"/>
      <c r="DI337" s="5536"/>
      <c r="DJ337" s="5536"/>
      <c r="DK337" s="5537"/>
      <c r="DL337" s="5534">
        <f>DQ72*1000000/DL317</f>
        <v>1540929.696633277</v>
      </c>
      <c r="DM337" s="5535"/>
      <c r="DN337" s="5536"/>
      <c r="DO337" s="5536"/>
      <c r="DP337" s="5537"/>
      <c r="DQ337" s="5534">
        <f>DV72*1000000/DQ317</f>
        <v>1878463.5738095061</v>
      </c>
      <c r="DR337" s="5535"/>
      <c r="DS337" s="5536"/>
      <c r="DT337" s="5536"/>
      <c r="DU337" s="5537"/>
      <c r="DV337" s="5534">
        <f>EA72*1000000/DV317</f>
        <v>1879872.2044728436</v>
      </c>
      <c r="DW337" s="5535"/>
      <c r="DX337" s="5536"/>
      <c r="DY337" s="5536"/>
      <c r="DZ337" s="5537"/>
      <c r="EA337" s="5534">
        <f>EF72*1000000/EA317</f>
        <v>1624898.8088354343</v>
      </c>
      <c r="EB337" s="5535"/>
      <c r="EC337" s="5536"/>
      <c r="ED337" s="5536"/>
      <c r="EE337" s="5537"/>
      <c r="EF337" s="5534">
        <f>EK72*1000000/EF317</f>
        <v>1932833.6127823256</v>
      </c>
      <c r="EG337" s="5536"/>
      <c r="EH337" s="5536"/>
      <c r="EI337" s="5536"/>
      <c r="EJ337" s="5536"/>
      <c r="EK337" s="5534">
        <f>EP72*1000000/EK317</f>
        <v>2183327.2966294466</v>
      </c>
      <c r="EL337" s="5536"/>
      <c r="EM337" s="5536"/>
      <c r="EN337" s="5536"/>
      <c r="EO337" s="5536"/>
      <c r="EP337" s="5534">
        <f>EU72*1000000/EP317</f>
        <v>2431076.0679093711</v>
      </c>
      <c r="EQ337" s="5536"/>
      <c r="ER337" s="5536"/>
      <c r="ES337" s="5536"/>
      <c r="ET337" s="5536"/>
      <c r="EU337" s="5534">
        <f>EV72*1000000/EU317</f>
        <v>2655443.4759752741</v>
      </c>
      <c r="EV337" s="5534">
        <f>EW72*1000000/EV317</f>
        <v>2872547.6119366684</v>
      </c>
      <c r="EW337" s="5534">
        <f>EX72*1000000/EW317</f>
        <v>3083959.6515410487</v>
      </c>
      <c r="EX337" s="5534">
        <f>EY72*1000000/EX317</f>
        <v>3301034.5483517568</v>
      </c>
      <c r="EY337" s="5534"/>
      <c r="EZ337" s="281"/>
      <c r="FA337" s="1319"/>
      <c r="FB337" s="1319"/>
    </row>
    <row r="338" spans="1:158" s="284" customFormat="1" ht="11.25" hidden="1" customHeight="1" outlineLevel="1">
      <c r="A338" s="5369" t="s">
        <v>45</v>
      </c>
      <c r="B338" s="2613"/>
      <c r="C338" s="2613"/>
      <c r="D338" s="2613"/>
      <c r="E338" s="2613"/>
      <c r="F338" s="5586"/>
      <c r="G338" s="2613"/>
      <c r="H338" s="2613"/>
      <c r="I338" s="2613"/>
      <c r="J338" s="2613"/>
      <c r="K338" s="1032"/>
      <c r="L338" s="2613"/>
      <c r="M338" s="2613"/>
      <c r="N338" s="2613"/>
      <c r="O338" s="2613"/>
      <c r="P338" s="2588"/>
      <c r="Q338" s="2612"/>
      <c r="R338" s="2612"/>
      <c r="S338" s="2612"/>
      <c r="T338" s="2612"/>
      <c r="U338" s="2588"/>
      <c r="V338" s="2612"/>
      <c r="W338" s="2612"/>
      <c r="X338" s="2612"/>
      <c r="Y338" s="2612"/>
      <c r="Z338" s="2588"/>
      <c r="AA338" s="2612"/>
      <c r="AB338" s="2612"/>
      <c r="AC338" s="2612"/>
      <c r="AD338" s="2612"/>
      <c r="AE338" s="2588"/>
      <c r="AF338" s="2612"/>
      <c r="AG338" s="2612"/>
      <c r="AH338" s="2612"/>
      <c r="AI338" s="2612"/>
      <c r="AJ338" s="2588"/>
      <c r="AK338" s="2612"/>
      <c r="AL338" s="2612"/>
      <c r="AM338" s="2612"/>
      <c r="AN338" s="2612"/>
      <c r="AO338" s="2588"/>
      <c r="AP338" s="2612"/>
      <c r="AQ338" s="2612"/>
      <c r="AR338" s="2612"/>
      <c r="AS338" s="2612"/>
      <c r="AT338" s="2588"/>
      <c r="AU338" s="2612"/>
      <c r="AV338" s="2612"/>
      <c r="AW338" s="2612"/>
      <c r="AX338" s="2612"/>
      <c r="AY338" s="2588"/>
      <c r="AZ338" s="2612"/>
      <c r="BA338" s="2612"/>
      <c r="BB338" s="2612"/>
      <c r="BC338" s="2612"/>
      <c r="BD338" s="2588"/>
      <c r="BE338" s="2612"/>
      <c r="BF338" s="2612"/>
      <c r="BG338" s="2612"/>
      <c r="BH338" s="2612"/>
      <c r="BI338" s="2588"/>
      <c r="BJ338" s="2612"/>
      <c r="BK338" s="2612"/>
      <c r="BL338" s="2612"/>
      <c r="BM338" s="2612"/>
      <c r="BN338" s="2588"/>
      <c r="BO338" s="2612"/>
      <c r="BP338" s="2612"/>
      <c r="BQ338" s="2612"/>
      <c r="BR338" s="2612"/>
      <c r="BS338" s="1927"/>
      <c r="BT338" s="2612"/>
      <c r="BU338" s="2612"/>
      <c r="BV338" s="2612"/>
      <c r="BW338" s="2612"/>
      <c r="BX338" s="2588"/>
      <c r="BY338" s="2612"/>
      <c r="BZ338" s="2612"/>
      <c r="CA338" s="2612"/>
      <c r="CB338" s="2612"/>
      <c r="CC338" s="1927"/>
      <c r="CD338" s="2612"/>
      <c r="CE338" s="2612"/>
      <c r="CF338" s="2612"/>
      <c r="CG338" s="2612"/>
      <c r="CH338" s="2588">
        <f>CH337/BX337-1</f>
        <v>1.1106839080809339E-2</v>
      </c>
      <c r="CI338" s="2612"/>
      <c r="CJ338" s="2612"/>
      <c r="CK338" s="2612"/>
      <c r="CL338" s="2612"/>
      <c r="CM338" s="2588">
        <f>CM337/CH337-1</f>
        <v>-2.3048938330814561E-2</v>
      </c>
      <c r="CN338" s="2612"/>
      <c r="CO338" s="2612"/>
      <c r="CP338" s="2612"/>
      <c r="CQ338" s="2612"/>
      <c r="CR338" s="2588">
        <f>CR337/CM337-1</f>
        <v>-5.9580841884140368E-3</v>
      </c>
      <c r="CS338" s="2612"/>
      <c r="CT338" s="2612"/>
      <c r="CU338" s="2612"/>
      <c r="CV338" s="2612"/>
      <c r="CW338" s="2588">
        <f>CW337/CR337-1</f>
        <v>4.5404948497690834E-2</v>
      </c>
      <c r="CX338" s="2612"/>
      <c r="CY338" s="2612"/>
      <c r="CZ338" s="2612"/>
      <c r="DA338" s="2612"/>
      <c r="DB338" s="2588">
        <f>DB337/CW337-1</f>
        <v>0.10291725512946348</v>
      </c>
      <c r="DC338" s="2612"/>
      <c r="DD338" s="2612"/>
      <c r="DE338" s="2612"/>
      <c r="DF338" s="2612"/>
      <c r="DG338" s="2588">
        <f>DG337/DB337-1</f>
        <v>-1.7511866623115435E-2</v>
      </c>
      <c r="DH338" s="2612"/>
      <c r="DI338" s="2612"/>
      <c r="DJ338" s="2612"/>
      <c r="DK338" s="2612"/>
      <c r="DL338" s="2588">
        <f>DL337/DG337-1</f>
        <v>-7.6057700778462634E-2</v>
      </c>
      <c r="DM338" s="2612"/>
      <c r="DN338" s="2612"/>
      <c r="DO338" s="2612"/>
      <c r="DP338" s="2612"/>
      <c r="DQ338" s="2588">
        <f>DQ337/DL337-1</f>
        <v>0.2190456046850775</v>
      </c>
      <c r="DR338" s="2612"/>
      <c r="DS338" s="2612"/>
      <c r="DT338" s="2612"/>
      <c r="DU338" s="2612"/>
      <c r="DV338" s="2588">
        <f>DV337/DQ337-1</f>
        <v>7.4988447099921807E-4</v>
      </c>
      <c r="DW338" s="2612"/>
      <c r="DX338" s="2612"/>
      <c r="DY338" s="2612"/>
      <c r="DZ338" s="2612"/>
      <c r="EA338" s="2588">
        <f>EA337/DV337-1</f>
        <v>-0.13563336647605218</v>
      </c>
      <c r="EB338" s="2612"/>
      <c r="EC338" s="2612"/>
      <c r="ED338" s="2612"/>
      <c r="EE338" s="2612"/>
      <c r="EF338" s="2588">
        <f>EF337/EA337-1</f>
        <v>0.18951014196852567</v>
      </c>
      <c r="EG338" s="2612"/>
      <c r="EH338" s="2612"/>
      <c r="EI338" s="2612"/>
      <c r="EJ338" s="2612"/>
      <c r="EK338" s="2588">
        <f>EK337/EF337-1</f>
        <v>0.12959919684267796</v>
      </c>
      <c r="EL338" s="2612"/>
      <c r="EM338" s="2612"/>
      <c r="EN338" s="2612"/>
      <c r="EO338" s="2612"/>
      <c r="EP338" s="2588">
        <f>EP337/EK337-1</f>
        <v>0.11347303341207327</v>
      </c>
      <c r="EQ338" s="2612"/>
      <c r="ER338" s="2612"/>
      <c r="ES338" s="2612"/>
      <c r="ET338" s="2612"/>
      <c r="EU338" s="2588">
        <f>EU337/EP337-1</f>
        <v>9.2291397635636319E-2</v>
      </c>
      <c r="EV338" s="2588">
        <f>EV337/EU337-1</f>
        <v>8.1758146210081817E-2</v>
      </c>
      <c r="EW338" s="2588">
        <f>EW337/EV337-1</f>
        <v>7.3597401388882933E-2</v>
      </c>
      <c r="EX338" s="2588">
        <f>EX337/EW337-1</f>
        <v>7.0388371229901159E-2</v>
      </c>
      <c r="EY338" s="2588"/>
      <c r="EZ338" s="2613"/>
      <c r="FA338" s="725"/>
      <c r="FB338" s="725"/>
    </row>
    <row r="339" spans="1:158" s="280" customFormat="1" ht="11.25" hidden="1" customHeight="1" outlineLevel="1">
      <c r="A339" s="5368" t="s">
        <v>1032</v>
      </c>
      <c r="B339" s="591"/>
      <c r="C339" s="591"/>
      <c r="D339" s="591"/>
      <c r="E339" s="591"/>
      <c r="F339" s="5564"/>
      <c r="G339" s="591"/>
      <c r="H339" s="591"/>
      <c r="I339" s="591"/>
      <c r="J339" s="591"/>
      <c r="K339" s="5528"/>
      <c r="L339" s="591"/>
      <c r="M339" s="591"/>
      <c r="N339" s="591"/>
      <c r="O339" s="591"/>
      <c r="P339" s="5557"/>
      <c r="Q339" s="5558"/>
      <c r="R339" s="5536"/>
      <c r="S339" s="5536"/>
      <c r="T339" s="5537"/>
      <c r="U339" s="5534">
        <f>Z69*1000000/U317</f>
        <v>2319515.8227848103</v>
      </c>
      <c r="V339" s="5558"/>
      <c r="W339" s="5536"/>
      <c r="X339" s="5536"/>
      <c r="Y339" s="5537"/>
      <c r="Z339" s="5534">
        <f>AE69*1000000/Z317</f>
        <v>1958982.8009828008</v>
      </c>
      <c r="AA339" s="5558"/>
      <c r="AB339" s="5536"/>
      <c r="AC339" s="5536"/>
      <c r="AD339" s="5537"/>
      <c r="AE339" s="5534">
        <f>AJ69*1000000/AE317</f>
        <v>2031962.859980139</v>
      </c>
      <c r="AF339" s="5558"/>
      <c r="AG339" s="5536"/>
      <c r="AH339" s="5536"/>
      <c r="AI339" s="5537"/>
      <c r="AJ339" s="5534">
        <f>AO69*1000000/AJ317</f>
        <v>1867062.8521126765</v>
      </c>
      <c r="AK339" s="5558"/>
      <c r="AL339" s="5536"/>
      <c r="AM339" s="5536"/>
      <c r="AN339" s="5537"/>
      <c r="AO339" s="5534">
        <f>AT69*1000000/AO317</f>
        <v>1554617.3880457187</v>
      </c>
      <c r="AP339" s="5558"/>
      <c r="AQ339" s="5536"/>
      <c r="AR339" s="5536"/>
      <c r="AS339" s="5537"/>
      <c r="AT339" s="5534">
        <f>AY69*1000000/AT317</f>
        <v>1296968.1642368345</v>
      </c>
      <c r="AU339" s="5558"/>
      <c r="AV339" s="5536"/>
      <c r="AW339" s="5536"/>
      <c r="AX339" s="5537"/>
      <c r="AY339" s="5534">
        <f>BD69*1000000/AY317</f>
        <v>1169546.18732074</v>
      </c>
      <c r="AZ339" s="5558"/>
      <c r="BA339" s="5536"/>
      <c r="BB339" s="5536"/>
      <c r="BC339" s="5537"/>
      <c r="BD339" s="5534">
        <f>BI69*1000000/BD317</f>
        <v>1478245.5255860852</v>
      </c>
      <c r="BE339" s="5558"/>
      <c r="BF339" s="5536"/>
      <c r="BG339" s="5536"/>
      <c r="BH339" s="5537"/>
      <c r="BI339" s="5534">
        <f>BN69*1000000/BI317</f>
        <v>1553483.6065573771</v>
      </c>
      <c r="BJ339" s="5558"/>
      <c r="BK339" s="5536"/>
      <c r="BL339" s="5536"/>
      <c r="BM339" s="5537"/>
      <c r="BN339" s="5534">
        <f>BX69*1000000/BN317</f>
        <v>1418055.2561062002</v>
      </c>
      <c r="BO339" s="5536"/>
      <c r="BP339" s="5536"/>
      <c r="BQ339" s="5536"/>
      <c r="BR339" s="5536"/>
      <c r="BS339" s="5559"/>
      <c r="BT339" s="5558"/>
      <c r="BU339" s="5536"/>
      <c r="BV339" s="5536"/>
      <c r="BW339" s="5537"/>
      <c r="BX339" s="5534">
        <f>CH69*1000000/BX317</f>
        <v>1478771.5746857021</v>
      </c>
      <c r="BY339" s="5536"/>
      <c r="BZ339" s="5536"/>
      <c r="CA339" s="5536"/>
      <c r="CB339" s="5536"/>
      <c r="CC339" s="5559"/>
      <c r="CD339" s="5558"/>
      <c r="CE339" s="5536"/>
      <c r="CF339" s="5536"/>
      <c r="CG339" s="5537"/>
      <c r="CH339" s="5534">
        <f>CM69*1000000/CH317</f>
        <v>1504742.1458209839</v>
      </c>
      <c r="CI339" s="5558"/>
      <c r="CJ339" s="5536"/>
      <c r="CK339" s="5536"/>
      <c r="CL339" s="5537"/>
      <c r="CM339" s="5534">
        <f>CR69*1000000/CM317</f>
        <v>1399048.5074626866</v>
      </c>
      <c r="CN339" s="5558"/>
      <c r="CO339" s="5536"/>
      <c r="CP339" s="5536"/>
      <c r="CQ339" s="5537"/>
      <c r="CR339" s="5534">
        <f>CW69*1000000/CR317</f>
        <v>1460381.143430291</v>
      </c>
      <c r="CS339" s="5558"/>
      <c r="CT339" s="5536"/>
      <c r="CU339" s="5536"/>
      <c r="CV339" s="5537"/>
      <c r="CW339" s="5534">
        <f>DB69*1000000/CW317</f>
        <v>1538520.2559227236</v>
      </c>
      <c r="CX339" s="5558"/>
      <c r="CY339" s="5536"/>
      <c r="CZ339" s="5536"/>
      <c r="DA339" s="5537"/>
      <c r="DB339" s="5534">
        <f>DG69*1000000/DB317</f>
        <v>1707889.1524154288</v>
      </c>
      <c r="DC339" s="5558"/>
      <c r="DD339" s="5536"/>
      <c r="DE339" s="5536"/>
      <c r="DF339" s="5537"/>
      <c r="DG339" s="5534">
        <f>DL69*1000000/DG317</f>
        <v>1638709.7427382532</v>
      </c>
      <c r="DH339" s="5558"/>
      <c r="DI339" s="5536"/>
      <c r="DJ339" s="5536"/>
      <c r="DK339" s="5537"/>
      <c r="DL339" s="5534">
        <f>DQ69*1000000/DL317</f>
        <v>1535143.2728618407</v>
      </c>
      <c r="DM339" s="5558"/>
      <c r="DN339" s="5536"/>
      <c r="DO339" s="5536"/>
      <c r="DP339" s="5537"/>
      <c r="DQ339" s="5534">
        <f>DV69*1000000/DQ317</f>
        <v>1904176.6136244375</v>
      </c>
      <c r="DR339" s="5558"/>
      <c r="DS339" s="5536"/>
      <c r="DT339" s="5536"/>
      <c r="DU339" s="5537"/>
      <c r="DV339" s="5534">
        <f>EA69*1000000/DV317</f>
        <v>1807258.7859424921</v>
      </c>
      <c r="DW339" s="5558"/>
      <c r="DX339" s="5536"/>
      <c r="DY339" s="5536"/>
      <c r="DZ339" s="5537"/>
      <c r="EA339" s="5534">
        <f>EF69*1000000/EA317</f>
        <v>1615873.0826245572</v>
      </c>
      <c r="EB339" s="5558"/>
      <c r="EC339" s="5536"/>
      <c r="ED339" s="5536"/>
      <c r="EE339" s="5537"/>
      <c r="EF339" s="5534">
        <f>EK69*1000000/EF317</f>
        <v>1917885.8313881492</v>
      </c>
      <c r="EG339" s="5536"/>
      <c r="EH339" s="5536"/>
      <c r="EI339" s="5536"/>
      <c r="EJ339" s="5536"/>
      <c r="EK339" s="5534">
        <f>EP69*1000000/EK317</f>
        <v>2188783.3730665161</v>
      </c>
      <c r="EL339" s="5536"/>
      <c r="EM339" s="5536"/>
      <c r="EN339" s="5536"/>
      <c r="EO339" s="5536"/>
      <c r="EP339" s="5534">
        <f>EU69*1000000/EP317</f>
        <v>2443308.7195423231</v>
      </c>
      <c r="EQ339" s="5536"/>
      <c r="ER339" s="5536"/>
      <c r="ES339" s="5536"/>
      <c r="ET339" s="5536"/>
      <c r="EU339" s="5534">
        <f>EV69*1000000/EU317</f>
        <v>2655443.4759752741</v>
      </c>
      <c r="EV339" s="5534">
        <f>EW69*1000000/EV317</f>
        <v>2872547.6119366684</v>
      </c>
      <c r="EW339" s="5534">
        <f>EX69*1000000/EW317</f>
        <v>3083959.6515410487</v>
      </c>
      <c r="EX339" s="5534">
        <f>EY69*1000000/EX317</f>
        <v>3301034.5483517577</v>
      </c>
      <c r="EY339" s="5559"/>
      <c r="EZ339" s="281"/>
      <c r="FA339" s="1319"/>
      <c r="FB339" s="1319"/>
    </row>
    <row r="340" spans="1:158" s="284" customFormat="1" ht="11.25" hidden="1" customHeight="1" outlineLevel="1">
      <c r="A340" s="5369" t="s">
        <v>45</v>
      </c>
      <c r="B340" s="2613"/>
      <c r="C340" s="2613"/>
      <c r="D340" s="2613"/>
      <c r="E340" s="2613"/>
      <c r="F340" s="5586"/>
      <c r="G340" s="2613"/>
      <c r="H340" s="2613"/>
      <c r="I340" s="2613"/>
      <c r="J340" s="2613"/>
      <c r="K340" s="1032"/>
      <c r="L340" s="2613"/>
      <c r="M340" s="2613"/>
      <c r="N340" s="2613"/>
      <c r="O340" s="2613"/>
      <c r="P340" s="2588"/>
      <c r="Q340" s="2612"/>
      <c r="R340" s="2612"/>
      <c r="S340" s="2612"/>
      <c r="T340" s="2612"/>
      <c r="U340" s="2588"/>
      <c r="V340" s="2612"/>
      <c r="W340" s="2612"/>
      <c r="X340" s="2612"/>
      <c r="Y340" s="2612"/>
      <c r="Z340" s="2588">
        <f>Z339/U339-1</f>
        <v>-0.15543460331697745</v>
      </c>
      <c r="AA340" s="2612"/>
      <c r="AB340" s="2612"/>
      <c r="AC340" s="2612"/>
      <c r="AD340" s="2612"/>
      <c r="AE340" s="2588">
        <f>AE339/Z339-1</f>
        <v>3.7254058055397277E-2</v>
      </c>
      <c r="AF340" s="2612"/>
      <c r="AG340" s="2612"/>
      <c r="AH340" s="2612"/>
      <c r="AI340" s="2612"/>
      <c r="AJ340" s="2588">
        <f>AJ339/AE339-1</f>
        <v>-8.1153061955607897E-2</v>
      </c>
      <c r="AK340" s="2612"/>
      <c r="AL340" s="2612"/>
      <c r="AM340" s="2612"/>
      <c r="AN340" s="2612"/>
      <c r="AO340" s="2588">
        <f>AO339/AJ339-1</f>
        <v>-0.16734598072764928</v>
      </c>
      <c r="AP340" s="2612"/>
      <c r="AQ340" s="2612"/>
      <c r="AR340" s="2612"/>
      <c r="AS340" s="2612"/>
      <c r="AT340" s="2588">
        <f>AT339/AO339-1</f>
        <v>-0.16573159787744962</v>
      </c>
      <c r="AU340" s="2612"/>
      <c r="AV340" s="2612"/>
      <c r="AW340" s="2612"/>
      <c r="AX340" s="2612"/>
      <c r="AY340" s="2588">
        <f>AY339/AT339-1</f>
        <v>-9.824603288629874E-2</v>
      </c>
      <c r="AZ340" s="2612"/>
      <c r="BA340" s="2612"/>
      <c r="BB340" s="2612"/>
      <c r="BC340" s="2612"/>
      <c r="BD340" s="2588">
        <f>BD339/AY339-1</f>
        <v>0.26394796683706057</v>
      </c>
      <c r="BE340" s="2612"/>
      <c r="BF340" s="2612"/>
      <c r="BG340" s="2612"/>
      <c r="BH340" s="2612"/>
      <c r="BI340" s="2588">
        <f>BI339/BD339-1</f>
        <v>5.0896877189235523E-2</v>
      </c>
      <c r="BJ340" s="2612"/>
      <c r="BK340" s="2612"/>
      <c r="BL340" s="2612"/>
      <c r="BM340" s="2612"/>
      <c r="BN340" s="2588">
        <f>BN339/BI339-1</f>
        <v>-8.7177199604503874E-2</v>
      </c>
      <c r="BO340" s="2612"/>
      <c r="BP340" s="2612"/>
      <c r="BQ340" s="2612"/>
      <c r="BR340" s="2612"/>
      <c r="BS340" s="1927"/>
      <c r="BT340" s="2612"/>
      <c r="BU340" s="2612"/>
      <c r="BV340" s="2612"/>
      <c r="BW340" s="2612"/>
      <c r="BX340" s="2588">
        <f>BX339/BN339-1</f>
        <v>4.2816609802795114E-2</v>
      </c>
      <c r="BY340" s="2612"/>
      <c r="BZ340" s="2612"/>
      <c r="CA340" s="2612"/>
      <c r="CB340" s="2612"/>
      <c r="CC340" s="1927"/>
      <c r="CD340" s="2612"/>
      <c r="CE340" s="2612"/>
      <c r="CF340" s="2612"/>
      <c r="CG340" s="2612"/>
      <c r="CH340" s="2588">
        <f>CH339/BX339-1</f>
        <v>1.7562260175850053E-2</v>
      </c>
      <c r="CI340" s="2612"/>
      <c r="CJ340" s="2612"/>
      <c r="CK340" s="2612"/>
      <c r="CL340" s="2612"/>
      <c r="CM340" s="2588">
        <f>CM339/CH339-1</f>
        <v>-7.0240365534940952E-2</v>
      </c>
      <c r="CN340" s="2612"/>
      <c r="CO340" s="2612"/>
      <c r="CP340" s="2612"/>
      <c r="CQ340" s="2612"/>
      <c r="CR340" s="2588">
        <f>CR339/CM339-1</f>
        <v>4.3838820198476958E-2</v>
      </c>
      <c r="CS340" s="2612"/>
      <c r="CT340" s="2612"/>
      <c r="CU340" s="2612"/>
      <c r="CV340" s="2612"/>
      <c r="CW340" s="2588">
        <f>CW339/CR339-1</f>
        <v>5.3505971947084729E-2</v>
      </c>
      <c r="CX340" s="2612"/>
      <c r="CY340" s="2612"/>
      <c r="CZ340" s="2612"/>
      <c r="DA340" s="2612"/>
      <c r="DB340" s="2588">
        <f>DB339/CW339-1</f>
        <v>0.1100855811554633</v>
      </c>
      <c r="DC340" s="2612"/>
      <c r="DD340" s="2612"/>
      <c r="DE340" s="2612"/>
      <c r="DF340" s="2612"/>
      <c r="DG340" s="2588">
        <f>DG339/DB339-1</f>
        <v>-4.0505796046152454E-2</v>
      </c>
      <c r="DH340" s="2612"/>
      <c r="DI340" s="2612"/>
      <c r="DJ340" s="2612"/>
      <c r="DK340" s="2612"/>
      <c r="DL340" s="2588">
        <f>DL339/DG339-1</f>
        <v>-6.3200008625905246E-2</v>
      </c>
      <c r="DM340" s="2612"/>
      <c r="DN340" s="2612"/>
      <c r="DO340" s="2612"/>
      <c r="DP340" s="2612"/>
      <c r="DQ340" s="2588">
        <f>DQ339/DL339-1</f>
        <v>0.2403901624599758</v>
      </c>
      <c r="DR340" s="2612"/>
      <c r="DS340" s="2612"/>
      <c r="DT340" s="2612"/>
      <c r="DU340" s="2612"/>
      <c r="DV340" s="2588">
        <f>DV339/DQ339-1</f>
        <v>-5.0897499207004038E-2</v>
      </c>
      <c r="DW340" s="2612"/>
      <c r="DX340" s="2612"/>
      <c r="DY340" s="2612"/>
      <c r="DZ340" s="2612"/>
      <c r="EA340" s="2588">
        <f>EA339/DV339-1</f>
        <v>-0.10589833885805489</v>
      </c>
      <c r="EB340" s="2612"/>
      <c r="EC340" s="2612"/>
      <c r="ED340" s="2612"/>
      <c r="EE340" s="2612"/>
      <c r="EF340" s="2588">
        <f>EF339/EA339-1</f>
        <v>0.18690375624863576</v>
      </c>
      <c r="EG340" s="2612"/>
      <c r="EH340" s="2612"/>
      <c r="EI340" s="2612"/>
      <c r="EJ340" s="2612"/>
      <c r="EK340" s="2588">
        <f>EK339/EF339-1</f>
        <v>0.14124800196385712</v>
      </c>
      <c r="EL340" s="2612"/>
      <c r="EM340" s="2612"/>
      <c r="EN340" s="2612"/>
      <c r="EO340" s="2612"/>
      <c r="EP340" s="2588">
        <f>EP339/EK339-1</f>
        <v>0.11628622074153161</v>
      </c>
      <c r="EQ340" s="2612"/>
      <c r="ER340" s="2612"/>
      <c r="ES340" s="2612"/>
      <c r="ET340" s="2612"/>
      <c r="EU340" s="2588">
        <f>EU339/EP339-1</f>
        <v>8.6822739482830258E-2</v>
      </c>
      <c r="EV340" s="2588">
        <f>EV339/EU339-1</f>
        <v>8.1758146210081817E-2</v>
      </c>
      <c r="EW340" s="2588">
        <f>EW339/EV339-1</f>
        <v>7.3597401388882933E-2</v>
      </c>
      <c r="EX340" s="2588">
        <f>EX339/EW339-1</f>
        <v>7.0388371229901603E-2</v>
      </c>
      <c r="EY340" s="2588"/>
      <c r="EZ340" s="2613"/>
      <c r="FA340" s="725"/>
      <c r="FB340" s="725"/>
    </row>
    <row r="341" spans="1:158" s="280" customFormat="1" ht="11.25" hidden="1" customHeight="1" outlineLevel="1">
      <c r="A341" s="5368" t="s">
        <v>1028</v>
      </c>
      <c r="B341" s="591"/>
      <c r="C341" s="591"/>
      <c r="D341" s="591"/>
      <c r="E341" s="591"/>
      <c r="F341" s="5564"/>
      <c r="G341" s="591"/>
      <c r="H341" s="591"/>
      <c r="I341" s="591"/>
      <c r="J341" s="591"/>
      <c r="K341" s="1509"/>
      <c r="L341" s="591"/>
      <c r="M341" s="591"/>
      <c r="N341" s="591"/>
      <c r="O341" s="591"/>
      <c r="P341" s="5534"/>
      <c r="Q341" s="5535"/>
      <c r="R341" s="5536"/>
      <c r="S341" s="5536"/>
      <c r="T341" s="5537"/>
      <c r="U341" s="5534">
        <f>Z127*1000000/U317</f>
        <v>1486393.9873417721</v>
      </c>
      <c r="V341" s="5535"/>
      <c r="W341" s="5536"/>
      <c r="X341" s="5536"/>
      <c r="Y341" s="5537"/>
      <c r="Z341" s="5534">
        <f>AE127*1000000/Z317</f>
        <v>1204287.4692874691</v>
      </c>
      <c r="AA341" s="5535"/>
      <c r="AB341" s="5536"/>
      <c r="AC341" s="5536"/>
      <c r="AD341" s="5537"/>
      <c r="AE341" s="5534">
        <f>AJ127*1000000/AE317</f>
        <v>1331896.6567361802</v>
      </c>
      <c r="AF341" s="5535"/>
      <c r="AG341" s="5536"/>
      <c r="AH341" s="5536"/>
      <c r="AI341" s="5537"/>
      <c r="AJ341" s="5534">
        <f>AO127*1000000/AJ317</f>
        <v>1284535.2112676059</v>
      </c>
      <c r="AK341" s="5535"/>
      <c r="AL341" s="5536"/>
      <c r="AM341" s="5536"/>
      <c r="AN341" s="5537"/>
      <c r="AO341" s="5534">
        <f>AT127*1000000/AO317</f>
        <v>1092380.1761289113</v>
      </c>
      <c r="AP341" s="5535"/>
      <c r="AQ341" s="5536"/>
      <c r="AR341" s="5536"/>
      <c r="AS341" s="5537"/>
      <c r="AT341" s="5534">
        <f>AY127*1000000/AT317</f>
        <v>943564.29634037486</v>
      </c>
      <c r="AU341" s="5535"/>
      <c r="AV341" s="5536"/>
      <c r="AW341" s="5536"/>
      <c r="AX341" s="5537"/>
      <c r="AY341" s="5534">
        <f>BD127*1000000/AY317</f>
        <v>864462.61497379094</v>
      </c>
      <c r="AZ341" s="5535"/>
      <c r="BA341" s="5536"/>
      <c r="BB341" s="5536"/>
      <c r="BC341" s="5537"/>
      <c r="BD341" s="5534">
        <f>BI127*1000000/BD317</f>
        <v>1109352.1552810688</v>
      </c>
      <c r="BE341" s="5535"/>
      <c r="BF341" s="5536"/>
      <c r="BG341" s="5536"/>
      <c r="BH341" s="5537"/>
      <c r="BI341" s="5534">
        <f>BN127*1000000/BI317</f>
        <v>1192500</v>
      </c>
      <c r="BJ341" s="5535"/>
      <c r="BK341" s="5536"/>
      <c r="BL341" s="5536"/>
      <c r="BM341" s="5537"/>
      <c r="BN341" s="5534">
        <f>BX127*1000000/BN317</f>
        <v>1080481.7199002064</v>
      </c>
      <c r="BO341" s="5536"/>
      <c r="BP341" s="5536"/>
      <c r="BQ341" s="5536"/>
      <c r="BR341" s="5536"/>
      <c r="BS341" s="5538"/>
      <c r="BT341" s="5535"/>
      <c r="BU341" s="5536"/>
      <c r="BV341" s="5536"/>
      <c r="BW341" s="5537"/>
      <c r="BX341" s="5534">
        <f>CH127*1000000/BX317</f>
        <v>1152301.2998082251</v>
      </c>
      <c r="BY341" s="5536"/>
      <c r="BZ341" s="5536"/>
      <c r="CA341" s="5536"/>
      <c r="CB341" s="5536"/>
      <c r="CC341" s="5538"/>
      <c r="CD341" s="5535"/>
      <c r="CE341" s="5536"/>
      <c r="CF341" s="5536"/>
      <c r="CG341" s="5537"/>
      <c r="CH341" s="5534">
        <f>CM127*1000000/CH317</f>
        <v>1197118.2344626328</v>
      </c>
      <c r="CI341" s="5535"/>
      <c r="CJ341" s="5536"/>
      <c r="CK341" s="5536"/>
      <c r="CL341" s="5537"/>
      <c r="CM341" s="5534">
        <f>CR127*1000000/CM317</f>
        <v>1131455.2238805969</v>
      </c>
      <c r="CN341" s="5535"/>
      <c r="CO341" s="5536"/>
      <c r="CP341" s="5536"/>
      <c r="CQ341" s="5537"/>
      <c r="CR341" s="5534">
        <f>CW127*1000000/CR317</f>
        <v>1188711.2951758502</v>
      </c>
      <c r="CS341" s="5535"/>
      <c r="CT341" s="5536"/>
      <c r="CU341" s="5536"/>
      <c r="CV341" s="5537"/>
      <c r="CW341" s="5534">
        <f>DB127*1000000/CW317</f>
        <v>1237741.6623874092</v>
      </c>
      <c r="CX341" s="5535"/>
      <c r="CY341" s="5536"/>
      <c r="CZ341" s="5536"/>
      <c r="DA341" s="5537"/>
      <c r="DB341" s="5534">
        <f>DG127*1000000/DB317</f>
        <v>1374272.874797154</v>
      </c>
      <c r="DC341" s="5535"/>
      <c r="DD341" s="5536"/>
      <c r="DE341" s="5536"/>
      <c r="DF341" s="5537"/>
      <c r="DG341" s="5534">
        <f>DL127*1000000/DG317</f>
        <v>1334075.7914772555</v>
      </c>
      <c r="DH341" s="5535"/>
      <c r="DI341" s="5536"/>
      <c r="DJ341" s="5536"/>
      <c r="DK341" s="5537"/>
      <c r="DL341" s="5534">
        <f>DQ127*1000000/DL317</f>
        <v>1259463.9147511753</v>
      </c>
      <c r="DM341" s="5535"/>
      <c r="DN341" s="5536"/>
      <c r="DO341" s="5536"/>
      <c r="DP341" s="5537"/>
      <c r="DQ341" s="5534">
        <f>DV127*1000000/DQ317</f>
        <v>1567401.5713113723</v>
      </c>
      <c r="DR341" s="5535"/>
      <c r="DS341" s="5536"/>
      <c r="DT341" s="5536"/>
      <c r="DU341" s="5537"/>
      <c r="DV341" s="5534">
        <f>EA127*1000000/DV317</f>
        <v>1494447.284345048</v>
      </c>
      <c r="DW341" s="5535"/>
      <c r="DX341" s="5536"/>
      <c r="DY341" s="5536"/>
      <c r="DZ341" s="5537"/>
      <c r="EA341" s="5534">
        <f>EF127*1000000/EA317</f>
        <v>1348381.4670353355</v>
      </c>
      <c r="EB341" s="5535"/>
      <c r="EC341" s="5536"/>
      <c r="ED341" s="5536"/>
      <c r="EE341" s="5537"/>
      <c r="EF341" s="5534">
        <f>EK127*1000000/EF317</f>
        <v>1617067.2102223537</v>
      </c>
      <c r="EG341" s="5536"/>
      <c r="EH341" s="5536"/>
      <c r="EI341" s="5536"/>
      <c r="EJ341" s="5536"/>
      <c r="EK341" s="5534">
        <f>EP127*1000000/EK317</f>
        <v>1863743.431524534</v>
      </c>
      <c r="EL341" s="5536"/>
      <c r="EM341" s="5536"/>
      <c r="EN341" s="5536"/>
      <c r="EO341" s="5536"/>
      <c r="EP341" s="5534">
        <f>EU127*1000000/EP317</f>
        <v>2103823.8728312757</v>
      </c>
      <c r="EQ341" s="5536"/>
      <c r="ER341" s="5536"/>
      <c r="ES341" s="5536"/>
      <c r="ET341" s="5536"/>
      <c r="EU341" s="5534">
        <f>EV127*1000000/EU317</f>
        <v>2304225.4150888091</v>
      </c>
      <c r="EV341" s="5534">
        <f>EW127*1000000/EV317</f>
        <v>2507958.0213547274</v>
      </c>
      <c r="EW341" s="5534">
        <f>EX127*1000000/EW317</f>
        <v>2707415.5522560989</v>
      </c>
      <c r="EX341" s="5534">
        <f>EY127*1000000/EX317</f>
        <v>2912288.634075115</v>
      </c>
      <c r="EY341" s="5534"/>
      <c r="EZ341" s="281"/>
      <c r="FA341" s="1319"/>
      <c r="FB341" s="1319"/>
    </row>
    <row r="342" spans="1:158" s="284" customFormat="1" ht="11.25" hidden="1" customHeight="1" outlineLevel="1">
      <c r="A342" s="5369" t="s">
        <v>45</v>
      </c>
      <c r="B342" s="2613"/>
      <c r="C342" s="2613"/>
      <c r="D342" s="2613"/>
      <c r="E342" s="2613"/>
      <c r="F342" s="5586"/>
      <c r="G342" s="2613"/>
      <c r="H342" s="2613"/>
      <c r="I342" s="2613"/>
      <c r="J342" s="2613"/>
      <c r="K342" s="1032"/>
      <c r="L342" s="2613"/>
      <c r="M342" s="2613"/>
      <c r="N342" s="2613"/>
      <c r="O342" s="2613"/>
      <c r="P342" s="2588"/>
      <c r="Q342" s="2612"/>
      <c r="R342" s="2612"/>
      <c r="S342" s="2612"/>
      <c r="T342" s="2612"/>
      <c r="U342" s="2588"/>
      <c r="V342" s="2612"/>
      <c r="W342" s="2612"/>
      <c r="X342" s="2612"/>
      <c r="Y342" s="2612"/>
      <c r="Z342" s="2588">
        <f>Z341/U341-1</f>
        <v>-0.18979255867336686</v>
      </c>
      <c r="AA342" s="2612"/>
      <c r="AB342" s="2612"/>
      <c r="AC342" s="2612"/>
      <c r="AD342" s="2612"/>
      <c r="AE342" s="2588">
        <f>AE341/Z341-1</f>
        <v>0.10596239743672875</v>
      </c>
      <c r="AF342" s="2612"/>
      <c r="AG342" s="2612"/>
      <c r="AH342" s="2612"/>
      <c r="AI342" s="2612"/>
      <c r="AJ342" s="2588">
        <f>AJ341/AE341-1</f>
        <v>-3.5559399619362164E-2</v>
      </c>
      <c r="AK342" s="2612"/>
      <c r="AL342" s="2612"/>
      <c r="AM342" s="2612"/>
      <c r="AN342" s="2612"/>
      <c r="AO342" s="2588">
        <f>AO341/AJ341-1</f>
        <v>-0.14959109991938013</v>
      </c>
      <c r="AP342" s="2612"/>
      <c r="AQ342" s="2612"/>
      <c r="AR342" s="2612"/>
      <c r="AS342" s="2612"/>
      <c r="AT342" s="2588">
        <f>AT341/AO341-1</f>
        <v>-0.13623084988222522</v>
      </c>
      <c r="AU342" s="2612"/>
      <c r="AV342" s="2612"/>
      <c r="AW342" s="2612"/>
      <c r="AX342" s="2612"/>
      <c r="AY342" s="2588">
        <f>AY341/AT341-1</f>
        <v>-8.3832847081413253E-2</v>
      </c>
      <c r="AZ342" s="2612"/>
      <c r="BA342" s="2612"/>
      <c r="BB342" s="2612"/>
      <c r="BC342" s="2612"/>
      <c r="BD342" s="2588">
        <f>BD341/AY341-1</f>
        <v>0.28328528737440251</v>
      </c>
      <c r="BE342" s="2612"/>
      <c r="BF342" s="2612"/>
      <c r="BG342" s="2612"/>
      <c r="BH342" s="2612"/>
      <c r="BI342" s="2588">
        <f>BI341/BD341-1</f>
        <v>7.4951713324850067E-2</v>
      </c>
      <c r="BJ342" s="2612"/>
      <c r="BK342" s="2612"/>
      <c r="BL342" s="2612"/>
      <c r="BM342" s="2612"/>
      <c r="BN342" s="2588">
        <f>BN341/BI341-1</f>
        <v>-9.3935664653914897E-2</v>
      </c>
      <c r="BO342" s="2612"/>
      <c r="BP342" s="2612"/>
      <c r="BQ342" s="2612"/>
      <c r="BR342" s="2612"/>
      <c r="BS342" s="1927"/>
      <c r="BT342" s="2612"/>
      <c r="BU342" s="2612"/>
      <c r="BV342" s="2612"/>
      <c r="BW342" s="2612"/>
      <c r="BX342" s="2588">
        <f>BX341/BN341-1</f>
        <v>6.6469962966751561E-2</v>
      </c>
      <c r="BY342" s="2612"/>
      <c r="BZ342" s="2612"/>
      <c r="CA342" s="2612"/>
      <c r="CB342" s="2612"/>
      <c r="CC342" s="1927"/>
      <c r="CD342" s="2612"/>
      <c r="CE342" s="2612"/>
      <c r="CF342" s="2612"/>
      <c r="CG342" s="2612"/>
      <c r="CH342" s="2588">
        <f>CH341/BX341-1</f>
        <v>3.8893416732122432E-2</v>
      </c>
      <c r="CI342" s="2612"/>
      <c r="CJ342" s="2612"/>
      <c r="CK342" s="2612"/>
      <c r="CL342" s="2612"/>
      <c r="CM342" s="2588">
        <f>CM341/CH341-1</f>
        <v>-5.4850898342143295E-2</v>
      </c>
      <c r="CN342" s="2612"/>
      <c r="CO342" s="2612"/>
      <c r="CP342" s="2612"/>
      <c r="CQ342" s="2612"/>
      <c r="CR342" s="2588">
        <f>CR341/CM341-1</f>
        <v>5.0603921469273727E-2</v>
      </c>
      <c r="CS342" s="2612"/>
      <c r="CT342" s="2612"/>
      <c r="CU342" s="2612"/>
      <c r="CV342" s="2612"/>
      <c r="CW342" s="2588">
        <f>CW341/CR341-1</f>
        <v>4.1246657124012431E-2</v>
      </c>
      <c r="CX342" s="2612"/>
      <c r="CY342" s="2612"/>
      <c r="CZ342" s="2612"/>
      <c r="DA342" s="2612"/>
      <c r="DB342" s="2588">
        <f>DB341/CW341-1</f>
        <v>0.11030671145576321</v>
      </c>
      <c r="DC342" s="2612"/>
      <c r="DD342" s="2612"/>
      <c r="DE342" s="2612"/>
      <c r="DF342" s="2612"/>
      <c r="DG342" s="2588">
        <f>DG341/DB341-1</f>
        <v>-2.9249710197351897E-2</v>
      </c>
      <c r="DH342" s="2612"/>
      <c r="DI342" s="2612"/>
      <c r="DJ342" s="2612"/>
      <c r="DK342" s="2612"/>
      <c r="DL342" s="2588">
        <f>DL341/DG341-1</f>
        <v>-5.5927764526377155E-2</v>
      </c>
      <c r="DM342" s="2612"/>
      <c r="DN342" s="2612"/>
      <c r="DO342" s="2612"/>
      <c r="DP342" s="2612"/>
      <c r="DQ342" s="2588">
        <f>DQ341/DL341-1</f>
        <v>0.2444989911608817</v>
      </c>
      <c r="DR342" s="2612"/>
      <c r="DS342" s="2612"/>
      <c r="DT342" s="2612"/>
      <c r="DU342" s="2612"/>
      <c r="DV342" s="2588">
        <f>DV341/DQ341-1</f>
        <v>-4.6544732569897107E-2</v>
      </c>
      <c r="DW342" s="2612"/>
      <c r="DX342" s="2612"/>
      <c r="DY342" s="2612"/>
      <c r="DZ342" s="2612"/>
      <c r="EA342" s="2588">
        <f>EA341/DV341-1</f>
        <v>-9.7739022874752557E-2</v>
      </c>
      <c r="EB342" s="2612"/>
      <c r="EC342" s="2612"/>
      <c r="ED342" s="2612"/>
      <c r="EE342" s="2612"/>
      <c r="EF342" s="2588">
        <f>EF341/EA341-1</f>
        <v>0.19926537834858649</v>
      </c>
      <c r="EG342" s="2612"/>
      <c r="EH342" s="2612"/>
      <c r="EI342" s="2612"/>
      <c r="EJ342" s="2612"/>
      <c r="EK342" s="2588">
        <f>EK341/EF341-1</f>
        <v>0.15254543518216623</v>
      </c>
      <c r="EL342" s="2612"/>
      <c r="EM342" s="2612"/>
      <c r="EN342" s="2612"/>
      <c r="EO342" s="2612"/>
      <c r="EP342" s="2588">
        <f>EP341/EK341-1</f>
        <v>0.12881625080248149</v>
      </c>
      <c r="EQ342" s="2612"/>
      <c r="ER342" s="2612"/>
      <c r="ES342" s="2612"/>
      <c r="ET342" s="2612"/>
      <c r="EU342" s="2588">
        <f>EU341/EP341-1</f>
        <v>9.525585522890645E-2</v>
      </c>
      <c r="EV342" s="2588">
        <f>EV341/EU341-1</f>
        <v>8.8416959960519348E-2</v>
      </c>
      <c r="EW342" s="2588">
        <f>EW341/EV341-1</f>
        <v>7.9529852255513456E-2</v>
      </c>
      <c r="EX342" s="2588">
        <f>EX341/EW341-1</f>
        <v>7.5671088484475346E-2</v>
      </c>
      <c r="EY342" s="2588"/>
      <c r="EZ342" s="2613"/>
      <c r="FA342" s="725"/>
      <c r="FB342" s="725"/>
    </row>
    <row r="343" spans="1:158" s="280" customFormat="1" ht="11.25" hidden="1" customHeight="1" outlineLevel="1">
      <c r="A343" s="5368" t="s">
        <v>1031</v>
      </c>
      <c r="B343" s="591"/>
      <c r="C343" s="591"/>
      <c r="D343" s="591"/>
      <c r="E343" s="591"/>
      <c r="F343" s="5564"/>
      <c r="G343" s="591"/>
      <c r="H343" s="591"/>
      <c r="I343" s="591"/>
      <c r="J343" s="591"/>
      <c r="K343" s="1509"/>
      <c r="L343" s="591"/>
      <c r="M343" s="591"/>
      <c r="N343" s="591"/>
      <c r="O343" s="591"/>
      <c r="P343" s="5534"/>
      <c r="Q343" s="5535"/>
      <c r="R343" s="5536"/>
      <c r="S343" s="5536"/>
      <c r="T343" s="5537"/>
      <c r="U343" s="5534">
        <f>IS!Z27*1000000/U317</f>
        <v>541873.4177215189</v>
      </c>
      <c r="V343" s="5535"/>
      <c r="W343" s="5536"/>
      <c r="X343" s="5536"/>
      <c r="Y343" s="5537"/>
      <c r="Z343" s="5534">
        <f>IS!AE27*1000000/Z317</f>
        <v>516702.70270270261</v>
      </c>
      <c r="AA343" s="5535"/>
      <c r="AB343" s="5536"/>
      <c r="AC343" s="5536"/>
      <c r="AD343" s="5537"/>
      <c r="AE343" s="5534">
        <f>IS!AJ27*1000000/AE317</f>
        <v>697543.52863290289</v>
      </c>
      <c r="AF343" s="5535"/>
      <c r="AG343" s="5536"/>
      <c r="AH343" s="5536"/>
      <c r="AI343" s="5537"/>
      <c r="AJ343" s="5534">
        <f>IS!AO27*1000000/AJ317</f>
        <v>624999.29577464785</v>
      </c>
      <c r="AK343" s="5535"/>
      <c r="AL343" s="5536"/>
      <c r="AM343" s="5536"/>
      <c r="AN343" s="5537"/>
      <c r="AO343" s="5534">
        <f>IS!AT27*1000000/AO317</f>
        <v>476334.55124601838</v>
      </c>
      <c r="AP343" s="5535"/>
      <c r="AQ343" s="5536"/>
      <c r="AR343" s="5536"/>
      <c r="AS343" s="5537"/>
      <c r="AT343" s="5534">
        <f>IS!AY27*1000000/AT317</f>
        <v>394642.60636715259</v>
      </c>
      <c r="AU343" s="5535"/>
      <c r="AV343" s="5536"/>
      <c r="AW343" s="5536"/>
      <c r="AX343" s="5537"/>
      <c r="AY343" s="5534">
        <f>IS!BD27*1000000/AY317</f>
        <v>411046.68183166831</v>
      </c>
      <c r="AZ343" s="5535"/>
      <c r="BA343" s="5536"/>
      <c r="BB343" s="5536"/>
      <c r="BC343" s="5537"/>
      <c r="BD343" s="5534">
        <f>IS!BI27*1000000/BD317</f>
        <v>523418.20015124779</v>
      </c>
      <c r="BE343" s="5535"/>
      <c r="BF343" s="5536"/>
      <c r="BG343" s="5536"/>
      <c r="BH343" s="5537"/>
      <c r="BI343" s="5534">
        <f>IS!BN27*1000000/BI317</f>
        <v>501721.31147540984</v>
      </c>
      <c r="BJ343" s="5535"/>
      <c r="BK343" s="5536"/>
      <c r="BL343" s="5536"/>
      <c r="BM343" s="5537"/>
      <c r="BN343" s="5534">
        <f>IS!BX27*1000000/BN317</f>
        <v>426094.18794468231</v>
      </c>
      <c r="BO343" s="5536"/>
      <c r="BP343" s="5536"/>
      <c r="BQ343" s="5536"/>
      <c r="BR343" s="5536"/>
      <c r="BS343" s="5538"/>
      <c r="BT343" s="5535"/>
      <c r="BU343" s="5536"/>
      <c r="BV343" s="5536"/>
      <c r="BW343" s="5537"/>
      <c r="BX343" s="5534">
        <f>IS!CH27*1000000/BX317</f>
        <v>410265.28872789262</v>
      </c>
      <c r="BY343" s="5536"/>
      <c r="BZ343" s="5536"/>
      <c r="CA343" s="5536"/>
      <c r="CB343" s="5536"/>
      <c r="CC343" s="5538"/>
      <c r="CD343" s="5535"/>
      <c r="CE343" s="5536"/>
      <c r="CF343" s="5536"/>
      <c r="CG343" s="5537"/>
      <c r="CH343" s="5534">
        <f>IS!CM27*1000000/CH317</f>
        <v>376088.64164880762</v>
      </c>
      <c r="CI343" s="5535"/>
      <c r="CJ343" s="5536"/>
      <c r="CK343" s="5536"/>
      <c r="CL343" s="5537"/>
      <c r="CM343" s="5534">
        <f>IS!CR27*1000000/CM317</f>
        <v>361194.02985074627</v>
      </c>
      <c r="CN343" s="5535"/>
      <c r="CO343" s="5536"/>
      <c r="CP343" s="5536"/>
      <c r="CQ343" s="5537"/>
      <c r="CR343" s="5534">
        <f>IS!CW27*1000000/CR317</f>
        <v>383667.13042352867</v>
      </c>
      <c r="CS343" s="5535"/>
      <c r="CT343" s="5536"/>
      <c r="CU343" s="5536"/>
      <c r="CV343" s="5537"/>
      <c r="CW343" s="5534">
        <f>IS!DB27*1000000/CW317</f>
        <v>362871.77494344441</v>
      </c>
      <c r="CX343" s="5535"/>
      <c r="CY343" s="5536"/>
      <c r="CZ343" s="5536"/>
      <c r="DA343" s="5537"/>
      <c r="DB343" s="5534">
        <f>IS!DG27*1000000/DB317</f>
        <v>343577.58082636376</v>
      </c>
      <c r="DC343" s="5535"/>
      <c r="DD343" s="5536"/>
      <c r="DE343" s="5536"/>
      <c r="DF343" s="5537"/>
      <c r="DG343" s="5534">
        <f>IS!DL27*1000000/DG317</f>
        <v>346569.33715361799</v>
      </c>
      <c r="DH343" s="5535"/>
      <c r="DI343" s="5536"/>
      <c r="DJ343" s="5536"/>
      <c r="DK343" s="5537"/>
      <c r="DL343" s="5534">
        <f>IS!DQ27*1000000/DL317</f>
        <v>346714.4383047797</v>
      </c>
      <c r="DM343" s="5535"/>
      <c r="DN343" s="5536"/>
      <c r="DO343" s="5536"/>
      <c r="DP343" s="5537"/>
      <c r="DQ343" s="5534">
        <f>IS!DV27*1000000/DQ317</f>
        <v>581769.53607142589</v>
      </c>
      <c r="DR343" s="5535"/>
      <c r="DS343" s="5536"/>
      <c r="DT343" s="5536"/>
      <c r="DU343" s="5537"/>
      <c r="DV343" s="5534">
        <f>IS!EA27*1000000/DV317</f>
        <v>478223.64217252395</v>
      </c>
      <c r="DW343" s="5535"/>
      <c r="DX343" s="5536"/>
      <c r="DY343" s="5536"/>
      <c r="DZ343" s="5537"/>
      <c r="EA343" s="5534">
        <f>IS!EF27*1000000/EA317</f>
        <v>443101.65375274664</v>
      </c>
      <c r="EB343" s="5535"/>
      <c r="EC343" s="5536"/>
      <c r="ED343" s="5536"/>
      <c r="EE343" s="5537"/>
      <c r="EF343" s="5534">
        <f>IS!EK27*1000000/EF317</f>
        <v>615828.86762884795</v>
      </c>
      <c r="EG343" s="5536"/>
      <c r="EH343" s="5536"/>
      <c r="EI343" s="5536"/>
      <c r="EJ343" s="5536"/>
      <c r="EK343" s="5534">
        <f>IS!EP27*1000000/EK317</f>
        <v>711554.72270734038</v>
      </c>
      <c r="EL343" s="5536"/>
      <c r="EM343" s="5536"/>
      <c r="EN343" s="5536"/>
      <c r="EO343" s="5536"/>
      <c r="EP343" s="5534">
        <f>IS!EU27*1000000/EP317</f>
        <v>833482.42265089042</v>
      </c>
      <c r="EQ343" s="5536"/>
      <c r="ER343" s="5536"/>
      <c r="ES343" s="5536"/>
      <c r="ET343" s="5536"/>
      <c r="EU343" s="5534">
        <f>IS!EV27*1000000/EU317</f>
        <v>894039.4610544577</v>
      </c>
      <c r="EV343" s="5534">
        <f>IS!EW27*1000000/EV317</f>
        <v>983119.54437105299</v>
      </c>
      <c r="EW343" s="5534">
        <f>IS!EX27*1000000/EW317</f>
        <v>1080258.8053501835</v>
      </c>
      <c r="EX343" s="5534">
        <f>IS!EY27*1000000/EX317</f>
        <v>1191126.0513367215</v>
      </c>
      <c r="EY343" s="5534"/>
      <c r="EZ343" s="281"/>
      <c r="FA343" s="1319"/>
      <c r="FB343" s="1319"/>
    </row>
    <row r="344" spans="1:158" s="284" customFormat="1" ht="11.25" hidden="1" customHeight="1" outlineLevel="1">
      <c r="A344" s="5369" t="s">
        <v>45</v>
      </c>
      <c r="B344" s="2613"/>
      <c r="C344" s="2613"/>
      <c r="D344" s="2613"/>
      <c r="E344" s="2613"/>
      <c r="F344" s="5586"/>
      <c r="G344" s="2613"/>
      <c r="H344" s="2613"/>
      <c r="I344" s="2613"/>
      <c r="J344" s="2613"/>
      <c r="K344" s="1032"/>
      <c r="L344" s="2613"/>
      <c r="M344" s="2613"/>
      <c r="N344" s="2613"/>
      <c r="O344" s="2613"/>
      <c r="P344" s="2588"/>
      <c r="Q344" s="2612"/>
      <c r="R344" s="2612"/>
      <c r="S344" s="2612"/>
      <c r="T344" s="2612"/>
      <c r="U344" s="2588"/>
      <c r="V344" s="2612"/>
      <c r="W344" s="2612"/>
      <c r="X344" s="2612"/>
      <c r="Y344" s="2612"/>
      <c r="Z344" s="2588">
        <f>Z343/U343-1</f>
        <v>-4.6451282154889029E-2</v>
      </c>
      <c r="AA344" s="2612"/>
      <c r="AB344" s="2612"/>
      <c r="AC344" s="2612"/>
      <c r="AD344" s="2612"/>
      <c r="AE344" s="2588">
        <f>AE343/Z343-1</f>
        <v>0.34999009098323097</v>
      </c>
      <c r="AF344" s="2612"/>
      <c r="AG344" s="2612"/>
      <c r="AH344" s="2612"/>
      <c r="AI344" s="2612"/>
      <c r="AJ344" s="2588">
        <f>AJ343/AE343-1</f>
        <v>-0.10399957834951545</v>
      </c>
      <c r="AK344" s="2612"/>
      <c r="AL344" s="2612"/>
      <c r="AM344" s="2612"/>
      <c r="AN344" s="2612"/>
      <c r="AO344" s="2588">
        <f>AO343/AJ343-1</f>
        <v>-0.23786385926142328</v>
      </c>
      <c r="AP344" s="2612"/>
      <c r="AQ344" s="2612"/>
      <c r="AR344" s="2612"/>
      <c r="AS344" s="2612"/>
      <c r="AT344" s="2588">
        <f>AT343/AO343-1</f>
        <v>-0.17150119525273178</v>
      </c>
      <c r="AU344" s="2612"/>
      <c r="AV344" s="2612"/>
      <c r="AW344" s="2612"/>
      <c r="AX344" s="2612"/>
      <c r="AY344" s="2588">
        <f>AY343/AT343-1</f>
        <v>4.1566914468566862E-2</v>
      </c>
      <c r="AZ344" s="2612"/>
      <c r="BA344" s="2612"/>
      <c r="BB344" s="2612"/>
      <c r="BC344" s="2612"/>
      <c r="BD344" s="2588">
        <f>BD343/AY343-1</f>
        <v>0.27337896955849361</v>
      </c>
      <c r="BE344" s="2612"/>
      <c r="BF344" s="2612"/>
      <c r="BG344" s="2612"/>
      <c r="BH344" s="2612"/>
      <c r="BI344" s="2588">
        <f>BI343/BD343-1</f>
        <v>-4.1452300798039521E-2</v>
      </c>
      <c r="BJ344" s="2612"/>
      <c r="BK344" s="2612"/>
      <c r="BL344" s="2612"/>
      <c r="BM344" s="2612"/>
      <c r="BN344" s="2588">
        <f>BN343/BI343-1</f>
        <v>-0.15073532218181274</v>
      </c>
      <c r="BO344" s="2612"/>
      <c r="BP344" s="2612"/>
      <c r="BQ344" s="2612"/>
      <c r="BR344" s="2612"/>
      <c r="BS344" s="1927"/>
      <c r="BT344" s="2612"/>
      <c r="BU344" s="2612"/>
      <c r="BV344" s="2612"/>
      <c r="BW344" s="2612"/>
      <c r="BX344" s="2588">
        <f>BX343/BN343-1</f>
        <v>-3.714882686652532E-2</v>
      </c>
      <c r="BY344" s="2612"/>
      <c r="BZ344" s="2612"/>
      <c r="CA344" s="2612"/>
      <c r="CB344" s="2612"/>
      <c r="CC344" s="1927"/>
      <c r="CD344" s="2612"/>
      <c r="CE344" s="2612"/>
      <c r="CF344" s="2612"/>
      <c r="CG344" s="2612"/>
      <c r="CH344" s="2588">
        <f>CH343/BX343-1</f>
        <v>-8.330377445544157E-2</v>
      </c>
      <c r="CI344" s="2612"/>
      <c r="CJ344" s="2612"/>
      <c r="CK344" s="2612"/>
      <c r="CL344" s="2612"/>
      <c r="CM344" s="2588">
        <f>CM343/CH343-1</f>
        <v>-3.9603992645887875E-2</v>
      </c>
      <c r="CN344" s="2612"/>
      <c r="CO344" s="2612"/>
      <c r="CP344" s="2612"/>
      <c r="CQ344" s="2612"/>
      <c r="CR344" s="2588">
        <f>CR343/CM343-1</f>
        <v>6.2218914808942927E-2</v>
      </c>
      <c r="CS344" s="2612"/>
      <c r="CT344" s="2612"/>
      <c r="CU344" s="2612"/>
      <c r="CV344" s="2612"/>
      <c r="CW344" s="2588">
        <f>CW343/CR343-1</f>
        <v>-5.4201556065353707E-2</v>
      </c>
      <c r="CX344" s="2612"/>
      <c r="CY344" s="2612"/>
      <c r="CZ344" s="2612"/>
      <c r="DA344" s="2612"/>
      <c r="DB344" s="2588">
        <f>DB343/CW343-1</f>
        <v>-5.3170831818175279E-2</v>
      </c>
      <c r="DC344" s="2612"/>
      <c r="DD344" s="2612"/>
      <c r="DE344" s="2612"/>
      <c r="DF344" s="2612"/>
      <c r="DG344" s="2588">
        <f>DG343/DB343-1</f>
        <v>8.7076587478687184E-3</v>
      </c>
      <c r="DH344" s="2612"/>
      <c r="DI344" s="2612"/>
      <c r="DJ344" s="2612"/>
      <c r="DK344" s="2612"/>
      <c r="DL344" s="2588">
        <f>DL343/DG343-1</f>
        <v>4.1867856040989082E-4</v>
      </c>
      <c r="DM344" s="2612"/>
      <c r="DN344" s="2612"/>
      <c r="DO344" s="2612"/>
      <c r="DP344" s="2612"/>
      <c r="DQ344" s="2588">
        <f>DQ343/DL343-1</f>
        <v>0.67795012782254171</v>
      </c>
      <c r="DR344" s="2612"/>
      <c r="DS344" s="2612"/>
      <c r="DT344" s="2612"/>
      <c r="DU344" s="2612"/>
      <c r="DV344" s="2588">
        <f>DV343/DQ343-1</f>
        <v>-0.17798438639143399</v>
      </c>
      <c r="DW344" s="2612"/>
      <c r="DX344" s="2612"/>
      <c r="DY344" s="2612"/>
      <c r="DZ344" s="2612"/>
      <c r="EA344" s="2588">
        <f>EA343/DV343-1</f>
        <v>-7.3442601583270761E-2</v>
      </c>
      <c r="EB344" s="2612"/>
      <c r="EC344" s="2612"/>
      <c r="ED344" s="2612"/>
      <c r="EE344" s="2612"/>
      <c r="EF344" s="2588">
        <f>EF343/EA343-1</f>
        <v>0.38981396799860324</v>
      </c>
      <c r="EG344" s="2612"/>
      <c r="EH344" s="2612"/>
      <c r="EI344" s="2612"/>
      <c r="EJ344" s="2612"/>
      <c r="EK344" s="2588">
        <f>EK343/EF343-1</f>
        <v>0.15544229916838703</v>
      </c>
      <c r="EL344" s="2612"/>
      <c r="EM344" s="2612"/>
      <c r="EN344" s="2612"/>
      <c r="EO344" s="2612"/>
      <c r="EP344" s="2588">
        <f>EP343/EK343-1</f>
        <v>0.17135393252628073</v>
      </c>
      <c r="EQ344" s="2612"/>
      <c r="ER344" s="2612"/>
      <c r="ES344" s="2612"/>
      <c r="ET344" s="2612"/>
      <c r="EU344" s="2588">
        <f>EU343/EP343-1</f>
        <v>7.2655447502978809E-2</v>
      </c>
      <c r="EV344" s="2588">
        <f>EV343/EU343-1</f>
        <v>9.9637753362174397E-2</v>
      </c>
      <c r="EW344" s="2588">
        <f>EW343/EV343-1</f>
        <v>9.8807171045790732E-2</v>
      </c>
      <c r="EX344" s="2588">
        <f>EX343/EW343-1</f>
        <v>0.10263026363446182</v>
      </c>
      <c r="EY344" s="2588"/>
      <c r="EZ344" s="2613"/>
      <c r="FA344" s="725"/>
      <c r="FB344" s="725"/>
    </row>
    <row r="345" spans="1:158" s="280" customFormat="1" ht="11.25" hidden="1" customHeight="1" outlineLevel="1">
      <c r="A345" s="5372"/>
      <c r="B345" s="5357"/>
      <c r="C345" s="5357"/>
      <c r="D345" s="5357"/>
      <c r="E345" s="5357"/>
      <c r="F345" s="5358"/>
      <c r="G345" s="5357"/>
      <c r="H345" s="5357"/>
      <c r="I345" s="5357"/>
      <c r="J345" s="5357"/>
      <c r="K345" s="5358"/>
      <c r="L345" s="5357"/>
      <c r="M345" s="5357"/>
      <c r="N345" s="5357"/>
      <c r="O345" s="5357"/>
      <c r="P345" s="5560"/>
      <c r="Q345" s="5561"/>
      <c r="R345" s="5562"/>
      <c r="S345" s="5562"/>
      <c r="T345" s="5563"/>
      <c r="U345" s="5560"/>
      <c r="V345" s="5561"/>
      <c r="W345" s="5562"/>
      <c r="X345" s="5562"/>
      <c r="Y345" s="5563"/>
      <c r="Z345" s="5560"/>
      <c r="AA345" s="5561"/>
      <c r="AB345" s="5562"/>
      <c r="AC345" s="5562"/>
      <c r="AD345" s="5563"/>
      <c r="AE345" s="5560"/>
      <c r="AF345" s="5561"/>
      <c r="AG345" s="5562"/>
      <c r="AH345" s="5562"/>
      <c r="AI345" s="5563"/>
      <c r="AJ345" s="5560"/>
      <c r="AK345" s="5561"/>
      <c r="AL345" s="5562"/>
      <c r="AM345" s="5562"/>
      <c r="AN345" s="5563"/>
      <c r="AO345" s="5560"/>
      <c r="AP345" s="5561"/>
      <c r="AQ345" s="5562"/>
      <c r="AR345" s="5562"/>
      <c r="AS345" s="5563"/>
      <c r="AT345" s="5560"/>
      <c r="AU345" s="5561"/>
      <c r="AV345" s="5562"/>
      <c r="AW345" s="5562"/>
      <c r="AX345" s="5563"/>
      <c r="AY345" s="5560"/>
      <c r="AZ345" s="5561"/>
      <c r="BA345" s="5562"/>
      <c r="BB345" s="5562"/>
      <c r="BC345" s="5563"/>
      <c r="BD345" s="5560"/>
      <c r="BE345" s="5561"/>
      <c r="BF345" s="5562"/>
      <c r="BG345" s="5562"/>
      <c r="BH345" s="5563"/>
      <c r="BI345" s="5560"/>
      <c r="BJ345" s="5561"/>
      <c r="BK345" s="5562"/>
      <c r="BL345" s="5562"/>
      <c r="BM345" s="5563"/>
      <c r="BN345" s="5560"/>
      <c r="BO345" s="5562"/>
      <c r="BP345" s="5562"/>
      <c r="BQ345" s="5562"/>
      <c r="BR345" s="5562"/>
      <c r="BS345" s="5560"/>
      <c r="BT345" s="5561"/>
      <c r="BU345" s="5562"/>
      <c r="BV345" s="5562"/>
      <c r="BW345" s="5563"/>
      <c r="BX345" s="5560"/>
      <c r="BY345" s="5562"/>
      <c r="BZ345" s="5562"/>
      <c r="CA345" s="5562"/>
      <c r="CB345" s="5562"/>
      <c r="CC345" s="5560"/>
      <c r="CD345" s="5561"/>
      <c r="CE345" s="5562"/>
      <c r="CF345" s="5562"/>
      <c r="CG345" s="5563"/>
      <c r="CH345" s="5560"/>
      <c r="CI345" s="5561"/>
      <c r="CJ345" s="5562"/>
      <c r="CK345" s="5562"/>
      <c r="CL345" s="5563"/>
      <c r="CM345" s="5560"/>
      <c r="CN345" s="5561"/>
      <c r="CO345" s="5562"/>
      <c r="CP345" s="5562"/>
      <c r="CQ345" s="5563"/>
      <c r="CR345" s="5560"/>
      <c r="CS345" s="5561"/>
      <c r="CT345" s="5562"/>
      <c r="CU345" s="5562"/>
      <c r="CV345" s="5563"/>
      <c r="CW345" s="5560"/>
      <c r="CX345" s="5561"/>
      <c r="CY345" s="5562"/>
      <c r="CZ345" s="5562"/>
      <c r="DA345" s="5563"/>
      <c r="DB345" s="5560"/>
      <c r="DC345" s="5561"/>
      <c r="DD345" s="5562"/>
      <c r="DE345" s="5562"/>
      <c r="DF345" s="5563"/>
      <c r="DG345" s="5560"/>
      <c r="DH345" s="5561"/>
      <c r="DI345" s="5562"/>
      <c r="DJ345" s="5562"/>
      <c r="DK345" s="5563"/>
      <c r="DL345" s="5560"/>
      <c r="DM345" s="5561"/>
      <c r="DN345" s="5562"/>
      <c r="DO345" s="5562"/>
      <c r="DP345" s="5563"/>
      <c r="DQ345" s="5560"/>
      <c r="DR345" s="5561"/>
      <c r="DS345" s="5562"/>
      <c r="DT345" s="5562"/>
      <c r="DU345" s="5563"/>
      <c r="DV345" s="5560"/>
      <c r="DW345" s="5561"/>
      <c r="DX345" s="5562"/>
      <c r="DY345" s="5562"/>
      <c r="DZ345" s="5563"/>
      <c r="EA345" s="5560"/>
      <c r="EB345" s="5561"/>
      <c r="EC345" s="5562"/>
      <c r="ED345" s="5562"/>
      <c r="EE345" s="5563"/>
      <c r="EF345" s="5560"/>
      <c r="EG345" s="5562"/>
      <c r="EH345" s="5562"/>
      <c r="EI345" s="5562"/>
      <c r="EJ345" s="5562"/>
      <c r="EK345" s="5560"/>
      <c r="EL345" s="5562"/>
      <c r="EM345" s="5562"/>
      <c r="EN345" s="5562"/>
      <c r="EO345" s="5562"/>
      <c r="EP345" s="5560"/>
      <c r="EQ345" s="5562"/>
      <c r="ER345" s="5562"/>
      <c r="ES345" s="5562"/>
      <c r="ET345" s="5562"/>
      <c r="EU345" s="5560"/>
      <c r="EV345" s="5560"/>
      <c r="EW345" s="5560"/>
      <c r="EX345" s="5560"/>
      <c r="EY345" s="5560"/>
      <c r="EZ345" s="281"/>
      <c r="FA345" s="1319"/>
      <c r="FB345" s="1319"/>
    </row>
    <row r="346" spans="1:158" ht="11.25" customHeight="1" collapsed="1">
      <c r="AZ346" s="285"/>
      <c r="BE346" s="285"/>
      <c r="EC346" s="152"/>
      <c r="FA346"/>
      <c r="FB346"/>
    </row>
    <row r="347" spans="1:158" ht="11.25" customHeight="1">
      <c r="A347" s="1568" t="s">
        <v>337</v>
      </c>
      <c r="AZ347" s="285"/>
      <c r="BE347" s="285"/>
      <c r="CV347" s="152"/>
      <c r="FA347"/>
      <c r="FB347"/>
    </row>
    <row r="348" spans="1:158" ht="11.25" customHeight="1">
      <c r="AZ348" s="285"/>
      <c r="BE348" s="285"/>
      <c r="EB348" s="152"/>
    </row>
    <row r="349" spans="1:158" ht="11.25" customHeight="1">
      <c r="AZ349" s="285"/>
      <c r="BE349" s="285"/>
      <c r="DY349" s="283"/>
      <c r="EB349" s="152"/>
    </row>
    <row r="350" spans="1:158" ht="11.25" customHeight="1">
      <c r="EB350" s="152"/>
    </row>
    <row r="351" spans="1:158" ht="11.25" customHeight="1">
      <c r="CN351" s="283"/>
      <c r="CO351" s="283"/>
      <c r="CP351" s="283"/>
      <c r="CQ351" s="283"/>
      <c r="CS351" s="283"/>
      <c r="CT351" s="283"/>
      <c r="CU351" s="283"/>
      <c r="CV351" s="283"/>
      <c r="CX351" s="283"/>
      <c r="CY351" s="283"/>
      <c r="CZ351" s="283"/>
      <c r="DA351" s="283"/>
      <c r="DC351" s="283"/>
      <c r="DD351" s="283"/>
      <c r="DE351" s="283"/>
      <c r="DF351" s="283"/>
      <c r="DH351" s="283"/>
      <c r="DI351" s="283"/>
      <c r="DJ351" s="283"/>
      <c r="DK351" s="283"/>
      <c r="DM351" s="283"/>
      <c r="DN351" s="283"/>
      <c r="DO351" s="283"/>
      <c r="DP351" s="283"/>
      <c r="DQ351" s="283"/>
      <c r="DR351" s="283"/>
      <c r="DS351" s="283"/>
      <c r="DT351" s="283"/>
      <c r="DU351" s="283"/>
      <c r="DV351" s="283"/>
      <c r="DW351" s="283"/>
      <c r="DX351" s="283"/>
      <c r="DY351" s="283"/>
      <c r="DZ351" s="283"/>
      <c r="EB351" s="283"/>
      <c r="EC351" s="283"/>
      <c r="ED351" s="283"/>
      <c r="EE351" s="283"/>
      <c r="EG351" s="283"/>
      <c r="EH351" s="283"/>
      <c r="EI351" s="283"/>
      <c r="EJ351" s="283"/>
      <c r="EL351" s="283"/>
      <c r="EM351" s="283"/>
      <c r="EN351" s="283"/>
      <c r="EO351" s="283"/>
      <c r="EQ351" s="283"/>
      <c r="ER351" s="283"/>
      <c r="ES351" s="283"/>
      <c r="ET351" s="283"/>
    </row>
    <row r="352" spans="1:158" ht="11.25" customHeight="1">
      <c r="BK352" s="332"/>
    </row>
    <row r="357" spans="1:158" ht="11.25" hidden="1" customHeight="1"/>
    <row r="358" spans="1:158" ht="11.25" hidden="1" customHeight="1">
      <c r="A358" s="2316" t="s">
        <v>829</v>
      </c>
      <c r="B358" s="2317"/>
      <c r="C358" s="2317"/>
      <c r="D358" s="2317"/>
      <c r="E358" s="2317"/>
      <c r="F358" s="2317"/>
      <c r="G358" s="2317"/>
      <c r="H358" s="2317"/>
      <c r="I358" s="2317"/>
      <c r="J358" s="2317"/>
      <c r="K358" s="2317"/>
      <c r="L358" s="2317"/>
      <c r="M358" s="2317"/>
      <c r="N358" s="2317"/>
      <c r="O358" s="2317"/>
      <c r="P358" s="2318"/>
      <c r="Q358" s="2317"/>
      <c r="R358" s="2317"/>
      <c r="S358" s="2317"/>
      <c r="T358" s="2317"/>
      <c r="U358" s="2318"/>
      <c r="V358" s="2317"/>
      <c r="W358" s="2317"/>
      <c r="X358" s="2317"/>
      <c r="Y358" s="2318"/>
      <c r="Z358" s="2318"/>
      <c r="AA358" s="2317"/>
      <c r="AB358" s="2317"/>
      <c r="AC358" s="2317"/>
      <c r="AD358" s="2317"/>
      <c r="AE358" s="2318"/>
      <c r="AF358" s="2317"/>
      <c r="AG358" s="2317"/>
      <c r="AH358" s="2317"/>
      <c r="AI358" s="2317"/>
      <c r="AJ358" s="2318"/>
      <c r="AK358" s="2317"/>
      <c r="AL358" s="2317"/>
      <c r="AM358" s="2317"/>
      <c r="AN358" s="2317"/>
      <c r="AO358" s="2318"/>
      <c r="AP358" s="2318"/>
      <c r="AQ358" s="2318"/>
      <c r="AR358" s="2318"/>
      <c r="AS358" s="2318"/>
      <c r="AT358" s="2318"/>
      <c r="AU358" s="2318"/>
      <c r="AV358" s="2318"/>
      <c r="AW358" s="2318"/>
      <c r="AX358" s="2318"/>
      <c r="AY358" s="2318"/>
      <c r="AZ358" s="2318"/>
      <c r="BA358" s="2318"/>
      <c r="BB358" s="2318"/>
      <c r="BC358" s="2318"/>
      <c r="BD358" s="2318"/>
      <c r="BE358" s="2318"/>
      <c r="BF358" s="2318"/>
      <c r="BG358" s="2318"/>
      <c r="BH358" s="2318"/>
      <c r="BI358" s="2318"/>
      <c r="BJ358" s="2318"/>
      <c r="BK358" s="2318"/>
      <c r="BL358" s="2318"/>
      <c r="BM358" s="2318"/>
      <c r="BN358" s="2318"/>
      <c r="BO358" s="2318"/>
      <c r="BP358" s="2318"/>
      <c r="BQ358" s="2318"/>
      <c r="BR358" s="2318"/>
      <c r="BS358" s="2318"/>
      <c r="BT358" s="2318"/>
      <c r="BU358" s="2318"/>
      <c r="BV358" s="2318"/>
      <c r="BW358" s="2318"/>
      <c r="BX358" s="2318"/>
      <c r="BY358" s="2318"/>
      <c r="BZ358" s="2318"/>
      <c r="CA358" s="2318"/>
      <c r="CB358" s="2318"/>
      <c r="CC358" s="2318"/>
      <c r="CD358" s="2318"/>
      <c r="CE358" s="2318"/>
      <c r="CF358" s="2318"/>
      <c r="CG358" s="2318"/>
      <c r="CH358" s="2318"/>
      <c r="CI358" s="2318"/>
      <c r="CJ358" s="2318"/>
      <c r="CK358" s="2318"/>
      <c r="CL358" s="2318"/>
      <c r="CM358" s="2318"/>
      <c r="CN358" s="2318"/>
      <c r="CO358" s="2318"/>
      <c r="CP358" s="2318"/>
      <c r="CQ358" s="2318"/>
      <c r="CR358" s="2318"/>
      <c r="CS358" s="2318"/>
      <c r="CT358" s="2318"/>
      <c r="CU358" s="2318"/>
      <c r="CV358" s="2318"/>
      <c r="CW358" s="2318"/>
      <c r="CX358" s="2318"/>
      <c r="CY358" s="2318"/>
      <c r="CZ358" s="2318"/>
      <c r="DA358" s="2318"/>
      <c r="DB358" s="2318"/>
      <c r="DC358" s="2318"/>
      <c r="DD358" s="2318"/>
      <c r="DE358" s="2318"/>
      <c r="DF358" s="2318"/>
      <c r="DG358" s="2318"/>
      <c r="DH358" s="2318"/>
      <c r="DI358" s="2318"/>
      <c r="DJ358" s="2318"/>
      <c r="DK358" s="2318"/>
      <c r="DL358" s="2318"/>
      <c r="DM358" s="2318"/>
      <c r="DN358" s="2318"/>
      <c r="DO358" s="2318"/>
      <c r="DP358" s="2318"/>
      <c r="DQ358" s="2318"/>
      <c r="DR358" s="2318"/>
      <c r="DS358" s="2318"/>
      <c r="DT358" s="2318"/>
      <c r="DU358" s="2318"/>
      <c r="DV358" s="2318"/>
      <c r="DW358" s="2318"/>
      <c r="DX358" s="2318"/>
      <c r="DY358" s="2318"/>
      <c r="DZ358" s="2318"/>
      <c r="EA358" s="2318"/>
      <c r="EB358" s="2318"/>
      <c r="EC358" s="2318"/>
      <c r="ED358" s="2318"/>
      <c r="EE358" s="2318"/>
      <c r="EF358" s="2318"/>
      <c r="EG358" s="2318"/>
      <c r="EH358" s="2318"/>
      <c r="EI358" s="2318"/>
      <c r="EJ358" s="2318"/>
      <c r="EK358" s="2318"/>
      <c r="EL358" s="2318"/>
      <c r="EM358" s="2318"/>
      <c r="EN358" s="2318"/>
      <c r="EO358" s="2318"/>
      <c r="EP358" s="2318"/>
      <c r="EQ358" s="2318"/>
      <c r="ER358" s="2318"/>
      <c r="ES358" s="2318"/>
      <c r="ET358" s="2318"/>
      <c r="EU358" s="2318"/>
      <c r="EV358" s="2318"/>
      <c r="EW358" s="2318"/>
      <c r="EX358" s="2318"/>
      <c r="EY358" s="2318"/>
      <c r="FA358" s="715"/>
      <c r="FB358" s="715"/>
    </row>
    <row r="359" spans="1:158" s="234" customFormat="1" ht="11.25" hidden="1" customHeight="1">
      <c r="A359" s="1539" t="s">
        <v>294</v>
      </c>
      <c r="B359" s="978"/>
      <c r="C359" s="209"/>
      <c r="D359" s="209"/>
      <c r="E359" s="209"/>
      <c r="F359" s="209"/>
      <c r="G359" s="209"/>
      <c r="H359" s="209"/>
      <c r="I359" s="209"/>
      <c r="J359" s="209"/>
      <c r="K359" s="1019"/>
      <c r="L359" s="209"/>
      <c r="M359" s="209"/>
      <c r="N359" s="209"/>
      <c r="O359" s="209"/>
      <c r="P359" s="1019"/>
      <c r="Q359" s="978"/>
      <c r="R359" s="209"/>
      <c r="S359" s="209"/>
      <c r="T359" s="209"/>
      <c r="U359" s="1019"/>
      <c r="V359" s="978"/>
      <c r="W359" s="209"/>
      <c r="X359" s="209"/>
      <c r="Y359" s="209"/>
      <c r="Z359" s="1019"/>
      <c r="AA359" s="978"/>
      <c r="AB359" s="209"/>
      <c r="AC359" s="209"/>
      <c r="AD359" s="209"/>
      <c r="AE359" s="1019"/>
      <c r="AF359" s="978"/>
      <c r="AG359" s="209"/>
      <c r="AH359" s="209"/>
      <c r="AI359" s="209"/>
      <c r="AJ359" s="1019"/>
      <c r="AK359" s="978"/>
      <c r="AL359" s="209"/>
      <c r="AM359" s="209"/>
      <c r="AN359" s="169"/>
      <c r="AO359" s="1019"/>
      <c r="AP359" s="978"/>
      <c r="AQ359" s="209"/>
      <c r="AR359" s="209"/>
      <c r="AS359" s="209"/>
      <c r="AT359" s="1019"/>
      <c r="AU359" s="978"/>
      <c r="AV359" s="209"/>
      <c r="AW359" s="209"/>
      <c r="AX359" s="209"/>
      <c r="AY359" s="1019"/>
      <c r="AZ359" s="978"/>
      <c r="BA359" s="209"/>
      <c r="BB359" s="209"/>
      <c r="BC359" s="209"/>
      <c r="BD359" s="1019"/>
      <c r="BE359" s="1049"/>
      <c r="BF359" s="241"/>
      <c r="BG359" s="241"/>
      <c r="BH359" s="241"/>
      <c r="BI359" s="1019"/>
      <c r="BJ359" s="1049"/>
      <c r="BK359" s="209"/>
      <c r="BL359" s="209"/>
      <c r="BM359" s="209"/>
      <c r="BN359" s="1019"/>
      <c r="BO359" s="209"/>
      <c r="BP359" s="209"/>
      <c r="BQ359" s="209"/>
      <c r="BR359" s="209"/>
      <c r="BS359" s="1933"/>
      <c r="BT359" s="209"/>
      <c r="BU359" s="209"/>
      <c r="BV359" s="209"/>
      <c r="BW359" s="209"/>
      <c r="BX359" s="1019"/>
      <c r="BY359" s="209"/>
      <c r="BZ359" s="209"/>
      <c r="CA359" s="209"/>
      <c r="CB359" s="209"/>
      <c r="CC359" s="1933"/>
      <c r="CD359" s="209"/>
      <c r="CE359" s="209"/>
      <c r="CF359" s="209"/>
      <c r="CG359" s="209"/>
      <c r="CH359" s="1019"/>
      <c r="CI359" s="556"/>
      <c r="CJ359" s="209"/>
      <c r="CK359" s="209"/>
      <c r="CL359" s="209"/>
      <c r="CM359" s="1019"/>
      <c r="CN359" s="209"/>
      <c r="CO359" s="209"/>
      <c r="CP359" s="209"/>
      <c r="CQ359" s="209"/>
      <c r="CR359" s="1019"/>
      <c r="CS359" s="209"/>
      <c r="CT359" s="209"/>
      <c r="CU359" s="209"/>
      <c r="CV359" s="241"/>
      <c r="CW359" s="1019"/>
      <c r="CX359" s="209"/>
      <c r="CY359" s="209"/>
      <c r="CZ359" s="209"/>
      <c r="DA359" s="209"/>
      <c r="DB359" s="1019"/>
      <c r="DC359" s="209"/>
      <c r="DD359" s="209"/>
      <c r="DE359" s="209"/>
      <c r="DF359" s="209"/>
      <c r="DG359" s="1019"/>
      <c r="DH359" s="209"/>
      <c r="DI359" s="209"/>
      <c r="DJ359" s="209"/>
      <c r="DK359" s="209"/>
      <c r="DL359" s="1019"/>
      <c r="DM359" s="209"/>
      <c r="DN359" s="209"/>
      <c r="DO359" s="209"/>
      <c r="DP359" s="209"/>
      <c r="DQ359" s="1019"/>
      <c r="DR359" s="209"/>
      <c r="DS359" s="209"/>
      <c r="DT359" s="209"/>
      <c r="DU359" s="209"/>
      <c r="DV359" s="1019"/>
      <c r="DW359" s="209"/>
      <c r="DX359" s="209"/>
      <c r="DY359" s="209"/>
      <c r="DZ359" s="209"/>
      <c r="EA359" s="1019"/>
      <c r="EB359" s="209"/>
      <c r="EC359" s="209"/>
      <c r="ED359" s="209"/>
      <c r="EE359" s="209"/>
      <c r="EF359" s="1019"/>
      <c r="EG359" s="209"/>
      <c r="EH359" s="209"/>
      <c r="EI359" s="209"/>
      <c r="EJ359" s="209"/>
      <c r="EK359" s="1019"/>
      <c r="EL359" s="209"/>
      <c r="EM359" s="209"/>
      <c r="EN359" s="209"/>
      <c r="EO359" s="209"/>
      <c r="EP359" s="1019"/>
      <c r="EQ359" s="209"/>
      <c r="ER359" s="209"/>
      <c r="ES359" s="209"/>
      <c r="ET359" s="209"/>
      <c r="EU359" s="1019"/>
      <c r="EV359" s="1019"/>
      <c r="EW359" s="1019"/>
      <c r="EX359" s="1019"/>
      <c r="EY359" s="1019"/>
      <c r="EZ359" s="209"/>
      <c r="FA359" s="715"/>
      <c r="FB359" s="715"/>
    </row>
    <row r="360" spans="1:158" s="240" customFormat="1" ht="11.25" hidden="1" customHeight="1">
      <c r="A360" s="1538" t="s">
        <v>45</v>
      </c>
      <c r="B360" s="953"/>
      <c r="C360" s="223"/>
      <c r="D360" s="223"/>
      <c r="E360" s="223"/>
      <c r="F360" s="223"/>
      <c r="G360" s="223"/>
      <c r="H360" s="223"/>
      <c r="I360" s="223"/>
      <c r="J360" s="223"/>
      <c r="K360" s="1020"/>
      <c r="L360" s="223"/>
      <c r="M360" s="223"/>
      <c r="N360" s="223"/>
      <c r="O360" s="223"/>
      <c r="P360" s="1020"/>
      <c r="Q360" s="953"/>
      <c r="R360" s="223"/>
      <c r="S360" s="223"/>
      <c r="T360" s="223"/>
      <c r="U360" s="1020"/>
      <c r="V360" s="953" t="s">
        <v>116</v>
      </c>
      <c r="W360" s="223" t="s">
        <v>116</v>
      </c>
      <c r="X360" s="223" t="s">
        <v>116</v>
      </c>
      <c r="Y360" s="223" t="s">
        <v>116</v>
      </c>
      <c r="Z360" s="1020"/>
      <c r="AA360" s="953" t="s">
        <v>116</v>
      </c>
      <c r="AB360" s="223" t="s">
        <v>116</v>
      </c>
      <c r="AC360" s="223" t="s">
        <v>116</v>
      </c>
      <c r="AD360" s="223" t="s">
        <v>116</v>
      </c>
      <c r="AE360" s="1020"/>
      <c r="AF360" s="953" t="s">
        <v>116</v>
      </c>
      <c r="AG360" s="223" t="s">
        <v>116</v>
      </c>
      <c r="AH360" s="223" t="s">
        <v>116</v>
      </c>
      <c r="AI360" s="223" t="s">
        <v>116</v>
      </c>
      <c r="AJ360" s="1020" t="s">
        <v>116</v>
      </c>
      <c r="AK360" s="953" t="s">
        <v>116</v>
      </c>
      <c r="AL360" s="223" t="s">
        <v>116</v>
      </c>
      <c r="AM360" s="223" t="s">
        <v>116</v>
      </c>
      <c r="AN360" s="169" t="s">
        <v>116</v>
      </c>
      <c r="AO360" s="1020" t="s">
        <v>116</v>
      </c>
      <c r="AP360" s="953" t="s">
        <v>116</v>
      </c>
      <c r="AQ360" s="223" t="s">
        <v>116</v>
      </c>
      <c r="AR360" s="223">
        <v>0.48</v>
      </c>
      <c r="AS360" s="223">
        <v>0.25</v>
      </c>
      <c r="AT360" s="1020">
        <f>AVERAGE(AR360:AS360)</f>
        <v>0.36499999999999999</v>
      </c>
      <c r="AU360" s="953">
        <v>1.7999999999999999E-2</v>
      </c>
      <c r="AV360" s="223" t="s">
        <v>116</v>
      </c>
      <c r="AW360" s="223" t="s">
        <v>116</v>
      </c>
      <c r="AX360" s="223" t="s">
        <v>116</v>
      </c>
      <c r="AY360" s="1020" t="s">
        <v>116</v>
      </c>
      <c r="AZ360" s="953"/>
      <c r="BA360" s="223"/>
      <c r="BB360" s="223" t="s">
        <v>116</v>
      </c>
      <c r="BC360" s="223" t="s">
        <v>116</v>
      </c>
      <c r="BD360" s="1020" t="s">
        <v>116</v>
      </c>
      <c r="BE360" s="1052" t="s">
        <v>116</v>
      </c>
      <c r="BF360" s="238" t="s">
        <v>116</v>
      </c>
      <c r="BG360" s="238" t="s">
        <v>116</v>
      </c>
      <c r="BH360" s="238" t="s">
        <v>116</v>
      </c>
      <c r="BI360" s="1020" t="s">
        <v>116</v>
      </c>
      <c r="BJ360" s="1052" t="s">
        <v>116</v>
      </c>
      <c r="BK360" s="238" t="s">
        <v>116</v>
      </c>
      <c r="BL360" s="238" t="s">
        <v>116</v>
      </c>
      <c r="BM360" s="238" t="s">
        <v>116</v>
      </c>
      <c r="BN360" s="1020" t="s">
        <v>116</v>
      </c>
      <c r="BO360" s="223"/>
      <c r="BP360" s="223"/>
      <c r="BQ360" s="223"/>
      <c r="BR360" s="223"/>
      <c r="BS360" s="1931"/>
      <c r="BT360" s="238" t="s">
        <v>116</v>
      </c>
      <c r="BU360" s="238" t="s">
        <v>116</v>
      </c>
      <c r="BV360" s="238" t="s">
        <v>116</v>
      </c>
      <c r="BW360" s="238" t="s">
        <v>116</v>
      </c>
      <c r="BX360" s="1020" t="s">
        <v>116</v>
      </c>
      <c r="BY360" s="223"/>
      <c r="BZ360" s="223"/>
      <c r="CA360" s="223"/>
      <c r="CB360" s="223"/>
      <c r="CC360" s="1931"/>
      <c r="CD360" s="1052" t="s">
        <v>116</v>
      </c>
      <c r="CE360" s="238" t="s">
        <v>116</v>
      </c>
      <c r="CF360" s="238" t="s">
        <v>116</v>
      </c>
      <c r="CG360" s="238" t="s">
        <v>116</v>
      </c>
      <c r="CH360" s="1020" t="s">
        <v>116</v>
      </c>
      <c r="CI360" s="589" t="s">
        <v>116</v>
      </c>
      <c r="CJ360" s="238" t="s">
        <v>116</v>
      </c>
      <c r="CK360" s="238" t="s">
        <v>116</v>
      </c>
      <c r="CL360" s="238" t="s">
        <v>116</v>
      </c>
      <c r="CM360" s="1020" t="s">
        <v>116</v>
      </c>
      <c r="CN360" s="238" t="s">
        <v>116</v>
      </c>
      <c r="CO360" s="238" t="s">
        <v>116</v>
      </c>
      <c r="CP360" s="238" t="s">
        <v>116</v>
      </c>
      <c r="CQ360" s="238" t="s">
        <v>116</v>
      </c>
      <c r="CR360" s="1020"/>
      <c r="CS360" s="238" t="s">
        <v>116</v>
      </c>
      <c r="CT360" s="223"/>
      <c r="CU360" s="223"/>
      <c r="CV360" s="238"/>
      <c r="CW360" s="1020"/>
      <c r="CX360" s="223"/>
      <c r="CY360" s="223"/>
      <c r="CZ360" s="223"/>
      <c r="DA360" s="223"/>
      <c r="DB360" s="1020"/>
      <c r="DC360" s="223"/>
      <c r="DD360" s="223"/>
      <c r="DE360" s="223"/>
      <c r="DF360" s="223"/>
      <c r="DG360" s="1020"/>
      <c r="DH360" s="223"/>
      <c r="DI360" s="223"/>
      <c r="DJ360" s="223"/>
      <c r="DK360" s="223"/>
      <c r="DL360" s="1020"/>
      <c r="DM360" s="223"/>
      <c r="DN360" s="223"/>
      <c r="DO360" s="223"/>
      <c r="DP360" s="223"/>
      <c r="DQ360" s="1020"/>
      <c r="DR360" s="223"/>
      <c r="DS360" s="223"/>
      <c r="DT360" s="223"/>
      <c r="DU360" s="223"/>
      <c r="DV360" s="1020"/>
      <c r="DW360" s="223"/>
      <c r="DX360" s="223"/>
      <c r="DY360" s="223"/>
      <c r="DZ360" s="223"/>
      <c r="EA360" s="1020"/>
      <c r="EB360" s="223"/>
      <c r="EC360" s="223"/>
      <c r="ED360" s="223"/>
      <c r="EE360" s="223"/>
      <c r="EF360" s="1020"/>
      <c r="EG360" s="223"/>
      <c r="EH360" s="223"/>
      <c r="EI360" s="223"/>
      <c r="EJ360" s="223"/>
      <c r="EK360" s="1020"/>
      <c r="EL360" s="223"/>
      <c r="EM360" s="223"/>
      <c r="EN360" s="223"/>
      <c r="EO360" s="223"/>
      <c r="EP360" s="1020"/>
      <c r="EQ360" s="223"/>
      <c r="ER360" s="223"/>
      <c r="ES360" s="223"/>
      <c r="ET360" s="223"/>
      <c r="EU360" s="1020"/>
      <c r="EV360" s="1020"/>
      <c r="EW360" s="1020"/>
      <c r="EX360" s="1020"/>
      <c r="EY360" s="1020"/>
      <c r="EZ360" s="223"/>
      <c r="FA360" s="715"/>
      <c r="FB360" s="715"/>
    </row>
    <row r="361" spans="1:158" s="240" customFormat="1" ht="11.25" hidden="1" customHeight="1">
      <c r="A361" s="1538" t="s">
        <v>46</v>
      </c>
      <c r="B361" s="953"/>
      <c r="C361" s="223"/>
      <c r="D361" s="223"/>
      <c r="E361" s="223"/>
      <c r="F361" s="223"/>
      <c r="G361" s="223"/>
      <c r="H361" s="223"/>
      <c r="I361" s="223"/>
      <c r="J361" s="223"/>
      <c r="K361" s="1020"/>
      <c r="L361" s="223"/>
      <c r="M361" s="223"/>
      <c r="N361" s="223"/>
      <c r="O361" s="223"/>
      <c r="P361" s="1020"/>
      <c r="Q361" s="953"/>
      <c r="R361" s="223"/>
      <c r="S361" s="223"/>
      <c r="T361" s="223"/>
      <c r="U361" s="1020"/>
      <c r="V361" s="953" t="s">
        <v>116</v>
      </c>
      <c r="W361" s="223" t="s">
        <v>116</v>
      </c>
      <c r="X361" s="223" t="s">
        <v>116</v>
      </c>
      <c r="Y361" s="223" t="s">
        <v>116</v>
      </c>
      <c r="Z361" s="1020"/>
      <c r="AA361" s="953" t="s">
        <v>116</v>
      </c>
      <c r="AB361" s="223" t="s">
        <v>116</v>
      </c>
      <c r="AC361" s="223" t="s">
        <v>116</v>
      </c>
      <c r="AD361" s="223" t="s">
        <v>116</v>
      </c>
      <c r="AE361" s="1020"/>
      <c r="AF361" s="953" t="s">
        <v>116</v>
      </c>
      <c r="AG361" s="223" t="s">
        <v>116</v>
      </c>
      <c r="AH361" s="223" t="s">
        <v>116</v>
      </c>
      <c r="AI361" s="223" t="s">
        <v>116</v>
      </c>
      <c r="AJ361" s="1020"/>
      <c r="AK361" s="953" t="s">
        <v>116</v>
      </c>
      <c r="AL361" s="223" t="s">
        <v>116</v>
      </c>
      <c r="AM361" s="223" t="s">
        <v>116</v>
      </c>
      <c r="AN361" s="169">
        <v>0.28100000000000003</v>
      </c>
      <c r="AO361" s="1020"/>
      <c r="AP361" s="953">
        <v>0.113</v>
      </c>
      <c r="AQ361" s="223">
        <v>-6.6000000000000003E-2</v>
      </c>
      <c r="AR361" s="223">
        <v>0.109</v>
      </c>
      <c r="AS361" s="223">
        <v>8.3000000000000004E-2</v>
      </c>
      <c r="AT361" s="1020">
        <f>AVERAGE(AP361:AS361)</f>
        <v>5.9749999999999998E-2</v>
      </c>
      <c r="AU361" s="953">
        <v>-9.2999999999999999E-2</v>
      </c>
      <c r="AV361" s="223" t="s">
        <v>116</v>
      </c>
      <c r="AW361" s="223" t="s">
        <v>116</v>
      </c>
      <c r="AX361" s="223" t="s">
        <v>116</v>
      </c>
      <c r="AY361" s="1020" t="s">
        <v>116</v>
      </c>
      <c r="AZ361" s="953"/>
      <c r="BA361" s="223"/>
      <c r="BB361" s="223" t="s">
        <v>116</v>
      </c>
      <c r="BC361" s="223" t="s">
        <v>116</v>
      </c>
      <c r="BD361" s="1020" t="s">
        <v>116</v>
      </c>
      <c r="BE361" s="1052" t="s">
        <v>116</v>
      </c>
      <c r="BF361" s="238" t="s">
        <v>116</v>
      </c>
      <c r="BG361" s="238" t="s">
        <v>116</v>
      </c>
      <c r="BH361" s="238" t="s">
        <v>116</v>
      </c>
      <c r="BI361" s="1020" t="s">
        <v>116</v>
      </c>
      <c r="BJ361" s="1052" t="s">
        <v>116</v>
      </c>
      <c r="BK361" s="238" t="s">
        <v>116</v>
      </c>
      <c r="BL361" s="238" t="s">
        <v>116</v>
      </c>
      <c r="BM361" s="238" t="s">
        <v>116</v>
      </c>
      <c r="BN361" s="1020" t="s">
        <v>116</v>
      </c>
      <c r="BO361" s="223"/>
      <c r="BP361" s="223"/>
      <c r="BQ361" s="223"/>
      <c r="BR361" s="223"/>
      <c r="BS361" s="1931"/>
      <c r="BT361" s="238" t="s">
        <v>116</v>
      </c>
      <c r="BU361" s="238" t="s">
        <v>116</v>
      </c>
      <c r="BV361" s="238" t="s">
        <v>116</v>
      </c>
      <c r="BW361" s="238" t="s">
        <v>116</v>
      </c>
      <c r="BX361" s="1020" t="s">
        <v>116</v>
      </c>
      <c r="BY361" s="223"/>
      <c r="BZ361" s="223"/>
      <c r="CA361" s="223"/>
      <c r="CB361" s="223"/>
      <c r="CC361" s="1931"/>
      <c r="CD361" s="1052" t="s">
        <v>116</v>
      </c>
      <c r="CE361" s="238" t="s">
        <v>116</v>
      </c>
      <c r="CF361" s="238" t="s">
        <v>116</v>
      </c>
      <c r="CG361" s="238" t="s">
        <v>116</v>
      </c>
      <c r="CH361" s="1020" t="s">
        <v>116</v>
      </c>
      <c r="CI361" s="589" t="s">
        <v>116</v>
      </c>
      <c r="CJ361" s="238" t="s">
        <v>116</v>
      </c>
      <c r="CK361" s="238" t="s">
        <v>116</v>
      </c>
      <c r="CL361" s="238" t="s">
        <v>116</v>
      </c>
      <c r="CM361" s="1020" t="s">
        <v>116</v>
      </c>
      <c r="CN361" s="238" t="s">
        <v>116</v>
      </c>
      <c r="CO361" s="238" t="s">
        <v>116</v>
      </c>
      <c r="CP361" s="238" t="s">
        <v>116</v>
      </c>
      <c r="CQ361" s="238" t="s">
        <v>116</v>
      </c>
      <c r="CR361" s="1020"/>
      <c r="CS361" s="238" t="s">
        <v>116</v>
      </c>
      <c r="CT361" s="223"/>
      <c r="CU361" s="223"/>
      <c r="CV361" s="238"/>
      <c r="CW361" s="1020"/>
      <c r="CX361" s="223"/>
      <c r="CY361" s="223"/>
      <c r="CZ361" s="223"/>
      <c r="DA361" s="223"/>
      <c r="DB361" s="1020"/>
      <c r="DC361" s="223"/>
      <c r="DD361" s="223"/>
      <c r="DE361" s="223"/>
      <c r="DF361" s="223"/>
      <c r="DG361" s="1020"/>
      <c r="DH361" s="223"/>
      <c r="DI361" s="223"/>
      <c r="DJ361" s="223"/>
      <c r="DK361" s="223"/>
      <c r="DL361" s="1020"/>
      <c r="DM361" s="223"/>
      <c r="DN361" s="223"/>
      <c r="DO361" s="223"/>
      <c r="DP361" s="223"/>
      <c r="DQ361" s="1020"/>
      <c r="DR361" s="223"/>
      <c r="DS361" s="223"/>
      <c r="DT361" s="223"/>
      <c r="DU361" s="223"/>
      <c r="DV361" s="1020"/>
      <c r="DW361" s="223"/>
      <c r="DX361" s="223"/>
      <c r="DY361" s="223"/>
      <c r="DZ361" s="223"/>
      <c r="EA361" s="1020"/>
      <c r="EB361" s="223"/>
      <c r="EC361" s="223"/>
      <c r="ED361" s="223"/>
      <c r="EE361" s="223"/>
      <c r="EF361" s="1020"/>
      <c r="EG361" s="223"/>
      <c r="EH361" s="223"/>
      <c r="EI361" s="223"/>
      <c r="EJ361" s="223"/>
      <c r="EK361" s="1020"/>
      <c r="EL361" s="223"/>
      <c r="EM361" s="223"/>
      <c r="EN361" s="223"/>
      <c r="EO361" s="223"/>
      <c r="EP361" s="1020"/>
      <c r="EQ361" s="223"/>
      <c r="ER361" s="223"/>
      <c r="ES361" s="223"/>
      <c r="ET361" s="223"/>
      <c r="EU361" s="1020"/>
      <c r="EV361" s="1020"/>
      <c r="EW361" s="1020"/>
      <c r="EX361" s="1020"/>
      <c r="EY361" s="1020"/>
      <c r="EZ361" s="223"/>
      <c r="FA361" s="715"/>
      <c r="FB361" s="715"/>
    </row>
    <row r="362" spans="1:158" s="234" customFormat="1" ht="11.25" hidden="1" customHeight="1">
      <c r="A362" s="1545"/>
      <c r="B362" s="978"/>
      <c r="C362" s="209"/>
      <c r="D362" s="209"/>
      <c r="E362" s="209"/>
      <c r="F362" s="209"/>
      <c r="G362" s="209"/>
      <c r="H362" s="209"/>
      <c r="I362" s="209"/>
      <c r="J362" s="209"/>
      <c r="K362" s="1019"/>
      <c r="L362" s="209"/>
      <c r="M362" s="209"/>
      <c r="N362" s="209"/>
      <c r="O362" s="209"/>
      <c r="P362" s="1019"/>
      <c r="Q362" s="978"/>
      <c r="R362" s="209"/>
      <c r="S362" s="209"/>
      <c r="T362" s="209"/>
      <c r="U362" s="1019"/>
      <c r="V362" s="978"/>
      <c r="W362" s="209"/>
      <c r="X362" s="209"/>
      <c r="Y362" s="209"/>
      <c r="Z362" s="1019"/>
      <c r="AA362" s="978"/>
      <c r="AB362" s="209"/>
      <c r="AC362" s="209"/>
      <c r="AD362" s="209"/>
      <c r="AE362" s="1019"/>
      <c r="AF362" s="978"/>
      <c r="AG362" s="209"/>
      <c r="AH362" s="209"/>
      <c r="AI362" s="209"/>
      <c r="AJ362" s="1019"/>
      <c r="AK362" s="978"/>
      <c r="AL362" s="209"/>
      <c r="AM362" s="209"/>
      <c r="AN362" s="169"/>
      <c r="AO362" s="1019"/>
      <c r="AP362" s="978"/>
      <c r="AQ362" s="209"/>
      <c r="AR362" s="209"/>
      <c r="AS362" s="209"/>
      <c r="AT362" s="1019"/>
      <c r="AU362" s="978"/>
      <c r="AV362" s="209"/>
      <c r="AW362" s="209"/>
      <c r="AX362" s="209"/>
      <c r="AY362" s="1019"/>
      <c r="AZ362" s="978"/>
      <c r="BA362" s="209"/>
      <c r="BB362" s="209"/>
      <c r="BC362" s="209"/>
      <c r="BD362" s="1019"/>
      <c r="BE362" s="1049"/>
      <c r="BF362" s="241"/>
      <c r="BG362" s="241"/>
      <c r="BH362" s="241"/>
      <c r="BI362" s="1019"/>
      <c r="BJ362" s="1049"/>
      <c r="BK362" s="209"/>
      <c r="BL362" s="209"/>
      <c r="BM362" s="209"/>
      <c r="BN362" s="1019"/>
      <c r="BO362" s="209"/>
      <c r="BP362" s="209"/>
      <c r="BQ362" s="209"/>
      <c r="BR362" s="209"/>
      <c r="BS362" s="1933"/>
      <c r="BT362" s="209"/>
      <c r="BU362" s="209"/>
      <c r="BV362" s="209"/>
      <c r="BW362" s="209"/>
      <c r="BX362" s="1019"/>
      <c r="BY362" s="209"/>
      <c r="BZ362" s="209"/>
      <c r="CA362" s="209"/>
      <c r="CB362" s="209"/>
      <c r="CC362" s="1933"/>
      <c r="CD362" s="209"/>
      <c r="CE362" s="209"/>
      <c r="CF362" s="209"/>
      <c r="CG362" s="209"/>
      <c r="CH362" s="1019"/>
      <c r="CI362" s="556"/>
      <c r="CJ362" s="209"/>
      <c r="CK362" s="209"/>
      <c r="CL362" s="209"/>
      <c r="CM362" s="1019"/>
      <c r="CN362" s="209"/>
      <c r="CO362" s="209"/>
      <c r="CP362" s="209"/>
      <c r="CQ362" s="209"/>
      <c r="CR362" s="1019"/>
      <c r="CS362" s="209"/>
      <c r="CT362" s="209"/>
      <c r="CU362" s="209"/>
      <c r="CV362" s="241"/>
      <c r="CW362" s="1019"/>
      <c r="CX362" s="209"/>
      <c r="CY362" s="209"/>
      <c r="CZ362" s="209"/>
      <c r="DA362" s="209"/>
      <c r="DB362" s="1019"/>
      <c r="DC362" s="209"/>
      <c r="DD362" s="209"/>
      <c r="DE362" s="209"/>
      <c r="DF362" s="209"/>
      <c r="DG362" s="1019"/>
      <c r="DH362" s="209"/>
      <c r="DI362" s="209"/>
      <c r="DJ362" s="209"/>
      <c r="DK362" s="209"/>
      <c r="DL362" s="1019"/>
      <c r="DM362" s="209"/>
      <c r="DN362" s="209"/>
      <c r="DO362" s="209"/>
      <c r="DP362" s="209"/>
      <c r="DQ362" s="1019"/>
      <c r="DR362" s="209"/>
      <c r="DS362" s="209"/>
      <c r="DT362" s="209"/>
      <c r="DU362" s="209"/>
      <c r="DV362" s="1019"/>
      <c r="DW362" s="209"/>
      <c r="DX362" s="209"/>
      <c r="DY362" s="209"/>
      <c r="DZ362" s="209"/>
      <c r="EA362" s="1019"/>
      <c r="EB362" s="209"/>
      <c r="EC362" s="209"/>
      <c r="ED362" s="209"/>
      <c r="EE362" s="209"/>
      <c r="EF362" s="1019"/>
      <c r="EG362" s="209"/>
      <c r="EH362" s="209"/>
      <c r="EI362" s="209"/>
      <c r="EJ362" s="209"/>
      <c r="EK362" s="1019"/>
      <c r="EL362" s="209"/>
      <c r="EM362" s="209"/>
      <c r="EN362" s="209"/>
      <c r="EO362" s="209"/>
      <c r="EP362" s="1019"/>
      <c r="EQ362" s="209"/>
      <c r="ER362" s="209"/>
      <c r="ES362" s="209"/>
      <c r="ET362" s="209"/>
      <c r="EU362" s="1019"/>
      <c r="EV362" s="1019"/>
      <c r="EW362" s="1019"/>
      <c r="EX362" s="1019"/>
      <c r="EY362" s="1019"/>
      <c r="EZ362" s="209"/>
      <c r="FA362" s="715"/>
      <c r="FB362" s="715"/>
    </row>
    <row r="363" spans="1:158" s="211" customFormat="1" ht="11.25" hidden="1" customHeight="1">
      <c r="A363" s="1540" t="s">
        <v>320</v>
      </c>
      <c r="B363" s="1055"/>
      <c r="C363" s="228"/>
      <c r="D363" s="228"/>
      <c r="E363" s="228"/>
      <c r="F363" s="229"/>
      <c r="G363" s="228"/>
      <c r="H363" s="228"/>
      <c r="I363" s="228"/>
      <c r="J363" s="228"/>
      <c r="K363" s="1023"/>
      <c r="L363" s="228"/>
      <c r="M363" s="228"/>
      <c r="N363" s="228"/>
      <c r="O363" s="228"/>
      <c r="P363" s="1023"/>
      <c r="Q363" s="1055"/>
      <c r="R363" s="228"/>
      <c r="S363" s="228"/>
      <c r="T363" s="228"/>
      <c r="U363" s="1023"/>
      <c r="V363" s="1055"/>
      <c r="W363" s="228"/>
      <c r="X363" s="228"/>
      <c r="Y363" s="228"/>
      <c r="Z363" s="1023"/>
      <c r="AA363" s="1055"/>
      <c r="AB363" s="228"/>
      <c r="AC363" s="228"/>
      <c r="AD363" s="228"/>
      <c r="AE363" s="1023"/>
      <c r="AF363" s="1055"/>
      <c r="AG363" s="228"/>
      <c r="AH363" s="228"/>
      <c r="AI363" s="228"/>
      <c r="AJ363" s="1023"/>
      <c r="AK363" s="1055"/>
      <c r="AL363" s="228"/>
      <c r="AM363" s="228"/>
      <c r="AN363" s="228"/>
      <c r="AO363" s="1023"/>
      <c r="AP363" s="1055"/>
      <c r="AQ363" s="228"/>
      <c r="AR363" s="228"/>
      <c r="AS363" s="248"/>
      <c r="AT363" s="1023"/>
      <c r="AU363" s="1055"/>
      <c r="AV363" s="230"/>
      <c r="AW363" s="228"/>
      <c r="AX363" s="228"/>
      <c r="AY363" s="1023"/>
      <c r="AZ363" s="1055"/>
      <c r="BA363" s="230"/>
      <c r="BB363" s="228"/>
      <c r="BC363" s="228"/>
      <c r="BD363" s="1023"/>
      <c r="BE363" s="1055"/>
      <c r="BF363" s="230"/>
      <c r="BG363" s="228"/>
      <c r="BH363" s="228"/>
      <c r="BI363" s="1023"/>
      <c r="BJ363" s="1055"/>
      <c r="BK363" s="228"/>
      <c r="BL363" s="228"/>
      <c r="BM363" s="228"/>
      <c r="BN363" s="1023"/>
      <c r="BO363" s="228"/>
      <c r="BP363" s="228"/>
      <c r="BQ363" s="228"/>
      <c r="BR363" s="228"/>
      <c r="BS363" s="1928"/>
      <c r="BT363" s="228"/>
      <c r="BU363" s="228"/>
      <c r="BV363" s="228"/>
      <c r="BW363" s="228"/>
      <c r="BX363" s="1023"/>
      <c r="BY363" s="228"/>
      <c r="BZ363" s="228"/>
      <c r="CA363" s="228"/>
      <c r="CB363" s="228"/>
      <c r="CC363" s="1928"/>
      <c r="CD363" s="228"/>
      <c r="CE363" s="228"/>
      <c r="CF363" s="228"/>
      <c r="CG363" s="228"/>
      <c r="CH363" s="1023"/>
      <c r="CI363" s="558"/>
      <c r="CJ363" s="228"/>
      <c r="CK363" s="228"/>
      <c r="CL363" s="228"/>
      <c r="CM363" s="1023"/>
      <c r="CN363" s="228"/>
      <c r="CO363" s="228"/>
      <c r="CP363" s="228"/>
      <c r="CQ363" s="228"/>
      <c r="CR363" s="1023"/>
      <c r="CS363" s="228"/>
      <c r="CT363" s="228"/>
      <c r="CU363" s="228"/>
      <c r="CV363" s="228"/>
      <c r="CW363" s="1023"/>
      <c r="CX363" s="228"/>
      <c r="CY363" s="228"/>
      <c r="CZ363" s="228"/>
      <c r="DA363" s="228"/>
      <c r="DB363" s="1023"/>
      <c r="DC363" s="228"/>
      <c r="DD363" s="228"/>
      <c r="DE363" s="228"/>
      <c r="DF363" s="228"/>
      <c r="DG363" s="1023"/>
      <c r="DH363" s="228"/>
      <c r="DI363" s="228"/>
      <c r="DJ363" s="228"/>
      <c r="DK363" s="228"/>
      <c r="DL363" s="1023"/>
      <c r="DM363" s="228"/>
      <c r="DN363" s="228"/>
      <c r="DO363" s="228"/>
      <c r="DP363" s="228"/>
      <c r="DQ363" s="1023"/>
      <c r="DR363" s="228"/>
      <c r="DS363" s="228"/>
      <c r="DT363" s="228"/>
      <c r="DU363" s="228"/>
      <c r="DV363" s="1023"/>
      <c r="DW363" s="228"/>
      <c r="DX363" s="228"/>
      <c r="DY363" s="228"/>
      <c r="DZ363" s="228"/>
      <c r="EA363" s="1023"/>
      <c r="EB363" s="228"/>
      <c r="EC363" s="228"/>
      <c r="ED363" s="228"/>
      <c r="EE363" s="228"/>
      <c r="EF363" s="1023"/>
      <c r="EG363" s="228"/>
      <c r="EH363" s="228"/>
      <c r="EI363" s="228"/>
      <c r="EJ363" s="228"/>
      <c r="EK363" s="1023"/>
      <c r="EL363" s="228"/>
      <c r="EM363" s="228"/>
      <c r="EN363" s="228"/>
      <c r="EO363" s="228"/>
      <c r="EP363" s="1023"/>
      <c r="EQ363" s="228"/>
      <c r="ER363" s="228"/>
      <c r="ES363" s="228"/>
      <c r="ET363" s="228"/>
      <c r="EU363" s="1023"/>
      <c r="EV363" s="1023"/>
      <c r="EW363" s="1023"/>
      <c r="EX363" s="1023"/>
      <c r="EY363" s="1023"/>
      <c r="EZ363" s="209"/>
      <c r="FA363" s="715"/>
      <c r="FB363" s="715"/>
    </row>
    <row r="364" spans="1:158" s="211" customFormat="1" ht="11.25" hidden="1" customHeight="1">
      <c r="A364" s="1545"/>
      <c r="B364" s="1056"/>
      <c r="C364" s="207"/>
      <c r="D364" s="207"/>
      <c r="E364" s="207"/>
      <c r="F364" s="231"/>
      <c r="G364" s="207"/>
      <c r="H364" s="207"/>
      <c r="I364" s="207"/>
      <c r="J364" s="207"/>
      <c r="K364" s="1024"/>
      <c r="L364" s="207"/>
      <c r="M364" s="207"/>
      <c r="N364" s="207"/>
      <c r="O364" s="207"/>
      <c r="P364" s="1024"/>
      <c r="Q364" s="1056"/>
      <c r="R364" s="207"/>
      <c r="S364" s="207"/>
      <c r="T364" s="207"/>
      <c r="U364" s="1024"/>
      <c r="V364" s="1056"/>
      <c r="W364" s="207"/>
      <c r="X364" s="207"/>
      <c r="Y364" s="207"/>
      <c r="Z364" s="1024"/>
      <c r="AA364" s="1056"/>
      <c r="AB364" s="207"/>
      <c r="AC364" s="207"/>
      <c r="AD364" s="207"/>
      <c r="AE364" s="1024"/>
      <c r="AF364" s="1056"/>
      <c r="AG364" s="207"/>
      <c r="AH364" s="207"/>
      <c r="AI364" s="207"/>
      <c r="AJ364" s="1024"/>
      <c r="AK364" s="1056"/>
      <c r="AL364" s="207"/>
      <c r="AM364" s="207"/>
      <c r="AN364" s="207"/>
      <c r="AO364" s="1024"/>
      <c r="AP364" s="1056"/>
      <c r="AQ364" s="207"/>
      <c r="AR364" s="207"/>
      <c r="AS364" s="207"/>
      <c r="AT364" s="1024"/>
      <c r="AU364" s="1056"/>
      <c r="AV364" s="232"/>
      <c r="AW364" s="232"/>
      <c r="AX364" s="232"/>
      <c r="AY364" s="1024"/>
      <c r="AZ364" s="1056"/>
      <c r="BA364" s="232"/>
      <c r="BB364" s="232"/>
      <c r="BC364" s="232"/>
      <c r="BD364" s="1024"/>
      <c r="BE364" s="1056"/>
      <c r="BF364" s="232"/>
      <c r="BG364" s="232"/>
      <c r="BH364" s="232"/>
      <c r="BI364" s="1024"/>
      <c r="BJ364" s="1056"/>
      <c r="BK364" s="232"/>
      <c r="BL364" s="232"/>
      <c r="BM364" s="232"/>
      <c r="BN364" s="1024"/>
      <c r="BO364" s="207"/>
      <c r="BP364" s="207"/>
      <c r="BQ364" s="207"/>
      <c r="BR364" s="207"/>
      <c r="BS364" s="1956"/>
      <c r="BT364" s="232"/>
      <c r="BU364" s="232"/>
      <c r="BV364" s="232"/>
      <c r="BW364" s="232"/>
      <c r="BX364" s="1024"/>
      <c r="BY364" s="207"/>
      <c r="BZ364" s="207"/>
      <c r="CA364" s="207"/>
      <c r="CB364" s="207"/>
      <c r="CC364" s="1956"/>
      <c r="CD364" s="232"/>
      <c r="CE364" s="232"/>
      <c r="CF364" s="232"/>
      <c r="CG364" s="232"/>
      <c r="CH364" s="1024"/>
      <c r="CI364" s="559"/>
      <c r="CJ364" s="207"/>
      <c r="CK364" s="207"/>
      <c r="CL364" s="207"/>
      <c r="CM364" s="1024"/>
      <c r="CN364" s="207"/>
      <c r="CO364" s="160"/>
      <c r="CP364" s="160"/>
      <c r="CQ364" s="207"/>
      <c r="CR364" s="1024"/>
      <c r="CS364" s="207"/>
      <c r="CT364" s="207"/>
      <c r="CU364" s="207"/>
      <c r="CV364" s="207"/>
      <c r="CW364" s="1024"/>
      <c r="CX364" s="207"/>
      <c r="CY364" s="207"/>
      <c r="CZ364" s="207"/>
      <c r="DA364" s="207"/>
      <c r="DB364" s="1024"/>
      <c r="DC364" s="207"/>
      <c r="DD364" s="207"/>
      <c r="DE364" s="207"/>
      <c r="DF364" s="207"/>
      <c r="DG364" s="1024"/>
      <c r="DH364" s="207"/>
      <c r="DI364" s="207"/>
      <c r="DJ364" s="207"/>
      <c r="DK364" s="207"/>
      <c r="DL364" s="1024"/>
      <c r="DM364" s="207"/>
      <c r="DN364" s="207"/>
      <c r="DO364" s="207"/>
      <c r="DP364" s="207"/>
      <c r="DQ364" s="1024"/>
      <c r="DR364" s="207"/>
      <c r="DS364" s="207"/>
      <c r="DT364" s="207"/>
      <c r="DU364" s="207"/>
      <c r="DV364" s="1024"/>
      <c r="DW364" s="207"/>
      <c r="DX364" s="207"/>
      <c r="DY364" s="207"/>
      <c r="DZ364" s="207"/>
      <c r="EA364" s="1024"/>
      <c r="EB364" s="207"/>
      <c r="EC364" s="207"/>
      <c r="ED364" s="207"/>
      <c r="EE364" s="207"/>
      <c r="EF364" s="1024"/>
      <c r="EG364" s="207"/>
      <c r="EH364" s="207"/>
      <c r="EI364" s="207"/>
      <c r="EJ364" s="207"/>
      <c r="EK364" s="1024"/>
      <c r="EL364" s="207"/>
      <c r="EM364" s="207"/>
      <c r="EN364" s="207"/>
      <c r="EO364" s="207"/>
      <c r="EP364" s="1024"/>
      <c r="EQ364" s="207"/>
      <c r="ER364" s="207"/>
      <c r="ES364" s="207"/>
      <c r="ET364" s="207"/>
      <c r="EU364" s="1024"/>
      <c r="EV364" s="1024"/>
      <c r="EW364" s="1024"/>
      <c r="EX364" s="1024"/>
      <c r="EY364" s="1024"/>
      <c r="EZ364" s="209"/>
      <c r="FA364" s="715"/>
      <c r="FB364" s="715"/>
    </row>
    <row r="365" spans="1:158" s="211" customFormat="1" ht="11.25" hidden="1" customHeight="1">
      <c r="A365" s="1545" t="s">
        <v>293</v>
      </c>
      <c r="B365" s="978"/>
      <c r="C365" s="209"/>
      <c r="D365" s="209"/>
      <c r="E365" s="209"/>
      <c r="F365" s="209"/>
      <c r="G365" s="209"/>
      <c r="H365" s="209"/>
      <c r="I365" s="209"/>
      <c r="J365" s="209"/>
      <c r="K365" s="1019"/>
      <c r="L365" s="209"/>
      <c r="M365" s="209"/>
      <c r="N365" s="209"/>
      <c r="O365" s="209"/>
      <c r="P365" s="1019"/>
      <c r="Q365" s="978"/>
      <c r="R365" s="209"/>
      <c r="S365" s="209"/>
      <c r="T365" s="209"/>
      <c r="U365" s="1019"/>
      <c r="V365" s="978"/>
      <c r="W365" s="209"/>
      <c r="X365" s="209"/>
      <c r="Y365" s="209"/>
      <c r="Z365" s="1019"/>
      <c r="AA365" s="978"/>
      <c r="AB365" s="209"/>
      <c r="AC365" s="209"/>
      <c r="AD365" s="209"/>
      <c r="AE365" s="1019"/>
      <c r="AF365" s="978"/>
      <c r="AG365" s="209"/>
      <c r="AH365" s="209"/>
      <c r="AI365" s="209"/>
      <c r="AJ365" s="1019"/>
      <c r="AK365" s="978"/>
      <c r="AL365" s="209"/>
      <c r="AM365" s="209"/>
      <c r="AN365" s="209"/>
      <c r="AO365" s="1019"/>
      <c r="AP365" s="978"/>
      <c r="AQ365" s="209"/>
      <c r="AR365" s="209"/>
      <c r="AS365" s="209"/>
      <c r="AT365" s="1019"/>
      <c r="AU365" s="978"/>
      <c r="AV365" s="51"/>
      <c r="AW365" s="51"/>
      <c r="AX365" s="51"/>
      <c r="AY365" s="1019"/>
      <c r="AZ365" s="978"/>
      <c r="BA365" s="51"/>
      <c r="BB365" s="51"/>
      <c r="BC365" s="51"/>
      <c r="BD365" s="1019"/>
      <c r="BE365" s="978"/>
      <c r="BF365" s="51"/>
      <c r="BG365" s="51"/>
      <c r="BH365" s="51"/>
      <c r="BI365" s="1019"/>
      <c r="BJ365" s="978"/>
      <c r="BK365" s="51"/>
      <c r="BL365" s="51"/>
      <c r="BM365" s="51"/>
      <c r="BN365" s="1019"/>
      <c r="BO365" s="209"/>
      <c r="BP365" s="209"/>
      <c r="BQ365" s="209"/>
      <c r="BR365" s="209"/>
      <c r="BS365" s="1933"/>
      <c r="BT365" s="51"/>
      <c r="BU365" s="51"/>
      <c r="BV365" s="51"/>
      <c r="BW365" s="51"/>
      <c r="BX365" s="1019"/>
      <c r="BY365" s="209"/>
      <c r="BZ365" s="209"/>
      <c r="CA365" s="209"/>
      <c r="CB365" s="209"/>
      <c r="CC365" s="1933"/>
      <c r="CD365" s="51"/>
      <c r="CE365" s="51"/>
      <c r="CF365" s="51"/>
      <c r="CG365" s="51"/>
      <c r="CH365" s="1019"/>
      <c r="CI365" s="556"/>
      <c r="CJ365" s="209"/>
      <c r="CK365" s="209"/>
      <c r="CL365" s="209"/>
      <c r="CM365" s="1019"/>
      <c r="CN365" s="209"/>
      <c r="CO365" s="209"/>
      <c r="CP365" s="209"/>
      <c r="CQ365" s="209"/>
      <c r="CR365" s="1019"/>
      <c r="CS365" s="209"/>
      <c r="CT365" s="209"/>
      <c r="CU365" s="209"/>
      <c r="CV365" s="209"/>
      <c r="CW365" s="1019"/>
      <c r="CX365" s="209"/>
      <c r="CY365" s="209"/>
      <c r="CZ365" s="209"/>
      <c r="DA365" s="209"/>
      <c r="DB365" s="1019"/>
      <c r="DC365" s="209"/>
      <c r="DD365" s="209"/>
      <c r="DE365" s="209"/>
      <c r="DF365" s="209"/>
      <c r="DG365" s="1019"/>
      <c r="DH365" s="209"/>
      <c r="DI365" s="209"/>
      <c r="DJ365" s="209"/>
      <c r="DK365" s="209"/>
      <c r="DL365" s="1019"/>
      <c r="DM365" s="209"/>
      <c r="DN365" s="209"/>
      <c r="DO365" s="209"/>
      <c r="DP365" s="209"/>
      <c r="DQ365" s="1019"/>
      <c r="DR365" s="209"/>
      <c r="DS365" s="209"/>
      <c r="DT365" s="209"/>
      <c r="DU365" s="209"/>
      <c r="DV365" s="1019"/>
      <c r="DW365" s="209"/>
      <c r="DX365" s="209"/>
      <c r="DY365" s="209"/>
      <c r="DZ365" s="209"/>
      <c r="EA365" s="1019"/>
      <c r="EB365" s="209"/>
      <c r="EC365" s="209"/>
      <c r="ED365" s="209"/>
      <c r="EE365" s="209"/>
      <c r="EF365" s="1019"/>
      <c r="EG365" s="209"/>
      <c r="EH365" s="209"/>
      <c r="EI365" s="209"/>
      <c r="EJ365" s="209"/>
      <c r="EK365" s="1019"/>
      <c r="EL365" s="209"/>
      <c r="EM365" s="209"/>
      <c r="EN365" s="209"/>
      <c r="EO365" s="209"/>
      <c r="EP365" s="1019"/>
      <c r="EQ365" s="209"/>
      <c r="ER365" s="209"/>
      <c r="ES365" s="209"/>
      <c r="ET365" s="209"/>
      <c r="EU365" s="1019"/>
      <c r="EV365" s="1019"/>
      <c r="EW365" s="1019"/>
      <c r="EX365" s="1019"/>
      <c r="EY365" s="1019"/>
      <c r="EZ365" s="209"/>
      <c r="FA365" s="715"/>
      <c r="FB365" s="715"/>
    </row>
    <row r="366" spans="1:158" s="211" customFormat="1" ht="11.25" hidden="1" customHeight="1">
      <c r="A366" s="1538" t="s">
        <v>45</v>
      </c>
      <c r="B366" s="953"/>
      <c r="C366" s="223"/>
      <c r="D366" s="223"/>
      <c r="E366" s="223"/>
      <c r="F366" s="223"/>
      <c r="G366" s="223"/>
      <c r="H366" s="223"/>
      <c r="I366" s="223"/>
      <c r="J366" s="223"/>
      <c r="K366" s="1020"/>
      <c r="L366" s="223"/>
      <c r="M366" s="223"/>
      <c r="N366" s="223"/>
      <c r="O366" s="223"/>
      <c r="P366" s="1020"/>
      <c r="Q366" s="953"/>
      <c r="R366" s="223"/>
      <c r="S366" s="223"/>
      <c r="T366" s="223"/>
      <c r="U366" s="1020"/>
      <c r="V366" s="953" t="s">
        <v>116</v>
      </c>
      <c r="W366" s="223" t="s">
        <v>116</v>
      </c>
      <c r="X366" s="223" t="s">
        <v>116</v>
      </c>
      <c r="Y366" s="223" t="s">
        <v>116</v>
      </c>
      <c r="Z366" s="1020"/>
      <c r="AA366" s="953" t="s">
        <v>116</v>
      </c>
      <c r="AB366" s="223" t="s">
        <v>116</v>
      </c>
      <c r="AC366" s="223" t="s">
        <v>116</v>
      </c>
      <c r="AD366" s="223" t="s">
        <v>116</v>
      </c>
      <c r="AE366" s="1020"/>
      <c r="AF366" s="953" t="s">
        <v>116</v>
      </c>
      <c r="AG366" s="223" t="s">
        <v>116</v>
      </c>
      <c r="AH366" s="223" t="s">
        <v>116</v>
      </c>
      <c r="AI366" s="223" t="s">
        <v>116</v>
      </c>
      <c r="AJ366" s="1020" t="s">
        <v>116</v>
      </c>
      <c r="AK366" s="953" t="s">
        <v>116</v>
      </c>
      <c r="AL366" s="223" t="s">
        <v>116</v>
      </c>
      <c r="AM366" s="223" t="s">
        <v>116</v>
      </c>
      <c r="AN366" s="236">
        <v>0.61</v>
      </c>
      <c r="AO366" s="1020" t="s">
        <v>116</v>
      </c>
      <c r="AP366" s="1051">
        <v>0.52</v>
      </c>
      <c r="AQ366" s="237">
        <v>0.47</v>
      </c>
      <c r="AR366" s="237">
        <v>0.45</v>
      </c>
      <c r="AS366" s="237">
        <v>0.3</v>
      </c>
      <c r="AT366" s="1020">
        <f>AVERAGE(AP366:AS366)</f>
        <v>0.435</v>
      </c>
      <c r="AU366" s="1051">
        <v>0.2</v>
      </c>
      <c r="AV366" s="237">
        <v>0.19</v>
      </c>
      <c r="AW366" s="237">
        <v>0.18</v>
      </c>
      <c r="AX366" s="237">
        <v>0.18</v>
      </c>
      <c r="AY366" s="1020">
        <f>AVERAGE(AU366:AX366)</f>
        <v>0.1875</v>
      </c>
      <c r="AZ366" s="1051">
        <f t="shared" ref="AZ366:BC367" si="1221">AZ452</f>
        <v>0.17</v>
      </c>
      <c r="BA366" s="237">
        <f t="shared" si="1221"/>
        <v>0.15</v>
      </c>
      <c r="BB366" s="237">
        <f t="shared" si="1221"/>
        <v>0.14000000000000001</v>
      </c>
      <c r="BC366" s="237">
        <f t="shared" si="1221"/>
        <v>0.13</v>
      </c>
      <c r="BD366" s="1020">
        <f>AVERAGE(AZ366:BC366)</f>
        <v>0.14750000000000002</v>
      </c>
      <c r="BE366" s="1052">
        <f t="shared" ref="BE366:BH367" si="1222">BE452</f>
        <v>0.15</v>
      </c>
      <c r="BF366" s="238">
        <f t="shared" si="1222"/>
        <v>0.15</v>
      </c>
      <c r="BG366" s="238">
        <f t="shared" si="1222"/>
        <v>0.16</v>
      </c>
      <c r="BH366" s="238">
        <f t="shared" si="1222"/>
        <v>0.18</v>
      </c>
      <c r="BI366" s="1020">
        <f>AVERAGE(BE366:BH366)</f>
        <v>0.15999999999999998</v>
      </c>
      <c r="BJ366" s="1052">
        <f>BJ452</f>
        <v>0.18</v>
      </c>
      <c r="BK366" s="238">
        <f>BK452</f>
        <v>0.18</v>
      </c>
      <c r="BL366" s="238">
        <f>BL452</f>
        <v>0.28000000000000003</v>
      </c>
      <c r="BM366" s="238">
        <f>BM452</f>
        <v>0.34</v>
      </c>
      <c r="BN366" s="1020">
        <f>BN452</f>
        <v>0.245</v>
      </c>
      <c r="BO366" s="223"/>
      <c r="BP366" s="223"/>
      <c r="BQ366" s="223"/>
      <c r="BR366" s="223"/>
      <c r="BS366" s="1931"/>
      <c r="BT366" s="238">
        <f>BT452</f>
        <v>0.39</v>
      </c>
      <c r="BU366" s="238">
        <f>BU452</f>
        <v>0.42</v>
      </c>
      <c r="BV366" s="238">
        <f>BV452</f>
        <v>0.33</v>
      </c>
      <c r="BW366" s="238">
        <f>BW452</f>
        <v>0.24</v>
      </c>
      <c r="BX366" s="1020">
        <f>BX452</f>
        <v>0.34500000000000003</v>
      </c>
      <c r="BY366" s="223"/>
      <c r="BZ366" s="223"/>
      <c r="CA366" s="223"/>
      <c r="CB366" s="223"/>
      <c r="CC366" s="1931"/>
      <c r="CD366" s="1052">
        <f t="shared" ref="CD366:DB366" si="1223">CD452</f>
        <v>0.2</v>
      </c>
      <c r="CE366" s="238">
        <f t="shared" si="1223"/>
        <v>0.23</v>
      </c>
      <c r="CF366" s="238">
        <f t="shared" si="1223"/>
        <v>0.26</v>
      </c>
      <c r="CG366" s="238">
        <f t="shared" si="1223"/>
        <v>0.31</v>
      </c>
      <c r="CH366" s="1020">
        <f t="shared" si="1223"/>
        <v>0.25</v>
      </c>
      <c r="CI366" s="223">
        <f t="shared" si="1223"/>
        <v>0.26</v>
      </c>
      <c r="CJ366" s="223">
        <f t="shared" si="1223"/>
        <v>0.25</v>
      </c>
      <c r="CK366" s="223">
        <f t="shared" si="1223"/>
        <v>0.17</v>
      </c>
      <c r="CL366" s="223">
        <f t="shared" si="1223"/>
        <v>0.14000000000000001</v>
      </c>
      <c r="CM366" s="1020">
        <f t="shared" si="1223"/>
        <v>0.20500000000000002</v>
      </c>
      <c r="CN366" s="223">
        <f t="shared" si="1223"/>
        <v>0.13</v>
      </c>
      <c r="CO366" s="223">
        <f t="shared" si="1223"/>
        <v>0.18</v>
      </c>
      <c r="CP366" s="223">
        <f t="shared" si="1223"/>
        <v>0.23</v>
      </c>
      <c r="CQ366" s="223">
        <f t="shared" si="1223"/>
        <v>0.31</v>
      </c>
      <c r="CR366" s="1020">
        <f t="shared" si="1223"/>
        <v>0.21250000000000002</v>
      </c>
      <c r="CS366" s="223">
        <f t="shared" si="1223"/>
        <v>0.28999999999999998</v>
      </c>
      <c r="CT366" s="223">
        <f t="shared" si="1223"/>
        <v>0.28000000000000003</v>
      </c>
      <c r="CU366" s="223">
        <f t="shared" si="1223"/>
        <v>0.32</v>
      </c>
      <c r="CV366" s="223">
        <f t="shared" si="1223"/>
        <v>0.39</v>
      </c>
      <c r="CW366" s="1020">
        <f t="shared" si="1223"/>
        <v>0.33033363566506679</v>
      </c>
      <c r="CX366" s="223">
        <f t="shared" si="1223"/>
        <v>0.44</v>
      </c>
      <c r="CY366" s="223">
        <f t="shared" si="1223"/>
        <v>0.52</v>
      </c>
      <c r="CZ366" s="223">
        <f t="shared" si="1223"/>
        <v>0.47</v>
      </c>
      <c r="DA366" s="223">
        <f t="shared" si="1223"/>
        <v>0.43</v>
      </c>
      <c r="DB366" s="1020">
        <f t="shared" si="1223"/>
        <v>0.46182568807339464</v>
      </c>
      <c r="DC366" s="223"/>
      <c r="DD366" s="223"/>
      <c r="DE366" s="223"/>
      <c r="DF366" s="223"/>
      <c r="DG366" s="1020"/>
      <c r="DH366" s="223"/>
      <c r="DI366" s="223"/>
      <c r="DJ366" s="223"/>
      <c r="DK366" s="223"/>
      <c r="DL366" s="1020"/>
      <c r="DM366" s="223"/>
      <c r="DN366" s="223"/>
      <c r="DO366" s="223"/>
      <c r="DP366" s="223"/>
      <c r="DQ366" s="1020"/>
      <c r="DR366" s="223"/>
      <c r="DS366" s="223"/>
      <c r="DT366" s="223"/>
      <c r="DU366" s="223"/>
      <c r="DV366" s="1020"/>
      <c r="DW366" s="223"/>
      <c r="DX366" s="223"/>
      <c r="DY366" s="223"/>
      <c r="DZ366" s="223"/>
      <c r="EA366" s="1020"/>
      <c r="EB366" s="223"/>
      <c r="EC366" s="223"/>
      <c r="ED366" s="223"/>
      <c r="EE366" s="223"/>
      <c r="EF366" s="1020"/>
      <c r="EG366" s="223"/>
      <c r="EH366" s="223"/>
      <c r="EI366" s="223"/>
      <c r="EJ366" s="223"/>
      <c r="EK366" s="1020"/>
      <c r="EL366" s="223"/>
      <c r="EM366" s="223"/>
      <c r="EN366" s="223"/>
      <c r="EO366" s="223"/>
      <c r="EP366" s="1020"/>
      <c r="EQ366" s="223"/>
      <c r="ER366" s="223"/>
      <c r="ES366" s="223"/>
      <c r="ET366" s="223"/>
      <c r="EU366" s="1020"/>
      <c r="EV366" s="1020"/>
      <c r="EW366" s="1020"/>
      <c r="EX366" s="1020"/>
      <c r="EY366" s="1020"/>
      <c r="EZ366" s="209"/>
      <c r="FA366" s="715"/>
      <c r="FB366" s="715"/>
    </row>
    <row r="367" spans="1:158" s="211" customFormat="1" ht="11.25" hidden="1" customHeight="1">
      <c r="A367" s="1538" t="s">
        <v>46</v>
      </c>
      <c r="B367" s="953"/>
      <c r="C367" s="223"/>
      <c r="D367" s="223"/>
      <c r="E367" s="223"/>
      <c r="F367" s="223"/>
      <c r="G367" s="223"/>
      <c r="H367" s="223"/>
      <c r="I367" s="223"/>
      <c r="J367" s="223"/>
      <c r="K367" s="1020"/>
      <c r="L367" s="223"/>
      <c r="M367" s="223"/>
      <c r="N367" s="223"/>
      <c r="O367" s="223"/>
      <c r="P367" s="1020"/>
      <c r="Q367" s="953"/>
      <c r="R367" s="223"/>
      <c r="S367" s="223"/>
      <c r="T367" s="223"/>
      <c r="U367" s="1020"/>
      <c r="V367" s="953" t="s">
        <v>116</v>
      </c>
      <c r="W367" s="223" t="s">
        <v>116</v>
      </c>
      <c r="X367" s="223" t="s">
        <v>116</v>
      </c>
      <c r="Y367" s="223" t="s">
        <v>116</v>
      </c>
      <c r="Z367" s="1020"/>
      <c r="AA367" s="953" t="s">
        <v>116</v>
      </c>
      <c r="AB367" s="223" t="s">
        <v>116</v>
      </c>
      <c r="AC367" s="223" t="s">
        <v>116</v>
      </c>
      <c r="AD367" s="223" t="s">
        <v>116</v>
      </c>
      <c r="AE367" s="1020"/>
      <c r="AF367" s="953" t="s">
        <v>116</v>
      </c>
      <c r="AG367" s="223" t="s">
        <v>116</v>
      </c>
      <c r="AH367" s="223" t="s">
        <v>116</v>
      </c>
      <c r="AI367" s="223" t="s">
        <v>116</v>
      </c>
      <c r="AJ367" s="1020"/>
      <c r="AK367" s="953" t="s">
        <v>116</v>
      </c>
      <c r="AL367" s="223" t="s">
        <v>116</v>
      </c>
      <c r="AM367" s="223" t="s">
        <v>116</v>
      </c>
      <c r="AN367" s="236">
        <v>0.22</v>
      </c>
      <c r="AO367" s="1020"/>
      <c r="AP367" s="1051">
        <v>0.13</v>
      </c>
      <c r="AQ367" s="237">
        <v>0</v>
      </c>
      <c r="AR367" s="237">
        <v>0.05</v>
      </c>
      <c r="AS367" s="237">
        <v>0.09</v>
      </c>
      <c r="AT367" s="1020"/>
      <c r="AU367" s="1051">
        <v>0.04</v>
      </c>
      <c r="AV367" s="237">
        <v>-0.01</v>
      </c>
      <c r="AW367" s="237">
        <v>0.04</v>
      </c>
      <c r="AX367" s="237">
        <v>0.1</v>
      </c>
      <c r="AY367" s="1020"/>
      <c r="AZ367" s="1051">
        <f t="shared" si="1221"/>
        <v>0.03</v>
      </c>
      <c r="BA367" s="237">
        <f t="shared" si="1221"/>
        <v>-0.02</v>
      </c>
      <c r="BB367" s="237">
        <f t="shared" si="1221"/>
        <v>0.04</v>
      </c>
      <c r="BC367" s="237">
        <f t="shared" si="1221"/>
        <v>0.09</v>
      </c>
      <c r="BD367" s="1020"/>
      <c r="BE367" s="1052">
        <f t="shared" si="1222"/>
        <v>0.05</v>
      </c>
      <c r="BF367" s="238">
        <f t="shared" si="1222"/>
        <v>-0.03</v>
      </c>
      <c r="BG367" s="238">
        <f t="shared" si="1222"/>
        <v>0.04</v>
      </c>
      <c r="BH367" s="238">
        <f t="shared" si="1222"/>
        <v>0.11</v>
      </c>
      <c r="BI367" s="1020"/>
      <c r="BJ367" s="1052">
        <f>BJ453</f>
        <v>0.04</v>
      </c>
      <c r="BK367" s="238">
        <f>BK453</f>
        <v>-0.02</v>
      </c>
      <c r="BL367" s="238">
        <f>BL453</f>
        <v>0.13100000000000001</v>
      </c>
      <c r="BM367" s="238">
        <f>BM453</f>
        <v>0.17</v>
      </c>
      <c r="BN367" s="1020"/>
      <c r="BO367" s="223"/>
      <c r="BP367" s="223"/>
      <c r="BQ367" s="223"/>
      <c r="BR367" s="223"/>
      <c r="BS367" s="1931"/>
      <c r="BT367" s="238">
        <f>BT453</f>
        <v>7.0000000000000007E-2</v>
      </c>
      <c r="BU367" s="238">
        <f>BU453</f>
        <v>0.01</v>
      </c>
      <c r="BV367" s="238">
        <f>BV453</f>
        <v>0.06</v>
      </c>
      <c r="BW367" s="238">
        <f>BW453</f>
        <v>0.09</v>
      </c>
      <c r="BX367" s="1020"/>
      <c r="BY367" s="223"/>
      <c r="BZ367" s="223"/>
      <c r="CA367" s="223"/>
      <c r="CB367" s="223"/>
      <c r="CC367" s="1931"/>
      <c r="CD367" s="1052">
        <f>CD453</f>
        <v>0.03</v>
      </c>
      <c r="CE367" s="238">
        <f>CE453</f>
        <v>0.04</v>
      </c>
      <c r="CF367" s="238">
        <f>CF453</f>
        <v>0.08</v>
      </c>
      <c r="CG367" s="238">
        <f>CG453</f>
        <v>0.13</v>
      </c>
      <c r="CH367" s="1020"/>
      <c r="CI367" s="223">
        <f>CI453</f>
        <v>-0.01</v>
      </c>
      <c r="CJ367" s="223">
        <f>CJ453</f>
        <v>0.02</v>
      </c>
      <c r="CK367" s="223">
        <f>CK453</f>
        <v>0.02</v>
      </c>
      <c r="CL367" s="223">
        <f>CL453</f>
        <v>0.11</v>
      </c>
      <c r="CM367" s="1020"/>
      <c r="CN367" s="223">
        <f>CN453</f>
        <v>-0.01</v>
      </c>
      <c r="CO367" s="223">
        <f>CO453</f>
        <v>7.0000000000000007E-2</v>
      </c>
      <c r="CP367" s="223">
        <f>CP453</f>
        <v>0.06</v>
      </c>
      <c r="CQ367" s="223">
        <f>CQ453</f>
        <v>0.17</v>
      </c>
      <c r="CR367" s="1020"/>
      <c r="CS367" s="223">
        <f>CS453</f>
        <v>-0.02</v>
      </c>
      <c r="CT367" s="223">
        <f>CT453</f>
        <v>7.0000000000000007E-2</v>
      </c>
      <c r="CU367" s="223">
        <f>CU453</f>
        <v>0.09</v>
      </c>
      <c r="CV367" s="223">
        <f>CV453</f>
        <v>0.22</v>
      </c>
      <c r="CW367" s="1020"/>
      <c r="CX367" s="223">
        <f>CX453</f>
        <v>0.02</v>
      </c>
      <c r="CY367" s="223"/>
      <c r="CZ367" s="223"/>
      <c r="DA367" s="223"/>
      <c r="DB367" s="1020"/>
      <c r="DC367" s="223"/>
      <c r="DD367" s="223"/>
      <c r="DE367" s="223"/>
      <c r="DF367" s="223"/>
      <c r="DG367" s="1020"/>
      <c r="DH367" s="223"/>
      <c r="DI367" s="223"/>
      <c r="DJ367" s="223"/>
      <c r="DK367" s="223"/>
      <c r="DL367" s="1020"/>
      <c r="DM367" s="223"/>
      <c r="DN367" s="223"/>
      <c r="DO367" s="223"/>
      <c r="DP367" s="223"/>
      <c r="DQ367" s="1020"/>
      <c r="DR367" s="223"/>
      <c r="DS367" s="223"/>
      <c r="DT367" s="223"/>
      <c r="DU367" s="223"/>
      <c r="DV367" s="1020"/>
      <c r="DW367" s="223"/>
      <c r="DX367" s="223"/>
      <c r="DY367" s="223"/>
      <c r="DZ367" s="223"/>
      <c r="EA367" s="1020"/>
      <c r="EB367" s="223"/>
      <c r="EC367" s="223"/>
      <c r="ED367" s="223"/>
      <c r="EE367" s="223"/>
      <c r="EF367" s="1020"/>
      <c r="EG367" s="223"/>
      <c r="EH367" s="223"/>
      <c r="EI367" s="223"/>
      <c r="EJ367" s="223"/>
      <c r="EK367" s="1020"/>
      <c r="EL367" s="223"/>
      <c r="EM367" s="223"/>
      <c r="EN367" s="223"/>
      <c r="EO367" s="223"/>
      <c r="EP367" s="1020"/>
      <c r="EQ367" s="223"/>
      <c r="ER367" s="223"/>
      <c r="ES367" s="223"/>
      <c r="ET367" s="223"/>
      <c r="EU367" s="1020"/>
      <c r="EV367" s="1020"/>
      <c r="EW367" s="1020"/>
      <c r="EX367" s="1020"/>
      <c r="EY367" s="1020"/>
      <c r="EZ367" s="209"/>
      <c r="FA367" s="715"/>
      <c r="FB367" s="715"/>
    </row>
    <row r="368" spans="1:158" s="211" customFormat="1" ht="11.25" hidden="1" customHeight="1">
      <c r="A368" s="1545"/>
      <c r="B368" s="978"/>
      <c r="C368" s="209"/>
      <c r="D368" s="209"/>
      <c r="E368" s="209"/>
      <c r="F368" s="209"/>
      <c r="G368" s="209"/>
      <c r="H368" s="209"/>
      <c r="I368" s="209"/>
      <c r="J368" s="209"/>
      <c r="K368" s="1019"/>
      <c r="L368" s="209"/>
      <c r="M368" s="209"/>
      <c r="N368" s="209"/>
      <c r="O368" s="209"/>
      <c r="P368" s="1019"/>
      <c r="Q368" s="978"/>
      <c r="R368" s="209"/>
      <c r="S368" s="209"/>
      <c r="T368" s="209"/>
      <c r="U368" s="1019"/>
      <c r="V368" s="978"/>
      <c r="W368" s="209"/>
      <c r="X368" s="209"/>
      <c r="Y368" s="209"/>
      <c r="Z368" s="1019"/>
      <c r="AA368" s="978"/>
      <c r="AB368" s="209"/>
      <c r="AC368" s="209"/>
      <c r="AD368" s="209"/>
      <c r="AE368" s="1019"/>
      <c r="AF368" s="978"/>
      <c r="AG368" s="209"/>
      <c r="AH368" s="209"/>
      <c r="AI368" s="209"/>
      <c r="AJ368" s="1019"/>
      <c r="AK368" s="978"/>
      <c r="AL368" s="209"/>
      <c r="AM368" s="209"/>
      <c r="AN368" s="169"/>
      <c r="AO368" s="1019"/>
      <c r="AP368" s="978"/>
      <c r="AQ368" s="209"/>
      <c r="AR368" s="209"/>
      <c r="AS368" s="209"/>
      <c r="AT368" s="1019"/>
      <c r="AU368" s="978"/>
      <c r="AV368" s="209"/>
      <c r="AW368" s="209"/>
      <c r="AX368" s="209"/>
      <c r="AY368" s="1019"/>
      <c r="AZ368" s="978"/>
      <c r="BA368" s="209"/>
      <c r="BB368" s="209"/>
      <c r="BC368" s="209"/>
      <c r="BD368" s="1019"/>
      <c r="BE368" s="978"/>
      <c r="BF368" s="209"/>
      <c r="BG368" s="209"/>
      <c r="BH368" s="209"/>
      <c r="BI368" s="1019"/>
      <c r="BJ368" s="978"/>
      <c r="BK368" s="209"/>
      <c r="BL368" s="209"/>
      <c r="BM368" s="209"/>
      <c r="BN368" s="1019"/>
      <c r="BO368" s="209"/>
      <c r="BP368" s="209"/>
      <c r="BQ368" s="209"/>
      <c r="BR368" s="209"/>
      <c r="BS368" s="1933"/>
      <c r="BT368" s="209"/>
      <c r="BU368" s="209"/>
      <c r="BV368" s="209"/>
      <c r="BW368" s="209"/>
      <c r="BX368" s="1019"/>
      <c r="BY368" s="209"/>
      <c r="BZ368" s="209"/>
      <c r="CA368" s="209"/>
      <c r="CB368" s="209"/>
      <c r="CC368" s="1933"/>
      <c r="CD368" s="209"/>
      <c r="CE368" s="209"/>
      <c r="CF368" s="209"/>
      <c r="CG368" s="209"/>
      <c r="CH368" s="1019"/>
      <c r="CI368" s="556"/>
      <c r="CJ368" s="209"/>
      <c r="CK368" s="209"/>
      <c r="CL368" s="209"/>
      <c r="CM368" s="1019"/>
      <c r="CN368" s="209"/>
      <c r="CO368" s="209"/>
      <c r="CP368" s="209"/>
      <c r="CQ368" s="209"/>
      <c r="CR368" s="1019"/>
      <c r="CS368" s="209"/>
      <c r="CT368" s="209"/>
      <c r="CU368" s="209"/>
      <c r="CV368" s="209"/>
      <c r="CW368" s="1019"/>
      <c r="CX368" s="209"/>
      <c r="CY368" s="209"/>
      <c r="CZ368" s="209"/>
      <c r="DA368" s="209"/>
      <c r="DB368" s="1019"/>
      <c r="DC368" s="209"/>
      <c r="DD368" s="209"/>
      <c r="DE368" s="209"/>
      <c r="DF368" s="209"/>
      <c r="DG368" s="1019"/>
      <c r="DH368" s="209"/>
      <c r="DI368" s="209"/>
      <c r="DJ368" s="209"/>
      <c r="DK368" s="209"/>
      <c r="DL368" s="1019"/>
      <c r="DM368" s="209"/>
      <c r="DN368" s="209"/>
      <c r="DO368" s="209"/>
      <c r="DP368" s="209"/>
      <c r="DQ368" s="1019"/>
      <c r="DR368" s="209"/>
      <c r="DS368" s="209"/>
      <c r="DT368" s="209"/>
      <c r="DU368" s="209"/>
      <c r="DV368" s="1019"/>
      <c r="DW368" s="209"/>
      <c r="DX368" s="209"/>
      <c r="DY368" s="209"/>
      <c r="DZ368" s="209"/>
      <c r="EA368" s="1019"/>
      <c r="EB368" s="209"/>
      <c r="EC368" s="209"/>
      <c r="ED368" s="209"/>
      <c r="EE368" s="209"/>
      <c r="EF368" s="1019"/>
      <c r="EG368" s="209"/>
      <c r="EH368" s="209"/>
      <c r="EI368" s="209"/>
      <c r="EJ368" s="209"/>
      <c r="EK368" s="1019"/>
      <c r="EL368" s="209"/>
      <c r="EM368" s="209"/>
      <c r="EN368" s="209"/>
      <c r="EO368" s="209"/>
      <c r="EP368" s="1019"/>
      <c r="EQ368" s="209"/>
      <c r="ER368" s="209"/>
      <c r="ES368" s="209"/>
      <c r="ET368" s="209"/>
      <c r="EU368" s="1019"/>
      <c r="EV368" s="1019"/>
      <c r="EW368" s="1019"/>
      <c r="EX368" s="1019"/>
      <c r="EY368" s="1019"/>
      <c r="EZ368" s="209"/>
      <c r="FA368" s="715"/>
      <c r="FB368" s="715"/>
    </row>
    <row r="369" spans="1:158" s="211" customFormat="1" ht="11.25" hidden="1" customHeight="1">
      <c r="A369" s="1545" t="s">
        <v>6</v>
      </c>
      <c r="B369" s="1053"/>
      <c r="C369" s="174"/>
      <c r="D369" s="174"/>
      <c r="E369" s="174"/>
      <c r="F369" s="174"/>
      <c r="G369" s="174"/>
      <c r="H369" s="174"/>
      <c r="I369" s="174"/>
      <c r="J369" s="174"/>
      <c r="K369" s="1718"/>
      <c r="L369" s="174"/>
      <c r="M369" s="174"/>
      <c r="N369" s="174"/>
      <c r="O369" s="174"/>
      <c r="P369" s="1020"/>
      <c r="Q369" s="1053"/>
      <c r="R369" s="174"/>
      <c r="S369" s="174"/>
      <c r="T369" s="174"/>
      <c r="U369" s="1020"/>
      <c r="V369" s="1053"/>
      <c r="W369" s="174"/>
      <c r="X369" s="226"/>
      <c r="Y369" s="174"/>
      <c r="Z369" s="1020"/>
      <c r="AA369" s="1053"/>
      <c r="AB369" s="174"/>
      <c r="AC369" s="226"/>
      <c r="AD369" s="174"/>
      <c r="AE369" s="1020"/>
      <c r="AF369" s="1053"/>
      <c r="AG369" s="174"/>
      <c r="AH369" s="226"/>
      <c r="AI369" s="174"/>
      <c r="AJ369" s="1020"/>
      <c r="AK369" s="1053"/>
      <c r="AL369" s="174"/>
      <c r="AM369" s="174"/>
      <c r="AN369" s="174"/>
      <c r="AO369" s="1020"/>
      <c r="AP369" s="1053"/>
      <c r="AQ369" s="174"/>
      <c r="AR369" s="174"/>
      <c r="AS369" s="174"/>
      <c r="AT369" s="1020"/>
      <c r="AU369" s="1053"/>
      <c r="AV369" s="174"/>
      <c r="AW369" s="174"/>
      <c r="AX369" s="174"/>
      <c r="AY369" s="1020"/>
      <c r="AZ369" s="1053"/>
      <c r="BA369" s="174"/>
      <c r="BB369" s="174"/>
      <c r="BC369" s="174"/>
      <c r="BD369" s="1020"/>
      <c r="BE369" s="1053"/>
      <c r="BF369" s="174"/>
      <c r="BG369" s="174"/>
      <c r="BH369" s="174"/>
      <c r="BI369" s="1020"/>
      <c r="BJ369" s="1053"/>
      <c r="BK369" s="174"/>
      <c r="BL369" s="174"/>
      <c r="BM369" s="174"/>
      <c r="BN369" s="1020"/>
      <c r="BO369" s="223"/>
      <c r="BP369" s="223"/>
      <c r="BQ369" s="223"/>
      <c r="BR369" s="223"/>
      <c r="BS369" s="1931"/>
      <c r="BT369" s="174"/>
      <c r="BU369" s="174"/>
      <c r="BV369" s="174"/>
      <c r="BW369" s="174"/>
      <c r="BX369" s="1020"/>
      <c r="BY369" s="223"/>
      <c r="BZ369" s="223"/>
      <c r="CA369" s="223"/>
      <c r="CB369" s="223"/>
      <c r="CC369" s="1931"/>
      <c r="CD369" s="174"/>
      <c r="CE369" s="174"/>
      <c r="CF369" s="174"/>
      <c r="CG369" s="174"/>
      <c r="CH369" s="1020"/>
      <c r="CI369" s="560"/>
      <c r="CJ369" s="223"/>
      <c r="CK369" s="223"/>
      <c r="CL369" s="223"/>
      <c r="CM369" s="1020"/>
      <c r="CN369" s="223"/>
      <c r="CO369" s="223"/>
      <c r="CP369" s="223"/>
      <c r="CQ369" s="223"/>
      <c r="CR369" s="1020"/>
      <c r="CS369" s="223"/>
      <c r="CT369" s="223"/>
      <c r="CU369" s="223"/>
      <c r="CV369" s="223"/>
      <c r="CW369" s="1020"/>
      <c r="CX369" s="223"/>
      <c r="CY369" s="223"/>
      <c r="CZ369" s="223"/>
      <c r="DA369" s="223"/>
      <c r="DB369" s="1020"/>
      <c r="DC369" s="223"/>
      <c r="DD369" s="223"/>
      <c r="DE369" s="223"/>
      <c r="DF369" s="223"/>
      <c r="DG369" s="1020"/>
      <c r="DH369" s="223"/>
      <c r="DI369" s="223"/>
      <c r="DJ369" s="223"/>
      <c r="DK369" s="223"/>
      <c r="DL369" s="1020"/>
      <c r="DM369" s="223"/>
      <c r="DN369" s="223"/>
      <c r="DO369" s="223"/>
      <c r="DP369" s="223"/>
      <c r="DQ369" s="1020"/>
      <c r="DR369" s="223"/>
      <c r="DS369" s="223"/>
      <c r="DT369" s="223"/>
      <c r="DU369" s="223"/>
      <c r="DV369" s="1020"/>
      <c r="DW369" s="223"/>
      <c r="DX369" s="223"/>
      <c r="DY369" s="223"/>
      <c r="DZ369" s="223"/>
      <c r="EA369" s="1020"/>
      <c r="EB369" s="223"/>
      <c r="EC369" s="223"/>
      <c r="ED369" s="223"/>
      <c r="EE369" s="223"/>
      <c r="EF369" s="1020"/>
      <c r="EG369" s="223"/>
      <c r="EH369" s="223"/>
      <c r="EI369" s="223"/>
      <c r="EJ369" s="223"/>
      <c r="EK369" s="1020"/>
      <c r="EL369" s="223"/>
      <c r="EM369" s="223"/>
      <c r="EN369" s="223"/>
      <c r="EO369" s="223"/>
      <c r="EP369" s="1020"/>
      <c r="EQ369" s="223"/>
      <c r="ER369" s="223"/>
      <c r="ES369" s="223"/>
      <c r="ET369" s="223"/>
      <c r="EU369" s="1020"/>
      <c r="EV369" s="1020"/>
      <c r="EW369" s="1020"/>
      <c r="EX369" s="1020"/>
      <c r="EY369" s="1020"/>
      <c r="EZ369" s="209"/>
      <c r="FA369" s="715"/>
      <c r="FB369" s="715"/>
    </row>
    <row r="370" spans="1:158" s="211" customFormat="1" ht="11.25" hidden="1" customHeight="1">
      <c r="A370" s="1549" t="s">
        <v>34</v>
      </c>
      <c r="B370" s="953"/>
      <c r="C370" s="223"/>
      <c r="D370" s="223"/>
      <c r="E370" s="223"/>
      <c r="F370" s="223"/>
      <c r="G370" s="223"/>
      <c r="H370" s="223"/>
      <c r="I370" s="223"/>
      <c r="J370" s="223"/>
      <c r="K370" s="1020"/>
      <c r="L370" s="223"/>
      <c r="M370" s="223"/>
      <c r="N370" s="223"/>
      <c r="O370" s="223"/>
      <c r="P370" s="992"/>
      <c r="Q370" s="953"/>
      <c r="R370" s="223"/>
      <c r="S370" s="223"/>
      <c r="T370" s="223"/>
      <c r="U370" s="992"/>
      <c r="V370" s="953" t="s">
        <v>116</v>
      </c>
      <c r="W370" s="223" t="s">
        <v>116</v>
      </c>
      <c r="X370" s="223" t="s">
        <v>116</v>
      </c>
      <c r="Y370" s="223" t="s">
        <v>116</v>
      </c>
      <c r="Z370" s="992"/>
      <c r="AA370" s="953" t="s">
        <v>116</v>
      </c>
      <c r="AB370" s="223" t="s">
        <v>116</v>
      </c>
      <c r="AC370" s="223" t="s">
        <v>116</v>
      </c>
      <c r="AD370" s="223" t="s">
        <v>116</v>
      </c>
      <c r="AE370" s="992"/>
      <c r="AF370" s="953" t="s">
        <v>116</v>
      </c>
      <c r="AG370" s="223" t="s">
        <v>116</v>
      </c>
      <c r="AH370" s="223" t="s">
        <v>116</v>
      </c>
      <c r="AI370" s="223" t="s">
        <v>116</v>
      </c>
      <c r="AJ370" s="992" t="s">
        <v>116</v>
      </c>
      <c r="AK370" s="953" t="s">
        <v>116</v>
      </c>
      <c r="AL370" s="223" t="s">
        <v>116</v>
      </c>
      <c r="AM370" s="223" t="s">
        <v>116</v>
      </c>
      <c r="AN370" s="169">
        <f>((1+AN376)/(1+AN366))-1</f>
        <v>2.9737959383059565E-2</v>
      </c>
      <c r="AO370" s="992" t="s">
        <v>116</v>
      </c>
      <c r="AP370" s="962">
        <f>((1+AP376)/(1+AP366))-1</f>
        <v>5.9759975843031166E-2</v>
      </c>
      <c r="AQ370" s="169">
        <f>((1+AQ376)/(1+AQ366))-1</f>
        <v>6.3130451522197317E-2</v>
      </c>
      <c r="AR370" s="169">
        <f>((1+AR376)/(1+AR366))-1</f>
        <v>7.4204425208381997E-2</v>
      </c>
      <c r="AS370" s="169">
        <f>((1+AS376)/(1+AS366))-1</f>
        <v>0.13744644577434406</v>
      </c>
      <c r="AT370" s="992">
        <f>AVERAGE(AP370:AS370)</f>
        <v>8.3635324586988635E-2</v>
      </c>
      <c r="AU370" s="962">
        <f t="shared" ref="AU370:BD370" si="1224">((1+AU376)/(1+AU366))-1</f>
        <v>0.15344333471240046</v>
      </c>
      <c r="AV370" s="169">
        <f t="shared" si="1224"/>
        <v>0.11810602027798134</v>
      </c>
      <c r="AW370" s="169">
        <f t="shared" si="1224"/>
        <v>7.0210745138014063E-2</v>
      </c>
      <c r="AX370" s="169">
        <f t="shared" si="1224"/>
        <v>-1.2185738764401988E-2</v>
      </c>
      <c r="AY370" s="992">
        <f t="shared" si="1224"/>
        <v>7.5624208286900307E-2</v>
      </c>
      <c r="AZ370" s="962">
        <f t="shared" si="1224"/>
        <v>-9.0506124927925757E-2</v>
      </c>
      <c r="BA370" s="169">
        <f t="shared" si="1224"/>
        <v>-8.6096197037037969E-2</v>
      </c>
      <c r="BB370" s="169">
        <f t="shared" si="1224"/>
        <v>-4.3674741575294496E-2</v>
      </c>
      <c r="BC370" s="184">
        <f t="shared" si="1224"/>
        <v>2.9347924865415376E-2</v>
      </c>
      <c r="BD370" s="992">
        <f t="shared" si="1224"/>
        <v>-4.7227032565414384E-2</v>
      </c>
      <c r="BE370" s="962">
        <f t="shared" ref="BE370:BV370" si="1225">((1+BE376)/(1+BE366))-1</f>
        <v>4.384231231878255E-2</v>
      </c>
      <c r="BF370" s="169">
        <f t="shared" si="1225"/>
        <v>6.4253731338034026E-2</v>
      </c>
      <c r="BG370" s="169">
        <f t="shared" si="1225"/>
        <v>5.6676054421497479E-2</v>
      </c>
      <c r="BH370" s="184">
        <f t="shared" si="1225"/>
        <v>7.4677203395285607E-2</v>
      </c>
      <c r="BI370" s="992">
        <f t="shared" si="1225"/>
        <v>6.1537249537216399E-2</v>
      </c>
      <c r="BJ370" s="962">
        <f>((1+BJ376)/(1+BJ366))-1</f>
        <v>8.5731014123562543E-2</v>
      </c>
      <c r="BK370" s="169">
        <f t="shared" si="1225"/>
        <v>0.11067557823836793</v>
      </c>
      <c r="BL370" s="169">
        <f t="shared" si="1225"/>
        <v>2.2755789451045727E-2</v>
      </c>
      <c r="BM370" s="169">
        <f t="shared" si="1225"/>
        <v>-7.1930810559641567E-2</v>
      </c>
      <c r="BN370" s="992">
        <f t="shared" si="1225"/>
        <v>3.1410967810444834E-2</v>
      </c>
      <c r="BO370" s="169"/>
      <c r="BP370" s="169"/>
      <c r="BQ370" s="169"/>
      <c r="BR370" s="169"/>
      <c r="BS370" s="1927"/>
      <c r="BT370" s="169">
        <f t="shared" si="1225"/>
        <v>-0.11365022701604766</v>
      </c>
      <c r="BU370" s="169">
        <f t="shared" si="1225"/>
        <v>-0.14369983068257919</v>
      </c>
      <c r="BV370" s="169">
        <f t="shared" si="1225"/>
        <v>-0.11445316437078479</v>
      </c>
      <c r="BW370" s="169">
        <f>((1+BW376)/(1+BW366))-1</f>
        <v>-3.9492228065151846E-2</v>
      </c>
      <c r="BX370" s="992">
        <f>((1+BX376)/(1+BX366))-1</f>
        <v>-0.10564356526899554</v>
      </c>
      <c r="BY370" s="169"/>
      <c r="BZ370" s="169"/>
      <c r="CA370" s="169"/>
      <c r="CB370" s="169"/>
      <c r="CC370" s="1927"/>
      <c r="CD370" s="169">
        <f t="shared" ref="CD370:DB370" si="1226">((1+CD376)/(1+CD366))-1</f>
        <v>-1.9478402607986944E-2</v>
      </c>
      <c r="CE370" s="169">
        <f t="shared" si="1226"/>
        <v>-5.8996195662669226E-2</v>
      </c>
      <c r="CF370" s="169">
        <f t="shared" si="1226"/>
        <v>-7.5316437194890229E-2</v>
      </c>
      <c r="CG370" s="169">
        <f t="shared" si="1226"/>
        <v>-0.10199777996353887</v>
      </c>
      <c r="CH370" s="992">
        <f t="shared" si="1226"/>
        <v>-6.4743853866227163E-2</v>
      </c>
      <c r="CI370" s="550">
        <f t="shared" si="1226"/>
        <v>-7.6657787488142337E-2</v>
      </c>
      <c r="CJ370" s="169">
        <f t="shared" si="1226"/>
        <v>-4.7906747660482751E-2</v>
      </c>
      <c r="CK370" s="169">
        <f t="shared" si="1226"/>
        <v>1.0801127532338306E-3</v>
      </c>
      <c r="CL370" s="169">
        <f t="shared" si="1226"/>
        <v>7.0491588678862627E-3</v>
      </c>
      <c r="CM370" s="992">
        <f t="shared" si="1226"/>
        <v>-3.1161929720567083E-2</v>
      </c>
      <c r="CN370" s="169">
        <f t="shared" si="1226"/>
        <v>-1.9511766427824817E-2</v>
      </c>
      <c r="CO370" s="169">
        <f t="shared" si="1226"/>
        <v>-6.3400913276173587E-2</v>
      </c>
      <c r="CP370" s="169">
        <f t="shared" si="1226"/>
        <v>-7.9413668630613388E-2</v>
      </c>
      <c r="CQ370" s="169">
        <f t="shared" si="1226"/>
        <v>-0.10703545412803028</v>
      </c>
      <c r="CR370" s="992">
        <f t="shared" si="1226"/>
        <v>-6.7835411188464922E-2</v>
      </c>
      <c r="CS370" s="169">
        <f t="shared" si="1226"/>
        <v>-9.9239602265797311E-2</v>
      </c>
      <c r="CT370" s="169">
        <f t="shared" si="1226"/>
        <v>-6.6624929788429044E-2</v>
      </c>
      <c r="CU370" s="169">
        <f t="shared" si="1226"/>
        <v>-0.10518389303920561</v>
      </c>
      <c r="CV370" s="169">
        <f t="shared" si="1226"/>
        <v>-0.15534183409117142</v>
      </c>
      <c r="CW370" s="992">
        <f t="shared" si="1226"/>
        <v>-0.11453483694062372</v>
      </c>
      <c r="CX370" s="169">
        <f t="shared" si="1226"/>
        <v>-0.17487513873473914</v>
      </c>
      <c r="CY370" s="169">
        <f t="shared" si="1226"/>
        <v>-0.22082278254797005</v>
      </c>
      <c r="CZ370" s="169">
        <f t="shared" si="1226"/>
        <v>-0.17407051615358826</v>
      </c>
      <c r="DA370" s="169">
        <f t="shared" si="1226"/>
        <v>-0.14996829591231131</v>
      </c>
      <c r="DB370" s="992">
        <f t="shared" si="1226"/>
        <v>-0.17811424333681269</v>
      </c>
      <c r="DC370" s="2612"/>
      <c r="DD370" s="2612"/>
      <c r="DE370" s="2612"/>
      <c r="DF370" s="2612"/>
      <c r="DG370" s="992"/>
      <c r="DH370" s="2612"/>
      <c r="DI370" s="2612"/>
      <c r="DJ370" s="2612"/>
      <c r="DK370" s="2612"/>
      <c r="DL370" s="992"/>
      <c r="DM370" s="2612"/>
      <c r="DN370" s="2612"/>
      <c r="DO370" s="2612"/>
      <c r="DP370" s="2612"/>
      <c r="DQ370" s="992"/>
      <c r="DR370" s="2612"/>
      <c r="DS370" s="2612"/>
      <c r="DT370" s="2612"/>
      <c r="DU370" s="2612"/>
      <c r="DV370" s="2588"/>
      <c r="DW370" s="2612"/>
      <c r="DX370" s="2612"/>
      <c r="DY370" s="2612"/>
      <c r="DZ370" s="2612"/>
      <c r="EA370" s="2588"/>
      <c r="EB370" s="2612"/>
      <c r="EC370" s="2612"/>
      <c r="ED370" s="2612"/>
      <c r="EE370" s="2612"/>
      <c r="EF370" s="2588"/>
      <c r="EG370" s="2612"/>
      <c r="EH370" s="2612"/>
      <c r="EI370" s="2612"/>
      <c r="EJ370" s="2612"/>
      <c r="EK370" s="2588"/>
      <c r="EL370" s="2612"/>
      <c r="EM370" s="2612"/>
      <c r="EN370" s="2612"/>
      <c r="EO370" s="2612"/>
      <c r="EP370" s="2588"/>
      <c r="EQ370" s="2612"/>
      <c r="ER370" s="2612"/>
      <c r="ES370" s="2612"/>
      <c r="ET370" s="2612"/>
      <c r="EU370" s="2588"/>
      <c r="EV370" s="2588"/>
      <c r="EW370" s="2588"/>
      <c r="EX370" s="2588"/>
      <c r="EY370" s="2588"/>
      <c r="EZ370" s="209"/>
      <c r="FA370" s="715"/>
      <c r="FB370" s="715"/>
    </row>
    <row r="371" spans="1:158" s="211" customFormat="1" ht="11.25" hidden="1" customHeight="1">
      <c r="A371" s="1549" t="s">
        <v>35</v>
      </c>
      <c r="B371" s="953"/>
      <c r="C371" s="223"/>
      <c r="D371" s="223"/>
      <c r="E371" s="223"/>
      <c r="F371" s="223"/>
      <c r="G371" s="223"/>
      <c r="H371" s="223"/>
      <c r="I371" s="223"/>
      <c r="J371" s="223"/>
      <c r="K371" s="1020"/>
      <c r="L371" s="223"/>
      <c r="M371" s="223"/>
      <c r="N371" s="223"/>
      <c r="O371" s="223"/>
      <c r="P371" s="992"/>
      <c r="Q371" s="953"/>
      <c r="R371" s="223"/>
      <c r="S371" s="223"/>
      <c r="T371" s="223"/>
      <c r="U371" s="992"/>
      <c r="V371" s="953" t="s">
        <v>116</v>
      </c>
      <c r="W371" s="223" t="s">
        <v>116</v>
      </c>
      <c r="X371" s="223" t="s">
        <v>116</v>
      </c>
      <c r="Y371" s="223" t="s">
        <v>116</v>
      </c>
      <c r="Z371" s="992"/>
      <c r="AA371" s="953" t="s">
        <v>116</v>
      </c>
      <c r="AB371" s="223" t="s">
        <v>116</v>
      </c>
      <c r="AC371" s="223" t="s">
        <v>116</v>
      </c>
      <c r="AD371" s="223" t="s">
        <v>116</v>
      </c>
      <c r="AE371" s="992"/>
      <c r="AF371" s="953" t="s">
        <v>116</v>
      </c>
      <c r="AG371" s="223" t="s">
        <v>116</v>
      </c>
      <c r="AH371" s="223" t="s">
        <v>116</v>
      </c>
      <c r="AI371" s="223" t="s">
        <v>116</v>
      </c>
      <c r="AJ371" s="992"/>
      <c r="AK371" s="953" t="s">
        <v>116</v>
      </c>
      <c r="AL371" s="223" t="s">
        <v>116</v>
      </c>
      <c r="AM371" s="223" t="s">
        <v>116</v>
      </c>
      <c r="AN371" s="169">
        <f>((1+AN381)/(1+AN367))-1</f>
        <v>-2.483217353069489E-2</v>
      </c>
      <c r="AO371" s="992"/>
      <c r="AP371" s="962">
        <f>((1+AP381)/(1+AP367))-1</f>
        <v>8.7609437313123095E-3</v>
      </c>
      <c r="AQ371" s="169">
        <f>((1+AQ381)/(1+AQ367))-1</f>
        <v>5.4768340644739677E-2</v>
      </c>
      <c r="AR371" s="169">
        <f>((1+AR381)/(1+AR367))-1</f>
        <v>3.7441545445556335E-2</v>
      </c>
      <c r="AS371" s="169">
        <f>((1+AS381)/(1+AS367))-1</f>
        <v>3.4845405148581143E-2</v>
      </c>
      <c r="AT371" s="992">
        <f>AVERAGE(AP371:AS371)</f>
        <v>3.3954058742547366E-2</v>
      </c>
      <c r="AU371" s="962">
        <f>((1+AU381)/(1+AU367))-1</f>
        <v>2.6879548775498474E-2</v>
      </c>
      <c r="AV371" s="169">
        <f>((1+AV381)/(1+AV367))-1</f>
        <v>2.4077729166681161E-2</v>
      </c>
      <c r="AW371" s="169">
        <f>((1+AW381)/(1+AW367))-1</f>
        <v>-5.2636825969879508E-3</v>
      </c>
      <c r="AX371" s="169">
        <f>((1+AX381)/(1+AX367))-1</f>
        <v>-4.8560150766288279E-2</v>
      </c>
      <c r="AY371" s="992"/>
      <c r="AZ371" s="962">
        <f>((1+AZ381)/(1+AZ367))-1</f>
        <v>-3.9044244505774373E-2</v>
      </c>
      <c r="BA371" s="169">
        <f>((1+BA381)/(1+BA367))-1</f>
        <v>4.1706397064265932E-2</v>
      </c>
      <c r="BB371" s="169">
        <f>((1+BB381)/(1+BB367))-1</f>
        <v>5.0530569571447526E-2</v>
      </c>
      <c r="BC371" s="169">
        <f>((1+BC381)/(1+BC367))-1</f>
        <v>3.1486859518489618E-2</v>
      </c>
      <c r="BD371" s="992"/>
      <c r="BE371" s="962">
        <f>((1+BE381)/(1+BE367))-1</f>
        <v>-4.0471209874362146E-2</v>
      </c>
      <c r="BF371" s="169">
        <f>((1+BF381)/(1+BF367))-1</f>
        <v>5.1074666739430397E-2</v>
      </c>
      <c r="BG371" s="169">
        <f>((1+BG381)/(1+BG367))-1</f>
        <v>3.8577589616246577E-2</v>
      </c>
      <c r="BH371" s="169">
        <f>((1+BH381)/(1+BH367))-1</f>
        <v>5.1054177101551357E-2</v>
      </c>
      <c r="BI371" s="992"/>
      <c r="BJ371" s="962">
        <f>((1+BJ381)/(1+BJ367))-1</f>
        <v>-2.0196802230249444E-2</v>
      </c>
      <c r="BK371" s="169">
        <f>((1+BK381)/(1+BK367))-1</f>
        <v>6.6794150158492993E-2</v>
      </c>
      <c r="BL371" s="169">
        <f>((1+BL381)/(1+BL367))-1</f>
        <v>-5.4062109182276274E-2</v>
      </c>
      <c r="BM371" s="169">
        <f>((1+BM381)/(1+BM367))-1</f>
        <v>-6.304940741256515E-2</v>
      </c>
      <c r="BN371" s="992"/>
      <c r="BO371" s="169"/>
      <c r="BP371" s="169"/>
      <c r="BQ371" s="169"/>
      <c r="BR371" s="169"/>
      <c r="BS371" s="1927"/>
      <c r="BT371" s="169">
        <f>((1+BT381)/(1+BT367))-1</f>
        <v>-5.7363666119532586E-2</v>
      </c>
      <c r="BU371" s="169">
        <f>((1+BU381)/(1+BU367))-1</f>
        <v>2.2505904920822051E-2</v>
      </c>
      <c r="BV371" s="169">
        <f>((1+BV381)/(1+BV367))-1</f>
        <v>-1.7209962820007196E-2</v>
      </c>
      <c r="BW371" s="169">
        <f>((1+BW381)/(1+BW367))-1</f>
        <v>2.2236167064871859E-2</v>
      </c>
      <c r="BX371" s="992"/>
      <c r="BY371" s="169"/>
      <c r="BZ371" s="169"/>
      <c r="CA371" s="169"/>
      <c r="CB371" s="169"/>
      <c r="CC371" s="1927"/>
      <c r="CD371" s="223">
        <f>(1+CD370)/((1+BU371)*(1+BV371)*(1+BW371))-1</f>
        <v>-4.5492485679258121E-2</v>
      </c>
      <c r="CE371" s="223">
        <f>(1+CE370)/((1+BV371)*(1+BW371)*(1+CD371))-1</f>
        <v>-1.8703974448817995E-2</v>
      </c>
      <c r="CF371" s="223">
        <f>(1+CF370)/((1+BW371)*(1+CD371)*(1+CE371))-1</f>
        <v>-3.425492130828145E-2</v>
      </c>
      <c r="CG371" s="169">
        <f>((1+CG381)/(1+CG367))-1</f>
        <v>-4.6962698179713325E-3</v>
      </c>
      <c r="CH371" s="992"/>
      <c r="CI371" s="169"/>
      <c r="CJ371" s="169"/>
      <c r="CK371" s="169"/>
      <c r="CL371" s="169"/>
      <c r="CM371" s="992"/>
      <c r="CN371" s="169"/>
      <c r="CO371" s="169"/>
      <c r="CP371" s="169"/>
      <c r="CQ371" s="169"/>
      <c r="CR371" s="992"/>
      <c r="CS371" s="169"/>
      <c r="CT371" s="169"/>
      <c r="CU371" s="169"/>
      <c r="CV371" s="169"/>
      <c r="CW371" s="992"/>
      <c r="CX371" s="169"/>
      <c r="CY371" s="169"/>
      <c r="CZ371" s="169"/>
      <c r="DA371" s="169"/>
      <c r="DB371" s="992"/>
      <c r="DC371" s="2612"/>
      <c r="DD371" s="2612"/>
      <c r="DE371" s="2612"/>
      <c r="DF371" s="2612"/>
      <c r="DG371" s="992"/>
      <c r="DH371" s="2612"/>
      <c r="DI371" s="2612"/>
      <c r="DJ371" s="2612"/>
      <c r="DK371" s="2612"/>
      <c r="DL371" s="992"/>
      <c r="DM371" s="2612"/>
      <c r="DN371" s="2612"/>
      <c r="DO371" s="2612"/>
      <c r="DP371" s="2612"/>
      <c r="DQ371" s="992"/>
      <c r="DR371" s="2612"/>
      <c r="DS371" s="2612"/>
      <c r="DT371" s="2612"/>
      <c r="DU371" s="2612"/>
      <c r="DV371" s="2588"/>
      <c r="DW371" s="2612"/>
      <c r="DX371" s="2612"/>
      <c r="DY371" s="2612"/>
      <c r="DZ371" s="2612"/>
      <c r="EA371" s="2588"/>
      <c r="EB371" s="2612"/>
      <c r="EC371" s="2612"/>
      <c r="ED371" s="2612"/>
      <c r="EE371" s="2612"/>
      <c r="EF371" s="2588"/>
      <c r="EG371" s="2612"/>
      <c r="EH371" s="2612"/>
      <c r="EI371" s="2612"/>
      <c r="EJ371" s="2612"/>
      <c r="EK371" s="2588"/>
      <c r="EL371" s="2612"/>
      <c r="EM371" s="2612"/>
      <c r="EN371" s="2612"/>
      <c r="EO371" s="2612"/>
      <c r="EP371" s="2588"/>
      <c r="EQ371" s="2612"/>
      <c r="ER371" s="2612"/>
      <c r="ES371" s="2612"/>
      <c r="ET371" s="2612"/>
      <c r="EU371" s="2588"/>
      <c r="EV371" s="2588"/>
      <c r="EW371" s="2588"/>
      <c r="EX371" s="2588"/>
      <c r="EY371" s="2588"/>
      <c r="EZ371" s="209"/>
      <c r="FA371" s="715"/>
      <c r="FB371" s="715"/>
    </row>
    <row r="372" spans="1:158" s="211" customFormat="1" ht="11.25" hidden="1" customHeight="1">
      <c r="A372" s="1549"/>
      <c r="B372" s="953"/>
      <c r="C372" s="223"/>
      <c r="D372" s="223"/>
      <c r="E372" s="223"/>
      <c r="F372" s="223"/>
      <c r="G372" s="223"/>
      <c r="H372" s="223"/>
      <c r="I372" s="223"/>
      <c r="J372" s="223"/>
      <c r="K372" s="1020"/>
      <c r="L372" s="223"/>
      <c r="M372" s="223"/>
      <c r="N372" s="223"/>
      <c r="O372" s="223"/>
      <c r="P372" s="1020"/>
      <c r="Q372" s="953"/>
      <c r="R372" s="223"/>
      <c r="S372" s="223"/>
      <c r="T372" s="223"/>
      <c r="U372" s="1020"/>
      <c r="V372" s="953"/>
      <c r="W372" s="223"/>
      <c r="X372" s="223"/>
      <c r="Y372" s="223"/>
      <c r="Z372" s="1020"/>
      <c r="AA372" s="953"/>
      <c r="AB372" s="223"/>
      <c r="AC372" s="223"/>
      <c r="AD372" s="223"/>
      <c r="AE372" s="1020"/>
      <c r="AF372" s="953"/>
      <c r="AG372" s="223"/>
      <c r="AH372" s="223"/>
      <c r="AI372" s="223"/>
      <c r="AJ372" s="1020"/>
      <c r="AK372" s="953"/>
      <c r="AL372" s="223"/>
      <c r="AM372" s="223"/>
      <c r="AN372" s="169"/>
      <c r="AO372" s="1020"/>
      <c r="AP372" s="953"/>
      <c r="AQ372" s="223"/>
      <c r="AR372" s="223"/>
      <c r="AS372" s="223"/>
      <c r="AT372" s="1020"/>
      <c r="AU372" s="953"/>
      <c r="AV372" s="223"/>
      <c r="AW372" s="223"/>
      <c r="AX372" s="223"/>
      <c r="AY372" s="1020"/>
      <c r="AZ372" s="953"/>
      <c r="BA372" s="223"/>
      <c r="BB372" s="223"/>
      <c r="BC372" s="223"/>
      <c r="BD372" s="1020"/>
      <c r="BE372" s="953"/>
      <c r="BF372" s="223"/>
      <c r="BG372" s="223"/>
      <c r="BH372" s="223"/>
      <c r="BI372" s="1020"/>
      <c r="BJ372" s="953"/>
      <c r="BK372" s="223"/>
      <c r="BL372" s="223"/>
      <c r="BM372" s="223"/>
      <c r="BN372" s="1020"/>
      <c r="BO372" s="223"/>
      <c r="BP372" s="223"/>
      <c r="BQ372" s="223"/>
      <c r="BR372" s="223"/>
      <c r="BS372" s="1931"/>
      <c r="BT372" s="223"/>
      <c r="BU372" s="223"/>
      <c r="BV372" s="223"/>
      <c r="BW372" s="223"/>
      <c r="BX372" s="1020"/>
      <c r="BY372" s="223"/>
      <c r="BZ372" s="223"/>
      <c r="CA372" s="223"/>
      <c r="CB372" s="223"/>
      <c r="CC372" s="1931"/>
      <c r="CD372" s="223"/>
      <c r="CE372" s="223"/>
      <c r="CF372" s="223"/>
      <c r="CG372" s="223"/>
      <c r="CH372" s="1020"/>
      <c r="CI372" s="560"/>
      <c r="CJ372" s="223"/>
      <c r="CK372" s="223"/>
      <c r="CL372" s="223"/>
      <c r="CM372" s="1020"/>
      <c r="CN372" s="223"/>
      <c r="CO372" s="223"/>
      <c r="CP372" s="223"/>
      <c r="CQ372" s="223"/>
      <c r="CR372" s="1020"/>
      <c r="CS372" s="223"/>
      <c r="CT372" s="223"/>
      <c r="CU372" s="223"/>
      <c r="CV372" s="223"/>
      <c r="CW372" s="1020"/>
      <c r="CX372" s="223"/>
      <c r="CY372" s="223"/>
      <c r="CZ372" s="223"/>
      <c r="DA372" s="223"/>
      <c r="DB372" s="1020"/>
      <c r="DC372" s="223"/>
      <c r="DD372" s="223"/>
      <c r="DE372" s="223"/>
      <c r="DF372" s="223"/>
      <c r="DG372" s="1020"/>
      <c r="DH372" s="223"/>
      <c r="DI372" s="223"/>
      <c r="DJ372" s="223"/>
      <c r="DK372" s="223"/>
      <c r="DL372" s="1020"/>
      <c r="DM372" s="223"/>
      <c r="DN372" s="223"/>
      <c r="DO372" s="223"/>
      <c r="DP372" s="223"/>
      <c r="DQ372" s="1020"/>
      <c r="DR372" s="223"/>
      <c r="DS372" s="223"/>
      <c r="DT372" s="223"/>
      <c r="DU372" s="223"/>
      <c r="DV372" s="1020"/>
      <c r="DW372" s="223"/>
      <c r="DX372" s="223"/>
      <c r="DY372" s="223"/>
      <c r="DZ372" s="223"/>
      <c r="EA372" s="1020"/>
      <c r="EB372" s="223"/>
      <c r="EC372" s="223"/>
      <c r="ED372" s="223"/>
      <c r="EE372" s="223"/>
      <c r="EF372" s="1020"/>
      <c r="EG372" s="223"/>
      <c r="EH372" s="223"/>
      <c r="EI372" s="223"/>
      <c r="EJ372" s="223"/>
      <c r="EK372" s="1020"/>
      <c r="EL372" s="223"/>
      <c r="EM372" s="223"/>
      <c r="EN372" s="223"/>
      <c r="EO372" s="223"/>
      <c r="EP372" s="1020"/>
      <c r="EQ372" s="223"/>
      <c r="ER372" s="223"/>
      <c r="ES372" s="223"/>
      <c r="ET372" s="223"/>
      <c r="EU372" s="1020"/>
      <c r="EV372" s="1020"/>
      <c r="EW372" s="1020"/>
      <c r="EX372" s="1020"/>
      <c r="EY372" s="1020"/>
      <c r="EZ372" s="209"/>
      <c r="FA372" s="715"/>
      <c r="FB372" s="715"/>
    </row>
    <row r="373" spans="1:158" s="211" customFormat="1" ht="11.25" hidden="1" customHeight="1">
      <c r="A373" s="1550" t="s">
        <v>29</v>
      </c>
      <c r="B373" s="970"/>
      <c r="C373" s="82"/>
      <c r="D373" s="82"/>
      <c r="E373" s="82"/>
      <c r="F373" s="82"/>
      <c r="G373" s="82"/>
      <c r="H373" s="82"/>
      <c r="I373" s="82"/>
      <c r="J373" s="82"/>
      <c r="K373" s="1003"/>
      <c r="L373" s="82"/>
      <c r="M373" s="82"/>
      <c r="N373" s="82"/>
      <c r="O373" s="82"/>
      <c r="P373" s="1003"/>
      <c r="Q373" s="970"/>
      <c r="R373" s="82"/>
      <c r="S373" s="82"/>
      <c r="T373" s="82"/>
      <c r="U373" s="1003"/>
      <c r="V373" s="970"/>
      <c r="W373" s="82"/>
      <c r="X373" s="82"/>
      <c r="Y373" s="82"/>
      <c r="Z373" s="1003"/>
      <c r="AA373" s="970"/>
      <c r="AB373" s="82"/>
      <c r="AC373" s="82"/>
      <c r="AD373" s="82"/>
      <c r="AE373" s="1003"/>
      <c r="AF373" s="953" t="s">
        <v>116</v>
      </c>
      <c r="AG373" s="223" t="s">
        <v>116</v>
      </c>
      <c r="AH373" s="223" t="s">
        <v>116</v>
      </c>
      <c r="AI373" s="223" t="s">
        <v>116</v>
      </c>
      <c r="AJ373" s="1003" t="s">
        <v>116</v>
      </c>
      <c r="AK373" s="926">
        <f>AK81*(AK212+AK214)</f>
        <v>-26.775066500129782</v>
      </c>
      <c r="AL373" s="51">
        <f>AL81*(AL212+AL214)</f>
        <v>-7.3038565695069719</v>
      </c>
      <c r="AM373" s="51">
        <f>AM81*(AM212+AM214)</f>
        <v>13.494491709587003</v>
      </c>
      <c r="AN373" s="51">
        <f>AN81*(AN212+AN214)</f>
        <v>30.26900250756669</v>
      </c>
      <c r="AO373" s="1003">
        <f>SUM(AK373:AN373)</f>
        <v>9.6845711475169409</v>
      </c>
      <c r="AP373" s="926">
        <f>AP81*(AP212+AP214)</f>
        <v>42.225452930713701</v>
      </c>
      <c r="AQ373" s="51">
        <f>AQ81*(AQ212+AQ214)</f>
        <v>42.251757431911543</v>
      </c>
      <c r="AR373" s="51">
        <f>AR81*(AR212+AR214)</f>
        <v>41.599300318030821</v>
      </c>
      <c r="AS373" s="51">
        <f>AS81*(AS212+AS214)</f>
        <v>62.699354980929947</v>
      </c>
      <c r="AT373" s="1003">
        <f>SUM(AP373:AS373)</f>
        <v>188.77586566158601</v>
      </c>
      <c r="AU373" s="926">
        <f>AU81*(AU212+AU214)</f>
        <v>65.676370597004293</v>
      </c>
      <c r="AV373" s="51">
        <f>AV81*(AV212+AV214)</f>
        <v>78.335105824029299</v>
      </c>
      <c r="AW373" s="51">
        <f>AW81*(AW212+AW214)</f>
        <v>61.296503747885687</v>
      </c>
      <c r="AX373" s="51">
        <f>AX81*(AX212+AX214)</f>
        <v>-40.724387833929498</v>
      </c>
      <c r="AY373" s="1003">
        <f>SUM(AU373:AX373)</f>
        <v>164.58359233498976</v>
      </c>
      <c r="AZ373" s="926">
        <f>AZ81*(AZ212+AZ214)</f>
        <v>-81.768445758659936</v>
      </c>
      <c r="BA373" s="51">
        <f>BA81*(BA212+BA214)</f>
        <v>-113.69857160109991</v>
      </c>
      <c r="BB373" s="51">
        <f>BB81*(BB212+BB214)</f>
        <v>-78.156646819239043</v>
      </c>
      <c r="BC373" s="51">
        <f>BC81*(BC212+BC214)</f>
        <v>62.475828179492261</v>
      </c>
      <c r="BD373" s="1003">
        <f>SUM(AZ373:BC373)</f>
        <v>-211.14783599950661</v>
      </c>
      <c r="BE373" s="926">
        <f>BE81*(BE212+BE214)</f>
        <v>75.730184501845017</v>
      </c>
      <c r="BF373" s="51">
        <f>BF81*(BF212+BF214)</f>
        <v>31.15674486803519</v>
      </c>
      <c r="BG373" s="51">
        <f>BG81*(BG212+BG214)</f>
        <v>-24.144935492725775</v>
      </c>
      <c r="BH373" s="51">
        <f>BH81*(BH212+BH214)</f>
        <v>-31.630924170616112</v>
      </c>
      <c r="BI373" s="1003">
        <f>SUM(BE373:BH373)</f>
        <v>51.111069706538316</v>
      </c>
      <c r="BJ373" s="926">
        <f>BJ81*(BJ212+BJ214)</f>
        <v>10.472186588921282</v>
      </c>
      <c r="BK373" s="51">
        <f>BK81*(BK212+BK214)</f>
        <v>115.86128960779969</v>
      </c>
      <c r="BL373" s="51">
        <f>BL81*(BL212+BL214)</f>
        <v>129.21604938271605</v>
      </c>
      <c r="BM373" s="51">
        <f>BM81*(BM212+BM214)</f>
        <v>17.414965986394559</v>
      </c>
      <c r="BN373" s="1003">
        <f>SUM(BJ373:BM373)</f>
        <v>272.96449156583157</v>
      </c>
      <c r="BO373" s="82"/>
      <c r="BP373" s="82"/>
      <c r="BQ373" s="82"/>
      <c r="BR373" s="82"/>
      <c r="BS373" s="1934"/>
      <c r="BT373" s="51">
        <f>BT81*(BT212+BT214)</f>
        <v>-8.2094880225457967</v>
      </c>
      <c r="BU373" s="51">
        <f>BU81*(BU212+BU214)</f>
        <v>-73.187431594308649</v>
      </c>
      <c r="BV373" s="51">
        <f>BV81*(BV212+BV214)</f>
        <v>-134.55101509630401</v>
      </c>
      <c r="BW373" s="51">
        <f>BW81*(BW212+BW214)</f>
        <v>-41.535528864781085</v>
      </c>
      <c r="BX373" s="1003">
        <f>SUM(BT373:BW373)</f>
        <v>-257.48346357793957</v>
      </c>
      <c r="BY373" s="82"/>
      <c r="BZ373" s="82"/>
      <c r="CA373" s="82"/>
      <c r="CB373" s="82"/>
      <c r="CC373" s="1934"/>
      <c r="CD373" s="51">
        <f>CD81*(CD212+CD214)</f>
        <v>0</v>
      </c>
      <c r="CE373" s="51">
        <f>CE81*(CE212+CE214)</f>
        <v>0</v>
      </c>
      <c r="CF373" s="51">
        <f>CF81*(CF212+CF214)</f>
        <v>0</v>
      </c>
      <c r="CG373" s="51">
        <f>CG81*(CG212+CG214)</f>
        <v>0</v>
      </c>
      <c r="CH373" s="1003">
        <f>SUM(CD373:CG373)</f>
        <v>0</v>
      </c>
      <c r="CI373" s="563">
        <f>CI81*(CI212+CI214)</f>
        <v>0</v>
      </c>
      <c r="CJ373" s="82">
        <f>CJ81*(CJ212+CJ214)</f>
        <v>0</v>
      </c>
      <c r="CK373" s="82">
        <f>CK81*(CK212+CK214)</f>
        <v>0</v>
      </c>
      <c r="CL373" s="82">
        <f>CL81*(CL212+CL214)</f>
        <v>0</v>
      </c>
      <c r="CM373" s="1003">
        <f>SUM(CI373:CL373)</f>
        <v>0</v>
      </c>
      <c r="CN373" s="82">
        <f>CN81*(CN212+CN214)</f>
        <v>0</v>
      </c>
      <c r="CO373" s="82">
        <f>CO81*(CO212+CO214)</f>
        <v>0</v>
      </c>
      <c r="CP373" s="82">
        <f>CP81*(CP212+CP214)</f>
        <v>0</v>
      </c>
      <c r="CQ373" s="82">
        <f>CQ81*(CQ212+CQ214)</f>
        <v>0</v>
      </c>
      <c r="CR373" s="1003">
        <f>SUM(CN373:CQ373)</f>
        <v>0</v>
      </c>
      <c r="CS373" s="82">
        <f>CS81*(CS212+CS214)</f>
        <v>0</v>
      </c>
      <c r="CT373" s="82">
        <f>CT81*(CT212+CT214)</f>
        <v>0</v>
      </c>
      <c r="CU373" s="82">
        <f>CU81*(CU212+CU214)</f>
        <v>0</v>
      </c>
      <c r="CV373" s="82">
        <f>CV81*(CV212+CV214)</f>
        <v>0</v>
      </c>
      <c r="CW373" s="1003"/>
      <c r="CX373" s="82">
        <f>CX81*(CX212+CX214)</f>
        <v>0</v>
      </c>
      <c r="CY373" s="82">
        <f>CY81*(CY212+CY214)</f>
        <v>0</v>
      </c>
      <c r="CZ373" s="82">
        <f>CZ81*(CZ212+CZ214)</f>
        <v>0</v>
      </c>
      <c r="DA373" s="82">
        <f>DA81*(DA212+DA214)</f>
        <v>0</v>
      </c>
      <c r="DB373" s="1003"/>
      <c r="DC373" s="2608"/>
      <c r="DD373" s="2608"/>
      <c r="DE373" s="2608"/>
      <c r="DF373" s="2608"/>
      <c r="DG373" s="1003"/>
      <c r="DH373" s="2608"/>
      <c r="DI373" s="2608"/>
      <c r="DJ373" s="2608"/>
      <c r="DK373" s="2608"/>
      <c r="DL373" s="1003"/>
      <c r="DM373" s="2608"/>
      <c r="DN373" s="2608"/>
      <c r="DO373" s="2608"/>
      <c r="DP373" s="2608"/>
      <c r="DQ373" s="1003"/>
      <c r="DR373" s="2608"/>
      <c r="DS373" s="2608"/>
      <c r="DT373" s="2608"/>
      <c r="DU373" s="2608"/>
      <c r="DV373" s="2589"/>
      <c r="DW373" s="2608"/>
      <c r="DX373" s="2608"/>
      <c r="DY373" s="2608"/>
      <c r="DZ373" s="2608"/>
      <c r="EA373" s="2589"/>
      <c r="EB373" s="2608"/>
      <c r="EC373" s="2608"/>
      <c r="ED373" s="2608"/>
      <c r="EE373" s="2608"/>
      <c r="EF373" s="2589"/>
      <c r="EG373" s="2608"/>
      <c r="EH373" s="2608"/>
      <c r="EI373" s="2608"/>
      <c r="EJ373" s="2608"/>
      <c r="EK373" s="2589"/>
      <c r="EL373" s="2608"/>
      <c r="EM373" s="2608"/>
      <c r="EN373" s="2608"/>
      <c r="EO373" s="2608"/>
      <c r="EP373" s="2589"/>
      <c r="EQ373" s="2608"/>
      <c r="ER373" s="2608"/>
      <c r="ES373" s="2608"/>
      <c r="ET373" s="2608"/>
      <c r="EU373" s="2589"/>
      <c r="EV373" s="2589"/>
      <c r="EW373" s="2589"/>
      <c r="EX373" s="2589"/>
      <c r="EY373" s="2589"/>
      <c r="EZ373" s="209"/>
      <c r="FA373" s="715"/>
      <c r="FB373" s="715"/>
    </row>
    <row r="374" spans="1:158" s="211" customFormat="1" ht="11.25" hidden="1" customHeight="1">
      <c r="A374" s="1549"/>
      <c r="B374" s="953"/>
      <c r="C374" s="223"/>
      <c r="D374" s="223"/>
      <c r="E374" s="223"/>
      <c r="F374" s="223"/>
      <c r="G374" s="223"/>
      <c r="H374" s="223"/>
      <c r="I374" s="223"/>
      <c r="J374" s="223"/>
      <c r="K374" s="1020"/>
      <c r="L374" s="223"/>
      <c r="M374" s="223"/>
      <c r="N374" s="223"/>
      <c r="O374" s="223"/>
      <c r="P374" s="1020"/>
      <c r="Q374" s="953"/>
      <c r="R374" s="223"/>
      <c r="S374" s="223"/>
      <c r="T374" s="223"/>
      <c r="U374" s="1020"/>
      <c r="V374" s="953"/>
      <c r="W374" s="223"/>
      <c r="X374" s="223"/>
      <c r="Y374" s="223"/>
      <c r="Z374" s="1020"/>
      <c r="AA374" s="953"/>
      <c r="AB374" s="223"/>
      <c r="AC374" s="223"/>
      <c r="AD374" s="223"/>
      <c r="AE374" s="1020"/>
      <c r="AF374" s="953"/>
      <c r="AG374" s="223"/>
      <c r="AH374" s="223"/>
      <c r="AI374" s="223"/>
      <c r="AJ374" s="1020"/>
      <c r="AK374" s="953"/>
      <c r="AL374" s="223"/>
      <c r="AM374" s="223"/>
      <c r="AN374" s="169"/>
      <c r="AO374" s="1020"/>
      <c r="AP374" s="953"/>
      <c r="AQ374" s="223"/>
      <c r="AR374" s="223"/>
      <c r="AS374" s="223"/>
      <c r="AT374" s="1020"/>
      <c r="AU374" s="953"/>
      <c r="AV374" s="223"/>
      <c r="AW374" s="223"/>
      <c r="AX374" s="223"/>
      <c r="AY374" s="1020"/>
      <c r="AZ374" s="953"/>
      <c r="BA374" s="223"/>
      <c r="BB374" s="223"/>
      <c r="BC374" s="223"/>
      <c r="BD374" s="1020"/>
      <c r="BE374" s="953"/>
      <c r="BF374" s="223"/>
      <c r="BG374" s="223"/>
      <c r="BH374" s="223"/>
      <c r="BI374" s="1020"/>
      <c r="BJ374" s="953"/>
      <c r="BK374" s="223"/>
      <c r="BL374" s="223"/>
      <c r="BM374" s="223"/>
      <c r="BN374" s="1020"/>
      <c r="BO374" s="223"/>
      <c r="BP374" s="223"/>
      <c r="BQ374" s="223"/>
      <c r="BR374" s="223"/>
      <c r="BS374" s="1931"/>
      <c r="BT374" s="223"/>
      <c r="BU374" s="223"/>
      <c r="BV374" s="223"/>
      <c r="BW374" s="223"/>
      <c r="BX374" s="1020"/>
      <c r="BY374" s="223"/>
      <c r="BZ374" s="223"/>
      <c r="CA374" s="223"/>
      <c r="CB374" s="223"/>
      <c r="CC374" s="1931"/>
      <c r="CD374" s="223"/>
      <c r="CE374" s="223"/>
      <c r="CF374" s="223"/>
      <c r="CG374" s="223"/>
      <c r="CH374" s="1020"/>
      <c r="CI374" s="560"/>
      <c r="CJ374" s="223"/>
      <c r="CK374" s="223"/>
      <c r="CL374" s="223"/>
      <c r="CM374" s="1020"/>
      <c r="CN374" s="223"/>
      <c r="CO374" s="223"/>
      <c r="CP374" s="223"/>
      <c r="CQ374" s="223"/>
      <c r="CR374" s="1020"/>
      <c r="CS374" s="223"/>
      <c r="CT374" s="223"/>
      <c r="CU374" s="223"/>
      <c r="CV374" s="223"/>
      <c r="CW374" s="1020"/>
      <c r="CX374" s="223"/>
      <c r="CY374" s="223"/>
      <c r="CZ374" s="223"/>
      <c r="DA374" s="223"/>
      <c r="DB374" s="1020"/>
      <c r="DC374" s="223"/>
      <c r="DD374" s="223"/>
      <c r="DE374" s="223"/>
      <c r="DF374" s="223"/>
      <c r="DG374" s="1020"/>
      <c r="DH374" s="223"/>
      <c r="DI374" s="223"/>
      <c r="DJ374" s="223"/>
      <c r="DK374" s="223"/>
      <c r="DL374" s="1020"/>
      <c r="DM374" s="223"/>
      <c r="DN374" s="223"/>
      <c r="DO374" s="223"/>
      <c r="DP374" s="223"/>
      <c r="DQ374" s="1020"/>
      <c r="DR374" s="223"/>
      <c r="DS374" s="223"/>
      <c r="DT374" s="223"/>
      <c r="DU374" s="223"/>
      <c r="DV374" s="1020"/>
      <c r="DW374" s="223"/>
      <c r="DX374" s="223"/>
      <c r="DY374" s="223"/>
      <c r="DZ374" s="223"/>
      <c r="EA374" s="1020"/>
      <c r="EB374" s="223"/>
      <c r="EC374" s="223"/>
      <c r="ED374" s="223"/>
      <c r="EE374" s="223"/>
      <c r="EF374" s="1020"/>
      <c r="EG374" s="223"/>
      <c r="EH374" s="223"/>
      <c r="EI374" s="223"/>
      <c r="EJ374" s="223"/>
      <c r="EK374" s="1020"/>
      <c r="EL374" s="223"/>
      <c r="EM374" s="223"/>
      <c r="EN374" s="223"/>
      <c r="EO374" s="223"/>
      <c r="EP374" s="1020"/>
      <c r="EQ374" s="223"/>
      <c r="ER374" s="223"/>
      <c r="ES374" s="223"/>
      <c r="ET374" s="223"/>
      <c r="EU374" s="1020"/>
      <c r="EV374" s="1020"/>
      <c r="EW374" s="1020"/>
      <c r="EX374" s="1020"/>
      <c r="EY374" s="1020"/>
      <c r="EZ374" s="209"/>
      <c r="FA374" s="715"/>
      <c r="FB374" s="715"/>
    </row>
    <row r="375" spans="1:158" s="211" customFormat="1" ht="11.25" hidden="1" customHeight="1">
      <c r="A375" s="1545" t="s">
        <v>408</v>
      </c>
      <c r="B375" s="1054">
        <f t="shared" ref="B375:O375" si="1227">B89</f>
        <v>0</v>
      </c>
      <c r="C375" s="219">
        <f t="shared" si="1227"/>
        <v>0</v>
      </c>
      <c r="D375" s="219">
        <f t="shared" si="1227"/>
        <v>0</v>
      </c>
      <c r="E375" s="219">
        <f t="shared" si="1227"/>
        <v>0</v>
      </c>
      <c r="F375" s="219">
        <f t="shared" si="1227"/>
        <v>0</v>
      </c>
      <c r="G375" s="219">
        <f t="shared" si="1227"/>
        <v>0</v>
      </c>
      <c r="H375" s="219">
        <f t="shared" si="1227"/>
        <v>0</v>
      </c>
      <c r="I375" s="219">
        <f t="shared" si="1227"/>
        <v>0</v>
      </c>
      <c r="J375" s="219">
        <f t="shared" si="1227"/>
        <v>0</v>
      </c>
      <c r="K375" s="1022">
        <f t="shared" si="1227"/>
        <v>0</v>
      </c>
      <c r="L375" s="219">
        <f t="shared" si="1227"/>
        <v>0</v>
      </c>
      <c r="M375" s="219">
        <f t="shared" si="1227"/>
        <v>0</v>
      </c>
      <c r="N375" s="219">
        <f t="shared" si="1227"/>
        <v>0</v>
      </c>
      <c r="O375" s="219">
        <f t="shared" si="1227"/>
        <v>0</v>
      </c>
      <c r="P375" s="1022">
        <f t="shared" ref="P375:AJ375" si="1228">P474</f>
        <v>66.932000000000002</v>
      </c>
      <c r="Q375" s="1054">
        <f t="shared" si="1228"/>
        <v>37.210799999999999</v>
      </c>
      <c r="R375" s="219">
        <f t="shared" si="1228"/>
        <v>71.457750000000004</v>
      </c>
      <c r="S375" s="219">
        <f t="shared" si="1228"/>
        <v>122.93978000000001</v>
      </c>
      <c r="T375" s="219">
        <f t="shared" si="1228"/>
        <v>179.30666999999994</v>
      </c>
      <c r="U375" s="1022">
        <f t="shared" si="1228"/>
        <v>410.91500000000002</v>
      </c>
      <c r="V375" s="1054">
        <f t="shared" si="1228"/>
        <v>239.11799999999999</v>
      </c>
      <c r="W375" s="219">
        <f t="shared" si="1228"/>
        <v>300.685</v>
      </c>
      <c r="X375" s="219">
        <f t="shared" si="1228"/>
        <v>381.68299999999999</v>
      </c>
      <c r="Y375" s="219">
        <f t="shared" si="1228"/>
        <v>499.17600000000004</v>
      </c>
      <c r="Z375" s="1022">
        <f t="shared" si="1228"/>
        <v>1420.663</v>
      </c>
      <c r="AA375" s="1054">
        <f t="shared" si="1228"/>
        <v>637.28399999999999</v>
      </c>
      <c r="AB375" s="219">
        <f t="shared" si="1228"/>
        <v>689.66800000000001</v>
      </c>
      <c r="AC375" s="219">
        <f t="shared" si="1228"/>
        <v>796</v>
      </c>
      <c r="AD375" s="219">
        <f t="shared" si="1228"/>
        <v>1020.3810000000001</v>
      </c>
      <c r="AE375" s="1022">
        <f t="shared" si="1228"/>
        <v>3143.3329999999996</v>
      </c>
      <c r="AF375" s="1054">
        <f t="shared" si="1228"/>
        <v>1241.1111999999998</v>
      </c>
      <c r="AG375" s="219">
        <f t="shared" si="1228"/>
        <v>1367.414</v>
      </c>
      <c r="AH375" s="219">
        <f t="shared" si="1228"/>
        <v>1559.6909999999998</v>
      </c>
      <c r="AI375" s="219">
        <f t="shared" si="1228"/>
        <v>1896.7860000000001</v>
      </c>
      <c r="AJ375" s="1022">
        <f t="shared" si="1228"/>
        <v>6065.0021999999999</v>
      </c>
      <c r="AK375" s="1054">
        <f>AK474-AK373</f>
        <v>2252.4680665001301</v>
      </c>
      <c r="AL375" s="219">
        <f>AL474-AL373</f>
        <v>2436.3318565695072</v>
      </c>
      <c r="AM375" s="219">
        <f>AM474-AM373</f>
        <v>2649.504508290413</v>
      </c>
      <c r="AN375" s="219">
        <f>AN474-AN373</f>
        <v>3144.6399974924329</v>
      </c>
      <c r="AO375" s="1022">
        <f>SUM(AK375:AN375)</f>
        <v>10482.944428852483</v>
      </c>
      <c r="AP375" s="1054">
        <f>AP474-AP373</f>
        <v>3585.224547069286</v>
      </c>
      <c r="AQ375" s="219">
        <f>AQ474-AQ373</f>
        <v>3796.0892425680881</v>
      </c>
      <c r="AR375" s="219">
        <f>AR474-AR373</f>
        <v>4147.8776996819688</v>
      </c>
      <c r="AS375" s="219">
        <f>AS474-AS373</f>
        <v>4694.6756450190696</v>
      </c>
      <c r="AT375" s="1022">
        <f>SUM(AP375:AS375)</f>
        <v>16223.867134338412</v>
      </c>
      <c r="AU375" s="1054">
        <f>AU474-AU373</f>
        <v>5020.869629402996</v>
      </c>
      <c r="AV375" s="219">
        <f>AV474-AV373</f>
        <v>5107.0898941759706</v>
      </c>
      <c r="AW375" s="219">
        <f>AW474-AW373</f>
        <v>5290.6754962521145</v>
      </c>
      <c r="AX375" s="219">
        <f>AX474-AX373</f>
        <v>5545.2953878339295</v>
      </c>
      <c r="AY375" s="1022">
        <f>SUM(AU375:AX375)</f>
        <v>20963.930407665011</v>
      </c>
      <c r="AZ375" s="1054">
        <f>AZ474-AZ373</f>
        <v>5412.6334457586599</v>
      </c>
      <c r="BA375" s="219">
        <f>BA474-BA373</f>
        <v>5449.8265716011001</v>
      </c>
      <c r="BB375" s="219">
        <f>BB474-BB373</f>
        <v>5834.7776468192387</v>
      </c>
      <c r="BC375" s="219">
        <f>BC474-BC373</f>
        <v>6402.7141718205085</v>
      </c>
      <c r="BD375" s="1022">
        <f>SUM(AZ375:BC375)</f>
        <v>23099.951835999509</v>
      </c>
      <c r="BE375" s="1054">
        <f>BE474-BE373</f>
        <v>6399.2698154981554</v>
      </c>
      <c r="BF375" s="219">
        <f>BF474-BF373</f>
        <v>6530.8432551319647</v>
      </c>
      <c r="BG375" s="219">
        <f>BG474-BG373</f>
        <v>7056.1449354927254</v>
      </c>
      <c r="BH375" s="219">
        <f>BH474-BH373</f>
        <v>8198.6309241706167</v>
      </c>
      <c r="BI375" s="1022">
        <f>SUM(BE375:BH375)</f>
        <v>28184.888930293462</v>
      </c>
      <c r="BJ375" s="1054">
        <f>BJ474-BJ373</f>
        <v>8295.5278134110795</v>
      </c>
      <c r="BK375" s="219">
        <f>BK474-BK373</f>
        <v>8600.1387103922007</v>
      </c>
      <c r="BL375" s="219">
        <f>BL474-BL373</f>
        <v>9205.7839506172841</v>
      </c>
      <c r="BM375" s="219">
        <f>BM474-BM373</f>
        <v>10156.585034013606</v>
      </c>
      <c r="BN375" s="1022">
        <f>SUM(BJ375:BM375)</f>
        <v>36258.035508434172</v>
      </c>
      <c r="BO375" s="219"/>
      <c r="BP375" s="219"/>
      <c r="BQ375" s="219"/>
      <c r="BR375" s="219"/>
      <c r="BS375" s="1955"/>
      <c r="BT375" s="219">
        <f>BT474-BT373</f>
        <v>10233.209488022545</v>
      </c>
      <c r="BU375" s="219">
        <f>BU474-BU373</f>
        <v>10598.187431594308</v>
      </c>
      <c r="BV375" s="219">
        <f>BV474-BV373</f>
        <v>10994.551015096304</v>
      </c>
      <c r="BW375" s="219">
        <f>BW474-BW373</f>
        <v>12117.535528864781</v>
      </c>
      <c r="BX375" s="1022">
        <f>SUM(BT375:BW375)</f>
        <v>43943.483463577941</v>
      </c>
      <c r="BY375" s="219"/>
      <c r="BZ375" s="219"/>
      <c r="CA375" s="219"/>
      <c r="CB375" s="219"/>
      <c r="CC375" s="1955"/>
      <c r="CD375" s="219">
        <f>CD474-CD373</f>
        <v>12031</v>
      </c>
      <c r="CE375" s="219">
        <f>CE474-CE373</f>
        <v>12182</v>
      </c>
      <c r="CF375" s="219">
        <f>CF474-CF373</f>
        <v>12653</v>
      </c>
      <c r="CG375" s="219">
        <f>CG474-CG373</f>
        <v>14206</v>
      </c>
      <c r="CH375" s="1022">
        <f>SUM(CD375:CG375)</f>
        <v>51072</v>
      </c>
      <c r="CI375" s="219">
        <f>CI474-CI373</f>
        <v>13997</v>
      </c>
      <c r="CJ375" s="219">
        <f>CJ474-CJ373</f>
        <v>14498</v>
      </c>
      <c r="CK375" s="219">
        <f>CK474-CK373</f>
        <v>14820</v>
      </c>
      <c r="CL375" s="219">
        <f>CL474-CL373</f>
        <v>16309</v>
      </c>
      <c r="CM375" s="1022">
        <f>SUM(CI375:CL375)</f>
        <v>59624</v>
      </c>
      <c r="CN375" s="219">
        <f>CN474-CN373</f>
        <v>15508</v>
      </c>
      <c r="CO375" s="219">
        <f>CO474-CO373</f>
        <v>16023</v>
      </c>
      <c r="CP375" s="219">
        <f>CP474-CP373</f>
        <v>16781</v>
      </c>
      <c r="CQ375" s="219">
        <f>CQ474-CQ373</f>
        <v>19078</v>
      </c>
      <c r="CR375" s="1022">
        <f>SUM(CN375:CQ375)</f>
        <v>67390</v>
      </c>
      <c r="CS375" s="219">
        <f>CS474-CS373</f>
        <v>18020</v>
      </c>
      <c r="CT375" s="219">
        <f>CT474-CT373</f>
        <v>19143</v>
      </c>
      <c r="CU375" s="219">
        <f>CU474-CU373</f>
        <v>19821</v>
      </c>
      <c r="CV375" s="219">
        <f>CV474-CV373</f>
        <v>22399</v>
      </c>
      <c r="CW375" s="1022">
        <f>CW474</f>
        <v>79383</v>
      </c>
      <c r="CX375" s="219">
        <f>CX474-CX373</f>
        <v>21411</v>
      </c>
      <c r="CY375" s="219">
        <f>CY474-CY373</f>
        <v>22672</v>
      </c>
      <c r="CZ375" s="219">
        <f>CZ474-CZ373</f>
        <v>24065</v>
      </c>
      <c r="DA375" s="219">
        <f>DA474-DA373</f>
        <v>27227</v>
      </c>
      <c r="DB375" s="1022">
        <f>DB474</f>
        <v>95375</v>
      </c>
      <c r="DC375" s="219"/>
      <c r="DD375" s="219"/>
      <c r="DE375" s="219"/>
      <c r="DF375" s="219"/>
      <c r="DG375" s="1022"/>
      <c r="DH375" s="219"/>
      <c r="DI375" s="219"/>
      <c r="DJ375" s="219"/>
      <c r="DK375" s="219"/>
      <c r="DL375" s="1022"/>
      <c r="DM375" s="219"/>
      <c r="DN375" s="219"/>
      <c r="DO375" s="219"/>
      <c r="DP375" s="219"/>
      <c r="DQ375" s="1022"/>
      <c r="DR375" s="219"/>
      <c r="DS375" s="219"/>
      <c r="DT375" s="219"/>
      <c r="DU375" s="219"/>
      <c r="DV375" s="1022"/>
      <c r="DW375" s="219"/>
      <c r="DX375" s="219"/>
      <c r="DY375" s="219"/>
      <c r="DZ375" s="219"/>
      <c r="EA375" s="1022"/>
      <c r="EB375" s="219"/>
      <c r="EC375" s="219"/>
      <c r="ED375" s="219"/>
      <c r="EE375" s="219"/>
      <c r="EF375" s="1022"/>
      <c r="EG375" s="219"/>
      <c r="EH375" s="219"/>
      <c r="EI375" s="219"/>
      <c r="EJ375" s="219"/>
      <c r="EK375" s="1022"/>
      <c r="EL375" s="219"/>
      <c r="EM375" s="219"/>
      <c r="EN375" s="219"/>
      <c r="EO375" s="219"/>
      <c r="EP375" s="1022"/>
      <c r="EQ375" s="219"/>
      <c r="ER375" s="219"/>
      <c r="ES375" s="219"/>
      <c r="ET375" s="219"/>
      <c r="EU375" s="1022"/>
      <c r="EV375" s="1022"/>
      <c r="EW375" s="1022"/>
      <c r="EX375" s="1022"/>
      <c r="EY375" s="1022"/>
      <c r="EZ375" s="209"/>
      <c r="FA375" s="761"/>
      <c r="FB375" s="761"/>
    </row>
    <row r="376" spans="1:158" s="211" customFormat="1" ht="11.25" hidden="1" customHeight="1">
      <c r="A376" s="1551" t="s">
        <v>45</v>
      </c>
      <c r="B376" s="1220" t="e">
        <f>#REF!</f>
        <v>#REF!</v>
      </c>
      <c r="C376" s="1221" t="e">
        <f>#REF!</f>
        <v>#REF!</v>
      </c>
      <c r="D376" s="1221" t="e">
        <f>#REF!</f>
        <v>#REF!</v>
      </c>
      <c r="E376" s="1221" t="e">
        <f>#REF!</f>
        <v>#REF!</v>
      </c>
      <c r="F376" s="1221" t="e">
        <f>#REF!</f>
        <v>#REF!</v>
      </c>
      <c r="G376" s="1221" t="e">
        <f>#REF!</f>
        <v>#REF!</v>
      </c>
      <c r="H376" s="1221" t="e">
        <f>#REF!</f>
        <v>#REF!</v>
      </c>
      <c r="I376" s="1221" t="e">
        <f>#REF!</f>
        <v>#REF!</v>
      </c>
      <c r="J376" s="1221" t="e">
        <f>#REF!</f>
        <v>#REF!</v>
      </c>
      <c r="K376" s="1996" t="e">
        <f>#REF!</f>
        <v>#REF!</v>
      </c>
      <c r="L376" s="1221" t="e">
        <f>#REF!</f>
        <v>#REF!</v>
      </c>
      <c r="M376" s="1221" t="e">
        <f>#REF!</f>
        <v>#REF!</v>
      </c>
      <c r="N376" s="1221" t="e">
        <f>#REF!</f>
        <v>#REF!</v>
      </c>
      <c r="O376" s="1221" t="e">
        <f>#REF!</f>
        <v>#REF!</v>
      </c>
      <c r="P376" s="1222" t="e">
        <f>#REF!</f>
        <v>#REF!</v>
      </c>
      <c r="Q376" s="1220" t="str">
        <f>Q476</f>
        <v>NA</v>
      </c>
      <c r="R376" s="1221" t="str">
        <f>R476</f>
        <v>NA</v>
      </c>
      <c r="S376" s="1221" t="str">
        <f>S476</f>
        <v>NA</v>
      </c>
      <c r="T376" s="1221" t="str">
        <f>T476</f>
        <v>NA</v>
      </c>
      <c r="U376" s="1222">
        <f t="shared" ref="U376:AJ376" si="1229">U375/P375-1</f>
        <v>5.13929062331919</v>
      </c>
      <c r="V376" s="1220">
        <f t="shared" si="1229"/>
        <v>5.4260376019865202</v>
      </c>
      <c r="W376" s="1221">
        <f t="shared" si="1229"/>
        <v>3.2078710846619156</v>
      </c>
      <c r="X376" s="1221">
        <f t="shared" si="1229"/>
        <v>2.1046338296684763</v>
      </c>
      <c r="Y376" s="1221">
        <f t="shared" si="1229"/>
        <v>1.7839232082108278</v>
      </c>
      <c r="Z376" s="1222">
        <f t="shared" si="1229"/>
        <v>2.4573159899249233</v>
      </c>
      <c r="AA376" s="1220">
        <f t="shared" si="1229"/>
        <v>1.6651444056909139</v>
      </c>
      <c r="AB376" s="1221">
        <f t="shared" si="1229"/>
        <v>1.2936561517867537</v>
      </c>
      <c r="AC376" s="1221">
        <f t="shared" si="1229"/>
        <v>1.0855002711674349</v>
      </c>
      <c r="AD376" s="1221">
        <f t="shared" si="1229"/>
        <v>1.044130727438819</v>
      </c>
      <c r="AE376" s="1222">
        <f t="shared" si="1229"/>
        <v>1.2125817312057818</v>
      </c>
      <c r="AF376" s="1220">
        <f t="shared" si="1229"/>
        <v>0.94750095718706229</v>
      </c>
      <c r="AG376" s="1221">
        <f t="shared" si="1229"/>
        <v>0.98271342153035945</v>
      </c>
      <c r="AH376" s="1221">
        <f t="shared" si="1229"/>
        <v>0.95941080402010015</v>
      </c>
      <c r="AI376" s="1221">
        <f t="shared" si="1229"/>
        <v>0.8588997639117153</v>
      </c>
      <c r="AJ376" s="1222">
        <f t="shared" si="1229"/>
        <v>0.92948128626524795</v>
      </c>
      <c r="AK376" s="1220">
        <f t="shared" ref="AK376:BN376" si="1230">AK375/AF474-1</f>
        <v>0.81488013845989826</v>
      </c>
      <c r="AL376" s="1221">
        <f t="shared" si="1230"/>
        <v>0.78170755643097634</v>
      </c>
      <c r="AM376" s="1221">
        <f t="shared" si="1230"/>
        <v>0.6987368063869146</v>
      </c>
      <c r="AN376" s="1221">
        <f t="shared" si="1230"/>
        <v>0.65787811460672563</v>
      </c>
      <c r="AO376" s="1222">
        <f t="shared" si="1230"/>
        <v>0.72843209007450693</v>
      </c>
      <c r="AP376" s="1220">
        <f t="shared" si="1230"/>
        <v>0.61083516328140752</v>
      </c>
      <c r="AQ376" s="1221">
        <f t="shared" si="1230"/>
        <v>0.56280176373762991</v>
      </c>
      <c r="AR376" s="1221">
        <f t="shared" si="1230"/>
        <v>0.55759641655215386</v>
      </c>
      <c r="AS376" s="1221">
        <f t="shared" si="1230"/>
        <v>0.47868037950664744</v>
      </c>
      <c r="AT376" s="1222">
        <f t="shared" si="1230"/>
        <v>0.54621564665427624</v>
      </c>
      <c r="AU376" s="1220">
        <f t="shared" si="1230"/>
        <v>0.38413200165488059</v>
      </c>
      <c r="AV376" s="1221">
        <f t="shared" si="1230"/>
        <v>0.33054616413079785</v>
      </c>
      <c r="AW376" s="1221">
        <f t="shared" si="1230"/>
        <v>0.2628486792628566</v>
      </c>
      <c r="AX376" s="1221">
        <f t="shared" si="1230"/>
        <v>0.16562082825800561</v>
      </c>
      <c r="AY376" s="1222">
        <f t="shared" si="1230"/>
        <v>0.27730374734069407</v>
      </c>
      <c r="AZ376" s="1220">
        <f t="shared" si="1230"/>
        <v>6.4107833834326833E-2</v>
      </c>
      <c r="BA376" s="1221">
        <f t="shared" si="1230"/>
        <v>5.098937340740628E-2</v>
      </c>
      <c r="BB376" s="1221">
        <f t="shared" si="1230"/>
        <v>9.0210794604164368E-2</v>
      </c>
      <c r="BC376" s="1221">
        <f t="shared" si="1230"/>
        <v>0.16316315509791934</v>
      </c>
      <c r="BD376" s="1222">
        <f t="shared" si="1230"/>
        <v>9.330698013118699E-2</v>
      </c>
      <c r="BE376" s="1220">
        <f t="shared" si="1230"/>
        <v>0.20041865916659973</v>
      </c>
      <c r="BF376" s="1221">
        <f t="shared" si="1230"/>
        <v>0.22389179103873902</v>
      </c>
      <c r="BG376" s="1221">
        <f t="shared" si="1230"/>
        <v>0.22574422312893705</v>
      </c>
      <c r="BH376" s="1221">
        <f t="shared" si="1230"/>
        <v>0.26811910000643691</v>
      </c>
      <c r="BI376" s="1222">
        <f t="shared" si="1230"/>
        <v>0.23138320946317092</v>
      </c>
      <c r="BJ376" s="1220">
        <f t="shared" si="1230"/>
        <v>0.28116259666580379</v>
      </c>
      <c r="BK376" s="1221">
        <f t="shared" si="1230"/>
        <v>0.31059718232127409</v>
      </c>
      <c r="BL376" s="1221">
        <f t="shared" si="1230"/>
        <v>0.3091274104973385</v>
      </c>
      <c r="BM376" s="1221">
        <f t="shared" si="1230"/>
        <v>0.24361271385008032</v>
      </c>
      <c r="BN376" s="1222">
        <f t="shared" si="1230"/>
        <v>0.28410665492400389</v>
      </c>
      <c r="BO376" s="1221"/>
      <c r="BP376" s="1221"/>
      <c r="BQ376" s="1221"/>
      <c r="BR376" s="1221"/>
      <c r="BS376" s="1483"/>
      <c r="BT376" s="1925">
        <f>BT375/BJ474-1</f>
        <v>0.23202618444769385</v>
      </c>
      <c r="BU376" s="1221">
        <f>BU375/BK474-1</f>
        <v>0.21594624043073751</v>
      </c>
      <c r="BV376" s="1221">
        <f>BV375/BL474-1</f>
        <v>0.17777729138685627</v>
      </c>
      <c r="BW376" s="1221">
        <f>BW375/BM474-1</f>
        <v>0.19102963719921173</v>
      </c>
      <c r="BX376" s="1222">
        <f>BX375/BN474-1</f>
        <v>0.20290940471320096</v>
      </c>
      <c r="BY376" s="1221"/>
      <c r="BZ376" s="1221"/>
      <c r="CA376" s="1221"/>
      <c r="CB376" s="1221"/>
      <c r="CC376" s="1483"/>
      <c r="CD376" s="1221">
        <f>CD375/BT474-1</f>
        <v>0.17662591687041562</v>
      </c>
      <c r="CE376" s="1221">
        <f>CE375/BU474-1</f>
        <v>0.15743467933491684</v>
      </c>
      <c r="CF376" s="1221">
        <f>CF375/BV474-1</f>
        <v>0.16510128913443833</v>
      </c>
      <c r="CG376" s="1221">
        <f>CG375/BW474-1</f>
        <v>0.17638290824776415</v>
      </c>
      <c r="CH376" s="1222">
        <f>CH375/BX474-1</f>
        <v>0.16907018266721607</v>
      </c>
      <c r="CI376" s="1223">
        <f t="shared" ref="CI376:DB376" si="1231">CI375/CD474-1</f>
        <v>0.16341118776494068</v>
      </c>
      <c r="CJ376" s="1221">
        <f t="shared" si="1231"/>
        <v>0.19011656542439659</v>
      </c>
      <c r="CK376" s="1221">
        <f t="shared" si="1231"/>
        <v>0.17126373192128352</v>
      </c>
      <c r="CL376" s="1221">
        <f t="shared" si="1231"/>
        <v>0.14803604110939039</v>
      </c>
      <c r="CM376" s="1222">
        <f t="shared" si="1231"/>
        <v>0.16744987468671679</v>
      </c>
      <c r="CN376" s="1221">
        <f t="shared" si="1231"/>
        <v>0.10795170393655784</v>
      </c>
      <c r="CO376" s="1221">
        <f t="shared" si="1231"/>
        <v>0.10518692233411508</v>
      </c>
      <c r="CP376" s="1221">
        <f t="shared" si="1231"/>
        <v>0.13232118758434552</v>
      </c>
      <c r="CQ376" s="1221">
        <f t="shared" si="1231"/>
        <v>0.16978355509228038</v>
      </c>
      <c r="CR376" s="1222">
        <f t="shared" si="1231"/>
        <v>0.13024956393398623</v>
      </c>
      <c r="CS376" s="1221">
        <f t="shared" si="1231"/>
        <v>0.16198091307712148</v>
      </c>
      <c r="CT376" s="1221">
        <f t="shared" si="1231"/>
        <v>0.1947200898708108</v>
      </c>
      <c r="CU376" s="1221">
        <f t="shared" si="1231"/>
        <v>0.1811572611882486</v>
      </c>
      <c r="CV376" s="1221">
        <f t="shared" si="1231"/>
        <v>0.17407485061327188</v>
      </c>
      <c r="CW376" s="1222">
        <f t="shared" si="1231"/>
        <v>0.17796408962754118</v>
      </c>
      <c r="CX376" s="1221">
        <f t="shared" si="1231"/>
        <v>0.18817980022197567</v>
      </c>
      <c r="CY376" s="1221">
        <f t="shared" si="1231"/>
        <v>0.18434937052708555</v>
      </c>
      <c r="CZ376" s="1221">
        <f t="shared" si="1231"/>
        <v>0.2141163412542253</v>
      </c>
      <c r="DA376" s="1221">
        <f t="shared" si="1231"/>
        <v>0.21554533684539479</v>
      </c>
      <c r="DB376" s="1222">
        <f t="shared" si="1231"/>
        <v>0.20145371175188642</v>
      </c>
      <c r="DC376" s="1221"/>
      <c r="DD376" s="1221"/>
      <c r="DE376" s="1221"/>
      <c r="DF376" s="1221"/>
      <c r="DG376" s="1222"/>
      <c r="DH376" s="1221"/>
      <c r="DI376" s="1221"/>
      <c r="DJ376" s="1221"/>
      <c r="DK376" s="1221"/>
      <c r="DL376" s="1222"/>
      <c r="DM376" s="1221"/>
      <c r="DN376" s="1221"/>
      <c r="DO376" s="1221"/>
      <c r="DP376" s="1221"/>
      <c r="DQ376" s="1222"/>
      <c r="DR376" s="1221"/>
      <c r="DS376" s="1221"/>
      <c r="DT376" s="1221"/>
      <c r="DU376" s="1221"/>
      <c r="DV376" s="1222"/>
      <c r="DW376" s="1221"/>
      <c r="DX376" s="1221"/>
      <c r="DY376" s="1221"/>
      <c r="DZ376" s="1221"/>
      <c r="EA376" s="1222"/>
      <c r="EB376" s="1221"/>
      <c r="EC376" s="1221"/>
      <c r="ED376" s="1221"/>
      <c r="EE376" s="1221"/>
      <c r="EF376" s="1222"/>
      <c r="EG376" s="1221"/>
      <c r="EH376" s="1221"/>
      <c r="EI376" s="1221"/>
      <c r="EJ376" s="1221"/>
      <c r="EK376" s="1222"/>
      <c r="EL376" s="1221"/>
      <c r="EM376" s="1221"/>
      <c r="EN376" s="1221"/>
      <c r="EO376" s="1221"/>
      <c r="EP376" s="1222"/>
      <c r="EQ376" s="1221"/>
      <c r="ER376" s="1221"/>
      <c r="ES376" s="1221"/>
      <c r="ET376" s="1221"/>
      <c r="EU376" s="1222"/>
      <c r="EV376" s="1222"/>
      <c r="EW376" s="1222"/>
      <c r="EX376" s="1222"/>
      <c r="EY376" s="1222"/>
      <c r="EZ376" s="209"/>
      <c r="FA376" s="715"/>
      <c r="FB376" s="715"/>
    </row>
    <row r="377" spans="1:158" s="211" customFormat="1" ht="11.25" hidden="1" customHeight="1">
      <c r="A377" s="1552"/>
      <c r="B377" s="1484"/>
      <c r="C377" s="1485"/>
      <c r="D377" s="1485"/>
      <c r="E377" s="1485"/>
      <c r="F377" s="1485"/>
      <c r="G377" s="1485"/>
      <c r="H377" s="1485"/>
      <c r="I377" s="1485"/>
      <c r="J377" s="1485"/>
      <c r="K377" s="1486"/>
      <c r="L377" s="1485"/>
      <c r="M377" s="1485"/>
      <c r="N377" s="1485"/>
      <c r="O377" s="1485"/>
      <c r="P377" s="1486"/>
      <c r="Q377" s="1484"/>
      <c r="R377" s="1485"/>
      <c r="S377" s="1485"/>
      <c r="T377" s="1485"/>
      <c r="U377" s="1486"/>
      <c r="V377" s="1484"/>
      <c r="W377" s="1485"/>
      <c r="X377" s="1485"/>
      <c r="Y377" s="1485"/>
      <c r="Z377" s="1486"/>
      <c r="AA377" s="1484"/>
      <c r="AB377" s="1485"/>
      <c r="AC377" s="1485"/>
      <c r="AD377" s="1485"/>
      <c r="AE377" s="1486"/>
      <c r="AF377" s="1484"/>
      <c r="AG377" s="1485"/>
      <c r="AH377" s="1485"/>
      <c r="AI377" s="1485"/>
      <c r="AJ377" s="1486"/>
      <c r="AK377" s="1484"/>
      <c r="AL377" s="1485"/>
      <c r="AM377" s="1485"/>
      <c r="AN377" s="1485"/>
      <c r="AO377" s="1486"/>
      <c r="AP377" s="1484"/>
      <c r="AQ377" s="1485"/>
      <c r="AR377" s="1485"/>
      <c r="AS377" s="1485"/>
      <c r="AT377" s="1486"/>
      <c r="AU377" s="1484"/>
      <c r="AV377" s="1485"/>
      <c r="AW377" s="1485"/>
      <c r="AX377" s="1485"/>
      <c r="AY377" s="1486"/>
      <c r="AZ377" s="1484"/>
      <c r="BA377" s="1485"/>
      <c r="BB377" s="1485"/>
      <c r="BC377" s="1485"/>
      <c r="BD377" s="1486"/>
      <c r="BE377" s="1484"/>
      <c r="BF377" s="1485"/>
      <c r="BG377" s="1485"/>
      <c r="BH377" s="1485"/>
      <c r="BI377" s="1486"/>
      <c r="BJ377" s="1484"/>
      <c r="BK377" s="1485"/>
      <c r="BL377" s="1485"/>
      <c r="BM377" s="1485"/>
      <c r="BN377" s="1486"/>
      <c r="BO377" s="1682"/>
      <c r="BP377" s="1682"/>
      <c r="BQ377" s="1682"/>
      <c r="BR377" s="1682"/>
      <c r="BS377" s="1486"/>
      <c r="BT377" s="1485"/>
      <c r="BU377" s="1485"/>
      <c r="BV377" s="1485"/>
      <c r="BW377" s="1485"/>
      <c r="BX377" s="1486"/>
      <c r="BY377" s="1682"/>
      <c r="BZ377" s="1682"/>
      <c r="CA377" s="1682"/>
      <c r="CB377" s="1682"/>
      <c r="CC377" s="1486"/>
      <c r="CD377" s="1485"/>
      <c r="CE377" s="1485"/>
      <c r="CF377" s="1485"/>
      <c r="CG377" s="1485"/>
      <c r="CH377" s="1486"/>
      <c r="CI377" s="1487"/>
      <c r="CJ377" s="1485"/>
      <c r="CK377" s="1485"/>
      <c r="CL377" s="1485"/>
      <c r="CM377" s="1486"/>
      <c r="CN377" s="1485"/>
      <c r="CO377" s="1485"/>
      <c r="CP377" s="1485"/>
      <c r="CQ377" s="1485"/>
      <c r="CR377" s="1486"/>
      <c r="CS377" s="1485"/>
      <c r="CT377" s="1485"/>
      <c r="CU377" s="1485"/>
      <c r="CV377" s="1485"/>
      <c r="CW377" s="1486"/>
      <c r="CX377" s="1485"/>
      <c r="CY377" s="1485"/>
      <c r="CZ377" s="1485"/>
      <c r="DA377" s="1485"/>
      <c r="DB377" s="1486"/>
      <c r="DC377" s="1485"/>
      <c r="DD377" s="1485"/>
      <c r="DE377" s="1485"/>
      <c r="DF377" s="1485"/>
      <c r="DG377" s="1486"/>
      <c r="DH377" s="1485"/>
      <c r="DI377" s="1485"/>
      <c r="DJ377" s="1485"/>
      <c r="DK377" s="1485"/>
      <c r="DL377" s="1486"/>
      <c r="DM377" s="1485"/>
      <c r="DN377" s="1485"/>
      <c r="DO377" s="1485"/>
      <c r="DP377" s="1485"/>
      <c r="DQ377" s="1486"/>
      <c r="DR377" s="1485"/>
      <c r="DS377" s="1485"/>
      <c r="DT377" s="1485"/>
      <c r="DU377" s="1485"/>
      <c r="DV377" s="1486"/>
      <c r="DW377" s="1485"/>
      <c r="DX377" s="1485"/>
      <c r="DY377" s="1485"/>
      <c r="DZ377" s="1485"/>
      <c r="EA377" s="1486"/>
      <c r="EB377" s="1485"/>
      <c r="EC377" s="1485"/>
      <c r="ED377" s="1485"/>
      <c r="EE377" s="1485"/>
      <c r="EF377" s="1486"/>
      <c r="EG377" s="1485"/>
      <c r="EH377" s="1485"/>
      <c r="EI377" s="1485"/>
      <c r="EJ377" s="1485"/>
      <c r="EK377" s="1486"/>
      <c r="EL377" s="1485"/>
      <c r="EM377" s="1485"/>
      <c r="EN377" s="1485"/>
      <c r="EO377" s="1485"/>
      <c r="EP377" s="1486"/>
      <c r="EQ377" s="1485"/>
      <c r="ER377" s="1485"/>
      <c r="ES377" s="1485"/>
      <c r="ET377" s="1485"/>
      <c r="EU377" s="1486"/>
      <c r="EV377" s="1486"/>
      <c r="EW377" s="1486"/>
      <c r="EX377" s="1486"/>
      <c r="EY377" s="1486"/>
      <c r="EZ377" s="209"/>
      <c r="FA377" s="715"/>
      <c r="FB377" s="715"/>
    </row>
    <row r="378" spans="1:158" s="211" customFormat="1" ht="11.25" hidden="1" customHeight="1" collapsed="1">
      <c r="A378" s="1553" t="s">
        <v>30</v>
      </c>
      <c r="B378" s="1488"/>
      <c r="C378" s="223"/>
      <c r="D378" s="223"/>
      <c r="E378" s="223"/>
      <c r="F378" s="223"/>
      <c r="G378" s="223"/>
      <c r="H378" s="223"/>
      <c r="I378" s="223"/>
      <c r="J378" s="223"/>
      <c r="K378" s="1020"/>
      <c r="L378" s="223"/>
      <c r="M378" s="223"/>
      <c r="N378" s="223"/>
      <c r="O378" s="223"/>
      <c r="P378" s="1020"/>
      <c r="Q378" s="1488"/>
      <c r="R378" s="223"/>
      <c r="S378" s="223"/>
      <c r="T378" s="223"/>
      <c r="U378" s="1020"/>
      <c r="V378" s="1488"/>
      <c r="W378" s="223"/>
      <c r="X378" s="223"/>
      <c r="Y378" s="223"/>
      <c r="Z378" s="1020"/>
      <c r="AA378" s="1488"/>
      <c r="AB378" s="223"/>
      <c r="AC378" s="223"/>
      <c r="AD378" s="223"/>
      <c r="AE378" s="1020"/>
      <c r="AF378" s="1489">
        <v>0</v>
      </c>
      <c r="AG378" s="195">
        <v>0</v>
      </c>
      <c r="AH378" s="195">
        <v>0</v>
      </c>
      <c r="AI378" s="195">
        <v>0</v>
      </c>
      <c r="AJ378" s="1020">
        <v>0</v>
      </c>
      <c r="AK378" s="1488" t="s">
        <v>116</v>
      </c>
      <c r="AL378" s="51">
        <f>AL81*(AL214+AL229)</f>
        <v>10.550015044843404</v>
      </c>
      <c r="AM378" s="51">
        <f>AM81*(AM214+AM229)</f>
        <v>7.3255812137758012</v>
      </c>
      <c r="AN378" s="51">
        <f>AN81*(AN214+AN229)</f>
        <v>6.726445001681487</v>
      </c>
      <c r="AO378" s="1020" t="s">
        <v>116</v>
      </c>
      <c r="AP378" s="1447">
        <f>AP81*(AP214+AP229)</f>
        <v>8.3716550158284555</v>
      </c>
      <c r="AQ378" s="51">
        <f>AQ81*(AQ214+AQ229)</f>
        <v>12.221582728238875</v>
      </c>
      <c r="AR378" s="51">
        <f>AR81*(AR214+AR229)</f>
        <v>8.3198600636061641</v>
      </c>
      <c r="AS378" s="51">
        <f>AS81*(AS214+AS229)</f>
        <v>31.722484466027257</v>
      </c>
      <c r="AT378" s="1020" t="s">
        <v>116</v>
      </c>
      <c r="AU378" s="1447">
        <f>AU81*(AU214+AU229)</f>
        <v>5.884862909929593</v>
      </c>
      <c r="AV378" s="51">
        <f>AV81*(AV214+AV229)</f>
        <v>28.496707787953962</v>
      </c>
      <c r="AW378" s="51">
        <f>AW81*(AW214+AW229)</f>
        <v>-7.5180677198198067</v>
      </c>
      <c r="AX378" s="51">
        <f>AX81*(AX214+AX229)</f>
        <v>-60.92320893317973</v>
      </c>
      <c r="AY378" s="1020" t="s">
        <v>116</v>
      </c>
      <c r="AZ378" s="1447">
        <f>AZ81*(AZ214+AZ229)</f>
        <v>10.109553293797957</v>
      </c>
      <c r="BA378" s="51">
        <f>BA81*(BA214+BA229)</f>
        <v>51.210080506661626</v>
      </c>
      <c r="BB378" s="51">
        <f>BB81*(BB214+BB229)</f>
        <v>62.101211619937999</v>
      </c>
      <c r="BC378" s="51">
        <f>BC81*(BC214+BC229)</f>
        <v>36.750487164407211</v>
      </c>
      <c r="BD378" s="1020" t="s">
        <v>116</v>
      </c>
      <c r="BE378" s="1447">
        <f>BE81*(BE214+BE229)</f>
        <v>-30.652693726937269</v>
      </c>
      <c r="BF378" s="51">
        <f>BF81*(BF214+BF229)</f>
        <v>-29.341788856304984</v>
      </c>
      <c r="BG378" s="51">
        <f>BG81*(BG214+BG229)</f>
        <v>29.577545978589072</v>
      </c>
      <c r="BH378" s="51">
        <f>BH81*(BH214+BH229)</f>
        <v>66.809241706161131</v>
      </c>
      <c r="BI378" s="1020" t="s">
        <v>116</v>
      </c>
      <c r="BJ378" s="1447">
        <f>BJ81*(BJ214+BJ229)</f>
        <v>9.3400583090379001</v>
      </c>
      <c r="BK378" s="51">
        <f>BK81*(BK214+BK229)</f>
        <v>47.060048748061156</v>
      </c>
      <c r="BL378" s="51">
        <f>BL81*(BL214+BL229)</f>
        <v>14.416666666666668</v>
      </c>
      <c r="BM378" s="51">
        <f>BM81*(BM214+BM229)</f>
        <v>-58.231292517006807</v>
      </c>
      <c r="BN378" s="1020"/>
      <c r="BO378" s="223"/>
      <c r="BP378" s="223"/>
      <c r="BQ378" s="223"/>
      <c r="BR378" s="223"/>
      <c r="BS378" s="1931"/>
      <c r="BT378" s="51">
        <f>BT81*(BT214+BT229)</f>
        <v>-11.493283231564115</v>
      </c>
      <c r="BU378" s="51">
        <f>BU81*(BU214+BU229)</f>
        <v>3.5369390733309012</v>
      </c>
      <c r="BV378" s="51">
        <f>BV81*(BV214+BV229)</f>
        <v>-20.114697206316155</v>
      </c>
      <c r="BW378" s="51">
        <f>BW81*(BW214+BW229)</f>
        <v>44.464316156528476</v>
      </c>
      <c r="BX378" s="1020"/>
      <c r="BY378" s="223"/>
      <c r="BZ378" s="223"/>
      <c r="CA378" s="223"/>
      <c r="CB378" s="223"/>
      <c r="CC378" s="1931"/>
      <c r="CD378" s="1447">
        <f>CD81*(CD214+CD229)</f>
        <v>0</v>
      </c>
      <c r="CE378" s="51">
        <f>CE81*(CE214+CE229)</f>
        <v>0</v>
      </c>
      <c r="CF378" s="51">
        <f>CF81*(CF214+CF229)</f>
        <v>0</v>
      </c>
      <c r="CG378" s="51">
        <f>CG81*(CG214+CG229)</f>
        <v>0</v>
      </c>
      <c r="CH378" s="1020"/>
      <c r="CI378" s="560"/>
      <c r="CJ378" s="223"/>
      <c r="CK378" s="223"/>
      <c r="CL378" s="223"/>
      <c r="CM378" s="1020"/>
      <c r="CN378" s="223"/>
      <c r="CO378" s="223"/>
      <c r="CP378" s="223"/>
      <c r="CQ378" s="223"/>
      <c r="CR378" s="1020"/>
      <c r="CS378" s="223"/>
      <c r="CT378" s="223"/>
      <c r="CU378" s="223"/>
      <c r="CV378" s="223"/>
      <c r="CW378" s="1020"/>
      <c r="CX378" s="223"/>
      <c r="CY378" s="223"/>
      <c r="CZ378" s="223"/>
      <c r="DA378" s="223"/>
      <c r="DB378" s="1020"/>
      <c r="DC378" s="223"/>
      <c r="DD378" s="223"/>
      <c r="DE378" s="223"/>
      <c r="DF378" s="223"/>
      <c r="DG378" s="1020"/>
      <c r="DH378" s="223"/>
      <c r="DI378" s="223"/>
      <c r="DJ378" s="223"/>
      <c r="DK378" s="223"/>
      <c r="DL378" s="1020"/>
      <c r="DM378" s="223"/>
      <c r="DN378" s="223"/>
      <c r="DO378" s="223"/>
      <c r="DP378" s="223"/>
      <c r="DQ378" s="1020"/>
      <c r="DR378" s="223"/>
      <c r="DS378" s="223"/>
      <c r="DT378" s="223"/>
      <c r="DU378" s="223"/>
      <c r="DV378" s="1020"/>
      <c r="DW378" s="223"/>
      <c r="DX378" s="223"/>
      <c r="DY378" s="223"/>
      <c r="DZ378" s="223"/>
      <c r="EA378" s="1020"/>
      <c r="EB378" s="223"/>
      <c r="EC378" s="223"/>
      <c r="ED378" s="223"/>
      <c r="EE378" s="223"/>
      <c r="EF378" s="1020"/>
      <c r="EG378" s="223"/>
      <c r="EH378" s="223"/>
      <c r="EI378" s="223"/>
      <c r="EJ378" s="223"/>
      <c r="EK378" s="1020"/>
      <c r="EL378" s="223"/>
      <c r="EM378" s="223"/>
      <c r="EN378" s="223"/>
      <c r="EO378" s="223"/>
      <c r="EP378" s="1020"/>
      <c r="EQ378" s="223"/>
      <c r="ER378" s="223"/>
      <c r="ES378" s="223"/>
      <c r="ET378" s="223"/>
      <c r="EU378" s="1020"/>
      <c r="EV378" s="1020"/>
      <c r="EW378" s="1020"/>
      <c r="EX378" s="1020"/>
      <c r="EY378" s="1020"/>
      <c r="EZ378" s="209"/>
      <c r="FA378" s="715"/>
      <c r="FB378" s="715"/>
    </row>
    <row r="379" spans="1:158" s="211" customFormat="1" ht="11.25" hidden="1" customHeight="1">
      <c r="A379" s="1554"/>
      <c r="B379" s="1488"/>
      <c r="C379" s="223"/>
      <c r="D379" s="223"/>
      <c r="E379" s="223"/>
      <c r="F379" s="223"/>
      <c r="G379" s="223"/>
      <c r="H379" s="223"/>
      <c r="I379" s="223"/>
      <c r="J379" s="223"/>
      <c r="K379" s="1020"/>
      <c r="L379" s="223"/>
      <c r="M379" s="223"/>
      <c r="N379" s="223"/>
      <c r="O379" s="223"/>
      <c r="P379" s="1020"/>
      <c r="Q379" s="1488"/>
      <c r="R379" s="223"/>
      <c r="S379" s="223"/>
      <c r="T379" s="223"/>
      <c r="U379" s="1020"/>
      <c r="V379" s="1488"/>
      <c r="W379" s="223"/>
      <c r="X379" s="223"/>
      <c r="Y379" s="223"/>
      <c r="Z379" s="1020"/>
      <c r="AA379" s="1488"/>
      <c r="AB379" s="223"/>
      <c r="AC379" s="223"/>
      <c r="AD379" s="223"/>
      <c r="AE379" s="1020"/>
      <c r="AF379" s="1488"/>
      <c r="AG379" s="223"/>
      <c r="AH379" s="223"/>
      <c r="AI379" s="223"/>
      <c r="AJ379" s="1020"/>
      <c r="AK379" s="1488"/>
      <c r="AL379" s="223"/>
      <c r="AM379" s="223"/>
      <c r="AN379" s="223"/>
      <c r="AO379" s="1020"/>
      <c r="AP379" s="1488"/>
      <c r="AQ379" s="223"/>
      <c r="AR379" s="223"/>
      <c r="AS379" s="223"/>
      <c r="AT379" s="1020"/>
      <c r="AU379" s="1488"/>
      <c r="AV379" s="223"/>
      <c r="AW379" s="223"/>
      <c r="AX379" s="223"/>
      <c r="AY379" s="1020"/>
      <c r="AZ379" s="1488"/>
      <c r="BA379" s="223"/>
      <c r="BB379" s="223"/>
      <c r="BC379" s="223"/>
      <c r="BD379" s="1020"/>
      <c r="BE379" s="1488"/>
      <c r="BF379" s="223"/>
      <c r="BG379" s="223"/>
      <c r="BH379" s="223"/>
      <c r="BI379" s="1020"/>
      <c r="BJ379" s="1488"/>
      <c r="BK379" s="223"/>
      <c r="BL379" s="223"/>
      <c r="BM379" s="223"/>
      <c r="BN379" s="1020"/>
      <c r="BO379" s="223"/>
      <c r="BP379" s="223"/>
      <c r="BQ379" s="223"/>
      <c r="BR379" s="223"/>
      <c r="BS379" s="1931"/>
      <c r="BT379" s="223"/>
      <c r="BU379" s="223"/>
      <c r="BV379" s="223"/>
      <c r="BW379" s="223"/>
      <c r="BX379" s="1020"/>
      <c r="BY379" s="223"/>
      <c r="BZ379" s="223"/>
      <c r="CA379" s="223"/>
      <c r="CB379" s="223"/>
      <c r="CC379" s="1931"/>
      <c r="CD379" s="1488"/>
      <c r="CE379" s="223"/>
      <c r="CF379" s="223"/>
      <c r="CG379" s="223"/>
      <c r="CH379" s="1020"/>
      <c r="CI379" s="560"/>
      <c r="CJ379" s="223"/>
      <c r="CK379" s="223"/>
      <c r="CL379" s="223"/>
      <c r="CM379" s="1020"/>
      <c r="CN379" s="223"/>
      <c r="CO379" s="223"/>
      <c r="CP379" s="223"/>
      <c r="CQ379" s="223"/>
      <c r="CR379" s="1020"/>
      <c r="CS379" s="223"/>
      <c r="CT379" s="223"/>
      <c r="CU379" s="223"/>
      <c r="CV379" s="223"/>
      <c r="CW379" s="1020"/>
      <c r="CX379" s="223"/>
      <c r="CY379" s="223"/>
      <c r="CZ379" s="223"/>
      <c r="DA379" s="223"/>
      <c r="DB379" s="1020"/>
      <c r="DC379" s="223"/>
      <c r="DD379" s="223"/>
      <c r="DE379" s="223"/>
      <c r="DF379" s="223"/>
      <c r="DG379" s="1020"/>
      <c r="DH379" s="223"/>
      <c r="DI379" s="223"/>
      <c r="DJ379" s="223"/>
      <c r="DK379" s="223"/>
      <c r="DL379" s="1020"/>
      <c r="DM379" s="223"/>
      <c r="DN379" s="223"/>
      <c r="DO379" s="223"/>
      <c r="DP379" s="223"/>
      <c r="DQ379" s="1020"/>
      <c r="DR379" s="223"/>
      <c r="DS379" s="223"/>
      <c r="DT379" s="223"/>
      <c r="DU379" s="223"/>
      <c r="DV379" s="1020"/>
      <c r="DW379" s="223"/>
      <c r="DX379" s="223"/>
      <c r="DY379" s="223"/>
      <c r="DZ379" s="223"/>
      <c r="EA379" s="1020"/>
      <c r="EB379" s="223"/>
      <c r="EC379" s="223"/>
      <c r="ED379" s="223"/>
      <c r="EE379" s="223"/>
      <c r="EF379" s="1020"/>
      <c r="EG379" s="223"/>
      <c r="EH379" s="223"/>
      <c r="EI379" s="223"/>
      <c r="EJ379" s="223"/>
      <c r="EK379" s="1020"/>
      <c r="EL379" s="223"/>
      <c r="EM379" s="223"/>
      <c r="EN379" s="223"/>
      <c r="EO379" s="223"/>
      <c r="EP379" s="1020"/>
      <c r="EQ379" s="223"/>
      <c r="ER379" s="223"/>
      <c r="ES379" s="223"/>
      <c r="ET379" s="223"/>
      <c r="EU379" s="1020"/>
      <c r="EV379" s="1020"/>
      <c r="EW379" s="1020"/>
      <c r="EX379" s="1020"/>
      <c r="EY379" s="1020"/>
      <c r="EZ379" s="209"/>
      <c r="FA379" s="715"/>
      <c r="FB379" s="715"/>
    </row>
    <row r="380" spans="1:158" s="211" customFormat="1" ht="11.25" hidden="1" customHeight="1" collapsed="1">
      <c r="A380" s="1555" t="s">
        <v>33</v>
      </c>
      <c r="B380" s="1490"/>
      <c r="C380" s="219"/>
      <c r="D380" s="219"/>
      <c r="E380" s="219"/>
      <c r="F380" s="219"/>
      <c r="G380" s="219"/>
      <c r="H380" s="219"/>
      <c r="I380" s="219"/>
      <c r="J380" s="219"/>
      <c r="K380" s="1022"/>
      <c r="L380" s="219"/>
      <c r="M380" s="219"/>
      <c r="N380" s="219"/>
      <c r="O380" s="219"/>
      <c r="P380" s="1022"/>
      <c r="Q380" s="1490">
        <f>Q474-Q378</f>
        <v>37.210799999999999</v>
      </c>
      <c r="R380" s="219">
        <f>R474-R378</f>
        <v>71.457750000000004</v>
      </c>
      <c r="S380" s="219">
        <f>S474-S378</f>
        <v>122.93978000000001</v>
      </c>
      <c r="T380" s="219">
        <f>T474-T378</f>
        <v>179.30666999999994</v>
      </c>
      <c r="U380" s="1022"/>
      <c r="V380" s="1490">
        <f>V474-V378</f>
        <v>239.11799999999999</v>
      </c>
      <c r="W380" s="219">
        <f>W474-W378</f>
        <v>300.685</v>
      </c>
      <c r="X380" s="219">
        <f>X474-X378</f>
        <v>381.68299999999999</v>
      </c>
      <c r="Y380" s="219">
        <f>Y474-Y378</f>
        <v>499.17600000000004</v>
      </c>
      <c r="Z380" s="1022"/>
      <c r="AA380" s="1490">
        <f>AA474-AA378</f>
        <v>637.28399999999999</v>
      </c>
      <c r="AB380" s="219">
        <f>AB474-AB378</f>
        <v>689.66800000000001</v>
      </c>
      <c r="AC380" s="219">
        <f>AC474-AC378</f>
        <v>796</v>
      </c>
      <c r="AD380" s="219">
        <f>AD474-AD378</f>
        <v>1020.3810000000001</v>
      </c>
      <c r="AE380" s="1022"/>
      <c r="AF380" s="1490">
        <f>AF474-AF378</f>
        <v>1241.1111999999998</v>
      </c>
      <c r="AG380" s="219">
        <f>AG474-AG378</f>
        <v>1367.414</v>
      </c>
      <c r="AH380" s="219">
        <f>AH474-AH378</f>
        <v>1559.6909999999998</v>
      </c>
      <c r="AI380" s="219">
        <f>AI474-AI378</f>
        <v>1896.7860000000001</v>
      </c>
      <c r="AJ380" s="1022" t="s">
        <v>116</v>
      </c>
      <c r="AK380" s="1490">
        <f>AK474</f>
        <v>2225.6930000000002</v>
      </c>
      <c r="AL380" s="219">
        <f>AL474-AL378</f>
        <v>2418.4779849551569</v>
      </c>
      <c r="AM380" s="219">
        <f>AM474-AM378</f>
        <v>2655.6734187862239</v>
      </c>
      <c r="AN380" s="219">
        <f>AN474-AN378</f>
        <v>3168.1825549983182</v>
      </c>
      <c r="AO380" s="1022" t="s">
        <v>116</v>
      </c>
      <c r="AP380" s="1490">
        <f>AP474-AP378</f>
        <v>3619.0783449841715</v>
      </c>
      <c r="AQ380" s="219">
        <f>AQ474-AQ378</f>
        <v>3826.119417271761</v>
      </c>
      <c r="AR380" s="219">
        <f>AR474-AR378</f>
        <v>4181.1571399363938</v>
      </c>
      <c r="AS380" s="219">
        <f>AS474-AS378</f>
        <v>4725.6525155339723</v>
      </c>
      <c r="AT380" s="1022" t="s">
        <v>116</v>
      </c>
      <c r="AU380" s="1490">
        <f>AU474-AU378</f>
        <v>5080.661137090071</v>
      </c>
      <c r="AV380" s="219">
        <f>AV474-AV378</f>
        <v>5156.9282922120465</v>
      </c>
      <c r="AW380" s="219">
        <f>AW474-AW378</f>
        <v>5359.4900677198193</v>
      </c>
      <c r="AX380" s="219">
        <f>AX474-AX378</f>
        <v>5565.4942089331798</v>
      </c>
      <c r="AY380" s="1022" t="s">
        <v>116</v>
      </c>
      <c r="AZ380" s="1490">
        <f>AZ474-AZ378</f>
        <v>5320.7554467062018</v>
      </c>
      <c r="BA380" s="219">
        <f>BA474-BA378</f>
        <v>5284.9179194933386</v>
      </c>
      <c r="BB380" s="219">
        <f>BB474-BB378</f>
        <v>5694.519788380062</v>
      </c>
      <c r="BC380" s="219">
        <f>BC474-BC378</f>
        <v>6428.4395128355936</v>
      </c>
      <c r="BD380" s="1022" t="s">
        <v>116</v>
      </c>
      <c r="BE380" s="1490">
        <f>BE474-BE378</f>
        <v>6505.6526937269373</v>
      </c>
      <c r="BF380" s="219">
        <f>BF474-BF378</f>
        <v>6591.3417888563054</v>
      </c>
      <c r="BG380" s="219">
        <f>BG474-BG378</f>
        <v>7002.4224540214109</v>
      </c>
      <c r="BH380" s="219">
        <f>BH474-BH378</f>
        <v>8100.1907582938393</v>
      </c>
      <c r="BI380" s="1022" t="s">
        <v>116</v>
      </c>
      <c r="BJ380" s="1490">
        <f>BJ474-BJ378</f>
        <v>8296.6599416909612</v>
      </c>
      <c r="BK380" s="219">
        <f>BK474-BK378</f>
        <v>8668.9399512519394</v>
      </c>
      <c r="BL380" s="219">
        <f>BL474-BL378</f>
        <v>9320.5833333333339</v>
      </c>
      <c r="BM380" s="219">
        <f>BM474-BM378</f>
        <v>10232.231292517006</v>
      </c>
      <c r="BN380" s="1022"/>
      <c r="BO380" s="219"/>
      <c r="BP380" s="219"/>
      <c r="BQ380" s="219"/>
      <c r="BR380" s="219"/>
      <c r="BS380" s="1955"/>
      <c r="BT380" s="219">
        <f>BT474-BT378</f>
        <v>10236.493283231564</v>
      </c>
      <c r="BU380" s="219">
        <f>BU474-BU378</f>
        <v>10521.46306092667</v>
      </c>
      <c r="BV380" s="219">
        <f>BV474-BV378</f>
        <v>10880.114697206316</v>
      </c>
      <c r="BW380" s="219">
        <f>BW474-BW378</f>
        <v>12031.535683843471</v>
      </c>
      <c r="BX380" s="1022"/>
      <c r="BY380" s="219"/>
      <c r="BZ380" s="219"/>
      <c r="CA380" s="219"/>
      <c r="CB380" s="219"/>
      <c r="CC380" s="1955"/>
      <c r="CD380" s="1490">
        <f>CD474-CD378</f>
        <v>12031</v>
      </c>
      <c r="CE380" s="219">
        <f>CE474-CE378</f>
        <v>12182</v>
      </c>
      <c r="CF380" s="219">
        <f>CF474-CF378</f>
        <v>12653</v>
      </c>
      <c r="CG380" s="219">
        <f>CG474-CG378</f>
        <v>14206</v>
      </c>
      <c r="CH380" s="1022"/>
      <c r="CI380" s="562"/>
      <c r="CJ380" s="219"/>
      <c r="CK380" s="219"/>
      <c r="CL380" s="219"/>
      <c r="CM380" s="1022"/>
      <c r="CN380" s="219"/>
      <c r="CO380" s="219"/>
      <c r="CP380" s="219"/>
      <c r="CQ380" s="219"/>
      <c r="CR380" s="1022"/>
      <c r="CS380" s="219"/>
      <c r="CT380" s="219"/>
      <c r="CU380" s="219"/>
      <c r="CV380" s="219"/>
      <c r="CW380" s="1022"/>
      <c r="CX380" s="219"/>
      <c r="CY380" s="219"/>
      <c r="CZ380" s="219"/>
      <c r="DA380" s="219"/>
      <c r="DB380" s="1022"/>
      <c r="DC380" s="219"/>
      <c r="DD380" s="219"/>
      <c r="DE380" s="219"/>
      <c r="DF380" s="219"/>
      <c r="DG380" s="1022"/>
      <c r="DH380" s="219"/>
      <c r="DI380" s="219"/>
      <c r="DJ380" s="219"/>
      <c r="DK380" s="219"/>
      <c r="DL380" s="1022"/>
      <c r="DM380" s="219"/>
      <c r="DN380" s="219"/>
      <c r="DO380" s="219"/>
      <c r="DP380" s="219"/>
      <c r="DQ380" s="1022"/>
      <c r="DR380" s="219"/>
      <c r="DS380" s="219"/>
      <c r="DT380" s="219"/>
      <c r="DU380" s="219"/>
      <c r="DV380" s="1022"/>
      <c r="DW380" s="219"/>
      <c r="DX380" s="219"/>
      <c r="DY380" s="219"/>
      <c r="DZ380" s="219"/>
      <c r="EA380" s="1022"/>
      <c r="EB380" s="219"/>
      <c r="EC380" s="219"/>
      <c r="ED380" s="219"/>
      <c r="EE380" s="219"/>
      <c r="EF380" s="1022"/>
      <c r="EG380" s="219"/>
      <c r="EH380" s="219"/>
      <c r="EI380" s="219"/>
      <c r="EJ380" s="219"/>
      <c r="EK380" s="1022"/>
      <c r="EL380" s="219"/>
      <c r="EM380" s="219"/>
      <c r="EN380" s="219"/>
      <c r="EO380" s="219"/>
      <c r="EP380" s="1022"/>
      <c r="EQ380" s="219"/>
      <c r="ER380" s="219"/>
      <c r="ES380" s="219"/>
      <c r="ET380" s="219"/>
      <c r="EU380" s="1022"/>
      <c r="EV380" s="1022"/>
      <c r="EW380" s="1022"/>
      <c r="EX380" s="1022"/>
      <c r="EY380" s="1022"/>
      <c r="EZ380" s="209"/>
      <c r="FA380" s="715"/>
      <c r="FB380" s="715"/>
    </row>
    <row r="381" spans="1:158" s="211" customFormat="1" ht="11.25" hidden="1" customHeight="1">
      <c r="A381" s="1556" t="s">
        <v>46</v>
      </c>
      <c r="B381" s="1481">
        <f t="shared" ref="B381:P381" si="1232">B90</f>
        <v>0</v>
      </c>
      <c r="C381" s="1482">
        <f t="shared" si="1232"/>
        <v>0</v>
      </c>
      <c r="D381" s="1482">
        <f t="shared" si="1232"/>
        <v>0</v>
      </c>
      <c r="E381" s="1482">
        <f t="shared" si="1232"/>
        <v>0</v>
      </c>
      <c r="F381" s="1482">
        <f t="shared" si="1232"/>
        <v>0</v>
      </c>
      <c r="G381" s="1482">
        <f t="shared" si="1232"/>
        <v>0</v>
      </c>
      <c r="H381" s="1482">
        <f t="shared" si="1232"/>
        <v>0</v>
      </c>
      <c r="I381" s="1482">
        <f t="shared" si="1232"/>
        <v>0</v>
      </c>
      <c r="J381" s="1482">
        <f t="shared" si="1232"/>
        <v>0</v>
      </c>
      <c r="K381" s="1996">
        <f t="shared" si="1232"/>
        <v>0</v>
      </c>
      <c r="L381" s="1221">
        <f t="shared" si="1232"/>
        <v>0</v>
      </c>
      <c r="M381" s="1482">
        <f t="shared" si="1232"/>
        <v>0</v>
      </c>
      <c r="N381" s="1482">
        <f t="shared" si="1232"/>
        <v>0</v>
      </c>
      <c r="O381" s="1482">
        <f t="shared" si="1232"/>
        <v>0</v>
      </c>
      <c r="P381" s="1483">
        <f t="shared" si="1232"/>
        <v>0</v>
      </c>
      <c r="Q381" s="1481" t="str">
        <f>Q478</f>
        <v>NA</v>
      </c>
      <c r="R381" s="1482">
        <f>R380/Q474-1</f>
        <v>0.92034973717307889</v>
      </c>
      <c r="S381" s="1482">
        <f>S380/R474-1</f>
        <v>0.72045411449422914</v>
      </c>
      <c r="T381" s="1482">
        <f>T380/S474-1</f>
        <v>0.45849187301294925</v>
      </c>
      <c r="U381" s="1483"/>
      <c r="V381" s="1481">
        <f>V380/T474-1</f>
        <v>0.33357002279948689</v>
      </c>
      <c r="W381" s="1482">
        <f>W380/V474-1</f>
        <v>0.25747538872021347</v>
      </c>
      <c r="X381" s="1482">
        <f>X380/W474-1</f>
        <v>0.2693782529890083</v>
      </c>
      <c r="Y381" s="1482">
        <f>Y380/X474-1</f>
        <v>0.30782874794004456</v>
      </c>
      <c r="Z381" s="1483"/>
      <c r="AA381" s="1481">
        <f>AA380/Y474-1</f>
        <v>0.27667195538247014</v>
      </c>
      <c r="AB381" s="1482">
        <f>AB380/AA474-1</f>
        <v>8.2198831290288155E-2</v>
      </c>
      <c r="AC381" s="1482">
        <f>AC380/AB474-1</f>
        <v>0.15417853227929967</v>
      </c>
      <c r="AD381" s="1482">
        <f>AD380/AC474-1</f>
        <v>0.28188567839195988</v>
      </c>
      <c r="AE381" s="1483"/>
      <c r="AF381" s="1481">
        <f>AF380/(AD474-AD214)-1</f>
        <v>0.21632135447445577</v>
      </c>
      <c r="AG381" s="1482">
        <f>AG380/(AF474-AF214)-1</f>
        <v>0.10176590139545927</v>
      </c>
      <c r="AH381" s="1482">
        <f>AH380/(AG474-AG214)-1</f>
        <v>0.14061359617496949</v>
      </c>
      <c r="AI381" s="1482">
        <f>AI380/(AH474-AH214)-1</f>
        <v>0.21612934869791545</v>
      </c>
      <c r="AJ381" s="1483"/>
      <c r="AK381" s="1481">
        <f>AK380/(AI474-AI214)-1</f>
        <v>0.17340227099946981</v>
      </c>
      <c r="AL381" s="1482">
        <f>AL380/(AK474-AK214)-1</f>
        <v>8.6617958970602205E-2</v>
      </c>
      <c r="AM381" s="1482">
        <f>AM380/(AL474-AL214)-1</f>
        <v>9.3307042482105418E-2</v>
      </c>
      <c r="AN381" s="1482">
        <f>AN380/(AM474-AM214)-1</f>
        <v>0.18970474829255224</v>
      </c>
      <c r="AO381" s="1483"/>
      <c r="AP381" s="1481">
        <f>AP380/(AN474-AN214)-1</f>
        <v>0.13989986641638286</v>
      </c>
      <c r="AQ381" s="1482">
        <f>AQ380/(AP474-AP214)-1</f>
        <v>5.4768340644739677E-2</v>
      </c>
      <c r="AR381" s="1482">
        <f>AR380/(AQ474-AQ214)-1</f>
        <v>8.9313622717834162E-2</v>
      </c>
      <c r="AS381" s="1482">
        <f>AS380/(AR474-AR214)-1</f>
        <v>0.12798149161195349</v>
      </c>
      <c r="AT381" s="1483"/>
      <c r="AU381" s="1481">
        <f>AU380/(AS474-AS214)-1</f>
        <v>6.7954730726518475E-2</v>
      </c>
      <c r="AV381" s="1482">
        <f>AV380/(AU474-AU214)-1</f>
        <v>1.3836951875014325E-2</v>
      </c>
      <c r="AW381" s="1482">
        <f>AW380/(AV474-AV214)-1</f>
        <v>3.4525770099132602E-2</v>
      </c>
      <c r="AX381" s="1482">
        <f>AX380/(AW474-AW214)-1</f>
        <v>4.6583834157083004E-2</v>
      </c>
      <c r="AY381" s="1483"/>
      <c r="AZ381" s="1481">
        <f>AZ380/(AX474-AX214)-1</f>
        <v>-1.0215571840947568E-2</v>
      </c>
      <c r="BA381" s="1482">
        <f>BA380/(AZ474-AZ214)-1</f>
        <v>2.0872269122980569E-2</v>
      </c>
      <c r="BB381" s="1482">
        <f>BB380/(BA474-BA214)-1</f>
        <v>9.2551792354305551E-2</v>
      </c>
      <c r="BC381" s="1482">
        <f>BC380/(BB474-BB214)-1</f>
        <v>0.12432067687515369</v>
      </c>
      <c r="BD381" s="1483"/>
      <c r="BE381" s="1481">
        <f>BE380/(BC474-BC214)-1</f>
        <v>7.5052296319197964E-3</v>
      </c>
      <c r="BF381" s="1482">
        <f>BF380/(BE474-BE214)-1</f>
        <v>1.9542426737247487E-2</v>
      </c>
      <c r="BG381" s="1482">
        <f>BG380/(BF474-BF214)-1</f>
        <v>8.0120693200896431E-2</v>
      </c>
      <c r="BH381" s="1482">
        <f>BH380/(BG474-BG214)-1</f>
        <v>0.16667013658272212</v>
      </c>
      <c r="BI381" s="1483"/>
      <c r="BJ381" s="1481">
        <f>BJ380/(BH474-BH214)-1</f>
        <v>1.8995325680540631E-2</v>
      </c>
      <c r="BK381" s="1482">
        <f>BK380/(BJ474-BJ214)-1</f>
        <v>4.5458267155323195E-2</v>
      </c>
      <c r="BL381" s="1482">
        <f>BL380/(BK474-BK214)-1</f>
        <v>6.9855754514845492E-2</v>
      </c>
      <c r="BM381" s="1482">
        <f>BM380/(BL474-BL214)-1</f>
        <v>9.623219332729871E-2</v>
      </c>
      <c r="BN381" s="1483"/>
      <c r="BO381" s="1221"/>
      <c r="BP381" s="1221"/>
      <c r="BQ381" s="1221"/>
      <c r="BR381" s="1221"/>
      <c r="BS381" s="1483"/>
      <c r="BT381" s="1925">
        <f>BT380/(BM474-BM214)-1</f>
        <v>8.6208772521001453E-3</v>
      </c>
      <c r="BU381" s="1482">
        <f>BU380/(BT474-BT214)-1</f>
        <v>3.2730963970030391E-2</v>
      </c>
      <c r="BV381" s="1482">
        <f>BV380/(BU474-BU214)-1</f>
        <v>4.1757439410792463E-2</v>
      </c>
      <c r="BW381" s="1482">
        <f>BW380/(BV474-BV214)-1</f>
        <v>0.11423742210071031</v>
      </c>
      <c r="BX381" s="1483"/>
      <c r="BY381" s="1221"/>
      <c r="BZ381" s="1221"/>
      <c r="CA381" s="1221"/>
      <c r="CB381" s="1221"/>
      <c r="CC381" s="1483"/>
      <c r="CD381" s="1481">
        <f>CD380/(BW474-BW214)-1</f>
        <v>-6.6450701885534258E-4</v>
      </c>
      <c r="CE381" s="1482">
        <f>CE380/(CD474-CD214)-1</f>
        <v>1.5505168389463142E-2</v>
      </c>
      <c r="CF381" s="1482">
        <f>CF380/(CE474-CE214)-1</f>
        <v>4.1656376059932443E-2</v>
      </c>
      <c r="CG381" s="1482">
        <f>CG380/(CF474-CF214)-1</f>
        <v>0.12469321510569231</v>
      </c>
      <c r="CH381" s="1483"/>
      <c r="CI381" s="1223"/>
      <c r="CJ381" s="1482"/>
      <c r="CK381" s="1482"/>
      <c r="CL381" s="1482"/>
      <c r="CM381" s="1483"/>
      <c r="CN381" s="1482"/>
      <c r="CO381" s="1482"/>
      <c r="CP381" s="1482"/>
      <c r="CQ381" s="1482"/>
      <c r="CR381" s="1483"/>
      <c r="CS381" s="1482"/>
      <c r="CT381" s="1482"/>
      <c r="CU381" s="1482"/>
      <c r="CV381" s="1482"/>
      <c r="CW381" s="1483"/>
      <c r="CX381" s="1482"/>
      <c r="CY381" s="1482"/>
      <c r="CZ381" s="1482"/>
      <c r="DA381" s="1482"/>
      <c r="DB381" s="1483"/>
      <c r="DC381" s="1482"/>
      <c r="DD381" s="1482"/>
      <c r="DE381" s="1482"/>
      <c r="DF381" s="1482"/>
      <c r="DG381" s="1483"/>
      <c r="DH381" s="1482"/>
      <c r="DI381" s="1482"/>
      <c r="DJ381" s="1482"/>
      <c r="DK381" s="1482"/>
      <c r="DL381" s="1483"/>
      <c r="DM381" s="1482"/>
      <c r="DN381" s="1482"/>
      <c r="DO381" s="1482"/>
      <c r="DP381" s="1482"/>
      <c r="DQ381" s="1483"/>
      <c r="DR381" s="1482"/>
      <c r="DS381" s="1482"/>
      <c r="DT381" s="1482"/>
      <c r="DU381" s="1482"/>
      <c r="DV381" s="1483"/>
      <c r="DW381" s="1482"/>
      <c r="DX381" s="1482"/>
      <c r="DY381" s="1482"/>
      <c r="DZ381" s="1482"/>
      <c r="EA381" s="1483"/>
      <c r="EB381" s="1482"/>
      <c r="EC381" s="1482"/>
      <c r="ED381" s="1482"/>
      <c r="EE381" s="1482"/>
      <c r="EF381" s="1483"/>
      <c r="EG381" s="1482"/>
      <c r="EH381" s="1482"/>
      <c r="EI381" s="1482"/>
      <c r="EJ381" s="1482"/>
      <c r="EK381" s="1483"/>
      <c r="EL381" s="1482"/>
      <c r="EM381" s="1482"/>
      <c r="EN381" s="1482"/>
      <c r="EO381" s="1482"/>
      <c r="EP381" s="1483"/>
      <c r="EQ381" s="1482"/>
      <c r="ER381" s="1482"/>
      <c r="ES381" s="1482"/>
      <c r="ET381" s="1482"/>
      <c r="EU381" s="1483"/>
      <c r="EV381" s="1483"/>
      <c r="EW381" s="1483"/>
      <c r="EX381" s="1483"/>
      <c r="EY381" s="1483"/>
      <c r="EZ381" s="209"/>
      <c r="FA381" s="715"/>
      <c r="FB381" s="715"/>
    </row>
    <row r="382" spans="1:158" ht="11.25" hidden="1" customHeight="1">
      <c r="FA382" s="715"/>
      <c r="FB382" s="715"/>
    </row>
    <row r="383" spans="1:158" s="129" customFormat="1" ht="11.25" hidden="1" customHeight="1">
      <c r="A383" s="1563" t="s">
        <v>259</v>
      </c>
      <c r="B383" s="647"/>
      <c r="C383" s="647"/>
      <c r="D383" s="647"/>
      <c r="E383" s="647"/>
      <c r="F383" s="1067"/>
      <c r="G383" s="1068"/>
      <c r="H383" s="647"/>
      <c r="I383" s="647"/>
      <c r="J383" s="647"/>
      <c r="K383" s="1510"/>
      <c r="L383" s="647"/>
      <c r="M383" s="647"/>
      <c r="N383" s="647"/>
      <c r="O383" s="647"/>
      <c r="P383" s="1048"/>
      <c r="Q383" s="1069">
        <f>((SUM(IS!Q15:Q21)*1000000)*4)/(AVERAGE('Revenue Drivers'!P317:Q317))</f>
        <v>226157.30337078657</v>
      </c>
      <c r="R383" s="648">
        <f>((SUM(IS!R15:R21)*1000000)*4)/(AVERAGE('Revenue Drivers'!Q317:R317))</f>
        <v>235212.12121212119</v>
      </c>
      <c r="S383" s="648">
        <f>((SUM(IS!S15:S21)*1000000)*4)/(AVERAGE('Revenue Drivers'!R317:S317))</f>
        <v>222777.77777777778</v>
      </c>
      <c r="T383" s="648">
        <f>((SUM(IS!T15:T21)*1000000)*4)/(AVERAGE('Revenue Drivers'!S317:T317))</f>
        <v>208451.55855096885</v>
      </c>
      <c r="U383" s="1048">
        <f>(SUM(IS!U15:U21)*1000000)/((P317+U317)/2)</f>
        <v>442912.66375545861</v>
      </c>
      <c r="V383" s="1069">
        <f>((SUM(IS!V15:V21)*1000000)*4)/(AVERAGE('Revenue Drivers'!U317:V317))</f>
        <v>211960.55226824459</v>
      </c>
      <c r="W383" s="648">
        <f>((SUM(IS!W15:W21)*1000000)*4)/(AVERAGE('Revenue Drivers'!V317:W317))</f>
        <v>214778.26725403822</v>
      </c>
      <c r="X383" s="648">
        <f>((SUM(IS!X15:X21)*1000000)*4)/(AVERAGE('Revenue Drivers'!W317:X317))</f>
        <v>260006.25</v>
      </c>
      <c r="Y383" s="649">
        <f>((SUM(IS!Y15:Y21)*1000000)*4)/(AVERAGE('Revenue Drivers'!X317:Y317))</f>
        <v>237059.98681608439</v>
      </c>
      <c r="Z383" s="1048">
        <f>(SUM(IS!Z15:Z21)*1000000)/((U317+Z317)/2)</f>
        <v>748476.99115044239</v>
      </c>
      <c r="AA383" s="1069">
        <f>((SUM(IS!AA15:AA21)*1000000)*4)/(AVERAGE('Revenue Drivers'!Z317:AA317))</f>
        <v>236331.54172560113</v>
      </c>
      <c r="AB383" s="648">
        <f>((SUM(IS!AB15:AB21)*1000000)*4)/(AVERAGE('Revenue Drivers'!AA317:AB317))</f>
        <v>244088.5925220291</v>
      </c>
      <c r="AC383" s="648">
        <f>((SUM(IS!AC15:AC21)*1000000)*4)/(AVERAGE('Revenue Drivers'!AB317:AC317))</f>
        <v>264024.19354838709</v>
      </c>
      <c r="AD383" s="649">
        <f>((SUM(IS!AD15:AD21)*1000000)*4)/(AVERAGE('Revenue Drivers'!AC317:AD317))</f>
        <v>302889.0841975743</v>
      </c>
      <c r="AE383" s="1048">
        <f>(SUM(IS!AE15:AE21)*1000000)/((Z317+AE317)/2)</f>
        <v>654560.5506560551</v>
      </c>
      <c r="AF383" s="1069">
        <f>((SUM(IS!AF15:AF21)*1000000)*4)/(AVERAGE('Revenue Drivers'!AE317:AF317))</f>
        <v>270189.14347224357</v>
      </c>
      <c r="AG383" s="648">
        <f>((SUM(IS!AG15:AG21)*1000000)*4)/(AVERAGE('Revenue Drivers'!AF317:AG317))</f>
        <v>275918.06914546638</v>
      </c>
      <c r="AH383" s="648">
        <f>((SUM(IS!AH15:AH21)*1000000)*4)/(AVERAGE('Revenue Drivers'!AG317:AH317))</f>
        <v>304536.41517662443</v>
      </c>
      <c r="AI383" s="648">
        <f>((SUM(IS!AI15:AI21)*1000000)*4)/(AVERAGE('Revenue Drivers'!AH317:AI317))</f>
        <v>319368.63811041333</v>
      </c>
      <c r="AJ383" s="1048">
        <f>(SUM(IS!AJ15:AJ21)*1000000)/((AE317+AJ317)/2)</f>
        <v>567904.14894839679</v>
      </c>
      <c r="AK383" s="1069">
        <f>((SUM(IS!AK15:AK21)*1000000)*4)/(AVERAGE('Revenue Drivers'!AJ317:AK317))</f>
        <v>655084.52285485168</v>
      </c>
      <c r="AL383" s="648">
        <f>((SUM(IS!AL15:AL21)*1000000)*4)/(AVERAGE('Revenue Drivers'!AK317:AL317))</f>
        <v>601986.42411077931</v>
      </c>
      <c r="AM383" s="648">
        <f>((SUM(IS!AM15:AM21)*1000000)*4)/(AVERAGE('Revenue Drivers'!AL317:AM317))</f>
        <v>557918.70669745957</v>
      </c>
      <c r="AN383" s="649">
        <f>((SUM(IS!AN15:AN21)*1000000)*4)/(AVERAGE('Revenue Drivers'!AM317:AN317))</f>
        <v>589203.67045681225</v>
      </c>
      <c r="AO383" s="1048">
        <f>(SUM(IS!AO15:AO21)*1000000)/((AJ317+AO317)/2)</f>
        <v>588773.87795034854</v>
      </c>
      <c r="AP383" s="1069">
        <f>((SUM(IS!AP15:AP21)*1000000)*4)/(AVERAGE('Revenue Drivers'!AO317:AP317))</f>
        <v>576756.98324022349</v>
      </c>
      <c r="AQ383" s="648">
        <f>((SUM(IS!AQ15:AQ21)*1000000)*4)/(AVERAGE('Revenue Drivers'!AP317:AQ317))</f>
        <v>631517.98339993856</v>
      </c>
      <c r="AR383" s="648">
        <f>((SUM(IS!AR15:AR21)*1000000)*4)/(AVERAGE('Revenue Drivers'!AQ317:AR317))</f>
        <v>578253.31627499824</v>
      </c>
      <c r="AS383" s="649">
        <f>((SUM(IS!AS15:AS21)*1000000)*4)/(AVERAGE('Revenue Drivers'!AR317:AS317))</f>
        <v>597440.42052504513</v>
      </c>
      <c r="AT383" s="1048">
        <f>(SUM(IS!AT15:AT21)*1000000)/((AO317+AT317)/2)</f>
        <v>603855.74438662245</v>
      </c>
      <c r="AU383" s="1069">
        <f>((SUM(IS!AU15:AU21)*1000000)*4)/(AVERAGE(AT317:AU317))</f>
        <v>581515.3082506049</v>
      </c>
      <c r="AV383" s="648">
        <f>((SUM(IS!AV15:AV21)*1000000)*4)/(AVERAGE(AU317:AV317))</f>
        <v>572733.74613003107</v>
      </c>
      <c r="AW383" s="648">
        <f>((SUM(IS!AW15:AW21)*1000000)*4)/(AVERAGE(AV317:AW317))</f>
        <v>583634.90824879811</v>
      </c>
      <c r="AX383" s="648">
        <f>((SUM(IS!AX15:AX21)*1000000)*4)/(AVERAGE(AW317:AX317))</f>
        <v>565995.48890816711</v>
      </c>
      <c r="AY383" s="1048">
        <f>(SUM(IS!AY15:AY21)*1000000)/((AT317+AY317)/2)</f>
        <v>601805.33124476741</v>
      </c>
      <c r="AZ383" s="1069">
        <f>((SUM(IS!AZ15:AZ21)*1000000)*4)/(AVERAGE(AY317:AZ317))</f>
        <v>507526.37052443915</v>
      </c>
      <c r="BA383" s="648">
        <f>((SUM(IS!BA15:BA21)*1000000)*4)/(AVERAGE(AZ317:BA317))</f>
        <v>536214.66833541915</v>
      </c>
      <c r="BB383" s="648">
        <f>((SUM(IS!BB15:BB21)*1000000)*4)/(AVERAGE(BA317:BB317))</f>
        <v>579038.70624318777</v>
      </c>
      <c r="BC383" s="648">
        <f>((SUM(IS!BC15:BC21)*1000000)*4)/(AVERAGE(BB317:BC317))</f>
        <v>620818.02531645575</v>
      </c>
      <c r="BD383" s="1048">
        <f>(SUM(IS!BD15:BD21)*1000000)/((AY317+BD317)/2)</f>
        <v>557235.33964101167</v>
      </c>
      <c r="BE383" s="1069">
        <f>((SUM(IS!BE15:BE21)*1000000)*4)/(AVERAGE(BD317:BE317))</f>
        <v>636741.15087996831</v>
      </c>
      <c r="BF383" s="648">
        <f>((SUM(IS!BF15:BF21)*1000000)*4)/(AVERAGE($BE$317:$BF$317))</f>
        <v>654692.87700938107</v>
      </c>
      <c r="BG383" s="648">
        <f>((SUM(IS!BG15:BG21)*1000000)*4)/(AVERAGE(BF317:BG317))</f>
        <v>671570.36511875223</v>
      </c>
      <c r="BH383" s="648">
        <f>((SUM(IS!BH15:BH21)*1000000)*4)/(AVERAGE(BG317:BH317))</f>
        <v>739812.70034149708</v>
      </c>
      <c r="BI383" s="1048">
        <f>((SUM(IS!BI15:BI21)*1000000))/(AVERAGE(BH317:BI317))</f>
        <v>610450.8196721311</v>
      </c>
      <c r="BJ383" s="1069">
        <f>((SUM(IS!BJ15:BJ21)*1000000)*4)/(AVERAGE(BI317:BJ317))</f>
        <v>792964.74485369504</v>
      </c>
      <c r="BK383" s="648">
        <f>((SUM(IS!BK15:BK21)*1000000)*4)/(AVERAGE(BJ317:BK317))</f>
        <v>760293.37012562633</v>
      </c>
      <c r="BL383" s="648">
        <f>((SUM(IS!BL15:BL21)*1000000)*4)/(AVERAGE(BK317:BL317))</f>
        <v>772841.43643651973</v>
      </c>
      <c r="BM383" s="648">
        <f>((SUM(IS!BM15:BM21)*1000000)*4)/(AVERAGE(BL317:BM317))</f>
        <v>733688.49890316511</v>
      </c>
      <c r="BN383" s="1048">
        <f>((SUM(IS!BN15:BN21)*1000000))/(AVERAGE(BM317:BN317))</f>
        <v>675239.47392737237</v>
      </c>
      <c r="BO383" s="1685"/>
      <c r="BP383" s="1685"/>
      <c r="BQ383" s="1685"/>
      <c r="BR383" s="1685"/>
      <c r="BS383" s="1950"/>
      <c r="BT383" s="648">
        <f>((SUM(IS!BT15:BT21)*1000000)*4)/(AVERAGE(BN317:BT317))</f>
        <v>364335.40827535704</v>
      </c>
      <c r="BU383" s="648">
        <f>((SUM(IS!BU15:BU21)*1000000)*4)/(AVERAGE(BT317:BU317))</f>
        <v>364931.44179972698</v>
      </c>
      <c r="BV383" s="648">
        <f>((SUM(IS!BV15:BV21)*1000000)*4)/(AVERAGE(BU317:BV317))</f>
        <v>367803.03568132443</v>
      </c>
      <c r="BW383" s="648">
        <f>((SUM(IS!BW15:BW21)*1000000)*4)/(AVERAGE(BV317:BW317))</f>
        <v>393038.47302544053</v>
      </c>
      <c r="BX383" s="1048">
        <f>(SUM(IS!BX15:BX21)*1000000)/((BX317+BN317)/2)</f>
        <v>748053.877247861</v>
      </c>
      <c r="BY383" s="1685"/>
      <c r="BZ383" s="1685"/>
      <c r="CA383" s="1685"/>
      <c r="CB383" s="1685"/>
      <c r="CC383" s="1950"/>
      <c r="CD383" s="648">
        <f>((SUM(IS!CD15,IS!CD18,IS!CD21)*1000000)*4)/(AVERAGE(BX317:CD317))</f>
        <v>368207.8575829477</v>
      </c>
      <c r="CE383" s="648">
        <f>((SUM(IS!CE15,IS!CE18,IS!CE21)*1000000)*4)/(AVERAGE(CD317:CE317))</f>
        <v>386634.05856786243</v>
      </c>
      <c r="CF383" s="648">
        <f>((SUM(IS!CF15,IS!CF18,IS!CF21)*1000000)*4)/(AVERAGE(CE317:CF317))</f>
        <v>375127.52003886324</v>
      </c>
      <c r="CG383" s="648">
        <f>((SUM(IS!CG15,IS!CG18,IS!CG21)*1000000)*4)/(AVERAGE(CF317:CG317))</f>
        <v>397935.45987166371</v>
      </c>
      <c r="CH383" s="1048">
        <f>(SUM(IS!CH15,IS!CH18,IS!CH21)*1000000)/((CH317+BX317)/2)</f>
        <v>379947.4240227993</v>
      </c>
      <c r="CI383" s="648">
        <f>((SUM(IS!CI15,IS!CI18,IS!CI21)*1000000)*4)/(AVERAGE(CH317:CI317))</f>
        <v>408743.55784609914</v>
      </c>
      <c r="CJ383" s="648">
        <f>((SUM(IS!CJ15,IS!CJ18,IS!CJ21)*1000000)*4)/(AVERAGE(CI317:CJ317))</f>
        <v>405513.22371614916</v>
      </c>
      <c r="CK383" s="648">
        <f>((SUM(IS!CK15,IS!CK18,IS!CK21)*1000000)*4)/(AVERAGE(CJ317:CK317))</f>
        <v>400846.74681471422</v>
      </c>
      <c r="CL383" s="648">
        <f>((SUM(IS!CL15,IS!CL18,IS!CL21)*1000000)*4)/(AVERAGE(CK317:CL317))</f>
        <v>437640.25712220912</v>
      </c>
      <c r="CM383" s="1048">
        <f>(SUM(IS!CM15,IS!CM18,IS!CM21)*1000000)/((CH317+CM317)/2)</f>
        <v>413986.98980115325</v>
      </c>
      <c r="CN383" s="648">
        <f>((SUM(IS!CN15,IS!CN18,IS!CN21)*1000000)*4)/(AVERAGE(CM317:CN317))</f>
        <v>397211.00917431194</v>
      </c>
      <c r="CO383" s="648">
        <f>((SUM(IS!CO15,IS!CO18,IS!CO21)*1000000)*4)/(AVERAGE(CN317:CO317))</f>
        <v>380282.19070974161</v>
      </c>
      <c r="CP383" s="648">
        <f>((SUM(IS!CP15,IS!CP18,IS!CP21)*1000000)*4)/(AVERAGE(CO317:CP317))</f>
        <v>391311.77213892969</v>
      </c>
      <c r="CQ383" s="648">
        <f>((SUM(IS!CQ15,IS!CQ18,IS!CQ21)*1000000)*4)/(AVERAGE(CP317:CQ317))</f>
        <v>432022.33352491993</v>
      </c>
      <c r="CR383" s="1048">
        <f>(SUM(IS!CR15,IS!CR18,IS!CR21)*1000000)/((CM317+CR317)/2)</f>
        <v>399743.53198052227</v>
      </c>
      <c r="CS383" s="648">
        <f>((SUM(IS!CS15,IS!CS18,IS!CS21)*1000000)*4)/(AVERAGE(CR317:CS317))</f>
        <v>382056.55567819963</v>
      </c>
      <c r="CT383" s="648">
        <f>((SUM(IS!CT15,IS!CT18,IS!CT21)*1000000)*4)/(AVERAGE(CS317:CT317))</f>
        <v>376708.24087535386</v>
      </c>
      <c r="CU383" s="648">
        <f>((SUM(IS!CU15,IS!CU18,IS!CU21)*1000000)*4)/(AVERAGE(CT317:CU317))</f>
        <v>377944.45095511543</v>
      </c>
      <c r="CV383" s="648">
        <f>((SUM(IS!CV15,IS!CV18,IS!CV21)*1000000)*4)/(AVERAGE(CU317:CV317))</f>
        <v>408658.78906525078</v>
      </c>
      <c r="CW383" s="1048">
        <f>(SUM(IS!CW15,IS!CW18,IS!CW21)*1000000)/((CR317+CW317)/2)</f>
        <v>386532.9020595068</v>
      </c>
      <c r="CX383" s="2528"/>
      <c r="CY383" s="2528"/>
      <c r="CZ383" s="2528"/>
      <c r="DA383" s="2528"/>
      <c r="DB383" s="2529"/>
      <c r="DC383" s="2528"/>
      <c r="DD383" s="2528"/>
      <c r="DE383" s="2528"/>
      <c r="DF383" s="2528"/>
      <c r="DG383" s="2529"/>
      <c r="DH383" s="2528"/>
      <c r="DI383" s="2528"/>
      <c r="DJ383" s="2528"/>
      <c r="DK383" s="2528"/>
      <c r="DL383" s="2529"/>
      <c r="DM383" s="2528"/>
      <c r="DN383" s="2528"/>
      <c r="DO383" s="2528"/>
      <c r="DP383" s="2528"/>
      <c r="DQ383" s="2529"/>
      <c r="DR383" s="2528"/>
      <c r="DS383" s="2528"/>
      <c r="DT383" s="2528"/>
      <c r="DU383" s="2528"/>
      <c r="DV383" s="2529"/>
      <c r="DW383" s="2528"/>
      <c r="DX383" s="2528"/>
      <c r="DY383" s="2528"/>
      <c r="DZ383" s="2528"/>
      <c r="EA383" s="2529"/>
      <c r="EB383" s="2528"/>
      <c r="EC383" s="2528"/>
      <c r="ED383" s="2528"/>
      <c r="EE383" s="2528"/>
      <c r="EF383" s="2529"/>
      <c r="EG383" s="2528"/>
      <c r="EH383" s="2528"/>
      <c r="EI383" s="2528"/>
      <c r="EJ383" s="2528"/>
      <c r="EK383" s="2529"/>
      <c r="EL383" s="2528"/>
      <c r="EM383" s="2528"/>
      <c r="EN383" s="2528"/>
      <c r="EO383" s="2528"/>
      <c r="EP383" s="2529"/>
      <c r="EQ383" s="2528"/>
      <c r="ER383" s="2528"/>
      <c r="ES383" s="2528"/>
      <c r="ET383" s="2528"/>
      <c r="EU383" s="2529"/>
      <c r="EV383" s="2529"/>
      <c r="EW383" s="2529"/>
      <c r="EX383" s="2529"/>
      <c r="EY383" s="2529"/>
      <c r="FA383" s="761"/>
      <c r="FB383" s="761"/>
    </row>
    <row r="384" spans="1:158" s="685" customFormat="1" ht="11.25" hidden="1" customHeight="1">
      <c r="A384" s="1564" t="s">
        <v>326</v>
      </c>
      <c r="B384" s="1070"/>
      <c r="C384" s="1070"/>
      <c r="D384" s="1070"/>
      <c r="E384" s="1070"/>
      <c r="F384" s="1070"/>
      <c r="G384" s="1070"/>
      <c r="H384" s="1070"/>
      <c r="I384" s="1070"/>
      <c r="J384" s="1070"/>
      <c r="K384" s="1511"/>
      <c r="L384" s="1070"/>
      <c r="M384" s="1070"/>
      <c r="N384" s="1070"/>
      <c r="O384" s="1070"/>
      <c r="P384" s="1040"/>
      <c r="Q384" s="728">
        <f>((SUM(IS!Q15:Q21)*1000000))/(AVERAGE(Q317))</f>
        <v>51952.802359882015</v>
      </c>
      <c r="R384" s="728">
        <f>((SUM(IS!R15:R21)*1000000))/(AVERAGE(R317))</f>
        <v>51403.973509933763</v>
      </c>
      <c r="S384" s="728">
        <f>((SUM(IS!S15:S21)*1000000))/(AVERAGE(S317))</f>
        <v>50576.576576576575</v>
      </c>
      <c r="T384" s="728">
        <f>((SUM(IS!T15:T21)*1000000))/(AVERAGE(T317))</f>
        <v>48938.291139240515</v>
      </c>
      <c r="U384" s="1040" t="s">
        <v>116</v>
      </c>
      <c r="V384" s="728">
        <f>((SUM(IS!V15:V21)*1000000))/(AVERAGE(V317))</f>
        <v>45330.708661417324</v>
      </c>
      <c r="W384" s="728">
        <f>((SUM(IS!W15:W21)*1000000))/(AVERAGE(W317))</f>
        <v>47529.462738301569</v>
      </c>
      <c r="X384" s="728">
        <f>((SUM(IS!X15:X21)*1000000))/(AVERAGE(X317))</f>
        <v>59176.38691322902</v>
      </c>
      <c r="Y384" s="728">
        <f>((SUM(IS!Y15:Y21)*1000000))/(AVERAGE(Y317))</f>
        <v>55224.201474201473</v>
      </c>
      <c r="Z384" s="1040" t="s">
        <v>116</v>
      </c>
      <c r="AA384" s="728">
        <f>((SUM(IS!AA15:AA21)*1000000))/(AVERAGE(AA317))</f>
        <v>54760.880964866279</v>
      </c>
      <c r="AB384" s="728">
        <f>((SUM(IS!AB15:AB21)*1000000))/(AVERAGE(AB317))</f>
        <v>55897.033158813269</v>
      </c>
      <c r="AC384" s="728">
        <f>((SUM(IS!AC15:AC21)*1000000))/(AVERAGE(AC317))</f>
        <v>61354.94752623688</v>
      </c>
      <c r="AD384" s="728">
        <f>((SUM(IS!AD15:AD21)*1000000))/(AVERAGE(AD317))</f>
        <v>71298.245614035084</v>
      </c>
      <c r="AE384" s="1040">
        <f>AVERAGE(AA384:AD384)</f>
        <v>60827.776815987876</v>
      </c>
      <c r="AF384" s="728">
        <f>((SUM(IS!AF15:AF21)*1000000))/(AVERAGE(AF317))</f>
        <v>63075.818495117746</v>
      </c>
      <c r="AG384" s="728">
        <f>((SUM(IS!AG15:AG21)*1000000))/(AVERAGE(AG317))</f>
        <v>63199.617499402339</v>
      </c>
      <c r="AH384" s="728">
        <f>((SUM(IS!AH15:AH21)*1000000))/(AVERAGE(AH317))</f>
        <v>69984.165163359372</v>
      </c>
      <c r="AI384" s="728">
        <f>((SUM(IS!AI15:AI21)*1000000))/(AVERAGE(AI317))</f>
        <v>74985.563380281688</v>
      </c>
      <c r="AJ384" s="1040">
        <f>AVERAGE(AF384:AI384)</f>
        <v>67811.291134540283</v>
      </c>
      <c r="AK384" s="728">
        <f>((SUM(IS!AK15:AK21)*1000000))/(AVERAGE(AK317))</f>
        <v>150384.83063328423</v>
      </c>
      <c r="AL384" s="728">
        <f>((SUM(IS!AL15:AL21)*1000000))/(AVERAGE(AL317))</f>
        <v>139581.71745152355</v>
      </c>
      <c r="AM384" s="728">
        <f>((SUM(IS!AM15:AM21)*1000000))/(AVERAGE(AM317))</f>
        <v>128800.81040733632</v>
      </c>
      <c r="AN384" s="728">
        <f>((SUM(IS!AN15:AN21)*1000000))/(AVERAGE(AN317))</f>
        <v>138358.53475735433</v>
      </c>
      <c r="AO384" s="1040">
        <f>AVERAGE(AK384:AN384)</f>
        <v>139281.47331237461</v>
      </c>
      <c r="AP384" s="728">
        <f>((SUM(IS!AP15:AP21)*1000000))/(AVERAGE(AP317))</f>
        <v>134975.64961595033</v>
      </c>
      <c r="AQ384" s="728">
        <f>((SUM(IS!AQ15:AQ21)*1000000))/(AVERAGE(AQ317))</f>
        <v>149015.52299434209</v>
      </c>
      <c r="AR384" s="728">
        <f>((SUM(IS!AR15:AR21)*1000000))/(AVERAGE(AR317))</f>
        <v>134890.04775069113</v>
      </c>
      <c r="AS384" s="728">
        <f>((SUM(IS!AS15:AS21)*1000000))/(AVERAGE(AS317))</f>
        <v>145409.46146980065</v>
      </c>
      <c r="AT384" s="1040">
        <f>AVERAGE(AP384:AS384)</f>
        <v>141072.67045769605</v>
      </c>
      <c r="AU384" s="728">
        <f>((SUM(IS!AU15:AU21)*1000000))/(AVERAGE(AU317))</f>
        <v>136457.715598246</v>
      </c>
      <c r="AV384" s="728">
        <f>((SUM(IS!AV15:AV21)*1000000))/(AVERAGE(AV317))</f>
        <v>141547.3882881045</v>
      </c>
      <c r="AW384" s="728">
        <f>((SUM(IS!AW15:AW21)*1000000))/(AVERAGE(AW317))</f>
        <v>144027.13313124288</v>
      </c>
      <c r="AX384" s="728">
        <f>((SUM(IS!AX15:AX21)*1000000))/(AVERAGE(AX317))</f>
        <v>141152.5071704085</v>
      </c>
      <c r="AY384" s="1040">
        <f>AVERAGE(AU384:AX384)</f>
        <v>140796.18604700046</v>
      </c>
      <c r="AZ384" s="728">
        <f>((SUM(IS!AZ15:AZ21)*1000000))/(AVERAGE(AZ317))</f>
        <v>127064.07458837533</v>
      </c>
      <c r="BA384" s="728">
        <f>((SUM(IS!BA15:BA21)*1000000))/(AVERAGE(BA317))</f>
        <v>135334.17567977356</v>
      </c>
      <c r="BB384" s="728">
        <f>((SUM(IS!BB15:BB21)*1000000))/(AVERAGE(BB317))</f>
        <v>145205.0343249428</v>
      </c>
      <c r="BC384" s="728">
        <f>((SUM(IS!BC15:BC21)*1000000))/(AVERAGE(BC317))</f>
        <v>154539.40005041592</v>
      </c>
      <c r="BD384" s="1040">
        <f>AVERAGE(AZ384:BC384)</f>
        <v>140535.6711608769</v>
      </c>
      <c r="BE384" s="728">
        <f>((SUM(IS!BE15:BE21)*1000000))/(AVERAGE(BE317))</f>
        <v>156151.49604771833</v>
      </c>
      <c r="BF384" s="728">
        <f>((SUM(IS!BF15:BF21)*1000000))/(AVERAGE(BF317))</f>
        <v>159229.53451043338</v>
      </c>
      <c r="BG384" s="728">
        <f>((SUM(IS!BG15:BG21)*1000000))/(AVERAGE(BG317))</f>
        <v>162401.95448116239</v>
      </c>
      <c r="BH384" s="728">
        <f>((SUM(IS!BH15:BH21)*1000000))/(AVERAGE(BH317))</f>
        <v>180901.63934426231</v>
      </c>
      <c r="BI384" s="1040">
        <f>AVERAGE(BE384:BH384)</f>
        <v>164671.15609589411</v>
      </c>
      <c r="BJ384" s="728">
        <f>((SUM(IS!BJ15:BJ21)*1000000))/(AVERAGE(BJ317))</f>
        <v>191024.47180422556</v>
      </c>
      <c r="BK384" s="728">
        <f>((SUM(IS!BK15:BK21)*1000000))/(AVERAGE(BK317))</f>
        <v>181973.02558398221</v>
      </c>
      <c r="BL384" s="728">
        <f>((SUM(IS!BL15:BL21)*1000000))/(AVERAGE(BL317))</f>
        <v>185245.43105922878</v>
      </c>
      <c r="BM384" s="728">
        <f>((SUM(IS!BM15:BM21)*1000000))/(AVERAGE(BM317))</f>
        <v>180275.35651584686</v>
      </c>
      <c r="BN384" s="1040">
        <f>AVERAGE(BJ384:BM384)</f>
        <v>184629.57124082086</v>
      </c>
      <c r="BO384" s="728"/>
      <c r="BP384" s="728"/>
      <c r="BQ384" s="728"/>
      <c r="BR384" s="728"/>
      <c r="BS384" s="1951"/>
      <c r="BT384" s="728">
        <f>((SUM(IS!BT15:BT21)*1000000))/(AVERAGE(BT317))</f>
        <v>90243.976176799595</v>
      </c>
      <c r="BU384" s="728">
        <f>((SUM(IS!BU15:BU21)*1000000))/(AVERAGE(BU317))</f>
        <v>89592.259042289646</v>
      </c>
      <c r="BV384" s="728">
        <f>((SUM(IS!BV15:BV21)*1000000))/(AVERAGE(BV317))</f>
        <v>89650.589733650806</v>
      </c>
      <c r="BW384" s="728">
        <f>((SUM(IS!BW15:BW21)*1000000))/(AVERAGE(BW317))</f>
        <v>96393.564883869592</v>
      </c>
      <c r="BX384" s="1040">
        <f>AVERAGE(BT384:BW384)</f>
        <v>91470.097459152414</v>
      </c>
      <c r="BY384" s="728"/>
      <c r="BZ384" s="728"/>
      <c r="CA384" s="728"/>
      <c r="CB384" s="728"/>
      <c r="CC384" s="1951"/>
      <c r="CD384" s="728">
        <f>((SUM(IS!CD15,IS!CD18,IS!CD21)*1000000))/(AVERAGE(CD317))</f>
        <v>90632.179457394363</v>
      </c>
      <c r="CE384" s="728">
        <f>((SUM(IS!CE15,IS!CE18,IS!CE21)*1000000))/(AVERAGE(CE317))</f>
        <v>94927.572303250534</v>
      </c>
      <c r="CF384" s="728">
        <f>((SUM(IS!CF15,IS!CF18,IS!CF21)*1000000))/(AVERAGE(CF317))</f>
        <v>91575.352212893122</v>
      </c>
      <c r="CG384" s="728">
        <f>((SUM(IS!CG15,IS!CG18,IS!CG21)*1000000))/(AVERAGE(CG317))</f>
        <v>97555.970999954399</v>
      </c>
      <c r="CH384" s="1040">
        <f>((SUM(IS!CH15,IS!CH18,IS!CH21)*1000000)/4)/(AVERAGE(CH317))</f>
        <v>88145.775386439287</v>
      </c>
      <c r="CI384" s="728">
        <f>((SUM(IS!CI15,IS!CI18,IS!CI21)*1000000))/(AVERAGE(CI317))</f>
        <v>99631.795538228282</v>
      </c>
      <c r="CJ384" s="728">
        <f>((SUM(IS!CJ15,IS!CJ18,IS!CJ21)*1000000))/(AVERAGE(CJ317))</f>
        <v>98859.706899390745</v>
      </c>
      <c r="CK384" s="728">
        <f>((SUM(IS!CK15,IS!CK18,IS!CK21)*1000000))/(AVERAGE(CK317))</f>
        <v>97315.956869133501</v>
      </c>
      <c r="CL384" s="728">
        <f>((SUM(IS!CL15,IS!CL18,IS!CL21)*1000000))/(AVERAGE(CL317))</f>
        <v>107332.0895522388</v>
      </c>
      <c r="CM384" s="1040">
        <f>((SUM(IS!CM15,IS!CM18,IS!CM21)*1000000)/4)/(AVERAGE(CM317))</f>
        <v>94095.149253731346</v>
      </c>
      <c r="CN384" s="728">
        <f>((SUM(IS!CN15,IS!CN18,IS!CN21)*1000000))/(AVERAGE(CN317))</f>
        <v>97689.530685920574</v>
      </c>
      <c r="CO384" s="728">
        <f>((SUM(IS!CO15,IS!CO18,IS!CO21)*1000000))/(AVERAGE(CO317))</f>
        <v>93616.574508294259</v>
      </c>
      <c r="CP384" s="728">
        <f>((SUM(IS!CP15,IS!CP18,IS!CP21)*1000000))/(AVERAGE(CP317))</f>
        <v>95521.541950113373</v>
      </c>
      <c r="CQ384" s="728">
        <f>((SUM(IS!CQ15,IS!CQ18,IS!CQ21)*1000000))/(AVERAGE(CQ317))</f>
        <v>106399.84469537645</v>
      </c>
      <c r="CR384" s="1040">
        <f>((SUM(IS!CR15,IS!CR18,IS!CR21)*1000000)/4)/(AVERAGE(CR317))</f>
        <v>93296.017083508588</v>
      </c>
      <c r="CS384" s="728">
        <f>((SUM(IS!CS15,IS!CS18,IS!CS21)*1000000))/(AVERAGE(CS317))</f>
        <v>93800.202760664426</v>
      </c>
      <c r="CT384" s="728">
        <f>((SUM(IS!CT15,IS!CT18,IS!CT21)*1000000))/(AVERAGE(CT317))</f>
        <v>92437.101013894106</v>
      </c>
      <c r="CU384" s="728">
        <f>((SUM(IS!CU15,IS!CU18,IS!CU21)*1000000))/(AVERAGE(CU317))</f>
        <v>92204.766057209839</v>
      </c>
      <c r="CV384" s="728">
        <f>((SUM(IS!CV15,IS!CV18,IS!CV21)*1000000))/(AVERAGE(CV317))</f>
        <v>100675.89135775054</v>
      </c>
      <c r="CW384" s="1040">
        <f>((SUM(IS!CW15,IS!CW18,IS!CW21)*1000000)/4)/(AVERAGE(CW317))</f>
        <v>89767.254659764338</v>
      </c>
      <c r="CX384" s="2528"/>
      <c r="CY384" s="2528"/>
      <c r="CZ384" s="2528"/>
      <c r="DA384" s="2528"/>
      <c r="DB384" s="2529"/>
      <c r="DC384" s="2528"/>
      <c r="DD384" s="2528"/>
      <c r="DE384" s="2528"/>
      <c r="DF384" s="2528"/>
      <c r="DG384" s="2529"/>
      <c r="DH384" s="2528"/>
      <c r="DI384" s="2528"/>
      <c r="DJ384" s="2528"/>
      <c r="DK384" s="2528"/>
      <c r="DL384" s="2529"/>
      <c r="DM384" s="2528"/>
      <c r="DN384" s="2528"/>
      <c r="DO384" s="2528"/>
      <c r="DP384" s="2528"/>
      <c r="DQ384" s="2529"/>
      <c r="DR384" s="2528"/>
      <c r="DS384" s="2528"/>
      <c r="DT384" s="2528"/>
      <c r="DU384" s="2528"/>
      <c r="DV384" s="2529"/>
      <c r="DW384" s="2528"/>
      <c r="DX384" s="2528"/>
      <c r="DY384" s="2528"/>
      <c r="DZ384" s="2528"/>
      <c r="EA384" s="2529"/>
      <c r="EB384" s="2528"/>
      <c r="EC384" s="2528"/>
      <c r="ED384" s="2528"/>
      <c r="EE384" s="2528"/>
      <c r="EF384" s="2529"/>
      <c r="EG384" s="2528"/>
      <c r="EH384" s="2528"/>
      <c r="EI384" s="2528"/>
      <c r="EJ384" s="2528"/>
      <c r="EK384" s="2529"/>
      <c r="EL384" s="2528"/>
      <c r="EM384" s="2528"/>
      <c r="EN384" s="2528"/>
      <c r="EO384" s="2528"/>
      <c r="EP384" s="2529"/>
      <c r="EQ384" s="2528"/>
      <c r="ER384" s="2528"/>
      <c r="ES384" s="2528"/>
      <c r="ET384" s="2528"/>
      <c r="EU384" s="2529"/>
      <c r="EV384" s="2529"/>
      <c r="EW384" s="2529"/>
      <c r="EX384" s="2529"/>
      <c r="EY384" s="2529"/>
      <c r="EZ384" s="511"/>
      <c r="FA384" s="761"/>
      <c r="FB384" s="761"/>
    </row>
    <row r="385" spans="1:158" s="284" customFormat="1" ht="11.25" hidden="1" customHeight="1">
      <c r="A385" s="1562" t="s">
        <v>45</v>
      </c>
      <c r="B385" s="183"/>
      <c r="C385" s="183"/>
      <c r="D385" s="183"/>
      <c r="E385" s="183"/>
      <c r="F385" s="183"/>
      <c r="G385" s="183"/>
      <c r="H385" s="183"/>
      <c r="I385" s="183"/>
      <c r="J385" s="183"/>
      <c r="K385" s="1032"/>
      <c r="L385" s="183"/>
      <c r="M385" s="183"/>
      <c r="N385" s="183"/>
      <c r="O385" s="183"/>
      <c r="P385" s="1041"/>
      <c r="Q385" s="183"/>
      <c r="R385" s="183"/>
      <c r="S385" s="183"/>
      <c r="T385" s="183"/>
      <c r="U385" s="1041" t="s">
        <v>116</v>
      </c>
      <c r="V385" s="183">
        <f>V384/Q384-1</f>
        <v>-0.12746364772765895</v>
      </c>
      <c r="W385" s="183">
        <f>W384/R384-1</f>
        <v>-7.5373760179910043E-2</v>
      </c>
      <c r="X385" s="183">
        <f>X384/S384-1</f>
        <v>0.17003543772148588</v>
      </c>
      <c r="Y385" s="183">
        <f>Y384/T384-1</f>
        <v>0.12844564427221461</v>
      </c>
      <c r="Z385" s="1041" t="s">
        <v>116</v>
      </c>
      <c r="AA385" s="183">
        <f>AA384/V384-1</f>
        <v>0.20803055107486834</v>
      </c>
      <c r="AB385" s="183">
        <f>AB384/W384-1</f>
        <v>0.17605017895076491</v>
      </c>
      <c r="AC385" s="183">
        <f>AC384/X384-1</f>
        <v>3.6814694621391864E-2</v>
      </c>
      <c r="AD385" s="183">
        <f>AD384/Y384-1</f>
        <v>0.29106883776930226</v>
      </c>
      <c r="AE385" s="1041" t="s">
        <v>116</v>
      </c>
      <c r="AF385" s="183">
        <f t="shared" ref="AF385:BK385" si="1233">AF384/AA384-1</f>
        <v>0.151840828411548</v>
      </c>
      <c r="AG385" s="183">
        <f t="shared" si="1233"/>
        <v>0.13064350517211087</v>
      </c>
      <c r="AH385" s="183">
        <f t="shared" si="1233"/>
        <v>0.14064420205774653</v>
      </c>
      <c r="AI385" s="183">
        <f t="shared" si="1233"/>
        <v>5.1716809221470594E-2</v>
      </c>
      <c r="AJ385" s="1041">
        <f t="shared" si="1233"/>
        <v>0.11480798220981292</v>
      </c>
      <c r="AK385" s="183">
        <f t="shared" si="1233"/>
        <v>1.3841915050999214</v>
      </c>
      <c r="AL385" s="183">
        <f t="shared" si="1233"/>
        <v>1.2085848455149835</v>
      </c>
      <c r="AM385" s="183">
        <f t="shared" si="1233"/>
        <v>0.84042790403636558</v>
      </c>
      <c r="AN385" s="183">
        <f t="shared" si="1233"/>
        <v>0.84513563038371853</v>
      </c>
      <c r="AO385" s="1041">
        <f t="shared" si="1233"/>
        <v>1.0539569588202453</v>
      </c>
      <c r="AP385" s="183">
        <f t="shared" si="1233"/>
        <v>-0.10246499565444489</v>
      </c>
      <c r="AQ385" s="183">
        <f t="shared" si="1233"/>
        <v>6.7586254955595226E-2</v>
      </c>
      <c r="AR385" s="183">
        <f t="shared" si="1233"/>
        <v>4.727638998619188E-2</v>
      </c>
      <c r="AS385" s="183">
        <f t="shared" si="1233"/>
        <v>5.096127047609933E-2</v>
      </c>
      <c r="AT385" s="1041">
        <f t="shared" si="1233"/>
        <v>1.286026851040134E-2</v>
      </c>
      <c r="AU385" s="183">
        <f t="shared" si="1233"/>
        <v>1.09802470779925E-2</v>
      </c>
      <c r="AV385" s="183">
        <f t="shared" si="1233"/>
        <v>-5.0116488243450608E-2</v>
      </c>
      <c r="AW385" s="183">
        <f t="shared" si="1233"/>
        <v>6.7737283312696794E-2</v>
      </c>
      <c r="AX385" s="183">
        <f t="shared" si="1233"/>
        <v>-2.9275634861465005E-2</v>
      </c>
      <c r="AY385" s="1041">
        <f t="shared" si="1233"/>
        <v>-1.959872240303917E-3</v>
      </c>
      <c r="AZ385" s="183">
        <f t="shared" si="1233"/>
        <v>-6.8839207579343475E-2</v>
      </c>
      <c r="BA385" s="183">
        <f t="shared" si="1233"/>
        <v>-4.3894929348216705E-2</v>
      </c>
      <c r="BB385" s="183">
        <f t="shared" si="1233"/>
        <v>8.1783284030694237E-3</v>
      </c>
      <c r="BC385" s="183">
        <f t="shared" si="1233"/>
        <v>9.4839922778317209E-2</v>
      </c>
      <c r="BD385" s="1041">
        <f t="shared" si="1233"/>
        <v>-1.8502978911417722E-3</v>
      </c>
      <c r="BE385" s="183">
        <f t="shared" si="1233"/>
        <v>0.22891931927707998</v>
      </c>
      <c r="BF385" s="183">
        <f t="shared" si="1233"/>
        <v>0.17656559188124654</v>
      </c>
      <c r="BG385" s="183">
        <f t="shared" si="1233"/>
        <v>0.1184319829967877</v>
      </c>
      <c r="BH385" s="183">
        <f t="shared" si="1233"/>
        <v>0.17058587832776717</v>
      </c>
      <c r="BI385" s="1041">
        <f t="shared" si="1233"/>
        <v>0.17173920852726665</v>
      </c>
      <c r="BJ385" s="183">
        <f t="shared" si="1233"/>
        <v>0.2233278363586757</v>
      </c>
      <c r="BK385" s="183">
        <f t="shared" si="1233"/>
        <v>0.14283462639940447</v>
      </c>
      <c r="BL385" s="183">
        <f>BL384/BG384-1</f>
        <v>0.14066010874712775</v>
      </c>
      <c r="BM385" s="183">
        <f>BM384/BH384-1</f>
        <v>-3.4620074792336419E-3</v>
      </c>
      <c r="BN385" s="1041">
        <f>BN384/BI384-1</f>
        <v>0.12120164586264415</v>
      </c>
      <c r="BO385" s="138"/>
      <c r="BP385" s="138"/>
      <c r="BQ385" s="138"/>
      <c r="BR385" s="138"/>
      <c r="BS385" s="1952"/>
      <c r="BT385" s="183">
        <f>BT384/BJ384-1</f>
        <v>-0.52757897810450405</v>
      </c>
      <c r="BU385" s="183">
        <f>BU384/BK384-1</f>
        <v>-0.50766187046254285</v>
      </c>
      <c r="BV385" s="183">
        <f>BV384/BL384-1</f>
        <v>-0.51604425965579304</v>
      </c>
      <c r="BW385" s="183">
        <f>BW384/BM384-1</f>
        <v>-0.46529815973268507</v>
      </c>
      <c r="BX385" s="1041">
        <f>BX384/BN384-1</f>
        <v>-0.50457504264122588</v>
      </c>
      <c r="BY385" s="138"/>
      <c r="BZ385" s="138"/>
      <c r="CA385" s="138"/>
      <c r="CB385" s="138"/>
      <c r="CC385" s="1952"/>
      <c r="CD385" s="183">
        <f>CD384/BT384-1</f>
        <v>4.30170851331102E-3</v>
      </c>
      <c r="CE385" s="183">
        <f>CE384/BU384-1</f>
        <v>5.9551051820699197E-2</v>
      </c>
      <c r="CF385" s="183">
        <f>CF384/BV384-1</f>
        <v>2.1469601984334119E-2</v>
      </c>
      <c r="CG385" s="183">
        <f>CG384/BW384-1</f>
        <v>1.2058959718786344E-2</v>
      </c>
      <c r="CH385" s="1041">
        <f>CH384/BX384-1</f>
        <v>-3.6343265887495813E-2</v>
      </c>
      <c r="CI385" s="183">
        <f t="shared" ref="CI385:CW385" si="1234">CI384/CD384-1</f>
        <v>9.9298241912681551E-2</v>
      </c>
      <c r="CJ385" s="183">
        <f t="shared" si="1234"/>
        <v>4.1422470845233761E-2</v>
      </c>
      <c r="CK385" s="183">
        <f t="shared" si="1234"/>
        <v>6.2687224427973698E-2</v>
      </c>
      <c r="CL385" s="183">
        <f t="shared" si="1234"/>
        <v>0.10021035567662961</v>
      </c>
      <c r="CM385" s="1041">
        <f t="shared" si="1234"/>
        <v>6.7494713628752478E-2</v>
      </c>
      <c r="CN385" s="183">
        <f t="shared" si="1234"/>
        <v>-1.9494427876314502E-2</v>
      </c>
      <c r="CO385" s="183">
        <f t="shared" si="1234"/>
        <v>-5.3036090795134605E-2</v>
      </c>
      <c r="CP385" s="183">
        <f t="shared" si="1234"/>
        <v>-1.8439061555271752E-2</v>
      </c>
      <c r="CQ385" s="183">
        <f t="shared" si="1234"/>
        <v>-8.6856117378449893E-3</v>
      </c>
      <c r="CR385" s="1041">
        <f t="shared" si="1234"/>
        <v>-8.4928094228094997E-3</v>
      </c>
      <c r="CS385" s="183">
        <f t="shared" si="1234"/>
        <v>-3.9813149863117236E-2</v>
      </c>
      <c r="CT385" s="183">
        <f t="shared" si="1234"/>
        <v>-1.259898154354766E-2</v>
      </c>
      <c r="CU385" s="183">
        <f t="shared" si="1234"/>
        <v>-3.4722805193364015E-2</v>
      </c>
      <c r="CV385" s="183">
        <f t="shared" si="1234"/>
        <v>-5.3796632448229853E-2</v>
      </c>
      <c r="CW385" s="1041">
        <f t="shared" si="1234"/>
        <v>-3.7823291219234778E-2</v>
      </c>
      <c r="CX385" s="2014"/>
      <c r="CY385" s="2014"/>
      <c r="CZ385" s="2014"/>
      <c r="DA385" s="2014"/>
      <c r="DB385" s="2530"/>
      <c r="DC385" s="2672"/>
      <c r="DD385" s="2672"/>
      <c r="DE385" s="2672"/>
      <c r="DF385" s="2672"/>
      <c r="DG385" s="2530"/>
      <c r="DH385" s="2672"/>
      <c r="DI385" s="2672"/>
      <c r="DJ385" s="2672"/>
      <c r="DK385" s="2672"/>
      <c r="DL385" s="2530"/>
      <c r="DM385" s="2672"/>
      <c r="DN385" s="2672"/>
      <c r="DO385" s="2672"/>
      <c r="DP385" s="2672"/>
      <c r="DQ385" s="2530"/>
      <c r="DR385" s="2672"/>
      <c r="DS385" s="2672"/>
      <c r="DT385" s="2672"/>
      <c r="DU385" s="2672"/>
      <c r="DV385" s="2530"/>
      <c r="DW385" s="2672"/>
      <c r="DX385" s="2672"/>
      <c r="DY385" s="2672"/>
      <c r="DZ385" s="2672"/>
      <c r="EA385" s="2530"/>
      <c r="EB385" s="2672"/>
      <c r="EC385" s="2672"/>
      <c r="ED385" s="2672"/>
      <c r="EE385" s="2672"/>
      <c r="EF385" s="2530"/>
      <c r="EG385" s="2672"/>
      <c r="EH385" s="2672"/>
      <c r="EI385" s="2672"/>
      <c r="EJ385" s="2672"/>
      <c r="EK385" s="2530"/>
      <c r="EL385" s="2672"/>
      <c r="EM385" s="2672"/>
      <c r="EN385" s="2672"/>
      <c r="EO385" s="2672"/>
      <c r="EP385" s="2530"/>
      <c r="EQ385" s="2672"/>
      <c r="ER385" s="2672"/>
      <c r="ES385" s="2672"/>
      <c r="ET385" s="2672"/>
      <c r="EU385" s="2530"/>
      <c r="EV385" s="2530"/>
      <c r="EW385" s="2530"/>
      <c r="EX385" s="2530"/>
      <c r="EY385" s="2530"/>
      <c r="EZ385" s="183"/>
      <c r="FA385" s="715"/>
      <c r="FB385" s="715"/>
    </row>
    <row r="386" spans="1:158" s="284" customFormat="1" ht="11.25" hidden="1" customHeight="1">
      <c r="A386" s="1565" t="s">
        <v>46</v>
      </c>
      <c r="B386" s="1071"/>
      <c r="C386" s="1071"/>
      <c r="D386" s="1071"/>
      <c r="E386" s="1071"/>
      <c r="F386" s="1071"/>
      <c r="G386" s="1071"/>
      <c r="H386" s="1071"/>
      <c r="I386" s="1071"/>
      <c r="J386" s="1071"/>
      <c r="K386" s="1512"/>
      <c r="L386" s="1504"/>
      <c r="M386" s="1071"/>
      <c r="N386" s="1071"/>
      <c r="O386" s="1071"/>
      <c r="P386" s="1073"/>
      <c r="Q386" s="1071"/>
      <c r="R386" s="1071"/>
      <c r="S386" s="1071"/>
      <c r="T386" s="1071"/>
      <c r="U386" s="1073" t="s">
        <v>116</v>
      </c>
      <c r="V386" s="1071">
        <f>V384/T384-1</f>
        <v>-7.3716968734335309E-2</v>
      </c>
      <c r="W386" s="1071">
        <f>W384/V384-1</f>
        <v>4.8504736453760522E-2</v>
      </c>
      <c r="X386" s="1071">
        <f>X384/W384-1</f>
        <v>0.24504640919371878</v>
      </c>
      <c r="Y386" s="1071">
        <f>Y384/X384-1</f>
        <v>-6.6786528295867065E-2</v>
      </c>
      <c r="Z386" s="1073" t="s">
        <v>116</v>
      </c>
      <c r="AA386" s="1071">
        <f>AA384/Y384-1</f>
        <v>-8.3898091229375193E-3</v>
      </c>
      <c r="AB386" s="1071">
        <f>AB384/AA384-1</f>
        <v>2.0747514903493469E-2</v>
      </c>
      <c r="AC386" s="1071">
        <f>AC384/AB384-1</f>
        <v>9.7642290815627364E-2</v>
      </c>
      <c r="AD386" s="1071">
        <f>AD384/AC384-1</f>
        <v>0.1620618790937145</v>
      </c>
      <c r="AE386" s="1073"/>
      <c r="AF386" s="1071">
        <f>AF384/AD384-1</f>
        <v>-0.11532439610686229</v>
      </c>
      <c r="AG386" s="1071">
        <f>AG384/AF384-1</f>
        <v>1.9627015112642088E-3</v>
      </c>
      <c r="AH386" s="1071">
        <f>AH384/AG384-1</f>
        <v>0.10735108743373623</v>
      </c>
      <c r="AI386" s="1071">
        <f>AI384/AH384-1</f>
        <v>7.1464712128063379E-2</v>
      </c>
      <c r="AJ386" s="1073"/>
      <c r="AK386" s="1071">
        <f>AK384/AI384-1</f>
        <v>1.0055171136158942</v>
      </c>
      <c r="AL386" s="1071">
        <f>AL384/AK384-1</f>
        <v>-7.1836455420854484E-2</v>
      </c>
      <c r="AM386" s="1071">
        <f>AM384/AL384-1</f>
        <v>-7.723724310765423E-2</v>
      </c>
      <c r="AN386" s="1071">
        <f>AN384/AM384-1</f>
        <v>7.4205467495052524E-2</v>
      </c>
      <c r="AO386" s="1073"/>
      <c r="AP386" s="1071">
        <f>AP384/AN384-1</f>
        <v>-2.4450137082881906E-2</v>
      </c>
      <c r="AQ386" s="1071">
        <f>AQ384/AP384-1</f>
        <v>0.10401782409152882</v>
      </c>
      <c r="AR386" s="1071">
        <f>AR384/AQ384-1</f>
        <v>-9.4791971734295655E-2</v>
      </c>
      <c r="AS386" s="1071">
        <f>AS384/AR384-1</f>
        <v>7.7985098934443942E-2</v>
      </c>
      <c r="AT386" s="1073"/>
      <c r="AU386" s="1071">
        <f>AU384/AS384-1</f>
        <v>-6.1562334259891327E-2</v>
      </c>
      <c r="AV386" s="1071">
        <f>AV384/AU384-1</f>
        <v>3.7298533597347694E-2</v>
      </c>
      <c r="AW386" s="1071">
        <f>AW384/AV384-1</f>
        <v>1.7518831489077957E-2</v>
      </c>
      <c r="AX386" s="1071">
        <f>AX384/AW384-1</f>
        <v>-1.9958919533689001E-2</v>
      </c>
      <c r="AY386" s="1073"/>
      <c r="AZ386" s="1071">
        <f>AZ384/AX384-1</f>
        <v>-9.9810005960607517E-2</v>
      </c>
      <c r="BA386" s="1071">
        <f>BA384/AZ384-1</f>
        <v>6.5086068727051805E-2</v>
      </c>
      <c r="BB386" s="1071">
        <f>BB384/BA384-1</f>
        <v>7.2936925174950318E-2</v>
      </c>
      <c r="BC386" s="1071">
        <f>BC384/BB384-1</f>
        <v>6.4284036492732621E-2</v>
      </c>
      <c r="BD386" s="1073"/>
      <c r="BE386" s="1071">
        <f>BE384/BC384-1</f>
        <v>1.0431618064885129E-2</v>
      </c>
      <c r="BF386" s="1071">
        <f>BF384/BE384-1</f>
        <v>1.9711873024735205E-2</v>
      </c>
      <c r="BG386" s="1071">
        <f>BG384/BF384-1</f>
        <v>1.992356493713876E-2</v>
      </c>
      <c r="BH386" s="1071">
        <f>BH384/BG384-1</f>
        <v>0.1139129447191829</v>
      </c>
      <c r="BI386" s="1073"/>
      <c r="BJ386" s="1071">
        <f>BJ384/BH384-1</f>
        <v>5.5957660177413437E-2</v>
      </c>
      <c r="BK386" s="1071">
        <f>BK384/BJ384-1</f>
        <v>-4.7383699767639564E-2</v>
      </c>
      <c r="BL386" s="1071">
        <f>BL384/BK384-1</f>
        <v>1.7982915131211641E-2</v>
      </c>
      <c r="BM386" s="1071">
        <f>BM384/BL384-1</f>
        <v>-2.6829674097564316E-2</v>
      </c>
      <c r="BN386" s="1073"/>
      <c r="BO386" s="1686"/>
      <c r="BP386" s="1686"/>
      <c r="BQ386" s="1686"/>
      <c r="BR386" s="1686"/>
      <c r="BS386" s="1953"/>
      <c r="BT386" s="1926">
        <f>BT384/BN384-1</f>
        <v>-0.51121602259970467</v>
      </c>
      <c r="BU386" s="1071">
        <f>BU384/BT384-1</f>
        <v>-7.2217245086049209E-3</v>
      </c>
      <c r="BV386" s="1071">
        <f>BV384/BU384-1</f>
        <v>6.510684291778368E-4</v>
      </c>
      <c r="BW386" s="1071">
        <f>BW384/BV384-1</f>
        <v>7.5213951968993831E-2</v>
      </c>
      <c r="BX386" s="1073"/>
      <c r="BY386" s="1686"/>
      <c r="BZ386" s="1686"/>
      <c r="CA386" s="1686"/>
      <c r="CB386" s="1686"/>
      <c r="CC386" s="1953"/>
      <c r="CD386" s="1072">
        <f>CD384/BX384-1</f>
        <v>-9.1605674972876638E-3</v>
      </c>
      <c r="CE386" s="1071">
        <f>CE384/CD384-1</f>
        <v>4.7393683695705624E-2</v>
      </c>
      <c r="CF386" s="1071">
        <f>CF384/CE384-1</f>
        <v>-3.5313450128573676E-2</v>
      </c>
      <c r="CG386" s="1071">
        <f>CG384/CF384-1</f>
        <v>6.530817127689148E-2</v>
      </c>
      <c r="CH386" s="1073"/>
      <c r="CI386" s="1072">
        <f>CI384/CH384-1</f>
        <v>0.13030709754872771</v>
      </c>
      <c r="CJ386" s="1071">
        <f>CJ384/CI384-1</f>
        <v>-7.7494200989410844E-3</v>
      </c>
      <c r="CK386" s="1071">
        <f>CK384/CJ384-1</f>
        <v>-1.5615563495735563E-2</v>
      </c>
      <c r="CL386" s="1071">
        <f>CL384/CK384-1</f>
        <v>0.10292384728410564</v>
      </c>
      <c r="CM386" s="1073"/>
      <c r="CN386" s="1071">
        <f>CN384/CL384-1</f>
        <v>-8.9838546016801191E-2</v>
      </c>
      <c r="CO386" s="1071">
        <f>CO384/CN384-1</f>
        <v>-4.1692862572154099E-2</v>
      </c>
      <c r="CP386" s="1071">
        <f>CP384/CO384-1</f>
        <v>2.0348612965435331E-2</v>
      </c>
      <c r="CQ386" s="1071">
        <f>CQ384/CP384-1</f>
        <v>0.11388324060916366</v>
      </c>
      <c r="CR386" s="1073"/>
      <c r="CS386" s="1071">
        <f>CS384/CQ384-1</f>
        <v>-0.11841786020256795</v>
      </c>
      <c r="CT386" s="1071">
        <f>CT384/CS384-1</f>
        <v>-1.4531970152008467E-2</v>
      </c>
      <c r="CU386" s="1071">
        <f>CU384/CT384-1</f>
        <v>-2.5134383719946918E-3</v>
      </c>
      <c r="CV386" s="1071">
        <f>CV384/CU384-1</f>
        <v>9.1872965604453238E-2</v>
      </c>
      <c r="CW386" s="1073"/>
      <c r="CX386" s="2531"/>
      <c r="CY386" s="2531"/>
      <c r="CZ386" s="2531"/>
      <c r="DA386" s="2531"/>
      <c r="DB386" s="2532"/>
      <c r="DC386" s="2531"/>
      <c r="DD386" s="2531"/>
      <c r="DE386" s="2531"/>
      <c r="DF386" s="2531"/>
      <c r="DG386" s="2532"/>
      <c r="DH386" s="2531"/>
      <c r="DI386" s="2531"/>
      <c r="DJ386" s="2531"/>
      <c r="DK386" s="2531"/>
      <c r="DL386" s="2532"/>
      <c r="DM386" s="2531"/>
      <c r="DN386" s="2531"/>
      <c r="DO386" s="2531"/>
      <c r="DP386" s="2531"/>
      <c r="DQ386" s="2532"/>
      <c r="DR386" s="2531"/>
      <c r="DS386" s="2531"/>
      <c r="DT386" s="2531"/>
      <c r="DU386" s="2531"/>
      <c r="DV386" s="2532"/>
      <c r="DW386" s="2531"/>
      <c r="DX386" s="2531"/>
      <c r="DY386" s="2531"/>
      <c r="DZ386" s="2531"/>
      <c r="EA386" s="2532"/>
      <c r="EB386" s="2531"/>
      <c r="EC386" s="2531"/>
      <c r="ED386" s="2531"/>
      <c r="EE386" s="2531"/>
      <c r="EF386" s="2532"/>
      <c r="EG386" s="2531"/>
      <c r="EH386" s="2531"/>
      <c r="EI386" s="2531"/>
      <c r="EJ386" s="2531"/>
      <c r="EK386" s="2532"/>
      <c r="EL386" s="2531"/>
      <c r="EM386" s="2531"/>
      <c r="EN386" s="2531"/>
      <c r="EO386" s="2531"/>
      <c r="EP386" s="2532"/>
      <c r="EQ386" s="2531"/>
      <c r="ER386" s="2531"/>
      <c r="ES386" s="2531"/>
      <c r="ET386" s="2531"/>
      <c r="EU386" s="2532"/>
      <c r="EV386" s="2532"/>
      <c r="EW386" s="2532"/>
      <c r="EX386" s="2532"/>
      <c r="EY386" s="2532"/>
      <c r="EZ386" s="183"/>
      <c r="FA386" s="715"/>
      <c r="FB386" s="715"/>
    </row>
    <row r="387" spans="1:158" s="685" customFormat="1" ht="11.25" hidden="1" customHeight="1">
      <c r="A387" s="2385" t="s">
        <v>75</v>
      </c>
      <c r="B387" s="2386"/>
      <c r="C387" s="2386"/>
      <c r="D387" s="2386"/>
      <c r="E387" s="2386"/>
      <c r="F387" s="2386"/>
      <c r="G387" s="2386"/>
      <c r="H387" s="2386"/>
      <c r="I387" s="2386"/>
      <c r="J387" s="2386"/>
      <c r="K387" s="2387"/>
      <c r="L387" s="2386"/>
      <c r="M387" s="2386"/>
      <c r="N387" s="2386"/>
      <c r="O387" s="2386"/>
      <c r="P387" s="2388"/>
      <c r="Q387" s="2389"/>
      <c r="R387" s="2389"/>
      <c r="S387" s="2389"/>
      <c r="T387" s="2389"/>
      <c r="U387" s="2388"/>
      <c r="V387" s="2389"/>
      <c r="W387" s="2389"/>
      <c r="X387" s="2389"/>
      <c r="Y387" s="2389"/>
      <c r="Z387" s="2388"/>
      <c r="AA387" s="2389">
        <f>AA384*4</f>
        <v>219043.52385946512</v>
      </c>
      <c r="AB387" s="2389">
        <f>AB384*4</f>
        <v>223588.13263525307</v>
      </c>
      <c r="AC387" s="2389">
        <f>AC384*4</f>
        <v>245419.79010494752</v>
      </c>
      <c r="AD387" s="2389">
        <f>AD384*4</f>
        <v>285192.98245614034</v>
      </c>
      <c r="AE387" s="2388"/>
      <c r="AF387" s="2389">
        <f>AF384*4</f>
        <v>252303.27398047099</v>
      </c>
      <c r="AG387" s="2389">
        <f>AG384*4</f>
        <v>252798.46999760935</v>
      </c>
      <c r="AH387" s="2389">
        <f>AH384*4</f>
        <v>279936.66065343749</v>
      </c>
      <c r="AI387" s="2389">
        <f>AI384*4</f>
        <v>299942.25352112675</v>
      </c>
      <c r="AJ387" s="2388"/>
      <c r="AK387" s="2389">
        <f>AK384*4</f>
        <v>601539.32253313693</v>
      </c>
      <c r="AL387" s="2389">
        <f>AL384*4</f>
        <v>558326.86980609421</v>
      </c>
      <c r="AM387" s="2389">
        <f>AM384*4</f>
        <v>515203.24162934528</v>
      </c>
      <c r="AN387" s="2389">
        <f>AN384*4</f>
        <v>553434.1390294173</v>
      </c>
      <c r="AO387" s="2388"/>
      <c r="AP387" s="2389">
        <f>AP384*4</f>
        <v>539902.59846380132</v>
      </c>
      <c r="AQ387" s="2389">
        <f>AQ384*4</f>
        <v>596062.09197736834</v>
      </c>
      <c r="AR387" s="2389">
        <f>AR384*4</f>
        <v>539560.19100276451</v>
      </c>
      <c r="AS387" s="2389">
        <f>AS384*4</f>
        <v>581637.84587920259</v>
      </c>
      <c r="AT387" s="2388"/>
      <c r="AU387" s="2389">
        <f>AU384*4</f>
        <v>545830.86239298398</v>
      </c>
      <c r="AV387" s="2389">
        <f>AV384*4</f>
        <v>566189.553152418</v>
      </c>
      <c r="AW387" s="2389">
        <f>AW384*4</f>
        <v>576108.53252497152</v>
      </c>
      <c r="AX387" s="2389">
        <f>AX384*4</f>
        <v>564610.02868163399</v>
      </c>
      <c r="AY387" s="2388"/>
      <c r="AZ387" s="2389">
        <f>AZ384*4</f>
        <v>508256.2983535013</v>
      </c>
      <c r="BA387" s="2389">
        <f>BA384*4</f>
        <v>541336.70271909423</v>
      </c>
      <c r="BB387" s="2389">
        <f>BB384*4</f>
        <v>580820.13729977119</v>
      </c>
      <c r="BC387" s="2389">
        <f>BC384*4</f>
        <v>618157.60020166368</v>
      </c>
      <c r="BD387" s="2388"/>
      <c r="BE387" s="2389">
        <f>BE384*4</f>
        <v>624605.98419087334</v>
      </c>
      <c r="BF387" s="2389">
        <f>BF384*4</f>
        <v>636918.13804173353</v>
      </c>
      <c r="BG387" s="2389">
        <f>BG384*4</f>
        <v>649607.81792464957</v>
      </c>
      <c r="BH387" s="2389">
        <f>BH384*4</f>
        <v>723606.55737704923</v>
      </c>
      <c r="BI387" s="2388"/>
      <c r="BJ387" s="2389">
        <f>BJ384*4</f>
        <v>764097.88721690222</v>
      </c>
      <c r="BK387" s="2389">
        <f>BK384*4</f>
        <v>727892.10233592882</v>
      </c>
      <c r="BL387" s="2389">
        <f>BL384*4</f>
        <v>740981.72423691512</v>
      </c>
      <c r="BM387" s="2389">
        <f>BM384*4</f>
        <v>721101.42606338742</v>
      </c>
      <c r="BN387" s="2388"/>
      <c r="BO387" s="2389"/>
      <c r="BP387" s="2389"/>
      <c r="BQ387" s="2389"/>
      <c r="BR387" s="2389"/>
      <c r="BS387" s="2390"/>
      <c r="BT387" s="2389">
        <f>BT384*4</f>
        <v>360975.90470719838</v>
      </c>
      <c r="BU387" s="2389">
        <f>BU384*4</f>
        <v>358369.03616915859</v>
      </c>
      <c r="BV387" s="2389">
        <f>BV384*4</f>
        <v>358602.35893460322</v>
      </c>
      <c r="BW387" s="2389">
        <f>BW384*4</f>
        <v>385574.25953547837</v>
      </c>
      <c r="BX387" s="2388"/>
      <c r="BY387" s="2389"/>
      <c r="BZ387" s="2389"/>
      <c r="CA387" s="2389"/>
      <c r="CB387" s="2389"/>
      <c r="CC387" s="2390"/>
      <c r="CD387" s="2389">
        <f>CD384*4</f>
        <v>362528.71782957745</v>
      </c>
      <c r="CE387" s="2389">
        <f>CE384*4</f>
        <v>379710.28921300214</v>
      </c>
      <c r="CF387" s="2389">
        <f>CF384*4</f>
        <v>366301.40885157249</v>
      </c>
      <c r="CG387" s="2389">
        <f>CG384*4</f>
        <v>390223.8839998176</v>
      </c>
      <c r="CH387" s="2388"/>
      <c r="CI387" s="2389">
        <f>CI384*4</f>
        <v>398527.18215291313</v>
      </c>
      <c r="CJ387" s="2389">
        <f>CJ384*4</f>
        <v>395438.82759756298</v>
      </c>
      <c r="CK387" s="2389">
        <f>CK384*4</f>
        <v>389263.827476534</v>
      </c>
      <c r="CL387" s="2389">
        <f>CL384*4</f>
        <v>429328.35820895521</v>
      </c>
      <c r="CM387" s="2388"/>
      <c r="CN387" s="2389">
        <f>CN384*4</f>
        <v>390758.1227436823</v>
      </c>
      <c r="CO387" s="2389">
        <f>CO384*4</f>
        <v>374466.29803317704</v>
      </c>
      <c r="CP387" s="2389">
        <f>CP384*4</f>
        <v>382086.16780045349</v>
      </c>
      <c r="CQ387" s="2389">
        <f>CQ384*4</f>
        <v>425599.3787815058</v>
      </c>
      <c r="CR387" s="2388"/>
      <c r="CS387" s="2389">
        <f>CS384*4</f>
        <v>375200.8110426577</v>
      </c>
      <c r="CT387" s="2389">
        <f>CT384*4</f>
        <v>369748.40405557642</v>
      </c>
      <c r="CU387" s="2389">
        <f>CU384*4</f>
        <v>368819.06422883936</v>
      </c>
      <c r="CV387" s="2389">
        <f>CV384*4</f>
        <v>402703.56543100218</v>
      </c>
      <c r="CW387" s="2388"/>
      <c r="CX387" s="2389"/>
      <c r="CY387" s="2389"/>
      <c r="CZ387" s="2389"/>
      <c r="DA387" s="2389"/>
      <c r="DB387" s="2388"/>
      <c r="DC387" s="2389"/>
      <c r="DD387" s="2389"/>
      <c r="DE387" s="2389"/>
      <c r="DF387" s="2389"/>
      <c r="DG387" s="2388"/>
      <c r="DH387" s="2389"/>
      <c r="DI387" s="2389"/>
      <c r="DJ387" s="2389"/>
      <c r="DK387" s="2389"/>
      <c r="DL387" s="2388"/>
      <c r="DM387" s="2389"/>
      <c r="DN387" s="2389"/>
      <c r="DO387" s="2389"/>
      <c r="DP387" s="2389"/>
      <c r="DQ387" s="2388"/>
      <c r="DR387" s="2389"/>
      <c r="DS387" s="2389"/>
      <c r="DT387" s="2389"/>
      <c r="DU387" s="2389"/>
      <c r="DV387" s="2388"/>
      <c r="DW387" s="2389"/>
      <c r="DX387" s="2389"/>
      <c r="DY387" s="2389"/>
      <c r="DZ387" s="2389"/>
      <c r="EA387" s="2388"/>
      <c r="EB387" s="2389"/>
      <c r="EC387" s="2389"/>
      <c r="ED387" s="2389"/>
      <c r="EE387" s="2389"/>
      <c r="EF387" s="2388"/>
      <c r="EG387" s="2389"/>
      <c r="EH387" s="2389"/>
      <c r="EI387" s="2389"/>
      <c r="EJ387" s="2389"/>
      <c r="EK387" s="2388"/>
      <c r="EL387" s="2389"/>
      <c r="EM387" s="2389"/>
      <c r="EN387" s="2389"/>
      <c r="EO387" s="2389"/>
      <c r="EP387" s="2388"/>
      <c r="EQ387" s="2389"/>
      <c r="ER387" s="2389"/>
      <c r="ES387" s="2389"/>
      <c r="ET387" s="2389"/>
      <c r="EU387" s="2388"/>
      <c r="EV387" s="2388"/>
      <c r="EW387" s="2388"/>
      <c r="EX387" s="2388"/>
      <c r="EY387" s="2388"/>
      <c r="EZ387" s="511"/>
      <c r="FA387" s="761"/>
      <c r="FB387" s="761"/>
    </row>
    <row r="388" spans="1:158" ht="11.25" hidden="1" customHeight="1">
      <c r="FA388" s="715"/>
      <c r="FB388" s="715"/>
    </row>
    <row r="389" spans="1:158" s="168" customFormat="1" ht="11.25" hidden="1" customHeight="1">
      <c r="A389" s="3011" t="s">
        <v>644</v>
      </c>
      <c r="B389" s="3012"/>
      <c r="C389" s="3013"/>
      <c r="D389" s="3013"/>
      <c r="E389" s="3013"/>
      <c r="F389" s="3071"/>
      <c r="G389" s="3012"/>
      <c r="H389" s="3013"/>
      <c r="I389" s="3013"/>
      <c r="J389" s="3013"/>
      <c r="K389" s="3014"/>
      <c r="L389" s="3013"/>
      <c r="M389" s="3013"/>
      <c r="N389" s="3013"/>
      <c r="O389" s="3013"/>
      <c r="P389" s="3014">
        <f>IS!P9</f>
        <v>86.426000000000002</v>
      </c>
      <c r="Q389" s="3012">
        <f>IS!Q9</f>
        <v>42.284999999999997</v>
      </c>
      <c r="R389" s="3013">
        <f>IS!R9</f>
        <v>64.525000000000006</v>
      </c>
      <c r="S389" s="3013">
        <f>IS!S9</f>
        <v>101.78700000000001</v>
      </c>
      <c r="T389" s="3013">
        <f>IS!T9</f>
        <v>136.411</v>
      </c>
      <c r="U389" s="3014">
        <f>IS!U9</f>
        <v>345.00800000000004</v>
      </c>
      <c r="V389" s="3012">
        <f>IS!V9</f>
        <v>178.48699999999999</v>
      </c>
      <c r="W389" s="3013">
        <f>IS!W9</f>
        <v>214.64000000000001</v>
      </c>
      <c r="X389" s="3013">
        <f>IS!X9</f>
        <v>250.45500000000001</v>
      </c>
      <c r="Y389" s="3013">
        <f>IS!Y9</f>
        <v>295.81899999999996</v>
      </c>
      <c r="Z389" s="3014">
        <f>IS!Z9</f>
        <v>939.40099999999995</v>
      </c>
      <c r="AA389" s="3012">
        <f>+IS!AA9</f>
        <v>380.62100000000004</v>
      </c>
      <c r="AB389" s="3013">
        <f>IS!AB9</f>
        <v>423.178</v>
      </c>
      <c r="AC389" s="3013">
        <f>IS!AC9</f>
        <v>502.98699999999997</v>
      </c>
      <c r="AD389" s="3013">
        <f>IS!AD9</f>
        <v>653.79299999999989</v>
      </c>
      <c r="AE389" s="3014">
        <f>IS!AE9</f>
        <v>1960.579</v>
      </c>
      <c r="AF389" s="3012">
        <f>IS!AF9</f>
        <v>794.70900000000006</v>
      </c>
      <c r="AG389" s="3013">
        <f>IS!AG9</f>
        <v>890.17499999999995</v>
      </c>
      <c r="AH389" s="3013">
        <f>IS!AH9</f>
        <v>1048.5819999999999</v>
      </c>
      <c r="AI389" s="3013">
        <f>IS!AI9</f>
        <v>1290.152</v>
      </c>
      <c r="AJ389" s="3014">
        <f>IS!AJ9</f>
        <v>4023.6179999999999</v>
      </c>
      <c r="AK389" s="3012">
        <f t="shared" ref="AK389:BN389" si="1235">AK69-AK105</f>
        <v>1531.0190000000002</v>
      </c>
      <c r="AL389" s="3013">
        <f t="shared" si="1235"/>
        <v>1670.8320000000003</v>
      </c>
      <c r="AM389" s="3013">
        <f t="shared" si="1235"/>
        <v>1864.4089999999997</v>
      </c>
      <c r="AN389" s="3013">
        <f t="shared" si="1235"/>
        <v>2229.8999999999996</v>
      </c>
      <c r="AO389" s="3014">
        <f t="shared" si="1235"/>
        <v>7296.1600000000017</v>
      </c>
      <c r="AP389" s="3012">
        <f t="shared" si="1235"/>
        <v>2538.9430000000002</v>
      </c>
      <c r="AQ389" s="3013">
        <f t="shared" si="1235"/>
        <v>2724.0269999999996</v>
      </c>
      <c r="AR389" s="3013">
        <f t="shared" si="1235"/>
        <v>3010.2309999999998</v>
      </c>
      <c r="AS389" s="3013">
        <f t="shared" si="1235"/>
        <v>3386.8649999999998</v>
      </c>
      <c r="AT389" s="3014">
        <f t="shared" si="1235"/>
        <v>11660.066000000001</v>
      </c>
      <c r="AU389" s="3012">
        <f t="shared" si="1235"/>
        <v>3699.6590000000006</v>
      </c>
      <c r="AV389" s="3013">
        <f t="shared" si="1235"/>
        <v>3893.2320000000004</v>
      </c>
      <c r="AW389" s="3013">
        <f t="shared" si="1235"/>
        <v>4046.1849999999995</v>
      </c>
      <c r="AX389" s="3013">
        <f t="shared" si="1235"/>
        <v>4217.521999999999</v>
      </c>
      <c r="AY389" s="3014">
        <f t="shared" si="1235"/>
        <v>15856.598000000002</v>
      </c>
      <c r="AZ389" s="3012">
        <f t="shared" si="1235"/>
        <v>4073.0299999999997</v>
      </c>
      <c r="BA389" s="3013">
        <f t="shared" si="1235"/>
        <v>4069.5430000000006</v>
      </c>
      <c r="BB389" s="3013">
        <f t="shared" si="1235"/>
        <v>4385.6350000000002</v>
      </c>
      <c r="BC389" s="3013">
        <f t="shared" si="1235"/>
        <v>4952.9390000000003</v>
      </c>
      <c r="BD389" s="3014">
        <f t="shared" si="1235"/>
        <v>17481.163</v>
      </c>
      <c r="BE389" s="3012">
        <f t="shared" si="1235"/>
        <v>5064</v>
      </c>
      <c r="BF389" s="3013">
        <f t="shared" si="1235"/>
        <v>5088</v>
      </c>
      <c r="BG389" s="3013">
        <f t="shared" si="1235"/>
        <v>5481</v>
      </c>
      <c r="BH389" s="3013">
        <f t="shared" si="1235"/>
        <v>6371</v>
      </c>
      <c r="BI389" s="3014">
        <f t="shared" si="1235"/>
        <v>22004</v>
      </c>
      <c r="BJ389" s="3012">
        <f t="shared" si="1235"/>
        <v>6537</v>
      </c>
      <c r="BK389" s="3013">
        <f t="shared" si="1235"/>
        <v>6916</v>
      </c>
      <c r="BL389" s="3013">
        <f t="shared" si="1235"/>
        <v>7510</v>
      </c>
      <c r="BM389" s="3013">
        <f t="shared" si="1235"/>
        <v>8134</v>
      </c>
      <c r="BN389" s="3014">
        <f t="shared" si="1235"/>
        <v>29097</v>
      </c>
      <c r="BO389" s="3013"/>
      <c r="BP389" s="3013"/>
      <c r="BQ389" s="3013"/>
      <c r="BR389" s="3013"/>
      <c r="BS389" s="3047"/>
      <c r="BT389" s="3013">
        <f>BT69-BT105</f>
        <v>8135</v>
      </c>
      <c r="BU389" s="3013">
        <f>BU69-BU105</f>
        <v>8364</v>
      </c>
      <c r="BV389" s="3013">
        <f>BV69-BV105</f>
        <v>8756</v>
      </c>
      <c r="BW389" s="3013">
        <f>BW69-BW105</f>
        <v>9825</v>
      </c>
      <c r="BX389" s="3014">
        <f>BX69-BX105</f>
        <v>35080</v>
      </c>
      <c r="BY389" s="3013"/>
      <c r="BZ389" s="3013"/>
      <c r="CA389" s="3013"/>
      <c r="CB389" s="3013"/>
      <c r="CC389" s="3047"/>
      <c r="CD389" s="3048">
        <f t="shared" ref="CD389:CV389" si="1236">CD69-CD105</f>
        <v>9989</v>
      </c>
      <c r="CE389" s="3013">
        <f t="shared" si="1236"/>
        <v>10094</v>
      </c>
      <c r="CF389" s="3013">
        <f t="shared" si="1236"/>
        <v>10782</v>
      </c>
      <c r="CG389" s="3013">
        <f t="shared" si="1236"/>
        <v>12397</v>
      </c>
      <c r="CH389" s="3014">
        <f t="shared" si="1236"/>
        <v>43262</v>
      </c>
      <c r="CI389" s="3049">
        <f t="shared" si="1236"/>
        <v>12188</v>
      </c>
      <c r="CJ389" s="3013">
        <f t="shared" si="1236"/>
        <v>12662</v>
      </c>
      <c r="CK389" s="3013">
        <f t="shared" si="1236"/>
        <v>13175</v>
      </c>
      <c r="CL389" s="3013">
        <f t="shared" si="1236"/>
        <v>14483</v>
      </c>
      <c r="CM389" s="3014">
        <f t="shared" si="1236"/>
        <v>52508</v>
      </c>
      <c r="CN389" s="3013">
        <f t="shared" si="1236"/>
        <v>13913</v>
      </c>
      <c r="CO389" s="3013">
        <f t="shared" si="1236"/>
        <v>14350</v>
      </c>
      <c r="CP389" s="3013">
        <f t="shared" si="1236"/>
        <v>15109</v>
      </c>
      <c r="CQ389" s="3013">
        <f t="shared" si="1236"/>
        <v>17274</v>
      </c>
      <c r="CR389" s="3014">
        <f t="shared" si="1236"/>
        <v>60646</v>
      </c>
      <c r="CS389" s="3013">
        <f t="shared" si="1236"/>
        <v>16469</v>
      </c>
      <c r="CT389" s="3013">
        <f t="shared" si="1236"/>
        <v>17525</v>
      </c>
      <c r="CU389" s="3013">
        <f t="shared" si="1236"/>
        <v>18269</v>
      </c>
      <c r="CV389" s="3013">
        <f t="shared" si="1236"/>
        <v>21216</v>
      </c>
      <c r="CW389" s="3014">
        <f>SUM(CS389:CV389)</f>
        <v>73479</v>
      </c>
      <c r="CX389" s="3013">
        <f>CX69-CX105</f>
        <v>20121</v>
      </c>
      <c r="CY389" s="3013">
        <f>CY69-CY105</f>
        <v>20919</v>
      </c>
      <c r="CZ389" s="3013">
        <f>CZ69-CZ105</f>
        <v>22270</v>
      </c>
      <c r="DA389" s="3013">
        <f>DA69-DA105</f>
        <v>25873</v>
      </c>
      <c r="DB389" s="3014">
        <f>SUM(CX389:DA389)</f>
        <v>89183</v>
      </c>
      <c r="DC389" s="3013">
        <f>DC69-DC105</f>
        <v>24858</v>
      </c>
      <c r="DD389" s="3013">
        <f>DD69-DD105</f>
        <v>26237</v>
      </c>
      <c r="DE389" s="3013">
        <f>DE69-DE105</f>
        <v>27158</v>
      </c>
      <c r="DF389" s="3013">
        <f>DF69-DF105</f>
        <v>31840</v>
      </c>
      <c r="DG389" s="3014">
        <f>SUM(DC389:DF389)</f>
        <v>110093</v>
      </c>
      <c r="DH389" s="3013">
        <f>DH69-DH105</f>
        <v>29479</v>
      </c>
      <c r="DI389" s="3013">
        <f>DI69-DI105</f>
        <v>31706</v>
      </c>
      <c r="DJ389" s="3013">
        <f>DJ69-DJ105</f>
        <v>33009</v>
      </c>
      <c r="DK389" s="3013">
        <f>DK69-DK105</f>
        <v>37574</v>
      </c>
      <c r="DL389" s="3014">
        <f>SUM(DH389:DK389)</f>
        <v>131768</v>
      </c>
      <c r="DM389" s="3013">
        <f>DM69-DM105</f>
        <v>33707</v>
      </c>
      <c r="DN389" s="3013">
        <f>DN69-DN105</f>
        <v>31603</v>
      </c>
      <c r="DO389" s="3013">
        <f>DO69-DO105</f>
        <v>38007</v>
      </c>
      <c r="DP389" s="3013">
        <f>DP69-DP105</f>
        <v>46432</v>
      </c>
      <c r="DQ389" s="3014"/>
      <c r="DR389" s="3013"/>
      <c r="DS389" s="3013"/>
      <c r="DT389" s="3013"/>
      <c r="DU389" s="3013"/>
      <c r="DV389" s="3014"/>
      <c r="DW389" s="3013"/>
      <c r="DX389" s="3013"/>
      <c r="DY389" s="3013"/>
      <c r="DZ389" s="3013"/>
      <c r="EA389" s="3047"/>
      <c r="EB389" s="3013"/>
      <c r="EC389" s="3013"/>
      <c r="ED389" s="3013"/>
      <c r="EE389" s="3013"/>
      <c r="EF389" s="3047"/>
      <c r="EG389" s="3013"/>
      <c r="EH389" s="3013"/>
      <c r="EI389" s="3013"/>
      <c r="EJ389" s="3013"/>
      <c r="EK389" s="3047"/>
      <c r="EL389" s="3013"/>
      <c r="EM389" s="3013"/>
      <c r="EN389" s="3013"/>
      <c r="EO389" s="3013"/>
      <c r="EP389" s="3047"/>
      <c r="EQ389" s="3013"/>
      <c r="ER389" s="3013"/>
      <c r="ES389" s="3013"/>
      <c r="ET389" s="3013"/>
      <c r="EU389" s="3047"/>
      <c r="EV389" s="3047"/>
      <c r="EW389" s="3047"/>
      <c r="EX389" s="3047"/>
      <c r="EY389" s="3047"/>
      <c r="EZ389" s="167"/>
      <c r="FA389" s="1319">
        <f>(EP389/DO389)^(1/3)-1</f>
        <v>-1</v>
      </c>
      <c r="FB389" s="1319">
        <f>(EV389/DO389)^(1/5)-1</f>
        <v>-1</v>
      </c>
    </row>
    <row r="390" spans="1:158" ht="11.25" hidden="1" customHeight="1">
      <c r="FA390" s="715"/>
      <c r="FB390" s="715"/>
    </row>
    <row r="391" spans="1:158" s="214" customFormat="1" ht="11.25" hidden="1" customHeight="1" collapsed="1">
      <c r="A391" s="2252" t="s">
        <v>556</v>
      </c>
      <c r="B391" s="2560"/>
      <c r="C391" s="2561"/>
      <c r="D391" s="2561"/>
      <c r="E391" s="2561"/>
      <c r="F391" s="2492"/>
      <c r="G391" s="2560"/>
      <c r="H391" s="2561"/>
      <c r="I391" s="2561"/>
      <c r="J391" s="2561"/>
      <c r="K391" s="2253"/>
      <c r="L391" s="2562"/>
      <c r="M391" s="2562"/>
      <c r="N391" s="2562"/>
      <c r="O391" s="2562"/>
      <c r="P391" s="2253"/>
      <c r="Q391" s="2562"/>
      <c r="R391" s="2562"/>
      <c r="S391" s="2562"/>
      <c r="T391" s="2562"/>
      <c r="U391" s="2253"/>
      <c r="V391" s="2562"/>
      <c r="W391" s="2562"/>
      <c r="X391" s="2562"/>
      <c r="Y391" s="2562"/>
      <c r="Z391" s="2253"/>
      <c r="AA391" s="2562"/>
      <c r="AB391" s="2562"/>
      <c r="AC391" s="2562"/>
      <c r="AD391" s="2562"/>
      <c r="AE391" s="2253"/>
      <c r="AF391" s="2562"/>
      <c r="AG391" s="2562"/>
      <c r="AH391" s="2562">
        <f>AH395/(AH395+AI395)</f>
        <v>0.51502936340342198</v>
      </c>
      <c r="AI391" s="2562"/>
      <c r="AJ391" s="2253"/>
      <c r="AK391" s="2562"/>
      <c r="AL391" s="2562"/>
      <c r="AM391" s="2562">
        <f>AM395/(AM395+AN395)</f>
        <v>0.5199564162075675</v>
      </c>
      <c r="AN391" s="2562"/>
      <c r="AO391" s="2253"/>
      <c r="AP391" s="2562"/>
      <c r="AQ391" s="2562"/>
      <c r="AR391" s="2562"/>
      <c r="AS391" s="2562"/>
      <c r="AT391" s="2253"/>
      <c r="AU391" s="2562"/>
      <c r="AV391" s="2562"/>
      <c r="AW391" s="2562"/>
      <c r="AX391" s="2562"/>
      <c r="AY391" s="2253"/>
      <c r="AZ391" s="2562"/>
      <c r="BA391" s="2562"/>
      <c r="BB391" s="2563"/>
      <c r="BC391" s="2562"/>
      <c r="BD391" s="2253"/>
      <c r="BE391" s="2562"/>
      <c r="BF391" s="2562"/>
      <c r="BG391" s="2563"/>
      <c r="BH391" s="2562"/>
      <c r="BI391" s="2253"/>
      <c r="BJ391" s="2562"/>
      <c r="BK391" s="2563"/>
      <c r="BL391" s="2563"/>
      <c r="BM391" s="2562"/>
      <c r="BN391" s="2253"/>
      <c r="BO391" s="2562"/>
      <c r="BP391" s="2562"/>
      <c r="BQ391" s="2562"/>
      <c r="BR391" s="2562"/>
      <c r="BS391" s="2254"/>
      <c r="BT391" s="2562"/>
      <c r="BU391" s="2562"/>
      <c r="BV391" s="2562"/>
      <c r="BW391" s="2562"/>
      <c r="BX391" s="2254"/>
      <c r="BY391" s="2562"/>
      <c r="BZ391" s="2562"/>
      <c r="CA391" s="2562"/>
      <c r="CB391" s="2562"/>
      <c r="CC391" s="2254"/>
      <c r="CD391" s="2562"/>
      <c r="CE391" s="2562"/>
      <c r="CF391" s="2562"/>
      <c r="CG391" s="2562"/>
      <c r="CH391" s="2254"/>
      <c r="CI391" s="2562"/>
      <c r="CJ391" s="2562"/>
      <c r="CK391" s="2562"/>
      <c r="CL391" s="2562"/>
      <c r="CM391" s="2254"/>
      <c r="CN391" s="2562"/>
      <c r="CO391" s="2562"/>
      <c r="CP391" s="2562"/>
      <c r="CQ391" s="2562"/>
      <c r="CR391" s="2254"/>
      <c r="CS391" s="2562"/>
      <c r="CT391" s="2562"/>
      <c r="CU391" s="2562"/>
      <c r="CV391" s="2562"/>
      <c r="CW391" s="2254"/>
      <c r="CX391" s="2562"/>
      <c r="CY391" s="2564" t="s">
        <v>605</v>
      </c>
      <c r="CZ391" s="2565"/>
      <c r="DA391" s="2565"/>
      <c r="DB391" s="2566"/>
      <c r="DC391" s="2564"/>
      <c r="DD391" s="2564"/>
      <c r="DE391" s="2565"/>
      <c r="DF391" s="2565"/>
      <c r="DG391" s="2566"/>
      <c r="DH391" s="2565"/>
      <c r="DI391" s="2565"/>
      <c r="DJ391" s="2565"/>
      <c r="DK391" s="2565"/>
      <c r="DL391" s="2566"/>
      <c r="DM391" s="2565"/>
      <c r="DN391" s="2565"/>
      <c r="DO391" s="2565"/>
      <c r="DP391" s="2565"/>
      <c r="DQ391" s="2566"/>
      <c r="DR391" s="2565"/>
      <c r="DS391" s="2565"/>
      <c r="DT391" s="2565"/>
      <c r="DU391" s="2565"/>
      <c r="DV391" s="2566"/>
      <c r="DW391" s="2565"/>
      <c r="DX391" s="2565"/>
      <c r="DY391" s="2565"/>
      <c r="DZ391" s="2565"/>
      <c r="EA391" s="2566"/>
      <c r="EB391" s="2565"/>
      <c r="EC391" s="2565"/>
      <c r="ED391" s="2565"/>
      <c r="EE391" s="2565"/>
      <c r="EF391" s="2566"/>
      <c r="EG391" s="2565"/>
      <c r="EH391" s="2565"/>
      <c r="EI391" s="2565"/>
      <c r="EJ391" s="2565"/>
      <c r="EK391" s="2566"/>
      <c r="EL391" s="2565"/>
      <c r="EM391" s="2565"/>
      <c r="EN391" s="2565"/>
      <c r="EO391" s="2565"/>
      <c r="EP391" s="2566"/>
      <c r="EQ391" s="2565"/>
      <c r="ER391" s="2565"/>
      <c r="ES391" s="2565"/>
      <c r="ET391" s="2565"/>
      <c r="EU391" s="2566"/>
      <c r="EV391" s="2566"/>
      <c r="EW391" s="2566"/>
      <c r="EX391" s="2566"/>
      <c r="EY391" s="2566"/>
      <c r="EZ391" s="51"/>
      <c r="FA391" s="715"/>
      <c r="FB391" s="715"/>
    </row>
    <row r="392" spans="1:158" s="220" customFormat="1" ht="11.25" hidden="1" customHeight="1">
      <c r="A392" s="2230" t="s">
        <v>290</v>
      </c>
      <c r="B392" s="2272"/>
      <c r="C392" s="2237"/>
      <c r="D392" s="2237"/>
      <c r="E392" s="2237"/>
      <c r="F392" s="2273"/>
      <c r="G392" s="2272"/>
      <c r="H392" s="2237"/>
      <c r="I392" s="2266"/>
      <c r="J392" s="2266"/>
      <c r="K392" s="2236"/>
      <c r="L392" s="2237"/>
      <c r="M392" s="2237"/>
      <c r="N392" s="2237"/>
      <c r="O392" s="2237"/>
      <c r="P392" s="2236"/>
      <c r="Q392" s="2237"/>
      <c r="R392" s="2237"/>
      <c r="S392" s="2237"/>
      <c r="T392" s="2237"/>
      <c r="U392" s="2236"/>
      <c r="V392" s="2237"/>
      <c r="W392" s="2237"/>
      <c r="X392" s="2237"/>
      <c r="Y392" s="2237"/>
      <c r="Z392" s="2236">
        <v>141.5</v>
      </c>
      <c r="AA392" s="2237">
        <v>76.221000000000004</v>
      </c>
      <c r="AB392" s="2237">
        <v>81.421000000000006</v>
      </c>
      <c r="AC392" s="2267">
        <f>(AE392-AA392-AB392)*0.47</f>
        <v>115.22896</v>
      </c>
      <c r="AD392" s="2267">
        <f>AE392-AC392-AB392-AA392</f>
        <v>129.93904000000003</v>
      </c>
      <c r="AE392" s="2236">
        <v>402.81</v>
      </c>
      <c r="AF392" s="2237">
        <v>186.215</v>
      </c>
      <c r="AG392" s="2235">
        <v>199.16399999999999</v>
      </c>
      <c r="AH392" s="2235">
        <v>233.2</v>
      </c>
      <c r="AI392" s="2235">
        <f>AJ392-AF392-AG392-AH392</f>
        <v>259.52100000000002</v>
      </c>
      <c r="AJ392" s="2236">
        <v>878.1</v>
      </c>
      <c r="AK392" s="2235">
        <v>342.9</v>
      </c>
      <c r="AL392" s="2235">
        <v>369.9</v>
      </c>
      <c r="AM392" s="2235">
        <v>422.5</v>
      </c>
      <c r="AN392" s="2235">
        <v>468.5</v>
      </c>
      <c r="AO392" s="2236">
        <f>SUM(AK392:AN392)</f>
        <v>1603.8</v>
      </c>
      <c r="AP392" s="2268">
        <v>578.35900000000004</v>
      </c>
      <c r="AQ392" s="2268">
        <v>599.51400000000001</v>
      </c>
      <c r="AR392" s="2268">
        <v>661.01599999999996</v>
      </c>
      <c r="AS392" s="2237">
        <f>AT392-AR392-AQ392-AP392</f>
        <v>692.02699999999993</v>
      </c>
      <c r="AT392" s="2236">
        <v>2530.9160000000002</v>
      </c>
      <c r="AU392" s="2269">
        <v>802.97299999999996</v>
      </c>
      <c r="AV392" s="2269">
        <v>773.95799999999997</v>
      </c>
      <c r="AW392" s="2269">
        <v>776.16</v>
      </c>
      <c r="AX392" s="2237">
        <f>AY392-AW392-AV392-AU392</f>
        <v>685.39699999999993</v>
      </c>
      <c r="AY392" s="2236">
        <v>3038.4879999999998</v>
      </c>
      <c r="AZ392" s="2269">
        <v>733.40800000000002</v>
      </c>
      <c r="BA392" s="2269">
        <v>715</v>
      </c>
      <c r="BB392" s="2269">
        <v>765.13199999999995</v>
      </c>
      <c r="BC392" s="2237">
        <f>BD392-BB392-BA392-AZ392</f>
        <v>772.49999999999989</v>
      </c>
      <c r="BD392" s="2236">
        <v>2986.04</v>
      </c>
      <c r="BE392" s="2270">
        <v>842</v>
      </c>
      <c r="BF392" s="2270">
        <v>770</v>
      </c>
      <c r="BG392" s="2270">
        <v>840</v>
      </c>
      <c r="BH392" s="2270">
        <v>878</v>
      </c>
      <c r="BI392" s="2236">
        <f>SUM(BE392:BH392)</f>
        <v>3330</v>
      </c>
      <c r="BJ392" s="2270">
        <v>969</v>
      </c>
      <c r="BK392" s="2270">
        <v>976</v>
      </c>
      <c r="BL392" s="2270">
        <v>1047</v>
      </c>
      <c r="BM392" s="2270">
        <v>1064</v>
      </c>
      <c r="BN392" s="2236">
        <f>SUM(BJ392:BM392)</f>
        <v>4056</v>
      </c>
      <c r="BO392" s="2237"/>
      <c r="BP392" s="2237"/>
      <c r="BQ392" s="2237"/>
      <c r="BR392" s="2237"/>
      <c r="BS392" s="2274"/>
      <c r="BT392" s="2270">
        <v>1150</v>
      </c>
      <c r="BU392" s="2270">
        <v>1175</v>
      </c>
      <c r="BV392" s="2270">
        <v>1216</v>
      </c>
      <c r="BW392" s="2270">
        <v>1305</v>
      </c>
      <c r="BX392" s="2236">
        <f>SUM(BT392:BW392)</f>
        <v>4846</v>
      </c>
      <c r="BY392" s="2237"/>
      <c r="BZ392" s="2237"/>
      <c r="CA392" s="2237"/>
      <c r="CB392" s="2237"/>
      <c r="CC392" s="2274"/>
      <c r="CD392" s="2270">
        <v>1387</v>
      </c>
      <c r="CE392" s="2270">
        <v>1321</v>
      </c>
      <c r="CF392" s="2270">
        <v>1389</v>
      </c>
      <c r="CG392" s="2270">
        <v>1503</v>
      </c>
      <c r="CH392" s="2236">
        <f>+CH170-CH175-CH397</f>
        <v>5600</v>
      </c>
      <c r="CI392" s="2235">
        <f>+CI170-CI175-CI397</f>
        <v>1583</v>
      </c>
      <c r="CJ392" s="2237">
        <f>+CJ170-CJ175-CJ397</f>
        <v>1616</v>
      </c>
      <c r="CK392" s="2237">
        <f>+CK170-CK175-CK397</f>
        <v>1627</v>
      </c>
      <c r="CL392" s="2237">
        <f>+CL170-CL175-CL397</f>
        <v>1657</v>
      </c>
      <c r="CM392" s="2236">
        <f>SUM(CI392:CL392)</f>
        <v>6483</v>
      </c>
      <c r="CN392" s="2271">
        <v>1675</v>
      </c>
      <c r="CO392" s="2270">
        <v>1678</v>
      </c>
      <c r="CP392" s="2270">
        <v>1792</v>
      </c>
      <c r="CQ392" s="2270">
        <v>1922</v>
      </c>
      <c r="CR392" s="2236">
        <f>SUM(CN392:CQ392)</f>
        <v>7067</v>
      </c>
      <c r="CS392" s="2268">
        <v>1921</v>
      </c>
      <c r="CT392" s="2271">
        <v>1914</v>
      </c>
      <c r="CU392" s="2271">
        <v>1890</v>
      </c>
      <c r="CV392" s="2271">
        <v>2062</v>
      </c>
      <c r="CW392" s="2236">
        <f>SUM(CS392:CV392)</f>
        <v>7787</v>
      </c>
      <c r="CX392" s="2271">
        <v>2025</v>
      </c>
      <c r="CY392" s="2234"/>
      <c r="CZ392" s="2234"/>
      <c r="DA392" s="2234"/>
      <c r="DB392" s="2232"/>
      <c r="DC392" s="2234"/>
      <c r="DD392" s="2234"/>
      <c r="DE392" s="2234"/>
      <c r="DF392" s="2234"/>
      <c r="DG392" s="2232"/>
      <c r="DH392" s="2234"/>
      <c r="DI392" s="2234"/>
      <c r="DJ392" s="2234"/>
      <c r="DK392" s="2234"/>
      <c r="DL392" s="2232"/>
      <c r="DM392" s="2234"/>
      <c r="DN392" s="2234"/>
      <c r="DO392" s="2234"/>
      <c r="DP392" s="2234"/>
      <c r="DQ392" s="2232"/>
      <c r="DR392" s="2234"/>
      <c r="DS392" s="2234"/>
      <c r="DT392" s="2234"/>
      <c r="DU392" s="2234"/>
      <c r="DV392" s="2232"/>
      <c r="DW392" s="2234"/>
      <c r="DX392" s="2234"/>
      <c r="DY392" s="2234"/>
      <c r="DZ392" s="2234"/>
      <c r="EA392" s="2232"/>
      <c r="EB392" s="2234"/>
      <c r="EC392" s="2234"/>
      <c r="ED392" s="2234"/>
      <c r="EE392" s="2234"/>
      <c r="EF392" s="2232"/>
      <c r="EG392" s="2234"/>
      <c r="EH392" s="2234"/>
      <c r="EI392" s="2234"/>
      <c r="EJ392" s="2234"/>
      <c r="EK392" s="2232"/>
      <c r="EL392" s="2234"/>
      <c r="EM392" s="2234"/>
      <c r="EN392" s="2234"/>
      <c r="EO392" s="2234"/>
      <c r="EP392" s="2232"/>
      <c r="EQ392" s="2234"/>
      <c r="ER392" s="2234"/>
      <c r="ES392" s="2234"/>
      <c r="ET392" s="2234"/>
      <c r="EU392" s="2232"/>
      <c r="EV392" s="2232"/>
      <c r="EW392" s="2232"/>
      <c r="EX392" s="2232"/>
      <c r="EY392" s="2232"/>
      <c r="EZ392" s="218"/>
      <c r="FA392" s="761"/>
      <c r="FB392" s="761"/>
    </row>
    <row r="393" spans="1:158" s="183" customFormat="1" ht="11.25" hidden="1" customHeight="1">
      <c r="A393" s="1542" t="s">
        <v>45</v>
      </c>
      <c r="B393" s="935"/>
      <c r="C393" s="181"/>
      <c r="D393" s="181"/>
      <c r="E393" s="181"/>
      <c r="F393" s="983"/>
      <c r="G393" s="935"/>
      <c r="H393" s="181"/>
      <c r="I393" s="221"/>
      <c r="J393" s="221"/>
      <c r="K393" s="991"/>
      <c r="L393" s="181"/>
      <c r="M393" s="181"/>
      <c r="N393" s="181"/>
      <c r="O393" s="181"/>
      <c r="P393" s="992"/>
      <c r="Q393" s="181"/>
      <c r="R393" s="181"/>
      <c r="S393" s="181"/>
      <c r="T393" s="181"/>
      <c r="U393" s="992"/>
      <c r="V393" s="181"/>
      <c r="W393" s="181"/>
      <c r="X393" s="181"/>
      <c r="Y393" s="181"/>
      <c r="Z393" s="992" t="s">
        <v>116</v>
      </c>
      <c r="AA393" s="169" t="s">
        <v>116</v>
      </c>
      <c r="AB393" s="169" t="s">
        <v>116</v>
      </c>
      <c r="AC393" s="169" t="s">
        <v>116</v>
      </c>
      <c r="AD393" s="169" t="s">
        <v>116</v>
      </c>
      <c r="AE393" s="992">
        <f>AE392/Z392-1</f>
        <v>1.8467137809187277</v>
      </c>
      <c r="AF393" s="181">
        <f>AF392/AA392-1</f>
        <v>1.4430931108224767</v>
      </c>
      <c r="AG393" s="222">
        <f>AG392/AB392-1</f>
        <v>1.4461011287014403</v>
      </c>
      <c r="AH393" s="169" t="s">
        <v>116</v>
      </c>
      <c r="AI393" s="169" t="s">
        <v>116</v>
      </c>
      <c r="AJ393" s="992">
        <f t="shared" ref="AJ393:AX393" si="1237">AJ392/AE392-1</f>
        <v>1.1799359499515902</v>
      </c>
      <c r="AK393" s="181">
        <f t="shared" si="1237"/>
        <v>0.84141986413554215</v>
      </c>
      <c r="AL393" s="222">
        <f t="shared" si="1237"/>
        <v>0.8572633608483462</v>
      </c>
      <c r="AM393" s="222">
        <f t="shared" si="1237"/>
        <v>0.81174957118353364</v>
      </c>
      <c r="AN393" s="222">
        <f t="shared" si="1237"/>
        <v>0.80524890085966061</v>
      </c>
      <c r="AO393" s="992">
        <f t="shared" si="1237"/>
        <v>0.82644345746498105</v>
      </c>
      <c r="AP393" s="181">
        <f t="shared" si="1237"/>
        <v>0.68666958296879588</v>
      </c>
      <c r="AQ393" s="222">
        <f t="shared" si="1237"/>
        <v>0.62074614760746161</v>
      </c>
      <c r="AR393" s="222">
        <f t="shared" si="1237"/>
        <v>0.56453491124260347</v>
      </c>
      <c r="AS393" s="222">
        <f t="shared" si="1237"/>
        <v>0.47711205976520787</v>
      </c>
      <c r="AT393" s="992">
        <f t="shared" si="1237"/>
        <v>0.57807457288938791</v>
      </c>
      <c r="AU393" s="181">
        <f t="shared" si="1237"/>
        <v>0.38836432043073565</v>
      </c>
      <c r="AV393" s="222">
        <f>AV392/AQ392-1</f>
        <v>0.29097569030915027</v>
      </c>
      <c r="AW393" s="222">
        <f t="shared" si="1237"/>
        <v>0.17419245525070504</v>
      </c>
      <c r="AX393" s="222">
        <f t="shared" si="1237"/>
        <v>-9.5805510478637057E-3</v>
      </c>
      <c r="AY393" s="992">
        <f t="shared" ref="AY393:CX393" si="1238">AY392/AT392-1</f>
        <v>0.20054873413420271</v>
      </c>
      <c r="AZ393" s="181">
        <f t="shared" si="1238"/>
        <v>-8.6634295300090924E-2</v>
      </c>
      <c r="BA393" s="222">
        <f t="shared" si="1238"/>
        <v>-7.6177260264768898E-2</v>
      </c>
      <c r="BB393" s="222">
        <f t="shared" si="1238"/>
        <v>-1.4208410636982083E-2</v>
      </c>
      <c r="BC393" s="222">
        <f t="shared" si="1238"/>
        <v>0.12708401116433254</v>
      </c>
      <c r="BD393" s="992">
        <f t="shared" si="1238"/>
        <v>-1.7261216763074239E-2</v>
      </c>
      <c r="BE393" s="181">
        <f t="shared" si="1238"/>
        <v>0.14806492429861695</v>
      </c>
      <c r="BF393" s="222">
        <f t="shared" si="1238"/>
        <v>7.6923076923076872E-2</v>
      </c>
      <c r="BG393" s="222">
        <f t="shared" si="1238"/>
        <v>9.7849782782578831E-2</v>
      </c>
      <c r="BH393" s="222">
        <f t="shared" si="1238"/>
        <v>0.13656957928802615</v>
      </c>
      <c r="BI393" s="992">
        <f>BI392/BD392-1</f>
        <v>0.11518934776493284</v>
      </c>
      <c r="BJ393" s="181">
        <f t="shared" si="1238"/>
        <v>0.15083135391923985</v>
      </c>
      <c r="BK393" s="205">
        <f t="shared" si="1238"/>
        <v>0.26753246753246751</v>
      </c>
      <c r="BL393" s="205">
        <f t="shared" si="1238"/>
        <v>0.24642857142857144</v>
      </c>
      <c r="BM393" s="222">
        <f t="shared" si="1238"/>
        <v>0.21184510250569466</v>
      </c>
      <c r="BN393" s="992">
        <f>BN392/BI392-1</f>
        <v>0.21801801801801801</v>
      </c>
      <c r="BO393" s="169"/>
      <c r="BP393" s="169"/>
      <c r="BQ393" s="169"/>
      <c r="BR393" s="169"/>
      <c r="BS393" s="1927"/>
      <c r="BT393" s="181">
        <f>BT392/BJ392-1</f>
        <v>0.18679050567595468</v>
      </c>
      <c r="BU393" s="205">
        <f>BU392/BK392-1</f>
        <v>0.20389344262295084</v>
      </c>
      <c r="BV393" s="205">
        <f>BV392/BL392-1</f>
        <v>0.16141356255969441</v>
      </c>
      <c r="BW393" s="222">
        <f>BW392/BM392-1</f>
        <v>0.22650375939849621</v>
      </c>
      <c r="BX393" s="992">
        <f>BX392/BN392-1</f>
        <v>0.19477317554240625</v>
      </c>
      <c r="BY393" s="169"/>
      <c r="BZ393" s="169"/>
      <c r="CA393" s="169"/>
      <c r="CB393" s="169"/>
      <c r="CC393" s="1927"/>
      <c r="CD393" s="181">
        <f>CD392/BT392-1</f>
        <v>0.20608695652173914</v>
      </c>
      <c r="CE393" s="205">
        <f>CE392/BU392-1</f>
        <v>0.12425531914893617</v>
      </c>
      <c r="CF393" s="205">
        <f>CF392/BV392-1</f>
        <v>0.14226973684210531</v>
      </c>
      <c r="CG393" s="222">
        <f>CG392/BW392-1</f>
        <v>0.15172413793103456</v>
      </c>
      <c r="CH393" s="992">
        <f>CH392/BX392-1</f>
        <v>0.15559224102352465</v>
      </c>
      <c r="CI393" s="222">
        <f t="shared" si="1238"/>
        <v>0.14131218457101657</v>
      </c>
      <c r="CJ393" s="205">
        <f t="shared" si="1238"/>
        <v>0.2233156699470098</v>
      </c>
      <c r="CK393" s="205">
        <f t="shared" si="1238"/>
        <v>0.17134629229661624</v>
      </c>
      <c r="CL393" s="222">
        <f t="shared" si="1238"/>
        <v>0.1024617431803061</v>
      </c>
      <c r="CM393" s="992">
        <f>CM392/CH392-1</f>
        <v>0.15767857142857133</v>
      </c>
      <c r="CN393" s="222">
        <f t="shared" si="1238"/>
        <v>5.8117498420720226E-2</v>
      </c>
      <c r="CO393" s="205">
        <f t="shared" si="1238"/>
        <v>3.8366336633663289E-2</v>
      </c>
      <c r="CP393" s="205">
        <f t="shared" si="1238"/>
        <v>0.10141364474492942</v>
      </c>
      <c r="CQ393" s="205">
        <f t="shared" si="1238"/>
        <v>0.15992757996379003</v>
      </c>
      <c r="CR393" s="992">
        <f>CR392/CM392-1</f>
        <v>9.0081752275181337E-2</v>
      </c>
      <c r="CS393" s="222">
        <f t="shared" si="1238"/>
        <v>0.1468656716417911</v>
      </c>
      <c r="CT393" s="205">
        <f t="shared" si="1238"/>
        <v>0.14064362336114411</v>
      </c>
      <c r="CU393" s="205">
        <f t="shared" si="1238"/>
        <v>5.46875E-2</v>
      </c>
      <c r="CV393" s="205">
        <f t="shared" si="1238"/>
        <v>7.2840790842872094E-2</v>
      </c>
      <c r="CW393" s="992">
        <f>CW392/CR392-1</f>
        <v>0.1018819866987406</v>
      </c>
      <c r="CX393" s="222">
        <f t="shared" si="1238"/>
        <v>5.413846954711099E-2</v>
      </c>
      <c r="CY393" s="2557"/>
      <c r="CZ393" s="2557"/>
      <c r="DA393" s="2557"/>
      <c r="DB393" s="1136"/>
      <c r="DC393" s="2557"/>
      <c r="DD393" s="2557"/>
      <c r="DE393" s="2557"/>
      <c r="DF393" s="2557"/>
      <c r="DG393" s="1158"/>
      <c r="DH393" s="2557"/>
      <c r="DI393" s="2557"/>
      <c r="DJ393" s="2557"/>
      <c r="DK393" s="2557"/>
      <c r="DL393" s="1158"/>
      <c r="DM393" s="2557"/>
      <c r="DN393" s="2557"/>
      <c r="DO393" s="2557"/>
      <c r="DP393" s="2557"/>
      <c r="DQ393" s="1158"/>
      <c r="DR393" s="2557"/>
      <c r="DS393" s="2557"/>
      <c r="DT393" s="2557"/>
      <c r="DU393" s="2557"/>
      <c r="DV393" s="1158"/>
      <c r="DW393" s="2557"/>
      <c r="DX393" s="2557"/>
      <c r="DY393" s="2557"/>
      <c r="DZ393" s="2557"/>
      <c r="EA393" s="1158"/>
      <c r="EB393" s="2557"/>
      <c r="EC393" s="2557"/>
      <c r="ED393" s="2557"/>
      <c r="EE393" s="2557"/>
      <c r="EF393" s="1158"/>
      <c r="EG393" s="2557"/>
      <c r="EH393" s="2557"/>
      <c r="EI393" s="2557"/>
      <c r="EJ393" s="2557"/>
      <c r="EK393" s="1158"/>
      <c r="EL393" s="2557"/>
      <c r="EM393" s="2557"/>
      <c r="EN393" s="2557"/>
      <c r="EO393" s="2557"/>
      <c r="EP393" s="1158"/>
      <c r="EQ393" s="2557"/>
      <c r="ER393" s="2557"/>
      <c r="ES393" s="2557"/>
      <c r="ET393" s="2557"/>
      <c r="EU393" s="1158"/>
      <c r="EV393" s="1158"/>
      <c r="EW393" s="1158"/>
      <c r="EX393" s="1158"/>
      <c r="EY393" s="1158"/>
      <c r="EZ393" s="169"/>
      <c r="FA393" s="720"/>
      <c r="FB393" s="720"/>
    </row>
    <row r="394" spans="1:158" s="138" customFormat="1" ht="11.25" hidden="1" customHeight="1">
      <c r="A394" s="1542" t="s">
        <v>46</v>
      </c>
      <c r="B394" s="963"/>
      <c r="C394" s="124"/>
      <c r="D394" s="124"/>
      <c r="E394" s="124"/>
      <c r="F394" s="979"/>
      <c r="G394" s="963"/>
      <c r="H394" s="124"/>
      <c r="I394" s="173"/>
      <c r="J394" s="173"/>
      <c r="K394" s="997"/>
      <c r="L394" s="124"/>
      <c r="M394" s="124"/>
      <c r="N394" s="124"/>
      <c r="O394" s="124"/>
      <c r="P394" s="995"/>
      <c r="Q394" s="124"/>
      <c r="R394" s="124"/>
      <c r="S394" s="124"/>
      <c r="T394" s="124"/>
      <c r="U394" s="995"/>
      <c r="V394" s="124"/>
      <c r="W394" s="124"/>
      <c r="X394" s="124"/>
      <c r="Y394" s="124"/>
      <c r="Z394" s="995"/>
      <c r="AA394" s="169" t="s">
        <v>116</v>
      </c>
      <c r="AB394" s="224">
        <f>AB392/AA392-1</f>
        <v>6.8222668293514976E-2</v>
      </c>
      <c r="AC394" s="224">
        <f>AC392/AB392-1</f>
        <v>0.41522408223922569</v>
      </c>
      <c r="AD394" s="224">
        <f>AD392/AC392-1</f>
        <v>0.12765957446808529</v>
      </c>
      <c r="AE394" s="995"/>
      <c r="AF394" s="224">
        <f>AF392/AD392-1</f>
        <v>0.43309508828139687</v>
      </c>
      <c r="AG394" s="224">
        <f>AG392/AF392-1</f>
        <v>6.9537899739548381E-2</v>
      </c>
      <c r="AH394" s="224">
        <f>AH392/AG392-1</f>
        <v>0.17089433833423717</v>
      </c>
      <c r="AI394" s="224">
        <f>AI392/AH392-1</f>
        <v>0.11286878216123508</v>
      </c>
      <c r="AJ394" s="995"/>
      <c r="AK394" s="224">
        <f>AK392/AI392-1</f>
        <v>0.32128035881489336</v>
      </c>
      <c r="AL394" s="224">
        <f>AL392/AK392-1</f>
        <v>7.8740157480315043E-2</v>
      </c>
      <c r="AM394" s="224">
        <f>AM392/AL392-1</f>
        <v>0.1422005947553393</v>
      </c>
      <c r="AN394" s="224">
        <f>AN392/AM392-1</f>
        <v>0.10887573964497044</v>
      </c>
      <c r="AO394" s="995"/>
      <c r="AP394" s="224">
        <f>AP392/AN392-1</f>
        <v>0.23449092849519748</v>
      </c>
      <c r="AQ394" s="224">
        <f>AQ392/AP392-1</f>
        <v>3.6577627390599998E-2</v>
      </c>
      <c r="AR394" s="224">
        <f>AR392/AQ392-1</f>
        <v>0.10258642834028886</v>
      </c>
      <c r="AS394" s="224">
        <f>AS392/AR392-1</f>
        <v>4.6914144286976267E-2</v>
      </c>
      <c r="AT394" s="995"/>
      <c r="AU394" s="124">
        <f>AU392/AS392-1</f>
        <v>0.16032033432221571</v>
      </c>
      <c r="AV394" s="224">
        <f>AV392/AU392-1</f>
        <v>-3.6134465293353513E-2</v>
      </c>
      <c r="AW394" s="224">
        <f>AW392/AV392-1</f>
        <v>2.8451156264293065E-3</v>
      </c>
      <c r="AX394" s="224">
        <f>AX392/AW392-1</f>
        <v>-0.11693851783137499</v>
      </c>
      <c r="AY394" s="995"/>
      <c r="AZ394" s="124">
        <f>AZ392/AX392-1</f>
        <v>7.0048453669917077E-2</v>
      </c>
      <c r="BA394" s="224">
        <f>BA392/AZ392-1</f>
        <v>-2.5099262620533191E-2</v>
      </c>
      <c r="BB394" s="224">
        <f>BB392/BA392-1</f>
        <v>7.0114685314685232E-2</v>
      </c>
      <c r="BC394" s="225">
        <f>BC392/BB392-1</f>
        <v>9.6297109518357349E-3</v>
      </c>
      <c r="BD394" s="995"/>
      <c r="BE394" s="225">
        <f>BE392/BC392-1</f>
        <v>8.9967637540453227E-2</v>
      </c>
      <c r="BF394" s="225">
        <f>BF392/BE392-1</f>
        <v>-8.5510688836104465E-2</v>
      </c>
      <c r="BG394" s="225">
        <f>BG392/BF392-1</f>
        <v>9.0909090909090828E-2</v>
      </c>
      <c r="BH394" s="225">
        <f>BH392/BG392-1</f>
        <v>4.5238095238095299E-2</v>
      </c>
      <c r="BI394" s="995"/>
      <c r="BJ394" s="225">
        <f>BJ392/BH392-1</f>
        <v>0.10364464692482911</v>
      </c>
      <c r="BK394" s="225">
        <f>BK392/BJ392-1</f>
        <v>7.2239422084623417E-3</v>
      </c>
      <c r="BL394" s="225">
        <f>BL392/BK392-1</f>
        <v>7.2745901639344357E-2</v>
      </c>
      <c r="BM394" s="225">
        <f>BM392/BL392-1</f>
        <v>1.6236867239732611E-2</v>
      </c>
      <c r="BN394" s="995"/>
      <c r="BO394" s="127"/>
      <c r="BP394" s="127"/>
      <c r="BQ394" s="127"/>
      <c r="BR394" s="127"/>
      <c r="BS394" s="1957"/>
      <c r="BT394" s="225">
        <f>BT392/BM392-1</f>
        <v>8.0827067669172914E-2</v>
      </c>
      <c r="BU394" s="225">
        <f>BU392/BT392-1</f>
        <v>2.1739130434782705E-2</v>
      </c>
      <c r="BV394" s="225">
        <f>BV392/BU392-1</f>
        <v>3.4893617021276579E-2</v>
      </c>
      <c r="BW394" s="225">
        <f>BW392/BV392-1</f>
        <v>7.3190789473684292E-2</v>
      </c>
      <c r="BX394" s="995"/>
      <c r="BY394" s="127"/>
      <c r="BZ394" s="127"/>
      <c r="CA394" s="127"/>
      <c r="CB394" s="127"/>
      <c r="CC394" s="1957"/>
      <c r="CD394" s="225">
        <f>CD392/BW392-1</f>
        <v>6.2835249042145547E-2</v>
      </c>
      <c r="CE394" s="225">
        <f>CE392/CD392-1</f>
        <v>-4.7584715212689255E-2</v>
      </c>
      <c r="CF394" s="225">
        <f>CF392/CE392-1</f>
        <v>5.1476154428463206E-2</v>
      </c>
      <c r="CG394" s="225">
        <f>CG392/CF392-1</f>
        <v>8.2073434125270017E-2</v>
      </c>
      <c r="CH394" s="995"/>
      <c r="CI394" s="169">
        <f>+CI392/CG392-1</f>
        <v>5.3226879574185038E-2</v>
      </c>
      <c r="CJ394" s="225">
        <f>CJ392/CI392-1</f>
        <v>2.0846493998736504E-2</v>
      </c>
      <c r="CK394" s="225">
        <f>CK392/CJ392-1</f>
        <v>6.8069306930693685E-3</v>
      </c>
      <c r="CL394" s="225">
        <f>CL392/CK392-1</f>
        <v>1.8438844499077955E-2</v>
      </c>
      <c r="CM394" s="995"/>
      <c r="CN394" s="169">
        <f>+CN392/CL392-1</f>
        <v>1.0863005431502648E-2</v>
      </c>
      <c r="CO394" s="225">
        <f>CO392/CN392-1</f>
        <v>1.7910447761193549E-3</v>
      </c>
      <c r="CP394" s="225">
        <f>CP392/CO392-1</f>
        <v>6.7938021454112096E-2</v>
      </c>
      <c r="CQ394" s="225">
        <f>CQ392/CP392-1</f>
        <v>7.2544642857142794E-2</v>
      </c>
      <c r="CR394" s="995"/>
      <c r="CS394" s="169">
        <f>+CS392/CQ392-1</f>
        <v>-5.2029136316333879E-4</v>
      </c>
      <c r="CT394" s="225">
        <f>CT392/CS392-1</f>
        <v>-3.6439354502862953E-3</v>
      </c>
      <c r="CU394" s="169">
        <f>+CU392/CT392-1</f>
        <v>-1.2539184952978011E-2</v>
      </c>
      <c r="CV394" s="169">
        <f>+CV392/CU392-1</f>
        <v>9.1005291005290978E-2</v>
      </c>
      <c r="CW394" s="995"/>
      <c r="CX394" s="169">
        <f>+CX392/CV392-1</f>
        <v>-1.7943743937924306E-2</v>
      </c>
      <c r="CY394" s="1135"/>
      <c r="CZ394" s="1135"/>
      <c r="DA394" s="1135"/>
      <c r="DB394" s="1122"/>
      <c r="DC394" s="2660"/>
      <c r="DD394" s="2660"/>
      <c r="DE394" s="2660"/>
      <c r="DF394" s="2660"/>
      <c r="DG394" s="1122"/>
      <c r="DH394" s="2660"/>
      <c r="DI394" s="2660"/>
      <c r="DJ394" s="2660"/>
      <c r="DK394" s="2660"/>
      <c r="DL394" s="1122"/>
      <c r="DM394" s="2660"/>
      <c r="DN394" s="2660"/>
      <c r="DO394" s="2660"/>
      <c r="DP394" s="2660"/>
      <c r="DQ394" s="1122"/>
      <c r="DR394" s="2660"/>
      <c r="DS394" s="2660"/>
      <c r="DT394" s="2660"/>
      <c r="DU394" s="2660"/>
      <c r="DV394" s="1122"/>
      <c r="DW394" s="2660"/>
      <c r="DX394" s="2660"/>
      <c r="DY394" s="2660"/>
      <c r="DZ394" s="2660"/>
      <c r="EA394" s="1122"/>
      <c r="EB394" s="2660"/>
      <c r="EC394" s="2660"/>
      <c r="ED394" s="2660"/>
      <c r="EE394" s="2660"/>
      <c r="EF394" s="1122"/>
      <c r="EG394" s="2660"/>
      <c r="EH394" s="2660"/>
      <c r="EI394" s="2660"/>
      <c r="EJ394" s="2660"/>
      <c r="EK394" s="1122"/>
      <c r="EL394" s="2660"/>
      <c r="EM394" s="2660"/>
      <c r="EN394" s="2660"/>
      <c r="EO394" s="2660"/>
      <c r="EP394" s="1122"/>
      <c r="EQ394" s="2660"/>
      <c r="ER394" s="2660"/>
      <c r="ES394" s="2660"/>
      <c r="ET394" s="2660"/>
      <c r="EU394" s="1122"/>
      <c r="EV394" s="1122"/>
      <c r="EW394" s="1122"/>
      <c r="EX394" s="1122"/>
      <c r="EY394" s="1122"/>
      <c r="EZ394" s="127"/>
      <c r="FA394" s="715"/>
      <c r="FB394" s="715"/>
    </row>
    <row r="395" spans="1:158" s="138" customFormat="1" ht="11.25" hidden="1" customHeight="1">
      <c r="A395" s="1547" t="s">
        <v>292</v>
      </c>
      <c r="B395" s="963"/>
      <c r="C395" s="124"/>
      <c r="D395" s="124"/>
      <c r="E395" s="124"/>
      <c r="F395" s="979"/>
      <c r="G395" s="963"/>
      <c r="H395" s="124"/>
      <c r="I395" s="173"/>
      <c r="J395" s="173"/>
      <c r="K395" s="997"/>
      <c r="L395" s="124"/>
      <c r="M395" s="124"/>
      <c r="N395" s="124"/>
      <c r="O395" s="124"/>
      <c r="P395" s="995"/>
      <c r="Q395" s="124"/>
      <c r="R395" s="124"/>
      <c r="S395" s="124"/>
      <c r="T395" s="124"/>
      <c r="U395" s="995"/>
      <c r="V395" s="124"/>
      <c r="W395" s="124"/>
      <c r="X395" s="124"/>
      <c r="Y395" s="124"/>
      <c r="Z395" s="995">
        <f t="shared" ref="Z395:BN395" si="1239">Z392/Z179</f>
        <v>0.33097573214403742</v>
      </c>
      <c r="AA395" s="124">
        <f t="shared" si="1239"/>
        <v>0.37142926757955264</v>
      </c>
      <c r="AB395" s="124">
        <f t="shared" si="1239"/>
        <v>0.37399864035571234</v>
      </c>
      <c r="AC395" s="124">
        <f t="shared" si="1239"/>
        <v>0.4095442477404313</v>
      </c>
      <c r="AD395" s="124">
        <f t="shared" si="1239"/>
        <v>0.35511493357601792</v>
      </c>
      <c r="AE395" s="995">
        <f t="shared" si="1239"/>
        <v>0.3763946252032368</v>
      </c>
      <c r="AF395" s="124">
        <f t="shared" si="1239"/>
        <v>0.38418292401135545</v>
      </c>
      <c r="AG395" s="124">
        <f t="shared" si="1239"/>
        <v>0.36797927710041994</v>
      </c>
      <c r="AH395" s="124">
        <f t="shared" si="1239"/>
        <v>0.37529974089511881</v>
      </c>
      <c r="AI395" s="124">
        <f t="shared" si="1239"/>
        <v>0.35339607251454663</v>
      </c>
      <c r="AJ395" s="995">
        <f t="shared" si="1239"/>
        <v>0.36869025735680033</v>
      </c>
      <c r="AK395" s="124">
        <f t="shared" si="1239"/>
        <v>0.36625459019860418</v>
      </c>
      <c r="AL395" s="124">
        <f t="shared" si="1239"/>
        <v>0.35740339045281727</v>
      </c>
      <c r="AM395" s="124">
        <f t="shared" si="1239"/>
        <v>0.35718271184950479</v>
      </c>
      <c r="AN395" s="124">
        <f t="shared" si="1239"/>
        <v>0.32976469511723</v>
      </c>
      <c r="AO395" s="995">
        <f t="shared" si="1239"/>
        <v>0.35057446515972251</v>
      </c>
      <c r="AP395" s="124">
        <f t="shared" si="1239"/>
        <v>0.33909634736152733</v>
      </c>
      <c r="AQ395" s="124">
        <f t="shared" si="1239"/>
        <v>0.32510847089791289</v>
      </c>
      <c r="AR395" s="124">
        <f t="shared" si="1239"/>
        <v>0.32634030792745844</v>
      </c>
      <c r="AS395" s="124">
        <f t="shared" si="1239"/>
        <v>0.29818583405399268</v>
      </c>
      <c r="AT395" s="995">
        <f t="shared" si="1239"/>
        <v>0.32053282910955155</v>
      </c>
      <c r="AU395" s="124">
        <f t="shared" si="1239"/>
        <v>0.30294363210314462</v>
      </c>
      <c r="AV395" s="124">
        <f t="shared" si="1239"/>
        <v>0.27639501347766648</v>
      </c>
      <c r="AW395" s="124">
        <f t="shared" si="1239"/>
        <v>0.27268329340541086</v>
      </c>
      <c r="AX395" s="124">
        <f t="shared" si="1239"/>
        <v>0.2394098071823956</v>
      </c>
      <c r="AY395" s="995">
        <f t="shared" si="1239"/>
        <v>0.27226602301057967</v>
      </c>
      <c r="AZ395" s="124">
        <f t="shared" si="1239"/>
        <v>0.25448501525019696</v>
      </c>
      <c r="BA395" s="124">
        <f t="shared" si="1239"/>
        <v>0.24538672948566942</v>
      </c>
      <c r="BB395" s="124">
        <f t="shared" si="1239"/>
        <v>0.24346822221854519</v>
      </c>
      <c r="BC395" s="127">
        <f t="shared" si="1239"/>
        <v>0.2195430548797955</v>
      </c>
      <c r="BD395" s="995">
        <f t="shared" si="1239"/>
        <v>0.239707679357303</v>
      </c>
      <c r="BE395" s="127">
        <f t="shared" si="1239"/>
        <v>0.23526124615814473</v>
      </c>
      <c r="BF395" s="127">
        <f t="shared" si="1239"/>
        <v>0.21800679501698755</v>
      </c>
      <c r="BG395" s="127">
        <f t="shared" si="1239"/>
        <v>0.22287078800742902</v>
      </c>
      <c r="BH395" s="127">
        <f t="shared" si="1239"/>
        <v>0.20022805017103762</v>
      </c>
      <c r="BI395" s="995">
        <f t="shared" si="1239"/>
        <v>0.21814608581722897</v>
      </c>
      <c r="BJ395" s="127">
        <f t="shared" si="1239"/>
        <v>0.21203501094091903</v>
      </c>
      <c r="BK395" s="127">
        <f t="shared" si="1239"/>
        <v>0.20036953397659618</v>
      </c>
      <c r="BL395" s="127">
        <f t="shared" si="1239"/>
        <v>0.19754716981132076</v>
      </c>
      <c r="BM395" s="127">
        <f t="shared" si="1239"/>
        <v>0.18986438258386867</v>
      </c>
      <c r="BN395" s="995">
        <f t="shared" si="1239"/>
        <v>0.19936102236421724</v>
      </c>
      <c r="BO395" s="127"/>
      <c r="BP395" s="127"/>
      <c r="BQ395" s="127"/>
      <c r="BR395" s="127"/>
      <c r="BS395" s="1957"/>
      <c r="BT395" s="127">
        <f>BT392/BT179</f>
        <v>0.19927222318488996</v>
      </c>
      <c r="BU395" s="127">
        <f>BU392/BU179</f>
        <v>0.19718073502265482</v>
      </c>
      <c r="BV395" s="127">
        <f>BV392/BV179</f>
        <v>0.19901800327332242</v>
      </c>
      <c r="BW395" s="127">
        <f>BW392/BW179</f>
        <v>0.18877477216837843</v>
      </c>
      <c r="BX395" s="995">
        <f>BX392/BX179</f>
        <v>0.19577424958590878</v>
      </c>
      <c r="BY395" s="127"/>
      <c r="BZ395" s="127"/>
      <c r="CA395" s="127"/>
      <c r="CB395" s="127"/>
      <c r="CC395" s="1957"/>
      <c r="CD395" s="127">
        <f t="shared" ref="CD395:CX395" si="1240">CD392/CD179</f>
        <v>0.1949402670414617</v>
      </c>
      <c r="CE395" s="127">
        <f t="shared" si="1240"/>
        <v>0.18319234502842879</v>
      </c>
      <c r="CF395" s="127">
        <f t="shared" si="1240"/>
        <v>0.18100078186082877</v>
      </c>
      <c r="CG395" s="127">
        <f t="shared" si="1240"/>
        <v>0.17134062927496579</v>
      </c>
      <c r="CH395" s="995">
        <f t="shared" si="1240"/>
        <v>0.18198362147406733</v>
      </c>
      <c r="CI395" s="124">
        <f t="shared" si="1240"/>
        <v>0.18568914956011731</v>
      </c>
      <c r="CJ395" s="127">
        <f t="shared" si="1240"/>
        <v>0.17961542736467712</v>
      </c>
      <c r="CK395" s="127">
        <f t="shared" si="1240"/>
        <v>0.17686705076638765</v>
      </c>
      <c r="CL395" s="127">
        <f t="shared" si="1240"/>
        <v>0.16911614615227596</v>
      </c>
      <c r="CM395" s="995">
        <f t="shared" si="1240"/>
        <v>0.17752402858785837</v>
      </c>
      <c r="CN395" s="124">
        <f t="shared" si="1240"/>
        <v>0.1756317500262137</v>
      </c>
      <c r="CO395" s="127">
        <f t="shared" si="1240"/>
        <v>0.17336501704721563</v>
      </c>
      <c r="CP395" s="127">
        <f t="shared" si="1240"/>
        <v>0.18051777979248515</v>
      </c>
      <c r="CQ395" s="127">
        <f t="shared" si="1240"/>
        <v>0.17415730337078653</v>
      </c>
      <c r="CR395" s="995">
        <f t="shared" si="1240"/>
        <v>0.17588790164016027</v>
      </c>
      <c r="CS395" s="124">
        <f t="shared" si="1240"/>
        <v>0.17662743655755792</v>
      </c>
      <c r="CT395" s="127">
        <f t="shared" si="1240"/>
        <v>0.16694286960314</v>
      </c>
      <c r="CU395" s="124">
        <f t="shared" si="1240"/>
        <v>0.16014234875444841</v>
      </c>
      <c r="CV395" s="124">
        <f t="shared" si="1240"/>
        <v>0.15448007192088703</v>
      </c>
      <c r="CW395" s="995">
        <f t="shared" si="1240"/>
        <v>0.16396790970920805</v>
      </c>
      <c r="CX395" s="124">
        <f t="shared" si="1240"/>
        <v>0.15599722671596949</v>
      </c>
      <c r="CY395" s="1121"/>
      <c r="CZ395" s="1121"/>
      <c r="DA395" s="1121"/>
      <c r="DB395" s="1122"/>
      <c r="DC395" s="1121"/>
      <c r="DD395" s="1121"/>
      <c r="DE395" s="1121"/>
      <c r="DF395" s="1121"/>
      <c r="DG395" s="1122"/>
      <c r="DH395" s="1121"/>
      <c r="DI395" s="1121"/>
      <c r="DJ395" s="1121"/>
      <c r="DK395" s="1121"/>
      <c r="DL395" s="1122"/>
      <c r="DM395" s="1121"/>
      <c r="DN395" s="1121"/>
      <c r="DO395" s="1121"/>
      <c r="DP395" s="1121"/>
      <c r="DQ395" s="1122"/>
      <c r="DR395" s="1121"/>
      <c r="DS395" s="1121"/>
      <c r="DT395" s="1121"/>
      <c r="DU395" s="1121"/>
      <c r="DV395" s="1122"/>
      <c r="DW395" s="1121"/>
      <c r="DX395" s="1121"/>
      <c r="DY395" s="1121"/>
      <c r="DZ395" s="1121"/>
      <c r="EA395" s="1122"/>
      <c r="EB395" s="1121"/>
      <c r="EC395" s="1121"/>
      <c r="ED395" s="1121"/>
      <c r="EE395" s="1121"/>
      <c r="EF395" s="1122"/>
      <c r="EG395" s="1121"/>
      <c r="EH395" s="1121"/>
      <c r="EI395" s="1121"/>
      <c r="EJ395" s="1121"/>
      <c r="EK395" s="1122"/>
      <c r="EL395" s="1121"/>
      <c r="EM395" s="1121"/>
      <c r="EN395" s="1121"/>
      <c r="EO395" s="1121"/>
      <c r="EP395" s="1122"/>
      <c r="EQ395" s="1121"/>
      <c r="ER395" s="1121"/>
      <c r="ES395" s="1121"/>
      <c r="ET395" s="1121"/>
      <c r="EU395" s="1122"/>
      <c r="EV395" s="1122"/>
      <c r="EW395" s="1122"/>
      <c r="EX395" s="1122"/>
      <c r="EY395" s="1122"/>
      <c r="EZ395" s="127"/>
      <c r="FA395" s="715"/>
      <c r="FB395" s="715"/>
    </row>
    <row r="396" spans="1:158" s="710" customFormat="1" ht="11.25" hidden="1" customHeight="1">
      <c r="A396" s="1547" t="s">
        <v>291</v>
      </c>
      <c r="B396" s="963"/>
      <c r="C396" s="124"/>
      <c r="D396" s="124"/>
      <c r="E396" s="124"/>
      <c r="F396" s="979"/>
      <c r="G396" s="963"/>
      <c r="H396" s="124"/>
      <c r="I396" s="173"/>
      <c r="J396" s="173"/>
      <c r="K396" s="997"/>
      <c r="L396" s="124"/>
      <c r="M396" s="124"/>
      <c r="N396" s="124"/>
      <c r="O396" s="124"/>
      <c r="P396" s="995"/>
      <c r="Q396" s="124"/>
      <c r="R396" s="124"/>
      <c r="S396" s="124"/>
      <c r="T396" s="124"/>
      <c r="U396" s="995"/>
      <c r="V396" s="124"/>
      <c r="W396" s="124"/>
      <c r="X396" s="124"/>
      <c r="Y396" s="124"/>
      <c r="Z396" s="995">
        <f t="shared" ref="Z396:BN396" si="1241">Z392/Z170</f>
        <v>9.6525491597848206E-2</v>
      </c>
      <c r="AA396" s="124">
        <f t="shared" si="1241"/>
        <v>0.1169710093105983</v>
      </c>
      <c r="AB396" s="124">
        <f t="shared" si="1241"/>
        <v>0.11628049790634837</v>
      </c>
      <c r="AC396" s="124">
        <f t="shared" si="1241"/>
        <v>0.14298401636954067</v>
      </c>
      <c r="AD396" s="124">
        <f t="shared" si="1241"/>
        <v>0.12597071067239812</v>
      </c>
      <c r="AE396" s="995">
        <f t="shared" si="1241"/>
        <v>0.12630345187418635</v>
      </c>
      <c r="AF396" s="124">
        <f t="shared" si="1241"/>
        <v>0.14819948941350361</v>
      </c>
      <c r="AG396" s="124">
        <f t="shared" si="1241"/>
        <v>0.14385317390095306</v>
      </c>
      <c r="AH396" s="124">
        <f t="shared" si="1241"/>
        <v>0.14773930980654512</v>
      </c>
      <c r="AI396" s="124">
        <f t="shared" si="1241"/>
        <v>0.13523107009404964</v>
      </c>
      <c r="AJ396" s="995">
        <f t="shared" si="1241"/>
        <v>0.14304658235959516</v>
      </c>
      <c r="AK396" s="124">
        <f t="shared" si="1241"/>
        <v>0.15214608508910682</v>
      </c>
      <c r="AL396" s="124">
        <f t="shared" si="1241"/>
        <v>0.1506113011000447</v>
      </c>
      <c r="AM396" s="124">
        <f t="shared" si="1241"/>
        <v>0.15708229215967889</v>
      </c>
      <c r="AN396" s="124">
        <f t="shared" si="1241"/>
        <v>0.14615513720488987</v>
      </c>
      <c r="AO396" s="995">
        <f t="shared" si="1241"/>
        <v>0.15123173524130362</v>
      </c>
      <c r="AP396" s="124">
        <f t="shared" si="1241"/>
        <v>0.15785032141357014</v>
      </c>
      <c r="AQ396" s="124">
        <f t="shared" si="1241"/>
        <v>0.15483376097789636</v>
      </c>
      <c r="AR396" s="124">
        <f t="shared" si="1241"/>
        <v>0.15621866396808018</v>
      </c>
      <c r="AS396" s="124">
        <f t="shared" si="1241"/>
        <v>0.14337539330873256</v>
      </c>
      <c r="AT396" s="995">
        <f t="shared" si="1241"/>
        <v>0.15252007564668307</v>
      </c>
      <c r="AU396" s="124">
        <f t="shared" si="1241"/>
        <v>0.15483346358678474</v>
      </c>
      <c r="AV396" s="124">
        <f t="shared" si="1241"/>
        <v>0.14420112341379471</v>
      </c>
      <c r="AW396" s="124">
        <f t="shared" si="1241"/>
        <v>0.14006591485783984</v>
      </c>
      <c r="AX396" s="124">
        <f t="shared" si="1241"/>
        <v>0.12022602029432525</v>
      </c>
      <c r="AY396" s="995">
        <f t="shared" si="1241"/>
        <v>0.13940864075464943</v>
      </c>
      <c r="AZ396" s="124">
        <f t="shared" si="1241"/>
        <v>0.13312930319350735</v>
      </c>
      <c r="BA396" s="124">
        <f t="shared" si="1241"/>
        <v>0.12946104191332916</v>
      </c>
      <c r="BB396" s="124">
        <f t="shared" si="1241"/>
        <v>0.12870499193335544</v>
      </c>
      <c r="BC396" s="124">
        <f t="shared" si="1241"/>
        <v>0.11575071267226812</v>
      </c>
      <c r="BD396" s="995">
        <f t="shared" si="1241"/>
        <v>0.12625661384889653</v>
      </c>
      <c r="BE396" s="124">
        <f t="shared" si="1241"/>
        <v>0.12428044280442804</v>
      </c>
      <c r="BF396" s="124">
        <f t="shared" si="1241"/>
        <v>0.11290322580645161</v>
      </c>
      <c r="BG396" s="124">
        <f t="shared" si="1241"/>
        <v>0.11528959648641229</v>
      </c>
      <c r="BH396" s="124">
        <f t="shared" si="1241"/>
        <v>0.10402843601895735</v>
      </c>
      <c r="BI396" s="995">
        <f t="shared" si="1241"/>
        <v>0.11357047849664063</v>
      </c>
      <c r="BJ396" s="124">
        <f t="shared" si="1241"/>
        <v>0.11300291545189504</v>
      </c>
      <c r="BK396" s="124">
        <f t="shared" si="1241"/>
        <v>0.10813206292931531</v>
      </c>
      <c r="BL396" s="124">
        <f t="shared" si="1241"/>
        <v>0.10771604938271605</v>
      </c>
      <c r="BM396" s="124">
        <f t="shared" si="1241"/>
        <v>0.10052910052910052</v>
      </c>
      <c r="BN396" s="995">
        <f t="shared" si="1241"/>
        <v>0.10700435298773249</v>
      </c>
      <c r="BO396" s="127"/>
      <c r="BP396" s="127"/>
      <c r="BQ396" s="127"/>
      <c r="BR396" s="127"/>
      <c r="BS396" s="1957"/>
      <c r="BT396" s="124">
        <f>BT392/BT170</f>
        <v>0.10803193987787693</v>
      </c>
      <c r="BU396" s="124">
        <f>BU392/BU170</f>
        <v>0.10716891645384896</v>
      </c>
      <c r="BV396" s="124">
        <f>BV392/BV170</f>
        <v>0.10550060732257505</v>
      </c>
      <c r="BW396" s="124">
        <f>BW392/BW170</f>
        <v>0.10112359550561797</v>
      </c>
      <c r="BX396" s="995">
        <f>BX392/BX170</f>
        <v>0.10525629887054735</v>
      </c>
      <c r="BY396" s="127"/>
      <c r="BZ396" s="127"/>
      <c r="CA396" s="127"/>
      <c r="CB396" s="127"/>
      <c r="CC396" s="1957"/>
      <c r="CD396" s="124">
        <f t="shared" ref="CD396:CX396" si="1242">CD392/CD170</f>
        <v>0.10709597714462203</v>
      </c>
      <c r="CE396" s="124">
        <f t="shared" si="1242"/>
        <v>0.10078583962767987</v>
      </c>
      <c r="CF396" s="124">
        <f t="shared" si="1242"/>
        <v>0.10098880325723426</v>
      </c>
      <c r="CG396" s="124">
        <f t="shared" si="1242"/>
        <v>9.568981982555548E-2</v>
      </c>
      <c r="CH396" s="995">
        <f t="shared" si="1242"/>
        <v>0.10086637007150705</v>
      </c>
      <c r="CI396" s="124">
        <f t="shared" si="1242"/>
        <v>0.10265888456549935</v>
      </c>
      <c r="CJ396" s="124">
        <f t="shared" si="1242"/>
        <v>0.10128486367909746</v>
      </c>
      <c r="CK396" s="124">
        <f t="shared" si="1242"/>
        <v>9.8468801065181868E-2</v>
      </c>
      <c r="CL396" s="124">
        <f t="shared" si="1242"/>
        <v>9.1531790310998173E-2</v>
      </c>
      <c r="CM396" s="995">
        <f t="shared" si="1242"/>
        <v>9.8225784457811244E-2</v>
      </c>
      <c r="CN396" s="124">
        <f t="shared" si="1242"/>
        <v>9.7056437594159231E-2</v>
      </c>
      <c r="CO396" s="124">
        <f t="shared" si="1242"/>
        <v>9.4657866531279972E-2</v>
      </c>
      <c r="CP396" s="124">
        <f t="shared" si="1242"/>
        <v>9.5957161981258365E-2</v>
      </c>
      <c r="CQ396" s="124">
        <f t="shared" si="1242"/>
        <v>9.0112054010970985E-2</v>
      </c>
      <c r="CR396" s="995">
        <f t="shared" si="1242"/>
        <v>9.4240488604995398E-2</v>
      </c>
      <c r="CS396" s="124">
        <f t="shared" si="1242"/>
        <v>9.4831416300538082E-2</v>
      </c>
      <c r="CT396" s="124">
        <f t="shared" si="1242"/>
        <v>8.9023255813953484E-2</v>
      </c>
      <c r="CU396" s="124">
        <f t="shared" si="1242"/>
        <v>8.4183332590975907E-2</v>
      </c>
      <c r="CV396" s="124">
        <f t="shared" si="1242"/>
        <v>7.9112952731737268E-2</v>
      </c>
      <c r="CW396" s="995">
        <f t="shared" si="1242"/>
        <v>8.6261520737327194E-2</v>
      </c>
      <c r="CX396" s="124">
        <f t="shared" si="1242"/>
        <v>8.1818181818181818E-2</v>
      </c>
      <c r="CY396" s="1121"/>
      <c r="CZ396" s="1121"/>
      <c r="DA396" s="1121"/>
      <c r="DB396" s="1122"/>
      <c r="DC396" s="1121"/>
      <c r="DD396" s="1121"/>
      <c r="DE396" s="1121"/>
      <c r="DF396" s="1121"/>
      <c r="DG396" s="1122"/>
      <c r="DH396" s="1121"/>
      <c r="DI396" s="1121"/>
      <c r="DJ396" s="1121"/>
      <c r="DK396" s="1121"/>
      <c r="DL396" s="1122"/>
      <c r="DM396" s="1121"/>
      <c r="DN396" s="1121"/>
      <c r="DO396" s="1121"/>
      <c r="DP396" s="1121"/>
      <c r="DQ396" s="1122"/>
      <c r="DR396" s="1121"/>
      <c r="DS396" s="1121"/>
      <c r="DT396" s="1121"/>
      <c r="DU396" s="1121"/>
      <c r="DV396" s="1122"/>
      <c r="DW396" s="1121"/>
      <c r="DX396" s="1121"/>
      <c r="DY396" s="1121"/>
      <c r="DZ396" s="1121"/>
      <c r="EA396" s="1122"/>
      <c r="EB396" s="1121"/>
      <c r="EC396" s="1121"/>
      <c r="ED396" s="1121"/>
      <c r="EE396" s="1121"/>
      <c r="EF396" s="1122"/>
      <c r="EG396" s="1121"/>
      <c r="EH396" s="1121"/>
      <c r="EI396" s="1121"/>
      <c r="EJ396" s="1121"/>
      <c r="EK396" s="1122"/>
      <c r="EL396" s="1121"/>
      <c r="EM396" s="1121"/>
      <c r="EN396" s="1121"/>
      <c r="EO396" s="1121"/>
      <c r="EP396" s="1122"/>
      <c r="EQ396" s="1121"/>
      <c r="ER396" s="1121"/>
      <c r="ES396" s="1121"/>
      <c r="ET396" s="1121"/>
      <c r="EU396" s="1122"/>
      <c r="EV396" s="1122"/>
      <c r="EW396" s="1122"/>
      <c r="EX396" s="1122"/>
      <c r="EY396" s="1122"/>
      <c r="EZ396" s="709"/>
      <c r="FA396" s="721"/>
      <c r="FB396" s="721"/>
    </row>
    <row r="397" spans="1:158" s="220" customFormat="1" ht="11.25" hidden="1" customHeight="1">
      <c r="A397" s="2230" t="s">
        <v>409</v>
      </c>
      <c r="B397" s="2272"/>
      <c r="C397" s="2237"/>
      <c r="D397" s="2237"/>
      <c r="E397" s="2237"/>
      <c r="F397" s="2273"/>
      <c r="G397" s="2272"/>
      <c r="H397" s="2237"/>
      <c r="I397" s="2266"/>
      <c r="J397" s="2266"/>
      <c r="K397" s="2236"/>
      <c r="L397" s="2237"/>
      <c r="M397" s="2237"/>
      <c r="N397" s="2237"/>
      <c r="O397" s="2237"/>
      <c r="P397" s="2236"/>
      <c r="Q397" s="2237"/>
      <c r="R397" s="2237"/>
      <c r="S397" s="2237"/>
      <c r="T397" s="2237"/>
      <c r="U397" s="2236"/>
      <c r="V397" s="2237"/>
      <c r="W397" s="2237"/>
      <c r="X397" s="2237"/>
      <c r="Y397" s="2237"/>
      <c r="Z397" s="2236">
        <f t="shared" ref="Z397:AY397" si="1243">Z179-Z392</f>
        <v>286.02379179999997</v>
      </c>
      <c r="AA397" s="2237">
        <f t="shared" si="1243"/>
        <v>128.989</v>
      </c>
      <c r="AB397" s="2237">
        <f t="shared" si="1243"/>
        <v>136.28300000000002</v>
      </c>
      <c r="AC397" s="2237">
        <f t="shared" si="1243"/>
        <v>166.13003999999998</v>
      </c>
      <c r="AD397" s="2237">
        <f t="shared" si="1243"/>
        <v>235.96796000000012</v>
      </c>
      <c r="AE397" s="2236">
        <f t="shared" si="1243"/>
        <v>667.37000000000012</v>
      </c>
      <c r="AF397" s="2237">
        <f t="shared" si="1243"/>
        <v>298.48899999999992</v>
      </c>
      <c r="AG397" s="2237">
        <f t="shared" si="1243"/>
        <v>342.07299999999998</v>
      </c>
      <c r="AH397" s="2237">
        <f t="shared" si="1243"/>
        <v>388.17</v>
      </c>
      <c r="AI397" s="2237">
        <f t="shared" si="1243"/>
        <v>474.84200000000004</v>
      </c>
      <c r="AJ397" s="2236">
        <f t="shared" si="1243"/>
        <v>1503.5740000000001</v>
      </c>
      <c r="AK397" s="2237">
        <f t="shared" si="1243"/>
        <v>593.33400000000006</v>
      </c>
      <c r="AL397" s="2237">
        <f t="shared" si="1243"/>
        <v>665.06499999999994</v>
      </c>
      <c r="AM397" s="2237">
        <f t="shared" si="1243"/>
        <v>760.36799999999994</v>
      </c>
      <c r="AN397" s="2237">
        <f t="shared" si="1243"/>
        <v>952.21000000000049</v>
      </c>
      <c r="AO397" s="2236">
        <f t="shared" si="1243"/>
        <v>2970.9769999999999</v>
      </c>
      <c r="AP397" s="2237">
        <f t="shared" si="1243"/>
        <v>1127.23</v>
      </c>
      <c r="AQ397" s="2237">
        <f t="shared" si="1243"/>
        <v>1244.529</v>
      </c>
      <c r="AR397" s="2237">
        <f t="shared" si="1243"/>
        <v>1364.5259999999998</v>
      </c>
      <c r="AS397" s="2237">
        <f t="shared" si="1243"/>
        <v>1628.7640000000006</v>
      </c>
      <c r="AT397" s="2236">
        <f t="shared" si="1243"/>
        <v>5365.049</v>
      </c>
      <c r="AU397" s="2237">
        <f t="shared" si="1243"/>
        <v>1847.596</v>
      </c>
      <c r="AV397" s="2237">
        <f t="shared" si="1243"/>
        <v>2026.23</v>
      </c>
      <c r="AW397" s="2237">
        <f t="shared" si="1243"/>
        <v>2070.2190000000001</v>
      </c>
      <c r="AX397" s="2237">
        <f t="shared" si="1243"/>
        <v>2177.4639999999986</v>
      </c>
      <c r="AY397" s="2236">
        <f t="shared" si="1243"/>
        <v>8121.509</v>
      </c>
      <c r="AZ397" s="2269">
        <v>2148.5219999999999</v>
      </c>
      <c r="BA397" s="2269">
        <v>2198.768</v>
      </c>
      <c r="BB397" s="2269">
        <v>2377.5039999999999</v>
      </c>
      <c r="BC397" s="2237">
        <f>BD397-BB397-BA397-AZ397</f>
        <v>2746.1720000000005</v>
      </c>
      <c r="BD397" s="2236">
        <v>9470.9660000000003</v>
      </c>
      <c r="BE397" s="2270">
        <v>2737</v>
      </c>
      <c r="BF397" s="2270">
        <v>2762</v>
      </c>
      <c r="BG397" s="2270">
        <v>2929</v>
      </c>
      <c r="BH397" s="2270">
        <v>3507</v>
      </c>
      <c r="BI397" s="2236">
        <f>BI179-BI392</f>
        <v>11935</v>
      </c>
      <c r="BJ397" s="2270">
        <v>3601</v>
      </c>
      <c r="BK397" s="2270">
        <v>3895</v>
      </c>
      <c r="BL397" s="2270">
        <v>4253</v>
      </c>
      <c r="BM397" s="2270">
        <v>4540</v>
      </c>
      <c r="BN397" s="2236">
        <f>BN179-BN392</f>
        <v>16289</v>
      </c>
      <c r="BO397" s="2237"/>
      <c r="BP397" s="2237"/>
      <c r="BQ397" s="2237"/>
      <c r="BR397" s="2237"/>
      <c r="BS397" s="2274"/>
      <c r="BT397" s="2270">
        <v>4621</v>
      </c>
      <c r="BU397" s="2270">
        <v>4784</v>
      </c>
      <c r="BV397" s="2270">
        <v>4894</v>
      </c>
      <c r="BW397" s="2270">
        <v>5608</v>
      </c>
      <c r="BX397" s="2236">
        <f>BX179-BX392</f>
        <v>19907</v>
      </c>
      <c r="BY397" s="2237"/>
      <c r="BZ397" s="2237"/>
      <c r="CA397" s="2237"/>
      <c r="CB397" s="2237"/>
      <c r="CC397" s="2274"/>
      <c r="CD397" s="2270">
        <v>5728</v>
      </c>
      <c r="CE397" s="2270">
        <v>5890</v>
      </c>
      <c r="CF397" s="2270">
        <v>6285</v>
      </c>
      <c r="CG397" s="2270">
        <v>7269</v>
      </c>
      <c r="CH397" s="2275">
        <v>24332</v>
      </c>
      <c r="CI397" s="2270">
        <v>6942</v>
      </c>
      <c r="CJ397" s="2270">
        <v>7381</v>
      </c>
      <c r="CK397" s="2270">
        <v>7572</v>
      </c>
      <c r="CL397" s="2270">
        <v>8141</v>
      </c>
      <c r="CM397" s="2236">
        <f>CM179-CM392</f>
        <v>30036</v>
      </c>
      <c r="CN397" s="2270">
        <v>7862</v>
      </c>
      <c r="CO397" s="2270">
        <v>8001</v>
      </c>
      <c r="CP397" s="2270">
        <v>8135</v>
      </c>
      <c r="CQ397" s="2270">
        <v>9114</v>
      </c>
      <c r="CR397" s="2236">
        <f>SUM(CN397:CQ397)</f>
        <v>33112</v>
      </c>
      <c r="CS397" s="2269">
        <v>8955</v>
      </c>
      <c r="CT397" s="2270">
        <v>9551</v>
      </c>
      <c r="CU397" s="2270">
        <v>9912</v>
      </c>
      <c r="CV397" s="2270">
        <v>11286</v>
      </c>
      <c r="CW397" s="2236">
        <f>SUM(CS397:CV397)</f>
        <v>39704</v>
      </c>
      <c r="CX397" s="2270">
        <f>CX179-CX392</f>
        <v>10956</v>
      </c>
      <c r="CY397" s="2231"/>
      <c r="CZ397" s="2231"/>
      <c r="DA397" s="2231"/>
      <c r="DB397" s="2232"/>
      <c r="DC397" s="2231"/>
      <c r="DD397" s="2231"/>
      <c r="DE397" s="2231"/>
      <c r="DF397" s="2231"/>
      <c r="DG397" s="2232"/>
      <c r="DH397" s="2231"/>
      <c r="DI397" s="2231"/>
      <c r="DJ397" s="2231"/>
      <c r="DK397" s="2231"/>
      <c r="DL397" s="2232"/>
      <c r="DM397" s="2231"/>
      <c r="DN397" s="2231"/>
      <c r="DO397" s="2231"/>
      <c r="DP397" s="2231"/>
      <c r="DQ397" s="2232"/>
      <c r="DR397" s="2231"/>
      <c r="DS397" s="2231"/>
      <c r="DT397" s="2231"/>
      <c r="DU397" s="2231"/>
      <c r="DV397" s="2232"/>
      <c r="DW397" s="2231"/>
      <c r="DX397" s="2231"/>
      <c r="DY397" s="2231"/>
      <c r="DZ397" s="2231"/>
      <c r="EA397" s="2232"/>
      <c r="EB397" s="2231"/>
      <c r="EC397" s="2231"/>
      <c r="ED397" s="2231"/>
      <c r="EE397" s="2231"/>
      <c r="EF397" s="2232"/>
      <c r="EG397" s="2231"/>
      <c r="EH397" s="2231"/>
      <c r="EI397" s="2231"/>
      <c r="EJ397" s="2231"/>
      <c r="EK397" s="2232"/>
      <c r="EL397" s="2231"/>
      <c r="EM397" s="2231"/>
      <c r="EN397" s="2231"/>
      <c r="EO397" s="2231"/>
      <c r="EP397" s="2232"/>
      <c r="EQ397" s="2231"/>
      <c r="ER397" s="2231"/>
      <c r="ES397" s="2231"/>
      <c r="ET397" s="2231"/>
      <c r="EU397" s="2232"/>
      <c r="EV397" s="2232"/>
      <c r="EW397" s="2232"/>
      <c r="EX397" s="2232"/>
      <c r="EY397" s="2232"/>
      <c r="EZ397" s="218"/>
      <c r="FA397" s="761"/>
      <c r="FB397" s="761"/>
    </row>
    <row r="398" spans="1:158" s="183" customFormat="1" ht="11.25" hidden="1" customHeight="1">
      <c r="A398" s="1542" t="s">
        <v>45</v>
      </c>
      <c r="B398" s="935"/>
      <c r="C398" s="181"/>
      <c r="D398" s="181"/>
      <c r="E398" s="181"/>
      <c r="F398" s="983"/>
      <c r="G398" s="935"/>
      <c r="H398" s="181"/>
      <c r="I398" s="221"/>
      <c r="J398" s="221"/>
      <c r="K398" s="991"/>
      <c r="L398" s="181"/>
      <c r="M398" s="181"/>
      <c r="N398" s="181"/>
      <c r="O398" s="181"/>
      <c r="P398" s="992"/>
      <c r="Q398" s="181"/>
      <c r="R398" s="181"/>
      <c r="S398" s="181"/>
      <c r="T398" s="181"/>
      <c r="U398" s="992"/>
      <c r="V398" s="181"/>
      <c r="W398" s="181"/>
      <c r="X398" s="181"/>
      <c r="Y398" s="181"/>
      <c r="Z398" s="992" t="s">
        <v>116</v>
      </c>
      <c r="AA398" s="169" t="s">
        <v>116</v>
      </c>
      <c r="AB398" s="169" t="s">
        <v>116</v>
      </c>
      <c r="AC398" s="169" t="s">
        <v>116</v>
      </c>
      <c r="AD398" s="169" t="s">
        <v>116</v>
      </c>
      <c r="AE398" s="992">
        <f>AE397/Z397-1</f>
        <v>1.333267438348813</v>
      </c>
      <c r="AF398" s="181">
        <f>AF397/AA397-1</f>
        <v>1.3140655404724426</v>
      </c>
      <c r="AG398" s="181">
        <f>AG397/AB397-1</f>
        <v>1.5100195915851571</v>
      </c>
      <c r="AH398" s="169" t="s">
        <v>116</v>
      </c>
      <c r="AI398" s="169" t="s">
        <v>116</v>
      </c>
      <c r="AJ398" s="992">
        <f t="shared" ref="AJ398:AU398" si="1244">AJ397/AE397-1</f>
        <v>1.2529841017726295</v>
      </c>
      <c r="AK398" s="181">
        <f t="shared" si="1244"/>
        <v>0.98779184492560934</v>
      </c>
      <c r="AL398" s="181">
        <f t="shared" si="1244"/>
        <v>0.94421950870135896</v>
      </c>
      <c r="AM398" s="222">
        <f t="shared" si="1244"/>
        <v>0.95885307983615409</v>
      </c>
      <c r="AN398" s="222">
        <f t="shared" si="1244"/>
        <v>1.0053196642251536</v>
      </c>
      <c r="AO398" s="992">
        <f t="shared" si="1244"/>
        <v>0.97594331905180565</v>
      </c>
      <c r="AP398" s="181">
        <f t="shared" si="1244"/>
        <v>0.89982370806324918</v>
      </c>
      <c r="AQ398" s="181">
        <f t="shared" si="1244"/>
        <v>0.8712892724771264</v>
      </c>
      <c r="AR398" s="222">
        <f t="shared" si="1244"/>
        <v>0.79456000252509296</v>
      </c>
      <c r="AS398" s="222">
        <f t="shared" si="1244"/>
        <v>0.71050923640793484</v>
      </c>
      <c r="AT398" s="992">
        <f t="shared" si="1244"/>
        <v>0.80581976905240271</v>
      </c>
      <c r="AU398" s="181">
        <f t="shared" si="1244"/>
        <v>0.63905857722026549</v>
      </c>
      <c r="AV398" s="181">
        <f t="shared" ref="AV398:BD398" si="1245">AV397/AQ397-1</f>
        <v>0.62810991146048023</v>
      </c>
      <c r="AW398" s="205">
        <f t="shared" si="1245"/>
        <v>0.51717079777153407</v>
      </c>
      <c r="AX398" s="205">
        <f t="shared" si="1245"/>
        <v>0.3368812179051095</v>
      </c>
      <c r="AY398" s="992">
        <f t="shared" si="1245"/>
        <v>0.51378095521587963</v>
      </c>
      <c r="AZ398" s="181">
        <f t="shared" si="1245"/>
        <v>0.16287435131922767</v>
      </c>
      <c r="BA398" s="181">
        <f t="shared" si="1245"/>
        <v>8.5152228522921813E-2</v>
      </c>
      <c r="BB398" s="205">
        <f t="shared" si="1245"/>
        <v>0.14843115631727843</v>
      </c>
      <c r="BC398" s="205">
        <f t="shared" si="1245"/>
        <v>0.26117905967676269</v>
      </c>
      <c r="BD398" s="992">
        <f t="shared" si="1245"/>
        <v>0.16615840726150766</v>
      </c>
      <c r="BE398" s="205">
        <f t="shared" ref="BE398:BN398" si="1246">BE397/AZ397-1</f>
        <v>0.27389898730383022</v>
      </c>
      <c r="BF398" s="205">
        <f t="shared" si="1246"/>
        <v>0.25615799393114691</v>
      </c>
      <c r="BG398" s="205">
        <f t="shared" si="1246"/>
        <v>0.23196427850384271</v>
      </c>
      <c r="BH398" s="205">
        <f t="shared" si="1246"/>
        <v>0.27705038140364091</v>
      </c>
      <c r="BI398" s="992">
        <f t="shared" si="1246"/>
        <v>0.26016712550757748</v>
      </c>
      <c r="BJ398" s="205">
        <f t="shared" si="1246"/>
        <v>0.31567409572524663</v>
      </c>
      <c r="BK398" s="205">
        <f t="shared" si="1246"/>
        <v>0.41020999275887049</v>
      </c>
      <c r="BL398" s="205">
        <f t="shared" si="1246"/>
        <v>0.45203141003755554</v>
      </c>
      <c r="BM398" s="205">
        <f t="shared" si="1246"/>
        <v>0.29455374964356995</v>
      </c>
      <c r="BN398" s="992">
        <f t="shared" si="1246"/>
        <v>0.36480938416422282</v>
      </c>
      <c r="BO398" s="169"/>
      <c r="BP398" s="169"/>
      <c r="BQ398" s="169"/>
      <c r="BR398" s="169"/>
      <c r="BS398" s="1927"/>
      <c r="BT398" s="205">
        <f>BT397/BJ397-1</f>
        <v>0.28325465148569839</v>
      </c>
      <c r="BU398" s="205">
        <f>BU397/BK397-1</f>
        <v>0.22824133504492949</v>
      </c>
      <c r="BV398" s="205">
        <f>BV397/BL397-1</f>
        <v>0.15071714084175869</v>
      </c>
      <c r="BW398" s="205">
        <f>BW397/BM397-1</f>
        <v>0.23524229074889869</v>
      </c>
      <c r="BX398" s="992">
        <f>BX397/BN397-1</f>
        <v>0.22211308244827799</v>
      </c>
      <c r="BY398" s="169"/>
      <c r="BZ398" s="169"/>
      <c r="CA398" s="169"/>
      <c r="CB398" s="169"/>
      <c r="CC398" s="1927"/>
      <c r="CD398" s="205">
        <f>CD397/BT397-1</f>
        <v>0.23955853711317898</v>
      </c>
      <c r="CE398" s="205">
        <f>CE397/BU397-1</f>
        <v>0.23118729096989976</v>
      </c>
      <c r="CF398" s="205">
        <f>CF397/BV397-1</f>
        <v>0.28422558234572937</v>
      </c>
      <c r="CG398" s="205">
        <f>CG397/BW397-1</f>
        <v>0.29618402282453649</v>
      </c>
      <c r="CH398" s="992">
        <f>CH397/BX397-1</f>
        <v>0.2222836188275481</v>
      </c>
      <c r="CI398" s="181">
        <f t="shared" ref="CI398:CT398" si="1247">CI397/CD397-1</f>
        <v>0.2119413407821229</v>
      </c>
      <c r="CJ398" s="205">
        <f t="shared" si="1247"/>
        <v>0.25314091680814932</v>
      </c>
      <c r="CK398" s="205">
        <f t="shared" si="1247"/>
        <v>0.20477326968973752</v>
      </c>
      <c r="CL398" s="205">
        <f t="shared" si="1247"/>
        <v>0.11996148025863262</v>
      </c>
      <c r="CM398" s="992">
        <f t="shared" si="1247"/>
        <v>0.23442380404405716</v>
      </c>
      <c r="CN398" s="181">
        <f t="shared" si="1247"/>
        <v>0.1325266493805819</v>
      </c>
      <c r="CO398" s="205">
        <f t="shared" si="1247"/>
        <v>8.3999458068012567E-2</v>
      </c>
      <c r="CP398" s="205">
        <f t="shared" si="1247"/>
        <v>7.435287902799792E-2</v>
      </c>
      <c r="CQ398" s="205">
        <f t="shared" si="1247"/>
        <v>0.11951848667239906</v>
      </c>
      <c r="CR398" s="992">
        <f t="shared" ref="CR398:CX398" si="1248">CR397/CM397-1</f>
        <v>0.10241044080436801</v>
      </c>
      <c r="CS398" s="181">
        <f t="shared" si="1247"/>
        <v>0.13902314932587134</v>
      </c>
      <c r="CT398" s="205">
        <f t="shared" si="1247"/>
        <v>0.1937257842769653</v>
      </c>
      <c r="CU398" s="181">
        <f t="shared" si="1248"/>
        <v>0.21843884449907813</v>
      </c>
      <c r="CV398" s="181">
        <f t="shared" si="1248"/>
        <v>0.23831468071099415</v>
      </c>
      <c r="CW398" s="992">
        <f t="shared" si="1248"/>
        <v>0.1990819038415077</v>
      </c>
      <c r="CX398" s="181">
        <f t="shared" si="1248"/>
        <v>0.22345058626465653</v>
      </c>
      <c r="CY398" s="1135"/>
      <c r="CZ398" s="1135"/>
      <c r="DA398" s="1135"/>
      <c r="DB398" s="1136"/>
      <c r="DC398" s="2660"/>
      <c r="DD398" s="2660"/>
      <c r="DE398" s="2660"/>
      <c r="DF398" s="2660"/>
      <c r="DG398" s="1136"/>
      <c r="DH398" s="2660"/>
      <c r="DI398" s="2660"/>
      <c r="DJ398" s="2660"/>
      <c r="DK398" s="2660"/>
      <c r="DL398" s="1136"/>
      <c r="DM398" s="2660"/>
      <c r="DN398" s="2660"/>
      <c r="DO398" s="2660"/>
      <c r="DP398" s="2660"/>
      <c r="DQ398" s="1136"/>
      <c r="DR398" s="2660"/>
      <c r="DS398" s="2660"/>
      <c r="DT398" s="2660"/>
      <c r="DU398" s="2660"/>
      <c r="DV398" s="2597"/>
      <c r="DW398" s="2660"/>
      <c r="DX398" s="2660"/>
      <c r="DY398" s="2660"/>
      <c r="DZ398" s="2660"/>
      <c r="EA398" s="2597"/>
      <c r="EB398" s="2660"/>
      <c r="EC398" s="2660"/>
      <c r="ED398" s="2660"/>
      <c r="EE398" s="2660"/>
      <c r="EF398" s="2597"/>
      <c r="EG398" s="2660"/>
      <c r="EH398" s="2660"/>
      <c r="EI398" s="2660"/>
      <c r="EJ398" s="2660"/>
      <c r="EK398" s="2597"/>
      <c r="EL398" s="2660"/>
      <c r="EM398" s="2660"/>
      <c r="EN398" s="2660"/>
      <c r="EO398" s="2660"/>
      <c r="EP398" s="2597"/>
      <c r="EQ398" s="2660"/>
      <c r="ER398" s="2660"/>
      <c r="ES398" s="2660"/>
      <c r="ET398" s="2660"/>
      <c r="EU398" s="2597"/>
      <c r="EV398" s="2597"/>
      <c r="EW398" s="2597"/>
      <c r="EX398" s="2597"/>
      <c r="EY398" s="2597"/>
      <c r="EZ398" s="169"/>
      <c r="FA398" s="715"/>
      <c r="FB398" s="715"/>
    </row>
    <row r="399" spans="1:158" s="138" customFormat="1" ht="11.25" hidden="1" customHeight="1">
      <c r="A399" s="1542" t="s">
        <v>46</v>
      </c>
      <c r="B399" s="963"/>
      <c r="C399" s="124"/>
      <c r="D399" s="124"/>
      <c r="E399" s="124"/>
      <c r="F399" s="979"/>
      <c r="G399" s="963"/>
      <c r="H399" s="124"/>
      <c r="I399" s="173"/>
      <c r="J399" s="173"/>
      <c r="K399" s="997"/>
      <c r="L399" s="124"/>
      <c r="M399" s="124"/>
      <c r="N399" s="124"/>
      <c r="O399" s="124"/>
      <c r="P399" s="995"/>
      <c r="Q399" s="124"/>
      <c r="R399" s="124"/>
      <c r="S399" s="124"/>
      <c r="T399" s="124"/>
      <c r="U399" s="995"/>
      <c r="V399" s="124"/>
      <c r="W399" s="124"/>
      <c r="X399" s="124"/>
      <c r="Y399" s="124"/>
      <c r="Z399" s="995"/>
      <c r="AA399" s="169" t="s">
        <v>116</v>
      </c>
      <c r="AB399" s="224">
        <f>AB397/AA397-1</f>
        <v>5.654745753513879E-2</v>
      </c>
      <c r="AC399" s="224">
        <f>AC397/AB397-1</f>
        <v>0.21900779994570096</v>
      </c>
      <c r="AD399" s="224">
        <f>AD397/AC397-1</f>
        <v>0.42038104607691751</v>
      </c>
      <c r="AE399" s="995"/>
      <c r="AF399" s="124"/>
      <c r="AG399" s="224">
        <f>AG397/AF397-1</f>
        <v>0.14601543105441106</v>
      </c>
      <c r="AH399" s="224">
        <f>AH397/AG397-1</f>
        <v>0.13475778561885932</v>
      </c>
      <c r="AI399" s="224">
        <f>AI397/AH397-1</f>
        <v>0.22328361285003995</v>
      </c>
      <c r="AJ399" s="995"/>
      <c r="AK399" s="224">
        <f>AK397/AI397-1</f>
        <v>0.24953984693856057</v>
      </c>
      <c r="AL399" s="224">
        <f>AL397/AK397-1</f>
        <v>0.12089480798336161</v>
      </c>
      <c r="AM399" s="224">
        <f>AM397/AL397-1</f>
        <v>0.14329877530767665</v>
      </c>
      <c r="AN399" s="224">
        <f>AN397/AM397-1</f>
        <v>0.25230151716011262</v>
      </c>
      <c r="AO399" s="995"/>
      <c r="AP399" s="224">
        <f>AP397/AN397-1</f>
        <v>0.18380399281671012</v>
      </c>
      <c r="AQ399" s="224">
        <f>AQ397/AP397-1</f>
        <v>0.10405950870718494</v>
      </c>
      <c r="AR399" s="224">
        <f>AR397/AQ397-1</f>
        <v>9.6419609346186208E-2</v>
      </c>
      <c r="AS399" s="224">
        <f>AS397/AR397-1</f>
        <v>0.19364819724944837</v>
      </c>
      <c r="AT399" s="995"/>
      <c r="AU399" s="224">
        <f>AU397/AS397-1</f>
        <v>0.13435463946894655</v>
      </c>
      <c r="AV399" s="224">
        <f>AV397/AU397-1</f>
        <v>9.6684556580551195E-2</v>
      </c>
      <c r="AW399" s="224">
        <f>AW397/AV397-1</f>
        <v>2.170977628403481E-2</v>
      </c>
      <c r="AX399" s="224">
        <f>AX397/AW397-1</f>
        <v>5.1803698062861336E-2</v>
      </c>
      <c r="AY399" s="995"/>
      <c r="AZ399" s="224">
        <f>AZ397/AX397-1</f>
        <v>-1.3291608954269174E-2</v>
      </c>
      <c r="BA399" s="224">
        <f>BA397/AZ397-1</f>
        <v>2.3386309286104634E-2</v>
      </c>
      <c r="BB399" s="224">
        <f>BB397/BA397-1</f>
        <v>8.1289158292279895E-2</v>
      </c>
      <c r="BC399" s="224">
        <f>BC397/BB397-1</f>
        <v>0.15506514394928494</v>
      </c>
      <c r="BD399" s="995"/>
      <c r="BE399" s="224">
        <f>BE397/BC397-1</f>
        <v>-3.3399218985556978E-3</v>
      </c>
      <c r="BF399" s="224">
        <f>BF397/BE397-1</f>
        <v>9.1340884179758053E-3</v>
      </c>
      <c r="BG399" s="224">
        <f>BG397/BF397-1</f>
        <v>6.0463432295438047E-2</v>
      </c>
      <c r="BH399" s="224">
        <f>BH397/BG397-1</f>
        <v>0.19733697507681813</v>
      </c>
      <c r="BI399" s="995"/>
      <c r="BJ399" s="224">
        <f>BJ397/BH397-1</f>
        <v>2.6803535785571819E-2</v>
      </c>
      <c r="BK399" s="224">
        <f>BK397/BJ397-1</f>
        <v>8.1643987781171878E-2</v>
      </c>
      <c r="BL399" s="224">
        <f>BL397/BK397-1</f>
        <v>9.1912708600770276E-2</v>
      </c>
      <c r="BM399" s="224">
        <f>BM397/BL397-1</f>
        <v>6.7481777568775048E-2</v>
      </c>
      <c r="BN399" s="995"/>
      <c r="BO399" s="127"/>
      <c r="BP399" s="127"/>
      <c r="BQ399" s="127"/>
      <c r="BR399" s="127"/>
      <c r="BS399" s="1957"/>
      <c r="BT399" s="224">
        <f>BT397/BM397-1</f>
        <v>1.784140969162995E-2</v>
      </c>
      <c r="BU399" s="224">
        <f>BU397/BT397-1</f>
        <v>3.5273750270504278E-2</v>
      </c>
      <c r="BV399" s="224">
        <f>BV397/BU397-1</f>
        <v>2.2993311036789255E-2</v>
      </c>
      <c r="BW399" s="224">
        <f>BW397/BV397-1</f>
        <v>0.14589293011851256</v>
      </c>
      <c r="BX399" s="995"/>
      <c r="BY399" s="127"/>
      <c r="BZ399" s="127"/>
      <c r="CA399" s="127"/>
      <c r="CB399" s="127"/>
      <c r="CC399" s="1957"/>
      <c r="CD399" s="224">
        <f>CD397/BW397-1</f>
        <v>2.1398002853067144E-2</v>
      </c>
      <c r="CE399" s="224">
        <f>CE397/CD397-1</f>
        <v>2.8282122905027851E-2</v>
      </c>
      <c r="CF399" s="224">
        <f>CF397/CE397-1</f>
        <v>6.706281833616301E-2</v>
      </c>
      <c r="CG399" s="224">
        <f>CG397/CF397-1</f>
        <v>0.15656324582338899</v>
      </c>
      <c r="CH399" s="995"/>
      <c r="CI399" s="169">
        <f>+CI397/CG397-1</f>
        <v>-4.4985555096987206E-2</v>
      </c>
      <c r="CJ399" s="224">
        <f>CJ397/CI397-1</f>
        <v>6.3238259867473445E-2</v>
      </c>
      <c r="CK399" s="224">
        <f>CK397/CJ397-1</f>
        <v>2.5877252404823192E-2</v>
      </c>
      <c r="CL399" s="224">
        <f>CL397/CK397-1</f>
        <v>7.5145272054939261E-2</v>
      </c>
      <c r="CM399" s="995"/>
      <c r="CN399" s="169">
        <f>+CN397/CL397-1</f>
        <v>-3.4270974081808125E-2</v>
      </c>
      <c r="CO399" s="224">
        <f>CO397/CN397-1</f>
        <v>1.7679979648944188E-2</v>
      </c>
      <c r="CP399" s="224">
        <f>CP397/CO397-1</f>
        <v>1.6747906511686006E-2</v>
      </c>
      <c r="CQ399" s="224">
        <f>CQ397/CP397-1</f>
        <v>0.1203441917639827</v>
      </c>
      <c r="CR399" s="995"/>
      <c r="CS399" s="169">
        <f>+CS397/CQ397-1</f>
        <v>-1.7445687952600375E-2</v>
      </c>
      <c r="CT399" s="224">
        <f>CT397/CS397-1</f>
        <v>6.6554997208263522E-2</v>
      </c>
      <c r="CU399" s="169">
        <f>+CU397/CT397-1</f>
        <v>3.7797089310019905E-2</v>
      </c>
      <c r="CV399" s="169">
        <f>+CV397/CU397-1</f>
        <v>0.13861985472154958</v>
      </c>
      <c r="CW399" s="995"/>
      <c r="CX399" s="169">
        <f>+CX397/CV397-1</f>
        <v>-2.9239766081871399E-2</v>
      </c>
      <c r="CY399" s="1135"/>
      <c r="CZ399" s="1135"/>
      <c r="DA399" s="1135"/>
      <c r="DB399" s="1122"/>
      <c r="DC399" s="2660"/>
      <c r="DD399" s="2660"/>
      <c r="DE399" s="2660"/>
      <c r="DF399" s="2660"/>
      <c r="DG399" s="1122"/>
      <c r="DH399" s="2660"/>
      <c r="DI399" s="2660"/>
      <c r="DJ399" s="2660"/>
      <c r="DK399" s="2660"/>
      <c r="DL399" s="1122"/>
      <c r="DM399" s="2660"/>
      <c r="DN399" s="2660"/>
      <c r="DO399" s="2660"/>
      <c r="DP399" s="2660"/>
      <c r="DQ399" s="1122"/>
      <c r="DR399" s="2660"/>
      <c r="DS399" s="2660"/>
      <c r="DT399" s="2660"/>
      <c r="DU399" s="2660"/>
      <c r="DV399" s="1122"/>
      <c r="DW399" s="2660"/>
      <c r="DX399" s="2660"/>
      <c r="DY399" s="2660"/>
      <c r="DZ399" s="2660"/>
      <c r="EA399" s="1122"/>
      <c r="EB399" s="2660"/>
      <c r="EC399" s="2660"/>
      <c r="ED399" s="2660"/>
      <c r="EE399" s="2660"/>
      <c r="EF399" s="1122"/>
      <c r="EG399" s="2660"/>
      <c r="EH399" s="2660"/>
      <c r="EI399" s="2660"/>
      <c r="EJ399" s="2660"/>
      <c r="EK399" s="1122"/>
      <c r="EL399" s="2660"/>
      <c r="EM399" s="2660"/>
      <c r="EN399" s="2660"/>
      <c r="EO399" s="2660"/>
      <c r="EP399" s="1122"/>
      <c r="EQ399" s="2660"/>
      <c r="ER399" s="2660"/>
      <c r="ES399" s="2660"/>
      <c r="ET399" s="2660"/>
      <c r="EU399" s="1122"/>
      <c r="EV399" s="1122"/>
      <c r="EW399" s="1122"/>
      <c r="EX399" s="1122"/>
      <c r="EY399" s="1122"/>
      <c r="EZ399" s="127"/>
      <c r="FA399" s="722"/>
      <c r="FB399" s="722"/>
    </row>
    <row r="400" spans="1:158" s="138" customFormat="1" ht="11.25" hidden="1" customHeight="1">
      <c r="A400" s="1547" t="s">
        <v>0</v>
      </c>
      <c r="B400" s="963"/>
      <c r="C400" s="124"/>
      <c r="D400" s="124"/>
      <c r="E400" s="124"/>
      <c r="F400" s="979"/>
      <c r="G400" s="963"/>
      <c r="H400" s="124"/>
      <c r="I400" s="173"/>
      <c r="J400" s="173"/>
      <c r="K400" s="997"/>
      <c r="L400" s="124"/>
      <c r="M400" s="124"/>
      <c r="N400" s="124"/>
      <c r="O400" s="124"/>
      <c r="P400" s="995"/>
      <c r="Q400" s="124"/>
      <c r="R400" s="124"/>
      <c r="S400" s="124"/>
      <c r="T400" s="124"/>
      <c r="U400" s="995"/>
      <c r="V400" s="124"/>
      <c r="W400" s="124"/>
      <c r="X400" s="124"/>
      <c r="Y400" s="124"/>
      <c r="Z400" s="995">
        <f t="shared" ref="Z400:BN400" si="1249">Z397/Z179</f>
        <v>0.66902426785596258</v>
      </c>
      <c r="AA400" s="124">
        <f t="shared" si="1249"/>
        <v>0.62857073242044736</v>
      </c>
      <c r="AB400" s="124">
        <f t="shared" si="1249"/>
        <v>0.62600135964428771</v>
      </c>
      <c r="AC400" s="124">
        <f t="shared" si="1249"/>
        <v>0.5904557522595687</v>
      </c>
      <c r="AD400" s="124">
        <f t="shared" si="1249"/>
        <v>0.64488506642398213</v>
      </c>
      <c r="AE400" s="995">
        <f t="shared" si="1249"/>
        <v>0.62360537479676326</v>
      </c>
      <c r="AF400" s="124">
        <f t="shared" si="1249"/>
        <v>0.61581707598864455</v>
      </c>
      <c r="AG400" s="124">
        <f t="shared" si="1249"/>
        <v>0.63202072289958</v>
      </c>
      <c r="AH400" s="124">
        <f t="shared" si="1249"/>
        <v>0.62470025910488114</v>
      </c>
      <c r="AI400" s="124">
        <f t="shared" si="1249"/>
        <v>0.64660392748545337</v>
      </c>
      <c r="AJ400" s="995">
        <f t="shared" si="1249"/>
        <v>0.63130974264319972</v>
      </c>
      <c r="AK400" s="124">
        <f t="shared" si="1249"/>
        <v>0.63374540980139582</v>
      </c>
      <c r="AL400" s="124">
        <f t="shared" si="1249"/>
        <v>0.64259660954718278</v>
      </c>
      <c r="AM400" s="124">
        <f t="shared" si="1249"/>
        <v>0.64281728815049521</v>
      </c>
      <c r="AN400" s="124">
        <f t="shared" si="1249"/>
        <v>0.67023530488276994</v>
      </c>
      <c r="AO400" s="995">
        <f t="shared" si="1249"/>
        <v>0.64942553484027743</v>
      </c>
      <c r="AP400" s="124">
        <f t="shared" si="1249"/>
        <v>0.66090365263847273</v>
      </c>
      <c r="AQ400" s="124">
        <f t="shared" si="1249"/>
        <v>0.67489152910208705</v>
      </c>
      <c r="AR400" s="124">
        <f t="shared" si="1249"/>
        <v>0.6736596920725415</v>
      </c>
      <c r="AS400" s="124">
        <f t="shared" si="1249"/>
        <v>0.70181416594600732</v>
      </c>
      <c r="AT400" s="995">
        <f t="shared" si="1249"/>
        <v>0.6794671708904485</v>
      </c>
      <c r="AU400" s="124">
        <f t="shared" si="1249"/>
        <v>0.69705636789685532</v>
      </c>
      <c r="AV400" s="124">
        <f t="shared" si="1249"/>
        <v>0.72360498652233352</v>
      </c>
      <c r="AW400" s="124">
        <f t="shared" si="1249"/>
        <v>0.72731670659458914</v>
      </c>
      <c r="AX400" s="124">
        <f t="shared" si="1249"/>
        <v>0.76059019281760443</v>
      </c>
      <c r="AY400" s="995">
        <f t="shared" si="1249"/>
        <v>0.72773397698942033</v>
      </c>
      <c r="AZ400" s="124">
        <f t="shared" si="1249"/>
        <v>0.74551498474980316</v>
      </c>
      <c r="BA400" s="124">
        <f t="shared" si="1249"/>
        <v>0.75461327051433058</v>
      </c>
      <c r="BB400" s="124">
        <f t="shared" si="1249"/>
        <v>0.75653177778145475</v>
      </c>
      <c r="BC400" s="124">
        <f t="shared" si="1249"/>
        <v>0.78045694512020447</v>
      </c>
      <c r="BD400" s="995">
        <f t="shared" si="1249"/>
        <v>0.76029232064269692</v>
      </c>
      <c r="BE400" s="124">
        <f t="shared" si="1249"/>
        <v>0.7647387538418553</v>
      </c>
      <c r="BF400" s="124">
        <f t="shared" si="1249"/>
        <v>0.7819932049830125</v>
      </c>
      <c r="BG400" s="124">
        <f t="shared" si="1249"/>
        <v>0.77712921199257101</v>
      </c>
      <c r="BH400" s="124">
        <f t="shared" si="1249"/>
        <v>0.79977194982896238</v>
      </c>
      <c r="BI400" s="995">
        <f t="shared" si="1249"/>
        <v>0.78185391418277106</v>
      </c>
      <c r="BJ400" s="124">
        <f t="shared" si="1249"/>
        <v>0.78796498905908097</v>
      </c>
      <c r="BK400" s="124">
        <f t="shared" si="1249"/>
        <v>0.79963046602340382</v>
      </c>
      <c r="BL400" s="124">
        <f t="shared" si="1249"/>
        <v>0.8024528301886793</v>
      </c>
      <c r="BM400" s="124">
        <f t="shared" si="1249"/>
        <v>0.81013561741613138</v>
      </c>
      <c r="BN400" s="995">
        <f t="shared" si="1249"/>
        <v>0.80063897763578273</v>
      </c>
      <c r="BO400" s="127"/>
      <c r="BP400" s="127"/>
      <c r="BQ400" s="127"/>
      <c r="BR400" s="127"/>
      <c r="BS400" s="1957"/>
      <c r="BT400" s="124">
        <f>BT397/BT179</f>
        <v>0.80072777681510998</v>
      </c>
      <c r="BU400" s="124">
        <f>BU397/BU179</f>
        <v>0.80281926497734524</v>
      </c>
      <c r="BV400" s="124">
        <f>BV397/BV179</f>
        <v>0.80098199672667758</v>
      </c>
      <c r="BW400" s="124">
        <f>BW397/BW179</f>
        <v>0.81122522783162154</v>
      </c>
      <c r="BX400" s="995">
        <f>BX397/BX179</f>
        <v>0.80422575041409117</v>
      </c>
      <c r="BY400" s="127"/>
      <c r="BZ400" s="127"/>
      <c r="CA400" s="127"/>
      <c r="CB400" s="127"/>
      <c r="CC400" s="1957"/>
      <c r="CD400" s="124">
        <f t="shared" ref="CD400:CX400" si="1250">CD397/CD179</f>
        <v>0.80505973295853828</v>
      </c>
      <c r="CE400" s="124">
        <f t="shared" si="1250"/>
        <v>0.81680765497157126</v>
      </c>
      <c r="CF400" s="124">
        <f t="shared" si="1250"/>
        <v>0.8189992181391712</v>
      </c>
      <c r="CG400" s="124">
        <f t="shared" si="1250"/>
        <v>0.82865937072503415</v>
      </c>
      <c r="CH400" s="995">
        <f t="shared" si="1250"/>
        <v>0.79071883530482256</v>
      </c>
      <c r="CI400" s="124">
        <f t="shared" si="1250"/>
        <v>0.81431085043988272</v>
      </c>
      <c r="CJ400" s="124">
        <f t="shared" si="1250"/>
        <v>0.82038457263532294</v>
      </c>
      <c r="CK400" s="124">
        <f t="shared" si="1250"/>
        <v>0.82313294923361235</v>
      </c>
      <c r="CL400" s="124">
        <f t="shared" si="1250"/>
        <v>0.83088385384772401</v>
      </c>
      <c r="CM400" s="995">
        <f t="shared" si="1250"/>
        <v>0.82247597141214157</v>
      </c>
      <c r="CN400" s="124">
        <f t="shared" si="1250"/>
        <v>0.82436824997378633</v>
      </c>
      <c r="CO400" s="124">
        <f t="shared" si="1250"/>
        <v>0.82663498295278437</v>
      </c>
      <c r="CP400" s="124">
        <f t="shared" si="1250"/>
        <v>0.81948222020751482</v>
      </c>
      <c r="CQ400" s="124">
        <f t="shared" si="1250"/>
        <v>0.8258426966292135</v>
      </c>
      <c r="CR400" s="995">
        <f t="shared" si="1250"/>
        <v>0.82411209835983967</v>
      </c>
      <c r="CS400" s="124">
        <f t="shared" si="1250"/>
        <v>0.82337256344244203</v>
      </c>
      <c r="CT400" s="124">
        <f t="shared" si="1250"/>
        <v>0.83305713039686002</v>
      </c>
      <c r="CU400" s="124">
        <f t="shared" si="1250"/>
        <v>0.83985765124555156</v>
      </c>
      <c r="CV400" s="124">
        <f t="shared" si="1250"/>
        <v>0.84551992807911303</v>
      </c>
      <c r="CW400" s="995">
        <f t="shared" si="1250"/>
        <v>0.83603209029079195</v>
      </c>
      <c r="CX400" s="124">
        <f t="shared" si="1250"/>
        <v>0.84400277328403051</v>
      </c>
      <c r="CY400" s="1121"/>
      <c r="CZ400" s="1121"/>
      <c r="DA400" s="1121"/>
      <c r="DB400" s="1122"/>
      <c r="DC400" s="1121"/>
      <c r="DD400" s="1121"/>
      <c r="DE400" s="1121"/>
      <c r="DF400" s="1121"/>
      <c r="DG400" s="1122"/>
      <c r="DH400" s="1121"/>
      <c r="DI400" s="1121"/>
      <c r="DJ400" s="1121"/>
      <c r="DK400" s="1121"/>
      <c r="DL400" s="1122"/>
      <c r="DM400" s="1121"/>
      <c r="DN400" s="1121"/>
      <c r="DO400" s="1121"/>
      <c r="DP400" s="1121"/>
      <c r="DQ400" s="1122"/>
      <c r="DR400" s="1121"/>
      <c r="DS400" s="1121"/>
      <c r="DT400" s="1121"/>
      <c r="DU400" s="1121"/>
      <c r="DV400" s="1122"/>
      <c r="DW400" s="1121"/>
      <c r="DX400" s="1121"/>
      <c r="DY400" s="1121"/>
      <c r="DZ400" s="1121"/>
      <c r="EA400" s="1122"/>
      <c r="EB400" s="1121"/>
      <c r="EC400" s="1121"/>
      <c r="ED400" s="1121"/>
      <c r="EE400" s="1121"/>
      <c r="EF400" s="1122"/>
      <c r="EG400" s="1121"/>
      <c r="EH400" s="1121"/>
      <c r="EI400" s="1121"/>
      <c r="EJ400" s="1121"/>
      <c r="EK400" s="1122"/>
      <c r="EL400" s="1121"/>
      <c r="EM400" s="1121"/>
      <c r="EN400" s="1121"/>
      <c r="EO400" s="1121"/>
      <c r="EP400" s="1122"/>
      <c r="EQ400" s="1121"/>
      <c r="ER400" s="1121"/>
      <c r="ES400" s="1121"/>
      <c r="ET400" s="1121"/>
      <c r="EU400" s="1122"/>
      <c r="EV400" s="1122"/>
      <c r="EW400" s="1122"/>
      <c r="EX400" s="1122"/>
      <c r="EY400" s="1122"/>
      <c r="EZ400" s="127"/>
      <c r="FA400" s="723"/>
      <c r="FB400" s="723"/>
    </row>
    <row r="401" spans="1:158" s="710" customFormat="1" ht="11.25" hidden="1" customHeight="1">
      <c r="A401" s="2276" t="s">
        <v>1</v>
      </c>
      <c r="B401" s="2277"/>
      <c r="C401" s="2278"/>
      <c r="D401" s="2278"/>
      <c r="E401" s="2278"/>
      <c r="F401" s="2279"/>
      <c r="G401" s="2277"/>
      <c r="H401" s="2278"/>
      <c r="I401" s="2280"/>
      <c r="J401" s="2280"/>
      <c r="K401" s="2281"/>
      <c r="L401" s="2278"/>
      <c r="M401" s="2278"/>
      <c r="N401" s="2278"/>
      <c r="O401" s="2278"/>
      <c r="P401" s="2281"/>
      <c r="Q401" s="2278"/>
      <c r="R401" s="2278"/>
      <c r="S401" s="2278"/>
      <c r="T401" s="2278"/>
      <c r="U401" s="2281"/>
      <c r="V401" s="2278"/>
      <c r="W401" s="2278"/>
      <c r="X401" s="2278"/>
      <c r="Y401" s="2278"/>
      <c r="Z401" s="2281">
        <f t="shared" ref="Z401:BN401" si="1251">Z397/Z170</f>
        <v>0.19511368983869667</v>
      </c>
      <c r="AA401" s="2278">
        <f t="shared" si="1251"/>
        <v>0.1979503485911332</v>
      </c>
      <c r="AB401" s="2278">
        <f t="shared" si="1251"/>
        <v>0.19463105459489413</v>
      </c>
      <c r="AC401" s="2278">
        <f t="shared" si="1251"/>
        <v>0.20614557624083774</v>
      </c>
      <c r="AD401" s="2278">
        <f t="shared" si="1251"/>
        <v>0.22876151476196854</v>
      </c>
      <c r="AE401" s="2281">
        <f t="shared" si="1251"/>
        <v>0.20925780064366761</v>
      </c>
      <c r="AF401" s="2278">
        <f t="shared" si="1251"/>
        <v>0.23755292213595719</v>
      </c>
      <c r="AG401" s="2278">
        <f t="shared" si="1251"/>
        <v>0.24707420395162136</v>
      </c>
      <c r="AH401" s="2278">
        <f t="shared" si="1251"/>
        <v>0.24591752953519139</v>
      </c>
      <c r="AI401" s="2278">
        <f t="shared" si="1251"/>
        <v>0.2474304267693124</v>
      </c>
      <c r="AJ401" s="2281">
        <f t="shared" si="1251"/>
        <v>0.24493921196304058</v>
      </c>
      <c r="AK401" s="2278">
        <f t="shared" si="1251"/>
        <v>0.26326464056652121</v>
      </c>
      <c r="AL401" s="2278">
        <f t="shared" si="1251"/>
        <v>0.27079293043011959</v>
      </c>
      <c r="AM401" s="2278">
        <f t="shared" si="1251"/>
        <v>0.28269904928963485</v>
      </c>
      <c r="AN401" s="2278">
        <f t="shared" si="1251"/>
        <v>0.29705524695382762</v>
      </c>
      <c r="AO401" s="2281">
        <f t="shared" si="1251"/>
        <v>0.28015089604190202</v>
      </c>
      <c r="AP401" s="2278">
        <f t="shared" si="1251"/>
        <v>0.30765254419317184</v>
      </c>
      <c r="AQ401" s="2278">
        <f t="shared" si="1251"/>
        <v>0.32141885880239723</v>
      </c>
      <c r="AR401" s="2278">
        <f t="shared" si="1251"/>
        <v>0.32247998334338135</v>
      </c>
      <c r="AS401" s="2278">
        <f t="shared" si="1251"/>
        <v>0.33745024270310925</v>
      </c>
      <c r="AT401" s="2281">
        <f t="shared" si="1251"/>
        <v>0.32331285563336015</v>
      </c>
      <c r="AU401" s="2278">
        <f t="shared" si="1251"/>
        <v>0.35626314706607715</v>
      </c>
      <c r="AV401" s="2278">
        <f t="shared" si="1251"/>
        <v>0.37752002343115937</v>
      </c>
      <c r="AW401" s="2278">
        <f t="shared" si="1251"/>
        <v>0.37359193747562663</v>
      </c>
      <c r="AX401" s="2278">
        <f t="shared" si="1251"/>
        <v>0.3819506520369399</v>
      </c>
      <c r="AY401" s="2281">
        <f t="shared" si="1251"/>
        <v>0.37262234722225401</v>
      </c>
      <c r="AZ401" s="2278">
        <f t="shared" si="1251"/>
        <v>0.39000288619147977</v>
      </c>
      <c r="BA401" s="2278">
        <f t="shared" si="1251"/>
        <v>0.39811859609186984</v>
      </c>
      <c r="BB401" s="2278">
        <f t="shared" si="1251"/>
        <v>0.39992659193645058</v>
      </c>
      <c r="BC401" s="2278">
        <f t="shared" si="1251"/>
        <v>0.41148396908819157</v>
      </c>
      <c r="BD401" s="2281">
        <f t="shared" si="1251"/>
        <v>0.4004541456370404</v>
      </c>
      <c r="BE401" s="2278">
        <f t="shared" si="1251"/>
        <v>0.40398523985239854</v>
      </c>
      <c r="BF401" s="2278">
        <f t="shared" si="1251"/>
        <v>0.40498533724340174</v>
      </c>
      <c r="BG401" s="2278">
        <f t="shared" si="1251"/>
        <v>0.40200384298654956</v>
      </c>
      <c r="BH401" s="2278">
        <f t="shared" si="1251"/>
        <v>0.41552132701421801</v>
      </c>
      <c r="BI401" s="2281">
        <f t="shared" si="1251"/>
        <v>0.4070461444016234</v>
      </c>
      <c r="BJ401" s="2278">
        <f t="shared" si="1251"/>
        <v>0.4199416909620991</v>
      </c>
      <c r="BK401" s="2278">
        <f t="shared" si="1251"/>
        <v>0.4315311322845114</v>
      </c>
      <c r="BL401" s="2278">
        <f t="shared" si="1251"/>
        <v>0.43755144032921811</v>
      </c>
      <c r="BM401" s="2278">
        <f t="shared" si="1251"/>
        <v>0.42894935752078611</v>
      </c>
      <c r="BN401" s="2281">
        <f t="shared" si="1251"/>
        <v>0.42973222530009236</v>
      </c>
      <c r="BO401" s="2278"/>
      <c r="BP401" s="2278"/>
      <c r="BQ401" s="2278"/>
      <c r="BR401" s="2278"/>
      <c r="BS401" s="2282"/>
      <c r="BT401" s="1817">
        <f>BT397/BT170</f>
        <v>0.43410051667449506</v>
      </c>
      <c r="BU401" s="2278">
        <f>BU397/BU170</f>
        <v>0.43633710324699015</v>
      </c>
      <c r="BV401" s="2278">
        <f>BV397/BV170</f>
        <v>0.42460524032621899</v>
      </c>
      <c r="BW401" s="2278">
        <f>BW397/BW170</f>
        <v>0.4345602479659047</v>
      </c>
      <c r="BX401" s="2281">
        <f>BX397/BX170</f>
        <v>0.43238488271068637</v>
      </c>
      <c r="BY401" s="2278"/>
      <c r="BZ401" s="2278"/>
      <c r="CA401" s="2278"/>
      <c r="CB401" s="2278"/>
      <c r="CC401" s="2282"/>
      <c r="CD401" s="2278">
        <f t="shared" ref="CD401:CX401" si="1252">CD397/CD170</f>
        <v>0.44228244923171955</v>
      </c>
      <c r="CE401" s="2278">
        <f t="shared" si="1252"/>
        <v>0.44937819485770963</v>
      </c>
      <c r="CF401" s="2278">
        <f t="shared" si="1252"/>
        <v>0.45695797586156756</v>
      </c>
      <c r="CG401" s="2278">
        <f t="shared" si="1252"/>
        <v>0.46278729229006177</v>
      </c>
      <c r="CH401" s="2281">
        <f t="shared" si="1252"/>
        <v>0.43826437796069811</v>
      </c>
      <c r="CI401" s="2278">
        <f t="shared" si="1252"/>
        <v>0.45019455252918289</v>
      </c>
      <c r="CJ401" s="2278">
        <f t="shared" si="1252"/>
        <v>0.46261360075211533</v>
      </c>
      <c r="CK401" s="2278">
        <f t="shared" si="1252"/>
        <v>0.45827028989892876</v>
      </c>
      <c r="CL401" s="2278">
        <f t="shared" si="1252"/>
        <v>0.44970446887256255</v>
      </c>
      <c r="CM401" s="2281">
        <f t="shared" si="1252"/>
        <v>0.45508401387857761</v>
      </c>
      <c r="CN401" s="2278">
        <f t="shared" si="1252"/>
        <v>0.45555684320315215</v>
      </c>
      <c r="CO401" s="2278">
        <f t="shared" si="1252"/>
        <v>0.45134540531392792</v>
      </c>
      <c r="CP401" s="2278">
        <f t="shared" si="1252"/>
        <v>0.4356091030789826</v>
      </c>
      <c r="CQ401" s="2278">
        <f t="shared" si="1252"/>
        <v>0.42730554643912044</v>
      </c>
      <c r="CR401" s="2281">
        <f t="shared" si="1252"/>
        <v>0.44155809518729416</v>
      </c>
      <c r="CS401" s="2278">
        <f t="shared" si="1252"/>
        <v>0.44206940810583994</v>
      </c>
      <c r="CT401" s="2278">
        <f t="shared" si="1252"/>
        <v>0.44423255813953488</v>
      </c>
      <c r="CU401" s="2278">
        <f t="shared" si="1252"/>
        <v>0.44149481092156251</v>
      </c>
      <c r="CV401" s="2278">
        <f t="shared" si="1252"/>
        <v>0.43301104972375692</v>
      </c>
      <c r="CW401" s="2281">
        <f t="shared" si="1252"/>
        <v>0.43982630272952855</v>
      </c>
      <c r="CX401" s="2278">
        <f t="shared" si="1252"/>
        <v>0.44266666666666665</v>
      </c>
      <c r="CY401" s="2558"/>
      <c r="CZ401" s="2558"/>
      <c r="DA401" s="2558"/>
      <c r="DB401" s="2559"/>
      <c r="DC401" s="2558"/>
      <c r="DD401" s="2558"/>
      <c r="DE401" s="2558"/>
      <c r="DF401" s="2558"/>
      <c r="DG401" s="2559"/>
      <c r="DH401" s="2558"/>
      <c r="DI401" s="2558"/>
      <c r="DJ401" s="2558"/>
      <c r="DK401" s="2558"/>
      <c r="DL401" s="2559"/>
      <c r="DM401" s="2558"/>
      <c r="DN401" s="2558"/>
      <c r="DO401" s="2558"/>
      <c r="DP401" s="2558"/>
      <c r="DQ401" s="2559"/>
      <c r="DR401" s="2558"/>
      <c r="DS401" s="2558"/>
      <c r="DT401" s="2558"/>
      <c r="DU401" s="2558"/>
      <c r="DV401" s="2559"/>
      <c r="DW401" s="2558"/>
      <c r="DX401" s="2558"/>
      <c r="DY401" s="2558"/>
      <c r="DZ401" s="2558"/>
      <c r="EA401" s="2559"/>
      <c r="EB401" s="2558"/>
      <c r="EC401" s="2558"/>
      <c r="ED401" s="2558"/>
      <c r="EE401" s="2558"/>
      <c r="EF401" s="2559"/>
      <c r="EG401" s="2558"/>
      <c r="EH401" s="2558"/>
      <c r="EI401" s="2558"/>
      <c r="EJ401" s="2558"/>
      <c r="EK401" s="2559"/>
      <c r="EL401" s="2558"/>
      <c r="EM401" s="2558"/>
      <c r="EN401" s="2558"/>
      <c r="EO401" s="2558"/>
      <c r="EP401" s="2559"/>
      <c r="EQ401" s="2558"/>
      <c r="ER401" s="2558"/>
      <c r="ES401" s="2558"/>
      <c r="ET401" s="2558"/>
      <c r="EU401" s="2559"/>
      <c r="EV401" s="2559"/>
      <c r="EW401" s="2559"/>
      <c r="EX401" s="2559"/>
      <c r="EY401" s="2559"/>
      <c r="EZ401" s="709"/>
      <c r="FA401" s="721"/>
      <c r="FB401" s="721"/>
    </row>
    <row r="402" spans="1:158" s="138" customFormat="1" ht="11.25" hidden="1" customHeight="1">
      <c r="A402" s="1671" t="s">
        <v>75</v>
      </c>
      <c r="B402" s="1672"/>
      <c r="C402" s="1673"/>
      <c r="D402" s="1673"/>
      <c r="E402" s="1673"/>
      <c r="F402" s="1674"/>
      <c r="G402" s="1672"/>
      <c r="H402" s="1673"/>
      <c r="I402" s="1675"/>
      <c r="J402" s="1675"/>
      <c r="K402" s="1676"/>
      <c r="L402" s="1673"/>
      <c r="M402" s="1673"/>
      <c r="N402" s="1673"/>
      <c r="O402" s="1673"/>
      <c r="P402" s="1676"/>
      <c r="Q402" s="1673"/>
      <c r="R402" s="1673"/>
      <c r="S402" s="1673"/>
      <c r="T402" s="1673"/>
      <c r="U402" s="1676"/>
      <c r="V402" s="1673"/>
      <c r="W402" s="1673"/>
      <c r="X402" s="1673"/>
      <c r="Y402" s="1673"/>
      <c r="Z402" s="1676" t="str">
        <f t="shared" ref="Z402:BN402" si="1253">IF(SUM(Z392,Z397)&lt;&gt;Z179,"err","ok")</f>
        <v>ok</v>
      </c>
      <c r="AA402" s="1673" t="str">
        <f t="shared" si="1253"/>
        <v>ok</v>
      </c>
      <c r="AB402" s="1673" t="str">
        <f t="shared" si="1253"/>
        <v>ok</v>
      </c>
      <c r="AC402" s="1673" t="str">
        <f t="shared" si="1253"/>
        <v>ok</v>
      </c>
      <c r="AD402" s="1673" t="str">
        <f t="shared" si="1253"/>
        <v>ok</v>
      </c>
      <c r="AE402" s="1676" t="str">
        <f t="shared" si="1253"/>
        <v>ok</v>
      </c>
      <c r="AF402" s="1673" t="str">
        <f t="shared" si="1253"/>
        <v>ok</v>
      </c>
      <c r="AG402" s="1673" t="str">
        <f t="shared" si="1253"/>
        <v>ok</v>
      </c>
      <c r="AH402" s="1673" t="str">
        <f t="shared" si="1253"/>
        <v>ok</v>
      </c>
      <c r="AI402" s="1673" t="str">
        <f t="shared" si="1253"/>
        <v>ok</v>
      </c>
      <c r="AJ402" s="1676" t="str">
        <f t="shared" si="1253"/>
        <v>ok</v>
      </c>
      <c r="AK402" s="1673" t="str">
        <f t="shared" si="1253"/>
        <v>ok</v>
      </c>
      <c r="AL402" s="1673" t="str">
        <f t="shared" si="1253"/>
        <v>ok</v>
      </c>
      <c r="AM402" s="1673" t="str">
        <f t="shared" si="1253"/>
        <v>ok</v>
      </c>
      <c r="AN402" s="1673" t="str">
        <f t="shared" si="1253"/>
        <v>ok</v>
      </c>
      <c r="AO402" s="1676" t="str">
        <f t="shared" si="1253"/>
        <v>ok</v>
      </c>
      <c r="AP402" s="1673" t="str">
        <f t="shared" si="1253"/>
        <v>ok</v>
      </c>
      <c r="AQ402" s="1673" t="str">
        <f t="shared" si="1253"/>
        <v>ok</v>
      </c>
      <c r="AR402" s="1673" t="str">
        <f t="shared" si="1253"/>
        <v>ok</v>
      </c>
      <c r="AS402" s="1673" t="str">
        <f t="shared" si="1253"/>
        <v>ok</v>
      </c>
      <c r="AT402" s="1676" t="str">
        <f t="shared" si="1253"/>
        <v>ok</v>
      </c>
      <c r="AU402" s="1673" t="str">
        <f t="shared" si="1253"/>
        <v>ok</v>
      </c>
      <c r="AV402" s="1673" t="str">
        <f t="shared" si="1253"/>
        <v>ok</v>
      </c>
      <c r="AW402" s="1673" t="str">
        <f t="shared" si="1253"/>
        <v>ok</v>
      </c>
      <c r="AX402" s="1673" t="str">
        <f t="shared" si="1253"/>
        <v>ok</v>
      </c>
      <c r="AY402" s="1676" t="str">
        <f t="shared" si="1253"/>
        <v>ok</v>
      </c>
      <c r="AZ402" s="1673" t="str">
        <f t="shared" si="1253"/>
        <v>ok</v>
      </c>
      <c r="BA402" s="1673" t="str">
        <f t="shared" si="1253"/>
        <v>ok</v>
      </c>
      <c r="BB402" s="1673" t="str">
        <f t="shared" si="1253"/>
        <v>ok</v>
      </c>
      <c r="BC402" s="1673" t="str">
        <f t="shared" si="1253"/>
        <v>ok</v>
      </c>
      <c r="BD402" s="1676" t="str">
        <f t="shared" si="1253"/>
        <v>ok</v>
      </c>
      <c r="BE402" s="1673" t="str">
        <f t="shared" si="1253"/>
        <v>ok</v>
      </c>
      <c r="BF402" s="1673" t="str">
        <f t="shared" si="1253"/>
        <v>ok</v>
      </c>
      <c r="BG402" s="1673" t="str">
        <f t="shared" si="1253"/>
        <v>ok</v>
      </c>
      <c r="BH402" s="1673" t="str">
        <f t="shared" si="1253"/>
        <v>ok</v>
      </c>
      <c r="BI402" s="1676" t="str">
        <f t="shared" si="1253"/>
        <v>ok</v>
      </c>
      <c r="BJ402" s="1673" t="str">
        <f t="shared" si="1253"/>
        <v>ok</v>
      </c>
      <c r="BK402" s="1673" t="str">
        <f t="shared" si="1253"/>
        <v>ok</v>
      </c>
      <c r="BL402" s="1673" t="str">
        <f t="shared" si="1253"/>
        <v>ok</v>
      </c>
      <c r="BM402" s="1673" t="str">
        <f t="shared" si="1253"/>
        <v>ok</v>
      </c>
      <c r="BN402" s="1676" t="str">
        <f t="shared" si="1253"/>
        <v>ok</v>
      </c>
      <c r="BO402" s="1673"/>
      <c r="BP402" s="1673"/>
      <c r="BQ402" s="1673"/>
      <c r="BR402" s="1673"/>
      <c r="BS402" s="1676"/>
      <c r="BT402" s="1673" t="str">
        <f>IF(SUM(BT392,BT397)&lt;&gt;BT179,"err","ok")</f>
        <v>ok</v>
      </c>
      <c r="BU402" s="1673" t="str">
        <f>IF(SUM(BU392,BU397)&lt;&gt;BU179,"err","ok")</f>
        <v>ok</v>
      </c>
      <c r="BV402" s="1673" t="str">
        <f>IF(SUM(BV392,BV397)&lt;&gt;BV179,"err","ok")</f>
        <v>ok</v>
      </c>
      <c r="BW402" s="1673" t="str">
        <f>IF(SUM(BW392,BW397)&lt;&gt;BW179,"err","ok")</f>
        <v>ok</v>
      </c>
      <c r="BX402" s="1676" t="str">
        <f>IF(SUM(BX392,BX397)&lt;&gt;BX179,"err","ok")</f>
        <v>ok</v>
      </c>
      <c r="BY402" s="1673"/>
      <c r="BZ402" s="1673"/>
      <c r="CA402" s="1673"/>
      <c r="CB402" s="1673"/>
      <c r="CC402" s="1676"/>
      <c r="CD402" s="1673" t="str">
        <f t="shared" ref="CD402:CX402" si="1254">IF(SUM(CD392,CD397)&lt;&gt;CD179,"err","ok")</f>
        <v>ok</v>
      </c>
      <c r="CE402" s="1673" t="str">
        <f t="shared" si="1254"/>
        <v>ok</v>
      </c>
      <c r="CF402" s="1673" t="str">
        <f t="shared" si="1254"/>
        <v>ok</v>
      </c>
      <c r="CG402" s="1673" t="str">
        <f t="shared" si="1254"/>
        <v>ok</v>
      </c>
      <c r="CH402" s="1676" t="str">
        <f t="shared" si="1254"/>
        <v>err</v>
      </c>
      <c r="CI402" s="1673" t="str">
        <f t="shared" si="1254"/>
        <v>ok</v>
      </c>
      <c r="CJ402" s="1673" t="str">
        <f t="shared" si="1254"/>
        <v>ok</v>
      </c>
      <c r="CK402" s="1673" t="str">
        <f t="shared" si="1254"/>
        <v>ok</v>
      </c>
      <c r="CL402" s="1673" t="str">
        <f t="shared" si="1254"/>
        <v>ok</v>
      </c>
      <c r="CM402" s="1676" t="str">
        <f t="shared" si="1254"/>
        <v>ok</v>
      </c>
      <c r="CN402" s="1673" t="str">
        <f t="shared" si="1254"/>
        <v>ok</v>
      </c>
      <c r="CO402" s="1673" t="str">
        <f t="shared" si="1254"/>
        <v>ok</v>
      </c>
      <c r="CP402" s="1673" t="str">
        <f t="shared" si="1254"/>
        <v>ok</v>
      </c>
      <c r="CQ402" s="1673" t="str">
        <f t="shared" si="1254"/>
        <v>ok</v>
      </c>
      <c r="CR402" s="1676" t="str">
        <f t="shared" si="1254"/>
        <v>ok</v>
      </c>
      <c r="CS402" s="1673" t="str">
        <f t="shared" si="1254"/>
        <v>ok</v>
      </c>
      <c r="CT402" s="1673" t="str">
        <f t="shared" si="1254"/>
        <v>ok</v>
      </c>
      <c r="CU402" s="1673" t="str">
        <f t="shared" si="1254"/>
        <v>ok</v>
      </c>
      <c r="CV402" s="1673" t="str">
        <f t="shared" si="1254"/>
        <v>ok</v>
      </c>
      <c r="CW402" s="1676" t="str">
        <f t="shared" si="1254"/>
        <v>ok</v>
      </c>
      <c r="CX402" s="1673" t="str">
        <f t="shared" si="1254"/>
        <v>ok</v>
      </c>
      <c r="CY402" s="1673"/>
      <c r="CZ402" s="1673"/>
      <c r="DA402" s="1673"/>
      <c r="DB402" s="1676"/>
      <c r="DC402" s="1673"/>
      <c r="DD402" s="1673"/>
      <c r="DE402" s="1673"/>
      <c r="DF402" s="1673"/>
      <c r="DG402" s="1676"/>
      <c r="DH402" s="1673"/>
      <c r="DI402" s="1673"/>
      <c r="DJ402" s="1673"/>
      <c r="DK402" s="1673"/>
      <c r="DL402" s="1676"/>
      <c r="DM402" s="1673"/>
      <c r="DN402" s="1673"/>
      <c r="DO402" s="1673"/>
      <c r="DP402" s="1673"/>
      <c r="DQ402" s="1676"/>
      <c r="DR402" s="1673"/>
      <c r="DS402" s="1673"/>
      <c r="DT402" s="1673"/>
      <c r="DU402" s="1673"/>
      <c r="DV402" s="1676"/>
      <c r="DW402" s="1673"/>
      <c r="DX402" s="1673"/>
      <c r="DY402" s="1673"/>
      <c r="DZ402" s="1673"/>
      <c r="EA402" s="1676"/>
      <c r="EB402" s="1673"/>
      <c r="EC402" s="1673"/>
      <c r="ED402" s="1673"/>
      <c r="EE402" s="1673"/>
      <c r="EF402" s="1676"/>
      <c r="EG402" s="1673"/>
      <c r="EH402" s="1673"/>
      <c r="EI402" s="1673"/>
      <c r="EJ402" s="1673"/>
      <c r="EK402" s="1676"/>
      <c r="EL402" s="1673"/>
      <c r="EM402" s="1673"/>
      <c r="EN402" s="1673"/>
      <c r="EO402" s="1673"/>
      <c r="EP402" s="1676"/>
      <c r="EQ402" s="1673"/>
      <c r="ER402" s="1673"/>
      <c r="ES402" s="1673"/>
      <c r="ET402" s="1673"/>
      <c r="EU402" s="1676"/>
      <c r="EV402" s="1676"/>
      <c r="EW402" s="1676"/>
      <c r="EX402" s="1676"/>
      <c r="EY402" s="1676"/>
      <c r="EZ402" s="127"/>
      <c r="FA402" s="738"/>
      <c r="FB402" s="738"/>
    </row>
    <row r="403" spans="1:158" s="252" customFormat="1" ht="11.25" hidden="1" customHeight="1">
      <c r="A403" s="1558" t="s">
        <v>559</v>
      </c>
      <c r="B403" s="2054"/>
      <c r="C403" s="1491"/>
      <c r="D403" s="1491"/>
      <c r="E403" s="1491"/>
      <c r="F403" s="2055"/>
      <c r="G403" s="2054"/>
      <c r="H403" s="1491"/>
      <c r="I403" s="1491"/>
      <c r="J403" s="1491"/>
      <c r="K403" s="1506"/>
      <c r="L403" s="1492"/>
      <c r="M403" s="1492"/>
      <c r="N403" s="1492"/>
      <c r="O403" s="1492"/>
      <c r="P403" s="2056"/>
      <c r="Q403" s="2057"/>
      <c r="R403" s="1492"/>
      <c r="S403" s="1492"/>
      <c r="T403" s="1492"/>
      <c r="U403" s="2056"/>
      <c r="V403" s="2057"/>
      <c r="W403" s="1492"/>
      <c r="X403" s="1492"/>
      <c r="Y403" s="1492"/>
      <c r="Z403" s="2056"/>
      <c r="AA403" s="2057"/>
      <c r="AB403" s="1492"/>
      <c r="AC403" s="1492"/>
      <c r="AD403" s="1492"/>
      <c r="AE403" s="2056"/>
      <c r="AF403" s="2057"/>
      <c r="AG403" s="1492"/>
      <c r="AH403" s="1492"/>
      <c r="AI403" s="1492"/>
      <c r="AJ403" s="2056"/>
      <c r="AK403" s="2057"/>
      <c r="AL403" s="1492"/>
      <c r="AM403" s="1492"/>
      <c r="AN403" s="1492"/>
      <c r="AO403" s="2056"/>
      <c r="AP403" s="2057"/>
      <c r="AQ403" s="1492"/>
      <c r="AR403" s="1492"/>
      <c r="AS403" s="1492"/>
      <c r="AT403" s="2056"/>
      <c r="AU403" s="2057"/>
      <c r="AV403" s="1492"/>
      <c r="AW403" s="1492"/>
      <c r="AX403" s="1492"/>
      <c r="AY403" s="2056"/>
      <c r="AZ403" s="2057"/>
      <c r="BA403" s="1492"/>
      <c r="BB403" s="1492"/>
      <c r="BC403" s="1492"/>
      <c r="BD403" s="2056"/>
      <c r="BE403" s="2057"/>
      <c r="BF403" s="1492"/>
      <c r="BG403" s="1492"/>
      <c r="BH403" s="1492"/>
      <c r="BI403" s="2056"/>
      <c r="BJ403" s="2057"/>
      <c r="BK403" s="1492"/>
      <c r="BL403" s="1492"/>
      <c r="BM403" s="1492"/>
      <c r="BN403" s="2056"/>
      <c r="BO403" s="1492"/>
      <c r="BP403" s="1492"/>
      <c r="BQ403" s="1492"/>
      <c r="BR403" s="1492"/>
      <c r="BS403" s="2056"/>
      <c r="BT403" s="1492"/>
      <c r="BU403" s="1492"/>
      <c r="BV403" s="1492"/>
      <c r="BW403" s="1492"/>
      <c r="BX403" s="2056"/>
      <c r="BY403" s="1492"/>
      <c r="BZ403" s="1492"/>
      <c r="CA403" s="1492"/>
      <c r="CB403" s="1492"/>
      <c r="CC403" s="2056"/>
      <c r="CD403" s="1492"/>
      <c r="CE403" s="1492"/>
      <c r="CF403" s="1492"/>
      <c r="CG403" s="1492"/>
      <c r="CH403" s="2056"/>
      <c r="CI403" s="1493"/>
      <c r="CJ403" s="1492"/>
      <c r="CK403" s="1492"/>
      <c r="CL403" s="1492"/>
      <c r="CM403" s="2056"/>
      <c r="CN403" s="1492"/>
      <c r="CO403" s="1492"/>
      <c r="CP403" s="1492"/>
      <c r="CQ403" s="1492"/>
      <c r="CR403" s="2056"/>
      <c r="CS403" s="1492"/>
      <c r="CT403" s="1492"/>
      <c r="CU403" s="1492"/>
      <c r="CV403" s="1492"/>
      <c r="CW403" s="2056"/>
      <c r="CX403" s="1492"/>
      <c r="CY403" s="2116" t="s">
        <v>605</v>
      </c>
      <c r="CZ403" s="2114"/>
      <c r="DA403" s="2114"/>
      <c r="DB403" s="2115"/>
      <c r="DC403" s="2116"/>
      <c r="DD403" s="2116"/>
      <c r="DE403" s="2114"/>
      <c r="DF403" s="2114"/>
      <c r="DG403" s="2115"/>
      <c r="DH403" s="2114"/>
      <c r="DI403" s="2114"/>
      <c r="DJ403" s="2114"/>
      <c r="DK403" s="2114"/>
      <c r="DL403" s="2115"/>
      <c r="DM403" s="2114"/>
      <c r="DN403" s="2114"/>
      <c r="DO403" s="2114"/>
      <c r="DP403" s="2114"/>
      <c r="DQ403" s="2115"/>
      <c r="DR403" s="2114"/>
      <c r="DS403" s="2114"/>
      <c r="DT403" s="2114"/>
      <c r="DU403" s="2114"/>
      <c r="DV403" s="2115"/>
      <c r="DW403" s="2114"/>
      <c r="DX403" s="2114"/>
      <c r="DY403" s="2114"/>
      <c r="DZ403" s="2114"/>
      <c r="EA403" s="2115"/>
      <c r="EB403" s="2114"/>
      <c r="EC403" s="2114"/>
      <c r="ED403" s="2114"/>
      <c r="EE403" s="2114"/>
      <c r="EF403" s="2115"/>
      <c r="EG403" s="2114"/>
      <c r="EH403" s="2114"/>
      <c r="EI403" s="2114"/>
      <c r="EJ403" s="2114"/>
      <c r="EK403" s="2115"/>
      <c r="EL403" s="2114"/>
      <c r="EM403" s="2114"/>
      <c r="EN403" s="2114"/>
      <c r="EO403" s="2114"/>
      <c r="EP403" s="2115"/>
      <c r="EQ403" s="2114"/>
      <c r="ER403" s="2114"/>
      <c r="ES403" s="2114"/>
      <c r="ET403" s="2114"/>
      <c r="EU403" s="2115"/>
      <c r="EV403" s="2115"/>
      <c r="EW403" s="2115"/>
      <c r="EX403" s="2115"/>
      <c r="EY403" s="2115"/>
      <c r="EZ403" s="251"/>
      <c r="FA403" s="715"/>
      <c r="FB403" s="715"/>
    </row>
    <row r="404" spans="1:158" s="168" customFormat="1" ht="11.25" hidden="1" customHeight="1">
      <c r="A404" s="1555" t="s">
        <v>7</v>
      </c>
      <c r="B404" s="1982"/>
      <c r="C404" s="165"/>
      <c r="D404" s="165"/>
      <c r="E404" s="165"/>
      <c r="F404" s="2058"/>
      <c r="G404" s="1982"/>
      <c r="H404" s="165"/>
      <c r="I404" s="165"/>
      <c r="J404" s="165"/>
      <c r="K404" s="1015"/>
      <c r="L404" s="165"/>
      <c r="M404" s="165"/>
      <c r="N404" s="165"/>
      <c r="O404" s="165"/>
      <c r="P404" s="1015"/>
      <c r="Q404" s="1982"/>
      <c r="R404" s="165"/>
      <c r="S404" s="165"/>
      <c r="T404" s="165"/>
      <c r="U404" s="1015"/>
      <c r="V404" s="1982"/>
      <c r="W404" s="165"/>
      <c r="X404" s="165"/>
      <c r="Y404" s="165"/>
      <c r="Z404" s="1015">
        <f t="shared" ref="Z404:BN404" si="1255">Z392</f>
        <v>141.5</v>
      </c>
      <c r="AA404" s="1982">
        <f t="shared" si="1255"/>
        <v>76.221000000000004</v>
      </c>
      <c r="AB404" s="165">
        <f t="shared" si="1255"/>
        <v>81.421000000000006</v>
      </c>
      <c r="AC404" s="165">
        <f t="shared" si="1255"/>
        <v>115.22896</v>
      </c>
      <c r="AD404" s="166">
        <f t="shared" si="1255"/>
        <v>129.93904000000003</v>
      </c>
      <c r="AE404" s="1015">
        <f t="shared" si="1255"/>
        <v>402.81</v>
      </c>
      <c r="AF404" s="1982">
        <f t="shared" si="1255"/>
        <v>186.215</v>
      </c>
      <c r="AG404" s="165">
        <f t="shared" si="1255"/>
        <v>199.16399999999999</v>
      </c>
      <c r="AH404" s="165">
        <f t="shared" si="1255"/>
        <v>233.2</v>
      </c>
      <c r="AI404" s="166">
        <f t="shared" si="1255"/>
        <v>259.52100000000002</v>
      </c>
      <c r="AJ404" s="1015">
        <f t="shared" si="1255"/>
        <v>878.1</v>
      </c>
      <c r="AK404" s="1982">
        <f t="shared" si="1255"/>
        <v>342.9</v>
      </c>
      <c r="AL404" s="165">
        <f t="shared" si="1255"/>
        <v>369.9</v>
      </c>
      <c r="AM404" s="165">
        <f t="shared" si="1255"/>
        <v>422.5</v>
      </c>
      <c r="AN404" s="165">
        <f t="shared" si="1255"/>
        <v>468.5</v>
      </c>
      <c r="AO404" s="1015">
        <f t="shared" si="1255"/>
        <v>1603.8</v>
      </c>
      <c r="AP404" s="1982">
        <f t="shared" si="1255"/>
        <v>578.35900000000004</v>
      </c>
      <c r="AQ404" s="165">
        <f t="shared" si="1255"/>
        <v>599.51400000000001</v>
      </c>
      <c r="AR404" s="165">
        <f t="shared" si="1255"/>
        <v>661.01599999999996</v>
      </c>
      <c r="AS404" s="165">
        <f t="shared" si="1255"/>
        <v>692.02699999999993</v>
      </c>
      <c r="AT404" s="1015">
        <f t="shared" si="1255"/>
        <v>2530.9160000000002</v>
      </c>
      <c r="AU404" s="1982">
        <f t="shared" si="1255"/>
        <v>802.97299999999996</v>
      </c>
      <c r="AV404" s="165">
        <f t="shared" si="1255"/>
        <v>773.95799999999997</v>
      </c>
      <c r="AW404" s="165">
        <f t="shared" si="1255"/>
        <v>776.16</v>
      </c>
      <c r="AX404" s="165">
        <f t="shared" si="1255"/>
        <v>685.39699999999993</v>
      </c>
      <c r="AY404" s="1015">
        <f t="shared" si="1255"/>
        <v>3038.4879999999998</v>
      </c>
      <c r="AZ404" s="1982">
        <f t="shared" si="1255"/>
        <v>733.40800000000002</v>
      </c>
      <c r="BA404" s="165">
        <f t="shared" si="1255"/>
        <v>715</v>
      </c>
      <c r="BB404" s="165">
        <f t="shared" si="1255"/>
        <v>765.13199999999995</v>
      </c>
      <c r="BC404" s="165">
        <f t="shared" si="1255"/>
        <v>772.49999999999989</v>
      </c>
      <c r="BD404" s="1015">
        <f t="shared" si="1255"/>
        <v>2986.04</v>
      </c>
      <c r="BE404" s="1982">
        <f t="shared" si="1255"/>
        <v>842</v>
      </c>
      <c r="BF404" s="165">
        <f t="shared" si="1255"/>
        <v>770</v>
      </c>
      <c r="BG404" s="165">
        <f t="shared" si="1255"/>
        <v>840</v>
      </c>
      <c r="BH404" s="165">
        <f t="shared" si="1255"/>
        <v>878</v>
      </c>
      <c r="BI404" s="1015">
        <f t="shared" si="1255"/>
        <v>3330</v>
      </c>
      <c r="BJ404" s="1982">
        <f t="shared" si="1255"/>
        <v>969</v>
      </c>
      <c r="BK404" s="165">
        <f t="shared" si="1255"/>
        <v>976</v>
      </c>
      <c r="BL404" s="165">
        <f t="shared" si="1255"/>
        <v>1047</v>
      </c>
      <c r="BM404" s="165">
        <f t="shared" si="1255"/>
        <v>1064</v>
      </c>
      <c r="BN404" s="1015">
        <f t="shared" si="1255"/>
        <v>4056</v>
      </c>
      <c r="BO404" s="165"/>
      <c r="BP404" s="165"/>
      <c r="BQ404" s="165"/>
      <c r="BR404" s="165"/>
      <c r="BS404" s="1930"/>
      <c r="BT404" s="165">
        <f t="shared" ref="BT404:BX405" si="1256">BT392</f>
        <v>1150</v>
      </c>
      <c r="BU404" s="165">
        <f t="shared" si="1256"/>
        <v>1175</v>
      </c>
      <c r="BV404" s="165">
        <f t="shared" si="1256"/>
        <v>1216</v>
      </c>
      <c r="BW404" s="165">
        <f t="shared" si="1256"/>
        <v>1305</v>
      </c>
      <c r="BX404" s="1015">
        <f t="shared" si="1256"/>
        <v>4846</v>
      </c>
      <c r="BY404" s="165"/>
      <c r="BZ404" s="165"/>
      <c r="CA404" s="165"/>
      <c r="CB404" s="165"/>
      <c r="CC404" s="1930"/>
      <c r="CD404" s="165">
        <f t="shared" ref="CD404:CX404" si="1257">CD392</f>
        <v>1387</v>
      </c>
      <c r="CE404" s="165">
        <f t="shared" si="1257"/>
        <v>1321</v>
      </c>
      <c r="CF404" s="165">
        <f t="shared" si="1257"/>
        <v>1389</v>
      </c>
      <c r="CG404" s="165">
        <f t="shared" si="1257"/>
        <v>1503</v>
      </c>
      <c r="CH404" s="1015">
        <f t="shared" si="1257"/>
        <v>5600</v>
      </c>
      <c r="CI404" s="546">
        <f t="shared" si="1257"/>
        <v>1583</v>
      </c>
      <c r="CJ404" s="165">
        <f t="shared" si="1257"/>
        <v>1616</v>
      </c>
      <c r="CK404" s="165">
        <f t="shared" si="1257"/>
        <v>1627</v>
      </c>
      <c r="CL404" s="165">
        <f t="shared" si="1257"/>
        <v>1657</v>
      </c>
      <c r="CM404" s="1015">
        <f t="shared" si="1257"/>
        <v>6483</v>
      </c>
      <c r="CN404" s="165">
        <f t="shared" si="1257"/>
        <v>1675</v>
      </c>
      <c r="CO404" s="165">
        <f t="shared" si="1257"/>
        <v>1678</v>
      </c>
      <c r="CP404" s="165">
        <f t="shared" si="1257"/>
        <v>1792</v>
      </c>
      <c r="CQ404" s="165">
        <f t="shared" si="1257"/>
        <v>1922</v>
      </c>
      <c r="CR404" s="1015">
        <f t="shared" si="1257"/>
        <v>7067</v>
      </c>
      <c r="CS404" s="165">
        <f t="shared" si="1257"/>
        <v>1921</v>
      </c>
      <c r="CT404" s="165">
        <f t="shared" si="1257"/>
        <v>1914</v>
      </c>
      <c r="CU404" s="165">
        <f t="shared" si="1257"/>
        <v>1890</v>
      </c>
      <c r="CV404" s="165">
        <f t="shared" si="1257"/>
        <v>2062</v>
      </c>
      <c r="CW404" s="1015">
        <f t="shared" si="1257"/>
        <v>7787</v>
      </c>
      <c r="CX404" s="165">
        <f t="shared" si="1257"/>
        <v>2025</v>
      </c>
      <c r="CY404" s="2006"/>
      <c r="CZ404" s="2006"/>
      <c r="DA404" s="2006"/>
      <c r="DB404" s="2059"/>
      <c r="DC404" s="2006"/>
      <c r="DD404" s="2006"/>
      <c r="DE404" s="2006"/>
      <c r="DF404" s="2006"/>
      <c r="DG404" s="2059"/>
      <c r="DH404" s="2006"/>
      <c r="DI404" s="2006"/>
      <c r="DJ404" s="2006"/>
      <c r="DK404" s="2006"/>
      <c r="DL404" s="2059"/>
      <c r="DM404" s="2006"/>
      <c r="DN404" s="2006"/>
      <c r="DO404" s="2006"/>
      <c r="DP404" s="2006"/>
      <c r="DQ404" s="2059"/>
      <c r="DR404" s="2006"/>
      <c r="DS404" s="2006"/>
      <c r="DT404" s="2006"/>
      <c r="DU404" s="2006"/>
      <c r="DV404" s="2059"/>
      <c r="DW404" s="2006"/>
      <c r="DX404" s="2006"/>
      <c r="DY404" s="2006"/>
      <c r="DZ404" s="2006"/>
      <c r="EA404" s="2059"/>
      <c r="EB404" s="2006"/>
      <c r="EC404" s="2006"/>
      <c r="ED404" s="2006"/>
      <c r="EE404" s="2006"/>
      <c r="EF404" s="2059"/>
      <c r="EG404" s="2006"/>
      <c r="EH404" s="2006"/>
      <c r="EI404" s="2006"/>
      <c r="EJ404" s="2006"/>
      <c r="EK404" s="2059"/>
      <c r="EL404" s="2006"/>
      <c r="EM404" s="2006"/>
      <c r="EN404" s="2006"/>
      <c r="EO404" s="2006"/>
      <c r="EP404" s="2059"/>
      <c r="EQ404" s="2006"/>
      <c r="ER404" s="2006"/>
      <c r="ES404" s="2006"/>
      <c r="ET404" s="2006"/>
      <c r="EU404" s="2059"/>
      <c r="EV404" s="2059"/>
      <c r="EW404" s="2059"/>
      <c r="EX404" s="2059"/>
      <c r="EY404" s="2059"/>
      <c r="EZ404" s="167"/>
      <c r="FA404" s="761"/>
      <c r="FB404" s="761"/>
    </row>
    <row r="405" spans="1:158" s="249" customFormat="1" ht="11.25" hidden="1" customHeight="1">
      <c r="A405" s="1554" t="s">
        <v>45</v>
      </c>
      <c r="B405" s="1983"/>
      <c r="C405" s="185"/>
      <c r="D405" s="185"/>
      <c r="E405" s="185"/>
      <c r="F405" s="2060"/>
      <c r="G405" s="1983"/>
      <c r="H405" s="185"/>
      <c r="I405" s="185"/>
      <c r="J405" s="185"/>
      <c r="K405" s="1505"/>
      <c r="L405" s="185"/>
      <c r="M405" s="185"/>
      <c r="N405" s="185"/>
      <c r="O405" s="185"/>
      <c r="P405" s="992"/>
      <c r="Q405" s="1983"/>
      <c r="R405" s="185"/>
      <c r="S405" s="185"/>
      <c r="T405" s="185"/>
      <c r="U405" s="992"/>
      <c r="V405" s="1984"/>
      <c r="W405" s="223"/>
      <c r="X405" s="223"/>
      <c r="Y405" s="223"/>
      <c r="Z405" s="992"/>
      <c r="AA405" s="1984" t="str">
        <f t="shared" ref="AA405:BN405" si="1258">AA393</f>
        <v>NA</v>
      </c>
      <c r="AB405" s="223" t="str">
        <f t="shared" si="1258"/>
        <v>NA</v>
      </c>
      <c r="AC405" s="223" t="str">
        <f t="shared" si="1258"/>
        <v>NA</v>
      </c>
      <c r="AD405" s="223" t="str">
        <f t="shared" si="1258"/>
        <v>NA</v>
      </c>
      <c r="AE405" s="992">
        <f t="shared" si="1258"/>
        <v>1.8467137809187277</v>
      </c>
      <c r="AF405" s="1984">
        <f t="shared" si="1258"/>
        <v>1.4430931108224767</v>
      </c>
      <c r="AG405" s="223">
        <f t="shared" si="1258"/>
        <v>1.4461011287014403</v>
      </c>
      <c r="AH405" s="223" t="str">
        <f t="shared" si="1258"/>
        <v>NA</v>
      </c>
      <c r="AI405" s="223" t="str">
        <f t="shared" si="1258"/>
        <v>NA</v>
      </c>
      <c r="AJ405" s="992">
        <f t="shared" si="1258"/>
        <v>1.1799359499515902</v>
      </c>
      <c r="AK405" s="1984">
        <f t="shared" si="1258"/>
        <v>0.84141986413554215</v>
      </c>
      <c r="AL405" s="223">
        <f t="shared" si="1258"/>
        <v>0.8572633608483462</v>
      </c>
      <c r="AM405" s="223">
        <f t="shared" si="1258"/>
        <v>0.81174957118353364</v>
      </c>
      <c r="AN405" s="223">
        <f t="shared" si="1258"/>
        <v>0.80524890085966061</v>
      </c>
      <c r="AO405" s="992">
        <f t="shared" si="1258"/>
        <v>0.82644345746498105</v>
      </c>
      <c r="AP405" s="1984">
        <f t="shared" si="1258"/>
        <v>0.68666958296879588</v>
      </c>
      <c r="AQ405" s="223">
        <f t="shared" si="1258"/>
        <v>0.62074614760746161</v>
      </c>
      <c r="AR405" s="223">
        <f t="shared" si="1258"/>
        <v>0.56453491124260347</v>
      </c>
      <c r="AS405" s="223">
        <f t="shared" si="1258"/>
        <v>0.47711205976520787</v>
      </c>
      <c r="AT405" s="992">
        <f t="shared" si="1258"/>
        <v>0.57807457288938791</v>
      </c>
      <c r="AU405" s="1984">
        <f t="shared" si="1258"/>
        <v>0.38836432043073565</v>
      </c>
      <c r="AV405" s="223">
        <f t="shared" si="1258"/>
        <v>0.29097569030915027</v>
      </c>
      <c r="AW405" s="223">
        <f t="shared" si="1258"/>
        <v>0.17419245525070504</v>
      </c>
      <c r="AX405" s="223">
        <f t="shared" si="1258"/>
        <v>-9.5805510478637057E-3</v>
      </c>
      <c r="AY405" s="992">
        <f t="shared" si="1258"/>
        <v>0.20054873413420271</v>
      </c>
      <c r="AZ405" s="1984">
        <f t="shared" si="1258"/>
        <v>-8.6634295300090924E-2</v>
      </c>
      <c r="BA405" s="223">
        <f t="shared" si="1258"/>
        <v>-7.6177260264768898E-2</v>
      </c>
      <c r="BB405" s="223">
        <f t="shared" si="1258"/>
        <v>-1.4208410636982083E-2</v>
      </c>
      <c r="BC405" s="223">
        <f t="shared" si="1258"/>
        <v>0.12708401116433254</v>
      </c>
      <c r="BD405" s="992">
        <f t="shared" si="1258"/>
        <v>-1.7261216763074239E-2</v>
      </c>
      <c r="BE405" s="1984">
        <f t="shared" si="1258"/>
        <v>0.14806492429861695</v>
      </c>
      <c r="BF405" s="223">
        <f t="shared" si="1258"/>
        <v>7.6923076923076872E-2</v>
      </c>
      <c r="BG405" s="223">
        <f t="shared" si="1258"/>
        <v>9.7849782782578831E-2</v>
      </c>
      <c r="BH405" s="223">
        <f t="shared" si="1258"/>
        <v>0.13656957928802615</v>
      </c>
      <c r="BI405" s="992">
        <f t="shared" si="1258"/>
        <v>0.11518934776493284</v>
      </c>
      <c r="BJ405" s="1984">
        <f t="shared" si="1258"/>
        <v>0.15083135391923985</v>
      </c>
      <c r="BK405" s="223">
        <f t="shared" si="1258"/>
        <v>0.26753246753246751</v>
      </c>
      <c r="BL405" s="223">
        <f t="shared" si="1258"/>
        <v>0.24642857142857144</v>
      </c>
      <c r="BM405" s="223">
        <f t="shared" si="1258"/>
        <v>0.21184510250569466</v>
      </c>
      <c r="BN405" s="992">
        <f t="shared" si="1258"/>
        <v>0.21801801801801801</v>
      </c>
      <c r="BO405" s="169"/>
      <c r="BP405" s="169"/>
      <c r="BQ405" s="169"/>
      <c r="BR405" s="169"/>
      <c r="BS405" s="1927"/>
      <c r="BT405" s="223">
        <f t="shared" si="1256"/>
        <v>0.18679050567595468</v>
      </c>
      <c r="BU405" s="223">
        <f t="shared" si="1256"/>
        <v>0.20389344262295084</v>
      </c>
      <c r="BV405" s="223">
        <f t="shared" si="1256"/>
        <v>0.16141356255969441</v>
      </c>
      <c r="BW405" s="223">
        <f t="shared" si="1256"/>
        <v>0.22650375939849621</v>
      </c>
      <c r="BX405" s="992">
        <f t="shared" si="1256"/>
        <v>0.19477317554240625</v>
      </c>
      <c r="BY405" s="169"/>
      <c r="BZ405" s="169"/>
      <c r="CA405" s="169"/>
      <c r="CB405" s="169"/>
      <c r="CC405" s="1927"/>
      <c r="CD405" s="223">
        <f t="shared" ref="CD405:CX405" si="1259">CD393</f>
        <v>0.20608695652173914</v>
      </c>
      <c r="CE405" s="223">
        <f t="shared" si="1259"/>
        <v>0.12425531914893617</v>
      </c>
      <c r="CF405" s="223">
        <f t="shared" si="1259"/>
        <v>0.14226973684210531</v>
      </c>
      <c r="CG405" s="223">
        <f t="shared" si="1259"/>
        <v>0.15172413793103456</v>
      </c>
      <c r="CH405" s="992">
        <f t="shared" si="1259"/>
        <v>0.15559224102352465</v>
      </c>
      <c r="CI405" s="550">
        <f t="shared" si="1259"/>
        <v>0.14131218457101657</v>
      </c>
      <c r="CJ405" s="223">
        <f t="shared" si="1259"/>
        <v>0.2233156699470098</v>
      </c>
      <c r="CK405" s="223">
        <f t="shared" si="1259"/>
        <v>0.17134629229661624</v>
      </c>
      <c r="CL405" s="223">
        <f t="shared" si="1259"/>
        <v>0.1024617431803061</v>
      </c>
      <c r="CM405" s="992">
        <f t="shared" si="1259"/>
        <v>0.15767857142857133</v>
      </c>
      <c r="CN405" s="169">
        <f t="shared" si="1259"/>
        <v>5.8117498420720226E-2</v>
      </c>
      <c r="CO405" s="223">
        <f t="shared" si="1259"/>
        <v>3.8366336633663289E-2</v>
      </c>
      <c r="CP405" s="223">
        <f t="shared" si="1259"/>
        <v>0.10141364474492942</v>
      </c>
      <c r="CQ405" s="223">
        <f t="shared" si="1259"/>
        <v>0.15992757996379003</v>
      </c>
      <c r="CR405" s="992">
        <f t="shared" si="1259"/>
        <v>9.0081752275181337E-2</v>
      </c>
      <c r="CS405" s="169">
        <f t="shared" si="1259"/>
        <v>0.1468656716417911</v>
      </c>
      <c r="CT405" s="223">
        <f t="shared" si="1259"/>
        <v>0.14064362336114411</v>
      </c>
      <c r="CU405" s="169">
        <f t="shared" si="1259"/>
        <v>5.46875E-2</v>
      </c>
      <c r="CV405" s="169">
        <f t="shared" si="1259"/>
        <v>7.2840790842872094E-2</v>
      </c>
      <c r="CW405" s="992">
        <f t="shared" si="1259"/>
        <v>0.1018819866987406</v>
      </c>
      <c r="CX405" s="169">
        <f t="shared" si="1259"/>
        <v>5.413846954711099E-2</v>
      </c>
      <c r="CY405" s="1135"/>
      <c r="CZ405" s="1135"/>
      <c r="DA405" s="1135"/>
      <c r="DB405" s="1967"/>
      <c r="DC405" s="2660"/>
      <c r="DD405" s="2660"/>
      <c r="DE405" s="2660"/>
      <c r="DF405" s="2660"/>
      <c r="DG405" s="1967"/>
      <c r="DH405" s="2660"/>
      <c r="DI405" s="2660"/>
      <c r="DJ405" s="2660"/>
      <c r="DK405" s="2660"/>
      <c r="DL405" s="1967"/>
      <c r="DM405" s="2660"/>
      <c r="DN405" s="2660"/>
      <c r="DO405" s="2660"/>
      <c r="DP405" s="2660"/>
      <c r="DQ405" s="1967"/>
      <c r="DR405" s="2660"/>
      <c r="DS405" s="2660"/>
      <c r="DT405" s="2660"/>
      <c r="DU405" s="2660"/>
      <c r="DV405" s="1967"/>
      <c r="DW405" s="2660"/>
      <c r="DX405" s="2660"/>
      <c r="DY405" s="2660"/>
      <c r="DZ405" s="2660"/>
      <c r="EA405" s="1967"/>
      <c r="EB405" s="2660"/>
      <c r="EC405" s="2660"/>
      <c r="ED405" s="2660"/>
      <c r="EE405" s="2660"/>
      <c r="EF405" s="1967"/>
      <c r="EG405" s="2660"/>
      <c r="EH405" s="2660"/>
      <c r="EI405" s="2660"/>
      <c r="EJ405" s="2660"/>
      <c r="EK405" s="1967"/>
      <c r="EL405" s="2660"/>
      <c r="EM405" s="2660"/>
      <c r="EN405" s="2660"/>
      <c r="EO405" s="2660"/>
      <c r="EP405" s="1967"/>
      <c r="EQ405" s="2660"/>
      <c r="ER405" s="2660"/>
      <c r="ES405" s="2660"/>
      <c r="ET405" s="2660"/>
      <c r="EU405" s="1967"/>
      <c r="EV405" s="1967"/>
      <c r="EW405" s="1967"/>
      <c r="EX405" s="1967"/>
      <c r="EY405" s="1967"/>
      <c r="EZ405" s="185"/>
      <c r="FA405" s="725"/>
      <c r="FB405" s="725"/>
    </row>
    <row r="406" spans="1:158" s="249" customFormat="1" ht="11.25" hidden="1" customHeight="1">
      <c r="A406" s="1554" t="s">
        <v>46</v>
      </c>
      <c r="B406" s="1983"/>
      <c r="C406" s="185"/>
      <c r="D406" s="185"/>
      <c r="E406" s="185"/>
      <c r="F406" s="2060"/>
      <c r="G406" s="1983"/>
      <c r="H406" s="185"/>
      <c r="I406" s="185"/>
      <c r="J406" s="185"/>
      <c r="K406" s="1505"/>
      <c r="L406" s="185"/>
      <c r="M406" s="185"/>
      <c r="N406" s="185"/>
      <c r="O406" s="185"/>
      <c r="P406" s="1020"/>
      <c r="Q406" s="1983"/>
      <c r="R406" s="185"/>
      <c r="S406" s="185"/>
      <c r="T406" s="185"/>
      <c r="U406" s="1020"/>
      <c r="V406" s="1984"/>
      <c r="W406" s="223"/>
      <c r="X406" s="223"/>
      <c r="Y406" s="223"/>
      <c r="Z406" s="1020"/>
      <c r="AA406" s="1984" t="str">
        <f t="shared" ref="AA406:AI406" si="1260">AA394</f>
        <v>NA</v>
      </c>
      <c r="AB406" s="223">
        <f t="shared" si="1260"/>
        <v>6.8222668293514976E-2</v>
      </c>
      <c r="AC406" s="223">
        <f t="shared" si="1260"/>
        <v>0.41522408223922569</v>
      </c>
      <c r="AD406" s="223">
        <f t="shared" si="1260"/>
        <v>0.12765957446808529</v>
      </c>
      <c r="AE406" s="1020">
        <f t="shared" si="1260"/>
        <v>0</v>
      </c>
      <c r="AF406" s="1984">
        <f t="shared" si="1260"/>
        <v>0.43309508828139687</v>
      </c>
      <c r="AG406" s="223">
        <f t="shared" si="1260"/>
        <v>6.9537899739548381E-2</v>
      </c>
      <c r="AH406" s="223">
        <f t="shared" si="1260"/>
        <v>0.17089433833423717</v>
      </c>
      <c r="AI406" s="223">
        <f t="shared" si="1260"/>
        <v>0.11286878216123508</v>
      </c>
      <c r="AJ406" s="1020"/>
      <c r="AK406" s="1984">
        <f>AK394</f>
        <v>0.32128035881489336</v>
      </c>
      <c r="AL406" s="223">
        <f>AL394</f>
        <v>7.8740157480315043E-2</v>
      </c>
      <c r="AM406" s="223">
        <f>AM394</f>
        <v>0.1422005947553393</v>
      </c>
      <c r="AN406" s="223">
        <f>AN394</f>
        <v>0.10887573964497044</v>
      </c>
      <c r="AO406" s="1020"/>
      <c r="AP406" s="1984">
        <f>AP394</f>
        <v>0.23449092849519748</v>
      </c>
      <c r="AQ406" s="223">
        <f>AQ394</f>
        <v>3.6577627390599998E-2</v>
      </c>
      <c r="AR406" s="223">
        <f>AR394</f>
        <v>0.10258642834028886</v>
      </c>
      <c r="AS406" s="223">
        <f>AS394</f>
        <v>4.6914144286976267E-2</v>
      </c>
      <c r="AT406" s="1020"/>
      <c r="AU406" s="1984">
        <f>AU394</f>
        <v>0.16032033432221571</v>
      </c>
      <c r="AV406" s="223">
        <f>AV394</f>
        <v>-3.6134465293353513E-2</v>
      </c>
      <c r="AW406" s="223">
        <f>AW394</f>
        <v>2.8451156264293065E-3</v>
      </c>
      <c r="AX406" s="223">
        <f>AX394</f>
        <v>-0.11693851783137499</v>
      </c>
      <c r="AY406" s="1020"/>
      <c r="AZ406" s="1984">
        <f>AZ394</f>
        <v>7.0048453669917077E-2</v>
      </c>
      <c r="BA406" s="223">
        <f>BA394</f>
        <v>-2.5099262620533191E-2</v>
      </c>
      <c r="BB406" s="223">
        <f>BB394</f>
        <v>7.0114685314685232E-2</v>
      </c>
      <c r="BC406" s="223">
        <f>BC394</f>
        <v>9.6297109518357349E-3</v>
      </c>
      <c r="BD406" s="1020"/>
      <c r="BE406" s="1984">
        <f>BE394</f>
        <v>8.9967637540453227E-2</v>
      </c>
      <c r="BF406" s="223">
        <f>BF394</f>
        <v>-8.5510688836104465E-2</v>
      </c>
      <c r="BG406" s="223">
        <f>BG394</f>
        <v>9.0909090909090828E-2</v>
      </c>
      <c r="BH406" s="223">
        <f>BH394</f>
        <v>4.5238095238095299E-2</v>
      </c>
      <c r="BI406" s="1020"/>
      <c r="BJ406" s="1984">
        <f>BJ394</f>
        <v>0.10364464692482911</v>
      </c>
      <c r="BK406" s="223">
        <f>BK394</f>
        <v>7.2239422084623417E-3</v>
      </c>
      <c r="BL406" s="223">
        <f>BL394</f>
        <v>7.2745901639344357E-2</v>
      </c>
      <c r="BM406" s="223">
        <f>BM394</f>
        <v>1.6236867239732611E-2</v>
      </c>
      <c r="BN406" s="1020"/>
      <c r="BO406" s="223"/>
      <c r="BP406" s="223"/>
      <c r="BQ406" s="223"/>
      <c r="BR406" s="223"/>
      <c r="BS406" s="1931"/>
      <c r="BT406" s="223">
        <f>BT394</f>
        <v>8.0827067669172914E-2</v>
      </c>
      <c r="BU406" s="223">
        <f>BU394</f>
        <v>2.1739130434782705E-2</v>
      </c>
      <c r="BV406" s="223">
        <f>BV394</f>
        <v>3.4893617021276579E-2</v>
      </c>
      <c r="BW406" s="223">
        <f>BW394</f>
        <v>7.3190789473684292E-2</v>
      </c>
      <c r="BX406" s="1020"/>
      <c r="BY406" s="223"/>
      <c r="BZ406" s="223"/>
      <c r="CA406" s="223"/>
      <c r="CB406" s="223"/>
      <c r="CC406" s="1931"/>
      <c r="CD406" s="223">
        <f>CD394</f>
        <v>6.2835249042145547E-2</v>
      </c>
      <c r="CE406" s="223">
        <f>CE394</f>
        <v>-4.7584715212689255E-2</v>
      </c>
      <c r="CF406" s="223">
        <f>CF394</f>
        <v>5.1476154428463206E-2</v>
      </c>
      <c r="CG406" s="223">
        <f>CG394</f>
        <v>8.2073434125270017E-2</v>
      </c>
      <c r="CH406" s="1020"/>
      <c r="CI406" s="560">
        <f>+CI404/CG404-1</f>
        <v>5.3226879574185038E-2</v>
      </c>
      <c r="CJ406" s="223">
        <f>CJ404/CI404-1</f>
        <v>2.0846493998736504E-2</v>
      </c>
      <c r="CK406" s="223">
        <f>CK404/CJ404-1</f>
        <v>6.8069306930693685E-3</v>
      </c>
      <c r="CL406" s="223">
        <f>CL394</f>
        <v>1.8438844499077955E-2</v>
      </c>
      <c r="CM406" s="1020"/>
      <c r="CN406" s="223">
        <f>+CN404/CL404-1</f>
        <v>1.0863005431502648E-2</v>
      </c>
      <c r="CO406" s="223">
        <f>CO404/CN404-1</f>
        <v>1.7910447761193549E-3</v>
      </c>
      <c r="CP406" s="223">
        <f>CP404/CO404-1</f>
        <v>6.7938021454112096E-2</v>
      </c>
      <c r="CQ406" s="223">
        <f>CQ404/CP404-1</f>
        <v>7.2544642857142794E-2</v>
      </c>
      <c r="CR406" s="1020"/>
      <c r="CS406" s="223">
        <f>+CS404/CQ404-1</f>
        <v>-5.2029136316333879E-4</v>
      </c>
      <c r="CT406" s="223">
        <f>CT404/CS404-1</f>
        <v>-3.6439354502862953E-3</v>
      </c>
      <c r="CU406" s="223">
        <f>CU404/CT404-1</f>
        <v>-1.2539184952978011E-2</v>
      </c>
      <c r="CV406" s="223">
        <f>CV404/CU404-1</f>
        <v>9.1005291005290978E-2</v>
      </c>
      <c r="CW406" s="1020"/>
      <c r="CX406" s="223">
        <f>+CX404/CV404-1</f>
        <v>-1.7943743937924306E-2</v>
      </c>
      <c r="CY406" s="2007"/>
      <c r="CZ406" s="2007"/>
      <c r="DA406" s="2007"/>
      <c r="DB406" s="2061"/>
      <c r="DC406" s="2007"/>
      <c r="DD406" s="2007"/>
      <c r="DE406" s="2007"/>
      <c r="DF406" s="2007"/>
      <c r="DG406" s="2061"/>
      <c r="DH406" s="2007"/>
      <c r="DI406" s="2007"/>
      <c r="DJ406" s="2007"/>
      <c r="DK406" s="2007"/>
      <c r="DL406" s="2061"/>
      <c r="DM406" s="2007"/>
      <c r="DN406" s="2007"/>
      <c r="DO406" s="2007"/>
      <c r="DP406" s="2007"/>
      <c r="DQ406" s="2061"/>
      <c r="DR406" s="2007"/>
      <c r="DS406" s="2007"/>
      <c r="DT406" s="2007"/>
      <c r="DU406" s="2007"/>
      <c r="DV406" s="2061"/>
      <c r="DW406" s="2007"/>
      <c r="DX406" s="2007"/>
      <c r="DY406" s="2007"/>
      <c r="DZ406" s="2007"/>
      <c r="EA406" s="2061"/>
      <c r="EB406" s="2007"/>
      <c r="EC406" s="2007"/>
      <c r="ED406" s="2007"/>
      <c r="EE406" s="2007"/>
      <c r="EF406" s="2061"/>
      <c r="EG406" s="2007"/>
      <c r="EH406" s="2007"/>
      <c r="EI406" s="2007"/>
      <c r="EJ406" s="2007"/>
      <c r="EK406" s="2061"/>
      <c r="EL406" s="2007"/>
      <c r="EM406" s="2007"/>
      <c r="EN406" s="2007"/>
      <c r="EO406" s="2007"/>
      <c r="EP406" s="2061"/>
      <c r="EQ406" s="2007"/>
      <c r="ER406" s="2007"/>
      <c r="ES406" s="2007"/>
      <c r="ET406" s="2007"/>
      <c r="EU406" s="2061"/>
      <c r="EV406" s="2061"/>
      <c r="EW406" s="2061"/>
      <c r="EX406" s="2061"/>
      <c r="EY406" s="2061"/>
      <c r="EZ406" s="185"/>
      <c r="FA406" s="725"/>
      <c r="FB406" s="725"/>
    </row>
    <row r="407" spans="1:158" s="211" customFormat="1" ht="11.25" hidden="1" customHeight="1">
      <c r="A407" s="2062"/>
      <c r="B407" s="1670"/>
      <c r="C407" s="169"/>
      <c r="D407" s="169"/>
      <c r="E407" s="169"/>
      <c r="F407" s="1768"/>
      <c r="G407" s="1670"/>
      <c r="H407" s="169"/>
      <c r="I407" s="169"/>
      <c r="J407" s="169"/>
      <c r="K407" s="1019"/>
      <c r="L407" s="209"/>
      <c r="M407" s="209"/>
      <c r="N407" s="209"/>
      <c r="O407" s="209"/>
      <c r="P407" s="1019"/>
      <c r="Q407" s="1991"/>
      <c r="R407" s="209"/>
      <c r="S407" s="209"/>
      <c r="T407" s="209"/>
      <c r="U407" s="1019"/>
      <c r="V407" s="1991"/>
      <c r="W407" s="209"/>
      <c r="X407" s="209"/>
      <c r="Y407" s="209"/>
      <c r="Z407" s="1019"/>
      <c r="AA407" s="1991"/>
      <c r="AB407" s="209"/>
      <c r="AC407" s="209"/>
      <c r="AD407" s="209"/>
      <c r="AE407" s="1019"/>
      <c r="AF407" s="1991"/>
      <c r="AG407" s="209"/>
      <c r="AH407" s="209"/>
      <c r="AI407" s="209"/>
      <c r="AJ407" s="1019"/>
      <c r="AK407" s="1991"/>
      <c r="AL407" s="209"/>
      <c r="AM407" s="209"/>
      <c r="AN407" s="209"/>
      <c r="AO407" s="1019"/>
      <c r="AP407" s="1991"/>
      <c r="AQ407" s="209"/>
      <c r="AR407" s="209"/>
      <c r="AS407" s="209"/>
      <c r="AT407" s="1019"/>
      <c r="AU407" s="1991"/>
      <c r="AV407" s="209"/>
      <c r="AW407" s="209"/>
      <c r="AX407" s="209"/>
      <c r="AY407" s="1019"/>
      <c r="AZ407" s="1991"/>
      <c r="BA407" s="209"/>
      <c r="BB407" s="209"/>
      <c r="BC407" s="209"/>
      <c r="BD407" s="1019"/>
      <c r="BE407" s="1991"/>
      <c r="BF407" s="209"/>
      <c r="BG407" s="209"/>
      <c r="BH407" s="209"/>
      <c r="BI407" s="1019"/>
      <c r="BJ407" s="1991"/>
      <c r="BK407" s="209"/>
      <c r="BL407" s="209"/>
      <c r="BM407" s="209"/>
      <c r="BN407" s="1019"/>
      <c r="BO407" s="209"/>
      <c r="BP407" s="209"/>
      <c r="BQ407" s="209"/>
      <c r="BR407" s="209"/>
      <c r="BS407" s="1933"/>
      <c r="BT407" s="209"/>
      <c r="BU407" s="209"/>
      <c r="BV407" s="209"/>
      <c r="BW407" s="209"/>
      <c r="BX407" s="1019"/>
      <c r="BY407" s="209"/>
      <c r="BZ407" s="209"/>
      <c r="CA407" s="209"/>
      <c r="CB407" s="209"/>
      <c r="CC407" s="1933"/>
      <c r="CD407" s="209"/>
      <c r="CE407" s="209"/>
      <c r="CF407" s="209"/>
      <c r="CG407" s="209"/>
      <c r="CH407" s="1019"/>
      <c r="CI407" s="556"/>
      <c r="CJ407" s="209"/>
      <c r="CK407" s="209"/>
      <c r="CL407" s="209"/>
      <c r="CM407" s="1019"/>
      <c r="CN407" s="209"/>
      <c r="CO407" s="209"/>
      <c r="CP407" s="209"/>
      <c r="CQ407" s="209"/>
      <c r="CR407" s="1019"/>
      <c r="CS407" s="209"/>
      <c r="CT407" s="209"/>
      <c r="CU407" s="209"/>
      <c r="CV407" s="209"/>
      <c r="CW407" s="1019"/>
      <c r="CX407" s="209"/>
      <c r="CY407" s="2008"/>
      <c r="CZ407" s="2008"/>
      <c r="DA407" s="2008"/>
      <c r="DB407" s="2063"/>
      <c r="DC407" s="2008"/>
      <c r="DD407" s="2008"/>
      <c r="DE407" s="2008"/>
      <c r="DF407" s="2008"/>
      <c r="DG407" s="2063"/>
      <c r="DH407" s="2008"/>
      <c r="DI407" s="2008"/>
      <c r="DJ407" s="2008"/>
      <c r="DK407" s="2008"/>
      <c r="DL407" s="2063"/>
      <c r="DM407" s="2008"/>
      <c r="DN407" s="2008"/>
      <c r="DO407" s="2008"/>
      <c r="DP407" s="2008"/>
      <c r="DQ407" s="2063"/>
      <c r="DR407" s="2008"/>
      <c r="DS407" s="2008"/>
      <c r="DT407" s="2008"/>
      <c r="DU407" s="2008"/>
      <c r="DV407" s="2063"/>
      <c r="DW407" s="2008"/>
      <c r="DX407" s="2008"/>
      <c r="DY407" s="2008"/>
      <c r="DZ407" s="2008"/>
      <c r="EA407" s="2063"/>
      <c r="EB407" s="2008"/>
      <c r="EC407" s="2008"/>
      <c r="ED407" s="2008"/>
      <c r="EE407" s="2008"/>
      <c r="EF407" s="2063"/>
      <c r="EG407" s="2008"/>
      <c r="EH407" s="2008"/>
      <c r="EI407" s="2008"/>
      <c r="EJ407" s="2008"/>
      <c r="EK407" s="2063"/>
      <c r="EL407" s="2008"/>
      <c r="EM407" s="2008"/>
      <c r="EN407" s="2008"/>
      <c r="EO407" s="2008"/>
      <c r="EP407" s="2063"/>
      <c r="EQ407" s="2008"/>
      <c r="ER407" s="2008"/>
      <c r="ES407" s="2008"/>
      <c r="ET407" s="2008"/>
      <c r="EU407" s="2063"/>
      <c r="EV407" s="2063"/>
      <c r="EW407" s="2063"/>
      <c r="EX407" s="2063"/>
      <c r="EY407" s="2063"/>
      <c r="EZ407" s="209"/>
      <c r="FA407" s="715"/>
      <c r="FB407" s="715"/>
    </row>
    <row r="408" spans="1:158" s="211" customFormat="1" ht="11.25" hidden="1" customHeight="1">
      <c r="A408" s="2002" t="s">
        <v>9</v>
      </c>
      <c r="B408" s="1670"/>
      <c r="C408" s="169"/>
      <c r="D408" s="169"/>
      <c r="E408" s="169"/>
      <c r="F408" s="1768"/>
      <c r="G408" s="1670"/>
      <c r="H408" s="169"/>
      <c r="I408" s="169"/>
      <c r="J408" s="169"/>
      <c r="K408" s="1019"/>
      <c r="L408" s="209"/>
      <c r="M408" s="209"/>
      <c r="N408" s="209"/>
      <c r="O408" s="209"/>
      <c r="P408" s="1019"/>
      <c r="Q408" s="1991"/>
      <c r="R408" s="209"/>
      <c r="S408" s="209"/>
      <c r="T408" s="209"/>
      <c r="U408" s="1019"/>
      <c r="V408" s="1991"/>
      <c r="W408" s="209"/>
      <c r="X408" s="209"/>
      <c r="Y408" s="209"/>
      <c r="Z408" s="1019"/>
      <c r="AA408" s="1991"/>
      <c r="AB408" s="209"/>
      <c r="AC408" s="209"/>
      <c r="AD408" s="209"/>
      <c r="AE408" s="1019"/>
      <c r="AF408" s="1991"/>
      <c r="AG408" s="209"/>
      <c r="AH408" s="209"/>
      <c r="AI408" s="209"/>
      <c r="AJ408" s="1019"/>
      <c r="AK408" s="1991"/>
      <c r="AL408" s="209"/>
      <c r="AM408" s="209"/>
      <c r="AN408" s="209"/>
      <c r="AO408" s="1019"/>
      <c r="AP408" s="2003">
        <v>0.11901102445873879</v>
      </c>
      <c r="AQ408" s="257">
        <v>9.4408369408369497E-2</v>
      </c>
      <c r="AR408" s="257">
        <v>8.0333097094259287E-2</v>
      </c>
      <c r="AS408" s="257">
        <v>4.9499348467183513E-2</v>
      </c>
      <c r="AT408" s="1019"/>
      <c r="AU408" s="2003">
        <v>1.0648941040815485E-2</v>
      </c>
      <c r="AV408" s="257">
        <v>-1.7519860236674734E-2</v>
      </c>
      <c r="AW408" s="257">
        <v>-5.5726679755773834E-2</v>
      </c>
      <c r="AX408" s="257">
        <v>-0.23187615671319584</v>
      </c>
      <c r="AY408" s="1019"/>
      <c r="AZ408" s="2003">
        <v>-0.27771346118353724</v>
      </c>
      <c r="BA408" s="257">
        <v>-0.2404422002650517</v>
      </c>
      <c r="BB408" s="257">
        <v>-0.14294331094847512</v>
      </c>
      <c r="BC408" s="257">
        <v>3.9801484792634012E-2</v>
      </c>
      <c r="BD408" s="1019"/>
      <c r="BE408" s="2005">
        <v>0.10100118469650865</v>
      </c>
      <c r="BF408" s="241">
        <v>-6.0073324793497029E-3</v>
      </c>
      <c r="BG408" s="241">
        <v>-6.3166214080168426E-2</v>
      </c>
      <c r="BH408" s="241">
        <v>-3.2093108879298171E-2</v>
      </c>
      <c r="BI408" s="1019"/>
      <c r="BJ408" s="241">
        <v>3.1049924839733345E-2</v>
      </c>
      <c r="BK408" s="241">
        <v>9.2794090697911225E-2</v>
      </c>
      <c r="BL408" s="241">
        <v>3.785575269228425E-2</v>
      </c>
      <c r="BM408" s="241">
        <v>-6.1964400863275815E-3</v>
      </c>
      <c r="BN408" s="1019"/>
      <c r="BO408" s="209"/>
      <c r="BP408" s="209"/>
      <c r="BQ408" s="209"/>
      <c r="BR408" s="209"/>
      <c r="BS408" s="1933"/>
      <c r="BT408" s="241">
        <v>-1.9441309350281877E-2</v>
      </c>
      <c r="BU408" s="241">
        <v>-2.980864713876008E-2</v>
      </c>
      <c r="BV408" s="241">
        <v>-1.8515405661558515E-2</v>
      </c>
      <c r="BW408" s="241">
        <v>2.1587053743541862E-2</v>
      </c>
      <c r="BX408" s="1019"/>
      <c r="BY408" s="209"/>
      <c r="BZ408" s="209"/>
      <c r="CA408" s="209"/>
      <c r="CB408" s="209"/>
      <c r="CC408" s="1933"/>
      <c r="CD408" s="241">
        <v>-1.2465312917186555E-2</v>
      </c>
      <c r="CE408" s="241">
        <v>-2.9588214481506392E-2</v>
      </c>
      <c r="CF408" s="241">
        <v>-1.8258456057499206E-2</v>
      </c>
      <c r="CG408" s="241">
        <f>+FX!CG167</f>
        <v>8.4610398738766968E-3</v>
      </c>
      <c r="CH408" s="1019"/>
      <c r="CI408" s="209">
        <f>FX!CI167</f>
        <v>6.159351361145049E-2</v>
      </c>
      <c r="CJ408" s="209">
        <f>FX!CJ167</f>
        <v>9.6007604562737603E-2</v>
      </c>
      <c r="CK408" s="209">
        <f>FX!CK167</f>
        <v>7.6096651611923249E-2</v>
      </c>
      <c r="CL408" s="209">
        <f>FX!CL167</f>
        <v>-2.2629188359832741E-2</v>
      </c>
      <c r="CM408" s="1019"/>
      <c r="CN408" s="209">
        <f>FX!CN167</f>
        <v>-8.0716366284361851E-2</v>
      </c>
      <c r="CO408" s="209">
        <f>FX!CO167</f>
        <v>-8.9170414468326964E-2</v>
      </c>
      <c r="CP408" s="209">
        <f>FX!CP167</f>
        <v>-7.2029784289873611E-2</v>
      </c>
      <c r="CQ408" s="209">
        <f>FX!CQ167</f>
        <v>-4.1879128589437764E-2</v>
      </c>
      <c r="CR408" s="1019"/>
      <c r="CS408" s="209">
        <f>FX!CS167</f>
        <v>-5.4630992527371136E-2</v>
      </c>
      <c r="CT408" s="209">
        <f>FX!CT167</f>
        <v>-5.5288488070260988E-2</v>
      </c>
      <c r="CU408" s="209">
        <f>FX!CU167</f>
        <v>-0.14613562246536871</v>
      </c>
      <c r="CV408" s="209">
        <f>FX!CV167</f>
        <v>-0.17094428670477735</v>
      </c>
      <c r="CW408" s="1019">
        <f>FX!CW167</f>
        <v>-0.10683265778448436</v>
      </c>
      <c r="CX408" s="209">
        <f>FX!CX167</f>
        <v>-0.1318511563751833</v>
      </c>
      <c r="CY408" s="2008"/>
      <c r="CZ408" s="2008"/>
      <c r="DA408" s="2008"/>
      <c r="DB408" s="2063"/>
      <c r="DC408" s="2008"/>
      <c r="DD408" s="2008"/>
      <c r="DE408" s="2008"/>
      <c r="DF408" s="2008"/>
      <c r="DG408" s="2063"/>
      <c r="DH408" s="2008"/>
      <c r="DI408" s="2008"/>
      <c r="DJ408" s="2008"/>
      <c r="DK408" s="2008"/>
      <c r="DL408" s="2063"/>
      <c r="DM408" s="2008"/>
      <c r="DN408" s="2008"/>
      <c r="DO408" s="2008"/>
      <c r="DP408" s="2008"/>
      <c r="DQ408" s="2063"/>
      <c r="DR408" s="2008"/>
      <c r="DS408" s="2008"/>
      <c r="DT408" s="2008"/>
      <c r="DU408" s="2008"/>
      <c r="DV408" s="2063"/>
      <c r="DW408" s="2008"/>
      <c r="DX408" s="2008"/>
      <c r="DY408" s="2008"/>
      <c r="DZ408" s="2008"/>
      <c r="EA408" s="2063"/>
      <c r="EB408" s="2008"/>
      <c r="EC408" s="2008"/>
      <c r="ED408" s="2008"/>
      <c r="EE408" s="2008"/>
      <c r="EF408" s="2063"/>
      <c r="EG408" s="2008"/>
      <c r="EH408" s="2008"/>
      <c r="EI408" s="2008"/>
      <c r="EJ408" s="2008"/>
      <c r="EK408" s="2063"/>
      <c r="EL408" s="2008"/>
      <c r="EM408" s="2008"/>
      <c r="EN408" s="2008"/>
      <c r="EO408" s="2008"/>
      <c r="EP408" s="2063"/>
      <c r="EQ408" s="2008"/>
      <c r="ER408" s="2008"/>
      <c r="ES408" s="2008"/>
      <c r="ET408" s="2008"/>
      <c r="EU408" s="2063"/>
      <c r="EV408" s="2063"/>
      <c r="EW408" s="2063"/>
      <c r="EX408" s="2063"/>
      <c r="EY408" s="2063"/>
      <c r="EZ408" s="209"/>
      <c r="FA408" s="715"/>
      <c r="FB408" s="715"/>
    </row>
    <row r="409" spans="1:158" s="211" customFormat="1" ht="11.25" hidden="1" customHeight="1">
      <c r="A409" s="2002"/>
      <c r="B409" s="1670"/>
      <c r="C409" s="169"/>
      <c r="D409" s="169"/>
      <c r="E409" s="169"/>
      <c r="F409" s="1768"/>
      <c r="G409" s="1670"/>
      <c r="H409" s="169"/>
      <c r="I409" s="169"/>
      <c r="J409" s="169"/>
      <c r="K409" s="1019"/>
      <c r="L409" s="209"/>
      <c r="M409" s="209"/>
      <c r="N409" s="209"/>
      <c r="O409" s="209"/>
      <c r="P409" s="1019"/>
      <c r="Q409" s="1991"/>
      <c r="R409" s="209"/>
      <c r="S409" s="209"/>
      <c r="T409" s="209"/>
      <c r="U409" s="1019"/>
      <c r="V409" s="1991"/>
      <c r="W409" s="209"/>
      <c r="X409" s="209"/>
      <c r="Y409" s="209"/>
      <c r="Z409" s="1019"/>
      <c r="AA409" s="1991"/>
      <c r="AB409" s="209"/>
      <c r="AC409" s="209"/>
      <c r="AD409" s="209"/>
      <c r="AE409" s="1019"/>
      <c r="AF409" s="1991"/>
      <c r="AG409" s="209"/>
      <c r="AH409" s="209"/>
      <c r="AI409" s="209"/>
      <c r="AJ409" s="1019"/>
      <c r="AK409" s="1991"/>
      <c r="AL409" s="209"/>
      <c r="AM409" s="209"/>
      <c r="AN409" s="209"/>
      <c r="AO409" s="1019"/>
      <c r="AP409" s="2003"/>
      <c r="AQ409" s="257"/>
      <c r="AR409" s="257"/>
      <c r="AS409" s="257"/>
      <c r="AT409" s="1019"/>
      <c r="AU409" s="2003"/>
      <c r="AV409" s="257"/>
      <c r="AW409" s="257"/>
      <c r="AX409" s="257"/>
      <c r="AY409" s="1019"/>
      <c r="AZ409" s="2004"/>
      <c r="BA409" s="258"/>
      <c r="BB409" s="258"/>
      <c r="BC409" s="258"/>
      <c r="BD409" s="1019"/>
      <c r="BE409" s="2005"/>
      <c r="BF409" s="241"/>
      <c r="BG409" s="241"/>
      <c r="BH409" s="241"/>
      <c r="BI409" s="1019"/>
      <c r="BJ409" s="2005"/>
      <c r="BK409" s="258"/>
      <c r="BL409" s="258"/>
      <c r="BM409" s="258"/>
      <c r="BN409" s="1019"/>
      <c r="BO409" s="209"/>
      <c r="BP409" s="209"/>
      <c r="BQ409" s="209"/>
      <c r="BR409" s="209"/>
      <c r="BS409" s="1933"/>
      <c r="BT409" s="258"/>
      <c r="BU409" s="258"/>
      <c r="BV409" s="258"/>
      <c r="BW409" s="258"/>
      <c r="BX409" s="1019"/>
      <c r="BY409" s="209"/>
      <c r="BZ409" s="209"/>
      <c r="CA409" s="209"/>
      <c r="CB409" s="209"/>
      <c r="CC409" s="1933"/>
      <c r="CD409" s="209"/>
      <c r="CE409" s="209"/>
      <c r="CF409" s="209"/>
      <c r="CG409" s="258"/>
      <c r="CH409" s="1019"/>
      <c r="CI409" s="209"/>
      <c r="CJ409" s="209"/>
      <c r="CK409" s="209"/>
      <c r="CL409" s="209"/>
      <c r="CM409" s="1019"/>
      <c r="CN409" s="209"/>
      <c r="CO409" s="209"/>
      <c r="CP409" s="209"/>
      <c r="CQ409" s="209"/>
      <c r="CR409" s="1019"/>
      <c r="CS409" s="209"/>
      <c r="CT409" s="209"/>
      <c r="CU409" s="209"/>
      <c r="CV409" s="209"/>
      <c r="CW409" s="1019"/>
      <c r="CX409" s="209"/>
      <c r="CY409" s="2008"/>
      <c r="CZ409" s="2008"/>
      <c r="DA409" s="2008"/>
      <c r="DB409" s="2009"/>
      <c r="DC409" s="2008"/>
      <c r="DD409" s="2008"/>
      <c r="DE409" s="2008"/>
      <c r="DF409" s="2008"/>
      <c r="DG409" s="2009"/>
      <c r="DH409" s="2008"/>
      <c r="DI409" s="2008"/>
      <c r="DJ409" s="2008"/>
      <c r="DK409" s="2008"/>
      <c r="DL409" s="2009"/>
      <c r="DM409" s="2008"/>
      <c r="DN409" s="2008"/>
      <c r="DO409" s="2008"/>
      <c r="DP409" s="2008"/>
      <c r="DQ409" s="2009"/>
      <c r="DR409" s="2008"/>
      <c r="DS409" s="2008"/>
      <c r="DT409" s="2008"/>
      <c r="DU409" s="2008"/>
      <c r="DV409" s="2009"/>
      <c r="DW409" s="2008"/>
      <c r="DX409" s="2008"/>
      <c r="DY409" s="2008"/>
      <c r="DZ409" s="2008"/>
      <c r="EA409" s="2009"/>
      <c r="EB409" s="2008"/>
      <c r="EC409" s="2008"/>
      <c r="ED409" s="2008"/>
      <c r="EE409" s="2008"/>
      <c r="EF409" s="2009"/>
      <c r="EG409" s="2008"/>
      <c r="EH409" s="2008"/>
      <c r="EI409" s="2008"/>
      <c r="EJ409" s="2008"/>
      <c r="EK409" s="2009"/>
      <c r="EL409" s="2008"/>
      <c r="EM409" s="2008"/>
      <c r="EN409" s="2008"/>
      <c r="EO409" s="2008"/>
      <c r="EP409" s="2009"/>
      <c r="EQ409" s="2008"/>
      <c r="ER409" s="2008"/>
      <c r="ES409" s="2008"/>
      <c r="ET409" s="2008"/>
      <c r="EU409" s="2009"/>
      <c r="EV409" s="2009"/>
      <c r="EW409" s="2009"/>
      <c r="EX409" s="2009"/>
      <c r="EY409" s="2009"/>
      <c r="EZ409" s="209"/>
      <c r="FA409" s="715"/>
      <c r="FB409" s="715"/>
    </row>
    <row r="410" spans="1:158" s="259" customFormat="1" ht="11.25" hidden="1" customHeight="1">
      <c r="A410" s="1990" t="s">
        <v>298</v>
      </c>
      <c r="B410" s="2064"/>
      <c r="C410" s="227"/>
      <c r="D410" s="227"/>
      <c r="E410" s="227"/>
      <c r="F410" s="2065"/>
      <c r="G410" s="2064"/>
      <c r="H410" s="227"/>
      <c r="I410" s="227"/>
      <c r="J410" s="227"/>
      <c r="K410" s="1046"/>
      <c r="L410" s="217"/>
      <c r="M410" s="217"/>
      <c r="N410" s="217"/>
      <c r="O410" s="217"/>
      <c r="P410" s="1046"/>
      <c r="Q410" s="2066"/>
      <c r="R410" s="217"/>
      <c r="S410" s="217"/>
      <c r="T410" s="217"/>
      <c r="U410" s="1046"/>
      <c r="V410" s="2066"/>
      <c r="W410" s="217"/>
      <c r="X410" s="217"/>
      <c r="Y410" s="217"/>
      <c r="Z410" s="1046"/>
      <c r="AA410" s="2066"/>
      <c r="AB410" s="217"/>
      <c r="AC410" s="217"/>
      <c r="AD410" s="217"/>
      <c r="AE410" s="1046"/>
      <c r="AF410" s="2066"/>
      <c r="AG410" s="217"/>
      <c r="AH410" s="217"/>
      <c r="AI410" s="217"/>
      <c r="AJ410" s="1046"/>
      <c r="AK410" s="2066"/>
      <c r="AL410" s="217"/>
      <c r="AM410" s="217"/>
      <c r="AN410" s="217"/>
      <c r="AO410" s="1046"/>
      <c r="AP410" s="1677">
        <f>AP404-AP411</f>
        <v>537.55011971309852</v>
      </c>
      <c r="AQ410" s="251">
        <f>AQ404-AQ411</f>
        <v>564.5923441558441</v>
      </c>
      <c r="AR410" s="251">
        <f>AR404-AR411</f>
        <v>627.07526647767543</v>
      </c>
      <c r="AS410" s="251">
        <f>AS404-AS411</f>
        <v>668.83655524312451</v>
      </c>
      <c r="AT410" s="1025">
        <f>SUM(AP410:AS410)</f>
        <v>2398.0542855897429</v>
      </c>
      <c r="AU410" s="1677">
        <f>AU404-AU411</f>
        <v>796.81408910857499</v>
      </c>
      <c r="AV410" s="251">
        <f>AV404-AV411</f>
        <v>784.46140148992981</v>
      </c>
      <c r="AW410" s="251">
        <f>AW404-AW411</f>
        <v>812.99622694544257</v>
      </c>
      <c r="AX410" s="251">
        <f>AX404-AX411</f>
        <v>845.86156110176273</v>
      </c>
      <c r="AY410" s="1025">
        <f>SUM(AU410:AX410)</f>
        <v>3240.1332786457101</v>
      </c>
      <c r="AZ410" s="1677">
        <f>AZ404-AZ411</f>
        <v>956.40441106692845</v>
      </c>
      <c r="BA410" s="251">
        <f>BA404-BA411</f>
        <v>901.09216443273885</v>
      </c>
      <c r="BB410" s="251">
        <f>BB404-BB411</f>
        <v>876.07888022576844</v>
      </c>
      <c r="BC410" s="251">
        <f>BC404-BC411</f>
        <v>779.49999999999989</v>
      </c>
      <c r="BD410" s="1025">
        <f>SUM(AZ410:BC410)</f>
        <v>3513.0754557254359</v>
      </c>
      <c r="BE410" s="1677">
        <f>BE404-BE411</f>
        <v>770</v>
      </c>
      <c r="BF410" s="251">
        <f>BF404-BF411</f>
        <v>775</v>
      </c>
      <c r="BG410" s="251">
        <f>BG404-BG411</f>
        <v>890</v>
      </c>
      <c r="BH410" s="251">
        <f>BH404-BH411</f>
        <v>904</v>
      </c>
      <c r="BI410" s="1025">
        <f>SUM(BE410:BH410)</f>
        <v>3339</v>
      </c>
      <c r="BJ410" s="1677">
        <f>BJ404-BJ411</f>
        <v>969</v>
      </c>
      <c r="BK410" s="251">
        <f>BK404-BK411</f>
        <v>895</v>
      </c>
      <c r="BL410" s="251">
        <f>BL404-BL411</f>
        <v>991</v>
      </c>
      <c r="BM410" s="251">
        <f>BM404-BM411</f>
        <v>1066</v>
      </c>
      <c r="BN410" s="1025">
        <f>SUM(BJ410:BM410)</f>
        <v>3921</v>
      </c>
      <c r="BO410" s="251"/>
      <c r="BP410" s="251"/>
      <c r="BQ410" s="251"/>
      <c r="BR410" s="251"/>
      <c r="BS410" s="1678"/>
      <c r="BT410" s="251">
        <f>BT404-BT411</f>
        <v>1157</v>
      </c>
      <c r="BU410" s="251">
        <f>BU404-BU411</f>
        <v>1205</v>
      </c>
      <c r="BV410" s="251">
        <f>BV404-BV411</f>
        <v>1263</v>
      </c>
      <c r="BW410" s="251">
        <f>BW404-BW411</f>
        <v>1278</v>
      </c>
      <c r="BX410" s="1025">
        <f>SUM(BT410:BW410)</f>
        <v>4903</v>
      </c>
      <c r="BY410" s="251"/>
      <c r="BZ410" s="251"/>
      <c r="CA410" s="251"/>
      <c r="CB410" s="251"/>
      <c r="CC410" s="1678"/>
      <c r="CD410" s="251">
        <f>CD404-CD411</f>
        <v>1392</v>
      </c>
      <c r="CE410" s="251">
        <f>CE404-CE411</f>
        <v>1369</v>
      </c>
      <c r="CF410" s="251">
        <f>CF404-CF411</f>
        <v>1408</v>
      </c>
      <c r="CG410" s="251">
        <f>CG404-CG411</f>
        <v>1498</v>
      </c>
      <c r="CH410" s="1025">
        <f>SUM(CD410:CG410)</f>
        <v>5667</v>
      </c>
      <c r="CI410" s="251">
        <f>CI404-CI411</f>
        <v>1512</v>
      </c>
      <c r="CJ410" s="251">
        <f>CJ404-CJ411</f>
        <v>1492</v>
      </c>
      <c r="CK410" s="251">
        <f>CK404-CK411</f>
        <v>1506</v>
      </c>
      <c r="CL410" s="251">
        <f>CL404-CL411</f>
        <v>1669</v>
      </c>
      <c r="CM410" s="1025">
        <f>SUM(CI410:CL410)</f>
        <v>6179</v>
      </c>
      <c r="CN410" s="251">
        <f>CN404-CN411</f>
        <v>1791</v>
      </c>
      <c r="CO410" s="251">
        <f>CO404-CO411</f>
        <v>1845</v>
      </c>
      <c r="CP410" s="251">
        <f>CP404-CP411</f>
        <v>1937</v>
      </c>
      <c r="CQ410" s="251">
        <f>CQ404-CQ411</f>
        <v>2032</v>
      </c>
      <c r="CR410" s="1025">
        <f>SUM(CN410:CQ410)</f>
        <v>7605</v>
      </c>
      <c r="CS410" s="251">
        <f>CS404-CS411</f>
        <v>2050</v>
      </c>
      <c r="CT410" s="251">
        <f>CT404-CT411</f>
        <v>1985</v>
      </c>
      <c r="CU410" s="251">
        <f>CU404-CU411</f>
        <v>2167</v>
      </c>
      <c r="CV410" s="251">
        <f>CV404-CV411</f>
        <v>2411</v>
      </c>
      <c r="CW410" s="1025">
        <f>SUM(CS410:CV410)</f>
        <v>8613</v>
      </c>
      <c r="CX410" s="251">
        <f>CX404-CX411</f>
        <v>2277</v>
      </c>
      <c r="CY410" s="1153"/>
      <c r="CZ410" s="1153"/>
      <c r="DA410" s="1153"/>
      <c r="DB410" s="1961"/>
      <c r="DC410" s="2661"/>
      <c r="DD410" s="2661"/>
      <c r="DE410" s="2661"/>
      <c r="DF410" s="2661"/>
      <c r="DG410" s="1961"/>
      <c r="DH410" s="2661"/>
      <c r="DI410" s="2661"/>
      <c r="DJ410" s="2661"/>
      <c r="DK410" s="2661"/>
      <c r="DL410" s="1961"/>
      <c r="DM410" s="2661"/>
      <c r="DN410" s="2661"/>
      <c r="DO410" s="2661"/>
      <c r="DP410" s="2661"/>
      <c r="DQ410" s="1961"/>
      <c r="DR410" s="2661"/>
      <c r="DS410" s="2661"/>
      <c r="DT410" s="2661"/>
      <c r="DU410" s="2661"/>
      <c r="DV410" s="1961"/>
      <c r="DW410" s="2661"/>
      <c r="DX410" s="2661"/>
      <c r="DY410" s="2661"/>
      <c r="DZ410" s="2661"/>
      <c r="EA410" s="1961"/>
      <c r="EB410" s="2661"/>
      <c r="EC410" s="2661"/>
      <c r="ED410" s="2661"/>
      <c r="EE410" s="2661"/>
      <c r="EF410" s="1961"/>
      <c r="EG410" s="2661"/>
      <c r="EH410" s="2661"/>
      <c r="EI410" s="2661"/>
      <c r="EJ410" s="2661"/>
      <c r="EK410" s="1961"/>
      <c r="EL410" s="2661"/>
      <c r="EM410" s="2661"/>
      <c r="EN410" s="2661"/>
      <c r="EO410" s="2661"/>
      <c r="EP410" s="1961"/>
      <c r="EQ410" s="2661"/>
      <c r="ER410" s="2661"/>
      <c r="ES410" s="2661"/>
      <c r="ET410" s="2661"/>
      <c r="EU410" s="1961"/>
      <c r="EV410" s="1961"/>
      <c r="EW410" s="1961"/>
      <c r="EX410" s="1961"/>
      <c r="EY410" s="1961"/>
      <c r="EZ410" s="217"/>
      <c r="FA410" s="715"/>
      <c r="FB410" s="715"/>
    </row>
    <row r="411" spans="1:158" s="211" customFormat="1" ht="11.25" hidden="1" customHeight="1">
      <c r="A411" s="2067" t="s">
        <v>26</v>
      </c>
      <c r="B411" s="1670"/>
      <c r="C411" s="169"/>
      <c r="D411" s="169"/>
      <c r="E411" s="169"/>
      <c r="F411" s="1768"/>
      <c r="G411" s="1670"/>
      <c r="H411" s="169"/>
      <c r="I411" s="169"/>
      <c r="J411" s="169"/>
      <c r="K411" s="1019"/>
      <c r="L411" s="209"/>
      <c r="M411" s="209"/>
      <c r="N411" s="209"/>
      <c r="O411" s="209"/>
      <c r="P411" s="1019"/>
      <c r="Q411" s="1991"/>
      <c r="R411" s="209"/>
      <c r="S411" s="209"/>
      <c r="T411" s="209"/>
      <c r="U411" s="1019"/>
      <c r="V411" s="1991"/>
      <c r="W411" s="209"/>
      <c r="X411" s="209"/>
      <c r="Y411" s="209"/>
      <c r="Z411" s="1019"/>
      <c r="AA411" s="1991"/>
      <c r="AB411" s="209"/>
      <c r="AC411" s="209"/>
      <c r="AD411" s="209"/>
      <c r="AE411" s="1019"/>
      <c r="AF411" s="1991"/>
      <c r="AG411" s="209"/>
      <c r="AH411" s="209"/>
      <c r="AI411" s="209"/>
      <c r="AJ411" s="1019"/>
      <c r="AK411" s="1991"/>
      <c r="AL411" s="209"/>
      <c r="AM411" s="209"/>
      <c r="AN411" s="209"/>
      <c r="AO411" s="1019"/>
      <c r="AP411" s="1987">
        <f>AK404*AP408</f>
        <v>40.808880286901527</v>
      </c>
      <c r="AQ411" s="51">
        <f>AL404*AQ408</f>
        <v>34.921655844155872</v>
      </c>
      <c r="AR411" s="51">
        <f>AM404*AR408</f>
        <v>33.94073352232455</v>
      </c>
      <c r="AS411" s="51">
        <f>AN404*AS408</f>
        <v>23.190444756875475</v>
      </c>
      <c r="AT411" s="1932">
        <f>SUM(AP411:AS411)</f>
        <v>132.86171441025741</v>
      </c>
      <c r="AU411" s="1987">
        <f>AP404*AU408</f>
        <v>6.1589108914250037</v>
      </c>
      <c r="AV411" s="51">
        <f>AQ404*AV408</f>
        <v>-10.503401489929816</v>
      </c>
      <c r="AW411" s="51">
        <f>AR404*AW408</f>
        <v>-36.836226945442597</v>
      </c>
      <c r="AX411" s="51">
        <f>AS404*AX408</f>
        <v>-160.46456110176277</v>
      </c>
      <c r="AY411" s="1006">
        <f>SUM(AU411:AX411)</f>
        <v>-201.64527864571016</v>
      </c>
      <c r="AZ411" s="1987">
        <f>AU404*AZ408</f>
        <v>-222.99641106692843</v>
      </c>
      <c r="BA411" s="51">
        <f>AV404*BA408</f>
        <v>-186.09216443273888</v>
      </c>
      <c r="BB411" s="51">
        <f>AW404*BB408</f>
        <v>-110.94688022576845</v>
      </c>
      <c r="BC411" s="250">
        <v>-7</v>
      </c>
      <c r="BD411" s="1006">
        <f>SUM(AZ411:BC411)</f>
        <v>-527.03545572543578</v>
      </c>
      <c r="BE411" s="1989">
        <v>72</v>
      </c>
      <c r="BF411" s="53">
        <v>-5</v>
      </c>
      <c r="BG411" s="53">
        <v>-50</v>
      </c>
      <c r="BH411" s="53">
        <v>-26</v>
      </c>
      <c r="BI411" s="1006">
        <f>SUM(BE411:BH411)</f>
        <v>-9</v>
      </c>
      <c r="BJ411" s="1989">
        <v>0</v>
      </c>
      <c r="BK411" s="53">
        <v>81</v>
      </c>
      <c r="BL411" s="53">
        <v>56</v>
      </c>
      <c r="BM411" s="53">
        <v>-2</v>
      </c>
      <c r="BN411" s="1006">
        <f>SUM(BJ411:BM411)</f>
        <v>135</v>
      </c>
      <c r="BO411" s="51"/>
      <c r="BP411" s="51"/>
      <c r="BQ411" s="51"/>
      <c r="BR411" s="51"/>
      <c r="BS411" s="1932"/>
      <c r="BT411" s="53">
        <v>-7</v>
      </c>
      <c r="BU411" s="53">
        <v>-30</v>
      </c>
      <c r="BV411" s="53">
        <v>-47</v>
      </c>
      <c r="BW411" s="53">
        <v>27</v>
      </c>
      <c r="BX411" s="1006">
        <f>SUM(BT411:BW411)</f>
        <v>-57</v>
      </c>
      <c r="BY411" s="51"/>
      <c r="BZ411" s="51"/>
      <c r="CA411" s="51"/>
      <c r="CB411" s="51"/>
      <c r="CC411" s="1932"/>
      <c r="CD411" s="53">
        <v>-5</v>
      </c>
      <c r="CE411" s="53">
        <v>-48</v>
      </c>
      <c r="CF411" s="53">
        <v>-19</v>
      </c>
      <c r="CG411" s="53">
        <v>5</v>
      </c>
      <c r="CH411" s="1006">
        <f>SUM(CD411:CG411)</f>
        <v>-67</v>
      </c>
      <c r="CI411" s="53">
        <v>71</v>
      </c>
      <c r="CJ411" s="53">
        <v>124</v>
      </c>
      <c r="CK411" s="53">
        <v>121</v>
      </c>
      <c r="CL411" s="53">
        <v>-12</v>
      </c>
      <c r="CM411" s="1006">
        <f>SUM(CI411:CL411)</f>
        <v>304</v>
      </c>
      <c r="CN411" s="53">
        <v>-116</v>
      </c>
      <c r="CO411" s="53">
        <v>-167</v>
      </c>
      <c r="CP411" s="53">
        <v>-145</v>
      </c>
      <c r="CQ411" s="53">
        <v>-110</v>
      </c>
      <c r="CR411" s="1006">
        <f>SUM(CN411:CQ411)</f>
        <v>-538</v>
      </c>
      <c r="CS411" s="250">
        <f>-129</f>
        <v>-129</v>
      </c>
      <c r="CT411" s="53">
        <f>-71</f>
        <v>-71</v>
      </c>
      <c r="CU411" s="53">
        <v>-277</v>
      </c>
      <c r="CV411" s="53">
        <f>-349</f>
        <v>-349</v>
      </c>
      <c r="CW411" s="1006">
        <f>SUM(CS411:CV411)</f>
        <v>-826</v>
      </c>
      <c r="CX411" s="53">
        <f>-252</f>
        <v>-252</v>
      </c>
      <c r="CY411" s="2010"/>
      <c r="CZ411" s="2010"/>
      <c r="DA411" s="2010"/>
      <c r="DB411" s="2068"/>
      <c r="DC411" s="2671"/>
      <c r="DD411" s="2671"/>
      <c r="DE411" s="2671"/>
      <c r="DF411" s="2671"/>
      <c r="DG411" s="2068"/>
      <c r="DH411" s="2671"/>
      <c r="DI411" s="2671"/>
      <c r="DJ411" s="2671"/>
      <c r="DK411" s="2671"/>
      <c r="DL411" s="2068"/>
      <c r="DM411" s="2671"/>
      <c r="DN411" s="2671"/>
      <c r="DO411" s="2671"/>
      <c r="DP411" s="2671"/>
      <c r="DQ411" s="2068"/>
      <c r="DR411" s="2671"/>
      <c r="DS411" s="2671"/>
      <c r="DT411" s="2671"/>
      <c r="DU411" s="2671"/>
      <c r="DV411" s="2068"/>
      <c r="DW411" s="2671"/>
      <c r="DX411" s="2671"/>
      <c r="DY411" s="2671"/>
      <c r="DZ411" s="2671"/>
      <c r="EA411" s="2068"/>
      <c r="EB411" s="2671"/>
      <c r="EC411" s="2671"/>
      <c r="ED411" s="2671"/>
      <c r="EE411" s="2671"/>
      <c r="EF411" s="2068"/>
      <c r="EG411" s="2671"/>
      <c r="EH411" s="2671"/>
      <c r="EI411" s="2671"/>
      <c r="EJ411" s="2671"/>
      <c r="EK411" s="2068"/>
      <c r="EL411" s="2671"/>
      <c r="EM411" s="2671"/>
      <c r="EN411" s="2671"/>
      <c r="EO411" s="2671"/>
      <c r="EP411" s="2068"/>
      <c r="EQ411" s="2671"/>
      <c r="ER411" s="2671"/>
      <c r="ES411" s="2671"/>
      <c r="ET411" s="2671"/>
      <c r="EU411" s="2068"/>
      <c r="EV411" s="2068"/>
      <c r="EW411" s="2068"/>
      <c r="EX411" s="2068"/>
      <c r="EY411" s="2068"/>
      <c r="EZ411" s="209"/>
      <c r="FA411" s="715"/>
      <c r="FB411" s="715"/>
    </row>
    <row r="412" spans="1:158" s="239" customFormat="1" ht="11.25" hidden="1" customHeight="1">
      <c r="A412" s="1554" t="s">
        <v>19</v>
      </c>
      <c r="B412" s="1670"/>
      <c r="C412" s="169"/>
      <c r="D412" s="169"/>
      <c r="E412" s="169"/>
      <c r="F412" s="2069"/>
      <c r="G412" s="1670"/>
      <c r="H412" s="169"/>
      <c r="I412" s="169"/>
      <c r="J412" s="169"/>
      <c r="K412" s="1020"/>
      <c r="L412" s="223"/>
      <c r="M412" s="223"/>
      <c r="N412" s="223"/>
      <c r="O412" s="223"/>
      <c r="P412" s="1020"/>
      <c r="Q412" s="1984"/>
      <c r="R412" s="223"/>
      <c r="S412" s="223"/>
      <c r="T412" s="223"/>
      <c r="U412" s="1020"/>
      <c r="V412" s="1984"/>
      <c r="W412" s="223"/>
      <c r="X412" s="223"/>
      <c r="Y412" s="223"/>
      <c r="Z412" s="1020"/>
      <c r="AA412" s="1984"/>
      <c r="AB412" s="223"/>
      <c r="AC412" s="223"/>
      <c r="AD412" s="223"/>
      <c r="AE412" s="1020"/>
      <c r="AF412" s="1984"/>
      <c r="AG412" s="223"/>
      <c r="AH412" s="223"/>
      <c r="AI412" s="223"/>
      <c r="AJ412" s="1020"/>
      <c r="AK412" s="1984"/>
      <c r="AL412" s="223"/>
      <c r="AM412" s="223"/>
      <c r="AN412" s="223"/>
      <c r="AO412" s="1020"/>
      <c r="AP412" s="1670">
        <f>AP410/AK404-1</f>
        <v>0.56765855851005709</v>
      </c>
      <c r="AQ412" s="169">
        <f>AQ410/AL404-1</f>
        <v>0.52633777819909211</v>
      </c>
      <c r="AR412" s="169">
        <f>AR410/AM404-1</f>
        <v>0.48420181414834418</v>
      </c>
      <c r="AS412" s="169">
        <f>AS410/AN404-1</f>
        <v>0.42761271129802458</v>
      </c>
      <c r="AT412" s="1045">
        <f>(AT404-AT411)/AO404-1</f>
        <v>0.49523275071065154</v>
      </c>
      <c r="AU412" s="1670">
        <f>AU410/AP404-1</f>
        <v>0.37771537938992039</v>
      </c>
      <c r="AV412" s="169">
        <f>AV410/AQ404-1</f>
        <v>0.30849555054582511</v>
      </c>
      <c r="AW412" s="169">
        <f>AW410/AR404-1</f>
        <v>0.22991913500647887</v>
      </c>
      <c r="AX412" s="169">
        <f>AX410/AS404-1</f>
        <v>0.22229560566533224</v>
      </c>
      <c r="AY412" s="1045">
        <f>(AY404-AY411)/AT404-1</f>
        <v>0.28022157931978375</v>
      </c>
      <c r="AZ412" s="1670">
        <f>AZ410/AU404-1</f>
        <v>0.19107916588344631</v>
      </c>
      <c r="BA412" s="169">
        <f>BA410/AV404-1</f>
        <v>0.16426494000028291</v>
      </c>
      <c r="BB412" s="169">
        <f>BB410/AW404-1</f>
        <v>0.12873490031149304</v>
      </c>
      <c r="BC412" s="169">
        <f>BC410/AX404-1</f>
        <v>0.13729707016517434</v>
      </c>
      <c r="BD412" s="1045">
        <f>(BD404-BD411)/AY404-1</f>
        <v>0.15619197960480213</v>
      </c>
      <c r="BE412" s="1670">
        <f>BE410/AZ404-1</f>
        <v>4.9893101793271999E-2</v>
      </c>
      <c r="BF412" s="169">
        <f>BF410/BA404-1</f>
        <v>8.3916083916083961E-2</v>
      </c>
      <c r="BG412" s="169">
        <f>BG410/BB404-1</f>
        <v>0.16319798413868458</v>
      </c>
      <c r="BH412" s="169">
        <f>BH410/BC404-1</f>
        <v>0.17022653721682857</v>
      </c>
      <c r="BI412" s="1045">
        <f>(BI404-BI411)/BD404-1</f>
        <v>0.11820337302916228</v>
      </c>
      <c r="BJ412" s="1670">
        <f>BJ410/BE404-1</f>
        <v>0.15083135391923985</v>
      </c>
      <c r="BK412" s="169">
        <f>BK410/BF404-1</f>
        <v>0.16233766233766245</v>
      </c>
      <c r="BL412" s="169">
        <f>BL410/BG404-1</f>
        <v>0.17976190476190479</v>
      </c>
      <c r="BM412" s="169">
        <f>BM410/BH404-1</f>
        <v>0.21412300683371299</v>
      </c>
      <c r="BN412" s="1045">
        <f>(BN404-BN411)/BI404-1</f>
        <v>0.17747747747747744</v>
      </c>
      <c r="BO412" s="253"/>
      <c r="BP412" s="253"/>
      <c r="BQ412" s="253"/>
      <c r="BR412" s="253"/>
      <c r="BS412" s="1929"/>
      <c r="BT412" s="169">
        <f>BT410/BJ404-1</f>
        <v>0.19401444788441702</v>
      </c>
      <c r="BU412" s="169">
        <f>BU410/BK404-1</f>
        <v>0.23463114754098369</v>
      </c>
      <c r="BV412" s="169">
        <f>BV410/BL404-1</f>
        <v>0.20630372492836679</v>
      </c>
      <c r="BW412" s="169">
        <f>BW410/BM404-1</f>
        <v>0.20112781954887216</v>
      </c>
      <c r="BX412" s="1045">
        <f>(BX404-BX411)/BN404-1</f>
        <v>0.20882642998027623</v>
      </c>
      <c r="BY412" s="253"/>
      <c r="BZ412" s="253"/>
      <c r="CA412" s="253"/>
      <c r="CB412" s="253"/>
      <c r="CC412" s="1929"/>
      <c r="CD412" s="169">
        <f>CD410/BT404-1</f>
        <v>0.21043478260869564</v>
      </c>
      <c r="CE412" s="169">
        <f>CE410/BU404-1</f>
        <v>0.16510638297872338</v>
      </c>
      <c r="CF412" s="169">
        <f>CF410/BV404-1</f>
        <v>0.15789473684210531</v>
      </c>
      <c r="CG412" s="169">
        <f>CG410/BW404-1</f>
        <v>0.14789272030651346</v>
      </c>
      <c r="CH412" s="1045">
        <f>(CH404-CH411)/BX404-1</f>
        <v>0.16941807676434162</v>
      </c>
      <c r="CI412" s="169">
        <f>CI410/CD404-1</f>
        <v>9.0122566690699291E-2</v>
      </c>
      <c r="CJ412" s="169">
        <f>CJ410/CE404-1</f>
        <v>0.12944738834216496</v>
      </c>
      <c r="CK412" s="169">
        <f>CK410/CF404-1</f>
        <v>8.4233261339092813E-2</v>
      </c>
      <c r="CL412" s="169">
        <f>CL410/CG404-1</f>
        <v>0.11044577511643383</v>
      </c>
      <c r="CM412" s="1045">
        <f>(CM404-CM411)/CH404-1</f>
        <v>0.10339285714285706</v>
      </c>
      <c r="CN412" s="169">
        <f>CN410/CI404-1</f>
        <v>0.13139608338597597</v>
      </c>
      <c r="CO412" s="169">
        <f>CO410/CJ404-1</f>
        <v>0.14170792079207928</v>
      </c>
      <c r="CP412" s="169">
        <f>CP410/CK404-1</f>
        <v>0.19053472649047332</v>
      </c>
      <c r="CQ412" s="169">
        <f>CQ410/CL404-1</f>
        <v>0.22631261315630669</v>
      </c>
      <c r="CR412" s="1045">
        <f>(CR404-CR411)/CM404-1</f>
        <v>0.17306802406293387</v>
      </c>
      <c r="CS412" s="169">
        <f>CS410/CN404-1</f>
        <v>0.22388059701492535</v>
      </c>
      <c r="CT412" s="169">
        <f>CT410/CO404-1</f>
        <v>0.18295589988081051</v>
      </c>
      <c r="CU412" s="169">
        <f>CU410/CP404-1</f>
        <v>0.20926339285714279</v>
      </c>
      <c r="CV412" s="169">
        <f>CV410/CQ404-1</f>
        <v>0.25442247658688877</v>
      </c>
      <c r="CW412" s="1045">
        <f>(CW404-CW411)/CR404-1</f>
        <v>0.21876326588368467</v>
      </c>
      <c r="CX412" s="169">
        <f>CX410/CS404-1</f>
        <v>0.18532014575741806</v>
      </c>
      <c r="CY412" s="1135"/>
      <c r="CZ412" s="1135"/>
      <c r="DA412" s="1135"/>
      <c r="DB412" s="2070"/>
      <c r="DC412" s="2660"/>
      <c r="DD412" s="2660"/>
      <c r="DE412" s="2660"/>
      <c r="DF412" s="2660"/>
      <c r="DG412" s="2070"/>
      <c r="DH412" s="2660"/>
      <c r="DI412" s="2660"/>
      <c r="DJ412" s="2660"/>
      <c r="DK412" s="2660"/>
      <c r="DL412" s="2070"/>
      <c r="DM412" s="2660"/>
      <c r="DN412" s="2660"/>
      <c r="DO412" s="2660"/>
      <c r="DP412" s="2660"/>
      <c r="DQ412" s="2070"/>
      <c r="DR412" s="2660"/>
      <c r="DS412" s="2660"/>
      <c r="DT412" s="2660"/>
      <c r="DU412" s="2660"/>
      <c r="DV412" s="2070"/>
      <c r="DW412" s="2660"/>
      <c r="DX412" s="2660"/>
      <c r="DY412" s="2660"/>
      <c r="DZ412" s="2660"/>
      <c r="EA412" s="2070"/>
      <c r="EB412" s="2660"/>
      <c r="EC412" s="2660"/>
      <c r="ED412" s="2660"/>
      <c r="EE412" s="2660"/>
      <c r="EF412" s="2070"/>
      <c r="EG412" s="2660"/>
      <c r="EH412" s="2660"/>
      <c r="EI412" s="2660"/>
      <c r="EJ412" s="2660"/>
      <c r="EK412" s="2070"/>
      <c r="EL412" s="2660"/>
      <c r="EM412" s="2660"/>
      <c r="EN412" s="2660"/>
      <c r="EO412" s="2660"/>
      <c r="EP412" s="2070"/>
      <c r="EQ412" s="2660"/>
      <c r="ER412" s="2660"/>
      <c r="ES412" s="2660"/>
      <c r="ET412" s="2660"/>
      <c r="EU412" s="2070"/>
      <c r="EV412" s="2070"/>
      <c r="EW412" s="2070"/>
      <c r="EX412" s="2070"/>
      <c r="EY412" s="2070"/>
      <c r="EZ412" s="223"/>
      <c r="FA412" s="715"/>
      <c r="FB412" s="715"/>
    </row>
    <row r="413" spans="1:158" s="211" customFormat="1" ht="11.25" hidden="1" customHeight="1">
      <c r="A413" s="2071" t="s">
        <v>297</v>
      </c>
      <c r="B413" s="1670"/>
      <c r="C413" s="169"/>
      <c r="D413" s="169"/>
      <c r="E413" s="169"/>
      <c r="F413" s="1768"/>
      <c r="G413" s="1670"/>
      <c r="H413" s="169"/>
      <c r="I413" s="169"/>
      <c r="J413" s="169"/>
      <c r="K413" s="1019"/>
      <c r="L413" s="209"/>
      <c r="M413" s="209"/>
      <c r="N413" s="209"/>
      <c r="O413" s="209"/>
      <c r="P413" s="1019"/>
      <c r="Q413" s="1991"/>
      <c r="R413" s="209"/>
      <c r="S413" s="209"/>
      <c r="T413" s="209"/>
      <c r="U413" s="1019"/>
      <c r="V413" s="1991"/>
      <c r="W413" s="209"/>
      <c r="X413" s="209"/>
      <c r="Y413" s="209"/>
      <c r="Z413" s="1019"/>
      <c r="AA413" s="1991"/>
      <c r="AB413" s="209"/>
      <c r="AC413" s="209"/>
      <c r="AD413" s="209"/>
      <c r="AE413" s="1019"/>
      <c r="AF413" s="1991"/>
      <c r="AG413" s="209"/>
      <c r="AH413" s="209"/>
      <c r="AI413" s="209"/>
      <c r="AJ413" s="1019"/>
      <c r="AK413" s="1991"/>
      <c r="AL413" s="209"/>
      <c r="AM413" s="209"/>
      <c r="AN413" s="209"/>
      <c r="AO413" s="1019"/>
      <c r="AP413" s="1987">
        <f t="shared" ref="AP413:BN413" si="1261">(AP405-AP412)*10000</f>
        <v>1190.1102445873878</v>
      </c>
      <c r="AQ413" s="51">
        <f t="shared" si="1261"/>
        <v>944.08369408369492</v>
      </c>
      <c r="AR413" s="51">
        <f t="shared" si="1261"/>
        <v>803.3309709425929</v>
      </c>
      <c r="AS413" s="51">
        <f t="shared" si="1261"/>
        <v>494.9934846718329</v>
      </c>
      <c r="AT413" s="1006">
        <f t="shared" si="1261"/>
        <v>828.41822178736368</v>
      </c>
      <c r="AU413" s="1987">
        <f t="shared" si="1261"/>
        <v>106.48941040815262</v>
      </c>
      <c r="AV413" s="51">
        <f t="shared" si="1261"/>
        <v>-175.19860236674845</v>
      </c>
      <c r="AW413" s="51">
        <f t="shared" si="1261"/>
        <v>-557.2667975577383</v>
      </c>
      <c r="AX413" s="51">
        <f t="shared" si="1261"/>
        <v>-2318.7615671319595</v>
      </c>
      <c r="AY413" s="1006">
        <f t="shared" si="1261"/>
        <v>-796.72845185581048</v>
      </c>
      <c r="AZ413" s="1987">
        <f t="shared" si="1261"/>
        <v>-2777.1346118353722</v>
      </c>
      <c r="BA413" s="51">
        <f t="shared" si="1261"/>
        <v>-2404.4220026505182</v>
      </c>
      <c r="BB413" s="51">
        <f t="shared" si="1261"/>
        <v>-1429.4331094847512</v>
      </c>
      <c r="BC413" s="51">
        <f t="shared" si="1261"/>
        <v>-102.13059000841795</v>
      </c>
      <c r="BD413" s="1006">
        <f t="shared" si="1261"/>
        <v>-1734.5319636787638</v>
      </c>
      <c r="BE413" s="1987">
        <f t="shared" si="1261"/>
        <v>981.71822505344949</v>
      </c>
      <c r="BF413" s="51">
        <f t="shared" si="1261"/>
        <v>-69.930069930070886</v>
      </c>
      <c r="BG413" s="51">
        <f t="shared" si="1261"/>
        <v>-653.48201356105756</v>
      </c>
      <c r="BH413" s="51">
        <f t="shared" si="1261"/>
        <v>-336.5695792880241</v>
      </c>
      <c r="BI413" s="1006">
        <f t="shared" si="1261"/>
        <v>-30.140252642294474</v>
      </c>
      <c r="BJ413" s="1987">
        <f t="shared" si="1261"/>
        <v>0</v>
      </c>
      <c r="BK413" s="51">
        <f t="shared" si="1261"/>
        <v>1051.9480519480505</v>
      </c>
      <c r="BL413" s="51">
        <f t="shared" si="1261"/>
        <v>666.66666666666652</v>
      </c>
      <c r="BM413" s="51">
        <f t="shared" si="1261"/>
        <v>-22.77904328018332</v>
      </c>
      <c r="BN413" s="1006">
        <f t="shared" si="1261"/>
        <v>405.4054054054057</v>
      </c>
      <c r="BO413" s="51"/>
      <c r="BP413" s="51"/>
      <c r="BQ413" s="51"/>
      <c r="BR413" s="51"/>
      <c r="BS413" s="1932"/>
      <c r="BT413" s="51">
        <f>(BT405-BT412)*10000</f>
        <v>-72.239422084623413</v>
      </c>
      <c r="BU413" s="51">
        <f>(BU405-BU412)*10000</f>
        <v>-307.37704918032847</v>
      </c>
      <c r="BV413" s="51">
        <f>(BV405-BV412)*10000</f>
        <v>-448.90162368672384</v>
      </c>
      <c r="BW413" s="51">
        <f>(BW405-BW412)*10000</f>
        <v>253.75939849624052</v>
      </c>
      <c r="BX413" s="1006">
        <f>(BX405-BX412)*10000</f>
        <v>-140.53254437869978</v>
      </c>
      <c r="BY413" s="51"/>
      <c r="BZ413" s="51"/>
      <c r="CA413" s="51"/>
      <c r="CB413" s="51"/>
      <c r="CC413" s="1932"/>
      <c r="CD413" s="51">
        <f t="shared" ref="CD413:CX413" si="1262">(CD405-CD412)*10000</f>
        <v>-43.478260869564963</v>
      </c>
      <c r="CE413" s="51">
        <f t="shared" si="1262"/>
        <v>-408.51063829787205</v>
      </c>
      <c r="CF413" s="51">
        <f t="shared" si="1262"/>
        <v>-156.25</v>
      </c>
      <c r="CG413" s="51">
        <f t="shared" si="1262"/>
        <v>38.314176245211051</v>
      </c>
      <c r="CH413" s="1006">
        <f t="shared" si="1262"/>
        <v>-138.25835740816973</v>
      </c>
      <c r="CI413" s="51">
        <f t="shared" si="1262"/>
        <v>511.89617880317286</v>
      </c>
      <c r="CJ413" s="51">
        <f t="shared" si="1262"/>
        <v>938.68281604844833</v>
      </c>
      <c r="CK413" s="51">
        <f t="shared" si="1262"/>
        <v>871.13030957523426</v>
      </c>
      <c r="CL413" s="51">
        <f t="shared" si="1262"/>
        <v>-79.840319361277338</v>
      </c>
      <c r="CM413" s="1006">
        <f t="shared" si="1262"/>
        <v>542.85714285714266</v>
      </c>
      <c r="CN413" s="51">
        <f t="shared" si="1262"/>
        <v>-732.78584965255743</v>
      </c>
      <c r="CO413" s="51">
        <f t="shared" si="1262"/>
        <v>-1033.4158415841598</v>
      </c>
      <c r="CP413" s="51">
        <f t="shared" si="1262"/>
        <v>-891.21081745543893</v>
      </c>
      <c r="CQ413" s="51">
        <f t="shared" si="1262"/>
        <v>-663.85033192516653</v>
      </c>
      <c r="CR413" s="1006">
        <f t="shared" si="1262"/>
        <v>-829.86271787752526</v>
      </c>
      <c r="CS413" s="51">
        <f t="shared" si="1262"/>
        <v>-770.14925373134258</v>
      </c>
      <c r="CT413" s="51">
        <f t="shared" si="1262"/>
        <v>-423.12276519666403</v>
      </c>
      <c r="CU413" s="51">
        <f t="shared" si="1262"/>
        <v>-1545.758928571428</v>
      </c>
      <c r="CV413" s="51">
        <f t="shared" si="1262"/>
        <v>-1815.8168574401668</v>
      </c>
      <c r="CW413" s="1006">
        <f t="shared" si="1262"/>
        <v>-1168.8127918494406</v>
      </c>
      <c r="CX413" s="51">
        <f t="shared" si="1262"/>
        <v>-1311.8167621030707</v>
      </c>
      <c r="CY413" s="2010"/>
      <c r="CZ413" s="2010"/>
      <c r="DA413" s="2010"/>
      <c r="DB413" s="1337"/>
      <c r="DC413" s="2671"/>
      <c r="DD413" s="2671"/>
      <c r="DE413" s="2671"/>
      <c r="DF413" s="2671"/>
      <c r="DG413" s="1337"/>
      <c r="DH413" s="2671"/>
      <c r="DI413" s="2671"/>
      <c r="DJ413" s="2671"/>
      <c r="DK413" s="2671"/>
      <c r="DL413" s="1337"/>
      <c r="DM413" s="2671"/>
      <c r="DN413" s="2671"/>
      <c r="DO413" s="2671"/>
      <c r="DP413" s="2671"/>
      <c r="DQ413" s="1337"/>
      <c r="DR413" s="2671"/>
      <c r="DS413" s="2671"/>
      <c r="DT413" s="2671"/>
      <c r="DU413" s="2671"/>
      <c r="DV413" s="1337"/>
      <c r="DW413" s="2671"/>
      <c r="DX413" s="2671"/>
      <c r="DY413" s="2671"/>
      <c r="DZ413" s="2671"/>
      <c r="EA413" s="1337"/>
      <c r="EB413" s="2671"/>
      <c r="EC413" s="2671"/>
      <c r="ED413" s="2671"/>
      <c r="EE413" s="2671"/>
      <c r="EF413" s="1337"/>
      <c r="EG413" s="2671"/>
      <c r="EH413" s="2671"/>
      <c r="EI413" s="2671"/>
      <c r="EJ413" s="2671"/>
      <c r="EK413" s="1337"/>
      <c r="EL413" s="2671"/>
      <c r="EM413" s="2671"/>
      <c r="EN413" s="2671"/>
      <c r="EO413" s="2671"/>
      <c r="EP413" s="1337"/>
      <c r="EQ413" s="2671"/>
      <c r="ER413" s="2671"/>
      <c r="ES413" s="2671"/>
      <c r="ET413" s="2671"/>
      <c r="EU413" s="1337"/>
      <c r="EV413" s="1337"/>
      <c r="EW413" s="1337"/>
      <c r="EX413" s="1337"/>
      <c r="EY413" s="1337"/>
      <c r="EZ413" s="209"/>
      <c r="FA413" s="715"/>
      <c r="FB413" s="715"/>
    </row>
    <row r="414" spans="1:158" s="211" customFormat="1" ht="11.25" hidden="1" customHeight="1">
      <c r="A414" s="2062"/>
      <c r="B414" s="1670"/>
      <c r="C414" s="169"/>
      <c r="D414" s="169"/>
      <c r="E414" s="169"/>
      <c r="F414" s="1768"/>
      <c r="G414" s="1670"/>
      <c r="H414" s="169"/>
      <c r="I414" s="169"/>
      <c r="J414" s="169"/>
      <c r="K414" s="1019"/>
      <c r="L414" s="209"/>
      <c r="M414" s="209"/>
      <c r="N414" s="209"/>
      <c r="O414" s="209"/>
      <c r="P414" s="1019"/>
      <c r="Q414" s="1991"/>
      <c r="R414" s="209"/>
      <c r="S414" s="209"/>
      <c r="T414" s="209"/>
      <c r="U414" s="1019"/>
      <c r="V414" s="1991"/>
      <c r="W414" s="209"/>
      <c r="X414" s="209"/>
      <c r="Y414" s="209"/>
      <c r="Z414" s="1019"/>
      <c r="AA414" s="1991"/>
      <c r="AB414" s="209"/>
      <c r="AC414" s="209"/>
      <c r="AD414" s="209"/>
      <c r="AE414" s="1019"/>
      <c r="AF414" s="1991"/>
      <c r="AG414" s="209"/>
      <c r="AH414" s="209"/>
      <c r="AI414" s="209"/>
      <c r="AJ414" s="1019"/>
      <c r="AK414" s="1991"/>
      <c r="AL414" s="209"/>
      <c r="AM414" s="209"/>
      <c r="AN414" s="209"/>
      <c r="AO414" s="1019"/>
      <c r="AP414" s="1991"/>
      <c r="AQ414" s="209"/>
      <c r="AR414" s="209"/>
      <c r="AS414" s="209"/>
      <c r="AT414" s="1019"/>
      <c r="AU414" s="1991"/>
      <c r="AV414" s="209"/>
      <c r="AW414" s="209"/>
      <c r="AX414" s="209"/>
      <c r="AY414" s="1019"/>
      <c r="AZ414" s="1991"/>
      <c r="BA414" s="209"/>
      <c r="BB414" s="209"/>
      <c r="BC414" s="209"/>
      <c r="BD414" s="1019"/>
      <c r="BE414" s="1991"/>
      <c r="BF414" s="209"/>
      <c r="BG414" s="209"/>
      <c r="BH414" s="209"/>
      <c r="BI414" s="1019"/>
      <c r="BJ414" s="1991"/>
      <c r="BK414" s="209"/>
      <c r="BL414" s="209"/>
      <c r="BM414" s="209"/>
      <c r="BN414" s="1019"/>
      <c r="BO414" s="209"/>
      <c r="BP414" s="209"/>
      <c r="BQ414" s="209"/>
      <c r="BR414" s="209"/>
      <c r="BS414" s="1933"/>
      <c r="BT414" s="209"/>
      <c r="BU414" s="209"/>
      <c r="BV414" s="209"/>
      <c r="BW414" s="209"/>
      <c r="BX414" s="1019"/>
      <c r="BY414" s="209"/>
      <c r="BZ414" s="209"/>
      <c r="CA414" s="209"/>
      <c r="CB414" s="209"/>
      <c r="CC414" s="1933"/>
      <c r="CD414" s="209"/>
      <c r="CE414" s="209"/>
      <c r="CF414" s="209"/>
      <c r="CG414" s="209"/>
      <c r="CH414" s="1019"/>
      <c r="CI414" s="209"/>
      <c r="CJ414" s="209"/>
      <c r="CK414" s="209"/>
      <c r="CL414" s="209"/>
      <c r="CM414" s="1019"/>
      <c r="CN414" s="209"/>
      <c r="CO414" s="209"/>
      <c r="CP414" s="209"/>
      <c r="CQ414" s="209"/>
      <c r="CR414" s="1019"/>
      <c r="CS414" s="209"/>
      <c r="CT414" s="209"/>
      <c r="CU414" s="209"/>
      <c r="CV414" s="209"/>
      <c r="CW414" s="1019"/>
      <c r="CX414" s="209"/>
      <c r="CY414" s="2008"/>
      <c r="CZ414" s="2008"/>
      <c r="DA414" s="2008"/>
      <c r="DB414" s="2009"/>
      <c r="DC414" s="2008"/>
      <c r="DD414" s="2008"/>
      <c r="DE414" s="2008"/>
      <c r="DF414" s="2008"/>
      <c r="DG414" s="2009"/>
      <c r="DH414" s="2008"/>
      <c r="DI414" s="2008"/>
      <c r="DJ414" s="2008"/>
      <c r="DK414" s="2008"/>
      <c r="DL414" s="2009"/>
      <c r="DM414" s="2008"/>
      <c r="DN414" s="2008"/>
      <c r="DO414" s="2008"/>
      <c r="DP414" s="2008"/>
      <c r="DQ414" s="2009"/>
      <c r="DR414" s="2008"/>
      <c r="DS414" s="2008"/>
      <c r="DT414" s="2008"/>
      <c r="DU414" s="2008"/>
      <c r="DV414" s="2009"/>
      <c r="DW414" s="2008"/>
      <c r="DX414" s="2008"/>
      <c r="DY414" s="2008"/>
      <c r="DZ414" s="2008"/>
      <c r="EA414" s="2009"/>
      <c r="EB414" s="2008"/>
      <c r="EC414" s="2008"/>
      <c r="ED414" s="2008"/>
      <c r="EE414" s="2008"/>
      <c r="EF414" s="2009"/>
      <c r="EG414" s="2008"/>
      <c r="EH414" s="2008"/>
      <c r="EI414" s="2008"/>
      <c r="EJ414" s="2008"/>
      <c r="EK414" s="2009"/>
      <c r="EL414" s="2008"/>
      <c r="EM414" s="2008"/>
      <c r="EN414" s="2008"/>
      <c r="EO414" s="2008"/>
      <c r="EP414" s="2009"/>
      <c r="EQ414" s="2008"/>
      <c r="ER414" s="2008"/>
      <c r="ES414" s="2008"/>
      <c r="ET414" s="2008"/>
      <c r="EU414" s="2009"/>
      <c r="EV414" s="2009"/>
      <c r="EW414" s="2009"/>
      <c r="EX414" s="2009"/>
      <c r="EY414" s="2009"/>
      <c r="EZ414" s="209"/>
      <c r="FA414" s="715"/>
      <c r="FB414" s="715"/>
    </row>
    <row r="415" spans="1:158" s="214" customFormat="1" ht="11.25" hidden="1" customHeight="1">
      <c r="A415" s="2067" t="s">
        <v>25</v>
      </c>
      <c r="B415" s="1986"/>
      <c r="C415" s="213"/>
      <c r="D415" s="213"/>
      <c r="E415" s="213"/>
      <c r="F415" s="1744"/>
      <c r="G415" s="1986"/>
      <c r="H415" s="213"/>
      <c r="I415" s="213"/>
      <c r="J415" s="213"/>
      <c r="K415" s="1006"/>
      <c r="L415" s="51"/>
      <c r="M415" s="51"/>
      <c r="N415" s="51"/>
      <c r="O415" s="51"/>
      <c r="P415" s="1006"/>
      <c r="Q415" s="1987"/>
      <c r="R415" s="51"/>
      <c r="S415" s="51"/>
      <c r="T415" s="51"/>
      <c r="U415" s="1006"/>
      <c r="V415" s="1987"/>
      <c r="W415" s="51"/>
      <c r="X415" s="51"/>
      <c r="Y415" s="51"/>
      <c r="Z415" s="1006"/>
      <c r="AA415" s="1987"/>
      <c r="AB415" s="51"/>
      <c r="AC415" s="51"/>
      <c r="AD415" s="51"/>
      <c r="AE415" s="1006"/>
      <c r="AF415" s="1987"/>
      <c r="AG415" s="51"/>
      <c r="AH415" s="51"/>
      <c r="AI415" s="51"/>
      <c r="AJ415" s="1006"/>
      <c r="AK415" s="51" t="s">
        <v>116</v>
      </c>
      <c r="AL415" s="51" t="s">
        <v>116</v>
      </c>
      <c r="AM415" s="51" t="s">
        <v>116</v>
      </c>
      <c r="AN415" s="51" t="s">
        <v>116</v>
      </c>
      <c r="AO415" s="1006"/>
      <c r="AP415" s="1987">
        <v>0</v>
      </c>
      <c r="AQ415" s="51">
        <v>0</v>
      </c>
      <c r="AR415" s="51">
        <v>0</v>
      </c>
      <c r="AS415" s="51">
        <v>0</v>
      </c>
      <c r="AT415" s="1006"/>
      <c r="AU415" s="1987">
        <v>0</v>
      </c>
      <c r="AV415" s="51">
        <v>0</v>
      </c>
      <c r="AW415" s="51">
        <v>0</v>
      </c>
      <c r="AX415" s="250">
        <v>9</v>
      </c>
      <c r="AY415" s="1006">
        <f>AX415</f>
        <v>9</v>
      </c>
      <c r="AZ415" s="1988">
        <v>82</v>
      </c>
      <c r="BA415" s="250">
        <v>67</v>
      </c>
      <c r="BB415" s="250">
        <v>25</v>
      </c>
      <c r="BC415" s="250">
        <v>8</v>
      </c>
      <c r="BD415" s="1006">
        <f>SUM(AZ415:BC415)</f>
        <v>182</v>
      </c>
      <c r="BE415" s="1989">
        <v>10</v>
      </c>
      <c r="BF415" s="53">
        <v>19</v>
      </c>
      <c r="BG415" s="53">
        <v>11</v>
      </c>
      <c r="BH415" s="53">
        <v>2</v>
      </c>
      <c r="BI415" s="1006">
        <f>SUM(BE415:BH415)</f>
        <v>42</v>
      </c>
      <c r="BJ415" s="1989">
        <v>4</v>
      </c>
      <c r="BK415" s="53">
        <v>0</v>
      </c>
      <c r="BL415" s="53">
        <v>0</v>
      </c>
      <c r="BM415" s="53">
        <v>6</v>
      </c>
      <c r="BN415" s="1006">
        <f>SUM(BJ415:BM415)</f>
        <v>10</v>
      </c>
      <c r="BO415" s="51"/>
      <c r="BP415" s="51"/>
      <c r="BQ415" s="51"/>
      <c r="BR415" s="51"/>
      <c r="BS415" s="1932"/>
      <c r="BT415" s="53">
        <v>4</v>
      </c>
      <c r="BU415" s="53">
        <v>7</v>
      </c>
      <c r="BV415" s="53">
        <v>6</v>
      </c>
      <c r="BW415" s="53">
        <v>1</v>
      </c>
      <c r="BX415" s="1006">
        <f>SUM(BT415:BW415)</f>
        <v>18</v>
      </c>
      <c r="BY415" s="51"/>
      <c r="BZ415" s="51"/>
      <c r="CA415" s="51"/>
      <c r="CB415" s="51"/>
      <c r="CC415" s="1932"/>
      <c r="CD415" s="1989">
        <v>20</v>
      </c>
      <c r="CE415" s="53">
        <v>24</v>
      </c>
      <c r="CF415" s="53">
        <v>17</v>
      </c>
      <c r="CG415" s="53">
        <v>2</v>
      </c>
      <c r="CH415" s="1006">
        <f>SUM(CD415:CG415)</f>
        <v>63</v>
      </c>
      <c r="CI415" s="53">
        <v>0</v>
      </c>
      <c r="CJ415" s="53">
        <v>0</v>
      </c>
      <c r="CK415" s="53">
        <v>0</v>
      </c>
      <c r="CL415" s="53">
        <v>3</v>
      </c>
      <c r="CM415" s="1006">
        <f>SUM(CI415:CL415)</f>
        <v>3</v>
      </c>
      <c r="CN415" s="53">
        <v>20</v>
      </c>
      <c r="CO415" s="53">
        <v>54</v>
      </c>
      <c r="CP415" s="53">
        <v>20</v>
      </c>
      <c r="CQ415" s="53">
        <v>39</v>
      </c>
      <c r="CR415" s="1006">
        <f>SUM(CN415:CQ415)</f>
        <v>133</v>
      </c>
      <c r="CS415" s="250">
        <v>42</v>
      </c>
      <c r="CT415" s="53">
        <f>37</f>
        <v>37</v>
      </c>
      <c r="CU415" s="53">
        <f>84</f>
        <v>84</v>
      </c>
      <c r="CV415" s="53">
        <f>134</f>
        <v>134</v>
      </c>
      <c r="CW415" s="1006">
        <f>SUM(CS415:CV415)</f>
        <v>297</v>
      </c>
      <c r="CX415" s="53">
        <f>91</f>
        <v>91</v>
      </c>
      <c r="CY415" s="2011"/>
      <c r="CZ415" s="2011"/>
      <c r="DA415" s="2011"/>
      <c r="DB415" s="1337"/>
      <c r="DC415" s="2011"/>
      <c r="DD415" s="2011"/>
      <c r="DE415" s="2011"/>
      <c r="DF415" s="2011"/>
      <c r="DG415" s="2072"/>
      <c r="DH415" s="2011"/>
      <c r="DI415" s="2011"/>
      <c r="DJ415" s="2011"/>
      <c r="DK415" s="2011"/>
      <c r="DL415" s="1337"/>
      <c r="DM415" s="2011"/>
      <c r="DN415" s="2011"/>
      <c r="DO415" s="2011"/>
      <c r="DP415" s="2011"/>
      <c r="DQ415" s="1337"/>
      <c r="DR415" s="2011"/>
      <c r="DS415" s="2011"/>
      <c r="DT415" s="2011"/>
      <c r="DU415" s="2011"/>
      <c r="DV415" s="1337"/>
      <c r="DW415" s="2011"/>
      <c r="DX415" s="2011"/>
      <c r="DY415" s="2011"/>
      <c r="DZ415" s="2011"/>
      <c r="EA415" s="2068"/>
      <c r="EB415" s="2011"/>
      <c r="EC415" s="2011"/>
      <c r="ED415" s="2011"/>
      <c r="EE415" s="2011"/>
      <c r="EF415" s="2068"/>
      <c r="EG415" s="2011"/>
      <c r="EH415" s="2011"/>
      <c r="EI415" s="2011"/>
      <c r="EJ415" s="2011"/>
      <c r="EK415" s="2068"/>
      <c r="EL415" s="2011"/>
      <c r="EM415" s="2011"/>
      <c r="EN415" s="2011"/>
      <c r="EO415" s="2011"/>
      <c r="EP415" s="2068"/>
      <c r="EQ415" s="2011"/>
      <c r="ER415" s="2011"/>
      <c r="ES415" s="2011"/>
      <c r="ET415" s="2011"/>
      <c r="EU415" s="2068"/>
      <c r="EV415" s="2068"/>
      <c r="EW415" s="2068"/>
      <c r="EX415" s="2068"/>
      <c r="EY415" s="2068"/>
      <c r="EZ415" s="51"/>
      <c r="FA415" s="715"/>
      <c r="FB415" s="715"/>
    </row>
    <row r="416" spans="1:158" s="252" customFormat="1" ht="11.25" hidden="1" customHeight="1">
      <c r="A416" s="2073" t="s">
        <v>17</v>
      </c>
      <c r="B416" s="2074"/>
      <c r="C416" s="641"/>
      <c r="D416" s="641"/>
      <c r="E416" s="641"/>
      <c r="F416" s="2075"/>
      <c r="G416" s="2074"/>
      <c r="H416" s="641"/>
      <c r="I416" s="641"/>
      <c r="J416" s="641"/>
      <c r="K416" s="1026"/>
      <c r="L416" s="642"/>
      <c r="M416" s="642"/>
      <c r="N416" s="642"/>
      <c r="O416" s="642"/>
      <c r="P416" s="1026"/>
      <c r="Q416" s="2076"/>
      <c r="R416" s="642"/>
      <c r="S416" s="642"/>
      <c r="T416" s="642"/>
      <c r="U416" s="1026"/>
      <c r="V416" s="2076"/>
      <c r="W416" s="642"/>
      <c r="X416" s="642"/>
      <c r="Y416" s="642"/>
      <c r="Z416" s="1026"/>
      <c r="AA416" s="2076"/>
      <c r="AB416" s="642"/>
      <c r="AC416" s="642"/>
      <c r="AD416" s="642"/>
      <c r="AE416" s="1026"/>
      <c r="AF416" s="2076"/>
      <c r="AG416" s="642"/>
      <c r="AH416" s="642"/>
      <c r="AI416" s="642"/>
      <c r="AJ416" s="1026"/>
      <c r="AK416" s="255" t="s">
        <v>116</v>
      </c>
      <c r="AL416" s="255" t="s">
        <v>116</v>
      </c>
      <c r="AM416" s="255" t="s">
        <v>116</v>
      </c>
      <c r="AN416" s="255" t="s">
        <v>116</v>
      </c>
      <c r="AO416" s="1026"/>
      <c r="AP416" s="1992" t="s">
        <v>116</v>
      </c>
      <c r="AQ416" s="255" t="s">
        <v>116</v>
      </c>
      <c r="AR416" s="255" t="s">
        <v>116</v>
      </c>
      <c r="AS416" s="255" t="s">
        <v>116</v>
      </c>
      <c r="AT416" s="1026"/>
      <c r="AU416" s="2076">
        <f>AU404-AU411-AU415</f>
        <v>796.81408910857499</v>
      </c>
      <c r="AV416" s="642">
        <f>AV404-AV411-AV415</f>
        <v>784.46140148992981</v>
      </c>
      <c r="AW416" s="642">
        <f>AW404-AW411-AW415</f>
        <v>812.99622694544257</v>
      </c>
      <c r="AX416" s="642">
        <f>AX404-AX411-AX415</f>
        <v>836.86156110176273</v>
      </c>
      <c r="AY416" s="1026">
        <f>SUM(AU416:AX416)</f>
        <v>3231.1332786457101</v>
      </c>
      <c r="AZ416" s="2076">
        <f>AZ404-AZ411-AZ415</f>
        <v>874.40441106692845</v>
      </c>
      <c r="BA416" s="642">
        <f>BA404-BA411-BA415</f>
        <v>834.09216443273885</v>
      </c>
      <c r="BB416" s="642">
        <f>BB404-BB411-BB415</f>
        <v>851.07888022576844</v>
      </c>
      <c r="BC416" s="642">
        <f>BC404-BC411-BC415</f>
        <v>771.49999999999989</v>
      </c>
      <c r="BD416" s="1026">
        <f>SUM(AZ416:BC416)</f>
        <v>3331.0754557254359</v>
      </c>
      <c r="BE416" s="2076">
        <f>BE404-BE411-BE415</f>
        <v>760</v>
      </c>
      <c r="BF416" s="642">
        <f>BF404-BF411-BF415</f>
        <v>756</v>
      </c>
      <c r="BG416" s="642">
        <f>BG404-BG411-BG415</f>
        <v>879</v>
      </c>
      <c r="BH416" s="642">
        <f>BH404-BH411-BH415</f>
        <v>902</v>
      </c>
      <c r="BI416" s="1026">
        <f>SUM(BE416:BH416)</f>
        <v>3297</v>
      </c>
      <c r="BJ416" s="2076">
        <f>BJ404-BJ411-BJ415</f>
        <v>965</v>
      </c>
      <c r="BK416" s="642">
        <f>BK404-BK411-BK415</f>
        <v>895</v>
      </c>
      <c r="BL416" s="642">
        <f>BL404-BL411-BL415</f>
        <v>991</v>
      </c>
      <c r="BM416" s="642">
        <f>BM404-BM411-BM415</f>
        <v>1060</v>
      </c>
      <c r="BN416" s="1026">
        <f>SUM(BJ416:BM416)</f>
        <v>3911</v>
      </c>
      <c r="BO416" s="642"/>
      <c r="BP416" s="642"/>
      <c r="BQ416" s="642"/>
      <c r="BR416" s="642"/>
      <c r="BS416" s="1935"/>
      <c r="BT416" s="642">
        <f>BT404-BT411-BT415</f>
        <v>1153</v>
      </c>
      <c r="BU416" s="642">
        <f>BU404-BU411-BU415</f>
        <v>1198</v>
      </c>
      <c r="BV416" s="642">
        <f>BV404-BV411-BV415</f>
        <v>1257</v>
      </c>
      <c r="BW416" s="642">
        <f>BW404-BW411-BW415</f>
        <v>1277</v>
      </c>
      <c r="BX416" s="1026">
        <f>SUM(BT416:BW416)</f>
        <v>4885</v>
      </c>
      <c r="BY416" s="642"/>
      <c r="BZ416" s="642"/>
      <c r="CA416" s="642"/>
      <c r="CB416" s="642"/>
      <c r="CC416" s="1935"/>
      <c r="CD416" s="642">
        <f>CD404-CD411-CD415</f>
        <v>1372</v>
      </c>
      <c r="CE416" s="642">
        <f>CE404-CE411-CE415</f>
        <v>1345</v>
      </c>
      <c r="CF416" s="642">
        <f>CF404-CF411-CF415</f>
        <v>1391</v>
      </c>
      <c r="CG416" s="642">
        <f>CG404-CG411-CG415</f>
        <v>1496</v>
      </c>
      <c r="CH416" s="1026">
        <f>SUM(CD416:CG416)</f>
        <v>5604</v>
      </c>
      <c r="CI416" s="642">
        <f>CI404-CI411-CI415</f>
        <v>1512</v>
      </c>
      <c r="CJ416" s="642">
        <f>CJ404-CJ411-CJ415</f>
        <v>1492</v>
      </c>
      <c r="CK416" s="642">
        <f>CK404-CK411-CK415</f>
        <v>1506</v>
      </c>
      <c r="CL416" s="642">
        <f>CL404-CL411-CL415</f>
        <v>1666</v>
      </c>
      <c r="CM416" s="1026">
        <f>SUM(CI416:CL416)</f>
        <v>6176</v>
      </c>
      <c r="CN416" s="642">
        <f>CN404-CN411-CN415</f>
        <v>1771</v>
      </c>
      <c r="CO416" s="642">
        <f>CO404-CO411-CO415</f>
        <v>1791</v>
      </c>
      <c r="CP416" s="642">
        <f>CP404-CP411-CP415</f>
        <v>1917</v>
      </c>
      <c r="CQ416" s="642">
        <f>CQ404-CQ411-CQ415</f>
        <v>1993</v>
      </c>
      <c r="CR416" s="1026">
        <f>SUM(CN416:CQ416)</f>
        <v>7472</v>
      </c>
      <c r="CS416" s="642">
        <f>CS404-CS411-CS415</f>
        <v>2008</v>
      </c>
      <c r="CT416" s="642">
        <f>CT404-CT411-CT415</f>
        <v>1948</v>
      </c>
      <c r="CU416" s="642">
        <f>CU404-CU411-CU415</f>
        <v>2083</v>
      </c>
      <c r="CV416" s="642">
        <f>CV404-CV411-CV415</f>
        <v>2277</v>
      </c>
      <c r="CW416" s="1026">
        <f>SUM(CS416:CV416)</f>
        <v>8316</v>
      </c>
      <c r="CX416" s="642">
        <f>CX404-CX411-CX415</f>
        <v>2186</v>
      </c>
      <c r="CY416" s="2012"/>
      <c r="CZ416" s="2012"/>
      <c r="DA416" s="2012"/>
      <c r="DB416" s="2042"/>
      <c r="DC416" s="2012"/>
      <c r="DD416" s="2012"/>
      <c r="DE416" s="2012"/>
      <c r="DF416" s="2012"/>
      <c r="DG416" s="2042"/>
      <c r="DH416" s="2012"/>
      <c r="DI416" s="2012"/>
      <c r="DJ416" s="2012"/>
      <c r="DK416" s="2012"/>
      <c r="DL416" s="2042"/>
      <c r="DM416" s="2012"/>
      <c r="DN416" s="2012"/>
      <c r="DO416" s="2012"/>
      <c r="DP416" s="2012"/>
      <c r="DQ416" s="2042"/>
      <c r="DR416" s="2012"/>
      <c r="DS416" s="2012"/>
      <c r="DT416" s="2012"/>
      <c r="DU416" s="2012"/>
      <c r="DV416" s="2042"/>
      <c r="DW416" s="2012"/>
      <c r="DX416" s="2012"/>
      <c r="DY416" s="2012"/>
      <c r="DZ416" s="2012"/>
      <c r="EA416" s="2042"/>
      <c r="EB416" s="2012"/>
      <c r="EC416" s="2012"/>
      <c r="ED416" s="2012"/>
      <c r="EE416" s="2012"/>
      <c r="EF416" s="2042"/>
      <c r="EG416" s="2012"/>
      <c r="EH416" s="2012"/>
      <c r="EI416" s="2012"/>
      <c r="EJ416" s="2012"/>
      <c r="EK416" s="2042"/>
      <c r="EL416" s="2012"/>
      <c r="EM416" s="2012"/>
      <c r="EN416" s="2012"/>
      <c r="EO416" s="2012"/>
      <c r="EP416" s="2042"/>
      <c r="EQ416" s="2012"/>
      <c r="ER416" s="2012"/>
      <c r="ES416" s="2012"/>
      <c r="ET416" s="2012"/>
      <c r="EU416" s="2042"/>
      <c r="EV416" s="2042"/>
      <c r="EW416" s="2042"/>
      <c r="EX416" s="2042"/>
      <c r="EY416" s="2042"/>
      <c r="FA416" s="715"/>
      <c r="FB416" s="715"/>
    </row>
    <row r="417" spans="1:158" s="239" customFormat="1" ht="11.25" hidden="1" customHeight="1">
      <c r="A417" s="2043" t="s">
        <v>19</v>
      </c>
      <c r="B417" s="2044"/>
      <c r="C417" s="645"/>
      <c r="D417" s="645"/>
      <c r="E417" s="645"/>
      <c r="F417" s="2077"/>
      <c r="G417" s="2044"/>
      <c r="H417" s="645"/>
      <c r="I417" s="645"/>
      <c r="J417" s="645"/>
      <c r="K417" s="1035"/>
      <c r="L417" s="646"/>
      <c r="M417" s="646"/>
      <c r="N417" s="646"/>
      <c r="O417" s="646"/>
      <c r="P417" s="1035"/>
      <c r="Q417" s="2045"/>
      <c r="R417" s="646"/>
      <c r="S417" s="646"/>
      <c r="T417" s="646"/>
      <c r="U417" s="1035"/>
      <c r="V417" s="2045"/>
      <c r="W417" s="646"/>
      <c r="X417" s="646"/>
      <c r="Y417" s="646"/>
      <c r="Z417" s="1035"/>
      <c r="AA417" s="2045"/>
      <c r="AB417" s="646"/>
      <c r="AC417" s="646"/>
      <c r="AD417" s="646"/>
      <c r="AE417" s="1035"/>
      <c r="AF417" s="2045"/>
      <c r="AG417" s="646"/>
      <c r="AH417" s="646"/>
      <c r="AI417" s="646"/>
      <c r="AJ417" s="1035"/>
      <c r="AK417" s="2078" t="s">
        <v>116</v>
      </c>
      <c r="AL417" s="640" t="s">
        <v>116</v>
      </c>
      <c r="AM417" s="640" t="s">
        <v>116</v>
      </c>
      <c r="AN417" s="640" t="s">
        <v>116</v>
      </c>
      <c r="AO417" s="1035"/>
      <c r="AP417" s="2078" t="s">
        <v>116</v>
      </c>
      <c r="AQ417" s="640" t="s">
        <v>116</v>
      </c>
      <c r="AR417" s="640" t="s">
        <v>116</v>
      </c>
      <c r="AS417" s="640" t="s">
        <v>116</v>
      </c>
      <c r="AT417" s="1035"/>
      <c r="AU417" s="2078" t="s">
        <v>116</v>
      </c>
      <c r="AV417" s="640" t="s">
        <v>116</v>
      </c>
      <c r="AW417" s="640" t="s">
        <v>116</v>
      </c>
      <c r="AX417" s="646">
        <f>AX416/AS404-1</f>
        <v>0.20929033274968001</v>
      </c>
      <c r="AY417" s="1035">
        <f t="shared" ref="AY417:BN417" si="1263">AY416/(AT404-AT415)-1</f>
        <v>0.27666555454456399</v>
      </c>
      <c r="AZ417" s="2044">
        <f t="shared" si="1263"/>
        <v>8.8958671171917914E-2</v>
      </c>
      <c r="BA417" s="645">
        <f t="shared" si="1263"/>
        <v>7.7696935018100266E-2</v>
      </c>
      <c r="BB417" s="645">
        <f t="shared" si="1263"/>
        <v>9.6525046673068049E-2</v>
      </c>
      <c r="BC417" s="645">
        <f t="shared" si="1263"/>
        <v>0.14060233856743887</v>
      </c>
      <c r="BD417" s="1035">
        <f t="shared" si="1263"/>
        <v>9.9550635528325548E-2</v>
      </c>
      <c r="BE417" s="2044">
        <f t="shared" si="1263"/>
        <v>0.16670350993540151</v>
      </c>
      <c r="BF417" s="645">
        <f t="shared" si="1263"/>
        <v>0.16666666666666674</v>
      </c>
      <c r="BG417" s="645">
        <f t="shared" si="1263"/>
        <v>0.18762599103943622</v>
      </c>
      <c r="BH417" s="645">
        <f t="shared" si="1263"/>
        <v>0.17985611510791388</v>
      </c>
      <c r="BI417" s="1035">
        <f t="shared" si="1263"/>
        <v>0.1758034835451705</v>
      </c>
      <c r="BJ417" s="2044">
        <f t="shared" si="1263"/>
        <v>0.15985576923076916</v>
      </c>
      <c r="BK417" s="645">
        <f t="shared" si="1263"/>
        <v>0.19174434087882819</v>
      </c>
      <c r="BL417" s="645">
        <f t="shared" si="1263"/>
        <v>0.19541616405307605</v>
      </c>
      <c r="BM417" s="645">
        <f t="shared" si="1263"/>
        <v>0.21004566210045672</v>
      </c>
      <c r="BN417" s="1035">
        <f t="shared" si="1263"/>
        <v>0.18947688564476883</v>
      </c>
      <c r="BO417" s="646"/>
      <c r="BP417" s="646"/>
      <c r="BQ417" s="646"/>
      <c r="BR417" s="646"/>
      <c r="BS417" s="1936"/>
      <c r="BT417" s="645">
        <f>BT416/(BJ404-BJ415)-1</f>
        <v>0.19481865284974087</v>
      </c>
      <c r="BU417" s="645">
        <f>BU416/(BK404-BK415)-1</f>
        <v>0.22745901639344268</v>
      </c>
      <c r="BV417" s="645">
        <f>BV416/(BL404-BL415)-1</f>
        <v>0.20057306590257884</v>
      </c>
      <c r="BW417" s="645">
        <f>BW416/(BM404-BM415)-1</f>
        <v>0.20699432892249536</v>
      </c>
      <c r="BX417" s="1035">
        <f>BX416/(BN404-BN415)-1</f>
        <v>0.20736529906080081</v>
      </c>
      <c r="BY417" s="646"/>
      <c r="BZ417" s="646"/>
      <c r="CA417" s="646"/>
      <c r="CB417" s="646"/>
      <c r="CC417" s="1936"/>
      <c r="CD417" s="645">
        <f>CD416/(BT404-BT415)-1</f>
        <v>0.19720767888307145</v>
      </c>
      <c r="CE417" s="645">
        <f>CE416/(BU404-BU415)-1</f>
        <v>0.15154109589041087</v>
      </c>
      <c r="CF417" s="645">
        <f>CF416/(BV404-BV415)-1</f>
        <v>0.14958677685950406</v>
      </c>
      <c r="CG417" s="645">
        <f>CG416/(BW404-BW415)-1</f>
        <v>0.14723926380368102</v>
      </c>
      <c r="CH417" s="1035">
        <f>CH416/(BX404-BX415)-1</f>
        <v>0.16072908036454026</v>
      </c>
      <c r="CI417" s="645">
        <f t="shared" ref="CI417:CX417" si="1264">CI416/(CD404-CD415)-1</f>
        <v>0.10607168983174842</v>
      </c>
      <c r="CJ417" s="645">
        <f t="shared" si="1264"/>
        <v>0.15034695451040858</v>
      </c>
      <c r="CK417" s="645">
        <f t="shared" si="1264"/>
        <v>9.766763848396498E-2</v>
      </c>
      <c r="CL417" s="645">
        <f t="shared" si="1264"/>
        <v>0.10992671552298461</v>
      </c>
      <c r="CM417" s="1035">
        <f t="shared" si="1264"/>
        <v>0.11540545421708504</v>
      </c>
      <c r="CN417" s="645">
        <f t="shared" si="1264"/>
        <v>0.11876184459886296</v>
      </c>
      <c r="CO417" s="645">
        <f t="shared" si="1264"/>
        <v>0.10829207920792072</v>
      </c>
      <c r="CP417" s="645">
        <f t="shared" si="1264"/>
        <v>0.17824216349108779</v>
      </c>
      <c r="CQ417" s="645">
        <f t="shared" si="1264"/>
        <v>0.20495767835550183</v>
      </c>
      <c r="CR417" s="1035">
        <f t="shared" si="1264"/>
        <v>0.15308641975308634</v>
      </c>
      <c r="CS417" s="645">
        <f t="shared" si="1264"/>
        <v>0.21329305135951659</v>
      </c>
      <c r="CT417" s="645">
        <f t="shared" si="1264"/>
        <v>0.19950738916256161</v>
      </c>
      <c r="CU417" s="645">
        <f t="shared" si="1264"/>
        <v>0.1755079006772009</v>
      </c>
      <c r="CV417" s="645">
        <f t="shared" si="1264"/>
        <v>0.20924057355284131</v>
      </c>
      <c r="CW417" s="1035">
        <f t="shared" si="1264"/>
        <v>0.19930775886933949</v>
      </c>
      <c r="CX417" s="645">
        <f t="shared" si="1264"/>
        <v>0.16338477913783933</v>
      </c>
      <c r="CY417" s="2014"/>
      <c r="CZ417" s="2014"/>
      <c r="DA417" s="2014"/>
      <c r="DB417" s="2046"/>
      <c r="DC417" s="2672"/>
      <c r="DD417" s="2672"/>
      <c r="DE417" s="2672"/>
      <c r="DF417" s="2672"/>
      <c r="DG417" s="2046"/>
      <c r="DH417" s="2672"/>
      <c r="DI417" s="2672"/>
      <c r="DJ417" s="2672"/>
      <c r="DK417" s="2672"/>
      <c r="DL417" s="2046"/>
      <c r="DM417" s="2672"/>
      <c r="DN417" s="2672"/>
      <c r="DO417" s="2672"/>
      <c r="DP417" s="2672"/>
      <c r="DQ417" s="2046"/>
      <c r="DR417" s="2672"/>
      <c r="DS417" s="2672"/>
      <c r="DT417" s="2672"/>
      <c r="DU417" s="2672"/>
      <c r="DV417" s="2046"/>
      <c r="DW417" s="2672"/>
      <c r="DX417" s="2672"/>
      <c r="DY417" s="2672"/>
      <c r="DZ417" s="2672"/>
      <c r="EA417" s="2046"/>
      <c r="EB417" s="2672"/>
      <c r="EC417" s="2672"/>
      <c r="ED417" s="2672"/>
      <c r="EE417" s="2672"/>
      <c r="EF417" s="2046"/>
      <c r="EG417" s="2672"/>
      <c r="EH417" s="2672"/>
      <c r="EI417" s="2672"/>
      <c r="EJ417" s="2672"/>
      <c r="EK417" s="2046"/>
      <c r="EL417" s="2672"/>
      <c r="EM417" s="2672"/>
      <c r="EN417" s="2672"/>
      <c r="EO417" s="2672"/>
      <c r="EP417" s="2046"/>
      <c r="EQ417" s="2672"/>
      <c r="ER417" s="2672"/>
      <c r="ES417" s="2672"/>
      <c r="ET417" s="2672"/>
      <c r="EU417" s="2046"/>
      <c r="EV417" s="2046"/>
      <c r="EW417" s="2046"/>
      <c r="EX417" s="2046"/>
      <c r="EY417" s="2046"/>
      <c r="FA417" s="715"/>
      <c r="FB417" s="715"/>
    </row>
    <row r="418" spans="1:158" s="214" customFormat="1" ht="11.25" hidden="1" customHeight="1">
      <c r="A418" s="2079" t="s">
        <v>297</v>
      </c>
      <c r="B418" s="2080"/>
      <c r="C418" s="643"/>
      <c r="D418" s="643"/>
      <c r="E418" s="643"/>
      <c r="F418" s="2081"/>
      <c r="G418" s="2080"/>
      <c r="H418" s="643"/>
      <c r="I418" s="643"/>
      <c r="J418" s="643"/>
      <c r="K418" s="1027"/>
      <c r="L418" s="644"/>
      <c r="M418" s="644"/>
      <c r="N418" s="644"/>
      <c r="O418" s="644"/>
      <c r="P418" s="1027"/>
      <c r="Q418" s="2082"/>
      <c r="R418" s="644"/>
      <c r="S418" s="644"/>
      <c r="T418" s="644"/>
      <c r="U418" s="1027"/>
      <c r="V418" s="2082"/>
      <c r="W418" s="644"/>
      <c r="X418" s="644"/>
      <c r="Y418" s="644"/>
      <c r="Z418" s="1027"/>
      <c r="AA418" s="2082"/>
      <c r="AB418" s="644"/>
      <c r="AC418" s="644"/>
      <c r="AD418" s="644"/>
      <c r="AE418" s="1027"/>
      <c r="AF418" s="2082"/>
      <c r="AG418" s="644"/>
      <c r="AH418" s="644"/>
      <c r="AI418" s="644"/>
      <c r="AJ418" s="1027"/>
      <c r="AK418" s="639" t="s">
        <v>116</v>
      </c>
      <c r="AL418" s="639" t="s">
        <v>116</v>
      </c>
      <c r="AM418" s="639" t="s">
        <v>116</v>
      </c>
      <c r="AN418" s="639" t="s">
        <v>116</v>
      </c>
      <c r="AO418" s="1027"/>
      <c r="AP418" s="2083" t="s">
        <v>116</v>
      </c>
      <c r="AQ418" s="639" t="s">
        <v>116</v>
      </c>
      <c r="AR418" s="639" t="s">
        <v>116</v>
      </c>
      <c r="AS418" s="639" t="s">
        <v>116</v>
      </c>
      <c r="AT418" s="1027"/>
      <c r="AU418" s="2083" t="s">
        <v>116</v>
      </c>
      <c r="AV418" s="639" t="s">
        <v>116</v>
      </c>
      <c r="AW418" s="639" t="s">
        <v>116</v>
      </c>
      <c r="AX418" s="644">
        <f>(AX405-AX417)*10000</f>
        <v>-2188.7088379754373</v>
      </c>
      <c r="AY418" s="1027"/>
      <c r="AZ418" s="2082">
        <f t="shared" ref="AZ418:BN418" si="1265">(AZ405-AZ417)*10000</f>
        <v>-1755.9296647200883</v>
      </c>
      <c r="BA418" s="644">
        <f t="shared" si="1265"/>
        <v>-1538.7419528286916</v>
      </c>
      <c r="BB418" s="644">
        <f t="shared" si="1265"/>
        <v>-1107.3345731005013</v>
      </c>
      <c r="BC418" s="644">
        <f t="shared" si="1265"/>
        <v>-135.18327403106323</v>
      </c>
      <c r="BD418" s="1027">
        <f t="shared" si="1265"/>
        <v>-1168.1185229139978</v>
      </c>
      <c r="BE418" s="2082">
        <f t="shared" si="1265"/>
        <v>-186.38585636784555</v>
      </c>
      <c r="BF418" s="644">
        <f t="shared" si="1265"/>
        <v>-897.43589743589871</v>
      </c>
      <c r="BG418" s="644">
        <f t="shared" si="1265"/>
        <v>-897.76208256857387</v>
      </c>
      <c r="BH418" s="644">
        <f t="shared" si="1265"/>
        <v>-432.86535819887729</v>
      </c>
      <c r="BI418" s="1027">
        <f t="shared" si="1265"/>
        <v>-606.14135780237666</v>
      </c>
      <c r="BJ418" s="2082">
        <f t="shared" si="1265"/>
        <v>-90.244153115293102</v>
      </c>
      <c r="BK418" s="644">
        <f t="shared" si="1265"/>
        <v>757.88126653639324</v>
      </c>
      <c r="BL418" s="644">
        <f t="shared" si="1265"/>
        <v>510.12407375495394</v>
      </c>
      <c r="BM418" s="644">
        <f t="shared" si="1265"/>
        <v>17.994404052379398</v>
      </c>
      <c r="BN418" s="1027">
        <f t="shared" si="1265"/>
        <v>285.41132373249178</v>
      </c>
      <c r="BO418" s="644"/>
      <c r="BP418" s="644"/>
      <c r="BQ418" s="644"/>
      <c r="BR418" s="644"/>
      <c r="BS418" s="1937"/>
      <c r="BT418" s="644">
        <f>(BT405-BT417)*10000</f>
        <v>-80.281471737861935</v>
      </c>
      <c r="BU418" s="644">
        <f>(BU405-BU417)*10000</f>
        <v>-235.65573770491844</v>
      </c>
      <c r="BV418" s="644">
        <f>(BV405-BV417)*10000</f>
        <v>-391.59503342884426</v>
      </c>
      <c r="BW418" s="644">
        <f>(BW405-BW417)*10000</f>
        <v>195.09430476000844</v>
      </c>
      <c r="BX418" s="1027">
        <f>(BX405-BX417)*10000</f>
        <v>-125.9212351839456</v>
      </c>
      <c r="BY418" s="644"/>
      <c r="BZ418" s="644"/>
      <c r="CA418" s="644"/>
      <c r="CB418" s="644"/>
      <c r="CC418" s="1937"/>
      <c r="CD418" s="644">
        <f t="shared" ref="CD418:CX418" si="1266">(CD405-CD417)*10000</f>
        <v>88.792776386676934</v>
      </c>
      <c r="CE418" s="644">
        <f t="shared" si="1266"/>
        <v>-272.857767414747</v>
      </c>
      <c r="CF418" s="644">
        <f t="shared" si="1266"/>
        <v>-73.17040017398746</v>
      </c>
      <c r="CG418" s="644">
        <f t="shared" si="1266"/>
        <v>44.848741273535438</v>
      </c>
      <c r="CH418" s="1027">
        <f t="shared" si="1266"/>
        <v>-51.368393410156088</v>
      </c>
      <c r="CI418" s="644">
        <f t="shared" si="1266"/>
        <v>352.40494739268161</v>
      </c>
      <c r="CJ418" s="644">
        <f t="shared" si="1266"/>
        <v>729.68715436601212</v>
      </c>
      <c r="CK418" s="644">
        <f t="shared" si="1266"/>
        <v>736.7865381265126</v>
      </c>
      <c r="CL418" s="644">
        <f t="shared" si="1266"/>
        <v>-74.649723426785101</v>
      </c>
      <c r="CM418" s="1027">
        <f t="shared" si="1266"/>
        <v>422.731172114863</v>
      </c>
      <c r="CN418" s="644">
        <f t="shared" si="1266"/>
        <v>-606.44346178142735</v>
      </c>
      <c r="CO418" s="644">
        <f t="shared" si="1266"/>
        <v>-699.25742574257436</v>
      </c>
      <c r="CP418" s="644">
        <f t="shared" si="1266"/>
        <v>-768.28518746158375</v>
      </c>
      <c r="CQ418" s="644">
        <f t="shared" si="1266"/>
        <v>-450.30098391711795</v>
      </c>
      <c r="CR418" s="1027">
        <f t="shared" si="1266"/>
        <v>-630.04667477905002</v>
      </c>
      <c r="CS418" s="644">
        <f t="shared" si="1266"/>
        <v>-664.27379717725501</v>
      </c>
      <c r="CT418" s="644">
        <f t="shared" si="1266"/>
        <v>-588.63765801417503</v>
      </c>
      <c r="CU418" s="644">
        <f t="shared" si="1266"/>
        <v>-1208.2040067720091</v>
      </c>
      <c r="CV418" s="644">
        <f t="shared" si="1266"/>
        <v>-1363.9978270996921</v>
      </c>
      <c r="CW418" s="1027">
        <f t="shared" si="1266"/>
        <v>-974.25772170598884</v>
      </c>
      <c r="CX418" s="644">
        <f t="shared" si="1266"/>
        <v>-1092.4630959072833</v>
      </c>
      <c r="CY418" s="2015"/>
      <c r="CZ418" s="2015"/>
      <c r="DA418" s="2015"/>
      <c r="DB418" s="2039"/>
      <c r="DC418" s="2015"/>
      <c r="DD418" s="2015"/>
      <c r="DE418" s="2015"/>
      <c r="DF418" s="2015"/>
      <c r="DG418" s="2039"/>
      <c r="DH418" s="2015"/>
      <c r="DI418" s="2015"/>
      <c r="DJ418" s="2015"/>
      <c r="DK418" s="2015"/>
      <c r="DL418" s="2039"/>
      <c r="DM418" s="2015"/>
      <c r="DN418" s="2015"/>
      <c r="DO418" s="2015"/>
      <c r="DP418" s="2015"/>
      <c r="DQ418" s="2039"/>
      <c r="DR418" s="2015"/>
      <c r="DS418" s="2015"/>
      <c r="DT418" s="2015"/>
      <c r="DU418" s="2015"/>
      <c r="DV418" s="2039"/>
      <c r="DW418" s="2015"/>
      <c r="DX418" s="2015"/>
      <c r="DY418" s="2015"/>
      <c r="DZ418" s="2015"/>
      <c r="EA418" s="2039"/>
      <c r="EB418" s="2015"/>
      <c r="EC418" s="2015"/>
      <c r="ED418" s="2015"/>
      <c r="EE418" s="2015"/>
      <c r="EF418" s="2039"/>
      <c r="EG418" s="2015"/>
      <c r="EH418" s="2015"/>
      <c r="EI418" s="2015"/>
      <c r="EJ418" s="2015"/>
      <c r="EK418" s="2039"/>
      <c r="EL418" s="2015"/>
      <c r="EM418" s="2015"/>
      <c r="EN418" s="2015"/>
      <c r="EO418" s="2015"/>
      <c r="EP418" s="2039"/>
      <c r="EQ418" s="2015"/>
      <c r="ER418" s="2015"/>
      <c r="ES418" s="2015"/>
      <c r="ET418" s="2015"/>
      <c r="EU418" s="2039"/>
      <c r="EV418" s="2039"/>
      <c r="EW418" s="2039"/>
      <c r="EX418" s="2039"/>
      <c r="EY418" s="2039"/>
      <c r="FA418" s="715"/>
      <c r="FB418" s="715"/>
    </row>
    <row r="419" spans="1:158" s="211" customFormat="1" ht="11.25" hidden="1" customHeight="1">
      <c r="A419" s="2071"/>
      <c r="B419" s="2001"/>
      <c r="C419" s="183"/>
      <c r="D419" s="183"/>
      <c r="E419" s="183"/>
      <c r="F419" s="2084"/>
      <c r="G419" s="2001"/>
      <c r="H419" s="183"/>
      <c r="I419" s="183"/>
      <c r="J419" s="183"/>
      <c r="K419" s="1028"/>
      <c r="P419" s="1028"/>
      <c r="Q419" s="2085"/>
      <c r="U419" s="1028"/>
      <c r="V419" s="2085"/>
      <c r="Z419" s="1028"/>
      <c r="AA419" s="2085"/>
      <c r="AE419" s="1028"/>
      <c r="AF419" s="2085"/>
      <c r="AJ419" s="1028"/>
      <c r="AK419" s="2085"/>
      <c r="AO419" s="1028"/>
      <c r="AP419" s="2085"/>
      <c r="AT419" s="1028"/>
      <c r="AU419" s="2085"/>
      <c r="AY419" s="1028"/>
      <c r="AZ419" s="2085"/>
      <c r="BD419" s="1028"/>
      <c r="BE419" s="2085"/>
      <c r="BI419" s="1028"/>
      <c r="BJ419" s="2085"/>
      <c r="BN419" s="1028"/>
      <c r="BS419" s="1938"/>
      <c r="BX419" s="1028"/>
      <c r="CC419" s="1938"/>
      <c r="CH419" s="1028"/>
      <c r="CM419" s="1028"/>
      <c r="CR419" s="1028"/>
      <c r="CW419" s="1028"/>
      <c r="CY419" s="2017"/>
      <c r="CZ419" s="2017"/>
      <c r="DA419" s="2017"/>
      <c r="DB419" s="2086"/>
      <c r="DC419" s="2017"/>
      <c r="DD419" s="2017"/>
      <c r="DE419" s="2017"/>
      <c r="DF419" s="2017"/>
      <c r="DG419" s="2086"/>
      <c r="DH419" s="2017"/>
      <c r="DI419" s="2017"/>
      <c r="DJ419" s="2017"/>
      <c r="DK419" s="2017"/>
      <c r="DL419" s="2086"/>
      <c r="DM419" s="2017"/>
      <c r="DN419" s="2017"/>
      <c r="DO419" s="2017"/>
      <c r="DP419" s="2017"/>
      <c r="DQ419" s="2086"/>
      <c r="DR419" s="2017"/>
      <c r="DS419" s="2017"/>
      <c r="DT419" s="2017"/>
      <c r="DU419" s="2017"/>
      <c r="DV419" s="2086"/>
      <c r="DW419" s="2017"/>
      <c r="DX419" s="2017"/>
      <c r="DY419" s="2017"/>
      <c r="DZ419" s="2017"/>
      <c r="EA419" s="2086"/>
      <c r="EB419" s="2017"/>
      <c r="EC419" s="2017"/>
      <c r="ED419" s="2017"/>
      <c r="EE419" s="2017"/>
      <c r="EF419" s="2086"/>
      <c r="EG419" s="2017"/>
      <c r="EH419" s="2017"/>
      <c r="EI419" s="2017"/>
      <c r="EJ419" s="2017"/>
      <c r="EK419" s="2086"/>
      <c r="EL419" s="2017"/>
      <c r="EM419" s="2017"/>
      <c r="EN419" s="2017"/>
      <c r="EO419" s="2017"/>
      <c r="EP419" s="2086"/>
      <c r="EQ419" s="2017"/>
      <c r="ER419" s="2017"/>
      <c r="ES419" s="2017"/>
      <c r="ET419" s="2017"/>
      <c r="EU419" s="2086"/>
      <c r="EV419" s="2086"/>
      <c r="EW419" s="2086"/>
      <c r="EX419" s="2086"/>
      <c r="EY419" s="2086"/>
      <c r="FA419" s="715"/>
      <c r="FB419" s="715"/>
    </row>
    <row r="420" spans="1:158" s="211" customFormat="1" ht="11.25" hidden="1" customHeight="1">
      <c r="A420" s="2002" t="s">
        <v>12</v>
      </c>
      <c r="B420" s="2001"/>
      <c r="C420" s="183"/>
      <c r="D420" s="183"/>
      <c r="E420" s="183"/>
      <c r="F420" s="2084"/>
      <c r="G420" s="2001"/>
      <c r="H420" s="183"/>
      <c r="I420" s="183"/>
      <c r="J420" s="183"/>
      <c r="K420" s="1028"/>
      <c r="P420" s="1028"/>
      <c r="Q420" s="2085"/>
      <c r="U420" s="1028"/>
      <c r="V420" s="2085"/>
      <c r="Z420" s="1028"/>
      <c r="AA420" s="2085"/>
      <c r="AE420" s="1028"/>
      <c r="AF420" s="2085"/>
      <c r="AJ420" s="1028"/>
      <c r="AK420" s="2085"/>
      <c r="AO420" s="1028"/>
      <c r="AP420" s="2087">
        <v>1.1127494684863848E-2</v>
      </c>
      <c r="AQ420" s="263">
        <v>2.8843708137622492E-2</v>
      </c>
      <c r="AR420" s="263">
        <v>4.9444572634076422E-3</v>
      </c>
      <c r="AS420" s="263">
        <v>3.8869026142291929E-3</v>
      </c>
      <c r="AT420" s="1028"/>
      <c r="AU420" s="2087">
        <v>-2.6302461975788671E-2</v>
      </c>
      <c r="AV420" s="263">
        <v>1.6778241975812236E-4</v>
      </c>
      <c r="AW420" s="263">
        <v>-3.413595764923516E-2</v>
      </c>
      <c r="AX420" s="263">
        <v>-0.18338319072502429</v>
      </c>
      <c r="AY420" s="1028"/>
      <c r="AZ420" s="2087">
        <v>-8.4407246643660061E-2</v>
      </c>
      <c r="BA420" s="263">
        <v>5.177820623010998E-2</v>
      </c>
      <c r="BB420" s="263">
        <v>8.9844957816157756E-2</v>
      </c>
      <c r="BC420" s="263">
        <v>-9.2611356543589318E-3</v>
      </c>
      <c r="BD420" s="1028" t="s">
        <v>116</v>
      </c>
      <c r="BE420" s="2088">
        <v>-3.0518112458835178E-2</v>
      </c>
      <c r="BF420" s="264">
        <v>-5.0446230774099599E-2</v>
      </c>
      <c r="BG420" s="264">
        <v>2.7174154557170205E-2</v>
      </c>
      <c r="BH420" s="264">
        <v>2.3599904821648421E-2</v>
      </c>
      <c r="BI420" s="1028" t="s">
        <v>116</v>
      </c>
      <c r="BJ420" s="241">
        <v>1.3432088995896985E-2</v>
      </c>
      <c r="BK420" s="264">
        <v>1.7673553610259685E-2</v>
      </c>
      <c r="BL420" s="264">
        <v>-1.319927319387848E-2</v>
      </c>
      <c r="BM420" s="264">
        <v>-2.3509669185570958E-2</v>
      </c>
      <c r="BN420" s="1028" t="s">
        <v>116</v>
      </c>
      <c r="BS420" s="1938"/>
      <c r="BT420" s="241">
        <v>-7.4378547661457795E-5</v>
      </c>
      <c r="BU420" s="264">
        <v>6.9138045108072532E-3</v>
      </c>
      <c r="BV420" s="264">
        <v>-1.7126949381213175E-3</v>
      </c>
      <c r="BW420" s="264">
        <v>1.6388729706113825E-2</v>
      </c>
      <c r="BX420" s="1028" t="s">
        <v>116</v>
      </c>
      <c r="CC420" s="1938"/>
      <c r="CD420" s="241">
        <v>-3.3404708812104666E-2</v>
      </c>
      <c r="CE420" s="264">
        <v>-1.0545112308939286E-2</v>
      </c>
      <c r="CF420" s="264">
        <v>9.9425159454327172E-3</v>
      </c>
      <c r="CG420" s="264">
        <f>+FX!CG183</f>
        <v>4.4051198199623443E-2</v>
      </c>
      <c r="CH420" s="1028" t="s">
        <v>116</v>
      </c>
      <c r="CI420" s="211">
        <f>FX!CI183</f>
        <v>1.7521997221403796E-2</v>
      </c>
      <c r="CJ420" s="211">
        <f>FX!CJ183</f>
        <v>2.153043267188548E-2</v>
      </c>
      <c r="CK420" s="211">
        <f>FX!CK183</f>
        <v>-8.4049095964175979E-3</v>
      </c>
      <c r="CL420" s="211">
        <f>FX!CL183</f>
        <v>-5.1734650925895687E-2</v>
      </c>
      <c r="CM420" s="1028"/>
      <c r="CN420" s="211">
        <f>FX!CN183</f>
        <v>-4.2951449080451121E-2</v>
      </c>
      <c r="CO420" s="211">
        <f>FX!CO183</f>
        <v>1.2136087790220573E-2</v>
      </c>
      <c r="CP420" s="211">
        <f>FX!CP183</f>
        <v>1.0255622517783003E-2</v>
      </c>
      <c r="CQ420" s="211">
        <f>FX!CQ183</f>
        <v>-2.0924586584867289E-2</v>
      </c>
      <c r="CR420" s="1028"/>
      <c r="CS420" s="211">
        <f>FX!CS183</f>
        <v>-5.5689041243906612E-2</v>
      </c>
      <c r="CT420" s="211">
        <f>FX!CT183</f>
        <v>1.1432156350476008E-2</v>
      </c>
      <c r="CU420" s="211">
        <f>FX!CU183</f>
        <v>-8.6894488551374938E-2</v>
      </c>
      <c r="CV420" s="211">
        <f>FX!CV183</f>
        <v>-4.937120391138905E-2</v>
      </c>
      <c r="CW420" s="1028"/>
      <c r="CY420" s="2017"/>
      <c r="CZ420" s="2017"/>
      <c r="DA420" s="2017"/>
      <c r="DB420" s="2086"/>
      <c r="DC420" s="2017"/>
      <c r="DD420" s="2017"/>
      <c r="DE420" s="2017"/>
      <c r="DF420" s="2017"/>
      <c r="DG420" s="2086"/>
      <c r="DH420" s="2017"/>
      <c r="DI420" s="2017"/>
      <c r="DJ420" s="2017"/>
      <c r="DK420" s="2017"/>
      <c r="DL420" s="2086"/>
      <c r="DM420" s="2017"/>
      <c r="DN420" s="2017"/>
      <c r="DO420" s="2017"/>
      <c r="DP420" s="2017"/>
      <c r="DQ420" s="2086"/>
      <c r="DR420" s="2017"/>
      <c r="DS420" s="2017"/>
      <c r="DT420" s="2017"/>
      <c r="DU420" s="2017"/>
      <c r="DV420" s="2086"/>
      <c r="DW420" s="2017"/>
      <c r="DX420" s="2017"/>
      <c r="DY420" s="2017"/>
      <c r="DZ420" s="2017"/>
      <c r="EA420" s="2086"/>
      <c r="EB420" s="2017"/>
      <c r="EC420" s="2017"/>
      <c r="ED420" s="2017"/>
      <c r="EE420" s="2017"/>
      <c r="EF420" s="2086"/>
      <c r="EG420" s="2017"/>
      <c r="EH420" s="2017"/>
      <c r="EI420" s="2017"/>
      <c r="EJ420" s="2017"/>
      <c r="EK420" s="2086"/>
      <c r="EL420" s="2017"/>
      <c r="EM420" s="2017"/>
      <c r="EN420" s="2017"/>
      <c r="EO420" s="2017"/>
      <c r="EP420" s="2086"/>
      <c r="EQ420" s="2017"/>
      <c r="ER420" s="2017"/>
      <c r="ES420" s="2017"/>
      <c r="ET420" s="2017"/>
      <c r="EU420" s="2086"/>
      <c r="EV420" s="2086"/>
      <c r="EW420" s="2086"/>
      <c r="EX420" s="2086"/>
      <c r="EY420" s="2086"/>
      <c r="FA420" s="715"/>
      <c r="FB420" s="715"/>
    </row>
    <row r="421" spans="1:158" s="211" customFormat="1" ht="11.25" hidden="1" customHeight="1">
      <c r="A421" s="2002"/>
      <c r="B421" s="2001"/>
      <c r="C421" s="183"/>
      <c r="D421" s="183"/>
      <c r="E421" s="183"/>
      <c r="F421" s="2084"/>
      <c r="G421" s="2001"/>
      <c r="H421" s="183"/>
      <c r="I421" s="183"/>
      <c r="J421" s="183"/>
      <c r="K421" s="1028"/>
      <c r="P421" s="1028"/>
      <c r="Q421" s="2085"/>
      <c r="U421" s="1028"/>
      <c r="V421" s="2085"/>
      <c r="Z421" s="1028"/>
      <c r="AA421" s="2085"/>
      <c r="AE421" s="1028"/>
      <c r="AF421" s="2085"/>
      <c r="AJ421" s="1028"/>
      <c r="AK421" s="2085"/>
      <c r="AO421" s="1028"/>
      <c r="AP421" s="2087"/>
      <c r="AQ421" s="263"/>
      <c r="AR421" s="263"/>
      <c r="AS421" s="263"/>
      <c r="AT421" s="1028"/>
      <c r="AU421" s="2087"/>
      <c r="AV421" s="263"/>
      <c r="AW421" s="263"/>
      <c r="AX421" s="263"/>
      <c r="AY421" s="1028"/>
      <c r="AZ421" s="2089"/>
      <c r="BA421" s="265"/>
      <c r="BB421" s="265"/>
      <c r="BC421" s="265"/>
      <c r="BD421" s="1028"/>
      <c r="BE421" s="2088"/>
      <c r="BF421" s="264"/>
      <c r="BG421" s="264"/>
      <c r="BH421" s="264"/>
      <c r="BI421" s="1028"/>
      <c r="BJ421" s="2088"/>
      <c r="BK421" s="265"/>
      <c r="BL421" s="265"/>
      <c r="BM421" s="265"/>
      <c r="BN421" s="1028"/>
      <c r="BS421" s="1938"/>
      <c r="BT421" s="265"/>
      <c r="BU421" s="265"/>
      <c r="BV421" s="265"/>
      <c r="BW421" s="265"/>
      <c r="BX421" s="1028"/>
      <c r="CC421" s="1938"/>
      <c r="CG421" s="265"/>
      <c r="CH421" s="1028"/>
      <c r="CI421" s="564"/>
      <c r="CM421" s="1028"/>
      <c r="CR421" s="1028"/>
      <c r="CW421" s="1028"/>
      <c r="CY421" s="2017"/>
      <c r="CZ421" s="2017"/>
      <c r="DA421" s="2017"/>
      <c r="DB421" s="2018"/>
      <c r="DC421" s="2017"/>
      <c r="DD421" s="2017"/>
      <c r="DE421" s="2017"/>
      <c r="DF421" s="2017"/>
      <c r="DG421" s="2018"/>
      <c r="DH421" s="2017"/>
      <c r="DI421" s="2017"/>
      <c r="DJ421" s="2017"/>
      <c r="DK421" s="2017"/>
      <c r="DL421" s="2018"/>
      <c r="DM421" s="2017"/>
      <c r="DN421" s="2017"/>
      <c r="DO421" s="2017"/>
      <c r="DP421" s="2017"/>
      <c r="DQ421" s="2018"/>
      <c r="DR421" s="2017"/>
      <c r="DS421" s="2017"/>
      <c r="DT421" s="2017"/>
      <c r="DU421" s="2017"/>
      <c r="DV421" s="2018"/>
      <c r="DW421" s="2017"/>
      <c r="DX421" s="2017"/>
      <c r="DY421" s="2017"/>
      <c r="DZ421" s="2017"/>
      <c r="EA421" s="2018"/>
      <c r="EB421" s="2017"/>
      <c r="EC421" s="2017"/>
      <c r="ED421" s="2017"/>
      <c r="EE421" s="2017"/>
      <c r="EF421" s="2018"/>
      <c r="EG421" s="2017"/>
      <c r="EH421" s="2017"/>
      <c r="EI421" s="2017"/>
      <c r="EJ421" s="2017"/>
      <c r="EK421" s="2018"/>
      <c r="EL421" s="2017"/>
      <c r="EM421" s="2017"/>
      <c r="EN421" s="2017"/>
      <c r="EO421" s="2017"/>
      <c r="EP421" s="2018"/>
      <c r="EQ421" s="2017"/>
      <c r="ER421" s="2017"/>
      <c r="ES421" s="2017"/>
      <c r="ET421" s="2017"/>
      <c r="EU421" s="2018"/>
      <c r="EV421" s="2018"/>
      <c r="EW421" s="2018"/>
      <c r="EX421" s="2018"/>
      <c r="EY421" s="2018"/>
      <c r="FA421" s="715"/>
      <c r="FB421" s="715"/>
    </row>
    <row r="422" spans="1:158" s="211" customFormat="1" ht="11.25" hidden="1" customHeight="1">
      <c r="A422" s="2067" t="s">
        <v>8</v>
      </c>
      <c r="B422" s="2001"/>
      <c r="C422" s="183"/>
      <c r="D422" s="183"/>
      <c r="E422" s="183"/>
      <c r="F422" s="2084"/>
      <c r="G422" s="2001"/>
      <c r="H422" s="183"/>
      <c r="I422" s="183"/>
      <c r="J422" s="183"/>
      <c r="K422" s="1028"/>
      <c r="P422" s="1028"/>
      <c r="Q422" s="2085"/>
      <c r="U422" s="1028"/>
      <c r="V422" s="2085"/>
      <c r="Z422" s="1028"/>
      <c r="AA422" s="2085"/>
      <c r="AE422" s="1028"/>
      <c r="AF422" s="2085"/>
      <c r="AJ422" s="1028"/>
      <c r="AK422" s="2085"/>
      <c r="AO422" s="1028"/>
      <c r="AP422" s="2033">
        <f>AN404*AP420</f>
        <v>5.2132312598587127</v>
      </c>
      <c r="AQ422" s="214">
        <f>AP404*AQ420</f>
        <v>16.68201819476721</v>
      </c>
      <c r="AR422" s="214">
        <f>AQ404*AR420</f>
        <v>2.9642713518145691</v>
      </c>
      <c r="AS422" s="214">
        <f>AR404*AS420</f>
        <v>2.5693048184473239</v>
      </c>
      <c r="AT422" s="1028"/>
      <c r="AU422" s="2033">
        <f>AS404*AU420</f>
        <v>-18.202013853719105</v>
      </c>
      <c r="AV422" s="214">
        <f>AU404*AV420</f>
        <v>0.13472475294043879</v>
      </c>
      <c r="AW422" s="214">
        <f>AV404*AW420</f>
        <v>-26.419797510286745</v>
      </c>
      <c r="AX422" s="214">
        <f>AW404*AX420</f>
        <v>-142.33469731313485</v>
      </c>
      <c r="AY422" s="1028"/>
      <c r="AZ422" s="2033">
        <f>AX404*AZ420</f>
        <v>-57.852473627824672</v>
      </c>
      <c r="BA422" s="214">
        <f>AZ404*BA420</f>
        <v>37.974550674812498</v>
      </c>
      <c r="BB422" s="214">
        <f>BA404*BB420</f>
        <v>64.239144838552789</v>
      </c>
      <c r="BC422" s="214">
        <f>BB404*BC420</f>
        <v>-7.0859912454909582</v>
      </c>
      <c r="BD422" s="1028"/>
      <c r="BE422" s="2090">
        <v>-20</v>
      </c>
      <c r="BF422" s="266">
        <v>-47</v>
      </c>
      <c r="BG422" s="266">
        <v>24</v>
      </c>
      <c r="BH422" s="266">
        <v>23</v>
      </c>
      <c r="BI422" s="1028"/>
      <c r="BJ422" s="2090">
        <v>6</v>
      </c>
      <c r="BK422" s="266">
        <v>29</v>
      </c>
      <c r="BL422" s="266">
        <v>0</v>
      </c>
      <c r="BM422" s="266">
        <f>-32+6</f>
        <v>-26</v>
      </c>
      <c r="BN422" s="1028"/>
      <c r="BS422" s="1938"/>
      <c r="BT422" s="266">
        <f>-4+4</f>
        <v>0</v>
      </c>
      <c r="BU422" s="266">
        <f>10+7</f>
        <v>17</v>
      </c>
      <c r="BV422" s="266">
        <f>6-17</f>
        <v>-11</v>
      </c>
      <c r="BW422" s="266">
        <f>1+16</f>
        <v>17</v>
      </c>
      <c r="BX422" s="1028"/>
      <c r="CC422" s="1938"/>
      <c r="CD422" s="2090">
        <v>-27</v>
      </c>
      <c r="CE422" s="266">
        <v>-31</v>
      </c>
      <c r="CF422" s="266">
        <v>13</v>
      </c>
      <c r="CG422" s="266">
        <v>54</v>
      </c>
      <c r="CH422" s="1028"/>
      <c r="CI422" s="2090">
        <v>36</v>
      </c>
      <c r="CJ422" s="266">
        <v>16</v>
      </c>
      <c r="CK422" s="266">
        <v>9</v>
      </c>
      <c r="CL422" s="266">
        <v>-78</v>
      </c>
      <c r="CM422" s="1028"/>
      <c r="CN422" s="266">
        <v>-62</v>
      </c>
      <c r="CO422" s="266">
        <v>-30</v>
      </c>
      <c r="CP422" s="266">
        <v>39</v>
      </c>
      <c r="CQ422" s="266">
        <v>-44</v>
      </c>
      <c r="CR422" s="1028"/>
      <c r="CS422" s="266">
        <v>-93</v>
      </c>
      <c r="CT422" s="266">
        <f>21</f>
        <v>21</v>
      </c>
      <c r="CU422" s="266">
        <v>-153</v>
      </c>
      <c r="CV422" s="266">
        <f>-87</f>
        <v>-87</v>
      </c>
      <c r="CW422" s="1028"/>
      <c r="CX422" s="266">
        <v>-14</v>
      </c>
      <c r="CY422" s="2017"/>
      <c r="CZ422" s="2017"/>
      <c r="DA422" s="2017"/>
      <c r="DB422" s="2018"/>
      <c r="DC422" s="2017"/>
      <c r="DD422" s="2017"/>
      <c r="DE422" s="2017"/>
      <c r="DF422" s="2017"/>
      <c r="DG422" s="2018"/>
      <c r="DH422" s="2017"/>
      <c r="DI422" s="2017"/>
      <c r="DJ422" s="2017"/>
      <c r="DK422" s="2017"/>
      <c r="DL422" s="2018"/>
      <c r="DM422" s="2017"/>
      <c r="DN422" s="2017"/>
      <c r="DO422" s="2017"/>
      <c r="DP422" s="2017"/>
      <c r="DQ422" s="2018"/>
      <c r="DR422" s="2017"/>
      <c r="DS422" s="2017"/>
      <c r="DT422" s="2017"/>
      <c r="DU422" s="2017"/>
      <c r="DV422" s="2018"/>
      <c r="DW422" s="2017"/>
      <c r="DX422" s="2017"/>
      <c r="DY422" s="2017"/>
      <c r="DZ422" s="2017"/>
      <c r="EA422" s="2018"/>
      <c r="EB422" s="2017"/>
      <c r="EC422" s="2017"/>
      <c r="ED422" s="2017"/>
      <c r="EE422" s="2017"/>
      <c r="EF422" s="2018"/>
      <c r="EG422" s="2017"/>
      <c r="EH422" s="2017"/>
      <c r="EI422" s="2017"/>
      <c r="EJ422" s="2017"/>
      <c r="EK422" s="2018"/>
      <c r="EL422" s="2017"/>
      <c r="EM422" s="2017"/>
      <c r="EN422" s="2017"/>
      <c r="EO422" s="2017"/>
      <c r="EP422" s="2018"/>
      <c r="EQ422" s="2017"/>
      <c r="ER422" s="2017"/>
      <c r="ES422" s="2017"/>
      <c r="ET422" s="2017"/>
      <c r="EU422" s="2018"/>
      <c r="EV422" s="2018"/>
      <c r="EW422" s="2018"/>
      <c r="EX422" s="2018"/>
      <c r="EY422" s="2018"/>
      <c r="FA422" s="715"/>
      <c r="FB422" s="715"/>
    </row>
    <row r="423" spans="1:158" s="259" customFormat="1" ht="11.25" hidden="1" customHeight="1">
      <c r="A423" s="1990" t="s">
        <v>295</v>
      </c>
      <c r="B423" s="2091"/>
      <c r="C423" s="267"/>
      <c r="D423" s="267"/>
      <c r="E423" s="267"/>
      <c r="F423" s="2092"/>
      <c r="G423" s="2091"/>
      <c r="H423" s="267"/>
      <c r="I423" s="267"/>
      <c r="J423" s="267"/>
      <c r="K423" s="1029"/>
      <c r="P423" s="1029"/>
      <c r="Q423" s="2093"/>
      <c r="U423" s="1029"/>
      <c r="V423" s="2093"/>
      <c r="Z423" s="1029"/>
      <c r="AA423" s="2093"/>
      <c r="AE423" s="1029"/>
      <c r="AF423" s="2093"/>
      <c r="AJ423" s="1029"/>
      <c r="AK423" s="2093"/>
      <c r="AO423" s="1029"/>
      <c r="AP423" s="2041">
        <f>AP404-AP422</f>
        <v>573.14576874014131</v>
      </c>
      <c r="AQ423" s="252">
        <f>AQ404-AQ422</f>
        <v>582.83198180523277</v>
      </c>
      <c r="AR423" s="252">
        <f>AR404-AR422</f>
        <v>658.05172864818542</v>
      </c>
      <c r="AS423" s="252">
        <f>AS404-AS422</f>
        <v>689.45769518155259</v>
      </c>
      <c r="AT423" s="1029"/>
      <c r="AU423" s="2041">
        <f>AU404-AU422</f>
        <v>821.17501385371907</v>
      </c>
      <c r="AV423" s="252">
        <f>AV404-AV422</f>
        <v>773.82327524705954</v>
      </c>
      <c r="AW423" s="252">
        <f>AW404-AW422</f>
        <v>802.57979751028677</v>
      </c>
      <c r="AX423" s="252">
        <f>AX404-AX422</f>
        <v>827.73169731313476</v>
      </c>
      <c r="AY423" s="1029"/>
      <c r="AZ423" s="2041">
        <f>AZ404-AZ422</f>
        <v>791.26047362782469</v>
      </c>
      <c r="BA423" s="252">
        <f>BA404-BA422</f>
        <v>677.02544932518754</v>
      </c>
      <c r="BB423" s="252">
        <f>BB404-BB422</f>
        <v>700.89285516144719</v>
      </c>
      <c r="BC423" s="252">
        <f>BC404-BC422</f>
        <v>779.58599124549085</v>
      </c>
      <c r="BD423" s="1029" t="s">
        <v>116</v>
      </c>
      <c r="BE423" s="2041">
        <f>BE404-BE422</f>
        <v>862</v>
      </c>
      <c r="BF423" s="252">
        <f>BF404-BF422</f>
        <v>817</v>
      </c>
      <c r="BG423" s="252">
        <f>BG404-BG422</f>
        <v>816</v>
      </c>
      <c r="BH423" s="252">
        <f>BH404-BH422</f>
        <v>855</v>
      </c>
      <c r="BI423" s="1029" t="s">
        <v>116</v>
      </c>
      <c r="BJ423" s="2041">
        <f>BJ404-BJ422</f>
        <v>963</v>
      </c>
      <c r="BK423" s="252">
        <f>BK404-BK422</f>
        <v>947</v>
      </c>
      <c r="BL423" s="252">
        <f>BL404-BL422</f>
        <v>1047</v>
      </c>
      <c r="BM423" s="252">
        <f>BM404-BM422</f>
        <v>1090</v>
      </c>
      <c r="BN423" s="1029" t="s">
        <v>116</v>
      </c>
      <c r="BS423" s="1939"/>
      <c r="BT423" s="252">
        <f>BT404-BT422</f>
        <v>1150</v>
      </c>
      <c r="BU423" s="252">
        <f>BU404-BU422</f>
        <v>1158</v>
      </c>
      <c r="BV423" s="252">
        <f>BV404-BV422</f>
        <v>1227</v>
      </c>
      <c r="BW423" s="252">
        <f>BW404-BW422</f>
        <v>1288</v>
      </c>
      <c r="BX423" s="1029" t="s">
        <v>116</v>
      </c>
      <c r="CC423" s="1939"/>
      <c r="CD423" s="2041">
        <f>CD404-CD422</f>
        <v>1414</v>
      </c>
      <c r="CE423" s="252">
        <f>CE404-CE422</f>
        <v>1352</v>
      </c>
      <c r="CF423" s="252">
        <f>CF404-CF422</f>
        <v>1376</v>
      </c>
      <c r="CG423" s="252">
        <f>CG404-CG422</f>
        <v>1449</v>
      </c>
      <c r="CH423" s="1029" t="s">
        <v>116</v>
      </c>
      <c r="CI423" s="252">
        <f>CI404-CI422</f>
        <v>1547</v>
      </c>
      <c r="CJ423" s="252">
        <f>CJ404-CJ422</f>
        <v>1600</v>
      </c>
      <c r="CK423" s="252">
        <f>CK404-CK422</f>
        <v>1618</v>
      </c>
      <c r="CL423" s="252">
        <f>CL404-CL422</f>
        <v>1735</v>
      </c>
      <c r="CM423" s="1029"/>
      <c r="CN423" s="252">
        <f>CN404-CN422</f>
        <v>1737</v>
      </c>
      <c r="CO423" s="252">
        <f>CO404-CO422</f>
        <v>1708</v>
      </c>
      <c r="CP423" s="252">
        <f>CP404-CP422</f>
        <v>1753</v>
      </c>
      <c r="CQ423" s="252">
        <f>CQ404-CQ422</f>
        <v>1966</v>
      </c>
      <c r="CR423" s="1029"/>
      <c r="CS423" s="252">
        <f>CS404-CS422</f>
        <v>2014</v>
      </c>
      <c r="CT423" s="252">
        <f>CT404-CT422</f>
        <v>1893</v>
      </c>
      <c r="CU423" s="252">
        <f>CU404-CU422</f>
        <v>2043</v>
      </c>
      <c r="CV423" s="252">
        <f>CV404-CV422</f>
        <v>2149</v>
      </c>
      <c r="CW423" s="1029"/>
      <c r="CX423" s="252">
        <f>CX404-CX422</f>
        <v>2039</v>
      </c>
      <c r="CY423" s="2019"/>
      <c r="CZ423" s="2019"/>
      <c r="DA423" s="2019"/>
      <c r="DB423" s="2094"/>
      <c r="DC423" s="2019"/>
      <c r="DD423" s="2019"/>
      <c r="DE423" s="2019"/>
      <c r="DF423" s="2019"/>
      <c r="DG423" s="2094"/>
      <c r="DH423" s="2019"/>
      <c r="DI423" s="2019"/>
      <c r="DJ423" s="2019"/>
      <c r="DK423" s="2019"/>
      <c r="DL423" s="2094"/>
      <c r="DM423" s="2019"/>
      <c r="DN423" s="2019"/>
      <c r="DO423" s="2019"/>
      <c r="DP423" s="2019"/>
      <c r="DQ423" s="2094"/>
      <c r="DR423" s="2019"/>
      <c r="DS423" s="2019"/>
      <c r="DT423" s="2019"/>
      <c r="DU423" s="2019"/>
      <c r="DV423" s="2094"/>
      <c r="DW423" s="2019"/>
      <c r="DX423" s="2019"/>
      <c r="DY423" s="2019"/>
      <c r="DZ423" s="2019"/>
      <c r="EA423" s="2094"/>
      <c r="EB423" s="2019"/>
      <c r="EC423" s="2019"/>
      <c r="ED423" s="2019"/>
      <c r="EE423" s="2019"/>
      <c r="EF423" s="2094"/>
      <c r="EG423" s="2019"/>
      <c r="EH423" s="2019"/>
      <c r="EI423" s="2019"/>
      <c r="EJ423" s="2019"/>
      <c r="EK423" s="2094"/>
      <c r="EL423" s="2019"/>
      <c r="EM423" s="2019"/>
      <c r="EN423" s="2019"/>
      <c r="EO423" s="2019"/>
      <c r="EP423" s="2094"/>
      <c r="EQ423" s="2019"/>
      <c r="ER423" s="2019"/>
      <c r="ES423" s="2019"/>
      <c r="ET423" s="2019"/>
      <c r="EU423" s="2094"/>
      <c r="EV423" s="2094"/>
      <c r="EW423" s="2094"/>
      <c r="EX423" s="2094"/>
      <c r="EY423" s="2094"/>
      <c r="FA423" s="715"/>
      <c r="FB423" s="715"/>
    </row>
    <row r="424" spans="1:158" s="239" customFormat="1" ht="11.25" hidden="1" customHeight="1">
      <c r="A424" s="1554" t="s">
        <v>478</v>
      </c>
      <c r="B424" s="2001"/>
      <c r="C424" s="183"/>
      <c r="D424" s="183"/>
      <c r="E424" s="183"/>
      <c r="F424" s="2095"/>
      <c r="G424" s="2001"/>
      <c r="H424" s="183"/>
      <c r="I424" s="183"/>
      <c r="J424" s="183"/>
      <c r="K424" s="1030"/>
      <c r="P424" s="1030"/>
      <c r="Q424" s="2096"/>
      <c r="U424" s="1030"/>
      <c r="V424" s="2096"/>
      <c r="Z424" s="1030"/>
      <c r="AA424" s="2096"/>
      <c r="AE424" s="1030"/>
      <c r="AF424" s="2096"/>
      <c r="AJ424" s="1030"/>
      <c r="AK424" s="2096"/>
      <c r="AO424" s="1030"/>
      <c r="AP424" s="2001">
        <f>AP423/AN404-1</f>
        <v>0.22336343381033363</v>
      </c>
      <c r="AQ424" s="183">
        <f>AQ423/AP404-1</f>
        <v>7.7339192529772838E-3</v>
      </c>
      <c r="AR424" s="183">
        <f>AR423/AQ404-1</f>
        <v>9.7641971076881218E-2</v>
      </c>
      <c r="AS424" s="183">
        <f>AS423/AR404-1</f>
        <v>4.3027241672747074E-2</v>
      </c>
      <c r="AT424" s="1030"/>
      <c r="AU424" s="2001">
        <f>AU423/AS404-1</f>
        <v>0.18662279629800449</v>
      </c>
      <c r="AV424" s="183">
        <f>AV423/AU404-1</f>
        <v>-3.6302247713111635E-2</v>
      </c>
      <c r="AW424" s="183">
        <f>AW423/AV404-1</f>
        <v>3.6981073275664578E-2</v>
      </c>
      <c r="AX424" s="183">
        <f>AX423/AW404-1</f>
        <v>6.6444672893649193E-2</v>
      </c>
      <c r="AY424" s="1030"/>
      <c r="AZ424" s="2001">
        <f>AZ423/AX404-1</f>
        <v>0.15445570031357714</v>
      </c>
      <c r="BA424" s="183">
        <f>BA423/(AZ404)-1</f>
        <v>-7.6877468850643171E-2</v>
      </c>
      <c r="BB424" s="183">
        <f>BB423/BA404-1</f>
        <v>-1.9730272501472412E-2</v>
      </c>
      <c r="BC424" s="183">
        <f>BC423/BB404-1</f>
        <v>1.8890846606194556E-2</v>
      </c>
      <c r="BD424" s="1030"/>
      <c r="BE424" s="2001">
        <f>BE423/BC404-1</f>
        <v>0.11585760517799359</v>
      </c>
      <c r="BF424" s="183">
        <f>BF423/(BE404)-1</f>
        <v>-2.9691211401425166E-2</v>
      </c>
      <c r="BG424" s="183">
        <f>BG423/(BF404)-1</f>
        <v>5.9740259740259649E-2</v>
      </c>
      <c r="BH424" s="183">
        <f>BH423/(BG404)-1</f>
        <v>1.7857142857142794E-2</v>
      </c>
      <c r="BI424" s="1030"/>
      <c r="BJ424" s="2001">
        <f>BJ423/BH404-1</f>
        <v>9.6810933940774557E-2</v>
      </c>
      <c r="BK424" s="183">
        <f>BK423/(BJ404)-1</f>
        <v>-2.270381836945301E-2</v>
      </c>
      <c r="BL424" s="183">
        <f>BL423/(BK404)-1</f>
        <v>7.2745901639344357E-2</v>
      </c>
      <c r="BM424" s="183">
        <f>BM423/(BL404)-1</f>
        <v>4.1069723018147153E-2</v>
      </c>
      <c r="BN424" s="1030"/>
      <c r="BS424" s="1940"/>
      <c r="BT424" s="183">
        <f>BT423/BM404-1</f>
        <v>8.0827067669172914E-2</v>
      </c>
      <c r="BU424" s="183">
        <f>BU423/(BT404)-1</f>
        <v>6.9565217391305278E-3</v>
      </c>
      <c r="BV424" s="183">
        <f>BV423/(BU404)-1</f>
        <v>4.4255319148936101E-2</v>
      </c>
      <c r="BW424" s="183">
        <f>BW423/(BV404)-1</f>
        <v>5.921052631578938E-2</v>
      </c>
      <c r="BX424" s="1030"/>
      <c r="CC424" s="1940"/>
      <c r="CD424" s="2001">
        <f>CD423/BW404-1</f>
        <v>8.3524904214559381E-2</v>
      </c>
      <c r="CE424" s="183">
        <f>CE423/(CD404)-1</f>
        <v>-2.5234318673395872E-2</v>
      </c>
      <c r="CF424" s="183">
        <f>CF423/(CE404)-1</f>
        <v>4.1635124905374798E-2</v>
      </c>
      <c r="CG424" s="183">
        <f>CG423/(CF404)-1</f>
        <v>4.3196544276457916E-2</v>
      </c>
      <c r="CH424" s="1030"/>
      <c r="CI424" s="183">
        <f>CI423/(CG404)-1</f>
        <v>2.9274783765801837E-2</v>
      </c>
      <c r="CJ424" s="183">
        <f>CJ423/(CI404)-1</f>
        <v>1.073910296904601E-2</v>
      </c>
      <c r="CK424" s="183">
        <f>CK423/(CJ404)-1</f>
        <v>1.2376237623761277E-3</v>
      </c>
      <c r="CL424" s="183">
        <f>CL423/(CK404)-1</f>
        <v>6.6379840196681084E-2</v>
      </c>
      <c r="CM424" s="1030"/>
      <c r="CN424" s="183">
        <f>CN423/(CL404-CL415)-1</f>
        <v>5.0181378476420901E-2</v>
      </c>
      <c r="CO424" s="183">
        <f>CO423/(CN404-CN415)-1</f>
        <v>3.2024169184289963E-2</v>
      </c>
      <c r="CP424" s="183">
        <f>CP423/(CO404-CO415)-1</f>
        <v>7.943349753694573E-2</v>
      </c>
      <c r="CQ424" s="183">
        <f>CQ423/(CP404-CP415)-1</f>
        <v>0.10948081264108356</v>
      </c>
      <c r="CR424" s="1030"/>
      <c r="CS424" s="183">
        <f>CS423/(CQ404-CQ415)-1</f>
        <v>6.9569835369091892E-2</v>
      </c>
      <c r="CT424" s="183">
        <f>CT423/(CS404-CS415)-1</f>
        <v>7.4507716870675367E-3</v>
      </c>
      <c r="CU424" s="183">
        <f>CU423/(CT404-CT415)-1</f>
        <v>8.8438998401704882E-2</v>
      </c>
      <c r="CV424" s="183">
        <f>CV423/(CU404-CU415)-1</f>
        <v>0.18992248062015493</v>
      </c>
      <c r="CW424" s="1030"/>
      <c r="CX424" s="183">
        <f>CX423/(CV404-CV415)-1</f>
        <v>5.7572614107883835E-2</v>
      </c>
      <c r="CY424" s="2020"/>
      <c r="CZ424" s="2020"/>
      <c r="DA424" s="2020"/>
      <c r="DB424" s="2046"/>
      <c r="DC424" s="2020"/>
      <c r="DD424" s="2020"/>
      <c r="DE424" s="2020"/>
      <c r="DF424" s="2020"/>
      <c r="DG424" s="2046"/>
      <c r="DH424" s="2020"/>
      <c r="DI424" s="2020"/>
      <c r="DJ424" s="2020"/>
      <c r="DK424" s="2020"/>
      <c r="DL424" s="2046"/>
      <c r="DM424" s="2020"/>
      <c r="DN424" s="2020"/>
      <c r="DO424" s="2020"/>
      <c r="DP424" s="2020"/>
      <c r="DQ424" s="2046"/>
      <c r="DR424" s="2020"/>
      <c r="DS424" s="2020"/>
      <c r="DT424" s="2020"/>
      <c r="DU424" s="2020"/>
      <c r="DV424" s="2046"/>
      <c r="DW424" s="2020"/>
      <c r="DX424" s="2020"/>
      <c r="DY424" s="2020"/>
      <c r="DZ424" s="2020"/>
      <c r="EA424" s="2046"/>
      <c r="EB424" s="2020"/>
      <c r="EC424" s="2020"/>
      <c r="ED424" s="2020"/>
      <c r="EE424" s="2020"/>
      <c r="EF424" s="2046"/>
      <c r="EG424" s="2020"/>
      <c r="EH424" s="2020"/>
      <c r="EI424" s="2020"/>
      <c r="EJ424" s="2020"/>
      <c r="EK424" s="2046"/>
      <c r="EL424" s="2020"/>
      <c r="EM424" s="2020"/>
      <c r="EN424" s="2020"/>
      <c r="EO424" s="2020"/>
      <c r="EP424" s="2046"/>
      <c r="EQ424" s="2020"/>
      <c r="ER424" s="2020"/>
      <c r="ES424" s="2020"/>
      <c r="ET424" s="2020"/>
      <c r="EU424" s="2046"/>
      <c r="EV424" s="2046"/>
      <c r="EW424" s="2046"/>
      <c r="EX424" s="2046"/>
      <c r="EY424" s="2046"/>
      <c r="FA424" s="715"/>
      <c r="FB424" s="715"/>
    </row>
    <row r="425" spans="1:158" s="211" customFormat="1" ht="11.25" hidden="1" customHeight="1">
      <c r="A425" s="2071" t="s">
        <v>296</v>
      </c>
      <c r="B425" s="2001"/>
      <c r="C425" s="183"/>
      <c r="D425" s="183"/>
      <c r="E425" s="183"/>
      <c r="F425" s="2084"/>
      <c r="G425" s="2001"/>
      <c r="H425" s="183"/>
      <c r="I425" s="183"/>
      <c r="J425" s="183"/>
      <c r="K425" s="1028"/>
      <c r="P425" s="1028"/>
      <c r="Q425" s="2085"/>
      <c r="U425" s="1028"/>
      <c r="V425" s="2085"/>
      <c r="Z425" s="1028"/>
      <c r="AA425" s="2085"/>
      <c r="AE425" s="1028"/>
      <c r="AF425" s="2085"/>
      <c r="AJ425" s="1028"/>
      <c r="AK425" s="2085"/>
      <c r="AO425" s="1028"/>
      <c r="AP425" s="2033">
        <f>(AP406-AP424)*10000</f>
        <v>111.27494684863848</v>
      </c>
      <c r="AQ425" s="214">
        <f>(AQ406-AQ424)*10000</f>
        <v>288.43708137622713</v>
      </c>
      <c r="AR425" s="214">
        <f>(AR406-AR424)*10000</f>
        <v>49.444572634076422</v>
      </c>
      <c r="AS425" s="214">
        <f>(AS406-AS424)*10000</f>
        <v>38.869026142291929</v>
      </c>
      <c r="AT425" s="1028"/>
      <c r="AU425" s="2033">
        <f>(AU406-AU424)*10000</f>
        <v>-263.02461975788782</v>
      </c>
      <c r="AV425" s="214">
        <f>(AV406-AV424)*10000</f>
        <v>1.6778241975812236</v>
      </c>
      <c r="AW425" s="214">
        <f>(AW406-AW424)*10000</f>
        <v>-341.35957649235269</v>
      </c>
      <c r="AX425" s="214">
        <f>(AX406-AX424)*10000</f>
        <v>-1833.8319072502418</v>
      </c>
      <c r="AY425" s="1028"/>
      <c r="AZ425" s="2033">
        <f>(AZ406-AZ424)*10000</f>
        <v>-844.07246643660062</v>
      </c>
      <c r="BA425" s="214">
        <f>(BA406-BA424)*10000</f>
        <v>517.78206230109981</v>
      </c>
      <c r="BB425" s="214">
        <f>(BB406-BB424)*10000</f>
        <v>898.44957816157648</v>
      </c>
      <c r="BC425" s="214">
        <f>(BC406-BC424)*10000</f>
        <v>-92.611356543588215</v>
      </c>
      <c r="BD425" s="1028"/>
      <c r="BE425" s="2033">
        <f>(BE406-BE424)*10000</f>
        <v>-258.89967637540366</v>
      </c>
      <c r="BF425" s="214">
        <f>(BF406-BF424)*10000</f>
        <v>-558.194774346793</v>
      </c>
      <c r="BG425" s="214">
        <f>(BG406-BG424)*10000</f>
        <v>311.68831168831179</v>
      </c>
      <c r="BH425" s="214">
        <f>(BH406-BH424)*10000</f>
        <v>273.80952380952505</v>
      </c>
      <c r="BI425" s="1028"/>
      <c r="BJ425" s="2033">
        <f>(BJ406-BJ424)*10000</f>
        <v>68.337129840545515</v>
      </c>
      <c r="BK425" s="214">
        <f>(BK406-BK424)*10000</f>
        <v>299.27760577915353</v>
      </c>
      <c r="BL425" s="214">
        <f>(BL406-BL424)*10000</f>
        <v>0</v>
      </c>
      <c r="BM425" s="214">
        <f>(BM406-BM424)*10000</f>
        <v>-248.32855778414543</v>
      </c>
      <c r="BN425" s="1028"/>
      <c r="BS425" s="1938"/>
      <c r="BT425" s="214">
        <f>(BT406-BT424)*10000</f>
        <v>0</v>
      </c>
      <c r="BU425" s="214">
        <f>(BU406-BU424)*10000</f>
        <v>147.82608695652178</v>
      </c>
      <c r="BV425" s="214">
        <f>(BV406-BV424)*10000</f>
        <v>-93.61702127659521</v>
      </c>
      <c r="BW425" s="214">
        <f>(BW406-BW424)*10000</f>
        <v>139.80263157894913</v>
      </c>
      <c r="BX425" s="1028"/>
      <c r="CC425" s="1938"/>
      <c r="CD425" s="2033">
        <f>(CD406-CD424)*10000</f>
        <v>-206.89655172413833</v>
      </c>
      <c r="CE425" s="214">
        <f>(CE406-CE424)*10000</f>
        <v>-223.50396539293382</v>
      </c>
      <c r="CF425" s="214">
        <f>(CF406-CF424)*10000</f>
        <v>98.410295230884074</v>
      </c>
      <c r="CG425" s="214">
        <f>(CG406-CG424)*10000</f>
        <v>388.76889848812101</v>
      </c>
      <c r="CH425" s="1028"/>
      <c r="CI425" s="214">
        <f>(CI406-CI424)*10000</f>
        <v>239.520958083832</v>
      </c>
      <c r="CJ425" s="214">
        <f>(CJ406-CJ424)*10000</f>
        <v>101.07391029690493</v>
      </c>
      <c r="CK425" s="214">
        <f>(CK406-CK424)*10000</f>
        <v>55.693069306932408</v>
      </c>
      <c r="CL425" s="214">
        <f>(CL406-CL424)*10000</f>
        <v>-479.40995697603125</v>
      </c>
      <c r="CM425" s="1028"/>
      <c r="CN425" s="214">
        <f>(CN406-CN424)*10000</f>
        <v>-393.18373044918252</v>
      </c>
      <c r="CO425" s="214">
        <f>(CO406-CO424)*10000</f>
        <v>-302.33124408170607</v>
      </c>
      <c r="CP425" s="214">
        <f>(CP406-CP424)*10000</f>
        <v>-114.95476082833633</v>
      </c>
      <c r="CQ425" s="214">
        <f>(CQ406-CQ424)*10000</f>
        <v>-369.36169783940767</v>
      </c>
      <c r="CR425" s="1028"/>
      <c r="CS425" s="214">
        <f>(CS406-CS424)*10000</f>
        <v>-700.90126732255226</v>
      </c>
      <c r="CT425" s="214">
        <f>(CT406-CT424)*10000</f>
        <v>-110.94707137353832</v>
      </c>
      <c r="CU425" s="214">
        <f>(CU406-CU424)*10000</f>
        <v>-1009.7818335468289</v>
      </c>
      <c r="CV425" s="214">
        <f>(CV406-CV424)*10000</f>
        <v>-989.17189614863958</v>
      </c>
      <c r="CW425" s="1028"/>
      <c r="CX425" s="214">
        <f>(CX406-CX424)*10000</f>
        <v>-755.16358045808136</v>
      </c>
      <c r="CY425" s="2017"/>
      <c r="CZ425" s="2017"/>
      <c r="DA425" s="2017"/>
      <c r="DB425" s="2018"/>
      <c r="DC425" s="2017"/>
      <c r="DD425" s="2017"/>
      <c r="DE425" s="2017"/>
      <c r="DF425" s="2017"/>
      <c r="DG425" s="2018"/>
      <c r="DH425" s="2017"/>
      <c r="DI425" s="2017"/>
      <c r="DJ425" s="2017"/>
      <c r="DK425" s="2017"/>
      <c r="DL425" s="2018"/>
      <c r="DM425" s="2017"/>
      <c r="DN425" s="2017"/>
      <c r="DO425" s="2017"/>
      <c r="DP425" s="2017"/>
      <c r="DQ425" s="2018"/>
      <c r="DR425" s="2017"/>
      <c r="DS425" s="2017"/>
      <c r="DT425" s="2017"/>
      <c r="DU425" s="2017"/>
      <c r="DV425" s="2018"/>
      <c r="DW425" s="2017"/>
      <c r="DX425" s="2017"/>
      <c r="DY425" s="2017"/>
      <c r="DZ425" s="2017"/>
      <c r="EA425" s="2018"/>
      <c r="EB425" s="2017"/>
      <c r="EC425" s="2017"/>
      <c r="ED425" s="2017"/>
      <c r="EE425" s="2017"/>
      <c r="EF425" s="2018"/>
      <c r="EG425" s="2017"/>
      <c r="EH425" s="2017"/>
      <c r="EI425" s="2017"/>
      <c r="EJ425" s="2017"/>
      <c r="EK425" s="2018"/>
      <c r="EL425" s="2017"/>
      <c r="EM425" s="2017"/>
      <c r="EN425" s="2017"/>
      <c r="EO425" s="2017"/>
      <c r="EP425" s="2018"/>
      <c r="EQ425" s="2017"/>
      <c r="ER425" s="2017"/>
      <c r="ES425" s="2017"/>
      <c r="ET425" s="2017"/>
      <c r="EU425" s="2018"/>
      <c r="EV425" s="2018"/>
      <c r="EW425" s="2018"/>
      <c r="EX425" s="2018"/>
      <c r="EY425" s="2018"/>
      <c r="FA425" s="715"/>
      <c r="FB425" s="715"/>
    </row>
    <row r="426" spans="1:158" s="211" customFormat="1" ht="11.25" hidden="1" customHeight="1">
      <c r="A426" s="2067"/>
      <c r="B426" s="2001"/>
      <c r="C426" s="183"/>
      <c r="D426" s="183"/>
      <c r="E426" s="183"/>
      <c r="F426" s="2084"/>
      <c r="G426" s="2001"/>
      <c r="H426" s="183"/>
      <c r="I426" s="183"/>
      <c r="J426" s="183"/>
      <c r="K426" s="1028"/>
      <c r="P426" s="1028"/>
      <c r="Q426" s="2085"/>
      <c r="U426" s="1028"/>
      <c r="V426" s="2085"/>
      <c r="Z426" s="1028"/>
      <c r="AA426" s="2085"/>
      <c r="AE426" s="1028"/>
      <c r="AF426" s="2085"/>
      <c r="AJ426" s="1028"/>
      <c r="AK426" s="2085"/>
      <c r="AO426" s="1028"/>
      <c r="AP426" s="2033"/>
      <c r="AQ426" s="214"/>
      <c r="AR426" s="214"/>
      <c r="AS426" s="214"/>
      <c r="AT426" s="1028"/>
      <c r="AU426" s="2033"/>
      <c r="AV426" s="214"/>
      <c r="AW426" s="214"/>
      <c r="AX426" s="214"/>
      <c r="AY426" s="1028"/>
      <c r="AZ426" s="2033"/>
      <c r="BA426" s="214"/>
      <c r="BB426" s="214"/>
      <c r="BC426" s="214"/>
      <c r="BD426" s="1028"/>
      <c r="BE426" s="2033"/>
      <c r="BF426" s="214"/>
      <c r="BG426" s="214"/>
      <c r="BH426" s="214"/>
      <c r="BI426" s="1028"/>
      <c r="BJ426" s="2033"/>
      <c r="BK426" s="214"/>
      <c r="BL426" s="214"/>
      <c r="BM426" s="214"/>
      <c r="BN426" s="1028"/>
      <c r="BS426" s="1938"/>
      <c r="BT426" s="214"/>
      <c r="BU426" s="214"/>
      <c r="BV426" s="214"/>
      <c r="BW426" s="214"/>
      <c r="BX426" s="1028"/>
      <c r="CC426" s="1938"/>
      <c r="CD426" s="2033"/>
      <c r="CE426" s="214"/>
      <c r="CF426" s="214"/>
      <c r="CG426" s="214"/>
      <c r="CH426" s="1028"/>
      <c r="CI426" s="564"/>
      <c r="CJ426" s="214"/>
      <c r="CK426" s="214"/>
      <c r="CL426" s="214"/>
      <c r="CM426" s="1028"/>
      <c r="CO426" s="214"/>
      <c r="CP426" s="214"/>
      <c r="CQ426" s="214"/>
      <c r="CR426" s="1028"/>
      <c r="CT426" s="214"/>
      <c r="CU426" s="214"/>
      <c r="CW426" s="1028"/>
      <c r="CY426" s="2017"/>
      <c r="CZ426" s="2017"/>
      <c r="DA426" s="2017"/>
      <c r="DB426" s="2018"/>
      <c r="DC426" s="2017"/>
      <c r="DD426" s="2017"/>
      <c r="DE426" s="2017"/>
      <c r="DF426" s="2017"/>
      <c r="DG426" s="2018"/>
      <c r="DH426" s="2017"/>
      <c r="DI426" s="2017"/>
      <c r="DJ426" s="2017"/>
      <c r="DK426" s="2017"/>
      <c r="DL426" s="2018"/>
      <c r="DM426" s="2017"/>
      <c r="DN426" s="2017"/>
      <c r="DO426" s="2017"/>
      <c r="DP426" s="2017"/>
      <c r="DQ426" s="2018"/>
      <c r="DR426" s="2017"/>
      <c r="DS426" s="2017"/>
      <c r="DT426" s="2017"/>
      <c r="DU426" s="2017"/>
      <c r="DV426" s="2018"/>
      <c r="DW426" s="2017"/>
      <c r="DX426" s="2017"/>
      <c r="DY426" s="2017"/>
      <c r="DZ426" s="2017"/>
      <c r="EA426" s="2018"/>
      <c r="EB426" s="2017"/>
      <c r="EC426" s="2017"/>
      <c r="ED426" s="2017"/>
      <c r="EE426" s="2017"/>
      <c r="EF426" s="2018"/>
      <c r="EG426" s="2017"/>
      <c r="EH426" s="2017"/>
      <c r="EI426" s="2017"/>
      <c r="EJ426" s="2017"/>
      <c r="EK426" s="2018"/>
      <c r="EL426" s="2017"/>
      <c r="EM426" s="2017"/>
      <c r="EN426" s="2017"/>
      <c r="EO426" s="2017"/>
      <c r="EP426" s="2018"/>
      <c r="EQ426" s="2017"/>
      <c r="ER426" s="2017"/>
      <c r="ES426" s="2017"/>
      <c r="ET426" s="2017"/>
      <c r="EU426" s="2018"/>
      <c r="EV426" s="2018"/>
      <c r="EW426" s="2018"/>
      <c r="EX426" s="2018"/>
      <c r="EY426" s="2018"/>
      <c r="FA426" s="715"/>
      <c r="FB426" s="715"/>
    </row>
    <row r="427" spans="1:158" s="252" customFormat="1" ht="11.25" hidden="1" customHeight="1">
      <c r="A427" s="2097" t="s">
        <v>27</v>
      </c>
      <c r="B427" s="2040"/>
      <c r="C427" s="260"/>
      <c r="D427" s="260"/>
      <c r="E427" s="260"/>
      <c r="F427" s="2098"/>
      <c r="G427" s="2040"/>
      <c r="H427" s="260"/>
      <c r="I427" s="260"/>
      <c r="J427" s="260"/>
      <c r="K427" s="1031"/>
      <c r="P427" s="1031"/>
      <c r="Q427" s="2041"/>
      <c r="U427" s="1031"/>
      <c r="V427" s="2041"/>
      <c r="Z427" s="1031"/>
      <c r="AA427" s="2041"/>
      <c r="AE427" s="1031"/>
      <c r="AF427" s="2041"/>
      <c r="AJ427" s="1031"/>
      <c r="AK427" s="251" t="s">
        <v>116</v>
      </c>
      <c r="AL427" s="251" t="s">
        <v>116</v>
      </c>
      <c r="AM427" s="251" t="s">
        <v>116</v>
      </c>
      <c r="AN427" s="251" t="s">
        <v>116</v>
      </c>
      <c r="AO427" s="1031"/>
      <c r="AP427" s="1677" t="s">
        <v>116</v>
      </c>
      <c r="AQ427" s="251" t="s">
        <v>116</v>
      </c>
      <c r="AR427" s="251" t="s">
        <v>116</v>
      </c>
      <c r="AS427" s="251" t="s">
        <v>116</v>
      </c>
      <c r="AT427" s="1031"/>
      <c r="AU427" s="1677" t="s">
        <v>116</v>
      </c>
      <c r="AV427" s="251" t="s">
        <v>116</v>
      </c>
      <c r="AW427" s="251" t="s">
        <v>116</v>
      </c>
      <c r="AX427" s="252">
        <f>AX404-AX415-AX422</f>
        <v>818.73169731313476</v>
      </c>
      <c r="AY427" s="1031"/>
      <c r="AZ427" s="2041">
        <f>AZ404-AZ415-AZ422</f>
        <v>709.26047362782469</v>
      </c>
      <c r="BA427" s="252">
        <f>BA404-BA415-BA422</f>
        <v>610.02544932518754</v>
      </c>
      <c r="BB427" s="252">
        <f>BB404-BB415-BB422</f>
        <v>675.89285516144719</v>
      </c>
      <c r="BC427" s="252">
        <f>BC404-BC415-BC422</f>
        <v>771.58599124549085</v>
      </c>
      <c r="BD427" s="1031" t="s">
        <v>116</v>
      </c>
      <c r="BE427" s="2041">
        <f>BE404-BE415-BE422</f>
        <v>852</v>
      </c>
      <c r="BF427" s="252">
        <f>BF404-BF415-BF422</f>
        <v>798</v>
      </c>
      <c r="BG427" s="252">
        <f>BG404-BG415-BG422</f>
        <v>805</v>
      </c>
      <c r="BH427" s="252">
        <f>BH404-BH415-BH422</f>
        <v>853</v>
      </c>
      <c r="BI427" s="1031" t="s">
        <v>116</v>
      </c>
      <c r="BJ427" s="2041">
        <f>BJ404-BJ415-BJ422</f>
        <v>959</v>
      </c>
      <c r="BK427" s="252">
        <f>BK404-BK415-BK422</f>
        <v>947</v>
      </c>
      <c r="BL427" s="252">
        <f>BL404-BL415-BL422</f>
        <v>1047</v>
      </c>
      <c r="BM427" s="252">
        <f>BM404-BM415-BM422</f>
        <v>1084</v>
      </c>
      <c r="BN427" s="1031" t="s">
        <v>116</v>
      </c>
      <c r="BS427" s="1941"/>
      <c r="BT427" s="252">
        <f>BT404-BT415-BT422</f>
        <v>1146</v>
      </c>
      <c r="BU427" s="252">
        <f>BU404-BU415-BU422</f>
        <v>1151</v>
      </c>
      <c r="BV427" s="252">
        <f>BV404-BV415-BV422</f>
        <v>1221</v>
      </c>
      <c r="BW427" s="252">
        <f>BW404-BW415-BW422</f>
        <v>1287</v>
      </c>
      <c r="BX427" s="1031" t="s">
        <v>116</v>
      </c>
      <c r="CC427" s="1941"/>
      <c r="CD427" s="2041">
        <f>CD404-CD415-CD422</f>
        <v>1394</v>
      </c>
      <c r="CE427" s="252">
        <f>CE404-CE415-CE422</f>
        <v>1328</v>
      </c>
      <c r="CF427" s="252">
        <f>CF404-CF415-CF422</f>
        <v>1359</v>
      </c>
      <c r="CG427" s="252">
        <f>CG404-CG415-CG422</f>
        <v>1447</v>
      </c>
      <c r="CH427" s="1031" t="s">
        <v>116</v>
      </c>
      <c r="CI427" s="252">
        <f>CI404-CI415-CI422</f>
        <v>1547</v>
      </c>
      <c r="CJ427" s="252">
        <f>CJ404-CJ415-CJ422</f>
        <v>1600</v>
      </c>
      <c r="CK427" s="252">
        <f>CK404-CK415-CK422</f>
        <v>1618</v>
      </c>
      <c r="CL427" s="252">
        <f>CL404-CL415-CL422</f>
        <v>1732</v>
      </c>
      <c r="CM427" s="1031"/>
      <c r="CN427" s="252">
        <f>CN404-CN415-CN422</f>
        <v>1717</v>
      </c>
      <c r="CO427" s="252">
        <f>CO404-CO415-CO422</f>
        <v>1654</v>
      </c>
      <c r="CP427" s="252">
        <f>CP404-CP415-CP422</f>
        <v>1733</v>
      </c>
      <c r="CQ427" s="252">
        <f>CQ404-CQ415-CQ422</f>
        <v>1927</v>
      </c>
      <c r="CR427" s="1031"/>
      <c r="CS427" s="252">
        <f>CS404-CS415-CS422</f>
        <v>1972</v>
      </c>
      <c r="CT427" s="252">
        <f>CT404-CT415-CT422</f>
        <v>1856</v>
      </c>
      <c r="CU427" s="252">
        <f>CU404-CU415-CU422</f>
        <v>1959</v>
      </c>
      <c r="CV427" s="252">
        <f>CV404-CV415-CV422</f>
        <v>2015</v>
      </c>
      <c r="CW427" s="1031"/>
      <c r="CX427" s="252">
        <f>CX404-CX415-CX422</f>
        <v>1948</v>
      </c>
      <c r="CY427" s="2012"/>
      <c r="CZ427" s="2012"/>
      <c r="DA427" s="2012"/>
      <c r="DB427" s="2013"/>
      <c r="DC427" s="2012"/>
      <c r="DD427" s="2012"/>
      <c r="DE427" s="2012"/>
      <c r="DF427" s="2012"/>
      <c r="DG427" s="2013"/>
      <c r="DH427" s="2012"/>
      <c r="DI427" s="2012"/>
      <c r="DJ427" s="2012"/>
      <c r="DK427" s="2012"/>
      <c r="DL427" s="2013"/>
      <c r="DM427" s="2012"/>
      <c r="DN427" s="2012"/>
      <c r="DO427" s="2012"/>
      <c r="DP427" s="2012"/>
      <c r="DQ427" s="2013"/>
      <c r="DR427" s="2012"/>
      <c r="DS427" s="2012"/>
      <c r="DT427" s="2012"/>
      <c r="DU427" s="2012"/>
      <c r="DV427" s="2013"/>
      <c r="DW427" s="2012"/>
      <c r="DX427" s="2012"/>
      <c r="DY427" s="2012"/>
      <c r="DZ427" s="2012"/>
      <c r="EA427" s="2013"/>
      <c r="EB427" s="2012"/>
      <c r="EC427" s="2012"/>
      <c r="ED427" s="2012"/>
      <c r="EE427" s="2012"/>
      <c r="EF427" s="2013"/>
      <c r="EG427" s="2012"/>
      <c r="EH427" s="2012"/>
      <c r="EI427" s="2012"/>
      <c r="EJ427" s="2012"/>
      <c r="EK427" s="2013"/>
      <c r="EL427" s="2012"/>
      <c r="EM427" s="2012"/>
      <c r="EN427" s="2012"/>
      <c r="EO427" s="2012"/>
      <c r="EP427" s="2013"/>
      <c r="EQ427" s="2012"/>
      <c r="ER427" s="2012"/>
      <c r="ES427" s="2012"/>
      <c r="ET427" s="2012"/>
      <c r="EU427" s="2013"/>
      <c r="EV427" s="2013"/>
      <c r="EW427" s="2013"/>
      <c r="EX427" s="2013"/>
      <c r="EY427" s="2013"/>
      <c r="FA427" s="715"/>
      <c r="FB427" s="715"/>
    </row>
    <row r="428" spans="1:158" s="183" customFormat="1" ht="11.25" hidden="1" customHeight="1">
      <c r="A428" s="1554" t="s">
        <v>20</v>
      </c>
      <c r="B428" s="2001"/>
      <c r="F428" s="2099"/>
      <c r="G428" s="2001"/>
      <c r="K428" s="1032"/>
      <c r="P428" s="1032"/>
      <c r="Q428" s="2001"/>
      <c r="U428" s="1032"/>
      <c r="V428" s="2001"/>
      <c r="Z428" s="1032"/>
      <c r="AA428" s="2001"/>
      <c r="AE428" s="1032"/>
      <c r="AF428" s="2001"/>
      <c r="AJ428" s="1032"/>
      <c r="AK428" s="1670" t="s">
        <v>116</v>
      </c>
      <c r="AL428" s="169" t="s">
        <v>116</v>
      </c>
      <c r="AM428" s="169" t="s">
        <v>116</v>
      </c>
      <c r="AN428" s="169" t="s">
        <v>116</v>
      </c>
      <c r="AO428" s="1032"/>
      <c r="AP428" s="1670" t="s">
        <v>116</v>
      </c>
      <c r="AQ428" s="169" t="s">
        <v>116</v>
      </c>
      <c r="AR428" s="169" t="s">
        <v>116</v>
      </c>
      <c r="AS428" s="169" t="s">
        <v>116</v>
      </c>
      <c r="AT428" s="1032"/>
      <c r="AU428" s="1670" t="s">
        <v>116</v>
      </c>
      <c r="AV428" s="169" t="s">
        <v>116</v>
      </c>
      <c r="AW428" s="169" t="s">
        <v>116</v>
      </c>
      <c r="AX428" s="183">
        <f>AX427/(AW404-AW415)-1</f>
        <v>5.4849125583816161E-2</v>
      </c>
      <c r="AY428" s="1032"/>
      <c r="AZ428" s="2001">
        <f>AZ427/(AX404-AX415)-1</f>
        <v>4.8586072421706206E-2</v>
      </c>
      <c r="BA428" s="183">
        <f>BA427/(AZ404-AZ415)-1</f>
        <v>-6.3527851476820163E-2</v>
      </c>
      <c r="BB428" s="183">
        <f>BB427/(BA404-BA415)-1</f>
        <v>4.3044529570134493E-2</v>
      </c>
      <c r="BC428" s="183">
        <f>BC427/(BB404-BB415)-1</f>
        <v>4.2497812884040753E-2</v>
      </c>
      <c r="BD428" s="1032"/>
      <c r="BE428" s="2001">
        <f>BE427/(BC404-BC415)-1</f>
        <v>0.11445389143230877</v>
      </c>
      <c r="BF428" s="183">
        <f>BF427/(BE404-BE415)-1</f>
        <v>-4.0865384615384581E-2</v>
      </c>
      <c r="BG428" s="183">
        <f>BG427/(BF404-BF415)-1</f>
        <v>7.1904127829560682E-2</v>
      </c>
      <c r="BH428" s="183">
        <f>BH427/(BG404-BG415)-1</f>
        <v>2.8950542822677949E-2</v>
      </c>
      <c r="BI428" s="1032"/>
      <c r="BJ428" s="2001">
        <f>BJ427/(BH404-BH415)-1</f>
        <v>9.4748858447488482E-2</v>
      </c>
      <c r="BK428" s="183">
        <f>BK427/(BJ404-BJ415)-1</f>
        <v>-1.865284974093262E-2</v>
      </c>
      <c r="BL428" s="183">
        <f>BL427/(BK404-BK415)-1</f>
        <v>7.2745901639344357E-2</v>
      </c>
      <c r="BM428" s="183">
        <f>BM427/(BL404-BL415)-1</f>
        <v>3.5339063992359199E-2</v>
      </c>
      <c r="BN428" s="1032"/>
      <c r="BS428" s="1942"/>
      <c r="BT428" s="183">
        <f>BT427/(BM404-BM415)-1</f>
        <v>8.3175803402646409E-2</v>
      </c>
      <c r="BU428" s="183">
        <f>BU427/(BT404-BT415)-1</f>
        <v>4.3630017452007674E-3</v>
      </c>
      <c r="BV428" s="183">
        <f>BV427/(BU404-BU415)-1</f>
        <v>4.5376712328767166E-2</v>
      </c>
      <c r="BW428" s="183">
        <f>BW427/(BV404-BV415)-1</f>
        <v>6.3636363636363713E-2</v>
      </c>
      <c r="BX428" s="1032"/>
      <c r="CC428" s="1942"/>
      <c r="CD428" s="2001">
        <f>CD427/(BW404-BW415)-1</f>
        <v>6.9018404907975395E-2</v>
      </c>
      <c r="CE428" s="183">
        <f>CE427/(CD404-CD415)-1</f>
        <v>-2.8529626920263396E-2</v>
      </c>
      <c r="CF428" s="183">
        <f>CF427/(CE404-CE415)-1</f>
        <v>4.780262143407854E-2</v>
      </c>
      <c r="CG428" s="183">
        <f>CG427/(CF404-CF415)-1</f>
        <v>5.4664723032070039E-2</v>
      </c>
      <c r="CH428" s="1032"/>
      <c r="CI428" s="183">
        <f>CI427/(CG404-CG415)-1</f>
        <v>3.0646235842771485E-2</v>
      </c>
      <c r="CJ428" s="183">
        <f>CJ427/(CI404-CI415)-1</f>
        <v>1.073910296904601E-2</v>
      </c>
      <c r="CK428" s="183">
        <f>CK427/(CJ404-CJ415)-1</f>
        <v>1.2376237623761277E-3</v>
      </c>
      <c r="CL428" s="183">
        <f>CL427/(CK404-CK415)-1</f>
        <v>6.4535955746773288E-2</v>
      </c>
      <c r="CM428" s="1032"/>
      <c r="CN428" s="183">
        <f>CN427/(CL404-CL415)-1</f>
        <v>3.8089480048367541E-2</v>
      </c>
      <c r="CO428" s="183">
        <f>CO427/(CN404-CN415)-1</f>
        <v>-6.0422960725070585E-4</v>
      </c>
      <c r="CP428" s="183">
        <f>CP427/(CO404-CO415)-1</f>
        <v>6.711822660098532E-2</v>
      </c>
      <c r="CQ428" s="183">
        <f>CQ427/(CP404-CP415)-1</f>
        <v>8.7471783295711036E-2</v>
      </c>
      <c r="CR428" s="1032"/>
      <c r="CS428" s="183">
        <f>CS427/(CQ404-CQ415)-1</f>
        <v>4.7265002655337174E-2</v>
      </c>
      <c r="CT428" s="183">
        <f>CT427/(CS404-CS415)-1</f>
        <v>-1.2240553485896699E-2</v>
      </c>
      <c r="CU428" s="183">
        <f>CU427/(CT404-CT415)-1</f>
        <v>4.3686734150239825E-2</v>
      </c>
      <c r="CV428" s="183">
        <f>CV427/(CU404-CU415)-1</f>
        <v>0.11572535991140653</v>
      </c>
      <c r="CW428" s="1032"/>
      <c r="CX428" s="183">
        <f>CX427/(CV404-CV415)-1</f>
        <v>1.0373443983402453E-2</v>
      </c>
      <c r="CY428" s="2014"/>
      <c r="CZ428" s="2014"/>
      <c r="DA428" s="2014"/>
      <c r="DB428" s="2021"/>
      <c r="DC428" s="2672"/>
      <c r="DD428" s="2672"/>
      <c r="DE428" s="2672"/>
      <c r="DF428" s="2672"/>
      <c r="DG428" s="2021"/>
      <c r="DH428" s="2672"/>
      <c r="DI428" s="2672"/>
      <c r="DJ428" s="2672"/>
      <c r="DK428" s="2672"/>
      <c r="DL428" s="2021"/>
      <c r="DM428" s="2672"/>
      <c r="DN428" s="2672"/>
      <c r="DO428" s="2672"/>
      <c r="DP428" s="2672"/>
      <c r="DQ428" s="2021"/>
      <c r="DR428" s="2672"/>
      <c r="DS428" s="2672"/>
      <c r="DT428" s="2672"/>
      <c r="DU428" s="2672"/>
      <c r="DV428" s="2021"/>
      <c r="DW428" s="2672"/>
      <c r="DX428" s="2672"/>
      <c r="DY428" s="2672"/>
      <c r="DZ428" s="2672"/>
      <c r="EA428" s="2021"/>
      <c r="EB428" s="2672"/>
      <c r="EC428" s="2672"/>
      <c r="ED428" s="2672"/>
      <c r="EE428" s="2672"/>
      <c r="EF428" s="2021"/>
      <c r="EG428" s="2672"/>
      <c r="EH428" s="2672"/>
      <c r="EI428" s="2672"/>
      <c r="EJ428" s="2672"/>
      <c r="EK428" s="2021"/>
      <c r="EL428" s="2672"/>
      <c r="EM428" s="2672"/>
      <c r="EN428" s="2672"/>
      <c r="EO428" s="2672"/>
      <c r="EP428" s="2021"/>
      <c r="EQ428" s="2672"/>
      <c r="ER428" s="2672"/>
      <c r="ES428" s="2672"/>
      <c r="ET428" s="2672"/>
      <c r="EU428" s="2021"/>
      <c r="EV428" s="2021"/>
      <c r="EW428" s="2021"/>
      <c r="EX428" s="2021"/>
      <c r="EY428" s="2021"/>
      <c r="FA428" s="715"/>
      <c r="FB428" s="715"/>
    </row>
    <row r="429" spans="1:158" s="211" customFormat="1" ht="11.25" hidden="1" customHeight="1">
      <c r="A429" s="1993" t="s">
        <v>22</v>
      </c>
      <c r="B429" s="2048"/>
      <c r="C429" s="1071"/>
      <c r="D429" s="1071"/>
      <c r="E429" s="1071"/>
      <c r="F429" s="2100"/>
      <c r="G429" s="2048"/>
      <c r="H429" s="1071"/>
      <c r="I429" s="1071"/>
      <c r="J429" s="1071"/>
      <c r="K429" s="2101"/>
      <c r="L429" s="2102"/>
      <c r="M429" s="2102"/>
      <c r="N429" s="2102"/>
      <c r="O429" s="2102"/>
      <c r="P429" s="2103"/>
      <c r="Q429" s="2104"/>
      <c r="R429" s="2102"/>
      <c r="S429" s="2102"/>
      <c r="T429" s="2102"/>
      <c r="U429" s="2103"/>
      <c r="V429" s="2104"/>
      <c r="W429" s="2102"/>
      <c r="X429" s="2102"/>
      <c r="Y429" s="2102"/>
      <c r="Z429" s="2103"/>
      <c r="AA429" s="2104"/>
      <c r="AB429" s="2102"/>
      <c r="AC429" s="2102"/>
      <c r="AD429" s="2102"/>
      <c r="AE429" s="2103"/>
      <c r="AF429" s="2104"/>
      <c r="AG429" s="2102"/>
      <c r="AH429" s="2102"/>
      <c r="AI429" s="2102"/>
      <c r="AJ429" s="2103"/>
      <c r="AK429" s="1995" t="s">
        <v>116</v>
      </c>
      <c r="AL429" s="1995" t="s">
        <v>116</v>
      </c>
      <c r="AM429" s="1995" t="s">
        <v>116</v>
      </c>
      <c r="AN429" s="1995" t="s">
        <v>116</v>
      </c>
      <c r="AO429" s="2103"/>
      <c r="AP429" s="1994" t="s">
        <v>116</v>
      </c>
      <c r="AQ429" s="1995" t="s">
        <v>116</v>
      </c>
      <c r="AR429" s="1995" t="s">
        <v>116</v>
      </c>
      <c r="AS429" s="1995" t="s">
        <v>116</v>
      </c>
      <c r="AT429" s="2103"/>
      <c r="AU429" s="1994" t="s">
        <v>116</v>
      </c>
      <c r="AV429" s="1995" t="s">
        <v>116</v>
      </c>
      <c r="AW429" s="1995" t="s">
        <v>116</v>
      </c>
      <c r="AX429" s="2105">
        <f>(AX406-AX428)*10000</f>
        <v>-1717.8764341519116</v>
      </c>
      <c r="AY429" s="2103"/>
      <c r="AZ429" s="2106">
        <f>(AZ406-AZ428)*10000</f>
        <v>214.62381248210872</v>
      </c>
      <c r="BA429" s="2107">
        <f>(BA406-BA428)*10000</f>
        <v>384.28588856286973</v>
      </c>
      <c r="BB429" s="2107">
        <f>(BB406-BB428)*10000</f>
        <v>270.70155744550738</v>
      </c>
      <c r="BC429" s="2107">
        <f>(BC406-BC428)*10000</f>
        <v>-328.68101932205019</v>
      </c>
      <c r="BD429" s="2103"/>
      <c r="BE429" s="2106">
        <f>(BE406-BE428)*10000</f>
        <v>-244.86253891855546</v>
      </c>
      <c r="BF429" s="2107">
        <f>(BF406-BF428)*10000</f>
        <v>-446.45304220719885</v>
      </c>
      <c r="BG429" s="2107">
        <f>(BG406-BG428)*10000</f>
        <v>190.04963079530145</v>
      </c>
      <c r="BH429" s="2107">
        <f>(BH406-BH428)*10000</f>
        <v>162.87552415417349</v>
      </c>
      <c r="BI429" s="2103"/>
      <c r="BJ429" s="2106">
        <f>(BJ406-BJ428)*10000</f>
        <v>88.957884773406278</v>
      </c>
      <c r="BK429" s="2107">
        <f>(BK406-BK428)*10000</f>
        <v>258.76791949394959</v>
      </c>
      <c r="BL429" s="2107">
        <f>(BL406-BL428)*10000</f>
        <v>0</v>
      </c>
      <c r="BM429" s="2107">
        <f>(BM406-BM428)*10000</f>
        <v>-191.02196752626588</v>
      </c>
      <c r="BN429" s="2103"/>
      <c r="BO429" s="2102"/>
      <c r="BP429" s="2102"/>
      <c r="BQ429" s="2102"/>
      <c r="BR429" s="2102"/>
      <c r="BS429" s="2103"/>
      <c r="BT429" s="2107">
        <f>(BT406-BT428)*10000</f>
        <v>-23.487357334734948</v>
      </c>
      <c r="BU429" s="2107">
        <f>(BU406-BU428)*10000</f>
        <v>173.76128689581938</v>
      </c>
      <c r="BV429" s="2107">
        <f>(BV406-BV428)*10000</f>
        <v>-104.83095307490586</v>
      </c>
      <c r="BW429" s="2107">
        <f>(BW406-BW428)*10000</f>
        <v>95.544258373205793</v>
      </c>
      <c r="BX429" s="2103"/>
      <c r="BY429" s="2102"/>
      <c r="BZ429" s="2102"/>
      <c r="CA429" s="2102"/>
      <c r="CB429" s="2102"/>
      <c r="CC429" s="2103"/>
      <c r="CD429" s="2106">
        <f>(CD406-CD428)*10000</f>
        <v>-61.831558658298476</v>
      </c>
      <c r="CE429" s="2107">
        <f>(CE406-CE428)*10000</f>
        <v>-190.55088292425859</v>
      </c>
      <c r="CF429" s="2107">
        <f>(CF406-CF428)*10000</f>
        <v>36.735329943846651</v>
      </c>
      <c r="CG429" s="2107">
        <f>(CG406-CG428)*10000</f>
        <v>274.0871109319998</v>
      </c>
      <c r="CH429" s="2103"/>
      <c r="CI429" s="2107">
        <f>(CI406-CI428)*10000</f>
        <v>225.80643731413551</v>
      </c>
      <c r="CJ429" s="2107">
        <f>(CJ406-CJ428)*10000</f>
        <v>101.07391029690493</v>
      </c>
      <c r="CK429" s="2107">
        <f>(CK406-CK428)*10000</f>
        <v>55.693069306932408</v>
      </c>
      <c r="CL429" s="2107">
        <f>(CL406-CL428)*10000</f>
        <v>-460.97111247695335</v>
      </c>
      <c r="CM429" s="2103"/>
      <c r="CN429" s="2107">
        <f>(CN406-CN428)*10000</f>
        <v>-272.26474616864891</v>
      </c>
      <c r="CO429" s="2107">
        <f>(CO406-CO428)*10000</f>
        <v>23.952743833700609</v>
      </c>
      <c r="CP429" s="2107">
        <f>(CP406-CP428)*10000</f>
        <v>8.1979485312677625</v>
      </c>
      <c r="CQ429" s="2107">
        <f>(CQ406-CQ428)*10000</f>
        <v>-149.27140438568242</v>
      </c>
      <c r="CR429" s="2103"/>
      <c r="CS429" s="2107">
        <f>(CS406-CS428)*10000</f>
        <v>-477.85294018500514</v>
      </c>
      <c r="CT429" s="2107">
        <f>(CT406-CT428)*10000</f>
        <v>85.966180356104033</v>
      </c>
      <c r="CU429" s="2107">
        <f>(CU406-CU428)*10000</f>
        <v>-562.25919103217836</v>
      </c>
      <c r="CV429" s="2107">
        <f>(CV406-CV428)*10000</f>
        <v>-247.20068906115554</v>
      </c>
      <c r="CW429" s="2103"/>
      <c r="CX429" s="2107">
        <f>(CX406-CX428)*10000</f>
        <v>-283.17187921326757</v>
      </c>
      <c r="CY429" s="2108"/>
      <c r="CZ429" s="2108"/>
      <c r="DA429" s="2108"/>
      <c r="DB429" s="2109"/>
      <c r="DC429" s="2108"/>
      <c r="DD429" s="2108"/>
      <c r="DE429" s="2108"/>
      <c r="DF429" s="2108"/>
      <c r="DG429" s="2109"/>
      <c r="DH429" s="2108"/>
      <c r="DI429" s="2108"/>
      <c r="DJ429" s="2108"/>
      <c r="DK429" s="2108"/>
      <c r="DL429" s="2109"/>
      <c r="DM429" s="2108"/>
      <c r="DN429" s="2108"/>
      <c r="DO429" s="2108"/>
      <c r="DP429" s="2108"/>
      <c r="DQ429" s="2109"/>
      <c r="DR429" s="2108"/>
      <c r="DS429" s="2108"/>
      <c r="DT429" s="2108"/>
      <c r="DU429" s="2108"/>
      <c r="DV429" s="2109"/>
      <c r="DW429" s="2108"/>
      <c r="DX429" s="2108"/>
      <c r="DY429" s="2108"/>
      <c r="DZ429" s="2108"/>
      <c r="EA429" s="2109"/>
      <c r="EB429" s="2108"/>
      <c r="EC429" s="2108"/>
      <c r="ED429" s="2108"/>
      <c r="EE429" s="2108"/>
      <c r="EF429" s="2109"/>
      <c r="EG429" s="2108"/>
      <c r="EH429" s="2108"/>
      <c r="EI429" s="2108"/>
      <c r="EJ429" s="2108"/>
      <c r="EK429" s="2109"/>
      <c r="EL429" s="2108"/>
      <c r="EM429" s="2108"/>
      <c r="EN429" s="2108"/>
      <c r="EO429" s="2108"/>
      <c r="EP429" s="2109"/>
      <c r="EQ429" s="2108"/>
      <c r="ER429" s="2108"/>
      <c r="ES429" s="2108"/>
      <c r="ET429" s="2108"/>
      <c r="EU429" s="2109"/>
      <c r="EV429" s="2109"/>
      <c r="EW429" s="2109"/>
      <c r="EX429" s="2109"/>
      <c r="EY429" s="2109"/>
      <c r="FA429" s="715"/>
      <c r="FB429" s="715"/>
    </row>
    <row r="430" spans="1:158" s="211" customFormat="1" ht="11.25" hidden="1" customHeight="1">
      <c r="A430" s="1552"/>
      <c r="B430" s="1494"/>
      <c r="C430" s="1495"/>
      <c r="D430" s="1495"/>
      <c r="E430" s="1495"/>
      <c r="F430" s="1496"/>
      <c r="G430" s="1495"/>
      <c r="H430" s="1495"/>
      <c r="I430" s="1495"/>
      <c r="J430" s="1495"/>
      <c r="K430" s="1498"/>
      <c r="L430" s="1497"/>
      <c r="M430" s="1497"/>
      <c r="N430" s="1497"/>
      <c r="O430" s="1497"/>
      <c r="P430" s="1498"/>
      <c r="Q430" s="1497"/>
      <c r="R430" s="1497"/>
      <c r="S430" s="1497"/>
      <c r="T430" s="1497"/>
      <c r="U430" s="1498"/>
      <c r="V430" s="1497"/>
      <c r="W430" s="1497"/>
      <c r="X430" s="1497"/>
      <c r="Y430" s="1497"/>
      <c r="Z430" s="1498"/>
      <c r="AA430" s="1497"/>
      <c r="AB430" s="1497"/>
      <c r="AC430" s="1497"/>
      <c r="AD430" s="1497"/>
      <c r="AE430" s="1498"/>
      <c r="AF430" s="1497"/>
      <c r="AG430" s="1497"/>
      <c r="AH430" s="1497"/>
      <c r="AI430" s="1497"/>
      <c r="AJ430" s="1498"/>
      <c r="AK430" s="1497"/>
      <c r="AL430" s="1497"/>
      <c r="AM430" s="1497"/>
      <c r="AN430" s="1497"/>
      <c r="AO430" s="1498"/>
      <c r="AP430" s="1497"/>
      <c r="AQ430" s="1497"/>
      <c r="AR430" s="1497"/>
      <c r="AS430" s="1497"/>
      <c r="AT430" s="1498"/>
      <c r="AU430" s="1499"/>
      <c r="AV430" s="1497"/>
      <c r="AW430" s="1497"/>
      <c r="AX430" s="1497"/>
      <c r="AY430" s="1498"/>
      <c r="AZ430" s="1499"/>
      <c r="BA430" s="1497"/>
      <c r="BB430" s="1497"/>
      <c r="BC430" s="1497"/>
      <c r="BD430" s="1498"/>
      <c r="BE430" s="1499"/>
      <c r="BF430" s="1497"/>
      <c r="BG430" s="1497"/>
      <c r="BH430" s="1497"/>
      <c r="BI430" s="1498"/>
      <c r="BJ430" s="1499"/>
      <c r="BK430" s="1497"/>
      <c r="BL430" s="1497"/>
      <c r="BM430" s="1497"/>
      <c r="BN430" s="1498"/>
      <c r="BO430" s="1683"/>
      <c r="BP430" s="1683"/>
      <c r="BQ430" s="1683"/>
      <c r="BR430" s="1683"/>
      <c r="BS430" s="1498"/>
      <c r="BT430" s="1497"/>
      <c r="BU430" s="1497"/>
      <c r="BV430" s="1497"/>
      <c r="BW430" s="1497"/>
      <c r="BX430" s="1498"/>
      <c r="BY430" s="1683"/>
      <c r="BZ430" s="1683"/>
      <c r="CA430" s="1683"/>
      <c r="CB430" s="1683"/>
      <c r="CC430" s="1498"/>
      <c r="CD430" s="1497"/>
      <c r="CE430" s="1497"/>
      <c r="CF430" s="1497"/>
      <c r="CG430" s="1497"/>
      <c r="CH430" s="1498"/>
      <c r="CI430" s="1500"/>
      <c r="CJ430" s="1497"/>
      <c r="CK430" s="1497"/>
      <c r="CL430" s="1497"/>
      <c r="CM430" s="1498"/>
      <c r="CN430" s="1497"/>
      <c r="CO430" s="1497"/>
      <c r="CP430" s="1497"/>
      <c r="CQ430" s="1497"/>
      <c r="CR430" s="1498"/>
      <c r="CS430" s="1497"/>
      <c r="CT430" s="1497"/>
      <c r="CU430" s="1497"/>
      <c r="CV430" s="1497"/>
      <c r="CW430" s="1498"/>
      <c r="CX430" s="1497"/>
      <c r="CY430" s="2110"/>
      <c r="CZ430" s="2110"/>
      <c r="DA430" s="2110"/>
      <c r="DB430" s="2111"/>
      <c r="DC430" s="2110"/>
      <c r="DD430" s="2110"/>
      <c r="DE430" s="2110"/>
      <c r="DF430" s="2110"/>
      <c r="DG430" s="2111"/>
      <c r="DH430" s="2110"/>
      <c r="DI430" s="2110"/>
      <c r="DJ430" s="2110"/>
      <c r="DK430" s="2110"/>
      <c r="DL430" s="2111"/>
      <c r="DM430" s="2110"/>
      <c r="DN430" s="2110"/>
      <c r="DO430" s="2110"/>
      <c r="DP430" s="2110"/>
      <c r="DQ430" s="2111"/>
      <c r="DR430" s="2110"/>
      <c r="DS430" s="2110"/>
      <c r="DT430" s="2110"/>
      <c r="DU430" s="2110"/>
      <c r="DV430" s="2111"/>
      <c r="DW430" s="2110"/>
      <c r="DX430" s="2110"/>
      <c r="DY430" s="2110"/>
      <c r="DZ430" s="2110"/>
      <c r="EA430" s="2111"/>
      <c r="EB430" s="2110"/>
      <c r="EC430" s="2110"/>
      <c r="ED430" s="2110"/>
      <c r="EE430" s="2110"/>
      <c r="EF430" s="2111"/>
      <c r="EG430" s="2110"/>
      <c r="EH430" s="2110"/>
      <c r="EI430" s="2110"/>
      <c r="EJ430" s="2110"/>
      <c r="EK430" s="2111"/>
      <c r="EL430" s="2110"/>
      <c r="EM430" s="2110"/>
      <c r="EN430" s="2110"/>
      <c r="EO430" s="2110"/>
      <c r="EP430" s="2111"/>
      <c r="EQ430" s="2110"/>
      <c r="ER430" s="2110"/>
      <c r="ES430" s="2110"/>
      <c r="ET430" s="2110"/>
      <c r="EU430" s="2111"/>
      <c r="EV430" s="2111"/>
      <c r="EW430" s="2111"/>
      <c r="EX430" s="2111"/>
      <c r="EY430" s="2111"/>
      <c r="FA430" s="715"/>
      <c r="FB430" s="715"/>
    </row>
    <row r="431" spans="1:158" s="211" customFormat="1" ht="11.25" hidden="1" customHeight="1">
      <c r="A431" s="1558" t="s">
        <v>315</v>
      </c>
      <c r="B431" s="2023"/>
      <c r="C431" s="2024"/>
      <c r="D431" s="2024"/>
      <c r="E431" s="2024"/>
      <c r="F431" s="2025"/>
      <c r="G431" s="2024"/>
      <c r="H431" s="2024"/>
      <c r="I431" s="2024"/>
      <c r="J431" s="2024"/>
      <c r="K431" s="2026"/>
      <c r="L431" s="2027"/>
      <c r="M431" s="2027"/>
      <c r="N431" s="2027"/>
      <c r="O431" s="2027"/>
      <c r="P431" s="2026"/>
      <c r="Q431" s="2027"/>
      <c r="R431" s="2027"/>
      <c r="S431" s="2027"/>
      <c r="T431" s="2027"/>
      <c r="U431" s="2026"/>
      <c r="V431" s="2027"/>
      <c r="W431" s="2027"/>
      <c r="X431" s="2027"/>
      <c r="Y431" s="2027"/>
      <c r="Z431" s="2026"/>
      <c r="AA431" s="2027"/>
      <c r="AB431" s="2027"/>
      <c r="AC431" s="2027"/>
      <c r="AD431" s="2027"/>
      <c r="AE431" s="2026"/>
      <c r="AF431" s="2027"/>
      <c r="AG431" s="2027"/>
      <c r="AH431" s="2027"/>
      <c r="AI431" s="2027"/>
      <c r="AJ431" s="2026"/>
      <c r="AK431" s="2027"/>
      <c r="AL431" s="2027"/>
      <c r="AM431" s="2027"/>
      <c r="AN431" s="2027"/>
      <c r="AO431" s="2026"/>
      <c r="AP431" s="2027"/>
      <c r="AQ431" s="2027"/>
      <c r="AR431" s="2027"/>
      <c r="AS431" s="2027"/>
      <c r="AT431" s="2026"/>
      <c r="AU431" s="2028"/>
      <c r="AV431" s="2029"/>
      <c r="AW431" s="2029"/>
      <c r="AX431" s="2029"/>
      <c r="AY431" s="2026"/>
      <c r="AZ431" s="2028"/>
      <c r="BA431" s="2029"/>
      <c r="BB431" s="2029"/>
      <c r="BC431" s="2029"/>
      <c r="BD431" s="2026"/>
      <c r="BE431" s="2030"/>
      <c r="BF431" s="2027"/>
      <c r="BG431" s="2027"/>
      <c r="BH431" s="2027"/>
      <c r="BI431" s="2026"/>
      <c r="BJ431" s="2030"/>
      <c r="BK431" s="2027"/>
      <c r="BL431" s="2027"/>
      <c r="BM431" s="2027"/>
      <c r="BN431" s="2026"/>
      <c r="BO431" s="2027"/>
      <c r="BP431" s="2027"/>
      <c r="BQ431" s="2027"/>
      <c r="BR431" s="2027"/>
      <c r="BS431" s="2031"/>
      <c r="BT431" s="2027"/>
      <c r="BU431" s="2027"/>
      <c r="BV431" s="2027"/>
      <c r="BW431" s="2027"/>
      <c r="BX431" s="2031"/>
      <c r="BY431" s="2027"/>
      <c r="BZ431" s="2027"/>
      <c r="CA431" s="2027"/>
      <c r="CB431" s="2027"/>
      <c r="CC431" s="2031"/>
      <c r="CD431" s="2027"/>
      <c r="CE431" s="2027"/>
      <c r="CF431" s="2027"/>
      <c r="CG431" s="2027"/>
      <c r="CH431" s="2031"/>
      <c r="CI431" s="2032"/>
      <c r="CJ431" s="2027"/>
      <c r="CK431" s="2027"/>
      <c r="CL431" s="2027"/>
      <c r="CM431" s="2026"/>
      <c r="CN431" s="2027"/>
      <c r="CO431" s="2027"/>
      <c r="CP431" s="2027"/>
      <c r="CQ431" s="2027"/>
      <c r="CR431" s="2026"/>
      <c r="CS431" s="2027"/>
      <c r="CT431" s="2027"/>
      <c r="CU431" s="2027"/>
      <c r="CV431" s="2027"/>
      <c r="CW431" s="2026"/>
      <c r="CX431" s="2027"/>
      <c r="CY431" s="2112"/>
      <c r="CZ431" s="2112"/>
      <c r="DA431" s="2112"/>
      <c r="DB431" s="2113"/>
      <c r="DC431" s="2112"/>
      <c r="DD431" s="2112"/>
      <c r="DE431" s="2112"/>
      <c r="DF431" s="2112"/>
      <c r="DG431" s="2113"/>
      <c r="DH431" s="2112"/>
      <c r="DI431" s="2112"/>
      <c r="DJ431" s="2112"/>
      <c r="DK431" s="2112"/>
      <c r="DL431" s="2113"/>
      <c r="DM431" s="2112"/>
      <c r="DN431" s="2112"/>
      <c r="DO431" s="2112"/>
      <c r="DP431" s="2112"/>
      <c r="DQ431" s="2113"/>
      <c r="DR431" s="2112"/>
      <c r="DS431" s="2112"/>
      <c r="DT431" s="2112"/>
      <c r="DU431" s="2112"/>
      <c r="DV431" s="2113"/>
      <c r="DW431" s="2112"/>
      <c r="DX431" s="2112"/>
      <c r="DY431" s="2112"/>
      <c r="DZ431" s="2112"/>
      <c r="EA431" s="2113"/>
      <c r="EB431" s="2112"/>
      <c r="EC431" s="2112"/>
      <c r="ED431" s="2112"/>
      <c r="EE431" s="2112"/>
      <c r="EF431" s="2113"/>
      <c r="EG431" s="2112"/>
      <c r="EH431" s="2112"/>
      <c r="EI431" s="2112"/>
      <c r="EJ431" s="2112"/>
      <c r="EK431" s="2113"/>
      <c r="EL431" s="2112"/>
      <c r="EM431" s="2112"/>
      <c r="EN431" s="2112"/>
      <c r="EO431" s="2112"/>
      <c r="EP431" s="2113"/>
      <c r="EQ431" s="2112"/>
      <c r="ER431" s="2112"/>
      <c r="ES431" s="2112"/>
      <c r="ET431" s="2112"/>
      <c r="EU431" s="2113"/>
      <c r="EV431" s="2113"/>
      <c r="EW431" s="2113"/>
      <c r="EX431" s="2113"/>
      <c r="EY431" s="2113"/>
      <c r="FA431" s="715"/>
      <c r="FB431" s="715"/>
    </row>
    <row r="432" spans="1:158" s="211" customFormat="1" ht="11.25" hidden="1" customHeight="1">
      <c r="A432" s="1985" t="s">
        <v>308</v>
      </c>
      <c r="B432" s="2001"/>
      <c r="C432" s="183"/>
      <c r="D432" s="183"/>
      <c r="E432" s="183"/>
      <c r="F432" s="269"/>
      <c r="G432" s="183"/>
      <c r="H432" s="183"/>
      <c r="I432" s="183"/>
      <c r="J432" s="183"/>
      <c r="K432" s="1938"/>
      <c r="P432" s="1943"/>
      <c r="U432" s="1943"/>
      <c r="Z432" s="1943"/>
      <c r="AE432" s="1943"/>
      <c r="AJ432" s="1943"/>
      <c r="AO432" s="1943"/>
      <c r="AP432" s="214">
        <f>AP526-AP404</f>
        <v>1127.23</v>
      </c>
      <c r="AQ432" s="214">
        <f>AQ526-AQ404</f>
        <v>1244.529</v>
      </c>
      <c r="AR432" s="214">
        <f>AR526-AR404</f>
        <v>1364.5259999999998</v>
      </c>
      <c r="AS432" s="214">
        <f>AS526-AS404</f>
        <v>1628.7640000000006</v>
      </c>
      <c r="AT432" s="1943">
        <f>SUM(AP432:AS432)</f>
        <v>5365.0490000000009</v>
      </c>
      <c r="AU432" s="2033">
        <f>AU526-AU404</f>
        <v>1847.596</v>
      </c>
      <c r="AV432" s="214">
        <f>AV526-AV404</f>
        <v>2026.23</v>
      </c>
      <c r="AW432" s="214">
        <f>AW526-AW404</f>
        <v>2070.2190000000001</v>
      </c>
      <c r="AX432" s="214">
        <f>AX526-AX404</f>
        <v>2177.4639999999986</v>
      </c>
      <c r="AY432" s="1047">
        <f>SUM(AU432:AX432)</f>
        <v>8121.5089999999982</v>
      </c>
      <c r="AZ432" s="2033">
        <f>AZ526-AZ404</f>
        <v>2148.5219999999999</v>
      </c>
      <c r="BA432" s="214">
        <f>BA526-BA404</f>
        <v>2198.768</v>
      </c>
      <c r="BB432" s="214">
        <f>BB526-BB404</f>
        <v>2377.5039999999999</v>
      </c>
      <c r="BC432" s="214">
        <f>BC526-BC404</f>
        <v>2746.1720000000005</v>
      </c>
      <c r="BD432" s="1047">
        <f>SUM(AZ432:BC432)</f>
        <v>9470.9660000000003</v>
      </c>
      <c r="BE432" s="2033">
        <f>BE526-BE404</f>
        <v>2737</v>
      </c>
      <c r="BF432" s="214">
        <f>BF526-BF404</f>
        <v>2762</v>
      </c>
      <c r="BG432" s="214">
        <f>BG526-BG404</f>
        <v>2929</v>
      </c>
      <c r="BH432" s="214">
        <f>BH526-BH404</f>
        <v>3507</v>
      </c>
      <c r="BI432" s="1047">
        <f>SUM(BE432:BH432)</f>
        <v>11935</v>
      </c>
      <c r="BJ432" s="2033">
        <f>BJ526-BJ404</f>
        <v>3601</v>
      </c>
      <c r="BK432" s="214">
        <f>BK526-BK404</f>
        <v>3895</v>
      </c>
      <c r="BL432" s="214">
        <f>BL526-BL404</f>
        <v>4253</v>
      </c>
      <c r="BM432" s="214">
        <f>BM526-BM404</f>
        <v>4540</v>
      </c>
      <c r="BN432" s="1047">
        <f>SUM(BJ432:BM432)</f>
        <v>16289</v>
      </c>
      <c r="BO432" s="1684"/>
      <c r="BP432" s="1684"/>
      <c r="BQ432" s="1684"/>
      <c r="BR432" s="1684"/>
      <c r="BS432" s="1943"/>
      <c r="BT432" s="214">
        <f>BT526-BT404</f>
        <v>4621</v>
      </c>
      <c r="BU432" s="214">
        <f>BU526-BU404</f>
        <v>4784</v>
      </c>
      <c r="BV432" s="214">
        <f>BV526-BV404</f>
        <v>4894</v>
      </c>
      <c r="BW432" s="214">
        <f>BW526-BW404</f>
        <v>5608</v>
      </c>
      <c r="BX432" s="1047">
        <f>SUM(BT432:BW432)</f>
        <v>19907</v>
      </c>
      <c r="BY432" s="1684"/>
      <c r="BZ432" s="1684"/>
      <c r="CA432" s="1684"/>
      <c r="CB432" s="1684"/>
      <c r="CC432" s="1943"/>
      <c r="CD432" s="214">
        <f>CD526-CD404</f>
        <v>5728</v>
      </c>
      <c r="CE432" s="214">
        <f>CE526-CE404</f>
        <v>5890</v>
      </c>
      <c r="CF432" s="214">
        <f>CF526-CF404</f>
        <v>6285</v>
      </c>
      <c r="CG432" s="214">
        <f>CG526-CG404</f>
        <v>7269</v>
      </c>
      <c r="CH432" s="1047">
        <f>SUM(CD432:CG432)</f>
        <v>25172</v>
      </c>
      <c r="CI432" s="214">
        <f>CI526-CI404</f>
        <v>6942</v>
      </c>
      <c r="CJ432" s="214">
        <f>CJ526-CJ404</f>
        <v>7381</v>
      </c>
      <c r="CK432" s="214">
        <f>CK526-CK404</f>
        <v>7572</v>
      </c>
      <c r="CL432" s="214">
        <f>CL526-CL404</f>
        <v>8141</v>
      </c>
      <c r="CM432" s="1047">
        <f>SUM(CI432:CL432)</f>
        <v>30036</v>
      </c>
      <c r="CN432" s="214">
        <f>CN526-CN404</f>
        <v>7862</v>
      </c>
      <c r="CO432" s="214">
        <f>CO526-CO404</f>
        <v>8001</v>
      </c>
      <c r="CP432" s="214">
        <f>CP526-CP404</f>
        <v>8135</v>
      </c>
      <c r="CQ432" s="214">
        <f>CQ526-CQ404</f>
        <v>9114</v>
      </c>
      <c r="CR432" s="1047">
        <f>SUM(CN432:CQ432)</f>
        <v>33112</v>
      </c>
      <c r="CS432" s="214">
        <f>CS526-CS404</f>
        <v>8955</v>
      </c>
      <c r="CT432" s="214">
        <f>CT526-CT404</f>
        <v>9551</v>
      </c>
      <c r="CU432" s="214">
        <f>CU526-CU404</f>
        <v>9912</v>
      </c>
      <c r="CV432" s="214">
        <f>CV526-CV404</f>
        <v>11286</v>
      </c>
      <c r="CW432" s="1047">
        <f>SUM(CS432:CV432)</f>
        <v>39704</v>
      </c>
      <c r="CX432" s="214">
        <f>CX526-CX404</f>
        <v>10956</v>
      </c>
      <c r="CY432" s="2015"/>
      <c r="CZ432" s="2015"/>
      <c r="DA432" s="2015"/>
      <c r="DB432" s="2034"/>
      <c r="DC432" s="2015"/>
      <c r="DD432" s="2015"/>
      <c r="DE432" s="2015"/>
      <c r="DF432" s="2015"/>
      <c r="DG432" s="2034"/>
      <c r="DH432" s="2015"/>
      <c r="DI432" s="2015"/>
      <c r="DJ432" s="2015"/>
      <c r="DK432" s="2015"/>
      <c r="DL432" s="2034"/>
      <c r="DM432" s="2015"/>
      <c r="DN432" s="2015"/>
      <c r="DO432" s="2015"/>
      <c r="DP432" s="2015"/>
      <c r="DQ432" s="2034"/>
      <c r="DR432" s="2015"/>
      <c r="DS432" s="2015"/>
      <c r="DT432" s="2015"/>
      <c r="DU432" s="2015"/>
      <c r="DV432" s="2034"/>
      <c r="DW432" s="2015"/>
      <c r="DX432" s="2015"/>
      <c r="DY432" s="2015"/>
      <c r="DZ432" s="2015"/>
      <c r="EA432" s="2034"/>
      <c r="EB432" s="2015"/>
      <c r="EC432" s="2015"/>
      <c r="ED432" s="2015"/>
      <c r="EE432" s="2015"/>
      <c r="EF432" s="2034"/>
      <c r="EG432" s="2015"/>
      <c r="EH432" s="2015"/>
      <c r="EI432" s="2015"/>
      <c r="EJ432" s="2015"/>
      <c r="EK432" s="2034"/>
      <c r="EL432" s="2015"/>
      <c r="EM432" s="2015"/>
      <c r="EN432" s="2015"/>
      <c r="EO432" s="2015"/>
      <c r="EP432" s="2034"/>
      <c r="EQ432" s="2015"/>
      <c r="ER432" s="2015"/>
      <c r="ES432" s="2015"/>
      <c r="ET432" s="2015"/>
      <c r="EU432" s="2034"/>
      <c r="EV432" s="2034"/>
      <c r="EW432" s="2034"/>
      <c r="EX432" s="2034"/>
      <c r="EY432" s="2034"/>
      <c r="FA432" s="715"/>
      <c r="FB432" s="715"/>
    </row>
    <row r="433" spans="1:158" s="239" customFormat="1" ht="11.25" hidden="1" customHeight="1">
      <c r="A433" s="2035" t="s">
        <v>45</v>
      </c>
      <c r="B433" s="2001"/>
      <c r="C433" s="183"/>
      <c r="D433" s="183"/>
      <c r="E433" s="183"/>
      <c r="F433" s="778"/>
      <c r="G433" s="183"/>
      <c r="H433" s="183"/>
      <c r="I433" s="183"/>
      <c r="J433" s="183"/>
      <c r="K433" s="1940"/>
      <c r="P433" s="1944"/>
      <c r="U433" s="1944"/>
      <c r="Z433" s="1944"/>
      <c r="AE433" s="1944"/>
      <c r="AJ433" s="1944"/>
      <c r="AO433" s="1944"/>
      <c r="AP433" s="779"/>
      <c r="AQ433" s="779"/>
      <c r="AR433" s="779"/>
      <c r="AS433" s="779"/>
      <c r="AT433" s="1944"/>
      <c r="AU433" s="2036"/>
      <c r="AV433" s="779"/>
      <c r="AW433" s="779"/>
      <c r="AX433" s="779"/>
      <c r="AY433" s="1034"/>
      <c r="AZ433" s="2036"/>
      <c r="BA433" s="779"/>
      <c r="BB433" s="779"/>
      <c r="BC433" s="779"/>
      <c r="BD433" s="1034"/>
      <c r="BE433" s="2036"/>
      <c r="BF433" s="779"/>
      <c r="BG433" s="779"/>
      <c r="BH433" s="779"/>
      <c r="BI433" s="1034"/>
      <c r="BJ433" s="2036"/>
      <c r="BK433" s="779"/>
      <c r="BL433" s="779"/>
      <c r="BM433" s="779"/>
      <c r="BN433" s="1034">
        <f>+BN432/BI432-1</f>
        <v>0.36480938416422282</v>
      </c>
      <c r="BO433" s="254"/>
      <c r="BP433" s="254"/>
      <c r="BQ433" s="254"/>
      <c r="BR433" s="254"/>
      <c r="BS433" s="1944"/>
      <c r="BT433" s="254">
        <f>+BT432/BJ432-1</f>
        <v>0.28325465148569839</v>
      </c>
      <c r="BU433" s="254">
        <f>+BU432/BK432-1</f>
        <v>0.22824133504492949</v>
      </c>
      <c r="BV433" s="254">
        <f>+BV432/BL432-1</f>
        <v>0.15071714084175869</v>
      </c>
      <c r="BW433" s="254">
        <f>+BW432/BM432-1</f>
        <v>0.23524229074889869</v>
      </c>
      <c r="BX433" s="1034">
        <f>+BX432/BN432-1</f>
        <v>0.22211308244827799</v>
      </c>
      <c r="BY433" s="254"/>
      <c r="BZ433" s="254"/>
      <c r="CA433" s="254"/>
      <c r="CB433" s="254"/>
      <c r="CC433" s="1944"/>
      <c r="CD433" s="254">
        <f>+CD432/BT432-1</f>
        <v>0.23955853711317898</v>
      </c>
      <c r="CE433" s="254">
        <f>+CE432/BU432-1</f>
        <v>0.23118729096989976</v>
      </c>
      <c r="CF433" s="254">
        <f>+CF432/BV432-1</f>
        <v>0.28422558234572937</v>
      </c>
      <c r="CG433" s="254">
        <f>+CG432/BW432-1</f>
        <v>0.29618402282453649</v>
      </c>
      <c r="CH433" s="1034">
        <f>+CH432/BX432-1</f>
        <v>0.2644798312151504</v>
      </c>
      <c r="CI433" s="254">
        <f t="shared" ref="CI433:CX433" si="1267">+CI432/CD432-1</f>
        <v>0.2119413407821229</v>
      </c>
      <c r="CJ433" s="254">
        <f t="shared" si="1267"/>
        <v>0.25314091680814932</v>
      </c>
      <c r="CK433" s="254">
        <f t="shared" si="1267"/>
        <v>0.20477326968973752</v>
      </c>
      <c r="CL433" s="254">
        <f t="shared" si="1267"/>
        <v>0.11996148025863262</v>
      </c>
      <c r="CM433" s="1034">
        <f t="shared" si="1267"/>
        <v>0.19323057365326557</v>
      </c>
      <c r="CN433" s="254">
        <f t="shared" si="1267"/>
        <v>0.1325266493805819</v>
      </c>
      <c r="CO433" s="254">
        <f t="shared" si="1267"/>
        <v>8.3999458068012567E-2</v>
      </c>
      <c r="CP433" s="254">
        <f t="shared" si="1267"/>
        <v>7.435287902799792E-2</v>
      </c>
      <c r="CQ433" s="254">
        <f t="shared" si="1267"/>
        <v>0.11951848667239906</v>
      </c>
      <c r="CR433" s="1034">
        <f t="shared" si="1267"/>
        <v>0.10241044080436801</v>
      </c>
      <c r="CS433" s="254">
        <f t="shared" si="1267"/>
        <v>0.13902314932587134</v>
      </c>
      <c r="CT433" s="254">
        <f t="shared" si="1267"/>
        <v>0.1937257842769653</v>
      </c>
      <c r="CU433" s="254">
        <f t="shared" si="1267"/>
        <v>0.21843884449907813</v>
      </c>
      <c r="CV433" s="254">
        <f t="shared" si="1267"/>
        <v>0.23831468071099415</v>
      </c>
      <c r="CW433" s="1034">
        <f t="shared" si="1267"/>
        <v>0.1990819038415077</v>
      </c>
      <c r="CX433" s="254">
        <f t="shared" si="1267"/>
        <v>0.22345058626465653</v>
      </c>
      <c r="CY433" s="2022"/>
      <c r="CZ433" s="2022"/>
      <c r="DA433" s="2022"/>
      <c r="DB433" s="2037"/>
      <c r="DC433" s="2022"/>
      <c r="DD433" s="2022"/>
      <c r="DE433" s="2022"/>
      <c r="DF433" s="2022"/>
      <c r="DG433" s="2037"/>
      <c r="DH433" s="2022"/>
      <c r="DI433" s="2022"/>
      <c r="DJ433" s="2022"/>
      <c r="DK433" s="2022"/>
      <c r="DL433" s="2037"/>
      <c r="DM433" s="2022"/>
      <c r="DN433" s="2022"/>
      <c r="DO433" s="2022"/>
      <c r="DP433" s="2022"/>
      <c r="DQ433" s="2037"/>
      <c r="DR433" s="2022"/>
      <c r="DS433" s="2022"/>
      <c r="DT433" s="2022"/>
      <c r="DU433" s="2022"/>
      <c r="DV433" s="2037"/>
      <c r="DW433" s="2022"/>
      <c r="DX433" s="2022"/>
      <c r="DY433" s="2022"/>
      <c r="DZ433" s="2022"/>
      <c r="EA433" s="2037"/>
      <c r="EB433" s="2022"/>
      <c r="EC433" s="2022"/>
      <c r="ED433" s="2022"/>
      <c r="EE433" s="2022"/>
      <c r="EF433" s="2037"/>
      <c r="EG433" s="2022"/>
      <c r="EH433" s="2022"/>
      <c r="EI433" s="2022"/>
      <c r="EJ433" s="2022"/>
      <c r="EK433" s="2037"/>
      <c r="EL433" s="2022"/>
      <c r="EM433" s="2022"/>
      <c r="EN433" s="2022"/>
      <c r="EO433" s="2022"/>
      <c r="EP433" s="2037"/>
      <c r="EQ433" s="2022"/>
      <c r="ER433" s="2022"/>
      <c r="ES433" s="2022"/>
      <c r="ET433" s="2022"/>
      <c r="EU433" s="2037"/>
      <c r="EV433" s="2037"/>
      <c r="EW433" s="2037"/>
      <c r="EX433" s="2037"/>
      <c r="EY433" s="2037"/>
      <c r="FA433" s="725"/>
      <c r="FB433" s="725"/>
    </row>
    <row r="434" spans="1:158" s="211" customFormat="1" ht="11.25" hidden="1" customHeight="1">
      <c r="A434" s="2038" t="s">
        <v>304</v>
      </c>
      <c r="B434" s="2001"/>
      <c r="C434" s="183"/>
      <c r="D434" s="183"/>
      <c r="E434" s="183"/>
      <c r="F434" s="269"/>
      <c r="G434" s="183"/>
      <c r="H434" s="183"/>
      <c r="I434" s="183"/>
      <c r="J434" s="183"/>
      <c r="K434" s="1028"/>
      <c r="P434" s="1033"/>
      <c r="U434" s="1033"/>
      <c r="Z434" s="1033"/>
      <c r="AE434" s="1033"/>
      <c r="AJ434" s="1033"/>
      <c r="AO434" s="1033"/>
      <c r="AP434" s="214">
        <f>AP214-AP415</f>
        <v>0</v>
      </c>
      <c r="AQ434" s="214">
        <f>AQ214-AQ415</f>
        <v>0</v>
      </c>
      <c r="AR434" s="214">
        <f>AR214-AR415</f>
        <v>0</v>
      </c>
      <c r="AS434" s="214">
        <f>AS214-AS415</f>
        <v>0</v>
      </c>
      <c r="AT434" s="1033">
        <f>SUM(AP434:AS434)</f>
        <v>0</v>
      </c>
      <c r="AU434" s="2033">
        <f>AU214-AU415</f>
        <v>0</v>
      </c>
      <c r="AV434" s="214">
        <v>0</v>
      </c>
      <c r="AW434" s="214">
        <v>0</v>
      </c>
      <c r="AX434" s="214">
        <f>AX214-AX415</f>
        <v>119.9</v>
      </c>
      <c r="AY434" s="1033">
        <f>SUM(AU434:AX434)</f>
        <v>119.9</v>
      </c>
      <c r="AZ434" s="2033">
        <f>AZ214-AZ415</f>
        <v>72</v>
      </c>
      <c r="BA434" s="214">
        <f>BA214-BA415</f>
        <v>57</v>
      </c>
      <c r="BB434" s="214">
        <f>BB214-BB415</f>
        <v>14</v>
      </c>
      <c r="BC434" s="214">
        <f>BC214-BC415</f>
        <v>0</v>
      </c>
      <c r="BD434" s="1033">
        <f>SUM(AZ434:BC434)</f>
        <v>143</v>
      </c>
      <c r="BE434" s="2033">
        <f>BE214-BE415</f>
        <v>0</v>
      </c>
      <c r="BF434" s="214">
        <f>BF214-BF415</f>
        <v>60</v>
      </c>
      <c r="BG434" s="214">
        <f>BG214-BG415</f>
        <v>78</v>
      </c>
      <c r="BH434" s="214">
        <f>BH214-BH415</f>
        <v>23</v>
      </c>
      <c r="BI434" s="1033">
        <f>SUM(BE434:BH434)</f>
        <v>161</v>
      </c>
      <c r="BJ434" s="2033">
        <f>BJ214-BJ415</f>
        <v>10</v>
      </c>
      <c r="BK434" s="214">
        <f>BK214-BK415</f>
        <v>4</v>
      </c>
      <c r="BL434" s="214">
        <f>BL214-BL415</f>
        <v>1</v>
      </c>
      <c r="BM434" s="214">
        <f>BM214-BM415</f>
        <v>19</v>
      </c>
      <c r="BN434" s="1033">
        <f>SUM(BJ434:BM434)</f>
        <v>34</v>
      </c>
      <c r="BO434" s="214"/>
      <c r="BP434" s="214"/>
      <c r="BQ434" s="214"/>
      <c r="BR434" s="214"/>
      <c r="BS434" s="1945"/>
      <c r="BT434" s="214">
        <f>BT214-BT415</f>
        <v>33</v>
      </c>
      <c r="BU434" s="214">
        <f>BU214-BU415</f>
        <v>74</v>
      </c>
      <c r="BV434" s="214">
        <f>BV214-BV415</f>
        <v>56</v>
      </c>
      <c r="BW434" s="214">
        <f>BW214-BW415</f>
        <v>36</v>
      </c>
      <c r="BX434" s="1033">
        <f>SUM(BT434:BW434)</f>
        <v>199</v>
      </c>
      <c r="BY434" s="214"/>
      <c r="BZ434" s="214"/>
      <c r="CA434" s="214"/>
      <c r="CB434" s="214"/>
      <c r="CC434" s="1945"/>
      <c r="CD434" s="214">
        <f>CD214-CD415</f>
        <v>15</v>
      </c>
      <c r="CE434" s="214">
        <f>CE214-CE415</f>
        <v>11</v>
      </c>
      <c r="CF434" s="214">
        <f>CF214-CF415</f>
        <v>5</v>
      </c>
      <c r="CG434" s="214">
        <f>CG214-CG415</f>
        <v>1</v>
      </c>
      <c r="CH434" s="1033">
        <f>SUM(CD434:CG434)</f>
        <v>32</v>
      </c>
      <c r="CI434" s="214">
        <f>CI214-CI415</f>
        <v>8</v>
      </c>
      <c r="CJ434" s="214">
        <f>CJ214-CJ415</f>
        <v>6</v>
      </c>
      <c r="CK434" s="214">
        <f>CK214-CK415</f>
        <v>10</v>
      </c>
      <c r="CL434" s="214">
        <f>CL214-CL415</f>
        <v>145</v>
      </c>
      <c r="CM434" s="1033">
        <f>SUM(CI434:CL434)</f>
        <v>169</v>
      </c>
      <c r="CN434" s="214">
        <f>CN214-CN415</f>
        <v>291</v>
      </c>
      <c r="CO434" s="214">
        <f>CO214-CO415</f>
        <v>417</v>
      </c>
      <c r="CP434" s="214">
        <f>CP214-CP415</f>
        <v>266</v>
      </c>
      <c r="CQ434" s="214">
        <f>CQ214-CQ415</f>
        <v>293</v>
      </c>
      <c r="CR434" s="1033">
        <f>SUM(CN434:CQ434)</f>
        <v>1267</v>
      </c>
      <c r="CS434" s="214">
        <f>CS214-CS415</f>
        <v>127</v>
      </c>
      <c r="CT434" s="214">
        <f>CT214-CT415</f>
        <v>41</v>
      </c>
      <c r="CU434" s="214">
        <f>CU214-CU415</f>
        <v>21</v>
      </c>
      <c r="CV434" s="214">
        <f>CV214-CV415</f>
        <v>53</v>
      </c>
      <c r="CW434" s="1033">
        <f>SUM(CS434:CV434)</f>
        <v>242</v>
      </c>
      <c r="CX434" s="214">
        <f>CX214-CX415</f>
        <v>126</v>
      </c>
      <c r="CY434" s="2015"/>
      <c r="CZ434" s="2015"/>
      <c r="DA434" s="2015"/>
      <c r="DB434" s="2039"/>
      <c r="DC434" s="2015"/>
      <c r="DD434" s="2015"/>
      <c r="DE434" s="2015"/>
      <c r="DF434" s="2015"/>
      <c r="DG434" s="2039"/>
      <c r="DH434" s="2015"/>
      <c r="DI434" s="2015"/>
      <c r="DJ434" s="2015"/>
      <c r="DK434" s="2015"/>
      <c r="DL434" s="2039"/>
      <c r="DM434" s="2015"/>
      <c r="DN434" s="2015"/>
      <c r="DO434" s="2015"/>
      <c r="DP434" s="2015"/>
      <c r="DQ434" s="2039"/>
      <c r="DR434" s="2015"/>
      <c r="DS434" s="2015"/>
      <c r="DT434" s="2015"/>
      <c r="DU434" s="2015"/>
      <c r="DV434" s="2039"/>
      <c r="DW434" s="2015"/>
      <c r="DX434" s="2015"/>
      <c r="DY434" s="2015"/>
      <c r="DZ434" s="2015"/>
      <c r="EA434" s="2039"/>
      <c r="EB434" s="2015"/>
      <c r="EC434" s="2015"/>
      <c r="ED434" s="2015"/>
      <c r="EE434" s="2015"/>
      <c r="EF434" s="2039"/>
      <c r="EG434" s="2015"/>
      <c r="EH434" s="2015"/>
      <c r="EI434" s="2015"/>
      <c r="EJ434" s="2015"/>
      <c r="EK434" s="2039"/>
      <c r="EL434" s="2015"/>
      <c r="EM434" s="2015"/>
      <c r="EN434" s="2015"/>
      <c r="EO434" s="2015"/>
      <c r="EP434" s="2039"/>
      <c r="EQ434" s="2015"/>
      <c r="ER434" s="2015"/>
      <c r="ES434" s="2015"/>
      <c r="ET434" s="2015"/>
      <c r="EU434" s="2039"/>
      <c r="EV434" s="2039"/>
      <c r="EW434" s="2039"/>
      <c r="EX434" s="2039"/>
      <c r="EY434" s="2039"/>
      <c r="FA434" s="715"/>
      <c r="FB434" s="715"/>
    </row>
    <row r="435" spans="1:158" s="211" customFormat="1" ht="11.25" hidden="1" customHeight="1">
      <c r="A435" s="1985" t="s">
        <v>307</v>
      </c>
      <c r="B435" s="2001"/>
      <c r="C435" s="183"/>
      <c r="D435" s="183"/>
      <c r="E435" s="183"/>
      <c r="F435" s="269"/>
      <c r="G435" s="183"/>
      <c r="H435" s="183"/>
      <c r="I435" s="183"/>
      <c r="J435" s="183"/>
      <c r="K435" s="1028"/>
      <c r="P435" s="1033"/>
      <c r="U435" s="1033"/>
      <c r="Z435" s="1033"/>
      <c r="AE435" s="1033"/>
      <c r="AJ435" s="1033"/>
      <c r="AO435" s="1033"/>
      <c r="AP435" s="214">
        <f>AP432-AP434</f>
        <v>1127.23</v>
      </c>
      <c r="AQ435" s="214">
        <f>AQ432-AQ434</f>
        <v>1244.529</v>
      </c>
      <c r="AR435" s="214">
        <f>AR432-AR434</f>
        <v>1364.5259999999998</v>
      </c>
      <c r="AS435" s="214">
        <f>AS432-AS434</f>
        <v>1628.7640000000006</v>
      </c>
      <c r="AT435" s="1033">
        <f>SUM(AP435:AS435)</f>
        <v>5365.0490000000009</v>
      </c>
      <c r="AU435" s="2033">
        <f>AU432-AU434</f>
        <v>1847.596</v>
      </c>
      <c r="AV435" s="214">
        <f>AV432-AV434</f>
        <v>2026.23</v>
      </c>
      <c r="AW435" s="214">
        <f>AW432-AW434</f>
        <v>2070.2190000000001</v>
      </c>
      <c r="AX435" s="214">
        <f>AX432-AX434</f>
        <v>2057.5639999999985</v>
      </c>
      <c r="AY435" s="1033">
        <f>SUM(AU435:AX435)</f>
        <v>8001.6089999999986</v>
      </c>
      <c r="AZ435" s="2033">
        <f>AZ432-AZ434</f>
        <v>2076.5219999999999</v>
      </c>
      <c r="BA435" s="214">
        <f>BA432-BA434</f>
        <v>2141.768</v>
      </c>
      <c r="BB435" s="214">
        <f>BB432-BB434</f>
        <v>2363.5039999999999</v>
      </c>
      <c r="BC435" s="214">
        <f>BC432-BC434</f>
        <v>2746.1720000000005</v>
      </c>
      <c r="BD435" s="1033">
        <f>SUM(AZ435:BC435)</f>
        <v>9327.9660000000003</v>
      </c>
      <c r="BE435" s="2033">
        <f>BE432-BE434</f>
        <v>2737</v>
      </c>
      <c r="BF435" s="214">
        <f>BF432-BF434</f>
        <v>2702</v>
      </c>
      <c r="BG435" s="214">
        <f>BG432-BG434</f>
        <v>2851</v>
      </c>
      <c r="BH435" s="214">
        <f>BH432-BH434</f>
        <v>3484</v>
      </c>
      <c r="BI435" s="1033">
        <f>SUM(BE435:BH435)</f>
        <v>11774</v>
      </c>
      <c r="BJ435" s="2033">
        <f>BJ432-BJ434</f>
        <v>3591</v>
      </c>
      <c r="BK435" s="214">
        <f>BK432-BK434</f>
        <v>3891</v>
      </c>
      <c r="BL435" s="214">
        <f>BL432-BL434</f>
        <v>4252</v>
      </c>
      <c r="BM435" s="214">
        <f>BM432-BM434</f>
        <v>4521</v>
      </c>
      <c r="BN435" s="1033">
        <f>SUM(BJ435:BM435)</f>
        <v>16255</v>
      </c>
      <c r="BO435" s="214"/>
      <c r="BP435" s="214"/>
      <c r="BQ435" s="214"/>
      <c r="BR435" s="214"/>
      <c r="BS435" s="1945"/>
      <c r="BT435" s="214">
        <f>BT432-BT434</f>
        <v>4588</v>
      </c>
      <c r="BU435" s="214">
        <f>BU432-BU434</f>
        <v>4710</v>
      </c>
      <c r="BV435" s="214">
        <f>BV432-BV434</f>
        <v>4838</v>
      </c>
      <c r="BW435" s="214">
        <f>BW432-BW434</f>
        <v>5572</v>
      </c>
      <c r="BX435" s="1033">
        <f>SUM(BT435:BW435)</f>
        <v>19708</v>
      </c>
      <c r="BY435" s="214"/>
      <c r="BZ435" s="214"/>
      <c r="CA435" s="214"/>
      <c r="CB435" s="214"/>
      <c r="CC435" s="1945"/>
      <c r="CD435" s="214">
        <f>CD432-CD434</f>
        <v>5713</v>
      </c>
      <c r="CE435" s="214">
        <f>CE432-CE434</f>
        <v>5879</v>
      </c>
      <c r="CF435" s="214">
        <f>CF432-CF434</f>
        <v>6280</v>
      </c>
      <c r="CG435" s="214">
        <f>CG432-CG434</f>
        <v>7268</v>
      </c>
      <c r="CH435" s="1033">
        <f>SUM(CD435:CG435)</f>
        <v>25140</v>
      </c>
      <c r="CI435" s="214">
        <f>CI432-CI434</f>
        <v>6934</v>
      </c>
      <c r="CJ435" s="214">
        <f>CJ432-CJ434</f>
        <v>7375</v>
      </c>
      <c r="CK435" s="214">
        <f>CK432-CK434</f>
        <v>7562</v>
      </c>
      <c r="CL435" s="214">
        <f>CL432-CL434</f>
        <v>7996</v>
      </c>
      <c r="CM435" s="1033">
        <f>SUM(CI435:CL435)</f>
        <v>29867</v>
      </c>
      <c r="CN435" s="214">
        <f>CN432-CN434</f>
        <v>7571</v>
      </c>
      <c r="CO435" s="214">
        <f>CO432-CO434</f>
        <v>7584</v>
      </c>
      <c r="CP435" s="214">
        <f>CP432-CP434</f>
        <v>7869</v>
      </c>
      <c r="CQ435" s="214">
        <f>CQ432-CQ434</f>
        <v>8821</v>
      </c>
      <c r="CR435" s="1033">
        <f>SUM(CN435:CQ435)</f>
        <v>31845</v>
      </c>
      <c r="CS435" s="214">
        <f>CS432-CS434</f>
        <v>8828</v>
      </c>
      <c r="CT435" s="214">
        <f>CT432-CT434</f>
        <v>9510</v>
      </c>
      <c r="CU435" s="214">
        <f>CU432-CU434</f>
        <v>9891</v>
      </c>
      <c r="CV435" s="214">
        <f>CV432-CV434</f>
        <v>11233</v>
      </c>
      <c r="CW435" s="1033">
        <f>SUM(CS435:CV435)</f>
        <v>39462</v>
      </c>
      <c r="CX435" s="214">
        <f>CX432-CX434</f>
        <v>10830</v>
      </c>
      <c r="CY435" s="2015"/>
      <c r="CZ435" s="2015"/>
      <c r="DA435" s="2015"/>
      <c r="DB435" s="2016"/>
      <c r="DC435" s="2015"/>
      <c r="DD435" s="2015"/>
      <c r="DE435" s="2015"/>
      <c r="DF435" s="2015"/>
      <c r="DG435" s="2016"/>
      <c r="DH435" s="2015"/>
      <c r="DI435" s="2015"/>
      <c r="DJ435" s="2015"/>
      <c r="DK435" s="2015"/>
      <c r="DL435" s="2016"/>
      <c r="DM435" s="2015"/>
      <c r="DN435" s="2015"/>
      <c r="DO435" s="2015"/>
      <c r="DP435" s="2015"/>
      <c r="DQ435" s="2016"/>
      <c r="DR435" s="2015"/>
      <c r="DS435" s="2015"/>
      <c r="DT435" s="2015"/>
      <c r="DU435" s="2015"/>
      <c r="DV435" s="2016"/>
      <c r="DW435" s="2015"/>
      <c r="DX435" s="2015"/>
      <c r="DY435" s="2015"/>
      <c r="DZ435" s="2015"/>
      <c r="EA435" s="2016"/>
      <c r="EB435" s="2015"/>
      <c r="EC435" s="2015"/>
      <c r="ED435" s="2015"/>
      <c r="EE435" s="2015"/>
      <c r="EF435" s="2016"/>
      <c r="EG435" s="2015"/>
      <c r="EH435" s="2015"/>
      <c r="EI435" s="2015"/>
      <c r="EJ435" s="2015"/>
      <c r="EK435" s="2016"/>
      <c r="EL435" s="2015"/>
      <c r="EM435" s="2015"/>
      <c r="EN435" s="2015"/>
      <c r="EO435" s="2015"/>
      <c r="EP435" s="2016"/>
      <c r="EQ435" s="2015"/>
      <c r="ER435" s="2015"/>
      <c r="ES435" s="2015"/>
      <c r="ET435" s="2015"/>
      <c r="EU435" s="2016"/>
      <c r="EV435" s="2016"/>
      <c r="EW435" s="2016"/>
      <c r="EX435" s="2016"/>
      <c r="EY435" s="2016"/>
      <c r="FA435" s="715"/>
      <c r="FB435" s="715"/>
    </row>
    <row r="436" spans="1:158" s="252" customFormat="1" ht="11.25" hidden="1" customHeight="1">
      <c r="A436" s="1990" t="s">
        <v>303</v>
      </c>
      <c r="B436" s="2040"/>
      <c r="C436" s="260"/>
      <c r="D436" s="260"/>
      <c r="E436" s="260"/>
      <c r="G436" s="260"/>
      <c r="H436" s="260"/>
      <c r="I436" s="260"/>
      <c r="J436" s="260"/>
      <c r="K436" s="1941"/>
      <c r="P436" s="1941"/>
      <c r="U436" s="1941"/>
      <c r="Z436" s="1941"/>
      <c r="AE436" s="1941"/>
      <c r="AJ436" s="1941"/>
      <c r="AO436" s="1941"/>
      <c r="AP436" s="252">
        <f>AP538-AP410</f>
        <v>1053.0388802869015</v>
      </c>
      <c r="AQ436" s="252">
        <f>AQ538-AQ410</f>
        <v>1158.450655844156</v>
      </c>
      <c r="AR436" s="252">
        <f>AR538-AR410</f>
        <v>1277.4667335223244</v>
      </c>
      <c r="AS436" s="252">
        <f>AS538-AS410</f>
        <v>1466.954444756876</v>
      </c>
      <c r="AT436" s="1941">
        <f>SUM(AP436:AS436)</f>
        <v>4955.9107144102582</v>
      </c>
      <c r="AU436" s="2041">
        <f>AU542-AU416</f>
        <v>1651.754910891425</v>
      </c>
      <c r="AV436" s="252">
        <f>AV542-AV416</f>
        <v>1766.5265985100705</v>
      </c>
      <c r="AW436" s="252">
        <f>AW542-AW416</f>
        <v>1865.3827730545572</v>
      </c>
      <c r="AX436" s="252">
        <f>AX542-AX416</f>
        <v>2163.0994388982358</v>
      </c>
      <c r="AY436" s="1031">
        <f>SUM(AU436:AX436)</f>
        <v>7446.7637213542894</v>
      </c>
      <c r="AZ436" s="2041">
        <f>AZ542-AZ416</f>
        <v>2436.5255889330715</v>
      </c>
      <c r="BA436" s="252">
        <f>BA542-BA416</f>
        <v>2576.6758355672609</v>
      </c>
      <c r="BB436" s="252">
        <f>BB542-BB416</f>
        <v>2588.5571197742315</v>
      </c>
      <c r="BC436" s="252">
        <f>BC542-BC416</f>
        <v>2551.1720000000005</v>
      </c>
      <c r="BD436" s="1031">
        <f>SUM(AZ436:BC436)</f>
        <v>10152.930544274564</v>
      </c>
      <c r="BE436" s="2041">
        <f>BE542-BE416</f>
        <v>2577</v>
      </c>
      <c r="BF436" s="252">
        <f>BF542-BF416</f>
        <v>2752</v>
      </c>
      <c r="BG436" s="252">
        <f>BG542-BG416</f>
        <v>3059</v>
      </c>
      <c r="BH436" s="252">
        <f>BH542-BH416</f>
        <v>3615</v>
      </c>
      <c r="BI436" s="1031">
        <f>SUM(BE436:BH436)</f>
        <v>12003</v>
      </c>
      <c r="BJ436" s="2041">
        <f>BJ542-BJ416</f>
        <v>3582</v>
      </c>
      <c r="BK436" s="252">
        <f>BK542-BK416</f>
        <v>3559</v>
      </c>
      <c r="BL436" s="252">
        <f>BL542-BL416</f>
        <v>3826</v>
      </c>
      <c r="BM436" s="252">
        <f>BM542-BM416</f>
        <v>4505</v>
      </c>
      <c r="BN436" s="1031">
        <f>SUM(BJ436:BM436)</f>
        <v>15472</v>
      </c>
      <c r="BS436" s="1941"/>
      <c r="BT436" s="252">
        <f>BT542-BT416</f>
        <v>4685</v>
      </c>
      <c r="BU436" s="252">
        <f>BU542-BU416</f>
        <v>5111</v>
      </c>
      <c r="BV436" s="252">
        <f>BV542-BV416</f>
        <v>5410</v>
      </c>
      <c r="BW436" s="252">
        <f>BW542-BW416</f>
        <v>5829</v>
      </c>
      <c r="BX436" s="1031">
        <f>SUM(BT436:BW436)</f>
        <v>21035</v>
      </c>
      <c r="CC436" s="1941"/>
      <c r="CD436" s="252">
        <f>CD542-CD416</f>
        <v>5818</v>
      </c>
      <c r="CE436" s="252">
        <f>CE542-CE416</f>
        <v>6048</v>
      </c>
      <c r="CF436" s="252">
        <f>CF542-CF416</f>
        <v>6396</v>
      </c>
      <c r="CG436" s="252">
        <f>CG542-CG416</f>
        <v>7414</v>
      </c>
      <c r="CH436" s="1031">
        <f>SUM(CD436:CG436)</f>
        <v>25676</v>
      </c>
      <c r="CI436" s="252">
        <f>CI542-CI416</f>
        <v>7168</v>
      </c>
      <c r="CJ436" s="252">
        <f>CJ542-CJ416</f>
        <v>7379</v>
      </c>
      <c r="CK436" s="252">
        <f>CK542-CK416</f>
        <v>7577</v>
      </c>
      <c r="CL436" s="252">
        <f>CL542-CL416</f>
        <v>8600</v>
      </c>
      <c r="CM436" s="1031">
        <f>SUM(CI436:CL436)</f>
        <v>30724</v>
      </c>
      <c r="CN436" s="252">
        <f>CN542-CN416</f>
        <v>8561</v>
      </c>
      <c r="CO436" s="252">
        <f>CO542-CO416</f>
        <v>8991</v>
      </c>
      <c r="CP436" s="252">
        <f>CP542-CP416</f>
        <v>9301</v>
      </c>
      <c r="CQ436" s="252">
        <f>CQ542-CQ416</f>
        <v>10044</v>
      </c>
      <c r="CR436" s="1031">
        <f>SUM(CN436:CQ436)</f>
        <v>36897</v>
      </c>
      <c r="CS436" s="252">
        <f>CS542-CS416</f>
        <v>9461</v>
      </c>
      <c r="CT436" s="252">
        <f>CT542-CT416</f>
        <v>9552</v>
      </c>
      <c r="CU436" s="252">
        <f>CU542-CU416</f>
        <v>9810</v>
      </c>
      <c r="CV436" s="252">
        <f>CV542-CV416</f>
        <v>11086</v>
      </c>
      <c r="CW436" s="1031">
        <f>SUM(CS436:CV436)</f>
        <v>39909</v>
      </c>
      <c r="CX436" s="252">
        <f>CX542-CX416</f>
        <v>10882</v>
      </c>
      <c r="CY436" s="2012"/>
      <c r="CZ436" s="2012"/>
      <c r="DA436" s="2012"/>
      <c r="DB436" s="2042"/>
      <c r="DC436" s="2012"/>
      <c r="DD436" s="2012"/>
      <c r="DE436" s="2012"/>
      <c r="DF436" s="2012"/>
      <c r="DG436" s="2042"/>
      <c r="DH436" s="2012"/>
      <c r="DI436" s="2012"/>
      <c r="DJ436" s="2012"/>
      <c r="DK436" s="2012"/>
      <c r="DL436" s="2042"/>
      <c r="DM436" s="2012"/>
      <c r="DN436" s="2012"/>
      <c r="DO436" s="2012"/>
      <c r="DP436" s="2012"/>
      <c r="DQ436" s="2042"/>
      <c r="DR436" s="2012"/>
      <c r="DS436" s="2012"/>
      <c r="DT436" s="2012"/>
      <c r="DU436" s="2012"/>
      <c r="DV436" s="2042"/>
      <c r="DW436" s="2012"/>
      <c r="DX436" s="2012"/>
      <c r="DY436" s="2012"/>
      <c r="DZ436" s="2012"/>
      <c r="EA436" s="2042"/>
      <c r="EB436" s="2012"/>
      <c r="EC436" s="2012"/>
      <c r="ED436" s="2012"/>
      <c r="EE436" s="2012"/>
      <c r="EF436" s="2042"/>
      <c r="EG436" s="2012"/>
      <c r="EH436" s="2012"/>
      <c r="EI436" s="2012"/>
      <c r="EJ436" s="2012"/>
      <c r="EK436" s="2042"/>
      <c r="EL436" s="2012"/>
      <c r="EM436" s="2012"/>
      <c r="EN436" s="2012"/>
      <c r="EO436" s="2012"/>
      <c r="EP436" s="2042"/>
      <c r="EQ436" s="2012"/>
      <c r="ER436" s="2012"/>
      <c r="ES436" s="2012"/>
      <c r="ET436" s="2012"/>
      <c r="EU436" s="2042"/>
      <c r="EV436" s="2042"/>
      <c r="EW436" s="2042"/>
      <c r="EX436" s="2042"/>
      <c r="EY436" s="2042"/>
      <c r="FA436" s="715"/>
      <c r="FB436" s="715"/>
    </row>
    <row r="437" spans="1:158" s="239" customFormat="1" ht="11.25" hidden="1" customHeight="1">
      <c r="A437" s="2043" t="s">
        <v>305</v>
      </c>
      <c r="B437" s="2044"/>
      <c r="C437" s="645"/>
      <c r="D437" s="645"/>
      <c r="E437" s="645"/>
      <c r="F437" s="832"/>
      <c r="G437" s="645"/>
      <c r="H437" s="645"/>
      <c r="I437" s="645"/>
      <c r="J437" s="645"/>
      <c r="K437" s="1936"/>
      <c r="L437" s="646"/>
      <c r="M437" s="646"/>
      <c r="N437" s="646"/>
      <c r="O437" s="646"/>
      <c r="P437" s="1936"/>
      <c r="Q437" s="646"/>
      <c r="R437" s="646"/>
      <c r="S437" s="646"/>
      <c r="T437" s="646"/>
      <c r="U437" s="1936"/>
      <c r="V437" s="646"/>
      <c r="W437" s="646"/>
      <c r="X437" s="646"/>
      <c r="Y437" s="646"/>
      <c r="Z437" s="1936"/>
      <c r="AA437" s="646"/>
      <c r="AB437" s="646"/>
      <c r="AC437" s="646"/>
      <c r="AD437" s="646"/>
      <c r="AE437" s="1936"/>
      <c r="AF437" s="646"/>
      <c r="AG437" s="646"/>
      <c r="AH437" s="646"/>
      <c r="AI437" s="646"/>
      <c r="AJ437" s="1936"/>
      <c r="AK437" s="646"/>
      <c r="AL437" s="646"/>
      <c r="AM437" s="646"/>
      <c r="AN437" s="646"/>
      <c r="AO437" s="1936"/>
      <c r="AP437" s="646"/>
      <c r="AQ437" s="646"/>
      <c r="AR437" s="646"/>
      <c r="AS437" s="646"/>
      <c r="AT437" s="1936"/>
      <c r="AU437" s="2045">
        <f t="shared" ref="AU437:BJ437" si="1268">AU436/AP435-1</f>
        <v>0.46532199364053906</v>
      </c>
      <c r="AV437" s="646">
        <f t="shared" si="1268"/>
        <v>0.41943385691299317</v>
      </c>
      <c r="AW437" s="646">
        <f t="shared" si="1268"/>
        <v>0.36705549989854158</v>
      </c>
      <c r="AX437" s="646">
        <f t="shared" si="1268"/>
        <v>0.32806191621268344</v>
      </c>
      <c r="AY437" s="1035">
        <f t="shared" si="1268"/>
        <v>0.3880141115867326</v>
      </c>
      <c r="AZ437" s="2045">
        <f t="shared" si="1268"/>
        <v>0.31875452692746231</v>
      </c>
      <c r="BA437" s="646">
        <f t="shared" si="1268"/>
        <v>0.27166009562945015</v>
      </c>
      <c r="BB437" s="646">
        <f t="shared" si="1268"/>
        <v>0.25037839947089235</v>
      </c>
      <c r="BC437" s="646">
        <f t="shared" si="1268"/>
        <v>0.23989922063177738</v>
      </c>
      <c r="BD437" s="1035">
        <f t="shared" si="1268"/>
        <v>0.2688611183418943</v>
      </c>
      <c r="BE437" s="2045">
        <f t="shared" si="1268"/>
        <v>0.24101743203298587</v>
      </c>
      <c r="BF437" s="646">
        <f t="shared" si="1268"/>
        <v>0.28491974854419344</v>
      </c>
      <c r="BG437" s="646">
        <f t="shared" si="1268"/>
        <v>0.29426478652035293</v>
      </c>
      <c r="BH437" s="646">
        <f t="shared" si="1268"/>
        <v>0.31637785251615691</v>
      </c>
      <c r="BI437" s="1035">
        <f t="shared" si="1268"/>
        <v>0.28677570222704496</v>
      </c>
      <c r="BJ437" s="2045">
        <f t="shared" si="1268"/>
        <v>0.30873218852758488</v>
      </c>
      <c r="BK437" s="646">
        <f>BK436/BF435-1</f>
        <v>0.3171724648408587</v>
      </c>
      <c r="BL437" s="646">
        <f>BL436/BG435-1</f>
        <v>0.3419852683269029</v>
      </c>
      <c r="BM437" s="646">
        <f>BM436/BH435-1</f>
        <v>0.29305396096440872</v>
      </c>
      <c r="BN437" s="1035">
        <f>BN436/BI435-1</f>
        <v>0.3140818753184984</v>
      </c>
      <c r="BO437" s="646"/>
      <c r="BP437" s="646"/>
      <c r="BQ437" s="646"/>
      <c r="BR437" s="646"/>
      <c r="BS437" s="1936"/>
      <c r="BT437" s="646">
        <f>BT436/BJ435-1</f>
        <v>0.30465051517683106</v>
      </c>
      <c r="BU437" s="646">
        <f>BU436/BK435-1</f>
        <v>0.31354407607298884</v>
      </c>
      <c r="BV437" s="646">
        <f>BV436/BL435-1</f>
        <v>0.27234242709313272</v>
      </c>
      <c r="BW437" s="646">
        <f>BW436/BM435-1</f>
        <v>0.28931652289316534</v>
      </c>
      <c r="BX437" s="1035">
        <f>BX436/BN435-1</f>
        <v>0.29406336511842501</v>
      </c>
      <c r="BY437" s="646"/>
      <c r="BZ437" s="646"/>
      <c r="CA437" s="646"/>
      <c r="CB437" s="646"/>
      <c r="CC437" s="1936"/>
      <c r="CD437" s="729">
        <f>CD436/BT435-1</f>
        <v>0.26809067131647768</v>
      </c>
      <c r="CE437" s="646">
        <f>CE436/BU435-1</f>
        <v>0.28407643312101905</v>
      </c>
      <c r="CF437" s="646">
        <f>CF436/BV435-1</f>
        <v>0.32203389830508478</v>
      </c>
      <c r="CG437" s="646">
        <f>CG436/BW435-1</f>
        <v>0.33058147882268485</v>
      </c>
      <c r="CH437" s="1035">
        <f>CH436/BX435-1</f>
        <v>0.30282118936472502</v>
      </c>
      <c r="CI437" s="729">
        <f t="shared" ref="CI437:CO437" si="1269">CI436/CD435-1</f>
        <v>0.25468230351829169</v>
      </c>
      <c r="CJ437" s="646">
        <f t="shared" si="1269"/>
        <v>0.25514543289675107</v>
      </c>
      <c r="CK437" s="646">
        <f t="shared" si="1269"/>
        <v>0.20652866242038215</v>
      </c>
      <c r="CL437" s="646">
        <f t="shared" si="1269"/>
        <v>0.18326912493120529</v>
      </c>
      <c r="CM437" s="1035">
        <f t="shared" si="1269"/>
        <v>0.22211614956245018</v>
      </c>
      <c r="CN437" s="646">
        <f t="shared" si="1269"/>
        <v>0.23464089991346992</v>
      </c>
      <c r="CO437" s="646">
        <f t="shared" si="1269"/>
        <v>0.21911864406779658</v>
      </c>
      <c r="CP437" s="646">
        <f t="shared" ref="CP437:CX437" si="1270">CP436/CK435-1</f>
        <v>0.2299656175614917</v>
      </c>
      <c r="CQ437" s="646">
        <f>CQ436/CL435-1</f>
        <v>0.25612806403201605</v>
      </c>
      <c r="CR437" s="1035">
        <f t="shared" si="1270"/>
        <v>0.23537683731208348</v>
      </c>
      <c r="CS437" s="646">
        <f>CS436/CN435-1</f>
        <v>0.24963677189274858</v>
      </c>
      <c r="CT437" s="646">
        <f>CT436/CO435-1</f>
        <v>0.259493670886076</v>
      </c>
      <c r="CU437" s="646">
        <f t="shared" si="1270"/>
        <v>0.24666412504765534</v>
      </c>
      <c r="CV437" s="646">
        <f t="shared" si="1270"/>
        <v>0.25677360843441788</v>
      </c>
      <c r="CW437" s="1035">
        <f>CW436/CR435-1</f>
        <v>0.253226566179934</v>
      </c>
      <c r="CX437" s="646">
        <f t="shared" si="1270"/>
        <v>0.23266878115088363</v>
      </c>
      <c r="CY437" s="2020"/>
      <c r="CZ437" s="2020"/>
      <c r="DA437" s="2020"/>
      <c r="DB437" s="2046"/>
      <c r="DC437" s="2020"/>
      <c r="DD437" s="2020"/>
      <c r="DE437" s="2020"/>
      <c r="DF437" s="2020"/>
      <c r="DG437" s="2046"/>
      <c r="DH437" s="2020"/>
      <c r="DI437" s="2020"/>
      <c r="DJ437" s="2020"/>
      <c r="DK437" s="2020"/>
      <c r="DL437" s="2046"/>
      <c r="DM437" s="2020"/>
      <c r="DN437" s="2020"/>
      <c r="DO437" s="2020"/>
      <c r="DP437" s="2020"/>
      <c r="DQ437" s="2046"/>
      <c r="DR437" s="2020"/>
      <c r="DS437" s="2020"/>
      <c r="DT437" s="2020"/>
      <c r="DU437" s="2020"/>
      <c r="DV437" s="2046"/>
      <c r="DW437" s="2020"/>
      <c r="DX437" s="2020"/>
      <c r="DY437" s="2020"/>
      <c r="DZ437" s="2020"/>
      <c r="EA437" s="2046"/>
      <c r="EB437" s="2020"/>
      <c r="EC437" s="2020"/>
      <c r="ED437" s="2020"/>
      <c r="EE437" s="2020"/>
      <c r="EF437" s="2046"/>
      <c r="EG437" s="2020"/>
      <c r="EH437" s="2020"/>
      <c r="EI437" s="2020"/>
      <c r="EJ437" s="2020"/>
      <c r="EK437" s="2046"/>
      <c r="EL437" s="2020"/>
      <c r="EM437" s="2020"/>
      <c r="EN437" s="2020"/>
      <c r="EO437" s="2020"/>
      <c r="EP437" s="2046"/>
      <c r="EQ437" s="2020"/>
      <c r="ER437" s="2020"/>
      <c r="ES437" s="2020"/>
      <c r="ET437" s="2020"/>
      <c r="EU437" s="2046"/>
      <c r="EV437" s="2046"/>
      <c r="EW437" s="2046"/>
      <c r="EX437" s="2046"/>
      <c r="EY437" s="2046"/>
      <c r="FA437" s="725"/>
      <c r="FB437" s="725"/>
    </row>
    <row r="438" spans="1:158" s="239" customFormat="1" ht="11.25" hidden="1" customHeight="1">
      <c r="A438" s="2047" t="s">
        <v>494</v>
      </c>
      <c r="B438" s="2048"/>
      <c r="C438" s="1071"/>
      <c r="D438" s="1071"/>
      <c r="E438" s="1071"/>
      <c r="F438" s="2049"/>
      <c r="G438" s="1071"/>
      <c r="H438" s="1071"/>
      <c r="I438" s="1071"/>
      <c r="J438" s="1071"/>
      <c r="K438" s="2050"/>
      <c r="L438" s="2051"/>
      <c r="M438" s="2051"/>
      <c r="N438" s="2051"/>
      <c r="O438" s="2051"/>
      <c r="P438" s="2050"/>
      <c r="Q438" s="2051"/>
      <c r="R438" s="2051"/>
      <c r="S438" s="2051"/>
      <c r="T438" s="2051"/>
      <c r="U438" s="2050"/>
      <c r="V438" s="2051"/>
      <c r="W438" s="2051"/>
      <c r="X438" s="2051"/>
      <c r="Y438" s="2051"/>
      <c r="Z438" s="2050"/>
      <c r="AA438" s="2051"/>
      <c r="AB438" s="2051"/>
      <c r="AC438" s="2051"/>
      <c r="AD438" s="2051"/>
      <c r="AE438" s="2050"/>
      <c r="AF438" s="2051"/>
      <c r="AG438" s="2051"/>
      <c r="AH438" s="2051"/>
      <c r="AI438" s="2051"/>
      <c r="AJ438" s="2050"/>
      <c r="AK438" s="2051"/>
      <c r="AL438" s="2051"/>
      <c r="AM438" s="2051"/>
      <c r="AN438" s="2051"/>
      <c r="AO438" s="2050"/>
      <c r="AP438" s="2051"/>
      <c r="AQ438" s="2051"/>
      <c r="AR438" s="2051"/>
      <c r="AS438" s="2051"/>
      <c r="AT438" s="2050"/>
      <c r="AU438" s="2051"/>
      <c r="AV438" s="2051"/>
      <c r="AW438" s="2051"/>
      <c r="AX438" s="2051">
        <f>(AX552-AX427)/((AW526-AW214)-(AW404-AW415))-1</f>
        <v>0.10471921071800594</v>
      </c>
      <c r="AY438" s="2050"/>
      <c r="AZ438" s="2051">
        <f>(AZ552-AZ427)/((AX526-AX214)-(AX404-AX415))-1</f>
        <v>3.9418227754848267E-2</v>
      </c>
      <c r="BA438" s="2051">
        <f>(BA552-BA427)/((AZ526-AZ214)-(AZ404-AZ415))-1</f>
        <v>2.8519105829272418E-2</v>
      </c>
      <c r="BB438" s="2051">
        <f>(BB552-BB427)/((BA526-BA214)-(BA404-BA415))-1</f>
        <v>5.6016872433686915E-2</v>
      </c>
      <c r="BC438" s="2051">
        <f>(BC552-BC427)/((BB526-BB214)-(BB404-BB415))-1</f>
        <v>0.11152171045807835</v>
      </c>
      <c r="BD438" s="2050"/>
      <c r="BE438" s="2051">
        <f>(BE552-BE427)/((BC526-BC214)-(BC404-BC415))-1</f>
        <v>3.0161257197291125E-2</v>
      </c>
      <c r="BF438" s="2051">
        <f>(BF552-BF427)/((BE526-BE214)-(BE404-BE415))-1</f>
        <v>3.4344172451589383E-2</v>
      </c>
      <c r="BG438" s="2051">
        <f>(BG552-BG427)/((BF526-BF214)-(BF404-BF415))-1</f>
        <v>6.0695780903034846E-2</v>
      </c>
      <c r="BH438" s="2051">
        <f>(BH552-BH427)/((BG526-BG214)-(BG404-BG415))-1</f>
        <v>0.15959312521922131</v>
      </c>
      <c r="BI438" s="2050"/>
      <c r="BJ438" s="2051">
        <f>(BJ552-BJ427)/((BH526-BH214)-(BH404-BH415))-1</f>
        <v>2.6980482204362888E-2</v>
      </c>
      <c r="BK438" s="2051">
        <f>(BK552-BK427)/((BJ526-BJ214)-(BJ404-BJ415))-1</f>
        <v>4.5112781954887327E-2</v>
      </c>
      <c r="BL438" s="2051">
        <f>(BL552-BL427)/((BK526-BK214)-(BK404-BK415))-1</f>
        <v>7.9157029041377447E-2</v>
      </c>
      <c r="BM438" s="2051">
        <f>(BM552-BM427)/((BL526-BL214)-(BL404-BL415))-1</f>
        <v>0.11335841956726256</v>
      </c>
      <c r="BN438" s="2050"/>
      <c r="BO438" s="2051"/>
      <c r="BP438" s="2051"/>
      <c r="BQ438" s="2051"/>
      <c r="BR438" s="2051"/>
      <c r="BS438" s="2050"/>
      <c r="BT438" s="2051">
        <f>(BT552-BT427)/((BM526-BM214)-(BM404-BM415))-1</f>
        <v>3.2293740322937303E-2</v>
      </c>
      <c r="BU438" s="2051">
        <f>(BU552-BU427)/((BT526-BT214)-(BT404-BT415))-1</f>
        <v>4.5117698343504875E-2</v>
      </c>
      <c r="BV438" s="2051">
        <f>(BV552-BV427)/((BU526-BU214)-(BU404-BU415))-1</f>
        <v>5.3715498938428974E-2</v>
      </c>
      <c r="BW438" s="2051">
        <f>(BW552-BW427)/((BV526-BV214)-(BV404-BV415))-1</f>
        <v>0.12835882596114101</v>
      </c>
      <c r="BX438" s="2050"/>
      <c r="BY438" s="2051"/>
      <c r="BZ438" s="2051"/>
      <c r="CA438" s="2051"/>
      <c r="CB438" s="2051"/>
      <c r="CC438" s="2050"/>
      <c r="CD438" s="2051">
        <f>(CD552-CD427)/((BW526-BW214)-(BW404-BW415))-1</f>
        <v>2.243359655419952E-2</v>
      </c>
      <c r="CE438" s="2051">
        <f>(CE552-CE427)/((CD526-CD214)-(CD404-CD415))-1</f>
        <v>5.4612287764747025E-2</v>
      </c>
      <c r="CF438" s="2051">
        <f>(CF552-CF427)/((CE526-CE214)-(CE404-CE415))-1</f>
        <v>7.7394114645347845E-2</v>
      </c>
      <c r="CG438" s="2051">
        <f>(CG552-CG427)/((CF526-CF214)-(CF404-CF415))-1</f>
        <v>0.14108280254777061</v>
      </c>
      <c r="CH438" s="2050"/>
      <c r="CI438" s="2051">
        <f>(CI552-CI427)/((CG526-CG214)-(CG404-CG415))-1</f>
        <v>-3.4122179416620768E-2</v>
      </c>
      <c r="CJ438" s="2051">
        <f>(CJ552-CJ427)/((CI526-CI214)-(CI404-CI415))-1</f>
        <v>5.4802422843957421E-2</v>
      </c>
      <c r="CK438" s="2051">
        <f>(CK552-CK427)/((CJ526-CJ214)-(CJ404-CJ415))-1</f>
        <v>3.5525423728813621E-2</v>
      </c>
      <c r="CL438" s="2051">
        <f>(CL552-CL427)/((CK526-CK214)-(CK404-CK415))-1</f>
        <v>0.11861941285374233</v>
      </c>
      <c r="CM438" s="2050"/>
      <c r="CN438" s="2051">
        <f>(CN552-CN427)/((CL526-CL214)-(CL404-CL415))-1</f>
        <v>1.0880440220110144E-2</v>
      </c>
      <c r="CO438" s="2051">
        <f>(CO552-CO427)/((CN526-CN214)-(CN404-CN415))-1</f>
        <v>4.0285299167877486E-2</v>
      </c>
      <c r="CP438" s="2051">
        <f>(CP552-CP427)/((CO526-CO214)-(CO404-CO415))-1</f>
        <v>4.5622362869198296E-2</v>
      </c>
      <c r="CQ438" s="2051">
        <f>(CQ552-CQ427)/((CP526-CP214)-(CP404-CP415))-1</f>
        <v>0.14220358368280595</v>
      </c>
      <c r="CR438" s="2050"/>
      <c r="CS438" s="2051">
        <f>(CS552-CS427)/((CQ526-CQ214)-(CQ404-CQ415))-1</f>
        <v>7.2554132184559084E-3</v>
      </c>
      <c r="CT438" s="2051">
        <f>(CT552-CT427)/((CS526-CS214)-(CS404-CS415))-1</f>
        <v>4.5536927956502105E-2</v>
      </c>
      <c r="CU438" s="2051">
        <f>(CU552-CU427)/((CT526-CT214)-(CT404-CT415))-1</f>
        <v>3.5751840168243953E-2</v>
      </c>
      <c r="CV438" s="2051">
        <f>(CV552-CV427)/((CU526-CU214)-(CU404-CU415))-1</f>
        <v>0.14902436558487508</v>
      </c>
      <c r="CW438" s="2050"/>
      <c r="CX438" s="2051"/>
      <c r="CY438" s="2052"/>
      <c r="CZ438" s="2052"/>
      <c r="DA438" s="2052"/>
      <c r="DB438" s="2053"/>
      <c r="DC438" s="2052"/>
      <c r="DD438" s="2052"/>
      <c r="DE438" s="2052"/>
      <c r="DF438" s="2052"/>
      <c r="DG438" s="2053"/>
      <c r="DH438" s="2052"/>
      <c r="DI438" s="2052"/>
      <c r="DJ438" s="2052"/>
      <c r="DK438" s="2052"/>
      <c r="DL438" s="2053"/>
      <c r="DM438" s="2052"/>
      <c r="DN438" s="2052"/>
      <c r="DO438" s="2052"/>
      <c r="DP438" s="2052"/>
      <c r="DQ438" s="2053"/>
      <c r="DR438" s="2052"/>
      <c r="DS438" s="2052"/>
      <c r="DT438" s="2052"/>
      <c r="DU438" s="2052"/>
      <c r="DV438" s="2053"/>
      <c r="DW438" s="2052"/>
      <c r="DX438" s="2052"/>
      <c r="DY438" s="2052"/>
      <c r="DZ438" s="2052"/>
      <c r="EA438" s="2053"/>
      <c r="EB438" s="2052"/>
      <c r="EC438" s="2052"/>
      <c r="ED438" s="2052"/>
      <c r="EE438" s="2052"/>
      <c r="EF438" s="2053"/>
      <c r="EG438" s="2052"/>
      <c r="EH438" s="2052"/>
      <c r="EI438" s="2052"/>
      <c r="EJ438" s="2052"/>
      <c r="EK438" s="2053"/>
      <c r="EL438" s="2052"/>
      <c r="EM438" s="2052"/>
      <c r="EN438" s="2052"/>
      <c r="EO438" s="2052"/>
      <c r="EP438" s="2053"/>
      <c r="EQ438" s="2052"/>
      <c r="ER438" s="2052"/>
      <c r="ES438" s="2052"/>
      <c r="ET438" s="2052"/>
      <c r="EU438" s="2053"/>
      <c r="EV438" s="2053"/>
      <c r="EW438" s="2053"/>
      <c r="EX438" s="2053"/>
      <c r="EY438" s="2053"/>
      <c r="FA438" s="725"/>
      <c r="FB438" s="725"/>
    </row>
    <row r="439" spans="1:158" s="239" customFormat="1" ht="11.25" hidden="1" customHeight="1">
      <c r="A439" s="1572"/>
      <c r="B439" s="2001"/>
      <c r="C439" s="183"/>
      <c r="D439" s="183"/>
      <c r="E439" s="183"/>
      <c r="F439" s="778"/>
      <c r="G439" s="183"/>
      <c r="H439" s="183"/>
      <c r="I439" s="183"/>
      <c r="J439" s="183"/>
      <c r="K439" s="1940"/>
      <c r="P439" s="1940"/>
      <c r="U439" s="1940"/>
      <c r="Z439" s="1940"/>
      <c r="AE439" s="1940"/>
      <c r="AJ439" s="1940"/>
      <c r="AO439" s="1940"/>
      <c r="AT439" s="1940"/>
      <c r="AY439" s="1940"/>
      <c r="BD439" s="1940"/>
      <c r="BI439" s="1940"/>
      <c r="BN439" s="1940"/>
      <c r="BS439" s="1940"/>
      <c r="BX439" s="1940"/>
      <c r="CC439" s="1940"/>
      <c r="CH439" s="1940"/>
      <c r="CM439" s="1940"/>
      <c r="CR439" s="1940"/>
      <c r="CW439" s="1940"/>
      <c r="DB439" s="1940"/>
      <c r="DG439" s="1940"/>
      <c r="DL439" s="1940"/>
      <c r="DQ439" s="1940"/>
      <c r="DV439" s="1940"/>
      <c r="EA439" s="1940"/>
      <c r="EF439" s="1940"/>
      <c r="EK439" s="1940"/>
      <c r="EP439" s="1940"/>
      <c r="EU439" s="1940"/>
      <c r="EV439" s="1940"/>
      <c r="EW439" s="1940"/>
      <c r="EX439" s="1940"/>
      <c r="EY439" s="1940"/>
      <c r="FA439" s="725"/>
      <c r="FB439" s="725"/>
    </row>
    <row r="440" spans="1:158" ht="11.25" hidden="1" customHeight="1"/>
    <row r="441" spans="1:158" s="234" customFormat="1" ht="11.25" hidden="1" customHeight="1">
      <c r="A441" s="3523" t="s">
        <v>653</v>
      </c>
      <c r="B441" s="3524"/>
      <c r="C441" s="2008"/>
      <c r="D441" s="2008"/>
      <c r="E441" s="2008"/>
      <c r="F441" s="2008"/>
      <c r="G441" s="2008"/>
      <c r="H441" s="2008"/>
      <c r="I441" s="2008"/>
      <c r="J441" s="2008"/>
      <c r="K441" s="2938"/>
      <c r="L441" s="2008"/>
      <c r="M441" s="2008"/>
      <c r="N441" s="2008"/>
      <c r="O441" s="2008"/>
      <c r="P441" s="2938"/>
      <c r="Q441" s="3524"/>
      <c r="R441" s="2008"/>
      <c r="S441" s="2008"/>
      <c r="T441" s="2008"/>
      <c r="U441" s="2009"/>
      <c r="V441" s="3524"/>
      <c r="W441" s="2008"/>
      <c r="X441" s="2008"/>
      <c r="Y441" s="2008"/>
      <c r="Z441" s="2009"/>
      <c r="AA441" s="3524"/>
      <c r="AB441" s="2008"/>
      <c r="AC441" s="2008"/>
      <c r="AD441" s="2008"/>
      <c r="AE441" s="2009"/>
      <c r="AF441" s="3524"/>
      <c r="AG441" s="2008"/>
      <c r="AH441" s="2008"/>
      <c r="AI441" s="2008"/>
      <c r="AJ441" s="2009"/>
      <c r="AK441" s="3524"/>
      <c r="AL441" s="2008"/>
      <c r="AM441" s="2008"/>
      <c r="AN441" s="2660"/>
      <c r="AO441" s="2009"/>
      <c r="AP441" s="3524"/>
      <c r="AQ441" s="2008"/>
      <c r="AR441" s="2008"/>
      <c r="AS441" s="2008"/>
      <c r="AT441" s="2009"/>
      <c r="AU441" s="3524"/>
      <c r="AV441" s="2008"/>
      <c r="AW441" s="2008"/>
      <c r="AX441" s="2008"/>
      <c r="AY441" s="2009"/>
      <c r="AZ441" s="3524"/>
      <c r="BA441" s="2008"/>
      <c r="BB441" s="2008"/>
      <c r="BC441" s="2008"/>
      <c r="BD441" s="2009"/>
      <c r="BE441" s="3525"/>
      <c r="BF441" s="2929"/>
      <c r="BG441" s="2929"/>
      <c r="BH441" s="2929"/>
      <c r="BI441" s="2009"/>
      <c r="BJ441" s="2007"/>
      <c r="BK441" s="2007"/>
      <c r="BL441" s="2007"/>
      <c r="BM441" s="2007"/>
      <c r="BN441" s="2009"/>
      <c r="BO441" s="2008"/>
      <c r="BP441" s="2008"/>
      <c r="BQ441" s="2008"/>
      <c r="BR441" s="2008"/>
      <c r="BS441" s="2938"/>
      <c r="BT441" s="2008"/>
      <c r="BU441" s="2007"/>
      <c r="BV441" s="2008"/>
      <c r="BW441" s="2007"/>
      <c r="BX441" s="2009"/>
      <c r="BY441" s="2008"/>
      <c r="BZ441" s="2008"/>
      <c r="CA441" s="2008"/>
      <c r="CB441" s="2008"/>
      <c r="CC441" s="2938"/>
      <c r="CD441" s="2008"/>
      <c r="CE441" s="2007"/>
      <c r="CF441" s="2008"/>
      <c r="CG441" s="2007"/>
      <c r="CH441" s="2009"/>
      <c r="CI441" s="2931"/>
      <c r="CJ441" s="2930"/>
      <c r="CK441" s="2008"/>
      <c r="CL441" s="2007"/>
      <c r="CM441" s="2009"/>
      <c r="CN441" s="2008"/>
      <c r="CO441" s="2008"/>
      <c r="CP441" s="2008"/>
      <c r="CQ441" s="2008"/>
      <c r="CR441" s="2009"/>
      <c r="CS441" s="3526" t="s">
        <v>555</v>
      </c>
      <c r="CT441" s="2008"/>
      <c r="CU441" s="2008"/>
      <c r="CV441" s="1121"/>
      <c r="CW441" s="3527"/>
      <c r="CX441" s="1121"/>
      <c r="CY441" s="1121"/>
      <c r="CZ441" s="1121"/>
      <c r="DA441" s="1121"/>
      <c r="DB441" s="3527"/>
      <c r="DC441" s="1854" t="s">
        <v>729</v>
      </c>
      <c r="DD441" s="3543" t="s">
        <v>730</v>
      </c>
      <c r="DE441" s="2008"/>
      <c r="DF441" s="2008"/>
      <c r="DG441" s="2009"/>
      <c r="DH441" s="2008"/>
      <c r="DI441" s="2008"/>
      <c r="DJ441" s="2008"/>
      <c r="DK441" s="2008"/>
      <c r="DL441" s="2009"/>
      <c r="DM441" s="2008"/>
      <c r="DN441" s="2008"/>
      <c r="DO441" s="2008"/>
      <c r="DP441" s="2008"/>
      <c r="DQ441" s="2009"/>
      <c r="DR441" s="2008"/>
      <c r="DS441" s="2008"/>
      <c r="DT441" s="2008"/>
      <c r="DU441" s="2008"/>
      <c r="DV441" s="2009"/>
      <c r="DW441" s="2008"/>
      <c r="DX441" s="2008"/>
      <c r="DY441" s="2008"/>
      <c r="DZ441" s="2008"/>
      <c r="EA441" s="2938"/>
      <c r="EB441" s="2008"/>
      <c r="EC441" s="2008"/>
      <c r="ED441" s="2008"/>
      <c r="EE441" s="2008"/>
      <c r="EF441" s="2938"/>
      <c r="EG441" s="2008"/>
      <c r="EH441" s="2008"/>
      <c r="EI441" s="2008"/>
      <c r="EJ441" s="2008"/>
      <c r="EK441" s="2938"/>
      <c r="EL441" s="2008"/>
      <c r="EM441" s="2008"/>
      <c r="EN441" s="2008"/>
      <c r="EO441" s="2008"/>
      <c r="EP441" s="2938"/>
      <c r="EQ441" s="2008"/>
      <c r="ER441" s="2008"/>
      <c r="ES441" s="2008"/>
      <c r="ET441" s="2008"/>
      <c r="EU441" s="2938"/>
      <c r="EV441" s="2938"/>
      <c r="EW441" s="2938"/>
      <c r="EX441" s="2938"/>
      <c r="EY441" s="2938"/>
      <c r="EZ441" s="209"/>
      <c r="FA441" s="715"/>
      <c r="FB441" s="715"/>
    </row>
    <row r="442" spans="1:158" s="234" customFormat="1" ht="11.25" hidden="1" customHeight="1">
      <c r="A442" s="3528" t="s">
        <v>45</v>
      </c>
      <c r="B442" s="3524"/>
      <c r="C442" s="2008"/>
      <c r="D442" s="2008"/>
      <c r="E442" s="2008"/>
      <c r="F442" s="2008"/>
      <c r="G442" s="2008"/>
      <c r="H442" s="2008"/>
      <c r="I442" s="2008"/>
      <c r="J442" s="2008"/>
      <c r="K442" s="2009"/>
      <c r="L442" s="2008"/>
      <c r="M442" s="2008"/>
      <c r="N442" s="2008"/>
      <c r="O442" s="2008"/>
      <c r="P442" s="3529"/>
      <c r="Q442" s="3524"/>
      <c r="R442" s="2008"/>
      <c r="S442" s="2008"/>
      <c r="T442" s="2008"/>
      <c r="U442" s="3529"/>
      <c r="V442" s="3524"/>
      <c r="W442" s="2008"/>
      <c r="X442" s="2008"/>
      <c r="Y442" s="2008"/>
      <c r="Z442" s="3529"/>
      <c r="AA442" s="3524"/>
      <c r="AB442" s="2008"/>
      <c r="AC442" s="2008"/>
      <c r="AD442" s="2008"/>
      <c r="AE442" s="3529"/>
      <c r="AF442" s="3524"/>
      <c r="AG442" s="2008"/>
      <c r="AH442" s="2008"/>
      <c r="AI442" s="2008"/>
      <c r="AJ442" s="3529"/>
      <c r="AK442" s="3524"/>
      <c r="AL442" s="2008"/>
      <c r="AM442" s="2008"/>
      <c r="AN442" s="2660"/>
      <c r="AO442" s="3529"/>
      <c r="AP442" s="3524"/>
      <c r="AQ442" s="2008"/>
      <c r="AR442" s="2008"/>
      <c r="AS442" s="2008"/>
      <c r="AT442" s="3529"/>
      <c r="AU442" s="3524"/>
      <c r="AV442" s="2008"/>
      <c r="AW442" s="2008"/>
      <c r="AX442" s="2008"/>
      <c r="AY442" s="3529"/>
      <c r="AZ442" s="3524"/>
      <c r="BA442" s="2008"/>
      <c r="BB442" s="2008"/>
      <c r="BC442" s="2008"/>
      <c r="BD442" s="3529"/>
      <c r="BE442" s="3525"/>
      <c r="BF442" s="2929"/>
      <c r="BG442" s="2929"/>
      <c r="BH442" s="2929"/>
      <c r="BI442" s="3529"/>
      <c r="BJ442" s="2007"/>
      <c r="BK442" s="2007"/>
      <c r="BL442" s="2007"/>
      <c r="BM442" s="2007"/>
      <c r="BN442" s="3529"/>
      <c r="BO442" s="3530"/>
      <c r="BP442" s="3530"/>
      <c r="BQ442" s="3530"/>
      <c r="BR442" s="3530"/>
      <c r="BS442" s="3531"/>
      <c r="BT442" s="2008"/>
      <c r="BU442" s="2007"/>
      <c r="BV442" s="2008"/>
      <c r="BW442" s="2007"/>
      <c r="BX442" s="3529"/>
      <c r="BY442" s="3530"/>
      <c r="BZ442" s="3530"/>
      <c r="CA442" s="3530"/>
      <c r="CB442" s="3530"/>
      <c r="CC442" s="3531"/>
      <c r="CD442" s="2929">
        <v>0.2</v>
      </c>
      <c r="CE442" s="2930">
        <v>0.13</v>
      </c>
      <c r="CF442" s="2929">
        <v>0.05</v>
      </c>
      <c r="CG442" s="2930">
        <v>0.1</v>
      </c>
      <c r="CH442" s="2009">
        <f>AVERAGE(CD442:CG442)</f>
        <v>0.12</v>
      </c>
      <c r="CI442" s="2931">
        <v>0.09</v>
      </c>
      <c r="CJ442" s="2930">
        <v>0.09</v>
      </c>
      <c r="CK442" s="2929">
        <v>0.02</v>
      </c>
      <c r="CL442" s="2930">
        <v>-0.11</v>
      </c>
      <c r="CM442" s="2009">
        <f>AVERAGE(CI442:CL442)</f>
        <v>2.2499999999999996E-2</v>
      </c>
      <c r="CN442" s="2929">
        <v>-0.12</v>
      </c>
      <c r="CO442" s="2930">
        <v>-0.09</v>
      </c>
      <c r="CP442" s="2929">
        <v>-0.05</v>
      </c>
      <c r="CQ442" s="2930">
        <v>0.02</v>
      </c>
      <c r="CR442" s="2009">
        <f>AVERAGE(CN442:CQ442)</f>
        <v>-6.0000000000000005E-2</v>
      </c>
      <c r="CS442" s="3532">
        <v>0.02</v>
      </c>
      <c r="CT442" s="2929">
        <v>0</v>
      </c>
      <c r="CU442" s="2929">
        <v>0.01</v>
      </c>
      <c r="CV442" s="2929">
        <v>7.0000000000000007E-2</v>
      </c>
      <c r="CW442" s="2009">
        <f>AVERAGE(CS442:CV442)</f>
        <v>2.5000000000000001E-2</v>
      </c>
      <c r="CX442" s="2929">
        <v>0.1</v>
      </c>
      <c r="CY442" s="2929">
        <v>0.09</v>
      </c>
      <c r="CZ442" s="2929">
        <v>0.1</v>
      </c>
      <c r="DA442" s="2929">
        <v>0.13</v>
      </c>
      <c r="DB442" s="2009">
        <f>AVERAGE(CX442:DA442)</f>
        <v>0.10500000000000001</v>
      </c>
      <c r="DC442" s="2929">
        <v>0.37</v>
      </c>
      <c r="DD442" s="3544"/>
      <c r="DE442" s="2007"/>
      <c r="DF442" s="2007"/>
      <c r="DG442" s="2933"/>
      <c r="DH442" s="2007"/>
      <c r="DI442" s="2007"/>
      <c r="DJ442" s="2007"/>
      <c r="DK442" s="2007"/>
      <c r="DL442" s="2933"/>
      <c r="DM442" s="2007"/>
      <c r="DN442" s="2007"/>
      <c r="DO442" s="2007"/>
      <c r="DP442" s="2007"/>
      <c r="DQ442" s="2933"/>
      <c r="DR442" s="2007"/>
      <c r="DS442" s="2007"/>
      <c r="DT442" s="2007"/>
      <c r="DU442" s="2007"/>
      <c r="DV442" s="2933"/>
      <c r="DW442" s="2007"/>
      <c r="DX442" s="2007"/>
      <c r="DY442" s="2007"/>
      <c r="DZ442" s="2007"/>
      <c r="EA442" s="2933"/>
      <c r="EB442" s="2007"/>
      <c r="EC442" s="2007"/>
      <c r="ED442" s="2007"/>
      <c r="EE442" s="2007"/>
      <c r="EF442" s="2933"/>
      <c r="EG442" s="2007"/>
      <c r="EH442" s="2007"/>
      <c r="EI442" s="2007"/>
      <c r="EJ442" s="2007"/>
      <c r="EK442" s="2933"/>
      <c r="EL442" s="2007"/>
      <c r="EM442" s="2007"/>
      <c r="EN442" s="2007"/>
      <c r="EO442" s="2007"/>
      <c r="EP442" s="2933"/>
      <c r="EQ442" s="2007"/>
      <c r="ER442" s="2007"/>
      <c r="ES442" s="2007"/>
      <c r="ET442" s="2007"/>
      <c r="EU442" s="2933"/>
      <c r="EV442" s="2933"/>
      <c r="EW442" s="2933"/>
      <c r="EX442" s="2933"/>
      <c r="EY442" s="2933"/>
      <c r="EZ442" s="209"/>
      <c r="FA442" s="724"/>
      <c r="FB442" s="724"/>
    </row>
    <row r="443" spans="1:158" s="234" customFormat="1" ht="11.25" hidden="1" customHeight="1">
      <c r="A443" s="3528" t="s">
        <v>46</v>
      </c>
      <c r="B443" s="3524"/>
      <c r="C443" s="2008"/>
      <c r="D443" s="2008"/>
      <c r="E443" s="2008"/>
      <c r="F443" s="2008"/>
      <c r="G443" s="2008"/>
      <c r="H443" s="2008"/>
      <c r="I443" s="2008"/>
      <c r="J443" s="2008"/>
      <c r="K443" s="2009"/>
      <c r="L443" s="2008"/>
      <c r="M443" s="2008"/>
      <c r="N443" s="2008"/>
      <c r="O443" s="2008"/>
      <c r="P443" s="2009"/>
      <c r="Q443" s="3524"/>
      <c r="R443" s="2008"/>
      <c r="S443" s="2008"/>
      <c r="T443" s="2008"/>
      <c r="U443" s="2009"/>
      <c r="V443" s="3524"/>
      <c r="W443" s="2008"/>
      <c r="X443" s="2008"/>
      <c r="Y443" s="2008"/>
      <c r="Z443" s="2009"/>
      <c r="AA443" s="3524"/>
      <c r="AB443" s="2008"/>
      <c r="AC443" s="2008"/>
      <c r="AD443" s="2008"/>
      <c r="AE443" s="2009"/>
      <c r="AF443" s="3524"/>
      <c r="AG443" s="2008"/>
      <c r="AH443" s="2008"/>
      <c r="AI443" s="2008"/>
      <c r="AJ443" s="2009"/>
      <c r="AK443" s="3524"/>
      <c r="AL443" s="2008"/>
      <c r="AM443" s="2008"/>
      <c r="AN443" s="2660"/>
      <c r="AO443" s="2009"/>
      <c r="AP443" s="3524"/>
      <c r="AQ443" s="2008"/>
      <c r="AR443" s="2008"/>
      <c r="AS443" s="2008"/>
      <c r="AT443" s="2009"/>
      <c r="AU443" s="3524"/>
      <c r="AV443" s="2008"/>
      <c r="AW443" s="2008"/>
      <c r="AX443" s="2008"/>
      <c r="AY443" s="2009"/>
      <c r="AZ443" s="3524"/>
      <c r="BA443" s="2008"/>
      <c r="BB443" s="2008"/>
      <c r="BC443" s="2008"/>
      <c r="BD443" s="2009"/>
      <c r="BE443" s="3525"/>
      <c r="BF443" s="2929"/>
      <c r="BG443" s="2929"/>
      <c r="BH443" s="2929"/>
      <c r="BI443" s="2009"/>
      <c r="BJ443" s="2007"/>
      <c r="BK443" s="2007"/>
      <c r="BL443" s="2007"/>
      <c r="BM443" s="2007"/>
      <c r="BN443" s="2009"/>
      <c r="BO443" s="2008"/>
      <c r="BP443" s="2008"/>
      <c r="BQ443" s="2008"/>
      <c r="BR443" s="2008"/>
      <c r="BS443" s="2938"/>
      <c r="BT443" s="2008"/>
      <c r="BU443" s="2007"/>
      <c r="BV443" s="2008"/>
      <c r="BW443" s="2007"/>
      <c r="BX443" s="2009"/>
      <c r="BY443" s="2008"/>
      <c r="BZ443" s="2008"/>
      <c r="CA443" s="2008"/>
      <c r="CB443" s="2008"/>
      <c r="CC443" s="2938"/>
      <c r="CD443" s="2929">
        <v>0.05</v>
      </c>
      <c r="CE443" s="2930">
        <v>-0.05</v>
      </c>
      <c r="CF443" s="2929">
        <v>0.03</v>
      </c>
      <c r="CG443" s="2930">
        <v>7.0000000000000007E-2</v>
      </c>
      <c r="CH443" s="2009"/>
      <c r="CI443" s="2931">
        <v>0.04</v>
      </c>
      <c r="CJ443" s="2930">
        <v>-0.05</v>
      </c>
      <c r="CK443" s="2929">
        <v>-0.04</v>
      </c>
      <c r="CL443" s="2930">
        <v>-7.0000000000000007E-2</v>
      </c>
      <c r="CM443" s="2009"/>
      <c r="CN443" s="2929">
        <v>0.04</v>
      </c>
      <c r="CO443" s="2930">
        <v>-0.02</v>
      </c>
      <c r="CP443" s="2929">
        <v>0</v>
      </c>
      <c r="CQ443" s="2930">
        <v>0.01</v>
      </c>
      <c r="CR443" s="2009"/>
      <c r="CS443" s="3532">
        <v>0.04</v>
      </c>
      <c r="CT443" s="2929">
        <v>-0.03</v>
      </c>
      <c r="CU443" s="2929">
        <v>0.01</v>
      </c>
      <c r="CV443" s="2929">
        <v>0.06</v>
      </c>
      <c r="CW443" s="2009"/>
      <c r="CX443" s="2929">
        <v>0.06</v>
      </c>
      <c r="CY443" s="2929">
        <v>-0.05</v>
      </c>
      <c r="CZ443" s="2929">
        <v>0.02</v>
      </c>
      <c r="DA443" s="2929">
        <v>0.09</v>
      </c>
      <c r="DB443" s="2009"/>
      <c r="DC443" s="2929">
        <v>0.28999999999999998</v>
      </c>
      <c r="DD443" s="3545"/>
      <c r="DE443" s="2007"/>
      <c r="DF443" s="2007"/>
      <c r="DG443" s="2933"/>
      <c r="DH443" s="2007"/>
      <c r="DI443" s="2007"/>
      <c r="DJ443" s="2007"/>
      <c r="DK443" s="2007"/>
      <c r="DL443" s="2933"/>
      <c r="DM443" s="2007"/>
      <c r="DN443" s="2007"/>
      <c r="DO443" s="2007"/>
      <c r="DP443" s="2007"/>
      <c r="DQ443" s="2933"/>
      <c r="DR443" s="2007"/>
      <c r="DS443" s="2007"/>
      <c r="DT443" s="2007"/>
      <c r="DU443" s="2007"/>
      <c r="DV443" s="2933"/>
      <c r="DW443" s="2007"/>
      <c r="DX443" s="2007"/>
      <c r="DY443" s="2007"/>
      <c r="DZ443" s="2007"/>
      <c r="EA443" s="2933"/>
      <c r="EB443" s="2007"/>
      <c r="EC443" s="2007"/>
      <c r="ED443" s="2007"/>
      <c r="EE443" s="2007"/>
      <c r="EF443" s="2933"/>
      <c r="EG443" s="2007"/>
      <c r="EH443" s="2007"/>
      <c r="EI443" s="2007"/>
      <c r="EJ443" s="2007"/>
      <c r="EK443" s="2933"/>
      <c r="EL443" s="2007"/>
      <c r="EM443" s="2007"/>
      <c r="EN443" s="2007"/>
      <c r="EO443" s="2007"/>
      <c r="EP443" s="2933"/>
      <c r="EQ443" s="2007"/>
      <c r="ER443" s="2007"/>
      <c r="ES443" s="2007"/>
      <c r="ET443" s="2007"/>
      <c r="EU443" s="2933"/>
      <c r="EV443" s="2933"/>
      <c r="EW443" s="2933"/>
      <c r="EX443" s="2933"/>
      <c r="EY443" s="2933"/>
      <c r="EZ443" s="209"/>
      <c r="FA443" s="724"/>
      <c r="FB443" s="724"/>
    </row>
    <row r="444" spans="1:158" s="234" customFormat="1" ht="11.25" hidden="1" customHeight="1">
      <c r="A444" s="3533"/>
      <c r="B444" s="3524"/>
      <c r="C444" s="2008"/>
      <c r="D444" s="2008"/>
      <c r="E444" s="2008"/>
      <c r="F444" s="2008"/>
      <c r="G444" s="2008"/>
      <c r="H444" s="2008"/>
      <c r="I444" s="2008"/>
      <c r="J444" s="2008"/>
      <c r="K444" s="2009"/>
      <c r="L444" s="2008"/>
      <c r="M444" s="2008"/>
      <c r="N444" s="2008"/>
      <c r="O444" s="2008"/>
      <c r="P444" s="2009"/>
      <c r="Q444" s="3524"/>
      <c r="R444" s="2008"/>
      <c r="S444" s="2008"/>
      <c r="T444" s="2008"/>
      <c r="U444" s="2009"/>
      <c r="V444" s="3524"/>
      <c r="W444" s="2008"/>
      <c r="X444" s="2008"/>
      <c r="Y444" s="2008"/>
      <c r="Z444" s="2009"/>
      <c r="AA444" s="3524"/>
      <c r="AB444" s="2008"/>
      <c r="AC444" s="2008"/>
      <c r="AD444" s="2008"/>
      <c r="AE444" s="2009"/>
      <c r="AF444" s="3524"/>
      <c r="AG444" s="2008"/>
      <c r="AH444" s="2008"/>
      <c r="AI444" s="2008"/>
      <c r="AJ444" s="2009"/>
      <c r="AK444" s="3524"/>
      <c r="AL444" s="2008"/>
      <c r="AM444" s="2008"/>
      <c r="AN444" s="2660"/>
      <c r="AO444" s="2009"/>
      <c r="AP444" s="3524"/>
      <c r="AQ444" s="2008"/>
      <c r="AR444" s="2008"/>
      <c r="AS444" s="2008"/>
      <c r="AT444" s="2009"/>
      <c r="AU444" s="3524"/>
      <c r="AV444" s="2008"/>
      <c r="AW444" s="2008"/>
      <c r="AX444" s="2008"/>
      <c r="AY444" s="2009"/>
      <c r="AZ444" s="3524"/>
      <c r="BA444" s="2008"/>
      <c r="BB444" s="2008"/>
      <c r="BC444" s="2008"/>
      <c r="BD444" s="2009"/>
      <c r="BE444" s="3525"/>
      <c r="BF444" s="2929"/>
      <c r="BG444" s="2929"/>
      <c r="BH444" s="2929"/>
      <c r="BI444" s="2009"/>
      <c r="BJ444" s="2007"/>
      <c r="BK444" s="2007"/>
      <c r="BL444" s="2007"/>
      <c r="BM444" s="2007"/>
      <c r="BN444" s="2009"/>
      <c r="BO444" s="2008"/>
      <c r="BP444" s="2008"/>
      <c r="BQ444" s="2008"/>
      <c r="BR444" s="2008"/>
      <c r="BS444" s="2938"/>
      <c r="BT444" s="2008"/>
      <c r="BU444" s="2007"/>
      <c r="BV444" s="2008"/>
      <c r="BW444" s="2007"/>
      <c r="BX444" s="2009"/>
      <c r="BY444" s="2008"/>
      <c r="BZ444" s="2008"/>
      <c r="CA444" s="2008"/>
      <c r="CB444" s="2008"/>
      <c r="CC444" s="2938"/>
      <c r="CD444" s="2008"/>
      <c r="CE444" s="2007"/>
      <c r="CF444" s="2008"/>
      <c r="CG444" s="2007"/>
      <c r="CH444" s="2009"/>
      <c r="CI444" s="2940"/>
      <c r="CJ444" s="2007"/>
      <c r="CK444" s="2008"/>
      <c r="CL444" s="2007"/>
      <c r="CM444" s="2009"/>
      <c r="CN444" s="2008"/>
      <c r="CO444" s="2007"/>
      <c r="CP444" s="2008"/>
      <c r="CQ444" s="2007"/>
      <c r="CR444" s="2009"/>
      <c r="CS444" s="2008"/>
      <c r="CT444" s="2008"/>
      <c r="CU444" s="2008"/>
      <c r="CV444" s="2929"/>
      <c r="CW444" s="2009"/>
      <c r="CX444" s="2008"/>
      <c r="CY444" s="2008"/>
      <c r="CZ444" s="2008"/>
      <c r="DA444" s="2008"/>
      <c r="DB444" s="2009"/>
      <c r="DC444" s="2008"/>
      <c r="DD444" s="3546"/>
      <c r="DE444" s="2008"/>
      <c r="DF444" s="2008"/>
      <c r="DG444" s="2009"/>
      <c r="DH444" s="2008"/>
      <c r="DI444" s="2008"/>
      <c r="DJ444" s="2008"/>
      <c r="DK444" s="2008"/>
      <c r="DL444" s="2009"/>
      <c r="DM444" s="2008"/>
      <c r="DN444" s="2008"/>
      <c r="DO444" s="2008"/>
      <c r="DP444" s="2008"/>
      <c r="DQ444" s="2009"/>
      <c r="DR444" s="2008"/>
      <c r="DS444" s="2008"/>
      <c r="DT444" s="2008"/>
      <c r="DU444" s="2008"/>
      <c r="DV444" s="2009"/>
      <c r="DW444" s="2008"/>
      <c r="DX444" s="2008"/>
      <c r="DY444" s="2008"/>
      <c r="DZ444" s="2008"/>
      <c r="EA444" s="2009"/>
      <c r="EB444" s="2008"/>
      <c r="EC444" s="2008"/>
      <c r="ED444" s="2008"/>
      <c r="EE444" s="2008"/>
      <c r="EF444" s="2009"/>
      <c r="EG444" s="2008"/>
      <c r="EH444" s="2008"/>
      <c r="EI444" s="2008"/>
      <c r="EJ444" s="2008"/>
      <c r="EK444" s="2009"/>
      <c r="EL444" s="2008"/>
      <c r="EM444" s="2008"/>
      <c r="EN444" s="2008"/>
      <c r="EO444" s="2008"/>
      <c r="EP444" s="2009"/>
      <c r="EQ444" s="2008"/>
      <c r="ER444" s="2008"/>
      <c r="ES444" s="2008"/>
      <c r="ET444" s="2008"/>
      <c r="EU444" s="2009"/>
      <c r="EV444" s="2009"/>
      <c r="EW444" s="2009"/>
      <c r="EX444" s="2009"/>
      <c r="EY444" s="2009"/>
      <c r="EZ444" s="209"/>
      <c r="FA444" s="724"/>
      <c r="FB444" s="724"/>
    </row>
    <row r="445" spans="1:158" s="239" customFormat="1" ht="11.25" hidden="1" customHeight="1">
      <c r="A445" s="3523" t="s">
        <v>652</v>
      </c>
      <c r="B445" s="3524"/>
      <c r="C445" s="2008"/>
      <c r="D445" s="2008"/>
      <c r="E445" s="2008"/>
      <c r="F445" s="2008"/>
      <c r="G445" s="2008"/>
      <c r="H445" s="2008"/>
      <c r="I445" s="2008"/>
      <c r="J445" s="2008"/>
      <c r="K445" s="2009"/>
      <c r="L445" s="2008"/>
      <c r="M445" s="2008"/>
      <c r="N445" s="2008"/>
      <c r="O445" s="2008"/>
      <c r="P445" s="2933"/>
      <c r="Q445" s="3524"/>
      <c r="R445" s="2008"/>
      <c r="S445" s="2008"/>
      <c r="T445" s="2008"/>
      <c r="U445" s="2933"/>
      <c r="V445" s="3524"/>
      <c r="W445" s="2008"/>
      <c r="X445" s="2008"/>
      <c r="Y445" s="2008"/>
      <c r="Z445" s="2933"/>
      <c r="AA445" s="3524"/>
      <c r="AB445" s="2008"/>
      <c r="AC445" s="2008"/>
      <c r="AD445" s="2008"/>
      <c r="AE445" s="2933"/>
      <c r="AF445" s="3524"/>
      <c r="AG445" s="2008"/>
      <c r="AH445" s="2008"/>
      <c r="AI445" s="2008"/>
      <c r="AJ445" s="2933"/>
      <c r="AK445" s="3524"/>
      <c r="AL445" s="2008"/>
      <c r="AM445" s="2008"/>
      <c r="AN445" s="2008"/>
      <c r="AO445" s="2933"/>
      <c r="AP445" s="3524"/>
      <c r="AQ445" s="2008"/>
      <c r="AR445" s="2008"/>
      <c r="AS445" s="2008"/>
      <c r="AT445" s="2933"/>
      <c r="AU445" s="3524"/>
      <c r="AV445" s="2008"/>
      <c r="AW445" s="2008"/>
      <c r="AX445" s="2008"/>
      <c r="AY445" s="2933"/>
      <c r="AZ445" s="2937"/>
      <c r="BA445" s="2008"/>
      <c r="BB445" s="2008"/>
      <c r="BC445" s="2008"/>
      <c r="BD445" s="2933"/>
      <c r="BE445" s="3525"/>
      <c r="BF445" s="2929"/>
      <c r="BG445" s="2929"/>
      <c r="BH445" s="2929"/>
      <c r="BI445" s="2933"/>
      <c r="BJ445" s="3525"/>
      <c r="BK445" s="2008"/>
      <c r="BL445" s="2008"/>
      <c r="BM445" s="2008"/>
      <c r="BN445" s="2933"/>
      <c r="BO445" s="2007"/>
      <c r="BP445" s="2007"/>
      <c r="BQ445" s="2007"/>
      <c r="BR445" s="2007"/>
      <c r="BS445" s="3534"/>
      <c r="BT445" s="2008"/>
      <c r="BU445" s="2008"/>
      <c r="BV445" s="2008"/>
      <c r="BW445" s="2008"/>
      <c r="BX445" s="2933"/>
      <c r="BY445" s="2007"/>
      <c r="BZ445" s="2007"/>
      <c r="CA445" s="2007"/>
      <c r="CB445" s="2007"/>
      <c r="CC445" s="3534"/>
      <c r="CD445" s="2932"/>
      <c r="CE445" s="2932"/>
      <c r="CF445" s="2932"/>
      <c r="CG445" s="2932"/>
      <c r="CH445" s="2933"/>
      <c r="CI445" s="2934"/>
      <c r="CJ445" s="2932"/>
      <c r="CK445" s="2932"/>
      <c r="CL445" s="2932"/>
      <c r="CM445" s="2933"/>
      <c r="CN445" s="2935"/>
      <c r="CO445" s="2932"/>
      <c r="CP445" s="2932"/>
      <c r="CQ445" s="2932"/>
      <c r="CR445" s="2933"/>
      <c r="CS445" s="2007"/>
      <c r="CT445" s="2007"/>
      <c r="CU445" s="2007"/>
      <c r="CV445" s="2930"/>
      <c r="CW445" s="2933"/>
      <c r="CX445" s="2007"/>
      <c r="CY445" s="2007"/>
      <c r="CZ445" s="2007"/>
      <c r="DA445" s="2007"/>
      <c r="DB445" s="2933"/>
      <c r="DC445" s="2007"/>
      <c r="DD445" s="3544"/>
      <c r="DE445" s="2007"/>
      <c r="DF445" s="2007"/>
      <c r="DG445" s="2933"/>
      <c r="DH445" s="2007"/>
      <c r="DI445" s="2007"/>
      <c r="DJ445" s="2007"/>
      <c r="DK445" s="2007"/>
      <c r="DL445" s="2933"/>
      <c r="DM445" s="2007"/>
      <c r="DN445" s="2007"/>
      <c r="DO445" s="2007"/>
      <c r="DP445" s="2007"/>
      <c r="DQ445" s="2933"/>
      <c r="DR445" s="2007"/>
      <c r="DS445" s="2007"/>
      <c r="DT445" s="2007"/>
      <c r="DU445" s="2007"/>
      <c r="DV445" s="2933"/>
      <c r="DW445" s="2007"/>
      <c r="DX445" s="2007"/>
      <c r="DY445" s="2007"/>
      <c r="DZ445" s="2007"/>
      <c r="EA445" s="2933"/>
      <c r="EB445" s="2007"/>
      <c r="EC445" s="2007"/>
      <c r="ED445" s="2007"/>
      <c r="EE445" s="2007"/>
      <c r="EF445" s="2933"/>
      <c r="EG445" s="2007"/>
      <c r="EH445" s="2007"/>
      <c r="EI445" s="2007"/>
      <c r="EJ445" s="2007"/>
      <c r="EK445" s="2933"/>
      <c r="EL445" s="2007"/>
      <c r="EM445" s="2007"/>
      <c r="EN445" s="2007"/>
      <c r="EO445" s="2007"/>
      <c r="EP445" s="2933"/>
      <c r="EQ445" s="2007"/>
      <c r="ER445" s="2007"/>
      <c r="ES445" s="2007"/>
      <c r="ET445" s="2007"/>
      <c r="EU445" s="2933"/>
      <c r="EV445" s="2933"/>
      <c r="EW445" s="2933"/>
      <c r="EX445" s="2933"/>
      <c r="EY445" s="2933"/>
      <c r="EZ445" s="223"/>
      <c r="FA445" s="724"/>
      <c r="FB445" s="724"/>
    </row>
    <row r="446" spans="1:158" s="239" customFormat="1" ht="11.25" hidden="1" customHeight="1">
      <c r="A446" s="3528" t="s">
        <v>45</v>
      </c>
      <c r="B446" s="3535"/>
      <c r="C446" s="2007"/>
      <c r="D446" s="2007"/>
      <c r="E446" s="2007"/>
      <c r="F446" s="2007"/>
      <c r="G446" s="2007"/>
      <c r="H446" s="2007"/>
      <c r="I446" s="2007"/>
      <c r="J446" s="2007"/>
      <c r="K446" s="2933"/>
      <c r="L446" s="2007"/>
      <c r="M446" s="2007"/>
      <c r="N446" s="2007"/>
      <c r="O446" s="2007"/>
      <c r="P446" s="3529"/>
      <c r="Q446" s="3535"/>
      <c r="R446" s="2007"/>
      <c r="S446" s="2007"/>
      <c r="T446" s="2007"/>
      <c r="U446" s="3529"/>
      <c r="V446" s="3535"/>
      <c r="W446" s="2007"/>
      <c r="X446" s="2007"/>
      <c r="Y446" s="2007"/>
      <c r="Z446" s="3529"/>
      <c r="AA446" s="3535"/>
      <c r="AB446" s="2007"/>
      <c r="AC446" s="2007"/>
      <c r="AD446" s="2007"/>
      <c r="AE446" s="3529"/>
      <c r="AF446" s="3535"/>
      <c r="AG446" s="2007"/>
      <c r="AH446" s="2007"/>
      <c r="AI446" s="2007"/>
      <c r="AJ446" s="3529"/>
      <c r="AK446" s="3535"/>
      <c r="AL446" s="2007"/>
      <c r="AM446" s="2007"/>
      <c r="AN446" s="2660"/>
      <c r="AO446" s="3529"/>
      <c r="AP446" s="2937"/>
      <c r="AQ446" s="2660"/>
      <c r="AR446" s="2660"/>
      <c r="AS446" s="2660"/>
      <c r="AT446" s="3529"/>
      <c r="AU446" s="2937"/>
      <c r="AV446" s="2660"/>
      <c r="AW446" s="2660"/>
      <c r="AX446" s="2660"/>
      <c r="AY446" s="3529"/>
      <c r="AZ446" s="3536"/>
      <c r="BA446" s="3537"/>
      <c r="BB446" s="3537"/>
      <c r="BC446" s="3538"/>
      <c r="BD446" s="3529"/>
      <c r="BE446" s="2936"/>
      <c r="BF446" s="2935"/>
      <c r="BG446" s="2935"/>
      <c r="BH446" s="3539"/>
      <c r="BI446" s="3529"/>
      <c r="BJ446" s="2936"/>
      <c r="BK446" s="2935"/>
      <c r="BL446" s="2935"/>
      <c r="BM446" s="2935"/>
      <c r="BN446" s="3529"/>
      <c r="BO446" s="3530"/>
      <c r="BP446" s="3530"/>
      <c r="BQ446" s="3530"/>
      <c r="BR446" s="3530"/>
      <c r="BS446" s="3531"/>
      <c r="BT446" s="2935"/>
      <c r="BU446" s="2935"/>
      <c r="BV446" s="2935"/>
      <c r="BW446" s="2935"/>
      <c r="BX446" s="3529"/>
      <c r="BY446" s="3530"/>
      <c r="BZ446" s="3530"/>
      <c r="CA446" s="3530"/>
      <c r="CB446" s="3530"/>
      <c r="CC446" s="3531"/>
      <c r="CD446" s="2936">
        <v>-0.09</v>
      </c>
      <c r="CE446" s="2935">
        <v>-0.05</v>
      </c>
      <c r="CF446" s="2935">
        <v>-0.06</v>
      </c>
      <c r="CG446" s="2935">
        <v>-0.11</v>
      </c>
      <c r="CH446" s="2009">
        <f>((1+CH368)/(1+CH442))-1</f>
        <v>-0.10714285714285721</v>
      </c>
      <c r="CI446" s="2934">
        <v>-0.12</v>
      </c>
      <c r="CJ446" s="2935">
        <v>-0.13</v>
      </c>
      <c r="CK446" s="2935">
        <v>-0.04</v>
      </c>
      <c r="CL446" s="2935">
        <v>0.06</v>
      </c>
      <c r="CM446" s="2009">
        <f>AVERAGE(CI446:CL446)</f>
        <v>-5.7499999999999996E-2</v>
      </c>
      <c r="CN446" s="2935">
        <v>0.02</v>
      </c>
      <c r="CO446" s="2935">
        <v>-0.03</v>
      </c>
      <c r="CP446" s="2935">
        <v>-0.04</v>
      </c>
      <c r="CQ446" s="2935">
        <v>-0.08</v>
      </c>
      <c r="CR446" s="2009">
        <f>AVERAGE(CN446:CQ446)</f>
        <v>-3.2500000000000001E-2</v>
      </c>
      <c r="CS446" s="3532">
        <v>-0.08</v>
      </c>
      <c r="CT446" s="2929">
        <v>-0.08</v>
      </c>
      <c r="CU446" s="2929">
        <v>-0.14000000000000001</v>
      </c>
      <c r="CV446" s="2929">
        <v>-0.19</v>
      </c>
      <c r="CW446" s="2009">
        <f>AVERAGE(CS446:CV446)</f>
        <v>-0.12250000000000001</v>
      </c>
      <c r="CX446" s="2929">
        <v>-0.17</v>
      </c>
      <c r="CY446" s="2929">
        <v>-0.11</v>
      </c>
      <c r="CZ446" s="2929">
        <v>-0.05</v>
      </c>
      <c r="DA446" s="2929">
        <v>-0.04</v>
      </c>
      <c r="DB446" s="2009">
        <f>AVERAGE(CX446:DA446)</f>
        <v>-9.2499999999999999E-2</v>
      </c>
      <c r="DC446" s="2929">
        <v>-0.17</v>
      </c>
      <c r="DD446" s="3547"/>
      <c r="DE446" s="2660"/>
      <c r="DF446" s="2660"/>
      <c r="DG446" s="2597"/>
      <c r="DH446" s="2660"/>
      <c r="DI446" s="2660"/>
      <c r="DJ446" s="2660"/>
      <c r="DK446" s="2660"/>
      <c r="DL446" s="2597"/>
      <c r="DM446" s="2660"/>
      <c r="DN446" s="2660"/>
      <c r="DO446" s="2660"/>
      <c r="DP446" s="2660"/>
      <c r="DQ446" s="2597"/>
      <c r="DR446" s="2660"/>
      <c r="DS446" s="2660"/>
      <c r="DT446" s="2660"/>
      <c r="DU446" s="2660"/>
      <c r="DV446" s="2597"/>
      <c r="DW446" s="2660"/>
      <c r="DX446" s="2660"/>
      <c r="DY446" s="2660"/>
      <c r="DZ446" s="2660"/>
      <c r="EA446" s="2597"/>
      <c r="EB446" s="2660"/>
      <c r="EC446" s="2660"/>
      <c r="ED446" s="2660"/>
      <c r="EE446" s="2660"/>
      <c r="EF446" s="2597"/>
      <c r="EG446" s="2660"/>
      <c r="EH446" s="2660"/>
      <c r="EI446" s="2660"/>
      <c r="EJ446" s="2660"/>
      <c r="EK446" s="2597"/>
      <c r="EL446" s="2660"/>
      <c r="EM446" s="2660"/>
      <c r="EN446" s="2660"/>
      <c r="EO446" s="2660"/>
      <c r="EP446" s="2597"/>
      <c r="EQ446" s="2660"/>
      <c r="ER446" s="2660"/>
      <c r="ES446" s="2660"/>
      <c r="ET446" s="2660"/>
      <c r="EU446" s="2597"/>
      <c r="EV446" s="2597"/>
      <c r="EW446" s="2597"/>
      <c r="EX446" s="2597"/>
      <c r="EY446" s="2597"/>
      <c r="EZ446" s="223"/>
      <c r="FA446" s="724"/>
      <c r="FB446" s="724"/>
    </row>
    <row r="447" spans="1:158" s="239" customFormat="1" ht="11.25" hidden="1" customHeight="1">
      <c r="A447" s="3528" t="s">
        <v>654</v>
      </c>
      <c r="B447" s="3535"/>
      <c r="C447" s="2007"/>
      <c r="D447" s="2007"/>
      <c r="E447" s="2007"/>
      <c r="F447" s="2007"/>
      <c r="G447" s="2007"/>
      <c r="H447" s="2007"/>
      <c r="I447" s="2007"/>
      <c r="J447" s="2007"/>
      <c r="K447" s="2933"/>
      <c r="L447" s="2007"/>
      <c r="M447" s="2007"/>
      <c r="N447" s="2007"/>
      <c r="O447" s="2007"/>
      <c r="P447" s="3529"/>
      <c r="Q447" s="3535"/>
      <c r="R447" s="2007"/>
      <c r="S447" s="2007"/>
      <c r="T447" s="2007"/>
      <c r="U447" s="3529"/>
      <c r="V447" s="3535"/>
      <c r="W447" s="2007"/>
      <c r="X447" s="2007"/>
      <c r="Y447" s="2007"/>
      <c r="Z447" s="3529"/>
      <c r="AA447" s="3535"/>
      <c r="AB447" s="2007"/>
      <c r="AC447" s="2007"/>
      <c r="AD447" s="2007"/>
      <c r="AE447" s="3529"/>
      <c r="AF447" s="3535"/>
      <c r="AG447" s="2007"/>
      <c r="AH447" s="2007"/>
      <c r="AI447" s="2007"/>
      <c r="AJ447" s="3529"/>
      <c r="AK447" s="3535"/>
      <c r="AL447" s="2007"/>
      <c r="AM447" s="2007"/>
      <c r="AN447" s="2660"/>
      <c r="AO447" s="3529"/>
      <c r="AP447" s="2937"/>
      <c r="AQ447" s="2660"/>
      <c r="AR447" s="2660"/>
      <c r="AS447" s="2660"/>
      <c r="AT447" s="3529"/>
      <c r="AU447" s="2937"/>
      <c r="AV447" s="2660"/>
      <c r="AW447" s="2660"/>
      <c r="AX447" s="2660"/>
      <c r="AY447" s="3529"/>
      <c r="AZ447" s="3536"/>
      <c r="BA447" s="3537"/>
      <c r="BB447" s="3537"/>
      <c r="BC447" s="3537"/>
      <c r="BD447" s="3529"/>
      <c r="BE447" s="2936"/>
      <c r="BF447" s="2935"/>
      <c r="BG447" s="2935"/>
      <c r="BH447" s="2935"/>
      <c r="BI447" s="3529"/>
      <c r="BJ447" s="2936"/>
      <c r="BK447" s="2935"/>
      <c r="BL447" s="2935"/>
      <c r="BM447" s="2935"/>
      <c r="BN447" s="3529"/>
      <c r="BO447" s="3530"/>
      <c r="BP447" s="3530"/>
      <c r="BQ447" s="3530"/>
      <c r="BR447" s="3530"/>
      <c r="BS447" s="3531"/>
      <c r="BT447" s="2935"/>
      <c r="BU447" s="2935"/>
      <c r="BV447" s="2935"/>
      <c r="BW447" s="2935"/>
      <c r="BX447" s="3531"/>
      <c r="BY447" s="3530"/>
      <c r="BZ447" s="3530"/>
      <c r="CA447" s="3530"/>
      <c r="CB447" s="3530"/>
      <c r="CC447" s="3531"/>
      <c r="CD447" s="2937">
        <f t="shared" ref="CD447:CW447" si="1271">(1+CD470)/(1+CD442)-1</f>
        <v>-2.6539769150858206E-2</v>
      </c>
      <c r="CE447" s="2660">
        <f t="shared" si="1271"/>
        <v>-9.5302758361425211E-3</v>
      </c>
      <c r="CF447" s="2660">
        <f t="shared" si="1271"/>
        <v>1.5420437944637655E-3</v>
      </c>
      <c r="CG447" s="2660">
        <f t="shared" si="1271"/>
        <v>-2.6736484623553713E-2</v>
      </c>
      <c r="CH447" s="2938">
        <f t="shared" si="1271"/>
        <v>-1.7622968077103285E-2</v>
      </c>
      <c r="CI447" s="2939">
        <f t="shared" si="1271"/>
        <v>-4.5503613180058355E-2</v>
      </c>
      <c r="CJ447" s="2660">
        <f t="shared" si="1271"/>
        <v>-1.3636892139547108E-2</v>
      </c>
      <c r="CK447" s="2660">
        <f t="shared" si="1271"/>
        <v>6.7451698408994343E-2</v>
      </c>
      <c r="CL447" s="2660">
        <f t="shared" si="1271"/>
        <v>0.18853614007572306</v>
      </c>
      <c r="CM447" s="2938">
        <f t="shared" si="1271"/>
        <v>4.1690176164503878E-2</v>
      </c>
      <c r="CN447" s="2660">
        <f t="shared" si="1271"/>
        <v>0.15182436611008043</v>
      </c>
      <c r="CO447" s="2660">
        <f t="shared" si="1271"/>
        <v>0.11678946930139733</v>
      </c>
      <c r="CP447" s="2660">
        <f t="shared" si="1271"/>
        <v>8.9804106679254092E-2</v>
      </c>
      <c r="CQ447" s="2660">
        <f t="shared" si="1271"/>
        <v>4.6593895290074849E-2</v>
      </c>
      <c r="CR447" s="2938">
        <f t="shared" si="1271"/>
        <v>9.9976146329827431E-2</v>
      </c>
      <c r="CS447" s="2008">
        <f t="shared" si="1271"/>
        <v>1.219458700706233E-2</v>
      </c>
      <c r="CT447" s="2008">
        <f t="shared" si="1271"/>
        <v>3.3692350179508335E-2</v>
      </c>
      <c r="CU447" s="2008">
        <f t="shared" si="1271"/>
        <v>2.8411070668510341E-4</v>
      </c>
      <c r="CV447" s="2008">
        <f t="shared" si="1271"/>
        <v>-2.1209673416155983E-4</v>
      </c>
      <c r="CW447" s="2938">
        <f t="shared" si="1271"/>
        <v>1.2277055518509883E-2</v>
      </c>
      <c r="CX447" s="2008">
        <f>(1+CX$470)/(1+CX442)-1</f>
        <v>-1.3099576479858266E-2</v>
      </c>
      <c r="CY447" s="2008">
        <f>(1+CY$470)/(1+CY442)-1</f>
        <v>4.0964540536830629E-2</v>
      </c>
      <c r="CZ447" s="2008">
        <f>(1+CZ$470)/(1+CZ442)-1</f>
        <v>5.7682938711877574E-2</v>
      </c>
      <c r="DA447" s="2008">
        <f>(1+DA$470)/(1+DA442)-1</f>
        <v>-3.4012178876497989E-3</v>
      </c>
      <c r="DB447" s="2938">
        <f>(1+DB470)/(1+DB442)-1</f>
        <v>2.0376785746403225E-2</v>
      </c>
      <c r="DC447" s="2008">
        <f>(1+DC470)/(1+DC442)-1</f>
        <v>-0.15424625202150444</v>
      </c>
      <c r="DD447" s="3544"/>
      <c r="DE447" s="2007"/>
      <c r="DF447" s="2007"/>
      <c r="DG447" s="3534"/>
      <c r="DH447" s="2007"/>
      <c r="DI447" s="2007"/>
      <c r="DJ447" s="2007"/>
      <c r="DK447" s="2007"/>
      <c r="DL447" s="3534"/>
      <c r="DM447" s="2007"/>
      <c r="DN447" s="2007"/>
      <c r="DO447" s="2007"/>
      <c r="DP447" s="2007"/>
      <c r="DQ447" s="3534"/>
      <c r="DR447" s="2007"/>
      <c r="DS447" s="2007"/>
      <c r="DT447" s="2007"/>
      <c r="DU447" s="2007"/>
      <c r="DV447" s="3534"/>
      <c r="DW447" s="2007"/>
      <c r="DX447" s="2007"/>
      <c r="DY447" s="2007"/>
      <c r="DZ447" s="2007"/>
      <c r="EA447" s="3534"/>
      <c r="EB447" s="2007"/>
      <c r="EC447" s="2007"/>
      <c r="ED447" s="2007"/>
      <c r="EE447" s="2007"/>
      <c r="EF447" s="3534"/>
      <c r="EG447" s="2007"/>
      <c r="EH447" s="2007"/>
      <c r="EI447" s="2007"/>
      <c r="EJ447" s="2007"/>
      <c r="EK447" s="3534"/>
      <c r="EL447" s="2007"/>
      <c r="EM447" s="2007"/>
      <c r="EN447" s="2007"/>
      <c r="EO447" s="2007"/>
      <c r="EP447" s="3534"/>
      <c r="EQ447" s="2007"/>
      <c r="ER447" s="2007"/>
      <c r="ES447" s="2007"/>
      <c r="ET447" s="2007"/>
      <c r="EU447" s="3534"/>
      <c r="EV447" s="3534"/>
      <c r="EW447" s="3534"/>
      <c r="EX447" s="3534"/>
      <c r="EY447" s="3534"/>
      <c r="EZ447" s="223"/>
      <c r="FA447" s="724"/>
      <c r="FB447" s="724"/>
    </row>
    <row r="448" spans="1:158" s="239" customFormat="1" ht="11.25" hidden="1" customHeight="1">
      <c r="A448" s="3528" t="s">
        <v>46</v>
      </c>
      <c r="B448" s="3535"/>
      <c r="C448" s="2007"/>
      <c r="D448" s="2007"/>
      <c r="E448" s="2007"/>
      <c r="F448" s="2007"/>
      <c r="G448" s="2007"/>
      <c r="H448" s="2007"/>
      <c r="I448" s="2007"/>
      <c r="J448" s="2007"/>
      <c r="K448" s="2933"/>
      <c r="L448" s="2007"/>
      <c r="M448" s="2007"/>
      <c r="N448" s="2007"/>
      <c r="O448" s="2007"/>
      <c r="P448" s="2933"/>
      <c r="Q448" s="3535"/>
      <c r="R448" s="2007"/>
      <c r="S448" s="2007"/>
      <c r="T448" s="2007"/>
      <c r="U448" s="2933"/>
      <c r="V448" s="3535"/>
      <c r="W448" s="2007"/>
      <c r="X448" s="2007"/>
      <c r="Y448" s="2007"/>
      <c r="Z448" s="2933"/>
      <c r="AA448" s="3535"/>
      <c r="AB448" s="2007"/>
      <c r="AC448" s="2007"/>
      <c r="AD448" s="2007"/>
      <c r="AE448" s="2933"/>
      <c r="AF448" s="3535"/>
      <c r="AG448" s="2007"/>
      <c r="AH448" s="2007"/>
      <c r="AI448" s="2007"/>
      <c r="AJ448" s="2933"/>
      <c r="AK448" s="3535"/>
      <c r="AL448" s="2007"/>
      <c r="AM448" s="2007"/>
      <c r="AN448" s="2660"/>
      <c r="AO448" s="2933"/>
      <c r="AP448" s="2937"/>
      <c r="AQ448" s="2660"/>
      <c r="AR448" s="2660"/>
      <c r="AS448" s="2660"/>
      <c r="AT448" s="2933"/>
      <c r="AU448" s="2937"/>
      <c r="AV448" s="2660"/>
      <c r="AW448" s="2660"/>
      <c r="AX448" s="2660"/>
      <c r="AY448" s="2933"/>
      <c r="AZ448" s="3536"/>
      <c r="BA448" s="3537"/>
      <c r="BB448" s="3537"/>
      <c r="BC448" s="3537"/>
      <c r="BD448" s="2933"/>
      <c r="BE448" s="2936"/>
      <c r="BF448" s="2935"/>
      <c r="BG448" s="2935"/>
      <c r="BH448" s="2935"/>
      <c r="BI448" s="2933"/>
      <c r="BJ448" s="2936"/>
      <c r="BK448" s="2935"/>
      <c r="BL448" s="2935"/>
      <c r="BM448" s="2935"/>
      <c r="BN448" s="2933"/>
      <c r="BO448" s="2007"/>
      <c r="BP448" s="2007"/>
      <c r="BQ448" s="2007"/>
      <c r="BR448" s="2007"/>
      <c r="BS448" s="3534"/>
      <c r="BT448" s="2935"/>
      <c r="BU448" s="2935"/>
      <c r="BV448" s="2935"/>
      <c r="BW448" s="2935"/>
      <c r="BX448" s="2933"/>
      <c r="BY448" s="2007"/>
      <c r="BZ448" s="2007"/>
      <c r="CA448" s="2007"/>
      <c r="CB448" s="2007"/>
      <c r="CC448" s="3534"/>
      <c r="CD448" s="2936">
        <v>-7.0000000000000007E-2</v>
      </c>
      <c r="CE448" s="2935">
        <v>0.04</v>
      </c>
      <c r="CF448" s="2935">
        <v>-7.0000000000000007E-2</v>
      </c>
      <c r="CG448" s="2935">
        <v>0</v>
      </c>
      <c r="CH448" s="2933"/>
      <c r="CI448" s="2934">
        <v>-0.08</v>
      </c>
      <c r="CJ448" s="2935">
        <v>0.03</v>
      </c>
      <c r="CK448" s="2935">
        <v>0.02</v>
      </c>
      <c r="CL448" s="2935">
        <v>0.1</v>
      </c>
      <c r="CM448" s="2933"/>
      <c r="CN448" s="2935">
        <v>-0.11</v>
      </c>
      <c r="CO448" s="2935">
        <v>-0.03</v>
      </c>
      <c r="CP448" s="2935">
        <v>0.01</v>
      </c>
      <c r="CQ448" s="2935">
        <v>7.0000000000000007E-2</v>
      </c>
      <c r="CR448" s="2933"/>
      <c r="CS448" s="3540">
        <v>-0.12</v>
      </c>
      <c r="CT448" s="2930">
        <v>-0.02</v>
      </c>
      <c r="CU448" s="2930">
        <v>-0.06</v>
      </c>
      <c r="CV448" s="2930">
        <v>0</v>
      </c>
      <c r="CW448" s="2933"/>
      <c r="CX448" s="2930">
        <v>-0.09</v>
      </c>
      <c r="CY448" s="2930">
        <v>0.05</v>
      </c>
      <c r="CZ448" s="2930">
        <v>0</v>
      </c>
      <c r="DA448" s="2930">
        <v>0.01</v>
      </c>
      <c r="DB448" s="2933"/>
      <c r="DC448" s="2930">
        <v>-0.21</v>
      </c>
      <c r="DD448" s="3548"/>
      <c r="DE448" s="2660"/>
      <c r="DF448" s="2660"/>
      <c r="DG448" s="2597"/>
      <c r="DH448" s="2660"/>
      <c r="DI448" s="2660"/>
      <c r="DJ448" s="2660"/>
      <c r="DK448" s="2660"/>
      <c r="DL448" s="2597"/>
      <c r="DM448" s="2660"/>
      <c r="DN448" s="2660"/>
      <c r="DO448" s="2660"/>
      <c r="DP448" s="2660"/>
      <c r="DQ448" s="2597"/>
      <c r="DR448" s="2660"/>
      <c r="DS448" s="2660"/>
      <c r="DT448" s="2660"/>
      <c r="DU448" s="2660"/>
      <c r="DV448" s="2597"/>
      <c r="DW448" s="2660"/>
      <c r="DX448" s="2660"/>
      <c r="DY448" s="2660"/>
      <c r="DZ448" s="2660"/>
      <c r="EA448" s="2597"/>
      <c r="EB448" s="2660"/>
      <c r="EC448" s="2660"/>
      <c r="ED448" s="2660"/>
      <c r="EE448" s="2660"/>
      <c r="EF448" s="2597"/>
      <c r="EG448" s="2660"/>
      <c r="EH448" s="2660"/>
      <c r="EI448" s="2660"/>
      <c r="EJ448" s="2660"/>
      <c r="EK448" s="2597"/>
      <c r="EL448" s="2660"/>
      <c r="EM448" s="2660"/>
      <c r="EN448" s="2660"/>
      <c r="EO448" s="2660"/>
      <c r="EP448" s="2597"/>
      <c r="EQ448" s="2660"/>
      <c r="ER448" s="2660"/>
      <c r="ES448" s="2660"/>
      <c r="ET448" s="2660"/>
      <c r="EU448" s="2597"/>
      <c r="EV448" s="2597"/>
      <c r="EW448" s="2597"/>
      <c r="EX448" s="2597"/>
      <c r="EY448" s="2597"/>
      <c r="EZ448" s="223"/>
      <c r="FA448" s="724"/>
      <c r="FB448" s="724"/>
    </row>
    <row r="449" spans="1:158" s="239" customFormat="1" ht="11.25" hidden="1" customHeight="1">
      <c r="A449" s="3528"/>
      <c r="B449" s="3535"/>
      <c r="C449" s="2007"/>
      <c r="D449" s="2007"/>
      <c r="E449" s="2007"/>
      <c r="F449" s="2007"/>
      <c r="G449" s="2007"/>
      <c r="H449" s="2007"/>
      <c r="I449" s="2007"/>
      <c r="J449" s="2007"/>
      <c r="K449" s="2933"/>
      <c r="L449" s="2007"/>
      <c r="M449" s="2007"/>
      <c r="N449" s="2007"/>
      <c r="O449" s="2007"/>
      <c r="P449" s="2933"/>
      <c r="Q449" s="3535"/>
      <c r="R449" s="2007"/>
      <c r="S449" s="2007"/>
      <c r="T449" s="2007"/>
      <c r="U449" s="2933"/>
      <c r="V449" s="3535"/>
      <c r="W449" s="2007"/>
      <c r="X449" s="2007"/>
      <c r="Y449" s="2007"/>
      <c r="Z449" s="2933"/>
      <c r="AA449" s="3535"/>
      <c r="AB449" s="2007"/>
      <c r="AC449" s="2007"/>
      <c r="AD449" s="2007"/>
      <c r="AE449" s="2933"/>
      <c r="AF449" s="3535"/>
      <c r="AG449" s="2007"/>
      <c r="AH449" s="2007"/>
      <c r="AI449" s="2007"/>
      <c r="AJ449" s="2933"/>
      <c r="AK449" s="3535"/>
      <c r="AL449" s="2007"/>
      <c r="AM449" s="2007"/>
      <c r="AN449" s="2660"/>
      <c r="AO449" s="2933"/>
      <c r="AP449" s="3535"/>
      <c r="AQ449" s="2007"/>
      <c r="AR449" s="2007"/>
      <c r="AS449" s="2007"/>
      <c r="AT449" s="2933"/>
      <c r="AU449" s="3535"/>
      <c r="AV449" s="2007"/>
      <c r="AW449" s="2007"/>
      <c r="AX449" s="2007"/>
      <c r="AY449" s="2933"/>
      <c r="AZ449" s="3541"/>
      <c r="BA449" s="2007"/>
      <c r="BB449" s="2007"/>
      <c r="BC449" s="2007"/>
      <c r="BD449" s="2933"/>
      <c r="BE449" s="3535"/>
      <c r="BF449" s="2007"/>
      <c r="BG449" s="2007"/>
      <c r="BH449" s="2007"/>
      <c r="BI449" s="2933"/>
      <c r="BJ449" s="3535"/>
      <c r="BK449" s="2007"/>
      <c r="BL449" s="2007"/>
      <c r="BM449" s="2007"/>
      <c r="BN449" s="2933"/>
      <c r="BO449" s="2007"/>
      <c r="BP449" s="2007"/>
      <c r="BQ449" s="2007"/>
      <c r="BR449" s="2007"/>
      <c r="BS449" s="3534"/>
      <c r="BT449" s="2007"/>
      <c r="BU449" s="2007"/>
      <c r="BV449" s="2007"/>
      <c r="BW449" s="2007"/>
      <c r="BX449" s="2933"/>
      <c r="BY449" s="2007"/>
      <c r="BZ449" s="2007"/>
      <c r="CA449" s="2007"/>
      <c r="CB449" s="2007"/>
      <c r="CC449" s="3534"/>
      <c r="CD449" s="2007"/>
      <c r="CE449" s="2007"/>
      <c r="CF449" s="2007"/>
      <c r="CG449" s="2007"/>
      <c r="CH449" s="2933"/>
      <c r="CI449" s="3542"/>
      <c r="CJ449" s="3542"/>
      <c r="CK449" s="2007"/>
      <c r="CL449" s="2007"/>
      <c r="CM449" s="2933"/>
      <c r="CN449" s="3542"/>
      <c r="CO449" s="3542"/>
      <c r="CP449" s="2007"/>
      <c r="CQ449" s="2007"/>
      <c r="CR449" s="2933"/>
      <c r="CS449" s="2007"/>
      <c r="CT449" s="2007"/>
      <c r="CU449" s="2007"/>
      <c r="CV449" s="2007"/>
      <c r="CW449" s="2933"/>
      <c r="CX449" s="2007"/>
      <c r="CY449" s="2007"/>
      <c r="CZ449" s="2007"/>
      <c r="DA449" s="2007"/>
      <c r="DB449" s="2933"/>
      <c r="DC449" s="2007"/>
      <c r="DD449" s="3544"/>
      <c r="DE449" s="2007"/>
      <c r="DF449" s="2007"/>
      <c r="DG449" s="2933"/>
      <c r="DH449" s="2007"/>
      <c r="DI449" s="2007"/>
      <c r="DJ449" s="2007"/>
      <c r="DK449" s="2007"/>
      <c r="DL449" s="2933"/>
      <c r="DM449" s="2007"/>
      <c r="DN449" s="2007"/>
      <c r="DO449" s="2007"/>
      <c r="DP449" s="2007"/>
      <c r="DQ449" s="2933"/>
      <c r="DR449" s="2007"/>
      <c r="DS449" s="2007"/>
      <c r="DT449" s="2007"/>
      <c r="DU449" s="2007"/>
      <c r="DV449" s="2933"/>
      <c r="DW449" s="2007"/>
      <c r="DX449" s="2007"/>
      <c r="DY449" s="2007"/>
      <c r="DZ449" s="2007"/>
      <c r="EA449" s="3534"/>
      <c r="EB449" s="2007"/>
      <c r="EC449" s="2007"/>
      <c r="ED449" s="2007"/>
      <c r="EE449" s="2007"/>
      <c r="EF449" s="3534"/>
      <c r="EG449" s="2007"/>
      <c r="EH449" s="2007"/>
      <c r="EI449" s="2007"/>
      <c r="EJ449" s="2007"/>
      <c r="EK449" s="3534"/>
      <c r="EL449" s="2007"/>
      <c r="EM449" s="2007"/>
      <c r="EN449" s="2007"/>
      <c r="EO449" s="2007"/>
      <c r="EP449" s="3534"/>
      <c r="EQ449" s="2007"/>
      <c r="ER449" s="2007"/>
      <c r="ES449" s="2007"/>
      <c r="ET449" s="2007"/>
      <c r="EU449" s="3534"/>
      <c r="EV449" s="3534"/>
      <c r="EW449" s="3534"/>
      <c r="EX449" s="3534"/>
      <c r="EY449" s="3534"/>
      <c r="EZ449" s="223"/>
      <c r="FA449" s="715"/>
      <c r="FB449" s="715"/>
    </row>
    <row r="450" spans="1:158" s="180" customFormat="1" ht="11.25" hidden="1" customHeight="1">
      <c r="A450" s="3000" t="s">
        <v>656</v>
      </c>
      <c r="B450" s="3001"/>
      <c r="C450" s="3002"/>
      <c r="D450" s="3002"/>
      <c r="E450" s="3002"/>
      <c r="F450" s="3002"/>
      <c r="G450" s="3002"/>
      <c r="H450" s="3002"/>
      <c r="I450" s="3002"/>
      <c r="J450" s="3002"/>
      <c r="K450" s="3003"/>
      <c r="L450" s="3002"/>
      <c r="M450" s="3002"/>
      <c r="N450" s="3002"/>
      <c r="O450" s="3002"/>
      <c r="P450" s="3003"/>
      <c r="Q450" s="3001"/>
      <c r="R450" s="3002"/>
      <c r="S450" s="3002"/>
      <c r="T450" s="3002"/>
      <c r="U450" s="3003"/>
      <c r="V450" s="3001"/>
      <c r="W450" s="3002"/>
      <c r="X450" s="3002"/>
      <c r="Y450" s="3002"/>
      <c r="Z450" s="3003"/>
      <c r="AA450" s="3001"/>
      <c r="AB450" s="3002"/>
      <c r="AC450" s="3002"/>
      <c r="AD450" s="3002"/>
      <c r="AE450" s="3003"/>
      <c r="AF450" s="3001"/>
      <c r="AG450" s="3002"/>
      <c r="AH450" s="3002"/>
      <c r="AI450" s="3002"/>
      <c r="AJ450" s="3003"/>
      <c r="AK450" s="3001"/>
      <c r="AL450" s="3002"/>
      <c r="AM450" s="3002"/>
      <c r="AN450" s="3002"/>
      <c r="AO450" s="3003"/>
      <c r="AP450" s="3001"/>
      <c r="AQ450" s="3002"/>
      <c r="AR450" s="3002"/>
      <c r="AS450" s="3002"/>
      <c r="AT450" s="3003"/>
      <c r="AU450" s="3001"/>
      <c r="AV450" s="3002"/>
      <c r="AW450" s="3002"/>
      <c r="AX450" s="3002"/>
      <c r="AY450" s="3003"/>
      <c r="AZ450" s="3001"/>
      <c r="BA450" s="3002"/>
      <c r="BB450" s="3002"/>
      <c r="BC450" s="3002"/>
      <c r="BD450" s="3003"/>
      <c r="BE450" s="3005"/>
      <c r="BF450" s="3006"/>
      <c r="BG450" s="3006"/>
      <c r="BH450" s="3006"/>
      <c r="BI450" s="3003"/>
      <c r="BJ450" s="3006"/>
      <c r="BK450" s="3006"/>
      <c r="BL450" s="3006"/>
      <c r="BM450" s="3006"/>
      <c r="BN450" s="3003"/>
      <c r="BO450" s="3002"/>
      <c r="BP450" s="3002"/>
      <c r="BQ450" s="3002"/>
      <c r="BR450" s="3002"/>
      <c r="BS450" s="3007"/>
      <c r="BT450" s="3006"/>
      <c r="BU450" s="3006"/>
      <c r="BV450" s="3006"/>
      <c r="BW450" s="3006"/>
      <c r="BX450" s="3007"/>
      <c r="BY450" s="3002"/>
      <c r="BZ450" s="3002"/>
      <c r="CA450" s="3002"/>
      <c r="CB450" s="3002"/>
      <c r="CC450" s="3007"/>
      <c r="CD450" s="3006"/>
      <c r="CE450" s="3006"/>
      <c r="CF450" s="3006"/>
      <c r="CG450" s="3006"/>
      <c r="CH450" s="3007"/>
      <c r="CI450" s="3008"/>
      <c r="CJ450" s="3006"/>
      <c r="CK450" s="3002"/>
      <c r="CL450" s="3006"/>
      <c r="CM450" s="3007"/>
      <c r="CN450" s="3002"/>
      <c r="CO450" s="3002"/>
      <c r="CP450" s="3002"/>
      <c r="CQ450" s="3002"/>
      <c r="CR450" s="3007"/>
      <c r="CS450" s="3002"/>
      <c r="CT450" s="3002"/>
      <c r="CU450" s="3002"/>
      <c r="CV450" s="3002"/>
      <c r="CW450" s="3007"/>
      <c r="CX450" s="3002"/>
      <c r="CY450" s="3002"/>
      <c r="CZ450" s="3002"/>
      <c r="DA450" s="3002"/>
      <c r="DB450" s="3007"/>
      <c r="DC450" s="3002"/>
      <c r="DD450" s="3002"/>
      <c r="DE450" s="3002"/>
      <c r="DF450" s="3002"/>
      <c r="DG450" s="3007"/>
      <c r="DH450" s="3002"/>
      <c r="DI450" s="3002"/>
      <c r="DJ450" s="3002"/>
      <c r="DK450" s="3002"/>
      <c r="DL450" s="3007"/>
      <c r="DM450" s="3002"/>
      <c r="DN450" s="3002"/>
      <c r="DO450" s="3002"/>
      <c r="DP450" s="3002"/>
      <c r="DQ450" s="3007"/>
      <c r="DR450" s="3002"/>
      <c r="DS450" s="3002"/>
      <c r="DT450" s="3002"/>
      <c r="DU450" s="3002"/>
      <c r="DV450" s="3007"/>
      <c r="DW450" s="3002"/>
      <c r="DX450" s="3002"/>
      <c r="DY450" s="3002"/>
      <c r="DZ450" s="3002"/>
      <c r="EA450" s="3007"/>
      <c r="EB450" s="3002"/>
      <c r="EC450" s="3002"/>
      <c r="ED450" s="3002"/>
      <c r="EE450" s="3002"/>
      <c r="EF450" s="3007"/>
      <c r="EG450" s="3002"/>
      <c r="EH450" s="3002"/>
      <c r="EI450" s="3002"/>
      <c r="EJ450" s="3002"/>
      <c r="EK450" s="3007"/>
      <c r="EL450" s="3002"/>
      <c r="EM450" s="3002"/>
      <c r="EN450" s="3002"/>
      <c r="EO450" s="3002"/>
      <c r="EP450" s="3007"/>
      <c r="EQ450" s="3002"/>
      <c r="ER450" s="3002"/>
      <c r="ES450" s="3002"/>
      <c r="ET450" s="3002"/>
      <c r="EU450" s="3007"/>
      <c r="EV450" s="3007"/>
      <c r="EW450" s="3007"/>
      <c r="EX450" s="3007"/>
      <c r="EY450" s="3007"/>
      <c r="EZ450" s="175"/>
      <c r="FA450" s="715"/>
      <c r="FB450" s="715"/>
    </row>
    <row r="451" spans="1:158" s="234" customFormat="1" ht="11.25" hidden="1" customHeight="1">
      <c r="A451" s="2350" t="s">
        <v>649</v>
      </c>
      <c r="B451" s="2242"/>
      <c r="C451" s="209"/>
      <c r="D451" s="209"/>
      <c r="E451" s="209"/>
      <c r="F451" s="209"/>
      <c r="G451" s="209"/>
      <c r="H451" s="209"/>
      <c r="I451" s="209"/>
      <c r="J451" s="209"/>
      <c r="K451" s="1019"/>
      <c r="L451" s="209"/>
      <c r="M451" s="209"/>
      <c r="N451" s="209"/>
      <c r="O451" s="209"/>
      <c r="P451" s="1019"/>
      <c r="Q451" s="2242"/>
      <c r="R451" s="209"/>
      <c r="S451" s="209"/>
      <c r="T451" s="209"/>
      <c r="U451" s="1019"/>
      <c r="V451" s="2242"/>
      <c r="W451" s="209"/>
      <c r="X451" s="209"/>
      <c r="Y451" s="209"/>
      <c r="Z451" s="1019"/>
      <c r="AA451" s="2242"/>
      <c r="AB451" s="209"/>
      <c r="AC451" s="209"/>
      <c r="AD451" s="209"/>
      <c r="AE451" s="1019"/>
      <c r="AF451" s="2242"/>
      <c r="AG451" s="209"/>
      <c r="AH451" s="209"/>
      <c r="AI451" s="209"/>
      <c r="AJ451" s="1019"/>
      <c r="AK451" s="2242"/>
      <c r="AL451" s="209"/>
      <c r="AM451" s="209"/>
      <c r="AN451" s="209"/>
      <c r="AO451" s="1019"/>
      <c r="AP451" s="2242"/>
      <c r="AQ451" s="209"/>
      <c r="AR451" s="209"/>
      <c r="AS451" s="209"/>
      <c r="AT451" s="1019"/>
      <c r="AU451" s="2242"/>
      <c r="AV451" s="51"/>
      <c r="AW451" s="51"/>
      <c r="AX451" s="51"/>
      <c r="AY451" s="1019"/>
      <c r="AZ451" s="2242"/>
      <c r="BA451" s="51"/>
      <c r="BB451" s="51"/>
      <c r="BC451" s="51"/>
      <c r="BD451" s="1019"/>
      <c r="BE451" s="2242"/>
      <c r="BF451" s="51"/>
      <c r="BG451" s="51"/>
      <c r="BH451" s="51"/>
      <c r="BI451" s="1019"/>
      <c r="BJ451" s="2242"/>
      <c r="BK451" s="51"/>
      <c r="BL451" s="51"/>
      <c r="BM451" s="51"/>
      <c r="BN451" s="1019"/>
      <c r="BO451" s="209"/>
      <c r="BP451" s="209"/>
      <c r="BQ451" s="209"/>
      <c r="BR451" s="209"/>
      <c r="BS451" s="2244"/>
      <c r="BT451" s="51"/>
      <c r="BU451" s="51"/>
      <c r="BV451" s="51"/>
      <c r="BW451" s="51"/>
      <c r="BX451" s="1019"/>
      <c r="BY451" s="209"/>
      <c r="BZ451" s="209"/>
      <c r="CA451" s="209"/>
      <c r="CB451" s="209"/>
      <c r="CC451" s="2244"/>
      <c r="CD451" s="246"/>
      <c r="CE451" s="246"/>
      <c r="CF451" s="246"/>
      <c r="CG451" s="246"/>
      <c r="CH451" s="1019"/>
      <c r="CI451" s="638"/>
      <c r="CJ451" s="246"/>
      <c r="CK451" s="246"/>
      <c r="CL451" s="246"/>
      <c r="CM451" s="1019"/>
      <c r="CN451" s="209"/>
      <c r="CO451" s="209"/>
      <c r="CP451" s="209"/>
      <c r="CQ451" s="209"/>
      <c r="CR451" s="1019"/>
      <c r="CS451" s="1669" t="s">
        <v>555</v>
      </c>
      <c r="CT451" s="209"/>
      <c r="CU451" s="209"/>
      <c r="CV451" s="209"/>
      <c r="CW451" s="1019"/>
      <c r="CX451" s="209"/>
      <c r="CY451" s="209"/>
      <c r="CZ451" s="209"/>
      <c r="DA451" s="209"/>
      <c r="DB451" s="1019"/>
      <c r="DC451" s="209"/>
      <c r="DD451" s="3543" t="s">
        <v>730</v>
      </c>
      <c r="DE451" s="2008"/>
      <c r="DF451" s="2008"/>
      <c r="DG451" s="2009"/>
      <c r="DH451" s="2008"/>
      <c r="DI451" s="2008"/>
      <c r="DJ451" s="2008"/>
      <c r="DK451" s="2008"/>
      <c r="DL451" s="2009"/>
      <c r="DM451" s="2008"/>
      <c r="DN451" s="2008"/>
      <c r="DO451" s="2008"/>
      <c r="DP451" s="2008"/>
      <c r="DQ451" s="2009"/>
      <c r="DR451" s="2008"/>
      <c r="DS451" s="2008"/>
      <c r="DT451" s="2008"/>
      <c r="DU451" s="2008"/>
      <c r="DV451" s="2009"/>
      <c r="DW451" s="2008"/>
      <c r="DX451" s="2008"/>
      <c r="DY451" s="2008"/>
      <c r="DZ451" s="2008"/>
      <c r="EA451" s="2938"/>
      <c r="EB451" s="2008"/>
      <c r="EC451" s="2008"/>
      <c r="ED451" s="2008"/>
      <c r="EE451" s="2008"/>
      <c r="EF451" s="2938"/>
      <c r="EG451" s="2008"/>
      <c r="EH451" s="2008"/>
      <c r="EI451" s="2008"/>
      <c r="EJ451" s="2008"/>
      <c r="EK451" s="2938"/>
      <c r="EL451" s="2008"/>
      <c r="EM451" s="2008"/>
      <c r="EN451" s="2008"/>
      <c r="EO451" s="2008"/>
      <c r="EP451" s="2938"/>
      <c r="EQ451" s="2008"/>
      <c r="ER451" s="2008"/>
      <c r="ES451" s="2008"/>
      <c r="ET451" s="2008"/>
      <c r="EU451" s="2938"/>
      <c r="EV451" s="2938"/>
      <c r="EW451" s="2938"/>
      <c r="EX451" s="2938"/>
      <c r="EY451" s="2938"/>
      <c r="EZ451" s="209"/>
      <c r="FA451" s="715"/>
      <c r="FB451" s="715"/>
    </row>
    <row r="452" spans="1:158" s="240" customFormat="1" ht="11.25" hidden="1" customHeight="1">
      <c r="A452" s="1572" t="s">
        <v>45</v>
      </c>
      <c r="B452" s="1488"/>
      <c r="C452" s="223"/>
      <c r="D452" s="223"/>
      <c r="E452" s="223"/>
      <c r="F452" s="223"/>
      <c r="G452" s="223"/>
      <c r="H452" s="223"/>
      <c r="I452" s="223"/>
      <c r="J452" s="223"/>
      <c r="K452" s="1050"/>
      <c r="L452" s="223"/>
      <c r="M452" s="223"/>
      <c r="N452" s="223"/>
      <c r="O452" s="223"/>
      <c r="P452" s="1050"/>
      <c r="Q452" s="1488"/>
      <c r="R452" s="223"/>
      <c r="S452" s="223"/>
      <c r="T452" s="223"/>
      <c r="U452" s="1020"/>
      <c r="V452" s="1488" t="s">
        <v>116</v>
      </c>
      <c r="W452" s="223" t="s">
        <v>116</v>
      </c>
      <c r="X452" s="223" t="s">
        <v>116</v>
      </c>
      <c r="Y452" s="223" t="s">
        <v>116</v>
      </c>
      <c r="Z452" s="1020"/>
      <c r="AA452" s="1488" t="s">
        <v>116</v>
      </c>
      <c r="AB452" s="223" t="s">
        <v>116</v>
      </c>
      <c r="AC452" s="223" t="s">
        <v>116</v>
      </c>
      <c r="AD452" s="223" t="s">
        <v>116</v>
      </c>
      <c r="AE452" s="1020"/>
      <c r="AF452" s="1488" t="s">
        <v>116</v>
      </c>
      <c r="AG452" s="223" t="s">
        <v>116</v>
      </c>
      <c r="AH452" s="223" t="s">
        <v>116</v>
      </c>
      <c r="AI452" s="223" t="s">
        <v>116</v>
      </c>
      <c r="AJ452" s="1020" t="s">
        <v>116</v>
      </c>
      <c r="AK452" s="1488" t="s">
        <v>116</v>
      </c>
      <c r="AL452" s="223" t="s">
        <v>116</v>
      </c>
      <c r="AM452" s="223" t="s">
        <v>116</v>
      </c>
      <c r="AN452" s="236">
        <v>0.61</v>
      </c>
      <c r="AO452" s="1020" t="s">
        <v>116</v>
      </c>
      <c r="AP452" s="2485">
        <v>0.52</v>
      </c>
      <c r="AQ452" s="237">
        <v>0.47</v>
      </c>
      <c r="AR452" s="237">
        <v>0.45</v>
      </c>
      <c r="AS452" s="237">
        <v>0.3</v>
      </c>
      <c r="AT452" s="1020">
        <f>AVERAGE(AP452:AS452)</f>
        <v>0.435</v>
      </c>
      <c r="AU452" s="2485">
        <v>0.2</v>
      </c>
      <c r="AV452" s="237">
        <v>0.19</v>
      </c>
      <c r="AW452" s="237">
        <v>0.18</v>
      </c>
      <c r="AX452" s="237">
        <v>0.18</v>
      </c>
      <c r="AY452" s="1020">
        <v>0.18</v>
      </c>
      <c r="AZ452" s="2485">
        <v>0.17</v>
      </c>
      <c r="BA452" s="237">
        <v>0.15</v>
      </c>
      <c r="BB452" s="237">
        <v>0.14000000000000001</v>
      </c>
      <c r="BC452" s="237">
        <v>0.13</v>
      </c>
      <c r="BD452" s="1020">
        <f>AVERAGE(AZ452:BC452)</f>
        <v>0.14750000000000002</v>
      </c>
      <c r="BE452" s="2486">
        <v>0.15</v>
      </c>
      <c r="BF452" s="238">
        <v>0.15</v>
      </c>
      <c r="BG452" s="238">
        <v>0.16</v>
      </c>
      <c r="BH452" s="238">
        <v>0.18</v>
      </c>
      <c r="BI452" s="1020">
        <f>AVERAGE(BE452:BH452)</f>
        <v>0.15999999999999998</v>
      </c>
      <c r="BJ452" s="2486">
        <v>0.18</v>
      </c>
      <c r="BK452" s="238">
        <v>0.18</v>
      </c>
      <c r="BL452" s="238">
        <v>0.28000000000000003</v>
      </c>
      <c r="BM452" s="238">
        <v>0.34</v>
      </c>
      <c r="BN452" s="1020">
        <f>AVERAGE(BJ452:BM452)</f>
        <v>0.245</v>
      </c>
      <c r="BO452" s="223"/>
      <c r="BP452" s="223"/>
      <c r="BQ452" s="223"/>
      <c r="BR452" s="223"/>
      <c r="BS452" s="1050"/>
      <c r="BT452" s="238">
        <v>0.39</v>
      </c>
      <c r="BU452" s="238">
        <v>0.42</v>
      </c>
      <c r="BV452" s="238">
        <v>0.33</v>
      </c>
      <c r="BW452" s="238">
        <v>0.24</v>
      </c>
      <c r="BX452" s="1020">
        <f>AVERAGE(BT452:BW452)</f>
        <v>0.34500000000000003</v>
      </c>
      <c r="BY452" s="223"/>
      <c r="BZ452" s="223"/>
      <c r="CA452" s="223"/>
      <c r="CB452" s="223"/>
      <c r="CC452" s="1050"/>
      <c r="CD452" s="2486">
        <v>0.2</v>
      </c>
      <c r="CE452" s="238">
        <v>0.23</v>
      </c>
      <c r="CF452" s="238">
        <v>0.26</v>
      </c>
      <c r="CG452" s="238">
        <v>0.31</v>
      </c>
      <c r="CH452" s="1020">
        <f>AVERAGE(CD452:CG452)</f>
        <v>0.25</v>
      </c>
      <c r="CI452" s="238">
        <v>0.26</v>
      </c>
      <c r="CJ452" s="238">
        <v>0.25</v>
      </c>
      <c r="CK452" s="238">
        <v>0.17</v>
      </c>
      <c r="CL452" s="238">
        <v>0.14000000000000001</v>
      </c>
      <c r="CM452" s="1020">
        <f>AVERAGE(CI452:CL452)</f>
        <v>0.20500000000000002</v>
      </c>
      <c r="CN452" s="238">
        <v>0.13</v>
      </c>
      <c r="CO452" s="238">
        <v>0.18</v>
      </c>
      <c r="CP452" s="238">
        <v>0.23</v>
      </c>
      <c r="CQ452" s="238">
        <v>0.31</v>
      </c>
      <c r="CR452" s="1020">
        <f>AVERAGE(CN452:CQ452)</f>
        <v>0.21250000000000002</v>
      </c>
      <c r="CS452" s="237">
        <v>0.28999999999999998</v>
      </c>
      <c r="CT452" s="238">
        <v>0.28000000000000003</v>
      </c>
      <c r="CU452" s="238">
        <v>0.32</v>
      </c>
      <c r="CV452" s="238">
        <v>0.39</v>
      </c>
      <c r="CW452" s="1020">
        <f>+(((1+CW143)*(CW460/CW474))+((CW467/CW474)*(1+CW442)))-1</f>
        <v>0.33033363566506679</v>
      </c>
      <c r="CX452" s="238">
        <v>0.44</v>
      </c>
      <c r="CY452" s="238">
        <v>0.52</v>
      </c>
      <c r="CZ452" s="238">
        <v>0.47</v>
      </c>
      <c r="DA452" s="238">
        <v>0.43</v>
      </c>
      <c r="DB452" s="1020">
        <f>+(((1+DB143)*(DB460/DB474))+((DB467/DB474)*(1+DB442)))-1</f>
        <v>0.46182568807339464</v>
      </c>
      <c r="DC452" s="238">
        <v>0.55000000000000004</v>
      </c>
      <c r="DD452" s="3544"/>
      <c r="DE452" s="2007"/>
      <c r="DF452" s="2007"/>
      <c r="DG452" s="2933"/>
      <c r="DH452" s="2007"/>
      <c r="DI452" s="2007"/>
      <c r="DJ452" s="2007"/>
      <c r="DK452" s="2007"/>
      <c r="DL452" s="2933"/>
      <c r="DM452" s="2007"/>
      <c r="DN452" s="2007"/>
      <c r="DO452" s="2007"/>
      <c r="DP452" s="2007"/>
      <c r="DQ452" s="2933"/>
      <c r="DR452" s="2007"/>
      <c r="DS452" s="2007"/>
      <c r="DT452" s="2007"/>
      <c r="DU452" s="2007"/>
      <c r="DV452" s="2933"/>
      <c r="DW452" s="2007"/>
      <c r="DX452" s="2007"/>
      <c r="DY452" s="2007"/>
      <c r="DZ452" s="2007"/>
      <c r="EA452" s="2933"/>
      <c r="EB452" s="2007"/>
      <c r="EC452" s="2007"/>
      <c r="ED452" s="2007"/>
      <c r="EE452" s="2007"/>
      <c r="EF452" s="2933"/>
      <c r="EG452" s="2007"/>
      <c r="EH452" s="2007"/>
      <c r="EI452" s="2007"/>
      <c r="EJ452" s="2007"/>
      <c r="EK452" s="2933"/>
      <c r="EL452" s="2007"/>
      <c r="EM452" s="2007"/>
      <c r="EN452" s="2007"/>
      <c r="EO452" s="2007"/>
      <c r="EP452" s="2933"/>
      <c r="EQ452" s="2007"/>
      <c r="ER452" s="2007"/>
      <c r="ES452" s="2007"/>
      <c r="ET452" s="2007"/>
      <c r="EU452" s="2933"/>
      <c r="EV452" s="2933"/>
      <c r="EW452" s="2933"/>
      <c r="EX452" s="2933"/>
      <c r="EY452" s="2933"/>
      <c r="EZ452" s="223"/>
      <c r="FA452" s="715"/>
      <c r="FB452" s="715"/>
    </row>
    <row r="453" spans="1:158" s="240" customFormat="1" ht="11.25" hidden="1" customHeight="1">
      <c r="A453" s="1554" t="s">
        <v>46</v>
      </c>
      <c r="B453" s="1488"/>
      <c r="C453" s="223"/>
      <c r="D453" s="223"/>
      <c r="E453" s="223"/>
      <c r="F453" s="223"/>
      <c r="G453" s="223"/>
      <c r="H453" s="223"/>
      <c r="I453" s="223"/>
      <c r="J453" s="223"/>
      <c r="K453" s="1020"/>
      <c r="L453" s="223"/>
      <c r="M453" s="223"/>
      <c r="N453" s="223"/>
      <c r="O453" s="223"/>
      <c r="P453" s="1020"/>
      <c r="Q453" s="1488"/>
      <c r="R453" s="223"/>
      <c r="S453" s="223"/>
      <c r="T453" s="223"/>
      <c r="U453" s="1020"/>
      <c r="V453" s="1488" t="s">
        <v>116</v>
      </c>
      <c r="W453" s="223" t="s">
        <v>116</v>
      </c>
      <c r="X453" s="223" t="s">
        <v>116</v>
      </c>
      <c r="Y453" s="223" t="s">
        <v>116</v>
      </c>
      <c r="Z453" s="1020"/>
      <c r="AA453" s="1488" t="s">
        <v>116</v>
      </c>
      <c r="AB453" s="223" t="s">
        <v>116</v>
      </c>
      <c r="AC453" s="223" t="s">
        <v>116</v>
      </c>
      <c r="AD453" s="223" t="s">
        <v>116</v>
      </c>
      <c r="AE453" s="1020"/>
      <c r="AF453" s="1488" t="s">
        <v>116</v>
      </c>
      <c r="AG453" s="223" t="s">
        <v>116</v>
      </c>
      <c r="AH453" s="223" t="s">
        <v>116</v>
      </c>
      <c r="AI453" s="223" t="s">
        <v>116</v>
      </c>
      <c r="AJ453" s="1020"/>
      <c r="AK453" s="1488" t="s">
        <v>116</v>
      </c>
      <c r="AL453" s="223" t="s">
        <v>116</v>
      </c>
      <c r="AM453" s="223" t="s">
        <v>116</v>
      </c>
      <c r="AN453" s="236">
        <v>0.22</v>
      </c>
      <c r="AO453" s="1020"/>
      <c r="AP453" s="2485">
        <v>0.13</v>
      </c>
      <c r="AQ453" s="237">
        <v>0</v>
      </c>
      <c r="AR453" s="237">
        <v>0.05</v>
      </c>
      <c r="AS453" s="237">
        <v>0.09</v>
      </c>
      <c r="AT453" s="1020"/>
      <c r="AU453" s="2485">
        <v>0.04</v>
      </c>
      <c r="AV453" s="237">
        <v>-0.01</v>
      </c>
      <c r="AW453" s="237">
        <v>0.04</v>
      </c>
      <c r="AX453" s="237">
        <v>0.1</v>
      </c>
      <c r="AY453" s="1020"/>
      <c r="AZ453" s="2485">
        <v>0.03</v>
      </c>
      <c r="BA453" s="237">
        <v>-0.02</v>
      </c>
      <c r="BB453" s="237">
        <v>0.04</v>
      </c>
      <c r="BC453" s="237">
        <v>0.09</v>
      </c>
      <c r="BD453" s="1020"/>
      <c r="BE453" s="2486">
        <v>0.05</v>
      </c>
      <c r="BF453" s="238">
        <v>-0.03</v>
      </c>
      <c r="BG453" s="238">
        <v>0.04</v>
      </c>
      <c r="BH453" s="238">
        <v>0.11</v>
      </c>
      <c r="BI453" s="1020"/>
      <c r="BJ453" s="2486">
        <v>0.04</v>
      </c>
      <c r="BK453" s="238">
        <v>-0.02</v>
      </c>
      <c r="BL453" s="238">
        <v>0.13100000000000001</v>
      </c>
      <c r="BM453" s="238">
        <v>0.17</v>
      </c>
      <c r="BN453" s="1020"/>
      <c r="BO453" s="223"/>
      <c r="BP453" s="223"/>
      <c r="BQ453" s="223"/>
      <c r="BR453" s="223"/>
      <c r="BS453" s="1050"/>
      <c r="BT453" s="238">
        <v>7.0000000000000007E-2</v>
      </c>
      <c r="BU453" s="238">
        <v>0.01</v>
      </c>
      <c r="BV453" s="238">
        <v>0.06</v>
      </c>
      <c r="BW453" s="238">
        <v>0.09</v>
      </c>
      <c r="BX453" s="1020"/>
      <c r="BY453" s="223"/>
      <c r="BZ453" s="223"/>
      <c r="CA453" s="223"/>
      <c r="CB453" s="223"/>
      <c r="CC453" s="1050"/>
      <c r="CD453" s="2486">
        <v>0.03</v>
      </c>
      <c r="CE453" s="238">
        <v>0.04</v>
      </c>
      <c r="CF453" s="238">
        <v>0.08</v>
      </c>
      <c r="CG453" s="238">
        <v>0.13</v>
      </c>
      <c r="CH453" s="1020"/>
      <c r="CI453" s="589">
        <v>-0.01</v>
      </c>
      <c r="CJ453" s="238">
        <v>0.02</v>
      </c>
      <c r="CK453" s="238">
        <v>0.02</v>
      </c>
      <c r="CL453" s="238">
        <v>0.11</v>
      </c>
      <c r="CM453" s="1020"/>
      <c r="CN453" s="238">
        <v>-0.01</v>
      </c>
      <c r="CO453" s="238">
        <v>7.0000000000000007E-2</v>
      </c>
      <c r="CP453" s="238">
        <v>0.06</v>
      </c>
      <c r="CQ453" s="238">
        <v>0.17</v>
      </c>
      <c r="CR453" s="1020"/>
      <c r="CS453" s="237">
        <v>-0.02</v>
      </c>
      <c r="CT453" s="238">
        <v>7.0000000000000007E-2</v>
      </c>
      <c r="CU453" s="238">
        <v>0.09</v>
      </c>
      <c r="CV453" s="238">
        <v>0.22</v>
      </c>
      <c r="CW453" s="1020"/>
      <c r="CX453" s="238">
        <v>0.02</v>
      </c>
      <c r="CY453" s="238">
        <v>0.12</v>
      </c>
      <c r="CZ453" s="238">
        <v>0.06</v>
      </c>
      <c r="DA453" s="238">
        <v>0.18</v>
      </c>
      <c r="DB453" s="1020"/>
      <c r="DC453" s="238">
        <v>0.11</v>
      </c>
      <c r="DD453" s="3545"/>
      <c r="DE453" s="2007"/>
      <c r="DF453" s="2007"/>
      <c r="DG453" s="2933"/>
      <c r="DH453" s="2007"/>
      <c r="DI453" s="2007"/>
      <c r="DJ453" s="2007"/>
      <c r="DK453" s="2007"/>
      <c r="DL453" s="2933"/>
      <c r="DM453" s="2007"/>
      <c r="DN453" s="2007"/>
      <c r="DO453" s="2007"/>
      <c r="DP453" s="2007"/>
      <c r="DQ453" s="2933"/>
      <c r="DR453" s="2007"/>
      <c r="DS453" s="2007"/>
      <c r="DT453" s="2007"/>
      <c r="DU453" s="2007"/>
      <c r="DV453" s="2933"/>
      <c r="DW453" s="2007"/>
      <c r="DX453" s="2007"/>
      <c r="DY453" s="2007"/>
      <c r="DZ453" s="2007"/>
      <c r="EA453" s="2933"/>
      <c r="EB453" s="2007"/>
      <c r="EC453" s="2007"/>
      <c r="ED453" s="2007"/>
      <c r="EE453" s="2007"/>
      <c r="EF453" s="2933"/>
      <c r="EG453" s="2007"/>
      <c r="EH453" s="2007"/>
      <c r="EI453" s="2007"/>
      <c r="EJ453" s="2007"/>
      <c r="EK453" s="2933"/>
      <c r="EL453" s="2007"/>
      <c r="EM453" s="2007"/>
      <c r="EN453" s="2007"/>
      <c r="EO453" s="2007"/>
      <c r="EP453" s="2933"/>
      <c r="EQ453" s="2007"/>
      <c r="ER453" s="2007"/>
      <c r="ES453" s="2007"/>
      <c r="ET453" s="2007"/>
      <c r="EU453" s="2933"/>
      <c r="EV453" s="2933"/>
      <c r="EW453" s="2933"/>
      <c r="EX453" s="2933"/>
      <c r="EY453" s="2933"/>
      <c r="EZ453" s="223"/>
      <c r="FA453" s="715"/>
      <c r="FB453" s="715"/>
    </row>
    <row r="454" spans="1:158" s="234" customFormat="1" ht="11.25" hidden="1" customHeight="1">
      <c r="A454" s="1555"/>
      <c r="B454" s="2242"/>
      <c r="C454" s="209"/>
      <c r="D454" s="209"/>
      <c r="E454" s="209"/>
      <c r="F454" s="209"/>
      <c r="G454" s="209"/>
      <c r="H454" s="209"/>
      <c r="I454" s="209"/>
      <c r="J454" s="209"/>
      <c r="K454" s="1019"/>
      <c r="L454" s="209"/>
      <c r="M454" s="209"/>
      <c r="N454" s="209"/>
      <c r="O454" s="209"/>
      <c r="P454" s="1019"/>
      <c r="Q454" s="2242"/>
      <c r="R454" s="209"/>
      <c r="S454" s="209"/>
      <c r="T454" s="209"/>
      <c r="U454" s="1019"/>
      <c r="V454" s="2242"/>
      <c r="W454" s="209"/>
      <c r="X454" s="209"/>
      <c r="Y454" s="209"/>
      <c r="Z454" s="1019"/>
      <c r="AA454" s="2242"/>
      <c r="AB454" s="209"/>
      <c r="AC454" s="209"/>
      <c r="AD454" s="209"/>
      <c r="AE454" s="1019"/>
      <c r="AF454" s="2242"/>
      <c r="AG454" s="209"/>
      <c r="AH454" s="209"/>
      <c r="AI454" s="209"/>
      <c r="AJ454" s="1019"/>
      <c r="AK454" s="2242"/>
      <c r="AL454" s="209"/>
      <c r="AM454" s="209"/>
      <c r="AN454" s="169"/>
      <c r="AO454" s="1019"/>
      <c r="AP454" s="2242"/>
      <c r="AQ454" s="209"/>
      <c r="AR454" s="209"/>
      <c r="AS454" s="209"/>
      <c r="AT454" s="1019"/>
      <c r="AU454" s="2242"/>
      <c r="AV454" s="209"/>
      <c r="AW454" s="209"/>
      <c r="AX454" s="209"/>
      <c r="AY454" s="1019"/>
      <c r="AZ454" s="2242"/>
      <c r="BA454" s="209"/>
      <c r="BB454" s="209"/>
      <c r="BC454" s="209"/>
      <c r="BD454" s="1019"/>
      <c r="BE454" s="2243"/>
      <c r="BF454" s="241"/>
      <c r="BG454" s="241"/>
      <c r="BH454" s="241"/>
      <c r="BI454" s="1019"/>
      <c r="BJ454" s="223"/>
      <c r="BK454" s="223"/>
      <c r="BL454" s="223"/>
      <c r="BM454" s="223"/>
      <c r="BN454" s="1019"/>
      <c r="BO454" s="209"/>
      <c r="BP454" s="209"/>
      <c r="BQ454" s="209"/>
      <c r="BR454" s="209"/>
      <c r="BS454" s="2244"/>
      <c r="BT454" s="209"/>
      <c r="BU454" s="223"/>
      <c r="BV454" s="209"/>
      <c r="BW454" s="223"/>
      <c r="BX454" s="1019"/>
      <c r="BY454" s="209"/>
      <c r="BZ454" s="209"/>
      <c r="CA454" s="209"/>
      <c r="CB454" s="209"/>
      <c r="CC454" s="2244"/>
      <c r="CD454" s="209"/>
      <c r="CE454" s="223"/>
      <c r="CF454" s="209"/>
      <c r="CG454" s="223"/>
      <c r="CH454" s="1019"/>
      <c r="CI454" s="556"/>
      <c r="CJ454" s="223"/>
      <c r="CK454" s="209"/>
      <c r="CL454" s="223"/>
      <c r="CM454" s="1019"/>
      <c r="CN454" s="209"/>
      <c r="CO454" s="223"/>
      <c r="CP454" s="209"/>
      <c r="CQ454" s="223"/>
      <c r="CR454" s="1019"/>
      <c r="CS454" s="209"/>
      <c r="CT454" s="209"/>
      <c r="CU454" s="209"/>
      <c r="CV454" s="241"/>
      <c r="CW454" s="1019"/>
      <c r="CX454" s="209"/>
      <c r="CY454" s="209"/>
      <c r="CZ454" s="209"/>
      <c r="DA454" s="209"/>
      <c r="DB454" s="1019"/>
      <c r="DC454" s="209"/>
      <c r="DD454" s="3546"/>
      <c r="DE454" s="2008"/>
      <c r="DF454" s="2008"/>
      <c r="DG454" s="2009"/>
      <c r="DH454" s="2008"/>
      <c r="DI454" s="2008"/>
      <c r="DJ454" s="2008"/>
      <c r="DK454" s="2008"/>
      <c r="DL454" s="2009"/>
      <c r="DM454" s="2008"/>
      <c r="DN454" s="2008"/>
      <c r="DO454" s="2008"/>
      <c r="DP454" s="2008"/>
      <c r="DQ454" s="2009"/>
      <c r="DR454" s="2008"/>
      <c r="DS454" s="2008"/>
      <c r="DT454" s="2008"/>
      <c r="DU454" s="2008"/>
      <c r="DV454" s="2009"/>
      <c r="DW454" s="2008"/>
      <c r="DX454" s="2008"/>
      <c r="DY454" s="2008"/>
      <c r="DZ454" s="2008"/>
      <c r="EA454" s="2009"/>
      <c r="EB454" s="2008"/>
      <c r="EC454" s="2008"/>
      <c r="ED454" s="2008"/>
      <c r="EE454" s="2008"/>
      <c r="EF454" s="2009"/>
      <c r="EG454" s="2008"/>
      <c r="EH454" s="2008"/>
      <c r="EI454" s="2008"/>
      <c r="EJ454" s="2008"/>
      <c r="EK454" s="2009"/>
      <c r="EL454" s="2008"/>
      <c r="EM454" s="2008"/>
      <c r="EN454" s="2008"/>
      <c r="EO454" s="2008"/>
      <c r="EP454" s="2009"/>
      <c r="EQ454" s="2008"/>
      <c r="ER454" s="2008"/>
      <c r="ES454" s="2008"/>
      <c r="ET454" s="2008"/>
      <c r="EU454" s="2009"/>
      <c r="EV454" s="2009"/>
      <c r="EW454" s="2009"/>
      <c r="EX454" s="2009"/>
      <c r="EY454" s="2009"/>
      <c r="EZ454" s="209"/>
      <c r="FA454" s="715"/>
      <c r="FB454" s="715"/>
    </row>
    <row r="455" spans="1:158" s="129" customFormat="1" ht="11.25" hidden="1" customHeight="1">
      <c r="A455" s="2350" t="s">
        <v>650</v>
      </c>
      <c r="B455" s="1882"/>
      <c r="C455" s="174"/>
      <c r="D455" s="174"/>
      <c r="E455" s="174"/>
      <c r="F455" s="174"/>
      <c r="G455" s="174"/>
      <c r="H455" s="174"/>
      <c r="I455" s="174"/>
      <c r="J455" s="174"/>
      <c r="K455" s="2487"/>
      <c r="L455" s="174"/>
      <c r="M455" s="174"/>
      <c r="N455" s="174"/>
      <c r="O455" s="174"/>
      <c r="P455" s="1020"/>
      <c r="Q455" s="1882"/>
      <c r="R455" s="174"/>
      <c r="S455" s="174"/>
      <c r="T455" s="174"/>
      <c r="U455" s="1020"/>
      <c r="V455" s="1882"/>
      <c r="W455" s="174"/>
      <c r="X455" s="226"/>
      <c r="Y455" s="174"/>
      <c r="Z455" s="1020"/>
      <c r="AA455" s="1882"/>
      <c r="AB455" s="174"/>
      <c r="AC455" s="226"/>
      <c r="AD455" s="174"/>
      <c r="AE455" s="1020"/>
      <c r="AF455" s="1882"/>
      <c r="AG455" s="174"/>
      <c r="AH455" s="226"/>
      <c r="AI455" s="174"/>
      <c r="AJ455" s="1020"/>
      <c r="AK455" s="1882"/>
      <c r="AL455" s="174"/>
      <c r="AM455" s="174"/>
      <c r="AN455" s="174"/>
      <c r="AO455" s="1020"/>
      <c r="AP455" s="1882"/>
      <c r="AQ455" s="174"/>
      <c r="AR455" s="174"/>
      <c r="AS455" s="174"/>
      <c r="AT455" s="1020"/>
      <c r="AU455" s="1882"/>
      <c r="AV455" s="174"/>
      <c r="AW455" s="174"/>
      <c r="AX455" s="174"/>
      <c r="AY455" s="1020"/>
      <c r="AZ455" s="1226"/>
      <c r="BA455" s="209"/>
      <c r="BB455" s="174"/>
      <c r="BC455" s="174"/>
      <c r="BD455" s="1020"/>
      <c r="BE455" s="2488"/>
      <c r="BF455" s="242"/>
      <c r="BG455" s="242"/>
      <c r="BH455" s="242"/>
      <c r="BI455" s="1020"/>
      <c r="BJ455" s="2488"/>
      <c r="BK455" s="174"/>
      <c r="BL455" s="174"/>
      <c r="BM455" s="174"/>
      <c r="BN455" s="1020"/>
      <c r="BO455" s="223"/>
      <c r="BP455" s="223"/>
      <c r="BQ455" s="223"/>
      <c r="BR455" s="223"/>
      <c r="BS455" s="1050"/>
      <c r="BT455" s="174"/>
      <c r="BU455" s="174"/>
      <c r="BV455" s="174"/>
      <c r="BW455" s="174"/>
      <c r="BX455" s="1020"/>
      <c r="BY455" s="223"/>
      <c r="BZ455" s="223"/>
      <c r="CA455" s="223"/>
      <c r="CB455" s="223"/>
      <c r="CC455" s="1050"/>
      <c r="CD455" s="174"/>
      <c r="CE455" s="174"/>
      <c r="CF455" s="174"/>
      <c r="CG455" s="174"/>
      <c r="CH455" s="1020"/>
      <c r="CI455" s="560"/>
      <c r="CJ455" s="174"/>
      <c r="CK455" s="174"/>
      <c r="CL455" s="174"/>
      <c r="CM455" s="1020"/>
      <c r="CN455" s="223"/>
      <c r="CO455" s="223"/>
      <c r="CP455" s="174"/>
      <c r="CQ455" s="174"/>
      <c r="CR455" s="1020"/>
      <c r="CS455" s="223"/>
      <c r="CT455" s="223"/>
      <c r="CU455" s="223"/>
      <c r="CV455" s="238"/>
      <c r="CW455" s="1020"/>
      <c r="CX455" s="223"/>
      <c r="CY455" s="223"/>
      <c r="CZ455" s="223"/>
      <c r="DA455" s="223"/>
      <c r="DB455" s="1020"/>
      <c r="DC455" s="223"/>
      <c r="DD455" s="3544"/>
      <c r="DE455" s="2007"/>
      <c r="DF455" s="2007"/>
      <c r="DG455" s="2933"/>
      <c r="DH455" s="2007"/>
      <c r="DI455" s="2007"/>
      <c r="DJ455" s="2007"/>
      <c r="DK455" s="2007"/>
      <c r="DL455" s="2933"/>
      <c r="DM455" s="2007"/>
      <c r="DN455" s="2007"/>
      <c r="DO455" s="2007"/>
      <c r="DP455" s="2007"/>
      <c r="DQ455" s="2933"/>
      <c r="DR455" s="2007"/>
      <c r="DS455" s="2007"/>
      <c r="DT455" s="2007"/>
      <c r="DU455" s="2007"/>
      <c r="DV455" s="2933"/>
      <c r="DW455" s="2007"/>
      <c r="DX455" s="2007"/>
      <c r="DY455" s="2007"/>
      <c r="DZ455" s="2007"/>
      <c r="EA455" s="2933"/>
      <c r="EB455" s="2007"/>
      <c r="EC455" s="2007"/>
      <c r="ED455" s="2007"/>
      <c r="EE455" s="2007"/>
      <c r="EF455" s="2933"/>
      <c r="EG455" s="2007"/>
      <c r="EH455" s="2007"/>
      <c r="EI455" s="2007"/>
      <c r="EJ455" s="2007"/>
      <c r="EK455" s="2933"/>
      <c r="EL455" s="2007"/>
      <c r="EM455" s="2007"/>
      <c r="EN455" s="2007"/>
      <c r="EO455" s="2007"/>
      <c r="EP455" s="2933"/>
      <c r="EQ455" s="2007"/>
      <c r="ER455" s="2007"/>
      <c r="ES455" s="2007"/>
      <c r="ET455" s="2007"/>
      <c r="EU455" s="2933"/>
      <c r="EV455" s="2933"/>
      <c r="EW455" s="2933"/>
      <c r="EX455" s="2933"/>
      <c r="EY455" s="2933"/>
      <c r="EZ455" s="174"/>
      <c r="FA455" s="715"/>
      <c r="FB455" s="715"/>
    </row>
    <row r="456" spans="1:158" s="239" customFormat="1" ht="11.25" hidden="1" customHeight="1">
      <c r="A456" s="1572" t="s">
        <v>45</v>
      </c>
      <c r="B456" s="1488"/>
      <c r="C456" s="223"/>
      <c r="D456" s="223"/>
      <c r="E456" s="223"/>
      <c r="F456" s="223"/>
      <c r="G456" s="223"/>
      <c r="H456" s="223"/>
      <c r="I456" s="223"/>
      <c r="J456" s="223"/>
      <c r="K456" s="1020"/>
      <c r="L456" s="223"/>
      <c r="M456" s="223"/>
      <c r="N456" s="223"/>
      <c r="O456" s="223"/>
      <c r="P456" s="992"/>
      <c r="Q456" s="1488"/>
      <c r="R456" s="223"/>
      <c r="S456" s="223"/>
      <c r="T456" s="223"/>
      <c r="U456" s="992"/>
      <c r="V456" s="1488" t="s">
        <v>116</v>
      </c>
      <c r="W456" s="223" t="s">
        <v>116</v>
      </c>
      <c r="X456" s="223" t="s">
        <v>116</v>
      </c>
      <c r="Y456" s="223" t="s">
        <v>116</v>
      </c>
      <c r="Z456" s="992"/>
      <c r="AA456" s="1488" t="s">
        <v>116</v>
      </c>
      <c r="AB456" s="223" t="s">
        <v>116</v>
      </c>
      <c r="AC456" s="223" t="s">
        <v>116</v>
      </c>
      <c r="AD456" s="223" t="s">
        <v>116</v>
      </c>
      <c r="AE456" s="992"/>
      <c r="AF456" s="1488" t="s">
        <v>116</v>
      </c>
      <c r="AG456" s="223" t="s">
        <v>116</v>
      </c>
      <c r="AH456" s="223" t="s">
        <v>116</v>
      </c>
      <c r="AI456" s="223" t="s">
        <v>116</v>
      </c>
      <c r="AJ456" s="992" t="s">
        <v>116</v>
      </c>
      <c r="AK456" s="1488" t="s">
        <v>116</v>
      </c>
      <c r="AL456" s="223" t="s">
        <v>116</v>
      </c>
      <c r="AM456" s="223" t="s">
        <v>116</v>
      </c>
      <c r="AN456" s="169">
        <f>((1+AN476)/(1+AN452))-1</f>
        <v>3.9649790594122436E-2</v>
      </c>
      <c r="AO456" s="992" t="s">
        <v>116</v>
      </c>
      <c r="AP456" s="1226">
        <f>((1+AP476)/(1+AP452))-1</f>
        <v>7.2241438130907554E-2</v>
      </c>
      <c r="AQ456" s="169">
        <f>((1+AQ476)/(1+AQ452))-1</f>
        <v>7.4963453089306409E-2</v>
      </c>
      <c r="AR456" s="169">
        <f>((1+AR476)/(1+AR452))-1</f>
        <v>8.4977682214158134E-2</v>
      </c>
      <c r="AS456" s="169">
        <f>((1+AS476)/(1+AS452))-1</f>
        <v>0.15263751835697681</v>
      </c>
      <c r="AT456" s="992">
        <f>AVERAGE(AP456:AS456)</f>
        <v>9.6205022947837227E-2</v>
      </c>
      <c r="AU456" s="1226">
        <f>((1+AU476)/(1+AU452))-1</f>
        <v>0.16853115365706861</v>
      </c>
      <c r="AV456" s="169">
        <f>((1+AV476)/(1+AV452))-1</f>
        <v>0.13525609110811176</v>
      </c>
      <c r="AW456" s="169">
        <f>((1+AW476)/(1+AW452))-1</f>
        <v>8.2609951439147178E-2</v>
      </c>
      <c r="AX456" s="169">
        <f>((1+AX476)/(1+AX452))-1</f>
        <v>-1.9440200117480377E-2</v>
      </c>
      <c r="AY456" s="992">
        <v>7.0000000000000007E-2</v>
      </c>
      <c r="AZ456" s="2472">
        <v>-0.14000000000000001</v>
      </c>
      <c r="BA456" s="236">
        <v>-0.13</v>
      </c>
      <c r="BB456" s="236">
        <v>-0.06</v>
      </c>
      <c r="BC456" s="243">
        <v>0.05</v>
      </c>
      <c r="BD456" s="992">
        <v>-7.0000000000000007E-2</v>
      </c>
      <c r="BE456" s="2473">
        <v>7.0000000000000007E-2</v>
      </c>
      <c r="BF456" s="244">
        <v>0.04</v>
      </c>
      <c r="BG456" s="244">
        <v>0.03</v>
      </c>
      <c r="BH456" s="245">
        <v>0.05</v>
      </c>
      <c r="BI456" s="992">
        <f>((1+BI476)/(1+BI452))-1</f>
        <v>6.3462263486760984E-2</v>
      </c>
      <c r="BJ456" s="2473">
        <v>0.08</v>
      </c>
      <c r="BK456" s="244">
        <v>0.12</v>
      </c>
      <c r="BL456" s="244">
        <v>0.05</v>
      </c>
      <c r="BM456" s="244">
        <v>-0.08</v>
      </c>
      <c r="BN456" s="992">
        <f>((1+BN476)/(1+BN452))-1</f>
        <v>3.9175827833219712E-2</v>
      </c>
      <c r="BO456" s="169"/>
      <c r="BP456" s="169"/>
      <c r="BQ456" s="169"/>
      <c r="BR456" s="169"/>
      <c r="BS456" s="600"/>
      <c r="BT456" s="244">
        <v>-0.12</v>
      </c>
      <c r="BU456" s="244">
        <v>-0.16</v>
      </c>
      <c r="BV456" s="244">
        <v>-0.15</v>
      </c>
      <c r="BW456" s="244">
        <v>-0.06</v>
      </c>
      <c r="BX456" s="992">
        <f>((1+BX476)/(1+BX452))-1</f>
        <v>-0.11088397805235239</v>
      </c>
      <c r="BY456" s="169"/>
      <c r="BZ456" s="169"/>
      <c r="CA456" s="169"/>
      <c r="CB456" s="169"/>
      <c r="CC456" s="600"/>
      <c r="CD456" s="2473">
        <v>-0.04</v>
      </c>
      <c r="CE456" s="244">
        <v>-0.06</v>
      </c>
      <c r="CF456" s="244">
        <v>-0.08</v>
      </c>
      <c r="CG456" s="244">
        <v>-0.11</v>
      </c>
      <c r="CH456" s="992">
        <f>((1+CH476)/(1+CH452))-1</f>
        <v>-6.4743853866227163E-2</v>
      </c>
      <c r="CI456" s="588">
        <v>-0.09</v>
      </c>
      <c r="CJ456" s="244">
        <v>-0.06</v>
      </c>
      <c r="CK456" s="244">
        <v>-0.02</v>
      </c>
      <c r="CL456" s="244">
        <v>-0.03</v>
      </c>
      <c r="CM456" s="992">
        <f>((1+CM476)/(1+CM452))-1</f>
        <v>-3.1161929720567083E-2</v>
      </c>
      <c r="CN456" s="244">
        <v>-7.0000000000000007E-2</v>
      </c>
      <c r="CO456" s="244">
        <v>-0.11</v>
      </c>
      <c r="CP456" s="244">
        <v>-0.11</v>
      </c>
      <c r="CQ456" s="244">
        <v>-0.13</v>
      </c>
      <c r="CR456" s="992">
        <f>((1+CR476)/(1+CR452))-1</f>
        <v>-6.7835411188464922E-2</v>
      </c>
      <c r="CS456" s="236">
        <v>-0.08</v>
      </c>
      <c r="CT456" s="244">
        <v>-0.06</v>
      </c>
      <c r="CU456" s="244">
        <v>-0.1</v>
      </c>
      <c r="CV456" s="244">
        <v>-0.17</v>
      </c>
      <c r="CW456" s="992">
        <f>((1+CW476)/(1+CW452))-1</f>
        <v>-0.11453483694062372</v>
      </c>
      <c r="CX456" s="244">
        <v>-0.19</v>
      </c>
      <c r="CY456" s="244">
        <v>-0.23</v>
      </c>
      <c r="CZ456" s="244">
        <v>-0.18</v>
      </c>
      <c r="DA456" s="244">
        <v>-0.14000000000000001</v>
      </c>
      <c r="DB456" s="992">
        <f>((1+DB476)/(1+DB452))-1</f>
        <v>-0.17811424333681269</v>
      </c>
      <c r="DC456" s="244">
        <v>-0.18</v>
      </c>
      <c r="DD456" s="3547"/>
      <c r="DE456" s="2660"/>
      <c r="DF456" s="2660"/>
      <c r="DG456" s="2597"/>
      <c r="DH456" s="2660"/>
      <c r="DI456" s="2660"/>
      <c r="DJ456" s="2660"/>
      <c r="DK456" s="2660"/>
      <c r="DL456" s="2597"/>
      <c r="DM456" s="2660"/>
      <c r="DN456" s="2660"/>
      <c r="DO456" s="2660"/>
      <c r="DP456" s="2660"/>
      <c r="DQ456" s="2597"/>
      <c r="DR456" s="2660"/>
      <c r="DS456" s="2660"/>
      <c r="DT456" s="2660"/>
      <c r="DU456" s="2660"/>
      <c r="DV456" s="2597"/>
      <c r="DW456" s="2660"/>
      <c r="DX456" s="2660"/>
      <c r="DY456" s="2660"/>
      <c r="DZ456" s="2660"/>
      <c r="EA456" s="2597"/>
      <c r="EB456" s="2660"/>
      <c r="EC456" s="2660"/>
      <c r="ED456" s="2660"/>
      <c r="EE456" s="2660"/>
      <c r="EF456" s="2597"/>
      <c r="EG456" s="2660"/>
      <c r="EH456" s="2660"/>
      <c r="EI456" s="2660"/>
      <c r="EJ456" s="2660"/>
      <c r="EK456" s="2597"/>
      <c r="EL456" s="2660"/>
      <c r="EM456" s="2660"/>
      <c r="EN456" s="2660"/>
      <c r="EO456" s="2660"/>
      <c r="EP456" s="2597"/>
      <c r="EQ456" s="2660"/>
      <c r="ER456" s="2660"/>
      <c r="ES456" s="2660"/>
      <c r="ET456" s="2660"/>
      <c r="EU456" s="2597"/>
      <c r="EV456" s="2597"/>
      <c r="EW456" s="2597"/>
      <c r="EX456" s="2597"/>
      <c r="EY456" s="2597"/>
      <c r="EZ456" s="223"/>
      <c r="FA456" s="715"/>
      <c r="FB456" s="715"/>
    </row>
    <row r="457" spans="1:158" s="239" customFormat="1" ht="11.25" hidden="1" customHeight="1">
      <c r="A457" s="1572" t="s">
        <v>654</v>
      </c>
      <c r="B457" s="1488"/>
      <c r="C457" s="223"/>
      <c r="D457" s="223"/>
      <c r="E457" s="223"/>
      <c r="F457" s="223"/>
      <c r="G457" s="223"/>
      <c r="H457" s="223"/>
      <c r="I457" s="223"/>
      <c r="J457" s="223"/>
      <c r="K457" s="1020"/>
      <c r="L457" s="223"/>
      <c r="M457" s="223"/>
      <c r="N457" s="223"/>
      <c r="O457" s="223"/>
      <c r="P457" s="2351"/>
      <c r="Q457" s="1488"/>
      <c r="R457" s="223"/>
      <c r="S457" s="223"/>
      <c r="T457" s="223"/>
      <c r="U457" s="2351"/>
      <c r="V457" s="1488"/>
      <c r="W457" s="223"/>
      <c r="X457" s="223"/>
      <c r="Y457" s="223"/>
      <c r="Z457" s="2351"/>
      <c r="AA457" s="1488"/>
      <c r="AB457" s="223"/>
      <c r="AC457" s="223"/>
      <c r="AD457" s="223"/>
      <c r="AE457" s="2351"/>
      <c r="AF457" s="1488"/>
      <c r="AG457" s="223"/>
      <c r="AH457" s="223"/>
      <c r="AI457" s="223"/>
      <c r="AJ457" s="2351"/>
      <c r="AK457" s="1488"/>
      <c r="AL457" s="223"/>
      <c r="AM457" s="223"/>
      <c r="AN457" s="169"/>
      <c r="AO457" s="2351"/>
      <c r="AP457" s="1226"/>
      <c r="AQ457" s="169"/>
      <c r="AR457" s="169"/>
      <c r="AS457" s="169"/>
      <c r="AT457" s="2351"/>
      <c r="AU457" s="1226"/>
      <c r="AV457" s="169"/>
      <c r="AW457" s="169"/>
      <c r="AX457" s="169"/>
      <c r="AY457" s="2351"/>
      <c r="AZ457" s="2472"/>
      <c r="BA457" s="236"/>
      <c r="BB457" s="236"/>
      <c r="BC457" s="236"/>
      <c r="BD457" s="2351"/>
      <c r="BE457" s="2473"/>
      <c r="BF457" s="244"/>
      <c r="BG457" s="244"/>
      <c r="BH457" s="244"/>
      <c r="BI457" s="2351"/>
      <c r="BJ457" s="2473"/>
      <c r="BK457" s="244"/>
      <c r="BL457" s="244"/>
      <c r="BM457" s="244"/>
      <c r="BN457" s="2351"/>
      <c r="BO457" s="2352"/>
      <c r="BP457" s="2352"/>
      <c r="BQ457" s="2352"/>
      <c r="BR457" s="2352"/>
      <c r="BS457" s="2489"/>
      <c r="BT457" s="244"/>
      <c r="BU457" s="244"/>
      <c r="BV457" s="244"/>
      <c r="BW457" s="244"/>
      <c r="BX457" s="2489"/>
      <c r="BY457" s="2352"/>
      <c r="BZ457" s="2352"/>
      <c r="CA457" s="2352"/>
      <c r="CB457" s="2352"/>
      <c r="CC457" s="2489"/>
      <c r="CD457" s="1226">
        <f t="shared" ref="CD457:DB457" si="1272">(1+CD477)/(1+CD452)-1</f>
        <v>-1.6058408348606723E-2</v>
      </c>
      <c r="CE457" s="169">
        <f t="shared" si="1272"/>
        <v>-5.1992491890609616E-2</v>
      </c>
      <c r="CF457" s="169">
        <f t="shared" si="1272"/>
        <v>-7.0315531673787901E-2</v>
      </c>
      <c r="CG457" s="169">
        <f t="shared" si="1272"/>
        <v>-9.9415709545342623E-2</v>
      </c>
      <c r="CH457" s="1050">
        <f t="shared" si="1272"/>
        <v>-6.0312337303103591E-2</v>
      </c>
      <c r="CI457" s="550">
        <f t="shared" si="1272"/>
        <v>-7.6657787488142337E-2</v>
      </c>
      <c r="CJ457" s="169">
        <f t="shared" si="1272"/>
        <v>-4.7906747660482751E-2</v>
      </c>
      <c r="CK457" s="169">
        <f t="shared" si="1272"/>
        <v>1.0801127532338306E-3</v>
      </c>
      <c r="CL457" s="169">
        <f t="shared" si="1272"/>
        <v>7.0491588678862627E-3</v>
      </c>
      <c r="CM457" s="1050">
        <f t="shared" si="1272"/>
        <v>-3.1161929720567083E-2</v>
      </c>
      <c r="CN457" s="169">
        <f t="shared" si="1272"/>
        <v>-1.9511766427824817E-2</v>
      </c>
      <c r="CO457" s="169">
        <f t="shared" si="1272"/>
        <v>-6.3400913276173587E-2</v>
      </c>
      <c r="CP457" s="169">
        <f t="shared" si="1272"/>
        <v>-7.9413668630613388E-2</v>
      </c>
      <c r="CQ457" s="169">
        <f t="shared" si="1272"/>
        <v>-0.10703545412803028</v>
      </c>
      <c r="CR457" s="1050">
        <f t="shared" si="1272"/>
        <v>-6.7835411188464922E-2</v>
      </c>
      <c r="CS457" s="223">
        <f t="shared" si="1272"/>
        <v>-9.9239602265797311E-2</v>
      </c>
      <c r="CT457" s="223">
        <f t="shared" si="1272"/>
        <v>-6.6624929788429044E-2</v>
      </c>
      <c r="CU457" s="223">
        <f t="shared" si="1272"/>
        <v>-0.10518389303920561</v>
      </c>
      <c r="CV457" s="223">
        <f t="shared" si="1272"/>
        <v>-0.15534183409117142</v>
      </c>
      <c r="CW457" s="1050">
        <f t="shared" si="1272"/>
        <v>-0.11453483694062372</v>
      </c>
      <c r="CX457" s="223">
        <f t="shared" si="1272"/>
        <v>-0.17487513873473914</v>
      </c>
      <c r="CY457" s="223">
        <f t="shared" si="1272"/>
        <v>-0.22082278254797005</v>
      </c>
      <c r="CZ457" s="223">
        <f t="shared" si="1272"/>
        <v>-0.17407051615358826</v>
      </c>
      <c r="DA457" s="223">
        <f t="shared" si="1272"/>
        <v>-0.14996829591231131</v>
      </c>
      <c r="DB457" s="1050">
        <f t="shared" si="1272"/>
        <v>-0.17811424333681269</v>
      </c>
      <c r="DC457" s="223">
        <f>(1+DC477)/(1+DC452)-1</f>
        <v>-0.19721698674633625</v>
      </c>
      <c r="DD457" s="3544"/>
      <c r="DE457" s="2007"/>
      <c r="DF457" s="2007"/>
      <c r="DG457" s="3534"/>
      <c r="DH457" s="2007"/>
      <c r="DI457" s="2007"/>
      <c r="DJ457" s="2007"/>
      <c r="DK457" s="2007"/>
      <c r="DL457" s="3534"/>
      <c r="DM457" s="2007"/>
      <c r="DN457" s="2007"/>
      <c r="DO457" s="2007"/>
      <c r="DP457" s="2007"/>
      <c r="DQ457" s="3534"/>
      <c r="DR457" s="2007"/>
      <c r="DS457" s="2007"/>
      <c r="DT457" s="2007"/>
      <c r="DU457" s="2007"/>
      <c r="DV457" s="3534"/>
      <c r="DW457" s="2007"/>
      <c r="DX457" s="2007"/>
      <c r="DY457" s="2007"/>
      <c r="DZ457" s="2007"/>
      <c r="EA457" s="3534"/>
      <c r="EB457" s="2007"/>
      <c r="EC457" s="2007"/>
      <c r="ED457" s="2007"/>
      <c r="EE457" s="2007"/>
      <c r="EF457" s="3534"/>
      <c r="EG457" s="2007"/>
      <c r="EH457" s="2007"/>
      <c r="EI457" s="2007"/>
      <c r="EJ457" s="2007"/>
      <c r="EK457" s="3534"/>
      <c r="EL457" s="2007"/>
      <c r="EM457" s="2007"/>
      <c r="EN457" s="2007"/>
      <c r="EO457" s="2007"/>
      <c r="EP457" s="3534"/>
      <c r="EQ457" s="2007"/>
      <c r="ER457" s="2007"/>
      <c r="ES457" s="2007"/>
      <c r="ET457" s="2007"/>
      <c r="EU457" s="3534"/>
      <c r="EV457" s="3534"/>
      <c r="EW457" s="3534"/>
      <c r="EX457" s="3534"/>
      <c r="EY457" s="3534"/>
      <c r="EZ457" s="223"/>
      <c r="FA457" s="724"/>
      <c r="FB457" s="724"/>
    </row>
    <row r="458" spans="1:158" s="239" customFormat="1" ht="11.25" hidden="1" customHeight="1">
      <c r="A458" s="1572" t="s">
        <v>46</v>
      </c>
      <c r="B458" s="1488"/>
      <c r="C458" s="223"/>
      <c r="D458" s="223"/>
      <c r="E458" s="223"/>
      <c r="F458" s="223"/>
      <c r="G458" s="223"/>
      <c r="H458" s="223"/>
      <c r="I458" s="223"/>
      <c r="J458" s="223"/>
      <c r="K458" s="1020"/>
      <c r="L458" s="223"/>
      <c r="M458" s="223"/>
      <c r="N458" s="223"/>
      <c r="O458" s="223"/>
      <c r="P458" s="992"/>
      <c r="Q458" s="1488"/>
      <c r="R458" s="223"/>
      <c r="S458" s="223"/>
      <c r="T458" s="223"/>
      <c r="U458" s="992"/>
      <c r="V458" s="1488" t="s">
        <v>116</v>
      </c>
      <c r="W458" s="223" t="s">
        <v>116</v>
      </c>
      <c r="X458" s="223" t="s">
        <v>116</v>
      </c>
      <c r="Y458" s="223" t="s">
        <v>116</v>
      </c>
      <c r="Z458" s="992"/>
      <c r="AA458" s="1488" t="s">
        <v>116</v>
      </c>
      <c r="AB458" s="223" t="s">
        <v>116</v>
      </c>
      <c r="AC458" s="223" t="s">
        <v>116</v>
      </c>
      <c r="AD458" s="223" t="s">
        <v>116</v>
      </c>
      <c r="AE458" s="992"/>
      <c r="AF458" s="1488" t="s">
        <v>116</v>
      </c>
      <c r="AG458" s="223" t="s">
        <v>116</v>
      </c>
      <c r="AH458" s="223" t="s">
        <v>116</v>
      </c>
      <c r="AI458" s="223" t="s">
        <v>116</v>
      </c>
      <c r="AJ458" s="992"/>
      <c r="AK458" s="1488" t="s">
        <v>116</v>
      </c>
      <c r="AL458" s="223" t="s">
        <v>116</v>
      </c>
      <c r="AM458" s="223" t="s">
        <v>116</v>
      </c>
      <c r="AN458" s="169">
        <f>((1+AN478)/(1+AN453))-1</f>
        <v>-2.276177113490907E-2</v>
      </c>
      <c r="AO458" s="992"/>
      <c r="AP458" s="1226">
        <f>((1+AP478)/(1+AP453))-1</f>
        <v>1.1094410379268282E-2</v>
      </c>
      <c r="AQ458" s="169">
        <f>((1+AQ478)/(1+AQ453))-1</f>
        <v>5.8137534631766075E-2</v>
      </c>
      <c r="AR458" s="169">
        <f>((1+AR478)/(1+AR453))-1</f>
        <v>3.9505894665975649E-2</v>
      </c>
      <c r="AS458" s="169">
        <f>((1+AS478)/(1+AS453))-1</f>
        <v>4.1792142595241888E-2</v>
      </c>
      <c r="AT458" s="992">
        <f>AVERAGE(AP458:AS458)</f>
        <v>3.7632495568062974E-2</v>
      </c>
      <c r="AU458" s="1226">
        <f>((1+AU478)/(1+AU453))-1</f>
        <v>2.8068969838327851E-2</v>
      </c>
      <c r="AV458" s="169">
        <f>((1+AV478)/(1+AV453))-1</f>
        <v>2.9736687784408078E-2</v>
      </c>
      <c r="AW458" s="169">
        <f>((1+AW478)/(1+AW453))-1</f>
        <v>-7.5785643265648961E-3</v>
      </c>
      <c r="AX458" s="169">
        <f>((1+AX478)/(1+AX453))-1</f>
        <v>-6.4988483769075289E-2</v>
      </c>
      <c r="AY458" s="992"/>
      <c r="AZ458" s="2472">
        <v>-0.06</v>
      </c>
      <c r="BA458" s="236">
        <v>0.05</v>
      </c>
      <c r="BB458" s="236">
        <v>0.05</v>
      </c>
      <c r="BC458" s="236">
        <v>0.02</v>
      </c>
      <c r="BD458" s="992"/>
      <c r="BE458" s="2473">
        <v>-0.04</v>
      </c>
      <c r="BF458" s="244">
        <v>0.02</v>
      </c>
      <c r="BG458" s="244">
        <v>0.02</v>
      </c>
      <c r="BH458" s="244">
        <v>0.04</v>
      </c>
      <c r="BI458" s="992"/>
      <c r="BJ458" s="2473">
        <v>-0.01</v>
      </c>
      <c r="BK458" s="244">
        <v>0.06</v>
      </c>
      <c r="BL458" s="244">
        <v>-5.3033761299178916E-2</v>
      </c>
      <c r="BM458" s="244">
        <v>-0.08</v>
      </c>
      <c r="BN458" s="992"/>
      <c r="BO458" s="169"/>
      <c r="BP458" s="169"/>
      <c r="BQ458" s="169"/>
      <c r="BR458" s="169"/>
      <c r="BS458" s="600"/>
      <c r="BT458" s="244">
        <v>-0.06</v>
      </c>
      <c r="BU458" s="244">
        <v>0.01</v>
      </c>
      <c r="BV458" s="244">
        <v>-0.03</v>
      </c>
      <c r="BW458" s="244">
        <v>0.02</v>
      </c>
      <c r="BX458" s="992"/>
      <c r="BY458" s="169"/>
      <c r="BZ458" s="169"/>
      <c r="CA458" s="169"/>
      <c r="CB458" s="169"/>
      <c r="CC458" s="600"/>
      <c r="CD458" s="2473">
        <v>-0.04</v>
      </c>
      <c r="CE458" s="244">
        <v>-0.02</v>
      </c>
      <c r="CF458" s="244">
        <v>-0.04</v>
      </c>
      <c r="CG458" s="244">
        <v>-0.02</v>
      </c>
      <c r="CH458" s="992"/>
      <c r="CI458" s="588">
        <v>0</v>
      </c>
      <c r="CJ458" s="244">
        <v>0</v>
      </c>
      <c r="CK458" s="244">
        <v>0</v>
      </c>
      <c r="CL458" s="244">
        <v>-0.03</v>
      </c>
      <c r="CM458" s="992"/>
      <c r="CN458" s="244">
        <v>-0.05</v>
      </c>
      <c r="CO458" s="244">
        <v>-0.04</v>
      </c>
      <c r="CP458" s="244">
        <v>-0.01</v>
      </c>
      <c r="CQ458" s="244">
        <v>-0.05</v>
      </c>
      <c r="CR458" s="992"/>
      <c r="CS458" s="236">
        <v>-0.01</v>
      </c>
      <c r="CT458" s="244">
        <v>-0.01</v>
      </c>
      <c r="CU458" s="244">
        <v>-0.05</v>
      </c>
      <c r="CV458" s="244">
        <v>-0.1</v>
      </c>
      <c r="CW458" s="992"/>
      <c r="CX458" s="244">
        <v>-0.04</v>
      </c>
      <c r="CY458" s="244">
        <v>-0.06</v>
      </c>
      <c r="CZ458" s="244">
        <v>0.01</v>
      </c>
      <c r="DA458" s="244">
        <v>-0.06</v>
      </c>
      <c r="DB458" s="992"/>
      <c r="DC458" s="244">
        <v>-0.09</v>
      </c>
      <c r="DD458" s="3548"/>
      <c r="DE458" s="2660"/>
      <c r="DF458" s="2660"/>
      <c r="DG458" s="2597"/>
      <c r="DH458" s="2660"/>
      <c r="DI458" s="2660"/>
      <c r="DJ458" s="2660"/>
      <c r="DK458" s="2660"/>
      <c r="DL458" s="2597"/>
      <c r="DM458" s="2660"/>
      <c r="DN458" s="2660"/>
      <c r="DO458" s="2660"/>
      <c r="DP458" s="2660"/>
      <c r="DQ458" s="2597"/>
      <c r="DR458" s="2660"/>
      <c r="DS458" s="2660"/>
      <c r="DT458" s="2660"/>
      <c r="DU458" s="2660"/>
      <c r="DV458" s="2597"/>
      <c r="DW458" s="2660"/>
      <c r="DX458" s="2660"/>
      <c r="DY458" s="2660"/>
      <c r="DZ458" s="2660"/>
      <c r="EA458" s="2597"/>
      <c r="EB458" s="2660"/>
      <c r="EC458" s="2660"/>
      <c r="ED458" s="2660"/>
      <c r="EE458" s="2660"/>
      <c r="EF458" s="2597"/>
      <c r="EG458" s="2660"/>
      <c r="EH458" s="2660"/>
      <c r="EI458" s="2660"/>
      <c r="EJ458" s="2660"/>
      <c r="EK458" s="2597"/>
      <c r="EL458" s="2660"/>
      <c r="EM458" s="2660"/>
      <c r="EN458" s="2660"/>
      <c r="EO458" s="2660"/>
      <c r="EP458" s="2597"/>
      <c r="EQ458" s="2660"/>
      <c r="ER458" s="2660"/>
      <c r="ES458" s="2660"/>
      <c r="ET458" s="2660"/>
      <c r="EU458" s="2597"/>
      <c r="EV458" s="2597"/>
      <c r="EW458" s="2597"/>
      <c r="EX458" s="2597"/>
      <c r="EY458" s="2597"/>
      <c r="EZ458" s="223"/>
      <c r="FA458" s="715"/>
      <c r="FB458" s="715"/>
    </row>
    <row r="459" spans="1:158" s="239" customFormat="1" ht="11.25" hidden="1" customHeight="1">
      <c r="A459" s="1572"/>
      <c r="B459" s="1488"/>
      <c r="C459" s="223"/>
      <c r="D459" s="223"/>
      <c r="E459" s="223"/>
      <c r="F459" s="223"/>
      <c r="G459" s="223"/>
      <c r="H459" s="223"/>
      <c r="I459" s="223"/>
      <c r="J459" s="223"/>
      <c r="K459" s="1020"/>
      <c r="L459" s="223"/>
      <c r="M459" s="223"/>
      <c r="N459" s="223"/>
      <c r="O459" s="223"/>
      <c r="P459" s="1020"/>
      <c r="Q459" s="1488"/>
      <c r="R459" s="223"/>
      <c r="S459" s="223"/>
      <c r="T459" s="223"/>
      <c r="U459" s="1020"/>
      <c r="V459" s="1488"/>
      <c r="W459" s="223"/>
      <c r="X459" s="223"/>
      <c r="Y459" s="223"/>
      <c r="Z459" s="1020"/>
      <c r="AA459" s="1488"/>
      <c r="AB459" s="223"/>
      <c r="AC459" s="223"/>
      <c r="AD459" s="223"/>
      <c r="AE459" s="1020"/>
      <c r="AF459" s="1488"/>
      <c r="AG459" s="223"/>
      <c r="AH459" s="223"/>
      <c r="AI459" s="223"/>
      <c r="AJ459" s="1020"/>
      <c r="AK459" s="1488"/>
      <c r="AL459" s="223"/>
      <c r="AM459" s="223"/>
      <c r="AN459" s="169"/>
      <c r="AO459" s="1020"/>
      <c r="AP459" s="1488"/>
      <c r="AQ459" s="223"/>
      <c r="AR459" s="223"/>
      <c r="AS459" s="223"/>
      <c r="AT459" s="1020"/>
      <c r="AU459" s="1488"/>
      <c r="AV459" s="223"/>
      <c r="AW459" s="223"/>
      <c r="AX459" s="223"/>
      <c r="AY459" s="1020"/>
      <c r="AZ459" s="1489"/>
      <c r="BA459" s="223"/>
      <c r="BB459" s="223"/>
      <c r="BC459" s="223"/>
      <c r="BD459" s="1020"/>
      <c r="BE459" s="1488"/>
      <c r="BF459" s="223"/>
      <c r="BG459" s="223"/>
      <c r="BH459" s="223"/>
      <c r="BI459" s="1020"/>
      <c r="BJ459" s="1488"/>
      <c r="BK459" s="223"/>
      <c r="BL459" s="223"/>
      <c r="BM459" s="223"/>
      <c r="BN459" s="1020"/>
      <c r="BO459" s="223"/>
      <c r="BP459" s="223"/>
      <c r="BQ459" s="223"/>
      <c r="BR459" s="223"/>
      <c r="BS459" s="1050"/>
      <c r="BT459" s="223"/>
      <c r="BU459" s="223"/>
      <c r="BV459" s="223"/>
      <c r="BW459" s="223"/>
      <c r="BX459" s="1020"/>
      <c r="BY459" s="223"/>
      <c r="BZ459" s="223"/>
      <c r="CA459" s="223"/>
      <c r="CB459" s="223"/>
      <c r="CC459" s="1050"/>
      <c r="CD459" s="223"/>
      <c r="CE459" s="223"/>
      <c r="CF459" s="223"/>
      <c r="CG459" s="223"/>
      <c r="CH459" s="1020"/>
      <c r="CI459" s="560"/>
      <c r="CJ459" s="223"/>
      <c r="CK459" s="223"/>
      <c r="CL459" s="223"/>
      <c r="CM459" s="1020"/>
      <c r="CN459" s="223"/>
      <c r="CO459" s="223"/>
      <c r="CP459" s="223"/>
      <c r="CQ459" s="223"/>
      <c r="CR459" s="1020"/>
      <c r="CS459" s="223"/>
      <c r="CT459" s="223"/>
      <c r="CU459" s="223"/>
      <c r="CV459" s="223"/>
      <c r="CW459" s="1020"/>
      <c r="CX459" s="223"/>
      <c r="CY459" s="223"/>
      <c r="CZ459" s="223"/>
      <c r="DA459" s="223"/>
      <c r="DB459" s="1020"/>
      <c r="DC459" s="223"/>
      <c r="DD459" s="3544"/>
      <c r="DE459" s="2007"/>
      <c r="DF459" s="2007"/>
      <c r="DG459" s="2933"/>
      <c r="DH459" s="2007"/>
      <c r="DI459" s="2007"/>
      <c r="DJ459" s="2007"/>
      <c r="DK459" s="2007"/>
      <c r="DL459" s="2933"/>
      <c r="DM459" s="2007"/>
      <c r="DN459" s="2007"/>
      <c r="DO459" s="2007"/>
      <c r="DP459" s="2007"/>
      <c r="DQ459" s="2933"/>
      <c r="DR459" s="2007"/>
      <c r="DS459" s="2007"/>
      <c r="DT459" s="2007"/>
      <c r="DU459" s="2007"/>
      <c r="DV459" s="2933"/>
      <c r="DW459" s="2007"/>
      <c r="DX459" s="2007"/>
      <c r="DY459" s="2007"/>
      <c r="DZ459" s="2007"/>
      <c r="EA459" s="3534"/>
      <c r="EB459" s="2007"/>
      <c r="EC459" s="2007"/>
      <c r="ED459" s="2007"/>
      <c r="EE459" s="2007"/>
      <c r="EF459" s="3534"/>
      <c r="EG459" s="2007"/>
      <c r="EH459" s="2007"/>
      <c r="EI459" s="2007"/>
      <c r="EJ459" s="2007"/>
      <c r="EK459" s="3534"/>
      <c r="EL459" s="2007"/>
      <c r="EM459" s="2007"/>
      <c r="EN459" s="2007"/>
      <c r="EO459" s="2007"/>
      <c r="EP459" s="3534"/>
      <c r="EQ459" s="2007"/>
      <c r="ER459" s="2007"/>
      <c r="ES459" s="2007"/>
      <c r="ET459" s="2007"/>
      <c r="EU459" s="3534"/>
      <c r="EV459" s="3534"/>
      <c r="EW459" s="3534"/>
      <c r="EX459" s="3534"/>
      <c r="EY459" s="3534"/>
      <c r="EZ459" s="223"/>
      <c r="FA459" s="715"/>
      <c r="FB459" s="715"/>
    </row>
    <row r="460" spans="1:158" s="180" customFormat="1" ht="11.25" hidden="1" customHeight="1">
      <c r="A460" s="3009" t="str">
        <f t="shared" ref="A460:AF460" si="1273">A22</f>
        <v>Google Properties</v>
      </c>
      <c r="B460" s="2994">
        <f t="shared" si="1273"/>
        <v>0</v>
      </c>
      <c r="C460" s="2995">
        <f t="shared" si="1273"/>
        <v>0</v>
      </c>
      <c r="D460" s="2995">
        <f t="shared" si="1273"/>
        <v>0</v>
      </c>
      <c r="E460" s="2995">
        <f t="shared" si="1273"/>
        <v>0</v>
      </c>
      <c r="F460" s="3083">
        <f t="shared" si="1273"/>
        <v>0</v>
      </c>
      <c r="G460" s="2994">
        <f t="shared" si="1273"/>
        <v>0</v>
      </c>
      <c r="H460" s="2995">
        <f t="shared" si="1273"/>
        <v>0</v>
      </c>
      <c r="I460" s="2995">
        <f t="shared" si="1273"/>
        <v>0</v>
      </c>
      <c r="J460" s="2995">
        <f t="shared" si="1273"/>
        <v>0</v>
      </c>
      <c r="K460" s="2996">
        <f t="shared" si="1273"/>
        <v>0</v>
      </c>
      <c r="L460" s="2995">
        <f t="shared" si="1273"/>
        <v>0</v>
      </c>
      <c r="M460" s="2995">
        <f t="shared" si="1273"/>
        <v>0</v>
      </c>
      <c r="N460" s="2995">
        <f t="shared" si="1273"/>
        <v>0</v>
      </c>
      <c r="O460" s="2995">
        <f t="shared" si="1273"/>
        <v>0</v>
      </c>
      <c r="P460" s="2996">
        <f t="shared" si="1273"/>
        <v>66.932000000000002</v>
      </c>
      <c r="Q460" s="2994">
        <f t="shared" si="1273"/>
        <v>37.210799999999999</v>
      </c>
      <c r="R460" s="2995">
        <f t="shared" si="1273"/>
        <v>56.538000000000004</v>
      </c>
      <c r="S460" s="2995">
        <f t="shared" si="1273"/>
        <v>91.550899999999999</v>
      </c>
      <c r="T460" s="2995">
        <f t="shared" si="1273"/>
        <v>121.67829999999998</v>
      </c>
      <c r="U460" s="2996">
        <f t="shared" si="1273"/>
        <v>306.97800000000001</v>
      </c>
      <c r="V460" s="2994">
        <f t="shared" si="1273"/>
        <v>157.9</v>
      </c>
      <c r="W460" s="2995">
        <f t="shared" si="1273"/>
        <v>183.102</v>
      </c>
      <c r="X460" s="2995">
        <f t="shared" si="1273"/>
        <v>207.239</v>
      </c>
      <c r="Y460" s="2995">
        <f t="shared" si="1273"/>
        <v>243.822</v>
      </c>
      <c r="Z460" s="2996">
        <f t="shared" si="1273"/>
        <v>792.06299999999999</v>
      </c>
      <c r="AA460" s="2994">
        <f t="shared" si="1273"/>
        <v>303.53199999999998</v>
      </c>
      <c r="AB460" s="2995">
        <f t="shared" si="1273"/>
        <v>343.44200000000001</v>
      </c>
      <c r="AC460" s="2995">
        <f t="shared" si="1273"/>
        <v>411.7</v>
      </c>
      <c r="AD460" s="2995">
        <f t="shared" si="1273"/>
        <v>530.38800000000003</v>
      </c>
      <c r="AE460" s="2996">
        <f t="shared" si="1273"/>
        <v>1589.0619999999999</v>
      </c>
      <c r="AF460" s="2994">
        <f t="shared" si="1273"/>
        <v>656.99659999999994</v>
      </c>
      <c r="AG460" s="2995">
        <f t="shared" ref="AG460:BN460" si="1274">AG22</f>
        <v>737.17200000000003</v>
      </c>
      <c r="AH460" s="2995">
        <f t="shared" si="1274"/>
        <v>884.67899999999997</v>
      </c>
      <c r="AI460" s="2995">
        <f t="shared" si="1274"/>
        <v>1098.213</v>
      </c>
      <c r="AJ460" s="2996">
        <f t="shared" si="1274"/>
        <v>3377.0605999999998</v>
      </c>
      <c r="AK460" s="2994">
        <f t="shared" si="1274"/>
        <v>1297.317</v>
      </c>
      <c r="AL460" s="2995">
        <f t="shared" si="1274"/>
        <v>1432.461</v>
      </c>
      <c r="AM460" s="2995">
        <f t="shared" si="1274"/>
        <v>1625.9770000000001</v>
      </c>
      <c r="AN460" s="2997">
        <f t="shared" si="1274"/>
        <v>1977.0419999999999</v>
      </c>
      <c r="AO460" s="2996">
        <f t="shared" si="1274"/>
        <v>6332.7970000000005</v>
      </c>
      <c r="AP460" s="2994">
        <f t="shared" si="1274"/>
        <v>2282.1210000000001</v>
      </c>
      <c r="AQ460" s="2995">
        <f t="shared" si="1274"/>
        <v>2486.29</v>
      </c>
      <c r="AR460" s="2995">
        <f t="shared" si="1274"/>
        <v>2734.7559999999999</v>
      </c>
      <c r="AS460" s="2997">
        <f t="shared" si="1274"/>
        <v>3121.5390000000002</v>
      </c>
      <c r="AT460" s="2996">
        <f t="shared" si="1274"/>
        <v>10624.706</v>
      </c>
      <c r="AU460" s="2994">
        <f t="shared" si="1274"/>
        <v>3400.4050000000002</v>
      </c>
      <c r="AV460" s="2995">
        <f t="shared" si="1274"/>
        <v>3530.145</v>
      </c>
      <c r="AW460" s="2995">
        <f t="shared" si="1274"/>
        <v>3672.1109999999999</v>
      </c>
      <c r="AX460" s="2997">
        <f t="shared" si="1274"/>
        <v>3811.1660000000002</v>
      </c>
      <c r="AY460" s="2996">
        <f t="shared" si="1274"/>
        <v>14413.827000000001</v>
      </c>
      <c r="AZ460" s="2994">
        <f t="shared" si="1274"/>
        <v>3692.8229999999999</v>
      </c>
      <c r="BA460" s="2995">
        <f t="shared" si="1274"/>
        <v>3652.6280000000002</v>
      </c>
      <c r="BB460" s="2995">
        <f t="shared" si="1274"/>
        <v>3955.7310000000002</v>
      </c>
      <c r="BC460" s="2997">
        <f t="shared" si="1274"/>
        <v>4421.3040000000001</v>
      </c>
      <c r="BD460" s="2996">
        <f t="shared" si="1274"/>
        <v>15722.486000000001</v>
      </c>
      <c r="BE460" s="2994">
        <f t="shared" si="1274"/>
        <v>4439</v>
      </c>
      <c r="BF460" s="2995">
        <f t="shared" si="1274"/>
        <v>4499</v>
      </c>
      <c r="BG460" s="2995">
        <f t="shared" si="1274"/>
        <v>4833</v>
      </c>
      <c r="BH460" s="2997">
        <f t="shared" si="1274"/>
        <v>5672</v>
      </c>
      <c r="BI460" s="2996">
        <f t="shared" si="1274"/>
        <v>19443</v>
      </c>
      <c r="BJ460" s="2994">
        <f t="shared" si="1274"/>
        <v>5879</v>
      </c>
      <c r="BK460" s="2995">
        <f t="shared" si="1274"/>
        <v>6232</v>
      </c>
      <c r="BL460" s="2995">
        <f t="shared" si="1274"/>
        <v>6740</v>
      </c>
      <c r="BM460" s="2995">
        <f t="shared" si="1274"/>
        <v>7294</v>
      </c>
      <c r="BN460" s="2996">
        <f t="shared" si="1274"/>
        <v>26145</v>
      </c>
      <c r="BO460" s="2995"/>
      <c r="BP460" s="2995"/>
      <c r="BQ460" s="2995"/>
      <c r="BR460" s="2995"/>
      <c r="BS460" s="2998"/>
      <c r="BT460" s="2995">
        <f>BT22</f>
        <v>7312</v>
      </c>
      <c r="BU460" s="2995">
        <f>BU22</f>
        <v>7542</v>
      </c>
      <c r="BV460" s="2995">
        <f>BV22</f>
        <v>7727</v>
      </c>
      <c r="BW460" s="2995">
        <f>BW22</f>
        <v>8640</v>
      </c>
      <c r="BX460" s="2996">
        <f>BX22</f>
        <v>31221</v>
      </c>
      <c r="BY460" s="2995"/>
      <c r="BZ460" s="2995"/>
      <c r="CA460" s="2995"/>
      <c r="CB460" s="2995"/>
      <c r="CC460" s="2998"/>
      <c r="CD460" s="2994">
        <f t="shared" ref="CD460:CL460" si="1275">CD22</f>
        <v>8640</v>
      </c>
      <c r="CE460" s="2995">
        <f t="shared" si="1275"/>
        <v>8868</v>
      </c>
      <c r="CF460" s="2995">
        <f t="shared" si="1275"/>
        <v>9376</v>
      </c>
      <c r="CG460" s="2995">
        <f t="shared" si="1275"/>
        <v>10538</v>
      </c>
      <c r="CH460" s="2996">
        <f t="shared" si="1275"/>
        <v>37422</v>
      </c>
      <c r="CI460" s="2999">
        <f t="shared" si="1275"/>
        <v>10469</v>
      </c>
      <c r="CJ460" s="2995">
        <f t="shared" si="1275"/>
        <v>10935</v>
      </c>
      <c r="CK460" s="2995">
        <f t="shared" si="1275"/>
        <v>11252</v>
      </c>
      <c r="CL460" s="2995">
        <f t="shared" si="1275"/>
        <v>12429</v>
      </c>
      <c r="CM460" s="2996">
        <f>SUM(CI460:CL460)</f>
        <v>45085</v>
      </c>
      <c r="CN460" s="2995">
        <f>CN22</f>
        <v>11932</v>
      </c>
      <c r="CO460" s="2995">
        <f>CO22</f>
        <v>12402</v>
      </c>
      <c r="CP460" s="2995">
        <f>CP22</f>
        <v>13087</v>
      </c>
      <c r="CQ460" s="2995">
        <f>CQ22</f>
        <v>14936</v>
      </c>
      <c r="CR460" s="2996">
        <f>SUM(CN460:CQ460)</f>
        <v>52357</v>
      </c>
      <c r="CS460" s="2995">
        <f>CS22</f>
        <v>14328</v>
      </c>
      <c r="CT460" s="2995">
        <f>CT22</f>
        <v>15400</v>
      </c>
      <c r="CU460" s="2995">
        <f>CU22</f>
        <v>16089</v>
      </c>
      <c r="CV460" s="2995">
        <f>CV22</f>
        <v>17968</v>
      </c>
      <c r="CW460" s="2996">
        <f>SUM(CS460:CV460)</f>
        <v>63785</v>
      </c>
      <c r="CX460" s="3010">
        <v>17403</v>
      </c>
      <c r="CY460" s="3010">
        <v>18425</v>
      </c>
      <c r="CZ460" s="3010">
        <v>19723</v>
      </c>
      <c r="DA460" s="3010">
        <v>22237</v>
      </c>
      <c r="DB460" s="2996">
        <f>SUM(CX460:DA460)</f>
        <v>77788</v>
      </c>
      <c r="DC460" s="3010">
        <v>21998</v>
      </c>
      <c r="DD460" s="3010">
        <v>23262</v>
      </c>
      <c r="DE460" s="3010">
        <v>24054</v>
      </c>
      <c r="DF460" s="3010">
        <v>27022</v>
      </c>
      <c r="DG460" s="2996">
        <f>SUM(DC460:DF460)</f>
        <v>96336</v>
      </c>
      <c r="DH460" s="3010">
        <v>25682</v>
      </c>
      <c r="DI460" s="3010">
        <v>27335</v>
      </c>
      <c r="DJ460" s="3010">
        <v>28647</v>
      </c>
      <c r="DK460" s="4500"/>
      <c r="DL460" s="2926"/>
      <c r="DM460" s="4297"/>
      <c r="DN460" s="4297"/>
      <c r="DO460" s="4297"/>
      <c r="DP460" s="4297"/>
      <c r="DQ460" s="2926"/>
      <c r="DR460" s="4297"/>
      <c r="DS460" s="4297"/>
      <c r="DT460" s="4297"/>
      <c r="DU460" s="4297"/>
      <c r="DV460" s="2926"/>
      <c r="DW460" s="4297"/>
      <c r="DX460" s="4297"/>
      <c r="DY460" s="4297"/>
      <c r="DZ460" s="4297"/>
      <c r="EA460" s="4298"/>
      <c r="EB460" s="4297"/>
      <c r="EC460" s="4297"/>
      <c r="ED460" s="4297"/>
      <c r="EE460" s="4297"/>
      <c r="EF460" s="4298"/>
      <c r="EG460" s="4297"/>
      <c r="EH460" s="4297"/>
      <c r="EI460" s="4297"/>
      <c r="EJ460" s="4297"/>
      <c r="EK460" s="4298"/>
      <c r="EL460" s="4297"/>
      <c r="EM460" s="4297"/>
      <c r="EN460" s="4297"/>
      <c r="EO460" s="4297"/>
      <c r="EP460" s="4298"/>
      <c r="EQ460" s="4297"/>
      <c r="ER460" s="4297"/>
      <c r="ES460" s="4297"/>
      <c r="ET460" s="4297"/>
      <c r="EU460" s="4298"/>
      <c r="EV460" s="4298"/>
      <c r="EW460" s="4298"/>
      <c r="EX460" s="4298"/>
      <c r="EY460" s="4298"/>
      <c r="EZ460" s="175"/>
      <c r="FA460" s="1319"/>
      <c r="FB460" s="1319"/>
    </row>
    <row r="461" spans="1:158" s="183" customFormat="1" ht="11.25" hidden="1" customHeight="1">
      <c r="A461" s="1573" t="s">
        <v>655</v>
      </c>
      <c r="B461" s="1226"/>
      <c r="C461" s="169"/>
      <c r="D461" s="169"/>
      <c r="E461" s="182"/>
      <c r="F461" s="1231"/>
      <c r="G461" s="1226"/>
      <c r="H461" s="169"/>
      <c r="I461" s="169"/>
      <c r="J461" s="169"/>
      <c r="K461" s="992"/>
      <c r="L461" s="169"/>
      <c r="M461" s="169"/>
      <c r="N461" s="169"/>
      <c r="O461" s="169"/>
      <c r="P461" s="992"/>
      <c r="Q461" s="1226"/>
      <c r="R461" s="169"/>
      <c r="S461" s="169"/>
      <c r="T461" s="169"/>
      <c r="U461" s="992"/>
      <c r="V461" s="1226"/>
      <c r="W461" s="169"/>
      <c r="X461" s="169"/>
      <c r="Y461" s="169"/>
      <c r="Z461" s="992"/>
      <c r="AA461" s="1226"/>
      <c r="AB461" s="169"/>
      <c r="AC461" s="169"/>
      <c r="AD461" s="169"/>
      <c r="AE461" s="992"/>
      <c r="AF461" s="1226"/>
      <c r="AG461" s="169"/>
      <c r="AH461" s="169"/>
      <c r="AI461" s="169"/>
      <c r="AJ461" s="992"/>
      <c r="AK461" s="1226"/>
      <c r="AL461" s="169"/>
      <c r="AM461" s="169"/>
      <c r="AN461" s="169"/>
      <c r="AO461" s="992"/>
      <c r="AP461" s="1226"/>
      <c r="AQ461" s="169"/>
      <c r="AR461" s="169"/>
      <c r="AS461" s="169"/>
      <c r="AT461" s="992"/>
      <c r="AU461" s="1226"/>
      <c r="AV461" s="169"/>
      <c r="AW461" s="169"/>
      <c r="AX461" s="169"/>
      <c r="AY461" s="992"/>
      <c r="AZ461" s="1226"/>
      <c r="BA461" s="169"/>
      <c r="BB461" s="169"/>
      <c r="BC461" s="169"/>
      <c r="BD461" s="992"/>
      <c r="BE461" s="1226"/>
      <c r="BF461" s="169"/>
      <c r="BG461" s="169"/>
      <c r="BH461" s="169"/>
      <c r="BI461" s="992"/>
      <c r="BJ461" s="1226"/>
      <c r="BK461" s="169"/>
      <c r="BL461" s="169"/>
      <c r="BM461" s="169"/>
      <c r="BN461" s="992"/>
      <c r="BO461" s="169"/>
      <c r="BP461" s="169"/>
      <c r="BQ461" s="169"/>
      <c r="BR461" s="169"/>
      <c r="BS461" s="600"/>
      <c r="BT461" s="169"/>
      <c r="BU461" s="169"/>
      <c r="BV461" s="169"/>
      <c r="BW461" s="169"/>
      <c r="BX461" s="992"/>
      <c r="BY461" s="169"/>
      <c r="BZ461" s="169"/>
      <c r="CA461" s="169"/>
      <c r="CB461" s="169"/>
      <c r="CC461" s="600"/>
      <c r="CD461" s="1226">
        <f t="shared" ref="CD461:DJ461" si="1276">(1+CD143)*(1+CD148)-1</f>
        <v>0.17599999999999993</v>
      </c>
      <c r="CE461" s="169">
        <f t="shared" si="1276"/>
        <v>0.18680000000000008</v>
      </c>
      <c r="CF461" s="169">
        <f t="shared" si="1276"/>
        <v>0.21799999999999997</v>
      </c>
      <c r="CG461" s="169">
        <f t="shared" si="1276"/>
        <v>0.22399999999999998</v>
      </c>
      <c r="CH461" s="992">
        <f t="shared" si="1276"/>
        <v>0</v>
      </c>
      <c r="CI461" s="551">
        <f t="shared" si="1276"/>
        <v>0.21930000000000005</v>
      </c>
      <c r="CJ461" s="205">
        <f t="shared" si="1276"/>
        <v>0.23689999999999989</v>
      </c>
      <c r="CK461" s="205">
        <f t="shared" si="1276"/>
        <v>0.1903999999999999</v>
      </c>
      <c r="CL461" s="169">
        <f t="shared" si="1276"/>
        <v>0.15000000000000013</v>
      </c>
      <c r="CM461" s="992">
        <f t="shared" si="1276"/>
        <v>0.20018749999999996</v>
      </c>
      <c r="CN461" s="181">
        <f t="shared" si="1276"/>
        <v>8.7499999999999911E-2</v>
      </c>
      <c r="CO461" s="205">
        <f t="shared" si="1276"/>
        <v>9.2000000000000082E-2</v>
      </c>
      <c r="CP461" s="205">
        <f t="shared" si="1276"/>
        <v>0.13400000000000012</v>
      </c>
      <c r="CQ461" s="169">
        <f t="shared" si="1276"/>
        <v>0.17599999999999993</v>
      </c>
      <c r="CR461" s="992">
        <f t="shared" si="1276"/>
        <v>0.12293749999999992</v>
      </c>
      <c r="CS461" s="181">
        <f t="shared" si="1276"/>
        <v>0.22819999999999996</v>
      </c>
      <c r="CT461" s="205">
        <f t="shared" si="1276"/>
        <v>0.25119999999999987</v>
      </c>
      <c r="CU461" s="205">
        <f t="shared" si="1276"/>
        <v>0.2407999999999999</v>
      </c>
      <c r="CV461" s="205">
        <f t="shared" si="1276"/>
        <v>0.20540000000000003</v>
      </c>
      <c r="CW461" s="992">
        <f t="shared" si="1276"/>
        <v>0.23288749999999991</v>
      </c>
      <c r="CX461" s="181">
        <f t="shared" si="1276"/>
        <v>0.20870000000000011</v>
      </c>
      <c r="CY461" s="169">
        <f t="shared" si="1276"/>
        <v>0.19139999999999979</v>
      </c>
      <c r="CZ461" s="205">
        <f t="shared" si="1276"/>
        <v>0.22450000000000014</v>
      </c>
      <c r="DA461" s="169">
        <f t="shared" si="1276"/>
        <v>0.24319999999999986</v>
      </c>
      <c r="DB461" s="992">
        <f t="shared" si="1276"/>
        <v>0.21857499999999996</v>
      </c>
      <c r="DC461" s="181">
        <f t="shared" si="1276"/>
        <v>0.28790000000000004</v>
      </c>
      <c r="DD461" s="2612">
        <f t="shared" si="1276"/>
        <v>0.23240000000000016</v>
      </c>
      <c r="DE461" s="2612">
        <f t="shared" si="1276"/>
        <v>0.1664000000000001</v>
      </c>
      <c r="DF461" s="2612">
        <f t="shared" si="1276"/>
        <v>0.17860000000000009</v>
      </c>
      <c r="DG461" s="2588">
        <f t="shared" si="1276"/>
        <v>0.21500000000000008</v>
      </c>
      <c r="DH461" s="181">
        <f t="shared" si="1276"/>
        <v>0.12590000000000012</v>
      </c>
      <c r="DI461" s="2612">
        <f t="shared" si="1276"/>
        <v>0.13919999999999999</v>
      </c>
      <c r="DJ461" s="2612">
        <f t="shared" si="1276"/>
        <v>0.15639999999999987</v>
      </c>
      <c r="DK461" s="2660"/>
      <c r="DL461" s="2597"/>
      <c r="DM461" s="2660"/>
      <c r="DN461" s="2660"/>
      <c r="DO461" s="2660"/>
      <c r="DP461" s="2660"/>
      <c r="DQ461" s="2597"/>
      <c r="DR461" s="2660"/>
      <c r="DS461" s="2660"/>
      <c r="DT461" s="2660"/>
      <c r="DU461" s="2660"/>
      <c r="DV461" s="2597"/>
      <c r="DW461" s="2660"/>
      <c r="DX461" s="2660"/>
      <c r="DY461" s="2660"/>
      <c r="DZ461" s="2660"/>
      <c r="EA461" s="2597"/>
      <c r="EB461" s="2660"/>
      <c r="EC461" s="2660"/>
      <c r="ED461" s="2660"/>
      <c r="EE461" s="2660"/>
      <c r="EF461" s="2597"/>
      <c r="EG461" s="2660"/>
      <c r="EH461" s="2660"/>
      <c r="EI461" s="2660"/>
      <c r="EJ461" s="2660"/>
      <c r="EK461" s="2597"/>
      <c r="EL461" s="2660"/>
      <c r="EM461" s="2660"/>
      <c r="EN461" s="2660"/>
      <c r="EO461" s="2660"/>
      <c r="EP461" s="2597"/>
      <c r="EQ461" s="2660"/>
      <c r="ER461" s="2660"/>
      <c r="ES461" s="2660"/>
      <c r="ET461" s="2660"/>
      <c r="EU461" s="2597"/>
      <c r="EV461" s="2597"/>
      <c r="EW461" s="2597"/>
      <c r="EX461" s="2597"/>
      <c r="EY461" s="2597"/>
      <c r="EZ461" s="181"/>
      <c r="FA461" s="725"/>
      <c r="FB461" s="725"/>
    </row>
    <row r="462" spans="1:158" s="183" customFormat="1" ht="11.25" hidden="1" customHeight="1">
      <c r="A462" s="2502" t="s">
        <v>45</v>
      </c>
      <c r="B462" s="2497">
        <f t="shared" ref="B462:AG462" si="1277">B23</f>
        <v>0</v>
      </c>
      <c r="C462" s="2288">
        <f t="shared" si="1277"/>
        <v>0</v>
      </c>
      <c r="D462" s="2288">
        <f t="shared" si="1277"/>
        <v>0</v>
      </c>
      <c r="E462" s="2289">
        <f t="shared" si="1277"/>
        <v>0</v>
      </c>
      <c r="F462" s="2498">
        <f t="shared" si="1277"/>
        <v>0</v>
      </c>
      <c r="G462" s="2497">
        <f t="shared" si="1277"/>
        <v>0</v>
      </c>
      <c r="H462" s="2288">
        <f t="shared" si="1277"/>
        <v>0</v>
      </c>
      <c r="I462" s="2288">
        <f t="shared" si="1277"/>
        <v>0</v>
      </c>
      <c r="J462" s="2288">
        <f t="shared" si="1277"/>
        <v>0</v>
      </c>
      <c r="K462" s="2290">
        <f t="shared" si="1277"/>
        <v>0</v>
      </c>
      <c r="L462" s="2288">
        <f t="shared" si="1277"/>
        <v>0</v>
      </c>
      <c r="M462" s="2288">
        <f t="shared" si="1277"/>
        <v>0</v>
      </c>
      <c r="N462" s="2288">
        <f t="shared" si="1277"/>
        <v>0</v>
      </c>
      <c r="O462" s="2288">
        <f t="shared" si="1277"/>
        <v>0</v>
      </c>
      <c r="P462" s="2290" t="str">
        <f t="shared" si="1277"/>
        <v>NA</v>
      </c>
      <c r="Q462" s="2497" t="str">
        <f t="shared" si="1277"/>
        <v>NA</v>
      </c>
      <c r="R462" s="2288" t="str">
        <f t="shared" si="1277"/>
        <v>NA</v>
      </c>
      <c r="S462" s="2288" t="str">
        <f t="shared" si="1277"/>
        <v>NA</v>
      </c>
      <c r="T462" s="2288" t="str">
        <f t="shared" si="1277"/>
        <v>NA</v>
      </c>
      <c r="U462" s="2290">
        <f t="shared" si="1277"/>
        <v>3.5864160640650216</v>
      </c>
      <c r="V462" s="2497">
        <f t="shared" si="1277"/>
        <v>3.243391703483935</v>
      </c>
      <c r="W462" s="2288">
        <f t="shared" si="1277"/>
        <v>2.2385652127772468</v>
      </c>
      <c r="X462" s="2288">
        <f t="shared" si="1277"/>
        <v>1.2636478723857438</v>
      </c>
      <c r="Y462" s="2288">
        <f t="shared" si="1277"/>
        <v>1.0038248397618972</v>
      </c>
      <c r="Z462" s="2290">
        <f t="shared" si="1277"/>
        <v>1.5801946719308875</v>
      </c>
      <c r="AA462" s="2497">
        <f t="shared" si="1277"/>
        <v>0.92230525649145001</v>
      </c>
      <c r="AB462" s="2288">
        <f t="shared" si="1277"/>
        <v>0.87568677567694508</v>
      </c>
      <c r="AC462" s="2288">
        <f t="shared" si="1277"/>
        <v>0.9865951871993206</v>
      </c>
      <c r="AD462" s="2288">
        <f t="shared" si="1277"/>
        <v>1.1753082166498512</v>
      </c>
      <c r="AE462" s="2290">
        <f t="shared" si="1277"/>
        <v>1.0062318275187705</v>
      </c>
      <c r="AF462" s="2497">
        <f t="shared" si="1277"/>
        <v>1.1645052251492429</v>
      </c>
      <c r="AG462" s="2288">
        <f t="shared" si="1277"/>
        <v>1.146423559145358</v>
      </c>
      <c r="AH462" s="2288">
        <f t="shared" ref="AH462:BN462" si="1278">AH23</f>
        <v>1.1488438183143064</v>
      </c>
      <c r="AI462" s="2288">
        <f t="shared" si="1278"/>
        <v>1.0705841761125816</v>
      </c>
      <c r="AJ462" s="2290">
        <f t="shared" si="1278"/>
        <v>1.1251912134328301</v>
      </c>
      <c r="AK462" s="2497">
        <f t="shared" si="1278"/>
        <v>0.9746175246569011</v>
      </c>
      <c r="AL462" s="2288">
        <f t="shared" si="1278"/>
        <v>0.94318422294932525</v>
      </c>
      <c r="AM462" s="2288">
        <f t="shared" si="1278"/>
        <v>0.83792878546908001</v>
      </c>
      <c r="AN462" s="2288">
        <f t="shared" si="1278"/>
        <v>0.80023547344640789</v>
      </c>
      <c r="AO462" s="2290">
        <f t="shared" si="1278"/>
        <v>0.87523937237016147</v>
      </c>
      <c r="AP462" s="2497">
        <f t="shared" si="1278"/>
        <v>0.75910822104389286</v>
      </c>
      <c r="AQ462" s="2288">
        <f t="shared" si="1278"/>
        <v>0.73567727149290629</v>
      </c>
      <c r="AR462" s="2288">
        <f t="shared" si="1278"/>
        <v>0.68191554985095104</v>
      </c>
      <c r="AS462" s="2288">
        <f t="shared" si="1278"/>
        <v>0.57889361986240062</v>
      </c>
      <c r="AT462" s="2290">
        <f t="shared" si="1278"/>
        <v>0.67772723490110276</v>
      </c>
      <c r="AU462" s="2497">
        <f t="shared" si="1278"/>
        <v>0.49001959142394291</v>
      </c>
      <c r="AV462" s="2288">
        <f t="shared" si="1278"/>
        <v>0.41984442683677292</v>
      </c>
      <c r="AW462" s="2288">
        <f t="shared" si="1278"/>
        <v>0.34275635559442974</v>
      </c>
      <c r="AX462" s="2288">
        <f t="shared" si="1278"/>
        <v>0.22092531920953085</v>
      </c>
      <c r="AY462" s="2290">
        <f t="shared" si="1278"/>
        <v>0.35663302118665685</v>
      </c>
      <c r="AZ462" s="2497">
        <f t="shared" si="1278"/>
        <v>8.5995050589561917E-2</v>
      </c>
      <c r="BA462" s="2288">
        <f t="shared" si="1278"/>
        <v>3.4696308508574081E-2</v>
      </c>
      <c r="BB462" s="2288">
        <f t="shared" si="1278"/>
        <v>7.7236227336265229E-2</v>
      </c>
      <c r="BC462" s="2288">
        <f t="shared" si="1278"/>
        <v>0.16009221324917355</v>
      </c>
      <c r="BD462" s="2290">
        <f t="shared" si="1278"/>
        <v>9.0791918065896038E-2</v>
      </c>
      <c r="BE462" s="2497">
        <f t="shared" si="1278"/>
        <v>0.20206140397197481</v>
      </c>
      <c r="BF462" s="2288">
        <f t="shared" si="1278"/>
        <v>0.23171590427494948</v>
      </c>
      <c r="BG462" s="2288">
        <f t="shared" si="1278"/>
        <v>0.22177165231912888</v>
      </c>
      <c r="BH462" s="2288">
        <f t="shared" si="1278"/>
        <v>0.28287944009278698</v>
      </c>
      <c r="BI462" s="2290">
        <f t="shared" si="1278"/>
        <v>0.23663649628945449</v>
      </c>
      <c r="BJ462" s="2497">
        <f t="shared" si="1278"/>
        <v>0.32439738679882857</v>
      </c>
      <c r="BK462" s="2288">
        <f t="shared" si="1278"/>
        <v>0.38519671038008441</v>
      </c>
      <c r="BL462" s="2288">
        <f t="shared" si="1278"/>
        <v>0.39457893647837783</v>
      </c>
      <c r="BM462" s="2288">
        <f t="shared" si="1278"/>
        <v>0.28596614950634702</v>
      </c>
      <c r="BN462" s="2290">
        <f t="shared" si="1278"/>
        <v>0.34469989199197659</v>
      </c>
      <c r="BO462" s="2288"/>
      <c r="BP462" s="2288"/>
      <c r="BQ462" s="2288"/>
      <c r="BR462" s="2288"/>
      <c r="BS462" s="2499"/>
      <c r="BT462" s="2288">
        <f>BT23</f>
        <v>0.24374893689402954</v>
      </c>
      <c r="BU462" s="2288">
        <f>BU23</f>
        <v>0.21020539152759943</v>
      </c>
      <c r="BV462" s="2288">
        <f>BV23</f>
        <v>0.14643916913946597</v>
      </c>
      <c r="BW462" s="2288">
        <f>BW23</f>
        <v>0.18453523443926523</v>
      </c>
      <c r="BX462" s="2290">
        <f>BX23</f>
        <v>0.19414802065404468</v>
      </c>
      <c r="BY462" s="2288"/>
      <c r="BZ462" s="2288"/>
      <c r="CA462" s="2288"/>
      <c r="CB462" s="2288"/>
      <c r="CC462" s="2499"/>
      <c r="CD462" s="2497">
        <f>CD23</f>
        <v>0.18161925601750539</v>
      </c>
      <c r="CE462" s="2288">
        <f>CE23</f>
        <v>0.1758154335719968</v>
      </c>
      <c r="CF462" s="2288">
        <f>CF23</f>
        <v>0.21340753203054219</v>
      </c>
      <c r="CG462" s="2288">
        <f>CG23</f>
        <v>0.219675925925926</v>
      </c>
      <c r="CH462" s="2290">
        <f>CH23</f>
        <v>0.19861631594119333</v>
      </c>
      <c r="CI462" s="2501">
        <f>CI460/CD460-1</f>
        <v>0.21168981481481475</v>
      </c>
      <c r="CJ462" s="2500">
        <f>CJ460/CE460-1</f>
        <v>0.23308525033829497</v>
      </c>
      <c r="CK462" s="2500">
        <f>CK460/CF460-1</f>
        <v>0.20008532423208192</v>
      </c>
      <c r="CL462" s="2288">
        <f>CL23</f>
        <v>0.17944581514518876</v>
      </c>
      <c r="CM462" s="2290">
        <f>CM460/CH460-1</f>
        <v>0.20477259366148259</v>
      </c>
      <c r="CN462" s="1098">
        <f>CN460/CI460-1</f>
        <v>0.13974591651542645</v>
      </c>
      <c r="CO462" s="2500">
        <f>CO460/CJ460-1</f>
        <v>0.13415637860082308</v>
      </c>
      <c r="CP462" s="2500">
        <f>CP460/CK460-1</f>
        <v>0.16308211873444711</v>
      </c>
      <c r="CQ462" s="2288">
        <f>CQ460/CL460-1</f>
        <v>0.20170568830959845</v>
      </c>
      <c r="CR462" s="2290">
        <f>+CR22/CM22-1</f>
        <v>0.16129533104136629</v>
      </c>
      <c r="CS462" s="1098">
        <f t="shared" ref="CS462:DF462" si="1279">CS460/CN460-1</f>
        <v>0.20080455916862228</v>
      </c>
      <c r="CT462" s="2500">
        <f t="shared" si="1279"/>
        <v>0.241735203999355</v>
      </c>
      <c r="CU462" s="2500">
        <f t="shared" si="1279"/>
        <v>0.22938794223275005</v>
      </c>
      <c r="CV462" s="2500">
        <f t="shared" si="1279"/>
        <v>0.20299946438136041</v>
      </c>
      <c r="CW462" s="2290">
        <f t="shared" si="1279"/>
        <v>0.21827071833756717</v>
      </c>
      <c r="CX462" s="1098">
        <f t="shared" si="1279"/>
        <v>0.21461474036850925</v>
      </c>
      <c r="CY462" s="2288">
        <f t="shared" si="1279"/>
        <v>0.1964285714285714</v>
      </c>
      <c r="CZ462" s="2500">
        <f t="shared" si="1279"/>
        <v>0.22586860587979363</v>
      </c>
      <c r="DA462" s="2288">
        <f t="shared" si="1279"/>
        <v>0.23758904719501328</v>
      </c>
      <c r="DB462" s="2290">
        <f>DB460/CW460-1</f>
        <v>0.21953437328525505</v>
      </c>
      <c r="DC462" s="1098">
        <f t="shared" si="1279"/>
        <v>0.26403493650520016</v>
      </c>
      <c r="DD462" s="2288">
        <f t="shared" si="1279"/>
        <v>0.26252374491180452</v>
      </c>
      <c r="DE462" s="2288">
        <f t="shared" si="1279"/>
        <v>0.21959134005982861</v>
      </c>
      <c r="DF462" s="2288">
        <f t="shared" si="1279"/>
        <v>0.21518190403381743</v>
      </c>
      <c r="DG462" s="2290">
        <f>DG460/DB460-1</f>
        <v>0.23844294749832873</v>
      </c>
      <c r="DH462" s="1098">
        <f>DH460/DC460-1</f>
        <v>0.16746976997908902</v>
      </c>
      <c r="DI462" s="2288">
        <f>DI460/DD460-1</f>
        <v>0.1750924254148396</v>
      </c>
      <c r="DJ462" s="2288">
        <f>DJ460/DE460-1</f>
        <v>0.19094537291095026</v>
      </c>
      <c r="DK462" s="1143"/>
      <c r="DL462" s="1146"/>
      <c r="DM462" s="1143"/>
      <c r="DN462" s="1143"/>
      <c r="DO462" s="1143"/>
      <c r="DP462" s="1143"/>
      <c r="DQ462" s="1146"/>
      <c r="DR462" s="1143"/>
      <c r="DS462" s="1143"/>
      <c r="DT462" s="1143"/>
      <c r="DU462" s="1143"/>
      <c r="DV462" s="1146"/>
      <c r="DW462" s="1143"/>
      <c r="DX462" s="1143"/>
      <c r="DY462" s="1143"/>
      <c r="DZ462" s="1143"/>
      <c r="EA462" s="1146"/>
      <c r="EB462" s="1143"/>
      <c r="EC462" s="1143"/>
      <c r="ED462" s="1143"/>
      <c r="EE462" s="1143"/>
      <c r="EF462" s="1146"/>
      <c r="EG462" s="1143"/>
      <c r="EH462" s="1143"/>
      <c r="EI462" s="1143"/>
      <c r="EJ462" s="1143"/>
      <c r="EK462" s="1146"/>
      <c r="EL462" s="1143"/>
      <c r="EM462" s="1143"/>
      <c r="EN462" s="1143"/>
      <c r="EO462" s="1143"/>
      <c r="EP462" s="1146"/>
      <c r="EQ462" s="1143"/>
      <c r="ER462" s="1143"/>
      <c r="ES462" s="1143"/>
      <c r="ET462" s="1143"/>
      <c r="EU462" s="1146"/>
      <c r="EV462" s="1146"/>
      <c r="EW462" s="1146"/>
      <c r="EX462" s="1146"/>
      <c r="EY462" s="1146"/>
      <c r="EZ462" s="181"/>
      <c r="FA462" s="725"/>
      <c r="FB462" s="725"/>
    </row>
    <row r="463" spans="1:158" s="183" customFormat="1" ht="11.25" hidden="1" customHeight="1">
      <c r="A463" s="2502" t="s">
        <v>496</v>
      </c>
      <c r="B463" s="2497"/>
      <c r="C463" s="2288"/>
      <c r="D463" s="2288"/>
      <c r="E463" s="2289"/>
      <c r="F463" s="2498"/>
      <c r="G463" s="2497"/>
      <c r="H463" s="2288"/>
      <c r="I463" s="2288"/>
      <c r="J463" s="2288"/>
      <c r="K463" s="2290"/>
      <c r="L463" s="2288"/>
      <c r="M463" s="2288"/>
      <c r="N463" s="2288"/>
      <c r="O463" s="2288"/>
      <c r="P463" s="2290"/>
      <c r="Q463" s="2497"/>
      <c r="R463" s="2288"/>
      <c r="S463" s="2288"/>
      <c r="T463" s="2288"/>
      <c r="U463" s="2290"/>
      <c r="V463" s="2497"/>
      <c r="W463" s="2288"/>
      <c r="X463" s="2288"/>
      <c r="Y463" s="2288"/>
      <c r="Z463" s="2290"/>
      <c r="AA463" s="2497"/>
      <c r="AB463" s="2288"/>
      <c r="AC463" s="2288"/>
      <c r="AD463" s="2288"/>
      <c r="AE463" s="2290"/>
      <c r="AF463" s="2497"/>
      <c r="AG463" s="2288"/>
      <c r="AH463" s="2288"/>
      <c r="AI463" s="2288"/>
      <c r="AJ463" s="2290"/>
      <c r="AK463" s="2497"/>
      <c r="AL463" s="2288"/>
      <c r="AM463" s="2288"/>
      <c r="AN463" s="2288"/>
      <c r="AO463" s="2290"/>
      <c r="AP463" s="2497"/>
      <c r="AQ463" s="2288"/>
      <c r="AR463" s="2288"/>
      <c r="AS463" s="2288"/>
      <c r="AT463" s="2290"/>
      <c r="AU463" s="2497"/>
      <c r="AV463" s="2288"/>
      <c r="AW463" s="2288"/>
      <c r="AX463" s="2288"/>
      <c r="AY463" s="2290"/>
      <c r="AZ463" s="2497">
        <f t="shared" ref="AZ463:BN463" si="1280">AZ569</f>
        <v>0.14020619254337374</v>
      </c>
      <c r="BA463" s="2288">
        <f t="shared" si="1280"/>
        <v>0.10556534098442327</v>
      </c>
      <c r="BB463" s="2288">
        <f t="shared" si="1280"/>
        <v>0.13096712576891023</v>
      </c>
      <c r="BC463" s="2288">
        <f t="shared" si="1280"/>
        <v>0.15064813872957661</v>
      </c>
      <c r="BD463" s="2499">
        <f t="shared" si="1280"/>
        <v>0.13202548177706541</v>
      </c>
      <c r="BE463" s="2497">
        <f t="shared" si="1280"/>
        <v>0.19063337387589585</v>
      </c>
      <c r="BF463" s="2288">
        <f t="shared" si="1280"/>
        <v>0.24097612036209459</v>
      </c>
      <c r="BG463" s="2288">
        <f t="shared" si="1280"/>
        <v>0.24334336231076237</v>
      </c>
      <c r="BH463" s="2288">
        <f t="shared" si="1280"/>
        <v>0.30070260195911258</v>
      </c>
      <c r="BI463" s="2499">
        <f t="shared" si="1280"/>
        <v>0.24693156967417917</v>
      </c>
      <c r="BJ463" s="2497">
        <f t="shared" si="1280"/>
        <v>0.32063205824023755</v>
      </c>
      <c r="BK463" s="2288">
        <f t="shared" si="1280"/>
        <v>0.33606333035616998</v>
      </c>
      <c r="BL463" s="2288">
        <f t="shared" si="1280"/>
        <v>0.34152393292003791</v>
      </c>
      <c r="BM463" s="2288">
        <f t="shared" si="1280"/>
        <v>0.28198744430756739</v>
      </c>
      <c r="BN463" s="2499">
        <f t="shared" si="1280"/>
        <v>0.31803295225852013</v>
      </c>
      <c r="BO463" s="2288"/>
      <c r="BP463" s="2288"/>
      <c r="BQ463" s="2288"/>
      <c r="BR463" s="2288"/>
      <c r="BS463" s="2499"/>
      <c r="BT463" s="2497">
        <f>BT569</f>
        <v>0.24929376393095959</v>
      </c>
      <c r="BU463" s="2288">
        <f>BU569</f>
        <v>0.24044731057820079</v>
      </c>
      <c r="BV463" s="2288">
        <f>BV569</f>
        <v>0.19579760818860814</v>
      </c>
      <c r="BW463" s="2288">
        <f>BW569</f>
        <v>0.20169276207147169</v>
      </c>
      <c r="BX463" s="2499">
        <f>BX569</f>
        <v>0.22020164412955667</v>
      </c>
      <c r="BY463" s="2288"/>
      <c r="BZ463" s="2288"/>
      <c r="CA463" s="2288"/>
      <c r="CB463" s="2288"/>
      <c r="CC463" s="2499"/>
      <c r="CD463" s="2497">
        <f t="shared" ref="CD463:DJ463" si="1281">CD569</f>
        <v>0.18574066556432367</v>
      </c>
      <c r="CE463" s="2288">
        <f t="shared" si="1281"/>
        <v>0.18456679350210181</v>
      </c>
      <c r="CF463" s="2288">
        <f t="shared" si="1281"/>
        <v>0.21996992447522934</v>
      </c>
      <c r="CG463" s="2288">
        <f t="shared" si="1281"/>
        <v>0.22318292073935941</v>
      </c>
      <c r="CH463" s="2499">
        <f t="shared" si="1281"/>
        <v>0.20429249909286917</v>
      </c>
      <c r="CI463" s="1098">
        <f t="shared" si="1281"/>
        <v>0.21168981481481475</v>
      </c>
      <c r="CJ463" s="2500">
        <f t="shared" si="1281"/>
        <v>0.23308525033829497</v>
      </c>
      <c r="CK463" s="2500">
        <f t="shared" si="1281"/>
        <v>0.20008532423208192</v>
      </c>
      <c r="CL463" s="2288">
        <f t="shared" si="1281"/>
        <v>0.17944581514518876</v>
      </c>
      <c r="CM463" s="2499">
        <f t="shared" si="1281"/>
        <v>0.20477259366148259</v>
      </c>
      <c r="CN463" s="1098">
        <f t="shared" si="1281"/>
        <v>0.13974591651542645</v>
      </c>
      <c r="CO463" s="2500">
        <f t="shared" si="1281"/>
        <v>0.13415637860082308</v>
      </c>
      <c r="CP463" s="2500">
        <f t="shared" si="1281"/>
        <v>0.16308211873444711</v>
      </c>
      <c r="CQ463" s="2288">
        <f t="shared" si="1281"/>
        <v>0.20170568830959845</v>
      </c>
      <c r="CR463" s="2499">
        <f t="shared" si="1281"/>
        <v>0.16129533104136629</v>
      </c>
      <c r="CS463" s="1098">
        <f t="shared" si="1281"/>
        <v>0.20080455916862228</v>
      </c>
      <c r="CT463" s="2500">
        <f t="shared" si="1281"/>
        <v>0.241735203999355</v>
      </c>
      <c r="CU463" s="2500">
        <f t="shared" si="1281"/>
        <v>0.22938794223275005</v>
      </c>
      <c r="CV463" s="2500">
        <f t="shared" si="1281"/>
        <v>0.20299946438136041</v>
      </c>
      <c r="CW463" s="2499">
        <f t="shared" si="1281"/>
        <v>0.21827071833756717</v>
      </c>
      <c r="CX463" s="1098">
        <f t="shared" si="1281"/>
        <v>0.21461474036850925</v>
      </c>
      <c r="CY463" s="2288">
        <f t="shared" si="1281"/>
        <v>0.1964285714285714</v>
      </c>
      <c r="CZ463" s="2500">
        <f t="shared" si="1281"/>
        <v>0.22586860587979363</v>
      </c>
      <c r="DA463" s="2288">
        <f t="shared" si="1281"/>
        <v>0.23758904719501328</v>
      </c>
      <c r="DB463" s="2499">
        <f t="shared" si="1281"/>
        <v>0.21953437328525505</v>
      </c>
      <c r="DC463" s="1098">
        <f t="shared" si="1281"/>
        <v>0.26403493650520016</v>
      </c>
      <c r="DD463" s="2288">
        <f t="shared" si="1281"/>
        <v>0.26252374491180452</v>
      </c>
      <c r="DE463" s="2288">
        <f t="shared" si="1281"/>
        <v>0.21959134005982861</v>
      </c>
      <c r="DF463" s="2288">
        <f t="shared" si="1281"/>
        <v>0.22931689931236976</v>
      </c>
      <c r="DG463" s="2499">
        <f t="shared" si="1281"/>
        <v>0.24248367216034827</v>
      </c>
      <c r="DH463" s="1098">
        <f t="shared" si="1281"/>
        <v>0.19497072777125624</v>
      </c>
      <c r="DI463" s="2288">
        <f t="shared" si="1281"/>
        <v>0.20457613561871413</v>
      </c>
      <c r="DJ463" s="2288">
        <f t="shared" si="1281"/>
        <v>0.19901178729497682</v>
      </c>
      <c r="DK463" s="1143"/>
      <c r="DL463" s="3997"/>
      <c r="DM463" s="1143"/>
      <c r="DN463" s="1143"/>
      <c r="DO463" s="1143"/>
      <c r="DP463" s="1143"/>
      <c r="DQ463" s="3997"/>
      <c r="DR463" s="1143"/>
      <c r="DS463" s="1143"/>
      <c r="DT463" s="1143"/>
      <c r="DU463" s="1143"/>
      <c r="DV463" s="3997"/>
      <c r="DW463" s="1143"/>
      <c r="DX463" s="1143"/>
      <c r="DY463" s="1143"/>
      <c r="DZ463" s="1143"/>
      <c r="EA463" s="3997"/>
      <c r="EB463" s="1143"/>
      <c r="EC463" s="1143"/>
      <c r="ED463" s="1143"/>
      <c r="EE463" s="1143"/>
      <c r="EF463" s="3997"/>
      <c r="EG463" s="1143"/>
      <c r="EH463" s="1143"/>
      <c r="EI463" s="1143"/>
      <c r="EJ463" s="1143"/>
      <c r="EK463" s="3997"/>
      <c r="EL463" s="1143"/>
      <c r="EM463" s="1143"/>
      <c r="EN463" s="1143"/>
      <c r="EO463" s="1143"/>
      <c r="EP463" s="3997"/>
      <c r="EQ463" s="1143"/>
      <c r="ER463" s="1143"/>
      <c r="ES463" s="1143"/>
      <c r="ET463" s="1143"/>
      <c r="EU463" s="3997"/>
      <c r="EV463" s="3997"/>
      <c r="EW463" s="3997"/>
      <c r="EX463" s="3997"/>
      <c r="EY463" s="3997"/>
      <c r="EZ463" s="181"/>
      <c r="FA463" s="725"/>
      <c r="FB463" s="725"/>
    </row>
    <row r="464" spans="1:158" s="194" customFormat="1" ht="11.25" hidden="1" customHeight="1">
      <c r="A464" s="1573" t="s">
        <v>46</v>
      </c>
      <c r="B464" s="1226">
        <f t="shared" ref="B464:AG464" si="1282">B27</f>
        <v>0</v>
      </c>
      <c r="C464" s="169">
        <f t="shared" si="1282"/>
        <v>0</v>
      </c>
      <c r="D464" s="169">
        <f t="shared" si="1282"/>
        <v>0</v>
      </c>
      <c r="E464" s="169">
        <f t="shared" si="1282"/>
        <v>0</v>
      </c>
      <c r="F464" s="1228">
        <f t="shared" si="1282"/>
        <v>0</v>
      </c>
      <c r="G464" s="1226">
        <f t="shared" si="1282"/>
        <v>0</v>
      </c>
      <c r="H464" s="169">
        <f t="shared" si="1282"/>
        <v>0</v>
      </c>
      <c r="I464" s="169">
        <f t="shared" si="1282"/>
        <v>0</v>
      </c>
      <c r="J464" s="169">
        <f t="shared" si="1282"/>
        <v>0</v>
      </c>
      <c r="K464" s="1381">
        <f t="shared" si="1282"/>
        <v>0</v>
      </c>
      <c r="L464" s="169">
        <f t="shared" si="1282"/>
        <v>0</v>
      </c>
      <c r="M464" s="169">
        <f t="shared" si="1282"/>
        <v>0</v>
      </c>
      <c r="N464" s="169">
        <f t="shared" si="1282"/>
        <v>0</v>
      </c>
      <c r="O464" s="169">
        <f t="shared" si="1282"/>
        <v>0</v>
      </c>
      <c r="P464" s="1021">
        <f t="shared" si="1282"/>
        <v>0</v>
      </c>
      <c r="Q464" s="1226" t="str">
        <f t="shared" si="1282"/>
        <v>NA</v>
      </c>
      <c r="R464" s="169">
        <f t="shared" si="1282"/>
        <v>0.51939759424683163</v>
      </c>
      <c r="S464" s="169">
        <f t="shared" si="1282"/>
        <v>0.61928083766670183</v>
      </c>
      <c r="T464" s="169">
        <f t="shared" si="1282"/>
        <v>0.3290781412307251</v>
      </c>
      <c r="U464" s="1021">
        <f t="shared" si="1282"/>
        <v>0</v>
      </c>
      <c r="V464" s="1226">
        <f t="shared" si="1282"/>
        <v>0.29768413924257686</v>
      </c>
      <c r="W464" s="169">
        <f t="shared" si="1282"/>
        <v>0.15960734642178598</v>
      </c>
      <c r="X464" s="169">
        <f t="shared" si="1282"/>
        <v>0.13182269991589379</v>
      </c>
      <c r="Y464" s="169">
        <f t="shared" si="1282"/>
        <v>0.17652565395509523</v>
      </c>
      <c r="Z464" s="1021">
        <f t="shared" si="1282"/>
        <v>0</v>
      </c>
      <c r="AA464" s="1226">
        <f t="shared" si="1282"/>
        <v>0.24489176530419732</v>
      </c>
      <c r="AB464" s="169">
        <f t="shared" si="1282"/>
        <v>0.13148531291593657</v>
      </c>
      <c r="AC464" s="169">
        <f t="shared" si="1282"/>
        <v>0.19874680440947801</v>
      </c>
      <c r="AD464" s="169">
        <f t="shared" si="1282"/>
        <v>0.28828758804955079</v>
      </c>
      <c r="AE464" s="1021">
        <f t="shared" si="1282"/>
        <v>0</v>
      </c>
      <c r="AF464" s="1226">
        <f t="shared" si="1282"/>
        <v>0.23870939764851373</v>
      </c>
      <c r="AG464" s="169">
        <f t="shared" si="1282"/>
        <v>0.12203320382479932</v>
      </c>
      <c r="AH464" s="169">
        <f t="shared" ref="AH464:BN464" si="1283">AH27</f>
        <v>0.20009848447852052</v>
      </c>
      <c r="AI464" s="169">
        <f t="shared" si="1283"/>
        <v>0.24136890329712801</v>
      </c>
      <c r="AJ464" s="1021">
        <f t="shared" si="1283"/>
        <v>0</v>
      </c>
      <c r="AK464" s="1226">
        <f t="shared" si="1283"/>
        <v>0.18129816347102068</v>
      </c>
      <c r="AL464" s="169">
        <f t="shared" si="1283"/>
        <v>0.10417191788899705</v>
      </c>
      <c r="AM464" s="169">
        <f t="shared" si="1283"/>
        <v>0.13509338125086834</v>
      </c>
      <c r="AN464" s="184">
        <f t="shared" si="1283"/>
        <v>0.21591018815149288</v>
      </c>
      <c r="AO464" s="1021">
        <f t="shared" si="1283"/>
        <v>0</v>
      </c>
      <c r="AP464" s="1226">
        <f t="shared" si="1283"/>
        <v>0.15431083406422341</v>
      </c>
      <c r="AQ464" s="169">
        <f t="shared" si="1283"/>
        <v>8.9464581413518429E-2</v>
      </c>
      <c r="AR464" s="169">
        <f t="shared" si="1283"/>
        <v>9.9934440471545871E-2</v>
      </c>
      <c r="AS464" s="184">
        <f t="shared" si="1283"/>
        <v>0.14143236179022933</v>
      </c>
      <c r="AT464" s="1021">
        <f t="shared" si="1283"/>
        <v>0</v>
      </c>
      <c r="AU464" s="1226">
        <f t="shared" si="1283"/>
        <v>8.9336061474804662E-2</v>
      </c>
      <c r="AV464" s="169">
        <f t="shared" si="1283"/>
        <v>3.815427868150989E-2</v>
      </c>
      <c r="AW464" s="169">
        <f t="shared" si="1283"/>
        <v>4.0215345262021751E-2</v>
      </c>
      <c r="AX464" s="184">
        <f t="shared" si="1283"/>
        <v>3.7867864016093211E-2</v>
      </c>
      <c r="AY464" s="1021">
        <f t="shared" si="1283"/>
        <v>0</v>
      </c>
      <c r="AZ464" s="1226">
        <f t="shared" si="1283"/>
        <v>-3.1051651909153377E-2</v>
      </c>
      <c r="BA464" s="169">
        <f t="shared" si="1283"/>
        <v>-1.0884626747612813E-2</v>
      </c>
      <c r="BB464" s="169">
        <f t="shared" si="1283"/>
        <v>8.2982170645354625E-2</v>
      </c>
      <c r="BC464" s="184">
        <f t="shared" si="1283"/>
        <v>0.11769581905341897</v>
      </c>
      <c r="BD464" s="1021">
        <f t="shared" si="1283"/>
        <v>0</v>
      </c>
      <c r="BE464" s="1226">
        <f t="shared" si="1283"/>
        <v>4.0024390994148895E-3</v>
      </c>
      <c r="BF464" s="169">
        <f t="shared" si="1283"/>
        <v>1.3516557783284533E-2</v>
      </c>
      <c r="BG464" s="169">
        <f t="shared" si="1283"/>
        <v>7.4238719715492341E-2</v>
      </c>
      <c r="BH464" s="184">
        <f t="shared" si="1283"/>
        <v>0.17359817918477138</v>
      </c>
      <c r="BI464" s="1021">
        <f t="shared" si="1283"/>
        <v>0</v>
      </c>
      <c r="BJ464" s="1226">
        <f t="shared" si="1283"/>
        <v>3.6495063469675681E-2</v>
      </c>
      <c r="BK464" s="169">
        <f t="shared" si="1283"/>
        <v>6.0044225208368829E-2</v>
      </c>
      <c r="BL464" s="169">
        <f t="shared" si="1283"/>
        <v>8.1514762516046169E-2</v>
      </c>
      <c r="BM464" s="169">
        <f t="shared" si="1283"/>
        <v>8.2195845697329295E-2</v>
      </c>
      <c r="BN464" s="1021">
        <f t="shared" si="1283"/>
        <v>0</v>
      </c>
      <c r="BO464" s="193"/>
      <c r="BP464" s="193"/>
      <c r="BQ464" s="193"/>
      <c r="BR464" s="193"/>
      <c r="BS464" s="2430"/>
      <c r="BT464" s="169">
        <f>+BT460/BM460-1</f>
        <v>2.4677817384151091E-3</v>
      </c>
      <c r="BU464" s="205">
        <f>BU460/BT460-1</f>
        <v>3.1455142231947564E-2</v>
      </c>
      <c r="BV464" s="205">
        <f>BV460/BU460-1</f>
        <v>2.4529302572261935E-2</v>
      </c>
      <c r="BW464" s="169">
        <f>+BW460/BV460-1</f>
        <v>0.11815711142746221</v>
      </c>
      <c r="BX464" s="1021"/>
      <c r="BY464" s="193"/>
      <c r="BZ464" s="193"/>
      <c r="CA464" s="193"/>
      <c r="CB464" s="193"/>
      <c r="CC464" s="2430"/>
      <c r="CD464" s="1226">
        <f>+CD460/BW460-1</f>
        <v>0</v>
      </c>
      <c r="CE464" s="205">
        <f>CE460/CD460-1</f>
        <v>2.6388888888888795E-2</v>
      </c>
      <c r="CF464" s="205">
        <f>CF460/CE460-1</f>
        <v>5.728461885430769E-2</v>
      </c>
      <c r="CG464" s="169">
        <f>+CG460/CF460-1</f>
        <v>0.12393344709897613</v>
      </c>
      <c r="CH464" s="1021"/>
      <c r="CI464" s="1226">
        <f>+CI460/CG460-1</f>
        <v>-6.5477320174606168E-3</v>
      </c>
      <c r="CJ464" s="205">
        <f>CJ460/CI460-1</f>
        <v>4.4512369853854317E-2</v>
      </c>
      <c r="CK464" s="205">
        <f>CK460/CJ460-1</f>
        <v>2.8989483310470909E-2</v>
      </c>
      <c r="CL464" s="169">
        <f>+CL460/CK460-1</f>
        <v>0.10460362602204043</v>
      </c>
      <c r="CM464" s="1021"/>
      <c r="CN464" s="169">
        <f>+CN460/CL460-1</f>
        <v>-3.9987126880682289E-2</v>
      </c>
      <c r="CO464" s="205">
        <f>CO460/CN460-1</f>
        <v>3.9389875963794729E-2</v>
      </c>
      <c r="CP464" s="205">
        <f>CP460/CO460-1</f>
        <v>5.5233026931140072E-2</v>
      </c>
      <c r="CQ464" s="169">
        <f>CQ460/CP460-1</f>
        <v>0.14128524489951855</v>
      </c>
      <c r="CR464" s="1021"/>
      <c r="CS464" s="169">
        <f>+CS460/CQ460-1</f>
        <v>-4.0707016604177859E-2</v>
      </c>
      <c r="CT464" s="205">
        <f>CT460/CS460-1</f>
        <v>7.4818537130094898E-2</v>
      </c>
      <c r="CU464" s="205">
        <f>CU460/CT460-1</f>
        <v>4.4740259740259747E-2</v>
      </c>
      <c r="CV464" s="169">
        <f>+CV460/CU460-1</f>
        <v>0.11678786748710301</v>
      </c>
      <c r="CW464" s="1021"/>
      <c r="CX464" s="169">
        <f>CX460/CV460-1</f>
        <v>-3.1444790739091677E-2</v>
      </c>
      <c r="CY464" s="205">
        <f>CY460/CX460-1</f>
        <v>5.8725507096477614E-2</v>
      </c>
      <c r="CZ464" s="205">
        <f>CZ460/CY460-1</f>
        <v>7.0447761194029956E-2</v>
      </c>
      <c r="DA464" s="205">
        <f>DA460/CZ460-1</f>
        <v>0.12746539573087268</v>
      </c>
      <c r="DB464" s="1021"/>
      <c r="DC464" s="2612">
        <f>DC460/DA460-1</f>
        <v>-1.0747852677969183E-2</v>
      </c>
      <c r="DD464" s="205">
        <f>DD460/DC460-1</f>
        <v>5.7459769069915456E-2</v>
      </c>
      <c r="DE464" s="205">
        <f>DE460/DD460-1</f>
        <v>3.4046943513025507E-2</v>
      </c>
      <c r="DF464" s="205">
        <f>DF460/DE460-1</f>
        <v>0.12338904132368844</v>
      </c>
      <c r="DG464" s="1021"/>
      <c r="DH464" s="2612">
        <f>DH460/DF460-1</f>
        <v>-4.9589223595588816E-2</v>
      </c>
      <c r="DI464" s="205">
        <f>DI460/DH460-1</f>
        <v>6.4364146094540997E-2</v>
      </c>
      <c r="DJ464" s="205">
        <f>DJ460/DI460-1</f>
        <v>4.7997073349186126E-2</v>
      </c>
      <c r="DK464" s="2251"/>
      <c r="DL464" s="4501"/>
      <c r="DM464" s="2660"/>
      <c r="DN464" s="2251"/>
      <c r="DO464" s="2251"/>
      <c r="DP464" s="2251"/>
      <c r="DQ464" s="4501"/>
      <c r="DR464" s="2251"/>
      <c r="DS464" s="2251"/>
      <c r="DT464" s="2251"/>
      <c r="DU464" s="2251"/>
      <c r="DV464" s="4501"/>
      <c r="DW464" s="2251"/>
      <c r="DX464" s="2251"/>
      <c r="DY464" s="2251"/>
      <c r="DZ464" s="2251"/>
      <c r="EA464" s="4501"/>
      <c r="EB464" s="2251"/>
      <c r="EC464" s="2251"/>
      <c r="ED464" s="2251"/>
      <c r="EE464" s="2251"/>
      <c r="EF464" s="4501"/>
      <c r="EG464" s="2251"/>
      <c r="EH464" s="2251"/>
      <c r="EI464" s="2251"/>
      <c r="EJ464" s="2251"/>
      <c r="EK464" s="4501"/>
      <c r="EL464" s="2251"/>
      <c r="EM464" s="2251"/>
      <c r="EN464" s="2251"/>
      <c r="EO464" s="2251"/>
      <c r="EP464" s="4501"/>
      <c r="EQ464" s="2251"/>
      <c r="ER464" s="2251"/>
      <c r="ES464" s="2251"/>
      <c r="ET464" s="2251"/>
      <c r="EU464" s="4501"/>
      <c r="EV464" s="4501"/>
      <c r="EW464" s="4501"/>
      <c r="EX464" s="4501"/>
      <c r="EY464" s="4501"/>
      <c r="EZ464" s="193"/>
      <c r="FA464" s="725"/>
      <c r="FB464" s="725"/>
    </row>
    <row r="465" spans="1:158" s="77" customFormat="1" ht="11.25" hidden="1" customHeight="1">
      <c r="A465" s="1559" t="s">
        <v>428</v>
      </c>
      <c r="B465" s="1502"/>
      <c r="C465" s="127"/>
      <c r="D465" s="127"/>
      <c r="E465" s="127"/>
      <c r="F465" s="1227"/>
      <c r="G465" s="1502"/>
      <c r="H465" s="127"/>
      <c r="I465" s="127"/>
      <c r="J465" s="127"/>
      <c r="K465" s="1219"/>
      <c r="L465" s="127"/>
      <c r="M465" s="127"/>
      <c r="N465" s="127"/>
      <c r="O465" s="127"/>
      <c r="P465" s="1001"/>
      <c r="Q465" s="1502"/>
      <c r="R465" s="127"/>
      <c r="S465" s="127"/>
      <c r="T465" s="127"/>
      <c r="U465" s="1001"/>
      <c r="V465" s="1502"/>
      <c r="W465" s="127"/>
      <c r="X465" s="127"/>
      <c r="Y465" s="127"/>
      <c r="Z465" s="1001"/>
      <c r="AA465" s="1502"/>
      <c r="AB465" s="127"/>
      <c r="AC465" s="127"/>
      <c r="AD465" s="127"/>
      <c r="AE465" s="1001"/>
      <c r="AF465" s="1502"/>
      <c r="AG465" s="127"/>
      <c r="AH465" s="127"/>
      <c r="AI465" s="127"/>
      <c r="AJ465" s="1001"/>
      <c r="AK465" s="1502"/>
      <c r="AL465" s="127"/>
      <c r="AM465" s="127"/>
      <c r="AN465" s="125"/>
      <c r="AO465" s="1001"/>
      <c r="AP465" s="1502"/>
      <c r="AQ465" s="127"/>
      <c r="AR465" s="127"/>
      <c r="AS465" s="125"/>
      <c r="AT465" s="1001"/>
      <c r="AU465" s="1502"/>
      <c r="AV465" s="127"/>
      <c r="AW465" s="127"/>
      <c r="AX465" s="125"/>
      <c r="AY465" s="1001"/>
      <c r="AZ465" s="1502"/>
      <c r="BA465" s="127"/>
      <c r="BB465" s="127"/>
      <c r="BC465" s="125"/>
      <c r="BD465" s="1001"/>
      <c r="BE465" s="1502"/>
      <c r="BF465" s="127"/>
      <c r="BG465" s="127"/>
      <c r="BH465" s="125"/>
      <c r="BI465" s="1001"/>
      <c r="BJ465" s="1502"/>
      <c r="BK465" s="127"/>
      <c r="BL465" s="127"/>
      <c r="BM465" s="127"/>
      <c r="BN465" s="1001"/>
      <c r="BO465" s="42"/>
      <c r="BP465" s="42"/>
      <c r="BQ465" s="42"/>
      <c r="BR465" s="42"/>
      <c r="BS465" s="597"/>
      <c r="BT465" s="127">
        <f>+BT460/BX460</f>
        <v>0.23420133884244579</v>
      </c>
      <c r="BU465" s="127">
        <f>+BU460/BX460</f>
        <v>0.24156817526664745</v>
      </c>
      <c r="BV465" s="127">
        <f>+BV460/BX460</f>
        <v>0.24749367412959225</v>
      </c>
      <c r="BW465" s="127">
        <f>+BW460/BX460</f>
        <v>0.27673681176131448</v>
      </c>
      <c r="BX465" s="1001"/>
      <c r="BY465" s="42"/>
      <c r="BZ465" s="42"/>
      <c r="CA465" s="42"/>
      <c r="CB465" s="42"/>
      <c r="CC465" s="597"/>
      <c r="CD465" s="127">
        <f>+CD460/CH460</f>
        <v>0.23088023088023088</v>
      </c>
      <c r="CE465" s="127">
        <f>+CE460/CH460</f>
        <v>0.2369729036395703</v>
      </c>
      <c r="CF465" s="127">
        <f>+CF460/CH460</f>
        <v>0.25054780610336164</v>
      </c>
      <c r="CG465" s="127">
        <f>+CG460/CH460</f>
        <v>0.28159905937683716</v>
      </c>
      <c r="CH465" s="1001"/>
      <c r="CI465" s="127">
        <f>+CI460/CM460</f>
        <v>0.23220583342575135</v>
      </c>
      <c r="CJ465" s="127">
        <f>+CJ460/CM460</f>
        <v>0.24254186536542088</v>
      </c>
      <c r="CK465" s="127">
        <f>+CK460/CM460</f>
        <v>0.24957302872352224</v>
      </c>
      <c r="CL465" s="127">
        <f>+CL460/CM460</f>
        <v>0.27567927248530555</v>
      </c>
      <c r="CM465" s="1001"/>
      <c r="CN465" s="127">
        <f>+CN460/CR460</f>
        <v>0.22789693832725327</v>
      </c>
      <c r="CO465" s="127">
        <f>+CO460/CR460</f>
        <v>0.23687377046049238</v>
      </c>
      <c r="CP465" s="127">
        <f>+CP460/CR460</f>
        <v>0.24995702580361748</v>
      </c>
      <c r="CQ465" s="127">
        <f>+CQ460/CR460</f>
        <v>0.28527226540863687</v>
      </c>
      <c r="CR465" s="1001"/>
      <c r="CS465" s="127">
        <f>+CS460/CW460</f>
        <v>0.22462961511327115</v>
      </c>
      <c r="CT465" s="127">
        <f>+CT460/CW460</f>
        <v>0.24143607431214234</v>
      </c>
      <c r="CU465" s="127">
        <f>+CU460/CW460</f>
        <v>0.25223798698753624</v>
      </c>
      <c r="CV465" s="127">
        <f>+CV460/CW460</f>
        <v>0.28169632358705027</v>
      </c>
      <c r="CW465" s="1001"/>
      <c r="CX465" s="127">
        <f>+CX460/DB460</f>
        <v>0.22372345348897002</v>
      </c>
      <c r="CY465" s="127">
        <f>+CY460/DB460</f>
        <v>0.23686172674448502</v>
      </c>
      <c r="CZ465" s="127">
        <f>+CZ460/DB460</f>
        <v>0.25354810510618603</v>
      </c>
      <c r="DA465" s="127">
        <f>+DA460/DB460</f>
        <v>0.2858667146603589</v>
      </c>
      <c r="DB465" s="1001"/>
      <c r="DC465" s="127">
        <f>+DC460/DG460</f>
        <v>0.22834662016276366</v>
      </c>
      <c r="DD465" s="127">
        <f>+DD460/DG460</f>
        <v>0.24146736422521176</v>
      </c>
      <c r="DE465" s="127">
        <f>+DE460/DG460</f>
        <v>0.24968858993522672</v>
      </c>
      <c r="DF465" s="127">
        <f>+DF460/DG460</f>
        <v>0.28049742567679786</v>
      </c>
      <c r="DG465" s="1001"/>
      <c r="DH465" s="127"/>
      <c r="DI465" s="127"/>
      <c r="DJ465" s="127"/>
      <c r="DK465" s="1121"/>
      <c r="DL465" s="1710"/>
      <c r="DM465" s="1121"/>
      <c r="DN465" s="1121"/>
      <c r="DO465" s="1121"/>
      <c r="DP465" s="1121"/>
      <c r="DQ465" s="1710"/>
      <c r="DR465" s="1121"/>
      <c r="DS465" s="1121"/>
      <c r="DT465" s="1121"/>
      <c r="DU465" s="1121"/>
      <c r="DV465" s="1710"/>
      <c r="DW465" s="1121"/>
      <c r="DX465" s="1121"/>
      <c r="DY465" s="1121"/>
      <c r="DZ465" s="1121"/>
      <c r="EA465" s="3998"/>
      <c r="EB465" s="1121"/>
      <c r="EC465" s="1121"/>
      <c r="ED465" s="1121"/>
      <c r="EE465" s="1121"/>
      <c r="EF465" s="3998"/>
      <c r="EG465" s="1121"/>
      <c r="EH465" s="1121"/>
      <c r="EI465" s="1121"/>
      <c r="EJ465" s="1121"/>
      <c r="EK465" s="3998"/>
      <c r="EL465" s="1121"/>
      <c r="EM465" s="1121"/>
      <c r="EN465" s="1121"/>
      <c r="EO465" s="1121"/>
      <c r="EP465" s="3998"/>
      <c r="EQ465" s="1121"/>
      <c r="ER465" s="1121"/>
      <c r="ES465" s="1121"/>
      <c r="ET465" s="1121"/>
      <c r="EU465" s="3998"/>
      <c r="EV465" s="3998"/>
      <c r="EW465" s="3998"/>
      <c r="EX465" s="3998"/>
      <c r="EY465" s="3998"/>
      <c r="EZ465" s="42"/>
      <c r="FA465" s="725"/>
      <c r="FB465" s="725"/>
    </row>
    <row r="466" spans="1:158" s="239" customFormat="1" ht="11.25" hidden="1" customHeight="1">
      <c r="A466" s="1573"/>
      <c r="B466" s="1488"/>
      <c r="C466" s="223"/>
      <c r="D466" s="223"/>
      <c r="E466" s="223"/>
      <c r="F466" s="223"/>
      <c r="G466" s="223"/>
      <c r="H466" s="223"/>
      <c r="I466" s="223"/>
      <c r="J466" s="223"/>
      <c r="K466" s="1020"/>
      <c r="L466" s="223"/>
      <c r="M466" s="223"/>
      <c r="N466" s="223"/>
      <c r="O466" s="223"/>
      <c r="P466" s="1020"/>
      <c r="Q466" s="1488"/>
      <c r="R466" s="223"/>
      <c r="S466" s="223"/>
      <c r="T466" s="223"/>
      <c r="U466" s="1020"/>
      <c r="V466" s="1488"/>
      <c r="W466" s="223"/>
      <c r="X466" s="223"/>
      <c r="Y466" s="223"/>
      <c r="Z466" s="1020"/>
      <c r="AA466" s="1488"/>
      <c r="AB466" s="223"/>
      <c r="AC466" s="223"/>
      <c r="AD466" s="223"/>
      <c r="AE466" s="1020"/>
      <c r="AF466" s="1488"/>
      <c r="AG466" s="223"/>
      <c r="AH466" s="223"/>
      <c r="AI466" s="223"/>
      <c r="AJ466" s="1020"/>
      <c r="AK466" s="1488"/>
      <c r="AL466" s="223"/>
      <c r="AM466" s="223"/>
      <c r="AN466" s="2612"/>
      <c r="AO466" s="1020"/>
      <c r="AP466" s="1488"/>
      <c r="AQ466" s="223"/>
      <c r="AR466" s="223"/>
      <c r="AS466" s="223"/>
      <c r="AT466" s="1020"/>
      <c r="AU466" s="1488"/>
      <c r="AV466" s="223"/>
      <c r="AW466" s="223"/>
      <c r="AX466" s="223"/>
      <c r="AY466" s="1020"/>
      <c r="AZ466" s="1489"/>
      <c r="BA466" s="223"/>
      <c r="BB466" s="223"/>
      <c r="BC466" s="223"/>
      <c r="BD466" s="1020"/>
      <c r="BE466" s="1488"/>
      <c r="BF466" s="223"/>
      <c r="BG466" s="223"/>
      <c r="BH466" s="223"/>
      <c r="BI466" s="1020"/>
      <c r="BJ466" s="1488"/>
      <c r="BK466" s="223"/>
      <c r="BL466" s="223"/>
      <c r="BM466" s="223"/>
      <c r="BN466" s="1020"/>
      <c r="BO466" s="223"/>
      <c r="BP466" s="223"/>
      <c r="BQ466" s="223"/>
      <c r="BR466" s="223"/>
      <c r="BS466" s="1050"/>
      <c r="BT466" s="223"/>
      <c r="BU466" s="223"/>
      <c r="BV466" s="223"/>
      <c r="BW466" s="223"/>
      <c r="BX466" s="1020"/>
      <c r="BY466" s="223"/>
      <c r="BZ466" s="223"/>
      <c r="CA466" s="223"/>
      <c r="CB466" s="223"/>
      <c r="CC466" s="1050"/>
      <c r="CD466" s="223"/>
      <c r="CE466" s="223"/>
      <c r="CF466" s="223"/>
      <c r="CG466" s="223"/>
      <c r="CH466" s="1020"/>
      <c r="CI466" s="617"/>
      <c r="CJ466" s="617"/>
      <c r="CK466" s="223"/>
      <c r="CL466" s="223"/>
      <c r="CM466" s="1020"/>
      <c r="CN466" s="617"/>
      <c r="CO466" s="617"/>
      <c r="CP466" s="223"/>
      <c r="CQ466" s="223"/>
      <c r="CR466" s="1020"/>
      <c r="CS466" s="223"/>
      <c r="CT466" s="223"/>
      <c r="CU466" s="223"/>
      <c r="CV466" s="223"/>
      <c r="CW466" s="1020"/>
      <c r="CX466" s="223"/>
      <c r="CY466" s="223"/>
      <c r="CZ466" s="223"/>
      <c r="DA466" s="223"/>
      <c r="DB466" s="1020"/>
      <c r="DC466" s="223"/>
      <c r="DD466" s="223"/>
      <c r="DE466" s="223"/>
      <c r="DF466" s="223"/>
      <c r="DG466" s="1020"/>
      <c r="DH466" s="223"/>
      <c r="DI466" s="223"/>
      <c r="DJ466" s="223"/>
      <c r="DK466" s="2007"/>
      <c r="DL466" s="2933"/>
      <c r="DM466" s="2007"/>
      <c r="DN466" s="2007"/>
      <c r="DO466" s="2007"/>
      <c r="DP466" s="2007"/>
      <c r="DQ466" s="2933"/>
      <c r="DR466" s="2007"/>
      <c r="DS466" s="2007"/>
      <c r="DT466" s="2007"/>
      <c r="DU466" s="2007"/>
      <c r="DV466" s="2933"/>
      <c r="DW466" s="2007"/>
      <c r="DX466" s="2007"/>
      <c r="DY466" s="2007"/>
      <c r="DZ466" s="2007"/>
      <c r="EA466" s="3534"/>
      <c r="EB466" s="2007"/>
      <c r="EC466" s="2007"/>
      <c r="ED466" s="2007"/>
      <c r="EE466" s="2007"/>
      <c r="EF466" s="3534"/>
      <c r="EG466" s="2007"/>
      <c r="EH466" s="2007"/>
      <c r="EI466" s="2007"/>
      <c r="EJ466" s="2007"/>
      <c r="EK466" s="3534"/>
      <c r="EL466" s="2007"/>
      <c r="EM466" s="2007"/>
      <c r="EN466" s="2007"/>
      <c r="EO466" s="2007"/>
      <c r="EP466" s="3534"/>
      <c r="EQ466" s="2007"/>
      <c r="ER466" s="2007"/>
      <c r="ES466" s="2007"/>
      <c r="ET466" s="2007"/>
      <c r="EU466" s="3534"/>
      <c r="EV466" s="3534"/>
      <c r="EW466" s="3534"/>
      <c r="EX466" s="3534"/>
      <c r="EY466" s="3534"/>
      <c r="EZ466" s="223"/>
      <c r="FA466" s="725"/>
      <c r="FB466" s="725"/>
    </row>
    <row r="467" spans="1:158" s="180" customFormat="1" ht="11.25" hidden="1" customHeight="1">
      <c r="A467" s="3009" t="str">
        <f t="shared" ref="A467:AF467" si="1284">A29</f>
        <v>Google Network Members' properties</v>
      </c>
      <c r="B467" s="2994">
        <f t="shared" si="1284"/>
        <v>0</v>
      </c>
      <c r="C467" s="2995">
        <f t="shared" si="1284"/>
        <v>0</v>
      </c>
      <c r="D467" s="2995">
        <f t="shared" si="1284"/>
        <v>0</v>
      </c>
      <c r="E467" s="2995">
        <f t="shared" si="1284"/>
        <v>0</v>
      </c>
      <c r="F467" s="3083">
        <f t="shared" si="1284"/>
        <v>0</v>
      </c>
      <c r="G467" s="2994">
        <f t="shared" si="1284"/>
        <v>0</v>
      </c>
      <c r="H467" s="2995">
        <f t="shared" si="1284"/>
        <v>0</v>
      </c>
      <c r="I467" s="2995">
        <f t="shared" si="1284"/>
        <v>0</v>
      </c>
      <c r="J467" s="2995">
        <f t="shared" si="1284"/>
        <v>0</v>
      </c>
      <c r="K467" s="2996">
        <f t="shared" si="1284"/>
        <v>0</v>
      </c>
      <c r="L467" s="2995">
        <f t="shared" si="1284"/>
        <v>0</v>
      </c>
      <c r="M467" s="2995">
        <f t="shared" si="1284"/>
        <v>0</v>
      </c>
      <c r="N467" s="2995">
        <f t="shared" si="1284"/>
        <v>0</v>
      </c>
      <c r="O467" s="2995">
        <f t="shared" si="1284"/>
        <v>0</v>
      </c>
      <c r="P467" s="2996">
        <f t="shared" si="1284"/>
        <v>0</v>
      </c>
      <c r="Q467" s="2994">
        <f t="shared" si="1284"/>
        <v>0</v>
      </c>
      <c r="R467" s="2995">
        <f t="shared" si="1284"/>
        <v>14.919750000000004</v>
      </c>
      <c r="S467" s="2995">
        <f t="shared" si="1284"/>
        <v>31.388880000000007</v>
      </c>
      <c r="T467" s="2995">
        <f t="shared" si="1284"/>
        <v>57.628369999999975</v>
      </c>
      <c r="U467" s="2996">
        <f t="shared" si="1284"/>
        <v>103.937</v>
      </c>
      <c r="V467" s="2994">
        <f t="shared" si="1284"/>
        <v>81.218000000000004</v>
      </c>
      <c r="W467" s="2995">
        <f t="shared" si="1284"/>
        <v>117.583</v>
      </c>
      <c r="X467" s="2995">
        <f t="shared" si="1284"/>
        <v>174.44399999999999</v>
      </c>
      <c r="Y467" s="2995">
        <f t="shared" si="1284"/>
        <v>255.35400000000001</v>
      </c>
      <c r="Z467" s="2996">
        <f t="shared" si="1284"/>
        <v>628.6</v>
      </c>
      <c r="AA467" s="2994">
        <f t="shared" si="1284"/>
        <v>333.75200000000001</v>
      </c>
      <c r="AB467" s="2995">
        <f t="shared" si="1284"/>
        <v>346.226</v>
      </c>
      <c r="AC467" s="2995">
        <f t="shared" si="1284"/>
        <v>384.3</v>
      </c>
      <c r="AD467" s="2995">
        <f t="shared" si="1284"/>
        <v>489.99299999999999</v>
      </c>
      <c r="AE467" s="2996">
        <f t="shared" si="1284"/>
        <v>1554.271</v>
      </c>
      <c r="AF467" s="2994">
        <f t="shared" si="1284"/>
        <v>584.1146</v>
      </c>
      <c r="AG467" s="2995">
        <f t="shared" ref="AG467:BN467" si="1285">AG29</f>
        <v>630.24199999999996</v>
      </c>
      <c r="AH467" s="2995">
        <f t="shared" si="1285"/>
        <v>675.01199999999994</v>
      </c>
      <c r="AI467" s="2995">
        <f t="shared" si="1285"/>
        <v>798.57299999999998</v>
      </c>
      <c r="AJ467" s="2996">
        <f t="shared" si="1285"/>
        <v>2687.9416000000001</v>
      </c>
      <c r="AK467" s="2994">
        <f t="shared" si="1285"/>
        <v>928.37599999999998</v>
      </c>
      <c r="AL467" s="2995">
        <f t="shared" si="1285"/>
        <v>996.56700000000001</v>
      </c>
      <c r="AM467" s="2995">
        <f t="shared" si="1285"/>
        <v>1037.0219999999999</v>
      </c>
      <c r="AN467" s="2997">
        <f t="shared" si="1285"/>
        <v>1197.867</v>
      </c>
      <c r="AO467" s="2996">
        <f t="shared" si="1285"/>
        <v>4159.8320000000003</v>
      </c>
      <c r="AP467" s="2994">
        <f t="shared" si="1285"/>
        <v>1345.329</v>
      </c>
      <c r="AQ467" s="2995">
        <f t="shared" si="1285"/>
        <v>1352.0509999999999</v>
      </c>
      <c r="AR467" s="2995">
        <f t="shared" si="1285"/>
        <v>1454.721</v>
      </c>
      <c r="AS467" s="2997">
        <f t="shared" si="1285"/>
        <v>1635.836</v>
      </c>
      <c r="AT467" s="2996">
        <f t="shared" si="1285"/>
        <v>5787.9370000000008</v>
      </c>
      <c r="AU467" s="2994">
        <f t="shared" si="1285"/>
        <v>1686.1410000000001</v>
      </c>
      <c r="AV467" s="2995">
        <f t="shared" si="1285"/>
        <v>1655.28</v>
      </c>
      <c r="AW467" s="2995">
        <f t="shared" si="1285"/>
        <v>1679.8610000000001</v>
      </c>
      <c r="AX467" s="2997">
        <f t="shared" si="1285"/>
        <v>1693.405</v>
      </c>
      <c r="AY467" s="2996">
        <f t="shared" si="1285"/>
        <v>6714.6869999999999</v>
      </c>
      <c r="AZ467" s="2994">
        <f t="shared" si="1285"/>
        <v>1638.0419999999999</v>
      </c>
      <c r="BA467" s="2995">
        <f t="shared" si="1285"/>
        <v>1683.5</v>
      </c>
      <c r="BB467" s="2995">
        <f t="shared" si="1285"/>
        <v>1800.89</v>
      </c>
      <c r="BC467" s="2997">
        <f t="shared" si="1285"/>
        <v>2043.886</v>
      </c>
      <c r="BD467" s="2996">
        <f t="shared" si="1285"/>
        <v>7166.3179999999993</v>
      </c>
      <c r="BE467" s="2994">
        <f t="shared" si="1285"/>
        <v>2036</v>
      </c>
      <c r="BF467" s="2995">
        <f t="shared" si="1285"/>
        <v>2063</v>
      </c>
      <c r="BG467" s="2995">
        <f t="shared" si="1285"/>
        <v>2199</v>
      </c>
      <c r="BH467" s="2997">
        <f t="shared" si="1285"/>
        <v>2495</v>
      </c>
      <c r="BI467" s="2996">
        <f t="shared" si="1285"/>
        <v>8793</v>
      </c>
      <c r="BJ467" s="2994">
        <f t="shared" si="1285"/>
        <v>2427</v>
      </c>
      <c r="BK467" s="2995">
        <f t="shared" si="1285"/>
        <v>2484</v>
      </c>
      <c r="BL467" s="2995">
        <f t="shared" si="1285"/>
        <v>2595</v>
      </c>
      <c r="BM467" s="2995">
        <f t="shared" si="1285"/>
        <v>2880</v>
      </c>
      <c r="BN467" s="2996">
        <f t="shared" si="1285"/>
        <v>10386</v>
      </c>
      <c r="BO467" s="2995"/>
      <c r="BP467" s="2995"/>
      <c r="BQ467" s="2995"/>
      <c r="BR467" s="2995"/>
      <c r="BS467" s="2998"/>
      <c r="BT467" s="2995">
        <f>BT29</f>
        <v>2913</v>
      </c>
      <c r="BU467" s="2995">
        <f>BU29</f>
        <v>2983</v>
      </c>
      <c r="BV467" s="2995">
        <f>BV29</f>
        <v>3133</v>
      </c>
      <c r="BW467" s="2995">
        <f>BW29</f>
        <v>3436</v>
      </c>
      <c r="BX467" s="2996">
        <f>BX29</f>
        <v>12465</v>
      </c>
      <c r="BY467" s="2995"/>
      <c r="BZ467" s="2995"/>
      <c r="CA467" s="2995"/>
      <c r="CB467" s="2995"/>
      <c r="CC467" s="2998"/>
      <c r="CD467" s="2994">
        <f t="shared" ref="CD467:CL467" si="1286">CD29</f>
        <v>3391</v>
      </c>
      <c r="CE467" s="2995">
        <f t="shared" si="1286"/>
        <v>3314</v>
      </c>
      <c r="CF467" s="2995">
        <f t="shared" si="1286"/>
        <v>3277</v>
      </c>
      <c r="CG467" s="2995">
        <f t="shared" si="1286"/>
        <v>3668</v>
      </c>
      <c r="CH467" s="2996">
        <f t="shared" si="1286"/>
        <v>13650</v>
      </c>
      <c r="CI467" s="2999">
        <f t="shared" si="1286"/>
        <v>3528</v>
      </c>
      <c r="CJ467" s="2995">
        <f t="shared" si="1286"/>
        <v>3563</v>
      </c>
      <c r="CK467" s="2995">
        <f t="shared" si="1286"/>
        <v>3568</v>
      </c>
      <c r="CL467" s="2995">
        <f t="shared" si="1286"/>
        <v>3880</v>
      </c>
      <c r="CM467" s="2996">
        <f>SUM(CI467:CL467)</f>
        <v>14539</v>
      </c>
      <c r="CN467" s="2995">
        <f>CN29</f>
        <v>3576</v>
      </c>
      <c r="CO467" s="2995">
        <f>CO29</f>
        <v>3621</v>
      </c>
      <c r="CP467" s="2995">
        <f>CP29</f>
        <v>3694</v>
      </c>
      <c r="CQ467" s="2995">
        <f>CQ29</f>
        <v>4142</v>
      </c>
      <c r="CR467" s="2996">
        <f>SUM(CN467:CQ467)</f>
        <v>15033</v>
      </c>
      <c r="CS467" s="2995">
        <f>CS29</f>
        <v>3692</v>
      </c>
      <c r="CT467" s="2995">
        <f>CT29</f>
        <v>3743</v>
      </c>
      <c r="CU467" s="2995">
        <f>CU29</f>
        <v>3732</v>
      </c>
      <c r="CV467" s="2995">
        <f>CV29</f>
        <v>4431</v>
      </c>
      <c r="CW467" s="2996">
        <f>SUM(CS467:CV467)</f>
        <v>15598</v>
      </c>
      <c r="CX467" s="3010">
        <v>4008</v>
      </c>
      <c r="CY467" s="3010">
        <v>4247</v>
      </c>
      <c r="CZ467" s="3010">
        <v>4342</v>
      </c>
      <c r="DA467" s="3010">
        <v>4990</v>
      </c>
      <c r="DB467" s="2996">
        <f>SUM(CX467:DA467)</f>
        <v>17587</v>
      </c>
      <c r="DC467" s="3010">
        <v>4644</v>
      </c>
      <c r="DD467" s="3010">
        <v>4825</v>
      </c>
      <c r="DE467" s="3010">
        <v>4900</v>
      </c>
      <c r="DF467" s="3010">
        <v>5613</v>
      </c>
      <c r="DG467" s="2996">
        <f>SUM(DC467:DF467)</f>
        <v>19982</v>
      </c>
      <c r="DH467" s="3010">
        <v>5038</v>
      </c>
      <c r="DI467" s="3010">
        <v>5266</v>
      </c>
      <c r="DJ467" s="3010">
        <v>5269</v>
      </c>
      <c r="DK467" s="4500"/>
      <c r="DL467" s="2926"/>
      <c r="DM467" s="4297"/>
      <c r="DN467" s="4297"/>
      <c r="DO467" s="4297"/>
      <c r="DP467" s="4297"/>
      <c r="DQ467" s="2926"/>
      <c r="DR467" s="4297"/>
      <c r="DS467" s="4297"/>
      <c r="DT467" s="4297"/>
      <c r="DU467" s="4297"/>
      <c r="DV467" s="2926"/>
      <c r="DW467" s="4297"/>
      <c r="DX467" s="4297"/>
      <c r="DY467" s="4297"/>
      <c r="DZ467" s="4297"/>
      <c r="EA467" s="4298"/>
      <c r="EB467" s="4297"/>
      <c r="EC467" s="4297"/>
      <c r="ED467" s="4297"/>
      <c r="EE467" s="4297"/>
      <c r="EF467" s="4298"/>
      <c r="EG467" s="4297"/>
      <c r="EH467" s="4297"/>
      <c r="EI467" s="4297"/>
      <c r="EJ467" s="4297"/>
      <c r="EK467" s="4298"/>
      <c r="EL467" s="4297"/>
      <c r="EM467" s="4297"/>
      <c r="EN467" s="4297"/>
      <c r="EO467" s="4297"/>
      <c r="EP467" s="4298"/>
      <c r="EQ467" s="4297"/>
      <c r="ER467" s="4297"/>
      <c r="ES467" s="4297"/>
      <c r="ET467" s="4297"/>
      <c r="EU467" s="4298"/>
      <c r="EV467" s="4298"/>
      <c r="EW467" s="4298"/>
      <c r="EX467" s="4298"/>
      <c r="EY467" s="4298"/>
      <c r="EZ467" s="175"/>
      <c r="FA467" s="1319"/>
      <c r="FB467" s="1319"/>
    </row>
    <row r="468" spans="1:158" s="183" customFormat="1" ht="11.25" hidden="1" customHeight="1">
      <c r="A468" s="1573" t="s">
        <v>655</v>
      </c>
      <c r="B468" s="1226"/>
      <c r="C468" s="169"/>
      <c r="D468" s="169"/>
      <c r="E468" s="182"/>
      <c r="F468" s="1231"/>
      <c r="G468" s="1226"/>
      <c r="H468" s="169"/>
      <c r="I468" s="169"/>
      <c r="J468" s="169"/>
      <c r="K468" s="992"/>
      <c r="L468" s="169"/>
      <c r="M468" s="169"/>
      <c r="N468" s="169"/>
      <c r="O468" s="169"/>
      <c r="P468" s="992"/>
      <c r="Q468" s="1226"/>
      <c r="R468" s="169"/>
      <c r="S468" s="169"/>
      <c r="T468" s="169"/>
      <c r="U468" s="992"/>
      <c r="V468" s="1226"/>
      <c r="W468" s="169"/>
      <c r="X468" s="169"/>
      <c r="Y468" s="169"/>
      <c r="Z468" s="992"/>
      <c r="AA468" s="1226"/>
      <c r="AB468" s="169"/>
      <c r="AC468" s="169"/>
      <c r="AD468" s="169"/>
      <c r="AE468" s="992"/>
      <c r="AF468" s="1226"/>
      <c r="AG468" s="169"/>
      <c r="AH468" s="169"/>
      <c r="AI468" s="169"/>
      <c r="AJ468" s="992"/>
      <c r="AK468" s="1226"/>
      <c r="AL468" s="169"/>
      <c r="AM468" s="169"/>
      <c r="AN468" s="169"/>
      <c r="AO468" s="992"/>
      <c r="AP468" s="1226"/>
      <c r="AQ468" s="169"/>
      <c r="AR468" s="169"/>
      <c r="AS468" s="169"/>
      <c r="AT468" s="992"/>
      <c r="AU468" s="1226"/>
      <c r="AV468" s="169"/>
      <c r="AW468" s="169"/>
      <c r="AX468" s="169"/>
      <c r="AY468" s="992"/>
      <c r="AZ468" s="1226"/>
      <c r="BA468" s="169"/>
      <c r="BB468" s="169"/>
      <c r="BC468" s="169"/>
      <c r="BD468" s="992"/>
      <c r="BE468" s="1226"/>
      <c r="BF468" s="169"/>
      <c r="BG468" s="169"/>
      <c r="BH468" s="169"/>
      <c r="BI468" s="992"/>
      <c r="BJ468" s="1226"/>
      <c r="BK468" s="169"/>
      <c r="BL468" s="169"/>
      <c r="BM468" s="169"/>
      <c r="BN468" s="992"/>
      <c r="BO468" s="169"/>
      <c r="BP468" s="169"/>
      <c r="BQ468" s="169"/>
      <c r="BR468" s="169"/>
      <c r="BS468" s="600"/>
      <c r="BT468" s="169"/>
      <c r="BU468" s="169"/>
      <c r="BV468" s="169"/>
      <c r="BW468" s="169"/>
      <c r="BX468" s="992"/>
      <c r="BY468" s="169"/>
      <c r="BZ468" s="169"/>
      <c r="CA468" s="169"/>
      <c r="CB468" s="169"/>
      <c r="CC468" s="600"/>
      <c r="CD468" s="1226">
        <f t="shared" ref="CD468:CW468" si="1287">(1+CD442)*(1+CD446)-1</f>
        <v>9.2000000000000082E-2</v>
      </c>
      <c r="CE468" s="169">
        <f t="shared" si="1287"/>
        <v>7.3499999999999899E-2</v>
      </c>
      <c r="CF468" s="169">
        <f t="shared" si="1287"/>
        <v>-1.3000000000000012E-2</v>
      </c>
      <c r="CG468" s="169">
        <f t="shared" si="1287"/>
        <v>-2.0999999999999908E-2</v>
      </c>
      <c r="CH468" s="992">
        <f t="shared" si="1287"/>
        <v>0</v>
      </c>
      <c r="CI468" s="551">
        <f t="shared" si="1287"/>
        <v>-4.0799999999999947E-2</v>
      </c>
      <c r="CJ468" s="205">
        <f t="shared" si="1287"/>
        <v>-5.1699999999999968E-2</v>
      </c>
      <c r="CK468" s="205">
        <f t="shared" si="1287"/>
        <v>-2.0800000000000041E-2</v>
      </c>
      <c r="CL468" s="169">
        <f t="shared" si="1287"/>
        <v>-5.6599999999999984E-2</v>
      </c>
      <c r="CM468" s="992">
        <f t="shared" si="1287"/>
        <v>-3.6293750000000014E-2</v>
      </c>
      <c r="CN468" s="181">
        <f t="shared" si="1287"/>
        <v>-0.10239999999999994</v>
      </c>
      <c r="CO468" s="205">
        <f t="shared" si="1287"/>
        <v>-0.11729999999999996</v>
      </c>
      <c r="CP468" s="205">
        <f t="shared" si="1287"/>
        <v>-8.8000000000000078E-2</v>
      </c>
      <c r="CQ468" s="169">
        <f t="shared" si="1287"/>
        <v>-6.1599999999999988E-2</v>
      </c>
      <c r="CR468" s="992">
        <f t="shared" si="1287"/>
        <v>-9.0550000000000019E-2</v>
      </c>
      <c r="CS468" s="181">
        <f t="shared" si="1287"/>
        <v>-6.1599999999999988E-2</v>
      </c>
      <c r="CT468" s="205">
        <f t="shared" si="1287"/>
        <v>-7.999999999999996E-2</v>
      </c>
      <c r="CU468" s="205">
        <f t="shared" si="1287"/>
        <v>-0.13139999999999996</v>
      </c>
      <c r="CV468" s="205">
        <f t="shared" si="1287"/>
        <v>-0.13329999999999986</v>
      </c>
      <c r="CW468" s="992">
        <f t="shared" si="1287"/>
        <v>-0.10056250000000011</v>
      </c>
      <c r="CX468" s="181">
        <f t="shared" ref="CX468:DJ468" si="1288">(1+CX159)*(1+CX163)-1</f>
        <v>5.8400000000000007E-2</v>
      </c>
      <c r="CY468" s="169">
        <f t="shared" si="1288"/>
        <v>0.10210000000000008</v>
      </c>
      <c r="CZ468" s="205">
        <f t="shared" si="1288"/>
        <v>0.14400000000000013</v>
      </c>
      <c r="DA468" s="169">
        <f t="shared" si="1288"/>
        <v>0.15429999999999988</v>
      </c>
      <c r="DB468" s="992">
        <f t="shared" si="1288"/>
        <v>0.11755000000000004</v>
      </c>
      <c r="DC468" s="181">
        <f t="shared" si="1288"/>
        <v>0.17999999999999994</v>
      </c>
      <c r="DD468" s="2612">
        <f t="shared" si="1288"/>
        <v>0.1514000000000002</v>
      </c>
      <c r="DE468" s="2612">
        <f t="shared" si="1288"/>
        <v>0.12110000000000021</v>
      </c>
      <c r="DF468" s="2612">
        <f t="shared" si="1288"/>
        <v>0.12350000000000017</v>
      </c>
      <c r="DG468" s="2588">
        <f t="shared" si="1288"/>
        <v>0.14240000000000008</v>
      </c>
      <c r="DH468" s="2612">
        <f t="shared" si="1288"/>
        <v>7.0599999999999996E-2</v>
      </c>
      <c r="DI468" s="2612">
        <f t="shared" si="1288"/>
        <v>9.8899999999999988E-2</v>
      </c>
      <c r="DJ468" s="2612">
        <f t="shared" si="1288"/>
        <v>8.6400000000000032E-2</v>
      </c>
      <c r="DK468" s="2660"/>
      <c r="DL468" s="2597"/>
      <c r="DM468" s="2660"/>
      <c r="DN468" s="2660"/>
      <c r="DO468" s="2660"/>
      <c r="DP468" s="2660"/>
      <c r="DQ468" s="2597"/>
      <c r="DR468" s="2660"/>
      <c r="DS468" s="2660"/>
      <c r="DT468" s="2660"/>
      <c r="DU468" s="2660"/>
      <c r="DV468" s="2597"/>
      <c r="DW468" s="2660"/>
      <c r="DX468" s="2660"/>
      <c r="DY468" s="2660"/>
      <c r="DZ468" s="2660"/>
      <c r="EA468" s="2597"/>
      <c r="EB468" s="2660"/>
      <c r="EC468" s="2660"/>
      <c r="ED468" s="2660"/>
      <c r="EE468" s="2660"/>
      <c r="EF468" s="2597"/>
      <c r="EG468" s="2660"/>
      <c r="EH468" s="2660"/>
      <c r="EI468" s="2660"/>
      <c r="EJ468" s="2660"/>
      <c r="EK468" s="2597"/>
      <c r="EL468" s="2660"/>
      <c r="EM468" s="2660"/>
      <c r="EN468" s="2660"/>
      <c r="EO468" s="2660"/>
      <c r="EP468" s="2597"/>
      <c r="EQ468" s="2660"/>
      <c r="ER468" s="2660"/>
      <c r="ES468" s="2660"/>
      <c r="ET468" s="2660"/>
      <c r="EU468" s="2597"/>
      <c r="EV468" s="2597"/>
      <c r="EW468" s="2597"/>
      <c r="EX468" s="2597"/>
      <c r="EY468" s="2597"/>
      <c r="EZ468" s="181"/>
      <c r="FA468" s="725"/>
      <c r="FB468" s="725"/>
    </row>
    <row r="469" spans="1:158" s="183" customFormat="1" ht="11.25" hidden="1" customHeight="1">
      <c r="A469" s="2502" t="s">
        <v>45</v>
      </c>
      <c r="B469" s="2497">
        <f t="shared" ref="B469:AG469" si="1289">B30</f>
        <v>0</v>
      </c>
      <c r="C469" s="2288">
        <f t="shared" si="1289"/>
        <v>0</v>
      </c>
      <c r="D469" s="2288">
        <f t="shared" si="1289"/>
        <v>0</v>
      </c>
      <c r="E469" s="2289">
        <f t="shared" si="1289"/>
        <v>0</v>
      </c>
      <c r="F469" s="2498">
        <f t="shared" si="1289"/>
        <v>0</v>
      </c>
      <c r="G469" s="2497">
        <f t="shared" si="1289"/>
        <v>0</v>
      </c>
      <c r="H469" s="2288">
        <f t="shared" si="1289"/>
        <v>0</v>
      </c>
      <c r="I469" s="2288">
        <f t="shared" si="1289"/>
        <v>0</v>
      </c>
      <c r="J469" s="2288">
        <f t="shared" si="1289"/>
        <v>0</v>
      </c>
      <c r="K469" s="2290">
        <f t="shared" si="1289"/>
        <v>0</v>
      </c>
      <c r="L469" s="2288">
        <f t="shared" si="1289"/>
        <v>0</v>
      </c>
      <c r="M469" s="2288">
        <f t="shared" si="1289"/>
        <v>0</v>
      </c>
      <c r="N469" s="2288">
        <f t="shared" si="1289"/>
        <v>0</v>
      </c>
      <c r="O469" s="2288">
        <f t="shared" si="1289"/>
        <v>0</v>
      </c>
      <c r="P469" s="2290" t="str">
        <f t="shared" si="1289"/>
        <v>NA</v>
      </c>
      <c r="Q469" s="2497" t="str">
        <f t="shared" si="1289"/>
        <v>NA</v>
      </c>
      <c r="R469" s="2288" t="str">
        <f t="shared" si="1289"/>
        <v>NA</v>
      </c>
      <c r="S469" s="2288" t="str">
        <f t="shared" si="1289"/>
        <v>NA</v>
      </c>
      <c r="T469" s="2288" t="str">
        <f t="shared" si="1289"/>
        <v>NA</v>
      </c>
      <c r="U469" s="2290" t="str">
        <f t="shared" si="1289"/>
        <v>NA</v>
      </c>
      <c r="V469" s="2497" t="str">
        <f t="shared" si="1289"/>
        <v>NA</v>
      </c>
      <c r="W469" s="2288">
        <f t="shared" si="1289"/>
        <v>6.8810301781196044</v>
      </c>
      <c r="X469" s="2288">
        <f t="shared" si="1289"/>
        <v>4.5575095384097795</v>
      </c>
      <c r="Y469" s="2288">
        <f t="shared" si="1289"/>
        <v>3.4310467223001471</v>
      </c>
      <c r="Z469" s="2290">
        <f t="shared" si="1289"/>
        <v>5.0478943975677577</v>
      </c>
      <c r="AA469" s="2497">
        <f t="shared" si="1289"/>
        <v>3.1093353690068701</v>
      </c>
      <c r="AB469" s="2288">
        <f t="shared" si="1289"/>
        <v>1.9445242934777989</v>
      </c>
      <c r="AC469" s="2288">
        <f t="shared" si="1289"/>
        <v>1.2029992433101744</v>
      </c>
      <c r="AD469" s="2288">
        <f t="shared" si="1289"/>
        <v>0.91887732324537685</v>
      </c>
      <c r="AE469" s="2290">
        <f t="shared" si="1289"/>
        <v>1.4725914731148584</v>
      </c>
      <c r="AF469" s="2497">
        <f t="shared" si="1289"/>
        <v>0.75014561710491612</v>
      </c>
      <c r="AG469" s="2288">
        <f t="shared" si="1289"/>
        <v>0.82031967558762187</v>
      </c>
      <c r="AH469" s="2288">
        <f t="shared" ref="AH469:BN469" si="1290">AH30</f>
        <v>0.75647150663544083</v>
      </c>
      <c r="AI469" s="2288">
        <f t="shared" si="1290"/>
        <v>0.6297640986707973</v>
      </c>
      <c r="AJ469" s="2290">
        <f t="shared" si="1290"/>
        <v>0.72939056316433892</v>
      </c>
      <c r="AK469" s="2497">
        <f t="shared" si="1290"/>
        <v>0.58937304426220471</v>
      </c>
      <c r="AL469" s="2288">
        <f t="shared" si="1290"/>
        <v>0.58124498208624642</v>
      </c>
      <c r="AM469" s="2288">
        <f t="shared" si="1290"/>
        <v>0.53630157686085589</v>
      </c>
      <c r="AN469" s="2288">
        <f t="shared" si="1290"/>
        <v>0.50000939175253856</v>
      </c>
      <c r="AO469" s="2290">
        <f t="shared" si="1290"/>
        <v>0.54759017085787876</v>
      </c>
      <c r="AP469" s="2497">
        <f t="shared" si="1290"/>
        <v>0.44912083035321904</v>
      </c>
      <c r="AQ469" s="2288">
        <f t="shared" si="1290"/>
        <v>0.35670858055705223</v>
      </c>
      <c r="AR469" s="2288">
        <f t="shared" si="1290"/>
        <v>0.4027870189832039</v>
      </c>
      <c r="AS469" s="2288">
        <f t="shared" si="1290"/>
        <v>0.36562406343943032</v>
      </c>
      <c r="AT469" s="2290">
        <f t="shared" si="1290"/>
        <v>0.39138720025231799</v>
      </c>
      <c r="AU469" s="2497">
        <f t="shared" si="1290"/>
        <v>0.2533298546303544</v>
      </c>
      <c r="AV469" s="2288">
        <f t="shared" si="1290"/>
        <v>0.22427334471850546</v>
      </c>
      <c r="AW469" s="2288">
        <f t="shared" si="1290"/>
        <v>0.15476507179039833</v>
      </c>
      <c r="AX469" s="2288">
        <f t="shared" si="1290"/>
        <v>3.5192403150438034E-2</v>
      </c>
      <c r="AY469" s="2290">
        <f t="shared" si="1290"/>
        <v>0.16011749955122156</v>
      </c>
      <c r="AZ469" s="2497">
        <f t="shared" si="1290"/>
        <v>-2.8526084117520556E-2</v>
      </c>
      <c r="BA469" s="2288">
        <f t="shared" si="1290"/>
        <v>1.7048475182446454E-2</v>
      </c>
      <c r="BB469" s="2288">
        <f t="shared" si="1290"/>
        <v>7.2047032462804861E-2</v>
      </c>
      <c r="BC469" s="2288">
        <f t="shared" si="1290"/>
        <v>0.20696820902264967</v>
      </c>
      <c r="BD469" s="2290">
        <f t="shared" si="1290"/>
        <v>6.7260171620806553E-2</v>
      </c>
      <c r="BE469" s="2497">
        <f t="shared" si="1290"/>
        <v>0.24294737253379339</v>
      </c>
      <c r="BF469" s="2288">
        <f t="shared" si="1290"/>
        <v>0.22542322542322535</v>
      </c>
      <c r="BG469" s="2288">
        <f t="shared" si="1290"/>
        <v>0.22106291889010432</v>
      </c>
      <c r="BH469" s="2288">
        <f t="shared" si="1290"/>
        <v>0.22071387543140863</v>
      </c>
      <c r="BI469" s="2290">
        <f t="shared" si="1290"/>
        <v>0.22698992704482279</v>
      </c>
      <c r="BJ469" s="2497">
        <f t="shared" si="1290"/>
        <v>0.1920432220039292</v>
      </c>
      <c r="BK469" s="2288">
        <f t="shared" si="1290"/>
        <v>0.20407174018419783</v>
      </c>
      <c r="BL469" s="2288">
        <f t="shared" si="1290"/>
        <v>0.18008185538881305</v>
      </c>
      <c r="BM469" s="2288">
        <f t="shared" si="1290"/>
        <v>0.15430861723446898</v>
      </c>
      <c r="BN469" s="2290">
        <f t="shared" si="1290"/>
        <v>0.18116683725690885</v>
      </c>
      <c r="BO469" s="2288"/>
      <c r="BP469" s="2288"/>
      <c r="BQ469" s="2288"/>
      <c r="BR469" s="2288"/>
      <c r="BS469" s="2499"/>
      <c r="BT469" s="2288">
        <f>BT30</f>
        <v>0.20024721878862795</v>
      </c>
      <c r="BU469" s="2288">
        <f>BU30</f>
        <v>0.20088566827697263</v>
      </c>
      <c r="BV469" s="2288">
        <f>BV30</f>
        <v>0.20732177263969165</v>
      </c>
      <c r="BW469" s="2288">
        <f>BW30</f>
        <v>0.19305555555555554</v>
      </c>
      <c r="BX469" s="2290">
        <f>BX30</f>
        <v>0.20017331022530338</v>
      </c>
      <c r="BY469" s="2288"/>
      <c r="BZ469" s="2288"/>
      <c r="CA469" s="2288"/>
      <c r="CB469" s="2288"/>
      <c r="CC469" s="2499"/>
      <c r="CD469" s="2497">
        <f>CD30</f>
        <v>0.16409200137315483</v>
      </c>
      <c r="CE469" s="2288">
        <f>CE30</f>
        <v>0.11096211867247741</v>
      </c>
      <c r="CF469" s="2288">
        <f>CF30</f>
        <v>4.5962336418768013E-2</v>
      </c>
      <c r="CG469" s="2288">
        <f>CG30</f>
        <v>6.7520372526193251E-2</v>
      </c>
      <c r="CH469" s="2290">
        <f>CH30</f>
        <v>9.5066185318892993E-2</v>
      </c>
      <c r="CI469" s="2501">
        <f>CI467/CD467-1</f>
        <v>4.0401061633736468E-2</v>
      </c>
      <c r="CJ469" s="2500">
        <f>CJ467/CE467-1</f>
        <v>7.5135787567893741E-2</v>
      </c>
      <c r="CK469" s="2500">
        <f>CK467/CF467-1</f>
        <v>8.880073237717423E-2</v>
      </c>
      <c r="CL469" s="2288">
        <f>CL30</f>
        <v>5.7797164667393597E-2</v>
      </c>
      <c r="CM469" s="2290">
        <f t="shared" ref="CM469:CW469" si="1291">CM467/CH467-1</f>
        <v>6.5128205128205163E-2</v>
      </c>
      <c r="CN469" s="1098">
        <f t="shared" si="1291"/>
        <v>1.3605442176870763E-2</v>
      </c>
      <c r="CO469" s="2500">
        <f t="shared" si="1291"/>
        <v>1.6278417064271578E-2</v>
      </c>
      <c r="CP469" s="2500">
        <f t="shared" si="1291"/>
        <v>3.5313901345291443E-2</v>
      </c>
      <c r="CQ469" s="2288">
        <f t="shared" si="1291"/>
        <v>6.7525773195876271E-2</v>
      </c>
      <c r="CR469" s="2290">
        <f t="shared" si="1291"/>
        <v>3.3977577550037719E-2</v>
      </c>
      <c r="CS469" s="1098">
        <f t="shared" si="1291"/>
        <v>3.2438478747203625E-2</v>
      </c>
      <c r="CT469" s="2500">
        <f t="shared" si="1291"/>
        <v>3.3692350179508335E-2</v>
      </c>
      <c r="CU469" s="2500">
        <f t="shared" si="1291"/>
        <v>1.0286951813752054E-2</v>
      </c>
      <c r="CV469" s="2500">
        <f t="shared" si="1291"/>
        <v>6.9773056494447205E-2</v>
      </c>
      <c r="CW469" s="2290">
        <f t="shared" si="1291"/>
        <v>3.7583981906472497E-2</v>
      </c>
      <c r="CX469" s="1098">
        <f>CX467/CS467-1</f>
        <v>8.5590465872156019E-2</v>
      </c>
      <c r="CY469" s="2500">
        <f>CY467/CT467-1</f>
        <v>0.13465134918514554</v>
      </c>
      <c r="CZ469" s="2500">
        <f>CZ467/CU467-1</f>
        <v>0.16345123258306549</v>
      </c>
      <c r="DA469" s="1098">
        <f>DA467/CV467-1</f>
        <v>0.12615662378695558</v>
      </c>
      <c r="DB469" s="2290">
        <f t="shared" ref="DB469:DJ469" si="1292">DB467/CW467-1</f>
        <v>0.12751634824977565</v>
      </c>
      <c r="DC469" s="1098">
        <f t="shared" si="1292"/>
        <v>0.15868263473053901</v>
      </c>
      <c r="DD469" s="1098">
        <f t="shared" si="1292"/>
        <v>0.13609606781257355</v>
      </c>
      <c r="DE469" s="1098">
        <f t="shared" si="1292"/>
        <v>0.12851220635651783</v>
      </c>
      <c r="DF469" s="1098">
        <f t="shared" si="1292"/>
        <v>0.12484969939879753</v>
      </c>
      <c r="DG469" s="2290">
        <f>DG467/DB467-1</f>
        <v>0.13618013305282317</v>
      </c>
      <c r="DH469" s="1098">
        <f t="shared" si="1292"/>
        <v>8.4840654608096422E-2</v>
      </c>
      <c r="DI469" s="1098">
        <f t="shared" si="1292"/>
        <v>9.1398963730569882E-2</v>
      </c>
      <c r="DJ469" s="1098">
        <f t="shared" si="1292"/>
        <v>7.5306122448979496E-2</v>
      </c>
      <c r="DK469" s="1143"/>
      <c r="DL469" s="1146"/>
      <c r="DM469" s="4502"/>
      <c r="DN469" s="4502"/>
      <c r="DO469" s="4502"/>
      <c r="DP469" s="4502"/>
      <c r="DQ469" s="1146"/>
      <c r="DR469" s="4502"/>
      <c r="DS469" s="4502"/>
      <c r="DT469" s="4502"/>
      <c r="DU469" s="4502"/>
      <c r="DV469" s="1146"/>
      <c r="DW469" s="4502"/>
      <c r="DX469" s="4502"/>
      <c r="DY469" s="4502"/>
      <c r="DZ469" s="4502"/>
      <c r="EA469" s="4503"/>
      <c r="EB469" s="4502"/>
      <c r="EC469" s="4502"/>
      <c r="ED469" s="4502"/>
      <c r="EE469" s="4502"/>
      <c r="EF469" s="4503"/>
      <c r="EG469" s="4502"/>
      <c r="EH469" s="4502"/>
      <c r="EI469" s="4502"/>
      <c r="EJ469" s="4502"/>
      <c r="EK469" s="4503"/>
      <c r="EL469" s="4502"/>
      <c r="EM469" s="4502"/>
      <c r="EN469" s="4502"/>
      <c r="EO469" s="4502"/>
      <c r="EP469" s="4503"/>
      <c r="EQ469" s="4502"/>
      <c r="ER469" s="4502"/>
      <c r="ES469" s="4502"/>
      <c r="ET469" s="4502"/>
      <c r="EU469" s="4503"/>
      <c r="EV469" s="4503"/>
      <c r="EW469" s="4503"/>
      <c r="EX469" s="4503"/>
      <c r="EY469" s="4503"/>
      <c r="EZ469" s="181"/>
      <c r="FA469" s="725"/>
      <c r="FB469" s="725"/>
    </row>
    <row r="470" spans="1:158" s="183" customFormat="1" ht="11.25" hidden="1" customHeight="1">
      <c r="A470" s="2502" t="s">
        <v>496</v>
      </c>
      <c r="B470" s="2497"/>
      <c r="C470" s="2288"/>
      <c r="D470" s="2288"/>
      <c r="E470" s="2289"/>
      <c r="F470" s="2498"/>
      <c r="G470" s="2497"/>
      <c r="H470" s="2288"/>
      <c r="I470" s="2288"/>
      <c r="J470" s="2288"/>
      <c r="K470" s="2290"/>
      <c r="L470" s="2288"/>
      <c r="M470" s="2288"/>
      <c r="N470" s="2288"/>
      <c r="O470" s="2288"/>
      <c r="P470" s="2290"/>
      <c r="Q470" s="2497"/>
      <c r="R470" s="2288"/>
      <c r="S470" s="2288"/>
      <c r="T470" s="2288"/>
      <c r="U470" s="2290"/>
      <c r="V470" s="2497"/>
      <c r="W470" s="2288"/>
      <c r="X470" s="2288"/>
      <c r="Y470" s="2288"/>
      <c r="Z470" s="2290"/>
      <c r="AA470" s="2497"/>
      <c r="AB470" s="2288"/>
      <c r="AC470" s="2288"/>
      <c r="AD470" s="2288"/>
      <c r="AE470" s="2290"/>
      <c r="AF470" s="2497"/>
      <c r="AG470" s="2288"/>
      <c r="AH470" s="2288"/>
      <c r="AI470" s="2288"/>
      <c r="AJ470" s="2290"/>
      <c r="AK470" s="2497"/>
      <c r="AL470" s="2288"/>
      <c r="AM470" s="2288"/>
      <c r="AN470" s="2288"/>
      <c r="AO470" s="2290"/>
      <c r="AP470" s="2497"/>
      <c r="AQ470" s="2288"/>
      <c r="AR470" s="2288"/>
      <c r="AS470" s="2288"/>
      <c r="AT470" s="2290"/>
      <c r="AU470" s="2497"/>
      <c r="AV470" s="2288"/>
      <c r="AW470" s="2288"/>
      <c r="AX470" s="2288"/>
      <c r="AY470" s="2290"/>
      <c r="AZ470" s="2497">
        <f t="shared" ref="AZ470:BN470" si="1293">AZ578</f>
        <v>1.9968345327383563E-2</v>
      </c>
      <c r="BA470" s="2288">
        <f t="shared" si="1293"/>
        <v>8.670876180423881E-2</v>
      </c>
      <c r="BB470" s="2288">
        <f t="shared" si="1293"/>
        <v>0.1255191017773627</v>
      </c>
      <c r="BC470" s="2288">
        <f t="shared" si="1293"/>
        <v>0.19714252656515852</v>
      </c>
      <c r="BD470" s="2499">
        <f t="shared" si="1293"/>
        <v>0.10697128133043887</v>
      </c>
      <c r="BE470" s="2497">
        <f t="shared" si="1293"/>
        <v>0.2311306384350007</v>
      </c>
      <c r="BF470" s="2288">
        <f t="shared" si="1293"/>
        <v>0.23463613225201696</v>
      </c>
      <c r="BG470" s="2288">
        <f t="shared" si="1293"/>
        <v>0.24262211542068046</v>
      </c>
      <c r="BH470" s="2288">
        <f t="shared" si="1293"/>
        <v>0.23767336539931239</v>
      </c>
      <c r="BI470" s="2499">
        <f t="shared" si="1293"/>
        <v>0.23674496573856918</v>
      </c>
      <c r="BJ470" s="2497">
        <f t="shared" si="1293"/>
        <v>0.18865418301032699</v>
      </c>
      <c r="BK470" s="2288">
        <f t="shared" si="1293"/>
        <v>0.16136292204796843</v>
      </c>
      <c r="BL470" s="2288">
        <f t="shared" si="1293"/>
        <v>0.13518712379700482</v>
      </c>
      <c r="BM470" s="2288">
        <f t="shared" si="1293"/>
        <v>0.15073725285745954</v>
      </c>
      <c r="BN470" s="2499">
        <f t="shared" si="1293"/>
        <v>0.15817837330726459</v>
      </c>
      <c r="BO470" s="2288"/>
      <c r="BP470" s="2288"/>
      <c r="BQ470" s="2288"/>
      <c r="BR470" s="2288"/>
      <c r="BS470" s="2499"/>
      <c r="BT470" s="2497">
        <f>BT578</f>
        <v>0.2055981083711822</v>
      </c>
      <c r="BU470" s="2288">
        <f>BU578</f>
        <v>0.2308946960199556</v>
      </c>
      <c r="BV470" s="2288">
        <f>BV578</f>
        <v>0.25930143255681481</v>
      </c>
      <c r="BW470" s="2288">
        <f>BW578</f>
        <v>0.21033649669268573</v>
      </c>
      <c r="BX470" s="2499">
        <f>BX578</f>
        <v>0.22639739076437193</v>
      </c>
      <c r="BY470" s="2288"/>
      <c r="BZ470" s="2288"/>
      <c r="CA470" s="2288"/>
      <c r="CB470" s="2288"/>
      <c r="CC470" s="2499"/>
      <c r="CD470" s="2497">
        <f t="shared" ref="CD470:DJ470" si="1294">CD578</f>
        <v>0.16815227701897006</v>
      </c>
      <c r="CE470" s="2288">
        <f t="shared" si="1294"/>
        <v>0.11923078830515887</v>
      </c>
      <c r="CF470" s="2288">
        <f t="shared" si="1294"/>
        <v>5.1619145984187043E-2</v>
      </c>
      <c r="CG470" s="2288">
        <f t="shared" si="1294"/>
        <v>7.0589866914090971E-2</v>
      </c>
      <c r="CH470" s="2499">
        <f t="shared" si="1294"/>
        <v>0.10026227575364444</v>
      </c>
      <c r="CI470" s="1098">
        <f t="shared" si="1294"/>
        <v>4.0401061633736468E-2</v>
      </c>
      <c r="CJ470" s="2500">
        <f t="shared" si="1294"/>
        <v>7.5135787567893741E-2</v>
      </c>
      <c r="CK470" s="2500">
        <f t="shared" si="1294"/>
        <v>8.880073237717423E-2</v>
      </c>
      <c r="CL470" s="2288">
        <f t="shared" si="1294"/>
        <v>5.7797164667393597E-2</v>
      </c>
      <c r="CM470" s="2499">
        <f t="shared" si="1294"/>
        <v>6.5128205128205163E-2</v>
      </c>
      <c r="CN470" s="1098">
        <f t="shared" si="1294"/>
        <v>1.3605442176870763E-2</v>
      </c>
      <c r="CO470" s="2500">
        <f t="shared" si="1294"/>
        <v>1.6278417064271578E-2</v>
      </c>
      <c r="CP470" s="2500">
        <f t="shared" si="1294"/>
        <v>3.5313901345291443E-2</v>
      </c>
      <c r="CQ470" s="2288">
        <f t="shared" si="1294"/>
        <v>6.7525773195876271E-2</v>
      </c>
      <c r="CR470" s="2499">
        <f t="shared" si="1294"/>
        <v>3.3977577550037719E-2</v>
      </c>
      <c r="CS470" s="1098">
        <f t="shared" si="1294"/>
        <v>3.2438478747203625E-2</v>
      </c>
      <c r="CT470" s="2500">
        <f t="shared" si="1294"/>
        <v>3.3692350179508335E-2</v>
      </c>
      <c r="CU470" s="2500">
        <f t="shared" si="1294"/>
        <v>1.0286951813752054E-2</v>
      </c>
      <c r="CV470" s="2500">
        <f t="shared" si="1294"/>
        <v>6.9773056494447205E-2</v>
      </c>
      <c r="CW470" s="2499">
        <f t="shared" si="1294"/>
        <v>3.7583981906472497E-2</v>
      </c>
      <c r="CX470" s="1098">
        <f t="shared" si="1294"/>
        <v>8.5590465872156019E-2</v>
      </c>
      <c r="CY470" s="2288">
        <f t="shared" si="1294"/>
        <v>0.13465134918514554</v>
      </c>
      <c r="CZ470" s="2500">
        <f t="shared" si="1294"/>
        <v>0.16345123258306549</v>
      </c>
      <c r="DA470" s="2288">
        <f t="shared" si="1294"/>
        <v>0.12615662378695558</v>
      </c>
      <c r="DB470" s="2499">
        <f t="shared" si="1294"/>
        <v>0.12751634824977565</v>
      </c>
      <c r="DC470" s="1098">
        <f t="shared" si="1294"/>
        <v>0.15868263473053901</v>
      </c>
      <c r="DD470" s="2288">
        <f t="shared" si="1294"/>
        <v>0.13609606781257355</v>
      </c>
      <c r="DE470" s="2288">
        <f t="shared" si="1294"/>
        <v>0.12851220635651783</v>
      </c>
      <c r="DF470" s="2288">
        <f t="shared" si="1294"/>
        <v>0.13796422665067376</v>
      </c>
      <c r="DG470" s="2499">
        <f t="shared" si="1294"/>
        <v>0.13990114806316378</v>
      </c>
      <c r="DH470" s="1098">
        <f t="shared" si="1294"/>
        <v>0.11008055448953402</v>
      </c>
      <c r="DI470" s="2288">
        <f t="shared" si="1294"/>
        <v>0.11885485096708548</v>
      </c>
      <c r="DJ470" s="2288">
        <f t="shared" si="1294"/>
        <v>8.274615498190685E-2</v>
      </c>
      <c r="DK470" s="1143"/>
      <c r="DL470" s="3997"/>
      <c r="DM470" s="1143"/>
      <c r="DN470" s="1143"/>
      <c r="DO470" s="1143"/>
      <c r="DP470" s="1143"/>
      <c r="DQ470" s="3997"/>
      <c r="DR470" s="1143"/>
      <c r="DS470" s="1143"/>
      <c r="DT470" s="1143"/>
      <c r="DU470" s="1143"/>
      <c r="DV470" s="3997"/>
      <c r="DW470" s="1143"/>
      <c r="DX470" s="1143"/>
      <c r="DY470" s="1143"/>
      <c r="DZ470" s="1143"/>
      <c r="EA470" s="3997"/>
      <c r="EB470" s="1143"/>
      <c r="EC470" s="1143"/>
      <c r="ED470" s="1143"/>
      <c r="EE470" s="1143"/>
      <c r="EF470" s="3997"/>
      <c r="EG470" s="1143"/>
      <c r="EH470" s="1143"/>
      <c r="EI470" s="1143"/>
      <c r="EJ470" s="1143"/>
      <c r="EK470" s="3997"/>
      <c r="EL470" s="1143"/>
      <c r="EM470" s="1143"/>
      <c r="EN470" s="1143"/>
      <c r="EO470" s="1143"/>
      <c r="EP470" s="3997"/>
      <c r="EQ470" s="1143"/>
      <c r="ER470" s="1143"/>
      <c r="ES470" s="1143"/>
      <c r="ET470" s="1143"/>
      <c r="EU470" s="3997"/>
      <c r="EV470" s="3997"/>
      <c r="EW470" s="3997"/>
      <c r="EX470" s="3997"/>
      <c r="EY470" s="3997"/>
      <c r="EZ470" s="181"/>
      <c r="FA470" s="725"/>
      <c r="FB470" s="725"/>
    </row>
    <row r="471" spans="1:158" s="77" customFormat="1" ht="11.25" hidden="1" customHeight="1">
      <c r="A471" s="1573" t="s">
        <v>46</v>
      </c>
      <c r="B471" s="1226">
        <f t="shared" ref="B471:AG471" si="1295">B34</f>
        <v>0</v>
      </c>
      <c r="C471" s="169">
        <f t="shared" si="1295"/>
        <v>0</v>
      </c>
      <c r="D471" s="169">
        <f t="shared" si="1295"/>
        <v>0</v>
      </c>
      <c r="E471" s="169">
        <f t="shared" si="1295"/>
        <v>0</v>
      </c>
      <c r="F471" s="1227">
        <f t="shared" si="1295"/>
        <v>0</v>
      </c>
      <c r="G471" s="1226">
        <f t="shared" si="1295"/>
        <v>0</v>
      </c>
      <c r="H471" s="169">
        <f t="shared" si="1295"/>
        <v>0</v>
      </c>
      <c r="I471" s="169">
        <f t="shared" si="1295"/>
        <v>0</v>
      </c>
      <c r="J471" s="169">
        <f t="shared" si="1295"/>
        <v>0</v>
      </c>
      <c r="K471" s="1219">
        <f t="shared" si="1295"/>
        <v>0</v>
      </c>
      <c r="L471" s="169">
        <f t="shared" si="1295"/>
        <v>0</v>
      </c>
      <c r="M471" s="169">
        <f t="shared" si="1295"/>
        <v>0</v>
      </c>
      <c r="N471" s="169">
        <f t="shared" si="1295"/>
        <v>0</v>
      </c>
      <c r="O471" s="169">
        <f t="shared" si="1295"/>
        <v>0</v>
      </c>
      <c r="P471" s="1001">
        <f t="shared" si="1295"/>
        <v>0</v>
      </c>
      <c r="Q471" s="1226" t="str">
        <f t="shared" si="1295"/>
        <v>NA</v>
      </c>
      <c r="R471" s="169" t="str">
        <f t="shared" si="1295"/>
        <v>NA</v>
      </c>
      <c r="S471" s="169">
        <f t="shared" si="1295"/>
        <v>1.1038475845774895</v>
      </c>
      <c r="T471" s="169">
        <f t="shared" si="1295"/>
        <v>0.83594859071110417</v>
      </c>
      <c r="U471" s="1001">
        <f t="shared" si="1295"/>
        <v>0</v>
      </c>
      <c r="V471" s="1226">
        <f t="shared" si="1295"/>
        <v>0.40934057305455696</v>
      </c>
      <c r="W471" s="169">
        <f t="shared" si="1295"/>
        <v>0.44774557364131096</v>
      </c>
      <c r="X471" s="169">
        <f t="shared" si="1295"/>
        <v>0.48358181029570591</v>
      </c>
      <c r="Y471" s="169">
        <f t="shared" si="1295"/>
        <v>0.46381646832221235</v>
      </c>
      <c r="Z471" s="1001">
        <f t="shared" si="1295"/>
        <v>0</v>
      </c>
      <c r="AA471" s="1226">
        <f t="shared" si="1295"/>
        <v>0.30701692552299931</v>
      </c>
      <c r="AB471" s="169">
        <f t="shared" si="1295"/>
        <v>3.7375056928497852E-2</v>
      </c>
      <c r="AC471" s="169">
        <f t="shared" si="1295"/>
        <v>0.1099686332049008</v>
      </c>
      <c r="AD471" s="169">
        <f t="shared" si="1295"/>
        <v>0.27502732240437155</v>
      </c>
      <c r="AE471" s="1001">
        <f t="shared" si="1295"/>
        <v>0</v>
      </c>
      <c r="AF471" s="1226">
        <f t="shared" si="1295"/>
        <v>0.19208764206835616</v>
      </c>
      <c r="AG471" s="169">
        <f t="shared" si="1295"/>
        <v>7.8969777505989436E-2</v>
      </c>
      <c r="AH471" s="169">
        <f t="shared" ref="AH471:BN471" si="1296">AH34</f>
        <v>7.1036205140247777E-2</v>
      </c>
      <c r="AI471" s="169">
        <f t="shared" si="1296"/>
        <v>0.18305007910970472</v>
      </c>
      <c r="AJ471" s="1001">
        <f t="shared" si="1296"/>
        <v>0</v>
      </c>
      <c r="AK471" s="1226">
        <f t="shared" si="1296"/>
        <v>0.16254368730222524</v>
      </c>
      <c r="AL471" s="169">
        <f t="shared" si="1296"/>
        <v>7.3451920342619825E-2</v>
      </c>
      <c r="AM471" s="169">
        <f t="shared" si="1296"/>
        <v>4.0594360439388355E-2</v>
      </c>
      <c r="AN471" s="184">
        <f t="shared" si="1296"/>
        <v>0.15510278470466399</v>
      </c>
      <c r="AO471" s="1001">
        <f t="shared" si="1296"/>
        <v>0</v>
      </c>
      <c r="AP471" s="1226">
        <f t="shared" si="1296"/>
        <v>0.12310381703477935</v>
      </c>
      <c r="AQ471" s="169">
        <f t="shared" si="1296"/>
        <v>4.996547312962063E-3</v>
      </c>
      <c r="AR471" s="169">
        <f t="shared" si="1296"/>
        <v>7.5936484644440139E-2</v>
      </c>
      <c r="AS471" s="184">
        <f t="shared" si="1296"/>
        <v>0.12450153672078712</v>
      </c>
      <c r="AT471" s="1001">
        <f t="shared" si="1296"/>
        <v>0</v>
      </c>
      <c r="AU471" s="1226">
        <f t="shared" si="1296"/>
        <v>3.0751860210925797E-2</v>
      </c>
      <c r="AV471" s="169">
        <f t="shared" si="1296"/>
        <v>-1.830273980645758E-2</v>
      </c>
      <c r="AW471" s="169">
        <f t="shared" si="1296"/>
        <v>1.4850055579720634E-2</v>
      </c>
      <c r="AX471" s="184">
        <f t="shared" si="1296"/>
        <v>8.062571843741706E-3</v>
      </c>
      <c r="AY471" s="1001">
        <f t="shared" si="1296"/>
        <v>0</v>
      </c>
      <c r="AZ471" s="1226">
        <f t="shared" si="1296"/>
        <v>-3.2693301366182426E-2</v>
      </c>
      <c r="BA471" s="169">
        <f t="shared" si="1296"/>
        <v>2.775142517713225E-2</v>
      </c>
      <c r="BB471" s="169">
        <f t="shared" si="1296"/>
        <v>6.9729729729729684E-2</v>
      </c>
      <c r="BC471" s="184">
        <f t="shared" si="1296"/>
        <v>0.13493106186385617</v>
      </c>
      <c r="BD471" s="1001">
        <f t="shared" si="1296"/>
        <v>0</v>
      </c>
      <c r="BE471" s="1226">
        <f t="shared" si="1296"/>
        <v>-3.8583365217041976E-3</v>
      </c>
      <c r="BF471" s="169">
        <f t="shared" si="1296"/>
        <v>1.3261296660117772E-2</v>
      </c>
      <c r="BG471" s="169">
        <f t="shared" si="1296"/>
        <v>6.5923412506059043E-2</v>
      </c>
      <c r="BH471" s="184">
        <f t="shared" si="1296"/>
        <v>0.13460663938153705</v>
      </c>
      <c r="BI471" s="1001">
        <f t="shared" si="1296"/>
        <v>0</v>
      </c>
      <c r="BJ471" s="1226">
        <f t="shared" si="1296"/>
        <v>-2.7254509018036055E-2</v>
      </c>
      <c r="BK471" s="169">
        <f t="shared" si="1296"/>
        <v>2.3485784919653918E-2</v>
      </c>
      <c r="BL471" s="169">
        <f t="shared" si="1296"/>
        <v>4.4685990338164228E-2</v>
      </c>
      <c r="BM471" s="169">
        <f t="shared" si="1296"/>
        <v>0.10982658959537561</v>
      </c>
      <c r="BN471" s="1001">
        <f t="shared" si="1296"/>
        <v>0</v>
      </c>
      <c r="BO471" s="42"/>
      <c r="BP471" s="42"/>
      <c r="BQ471" s="42"/>
      <c r="BR471" s="42"/>
      <c r="BS471" s="597"/>
      <c r="BT471" s="169">
        <f>BT34</f>
        <v>1.1458333333333348E-2</v>
      </c>
      <c r="BU471" s="169">
        <f>BU34</f>
        <v>2.4030209406110448E-2</v>
      </c>
      <c r="BV471" s="169">
        <f>BV34</f>
        <v>5.0284948038886945E-2</v>
      </c>
      <c r="BW471" s="169">
        <f>BW34</f>
        <v>9.6712416214491004E-2</v>
      </c>
      <c r="BX471" s="1001">
        <f>BX34</f>
        <v>0</v>
      </c>
      <c r="BY471" s="42"/>
      <c r="BZ471" s="42"/>
      <c r="CA471" s="42"/>
      <c r="CB471" s="42"/>
      <c r="CC471" s="597"/>
      <c r="CD471" s="1226">
        <f>CD34</f>
        <v>-1.3096623981373678E-2</v>
      </c>
      <c r="CE471" s="169">
        <f>CE34</f>
        <v>-2.2707166027720382E-2</v>
      </c>
      <c r="CF471" s="169">
        <f>CF34</f>
        <v>-1.1164755582377839E-2</v>
      </c>
      <c r="CG471" s="169">
        <f>CG34</f>
        <v>0.11931644797070495</v>
      </c>
      <c r="CH471" s="1001">
        <f>CH34</f>
        <v>0</v>
      </c>
      <c r="CI471" s="1226">
        <f>+CI467/CG467-1</f>
        <v>-3.8167938931297662E-2</v>
      </c>
      <c r="CJ471" s="205">
        <f>CJ467/CI467-1</f>
        <v>9.9206349206348854E-3</v>
      </c>
      <c r="CK471" s="205">
        <f>CK467/CJ467-1</f>
        <v>1.4033118158855995E-3</v>
      </c>
      <c r="CL471" s="169">
        <f>CL34</f>
        <v>8.7443946188340727E-2</v>
      </c>
      <c r="CM471" s="1001"/>
      <c r="CN471" s="169">
        <f>+CN467/CL467-1</f>
        <v>-7.835051546391758E-2</v>
      </c>
      <c r="CO471" s="205">
        <f>CO467/CN467-1</f>
        <v>1.2583892617449743E-2</v>
      </c>
      <c r="CP471" s="205">
        <f>CP467/CO467-1</f>
        <v>2.0160176746754965E-2</v>
      </c>
      <c r="CQ471" s="169">
        <f>CQ467/CP467-1</f>
        <v>0.12127774769897126</v>
      </c>
      <c r="CR471" s="1001"/>
      <c r="CS471" s="169">
        <f>+CS467/CQ467-1</f>
        <v>-0.10864316755190728</v>
      </c>
      <c r="CT471" s="205">
        <f>CT467/CS467-1</f>
        <v>1.3813651137594807E-2</v>
      </c>
      <c r="CU471" s="205">
        <f>CU467/CT467-1</f>
        <v>-2.938819129040926E-3</v>
      </c>
      <c r="CV471" s="169">
        <f>+CV467/CU467-1</f>
        <v>0.18729903536977499</v>
      </c>
      <c r="CW471" s="1001"/>
      <c r="CX471" s="169">
        <f>CX467/CV467-1</f>
        <v>-9.5463777928232907E-2</v>
      </c>
      <c r="CY471" s="205">
        <f>CY467/CX467-1</f>
        <v>5.9630738522954196E-2</v>
      </c>
      <c r="CZ471" s="205">
        <f>CZ467/CY467-1</f>
        <v>2.2368730868848496E-2</v>
      </c>
      <c r="DA471" s="205">
        <f>DA467/CZ467-1</f>
        <v>0.14923998157531093</v>
      </c>
      <c r="DB471" s="1001"/>
      <c r="DC471" s="2612">
        <f>DC467/DA467-1</f>
        <v>-6.9338677354709444E-2</v>
      </c>
      <c r="DD471" s="205">
        <f>+DD467/DC467-1</f>
        <v>3.8975021533161014E-2</v>
      </c>
      <c r="DE471" s="205">
        <f>+DE467/DD467-1</f>
        <v>1.5544041450777257E-2</v>
      </c>
      <c r="DF471" s="205">
        <f>+DF467/DE467-1</f>
        <v>0.14551020408163273</v>
      </c>
      <c r="DG471" s="1001"/>
      <c r="DH471" s="2612">
        <f>DH467/DF467-1</f>
        <v>-0.10244076251558876</v>
      </c>
      <c r="DI471" s="205">
        <f>+DI467/DH467-1</f>
        <v>4.5256053989678469E-2</v>
      </c>
      <c r="DJ471" s="205">
        <f>+DJ467/DI467-1</f>
        <v>5.6969236612225416E-4</v>
      </c>
      <c r="DK471" s="2251"/>
      <c r="DL471" s="1710"/>
      <c r="DM471" s="2660"/>
      <c r="DN471" s="2251"/>
      <c r="DO471" s="2251"/>
      <c r="DP471" s="2251"/>
      <c r="DQ471" s="1710"/>
      <c r="DR471" s="2251"/>
      <c r="DS471" s="2251"/>
      <c r="DT471" s="2251"/>
      <c r="DU471" s="2251"/>
      <c r="DV471" s="1710"/>
      <c r="DW471" s="2251"/>
      <c r="DX471" s="2251"/>
      <c r="DY471" s="2251"/>
      <c r="DZ471" s="2251"/>
      <c r="EA471" s="1710"/>
      <c r="EB471" s="2251"/>
      <c r="EC471" s="2251"/>
      <c r="ED471" s="2251"/>
      <c r="EE471" s="2251"/>
      <c r="EF471" s="1710"/>
      <c r="EG471" s="2251"/>
      <c r="EH471" s="2251"/>
      <c r="EI471" s="2251"/>
      <c r="EJ471" s="2251"/>
      <c r="EK471" s="1710"/>
      <c r="EL471" s="2251"/>
      <c r="EM471" s="2251"/>
      <c r="EN471" s="2251"/>
      <c r="EO471" s="2251"/>
      <c r="EP471" s="1710"/>
      <c r="EQ471" s="2251"/>
      <c r="ER471" s="2251"/>
      <c r="ES471" s="2251"/>
      <c r="ET471" s="2251"/>
      <c r="EU471" s="1710"/>
      <c r="EV471" s="1710"/>
      <c r="EW471" s="1710"/>
      <c r="EX471" s="1710"/>
      <c r="EY471" s="1710"/>
      <c r="EZ471" s="42"/>
      <c r="FA471" s="725"/>
      <c r="FB471" s="725"/>
    </row>
    <row r="472" spans="1:158" s="77" customFormat="1" ht="11.25" hidden="1" customHeight="1">
      <c r="A472" s="1559" t="s">
        <v>428</v>
      </c>
      <c r="B472" s="1502"/>
      <c r="C472" s="127"/>
      <c r="D472" s="127"/>
      <c r="E472" s="127"/>
      <c r="F472" s="1227"/>
      <c r="G472" s="1502"/>
      <c r="H472" s="127"/>
      <c r="I472" s="127"/>
      <c r="J472" s="127"/>
      <c r="K472" s="1219"/>
      <c r="L472" s="127"/>
      <c r="M472" s="127"/>
      <c r="N472" s="127"/>
      <c r="O472" s="127"/>
      <c r="P472" s="1001"/>
      <c r="Q472" s="1502"/>
      <c r="R472" s="127"/>
      <c r="S472" s="127"/>
      <c r="T472" s="127"/>
      <c r="U472" s="1001"/>
      <c r="V472" s="1502"/>
      <c r="W472" s="127"/>
      <c r="X472" s="127"/>
      <c r="Y472" s="127"/>
      <c r="Z472" s="1001"/>
      <c r="AA472" s="1502"/>
      <c r="AB472" s="127"/>
      <c r="AC472" s="127"/>
      <c r="AD472" s="127"/>
      <c r="AE472" s="1001"/>
      <c r="AF472" s="1502"/>
      <c r="AG472" s="127"/>
      <c r="AH472" s="127"/>
      <c r="AI472" s="127"/>
      <c r="AJ472" s="1001"/>
      <c r="AK472" s="1502"/>
      <c r="AL472" s="127"/>
      <c r="AM472" s="127"/>
      <c r="AN472" s="125"/>
      <c r="AO472" s="1001"/>
      <c r="AP472" s="1502"/>
      <c r="AQ472" s="127"/>
      <c r="AR472" s="127"/>
      <c r="AS472" s="125"/>
      <c r="AT472" s="1001"/>
      <c r="AU472" s="1502"/>
      <c r="AV472" s="127"/>
      <c r="AW472" s="127"/>
      <c r="AX472" s="125"/>
      <c r="AY472" s="1001"/>
      <c r="AZ472" s="1502"/>
      <c r="BA472" s="127"/>
      <c r="BB472" s="127"/>
      <c r="BC472" s="125"/>
      <c r="BD472" s="1001"/>
      <c r="BE472" s="1502"/>
      <c r="BF472" s="127"/>
      <c r="BG472" s="127"/>
      <c r="BH472" s="125"/>
      <c r="BI472" s="1001"/>
      <c r="BJ472" s="1502"/>
      <c r="BK472" s="127"/>
      <c r="BL472" s="127"/>
      <c r="BM472" s="127"/>
      <c r="BN472" s="1001"/>
      <c r="BO472" s="42"/>
      <c r="BP472" s="42"/>
      <c r="BQ472" s="42"/>
      <c r="BR472" s="42"/>
      <c r="BS472" s="597"/>
      <c r="BT472" s="127">
        <f>+BT467/BX467</f>
        <v>0.23369434416365825</v>
      </c>
      <c r="BU472" s="127">
        <f>+BU467/BX467</f>
        <v>0.23931006819093462</v>
      </c>
      <c r="BV472" s="127">
        <f>+BV467/BX467</f>
        <v>0.25134376253509827</v>
      </c>
      <c r="BW472" s="127">
        <f>+BW467/BX467</f>
        <v>0.27565182511030889</v>
      </c>
      <c r="BX472" s="1001"/>
      <c r="BY472" s="42"/>
      <c r="BZ472" s="42"/>
      <c r="CA472" s="42"/>
      <c r="CB472" s="42"/>
      <c r="CC472" s="597"/>
      <c r="CD472" s="127">
        <f>+CD467/CH467</f>
        <v>0.24842490842490841</v>
      </c>
      <c r="CE472" s="127">
        <f>+CE467/CH467</f>
        <v>0.24278388278388277</v>
      </c>
      <c r="CF472" s="127">
        <f>+CF467/CH467</f>
        <v>0.24007326007326008</v>
      </c>
      <c r="CG472" s="127">
        <f>+CG467/CH467</f>
        <v>0.26871794871794874</v>
      </c>
      <c r="CH472" s="1001"/>
      <c r="CI472" s="127">
        <f>+CI467/CM467</f>
        <v>0.24265767934520943</v>
      </c>
      <c r="CJ472" s="127">
        <f>+CJ467/CM467</f>
        <v>0.24506499759268174</v>
      </c>
      <c r="CK472" s="127">
        <f>+CK467/CM467</f>
        <v>0.24540890019946351</v>
      </c>
      <c r="CL472" s="127">
        <f>+CL467/CM467</f>
        <v>0.26686842286264528</v>
      </c>
      <c r="CM472" s="1001"/>
      <c r="CN472" s="127">
        <f>+CN467/CR467</f>
        <v>0.23787667132308921</v>
      </c>
      <c r="CO472" s="127">
        <f>+CO467/CR467</f>
        <v>0.24087008581121533</v>
      </c>
      <c r="CP472" s="127">
        <f>+CP467/CR467</f>
        <v>0.24572606931417548</v>
      </c>
      <c r="CQ472" s="127">
        <f>+CQ467/CR467</f>
        <v>0.27552717355152001</v>
      </c>
      <c r="CR472" s="1001"/>
      <c r="CS472" s="127">
        <f>+CS467/CW467</f>
        <v>0.236697012437492</v>
      </c>
      <c r="CT472" s="127">
        <f>+CT467/CW467</f>
        <v>0.23996666239261444</v>
      </c>
      <c r="CU472" s="127">
        <f>+CU467/CW467</f>
        <v>0.23926144377484293</v>
      </c>
      <c r="CV472" s="127">
        <f>+CV467/CW467</f>
        <v>0.28407488139505066</v>
      </c>
      <c r="CW472" s="1001"/>
      <c r="CX472" s="127">
        <f>+CX467/DB467</f>
        <v>0.22789560470802298</v>
      </c>
      <c r="CY472" s="127">
        <f>+CY467/DB467</f>
        <v>0.24148518792289758</v>
      </c>
      <c r="CZ472" s="127">
        <f>+CZ467/DB467</f>
        <v>0.24688690510035821</v>
      </c>
      <c r="DA472" s="127">
        <f>+DA467/DB467</f>
        <v>0.2837323022687212</v>
      </c>
      <c r="DB472" s="1001"/>
      <c r="DC472" s="127">
        <f>+DC467/DG467</f>
        <v>0.2324091682514263</v>
      </c>
      <c r="DD472" s="127">
        <f>+DD467/DG467</f>
        <v>0.24146732058852968</v>
      </c>
      <c r="DE472" s="127">
        <f>+DE467/DG467</f>
        <v>0.24522069862876589</v>
      </c>
      <c r="DF472" s="127">
        <f>+DF467/DG467</f>
        <v>0.28090281253127813</v>
      </c>
      <c r="DG472" s="1001"/>
      <c r="DH472" s="127"/>
      <c r="DI472" s="127"/>
      <c r="DJ472" s="127"/>
      <c r="DK472" s="1121"/>
      <c r="DL472" s="1710"/>
      <c r="DM472" s="1121"/>
      <c r="DN472" s="1121"/>
      <c r="DO472" s="1121"/>
      <c r="DP472" s="1121"/>
      <c r="DQ472" s="1710"/>
      <c r="DR472" s="1121"/>
      <c r="DS472" s="1121"/>
      <c r="DT472" s="1121"/>
      <c r="DU472" s="1121"/>
      <c r="DV472" s="1710"/>
      <c r="DW472" s="1121"/>
      <c r="DX472" s="1121"/>
      <c r="DY472" s="1121"/>
      <c r="DZ472" s="1121"/>
      <c r="EA472" s="3998"/>
      <c r="EB472" s="1121"/>
      <c r="EC472" s="1121"/>
      <c r="ED472" s="1121"/>
      <c r="EE472" s="1121"/>
      <c r="EF472" s="3998"/>
      <c r="EG472" s="1121"/>
      <c r="EH472" s="1121"/>
      <c r="EI472" s="1121"/>
      <c r="EJ472" s="1121"/>
      <c r="EK472" s="3998"/>
      <c r="EL472" s="1121"/>
      <c r="EM472" s="1121"/>
      <c r="EN472" s="1121"/>
      <c r="EO472" s="1121"/>
      <c r="EP472" s="3998"/>
      <c r="EQ472" s="1121"/>
      <c r="ER472" s="1121"/>
      <c r="ES472" s="1121"/>
      <c r="ET472" s="1121"/>
      <c r="EU472" s="3998"/>
      <c r="EV472" s="3998"/>
      <c r="EW472" s="3998"/>
      <c r="EX472" s="3998"/>
      <c r="EY472" s="3998"/>
      <c r="EZ472" s="42"/>
      <c r="FA472" s="725"/>
      <c r="FB472" s="725"/>
    </row>
    <row r="473" spans="1:158" s="180" customFormat="1" ht="11.25" hidden="1" customHeight="1">
      <c r="A473" s="2484"/>
      <c r="B473" s="2474"/>
      <c r="C473" s="2437"/>
      <c r="D473" s="2437"/>
      <c r="E473" s="2437"/>
      <c r="F473" s="2437"/>
      <c r="G473" s="2437"/>
      <c r="H473" s="2437"/>
      <c r="I473" s="2437"/>
      <c r="J473" s="2437"/>
      <c r="K473" s="2475"/>
      <c r="L473" s="2437"/>
      <c r="M473" s="2437"/>
      <c r="N473" s="2437"/>
      <c r="O473" s="2437"/>
      <c r="P473" s="2476"/>
      <c r="Q473" s="2474"/>
      <c r="R473" s="2437"/>
      <c r="S473" s="2437"/>
      <c r="T473" s="2437"/>
      <c r="U473" s="2476"/>
      <c r="V473" s="2474"/>
      <c r="W473" s="2437"/>
      <c r="X473" s="2437"/>
      <c r="Y473" s="2437"/>
      <c r="Z473" s="2476"/>
      <c r="AA473" s="2474"/>
      <c r="AB473" s="2437"/>
      <c r="AC473" s="2437"/>
      <c r="AD473" s="2437"/>
      <c r="AE473" s="2476"/>
      <c r="AF473" s="2474"/>
      <c r="AG473" s="2437"/>
      <c r="AH473" s="2437"/>
      <c r="AI473" s="2437"/>
      <c r="AJ473" s="2476"/>
      <c r="AK473" s="2474"/>
      <c r="AL473" s="2437"/>
      <c r="AM473" s="2437"/>
      <c r="AN473" s="2437"/>
      <c r="AO473" s="2476"/>
      <c r="AP473" s="2474"/>
      <c r="AQ473" s="2437"/>
      <c r="AR473" s="2437"/>
      <c r="AS473" s="2437"/>
      <c r="AT473" s="2476"/>
      <c r="AU473" s="2474"/>
      <c r="AV473" s="2437"/>
      <c r="AW473" s="2437"/>
      <c r="AX473" s="2437"/>
      <c r="AY473" s="2476"/>
      <c r="AZ473" s="2474"/>
      <c r="BA473" s="2437"/>
      <c r="BB473" s="2437"/>
      <c r="BC473" s="2437"/>
      <c r="BD473" s="2476"/>
      <c r="BE473" s="2477"/>
      <c r="BF473" s="2478"/>
      <c r="BG473" s="2478"/>
      <c r="BH473" s="2478"/>
      <c r="BI473" s="2476"/>
      <c r="BJ473" s="2478"/>
      <c r="BK473" s="2478"/>
      <c r="BL473" s="2478"/>
      <c r="BM473" s="2478"/>
      <c r="BN473" s="2476"/>
      <c r="BO473" s="2479"/>
      <c r="BP473" s="2479"/>
      <c r="BQ473" s="2479"/>
      <c r="BR473" s="2479"/>
      <c r="BS473" s="2480"/>
      <c r="BT473" s="2478"/>
      <c r="BU473" s="2478"/>
      <c r="BV473" s="2478"/>
      <c r="BW473" s="2478"/>
      <c r="BX473" s="2480"/>
      <c r="BY473" s="2479"/>
      <c r="BZ473" s="2479"/>
      <c r="CA473" s="2479"/>
      <c r="CB473" s="2479"/>
      <c r="CC473" s="2480"/>
      <c r="CD473" s="2478"/>
      <c r="CE473" s="2478"/>
      <c r="CF473" s="2478"/>
      <c r="CG473" s="2478"/>
      <c r="CH473" s="2480"/>
      <c r="CI473" s="2481"/>
      <c r="CJ473" s="2478"/>
      <c r="CK473" s="2437"/>
      <c r="CL473" s="2478"/>
      <c r="CM473" s="2480"/>
      <c r="CN473" s="1822"/>
      <c r="CO473" s="1822"/>
      <c r="CP473" s="1822"/>
      <c r="CQ473" s="1822"/>
      <c r="CR473" s="2480"/>
      <c r="CS473" s="1822"/>
      <c r="CT473" s="1822"/>
      <c r="CU473" s="1822"/>
      <c r="CV473" s="2437"/>
      <c r="CW473" s="2480"/>
      <c r="CX473" s="1822"/>
      <c r="CY473" s="1822"/>
      <c r="CZ473" s="1822"/>
      <c r="DA473" s="1822"/>
      <c r="DB473" s="2480"/>
      <c r="DC473" s="1822"/>
      <c r="DD473" s="1822"/>
      <c r="DE473" s="1822"/>
      <c r="DF473" s="1822"/>
      <c r="DG473" s="2480"/>
      <c r="DH473" s="1822"/>
      <c r="DI473" s="1822"/>
      <c r="DJ473" s="1822"/>
      <c r="DK473" s="1801"/>
      <c r="DL473" s="4504"/>
      <c r="DM473" s="1801"/>
      <c r="DN473" s="1801"/>
      <c r="DO473" s="1801"/>
      <c r="DP473" s="1801"/>
      <c r="DQ473" s="4504"/>
      <c r="DR473" s="1801"/>
      <c r="DS473" s="1801"/>
      <c r="DT473" s="1801"/>
      <c r="DU473" s="1801"/>
      <c r="DV473" s="4504"/>
      <c r="DW473" s="1801"/>
      <c r="DX473" s="1801"/>
      <c r="DY473" s="1801"/>
      <c r="DZ473" s="1801"/>
      <c r="EA473" s="4504"/>
      <c r="EB473" s="1801"/>
      <c r="EC473" s="1801"/>
      <c r="ED473" s="1801"/>
      <c r="EE473" s="1801"/>
      <c r="EF473" s="4504"/>
      <c r="EG473" s="1801"/>
      <c r="EH473" s="1801"/>
      <c r="EI473" s="1801"/>
      <c r="EJ473" s="1801"/>
      <c r="EK473" s="4504"/>
      <c r="EL473" s="1801"/>
      <c r="EM473" s="1801"/>
      <c r="EN473" s="1801"/>
      <c r="EO473" s="1801"/>
      <c r="EP473" s="4504"/>
      <c r="EQ473" s="1801"/>
      <c r="ER473" s="1801"/>
      <c r="ES473" s="1801"/>
      <c r="ET473" s="1801"/>
      <c r="EU473" s="4504"/>
      <c r="EV473" s="4504"/>
      <c r="EW473" s="4504"/>
      <c r="EX473" s="4504"/>
      <c r="EY473" s="4504"/>
      <c r="EZ473" s="175"/>
      <c r="FA473" s="725"/>
      <c r="FB473" s="725"/>
    </row>
    <row r="474" spans="1:158" s="180" customFormat="1" ht="11.25" hidden="1" customHeight="1">
      <c r="A474" s="2993" t="str">
        <f t="shared" ref="A474:AF474" si="1297">A36</f>
        <v>Google advertising</v>
      </c>
      <c r="B474" s="2994">
        <f t="shared" si="1297"/>
        <v>0</v>
      </c>
      <c r="C474" s="2995">
        <f t="shared" si="1297"/>
        <v>0</v>
      </c>
      <c r="D474" s="2995">
        <f t="shared" si="1297"/>
        <v>0</v>
      </c>
      <c r="E474" s="2995">
        <f t="shared" si="1297"/>
        <v>0</v>
      </c>
      <c r="F474" s="3083">
        <f t="shared" si="1297"/>
        <v>0</v>
      </c>
      <c r="G474" s="2994">
        <f t="shared" si="1297"/>
        <v>0</v>
      </c>
      <c r="H474" s="2995">
        <f t="shared" si="1297"/>
        <v>0</v>
      </c>
      <c r="I474" s="2995">
        <f t="shared" si="1297"/>
        <v>0</v>
      </c>
      <c r="J474" s="2995">
        <f t="shared" si="1297"/>
        <v>0</v>
      </c>
      <c r="K474" s="2996">
        <f t="shared" si="1297"/>
        <v>0</v>
      </c>
      <c r="L474" s="2995">
        <f t="shared" si="1297"/>
        <v>0</v>
      </c>
      <c r="M474" s="2995">
        <f t="shared" si="1297"/>
        <v>0</v>
      </c>
      <c r="N474" s="2995">
        <f t="shared" si="1297"/>
        <v>0</v>
      </c>
      <c r="O474" s="2995">
        <f t="shared" si="1297"/>
        <v>0</v>
      </c>
      <c r="P474" s="2996">
        <f t="shared" si="1297"/>
        <v>66.932000000000002</v>
      </c>
      <c r="Q474" s="2994">
        <f t="shared" si="1297"/>
        <v>37.210799999999999</v>
      </c>
      <c r="R474" s="2995">
        <f t="shared" si="1297"/>
        <v>71.457750000000004</v>
      </c>
      <c r="S474" s="2995">
        <f t="shared" si="1297"/>
        <v>122.93978000000001</v>
      </c>
      <c r="T474" s="2995">
        <f t="shared" si="1297"/>
        <v>179.30666999999994</v>
      </c>
      <c r="U474" s="2996">
        <f t="shared" si="1297"/>
        <v>410.91500000000002</v>
      </c>
      <c r="V474" s="2994">
        <f t="shared" si="1297"/>
        <v>239.11799999999999</v>
      </c>
      <c r="W474" s="2995">
        <f t="shared" si="1297"/>
        <v>300.685</v>
      </c>
      <c r="X474" s="2995">
        <f t="shared" si="1297"/>
        <v>381.68299999999999</v>
      </c>
      <c r="Y474" s="2995">
        <f t="shared" si="1297"/>
        <v>499.17600000000004</v>
      </c>
      <c r="Z474" s="2996">
        <f t="shared" si="1297"/>
        <v>1420.663</v>
      </c>
      <c r="AA474" s="2994">
        <f t="shared" si="1297"/>
        <v>637.28399999999999</v>
      </c>
      <c r="AB474" s="2995">
        <f t="shared" si="1297"/>
        <v>689.66800000000001</v>
      </c>
      <c r="AC474" s="2995">
        <f t="shared" si="1297"/>
        <v>796</v>
      </c>
      <c r="AD474" s="2995">
        <f t="shared" si="1297"/>
        <v>1020.3810000000001</v>
      </c>
      <c r="AE474" s="2996">
        <f t="shared" si="1297"/>
        <v>3143.3329999999996</v>
      </c>
      <c r="AF474" s="2994">
        <f t="shared" si="1297"/>
        <v>1241.1111999999998</v>
      </c>
      <c r="AG474" s="2995">
        <f t="shared" ref="AG474:BN474" si="1298">AG36</f>
        <v>1367.414</v>
      </c>
      <c r="AH474" s="2995">
        <f t="shared" si="1298"/>
        <v>1559.6909999999998</v>
      </c>
      <c r="AI474" s="2995">
        <f t="shared" si="1298"/>
        <v>1896.7860000000001</v>
      </c>
      <c r="AJ474" s="2996">
        <f t="shared" si="1298"/>
        <v>6065.0021999999999</v>
      </c>
      <c r="AK474" s="2994">
        <f t="shared" si="1298"/>
        <v>2225.6930000000002</v>
      </c>
      <c r="AL474" s="2995">
        <f t="shared" si="1298"/>
        <v>2429.0280000000002</v>
      </c>
      <c r="AM474" s="2995">
        <f t="shared" si="1298"/>
        <v>2662.9989999999998</v>
      </c>
      <c r="AN474" s="2997">
        <f t="shared" si="1298"/>
        <v>3174.9089999999997</v>
      </c>
      <c r="AO474" s="2996">
        <f t="shared" si="1298"/>
        <v>10492.629000000001</v>
      </c>
      <c r="AP474" s="2994">
        <f t="shared" si="1298"/>
        <v>3627.45</v>
      </c>
      <c r="AQ474" s="2995">
        <f t="shared" si="1298"/>
        <v>3838.3409999999999</v>
      </c>
      <c r="AR474" s="2995">
        <f t="shared" si="1298"/>
        <v>4189.4769999999999</v>
      </c>
      <c r="AS474" s="2997">
        <f t="shared" si="1298"/>
        <v>4757.375</v>
      </c>
      <c r="AT474" s="2996">
        <f t="shared" si="1298"/>
        <v>16412.643</v>
      </c>
      <c r="AU474" s="2994">
        <f t="shared" si="1298"/>
        <v>5086.5460000000003</v>
      </c>
      <c r="AV474" s="2995">
        <f t="shared" si="1298"/>
        <v>5185.4250000000002</v>
      </c>
      <c r="AW474" s="2995">
        <f t="shared" si="1298"/>
        <v>5351.9719999999998</v>
      </c>
      <c r="AX474" s="2997">
        <f t="shared" si="1298"/>
        <v>5504.5709999999999</v>
      </c>
      <c r="AY474" s="2996">
        <f t="shared" si="1298"/>
        <v>21128.514000000003</v>
      </c>
      <c r="AZ474" s="2994">
        <f t="shared" si="1298"/>
        <v>5330.8649999999998</v>
      </c>
      <c r="BA474" s="2995">
        <f t="shared" si="1298"/>
        <v>5336.1280000000006</v>
      </c>
      <c r="BB474" s="2995">
        <f t="shared" si="1298"/>
        <v>5756.6210000000001</v>
      </c>
      <c r="BC474" s="2997">
        <f t="shared" si="1298"/>
        <v>6465.1900000000005</v>
      </c>
      <c r="BD474" s="2996">
        <f t="shared" si="1298"/>
        <v>22888.804</v>
      </c>
      <c r="BE474" s="2994">
        <f t="shared" si="1298"/>
        <v>6475</v>
      </c>
      <c r="BF474" s="2995">
        <f t="shared" si="1298"/>
        <v>6562</v>
      </c>
      <c r="BG474" s="2995">
        <f t="shared" si="1298"/>
        <v>7032</v>
      </c>
      <c r="BH474" s="2997">
        <f t="shared" si="1298"/>
        <v>8167</v>
      </c>
      <c r="BI474" s="2996">
        <f t="shared" si="1298"/>
        <v>28236</v>
      </c>
      <c r="BJ474" s="2994">
        <f t="shared" si="1298"/>
        <v>8306</v>
      </c>
      <c r="BK474" s="2995">
        <f t="shared" si="1298"/>
        <v>8716</v>
      </c>
      <c r="BL474" s="2995">
        <f t="shared" si="1298"/>
        <v>9335</v>
      </c>
      <c r="BM474" s="2995">
        <f t="shared" si="1298"/>
        <v>10174</v>
      </c>
      <c r="BN474" s="2996">
        <f t="shared" si="1298"/>
        <v>36531</v>
      </c>
      <c r="BO474" s="2995"/>
      <c r="BP474" s="2995"/>
      <c r="BQ474" s="2995"/>
      <c r="BR474" s="2995"/>
      <c r="BS474" s="2998"/>
      <c r="BT474" s="2995">
        <f>BT36</f>
        <v>10225</v>
      </c>
      <c r="BU474" s="2995">
        <f>BU36</f>
        <v>10525</v>
      </c>
      <c r="BV474" s="2995">
        <f>BV36</f>
        <v>10860</v>
      </c>
      <c r="BW474" s="2995">
        <f>BW36</f>
        <v>12076</v>
      </c>
      <c r="BX474" s="2996">
        <f>BX36</f>
        <v>43686</v>
      </c>
      <c r="BY474" s="2995"/>
      <c r="BZ474" s="2995"/>
      <c r="CA474" s="2995"/>
      <c r="CB474" s="2995"/>
      <c r="CC474" s="2998"/>
      <c r="CD474" s="2994">
        <f t="shared" ref="CD474:CL474" si="1299">CD36</f>
        <v>12031</v>
      </c>
      <c r="CE474" s="2995">
        <f t="shared" si="1299"/>
        <v>12182</v>
      </c>
      <c r="CF474" s="2995">
        <f t="shared" si="1299"/>
        <v>12653</v>
      </c>
      <c r="CG474" s="2995">
        <f t="shared" si="1299"/>
        <v>14206</v>
      </c>
      <c r="CH474" s="2996">
        <f t="shared" si="1299"/>
        <v>51072</v>
      </c>
      <c r="CI474" s="2999">
        <f t="shared" si="1299"/>
        <v>13997</v>
      </c>
      <c r="CJ474" s="2995">
        <f t="shared" si="1299"/>
        <v>14498</v>
      </c>
      <c r="CK474" s="2995">
        <f t="shared" si="1299"/>
        <v>14820</v>
      </c>
      <c r="CL474" s="2995">
        <f t="shared" si="1299"/>
        <v>16309</v>
      </c>
      <c r="CM474" s="2996">
        <f>SUM(CI474:CL474)</f>
        <v>59624</v>
      </c>
      <c r="CN474" s="2995">
        <f>CN36</f>
        <v>15508</v>
      </c>
      <c r="CO474" s="2995">
        <f>CO36</f>
        <v>16023</v>
      </c>
      <c r="CP474" s="2995">
        <f>CP36</f>
        <v>16781</v>
      </c>
      <c r="CQ474" s="2995">
        <f>CQ36</f>
        <v>19078</v>
      </c>
      <c r="CR474" s="2996">
        <f>SUM(CN474:CQ474)</f>
        <v>67390</v>
      </c>
      <c r="CS474" s="2995">
        <f>CS36</f>
        <v>18020</v>
      </c>
      <c r="CT474" s="2995">
        <f>CT36</f>
        <v>19143</v>
      </c>
      <c r="CU474" s="2995">
        <f>CU36</f>
        <v>19821</v>
      </c>
      <c r="CV474" s="2995">
        <f>CV36</f>
        <v>22399</v>
      </c>
      <c r="CW474" s="2996">
        <f>SUM(CS474:CV474)</f>
        <v>79383</v>
      </c>
      <c r="CX474" s="2995">
        <f t="shared" ref="CX474:DC474" si="1300">CX467+CX460</f>
        <v>21411</v>
      </c>
      <c r="CY474" s="2995">
        <f t="shared" si="1300"/>
        <v>22672</v>
      </c>
      <c r="CZ474" s="2995">
        <f t="shared" si="1300"/>
        <v>24065</v>
      </c>
      <c r="DA474" s="2995">
        <f t="shared" si="1300"/>
        <v>27227</v>
      </c>
      <c r="DB474" s="2996">
        <f t="shared" si="1300"/>
        <v>95375</v>
      </c>
      <c r="DC474" s="2995">
        <f t="shared" si="1300"/>
        <v>26642</v>
      </c>
      <c r="DD474" s="4002" t="s">
        <v>828</v>
      </c>
      <c r="DE474" s="2925"/>
      <c r="DF474" s="2925"/>
      <c r="DG474" s="2926"/>
      <c r="DH474" s="2925"/>
      <c r="DI474" s="2925"/>
      <c r="DJ474" s="2925"/>
      <c r="DK474" s="2925"/>
      <c r="DL474" s="2926"/>
      <c r="DM474" s="2925"/>
      <c r="DN474" s="2925"/>
      <c r="DO474" s="2925"/>
      <c r="DP474" s="2925"/>
      <c r="DQ474" s="2926"/>
      <c r="DR474" s="2925"/>
      <c r="DS474" s="2925"/>
      <c r="DT474" s="2925"/>
      <c r="DU474" s="2925"/>
      <c r="DV474" s="2926"/>
      <c r="DW474" s="2925"/>
      <c r="DX474" s="2925"/>
      <c r="DY474" s="2925"/>
      <c r="DZ474" s="2925"/>
      <c r="EA474" s="2926"/>
      <c r="EB474" s="2925"/>
      <c r="EC474" s="2925"/>
      <c r="ED474" s="2925"/>
      <c r="EE474" s="2925"/>
      <c r="EF474" s="2926"/>
      <c r="EG474" s="2925"/>
      <c r="EH474" s="2925"/>
      <c r="EI474" s="2925"/>
      <c r="EJ474" s="2925"/>
      <c r="EK474" s="2926"/>
      <c r="EL474" s="2925"/>
      <c r="EM474" s="2925"/>
      <c r="EN474" s="2925"/>
      <c r="EO474" s="2925"/>
      <c r="EP474" s="2926"/>
      <c r="EQ474" s="2925"/>
      <c r="ER474" s="2925"/>
      <c r="ES474" s="2925"/>
      <c r="ET474" s="2925"/>
      <c r="EU474" s="2926"/>
      <c r="EV474" s="2926"/>
      <c r="EW474" s="2926"/>
      <c r="EX474" s="2926"/>
      <c r="EY474" s="2926"/>
      <c r="EZ474" s="175"/>
      <c r="FA474" s="761"/>
      <c r="FB474" s="761"/>
    </row>
    <row r="475" spans="1:158" s="183" customFormat="1" ht="11.25" hidden="1" customHeight="1">
      <c r="A475" s="1572" t="s">
        <v>655</v>
      </c>
      <c r="B475" s="1226"/>
      <c r="C475" s="169"/>
      <c r="D475" s="169"/>
      <c r="E475" s="182"/>
      <c r="F475" s="1231"/>
      <c r="G475" s="1226"/>
      <c r="H475" s="169"/>
      <c r="I475" s="169"/>
      <c r="J475" s="169"/>
      <c r="K475" s="992"/>
      <c r="L475" s="169"/>
      <c r="M475" s="169"/>
      <c r="N475" s="169"/>
      <c r="O475" s="169"/>
      <c r="P475" s="992"/>
      <c r="Q475" s="1226"/>
      <c r="R475" s="169"/>
      <c r="S475" s="169"/>
      <c r="T475" s="169"/>
      <c r="U475" s="992"/>
      <c r="V475" s="1226"/>
      <c r="W475" s="169"/>
      <c r="X475" s="169"/>
      <c r="Y475" s="169"/>
      <c r="Z475" s="992"/>
      <c r="AA475" s="1226"/>
      <c r="AB475" s="169"/>
      <c r="AC475" s="169"/>
      <c r="AD475" s="169"/>
      <c r="AE475" s="992"/>
      <c r="AF475" s="1226"/>
      <c r="AG475" s="169"/>
      <c r="AH475" s="169"/>
      <c r="AI475" s="169"/>
      <c r="AJ475" s="992"/>
      <c r="AK475" s="1226"/>
      <c r="AL475" s="169"/>
      <c r="AM475" s="169"/>
      <c r="AN475" s="169"/>
      <c r="AO475" s="992"/>
      <c r="AP475" s="1226"/>
      <c r="AQ475" s="169"/>
      <c r="AR475" s="169"/>
      <c r="AS475" s="169"/>
      <c r="AT475" s="992"/>
      <c r="AU475" s="1226"/>
      <c r="AV475" s="169"/>
      <c r="AW475" s="169"/>
      <c r="AX475" s="169"/>
      <c r="AY475" s="992"/>
      <c r="AZ475" s="1226"/>
      <c r="BA475" s="169"/>
      <c r="BB475" s="169"/>
      <c r="BC475" s="169"/>
      <c r="BD475" s="992"/>
      <c r="BE475" s="1226"/>
      <c r="BF475" s="169"/>
      <c r="BG475" s="169"/>
      <c r="BH475" s="169"/>
      <c r="BI475" s="992"/>
      <c r="BJ475" s="1226"/>
      <c r="BK475" s="169"/>
      <c r="BL475" s="169"/>
      <c r="BM475" s="169"/>
      <c r="BN475" s="992"/>
      <c r="BO475" s="169"/>
      <c r="BP475" s="169"/>
      <c r="BQ475" s="169"/>
      <c r="BR475" s="169"/>
      <c r="BS475" s="600"/>
      <c r="BT475" s="169"/>
      <c r="BU475" s="169"/>
      <c r="BV475" s="169"/>
      <c r="BW475" s="169"/>
      <c r="BX475" s="992"/>
      <c r="BY475" s="169"/>
      <c r="BZ475" s="169"/>
      <c r="CA475" s="169"/>
      <c r="CB475" s="169"/>
      <c r="CC475" s="600"/>
      <c r="CD475" s="1226">
        <f t="shared" ref="CD475:DB475" si="1301">(1+CD452)*(1+CD456)-1</f>
        <v>0.15199999999999991</v>
      </c>
      <c r="CE475" s="169">
        <f t="shared" si="1301"/>
        <v>0.15619999999999989</v>
      </c>
      <c r="CF475" s="169">
        <f t="shared" si="1301"/>
        <v>0.15920000000000001</v>
      </c>
      <c r="CG475" s="169">
        <f t="shared" si="1301"/>
        <v>0.16590000000000016</v>
      </c>
      <c r="CH475" s="992">
        <f t="shared" si="1301"/>
        <v>0.16907018266721607</v>
      </c>
      <c r="CI475" s="551">
        <f t="shared" si="1301"/>
        <v>0.14660000000000006</v>
      </c>
      <c r="CJ475" s="205">
        <f t="shared" si="1301"/>
        <v>0.17499999999999982</v>
      </c>
      <c r="CK475" s="205">
        <f t="shared" si="1301"/>
        <v>0.14659999999999984</v>
      </c>
      <c r="CL475" s="169">
        <f t="shared" si="1301"/>
        <v>0.10580000000000012</v>
      </c>
      <c r="CM475" s="992">
        <f t="shared" si="1301"/>
        <v>0.16744987468671679</v>
      </c>
      <c r="CN475" s="181">
        <f t="shared" si="1301"/>
        <v>5.0899999999999723E-2</v>
      </c>
      <c r="CO475" s="205">
        <f t="shared" si="1301"/>
        <v>5.0200000000000022E-2</v>
      </c>
      <c r="CP475" s="205">
        <f t="shared" si="1301"/>
        <v>9.4700000000000006E-2</v>
      </c>
      <c r="CQ475" s="169">
        <f t="shared" si="1301"/>
        <v>0.13969999999999994</v>
      </c>
      <c r="CR475" s="992">
        <f t="shared" si="1301"/>
        <v>0.13024956393398623</v>
      </c>
      <c r="CS475" s="181">
        <f t="shared" si="1301"/>
        <v>0.18680000000000008</v>
      </c>
      <c r="CT475" s="205">
        <f t="shared" si="1301"/>
        <v>0.20320000000000005</v>
      </c>
      <c r="CU475" s="205">
        <f t="shared" si="1301"/>
        <v>0.18800000000000017</v>
      </c>
      <c r="CV475" s="205">
        <f t="shared" si="1301"/>
        <v>0.15369999999999995</v>
      </c>
      <c r="CW475" s="992">
        <f t="shared" si="1301"/>
        <v>0.17796408962754118</v>
      </c>
      <c r="CX475" s="181">
        <f t="shared" si="1301"/>
        <v>0.1664000000000001</v>
      </c>
      <c r="CY475" s="169">
        <f t="shared" si="1301"/>
        <v>0.17040000000000011</v>
      </c>
      <c r="CZ475" s="169">
        <f t="shared" si="1301"/>
        <v>0.20540000000000003</v>
      </c>
      <c r="DA475" s="169">
        <f t="shared" si="1301"/>
        <v>0.2298</v>
      </c>
      <c r="DB475" s="992">
        <f t="shared" si="1301"/>
        <v>0.20145371175188642</v>
      </c>
      <c r="DC475" s="181">
        <f>(1+DC452)*(1+DC456)-1</f>
        <v>0.27100000000000013</v>
      </c>
      <c r="DD475" s="3976"/>
      <c r="DE475" s="2660"/>
      <c r="DF475" s="2660"/>
      <c r="DG475" s="2597"/>
      <c r="DH475" s="2660"/>
      <c r="DI475" s="2660"/>
      <c r="DJ475" s="2660"/>
      <c r="DK475" s="2660"/>
      <c r="DL475" s="2597"/>
      <c r="DM475" s="2660"/>
      <c r="DN475" s="2660"/>
      <c r="DO475" s="2660"/>
      <c r="DP475" s="2660"/>
      <c r="DQ475" s="2597"/>
      <c r="DR475" s="2660"/>
      <c r="DS475" s="2660"/>
      <c r="DT475" s="2660"/>
      <c r="DU475" s="2660"/>
      <c r="DV475" s="2597"/>
      <c r="DW475" s="2660"/>
      <c r="DX475" s="2660"/>
      <c r="DY475" s="2660"/>
      <c r="DZ475" s="2660"/>
      <c r="EA475" s="2597"/>
      <c r="EB475" s="2660"/>
      <c r="EC475" s="2660"/>
      <c r="ED475" s="2660"/>
      <c r="EE475" s="2660"/>
      <c r="EF475" s="2597"/>
      <c r="EG475" s="2660"/>
      <c r="EH475" s="2660"/>
      <c r="EI475" s="2660"/>
      <c r="EJ475" s="2660"/>
      <c r="EK475" s="2597"/>
      <c r="EL475" s="2660"/>
      <c r="EM475" s="2660"/>
      <c r="EN475" s="2660"/>
      <c r="EO475" s="2660"/>
      <c r="EP475" s="2597"/>
      <c r="EQ475" s="2660"/>
      <c r="ER475" s="2660"/>
      <c r="ES475" s="2660"/>
      <c r="ET475" s="2660"/>
      <c r="EU475" s="2597"/>
      <c r="EV475" s="2597"/>
      <c r="EW475" s="2597"/>
      <c r="EX475" s="2597"/>
      <c r="EY475" s="2597"/>
      <c r="EZ475" s="181"/>
      <c r="FA475" s="715"/>
      <c r="FB475" s="715"/>
    </row>
    <row r="476" spans="1:158" s="239" customFormat="1" ht="11.25" hidden="1" customHeight="1">
      <c r="A476" s="2503" t="str">
        <f t="shared" ref="A476:AF476" si="1302">A37</f>
        <v>Y/Y growth</v>
      </c>
      <c r="B476" s="2504">
        <f t="shared" si="1302"/>
        <v>0</v>
      </c>
      <c r="C476" s="2505">
        <f t="shared" si="1302"/>
        <v>0</v>
      </c>
      <c r="D476" s="2505">
        <f t="shared" si="1302"/>
        <v>0</v>
      </c>
      <c r="E476" s="2505">
        <f t="shared" si="1302"/>
        <v>0</v>
      </c>
      <c r="F476" s="2505">
        <f t="shared" si="1302"/>
        <v>0</v>
      </c>
      <c r="G476" s="2505">
        <f t="shared" si="1302"/>
        <v>0</v>
      </c>
      <c r="H476" s="2505">
        <f t="shared" si="1302"/>
        <v>0</v>
      </c>
      <c r="I476" s="2505">
        <f t="shared" si="1302"/>
        <v>0</v>
      </c>
      <c r="J476" s="2505">
        <f t="shared" si="1302"/>
        <v>0</v>
      </c>
      <c r="K476" s="2506">
        <f t="shared" si="1302"/>
        <v>0</v>
      </c>
      <c r="L476" s="2505">
        <f t="shared" si="1302"/>
        <v>0</v>
      </c>
      <c r="M476" s="2505">
        <f t="shared" si="1302"/>
        <v>0</v>
      </c>
      <c r="N476" s="2505">
        <f t="shared" si="1302"/>
        <v>0</v>
      </c>
      <c r="O476" s="2505">
        <f t="shared" si="1302"/>
        <v>0</v>
      </c>
      <c r="P476" s="2506" t="str">
        <f t="shared" si="1302"/>
        <v>NA</v>
      </c>
      <c r="Q476" s="2504" t="str">
        <f t="shared" si="1302"/>
        <v>NA</v>
      </c>
      <c r="R476" s="2505" t="str">
        <f t="shared" si="1302"/>
        <v>NA</v>
      </c>
      <c r="S476" s="2505" t="str">
        <f t="shared" si="1302"/>
        <v>NA</v>
      </c>
      <c r="T476" s="2505" t="str">
        <f t="shared" si="1302"/>
        <v>NA</v>
      </c>
      <c r="U476" s="2506">
        <f t="shared" si="1302"/>
        <v>5.13929062331919</v>
      </c>
      <c r="V476" s="2504">
        <f t="shared" si="1302"/>
        <v>5.4260376019865202</v>
      </c>
      <c r="W476" s="2505">
        <f t="shared" si="1302"/>
        <v>3.2078710846619156</v>
      </c>
      <c r="X476" s="2505">
        <f t="shared" si="1302"/>
        <v>2.1046338296684763</v>
      </c>
      <c r="Y476" s="2505">
        <f t="shared" si="1302"/>
        <v>1.7839232082108278</v>
      </c>
      <c r="Z476" s="2506">
        <f t="shared" si="1302"/>
        <v>2.4573159899249233</v>
      </c>
      <c r="AA476" s="2504">
        <f t="shared" si="1302"/>
        <v>1.6651444056909139</v>
      </c>
      <c r="AB476" s="2505">
        <f t="shared" si="1302"/>
        <v>1.2936561517867537</v>
      </c>
      <c r="AC476" s="2505">
        <f t="shared" si="1302"/>
        <v>1.0855002711674349</v>
      </c>
      <c r="AD476" s="2505">
        <f t="shared" si="1302"/>
        <v>1.044130727438819</v>
      </c>
      <c r="AE476" s="2506">
        <f t="shared" si="1302"/>
        <v>1.2125817312057818</v>
      </c>
      <c r="AF476" s="2504">
        <f t="shared" si="1302"/>
        <v>0.94750095718706229</v>
      </c>
      <c r="AG476" s="2505">
        <f t="shared" ref="AG476:BN476" si="1303">AG37</f>
        <v>0.98271342153035945</v>
      </c>
      <c r="AH476" s="2505">
        <f t="shared" si="1303"/>
        <v>0.95941080402010015</v>
      </c>
      <c r="AI476" s="2505">
        <f t="shared" si="1303"/>
        <v>0.8588997639117153</v>
      </c>
      <c r="AJ476" s="2506">
        <f t="shared" si="1303"/>
        <v>0.92948128626524795</v>
      </c>
      <c r="AK476" s="2504">
        <f t="shared" si="1303"/>
        <v>0.79330667550176037</v>
      </c>
      <c r="AL476" s="2505">
        <f t="shared" si="1303"/>
        <v>0.77636619195064571</v>
      </c>
      <c r="AM476" s="2505">
        <f t="shared" si="1303"/>
        <v>0.70738883535264363</v>
      </c>
      <c r="AN476" s="2288">
        <f t="shared" si="1303"/>
        <v>0.67383616285653702</v>
      </c>
      <c r="AO476" s="2506">
        <f t="shared" si="1303"/>
        <v>0.73002888605712313</v>
      </c>
      <c r="AP476" s="2504">
        <f t="shared" si="1303"/>
        <v>0.62980698595897966</v>
      </c>
      <c r="AQ476" s="2505">
        <f t="shared" si="1303"/>
        <v>0.58019627604128043</v>
      </c>
      <c r="AR476" s="2505">
        <f t="shared" si="1303"/>
        <v>0.57321763921052926</v>
      </c>
      <c r="AS476" s="2505">
        <f t="shared" si="1303"/>
        <v>0.49842877386407003</v>
      </c>
      <c r="AT476" s="2506">
        <f t="shared" si="1303"/>
        <v>0.56420693040800352</v>
      </c>
      <c r="AU476" s="2504">
        <f t="shared" si="1303"/>
        <v>0.40223738438848233</v>
      </c>
      <c r="AV476" s="2505">
        <f t="shared" si="1303"/>
        <v>0.35095474841865282</v>
      </c>
      <c r="AW476" s="2505">
        <f t="shared" si="1303"/>
        <v>0.27747974269819364</v>
      </c>
      <c r="AX476" s="2505">
        <f t="shared" si="1303"/>
        <v>0.15706056386137313</v>
      </c>
      <c r="AY476" s="2506">
        <f t="shared" si="1303"/>
        <v>0.28733160161955662</v>
      </c>
      <c r="AZ476" s="2504">
        <f t="shared" si="1303"/>
        <v>4.8032397623062772E-2</v>
      </c>
      <c r="BA476" s="2505">
        <f t="shared" si="1303"/>
        <v>2.90628058452298E-2</v>
      </c>
      <c r="BB476" s="2505">
        <f t="shared" si="1303"/>
        <v>7.5607458334983946E-2</v>
      </c>
      <c r="BC476" s="2505">
        <f t="shared" si="1303"/>
        <v>0.17451296386221582</v>
      </c>
      <c r="BD476" s="2506">
        <f t="shared" si="1303"/>
        <v>8.3313478647859318E-2</v>
      </c>
      <c r="BE476" s="2504">
        <f t="shared" si="1303"/>
        <v>0.21462464346780497</v>
      </c>
      <c r="BF476" s="2505">
        <f t="shared" si="1303"/>
        <v>0.22973062115451492</v>
      </c>
      <c r="BG476" s="2505">
        <f t="shared" si="1303"/>
        <v>0.22154993354608554</v>
      </c>
      <c r="BH476" s="2505">
        <f t="shared" si="1303"/>
        <v>0.26322660277578835</v>
      </c>
      <c r="BI476" s="2506">
        <f t="shared" si="1303"/>
        <v>0.23361622564464257</v>
      </c>
      <c r="BJ476" s="2504">
        <f t="shared" si="1303"/>
        <v>0.28277992277992281</v>
      </c>
      <c r="BK476" s="2505">
        <f t="shared" si="1303"/>
        <v>0.32825358122523629</v>
      </c>
      <c r="BL476" s="2505">
        <f t="shared" si="1303"/>
        <v>0.32750284414106945</v>
      </c>
      <c r="BM476" s="2505">
        <f t="shared" si="1303"/>
        <v>0.24574507162972936</v>
      </c>
      <c r="BN476" s="2506">
        <f t="shared" si="1303"/>
        <v>0.29377390565235872</v>
      </c>
      <c r="BO476" s="2505"/>
      <c r="BP476" s="2505"/>
      <c r="BQ476" s="2505"/>
      <c r="BR476" s="2505"/>
      <c r="BS476" s="2507"/>
      <c r="BT476" s="2505">
        <f>BT37</f>
        <v>0.2310378039971106</v>
      </c>
      <c r="BU476" s="2505">
        <f>BU37</f>
        <v>0.2075493345571362</v>
      </c>
      <c r="BV476" s="2505">
        <f>BV37</f>
        <v>0.16336368505623988</v>
      </c>
      <c r="BW476" s="2505">
        <f>BW37</f>
        <v>0.18694712011008452</v>
      </c>
      <c r="BX476" s="2506">
        <f>BX37</f>
        <v>0.19586104951958605</v>
      </c>
      <c r="BY476" s="2505"/>
      <c r="BZ476" s="2505"/>
      <c r="CA476" s="2505"/>
      <c r="CB476" s="2505"/>
      <c r="CC476" s="2507"/>
      <c r="CD476" s="2505">
        <f t="shared" ref="CD476:CP476" si="1304">CD37</f>
        <v>0.17662591687041562</v>
      </c>
      <c r="CE476" s="2505">
        <f t="shared" si="1304"/>
        <v>0.15743467933491684</v>
      </c>
      <c r="CF476" s="2505">
        <f t="shared" si="1304"/>
        <v>0.16510128913443833</v>
      </c>
      <c r="CG476" s="2505">
        <f t="shared" si="1304"/>
        <v>0.17638290824776415</v>
      </c>
      <c r="CH476" s="2506">
        <f t="shared" si="1304"/>
        <v>0.16907018266721607</v>
      </c>
      <c r="CI476" s="2505">
        <f t="shared" si="1304"/>
        <v>0.16341118776494068</v>
      </c>
      <c r="CJ476" s="2505">
        <f t="shared" si="1304"/>
        <v>0.19011656542439659</v>
      </c>
      <c r="CK476" s="2505">
        <f t="shared" si="1304"/>
        <v>0.17126373192128352</v>
      </c>
      <c r="CL476" s="2505">
        <f t="shared" si="1304"/>
        <v>0.14803604110939039</v>
      </c>
      <c r="CM476" s="2506">
        <f t="shared" si="1304"/>
        <v>0.16744987468671679</v>
      </c>
      <c r="CN476" s="2505">
        <f t="shared" si="1304"/>
        <v>0.10795170393655784</v>
      </c>
      <c r="CO476" s="2505">
        <f t="shared" si="1304"/>
        <v>0.10518692233411508</v>
      </c>
      <c r="CP476" s="2505">
        <f t="shared" si="1304"/>
        <v>0.13232118758434552</v>
      </c>
      <c r="CQ476" s="2505">
        <f>CQ474/CL474-1</f>
        <v>0.16978355509228038</v>
      </c>
      <c r="CR476" s="2506">
        <f>CR474/CM474-1</f>
        <v>0.13024956393398623</v>
      </c>
      <c r="CS476" s="2505">
        <f>CS37</f>
        <v>0.16198091307712148</v>
      </c>
      <c r="CT476" s="2505">
        <f>CT37</f>
        <v>0.1947200898708108</v>
      </c>
      <c r="CU476" s="2505">
        <f>CU37</f>
        <v>0.1811572611882486</v>
      </c>
      <c r="CV476" s="2505">
        <f>CV37</f>
        <v>0.17407485061327188</v>
      </c>
      <c r="CW476" s="2506">
        <f>CW37</f>
        <v>0.17796408962754118</v>
      </c>
      <c r="CX476" s="2505">
        <f t="shared" ref="CX476:DC476" si="1305">CX474/CS474-1</f>
        <v>0.18817980022197567</v>
      </c>
      <c r="CY476" s="2505">
        <f t="shared" si="1305"/>
        <v>0.18434937052708555</v>
      </c>
      <c r="CZ476" s="2505">
        <f t="shared" si="1305"/>
        <v>0.2141163412542253</v>
      </c>
      <c r="DA476" s="2505">
        <f t="shared" si="1305"/>
        <v>0.21554533684539479</v>
      </c>
      <c r="DB476" s="2506">
        <f t="shared" si="1305"/>
        <v>0.20145371175188642</v>
      </c>
      <c r="DC476" s="2505">
        <f t="shared" si="1305"/>
        <v>0.24431367054317876</v>
      </c>
      <c r="DD476" s="3999"/>
      <c r="DE476" s="3503"/>
      <c r="DF476" s="3503"/>
      <c r="DG476" s="3995"/>
      <c r="DH476" s="3503"/>
      <c r="DI476" s="3503"/>
      <c r="DJ476" s="3503"/>
      <c r="DK476" s="3503"/>
      <c r="DL476" s="3995"/>
      <c r="DM476" s="3503"/>
      <c r="DN476" s="3503"/>
      <c r="DO476" s="3503"/>
      <c r="DP476" s="3503"/>
      <c r="DQ476" s="3995"/>
      <c r="DR476" s="3503"/>
      <c r="DS476" s="3503"/>
      <c r="DT476" s="3503"/>
      <c r="DU476" s="3503"/>
      <c r="DV476" s="3995"/>
      <c r="DW476" s="3503"/>
      <c r="DX476" s="3503"/>
      <c r="DY476" s="3503"/>
      <c r="DZ476" s="3503"/>
      <c r="EA476" s="3996"/>
      <c r="EB476" s="3503"/>
      <c r="EC476" s="3503"/>
      <c r="ED476" s="3503"/>
      <c r="EE476" s="3503"/>
      <c r="EF476" s="3996"/>
      <c r="EG476" s="3503"/>
      <c r="EH476" s="3503"/>
      <c r="EI476" s="3503"/>
      <c r="EJ476" s="3503"/>
      <c r="EK476" s="3996"/>
      <c r="EL476" s="3503"/>
      <c r="EM476" s="3503"/>
      <c r="EN476" s="3503"/>
      <c r="EO476" s="3503"/>
      <c r="EP476" s="3996"/>
      <c r="EQ476" s="3503"/>
      <c r="ER476" s="3503"/>
      <c r="ES476" s="3503"/>
      <c r="ET476" s="3503"/>
      <c r="EU476" s="3996"/>
      <c r="EV476" s="3996"/>
      <c r="EW476" s="3996"/>
      <c r="EX476" s="3996"/>
      <c r="EY476" s="3996"/>
      <c r="EZ476" s="223"/>
      <c r="FA476" s="715"/>
      <c r="FB476" s="715"/>
    </row>
    <row r="477" spans="1:158" s="183" customFormat="1" ht="11.25" hidden="1" customHeight="1">
      <c r="A477" s="2503" t="s">
        <v>496</v>
      </c>
      <c r="B477" s="2497"/>
      <c r="C477" s="2288"/>
      <c r="D477" s="2288"/>
      <c r="E477" s="2289"/>
      <c r="F477" s="2498"/>
      <c r="G477" s="2497"/>
      <c r="H477" s="2288"/>
      <c r="I477" s="2288"/>
      <c r="J477" s="2288"/>
      <c r="K477" s="2290"/>
      <c r="L477" s="2288"/>
      <c r="M477" s="2288"/>
      <c r="N477" s="2288"/>
      <c r="O477" s="2288"/>
      <c r="P477" s="2290"/>
      <c r="Q477" s="2497"/>
      <c r="R477" s="2288"/>
      <c r="S477" s="2288"/>
      <c r="T477" s="2288"/>
      <c r="U477" s="2290"/>
      <c r="V477" s="2497"/>
      <c r="W477" s="2288"/>
      <c r="X477" s="2288"/>
      <c r="Y477" s="2288"/>
      <c r="Z477" s="2290"/>
      <c r="AA477" s="2497"/>
      <c r="AB477" s="2288"/>
      <c r="AC477" s="2288"/>
      <c r="AD477" s="2288"/>
      <c r="AE477" s="2290"/>
      <c r="AF477" s="2497"/>
      <c r="AG477" s="2288"/>
      <c r="AH477" s="2288"/>
      <c r="AI477" s="2288"/>
      <c r="AJ477" s="2290"/>
      <c r="AK477" s="2497"/>
      <c r="AL477" s="2288"/>
      <c r="AM477" s="2288"/>
      <c r="AN477" s="2288"/>
      <c r="AO477" s="2290"/>
      <c r="AP477" s="2497"/>
      <c r="AQ477" s="2288"/>
      <c r="AR477" s="2288"/>
      <c r="AS477" s="2288"/>
      <c r="AT477" s="2290"/>
      <c r="AU477" s="2497"/>
      <c r="AV477" s="2288"/>
      <c r="AW477" s="2288"/>
      <c r="AX477" s="2288"/>
      <c r="AY477" s="2290"/>
      <c r="AZ477" s="2497">
        <f t="shared" ref="AZ477:BN477" si="1306">AZ587</f>
        <v>0.10034850444960308</v>
      </c>
      <c r="BA477" s="2288">
        <f t="shared" si="1306"/>
        <v>9.9545985119595226E-2</v>
      </c>
      <c r="BB477" s="2288">
        <f t="shared" si="1306"/>
        <v>0.12925711625644176</v>
      </c>
      <c r="BC477" s="2288">
        <f t="shared" si="1306"/>
        <v>0.16495149294786415</v>
      </c>
      <c r="BD477" s="2499">
        <f t="shared" si="1306"/>
        <v>0.1240615441753794</v>
      </c>
      <c r="BE477" s="2497">
        <f t="shared" si="1306"/>
        <v>0.20307717431596051</v>
      </c>
      <c r="BF477" s="2288">
        <f t="shared" si="1306"/>
        <v>0.2389759115996144</v>
      </c>
      <c r="BG477" s="2288">
        <f t="shared" si="1306"/>
        <v>0.24311772885115479</v>
      </c>
      <c r="BH477" s="2288">
        <f t="shared" si="1306"/>
        <v>0.28077672596857517</v>
      </c>
      <c r="BI477" s="2499">
        <f t="shared" si="1306"/>
        <v>0.24374196284929539</v>
      </c>
      <c r="BJ477" s="2497">
        <f t="shared" si="1306"/>
        <v>0.27913291477026081</v>
      </c>
      <c r="BK477" s="2288">
        <f t="shared" si="1306"/>
        <v>0.28113999260246403</v>
      </c>
      <c r="BL477" s="2288">
        <f t="shared" si="1306"/>
        <v>0.27699966624461858</v>
      </c>
      <c r="BM477" s="2288">
        <f t="shared" si="1306"/>
        <v>0.24189080812928676</v>
      </c>
      <c r="BN477" s="2499">
        <f t="shared" si="1306"/>
        <v>0.2682537600123871</v>
      </c>
      <c r="BO477" s="2288"/>
      <c r="BP477" s="2288"/>
      <c r="BQ477" s="2288"/>
      <c r="BR477" s="2288"/>
      <c r="BS477" s="2499"/>
      <c r="BT477" s="2497">
        <f>BT587</f>
        <v>0.2365259628180798</v>
      </c>
      <c r="BU477" s="2288">
        <f>BU587</f>
        <v>0.23772488118826485</v>
      </c>
      <c r="BV477" s="2288">
        <f>BV587</f>
        <v>0.21345078700333731</v>
      </c>
      <c r="BW477" s="2288">
        <f>BW587</f>
        <v>0.20413958295893941</v>
      </c>
      <c r="BX477" s="2499">
        <f>BX587</f>
        <v>0.22196312247809002</v>
      </c>
      <c r="BY477" s="2288"/>
      <c r="BZ477" s="2288"/>
      <c r="CA477" s="2288"/>
      <c r="CB477" s="2288"/>
      <c r="CC477" s="2499"/>
      <c r="CD477" s="2497">
        <f t="shared" ref="CD477:DC477" si="1307">CD587</f>
        <v>0.18072990998167193</v>
      </c>
      <c r="CE477" s="2288">
        <f t="shared" si="1307"/>
        <v>0.16604923497455015</v>
      </c>
      <c r="CF477" s="2288">
        <f t="shared" si="1307"/>
        <v>0.17140243009102729</v>
      </c>
      <c r="CG477" s="2288">
        <f t="shared" si="1307"/>
        <v>0.17976542049560118</v>
      </c>
      <c r="CH477" s="2499">
        <f t="shared" si="1307"/>
        <v>0.17460957837112057</v>
      </c>
      <c r="CI477" s="1098">
        <f t="shared" si="1307"/>
        <v>0.16341118776494068</v>
      </c>
      <c r="CJ477" s="2500">
        <f t="shared" si="1307"/>
        <v>0.19011656542439659</v>
      </c>
      <c r="CK477" s="2500">
        <f t="shared" si="1307"/>
        <v>0.17126373192128352</v>
      </c>
      <c r="CL477" s="2288">
        <f t="shared" si="1307"/>
        <v>0.14803604110939039</v>
      </c>
      <c r="CM477" s="2499">
        <f t="shared" si="1307"/>
        <v>0.16744987468671679</v>
      </c>
      <c r="CN477" s="1098">
        <f t="shared" si="1307"/>
        <v>0.10795170393655784</v>
      </c>
      <c r="CO477" s="2500">
        <f t="shared" si="1307"/>
        <v>0.10518692233411508</v>
      </c>
      <c r="CP477" s="2500">
        <f t="shared" si="1307"/>
        <v>0.13232118758434552</v>
      </c>
      <c r="CQ477" s="2288">
        <f t="shared" si="1307"/>
        <v>0.16978355509228038</v>
      </c>
      <c r="CR477" s="2499">
        <f t="shared" si="1307"/>
        <v>0.13024956393398623</v>
      </c>
      <c r="CS477" s="1098">
        <f t="shared" si="1307"/>
        <v>0.16198091307712148</v>
      </c>
      <c r="CT477" s="2500">
        <f t="shared" si="1307"/>
        <v>0.1947200898708108</v>
      </c>
      <c r="CU477" s="2500">
        <f t="shared" si="1307"/>
        <v>0.1811572611882486</v>
      </c>
      <c r="CV477" s="2500">
        <f t="shared" si="1307"/>
        <v>0.17407485061327188</v>
      </c>
      <c r="CW477" s="2499">
        <f t="shared" si="1307"/>
        <v>0.17796408962754118</v>
      </c>
      <c r="CX477" s="1098">
        <f t="shared" si="1307"/>
        <v>0.18817980022197567</v>
      </c>
      <c r="CY477" s="2288">
        <f t="shared" si="1307"/>
        <v>0.18434937052708555</v>
      </c>
      <c r="CZ477" s="2288">
        <f t="shared" si="1307"/>
        <v>0.2141163412542253</v>
      </c>
      <c r="DA477" s="2288">
        <f t="shared" si="1307"/>
        <v>0.21554533684539479</v>
      </c>
      <c r="DB477" s="2499">
        <f t="shared" si="1307"/>
        <v>0.20145371175188642</v>
      </c>
      <c r="DC477" s="1098">
        <f t="shared" si="1307"/>
        <v>0.24431367054317876</v>
      </c>
      <c r="DD477" s="4000"/>
      <c r="DE477" s="1143"/>
      <c r="DF477" s="1143"/>
      <c r="DG477" s="3997"/>
      <c r="DH477" s="1143"/>
      <c r="DI477" s="1143"/>
      <c r="DJ477" s="1143"/>
      <c r="DK477" s="1143"/>
      <c r="DL477" s="3997"/>
      <c r="DM477" s="1143"/>
      <c r="DN477" s="1143"/>
      <c r="DO477" s="1143"/>
      <c r="DP477" s="1143"/>
      <c r="DQ477" s="3997"/>
      <c r="DR477" s="1143"/>
      <c r="DS477" s="1143"/>
      <c r="DT477" s="1143"/>
      <c r="DU477" s="1143"/>
      <c r="DV477" s="3997"/>
      <c r="DW477" s="1143"/>
      <c r="DX477" s="1143"/>
      <c r="DY477" s="1143"/>
      <c r="DZ477" s="1143"/>
      <c r="EA477" s="3997"/>
      <c r="EB477" s="1143"/>
      <c r="EC477" s="1143"/>
      <c r="ED477" s="1143"/>
      <c r="EE477" s="1143"/>
      <c r="EF477" s="3997"/>
      <c r="EG477" s="1143"/>
      <c r="EH477" s="1143"/>
      <c r="EI477" s="1143"/>
      <c r="EJ477" s="1143"/>
      <c r="EK477" s="3997"/>
      <c r="EL477" s="1143"/>
      <c r="EM477" s="1143"/>
      <c r="EN477" s="1143"/>
      <c r="EO477" s="1143"/>
      <c r="EP477" s="3997"/>
      <c r="EQ477" s="1143"/>
      <c r="ER477" s="1143"/>
      <c r="ES477" s="1143"/>
      <c r="ET477" s="1143"/>
      <c r="EU477" s="3997"/>
      <c r="EV477" s="3997"/>
      <c r="EW477" s="3997"/>
      <c r="EX477" s="3997"/>
      <c r="EY477" s="3997"/>
      <c r="EZ477" s="181"/>
      <c r="FA477" s="715"/>
      <c r="FB477" s="715"/>
    </row>
    <row r="478" spans="1:158" s="239" customFormat="1" ht="11.25" hidden="1" customHeight="1">
      <c r="A478" s="1572" t="str">
        <f t="shared" ref="A478:O478" si="1308">A41</f>
        <v>Q/Q growth</v>
      </c>
      <c r="B478" s="1488">
        <f t="shared" si="1308"/>
        <v>0</v>
      </c>
      <c r="C478" s="223">
        <f t="shared" si="1308"/>
        <v>0</v>
      </c>
      <c r="D478" s="223">
        <f t="shared" si="1308"/>
        <v>0</v>
      </c>
      <c r="E478" s="223">
        <f t="shared" si="1308"/>
        <v>0</v>
      </c>
      <c r="F478" s="223">
        <f t="shared" si="1308"/>
        <v>0</v>
      </c>
      <c r="G478" s="223">
        <f t="shared" si="1308"/>
        <v>0</v>
      </c>
      <c r="H478" s="223">
        <f t="shared" si="1308"/>
        <v>0</v>
      </c>
      <c r="I478" s="223">
        <f t="shared" si="1308"/>
        <v>0</v>
      </c>
      <c r="J478" s="223">
        <f t="shared" si="1308"/>
        <v>0</v>
      </c>
      <c r="K478" s="1020">
        <f t="shared" si="1308"/>
        <v>0</v>
      </c>
      <c r="L478" s="223">
        <f t="shared" si="1308"/>
        <v>0</v>
      </c>
      <c r="M478" s="223">
        <f t="shared" si="1308"/>
        <v>0</v>
      </c>
      <c r="N478" s="223">
        <f t="shared" si="1308"/>
        <v>0</v>
      </c>
      <c r="O478" s="223">
        <f t="shared" si="1308"/>
        <v>0</v>
      </c>
      <c r="P478" s="1020"/>
      <c r="Q478" s="1488" t="str">
        <f>Q41</f>
        <v>NA</v>
      </c>
      <c r="R478" s="223">
        <f>R41</f>
        <v>0.92034973717307889</v>
      </c>
      <c r="S478" s="223">
        <f>S41</f>
        <v>0.72045411449422914</v>
      </c>
      <c r="T478" s="223">
        <f>T41</f>
        <v>0.45849187301294925</v>
      </c>
      <c r="U478" s="1020"/>
      <c r="V478" s="1488">
        <f>V41</f>
        <v>0.33357002279948689</v>
      </c>
      <c r="W478" s="223">
        <f>W41</f>
        <v>0.25747538872021347</v>
      </c>
      <c r="X478" s="223">
        <f>X41</f>
        <v>0.2693782529890083</v>
      </c>
      <c r="Y478" s="223">
        <f>Y41</f>
        <v>0.30782874794004456</v>
      </c>
      <c r="Z478" s="1020"/>
      <c r="AA478" s="1488">
        <f t="shared" ref="AA478:AX478" si="1309">AA41</f>
        <v>0.27667195538247014</v>
      </c>
      <c r="AB478" s="223">
        <f t="shared" si="1309"/>
        <v>8.2198831290288155E-2</v>
      </c>
      <c r="AC478" s="223">
        <f t="shared" si="1309"/>
        <v>0.15417853227929967</v>
      </c>
      <c r="AD478" s="223">
        <f t="shared" si="1309"/>
        <v>0.28188567839195988</v>
      </c>
      <c r="AE478" s="1020">
        <f t="shared" si="1309"/>
        <v>0</v>
      </c>
      <c r="AF478" s="1488">
        <f t="shared" si="1309"/>
        <v>0.21632135447445577</v>
      </c>
      <c r="AG478" s="223">
        <f t="shared" si="1309"/>
        <v>0.10176590139545927</v>
      </c>
      <c r="AH478" s="223">
        <f t="shared" si="1309"/>
        <v>0.14061359617496949</v>
      </c>
      <c r="AI478" s="223">
        <f t="shared" si="1309"/>
        <v>0.21612934869791545</v>
      </c>
      <c r="AJ478" s="1020">
        <f t="shared" si="1309"/>
        <v>0</v>
      </c>
      <c r="AK478" s="1488">
        <f t="shared" si="1309"/>
        <v>0.17340227099946981</v>
      </c>
      <c r="AL478" s="223">
        <f t="shared" si="1309"/>
        <v>9.1358062410224594E-2</v>
      </c>
      <c r="AM478" s="223">
        <f t="shared" si="1309"/>
        <v>9.6322891296436008E-2</v>
      </c>
      <c r="AN478" s="169">
        <f t="shared" si="1309"/>
        <v>0.19223063921541095</v>
      </c>
      <c r="AO478" s="1020">
        <f t="shared" si="1309"/>
        <v>0</v>
      </c>
      <c r="AP478" s="1488">
        <f t="shared" si="1309"/>
        <v>0.14253668372857309</v>
      </c>
      <c r="AQ478" s="223">
        <f t="shared" si="1309"/>
        <v>5.8137534631766075E-2</v>
      </c>
      <c r="AR478" s="223">
        <f t="shared" si="1309"/>
        <v>9.148118939927441E-2</v>
      </c>
      <c r="AS478" s="223">
        <f t="shared" si="1309"/>
        <v>0.13555343542881371</v>
      </c>
      <c r="AT478" s="1020">
        <f t="shared" si="1309"/>
        <v>0</v>
      </c>
      <c r="AU478" s="1488">
        <f t="shared" si="1309"/>
        <v>6.9191728631861071E-2</v>
      </c>
      <c r="AV478" s="223">
        <f t="shared" si="1309"/>
        <v>1.9439320906563973E-2</v>
      </c>
      <c r="AW478" s="223">
        <f t="shared" si="1309"/>
        <v>3.2118293100372508E-2</v>
      </c>
      <c r="AX478" s="223">
        <f t="shared" si="1309"/>
        <v>2.8512667854017293E-2</v>
      </c>
      <c r="AY478" s="1020"/>
      <c r="AZ478" s="1488">
        <f>AZ41</f>
        <v>-3.1556682618863463E-2</v>
      </c>
      <c r="BA478" s="223">
        <f>BA41</f>
        <v>9.8726942062898893E-4</v>
      </c>
      <c r="BB478" s="223">
        <f>BB41</f>
        <v>7.8801145699653352E-2</v>
      </c>
      <c r="BC478" s="223">
        <f>BC41</f>
        <v>0.12308765854135628</v>
      </c>
      <c r="BD478" s="1020"/>
      <c r="BE478" s="1488">
        <f>BE41</f>
        <v>1.5173567984854142E-3</v>
      </c>
      <c r="BF478" s="223">
        <f>BF41</f>
        <v>1.3436293436293489E-2</v>
      </c>
      <c r="BG478" s="223">
        <f>BG41</f>
        <v>7.162450472416948E-2</v>
      </c>
      <c r="BH478" s="223">
        <f>BH41</f>
        <v>0.16140500568828209</v>
      </c>
      <c r="BI478" s="1020"/>
      <c r="BJ478" s="1488">
        <f>BJ41</f>
        <v>1.7019713481082333E-2</v>
      </c>
      <c r="BK478" s="223">
        <f>BK41</f>
        <v>4.9361907055140763E-2</v>
      </c>
      <c r="BL478" s="223">
        <f>BL41</f>
        <v>7.1018815970628646E-2</v>
      </c>
      <c r="BM478" s="223">
        <f>BM41</f>
        <v>8.9876807712908402E-2</v>
      </c>
      <c r="BN478" s="1020"/>
      <c r="BO478" s="223"/>
      <c r="BP478" s="223"/>
      <c r="BQ478" s="223"/>
      <c r="BR478" s="223"/>
      <c r="BS478" s="1050"/>
      <c r="BT478" s="223">
        <f>BT41</f>
        <v>5.0127776685668923E-3</v>
      </c>
      <c r="BU478" s="223">
        <f>BU41</f>
        <v>2.9339853300733409E-2</v>
      </c>
      <c r="BV478" s="223">
        <f>BV41</f>
        <v>3.1828978622327808E-2</v>
      </c>
      <c r="BW478" s="223">
        <f>BW41</f>
        <v>0.11197053406998148</v>
      </c>
      <c r="BX478" s="1020"/>
      <c r="BY478" s="223"/>
      <c r="BZ478" s="223"/>
      <c r="CA478" s="223"/>
      <c r="CB478" s="223"/>
      <c r="CC478" s="1050"/>
      <c r="CD478" s="223">
        <f>CD41</f>
        <v>-3.7263994700231784E-3</v>
      </c>
      <c r="CE478" s="223">
        <f>CE41</f>
        <v>1.2550910148782402E-2</v>
      </c>
      <c r="CF478" s="223">
        <f>CF41</f>
        <v>3.8663602035790445E-2</v>
      </c>
      <c r="CG478" s="223">
        <f>CG41</f>
        <v>0.12273769066624518</v>
      </c>
      <c r="CH478" s="1020"/>
      <c r="CI478" s="223">
        <f>+CI474/CG474-1</f>
        <v>-1.4712093481627497E-2</v>
      </c>
      <c r="CJ478" s="223">
        <f>CJ474/CI474-1</f>
        <v>3.5793384296634922E-2</v>
      </c>
      <c r="CK478" s="223">
        <f>CK474/CJ474-1</f>
        <v>2.2209959994482054E-2</v>
      </c>
      <c r="CL478" s="223">
        <f>CL41</f>
        <v>0.1004723346828611</v>
      </c>
      <c r="CM478" s="1020"/>
      <c r="CN478" s="223">
        <f>+CN474/CL474-1</f>
        <v>-4.9113986142620636E-2</v>
      </c>
      <c r="CO478" s="223">
        <f>CO474/CN474-1</f>
        <v>3.3208666494712435E-2</v>
      </c>
      <c r="CP478" s="223">
        <f>CP474/CO474-1</f>
        <v>4.7306996192972628E-2</v>
      </c>
      <c r="CQ478" s="223">
        <f>CQ474/CP474-1</f>
        <v>0.13688099636493645</v>
      </c>
      <c r="CR478" s="1020"/>
      <c r="CS478" s="223">
        <f>+CS474/CQ474-1</f>
        <v>-5.5456546807841511E-2</v>
      </c>
      <c r="CT478" s="223">
        <f>CT474/CS474-1</f>
        <v>6.2319644839067712E-2</v>
      </c>
      <c r="CU478" s="223">
        <f>CU474/CT474-1</f>
        <v>3.5417646136969072E-2</v>
      </c>
      <c r="CV478" s="223">
        <f>+CV474/CU474-1</f>
        <v>0.13006407345744408</v>
      </c>
      <c r="CW478" s="1020"/>
      <c r="CX478" s="223">
        <f>+CX474/CV474-1</f>
        <v>-4.4109112013929197E-2</v>
      </c>
      <c r="CY478" s="223">
        <f>+CY474/CX474-1</f>
        <v>5.8894960534304763E-2</v>
      </c>
      <c r="CZ478" s="223">
        <f>+CZ474/CY474-1</f>
        <v>6.1441425546930217E-2</v>
      </c>
      <c r="DA478" s="223">
        <f>+DA474/CZ474-1</f>
        <v>0.13139414086848111</v>
      </c>
      <c r="DB478" s="1020"/>
      <c r="DC478" s="223">
        <f>+DC474/DA474-1</f>
        <v>-2.1486024901751888E-2</v>
      </c>
      <c r="DD478" s="4001"/>
      <c r="DE478" s="2007"/>
      <c r="DF478" s="2007"/>
      <c r="DG478" s="2933"/>
      <c r="DH478" s="2007"/>
      <c r="DI478" s="2007"/>
      <c r="DJ478" s="2007"/>
      <c r="DK478" s="2007"/>
      <c r="DL478" s="2933"/>
      <c r="DM478" s="2007"/>
      <c r="DN478" s="2007"/>
      <c r="DO478" s="2007"/>
      <c r="DP478" s="2007"/>
      <c r="DQ478" s="2933"/>
      <c r="DR478" s="2007"/>
      <c r="DS478" s="2007"/>
      <c r="DT478" s="2007"/>
      <c r="DU478" s="2007"/>
      <c r="DV478" s="2933"/>
      <c r="DW478" s="2007"/>
      <c r="DX478" s="2007"/>
      <c r="DY478" s="2007"/>
      <c r="DZ478" s="2007"/>
      <c r="EA478" s="3534"/>
      <c r="EB478" s="2007"/>
      <c r="EC478" s="2007"/>
      <c r="ED478" s="2007"/>
      <c r="EE478" s="2007"/>
      <c r="EF478" s="3534"/>
      <c r="EG478" s="2007"/>
      <c r="EH478" s="2007"/>
      <c r="EI478" s="2007"/>
      <c r="EJ478" s="2007"/>
      <c r="EK478" s="3534"/>
      <c r="EL478" s="2007"/>
      <c r="EM478" s="2007"/>
      <c r="EN478" s="2007"/>
      <c r="EO478" s="2007"/>
      <c r="EP478" s="3534"/>
      <c r="EQ478" s="2007"/>
      <c r="ER478" s="2007"/>
      <c r="ES478" s="2007"/>
      <c r="ET478" s="2007"/>
      <c r="EU478" s="3534"/>
      <c r="EV478" s="3534"/>
      <c r="EW478" s="3534"/>
      <c r="EX478" s="3534"/>
      <c r="EY478" s="3534"/>
      <c r="EZ478" s="223"/>
      <c r="FA478" s="715"/>
      <c r="FB478" s="715"/>
    </row>
    <row r="479" spans="1:158" s="77" customFormat="1" ht="11.25" hidden="1" customHeight="1">
      <c r="A479" s="2067" t="s">
        <v>428</v>
      </c>
      <c r="B479" s="1502"/>
      <c r="C479" s="127"/>
      <c r="D479" s="127"/>
      <c r="E479" s="127"/>
      <c r="F479" s="1227"/>
      <c r="G479" s="1502"/>
      <c r="H479" s="127"/>
      <c r="I479" s="127"/>
      <c r="J479" s="127"/>
      <c r="K479" s="2366"/>
      <c r="L479" s="127"/>
      <c r="M479" s="127"/>
      <c r="N479" s="127"/>
      <c r="O479" s="127"/>
      <c r="P479" s="597"/>
      <c r="Q479" s="1502"/>
      <c r="R479" s="127"/>
      <c r="S479" s="127"/>
      <c r="T479" s="127"/>
      <c r="U479" s="597"/>
      <c r="V479" s="1502"/>
      <c r="W479" s="127"/>
      <c r="X479" s="127"/>
      <c r="Y479" s="127"/>
      <c r="Z479" s="597"/>
      <c r="AA479" s="1502"/>
      <c r="AB479" s="127"/>
      <c r="AC479" s="127"/>
      <c r="AD479" s="127"/>
      <c r="AE479" s="597"/>
      <c r="AF479" s="1502"/>
      <c r="AG479" s="127"/>
      <c r="AH479" s="127"/>
      <c r="AI479" s="127"/>
      <c r="AJ479" s="597"/>
      <c r="AK479" s="1502"/>
      <c r="AL479" s="127"/>
      <c r="AM479" s="127"/>
      <c r="AN479" s="125"/>
      <c r="AO479" s="597"/>
      <c r="AP479" s="1502"/>
      <c r="AQ479" s="127"/>
      <c r="AR479" s="127"/>
      <c r="AS479" s="125"/>
      <c r="AT479" s="597"/>
      <c r="AU479" s="1502"/>
      <c r="AV479" s="127"/>
      <c r="AW479" s="127"/>
      <c r="AX479" s="125"/>
      <c r="AY479" s="597"/>
      <c r="AZ479" s="1502"/>
      <c r="BA479" s="127"/>
      <c r="BB479" s="127"/>
      <c r="BC479" s="125"/>
      <c r="BD479" s="597"/>
      <c r="BE479" s="1502"/>
      <c r="BF479" s="127"/>
      <c r="BG479" s="127"/>
      <c r="BH479" s="125"/>
      <c r="BI479" s="597"/>
      <c r="BJ479" s="1502"/>
      <c r="BK479" s="127"/>
      <c r="BL479" s="127"/>
      <c r="BM479" s="127"/>
      <c r="BN479" s="597"/>
      <c r="BO479" s="42"/>
      <c r="BP479" s="42"/>
      <c r="BQ479" s="42"/>
      <c r="BR479" s="42"/>
      <c r="BS479" s="597"/>
      <c r="BT479" s="127">
        <f>+BT474/BX474</f>
        <v>0.23405667719635581</v>
      </c>
      <c r="BU479" s="127">
        <f>+BU474/BX474</f>
        <v>0.24092386576935404</v>
      </c>
      <c r="BV479" s="127">
        <f>+BV474/BX474</f>
        <v>0.24859222634253536</v>
      </c>
      <c r="BW479" s="127">
        <f>+BW474/BX474</f>
        <v>0.27642723069175479</v>
      </c>
      <c r="BX479" s="597"/>
      <c r="BY479" s="42"/>
      <c r="BZ479" s="42"/>
      <c r="CA479" s="42"/>
      <c r="CB479" s="42"/>
      <c r="CC479" s="597"/>
      <c r="CD479" s="127">
        <f>+CD474/CH474</f>
        <v>0.23556939223057644</v>
      </c>
      <c r="CE479" s="127">
        <f>+CE474/CH474</f>
        <v>0.23852600250626566</v>
      </c>
      <c r="CF479" s="127">
        <f>+CF474/CH474</f>
        <v>0.24774827694235588</v>
      </c>
      <c r="CG479" s="127">
        <f>+CG474/CH474</f>
        <v>0.278156328320802</v>
      </c>
      <c r="CH479" s="597"/>
      <c r="CI479" s="127">
        <f>+CI474/CM474</f>
        <v>0.23475446129075539</v>
      </c>
      <c r="CJ479" s="127">
        <f>+CJ474/CM474</f>
        <v>0.24315711793908493</v>
      </c>
      <c r="CK479" s="127">
        <f>+CK474/CM474</f>
        <v>0.24855762780088556</v>
      </c>
      <c r="CL479" s="127">
        <f>+CL474/CM474</f>
        <v>0.27353079296927413</v>
      </c>
      <c r="CM479" s="597"/>
      <c r="CN479" s="127">
        <f>+CN474/CR474</f>
        <v>0.23012316367413563</v>
      </c>
      <c r="CO479" s="127">
        <f>+CO474/CR474</f>
        <v>0.23776524706929811</v>
      </c>
      <c r="CP479" s="127">
        <f>+CP474/CR474</f>
        <v>0.2490132067072266</v>
      </c>
      <c r="CQ479" s="127">
        <f>+CQ474/CR474</f>
        <v>0.28309838254933967</v>
      </c>
      <c r="CR479" s="597"/>
      <c r="CS479" s="127">
        <f>+CS474/CW474</f>
        <v>0.22700074323217817</v>
      </c>
      <c r="CT479" s="127">
        <f>+CT474/CW474</f>
        <v>0.24114734892861192</v>
      </c>
      <c r="CU479" s="127">
        <f>+CU474/CW474</f>
        <v>0.24968822039983371</v>
      </c>
      <c r="CV479" s="127">
        <f>+CV474/CW474</f>
        <v>0.2821636874393762</v>
      </c>
      <c r="CW479" s="597"/>
      <c r="CX479" s="127">
        <f>+CX474/DB474</f>
        <v>0.22449279161205768</v>
      </c>
      <c r="CY479" s="127">
        <f>+CY474/DB474</f>
        <v>0.23771428571428571</v>
      </c>
      <c r="CZ479" s="127">
        <f>+CZ474/DB474</f>
        <v>0.25231979030144169</v>
      </c>
      <c r="DA479" s="127">
        <f>+DA474/DB474</f>
        <v>0.28547313237221494</v>
      </c>
      <c r="DB479" s="597"/>
      <c r="DC479" s="127"/>
      <c r="DD479" s="3979"/>
      <c r="DE479" s="1121"/>
      <c r="DF479" s="1121"/>
      <c r="DG479" s="3998"/>
      <c r="DH479" s="1121"/>
      <c r="DI479" s="1121"/>
      <c r="DJ479" s="1121"/>
      <c r="DK479" s="1121"/>
      <c r="DL479" s="3998"/>
      <c r="DM479" s="1121"/>
      <c r="DN479" s="1121"/>
      <c r="DO479" s="1121"/>
      <c r="DP479" s="1121"/>
      <c r="DQ479" s="3998"/>
      <c r="DR479" s="1121"/>
      <c r="DS479" s="1121"/>
      <c r="DT479" s="1121"/>
      <c r="DU479" s="1121"/>
      <c r="DV479" s="3998"/>
      <c r="DW479" s="1121"/>
      <c r="DX479" s="1121"/>
      <c r="DY479" s="1121"/>
      <c r="DZ479" s="1121"/>
      <c r="EA479" s="3998"/>
      <c r="EB479" s="1121"/>
      <c r="EC479" s="1121"/>
      <c r="ED479" s="1121"/>
      <c r="EE479" s="1121"/>
      <c r="EF479" s="3998"/>
      <c r="EG479" s="1121"/>
      <c r="EH479" s="1121"/>
      <c r="EI479" s="1121"/>
      <c r="EJ479" s="1121"/>
      <c r="EK479" s="3998"/>
      <c r="EL479" s="1121"/>
      <c r="EM479" s="1121"/>
      <c r="EN479" s="1121"/>
      <c r="EO479" s="1121"/>
      <c r="EP479" s="3998"/>
      <c r="EQ479" s="1121"/>
      <c r="ER479" s="1121"/>
      <c r="ES479" s="1121"/>
      <c r="ET479" s="1121"/>
      <c r="EU479" s="3998"/>
      <c r="EV479" s="3998"/>
      <c r="EW479" s="3998"/>
      <c r="EX479" s="3998"/>
      <c r="EY479" s="3998"/>
      <c r="EZ479" s="42"/>
      <c r="FA479" s="738"/>
      <c r="FB479" s="738"/>
    </row>
    <row r="480" spans="1:158" s="31" customFormat="1" ht="11.25" hidden="1" customHeight="1">
      <c r="A480" s="2469"/>
      <c r="B480" s="2361"/>
      <c r="C480" s="1822"/>
      <c r="D480" s="1822"/>
      <c r="E480" s="1822"/>
      <c r="F480" s="2362"/>
      <c r="G480" s="2361"/>
      <c r="H480" s="1822"/>
      <c r="I480" s="1822"/>
      <c r="J480" s="1822"/>
      <c r="K480" s="2164"/>
      <c r="L480" s="1822"/>
      <c r="M480" s="1822"/>
      <c r="N480" s="1822"/>
      <c r="O480" s="1822"/>
      <c r="P480" s="2363"/>
      <c r="Q480" s="2361"/>
      <c r="R480" s="1822"/>
      <c r="S480" s="1822"/>
      <c r="T480" s="1822"/>
      <c r="U480" s="2364"/>
      <c r="V480" s="2361"/>
      <c r="W480" s="1822"/>
      <c r="X480" s="1822"/>
      <c r="Y480" s="1822"/>
      <c r="Z480" s="2364"/>
      <c r="AA480" s="2361"/>
      <c r="AB480" s="1822"/>
      <c r="AC480" s="1822"/>
      <c r="AD480" s="1822"/>
      <c r="AE480" s="2364"/>
      <c r="AF480" s="2361"/>
      <c r="AG480" s="1822"/>
      <c r="AH480" s="1822"/>
      <c r="AI480" s="1822"/>
      <c r="AJ480" s="2364"/>
      <c r="AK480" s="2361"/>
      <c r="AL480" s="1822"/>
      <c r="AM480" s="1822"/>
      <c r="AN480" s="1503"/>
      <c r="AO480" s="2364"/>
      <c r="AP480" s="2361"/>
      <c r="AQ480" s="1822"/>
      <c r="AR480" s="1822"/>
      <c r="AS480" s="1503"/>
      <c r="AT480" s="2364"/>
      <c r="AU480" s="2361"/>
      <c r="AV480" s="1822"/>
      <c r="AW480" s="1822"/>
      <c r="AX480" s="1503"/>
      <c r="AY480" s="2364"/>
      <c r="AZ480" s="2361"/>
      <c r="BA480" s="1822"/>
      <c r="BB480" s="1822"/>
      <c r="BC480" s="1503"/>
      <c r="BD480" s="2364"/>
      <c r="BE480" s="2361"/>
      <c r="BF480" s="1822"/>
      <c r="BG480" s="1822"/>
      <c r="BH480" s="1503"/>
      <c r="BI480" s="2364"/>
      <c r="BJ480" s="2361"/>
      <c r="BK480" s="1822"/>
      <c r="BL480" s="1822"/>
      <c r="BM480" s="1822"/>
      <c r="BN480" s="2364"/>
      <c r="BO480" s="2365"/>
      <c r="BP480" s="2365"/>
      <c r="BQ480" s="2365"/>
      <c r="BR480" s="2365"/>
      <c r="BS480" s="2364"/>
      <c r="BT480" s="1822"/>
      <c r="BU480" s="1822"/>
      <c r="BV480" s="1822"/>
      <c r="BW480" s="1822"/>
      <c r="BX480" s="2364"/>
      <c r="BY480" s="2365"/>
      <c r="BZ480" s="2365"/>
      <c r="CA480" s="2365"/>
      <c r="CB480" s="2365"/>
      <c r="CC480" s="2364"/>
      <c r="CD480" s="1822"/>
      <c r="CE480" s="1822"/>
      <c r="CF480" s="1822"/>
      <c r="CG480" s="1822"/>
      <c r="CH480" s="2364"/>
      <c r="CI480" s="1822"/>
      <c r="CJ480" s="1822"/>
      <c r="CK480" s="1822"/>
      <c r="CL480" s="1822"/>
      <c r="CM480" s="2364"/>
      <c r="CN480" s="1822"/>
      <c r="CO480" s="1822"/>
      <c r="CP480" s="1822"/>
      <c r="CQ480" s="1822"/>
      <c r="CR480" s="2364"/>
      <c r="CS480" s="1822"/>
      <c r="CT480" s="1822"/>
      <c r="CU480" s="1822"/>
      <c r="CV480" s="1822"/>
      <c r="CW480" s="2364"/>
      <c r="CX480" s="1822"/>
      <c r="CY480" s="1822"/>
      <c r="CZ480" s="1822"/>
      <c r="DA480" s="1822"/>
      <c r="DB480" s="2364"/>
      <c r="DC480" s="1822"/>
      <c r="DD480" s="4037"/>
      <c r="DE480" s="3980"/>
      <c r="DF480" s="3980"/>
      <c r="DG480" s="4033"/>
      <c r="DH480" s="3980"/>
      <c r="DI480" s="3980"/>
      <c r="DJ480" s="3980"/>
      <c r="DK480" s="3980"/>
      <c r="DL480" s="4033"/>
      <c r="DM480" s="3980"/>
      <c r="DN480" s="3980"/>
      <c r="DO480" s="3980"/>
      <c r="DP480" s="3980"/>
      <c r="DQ480" s="4033"/>
      <c r="DR480" s="3980"/>
      <c r="DS480" s="3980"/>
      <c r="DT480" s="3980"/>
      <c r="DU480" s="3980"/>
      <c r="DV480" s="4033"/>
      <c r="DW480" s="3980"/>
      <c r="DX480" s="3980"/>
      <c r="DY480" s="3980"/>
      <c r="DZ480" s="3980"/>
      <c r="EA480" s="4033"/>
      <c r="EB480" s="3980"/>
      <c r="EC480" s="3980"/>
      <c r="ED480" s="3980"/>
      <c r="EE480" s="3980"/>
      <c r="EF480" s="4033"/>
      <c r="EG480" s="3980"/>
      <c r="EH480" s="3980"/>
      <c r="EI480" s="3980"/>
      <c r="EJ480" s="3980"/>
      <c r="EK480" s="4033"/>
      <c r="EL480" s="3980"/>
      <c r="EM480" s="3980"/>
      <c r="EN480" s="3980"/>
      <c r="EO480" s="3980"/>
      <c r="EP480" s="4033"/>
      <c r="EQ480" s="3980"/>
      <c r="ER480" s="3980"/>
      <c r="ES480" s="3980"/>
      <c r="ET480" s="3980"/>
      <c r="EU480" s="4033"/>
      <c r="EV480" s="4033"/>
      <c r="EW480" s="4033"/>
      <c r="EX480" s="4033"/>
      <c r="EY480" s="4033"/>
      <c r="FA480" s="715"/>
      <c r="FB480" s="715"/>
    </row>
    <row r="481" spans="1:158" s="168" customFormat="1" ht="11.25" hidden="1" customHeight="1">
      <c r="A481" s="1567" t="s">
        <v>229</v>
      </c>
      <c r="B481" s="1232"/>
      <c r="C481" s="187"/>
      <c r="D481" s="187"/>
      <c r="E481" s="187"/>
      <c r="F481" s="1233"/>
      <c r="G481" s="1232"/>
      <c r="H481" s="187"/>
      <c r="I481" s="187"/>
      <c r="J481" s="187"/>
      <c r="K481" s="1011"/>
      <c r="L481" s="187"/>
      <c r="M481" s="187"/>
      <c r="N481" s="187"/>
      <c r="O481" s="188"/>
      <c r="P481" s="1012">
        <v>19.494</v>
      </c>
      <c r="Q481" s="1232">
        <f>Q69*Q485</f>
        <v>5.0741999999999994</v>
      </c>
      <c r="R481" s="187">
        <f>R69*R485</f>
        <v>7.0672500000000005</v>
      </c>
      <c r="S481" s="187">
        <f>S69*S485</f>
        <v>7.8472200000000001</v>
      </c>
      <c r="T481" s="188">
        <f>U481-S481-R481-Q481</f>
        <v>8.6043299999999991</v>
      </c>
      <c r="U481" s="1012">
        <v>28.593</v>
      </c>
      <c r="V481" s="1234">
        <v>9.5</v>
      </c>
      <c r="W481" s="187">
        <v>10.513999999999999</v>
      </c>
      <c r="X481" s="187">
        <v>12.259</v>
      </c>
      <c r="Y481" s="188">
        <v>12.997999999999999</v>
      </c>
      <c r="Z481" s="1012">
        <v>45.271000000000001</v>
      </c>
      <c r="AA481" s="1232">
        <v>14.339</v>
      </c>
      <c r="AB481" s="187">
        <v>10.544</v>
      </c>
      <c r="AC481" s="187">
        <f>AC69-AC36</f>
        <v>9.8869999999999436</v>
      </c>
      <c r="AD481" s="188">
        <v>11.121</v>
      </c>
      <c r="AE481" s="1012">
        <f>SUM(AA481:AD481)</f>
        <v>45.890999999999948</v>
      </c>
      <c r="AF481" s="1232">
        <v>15.4046</v>
      </c>
      <c r="AG481" s="187">
        <v>17.081</v>
      </c>
      <c r="AH481" s="187">
        <v>18.765000000000001</v>
      </c>
      <c r="AI481" s="188">
        <v>22.306999999999999</v>
      </c>
      <c r="AJ481" s="1012">
        <f>SUM(AF481:AI481)</f>
        <v>73.557599999999994</v>
      </c>
      <c r="AK481" s="1232">
        <v>28.062000000000001</v>
      </c>
      <c r="AL481" s="187">
        <v>26.963000000000001</v>
      </c>
      <c r="AM481" s="187">
        <v>26.673999999999999</v>
      </c>
      <c r="AN481" s="188">
        <v>30.588999999999999</v>
      </c>
      <c r="AO481" s="1012">
        <f>SUM(AK481:AN481)</f>
        <v>112.28800000000001</v>
      </c>
      <c r="AP481" s="1232">
        <v>36.521000000000001</v>
      </c>
      <c r="AQ481" s="187">
        <v>33.643999999999998</v>
      </c>
      <c r="AR481" s="187">
        <v>41.874000000000002</v>
      </c>
      <c r="AS481" s="188">
        <f>69.304</f>
        <v>69.304000000000002</v>
      </c>
      <c r="AT481" s="1012">
        <f>SUM(AP481:AS481)</f>
        <v>181.34299999999999</v>
      </c>
      <c r="AU481" s="1232">
        <v>99.497</v>
      </c>
      <c r="AV481" s="187">
        <v>181.78700000000001</v>
      </c>
      <c r="AW481" s="187">
        <v>189.41900000000001</v>
      </c>
      <c r="AX481" s="188">
        <v>196.333</v>
      </c>
      <c r="AY481" s="1012">
        <f>SUM(AU481:AX481)</f>
        <v>667.03599999999994</v>
      </c>
      <c r="AZ481" s="1232">
        <v>178.125</v>
      </c>
      <c r="BA481" s="187">
        <v>186.76900000000001</v>
      </c>
      <c r="BB481" s="187">
        <v>188.23</v>
      </c>
      <c r="BC481" s="188">
        <v>208.63499999999999</v>
      </c>
      <c r="BD481" s="1012">
        <f>SUM(AZ481:BC481)</f>
        <v>761.75900000000001</v>
      </c>
      <c r="BE481" s="1235">
        <f>300</f>
        <v>300</v>
      </c>
      <c r="BF481" s="191">
        <f>258</f>
        <v>258</v>
      </c>
      <c r="BG481" s="191">
        <v>254</v>
      </c>
      <c r="BH481" s="192">
        <v>273</v>
      </c>
      <c r="BI481" s="1012">
        <f>SUM(BE481:BH481)</f>
        <v>1085</v>
      </c>
      <c r="BJ481" s="1235">
        <v>269</v>
      </c>
      <c r="BK481" s="191">
        <v>310</v>
      </c>
      <c r="BL481" s="191">
        <v>385</v>
      </c>
      <c r="BM481" s="191">
        <v>410</v>
      </c>
      <c r="BN481" s="1012">
        <f>SUM(BJ481:BM481)</f>
        <v>1374</v>
      </c>
      <c r="BO481" s="1501"/>
      <c r="BP481" s="1501"/>
      <c r="BQ481" s="1501"/>
      <c r="BR481" s="1501"/>
      <c r="BS481" s="2433"/>
      <c r="BT481" s="191">
        <v>420</v>
      </c>
      <c r="BU481" s="191">
        <v>439</v>
      </c>
      <c r="BV481" s="191">
        <v>666</v>
      </c>
      <c r="BW481" s="191">
        <v>829</v>
      </c>
      <c r="BX481" s="1012">
        <f>SUM(BT481:BW481)</f>
        <v>2354</v>
      </c>
      <c r="BY481" s="1501"/>
      <c r="BZ481" s="1501"/>
      <c r="CA481" s="1501"/>
      <c r="CB481" s="1501"/>
      <c r="CC481" s="2433"/>
      <c r="CD481" s="2434">
        <v>920</v>
      </c>
      <c r="CE481" s="191">
        <v>925</v>
      </c>
      <c r="CF481" s="191">
        <v>1101</v>
      </c>
      <c r="CG481" s="191">
        <v>1501</v>
      </c>
      <c r="CH481" s="1012">
        <f>SUM(CD481:CG481)</f>
        <v>4447</v>
      </c>
      <c r="CI481" s="587">
        <v>1423</v>
      </c>
      <c r="CJ481" s="663">
        <v>1457</v>
      </c>
      <c r="CK481" s="663">
        <v>1703</v>
      </c>
      <c r="CL481" s="663">
        <v>1794</v>
      </c>
      <c r="CM481" s="1012">
        <f>SUM(CI481:CL481)</f>
        <v>6377</v>
      </c>
      <c r="CN481" s="1501">
        <f>SUM(CN491,CN64)</f>
        <v>1750</v>
      </c>
      <c r="CO481" s="1501">
        <f>SUM(CO491,CO64)</f>
        <v>1704</v>
      </c>
      <c r="CP481" s="1501">
        <f>SUM(CP491,CP64)</f>
        <v>1894</v>
      </c>
      <c r="CQ481" s="1501">
        <f>SUM(CQ491,CQ64)</f>
        <v>2251</v>
      </c>
      <c r="CR481" s="1012">
        <f>SUM(CN481:CQ481)</f>
        <v>7599</v>
      </c>
      <c r="CS481" s="1501">
        <f>SUM(CS491,CS64)</f>
        <v>2237</v>
      </c>
      <c r="CT481" s="1501">
        <f>SUM(CT491,CT64)</f>
        <v>2357</v>
      </c>
      <c r="CU481" s="1501">
        <f>SUM(CU491,CU64)</f>
        <v>2630</v>
      </c>
      <c r="CV481" s="1501">
        <f>SUM(CV491,CV64)</f>
        <v>3665</v>
      </c>
      <c r="CW481" s="1012">
        <f>SUM(CS481:CV481)</f>
        <v>10889</v>
      </c>
      <c r="CX481" s="1501">
        <f>SUM(CX491,CX64)</f>
        <v>3339</v>
      </c>
      <c r="CY481" s="1501">
        <f>SUM(CY491,CY64)</f>
        <v>3338</v>
      </c>
      <c r="CZ481" s="1501">
        <f>SUM(CZ491,CZ64)</f>
        <v>3707</v>
      </c>
      <c r="DA481" s="1501">
        <f>SUM(DA491,DA64)</f>
        <v>5096</v>
      </c>
      <c r="DB481" s="1012">
        <f>SUM(CX481:DA481)</f>
        <v>15480</v>
      </c>
      <c r="DC481" s="1501">
        <f>SUM(DC491,DC64)</f>
        <v>4504</v>
      </c>
      <c r="DD481" s="4038"/>
      <c r="DE481" s="4034"/>
      <c r="DF481" s="4034"/>
      <c r="DG481" s="4039"/>
      <c r="DH481" s="4034"/>
      <c r="DI481" s="4034"/>
      <c r="DJ481" s="4034"/>
      <c r="DK481" s="4034"/>
      <c r="DL481" s="4039"/>
      <c r="DM481" s="4034"/>
      <c r="DN481" s="4034"/>
      <c r="DO481" s="4034"/>
      <c r="DP481" s="4034"/>
      <c r="DQ481" s="4039"/>
      <c r="DR481" s="4034"/>
      <c r="DS481" s="4034"/>
      <c r="DT481" s="4034"/>
      <c r="DU481" s="4034"/>
      <c r="DV481" s="4039"/>
      <c r="DW481" s="4034"/>
      <c r="DX481" s="4034"/>
      <c r="DY481" s="4034"/>
      <c r="DZ481" s="4034"/>
      <c r="EA481" s="4039"/>
      <c r="EB481" s="4034"/>
      <c r="EC481" s="4034"/>
      <c r="ED481" s="4034"/>
      <c r="EE481" s="4034"/>
      <c r="EF481" s="4039"/>
      <c r="EG481" s="4034"/>
      <c r="EH481" s="4034"/>
      <c r="EI481" s="4034"/>
      <c r="EJ481" s="4034"/>
      <c r="EK481" s="4039"/>
      <c r="EL481" s="4034"/>
      <c r="EM481" s="4034"/>
      <c r="EN481" s="4034"/>
      <c r="EO481" s="4034"/>
      <c r="EP481" s="4039"/>
      <c r="EQ481" s="4034"/>
      <c r="ER481" s="4034"/>
      <c r="ES481" s="4034"/>
      <c r="ET481" s="4034"/>
      <c r="EU481" s="4039"/>
      <c r="EV481" s="4039"/>
      <c r="EW481" s="4039"/>
      <c r="EX481" s="4039"/>
      <c r="EY481" s="4039"/>
      <c r="EZ481" s="167"/>
      <c r="FA481" s="761"/>
      <c r="FB481" s="761"/>
    </row>
    <row r="482" spans="1:158" s="183" customFormat="1" ht="11.25" hidden="1" customHeight="1">
      <c r="A482" s="1554" t="s">
        <v>45</v>
      </c>
      <c r="B482" s="1224"/>
      <c r="C482" s="181"/>
      <c r="D482" s="181"/>
      <c r="E482" s="182"/>
      <c r="F482" s="1225"/>
      <c r="G482" s="1224"/>
      <c r="H482" s="181"/>
      <c r="I482" s="181"/>
      <c r="J482" s="181"/>
      <c r="K482" s="991"/>
      <c r="L482" s="181"/>
      <c r="M482" s="181"/>
      <c r="N482" s="181"/>
      <c r="O482" s="181"/>
      <c r="P482" s="992" t="s">
        <v>116</v>
      </c>
      <c r="Q482" s="1224" t="s">
        <v>116</v>
      </c>
      <c r="R482" s="181" t="s">
        <v>116</v>
      </c>
      <c r="S482" s="181" t="s">
        <v>116</v>
      </c>
      <c r="T482" s="181" t="s">
        <v>116</v>
      </c>
      <c r="U482" s="992">
        <f t="shared" ref="U482:AM482" si="1310">+U481/P481-1</f>
        <v>0.4667590027700832</v>
      </c>
      <c r="V482" s="1226">
        <f t="shared" si="1310"/>
        <v>0.87221630996019095</v>
      </c>
      <c r="W482" s="169">
        <f t="shared" si="1310"/>
        <v>0.48770738264530022</v>
      </c>
      <c r="X482" s="169">
        <f t="shared" si="1310"/>
        <v>0.5622092919530739</v>
      </c>
      <c r="Y482" s="169">
        <f t="shared" si="1310"/>
        <v>0.51063476180016343</v>
      </c>
      <c r="Z482" s="992">
        <f t="shared" si="1310"/>
        <v>0.58328961633966347</v>
      </c>
      <c r="AA482" s="1226">
        <f t="shared" si="1310"/>
        <v>0.50936842105263169</v>
      </c>
      <c r="AB482" s="169">
        <f t="shared" si="1310"/>
        <v>2.8533384059350464E-3</v>
      </c>
      <c r="AC482" s="169">
        <f t="shared" si="1310"/>
        <v>-0.1934904967778821</v>
      </c>
      <c r="AD482" s="169">
        <f t="shared" si="1310"/>
        <v>-0.14440683182027991</v>
      </c>
      <c r="AE482" s="992">
        <f>+AE481/Z481-1</f>
        <v>1.3695301627972611E-2</v>
      </c>
      <c r="AF482" s="1226">
        <f t="shared" si="1310"/>
        <v>7.4314805774461146E-2</v>
      </c>
      <c r="AG482" s="169">
        <f t="shared" si="1310"/>
        <v>0.61997344461305004</v>
      </c>
      <c r="AH482" s="169">
        <f t="shared" si="1310"/>
        <v>0.8979467988267531</v>
      </c>
      <c r="AI482" s="169">
        <f t="shared" si="1310"/>
        <v>1.0058447981296643</v>
      </c>
      <c r="AJ482" s="992">
        <f>+AJ481/AE481-1</f>
        <v>0.60287638098973817</v>
      </c>
      <c r="AK482" s="1226">
        <f t="shared" si="1310"/>
        <v>0.82166365890707982</v>
      </c>
      <c r="AL482" s="169">
        <f t="shared" si="1310"/>
        <v>0.57853755634915993</v>
      </c>
      <c r="AM482" s="169">
        <f t="shared" si="1310"/>
        <v>0.42147615241140413</v>
      </c>
      <c r="AN482" s="169">
        <f t="shared" ref="AN482:AX482" si="1311">+AN481/AI481-1</f>
        <v>0.37127359124938364</v>
      </c>
      <c r="AO482" s="992">
        <f t="shared" si="1311"/>
        <v>0.52653158885009876</v>
      </c>
      <c r="AP482" s="1226">
        <f t="shared" si="1311"/>
        <v>0.30143966930368471</v>
      </c>
      <c r="AQ482" s="169">
        <f t="shared" si="1311"/>
        <v>0.24778400029670289</v>
      </c>
      <c r="AR482" s="169">
        <f t="shared" si="1311"/>
        <v>0.56984329309439907</v>
      </c>
      <c r="AS482" s="169">
        <f t="shared" si="1311"/>
        <v>1.2656510510314165</v>
      </c>
      <c r="AT482" s="992">
        <f t="shared" si="1311"/>
        <v>0.61498111997720128</v>
      </c>
      <c r="AU482" s="1226">
        <f t="shared" si="1311"/>
        <v>1.7243777552640944</v>
      </c>
      <c r="AV482" s="169">
        <f>+AV481/AQ481-1</f>
        <v>4.4032516942099633</v>
      </c>
      <c r="AW482" s="169">
        <f t="shared" si="1311"/>
        <v>3.5235468309690976</v>
      </c>
      <c r="AX482" s="169">
        <f t="shared" si="1311"/>
        <v>1.8329245065219899</v>
      </c>
      <c r="AY482" s="992">
        <f t="shared" ref="AY482:CU482" si="1312">+AY481/AT481-1</f>
        <v>2.6783112664949846</v>
      </c>
      <c r="AZ482" s="1226">
        <f t="shared" si="1312"/>
        <v>0.79025498256228821</v>
      </c>
      <c r="BA482" s="169">
        <f t="shared" si="1312"/>
        <v>2.7405700077563377E-2</v>
      </c>
      <c r="BB482" s="169">
        <f t="shared" si="1312"/>
        <v>-6.277089415528625E-3</v>
      </c>
      <c r="BC482" s="169">
        <f t="shared" si="1312"/>
        <v>6.2658850015025358E-2</v>
      </c>
      <c r="BD482" s="992">
        <f t="shared" si="1312"/>
        <v>0.14200582877086099</v>
      </c>
      <c r="BE482" s="1226">
        <f t="shared" si="1312"/>
        <v>0.68421052631578938</v>
      </c>
      <c r="BF482" s="169">
        <f t="shared" si="1312"/>
        <v>0.38138556184377492</v>
      </c>
      <c r="BG482" s="169">
        <f>+BG481/BB481-1</f>
        <v>0.3494129522392817</v>
      </c>
      <c r="BH482" s="169">
        <f t="shared" si="1312"/>
        <v>0.30850528434826385</v>
      </c>
      <c r="BI482" s="992">
        <f>+BI481/BD481-1</f>
        <v>0.42433499308836509</v>
      </c>
      <c r="BJ482" s="1226">
        <f t="shared" si="1312"/>
        <v>-0.10333333333333339</v>
      </c>
      <c r="BK482" s="169">
        <f t="shared" si="1312"/>
        <v>0.20155038759689914</v>
      </c>
      <c r="BL482" s="169">
        <f t="shared" si="1312"/>
        <v>0.51574803149606296</v>
      </c>
      <c r="BM482" s="169">
        <f t="shared" si="1312"/>
        <v>0.50183150183150182</v>
      </c>
      <c r="BN482" s="992">
        <f>+BN481/BI481-1</f>
        <v>0.26635944700460823</v>
      </c>
      <c r="BO482" s="169"/>
      <c r="BP482" s="169"/>
      <c r="BQ482" s="169"/>
      <c r="BR482" s="169"/>
      <c r="BS482" s="600"/>
      <c r="BT482" s="169">
        <f>+BT481/BJ481-1</f>
        <v>0.5613382899628252</v>
      </c>
      <c r="BU482" s="169">
        <f>+BU481/BK481-1</f>
        <v>0.41612903225806441</v>
      </c>
      <c r="BV482" s="169">
        <f>+BV481/BL481-1</f>
        <v>0.72987012987012978</v>
      </c>
      <c r="BW482" s="169">
        <f>+BW481/BM481-1</f>
        <v>1.0219512195121951</v>
      </c>
      <c r="BX482" s="992">
        <f>+BX481/BN481-1</f>
        <v>0.71324599708879188</v>
      </c>
      <c r="BY482" s="169"/>
      <c r="BZ482" s="169"/>
      <c r="CA482" s="169"/>
      <c r="CB482" s="169"/>
      <c r="CC482" s="600"/>
      <c r="CD482" s="576">
        <f>+CD481/BT481-1</f>
        <v>1.1904761904761907</v>
      </c>
      <c r="CE482" s="169">
        <f>+CE481/BU481-1</f>
        <v>1.1070615034168565</v>
      </c>
      <c r="CF482" s="169">
        <f>+CF481/BV481-1</f>
        <v>0.65315315315315314</v>
      </c>
      <c r="CG482" s="169">
        <f>+CG481/BW481-1</f>
        <v>0.81061519903498191</v>
      </c>
      <c r="CH482" s="992">
        <f>+CH481/BX481-1</f>
        <v>0.88912489379779092</v>
      </c>
      <c r="CI482" s="169">
        <f t="shared" si="1312"/>
        <v>0.54673913043478262</v>
      </c>
      <c r="CJ482" s="169">
        <f t="shared" si="1312"/>
        <v>0.57513513513513503</v>
      </c>
      <c r="CK482" s="169">
        <f t="shared" si="1312"/>
        <v>0.54677565849227983</v>
      </c>
      <c r="CL482" s="169">
        <f t="shared" si="1312"/>
        <v>0.19520319786808793</v>
      </c>
      <c r="CM482" s="992">
        <f>+CM481/CH481-1</f>
        <v>0.43400044974139873</v>
      </c>
      <c r="CN482" s="169">
        <f t="shared" si="1312"/>
        <v>0.2297962052002811</v>
      </c>
      <c r="CO482" s="169">
        <f t="shared" si="1312"/>
        <v>0.16952642415923136</v>
      </c>
      <c r="CP482" s="169">
        <f t="shared" si="1312"/>
        <v>0.11215502055196702</v>
      </c>
      <c r="CQ482" s="169">
        <f t="shared" si="1312"/>
        <v>0.25473801560758091</v>
      </c>
      <c r="CR482" s="992">
        <f>+CR481/CM481-1</f>
        <v>0.19162615649992154</v>
      </c>
      <c r="CS482" s="169">
        <f t="shared" si="1312"/>
        <v>0.27828571428571425</v>
      </c>
      <c r="CT482" s="169">
        <f t="shared" si="1312"/>
        <v>0.38321596244131451</v>
      </c>
      <c r="CU482" s="169">
        <f t="shared" si="1312"/>
        <v>0.38859556494192193</v>
      </c>
      <c r="CV482" s="169">
        <f t="shared" ref="CV482:DA482" si="1313">+CV481/CQ481-1</f>
        <v>0.62816525988449579</v>
      </c>
      <c r="CW482" s="992">
        <f>+CW481/CR481-1</f>
        <v>0.43295170417160156</v>
      </c>
      <c r="CX482" s="169">
        <f>+CX481/CS481-1</f>
        <v>0.49262405006705401</v>
      </c>
      <c r="CY482" s="169">
        <f t="shared" si="1313"/>
        <v>0.41620704285108179</v>
      </c>
      <c r="CZ482" s="169">
        <f t="shared" si="1313"/>
        <v>0.40950570342205328</v>
      </c>
      <c r="DA482" s="169">
        <f t="shared" si="1313"/>
        <v>0.39045020463847213</v>
      </c>
      <c r="DB482" s="992">
        <f>+DB481/CW481-1</f>
        <v>0.42161814675360465</v>
      </c>
      <c r="DC482" s="2612">
        <f>+DC481/CX481-1</f>
        <v>0.34890685834082058</v>
      </c>
      <c r="DD482" s="3976"/>
      <c r="DE482" s="2660"/>
      <c r="DF482" s="2660"/>
      <c r="DG482" s="4040"/>
      <c r="DH482" s="2660"/>
      <c r="DI482" s="2660"/>
      <c r="DJ482" s="2660"/>
      <c r="DK482" s="2660"/>
      <c r="DL482" s="4040"/>
      <c r="DM482" s="2660"/>
      <c r="DN482" s="2660"/>
      <c r="DO482" s="2660"/>
      <c r="DP482" s="2660"/>
      <c r="DQ482" s="4040"/>
      <c r="DR482" s="2660"/>
      <c r="DS482" s="2660"/>
      <c r="DT482" s="2660"/>
      <c r="DU482" s="2660"/>
      <c r="DV482" s="4040"/>
      <c r="DW482" s="2660"/>
      <c r="DX482" s="2660"/>
      <c r="DY482" s="2660"/>
      <c r="DZ482" s="2660"/>
      <c r="EA482" s="4040"/>
      <c r="EB482" s="2660"/>
      <c r="EC482" s="2660"/>
      <c r="ED482" s="2660"/>
      <c r="EE482" s="2660"/>
      <c r="EF482" s="4040"/>
      <c r="EG482" s="2660"/>
      <c r="EH482" s="2660"/>
      <c r="EI482" s="2660"/>
      <c r="EJ482" s="2660"/>
      <c r="EK482" s="4040"/>
      <c r="EL482" s="2660"/>
      <c r="EM482" s="2660"/>
      <c r="EN482" s="2660"/>
      <c r="EO482" s="2660"/>
      <c r="EP482" s="4040"/>
      <c r="EQ482" s="2660"/>
      <c r="ER482" s="2660"/>
      <c r="ES482" s="2660"/>
      <c r="ET482" s="2660"/>
      <c r="EU482" s="4040"/>
      <c r="EV482" s="4040"/>
      <c r="EW482" s="4040"/>
      <c r="EX482" s="4040"/>
      <c r="EY482" s="4040"/>
      <c r="EZ482" s="169"/>
      <c r="FA482" s="1103"/>
      <c r="FB482" s="1103"/>
    </row>
    <row r="483" spans="1:158" s="194" customFormat="1" ht="11.25" hidden="1" customHeight="1">
      <c r="A483" s="1554" t="s">
        <v>46</v>
      </c>
      <c r="B483" s="1226"/>
      <c r="C483" s="169"/>
      <c r="D483" s="169"/>
      <c r="E483" s="169"/>
      <c r="F483" s="1228"/>
      <c r="G483" s="1226"/>
      <c r="H483" s="169"/>
      <c r="I483" s="169"/>
      <c r="J483" s="169"/>
      <c r="K483" s="1381"/>
      <c r="L483" s="169"/>
      <c r="M483" s="169"/>
      <c r="N483" s="169"/>
      <c r="O483" s="169"/>
      <c r="P483" s="1021"/>
      <c r="Q483" s="1226" t="s">
        <v>116</v>
      </c>
      <c r="R483" s="169">
        <f>+R481/Q481-1</f>
        <v>0.39278112805959586</v>
      </c>
      <c r="S483" s="169">
        <f>+S481/R481-1</f>
        <v>0.11036400297145277</v>
      </c>
      <c r="T483" s="169">
        <f>+T481/S481-1</f>
        <v>9.6481301658421614E-2</v>
      </c>
      <c r="U483" s="1021"/>
      <c r="V483" s="1226">
        <f>+V481/T481-1</f>
        <v>0.10409526366376021</v>
      </c>
      <c r="W483" s="169">
        <f>+W481/V481-1</f>
        <v>0.10673684210526302</v>
      </c>
      <c r="X483" s="169">
        <f>+X481/W481-1</f>
        <v>0.16596918394521598</v>
      </c>
      <c r="Y483" s="169">
        <f>+Y481/X481-1</f>
        <v>6.0282241618402788E-2</v>
      </c>
      <c r="Z483" s="1021"/>
      <c r="AA483" s="1226">
        <f>+AA481/Y481-1</f>
        <v>0.10316971841821831</v>
      </c>
      <c r="AB483" s="169">
        <f>+AB481/AA481-1</f>
        <v>-0.26466280772717765</v>
      </c>
      <c r="AC483" s="169">
        <f>+AC481/AB481-1</f>
        <v>-6.2310318664648756E-2</v>
      </c>
      <c r="AD483" s="169">
        <f>+AD481/AC481-1</f>
        <v>0.12481035703449628</v>
      </c>
      <c r="AE483" s="1021"/>
      <c r="AF483" s="1226">
        <f>+AF481/AD481-1</f>
        <v>0.38518118874201956</v>
      </c>
      <c r="AG483" s="169">
        <f>+AG481/AF481-1</f>
        <v>0.10882463679680088</v>
      </c>
      <c r="AH483" s="169">
        <f>+AH481/AG481-1</f>
        <v>9.8589075581055008E-2</v>
      </c>
      <c r="AI483" s="169">
        <f>+AI481/AH481-1</f>
        <v>0.18875566213695705</v>
      </c>
      <c r="AJ483" s="1021"/>
      <c r="AK483" s="1226">
        <f>+AK481/AI481-1</f>
        <v>0.25799076523064524</v>
      </c>
      <c r="AL483" s="169">
        <f>+AL481/AK481-1</f>
        <v>-3.9163281305680253E-2</v>
      </c>
      <c r="AM483" s="169">
        <f>+AM481/AL481-1</f>
        <v>-1.0718391870340849E-2</v>
      </c>
      <c r="AN483" s="184">
        <f>+AN481/AM481-1</f>
        <v>0.14677213766214292</v>
      </c>
      <c r="AO483" s="1021"/>
      <c r="AP483" s="1226">
        <f>+AP481/AN481-1</f>
        <v>0.1939259210827422</v>
      </c>
      <c r="AQ483" s="169">
        <f>+AQ481/AP481-1</f>
        <v>-7.8776594288217816E-2</v>
      </c>
      <c r="AR483" s="169">
        <f>+AR481/AQ481-1</f>
        <v>0.24462014029247436</v>
      </c>
      <c r="AS483" s="184">
        <f>+AS481/AR481-1</f>
        <v>0.65506041935329784</v>
      </c>
      <c r="AT483" s="1021"/>
      <c r="AU483" s="1226">
        <f>+AU481/AS481-1</f>
        <v>0.43566027934895524</v>
      </c>
      <c r="AV483" s="169">
        <f>+AV481/AU481-1</f>
        <v>0.82706011236519705</v>
      </c>
      <c r="AW483" s="169">
        <f>+AW481/AV481-1</f>
        <v>4.1983200118820507E-2</v>
      </c>
      <c r="AX483" s="184">
        <f>+AX481/AW481-1</f>
        <v>3.6501090175747875E-2</v>
      </c>
      <c r="AY483" s="1021"/>
      <c r="AZ483" s="1226">
        <f>+AZ481/AX481-1</f>
        <v>-9.2740395144983223E-2</v>
      </c>
      <c r="BA483" s="169">
        <f>+BA481/AZ481-1</f>
        <v>4.852771929824562E-2</v>
      </c>
      <c r="BB483" s="169">
        <f>+BB481/BA481-1</f>
        <v>7.8224973095106787E-3</v>
      </c>
      <c r="BC483" s="184">
        <f>+BC481/BB481-1</f>
        <v>0.10840461137969504</v>
      </c>
      <c r="BD483" s="1021"/>
      <c r="BE483" s="1226">
        <f>+BE481/BC481-1</f>
        <v>0.43791789488820188</v>
      </c>
      <c r="BF483" s="169">
        <f>+BF481/BE481-1</f>
        <v>-0.14000000000000001</v>
      </c>
      <c r="BG483" s="169">
        <f>+BG481/BF481-1</f>
        <v>-1.5503875968992276E-2</v>
      </c>
      <c r="BH483" s="184">
        <f>+BH481/BG481-1</f>
        <v>7.4803149606299302E-2</v>
      </c>
      <c r="BI483" s="1021"/>
      <c r="BJ483" s="1226">
        <f>+BJ481/BH481-1</f>
        <v>-1.46520146520146E-2</v>
      </c>
      <c r="BK483" s="169">
        <f>+BK481/BJ481-1</f>
        <v>0.15241635687732336</v>
      </c>
      <c r="BL483" s="169">
        <f>+BL481/BK481-1</f>
        <v>0.24193548387096775</v>
      </c>
      <c r="BM483" s="169">
        <f>+BM481/BL481-1</f>
        <v>6.4935064935064846E-2</v>
      </c>
      <c r="BN483" s="1021"/>
      <c r="BO483" s="193"/>
      <c r="BP483" s="193"/>
      <c r="BQ483" s="193"/>
      <c r="BR483" s="193"/>
      <c r="BS483" s="2430"/>
      <c r="BT483" s="169">
        <f>+BT481/BM481-1</f>
        <v>2.4390243902439046E-2</v>
      </c>
      <c r="BU483" s="169">
        <f>+BU481/BT481-1</f>
        <v>4.5238095238095299E-2</v>
      </c>
      <c r="BV483" s="169">
        <f>+BV481/BU481-1</f>
        <v>0.51708428246013671</v>
      </c>
      <c r="BW483" s="169">
        <f>+BW481/BV481-1</f>
        <v>0.24474474474474484</v>
      </c>
      <c r="BX483" s="1021"/>
      <c r="BY483" s="193"/>
      <c r="BZ483" s="193"/>
      <c r="CA483" s="193"/>
      <c r="CB483" s="193"/>
      <c r="CC483" s="2430"/>
      <c r="CD483" s="576">
        <f>+CD481/BW481-1</f>
        <v>0.10977080820265384</v>
      </c>
      <c r="CE483" s="169">
        <f>+CE481/CD481-1</f>
        <v>5.4347826086955653E-3</v>
      </c>
      <c r="CF483" s="169">
        <f>+CF481/CE481-1</f>
        <v>0.19027027027027033</v>
      </c>
      <c r="CG483" s="169">
        <f>+CG481/CF481-1</f>
        <v>0.3633060853769301</v>
      </c>
      <c r="CH483" s="1021"/>
      <c r="CI483" s="1226">
        <f>+CI481/CG481-1</f>
        <v>-5.1965356429047316E-2</v>
      </c>
      <c r="CJ483" s="169">
        <f>+CJ481/CI481-1</f>
        <v>2.3893183415319763E-2</v>
      </c>
      <c r="CK483" s="169">
        <f>+CK481/CJ481-1</f>
        <v>0.16884008236101589</v>
      </c>
      <c r="CL483" s="169">
        <f>+CL481/CK481-1</f>
        <v>5.3435114503816772E-2</v>
      </c>
      <c r="CM483" s="1021"/>
      <c r="CN483" s="169">
        <f>+CN481/CL481-1</f>
        <v>-2.4526198439241864E-2</v>
      </c>
      <c r="CO483" s="169">
        <f>+CO481/CN481-1</f>
        <v>-2.6285714285714246E-2</v>
      </c>
      <c r="CP483" s="169">
        <f>+CP481/CO481-1</f>
        <v>0.11150234741784049</v>
      </c>
      <c r="CQ483" s="169">
        <f>+CQ481/CP481-1</f>
        <v>0.18848996832101372</v>
      </c>
      <c r="CR483" s="1021"/>
      <c r="CS483" s="169">
        <f>+CS481/CQ481-1</f>
        <v>-6.2194580186584192E-3</v>
      </c>
      <c r="CT483" s="169">
        <f>+CT481/CS481-1</f>
        <v>5.3643272239606521E-2</v>
      </c>
      <c r="CU483" s="169">
        <f>+CU481/CT481-1</f>
        <v>0.11582520152736531</v>
      </c>
      <c r="CV483" s="169">
        <f>+CV481/CU481-1</f>
        <v>0.39353612167300378</v>
      </c>
      <c r="CW483" s="1021"/>
      <c r="CX483" s="169">
        <f>+CX481/CV481-1</f>
        <v>-8.8949522510231915E-2</v>
      </c>
      <c r="CY483" s="169">
        <f>+CY481/CX481-1</f>
        <v>-2.994908655286066E-4</v>
      </c>
      <c r="CZ483" s="169">
        <f>+CZ481/CY481-1</f>
        <v>0.11054523666866389</v>
      </c>
      <c r="DA483" s="169">
        <f>+DA481/CZ481-1</f>
        <v>0.37469652009711352</v>
      </c>
      <c r="DB483" s="1021"/>
      <c r="DC483" s="2612">
        <f>+DC481/DA481-1</f>
        <v>-0.1161695447409733</v>
      </c>
      <c r="DD483" s="3976"/>
      <c r="DE483" s="2660"/>
      <c r="DF483" s="2660"/>
      <c r="DG483" s="4041"/>
      <c r="DH483" s="2660"/>
      <c r="DI483" s="2660"/>
      <c r="DJ483" s="2660"/>
      <c r="DK483" s="2660"/>
      <c r="DL483" s="4041"/>
      <c r="DM483" s="2660"/>
      <c r="DN483" s="2660"/>
      <c r="DO483" s="2660"/>
      <c r="DP483" s="2660"/>
      <c r="DQ483" s="4041"/>
      <c r="DR483" s="2660"/>
      <c r="DS483" s="2660"/>
      <c r="DT483" s="2660"/>
      <c r="DU483" s="2660"/>
      <c r="DV483" s="4041"/>
      <c r="DW483" s="2660"/>
      <c r="DX483" s="2660"/>
      <c r="DY483" s="2660"/>
      <c r="DZ483" s="2660"/>
      <c r="EA483" s="4041"/>
      <c r="EB483" s="2660"/>
      <c r="EC483" s="2660"/>
      <c r="ED483" s="2660"/>
      <c r="EE483" s="2660"/>
      <c r="EF483" s="4041"/>
      <c r="EG483" s="2660"/>
      <c r="EH483" s="2660"/>
      <c r="EI483" s="2660"/>
      <c r="EJ483" s="2660"/>
      <c r="EK483" s="4041"/>
      <c r="EL483" s="2660"/>
      <c r="EM483" s="2660"/>
      <c r="EN483" s="2660"/>
      <c r="EO483" s="2660"/>
      <c r="EP483" s="4041"/>
      <c r="EQ483" s="2660"/>
      <c r="ER483" s="2660"/>
      <c r="ES483" s="2660"/>
      <c r="ET483" s="2660"/>
      <c r="EU483" s="4041"/>
      <c r="EV483" s="4041"/>
      <c r="EW483" s="4041"/>
      <c r="EX483" s="4041"/>
      <c r="EY483" s="4041"/>
      <c r="EZ483" s="193"/>
      <c r="FA483" s="725"/>
      <c r="FB483" s="725"/>
    </row>
    <row r="484" spans="1:158" s="77" customFormat="1" ht="11.25" hidden="1" customHeight="1">
      <c r="A484" s="2067" t="s">
        <v>428</v>
      </c>
      <c r="B484" s="1502"/>
      <c r="C484" s="127"/>
      <c r="D484" s="127"/>
      <c r="E484" s="127"/>
      <c r="F484" s="1227"/>
      <c r="G484" s="1502"/>
      <c r="H484" s="127"/>
      <c r="I484" s="127"/>
      <c r="J484" s="127"/>
      <c r="K484" s="1219"/>
      <c r="L484" s="127"/>
      <c r="M484" s="127"/>
      <c r="N484" s="127"/>
      <c r="O484" s="127"/>
      <c r="P484" s="1001"/>
      <c r="Q484" s="1502"/>
      <c r="R484" s="127"/>
      <c r="S484" s="127"/>
      <c r="T484" s="127"/>
      <c r="U484" s="1001"/>
      <c r="V484" s="1502"/>
      <c r="W484" s="127"/>
      <c r="X484" s="127"/>
      <c r="Y484" s="127"/>
      <c r="Z484" s="1001"/>
      <c r="AA484" s="1502"/>
      <c r="AB484" s="127"/>
      <c r="AC484" s="127"/>
      <c r="AD484" s="127"/>
      <c r="AE484" s="1001"/>
      <c r="AF484" s="1502"/>
      <c r="AG484" s="127"/>
      <c r="AH484" s="127"/>
      <c r="AI484" s="127"/>
      <c r="AJ484" s="1001"/>
      <c r="AK484" s="1502"/>
      <c r="AL484" s="127"/>
      <c r="AM484" s="127"/>
      <c r="AN484" s="125"/>
      <c r="AO484" s="1001"/>
      <c r="AP484" s="1502"/>
      <c r="AQ484" s="127"/>
      <c r="AR484" s="127"/>
      <c r="AS484" s="125"/>
      <c r="AT484" s="1001"/>
      <c r="AU484" s="1502"/>
      <c r="AV484" s="127"/>
      <c r="AW484" s="127"/>
      <c r="AX484" s="125"/>
      <c r="AY484" s="1001"/>
      <c r="AZ484" s="1502"/>
      <c r="BA484" s="127"/>
      <c r="BB484" s="127"/>
      <c r="BC484" s="125"/>
      <c r="BD484" s="1001"/>
      <c r="BE484" s="1502"/>
      <c r="BF484" s="127"/>
      <c r="BG484" s="127"/>
      <c r="BH484" s="125"/>
      <c r="BI484" s="1001"/>
      <c r="BJ484" s="1502"/>
      <c r="BK484" s="127"/>
      <c r="BL484" s="127"/>
      <c r="BM484" s="127"/>
      <c r="BN484" s="1001"/>
      <c r="BO484" s="42"/>
      <c r="BP484" s="42"/>
      <c r="BQ484" s="42"/>
      <c r="BR484" s="42"/>
      <c r="BS484" s="597"/>
      <c r="BT484" s="127">
        <f>+BT481/BX481</f>
        <v>0.1784197111299915</v>
      </c>
      <c r="BU484" s="127">
        <f>+BU481/BX481</f>
        <v>0.18649107901444351</v>
      </c>
      <c r="BV484" s="127">
        <f>+BV481/BX481</f>
        <v>0.28292268479184368</v>
      </c>
      <c r="BW484" s="127">
        <f>+BW481/BX481</f>
        <v>0.35216652506372131</v>
      </c>
      <c r="BX484" s="1001"/>
      <c r="BY484" s="42"/>
      <c r="BZ484" s="42"/>
      <c r="CA484" s="42"/>
      <c r="CB484" s="42"/>
      <c r="CC484" s="597"/>
      <c r="CD484" s="1250">
        <f>+CD481/CH481</f>
        <v>0.20688104340004498</v>
      </c>
      <c r="CE484" s="127">
        <f>+CE481/CH481</f>
        <v>0.20800539689678435</v>
      </c>
      <c r="CF484" s="127">
        <f>+CF481/CH481</f>
        <v>0.24758263998201036</v>
      </c>
      <c r="CG484" s="127">
        <f>+CG481/CH481</f>
        <v>0.33753091972116034</v>
      </c>
      <c r="CH484" s="1001"/>
      <c r="CI484" s="127">
        <f>+CI481/CM481</f>
        <v>0.22314567978673358</v>
      </c>
      <c r="CJ484" s="127">
        <f>+CJ481/CM481</f>
        <v>0.22847734044221421</v>
      </c>
      <c r="CK484" s="127">
        <f>+CK481/CM481</f>
        <v>0.26705347342010349</v>
      </c>
      <c r="CL484" s="127">
        <f>+CL481/CM481</f>
        <v>0.28132350635094872</v>
      </c>
      <c r="CM484" s="1001"/>
      <c r="CN484" s="127">
        <f>+CN481/CR481</f>
        <v>0.23029345966574549</v>
      </c>
      <c r="CO484" s="127">
        <f>+CO481/CR481</f>
        <v>0.22424003158310304</v>
      </c>
      <c r="CP484" s="127">
        <f>+CP481/CR481</f>
        <v>0.24924332148966968</v>
      </c>
      <c r="CQ484" s="127">
        <f>+CQ481/CR481</f>
        <v>0.29622318726148178</v>
      </c>
      <c r="CR484" s="1001"/>
      <c r="CS484" s="127">
        <f>+CS481/CW481</f>
        <v>0.20543667921755901</v>
      </c>
      <c r="CT484" s="127">
        <f>+CT481/CW481</f>
        <v>0.21645697492882726</v>
      </c>
      <c r="CU484" s="127">
        <f>+CU481/CW481</f>
        <v>0.24152814767196254</v>
      </c>
      <c r="CV484" s="127">
        <f>+CV481/CW481</f>
        <v>0.33657819818165119</v>
      </c>
      <c r="CW484" s="1001"/>
      <c r="CX484" s="127">
        <f>+CX481/DB481</f>
        <v>0.21569767441860466</v>
      </c>
      <c r="CY484" s="127">
        <f>+CY481/DB481</f>
        <v>0.21563307493540051</v>
      </c>
      <c r="CZ484" s="127">
        <f>+CZ481/DB481</f>
        <v>0.23947028423772609</v>
      </c>
      <c r="DA484" s="127">
        <f>+DA481/DB481</f>
        <v>0.32919896640826873</v>
      </c>
      <c r="DB484" s="1001"/>
      <c r="DC484" s="127" t="e">
        <f>+DC481/DG481</f>
        <v>#DIV/0!</v>
      </c>
      <c r="DD484" s="3979"/>
      <c r="DE484" s="1121"/>
      <c r="DF484" s="1121"/>
      <c r="DG484" s="4042"/>
      <c r="DH484" s="1121"/>
      <c r="DI484" s="1121"/>
      <c r="DJ484" s="1121"/>
      <c r="DK484" s="1121"/>
      <c r="DL484" s="4042"/>
      <c r="DM484" s="1121"/>
      <c r="DN484" s="1121"/>
      <c r="DO484" s="1121"/>
      <c r="DP484" s="1121"/>
      <c r="DQ484" s="4042"/>
      <c r="DR484" s="1121"/>
      <c r="DS484" s="1121"/>
      <c r="DT484" s="1121"/>
      <c r="DU484" s="1121"/>
      <c r="DV484" s="4042"/>
      <c r="DW484" s="1121"/>
      <c r="DX484" s="1121"/>
      <c r="DY484" s="1121"/>
      <c r="DZ484" s="1121"/>
      <c r="EA484" s="4042"/>
      <c r="EB484" s="1121"/>
      <c r="EC484" s="1121"/>
      <c r="ED484" s="1121"/>
      <c r="EE484" s="1121"/>
      <c r="EF484" s="4042"/>
      <c r="EG484" s="1121"/>
      <c r="EH484" s="1121"/>
      <c r="EI484" s="1121"/>
      <c r="EJ484" s="1121"/>
      <c r="EK484" s="4042"/>
      <c r="EL484" s="1121"/>
      <c r="EM484" s="1121"/>
      <c r="EN484" s="1121"/>
      <c r="EO484" s="1121"/>
      <c r="EP484" s="4042"/>
      <c r="EQ484" s="1121"/>
      <c r="ER484" s="1121"/>
      <c r="ES484" s="1121"/>
      <c r="ET484" s="1121"/>
      <c r="EU484" s="4042"/>
      <c r="EV484" s="4042"/>
      <c r="EW484" s="4042"/>
      <c r="EX484" s="4042"/>
      <c r="EY484" s="4042"/>
      <c r="EZ484" s="42"/>
      <c r="FA484" s="738"/>
      <c r="FB484" s="738"/>
    </row>
    <row r="485" spans="1:158" s="168" customFormat="1" ht="11.25" hidden="1" customHeight="1">
      <c r="A485" s="1555" t="s">
        <v>827</v>
      </c>
      <c r="B485" s="2228"/>
      <c r="C485" s="165"/>
      <c r="D485" s="165"/>
      <c r="E485" s="165"/>
      <c r="F485" s="2229"/>
      <c r="G485" s="2228"/>
      <c r="H485" s="165"/>
      <c r="I485" s="165"/>
      <c r="J485" s="165"/>
      <c r="K485" s="1015"/>
      <c r="L485" s="165"/>
      <c r="M485" s="165"/>
      <c r="N485" s="165"/>
      <c r="O485" s="166"/>
      <c r="P485" s="1969">
        <f>P481/P69</f>
        <v>0.225557124013607</v>
      </c>
      <c r="Q485" s="2312">
        <v>0.12</v>
      </c>
      <c r="R485" s="2313">
        <v>0.09</v>
      </c>
      <c r="S485" s="2313">
        <v>0.06</v>
      </c>
      <c r="T485" s="189">
        <f>T481/T69</f>
        <v>4.5789389657869946E-2</v>
      </c>
      <c r="U485" s="1969">
        <f>U481/U69</f>
        <v>6.505683628056827E-2</v>
      </c>
      <c r="V485" s="1857">
        <f>1-V81</f>
        <v>0.67332212470537134</v>
      </c>
      <c r="W485" s="189">
        <f t="shared" ref="W485:BN485" si="1314">W481/W69</f>
        <v>3.378545560879051E-2</v>
      </c>
      <c r="X485" s="189">
        <f t="shared" si="1314"/>
        <v>3.1118794137208014E-2</v>
      </c>
      <c r="Y485" s="189">
        <f t="shared" si="1314"/>
        <v>2.5378044613657443E-2</v>
      </c>
      <c r="Z485" s="1969">
        <f t="shared" si="1314"/>
        <v>3.0882017880750432E-2</v>
      </c>
      <c r="AA485" s="1857">
        <f t="shared" si="1314"/>
        <v>2.2005055070186286E-2</v>
      </c>
      <c r="AB485" s="189">
        <f t="shared" si="1314"/>
        <v>1.5058296630163438E-2</v>
      </c>
      <c r="AC485" s="189">
        <f t="shared" si="1314"/>
        <v>1.2268469400796816E-2</v>
      </c>
      <c r="AD485" s="189">
        <f t="shared" si="1314"/>
        <v>1.0781365426339453E-2</v>
      </c>
      <c r="AE485" s="1969">
        <f t="shared" si="1314"/>
        <v>1.4389393783566145E-2</v>
      </c>
      <c r="AF485" s="1857">
        <f t="shared" si="1314"/>
        <v>1.2259774210559073E-2</v>
      </c>
      <c r="AG485" s="189">
        <f t="shared" si="1314"/>
        <v>1.2337350441857861E-2</v>
      </c>
      <c r="AH485" s="189">
        <f t="shared" si="1314"/>
        <v>1.1888199607717923E-2</v>
      </c>
      <c r="AI485" s="189">
        <f t="shared" si="1314"/>
        <v>1.1623720163639802E-2</v>
      </c>
      <c r="AJ485" s="1969">
        <f t="shared" si="1314"/>
        <v>1.1982875853062472E-2</v>
      </c>
      <c r="AK485" s="1857">
        <f t="shared" si="1314"/>
        <v>1.2451220296793573E-2</v>
      </c>
      <c r="AL485" s="189">
        <f t="shared" si="1314"/>
        <v>1.0978460425954328E-2</v>
      </c>
      <c r="AM485" s="189">
        <f t="shared" si="1314"/>
        <v>9.917190677082308E-3</v>
      </c>
      <c r="AN485" s="2309">
        <f t="shared" si="1314"/>
        <v>9.5426670052516024E-3</v>
      </c>
      <c r="AO485" s="1969">
        <f t="shared" si="1314"/>
        <v>1.0588295976290997E-2</v>
      </c>
      <c r="AP485" s="1857">
        <f t="shared" si="1314"/>
        <v>9.9676007260974496E-3</v>
      </c>
      <c r="AQ485" s="189">
        <f t="shared" si="1314"/>
        <v>8.6890832479981205E-3</v>
      </c>
      <c r="AR485" s="189">
        <f t="shared" si="1314"/>
        <v>9.8961301012371709E-3</v>
      </c>
      <c r="AS485" s="2309">
        <f t="shared" si="1314"/>
        <v>1.4358526846305711E-2</v>
      </c>
      <c r="AT485" s="1969">
        <f t="shared" si="1314"/>
        <v>1.0928236289942632E-2</v>
      </c>
      <c r="AU485" s="1857">
        <f t="shared" si="1314"/>
        <v>1.918553317047313E-2</v>
      </c>
      <c r="AV485" s="189">
        <f t="shared" si="1314"/>
        <v>3.3869912349279288E-2</v>
      </c>
      <c r="AW485" s="189">
        <f t="shared" si="1314"/>
        <v>3.4182572570677652E-2</v>
      </c>
      <c r="AX485" s="2309">
        <f t="shared" si="1314"/>
        <v>3.4438924072392733E-2</v>
      </c>
      <c r="AY485" s="1969">
        <f t="shared" si="1314"/>
        <v>3.0604228844878879E-2</v>
      </c>
      <c r="AZ485" s="1857">
        <f t="shared" si="1314"/>
        <v>3.233351303959528E-2</v>
      </c>
      <c r="BA485" s="189">
        <f t="shared" si="1314"/>
        <v>3.3817215856098704E-2</v>
      </c>
      <c r="BB485" s="189">
        <f t="shared" si="1314"/>
        <v>3.1662694321522945E-2</v>
      </c>
      <c r="BC485" s="2309">
        <f t="shared" si="1314"/>
        <v>3.126168276812772E-2</v>
      </c>
      <c r="BD485" s="1969">
        <f t="shared" si="1314"/>
        <v>3.2208916126013572E-2</v>
      </c>
      <c r="BE485" s="1857">
        <f t="shared" si="1314"/>
        <v>4.4280442804428041E-2</v>
      </c>
      <c r="BF485" s="189">
        <f t="shared" si="1314"/>
        <v>3.7829912023460407E-2</v>
      </c>
      <c r="BG485" s="189">
        <f t="shared" si="1314"/>
        <v>3.486137798517705E-2</v>
      </c>
      <c r="BH485" s="2309">
        <f t="shared" si="1314"/>
        <v>3.2345971563981044E-2</v>
      </c>
      <c r="BI485" s="1969">
        <f t="shared" si="1314"/>
        <v>3.7004194945602129E-2</v>
      </c>
      <c r="BJ485" s="1857">
        <f t="shared" si="1314"/>
        <v>3.1370262390670554E-2</v>
      </c>
      <c r="BK485" s="189">
        <f t="shared" si="1314"/>
        <v>3.4345224905827608E-2</v>
      </c>
      <c r="BL485" s="189">
        <f t="shared" si="1314"/>
        <v>3.9609053497942387E-2</v>
      </c>
      <c r="BM485" s="189">
        <f t="shared" si="1314"/>
        <v>3.873771730914588E-2</v>
      </c>
      <c r="BN485" s="1969">
        <f t="shared" si="1314"/>
        <v>3.6248516026909379E-2</v>
      </c>
      <c r="BO485" s="189"/>
      <c r="BP485" s="189"/>
      <c r="BQ485" s="189"/>
      <c r="BR485" s="189"/>
      <c r="BS485" s="2314"/>
      <c r="BT485" s="189">
        <f>BT481/BT69</f>
        <v>3.9455143259746361E-2</v>
      </c>
      <c r="BU485" s="189">
        <f>BU481/BU69</f>
        <v>4.00401313389274E-2</v>
      </c>
      <c r="BV485" s="189">
        <f>BV481/BV69</f>
        <v>5.7782404997397188E-2</v>
      </c>
      <c r="BW485" s="189">
        <f>BW481/BW69</f>
        <v>6.4238667183262307E-2</v>
      </c>
      <c r="BX485" s="1969">
        <f>BX481/BX69</f>
        <v>5.1129452649869678E-2</v>
      </c>
      <c r="BY485" s="189"/>
      <c r="BZ485" s="189"/>
      <c r="CA485" s="189"/>
      <c r="CB485" s="189"/>
      <c r="CC485" s="2314"/>
      <c r="CD485" s="2315">
        <f t="shared" ref="CD485:DB485" si="1315">CD481/CD69</f>
        <v>7.1036985560960539E-2</v>
      </c>
      <c r="CE485" s="189">
        <f t="shared" si="1315"/>
        <v>7.057297627222095E-2</v>
      </c>
      <c r="CF485" s="189">
        <f t="shared" si="1315"/>
        <v>8.004944016286171E-2</v>
      </c>
      <c r="CG485" s="189">
        <f t="shared" si="1315"/>
        <v>9.5562488062647222E-2</v>
      </c>
      <c r="CH485" s="1969">
        <f t="shared" si="1315"/>
        <v>8.009870494785569E-2</v>
      </c>
      <c r="CI485" s="2311">
        <f t="shared" si="1315"/>
        <v>9.228274967574579E-2</v>
      </c>
      <c r="CJ485" s="189">
        <f t="shared" si="1315"/>
        <v>9.1319335631463494E-2</v>
      </c>
      <c r="CK485" s="189">
        <f t="shared" si="1315"/>
        <v>0.10306845003933911</v>
      </c>
      <c r="CL485" s="189">
        <f t="shared" si="1315"/>
        <v>9.9099596751919566E-2</v>
      </c>
      <c r="CM485" s="1969">
        <f t="shared" si="1315"/>
        <v>9.6619748185633555E-2</v>
      </c>
      <c r="CN485" s="189">
        <f t="shared" si="1315"/>
        <v>0.10140224823270368</v>
      </c>
      <c r="CO485" s="189">
        <f t="shared" si="1315"/>
        <v>9.6124555762396341E-2</v>
      </c>
      <c r="CP485" s="189">
        <f t="shared" si="1315"/>
        <v>0.1014190093708166</v>
      </c>
      <c r="CQ485" s="189">
        <f t="shared" si="1315"/>
        <v>0.10553706221576258</v>
      </c>
      <c r="CR485" s="1969">
        <f t="shared" si="1315"/>
        <v>0.10133486244649215</v>
      </c>
      <c r="CS485" s="189">
        <f t="shared" si="1315"/>
        <v>0.11043096213654539</v>
      </c>
      <c r="CT485" s="189">
        <f t="shared" si="1315"/>
        <v>0.10962790697674418</v>
      </c>
      <c r="CU485" s="189">
        <f t="shared" si="1315"/>
        <v>0.11714400249432097</v>
      </c>
      <c r="CV485" s="189">
        <f t="shared" si="1315"/>
        <v>0.14061540822590546</v>
      </c>
      <c r="CW485" s="1969">
        <f t="shared" si="1315"/>
        <v>0.12062433534207728</v>
      </c>
      <c r="CX485" s="189">
        <f t="shared" si="1315"/>
        <v>0.13490909090909092</v>
      </c>
      <c r="CY485" s="189">
        <f t="shared" si="1315"/>
        <v>0.12833525567089582</v>
      </c>
      <c r="CZ485" s="189">
        <f t="shared" si="1315"/>
        <v>0.13347976379086851</v>
      </c>
      <c r="DA485" s="189">
        <f t="shared" si="1315"/>
        <v>0.15765863317142592</v>
      </c>
      <c r="DB485" s="1969">
        <f t="shared" si="1315"/>
        <v>0.13964187452077037</v>
      </c>
      <c r="DC485" s="189"/>
      <c r="DD485" s="4043"/>
      <c r="DE485" s="4035"/>
      <c r="DF485" s="4035"/>
      <c r="DG485" s="4044"/>
      <c r="DH485" s="4035"/>
      <c r="DI485" s="4035"/>
      <c r="DJ485" s="4035"/>
      <c r="DK485" s="4035"/>
      <c r="DL485" s="4044"/>
      <c r="DM485" s="4035"/>
      <c r="DN485" s="4035"/>
      <c r="DO485" s="4035"/>
      <c r="DP485" s="4035"/>
      <c r="DQ485" s="4044"/>
      <c r="DR485" s="4035"/>
      <c r="DS485" s="4035"/>
      <c r="DT485" s="4035"/>
      <c r="DU485" s="4035"/>
      <c r="DV485" s="4044"/>
      <c r="DW485" s="4035"/>
      <c r="DX485" s="4035"/>
      <c r="DY485" s="4035"/>
      <c r="DZ485" s="4035"/>
      <c r="EA485" s="4044"/>
      <c r="EB485" s="4035"/>
      <c r="EC485" s="4035"/>
      <c r="ED485" s="4035"/>
      <c r="EE485" s="4035"/>
      <c r="EF485" s="4044"/>
      <c r="EG485" s="4035"/>
      <c r="EH485" s="4035"/>
      <c r="EI485" s="4035"/>
      <c r="EJ485" s="4035"/>
      <c r="EK485" s="4044"/>
      <c r="EL485" s="4035"/>
      <c r="EM485" s="4035"/>
      <c r="EN485" s="4035"/>
      <c r="EO485" s="4035"/>
      <c r="EP485" s="4044"/>
      <c r="EQ485" s="4035"/>
      <c r="ER485" s="4035"/>
      <c r="ES485" s="4035"/>
      <c r="ET485" s="4035"/>
      <c r="EU485" s="4044"/>
      <c r="EV485" s="4044"/>
      <c r="EW485" s="4044"/>
      <c r="EX485" s="4044"/>
      <c r="EY485" s="4044"/>
      <c r="EZ485" s="167"/>
      <c r="FA485" s="738"/>
      <c r="FB485" s="738"/>
    </row>
    <row r="486" spans="1:158" s="168" customFormat="1" ht="11.25" hidden="1" customHeight="1">
      <c r="A486" s="1555"/>
      <c r="B486" s="2228"/>
      <c r="C486" s="2609"/>
      <c r="D486" s="2609"/>
      <c r="E486" s="2609"/>
      <c r="F486" s="2229"/>
      <c r="G486" s="2228"/>
      <c r="H486" s="2609"/>
      <c r="I486" s="2609"/>
      <c r="J486" s="2609"/>
      <c r="K486" s="2591"/>
      <c r="L486" s="2609"/>
      <c r="M486" s="2609"/>
      <c r="N486" s="2609"/>
      <c r="O486" s="2610"/>
      <c r="P486" s="1969"/>
      <c r="Q486" s="2312"/>
      <c r="R486" s="2313"/>
      <c r="S486" s="2313"/>
      <c r="T486" s="189"/>
      <c r="U486" s="1969"/>
      <c r="V486" s="1857"/>
      <c r="W486" s="189"/>
      <c r="X486" s="189"/>
      <c r="Y486" s="189"/>
      <c r="Z486" s="1969"/>
      <c r="AA486" s="1857"/>
      <c r="AB486" s="189"/>
      <c r="AC486" s="189"/>
      <c r="AD486" s="189"/>
      <c r="AE486" s="1969"/>
      <c r="AF486" s="1857"/>
      <c r="AG486" s="189"/>
      <c r="AH486" s="189"/>
      <c r="AI486" s="189"/>
      <c r="AJ486" s="1969"/>
      <c r="AK486" s="1857"/>
      <c r="AL486" s="189"/>
      <c r="AM486" s="189"/>
      <c r="AN486" s="2309"/>
      <c r="AO486" s="1969"/>
      <c r="AP486" s="1857"/>
      <c r="AQ486" s="189"/>
      <c r="AR486" s="189"/>
      <c r="AS486" s="2309"/>
      <c r="AT486" s="1969"/>
      <c r="AU486" s="1857"/>
      <c r="AV486" s="189"/>
      <c r="AW486" s="189"/>
      <c r="AX486" s="2309"/>
      <c r="AY486" s="1969"/>
      <c r="AZ486" s="1857"/>
      <c r="BA486" s="189"/>
      <c r="BB486" s="189"/>
      <c r="BC486" s="2309"/>
      <c r="BD486" s="1969"/>
      <c r="BE486" s="1857"/>
      <c r="BF486" s="189"/>
      <c r="BG486" s="189"/>
      <c r="BH486" s="2309"/>
      <c r="BI486" s="1969"/>
      <c r="BJ486" s="1857"/>
      <c r="BK486" s="189"/>
      <c r="BL486" s="189"/>
      <c r="BM486" s="189"/>
      <c r="BN486" s="1969"/>
      <c r="BO486" s="189"/>
      <c r="BP486" s="189"/>
      <c r="BQ486" s="189"/>
      <c r="BR486" s="189"/>
      <c r="BS486" s="2314"/>
      <c r="BT486" s="189"/>
      <c r="BU486" s="189"/>
      <c r="BV486" s="189"/>
      <c r="BW486" s="189"/>
      <c r="BX486" s="1969"/>
      <c r="BY486" s="189"/>
      <c r="BZ486" s="189"/>
      <c r="CA486" s="189"/>
      <c r="CB486" s="189"/>
      <c r="CC486" s="2314"/>
      <c r="CD486" s="2315"/>
      <c r="CE486" s="189"/>
      <c r="CF486" s="189"/>
      <c r="CG486" s="189"/>
      <c r="CH486" s="1969"/>
      <c r="CI486" s="2311"/>
      <c r="CJ486" s="189"/>
      <c r="CK486" s="189"/>
      <c r="CL486" s="189"/>
      <c r="CM486" s="1969"/>
      <c r="CN486" s="189"/>
      <c r="CO486" s="189"/>
      <c r="CP486" s="189"/>
      <c r="CQ486" s="189"/>
      <c r="CR486" s="1969"/>
      <c r="CS486" s="189"/>
      <c r="CT486" s="189"/>
      <c r="CU486" s="189"/>
      <c r="CV486" s="189"/>
      <c r="CW486" s="1969"/>
      <c r="CX486" s="189"/>
      <c r="CY486" s="189"/>
      <c r="CZ486" s="189"/>
      <c r="DA486" s="189"/>
      <c r="DB486" s="1969"/>
      <c r="DC486" s="189"/>
      <c r="DD486" s="4043"/>
      <c r="DE486" s="4035"/>
      <c r="DF486" s="4035"/>
      <c r="DG486" s="4044"/>
      <c r="DH486" s="4035"/>
      <c r="DI486" s="4035"/>
      <c r="DJ486" s="4035"/>
      <c r="DK486" s="4035"/>
      <c r="DL486" s="4044"/>
      <c r="DM486" s="4035"/>
      <c r="DN486" s="4035"/>
      <c r="DO486" s="4035"/>
      <c r="DP486" s="4035"/>
      <c r="DQ486" s="4044"/>
      <c r="DR486" s="4035"/>
      <c r="DS486" s="4035"/>
      <c r="DT486" s="4035"/>
      <c r="DU486" s="4035"/>
      <c r="DV486" s="4044"/>
      <c r="DW486" s="4035"/>
      <c r="DX486" s="4035"/>
      <c r="DY486" s="4035"/>
      <c r="DZ486" s="4035"/>
      <c r="EA486" s="4044"/>
      <c r="EB486" s="4035"/>
      <c r="EC486" s="4035"/>
      <c r="ED486" s="4035"/>
      <c r="EE486" s="4035"/>
      <c r="EF486" s="4044"/>
      <c r="EG486" s="4035"/>
      <c r="EH486" s="4035"/>
      <c r="EI486" s="4035"/>
      <c r="EJ486" s="4035"/>
      <c r="EK486" s="4044"/>
      <c r="EL486" s="4035"/>
      <c r="EM486" s="4035"/>
      <c r="EN486" s="4035"/>
      <c r="EO486" s="4035"/>
      <c r="EP486" s="4044"/>
      <c r="EQ486" s="4035"/>
      <c r="ER486" s="4035"/>
      <c r="ES486" s="4035"/>
      <c r="ET486" s="4035"/>
      <c r="EU486" s="4044"/>
      <c r="EV486" s="4044"/>
      <c r="EW486" s="4044"/>
      <c r="EX486" s="4044"/>
      <c r="EY486" s="4044"/>
      <c r="EZ486" s="167"/>
      <c r="FA486" s="738"/>
      <c r="FB486" s="738"/>
    </row>
    <row r="487" spans="1:158" s="216" customFormat="1" ht="11.25" hidden="1" customHeight="1">
      <c r="A487" s="1560" t="s">
        <v>427</v>
      </c>
      <c r="F487" s="1058"/>
      <c r="G487" s="1059"/>
      <c r="K487" s="1507"/>
      <c r="P487" s="1036"/>
      <c r="Q487" s="1060"/>
      <c r="R487" s="270"/>
      <c r="S487" s="270"/>
      <c r="T487" s="271"/>
      <c r="U487" s="1036"/>
      <c r="V487" s="1060"/>
      <c r="W487" s="270"/>
      <c r="X487" s="270"/>
      <c r="Y487" s="272"/>
      <c r="Z487" s="1036"/>
      <c r="AA487" s="1060"/>
      <c r="AB487" s="270"/>
      <c r="AC487" s="270"/>
      <c r="AD487" s="270"/>
      <c r="AE487" s="1036"/>
      <c r="AF487" s="1060"/>
      <c r="AG487" s="272"/>
      <c r="AH487" s="272"/>
      <c r="AI487" s="272"/>
      <c r="AJ487" s="1036"/>
      <c r="AK487" s="1061"/>
      <c r="AL487" s="272"/>
      <c r="AM487" s="272"/>
      <c r="AN487" s="272"/>
      <c r="AO487" s="1036"/>
      <c r="AP487" s="1061"/>
      <c r="AQ487" s="272"/>
      <c r="AR487" s="272"/>
      <c r="AS487" s="272"/>
      <c r="AT487" s="1036"/>
      <c r="AU487" s="1062"/>
      <c r="AV487" s="273"/>
      <c r="AW487" s="273"/>
      <c r="AX487" s="273"/>
      <c r="AY487" s="1036"/>
      <c r="AZ487" s="1062"/>
      <c r="BA487" s="273"/>
      <c r="BB487" s="273"/>
      <c r="BC487" s="273"/>
      <c r="BD487" s="1036"/>
      <c r="BE487" s="1063"/>
      <c r="BF487" s="274"/>
      <c r="BG487" s="274"/>
      <c r="BH487" s="274"/>
      <c r="BI487" s="1036"/>
      <c r="BJ487" s="1063"/>
      <c r="BK487" s="274"/>
      <c r="BL487" s="274"/>
      <c r="BM487" s="274"/>
      <c r="BN487" s="1036"/>
      <c r="BO487" s="272"/>
      <c r="BP487" s="272"/>
      <c r="BQ487" s="272"/>
      <c r="BR487" s="272"/>
      <c r="BS487" s="1946"/>
      <c r="BT487" s="274"/>
      <c r="BU487" s="274">
        <v>54604</v>
      </c>
      <c r="BV487" s="274">
        <v>53546</v>
      </c>
      <c r="BW487" s="274">
        <v>53861</v>
      </c>
      <c r="BX487" s="1036"/>
      <c r="BY487" s="272"/>
      <c r="BZ487" s="272"/>
      <c r="CA487" s="272"/>
      <c r="CB487" s="272"/>
      <c r="CC487" s="1946"/>
      <c r="CD487" s="274">
        <v>53891</v>
      </c>
      <c r="CE487" s="274">
        <v>44777</v>
      </c>
      <c r="CF487" s="274">
        <v>46421</v>
      </c>
      <c r="CG487" s="274">
        <v>47756</v>
      </c>
      <c r="CH487" s="1036">
        <f>+CG487</f>
        <v>47756</v>
      </c>
      <c r="CI487" s="274">
        <v>49829</v>
      </c>
      <c r="CJ487" s="274">
        <v>52069</v>
      </c>
      <c r="CK487" s="274">
        <v>55030</v>
      </c>
      <c r="CL487" s="274"/>
      <c r="CM487" s="1036"/>
      <c r="CN487" s="274"/>
      <c r="CO487" s="274"/>
      <c r="CP487" s="274"/>
      <c r="CQ487" s="272"/>
      <c r="CR487" s="1036"/>
      <c r="CS487" s="272"/>
      <c r="CT487" s="272"/>
      <c r="CU487" s="272"/>
      <c r="CV487" s="272"/>
      <c r="CW487" s="1036"/>
      <c r="CX487" s="272"/>
      <c r="CY487" s="272"/>
      <c r="CZ487" s="272"/>
      <c r="DA487" s="272"/>
      <c r="DB487" s="1036"/>
      <c r="DC487" s="272"/>
      <c r="DD487" s="4045"/>
      <c r="DE487" s="4036"/>
      <c r="DF487" s="4036"/>
      <c r="DG487" s="4046"/>
      <c r="DH487" s="4036"/>
      <c r="DI487" s="4036"/>
      <c r="DJ487" s="4036"/>
      <c r="DK487" s="4036"/>
      <c r="DL487" s="4046"/>
      <c r="DM487" s="4036"/>
      <c r="DN487" s="4036"/>
      <c r="DO487" s="4036"/>
      <c r="DP487" s="4036"/>
      <c r="DQ487" s="4046"/>
      <c r="DR487" s="4036"/>
      <c r="DS487" s="4036"/>
      <c r="DT487" s="4036"/>
      <c r="DU487" s="4036"/>
      <c r="DV487" s="4046"/>
      <c r="DW487" s="4036"/>
      <c r="DX487" s="4036"/>
      <c r="DY487" s="4036"/>
      <c r="DZ487" s="4036"/>
      <c r="EA487" s="4046"/>
      <c r="EB487" s="4036"/>
      <c r="EC487" s="4036"/>
      <c r="ED487" s="4036"/>
      <c r="EE487" s="4036"/>
      <c r="EF487" s="4046"/>
      <c r="EG487" s="4036"/>
      <c r="EH487" s="4036"/>
      <c r="EI487" s="4036"/>
      <c r="EJ487" s="4036"/>
      <c r="EK487" s="4046"/>
      <c r="EL487" s="4036"/>
      <c r="EM487" s="4036"/>
      <c r="EN487" s="4036"/>
      <c r="EO487" s="4036"/>
      <c r="EP487" s="4046"/>
      <c r="EQ487" s="4036"/>
      <c r="ER487" s="4036"/>
      <c r="ES487" s="4036"/>
      <c r="ET487" s="4036"/>
      <c r="EU487" s="4046"/>
      <c r="EV487" s="4046"/>
      <c r="EW487" s="4046"/>
      <c r="EX487" s="4046"/>
      <c r="EY487" s="4046"/>
      <c r="EZ487" s="275"/>
      <c r="FA487" s="714"/>
      <c r="FB487" s="714"/>
    </row>
    <row r="488" spans="1:158" s="216" customFormat="1" ht="11.25" hidden="1" customHeight="1">
      <c r="A488" s="1561" t="s">
        <v>45</v>
      </c>
      <c r="F488" s="1058"/>
      <c r="G488" s="1059"/>
      <c r="K488" s="1507"/>
      <c r="P488" s="1032" t="s">
        <v>116</v>
      </c>
      <c r="Q488" s="962"/>
      <c r="R488" s="169"/>
      <c r="S488" s="169"/>
      <c r="T488" s="184"/>
      <c r="U488" s="1032"/>
      <c r="V488" s="1057"/>
      <c r="W488" s="183"/>
      <c r="X488" s="183"/>
      <c r="Y488" s="183"/>
      <c r="Z488" s="1032"/>
      <c r="AA488" s="1057"/>
      <c r="AB488" s="183"/>
      <c r="AC488" s="183"/>
      <c r="AD488" s="183"/>
      <c r="AE488" s="1032"/>
      <c r="AF488" s="1057"/>
      <c r="AG488" s="183"/>
      <c r="AH488" s="183"/>
      <c r="AI488" s="183"/>
      <c r="AJ488" s="1032"/>
      <c r="AK488" s="1057"/>
      <c r="AL488" s="183"/>
      <c r="AM488" s="183"/>
      <c r="AN488" s="183"/>
      <c r="AO488" s="1032"/>
      <c r="AP488" s="1057"/>
      <c r="AQ488" s="183"/>
      <c r="AR488" s="183"/>
      <c r="AS488" s="183"/>
      <c r="AT488" s="1032"/>
      <c r="AU488" s="1057"/>
      <c r="AV488" s="183"/>
      <c r="AW488" s="183"/>
      <c r="AX488" s="183"/>
      <c r="AY488" s="1032"/>
      <c r="AZ488" s="1057"/>
      <c r="BA488" s="183"/>
      <c r="BB488" s="183"/>
      <c r="BC488" s="183"/>
      <c r="BD488" s="1032"/>
      <c r="BE488" s="1057"/>
      <c r="BF488" s="183"/>
      <c r="BG488" s="183"/>
      <c r="BH488" s="183"/>
      <c r="BI488" s="1032"/>
      <c r="BJ488" s="1057"/>
      <c r="BK488" s="183"/>
      <c r="BL488" s="183"/>
      <c r="BM488" s="183"/>
      <c r="BN488" s="1032"/>
      <c r="BO488" s="183"/>
      <c r="BP488" s="183"/>
      <c r="BQ488" s="183"/>
      <c r="BR488" s="183"/>
      <c r="BS488" s="1942"/>
      <c r="BT488" s="183"/>
      <c r="BU488" s="183"/>
      <c r="BV488" s="183"/>
      <c r="BW488" s="183"/>
      <c r="BX488" s="1032"/>
      <c r="BY488" s="183"/>
      <c r="BZ488" s="183"/>
      <c r="CA488" s="183"/>
      <c r="CB488" s="183"/>
      <c r="CC488" s="1942"/>
      <c r="CD488" s="183"/>
      <c r="CE488" s="183">
        <f>+CE487/BU317-1</f>
        <v>0.30503337122205698</v>
      </c>
      <c r="CF488" s="183">
        <f>+CF487/BV317-1</f>
        <v>0.28525942743230526</v>
      </c>
      <c r="CG488" s="183">
        <f>+CG487/BW317-1</f>
        <v>0.27200085233326221</v>
      </c>
      <c r="CH488" s="1032">
        <f>+CH487/BX317-1</f>
        <v>0.27200085233326221</v>
      </c>
      <c r="CI488" s="183">
        <f>+CI487/CD317-1</f>
        <v>0.28627481349544381</v>
      </c>
      <c r="CJ488" s="183">
        <f>+CJ487/CE317-1</f>
        <v>0.29595798695803666</v>
      </c>
      <c r="CK488" s="183">
        <f>+CK487/CF317-1</f>
        <v>0.30520373796309475</v>
      </c>
      <c r="CL488" s="183"/>
      <c r="CM488" s="1032"/>
      <c r="CN488" s="183"/>
      <c r="CO488" s="183"/>
      <c r="CP488" s="183"/>
      <c r="CQ488" s="183"/>
      <c r="CR488" s="1032"/>
      <c r="CS488" s="183"/>
      <c r="CT488" s="183"/>
      <c r="CU488" s="183"/>
      <c r="CV488" s="183"/>
      <c r="CW488" s="1032"/>
      <c r="CX488" s="183"/>
      <c r="CY488" s="183"/>
      <c r="CZ488" s="183"/>
      <c r="DA488" s="183"/>
      <c r="DB488" s="1032"/>
      <c r="DC488" s="2613"/>
      <c r="DD488" s="4047"/>
      <c r="DE488" s="2672"/>
      <c r="DF488" s="2672"/>
      <c r="DG488" s="4048"/>
      <c r="DH488" s="2672"/>
      <c r="DI488" s="2672"/>
      <c r="DJ488" s="2672"/>
      <c r="DK488" s="2672"/>
      <c r="DL488" s="4048"/>
      <c r="DM488" s="2672"/>
      <c r="DN488" s="2672"/>
      <c r="DO488" s="2672"/>
      <c r="DP488" s="2672"/>
      <c r="DQ488" s="4048"/>
      <c r="DR488" s="2672"/>
      <c r="DS488" s="2672"/>
      <c r="DT488" s="2672"/>
      <c r="DU488" s="2672"/>
      <c r="DV488" s="4048"/>
      <c r="DW488" s="2672"/>
      <c r="DX488" s="2672"/>
      <c r="DY488" s="2672"/>
      <c r="DZ488" s="2672"/>
      <c r="EA488" s="4048"/>
      <c r="EB488" s="2672"/>
      <c r="EC488" s="2672"/>
      <c r="ED488" s="2672"/>
      <c r="EE488" s="2672"/>
      <c r="EF488" s="4048"/>
      <c r="EG488" s="2672"/>
      <c r="EH488" s="2672"/>
      <c r="EI488" s="2672"/>
      <c r="EJ488" s="2672"/>
      <c r="EK488" s="4048"/>
      <c r="EL488" s="2672"/>
      <c r="EM488" s="2672"/>
      <c r="EN488" s="2672"/>
      <c r="EO488" s="2672"/>
      <c r="EP488" s="4048"/>
      <c r="EQ488" s="2672"/>
      <c r="ER488" s="2672"/>
      <c r="ES488" s="2672"/>
      <c r="ET488" s="2672"/>
      <c r="EU488" s="4048"/>
      <c r="EV488" s="4048"/>
      <c r="EW488" s="4048"/>
      <c r="EX488" s="4048"/>
      <c r="EY488" s="4048"/>
      <c r="EZ488" s="275"/>
      <c r="FA488" s="715"/>
      <c r="FB488" s="715"/>
    </row>
    <row r="489" spans="1:158" s="216" customFormat="1" ht="11.25" hidden="1" customHeight="1">
      <c r="A489" s="1561" t="s">
        <v>46</v>
      </c>
      <c r="F489" s="1058"/>
      <c r="G489" s="1059"/>
      <c r="K489" s="1507"/>
      <c r="P489" s="1039"/>
      <c r="Q489" s="962"/>
      <c r="R489" s="183"/>
      <c r="S489" s="183"/>
      <c r="T489" s="183"/>
      <c r="U489" s="1039"/>
      <c r="V489" s="1057"/>
      <c r="W489" s="183"/>
      <c r="X489" s="183"/>
      <c r="Y489" s="183"/>
      <c r="Z489" s="1039"/>
      <c r="AA489" s="1057"/>
      <c r="AB489" s="183"/>
      <c r="AC489" s="183"/>
      <c r="AD489" s="183"/>
      <c r="AE489" s="1039"/>
      <c r="AF489" s="1057"/>
      <c r="AG489" s="183"/>
      <c r="AH489" s="183"/>
      <c r="AI489" s="183"/>
      <c r="AJ489" s="1039"/>
      <c r="AK489" s="1057"/>
      <c r="AL489" s="183"/>
      <c r="AM489" s="183"/>
      <c r="AN489" s="183"/>
      <c r="AO489" s="1039"/>
      <c r="AP489" s="1057"/>
      <c r="AQ489" s="183"/>
      <c r="AR489" s="183"/>
      <c r="AS489" s="183"/>
      <c r="AT489" s="1039"/>
      <c r="AU489" s="1057"/>
      <c r="AV489" s="183"/>
      <c r="AW489" s="183"/>
      <c r="AX489" s="183"/>
      <c r="AY489" s="1039"/>
      <c r="AZ489" s="1057"/>
      <c r="BA489" s="183"/>
      <c r="BB489" s="183"/>
      <c r="BC489" s="183"/>
      <c r="BD489" s="1039"/>
      <c r="BE489" s="1057"/>
      <c r="BF489" s="183"/>
      <c r="BG489" s="183"/>
      <c r="BH489" s="183"/>
      <c r="BI489" s="1039"/>
      <c r="BJ489" s="1057"/>
      <c r="BK489" s="183"/>
      <c r="BL489" s="183"/>
      <c r="BM489" s="183"/>
      <c r="BN489" s="1039"/>
      <c r="BO489" s="77"/>
      <c r="BP489" s="77"/>
      <c r="BQ489" s="77"/>
      <c r="BR489" s="77"/>
      <c r="BS489" s="1948"/>
      <c r="BT489" s="183"/>
      <c r="BU489" s="183"/>
      <c r="BV489" s="183">
        <f>+BV487/BU487-1</f>
        <v>-1.9375869899641018E-2</v>
      </c>
      <c r="BW489" s="183">
        <f>+BW487/BV487-1</f>
        <v>5.8827923654427572E-3</v>
      </c>
      <c r="BX489" s="1039"/>
      <c r="BY489" s="77"/>
      <c r="BZ489" s="77"/>
      <c r="CA489" s="77"/>
      <c r="CB489" s="77"/>
      <c r="CC489" s="1948"/>
      <c r="CD489" s="183">
        <f>+CD487/BW487-1</f>
        <v>5.5698928723946217E-4</v>
      </c>
      <c r="CE489" s="183">
        <f>+CE487/CD487-1</f>
        <v>-0.16911914790966953</v>
      </c>
      <c r="CF489" s="183">
        <f>+CF487/CE487-1</f>
        <v>3.6715277932867219E-2</v>
      </c>
      <c r="CG489" s="183">
        <f>+CG487/CF487-1</f>
        <v>2.8758536007410518E-2</v>
      </c>
      <c r="CH489" s="1039"/>
      <c r="CI489" s="183">
        <f>+CI487/CH487-1</f>
        <v>4.340815813719745E-2</v>
      </c>
      <c r="CJ489" s="183">
        <f>+CJ487/CI487-1</f>
        <v>4.4953741796945446E-2</v>
      </c>
      <c r="CK489" s="183">
        <f>+CK487/CJ487-1</f>
        <v>5.6866849757053251E-2</v>
      </c>
      <c r="CL489" s="183"/>
      <c r="CM489" s="1039"/>
      <c r="CN489" s="183"/>
      <c r="CO489" s="183"/>
      <c r="CP489" s="183"/>
      <c r="CQ489" s="183"/>
      <c r="CR489" s="1039"/>
      <c r="CS489" s="77"/>
      <c r="CT489" s="77"/>
      <c r="CU489" s="77"/>
      <c r="CV489" s="77"/>
      <c r="CW489" s="1039"/>
      <c r="CX489" s="77"/>
      <c r="CY489" s="77"/>
      <c r="CZ489" s="77"/>
      <c r="DA489" s="77"/>
      <c r="DB489" s="1039"/>
      <c r="DC489" s="77"/>
      <c r="DD489" s="4049"/>
      <c r="DE489" s="3893"/>
      <c r="DF489" s="3893"/>
      <c r="DG489" s="4050"/>
      <c r="DH489" s="3893"/>
      <c r="DI489" s="3893"/>
      <c r="DJ489" s="3893"/>
      <c r="DK489" s="3893"/>
      <c r="DL489" s="4050"/>
      <c r="DM489" s="3893"/>
      <c r="DN489" s="3893"/>
      <c r="DO489" s="3893"/>
      <c r="DP489" s="3893"/>
      <c r="DQ489" s="4050"/>
      <c r="DR489" s="3893"/>
      <c r="DS489" s="3893"/>
      <c r="DT489" s="3893"/>
      <c r="DU489" s="3893"/>
      <c r="DV489" s="4050"/>
      <c r="DW489" s="3893"/>
      <c r="DX489" s="3893"/>
      <c r="DY489" s="3893"/>
      <c r="DZ489" s="3893"/>
      <c r="EA489" s="4050"/>
      <c r="EB489" s="3893"/>
      <c r="EC489" s="3893"/>
      <c r="ED489" s="3893"/>
      <c r="EE489" s="3893"/>
      <c r="EF489" s="4050"/>
      <c r="EG489" s="3893"/>
      <c r="EH489" s="3893"/>
      <c r="EI489" s="3893"/>
      <c r="EJ489" s="3893"/>
      <c r="EK489" s="4050"/>
      <c r="EL489" s="3893"/>
      <c r="EM489" s="3893"/>
      <c r="EN489" s="3893"/>
      <c r="EO489" s="3893"/>
      <c r="EP489" s="4050"/>
      <c r="EQ489" s="3893"/>
      <c r="ER489" s="3893"/>
      <c r="ES489" s="3893"/>
      <c r="ET489" s="3893"/>
      <c r="EU489" s="4050"/>
      <c r="EV489" s="4050"/>
      <c r="EW489" s="4050"/>
      <c r="EX489" s="4050"/>
      <c r="EY489" s="4050"/>
      <c r="EZ489" s="275"/>
      <c r="FA489" s="715"/>
      <c r="FB489" s="715"/>
    </row>
    <row r="490" spans="1:158" ht="11.25" hidden="1" customHeight="1"/>
    <row r="491" spans="1:158" s="168" customFormat="1" ht="11.25" hidden="1" customHeight="1">
      <c r="A491" s="3070" t="s">
        <v>876</v>
      </c>
      <c r="B491" s="3012"/>
      <c r="C491" s="3013"/>
      <c r="D491" s="3013"/>
      <c r="E491" s="3013"/>
      <c r="F491" s="3071"/>
      <c r="G491" s="3012"/>
      <c r="H491" s="3013"/>
      <c r="I491" s="3013"/>
      <c r="J491" s="3013"/>
      <c r="K491" s="3047"/>
      <c r="L491" s="3013"/>
      <c r="M491" s="3013"/>
      <c r="N491" s="3013"/>
      <c r="O491" s="3045"/>
      <c r="P491" s="4187">
        <f t="shared" ref="P491:AU491" si="1316">P69-P36</f>
        <v>19.494</v>
      </c>
      <c r="Q491" s="4188">
        <f t="shared" si="1316"/>
        <v>5.0741999999999976</v>
      </c>
      <c r="R491" s="4034">
        <f t="shared" si="1316"/>
        <v>7.0672500000000014</v>
      </c>
      <c r="S491" s="4034">
        <f t="shared" si="1316"/>
        <v>7.847219999999993</v>
      </c>
      <c r="T491" s="4189">
        <f t="shared" si="1316"/>
        <v>8.6043300000000613</v>
      </c>
      <c r="U491" s="4190">
        <f t="shared" si="1316"/>
        <v>28.593000000000018</v>
      </c>
      <c r="V491" s="4188">
        <f t="shared" si="1316"/>
        <v>9.5</v>
      </c>
      <c r="W491" s="4034">
        <f t="shared" si="1316"/>
        <v>10.51400000000001</v>
      </c>
      <c r="X491" s="4034">
        <f t="shared" si="1316"/>
        <v>12.259000000000015</v>
      </c>
      <c r="Y491" s="4189">
        <f t="shared" si="1316"/>
        <v>12.99899999999991</v>
      </c>
      <c r="Z491" s="4190">
        <f t="shared" si="1316"/>
        <v>45.270999999999958</v>
      </c>
      <c r="AA491" s="4188">
        <f t="shared" si="1316"/>
        <v>14.339000000000055</v>
      </c>
      <c r="AB491" s="4034">
        <f t="shared" si="1316"/>
        <v>10.543999999999983</v>
      </c>
      <c r="AC491" s="4034">
        <f t="shared" si="1316"/>
        <v>9.8869999999999436</v>
      </c>
      <c r="AD491" s="4189">
        <f t="shared" si="1316"/>
        <v>11.121000000000095</v>
      </c>
      <c r="AE491" s="4190">
        <f t="shared" si="1316"/>
        <v>45.891000000000076</v>
      </c>
      <c r="AF491" s="4188">
        <f t="shared" si="1316"/>
        <v>15.404600000000073</v>
      </c>
      <c r="AG491" s="4034">
        <f t="shared" si="1316"/>
        <v>17.080999999999904</v>
      </c>
      <c r="AH491" s="4034">
        <f t="shared" si="1316"/>
        <v>18.7650000000001</v>
      </c>
      <c r="AI491" s="4189">
        <f t="shared" si="1316"/>
        <v>22.307000000000016</v>
      </c>
      <c r="AJ491" s="4190">
        <f t="shared" si="1316"/>
        <v>73.557600000000093</v>
      </c>
      <c r="AK491" s="4188">
        <f t="shared" si="1316"/>
        <v>28.061999999999898</v>
      </c>
      <c r="AL491" s="4034">
        <f t="shared" si="1316"/>
        <v>26.963000000000193</v>
      </c>
      <c r="AM491" s="4034">
        <f t="shared" si="1316"/>
        <v>26.673999999999978</v>
      </c>
      <c r="AN491" s="4189">
        <f t="shared" si="1316"/>
        <v>30.588999999999942</v>
      </c>
      <c r="AO491" s="4190">
        <f t="shared" si="1316"/>
        <v>112.28800000000047</v>
      </c>
      <c r="AP491" s="4188">
        <f t="shared" si="1316"/>
        <v>36.521000000000186</v>
      </c>
      <c r="AQ491" s="4034">
        <f t="shared" si="1316"/>
        <v>33.643999999999778</v>
      </c>
      <c r="AR491" s="4034">
        <f t="shared" si="1316"/>
        <v>41.873999999999796</v>
      </c>
      <c r="AS491" s="4189">
        <f t="shared" si="1316"/>
        <v>69.304000000000087</v>
      </c>
      <c r="AT491" s="4190">
        <f t="shared" si="1316"/>
        <v>181.34300000000076</v>
      </c>
      <c r="AU491" s="4188">
        <f t="shared" si="1316"/>
        <v>99.497000000000298</v>
      </c>
      <c r="AV491" s="4034">
        <f t="shared" ref="AV491:CA491" si="1317">AV69-AV36</f>
        <v>181.78700000000026</v>
      </c>
      <c r="AW491" s="4034">
        <f t="shared" si="1317"/>
        <v>189.41899999999987</v>
      </c>
      <c r="AX491" s="4189">
        <f t="shared" si="1317"/>
        <v>196.33299999999963</v>
      </c>
      <c r="AY491" s="4190">
        <f t="shared" si="1317"/>
        <v>667.03600000000006</v>
      </c>
      <c r="AZ491" s="4188">
        <f t="shared" si="1317"/>
        <v>178.125</v>
      </c>
      <c r="BA491" s="4034">
        <f t="shared" si="1317"/>
        <v>186.76900000000023</v>
      </c>
      <c r="BB491" s="4034">
        <f t="shared" si="1317"/>
        <v>188.22999999999956</v>
      </c>
      <c r="BC491" s="4189">
        <f t="shared" si="1317"/>
        <v>208.63500000000022</v>
      </c>
      <c r="BD491" s="4190">
        <f t="shared" si="1317"/>
        <v>761.75900000000183</v>
      </c>
      <c r="BE491" s="4188">
        <f t="shared" si="1317"/>
        <v>300</v>
      </c>
      <c r="BF491" s="4034">
        <f t="shared" si="1317"/>
        <v>258</v>
      </c>
      <c r="BG491" s="4034">
        <f t="shared" si="1317"/>
        <v>254</v>
      </c>
      <c r="BH491" s="4189">
        <f t="shared" si="1317"/>
        <v>273</v>
      </c>
      <c r="BI491" s="4190">
        <f t="shared" si="1317"/>
        <v>1085</v>
      </c>
      <c r="BJ491" s="4188">
        <f t="shared" si="1317"/>
        <v>269</v>
      </c>
      <c r="BK491" s="4034">
        <f t="shared" si="1317"/>
        <v>310</v>
      </c>
      <c r="BL491" s="4034">
        <f t="shared" si="1317"/>
        <v>385</v>
      </c>
      <c r="BM491" s="4034">
        <f t="shared" si="1317"/>
        <v>410</v>
      </c>
      <c r="BN491" s="4190">
        <f t="shared" si="1317"/>
        <v>1374</v>
      </c>
      <c r="BO491" s="4034">
        <f t="shared" si="1317"/>
        <v>0</v>
      </c>
      <c r="BP491" s="4034">
        <f t="shared" si="1317"/>
        <v>0</v>
      </c>
      <c r="BQ491" s="4034">
        <f t="shared" si="1317"/>
        <v>0</v>
      </c>
      <c r="BR491" s="4034">
        <f t="shared" si="1317"/>
        <v>0</v>
      </c>
      <c r="BS491" s="4190">
        <f t="shared" si="1317"/>
        <v>0</v>
      </c>
      <c r="BT491" s="4034">
        <f t="shared" si="1317"/>
        <v>420</v>
      </c>
      <c r="BU491" s="4034">
        <f t="shared" si="1317"/>
        <v>439</v>
      </c>
      <c r="BV491" s="4034">
        <f t="shared" si="1317"/>
        <v>666</v>
      </c>
      <c r="BW491" s="4034">
        <f t="shared" si="1317"/>
        <v>829</v>
      </c>
      <c r="BX491" s="4190">
        <f t="shared" si="1317"/>
        <v>2354</v>
      </c>
      <c r="BY491" s="4034">
        <f t="shared" si="1317"/>
        <v>0</v>
      </c>
      <c r="BZ491" s="4034">
        <f t="shared" si="1317"/>
        <v>0</v>
      </c>
      <c r="CA491" s="4034">
        <f t="shared" si="1317"/>
        <v>0</v>
      </c>
      <c r="CB491" s="4034">
        <f t="shared" ref="CB491:CM491" si="1318">CB69-CB36</f>
        <v>0</v>
      </c>
      <c r="CC491" s="4190">
        <f t="shared" si="1318"/>
        <v>0</v>
      </c>
      <c r="CD491" s="4191">
        <f t="shared" si="1318"/>
        <v>920</v>
      </c>
      <c r="CE491" s="4034">
        <f t="shared" si="1318"/>
        <v>925</v>
      </c>
      <c r="CF491" s="4034">
        <f t="shared" si="1318"/>
        <v>1101</v>
      </c>
      <c r="CG491" s="4034">
        <f t="shared" si="1318"/>
        <v>1501</v>
      </c>
      <c r="CH491" s="4190">
        <f t="shared" si="1318"/>
        <v>4447</v>
      </c>
      <c r="CI491" s="4192">
        <f t="shared" si="1318"/>
        <v>1423</v>
      </c>
      <c r="CJ491" s="4034">
        <f t="shared" si="1318"/>
        <v>1457</v>
      </c>
      <c r="CK491" s="4034">
        <f t="shared" si="1318"/>
        <v>1703</v>
      </c>
      <c r="CL491" s="4034">
        <f t="shared" si="1318"/>
        <v>1794</v>
      </c>
      <c r="CM491" s="4190">
        <f t="shared" si="1318"/>
        <v>6377</v>
      </c>
      <c r="CN491" s="3013">
        <f>CN503</f>
        <v>1670</v>
      </c>
      <c r="CO491" s="3013">
        <f>CO503</f>
        <v>1630</v>
      </c>
      <c r="CP491" s="3013">
        <f>CP503</f>
        <v>1753</v>
      </c>
      <c r="CQ491" s="3013">
        <f>CQ503</f>
        <v>2101</v>
      </c>
      <c r="CR491" s="3062">
        <f>SUM(CN491:CQ491)</f>
        <v>7154</v>
      </c>
      <c r="CS491" s="3013">
        <f>CS503</f>
        <v>2072</v>
      </c>
      <c r="CT491" s="3013">
        <f>CT503</f>
        <v>2172</v>
      </c>
      <c r="CU491" s="3013">
        <f>CU503</f>
        <v>2433</v>
      </c>
      <c r="CV491" s="3013">
        <f>CV503</f>
        <v>3403</v>
      </c>
      <c r="CW491" s="3062">
        <f>SUM(CS491:CV491)</f>
        <v>10080</v>
      </c>
      <c r="CX491" s="3013">
        <f>CX503</f>
        <v>3207</v>
      </c>
      <c r="CY491" s="3013">
        <f>CY503</f>
        <v>3241</v>
      </c>
      <c r="CZ491" s="3013">
        <f>CZ503</f>
        <v>3590</v>
      </c>
      <c r="DA491" s="3013">
        <f>DA503</f>
        <v>4965</v>
      </c>
      <c r="DB491" s="3062">
        <f>SUM(DB57,DB43)</f>
        <v>14970</v>
      </c>
      <c r="DC491" s="3013">
        <f>DC503</f>
        <v>4354</v>
      </c>
      <c r="DD491" s="3013">
        <f>DD503</f>
        <v>4425</v>
      </c>
      <c r="DE491" s="3013">
        <f>DE503</f>
        <v>4640</v>
      </c>
      <c r="DF491" s="3013">
        <f t="shared" ref="DF491:DK491" si="1319">SUM(DF57,DF43)</f>
        <v>6480</v>
      </c>
      <c r="DG491" s="3062">
        <f t="shared" si="1319"/>
        <v>19901</v>
      </c>
      <c r="DH491" s="3013">
        <f t="shared" si="1319"/>
        <v>5445</v>
      </c>
      <c r="DI491" s="3013">
        <f t="shared" si="1319"/>
        <v>6180</v>
      </c>
      <c r="DJ491" s="3013">
        <f t="shared" si="1319"/>
        <v>6429</v>
      </c>
      <c r="DK491" s="3013">
        <f t="shared" si="1319"/>
        <v>7878</v>
      </c>
      <c r="DL491" s="3062">
        <f>SUM(DH491:DK491)</f>
        <v>25932</v>
      </c>
      <c r="DM491" s="3013">
        <f>SUM(DM57,DM43)</f>
        <v>7212</v>
      </c>
      <c r="DN491" s="3013">
        <f>SUM(DN57,DN43)</f>
        <v>8131</v>
      </c>
      <c r="DO491" s="3013">
        <f>SUM(DO57,DO43)</f>
        <v>8922</v>
      </c>
      <c r="DP491" s="3013">
        <f>SUM(DP57,DP43)</f>
        <v>10505</v>
      </c>
      <c r="DQ491" s="3062">
        <f>SUM(DM491:DP491)</f>
        <v>34770</v>
      </c>
      <c r="DR491" s="3013">
        <f>SUM(DR57,DR43)</f>
        <v>10541</v>
      </c>
      <c r="DS491" s="3013">
        <f>SUM(DS57,DS43)</f>
        <v>11251</v>
      </c>
      <c r="DT491" s="3013">
        <f>SUM(DT57,DT43)</f>
        <v>11744</v>
      </c>
      <c r="DU491" s="3013">
        <f>SUM(DU57,DU43)</f>
        <v>13702</v>
      </c>
      <c r="DV491" s="3062">
        <f>SUM(DR491:DU491)</f>
        <v>47238</v>
      </c>
      <c r="DW491" s="3013"/>
      <c r="DX491" s="3013"/>
      <c r="DY491" s="3013"/>
      <c r="DZ491" s="3013"/>
      <c r="EA491" s="3062">
        <f>SUM(EA57,EA43)</f>
        <v>55335</v>
      </c>
      <c r="EB491" s="3013"/>
      <c r="EC491" s="3013"/>
      <c r="ED491" s="3013"/>
      <c r="EE491" s="3013"/>
      <c r="EF491" s="3062">
        <f>SUM(EF57,EF43)</f>
        <v>67776</v>
      </c>
      <c r="EG491" s="3013"/>
      <c r="EH491" s="3013"/>
      <c r="EI491" s="3013"/>
      <c r="EJ491" s="3013"/>
      <c r="EK491" s="3062">
        <f>SUM(EK57,EK43)</f>
        <v>83569</v>
      </c>
      <c r="EL491" s="3013"/>
      <c r="EM491" s="3013"/>
      <c r="EN491" s="3013"/>
      <c r="EO491" s="3013"/>
      <c r="EP491" s="3062">
        <f>SUM(EP57,EP43)</f>
        <v>105980.59736889234</v>
      </c>
      <c r="EQ491" s="3013"/>
      <c r="ER491" s="3013"/>
      <c r="ES491" s="3013"/>
      <c r="ET491" s="3013"/>
      <c r="EU491" s="3062">
        <f>SUM(EU57,EU43)</f>
        <v>139018.79478763958</v>
      </c>
      <c r="EV491" s="3062">
        <f>SUM(EV57,EV43)</f>
        <v>170599.35369154371</v>
      </c>
      <c r="EW491" s="3062">
        <f>SUM(EW57,EW43)</f>
        <v>203799.11788420106</v>
      </c>
      <c r="EX491" s="3062">
        <f>SUM(EX57,EX43)</f>
        <v>236935.88158199022</v>
      </c>
      <c r="EY491" s="3062">
        <f>SUM(EY57,EY43)</f>
        <v>271652.89296531759</v>
      </c>
      <c r="EZ491" s="167"/>
      <c r="FA491" s="1319">
        <f>(EP491/DO491)^(1/3)-1</f>
        <v>1.2816798902903752</v>
      </c>
      <c r="FB491" s="1319">
        <f>(EV491/DO491)^(1/5)-1</f>
        <v>0.80427625024211613</v>
      </c>
    </row>
    <row r="492" spans="1:158" s="183" customFormat="1" ht="11.25" hidden="1" customHeight="1">
      <c r="A492" s="1641" t="s">
        <v>45</v>
      </c>
      <c r="B492" s="1224"/>
      <c r="C492" s="181"/>
      <c r="D492" s="181"/>
      <c r="E492" s="182"/>
      <c r="F492" s="1225"/>
      <c r="G492" s="1224"/>
      <c r="H492" s="181"/>
      <c r="I492" s="181"/>
      <c r="J492" s="181"/>
      <c r="K492" s="991"/>
      <c r="L492" s="181"/>
      <c r="M492" s="181"/>
      <c r="N492" s="181"/>
      <c r="O492" s="181"/>
      <c r="P492" s="992"/>
      <c r="Q492" s="2612" t="e">
        <f>+Q491/L491-1</f>
        <v>#DIV/0!</v>
      </c>
      <c r="R492" s="2612" t="e">
        <f>+R491/M491-1</f>
        <v>#DIV/0!</v>
      </c>
      <c r="S492" s="2612" t="e">
        <f>+S491/N491-1</f>
        <v>#DIV/0!</v>
      </c>
      <c r="T492" s="2612" t="e">
        <f>+T491/O491-1</f>
        <v>#DIV/0!</v>
      </c>
      <c r="U492" s="2588">
        <f>U491/P491-1</f>
        <v>0.46675900277008409</v>
      </c>
      <c r="V492" s="2612">
        <f>+V491/Q491-1</f>
        <v>0.87221630996019162</v>
      </c>
      <c r="W492" s="2612">
        <f>+W491/R491-1</f>
        <v>0.48770738264530156</v>
      </c>
      <c r="X492" s="2612">
        <f>+X491/S491-1</f>
        <v>0.56220929195307701</v>
      </c>
      <c r="Y492" s="2612">
        <f>+Y491/T491-1</f>
        <v>0.51075098235421201</v>
      </c>
      <c r="Z492" s="2588">
        <f>Z491/U491-1</f>
        <v>0.58328961633966103</v>
      </c>
      <c r="AA492" s="2612">
        <f>+AA491/V491-1</f>
        <v>0.50936842105263747</v>
      </c>
      <c r="AB492" s="2612">
        <f>+AB491/W491-1</f>
        <v>2.8533384059323819E-3</v>
      </c>
      <c r="AC492" s="2612">
        <f>+AC491/X491-1</f>
        <v>-0.19349049677788299</v>
      </c>
      <c r="AD492" s="2612">
        <f>+AD491/Y491-1</f>
        <v>-0.14447265174242852</v>
      </c>
      <c r="AE492" s="2588">
        <f>AE491/Z491-1</f>
        <v>1.3695301627976386E-2</v>
      </c>
      <c r="AF492" s="2612">
        <f>+AF491/AA491-1</f>
        <v>7.4314805774462256E-2</v>
      </c>
      <c r="AG492" s="2612">
        <f>+AG491/AB491-1</f>
        <v>0.6199734446130436</v>
      </c>
      <c r="AH492" s="2612">
        <f>+AH491/AC491-1</f>
        <v>0.89794679882676309</v>
      </c>
      <c r="AI492" s="2612">
        <f>+AI491/AD491-1</f>
        <v>1.0058447981296492</v>
      </c>
      <c r="AJ492" s="2588">
        <f>AJ491/AE491-1</f>
        <v>0.60287638098973595</v>
      </c>
      <c r="AK492" s="2612">
        <f>+AK491/AF491-1</f>
        <v>0.8216636589070645</v>
      </c>
      <c r="AL492" s="2612">
        <f>+AL491/AG491-1</f>
        <v>0.57853755634918014</v>
      </c>
      <c r="AM492" s="2612">
        <f>+AM491/AH491-1</f>
        <v>0.42147615241139547</v>
      </c>
      <c r="AN492" s="2612">
        <f>+AN491/AI491-1</f>
        <v>0.37127359124938009</v>
      </c>
      <c r="AO492" s="2588">
        <f>AO491/AJ491-1</f>
        <v>0.52653158885010276</v>
      </c>
      <c r="AP492" s="2612">
        <f>+AP491/AK491-1</f>
        <v>0.30143966930369603</v>
      </c>
      <c r="AQ492" s="2612">
        <f>+AQ491/AL491-1</f>
        <v>0.24778400029668579</v>
      </c>
      <c r="AR492" s="2612">
        <f>+AR491/AM491-1</f>
        <v>0.56984329309439263</v>
      </c>
      <c r="AS492" s="2612">
        <f>+AS491/AN491-1</f>
        <v>1.2656510510314236</v>
      </c>
      <c r="AT492" s="2588">
        <f>AT491/AO491-1</f>
        <v>0.61498111997720151</v>
      </c>
      <c r="AU492" s="2612">
        <f>+AU491/AP491-1</f>
        <v>1.7243777552640891</v>
      </c>
      <c r="AV492" s="2612">
        <f>+AV491/AQ491-1</f>
        <v>4.4032516942100068</v>
      </c>
      <c r="AW492" s="2612">
        <f>+AW491/AR491-1</f>
        <v>3.5235468309691163</v>
      </c>
      <c r="AX492" s="2612">
        <f>+AX491/AS491-1</f>
        <v>1.832924506521981</v>
      </c>
      <c r="AY492" s="2588">
        <f>AY491/AT491-1</f>
        <v>2.6783112664949695</v>
      </c>
      <c r="AZ492" s="2612">
        <f>+AZ491/AU491-1</f>
        <v>0.79025498256228288</v>
      </c>
      <c r="BA492" s="2612">
        <f>+BA491/AV491-1</f>
        <v>2.7405700077563155E-2</v>
      </c>
      <c r="BB492" s="2612">
        <f>+BB491/AW491-1</f>
        <v>-6.2770894155301793E-3</v>
      </c>
      <c r="BC492" s="2612">
        <f>+BC491/AX491-1</f>
        <v>6.2658850015028689E-2</v>
      </c>
      <c r="BD492" s="2588">
        <f>BD491/AY491-1</f>
        <v>0.14200582877086365</v>
      </c>
      <c r="BE492" s="2612">
        <f>+BE491/AZ491-1</f>
        <v>0.68421052631578938</v>
      </c>
      <c r="BF492" s="2612">
        <f>+BF491/BA491-1</f>
        <v>0.38138556184377315</v>
      </c>
      <c r="BG492" s="2612">
        <f>+BG491/BB491-1</f>
        <v>0.34941295223928481</v>
      </c>
      <c r="BH492" s="2612">
        <f>+BH491/BC491-1</f>
        <v>0.3085052843482623</v>
      </c>
      <c r="BI492" s="2588">
        <f>BI491/BD491-1</f>
        <v>0.42433499308836176</v>
      </c>
      <c r="BJ492" s="2612">
        <f>+BJ491/BE491-1</f>
        <v>-0.10333333333333339</v>
      </c>
      <c r="BK492" s="2612">
        <f>+BK491/BF491-1</f>
        <v>0.20155038759689914</v>
      </c>
      <c r="BL492" s="2612">
        <f>+BL491/BG491-1</f>
        <v>0.51574803149606296</v>
      </c>
      <c r="BM492" s="2612">
        <f>+BM491/BH491-1</f>
        <v>0.50183150183150182</v>
      </c>
      <c r="BN492" s="2588">
        <f>BN491/BI491-1</f>
        <v>0.26635944700460823</v>
      </c>
      <c r="BO492" s="169"/>
      <c r="BP492" s="169"/>
      <c r="BQ492" s="169"/>
      <c r="BR492" s="169"/>
      <c r="BS492" s="600"/>
      <c r="BT492" s="2612">
        <f>+BT491/BJ491-1</f>
        <v>0.5613382899628252</v>
      </c>
      <c r="BU492" s="2612">
        <f>+BU491/BK491-1</f>
        <v>0.41612903225806441</v>
      </c>
      <c r="BV492" s="2612">
        <f>+BV491/BL491-1</f>
        <v>0.72987012987012978</v>
      </c>
      <c r="BW492" s="2612">
        <f>+BW491/BM491-1</f>
        <v>1.0219512195121951</v>
      </c>
      <c r="BX492" s="2588">
        <f>+BX491/BN491-1</f>
        <v>0.71324599708879188</v>
      </c>
      <c r="BY492" s="169"/>
      <c r="BZ492" s="169"/>
      <c r="CA492" s="169"/>
      <c r="CB492" s="169"/>
      <c r="CC492" s="600"/>
      <c r="CD492" s="2612">
        <f>+CD491/BT491-1</f>
        <v>1.1904761904761907</v>
      </c>
      <c r="CE492" s="2612">
        <f>+CE491/BU491-1</f>
        <v>1.1070615034168565</v>
      </c>
      <c r="CF492" s="2612">
        <f>+CF491/BV491-1</f>
        <v>0.65315315315315314</v>
      </c>
      <c r="CG492" s="2612">
        <f>+CG491/BW491-1</f>
        <v>0.81061519903498191</v>
      </c>
      <c r="CH492" s="2588">
        <f>+CH491/BX491-1</f>
        <v>0.88912489379779092</v>
      </c>
      <c r="CI492" s="2612">
        <f>+CI491/CD491-1</f>
        <v>0.54673913043478262</v>
      </c>
      <c r="CJ492" s="2612">
        <f>+CJ491/CE491-1</f>
        <v>0.57513513513513503</v>
      </c>
      <c r="CK492" s="2612">
        <f>+CK491/CF491-1</f>
        <v>0.54677565849227983</v>
      </c>
      <c r="CL492" s="2612">
        <f>+CL491/CG491-1</f>
        <v>0.19520319786808793</v>
      </c>
      <c r="CM492" s="2588">
        <f>CM491/CH491-1</f>
        <v>0.43400044974139873</v>
      </c>
      <c r="CN492" s="2612">
        <f>+CN491/CI491-1</f>
        <v>0.17357695010541119</v>
      </c>
      <c r="CO492" s="2612">
        <f>+CO491/CJ491-1</f>
        <v>0.11873713109128348</v>
      </c>
      <c r="CP492" s="2612">
        <f>+CP491/CK491-1</f>
        <v>2.9359953024075125E-2</v>
      </c>
      <c r="CQ492" s="2612">
        <f>+CQ491/CL491-1</f>
        <v>0.17112597547380148</v>
      </c>
      <c r="CR492" s="2588">
        <f>CR491/CM491-1</f>
        <v>0.12184412733260164</v>
      </c>
      <c r="CS492" s="169">
        <f t="shared" ref="CS492:DK492" si="1320">+CS491/CN491-1</f>
        <v>0.24071856287425142</v>
      </c>
      <c r="CT492" s="169">
        <f t="shared" si="1320"/>
        <v>0.33251533742331296</v>
      </c>
      <c r="CU492" s="169">
        <f t="shared" si="1320"/>
        <v>0.38790644609241309</v>
      </c>
      <c r="CV492" s="169">
        <f t="shared" si="1320"/>
        <v>0.61970490242741549</v>
      </c>
      <c r="CW492" s="992">
        <f t="shared" si="1320"/>
        <v>0.40900195694716235</v>
      </c>
      <c r="CX492" s="169">
        <f t="shared" si="1320"/>
        <v>0.54777992277992271</v>
      </c>
      <c r="CY492" s="169">
        <f t="shared" si="1320"/>
        <v>0.49217311233885819</v>
      </c>
      <c r="CZ492" s="169">
        <f t="shared" si="1320"/>
        <v>0.47554459515002057</v>
      </c>
      <c r="DA492" s="169">
        <f t="shared" si="1320"/>
        <v>0.45900675874228614</v>
      </c>
      <c r="DB492" s="992">
        <f t="shared" si="1320"/>
        <v>0.48511904761904767</v>
      </c>
      <c r="DC492" s="2612">
        <f t="shared" si="1320"/>
        <v>0.3576551294044279</v>
      </c>
      <c r="DD492" s="2612">
        <f t="shared" si="1320"/>
        <v>0.36531934588090098</v>
      </c>
      <c r="DE492" s="2612">
        <f t="shared" si="1320"/>
        <v>0.29247910863509752</v>
      </c>
      <c r="DF492" s="2612">
        <f t="shared" si="1320"/>
        <v>0.30513595166163143</v>
      </c>
      <c r="DG492" s="2588">
        <f t="shared" si="1320"/>
        <v>0.3293921175684702</v>
      </c>
      <c r="DH492" s="2612">
        <f t="shared" si="1320"/>
        <v>0.25057418465778603</v>
      </c>
      <c r="DI492" s="2612">
        <f t="shared" si="1320"/>
        <v>0.39661016949152539</v>
      </c>
      <c r="DJ492" s="2612">
        <f t="shared" si="1320"/>
        <v>0.38556034482758617</v>
      </c>
      <c r="DK492" s="2612">
        <f t="shared" si="1320"/>
        <v>0.21574074074074079</v>
      </c>
      <c r="DL492" s="2588">
        <f>DL491/DG491-1</f>
        <v>0.30305009798502591</v>
      </c>
      <c r="DM492" s="2612">
        <f>+DM491/DH491-1</f>
        <v>0.32451790633608812</v>
      </c>
      <c r="DN492" s="2612">
        <f>+DN491/DI491-1</f>
        <v>0.31569579288025884</v>
      </c>
      <c r="DO492" s="2612">
        <f>+DO491/DJ491-1</f>
        <v>0.38777414839010738</v>
      </c>
      <c r="DP492" s="2612">
        <f>+DP491/DK491-1</f>
        <v>0.33346026910383353</v>
      </c>
      <c r="DQ492" s="2588">
        <f>DQ491/DL491-1</f>
        <v>0.34081443776029618</v>
      </c>
      <c r="DR492" s="2612">
        <f>+DR491/DM491-1</f>
        <v>0.46159179145868001</v>
      </c>
      <c r="DS492" s="2612">
        <f>+DS491/DN491-1</f>
        <v>0.38371664001967787</v>
      </c>
      <c r="DT492" s="2612">
        <f>+DT491/DO491-1</f>
        <v>0.31629679444070846</v>
      </c>
      <c r="DU492" s="2612">
        <f>+DU491/DP491-1</f>
        <v>0.30433127082341738</v>
      </c>
      <c r="DV492" s="2588">
        <f>DV491/DQ491-1</f>
        <v>0.35858498705780839</v>
      </c>
      <c r="DW492" s="2612"/>
      <c r="DX492" s="2612"/>
      <c r="DY492" s="2612"/>
      <c r="DZ492" s="2612"/>
      <c r="EA492" s="2587">
        <f>EA491/DV491-1</f>
        <v>0.1714086117109106</v>
      </c>
      <c r="EB492" s="2612"/>
      <c r="EC492" s="2612"/>
      <c r="ED492" s="2612"/>
      <c r="EE492" s="2612"/>
      <c r="EF492" s="2587">
        <f>EF491/EA491-1</f>
        <v>0.22483057739224721</v>
      </c>
      <c r="EG492" s="2612"/>
      <c r="EH492" s="2612"/>
      <c r="EI492" s="2612"/>
      <c r="EJ492" s="2612"/>
      <c r="EK492" s="2587">
        <f>EK491/EF491-1</f>
        <v>0.23301758734655342</v>
      </c>
      <c r="EL492" s="2612"/>
      <c r="EM492" s="2612"/>
      <c r="EN492" s="2612"/>
      <c r="EO492" s="2612"/>
      <c r="EP492" s="2587">
        <f>EP491/EK491-1</f>
        <v>0.26818075325649882</v>
      </c>
      <c r="EQ492" s="2612"/>
      <c r="ER492" s="2612"/>
      <c r="ES492" s="2612"/>
      <c r="ET492" s="2612"/>
      <c r="EU492" s="2587">
        <f>EU491/EP491-1</f>
        <v>0.31173816942878152</v>
      </c>
      <c r="EV492" s="2587">
        <f>EV491/EU491-1</f>
        <v>0.22716754919466497</v>
      </c>
      <c r="EW492" s="2587">
        <f>EW491/EV491-1</f>
        <v>0.19460662349685665</v>
      </c>
      <c r="EX492" s="2587">
        <f>EX491/EW491-1</f>
        <v>0.16259522632780743</v>
      </c>
      <c r="EY492" s="2587">
        <f>EY491/EX491-1</f>
        <v>0.14652492122141392</v>
      </c>
      <c r="EZ492" s="169"/>
      <c r="FA492" s="1103"/>
      <c r="FB492" s="1103"/>
    </row>
    <row r="493" spans="1:158" s="138" customFormat="1" ht="11.25" hidden="1" customHeight="1">
      <c r="A493" s="1642" t="s">
        <v>874</v>
      </c>
      <c r="B493" s="2900"/>
      <c r="C493" s="124"/>
      <c r="D493" s="124"/>
      <c r="E493" s="139"/>
      <c r="F493" s="2901"/>
      <c r="G493" s="2900"/>
      <c r="H493" s="124"/>
      <c r="I493" s="124"/>
      <c r="J493" s="124"/>
      <c r="K493" s="997"/>
      <c r="L493" s="124"/>
      <c r="M493" s="124"/>
      <c r="N493" s="124"/>
      <c r="O493" s="124"/>
      <c r="P493" s="3967"/>
      <c r="Q493" s="3968"/>
      <c r="R493" s="3593"/>
      <c r="S493" s="3593"/>
      <c r="T493" s="3593"/>
      <c r="U493" s="3967"/>
      <c r="V493" s="3968"/>
      <c r="W493" s="3593"/>
      <c r="X493" s="3593"/>
      <c r="Y493" s="3593"/>
      <c r="Z493" s="3967"/>
      <c r="AA493" s="3968"/>
      <c r="AB493" s="3593"/>
      <c r="AC493" s="3593"/>
      <c r="AD493" s="3593"/>
      <c r="AE493" s="3967"/>
      <c r="AF493" s="3968"/>
      <c r="AG493" s="3593"/>
      <c r="AH493" s="3593"/>
      <c r="AI493" s="3593"/>
      <c r="AJ493" s="3967"/>
      <c r="AK493" s="3968"/>
      <c r="AL493" s="3593"/>
      <c r="AM493" s="3593"/>
      <c r="AN493" s="3593"/>
      <c r="AO493" s="3967"/>
      <c r="AP493" s="3968"/>
      <c r="AQ493" s="3593"/>
      <c r="AR493" s="3593"/>
      <c r="AS493" s="3593"/>
      <c r="AT493" s="3967"/>
      <c r="AU493" s="3968"/>
      <c r="AV493" s="3593"/>
      <c r="AW493" s="3593"/>
      <c r="AX493" s="3593"/>
      <c r="AY493" s="3967"/>
      <c r="AZ493" s="3968"/>
      <c r="BA493" s="3593"/>
      <c r="BB493" s="3593"/>
      <c r="BC493" s="3593"/>
      <c r="BD493" s="3967"/>
      <c r="BE493" s="3968"/>
      <c r="BF493" s="3593"/>
      <c r="BG493" s="3593"/>
      <c r="BH493" s="3593"/>
      <c r="BI493" s="3967"/>
      <c r="BJ493" s="3968"/>
      <c r="BK493" s="3593"/>
      <c r="BL493" s="3593"/>
      <c r="BM493" s="3593"/>
      <c r="BN493" s="3967"/>
      <c r="BO493" s="3593"/>
      <c r="BP493" s="3593"/>
      <c r="BQ493" s="3593"/>
      <c r="BR493" s="3593"/>
      <c r="BS493" s="4526"/>
      <c r="BT493" s="3593"/>
      <c r="BU493" s="3593"/>
      <c r="BV493" s="3593"/>
      <c r="BW493" s="3593"/>
      <c r="BX493" s="4526"/>
      <c r="BY493" s="3593"/>
      <c r="BZ493" s="3593"/>
      <c r="CA493" s="3593"/>
      <c r="CB493" s="3593"/>
      <c r="CC493" s="4526"/>
      <c r="CD493" s="3969"/>
      <c r="CE493" s="3593"/>
      <c r="CF493" s="3593"/>
      <c r="CG493" s="3593"/>
      <c r="CH493" s="4526"/>
      <c r="CI493" s="3593"/>
      <c r="CJ493" s="3593"/>
      <c r="CK493" s="3593"/>
      <c r="CL493" s="3593"/>
      <c r="CM493" s="4526"/>
      <c r="CN493" s="3593"/>
      <c r="CO493" s="3593"/>
      <c r="CP493" s="3593"/>
      <c r="CQ493" s="3593"/>
      <c r="CR493" s="4526"/>
      <c r="CS493" s="3593"/>
      <c r="CT493" s="3593"/>
      <c r="CU493" s="3593"/>
      <c r="CV493" s="3593"/>
      <c r="CW493" s="4526"/>
      <c r="CX493" s="3593"/>
      <c r="CY493" s="3593"/>
      <c r="CZ493" s="3593"/>
      <c r="DA493" s="3593"/>
      <c r="DB493" s="4526"/>
      <c r="DC493" s="3593"/>
      <c r="DD493" s="3593"/>
      <c r="DE493" s="3593"/>
      <c r="DF493" s="3593"/>
      <c r="DG493" s="4526">
        <f t="shared" ref="DG493:DV493" si="1321">SUM(DG59,DG45)</f>
        <v>104.51035824829154</v>
      </c>
      <c r="DH493" s="176">
        <f t="shared" si="1321"/>
        <v>-174.23637322380108</v>
      </c>
      <c r="DI493" s="176">
        <f t="shared" si="1321"/>
        <v>-194.4732895485339</v>
      </c>
      <c r="DJ493" s="176">
        <f t="shared" si="1321"/>
        <v>-86.146202610316976</v>
      </c>
      <c r="DK493" s="3593">
        <f t="shared" si="1321"/>
        <v>-71.708853575482408</v>
      </c>
      <c r="DL493" s="4526">
        <f t="shared" si="1321"/>
        <v>-526.56471895813434</v>
      </c>
      <c r="DM493" s="176">
        <f t="shared" si="1321"/>
        <v>-68.99582672361197</v>
      </c>
      <c r="DN493" s="176">
        <f t="shared" si="1321"/>
        <v>-151.07337228275171</v>
      </c>
      <c r="DO493" s="176">
        <f t="shared" si="1321"/>
        <v>-10.663667774952735</v>
      </c>
      <c r="DP493" s="3593">
        <f t="shared" si="1321"/>
        <v>53.540226439051921</v>
      </c>
      <c r="DQ493" s="4526">
        <f t="shared" si="1321"/>
        <v>-177.1926403422645</v>
      </c>
      <c r="DR493" s="3593">
        <f t="shared" si="1321"/>
        <v>210.15194205522863</v>
      </c>
      <c r="DS493" s="3593">
        <f t="shared" si="1321"/>
        <v>344.12248966690981</v>
      </c>
      <c r="DT493" s="3593">
        <f t="shared" si="1321"/>
        <v>111.33212072633106</v>
      </c>
      <c r="DU493" s="3593">
        <f t="shared" si="1321"/>
        <v>-49.914546109606221</v>
      </c>
      <c r="DV493" s="4526">
        <f t="shared" si="1321"/>
        <v>615.69200633886328</v>
      </c>
      <c r="DW493" s="3593"/>
      <c r="DX493" s="3593"/>
      <c r="DY493" s="3593"/>
      <c r="DZ493" s="3593"/>
      <c r="EA493" s="4526">
        <f>SUM(EA59,EA45)</f>
        <v>-2676.3433635446277</v>
      </c>
      <c r="EB493" s="3593"/>
      <c r="EC493" s="3593"/>
      <c r="ED493" s="3593"/>
      <c r="EE493" s="3593"/>
      <c r="EF493" s="4526">
        <f>SUM(EF59,EF45)</f>
        <v>-401.67479929609988</v>
      </c>
      <c r="EG493" s="3593"/>
      <c r="EH493" s="3593"/>
      <c r="EI493" s="3593"/>
      <c r="EJ493" s="3593"/>
      <c r="EK493" s="4526">
        <f>SUM(EK59,EK45)</f>
        <v>-704.69289199589412</v>
      </c>
      <c r="EL493" s="3593"/>
      <c r="EM493" s="3593"/>
      <c r="EN493" s="3593"/>
      <c r="EO493" s="3593"/>
      <c r="EP493" s="4526">
        <f>SUM(EP59,EP45)</f>
        <v>367.45649118294045</v>
      </c>
      <c r="EQ493" s="3593"/>
      <c r="ER493" s="3593"/>
      <c r="ES493" s="3593"/>
      <c r="ET493" s="3593"/>
      <c r="EU493" s="4526">
        <f>SUM(EU59,EU45)</f>
        <v>804.61956133294348</v>
      </c>
      <c r="EV493" s="4526">
        <f>SUM(EV59,EV45)</f>
        <v>0</v>
      </c>
      <c r="EW493" s="4526">
        <f>SUM(EW59,EW45)</f>
        <v>0</v>
      </c>
      <c r="EX493" s="4526">
        <f>SUM(EX59,EX45)</f>
        <v>0</v>
      </c>
      <c r="EY493" s="4526">
        <f>SUM(EY59,EY45)</f>
        <v>0</v>
      </c>
      <c r="EZ493" s="124"/>
      <c r="FA493" s="738"/>
      <c r="FB493" s="738"/>
    </row>
    <row r="494" spans="1:158" s="138" customFormat="1" ht="11.25" hidden="1" customHeight="1">
      <c r="A494" s="1642" t="s">
        <v>882</v>
      </c>
      <c r="B494" s="2900"/>
      <c r="C494" s="124"/>
      <c r="D494" s="124"/>
      <c r="E494" s="139"/>
      <c r="F494" s="2901"/>
      <c r="G494" s="2900"/>
      <c r="H494" s="124"/>
      <c r="I494" s="124"/>
      <c r="J494" s="124"/>
      <c r="K494" s="997"/>
      <c r="L494" s="124"/>
      <c r="M494" s="124"/>
      <c r="N494" s="124"/>
      <c r="O494" s="124"/>
      <c r="P494" s="3967"/>
      <c r="Q494" s="3968"/>
      <c r="R494" s="3593"/>
      <c r="S494" s="3593"/>
      <c r="T494" s="3593"/>
      <c r="U494" s="3967"/>
      <c r="V494" s="3968"/>
      <c r="W494" s="3593"/>
      <c r="X494" s="3593"/>
      <c r="Y494" s="3593"/>
      <c r="Z494" s="3967"/>
      <c r="AA494" s="3968"/>
      <c r="AB494" s="3593"/>
      <c r="AC494" s="3593"/>
      <c r="AD494" s="3593"/>
      <c r="AE494" s="3967"/>
      <c r="AF494" s="3968"/>
      <c r="AG494" s="3593"/>
      <c r="AH494" s="3593"/>
      <c r="AI494" s="3593"/>
      <c r="AJ494" s="3967"/>
      <c r="AK494" s="3968"/>
      <c r="AL494" s="3593"/>
      <c r="AM494" s="3593"/>
      <c r="AN494" s="3593"/>
      <c r="AO494" s="3967"/>
      <c r="AP494" s="3968"/>
      <c r="AQ494" s="3593"/>
      <c r="AR494" s="3593"/>
      <c r="AS494" s="3593"/>
      <c r="AT494" s="3967"/>
      <c r="AU494" s="3968"/>
      <c r="AV494" s="3593"/>
      <c r="AW494" s="3593"/>
      <c r="AX494" s="3593"/>
      <c r="AY494" s="3967"/>
      <c r="AZ494" s="3968"/>
      <c r="BA494" s="3593"/>
      <c r="BB494" s="3593"/>
      <c r="BC494" s="3593"/>
      <c r="BD494" s="3967"/>
      <c r="BE494" s="3968"/>
      <c r="BF494" s="3593"/>
      <c r="BG494" s="3593"/>
      <c r="BH494" s="3593"/>
      <c r="BI494" s="3967"/>
      <c r="BJ494" s="3968"/>
      <c r="BK494" s="3593"/>
      <c r="BL494" s="3593"/>
      <c r="BM494" s="3593"/>
      <c r="BN494" s="3967"/>
      <c r="BO494" s="3593"/>
      <c r="BP494" s="3593"/>
      <c r="BQ494" s="3593"/>
      <c r="BR494" s="3593"/>
      <c r="BS494" s="4526"/>
      <c r="BT494" s="3593"/>
      <c r="BU494" s="3593"/>
      <c r="BV494" s="3593"/>
      <c r="BW494" s="3593"/>
      <c r="BX494" s="4526"/>
      <c r="BY494" s="3593"/>
      <c r="BZ494" s="3593"/>
      <c r="CA494" s="3593"/>
      <c r="CB494" s="3593"/>
      <c r="CC494" s="4526"/>
      <c r="CD494" s="3969"/>
      <c r="CE494" s="3593"/>
      <c r="CF494" s="3593"/>
      <c r="CG494" s="3593"/>
      <c r="CH494" s="4526"/>
      <c r="CI494" s="3593"/>
      <c r="CJ494" s="3593"/>
      <c r="CK494" s="3593"/>
      <c r="CL494" s="3593"/>
      <c r="CM494" s="4526"/>
      <c r="CN494" s="3593"/>
      <c r="CO494" s="3593"/>
      <c r="CP494" s="3593"/>
      <c r="CQ494" s="3593"/>
      <c r="CR494" s="4526"/>
      <c r="CS494" s="3593"/>
      <c r="CT494" s="3593"/>
      <c r="CU494" s="3593"/>
      <c r="CV494" s="3593"/>
      <c r="CW494" s="4526"/>
      <c r="CX494" s="3593"/>
      <c r="CY494" s="3593"/>
      <c r="CZ494" s="3593"/>
      <c r="DA494" s="3593"/>
      <c r="DB494" s="4526"/>
      <c r="DC494" s="3593"/>
      <c r="DD494" s="3593"/>
      <c r="DE494" s="3593"/>
      <c r="DF494" s="3593"/>
      <c r="DG494" s="1954">
        <f t="shared" ref="DG494:EK494" si="1322">DG491-DG493</f>
        <v>19796.489641751708</v>
      </c>
      <c r="DH494" s="176">
        <f t="shared" si="1322"/>
        <v>5619.2363732238009</v>
      </c>
      <c r="DI494" s="176">
        <f t="shared" si="1322"/>
        <v>6374.473289548534</v>
      </c>
      <c r="DJ494" s="176">
        <f t="shared" si="1322"/>
        <v>6515.1462026103172</v>
      </c>
      <c r="DK494" s="176">
        <f t="shared" si="1322"/>
        <v>7949.7088535754829</v>
      </c>
      <c r="DL494" s="1954">
        <f t="shared" si="1322"/>
        <v>26458.564718958136</v>
      </c>
      <c r="DM494" s="176">
        <f t="shared" si="1322"/>
        <v>7280.9958267236116</v>
      </c>
      <c r="DN494" s="176">
        <f t="shared" si="1322"/>
        <v>8282.0733722827517</v>
      </c>
      <c r="DO494" s="176">
        <f t="shared" si="1322"/>
        <v>8932.663667774952</v>
      </c>
      <c r="DP494" s="176">
        <f t="shared" si="1322"/>
        <v>10451.459773560948</v>
      </c>
      <c r="DQ494" s="1954">
        <f t="shared" si="1322"/>
        <v>34947.192640342262</v>
      </c>
      <c r="DR494" s="176">
        <f t="shared" si="1322"/>
        <v>10330.848057944771</v>
      </c>
      <c r="DS494" s="176">
        <f t="shared" si="1322"/>
        <v>10906.87751033309</v>
      </c>
      <c r="DT494" s="176">
        <f t="shared" si="1322"/>
        <v>11632.667879273669</v>
      </c>
      <c r="DU494" s="176">
        <f t="shared" si="1322"/>
        <v>13751.914546109607</v>
      </c>
      <c r="DV494" s="1954">
        <f t="shared" si="1322"/>
        <v>46622.307993661139</v>
      </c>
      <c r="DW494" s="176"/>
      <c r="DX494" s="176"/>
      <c r="DY494" s="176"/>
      <c r="DZ494" s="176"/>
      <c r="EA494" s="1954">
        <f t="shared" si="1322"/>
        <v>58011.343363544627</v>
      </c>
      <c r="EB494" s="176"/>
      <c r="EC494" s="176"/>
      <c r="ED494" s="176"/>
      <c r="EE494" s="176"/>
      <c r="EF494" s="1954">
        <f>EF491-EF493</f>
        <v>68177.674799296103</v>
      </c>
      <c r="EG494" s="176"/>
      <c r="EH494" s="176"/>
      <c r="EI494" s="176"/>
      <c r="EJ494" s="176"/>
      <c r="EK494" s="1954">
        <f t="shared" si="1322"/>
        <v>84273.692891995888</v>
      </c>
      <c r="EL494" s="176"/>
      <c r="EM494" s="176"/>
      <c r="EN494" s="176"/>
      <c r="EO494" s="176"/>
      <c r="EP494" s="1954">
        <f t="shared" ref="EP494" si="1323">EP491-EP493</f>
        <v>105613.1408777094</v>
      </c>
      <c r="EQ494" s="176"/>
      <c r="ER494" s="176"/>
      <c r="ES494" s="176"/>
      <c r="ET494" s="176"/>
      <c r="EU494" s="1954">
        <f t="shared" ref="EU494" si="1324">EU491-EU493</f>
        <v>138214.17522630663</v>
      </c>
      <c r="EV494" s="1954">
        <f>EV491-EV493</f>
        <v>170599.35369154371</v>
      </c>
      <c r="EW494" s="1954">
        <f>EW491-EW493</f>
        <v>203799.11788420106</v>
      </c>
      <c r="EX494" s="1954">
        <f>EX491-EX493</f>
        <v>236935.88158199022</v>
      </c>
      <c r="EY494" s="1954">
        <f>EY491-EY493</f>
        <v>271652.89296531759</v>
      </c>
      <c r="EZ494" s="124"/>
      <c r="FA494" s="738"/>
      <c r="FB494" s="738"/>
    </row>
    <row r="495" spans="1:158" s="2613" customFormat="1" ht="11.25" hidden="1" customHeight="1" collapsed="1">
      <c r="A495" s="2432" t="s">
        <v>496</v>
      </c>
      <c r="B495" s="1226"/>
      <c r="C495" s="2612"/>
      <c r="D495" s="2612"/>
      <c r="E495" s="182"/>
      <c r="F495" s="1231"/>
      <c r="G495" s="1226"/>
      <c r="H495" s="2612"/>
      <c r="I495" s="2612"/>
      <c r="J495" s="2612"/>
      <c r="K495" s="2588"/>
      <c r="L495" s="2612"/>
      <c r="M495" s="2612"/>
      <c r="N495" s="2612"/>
      <c r="O495" s="2612"/>
      <c r="P495" s="2588"/>
      <c r="Q495" s="1226"/>
      <c r="R495" s="2612"/>
      <c r="S495" s="2612"/>
      <c r="T495" s="2612"/>
      <c r="U495" s="2588"/>
      <c r="V495" s="1226"/>
      <c r="W495" s="2612"/>
      <c r="X495" s="2612"/>
      <c r="Y495" s="2612"/>
      <c r="Z495" s="2588"/>
      <c r="AA495" s="1226"/>
      <c r="AB495" s="2612"/>
      <c r="AC495" s="2612"/>
      <c r="AD495" s="2612"/>
      <c r="AE495" s="2588"/>
      <c r="AF495" s="1226"/>
      <c r="AG495" s="2612"/>
      <c r="AH495" s="2612"/>
      <c r="AI495" s="2612"/>
      <c r="AJ495" s="2588"/>
      <c r="AK495" s="1226"/>
      <c r="AL495" s="2612"/>
      <c r="AM495" s="2612"/>
      <c r="AN495" s="2612"/>
      <c r="AO495" s="2588"/>
      <c r="AP495" s="1226"/>
      <c r="AQ495" s="2612"/>
      <c r="AR495" s="2612"/>
      <c r="AS495" s="2612"/>
      <c r="AT495" s="2588"/>
      <c r="AU495" s="1226"/>
      <c r="AV495" s="2612"/>
      <c r="AW495" s="2612"/>
      <c r="AX495" s="2612"/>
      <c r="AY495" s="2588"/>
      <c r="AZ495" s="1226">
        <f t="shared" ref="AZ495:BN495" si="1325">AZ609</f>
        <v>0.26936716649174197</v>
      </c>
      <c r="BA495" s="2612">
        <f t="shared" si="1325"/>
        <v>0.27236115775333725</v>
      </c>
      <c r="BB495" s="2612">
        <f t="shared" si="1325"/>
        <v>0.27085611507167134</v>
      </c>
      <c r="BC495" s="2612">
        <f t="shared" si="1325"/>
        <v>0.26617717344733871</v>
      </c>
      <c r="BD495" s="2588">
        <f t="shared" si="1325"/>
        <v>0.26953789284927254</v>
      </c>
      <c r="BE495" s="1226">
        <f t="shared" si="1325"/>
        <v>0.26424710424710424</v>
      </c>
      <c r="BF495" s="2612">
        <f t="shared" si="1325"/>
        <v>0.26394391953672663</v>
      </c>
      <c r="BG495" s="2612">
        <f t="shared" si="1325"/>
        <v>0.25668373151308305</v>
      </c>
      <c r="BH495" s="2612">
        <f t="shared" si="1325"/>
        <v>0.2533365985061834</v>
      </c>
      <c r="BI495" s="2588">
        <f t="shared" si="1325"/>
        <v>0.25913727156821081</v>
      </c>
      <c r="BJ495" s="1226">
        <f t="shared" si="1325"/>
        <v>0.24536479653262702</v>
      </c>
      <c r="BK495" s="2612">
        <f t="shared" si="1325"/>
        <v>0.24208352455254703</v>
      </c>
      <c r="BL495" s="2612">
        <f t="shared" si="1325"/>
        <v>0.23674343867166578</v>
      </c>
      <c r="BM495" s="2612">
        <f t="shared" si="1325"/>
        <v>0.24080990760762727</v>
      </c>
      <c r="BN495" s="2588">
        <f t="shared" si="1325"/>
        <v>0.24111028989077771</v>
      </c>
      <c r="BO495" s="2612"/>
      <c r="BP495" s="2612"/>
      <c r="BQ495" s="2612"/>
      <c r="BR495" s="2612"/>
      <c r="BS495" s="2587"/>
      <c r="BT495" s="2612">
        <f>BT609</f>
        <v>0.24547677261613693</v>
      </c>
      <c r="BU495" s="2612">
        <f>BU609</f>
        <v>0.24703087885985747</v>
      </c>
      <c r="BV495" s="2612">
        <f>BV609</f>
        <v>0.2550644567219153</v>
      </c>
      <c r="BW495" s="2612">
        <f>BW609</f>
        <v>0.2550513415038092</v>
      </c>
      <c r="BX495" s="2588">
        <f>BX609</f>
        <v>0.25088128920020142</v>
      </c>
      <c r="BY495" s="2612"/>
      <c r="BZ495" s="2612"/>
      <c r="CA495" s="2612"/>
      <c r="CB495" s="2612"/>
      <c r="CC495" s="2587"/>
      <c r="CD495" s="576">
        <f t="shared" ref="CD495:DF495" si="1326">CD609</f>
        <v>0.24619732358074972</v>
      </c>
      <c r="CE495" s="2612">
        <f t="shared" si="1326"/>
        <v>0.24733212937120341</v>
      </c>
      <c r="CF495" s="2612">
        <f t="shared" si="1326"/>
        <v>0.23488500750810085</v>
      </c>
      <c r="CG495" s="2612">
        <f t="shared" si="1326"/>
        <v>0.23300014078558356</v>
      </c>
      <c r="CH495" s="2588">
        <f t="shared" si="1326"/>
        <v>0.23999451754385964</v>
      </c>
      <c r="CI495" s="1226">
        <f t="shared" si="1326"/>
        <v>0.2309066228477531</v>
      </c>
      <c r="CJ495" s="2612">
        <f t="shared" si="1326"/>
        <v>0.22713477721064976</v>
      </c>
      <c r="CK495" s="2612">
        <f t="shared" si="1326"/>
        <v>0.22591093117408906</v>
      </c>
      <c r="CL495" s="2612">
        <f t="shared" si="1326"/>
        <v>0.2219633331289472</v>
      </c>
      <c r="CM495" s="2588">
        <f t="shared" si="1326"/>
        <v>0.22630148933315444</v>
      </c>
      <c r="CN495" s="1226">
        <f t="shared" si="1326"/>
        <v>0.21569512509672428</v>
      </c>
      <c r="CO495" s="2612">
        <f t="shared" si="1326"/>
        <v>0.2107595331710666</v>
      </c>
      <c r="CP495" s="2612">
        <f t="shared" si="1326"/>
        <v>0.21250223467016269</v>
      </c>
      <c r="CQ495" s="2612">
        <f t="shared" si="1326"/>
        <v>0.21254848516615998</v>
      </c>
      <c r="CR495" s="2588">
        <f t="shared" si="1326"/>
        <v>0.21283573230449621</v>
      </c>
      <c r="CS495" s="1226">
        <f t="shared" si="1326"/>
        <v>0.21021087680355161</v>
      </c>
      <c r="CT495" s="2612">
        <f t="shared" si="1326"/>
        <v>0.20764770412161104</v>
      </c>
      <c r="CU495" s="2612">
        <f t="shared" si="1326"/>
        <v>0.21098834569396094</v>
      </c>
      <c r="CV495" s="2612">
        <f t="shared" si="1326"/>
        <v>0.21643823384972544</v>
      </c>
      <c r="CW495" s="2588">
        <f t="shared" si="1326"/>
        <v>0.21154403335726793</v>
      </c>
      <c r="CX495" s="1226">
        <f t="shared" si="1326"/>
        <v>0.21619728177105227</v>
      </c>
      <c r="CY495" s="2612">
        <f t="shared" si="1326"/>
        <v>0.22455010585744531</v>
      </c>
      <c r="CZ495" s="2612">
        <f t="shared" si="1326"/>
        <v>0.22863079160606689</v>
      </c>
      <c r="DA495" s="2612">
        <f t="shared" si="1326"/>
        <v>0.23689719763470085</v>
      </c>
      <c r="DB495" s="2588">
        <f t="shared" si="1326"/>
        <v>0.22674911328039174</v>
      </c>
      <c r="DC495" s="1226">
        <f t="shared" si="1326"/>
        <v>0.23601831694317243</v>
      </c>
      <c r="DD495" s="2612">
        <f t="shared" si="1326"/>
        <v>0.22857549756114928</v>
      </c>
      <c r="DE495" s="2612">
        <f t="shared" si="1326"/>
        <v>0.22732610347447677</v>
      </c>
      <c r="DF495" s="2612">
        <f t="shared" si="1326"/>
        <v>0.22867335014453533</v>
      </c>
      <c r="DG495" s="2290">
        <f t="shared" ref="DG495:DV495" si="1327">DG494/DB491-1</f>
        <v>0.32241079771220504</v>
      </c>
      <c r="DH495" s="2288">
        <f t="shared" si="1327"/>
        <v>0.29059172559113478</v>
      </c>
      <c r="DI495" s="2288">
        <f t="shared" si="1327"/>
        <v>0.44055893549119407</v>
      </c>
      <c r="DJ495" s="2288">
        <f t="shared" si="1327"/>
        <v>0.40412633676946497</v>
      </c>
      <c r="DK495" s="2288">
        <f t="shared" si="1327"/>
        <v>0.22680692184806839</v>
      </c>
      <c r="DL495" s="2290">
        <f t="shared" si="1327"/>
        <v>0.32950930701764403</v>
      </c>
      <c r="DM495" s="2288">
        <f t="shared" si="1327"/>
        <v>0.33718931620268355</v>
      </c>
      <c r="DN495" s="2288">
        <f t="shared" si="1327"/>
        <v>0.34014132237584982</v>
      </c>
      <c r="DO495" s="2288">
        <f t="shared" si="1327"/>
        <v>0.38943283057628753</v>
      </c>
      <c r="DP495" s="2288">
        <f t="shared" si="1327"/>
        <v>0.32666409920804118</v>
      </c>
      <c r="DQ495" s="2290">
        <f t="shared" si="1327"/>
        <v>0.34764741016282064</v>
      </c>
      <c r="DR495" s="2288">
        <f t="shared" si="1327"/>
        <v>0.43245258706943579</v>
      </c>
      <c r="DS495" s="2288">
        <f t="shared" si="1327"/>
        <v>0.3413943562087185</v>
      </c>
      <c r="DT495" s="2288">
        <f t="shared" si="1327"/>
        <v>0.30381841283049416</v>
      </c>
      <c r="DU495" s="2288">
        <f t="shared" si="1327"/>
        <v>0.30908277449877275</v>
      </c>
      <c r="DV495" s="2290">
        <f t="shared" si="1327"/>
        <v>0.34087742288355294</v>
      </c>
      <c r="DW495" s="2288"/>
      <c r="DX495" s="2288"/>
      <c r="DY495" s="2288"/>
      <c r="DZ495" s="2288"/>
      <c r="EA495" s="2290">
        <f>EA494/DV491-1</f>
        <v>0.22806518827098166</v>
      </c>
      <c r="EB495" s="2288"/>
      <c r="EC495" s="2288"/>
      <c r="ED495" s="2288"/>
      <c r="EE495" s="2288"/>
      <c r="EF495" s="2290">
        <f>EF494/EA491-1</f>
        <v>0.23208954186854802</v>
      </c>
      <c r="EG495" s="2288"/>
      <c r="EH495" s="2288"/>
      <c r="EI495" s="2288"/>
      <c r="EJ495" s="2288"/>
      <c r="EK495" s="2290">
        <f>EK494/EF491-1</f>
        <v>0.2434149683073048</v>
      </c>
      <c r="EL495" s="2288"/>
      <c r="EM495" s="2288"/>
      <c r="EN495" s="2288"/>
      <c r="EO495" s="2288"/>
      <c r="EP495" s="2290">
        <f>EP494/EK491-1</f>
        <v>0.26378371020006708</v>
      </c>
      <c r="EQ495" s="2288"/>
      <c r="ER495" s="2288"/>
      <c r="ES495" s="2288"/>
      <c r="ET495" s="2288"/>
      <c r="EU495" s="2290">
        <f>EU494/EP491-1</f>
        <v>0.30414602915680078</v>
      </c>
      <c r="EV495" s="2290">
        <f>EV494/EU491-1</f>
        <v>0.22716754919466497</v>
      </c>
      <c r="EW495" s="2290">
        <f>EW494/EV491-1</f>
        <v>0.19460662349685665</v>
      </c>
      <c r="EX495" s="2290">
        <f>EX494/EW491-1</f>
        <v>0.16259522632780743</v>
      </c>
      <c r="EY495" s="2290">
        <f>EY494/EX491-1</f>
        <v>0.14652492122141392</v>
      </c>
      <c r="EZ495" s="2612"/>
      <c r="FA495" s="725"/>
      <c r="FB495" s="725"/>
    </row>
    <row r="496" spans="1:158" s="194" customFormat="1" ht="11.25" hidden="1" customHeight="1">
      <c r="A496" s="1641" t="s">
        <v>46</v>
      </c>
      <c r="B496" s="1226"/>
      <c r="C496" s="169"/>
      <c r="D496" s="169"/>
      <c r="E496" s="169"/>
      <c r="F496" s="1228"/>
      <c r="G496" s="1226"/>
      <c r="H496" s="169"/>
      <c r="I496" s="169"/>
      <c r="J496" s="169"/>
      <c r="K496" s="1381"/>
      <c r="L496" s="169"/>
      <c r="M496" s="169"/>
      <c r="N496" s="169"/>
      <c r="O496" s="169"/>
      <c r="P496" s="1021"/>
      <c r="Q496" s="2612" t="e">
        <f>+Q491/O491-1</f>
        <v>#DIV/0!</v>
      </c>
      <c r="R496" s="2612">
        <f>+R491/Q491-1</f>
        <v>0.39278112805959653</v>
      </c>
      <c r="S496" s="2612">
        <f>+S491/R491-1</f>
        <v>0.11036400297145166</v>
      </c>
      <c r="T496" s="2612">
        <f>+T491/S491-1</f>
        <v>9.6481301658430496E-2</v>
      </c>
      <c r="U496" s="1021"/>
      <c r="V496" s="2612">
        <f>+V491/T491-1</f>
        <v>0.10409526366375221</v>
      </c>
      <c r="W496" s="2612">
        <f>+W491/V491-1</f>
        <v>0.10673684210526413</v>
      </c>
      <c r="X496" s="2612">
        <f>+X491/W491-1</f>
        <v>0.1659691839452162</v>
      </c>
      <c r="Y496" s="2612">
        <f>+Y491/X491-1</f>
        <v>6.0363814340475885E-2</v>
      </c>
      <c r="Z496" s="1021"/>
      <c r="AA496" s="2612">
        <f>+AA491/Y491-1</f>
        <v>0.10308485268098733</v>
      </c>
      <c r="AB496" s="2612">
        <f>+AB491/AA491-1</f>
        <v>-0.26466280772718165</v>
      </c>
      <c r="AC496" s="2612">
        <f>+AC491/AB491-1</f>
        <v>-6.2310318664647202E-2</v>
      </c>
      <c r="AD496" s="2612">
        <f>+AD491/AC491-1</f>
        <v>0.12481035703450583</v>
      </c>
      <c r="AE496" s="1021"/>
      <c r="AF496" s="2612">
        <f>+AF491/AD491-1</f>
        <v>0.38518118874201446</v>
      </c>
      <c r="AG496" s="2612">
        <f>+AG491/AF491-1</f>
        <v>0.10882463679678933</v>
      </c>
      <c r="AH496" s="2612">
        <f>+AH491/AG491-1</f>
        <v>9.8589075581066998E-2</v>
      </c>
      <c r="AI496" s="2612">
        <f>+AI491/AH491-1</f>
        <v>0.18875566213695172</v>
      </c>
      <c r="AJ496" s="1021"/>
      <c r="AK496" s="2612">
        <f>+AK491/AI491-1</f>
        <v>0.25799076523063968</v>
      </c>
      <c r="AL496" s="2612">
        <f>+AL491/AK491-1</f>
        <v>-3.9163281305669928E-2</v>
      </c>
      <c r="AM496" s="2612">
        <f>+AM491/AL491-1</f>
        <v>-1.0718391870348731E-2</v>
      </c>
      <c r="AN496" s="2612">
        <f>+AN491/AM491-1</f>
        <v>0.14677213766214159</v>
      </c>
      <c r="AO496" s="1021"/>
      <c r="AP496" s="2612">
        <f>+AP491/AN491-1</f>
        <v>0.19392592108275042</v>
      </c>
      <c r="AQ496" s="2612">
        <f>+AQ491/AP491-1</f>
        <v>-7.8776594288228474E-2</v>
      </c>
      <c r="AR496" s="2612">
        <f>+AR491/AQ491-1</f>
        <v>0.24462014029247636</v>
      </c>
      <c r="AS496" s="2612">
        <f>+AS491/AR491-1</f>
        <v>0.65506041935330805</v>
      </c>
      <c r="AT496" s="1021"/>
      <c r="AU496" s="2612">
        <f>+AU491/AS491-1</f>
        <v>0.4356602793489579</v>
      </c>
      <c r="AV496" s="2612">
        <f>+AV491/AU491-1</f>
        <v>0.82706011236519417</v>
      </c>
      <c r="AW496" s="2612">
        <f>+AW491/AV491-1</f>
        <v>4.1983200118818065E-2</v>
      </c>
      <c r="AX496" s="2612">
        <f>+AX491/AW491-1</f>
        <v>3.6501090175746764E-2</v>
      </c>
      <c r="AY496" s="1021"/>
      <c r="AZ496" s="2612">
        <f>+AZ491/AX491-1</f>
        <v>-9.2740395144981558E-2</v>
      </c>
      <c r="BA496" s="2612">
        <f>+BA491/AZ491-1</f>
        <v>4.8527719298246952E-2</v>
      </c>
      <c r="BB496" s="2612">
        <f>+BB491/BA491-1</f>
        <v>7.822497309507126E-3</v>
      </c>
      <c r="BC496" s="2612">
        <f>+BC491/BB491-1</f>
        <v>0.10840461137969881</v>
      </c>
      <c r="BD496" s="1021"/>
      <c r="BE496" s="2612">
        <f>+BE491/BC491-1</f>
        <v>0.43791789488820032</v>
      </c>
      <c r="BF496" s="2612">
        <f>+BF491/BE491-1</f>
        <v>-0.14000000000000001</v>
      </c>
      <c r="BG496" s="2612">
        <f>+BG491/BF491-1</f>
        <v>-1.5503875968992276E-2</v>
      </c>
      <c r="BH496" s="2612">
        <f>+BH491/BG491-1</f>
        <v>7.4803149606299302E-2</v>
      </c>
      <c r="BI496" s="1021"/>
      <c r="BJ496" s="2612">
        <f>+BJ491/BH491-1</f>
        <v>-1.46520146520146E-2</v>
      </c>
      <c r="BK496" s="2612">
        <f>+BK491/BJ491-1</f>
        <v>0.15241635687732336</v>
      </c>
      <c r="BL496" s="2612">
        <f>+BL491/BK491-1</f>
        <v>0.24193548387096775</v>
      </c>
      <c r="BM496" s="2612">
        <f>+BM491/BL491-1</f>
        <v>6.4935064935064846E-2</v>
      </c>
      <c r="BN496" s="1021"/>
      <c r="BO496" s="193"/>
      <c r="BP496" s="193"/>
      <c r="BQ496" s="193"/>
      <c r="BR496" s="193"/>
      <c r="BS496" s="2430"/>
      <c r="BT496" s="2612">
        <f>+BT491/BM491-1</f>
        <v>2.4390243902439046E-2</v>
      </c>
      <c r="BU496" s="2612">
        <f>+BU491/BT491-1</f>
        <v>4.5238095238095299E-2</v>
      </c>
      <c r="BV496" s="2612">
        <f>+BV491/BU491-1</f>
        <v>0.51708428246013671</v>
      </c>
      <c r="BW496" s="2612">
        <f>+BW491/BV491-1</f>
        <v>0.24474474474474484</v>
      </c>
      <c r="BX496" s="1021"/>
      <c r="BY496" s="193"/>
      <c r="BZ496" s="193"/>
      <c r="CA496" s="193"/>
      <c r="CB496" s="193"/>
      <c r="CC496" s="2430"/>
      <c r="CD496" s="2612">
        <f>+CD491/BW491-1</f>
        <v>0.10977080820265384</v>
      </c>
      <c r="CE496" s="2612">
        <f>+CE491/CD491-1</f>
        <v>5.4347826086955653E-3</v>
      </c>
      <c r="CF496" s="2612">
        <f>+CF491/CE491-1</f>
        <v>0.19027027027027033</v>
      </c>
      <c r="CG496" s="2612">
        <f>+CG491/CF491-1</f>
        <v>0.3633060853769301</v>
      </c>
      <c r="CH496" s="1021"/>
      <c r="CI496" s="2612">
        <f>+CI491/CG491-1</f>
        <v>-5.1965356429047316E-2</v>
      </c>
      <c r="CJ496" s="2612">
        <f>+CJ491/CI491-1</f>
        <v>2.3893183415319763E-2</v>
      </c>
      <c r="CK496" s="2612">
        <f>+CK491/CJ491-1</f>
        <v>0.16884008236101589</v>
      </c>
      <c r="CL496" s="2612">
        <f>+CL491/CK491-1</f>
        <v>5.3435114503816772E-2</v>
      </c>
      <c r="CM496" s="1021"/>
      <c r="CN496" s="2612">
        <f>+CN491/CL491-1</f>
        <v>-6.9119286510590849E-2</v>
      </c>
      <c r="CO496" s="2612">
        <f>+CO491/CN491-1</f>
        <v>-2.39520958083832E-2</v>
      </c>
      <c r="CP496" s="2612">
        <f>+CP491/CO491-1</f>
        <v>7.5460122699386512E-2</v>
      </c>
      <c r="CQ496" s="2612">
        <f>+CQ491/CP491-1</f>
        <v>0.19851682829435258</v>
      </c>
      <c r="CR496" s="1021"/>
      <c r="CS496" s="169">
        <f>+CS491/CQ491-1</f>
        <v>-1.3802950975725814E-2</v>
      </c>
      <c r="CT496" s="169">
        <f>+CT491/CS491-1</f>
        <v>4.8262548262548277E-2</v>
      </c>
      <c r="CU496" s="169">
        <f>+CU491/CT491-1</f>
        <v>0.12016574585635365</v>
      </c>
      <c r="CV496" s="169">
        <f>+CV491/CU491-1</f>
        <v>0.39868475133579939</v>
      </c>
      <c r="CW496" s="1021"/>
      <c r="CX496" s="169">
        <f>+CX491/CV491-1</f>
        <v>-5.7596238612988571E-2</v>
      </c>
      <c r="CY496" s="169">
        <f>+CY491/CX491-1</f>
        <v>1.0601808543810431E-2</v>
      </c>
      <c r="CZ496" s="169">
        <f>+CZ491/CY491-1</f>
        <v>0.10768281394631285</v>
      </c>
      <c r="DA496" s="169">
        <f>+DA491/CZ491-1</f>
        <v>0.38300835654596099</v>
      </c>
      <c r="DB496" s="1021"/>
      <c r="DC496" s="2612">
        <f>+DC491/DA491-1</f>
        <v>-0.12306143001007053</v>
      </c>
      <c r="DD496" s="2612">
        <f>+DD491/DC491-1</f>
        <v>1.6306844281120725E-2</v>
      </c>
      <c r="DE496" s="2612">
        <f>+DE491/DD491-1</f>
        <v>4.8587570621468901E-2</v>
      </c>
      <c r="DF496" s="2612">
        <f>+DF491/DE491-1</f>
        <v>0.39655172413793105</v>
      </c>
      <c r="DG496" s="1021"/>
      <c r="DH496" s="2612">
        <f>+DH491/DF491-1</f>
        <v>-0.15972222222222221</v>
      </c>
      <c r="DI496" s="2612">
        <f>+DI491/DH491-1</f>
        <v>0.13498622589531672</v>
      </c>
      <c r="DJ496" s="2612">
        <f>+DJ491/DI491-1</f>
        <v>4.0291262135922379E-2</v>
      </c>
      <c r="DK496" s="2612">
        <f>+DK491/DJ491-1</f>
        <v>0.22538497433504423</v>
      </c>
      <c r="DL496" s="1021"/>
      <c r="DM496" s="2612">
        <f>+DM491/DK491-1</f>
        <v>-8.4539223153084486E-2</v>
      </c>
      <c r="DN496" s="2612">
        <f>+DN491/DM491-1</f>
        <v>0.1274265113699391</v>
      </c>
      <c r="DO496" s="2612">
        <f>+DO491/DN491-1</f>
        <v>9.7282007133193904E-2</v>
      </c>
      <c r="DP496" s="2612">
        <f>+DP491/DO491-1</f>
        <v>0.1774265859672719</v>
      </c>
      <c r="DQ496" s="1021"/>
      <c r="DR496" s="2612">
        <f>+DR491/DP491-1</f>
        <v>3.4269395525940993E-3</v>
      </c>
      <c r="DS496" s="2612">
        <f>+DS491/DR491-1</f>
        <v>6.7356038326534584E-2</v>
      </c>
      <c r="DT496" s="2612">
        <f>+DT491/DS491-1</f>
        <v>4.3818327259799172E-2</v>
      </c>
      <c r="DU496" s="2612">
        <f>+DU491/DT491-1</f>
        <v>0.16672343324250671</v>
      </c>
      <c r="DV496" s="1021"/>
      <c r="DW496" s="2612"/>
      <c r="DX496" s="2612"/>
      <c r="DY496" s="2612"/>
      <c r="DZ496" s="2612"/>
      <c r="EA496" s="1021"/>
      <c r="EB496" s="2612"/>
      <c r="EC496" s="2612"/>
      <c r="ED496" s="2612"/>
      <c r="EE496" s="2612"/>
      <c r="EF496" s="1021"/>
      <c r="EG496" s="2612"/>
      <c r="EH496" s="2612"/>
      <c r="EI496" s="2612"/>
      <c r="EJ496" s="2612"/>
      <c r="EK496" s="1021"/>
      <c r="EL496" s="2612"/>
      <c r="EM496" s="2612"/>
      <c r="EN496" s="2612"/>
      <c r="EO496" s="2612"/>
      <c r="EP496" s="1021"/>
      <c r="EQ496" s="2612"/>
      <c r="ER496" s="2612"/>
      <c r="ES496" s="2612"/>
      <c r="ET496" s="2612"/>
      <c r="EU496" s="1021"/>
      <c r="EV496" s="1021"/>
      <c r="EW496" s="1021"/>
      <c r="EX496" s="1021"/>
      <c r="EY496" s="1021"/>
      <c r="EZ496" s="193"/>
      <c r="FA496" s="725"/>
      <c r="FB496" s="725"/>
    </row>
    <row r="497" spans="1:158" s="77" customFormat="1" ht="11.25" hidden="1" customHeight="1">
      <c r="A497" s="1642" t="s">
        <v>428</v>
      </c>
      <c r="B497" s="1502"/>
      <c r="C497" s="127"/>
      <c r="D497" s="127"/>
      <c r="E497" s="127"/>
      <c r="F497" s="1227"/>
      <c r="G497" s="1502"/>
      <c r="H497" s="127"/>
      <c r="I497" s="127"/>
      <c r="J497" s="127"/>
      <c r="K497" s="1219"/>
      <c r="L497" s="127"/>
      <c r="M497" s="127"/>
      <c r="N497" s="127"/>
      <c r="O497" s="127"/>
      <c r="P497" s="1001"/>
      <c r="Q497" s="127">
        <f>+Q491/U491</f>
        <v>0.17746301542335519</v>
      </c>
      <c r="R497" s="127">
        <f>+R491/U491</f>
        <v>0.24716713881019819</v>
      </c>
      <c r="S497" s="127">
        <f>+S491/U491</f>
        <v>0.27444549365229209</v>
      </c>
      <c r="T497" s="127">
        <f>+T491/U491</f>
        <v>0.30092435211415575</v>
      </c>
      <c r="U497" s="1001"/>
      <c r="V497" s="127">
        <f>+V491/Z491</f>
        <v>0.20984736365443682</v>
      </c>
      <c r="W497" s="127">
        <f>+W491/Z491</f>
        <v>0.23224580857502639</v>
      </c>
      <c r="X497" s="127">
        <f>+X491/Z491</f>
        <v>0.2707914558989204</v>
      </c>
      <c r="Y497" s="127">
        <f>+Y491/Z491</f>
        <v>0.28713746106779003</v>
      </c>
      <c r="Z497" s="1001"/>
      <c r="AA497" s="127">
        <f>+AA491/AE491</f>
        <v>0.31245778039267025</v>
      </c>
      <c r="AB497" s="127">
        <f>+AB491/AE491</f>
        <v>0.22976182693774302</v>
      </c>
      <c r="AC497" s="127">
        <f>+AC491/AE491</f>
        <v>0.21544529428428075</v>
      </c>
      <c r="AD497" s="127">
        <f>+AD491/AE491</f>
        <v>0.24233509838530595</v>
      </c>
      <c r="AE497" s="1001"/>
      <c r="AF497" s="127">
        <f>+AF491/AJ491</f>
        <v>0.20942227587632078</v>
      </c>
      <c r="AG497" s="127">
        <f>+AG491/AJ491</f>
        <v>0.23221257898571843</v>
      </c>
      <c r="AH497" s="127">
        <f>+AH491/AJ491</f>
        <v>0.25510620248621591</v>
      </c>
      <c r="AI497" s="127">
        <f>+AI491/AJ491</f>
        <v>0.30325894265174486</v>
      </c>
      <c r="AJ497" s="1001"/>
      <c r="AK497" s="127">
        <f>+AK491/AO491</f>
        <v>0.2499109432886843</v>
      </c>
      <c r="AL497" s="127">
        <f>+AL491/AO491</f>
        <v>0.24012361071530422</v>
      </c>
      <c r="AM497" s="127">
        <f>+AM491/AO491</f>
        <v>0.23754987175833453</v>
      </c>
      <c r="AN497" s="127">
        <f>+AN491/AO491</f>
        <v>0.27241557423767293</v>
      </c>
      <c r="AO497" s="1001"/>
      <c r="AP497" s="127">
        <f>+AP491/AT491</f>
        <v>0.2013918375674828</v>
      </c>
      <c r="AQ497" s="127">
        <f>+AQ491/AT491</f>
        <v>0.1855268744864684</v>
      </c>
      <c r="AR497" s="127">
        <f>+AR491/AT491</f>
        <v>0.23091048455137292</v>
      </c>
      <c r="AS497" s="127">
        <f>+AS491/AT491</f>
        <v>0.38217080339467085</v>
      </c>
      <c r="AT497" s="1001"/>
      <c r="AU497" s="127">
        <f>+AU491/AY491</f>
        <v>0.14916286377346993</v>
      </c>
      <c r="AV497" s="127">
        <f>+AV491/AY491</f>
        <v>0.27252951864667013</v>
      </c>
      <c r="AW497" s="127">
        <f>+AW491/AY491</f>
        <v>0.28397117996629845</v>
      </c>
      <c r="AX497" s="127">
        <f>+AX491/AY491</f>
        <v>0.29433643761356149</v>
      </c>
      <c r="AY497" s="1001"/>
      <c r="AZ497" s="127">
        <f>+AZ491/BD491</f>
        <v>0.23383379782844649</v>
      </c>
      <c r="BA497" s="127">
        <f>+BA491/BD491</f>
        <v>0.24518121873190837</v>
      </c>
      <c r="BB497" s="127">
        <f>+BB491/BD491</f>
        <v>0.24709914815578038</v>
      </c>
      <c r="BC497" s="127">
        <f>+BC491/BD491</f>
        <v>0.27388583528386234</v>
      </c>
      <c r="BD497" s="1001"/>
      <c r="BE497" s="127">
        <f>+BE491/BI491</f>
        <v>0.27649769585253459</v>
      </c>
      <c r="BF497" s="127">
        <f>+BF491/BI491</f>
        <v>0.23778801843317973</v>
      </c>
      <c r="BG497" s="127">
        <f>+BG491/BI491</f>
        <v>0.23410138248847925</v>
      </c>
      <c r="BH497" s="127">
        <f>+BH491/BI491</f>
        <v>0.25161290322580643</v>
      </c>
      <c r="BI497" s="1001"/>
      <c r="BJ497" s="127">
        <f>+BJ491/BN491</f>
        <v>0.1957787481804949</v>
      </c>
      <c r="BK497" s="127">
        <f>+BK491/BN491</f>
        <v>0.22561863173216884</v>
      </c>
      <c r="BL497" s="127">
        <f>+BL491/BN491</f>
        <v>0.2802037845705968</v>
      </c>
      <c r="BM497" s="127">
        <f>+BM491/BN491</f>
        <v>0.29839883551673946</v>
      </c>
      <c r="BN497" s="1001"/>
      <c r="BO497" s="42"/>
      <c r="BP497" s="42"/>
      <c r="BQ497" s="42"/>
      <c r="BR497" s="42"/>
      <c r="BS497" s="597"/>
      <c r="BT497" s="127">
        <f>+BT491/BX491</f>
        <v>0.1784197111299915</v>
      </c>
      <c r="BU497" s="127">
        <f>+BU491/BX491</f>
        <v>0.18649107901444351</v>
      </c>
      <c r="BV497" s="127">
        <f>+BV491/BX491</f>
        <v>0.28292268479184368</v>
      </c>
      <c r="BW497" s="127">
        <f>+BW491/BX491</f>
        <v>0.35216652506372131</v>
      </c>
      <c r="BX497" s="1001"/>
      <c r="BY497" s="42"/>
      <c r="BZ497" s="42"/>
      <c r="CA497" s="42"/>
      <c r="CB497" s="42"/>
      <c r="CC497" s="597"/>
      <c r="CD497" s="127">
        <f>+CD491/CH491</f>
        <v>0.20688104340004498</v>
      </c>
      <c r="CE497" s="127">
        <f>+CE491/CH491</f>
        <v>0.20800539689678435</v>
      </c>
      <c r="CF497" s="127">
        <f>+CF491/CH491</f>
        <v>0.24758263998201036</v>
      </c>
      <c r="CG497" s="127">
        <f>+CG491/CH491</f>
        <v>0.33753091972116034</v>
      </c>
      <c r="CH497" s="1001"/>
      <c r="CI497" s="127">
        <f>+CI491/CM491</f>
        <v>0.22314567978673358</v>
      </c>
      <c r="CJ497" s="127">
        <f>+CJ491/CM491</f>
        <v>0.22847734044221421</v>
      </c>
      <c r="CK497" s="127">
        <f>+CK491/CM491</f>
        <v>0.26705347342010349</v>
      </c>
      <c r="CL497" s="127">
        <f>+CL491/CM491</f>
        <v>0.28132350635094872</v>
      </c>
      <c r="CM497" s="1001"/>
      <c r="CN497" s="127">
        <f>+CN491/CR491</f>
        <v>0.23343584008946044</v>
      </c>
      <c r="CO497" s="127">
        <f>+CO491/CR491</f>
        <v>0.22784456248252727</v>
      </c>
      <c r="CP497" s="127">
        <f>+CP491/CR491</f>
        <v>0.2450377411238468</v>
      </c>
      <c r="CQ497" s="127">
        <f>+CQ491/CR491</f>
        <v>0.29368185630416549</v>
      </c>
      <c r="CR497" s="1001"/>
      <c r="CS497" s="127">
        <f>+CS491/CW491</f>
        <v>0.20555555555555555</v>
      </c>
      <c r="CT497" s="127">
        <f>+CT491/CW491</f>
        <v>0.21547619047619049</v>
      </c>
      <c r="CU497" s="127">
        <f>+CU491/CW491</f>
        <v>0.24136904761904762</v>
      </c>
      <c r="CV497" s="127">
        <f>+CV491/CW491</f>
        <v>0.33759920634920637</v>
      </c>
      <c r="CW497" s="1001"/>
      <c r="CX497" s="127">
        <f>+CX491/DB491</f>
        <v>0.21422845691382766</v>
      </c>
      <c r="CY497" s="127">
        <f>+CY491/DB491</f>
        <v>0.21649966599866399</v>
      </c>
      <c r="CZ497" s="127">
        <f>+CZ491/DB491</f>
        <v>0.23981295925183702</v>
      </c>
      <c r="DA497" s="127">
        <f>+DA491/DB491</f>
        <v>0.33166332665330661</v>
      </c>
      <c r="DB497" s="1001"/>
      <c r="DC497" s="127">
        <f>+DC491/DG491</f>
        <v>0.21878297572986283</v>
      </c>
      <c r="DD497" s="127">
        <f>+DD491/DG491</f>
        <v>0.22235063564644994</v>
      </c>
      <c r="DE497" s="127">
        <f>+DE491/DG491</f>
        <v>0.23315411285865031</v>
      </c>
      <c r="DF497" s="127">
        <f>+DF491/DG491</f>
        <v>0.32561177830259785</v>
      </c>
      <c r="DG497" s="1001"/>
      <c r="DH497" s="127">
        <f>+DH491/DL491</f>
        <v>0.20997223507635354</v>
      </c>
      <c r="DI497" s="127">
        <f>+DI491/DL491</f>
        <v>0.23831559463211477</v>
      </c>
      <c r="DJ497" s="127">
        <f>+DJ491/DL491</f>
        <v>0.24791763072651551</v>
      </c>
      <c r="DK497" s="127">
        <f>+DK491/DL491</f>
        <v>0.30379453956501618</v>
      </c>
      <c r="DL497" s="1001"/>
      <c r="DM497" s="127">
        <f>+DM491/DQ491</f>
        <v>0.20742018981880933</v>
      </c>
      <c r="DN497" s="127">
        <f>+DN491/DQ491</f>
        <v>0.23385102099511074</v>
      </c>
      <c r="DO497" s="127">
        <f>+DO491/DQ491</f>
        <v>0.25660051768766179</v>
      </c>
      <c r="DP497" s="127">
        <f>+DP491/DQ491</f>
        <v>0.3021282714984182</v>
      </c>
      <c r="DQ497" s="1001"/>
      <c r="DR497" s="127">
        <f>+DR491/DV491</f>
        <v>0.22314661924721624</v>
      </c>
      <c r="DS497" s="127">
        <f>+DS491/DV491</f>
        <v>0.23817689148566831</v>
      </c>
      <c r="DT497" s="127">
        <f>+DT491/DV491</f>
        <v>0.24861340446250899</v>
      </c>
      <c r="DU497" s="127">
        <f>+DU491/DV491</f>
        <v>0.29006308480460646</v>
      </c>
      <c r="DV497" s="1001"/>
      <c r="DW497" s="127"/>
      <c r="DX497" s="127"/>
      <c r="DY497" s="127"/>
      <c r="DZ497" s="127"/>
      <c r="EA497" s="597"/>
      <c r="EB497" s="127"/>
      <c r="EC497" s="127"/>
      <c r="ED497" s="127"/>
      <c r="EE497" s="127"/>
      <c r="EF497" s="597"/>
      <c r="EG497" s="127"/>
      <c r="EH497" s="127"/>
      <c r="EI497" s="127"/>
      <c r="EJ497" s="127"/>
      <c r="EK497" s="597"/>
      <c r="EL497" s="127"/>
      <c r="EM497" s="127"/>
      <c r="EN497" s="127"/>
      <c r="EO497" s="127"/>
      <c r="EP497" s="597"/>
      <c r="EQ497" s="127"/>
      <c r="ER497" s="127"/>
      <c r="ES497" s="127"/>
      <c r="ET497" s="127"/>
      <c r="EU497" s="597"/>
      <c r="EV497" s="597"/>
      <c r="EW497" s="597"/>
      <c r="EX497" s="597"/>
      <c r="EY497" s="597"/>
      <c r="EZ497" s="42"/>
      <c r="FA497" s="725"/>
      <c r="FB497" s="725"/>
    </row>
    <row r="498" spans="1:158" s="168" customFormat="1" ht="11.25" hidden="1" customHeight="1" collapsed="1">
      <c r="A498" s="3075" t="s">
        <v>638</v>
      </c>
      <c r="B498" s="4413"/>
      <c r="C498" s="2973"/>
      <c r="D498" s="2973"/>
      <c r="E498" s="2973"/>
      <c r="F498" s="4414"/>
      <c r="G498" s="4413"/>
      <c r="H498" s="2973"/>
      <c r="I498" s="2973"/>
      <c r="J498" s="2973"/>
      <c r="K498" s="4437"/>
      <c r="L498" s="2973"/>
      <c r="M498" s="2973"/>
      <c r="N498" s="2973"/>
      <c r="O498" s="4415"/>
      <c r="P498" s="4437"/>
      <c r="Q498" s="4413"/>
      <c r="R498" s="2973"/>
      <c r="S498" s="2973"/>
      <c r="T498" s="4415"/>
      <c r="U498" s="4437"/>
      <c r="V498" s="4416"/>
      <c r="W498" s="2973"/>
      <c r="X498" s="2973"/>
      <c r="Y498" s="4415"/>
      <c r="Z498" s="4437"/>
      <c r="AA498" s="4413"/>
      <c r="AB498" s="2973"/>
      <c r="AC498" s="2973"/>
      <c r="AD498" s="4415"/>
      <c r="AE498" s="4437"/>
      <c r="AF498" s="4413"/>
      <c r="AG498" s="2973"/>
      <c r="AH498" s="2973"/>
      <c r="AI498" s="4415"/>
      <c r="AJ498" s="4437"/>
      <c r="AK498" s="4413"/>
      <c r="AL498" s="2973"/>
      <c r="AM498" s="2973"/>
      <c r="AN498" s="4415"/>
      <c r="AO498" s="4437"/>
      <c r="AP498" s="4413"/>
      <c r="AQ498" s="2973"/>
      <c r="AR498" s="2973"/>
      <c r="AS498" s="4415"/>
      <c r="AT498" s="4437"/>
      <c r="AU498" s="4413"/>
      <c r="AV498" s="2973"/>
      <c r="AW498" s="2973"/>
      <c r="AX498" s="4415"/>
      <c r="AY498" s="4437"/>
      <c r="AZ498" s="4413"/>
      <c r="BA498" s="2973"/>
      <c r="BB498" s="2973"/>
      <c r="BC498" s="4415"/>
      <c r="BD498" s="4437"/>
      <c r="BE498" s="4413"/>
      <c r="BF498" s="2973"/>
      <c r="BG498" s="2973"/>
      <c r="BH498" s="4415"/>
      <c r="BI498" s="4437"/>
      <c r="BJ498" s="4413"/>
      <c r="BK498" s="2973"/>
      <c r="BL498" s="2973"/>
      <c r="BM498" s="2973"/>
      <c r="BN498" s="4437"/>
      <c r="BO498" s="2973"/>
      <c r="BP498" s="2973"/>
      <c r="BQ498" s="2973"/>
      <c r="BR498" s="2973"/>
      <c r="BS498" s="4437"/>
      <c r="BT498" s="2973"/>
      <c r="BU498" s="2973"/>
      <c r="BV498" s="2973"/>
      <c r="BW498" s="2973"/>
      <c r="BX498" s="4437"/>
      <c r="BY498" s="2973"/>
      <c r="BZ498" s="2973"/>
      <c r="CA498" s="2973"/>
      <c r="CB498" s="2973"/>
      <c r="CC498" s="4437"/>
      <c r="CD498" s="4417"/>
      <c r="CE498" s="2973"/>
      <c r="CF498" s="2973"/>
      <c r="CG498" s="2973"/>
      <c r="CH498" s="4437"/>
      <c r="CI498" s="3095"/>
      <c r="CJ498" s="2973"/>
      <c r="CK498" s="2973"/>
      <c r="CL498" s="2973"/>
      <c r="CM498" s="4437"/>
      <c r="CN498" s="2973">
        <f t="shared" ref="CN498:DV498" si="1328">SUM(CN36,CN491)</f>
        <v>17178</v>
      </c>
      <c r="CO498" s="2973">
        <f t="shared" si="1328"/>
        <v>17653</v>
      </c>
      <c r="CP498" s="2973">
        <f t="shared" si="1328"/>
        <v>18534</v>
      </c>
      <c r="CQ498" s="2973">
        <f t="shared" si="1328"/>
        <v>21179</v>
      </c>
      <c r="CR498" s="4437">
        <f t="shared" si="1328"/>
        <v>74544</v>
      </c>
      <c r="CS498" s="2973">
        <f t="shared" si="1328"/>
        <v>20092</v>
      </c>
      <c r="CT498" s="2973">
        <f t="shared" si="1328"/>
        <v>21315</v>
      </c>
      <c r="CU498" s="2973">
        <f t="shared" si="1328"/>
        <v>22254</v>
      </c>
      <c r="CV498" s="2973">
        <f t="shared" si="1328"/>
        <v>25802</v>
      </c>
      <c r="CW498" s="4437">
        <f t="shared" si="1328"/>
        <v>89463</v>
      </c>
      <c r="CX498" s="2973">
        <f t="shared" si="1328"/>
        <v>24618</v>
      </c>
      <c r="CY498" s="2973">
        <f t="shared" si="1328"/>
        <v>25913</v>
      </c>
      <c r="CZ498" s="2973">
        <f t="shared" si="1328"/>
        <v>27655</v>
      </c>
      <c r="DA498" s="2973">
        <f t="shared" si="1328"/>
        <v>32192</v>
      </c>
      <c r="DB498" s="4437">
        <f t="shared" si="1328"/>
        <v>110547</v>
      </c>
      <c r="DC498" s="2973">
        <f t="shared" si="1328"/>
        <v>30996</v>
      </c>
      <c r="DD498" s="2973">
        <f t="shared" si="1328"/>
        <v>32512</v>
      </c>
      <c r="DE498" s="2973">
        <f t="shared" si="1328"/>
        <v>33594</v>
      </c>
      <c r="DF498" s="2973">
        <f t="shared" si="1328"/>
        <v>38998</v>
      </c>
      <c r="DG498" s="4437">
        <f t="shared" si="1328"/>
        <v>136362</v>
      </c>
      <c r="DH498" s="2973">
        <f t="shared" si="1328"/>
        <v>36032</v>
      </c>
      <c r="DI498" s="2973">
        <f t="shared" si="1328"/>
        <v>38674</v>
      </c>
      <c r="DJ498" s="2973">
        <f t="shared" si="1328"/>
        <v>40225</v>
      </c>
      <c r="DK498" s="2973">
        <f t="shared" si="1328"/>
        <v>45812</v>
      </c>
      <c r="DL498" s="4437">
        <f t="shared" si="1328"/>
        <v>160743</v>
      </c>
      <c r="DM498" s="2973">
        <f t="shared" si="1328"/>
        <v>40975</v>
      </c>
      <c r="DN498" s="2973">
        <f t="shared" si="1328"/>
        <v>37998</v>
      </c>
      <c r="DO498" s="2973">
        <f t="shared" si="1328"/>
        <v>46017</v>
      </c>
      <c r="DP498" s="2973">
        <f t="shared" si="1328"/>
        <v>56704</v>
      </c>
      <c r="DQ498" s="4437">
        <f t="shared" si="1328"/>
        <v>181694</v>
      </c>
      <c r="DR498" s="2973">
        <f t="shared" si="1328"/>
        <v>55225</v>
      </c>
      <c r="DS498" s="2973">
        <f t="shared" si="1328"/>
        <v>61695</v>
      </c>
      <c r="DT498" s="2973">
        <f t="shared" si="1328"/>
        <v>64874</v>
      </c>
      <c r="DU498" s="2973">
        <f t="shared" si="1328"/>
        <v>74941</v>
      </c>
      <c r="DV498" s="4437">
        <f t="shared" si="1328"/>
        <v>256735</v>
      </c>
      <c r="DW498" s="2973"/>
      <c r="DX498" s="2973"/>
      <c r="DY498" s="2973"/>
      <c r="DZ498" s="2973"/>
      <c r="EA498" s="4437">
        <f>SUM(EA36,EA491)</f>
        <v>279808</v>
      </c>
      <c r="EB498" s="2973"/>
      <c r="EC498" s="2973"/>
      <c r="ED498" s="2973"/>
      <c r="EE498" s="2973"/>
      <c r="EF498" s="4437">
        <f>SUM(EF36,EF491)</f>
        <v>305631</v>
      </c>
      <c r="EG498" s="2973"/>
      <c r="EH498" s="2973"/>
      <c r="EI498" s="2973"/>
      <c r="EJ498" s="2973"/>
      <c r="EK498" s="4437">
        <f>SUM(EK36,EK491)</f>
        <v>348159</v>
      </c>
      <c r="EL498" s="2973"/>
      <c r="EM498" s="2973"/>
      <c r="EN498" s="2973"/>
      <c r="EO498" s="2973"/>
      <c r="EP498" s="4437">
        <f>SUM(EP36,EP491)</f>
        <v>399977.86037584115</v>
      </c>
      <c r="EQ498" s="2973"/>
      <c r="ER498" s="2973"/>
      <c r="ES498" s="2973"/>
      <c r="ET498" s="2973"/>
      <c r="EU498" s="4437">
        <f>SUM(EU36,EU491)</f>
        <v>467201.53602707409</v>
      </c>
      <c r="EV498" s="4437">
        <f>SUM(EV36,EV491)</f>
        <v>528839.27817556518</v>
      </c>
      <c r="EW498" s="4437">
        <f>SUM(EW36,EW491)</f>
        <v>592039.36496466468</v>
      </c>
      <c r="EX498" s="4437">
        <f>SUM(EX36,EX491)</f>
        <v>654493.69732684433</v>
      </c>
      <c r="EY498" s="4437">
        <f>SUM(EY36,EY491)</f>
        <v>719126.58288967842</v>
      </c>
      <c r="EZ498" s="167"/>
      <c r="FA498" s="1319">
        <f>(EP498/DO498)^(1/3)-1</f>
        <v>1.0560762518082334</v>
      </c>
      <c r="FB498" s="1319">
        <f>(EV498/DO498)^(1/5)-1</f>
        <v>0.62960024138755522</v>
      </c>
    </row>
    <row r="499" spans="1:158" s="77" customFormat="1" ht="11.25" hidden="1" customHeight="1">
      <c r="A499" s="1571" t="s">
        <v>45</v>
      </c>
      <c r="B499" s="1502"/>
      <c r="C499" s="127"/>
      <c r="D499" s="127"/>
      <c r="E499" s="127"/>
      <c r="F499" s="1227"/>
      <c r="G499" s="1502"/>
      <c r="H499" s="127"/>
      <c r="I499" s="127"/>
      <c r="J499" s="127"/>
      <c r="K499" s="2303"/>
      <c r="L499" s="127"/>
      <c r="M499" s="127"/>
      <c r="N499" s="127"/>
      <c r="O499" s="127"/>
      <c r="P499" s="2304"/>
      <c r="Q499" s="1502"/>
      <c r="R499" s="127"/>
      <c r="S499" s="127"/>
      <c r="T499" s="127"/>
      <c r="U499" s="2304"/>
      <c r="V499" s="1502"/>
      <c r="W499" s="127"/>
      <c r="X499" s="127"/>
      <c r="Y499" s="127"/>
      <c r="Z499" s="2304"/>
      <c r="AA499" s="1502"/>
      <c r="AB499" s="127"/>
      <c r="AC499" s="127"/>
      <c r="AD499" s="127"/>
      <c r="AE499" s="2304"/>
      <c r="AF499" s="1502"/>
      <c r="AG499" s="127"/>
      <c r="AH499" s="127"/>
      <c r="AI499" s="127"/>
      <c r="AJ499" s="2304"/>
      <c r="AK499" s="1502"/>
      <c r="AL499" s="127"/>
      <c r="AM499" s="127"/>
      <c r="AN499" s="125"/>
      <c r="AO499" s="2304"/>
      <c r="AP499" s="1502"/>
      <c r="AQ499" s="127"/>
      <c r="AR499" s="127"/>
      <c r="AS499" s="125"/>
      <c r="AT499" s="2304"/>
      <c r="AU499" s="1502"/>
      <c r="AV499" s="127"/>
      <c r="AW499" s="127"/>
      <c r="AX499" s="125"/>
      <c r="AY499" s="2304"/>
      <c r="AZ499" s="1502"/>
      <c r="BA499" s="127"/>
      <c r="BB499" s="127"/>
      <c r="BC499" s="125"/>
      <c r="BD499" s="2304"/>
      <c r="BE499" s="1502"/>
      <c r="BF499" s="127"/>
      <c r="BG499" s="127"/>
      <c r="BH499" s="125"/>
      <c r="BI499" s="2304"/>
      <c r="BJ499" s="1502"/>
      <c r="BK499" s="127"/>
      <c r="BL499" s="127"/>
      <c r="BM499" s="127"/>
      <c r="BN499" s="2304"/>
      <c r="BO499" s="42"/>
      <c r="BP499" s="42"/>
      <c r="BQ499" s="42"/>
      <c r="BR499" s="42"/>
      <c r="BS499" s="2304"/>
      <c r="BT499" s="127"/>
      <c r="BU499" s="127"/>
      <c r="BV499" s="127"/>
      <c r="BW499" s="127"/>
      <c r="BX499" s="2304"/>
      <c r="BY499" s="42"/>
      <c r="BZ499" s="42"/>
      <c r="CA499" s="42"/>
      <c r="CB499" s="42"/>
      <c r="CC499" s="2304"/>
      <c r="CD499" s="1289"/>
      <c r="CE499" s="127"/>
      <c r="CF499" s="127"/>
      <c r="CG499" s="127"/>
      <c r="CH499" s="2304"/>
      <c r="CI499" s="127"/>
      <c r="CJ499" s="127"/>
      <c r="CK499" s="127"/>
      <c r="CL499" s="127"/>
      <c r="CM499" s="2304"/>
      <c r="CN499" s="127"/>
      <c r="CO499" s="127"/>
      <c r="CP499" s="127"/>
      <c r="CQ499" s="127"/>
      <c r="CR499" s="2304"/>
      <c r="CS499" s="169">
        <f t="shared" ref="CS499:DG499" si="1329">+CS498/CN498-1</f>
        <v>0.16963558039352655</v>
      </c>
      <c r="CT499" s="169">
        <f t="shared" si="1329"/>
        <v>0.20744349402367868</v>
      </c>
      <c r="CU499" s="169">
        <f t="shared" si="1329"/>
        <v>0.20071220459695693</v>
      </c>
      <c r="CV499" s="169">
        <f t="shared" si="1329"/>
        <v>0.21828226072996837</v>
      </c>
      <c r="CW499" s="992">
        <f t="shared" si="1329"/>
        <v>0.20013683193818421</v>
      </c>
      <c r="CX499" s="169">
        <f t="shared" si="1329"/>
        <v>0.22526378658172397</v>
      </c>
      <c r="CY499" s="169">
        <f t="shared" si="1329"/>
        <v>0.21571663148017839</v>
      </c>
      <c r="CZ499" s="169">
        <f t="shared" si="1329"/>
        <v>0.24269794194302152</v>
      </c>
      <c r="DA499" s="169">
        <f t="shared" si="1329"/>
        <v>0.24765522052554068</v>
      </c>
      <c r="DB499" s="992">
        <f t="shared" si="1329"/>
        <v>0.23567284799302501</v>
      </c>
      <c r="DC499" s="2612">
        <f t="shared" si="1329"/>
        <v>0.25907872288569345</v>
      </c>
      <c r="DD499" s="2612">
        <f t="shared" si="1329"/>
        <v>0.25465982325473702</v>
      </c>
      <c r="DE499" s="2612">
        <f t="shared" si="1329"/>
        <v>0.21475320918459584</v>
      </c>
      <c r="DF499" s="2612">
        <f t="shared" si="1329"/>
        <v>0.21141898608349896</v>
      </c>
      <c r="DG499" s="2588">
        <f t="shared" si="1329"/>
        <v>0.23352058400499343</v>
      </c>
      <c r="DH499" s="2628" t="s">
        <v>116</v>
      </c>
      <c r="DI499" s="2628" t="s">
        <v>116</v>
      </c>
      <c r="DJ499" s="2628" t="s">
        <v>116</v>
      </c>
      <c r="DK499" s="2612">
        <f t="shared" ref="DK499:DQ499" si="1330">+DK498/DF498-1</f>
        <v>0.17472690907226007</v>
      </c>
      <c r="DL499" s="992">
        <f t="shared" si="1330"/>
        <v>0.17879614555374657</v>
      </c>
      <c r="DM499" s="2612">
        <f t="shared" si="1330"/>
        <v>0.1371836145648313</v>
      </c>
      <c r="DN499" s="2612">
        <f t="shared" si="1330"/>
        <v>-1.7479443553808816E-2</v>
      </c>
      <c r="DO499" s="2612">
        <f t="shared" si="1330"/>
        <v>0.14399005593536351</v>
      </c>
      <c r="DP499" s="2612">
        <f t="shared" si="1330"/>
        <v>0.23775430018335797</v>
      </c>
      <c r="DQ499" s="2588">
        <f t="shared" si="1330"/>
        <v>0.13033849063411784</v>
      </c>
      <c r="DR499" s="2612">
        <f>+DR498/DM498-1</f>
        <v>0.34777303233679069</v>
      </c>
      <c r="DS499" s="2612">
        <f>+DS498/DN498-1</f>
        <v>0.62363808621506389</v>
      </c>
      <c r="DT499" s="2612">
        <f>+DT498/DO498-1</f>
        <v>0.4097833409392182</v>
      </c>
      <c r="DU499" s="2612">
        <f>+DU498/DP498-1</f>
        <v>0.32161752257336351</v>
      </c>
      <c r="DV499" s="2588">
        <f>+DV498/DQ498-1</f>
        <v>0.41300758417999495</v>
      </c>
      <c r="DW499" s="2612"/>
      <c r="DX499" s="2612"/>
      <c r="DY499" s="2612"/>
      <c r="DZ499" s="2612"/>
      <c r="EA499" s="2319">
        <f>EA498/DV498-1</f>
        <v>8.9870878532338772E-2</v>
      </c>
      <c r="EB499" s="2612"/>
      <c r="EC499" s="2612"/>
      <c r="ED499" s="2612"/>
      <c r="EE499" s="2612"/>
      <c r="EF499" s="2319">
        <f>EF498/EA498-1</f>
        <v>9.2288283394327486E-2</v>
      </c>
      <c r="EG499" s="2612"/>
      <c r="EH499" s="2612"/>
      <c r="EI499" s="2612"/>
      <c r="EJ499" s="2612"/>
      <c r="EK499" s="2319">
        <f>EK498/EF498-1</f>
        <v>0.13914818850182087</v>
      </c>
      <c r="EL499" s="2612"/>
      <c r="EM499" s="2612"/>
      <c r="EN499" s="2612"/>
      <c r="EO499" s="2612"/>
      <c r="EP499" s="2319">
        <f>EP498/EK498-1</f>
        <v>0.14883676818879055</v>
      </c>
      <c r="EQ499" s="2612"/>
      <c r="ER499" s="2612"/>
      <c r="ES499" s="2612"/>
      <c r="ET499" s="2612"/>
      <c r="EU499" s="2319">
        <f>EU498/EP498-1</f>
        <v>0.16806849156117254</v>
      </c>
      <c r="EV499" s="2319">
        <f>EV498/EU498-1</f>
        <v>0.13192966502772641</v>
      </c>
      <c r="EW499" s="2319">
        <f>EW498/EV498-1</f>
        <v>0.11950717240053077</v>
      </c>
      <c r="EX499" s="2319">
        <f>EX498/EW498-1</f>
        <v>0.10549016848889292</v>
      </c>
      <c r="EY499" s="2319">
        <f>EY498/EX498-1</f>
        <v>9.875249498477201E-2</v>
      </c>
      <c r="EZ499" s="42"/>
      <c r="FA499" s="725"/>
      <c r="FB499" s="725"/>
    </row>
    <row r="500" spans="1:158" s="77" customFormat="1" ht="11.25" hidden="1" customHeight="1">
      <c r="A500" s="1571" t="s">
        <v>46</v>
      </c>
      <c r="B500" s="1502"/>
      <c r="C500" s="127"/>
      <c r="D500" s="127"/>
      <c r="E500" s="127"/>
      <c r="F500" s="1227"/>
      <c r="G500" s="1502"/>
      <c r="H500" s="127"/>
      <c r="I500" s="127"/>
      <c r="J500" s="127"/>
      <c r="K500" s="2303"/>
      <c r="L500" s="127"/>
      <c r="M500" s="127"/>
      <c r="N500" s="127"/>
      <c r="O500" s="127"/>
      <c r="P500" s="2304"/>
      <c r="Q500" s="1502"/>
      <c r="R500" s="127"/>
      <c r="S500" s="127"/>
      <c r="T500" s="127"/>
      <c r="U500" s="2304"/>
      <c r="V500" s="1502"/>
      <c r="W500" s="127"/>
      <c r="X500" s="127"/>
      <c r="Y500" s="127"/>
      <c r="Z500" s="2304"/>
      <c r="AA500" s="1502"/>
      <c r="AB500" s="127"/>
      <c r="AC500" s="127"/>
      <c r="AD500" s="127"/>
      <c r="AE500" s="2304"/>
      <c r="AF500" s="1502"/>
      <c r="AG500" s="127"/>
      <c r="AH500" s="127"/>
      <c r="AI500" s="127"/>
      <c r="AJ500" s="2304"/>
      <c r="AK500" s="1502"/>
      <c r="AL500" s="127"/>
      <c r="AM500" s="127"/>
      <c r="AN500" s="125"/>
      <c r="AO500" s="2304"/>
      <c r="AP500" s="1502"/>
      <c r="AQ500" s="127"/>
      <c r="AR500" s="127"/>
      <c r="AS500" s="125"/>
      <c r="AT500" s="2304"/>
      <c r="AU500" s="1502"/>
      <c r="AV500" s="127"/>
      <c r="AW500" s="127"/>
      <c r="AX500" s="125"/>
      <c r="AY500" s="2304"/>
      <c r="AZ500" s="1502"/>
      <c r="BA500" s="127"/>
      <c r="BB500" s="127"/>
      <c r="BC500" s="125"/>
      <c r="BD500" s="2304"/>
      <c r="BE500" s="1502"/>
      <c r="BF500" s="127"/>
      <c r="BG500" s="127"/>
      <c r="BH500" s="125"/>
      <c r="BI500" s="2304"/>
      <c r="BJ500" s="1502"/>
      <c r="BK500" s="127"/>
      <c r="BL500" s="127"/>
      <c r="BM500" s="127"/>
      <c r="BN500" s="2304"/>
      <c r="BO500" s="42"/>
      <c r="BP500" s="42"/>
      <c r="BQ500" s="42"/>
      <c r="BR500" s="42"/>
      <c r="BS500" s="2304"/>
      <c r="BT500" s="127"/>
      <c r="BU500" s="127"/>
      <c r="BV500" s="127"/>
      <c r="BW500" s="127"/>
      <c r="BX500" s="2304"/>
      <c r="BY500" s="42"/>
      <c r="BZ500" s="42"/>
      <c r="CA500" s="42"/>
      <c r="CB500" s="42"/>
      <c r="CC500" s="2304"/>
      <c r="CD500" s="1289"/>
      <c r="CE500" s="127"/>
      <c r="CF500" s="127"/>
      <c r="CG500" s="127"/>
      <c r="CH500" s="2304"/>
      <c r="CI500" s="127"/>
      <c r="CJ500" s="127"/>
      <c r="CK500" s="127"/>
      <c r="CL500" s="127"/>
      <c r="CM500" s="2304"/>
      <c r="CN500" s="127"/>
      <c r="CO500" s="127"/>
      <c r="CP500" s="127"/>
      <c r="CQ500" s="127"/>
      <c r="CR500" s="2304"/>
      <c r="CS500" s="169">
        <f>+CS498/CQ498-1</f>
        <v>-5.1324425138108531E-2</v>
      </c>
      <c r="CT500" s="169">
        <f>+CT498/CS498-1</f>
        <v>6.0869998009157822E-2</v>
      </c>
      <c r="CU500" s="169">
        <f>+CU498/CT498-1</f>
        <v>4.4053483462350496E-2</v>
      </c>
      <c r="CV500" s="169">
        <f>+CV498/CU498-1</f>
        <v>0.1594320122225219</v>
      </c>
      <c r="CW500" s="1021"/>
      <c r="CX500" s="169">
        <f>+CX498/CV498-1</f>
        <v>-4.588791566545225E-2</v>
      </c>
      <c r="CY500" s="169">
        <f>+CY498/CX498-1</f>
        <v>5.2603785847753715E-2</v>
      </c>
      <c r="CZ500" s="169">
        <f>+CZ498/CY498-1</f>
        <v>6.7224945008296899E-2</v>
      </c>
      <c r="DA500" s="169">
        <f>+DA498/CZ498-1</f>
        <v>0.16405713252576382</v>
      </c>
      <c r="DB500" s="1021"/>
      <c r="DC500" s="2612">
        <f>+DC498/DA498-1</f>
        <v>-3.7152087475149087E-2</v>
      </c>
      <c r="DD500" s="2612">
        <f>+DD498/DC498-1</f>
        <v>4.8909536714414781E-2</v>
      </c>
      <c r="DE500" s="2612">
        <f>+DE498/DD498-1</f>
        <v>3.3280019685039353E-2</v>
      </c>
      <c r="DF500" s="2612">
        <f>+DF498/DE498-1</f>
        <v>0.1608620587009586</v>
      </c>
      <c r="DG500" s="1021"/>
      <c r="DH500" s="2612">
        <f>+DH498/DF498-1</f>
        <v>-7.6055182317041892E-2</v>
      </c>
      <c r="DI500" s="2612">
        <f>+DI498/DH498-1</f>
        <v>7.3323712255772611E-2</v>
      </c>
      <c r="DJ500" s="2612">
        <f>+DJ498/DI498-1</f>
        <v>4.0104462946682462E-2</v>
      </c>
      <c r="DK500" s="2612">
        <f>+DK498/DJ498-1</f>
        <v>0.13889372280919821</v>
      </c>
      <c r="DL500" s="2304"/>
      <c r="DM500" s="2612">
        <f>+DM498/DK498-1</f>
        <v>-0.105583689862918</v>
      </c>
      <c r="DN500" s="2612">
        <f>+DN498/DM498-1</f>
        <v>-7.2654057352043888E-2</v>
      </c>
      <c r="DO500" s="2612">
        <f>+DO498/DN498-1</f>
        <v>0.21103742302226425</v>
      </c>
      <c r="DP500" s="2612">
        <f>+DP498/DO498-1</f>
        <v>0.23224025903470458</v>
      </c>
      <c r="DQ500" s="2304"/>
      <c r="DR500" s="2612">
        <f>+DR498/DP498-1</f>
        <v>-2.6082816027088063E-2</v>
      </c>
      <c r="DS500" s="2612">
        <f>+DS498/DR498-1</f>
        <v>0.11715708465368935</v>
      </c>
      <c r="DT500" s="2612">
        <f>+DT498/DS498-1</f>
        <v>5.1527676472971962E-2</v>
      </c>
      <c r="DU500" s="2612">
        <f>+DU498/DT498-1</f>
        <v>0.15517772913647998</v>
      </c>
      <c r="DV500" s="2304"/>
      <c r="DW500" s="2612"/>
      <c r="DX500" s="2612"/>
      <c r="DY500" s="2612"/>
      <c r="DZ500" s="2612"/>
      <c r="EA500" s="1001"/>
      <c r="EB500" s="2612"/>
      <c r="EC500" s="2612"/>
      <c r="ED500" s="2612"/>
      <c r="EE500" s="2612"/>
      <c r="EF500" s="1001"/>
      <c r="EG500" s="2612"/>
      <c r="EH500" s="2612"/>
      <c r="EI500" s="2612"/>
      <c r="EJ500" s="2612"/>
      <c r="EK500" s="1001"/>
      <c r="EL500" s="2612"/>
      <c r="EM500" s="2612"/>
      <c r="EN500" s="2612"/>
      <c r="EO500" s="2612"/>
      <c r="EP500" s="1001"/>
      <c r="EQ500" s="2612"/>
      <c r="ER500" s="2612"/>
      <c r="ES500" s="2612"/>
      <c r="ET500" s="2612"/>
      <c r="EU500" s="1001"/>
      <c r="EV500" s="1001"/>
      <c r="EW500" s="1001"/>
      <c r="EX500" s="1001"/>
      <c r="EY500" s="1001"/>
      <c r="EZ500" s="42"/>
      <c r="FA500" s="725"/>
      <c r="FB500" s="725"/>
    </row>
    <row r="501" spans="1:158" s="77" customFormat="1" ht="11.25" hidden="1" customHeight="1">
      <c r="A501" s="1559" t="s">
        <v>428</v>
      </c>
      <c r="B501" s="1502"/>
      <c r="C501" s="127"/>
      <c r="D501" s="127"/>
      <c r="E501" s="127"/>
      <c r="F501" s="1227"/>
      <c r="G501" s="1502"/>
      <c r="H501" s="127"/>
      <c r="I501" s="127"/>
      <c r="J501" s="127"/>
      <c r="K501" s="2303"/>
      <c r="L501" s="127"/>
      <c r="M501" s="127"/>
      <c r="N501" s="127"/>
      <c r="O501" s="127"/>
      <c r="P501" s="2304"/>
      <c r="Q501" s="1502"/>
      <c r="R501" s="127"/>
      <c r="S501" s="127"/>
      <c r="T501" s="127"/>
      <c r="U501" s="2304"/>
      <c r="V501" s="1502"/>
      <c r="W501" s="127"/>
      <c r="X501" s="127"/>
      <c r="Y501" s="127"/>
      <c r="Z501" s="2304"/>
      <c r="AA501" s="1502"/>
      <c r="AB501" s="127"/>
      <c r="AC501" s="127"/>
      <c r="AD501" s="127"/>
      <c r="AE501" s="2304"/>
      <c r="AF501" s="1502"/>
      <c r="AG501" s="127"/>
      <c r="AH501" s="127"/>
      <c r="AI501" s="127"/>
      <c r="AJ501" s="2304"/>
      <c r="AK501" s="1502"/>
      <c r="AL501" s="127"/>
      <c r="AM501" s="127"/>
      <c r="AN501" s="125"/>
      <c r="AO501" s="2304"/>
      <c r="AP501" s="1502"/>
      <c r="AQ501" s="127"/>
      <c r="AR501" s="127"/>
      <c r="AS501" s="125"/>
      <c r="AT501" s="2304"/>
      <c r="AU501" s="1502"/>
      <c r="AV501" s="127"/>
      <c r="AW501" s="127"/>
      <c r="AX501" s="125"/>
      <c r="AY501" s="2304"/>
      <c r="AZ501" s="1502"/>
      <c r="BA501" s="127"/>
      <c r="BB501" s="127"/>
      <c r="BC501" s="125"/>
      <c r="BD501" s="2304"/>
      <c r="BE501" s="1502"/>
      <c r="BF501" s="127"/>
      <c r="BG501" s="127"/>
      <c r="BH501" s="125"/>
      <c r="BI501" s="2304"/>
      <c r="BJ501" s="1502"/>
      <c r="BK501" s="127"/>
      <c r="BL501" s="127"/>
      <c r="BM501" s="127"/>
      <c r="BN501" s="2304"/>
      <c r="BO501" s="42"/>
      <c r="BP501" s="42"/>
      <c r="BQ501" s="42"/>
      <c r="BR501" s="42"/>
      <c r="BS501" s="2304"/>
      <c r="BT501" s="127"/>
      <c r="BU501" s="127"/>
      <c r="BV501" s="127"/>
      <c r="BW501" s="127"/>
      <c r="BX501" s="2304"/>
      <c r="BY501" s="42"/>
      <c r="BZ501" s="42"/>
      <c r="CA501" s="42"/>
      <c r="CB501" s="42"/>
      <c r="CC501" s="2304"/>
      <c r="CD501" s="1289"/>
      <c r="CE501" s="127"/>
      <c r="CF501" s="127"/>
      <c r="CG501" s="127"/>
      <c r="CH501" s="2304"/>
      <c r="CI501" s="127"/>
      <c r="CJ501" s="127"/>
      <c r="CK501" s="127"/>
      <c r="CL501" s="127"/>
      <c r="CM501" s="2304"/>
      <c r="CN501" s="127">
        <f>+CN498/CR498</f>
        <v>0.2304410817772054</v>
      </c>
      <c r="CO501" s="127">
        <f>+CO498/CR498</f>
        <v>0.23681315732989913</v>
      </c>
      <c r="CP501" s="127">
        <f>+CP498/CR498</f>
        <v>0.24863168061815841</v>
      </c>
      <c r="CQ501" s="127">
        <f>+CQ498/CR498</f>
        <v>0.28411408027473706</v>
      </c>
      <c r="CR501" s="2304"/>
      <c r="CS501" s="127">
        <f>+CS498/CW498</f>
        <v>0.22458446508612498</v>
      </c>
      <c r="CT501" s="127">
        <f>+CT498/CW498</f>
        <v>0.23825492102880522</v>
      </c>
      <c r="CU501" s="127">
        <f>+CU498/CW498</f>
        <v>0.24875088025217129</v>
      </c>
      <c r="CV501" s="127">
        <f>+CV498/CW498</f>
        <v>0.28840973363289851</v>
      </c>
      <c r="CW501" s="1001"/>
      <c r="CX501" s="127">
        <f>+CX498/DB498</f>
        <v>0.22269261038291405</v>
      </c>
      <c r="CY501" s="127">
        <f>+CY498/DB498</f>
        <v>0.23440708476937411</v>
      </c>
      <c r="CZ501" s="127">
        <f>+CZ498/DB498</f>
        <v>0.25016508815255051</v>
      </c>
      <c r="DA501" s="127">
        <f>+DA498/DB498</f>
        <v>0.29120645517291288</v>
      </c>
      <c r="DB501" s="1001"/>
      <c r="DC501" s="127">
        <f>+DC498/DG498</f>
        <v>0.22730672768073218</v>
      </c>
      <c r="DD501" s="127">
        <f>+DD498/DG498</f>
        <v>0.23842419442366641</v>
      </c>
      <c r="DE501" s="127">
        <f>+DE498/DG498</f>
        <v>0.2463589563074757</v>
      </c>
      <c r="DF501" s="127">
        <f>+DF498/DG498</f>
        <v>0.28598876519851574</v>
      </c>
      <c r="DG501" s="1001"/>
      <c r="DH501" s="127">
        <f>+DH498/DL498</f>
        <v>0.224159061358815</v>
      </c>
      <c r="DI501" s="127">
        <f>+DI498/DL498</f>
        <v>0.24059523587341283</v>
      </c>
      <c r="DJ501" s="127">
        <f>+DJ498/DL498</f>
        <v>0.25024417859564646</v>
      </c>
      <c r="DK501" s="127">
        <f>+DK498/DL498</f>
        <v>0.28500152417212571</v>
      </c>
      <c r="DL501" s="2304"/>
      <c r="DM501" s="127">
        <f>+DM498/DQ498</f>
        <v>0.22551652778847953</v>
      </c>
      <c r="DN501" s="127">
        <f>+DN498/DQ498</f>
        <v>0.20913183704470154</v>
      </c>
      <c r="DO501" s="127">
        <f>+DO498/DQ498</f>
        <v>0.25326648100652743</v>
      </c>
      <c r="DP501" s="127">
        <f>+DP498/DQ498</f>
        <v>0.31208515416029148</v>
      </c>
      <c r="DQ501" s="2304"/>
      <c r="DR501" s="127">
        <f>+DR498/DV498</f>
        <v>0.21510506942956745</v>
      </c>
      <c r="DS501" s="127">
        <f>+DS498/DV498</f>
        <v>0.24030615225816504</v>
      </c>
      <c r="DT501" s="127">
        <f>+DT498/DV498</f>
        <v>0.25268856992618849</v>
      </c>
      <c r="DU501" s="127">
        <f>+DU498/DV498</f>
        <v>0.29190020838607905</v>
      </c>
      <c r="DV501" s="2304"/>
      <c r="DW501" s="127"/>
      <c r="DX501" s="127"/>
      <c r="DY501" s="127"/>
      <c r="DZ501" s="127"/>
      <c r="EA501" s="1001"/>
      <c r="EB501" s="127"/>
      <c r="EC501" s="127"/>
      <c r="ED501" s="127"/>
      <c r="EE501" s="127"/>
      <c r="EF501" s="1001"/>
      <c r="EG501" s="127"/>
      <c r="EH501" s="127"/>
      <c r="EI501" s="127"/>
      <c r="EJ501" s="127"/>
      <c r="EK501" s="1001"/>
      <c r="EL501" s="127"/>
      <c r="EM501" s="127"/>
      <c r="EN501" s="127"/>
      <c r="EO501" s="127"/>
      <c r="EP501" s="1001"/>
      <c r="EQ501" s="127"/>
      <c r="ER501" s="127"/>
      <c r="ES501" s="127"/>
      <c r="ET501" s="127"/>
      <c r="EU501" s="1001"/>
      <c r="EV501" s="1001"/>
      <c r="EW501" s="1001"/>
      <c r="EX501" s="1001"/>
      <c r="EY501" s="1001"/>
      <c r="EZ501" s="42"/>
      <c r="FA501" s="725"/>
      <c r="FB501" s="725"/>
    </row>
    <row r="502" spans="1:158" s="252" customFormat="1" ht="11.25" hidden="1" customHeight="1">
      <c r="A502" s="2353" t="s">
        <v>845</v>
      </c>
      <c r="B502" s="2354"/>
      <c r="C502" s="2355"/>
      <c r="D502" s="2355"/>
      <c r="E502" s="2355"/>
      <c r="F502" s="2356"/>
      <c r="G502" s="2354"/>
      <c r="H502" s="2355"/>
      <c r="I502" s="2355"/>
      <c r="J502" s="2355"/>
      <c r="K502" s="2357"/>
      <c r="L502" s="2358"/>
      <c r="M502" s="2358"/>
      <c r="N502" s="2358"/>
      <c r="O502" s="2358"/>
      <c r="P502" s="2490"/>
      <c r="Q502" s="2359"/>
      <c r="R502" s="2358"/>
      <c r="S502" s="2358"/>
      <c r="T502" s="2358"/>
      <c r="U502" s="2490"/>
      <c r="V502" s="2359"/>
      <c r="W502" s="2358"/>
      <c r="X502" s="2358"/>
      <c r="Y502" s="2358"/>
      <c r="Z502" s="2490"/>
      <c r="AA502" s="2359"/>
      <c r="AB502" s="2358"/>
      <c r="AC502" s="2358"/>
      <c r="AD502" s="2358"/>
      <c r="AE502" s="2490"/>
      <c r="AF502" s="2359"/>
      <c r="AG502" s="2358"/>
      <c r="AH502" s="2358"/>
      <c r="AI502" s="2358"/>
      <c r="AJ502" s="2490"/>
      <c r="AK502" s="2359"/>
      <c r="AL502" s="2358"/>
      <c r="AM502" s="2358"/>
      <c r="AN502" s="2358"/>
      <c r="AO502" s="2490"/>
      <c r="AP502" s="2359"/>
      <c r="AQ502" s="2358"/>
      <c r="AR502" s="2358"/>
      <c r="AS502" s="2358"/>
      <c r="AT502" s="2490"/>
      <c r="AU502" s="2359"/>
      <c r="AV502" s="2358"/>
      <c r="AW502" s="2358"/>
      <c r="AX502" s="2358"/>
      <c r="AY502" s="2490"/>
      <c r="AZ502" s="2359"/>
      <c r="BA502" s="2358"/>
      <c r="BB502" s="2358"/>
      <c r="BC502" s="2358"/>
      <c r="BD502" s="2490"/>
      <c r="BE502" s="2359"/>
      <c r="BF502" s="2358"/>
      <c r="BG502" s="2358"/>
      <c r="BH502" s="2358"/>
      <c r="BI502" s="2490"/>
      <c r="BJ502" s="2359"/>
      <c r="BK502" s="2358"/>
      <c r="BL502" s="2358"/>
      <c r="BM502" s="2358"/>
      <c r="BN502" s="2490"/>
      <c r="BO502" s="2358"/>
      <c r="BP502" s="2358"/>
      <c r="BQ502" s="2358"/>
      <c r="BR502" s="2358"/>
      <c r="BS502" s="2490"/>
      <c r="BT502" s="2358"/>
      <c r="BU502" s="2358"/>
      <c r="BV502" s="2358"/>
      <c r="BW502" s="2358"/>
      <c r="BX502" s="2490"/>
      <c r="BY502" s="2358"/>
      <c r="BZ502" s="2358"/>
      <c r="CA502" s="2358"/>
      <c r="CB502" s="2358"/>
      <c r="CC502" s="2490"/>
      <c r="CD502" s="2491"/>
      <c r="CE502" s="2358"/>
      <c r="CF502" s="2358"/>
      <c r="CG502" s="2358"/>
      <c r="CH502" s="2490"/>
      <c r="CI502" s="2360"/>
      <c r="CJ502" s="2358"/>
      <c r="CK502" s="2358"/>
      <c r="CL502" s="2358"/>
      <c r="CM502" s="2490"/>
      <c r="CN502" s="2358"/>
      <c r="CO502" s="2358"/>
      <c r="CP502" s="2358"/>
      <c r="CQ502" s="2358"/>
      <c r="CR502" s="2490"/>
      <c r="CS502" s="2358"/>
      <c r="CT502" s="2358"/>
      <c r="CU502" s="2358"/>
      <c r="CV502" s="2358"/>
      <c r="CW502" s="2490"/>
      <c r="CX502" s="2358"/>
      <c r="CY502" s="2358"/>
      <c r="CZ502" s="2358"/>
      <c r="DA502" s="2358"/>
      <c r="DB502" s="3522" t="s">
        <v>755</v>
      </c>
      <c r="DC502" s="2358"/>
      <c r="DD502" s="2358"/>
      <c r="DE502" s="2358"/>
      <c r="DF502" s="2358"/>
      <c r="DG502" s="2490"/>
      <c r="DH502" s="2358"/>
      <c r="DI502" s="2358"/>
      <c r="DJ502" s="2358"/>
      <c r="DK502" s="2358"/>
      <c r="DL502" s="2490"/>
      <c r="DM502" s="2358"/>
      <c r="DN502" s="2358"/>
      <c r="DO502" s="2358"/>
      <c r="DP502" s="2358"/>
      <c r="DQ502" s="2490"/>
      <c r="DR502" s="2358"/>
      <c r="DS502" s="2358"/>
      <c r="DT502" s="2358"/>
      <c r="DU502" s="2358"/>
      <c r="DV502" s="2490"/>
      <c r="DW502" s="2358"/>
      <c r="DX502" s="2358"/>
      <c r="DY502" s="2358"/>
      <c r="DZ502" s="2358"/>
      <c r="EA502" s="2490"/>
      <c r="EB502" s="2358"/>
      <c r="EC502" s="2358"/>
      <c r="ED502" s="2358"/>
      <c r="EE502" s="2358"/>
      <c r="EF502" s="2490"/>
      <c r="EG502" s="2358"/>
      <c r="EH502" s="2358"/>
      <c r="EI502" s="2358"/>
      <c r="EJ502" s="2358"/>
      <c r="EK502" s="2490"/>
      <c r="EL502" s="2358"/>
      <c r="EM502" s="2358"/>
      <c r="EN502" s="2358"/>
      <c r="EO502" s="2358"/>
      <c r="EP502" s="2490"/>
      <c r="EQ502" s="2358"/>
      <c r="ER502" s="2358"/>
      <c r="ES502" s="2358"/>
      <c r="ET502" s="2358"/>
      <c r="EU502" s="2490"/>
      <c r="EV502" s="2490"/>
      <c r="EW502" s="2490"/>
      <c r="EX502" s="2490"/>
      <c r="EY502" s="2490"/>
      <c r="EZ502" s="251"/>
      <c r="FA502" s="725"/>
      <c r="FB502" s="725"/>
    </row>
    <row r="503" spans="1:158" s="252" customFormat="1" ht="11.25" hidden="1" customHeight="1">
      <c r="A503" s="2981" t="s">
        <v>439</v>
      </c>
      <c r="B503" s="2982"/>
      <c r="C503" s="2983"/>
      <c r="D503" s="2983"/>
      <c r="E503" s="2983"/>
      <c r="F503" s="3084"/>
      <c r="G503" s="2982"/>
      <c r="H503" s="2983"/>
      <c r="I503" s="2983"/>
      <c r="J503" s="2983"/>
      <c r="K503" s="2984"/>
      <c r="L503" s="2985"/>
      <c r="M503" s="2985"/>
      <c r="N503" s="2985"/>
      <c r="O503" s="2985"/>
      <c r="P503" s="2987"/>
      <c r="Q503" s="2986"/>
      <c r="R503" s="2985"/>
      <c r="S503" s="2985"/>
      <c r="T503" s="2985"/>
      <c r="U503" s="2987"/>
      <c r="V503" s="2986"/>
      <c r="W503" s="2985"/>
      <c r="X503" s="2985"/>
      <c r="Y503" s="2985"/>
      <c r="Z503" s="2987"/>
      <c r="AA503" s="2986"/>
      <c r="AB503" s="2985"/>
      <c r="AC503" s="2985"/>
      <c r="AD503" s="2985"/>
      <c r="AE503" s="2987"/>
      <c r="AF503" s="2986"/>
      <c r="AG503" s="2985"/>
      <c r="AH503" s="2985"/>
      <c r="AI503" s="2985"/>
      <c r="AJ503" s="2987"/>
      <c r="AK503" s="2986"/>
      <c r="AL503" s="2985"/>
      <c r="AM503" s="2985"/>
      <c r="AN503" s="2985"/>
      <c r="AO503" s="2987"/>
      <c r="AP503" s="2986"/>
      <c r="AQ503" s="2985"/>
      <c r="AR503" s="2985"/>
      <c r="AS503" s="2985"/>
      <c r="AT503" s="2987"/>
      <c r="AU503" s="2986"/>
      <c r="AV503" s="2985"/>
      <c r="AW503" s="2985"/>
      <c r="AX503" s="2985"/>
      <c r="AY503" s="2987"/>
      <c r="AZ503" s="2986"/>
      <c r="BA503" s="2985"/>
      <c r="BB503" s="2985"/>
      <c r="BC503" s="2985"/>
      <c r="BD503" s="2987"/>
      <c r="BE503" s="2986"/>
      <c r="BF503" s="2985"/>
      <c r="BG503" s="2985"/>
      <c r="BH503" s="2985"/>
      <c r="BI503" s="2987"/>
      <c r="BJ503" s="2986"/>
      <c r="BK503" s="2985"/>
      <c r="BL503" s="2985"/>
      <c r="BM503" s="2985"/>
      <c r="BN503" s="2987"/>
      <c r="BO503" s="2985"/>
      <c r="BP503" s="2985"/>
      <c r="BQ503" s="2985"/>
      <c r="BR503" s="2985"/>
      <c r="BS503" s="2987"/>
      <c r="BT503" s="2985"/>
      <c r="BU503" s="2985"/>
      <c r="BV503" s="2985"/>
      <c r="BW503" s="2985"/>
      <c r="BX503" s="2987"/>
      <c r="BY503" s="2985"/>
      <c r="BZ503" s="2985"/>
      <c r="CA503" s="2985"/>
      <c r="CB503" s="2985"/>
      <c r="CC503" s="2987"/>
      <c r="CD503" s="2988"/>
      <c r="CE503" s="2985"/>
      <c r="CF503" s="2985"/>
      <c r="CG503" s="2985"/>
      <c r="CH503" s="2987"/>
      <c r="CI503" s="2989"/>
      <c r="CJ503" s="2985"/>
      <c r="CK503" s="2985"/>
      <c r="CL503" s="2985">
        <f>CL512-CL507</f>
        <v>1688</v>
      </c>
      <c r="CM503" s="2987">
        <f>CM512-CM507</f>
        <v>6050</v>
      </c>
      <c r="CN503" s="2990">
        <v>1670</v>
      </c>
      <c r="CO503" s="2990">
        <v>1630</v>
      </c>
      <c r="CP503" s="2990">
        <v>1753</v>
      </c>
      <c r="CQ503" s="2990">
        <v>2101</v>
      </c>
      <c r="CR503" s="2987">
        <f>SUM(CN503:CQ503)</f>
        <v>7154</v>
      </c>
      <c r="CS503" s="2990">
        <v>2072</v>
      </c>
      <c r="CT503" s="2990">
        <v>2172</v>
      </c>
      <c r="CU503" s="2990">
        <v>2433</v>
      </c>
      <c r="CV503" s="2990">
        <v>3403</v>
      </c>
      <c r="CW503" s="2987">
        <f>SUM(CS503:CV503)</f>
        <v>10080</v>
      </c>
      <c r="CX503" s="2990">
        <f>3095+244-132</f>
        <v>3207</v>
      </c>
      <c r="CY503" s="2990">
        <f>3090+248-97</f>
        <v>3241</v>
      </c>
      <c r="CZ503" s="2990">
        <f>3405+302-117</f>
        <v>3590</v>
      </c>
      <c r="DA503" s="2990">
        <f>4687+409-131</f>
        <v>4965</v>
      </c>
      <c r="DB503" s="2987">
        <f>SUM(CX503:DA503)</f>
        <v>15003</v>
      </c>
      <c r="DC503" s="2990">
        <v>4354</v>
      </c>
      <c r="DD503" s="2990">
        <v>4425</v>
      </c>
      <c r="DE503" s="2990">
        <v>4640</v>
      </c>
      <c r="DF503" s="2990">
        <v>6487</v>
      </c>
      <c r="DG503" s="2987">
        <f>SUM(DC503:DF503)</f>
        <v>19906</v>
      </c>
      <c r="DH503" s="2990">
        <v>5449</v>
      </c>
      <c r="DI503" s="2990">
        <v>6181</v>
      </c>
      <c r="DJ503" s="2990">
        <v>6428</v>
      </c>
      <c r="DK503" s="2990"/>
      <c r="DL503" s="2987"/>
      <c r="DM503" s="2985"/>
      <c r="DN503" s="2985"/>
      <c r="DO503" s="2985"/>
      <c r="DP503" s="2985"/>
      <c r="DQ503" s="2987"/>
      <c r="DR503" s="2985"/>
      <c r="DS503" s="2985"/>
      <c r="DT503" s="2985"/>
      <c r="DU503" s="2985"/>
      <c r="DV503" s="2987"/>
      <c r="DW503" s="2985"/>
      <c r="DX503" s="2985"/>
      <c r="DY503" s="2985"/>
      <c r="DZ503" s="2985"/>
      <c r="EA503" s="2984"/>
      <c r="EB503" s="2985"/>
      <c r="EC503" s="2985"/>
      <c r="ED503" s="2985"/>
      <c r="EE503" s="2985"/>
      <c r="EF503" s="2984"/>
      <c r="EG503" s="2985"/>
      <c r="EH503" s="2985"/>
      <c r="EI503" s="2985"/>
      <c r="EJ503" s="2985"/>
      <c r="EK503" s="2984"/>
      <c r="EL503" s="2985"/>
      <c r="EM503" s="2985"/>
      <c r="EN503" s="2985"/>
      <c r="EO503" s="2985"/>
      <c r="EP503" s="2984"/>
      <c r="EQ503" s="2985"/>
      <c r="ER503" s="2985"/>
      <c r="ES503" s="2985"/>
      <c r="ET503" s="2985"/>
      <c r="EU503" s="2984"/>
      <c r="EV503" s="2984"/>
      <c r="EW503" s="2984"/>
      <c r="EX503" s="2984"/>
      <c r="EY503" s="2984"/>
      <c r="EZ503" s="251"/>
      <c r="FA503" s="1319"/>
      <c r="FB503" s="1319"/>
    </row>
    <row r="504" spans="1:158" s="183" customFormat="1" ht="11.25" hidden="1" customHeight="1">
      <c r="A504" s="1571" t="s">
        <v>45</v>
      </c>
      <c r="B504" s="1224"/>
      <c r="C504" s="181"/>
      <c r="D504" s="181"/>
      <c r="E504" s="182"/>
      <c r="F504" s="1225"/>
      <c r="G504" s="1224"/>
      <c r="H504" s="181"/>
      <c r="I504" s="181"/>
      <c r="J504" s="181"/>
      <c r="K504" s="991"/>
      <c r="L504" s="181"/>
      <c r="M504" s="181"/>
      <c r="N504" s="181"/>
      <c r="O504" s="181"/>
      <c r="P504" s="992"/>
      <c r="Q504" s="1224"/>
      <c r="R504" s="181"/>
      <c r="S504" s="181"/>
      <c r="T504" s="181"/>
      <c r="U504" s="992"/>
      <c r="V504" s="1226"/>
      <c r="W504" s="169"/>
      <c r="X504" s="169"/>
      <c r="Y504" s="169"/>
      <c r="Z504" s="992"/>
      <c r="AA504" s="1226"/>
      <c r="AB504" s="169"/>
      <c r="AC504" s="169"/>
      <c r="AD504" s="169"/>
      <c r="AE504" s="992"/>
      <c r="AF504" s="1226"/>
      <c r="AG504" s="169"/>
      <c r="AH504" s="169"/>
      <c r="AI504" s="169"/>
      <c r="AJ504" s="992"/>
      <c r="AK504" s="1226"/>
      <c r="AL504" s="169"/>
      <c r="AM504" s="169"/>
      <c r="AN504" s="169"/>
      <c r="AO504" s="992"/>
      <c r="AP504" s="1226"/>
      <c r="AQ504" s="169"/>
      <c r="AR504" s="169"/>
      <c r="AS504" s="169"/>
      <c r="AT504" s="992"/>
      <c r="AU504" s="1226"/>
      <c r="AV504" s="169"/>
      <c r="AW504" s="169"/>
      <c r="AX504" s="169"/>
      <c r="AY504" s="992"/>
      <c r="AZ504" s="1226"/>
      <c r="BA504" s="169"/>
      <c r="BB504" s="169"/>
      <c r="BC504" s="169"/>
      <c r="BD504" s="992"/>
      <c r="BE504" s="1226"/>
      <c r="BF504" s="169"/>
      <c r="BG504" s="169"/>
      <c r="BH504" s="169"/>
      <c r="BI504" s="992"/>
      <c r="BJ504" s="1226"/>
      <c r="BK504" s="169"/>
      <c r="BL504" s="169"/>
      <c r="BM504" s="169"/>
      <c r="BN504" s="992"/>
      <c r="BO504" s="169"/>
      <c r="BP504" s="169"/>
      <c r="BQ504" s="169"/>
      <c r="BR504" s="169"/>
      <c r="BS504" s="600"/>
      <c r="BT504" s="169"/>
      <c r="BU504" s="169"/>
      <c r="BV504" s="169"/>
      <c r="BW504" s="169"/>
      <c r="BX504" s="992"/>
      <c r="BY504" s="169"/>
      <c r="BZ504" s="169"/>
      <c r="CA504" s="169"/>
      <c r="CB504" s="169"/>
      <c r="CC504" s="600"/>
      <c r="CD504" s="576"/>
      <c r="CE504" s="169"/>
      <c r="CF504" s="169"/>
      <c r="CG504" s="169"/>
      <c r="CH504" s="992"/>
      <c r="CI504" s="169"/>
      <c r="CJ504" s="169"/>
      <c r="CK504" s="169"/>
      <c r="CL504" s="169"/>
      <c r="CM504" s="992"/>
      <c r="CN504" s="169"/>
      <c r="CO504" s="169"/>
      <c r="CP504" s="169"/>
      <c r="CQ504" s="169">
        <f t="shared" ref="CQ504:CW504" si="1331">+CQ503/CL503-1</f>
        <v>0.24466824644549767</v>
      </c>
      <c r="CR504" s="992">
        <f t="shared" si="1331"/>
        <v>0.18247933884297529</v>
      </c>
      <c r="CS504" s="169">
        <f t="shared" si="1331"/>
        <v>0.24071856287425142</v>
      </c>
      <c r="CT504" s="169">
        <f t="shared" si="1331"/>
        <v>0.33251533742331296</v>
      </c>
      <c r="CU504" s="169">
        <f t="shared" si="1331"/>
        <v>0.38790644609241309</v>
      </c>
      <c r="CV504" s="169">
        <f t="shared" si="1331"/>
        <v>0.61970490242741549</v>
      </c>
      <c r="CW504" s="992">
        <f t="shared" si="1331"/>
        <v>0.40900195694716235</v>
      </c>
      <c r="CX504" s="2557" t="s">
        <v>116</v>
      </c>
      <c r="CY504" s="2557" t="s">
        <v>116</v>
      </c>
      <c r="CZ504" s="2557" t="s">
        <v>116</v>
      </c>
      <c r="DA504" s="2557" t="s">
        <v>116</v>
      </c>
      <c r="DB504" s="3549" t="s">
        <v>116</v>
      </c>
      <c r="DC504" s="2612">
        <f>+DC503/CX503-1</f>
        <v>0.3576551294044279</v>
      </c>
      <c r="DD504" s="2612">
        <f>+DD503/CY503-1</f>
        <v>0.36531934588090098</v>
      </c>
      <c r="DE504" s="2612">
        <f t="shared" ref="DE504:DJ504" si="1332">+DE503/CZ503-1</f>
        <v>0.29247910863509752</v>
      </c>
      <c r="DF504" s="2612">
        <f t="shared" si="1332"/>
        <v>0.30654582074521652</v>
      </c>
      <c r="DG504" s="2588">
        <f>+DG503/DB503-1</f>
        <v>0.32680130640538563</v>
      </c>
      <c r="DH504" s="2612">
        <f t="shared" si="1332"/>
        <v>0.2514928801102434</v>
      </c>
      <c r="DI504" s="2612">
        <f t="shared" si="1332"/>
        <v>0.3968361581920905</v>
      </c>
      <c r="DJ504" s="2612">
        <f t="shared" si="1332"/>
        <v>0.38534482758620681</v>
      </c>
      <c r="DK504" s="2612"/>
      <c r="DL504" s="2588"/>
      <c r="DM504" s="2628"/>
      <c r="DN504" s="2628"/>
      <c r="DO504" s="2628"/>
      <c r="DP504" s="2628"/>
      <c r="DQ504" s="2588"/>
      <c r="DR504" s="2628"/>
      <c r="DS504" s="2628"/>
      <c r="DT504" s="2628"/>
      <c r="DU504" s="2628"/>
      <c r="DV504" s="2588"/>
      <c r="DW504" s="2628"/>
      <c r="DX504" s="2628"/>
      <c r="DY504" s="2628"/>
      <c r="DZ504" s="2628"/>
      <c r="EA504" s="2247"/>
      <c r="EB504" s="2628"/>
      <c r="EC504" s="2628"/>
      <c r="ED504" s="2628"/>
      <c r="EE504" s="2628"/>
      <c r="EF504" s="2247"/>
      <c r="EG504" s="2628"/>
      <c r="EH504" s="2628"/>
      <c r="EI504" s="2628"/>
      <c r="EJ504" s="2628"/>
      <c r="EK504" s="2247"/>
      <c r="EL504" s="2628"/>
      <c r="EM504" s="2628"/>
      <c r="EN504" s="2628"/>
      <c r="EO504" s="2628"/>
      <c r="EP504" s="2247"/>
      <c r="EQ504" s="2628"/>
      <c r="ER504" s="2628"/>
      <c r="ES504" s="2628"/>
      <c r="ET504" s="2628"/>
      <c r="EU504" s="2247"/>
      <c r="EV504" s="2247"/>
      <c r="EW504" s="2247"/>
      <c r="EX504" s="2247"/>
      <c r="EY504" s="2247"/>
      <c r="EZ504" s="169"/>
      <c r="FA504" s="1103"/>
      <c r="FB504" s="1103"/>
    </row>
    <row r="505" spans="1:158" s="194" customFormat="1" ht="11.25" hidden="1" customHeight="1">
      <c r="A505" s="1571" t="s">
        <v>46</v>
      </c>
      <c r="B505" s="1226"/>
      <c r="C505" s="169"/>
      <c r="D505" s="169"/>
      <c r="E505" s="169"/>
      <c r="F505" s="1228"/>
      <c r="G505" s="1226"/>
      <c r="H505" s="169"/>
      <c r="I505" s="169"/>
      <c r="J505" s="169"/>
      <c r="K505" s="1381"/>
      <c r="L505" s="169"/>
      <c r="M505" s="169"/>
      <c r="N505" s="169"/>
      <c r="O505" s="169"/>
      <c r="P505" s="1021"/>
      <c r="Q505" s="1226"/>
      <c r="R505" s="169"/>
      <c r="S505" s="169"/>
      <c r="T505" s="169"/>
      <c r="U505" s="1021"/>
      <c r="V505" s="1226"/>
      <c r="W505" s="169"/>
      <c r="X505" s="169"/>
      <c r="Y505" s="169"/>
      <c r="Z505" s="1021"/>
      <c r="AA505" s="1226"/>
      <c r="AB505" s="169"/>
      <c r="AC505" s="169"/>
      <c r="AD505" s="169"/>
      <c r="AE505" s="1021"/>
      <c r="AF505" s="1226"/>
      <c r="AG505" s="169"/>
      <c r="AH505" s="169"/>
      <c r="AI505" s="169"/>
      <c r="AJ505" s="1021"/>
      <c r="AK505" s="1226"/>
      <c r="AL505" s="169"/>
      <c r="AM505" s="169"/>
      <c r="AN505" s="184"/>
      <c r="AO505" s="1021"/>
      <c r="AP505" s="1226"/>
      <c r="AQ505" s="169"/>
      <c r="AR505" s="169"/>
      <c r="AS505" s="184"/>
      <c r="AT505" s="1021"/>
      <c r="AU505" s="1226"/>
      <c r="AV505" s="169"/>
      <c r="AW505" s="169"/>
      <c r="AX505" s="184"/>
      <c r="AY505" s="1021"/>
      <c r="AZ505" s="1226"/>
      <c r="BA505" s="169"/>
      <c r="BB505" s="169"/>
      <c r="BC505" s="184"/>
      <c r="BD505" s="1021"/>
      <c r="BE505" s="1226"/>
      <c r="BF505" s="169"/>
      <c r="BG505" s="169"/>
      <c r="BH505" s="184"/>
      <c r="BI505" s="1021"/>
      <c r="BJ505" s="1226"/>
      <c r="BK505" s="169"/>
      <c r="BL505" s="169"/>
      <c r="BM505" s="169"/>
      <c r="BN505" s="1021"/>
      <c r="BO505" s="193"/>
      <c r="BP505" s="193"/>
      <c r="BQ505" s="193"/>
      <c r="BR505" s="193"/>
      <c r="BS505" s="2430"/>
      <c r="BT505" s="169"/>
      <c r="BU505" s="169"/>
      <c r="BV505" s="169"/>
      <c r="BW505" s="169"/>
      <c r="BX505" s="1021"/>
      <c r="BY505" s="193"/>
      <c r="BZ505" s="193"/>
      <c r="CA505" s="193"/>
      <c r="CB505" s="193"/>
      <c r="CC505" s="2430"/>
      <c r="CD505" s="576"/>
      <c r="CE505" s="169"/>
      <c r="CF505" s="169"/>
      <c r="CG505" s="169"/>
      <c r="CH505" s="1021"/>
      <c r="CI505" s="1226"/>
      <c r="CJ505" s="169"/>
      <c r="CK505" s="169"/>
      <c r="CL505" s="169"/>
      <c r="CM505" s="1021"/>
      <c r="CN505" s="169">
        <f>+CN503/CL503-1</f>
        <v>-1.0663507109004766E-2</v>
      </c>
      <c r="CO505" s="169">
        <f>+CO503/CN503-1</f>
        <v>-2.39520958083832E-2</v>
      </c>
      <c r="CP505" s="169">
        <f>+CP503/CO503-1</f>
        <v>7.5460122699386512E-2</v>
      </c>
      <c r="CQ505" s="169">
        <f>+CQ503/CP503-1</f>
        <v>0.19851682829435258</v>
      </c>
      <c r="CR505" s="1021"/>
      <c r="CS505" s="169">
        <f>+CS503/CQ503-1</f>
        <v>-1.3802950975725814E-2</v>
      </c>
      <c r="CT505" s="169">
        <f>+CT503/CS503-1</f>
        <v>4.8262548262548277E-2</v>
      </c>
      <c r="CU505" s="169">
        <f>+CU503/CT503-1</f>
        <v>0.12016574585635365</v>
      </c>
      <c r="CV505" s="169">
        <f>+CV503/CU503-1</f>
        <v>0.39868475133579939</v>
      </c>
      <c r="CW505" s="1021"/>
      <c r="CX505" s="2557" t="s">
        <v>116</v>
      </c>
      <c r="CY505" s="169">
        <f>+CY503/CX503-1</f>
        <v>1.0601808543810431E-2</v>
      </c>
      <c r="CZ505" s="169">
        <f>+CZ503/CY503-1</f>
        <v>0.10768281394631285</v>
      </c>
      <c r="DA505" s="169">
        <f>+DA503/CZ503-1</f>
        <v>0.38300835654596099</v>
      </c>
      <c r="DB505" s="1021"/>
      <c r="DC505" s="2612">
        <f>+DC503/DA503-1</f>
        <v>-0.12306143001007053</v>
      </c>
      <c r="DD505" s="2612">
        <f>+DD503/DC503-1</f>
        <v>1.6306844281120725E-2</v>
      </c>
      <c r="DE505" s="2612">
        <f>+DE503/DD503-1</f>
        <v>4.8587570621468901E-2</v>
      </c>
      <c r="DF505" s="2612">
        <f>+DF503/DE503-1</f>
        <v>0.39806034482758612</v>
      </c>
      <c r="DG505" s="1021"/>
      <c r="DH505" s="2612">
        <f>+DH503/DF503-1</f>
        <v>-0.16001233235702172</v>
      </c>
      <c r="DI505" s="2612">
        <f>+DI503/DH503-1</f>
        <v>0.1343365755184438</v>
      </c>
      <c r="DJ505" s="2612">
        <f>+DJ503/DI503-1</f>
        <v>3.996117133149979E-2</v>
      </c>
      <c r="DK505" s="2612"/>
      <c r="DL505" s="1021"/>
      <c r="DM505" s="2612"/>
      <c r="DN505" s="2612"/>
      <c r="DO505" s="2612"/>
      <c r="DP505" s="2612"/>
      <c r="DQ505" s="1021"/>
      <c r="DR505" s="2612"/>
      <c r="DS505" s="2612"/>
      <c r="DT505" s="2612"/>
      <c r="DU505" s="2612"/>
      <c r="DV505" s="1021"/>
      <c r="DW505" s="2612"/>
      <c r="DX505" s="2612"/>
      <c r="DY505" s="2612"/>
      <c r="DZ505" s="2612"/>
      <c r="EA505" s="2430"/>
      <c r="EB505" s="2612"/>
      <c r="EC505" s="2612"/>
      <c r="ED505" s="2612"/>
      <c r="EE505" s="2612"/>
      <c r="EF505" s="2430"/>
      <c r="EG505" s="2612"/>
      <c r="EH505" s="2612"/>
      <c r="EI505" s="2612"/>
      <c r="EJ505" s="2612"/>
      <c r="EK505" s="2430"/>
      <c r="EL505" s="2612"/>
      <c r="EM505" s="2612"/>
      <c r="EN505" s="2612"/>
      <c r="EO505" s="2612"/>
      <c r="EP505" s="2430"/>
      <c r="EQ505" s="2612"/>
      <c r="ER505" s="2612"/>
      <c r="ES505" s="2612"/>
      <c r="ET505" s="2612"/>
      <c r="EU505" s="2430"/>
      <c r="EV505" s="2430"/>
      <c r="EW505" s="2430"/>
      <c r="EX505" s="2430"/>
      <c r="EY505" s="2430"/>
      <c r="EZ505" s="193"/>
      <c r="FA505" s="725"/>
      <c r="FB505" s="725"/>
    </row>
    <row r="506" spans="1:158" s="77" customFormat="1" ht="11.25" hidden="1" customHeight="1">
      <c r="A506" s="1559" t="s">
        <v>428</v>
      </c>
      <c r="B506" s="1502"/>
      <c r="C506" s="127"/>
      <c r="D506" s="127"/>
      <c r="E506" s="127"/>
      <c r="F506" s="1227"/>
      <c r="G506" s="1502"/>
      <c r="H506" s="127"/>
      <c r="I506" s="127"/>
      <c r="J506" s="127"/>
      <c r="K506" s="1219"/>
      <c r="L506" s="127"/>
      <c r="M506" s="127"/>
      <c r="N506" s="127"/>
      <c r="O506" s="127"/>
      <c r="P506" s="1001"/>
      <c r="Q506" s="1502"/>
      <c r="R506" s="127"/>
      <c r="S506" s="127"/>
      <c r="T506" s="127"/>
      <c r="U506" s="1001"/>
      <c r="V506" s="1502"/>
      <c r="W506" s="127"/>
      <c r="X506" s="127"/>
      <c r="Y506" s="127"/>
      <c r="Z506" s="1001"/>
      <c r="AA506" s="1502"/>
      <c r="AB506" s="127"/>
      <c r="AC506" s="127"/>
      <c r="AD506" s="127"/>
      <c r="AE506" s="1001"/>
      <c r="AF506" s="1502"/>
      <c r="AG506" s="127"/>
      <c r="AH506" s="127"/>
      <c r="AI506" s="127"/>
      <c r="AJ506" s="1001"/>
      <c r="AK506" s="1502"/>
      <c r="AL506" s="127"/>
      <c r="AM506" s="127"/>
      <c r="AN506" s="125"/>
      <c r="AO506" s="1001"/>
      <c r="AP506" s="1502"/>
      <c r="AQ506" s="127"/>
      <c r="AR506" s="127"/>
      <c r="AS506" s="125"/>
      <c r="AT506" s="1001"/>
      <c r="AU506" s="1502"/>
      <c r="AV506" s="127"/>
      <c r="AW506" s="127"/>
      <c r="AX506" s="125"/>
      <c r="AY506" s="1001"/>
      <c r="AZ506" s="1502"/>
      <c r="BA506" s="127"/>
      <c r="BB506" s="127"/>
      <c r="BC506" s="125"/>
      <c r="BD506" s="1001"/>
      <c r="BE506" s="1502"/>
      <c r="BF506" s="127"/>
      <c r="BG506" s="127"/>
      <c r="BH506" s="125"/>
      <c r="BI506" s="1001"/>
      <c r="BJ506" s="1502"/>
      <c r="BK506" s="127"/>
      <c r="BL506" s="127"/>
      <c r="BM506" s="127"/>
      <c r="BN506" s="1001"/>
      <c r="BO506" s="42"/>
      <c r="BP506" s="42"/>
      <c r="BQ506" s="42"/>
      <c r="BR506" s="42"/>
      <c r="BS506" s="1001"/>
      <c r="BT506" s="127"/>
      <c r="BU506" s="127"/>
      <c r="BV506" s="127"/>
      <c r="BW506" s="127"/>
      <c r="BX506" s="1001"/>
      <c r="BY506" s="42"/>
      <c r="BZ506" s="42"/>
      <c r="CA506" s="42"/>
      <c r="CB506" s="42"/>
      <c r="CC506" s="1001"/>
      <c r="CD506" s="1250"/>
      <c r="CE506" s="127"/>
      <c r="CF506" s="127"/>
      <c r="CG506" s="127"/>
      <c r="CH506" s="1001"/>
      <c r="CI506" s="127"/>
      <c r="CJ506" s="127"/>
      <c r="CK506" s="127"/>
      <c r="CL506" s="127"/>
      <c r="CM506" s="1001"/>
      <c r="CN506" s="127">
        <f>+CN503/CR503</f>
        <v>0.23343584008946044</v>
      </c>
      <c r="CO506" s="127">
        <f>+CO503/CR503</f>
        <v>0.22784456248252727</v>
      </c>
      <c r="CP506" s="127">
        <f>+CP503/CR503</f>
        <v>0.2450377411238468</v>
      </c>
      <c r="CQ506" s="127">
        <f>+CQ503/CR503</f>
        <v>0.29368185630416549</v>
      </c>
      <c r="CR506" s="1001"/>
      <c r="CS506" s="127">
        <f>+CS503/CW503</f>
        <v>0.20555555555555555</v>
      </c>
      <c r="CT506" s="127">
        <f>+CT503/CW503</f>
        <v>0.21547619047619049</v>
      </c>
      <c r="CU506" s="127">
        <f>+CU503/CW503</f>
        <v>0.24136904761904762</v>
      </c>
      <c r="CV506" s="127">
        <f>+CV503/CW503</f>
        <v>0.33759920634920637</v>
      </c>
      <c r="CW506" s="1001"/>
      <c r="CX506" s="127">
        <f>+CX503/DB503</f>
        <v>0.21375724855028994</v>
      </c>
      <c r="CY506" s="127">
        <f>+CY503/DB503</f>
        <v>0.2160234619742718</v>
      </c>
      <c r="CZ506" s="127">
        <f>+CZ503/DB503</f>
        <v>0.23928547623808571</v>
      </c>
      <c r="DA506" s="127">
        <f>+DA503/DB503</f>
        <v>0.33093381323735255</v>
      </c>
      <c r="DB506" s="1001"/>
      <c r="DC506" s="127">
        <f>+DC503/DG503</f>
        <v>0.2187280217019994</v>
      </c>
      <c r="DD506" s="127">
        <f>+DD503/DG503</f>
        <v>0.2222947854918115</v>
      </c>
      <c r="DE506" s="127">
        <f>+DE503/DG503</f>
        <v>0.2330955490806792</v>
      </c>
      <c r="DF506" s="127">
        <f>+DF503/DG503</f>
        <v>0.32588164372550987</v>
      </c>
      <c r="DG506" s="1001">
        <f>(DF504-DE504)*10000</f>
        <v>140.66712110119005</v>
      </c>
      <c r="DH506" s="127"/>
      <c r="DI506" s="127"/>
      <c r="DJ506" s="127"/>
      <c r="DK506" s="127"/>
      <c r="DL506" s="1001"/>
      <c r="DM506" s="127"/>
      <c r="DN506" s="127"/>
      <c r="DO506" s="127"/>
      <c r="DP506" s="127"/>
      <c r="DQ506" s="1001"/>
      <c r="DR506" s="127"/>
      <c r="DS506" s="127"/>
      <c r="DT506" s="127"/>
      <c r="DU506" s="127"/>
      <c r="DV506" s="1001"/>
      <c r="DW506" s="127"/>
      <c r="DX506" s="127"/>
      <c r="DY506" s="127"/>
      <c r="DZ506" s="127"/>
      <c r="EA506" s="1001"/>
      <c r="EB506" s="127"/>
      <c r="EC506" s="127"/>
      <c r="ED506" s="127"/>
      <c r="EE506" s="127"/>
      <c r="EF506" s="1001"/>
      <c r="EG506" s="127"/>
      <c r="EH506" s="127"/>
      <c r="EI506" s="127"/>
      <c r="EJ506" s="127"/>
      <c r="EK506" s="1001"/>
      <c r="EL506" s="127"/>
      <c r="EM506" s="127"/>
      <c r="EN506" s="127"/>
      <c r="EO506" s="127"/>
      <c r="EP506" s="1001"/>
      <c r="EQ506" s="127"/>
      <c r="ER506" s="127"/>
      <c r="ES506" s="127"/>
      <c r="ET506" s="127"/>
      <c r="EU506" s="1001"/>
      <c r="EV506" s="1001"/>
      <c r="EW506" s="1001"/>
      <c r="EX506" s="1001"/>
      <c r="EY506" s="1001"/>
      <c r="EZ506" s="42"/>
      <c r="FA506" s="725"/>
      <c r="FB506" s="725"/>
    </row>
    <row r="507" spans="1:158" s="252" customFormat="1" ht="11.25" hidden="1" customHeight="1">
      <c r="A507" s="2981" t="s">
        <v>434</v>
      </c>
      <c r="B507" s="2982"/>
      <c r="C507" s="2983"/>
      <c r="D507" s="2983"/>
      <c r="E507" s="2983"/>
      <c r="F507" s="3084"/>
      <c r="G507" s="2982"/>
      <c r="H507" s="2983"/>
      <c r="I507" s="2983"/>
      <c r="J507" s="2983"/>
      <c r="K507" s="2984"/>
      <c r="L507" s="2985"/>
      <c r="M507" s="2985"/>
      <c r="N507" s="2985"/>
      <c r="O507" s="2985"/>
      <c r="P507" s="2984"/>
      <c r="Q507" s="2986"/>
      <c r="R507" s="2985"/>
      <c r="S507" s="2985"/>
      <c r="T507" s="2985"/>
      <c r="U507" s="2987"/>
      <c r="V507" s="2986"/>
      <c r="W507" s="2985"/>
      <c r="X507" s="2985"/>
      <c r="Y507" s="2985"/>
      <c r="Z507" s="2987"/>
      <c r="AA507" s="2986"/>
      <c r="AB507" s="2985"/>
      <c r="AC507" s="2985"/>
      <c r="AD507" s="2985"/>
      <c r="AE507" s="2987"/>
      <c r="AF507" s="2986"/>
      <c r="AG507" s="2985"/>
      <c r="AH507" s="2985"/>
      <c r="AI507" s="2985"/>
      <c r="AJ507" s="2987"/>
      <c r="AK507" s="2986"/>
      <c r="AL507" s="2985"/>
      <c r="AM507" s="2985"/>
      <c r="AN507" s="2985"/>
      <c r="AO507" s="2987"/>
      <c r="AP507" s="2986"/>
      <c r="AQ507" s="2985"/>
      <c r="AR507" s="2985"/>
      <c r="AS507" s="2985"/>
      <c r="AT507" s="2987"/>
      <c r="AU507" s="2986"/>
      <c r="AV507" s="2985"/>
      <c r="AW507" s="2985"/>
      <c r="AX507" s="2985"/>
      <c r="AY507" s="2987"/>
      <c r="AZ507" s="2986"/>
      <c r="BA507" s="2985"/>
      <c r="BB507" s="2985"/>
      <c r="BC507" s="2985"/>
      <c r="BD507" s="2987"/>
      <c r="BE507" s="2986"/>
      <c r="BF507" s="2985"/>
      <c r="BG507" s="2985"/>
      <c r="BH507" s="2985"/>
      <c r="BI507" s="2987"/>
      <c r="BJ507" s="2986"/>
      <c r="BK507" s="2985"/>
      <c r="BL507" s="2985"/>
      <c r="BM507" s="2985"/>
      <c r="BN507" s="2987"/>
      <c r="BO507" s="2985"/>
      <c r="BP507" s="2985"/>
      <c r="BQ507" s="2985"/>
      <c r="BR507" s="2985"/>
      <c r="BS507" s="2987"/>
      <c r="BT507" s="2985"/>
      <c r="BU507" s="2985"/>
      <c r="BV507" s="2985"/>
      <c r="BW507" s="2985"/>
      <c r="BX507" s="2987"/>
      <c r="BY507" s="2985"/>
      <c r="BZ507" s="2985"/>
      <c r="CA507" s="2985"/>
      <c r="CB507" s="2985"/>
      <c r="CC507" s="2987"/>
      <c r="CD507" s="2988"/>
      <c r="CE507" s="2985"/>
      <c r="CF507" s="2985"/>
      <c r="CG507" s="2985"/>
      <c r="CH507" s="2987"/>
      <c r="CI507" s="2989"/>
      <c r="CJ507" s="2985"/>
      <c r="CK507" s="2985"/>
      <c r="CL507" s="2985">
        <f>'Segment As Reported'!CL261</f>
        <v>106</v>
      </c>
      <c r="CM507" s="2987">
        <f>'Segment As Reported'!CM261</f>
        <v>327</v>
      </c>
      <c r="CN507" s="2990">
        <v>80</v>
      </c>
      <c r="CO507" s="2990">
        <v>74</v>
      </c>
      <c r="CP507" s="2990">
        <v>141</v>
      </c>
      <c r="CQ507" s="2990">
        <v>150</v>
      </c>
      <c r="CR507" s="2987">
        <f>'Segment As Reported'!CR261</f>
        <v>445</v>
      </c>
      <c r="CS507" s="2990">
        <v>165</v>
      </c>
      <c r="CT507" s="2990">
        <v>185</v>
      </c>
      <c r="CU507" s="2990">
        <v>197</v>
      </c>
      <c r="CV507" s="2990">
        <v>262</v>
      </c>
      <c r="CW507" s="2987">
        <f>'Segment As Reported'!CW261</f>
        <v>809</v>
      </c>
      <c r="CX507" s="2990">
        <v>132</v>
      </c>
      <c r="CY507" s="2990">
        <v>97</v>
      </c>
      <c r="CZ507" s="2990">
        <v>117</v>
      </c>
      <c r="DA507" s="2990">
        <v>131</v>
      </c>
      <c r="DB507" s="2987">
        <f>SUM(CX507:DA507)</f>
        <v>477</v>
      </c>
      <c r="DC507" s="2990">
        <v>150</v>
      </c>
      <c r="DD507" s="2990">
        <v>145</v>
      </c>
      <c r="DE507" s="2990">
        <v>146</v>
      </c>
      <c r="DF507" s="2990">
        <v>154</v>
      </c>
      <c r="DG507" s="2987">
        <f>SUM(DC507:DF507)</f>
        <v>595</v>
      </c>
      <c r="DH507" s="2990">
        <v>170</v>
      </c>
      <c r="DI507" s="2990">
        <v>162</v>
      </c>
      <c r="DJ507" s="2990">
        <v>155</v>
      </c>
      <c r="DK507" s="2990"/>
      <c r="DL507" s="2987"/>
      <c r="DM507" s="2985"/>
      <c r="DN507" s="2985"/>
      <c r="DO507" s="2985"/>
      <c r="DP507" s="2985"/>
      <c r="DQ507" s="2987"/>
      <c r="DR507" s="2985"/>
      <c r="DS507" s="2985"/>
      <c r="DT507" s="2985"/>
      <c r="DU507" s="2985"/>
      <c r="DV507" s="2987"/>
      <c r="DW507" s="2985"/>
      <c r="DX507" s="2985"/>
      <c r="DY507" s="2985"/>
      <c r="DZ507" s="2985"/>
      <c r="EA507" s="2984"/>
      <c r="EB507" s="2985"/>
      <c r="EC507" s="2985"/>
      <c r="ED507" s="2985"/>
      <c r="EE507" s="2985"/>
      <c r="EF507" s="2984"/>
      <c r="EG507" s="2985"/>
      <c r="EH507" s="2985"/>
      <c r="EI507" s="2985"/>
      <c r="EJ507" s="2985"/>
      <c r="EK507" s="2984"/>
      <c r="EL507" s="2985"/>
      <c r="EM507" s="2985"/>
      <c r="EN507" s="2985"/>
      <c r="EO507" s="2985"/>
      <c r="EP507" s="2984"/>
      <c r="EQ507" s="2985"/>
      <c r="ER507" s="2985"/>
      <c r="ES507" s="2985"/>
      <c r="ET507" s="2985"/>
      <c r="EU507" s="2984"/>
      <c r="EV507" s="2984"/>
      <c r="EW507" s="2984"/>
      <c r="EX507" s="2984"/>
      <c r="EY507" s="2984"/>
      <c r="EZ507" s="251"/>
      <c r="FA507" s="1319"/>
      <c r="FB507" s="1319"/>
    </row>
    <row r="508" spans="1:158" s="183" customFormat="1" ht="11.25" hidden="1" customHeight="1">
      <c r="A508" s="1571" t="s">
        <v>45</v>
      </c>
      <c r="B508" s="1224"/>
      <c r="C508" s="181"/>
      <c r="D508" s="181"/>
      <c r="E508" s="182"/>
      <c r="F508" s="1225"/>
      <c r="G508" s="1224"/>
      <c r="H508" s="181"/>
      <c r="I508" s="181"/>
      <c r="J508" s="181"/>
      <c r="K508" s="991"/>
      <c r="L508" s="181"/>
      <c r="M508" s="181"/>
      <c r="N508" s="181"/>
      <c r="O508" s="181"/>
      <c r="P508" s="992"/>
      <c r="Q508" s="1224"/>
      <c r="R508" s="181"/>
      <c r="S508" s="181"/>
      <c r="T508" s="181"/>
      <c r="U508" s="992"/>
      <c r="V508" s="1226"/>
      <c r="W508" s="169"/>
      <c r="X508" s="169"/>
      <c r="Y508" s="169"/>
      <c r="Z508" s="992"/>
      <c r="AA508" s="1226"/>
      <c r="AB508" s="169"/>
      <c r="AC508" s="169"/>
      <c r="AD508" s="169"/>
      <c r="AE508" s="992"/>
      <c r="AF508" s="1226"/>
      <c r="AG508" s="169"/>
      <c r="AH508" s="169"/>
      <c r="AI508" s="169"/>
      <c r="AJ508" s="992"/>
      <c r="AK508" s="1226"/>
      <c r="AL508" s="169"/>
      <c r="AM508" s="169"/>
      <c r="AN508" s="169"/>
      <c r="AO508" s="992"/>
      <c r="AP508" s="1226"/>
      <c r="AQ508" s="169"/>
      <c r="AR508" s="169"/>
      <c r="AS508" s="169"/>
      <c r="AT508" s="992"/>
      <c r="AU508" s="1226"/>
      <c r="AV508" s="169"/>
      <c r="AW508" s="169"/>
      <c r="AX508" s="169"/>
      <c r="AY508" s="992"/>
      <c r="AZ508" s="1226"/>
      <c r="BA508" s="169"/>
      <c r="BB508" s="169"/>
      <c r="BC508" s="169"/>
      <c r="BD508" s="992"/>
      <c r="BE508" s="1226"/>
      <c r="BF508" s="169"/>
      <c r="BG508" s="169"/>
      <c r="BH508" s="169"/>
      <c r="BI508" s="992"/>
      <c r="BJ508" s="1226"/>
      <c r="BK508" s="169"/>
      <c r="BL508" s="169"/>
      <c r="BM508" s="169"/>
      <c r="BN508" s="992"/>
      <c r="BO508" s="169"/>
      <c r="BP508" s="169"/>
      <c r="BQ508" s="169"/>
      <c r="BR508" s="169"/>
      <c r="BS508" s="600"/>
      <c r="BT508" s="169"/>
      <c r="BU508" s="169"/>
      <c r="BV508" s="169"/>
      <c r="BW508" s="169"/>
      <c r="BX508" s="992"/>
      <c r="BY508" s="169"/>
      <c r="BZ508" s="169"/>
      <c r="CA508" s="169"/>
      <c r="CB508" s="169"/>
      <c r="CC508" s="600"/>
      <c r="CD508" s="576"/>
      <c r="CE508" s="169"/>
      <c r="CF508" s="169"/>
      <c r="CG508" s="169"/>
      <c r="CH508" s="992"/>
      <c r="CI508" s="169"/>
      <c r="CJ508" s="169"/>
      <c r="CK508" s="169"/>
      <c r="CL508" s="169"/>
      <c r="CM508" s="992"/>
      <c r="CN508" s="169"/>
      <c r="CO508" s="169"/>
      <c r="CP508" s="169"/>
      <c r="CQ508" s="169">
        <f t="shared" ref="CQ508:CV508" si="1333">+CQ507/CL507-1</f>
        <v>0.41509433962264142</v>
      </c>
      <c r="CR508" s="992">
        <f t="shared" si="1333"/>
        <v>0.36085626911314983</v>
      </c>
      <c r="CS508" s="169">
        <f t="shared" si="1333"/>
        <v>1.0625</v>
      </c>
      <c r="CT508" s="169">
        <f t="shared" si="1333"/>
        <v>1.5</v>
      </c>
      <c r="CU508" s="169">
        <f t="shared" si="1333"/>
        <v>0.39716312056737579</v>
      </c>
      <c r="CV508" s="169">
        <f t="shared" si="1333"/>
        <v>0.74666666666666659</v>
      </c>
      <c r="CW508" s="992">
        <f t="shared" ref="CW508:DJ508" si="1334">+CW507/CR507-1</f>
        <v>0.81797752808988755</v>
      </c>
      <c r="CX508" s="2557" t="s">
        <v>116</v>
      </c>
      <c r="CY508" s="2557" t="s">
        <v>116</v>
      </c>
      <c r="CZ508" s="2557" t="s">
        <v>116</v>
      </c>
      <c r="DA508" s="2557" t="s">
        <v>116</v>
      </c>
      <c r="DB508" s="3549" t="s">
        <v>116</v>
      </c>
      <c r="DC508" s="2612">
        <f t="shared" si="1334"/>
        <v>0.13636363636363646</v>
      </c>
      <c r="DD508" s="2612">
        <f t="shared" si="1334"/>
        <v>0.49484536082474229</v>
      </c>
      <c r="DE508" s="2612">
        <f t="shared" si="1334"/>
        <v>0.24786324786324787</v>
      </c>
      <c r="DF508" s="2612">
        <f t="shared" si="1334"/>
        <v>0.17557251908396942</v>
      </c>
      <c r="DG508" s="2588">
        <f>+DG507/DB507-1</f>
        <v>0.24737945492662483</v>
      </c>
      <c r="DH508" s="2612">
        <f t="shared" si="1334"/>
        <v>0.1333333333333333</v>
      </c>
      <c r="DI508" s="2612">
        <f t="shared" si="1334"/>
        <v>0.11724137931034484</v>
      </c>
      <c r="DJ508" s="2612">
        <f t="shared" si="1334"/>
        <v>6.164383561643838E-2</v>
      </c>
      <c r="DK508" s="2612"/>
      <c r="DL508" s="2588"/>
      <c r="DM508" s="2628"/>
      <c r="DN508" s="2628"/>
      <c r="DO508" s="2628"/>
      <c r="DP508" s="2628"/>
      <c r="DQ508" s="2588"/>
      <c r="DR508" s="2628"/>
      <c r="DS508" s="2628"/>
      <c r="DT508" s="2628"/>
      <c r="DU508" s="2628"/>
      <c r="DV508" s="2588"/>
      <c r="DW508" s="2628"/>
      <c r="DX508" s="2628"/>
      <c r="DY508" s="2628"/>
      <c r="DZ508" s="2628"/>
      <c r="EA508" s="2247"/>
      <c r="EB508" s="2628"/>
      <c r="EC508" s="2628"/>
      <c r="ED508" s="2628"/>
      <c r="EE508" s="2628"/>
      <c r="EF508" s="2247"/>
      <c r="EG508" s="2628"/>
      <c r="EH508" s="2628"/>
      <c r="EI508" s="2628"/>
      <c r="EJ508" s="2628"/>
      <c r="EK508" s="2247"/>
      <c r="EL508" s="2628"/>
      <c r="EM508" s="2628"/>
      <c r="EN508" s="2628"/>
      <c r="EO508" s="2628"/>
      <c r="EP508" s="2247"/>
      <c r="EQ508" s="2628"/>
      <c r="ER508" s="2628"/>
      <c r="ES508" s="2628"/>
      <c r="ET508" s="2628"/>
      <c r="EU508" s="2247"/>
      <c r="EV508" s="2247"/>
      <c r="EW508" s="2247"/>
      <c r="EX508" s="2247"/>
      <c r="EY508" s="2247"/>
      <c r="EZ508" s="169"/>
      <c r="FA508" s="1103"/>
      <c r="FB508" s="1103"/>
    </row>
    <row r="509" spans="1:158" s="194" customFormat="1" ht="11.25" hidden="1" customHeight="1">
      <c r="A509" s="4163" t="s">
        <v>46</v>
      </c>
      <c r="B509" s="2598"/>
      <c r="C509" s="2896"/>
      <c r="D509" s="2896"/>
      <c r="E509" s="2896"/>
      <c r="F509" s="4144"/>
      <c r="G509" s="2598"/>
      <c r="H509" s="2896"/>
      <c r="I509" s="2896"/>
      <c r="J509" s="2896"/>
      <c r="K509" s="4164"/>
      <c r="L509" s="2896"/>
      <c r="M509" s="2896"/>
      <c r="N509" s="2896"/>
      <c r="O509" s="2896"/>
      <c r="P509" s="4165"/>
      <c r="Q509" s="2598"/>
      <c r="R509" s="2896"/>
      <c r="S509" s="2896"/>
      <c r="T509" s="2896"/>
      <c r="U509" s="4165"/>
      <c r="V509" s="2598"/>
      <c r="W509" s="2896"/>
      <c r="X509" s="2896"/>
      <c r="Y509" s="2896"/>
      <c r="Z509" s="4165"/>
      <c r="AA509" s="2598"/>
      <c r="AB509" s="2896"/>
      <c r="AC509" s="2896"/>
      <c r="AD509" s="2896"/>
      <c r="AE509" s="4165"/>
      <c r="AF509" s="2598"/>
      <c r="AG509" s="2896"/>
      <c r="AH509" s="2896"/>
      <c r="AI509" s="2896"/>
      <c r="AJ509" s="4165"/>
      <c r="AK509" s="2598"/>
      <c r="AL509" s="2896"/>
      <c r="AM509" s="2896"/>
      <c r="AN509" s="4166"/>
      <c r="AO509" s="4165"/>
      <c r="AP509" s="2598"/>
      <c r="AQ509" s="2896"/>
      <c r="AR509" s="2896"/>
      <c r="AS509" s="4166"/>
      <c r="AT509" s="4165"/>
      <c r="AU509" s="2598"/>
      <c r="AV509" s="2896"/>
      <c r="AW509" s="2896"/>
      <c r="AX509" s="4166"/>
      <c r="AY509" s="4165"/>
      <c r="AZ509" s="2598"/>
      <c r="BA509" s="2896"/>
      <c r="BB509" s="2896"/>
      <c r="BC509" s="4166"/>
      <c r="BD509" s="4165"/>
      <c r="BE509" s="2598"/>
      <c r="BF509" s="2896"/>
      <c r="BG509" s="2896"/>
      <c r="BH509" s="4166"/>
      <c r="BI509" s="4165"/>
      <c r="BJ509" s="2598"/>
      <c r="BK509" s="2896"/>
      <c r="BL509" s="2896"/>
      <c r="BM509" s="2896"/>
      <c r="BN509" s="4165"/>
      <c r="BO509" s="4167"/>
      <c r="BP509" s="4167"/>
      <c r="BQ509" s="4167"/>
      <c r="BR509" s="4167"/>
      <c r="BS509" s="4165"/>
      <c r="BT509" s="2896"/>
      <c r="BU509" s="2896"/>
      <c r="BV509" s="2896"/>
      <c r="BW509" s="2896"/>
      <c r="BX509" s="4165"/>
      <c r="BY509" s="4167"/>
      <c r="BZ509" s="4167"/>
      <c r="CA509" s="4167"/>
      <c r="CB509" s="4167"/>
      <c r="CC509" s="4165"/>
      <c r="CD509" s="4168"/>
      <c r="CE509" s="2896"/>
      <c r="CF509" s="2896"/>
      <c r="CG509" s="2896"/>
      <c r="CH509" s="4165"/>
      <c r="CI509" s="2598"/>
      <c r="CJ509" s="2896"/>
      <c r="CK509" s="2896"/>
      <c r="CL509" s="2896"/>
      <c r="CM509" s="4165"/>
      <c r="CN509" s="2896">
        <f>+CN507/CL507-1</f>
        <v>-0.24528301886792447</v>
      </c>
      <c r="CO509" s="2896">
        <f>+CO507/CN507-1</f>
        <v>-7.4999999999999956E-2</v>
      </c>
      <c r="CP509" s="2896">
        <f>+CP507/CO507-1</f>
        <v>0.90540540540540548</v>
      </c>
      <c r="CQ509" s="2896">
        <f>+CQ507/CP507-1</f>
        <v>6.3829787234042534E-2</v>
      </c>
      <c r="CR509" s="4165"/>
      <c r="CS509" s="2896">
        <f>+CS507/CQ507-1</f>
        <v>0.10000000000000009</v>
      </c>
      <c r="CT509" s="2896">
        <f>+CT507/CS507-1</f>
        <v>0.1212121212121211</v>
      </c>
      <c r="CU509" s="2896">
        <f>+CU507/CT507-1</f>
        <v>6.4864864864864868E-2</v>
      </c>
      <c r="CV509" s="2896">
        <f>+CV507/CU507-1</f>
        <v>0.32994923857868019</v>
      </c>
      <c r="CW509" s="4165"/>
      <c r="CX509" s="4169" t="s">
        <v>116</v>
      </c>
      <c r="CY509" s="2896">
        <f>+CY507/CX507-1</f>
        <v>-0.26515151515151514</v>
      </c>
      <c r="CZ509" s="2896">
        <f>+CZ507/CY507-1</f>
        <v>0.20618556701030921</v>
      </c>
      <c r="DA509" s="2896">
        <f>+DA507/CZ507-1</f>
        <v>0.11965811965811968</v>
      </c>
      <c r="DB509" s="4165"/>
      <c r="DC509" s="2896">
        <f>+DC507/DA507-1</f>
        <v>0.14503816793893121</v>
      </c>
      <c r="DD509" s="2896">
        <f>+DD507/DC507-1</f>
        <v>-3.3333333333333326E-2</v>
      </c>
      <c r="DE509" s="2896">
        <f>+DE507/DD507-1</f>
        <v>6.8965517241379448E-3</v>
      </c>
      <c r="DF509" s="2896">
        <f>+DF507/DE507-1</f>
        <v>5.4794520547945202E-2</v>
      </c>
      <c r="DG509" s="4165"/>
      <c r="DH509" s="2896">
        <f>+DH507/DF507-1</f>
        <v>0.10389610389610393</v>
      </c>
      <c r="DI509" s="2896">
        <f>+DI507/DH507-1</f>
        <v>-4.705882352941182E-2</v>
      </c>
      <c r="DJ509" s="2896">
        <f>+DJ507/DI507-1</f>
        <v>-4.3209876543209846E-2</v>
      </c>
      <c r="DK509" s="2896"/>
      <c r="DL509" s="4165"/>
      <c r="DM509" s="2896"/>
      <c r="DN509" s="2896"/>
      <c r="DO509" s="2896"/>
      <c r="DP509" s="2896"/>
      <c r="DQ509" s="4165"/>
      <c r="DR509" s="2896"/>
      <c r="DS509" s="2896"/>
      <c r="DT509" s="2896"/>
      <c r="DU509" s="2896"/>
      <c r="DV509" s="4165"/>
      <c r="DW509" s="2896"/>
      <c r="DX509" s="2896"/>
      <c r="DY509" s="2896"/>
      <c r="DZ509" s="2896"/>
      <c r="EA509" s="4165"/>
      <c r="EB509" s="2896"/>
      <c r="EC509" s="2896"/>
      <c r="ED509" s="2896"/>
      <c r="EE509" s="2896"/>
      <c r="EF509" s="4165"/>
      <c r="EG509" s="2896"/>
      <c r="EH509" s="2896"/>
      <c r="EI509" s="2896"/>
      <c r="EJ509" s="2896"/>
      <c r="EK509" s="4165"/>
      <c r="EL509" s="2896"/>
      <c r="EM509" s="2896"/>
      <c r="EN509" s="2896"/>
      <c r="EO509" s="2896"/>
      <c r="EP509" s="4165"/>
      <c r="EQ509" s="2896"/>
      <c r="ER509" s="2896"/>
      <c r="ES509" s="2896"/>
      <c r="ET509" s="2896"/>
      <c r="EU509" s="4165"/>
      <c r="EV509" s="4165"/>
      <c r="EW509" s="4165"/>
      <c r="EX509" s="4165"/>
      <c r="EY509" s="4165"/>
      <c r="EZ509" s="193"/>
      <c r="FA509" s="725"/>
      <c r="FB509" s="725"/>
    </row>
    <row r="510" spans="1:158" s="252" customFormat="1" ht="11.25" hidden="1" customHeight="1">
      <c r="A510" s="4153" t="s">
        <v>560</v>
      </c>
      <c r="B510" s="4154"/>
      <c r="C510" s="4155"/>
      <c r="D510" s="4155"/>
      <c r="E510" s="4155"/>
      <c r="F510" s="4156"/>
      <c r="G510" s="4154"/>
      <c r="H510" s="4155"/>
      <c r="I510" s="4155"/>
      <c r="J510" s="4155"/>
      <c r="K510" s="4157"/>
      <c r="L510" s="4158"/>
      <c r="M510" s="4158"/>
      <c r="N510" s="4158"/>
      <c r="O510" s="4158"/>
      <c r="P510" s="4157"/>
      <c r="Q510" s="4159"/>
      <c r="R510" s="4158"/>
      <c r="S510" s="4158"/>
      <c r="T510" s="4158"/>
      <c r="U510" s="4160"/>
      <c r="V510" s="4159"/>
      <c r="W510" s="4158"/>
      <c r="X510" s="4158"/>
      <c r="Y510" s="4158"/>
      <c r="Z510" s="4160"/>
      <c r="AA510" s="4159"/>
      <c r="AB510" s="4158"/>
      <c r="AC510" s="4158"/>
      <c r="AD510" s="4158"/>
      <c r="AE510" s="4160"/>
      <c r="AF510" s="4159"/>
      <c r="AG510" s="4158"/>
      <c r="AH510" s="4158"/>
      <c r="AI510" s="4158"/>
      <c r="AJ510" s="4160"/>
      <c r="AK510" s="4159"/>
      <c r="AL510" s="4158"/>
      <c r="AM510" s="4158"/>
      <c r="AN510" s="4158"/>
      <c r="AO510" s="4160"/>
      <c r="AP510" s="4159"/>
      <c r="AQ510" s="4158"/>
      <c r="AR510" s="4158"/>
      <c r="AS510" s="4158"/>
      <c r="AT510" s="4160"/>
      <c r="AU510" s="4159"/>
      <c r="AV510" s="4158"/>
      <c r="AW510" s="4158"/>
      <c r="AX510" s="4158"/>
      <c r="AY510" s="4160"/>
      <c r="AZ510" s="4159"/>
      <c r="BA510" s="4158"/>
      <c r="BB510" s="4158"/>
      <c r="BC510" s="4158"/>
      <c r="BD510" s="4160"/>
      <c r="BE510" s="4159"/>
      <c r="BF510" s="4158"/>
      <c r="BG510" s="4158"/>
      <c r="BH510" s="4158"/>
      <c r="BI510" s="4160"/>
      <c r="BJ510" s="4159"/>
      <c r="BK510" s="4158"/>
      <c r="BL510" s="4158"/>
      <c r="BM510" s="4158"/>
      <c r="BN510" s="4160"/>
      <c r="BO510" s="4158"/>
      <c r="BP510" s="4158"/>
      <c r="BQ510" s="4158"/>
      <c r="BR510" s="4158"/>
      <c r="BS510" s="4160"/>
      <c r="BT510" s="4158"/>
      <c r="BU510" s="4158"/>
      <c r="BV510" s="4158"/>
      <c r="BW510" s="4158"/>
      <c r="BX510" s="4160"/>
      <c r="BY510" s="4158"/>
      <c r="BZ510" s="4158"/>
      <c r="CA510" s="4158"/>
      <c r="CB510" s="4158"/>
      <c r="CC510" s="4160"/>
      <c r="CD510" s="4161"/>
      <c r="CE510" s="4158"/>
      <c r="CF510" s="4158"/>
      <c r="CG510" s="4158"/>
      <c r="CH510" s="4160"/>
      <c r="CI510" s="4162"/>
      <c r="CJ510" s="4158"/>
      <c r="CK510" s="4158"/>
      <c r="CL510" s="4158"/>
      <c r="CM510" s="4160"/>
      <c r="CN510" s="4158"/>
      <c r="CO510" s="4158"/>
      <c r="CP510" s="4158">
        <f>SUM(CL507,CN507:CP507)</f>
        <v>401</v>
      </c>
      <c r="CQ510" s="4158">
        <f>SUM(CN507:CQ507)</f>
        <v>445</v>
      </c>
      <c r="CR510" s="4160">
        <f>CQ510</f>
        <v>445</v>
      </c>
      <c r="CS510" s="4158">
        <f>SUM(CO507:CQ507,CS507)</f>
        <v>530</v>
      </c>
      <c r="CT510" s="4158">
        <f>SUM(CP507:CQ507,CS507:CT507)</f>
        <v>641</v>
      </c>
      <c r="CU510" s="4158">
        <f>SUM(CQ507,CS507:CU507)</f>
        <v>697</v>
      </c>
      <c r="CV510" s="4158">
        <f>SUM(CS507:CV507)</f>
        <v>809</v>
      </c>
      <c r="CW510" s="4160">
        <f>CV510</f>
        <v>809</v>
      </c>
      <c r="CX510" s="4158" t="s">
        <v>116</v>
      </c>
      <c r="CY510" s="4158" t="s">
        <v>116</v>
      </c>
      <c r="CZ510" s="4158" t="s">
        <v>116</v>
      </c>
      <c r="DA510" s="4158">
        <f>SUM(CX507:DA507)</f>
        <v>477</v>
      </c>
      <c r="DB510" s="4160">
        <f>DA510</f>
        <v>477</v>
      </c>
      <c r="DC510" s="4158">
        <f>SUM(CY507:DA507,DC507)</f>
        <v>495</v>
      </c>
      <c r="DD510" s="4158">
        <f>SUM(CZ507:DA507,DC507:DD507)</f>
        <v>543</v>
      </c>
      <c r="DE510" s="4158">
        <f>SUM(DA507,DC507:DE507)</f>
        <v>572</v>
      </c>
      <c r="DF510" s="4158">
        <f>SUM(DC507:DF507)</f>
        <v>595</v>
      </c>
      <c r="DG510" s="4160">
        <f>DF510</f>
        <v>595</v>
      </c>
      <c r="DH510" s="4158">
        <f>SUM(DD507:DF507,DH507)</f>
        <v>615</v>
      </c>
      <c r="DI510" s="4158">
        <f>SUM(DE507:DF507,DH507:DI507)</f>
        <v>632</v>
      </c>
      <c r="DJ510" s="4158">
        <f>SUM(DF507,DH507:DJ507)</f>
        <v>641</v>
      </c>
      <c r="DK510" s="4158"/>
      <c r="DL510" s="4160"/>
      <c r="DM510" s="4158"/>
      <c r="DN510" s="4158"/>
      <c r="DO510" s="4158"/>
      <c r="DP510" s="4158"/>
      <c r="DQ510" s="4160"/>
      <c r="DR510" s="4158"/>
      <c r="DS510" s="4158"/>
      <c r="DT510" s="4158"/>
      <c r="DU510" s="4158"/>
      <c r="DV510" s="4160"/>
      <c r="DW510" s="4158"/>
      <c r="DX510" s="4158"/>
      <c r="DY510" s="4158"/>
      <c r="DZ510" s="4158"/>
      <c r="EA510" s="4160"/>
      <c r="EB510" s="4158"/>
      <c r="EC510" s="4158"/>
      <c r="ED510" s="4158"/>
      <c r="EE510" s="4158"/>
      <c r="EF510" s="4160"/>
      <c r="EG510" s="4158"/>
      <c r="EH510" s="4158"/>
      <c r="EI510" s="4158"/>
      <c r="EJ510" s="4158"/>
      <c r="EK510" s="4160"/>
      <c r="EL510" s="4158"/>
      <c r="EM510" s="4158"/>
      <c r="EN510" s="4158"/>
      <c r="EO510" s="4158"/>
      <c r="EP510" s="4160"/>
      <c r="EQ510" s="4158"/>
      <c r="ER510" s="4158"/>
      <c r="ES510" s="4158"/>
      <c r="ET510" s="4158"/>
      <c r="EU510" s="4160"/>
      <c r="EV510" s="4160"/>
      <c r="EW510" s="4160"/>
      <c r="EX510" s="4160"/>
      <c r="EY510" s="4160"/>
      <c r="EZ510" s="251"/>
      <c r="FA510" s="725"/>
      <c r="FB510" s="725"/>
    </row>
    <row r="511" spans="1:158" s="194" customFormat="1" ht="11.25" hidden="1" customHeight="1">
      <c r="A511" s="4143" t="s">
        <v>45</v>
      </c>
      <c r="B511" s="2598"/>
      <c r="C511" s="2896"/>
      <c r="D511" s="2896"/>
      <c r="E511" s="2896"/>
      <c r="F511" s="4144"/>
      <c r="G511" s="2598"/>
      <c r="H511" s="2896"/>
      <c r="I511" s="2896"/>
      <c r="J511" s="2896"/>
      <c r="K511" s="4145"/>
      <c r="L511" s="4146"/>
      <c r="M511" s="4146"/>
      <c r="N511" s="4146"/>
      <c r="O511" s="4146"/>
      <c r="P511" s="4145"/>
      <c r="Q511" s="4147"/>
      <c r="R511" s="4146"/>
      <c r="S511" s="4146"/>
      <c r="T511" s="4146"/>
      <c r="U511" s="4145"/>
      <c r="V511" s="4147"/>
      <c r="W511" s="4146"/>
      <c r="X511" s="4146"/>
      <c r="Y511" s="4146"/>
      <c r="Z511" s="4145"/>
      <c r="AA511" s="4147"/>
      <c r="AB511" s="4146"/>
      <c r="AC511" s="4146"/>
      <c r="AD511" s="4146"/>
      <c r="AE511" s="4145"/>
      <c r="AF511" s="4147"/>
      <c r="AG511" s="4146"/>
      <c r="AH511" s="4146"/>
      <c r="AI511" s="4146"/>
      <c r="AJ511" s="4145"/>
      <c r="AK511" s="4147"/>
      <c r="AL511" s="4146"/>
      <c r="AM511" s="4146"/>
      <c r="AN511" s="4148"/>
      <c r="AO511" s="4145"/>
      <c r="AP511" s="4147"/>
      <c r="AQ511" s="4146"/>
      <c r="AR511" s="4146"/>
      <c r="AS511" s="4148"/>
      <c r="AT511" s="4145"/>
      <c r="AU511" s="4147"/>
      <c r="AV511" s="4146"/>
      <c r="AW511" s="4146"/>
      <c r="AX511" s="4148"/>
      <c r="AY511" s="4145"/>
      <c r="AZ511" s="4147"/>
      <c r="BA511" s="4146"/>
      <c r="BB511" s="4146"/>
      <c r="BC511" s="4148"/>
      <c r="BD511" s="4145"/>
      <c r="BE511" s="4147"/>
      <c r="BF511" s="4146"/>
      <c r="BG511" s="4146"/>
      <c r="BH511" s="4148"/>
      <c r="BI511" s="4145"/>
      <c r="BJ511" s="4147"/>
      <c r="BK511" s="4146"/>
      <c r="BL511" s="4146"/>
      <c r="BM511" s="4146"/>
      <c r="BN511" s="4145"/>
      <c r="BO511" s="4146"/>
      <c r="BP511" s="4146"/>
      <c r="BQ511" s="4146"/>
      <c r="BR511" s="4146"/>
      <c r="BS511" s="4145"/>
      <c r="BT511" s="4146"/>
      <c r="BU511" s="4146"/>
      <c r="BV511" s="4146"/>
      <c r="BW511" s="4146"/>
      <c r="BX511" s="4145"/>
      <c r="BY511" s="4146"/>
      <c r="BZ511" s="4146"/>
      <c r="CA511" s="4146"/>
      <c r="CB511" s="4146"/>
      <c r="CC511" s="4145"/>
      <c r="CD511" s="4149"/>
      <c r="CE511" s="4146"/>
      <c r="CF511" s="4146"/>
      <c r="CG511" s="4146"/>
      <c r="CH511" s="4145"/>
      <c r="CI511" s="4146"/>
      <c r="CJ511" s="4146"/>
      <c r="CK511" s="4146"/>
      <c r="CL511" s="4146"/>
      <c r="CM511" s="4145"/>
      <c r="CN511" s="4146"/>
      <c r="CO511" s="4146"/>
      <c r="CP511" s="4146"/>
      <c r="CQ511" s="4146"/>
      <c r="CR511" s="4145"/>
      <c r="CS511" s="4146"/>
      <c r="CT511" s="4146"/>
      <c r="CU511" s="4146">
        <f>CU510/CP510-1</f>
        <v>0.73815461346633415</v>
      </c>
      <c r="CV511" s="4146">
        <f>CV510/CQ510-1</f>
        <v>0.81797752808988755</v>
      </c>
      <c r="CW511" s="4145">
        <f>CW510/CR510-1</f>
        <v>0.81797752808988755</v>
      </c>
      <c r="CX511" s="4150" t="s">
        <v>116</v>
      </c>
      <c r="CY511" s="4150" t="s">
        <v>116</v>
      </c>
      <c r="CZ511" s="4150" t="s">
        <v>116</v>
      </c>
      <c r="DA511" s="4150" t="s">
        <v>116</v>
      </c>
      <c r="DB511" s="4151" t="s">
        <v>116</v>
      </c>
      <c r="DC511" s="4150" t="s">
        <v>116</v>
      </c>
      <c r="DD511" s="4150" t="s">
        <v>116</v>
      </c>
      <c r="DE511" s="4150" t="s">
        <v>116</v>
      </c>
      <c r="DF511" s="4146">
        <f>DF510/DA510-1</f>
        <v>0.24737945492662483</v>
      </c>
      <c r="DG511" s="4145">
        <f>DG510/DB510-1</f>
        <v>0.24737945492662483</v>
      </c>
      <c r="DH511" s="4146">
        <f>DH510/DC510-1</f>
        <v>0.24242424242424243</v>
      </c>
      <c r="DI511" s="4146">
        <f>DI510/DD510-1</f>
        <v>0.16390423572744006</v>
      </c>
      <c r="DJ511" s="4146">
        <f>DJ510/DE510-1</f>
        <v>0.12062937062937062</v>
      </c>
      <c r="DK511" s="4146"/>
      <c r="DL511" s="4145"/>
      <c r="DM511" s="4146"/>
      <c r="DN511" s="2896"/>
      <c r="DO511" s="2896"/>
      <c r="DP511" s="2896"/>
      <c r="DQ511" s="4332"/>
      <c r="DR511" s="2896"/>
      <c r="DS511" s="2896"/>
      <c r="DT511" s="2896"/>
      <c r="DU511" s="2896"/>
      <c r="DV511" s="4332"/>
      <c r="DW511" s="2896"/>
      <c r="DX511" s="2896"/>
      <c r="DY511" s="2896"/>
      <c r="DZ511" s="2896"/>
      <c r="EA511" s="4332"/>
      <c r="EB511" s="2896"/>
      <c r="EC511" s="2896"/>
      <c r="ED511" s="2896"/>
      <c r="EE511" s="2896"/>
      <c r="EF511" s="4332"/>
      <c r="EG511" s="2896"/>
      <c r="EH511" s="2896"/>
      <c r="EI511" s="2896"/>
      <c r="EJ511" s="2896"/>
      <c r="EK511" s="4332"/>
      <c r="EL511" s="2896"/>
      <c r="EM511" s="2896"/>
      <c r="EN511" s="2896"/>
      <c r="EO511" s="2896"/>
      <c r="EP511" s="4332"/>
      <c r="EQ511" s="2896"/>
      <c r="ER511" s="2896"/>
      <c r="ES511" s="2896"/>
      <c r="ET511" s="2896"/>
      <c r="EU511" s="4332"/>
      <c r="EV511" s="4332"/>
      <c r="EW511" s="4332"/>
      <c r="EX511" s="4332"/>
      <c r="EY511" s="4332"/>
      <c r="EZ511" s="193"/>
      <c r="FA511" s="725"/>
      <c r="FB511" s="725"/>
    </row>
    <row r="512" spans="1:158" ht="11.25" hidden="1" customHeight="1" collapsed="1">
      <c r="A512" s="2969" t="s">
        <v>229</v>
      </c>
      <c r="B512" s="2970"/>
      <c r="C512" s="2971"/>
      <c r="D512" s="2971"/>
      <c r="E512" s="2971"/>
      <c r="F512" s="3085"/>
      <c r="G512" s="2970"/>
      <c r="H512" s="2971"/>
      <c r="I512" s="2971"/>
      <c r="J512" s="2971"/>
      <c r="K512" s="2972"/>
      <c r="L512" s="2971"/>
      <c r="M512" s="2971"/>
      <c r="N512" s="2971"/>
      <c r="O512" s="2974"/>
      <c r="P512" s="2972"/>
      <c r="Q512" s="2970"/>
      <c r="R512" s="2971"/>
      <c r="S512" s="2971"/>
      <c r="T512" s="2974"/>
      <c r="U512" s="2972"/>
      <c r="V512" s="2975"/>
      <c r="W512" s="2971"/>
      <c r="X512" s="2971"/>
      <c r="Y512" s="2974"/>
      <c r="Z512" s="2972"/>
      <c r="AA512" s="2970"/>
      <c r="AB512" s="2971"/>
      <c r="AC512" s="2971"/>
      <c r="AD512" s="2974"/>
      <c r="AE512" s="2972"/>
      <c r="AF512" s="2970"/>
      <c r="AG512" s="2971"/>
      <c r="AH512" s="2971"/>
      <c r="AI512" s="2974"/>
      <c r="AJ512" s="2972"/>
      <c r="AK512" s="2970"/>
      <c r="AL512" s="2971"/>
      <c r="AM512" s="2971"/>
      <c r="AN512" s="2974"/>
      <c r="AO512" s="2972"/>
      <c r="AP512" s="2970"/>
      <c r="AQ512" s="2971"/>
      <c r="AR512" s="2971"/>
      <c r="AS512" s="2974"/>
      <c r="AT512" s="2972"/>
      <c r="AU512" s="2970"/>
      <c r="AV512" s="2971"/>
      <c r="AW512" s="2971"/>
      <c r="AX512" s="2974"/>
      <c r="AY512" s="2972"/>
      <c r="AZ512" s="2970"/>
      <c r="BA512" s="2971"/>
      <c r="BB512" s="2971"/>
      <c r="BC512" s="2974"/>
      <c r="BD512" s="2972"/>
      <c r="BE512" s="2976"/>
      <c r="BF512" s="2977"/>
      <c r="BG512" s="2977"/>
      <c r="BH512" s="2978"/>
      <c r="BI512" s="2972"/>
      <c r="BJ512" s="2976"/>
      <c r="BK512" s="2977"/>
      <c r="BL512" s="2977"/>
      <c r="BM512" s="2977"/>
      <c r="BN512" s="2972"/>
      <c r="BO512" s="2971"/>
      <c r="BP512" s="2971"/>
      <c r="BQ512" s="2971"/>
      <c r="BR512" s="2971"/>
      <c r="BS512" s="2972"/>
      <c r="BT512" s="2977"/>
      <c r="BU512" s="2977"/>
      <c r="BV512" s="2977"/>
      <c r="BW512" s="2977"/>
      <c r="BX512" s="2972"/>
      <c r="BY512" s="2971"/>
      <c r="BZ512" s="2971"/>
      <c r="CA512" s="2971"/>
      <c r="CB512" s="2971"/>
      <c r="CC512" s="2972"/>
      <c r="CD512" s="2979"/>
      <c r="CE512" s="2977"/>
      <c r="CF512" s="2977"/>
      <c r="CG512" s="2977"/>
      <c r="CH512" s="2972"/>
      <c r="CI512" s="2980">
        <v>1423</v>
      </c>
      <c r="CJ512" s="2977">
        <v>1457</v>
      </c>
      <c r="CK512" s="2977">
        <v>1703</v>
      </c>
      <c r="CL512" s="2971">
        <v>1794</v>
      </c>
      <c r="CM512" s="2972">
        <f>SUM(CI512:CL512)</f>
        <v>6377</v>
      </c>
      <c r="CN512" s="2971">
        <f>CN503+CN507</f>
        <v>1750</v>
      </c>
      <c r="CO512" s="2971">
        <f>CO503+CO507</f>
        <v>1704</v>
      </c>
      <c r="CP512" s="2971">
        <f>CP503+CP507</f>
        <v>1894</v>
      </c>
      <c r="CQ512" s="2971">
        <f>CQ503+CQ507</f>
        <v>2251</v>
      </c>
      <c r="CR512" s="2972">
        <f>SUM(CN512:CQ512)</f>
        <v>7599</v>
      </c>
      <c r="CS512" s="2971">
        <f>CS503+CS507</f>
        <v>2237</v>
      </c>
      <c r="CT512" s="2971">
        <f>CT503+CT507</f>
        <v>2357</v>
      </c>
      <c r="CU512" s="2971">
        <f>CU503+CU507</f>
        <v>2630</v>
      </c>
      <c r="CV512" s="2971">
        <f>CV503+CV507</f>
        <v>3665</v>
      </c>
      <c r="CW512" s="2972">
        <f>SUM(CS512:CV512)</f>
        <v>10889</v>
      </c>
      <c r="CX512" s="2971">
        <f t="shared" ref="CX512:DG512" si="1335">CX503+CX507</f>
        <v>3339</v>
      </c>
      <c r="CY512" s="2971">
        <f t="shared" si="1335"/>
        <v>3338</v>
      </c>
      <c r="CZ512" s="2971">
        <f t="shared" si="1335"/>
        <v>3707</v>
      </c>
      <c r="DA512" s="2971">
        <f t="shared" si="1335"/>
        <v>5096</v>
      </c>
      <c r="DB512" s="2972">
        <f t="shared" si="1335"/>
        <v>15480</v>
      </c>
      <c r="DC512" s="2971">
        <f t="shared" si="1335"/>
        <v>4504</v>
      </c>
      <c r="DD512" s="2971">
        <f t="shared" si="1335"/>
        <v>4570</v>
      </c>
      <c r="DE512" s="2971">
        <f t="shared" si="1335"/>
        <v>4786</v>
      </c>
      <c r="DF512" s="2971">
        <f t="shared" si="1335"/>
        <v>6641</v>
      </c>
      <c r="DG512" s="2972">
        <f t="shared" si="1335"/>
        <v>20501</v>
      </c>
      <c r="DH512" s="2971"/>
      <c r="DI512" s="2971"/>
      <c r="DJ512" s="2971"/>
      <c r="DK512" s="2971"/>
      <c r="DL512" s="2972"/>
      <c r="DM512" s="2971"/>
      <c r="DN512" s="2971"/>
      <c r="DO512" s="2971"/>
      <c r="DP512" s="2971"/>
      <c r="DQ512" s="2972"/>
      <c r="DR512" s="2971"/>
      <c r="DS512" s="2971"/>
      <c r="DT512" s="2971"/>
      <c r="DU512" s="2971"/>
      <c r="DV512" s="2972"/>
      <c r="DW512" s="2971"/>
      <c r="DX512" s="2971"/>
      <c r="DY512" s="2971"/>
      <c r="DZ512" s="2971"/>
      <c r="EA512" s="2972"/>
      <c r="EB512" s="2971"/>
      <c r="EC512" s="2971"/>
      <c r="ED512" s="2971"/>
      <c r="EE512" s="2971"/>
      <c r="EF512" s="2972"/>
      <c r="EG512" s="2971"/>
      <c r="EH512" s="2971"/>
      <c r="EI512" s="2971"/>
      <c r="EJ512" s="2971"/>
      <c r="EK512" s="2972"/>
      <c r="EL512" s="2971"/>
      <c r="EM512" s="2971"/>
      <c r="EN512" s="2971"/>
      <c r="EO512" s="2971"/>
      <c r="EP512" s="2972"/>
      <c r="EQ512" s="2971"/>
      <c r="ER512" s="2971"/>
      <c r="ES512" s="2971"/>
      <c r="ET512" s="2971"/>
      <c r="EU512" s="2972"/>
      <c r="EV512" s="2972"/>
      <c r="EW512" s="2972"/>
      <c r="EX512" s="2972"/>
      <c r="EY512" s="2972"/>
      <c r="FA512" s="1319"/>
      <c r="FB512" s="1319"/>
    </row>
    <row r="513" spans="1:158" s="183" customFormat="1" ht="11.25" hidden="1" customHeight="1">
      <c r="A513" s="1554" t="s">
        <v>45</v>
      </c>
      <c r="B513" s="1224"/>
      <c r="C513" s="181"/>
      <c r="D513" s="181"/>
      <c r="E513" s="182"/>
      <c r="F513" s="1225"/>
      <c r="G513" s="1224"/>
      <c r="H513" s="181"/>
      <c r="I513" s="181"/>
      <c r="J513" s="181"/>
      <c r="K513" s="991"/>
      <c r="L513" s="181"/>
      <c r="M513" s="181"/>
      <c r="N513" s="181"/>
      <c r="O513" s="181"/>
      <c r="P513" s="992"/>
      <c r="Q513" s="1224"/>
      <c r="R513" s="181"/>
      <c r="S513" s="181"/>
      <c r="T513" s="181"/>
      <c r="U513" s="992"/>
      <c r="V513" s="1226"/>
      <c r="W513" s="169"/>
      <c r="X513" s="169"/>
      <c r="Y513" s="169"/>
      <c r="Z513" s="992"/>
      <c r="AA513" s="1226"/>
      <c r="AB513" s="169"/>
      <c r="AC513" s="169"/>
      <c r="AD513" s="169"/>
      <c r="AE513" s="992"/>
      <c r="AF513" s="1226"/>
      <c r="AG513" s="169"/>
      <c r="AH513" s="169"/>
      <c r="AI513" s="169"/>
      <c r="AJ513" s="992"/>
      <c r="AK513" s="1226"/>
      <c r="AL513" s="169"/>
      <c r="AM513" s="169"/>
      <c r="AN513" s="169"/>
      <c r="AO513" s="992"/>
      <c r="AP513" s="1226"/>
      <c r="AQ513" s="169"/>
      <c r="AR513" s="169"/>
      <c r="AS513" s="169"/>
      <c r="AT513" s="992"/>
      <c r="AU513" s="1226"/>
      <c r="AV513" s="169"/>
      <c r="AW513" s="169"/>
      <c r="AX513" s="169"/>
      <c r="AY513" s="992"/>
      <c r="AZ513" s="1226"/>
      <c r="BA513" s="169"/>
      <c r="BB513" s="169"/>
      <c r="BC513" s="169"/>
      <c r="BD513" s="992"/>
      <c r="BE513" s="1226"/>
      <c r="BF513" s="169"/>
      <c r="BG513" s="169"/>
      <c r="BH513" s="169"/>
      <c r="BI513" s="992"/>
      <c r="BJ513" s="1226"/>
      <c r="BK513" s="169"/>
      <c r="BL513" s="169"/>
      <c r="BM513" s="169"/>
      <c r="BN513" s="992"/>
      <c r="BO513" s="169"/>
      <c r="BP513" s="169"/>
      <c r="BQ513" s="169"/>
      <c r="BR513" s="169"/>
      <c r="BS513" s="600"/>
      <c r="BT513" s="169"/>
      <c r="BU513" s="169"/>
      <c r="BV513" s="169"/>
      <c r="BW513" s="169"/>
      <c r="BX513" s="992"/>
      <c r="BY513" s="169"/>
      <c r="BZ513" s="169"/>
      <c r="CA513" s="169"/>
      <c r="CB513" s="169"/>
      <c r="CC513" s="600"/>
      <c r="CD513" s="169"/>
      <c r="CE513" s="169"/>
      <c r="CF513" s="169"/>
      <c r="CG513" s="169"/>
      <c r="CH513" s="992"/>
      <c r="CI513" s="169"/>
      <c r="CJ513" s="169"/>
      <c r="CK513" s="169"/>
      <c r="CL513" s="169"/>
      <c r="CM513" s="992"/>
      <c r="CN513" s="169">
        <f t="shared" ref="CN513:DG513" si="1336">+CN512/CI512-1</f>
        <v>0.2297962052002811</v>
      </c>
      <c r="CO513" s="169">
        <f t="shared" si="1336"/>
        <v>0.16952642415923136</v>
      </c>
      <c r="CP513" s="169">
        <f t="shared" si="1336"/>
        <v>0.11215502055196702</v>
      </c>
      <c r="CQ513" s="169">
        <f t="shared" si="1336"/>
        <v>0.25473801560758091</v>
      </c>
      <c r="CR513" s="992">
        <f t="shared" si="1336"/>
        <v>0.19162615649992154</v>
      </c>
      <c r="CS513" s="169">
        <f t="shared" si="1336"/>
        <v>0.27828571428571425</v>
      </c>
      <c r="CT513" s="169">
        <f t="shared" si="1336"/>
        <v>0.38321596244131451</v>
      </c>
      <c r="CU513" s="169">
        <f t="shared" si="1336"/>
        <v>0.38859556494192193</v>
      </c>
      <c r="CV513" s="169">
        <f t="shared" si="1336"/>
        <v>0.62816525988449579</v>
      </c>
      <c r="CW513" s="992">
        <f t="shared" si="1336"/>
        <v>0.43295170417160156</v>
      </c>
      <c r="CX513" s="169">
        <f t="shared" si="1336"/>
        <v>0.49262405006705401</v>
      </c>
      <c r="CY513" s="169">
        <f t="shared" si="1336"/>
        <v>0.41620704285108179</v>
      </c>
      <c r="CZ513" s="169">
        <f t="shared" si="1336"/>
        <v>0.40950570342205328</v>
      </c>
      <c r="DA513" s="169">
        <f t="shared" si="1336"/>
        <v>0.39045020463847213</v>
      </c>
      <c r="DB513" s="992">
        <f t="shared" si="1336"/>
        <v>0.42161814675360465</v>
      </c>
      <c r="DC513" s="2612">
        <f t="shared" si="1336"/>
        <v>0.34890685834082058</v>
      </c>
      <c r="DD513" s="2612">
        <f t="shared" si="1336"/>
        <v>0.36908328340323537</v>
      </c>
      <c r="DE513" s="2612">
        <f t="shared" si="1336"/>
        <v>0.29107094685729695</v>
      </c>
      <c r="DF513" s="2612">
        <f t="shared" si="1336"/>
        <v>0.30317896389324961</v>
      </c>
      <c r="DG513" s="2588">
        <f t="shared" si="1336"/>
        <v>0.32435400516795876</v>
      </c>
      <c r="DH513" s="2612"/>
      <c r="DI513" s="2612"/>
      <c r="DJ513" s="2612"/>
      <c r="DK513" s="2612"/>
      <c r="DL513" s="2588"/>
      <c r="DM513" s="2612"/>
      <c r="DN513" s="2612"/>
      <c r="DO513" s="2612"/>
      <c r="DP513" s="2612"/>
      <c r="DQ513" s="2588"/>
      <c r="DR513" s="2612"/>
      <c r="DS513" s="2612"/>
      <c r="DT513" s="2612"/>
      <c r="DU513" s="2612"/>
      <c r="DV513" s="2588"/>
      <c r="DW513" s="2612"/>
      <c r="DX513" s="2612"/>
      <c r="DY513" s="2612"/>
      <c r="DZ513" s="2612"/>
      <c r="EA513" s="2587"/>
      <c r="EB513" s="2612"/>
      <c r="EC513" s="2612"/>
      <c r="ED513" s="2612"/>
      <c r="EE513" s="2612"/>
      <c r="EF513" s="2587"/>
      <c r="EG513" s="2612"/>
      <c r="EH513" s="2612"/>
      <c r="EI513" s="2612"/>
      <c r="EJ513" s="2612"/>
      <c r="EK513" s="2587"/>
      <c r="EL513" s="2612"/>
      <c r="EM513" s="2612"/>
      <c r="EN513" s="2612"/>
      <c r="EO513" s="2612"/>
      <c r="EP513" s="2587"/>
      <c r="EQ513" s="2612"/>
      <c r="ER513" s="2612"/>
      <c r="ES513" s="2612"/>
      <c r="ET513" s="2612"/>
      <c r="EU513" s="2587"/>
      <c r="EV513" s="2587"/>
      <c r="EW513" s="2587"/>
      <c r="EX513" s="2587"/>
      <c r="EY513" s="2587"/>
      <c r="EZ513" s="169"/>
      <c r="FA513" s="1103"/>
      <c r="FB513" s="1103"/>
    </row>
    <row r="514" spans="1:158" s="194" customFormat="1" ht="11.25" hidden="1" customHeight="1">
      <c r="A514" s="1554" t="s">
        <v>46</v>
      </c>
      <c r="B514" s="1226"/>
      <c r="C514" s="169"/>
      <c r="D514" s="169"/>
      <c r="E514" s="169"/>
      <c r="F514" s="1228"/>
      <c r="G514" s="1226"/>
      <c r="H514" s="169"/>
      <c r="I514" s="169"/>
      <c r="J514" s="169"/>
      <c r="K514" s="1381"/>
      <c r="L514" s="169"/>
      <c r="M514" s="169"/>
      <c r="N514" s="169"/>
      <c r="O514" s="169"/>
      <c r="P514" s="1021"/>
      <c r="Q514" s="1226"/>
      <c r="R514" s="169"/>
      <c r="S514" s="169"/>
      <c r="T514" s="169"/>
      <c r="U514" s="1021"/>
      <c r="V514" s="1226"/>
      <c r="W514" s="169"/>
      <c r="X514" s="169"/>
      <c r="Y514" s="169"/>
      <c r="Z514" s="1021"/>
      <c r="AA514" s="1226"/>
      <c r="AB514" s="169"/>
      <c r="AC514" s="169"/>
      <c r="AD514" s="169"/>
      <c r="AE514" s="1021"/>
      <c r="AF514" s="1226"/>
      <c r="AG514" s="169"/>
      <c r="AH514" s="169"/>
      <c r="AI514" s="169"/>
      <c r="AJ514" s="1021"/>
      <c r="AK514" s="1226"/>
      <c r="AL514" s="169"/>
      <c r="AM514" s="169"/>
      <c r="AN514" s="184"/>
      <c r="AO514" s="1021"/>
      <c r="AP514" s="1226"/>
      <c r="AQ514" s="169"/>
      <c r="AR514" s="169"/>
      <c r="AS514" s="184"/>
      <c r="AT514" s="1021"/>
      <c r="AU514" s="1226"/>
      <c r="AV514" s="169"/>
      <c r="AW514" s="169"/>
      <c r="AX514" s="184"/>
      <c r="AY514" s="1021"/>
      <c r="AZ514" s="1226"/>
      <c r="BA514" s="169"/>
      <c r="BB514" s="169"/>
      <c r="BC514" s="184"/>
      <c r="BD514" s="1021"/>
      <c r="BE514" s="1226"/>
      <c r="BF514" s="169"/>
      <c r="BG514" s="169"/>
      <c r="BH514" s="184"/>
      <c r="BI514" s="1021"/>
      <c r="BJ514" s="1226"/>
      <c r="BK514" s="169"/>
      <c r="BL514" s="169"/>
      <c r="BM514" s="169"/>
      <c r="BN514" s="1021"/>
      <c r="BO514" s="193"/>
      <c r="BP514" s="193"/>
      <c r="BQ514" s="193"/>
      <c r="BR514" s="193"/>
      <c r="BS514" s="2430"/>
      <c r="BT514" s="169"/>
      <c r="BU514" s="169"/>
      <c r="BV514" s="169"/>
      <c r="BW514" s="169"/>
      <c r="BX514" s="1021"/>
      <c r="BY514" s="193"/>
      <c r="BZ514" s="193"/>
      <c r="CA514" s="193"/>
      <c r="CB514" s="193"/>
      <c r="CC514" s="2430"/>
      <c r="CD514" s="169"/>
      <c r="CE514" s="169"/>
      <c r="CF514" s="169"/>
      <c r="CG514" s="169"/>
      <c r="CH514" s="1021"/>
      <c r="CI514" s="1226"/>
      <c r="CJ514" s="169">
        <f>+CJ512/CI512-1</f>
        <v>2.3893183415319763E-2</v>
      </c>
      <c r="CK514" s="169">
        <f>+CK512/CJ512-1</f>
        <v>0.16884008236101589</v>
      </c>
      <c r="CL514" s="169">
        <f>+CL512/CK512-1</f>
        <v>5.3435114503816772E-2</v>
      </c>
      <c r="CM514" s="1021"/>
      <c r="CN514" s="169">
        <f>+CN512/CL512-1</f>
        <v>-2.4526198439241864E-2</v>
      </c>
      <c r="CO514" s="169">
        <f>+CO512/CN512-1</f>
        <v>-2.6285714285714246E-2</v>
      </c>
      <c r="CP514" s="169">
        <f>+CP512/CO512-1</f>
        <v>0.11150234741784049</v>
      </c>
      <c r="CQ514" s="169">
        <f>+CQ512/CP512-1</f>
        <v>0.18848996832101372</v>
      </c>
      <c r="CR514" s="1021"/>
      <c r="CS514" s="169">
        <f>+CS512/CQ512-1</f>
        <v>-6.2194580186584192E-3</v>
      </c>
      <c r="CT514" s="169">
        <f>+CT512/CS512-1</f>
        <v>5.3643272239606521E-2</v>
      </c>
      <c r="CU514" s="169">
        <f>+CU512/CT512-1</f>
        <v>0.11582520152736531</v>
      </c>
      <c r="CV514" s="169">
        <f>+CV512/CU512-1</f>
        <v>0.39353612167300378</v>
      </c>
      <c r="CW514" s="1021"/>
      <c r="CX514" s="169">
        <f>+CX512/CV512-1</f>
        <v>-8.8949522510231915E-2</v>
      </c>
      <c r="CY514" s="169">
        <f>+CY512/CX512-1</f>
        <v>-2.994908655286066E-4</v>
      </c>
      <c r="CZ514" s="169">
        <f>+CZ512/CY512-1</f>
        <v>0.11054523666866389</v>
      </c>
      <c r="DA514" s="169">
        <f>+DA512/CZ512-1</f>
        <v>0.37469652009711352</v>
      </c>
      <c r="DB514" s="1021"/>
      <c r="DC514" s="2612">
        <f>+DC512/DA512-1</f>
        <v>-0.1161695447409733</v>
      </c>
      <c r="DD514" s="2612">
        <f>+DD512/DC512-1</f>
        <v>1.4653641207815316E-2</v>
      </c>
      <c r="DE514" s="2612">
        <f>+DE512/DD512-1</f>
        <v>4.7264770240700305E-2</v>
      </c>
      <c r="DF514" s="2612">
        <f>+DF512/DE512-1</f>
        <v>0.38758880066861678</v>
      </c>
      <c r="DG514" s="1021"/>
      <c r="DH514" s="2612"/>
      <c r="DI514" s="2612"/>
      <c r="DJ514" s="2612"/>
      <c r="DK514" s="2612"/>
      <c r="DL514" s="1021"/>
      <c r="DM514" s="2612"/>
      <c r="DN514" s="2612"/>
      <c r="DO514" s="2612"/>
      <c r="DP514" s="2612"/>
      <c r="DQ514" s="1021"/>
      <c r="DR514" s="2612"/>
      <c r="DS514" s="2612"/>
      <c r="DT514" s="2612"/>
      <c r="DU514" s="2612"/>
      <c r="DV514" s="1021"/>
      <c r="DW514" s="2612"/>
      <c r="DX514" s="2612"/>
      <c r="DY514" s="2612"/>
      <c r="DZ514" s="2612"/>
      <c r="EA514" s="2430"/>
      <c r="EB514" s="2612"/>
      <c r="EC514" s="2612"/>
      <c r="ED514" s="2612"/>
      <c r="EE514" s="2612"/>
      <c r="EF514" s="2430"/>
      <c r="EG514" s="2612"/>
      <c r="EH514" s="2612"/>
      <c r="EI514" s="2612"/>
      <c r="EJ514" s="2612"/>
      <c r="EK514" s="2430"/>
      <c r="EL514" s="2612"/>
      <c r="EM514" s="2612"/>
      <c r="EN514" s="2612"/>
      <c r="EO514" s="2612"/>
      <c r="EP514" s="2430"/>
      <c r="EQ514" s="2612"/>
      <c r="ER514" s="2612"/>
      <c r="ES514" s="2612"/>
      <c r="ET514" s="2612"/>
      <c r="EU514" s="2430"/>
      <c r="EV514" s="2430"/>
      <c r="EW514" s="2430"/>
      <c r="EX514" s="2430"/>
      <c r="EY514" s="2430"/>
      <c r="EZ514" s="193"/>
      <c r="FA514" s="725"/>
      <c r="FB514" s="725"/>
    </row>
    <row r="515" spans="1:158" s="77" customFormat="1" ht="11.25" hidden="1" customHeight="1">
      <c r="A515" s="2469" t="s">
        <v>428</v>
      </c>
      <c r="B515" s="2361"/>
      <c r="C515" s="1822"/>
      <c r="D515" s="1822"/>
      <c r="E515" s="1822"/>
      <c r="F515" s="2362"/>
      <c r="G515" s="2361"/>
      <c r="H515" s="1822"/>
      <c r="I515" s="1822"/>
      <c r="J515" s="1822"/>
      <c r="K515" s="2164"/>
      <c r="L515" s="1822"/>
      <c r="M515" s="1822"/>
      <c r="N515" s="1822"/>
      <c r="O515" s="1822"/>
      <c r="P515" s="2363"/>
      <c r="Q515" s="2361"/>
      <c r="R515" s="1822"/>
      <c r="S515" s="1822"/>
      <c r="T515" s="1822"/>
      <c r="U515" s="2363"/>
      <c r="V515" s="2361"/>
      <c r="W515" s="1822"/>
      <c r="X515" s="1822"/>
      <c r="Y515" s="1822"/>
      <c r="Z515" s="2363"/>
      <c r="AA515" s="2361"/>
      <c r="AB515" s="1822"/>
      <c r="AC515" s="1822"/>
      <c r="AD515" s="1822"/>
      <c r="AE515" s="2363"/>
      <c r="AF515" s="2361"/>
      <c r="AG515" s="1822"/>
      <c r="AH515" s="1822"/>
      <c r="AI515" s="1822"/>
      <c r="AJ515" s="2363"/>
      <c r="AK515" s="2361"/>
      <c r="AL515" s="1822"/>
      <c r="AM515" s="1822"/>
      <c r="AN515" s="1503"/>
      <c r="AO515" s="2363"/>
      <c r="AP515" s="2361"/>
      <c r="AQ515" s="1822"/>
      <c r="AR515" s="1822"/>
      <c r="AS515" s="1503"/>
      <c r="AT515" s="2363"/>
      <c r="AU515" s="2361"/>
      <c r="AV515" s="1822"/>
      <c r="AW515" s="1822"/>
      <c r="AX515" s="1503"/>
      <c r="AY515" s="2363"/>
      <c r="AZ515" s="2361"/>
      <c r="BA515" s="1822"/>
      <c r="BB515" s="1822"/>
      <c r="BC515" s="1503"/>
      <c r="BD515" s="2363"/>
      <c r="BE515" s="2361"/>
      <c r="BF515" s="1822"/>
      <c r="BG515" s="1822"/>
      <c r="BH515" s="1503"/>
      <c r="BI515" s="2363"/>
      <c r="BJ515" s="2361"/>
      <c r="BK515" s="1822"/>
      <c r="BL515" s="1822"/>
      <c r="BM515" s="1822"/>
      <c r="BN515" s="2363"/>
      <c r="BO515" s="2365"/>
      <c r="BP515" s="2365"/>
      <c r="BQ515" s="2365"/>
      <c r="BR515" s="2365"/>
      <c r="BS515" s="2363"/>
      <c r="BT515" s="1822"/>
      <c r="BU515" s="1822"/>
      <c r="BV515" s="1822"/>
      <c r="BW515" s="1822"/>
      <c r="BX515" s="2363"/>
      <c r="BY515" s="2365"/>
      <c r="BZ515" s="2365"/>
      <c r="CA515" s="2365"/>
      <c r="CB515" s="2365"/>
      <c r="CC515" s="2363"/>
      <c r="CD515" s="1822"/>
      <c r="CE515" s="1822"/>
      <c r="CF515" s="1822"/>
      <c r="CG515" s="1822"/>
      <c r="CH515" s="2363"/>
      <c r="CI515" s="1822">
        <f>+CI512/CM512</f>
        <v>0.22314567978673358</v>
      </c>
      <c r="CJ515" s="1822">
        <f>+CJ512/CM512</f>
        <v>0.22847734044221421</v>
      </c>
      <c r="CK515" s="1822">
        <f>+CK512/CM512</f>
        <v>0.26705347342010349</v>
      </c>
      <c r="CL515" s="1822">
        <f>+CL512/CM512</f>
        <v>0.28132350635094872</v>
      </c>
      <c r="CM515" s="2363"/>
      <c r="CN515" s="1822">
        <f>+CN512/CR512</f>
        <v>0.23029345966574549</v>
      </c>
      <c r="CO515" s="1822">
        <f>+CO512/CR512</f>
        <v>0.22424003158310304</v>
      </c>
      <c r="CP515" s="1822">
        <f>+CP512/CR512</f>
        <v>0.24924332148966968</v>
      </c>
      <c r="CQ515" s="1822">
        <f>+CQ512/CR512</f>
        <v>0.29622318726148178</v>
      </c>
      <c r="CR515" s="2363"/>
      <c r="CS515" s="1822">
        <f>+CS512/CW512</f>
        <v>0.20543667921755901</v>
      </c>
      <c r="CT515" s="1822">
        <f>+CT512/CW512</f>
        <v>0.21645697492882726</v>
      </c>
      <c r="CU515" s="1822">
        <f>+CU512/CW512</f>
        <v>0.24152814767196254</v>
      </c>
      <c r="CV515" s="1822">
        <f>+CV512/CW512</f>
        <v>0.33657819818165119</v>
      </c>
      <c r="CW515" s="2363"/>
      <c r="CX515" s="1822">
        <f>+CX512/DB512</f>
        <v>0.21569767441860466</v>
      </c>
      <c r="CY515" s="1822">
        <f>+CY512/DB512</f>
        <v>0.21563307493540051</v>
      </c>
      <c r="CZ515" s="1822">
        <f>+CZ512/DB512</f>
        <v>0.23947028423772609</v>
      </c>
      <c r="DA515" s="1822">
        <f>+DA512/DB512</f>
        <v>0.32919896640826873</v>
      </c>
      <c r="DB515" s="2363"/>
      <c r="DC515" s="1822">
        <f>+DC512/DG512</f>
        <v>0.21969660016584558</v>
      </c>
      <c r="DD515" s="1822">
        <f>+DD512/DG512</f>
        <v>0.22291595531925271</v>
      </c>
      <c r="DE515" s="1822">
        <f>+DE512/DG512</f>
        <v>0.23345202673040338</v>
      </c>
      <c r="DF515" s="1822">
        <f>+DF512/DG512</f>
        <v>0.3239354177844983</v>
      </c>
      <c r="DG515" s="2363"/>
      <c r="DH515" s="1822"/>
      <c r="DI515" s="1822"/>
      <c r="DJ515" s="1822"/>
      <c r="DK515" s="1822"/>
      <c r="DL515" s="2363"/>
      <c r="DM515" s="1822"/>
      <c r="DN515" s="1822"/>
      <c r="DO515" s="1822"/>
      <c r="DP515" s="1822"/>
      <c r="DQ515" s="2363"/>
      <c r="DR515" s="1822"/>
      <c r="DS515" s="1822"/>
      <c r="DT515" s="1822"/>
      <c r="DU515" s="1822"/>
      <c r="DV515" s="2363"/>
      <c r="DW515" s="1822"/>
      <c r="DX515" s="1822"/>
      <c r="DY515" s="1822"/>
      <c r="DZ515" s="1822"/>
      <c r="EA515" s="2363"/>
      <c r="EB515" s="1822"/>
      <c r="EC515" s="1822"/>
      <c r="ED515" s="1822"/>
      <c r="EE515" s="1822"/>
      <c r="EF515" s="2363"/>
      <c r="EG515" s="1822"/>
      <c r="EH515" s="1822"/>
      <c r="EI515" s="1822"/>
      <c r="EJ515" s="1822"/>
      <c r="EK515" s="2363"/>
      <c r="EL515" s="1822"/>
      <c r="EM515" s="1822"/>
      <c r="EN515" s="1822"/>
      <c r="EO515" s="1822"/>
      <c r="EP515" s="2363"/>
      <c r="EQ515" s="1822"/>
      <c r="ER515" s="1822"/>
      <c r="ES515" s="1822"/>
      <c r="ET515" s="1822"/>
      <c r="EU515" s="2363"/>
      <c r="EV515" s="2363"/>
      <c r="EW515" s="2363"/>
      <c r="EX515" s="2363"/>
      <c r="EY515" s="2363"/>
      <c r="EZ515" s="42"/>
      <c r="FA515" s="725"/>
      <c r="FB515" s="725"/>
    </row>
    <row r="516" spans="1:158" s="77" customFormat="1" ht="11.25" hidden="1" customHeight="1">
      <c r="A516" s="2067"/>
      <c r="B516" s="2836"/>
      <c r="C516" s="127"/>
      <c r="D516" s="127"/>
      <c r="E516" s="127"/>
      <c r="F516" s="5087"/>
      <c r="G516" s="2836"/>
      <c r="H516" s="127"/>
      <c r="I516" s="127"/>
      <c r="J516" s="127"/>
      <c r="K516" s="5088"/>
      <c r="L516" s="127"/>
      <c r="M516" s="127"/>
      <c r="N516" s="127"/>
      <c r="O516" s="127"/>
      <c r="P516" s="2880"/>
      <c r="Q516" s="2836"/>
      <c r="R516" s="127"/>
      <c r="S516" s="127"/>
      <c r="T516" s="127"/>
      <c r="U516" s="2880"/>
      <c r="V516" s="2836"/>
      <c r="W516" s="127"/>
      <c r="X516" s="127"/>
      <c r="Y516" s="127"/>
      <c r="Z516" s="2880"/>
      <c r="AA516" s="2836"/>
      <c r="AB516" s="127"/>
      <c r="AC516" s="127"/>
      <c r="AD516" s="127"/>
      <c r="AE516" s="2880"/>
      <c r="AF516" s="2836"/>
      <c r="AG516" s="127"/>
      <c r="AH516" s="127"/>
      <c r="AI516" s="127"/>
      <c r="AJ516" s="2880"/>
      <c r="AK516" s="2836"/>
      <c r="AL516" s="127"/>
      <c r="AM516" s="127"/>
      <c r="AN516" s="125"/>
      <c r="AO516" s="2880"/>
      <c r="AP516" s="2836"/>
      <c r="AQ516" s="127"/>
      <c r="AR516" s="127"/>
      <c r="AS516" s="125"/>
      <c r="AT516" s="2880"/>
      <c r="AU516" s="2836"/>
      <c r="AV516" s="127"/>
      <c r="AW516" s="127"/>
      <c r="AX516" s="125"/>
      <c r="AY516" s="2880"/>
      <c r="AZ516" s="2836"/>
      <c r="BA516" s="127"/>
      <c r="BB516" s="127"/>
      <c r="BC516" s="125"/>
      <c r="BD516" s="2880"/>
      <c r="BE516" s="2836"/>
      <c r="BF516" s="127"/>
      <c r="BG516" s="127"/>
      <c r="BH516" s="125"/>
      <c r="BI516" s="2880"/>
      <c r="BJ516" s="2836"/>
      <c r="BK516" s="127"/>
      <c r="BL516" s="127"/>
      <c r="BM516" s="127"/>
      <c r="BN516" s="2880"/>
      <c r="BO516" s="42"/>
      <c r="BP516" s="42"/>
      <c r="BQ516" s="42"/>
      <c r="BR516" s="42"/>
      <c r="BS516" s="2880"/>
      <c r="BT516" s="127"/>
      <c r="BU516" s="127"/>
      <c r="BV516" s="127"/>
      <c r="BW516" s="127"/>
      <c r="BX516" s="2880"/>
      <c r="BY516" s="42"/>
      <c r="BZ516" s="42"/>
      <c r="CA516" s="42"/>
      <c r="CB516" s="42"/>
      <c r="CC516" s="2880"/>
      <c r="CD516" s="127"/>
      <c r="CE516" s="127"/>
      <c r="CF516" s="127"/>
      <c r="CG516" s="127"/>
      <c r="CH516" s="2880"/>
      <c r="CI516" s="127"/>
      <c r="CJ516" s="127"/>
      <c r="CK516" s="127"/>
      <c r="CL516" s="127"/>
      <c r="CM516" s="2880"/>
      <c r="CN516" s="127"/>
      <c r="CO516" s="127"/>
      <c r="CP516" s="127"/>
      <c r="CQ516" s="127"/>
      <c r="CR516" s="2880"/>
      <c r="CS516" s="127"/>
      <c r="CT516" s="127"/>
      <c r="CU516" s="127"/>
      <c r="CV516" s="127"/>
      <c r="CW516" s="2880"/>
      <c r="CX516" s="127"/>
      <c r="CY516" s="127"/>
      <c r="CZ516" s="127"/>
      <c r="DA516" s="127"/>
      <c r="DB516" s="2880"/>
      <c r="DC516" s="127"/>
      <c r="DD516" s="127"/>
      <c r="DE516" s="127"/>
      <c r="DF516" s="127"/>
      <c r="DG516" s="2880"/>
      <c r="DH516" s="127"/>
      <c r="DI516" s="127"/>
      <c r="DJ516" s="127"/>
      <c r="DK516" s="127"/>
      <c r="DL516" s="2880"/>
      <c r="DM516" s="127"/>
      <c r="DN516" s="127"/>
      <c r="DO516" s="127"/>
      <c r="DP516" s="127"/>
      <c r="DQ516" s="2880"/>
      <c r="DR516" s="127"/>
      <c r="DS516" s="127"/>
      <c r="DT516" s="127"/>
      <c r="DU516" s="127"/>
      <c r="DV516" s="2880"/>
      <c r="DW516" s="127"/>
      <c r="DX516" s="127"/>
      <c r="DY516" s="127"/>
      <c r="DZ516" s="127"/>
      <c r="EA516" s="2880"/>
      <c r="EB516" s="127"/>
      <c r="EC516" s="127"/>
      <c r="ED516" s="127"/>
      <c r="EE516" s="127"/>
      <c r="EF516" s="2880"/>
      <c r="EG516" s="127"/>
      <c r="EH516" s="127"/>
      <c r="EI516" s="127"/>
      <c r="EJ516" s="127"/>
      <c r="EK516" s="2880"/>
      <c r="EL516" s="127"/>
      <c r="EM516" s="127"/>
      <c r="EN516" s="127"/>
      <c r="EO516" s="127"/>
      <c r="EP516" s="2880"/>
      <c r="EQ516" s="127"/>
      <c r="ER516" s="127"/>
      <c r="ES516" s="127"/>
      <c r="ET516" s="127"/>
      <c r="EU516" s="2880"/>
      <c r="EV516" s="2880"/>
      <c r="EW516" s="2880"/>
      <c r="EX516" s="2880"/>
      <c r="EY516" s="2880"/>
      <c r="EZ516" s="42"/>
      <c r="FA516" s="725"/>
      <c r="FB516" s="725"/>
    </row>
    <row r="517" spans="1:158" s="180" customFormat="1" ht="11.25" hidden="1" customHeight="1">
      <c r="A517" s="5089" t="str">
        <f>A22</f>
        <v>Google Properties</v>
      </c>
      <c r="B517" s="5090"/>
      <c r="C517" s="5091"/>
      <c r="D517" s="5091"/>
      <c r="E517" s="5092"/>
      <c r="F517" s="5093"/>
      <c r="G517" s="5090"/>
      <c r="H517" s="5091"/>
      <c r="I517" s="5091"/>
      <c r="J517" s="5091"/>
      <c r="K517" s="5094"/>
      <c r="L517" s="5091"/>
      <c r="M517" s="5091"/>
      <c r="N517" s="5091"/>
      <c r="O517" s="5091"/>
      <c r="P517" s="5095">
        <f>P22/P69</f>
        <v>0.77444287598639294</v>
      </c>
      <c r="Q517" s="5096">
        <v>0.88</v>
      </c>
      <c r="R517" s="5097">
        <v>0.72</v>
      </c>
      <c r="S517" s="5097">
        <v>0.7</v>
      </c>
      <c r="T517" s="5098">
        <f t="shared" ref="T517:BN517" si="1337">T22/T69</f>
        <v>0.64753154418847203</v>
      </c>
      <c r="U517" s="5095">
        <f t="shared" si="1337"/>
        <v>0.69845827607233535</v>
      </c>
      <c r="V517" s="5099">
        <f t="shared" si="1337"/>
        <v>0.63511089301659573</v>
      </c>
      <c r="W517" s="5098">
        <f t="shared" si="1337"/>
        <v>0.58837592665786198</v>
      </c>
      <c r="X517" s="5098">
        <f t="shared" si="1337"/>
        <v>0.52606475064857261</v>
      </c>
      <c r="Y517" s="5098">
        <f t="shared" si="1337"/>
        <v>0.47605213061941726</v>
      </c>
      <c r="Z517" s="5095">
        <f t="shared" si="1337"/>
        <v>0.54031286538138823</v>
      </c>
      <c r="AA517" s="5099">
        <f t="shared" si="1337"/>
        <v>0.46580921790667296</v>
      </c>
      <c r="AB517" s="5098">
        <f t="shared" si="1337"/>
        <v>0.49048288232706666</v>
      </c>
      <c r="AC517" s="5098">
        <f t="shared" si="1337"/>
        <v>0.51086566727096983</v>
      </c>
      <c r="AD517" s="5100">
        <f t="shared" si="1337"/>
        <v>0.51418998702862417</v>
      </c>
      <c r="AE517" s="5095">
        <f t="shared" si="1337"/>
        <v>0.49825976475782197</v>
      </c>
      <c r="AF517" s="5099">
        <f t="shared" si="1337"/>
        <v>0.52287173786433883</v>
      </c>
      <c r="AG517" s="5098">
        <f t="shared" si="1337"/>
        <v>0.53244829342106692</v>
      </c>
      <c r="AH517" s="5098">
        <f t="shared" si="1337"/>
        <v>0.56047111861211207</v>
      </c>
      <c r="AI517" s="5098">
        <f t="shared" si="1337"/>
        <v>0.57225626897706361</v>
      </c>
      <c r="AJ517" s="5095">
        <f t="shared" si="1337"/>
        <v>0.5501389104330302</v>
      </c>
      <c r="AK517" s="5099">
        <f t="shared" si="1337"/>
        <v>0.57562467970120978</v>
      </c>
      <c r="AL517" s="5098">
        <f t="shared" si="1337"/>
        <v>0.5832517301569915</v>
      </c>
      <c r="AM517" s="5098">
        <f t="shared" si="1337"/>
        <v>0.60452590333471767</v>
      </c>
      <c r="AN517" s="5100">
        <f t="shared" si="1337"/>
        <v>0.61676594401244367</v>
      </c>
      <c r="AO517" s="5095">
        <f t="shared" si="1337"/>
        <v>0.59715667741671152</v>
      </c>
      <c r="AP517" s="5099">
        <f t="shared" si="1337"/>
        <v>0.62285454770247917</v>
      </c>
      <c r="AQ517" s="5098">
        <f t="shared" si="1337"/>
        <v>0.6421228388023198</v>
      </c>
      <c r="AR517" s="5098">
        <f t="shared" si="1337"/>
        <v>0.64630799950181395</v>
      </c>
      <c r="AS517" s="5100">
        <f t="shared" si="1337"/>
        <v>0.64672604082434326</v>
      </c>
      <c r="AT517" s="5095">
        <f t="shared" si="1337"/>
        <v>0.6402744946271498</v>
      </c>
      <c r="AU517" s="5099">
        <f t="shared" si="1337"/>
        <v>0.65568391931960457</v>
      </c>
      <c r="AV517" s="5098">
        <f t="shared" si="1337"/>
        <v>0.65772415920966043</v>
      </c>
      <c r="AW517" s="5098">
        <f t="shared" si="1337"/>
        <v>0.6626695355011043</v>
      </c>
      <c r="AX517" s="5100">
        <f t="shared" si="1337"/>
        <v>0.66851958917392762</v>
      </c>
      <c r="AY517" s="5095">
        <f t="shared" si="1337"/>
        <v>0.66131971893345198</v>
      </c>
      <c r="AZ517" s="5099">
        <f t="shared" si="1337"/>
        <v>0.67032668420164132</v>
      </c>
      <c r="BA517" s="5098">
        <f t="shared" si="1337"/>
        <v>0.66136087636615337</v>
      </c>
      <c r="BB517" s="5098">
        <f t="shared" si="1337"/>
        <v>0.66540456606902354</v>
      </c>
      <c r="BC517" s="5100">
        <f t="shared" si="1337"/>
        <v>0.66248425752847873</v>
      </c>
      <c r="BD517" s="5095">
        <f t="shared" si="1337"/>
        <v>0.66478273688452993</v>
      </c>
      <c r="BE517" s="5099">
        <f t="shared" si="1337"/>
        <v>0.65520295202952028</v>
      </c>
      <c r="BF517" s="5098">
        <f t="shared" si="1337"/>
        <v>0.6596774193548387</v>
      </c>
      <c r="BG517" s="5098">
        <f t="shared" si="1337"/>
        <v>0.6633269283557508</v>
      </c>
      <c r="BH517" s="5100">
        <f t="shared" si="1337"/>
        <v>0.67203791469194318</v>
      </c>
      <c r="BI517" s="5095">
        <f t="shared" si="1337"/>
        <v>0.66310835237543053</v>
      </c>
      <c r="BJ517" s="5099">
        <f t="shared" si="1337"/>
        <v>0.68559766763848395</v>
      </c>
      <c r="BK517" s="5098">
        <f t="shared" si="1337"/>
        <v>0.69044981165521824</v>
      </c>
      <c r="BL517" s="5098">
        <f t="shared" si="1337"/>
        <v>0.69341563786008231</v>
      </c>
      <c r="BM517" s="5098">
        <f t="shared" si="1337"/>
        <v>0.68915343915343918</v>
      </c>
      <c r="BN517" s="5095">
        <f t="shared" si="1337"/>
        <v>0.68975069252077559</v>
      </c>
      <c r="BO517" s="5098"/>
      <c r="BP517" s="5098"/>
      <c r="BQ517" s="5098"/>
      <c r="BR517" s="5098"/>
      <c r="BS517" s="5095"/>
      <c r="BT517" s="5098">
        <f>BT22/BT69</f>
        <v>0.68689525598872714</v>
      </c>
      <c r="BU517" s="5098">
        <f>BU22/BU69</f>
        <v>0.68788763225100324</v>
      </c>
      <c r="BV517" s="5098">
        <f>BV22/BV69</f>
        <v>0.67039736248481696</v>
      </c>
      <c r="BW517" s="5098">
        <f>BW22/BW69</f>
        <v>0.66950794265788449</v>
      </c>
      <c r="BX517" s="5095">
        <f>BX22/BX69</f>
        <v>0.67812771503040836</v>
      </c>
      <c r="BY517" s="5098"/>
      <c r="BZ517" s="5098"/>
      <c r="CA517" s="5098"/>
      <c r="CB517" s="5098"/>
      <c r="CC517" s="5095"/>
      <c r="CD517" s="5101"/>
      <c r="CE517" s="5098"/>
      <c r="CF517" s="5098"/>
      <c r="CG517" s="5098"/>
      <c r="CH517" s="5095"/>
      <c r="CI517" s="5102"/>
      <c r="CJ517" s="5098"/>
      <c r="CK517" s="5098"/>
      <c r="CL517" s="5098"/>
      <c r="CM517" s="5095"/>
      <c r="CN517" s="5098"/>
      <c r="CO517" s="5098"/>
      <c r="CP517" s="5098"/>
      <c r="CQ517" s="5098"/>
      <c r="CR517" s="5095"/>
      <c r="CS517" s="5098"/>
      <c r="CT517" s="5098"/>
      <c r="CU517" s="5098"/>
      <c r="CV517" s="5098"/>
      <c r="CW517" s="5095"/>
      <c r="CX517" s="5098"/>
      <c r="CY517" s="5098"/>
      <c r="CZ517" s="5098"/>
      <c r="DA517" s="5098"/>
      <c r="DB517" s="5095">
        <f>DB22/DB69</f>
        <v>0.70327003743629068</v>
      </c>
      <c r="DC517" s="5098"/>
      <c r="DD517" s="5098"/>
      <c r="DE517" s="5098"/>
      <c r="DF517" s="5098">
        <f t="shared" ref="DF517:DV517" si="1338">DF22/DF69</f>
        <v>0.68553315001527648</v>
      </c>
      <c r="DG517" s="5095">
        <f t="shared" si="1338"/>
        <v>0.7049532594157244</v>
      </c>
      <c r="DH517" s="5098">
        <f t="shared" si="1338"/>
        <v>0.70370676133080157</v>
      </c>
      <c r="DI517" s="5098">
        <f t="shared" si="1338"/>
        <v>0.69959428923582578</v>
      </c>
      <c r="DJ517" s="5098">
        <f t="shared" si="1338"/>
        <v>0.70483221807945873</v>
      </c>
      <c r="DK517" s="5098">
        <f t="shared" si="1338"/>
        <v>0.69239283776451432</v>
      </c>
      <c r="DL517" s="5095">
        <f t="shared" si="1338"/>
        <v>0.69977819927466833</v>
      </c>
      <c r="DM517" s="5098">
        <f t="shared" si="1338"/>
        <v>0.69340848903034569</v>
      </c>
      <c r="DN517" s="5098">
        <f t="shared" si="1338"/>
        <v>0.65621328041360938</v>
      </c>
      <c r="DO517" s="5098">
        <f t="shared" si="1338"/>
        <v>0.6795096701535529</v>
      </c>
      <c r="DP517" s="5098">
        <f t="shared" si="1338"/>
        <v>0.68171113220148338</v>
      </c>
      <c r="DQ517" s="5095">
        <f t="shared" si="1338"/>
        <v>0.67844209349849616</v>
      </c>
      <c r="DR517" s="5098">
        <f t="shared" si="1338"/>
        <v>0.6848899012908124</v>
      </c>
      <c r="DS517" s="5098">
        <f t="shared" si="1338"/>
        <v>0.69242081447963799</v>
      </c>
      <c r="DT517" s="5098">
        <f t="shared" si="1338"/>
        <v>0.69306489757056422</v>
      </c>
      <c r="DU517" s="5098">
        <f t="shared" si="1338"/>
        <v>0.68946564885496187</v>
      </c>
      <c r="DV517" s="5095">
        <f t="shared" si="1338"/>
        <v>0.69010274145406136</v>
      </c>
      <c r="DW517" s="5098"/>
      <c r="DX517" s="5098"/>
      <c r="DY517" s="5098"/>
      <c r="DZ517" s="5098"/>
      <c r="EA517" s="5095">
        <f>EA22/EA69</f>
        <v>0.67775318559165032</v>
      </c>
      <c r="EB517" s="5098"/>
      <c r="EC517" s="5098"/>
      <c r="ED517" s="5098"/>
      <c r="EE517" s="5098"/>
      <c r="EF517" s="5095">
        <f>EF22/EF69</f>
        <v>0.67191617272946125</v>
      </c>
      <c r="EG517" s="5098"/>
      <c r="EH517" s="5098"/>
      <c r="EI517" s="5098"/>
      <c r="EJ517" s="5098"/>
      <c r="EK517" s="5095">
        <f>EK22/EK69</f>
        <v>0.66919701272505983</v>
      </c>
      <c r="EL517" s="5098"/>
      <c r="EM517" s="5098"/>
      <c r="EN517" s="5098"/>
      <c r="EO517" s="5098"/>
      <c r="EP517" s="5095">
        <f>EP22/EP69</f>
        <v>0.65855981643601469</v>
      </c>
      <c r="EQ517" s="5098"/>
      <c r="ER517" s="5098"/>
      <c r="ES517" s="5098"/>
      <c r="ET517" s="5098"/>
      <c r="EU517" s="5095">
        <f>EU22/EU69</f>
        <v>0.63809942876997439</v>
      </c>
      <c r="EV517" s="5095">
        <f>EV22/EV69</f>
        <v>0.62022190749900363</v>
      </c>
      <c r="EW517" s="5095">
        <f>EW22/EW69</f>
        <v>0.60468897112989217</v>
      </c>
      <c r="EX517" s="5095">
        <f>EX22/EX69</f>
        <v>0.59144833136951702</v>
      </c>
      <c r="EY517" s="5095">
        <f>EY22/EY69</f>
        <v>0.57924340607006219</v>
      </c>
      <c r="EZ517" s="176"/>
      <c r="FA517" s="1102"/>
      <c r="FB517" s="1102"/>
    </row>
    <row r="518" spans="1:158" s="77" customFormat="1" ht="11.25" hidden="1" customHeight="1">
      <c r="A518" s="2067"/>
      <c r="B518" s="2836"/>
      <c r="C518" s="127"/>
      <c r="D518" s="127"/>
      <c r="E518" s="127"/>
      <c r="F518" s="5087"/>
      <c r="G518" s="2836"/>
      <c r="H518" s="127"/>
      <c r="I518" s="127"/>
      <c r="J518" s="127"/>
      <c r="K518" s="5088"/>
      <c r="L518" s="127"/>
      <c r="M518" s="127"/>
      <c r="N518" s="127"/>
      <c r="O518" s="127"/>
      <c r="P518" s="2880"/>
      <c r="Q518" s="2836"/>
      <c r="R518" s="127"/>
      <c r="S518" s="127"/>
      <c r="T518" s="127"/>
      <c r="U518" s="2880"/>
      <c r="V518" s="2836"/>
      <c r="W518" s="127"/>
      <c r="X518" s="127"/>
      <c r="Y518" s="127"/>
      <c r="Z518" s="2880"/>
      <c r="AA518" s="2836"/>
      <c r="AB518" s="127"/>
      <c r="AC518" s="127"/>
      <c r="AD518" s="127"/>
      <c r="AE518" s="2880"/>
      <c r="AF518" s="2836"/>
      <c r="AG518" s="127"/>
      <c r="AH518" s="127"/>
      <c r="AI518" s="127"/>
      <c r="AJ518" s="2880"/>
      <c r="AK518" s="2836"/>
      <c r="AL518" s="127"/>
      <c r="AM518" s="127"/>
      <c r="AN518" s="125"/>
      <c r="AO518" s="2880"/>
      <c r="AP518" s="2836"/>
      <c r="AQ518" s="127"/>
      <c r="AR518" s="127"/>
      <c r="AS518" s="125"/>
      <c r="AT518" s="2880"/>
      <c r="AU518" s="2836"/>
      <c r="AV518" s="127"/>
      <c r="AW518" s="127"/>
      <c r="AX518" s="125"/>
      <c r="AY518" s="2880"/>
      <c r="AZ518" s="2836"/>
      <c r="BA518" s="127"/>
      <c r="BB518" s="127"/>
      <c r="BC518" s="125"/>
      <c r="BD518" s="2880"/>
      <c r="BE518" s="2836"/>
      <c r="BF518" s="127"/>
      <c r="BG518" s="127"/>
      <c r="BH518" s="125"/>
      <c r="BI518" s="2880"/>
      <c r="BJ518" s="2836"/>
      <c r="BK518" s="127"/>
      <c r="BL518" s="127"/>
      <c r="BM518" s="127"/>
      <c r="BN518" s="2880"/>
      <c r="BO518" s="42"/>
      <c r="BP518" s="42"/>
      <c r="BQ518" s="42"/>
      <c r="BR518" s="42"/>
      <c r="BS518" s="2880"/>
      <c r="BT518" s="127"/>
      <c r="BU518" s="127"/>
      <c r="BV518" s="127"/>
      <c r="BW518" s="127"/>
      <c r="BX518" s="2880"/>
      <c r="BY518" s="42"/>
      <c r="BZ518" s="42"/>
      <c r="CA518" s="42"/>
      <c r="CB518" s="42"/>
      <c r="CC518" s="2880"/>
      <c r="CD518" s="127"/>
      <c r="CE518" s="127"/>
      <c r="CF518" s="127"/>
      <c r="CG518" s="127"/>
      <c r="CH518" s="2880"/>
      <c r="CI518" s="127"/>
      <c r="CJ518" s="127"/>
      <c r="CK518" s="127"/>
      <c r="CL518" s="127"/>
      <c r="CM518" s="2880"/>
      <c r="CN518" s="127"/>
      <c r="CO518" s="127"/>
      <c r="CP518" s="127"/>
      <c r="CQ518" s="127"/>
      <c r="CR518" s="2880"/>
      <c r="CS518" s="127"/>
      <c r="CT518" s="127"/>
      <c r="CU518" s="127"/>
      <c r="CV518" s="127"/>
      <c r="CW518" s="2880"/>
      <c r="CX518" s="127"/>
      <c r="CY518" s="127"/>
      <c r="CZ518" s="127"/>
      <c r="DA518" s="127"/>
      <c r="DB518" s="2880"/>
      <c r="DC518" s="127"/>
      <c r="DD518" s="127"/>
      <c r="DE518" s="127"/>
      <c r="DF518" s="127"/>
      <c r="DG518" s="2880"/>
      <c r="DH518" s="127"/>
      <c r="DI518" s="127"/>
      <c r="DJ518" s="127"/>
      <c r="DK518" s="127"/>
      <c r="DL518" s="2880"/>
      <c r="DM518" s="127"/>
      <c r="DN518" s="127"/>
      <c r="DO518" s="127"/>
      <c r="DP518" s="127"/>
      <c r="DQ518" s="2880"/>
      <c r="DR518" s="127"/>
      <c r="DS518" s="127"/>
      <c r="DT518" s="127"/>
      <c r="DU518" s="127"/>
      <c r="DV518" s="2880"/>
      <c r="DW518" s="127"/>
      <c r="DX518" s="127"/>
      <c r="DY518" s="127"/>
      <c r="DZ518" s="127"/>
      <c r="EA518" s="2880"/>
      <c r="EB518" s="127"/>
      <c r="EC518" s="127"/>
      <c r="ED518" s="127"/>
      <c r="EE518" s="127"/>
      <c r="EF518" s="2880"/>
      <c r="EG518" s="127"/>
      <c r="EH518" s="127"/>
      <c r="EI518" s="127"/>
      <c r="EJ518" s="127"/>
      <c r="EK518" s="2880"/>
      <c r="EL518" s="127"/>
      <c r="EM518" s="127"/>
      <c r="EN518" s="127"/>
      <c r="EO518" s="127"/>
      <c r="EP518" s="2880"/>
      <c r="EQ518" s="127"/>
      <c r="ER518" s="127"/>
      <c r="ES518" s="127"/>
      <c r="ET518" s="127"/>
      <c r="EU518" s="2880"/>
      <c r="EV518" s="2880"/>
      <c r="EW518" s="2880"/>
      <c r="EX518" s="2880"/>
      <c r="EY518" s="2880"/>
      <c r="EZ518" s="42"/>
      <c r="FA518" s="725"/>
      <c r="FB518" s="725"/>
    </row>
    <row r="519" spans="1:158" s="252" customFormat="1" ht="11.25" hidden="1" customHeight="1">
      <c r="A519" s="2353" t="s">
        <v>661</v>
      </c>
      <c r="B519" s="2354"/>
      <c r="C519" s="2355"/>
      <c r="D519" s="2355"/>
      <c r="E519" s="2355"/>
      <c r="F519" s="2356"/>
      <c r="G519" s="2354"/>
      <c r="H519" s="2355"/>
      <c r="I519" s="2355"/>
      <c r="J519" s="2355"/>
      <c r="K519" s="2357"/>
      <c r="L519" s="2358"/>
      <c r="M519" s="2358"/>
      <c r="N519" s="2358"/>
      <c r="O519" s="2358"/>
      <c r="P519" s="2490"/>
      <c r="Q519" s="2359"/>
      <c r="R519" s="2358"/>
      <c r="S519" s="2358"/>
      <c r="T519" s="2358"/>
      <c r="U519" s="2490"/>
      <c r="V519" s="2359"/>
      <c r="W519" s="2358"/>
      <c r="X519" s="2358"/>
      <c r="Y519" s="2358"/>
      <c r="Z519" s="2490"/>
      <c r="AA519" s="2359"/>
      <c r="AB519" s="2358"/>
      <c r="AC519" s="2358"/>
      <c r="AD519" s="2358"/>
      <c r="AE519" s="2490"/>
      <c r="AF519" s="2359"/>
      <c r="AG519" s="2358"/>
      <c r="AH519" s="2358"/>
      <c r="AI519" s="2358"/>
      <c r="AJ519" s="2490"/>
      <c r="AK519" s="2359"/>
      <c r="AL519" s="2358"/>
      <c r="AM519" s="2358"/>
      <c r="AN519" s="2358"/>
      <c r="AO519" s="2490"/>
      <c r="AP519" s="2359"/>
      <c r="AQ519" s="2358"/>
      <c r="AR519" s="2358"/>
      <c r="AS519" s="2358"/>
      <c r="AT519" s="2490"/>
      <c r="AU519" s="2359"/>
      <c r="AV519" s="2358"/>
      <c r="AW519" s="2358"/>
      <c r="AX519" s="2358"/>
      <c r="AY519" s="2490"/>
      <c r="AZ519" s="2359"/>
      <c r="BA519" s="2358"/>
      <c r="BB519" s="2358"/>
      <c r="BC519" s="2358"/>
      <c r="BD519" s="2490"/>
      <c r="BE519" s="2359"/>
      <c r="BF519" s="2358"/>
      <c r="BG519" s="2358"/>
      <c r="BH519" s="2358"/>
      <c r="BI519" s="2490"/>
      <c r="BJ519" s="2359"/>
      <c r="BK519" s="2358"/>
      <c r="BL519" s="2358"/>
      <c r="BM519" s="2358"/>
      <c r="BN519" s="2490"/>
      <c r="BO519" s="2358"/>
      <c r="BP519" s="2358"/>
      <c r="BQ519" s="2358"/>
      <c r="BR519" s="2358"/>
      <c r="BS519" s="2490"/>
      <c r="BT519" s="2358"/>
      <c r="BU519" s="2358"/>
      <c r="BV519" s="2358"/>
      <c r="BW519" s="2358"/>
      <c r="BX519" s="2490"/>
      <c r="BY519" s="2358"/>
      <c r="BZ519" s="2358"/>
      <c r="CA519" s="2358"/>
      <c r="CB519" s="2358"/>
      <c r="CC519" s="2490"/>
      <c r="CD519" s="2491"/>
      <c r="CE519" s="2358"/>
      <c r="CF519" s="2358"/>
      <c r="CG519" s="2358"/>
      <c r="CH519" s="2490"/>
      <c r="CI519" s="2360"/>
      <c r="CJ519" s="2358"/>
      <c r="CK519" s="2358"/>
      <c r="CL519" s="2358"/>
      <c r="CM519" s="2490"/>
      <c r="CN519" s="2358"/>
      <c r="CO519" s="2358"/>
      <c r="CP519" s="2358"/>
      <c r="CQ519" s="2358"/>
      <c r="CR519" s="2490"/>
      <c r="CS519" s="2358"/>
      <c r="CT519" s="2358"/>
      <c r="CU519" s="2358"/>
      <c r="CV519" s="2358"/>
      <c r="CW519" s="2490"/>
      <c r="CX519" s="2358"/>
      <c r="CY519" s="2358"/>
      <c r="CZ519" s="2358"/>
      <c r="DA519" s="2358"/>
      <c r="DB519" s="2490"/>
      <c r="DC519" s="2358"/>
      <c r="DD519" s="2358"/>
      <c r="DE519" s="2358"/>
      <c r="DF519" s="2358"/>
      <c r="DG519" s="2490"/>
      <c r="DH519" s="2358"/>
      <c r="DI519" s="2358"/>
      <c r="DJ519" s="2358"/>
      <c r="DK519" s="2358"/>
      <c r="DL519" s="2490"/>
      <c r="DM519" s="2358"/>
      <c r="DN519" s="2358"/>
      <c r="DO519" s="2358"/>
      <c r="DP519" s="2358"/>
      <c r="DQ519" s="2490"/>
      <c r="DR519" s="2358"/>
      <c r="DS519" s="2358"/>
      <c r="DT519" s="2358"/>
      <c r="DU519" s="2358"/>
      <c r="DV519" s="2490"/>
      <c r="DW519" s="2358"/>
      <c r="DX519" s="2358"/>
      <c r="DY519" s="2358"/>
      <c r="DZ519" s="2358"/>
      <c r="EA519" s="2490"/>
      <c r="EB519" s="2358"/>
      <c r="EC519" s="2358"/>
      <c r="ED519" s="2358"/>
      <c r="EE519" s="2358"/>
      <c r="EF519" s="2490"/>
      <c r="EG519" s="2358"/>
      <c r="EH519" s="2358"/>
      <c r="EI519" s="2358"/>
      <c r="EJ519" s="2358"/>
      <c r="EK519" s="2490"/>
      <c r="EL519" s="2358"/>
      <c r="EM519" s="2358"/>
      <c r="EN519" s="2358"/>
      <c r="EO519" s="2358"/>
      <c r="EP519" s="2490"/>
      <c r="EQ519" s="2358"/>
      <c r="ER519" s="2358"/>
      <c r="ES519" s="2358"/>
      <c r="ET519" s="2358"/>
      <c r="EU519" s="2490"/>
      <c r="EV519" s="2490"/>
      <c r="EW519" s="2490"/>
      <c r="EX519" s="2490"/>
      <c r="EY519" s="2490"/>
      <c r="EZ519" s="251"/>
      <c r="FA519" s="725"/>
      <c r="FB519" s="725"/>
    </row>
    <row r="520" spans="1:158" s="168" customFormat="1" ht="11.25" hidden="1" customHeight="1">
      <c r="A520" s="2350" t="str">
        <f>A208</f>
        <v>Total Gross Revenue</v>
      </c>
      <c r="B520" s="3950"/>
      <c r="C520" s="1968"/>
      <c r="D520" s="1968"/>
      <c r="E520" s="1968"/>
      <c r="F520" s="3951"/>
      <c r="G520" s="3950"/>
      <c r="H520" s="1968"/>
      <c r="I520" s="1968"/>
      <c r="J520" s="1968"/>
      <c r="K520" s="3464"/>
      <c r="L520" s="1968"/>
      <c r="M520" s="1968"/>
      <c r="N520" s="1968"/>
      <c r="O520" s="1968"/>
      <c r="P520" s="3464"/>
      <c r="Q520" s="3950"/>
      <c r="R520" s="1968"/>
      <c r="S520" s="1968"/>
      <c r="T520" s="1968"/>
      <c r="U520" s="3464"/>
      <c r="V520" s="3950"/>
      <c r="W520" s="1968"/>
      <c r="X520" s="1968"/>
      <c r="Y520" s="1968"/>
      <c r="Z520" s="3464"/>
      <c r="AA520" s="3950"/>
      <c r="AB520" s="1968"/>
      <c r="AC520" s="1968"/>
      <c r="AD520" s="3465"/>
      <c r="AE520" s="3464"/>
      <c r="AF520" s="3950"/>
      <c r="AG520" s="1968"/>
      <c r="AH520" s="1968"/>
      <c r="AI520" s="3465"/>
      <c r="AJ520" s="3464"/>
      <c r="AK520" s="3950"/>
      <c r="AL520" s="1968"/>
      <c r="AM520" s="1968"/>
      <c r="AN520" s="1968"/>
      <c r="AO520" s="3464"/>
      <c r="AP520" s="3950"/>
      <c r="AQ520" s="1968"/>
      <c r="AR520" s="1968"/>
      <c r="AS520" s="1968"/>
      <c r="AT520" s="3464"/>
      <c r="AU520" s="3950"/>
      <c r="AV520" s="1968"/>
      <c r="AW520" s="1968"/>
      <c r="AX520" s="1968"/>
      <c r="AY520" s="3464"/>
      <c r="AZ520" s="3950"/>
      <c r="BA520" s="1968"/>
      <c r="BB520" s="1968"/>
      <c r="BC520" s="1968"/>
      <c r="BD520" s="3464"/>
      <c r="BE520" s="3950"/>
      <c r="BF520" s="1968"/>
      <c r="BG520" s="1968"/>
      <c r="BH520" s="1968"/>
      <c r="BI520" s="3464"/>
      <c r="BJ520" s="3950"/>
      <c r="BK520" s="1968"/>
      <c r="BL520" s="1968"/>
      <c r="BM520" s="1968"/>
      <c r="BN520" s="3464"/>
      <c r="BO520" s="1968"/>
      <c r="BP520" s="1968"/>
      <c r="BQ520" s="1968"/>
      <c r="BR520" s="1968"/>
      <c r="BS520" s="3464"/>
      <c r="BT520" s="1968"/>
      <c r="BU520" s="1968"/>
      <c r="BV520" s="1968"/>
      <c r="BW520" s="1968"/>
      <c r="BX520" s="3464"/>
      <c r="BY520" s="1968"/>
      <c r="BZ520" s="1968"/>
      <c r="CA520" s="1968"/>
      <c r="CB520" s="1968"/>
      <c r="CC520" s="3464"/>
      <c r="CD520" s="1968"/>
      <c r="CE520" s="1968"/>
      <c r="CF520" s="1968"/>
      <c r="CG520" s="1968"/>
      <c r="CH520" s="3464"/>
      <c r="CI520" s="1968"/>
      <c r="CJ520" s="1968"/>
      <c r="CK520" s="1968"/>
      <c r="CL520" s="1968"/>
      <c r="CM520" s="3464"/>
      <c r="CN520" s="1968"/>
      <c r="CO520" s="1968"/>
      <c r="CP520" s="1968"/>
      <c r="CQ520" s="1968"/>
      <c r="CR520" s="3464">
        <f t="shared" ref="CR520:DJ520" si="1339">CR208</f>
        <v>74989</v>
      </c>
      <c r="CS520" s="1968">
        <f t="shared" si="1339"/>
        <v>20257</v>
      </c>
      <c r="CT520" s="1968">
        <f t="shared" si="1339"/>
        <v>21500</v>
      </c>
      <c r="CU520" s="1968">
        <f t="shared" si="1339"/>
        <v>22451</v>
      </c>
      <c r="CV520" s="1968">
        <f t="shared" si="1339"/>
        <v>26064</v>
      </c>
      <c r="CW520" s="3464">
        <f t="shared" si="1339"/>
        <v>90272</v>
      </c>
      <c r="CX520" s="1968">
        <f t="shared" si="1339"/>
        <v>24750</v>
      </c>
      <c r="CY520" s="1968">
        <f t="shared" si="1339"/>
        <v>26010</v>
      </c>
      <c r="CZ520" s="1968">
        <f t="shared" si="1339"/>
        <v>27772</v>
      </c>
      <c r="DA520" s="1968">
        <f t="shared" si="1339"/>
        <v>32323</v>
      </c>
      <c r="DB520" s="3464">
        <f t="shared" si="1339"/>
        <v>110855</v>
      </c>
      <c r="DC520" s="1968">
        <f t="shared" si="1339"/>
        <v>31146</v>
      </c>
      <c r="DD520" s="1968">
        <f t="shared" si="1339"/>
        <v>32657</v>
      </c>
      <c r="DE520" s="1968">
        <f t="shared" si="1339"/>
        <v>33740</v>
      </c>
      <c r="DF520" s="1968">
        <f t="shared" si="1339"/>
        <v>39276</v>
      </c>
      <c r="DG520" s="3464">
        <f t="shared" si="1339"/>
        <v>136819</v>
      </c>
      <c r="DH520" s="1968">
        <f t="shared" si="1339"/>
        <v>36339</v>
      </c>
      <c r="DI520" s="1968">
        <f t="shared" si="1339"/>
        <v>38944</v>
      </c>
      <c r="DJ520" s="1968">
        <f t="shared" si="1339"/>
        <v>40499</v>
      </c>
      <c r="DK520" s="1968"/>
      <c r="DL520" s="3464"/>
      <c r="DM520" s="1968"/>
      <c r="DN520" s="1968"/>
      <c r="DO520" s="1968"/>
      <c r="DP520" s="1968"/>
      <c r="DQ520" s="3464"/>
      <c r="DR520" s="1968"/>
      <c r="DS520" s="1968"/>
      <c r="DT520" s="1968"/>
      <c r="DU520" s="1968"/>
      <c r="DV520" s="3464"/>
      <c r="DW520" s="1968"/>
      <c r="DX520" s="1968"/>
      <c r="DY520" s="1968"/>
      <c r="DZ520" s="1968"/>
      <c r="EA520" s="3464"/>
      <c r="EB520" s="1968"/>
      <c r="EC520" s="1968"/>
      <c r="ED520" s="1968"/>
      <c r="EE520" s="1968"/>
      <c r="EF520" s="3464"/>
      <c r="EG520" s="1968"/>
      <c r="EH520" s="1968"/>
      <c r="EI520" s="1968"/>
      <c r="EJ520" s="1968"/>
      <c r="EK520" s="3464"/>
      <c r="EL520" s="1968"/>
      <c r="EM520" s="1968"/>
      <c r="EN520" s="1968"/>
      <c r="EO520" s="1968"/>
      <c r="EP520" s="3464"/>
      <c r="EQ520" s="1968"/>
      <c r="ER520" s="1968"/>
      <c r="ES520" s="1968"/>
      <c r="ET520" s="1968"/>
      <c r="EU520" s="3464"/>
      <c r="EV520" s="3464"/>
      <c r="EW520" s="3464"/>
      <c r="EX520" s="3464"/>
      <c r="EY520" s="3464"/>
      <c r="EZ520" s="167"/>
      <c r="FA520" s="1319"/>
      <c r="FB520" s="1319"/>
    </row>
    <row r="521" spans="1:158" s="249" customFormat="1" ht="11.25" hidden="1" customHeight="1">
      <c r="A521" s="1554" t="str">
        <f>A209</f>
        <v>Y/Y growth</v>
      </c>
      <c r="B521" s="1880"/>
      <c r="C521" s="185"/>
      <c r="D521" s="185"/>
      <c r="E521" s="185"/>
      <c r="F521" s="1881"/>
      <c r="G521" s="1880"/>
      <c r="H521" s="185"/>
      <c r="I521" s="185"/>
      <c r="J521" s="185"/>
      <c r="K521" s="1505"/>
      <c r="L521" s="185"/>
      <c r="M521" s="185"/>
      <c r="N521" s="185"/>
      <c r="O521" s="185"/>
      <c r="P521" s="1044"/>
      <c r="Q521" s="1880"/>
      <c r="R521" s="185"/>
      <c r="S521" s="185"/>
      <c r="T521" s="185"/>
      <c r="U521" s="1044"/>
      <c r="V521" s="1488"/>
      <c r="W521" s="223"/>
      <c r="X521" s="223"/>
      <c r="Y521" s="223"/>
      <c r="Z521" s="1044"/>
      <c r="AA521" s="1488"/>
      <c r="AB521" s="223"/>
      <c r="AC521" s="223"/>
      <c r="AD521" s="223"/>
      <c r="AE521" s="1044"/>
      <c r="AF521" s="1488"/>
      <c r="AG521" s="223"/>
      <c r="AH521" s="223"/>
      <c r="AI521" s="223"/>
      <c r="AJ521" s="1044"/>
      <c r="AK521" s="1488"/>
      <c r="AL521" s="223"/>
      <c r="AM521" s="223"/>
      <c r="AN521" s="223"/>
      <c r="AO521" s="1044"/>
      <c r="AP521" s="1488"/>
      <c r="AQ521" s="223"/>
      <c r="AR521" s="223"/>
      <c r="AS521" s="223"/>
      <c r="AT521" s="1044"/>
      <c r="AU521" s="1488"/>
      <c r="AV521" s="223"/>
      <c r="AW521" s="223"/>
      <c r="AX521" s="223"/>
      <c r="AY521" s="1044"/>
      <c r="AZ521" s="1488"/>
      <c r="BA521" s="223"/>
      <c r="BB521" s="223"/>
      <c r="BC521" s="223"/>
      <c r="BD521" s="1044"/>
      <c r="BE521" s="1488"/>
      <c r="BF521" s="223"/>
      <c r="BG521" s="223"/>
      <c r="BH521" s="223"/>
      <c r="BI521" s="1044"/>
      <c r="BJ521" s="1488"/>
      <c r="BK521" s="223"/>
      <c r="BL521" s="223"/>
      <c r="BM521" s="223"/>
      <c r="BN521" s="1044"/>
      <c r="BO521" s="223"/>
      <c r="BP521" s="223"/>
      <c r="BQ521" s="223"/>
      <c r="BR521" s="223"/>
      <c r="BS521" s="1050"/>
      <c r="BT521" s="223"/>
      <c r="BU521" s="223"/>
      <c r="BV521" s="223"/>
      <c r="BW521" s="223"/>
      <c r="BX521" s="1044"/>
      <c r="BY521" s="223"/>
      <c r="BZ521" s="223"/>
      <c r="CA521" s="223"/>
      <c r="CB521" s="223"/>
      <c r="CC521" s="1050"/>
      <c r="CD521" s="223"/>
      <c r="CE521" s="223"/>
      <c r="CF521" s="223"/>
      <c r="CG521" s="223"/>
      <c r="CH521" s="1044"/>
      <c r="CI521" s="223"/>
      <c r="CJ521" s="223"/>
      <c r="CK521" s="223"/>
      <c r="CL521" s="223"/>
      <c r="CM521" s="1050"/>
      <c r="CN521" s="223"/>
      <c r="CO521" s="223"/>
      <c r="CP521" s="223"/>
      <c r="CQ521" s="223"/>
      <c r="CR521" s="1050">
        <f t="shared" ref="CR521:DJ521" si="1340">CR209</f>
        <v>0.13617975485219924</v>
      </c>
      <c r="CS521" s="223">
        <f t="shared" si="1340"/>
        <v>0.17377448139993046</v>
      </c>
      <c r="CT521" s="223">
        <f t="shared" si="1340"/>
        <v>0.21283917188469559</v>
      </c>
      <c r="CU521" s="223">
        <f t="shared" si="1340"/>
        <v>0.20219544846050863</v>
      </c>
      <c r="CV521" s="223">
        <f t="shared" si="1340"/>
        <v>0.22199821838811018</v>
      </c>
      <c r="CW521" s="1050">
        <f t="shared" si="1340"/>
        <v>0.20380322447292265</v>
      </c>
      <c r="CX521" s="223">
        <f t="shared" si="1340"/>
        <v>0.22179987164930637</v>
      </c>
      <c r="CY521" s="223">
        <f t="shared" si="1340"/>
        <v>0.20976744186046514</v>
      </c>
      <c r="CZ521" s="223">
        <f t="shared" si="1340"/>
        <v>0.23700503318337707</v>
      </c>
      <c r="DA521" s="223">
        <f t="shared" si="1340"/>
        <v>0.24013965623081646</v>
      </c>
      <c r="DB521" s="1050">
        <f t="shared" si="1340"/>
        <v>0.22801090038993266</v>
      </c>
      <c r="DC521" s="223">
        <f t="shared" si="1340"/>
        <v>0.25842424242424245</v>
      </c>
      <c r="DD521" s="223">
        <f t="shared" si="1340"/>
        <v>0.25555555555555554</v>
      </c>
      <c r="DE521" s="223">
        <f t="shared" si="1340"/>
        <v>0.21489269768111763</v>
      </c>
      <c r="DF521" s="223">
        <f t="shared" si="1340"/>
        <v>0.21510998360300704</v>
      </c>
      <c r="DG521" s="1050">
        <f t="shared" si="1340"/>
        <v>0.23421586757475987</v>
      </c>
      <c r="DH521" s="223">
        <f t="shared" si="1340"/>
        <v>0.16673088036987083</v>
      </c>
      <c r="DI521" s="223">
        <f t="shared" si="1340"/>
        <v>0.19251615273907574</v>
      </c>
      <c r="DJ521" s="223">
        <f t="shared" si="1340"/>
        <v>0.2003260225251926</v>
      </c>
      <c r="DK521" s="223"/>
      <c r="DL521" s="1050"/>
      <c r="DM521" s="223"/>
      <c r="DN521" s="223"/>
      <c r="DO521" s="223"/>
      <c r="DP521" s="223"/>
      <c r="DQ521" s="1050"/>
      <c r="DR521" s="223"/>
      <c r="DS521" s="223"/>
      <c r="DT521" s="223"/>
      <c r="DU521" s="223"/>
      <c r="DV521" s="1050"/>
      <c r="DW521" s="223"/>
      <c r="DX521" s="223"/>
      <c r="DY521" s="223"/>
      <c r="DZ521" s="223"/>
      <c r="EA521" s="1050"/>
      <c r="EB521" s="223"/>
      <c r="EC521" s="223"/>
      <c r="ED521" s="223"/>
      <c r="EE521" s="223"/>
      <c r="EF521" s="1050"/>
      <c r="EG521" s="223"/>
      <c r="EH521" s="223"/>
      <c r="EI521" s="223"/>
      <c r="EJ521" s="223"/>
      <c r="EK521" s="1050"/>
      <c r="EL521" s="223"/>
      <c r="EM521" s="223"/>
      <c r="EN521" s="223"/>
      <c r="EO521" s="223"/>
      <c r="EP521" s="1050"/>
      <c r="EQ521" s="223"/>
      <c r="ER521" s="223"/>
      <c r="ES521" s="223"/>
      <c r="ET521" s="223"/>
      <c r="EU521" s="1050"/>
      <c r="EV521" s="1050"/>
      <c r="EW521" s="1050"/>
      <c r="EX521" s="1050"/>
      <c r="EY521" s="1050"/>
      <c r="EZ521" s="185"/>
      <c r="FA521" s="1319"/>
      <c r="FB521" s="1319"/>
    </row>
    <row r="522" spans="1:158" s="249" customFormat="1" ht="11.25" hidden="1" customHeight="1">
      <c r="A522" s="2350" t="str">
        <f>A225</f>
        <v>FXHN Gross Revs. (based on year ago period)</v>
      </c>
      <c r="B522" s="3950"/>
      <c r="C522" s="1968"/>
      <c r="D522" s="1968"/>
      <c r="E522" s="1968"/>
      <c r="F522" s="3951"/>
      <c r="G522" s="3950"/>
      <c r="H522" s="1968"/>
      <c r="I522" s="1968"/>
      <c r="J522" s="1968"/>
      <c r="K522" s="3464"/>
      <c r="L522" s="1968"/>
      <c r="M522" s="1968"/>
      <c r="N522" s="1968"/>
      <c r="O522" s="1968"/>
      <c r="P522" s="3464"/>
      <c r="Q522" s="3950"/>
      <c r="R522" s="1968"/>
      <c r="S522" s="1968"/>
      <c r="T522" s="1968"/>
      <c r="U522" s="3464"/>
      <c r="V522" s="3950"/>
      <c r="W522" s="1968"/>
      <c r="X522" s="1968"/>
      <c r="Y522" s="1968"/>
      <c r="Z522" s="3464"/>
      <c r="AA522" s="3950"/>
      <c r="AB522" s="1968"/>
      <c r="AC522" s="1968"/>
      <c r="AD522" s="3465"/>
      <c r="AE522" s="3464"/>
      <c r="AF522" s="3950"/>
      <c r="AG522" s="1968"/>
      <c r="AH522" s="1968"/>
      <c r="AI522" s="3465"/>
      <c r="AJ522" s="3464"/>
      <c r="AK522" s="3950"/>
      <c r="AL522" s="1968"/>
      <c r="AM522" s="1968"/>
      <c r="AN522" s="1968"/>
      <c r="AO522" s="3464"/>
      <c r="AP522" s="3950"/>
      <c r="AQ522" s="1968"/>
      <c r="AR522" s="1968"/>
      <c r="AS522" s="1968"/>
      <c r="AT522" s="3464"/>
      <c r="AU522" s="3950"/>
      <c r="AV522" s="1968"/>
      <c r="AW522" s="1968"/>
      <c r="AX522" s="1968"/>
      <c r="AY522" s="3464"/>
      <c r="AZ522" s="3950"/>
      <c r="BA522" s="1968"/>
      <c r="BB522" s="1968"/>
      <c r="BC522" s="1968"/>
      <c r="BD522" s="3464"/>
      <c r="BE522" s="3950"/>
      <c r="BF522" s="1968"/>
      <c r="BG522" s="1968"/>
      <c r="BH522" s="1968"/>
      <c r="BI522" s="3464"/>
      <c r="BJ522" s="3950"/>
      <c r="BK522" s="1968"/>
      <c r="BL522" s="1968"/>
      <c r="BM522" s="1968"/>
      <c r="BN522" s="3464"/>
      <c r="BO522" s="1968"/>
      <c r="BP522" s="1968"/>
      <c r="BQ522" s="1968"/>
      <c r="BR522" s="1968"/>
      <c r="BS522" s="3464"/>
      <c r="BT522" s="1968"/>
      <c r="BU522" s="1968"/>
      <c r="BV522" s="1968"/>
      <c r="BW522" s="1968"/>
      <c r="BX522" s="3464"/>
      <c r="BY522" s="1968"/>
      <c r="BZ522" s="1968"/>
      <c r="CA522" s="1968"/>
      <c r="CB522" s="1968"/>
      <c r="CC522" s="3464"/>
      <c r="CD522" s="1968"/>
      <c r="CE522" s="1968"/>
      <c r="CF522" s="1968"/>
      <c r="CG522" s="1968"/>
      <c r="CH522" s="3464"/>
      <c r="CI522" s="1968"/>
      <c r="CJ522" s="1968"/>
      <c r="CK522" s="1968"/>
      <c r="CL522" s="1968"/>
      <c r="CM522" s="3464"/>
      <c r="CN522" s="1968"/>
      <c r="CO522" s="1968"/>
      <c r="CP522" s="1968"/>
      <c r="CQ522" s="1968"/>
      <c r="CR522" s="3464">
        <f t="shared" ref="CR522:DJ522" si="1341">CR225</f>
        <v>79179</v>
      </c>
      <c r="CS522" s="1968">
        <f t="shared" si="1341"/>
        <v>20850</v>
      </c>
      <c r="CT522" s="1968">
        <f t="shared" si="1341"/>
        <v>21535</v>
      </c>
      <c r="CU522" s="1968">
        <f t="shared" si="1341"/>
        <v>22542</v>
      </c>
      <c r="CV522" s="1968">
        <f t="shared" si="1341"/>
        <v>26079</v>
      </c>
      <c r="CW522" s="3464">
        <f t="shared" si="1341"/>
        <v>91006</v>
      </c>
      <c r="CX522" s="1968">
        <f t="shared" si="1341"/>
        <v>24837</v>
      </c>
      <c r="CY522" s="1968">
        <f t="shared" si="1341"/>
        <v>26371</v>
      </c>
      <c r="CZ522" s="1968">
        <f t="shared" si="1341"/>
        <v>27708</v>
      </c>
      <c r="DA522" s="1968">
        <f t="shared" si="1341"/>
        <v>31981</v>
      </c>
      <c r="DB522" s="3464">
        <f t="shared" si="1341"/>
        <v>110897</v>
      </c>
      <c r="DC522" s="1968">
        <f t="shared" si="1341"/>
        <v>30074</v>
      </c>
      <c r="DD522" s="1968">
        <f t="shared" si="1341"/>
        <v>31992</v>
      </c>
      <c r="DE522" s="1968">
        <f t="shared" si="1341"/>
        <v>34045</v>
      </c>
      <c r="DF522" s="1968">
        <f t="shared" si="1341"/>
        <v>39876</v>
      </c>
      <c r="DG522" s="3464">
        <f t="shared" si="1341"/>
        <v>135987</v>
      </c>
      <c r="DH522" s="1968">
        <f t="shared" si="1341"/>
        <v>37355</v>
      </c>
      <c r="DI522" s="1968">
        <f t="shared" si="1341"/>
        <v>40053</v>
      </c>
      <c r="DJ522" s="1968">
        <f t="shared" si="1341"/>
        <v>40919</v>
      </c>
      <c r="DK522" s="1968"/>
      <c r="DL522" s="3464"/>
      <c r="DM522" s="1968"/>
      <c r="DN522" s="1968"/>
      <c r="DO522" s="1968"/>
      <c r="DP522" s="1968"/>
      <c r="DQ522" s="3464"/>
      <c r="DR522" s="1968"/>
      <c r="DS522" s="1968"/>
      <c r="DT522" s="1968"/>
      <c r="DU522" s="1968"/>
      <c r="DV522" s="3464"/>
      <c r="DW522" s="1968"/>
      <c r="DX522" s="1968"/>
      <c r="DY522" s="1968"/>
      <c r="DZ522" s="1968"/>
      <c r="EA522" s="3464"/>
      <c r="EB522" s="1968"/>
      <c r="EC522" s="1968"/>
      <c r="ED522" s="1968"/>
      <c r="EE522" s="1968"/>
      <c r="EF522" s="3464"/>
      <c r="EG522" s="1968"/>
      <c r="EH522" s="1968"/>
      <c r="EI522" s="1968"/>
      <c r="EJ522" s="1968"/>
      <c r="EK522" s="3464"/>
      <c r="EL522" s="1968"/>
      <c r="EM522" s="1968"/>
      <c r="EN522" s="1968"/>
      <c r="EO522" s="1968"/>
      <c r="EP522" s="3464"/>
      <c r="EQ522" s="1968"/>
      <c r="ER522" s="1968"/>
      <c r="ES522" s="1968"/>
      <c r="ET522" s="1968"/>
      <c r="EU522" s="3464"/>
      <c r="EV522" s="3464"/>
      <c r="EW522" s="3464"/>
      <c r="EX522" s="3464"/>
      <c r="EY522" s="3464"/>
      <c r="EZ522" s="185"/>
      <c r="FA522" s="1319"/>
      <c r="FB522" s="1319"/>
    </row>
    <row r="523" spans="1:158" s="267" customFormat="1" ht="11.25" hidden="1" customHeight="1">
      <c r="A523" s="2508" t="str">
        <f>A226</f>
        <v>Y/Y growth (ex-FX &amp; Hedging)</v>
      </c>
      <c r="B523" s="2509"/>
      <c r="C523" s="2510"/>
      <c r="D523" s="2510"/>
      <c r="E523" s="2510"/>
      <c r="F523" s="2511"/>
      <c r="G523" s="2509"/>
      <c r="H523" s="2510"/>
      <c r="I523" s="2510"/>
      <c r="J523" s="2510"/>
      <c r="K523" s="2512"/>
      <c r="L523" s="2510"/>
      <c r="M523" s="2510"/>
      <c r="N523" s="2510"/>
      <c r="O523" s="2510"/>
      <c r="P523" s="2512"/>
      <c r="Q523" s="2509"/>
      <c r="R523" s="2510"/>
      <c r="S523" s="2510"/>
      <c r="T523" s="2510"/>
      <c r="U523" s="2512"/>
      <c r="V523" s="2509"/>
      <c r="W523" s="2510"/>
      <c r="X523" s="2510"/>
      <c r="Y523" s="2510"/>
      <c r="Z523" s="2512"/>
      <c r="AA523" s="2509"/>
      <c r="AB523" s="2510"/>
      <c r="AC523" s="2510"/>
      <c r="AD523" s="2510"/>
      <c r="AE523" s="2512"/>
      <c r="AF523" s="2509"/>
      <c r="AG523" s="2510"/>
      <c r="AH523" s="2510"/>
      <c r="AI523" s="2510"/>
      <c r="AJ523" s="2512"/>
      <c r="AK523" s="2513"/>
      <c r="AL523" s="2514"/>
      <c r="AM523" s="2514"/>
      <c r="AN523" s="2514"/>
      <c r="AO523" s="2512"/>
      <c r="AP523" s="2513"/>
      <c r="AQ523" s="2514"/>
      <c r="AR523" s="2514"/>
      <c r="AS523" s="2514"/>
      <c r="AT523" s="2512"/>
      <c r="AU523" s="2509"/>
      <c r="AV523" s="2510"/>
      <c r="AW523" s="2510"/>
      <c r="AX523" s="2510"/>
      <c r="AY523" s="2512"/>
      <c r="AZ523" s="2509"/>
      <c r="BA523" s="2510"/>
      <c r="BB523" s="2510"/>
      <c r="BC523" s="2510"/>
      <c r="BD523" s="2512"/>
      <c r="BE523" s="2509"/>
      <c r="BF523" s="2510"/>
      <c r="BG523" s="2510"/>
      <c r="BH523" s="2510"/>
      <c r="BI523" s="2512"/>
      <c r="BJ523" s="2509"/>
      <c r="BK523" s="2510"/>
      <c r="BL523" s="2510"/>
      <c r="BM523" s="2510"/>
      <c r="BN523" s="2512"/>
      <c r="BO523" s="2510"/>
      <c r="BP523" s="2510"/>
      <c r="BQ523" s="2510"/>
      <c r="BR523" s="2510"/>
      <c r="BS523" s="2515"/>
      <c r="BT523" s="2510"/>
      <c r="BU523" s="2510"/>
      <c r="BV523" s="2510"/>
      <c r="BW523" s="2510"/>
      <c r="BX523" s="2515"/>
      <c r="BY523" s="2510"/>
      <c r="BZ523" s="2510"/>
      <c r="CA523" s="2510"/>
      <c r="CB523" s="2510"/>
      <c r="CC523" s="2515"/>
      <c r="CD523" s="2510"/>
      <c r="CE523" s="2510"/>
      <c r="CF523" s="2510"/>
      <c r="CG523" s="2510"/>
      <c r="CH523" s="2515"/>
      <c r="CI523" s="2510"/>
      <c r="CJ523" s="2510"/>
      <c r="CK523" s="2510"/>
      <c r="CL523" s="2510"/>
      <c r="CM523" s="2515"/>
      <c r="CN523" s="2510"/>
      <c r="CO523" s="2510"/>
      <c r="CP523" s="2510"/>
      <c r="CQ523" s="2510"/>
      <c r="CR523" s="2515">
        <f t="shared" ref="CR523:DJ523" si="1342">CR226</f>
        <v>0.20279815886615316</v>
      </c>
      <c r="CS523" s="2510">
        <f t="shared" si="1342"/>
        <v>0.2303062488936094</v>
      </c>
      <c r="CT523" s="2510">
        <f t="shared" si="1342"/>
        <v>0.24797171998145573</v>
      </c>
      <c r="CU523" s="2510">
        <f t="shared" si="1342"/>
        <v>0.22584153570069065</v>
      </c>
      <c r="CV523" s="2510">
        <f t="shared" si="1342"/>
        <v>0.24203457636805248</v>
      </c>
      <c r="CW523" s="2515">
        <f t="shared" si="1342"/>
        <v>0.23667939501827728</v>
      </c>
      <c r="CX523" s="2510">
        <f t="shared" si="1342"/>
        <v>0.23640979689366781</v>
      </c>
      <c r="CY523" s="2510">
        <f t="shared" si="1342"/>
        <v>0.23102418074876296</v>
      </c>
      <c r="CZ523" s="2510">
        <f t="shared" si="1342"/>
        <v>0.23995345923207734</v>
      </c>
      <c r="DA523" s="2510">
        <f t="shared" si="1342"/>
        <v>0.23588514897399238</v>
      </c>
      <c r="DB523" s="2515">
        <f t="shared" si="1342"/>
        <v>0.23585525949204866</v>
      </c>
      <c r="DC523" s="2510">
        <f t="shared" si="1342"/>
        <v>0.22585904699792114</v>
      </c>
      <c r="DD523" s="2510">
        <f t="shared" si="1342"/>
        <v>0.23013034952128275</v>
      </c>
      <c r="DE523" s="2510">
        <f t="shared" si="1342"/>
        <v>0.21750169867324676</v>
      </c>
      <c r="DF523" s="2510">
        <f t="shared" si="1342"/>
        <v>0.22616155714768915</v>
      </c>
      <c r="DG523" s="2515">
        <f t="shared" si="1342"/>
        <v>0.22484327712926944</v>
      </c>
      <c r="DH523" s="2510">
        <f t="shared" si="1342"/>
        <v>0.19021825712920193</v>
      </c>
      <c r="DI523" s="2510">
        <f t="shared" si="1342"/>
        <v>0.22261904761904772</v>
      </c>
      <c r="DJ523" s="2510">
        <f t="shared" si="1342"/>
        <v>0.21565656565656566</v>
      </c>
      <c r="DK523" s="2510"/>
      <c r="DL523" s="2515"/>
      <c r="DM523" s="2510"/>
      <c r="DN523" s="2510"/>
      <c r="DO523" s="2510"/>
      <c r="DP523" s="2510"/>
      <c r="DQ523" s="2515"/>
      <c r="DR523" s="2510"/>
      <c r="DS523" s="2510"/>
      <c r="DT523" s="2510"/>
      <c r="DU523" s="2510"/>
      <c r="DV523" s="2515"/>
      <c r="DW523" s="2510"/>
      <c r="DX523" s="2510"/>
      <c r="DY523" s="2510"/>
      <c r="DZ523" s="2510"/>
      <c r="EA523" s="2515"/>
      <c r="EB523" s="2510"/>
      <c r="EC523" s="2510"/>
      <c r="ED523" s="2510"/>
      <c r="EE523" s="2510"/>
      <c r="EF523" s="2515"/>
      <c r="EG523" s="2510"/>
      <c r="EH523" s="2510"/>
      <c r="EI523" s="2510"/>
      <c r="EJ523" s="2510"/>
      <c r="EK523" s="2515"/>
      <c r="EL523" s="2510"/>
      <c r="EM523" s="2510"/>
      <c r="EN523" s="2510"/>
      <c r="EO523" s="2510"/>
      <c r="EP523" s="2515"/>
      <c r="EQ523" s="2510"/>
      <c r="ER523" s="2510"/>
      <c r="ES523" s="2510"/>
      <c r="ET523" s="2510"/>
      <c r="EU523" s="2515"/>
      <c r="EV523" s="2515"/>
      <c r="EW523" s="2515"/>
      <c r="EX523" s="2515"/>
      <c r="EY523" s="2515"/>
      <c r="EZ523" s="227"/>
      <c r="FA523" s="1319"/>
      <c r="FB523" s="1319"/>
    </row>
    <row r="524" spans="1:158" ht="11.25" hidden="1" customHeight="1"/>
    <row r="525" spans="1:158" s="211" customFormat="1" ht="11.25" hidden="1" customHeight="1" collapsed="1">
      <c r="A525" s="2320" t="s">
        <v>316</v>
      </c>
      <c r="B525" s="2692"/>
      <c r="C525" s="3379"/>
      <c r="D525" s="3379"/>
      <c r="E525" s="3379"/>
      <c r="F525" s="2578"/>
      <c r="G525" s="2692"/>
      <c r="H525" s="3379"/>
      <c r="I525" s="3379"/>
      <c r="J525" s="3379"/>
      <c r="K525" s="2324"/>
      <c r="L525" s="3380"/>
      <c r="M525" s="3380"/>
      <c r="N525" s="3380"/>
      <c r="O525" s="3380"/>
      <c r="P525" s="2324"/>
      <c r="Q525" s="2582"/>
      <c r="R525" s="3380"/>
      <c r="S525" s="3380"/>
      <c r="T525" s="3380"/>
      <c r="U525" s="2324"/>
      <c r="V525" s="2582"/>
      <c r="W525" s="3380"/>
      <c r="X525" s="3380"/>
      <c r="Y525" s="3380"/>
      <c r="Z525" s="2324"/>
      <c r="AA525" s="2582"/>
      <c r="AB525" s="3380"/>
      <c r="AC525" s="3380"/>
      <c r="AD525" s="3380"/>
      <c r="AE525" s="2324"/>
      <c r="AF525" s="2582"/>
      <c r="AG525" s="3380"/>
      <c r="AH525" s="3380"/>
      <c r="AI525" s="3380"/>
      <c r="AJ525" s="2324"/>
      <c r="AK525" s="2582"/>
      <c r="AL525" s="3380"/>
      <c r="AM525" s="3380"/>
      <c r="AN525" s="3380"/>
      <c r="AO525" s="2324"/>
      <c r="AP525" s="2582"/>
      <c r="AQ525" s="3380"/>
      <c r="AR525" s="3380"/>
      <c r="AS525" s="3380"/>
      <c r="AT525" s="2324"/>
      <c r="AU525" s="2582"/>
      <c r="AV525" s="3380"/>
      <c r="AW525" s="3380"/>
      <c r="AX525" s="3380"/>
      <c r="AY525" s="2324"/>
      <c r="AZ525" s="2582"/>
      <c r="BA525" s="3380"/>
      <c r="BB525" s="3380"/>
      <c r="BC525" s="3380"/>
      <c r="BD525" s="2324"/>
      <c r="BE525" s="2582"/>
      <c r="BF525" s="3380"/>
      <c r="BG525" s="3380"/>
      <c r="BH525" s="3380"/>
      <c r="BI525" s="2324"/>
      <c r="BJ525" s="2582"/>
      <c r="BK525" s="3380"/>
      <c r="BL525" s="3380"/>
      <c r="BM525" s="3380"/>
      <c r="BN525" s="2324"/>
      <c r="BO525" s="3380"/>
      <c r="BP525" s="3380"/>
      <c r="BQ525" s="3380"/>
      <c r="BR525" s="3380"/>
      <c r="BS525" s="2585"/>
      <c r="BT525" s="3380"/>
      <c r="BU525" s="3380"/>
      <c r="BV525" s="3380"/>
      <c r="BW525" s="3380"/>
      <c r="BX525" s="2585"/>
      <c r="BY525" s="3380"/>
      <c r="BZ525" s="3380"/>
      <c r="CA525" s="3380"/>
      <c r="CB525" s="3380"/>
      <c r="CC525" s="2585"/>
      <c r="CD525" s="3380"/>
      <c r="CE525" s="3380"/>
      <c r="CF525" s="3380"/>
      <c r="CG525" s="3380"/>
      <c r="CH525" s="2585"/>
      <c r="CI525" s="2328"/>
      <c r="CJ525" s="3380"/>
      <c r="CK525" s="3380"/>
      <c r="CL525" s="3380"/>
      <c r="CM525" s="2585"/>
      <c r="CN525" s="3380"/>
      <c r="CO525" s="3380"/>
      <c r="CP525" s="3380"/>
      <c r="CQ525" s="3380"/>
      <c r="CR525" s="2579"/>
      <c r="CS525" s="3381"/>
      <c r="CT525" s="3381"/>
      <c r="CU525" s="3381"/>
      <c r="CV525" s="3381"/>
      <c r="CW525" s="2579"/>
      <c r="CX525" s="3381"/>
      <c r="CY525" s="3381"/>
      <c r="CZ525" s="3381"/>
      <c r="DA525" s="3381"/>
      <c r="DB525" s="2579"/>
      <c r="DC525" s="3381"/>
      <c r="DD525" s="3381"/>
      <c r="DE525" s="3381"/>
      <c r="DF525" s="3381"/>
      <c r="DG525" s="2579"/>
      <c r="DH525" s="3381"/>
      <c r="DI525" s="3381"/>
      <c r="DJ525" s="3381"/>
      <c r="DK525" s="3381"/>
      <c r="DL525" s="2579"/>
      <c r="DM525" s="3381"/>
      <c r="DN525" s="3381"/>
      <c r="DO525" s="3381"/>
      <c r="DP525" s="3381"/>
      <c r="DQ525" s="2579"/>
      <c r="DR525" s="3381"/>
      <c r="DS525" s="3381"/>
      <c r="DT525" s="3381"/>
      <c r="DU525" s="3381"/>
      <c r="DV525" s="2579"/>
      <c r="DW525" s="3381"/>
      <c r="DX525" s="3381"/>
      <c r="DY525" s="3381"/>
      <c r="DZ525" s="3381"/>
      <c r="EA525" s="2579"/>
      <c r="EB525" s="3381"/>
      <c r="EC525" s="3381"/>
      <c r="ED525" s="3381"/>
      <c r="EE525" s="3381"/>
      <c r="EF525" s="2579"/>
      <c r="EG525" s="3381"/>
      <c r="EH525" s="3381"/>
      <c r="EI525" s="3381"/>
      <c r="EJ525" s="3381"/>
      <c r="EK525" s="2579"/>
      <c r="EL525" s="3381"/>
      <c r="EM525" s="3381"/>
      <c r="EN525" s="3381"/>
      <c r="EO525" s="3381"/>
      <c r="EP525" s="2579"/>
      <c r="EQ525" s="3381"/>
      <c r="ER525" s="3381"/>
      <c r="ES525" s="3381"/>
      <c r="ET525" s="3381"/>
      <c r="EU525" s="2579"/>
      <c r="EV525" s="2579"/>
      <c r="EW525" s="2579"/>
      <c r="EX525" s="2579"/>
      <c r="EY525" s="2579"/>
      <c r="EZ525" s="209"/>
      <c r="FA525" s="725"/>
      <c r="FB525" s="725"/>
    </row>
    <row r="526" spans="1:158" s="168" customFormat="1" ht="11.25" hidden="1" customHeight="1">
      <c r="A526" s="1555" t="s">
        <v>299</v>
      </c>
      <c r="B526" s="2666"/>
      <c r="C526" s="2609"/>
      <c r="D526" s="2609"/>
      <c r="E526" s="2609"/>
      <c r="F526" s="2675"/>
      <c r="G526" s="2666"/>
      <c r="H526" s="2609"/>
      <c r="I526" s="2609"/>
      <c r="J526" s="2609"/>
      <c r="K526" s="2591"/>
      <c r="L526" s="2609"/>
      <c r="M526" s="2609"/>
      <c r="N526" s="2609"/>
      <c r="O526" s="2609"/>
      <c r="P526" s="2591"/>
      <c r="Q526" s="2666"/>
      <c r="R526" s="2609"/>
      <c r="S526" s="2609"/>
      <c r="T526" s="2609"/>
      <c r="U526" s="2591"/>
      <c r="V526" s="2666">
        <f t="shared" ref="V526:Y527" si="1343">V179</f>
        <v>67.624096000000009</v>
      </c>
      <c r="W526" s="2609">
        <f t="shared" si="1343"/>
        <v>87.664758299999988</v>
      </c>
      <c r="X526" s="2609">
        <f t="shared" si="1343"/>
        <v>117.30200000000001</v>
      </c>
      <c r="Y526" s="2609">
        <f t="shared" si="1343"/>
        <v>154.93293749999998</v>
      </c>
      <c r="Z526" s="2591">
        <f>SUM(V526:Y526)</f>
        <v>427.52379179999997</v>
      </c>
      <c r="AA526" s="2666">
        <f t="shared" ref="AA526:AD527" si="1344">AA179</f>
        <v>205.21</v>
      </c>
      <c r="AB526" s="2609">
        <f t="shared" si="1344"/>
        <v>217.70400000000001</v>
      </c>
      <c r="AC526" s="2609">
        <f t="shared" si="1344"/>
        <v>281.35899999999998</v>
      </c>
      <c r="AD526" s="2610">
        <f t="shared" si="1344"/>
        <v>365.90700000000015</v>
      </c>
      <c r="AE526" s="2591">
        <f>SUM(AA526:AD526)</f>
        <v>1070.18</v>
      </c>
      <c r="AF526" s="2666">
        <f t="shared" ref="AF526:AI527" si="1345">AF179</f>
        <v>484.70399999999995</v>
      </c>
      <c r="AG526" s="2609">
        <f t="shared" si="1345"/>
        <v>541.23699999999997</v>
      </c>
      <c r="AH526" s="2609">
        <f t="shared" si="1345"/>
        <v>621.37</v>
      </c>
      <c r="AI526" s="2610">
        <f t="shared" si="1345"/>
        <v>734.36300000000006</v>
      </c>
      <c r="AJ526" s="2591">
        <f>SUM(AF526:AI526)</f>
        <v>2381.674</v>
      </c>
      <c r="AK526" s="2666">
        <f t="shared" ref="AK526:AN527" si="1346">AK179</f>
        <v>936.23400000000004</v>
      </c>
      <c r="AL526" s="2609">
        <f t="shared" si="1346"/>
        <v>1034.9649999999999</v>
      </c>
      <c r="AM526" s="2609">
        <f t="shared" si="1346"/>
        <v>1182.8679999999999</v>
      </c>
      <c r="AN526" s="2609">
        <f t="shared" si="1346"/>
        <v>1420.7100000000005</v>
      </c>
      <c r="AO526" s="2591">
        <f>SUM(AK526:AN526)</f>
        <v>4574.777</v>
      </c>
      <c r="AP526" s="2666">
        <f t="shared" ref="AP526:AS527" si="1347">AP179</f>
        <v>1705.5889999999999</v>
      </c>
      <c r="AQ526" s="2609">
        <f t="shared" si="1347"/>
        <v>1844.0430000000001</v>
      </c>
      <c r="AR526" s="2609">
        <f t="shared" si="1347"/>
        <v>2025.5419999999999</v>
      </c>
      <c r="AS526" s="2609">
        <f t="shared" si="1347"/>
        <v>2320.7910000000006</v>
      </c>
      <c r="AT526" s="2591">
        <f>SUM(AP526:AS526)</f>
        <v>7895.9650000000001</v>
      </c>
      <c r="AU526" s="2666">
        <f t="shared" ref="AU526:AX527" si="1348">AU179</f>
        <v>2650.569</v>
      </c>
      <c r="AV526" s="2609">
        <f t="shared" si="1348"/>
        <v>2800.1880000000001</v>
      </c>
      <c r="AW526" s="2609">
        <f t="shared" si="1348"/>
        <v>2846.3789999999999</v>
      </c>
      <c r="AX526" s="2609">
        <f t="shared" si="1348"/>
        <v>2862.8609999999985</v>
      </c>
      <c r="AY526" s="2591">
        <f>SUM(AU526:AX526)</f>
        <v>11159.996999999998</v>
      </c>
      <c r="AZ526" s="2666">
        <f t="shared" ref="AZ526:BC527" si="1349">AZ179</f>
        <v>2881.93</v>
      </c>
      <c r="BA526" s="2609">
        <f t="shared" si="1349"/>
        <v>2913.768</v>
      </c>
      <c r="BB526" s="2609">
        <f t="shared" si="1349"/>
        <v>3142.636</v>
      </c>
      <c r="BC526" s="2609">
        <f t="shared" si="1349"/>
        <v>3518.6720000000005</v>
      </c>
      <c r="BD526" s="2591">
        <f>SUM(AZ526:BC526)</f>
        <v>12457.006000000001</v>
      </c>
      <c r="BE526" s="2666">
        <f t="shared" ref="BE526:BH527" si="1350">BE179</f>
        <v>3579</v>
      </c>
      <c r="BF526" s="2609">
        <f t="shared" si="1350"/>
        <v>3532</v>
      </c>
      <c r="BG526" s="2609">
        <f t="shared" si="1350"/>
        <v>3769</v>
      </c>
      <c r="BH526" s="2609">
        <f t="shared" si="1350"/>
        <v>4385</v>
      </c>
      <c r="BI526" s="2591">
        <f>SUM(BE526:BH526)</f>
        <v>15265</v>
      </c>
      <c r="BJ526" s="2666">
        <f t="shared" ref="BJ526:BN527" si="1351">BJ179</f>
        <v>4570</v>
      </c>
      <c r="BK526" s="2609">
        <f t="shared" si="1351"/>
        <v>4871</v>
      </c>
      <c r="BL526" s="2609">
        <f t="shared" si="1351"/>
        <v>5300</v>
      </c>
      <c r="BM526" s="2609">
        <f t="shared" si="1351"/>
        <v>5604</v>
      </c>
      <c r="BN526" s="2591">
        <f t="shared" si="1351"/>
        <v>20345</v>
      </c>
      <c r="BO526" s="2609"/>
      <c r="BP526" s="2609"/>
      <c r="BQ526" s="2609"/>
      <c r="BR526" s="2609"/>
      <c r="BS526" s="2591"/>
      <c r="BT526" s="2609">
        <f t="shared" ref="BT526:BX527" si="1352">BT179</f>
        <v>5771</v>
      </c>
      <c r="BU526" s="2609">
        <f t="shared" si="1352"/>
        <v>5959</v>
      </c>
      <c r="BV526" s="2609">
        <f t="shared" si="1352"/>
        <v>6110</v>
      </c>
      <c r="BW526" s="2609">
        <f t="shared" si="1352"/>
        <v>6913</v>
      </c>
      <c r="BX526" s="2591">
        <f t="shared" si="1352"/>
        <v>24753</v>
      </c>
      <c r="BY526" s="2609"/>
      <c r="BZ526" s="2609"/>
      <c r="CA526" s="2609"/>
      <c r="CB526" s="2609"/>
      <c r="CC526" s="2591"/>
      <c r="CD526" s="2609">
        <f t="shared" ref="CD526:CY526" si="1353">CD179</f>
        <v>7115</v>
      </c>
      <c r="CE526" s="2609">
        <f t="shared" si="1353"/>
        <v>7211</v>
      </c>
      <c r="CF526" s="2609">
        <f t="shared" si="1353"/>
        <v>7674</v>
      </c>
      <c r="CG526" s="2609">
        <f t="shared" si="1353"/>
        <v>8772</v>
      </c>
      <c r="CH526" s="2591">
        <f t="shared" si="1353"/>
        <v>30772</v>
      </c>
      <c r="CI526" s="2636">
        <f t="shared" si="1353"/>
        <v>8525</v>
      </c>
      <c r="CJ526" s="2609">
        <f t="shared" si="1353"/>
        <v>8997</v>
      </c>
      <c r="CK526" s="2609">
        <f t="shared" si="1353"/>
        <v>9199</v>
      </c>
      <c r="CL526" s="2609">
        <f t="shared" si="1353"/>
        <v>9798</v>
      </c>
      <c r="CM526" s="2591">
        <f t="shared" si="1353"/>
        <v>36519</v>
      </c>
      <c r="CN526" s="2609">
        <f t="shared" si="1353"/>
        <v>9537</v>
      </c>
      <c r="CO526" s="2609">
        <f t="shared" si="1353"/>
        <v>9679</v>
      </c>
      <c r="CP526" s="2609">
        <f t="shared" si="1353"/>
        <v>9927</v>
      </c>
      <c r="CQ526" s="2609">
        <f t="shared" si="1353"/>
        <v>11036</v>
      </c>
      <c r="CR526" s="2591">
        <f t="shared" si="1353"/>
        <v>40179</v>
      </c>
      <c r="CS526" s="2609">
        <f t="shared" si="1353"/>
        <v>10876</v>
      </c>
      <c r="CT526" s="2609">
        <f t="shared" si="1353"/>
        <v>11465</v>
      </c>
      <c r="CU526" s="2609">
        <f t="shared" si="1353"/>
        <v>11802</v>
      </c>
      <c r="CV526" s="2609">
        <f t="shared" si="1353"/>
        <v>13348</v>
      </c>
      <c r="CW526" s="2591">
        <f t="shared" si="1353"/>
        <v>47491</v>
      </c>
      <c r="CX526" s="2609">
        <f t="shared" si="1353"/>
        <v>12981</v>
      </c>
      <c r="CY526" s="2609">
        <f t="shared" si="1353"/>
        <v>13688</v>
      </c>
      <c r="CZ526" s="2609">
        <f t="shared" ref="CZ526:DP526" si="1354">SUM(CZ240,CZ264,CZ288)</f>
        <v>14842</v>
      </c>
      <c r="DA526" s="2609">
        <f t="shared" si="1354"/>
        <v>16895</v>
      </c>
      <c r="DB526" s="2591">
        <f t="shared" si="1354"/>
        <v>58406</v>
      </c>
      <c r="DC526" s="2609">
        <f t="shared" si="1354"/>
        <v>17002</v>
      </c>
      <c r="DD526" s="2609">
        <f t="shared" si="1354"/>
        <v>17724</v>
      </c>
      <c r="DE526" s="2609">
        <f t="shared" si="1354"/>
        <v>18217</v>
      </c>
      <c r="DF526" s="2609">
        <f t="shared" si="1354"/>
        <v>20483</v>
      </c>
      <c r="DG526" s="2591">
        <f t="shared" si="1354"/>
        <v>73426</v>
      </c>
      <c r="DH526" s="2609">
        <f t="shared" si="1354"/>
        <v>19670</v>
      </c>
      <c r="DI526" s="2609">
        <f t="shared" si="1354"/>
        <v>20973</v>
      </c>
      <c r="DJ526" s="2609">
        <f t="shared" si="1354"/>
        <v>21669</v>
      </c>
      <c r="DK526" s="2609">
        <f t="shared" si="1354"/>
        <v>24247</v>
      </c>
      <c r="DL526" s="2591">
        <f t="shared" si="1354"/>
        <v>86559</v>
      </c>
      <c r="DM526" s="2609">
        <f t="shared" si="1354"/>
        <v>22240</v>
      </c>
      <c r="DN526" s="2609">
        <f t="shared" si="1354"/>
        <v>20147</v>
      </c>
      <c r="DO526" s="2609">
        <f t="shared" si="1354"/>
        <v>24753</v>
      </c>
      <c r="DP526" s="2609">
        <f t="shared" si="1354"/>
        <v>30197</v>
      </c>
      <c r="DQ526" s="2591"/>
      <c r="DR526" s="2609"/>
      <c r="DS526" s="2609"/>
      <c r="DT526" s="2609"/>
      <c r="DU526" s="2609"/>
      <c r="DV526" s="2591"/>
      <c r="DW526" s="2609"/>
      <c r="DX526" s="2609"/>
      <c r="DY526" s="2609"/>
      <c r="DZ526" s="2609"/>
      <c r="EA526" s="2591"/>
      <c r="EB526" s="2609"/>
      <c r="EC526" s="2609"/>
      <c r="ED526" s="2609"/>
      <c r="EE526" s="2609"/>
      <c r="EF526" s="2591"/>
      <c r="EG526" s="2609"/>
      <c r="EH526" s="2609"/>
      <c r="EI526" s="2609"/>
      <c r="EJ526" s="2609"/>
      <c r="EK526" s="2591"/>
      <c r="EL526" s="2609"/>
      <c r="EM526" s="2609"/>
      <c r="EN526" s="2609"/>
      <c r="EO526" s="2609"/>
      <c r="EP526" s="2591"/>
      <c r="EQ526" s="2609"/>
      <c r="ER526" s="2609"/>
      <c r="ES526" s="2609"/>
      <c r="ET526" s="2609"/>
      <c r="EU526" s="2591"/>
      <c r="EV526" s="2591"/>
      <c r="EW526" s="2591"/>
      <c r="EX526" s="2591"/>
      <c r="EY526" s="2591"/>
      <c r="EZ526" s="167"/>
      <c r="FA526" s="1319">
        <f>(EP526/DO526)^(1/3)-1</f>
        <v>-1</v>
      </c>
      <c r="FB526" s="1319">
        <f>(EV526/DO526)^(1/5)-1</f>
        <v>-1</v>
      </c>
    </row>
    <row r="527" spans="1:158" s="249" customFormat="1" ht="11.25" hidden="1" customHeight="1">
      <c r="A527" s="1554" t="s">
        <v>45</v>
      </c>
      <c r="B527" s="2605"/>
      <c r="C527" s="185"/>
      <c r="D527" s="185"/>
      <c r="E527" s="185"/>
      <c r="F527" s="2604"/>
      <c r="G527" s="2605"/>
      <c r="H527" s="185"/>
      <c r="I527" s="185"/>
      <c r="J527" s="185"/>
      <c r="K527" s="1505"/>
      <c r="L527" s="185"/>
      <c r="M527" s="185"/>
      <c r="N527" s="185"/>
      <c r="O527" s="185"/>
      <c r="P527" s="2588"/>
      <c r="Q527" s="2605"/>
      <c r="R527" s="185"/>
      <c r="S527" s="185"/>
      <c r="T527" s="185"/>
      <c r="U527" s="2588"/>
      <c r="V527" s="2581" t="str">
        <f t="shared" si="1343"/>
        <v>NA</v>
      </c>
      <c r="W527" s="223" t="str">
        <f t="shared" si="1343"/>
        <v>NA</v>
      </c>
      <c r="X527" s="223" t="str">
        <f t="shared" si="1343"/>
        <v>NA</v>
      </c>
      <c r="Y527" s="223" t="str">
        <f t="shared" si="1343"/>
        <v>NA</v>
      </c>
      <c r="Z527" s="2588"/>
      <c r="AA527" s="2581">
        <f t="shared" si="1344"/>
        <v>2.0345692162746247</v>
      </c>
      <c r="AB527" s="223">
        <f t="shared" si="1344"/>
        <v>1.4833696484394463</v>
      </c>
      <c r="AC527" s="223">
        <f t="shared" si="1344"/>
        <v>1.3985865543639493</v>
      </c>
      <c r="AD527" s="223">
        <f t="shared" si="1344"/>
        <v>1.3617121440042417</v>
      </c>
      <c r="AE527" s="2588">
        <f>AE526/Z526-1</f>
        <v>1.5032057174975688</v>
      </c>
      <c r="AF527" s="2581">
        <f t="shared" si="1345"/>
        <v>1.3619901564251253</v>
      </c>
      <c r="AG527" s="223">
        <f t="shared" si="1345"/>
        <v>1.4861141733730201</v>
      </c>
      <c r="AH527" s="223">
        <f t="shared" si="1345"/>
        <v>1.2084596547471382</v>
      </c>
      <c r="AI527" s="223">
        <f t="shared" si="1345"/>
        <v>1.0069662509872721</v>
      </c>
      <c r="AJ527" s="2588">
        <f>AJ526/AE526-1</f>
        <v>1.2254891700461603</v>
      </c>
      <c r="AK527" s="2581">
        <f t="shared" si="1346"/>
        <v>0.93155822935234722</v>
      </c>
      <c r="AL527" s="223">
        <f t="shared" si="1346"/>
        <v>0.91222144827496998</v>
      </c>
      <c r="AM527" s="223">
        <f t="shared" si="1346"/>
        <v>0.90364517115406273</v>
      </c>
      <c r="AN527" s="223">
        <f t="shared" si="1346"/>
        <v>0.93461544222680115</v>
      </c>
      <c r="AO527" s="2588">
        <f>AO526/AJ526-1</f>
        <v>0.92082417660855342</v>
      </c>
      <c r="AP527" s="2581">
        <f t="shared" si="1347"/>
        <v>0.82175503132763805</v>
      </c>
      <c r="AQ527" s="223">
        <f t="shared" si="1347"/>
        <v>0.78174431019406487</v>
      </c>
      <c r="AR527" s="223">
        <f t="shared" si="1347"/>
        <v>0.7123990166273837</v>
      </c>
      <c r="AS527" s="223">
        <f t="shared" si="1347"/>
        <v>0.63354308761112388</v>
      </c>
      <c r="AT527" s="2588">
        <f>AT526/AO526-1</f>
        <v>0.72597811871485751</v>
      </c>
      <c r="AU527" s="2581">
        <f t="shared" si="1348"/>
        <v>0.55404907043842333</v>
      </c>
      <c r="AV527" s="223">
        <f t="shared" si="1348"/>
        <v>0.51850472033461248</v>
      </c>
      <c r="AW527" s="223">
        <f t="shared" si="1348"/>
        <v>0.40524313986083715</v>
      </c>
      <c r="AX527" s="223">
        <f t="shared" si="1348"/>
        <v>0.23357122636204553</v>
      </c>
      <c r="AY527" s="2588">
        <f>AY526/AT526-1</f>
        <v>0.41337974522430088</v>
      </c>
      <c r="AZ527" s="2581">
        <f t="shared" si="1349"/>
        <v>8.7287295671231391E-2</v>
      </c>
      <c r="BA527" s="223">
        <f t="shared" si="1349"/>
        <v>4.0561562295102993E-2</v>
      </c>
      <c r="BB527" s="223">
        <f t="shared" si="1349"/>
        <v>0.10408206356216088</v>
      </c>
      <c r="BC527" s="223">
        <f t="shared" si="1349"/>
        <v>0.2290753899682878</v>
      </c>
      <c r="BD527" s="2588">
        <f>BD526/AY526-1</f>
        <v>0.11621947568623936</v>
      </c>
      <c r="BE527" s="2581">
        <f t="shared" si="1350"/>
        <v>0.24187610386095426</v>
      </c>
      <c r="BF527" s="223">
        <f t="shared" si="1350"/>
        <v>0.21217612383690132</v>
      </c>
      <c r="BG527" s="223">
        <f t="shared" si="1350"/>
        <v>0.19931166065684991</v>
      </c>
      <c r="BH527" s="223">
        <f t="shared" si="1350"/>
        <v>0.24620879695521469</v>
      </c>
      <c r="BI527" s="2588">
        <f>BI526/BD526-1</f>
        <v>0.22541483884650915</v>
      </c>
      <c r="BJ527" s="2581">
        <f t="shared" si="1351"/>
        <v>0.27689298686784025</v>
      </c>
      <c r="BK527" s="223">
        <f t="shared" si="1351"/>
        <v>0.379105322763307</v>
      </c>
      <c r="BL527" s="223">
        <f t="shared" si="1351"/>
        <v>0.40620854338020695</v>
      </c>
      <c r="BM527" s="223">
        <f t="shared" si="1351"/>
        <v>0.27799315849486894</v>
      </c>
      <c r="BN527" s="2588">
        <f t="shared" si="1351"/>
        <v>0.33278742220766455</v>
      </c>
      <c r="BO527" s="2612"/>
      <c r="BP527" s="2612"/>
      <c r="BQ527" s="2612"/>
      <c r="BR527" s="2612"/>
      <c r="BS527" s="2587"/>
      <c r="BT527" s="223">
        <f t="shared" si="1352"/>
        <v>0.26280087527352292</v>
      </c>
      <c r="BU527" s="223">
        <f t="shared" si="1352"/>
        <v>0.22336275918702531</v>
      </c>
      <c r="BV527" s="223">
        <f t="shared" si="1352"/>
        <v>0.15283018867924536</v>
      </c>
      <c r="BW527" s="223">
        <f t="shared" si="1352"/>
        <v>0.23358315488936476</v>
      </c>
      <c r="BX527" s="2588">
        <f t="shared" si="1352"/>
        <v>0.21666257065618089</v>
      </c>
      <c r="BY527" s="2612"/>
      <c r="BZ527" s="2612"/>
      <c r="CA527" s="2612"/>
      <c r="CB527" s="2612"/>
      <c r="CC527" s="2587"/>
      <c r="CD527" s="223">
        <f t="shared" ref="CD527:CY527" si="1355">CD180</f>
        <v>0.23288858083521058</v>
      </c>
      <c r="CE527" s="223">
        <f t="shared" si="1355"/>
        <v>0.21010236616882016</v>
      </c>
      <c r="CF527" s="223">
        <f t="shared" si="1355"/>
        <v>0.25597381342062198</v>
      </c>
      <c r="CG527" s="223">
        <f t="shared" si="1355"/>
        <v>0.26891364096629533</v>
      </c>
      <c r="CH527" s="2588">
        <f t="shared" si="1355"/>
        <v>0.2431624449561669</v>
      </c>
      <c r="CI527" s="2637">
        <f t="shared" si="1355"/>
        <v>0.19817287420941665</v>
      </c>
      <c r="CJ527" s="223">
        <f t="shared" si="1355"/>
        <v>0.24767715989460548</v>
      </c>
      <c r="CK527" s="223">
        <f t="shared" si="1355"/>
        <v>0.19872296064633832</v>
      </c>
      <c r="CL527" s="223">
        <f t="shared" si="1355"/>
        <v>0.11696306429548553</v>
      </c>
      <c r="CM527" s="2588">
        <f t="shared" si="1355"/>
        <v>0.18676069153776154</v>
      </c>
      <c r="CN527" s="2612">
        <f t="shared" si="1355"/>
        <v>0.11870967741935479</v>
      </c>
      <c r="CO527" s="223">
        <f t="shared" si="1355"/>
        <v>7.5803045459597707E-2</v>
      </c>
      <c r="CP527" s="223">
        <f t="shared" si="1355"/>
        <v>7.9139036851831657E-2</v>
      </c>
      <c r="CQ527" s="2612">
        <f t="shared" si="1355"/>
        <v>0.12635231679934678</v>
      </c>
      <c r="CR527" s="2588">
        <f t="shared" si="1355"/>
        <v>0.10022180234946187</v>
      </c>
      <c r="CS527" s="2612">
        <f t="shared" si="1355"/>
        <v>0.14040054524483581</v>
      </c>
      <c r="CT527" s="223">
        <f t="shared" si="1355"/>
        <v>0.18452319454489108</v>
      </c>
      <c r="CU527" s="2612">
        <f t="shared" si="1355"/>
        <v>0.18887881535207018</v>
      </c>
      <c r="CV527" s="2612">
        <f t="shared" si="1355"/>
        <v>0.20949619427328736</v>
      </c>
      <c r="CW527" s="2588">
        <f t="shared" si="1355"/>
        <v>0.18198561437566885</v>
      </c>
      <c r="CX527" s="2612">
        <f t="shared" si="1355"/>
        <v>0.19354542111070239</v>
      </c>
      <c r="CY527" s="223">
        <f t="shared" si="1355"/>
        <v>0.19389446140427391</v>
      </c>
      <c r="CZ527" s="2612">
        <f t="shared" ref="CZ527:DP527" si="1356">CZ180</f>
        <v>0.25758346043043545</v>
      </c>
      <c r="DA527" s="2612">
        <f t="shared" si="1356"/>
        <v>0.26573269403655986</v>
      </c>
      <c r="DB527" s="2588">
        <f t="shared" si="1356"/>
        <v>0.22983302099345138</v>
      </c>
      <c r="DC527" s="2612">
        <f t="shared" si="1356"/>
        <v>0.32817194360989133</v>
      </c>
      <c r="DD527" s="223">
        <f t="shared" si="1356"/>
        <v>0.30238164815897139</v>
      </c>
      <c r="DE527" s="2612">
        <f t="shared" si="1356"/>
        <v>0.22200512060369215</v>
      </c>
      <c r="DF527" s="2612">
        <f t="shared" si="1356"/>
        <v>0.21237052382361643</v>
      </c>
      <c r="DG527" s="2588">
        <f t="shared" si="1356"/>
        <v>0.26165120021915556</v>
      </c>
      <c r="DH527" s="2612">
        <f t="shared" si="1356"/>
        <v>0.14088509947218841</v>
      </c>
      <c r="DI527" s="223">
        <f t="shared" si="1356"/>
        <v>0.1764738879228136</v>
      </c>
      <c r="DJ527" s="2612">
        <f t="shared" si="1356"/>
        <v>0.19474003418426422</v>
      </c>
      <c r="DK527" s="2612">
        <f t="shared" si="1356"/>
        <v>0.18376214421715575</v>
      </c>
      <c r="DL527" s="2588">
        <f t="shared" si="1356"/>
        <v>0.17466887417218535</v>
      </c>
      <c r="DM527" s="2612">
        <f t="shared" si="1356"/>
        <v>0.13065582104728013</v>
      </c>
      <c r="DN527" s="223">
        <f t="shared" si="1356"/>
        <v>-3.938396986601822E-2</v>
      </c>
      <c r="DO527" s="2612">
        <f t="shared" si="1356"/>
        <v>0.14232313443167666</v>
      </c>
      <c r="DP527" s="2612">
        <f t="shared" si="1356"/>
        <v>0.24539118241431934</v>
      </c>
      <c r="DQ527" s="2588"/>
      <c r="DR527" s="2612"/>
      <c r="DS527" s="2612"/>
      <c r="DT527" s="2612"/>
      <c r="DU527" s="2612"/>
      <c r="DV527" s="2588"/>
      <c r="DW527" s="2612"/>
      <c r="DX527" s="2612"/>
      <c r="DY527" s="2612"/>
      <c r="DZ527" s="2612"/>
      <c r="EA527" s="2587"/>
      <c r="EB527" s="2612"/>
      <c r="EC527" s="2612"/>
      <c r="ED527" s="2612"/>
      <c r="EE527" s="2612"/>
      <c r="EF527" s="2587"/>
      <c r="EG527" s="2612"/>
      <c r="EH527" s="2612"/>
      <c r="EI527" s="2612"/>
      <c r="EJ527" s="2612"/>
      <c r="EK527" s="2587"/>
      <c r="EL527" s="2612"/>
      <c r="EM527" s="2612"/>
      <c r="EN527" s="2612"/>
      <c r="EO527" s="2612"/>
      <c r="EP527" s="2587"/>
      <c r="EQ527" s="2612"/>
      <c r="ER527" s="2612"/>
      <c r="ES527" s="2612"/>
      <c r="ET527" s="2612"/>
      <c r="EU527" s="2587"/>
      <c r="EV527" s="2587"/>
      <c r="EW527" s="2587"/>
      <c r="EX527" s="2587"/>
      <c r="EY527" s="2587"/>
      <c r="EZ527" s="185"/>
      <c r="FA527" s="725"/>
      <c r="FB527" s="725"/>
    </row>
    <row r="528" spans="1:158" s="249" customFormat="1" ht="11.25" hidden="1" customHeight="1">
      <c r="A528" s="1554" t="s">
        <v>46</v>
      </c>
      <c r="B528" s="2605"/>
      <c r="C528" s="185"/>
      <c r="D528" s="185"/>
      <c r="E528" s="185"/>
      <c r="F528" s="2604"/>
      <c r="G528" s="2605"/>
      <c r="H528" s="185"/>
      <c r="I528" s="185"/>
      <c r="J528" s="185"/>
      <c r="K528" s="1505"/>
      <c r="L528" s="185"/>
      <c r="M528" s="185"/>
      <c r="N528" s="185"/>
      <c r="O528" s="185"/>
      <c r="P528" s="1020"/>
      <c r="Q528" s="2605"/>
      <c r="R528" s="185"/>
      <c r="S528" s="185"/>
      <c r="T528" s="185"/>
      <c r="U528" s="1020"/>
      <c r="V528" s="2581" t="str">
        <f>V182</f>
        <v>NA</v>
      </c>
      <c r="W528" s="223">
        <f>W182</f>
        <v>0.29635386623135007</v>
      </c>
      <c r="X528" s="223">
        <f>X182</f>
        <v>0.33807475517787422</v>
      </c>
      <c r="Y528" s="223">
        <f>Y182</f>
        <v>0.32080388654924863</v>
      </c>
      <c r="Z528" s="1020"/>
      <c r="AA528" s="2581">
        <f>AA182</f>
        <v>0.32450854744815016</v>
      </c>
      <c r="AB528" s="223">
        <f>AB182</f>
        <v>6.0883972515959339E-2</v>
      </c>
      <c r="AC528" s="223">
        <f>AC182</f>
        <v>0.29239242273913191</v>
      </c>
      <c r="AD528" s="223">
        <f>AD182</f>
        <v>0.30049865118940633</v>
      </c>
      <c r="AE528" s="1020"/>
      <c r="AF528" s="2581">
        <f>AF182</f>
        <v>0.32466446392115955</v>
      </c>
      <c r="AG528" s="223">
        <f>AG182</f>
        <v>0.11663406945269705</v>
      </c>
      <c r="AH528" s="223">
        <f>AH182</f>
        <v>0.14805528816396518</v>
      </c>
      <c r="AI528" s="223">
        <f>AI182</f>
        <v>0.18184495550155311</v>
      </c>
      <c r="AJ528" s="1020"/>
      <c r="AK528" s="2581">
        <f>AK182</f>
        <v>0.27489266207583984</v>
      </c>
      <c r="AL528" s="223">
        <f>AL182</f>
        <v>0.10545547373840281</v>
      </c>
      <c r="AM528" s="223">
        <f>AM182</f>
        <v>0.14290628185494203</v>
      </c>
      <c r="AN528" s="223">
        <f>AN182</f>
        <v>0.20107230899813056</v>
      </c>
      <c r="AO528" s="1020"/>
      <c r="AP528" s="2581">
        <f>AP182</f>
        <v>0.20051875470715297</v>
      </c>
      <c r="AQ528" s="223">
        <f>AQ182</f>
        <v>8.1176649239646848E-2</v>
      </c>
      <c r="AR528" s="223">
        <f>AR182</f>
        <v>9.8424494439663057E-2</v>
      </c>
      <c r="AS528" s="223">
        <f>AS182</f>
        <v>0.14576296122223131</v>
      </c>
      <c r="AT528" s="1020"/>
      <c r="AU528" s="2581">
        <f>AU182</f>
        <v>0.14209724184556016</v>
      </c>
      <c r="AV528" s="223">
        <f>AV182</f>
        <v>5.6447879681683411E-2</v>
      </c>
      <c r="AW528" s="223">
        <f>AW182</f>
        <v>1.6495678147324222E-2</v>
      </c>
      <c r="AX528" s="223">
        <f>AX182</f>
        <v>5.7905148962940078E-3</v>
      </c>
      <c r="AY528" s="1020"/>
      <c r="AZ528" s="2581">
        <f>AZ182</f>
        <v>6.6608193691559681E-3</v>
      </c>
      <c r="BA528" s="223">
        <f>BA182</f>
        <v>1.1047457780029468E-2</v>
      </c>
      <c r="BB528" s="223">
        <f>BB182</f>
        <v>7.8547090914582007E-2</v>
      </c>
      <c r="BC528" s="223">
        <f>BC182</f>
        <v>0.11965623762981159</v>
      </c>
      <c r="BD528" s="1020"/>
      <c r="BE528" s="2581">
        <f>BE182</f>
        <v>1.71451047440625E-2</v>
      </c>
      <c r="BF528" s="223">
        <f>BF182</f>
        <v>-1.3132159821179101E-2</v>
      </c>
      <c r="BG528" s="223">
        <f>BG182</f>
        <v>6.7100792751981775E-2</v>
      </c>
      <c r="BH528" s="223">
        <f>BH182</f>
        <v>0.16343857787211458</v>
      </c>
      <c r="BI528" s="1020"/>
      <c r="BJ528" s="2581">
        <f>BJ182</f>
        <v>4.218928164196134E-2</v>
      </c>
      <c r="BK528" s="223">
        <f>BK182</f>
        <v>6.5864332603938758E-2</v>
      </c>
      <c r="BL528" s="223">
        <f>BL182</f>
        <v>8.807226442208993E-2</v>
      </c>
      <c r="BM528" s="223">
        <f>BM182</f>
        <v>5.7358490566037812E-2</v>
      </c>
      <c r="BN528" s="1020"/>
      <c r="BO528" s="223"/>
      <c r="BP528" s="223"/>
      <c r="BQ528" s="223"/>
      <c r="BR528" s="223"/>
      <c r="BS528" s="1020"/>
      <c r="BT528" s="223"/>
      <c r="BU528" s="223"/>
      <c r="BV528" s="223"/>
      <c r="BW528" s="223"/>
      <c r="BX528" s="1020"/>
      <c r="BY528" s="223"/>
      <c r="BZ528" s="223"/>
      <c r="CA528" s="223"/>
      <c r="CB528" s="223"/>
      <c r="CC528" s="1020"/>
      <c r="CD528" s="223"/>
      <c r="CE528" s="223"/>
      <c r="CF528" s="223"/>
      <c r="CG528" s="223"/>
      <c r="CH528" s="1020"/>
      <c r="CI528" s="560">
        <f>+CI526/CG526-1</f>
        <v>-2.8157774737802121E-2</v>
      </c>
      <c r="CJ528" s="223">
        <f>CJ526/CI526-1</f>
        <v>5.536656891495606E-2</v>
      </c>
      <c r="CK528" s="223">
        <f>CK526/CJ526-1</f>
        <v>2.2451928420584633E-2</v>
      </c>
      <c r="CL528" s="223"/>
      <c r="CM528" s="1020"/>
      <c r="CN528" s="223">
        <f>+CN526/CL526-1</f>
        <v>-2.6638089406001209E-2</v>
      </c>
      <c r="CO528" s="223">
        <f>CO526/CN526-1</f>
        <v>1.4889378211177418E-2</v>
      </c>
      <c r="CP528" s="223">
        <f>CP526/CO526-1</f>
        <v>2.5622481661328633E-2</v>
      </c>
      <c r="CQ528" s="223">
        <f>CQ526/CP526-1</f>
        <v>0.11171552332023782</v>
      </c>
      <c r="CR528" s="1020"/>
      <c r="CS528" s="223">
        <f>+CS526/CQ526-1</f>
        <v>-1.4498006524102935E-2</v>
      </c>
      <c r="CT528" s="223">
        <f>CT526/CS526-1</f>
        <v>5.4155939683707244E-2</v>
      </c>
      <c r="CU528" s="223">
        <f>CU526/CT526-1</f>
        <v>2.9393807239424419E-2</v>
      </c>
      <c r="CV528" s="223">
        <f>CV526/CU526-1</f>
        <v>0.13099474665310962</v>
      </c>
      <c r="CW528" s="1020"/>
      <c r="CX528" s="223">
        <f>+CX526/CV526-1</f>
        <v>-2.7494755768654455E-2</v>
      </c>
      <c r="CY528" s="223">
        <f>CY526/CX526-1</f>
        <v>5.4464216932439635E-2</v>
      </c>
      <c r="CZ528" s="223">
        <f>CZ526/CY526-1</f>
        <v>8.4307422559906531E-2</v>
      </c>
      <c r="DA528" s="223">
        <f>DA526/CZ526-1</f>
        <v>0.13832367605444018</v>
      </c>
      <c r="DB528" s="1020"/>
      <c r="DC528" s="223">
        <f>+DC526/DA526-1</f>
        <v>6.3332346848179455E-3</v>
      </c>
      <c r="DD528" s="223">
        <f>DD526/DC526-1</f>
        <v>4.2465592283260856E-2</v>
      </c>
      <c r="DE528" s="223">
        <f>DE526/DD526-1</f>
        <v>2.7815391559467439E-2</v>
      </c>
      <c r="DF528" s="223">
        <f>DF526/DE526-1</f>
        <v>0.12438930669155179</v>
      </c>
      <c r="DG528" s="1020"/>
      <c r="DH528" s="223">
        <f>+DH526/DF526-1</f>
        <v>-3.9691451447541826E-2</v>
      </c>
      <c r="DI528" s="223">
        <f>DI526/DH526-1</f>
        <v>6.6243009659379792E-2</v>
      </c>
      <c r="DJ528" s="223">
        <f>DJ526/DI526-1</f>
        <v>3.3185524245458398E-2</v>
      </c>
      <c r="DK528" s="223">
        <f>DK526/DJ526-1</f>
        <v>0.11897180303659605</v>
      </c>
      <c r="DL528" s="1020"/>
      <c r="DM528" s="223">
        <f>+DM526/DK526-1</f>
        <v>-8.2773126572359468E-2</v>
      </c>
      <c r="DN528" s="223">
        <f>DN526/DM526-1</f>
        <v>-9.4109712230215803E-2</v>
      </c>
      <c r="DO528" s="223">
        <f>DO526/DN526-1</f>
        <v>0.22861964560480463</v>
      </c>
      <c r="DP528" s="223">
        <f>DP526/DO526-1</f>
        <v>0.2199329374217267</v>
      </c>
      <c r="DQ528" s="1020"/>
      <c r="DR528" s="223"/>
      <c r="DS528" s="223"/>
      <c r="DT528" s="223"/>
      <c r="DU528" s="223"/>
      <c r="DV528" s="1020"/>
      <c r="DW528" s="223"/>
      <c r="DX528" s="223"/>
      <c r="DY528" s="223"/>
      <c r="DZ528" s="223"/>
      <c r="EA528" s="1020"/>
      <c r="EB528" s="223"/>
      <c r="EC528" s="223"/>
      <c r="ED528" s="223"/>
      <c r="EE528" s="223"/>
      <c r="EF528" s="1020"/>
      <c r="EG528" s="223"/>
      <c r="EH528" s="223"/>
      <c r="EI528" s="223"/>
      <c r="EJ528" s="223"/>
      <c r="EK528" s="1020"/>
      <c r="EL528" s="223"/>
      <c r="EM528" s="223"/>
      <c r="EN528" s="223"/>
      <c r="EO528" s="223"/>
      <c r="EP528" s="1020"/>
      <c r="EQ528" s="223"/>
      <c r="ER528" s="223"/>
      <c r="ES528" s="223"/>
      <c r="ET528" s="223"/>
      <c r="EU528" s="1020"/>
      <c r="EV528" s="1020"/>
      <c r="EW528" s="1020"/>
      <c r="EX528" s="1020"/>
      <c r="EY528" s="1020"/>
      <c r="EZ528" s="185"/>
      <c r="FA528" s="725"/>
      <c r="FB528" s="725"/>
    </row>
    <row r="529" spans="1:158" s="211" customFormat="1" ht="11.25" hidden="1" customHeight="1">
      <c r="A529" s="2062"/>
      <c r="B529" s="2611"/>
      <c r="C529" s="2612"/>
      <c r="D529" s="2612"/>
      <c r="E529" s="2612"/>
      <c r="F529" s="2580"/>
      <c r="G529" s="2611"/>
      <c r="H529" s="2612"/>
      <c r="I529" s="2612"/>
      <c r="J529" s="2612"/>
      <c r="K529" s="1019"/>
      <c r="L529" s="209"/>
      <c r="M529" s="209"/>
      <c r="N529" s="209"/>
      <c r="O529" s="209"/>
      <c r="P529" s="1019"/>
      <c r="Q529" s="2576"/>
      <c r="R529" s="209"/>
      <c r="S529" s="209"/>
      <c r="T529" s="209"/>
      <c r="U529" s="1019"/>
      <c r="V529" s="2576"/>
      <c r="W529" s="209"/>
      <c r="X529" s="209"/>
      <c r="Y529" s="209"/>
      <c r="Z529" s="1019"/>
      <c r="AA529" s="2576"/>
      <c r="AB529" s="209"/>
      <c r="AC529" s="209"/>
      <c r="AD529" s="209"/>
      <c r="AE529" s="1019"/>
      <c r="AF529" s="2576"/>
      <c r="AG529" s="209"/>
      <c r="AH529" s="209"/>
      <c r="AI529" s="209"/>
      <c r="AJ529" s="1019"/>
      <c r="AK529" s="2576"/>
      <c r="AL529" s="209"/>
      <c r="AM529" s="209"/>
      <c r="AN529" s="209"/>
      <c r="AO529" s="1019"/>
      <c r="AP529" s="2576"/>
      <c r="AQ529" s="209"/>
      <c r="AR529" s="209"/>
      <c r="AS529" s="209"/>
      <c r="AT529" s="1019"/>
      <c r="AU529" s="2576"/>
      <c r="AV529" s="209"/>
      <c r="AW529" s="209"/>
      <c r="AX529" s="209"/>
      <c r="AY529" s="1019"/>
      <c r="AZ529" s="2576"/>
      <c r="BA529" s="209"/>
      <c r="BB529" s="209"/>
      <c r="BC529" s="209"/>
      <c r="BD529" s="1019"/>
      <c r="BE529" s="2576"/>
      <c r="BF529" s="209"/>
      <c r="BG529" s="209"/>
      <c r="BH529" s="209"/>
      <c r="BI529" s="1019"/>
      <c r="BJ529" s="2576"/>
      <c r="BK529" s="209"/>
      <c r="BL529" s="209"/>
      <c r="BM529" s="209"/>
      <c r="BN529" s="1019"/>
      <c r="BO529" s="209"/>
      <c r="BP529" s="209"/>
      <c r="BQ529" s="209"/>
      <c r="BR529" s="209"/>
      <c r="BS529" s="2244"/>
      <c r="BT529" s="209"/>
      <c r="BU529" s="209"/>
      <c r="BV529" s="209"/>
      <c r="BW529" s="209"/>
      <c r="BX529" s="1019"/>
      <c r="BY529" s="209"/>
      <c r="BZ529" s="209"/>
      <c r="CA529" s="209"/>
      <c r="CB529" s="209"/>
      <c r="CC529" s="2244"/>
      <c r="CD529" s="209"/>
      <c r="CE529" s="209"/>
      <c r="CF529" s="209"/>
      <c r="CG529" s="209"/>
      <c r="CH529" s="1019"/>
      <c r="CI529" s="556"/>
      <c r="CJ529" s="209"/>
      <c r="CK529" s="209"/>
      <c r="CL529" s="209"/>
      <c r="CM529" s="1019"/>
      <c r="CN529" s="209"/>
      <c r="CO529" s="209"/>
      <c r="CP529" s="209"/>
      <c r="CQ529" s="209"/>
      <c r="CR529" s="1019"/>
      <c r="CS529" s="209"/>
      <c r="CT529" s="209"/>
      <c r="CU529" s="209"/>
      <c r="CV529" s="209"/>
      <c r="CW529" s="1019"/>
      <c r="CX529" s="2606"/>
      <c r="CY529" s="2606"/>
      <c r="CZ529" s="2606"/>
      <c r="DA529" s="2606"/>
      <c r="DB529" s="2600"/>
      <c r="DC529" s="2606"/>
      <c r="DD529" s="2606"/>
      <c r="DE529" s="2606"/>
      <c r="DF529" s="2606"/>
      <c r="DG529" s="2600"/>
      <c r="DH529" s="2606"/>
      <c r="DI529" s="2606"/>
      <c r="DJ529" s="2606"/>
      <c r="DK529" s="2606"/>
      <c r="DL529" s="2600"/>
      <c r="DM529" s="2606"/>
      <c r="DN529" s="2606"/>
      <c r="DO529" s="2606"/>
      <c r="DP529" s="2606"/>
      <c r="DQ529" s="2600"/>
      <c r="DR529" s="2606"/>
      <c r="DS529" s="2606"/>
      <c r="DT529" s="2606"/>
      <c r="DU529" s="2606"/>
      <c r="DV529" s="2600"/>
      <c r="DW529" s="2606"/>
      <c r="DX529" s="2606"/>
      <c r="DY529" s="2606"/>
      <c r="DZ529" s="2606"/>
      <c r="EA529" s="2600"/>
      <c r="EB529" s="2606"/>
      <c r="EC529" s="2606"/>
      <c r="ED529" s="2606"/>
      <c r="EE529" s="2606"/>
      <c r="EF529" s="2600"/>
      <c r="EG529" s="2606"/>
      <c r="EH529" s="2606"/>
      <c r="EI529" s="2606"/>
      <c r="EJ529" s="2606"/>
      <c r="EK529" s="2600"/>
      <c r="EL529" s="2606"/>
      <c r="EM529" s="2606"/>
      <c r="EN529" s="2606"/>
      <c r="EO529" s="2606"/>
      <c r="EP529" s="2600"/>
      <c r="EQ529" s="2606"/>
      <c r="ER529" s="2606"/>
      <c r="ES529" s="2606"/>
      <c r="ET529" s="2606"/>
      <c r="EU529" s="2600"/>
      <c r="EV529" s="2600"/>
      <c r="EW529" s="2600"/>
      <c r="EX529" s="2600"/>
      <c r="EY529" s="2600"/>
      <c r="EZ529" s="209"/>
      <c r="FA529" s="725"/>
      <c r="FB529" s="725"/>
    </row>
    <row r="530" spans="1:158" s="214" customFormat="1" ht="11.25" hidden="1" customHeight="1">
      <c r="A530" s="2667" t="s">
        <v>23</v>
      </c>
      <c r="B530" s="2668"/>
      <c r="C530" s="2615"/>
      <c r="D530" s="2615"/>
      <c r="E530" s="2615"/>
      <c r="F530" s="2654"/>
      <c r="G530" s="2668"/>
      <c r="H530" s="2615"/>
      <c r="I530" s="2615"/>
      <c r="J530" s="2615"/>
      <c r="K530" s="2590"/>
      <c r="L530" s="2606"/>
      <c r="M530" s="2606"/>
      <c r="N530" s="2606"/>
      <c r="O530" s="2606"/>
      <c r="P530" s="2590"/>
      <c r="Q530" s="2655"/>
      <c r="R530" s="2606"/>
      <c r="S530" s="2606"/>
      <c r="T530" s="2606"/>
      <c r="U530" s="2590"/>
      <c r="V530" s="2655"/>
      <c r="W530" s="2606"/>
      <c r="X530" s="2606"/>
      <c r="Y530" s="2606"/>
      <c r="Z530" s="2590"/>
      <c r="AA530" s="2655"/>
      <c r="AB530" s="2606"/>
      <c r="AC530" s="2606"/>
      <c r="AD530" s="2606"/>
      <c r="AE530" s="2590"/>
      <c r="AF530" s="2655"/>
      <c r="AG530" s="2606"/>
      <c r="AH530" s="2606"/>
      <c r="AI530" s="2606"/>
      <c r="AJ530" s="2590"/>
      <c r="AK530" s="2655">
        <f>AK212</f>
        <v>-65</v>
      </c>
      <c r="AL530" s="2606">
        <f>AL212</f>
        <v>-18</v>
      </c>
      <c r="AM530" s="2606">
        <f>AM212</f>
        <v>35</v>
      </c>
      <c r="AN530" s="2606">
        <f>AN212</f>
        <v>81</v>
      </c>
      <c r="AO530" s="2590">
        <f>SUM(AK530:AN530)</f>
        <v>33</v>
      </c>
      <c r="AP530" s="2655">
        <f>AP212</f>
        <v>115</v>
      </c>
      <c r="AQ530" s="2606">
        <f>AQ212</f>
        <v>121</v>
      </c>
      <c r="AR530" s="2606">
        <f>AR212</f>
        <v>121</v>
      </c>
      <c r="AS530" s="2606">
        <f>AS212</f>
        <v>185</v>
      </c>
      <c r="AT530" s="2590">
        <f>SUM(AP530:AS530)</f>
        <v>542</v>
      </c>
      <c r="AU530" s="2655">
        <f>AU212</f>
        <v>202</v>
      </c>
      <c r="AV530" s="2606">
        <f>AV212</f>
        <v>249.2</v>
      </c>
      <c r="AW530" s="2606">
        <f>AW212</f>
        <v>168</v>
      </c>
      <c r="AX530" s="2606">
        <f>AX212</f>
        <v>-266</v>
      </c>
      <c r="AY530" s="2590">
        <f>SUM(AU530:AX530)</f>
        <v>353.20000000000005</v>
      </c>
      <c r="AZ530" s="2655">
        <f>AZ212</f>
        <v>-429</v>
      </c>
      <c r="BA530" s="2606">
        <f>BA212</f>
        <v>-497</v>
      </c>
      <c r="BB530" s="2606">
        <f>BB212</f>
        <v>-297</v>
      </c>
      <c r="BC530" s="2606">
        <f>BC212</f>
        <v>196</v>
      </c>
      <c r="BD530" s="2590">
        <f>SUM(AZ530:BC530)</f>
        <v>-1027</v>
      </c>
      <c r="BE530" s="2655">
        <f>BE212</f>
        <v>242</v>
      </c>
      <c r="BF530" s="2606">
        <f>BF212</f>
        <v>24</v>
      </c>
      <c r="BG530" s="2606">
        <f>BG212</f>
        <v>-169</v>
      </c>
      <c r="BH530" s="2606">
        <f>BH212</f>
        <v>-132</v>
      </c>
      <c r="BI530" s="2590">
        <f>SUM(BE530:BH530)</f>
        <v>-35</v>
      </c>
      <c r="BJ530" s="2655">
        <f>BJ212</f>
        <v>23</v>
      </c>
      <c r="BK530" s="2606">
        <f>BK212</f>
        <v>417</v>
      </c>
      <c r="BL530" s="2606">
        <f>BL212</f>
        <v>483</v>
      </c>
      <c r="BM530" s="2606">
        <f>BM212</f>
        <v>39</v>
      </c>
      <c r="BN530" s="2590">
        <f>SUM(BJ530:BM530)</f>
        <v>962</v>
      </c>
      <c r="BO530" s="2606"/>
      <c r="BP530" s="2606"/>
      <c r="BQ530" s="2606"/>
      <c r="BR530" s="2606"/>
      <c r="BS530" s="2600"/>
      <c r="BT530" s="2606">
        <f>BT212</f>
        <v>-67</v>
      </c>
      <c r="BU530" s="2606">
        <f>BU212</f>
        <v>-350</v>
      </c>
      <c r="BV530" s="2606">
        <f>BV212</f>
        <v>-557</v>
      </c>
      <c r="BW530" s="2606">
        <f>BW212</f>
        <v>-193</v>
      </c>
      <c r="BX530" s="2590">
        <f>SUM(BT530:BW530)</f>
        <v>-1167</v>
      </c>
      <c r="BY530" s="2606"/>
      <c r="BZ530" s="2606"/>
      <c r="CA530" s="2606"/>
      <c r="CB530" s="2606"/>
      <c r="CC530" s="2600"/>
      <c r="CD530" s="2606">
        <f>CD212</f>
        <v>-110</v>
      </c>
      <c r="CE530" s="2606">
        <f>CE212</f>
        <v>-217</v>
      </c>
      <c r="CF530" s="2606">
        <f>CF212</f>
        <v>-135</v>
      </c>
      <c r="CG530" s="2606">
        <f>CG212</f>
        <v>-141</v>
      </c>
      <c r="CH530" s="2590">
        <f>SUM(CD530:CG530)</f>
        <v>-603</v>
      </c>
      <c r="CI530" s="2606">
        <f>CI212</f>
        <v>-163</v>
      </c>
      <c r="CJ530" s="2606">
        <f>CJ212</f>
        <v>120</v>
      </c>
      <c r="CK530" s="2606">
        <f>CK212</f>
        <v>106</v>
      </c>
      <c r="CL530" s="2606">
        <f>CL212</f>
        <v>-616</v>
      </c>
      <c r="CM530" s="2590">
        <f>SUM(CI530:CL530)</f>
        <v>-553</v>
      </c>
      <c r="CN530" s="2606">
        <f>CN212</f>
        <v>-1106</v>
      </c>
      <c r="CO530" s="2606">
        <f>CO212</f>
        <v>-1574</v>
      </c>
      <c r="CP530" s="2606">
        <f>CP212</f>
        <v>-1577</v>
      </c>
      <c r="CQ530" s="2606">
        <f>CQ212</f>
        <v>-1333</v>
      </c>
      <c r="CR530" s="2590">
        <f>SUM(CN530:CQ530)</f>
        <v>-5590</v>
      </c>
      <c r="CS530" s="2606">
        <f>CS212</f>
        <v>-762</v>
      </c>
      <c r="CT530" s="2606">
        <f>CT212</f>
        <v>-113</v>
      </c>
      <c r="CU530" s="2606">
        <f>CU212</f>
        <v>-196</v>
      </c>
      <c r="CV530" s="2606">
        <f>CV212</f>
        <v>-202</v>
      </c>
      <c r="CW530" s="2590">
        <f>SUM(CS530:CV530)</f>
        <v>-1273</v>
      </c>
      <c r="CX530" s="2606">
        <f t="shared" ref="CX530:DP530" si="1357">CX212</f>
        <v>-304</v>
      </c>
      <c r="CY530" s="2606">
        <f t="shared" si="1357"/>
        <v>-364</v>
      </c>
      <c r="CZ530" s="2606">
        <f t="shared" si="1357"/>
        <v>255</v>
      </c>
      <c r="DA530" s="2606">
        <f t="shared" si="1357"/>
        <v>540</v>
      </c>
      <c r="DB530" s="2590">
        <f t="shared" si="1357"/>
        <v>127</v>
      </c>
      <c r="DC530" s="2606">
        <f t="shared" si="1357"/>
        <v>1311</v>
      </c>
      <c r="DD530" s="2606">
        <f t="shared" si="1357"/>
        <v>768</v>
      </c>
      <c r="DE530" s="2606">
        <f t="shared" si="1357"/>
        <v>-385</v>
      </c>
      <c r="DF530" s="2606">
        <f t="shared" si="1357"/>
        <v>-724</v>
      </c>
      <c r="DG530" s="2590">
        <f t="shared" si="1357"/>
        <v>970</v>
      </c>
      <c r="DH530" s="2606">
        <f t="shared" si="1357"/>
        <v>-1153</v>
      </c>
      <c r="DI530" s="2606">
        <f t="shared" si="1357"/>
        <v>-1217</v>
      </c>
      <c r="DJ530" s="2606">
        <f t="shared" si="1357"/>
        <v>-539</v>
      </c>
      <c r="DK530" s="2606">
        <f t="shared" si="1357"/>
        <v>-417</v>
      </c>
      <c r="DL530" s="2590">
        <f t="shared" si="1357"/>
        <v>-3326</v>
      </c>
      <c r="DM530" s="2606">
        <f t="shared" si="1357"/>
        <v>-392</v>
      </c>
      <c r="DN530" s="2606">
        <f t="shared" si="1357"/>
        <v>-706</v>
      </c>
      <c r="DO530" s="2606">
        <f t="shared" si="1357"/>
        <v>-55</v>
      </c>
      <c r="DP530" s="2606">
        <f t="shared" si="1357"/>
        <v>289</v>
      </c>
      <c r="DQ530" s="2590"/>
      <c r="DR530" s="2606"/>
      <c r="DS530" s="2606"/>
      <c r="DT530" s="2606"/>
      <c r="DU530" s="2606"/>
      <c r="DV530" s="2590"/>
      <c r="DW530" s="2606"/>
      <c r="DX530" s="2606"/>
      <c r="DY530" s="2606"/>
      <c r="DZ530" s="2606"/>
      <c r="EA530" s="2245"/>
      <c r="EB530" s="2606"/>
      <c r="EC530" s="2606"/>
      <c r="ED530" s="2606"/>
      <c r="EE530" s="2606"/>
      <c r="EF530" s="2245"/>
      <c r="EG530" s="2606"/>
      <c r="EH530" s="2606"/>
      <c r="EI530" s="2606"/>
      <c r="EJ530" s="2606"/>
      <c r="EK530" s="2245"/>
      <c r="EL530" s="2606"/>
      <c r="EM530" s="2606"/>
      <c r="EN530" s="2606"/>
      <c r="EO530" s="2606"/>
      <c r="EP530" s="2245"/>
      <c r="EQ530" s="2606"/>
      <c r="ER530" s="2606"/>
      <c r="ES530" s="2606"/>
      <c r="ET530" s="2606"/>
      <c r="EU530" s="2245"/>
      <c r="EV530" s="2245"/>
      <c r="EW530" s="2245"/>
      <c r="EX530" s="2245"/>
      <c r="EY530" s="2245"/>
      <c r="EZ530" s="51"/>
      <c r="FA530" s="725"/>
      <c r="FB530" s="725"/>
    </row>
    <row r="531" spans="1:158" s="214" customFormat="1" ht="11.25" hidden="1" customHeight="1">
      <c r="A531" s="2667" t="s">
        <v>16</v>
      </c>
      <c r="B531" s="2668"/>
      <c r="C531" s="2615"/>
      <c r="D531" s="2615"/>
      <c r="E531" s="2615"/>
      <c r="F531" s="2654"/>
      <c r="G531" s="2668"/>
      <c r="H531" s="2615"/>
      <c r="I531" s="2615"/>
      <c r="J531" s="2615"/>
      <c r="K531" s="2590"/>
      <c r="L531" s="2606"/>
      <c r="M531" s="2606"/>
      <c r="N531" s="2606"/>
      <c r="O531" s="2606"/>
      <c r="P531" s="2590"/>
      <c r="Q531" s="2655"/>
      <c r="R531" s="2606"/>
      <c r="S531" s="2606"/>
      <c r="T531" s="2606"/>
      <c r="U531" s="2590"/>
      <c r="V531" s="2655"/>
      <c r="W531" s="2606"/>
      <c r="X531" s="2606"/>
      <c r="Y531" s="2606"/>
      <c r="Z531" s="2590"/>
      <c r="AA531" s="2655"/>
      <c r="AB531" s="2606"/>
      <c r="AC531" s="2606"/>
      <c r="AD531" s="2606"/>
      <c r="AE531" s="2590"/>
      <c r="AF531" s="2655"/>
      <c r="AG531" s="2606"/>
      <c r="AH531" s="2606"/>
      <c r="AI531" s="2606"/>
      <c r="AJ531" s="2590"/>
      <c r="AK531" s="2655"/>
      <c r="AL531" s="2606"/>
      <c r="AM531" s="2606"/>
      <c r="AN531" s="2606"/>
      <c r="AO531" s="2590"/>
      <c r="AP531" s="2655"/>
      <c r="AQ531" s="2606"/>
      <c r="AR531" s="2606"/>
      <c r="AS531" s="2606"/>
      <c r="AT531" s="2590"/>
      <c r="AU531" s="2655"/>
      <c r="AV531" s="2606"/>
      <c r="AW531" s="2606"/>
      <c r="AX531" s="2606"/>
      <c r="AY531" s="2590"/>
      <c r="AZ531" s="2655"/>
      <c r="BA531" s="2606"/>
      <c r="BB531" s="2606"/>
      <c r="BC531" s="2606"/>
      <c r="BD531" s="2590"/>
      <c r="BE531" s="2655"/>
      <c r="BF531" s="2606"/>
      <c r="BG531" s="2606"/>
      <c r="BH531" s="2606"/>
      <c r="BI531" s="2590"/>
      <c r="BJ531" s="2655"/>
      <c r="BK531" s="2606"/>
      <c r="BL531" s="2606"/>
      <c r="BM531" s="2606"/>
      <c r="BN531" s="2590"/>
      <c r="BO531" s="2606"/>
      <c r="BP531" s="2606"/>
      <c r="BQ531" s="2606"/>
      <c r="BR531" s="2606"/>
      <c r="BS531" s="2600"/>
      <c r="BT531" s="2606"/>
      <c r="BU531" s="2606"/>
      <c r="BV531" s="2606"/>
      <c r="BW531" s="2606"/>
      <c r="BX531" s="2600"/>
      <c r="BY531" s="2606"/>
      <c r="BZ531" s="2606"/>
      <c r="CA531" s="2606"/>
      <c r="CB531" s="2606"/>
      <c r="CC531" s="2600"/>
      <c r="CD531" s="2606">
        <f>CD214</f>
        <v>35</v>
      </c>
      <c r="CE531" s="2606">
        <f>CE214</f>
        <v>35</v>
      </c>
      <c r="CF531" s="2606">
        <f>CF214</f>
        <v>22</v>
      </c>
      <c r="CG531" s="2606">
        <f>CG214</f>
        <v>3</v>
      </c>
      <c r="CH531" s="2600">
        <f>SUM(CD531:CG531)</f>
        <v>95</v>
      </c>
      <c r="CI531" s="2606">
        <f>CI214</f>
        <v>8</v>
      </c>
      <c r="CJ531" s="2606">
        <f>CJ214</f>
        <v>6</v>
      </c>
      <c r="CK531" s="2606">
        <f>CK214</f>
        <v>10</v>
      </c>
      <c r="CL531" s="2606">
        <f>CL214</f>
        <v>148</v>
      </c>
      <c r="CM531" s="2600">
        <f>SUM(CI531:CL531)</f>
        <v>172</v>
      </c>
      <c r="CN531" s="2606">
        <f>CN214</f>
        <v>311</v>
      </c>
      <c r="CO531" s="2606">
        <f>CO214</f>
        <v>471</v>
      </c>
      <c r="CP531" s="2606">
        <f>CP214</f>
        <v>286</v>
      </c>
      <c r="CQ531" s="2606">
        <f>CQ214</f>
        <v>332</v>
      </c>
      <c r="CR531" s="2600">
        <f>SUM(CN531:CQ531)</f>
        <v>1400</v>
      </c>
      <c r="CS531" s="2606">
        <f>CS214</f>
        <v>169</v>
      </c>
      <c r="CT531" s="2606">
        <f>CT214</f>
        <v>78</v>
      </c>
      <c r="CU531" s="2606">
        <f>CU214</f>
        <v>105</v>
      </c>
      <c r="CV531" s="2606">
        <f>CV214</f>
        <v>187</v>
      </c>
      <c r="CW531" s="2600">
        <f>SUM(CS531:CV531)</f>
        <v>539</v>
      </c>
      <c r="CX531" s="2606">
        <f t="shared" ref="CX531:DG531" si="1358">CX214</f>
        <v>217</v>
      </c>
      <c r="CY531" s="2606">
        <f t="shared" si="1358"/>
        <v>3</v>
      </c>
      <c r="CZ531" s="2606">
        <f t="shared" si="1358"/>
        <v>-191</v>
      </c>
      <c r="DA531" s="2606">
        <f t="shared" si="1358"/>
        <v>-198</v>
      </c>
      <c r="DB531" s="2600">
        <f t="shared" si="1358"/>
        <v>-169</v>
      </c>
      <c r="DC531" s="2606">
        <f t="shared" si="1358"/>
        <v>-239</v>
      </c>
      <c r="DD531" s="2606">
        <f t="shared" si="1358"/>
        <v>-103</v>
      </c>
      <c r="DE531" s="2606">
        <f t="shared" si="1358"/>
        <v>80</v>
      </c>
      <c r="DF531" s="2606">
        <f t="shared" si="1358"/>
        <v>124</v>
      </c>
      <c r="DG531" s="2600">
        <f t="shared" si="1358"/>
        <v>-138</v>
      </c>
      <c r="DH531" s="2606"/>
      <c r="DI531" s="2606"/>
      <c r="DJ531" s="2606"/>
      <c r="DK531" s="2606"/>
      <c r="DL531" s="2600"/>
      <c r="DM531" s="2606"/>
      <c r="DN531" s="2606"/>
      <c r="DO531" s="2606"/>
      <c r="DP531" s="2606"/>
      <c r="DQ531" s="2600"/>
      <c r="DR531" s="2606"/>
      <c r="DS531" s="2606"/>
      <c r="DT531" s="2606"/>
      <c r="DU531" s="2606"/>
      <c r="DV531" s="2600"/>
      <c r="DW531" s="2606"/>
      <c r="DX531" s="2606"/>
      <c r="DY531" s="2606"/>
      <c r="DZ531" s="2606"/>
      <c r="EA531" s="2600"/>
      <c r="EB531" s="2606"/>
      <c r="EC531" s="2606"/>
      <c r="ED531" s="2606"/>
      <c r="EE531" s="2606"/>
      <c r="EF531" s="2600"/>
      <c r="EG531" s="2606"/>
      <c r="EH531" s="2606"/>
      <c r="EI531" s="2606"/>
      <c r="EJ531" s="2606"/>
      <c r="EK531" s="2600"/>
      <c r="EL531" s="2606"/>
      <c r="EM531" s="2606"/>
      <c r="EN531" s="2606"/>
      <c r="EO531" s="2606"/>
      <c r="EP531" s="2600"/>
      <c r="EQ531" s="2606"/>
      <c r="ER531" s="2606"/>
      <c r="ES531" s="2606"/>
      <c r="ET531" s="2606"/>
      <c r="EU531" s="2600"/>
      <c r="EV531" s="2600"/>
      <c r="EW531" s="2600"/>
      <c r="EX531" s="2600"/>
      <c r="EY531" s="2600"/>
      <c r="EZ531" s="51"/>
      <c r="FA531" s="725"/>
      <c r="FB531" s="725"/>
    </row>
    <row r="532" spans="1:158" s="214" customFormat="1" ht="11.25" hidden="1" customHeight="1">
      <c r="A532" s="2667"/>
      <c r="B532" s="2668"/>
      <c r="C532" s="2615"/>
      <c r="D532" s="2615"/>
      <c r="E532" s="2615"/>
      <c r="F532" s="2654"/>
      <c r="G532" s="2668"/>
      <c r="H532" s="2615"/>
      <c r="I532" s="2615"/>
      <c r="J532" s="2615"/>
      <c r="K532" s="2590"/>
      <c r="L532" s="2606"/>
      <c r="M532" s="2606"/>
      <c r="N532" s="2606"/>
      <c r="O532" s="2606"/>
      <c r="P532" s="2590"/>
      <c r="Q532" s="2655"/>
      <c r="R532" s="2606"/>
      <c r="S532" s="2606"/>
      <c r="T532" s="2606"/>
      <c r="U532" s="2590"/>
      <c r="V532" s="2655"/>
      <c r="W532" s="2606"/>
      <c r="X532" s="2606"/>
      <c r="Y532" s="2606"/>
      <c r="Z532" s="2590"/>
      <c r="AA532" s="2655"/>
      <c r="AB532" s="2606"/>
      <c r="AC532" s="2606"/>
      <c r="AD532" s="2606"/>
      <c r="AE532" s="2590"/>
      <c r="AF532" s="2655"/>
      <c r="AG532" s="2606"/>
      <c r="AH532" s="2606"/>
      <c r="AI532" s="2606"/>
      <c r="AJ532" s="2590"/>
      <c r="AK532" s="2655"/>
      <c r="AL532" s="2606"/>
      <c r="AM532" s="2606"/>
      <c r="AN532" s="2606"/>
      <c r="AO532" s="2590"/>
      <c r="AP532" s="2655"/>
      <c r="AQ532" s="2606"/>
      <c r="AR532" s="2606"/>
      <c r="AS532" s="2606"/>
      <c r="AT532" s="2590"/>
      <c r="AU532" s="2655"/>
      <c r="AV532" s="2606"/>
      <c r="AW532" s="2606"/>
      <c r="AX532" s="2606"/>
      <c r="AY532" s="2590"/>
      <c r="AZ532" s="2655"/>
      <c r="BA532" s="2606"/>
      <c r="BB532" s="2606"/>
      <c r="BC532" s="2606"/>
      <c r="BD532" s="2590"/>
      <c r="BE532" s="2655"/>
      <c r="BF532" s="2606"/>
      <c r="BG532" s="2606"/>
      <c r="BH532" s="2606"/>
      <c r="BI532" s="2590"/>
      <c r="BJ532" s="2655"/>
      <c r="BK532" s="2606"/>
      <c r="BL532" s="2606"/>
      <c r="BM532" s="2606"/>
      <c r="BN532" s="2590"/>
      <c r="BO532" s="2606"/>
      <c r="BP532" s="2606"/>
      <c r="BQ532" s="2606"/>
      <c r="BR532" s="2606"/>
      <c r="BS532" s="2600"/>
      <c r="BT532" s="2606"/>
      <c r="BU532" s="2606"/>
      <c r="BV532" s="2606"/>
      <c r="BW532" s="2606"/>
      <c r="BX532" s="2600"/>
      <c r="BY532" s="2606"/>
      <c r="BZ532" s="2606"/>
      <c r="CA532" s="2606"/>
      <c r="CB532" s="2606"/>
      <c r="CC532" s="2600"/>
      <c r="CD532" s="2606"/>
      <c r="CE532" s="2606"/>
      <c r="CF532" s="2606"/>
      <c r="CG532" s="2606"/>
      <c r="CH532" s="2600"/>
      <c r="CI532" s="2606"/>
      <c r="CJ532" s="2606"/>
      <c r="CK532" s="2606"/>
      <c r="CL532" s="2606"/>
      <c r="CM532" s="2600"/>
      <c r="CN532" s="2606"/>
      <c r="CO532" s="2606"/>
      <c r="CP532" s="2606"/>
      <c r="CQ532" s="2606"/>
      <c r="CR532" s="2600"/>
      <c r="CS532" s="2606"/>
      <c r="CT532" s="2606"/>
      <c r="CU532" s="2606"/>
      <c r="CV532" s="2606"/>
      <c r="CW532" s="2600"/>
      <c r="CX532" s="2606"/>
      <c r="CY532" s="2606"/>
      <c r="CZ532" s="2606"/>
      <c r="DA532" s="2606"/>
      <c r="DB532" s="2600"/>
      <c r="DC532" s="2606"/>
      <c r="DD532" s="2606"/>
      <c r="DE532" s="2606"/>
      <c r="DF532" s="2606"/>
      <c r="DG532" s="2600"/>
      <c r="DH532" s="2606"/>
      <c r="DI532" s="2606"/>
      <c r="DJ532" s="2606"/>
      <c r="DK532" s="2606"/>
      <c r="DL532" s="2600"/>
      <c r="DM532" s="2606"/>
      <c r="DN532" s="2606"/>
      <c r="DO532" s="2606"/>
      <c r="DP532" s="2606"/>
      <c r="DQ532" s="2600"/>
      <c r="DR532" s="2606"/>
      <c r="DS532" s="2606"/>
      <c r="DT532" s="2606"/>
      <c r="DU532" s="2606"/>
      <c r="DV532" s="2600"/>
      <c r="DW532" s="2606"/>
      <c r="DX532" s="2606"/>
      <c r="DY532" s="2606"/>
      <c r="DZ532" s="2606"/>
      <c r="EA532" s="2590"/>
      <c r="EB532" s="2606"/>
      <c r="EC532" s="2606"/>
      <c r="ED532" s="2606"/>
      <c r="EE532" s="2606"/>
      <c r="EF532" s="2590"/>
      <c r="EG532" s="2606"/>
      <c r="EH532" s="2606"/>
      <c r="EI532" s="2606"/>
      <c r="EJ532" s="2606"/>
      <c r="EK532" s="2590"/>
      <c r="EL532" s="2606"/>
      <c r="EM532" s="2606"/>
      <c r="EN532" s="2606"/>
      <c r="EO532" s="2606"/>
      <c r="EP532" s="2590"/>
      <c r="EQ532" s="2606"/>
      <c r="ER532" s="2606"/>
      <c r="ES532" s="2606"/>
      <c r="ET532" s="2606"/>
      <c r="EU532" s="2590"/>
      <c r="EV532" s="2590"/>
      <c r="EW532" s="2590"/>
      <c r="EX532" s="2590"/>
      <c r="EY532" s="2590"/>
      <c r="EZ532" s="51"/>
      <c r="FA532" s="725"/>
      <c r="FB532" s="725"/>
    </row>
    <row r="533" spans="1:158" s="252" customFormat="1" ht="11.25" hidden="1" customHeight="1">
      <c r="A533" s="2679" t="s">
        <v>625</v>
      </c>
      <c r="B533" s="2673"/>
      <c r="C533" s="2624"/>
      <c r="D533" s="2624"/>
      <c r="E533" s="2624"/>
      <c r="F533" s="2677"/>
      <c r="G533" s="2673"/>
      <c r="H533" s="2624"/>
      <c r="I533" s="2624"/>
      <c r="J533" s="2624"/>
      <c r="K533" s="2601"/>
      <c r="L533" s="2622"/>
      <c r="M533" s="2622"/>
      <c r="N533" s="2622"/>
      <c r="O533" s="2622"/>
      <c r="P533" s="2601"/>
      <c r="Q533" s="2674"/>
      <c r="R533" s="2622"/>
      <c r="S533" s="2622"/>
      <c r="T533" s="2622"/>
      <c r="U533" s="2601"/>
      <c r="V533" s="2674"/>
      <c r="W533" s="2622"/>
      <c r="X533" s="2622"/>
      <c r="Y533" s="2622"/>
      <c r="Z533" s="2601"/>
      <c r="AA533" s="2674"/>
      <c r="AB533" s="2622"/>
      <c r="AC533" s="2622"/>
      <c r="AD533" s="2622"/>
      <c r="AE533" s="2601"/>
      <c r="AF533" s="2674"/>
      <c r="AG533" s="2622"/>
      <c r="AH533" s="2622"/>
      <c r="AI533" s="2622"/>
      <c r="AJ533" s="2601"/>
      <c r="AK533" s="2622">
        <f t="shared" ref="AK533:BN533" si="1359">AK526-AK531</f>
        <v>936.23400000000004</v>
      </c>
      <c r="AL533" s="2622">
        <f t="shared" si="1359"/>
        <v>1034.9649999999999</v>
      </c>
      <c r="AM533" s="2622">
        <f t="shared" si="1359"/>
        <v>1182.8679999999999</v>
      </c>
      <c r="AN533" s="2622">
        <f t="shared" si="1359"/>
        <v>1420.7100000000005</v>
      </c>
      <c r="AO533" s="2601">
        <f t="shared" si="1359"/>
        <v>4574.777</v>
      </c>
      <c r="AP533" s="2622">
        <f t="shared" si="1359"/>
        <v>1705.5889999999999</v>
      </c>
      <c r="AQ533" s="2622">
        <f t="shared" si="1359"/>
        <v>1844.0430000000001</v>
      </c>
      <c r="AR533" s="2622">
        <f t="shared" si="1359"/>
        <v>2025.5419999999999</v>
      </c>
      <c r="AS533" s="2622">
        <f t="shared" si="1359"/>
        <v>2320.7910000000006</v>
      </c>
      <c r="AT533" s="2601">
        <f t="shared" si="1359"/>
        <v>7895.9650000000001</v>
      </c>
      <c r="AU533" s="2622">
        <f t="shared" si="1359"/>
        <v>2650.569</v>
      </c>
      <c r="AV533" s="2622">
        <f t="shared" si="1359"/>
        <v>2800.1880000000001</v>
      </c>
      <c r="AW533" s="2622">
        <f t="shared" si="1359"/>
        <v>2846.3789999999999</v>
      </c>
      <c r="AX533" s="2622">
        <f t="shared" si="1359"/>
        <v>2862.8609999999985</v>
      </c>
      <c r="AY533" s="2601">
        <f t="shared" si="1359"/>
        <v>11159.996999999998</v>
      </c>
      <c r="AZ533" s="2622">
        <f t="shared" si="1359"/>
        <v>2881.93</v>
      </c>
      <c r="BA533" s="2622">
        <f t="shared" si="1359"/>
        <v>2913.768</v>
      </c>
      <c r="BB533" s="2622">
        <f t="shared" si="1359"/>
        <v>3142.636</v>
      </c>
      <c r="BC533" s="2622">
        <f t="shared" si="1359"/>
        <v>3518.6720000000005</v>
      </c>
      <c r="BD533" s="2601">
        <f t="shared" si="1359"/>
        <v>12457.006000000001</v>
      </c>
      <c r="BE533" s="2622">
        <f t="shared" si="1359"/>
        <v>3579</v>
      </c>
      <c r="BF533" s="2622">
        <f t="shared" si="1359"/>
        <v>3532</v>
      </c>
      <c r="BG533" s="2622">
        <f t="shared" si="1359"/>
        <v>3769</v>
      </c>
      <c r="BH533" s="2622">
        <f t="shared" si="1359"/>
        <v>4385</v>
      </c>
      <c r="BI533" s="2601">
        <f t="shared" si="1359"/>
        <v>15265</v>
      </c>
      <c r="BJ533" s="2622">
        <f t="shared" si="1359"/>
        <v>4570</v>
      </c>
      <c r="BK533" s="2622">
        <f t="shared" si="1359"/>
        <v>4871</v>
      </c>
      <c r="BL533" s="2622">
        <f t="shared" si="1359"/>
        <v>5300</v>
      </c>
      <c r="BM533" s="2622">
        <f t="shared" si="1359"/>
        <v>5604</v>
      </c>
      <c r="BN533" s="2601">
        <f t="shared" si="1359"/>
        <v>20345</v>
      </c>
      <c r="BO533" s="2622"/>
      <c r="BP533" s="2622"/>
      <c r="BQ533" s="2622"/>
      <c r="BR533" s="2622"/>
      <c r="BS533" s="2601"/>
      <c r="BT533" s="2622">
        <f>BT526-BT531</f>
        <v>5771</v>
      </c>
      <c r="BU533" s="2622">
        <f>BU526-BU531</f>
        <v>5959</v>
      </c>
      <c r="BV533" s="2622">
        <f>BV526-BV531</f>
        <v>6110</v>
      </c>
      <c r="BW533" s="2622">
        <f>BW526-BW531</f>
        <v>6913</v>
      </c>
      <c r="BX533" s="2601">
        <f>BX526-BX531</f>
        <v>24753</v>
      </c>
      <c r="BY533" s="2622"/>
      <c r="BZ533" s="2622"/>
      <c r="CA533" s="2622"/>
      <c r="CB533" s="2622"/>
      <c r="CC533" s="2601"/>
      <c r="CD533" s="2622">
        <f t="shared" ref="CD533:DE533" si="1360">CD526-CD531</f>
        <v>7080</v>
      </c>
      <c r="CE533" s="2622">
        <f t="shared" si="1360"/>
        <v>7176</v>
      </c>
      <c r="CF533" s="2622">
        <f t="shared" si="1360"/>
        <v>7652</v>
      </c>
      <c r="CG533" s="2622">
        <f t="shared" si="1360"/>
        <v>8769</v>
      </c>
      <c r="CH533" s="2601">
        <f t="shared" si="1360"/>
        <v>30677</v>
      </c>
      <c r="CI533" s="2622">
        <f t="shared" si="1360"/>
        <v>8517</v>
      </c>
      <c r="CJ533" s="2622">
        <f t="shared" si="1360"/>
        <v>8991</v>
      </c>
      <c r="CK533" s="2622">
        <f t="shared" si="1360"/>
        <v>9189</v>
      </c>
      <c r="CL533" s="2622">
        <f t="shared" si="1360"/>
        <v>9650</v>
      </c>
      <c r="CM533" s="2601">
        <f t="shared" si="1360"/>
        <v>36347</v>
      </c>
      <c r="CN533" s="2622">
        <f t="shared" si="1360"/>
        <v>9226</v>
      </c>
      <c r="CO533" s="2622">
        <f t="shared" si="1360"/>
        <v>9208</v>
      </c>
      <c r="CP533" s="2622">
        <f t="shared" si="1360"/>
        <v>9641</v>
      </c>
      <c r="CQ533" s="2622">
        <f t="shared" si="1360"/>
        <v>10704</v>
      </c>
      <c r="CR533" s="2601">
        <f t="shared" si="1360"/>
        <v>38779</v>
      </c>
      <c r="CS533" s="2622">
        <f t="shared" si="1360"/>
        <v>10707</v>
      </c>
      <c r="CT533" s="2622">
        <f t="shared" si="1360"/>
        <v>11387</v>
      </c>
      <c r="CU533" s="2622">
        <f t="shared" si="1360"/>
        <v>11697</v>
      </c>
      <c r="CV533" s="2622">
        <f t="shared" si="1360"/>
        <v>13161</v>
      </c>
      <c r="CW533" s="2601">
        <f t="shared" si="1360"/>
        <v>46952</v>
      </c>
      <c r="CX533" s="2622">
        <f t="shared" si="1360"/>
        <v>12764</v>
      </c>
      <c r="CY533" s="2622">
        <f t="shared" si="1360"/>
        <v>13685</v>
      </c>
      <c r="CZ533" s="2622">
        <f t="shared" si="1360"/>
        <v>15033</v>
      </c>
      <c r="DA533" s="2622">
        <f t="shared" si="1360"/>
        <v>17093</v>
      </c>
      <c r="DB533" s="2601">
        <f t="shared" si="1360"/>
        <v>58575</v>
      </c>
      <c r="DC533" s="2622">
        <f t="shared" si="1360"/>
        <v>17241</v>
      </c>
      <c r="DD533" s="2622">
        <f t="shared" si="1360"/>
        <v>17827</v>
      </c>
      <c r="DE533" s="2622">
        <f t="shared" si="1360"/>
        <v>18137</v>
      </c>
      <c r="DF533" s="4436">
        <f>DF526</f>
        <v>20483</v>
      </c>
      <c r="DG533" s="2601">
        <f>SUM(DC533:DF533)</f>
        <v>73688</v>
      </c>
      <c r="DH533" s="2622"/>
      <c r="DI533" s="2622"/>
      <c r="DJ533" s="2622"/>
      <c r="DK533" s="2622"/>
      <c r="DL533" s="2601"/>
      <c r="DM533" s="2622"/>
      <c r="DN533" s="2622"/>
      <c r="DO533" s="2622"/>
      <c r="DP533" s="2622"/>
      <c r="DQ533" s="2601"/>
      <c r="DR533" s="2622"/>
      <c r="DS533" s="2622"/>
      <c r="DT533" s="2622"/>
      <c r="DU533" s="2622"/>
      <c r="DV533" s="2601"/>
      <c r="DW533" s="2622"/>
      <c r="DX533" s="2622"/>
      <c r="DY533" s="2622"/>
      <c r="DZ533" s="2622"/>
      <c r="EA533" s="2601"/>
      <c r="EB533" s="2622"/>
      <c r="EC533" s="2622"/>
      <c r="ED533" s="2622"/>
      <c r="EE533" s="2622"/>
      <c r="EF533" s="2601"/>
      <c r="EG533" s="2622"/>
      <c r="EH533" s="2622"/>
      <c r="EI533" s="2622"/>
      <c r="EJ533" s="2622"/>
      <c r="EK533" s="2601"/>
      <c r="EL533" s="2622"/>
      <c r="EM533" s="2622"/>
      <c r="EN533" s="2622"/>
      <c r="EO533" s="2622"/>
      <c r="EP533" s="2601"/>
      <c r="EQ533" s="2622"/>
      <c r="ER533" s="2622"/>
      <c r="ES533" s="2622"/>
      <c r="ET533" s="2622"/>
      <c r="EU533" s="2601"/>
      <c r="EV533" s="2601"/>
      <c r="EW533" s="2601"/>
      <c r="EX533" s="2601"/>
      <c r="EY533" s="2601"/>
      <c r="FA533" s="1319"/>
      <c r="FB533" s="1319"/>
    </row>
    <row r="534" spans="1:158" s="249" customFormat="1" ht="11.25" hidden="1" customHeight="1">
      <c r="A534" s="1554" t="s">
        <v>616</v>
      </c>
      <c r="B534" s="2605"/>
      <c r="C534" s="185"/>
      <c r="D534" s="185"/>
      <c r="E534" s="185"/>
      <c r="F534" s="2604"/>
      <c r="G534" s="2605"/>
      <c r="H534" s="185"/>
      <c r="I534" s="185"/>
      <c r="J534" s="185"/>
      <c r="K534" s="1505"/>
      <c r="L534" s="185"/>
      <c r="M534" s="185"/>
      <c r="N534" s="185"/>
      <c r="O534" s="185"/>
      <c r="P534" s="2588"/>
      <c r="Q534" s="2605"/>
      <c r="R534" s="185"/>
      <c r="S534" s="185"/>
      <c r="T534" s="185"/>
      <c r="U534" s="2588"/>
      <c r="V534" s="2581"/>
      <c r="W534" s="223"/>
      <c r="X534" s="223"/>
      <c r="Y534" s="223"/>
      <c r="Z534" s="2588"/>
      <c r="AA534" s="2581"/>
      <c r="AB534" s="223"/>
      <c r="AC534" s="223"/>
      <c r="AD534" s="223"/>
      <c r="AE534" s="2588"/>
      <c r="AF534" s="2581"/>
      <c r="AG534" s="223"/>
      <c r="AH534" s="223"/>
      <c r="AI534" s="223"/>
      <c r="AJ534" s="2588"/>
      <c r="AK534" s="2612"/>
      <c r="AL534" s="2612"/>
      <c r="AM534" s="2612"/>
      <c r="AN534" s="2612"/>
      <c r="AO534" s="2588"/>
      <c r="AP534" s="2612">
        <f t="shared" ref="AP534:BN534" si="1361">AP533/AK533-1</f>
        <v>0.82175503132763805</v>
      </c>
      <c r="AQ534" s="2612">
        <f t="shared" si="1361"/>
        <v>0.78174431019406487</v>
      </c>
      <c r="AR534" s="2612">
        <f t="shared" si="1361"/>
        <v>0.7123990166273837</v>
      </c>
      <c r="AS534" s="2612">
        <f t="shared" si="1361"/>
        <v>0.63354308761112388</v>
      </c>
      <c r="AT534" s="2588">
        <f t="shared" si="1361"/>
        <v>0.72597811871485751</v>
      </c>
      <c r="AU534" s="2612">
        <f t="shared" si="1361"/>
        <v>0.55404907043842333</v>
      </c>
      <c r="AV534" s="2612">
        <f t="shared" si="1361"/>
        <v>0.51850472033461248</v>
      </c>
      <c r="AW534" s="2612">
        <f t="shared" si="1361"/>
        <v>0.40524313986083715</v>
      </c>
      <c r="AX534" s="2612">
        <f t="shared" si="1361"/>
        <v>0.23357122636204553</v>
      </c>
      <c r="AY534" s="2588">
        <f t="shared" si="1361"/>
        <v>0.41337974522430088</v>
      </c>
      <c r="AZ534" s="2612">
        <f t="shared" si="1361"/>
        <v>8.7287295671231391E-2</v>
      </c>
      <c r="BA534" s="2612">
        <f t="shared" si="1361"/>
        <v>4.0561562295102993E-2</v>
      </c>
      <c r="BB534" s="2612">
        <f t="shared" si="1361"/>
        <v>0.10408206356216088</v>
      </c>
      <c r="BC534" s="2612">
        <f t="shared" si="1361"/>
        <v>0.2290753899682878</v>
      </c>
      <c r="BD534" s="2588">
        <f t="shared" si="1361"/>
        <v>0.11621947568623936</v>
      </c>
      <c r="BE534" s="2612">
        <f t="shared" si="1361"/>
        <v>0.24187610386095426</v>
      </c>
      <c r="BF534" s="2612">
        <f t="shared" si="1361"/>
        <v>0.21217612383690132</v>
      </c>
      <c r="BG534" s="2612">
        <f t="shared" si="1361"/>
        <v>0.19931166065684991</v>
      </c>
      <c r="BH534" s="2612">
        <f t="shared" si="1361"/>
        <v>0.24620879695521469</v>
      </c>
      <c r="BI534" s="2588">
        <f t="shared" si="1361"/>
        <v>0.22541483884650915</v>
      </c>
      <c r="BJ534" s="2612">
        <f t="shared" si="1361"/>
        <v>0.27689298686784025</v>
      </c>
      <c r="BK534" s="2612">
        <f t="shared" si="1361"/>
        <v>0.379105322763307</v>
      </c>
      <c r="BL534" s="2612">
        <f t="shared" si="1361"/>
        <v>0.40620854338020695</v>
      </c>
      <c r="BM534" s="2612">
        <f t="shared" si="1361"/>
        <v>0.27799315849486894</v>
      </c>
      <c r="BN534" s="2588">
        <f t="shared" si="1361"/>
        <v>0.33278742220766455</v>
      </c>
      <c r="BO534" s="2612"/>
      <c r="BP534" s="2612"/>
      <c r="BQ534" s="2612"/>
      <c r="BR534" s="2612"/>
      <c r="BS534" s="2587"/>
      <c r="BT534" s="2612">
        <f>BT533/BJ533-1</f>
        <v>0.26280087527352292</v>
      </c>
      <c r="BU534" s="2612">
        <f>BU533/BK533-1</f>
        <v>0.22336275918702531</v>
      </c>
      <c r="BV534" s="2612">
        <f>BV533/BL533-1</f>
        <v>0.15283018867924536</v>
      </c>
      <c r="BW534" s="2612">
        <f>BW533/BM533-1</f>
        <v>0.23358315488936476</v>
      </c>
      <c r="BX534" s="2588">
        <f>BX533/BN533-1</f>
        <v>0.21666257065618089</v>
      </c>
      <c r="BY534" s="2612"/>
      <c r="BZ534" s="2612"/>
      <c r="CA534" s="2612"/>
      <c r="CB534" s="2612"/>
      <c r="CC534" s="2587"/>
      <c r="CD534" s="2612">
        <f>CD533/BT533-1</f>
        <v>0.22682377404262688</v>
      </c>
      <c r="CE534" s="2612">
        <f>CE533/BU533-1</f>
        <v>0.2042288974660178</v>
      </c>
      <c r="CF534" s="2612">
        <f>CF533/BV533-1</f>
        <v>0.25237315875613753</v>
      </c>
      <c r="CG534" s="2612">
        <f>CG533/BW533-1</f>
        <v>0.26847967597280475</v>
      </c>
      <c r="CH534" s="2588">
        <f>CH533/BX533-1</f>
        <v>0.23932452632004209</v>
      </c>
      <c r="CI534" s="2612">
        <f t="shared" ref="CI534:DG534" si="1362">CI533/CD533-1</f>
        <v>0.20296610169491536</v>
      </c>
      <c r="CJ534" s="2612">
        <f t="shared" si="1362"/>
        <v>0.25292642140468224</v>
      </c>
      <c r="CK534" s="2612">
        <f t="shared" si="1362"/>
        <v>0.20086251960271828</v>
      </c>
      <c r="CL534" s="2612">
        <f t="shared" si="1362"/>
        <v>0.10046755616375869</v>
      </c>
      <c r="CM534" s="2588">
        <f t="shared" si="1362"/>
        <v>0.18482902500244491</v>
      </c>
      <c r="CN534" s="2612">
        <f t="shared" si="1362"/>
        <v>8.3245274157567328E-2</v>
      </c>
      <c r="CO534" s="2612">
        <f t="shared" si="1362"/>
        <v>2.4135246357468665E-2</v>
      </c>
      <c r="CP534" s="2612">
        <f t="shared" si="1362"/>
        <v>4.9189248013929765E-2</v>
      </c>
      <c r="CQ534" s="2612">
        <f t="shared" si="1362"/>
        <v>0.10922279792746115</v>
      </c>
      <c r="CR534" s="2588">
        <f t="shared" si="1362"/>
        <v>6.6910611604809267E-2</v>
      </c>
      <c r="CS534" s="2612">
        <f t="shared" si="1362"/>
        <v>0.16052460437892901</v>
      </c>
      <c r="CT534" s="2612">
        <f t="shared" si="1362"/>
        <v>0.23664205039096431</v>
      </c>
      <c r="CU534" s="2612">
        <f t="shared" si="1362"/>
        <v>0.21325588631884651</v>
      </c>
      <c r="CV534" s="2612">
        <f t="shared" si="1362"/>
        <v>0.22954035874439471</v>
      </c>
      <c r="CW534" s="2588">
        <f t="shared" si="1362"/>
        <v>0.21075840016503777</v>
      </c>
      <c r="CX534" s="2612">
        <f t="shared" si="1362"/>
        <v>0.19211730643504255</v>
      </c>
      <c r="CY534" s="2612">
        <f t="shared" si="1362"/>
        <v>0.20180908053042934</v>
      </c>
      <c r="CZ534" s="2612">
        <f t="shared" si="1362"/>
        <v>0.28520133367530143</v>
      </c>
      <c r="DA534" s="2612">
        <f t="shared" si="1362"/>
        <v>0.29876149228782012</v>
      </c>
      <c r="DB534" s="2588">
        <f t="shared" si="1362"/>
        <v>0.24755069006645081</v>
      </c>
      <c r="DC534" s="2612">
        <f t="shared" si="1362"/>
        <v>0.3507521153243498</v>
      </c>
      <c r="DD534" s="2612">
        <f t="shared" si="1362"/>
        <v>0.30266715381804898</v>
      </c>
      <c r="DE534" s="2612">
        <f t="shared" si="1362"/>
        <v>0.2064790793587441</v>
      </c>
      <c r="DF534" s="2612">
        <f t="shared" si="1362"/>
        <v>0.19832680044462636</v>
      </c>
      <c r="DG534" s="2588">
        <f t="shared" si="1362"/>
        <v>0.25801109688433632</v>
      </c>
      <c r="DH534" s="2612"/>
      <c r="DI534" s="2612"/>
      <c r="DJ534" s="2612"/>
      <c r="DK534" s="2612"/>
      <c r="DL534" s="2588"/>
      <c r="DM534" s="2612"/>
      <c r="DN534" s="2612"/>
      <c r="DO534" s="2612"/>
      <c r="DP534" s="2612"/>
      <c r="DQ534" s="2588"/>
      <c r="DR534" s="2612"/>
      <c r="DS534" s="2612"/>
      <c r="DT534" s="2612"/>
      <c r="DU534" s="2612"/>
      <c r="DV534" s="2588"/>
      <c r="DW534" s="2612"/>
      <c r="DX534" s="2612"/>
      <c r="DY534" s="2612"/>
      <c r="DZ534" s="2612"/>
      <c r="EA534" s="2588"/>
      <c r="EB534" s="2612"/>
      <c r="EC534" s="2612"/>
      <c r="ED534" s="2612"/>
      <c r="EE534" s="2612"/>
      <c r="EF534" s="2588"/>
      <c r="EG534" s="2612"/>
      <c r="EH534" s="2612"/>
      <c r="EI534" s="2612"/>
      <c r="EJ534" s="2612"/>
      <c r="EK534" s="2588"/>
      <c r="EL534" s="2612"/>
      <c r="EM534" s="2612"/>
      <c r="EN534" s="2612"/>
      <c r="EO534" s="2612"/>
      <c r="EP534" s="2588"/>
      <c r="EQ534" s="2612"/>
      <c r="ER534" s="2612"/>
      <c r="ES534" s="2612"/>
      <c r="ET534" s="2612"/>
      <c r="EU534" s="2588"/>
      <c r="EV534" s="2588"/>
      <c r="EW534" s="2588"/>
      <c r="EX534" s="2588"/>
      <c r="EY534" s="2588"/>
      <c r="EZ534" s="185"/>
      <c r="FA534" s="725"/>
      <c r="FB534" s="725"/>
    </row>
    <row r="535" spans="1:158" s="249" customFormat="1" ht="11.25" hidden="1" customHeight="1">
      <c r="A535" s="1554" t="s">
        <v>617</v>
      </c>
      <c r="B535" s="2605"/>
      <c r="C535" s="185"/>
      <c r="D535" s="185"/>
      <c r="E535" s="185"/>
      <c r="F535" s="2604"/>
      <c r="G535" s="2605"/>
      <c r="H535" s="185"/>
      <c r="I535" s="185"/>
      <c r="J535" s="185"/>
      <c r="K535" s="1505"/>
      <c r="L535" s="185"/>
      <c r="M535" s="185"/>
      <c r="N535" s="185"/>
      <c r="O535" s="185"/>
      <c r="P535" s="1020"/>
      <c r="Q535" s="2605"/>
      <c r="R535" s="185"/>
      <c r="S535" s="185"/>
      <c r="T535" s="185"/>
      <c r="U535" s="1020"/>
      <c r="V535" s="2581"/>
      <c r="W535" s="223"/>
      <c r="X535" s="223"/>
      <c r="Y535" s="223"/>
      <c r="Z535" s="1020"/>
      <c r="AA535" s="2581"/>
      <c r="AB535" s="223"/>
      <c r="AC535" s="223"/>
      <c r="AD535" s="223"/>
      <c r="AE535" s="1020"/>
      <c r="AF535" s="2581"/>
      <c r="AG535" s="223"/>
      <c r="AH535" s="223"/>
      <c r="AI535" s="223"/>
      <c r="AJ535" s="1020"/>
      <c r="AK535" s="223"/>
      <c r="AL535" s="223">
        <f>AL533/AK533-1</f>
        <v>0.10545547373840281</v>
      </c>
      <c r="AM535" s="223">
        <f>AM533/AL533-1</f>
        <v>0.14290628185494203</v>
      </c>
      <c r="AN535" s="223">
        <f>AN533/AM533-1</f>
        <v>0.20107230899813056</v>
      </c>
      <c r="AO535" s="1020"/>
      <c r="AP535" s="223">
        <f>AP533/AN533-1</f>
        <v>0.20051875470715297</v>
      </c>
      <c r="AQ535" s="223">
        <f>AQ533/AP533-1</f>
        <v>8.1176649239646848E-2</v>
      </c>
      <c r="AR535" s="223">
        <f>AR533/AQ533-1</f>
        <v>9.8424494439663057E-2</v>
      </c>
      <c r="AS535" s="223">
        <f>AS533/AR533-1</f>
        <v>0.14576296122223131</v>
      </c>
      <c r="AT535" s="1020"/>
      <c r="AU535" s="223">
        <f>AU533/AS533-1</f>
        <v>0.14209724184556016</v>
      </c>
      <c r="AV535" s="223">
        <f>AV533/AU533-1</f>
        <v>5.6447879681683411E-2</v>
      </c>
      <c r="AW535" s="223">
        <f>AW533/AV533-1</f>
        <v>1.6495678147324222E-2</v>
      </c>
      <c r="AX535" s="223">
        <f>AX533/AW533-1</f>
        <v>5.7905148962940078E-3</v>
      </c>
      <c r="AY535" s="1020"/>
      <c r="AZ535" s="223">
        <f>AZ533/AX533-1</f>
        <v>6.6608193691559681E-3</v>
      </c>
      <c r="BA535" s="223">
        <f>BA533/AZ533-1</f>
        <v>1.1047457780029468E-2</v>
      </c>
      <c r="BB535" s="223">
        <f>BB533/BA533-1</f>
        <v>7.8547090914582007E-2</v>
      </c>
      <c r="BC535" s="223">
        <f>BC533/BB533-1</f>
        <v>0.11965623762981159</v>
      </c>
      <c r="BD535" s="1020"/>
      <c r="BE535" s="223">
        <f>BE533/BC533-1</f>
        <v>1.71451047440625E-2</v>
      </c>
      <c r="BF535" s="223">
        <f>BF533/BE533-1</f>
        <v>-1.3132159821179101E-2</v>
      </c>
      <c r="BG535" s="223">
        <f>BG533/BF533-1</f>
        <v>6.7100792751981775E-2</v>
      </c>
      <c r="BH535" s="223">
        <f>BH533/BG533-1</f>
        <v>0.16343857787211458</v>
      </c>
      <c r="BI535" s="1020"/>
      <c r="BJ535" s="223">
        <f>BJ533/BH533-1</f>
        <v>4.218928164196134E-2</v>
      </c>
      <c r="BK535" s="223">
        <f>BK533/BJ533-1</f>
        <v>6.5864332603938758E-2</v>
      </c>
      <c r="BL535" s="223">
        <f>BL533/BK533-1</f>
        <v>8.807226442208993E-2</v>
      </c>
      <c r="BM535" s="223">
        <f>BM533/BL533-1</f>
        <v>5.7358490566037812E-2</v>
      </c>
      <c r="BN535" s="1020"/>
      <c r="BO535" s="223"/>
      <c r="BP535" s="223"/>
      <c r="BQ535" s="223"/>
      <c r="BR535" s="223"/>
      <c r="BS535" s="1050"/>
      <c r="BT535" s="223">
        <f>BT533/BM533-1</f>
        <v>2.9800142755174841E-2</v>
      </c>
      <c r="BU535" s="223">
        <f>BU533/BT533-1</f>
        <v>3.2576676485877698E-2</v>
      </c>
      <c r="BV535" s="223">
        <f>BV533/BU533-1</f>
        <v>2.5339822117804944E-2</v>
      </c>
      <c r="BW535" s="223">
        <f>BW533/BV533-1</f>
        <v>0.13142389525368259</v>
      </c>
      <c r="BX535" s="1020"/>
      <c r="BY535" s="223"/>
      <c r="BZ535" s="223"/>
      <c r="CA535" s="223"/>
      <c r="CB535" s="223"/>
      <c r="CC535" s="1050"/>
      <c r="CD535" s="223">
        <f>CD533/BW533-1</f>
        <v>2.4157384637639279E-2</v>
      </c>
      <c r="CE535" s="223">
        <f>CE533/CD533-1</f>
        <v>1.3559322033898313E-2</v>
      </c>
      <c r="CF535" s="223">
        <f>CF533/CE533-1</f>
        <v>6.6332218506131468E-2</v>
      </c>
      <c r="CG535" s="223">
        <f>CG533/CF533-1</f>
        <v>0.14597490852064809</v>
      </c>
      <c r="CH535" s="1020"/>
      <c r="CI535" s="223">
        <f>CI533/CG533-1</f>
        <v>-2.8737598357851502E-2</v>
      </c>
      <c r="CJ535" s="223">
        <f>CJ533/CI533-1</f>
        <v>5.5653399084184541E-2</v>
      </c>
      <c r="CK535" s="223">
        <f>CK533/CJ533-1</f>
        <v>2.202202202202197E-2</v>
      </c>
      <c r="CL535" s="223">
        <f>CL533/CK533-1</f>
        <v>5.0168679943410677E-2</v>
      </c>
      <c r="CM535" s="1020"/>
      <c r="CN535" s="223">
        <f>CN533/CL533-1</f>
        <v>-4.3937823834196865E-2</v>
      </c>
      <c r="CO535" s="223">
        <f>CO533/CN533-1</f>
        <v>-1.9510080208107183E-3</v>
      </c>
      <c r="CP535" s="223">
        <f>CP533/CO533-1</f>
        <v>4.7024326672458816E-2</v>
      </c>
      <c r="CQ535" s="223">
        <f>CQ533/CP533-1</f>
        <v>0.11025827196348925</v>
      </c>
      <c r="CR535" s="1020"/>
      <c r="CS535" s="223">
        <f>CS533/CQ533-1</f>
        <v>2.802690582959233E-4</v>
      </c>
      <c r="CT535" s="223">
        <f>CT533/CS533-1</f>
        <v>6.3509853366956248E-2</v>
      </c>
      <c r="CU535" s="223">
        <f>CU533/CT533-1</f>
        <v>2.7224027399666229E-2</v>
      </c>
      <c r="CV535" s="223">
        <f>CV533/CU533-1</f>
        <v>0.12516029751218261</v>
      </c>
      <c r="CW535" s="1020"/>
      <c r="CX535" s="223">
        <f>CX533/CV533-1</f>
        <v>-3.0164881088063256E-2</v>
      </c>
      <c r="CY535" s="223">
        <f>CY533/CX533-1</f>
        <v>7.2156063929802672E-2</v>
      </c>
      <c r="CZ535" s="223">
        <f>CZ533/CY533-1</f>
        <v>9.8502009499451981E-2</v>
      </c>
      <c r="DA535" s="223">
        <f>DA533/CZ533-1</f>
        <v>0.13703186323421801</v>
      </c>
      <c r="DB535" s="1020"/>
      <c r="DC535" s="223">
        <f>DC533/DA533-1</f>
        <v>8.6585151816533923E-3</v>
      </c>
      <c r="DD535" s="223">
        <f>DD533/DC533-1</f>
        <v>3.3988747752450532E-2</v>
      </c>
      <c r="DE535" s="223">
        <f>DE533/DD533-1</f>
        <v>1.7389353228249194E-2</v>
      </c>
      <c r="DF535" s="223">
        <f>DF533/DE533-1</f>
        <v>0.12934884490268517</v>
      </c>
      <c r="DG535" s="1020"/>
      <c r="DH535" s="223"/>
      <c r="DI535" s="223"/>
      <c r="DJ535" s="223"/>
      <c r="DK535" s="223"/>
      <c r="DL535" s="1020"/>
      <c r="DM535" s="223"/>
      <c r="DN535" s="223"/>
      <c r="DO535" s="223"/>
      <c r="DP535" s="223"/>
      <c r="DQ535" s="1020"/>
      <c r="DR535" s="223"/>
      <c r="DS535" s="223"/>
      <c r="DT535" s="223"/>
      <c r="DU535" s="223"/>
      <c r="DV535" s="1020"/>
      <c r="DW535" s="223"/>
      <c r="DX535" s="223"/>
      <c r="DY535" s="223"/>
      <c r="DZ535" s="223"/>
      <c r="EA535" s="1050"/>
      <c r="EB535" s="223"/>
      <c r="EC535" s="223"/>
      <c r="ED535" s="223"/>
      <c r="EE535" s="223"/>
      <c r="EF535" s="1050"/>
      <c r="EG535" s="223"/>
      <c r="EH535" s="223"/>
      <c r="EI535" s="223"/>
      <c r="EJ535" s="223"/>
      <c r="EK535" s="1050"/>
      <c r="EL535" s="223"/>
      <c r="EM535" s="223"/>
      <c r="EN535" s="223"/>
      <c r="EO535" s="223"/>
      <c r="EP535" s="1050"/>
      <c r="EQ535" s="223"/>
      <c r="ER535" s="223"/>
      <c r="ES535" s="223"/>
      <c r="ET535" s="223"/>
      <c r="EU535" s="1050"/>
      <c r="EV535" s="1050"/>
      <c r="EW535" s="1050"/>
      <c r="EX535" s="1050"/>
      <c r="EY535" s="1050"/>
      <c r="EZ535" s="185"/>
      <c r="FA535" s="725"/>
      <c r="FB535" s="725"/>
    </row>
    <row r="536" spans="1:158" s="211" customFormat="1" ht="11.25" hidden="1" customHeight="1">
      <c r="A536" s="2676" t="s">
        <v>613</v>
      </c>
      <c r="B536" s="2611"/>
      <c r="C536" s="2612"/>
      <c r="D536" s="2612"/>
      <c r="E536" s="2612"/>
      <c r="F536" s="2580"/>
      <c r="G536" s="2611"/>
      <c r="H536" s="2612"/>
      <c r="I536" s="2612"/>
      <c r="J536" s="2612"/>
      <c r="K536" s="1019"/>
      <c r="L536" s="209"/>
      <c r="M536" s="209"/>
      <c r="N536" s="209"/>
      <c r="O536" s="209"/>
      <c r="P536" s="1019"/>
      <c r="Q536" s="2576"/>
      <c r="R536" s="209"/>
      <c r="S536" s="209"/>
      <c r="T536" s="209"/>
      <c r="U536" s="1019"/>
      <c r="V536" s="2576"/>
      <c r="W536" s="209"/>
      <c r="X536" s="209"/>
      <c r="Y536" s="209"/>
      <c r="Z536" s="1019"/>
      <c r="AA536" s="2576"/>
      <c r="AB536" s="209"/>
      <c r="AC536" s="209"/>
      <c r="AD536" s="209"/>
      <c r="AE536" s="1019"/>
      <c r="AF536" s="2576"/>
      <c r="AG536" s="209"/>
      <c r="AH536" s="209"/>
      <c r="AI536" s="209"/>
      <c r="AJ536" s="1019"/>
      <c r="AK536" s="2606"/>
      <c r="AL536" s="2606"/>
      <c r="AM536" s="2606"/>
      <c r="AN536" s="2606"/>
      <c r="AO536" s="2590"/>
      <c r="AP536" s="2606">
        <f t="shared" ref="AP536:BN536" si="1363">(AP527-AP534)*10000</f>
        <v>0</v>
      </c>
      <c r="AQ536" s="2606">
        <f t="shared" si="1363"/>
        <v>0</v>
      </c>
      <c r="AR536" s="2606">
        <f t="shared" si="1363"/>
        <v>0</v>
      </c>
      <c r="AS536" s="2606">
        <f t="shared" si="1363"/>
        <v>0</v>
      </c>
      <c r="AT536" s="2590">
        <f t="shared" si="1363"/>
        <v>0</v>
      </c>
      <c r="AU536" s="2606">
        <f t="shared" si="1363"/>
        <v>0</v>
      </c>
      <c r="AV536" s="2606">
        <f t="shared" si="1363"/>
        <v>0</v>
      </c>
      <c r="AW536" s="2606">
        <f t="shared" si="1363"/>
        <v>0</v>
      </c>
      <c r="AX536" s="2606">
        <f t="shared" si="1363"/>
        <v>0</v>
      </c>
      <c r="AY536" s="2590">
        <f t="shared" si="1363"/>
        <v>0</v>
      </c>
      <c r="AZ536" s="2606">
        <f t="shared" si="1363"/>
        <v>0</v>
      </c>
      <c r="BA536" s="2606">
        <f t="shared" si="1363"/>
        <v>0</v>
      </c>
      <c r="BB536" s="2606">
        <f t="shared" si="1363"/>
        <v>0</v>
      </c>
      <c r="BC536" s="2606">
        <f t="shared" si="1363"/>
        <v>0</v>
      </c>
      <c r="BD536" s="2590">
        <f t="shared" si="1363"/>
        <v>0</v>
      </c>
      <c r="BE536" s="2606">
        <f t="shared" si="1363"/>
        <v>0</v>
      </c>
      <c r="BF536" s="2606">
        <f t="shared" si="1363"/>
        <v>0</v>
      </c>
      <c r="BG536" s="2606">
        <f t="shared" si="1363"/>
        <v>0</v>
      </c>
      <c r="BH536" s="2606">
        <f t="shared" si="1363"/>
        <v>0</v>
      </c>
      <c r="BI536" s="2590">
        <f t="shared" si="1363"/>
        <v>0</v>
      </c>
      <c r="BJ536" s="2606">
        <f t="shared" si="1363"/>
        <v>0</v>
      </c>
      <c r="BK536" s="2606">
        <f t="shared" si="1363"/>
        <v>0</v>
      </c>
      <c r="BL536" s="2606">
        <f t="shared" si="1363"/>
        <v>0</v>
      </c>
      <c r="BM536" s="2606">
        <f t="shared" si="1363"/>
        <v>0</v>
      </c>
      <c r="BN536" s="2590">
        <f t="shared" si="1363"/>
        <v>0</v>
      </c>
      <c r="BO536" s="2606"/>
      <c r="BP536" s="2606"/>
      <c r="BQ536" s="2606"/>
      <c r="BR536" s="2606"/>
      <c r="BS536" s="2600"/>
      <c r="BT536" s="2606">
        <f>(BT527-BT534)*10000</f>
        <v>0</v>
      </c>
      <c r="BU536" s="2606">
        <f>(BU527-BU534)*10000</f>
        <v>0</v>
      </c>
      <c r="BV536" s="2606">
        <f>(BV527-BV534)*10000</f>
        <v>0</v>
      </c>
      <c r="BW536" s="2606">
        <f>(BW527-BW534)*10000</f>
        <v>0</v>
      </c>
      <c r="BX536" s="2590">
        <f>(BX527-BX534)*10000</f>
        <v>0</v>
      </c>
      <c r="BY536" s="2606"/>
      <c r="BZ536" s="2606"/>
      <c r="CA536" s="2606"/>
      <c r="CB536" s="2606"/>
      <c r="CC536" s="2600"/>
      <c r="CD536" s="2606">
        <f t="shared" ref="CD536:DG536" si="1364">(CD527-CD534)*10000</f>
        <v>60.64806792583699</v>
      </c>
      <c r="CE536" s="2606">
        <f t="shared" si="1364"/>
        <v>58.734687028023643</v>
      </c>
      <c r="CF536" s="2606">
        <f t="shared" si="1364"/>
        <v>36.006546644844484</v>
      </c>
      <c r="CG536" s="2606">
        <f t="shared" si="1364"/>
        <v>4.3396499349057649</v>
      </c>
      <c r="CH536" s="2590">
        <f t="shared" si="1364"/>
        <v>38.379186361248152</v>
      </c>
      <c r="CI536" s="2606">
        <f t="shared" si="1364"/>
        <v>-47.932274854987078</v>
      </c>
      <c r="CJ536" s="2606">
        <f t="shared" si="1364"/>
        <v>-52.492615100767637</v>
      </c>
      <c r="CK536" s="2606">
        <f t="shared" si="1364"/>
        <v>-21.395589563799611</v>
      </c>
      <c r="CL536" s="2606">
        <f t="shared" si="1364"/>
        <v>164.95508131726842</v>
      </c>
      <c r="CM536" s="2590">
        <f t="shared" si="1364"/>
        <v>19.316665353166229</v>
      </c>
      <c r="CN536" s="2606">
        <f t="shared" si="1364"/>
        <v>354.64403261787459</v>
      </c>
      <c r="CO536" s="2606">
        <f t="shared" si="1364"/>
        <v>516.67799102129038</v>
      </c>
      <c r="CP536" s="2606">
        <f t="shared" si="1364"/>
        <v>299.49788837901895</v>
      </c>
      <c r="CQ536" s="2606">
        <f t="shared" si="1364"/>
        <v>171.29518871885631</v>
      </c>
      <c r="CR536" s="2590">
        <f t="shared" si="1364"/>
        <v>333.11190744652606</v>
      </c>
      <c r="CS536" s="2606">
        <f t="shared" si="1364"/>
        <v>-201.2405913409321</v>
      </c>
      <c r="CT536" s="2606">
        <f t="shared" si="1364"/>
        <v>-521.18855846073234</v>
      </c>
      <c r="CU536" s="2606">
        <f t="shared" si="1364"/>
        <v>-243.77070966776327</v>
      </c>
      <c r="CV536" s="2606">
        <f t="shared" si="1364"/>
        <v>-200.44164471107351</v>
      </c>
      <c r="CW536" s="2590">
        <f t="shared" si="1364"/>
        <v>-287.72785789368925</v>
      </c>
      <c r="CX536" s="2606">
        <f t="shared" si="1364"/>
        <v>14.281146756598417</v>
      </c>
      <c r="CY536" s="2606">
        <f t="shared" si="1364"/>
        <v>-79.146191261554307</v>
      </c>
      <c r="CZ536" s="2606">
        <f t="shared" si="1364"/>
        <v>-276.17873244865973</v>
      </c>
      <c r="DA536" s="2606">
        <f t="shared" si="1364"/>
        <v>-330.28798251260258</v>
      </c>
      <c r="DB536" s="2590">
        <f t="shared" si="1364"/>
        <v>-177.17669072999431</v>
      </c>
      <c r="DC536" s="2606">
        <f t="shared" si="1364"/>
        <v>-225.80171714458476</v>
      </c>
      <c r="DD536" s="2606">
        <f t="shared" si="1364"/>
        <v>-2.8550565907758951</v>
      </c>
      <c r="DE536" s="2606">
        <f t="shared" si="1364"/>
        <v>155.26041244948053</v>
      </c>
      <c r="DF536" s="2606">
        <f t="shared" si="1364"/>
        <v>140.43723378990069</v>
      </c>
      <c r="DG536" s="2590">
        <f t="shared" si="1364"/>
        <v>36.401033348192335</v>
      </c>
      <c r="DH536" s="2606"/>
      <c r="DI536" s="2606"/>
      <c r="DJ536" s="2606"/>
      <c r="DK536" s="2606"/>
      <c r="DL536" s="2590"/>
      <c r="DM536" s="2606"/>
      <c r="DN536" s="2606"/>
      <c r="DO536" s="2606"/>
      <c r="DP536" s="2606"/>
      <c r="DQ536" s="2590"/>
      <c r="DR536" s="2606"/>
      <c r="DS536" s="2606"/>
      <c r="DT536" s="2606"/>
      <c r="DU536" s="2606"/>
      <c r="DV536" s="2590"/>
      <c r="DW536" s="2606"/>
      <c r="DX536" s="2606"/>
      <c r="DY536" s="2606"/>
      <c r="DZ536" s="2606"/>
      <c r="EA536" s="2590"/>
      <c r="EB536" s="2606"/>
      <c r="EC536" s="2606"/>
      <c r="ED536" s="2606"/>
      <c r="EE536" s="2606"/>
      <c r="EF536" s="2590"/>
      <c r="EG536" s="2606"/>
      <c r="EH536" s="2606"/>
      <c r="EI536" s="2606"/>
      <c r="EJ536" s="2606"/>
      <c r="EK536" s="2590"/>
      <c r="EL536" s="2606"/>
      <c r="EM536" s="2606"/>
      <c r="EN536" s="2606"/>
      <c r="EO536" s="2606"/>
      <c r="EP536" s="2590"/>
      <c r="EQ536" s="2606"/>
      <c r="ER536" s="2606"/>
      <c r="ES536" s="2606"/>
      <c r="ET536" s="2606"/>
      <c r="EU536" s="2590"/>
      <c r="EV536" s="2590"/>
      <c r="EW536" s="2590"/>
      <c r="EX536" s="2590"/>
      <c r="EY536" s="2590"/>
      <c r="EZ536" s="209"/>
      <c r="FA536" s="725"/>
      <c r="FB536" s="725"/>
    </row>
    <row r="537" spans="1:158" s="211" customFormat="1" ht="11.25" hidden="1" customHeight="1">
      <c r="A537" s="2002"/>
      <c r="B537" s="2611"/>
      <c r="C537" s="2612"/>
      <c r="D537" s="2612"/>
      <c r="E537" s="2612"/>
      <c r="F537" s="2580"/>
      <c r="G537" s="2611"/>
      <c r="H537" s="2612"/>
      <c r="I537" s="2612"/>
      <c r="J537" s="2612"/>
      <c r="K537" s="1019"/>
      <c r="L537" s="209"/>
      <c r="M537" s="209"/>
      <c r="N537" s="209"/>
      <c r="O537" s="209"/>
      <c r="P537" s="1019"/>
      <c r="Q537" s="2576"/>
      <c r="R537" s="209"/>
      <c r="S537" s="209"/>
      <c r="T537" s="209"/>
      <c r="U537" s="1019"/>
      <c r="V537" s="2576"/>
      <c r="W537" s="209"/>
      <c r="X537" s="209"/>
      <c r="Y537" s="209"/>
      <c r="Z537" s="1019"/>
      <c r="AA537" s="2576"/>
      <c r="AB537" s="209"/>
      <c r="AC537" s="209"/>
      <c r="AD537" s="209"/>
      <c r="AE537" s="1019"/>
      <c r="AF537" s="2576"/>
      <c r="AG537" s="209"/>
      <c r="AH537" s="209"/>
      <c r="AI537" s="209"/>
      <c r="AJ537" s="1019"/>
      <c r="AK537" s="2576"/>
      <c r="AL537" s="209"/>
      <c r="AM537" s="209"/>
      <c r="AN537" s="209"/>
      <c r="AO537" s="1019"/>
      <c r="AP537" s="2577"/>
      <c r="AQ537" s="257"/>
      <c r="AR537" s="257"/>
      <c r="AS537" s="257"/>
      <c r="AT537" s="1019"/>
      <c r="AU537" s="2577"/>
      <c r="AV537" s="257"/>
      <c r="AW537" s="257"/>
      <c r="AX537" s="257"/>
      <c r="AY537" s="1019"/>
      <c r="AZ537" s="2571"/>
      <c r="BA537" s="258"/>
      <c r="BB537" s="258"/>
      <c r="BC537" s="258"/>
      <c r="BD537" s="1019"/>
      <c r="BE537" s="2572"/>
      <c r="BF537" s="241"/>
      <c r="BG537" s="241"/>
      <c r="BH537" s="241"/>
      <c r="BI537" s="1019"/>
      <c r="BJ537" s="2572"/>
      <c r="BK537" s="258"/>
      <c r="BL537" s="258"/>
      <c r="BM537" s="258"/>
      <c r="BN537" s="1019"/>
      <c r="BO537" s="209"/>
      <c r="BP537" s="209"/>
      <c r="BQ537" s="209"/>
      <c r="BR537" s="209"/>
      <c r="BS537" s="2244"/>
      <c r="BT537" s="258"/>
      <c r="BU537" s="258"/>
      <c r="BV537" s="258"/>
      <c r="BW537" s="258"/>
      <c r="BX537" s="1019"/>
      <c r="BY537" s="209"/>
      <c r="BZ537" s="209"/>
      <c r="CA537" s="209"/>
      <c r="CB537" s="209"/>
      <c r="CC537" s="2244"/>
      <c r="CD537" s="209"/>
      <c r="CE537" s="209"/>
      <c r="CF537" s="209"/>
      <c r="CG537" s="258"/>
      <c r="CH537" s="1019"/>
      <c r="CI537" s="209"/>
      <c r="CJ537" s="209"/>
      <c r="CK537" s="209"/>
      <c r="CL537" s="209"/>
      <c r="CM537" s="1019"/>
      <c r="CN537" s="209"/>
      <c r="CO537" s="209"/>
      <c r="CP537" s="209"/>
      <c r="CQ537" s="209"/>
      <c r="CR537" s="1019"/>
      <c r="CS537" s="209"/>
      <c r="CT537" s="209"/>
      <c r="CU537" s="209"/>
      <c r="CV537" s="209"/>
      <c r="CW537" s="1019"/>
      <c r="CX537" s="209"/>
      <c r="CY537" s="209"/>
      <c r="CZ537" s="209"/>
      <c r="DA537" s="209"/>
      <c r="DB537" s="1019"/>
      <c r="DC537" s="209"/>
      <c r="DD537" s="209"/>
      <c r="DE537" s="209"/>
      <c r="DF537" s="209"/>
      <c r="DG537" s="1019"/>
      <c r="DH537" s="209"/>
      <c r="DI537" s="209"/>
      <c r="DJ537" s="209"/>
      <c r="DK537" s="209"/>
      <c r="DL537" s="1019"/>
      <c r="DM537" s="209"/>
      <c r="DN537" s="209"/>
      <c r="DO537" s="209"/>
      <c r="DP537" s="209"/>
      <c r="DQ537" s="1019"/>
      <c r="DR537" s="209"/>
      <c r="DS537" s="209"/>
      <c r="DT537" s="209"/>
      <c r="DU537" s="209"/>
      <c r="DV537" s="1019"/>
      <c r="DW537" s="209"/>
      <c r="DX537" s="209"/>
      <c r="DY537" s="209"/>
      <c r="DZ537" s="209"/>
      <c r="EA537" s="2244"/>
      <c r="EB537" s="209"/>
      <c r="EC537" s="209"/>
      <c r="ED537" s="209"/>
      <c r="EE537" s="209"/>
      <c r="EF537" s="2244"/>
      <c r="EG537" s="209"/>
      <c r="EH537" s="209"/>
      <c r="EI537" s="209"/>
      <c r="EJ537" s="209"/>
      <c r="EK537" s="2244"/>
      <c r="EL537" s="209"/>
      <c r="EM537" s="209"/>
      <c r="EN537" s="209"/>
      <c r="EO537" s="209"/>
      <c r="EP537" s="2244"/>
      <c r="EQ537" s="209"/>
      <c r="ER537" s="209"/>
      <c r="ES537" s="209"/>
      <c r="ET537" s="209"/>
      <c r="EU537" s="2244"/>
      <c r="EV537" s="2244"/>
      <c r="EW537" s="2244"/>
      <c r="EX537" s="2244"/>
      <c r="EY537" s="2244"/>
      <c r="EZ537" s="209"/>
      <c r="FA537" s="725"/>
      <c r="FB537" s="725"/>
    </row>
    <row r="538" spans="1:158" s="252" customFormat="1" ht="11.25" hidden="1" customHeight="1">
      <c r="A538" s="2670" t="s">
        <v>298</v>
      </c>
      <c r="B538" s="2680"/>
      <c r="C538" s="2620"/>
      <c r="D538" s="2620"/>
      <c r="E538" s="2620"/>
      <c r="F538" s="2681"/>
      <c r="G538" s="2680"/>
      <c r="H538" s="2620"/>
      <c r="I538" s="2620"/>
      <c r="J538" s="2620"/>
      <c r="K538" s="2592"/>
      <c r="L538" s="2621"/>
      <c r="M538" s="2621"/>
      <c r="N538" s="2621"/>
      <c r="O538" s="2621"/>
      <c r="P538" s="2592"/>
      <c r="Q538" s="2665"/>
      <c r="R538" s="2621"/>
      <c r="S538" s="2621"/>
      <c r="T538" s="2621"/>
      <c r="U538" s="2592"/>
      <c r="V538" s="2665"/>
      <c r="W538" s="2621"/>
      <c r="X538" s="2621"/>
      <c r="Y538" s="2621"/>
      <c r="Z538" s="2592"/>
      <c r="AA538" s="2665"/>
      <c r="AB538" s="2621"/>
      <c r="AC538" s="2621"/>
      <c r="AD538" s="2621"/>
      <c r="AE538" s="2592"/>
      <c r="AF538" s="2665"/>
      <c r="AG538" s="2621"/>
      <c r="AH538" s="2621"/>
      <c r="AI538" s="2621"/>
      <c r="AJ538" s="2592"/>
      <c r="AK538" s="2665">
        <f>AK526-AK530</f>
        <v>1001.234</v>
      </c>
      <c r="AL538" s="2621">
        <f>AL526-AL530</f>
        <v>1052.9649999999999</v>
      </c>
      <c r="AM538" s="2621">
        <f>AM526-AM530</f>
        <v>1147.8679999999999</v>
      </c>
      <c r="AN538" s="2621">
        <f>AN526-AN530</f>
        <v>1339.7100000000005</v>
      </c>
      <c r="AO538" s="2592">
        <f>SUM(AK538:AN538)</f>
        <v>4541.777</v>
      </c>
      <c r="AP538" s="2665">
        <f>AP526-AP530</f>
        <v>1590.5889999999999</v>
      </c>
      <c r="AQ538" s="2621">
        <f>AQ526-AQ530</f>
        <v>1723.0430000000001</v>
      </c>
      <c r="AR538" s="2621">
        <f>AR526-AR530</f>
        <v>1904.5419999999999</v>
      </c>
      <c r="AS538" s="2621">
        <f>AS526-AS530</f>
        <v>2135.7910000000006</v>
      </c>
      <c r="AT538" s="2592">
        <f>SUM(AP538:AS538)</f>
        <v>7353.9650000000001</v>
      </c>
      <c r="AU538" s="2665">
        <f>AU526-AU530</f>
        <v>2448.569</v>
      </c>
      <c r="AV538" s="2621">
        <f>AV526-AV530</f>
        <v>2550.9880000000003</v>
      </c>
      <c r="AW538" s="2621">
        <f>AW526-AW530</f>
        <v>2678.3789999999999</v>
      </c>
      <c r="AX538" s="2621">
        <f>AX526-AX530</f>
        <v>3128.8609999999985</v>
      </c>
      <c r="AY538" s="2592">
        <f>SUM(AU538:AX538)</f>
        <v>10806.796999999999</v>
      </c>
      <c r="AZ538" s="2665">
        <f>AZ526-AZ530</f>
        <v>3310.93</v>
      </c>
      <c r="BA538" s="2621">
        <f>BA526-BA530</f>
        <v>3410.768</v>
      </c>
      <c r="BB538" s="2621">
        <f>BB526-BB530</f>
        <v>3439.636</v>
      </c>
      <c r="BC538" s="2621">
        <f>BC526-BC530</f>
        <v>3322.6720000000005</v>
      </c>
      <c r="BD538" s="2592">
        <f>SUM(AZ538:BC538)</f>
        <v>13484.006000000001</v>
      </c>
      <c r="BE538" s="2665">
        <f>BE526-BE530</f>
        <v>3337</v>
      </c>
      <c r="BF538" s="2621">
        <f>BF526-BF530</f>
        <v>3508</v>
      </c>
      <c r="BG538" s="2621">
        <f>BG526-BG530</f>
        <v>3938</v>
      </c>
      <c r="BH538" s="2621">
        <f>BH526-BH530</f>
        <v>4517</v>
      </c>
      <c r="BI538" s="2592">
        <f>SUM(BE538:BH538)</f>
        <v>15300</v>
      </c>
      <c r="BJ538" s="2665">
        <f>BJ526-BJ530</f>
        <v>4547</v>
      </c>
      <c r="BK538" s="2621">
        <f>BK526-BK530</f>
        <v>4454</v>
      </c>
      <c r="BL538" s="2621">
        <f>BL526-BL530</f>
        <v>4817</v>
      </c>
      <c r="BM538" s="2621">
        <f>BM526-BM530</f>
        <v>5565</v>
      </c>
      <c r="BN538" s="2592">
        <f>SUM(BJ538:BM538)</f>
        <v>19383</v>
      </c>
      <c r="BO538" s="2621"/>
      <c r="BP538" s="2621"/>
      <c r="BQ538" s="2621"/>
      <c r="BR538" s="2621"/>
      <c r="BS538" s="2596"/>
      <c r="BT538" s="2621">
        <f>BT526-BT530</f>
        <v>5838</v>
      </c>
      <c r="BU538" s="2621">
        <f>BU526-BU530</f>
        <v>6309</v>
      </c>
      <c r="BV538" s="2621">
        <f>BV526-BV530</f>
        <v>6667</v>
      </c>
      <c r="BW538" s="2621">
        <f>BW526-BW530</f>
        <v>7106</v>
      </c>
      <c r="BX538" s="2592">
        <f>SUM(BT538:BW538)</f>
        <v>25920</v>
      </c>
      <c r="BY538" s="2621"/>
      <c r="BZ538" s="2621"/>
      <c r="CA538" s="2621"/>
      <c r="CB538" s="2621"/>
      <c r="CC538" s="2596"/>
      <c r="CD538" s="2621">
        <f>CD526-CD530</f>
        <v>7225</v>
      </c>
      <c r="CE538" s="2621">
        <f>CE526-CE530</f>
        <v>7428</v>
      </c>
      <c r="CF538" s="2621">
        <f>CF526-CF530</f>
        <v>7809</v>
      </c>
      <c r="CG538" s="2621">
        <f>CG526-CG530</f>
        <v>8913</v>
      </c>
      <c r="CH538" s="2592">
        <f>SUM(CD538:CG538)</f>
        <v>31375</v>
      </c>
      <c r="CI538" s="2621">
        <f>CI526-CI530</f>
        <v>8688</v>
      </c>
      <c r="CJ538" s="2621">
        <f>CJ526-CJ530</f>
        <v>8877</v>
      </c>
      <c r="CK538" s="2621">
        <f>CK526-CK530</f>
        <v>9093</v>
      </c>
      <c r="CL538" s="2621">
        <f>CL526-CL530</f>
        <v>10414</v>
      </c>
      <c r="CM538" s="2592">
        <f>SUM(CI538:CL538)</f>
        <v>37072</v>
      </c>
      <c r="CN538" s="2621">
        <f>CN526-CN530</f>
        <v>10643</v>
      </c>
      <c r="CO538" s="2621">
        <f>CO526-CO530</f>
        <v>11253</v>
      </c>
      <c r="CP538" s="2621">
        <f>CP526-CP530</f>
        <v>11504</v>
      </c>
      <c r="CQ538" s="2621">
        <f>CQ526-CQ530</f>
        <v>12369</v>
      </c>
      <c r="CR538" s="2592">
        <f>SUM(CN538:CQ538)</f>
        <v>45769</v>
      </c>
      <c r="CS538" s="2621">
        <f>CS526-CS530</f>
        <v>11638</v>
      </c>
      <c r="CT538" s="2621">
        <f>CT526-CT530</f>
        <v>11578</v>
      </c>
      <c r="CU538" s="2621">
        <f>CU526-CU530</f>
        <v>11998</v>
      </c>
      <c r="CV538" s="2621">
        <f>CV526-CV530</f>
        <v>13550</v>
      </c>
      <c r="CW538" s="2592">
        <f>SUM(CS538:CV538)</f>
        <v>48764</v>
      </c>
      <c r="CX538" s="2621">
        <f t="shared" ref="CX538:DG538" si="1365">CX526-CX530</f>
        <v>13285</v>
      </c>
      <c r="CY538" s="2621">
        <f t="shared" si="1365"/>
        <v>14052</v>
      </c>
      <c r="CZ538" s="2621">
        <f t="shared" si="1365"/>
        <v>14587</v>
      </c>
      <c r="DA538" s="2621">
        <f t="shared" si="1365"/>
        <v>16355</v>
      </c>
      <c r="DB538" s="2592">
        <f t="shared" si="1365"/>
        <v>58279</v>
      </c>
      <c r="DC538" s="2621">
        <f t="shared" si="1365"/>
        <v>15691</v>
      </c>
      <c r="DD538" s="2621">
        <f t="shared" si="1365"/>
        <v>16956</v>
      </c>
      <c r="DE538" s="2621">
        <f t="shared" si="1365"/>
        <v>18602</v>
      </c>
      <c r="DF538" s="2621">
        <f t="shared" si="1365"/>
        <v>21207</v>
      </c>
      <c r="DG538" s="2592">
        <f t="shared" si="1365"/>
        <v>72456</v>
      </c>
      <c r="DH538" s="2621"/>
      <c r="DI538" s="2621"/>
      <c r="DJ538" s="2621"/>
      <c r="DK538" s="2621"/>
      <c r="DL538" s="2592"/>
      <c r="DM538" s="2621"/>
      <c r="DN538" s="2621"/>
      <c r="DO538" s="2621"/>
      <c r="DP538" s="2621"/>
      <c r="DQ538" s="2592"/>
      <c r="DR538" s="2621"/>
      <c r="DS538" s="2621"/>
      <c r="DT538" s="2621"/>
      <c r="DU538" s="2621"/>
      <c r="DV538" s="2592"/>
      <c r="DW538" s="2621"/>
      <c r="DX538" s="2621"/>
      <c r="DY538" s="2621"/>
      <c r="DZ538" s="2621"/>
      <c r="EA538" s="2596"/>
      <c r="EB538" s="2621"/>
      <c r="EC538" s="2621"/>
      <c r="ED538" s="2621"/>
      <c r="EE538" s="2621"/>
      <c r="EF538" s="2596"/>
      <c r="EG538" s="2621"/>
      <c r="EH538" s="2621"/>
      <c r="EI538" s="2621"/>
      <c r="EJ538" s="2621"/>
      <c r="EK538" s="2596"/>
      <c r="EL538" s="2621"/>
      <c r="EM538" s="2621"/>
      <c r="EN538" s="2621"/>
      <c r="EO538" s="2621"/>
      <c r="EP538" s="2596"/>
      <c r="EQ538" s="2621"/>
      <c r="ER538" s="2621"/>
      <c r="ES538" s="2621"/>
      <c r="ET538" s="2621"/>
      <c r="EU538" s="2596"/>
      <c r="EV538" s="2596"/>
      <c r="EW538" s="2596"/>
      <c r="EX538" s="2596"/>
      <c r="EY538" s="2596"/>
      <c r="EZ538" s="251"/>
      <c r="FA538" s="725"/>
      <c r="FB538" s="725"/>
    </row>
    <row r="539" spans="1:158" s="254" customFormat="1" ht="11.25" hidden="1" customHeight="1">
      <c r="A539" s="2684" t="s">
        <v>14</v>
      </c>
      <c r="B539" s="2663"/>
      <c r="C539" s="2623"/>
      <c r="D539" s="2623"/>
      <c r="E539" s="2623"/>
      <c r="F539" s="2662"/>
      <c r="G539" s="2663"/>
      <c r="H539" s="2623"/>
      <c r="I539" s="2623"/>
      <c r="J539" s="2623"/>
      <c r="K539" s="2594"/>
      <c r="L539" s="2623"/>
      <c r="M539" s="2623"/>
      <c r="N539" s="2623"/>
      <c r="O539" s="2623"/>
      <c r="P539" s="2594"/>
      <c r="Q539" s="2663"/>
      <c r="R539" s="2623"/>
      <c r="S539" s="2623"/>
      <c r="T539" s="2623"/>
      <c r="U539" s="2594"/>
      <c r="V539" s="2663"/>
      <c r="W539" s="2623"/>
      <c r="X539" s="2623"/>
      <c r="Y539" s="2623"/>
      <c r="Z539" s="2594"/>
      <c r="AA539" s="2663"/>
      <c r="AB539" s="2623"/>
      <c r="AC539" s="2623"/>
      <c r="AD539" s="2623"/>
      <c r="AE539" s="2594"/>
      <c r="AF539" s="2663"/>
      <c r="AG539" s="2623"/>
      <c r="AH539" s="2623"/>
      <c r="AI539" s="2623"/>
      <c r="AJ539" s="2594"/>
      <c r="AK539" s="2611">
        <f t="shared" ref="AK539:BN539" si="1366">AK538/AF526-1</f>
        <v>1.0656606918861824</v>
      </c>
      <c r="AL539" s="2612">
        <f t="shared" si="1366"/>
        <v>0.94547859810027757</v>
      </c>
      <c r="AM539" s="2612">
        <f t="shared" si="1366"/>
        <v>0.84731802307803705</v>
      </c>
      <c r="AN539" s="2612">
        <f t="shared" si="1366"/>
        <v>0.82431576754275526</v>
      </c>
      <c r="AO539" s="2594">
        <f t="shared" si="1366"/>
        <v>0.90696837602459457</v>
      </c>
      <c r="AP539" s="2611">
        <f t="shared" si="1366"/>
        <v>0.69892249159932218</v>
      </c>
      <c r="AQ539" s="2612">
        <f t="shared" si="1366"/>
        <v>0.66483214408216718</v>
      </c>
      <c r="AR539" s="2612">
        <f t="shared" si="1366"/>
        <v>0.61010526956515854</v>
      </c>
      <c r="AS539" s="2612">
        <f t="shared" si="1366"/>
        <v>0.50332650576120375</v>
      </c>
      <c r="AT539" s="2594">
        <f t="shared" si="1366"/>
        <v>0.60750239847756515</v>
      </c>
      <c r="AU539" s="2611">
        <f t="shared" si="1366"/>
        <v>0.43561491074344416</v>
      </c>
      <c r="AV539" s="2612">
        <f t="shared" si="1366"/>
        <v>0.38336687376595879</v>
      </c>
      <c r="AW539" s="2612">
        <f t="shared" si="1366"/>
        <v>0.32230237635161352</v>
      </c>
      <c r="AX539" s="2612">
        <f t="shared" si="1366"/>
        <v>0.34818732061611657</v>
      </c>
      <c r="AY539" s="2594">
        <f t="shared" si="1366"/>
        <v>0.36864803732032736</v>
      </c>
      <c r="AZ539" s="2611">
        <f t="shared" si="1366"/>
        <v>0.24913933574262725</v>
      </c>
      <c r="BA539" s="2612">
        <f t="shared" si="1366"/>
        <v>0.21804964523810533</v>
      </c>
      <c r="BB539" s="2612">
        <f t="shared" si="1366"/>
        <v>0.20842516052851723</v>
      </c>
      <c r="BC539" s="2612">
        <f t="shared" si="1366"/>
        <v>0.16061240835653634</v>
      </c>
      <c r="BD539" s="2594">
        <f t="shared" si="1366"/>
        <v>0.20824459002990814</v>
      </c>
      <c r="BE539" s="2611">
        <f t="shared" si="1366"/>
        <v>0.15790459865437412</v>
      </c>
      <c r="BF539" s="2612">
        <f t="shared" si="1366"/>
        <v>0.20393936648353606</v>
      </c>
      <c r="BG539" s="2612">
        <f t="shared" si="1366"/>
        <v>0.25308817184045496</v>
      </c>
      <c r="BH539" s="2612">
        <f t="shared" si="1366"/>
        <v>0.2837229500220535</v>
      </c>
      <c r="BI539" s="2594">
        <f t="shared" si="1366"/>
        <v>0.22822450274166983</v>
      </c>
      <c r="BJ539" s="2611">
        <f t="shared" si="1366"/>
        <v>0.27046661078513545</v>
      </c>
      <c r="BK539" s="2612">
        <f t="shared" si="1366"/>
        <v>0.26104190260475657</v>
      </c>
      <c r="BL539" s="2612">
        <f t="shared" si="1366"/>
        <v>0.27805784027593528</v>
      </c>
      <c r="BM539" s="2612">
        <f t="shared" si="1366"/>
        <v>0.26909920182440139</v>
      </c>
      <c r="BN539" s="2594">
        <f t="shared" si="1366"/>
        <v>0.2697674418604652</v>
      </c>
      <c r="BO539" s="2623"/>
      <c r="BP539" s="2623"/>
      <c r="BQ539" s="2623"/>
      <c r="BR539" s="2623"/>
      <c r="BS539" s="2594"/>
      <c r="BT539" s="2612">
        <f>BT538/BJ526-1</f>
        <v>0.27746170678336979</v>
      </c>
      <c r="BU539" s="2612">
        <f>BU538/BK526-1</f>
        <v>0.29521658796961603</v>
      </c>
      <c r="BV539" s="2612">
        <f>BV538/BL526-1</f>
        <v>0.25792452830188672</v>
      </c>
      <c r="BW539" s="2612">
        <f>BW538/BM526-1</f>
        <v>0.26802284082798011</v>
      </c>
      <c r="BX539" s="2594">
        <f>BX538/BN526-1</f>
        <v>0.27402310149913989</v>
      </c>
      <c r="BY539" s="2623"/>
      <c r="BZ539" s="2623"/>
      <c r="CA539" s="2623"/>
      <c r="CB539" s="2623"/>
      <c r="CC539" s="2594"/>
      <c r="CD539" s="2612">
        <f>CD538/BT526-1</f>
        <v>0.2519494021833304</v>
      </c>
      <c r="CE539" s="2612">
        <f>CE538/BU526-1</f>
        <v>0.24651787212619558</v>
      </c>
      <c r="CF539" s="2612">
        <f>CF538/BV526-1</f>
        <v>0.27806873977086743</v>
      </c>
      <c r="CG539" s="2612">
        <f>CG538/BW526-1</f>
        <v>0.28930999566034998</v>
      </c>
      <c r="CH539" s="2594">
        <f>CH538/BX526-1</f>
        <v>0.26752312850967552</v>
      </c>
      <c r="CI539" s="2612">
        <f t="shared" ref="CI539:DB539" si="1367">CI538/CD526-1</f>
        <v>0.22108222066057626</v>
      </c>
      <c r="CJ539" s="2612">
        <f t="shared" si="1367"/>
        <v>0.23103591734849527</v>
      </c>
      <c r="CK539" s="2612">
        <f t="shared" si="1367"/>
        <v>0.18491008600469105</v>
      </c>
      <c r="CL539" s="2612">
        <f t="shared" si="1367"/>
        <v>0.18718650250797997</v>
      </c>
      <c r="CM539" s="2594">
        <f t="shared" si="1367"/>
        <v>0.20473157415832577</v>
      </c>
      <c r="CN539" s="2612">
        <f t="shared" si="1367"/>
        <v>0.24844574780058659</v>
      </c>
      <c r="CO539" s="2612">
        <f t="shared" si="1367"/>
        <v>0.25075025008336116</v>
      </c>
      <c r="CP539" s="2612">
        <f t="shared" si="1367"/>
        <v>0.2505707142080662</v>
      </c>
      <c r="CQ539" s="2612">
        <f t="shared" si="1367"/>
        <v>0.26240048989589715</v>
      </c>
      <c r="CR539" s="2594">
        <f t="shared" si="1367"/>
        <v>0.25329280648429586</v>
      </c>
      <c r="CS539" s="2612">
        <f t="shared" si="1367"/>
        <v>0.22029988465974615</v>
      </c>
      <c r="CT539" s="2612">
        <f t="shared" si="1367"/>
        <v>0.19619795433412546</v>
      </c>
      <c r="CU539" s="2612">
        <f t="shared" si="1367"/>
        <v>0.20862294751687327</v>
      </c>
      <c r="CV539" s="2612">
        <f t="shared" si="1367"/>
        <v>0.22779992750996736</v>
      </c>
      <c r="CW539" s="2594">
        <f t="shared" si="1367"/>
        <v>0.21366883197690334</v>
      </c>
      <c r="CX539" s="2612">
        <f t="shared" si="1367"/>
        <v>0.2214968738506804</v>
      </c>
      <c r="CY539" s="2612">
        <f t="shared" si="1367"/>
        <v>0.22564326210204966</v>
      </c>
      <c r="CZ539" s="2612">
        <f t="shared" si="1367"/>
        <v>0.23597695305880362</v>
      </c>
      <c r="DA539" s="2612">
        <f t="shared" si="1367"/>
        <v>0.225277195085406</v>
      </c>
      <c r="DB539" s="2594">
        <f t="shared" si="1367"/>
        <v>0.22715883009412319</v>
      </c>
      <c r="DC539" s="2612">
        <f>DC538/CX526-1</f>
        <v>0.20876665896309987</v>
      </c>
      <c r="DD539" s="2612">
        <f>DD538/CY526-1</f>
        <v>0.23874926943308017</v>
      </c>
      <c r="DE539" s="2612">
        <f>DE538/CZ526-1</f>
        <v>0.2533351300363833</v>
      </c>
      <c r="DF539" s="2612">
        <f>DF538/DA526-1</f>
        <v>0.25522343888724475</v>
      </c>
      <c r="DG539" s="2594">
        <f>DG538/DB526-1</f>
        <v>0.24055747697154395</v>
      </c>
      <c r="DH539" s="2612"/>
      <c r="DI539" s="2612"/>
      <c r="DJ539" s="2612"/>
      <c r="DK539" s="2612"/>
      <c r="DL539" s="2594"/>
      <c r="DM539" s="2612"/>
      <c r="DN539" s="2612"/>
      <c r="DO539" s="2612"/>
      <c r="DP539" s="2612"/>
      <c r="DQ539" s="2594"/>
      <c r="DR539" s="2612"/>
      <c r="DS539" s="2612"/>
      <c r="DT539" s="2612"/>
      <c r="DU539" s="2612"/>
      <c r="DV539" s="2594"/>
      <c r="DW539" s="2612"/>
      <c r="DX539" s="2612"/>
      <c r="DY539" s="2612"/>
      <c r="DZ539" s="2612"/>
      <c r="EA539" s="2594"/>
      <c r="EB539" s="2612"/>
      <c r="EC539" s="2612"/>
      <c r="ED539" s="2612"/>
      <c r="EE539" s="2612"/>
      <c r="EF539" s="2594"/>
      <c r="EG539" s="2612"/>
      <c r="EH539" s="2612"/>
      <c r="EI539" s="2612"/>
      <c r="EJ539" s="2612"/>
      <c r="EK539" s="2594"/>
      <c r="EL539" s="2612"/>
      <c r="EM539" s="2612"/>
      <c r="EN539" s="2612"/>
      <c r="EO539" s="2612"/>
      <c r="EP539" s="2594"/>
      <c r="EQ539" s="2612"/>
      <c r="ER539" s="2612"/>
      <c r="ES539" s="2612"/>
      <c r="ET539" s="2612"/>
      <c r="EU539" s="2594"/>
      <c r="EV539" s="2594"/>
      <c r="EW539" s="2594"/>
      <c r="EX539" s="2594"/>
      <c r="EY539" s="2594"/>
      <c r="EZ539" s="253"/>
      <c r="FA539" s="725"/>
      <c r="FB539" s="725"/>
    </row>
    <row r="540" spans="1:158" s="214" customFormat="1" ht="11.25" hidden="1" customHeight="1">
      <c r="A540" s="1559" t="s">
        <v>297</v>
      </c>
      <c r="B540" s="2668"/>
      <c r="C540" s="2615"/>
      <c r="D540" s="2615"/>
      <c r="E540" s="2615"/>
      <c r="F540" s="2654"/>
      <c r="G540" s="2668"/>
      <c r="H540" s="2615"/>
      <c r="I540" s="2615"/>
      <c r="J540" s="2615"/>
      <c r="K540" s="2590"/>
      <c r="L540" s="2606"/>
      <c r="M540" s="2606"/>
      <c r="N540" s="2606"/>
      <c r="O540" s="2606"/>
      <c r="P540" s="2590"/>
      <c r="Q540" s="2655"/>
      <c r="R540" s="2606"/>
      <c r="S540" s="2606"/>
      <c r="T540" s="2606"/>
      <c r="U540" s="2590"/>
      <c r="V540" s="2655"/>
      <c r="W540" s="2606"/>
      <c r="X540" s="2606"/>
      <c r="Y540" s="2606"/>
      <c r="Z540" s="2590"/>
      <c r="AA540" s="2655"/>
      <c r="AB540" s="2606"/>
      <c r="AC540" s="2606"/>
      <c r="AD540" s="2606"/>
      <c r="AE540" s="2590"/>
      <c r="AF540" s="2655"/>
      <c r="AG540" s="2606"/>
      <c r="AH540" s="2606"/>
      <c r="AI540" s="2606"/>
      <c r="AJ540" s="2590"/>
      <c r="AK540" s="2655">
        <f t="shared" ref="AK540:BN540" si="1368">(AK527-AK539)*10000</f>
        <v>-1341.0246253383518</v>
      </c>
      <c r="AL540" s="2606">
        <f t="shared" si="1368"/>
        <v>-332.57149825307584</v>
      </c>
      <c r="AM540" s="2606">
        <f t="shared" si="1368"/>
        <v>563.27148076025674</v>
      </c>
      <c r="AN540" s="2606">
        <f t="shared" si="1368"/>
        <v>1102.9967468404589</v>
      </c>
      <c r="AO540" s="2590">
        <f t="shared" si="1368"/>
        <v>138.55800583958856</v>
      </c>
      <c r="AP540" s="2655">
        <f t="shared" si="1368"/>
        <v>1228.3253972831587</v>
      </c>
      <c r="AQ540" s="2606">
        <f t="shared" si="1368"/>
        <v>1169.121661118977</v>
      </c>
      <c r="AR540" s="2606">
        <f t="shared" si="1368"/>
        <v>1022.9374706222516</v>
      </c>
      <c r="AS540" s="2606">
        <f t="shared" si="1368"/>
        <v>1302.1658184992014</v>
      </c>
      <c r="AT540" s="2590">
        <f t="shared" si="1368"/>
        <v>1184.7572023729235</v>
      </c>
      <c r="AU540" s="2655">
        <f t="shared" si="1368"/>
        <v>1184.3415969497917</v>
      </c>
      <c r="AV540" s="2606">
        <f t="shared" si="1368"/>
        <v>1351.3784656865369</v>
      </c>
      <c r="AW540" s="2606">
        <f t="shared" si="1368"/>
        <v>829.40763509223632</v>
      </c>
      <c r="AX540" s="2606">
        <f t="shared" si="1368"/>
        <v>-1146.1609425407105</v>
      </c>
      <c r="AY540" s="2590">
        <f t="shared" si="1368"/>
        <v>447.31707903973518</v>
      </c>
      <c r="AZ540" s="2655">
        <f t="shared" si="1368"/>
        <v>-1618.5204007139587</v>
      </c>
      <c r="BA540" s="2606">
        <f t="shared" si="1368"/>
        <v>-1774.8808294300234</v>
      </c>
      <c r="BB540" s="2606">
        <f t="shared" si="1368"/>
        <v>-1043.4309696635635</v>
      </c>
      <c r="BC540" s="2606">
        <f t="shared" si="1368"/>
        <v>684.62981611751457</v>
      </c>
      <c r="BD540" s="2590">
        <f t="shared" si="1368"/>
        <v>-920.25114343668781</v>
      </c>
      <c r="BE540" s="2655">
        <f t="shared" si="1368"/>
        <v>839.71505206580139</v>
      </c>
      <c r="BF540" s="2606">
        <f t="shared" si="1368"/>
        <v>82.367573533652646</v>
      </c>
      <c r="BG540" s="2606">
        <f t="shared" si="1368"/>
        <v>-537.76511183605044</v>
      </c>
      <c r="BH540" s="2606">
        <f t="shared" si="1368"/>
        <v>-375.14153066838804</v>
      </c>
      <c r="BI540" s="2590">
        <f t="shared" si="1368"/>
        <v>-28.096638951606856</v>
      </c>
      <c r="BJ540" s="2655">
        <f t="shared" si="1368"/>
        <v>64.263760827047989</v>
      </c>
      <c r="BK540" s="2606">
        <f t="shared" si="1368"/>
        <v>1180.6342015855043</v>
      </c>
      <c r="BL540" s="2606">
        <f t="shared" si="1368"/>
        <v>1281.5070310427168</v>
      </c>
      <c r="BM540" s="2606">
        <f t="shared" si="1368"/>
        <v>88.939566704675514</v>
      </c>
      <c r="BN540" s="2590">
        <f t="shared" si="1368"/>
        <v>630.1998034719935</v>
      </c>
      <c r="BO540" s="2606"/>
      <c r="BP540" s="2606"/>
      <c r="BQ540" s="2606"/>
      <c r="BR540" s="2606"/>
      <c r="BS540" s="2600"/>
      <c r="BT540" s="2606">
        <f>(BT527-BT539)*10000</f>
        <v>-146.60831509846872</v>
      </c>
      <c r="BU540" s="2606">
        <f>(BU527-BU539)*10000</f>
        <v>-718.53828782590722</v>
      </c>
      <c r="BV540" s="2606">
        <f>(BV527-BV539)*10000</f>
        <v>-1050.9433962264136</v>
      </c>
      <c r="BW540" s="2606">
        <f>(BW527-BW539)*10000</f>
        <v>-344.39685938615349</v>
      </c>
      <c r="BX540" s="2590">
        <f>(BX527-BX539)*10000</f>
        <v>-573.60530842958997</v>
      </c>
      <c r="BY540" s="2606"/>
      <c r="BZ540" s="2606"/>
      <c r="CA540" s="2606"/>
      <c r="CB540" s="2606"/>
      <c r="CC540" s="2600"/>
      <c r="CD540" s="2606">
        <f t="shared" ref="CD540:DB540" si="1369">(CD527-CD539)*10000</f>
        <v>-190.60821348119816</v>
      </c>
      <c r="CE540" s="2606">
        <f t="shared" si="1369"/>
        <v>-364.15505957375416</v>
      </c>
      <c r="CF540" s="2606">
        <f t="shared" si="1369"/>
        <v>-220.94926350245458</v>
      </c>
      <c r="CG540" s="2606">
        <f t="shared" si="1369"/>
        <v>-203.96354694054654</v>
      </c>
      <c r="CH540" s="2590">
        <f t="shared" si="1369"/>
        <v>-243.60683553508622</v>
      </c>
      <c r="CI540" s="2606">
        <f t="shared" si="1369"/>
        <v>-229.09346451159607</v>
      </c>
      <c r="CJ540" s="2606">
        <f t="shared" si="1369"/>
        <v>166.41242546110215</v>
      </c>
      <c r="CK540" s="2606">
        <f t="shared" si="1369"/>
        <v>138.12874641647267</v>
      </c>
      <c r="CL540" s="2606">
        <f t="shared" si="1369"/>
        <v>-702.23438212494443</v>
      </c>
      <c r="CM540" s="2590">
        <f t="shared" si="1369"/>
        <v>-179.70882620564231</v>
      </c>
      <c r="CN540" s="2606">
        <f t="shared" si="1369"/>
        <v>-1297.360703812318</v>
      </c>
      <c r="CO540" s="2606">
        <f t="shared" si="1369"/>
        <v>-1749.4720462376345</v>
      </c>
      <c r="CP540" s="2606">
        <f t="shared" si="1369"/>
        <v>-1714.3167735623454</v>
      </c>
      <c r="CQ540" s="2606">
        <f t="shared" si="1369"/>
        <v>-1360.4817309655036</v>
      </c>
      <c r="CR540" s="2590">
        <f t="shared" si="1369"/>
        <v>-1530.7100413483399</v>
      </c>
      <c r="CS540" s="2606">
        <f t="shared" si="1369"/>
        <v>-798.99339414910344</v>
      </c>
      <c r="CT540" s="2606">
        <f t="shared" si="1369"/>
        <v>-116.74759789234379</v>
      </c>
      <c r="CU540" s="2606">
        <f t="shared" si="1369"/>
        <v>-197.44132164803085</v>
      </c>
      <c r="CV540" s="2606">
        <f t="shared" si="1369"/>
        <v>-183.03733236679997</v>
      </c>
      <c r="CW540" s="2590">
        <f t="shared" si="1369"/>
        <v>-316.83217601234492</v>
      </c>
      <c r="CX540" s="2606">
        <f t="shared" si="1369"/>
        <v>-279.51452739978009</v>
      </c>
      <c r="CY540" s="2606">
        <f t="shared" si="1369"/>
        <v>-317.48800697775749</v>
      </c>
      <c r="CZ540" s="2606">
        <f t="shared" si="1369"/>
        <v>216.06507371631832</v>
      </c>
      <c r="DA540" s="2606">
        <f t="shared" si="1369"/>
        <v>404.55498951153857</v>
      </c>
      <c r="DB540" s="2590">
        <f t="shared" si="1369"/>
        <v>26.741908993281882</v>
      </c>
      <c r="DC540" s="2606">
        <f>(DC527-DC539)*10000</f>
        <v>1194.0528464679146</v>
      </c>
      <c r="DD540" s="2606">
        <f>(DD527-DD539)*10000</f>
        <v>636.32378725891226</v>
      </c>
      <c r="DE540" s="2606">
        <f>(DE527-DE539)*10000</f>
        <v>-313.30009432691151</v>
      </c>
      <c r="DF540" s="2606">
        <f>(DF527-DF539)*10000</f>
        <v>-428.52915063628313</v>
      </c>
      <c r="DG540" s="2590">
        <f>(DG527-DG539)*10000</f>
        <v>210.93723247611607</v>
      </c>
      <c r="DH540" s="2606"/>
      <c r="DI540" s="2606"/>
      <c r="DJ540" s="2606"/>
      <c r="DK540" s="2606"/>
      <c r="DL540" s="2590"/>
      <c r="DM540" s="2606"/>
      <c r="DN540" s="2606"/>
      <c r="DO540" s="2606"/>
      <c r="DP540" s="2606"/>
      <c r="DQ540" s="2590"/>
      <c r="DR540" s="2606"/>
      <c r="DS540" s="2606"/>
      <c r="DT540" s="2606"/>
      <c r="DU540" s="2606"/>
      <c r="DV540" s="2590"/>
      <c r="DW540" s="2606"/>
      <c r="DX540" s="2606"/>
      <c r="DY540" s="2606"/>
      <c r="DZ540" s="2606"/>
      <c r="EA540" s="2590"/>
      <c r="EB540" s="2606"/>
      <c r="EC540" s="2606"/>
      <c r="ED540" s="2606"/>
      <c r="EE540" s="2606"/>
      <c r="EF540" s="2590"/>
      <c r="EG540" s="2606"/>
      <c r="EH540" s="2606"/>
      <c r="EI540" s="2606"/>
      <c r="EJ540" s="2606"/>
      <c r="EK540" s="2590"/>
      <c r="EL540" s="2606"/>
      <c r="EM540" s="2606"/>
      <c r="EN540" s="2606"/>
      <c r="EO540" s="2606"/>
      <c r="EP540" s="2590"/>
      <c r="EQ540" s="2606"/>
      <c r="ER540" s="2606"/>
      <c r="ES540" s="2606"/>
      <c r="ET540" s="2606"/>
      <c r="EU540" s="2590"/>
      <c r="EV540" s="2590"/>
      <c r="EW540" s="2590"/>
      <c r="EX540" s="2590"/>
      <c r="EY540" s="2590"/>
      <c r="EZ540" s="51"/>
      <c r="FA540" s="725"/>
      <c r="FB540" s="725"/>
    </row>
    <row r="541" spans="1:158" s="214" customFormat="1" ht="11.25" hidden="1" customHeight="1">
      <c r="A541" s="1559"/>
      <c r="B541" s="2668"/>
      <c r="C541" s="2615"/>
      <c r="D541" s="2615"/>
      <c r="E541" s="2615"/>
      <c r="F541" s="2654"/>
      <c r="G541" s="2668"/>
      <c r="H541" s="2615"/>
      <c r="I541" s="2615"/>
      <c r="J541" s="2615"/>
      <c r="K541" s="2590"/>
      <c r="L541" s="2606"/>
      <c r="M541" s="2606"/>
      <c r="N541" s="2606"/>
      <c r="O541" s="2606"/>
      <c r="P541" s="2590"/>
      <c r="Q541" s="2655"/>
      <c r="R541" s="2606"/>
      <c r="S541" s="2606"/>
      <c r="T541" s="2606"/>
      <c r="U541" s="2590"/>
      <c r="V541" s="2655"/>
      <c r="W541" s="2606"/>
      <c r="X541" s="2606"/>
      <c r="Y541" s="2606"/>
      <c r="Z541" s="2590"/>
      <c r="AA541" s="2655"/>
      <c r="AB541" s="2606"/>
      <c r="AC541" s="2606"/>
      <c r="AD541" s="2606"/>
      <c r="AE541" s="2590"/>
      <c r="AF541" s="2606"/>
      <c r="AG541" s="2606"/>
      <c r="AH541" s="2606"/>
      <c r="AI541" s="2606"/>
      <c r="AJ541" s="2590"/>
      <c r="AK541" s="2655"/>
      <c r="AL541" s="2606"/>
      <c r="AM541" s="2606"/>
      <c r="AN541" s="2606"/>
      <c r="AO541" s="2590"/>
      <c r="AP541" s="2655"/>
      <c r="AQ541" s="2606"/>
      <c r="AR541" s="2606"/>
      <c r="AS541" s="2606"/>
      <c r="AT541" s="2590"/>
      <c r="AU541" s="2655"/>
      <c r="AV541" s="2606"/>
      <c r="AW541" s="2606"/>
      <c r="AX541" s="2606"/>
      <c r="AY541" s="2590"/>
      <c r="AZ541" s="2655"/>
      <c r="BA541" s="2606"/>
      <c r="BB541" s="2606"/>
      <c r="BC541" s="2606"/>
      <c r="BD541" s="2590"/>
      <c r="BE541" s="2655"/>
      <c r="BF541" s="2606"/>
      <c r="BG541" s="2606"/>
      <c r="BH541" s="2606"/>
      <c r="BI541" s="2590"/>
      <c r="BJ541" s="2655"/>
      <c r="BK541" s="2606"/>
      <c r="BL541" s="2606"/>
      <c r="BM541" s="2606"/>
      <c r="BN541" s="2590"/>
      <c r="BO541" s="2606"/>
      <c r="BP541" s="2606"/>
      <c r="BQ541" s="2606"/>
      <c r="BR541" s="2606"/>
      <c r="BS541" s="2600"/>
      <c r="BT541" s="2606"/>
      <c r="BU541" s="2606"/>
      <c r="BV541" s="2606"/>
      <c r="BW541" s="2606"/>
      <c r="BX541" s="2590"/>
      <c r="BY541" s="2606"/>
      <c r="BZ541" s="2606"/>
      <c r="CA541" s="2606"/>
      <c r="CB541" s="2606"/>
      <c r="CC541" s="2600"/>
      <c r="CD541" s="2606"/>
      <c r="CE541" s="2606"/>
      <c r="CF541" s="2606"/>
      <c r="CG541" s="2606"/>
      <c r="CH541" s="2590"/>
      <c r="CI541" s="2606"/>
      <c r="CJ541" s="2606"/>
      <c r="CK541" s="2606"/>
      <c r="CL541" s="2606"/>
      <c r="CM541" s="2590"/>
      <c r="CN541" s="2606"/>
      <c r="CO541" s="2606"/>
      <c r="CP541" s="2606"/>
      <c r="CQ541" s="2606"/>
      <c r="CR541" s="2590"/>
      <c r="CS541" s="2606"/>
      <c r="CT541" s="2606"/>
      <c r="CU541" s="2606"/>
      <c r="CV541" s="2606"/>
      <c r="CW541" s="2590"/>
      <c r="CX541" s="2606"/>
      <c r="CY541" s="2606"/>
      <c r="CZ541" s="2606"/>
      <c r="DA541" s="2606"/>
      <c r="DB541" s="2590"/>
      <c r="DC541" s="2606"/>
      <c r="DD541" s="2606"/>
      <c r="DE541" s="2606"/>
      <c r="DF541" s="2606"/>
      <c r="DG541" s="2590"/>
      <c r="DH541" s="2606"/>
      <c r="DI541" s="2606"/>
      <c r="DJ541" s="2606"/>
      <c r="DK541" s="2606"/>
      <c r="DL541" s="2590"/>
      <c r="DM541" s="2606"/>
      <c r="DN541" s="2606"/>
      <c r="DO541" s="2606"/>
      <c r="DP541" s="2606"/>
      <c r="DQ541" s="2590"/>
      <c r="DR541" s="2606"/>
      <c r="DS541" s="2606"/>
      <c r="DT541" s="2606"/>
      <c r="DU541" s="2606"/>
      <c r="DV541" s="2590"/>
      <c r="DW541" s="2606"/>
      <c r="DX541" s="2606"/>
      <c r="DY541" s="2606"/>
      <c r="DZ541" s="2606"/>
      <c r="EA541" s="2590"/>
      <c r="EB541" s="2606"/>
      <c r="EC541" s="2606"/>
      <c r="ED541" s="2606"/>
      <c r="EE541" s="2606"/>
      <c r="EF541" s="2590"/>
      <c r="EG541" s="2606"/>
      <c r="EH541" s="2606"/>
      <c r="EI541" s="2606"/>
      <c r="EJ541" s="2606"/>
      <c r="EK541" s="2590"/>
      <c r="EL541" s="2606"/>
      <c r="EM541" s="2606"/>
      <c r="EN541" s="2606"/>
      <c r="EO541" s="2606"/>
      <c r="EP541" s="2590"/>
      <c r="EQ541" s="2606"/>
      <c r="ER541" s="2606"/>
      <c r="ES541" s="2606"/>
      <c r="ET541" s="2606"/>
      <c r="EU541" s="2590"/>
      <c r="EV541" s="2590"/>
      <c r="EW541" s="2590"/>
      <c r="EX541" s="2590"/>
      <c r="EY541" s="2590"/>
      <c r="EZ541" s="51"/>
      <c r="FA541" s="725"/>
      <c r="FB541" s="725"/>
    </row>
    <row r="542" spans="1:158" s="252" customFormat="1" ht="11.25" hidden="1" customHeight="1">
      <c r="A542" s="3358" t="s">
        <v>723</v>
      </c>
      <c r="B542" s="3088"/>
      <c r="C542" s="3089"/>
      <c r="D542" s="3089"/>
      <c r="E542" s="3089"/>
      <c r="F542" s="3090"/>
      <c r="G542" s="3088"/>
      <c r="H542" s="3089"/>
      <c r="I542" s="3089"/>
      <c r="J542" s="3089"/>
      <c r="K542" s="3091"/>
      <c r="L542" s="3092"/>
      <c r="M542" s="3092"/>
      <c r="N542" s="3092"/>
      <c r="O542" s="3092"/>
      <c r="P542" s="3091"/>
      <c r="Q542" s="3093"/>
      <c r="R542" s="3092"/>
      <c r="S542" s="3092"/>
      <c r="T542" s="3092"/>
      <c r="U542" s="3091"/>
      <c r="V542" s="3093"/>
      <c r="W542" s="3092"/>
      <c r="X542" s="3092"/>
      <c r="Y542" s="3092"/>
      <c r="Z542" s="3091"/>
      <c r="AA542" s="3093"/>
      <c r="AB542" s="3092"/>
      <c r="AC542" s="3092"/>
      <c r="AD542" s="3092"/>
      <c r="AE542" s="3091"/>
      <c r="AF542" s="3092"/>
      <c r="AG542" s="3092"/>
      <c r="AH542" s="3092"/>
      <c r="AI542" s="3092"/>
      <c r="AJ542" s="3091"/>
      <c r="AK542" s="3093" t="s">
        <v>116</v>
      </c>
      <c r="AL542" s="3092" t="s">
        <v>116</v>
      </c>
      <c r="AM542" s="3092" t="s">
        <v>116</v>
      </c>
      <c r="AN542" s="3092" t="s">
        <v>116</v>
      </c>
      <c r="AO542" s="3091"/>
      <c r="AP542" s="3093" t="s">
        <v>116</v>
      </c>
      <c r="AQ542" s="3092" t="s">
        <v>116</v>
      </c>
      <c r="AR542" s="3092" t="s">
        <v>116</v>
      </c>
      <c r="AS542" s="3092" t="s">
        <v>116</v>
      </c>
      <c r="AT542" s="3091"/>
      <c r="AU542" s="3093">
        <f>AU526-AU530-AU214</f>
        <v>2448.569</v>
      </c>
      <c r="AV542" s="3092">
        <f>AV526-AV530</f>
        <v>2550.9880000000003</v>
      </c>
      <c r="AW542" s="3092">
        <f>AW526-AW530</f>
        <v>2678.3789999999999</v>
      </c>
      <c r="AX542" s="3092">
        <f>AX526-AX530-AX214</f>
        <v>2999.9609999999984</v>
      </c>
      <c r="AY542" s="3091">
        <f t="shared" ref="AY542:DB542" si="1370">AY533-AY530</f>
        <v>10806.796999999997</v>
      </c>
      <c r="AZ542" s="3093">
        <f t="shared" si="1370"/>
        <v>3310.93</v>
      </c>
      <c r="BA542" s="3092">
        <f t="shared" si="1370"/>
        <v>3410.768</v>
      </c>
      <c r="BB542" s="3092">
        <f t="shared" si="1370"/>
        <v>3439.636</v>
      </c>
      <c r="BC542" s="3092">
        <f t="shared" si="1370"/>
        <v>3322.6720000000005</v>
      </c>
      <c r="BD542" s="3091">
        <f t="shared" si="1370"/>
        <v>13484.006000000001</v>
      </c>
      <c r="BE542" s="3093">
        <f t="shared" si="1370"/>
        <v>3337</v>
      </c>
      <c r="BF542" s="3092">
        <f t="shared" si="1370"/>
        <v>3508</v>
      </c>
      <c r="BG542" s="3092">
        <f t="shared" si="1370"/>
        <v>3938</v>
      </c>
      <c r="BH542" s="3092">
        <f t="shared" si="1370"/>
        <v>4517</v>
      </c>
      <c r="BI542" s="3091">
        <f t="shared" si="1370"/>
        <v>15300</v>
      </c>
      <c r="BJ542" s="3093">
        <f t="shared" si="1370"/>
        <v>4547</v>
      </c>
      <c r="BK542" s="3092">
        <f t="shared" si="1370"/>
        <v>4454</v>
      </c>
      <c r="BL542" s="3092">
        <f t="shared" si="1370"/>
        <v>4817</v>
      </c>
      <c r="BM542" s="3092">
        <f t="shared" si="1370"/>
        <v>5565</v>
      </c>
      <c r="BN542" s="3091">
        <f t="shared" si="1370"/>
        <v>19383</v>
      </c>
      <c r="BO542" s="3092"/>
      <c r="BP542" s="3092"/>
      <c r="BQ542" s="3092"/>
      <c r="BR542" s="3092"/>
      <c r="BS542" s="3094"/>
      <c r="BT542" s="3092">
        <f t="shared" si="1370"/>
        <v>5838</v>
      </c>
      <c r="BU542" s="3092">
        <f t="shared" si="1370"/>
        <v>6309</v>
      </c>
      <c r="BV542" s="3092">
        <f t="shared" si="1370"/>
        <v>6667</v>
      </c>
      <c r="BW542" s="3092">
        <f t="shared" si="1370"/>
        <v>7106</v>
      </c>
      <c r="BX542" s="3091">
        <f t="shared" si="1370"/>
        <v>25920</v>
      </c>
      <c r="BY542" s="3092"/>
      <c r="BZ542" s="3092"/>
      <c r="CA542" s="3092"/>
      <c r="CB542" s="3092"/>
      <c r="CC542" s="3094"/>
      <c r="CD542" s="3092">
        <f t="shared" si="1370"/>
        <v>7190</v>
      </c>
      <c r="CE542" s="3092">
        <f t="shared" si="1370"/>
        <v>7393</v>
      </c>
      <c r="CF542" s="3092">
        <f t="shared" si="1370"/>
        <v>7787</v>
      </c>
      <c r="CG542" s="3092">
        <f t="shared" si="1370"/>
        <v>8910</v>
      </c>
      <c r="CH542" s="3091">
        <f t="shared" si="1370"/>
        <v>31280</v>
      </c>
      <c r="CI542" s="3092">
        <f t="shared" si="1370"/>
        <v>8680</v>
      </c>
      <c r="CJ542" s="3092">
        <f t="shared" si="1370"/>
        <v>8871</v>
      </c>
      <c r="CK542" s="3092">
        <f t="shared" si="1370"/>
        <v>9083</v>
      </c>
      <c r="CL542" s="3092">
        <f t="shared" si="1370"/>
        <v>10266</v>
      </c>
      <c r="CM542" s="3091">
        <f t="shared" si="1370"/>
        <v>36900</v>
      </c>
      <c r="CN542" s="3092">
        <f t="shared" si="1370"/>
        <v>10332</v>
      </c>
      <c r="CO542" s="3092">
        <f t="shared" si="1370"/>
        <v>10782</v>
      </c>
      <c r="CP542" s="3092">
        <f t="shared" si="1370"/>
        <v>11218</v>
      </c>
      <c r="CQ542" s="3092">
        <f t="shared" si="1370"/>
        <v>12037</v>
      </c>
      <c r="CR542" s="3091">
        <f t="shared" si="1370"/>
        <v>44369</v>
      </c>
      <c r="CS542" s="3092">
        <f t="shared" si="1370"/>
        <v>11469</v>
      </c>
      <c r="CT542" s="3092">
        <f t="shared" si="1370"/>
        <v>11500</v>
      </c>
      <c r="CU542" s="3092">
        <f t="shared" si="1370"/>
        <v>11893</v>
      </c>
      <c r="CV542" s="3092">
        <f t="shared" si="1370"/>
        <v>13363</v>
      </c>
      <c r="CW542" s="3091">
        <f t="shared" si="1370"/>
        <v>48225</v>
      </c>
      <c r="CX542" s="3092">
        <f t="shared" si="1370"/>
        <v>13068</v>
      </c>
      <c r="CY542" s="3092">
        <f t="shared" si="1370"/>
        <v>14049</v>
      </c>
      <c r="CZ542" s="3092">
        <f>CZ533-CZ530</f>
        <v>14778</v>
      </c>
      <c r="DA542" s="3092">
        <f t="shared" si="1370"/>
        <v>16553</v>
      </c>
      <c r="DB542" s="3091">
        <f t="shared" si="1370"/>
        <v>58448</v>
      </c>
      <c r="DC542" s="3092">
        <f>DC533-DC530</f>
        <v>15930</v>
      </c>
      <c r="DD542" s="3092">
        <f>DD533-DD530</f>
        <v>17059</v>
      </c>
      <c r="DE542" s="3092">
        <f>DE533-DE530</f>
        <v>18522</v>
      </c>
      <c r="DF542" s="3092">
        <f>DF526-DF530</f>
        <v>21207</v>
      </c>
      <c r="DG542" s="3091">
        <f>DG533-DG530</f>
        <v>72718</v>
      </c>
      <c r="DH542" s="3092">
        <f t="shared" ref="DH542:DM542" si="1371">DH526-DH530</f>
        <v>20823</v>
      </c>
      <c r="DI542" s="3092">
        <f t="shared" si="1371"/>
        <v>22190</v>
      </c>
      <c r="DJ542" s="3092">
        <f t="shared" si="1371"/>
        <v>22208</v>
      </c>
      <c r="DK542" s="3092">
        <f t="shared" si="1371"/>
        <v>24664</v>
      </c>
      <c r="DL542" s="3091">
        <f t="shared" si="1371"/>
        <v>89885</v>
      </c>
      <c r="DM542" s="3092">
        <f t="shared" si="1371"/>
        <v>22632</v>
      </c>
      <c r="DN542" s="3092">
        <f>DN526-DN530</f>
        <v>20853</v>
      </c>
      <c r="DO542" s="3092">
        <f>DO526-DO530</f>
        <v>24808</v>
      </c>
      <c r="DP542" s="3092">
        <f>DP526-DP530</f>
        <v>29908</v>
      </c>
      <c r="DQ542" s="3091"/>
      <c r="DR542" s="3092"/>
      <c r="DS542" s="3092"/>
      <c r="DT542" s="3092"/>
      <c r="DU542" s="3092"/>
      <c r="DV542" s="3091"/>
      <c r="DW542" s="3092"/>
      <c r="DX542" s="3092"/>
      <c r="DY542" s="3092"/>
      <c r="DZ542" s="3092"/>
      <c r="EA542" s="3094"/>
      <c r="EB542" s="3092"/>
      <c r="EC542" s="3092"/>
      <c r="ED542" s="3092"/>
      <c r="EE542" s="3092"/>
      <c r="EF542" s="3094"/>
      <c r="EG542" s="3092"/>
      <c r="EH542" s="3092"/>
      <c r="EI542" s="3092"/>
      <c r="EJ542" s="3092"/>
      <c r="EK542" s="3094"/>
      <c r="EL542" s="3092"/>
      <c r="EM542" s="3092"/>
      <c r="EN542" s="3092"/>
      <c r="EO542" s="3092"/>
      <c r="EP542" s="3094"/>
      <c r="EQ542" s="3092"/>
      <c r="ER542" s="3092"/>
      <c r="ES542" s="3092"/>
      <c r="ET542" s="3092"/>
      <c r="EU542" s="3094"/>
      <c r="EV542" s="3094"/>
      <c r="EW542" s="3094"/>
      <c r="EX542" s="3094"/>
      <c r="EY542" s="3094"/>
      <c r="EZ542" s="251"/>
      <c r="FA542" s="1319">
        <f>(EP542/DO542)^(1/3)-1</f>
        <v>-1</v>
      </c>
      <c r="FB542" s="1319">
        <f>(EV542/DO542)^(1/5)-1</f>
        <v>-1</v>
      </c>
    </row>
    <row r="543" spans="1:158" s="256" customFormat="1" ht="11.25" hidden="1" customHeight="1">
      <c r="A543" s="2685" t="s">
        <v>15</v>
      </c>
      <c r="B543" s="2686"/>
      <c r="C543" s="2641"/>
      <c r="D543" s="2641"/>
      <c r="E543" s="2641"/>
      <c r="F543" s="2687"/>
      <c r="G543" s="2686"/>
      <c r="H543" s="2641"/>
      <c r="I543" s="2641"/>
      <c r="J543" s="2641"/>
      <c r="K543" s="2595"/>
      <c r="L543" s="2641"/>
      <c r="M543" s="2641"/>
      <c r="N543" s="2641"/>
      <c r="O543" s="2641"/>
      <c r="P543" s="2595"/>
      <c r="Q543" s="2686"/>
      <c r="R543" s="2641"/>
      <c r="S543" s="2641"/>
      <c r="T543" s="2641"/>
      <c r="U543" s="2595"/>
      <c r="V543" s="2686"/>
      <c r="W543" s="2641"/>
      <c r="X543" s="2641"/>
      <c r="Y543" s="2641"/>
      <c r="Z543" s="2595"/>
      <c r="AA543" s="2686"/>
      <c r="AB543" s="2641"/>
      <c r="AC543" s="2641"/>
      <c r="AD543" s="2641"/>
      <c r="AE543" s="2595"/>
      <c r="AF543" s="2686"/>
      <c r="AG543" s="2641"/>
      <c r="AH543" s="2641"/>
      <c r="AI543" s="2641"/>
      <c r="AJ543" s="2595"/>
      <c r="AK543" s="2584" t="s">
        <v>116</v>
      </c>
      <c r="AL543" s="640" t="s">
        <v>116</v>
      </c>
      <c r="AM543" s="640" t="s">
        <v>116</v>
      </c>
      <c r="AN543" s="640" t="s">
        <v>116</v>
      </c>
      <c r="AO543" s="2595"/>
      <c r="AP543" s="2584" t="s">
        <v>116</v>
      </c>
      <c r="AQ543" s="640" t="s">
        <v>116</v>
      </c>
      <c r="AR543" s="640" t="s">
        <v>116</v>
      </c>
      <c r="AS543" s="640" t="s">
        <v>116</v>
      </c>
      <c r="AT543" s="2595"/>
      <c r="AU543" s="2688">
        <f t="shared" ref="AU543:AZ543" si="1372">AU542/AP526-1</f>
        <v>0.43561491074344416</v>
      </c>
      <c r="AV543" s="2642">
        <f t="shared" si="1372"/>
        <v>0.38336687376595879</v>
      </c>
      <c r="AW543" s="2642">
        <f t="shared" si="1372"/>
        <v>0.32230237635161352</v>
      </c>
      <c r="AX543" s="2642">
        <f t="shared" si="1372"/>
        <v>0.29264591253585426</v>
      </c>
      <c r="AY543" s="2602">
        <f t="shared" si="1372"/>
        <v>0.36864803732032714</v>
      </c>
      <c r="AZ543" s="2688">
        <f t="shared" si="1372"/>
        <v>0.24913933574262725</v>
      </c>
      <c r="BA543" s="2642">
        <f t="shared" ref="BA543:BN543" si="1373">BA542/(AV526-AV214)-1</f>
        <v>0.22014117539318345</v>
      </c>
      <c r="BB543" s="2642">
        <f t="shared" si="1373"/>
        <v>0.22312128779853624</v>
      </c>
      <c r="BC543" s="2642">
        <f t="shared" si="1373"/>
        <v>0.21533262544710863</v>
      </c>
      <c r="BD543" s="2602">
        <f t="shared" si="1373"/>
        <v>0.22670005550351346</v>
      </c>
      <c r="BE543" s="2688">
        <f t="shared" si="1373"/>
        <v>0.22327185814885286</v>
      </c>
      <c r="BF543" s="2642">
        <f t="shared" si="1373"/>
        <v>0.2574522325870825</v>
      </c>
      <c r="BG543" s="2642">
        <f t="shared" si="1373"/>
        <v>0.26883436073044642</v>
      </c>
      <c r="BH543" s="2642">
        <f t="shared" si="1373"/>
        <v>0.28664825423736517</v>
      </c>
      <c r="BI543" s="2602">
        <f t="shared" si="1373"/>
        <v>0.26112697273641294</v>
      </c>
      <c r="BJ543" s="2688">
        <f t="shared" si="1373"/>
        <v>0.27402633790977871</v>
      </c>
      <c r="BK543" s="2642">
        <f t="shared" si="1373"/>
        <v>0.28989284679988425</v>
      </c>
      <c r="BL543" s="2642">
        <f t="shared" si="1373"/>
        <v>0.3089673913043478</v>
      </c>
      <c r="BM543" s="2642">
        <f t="shared" si="1373"/>
        <v>0.27637614678899092</v>
      </c>
      <c r="BN543" s="2602">
        <f t="shared" si="1373"/>
        <v>0.28688089231177805</v>
      </c>
      <c r="BO543" s="2642"/>
      <c r="BP543" s="2642"/>
      <c r="BQ543" s="2642"/>
      <c r="BR543" s="2642"/>
      <c r="BS543" s="2602"/>
      <c r="BT543" s="2642">
        <f>BT542/(BJ526-BJ214)-1</f>
        <v>0.28138718173836708</v>
      </c>
      <c r="BU543" s="2642">
        <f>BU542/(BK526-BK214)-1</f>
        <v>0.29628107663858638</v>
      </c>
      <c r="BV543" s="2642">
        <f>BV542/(BL526-BL214)-1</f>
        <v>0.25816191734289484</v>
      </c>
      <c r="BW543" s="2642">
        <f>BW542/(BM526-BM214)-1</f>
        <v>0.27370496504749964</v>
      </c>
      <c r="BX543" s="2602">
        <f>BX542/(BN526-BN214)-1</f>
        <v>0.27678439485739625</v>
      </c>
      <c r="BY543" s="2642"/>
      <c r="BZ543" s="2642"/>
      <c r="CA543" s="2642"/>
      <c r="CB543" s="2642"/>
      <c r="CC543" s="2602"/>
      <c r="CD543" s="2642">
        <f>CD542/(BT526-BT214)-1</f>
        <v>0.25392396232996162</v>
      </c>
      <c r="CE543" s="2642">
        <f>CE542/(BU526-BU214)-1</f>
        <v>0.25774072813882265</v>
      </c>
      <c r="CF543" s="2642">
        <f>CF542/(BV526-BV214)-1</f>
        <v>0.28753306878306883</v>
      </c>
      <c r="CG543" s="2642">
        <f>CG542/(BW526-BW214)-1</f>
        <v>0.29581151832460728</v>
      </c>
      <c r="CH543" s="2602">
        <f>CH542/(BX526-BX214)-1</f>
        <v>0.27486142810564074</v>
      </c>
      <c r="CI543" s="2642">
        <f t="shared" ref="CI543:CY543" si="1374">CI542/CD533-1</f>
        <v>0.22598870056497167</v>
      </c>
      <c r="CJ543" s="2642">
        <f t="shared" si="1374"/>
        <v>0.2362040133779264</v>
      </c>
      <c r="CK543" s="2642">
        <f t="shared" si="1374"/>
        <v>0.18700993204391003</v>
      </c>
      <c r="CL543" s="2642">
        <f t="shared" si="1374"/>
        <v>0.1707150188162847</v>
      </c>
      <c r="CM543" s="2602">
        <f t="shared" si="1374"/>
        <v>0.20285555953972034</v>
      </c>
      <c r="CN543" s="2642">
        <f t="shared" si="1374"/>
        <v>0.21310320535399785</v>
      </c>
      <c r="CO543" s="2642">
        <f t="shared" si="1374"/>
        <v>0.19919919919919926</v>
      </c>
      <c r="CP543" s="2642">
        <f t="shared" si="1374"/>
        <v>0.22080748721297194</v>
      </c>
      <c r="CQ543" s="2642">
        <f t="shared" si="1374"/>
        <v>0.24735751295336783</v>
      </c>
      <c r="CR543" s="2602">
        <f t="shared" si="1374"/>
        <v>0.2207059729826395</v>
      </c>
      <c r="CS543" s="2642">
        <f t="shared" si="1374"/>
        <v>0.24311727725991772</v>
      </c>
      <c r="CT543" s="2642">
        <f t="shared" si="1374"/>
        <v>0.24891398783666374</v>
      </c>
      <c r="CU543" s="2642">
        <f t="shared" si="1374"/>
        <v>0.233585727621616</v>
      </c>
      <c r="CV543" s="2642">
        <f t="shared" si="1374"/>
        <v>0.24841180866965629</v>
      </c>
      <c r="CW543" s="2602">
        <f t="shared" si="1374"/>
        <v>0.24358544573093677</v>
      </c>
      <c r="CX543" s="2642">
        <f t="shared" si="1374"/>
        <v>0.22050994676379942</v>
      </c>
      <c r="CY543" s="2642">
        <f t="shared" si="1374"/>
        <v>0.2337753578642312</v>
      </c>
      <c r="CZ543" s="2642">
        <f t="shared" ref="CZ543:DJ543" si="1375">CZ542/CU533-1</f>
        <v>0.26340087201846618</v>
      </c>
      <c r="DA543" s="2642">
        <f t="shared" si="1375"/>
        <v>0.25773117544259549</v>
      </c>
      <c r="DB543" s="2602">
        <f t="shared" si="1375"/>
        <v>0.24484579996592259</v>
      </c>
      <c r="DC543" s="2642">
        <f t="shared" si="1375"/>
        <v>0.24804136634283913</v>
      </c>
      <c r="DD543" s="2642">
        <f t="shared" si="1375"/>
        <v>0.24654731457800505</v>
      </c>
      <c r="DE543" s="2642">
        <f t="shared" si="1375"/>
        <v>0.23208940331271211</v>
      </c>
      <c r="DF543" s="2642">
        <f t="shared" si="1375"/>
        <v>0.24068332065757914</v>
      </c>
      <c r="DG543" s="2602">
        <f t="shared" si="1375"/>
        <v>0.24145113102859583</v>
      </c>
      <c r="DH543" s="2642">
        <f t="shared" si="1375"/>
        <v>0.20776057073255605</v>
      </c>
      <c r="DI543" s="2642">
        <f t="shared" si="1375"/>
        <v>0.24474112301565043</v>
      </c>
      <c r="DJ543" s="2642">
        <f t="shared" si="1375"/>
        <v>0.22445828968407122</v>
      </c>
      <c r="DK543" s="2642">
        <f>DK542/DF526-1</f>
        <v>0.20412049016257394</v>
      </c>
      <c r="DL543" s="2602">
        <f>DL542/DG533-1</f>
        <v>0.21980512430789267</v>
      </c>
      <c r="DM543" s="2642">
        <f>DM542/DH526-1</f>
        <v>0.150584646670056</v>
      </c>
      <c r="DN543" s="2642">
        <f>DN542/DI526-1</f>
        <v>-5.7216421112858962E-3</v>
      </c>
      <c r="DO543" s="2642">
        <f>DO542/DJ526-1</f>
        <v>0.14486132262679408</v>
      </c>
      <c r="DP543" s="2642">
        <f>DP542/DK526-1</f>
        <v>0.23347218212562382</v>
      </c>
      <c r="DQ543" s="2602"/>
      <c r="DR543" s="2642"/>
      <c r="DS543" s="2642"/>
      <c r="DT543" s="2642"/>
      <c r="DU543" s="2642"/>
      <c r="DV543" s="2602"/>
      <c r="DW543" s="2642"/>
      <c r="DX543" s="2642"/>
      <c r="DY543" s="2642"/>
      <c r="DZ543" s="2642"/>
      <c r="EA543" s="2602"/>
      <c r="EB543" s="2642"/>
      <c r="EC543" s="2642"/>
      <c r="ED543" s="2642"/>
      <c r="EE543" s="2642"/>
      <c r="EF543" s="2602"/>
      <c r="EG543" s="2642"/>
      <c r="EH543" s="2642"/>
      <c r="EI543" s="2642"/>
      <c r="EJ543" s="2642"/>
      <c r="EK543" s="2602"/>
      <c r="EL543" s="2642"/>
      <c r="EM543" s="2642"/>
      <c r="EN543" s="2642"/>
      <c r="EO543" s="2642"/>
      <c r="EP543" s="2602"/>
      <c r="EQ543" s="2642"/>
      <c r="ER543" s="2642"/>
      <c r="ES543" s="2642"/>
      <c r="ET543" s="2642"/>
      <c r="EU543" s="2602"/>
      <c r="EV543" s="2602"/>
      <c r="EW543" s="2602"/>
      <c r="EX543" s="2602"/>
      <c r="EY543" s="2602"/>
      <c r="EZ543" s="195"/>
      <c r="FA543" s="725"/>
      <c r="FB543" s="725"/>
    </row>
    <row r="544" spans="1:158" s="136" customFormat="1" ht="11.25" hidden="1" customHeight="1">
      <c r="A544" s="3337" t="s">
        <v>21</v>
      </c>
      <c r="B544" s="3338"/>
      <c r="C544" s="3339"/>
      <c r="D544" s="3339"/>
      <c r="E544" s="3339"/>
      <c r="F544" s="3340"/>
      <c r="G544" s="3338"/>
      <c r="H544" s="3339"/>
      <c r="I544" s="3339"/>
      <c r="J544" s="3339"/>
      <c r="K544" s="3341"/>
      <c r="L544" s="3342"/>
      <c r="M544" s="3342"/>
      <c r="N544" s="3342"/>
      <c r="O544" s="3342"/>
      <c r="P544" s="3341"/>
      <c r="Q544" s="3343"/>
      <c r="R544" s="3342"/>
      <c r="S544" s="3342"/>
      <c r="T544" s="3342"/>
      <c r="U544" s="3341"/>
      <c r="V544" s="3343"/>
      <c r="W544" s="3342"/>
      <c r="X544" s="3342"/>
      <c r="Y544" s="3342"/>
      <c r="Z544" s="3341"/>
      <c r="AA544" s="3343"/>
      <c r="AB544" s="3342"/>
      <c r="AC544" s="3342"/>
      <c r="AD544" s="3342"/>
      <c r="AE544" s="3341"/>
      <c r="AF544" s="3343"/>
      <c r="AG544" s="3342"/>
      <c r="AH544" s="3342"/>
      <c r="AI544" s="3342"/>
      <c r="AJ544" s="3341"/>
      <c r="AK544" s="3344" t="s">
        <v>116</v>
      </c>
      <c r="AL544" s="3345" t="s">
        <v>116</v>
      </c>
      <c r="AM544" s="3345" t="s">
        <v>116</v>
      </c>
      <c r="AN544" s="3345" t="s">
        <v>116</v>
      </c>
      <c r="AO544" s="3341"/>
      <c r="AP544" s="3344" t="s">
        <v>116</v>
      </c>
      <c r="AQ544" s="3345" t="s">
        <v>116</v>
      </c>
      <c r="AR544" s="3345" t="s">
        <v>116</v>
      </c>
      <c r="AS544" s="3345" t="s">
        <v>116</v>
      </c>
      <c r="AT544" s="3341"/>
      <c r="AU544" s="3344" t="s">
        <v>116</v>
      </c>
      <c r="AV544" s="3345">
        <f>(AV527-AV543)*10000</f>
        <v>1351.3784656865369</v>
      </c>
      <c r="AW544" s="3345">
        <f>(AW527-AW543)*10000</f>
        <v>829.40763509223632</v>
      </c>
      <c r="AX544" s="3345">
        <f>(AX527-AX543)*10000</f>
        <v>-590.74686173808732</v>
      </c>
      <c r="AY544" s="3341"/>
      <c r="AZ544" s="3344">
        <f t="shared" ref="AZ544:BN544" si="1376">(AZ527-AZ543)*10000</f>
        <v>-1618.5204007139587</v>
      </c>
      <c r="BA544" s="3345">
        <f t="shared" si="1376"/>
        <v>-1795.7961309808045</v>
      </c>
      <c r="BB544" s="3345">
        <f t="shared" si="1376"/>
        <v>-1190.3922423637537</v>
      </c>
      <c r="BC544" s="3345">
        <f t="shared" si="1376"/>
        <v>137.42764521179174</v>
      </c>
      <c r="BD544" s="3341">
        <f t="shared" si="1376"/>
        <v>-1104.8057981727411</v>
      </c>
      <c r="BE544" s="3344">
        <f t="shared" si="1376"/>
        <v>186.04245712101397</v>
      </c>
      <c r="BF544" s="3345">
        <f t="shared" si="1376"/>
        <v>-452.76108750181174</v>
      </c>
      <c r="BG544" s="3345">
        <f t="shared" si="1376"/>
        <v>-695.22700073596513</v>
      </c>
      <c r="BH544" s="3345">
        <f t="shared" si="1376"/>
        <v>-404.39457282150482</v>
      </c>
      <c r="BI544" s="3341">
        <f t="shared" si="1376"/>
        <v>-357.12133889903794</v>
      </c>
      <c r="BJ544" s="3344">
        <f t="shared" si="1376"/>
        <v>28.666489580615462</v>
      </c>
      <c r="BK544" s="3345">
        <f t="shared" si="1376"/>
        <v>892.12475963422742</v>
      </c>
      <c r="BL544" s="3345">
        <f t="shared" si="1376"/>
        <v>972.41152075859145</v>
      </c>
      <c r="BM544" s="3345">
        <f t="shared" si="1376"/>
        <v>16.170117058780242</v>
      </c>
      <c r="BN544" s="3341">
        <f t="shared" si="1376"/>
        <v>459.06529895886507</v>
      </c>
      <c r="BO544" s="3342"/>
      <c r="BP544" s="3342"/>
      <c r="BQ544" s="3342"/>
      <c r="BR544" s="3342"/>
      <c r="BS544" s="3346"/>
      <c r="BT544" s="3345">
        <f>(BT527-BT543)*10000</f>
        <v>-185.86306464844159</v>
      </c>
      <c r="BU544" s="3345">
        <f>(BU527-BU543)*10000</f>
        <v>-729.18317451561074</v>
      </c>
      <c r="BV544" s="3345">
        <f>(BV527-BV543)*10000</f>
        <v>-1053.3172866364948</v>
      </c>
      <c r="BW544" s="3345">
        <f>(BW527-BW543)*10000</f>
        <v>-401.21810158134872</v>
      </c>
      <c r="BX544" s="3341">
        <f>(BX527-BX543)*10000</f>
        <v>-601.21824201215372</v>
      </c>
      <c r="BY544" s="3342"/>
      <c r="BZ544" s="3342"/>
      <c r="CA544" s="3342"/>
      <c r="CB544" s="3342"/>
      <c r="CC544" s="3346"/>
      <c r="CD544" s="3345">
        <f t="shared" ref="CD544:DB544" si="1377">(CD527-CD543)*10000</f>
        <v>-210.35381494751039</v>
      </c>
      <c r="CE544" s="3345">
        <f t="shared" si="1377"/>
        <v>-476.38361970002484</v>
      </c>
      <c r="CF544" s="3345">
        <f t="shared" si="1377"/>
        <v>-315.59255362446856</v>
      </c>
      <c r="CG544" s="3345">
        <f t="shared" si="1377"/>
        <v>-268.97877358311951</v>
      </c>
      <c r="CH544" s="3341">
        <f t="shared" si="1377"/>
        <v>-316.98983149473838</v>
      </c>
      <c r="CI544" s="3345">
        <f t="shared" si="1377"/>
        <v>-278.15826355555021</v>
      </c>
      <c r="CJ544" s="3345">
        <f t="shared" si="1377"/>
        <v>114.73146516679078</v>
      </c>
      <c r="CK544" s="3345">
        <f t="shared" si="1377"/>
        <v>117.13028602428288</v>
      </c>
      <c r="CL544" s="3345">
        <f t="shared" si="1377"/>
        <v>-537.51954520799177</v>
      </c>
      <c r="CM544" s="3341">
        <f t="shared" si="1377"/>
        <v>-160.94868001958807</v>
      </c>
      <c r="CN544" s="3345">
        <f t="shared" si="1377"/>
        <v>-943.93527934643066</v>
      </c>
      <c r="CO544" s="3345">
        <f t="shared" si="1377"/>
        <v>-1233.9615373960155</v>
      </c>
      <c r="CP544" s="3345">
        <f t="shared" si="1377"/>
        <v>-1416.6845036114028</v>
      </c>
      <c r="CQ544" s="3345">
        <f t="shared" si="1377"/>
        <v>-1210.0519615402106</v>
      </c>
      <c r="CR544" s="3341">
        <f t="shared" si="1377"/>
        <v>-1204.8417063317763</v>
      </c>
      <c r="CS544" s="3345">
        <f t="shared" si="1377"/>
        <v>-1027.167320150819</v>
      </c>
      <c r="CT544" s="3345">
        <f t="shared" si="1377"/>
        <v>-643.90793291772661</v>
      </c>
      <c r="CU544" s="3345">
        <f t="shared" si="1377"/>
        <v>-447.06912269545819</v>
      </c>
      <c r="CV544" s="3345">
        <f t="shared" si="1377"/>
        <v>-389.15614396368926</v>
      </c>
      <c r="CW544" s="3347">
        <f t="shared" si="1377"/>
        <v>-615.99831355267918</v>
      </c>
      <c r="CX544" s="3345">
        <f t="shared" si="1377"/>
        <v>-269.64525653097036</v>
      </c>
      <c r="CY544" s="3345">
        <f t="shared" si="1377"/>
        <v>-398.80896459957296</v>
      </c>
      <c r="CZ544" s="3345">
        <f t="shared" si="1377"/>
        <v>-58.174115880307298</v>
      </c>
      <c r="DA544" s="3345">
        <f t="shared" si="1377"/>
        <v>80.015185939643629</v>
      </c>
      <c r="DB544" s="3347">
        <f t="shared" si="1377"/>
        <v>-150.12778972471219</v>
      </c>
      <c r="DC544" s="3345">
        <f t="shared" ref="DC544:DP544" si="1378">(DC527-DC543)*10000</f>
        <v>801.30577267052195</v>
      </c>
      <c r="DD544" s="3345">
        <f t="shared" si="1378"/>
        <v>558.34333580966347</v>
      </c>
      <c r="DE544" s="3345">
        <f t="shared" si="1378"/>
        <v>-100.84282709019953</v>
      </c>
      <c r="DF544" s="3345">
        <f t="shared" si="1378"/>
        <v>-283.12796833962705</v>
      </c>
      <c r="DG544" s="3347">
        <f t="shared" si="1378"/>
        <v>202.00069190559722</v>
      </c>
      <c r="DH544" s="3345">
        <f t="shared" si="1378"/>
        <v>-668.75471260367635</v>
      </c>
      <c r="DI544" s="3345">
        <f t="shared" si="1378"/>
        <v>-682.67235092836836</v>
      </c>
      <c r="DJ544" s="3345">
        <f t="shared" si="1378"/>
        <v>-297.18255499807003</v>
      </c>
      <c r="DK544" s="3345">
        <f t="shared" si="1378"/>
        <v>-203.58345945418188</v>
      </c>
      <c r="DL544" s="3347">
        <f t="shared" si="1378"/>
        <v>-451.36250135707326</v>
      </c>
      <c r="DM544" s="3345">
        <f t="shared" si="1378"/>
        <v>-199.28825622775869</v>
      </c>
      <c r="DN544" s="3345">
        <f t="shared" si="1378"/>
        <v>-336.62327754732326</v>
      </c>
      <c r="DO544" s="3345">
        <f t="shared" si="1378"/>
        <v>-25.38188195117419</v>
      </c>
      <c r="DP544" s="3345">
        <f t="shared" si="1378"/>
        <v>119.19000288695526</v>
      </c>
      <c r="DQ544" s="3347"/>
      <c r="DR544" s="3345"/>
      <c r="DS544" s="3345"/>
      <c r="DT544" s="3345"/>
      <c r="DU544" s="3345"/>
      <c r="DV544" s="3347"/>
      <c r="DW544" s="3345"/>
      <c r="DX544" s="3345"/>
      <c r="DY544" s="3345"/>
      <c r="DZ544" s="3345"/>
      <c r="EA544" s="3346"/>
      <c r="EB544" s="3345"/>
      <c r="EC544" s="3345"/>
      <c r="ED544" s="3345"/>
      <c r="EE544" s="3345"/>
      <c r="EF544" s="3346"/>
      <c r="EG544" s="3345"/>
      <c r="EH544" s="3345"/>
      <c r="EI544" s="3345"/>
      <c r="EJ544" s="3345"/>
      <c r="EK544" s="3346"/>
      <c r="EL544" s="3345"/>
      <c r="EM544" s="3345"/>
      <c r="EN544" s="3345"/>
      <c r="EO544" s="3345"/>
      <c r="EP544" s="3346"/>
      <c r="EQ544" s="3345"/>
      <c r="ER544" s="3345"/>
      <c r="ES544" s="3345"/>
      <c r="ET544" s="3345"/>
      <c r="EU544" s="3346"/>
      <c r="EV544" s="3346"/>
      <c r="EW544" s="3346"/>
      <c r="EX544" s="3346"/>
      <c r="EY544" s="3346"/>
      <c r="EZ544" s="82"/>
      <c r="FA544" s="725"/>
      <c r="FB544" s="725"/>
    </row>
    <row r="545" spans="1:158" s="239" customFormat="1" ht="11.25" hidden="1" customHeight="1">
      <c r="A545" s="3348" t="s">
        <v>623</v>
      </c>
      <c r="B545" s="3349"/>
      <c r="C545" s="3350"/>
      <c r="D545" s="3350"/>
      <c r="E545" s="3350"/>
      <c r="F545" s="3351"/>
      <c r="G545" s="3349"/>
      <c r="H545" s="3350"/>
      <c r="I545" s="3350"/>
      <c r="J545" s="3350"/>
      <c r="K545" s="3352"/>
      <c r="L545" s="3353"/>
      <c r="M545" s="3353"/>
      <c r="N545" s="3353"/>
      <c r="O545" s="3353"/>
      <c r="P545" s="3352"/>
      <c r="Q545" s="3354"/>
      <c r="R545" s="3353"/>
      <c r="S545" s="3353"/>
      <c r="T545" s="3353"/>
      <c r="U545" s="3352"/>
      <c r="V545" s="3354"/>
      <c r="W545" s="3353"/>
      <c r="X545" s="3353"/>
      <c r="Y545" s="3353"/>
      <c r="Z545" s="3352"/>
      <c r="AA545" s="3354"/>
      <c r="AB545" s="3353"/>
      <c r="AC545" s="3353"/>
      <c r="AD545" s="3353"/>
      <c r="AE545" s="3352"/>
      <c r="AF545" s="3354"/>
      <c r="AG545" s="3353"/>
      <c r="AH545" s="3353"/>
      <c r="AI545" s="3353"/>
      <c r="AJ545" s="3352"/>
      <c r="AK545" s="3355"/>
      <c r="AL545" s="3356"/>
      <c r="AM545" s="3356"/>
      <c r="AN545" s="3356"/>
      <c r="AO545" s="3352"/>
      <c r="AP545" s="3355"/>
      <c r="AQ545" s="3356"/>
      <c r="AR545" s="3356"/>
      <c r="AS545" s="3356"/>
      <c r="AT545" s="3352"/>
      <c r="AU545" s="3355"/>
      <c r="AV545" s="3356"/>
      <c r="AW545" s="3356"/>
      <c r="AX545" s="3353"/>
      <c r="AY545" s="3352"/>
      <c r="AZ545" s="3349"/>
      <c r="BA545" s="3350"/>
      <c r="BB545" s="3350"/>
      <c r="BC545" s="3350"/>
      <c r="BD545" s="3352"/>
      <c r="BE545" s="3349"/>
      <c r="BF545" s="3350"/>
      <c r="BG545" s="3350"/>
      <c r="BH545" s="3350"/>
      <c r="BI545" s="3352"/>
      <c r="BJ545" s="3349"/>
      <c r="BK545" s="3350"/>
      <c r="BL545" s="3350"/>
      <c r="BM545" s="3350"/>
      <c r="BN545" s="3352"/>
      <c r="BO545" s="3353"/>
      <c r="BP545" s="3353"/>
      <c r="BQ545" s="3353"/>
      <c r="BR545" s="3353"/>
      <c r="BS545" s="3357"/>
      <c r="BT545" s="3350"/>
      <c r="BU545" s="3350"/>
      <c r="BV545" s="3350"/>
      <c r="BW545" s="3350"/>
      <c r="BX545" s="3352"/>
      <c r="BY545" s="3353"/>
      <c r="BZ545" s="3353"/>
      <c r="CA545" s="3353"/>
      <c r="CB545" s="3353"/>
      <c r="CC545" s="3357"/>
      <c r="CD545" s="3350"/>
      <c r="CE545" s="3350"/>
      <c r="CF545" s="3350"/>
      <c r="CG545" s="3350"/>
      <c r="CH545" s="3352"/>
      <c r="CI545" s="3350">
        <f t="shared" ref="CI545:DG545" si="1379">(1+CI534)/(1+CI543)-1</f>
        <v>-1.8778801843317816E-2</v>
      </c>
      <c r="CJ545" s="3350">
        <f t="shared" si="1379"/>
        <v>1.3527223537368904E-2</v>
      </c>
      <c r="CK545" s="3350">
        <f t="shared" si="1379"/>
        <v>1.1670153033138897E-2</v>
      </c>
      <c r="CL545" s="3350">
        <f t="shared" si="1379"/>
        <v>-6.0003896356906394E-2</v>
      </c>
      <c r="CM545" s="3352">
        <f t="shared" si="1379"/>
        <v>-1.4986449864498597E-2</v>
      </c>
      <c r="CN545" s="3350">
        <f t="shared" si="1379"/>
        <v>-0.10704607046070447</v>
      </c>
      <c r="CO545" s="3350">
        <f t="shared" si="1379"/>
        <v>-0.14598404748655158</v>
      </c>
      <c r="CP545" s="3350">
        <f t="shared" si="1379"/>
        <v>-0.14057764307363152</v>
      </c>
      <c r="CQ545" s="3350">
        <f t="shared" si="1379"/>
        <v>-0.11074187920578216</v>
      </c>
      <c r="CR545" s="3352">
        <f t="shared" si="1379"/>
        <v>-0.12598886610020499</v>
      </c>
      <c r="CS545" s="3350">
        <f t="shared" si="1379"/>
        <v>-6.6439968611038625E-2</v>
      </c>
      <c r="CT545" s="3350">
        <f t="shared" si="1379"/>
        <v>-9.8260869565217623E-3</v>
      </c>
      <c r="CU545" s="3350">
        <f t="shared" si="1379"/>
        <v>-1.6480282519128919E-2</v>
      </c>
      <c r="CV545" s="3350">
        <f t="shared" si="1379"/>
        <v>-1.5116366085459854E-2</v>
      </c>
      <c r="CW545" s="3352">
        <f t="shared" si="1379"/>
        <v>-2.6397096941420339E-2</v>
      </c>
      <c r="CX545" s="3350">
        <f t="shared" si="1379"/>
        <v>-2.326293235384147E-2</v>
      </c>
      <c r="CY545" s="3350">
        <f t="shared" si="1379"/>
        <v>-2.5909317389138153E-2</v>
      </c>
      <c r="CZ545" s="3350">
        <f t="shared" si="1379"/>
        <v>1.7255379618351663E-2</v>
      </c>
      <c r="DA545" s="3350">
        <f t="shared" si="1379"/>
        <v>3.2622485350087604E-2</v>
      </c>
      <c r="DB545" s="3352">
        <f t="shared" si="1379"/>
        <v>2.1728716123734504E-3</v>
      </c>
      <c r="DC545" s="3350">
        <f t="shared" si="1379"/>
        <v>8.2297551789077383E-2</v>
      </c>
      <c r="DD545" s="3350">
        <f t="shared" si="1379"/>
        <v>4.5020223928718073E-2</v>
      </c>
      <c r="DE545" s="3350">
        <f t="shared" si="1379"/>
        <v>-2.0786092214663654E-2</v>
      </c>
      <c r="DF545" s="3350">
        <f t="shared" si="1379"/>
        <v>-3.41396708633942E-2</v>
      </c>
      <c r="DG545" s="3352">
        <f t="shared" si="1379"/>
        <v>1.333920074809547E-2</v>
      </c>
      <c r="DH545" s="3350">
        <f t="shared" ref="DH545:DP545" si="1380">(1+DH527)/(1+DH543)-1</f>
        <v>-5.5371464246266044E-2</v>
      </c>
      <c r="DI545" s="3350">
        <f t="shared" si="1380"/>
        <v>-5.4844524560612951E-2</v>
      </c>
      <c r="DJ545" s="3350">
        <f t="shared" si="1380"/>
        <v>-2.4270533141210304E-2</v>
      </c>
      <c r="DK545" s="3350">
        <f t="shared" si="1380"/>
        <v>-1.6907233214401574E-2</v>
      </c>
      <c r="DL545" s="3352">
        <f t="shared" si="1380"/>
        <v>-3.7002836958335616E-2</v>
      </c>
      <c r="DM545" s="3350">
        <f t="shared" si="1380"/>
        <v>-1.7320607988688619E-2</v>
      </c>
      <c r="DN545" s="3350">
        <f t="shared" si="1380"/>
        <v>-3.3856039898335966E-2</v>
      </c>
      <c r="DO545" s="3350">
        <f t="shared" si="1380"/>
        <v>-2.21702676555946E-3</v>
      </c>
      <c r="DP545" s="3350">
        <f t="shared" si="1380"/>
        <v>9.6629664303864438E-3</v>
      </c>
      <c r="DQ545" s="3352"/>
      <c r="DR545" s="3350"/>
      <c r="DS545" s="3350"/>
      <c r="DT545" s="3350"/>
      <c r="DU545" s="3350"/>
      <c r="DV545" s="3352"/>
      <c r="DW545" s="3350"/>
      <c r="DX545" s="3350"/>
      <c r="DY545" s="3350"/>
      <c r="DZ545" s="3350"/>
      <c r="EA545" s="3357"/>
      <c r="EB545" s="3350"/>
      <c r="EC545" s="3350"/>
      <c r="ED545" s="3350"/>
      <c r="EE545" s="3350"/>
      <c r="EF545" s="3357"/>
      <c r="EG545" s="3350"/>
      <c r="EH545" s="3350"/>
      <c r="EI545" s="3350"/>
      <c r="EJ545" s="3350"/>
      <c r="EK545" s="3357"/>
      <c r="EL545" s="3350"/>
      <c r="EM545" s="3350"/>
      <c r="EN545" s="3350"/>
      <c r="EO545" s="3350"/>
      <c r="EP545" s="3357"/>
      <c r="EQ545" s="3350"/>
      <c r="ER545" s="3350"/>
      <c r="ES545" s="3350"/>
      <c r="ET545" s="3350"/>
      <c r="EU545" s="3357"/>
      <c r="EV545" s="3357"/>
      <c r="EW545" s="3357"/>
      <c r="EX545" s="3357"/>
      <c r="EY545" s="3357"/>
      <c r="FA545" s="725"/>
      <c r="FB545" s="725"/>
    </row>
    <row r="546" spans="1:158" s="136" customFormat="1" ht="11.25" hidden="1" customHeight="1">
      <c r="A546" s="2689"/>
      <c r="B546" s="2664"/>
      <c r="C546" s="2614"/>
      <c r="D546" s="2614"/>
      <c r="E546" s="2614"/>
      <c r="F546" s="2657"/>
      <c r="G546" s="2664"/>
      <c r="H546" s="2614"/>
      <c r="I546" s="2614"/>
      <c r="J546" s="2614"/>
      <c r="K546" s="2589"/>
      <c r="L546" s="2608"/>
      <c r="M546" s="2608"/>
      <c r="N546" s="2608"/>
      <c r="O546" s="2608"/>
      <c r="P546" s="2589"/>
      <c r="Q546" s="2658"/>
      <c r="R546" s="2608"/>
      <c r="S546" s="2608"/>
      <c r="T546" s="2608"/>
      <c r="U546" s="2589"/>
      <c r="V546" s="2658"/>
      <c r="W546" s="2608"/>
      <c r="X546" s="2608"/>
      <c r="Y546" s="2608"/>
      <c r="Z546" s="2589"/>
      <c r="AA546" s="2658"/>
      <c r="AB546" s="2608"/>
      <c r="AC546" s="2608"/>
      <c r="AD546" s="2608"/>
      <c r="AE546" s="2589"/>
      <c r="AF546" s="2658"/>
      <c r="AG546" s="2608"/>
      <c r="AH546" s="2608"/>
      <c r="AI546" s="2608"/>
      <c r="AJ546" s="2589"/>
      <c r="AK546" s="2658"/>
      <c r="AL546" s="2608"/>
      <c r="AM546" s="2608"/>
      <c r="AN546" s="2608"/>
      <c r="AO546" s="2589"/>
      <c r="AP546" s="2658"/>
      <c r="AQ546" s="2608"/>
      <c r="AR546" s="2608"/>
      <c r="AS546" s="2608"/>
      <c r="AT546" s="2589"/>
      <c r="AU546" s="2658"/>
      <c r="AV546" s="2608"/>
      <c r="AW546" s="2608"/>
      <c r="AX546" s="2608"/>
      <c r="AY546" s="2589"/>
      <c r="AZ546" s="2658"/>
      <c r="BA546" s="2608"/>
      <c r="BB546" s="2608"/>
      <c r="BC546" s="2608"/>
      <c r="BD546" s="2589"/>
      <c r="BE546" s="2658"/>
      <c r="BF546" s="2608"/>
      <c r="BG546" s="2608"/>
      <c r="BH546" s="2608"/>
      <c r="BI546" s="2589"/>
      <c r="BJ546" s="2658"/>
      <c r="BK546" s="2608"/>
      <c r="BL546" s="2608"/>
      <c r="BM546" s="2608"/>
      <c r="BN546" s="2589"/>
      <c r="BO546" s="2608"/>
      <c r="BP546" s="2608"/>
      <c r="BQ546" s="2608"/>
      <c r="BR546" s="2608"/>
      <c r="BS546" s="2603"/>
      <c r="BT546" s="2608"/>
      <c r="BU546" s="2608"/>
      <c r="BV546" s="2608"/>
      <c r="BW546" s="2608"/>
      <c r="BX546" s="2589"/>
      <c r="BY546" s="2608"/>
      <c r="BZ546" s="2608"/>
      <c r="CA546" s="2608"/>
      <c r="CB546" s="2608"/>
      <c r="CC546" s="2603"/>
      <c r="CD546" s="2608"/>
      <c r="CE546" s="2608"/>
      <c r="CF546" s="2608"/>
      <c r="CG546" s="2608"/>
      <c r="CH546" s="2589"/>
      <c r="CI546" s="2638"/>
      <c r="CJ546" s="2608"/>
      <c r="CK546" s="2608"/>
      <c r="CL546" s="2608"/>
      <c r="CM546" s="2589"/>
      <c r="CN546" s="2608"/>
      <c r="CO546" s="2608"/>
      <c r="CP546" s="2608"/>
      <c r="CQ546" s="2608"/>
      <c r="CR546" s="2589"/>
      <c r="CS546" s="2608"/>
      <c r="CT546" s="2608"/>
      <c r="CU546" s="2608"/>
      <c r="CV546" s="2608"/>
      <c r="CW546" s="2589"/>
      <c r="CX546" s="2608"/>
      <c r="CY546" s="2608"/>
      <c r="CZ546" s="2608"/>
      <c r="DA546" s="2608"/>
      <c r="DB546" s="2589"/>
      <c r="DC546" s="2608"/>
      <c r="DD546" s="2608"/>
      <c r="DE546" s="2608"/>
      <c r="DF546" s="2608"/>
      <c r="DG546" s="2589"/>
      <c r="DH546" s="2608"/>
      <c r="DI546" s="2608"/>
      <c r="DJ546" s="2608"/>
      <c r="DK546" s="2608"/>
      <c r="DL546" s="2589"/>
      <c r="DM546" s="2608"/>
      <c r="DN546" s="2608"/>
      <c r="DO546" s="2608"/>
      <c r="DP546" s="2608"/>
      <c r="DQ546" s="2589"/>
      <c r="DR546" s="2608"/>
      <c r="DS546" s="2608"/>
      <c r="DT546" s="2608"/>
      <c r="DU546" s="2608"/>
      <c r="DV546" s="2589"/>
      <c r="DW546" s="2608"/>
      <c r="DX546" s="2608"/>
      <c r="DY546" s="2608"/>
      <c r="DZ546" s="2608"/>
      <c r="EA546" s="2603"/>
      <c r="EB546" s="2608"/>
      <c r="EC546" s="2608"/>
      <c r="ED546" s="2608"/>
      <c r="EE546" s="2608"/>
      <c r="EF546" s="2603"/>
      <c r="EG546" s="2608"/>
      <c r="EH546" s="2608"/>
      <c r="EI546" s="2608"/>
      <c r="EJ546" s="2608"/>
      <c r="EK546" s="2603"/>
      <c r="EL546" s="2608"/>
      <c r="EM546" s="2608"/>
      <c r="EN546" s="2608"/>
      <c r="EO546" s="2608"/>
      <c r="EP546" s="2603"/>
      <c r="EQ546" s="2608"/>
      <c r="ER546" s="2608"/>
      <c r="ES546" s="2608"/>
      <c r="ET546" s="2608"/>
      <c r="EU546" s="2603"/>
      <c r="EV546" s="2603"/>
      <c r="EW546" s="2603"/>
      <c r="EX546" s="2603"/>
      <c r="EY546" s="2603"/>
      <c r="EZ546" s="82"/>
      <c r="FA546" s="725"/>
      <c r="FB546" s="725"/>
    </row>
    <row r="547" spans="1:158" s="214" customFormat="1" ht="11.25" hidden="1" customHeight="1">
      <c r="A547" s="2667" t="s">
        <v>24</v>
      </c>
      <c r="B547" s="2668"/>
      <c r="C547" s="2615"/>
      <c r="D547" s="2615"/>
      <c r="E547" s="2615"/>
      <c r="F547" s="2654"/>
      <c r="G547" s="2668"/>
      <c r="H547" s="2615"/>
      <c r="I547" s="2615"/>
      <c r="J547" s="2615"/>
      <c r="K547" s="2590"/>
      <c r="L547" s="2606"/>
      <c r="M547" s="2606"/>
      <c r="N547" s="2606"/>
      <c r="O547" s="2606"/>
      <c r="P547" s="2590"/>
      <c r="Q547" s="2655"/>
      <c r="R547" s="2606"/>
      <c r="S547" s="2606"/>
      <c r="T547" s="2606"/>
      <c r="U547" s="2590"/>
      <c r="V547" s="2655"/>
      <c r="W547" s="2606"/>
      <c r="X547" s="2606"/>
      <c r="Y547" s="2606"/>
      <c r="Z547" s="2590"/>
      <c r="AA547" s="2655"/>
      <c r="AB547" s="2606"/>
      <c r="AC547" s="2606"/>
      <c r="AD547" s="2606"/>
      <c r="AE547" s="2590"/>
      <c r="AF547" s="2655"/>
      <c r="AG547" s="2606"/>
      <c r="AH547" s="2606"/>
      <c r="AI547" s="2606"/>
      <c r="AJ547" s="2590"/>
      <c r="AK547" s="2655" t="str">
        <f>AK229</f>
        <v>NA</v>
      </c>
      <c r="AL547" s="2606">
        <f>AL229</f>
        <v>26</v>
      </c>
      <c r="AM547" s="2606">
        <f>AM229</f>
        <v>19</v>
      </c>
      <c r="AN547" s="2606">
        <f>AN229</f>
        <v>18</v>
      </c>
      <c r="AO547" s="2590" t="s">
        <v>116</v>
      </c>
      <c r="AP547" s="2655">
        <f>AP229</f>
        <v>22.8</v>
      </c>
      <c r="AQ547" s="2606">
        <f>AQ229</f>
        <v>35</v>
      </c>
      <c r="AR547" s="2606">
        <f>AR229</f>
        <v>24.2</v>
      </c>
      <c r="AS547" s="2606">
        <f>AS229</f>
        <v>93.6</v>
      </c>
      <c r="AT547" s="2590" t="s">
        <v>116</v>
      </c>
      <c r="AU547" s="2655">
        <f>AU229</f>
        <v>18.100000000000001</v>
      </c>
      <c r="AV547" s="2606">
        <f>AV229</f>
        <v>87.6</v>
      </c>
      <c r="AW547" s="2606">
        <f>AW229</f>
        <v>-59</v>
      </c>
      <c r="AX547" s="2606">
        <f>AX229</f>
        <v>-334</v>
      </c>
      <c r="AY547" s="2590" t="s">
        <v>116</v>
      </c>
      <c r="AZ547" s="2655">
        <f>AZ229</f>
        <v>-120</v>
      </c>
      <c r="BA547" s="2606">
        <f>BA229</f>
        <v>44</v>
      </c>
      <c r="BB547" s="2606">
        <f>BB229</f>
        <v>166</v>
      </c>
      <c r="BC547" s="2606">
        <f>BC229</f>
        <v>112</v>
      </c>
      <c r="BD547" s="2590" t="s">
        <v>116</v>
      </c>
      <c r="BE547" s="2655">
        <f>BE229</f>
        <v>-112</v>
      </c>
      <c r="BF547" s="2606">
        <f>BF229</f>
        <v>-176</v>
      </c>
      <c r="BG547" s="2606">
        <f>BG229</f>
        <v>9</v>
      </c>
      <c r="BH547" s="2606">
        <f>BH229</f>
        <v>201</v>
      </c>
      <c r="BI547" s="2590" t="s">
        <v>116</v>
      </c>
      <c r="BJ547" s="2655">
        <f>BJ229</f>
        <v>19</v>
      </c>
      <c r="BK547" s="2606">
        <f>BK229</f>
        <v>167</v>
      </c>
      <c r="BL547" s="2606">
        <f>BL229</f>
        <v>53</v>
      </c>
      <c r="BM547" s="2606">
        <f>BM229</f>
        <v>-239</v>
      </c>
      <c r="BN547" s="2590" t="s">
        <v>116</v>
      </c>
      <c r="BO547" s="2606"/>
      <c r="BP547" s="2606"/>
      <c r="BQ547" s="2606"/>
      <c r="BR547" s="2606"/>
      <c r="BS547" s="2600"/>
      <c r="BT547" s="2606">
        <f>BT229</f>
        <v>-79</v>
      </c>
      <c r="BU547" s="2606">
        <f>BU229</f>
        <v>-68</v>
      </c>
      <c r="BV547" s="2606">
        <f>BV229</f>
        <v>-136</v>
      </c>
      <c r="BW547" s="2606">
        <f>BW229</f>
        <v>130</v>
      </c>
      <c r="BX547" s="2590" t="s">
        <v>116</v>
      </c>
      <c r="BY547" s="2606"/>
      <c r="BZ547" s="2606"/>
      <c r="CA547" s="2606"/>
      <c r="CB547" s="2606"/>
      <c r="CC547" s="2600"/>
      <c r="CD547" s="2655">
        <f>CD229</f>
        <v>-11</v>
      </c>
      <c r="CE547" s="2606">
        <f>CE229</f>
        <v>-177</v>
      </c>
      <c r="CF547" s="2606">
        <f>CF229</f>
        <v>-41</v>
      </c>
      <c r="CG547" s="2606">
        <f>CG229</f>
        <v>156</v>
      </c>
      <c r="CH547" s="2590" t="s">
        <v>116</v>
      </c>
      <c r="CI547" s="2606">
        <f>CI229</f>
        <v>-50</v>
      </c>
      <c r="CJ547" s="2606">
        <f>CJ229</f>
        <v>77</v>
      </c>
      <c r="CK547" s="2606">
        <f>CK229</f>
        <v>-66</v>
      </c>
      <c r="CL547" s="2606">
        <f>CL229</f>
        <v>-541</v>
      </c>
      <c r="CM547" s="2590"/>
      <c r="CN547" s="2606">
        <f>CN229</f>
        <v>-574</v>
      </c>
      <c r="CO547" s="2606">
        <f>CO229</f>
        <v>-322</v>
      </c>
      <c r="CP547" s="2606">
        <f>CP229</f>
        <v>-22</v>
      </c>
      <c r="CQ547" s="2606">
        <f>CQ229</f>
        <v>-211</v>
      </c>
      <c r="CR547" s="2590"/>
      <c r="CS547" s="2606">
        <f>CS229</f>
        <v>-150</v>
      </c>
      <c r="CT547" s="2606">
        <f>CT229</f>
        <v>301</v>
      </c>
      <c r="CU547" s="2606">
        <f>CU229</f>
        <v>-112</v>
      </c>
      <c r="CV547" s="2606">
        <f>CV229</f>
        <v>-219</v>
      </c>
      <c r="CW547" s="2590"/>
      <c r="CX547" s="2606">
        <f>CX229</f>
        <v>-306</v>
      </c>
      <c r="CY547" s="2606">
        <f>CY229</f>
        <v>309</v>
      </c>
      <c r="CZ547" s="2606">
        <f>CZ229</f>
        <v>487</v>
      </c>
      <c r="DA547" s="2606">
        <f>DA229</f>
        <v>-15</v>
      </c>
      <c r="DB547" s="2590"/>
      <c r="DC547" s="2606">
        <f>DC229</f>
        <v>417</v>
      </c>
      <c r="DD547" s="2606">
        <f>DD229</f>
        <v>-207</v>
      </c>
      <c r="DE547" s="2606">
        <f>DE229</f>
        <v>-615</v>
      </c>
      <c r="DF547" s="2606">
        <f>DF229</f>
        <v>-294</v>
      </c>
      <c r="DG547" s="2590"/>
      <c r="DH547" s="2606">
        <f>DH229</f>
        <v>27</v>
      </c>
      <c r="DI547" s="2606">
        <f>DI229</f>
        <v>-223</v>
      </c>
      <c r="DJ547" s="2606">
        <f>DJ229</f>
        <v>-30</v>
      </c>
      <c r="DK547" s="2606">
        <f>DK229</f>
        <v>-152</v>
      </c>
      <c r="DL547" s="2590"/>
      <c r="DM547" s="2606">
        <f>DM229</f>
        <v>12</v>
      </c>
      <c r="DN547" s="2606">
        <f>DN229</f>
        <v>-545</v>
      </c>
      <c r="DO547" s="2606">
        <f>DO229</f>
        <v>820</v>
      </c>
      <c r="DP547" s="2606">
        <f>DP229</f>
        <v>189</v>
      </c>
      <c r="DQ547" s="2590"/>
      <c r="DR547" s="2606"/>
      <c r="DS547" s="2606"/>
      <c r="DT547" s="2606"/>
      <c r="DU547" s="2606"/>
      <c r="DV547" s="2590"/>
      <c r="DW547" s="2606"/>
      <c r="DX547" s="2606"/>
      <c r="DY547" s="2606"/>
      <c r="DZ547" s="2606"/>
      <c r="EA547" s="2590"/>
      <c r="EB547" s="2606"/>
      <c r="EC547" s="2606"/>
      <c r="ED547" s="2606"/>
      <c r="EE547" s="2606"/>
      <c r="EF547" s="2590"/>
      <c r="EG547" s="2606"/>
      <c r="EH547" s="2606"/>
      <c r="EI547" s="2606"/>
      <c r="EJ547" s="2606"/>
      <c r="EK547" s="2590"/>
      <c r="EL547" s="2606"/>
      <c r="EM547" s="2606"/>
      <c r="EN547" s="2606"/>
      <c r="EO547" s="2606"/>
      <c r="EP547" s="2590"/>
      <c r="EQ547" s="2606"/>
      <c r="ER547" s="2606"/>
      <c r="ES547" s="2606"/>
      <c r="ET547" s="2606"/>
      <c r="EU547" s="2590"/>
      <c r="EV547" s="2590"/>
      <c r="EW547" s="2590"/>
      <c r="EX547" s="2590"/>
      <c r="EY547" s="2590"/>
      <c r="EZ547" s="51"/>
      <c r="FA547" s="725"/>
      <c r="FB547" s="725"/>
    </row>
    <row r="548" spans="1:158" s="252" customFormat="1" ht="11.25" hidden="1" customHeight="1">
      <c r="A548" s="2670" t="s">
        <v>295</v>
      </c>
      <c r="B548" s="2680"/>
      <c r="C548" s="2620"/>
      <c r="D548" s="2620"/>
      <c r="E548" s="2620"/>
      <c r="F548" s="2681"/>
      <c r="G548" s="2680"/>
      <c r="H548" s="2620"/>
      <c r="I548" s="2620"/>
      <c r="J548" s="2620"/>
      <c r="K548" s="2592"/>
      <c r="L548" s="2621"/>
      <c r="M548" s="2621"/>
      <c r="N548" s="2621"/>
      <c r="O548" s="2621"/>
      <c r="P548" s="2592"/>
      <c r="Q548" s="2665"/>
      <c r="R548" s="2621"/>
      <c r="S548" s="2621"/>
      <c r="T548" s="2621"/>
      <c r="U548" s="2592"/>
      <c r="V548" s="2665"/>
      <c r="W548" s="2621"/>
      <c r="X548" s="2621"/>
      <c r="Y548" s="2621"/>
      <c r="Z548" s="2592"/>
      <c r="AA548" s="2665"/>
      <c r="AB548" s="2621"/>
      <c r="AC548" s="2621"/>
      <c r="AD548" s="2621"/>
      <c r="AE548" s="2592"/>
      <c r="AF548" s="2665"/>
      <c r="AG548" s="2621"/>
      <c r="AH548" s="2621"/>
      <c r="AI548" s="2621"/>
      <c r="AJ548" s="2592"/>
      <c r="AK548" s="2665" t="s">
        <v>116</v>
      </c>
      <c r="AL548" s="2621">
        <f>AL526-AL547</f>
        <v>1008.9649999999999</v>
      </c>
      <c r="AM548" s="2621">
        <f>AM526-AM547</f>
        <v>1163.8679999999999</v>
      </c>
      <c r="AN548" s="2621">
        <f>AN526-AN547</f>
        <v>1402.7100000000005</v>
      </c>
      <c r="AO548" s="2592" t="s">
        <v>116</v>
      </c>
      <c r="AP548" s="2665">
        <f>AP526-AP547</f>
        <v>1682.789</v>
      </c>
      <c r="AQ548" s="2621">
        <f>AQ526-AQ547</f>
        <v>1809.0430000000001</v>
      </c>
      <c r="AR548" s="2621">
        <f>AR526-AR547</f>
        <v>2001.3419999999999</v>
      </c>
      <c r="AS548" s="2621">
        <f>AS526-AS547</f>
        <v>2227.1910000000007</v>
      </c>
      <c r="AT548" s="2592" t="s">
        <v>116</v>
      </c>
      <c r="AU548" s="2665">
        <f>AU526-AU547</f>
        <v>2632.4690000000001</v>
      </c>
      <c r="AV548" s="2621">
        <f>AV526-AV547</f>
        <v>2712.5880000000002</v>
      </c>
      <c r="AW548" s="2621">
        <f>AW526-AW547</f>
        <v>2905.3789999999999</v>
      </c>
      <c r="AX548" s="2621">
        <f>AX526-AX547</f>
        <v>3196.8609999999985</v>
      </c>
      <c r="AY548" s="2592" t="s">
        <v>116</v>
      </c>
      <c r="AZ548" s="2665">
        <f>AZ526-AZ547</f>
        <v>3001.93</v>
      </c>
      <c r="BA548" s="2621">
        <f>BA526-BA547</f>
        <v>2869.768</v>
      </c>
      <c r="BB548" s="2621">
        <f>BB526-BB547</f>
        <v>2976.636</v>
      </c>
      <c r="BC548" s="2621">
        <f>BC526-BC547</f>
        <v>3406.6720000000005</v>
      </c>
      <c r="BD548" s="2592" t="s">
        <v>116</v>
      </c>
      <c r="BE548" s="2665">
        <f>BE526-BE547</f>
        <v>3691</v>
      </c>
      <c r="BF548" s="2621">
        <f>BF526-BF547</f>
        <v>3708</v>
      </c>
      <c r="BG548" s="2621">
        <f>BG526-BG547</f>
        <v>3760</v>
      </c>
      <c r="BH548" s="2621">
        <f>BH526-BH547</f>
        <v>4184</v>
      </c>
      <c r="BI548" s="2592" t="s">
        <v>116</v>
      </c>
      <c r="BJ548" s="2665">
        <f>BJ526-BJ547</f>
        <v>4551</v>
      </c>
      <c r="BK548" s="2621">
        <f>BK526-BK547</f>
        <v>4704</v>
      </c>
      <c r="BL548" s="2621">
        <f>BL526-BL547</f>
        <v>5247</v>
      </c>
      <c r="BM548" s="2621">
        <f>BM526-BM547</f>
        <v>5843</v>
      </c>
      <c r="BN548" s="2592" t="s">
        <v>116</v>
      </c>
      <c r="BO548" s="2621"/>
      <c r="BP548" s="2621"/>
      <c r="BQ548" s="2621"/>
      <c r="BR548" s="2621"/>
      <c r="BS548" s="2596"/>
      <c r="BT548" s="2621">
        <f>BT526-BT547</f>
        <v>5850</v>
      </c>
      <c r="BU548" s="2621">
        <f>BU526-BU547</f>
        <v>6027</v>
      </c>
      <c r="BV548" s="2621">
        <f>BV526-BV547</f>
        <v>6246</v>
      </c>
      <c r="BW548" s="2621">
        <f>BW526-BW547</f>
        <v>6783</v>
      </c>
      <c r="BX548" s="2592" t="s">
        <v>116</v>
      </c>
      <c r="BY548" s="2621"/>
      <c r="BZ548" s="2621"/>
      <c r="CA548" s="2621"/>
      <c r="CB548" s="2621"/>
      <c r="CC548" s="2596"/>
      <c r="CD548" s="2665">
        <f>CD526-CD547</f>
        <v>7126</v>
      </c>
      <c r="CE548" s="2621">
        <f>CE526-CE547</f>
        <v>7388</v>
      </c>
      <c r="CF548" s="2621">
        <f>CF526-CF547</f>
        <v>7715</v>
      </c>
      <c r="CG548" s="2621">
        <f>CG526-CG547</f>
        <v>8616</v>
      </c>
      <c r="CH548" s="2592" t="s">
        <v>116</v>
      </c>
      <c r="CI548" s="2621">
        <f>CI526-CI547</f>
        <v>8575</v>
      </c>
      <c r="CJ548" s="2621">
        <f>CJ526-CJ547</f>
        <v>8920</v>
      </c>
      <c r="CK548" s="2621">
        <f>CK526-CK547</f>
        <v>9265</v>
      </c>
      <c r="CL548" s="2621">
        <f>CL526-CL547</f>
        <v>10339</v>
      </c>
      <c r="CM548" s="2592"/>
      <c r="CN548" s="2621">
        <f>CN526-CN547</f>
        <v>10111</v>
      </c>
      <c r="CO548" s="2621">
        <f>CO526-CO547</f>
        <v>10001</v>
      </c>
      <c r="CP548" s="2621">
        <f>CP526-CP547</f>
        <v>9949</v>
      </c>
      <c r="CQ548" s="2621">
        <f>CQ526-CQ547</f>
        <v>11247</v>
      </c>
      <c r="CR548" s="2592"/>
      <c r="CS548" s="2621">
        <f>CS526-CS547</f>
        <v>11026</v>
      </c>
      <c r="CT548" s="2621">
        <f>CT526-CT547</f>
        <v>11164</v>
      </c>
      <c r="CU548" s="2621">
        <f>CU526-CU547</f>
        <v>11914</v>
      </c>
      <c r="CV548" s="2621">
        <f>CV526-CV547</f>
        <v>13567</v>
      </c>
      <c r="CW548" s="2592"/>
      <c r="CX548" s="2621">
        <f>CX526-CX547</f>
        <v>13287</v>
      </c>
      <c r="CY548" s="2621"/>
      <c r="CZ548" s="2621"/>
      <c r="DA548" s="2621"/>
      <c r="DB548" s="2592"/>
      <c r="DC548" s="2621">
        <f>DC526-DC547</f>
        <v>16585</v>
      </c>
      <c r="DD548" s="2621"/>
      <c r="DE548" s="2621"/>
      <c r="DF548" s="2621"/>
      <c r="DG548" s="2592"/>
      <c r="DH548" s="2621">
        <f>DH526-DH547</f>
        <v>19643</v>
      </c>
      <c r="DI548" s="2621"/>
      <c r="DJ548" s="2621"/>
      <c r="DK548" s="2621"/>
      <c r="DL548" s="2592"/>
      <c r="DM548" s="2621">
        <f>DM526-DM547</f>
        <v>22228</v>
      </c>
      <c r="DN548" s="2621"/>
      <c r="DO548" s="2621"/>
      <c r="DP548" s="2621"/>
      <c r="DQ548" s="2592"/>
      <c r="DR548" s="2621"/>
      <c r="DS548" s="2621"/>
      <c r="DT548" s="2621"/>
      <c r="DU548" s="2621"/>
      <c r="DV548" s="2592"/>
      <c r="DW548" s="2621"/>
      <c r="DX548" s="2621"/>
      <c r="DY548" s="2621"/>
      <c r="DZ548" s="2621"/>
      <c r="EA548" s="2592"/>
      <c r="EB548" s="2621"/>
      <c r="EC548" s="2621"/>
      <c r="ED548" s="2621"/>
      <c r="EE548" s="2621"/>
      <c r="EF548" s="2592"/>
      <c r="EG548" s="2621"/>
      <c r="EH548" s="2621"/>
      <c r="EI548" s="2621"/>
      <c r="EJ548" s="2621"/>
      <c r="EK548" s="2592"/>
      <c r="EL548" s="2621"/>
      <c r="EM548" s="2621"/>
      <c r="EN548" s="2621"/>
      <c r="EO548" s="2621"/>
      <c r="EP548" s="2592"/>
      <c r="EQ548" s="2621"/>
      <c r="ER548" s="2621"/>
      <c r="ES548" s="2621"/>
      <c r="ET548" s="2621"/>
      <c r="EU548" s="2592"/>
      <c r="EV548" s="2592"/>
      <c r="EW548" s="2592"/>
      <c r="EX548" s="2592"/>
      <c r="EY548" s="2592"/>
      <c r="EZ548" s="251"/>
      <c r="FA548" s="725"/>
      <c r="FB548" s="725"/>
    </row>
    <row r="549" spans="1:158" s="239" customFormat="1" ht="11.25" hidden="1" customHeight="1">
      <c r="A549" s="1554" t="s">
        <v>46</v>
      </c>
      <c r="B549" s="2611"/>
      <c r="C549" s="2612"/>
      <c r="D549" s="2612"/>
      <c r="E549" s="2612"/>
      <c r="F549" s="2583"/>
      <c r="G549" s="2611"/>
      <c r="H549" s="2612"/>
      <c r="I549" s="2612"/>
      <c r="J549" s="2612"/>
      <c r="K549" s="1020"/>
      <c r="L549" s="223"/>
      <c r="M549" s="223"/>
      <c r="N549" s="223"/>
      <c r="O549" s="223"/>
      <c r="P549" s="1020"/>
      <c r="Q549" s="2581"/>
      <c r="R549" s="223"/>
      <c r="S549" s="223"/>
      <c r="T549" s="223"/>
      <c r="U549" s="1020"/>
      <c r="V549" s="2581"/>
      <c r="W549" s="223"/>
      <c r="X549" s="223"/>
      <c r="Y549" s="223"/>
      <c r="Z549" s="1020"/>
      <c r="AA549" s="2581"/>
      <c r="AB549" s="223"/>
      <c r="AC549" s="223"/>
      <c r="AD549" s="223"/>
      <c r="AE549" s="1020"/>
      <c r="AF549" s="2581"/>
      <c r="AG549" s="223"/>
      <c r="AH549" s="223"/>
      <c r="AI549" s="223"/>
      <c r="AJ549" s="1020"/>
      <c r="AK549" s="2581" t="s">
        <v>116</v>
      </c>
      <c r="AL549" s="223">
        <f>AL548/AK526-1</f>
        <v>7.7684638669392347E-2</v>
      </c>
      <c r="AM549" s="223">
        <f>AM548/AL526-1</f>
        <v>0.12454817312662758</v>
      </c>
      <c r="AN549" s="223">
        <f>AN548/AM526-1</f>
        <v>0.18585505736903918</v>
      </c>
      <c r="AO549" s="1020"/>
      <c r="AP549" s="2611">
        <f>AP548/AN526-1</f>
        <v>0.18447044083591968</v>
      </c>
      <c r="AQ549" s="223">
        <f>AQ548/AP526-1</f>
        <v>6.0655878995467427E-2</v>
      </c>
      <c r="AR549" s="223">
        <f>AR548/AQ526-1</f>
        <v>8.5301156209480977E-2</v>
      </c>
      <c r="AS549" s="223">
        <f>AS548/AR526-1</f>
        <v>9.9553107267092322E-2</v>
      </c>
      <c r="AT549" s="1020"/>
      <c r="AU549" s="2611">
        <f>AU548/AS526-1</f>
        <v>0.13429817678541478</v>
      </c>
      <c r="AV549" s="223">
        <f>AV548/AU526-1</f>
        <v>2.3398372198573325E-2</v>
      </c>
      <c r="AW549" s="223">
        <f>AW548/AV526-1</f>
        <v>3.7565692017821561E-2</v>
      </c>
      <c r="AX549" s="223">
        <f>AX548/AW526-1</f>
        <v>0.12313258353859369</v>
      </c>
      <c r="AY549" s="1020"/>
      <c r="AZ549" s="2611">
        <f>AZ548/AX526-1</f>
        <v>4.8576930560024101E-2</v>
      </c>
      <c r="BA549" s="2612">
        <f>BA548/AZ526-1</f>
        <v>-4.2200886211669619E-3</v>
      </c>
      <c r="BB549" s="2612">
        <f>BB548/BA526-1</f>
        <v>2.1576185887139943E-2</v>
      </c>
      <c r="BC549" s="2612">
        <f>BC548/BB526-1</f>
        <v>8.4017366312866271E-2</v>
      </c>
      <c r="BD549" s="1020"/>
      <c r="BE549" s="2611">
        <f>BE548/BC526-1</f>
        <v>4.8975295225016646E-2</v>
      </c>
      <c r="BF549" s="2612">
        <f>BF548/BE526-1</f>
        <v>3.6043587594300153E-2</v>
      </c>
      <c r="BG549" s="2612">
        <f>BG548/BF526-1</f>
        <v>6.4552661381653387E-2</v>
      </c>
      <c r="BH549" s="2612">
        <f>BH548/BG526-1</f>
        <v>0.11010878217033704</v>
      </c>
      <c r="BI549" s="1020"/>
      <c r="BJ549" s="2611">
        <f>BJ548/BH526-1</f>
        <v>3.7856328392246397E-2</v>
      </c>
      <c r="BK549" s="2612">
        <f>BK548/BJ526-1</f>
        <v>2.9321663019693744E-2</v>
      </c>
      <c r="BL549" s="2612">
        <f>BL548/BK526-1</f>
        <v>7.7191541777869022E-2</v>
      </c>
      <c r="BM549" s="2612">
        <f>BM548/BL526-1</f>
        <v>0.10245283018867934</v>
      </c>
      <c r="BN549" s="1020"/>
      <c r="BO549" s="223"/>
      <c r="BP549" s="223"/>
      <c r="BQ549" s="223"/>
      <c r="BR549" s="223"/>
      <c r="BS549" s="1050"/>
      <c r="BT549" s="2612">
        <f>BT548/BM526-1</f>
        <v>4.3897216274090045E-2</v>
      </c>
      <c r="BU549" s="2612">
        <f>BU548/BT526-1</f>
        <v>4.4359729682897253E-2</v>
      </c>
      <c r="BV549" s="2612">
        <f>BV548/BU526-1</f>
        <v>4.8162443362980367E-2</v>
      </c>
      <c r="BW549" s="2612">
        <f>BW548/BV526-1</f>
        <v>0.11014729950900159</v>
      </c>
      <c r="BX549" s="1020"/>
      <c r="BY549" s="223"/>
      <c r="BZ549" s="223"/>
      <c r="CA549" s="223"/>
      <c r="CB549" s="223"/>
      <c r="CC549" s="1050"/>
      <c r="CD549" s="2611">
        <f>CD548/BW526-1</f>
        <v>3.0811514537827378E-2</v>
      </c>
      <c r="CE549" s="2612">
        <f>CE548/CD526-1</f>
        <v>3.8369641602248761E-2</v>
      </c>
      <c r="CF549" s="2612">
        <f>CF548/CE526-1</f>
        <v>6.9893218693662496E-2</v>
      </c>
      <c r="CG549" s="2612">
        <f>CG548/CF526-1</f>
        <v>0.12275215011727902</v>
      </c>
      <c r="CH549" s="1020"/>
      <c r="CI549" s="2612">
        <f>CI548/CG526-1</f>
        <v>-2.2457820337437262E-2</v>
      </c>
      <c r="CJ549" s="2612">
        <f>CJ548/CI526-1</f>
        <v>4.633431085043993E-2</v>
      </c>
      <c r="CK549" s="2612">
        <f>CK548/CJ526-1</f>
        <v>2.9787707013448905E-2</v>
      </c>
      <c r="CL549" s="2612">
        <f>CL548/CK526-1</f>
        <v>0.12392651375149466</v>
      </c>
      <c r="CM549" s="1020"/>
      <c r="CN549" s="2612">
        <f>CN548/CL526-1</f>
        <v>3.194529495815468E-2</v>
      </c>
      <c r="CO549" s="2612">
        <f>CO548/CN526-1</f>
        <v>4.8652616126664494E-2</v>
      </c>
      <c r="CP549" s="2612">
        <f>CP548/CO526-1</f>
        <v>2.7895443744188508E-2</v>
      </c>
      <c r="CQ549" s="223">
        <f>CQ548/CP526-1</f>
        <v>0.13297068600785744</v>
      </c>
      <c r="CR549" s="1020"/>
      <c r="CS549" s="2612">
        <f>CS548/CQ526-1</f>
        <v>-9.061254077564751E-4</v>
      </c>
      <c r="CT549" s="2612">
        <f>CT548/CS526-1</f>
        <v>2.6480323648400139E-2</v>
      </c>
      <c r="CU549" s="2612">
        <f>CU548/CT526-1</f>
        <v>3.9162668992586136E-2</v>
      </c>
      <c r="CV549" s="2612">
        <f>CV548/CU526-1</f>
        <v>0.14955092357227584</v>
      </c>
      <c r="CW549" s="1020"/>
      <c r="CX549" s="2612">
        <f>CX548/CV526-1</f>
        <v>-4.5699730296673291E-3</v>
      </c>
      <c r="CY549" s="223"/>
      <c r="CZ549" s="223"/>
      <c r="DA549" s="223"/>
      <c r="DB549" s="1020"/>
      <c r="DC549" s="2612">
        <f>DC548/DA526-1</f>
        <v>-1.834862385321101E-2</v>
      </c>
      <c r="DD549" s="223"/>
      <c r="DE549" s="223"/>
      <c r="DF549" s="223"/>
      <c r="DG549" s="1020"/>
      <c r="DH549" s="2612">
        <f>DH548/DF526-1</f>
        <v>-4.1009617731777581E-2</v>
      </c>
      <c r="DI549" s="223"/>
      <c r="DJ549" s="223"/>
      <c r="DK549" s="223"/>
      <c r="DL549" s="1020"/>
      <c r="DM549" s="2612">
        <f>DM548/DK526-1</f>
        <v>-8.3268033158741317E-2</v>
      </c>
      <c r="DN549" s="223"/>
      <c r="DO549" s="223"/>
      <c r="DP549" s="223"/>
      <c r="DQ549" s="1020"/>
      <c r="DR549" s="223"/>
      <c r="DS549" s="223"/>
      <c r="DT549" s="223"/>
      <c r="DU549" s="223"/>
      <c r="DV549" s="1020"/>
      <c r="DW549" s="223"/>
      <c r="DX549" s="223"/>
      <c r="DY549" s="223"/>
      <c r="DZ549" s="223"/>
      <c r="EA549" s="1020"/>
      <c r="EB549" s="223"/>
      <c r="EC549" s="223"/>
      <c r="ED549" s="223"/>
      <c r="EE549" s="223"/>
      <c r="EF549" s="1020"/>
      <c r="EG549" s="223"/>
      <c r="EH549" s="223"/>
      <c r="EI549" s="223"/>
      <c r="EJ549" s="223"/>
      <c r="EK549" s="1020"/>
      <c r="EL549" s="223"/>
      <c r="EM549" s="223"/>
      <c r="EN549" s="223"/>
      <c r="EO549" s="223"/>
      <c r="EP549" s="1020"/>
      <c r="EQ549" s="223"/>
      <c r="ER549" s="223"/>
      <c r="ES549" s="223"/>
      <c r="ET549" s="223"/>
      <c r="EU549" s="1020"/>
      <c r="EV549" s="1020"/>
      <c r="EW549" s="1020"/>
      <c r="EX549" s="1020"/>
      <c r="EY549" s="1020"/>
      <c r="EZ549" s="223"/>
      <c r="FA549" s="725"/>
      <c r="FB549" s="725"/>
    </row>
    <row r="550" spans="1:158" s="214" customFormat="1" ht="11.25" hidden="1" customHeight="1">
      <c r="A550" s="2676" t="s">
        <v>296</v>
      </c>
      <c r="B550" s="2668"/>
      <c r="C550" s="2615"/>
      <c r="D550" s="2615"/>
      <c r="E550" s="2615"/>
      <c r="F550" s="2654"/>
      <c r="G550" s="2668"/>
      <c r="H550" s="2615"/>
      <c r="I550" s="2615"/>
      <c r="J550" s="2615"/>
      <c r="K550" s="2590"/>
      <c r="L550" s="2606"/>
      <c r="M550" s="2606"/>
      <c r="N550" s="2606"/>
      <c r="O550" s="2606"/>
      <c r="P550" s="2590"/>
      <c r="Q550" s="2655"/>
      <c r="R550" s="2606"/>
      <c r="S550" s="2606"/>
      <c r="T550" s="2606"/>
      <c r="U550" s="2590"/>
      <c r="V550" s="2655"/>
      <c r="W550" s="2606"/>
      <c r="X550" s="2606"/>
      <c r="Y550" s="2606"/>
      <c r="Z550" s="2590"/>
      <c r="AA550" s="2655"/>
      <c r="AB550" s="2606"/>
      <c r="AC550" s="2606"/>
      <c r="AD550" s="2606"/>
      <c r="AE550" s="2590"/>
      <c r="AF550" s="2655"/>
      <c r="AG550" s="2606"/>
      <c r="AH550" s="2606"/>
      <c r="AI550" s="2606"/>
      <c r="AJ550" s="2590"/>
      <c r="AK550" s="2655" t="s">
        <v>116</v>
      </c>
      <c r="AL550" s="2606">
        <f>(AL528-AL549)*10000</f>
        <v>277.70835069010457</v>
      </c>
      <c r="AM550" s="2606">
        <f>(AM528-AM549)*10000</f>
        <v>183.58108728314448</v>
      </c>
      <c r="AN550" s="2606">
        <f>(AN528-AN549)*10000</f>
        <v>152.17251629091376</v>
      </c>
      <c r="AO550" s="2590"/>
      <c r="AP550" s="2655">
        <f>(AP528-AP549)*10000</f>
        <v>160.48313871233287</v>
      </c>
      <c r="AQ550" s="2606">
        <f>(AQ528-AQ549)*10000</f>
        <v>205.2077024417942</v>
      </c>
      <c r="AR550" s="2606">
        <f>(AR528-AR549)*10000</f>
        <v>131.2333823018208</v>
      </c>
      <c r="AS550" s="2606">
        <f>(AS528-AS549)*10000</f>
        <v>462.09853955138993</v>
      </c>
      <c r="AT550" s="2590"/>
      <c r="AU550" s="2655">
        <f>(AU528-AU549)*10000</f>
        <v>77.990650601453822</v>
      </c>
      <c r="AV550" s="2606">
        <f>(AV528-AV549)*10000</f>
        <v>330.49507483110085</v>
      </c>
      <c r="AW550" s="2606">
        <f>(AW528-AW549)*10000</f>
        <v>-210.7001387049734</v>
      </c>
      <c r="AX550" s="2606">
        <f>(AX528-AX549)*10000</f>
        <v>-1173.4206864229968</v>
      </c>
      <c r="AY550" s="2590"/>
      <c r="AZ550" s="2655">
        <f>(AZ528-AZ549)*10000</f>
        <v>-419.16111190868133</v>
      </c>
      <c r="BA550" s="2606">
        <f>(BA528-BA549)*10000</f>
        <v>152.67546401196429</v>
      </c>
      <c r="BB550" s="2606">
        <f>(BB528-BB549)*10000</f>
        <v>569.70905027442063</v>
      </c>
      <c r="BC550" s="2606">
        <f>(BC528-BC549)*10000</f>
        <v>356.38871316945318</v>
      </c>
      <c r="BD550" s="2590"/>
      <c r="BE550" s="2655">
        <f>(BE528-BE549)*10000</f>
        <v>-318.30190480954144</v>
      </c>
      <c r="BF550" s="2606">
        <f>(BF528-BF549)*10000</f>
        <v>-491.75747415479253</v>
      </c>
      <c r="BG550" s="2606">
        <f>(BG528-BG549)*10000</f>
        <v>25.481313703283881</v>
      </c>
      <c r="BH550" s="2606">
        <f>(BH528-BH549)*10000</f>
        <v>533.29795701777539</v>
      </c>
      <c r="BI550" s="2590"/>
      <c r="BJ550" s="2655">
        <f>(BJ528-BJ549)*10000</f>
        <v>43.329532497149437</v>
      </c>
      <c r="BK550" s="2606">
        <f>(BK528-BK549)*10000</f>
        <v>365.42669584245016</v>
      </c>
      <c r="BL550" s="2606">
        <f>(BL528-BL549)*10000</f>
        <v>108.80722644220909</v>
      </c>
      <c r="BM550" s="2606">
        <f>(BM528-BM549)*10000</f>
        <v>-450.9433962264153</v>
      </c>
      <c r="BN550" s="2590"/>
      <c r="BO550" s="2606"/>
      <c r="BP550" s="2606"/>
      <c r="BQ550" s="2606"/>
      <c r="BR550" s="2606"/>
      <c r="BS550" s="2600"/>
      <c r="BT550" s="2606">
        <f>(BT528-BT549)*10000</f>
        <v>-438.97216274090044</v>
      </c>
      <c r="BU550" s="2606">
        <f>(BU528-BU549)*10000</f>
        <v>-443.5972968289725</v>
      </c>
      <c r="BV550" s="2606">
        <f>(BV528-BV549)*10000</f>
        <v>-481.62443362980366</v>
      </c>
      <c r="BW550" s="2606">
        <f>(BW528-BW549)*10000</f>
        <v>-1101.472995090016</v>
      </c>
      <c r="BX550" s="2590"/>
      <c r="BY550" s="2606"/>
      <c r="BZ550" s="2606"/>
      <c r="CA550" s="2606"/>
      <c r="CB550" s="2606"/>
      <c r="CC550" s="2600"/>
      <c r="CD550" s="2655">
        <f>(CD528-CD549)*10000</f>
        <v>-308.11514537827378</v>
      </c>
      <c r="CE550" s="2606">
        <f>(CE528-CE549)*10000</f>
        <v>-383.6964160224876</v>
      </c>
      <c r="CF550" s="2606">
        <f>(CF528-CF549)*10000</f>
        <v>-698.93218693662493</v>
      </c>
      <c r="CG550" s="2606">
        <f>(CG528-CG549)*10000</f>
        <v>-1227.5215011727903</v>
      </c>
      <c r="CH550" s="2590"/>
      <c r="CI550" s="2606">
        <f>(CI528-CI549)*10000</f>
        <v>-56.999544003648595</v>
      </c>
      <c r="CJ550" s="2606">
        <f>(CJ528-CJ549)*10000</f>
        <v>90.322580645161295</v>
      </c>
      <c r="CK550" s="2606">
        <f>(CK528-CK549)*10000</f>
        <v>-73.357785928642727</v>
      </c>
      <c r="CL550" s="2606">
        <f>(CL528-CL549)*10000</f>
        <v>-1239.2651375149467</v>
      </c>
      <c r="CM550" s="2590"/>
      <c r="CN550" s="2606">
        <f>(CN528-CN549)*10000</f>
        <v>-585.83384364155893</v>
      </c>
      <c r="CO550" s="2606">
        <f>(CO528-CO549)*10000</f>
        <v>-337.63237915487076</v>
      </c>
      <c r="CP550" s="2606">
        <f>(CP528-CP549)*10000</f>
        <v>-22.729620828598751</v>
      </c>
      <c r="CQ550" s="2606">
        <f>(CQ528-CQ549)*10000</f>
        <v>-212.55162687619622</v>
      </c>
      <c r="CR550" s="2590"/>
      <c r="CS550" s="2606">
        <f>(CS528-CS549)*10000</f>
        <v>-135.9188111634646</v>
      </c>
      <c r="CT550" s="2606">
        <f>(CT528-CT549)*10000</f>
        <v>276.75616035307104</v>
      </c>
      <c r="CU550" s="2606">
        <f>(CU528-CU549)*10000</f>
        <v>-97.688617531617169</v>
      </c>
      <c r="CV550" s="2606">
        <f>(CV528-CV549)*10000</f>
        <v>-185.56176919166222</v>
      </c>
      <c r="CW550" s="2590"/>
      <c r="CX550" s="2606">
        <f>(CX528-CX549)*10000</f>
        <v>-229.24782738987125</v>
      </c>
      <c r="CY550" s="2606"/>
      <c r="CZ550" s="2606"/>
      <c r="DA550" s="2606"/>
      <c r="DB550" s="2590"/>
      <c r="DC550" s="2606">
        <f>(DC528-DC549)*10000</f>
        <v>246.81858538028956</v>
      </c>
      <c r="DD550" s="2606"/>
      <c r="DE550" s="2606"/>
      <c r="DF550" s="2606"/>
      <c r="DG550" s="2590"/>
      <c r="DH550" s="2606">
        <f>(DH528-DH549)*10000</f>
        <v>13.181662842357555</v>
      </c>
      <c r="DI550" s="2606"/>
      <c r="DJ550" s="2606"/>
      <c r="DK550" s="2606"/>
      <c r="DL550" s="2590"/>
      <c r="DM550" s="2606">
        <f>(DM528-DM549)*10000</f>
        <v>4.9490658638184915</v>
      </c>
      <c r="DN550" s="2606"/>
      <c r="DO550" s="2606"/>
      <c r="DP550" s="2606"/>
      <c r="DQ550" s="2590"/>
      <c r="DR550" s="2606"/>
      <c r="DS550" s="2606"/>
      <c r="DT550" s="2606"/>
      <c r="DU550" s="2606"/>
      <c r="DV550" s="2590"/>
      <c r="DW550" s="2606"/>
      <c r="DX550" s="2606"/>
      <c r="DY550" s="2606"/>
      <c r="DZ550" s="2606"/>
      <c r="EA550" s="2590"/>
      <c r="EB550" s="2606"/>
      <c r="EC550" s="2606"/>
      <c r="ED550" s="2606"/>
      <c r="EE550" s="2606"/>
      <c r="EF550" s="2590"/>
      <c r="EG550" s="2606"/>
      <c r="EH550" s="2606"/>
      <c r="EI550" s="2606"/>
      <c r="EJ550" s="2606"/>
      <c r="EK550" s="2590"/>
      <c r="EL550" s="2606"/>
      <c r="EM550" s="2606"/>
      <c r="EN550" s="2606"/>
      <c r="EO550" s="2606"/>
      <c r="EP550" s="2590"/>
      <c r="EQ550" s="2606"/>
      <c r="ER550" s="2606"/>
      <c r="ES550" s="2606"/>
      <c r="ET550" s="2606"/>
      <c r="EU550" s="2590"/>
      <c r="EV550" s="2590"/>
      <c r="EW550" s="2590"/>
      <c r="EX550" s="2590"/>
      <c r="EY550" s="2590"/>
      <c r="EZ550" s="51"/>
      <c r="FA550" s="725"/>
      <c r="FB550" s="725"/>
    </row>
    <row r="551" spans="1:158" s="252" customFormat="1" ht="11.25" hidden="1" customHeight="1">
      <c r="A551" s="2670"/>
      <c r="B551" s="2680"/>
      <c r="C551" s="2620"/>
      <c r="D551" s="2620"/>
      <c r="E551" s="2620"/>
      <c r="F551" s="2681"/>
      <c r="G551" s="2680"/>
      <c r="H551" s="2620"/>
      <c r="I551" s="2620"/>
      <c r="J551" s="2620"/>
      <c r="K551" s="2592"/>
      <c r="L551" s="2621"/>
      <c r="M551" s="2621"/>
      <c r="N551" s="2621"/>
      <c r="O551" s="2621"/>
      <c r="P551" s="2592"/>
      <c r="Q551" s="2665"/>
      <c r="R551" s="2621"/>
      <c r="S551" s="2621"/>
      <c r="T551" s="2621"/>
      <c r="U551" s="2592"/>
      <c r="V551" s="2665"/>
      <c r="W551" s="2621"/>
      <c r="X551" s="2621"/>
      <c r="Y551" s="2621"/>
      <c r="Z551" s="2592"/>
      <c r="AA551" s="2665"/>
      <c r="AB551" s="2621"/>
      <c r="AC551" s="2621"/>
      <c r="AD551" s="2621"/>
      <c r="AE551" s="2592"/>
      <c r="AF551" s="2665"/>
      <c r="AG551" s="2621"/>
      <c r="AH551" s="2621"/>
      <c r="AI551" s="2621"/>
      <c r="AJ551" s="2592"/>
      <c r="AK551" s="2665"/>
      <c r="AL551" s="2621"/>
      <c r="AM551" s="2621"/>
      <c r="AN551" s="2621"/>
      <c r="AO551" s="2592"/>
      <c r="AP551" s="2665"/>
      <c r="AQ551" s="2621"/>
      <c r="AR551" s="2621"/>
      <c r="AS551" s="2621"/>
      <c r="AT551" s="2592"/>
      <c r="AU551" s="2665"/>
      <c r="AV551" s="2621"/>
      <c r="AW551" s="2621"/>
      <c r="AX551" s="2621"/>
      <c r="AY551" s="2592"/>
      <c r="AZ551" s="2665"/>
      <c r="BA551" s="2621"/>
      <c r="BB551" s="2621"/>
      <c r="BC551" s="2621"/>
      <c r="BD551" s="2592"/>
      <c r="BE551" s="2665"/>
      <c r="BF551" s="2621"/>
      <c r="BG551" s="2621"/>
      <c r="BH551" s="2621"/>
      <c r="BI551" s="2592"/>
      <c r="BJ551" s="2665"/>
      <c r="BK551" s="2621"/>
      <c r="BL551" s="2621"/>
      <c r="BM551" s="2621"/>
      <c r="BN551" s="2592"/>
      <c r="BO551" s="2621"/>
      <c r="BP551" s="2621"/>
      <c r="BQ551" s="2621"/>
      <c r="BR551" s="2621"/>
      <c r="BS551" s="2596"/>
      <c r="BT551" s="2621"/>
      <c r="BU551" s="2621"/>
      <c r="BV551" s="2621"/>
      <c r="BW551" s="2621"/>
      <c r="BX551" s="2592"/>
      <c r="BY551" s="2621"/>
      <c r="BZ551" s="2621"/>
      <c r="CA551" s="2621"/>
      <c r="CB551" s="2621"/>
      <c r="CC551" s="2596"/>
      <c r="CD551" s="2665"/>
      <c r="CE551" s="2621"/>
      <c r="CF551" s="2621"/>
      <c r="CG551" s="2621"/>
      <c r="CH551" s="2592"/>
      <c r="CI551" s="2621"/>
      <c r="CJ551" s="2621"/>
      <c r="CK551" s="2621"/>
      <c r="CL551" s="2621"/>
      <c r="CM551" s="2592"/>
      <c r="CN551" s="2621"/>
      <c r="CO551" s="2621"/>
      <c r="CP551" s="2621"/>
      <c r="CQ551" s="2621"/>
      <c r="CR551" s="2592"/>
      <c r="CS551" s="2621"/>
      <c r="CT551" s="2621"/>
      <c r="CU551" s="2621"/>
      <c r="CV551" s="2621"/>
      <c r="CW551" s="2592"/>
      <c r="CX551" s="2621"/>
      <c r="CY551" s="2621"/>
      <c r="CZ551" s="2621"/>
      <c r="DA551" s="2621"/>
      <c r="DB551" s="2592"/>
      <c r="DC551" s="2621"/>
      <c r="DD551" s="2621"/>
      <c r="DE551" s="2621"/>
      <c r="DF551" s="2621"/>
      <c r="DG551" s="2592"/>
      <c r="DH551" s="2621"/>
      <c r="DI551" s="2621"/>
      <c r="DJ551" s="2621"/>
      <c r="DK551" s="2621"/>
      <c r="DL551" s="2592"/>
      <c r="DM551" s="2621"/>
      <c r="DN551" s="2621"/>
      <c r="DO551" s="2621"/>
      <c r="DP551" s="2621"/>
      <c r="DQ551" s="2592"/>
      <c r="DR551" s="2621"/>
      <c r="DS551" s="2621"/>
      <c r="DT551" s="2621"/>
      <c r="DU551" s="2621"/>
      <c r="DV551" s="2592"/>
      <c r="DW551" s="2621"/>
      <c r="DX551" s="2621"/>
      <c r="DY551" s="2621"/>
      <c r="DZ551" s="2621"/>
      <c r="EA551" s="2592"/>
      <c r="EB551" s="2621"/>
      <c r="EC551" s="2621"/>
      <c r="ED551" s="2621"/>
      <c r="EE551" s="2621"/>
      <c r="EF551" s="2592"/>
      <c r="EG551" s="2621"/>
      <c r="EH551" s="2621"/>
      <c r="EI551" s="2621"/>
      <c r="EJ551" s="2621"/>
      <c r="EK551" s="2592"/>
      <c r="EL551" s="2621"/>
      <c r="EM551" s="2621"/>
      <c r="EN551" s="2621"/>
      <c r="EO551" s="2621"/>
      <c r="EP551" s="2592"/>
      <c r="EQ551" s="2621"/>
      <c r="ER551" s="2621"/>
      <c r="ES551" s="2621"/>
      <c r="ET551" s="2621"/>
      <c r="EU551" s="2592"/>
      <c r="EV551" s="2592"/>
      <c r="EW551" s="2592"/>
      <c r="EX551" s="2592"/>
      <c r="EY551" s="2592"/>
      <c r="EZ551" s="251"/>
      <c r="FA551" s="725"/>
      <c r="FB551" s="725"/>
    </row>
    <row r="552" spans="1:158" s="252" customFormat="1" ht="11.25" hidden="1" customHeight="1">
      <c r="A552" s="2670" t="s">
        <v>619</v>
      </c>
      <c r="B552" s="2680"/>
      <c r="C552" s="2620"/>
      <c r="D552" s="2620"/>
      <c r="E552" s="2620"/>
      <c r="F552" s="2681"/>
      <c r="G552" s="2680"/>
      <c r="H552" s="2620"/>
      <c r="I552" s="2620"/>
      <c r="J552" s="2620"/>
      <c r="K552" s="2592"/>
      <c r="L552" s="2621"/>
      <c r="M552" s="2621"/>
      <c r="N552" s="2621"/>
      <c r="O552" s="2621"/>
      <c r="P552" s="2592"/>
      <c r="Q552" s="2665"/>
      <c r="R552" s="2621"/>
      <c r="S552" s="2621"/>
      <c r="T552" s="2621"/>
      <c r="U552" s="2592"/>
      <c r="V552" s="2665"/>
      <c r="W552" s="2621"/>
      <c r="X552" s="2621"/>
      <c r="Y552" s="2621"/>
      <c r="Z552" s="2592"/>
      <c r="AA552" s="2665"/>
      <c r="AB552" s="2621"/>
      <c r="AC552" s="2621"/>
      <c r="AD552" s="2621"/>
      <c r="AE552" s="2592"/>
      <c r="AF552" s="2665"/>
      <c r="AG552" s="2621"/>
      <c r="AH552" s="2621"/>
      <c r="AI552" s="2621"/>
      <c r="AJ552" s="2592"/>
      <c r="AK552" s="2665" t="s">
        <v>116</v>
      </c>
      <c r="AL552" s="2621" t="s">
        <v>116</v>
      </c>
      <c r="AM552" s="2621" t="s">
        <v>116</v>
      </c>
      <c r="AN552" s="2621" t="s">
        <v>116</v>
      </c>
      <c r="AO552" s="2592" t="s">
        <v>116</v>
      </c>
      <c r="AP552" s="2665" t="s">
        <v>116</v>
      </c>
      <c r="AQ552" s="2621" t="s">
        <v>116</v>
      </c>
      <c r="AR552" s="2621" t="s">
        <v>116</v>
      </c>
      <c r="AS552" s="2621" t="s">
        <v>116</v>
      </c>
      <c r="AT552" s="2592" t="s">
        <v>116</v>
      </c>
      <c r="AU552" s="2665">
        <f>AU526-AU547-AU214</f>
        <v>2632.4690000000001</v>
      </c>
      <c r="AV552" s="2621">
        <f>AV526-AV547-AV214</f>
        <v>2707.788</v>
      </c>
      <c r="AW552" s="2621">
        <f>AW526-AW547-AW214</f>
        <v>2871.1790000000001</v>
      </c>
      <c r="AX552" s="2621">
        <f>AX526-AX547-AX214</f>
        <v>3067.9609999999984</v>
      </c>
      <c r="AY552" s="2592" t="s">
        <v>116</v>
      </c>
      <c r="AZ552" s="2665">
        <f>AZ526-AZ547-AZ214</f>
        <v>2847.93</v>
      </c>
      <c r="BA552" s="2621">
        <f>BA526-BA547-BA214</f>
        <v>2745.768</v>
      </c>
      <c r="BB552" s="2621">
        <f>BB526-BB547-BB214</f>
        <v>2937.636</v>
      </c>
      <c r="BC552" s="2621">
        <f>BC526-BC547-BC214</f>
        <v>3398.6720000000005</v>
      </c>
      <c r="BD552" s="2592" t="s">
        <v>116</v>
      </c>
      <c r="BE552" s="2665">
        <f>BE526-BE547-BE214</f>
        <v>3681</v>
      </c>
      <c r="BF552" s="2621">
        <f>BF526-BF547-BF214</f>
        <v>3629</v>
      </c>
      <c r="BG552" s="2621">
        <f>BG526-BG547-BG214</f>
        <v>3671</v>
      </c>
      <c r="BH552" s="2621">
        <f>BH526-BH547-BH214</f>
        <v>4159</v>
      </c>
      <c r="BI552" s="2592" t="s">
        <v>116</v>
      </c>
      <c r="BJ552" s="2665">
        <f>BJ526-BJ547-BJ214</f>
        <v>4537</v>
      </c>
      <c r="BK552" s="2621">
        <f>BK526-BK547-BK214</f>
        <v>4700</v>
      </c>
      <c r="BL552" s="2621">
        <f>BL526-BL547-BL214</f>
        <v>5246</v>
      </c>
      <c r="BM552" s="2621">
        <f>BM526-BM547-BM214</f>
        <v>5818</v>
      </c>
      <c r="BN552" s="2592" t="s">
        <v>116</v>
      </c>
      <c r="BO552" s="2621"/>
      <c r="BP552" s="2621"/>
      <c r="BQ552" s="2621"/>
      <c r="BR552" s="2621"/>
      <c r="BS552" s="2596"/>
      <c r="BT552" s="2621">
        <f>BT526-BT547-BT214</f>
        <v>5813</v>
      </c>
      <c r="BU552" s="2621">
        <f>BU526-BU547-BU214</f>
        <v>5946</v>
      </c>
      <c r="BV552" s="2621">
        <f>BV526-BV547-BV214</f>
        <v>6184</v>
      </c>
      <c r="BW552" s="2621">
        <f>BW526-BW547-BW214</f>
        <v>6746</v>
      </c>
      <c r="BX552" s="2592" t="s">
        <v>116</v>
      </c>
      <c r="BY552" s="2621"/>
      <c r="BZ552" s="2621"/>
      <c r="CA552" s="2621"/>
      <c r="CB552" s="2621"/>
      <c r="CC552" s="2596"/>
      <c r="CD552" s="2665">
        <f>CD526-CD547-CD214</f>
        <v>7091</v>
      </c>
      <c r="CE552" s="2621">
        <f>CE526-CE547-CE214</f>
        <v>7353</v>
      </c>
      <c r="CF552" s="2621">
        <f>CF526-CF547-CF214</f>
        <v>7693</v>
      </c>
      <c r="CG552" s="2621">
        <f>CG526-CG547-CG214</f>
        <v>8613</v>
      </c>
      <c r="CH552" s="2592" t="s">
        <v>116</v>
      </c>
      <c r="CI552" s="2621">
        <f>CI526-CI547-CI214</f>
        <v>8567</v>
      </c>
      <c r="CJ552" s="2621">
        <f>CJ526-CJ547-CJ214</f>
        <v>8914</v>
      </c>
      <c r="CK552" s="2621">
        <f>CK526-CK547-CK214</f>
        <v>9255</v>
      </c>
      <c r="CL552" s="2621">
        <f>CL526-CL547-CL214</f>
        <v>10191</v>
      </c>
      <c r="CM552" s="2592"/>
      <c r="CN552" s="2621">
        <f>CN526-CN547-CN214</f>
        <v>9800</v>
      </c>
      <c r="CO552" s="2621">
        <f>CO526-CO547-CO214</f>
        <v>9530</v>
      </c>
      <c r="CP552" s="2621">
        <f>CP526-CP547-CP214</f>
        <v>9663</v>
      </c>
      <c r="CQ552" s="2621">
        <f>CQ526-CQ547-CQ214</f>
        <v>10915</v>
      </c>
      <c r="CR552" s="2592"/>
      <c r="CS552" s="2621">
        <f>CS533-CS547</f>
        <v>10857</v>
      </c>
      <c r="CT552" s="2621">
        <f>CT533-CT547</f>
        <v>11086</v>
      </c>
      <c r="CU552" s="2621">
        <f>CU533-CU547</f>
        <v>11809</v>
      </c>
      <c r="CV552" s="2621">
        <f>CV533-CV547</f>
        <v>13380</v>
      </c>
      <c r="CW552" s="2592"/>
      <c r="CX552" s="2621">
        <f>CX533-CX547</f>
        <v>13070</v>
      </c>
      <c r="CY552" s="2621">
        <f>CY533-CY547</f>
        <v>13376</v>
      </c>
      <c r="CZ552" s="2621">
        <f>CZ533-CZ547</f>
        <v>14546</v>
      </c>
      <c r="DA552" s="2621">
        <f>DA533-DA547</f>
        <v>17108</v>
      </c>
      <c r="DB552" s="2592"/>
      <c r="DC552" s="2621">
        <f>DC533-DC547</f>
        <v>16824</v>
      </c>
      <c r="DD552" s="2621">
        <f>DD533-DD547</f>
        <v>18034</v>
      </c>
      <c r="DE552" s="2621">
        <f>DE533-DE547</f>
        <v>18752</v>
      </c>
      <c r="DF552" s="2621">
        <f>DF533-DF547</f>
        <v>20777</v>
      </c>
      <c r="DG552" s="2592"/>
      <c r="DH552" s="2621">
        <f>DH526-DH547</f>
        <v>19643</v>
      </c>
      <c r="DI552" s="2621">
        <f>DI526-DI547</f>
        <v>21196</v>
      </c>
      <c r="DJ552" s="2621">
        <f>DJ526-DJ547</f>
        <v>21699</v>
      </c>
      <c r="DK552" s="2621">
        <f>DK526-DK547</f>
        <v>24399</v>
      </c>
      <c r="DL552" s="2592"/>
      <c r="DM552" s="2621">
        <f>DM526-DM547</f>
        <v>22228</v>
      </c>
      <c r="DN552" s="2621">
        <f>DN526-DN547</f>
        <v>20692</v>
      </c>
      <c r="DO552" s="2621">
        <f>DO526-DO547</f>
        <v>23933</v>
      </c>
      <c r="DP552" s="2621">
        <f>DP526-DP547</f>
        <v>30008</v>
      </c>
      <c r="DQ552" s="2592"/>
      <c r="DR552" s="2621"/>
      <c r="DS552" s="2621"/>
      <c r="DT552" s="2621"/>
      <c r="DU552" s="2621"/>
      <c r="DV552" s="2592"/>
      <c r="DW552" s="2621"/>
      <c r="DX552" s="2621"/>
      <c r="DY552" s="2621"/>
      <c r="DZ552" s="2621"/>
      <c r="EA552" s="2592"/>
      <c r="EB552" s="2621"/>
      <c r="EC552" s="2621"/>
      <c r="ED552" s="2621"/>
      <c r="EE552" s="2621"/>
      <c r="EF552" s="2592"/>
      <c r="EG552" s="2621"/>
      <c r="EH552" s="2621"/>
      <c r="EI552" s="2621"/>
      <c r="EJ552" s="2621"/>
      <c r="EK552" s="2592"/>
      <c r="EL552" s="2621"/>
      <c r="EM552" s="2621"/>
      <c r="EN552" s="2621"/>
      <c r="EO552" s="2621"/>
      <c r="EP552" s="2592"/>
      <c r="EQ552" s="2621"/>
      <c r="ER552" s="2621"/>
      <c r="ES552" s="2621"/>
      <c r="ET552" s="2621"/>
      <c r="EU552" s="2592"/>
      <c r="EV552" s="2592"/>
      <c r="EW552" s="2592"/>
      <c r="EX552" s="2592"/>
      <c r="EY552" s="2592"/>
      <c r="EZ552" s="251"/>
      <c r="FA552" s="725"/>
      <c r="FB552" s="725"/>
    </row>
    <row r="553" spans="1:158" s="252" customFormat="1" ht="11.25" hidden="1" customHeight="1">
      <c r="A553" s="1554" t="s">
        <v>620</v>
      </c>
      <c r="B553" s="2680"/>
      <c r="C553" s="2620"/>
      <c r="D553" s="2620"/>
      <c r="E553" s="2620"/>
      <c r="F553" s="2681"/>
      <c r="G553" s="2680"/>
      <c r="H553" s="2620"/>
      <c r="I553" s="2620"/>
      <c r="J553" s="2620"/>
      <c r="K553" s="2592"/>
      <c r="L553" s="2621"/>
      <c r="M553" s="2621"/>
      <c r="N553" s="2621"/>
      <c r="O553" s="2621"/>
      <c r="P553" s="2596"/>
      <c r="Q553" s="2665"/>
      <c r="R553" s="2621"/>
      <c r="S553" s="2621"/>
      <c r="T553" s="2621"/>
      <c r="U553" s="2596"/>
      <c r="V553" s="2665"/>
      <c r="W553" s="2621"/>
      <c r="X553" s="2621"/>
      <c r="Y553" s="2621"/>
      <c r="Z553" s="2596"/>
      <c r="AA553" s="2665"/>
      <c r="AB553" s="2621"/>
      <c r="AC553" s="2621"/>
      <c r="AD553" s="2621"/>
      <c r="AE553" s="2596"/>
      <c r="AF553" s="2665"/>
      <c r="AG553" s="2621"/>
      <c r="AH553" s="2621"/>
      <c r="AI553" s="2621"/>
      <c r="AJ553" s="2596"/>
      <c r="AK553" s="2581" t="s">
        <v>116</v>
      </c>
      <c r="AL553" s="223" t="s">
        <v>116</v>
      </c>
      <c r="AM553" s="223" t="s">
        <v>116</v>
      </c>
      <c r="AN553" s="223" t="s">
        <v>116</v>
      </c>
      <c r="AO553" s="2596" t="s">
        <v>116</v>
      </c>
      <c r="AP553" s="2581" t="s">
        <v>116</v>
      </c>
      <c r="AQ553" s="223" t="s">
        <v>116</v>
      </c>
      <c r="AR553" s="223" t="s">
        <v>116</v>
      </c>
      <c r="AS553" s="223" t="s">
        <v>116</v>
      </c>
      <c r="AT553" s="2596" t="s">
        <v>116</v>
      </c>
      <c r="AU553" s="2581">
        <f>AU552/(AS526-AS214)-1</f>
        <v>0.13429817678541478</v>
      </c>
      <c r="AV553" s="223">
        <f>AV552/(AU526-AU214)-1</f>
        <v>2.1587440281690462E-2</v>
      </c>
      <c r="AW553" s="223">
        <f>AW552/(AV526-AV214)-1</f>
        <v>2.7112873060913145E-2</v>
      </c>
      <c r="AX553" s="223">
        <f>AX552/(AW526-AW214)-1</f>
        <v>9.0955092118957692E-2</v>
      </c>
      <c r="AY553" s="2596" t="s">
        <v>116</v>
      </c>
      <c r="AZ553" s="2581">
        <f>AZ552/(AX526-AX214)-1</f>
        <v>4.1686402988192484E-2</v>
      </c>
      <c r="BA553" s="223">
        <f>BA552/(AZ526-AZ214)-1</f>
        <v>6.5390240951930245E-3</v>
      </c>
      <c r="BB553" s="223">
        <f>BB552/(BA526-BA214)-1</f>
        <v>5.3003690629471745E-2</v>
      </c>
      <c r="BC553" s="223">
        <f>BC552/(BB526-BB214)-1</f>
        <v>9.5061405396767107E-2</v>
      </c>
      <c r="BD553" s="2596" t="s">
        <v>116</v>
      </c>
      <c r="BE553" s="2581">
        <f>BE552/(BC526-BC214)-1</f>
        <v>4.8517206962085835E-2</v>
      </c>
      <c r="BF553" s="223">
        <f>BF552/(BE526-BE214)-1</f>
        <v>1.6811431773606111E-2</v>
      </c>
      <c r="BG553" s="223">
        <f>BG552/(BF526-BF214)-1</f>
        <v>6.3133507095279429E-2</v>
      </c>
      <c r="BH553" s="223">
        <f>BH552/(BG526-BG214)-1</f>
        <v>0.1301630434782608</v>
      </c>
      <c r="BI553" s="2596" t="s">
        <v>116</v>
      </c>
      <c r="BJ553" s="2581">
        <f>BJ552/(BH526-BH214)-1</f>
        <v>4.0596330275229464E-2</v>
      </c>
      <c r="BK553" s="223">
        <f>BK552/(BJ526-BJ214)-1</f>
        <v>3.1606672519754131E-2</v>
      </c>
      <c r="BL553" s="223">
        <f>BL552/(BK526-BK214)-1</f>
        <v>7.787137867269367E-2</v>
      </c>
      <c r="BM553" s="223">
        <f>BM552/(BL526-BL214)-1</f>
        <v>9.794300811473855E-2</v>
      </c>
      <c r="BN553" s="2596" t="s">
        <v>116</v>
      </c>
      <c r="BO553" s="2621"/>
      <c r="BP553" s="2621"/>
      <c r="BQ553" s="2621"/>
      <c r="BR553" s="2621"/>
      <c r="BS553" s="2596"/>
      <c r="BT553" s="223">
        <f>BT552/(BM526-BM214)-1</f>
        <v>4.1943000537730812E-2</v>
      </c>
      <c r="BU553" s="223">
        <f>BU552/(BT526-BT214)-1</f>
        <v>3.6972445064527459E-2</v>
      </c>
      <c r="BV553" s="223">
        <f>BV552/(BU526-BU214)-1</f>
        <v>5.2058523307247473E-2</v>
      </c>
      <c r="BW553" s="223">
        <f>BW552/(BV526-BV214)-1</f>
        <v>0.11541005291005302</v>
      </c>
      <c r="BX553" s="2596" t="s">
        <v>116</v>
      </c>
      <c r="BY553" s="2621"/>
      <c r="BZ553" s="2621"/>
      <c r="CA553" s="2621"/>
      <c r="CB553" s="2621"/>
      <c r="CC553" s="2596"/>
      <c r="CD553" s="2581">
        <f>CD552/(BW526-BW214)-1</f>
        <v>3.1268179173938426E-2</v>
      </c>
      <c r="CE553" s="223">
        <f>CE552/(CD526-CD214)-1</f>
        <v>3.8559322033898225E-2</v>
      </c>
      <c r="CF553" s="223">
        <f>CF552/(CE526-CE214)-1</f>
        <v>7.2045707915273205E-2</v>
      </c>
      <c r="CG553" s="223">
        <f>CG552/(CF526-CF214)-1</f>
        <v>0.12558808154730783</v>
      </c>
      <c r="CH553" s="2596" t="s">
        <v>116</v>
      </c>
      <c r="CI553" s="2581">
        <f>CI552/(CG526-CG214)-1</f>
        <v>-2.3035693921769851E-2</v>
      </c>
      <c r="CJ553" s="223">
        <f>CJ552/(CI526-CI214)-1</f>
        <v>4.6612657038863414E-2</v>
      </c>
      <c r="CK553" s="223">
        <f>CK552/(CJ526-CJ214)-1</f>
        <v>2.93626960293627E-2</v>
      </c>
      <c r="CL553" s="223">
        <f>CL552/(CK526-CK214)-1</f>
        <v>0.10904342148220691</v>
      </c>
      <c r="CM553" s="2596"/>
      <c r="CN553" s="223">
        <f>CN552/(CL526-CL214)-1</f>
        <v>1.5544041450777257E-2</v>
      </c>
      <c r="CO553" s="223">
        <f>CO552/(CN526-CN214)-1</f>
        <v>3.295035768480381E-2</v>
      </c>
      <c r="CP553" s="223">
        <f>CP552/(CO526-CO214)-1</f>
        <v>4.941355343179854E-2</v>
      </c>
      <c r="CQ553" s="2643">
        <f>CQ552/(CP526-CP214)-1</f>
        <v>0.13214396846800125</v>
      </c>
      <c r="CR553" s="2596"/>
      <c r="CS553" s="223">
        <f>CS552/(CQ526-CQ214)-1</f>
        <v>1.4293721973094087E-2</v>
      </c>
      <c r="CT553" s="223">
        <f>CT552/(CS526-CS214)-1</f>
        <v>3.5397403567759333E-2</v>
      </c>
      <c r="CU553" s="223">
        <f>CU552/(CT526-CT214)-1</f>
        <v>3.7059805040835947E-2</v>
      </c>
      <c r="CV553" s="223">
        <f>CV552/(CU526-CU214)-1</f>
        <v>0.14388304693511156</v>
      </c>
      <c r="CW553" s="2596"/>
      <c r="CX553" s="223">
        <f>CX552/CV533-1</f>
        <v>-6.9143682091026282E-3</v>
      </c>
      <c r="CY553" s="223">
        <f>CY552/CX533-1</f>
        <v>4.794735192729549E-2</v>
      </c>
      <c r="CZ553" s="223">
        <f>CZ552/CY533-1</f>
        <v>6.2915601023017853E-2</v>
      </c>
      <c r="DA553" s="223">
        <f>DA552/CZ533-1</f>
        <v>0.13802966806359351</v>
      </c>
      <c r="DB553" s="2596"/>
      <c r="DC553" s="223">
        <f>DC552/DA533-1</f>
        <v>-1.5737436377464498E-2</v>
      </c>
      <c r="DD553" s="223">
        <f>DD552/DC533-1</f>
        <v>4.5995011890261672E-2</v>
      </c>
      <c r="DE553" s="223">
        <f>DE552/DD533-1</f>
        <v>5.188758624558254E-2</v>
      </c>
      <c r="DF553" s="223">
        <f>DF552/DE533-1</f>
        <v>0.14555880244803432</v>
      </c>
      <c r="DG553" s="2596"/>
      <c r="DH553" s="223">
        <f>DH552/DF526-1</f>
        <v>-4.1009617731777581E-2</v>
      </c>
      <c r="DI553" s="223">
        <f>DI552/DH526-1</f>
        <v>7.7580071174377263E-2</v>
      </c>
      <c r="DJ553" s="223">
        <f>DJ552/DI526-1</f>
        <v>3.4615934773279955E-2</v>
      </c>
      <c r="DK553" s="223">
        <f>DK552/DJ526-1</f>
        <v>0.1259864322303752</v>
      </c>
      <c r="DL553" s="2596"/>
      <c r="DM553" s="223">
        <f>DM552/DK526-1</f>
        <v>-8.3268033158741317E-2</v>
      </c>
      <c r="DN553" s="223">
        <f>DN552/DM526-1</f>
        <v>-6.9604316546762579E-2</v>
      </c>
      <c r="DO553" s="223">
        <f>DO552/DN526-1</f>
        <v>0.18791879684320256</v>
      </c>
      <c r="DP553" s="223">
        <f>DP552/DO526-1</f>
        <v>0.21229749929301489</v>
      </c>
      <c r="DQ553" s="2596"/>
      <c r="DR553" s="223"/>
      <c r="DS553" s="223"/>
      <c r="DT553" s="223"/>
      <c r="DU553" s="223"/>
      <c r="DV553" s="2596"/>
      <c r="DW553" s="223"/>
      <c r="DX553" s="223"/>
      <c r="DY553" s="223"/>
      <c r="DZ553" s="223"/>
      <c r="EA553" s="2596"/>
      <c r="EB553" s="223"/>
      <c r="EC553" s="223"/>
      <c r="ED553" s="223"/>
      <c r="EE553" s="223"/>
      <c r="EF553" s="2596"/>
      <c r="EG553" s="223"/>
      <c r="EH553" s="223"/>
      <c r="EI553" s="223"/>
      <c r="EJ553" s="223"/>
      <c r="EK553" s="2596"/>
      <c r="EL553" s="223"/>
      <c r="EM553" s="223"/>
      <c r="EN553" s="223"/>
      <c r="EO553" s="223"/>
      <c r="EP553" s="2596"/>
      <c r="EQ553" s="223"/>
      <c r="ER553" s="223"/>
      <c r="ES553" s="223"/>
      <c r="ET553" s="223"/>
      <c r="EU553" s="2596"/>
      <c r="EV553" s="2596"/>
      <c r="EW553" s="2596"/>
      <c r="EX553" s="2596"/>
      <c r="EY553" s="2596"/>
      <c r="EZ553" s="251"/>
      <c r="FA553" s="725"/>
      <c r="FB553" s="725"/>
    </row>
    <row r="554" spans="1:158" s="252" customFormat="1" ht="11.25" hidden="1" customHeight="1">
      <c r="A554" s="1559" t="s">
        <v>22</v>
      </c>
      <c r="B554" s="2680"/>
      <c r="C554" s="2620"/>
      <c r="D554" s="2620"/>
      <c r="E554" s="2620"/>
      <c r="F554" s="2681"/>
      <c r="G554" s="2680"/>
      <c r="H554" s="2620"/>
      <c r="I554" s="2620"/>
      <c r="J554" s="2620"/>
      <c r="K554" s="2592"/>
      <c r="L554" s="2621"/>
      <c r="M554" s="2621"/>
      <c r="N554" s="2621"/>
      <c r="O554" s="2621"/>
      <c r="P554" s="2592"/>
      <c r="Q554" s="2665"/>
      <c r="R554" s="2621"/>
      <c r="S554" s="2621"/>
      <c r="T554" s="2621"/>
      <c r="U554" s="2592"/>
      <c r="V554" s="2665"/>
      <c r="W554" s="2621"/>
      <c r="X554" s="2621"/>
      <c r="Y554" s="2621"/>
      <c r="Z554" s="2592"/>
      <c r="AA554" s="2665"/>
      <c r="AB554" s="2621"/>
      <c r="AC554" s="2621"/>
      <c r="AD554" s="2621"/>
      <c r="AE554" s="2592"/>
      <c r="AF554" s="2665"/>
      <c r="AG554" s="2621"/>
      <c r="AH554" s="2621"/>
      <c r="AI554" s="2621"/>
      <c r="AJ554" s="2592"/>
      <c r="AK554" s="2655" t="s">
        <v>116</v>
      </c>
      <c r="AL554" s="2606" t="s">
        <v>116</v>
      </c>
      <c r="AM554" s="2606" t="s">
        <v>116</v>
      </c>
      <c r="AN554" s="2606" t="s">
        <v>116</v>
      </c>
      <c r="AO554" s="2592"/>
      <c r="AP554" s="2655" t="s">
        <v>116</v>
      </c>
      <c r="AQ554" s="2606" t="s">
        <v>116</v>
      </c>
      <c r="AR554" s="2606" t="s">
        <v>116</v>
      </c>
      <c r="AS554" s="2606" t="s">
        <v>116</v>
      </c>
      <c r="AT554" s="2592"/>
      <c r="AU554" s="2655">
        <f>(AU528-AU553)*10000</f>
        <v>77.990650601453822</v>
      </c>
      <c r="AV554" s="2606">
        <f>(AV528-AV553)*10000</f>
        <v>348.60439399992947</v>
      </c>
      <c r="AW554" s="2606">
        <f>(AW528-AW553)*10000</f>
        <v>-106.17194913588924</v>
      </c>
      <c r="AX554" s="2606">
        <f>(AX528-AX553)*10000</f>
        <v>-851.64577222663684</v>
      </c>
      <c r="AY554" s="2592"/>
      <c r="AZ554" s="2655">
        <f>(AZ528-AZ553)*10000</f>
        <v>-350.25583619036513</v>
      </c>
      <c r="BA554" s="2606">
        <f>(BA528-BA553)*10000</f>
        <v>45.084336848364437</v>
      </c>
      <c r="BB554" s="2606">
        <f>(BB528-BB553)*10000</f>
        <v>255.43400285110263</v>
      </c>
      <c r="BC554" s="2606">
        <f>(BC528-BC553)*10000</f>
        <v>245.94832233044482</v>
      </c>
      <c r="BD554" s="2592"/>
      <c r="BE554" s="2655">
        <f>(BE528-BE553)*10000</f>
        <v>-313.72102218023332</v>
      </c>
      <c r="BF554" s="2606">
        <f>(BF528-BF553)*10000</f>
        <v>-299.43591594785215</v>
      </c>
      <c r="BG554" s="2606">
        <f>(BG528-BG553)*10000</f>
        <v>39.672856567023459</v>
      </c>
      <c r="BH554" s="2606">
        <f>(BH528-BH553)*10000</f>
        <v>332.75534393853781</v>
      </c>
      <c r="BI554" s="2592"/>
      <c r="BJ554" s="2655">
        <f>(BJ528-BJ553)*10000</f>
        <v>15.929513667318762</v>
      </c>
      <c r="BK554" s="2606">
        <f>(BK528-BK553)*10000</f>
        <v>342.57660084184624</v>
      </c>
      <c r="BL554" s="2606">
        <f>(BL528-BL553)*10000</f>
        <v>102.00885749396261</v>
      </c>
      <c r="BM554" s="2606">
        <f>(BM528-BM553)*10000</f>
        <v>-405.8451754870074</v>
      </c>
      <c r="BN554" s="2592"/>
      <c r="BO554" s="2621"/>
      <c r="BP554" s="2621"/>
      <c r="BQ554" s="2621"/>
      <c r="BR554" s="2621"/>
      <c r="BS554" s="2596"/>
      <c r="BT554" s="2606">
        <f>(BT528-BT553)*10000</f>
        <v>-419.43000537730813</v>
      </c>
      <c r="BU554" s="2606">
        <f>(BU528-BU553)*10000</f>
        <v>-369.7244506452746</v>
      </c>
      <c r="BV554" s="2606">
        <f>(BV528-BV553)*10000</f>
        <v>-520.58523307247469</v>
      </c>
      <c r="BW554" s="2606">
        <f>(BW528-BW553)*10000</f>
        <v>-1154.1005291005301</v>
      </c>
      <c r="BX554" s="2592"/>
      <c r="BY554" s="2621"/>
      <c r="BZ554" s="2621"/>
      <c r="CA554" s="2621"/>
      <c r="CB554" s="2621"/>
      <c r="CC554" s="2596"/>
      <c r="CD554" s="2655">
        <f>(CD528-CD553)*10000</f>
        <v>-312.68179173938427</v>
      </c>
      <c r="CE554" s="2606">
        <f>(CE528-CE553)*10000</f>
        <v>-385.59322033898223</v>
      </c>
      <c r="CF554" s="2606">
        <f>(CF528-CF553)*10000</f>
        <v>-720.45707915273204</v>
      </c>
      <c r="CG554" s="2606">
        <f>(CG528-CG553)*10000</f>
        <v>-1255.8808154730782</v>
      </c>
      <c r="CH554" s="2592"/>
      <c r="CI554" s="2606">
        <f>(CI528-CI553)*10000</f>
        <v>-51.220808160322704</v>
      </c>
      <c r="CJ554" s="2606">
        <f>(CJ528-CJ553)*10000</f>
        <v>87.539118760926456</v>
      </c>
      <c r="CK554" s="2606">
        <f>(CK528-CK553)*10000</f>
        <v>-69.107676087780675</v>
      </c>
      <c r="CL554" s="2606">
        <f>(CL528-CL553)*10000</f>
        <v>-1090.4342148220692</v>
      </c>
      <c r="CM554" s="2592"/>
      <c r="CN554" s="2606">
        <f>(CN528-CN553)*10000</f>
        <v>-421.82130856778468</v>
      </c>
      <c r="CO554" s="2606">
        <f>(CO528-CO553)*10000</f>
        <v>-180.60979473626392</v>
      </c>
      <c r="CP554" s="2606">
        <f>(CP528-CP553)*10000</f>
        <v>-237.91071770469907</v>
      </c>
      <c r="CQ554" s="2621">
        <f>(CQ528-CQ553)*10000</f>
        <v>-204.28445147763429</v>
      </c>
      <c r="CR554" s="2592"/>
      <c r="CS554" s="2606">
        <f>(CS528-CS553)*10000</f>
        <v>-287.91728497197022</v>
      </c>
      <c r="CT554" s="2606">
        <f>(CT528-CT553)*10000</f>
        <v>187.58536115947911</v>
      </c>
      <c r="CU554" s="2606">
        <f>(CU528-CU553)*10000</f>
        <v>-76.659978014115282</v>
      </c>
      <c r="CV554" s="2606">
        <f>(CV528-CV553)*10000</f>
        <v>-128.88300282001941</v>
      </c>
      <c r="CW554" s="2592"/>
      <c r="CX554" s="2606">
        <f>(CX528-CX553)*10000</f>
        <v>-205.80387559551826</v>
      </c>
      <c r="CY554" s="2606">
        <f>(CY528-CY553)*10000</f>
        <v>65.16865005144146</v>
      </c>
      <c r="CZ554" s="2606">
        <f>(CZ528-CZ553)*10000</f>
        <v>213.91821536888676</v>
      </c>
      <c r="DA554" s="2606">
        <f>(DA528-DA553)*10000</f>
        <v>2.9400799084666751</v>
      </c>
      <c r="DB554" s="2592"/>
      <c r="DC554" s="2606">
        <f>(DC528-DC553)*10000</f>
        <v>220.70671062282443</v>
      </c>
      <c r="DD554" s="2606">
        <f>(DD528-DD553)*10000</f>
        <v>-35.294196070008169</v>
      </c>
      <c r="DE554" s="2606">
        <f>(DE528-DE553)*10000</f>
        <v>-240.721946861151</v>
      </c>
      <c r="DF554" s="2606">
        <f>(DF528-DF553)*10000</f>
        <v>-211.69495756482524</v>
      </c>
      <c r="DG554" s="2592"/>
      <c r="DH554" s="2606">
        <f>(DH528-DH553)*10000</f>
        <v>13.181662842357555</v>
      </c>
      <c r="DI554" s="2606">
        <f>(DI528-DI553)*10000</f>
        <v>-113.37061514997471</v>
      </c>
      <c r="DJ554" s="2606">
        <f>(DJ528-DJ553)*10000</f>
        <v>-14.304105278215573</v>
      </c>
      <c r="DK554" s="2606">
        <f>(DK528-DK553)*10000</f>
        <v>-70.146291937791545</v>
      </c>
      <c r="DL554" s="2592"/>
      <c r="DM554" s="2606">
        <f>(DM528-DM553)*10000</f>
        <v>4.9490658638184915</v>
      </c>
      <c r="DN554" s="2606">
        <f>(DN528-DN553)*10000</f>
        <v>-245.05395683453224</v>
      </c>
      <c r="DO554" s="2606">
        <f>(DO528-DO553)*10000</f>
        <v>407.00848761602072</v>
      </c>
      <c r="DP554" s="2606">
        <f>(DP528-DP553)*10000</f>
        <v>76.35438128711813</v>
      </c>
      <c r="DQ554" s="2592"/>
      <c r="DR554" s="2606"/>
      <c r="DS554" s="2606"/>
      <c r="DT554" s="2606"/>
      <c r="DU554" s="2606"/>
      <c r="DV554" s="2592"/>
      <c r="DW554" s="2606"/>
      <c r="DX554" s="2606"/>
      <c r="DY554" s="2606"/>
      <c r="DZ554" s="2606"/>
      <c r="EA554" s="2592"/>
      <c r="EB554" s="2606"/>
      <c r="EC554" s="2606"/>
      <c r="ED554" s="2606"/>
      <c r="EE554" s="2606"/>
      <c r="EF554" s="2592"/>
      <c r="EG554" s="2606"/>
      <c r="EH554" s="2606"/>
      <c r="EI554" s="2606"/>
      <c r="EJ554" s="2606"/>
      <c r="EK554" s="2592"/>
      <c r="EL554" s="2606"/>
      <c r="EM554" s="2606"/>
      <c r="EN554" s="2606"/>
      <c r="EO554" s="2606"/>
      <c r="EP554" s="2592"/>
      <c r="EQ554" s="2606"/>
      <c r="ER554" s="2606"/>
      <c r="ES554" s="2606"/>
      <c r="ET554" s="2606"/>
      <c r="EU554" s="2592"/>
      <c r="EV554" s="2592"/>
      <c r="EW554" s="2592"/>
      <c r="EX554" s="2592"/>
      <c r="EY554" s="2592"/>
      <c r="EZ554" s="251"/>
      <c r="FA554" s="725"/>
      <c r="FB554" s="725"/>
    </row>
    <row r="555" spans="1:158" s="239" customFormat="1" ht="11.25" hidden="1" customHeight="1">
      <c r="A555" s="2493" t="s">
        <v>624</v>
      </c>
      <c r="B555" s="2599"/>
      <c r="C555" s="2659"/>
      <c r="D555" s="2659"/>
      <c r="E555" s="2659"/>
      <c r="F555" s="2494"/>
      <c r="G555" s="2599"/>
      <c r="H555" s="2659"/>
      <c r="I555" s="2659"/>
      <c r="J555" s="2659"/>
      <c r="K555" s="2573"/>
      <c r="L555" s="2051"/>
      <c r="M555" s="2051"/>
      <c r="N555" s="2051"/>
      <c r="O555" s="2051"/>
      <c r="P555" s="2573"/>
      <c r="Q555" s="2495"/>
      <c r="R555" s="2051"/>
      <c r="S555" s="2051"/>
      <c r="T555" s="2051"/>
      <c r="U555" s="2573"/>
      <c r="V555" s="2495"/>
      <c r="W555" s="2051"/>
      <c r="X555" s="2051"/>
      <c r="Y555" s="2051"/>
      <c r="Z555" s="2573"/>
      <c r="AA555" s="2495"/>
      <c r="AB555" s="2051"/>
      <c r="AC555" s="2051"/>
      <c r="AD555" s="2051"/>
      <c r="AE555" s="2573"/>
      <c r="AF555" s="2495"/>
      <c r="AG555" s="2051"/>
      <c r="AH555" s="2051"/>
      <c r="AI555" s="2051"/>
      <c r="AJ555" s="2573"/>
      <c r="AK555" s="2348"/>
      <c r="AL555" s="1221"/>
      <c r="AM555" s="1221"/>
      <c r="AN555" s="1221"/>
      <c r="AO555" s="2573"/>
      <c r="AP555" s="2348"/>
      <c r="AQ555" s="1221"/>
      <c r="AR555" s="1221"/>
      <c r="AS555" s="1221"/>
      <c r="AT555" s="2573"/>
      <c r="AU555" s="2348"/>
      <c r="AV555" s="1221"/>
      <c r="AW555" s="1221"/>
      <c r="AX555" s="2051"/>
      <c r="AY555" s="2573"/>
      <c r="AZ555" s="2599"/>
      <c r="BA555" s="2659"/>
      <c r="BB555" s="2659"/>
      <c r="BC555" s="2659"/>
      <c r="BD555" s="2573"/>
      <c r="BE555" s="2599"/>
      <c r="BF555" s="2659"/>
      <c r="BG555" s="2659"/>
      <c r="BH555" s="2659"/>
      <c r="BI555" s="2573"/>
      <c r="BJ555" s="2599"/>
      <c r="BK555" s="2659"/>
      <c r="BL555" s="2659"/>
      <c r="BM555" s="2659"/>
      <c r="BN555" s="2573"/>
      <c r="BO555" s="2051"/>
      <c r="BP555" s="2051"/>
      <c r="BQ555" s="2051"/>
      <c r="BR555" s="2051"/>
      <c r="BS555" s="2496"/>
      <c r="BT555" s="2659"/>
      <c r="BU555" s="2659"/>
      <c r="BV555" s="2659"/>
      <c r="BW555" s="2659"/>
      <c r="BX555" s="2496"/>
      <c r="BY555" s="2051"/>
      <c r="BZ555" s="2051"/>
      <c r="CA555" s="2051"/>
      <c r="CB555" s="2051"/>
      <c r="CC555" s="2496"/>
      <c r="CD555" s="2659"/>
      <c r="CE555" s="2659"/>
      <c r="CF555" s="2659"/>
      <c r="CG555" s="2659"/>
      <c r="CH555" s="2496"/>
      <c r="CI555" s="2659"/>
      <c r="CJ555" s="2659"/>
      <c r="CK555" s="2659"/>
      <c r="CL555" s="2659"/>
      <c r="CM555" s="2496"/>
      <c r="CN555" s="2659"/>
      <c r="CO555" s="2659"/>
      <c r="CP555" s="2659"/>
      <c r="CQ555" s="2659"/>
      <c r="CR555" s="2496"/>
      <c r="CS555" s="2659">
        <f>(1+CS535)/(1+CS553)-1</f>
        <v>-1.381597126277978E-2</v>
      </c>
      <c r="CT555" s="2659">
        <f>(1+CT535)/(1+CT553)-1</f>
        <v>2.7151362078297048E-2</v>
      </c>
      <c r="CU555" s="2659">
        <f>(1+CU535)/(1+CU553)-1</f>
        <v>-9.4842916419679568E-3</v>
      </c>
      <c r="CV555" s="2659">
        <f>(1+CV535)/(1+CV553)-1</f>
        <v>-1.6367713004484252E-2</v>
      </c>
      <c r="CW555" s="2496"/>
      <c r="CX555" s="2659">
        <f>(1+CX535)/(1+CX553)-1</f>
        <v>-2.3412394797245661E-2</v>
      </c>
      <c r="CY555" s="2659">
        <f>(1+CY535)/(1+CY553)-1</f>
        <v>2.3101076555024136E-2</v>
      </c>
      <c r="CZ555" s="2659">
        <f>(1+CZ535)/(1+CZ553)-1</f>
        <v>3.3479994500206223E-2</v>
      </c>
      <c r="DA555" s="2659">
        <f>(1+DA535)/(1+DA553)-1</f>
        <v>-8.76782791676467E-4</v>
      </c>
      <c r="DB555" s="2496"/>
      <c r="DC555" s="2659">
        <f>(1+DC535)/(1+DC553)-1</f>
        <v>2.4786019971469564E-2</v>
      </c>
      <c r="DD555" s="2659">
        <f>(1+DD535)/(1+DD553)-1</f>
        <v>-1.1478318731285464E-2</v>
      </c>
      <c r="DE555" s="2659">
        <f>(1+DE535)/(1+DE553)-1</f>
        <v>-3.2796501706484738E-2</v>
      </c>
      <c r="DF555" s="2659">
        <f>(1+DF535)/(1+DF553)-1</f>
        <v>-1.4150262309284178E-2</v>
      </c>
      <c r="DG555" s="2496"/>
      <c r="DH555" s="2659">
        <f>(1+DH528)/(1+DH553)-1</f>
        <v>1.3745354579239866E-3</v>
      </c>
      <c r="DI555" s="2659">
        <f>(1+DI528)/(1+DI553)-1</f>
        <v>-1.0520852991130369E-2</v>
      </c>
      <c r="DJ555" s="2659">
        <f>(1+DJ528)/(1+DJ553)-1</f>
        <v>-1.3825521913453098E-3</v>
      </c>
      <c r="DK555" s="2659">
        <f>(1+DK528)/(1+DK553)-1</f>
        <v>-6.2297635148981234E-3</v>
      </c>
      <c r="DL555" s="2496"/>
      <c r="DM555" s="2659">
        <f>(1+DM528)/(1+DM553)-1</f>
        <v>5.3985963649449964E-4</v>
      </c>
      <c r="DN555" s="2659">
        <f>(1+DN528)/(1+DN553)-1</f>
        <v>-2.6338681616083548E-2</v>
      </c>
      <c r="DO555" s="2659">
        <f>(1+DO528)/(1+DO553)-1</f>
        <v>3.4262315631136797E-2</v>
      </c>
      <c r="DP555" s="2659">
        <f>(1+DP528)/(1+DP553)-1</f>
        <v>6.2983204478805899E-3</v>
      </c>
      <c r="DQ555" s="2496"/>
      <c r="DR555" s="2659"/>
      <c r="DS555" s="2659"/>
      <c r="DT555" s="2659"/>
      <c r="DU555" s="2659"/>
      <c r="DV555" s="2496"/>
      <c r="DW555" s="2659"/>
      <c r="DX555" s="2659"/>
      <c r="DY555" s="2659"/>
      <c r="DZ555" s="2659"/>
      <c r="EA555" s="2249"/>
      <c r="EB555" s="2659"/>
      <c r="EC555" s="2659"/>
      <c r="ED555" s="2659"/>
      <c r="EE555" s="2659"/>
      <c r="EF555" s="2249"/>
      <c r="EG555" s="2659"/>
      <c r="EH555" s="2659"/>
      <c r="EI555" s="2659"/>
      <c r="EJ555" s="2659"/>
      <c r="EK555" s="2249"/>
      <c r="EL555" s="2659"/>
      <c r="EM555" s="2659"/>
      <c r="EN555" s="2659"/>
      <c r="EO555" s="2659"/>
      <c r="EP555" s="2249"/>
      <c r="EQ555" s="2659"/>
      <c r="ER555" s="2659"/>
      <c r="ES555" s="2659"/>
      <c r="ET555" s="2659"/>
      <c r="EU555" s="2249"/>
      <c r="EV555" s="2249"/>
      <c r="EW555" s="2249"/>
      <c r="EX555" s="2249"/>
      <c r="EY555" s="2249"/>
      <c r="FA555" s="725"/>
      <c r="FB555" s="725"/>
    </row>
    <row r="556" spans="1:158" s="211" customFormat="1" ht="11.25" hidden="1" customHeight="1">
      <c r="A556" s="2320" t="s">
        <v>660</v>
      </c>
      <c r="B556" s="2321"/>
      <c r="C556" s="2322"/>
      <c r="D556" s="2322"/>
      <c r="E556" s="2322"/>
      <c r="F556" s="2323"/>
      <c r="G556" s="2321"/>
      <c r="H556" s="2322"/>
      <c r="I556" s="2322"/>
      <c r="J556" s="2322"/>
      <c r="K556" s="2324"/>
      <c r="L556" s="2325"/>
      <c r="M556" s="2325"/>
      <c r="N556" s="2325"/>
      <c r="O556" s="2325"/>
      <c r="P556" s="2324"/>
      <c r="Q556" s="2326"/>
      <c r="R556" s="2325"/>
      <c r="S556" s="2325"/>
      <c r="T556" s="2325"/>
      <c r="U556" s="2324"/>
      <c r="V556" s="2326"/>
      <c r="W556" s="2325"/>
      <c r="X556" s="2325"/>
      <c r="Y556" s="2325"/>
      <c r="Z556" s="2324"/>
      <c r="AA556" s="2326"/>
      <c r="AB556" s="2325"/>
      <c r="AC556" s="2325"/>
      <c r="AD556" s="2325"/>
      <c r="AE556" s="2324"/>
      <c r="AF556" s="2326"/>
      <c r="AG556" s="2325"/>
      <c r="AH556" s="2325"/>
      <c r="AI556" s="2325"/>
      <c r="AJ556" s="2324"/>
      <c r="AK556" s="2326"/>
      <c r="AL556" s="2325"/>
      <c r="AM556" s="2325"/>
      <c r="AN556" s="2325"/>
      <c r="AO556" s="2324"/>
      <c r="AP556" s="2326"/>
      <c r="AQ556" s="2325"/>
      <c r="AR556" s="2325"/>
      <c r="AS556" s="2325"/>
      <c r="AT556" s="2324"/>
      <c r="AU556" s="2326"/>
      <c r="AV556" s="2325"/>
      <c r="AW556" s="2325"/>
      <c r="AX556" s="2325"/>
      <c r="AY556" s="2324"/>
      <c r="AZ556" s="2326"/>
      <c r="BA556" s="2325"/>
      <c r="BB556" s="2325"/>
      <c r="BC556" s="2325"/>
      <c r="BD556" s="2324"/>
      <c r="BE556" s="2326"/>
      <c r="BF556" s="2325"/>
      <c r="BG556" s="2325"/>
      <c r="BH556" s="2325"/>
      <c r="BI556" s="2324"/>
      <c r="BJ556" s="2326"/>
      <c r="BK556" s="2325"/>
      <c r="BL556" s="2325"/>
      <c r="BM556" s="2325"/>
      <c r="BN556" s="2324"/>
      <c r="BO556" s="2325"/>
      <c r="BP556" s="2325"/>
      <c r="BQ556" s="2325"/>
      <c r="BR556" s="2325"/>
      <c r="BS556" s="2327"/>
      <c r="BT556" s="2325"/>
      <c r="BU556" s="2325"/>
      <c r="BV556" s="2325"/>
      <c r="BW556" s="2325"/>
      <c r="BX556" s="2327"/>
      <c r="BY556" s="2325"/>
      <c r="BZ556" s="2325"/>
      <c r="CA556" s="2325"/>
      <c r="CB556" s="2325"/>
      <c r="CC556" s="2327"/>
      <c r="CD556" s="2325"/>
      <c r="CE556" s="2325"/>
      <c r="CF556" s="2325"/>
      <c r="CG556" s="2325"/>
      <c r="CH556" s="2327"/>
      <c r="CI556" s="2328"/>
      <c r="CJ556" s="2325"/>
      <c r="CK556" s="2325"/>
      <c r="CL556" s="2325"/>
      <c r="CM556" s="2327"/>
      <c r="CN556" s="2325"/>
      <c r="CO556" s="2325"/>
      <c r="CP556" s="2325"/>
      <c r="CQ556" s="2325"/>
      <c r="CR556" s="2329"/>
      <c r="CS556" s="2330"/>
      <c r="CT556" s="2330"/>
      <c r="CU556" s="2330"/>
      <c r="CV556" s="2330"/>
      <c r="CW556" s="2329"/>
      <c r="CX556" s="2330"/>
      <c r="CY556" s="2330"/>
      <c r="CZ556" s="2330"/>
      <c r="DA556" s="2330"/>
      <c r="DB556" s="2329"/>
      <c r="DC556" s="2330"/>
      <c r="DD556" s="2330"/>
      <c r="DE556" s="2330"/>
      <c r="DF556" s="2330"/>
      <c r="DG556" s="2329"/>
      <c r="DH556" s="2330"/>
      <c r="DI556" s="2330"/>
      <c r="DJ556" s="2330"/>
      <c r="DK556" s="2330"/>
      <c r="DL556" s="2329"/>
      <c r="DM556" s="2330"/>
      <c r="DN556" s="2330"/>
      <c r="DO556" s="2330"/>
      <c r="DP556" s="2330"/>
      <c r="DQ556" s="2329"/>
      <c r="DR556" s="2330"/>
      <c r="DS556" s="2330"/>
      <c r="DT556" s="2330"/>
      <c r="DU556" s="2330"/>
      <c r="DV556" s="2329"/>
      <c r="DW556" s="2330"/>
      <c r="DX556" s="2330"/>
      <c r="DY556" s="2330"/>
      <c r="DZ556" s="2330"/>
      <c r="EA556" s="2329"/>
      <c r="EB556" s="2330"/>
      <c r="EC556" s="2330"/>
      <c r="ED556" s="2330"/>
      <c r="EE556" s="2330"/>
      <c r="EF556" s="2329"/>
      <c r="EG556" s="2330"/>
      <c r="EH556" s="2330"/>
      <c r="EI556" s="2330"/>
      <c r="EJ556" s="2330"/>
      <c r="EK556" s="2329"/>
      <c r="EL556" s="2330"/>
      <c r="EM556" s="2330"/>
      <c r="EN556" s="2330"/>
      <c r="EO556" s="2330"/>
      <c r="EP556" s="2329"/>
      <c r="EQ556" s="2330"/>
      <c r="ER556" s="2330"/>
      <c r="ES556" s="2330"/>
      <c r="ET556" s="2330"/>
      <c r="EU556" s="2329"/>
      <c r="EV556" s="2329"/>
      <c r="EW556" s="2329"/>
      <c r="EX556" s="2329"/>
      <c r="EY556" s="2329"/>
      <c r="EZ556" s="209"/>
      <c r="FA556" s="725"/>
      <c r="FB556" s="725"/>
    </row>
    <row r="557" spans="1:158" s="211" customFormat="1" ht="11.25" hidden="1" customHeight="1">
      <c r="A557" s="2349" t="s">
        <v>657</v>
      </c>
      <c r="B557" s="2370"/>
      <c r="C557" s="2371"/>
      <c r="D557" s="2371"/>
      <c r="E557" s="2371"/>
      <c r="F557" s="2372"/>
      <c r="G557" s="2370"/>
      <c r="H557" s="2371"/>
      <c r="I557" s="2371"/>
      <c r="J557" s="2371"/>
      <c r="K557" s="2373"/>
      <c r="L557" s="2374"/>
      <c r="M557" s="2374"/>
      <c r="N557" s="2374"/>
      <c r="O557" s="2374"/>
      <c r="P557" s="2373"/>
      <c r="Q557" s="2375"/>
      <c r="R557" s="2374"/>
      <c r="S557" s="2374"/>
      <c r="T557" s="2374"/>
      <c r="U557" s="2373"/>
      <c r="V557" s="2375"/>
      <c r="W557" s="2374"/>
      <c r="X557" s="2374"/>
      <c r="Y557" s="2374"/>
      <c r="Z557" s="2373"/>
      <c r="AA557" s="2375"/>
      <c r="AB557" s="2374"/>
      <c r="AC557" s="2374"/>
      <c r="AD557" s="2374"/>
      <c r="AE557" s="2373"/>
      <c r="AF557" s="2375"/>
      <c r="AG557" s="2374"/>
      <c r="AH557" s="2374"/>
      <c r="AI557" s="2374"/>
      <c r="AJ557" s="2373"/>
      <c r="AK557" s="2375"/>
      <c r="AL557" s="2374"/>
      <c r="AM557" s="2374"/>
      <c r="AN557" s="2374"/>
      <c r="AO557" s="2373"/>
      <c r="AP557" s="2375"/>
      <c r="AQ557" s="2374"/>
      <c r="AR557" s="2374"/>
      <c r="AS557" s="2374"/>
      <c r="AT557" s="2373"/>
      <c r="AU557" s="2375"/>
      <c r="AV557" s="2374"/>
      <c r="AW557" s="2374"/>
      <c r="AX557" s="2374"/>
      <c r="AY557" s="2373"/>
      <c r="AZ557" s="2375"/>
      <c r="BA557" s="2374"/>
      <c r="BB557" s="2374"/>
      <c r="BC557" s="2374"/>
      <c r="BD557" s="2373"/>
      <c r="BE557" s="2375"/>
      <c r="BF557" s="2374"/>
      <c r="BG557" s="2374"/>
      <c r="BH557" s="2374"/>
      <c r="BI557" s="2373"/>
      <c r="BJ557" s="2375"/>
      <c r="BK557" s="2374"/>
      <c r="BL557" s="2374"/>
      <c r="BM557" s="2374"/>
      <c r="BN557" s="2373"/>
      <c r="BO557" s="2374"/>
      <c r="BP557" s="2374"/>
      <c r="BQ557" s="2374"/>
      <c r="BR557" s="2374"/>
      <c r="BS557" s="2376"/>
      <c r="BT557" s="2374"/>
      <c r="BU557" s="2374"/>
      <c r="BV557" s="2374"/>
      <c r="BW557" s="2374"/>
      <c r="BX557" s="2376"/>
      <c r="BY557" s="2374"/>
      <c r="BZ557" s="2374"/>
      <c r="CA557" s="2374"/>
      <c r="CB557" s="2374"/>
      <c r="CC557" s="2376"/>
      <c r="CD557" s="2374"/>
      <c r="CE557" s="2374"/>
      <c r="CF557" s="2374"/>
      <c r="CG557" s="2374"/>
      <c r="CH557" s="2376"/>
      <c r="CI557" s="2377"/>
      <c r="CJ557" s="2374"/>
      <c r="CK557" s="2374"/>
      <c r="CL557" s="2374"/>
      <c r="CM557" s="2376"/>
      <c r="CN557" s="2374"/>
      <c r="CO557" s="2374"/>
      <c r="CP557" s="2374"/>
      <c r="CQ557" s="2374"/>
      <c r="CR557" s="2378"/>
      <c r="CS557" s="2379"/>
      <c r="CT557" s="2379"/>
      <c r="CU557" s="2379"/>
      <c r="CV557" s="2379"/>
      <c r="CW557" s="2378"/>
      <c r="CX557" s="2379"/>
      <c r="CY557" s="2379"/>
      <c r="CZ557" s="2379"/>
      <c r="DA557" s="2379"/>
      <c r="DB557" s="2378"/>
      <c r="DC557" s="2379"/>
      <c r="DD557" s="2379"/>
      <c r="DE557" s="2379"/>
      <c r="DF557" s="2379"/>
      <c r="DG557" s="2378"/>
      <c r="DH557" s="2379"/>
      <c r="DI557" s="2379"/>
      <c r="DJ557" s="2379"/>
      <c r="DK557" s="2379"/>
      <c r="DL557" s="2378"/>
      <c r="DM557" s="2379"/>
      <c r="DN557" s="2379"/>
      <c r="DO557" s="2379"/>
      <c r="DP557" s="2379"/>
      <c r="DQ557" s="2378"/>
      <c r="DR557" s="2379"/>
      <c r="DS557" s="2379"/>
      <c r="DT557" s="2379"/>
      <c r="DU557" s="2379"/>
      <c r="DV557" s="2378"/>
      <c r="DW557" s="2379"/>
      <c r="DX557" s="2379"/>
      <c r="DY557" s="2379"/>
      <c r="DZ557" s="2379"/>
      <c r="EA557" s="2378"/>
      <c r="EB557" s="2379"/>
      <c r="EC557" s="2379"/>
      <c r="ED557" s="2379"/>
      <c r="EE557" s="2379"/>
      <c r="EF557" s="2378"/>
      <c r="EG557" s="2379"/>
      <c r="EH557" s="2379"/>
      <c r="EI557" s="2379"/>
      <c r="EJ557" s="2379"/>
      <c r="EK557" s="2378"/>
      <c r="EL557" s="2379"/>
      <c r="EM557" s="2379"/>
      <c r="EN557" s="2379"/>
      <c r="EO557" s="2379"/>
      <c r="EP557" s="2378"/>
      <c r="EQ557" s="2379"/>
      <c r="ER557" s="2379"/>
      <c r="ES557" s="2379"/>
      <c r="ET557" s="2379"/>
      <c r="EU557" s="2378"/>
      <c r="EV557" s="2378"/>
      <c r="EW557" s="2378"/>
      <c r="EX557" s="2378"/>
      <c r="EY557" s="2378"/>
      <c r="EZ557" s="209"/>
      <c r="FA557" s="725"/>
      <c r="FB557" s="725"/>
    </row>
    <row r="558" spans="1:158" s="180" customFormat="1" ht="11.25" hidden="1" customHeight="1">
      <c r="A558" s="3299" t="str">
        <f>A77</f>
        <v>Gross Revenue Share by Segment</v>
      </c>
      <c r="B558" s="3330"/>
      <c r="C558" s="2995"/>
      <c r="D558" s="2995"/>
      <c r="E558" s="2995"/>
      <c r="F558" s="3331"/>
      <c r="G558" s="3330"/>
      <c r="H558" s="2995"/>
      <c r="I558" s="2995"/>
      <c r="J558" s="2995"/>
      <c r="K558" s="2996"/>
      <c r="L558" s="2995"/>
      <c r="M558" s="2995"/>
      <c r="N558" s="2995"/>
      <c r="O558" s="2995"/>
      <c r="P558" s="2996"/>
      <c r="Q558" s="3330"/>
      <c r="R558" s="2995"/>
      <c r="S558" s="2995"/>
      <c r="T558" s="2995"/>
      <c r="U558" s="2996"/>
      <c r="V558" s="3330"/>
      <c r="W558" s="2995"/>
      <c r="X558" s="2995"/>
      <c r="Y558" s="2995"/>
      <c r="Z558" s="2996"/>
      <c r="AA558" s="3330"/>
      <c r="AB558" s="2995"/>
      <c r="AC558" s="2995"/>
      <c r="AD558" s="2995"/>
      <c r="AE558" s="2996"/>
      <c r="AF558" s="3330"/>
      <c r="AG558" s="2995"/>
      <c r="AH558" s="2995"/>
      <c r="AI558" s="2997"/>
      <c r="AJ558" s="2996"/>
      <c r="AK558" s="3330"/>
      <c r="AL558" s="2995"/>
      <c r="AM558" s="2995"/>
      <c r="AN558" s="2997"/>
      <c r="AO558" s="2996"/>
      <c r="AP558" s="3330"/>
      <c r="AQ558" s="2995"/>
      <c r="AR558" s="2995"/>
      <c r="AS558" s="2997"/>
      <c r="AT558" s="2996"/>
      <c r="AU558" s="3330"/>
      <c r="AV558" s="3332"/>
      <c r="AW558" s="3332"/>
      <c r="AX558" s="3332"/>
      <c r="AY558" s="2996"/>
      <c r="AZ558" s="3330"/>
      <c r="BA558" s="3333"/>
      <c r="BB558" s="3333"/>
      <c r="BC558" s="3333"/>
      <c r="BD558" s="2996"/>
      <c r="BE558" s="3330"/>
      <c r="BF558" s="3334"/>
      <c r="BG558" s="2995"/>
      <c r="BH558" s="2997"/>
      <c r="BI558" s="2996"/>
      <c r="BJ558" s="3330"/>
      <c r="BK558" s="2995"/>
      <c r="BL558" s="2995"/>
      <c r="BM558" s="2995"/>
      <c r="BN558" s="2996"/>
      <c r="BO558" s="2995"/>
      <c r="BP558" s="2995"/>
      <c r="BQ558" s="2995"/>
      <c r="BR558" s="2995"/>
      <c r="BS558" s="3335"/>
      <c r="BT558" s="2995"/>
      <c r="BU558" s="2995"/>
      <c r="BV558" s="2995"/>
      <c r="BW558" s="2995"/>
      <c r="BX558" s="2996"/>
      <c r="BY558" s="2995"/>
      <c r="BZ558" s="2995"/>
      <c r="CA558" s="2995"/>
      <c r="CB558" s="2995"/>
      <c r="CC558" s="3335"/>
      <c r="CD558" s="3336"/>
      <c r="CE558" s="2995"/>
      <c r="CF558" s="2995"/>
      <c r="CG558" s="2995"/>
      <c r="CH558" s="2996"/>
      <c r="CI558" s="2999"/>
      <c r="CJ558" s="2995"/>
      <c r="CK558" s="2995"/>
      <c r="CL558" s="2995"/>
      <c r="CM558" s="2996"/>
      <c r="CN558" s="2995"/>
      <c r="CO558" s="2995"/>
      <c r="CP558" s="2995"/>
      <c r="CQ558" s="2995"/>
      <c r="CR558" s="2996"/>
      <c r="CS558" s="2995"/>
      <c r="CT558" s="2995"/>
      <c r="CU558" s="2995"/>
      <c r="CV558" s="2995"/>
      <c r="CW558" s="2996"/>
      <c r="CX558" s="2995"/>
      <c r="CY558" s="2995"/>
      <c r="CZ558" s="2995"/>
      <c r="DA558" s="2995"/>
      <c r="DB558" s="2996"/>
      <c r="DC558" s="2995"/>
      <c r="DD558" s="2995"/>
      <c r="DE558" s="2995"/>
      <c r="DF558" s="2995"/>
      <c r="DG558" s="2996"/>
      <c r="DH558" s="2995"/>
      <c r="DI558" s="2995"/>
      <c r="DJ558" s="2995"/>
      <c r="DK558" s="2995"/>
      <c r="DL558" s="2996"/>
      <c r="DM558" s="2995"/>
      <c r="DN558" s="2995"/>
      <c r="DO558" s="2995"/>
      <c r="DP558" s="2995"/>
      <c r="DQ558" s="2996"/>
      <c r="DR558" s="2995"/>
      <c r="DS558" s="2995"/>
      <c r="DT558" s="2995"/>
      <c r="DU558" s="2995"/>
      <c r="DV558" s="2996"/>
      <c r="DW558" s="2995"/>
      <c r="DX558" s="2995"/>
      <c r="DY558" s="2995"/>
      <c r="DZ558" s="2995"/>
      <c r="EA558" s="2996"/>
      <c r="EB558" s="2995"/>
      <c r="EC558" s="2995"/>
      <c r="ED558" s="2995"/>
      <c r="EE558" s="2995"/>
      <c r="EF558" s="2996"/>
      <c r="EG558" s="2995"/>
      <c r="EH558" s="2995"/>
      <c r="EI558" s="2995"/>
      <c r="EJ558" s="2995"/>
      <c r="EK558" s="2996"/>
      <c r="EL558" s="2995"/>
      <c r="EM558" s="2995"/>
      <c r="EN558" s="2995"/>
      <c r="EO558" s="2995"/>
      <c r="EP558" s="2996"/>
      <c r="EQ558" s="2995"/>
      <c r="ER558" s="2995"/>
      <c r="ES558" s="2995"/>
      <c r="ET558" s="2995"/>
      <c r="EU558" s="2996"/>
      <c r="EV558" s="2996"/>
      <c r="EW558" s="2996"/>
      <c r="EX558" s="2996"/>
      <c r="EY558" s="2996"/>
      <c r="EZ558" s="176"/>
      <c r="FA558" s="1100"/>
      <c r="FB558" s="1100"/>
    </row>
    <row r="559" spans="1:158" s="180" customFormat="1" ht="11.25" hidden="1" customHeight="1">
      <c r="A559" s="1547" t="str">
        <f>A517</f>
        <v>Google Properties</v>
      </c>
      <c r="B559" s="981"/>
      <c r="C559" s="175"/>
      <c r="D559" s="175"/>
      <c r="E559" s="176"/>
      <c r="F559" s="982"/>
      <c r="G559" s="981"/>
      <c r="H559" s="175"/>
      <c r="I559" s="175"/>
      <c r="J559" s="175"/>
      <c r="K559" s="1014"/>
      <c r="L559" s="175"/>
      <c r="M559" s="175"/>
      <c r="N559" s="175"/>
      <c r="O559" s="175"/>
      <c r="P559" s="997"/>
      <c r="Q559" s="980"/>
      <c r="R559" s="173"/>
      <c r="S559" s="173"/>
      <c r="T559" s="124"/>
      <c r="U559" s="997"/>
      <c r="V559" s="741"/>
      <c r="W559" s="124"/>
      <c r="X559" s="124"/>
      <c r="Y559" s="124"/>
      <c r="Z559" s="997"/>
      <c r="AA559" s="741"/>
      <c r="AB559" s="124"/>
      <c r="AC559" s="124"/>
      <c r="AD559" s="123"/>
      <c r="AE559" s="997"/>
      <c r="AF559" s="741"/>
      <c r="AG559" s="124"/>
      <c r="AH559" s="124"/>
      <c r="AI559" s="124"/>
      <c r="AJ559" s="997"/>
      <c r="AK559" s="741"/>
      <c r="AL559" s="124"/>
      <c r="AM559" s="124"/>
      <c r="AN559" s="123"/>
      <c r="AO559" s="997"/>
      <c r="AP559" s="741"/>
      <c r="AQ559" s="124"/>
      <c r="AR559" s="124"/>
      <c r="AS559" s="123"/>
      <c r="AT559" s="997"/>
      <c r="AU559" s="741">
        <f t="shared" ref="AU559:BN559" si="1381">AU517</f>
        <v>0.65568391931960457</v>
      </c>
      <c r="AV559" s="124">
        <f t="shared" si="1381"/>
        <v>0.65772415920966043</v>
      </c>
      <c r="AW559" s="124">
        <f t="shared" si="1381"/>
        <v>0.6626695355011043</v>
      </c>
      <c r="AX559" s="123">
        <f t="shared" si="1381"/>
        <v>0.66851958917392762</v>
      </c>
      <c r="AY559" s="997">
        <f t="shared" si="1381"/>
        <v>0.66131971893345198</v>
      </c>
      <c r="AZ559" s="741">
        <f t="shared" si="1381"/>
        <v>0.67032668420164132</v>
      </c>
      <c r="BA559" s="124">
        <f t="shared" si="1381"/>
        <v>0.66136087636615337</v>
      </c>
      <c r="BB559" s="124">
        <f t="shared" si="1381"/>
        <v>0.66540456606902354</v>
      </c>
      <c r="BC559" s="123">
        <f t="shared" si="1381"/>
        <v>0.66248425752847873</v>
      </c>
      <c r="BD559" s="997">
        <f t="shared" si="1381"/>
        <v>0.66478273688452993</v>
      </c>
      <c r="BE559" s="741">
        <f t="shared" si="1381"/>
        <v>0.65520295202952028</v>
      </c>
      <c r="BF559" s="124">
        <f t="shared" si="1381"/>
        <v>0.6596774193548387</v>
      </c>
      <c r="BG559" s="124">
        <f t="shared" si="1381"/>
        <v>0.6633269283557508</v>
      </c>
      <c r="BH559" s="123">
        <f t="shared" si="1381"/>
        <v>0.67203791469194318</v>
      </c>
      <c r="BI559" s="997">
        <f t="shared" si="1381"/>
        <v>0.66310835237543053</v>
      </c>
      <c r="BJ559" s="741">
        <f t="shared" si="1381"/>
        <v>0.68559766763848395</v>
      </c>
      <c r="BK559" s="124">
        <f t="shared" si="1381"/>
        <v>0.69044981165521824</v>
      </c>
      <c r="BL559" s="124">
        <f t="shared" si="1381"/>
        <v>0.69341563786008231</v>
      </c>
      <c r="BM559" s="124">
        <f t="shared" si="1381"/>
        <v>0.68915343915343918</v>
      </c>
      <c r="BN559" s="997">
        <f t="shared" si="1381"/>
        <v>0.68975069252077559</v>
      </c>
      <c r="BO559" s="124"/>
      <c r="BP559" s="124"/>
      <c r="BQ559" s="124"/>
      <c r="BR559" s="124"/>
      <c r="BS559" s="1958"/>
      <c r="BT559" s="124">
        <f>BT517</f>
        <v>0.68689525598872714</v>
      </c>
      <c r="BU559" s="124">
        <f>BU517</f>
        <v>0.68788763225100324</v>
      </c>
      <c r="BV559" s="124">
        <f>BV517</f>
        <v>0.67039736248481696</v>
      </c>
      <c r="BW559" s="124">
        <f>BW517</f>
        <v>0.66950794265788449</v>
      </c>
      <c r="BX559" s="997">
        <f>BX517</f>
        <v>0.67812771503040836</v>
      </c>
      <c r="BY559" s="124"/>
      <c r="BZ559" s="124"/>
      <c r="CA559" s="124"/>
      <c r="CB559" s="124"/>
      <c r="CC559" s="1958"/>
      <c r="CD559" s="1688">
        <f t="shared" ref="CD559:DL559" si="1382">CD517</f>
        <v>0</v>
      </c>
      <c r="CE559" s="124">
        <f t="shared" si="1382"/>
        <v>0</v>
      </c>
      <c r="CF559" s="124">
        <f t="shared" si="1382"/>
        <v>0</v>
      </c>
      <c r="CG559" s="124">
        <f t="shared" si="1382"/>
        <v>0</v>
      </c>
      <c r="CH559" s="997">
        <f t="shared" si="1382"/>
        <v>0</v>
      </c>
      <c r="CI559" s="549">
        <f t="shared" si="1382"/>
        <v>0</v>
      </c>
      <c r="CJ559" s="124">
        <f t="shared" si="1382"/>
        <v>0</v>
      </c>
      <c r="CK559" s="124">
        <f t="shared" si="1382"/>
        <v>0</v>
      </c>
      <c r="CL559" s="124">
        <f t="shared" si="1382"/>
        <v>0</v>
      </c>
      <c r="CM559" s="997">
        <f t="shared" si="1382"/>
        <v>0</v>
      </c>
      <c r="CN559" s="124">
        <f t="shared" si="1382"/>
        <v>0</v>
      </c>
      <c r="CO559" s="124">
        <f t="shared" si="1382"/>
        <v>0</v>
      </c>
      <c r="CP559" s="124">
        <f t="shared" si="1382"/>
        <v>0</v>
      </c>
      <c r="CQ559" s="124">
        <f t="shared" si="1382"/>
        <v>0</v>
      </c>
      <c r="CR559" s="997">
        <f t="shared" si="1382"/>
        <v>0</v>
      </c>
      <c r="CS559" s="124">
        <f t="shared" si="1382"/>
        <v>0</v>
      </c>
      <c r="CT559" s="124">
        <f t="shared" si="1382"/>
        <v>0</v>
      </c>
      <c r="CU559" s="124">
        <f t="shared" si="1382"/>
        <v>0</v>
      </c>
      <c r="CV559" s="124">
        <f t="shared" si="1382"/>
        <v>0</v>
      </c>
      <c r="CW559" s="997">
        <f t="shared" si="1382"/>
        <v>0</v>
      </c>
      <c r="CX559" s="124">
        <f t="shared" si="1382"/>
        <v>0</v>
      </c>
      <c r="CY559" s="124">
        <f t="shared" si="1382"/>
        <v>0</v>
      </c>
      <c r="CZ559" s="124">
        <f t="shared" si="1382"/>
        <v>0</v>
      </c>
      <c r="DA559" s="124">
        <f t="shared" si="1382"/>
        <v>0</v>
      </c>
      <c r="DB559" s="997">
        <f t="shared" si="1382"/>
        <v>0.70327003743629068</v>
      </c>
      <c r="DC559" s="124">
        <f t="shared" si="1382"/>
        <v>0</v>
      </c>
      <c r="DD559" s="124">
        <f t="shared" si="1382"/>
        <v>0</v>
      </c>
      <c r="DE559" s="124">
        <f t="shared" si="1382"/>
        <v>0</v>
      </c>
      <c r="DF559" s="124">
        <f t="shared" si="1382"/>
        <v>0.68553315001527648</v>
      </c>
      <c r="DG559" s="997">
        <f t="shared" si="1382"/>
        <v>0.7049532594157244</v>
      </c>
      <c r="DH559" s="124">
        <f t="shared" si="1382"/>
        <v>0.70370676133080157</v>
      </c>
      <c r="DI559" s="124">
        <f t="shared" si="1382"/>
        <v>0.69959428923582578</v>
      </c>
      <c r="DJ559" s="124">
        <f t="shared" si="1382"/>
        <v>0.70483221807945873</v>
      </c>
      <c r="DK559" s="124">
        <f t="shared" si="1382"/>
        <v>0.69239283776451432</v>
      </c>
      <c r="DL559" s="997">
        <f t="shared" si="1382"/>
        <v>0.69977819927466833</v>
      </c>
      <c r="DM559" s="124"/>
      <c r="DN559" s="124"/>
      <c r="DO559" s="124"/>
      <c r="DP559" s="124"/>
      <c r="DQ559" s="997"/>
      <c r="DR559" s="124"/>
      <c r="DS559" s="124"/>
      <c r="DT559" s="124"/>
      <c r="DU559" s="124"/>
      <c r="DV559" s="997"/>
      <c r="DW559" s="124"/>
      <c r="DX559" s="124"/>
      <c r="DY559" s="124"/>
      <c r="DZ559" s="124"/>
      <c r="EA559" s="997"/>
      <c r="EB559" s="124"/>
      <c r="EC559" s="124"/>
      <c r="ED559" s="124"/>
      <c r="EE559" s="124"/>
      <c r="EF559" s="997"/>
      <c r="EG559" s="124"/>
      <c r="EH559" s="124"/>
      <c r="EI559" s="124"/>
      <c r="EJ559" s="124"/>
      <c r="EK559" s="997"/>
      <c r="EL559" s="124"/>
      <c r="EM559" s="124"/>
      <c r="EN559" s="124"/>
      <c r="EO559" s="124"/>
      <c r="EP559" s="997"/>
      <c r="EQ559" s="124"/>
      <c r="ER559" s="124"/>
      <c r="ES559" s="124"/>
      <c r="ET559" s="124"/>
      <c r="EU559" s="997"/>
      <c r="EV559" s="997"/>
      <c r="EW559" s="997"/>
      <c r="EX559" s="997"/>
      <c r="EY559" s="997"/>
      <c r="EZ559" s="176"/>
      <c r="FA559" s="1102"/>
      <c r="FB559" s="1102"/>
    </row>
    <row r="560" spans="1:158" s="180" customFormat="1" ht="11.25" hidden="1" customHeight="1">
      <c r="A560" s="2256" t="str">
        <f>A80</f>
        <v>Google Network Members' properties</v>
      </c>
      <c r="B560" s="1877"/>
      <c r="C560" s="175"/>
      <c r="D560" s="175"/>
      <c r="E560" s="176"/>
      <c r="F560" s="1230"/>
      <c r="G560" s="1877"/>
      <c r="H560" s="175"/>
      <c r="I560" s="175"/>
      <c r="J560" s="175"/>
      <c r="K560" s="1014"/>
      <c r="L560" s="175"/>
      <c r="M560" s="175"/>
      <c r="N560" s="175"/>
      <c r="O560" s="175"/>
      <c r="P560" s="997"/>
      <c r="Q560" s="1878"/>
      <c r="R560" s="124"/>
      <c r="S560" s="124"/>
      <c r="T560" s="124"/>
      <c r="U560" s="997"/>
      <c r="V560" s="1879"/>
      <c r="W560" s="124"/>
      <c r="X560" s="124"/>
      <c r="Y560" s="124"/>
      <c r="Z560" s="997"/>
      <c r="AA560" s="1879"/>
      <c r="AB560" s="124"/>
      <c r="AC560" s="124"/>
      <c r="AD560" s="124"/>
      <c r="AE560" s="997"/>
      <c r="AF560" s="1879"/>
      <c r="AG560" s="124"/>
      <c r="AH560" s="124"/>
      <c r="AI560" s="124"/>
      <c r="AJ560" s="997"/>
      <c r="AK560" s="1879"/>
      <c r="AL560" s="124"/>
      <c r="AM560" s="124"/>
      <c r="AN560" s="123"/>
      <c r="AO560" s="997"/>
      <c r="AP560" s="1879"/>
      <c r="AQ560" s="124"/>
      <c r="AR560" s="124"/>
      <c r="AS560" s="123"/>
      <c r="AT560" s="997"/>
      <c r="AU560" s="1879">
        <f t="shared" ref="AU560:BN560" si="1383">AU80</f>
        <v>0.32513054750992226</v>
      </c>
      <c r="AV560" s="124">
        <f t="shared" si="1383"/>
        <v>0.30840592844106024</v>
      </c>
      <c r="AW560" s="124">
        <f t="shared" si="1383"/>
        <v>0.30314789192821806</v>
      </c>
      <c r="AX560" s="123">
        <f t="shared" si="1383"/>
        <v>0.29704148675367981</v>
      </c>
      <c r="AY560" s="997">
        <f t="shared" si="1383"/>
        <v>0.30807605222166906</v>
      </c>
      <c r="AZ560" s="1879">
        <f t="shared" si="1383"/>
        <v>0.29733980275876343</v>
      </c>
      <c r="BA560" s="124">
        <f t="shared" si="1383"/>
        <v>0.30482190777774776</v>
      </c>
      <c r="BB560" s="124">
        <f t="shared" si="1383"/>
        <v>0.30293273960945366</v>
      </c>
      <c r="BC560" s="123">
        <f t="shared" si="1383"/>
        <v>0.30625405970339342</v>
      </c>
      <c r="BD560" s="997">
        <f t="shared" si="1383"/>
        <v>0.30300834698945639</v>
      </c>
      <c r="BE560" s="1879">
        <f t="shared" si="1383"/>
        <v>0.30051660516605166</v>
      </c>
      <c r="BF560" s="124">
        <f t="shared" si="1383"/>
        <v>0.30249266862170088</v>
      </c>
      <c r="BG560" s="124">
        <f t="shared" si="1383"/>
        <v>0.30181169365907218</v>
      </c>
      <c r="BH560" s="123">
        <f t="shared" si="1383"/>
        <v>0.29561611374407581</v>
      </c>
      <c r="BI560" s="997">
        <f t="shared" si="1383"/>
        <v>0.29988745267896727</v>
      </c>
      <c r="BJ560" s="1879">
        <f t="shared" si="1383"/>
        <v>0.28303206997084546</v>
      </c>
      <c r="BK560" s="124">
        <f t="shared" si="1383"/>
        <v>0.27520496343895412</v>
      </c>
      <c r="BL560" s="124">
        <f t="shared" si="1383"/>
        <v>0.26697530864197533</v>
      </c>
      <c r="BM560" s="124">
        <f t="shared" si="1383"/>
        <v>0.27210884353741499</v>
      </c>
      <c r="BN560" s="997">
        <f t="shared" si="1383"/>
        <v>0.27400079145231498</v>
      </c>
      <c r="BO560" s="124"/>
      <c r="BP560" s="124"/>
      <c r="BQ560" s="124"/>
      <c r="BR560" s="124"/>
      <c r="BS560" s="1958"/>
      <c r="BT560" s="124">
        <f t="shared" ref="BT560:BX561" si="1384">BT80</f>
        <v>0.27364960075152656</v>
      </c>
      <c r="BU560" s="124">
        <f t="shared" si="1384"/>
        <v>0.27207223641006933</v>
      </c>
      <c r="BV560" s="124">
        <f t="shared" si="1384"/>
        <v>0.27182023251778586</v>
      </c>
      <c r="BW560" s="124">
        <f t="shared" si="1384"/>
        <v>0.26625339015885313</v>
      </c>
      <c r="BX560" s="997">
        <f t="shared" si="1384"/>
        <v>0.27074283231972196</v>
      </c>
      <c r="BY560" s="124"/>
      <c r="BZ560" s="124"/>
      <c r="CA560" s="124"/>
      <c r="CB560" s="124"/>
      <c r="CC560" s="1958"/>
      <c r="CD560" s="1688">
        <f t="shared" ref="CD560:DL560" si="1385">CD80</f>
        <v>0</v>
      </c>
      <c r="CE560" s="124">
        <f t="shared" si="1385"/>
        <v>0</v>
      </c>
      <c r="CF560" s="124">
        <f t="shared" si="1385"/>
        <v>0</v>
      </c>
      <c r="CG560" s="124">
        <f t="shared" si="1385"/>
        <v>0</v>
      </c>
      <c r="CH560" s="997">
        <f t="shared" si="1385"/>
        <v>0</v>
      </c>
      <c r="CI560" s="549">
        <f t="shared" si="1385"/>
        <v>0</v>
      </c>
      <c r="CJ560" s="124">
        <f t="shared" si="1385"/>
        <v>0</v>
      </c>
      <c r="CK560" s="124">
        <f t="shared" si="1385"/>
        <v>0</v>
      </c>
      <c r="CL560" s="124">
        <f t="shared" si="1385"/>
        <v>0</v>
      </c>
      <c r="CM560" s="997">
        <f t="shared" si="1385"/>
        <v>0</v>
      </c>
      <c r="CN560" s="124">
        <f t="shared" si="1385"/>
        <v>0</v>
      </c>
      <c r="CO560" s="124">
        <f t="shared" si="1385"/>
        <v>0</v>
      </c>
      <c r="CP560" s="124">
        <f t="shared" si="1385"/>
        <v>0</v>
      </c>
      <c r="CQ560" s="124">
        <f t="shared" si="1385"/>
        <v>0</v>
      </c>
      <c r="CR560" s="997">
        <f t="shared" si="1385"/>
        <v>0</v>
      </c>
      <c r="CS560" s="124">
        <f t="shared" si="1385"/>
        <v>0</v>
      </c>
      <c r="CT560" s="124">
        <f t="shared" si="1385"/>
        <v>0</v>
      </c>
      <c r="CU560" s="124">
        <f t="shared" si="1385"/>
        <v>0</v>
      </c>
      <c r="CV560" s="124">
        <f t="shared" si="1385"/>
        <v>0</v>
      </c>
      <c r="CW560" s="997">
        <f t="shared" si="1385"/>
        <v>0</v>
      </c>
      <c r="CX560" s="124">
        <f t="shared" si="1385"/>
        <v>0</v>
      </c>
      <c r="CY560" s="124">
        <f t="shared" si="1385"/>
        <v>0</v>
      </c>
      <c r="CZ560" s="124">
        <f t="shared" si="1385"/>
        <v>0</v>
      </c>
      <c r="DA560" s="124">
        <f t="shared" si="1385"/>
        <v>0</v>
      </c>
      <c r="DB560" s="997">
        <f t="shared" si="1385"/>
        <v>0.15891028821433403</v>
      </c>
      <c r="DC560" s="124">
        <f t="shared" si="1385"/>
        <v>0</v>
      </c>
      <c r="DD560" s="124">
        <f t="shared" si="1385"/>
        <v>0</v>
      </c>
      <c r="DE560" s="124">
        <f t="shared" si="1385"/>
        <v>0</v>
      </c>
      <c r="DF560" s="124">
        <f t="shared" si="1385"/>
        <v>0.14240248497810368</v>
      </c>
      <c r="DG560" s="997">
        <f t="shared" si="1385"/>
        <v>0.14625161709996418</v>
      </c>
      <c r="DH560" s="124">
        <f t="shared" si="1385"/>
        <v>0.13800599906436611</v>
      </c>
      <c r="DI560" s="124">
        <f t="shared" si="1385"/>
        <v>0.13478327855382088</v>
      </c>
      <c r="DJ560" s="124">
        <f t="shared" si="1385"/>
        <v>0.12965752240796069</v>
      </c>
      <c r="DK560" s="124">
        <f t="shared" si="1385"/>
        <v>0.13091698317959849</v>
      </c>
      <c r="DL560" s="997">
        <f t="shared" si="1385"/>
        <v>0.133123683251265</v>
      </c>
      <c r="DM560" s="124"/>
      <c r="DN560" s="124"/>
      <c r="DO560" s="124"/>
      <c r="DP560" s="124"/>
      <c r="DQ560" s="997"/>
      <c r="DR560" s="124"/>
      <c r="DS560" s="124"/>
      <c r="DT560" s="124"/>
      <c r="DU560" s="124"/>
      <c r="DV560" s="997"/>
      <c r="DW560" s="124"/>
      <c r="DX560" s="124"/>
      <c r="DY560" s="124"/>
      <c r="DZ560" s="124"/>
      <c r="EA560" s="997"/>
      <c r="EB560" s="124"/>
      <c r="EC560" s="124"/>
      <c r="ED560" s="124"/>
      <c r="EE560" s="124"/>
      <c r="EF560" s="997"/>
      <c r="EG560" s="124"/>
      <c r="EH560" s="124"/>
      <c r="EI560" s="124"/>
      <c r="EJ560" s="124"/>
      <c r="EK560" s="997"/>
      <c r="EL560" s="124"/>
      <c r="EM560" s="124"/>
      <c r="EN560" s="124"/>
      <c r="EO560" s="124"/>
      <c r="EP560" s="997"/>
      <c r="EQ560" s="124"/>
      <c r="ER560" s="124"/>
      <c r="ES560" s="124"/>
      <c r="ET560" s="124"/>
      <c r="EU560" s="997"/>
      <c r="EV560" s="997"/>
      <c r="EW560" s="997"/>
      <c r="EX560" s="997"/>
      <c r="EY560" s="997"/>
      <c r="EZ560" s="176"/>
      <c r="FA560" s="1102"/>
      <c r="FB560" s="1102"/>
    </row>
    <row r="561" spans="1:158" s="168" customFormat="1" ht="11.25" hidden="1" customHeight="1">
      <c r="A561" s="3050" t="str">
        <f>A81</f>
        <v>Google advertising</v>
      </c>
      <c r="B561" s="3012"/>
      <c r="C561" s="3013"/>
      <c r="D561" s="3013"/>
      <c r="E561" s="3013"/>
      <c r="F561" s="3071"/>
      <c r="G561" s="3012"/>
      <c r="H561" s="3013"/>
      <c r="I561" s="3013"/>
      <c r="J561" s="3013"/>
      <c r="K561" s="3014"/>
      <c r="L561" s="3013"/>
      <c r="M561" s="3013"/>
      <c r="N561" s="3013"/>
      <c r="O561" s="3045"/>
      <c r="P561" s="3017"/>
      <c r="Q561" s="3018"/>
      <c r="R561" s="3015"/>
      <c r="S561" s="3015"/>
      <c r="T561" s="3015"/>
      <c r="U561" s="3017"/>
      <c r="V561" s="3018"/>
      <c r="W561" s="3015"/>
      <c r="X561" s="3015"/>
      <c r="Y561" s="3015"/>
      <c r="Z561" s="3017"/>
      <c r="AA561" s="3018"/>
      <c r="AB561" s="3015"/>
      <c r="AC561" s="3015"/>
      <c r="AD561" s="3015"/>
      <c r="AE561" s="3017"/>
      <c r="AF561" s="3018"/>
      <c r="AG561" s="3015"/>
      <c r="AH561" s="3015"/>
      <c r="AI561" s="3015"/>
      <c r="AJ561" s="3017"/>
      <c r="AK561" s="3018"/>
      <c r="AL561" s="3015"/>
      <c r="AM561" s="3015"/>
      <c r="AN561" s="3016"/>
      <c r="AO561" s="3017"/>
      <c r="AP561" s="3018"/>
      <c r="AQ561" s="3015"/>
      <c r="AR561" s="3015"/>
      <c r="AS561" s="3016"/>
      <c r="AT561" s="3017"/>
      <c r="AU561" s="3018">
        <f t="shared" ref="AU561:BN561" si="1386">AU81</f>
        <v>0.32513054750992226</v>
      </c>
      <c r="AV561" s="3015">
        <f t="shared" si="1386"/>
        <v>0.30840592844106024</v>
      </c>
      <c r="AW561" s="3015">
        <f t="shared" si="1386"/>
        <v>0.30314789192821806</v>
      </c>
      <c r="AX561" s="3016">
        <f t="shared" si="1386"/>
        <v>0.29704148675367981</v>
      </c>
      <c r="AY561" s="3017">
        <f t="shared" si="1386"/>
        <v>0.30807605222166906</v>
      </c>
      <c r="AZ561" s="3018">
        <f t="shared" si="1386"/>
        <v>0.29733980275876343</v>
      </c>
      <c r="BA561" s="3015">
        <f t="shared" si="1386"/>
        <v>0.30482190777774776</v>
      </c>
      <c r="BB561" s="3015">
        <f t="shared" si="1386"/>
        <v>0.30293273960945366</v>
      </c>
      <c r="BC561" s="3016">
        <f t="shared" si="1386"/>
        <v>0.30625405970339342</v>
      </c>
      <c r="BD561" s="3017">
        <f t="shared" si="1386"/>
        <v>0.30300834698945639</v>
      </c>
      <c r="BE561" s="3018">
        <f t="shared" si="1386"/>
        <v>0.30051660516605166</v>
      </c>
      <c r="BF561" s="3015">
        <f t="shared" si="1386"/>
        <v>0.30249266862170088</v>
      </c>
      <c r="BG561" s="3015">
        <f t="shared" si="1386"/>
        <v>0.30181169365907218</v>
      </c>
      <c r="BH561" s="3016">
        <f t="shared" si="1386"/>
        <v>0.29561611374407581</v>
      </c>
      <c r="BI561" s="3017">
        <f t="shared" si="1386"/>
        <v>0.29988745267896727</v>
      </c>
      <c r="BJ561" s="3018">
        <f t="shared" si="1386"/>
        <v>0.28303206997084546</v>
      </c>
      <c r="BK561" s="3015">
        <f t="shared" si="1386"/>
        <v>0.27520496343895412</v>
      </c>
      <c r="BL561" s="3015">
        <f t="shared" si="1386"/>
        <v>0.26697530864197533</v>
      </c>
      <c r="BM561" s="3015">
        <f t="shared" si="1386"/>
        <v>0.27210884353741499</v>
      </c>
      <c r="BN561" s="3017">
        <f t="shared" si="1386"/>
        <v>0.27400079145231498</v>
      </c>
      <c r="BO561" s="3015"/>
      <c r="BP561" s="3015"/>
      <c r="BQ561" s="3015"/>
      <c r="BR561" s="3015"/>
      <c r="BS561" s="3325"/>
      <c r="BT561" s="3015">
        <f t="shared" si="1384"/>
        <v>0.27364960075152656</v>
      </c>
      <c r="BU561" s="3015">
        <f t="shared" si="1384"/>
        <v>0.27207223641006933</v>
      </c>
      <c r="BV561" s="3015">
        <f t="shared" si="1384"/>
        <v>0.27182023251778586</v>
      </c>
      <c r="BW561" s="3015">
        <f t="shared" si="1384"/>
        <v>0.26625339015885313</v>
      </c>
      <c r="BX561" s="3017">
        <f t="shared" si="1384"/>
        <v>0.27074283231972196</v>
      </c>
      <c r="BY561" s="3015"/>
      <c r="BZ561" s="3015"/>
      <c r="CA561" s="3015"/>
      <c r="CB561" s="3015"/>
      <c r="CC561" s="3325"/>
      <c r="CD561" s="3074">
        <f t="shared" ref="CD561:DL561" si="1387">CD81</f>
        <v>0</v>
      </c>
      <c r="CE561" s="3015">
        <f t="shared" si="1387"/>
        <v>0</v>
      </c>
      <c r="CF561" s="3015">
        <f t="shared" si="1387"/>
        <v>0</v>
      </c>
      <c r="CG561" s="3015">
        <f t="shared" si="1387"/>
        <v>0</v>
      </c>
      <c r="CH561" s="3017">
        <f t="shared" si="1387"/>
        <v>0</v>
      </c>
      <c r="CI561" s="3072">
        <f t="shared" si="1387"/>
        <v>0</v>
      </c>
      <c r="CJ561" s="3015">
        <f t="shared" si="1387"/>
        <v>0</v>
      </c>
      <c r="CK561" s="3015">
        <f t="shared" si="1387"/>
        <v>0</v>
      </c>
      <c r="CL561" s="3015">
        <f t="shared" si="1387"/>
        <v>0</v>
      </c>
      <c r="CM561" s="3017">
        <f t="shared" si="1387"/>
        <v>0</v>
      </c>
      <c r="CN561" s="3015">
        <f t="shared" si="1387"/>
        <v>0</v>
      </c>
      <c r="CO561" s="3015">
        <f t="shared" si="1387"/>
        <v>0</v>
      </c>
      <c r="CP561" s="3015">
        <f t="shared" si="1387"/>
        <v>0</v>
      </c>
      <c r="CQ561" s="3015">
        <f t="shared" si="1387"/>
        <v>0</v>
      </c>
      <c r="CR561" s="3017">
        <f t="shared" si="1387"/>
        <v>0</v>
      </c>
      <c r="CS561" s="3015">
        <f t="shared" si="1387"/>
        <v>0</v>
      </c>
      <c r="CT561" s="3015">
        <f t="shared" si="1387"/>
        <v>0</v>
      </c>
      <c r="CU561" s="3015">
        <f t="shared" si="1387"/>
        <v>0</v>
      </c>
      <c r="CV561" s="3015">
        <f t="shared" si="1387"/>
        <v>0</v>
      </c>
      <c r="CW561" s="3017">
        <f t="shared" si="1387"/>
        <v>0</v>
      </c>
      <c r="CX561" s="3015">
        <f t="shared" si="1387"/>
        <v>0</v>
      </c>
      <c r="CY561" s="3015">
        <f t="shared" si="1387"/>
        <v>0</v>
      </c>
      <c r="CZ561" s="3015">
        <f t="shared" si="1387"/>
        <v>0</v>
      </c>
      <c r="DA561" s="3015">
        <f t="shared" si="1387"/>
        <v>0</v>
      </c>
      <c r="DB561" s="3017">
        <f t="shared" si="1387"/>
        <v>0.86218032565062475</v>
      </c>
      <c r="DC561" s="3015">
        <f t="shared" si="1387"/>
        <v>0</v>
      </c>
      <c r="DD561" s="3015">
        <f t="shared" si="1387"/>
        <v>0</v>
      </c>
      <c r="DE561" s="3015">
        <f t="shared" si="1387"/>
        <v>0</v>
      </c>
      <c r="DF561" s="3015">
        <f t="shared" si="1387"/>
        <v>0.82793563499338019</v>
      </c>
      <c r="DG561" s="3017">
        <f t="shared" si="1387"/>
        <v>0.85120487651568855</v>
      </c>
      <c r="DH561" s="3015">
        <f t="shared" si="1387"/>
        <v>0.84171276039516774</v>
      </c>
      <c r="DI561" s="3015">
        <f t="shared" si="1387"/>
        <v>0.83437756778964667</v>
      </c>
      <c r="DJ561" s="3015">
        <f t="shared" si="1387"/>
        <v>0.83448974048741942</v>
      </c>
      <c r="DK561" s="3015">
        <f t="shared" si="1387"/>
        <v>0.82330982094411276</v>
      </c>
      <c r="DL561" s="3017">
        <f t="shared" si="1387"/>
        <v>0.83290188252593333</v>
      </c>
      <c r="DM561" s="3015"/>
      <c r="DN561" s="3015"/>
      <c r="DO561" s="3015"/>
      <c r="DP561" s="3015"/>
      <c r="DQ561" s="3017"/>
      <c r="DR561" s="3015"/>
      <c r="DS561" s="3015"/>
      <c r="DT561" s="3015"/>
      <c r="DU561" s="3015"/>
      <c r="DV561" s="3017"/>
      <c r="DW561" s="3015"/>
      <c r="DX561" s="3015"/>
      <c r="DY561" s="3015"/>
      <c r="DZ561" s="3015"/>
      <c r="EA561" s="3017"/>
      <c r="EB561" s="3015"/>
      <c r="EC561" s="3015"/>
      <c r="ED561" s="3015"/>
      <c r="EE561" s="3015"/>
      <c r="EF561" s="3017"/>
      <c r="EG561" s="3015"/>
      <c r="EH561" s="3015"/>
      <c r="EI561" s="3015"/>
      <c r="EJ561" s="3015"/>
      <c r="EK561" s="3017"/>
      <c r="EL561" s="3015"/>
      <c r="EM561" s="3015"/>
      <c r="EN561" s="3015"/>
      <c r="EO561" s="3015"/>
      <c r="EP561" s="3017"/>
      <c r="EQ561" s="3015"/>
      <c r="ER561" s="3015"/>
      <c r="ES561" s="3015"/>
      <c r="ET561" s="3015"/>
      <c r="EU561" s="3017"/>
      <c r="EV561" s="3017"/>
      <c r="EW561" s="3017"/>
      <c r="EX561" s="3017"/>
      <c r="EY561" s="3017"/>
      <c r="EZ561" s="167"/>
      <c r="FA561" s="1104"/>
      <c r="FB561" s="1104"/>
    </row>
    <row r="562" spans="1:158" s="168" customFormat="1" ht="11.25" hidden="1" customHeight="1">
      <c r="A562" s="2305" t="e">
        <f>#REF!</f>
        <v>#REF!</v>
      </c>
      <c r="B562" s="1982"/>
      <c r="C562" s="165"/>
      <c r="D562" s="165"/>
      <c r="E562" s="165"/>
      <c r="F562" s="2058"/>
      <c r="G562" s="1982"/>
      <c r="H562" s="165"/>
      <c r="I562" s="165"/>
      <c r="J562" s="165"/>
      <c r="K562" s="2306"/>
      <c r="L562" s="165"/>
      <c r="M562" s="165"/>
      <c r="N562" s="165"/>
      <c r="O562" s="166"/>
      <c r="P562" s="2307"/>
      <c r="Q562" s="2308"/>
      <c r="R562" s="189"/>
      <c r="S562" s="189"/>
      <c r="T562" s="189"/>
      <c r="U562" s="2307"/>
      <c r="V562" s="2308"/>
      <c r="W562" s="189"/>
      <c r="X562" s="189"/>
      <c r="Y562" s="189"/>
      <c r="Z562" s="2307"/>
      <c r="AA562" s="2308"/>
      <c r="AB562" s="189"/>
      <c r="AC562" s="189"/>
      <c r="AD562" s="189"/>
      <c r="AE562" s="2307"/>
      <c r="AF562" s="2308"/>
      <c r="AG562" s="189"/>
      <c r="AH562" s="189"/>
      <c r="AI562" s="189"/>
      <c r="AJ562" s="2307"/>
      <c r="AK562" s="2308"/>
      <c r="AL562" s="189"/>
      <c r="AM562" s="189"/>
      <c r="AN562" s="2309"/>
      <c r="AO562" s="2307"/>
      <c r="AP562" s="2308"/>
      <c r="AQ562" s="189"/>
      <c r="AR562" s="189"/>
      <c r="AS562" s="2309"/>
      <c r="AT562" s="2307"/>
      <c r="AU562" s="2308"/>
      <c r="AV562" s="189"/>
      <c r="AW562" s="189"/>
      <c r="AX562" s="2309"/>
      <c r="AY562" s="2307"/>
      <c r="AZ562" s="2308"/>
      <c r="BA562" s="189"/>
      <c r="BB562" s="189"/>
      <c r="BC562" s="2309"/>
      <c r="BD562" s="2307"/>
      <c r="BE562" s="2308"/>
      <c r="BF562" s="189"/>
      <c r="BG562" s="189"/>
      <c r="BH562" s="2309"/>
      <c r="BI562" s="2307"/>
      <c r="BJ562" s="2308"/>
      <c r="BK562" s="189"/>
      <c r="BL562" s="189"/>
      <c r="BM562" s="189"/>
      <c r="BN562" s="2307"/>
      <c r="BO562" s="189"/>
      <c r="BP562" s="189"/>
      <c r="BQ562" s="189"/>
      <c r="BR562" s="189"/>
      <c r="BS562" s="2307"/>
      <c r="BT562" s="189"/>
      <c r="BU562" s="189"/>
      <c r="BV562" s="189"/>
      <c r="BW562" s="189"/>
      <c r="BX562" s="2307"/>
      <c r="BY562" s="189"/>
      <c r="BZ562" s="189"/>
      <c r="CA562" s="189"/>
      <c r="CB562" s="189"/>
      <c r="CC562" s="2307"/>
      <c r="CD562" s="2310"/>
      <c r="CE562" s="189"/>
      <c r="CF562" s="189"/>
      <c r="CG562" s="189"/>
      <c r="CH562" s="2307"/>
      <c r="CI562" s="2311"/>
      <c r="CJ562" s="189"/>
      <c r="CK562" s="189"/>
      <c r="CL562" s="189"/>
      <c r="CM562" s="1969"/>
      <c r="CN562" s="189" t="e">
        <f>#REF!</f>
        <v>#REF!</v>
      </c>
      <c r="CO562" s="189" t="e">
        <f>#REF!</f>
        <v>#REF!</v>
      </c>
      <c r="CP562" s="189" t="e">
        <f>#REF!</f>
        <v>#REF!</v>
      </c>
      <c r="CQ562" s="189" t="e">
        <f>#REF!</f>
        <v>#REF!</v>
      </c>
      <c r="CR562" s="1969" t="e">
        <f>#REF!</f>
        <v>#REF!</v>
      </c>
      <c r="CS562" s="189" t="e">
        <f>#REF!</f>
        <v>#REF!</v>
      </c>
      <c r="CT562" s="189" t="e">
        <f>#REF!</f>
        <v>#REF!</v>
      </c>
      <c r="CU562" s="189" t="e">
        <f>#REF!</f>
        <v>#REF!</v>
      </c>
      <c r="CV562" s="189" t="e">
        <f>#REF!</f>
        <v>#REF!</v>
      </c>
      <c r="CW562" s="1969" t="e">
        <f>#REF!</f>
        <v>#REF!</v>
      </c>
      <c r="CX562" s="189" t="e">
        <f>#REF!</f>
        <v>#REF!</v>
      </c>
      <c r="CY562" s="189" t="e">
        <f>#REF!</f>
        <v>#REF!</v>
      </c>
      <c r="CZ562" s="189" t="e">
        <f>#REF!</f>
        <v>#REF!</v>
      </c>
      <c r="DA562" s="189" t="e">
        <f>#REF!</f>
        <v>#REF!</v>
      </c>
      <c r="DB562" s="1969" t="e">
        <f>#REF!</f>
        <v>#REF!</v>
      </c>
      <c r="DC562" s="189" t="e">
        <f>#REF!</f>
        <v>#REF!</v>
      </c>
      <c r="DD562" s="189" t="e">
        <f>#REF!</f>
        <v>#REF!</v>
      </c>
      <c r="DE562" s="189" t="e">
        <f>#REF!</f>
        <v>#REF!</v>
      </c>
      <c r="DF562" s="189" t="e">
        <f>#REF!</f>
        <v>#REF!</v>
      </c>
      <c r="DG562" s="1969" t="e">
        <f>#REF!</f>
        <v>#REF!</v>
      </c>
      <c r="DH562" s="189" t="e">
        <f>#REF!</f>
        <v>#REF!</v>
      </c>
      <c r="DI562" s="189" t="e">
        <f>#REF!</f>
        <v>#REF!</v>
      </c>
      <c r="DJ562" s="189" t="e">
        <f>#REF!</f>
        <v>#REF!</v>
      </c>
      <c r="DK562" s="189" t="e">
        <f>#REF!</f>
        <v>#REF!</v>
      </c>
      <c r="DL562" s="1969" t="e">
        <f>#REF!</f>
        <v>#REF!</v>
      </c>
      <c r="DM562" s="189"/>
      <c r="DN562" s="189"/>
      <c r="DO562" s="189"/>
      <c r="DP562" s="189"/>
      <c r="DQ562" s="1969"/>
      <c r="DR562" s="189"/>
      <c r="DS562" s="189"/>
      <c r="DT562" s="189"/>
      <c r="DU562" s="189"/>
      <c r="DV562" s="1969"/>
      <c r="DW562" s="189"/>
      <c r="DX562" s="189"/>
      <c r="DY562" s="189"/>
      <c r="DZ562" s="189"/>
      <c r="EA562" s="1969"/>
      <c r="EB562" s="189"/>
      <c r="EC562" s="189"/>
      <c r="ED562" s="189"/>
      <c r="EE562" s="189"/>
      <c r="EF562" s="1969"/>
      <c r="EG562" s="189"/>
      <c r="EH562" s="189"/>
      <c r="EI562" s="189"/>
      <c r="EJ562" s="189"/>
      <c r="EK562" s="1969"/>
      <c r="EL562" s="189"/>
      <c r="EM562" s="189"/>
      <c r="EN562" s="189"/>
      <c r="EO562" s="189"/>
      <c r="EP562" s="1969"/>
      <c r="EQ562" s="189"/>
      <c r="ER562" s="189"/>
      <c r="ES562" s="189"/>
      <c r="ET562" s="189"/>
      <c r="EU562" s="1969"/>
      <c r="EV562" s="1969"/>
      <c r="EW562" s="1969"/>
      <c r="EX562" s="1969"/>
      <c r="EY562" s="1969"/>
      <c r="EZ562" s="167"/>
      <c r="FA562" s="1104"/>
      <c r="FB562" s="1104"/>
    </row>
    <row r="563" spans="1:158" s="168" customFormat="1" ht="11.25" hidden="1" customHeight="1">
      <c r="A563" s="3011" t="str">
        <f>A83</f>
        <v>Google Services total</v>
      </c>
      <c r="B563" s="3326"/>
      <c r="C563" s="3013"/>
      <c r="D563" s="3013"/>
      <c r="E563" s="3013"/>
      <c r="F563" s="3327"/>
      <c r="G563" s="3326"/>
      <c r="H563" s="3013"/>
      <c r="I563" s="3013"/>
      <c r="J563" s="3013"/>
      <c r="K563" s="3062"/>
      <c r="L563" s="3013"/>
      <c r="M563" s="3013"/>
      <c r="N563" s="3013"/>
      <c r="O563" s="3045"/>
      <c r="P563" s="3073"/>
      <c r="Q563" s="3328"/>
      <c r="R563" s="3015"/>
      <c r="S563" s="3015"/>
      <c r="T563" s="3015"/>
      <c r="U563" s="3073"/>
      <c r="V563" s="3328"/>
      <c r="W563" s="3015"/>
      <c r="X563" s="3015"/>
      <c r="Y563" s="3015"/>
      <c r="Z563" s="3073"/>
      <c r="AA563" s="3328"/>
      <c r="AB563" s="3015"/>
      <c r="AC563" s="3015"/>
      <c r="AD563" s="3015"/>
      <c r="AE563" s="3073"/>
      <c r="AF563" s="3328"/>
      <c r="AG563" s="3015"/>
      <c r="AH563" s="3015"/>
      <c r="AI563" s="3015"/>
      <c r="AJ563" s="3073"/>
      <c r="AK563" s="3328"/>
      <c r="AL563" s="3015"/>
      <c r="AM563" s="3015"/>
      <c r="AN563" s="3016"/>
      <c r="AO563" s="3073"/>
      <c r="AP563" s="3328"/>
      <c r="AQ563" s="3015"/>
      <c r="AR563" s="3015"/>
      <c r="AS563" s="3016"/>
      <c r="AT563" s="3073"/>
      <c r="AU563" s="3328"/>
      <c r="AV563" s="3015"/>
      <c r="AW563" s="3015"/>
      <c r="AX563" s="3016"/>
      <c r="AY563" s="3073"/>
      <c r="AZ563" s="3328"/>
      <c r="BA563" s="3015"/>
      <c r="BB563" s="3015"/>
      <c r="BC563" s="3016"/>
      <c r="BD563" s="3073"/>
      <c r="BE563" s="3328"/>
      <c r="BF563" s="3015"/>
      <c r="BG563" s="3015"/>
      <c r="BH563" s="3016"/>
      <c r="BI563" s="3073"/>
      <c r="BJ563" s="3328"/>
      <c r="BK563" s="3015"/>
      <c r="BL563" s="3015"/>
      <c r="BM563" s="3015"/>
      <c r="BN563" s="3073"/>
      <c r="BO563" s="3015"/>
      <c r="BP563" s="3015"/>
      <c r="BQ563" s="3015"/>
      <c r="BR563" s="3015"/>
      <c r="BS563" s="3073"/>
      <c r="BT563" s="3015"/>
      <c r="BU563" s="3015"/>
      <c r="BV563" s="3015"/>
      <c r="BW563" s="3015"/>
      <c r="BX563" s="3073"/>
      <c r="BY563" s="3015"/>
      <c r="BZ563" s="3015"/>
      <c r="CA563" s="3015"/>
      <c r="CB563" s="3015"/>
      <c r="CC563" s="3073"/>
      <c r="CD563" s="3329"/>
      <c r="CE563" s="3015"/>
      <c r="CF563" s="3015"/>
      <c r="CG563" s="3015"/>
      <c r="CH563" s="3073"/>
      <c r="CI563" s="3072"/>
      <c r="CJ563" s="3015"/>
      <c r="CK563" s="3015"/>
      <c r="CL563" s="3015"/>
      <c r="CM563" s="3073"/>
      <c r="CN563" s="3015">
        <f t="shared" ref="CN563:DL563" si="1388">CN83</f>
        <v>0</v>
      </c>
      <c r="CO563" s="3015">
        <f t="shared" si="1388"/>
        <v>0</v>
      </c>
      <c r="CP563" s="3015">
        <f t="shared" si="1388"/>
        <v>0</v>
      </c>
      <c r="CQ563" s="3015">
        <f t="shared" si="1388"/>
        <v>0</v>
      </c>
      <c r="CR563" s="3073">
        <f t="shared" si="1388"/>
        <v>0</v>
      </c>
      <c r="CS563" s="3015">
        <f t="shared" si="1388"/>
        <v>0</v>
      </c>
      <c r="CT563" s="3015">
        <f t="shared" si="1388"/>
        <v>0</v>
      </c>
      <c r="CU563" s="3015">
        <f t="shared" si="1388"/>
        <v>0</v>
      </c>
      <c r="CV563" s="3015">
        <f t="shared" si="1388"/>
        <v>0</v>
      </c>
      <c r="CW563" s="3073">
        <f t="shared" si="1388"/>
        <v>0</v>
      </c>
      <c r="CX563" s="3015">
        <f t="shared" si="1388"/>
        <v>0</v>
      </c>
      <c r="CY563" s="3015">
        <f t="shared" si="1388"/>
        <v>0</v>
      </c>
      <c r="CZ563" s="3015">
        <f t="shared" si="1388"/>
        <v>0</v>
      </c>
      <c r="DA563" s="3015">
        <f t="shared" si="1388"/>
        <v>0</v>
      </c>
      <c r="DB563" s="3073">
        <f t="shared" si="1388"/>
        <v>0.96063325966352453</v>
      </c>
      <c r="DC563" s="3015">
        <f t="shared" si="1388"/>
        <v>0</v>
      </c>
      <c r="DD563" s="3015">
        <f t="shared" si="1388"/>
        <v>0</v>
      </c>
      <c r="DE563" s="3015">
        <f t="shared" si="1388"/>
        <v>0</v>
      </c>
      <c r="DF563" s="3015">
        <f t="shared" si="1388"/>
        <v>0.94940930848355232</v>
      </c>
      <c r="DG563" s="3073">
        <f t="shared" si="1388"/>
        <v>0.95399030836360443</v>
      </c>
      <c r="DH563" s="3015">
        <f t="shared" si="1388"/>
        <v>0.94133025124521863</v>
      </c>
      <c r="DI563" s="3015">
        <f t="shared" si="1388"/>
        <v>0.93914338537387021</v>
      </c>
      <c r="DJ563" s="3015">
        <f t="shared" si="1388"/>
        <v>0.93449220968418967</v>
      </c>
      <c r="DK563" s="3015">
        <f t="shared" si="1388"/>
        <v>0.93755832881171997</v>
      </c>
      <c r="DL563" s="3073">
        <f t="shared" si="1388"/>
        <v>0.93801936277084086</v>
      </c>
      <c r="DM563" s="3015"/>
      <c r="DN563" s="3015"/>
      <c r="DO563" s="3015"/>
      <c r="DP563" s="3015"/>
      <c r="DQ563" s="3073"/>
      <c r="DR563" s="3015"/>
      <c r="DS563" s="3015"/>
      <c r="DT563" s="3015"/>
      <c r="DU563" s="3015"/>
      <c r="DV563" s="3073"/>
      <c r="DW563" s="3015"/>
      <c r="DX563" s="3015"/>
      <c r="DY563" s="3015"/>
      <c r="DZ563" s="3015"/>
      <c r="EA563" s="3073"/>
      <c r="EB563" s="3015"/>
      <c r="EC563" s="3015"/>
      <c r="ED563" s="3015"/>
      <c r="EE563" s="3015"/>
      <c r="EF563" s="3073"/>
      <c r="EG563" s="3015"/>
      <c r="EH563" s="3015"/>
      <c r="EI563" s="3015"/>
      <c r="EJ563" s="3015"/>
      <c r="EK563" s="3073"/>
      <c r="EL563" s="3015"/>
      <c r="EM563" s="3015"/>
      <c r="EN563" s="3015"/>
      <c r="EO563" s="3015"/>
      <c r="EP563" s="3073"/>
      <c r="EQ563" s="3015"/>
      <c r="ER563" s="3015"/>
      <c r="ES563" s="3015"/>
      <c r="ET563" s="3015"/>
      <c r="EU563" s="3073"/>
      <c r="EV563" s="3073"/>
      <c r="EW563" s="3073"/>
      <c r="EX563" s="3073"/>
      <c r="EY563" s="3073"/>
      <c r="EZ563" s="167"/>
      <c r="FA563" s="1104"/>
      <c r="FB563" s="1104"/>
    </row>
    <row r="564" spans="1:158" s="168" customFormat="1" ht="11.25" hidden="1" customHeight="1">
      <c r="A564" s="2305" t="str">
        <f>A85</f>
        <v>Other Bets</v>
      </c>
      <c r="B564" s="1982"/>
      <c r="C564" s="165"/>
      <c r="D564" s="165"/>
      <c r="E564" s="165"/>
      <c r="F564" s="2058"/>
      <c r="G564" s="1982"/>
      <c r="H564" s="165"/>
      <c r="I564" s="165"/>
      <c r="J564" s="165"/>
      <c r="K564" s="2306"/>
      <c r="L564" s="165"/>
      <c r="M564" s="165"/>
      <c r="N564" s="165"/>
      <c r="O564" s="166"/>
      <c r="P564" s="2307"/>
      <c r="Q564" s="2308"/>
      <c r="R564" s="189"/>
      <c r="S564" s="189"/>
      <c r="T564" s="189"/>
      <c r="U564" s="2307"/>
      <c r="V564" s="2308"/>
      <c r="W564" s="189"/>
      <c r="X564" s="189"/>
      <c r="Y564" s="189"/>
      <c r="Z564" s="2307"/>
      <c r="AA564" s="2308"/>
      <c r="AB564" s="189"/>
      <c r="AC564" s="189"/>
      <c r="AD564" s="189"/>
      <c r="AE564" s="2307"/>
      <c r="AF564" s="2308"/>
      <c r="AG564" s="189"/>
      <c r="AH564" s="189"/>
      <c r="AI564" s="189"/>
      <c r="AJ564" s="2307"/>
      <c r="AK564" s="2308"/>
      <c r="AL564" s="189"/>
      <c r="AM564" s="189"/>
      <c r="AN564" s="2309"/>
      <c r="AO564" s="2307"/>
      <c r="AP564" s="2308"/>
      <c r="AQ564" s="189"/>
      <c r="AR564" s="189"/>
      <c r="AS564" s="2309"/>
      <c r="AT564" s="2307"/>
      <c r="AU564" s="2308"/>
      <c r="AV564" s="189"/>
      <c r="AW564" s="189"/>
      <c r="AX564" s="2309"/>
      <c r="AY564" s="2307"/>
      <c r="AZ564" s="2308"/>
      <c r="BA564" s="189"/>
      <c r="BB564" s="189"/>
      <c r="BC564" s="2309"/>
      <c r="BD564" s="2307"/>
      <c r="BE564" s="2308"/>
      <c r="BF564" s="189"/>
      <c r="BG564" s="189"/>
      <c r="BH564" s="2309"/>
      <c r="BI564" s="2307"/>
      <c r="BJ564" s="2308"/>
      <c r="BK564" s="189"/>
      <c r="BL564" s="189"/>
      <c r="BM564" s="189"/>
      <c r="BN564" s="2307"/>
      <c r="BO564" s="189"/>
      <c r="BP564" s="189"/>
      <c r="BQ564" s="189"/>
      <c r="BR564" s="189"/>
      <c r="BS564" s="2307"/>
      <c r="BT564" s="189"/>
      <c r="BU564" s="189"/>
      <c r="BV564" s="189"/>
      <c r="BW564" s="189"/>
      <c r="BX564" s="2307"/>
      <c r="BY564" s="189"/>
      <c r="BZ564" s="189"/>
      <c r="CA564" s="189"/>
      <c r="CB564" s="189"/>
      <c r="CC564" s="2307"/>
      <c r="CD564" s="2310"/>
      <c r="CE564" s="189"/>
      <c r="CF564" s="189"/>
      <c r="CG564" s="189"/>
      <c r="CH564" s="2307"/>
      <c r="CI564" s="2311"/>
      <c r="CJ564" s="189"/>
      <c r="CK564" s="189"/>
      <c r="CL564" s="189"/>
      <c r="CM564" s="2307"/>
      <c r="CN564" s="189">
        <f t="shared" ref="CN564:DL564" si="1389">CN85</f>
        <v>0</v>
      </c>
      <c r="CO564" s="189">
        <f t="shared" si="1389"/>
        <v>0</v>
      </c>
      <c r="CP564" s="189">
        <f t="shared" si="1389"/>
        <v>0</v>
      </c>
      <c r="CQ564" s="189">
        <f t="shared" si="1389"/>
        <v>0</v>
      </c>
      <c r="CR564" s="2307">
        <f t="shared" si="1389"/>
        <v>0</v>
      </c>
      <c r="CS564" s="189">
        <f t="shared" si="1389"/>
        <v>0</v>
      </c>
      <c r="CT564" s="189">
        <f t="shared" si="1389"/>
        <v>0</v>
      </c>
      <c r="CU564" s="189">
        <f t="shared" si="1389"/>
        <v>0</v>
      </c>
      <c r="CV564" s="189">
        <f t="shared" si="1389"/>
        <v>0</v>
      </c>
      <c r="CW564" s="2307">
        <f t="shared" si="1389"/>
        <v>0</v>
      </c>
      <c r="CX564" s="189">
        <f t="shared" si="1389"/>
        <v>0</v>
      </c>
      <c r="CY564" s="189">
        <f t="shared" si="1389"/>
        <v>0</v>
      </c>
      <c r="CZ564" s="189">
        <f t="shared" si="1389"/>
        <v>0</v>
      </c>
      <c r="DA564" s="189">
        <f t="shared" si="1389"/>
        <v>0</v>
      </c>
      <c r="DB564" s="2307">
        <f t="shared" si="1389"/>
        <v>4.3029182265121105E-3</v>
      </c>
      <c r="DC564" s="189">
        <f t="shared" si="1389"/>
        <v>0</v>
      </c>
      <c r="DD564" s="189">
        <f t="shared" si="1389"/>
        <v>0</v>
      </c>
      <c r="DE564" s="189">
        <f t="shared" si="1389"/>
        <v>0</v>
      </c>
      <c r="DF564" s="189">
        <f t="shared" si="1389"/>
        <v>3.9209695488338931E-3</v>
      </c>
      <c r="DG564" s="2307">
        <f t="shared" si="1389"/>
        <v>4.3488112031223733E-3</v>
      </c>
      <c r="DH564" s="189">
        <f t="shared" si="1389"/>
        <v>4.678169459809021E-3</v>
      </c>
      <c r="DI564" s="189">
        <f t="shared" si="1389"/>
        <v>4.159819227608874E-3</v>
      </c>
      <c r="DJ564" s="189">
        <f t="shared" si="1389"/>
        <v>3.8272549939504679E-3</v>
      </c>
      <c r="DK564" s="189">
        <f t="shared" si="1389"/>
        <v>3.7330439500813891E-3</v>
      </c>
      <c r="DL564" s="2307">
        <f t="shared" si="1389"/>
        <v>4.071495208733635E-3</v>
      </c>
      <c r="DM564" s="189"/>
      <c r="DN564" s="189"/>
      <c r="DO564" s="189"/>
      <c r="DP564" s="189"/>
      <c r="DQ564" s="2307"/>
      <c r="DR564" s="189"/>
      <c r="DS564" s="189"/>
      <c r="DT564" s="189"/>
      <c r="DU564" s="189"/>
      <c r="DV564" s="2307"/>
      <c r="DW564" s="189"/>
      <c r="DX564" s="189"/>
      <c r="DY564" s="189"/>
      <c r="DZ564" s="189"/>
      <c r="EA564" s="2307"/>
      <c r="EB564" s="189"/>
      <c r="EC564" s="189"/>
      <c r="ED564" s="189"/>
      <c r="EE564" s="189"/>
      <c r="EF564" s="2307"/>
      <c r="EG564" s="189"/>
      <c r="EH564" s="189"/>
      <c r="EI564" s="189"/>
      <c r="EJ564" s="189"/>
      <c r="EK564" s="2307"/>
      <c r="EL564" s="189"/>
      <c r="EM564" s="189"/>
      <c r="EN564" s="189"/>
      <c r="EO564" s="189"/>
      <c r="EP564" s="2307"/>
      <c r="EQ564" s="189"/>
      <c r="ER564" s="189"/>
      <c r="ES564" s="189"/>
      <c r="ET564" s="189"/>
      <c r="EU564" s="2307"/>
      <c r="EV564" s="2307"/>
      <c r="EW564" s="2307"/>
      <c r="EX564" s="2307"/>
      <c r="EY564" s="2307"/>
      <c r="EZ564" s="167"/>
      <c r="FA564" s="1104"/>
      <c r="FB564" s="1104"/>
    </row>
    <row r="565" spans="1:158" s="168" customFormat="1" ht="11.25" hidden="1" customHeight="1">
      <c r="A565" s="3011" t="str">
        <f>A87</f>
        <v>Alphabet total revenues (gross)</v>
      </c>
      <c r="B565" s="3012"/>
      <c r="C565" s="3013"/>
      <c r="D565" s="3013"/>
      <c r="E565" s="3013"/>
      <c r="F565" s="3071"/>
      <c r="G565" s="3012"/>
      <c r="H565" s="3013"/>
      <c r="I565" s="3013"/>
      <c r="J565" s="3013"/>
      <c r="K565" s="3014"/>
      <c r="L565" s="3013"/>
      <c r="M565" s="3013"/>
      <c r="N565" s="3013"/>
      <c r="O565" s="3013"/>
      <c r="P565" s="3017"/>
      <c r="Q565" s="3018"/>
      <c r="R565" s="3015"/>
      <c r="S565" s="3015"/>
      <c r="T565" s="3015"/>
      <c r="U565" s="3017"/>
      <c r="V565" s="3018"/>
      <c r="W565" s="3015"/>
      <c r="X565" s="3015"/>
      <c r="Y565" s="3015"/>
      <c r="Z565" s="3017"/>
      <c r="AA565" s="3018"/>
      <c r="AB565" s="3015"/>
      <c r="AC565" s="3015"/>
      <c r="AD565" s="3015"/>
      <c r="AE565" s="3017"/>
      <c r="AF565" s="3018"/>
      <c r="AG565" s="3015"/>
      <c r="AH565" s="3015"/>
      <c r="AI565" s="3015"/>
      <c r="AJ565" s="3017"/>
      <c r="AK565" s="3018"/>
      <c r="AL565" s="3015"/>
      <c r="AM565" s="3015"/>
      <c r="AN565" s="3016"/>
      <c r="AO565" s="3017"/>
      <c r="AP565" s="3018"/>
      <c r="AQ565" s="3015"/>
      <c r="AR565" s="3015"/>
      <c r="AS565" s="3016"/>
      <c r="AT565" s="3017"/>
      <c r="AU565" s="3018">
        <f t="shared" ref="AU565:BN565" si="1390">AU87</f>
        <v>0.34431608068039538</v>
      </c>
      <c r="AV565" s="3015">
        <f t="shared" si="1390"/>
        <v>0.34227584079033951</v>
      </c>
      <c r="AW565" s="3015">
        <f t="shared" si="1390"/>
        <v>0.3373304644988957</v>
      </c>
      <c r="AX565" s="3016">
        <f t="shared" si="1390"/>
        <v>0.33148041082607255</v>
      </c>
      <c r="AY565" s="3017">
        <f t="shared" si="1390"/>
        <v>0.33868028106654796</v>
      </c>
      <c r="AZ565" s="3018">
        <f t="shared" si="1390"/>
        <v>0.32967331579835868</v>
      </c>
      <c r="BA565" s="3015">
        <f t="shared" si="1390"/>
        <v>0.33863912363384646</v>
      </c>
      <c r="BB565" s="3015">
        <f t="shared" si="1390"/>
        <v>0.33459543393097663</v>
      </c>
      <c r="BC565" s="3016">
        <f t="shared" si="1390"/>
        <v>0.33751574247152116</v>
      </c>
      <c r="BD565" s="3017">
        <f t="shared" si="1390"/>
        <v>0.33521726311546995</v>
      </c>
      <c r="BE565" s="3018">
        <f t="shared" si="1390"/>
        <v>0.34479704797047972</v>
      </c>
      <c r="BF565" s="3015">
        <f t="shared" si="1390"/>
        <v>0.3403225806451613</v>
      </c>
      <c r="BG565" s="3015">
        <f t="shared" si="1390"/>
        <v>0.3366730716442492</v>
      </c>
      <c r="BH565" s="3016">
        <f t="shared" si="1390"/>
        <v>0.32796208530805687</v>
      </c>
      <c r="BI565" s="3017">
        <f t="shared" si="1390"/>
        <v>0.33689164762456941</v>
      </c>
      <c r="BJ565" s="3018">
        <f t="shared" si="1390"/>
        <v>0.31440233236151599</v>
      </c>
      <c r="BK565" s="3015">
        <f t="shared" si="1390"/>
        <v>0.30955018834478171</v>
      </c>
      <c r="BL565" s="3015">
        <f t="shared" si="1390"/>
        <v>0.30658436213991769</v>
      </c>
      <c r="BM565" s="3015">
        <f t="shared" si="1390"/>
        <v>0.31084656084656087</v>
      </c>
      <c r="BN565" s="3017">
        <f t="shared" si="1390"/>
        <v>0.31024930747922436</v>
      </c>
      <c r="BO565" s="3015"/>
      <c r="BP565" s="3015"/>
      <c r="BQ565" s="3015"/>
      <c r="BR565" s="3015"/>
      <c r="BS565" s="3325"/>
      <c r="BT565" s="3015">
        <f>BT87</f>
        <v>0.31310474401127292</v>
      </c>
      <c r="BU565" s="3015">
        <f>BU87</f>
        <v>0.31211236774899676</v>
      </c>
      <c r="BV565" s="3015">
        <f>BV87</f>
        <v>0.32960263751518304</v>
      </c>
      <c r="BW565" s="3015">
        <f>BW87</f>
        <v>0.33049205734211545</v>
      </c>
      <c r="BX565" s="3017">
        <f>BX87</f>
        <v>0.32187228496959164</v>
      </c>
      <c r="BY565" s="3015"/>
      <c r="BZ565" s="3015"/>
      <c r="CA565" s="3015"/>
      <c r="CB565" s="3015"/>
      <c r="CC565" s="3325"/>
      <c r="CD565" s="3074">
        <f t="shared" ref="CD565:DL565" si="1391">CD87</f>
        <v>0</v>
      </c>
      <c r="CE565" s="3015">
        <f t="shared" si="1391"/>
        <v>0</v>
      </c>
      <c r="CF565" s="3015">
        <f t="shared" si="1391"/>
        <v>0</v>
      </c>
      <c r="CG565" s="3015">
        <f t="shared" si="1391"/>
        <v>0</v>
      </c>
      <c r="CH565" s="3017">
        <f t="shared" si="1391"/>
        <v>0</v>
      </c>
      <c r="CI565" s="3072">
        <f t="shared" si="1391"/>
        <v>0</v>
      </c>
      <c r="CJ565" s="3015">
        <f t="shared" si="1391"/>
        <v>0</v>
      </c>
      <c r="CK565" s="3015">
        <f t="shared" si="1391"/>
        <v>0</v>
      </c>
      <c r="CL565" s="3015">
        <f t="shared" si="1391"/>
        <v>0</v>
      </c>
      <c r="CM565" s="3017">
        <f t="shared" si="1391"/>
        <v>0</v>
      </c>
      <c r="CN565" s="3015">
        <f t="shared" si="1391"/>
        <v>0</v>
      </c>
      <c r="CO565" s="3015">
        <f t="shared" si="1391"/>
        <v>0</v>
      </c>
      <c r="CP565" s="3015">
        <f t="shared" si="1391"/>
        <v>0</v>
      </c>
      <c r="CQ565" s="3015">
        <f t="shared" si="1391"/>
        <v>0</v>
      </c>
      <c r="CR565" s="3017">
        <f t="shared" si="1391"/>
        <v>0</v>
      </c>
      <c r="CS565" s="3015">
        <f t="shared" si="1391"/>
        <v>0</v>
      </c>
      <c r="CT565" s="3015">
        <f t="shared" si="1391"/>
        <v>0</v>
      </c>
      <c r="CU565" s="3015">
        <f t="shared" si="1391"/>
        <v>0</v>
      </c>
      <c r="CV565" s="3015">
        <f t="shared" si="1391"/>
        <v>0</v>
      </c>
      <c r="CW565" s="3017">
        <f t="shared" si="1391"/>
        <v>0</v>
      </c>
      <c r="CX565" s="3015">
        <f t="shared" si="1391"/>
        <v>0</v>
      </c>
      <c r="CY565" s="3015">
        <f t="shared" si="1391"/>
        <v>0</v>
      </c>
      <c r="CZ565" s="3015">
        <f t="shared" si="1391"/>
        <v>0</v>
      </c>
      <c r="DA565" s="3015">
        <f t="shared" si="1391"/>
        <v>0</v>
      </c>
      <c r="DB565" s="3017">
        <f t="shared" si="1391"/>
        <v>1</v>
      </c>
      <c r="DC565" s="3015">
        <f t="shared" si="1391"/>
        <v>0</v>
      </c>
      <c r="DD565" s="3015">
        <f t="shared" si="1391"/>
        <v>0</v>
      </c>
      <c r="DE565" s="3015">
        <f t="shared" si="1391"/>
        <v>0</v>
      </c>
      <c r="DF565" s="3015">
        <f t="shared" si="1391"/>
        <v>1</v>
      </c>
      <c r="DG565" s="3017">
        <f t="shared" si="1391"/>
        <v>1</v>
      </c>
      <c r="DH565" s="3015">
        <f t="shared" si="1391"/>
        <v>1</v>
      </c>
      <c r="DI565" s="3015">
        <f t="shared" si="1391"/>
        <v>1</v>
      </c>
      <c r="DJ565" s="3015">
        <f t="shared" si="1391"/>
        <v>0.99999999999999989</v>
      </c>
      <c r="DK565" s="3015">
        <f t="shared" si="1391"/>
        <v>0.99999999999999989</v>
      </c>
      <c r="DL565" s="3017">
        <f t="shared" si="1391"/>
        <v>0.99999999999999989</v>
      </c>
      <c r="DM565" s="3015"/>
      <c r="DN565" s="3015"/>
      <c r="DO565" s="3015"/>
      <c r="DP565" s="3015"/>
      <c r="DQ565" s="3017"/>
      <c r="DR565" s="3015"/>
      <c r="DS565" s="3015"/>
      <c r="DT565" s="3015"/>
      <c r="DU565" s="3015"/>
      <c r="DV565" s="3017"/>
      <c r="DW565" s="3015"/>
      <c r="DX565" s="3015"/>
      <c r="DY565" s="3015"/>
      <c r="DZ565" s="3015"/>
      <c r="EA565" s="3017"/>
      <c r="EB565" s="3015"/>
      <c r="EC565" s="3015"/>
      <c r="ED565" s="3015"/>
      <c r="EE565" s="3015"/>
      <c r="EF565" s="3017"/>
      <c r="EG565" s="3015"/>
      <c r="EH565" s="3015"/>
      <c r="EI565" s="3015"/>
      <c r="EJ565" s="3015"/>
      <c r="EK565" s="3017"/>
      <c r="EL565" s="3015"/>
      <c r="EM565" s="3015"/>
      <c r="EN565" s="3015"/>
      <c r="EO565" s="3015"/>
      <c r="EP565" s="3017"/>
      <c r="EQ565" s="3015"/>
      <c r="ER565" s="3015"/>
      <c r="ES565" s="3015"/>
      <c r="ET565" s="3015"/>
      <c r="EU565" s="3017"/>
      <c r="EV565" s="3017"/>
      <c r="EW565" s="3017"/>
      <c r="EX565" s="3017"/>
      <c r="EY565" s="3017"/>
      <c r="EZ565" s="167"/>
      <c r="FA565" s="1104"/>
      <c r="FB565" s="1104"/>
    </row>
    <row r="566" spans="1:158" s="211" customFormat="1" ht="11.25" hidden="1" customHeight="1">
      <c r="A566" s="2002"/>
      <c r="B566" s="2001"/>
      <c r="C566" s="183"/>
      <c r="D566" s="183"/>
      <c r="E566" s="183"/>
      <c r="F566" s="269"/>
      <c r="G566" s="183"/>
      <c r="H566" s="183"/>
      <c r="I566" s="183"/>
      <c r="J566" s="183"/>
      <c r="K566" s="1028"/>
      <c r="P566" s="1028"/>
      <c r="U566" s="1028"/>
      <c r="Z566" s="1028"/>
      <c r="AE566" s="1028"/>
      <c r="AJ566" s="1028"/>
      <c r="AO566" s="1028"/>
      <c r="AT566" s="1028"/>
      <c r="AU566" s="2085"/>
      <c r="AY566" s="1938"/>
      <c r="AZ566" s="2085"/>
      <c r="BC566" s="344"/>
      <c r="BD566" s="1938"/>
      <c r="BE566" s="2085"/>
      <c r="BI566" s="1938"/>
      <c r="BJ566" s="2085"/>
      <c r="BN566" s="1938"/>
      <c r="BS566" s="1938"/>
      <c r="BX566" s="1938"/>
      <c r="CC566" s="1938"/>
      <c r="CH566" s="1938"/>
      <c r="CM566" s="1938"/>
      <c r="CR566" s="1938"/>
      <c r="CW566" s="1938"/>
      <c r="DB566" s="1938"/>
      <c r="DG566" s="1938"/>
      <c r="DL566" s="1938"/>
      <c r="DQ566" s="1938"/>
      <c r="DV566" s="1938"/>
      <c r="EA566" s="1938"/>
      <c r="EF566" s="1938"/>
      <c r="EK566" s="1938"/>
      <c r="EP566" s="1938"/>
      <c r="EU566" s="1938"/>
      <c r="EV566" s="1938"/>
      <c r="EW566" s="1938"/>
      <c r="EX566" s="1938"/>
      <c r="EY566" s="1938"/>
      <c r="FA566" s="1104"/>
      <c r="FB566" s="1104"/>
    </row>
    <row r="567" spans="1:158" s="180" customFormat="1" ht="11.25" hidden="1" customHeight="1" collapsed="1">
      <c r="A567" s="2964" t="str">
        <f>A22</f>
        <v>Google Properties</v>
      </c>
      <c r="B567" s="3321"/>
      <c r="C567" s="2965"/>
      <c r="D567" s="2965"/>
      <c r="E567" s="2965"/>
      <c r="F567" s="3322"/>
      <c r="G567" s="3321"/>
      <c r="H567" s="2965"/>
      <c r="I567" s="2965"/>
      <c r="J567" s="2965"/>
      <c r="K567" s="2966"/>
      <c r="L567" s="2965"/>
      <c r="M567" s="2965"/>
      <c r="N567" s="2965"/>
      <c r="O567" s="2965"/>
      <c r="P567" s="2966"/>
      <c r="Q567" s="3321"/>
      <c r="R567" s="2965"/>
      <c r="S567" s="2965"/>
      <c r="T567" s="2965"/>
      <c r="U567" s="2966"/>
      <c r="V567" s="3321"/>
      <c r="W567" s="2965"/>
      <c r="X567" s="2965"/>
      <c r="Y567" s="2965"/>
      <c r="Z567" s="2966"/>
      <c r="AA567" s="3321"/>
      <c r="AB567" s="2965"/>
      <c r="AC567" s="2965"/>
      <c r="AD567" s="2965"/>
      <c r="AE567" s="2966"/>
      <c r="AF567" s="3321"/>
      <c r="AG567" s="2965"/>
      <c r="AH567" s="2965"/>
      <c r="AI567" s="2965"/>
      <c r="AJ567" s="2966"/>
      <c r="AK567" s="3321"/>
      <c r="AL567" s="2965"/>
      <c r="AM567" s="2965"/>
      <c r="AN567" s="2967"/>
      <c r="AO567" s="2966"/>
      <c r="AP567" s="3321"/>
      <c r="AQ567" s="2965"/>
      <c r="AR567" s="2965"/>
      <c r="AS567" s="2967"/>
      <c r="AT567" s="2966"/>
      <c r="AU567" s="3321">
        <f t="shared" ref="AU567:BN567" si="1392">AU22</f>
        <v>3400.4050000000002</v>
      </c>
      <c r="AV567" s="2965">
        <f t="shared" si="1392"/>
        <v>3530.145</v>
      </c>
      <c r="AW567" s="2965">
        <f t="shared" si="1392"/>
        <v>3672.1109999999999</v>
      </c>
      <c r="AX567" s="2967">
        <f t="shared" si="1392"/>
        <v>3811.1660000000002</v>
      </c>
      <c r="AY567" s="2966">
        <f t="shared" si="1392"/>
        <v>14413.827000000001</v>
      </c>
      <c r="AZ567" s="3321">
        <f t="shared" si="1392"/>
        <v>3692.8229999999999</v>
      </c>
      <c r="BA567" s="2965">
        <f t="shared" si="1392"/>
        <v>3652.6280000000002</v>
      </c>
      <c r="BB567" s="2965">
        <f t="shared" si="1392"/>
        <v>3955.7310000000002</v>
      </c>
      <c r="BC567" s="2967">
        <f t="shared" si="1392"/>
        <v>4421.3040000000001</v>
      </c>
      <c r="BD567" s="2966">
        <f t="shared" si="1392"/>
        <v>15722.486000000001</v>
      </c>
      <c r="BE567" s="3321">
        <f t="shared" si="1392"/>
        <v>4439</v>
      </c>
      <c r="BF567" s="2965">
        <f t="shared" si="1392"/>
        <v>4499</v>
      </c>
      <c r="BG567" s="2965">
        <f t="shared" si="1392"/>
        <v>4833</v>
      </c>
      <c r="BH567" s="2967">
        <f t="shared" si="1392"/>
        <v>5672</v>
      </c>
      <c r="BI567" s="2966">
        <f t="shared" si="1392"/>
        <v>19443</v>
      </c>
      <c r="BJ567" s="3321">
        <f t="shared" si="1392"/>
        <v>5879</v>
      </c>
      <c r="BK567" s="2965">
        <f t="shared" si="1392"/>
        <v>6232</v>
      </c>
      <c r="BL567" s="2965">
        <f t="shared" si="1392"/>
        <v>6740</v>
      </c>
      <c r="BM567" s="2965">
        <f t="shared" si="1392"/>
        <v>7294</v>
      </c>
      <c r="BN567" s="2966">
        <f t="shared" si="1392"/>
        <v>26145</v>
      </c>
      <c r="BO567" s="2965"/>
      <c r="BP567" s="2965"/>
      <c r="BQ567" s="2965"/>
      <c r="BR567" s="2965"/>
      <c r="BS567" s="3323"/>
      <c r="BT567" s="2965">
        <f t="shared" ref="BT567:BX568" si="1393">BT22</f>
        <v>7312</v>
      </c>
      <c r="BU567" s="2965">
        <f t="shared" si="1393"/>
        <v>7542</v>
      </c>
      <c r="BV567" s="2965">
        <f t="shared" si="1393"/>
        <v>7727</v>
      </c>
      <c r="BW567" s="2965">
        <f t="shared" si="1393"/>
        <v>8640</v>
      </c>
      <c r="BX567" s="2966">
        <f t="shared" si="1393"/>
        <v>31221</v>
      </c>
      <c r="BY567" s="2965"/>
      <c r="BZ567" s="2965"/>
      <c r="CA567" s="2965"/>
      <c r="CB567" s="2965"/>
      <c r="CC567" s="3323"/>
      <c r="CD567" s="3324">
        <f t="shared" ref="CD567:DL567" si="1394">CD22</f>
        <v>8640</v>
      </c>
      <c r="CE567" s="2965">
        <f t="shared" si="1394"/>
        <v>8868</v>
      </c>
      <c r="CF567" s="2965">
        <f t="shared" si="1394"/>
        <v>9376</v>
      </c>
      <c r="CG567" s="2965">
        <f t="shared" si="1394"/>
        <v>10538</v>
      </c>
      <c r="CH567" s="2966">
        <f t="shared" si="1394"/>
        <v>37422</v>
      </c>
      <c r="CI567" s="2968">
        <f t="shared" si="1394"/>
        <v>10469</v>
      </c>
      <c r="CJ567" s="2965">
        <f t="shared" si="1394"/>
        <v>10935</v>
      </c>
      <c r="CK567" s="2965">
        <f t="shared" si="1394"/>
        <v>11252</v>
      </c>
      <c r="CL567" s="2965">
        <f t="shared" si="1394"/>
        <v>12429</v>
      </c>
      <c r="CM567" s="2966">
        <f t="shared" si="1394"/>
        <v>45085</v>
      </c>
      <c r="CN567" s="2965">
        <f t="shared" si="1394"/>
        <v>11932</v>
      </c>
      <c r="CO567" s="2965">
        <f t="shared" si="1394"/>
        <v>12402</v>
      </c>
      <c r="CP567" s="2965">
        <f t="shared" si="1394"/>
        <v>13087</v>
      </c>
      <c r="CQ567" s="2965">
        <f t="shared" si="1394"/>
        <v>14936</v>
      </c>
      <c r="CR567" s="2966">
        <f t="shared" si="1394"/>
        <v>52357</v>
      </c>
      <c r="CS567" s="2965">
        <f t="shared" si="1394"/>
        <v>14328</v>
      </c>
      <c r="CT567" s="2965">
        <f t="shared" si="1394"/>
        <v>15400</v>
      </c>
      <c r="CU567" s="2965">
        <f t="shared" si="1394"/>
        <v>16089</v>
      </c>
      <c r="CV567" s="2965">
        <f t="shared" si="1394"/>
        <v>17968</v>
      </c>
      <c r="CW567" s="2966">
        <f t="shared" si="1394"/>
        <v>63785</v>
      </c>
      <c r="CX567" s="2965">
        <f t="shared" si="1394"/>
        <v>17403</v>
      </c>
      <c r="CY567" s="2965">
        <f t="shared" si="1394"/>
        <v>18425</v>
      </c>
      <c r="CZ567" s="2965">
        <f t="shared" si="1394"/>
        <v>19723</v>
      </c>
      <c r="DA567" s="2965">
        <f t="shared" si="1394"/>
        <v>22237</v>
      </c>
      <c r="DB567" s="2966">
        <f t="shared" si="1394"/>
        <v>77961</v>
      </c>
      <c r="DC567" s="2965">
        <f t="shared" si="1394"/>
        <v>21998</v>
      </c>
      <c r="DD567" s="2965">
        <f t="shared" si="1394"/>
        <v>23262</v>
      </c>
      <c r="DE567" s="2965">
        <f t="shared" si="1394"/>
        <v>24054</v>
      </c>
      <c r="DF567" s="2965">
        <f t="shared" si="1394"/>
        <v>26925</v>
      </c>
      <c r="DG567" s="2966">
        <f t="shared" si="1394"/>
        <v>96451</v>
      </c>
      <c r="DH567" s="2965">
        <f t="shared" si="1394"/>
        <v>25572</v>
      </c>
      <c r="DI567" s="2965">
        <f t="shared" si="1394"/>
        <v>27245</v>
      </c>
      <c r="DJ567" s="2965">
        <f t="shared" si="1394"/>
        <v>28545</v>
      </c>
      <c r="DK567" s="2965">
        <f t="shared" si="1394"/>
        <v>31902</v>
      </c>
      <c r="DL567" s="2966">
        <f t="shared" si="1394"/>
        <v>113264</v>
      </c>
      <c r="DM567" s="2965"/>
      <c r="DN567" s="2965"/>
      <c r="DO567" s="2965"/>
      <c r="DP567" s="2965"/>
      <c r="DQ567" s="2966"/>
      <c r="DR567" s="2965"/>
      <c r="DS567" s="2965"/>
      <c r="DT567" s="2965"/>
      <c r="DU567" s="2965"/>
      <c r="DV567" s="2966"/>
      <c r="DW567" s="2965"/>
      <c r="DX567" s="2965"/>
      <c r="DY567" s="2965"/>
      <c r="DZ567" s="2965"/>
      <c r="EA567" s="2966"/>
      <c r="EB567" s="2965"/>
      <c r="EC567" s="2965"/>
      <c r="ED567" s="2965"/>
      <c r="EE567" s="2965"/>
      <c r="EF567" s="2966"/>
      <c r="EG567" s="2965"/>
      <c r="EH567" s="2965"/>
      <c r="EI567" s="2965"/>
      <c r="EJ567" s="2965"/>
      <c r="EK567" s="2966"/>
      <c r="EL567" s="2965"/>
      <c r="EM567" s="2965"/>
      <c r="EN567" s="2965"/>
      <c r="EO567" s="2965"/>
      <c r="EP567" s="2966"/>
      <c r="EQ567" s="2965"/>
      <c r="ER567" s="2965"/>
      <c r="ES567" s="2965"/>
      <c r="ET567" s="2965"/>
      <c r="EU567" s="2966"/>
      <c r="EV567" s="2966"/>
      <c r="EW567" s="2966"/>
      <c r="EX567" s="2966"/>
      <c r="EY567" s="2966"/>
      <c r="EZ567" s="175"/>
      <c r="FA567" s="1319"/>
      <c r="FB567" s="1319"/>
    </row>
    <row r="568" spans="1:158" s="183" customFormat="1" ht="11.25" hidden="1" customHeight="1">
      <c r="A568" s="1538" t="str">
        <f>A23</f>
        <v>Y/Y growth</v>
      </c>
      <c r="B568" s="739"/>
      <c r="C568" s="181"/>
      <c r="D568" s="181"/>
      <c r="E568" s="169"/>
      <c r="F568" s="983"/>
      <c r="G568" s="739"/>
      <c r="H568" s="181"/>
      <c r="I568" s="181"/>
      <c r="J568" s="181"/>
      <c r="K568" s="991"/>
      <c r="L568" s="181"/>
      <c r="M568" s="181"/>
      <c r="N568" s="181"/>
      <c r="O568" s="181"/>
      <c r="P568" s="992"/>
      <c r="Q568" s="736"/>
      <c r="R568" s="169"/>
      <c r="S568" s="169"/>
      <c r="T568" s="169"/>
      <c r="U568" s="992"/>
      <c r="V568" s="736"/>
      <c r="W568" s="169"/>
      <c r="X568" s="169"/>
      <c r="Y568" s="169"/>
      <c r="Z568" s="992"/>
      <c r="AA568" s="736"/>
      <c r="AB568" s="169"/>
      <c r="AC568" s="169"/>
      <c r="AD568" s="169"/>
      <c r="AE568" s="992"/>
      <c r="AF568" s="736"/>
      <c r="AG568" s="169"/>
      <c r="AH568" s="169"/>
      <c r="AI568" s="169"/>
      <c r="AJ568" s="992"/>
      <c r="AK568" s="736"/>
      <c r="AL568" s="169"/>
      <c r="AM568" s="169"/>
      <c r="AN568" s="169"/>
      <c r="AO568" s="992"/>
      <c r="AP568" s="736"/>
      <c r="AQ568" s="169"/>
      <c r="AR568" s="169"/>
      <c r="AS568" s="169"/>
      <c r="AT568" s="992"/>
      <c r="AU568" s="736">
        <f t="shared" ref="AU568:BN568" si="1395">AU23</f>
        <v>0.49001959142394291</v>
      </c>
      <c r="AV568" s="169">
        <f t="shared" si="1395"/>
        <v>0.41984442683677292</v>
      </c>
      <c r="AW568" s="169">
        <f t="shared" si="1395"/>
        <v>0.34275635559442974</v>
      </c>
      <c r="AX568" s="169">
        <f t="shared" si="1395"/>
        <v>0.22092531920953085</v>
      </c>
      <c r="AY568" s="992">
        <f t="shared" si="1395"/>
        <v>0.35663302118665685</v>
      </c>
      <c r="AZ568" s="736">
        <f t="shared" si="1395"/>
        <v>8.5995050589561917E-2</v>
      </c>
      <c r="BA568" s="169">
        <f t="shared" si="1395"/>
        <v>3.4696308508574081E-2</v>
      </c>
      <c r="BB568" s="169">
        <f t="shared" si="1395"/>
        <v>7.7236227336265229E-2</v>
      </c>
      <c r="BC568" s="169">
        <f t="shared" si="1395"/>
        <v>0.16009221324917355</v>
      </c>
      <c r="BD568" s="992">
        <f t="shared" si="1395"/>
        <v>9.0791918065896038E-2</v>
      </c>
      <c r="BE568" s="736">
        <f t="shared" si="1395"/>
        <v>0.20206140397197481</v>
      </c>
      <c r="BF568" s="169">
        <f t="shared" si="1395"/>
        <v>0.23171590427494948</v>
      </c>
      <c r="BG568" s="169">
        <f t="shared" si="1395"/>
        <v>0.22177165231912888</v>
      </c>
      <c r="BH568" s="169">
        <f t="shared" si="1395"/>
        <v>0.28287944009278698</v>
      </c>
      <c r="BI568" s="992">
        <f t="shared" si="1395"/>
        <v>0.23663649628945449</v>
      </c>
      <c r="BJ568" s="736">
        <f t="shared" si="1395"/>
        <v>0.32439738679882857</v>
      </c>
      <c r="BK568" s="169">
        <f t="shared" si="1395"/>
        <v>0.38519671038008441</v>
      </c>
      <c r="BL568" s="169">
        <f t="shared" si="1395"/>
        <v>0.39457893647837783</v>
      </c>
      <c r="BM568" s="169">
        <f t="shared" si="1395"/>
        <v>0.28596614950634702</v>
      </c>
      <c r="BN568" s="992">
        <f t="shared" si="1395"/>
        <v>0.34469989199197659</v>
      </c>
      <c r="BO568" s="169"/>
      <c r="BP568" s="169"/>
      <c r="BQ568" s="169"/>
      <c r="BR568" s="169"/>
      <c r="BS568" s="1927"/>
      <c r="BT568" s="169">
        <f t="shared" si="1393"/>
        <v>0.24374893689402954</v>
      </c>
      <c r="BU568" s="169">
        <f t="shared" si="1393"/>
        <v>0.21020539152759943</v>
      </c>
      <c r="BV568" s="169">
        <f t="shared" si="1393"/>
        <v>0.14643916913946597</v>
      </c>
      <c r="BW568" s="169">
        <f t="shared" si="1393"/>
        <v>0.18453523443926523</v>
      </c>
      <c r="BX568" s="992">
        <f t="shared" si="1393"/>
        <v>0.19414802065404468</v>
      </c>
      <c r="BY568" s="169"/>
      <c r="BZ568" s="169"/>
      <c r="CA568" s="169"/>
      <c r="CB568" s="169"/>
      <c r="CC568" s="1927"/>
      <c r="CD568" s="1689">
        <f t="shared" ref="CD568:DL568" si="1396">CD23</f>
        <v>0.18161925601750539</v>
      </c>
      <c r="CE568" s="169">
        <f t="shared" si="1396"/>
        <v>0.1758154335719968</v>
      </c>
      <c r="CF568" s="169">
        <f t="shared" si="1396"/>
        <v>0.21340753203054219</v>
      </c>
      <c r="CG568" s="169">
        <f t="shared" si="1396"/>
        <v>0.219675925925926</v>
      </c>
      <c r="CH568" s="992">
        <f t="shared" si="1396"/>
        <v>0.19861631594119333</v>
      </c>
      <c r="CI568" s="169">
        <f t="shared" si="1396"/>
        <v>0.21168981481481475</v>
      </c>
      <c r="CJ568" s="169">
        <f t="shared" si="1396"/>
        <v>0.23308525033829497</v>
      </c>
      <c r="CK568" s="169">
        <f t="shared" si="1396"/>
        <v>0.20008532423208192</v>
      </c>
      <c r="CL568" s="169">
        <f t="shared" si="1396"/>
        <v>0.17944581514518876</v>
      </c>
      <c r="CM568" s="992">
        <f t="shared" si="1396"/>
        <v>0.20477259366148259</v>
      </c>
      <c r="CN568" s="169">
        <f t="shared" si="1396"/>
        <v>0.13974591651542645</v>
      </c>
      <c r="CO568" s="169">
        <f t="shared" si="1396"/>
        <v>0.13415637860082308</v>
      </c>
      <c r="CP568" s="169">
        <f t="shared" si="1396"/>
        <v>0.16308211873444711</v>
      </c>
      <c r="CQ568" s="169">
        <f t="shared" si="1396"/>
        <v>0.20170568830959845</v>
      </c>
      <c r="CR568" s="992">
        <f t="shared" si="1396"/>
        <v>0.16129533104136629</v>
      </c>
      <c r="CS568" s="169">
        <f t="shared" si="1396"/>
        <v>0.20080455916862228</v>
      </c>
      <c r="CT568" s="169">
        <f t="shared" si="1396"/>
        <v>0.241735203999355</v>
      </c>
      <c r="CU568" s="169">
        <f t="shared" si="1396"/>
        <v>0.22938794223275005</v>
      </c>
      <c r="CV568" s="169">
        <f t="shared" si="1396"/>
        <v>0.20299946438136041</v>
      </c>
      <c r="CW568" s="992">
        <f t="shared" si="1396"/>
        <v>0.21827071833756717</v>
      </c>
      <c r="CX568" s="169">
        <f t="shared" si="1396"/>
        <v>0.21461474036850925</v>
      </c>
      <c r="CY568" s="169">
        <f t="shared" si="1396"/>
        <v>0.1964285714285714</v>
      </c>
      <c r="CZ568" s="169">
        <f t="shared" si="1396"/>
        <v>0.22586860587979363</v>
      </c>
      <c r="DA568" s="169">
        <f t="shared" si="1396"/>
        <v>0.23758904719501328</v>
      </c>
      <c r="DB568" s="992">
        <f t="shared" si="1396"/>
        <v>0.22224660970447596</v>
      </c>
      <c r="DC568" s="2612">
        <f t="shared" si="1396"/>
        <v>0.26403493650520016</v>
      </c>
      <c r="DD568" s="2612">
        <f t="shared" si="1396"/>
        <v>0.26252374491180452</v>
      </c>
      <c r="DE568" s="2612">
        <f t="shared" si="1396"/>
        <v>0.21959134005982861</v>
      </c>
      <c r="DF568" s="2612">
        <f t="shared" si="1396"/>
        <v>0.21081980482978824</v>
      </c>
      <c r="DG568" s="2588">
        <f t="shared" si="1396"/>
        <v>0.23716986698477438</v>
      </c>
      <c r="DH568" s="2612" t="str">
        <f t="shared" si="1396"/>
        <v>NA</v>
      </c>
      <c r="DI568" s="2612" t="str">
        <f t="shared" si="1396"/>
        <v>NA</v>
      </c>
      <c r="DJ568" s="2612" t="str">
        <f t="shared" si="1396"/>
        <v>NA</v>
      </c>
      <c r="DK568" s="2612">
        <f t="shared" si="1396"/>
        <v>0.18484679665738168</v>
      </c>
      <c r="DL568" s="2588">
        <f t="shared" si="1396"/>
        <v>0.17431649231215851</v>
      </c>
      <c r="DM568" s="2612"/>
      <c r="DN568" s="2612"/>
      <c r="DO568" s="2612"/>
      <c r="DP568" s="2612"/>
      <c r="DQ568" s="2588"/>
      <c r="DR568" s="2612"/>
      <c r="DS568" s="2612"/>
      <c r="DT568" s="2612"/>
      <c r="DU568" s="2612"/>
      <c r="DV568" s="2588"/>
      <c r="DW568" s="2612"/>
      <c r="DX568" s="2612"/>
      <c r="DY568" s="2612"/>
      <c r="DZ568" s="2612"/>
      <c r="EA568" s="2588"/>
      <c r="EB568" s="2612"/>
      <c r="EC568" s="2612"/>
      <c r="ED568" s="2612"/>
      <c r="EE568" s="2612"/>
      <c r="EF568" s="2588"/>
      <c r="EG568" s="2612"/>
      <c r="EH568" s="2612"/>
      <c r="EI568" s="2612"/>
      <c r="EJ568" s="2612"/>
      <c r="EK568" s="2588"/>
      <c r="EL568" s="2612"/>
      <c r="EM568" s="2612"/>
      <c r="EN568" s="2612"/>
      <c r="EO568" s="2612"/>
      <c r="EP568" s="2588"/>
      <c r="EQ568" s="2612"/>
      <c r="ER568" s="2612"/>
      <c r="ES568" s="2612"/>
      <c r="ET568" s="2612"/>
      <c r="EU568" s="2588"/>
      <c r="EV568" s="2588"/>
      <c r="EW568" s="2588"/>
      <c r="EX568" s="2588"/>
      <c r="EY568" s="2588"/>
      <c r="EZ568" s="181"/>
      <c r="FA568" s="725"/>
      <c r="FB568" s="725"/>
    </row>
    <row r="569" spans="1:158" s="1099" customFormat="1" ht="11.25" hidden="1" customHeight="1">
      <c r="A569" s="2369" t="s">
        <v>635</v>
      </c>
      <c r="B569" s="1142"/>
      <c r="C569" s="1143"/>
      <c r="D569" s="1143"/>
      <c r="E569" s="1144"/>
      <c r="F569" s="1145"/>
      <c r="G569" s="1142"/>
      <c r="H569" s="1143"/>
      <c r="I569" s="1143"/>
      <c r="J569" s="1143"/>
      <c r="K569" s="1146"/>
      <c r="L569" s="1143"/>
      <c r="M569" s="1143"/>
      <c r="N569" s="1143"/>
      <c r="O569" s="1143"/>
      <c r="P569" s="1146"/>
      <c r="Q569" s="1142"/>
      <c r="R569" s="1143"/>
      <c r="S569" s="1143"/>
      <c r="T569" s="1143"/>
      <c r="U569" s="1146"/>
      <c r="V569" s="1142"/>
      <c r="W569" s="1143"/>
      <c r="X569" s="1143"/>
      <c r="Y569" s="1143"/>
      <c r="Z569" s="1146"/>
      <c r="AA569" s="1142"/>
      <c r="AB569" s="1143"/>
      <c r="AC569" s="1143"/>
      <c r="AD569" s="1143"/>
      <c r="AE569" s="1146"/>
      <c r="AF569" s="1142"/>
      <c r="AG569" s="1143"/>
      <c r="AH569" s="1143"/>
      <c r="AI569" s="1143"/>
      <c r="AJ569" s="1146"/>
      <c r="AK569" s="1142"/>
      <c r="AL569" s="1143"/>
      <c r="AM569" s="1143"/>
      <c r="AN569" s="1143"/>
      <c r="AO569" s="1146"/>
      <c r="AP569" s="1142"/>
      <c r="AQ569" s="1143"/>
      <c r="AR569" s="1143"/>
      <c r="AS569" s="1143"/>
      <c r="AT569" s="1146"/>
      <c r="AU569" s="1142"/>
      <c r="AV569" s="1143"/>
      <c r="AW569" s="1143"/>
      <c r="AX569" s="1143"/>
      <c r="AY569" s="1146"/>
      <c r="AZ569" s="1142">
        <f t="shared" ref="AZ569:BN569" si="1397">+AZ573/AU574-1</f>
        <v>0.14020619254337374</v>
      </c>
      <c r="BA569" s="1143">
        <f t="shared" si="1397"/>
        <v>0.10556534098442327</v>
      </c>
      <c r="BB569" s="1143">
        <f t="shared" si="1397"/>
        <v>0.13096712576891023</v>
      </c>
      <c r="BC569" s="1143">
        <f t="shared" si="1397"/>
        <v>0.15064813872957661</v>
      </c>
      <c r="BD569" s="1146">
        <f t="shared" si="1397"/>
        <v>0.13202548177706541</v>
      </c>
      <c r="BE569" s="1142">
        <f t="shared" si="1397"/>
        <v>0.19063337387589585</v>
      </c>
      <c r="BF569" s="1143">
        <f t="shared" si="1397"/>
        <v>0.24097612036209459</v>
      </c>
      <c r="BG569" s="1143">
        <f t="shared" si="1397"/>
        <v>0.24334336231076237</v>
      </c>
      <c r="BH569" s="1143">
        <f t="shared" si="1397"/>
        <v>0.30070260195911258</v>
      </c>
      <c r="BI569" s="1146">
        <f t="shared" si="1397"/>
        <v>0.24693156967417917</v>
      </c>
      <c r="BJ569" s="1142">
        <f t="shared" si="1397"/>
        <v>0.32063205824023755</v>
      </c>
      <c r="BK569" s="1143">
        <f t="shared" si="1397"/>
        <v>0.33606333035616998</v>
      </c>
      <c r="BL569" s="1143">
        <f t="shared" si="1397"/>
        <v>0.34152393292003791</v>
      </c>
      <c r="BM569" s="1143">
        <f t="shared" si="1397"/>
        <v>0.28198744430756739</v>
      </c>
      <c r="BN569" s="1146">
        <f t="shared" si="1397"/>
        <v>0.31803295225852013</v>
      </c>
      <c r="BO569" s="1143"/>
      <c r="BP569" s="1143"/>
      <c r="BQ569" s="1143"/>
      <c r="BR569" s="1143"/>
      <c r="BS569" s="1959"/>
      <c r="BT569" s="1142">
        <f>+BT573/BJ574-1</f>
        <v>0.24929376393095959</v>
      </c>
      <c r="BU569" s="1143">
        <f>+BU573/BK574-1</f>
        <v>0.24044731057820079</v>
      </c>
      <c r="BV569" s="1143">
        <f>+BV573/BL574-1</f>
        <v>0.19579760818860814</v>
      </c>
      <c r="BW569" s="1143">
        <f>+BW573/BM574-1</f>
        <v>0.20169276207147169</v>
      </c>
      <c r="BX569" s="1146">
        <f>+BX573/BN574-1</f>
        <v>0.22020164412955667</v>
      </c>
      <c r="BY569" s="1143"/>
      <c r="BZ569" s="1143"/>
      <c r="CA569" s="1143"/>
      <c r="CB569" s="1143"/>
      <c r="CC569" s="1959"/>
      <c r="CD569" s="1142">
        <f>+CD573/BT574-1</f>
        <v>0.18574066556432367</v>
      </c>
      <c r="CE569" s="1143">
        <f>+CE573/BU574-1</f>
        <v>0.18456679350210181</v>
      </c>
      <c r="CF569" s="1143">
        <f>+CF573/BV574-1</f>
        <v>0.21996992447522934</v>
      </c>
      <c r="CG569" s="1143">
        <f>+CG573/BW574-1</f>
        <v>0.22318292073935941</v>
      </c>
      <c r="CH569" s="1146">
        <f>+CH573/BX574-1</f>
        <v>0.20429249909286917</v>
      </c>
      <c r="CI569" s="1142">
        <f t="shared" ref="CI569:DL569" si="1398">+CI573/CD574-1</f>
        <v>0.21168981481481475</v>
      </c>
      <c r="CJ569" s="1143">
        <f t="shared" si="1398"/>
        <v>0.23308525033829497</v>
      </c>
      <c r="CK569" s="1143">
        <f t="shared" si="1398"/>
        <v>0.20008532423208192</v>
      </c>
      <c r="CL569" s="1143">
        <f t="shared" si="1398"/>
        <v>0.17944581514518876</v>
      </c>
      <c r="CM569" s="1146">
        <f t="shared" si="1398"/>
        <v>0.20477259366148259</v>
      </c>
      <c r="CN569" s="1142">
        <f t="shared" si="1398"/>
        <v>0.13974591651542645</v>
      </c>
      <c r="CO569" s="1143">
        <f t="shared" si="1398"/>
        <v>0.13415637860082308</v>
      </c>
      <c r="CP569" s="1143">
        <f t="shared" si="1398"/>
        <v>0.16308211873444711</v>
      </c>
      <c r="CQ569" s="1143">
        <f t="shared" si="1398"/>
        <v>0.20170568830959845</v>
      </c>
      <c r="CR569" s="1146">
        <f t="shared" si="1398"/>
        <v>0.16129533104136629</v>
      </c>
      <c r="CS569" s="1142">
        <f t="shared" si="1398"/>
        <v>0.20080455916862228</v>
      </c>
      <c r="CT569" s="1143">
        <f t="shared" si="1398"/>
        <v>0.241735203999355</v>
      </c>
      <c r="CU569" s="1143">
        <f t="shared" si="1398"/>
        <v>0.22938794223275005</v>
      </c>
      <c r="CV569" s="1143">
        <f t="shared" si="1398"/>
        <v>0.20299946438136041</v>
      </c>
      <c r="CW569" s="1146">
        <f t="shared" si="1398"/>
        <v>0.21827071833756717</v>
      </c>
      <c r="CX569" s="1142">
        <f t="shared" si="1398"/>
        <v>0.21461474036850925</v>
      </c>
      <c r="CY569" s="1143">
        <f t="shared" si="1398"/>
        <v>0.1964285714285714</v>
      </c>
      <c r="CZ569" s="1143">
        <f t="shared" si="1398"/>
        <v>0.22586860587979363</v>
      </c>
      <c r="DA569" s="1143">
        <f t="shared" si="1398"/>
        <v>0.23758904719501328</v>
      </c>
      <c r="DB569" s="1146">
        <f t="shared" si="1398"/>
        <v>0.21953437328525505</v>
      </c>
      <c r="DC569" s="1142">
        <f t="shared" si="1398"/>
        <v>0.26403493650520016</v>
      </c>
      <c r="DD569" s="1143">
        <f t="shared" si="1398"/>
        <v>0.26252374491180452</v>
      </c>
      <c r="DE569" s="1143">
        <f t="shared" si="1398"/>
        <v>0.21959134005982861</v>
      </c>
      <c r="DF569" s="1143">
        <f t="shared" si="1398"/>
        <v>0.22931689931236976</v>
      </c>
      <c r="DG569" s="1146">
        <f t="shared" si="1398"/>
        <v>0.24248367216034827</v>
      </c>
      <c r="DH569" s="1142">
        <f t="shared" si="1398"/>
        <v>0.19497072777125624</v>
      </c>
      <c r="DI569" s="1143">
        <f t="shared" si="1398"/>
        <v>0.20457613561871413</v>
      </c>
      <c r="DJ569" s="1143">
        <f t="shared" si="1398"/>
        <v>0.19901178729497682</v>
      </c>
      <c r="DK569" s="1143">
        <f t="shared" si="1398"/>
        <v>0.19700921682406936</v>
      </c>
      <c r="DL569" s="1146">
        <f t="shared" si="1398"/>
        <v>0.19887444161265955</v>
      </c>
      <c r="DM569" s="1142"/>
      <c r="DN569" s="1143"/>
      <c r="DO569" s="1143"/>
      <c r="DP569" s="1143"/>
      <c r="DQ569" s="1146"/>
      <c r="DR569" s="1143"/>
      <c r="DS569" s="1143"/>
      <c r="DT569" s="1143"/>
      <c r="DU569" s="1143"/>
      <c r="DV569" s="1146"/>
      <c r="DW569" s="1143"/>
      <c r="DX569" s="1143"/>
      <c r="DY569" s="1143"/>
      <c r="DZ569" s="1143"/>
      <c r="EA569" s="1146"/>
      <c r="EB569" s="1143"/>
      <c r="EC569" s="1143"/>
      <c r="ED569" s="1143"/>
      <c r="EE569" s="1143"/>
      <c r="EF569" s="1146"/>
      <c r="EG569" s="1143"/>
      <c r="EH569" s="1143"/>
      <c r="EI569" s="1143"/>
      <c r="EJ569" s="1143"/>
      <c r="EK569" s="1146"/>
      <c r="EL569" s="1143"/>
      <c r="EM569" s="1143"/>
      <c r="EN569" s="1143"/>
      <c r="EO569" s="1143"/>
      <c r="EP569" s="1146"/>
      <c r="EQ569" s="1143"/>
      <c r="ER569" s="1143"/>
      <c r="ES569" s="1143"/>
      <c r="ET569" s="1143"/>
      <c r="EU569" s="1146"/>
      <c r="EV569" s="1146"/>
      <c r="EW569" s="1146"/>
      <c r="EX569" s="1146"/>
      <c r="EY569" s="1146"/>
      <c r="EZ569" s="2288"/>
      <c r="FA569" s="725"/>
      <c r="FB569" s="725"/>
    </row>
    <row r="570" spans="1:158" s="180" customFormat="1" ht="11.25" hidden="1" customHeight="1">
      <c r="A570" s="2367" t="s">
        <v>497</v>
      </c>
      <c r="B570" s="1141"/>
      <c r="C570" s="1138"/>
      <c r="D570" s="1138"/>
      <c r="E570" s="1147"/>
      <c r="F570" s="1148"/>
      <c r="G570" s="1137"/>
      <c r="H570" s="1138"/>
      <c r="I570" s="1138"/>
      <c r="J570" s="1138"/>
      <c r="K570" s="1140"/>
      <c r="L570" s="1138"/>
      <c r="M570" s="1138"/>
      <c r="N570" s="1138"/>
      <c r="O570" s="1138"/>
      <c r="P570" s="1140"/>
      <c r="Q570" s="1137"/>
      <c r="R570" s="1138"/>
      <c r="S570" s="1138"/>
      <c r="T570" s="1138"/>
      <c r="U570" s="1140"/>
      <c r="V570" s="1137"/>
      <c r="W570" s="1138"/>
      <c r="X570" s="1138"/>
      <c r="Y570" s="1138"/>
      <c r="Z570" s="1140"/>
      <c r="AA570" s="1137"/>
      <c r="AB570" s="1138"/>
      <c r="AC570" s="1138"/>
      <c r="AD570" s="1138"/>
      <c r="AE570" s="1140"/>
      <c r="AF570" s="1137"/>
      <c r="AG570" s="1138"/>
      <c r="AH570" s="1138"/>
      <c r="AI570" s="1138"/>
      <c r="AJ570" s="1140"/>
      <c r="AK570" s="1137"/>
      <c r="AL570" s="1138"/>
      <c r="AM570" s="1138"/>
      <c r="AN570" s="1138"/>
      <c r="AO570" s="1140"/>
      <c r="AP570" s="1137"/>
      <c r="AQ570" s="1138"/>
      <c r="AR570" s="1138"/>
      <c r="AS570" s="1138"/>
      <c r="AT570" s="1140"/>
      <c r="AU570" s="1137">
        <f>+AU571+AU572</f>
        <v>132.44815170256012</v>
      </c>
      <c r="AV570" s="1138">
        <f>+AV571+AV572</f>
        <v>167.06193643925374</v>
      </c>
      <c r="AW570" s="1138">
        <f>+AW571+AW572</f>
        <v>133.9917800783233</v>
      </c>
      <c r="AX570" s="1138">
        <f>+AX571+AX572</f>
        <v>-91.654035675745476</v>
      </c>
      <c r="AY570" s="1140">
        <f>SUM(AU570:AX570)</f>
        <v>341.84783254439168</v>
      </c>
      <c r="AZ570" s="1137">
        <f>+AZ571+AZ572</f>
        <v>-184.33983815545133</v>
      </c>
      <c r="BA570" s="1138">
        <f>+BA571+BA572</f>
        <v>-246.68760688457519</v>
      </c>
      <c r="BB570" s="1138">
        <f>+BB571+BB572</f>
        <v>-171.67437804580806</v>
      </c>
      <c r="BC570" s="1138">
        <f>+BC571+BC572</f>
        <v>135.14678853580966</v>
      </c>
      <c r="BD570" s="1140">
        <f>SUM(AZ570:BC570)</f>
        <v>-467.55503455002491</v>
      </c>
      <c r="BE570" s="1137">
        <f>+BE571+BE572</f>
        <v>165.11114391143911</v>
      </c>
      <c r="BF570" s="1138">
        <f>+BF571+BF572</f>
        <v>67.946774193548393</v>
      </c>
      <c r="BG570" s="1138">
        <f>+BG571+BG572</f>
        <v>-53.066154268460068</v>
      </c>
      <c r="BH570" s="1138">
        <f>+BH571+BH572</f>
        <v>-71.908056872037932</v>
      </c>
      <c r="BI570" s="1140">
        <f>SUM(BE570:BH570)</f>
        <v>108.08370696448948</v>
      </c>
      <c r="BJ570" s="1137">
        <f>+BJ571+BJ572</f>
        <v>25.367113702623907</v>
      </c>
      <c r="BK570" s="1138">
        <f>+BK571+BK572</f>
        <v>290.67937070684684</v>
      </c>
      <c r="BL570" s="1138">
        <f>+BL571+BL572</f>
        <v>335.61316872427983</v>
      </c>
      <c r="BM570" s="1138">
        <f>+BM571+BM572</f>
        <v>44.105820105820108</v>
      </c>
      <c r="BN570" s="1140">
        <f>SUM(BJ570:BM570)</f>
        <v>695.76547323957072</v>
      </c>
      <c r="BO570" s="1138"/>
      <c r="BP570" s="1138"/>
      <c r="BQ570" s="1138"/>
      <c r="BR570" s="1138"/>
      <c r="BS570" s="1960"/>
      <c r="BT570" s="1137">
        <f>+BT571+BT572</f>
        <v>-20.606857679661818</v>
      </c>
      <c r="BU570" s="1138">
        <f>+BU571+BU572</f>
        <v>-185.04177307551987</v>
      </c>
      <c r="BV570" s="1138">
        <f>+BV571+BV572</f>
        <v>-331.84669442998438</v>
      </c>
      <c r="BW570" s="1138">
        <f>+BW571+BW572</f>
        <v>-104.44323905462997</v>
      </c>
      <c r="BX570" s="1140">
        <f>+BX571+BX572</f>
        <v>-644.22132927888799</v>
      </c>
      <c r="BY570" s="1138"/>
      <c r="BZ570" s="1138"/>
      <c r="CA570" s="1138"/>
      <c r="CB570" s="1138"/>
      <c r="CC570" s="1960"/>
      <c r="CD570" s="1137">
        <f t="shared" ref="CD570:CL570" si="1399">+CD571+CD572</f>
        <v>0</v>
      </c>
      <c r="CE570" s="1138">
        <f t="shared" si="1399"/>
        <v>0</v>
      </c>
      <c r="CF570" s="1138">
        <f t="shared" si="1399"/>
        <v>0</v>
      </c>
      <c r="CG570" s="1138">
        <f t="shared" si="1399"/>
        <v>0</v>
      </c>
      <c r="CH570" s="1140">
        <f t="shared" si="1399"/>
        <v>0</v>
      </c>
      <c r="CI570" s="1137">
        <f t="shared" si="1399"/>
        <v>0</v>
      </c>
      <c r="CJ570" s="1138">
        <f t="shared" si="1399"/>
        <v>0</v>
      </c>
      <c r="CK570" s="1138">
        <f t="shared" si="1399"/>
        <v>0</v>
      </c>
      <c r="CL570" s="1138">
        <f t="shared" si="1399"/>
        <v>0</v>
      </c>
      <c r="CM570" s="1140">
        <f>SUM(CI570:CL570)</f>
        <v>0</v>
      </c>
      <c r="CN570" s="1137">
        <f>+CN571+CN572</f>
        <v>0</v>
      </c>
      <c r="CO570" s="1138">
        <f>+CO571+CO572</f>
        <v>0</v>
      </c>
      <c r="CP570" s="1138">
        <f>+CP571+CP572</f>
        <v>0</v>
      </c>
      <c r="CQ570" s="1138">
        <f>+CQ571+CQ572</f>
        <v>0</v>
      </c>
      <c r="CR570" s="1140">
        <f>SUM(CN570:CQ570)</f>
        <v>0</v>
      </c>
      <c r="CS570" s="1137">
        <f>+CS571+CS572</f>
        <v>0</v>
      </c>
      <c r="CT570" s="1138">
        <f>+CT571+CT572</f>
        <v>0</v>
      </c>
      <c r="CU570" s="1138">
        <f>+CU571+CU572</f>
        <v>0</v>
      </c>
      <c r="CV570" s="1138">
        <f>+CV571+CV572</f>
        <v>0</v>
      </c>
      <c r="CW570" s="1140">
        <f>SUM(CS570:CV570)</f>
        <v>0</v>
      </c>
      <c r="CX570" s="1137">
        <f>+CX571+CX572</f>
        <v>0</v>
      </c>
      <c r="CY570" s="1138">
        <f>+CY571+CY572</f>
        <v>0</v>
      </c>
      <c r="CZ570" s="1138">
        <f>+CZ571+CZ572</f>
        <v>0</v>
      </c>
      <c r="DA570" s="1138">
        <f>+DA571+DA572</f>
        <v>0</v>
      </c>
      <c r="DB570" s="1140">
        <f>SUM(CX570:DA570)</f>
        <v>0</v>
      </c>
      <c r="DC570" s="1137">
        <f>+DC571+DC572</f>
        <v>0</v>
      </c>
      <c r="DD570" s="1138">
        <f>+DD571+DD572</f>
        <v>0</v>
      </c>
      <c r="DE570" s="1138">
        <f>+DE571+DE572</f>
        <v>0</v>
      </c>
      <c r="DF570" s="1138">
        <f>+DF571+DF572</f>
        <v>-411.31989000916587</v>
      </c>
      <c r="DG570" s="1140">
        <f>SUM(DC570:DF570)</f>
        <v>-411.31989000916587</v>
      </c>
      <c r="DH570" s="1137">
        <f>+DH571+DH572</f>
        <v>-714.96606951209446</v>
      </c>
      <c r="DI570" s="1138">
        <f>+DI571+DI572</f>
        <v>-775.85006676253079</v>
      </c>
      <c r="DJ570" s="1138">
        <f>+DJ571+DJ572</f>
        <v>-296.02953159337267</v>
      </c>
      <c r="DK570" s="1138">
        <f>+DK571+DK572</f>
        <v>-225.72006511123163</v>
      </c>
      <c r="DL570" s="1140">
        <f>SUM(DH570:DK570)</f>
        <v>-2012.5657329792296</v>
      </c>
      <c r="DM570" s="1137"/>
      <c r="DN570" s="1138"/>
      <c r="DO570" s="1138"/>
      <c r="DP570" s="1138"/>
      <c r="DQ570" s="1140"/>
      <c r="DR570" s="1138"/>
      <c r="DS570" s="1138"/>
      <c r="DT570" s="1138"/>
      <c r="DU570" s="1138"/>
      <c r="DV570" s="1140"/>
      <c r="DW570" s="1138"/>
      <c r="DX570" s="1138"/>
      <c r="DY570" s="1138"/>
      <c r="DZ570" s="1138"/>
      <c r="EA570" s="1140"/>
      <c r="EB570" s="1138"/>
      <c r="EC570" s="1138"/>
      <c r="ED570" s="1138"/>
      <c r="EE570" s="1138"/>
      <c r="EF570" s="1140"/>
      <c r="EG570" s="1138"/>
      <c r="EH570" s="1138"/>
      <c r="EI570" s="1138"/>
      <c r="EJ570" s="1138"/>
      <c r="EK570" s="1140"/>
      <c r="EL570" s="1138"/>
      <c r="EM570" s="1138"/>
      <c r="EN570" s="1138"/>
      <c r="EO570" s="1138"/>
      <c r="EP570" s="1140"/>
      <c r="EQ570" s="1138"/>
      <c r="ER570" s="1138"/>
      <c r="ES570" s="1138"/>
      <c r="ET570" s="1138"/>
      <c r="EU570" s="1140"/>
      <c r="EV570" s="1140"/>
      <c r="EW570" s="1140"/>
      <c r="EX570" s="1140"/>
      <c r="EY570" s="1140"/>
      <c r="EZ570" s="175"/>
      <c r="FA570" s="4271"/>
      <c r="FB570" s="4271"/>
    </row>
    <row r="571" spans="1:158" s="180" customFormat="1" ht="11.25" hidden="1" customHeight="1">
      <c r="A571" s="2367" t="s">
        <v>498</v>
      </c>
      <c r="B571" s="1137"/>
      <c r="C571" s="1138"/>
      <c r="D571" s="1138"/>
      <c r="E571" s="1147"/>
      <c r="F571" s="1148"/>
      <c r="G571" s="1137"/>
      <c r="H571" s="1138"/>
      <c r="I571" s="1138"/>
      <c r="J571" s="1138"/>
      <c r="K571" s="1140"/>
      <c r="L571" s="1138"/>
      <c r="M571" s="1138"/>
      <c r="N571" s="1138"/>
      <c r="O571" s="1138"/>
      <c r="P571" s="1140"/>
      <c r="Q571" s="1137"/>
      <c r="R571" s="1138"/>
      <c r="S571" s="1138"/>
      <c r="T571" s="1138"/>
      <c r="U571" s="1140"/>
      <c r="V571" s="1137"/>
      <c r="W571" s="1138"/>
      <c r="X571" s="1138"/>
      <c r="Y571" s="1138"/>
      <c r="Z571" s="1140"/>
      <c r="AA571" s="1137"/>
      <c r="AB571" s="1138"/>
      <c r="AC571" s="1138"/>
      <c r="AD571" s="1138"/>
      <c r="AE571" s="1140"/>
      <c r="AF571" s="1137"/>
      <c r="AG571" s="1138"/>
      <c r="AH571" s="1138"/>
      <c r="AI571" s="1138"/>
      <c r="AJ571" s="1140"/>
      <c r="AK571" s="1137"/>
      <c r="AL571" s="1138"/>
      <c r="AM571" s="1138"/>
      <c r="AN571" s="1138"/>
      <c r="AO571" s="1140"/>
      <c r="AP571" s="1137"/>
      <c r="AQ571" s="1138"/>
      <c r="AR571" s="1138"/>
      <c r="AS571" s="1138"/>
      <c r="AT571" s="1140"/>
      <c r="AU571" s="1137">
        <f>AU$559*AU$212</f>
        <v>132.44815170256012</v>
      </c>
      <c r="AV571" s="1138">
        <f>AV$559*AV$212</f>
        <v>163.90486047504737</v>
      </c>
      <c r="AW571" s="1138">
        <f>AW$559*AW$212</f>
        <v>111.32848196418553</v>
      </c>
      <c r="AX571" s="1138">
        <f>AX$559*AX$212</f>
        <v>-177.82621072026475</v>
      </c>
      <c r="AY571" s="1140">
        <f>SUM(AU571:AX571)</f>
        <v>229.8552834215283</v>
      </c>
      <c r="AZ571" s="1137">
        <f>AZ$559*AZ$212</f>
        <v>-287.5701475225041</v>
      </c>
      <c r="BA571" s="1138">
        <f>BA$559*BA$212</f>
        <v>-328.69635555397821</v>
      </c>
      <c r="BB571" s="1138">
        <f>BB$559*BB$212</f>
        <v>-197.62515612249999</v>
      </c>
      <c r="BC571" s="1138">
        <f>BC$559*BC$212</f>
        <v>129.84691447558183</v>
      </c>
      <c r="BD571" s="1140">
        <f>SUM(AZ571:BC571)</f>
        <v>-684.04474472340053</v>
      </c>
      <c r="BE571" s="1137">
        <f>BE$559*BE$212</f>
        <v>158.55911439114391</v>
      </c>
      <c r="BF571" s="1138">
        <f>BF$559*BF$212</f>
        <v>15.832258064516129</v>
      </c>
      <c r="BG571" s="1138">
        <f>BG$559*BG$212</f>
        <v>-112.10225089212189</v>
      </c>
      <c r="BH571" s="1138">
        <f>BH$559*BH$212</f>
        <v>-88.709004739336507</v>
      </c>
      <c r="BI571" s="1140">
        <f>SUM(BE571:BH571)</f>
        <v>-26.419883175798347</v>
      </c>
      <c r="BJ571" s="1137">
        <f>BJ$559*BJ$212</f>
        <v>15.768746355685131</v>
      </c>
      <c r="BK571" s="1138">
        <f>BK$559*BK$212</f>
        <v>287.91757146022599</v>
      </c>
      <c r="BL571" s="1138">
        <f>BL$559*BL$212</f>
        <v>334.91975308641975</v>
      </c>
      <c r="BM571" s="1138">
        <f>BM$559*BM$212</f>
        <v>26.876984126984127</v>
      </c>
      <c r="BN571" s="1140">
        <f>SUM(BJ571:BM571)</f>
        <v>665.48305502931498</v>
      </c>
      <c r="BO571" s="1138"/>
      <c r="BP571" s="1138"/>
      <c r="BQ571" s="1138"/>
      <c r="BR571" s="1138"/>
      <c r="BS571" s="1960"/>
      <c r="BT571" s="1137">
        <f>BT$559*BT$212</f>
        <v>-46.021982151244721</v>
      </c>
      <c r="BU571" s="1138">
        <f>BU$559*BU$212</f>
        <v>-240.76067128785112</v>
      </c>
      <c r="BV571" s="1138">
        <f>BV$559*BV$212</f>
        <v>-373.41133090404304</v>
      </c>
      <c r="BW571" s="1138">
        <f>BW$559*BW$212</f>
        <v>-129.2150329329717</v>
      </c>
      <c r="BX571" s="1140">
        <f>BX$559*BX$212</f>
        <v>-791.37504344048659</v>
      </c>
      <c r="BY571" s="1138"/>
      <c r="BZ571" s="1138"/>
      <c r="CA571" s="1138"/>
      <c r="CB571" s="1138"/>
      <c r="CC571" s="1960"/>
      <c r="CD571" s="1137">
        <f t="shared" ref="CD571:CL571" si="1400">CD$559*CD$212</f>
        <v>0</v>
      </c>
      <c r="CE571" s="1138">
        <f t="shared" si="1400"/>
        <v>0</v>
      </c>
      <c r="CF571" s="1138">
        <f t="shared" si="1400"/>
        <v>0</v>
      </c>
      <c r="CG571" s="1138">
        <f t="shared" si="1400"/>
        <v>0</v>
      </c>
      <c r="CH571" s="1140">
        <f t="shared" si="1400"/>
        <v>0</v>
      </c>
      <c r="CI571" s="1137">
        <f t="shared" si="1400"/>
        <v>0</v>
      </c>
      <c r="CJ571" s="1138">
        <f t="shared" si="1400"/>
        <v>0</v>
      </c>
      <c r="CK571" s="1138">
        <f t="shared" si="1400"/>
        <v>0</v>
      </c>
      <c r="CL571" s="1138">
        <f t="shared" si="1400"/>
        <v>0</v>
      </c>
      <c r="CM571" s="1140">
        <f>SUM(CI571:CL571)</f>
        <v>0</v>
      </c>
      <c r="CN571" s="1137">
        <f>CN$559*CN$212</f>
        <v>0</v>
      </c>
      <c r="CO571" s="1138">
        <f>CO$559*CO$212</f>
        <v>0</v>
      </c>
      <c r="CP571" s="1138">
        <f>CP$559*CP$212</f>
        <v>0</v>
      </c>
      <c r="CQ571" s="1138">
        <f>CQ$559*CQ$212</f>
        <v>0</v>
      </c>
      <c r="CR571" s="1140">
        <f>SUM(CN571:CQ571)</f>
        <v>0</v>
      </c>
      <c r="CS571" s="1137">
        <f>CS$559*CS$212</f>
        <v>0</v>
      </c>
      <c r="CT571" s="1138">
        <f>CT$559*CT$212</f>
        <v>0</v>
      </c>
      <c r="CU571" s="1138">
        <f>CU$559*CU$212</f>
        <v>0</v>
      </c>
      <c r="CV571" s="1138">
        <f>CV$559*CV$212</f>
        <v>0</v>
      </c>
      <c r="CW571" s="1140">
        <f>SUM(CS571:CV571)</f>
        <v>0</v>
      </c>
      <c r="CX571" s="1137">
        <f>CX$559*CX$212</f>
        <v>0</v>
      </c>
      <c r="CY571" s="1138">
        <f>CY$559*CY$212</f>
        <v>0</v>
      </c>
      <c r="CZ571" s="1138">
        <f>CZ$559*CZ$212</f>
        <v>0</v>
      </c>
      <c r="DA571" s="1138">
        <f>DA$559*DA$212</f>
        <v>0</v>
      </c>
      <c r="DB571" s="1140">
        <f>SUM(CX571:DA571)</f>
        <v>0</v>
      </c>
      <c r="DC571" s="1137">
        <f>DC$559*DC$212</f>
        <v>0</v>
      </c>
      <c r="DD571" s="1138">
        <f>DD$559*DD$212</f>
        <v>0</v>
      </c>
      <c r="DE571" s="1138">
        <f>DE$559*DE$212</f>
        <v>0</v>
      </c>
      <c r="DF571" s="1138">
        <f>DF$559*DF$212</f>
        <v>-496.32600061106018</v>
      </c>
      <c r="DG571" s="1140">
        <f>SUM(DC571:DF571)</f>
        <v>-496.32600061106018</v>
      </c>
      <c r="DH571" s="1137">
        <f>DH$559*DH$212</f>
        <v>-811.37389581441425</v>
      </c>
      <c r="DI571" s="1138">
        <f>DI$559*DI$212</f>
        <v>-851.40625</v>
      </c>
      <c r="DJ571" s="1138">
        <f>DJ$559*DJ$212</f>
        <v>-379.90456554482824</v>
      </c>
      <c r="DK571" s="1138">
        <f>DK$559*DK$212</f>
        <v>-288.72781334780245</v>
      </c>
      <c r="DL571" s="1140">
        <f>SUM(DH571:DK571)</f>
        <v>-2331.4125247070451</v>
      </c>
      <c r="DM571" s="1137"/>
      <c r="DN571" s="1138"/>
      <c r="DO571" s="1138"/>
      <c r="DP571" s="1138"/>
      <c r="DQ571" s="1140"/>
      <c r="DR571" s="1138"/>
      <c r="DS571" s="1138"/>
      <c r="DT571" s="1138"/>
      <c r="DU571" s="1138"/>
      <c r="DV571" s="1140"/>
      <c r="DW571" s="1138"/>
      <c r="DX571" s="1138"/>
      <c r="DY571" s="1138"/>
      <c r="DZ571" s="1138"/>
      <c r="EA571" s="1140"/>
      <c r="EB571" s="1138"/>
      <c r="EC571" s="1138"/>
      <c r="ED571" s="1138"/>
      <c r="EE571" s="1138"/>
      <c r="EF571" s="1140"/>
      <c r="EG571" s="1138"/>
      <c r="EH571" s="1138"/>
      <c r="EI571" s="1138"/>
      <c r="EJ571" s="1138"/>
      <c r="EK571" s="1140"/>
      <c r="EL571" s="1138"/>
      <c r="EM571" s="1138"/>
      <c r="EN571" s="1138"/>
      <c r="EO571" s="1138"/>
      <c r="EP571" s="1140"/>
      <c r="EQ571" s="1138"/>
      <c r="ER571" s="1138"/>
      <c r="ES571" s="1138"/>
      <c r="ET571" s="1138"/>
      <c r="EU571" s="1140"/>
      <c r="EV571" s="1140"/>
      <c r="EW571" s="1140"/>
      <c r="EX571" s="1140"/>
      <c r="EY571" s="1140"/>
      <c r="EZ571" s="175"/>
      <c r="FA571" s="4271"/>
      <c r="FB571" s="4271"/>
    </row>
    <row r="572" spans="1:158" s="180" customFormat="1" ht="11.25" hidden="1" customHeight="1">
      <c r="A572" s="2367" t="s">
        <v>499</v>
      </c>
      <c r="B572" s="1137"/>
      <c r="C572" s="1138"/>
      <c r="D572" s="1138"/>
      <c r="E572" s="1147"/>
      <c r="F572" s="1148"/>
      <c r="G572" s="1137"/>
      <c r="H572" s="1138"/>
      <c r="I572" s="1138"/>
      <c r="J572" s="1138"/>
      <c r="K572" s="1140"/>
      <c r="L572" s="1138"/>
      <c r="M572" s="1138"/>
      <c r="N572" s="1138"/>
      <c r="O572" s="1138"/>
      <c r="P572" s="1140"/>
      <c r="Q572" s="1137"/>
      <c r="R572" s="1138"/>
      <c r="S572" s="1138"/>
      <c r="T572" s="1138"/>
      <c r="U572" s="1140"/>
      <c r="V572" s="1137"/>
      <c r="W572" s="1138"/>
      <c r="X572" s="1138"/>
      <c r="Y572" s="1138"/>
      <c r="Z572" s="1140"/>
      <c r="AA572" s="1137"/>
      <c r="AB572" s="1138"/>
      <c r="AC572" s="1138"/>
      <c r="AD572" s="1138"/>
      <c r="AE572" s="1140"/>
      <c r="AF572" s="1137"/>
      <c r="AG572" s="1138"/>
      <c r="AH572" s="1138"/>
      <c r="AI572" s="1138"/>
      <c r="AJ572" s="1140"/>
      <c r="AK572" s="1137"/>
      <c r="AL572" s="1138"/>
      <c r="AM572" s="1138"/>
      <c r="AN572" s="1138"/>
      <c r="AO572" s="1140"/>
      <c r="AP572" s="1137"/>
      <c r="AQ572" s="1138"/>
      <c r="AR572" s="1138"/>
      <c r="AS572" s="1138"/>
      <c r="AT572" s="1140"/>
      <c r="AU572" s="1137">
        <f>AU559*AU$214</f>
        <v>0</v>
      </c>
      <c r="AV572" s="1138">
        <f>AV559*AV$214</f>
        <v>3.1570759642063702</v>
      </c>
      <c r="AW572" s="1138">
        <f>AW559*AW$214</f>
        <v>22.663298114137771</v>
      </c>
      <c r="AX572" s="1138">
        <f>AX559*AX$214</f>
        <v>86.172175044519278</v>
      </c>
      <c r="AY572" s="1140">
        <f>SUM(AU572:AX572)</f>
        <v>111.99254912286342</v>
      </c>
      <c r="AZ572" s="1137">
        <f>AZ559*AZ$214</f>
        <v>103.23030936705277</v>
      </c>
      <c r="BA572" s="1138">
        <f>BA559*BA$214</f>
        <v>82.008748669403019</v>
      </c>
      <c r="BB572" s="1138">
        <f>BB559*BB$214</f>
        <v>25.950778076691918</v>
      </c>
      <c r="BC572" s="1138">
        <f>BC559*BC$214</f>
        <v>5.2998740602278298</v>
      </c>
      <c r="BD572" s="1140">
        <f>SUM(AZ572:BC572)</f>
        <v>216.48971017337553</v>
      </c>
      <c r="BE572" s="1137">
        <f>BE559*BE$214</f>
        <v>6.5520295202952026</v>
      </c>
      <c r="BF572" s="1138">
        <f>BF559*BF$214</f>
        <v>52.11451612903226</v>
      </c>
      <c r="BG572" s="1138">
        <f>BG559*BG$214</f>
        <v>59.03609662366182</v>
      </c>
      <c r="BH572" s="1138">
        <f>BH559*BH$214</f>
        <v>16.800947867298579</v>
      </c>
      <c r="BI572" s="1140">
        <f>SUM(BE572:BH572)</f>
        <v>134.50359014028786</v>
      </c>
      <c r="BJ572" s="1137">
        <f>BJ559*BJ$214</f>
        <v>9.598367346938776</v>
      </c>
      <c r="BK572" s="1138">
        <f>BK559*BK$214</f>
        <v>2.7617992466208729</v>
      </c>
      <c r="BL572" s="1138">
        <f>BL559*BL$214</f>
        <v>0.69341563786008231</v>
      </c>
      <c r="BM572" s="1138">
        <f>BM559*BM$214</f>
        <v>17.228835978835981</v>
      </c>
      <c r="BN572" s="1140">
        <f>SUM(BJ572:BM572)</f>
        <v>30.282418210255713</v>
      </c>
      <c r="BO572" s="1138"/>
      <c r="BP572" s="1138"/>
      <c r="BQ572" s="1138"/>
      <c r="BR572" s="1138"/>
      <c r="BS572" s="1960"/>
      <c r="BT572" s="1137">
        <f>BT559*BT$214</f>
        <v>25.415124471582903</v>
      </c>
      <c r="BU572" s="1138">
        <f>BU559*BU$214</f>
        <v>55.718898212331261</v>
      </c>
      <c r="BV572" s="1138">
        <f>BV559*BV$214</f>
        <v>41.564636474058652</v>
      </c>
      <c r="BW572" s="1138">
        <f>BW559*BW$214</f>
        <v>24.771793878341725</v>
      </c>
      <c r="BX572" s="1140">
        <f>BX559*BX$214</f>
        <v>147.15371416159863</v>
      </c>
      <c r="BY572" s="1138"/>
      <c r="BZ572" s="1138"/>
      <c r="CA572" s="1138"/>
      <c r="CB572" s="1138"/>
      <c r="CC572" s="1960"/>
      <c r="CD572" s="1137">
        <f t="shared" ref="CD572:CL572" si="1401">CD559*CD$214</f>
        <v>0</v>
      </c>
      <c r="CE572" s="1138">
        <f t="shared" si="1401"/>
        <v>0</v>
      </c>
      <c r="CF572" s="1138">
        <f t="shared" si="1401"/>
        <v>0</v>
      </c>
      <c r="CG572" s="1138">
        <f t="shared" si="1401"/>
        <v>0</v>
      </c>
      <c r="CH572" s="1140">
        <f t="shared" si="1401"/>
        <v>0</v>
      </c>
      <c r="CI572" s="1137">
        <f t="shared" si="1401"/>
        <v>0</v>
      </c>
      <c r="CJ572" s="1138">
        <f t="shared" si="1401"/>
        <v>0</v>
      </c>
      <c r="CK572" s="1138">
        <f t="shared" si="1401"/>
        <v>0</v>
      </c>
      <c r="CL572" s="1138">
        <f t="shared" si="1401"/>
        <v>0</v>
      </c>
      <c r="CM572" s="1140">
        <f>SUM(CI572:CL572)</f>
        <v>0</v>
      </c>
      <c r="CN572" s="1137">
        <f>CN559*CN$214</f>
        <v>0</v>
      </c>
      <c r="CO572" s="1138">
        <f>CO559*CO$214</f>
        <v>0</v>
      </c>
      <c r="CP572" s="1138">
        <f>CP559*CP$214</f>
        <v>0</v>
      </c>
      <c r="CQ572" s="1138">
        <f>CQ559*CQ$214</f>
        <v>0</v>
      </c>
      <c r="CR572" s="1140">
        <f>SUM(CN572:CQ572)</f>
        <v>0</v>
      </c>
      <c r="CS572" s="1137">
        <f>CS559*CS$214</f>
        <v>0</v>
      </c>
      <c r="CT572" s="1138">
        <f>CT559*CT$214</f>
        <v>0</v>
      </c>
      <c r="CU572" s="1138">
        <f>CU559*CU$214</f>
        <v>0</v>
      </c>
      <c r="CV572" s="1138">
        <f>CV559*CV$214</f>
        <v>0</v>
      </c>
      <c r="CW572" s="1140">
        <f>SUM(CS572:CV572)</f>
        <v>0</v>
      </c>
      <c r="CX572" s="1137">
        <f>CX559*CX$214</f>
        <v>0</v>
      </c>
      <c r="CY572" s="1138">
        <f>CY559*CY$214</f>
        <v>0</v>
      </c>
      <c r="CZ572" s="1138">
        <f>CZ559*CZ$214</f>
        <v>0</v>
      </c>
      <c r="DA572" s="1138">
        <f>DA559*DA$214</f>
        <v>0</v>
      </c>
      <c r="DB572" s="1140">
        <f>SUM(CX572:DA572)</f>
        <v>0</v>
      </c>
      <c r="DC572" s="1137">
        <f>DC559*DC$214</f>
        <v>0</v>
      </c>
      <c r="DD572" s="1138">
        <f>DD559*DD$214</f>
        <v>0</v>
      </c>
      <c r="DE572" s="1138">
        <f>DE559*DE$214</f>
        <v>0</v>
      </c>
      <c r="DF572" s="1138">
        <f>DF559*DF$214</f>
        <v>85.006110601894278</v>
      </c>
      <c r="DG572" s="1140">
        <f>SUM(DC572:DF572)</f>
        <v>85.006110601894278</v>
      </c>
      <c r="DH572" s="1137">
        <f>DH559*DH$214</f>
        <v>96.407826302319819</v>
      </c>
      <c r="DI572" s="1138">
        <f>DI559*DI$214</f>
        <v>75.556183237469185</v>
      </c>
      <c r="DJ572" s="1138">
        <f>DJ559*DJ$214</f>
        <v>83.875033951455592</v>
      </c>
      <c r="DK572" s="1138">
        <f>DK559*DK$214</f>
        <v>63.007748236570805</v>
      </c>
      <c r="DL572" s="1140">
        <f>SUM(DH572:DK572)</f>
        <v>318.8467917278154</v>
      </c>
      <c r="DM572" s="1137"/>
      <c r="DN572" s="1138"/>
      <c r="DO572" s="1138"/>
      <c r="DP572" s="1138"/>
      <c r="DQ572" s="1140"/>
      <c r="DR572" s="1138"/>
      <c r="DS572" s="1138"/>
      <c r="DT572" s="1138"/>
      <c r="DU572" s="1138"/>
      <c r="DV572" s="1140"/>
      <c r="DW572" s="1138"/>
      <c r="DX572" s="1138"/>
      <c r="DY572" s="1138"/>
      <c r="DZ572" s="1138"/>
      <c r="EA572" s="1140"/>
      <c r="EB572" s="1138"/>
      <c r="EC572" s="1138"/>
      <c r="ED572" s="1138"/>
      <c r="EE572" s="1138"/>
      <c r="EF572" s="1140"/>
      <c r="EG572" s="1138"/>
      <c r="EH572" s="1138"/>
      <c r="EI572" s="1138"/>
      <c r="EJ572" s="1138"/>
      <c r="EK572" s="1140"/>
      <c r="EL572" s="1138"/>
      <c r="EM572" s="1138"/>
      <c r="EN572" s="1138"/>
      <c r="EO572" s="1138"/>
      <c r="EP572" s="1140"/>
      <c r="EQ572" s="1138"/>
      <c r="ER572" s="1138"/>
      <c r="ES572" s="1138"/>
      <c r="ET572" s="1138"/>
      <c r="EU572" s="1140"/>
      <c r="EV572" s="1140"/>
      <c r="EW572" s="1140"/>
      <c r="EX572" s="1140"/>
      <c r="EY572" s="1140"/>
      <c r="EZ572" s="175"/>
      <c r="FA572" s="4271"/>
      <c r="FB572" s="4271"/>
    </row>
    <row r="573" spans="1:158" s="180" customFormat="1" ht="11.25" hidden="1" customHeight="1">
      <c r="A573" s="2367" t="s">
        <v>500</v>
      </c>
      <c r="B573" s="1137"/>
      <c r="C573" s="1138"/>
      <c r="D573" s="1138"/>
      <c r="E573" s="1147"/>
      <c r="F573" s="1148"/>
      <c r="G573" s="1137"/>
      <c r="H573" s="1138"/>
      <c r="I573" s="1138"/>
      <c r="J573" s="1138"/>
      <c r="K573" s="1140"/>
      <c r="L573" s="1138"/>
      <c r="M573" s="1138"/>
      <c r="N573" s="1138"/>
      <c r="O573" s="1138"/>
      <c r="P573" s="1140"/>
      <c r="Q573" s="1137"/>
      <c r="R573" s="1138"/>
      <c r="S573" s="1138"/>
      <c r="T573" s="1138"/>
      <c r="U573" s="1140"/>
      <c r="V573" s="1137"/>
      <c r="W573" s="1138"/>
      <c r="X573" s="1138"/>
      <c r="Y573" s="1138"/>
      <c r="Z573" s="1140"/>
      <c r="AA573" s="1137"/>
      <c r="AB573" s="1138"/>
      <c r="AC573" s="1138"/>
      <c r="AD573" s="1138"/>
      <c r="AE573" s="1140"/>
      <c r="AF573" s="1137"/>
      <c r="AG573" s="1138"/>
      <c r="AH573" s="1138"/>
      <c r="AI573" s="1138"/>
      <c r="AJ573" s="1140"/>
      <c r="AK573" s="1137"/>
      <c r="AL573" s="1138"/>
      <c r="AM573" s="1138"/>
      <c r="AN573" s="1138"/>
      <c r="AO573" s="1140"/>
      <c r="AP573" s="1137"/>
      <c r="AQ573" s="1138"/>
      <c r="AR573" s="1138"/>
      <c r="AS573" s="1138"/>
      <c r="AT573" s="1140"/>
      <c r="AU573" s="1137">
        <f>AU567-AU570</f>
        <v>3267.95684829744</v>
      </c>
      <c r="AV573" s="1138">
        <f>AV567-AV570</f>
        <v>3363.0830635607463</v>
      </c>
      <c r="AW573" s="1138">
        <f>AW567-AW570</f>
        <v>3538.1192199216766</v>
      </c>
      <c r="AX573" s="1138">
        <f>AX567-AX570</f>
        <v>3902.8200356757457</v>
      </c>
      <c r="AY573" s="1140">
        <f>SUM(AU573:AX573)</f>
        <v>14071.979167455609</v>
      </c>
      <c r="AZ573" s="1137">
        <f>AZ567-AZ570</f>
        <v>3877.162838155451</v>
      </c>
      <c r="BA573" s="1138">
        <f>BA567-BA570</f>
        <v>3899.3156068845756</v>
      </c>
      <c r="BB573" s="1138">
        <f>BB567-BB570</f>
        <v>4127.405378045808</v>
      </c>
      <c r="BC573" s="1138">
        <f>BC567-BC570</f>
        <v>4286.1572114641904</v>
      </c>
      <c r="BD573" s="1140">
        <f>SUM(AZ573:BC573)</f>
        <v>16190.041034550024</v>
      </c>
      <c r="BE573" s="1137">
        <f>BE567-BE570</f>
        <v>4273.8888560885607</v>
      </c>
      <c r="BF573" s="1138">
        <f>BF567-BF570</f>
        <v>4431.0532258064513</v>
      </c>
      <c r="BG573" s="1138">
        <f>BG567-BG570</f>
        <v>4886.0661542684602</v>
      </c>
      <c r="BH573" s="1138">
        <f>BH567-BH570</f>
        <v>5743.9080568720383</v>
      </c>
      <c r="BI573" s="1140">
        <f>SUM(BE573:BH573)</f>
        <v>19334.916293035512</v>
      </c>
      <c r="BJ573" s="1137">
        <f>BJ567-BJ570</f>
        <v>5853.632886297376</v>
      </c>
      <c r="BK573" s="1138">
        <f>BK567-BK570</f>
        <v>5941.3206292931536</v>
      </c>
      <c r="BL573" s="1138">
        <f>BL567-BL570</f>
        <v>6404.3868312757204</v>
      </c>
      <c r="BM573" s="1138">
        <f>BM567-BM570</f>
        <v>7249.8941798941796</v>
      </c>
      <c r="BN573" s="1140">
        <f>SUM(BJ573:BM573)</f>
        <v>25449.234526760432</v>
      </c>
      <c r="BO573" s="1138"/>
      <c r="BP573" s="1138"/>
      <c r="BQ573" s="1138"/>
      <c r="BR573" s="1138"/>
      <c r="BS573" s="1960"/>
      <c r="BT573" s="1137">
        <f>BT567-BT570</f>
        <v>7332.6068576796615</v>
      </c>
      <c r="BU573" s="1138">
        <f>BU567-BU570</f>
        <v>7727.0417730755198</v>
      </c>
      <c r="BV573" s="1138">
        <f>BV567-BV570</f>
        <v>8058.8466944299844</v>
      </c>
      <c r="BW573" s="1138">
        <f>BW567-BW570</f>
        <v>8744.4432390546299</v>
      </c>
      <c r="BX573" s="1140">
        <f>BX567-BX570</f>
        <v>31865.221329278887</v>
      </c>
      <c r="BY573" s="1138"/>
      <c r="BZ573" s="1138"/>
      <c r="CA573" s="1138"/>
      <c r="CB573" s="1138"/>
      <c r="CC573" s="1960"/>
      <c r="CD573" s="1137">
        <f t="shared" ref="CD573:CL573" si="1402">CD567-CD570</f>
        <v>8640</v>
      </c>
      <c r="CE573" s="1138">
        <f t="shared" si="1402"/>
        <v>8868</v>
      </c>
      <c r="CF573" s="1138">
        <f t="shared" si="1402"/>
        <v>9376</v>
      </c>
      <c r="CG573" s="1138">
        <f t="shared" si="1402"/>
        <v>10538</v>
      </c>
      <c r="CH573" s="1140">
        <f t="shared" si="1402"/>
        <v>37422</v>
      </c>
      <c r="CI573" s="1137">
        <f t="shared" si="1402"/>
        <v>10469</v>
      </c>
      <c r="CJ573" s="1138">
        <f t="shared" si="1402"/>
        <v>10935</v>
      </c>
      <c r="CK573" s="1138">
        <f t="shared" si="1402"/>
        <v>11252</v>
      </c>
      <c r="CL573" s="1138">
        <f t="shared" si="1402"/>
        <v>12429</v>
      </c>
      <c r="CM573" s="1140">
        <f>SUM(CI573:CL573)</f>
        <v>45085</v>
      </c>
      <c r="CN573" s="1137">
        <f>CN567-CN570</f>
        <v>11932</v>
      </c>
      <c r="CO573" s="1138">
        <f>CO567-CO570</f>
        <v>12402</v>
      </c>
      <c r="CP573" s="1138">
        <f>CP567-CP570</f>
        <v>13087</v>
      </c>
      <c r="CQ573" s="1138">
        <f>CQ567-CQ570</f>
        <v>14936</v>
      </c>
      <c r="CR573" s="1140">
        <f>SUM(CN573:CQ573)</f>
        <v>52357</v>
      </c>
      <c r="CS573" s="1137">
        <f>CS567-CS570</f>
        <v>14328</v>
      </c>
      <c r="CT573" s="1138">
        <f>CT567-CT570</f>
        <v>15400</v>
      </c>
      <c r="CU573" s="1138">
        <f>CU567-CU570</f>
        <v>16089</v>
      </c>
      <c r="CV573" s="1138">
        <f>CV567-CV570</f>
        <v>17968</v>
      </c>
      <c r="CW573" s="1140">
        <f>SUM(CS573:CV573)</f>
        <v>63785</v>
      </c>
      <c r="CX573" s="1137">
        <f>CX567-CX570</f>
        <v>17403</v>
      </c>
      <c r="CY573" s="1138">
        <f>CY567-CY570</f>
        <v>18425</v>
      </c>
      <c r="CZ573" s="1138">
        <f>CZ567-CZ570</f>
        <v>19723</v>
      </c>
      <c r="DA573" s="1138">
        <f>DA567-DA570</f>
        <v>22237</v>
      </c>
      <c r="DB573" s="1140">
        <f>SUM(CX573:DA573)</f>
        <v>77788</v>
      </c>
      <c r="DC573" s="1137">
        <f>DC567-DC570</f>
        <v>21998</v>
      </c>
      <c r="DD573" s="1138">
        <f>DD567-DD570</f>
        <v>23262</v>
      </c>
      <c r="DE573" s="1138">
        <f>DE567-DE570</f>
        <v>24054</v>
      </c>
      <c r="DF573" s="1138">
        <f>DF567-DF570</f>
        <v>27336.319890009167</v>
      </c>
      <c r="DG573" s="1140">
        <f>SUM(DC573:DF573)</f>
        <v>96650.319890009167</v>
      </c>
      <c r="DH573" s="1137">
        <f>DH567-DH570</f>
        <v>26286.966069512095</v>
      </c>
      <c r="DI573" s="1138">
        <f>DI567-DI570</f>
        <v>28020.85006676253</v>
      </c>
      <c r="DJ573" s="1138">
        <f>DJ567-DJ570</f>
        <v>28841.029531593373</v>
      </c>
      <c r="DK573" s="1138">
        <f>DK567-DK570</f>
        <v>32127.720065111233</v>
      </c>
      <c r="DL573" s="1140">
        <f>SUM(DH573:DK573)</f>
        <v>115276.56573297923</v>
      </c>
      <c r="DM573" s="1137"/>
      <c r="DN573" s="1138"/>
      <c r="DO573" s="1138"/>
      <c r="DP573" s="1138"/>
      <c r="DQ573" s="1140"/>
      <c r="DR573" s="1138"/>
      <c r="DS573" s="1138"/>
      <c r="DT573" s="1138"/>
      <c r="DU573" s="1138"/>
      <c r="DV573" s="1140"/>
      <c r="DW573" s="1138"/>
      <c r="DX573" s="1138"/>
      <c r="DY573" s="1138"/>
      <c r="DZ573" s="1138"/>
      <c r="EA573" s="1140"/>
      <c r="EB573" s="1138"/>
      <c r="EC573" s="1138"/>
      <c r="ED573" s="1138"/>
      <c r="EE573" s="1138"/>
      <c r="EF573" s="1140"/>
      <c r="EG573" s="1138"/>
      <c r="EH573" s="1138"/>
      <c r="EI573" s="1138"/>
      <c r="EJ573" s="1138"/>
      <c r="EK573" s="1140"/>
      <c r="EL573" s="1138"/>
      <c r="EM573" s="1138"/>
      <c r="EN573" s="1138"/>
      <c r="EO573" s="1138"/>
      <c r="EP573" s="1140"/>
      <c r="EQ573" s="1138"/>
      <c r="ER573" s="1138"/>
      <c r="ES573" s="1138"/>
      <c r="ET573" s="1138"/>
      <c r="EU573" s="1140"/>
      <c r="EV573" s="1140"/>
      <c r="EW573" s="1140"/>
      <c r="EX573" s="1140"/>
      <c r="EY573" s="1140"/>
      <c r="EZ573" s="175"/>
      <c r="FA573" s="4271"/>
      <c r="FB573" s="4271"/>
    </row>
    <row r="574" spans="1:158" s="180" customFormat="1" ht="11.25" hidden="1" customHeight="1">
      <c r="A574" s="2367" t="s">
        <v>501</v>
      </c>
      <c r="B574" s="1141"/>
      <c r="C574" s="1138"/>
      <c r="D574" s="1138"/>
      <c r="E574" s="1147"/>
      <c r="F574" s="1139"/>
      <c r="G574" s="1141"/>
      <c r="H574" s="1138"/>
      <c r="I574" s="1138"/>
      <c r="J574" s="1138"/>
      <c r="K574" s="1140"/>
      <c r="L574" s="1138"/>
      <c r="M574" s="1138"/>
      <c r="N574" s="1138"/>
      <c r="O574" s="1138"/>
      <c r="P574" s="1140"/>
      <c r="Q574" s="1141"/>
      <c r="R574" s="1138"/>
      <c r="S574" s="1138"/>
      <c r="T574" s="1138"/>
      <c r="U574" s="1140"/>
      <c r="V574" s="1141"/>
      <c r="W574" s="1138"/>
      <c r="X574" s="1138"/>
      <c r="Y574" s="1138"/>
      <c r="Z574" s="1140"/>
      <c r="AA574" s="1141"/>
      <c r="AB574" s="1138"/>
      <c r="AC574" s="1138"/>
      <c r="AD574" s="1138"/>
      <c r="AE574" s="1140"/>
      <c r="AF574" s="1141"/>
      <c r="AG574" s="1138"/>
      <c r="AH574" s="1138"/>
      <c r="AI574" s="1138"/>
      <c r="AJ574" s="1140"/>
      <c r="AK574" s="1141"/>
      <c r="AL574" s="1138"/>
      <c r="AM574" s="1138"/>
      <c r="AN574" s="1138"/>
      <c r="AO574" s="1140"/>
      <c r="AP574" s="1138"/>
      <c r="AQ574" s="1138"/>
      <c r="AR574" s="1138"/>
      <c r="AS574" s="1138"/>
      <c r="AT574" s="1140"/>
      <c r="AU574" s="1138">
        <f>AU567-AU572</f>
        <v>3400.4050000000002</v>
      </c>
      <c r="AV574" s="1138">
        <f>AV22-AV572</f>
        <v>3526.9879240357936</v>
      </c>
      <c r="AW574" s="1138">
        <f>AW22-AW572</f>
        <v>3649.447701885862</v>
      </c>
      <c r="AX574" s="1138">
        <f>AX22-AX572</f>
        <v>3724.9938249554807</v>
      </c>
      <c r="AY574" s="1140">
        <f>SUM(AU574:AX574)</f>
        <v>14301.834450877137</v>
      </c>
      <c r="AZ574" s="1138">
        <f>AZ567-AZ572</f>
        <v>3589.5926906329469</v>
      </c>
      <c r="BA574" s="1138">
        <f>BA567-BA572</f>
        <v>3570.6192513305973</v>
      </c>
      <c r="BB574" s="1138">
        <f>BB567-BB572</f>
        <v>3929.7802219233081</v>
      </c>
      <c r="BC574" s="1138">
        <f>BC567-BC572</f>
        <v>4416.0041259397722</v>
      </c>
      <c r="BD574" s="1140">
        <f>SUM(AZ574:BC574)</f>
        <v>15505.996289826624</v>
      </c>
      <c r="BE574" s="1138">
        <f>BE567-BE572</f>
        <v>4432.447970479705</v>
      </c>
      <c r="BF574" s="1138">
        <f>BF567-BF572</f>
        <v>4446.8854838709676</v>
      </c>
      <c r="BG574" s="1138">
        <f>BG567-BG572</f>
        <v>4773.9639033763378</v>
      </c>
      <c r="BH574" s="1138">
        <f>BH567-BH572</f>
        <v>5655.1990521327016</v>
      </c>
      <c r="BI574" s="1140">
        <f>SUM(BE574:BH574)</f>
        <v>19308.496409859712</v>
      </c>
      <c r="BJ574" s="1138">
        <f>BJ567-BJ572</f>
        <v>5869.4016326530609</v>
      </c>
      <c r="BK574" s="1138">
        <f>BK567-BK572</f>
        <v>6229.2382007533788</v>
      </c>
      <c r="BL574" s="1138">
        <f>BL567-BL572</f>
        <v>6739.3065843621398</v>
      </c>
      <c r="BM574" s="1138">
        <f>BM567-BM572</f>
        <v>7276.7711640211637</v>
      </c>
      <c r="BN574" s="1140">
        <f>SUM(BJ574:BM574)</f>
        <v>26114.717581789744</v>
      </c>
      <c r="BO574" s="1138"/>
      <c r="BP574" s="1138"/>
      <c r="BQ574" s="1138"/>
      <c r="BR574" s="1138"/>
      <c r="BS574" s="1960"/>
      <c r="BT574" s="1138">
        <f>BT567-BT572</f>
        <v>7286.5848755284169</v>
      </c>
      <c r="BU574" s="1138">
        <f>BU567-BU572</f>
        <v>7486.2811017876684</v>
      </c>
      <c r="BV574" s="1138">
        <f>BV567-BV572</f>
        <v>7685.4353635259413</v>
      </c>
      <c r="BW574" s="1138">
        <f>BW567-BW572</f>
        <v>8615.2282061216574</v>
      </c>
      <c r="BX574" s="1140">
        <f>BX567-BX572</f>
        <v>31073.846285838401</v>
      </c>
      <c r="BY574" s="1138"/>
      <c r="BZ574" s="1138"/>
      <c r="CA574" s="1138"/>
      <c r="CB574" s="1138"/>
      <c r="CC574" s="1960"/>
      <c r="CD574" s="1138">
        <f t="shared" ref="CD574:CL574" si="1403">CD567-CD572</f>
        <v>8640</v>
      </c>
      <c r="CE574" s="1138">
        <f t="shared" si="1403"/>
        <v>8868</v>
      </c>
      <c r="CF574" s="1138">
        <f t="shared" si="1403"/>
        <v>9376</v>
      </c>
      <c r="CG574" s="1138">
        <f t="shared" si="1403"/>
        <v>10538</v>
      </c>
      <c r="CH574" s="1140">
        <f t="shared" si="1403"/>
        <v>37422</v>
      </c>
      <c r="CI574" s="1138">
        <f t="shared" si="1403"/>
        <v>10469</v>
      </c>
      <c r="CJ574" s="1138">
        <f t="shared" si="1403"/>
        <v>10935</v>
      </c>
      <c r="CK574" s="1138">
        <f t="shared" si="1403"/>
        <v>11252</v>
      </c>
      <c r="CL574" s="1138">
        <f t="shared" si="1403"/>
        <v>12429</v>
      </c>
      <c r="CM574" s="1140">
        <f>SUM(CI574:CL574)</f>
        <v>45085</v>
      </c>
      <c r="CN574" s="1138">
        <f>CN567-CN572</f>
        <v>11932</v>
      </c>
      <c r="CO574" s="1138">
        <f>CO567-CO572</f>
        <v>12402</v>
      </c>
      <c r="CP574" s="1138">
        <f>CP567-CP572</f>
        <v>13087</v>
      </c>
      <c r="CQ574" s="1138">
        <f>CQ567-CQ572</f>
        <v>14936</v>
      </c>
      <c r="CR574" s="1140">
        <f>SUM(CN574:CQ574)</f>
        <v>52357</v>
      </c>
      <c r="CS574" s="1138">
        <f>CS567-CS572</f>
        <v>14328</v>
      </c>
      <c r="CT574" s="1138">
        <f>CT567-CT572</f>
        <v>15400</v>
      </c>
      <c r="CU574" s="1138">
        <f>CU567-CU572</f>
        <v>16089</v>
      </c>
      <c r="CV574" s="1138">
        <f>CV567-CV572</f>
        <v>17968</v>
      </c>
      <c r="CW574" s="1140">
        <f>SUM(CS574:CV574)</f>
        <v>63785</v>
      </c>
      <c r="CX574" s="1138">
        <f>CX567-CX572</f>
        <v>17403</v>
      </c>
      <c r="CY574" s="1138">
        <f>CY567-CY572</f>
        <v>18425</v>
      </c>
      <c r="CZ574" s="1138">
        <f>CZ567-CZ572</f>
        <v>19723</v>
      </c>
      <c r="DA574" s="1138">
        <f>DA567-DA572</f>
        <v>22237</v>
      </c>
      <c r="DB574" s="1140">
        <f>SUM(CX574:DA574)</f>
        <v>77788</v>
      </c>
      <c r="DC574" s="1138">
        <f>DC567-DC572</f>
        <v>21998</v>
      </c>
      <c r="DD574" s="1138">
        <f>DD567-DD572</f>
        <v>23262</v>
      </c>
      <c r="DE574" s="1138">
        <f>DE567-DE572</f>
        <v>24054</v>
      </c>
      <c r="DF574" s="1138">
        <f>DF567-DF572</f>
        <v>26839.993889398105</v>
      </c>
      <c r="DG574" s="1140">
        <f>SUM(DC574:DF574)</f>
        <v>96153.993889398102</v>
      </c>
      <c r="DH574" s="1138">
        <f>DH567-DH572</f>
        <v>25475.592173697682</v>
      </c>
      <c r="DI574" s="1138">
        <f>DI567-DI572</f>
        <v>27169.44381676253</v>
      </c>
      <c r="DJ574" s="1138">
        <f>DJ567-DJ572</f>
        <v>28461.124966048545</v>
      </c>
      <c r="DK574" s="1138">
        <f>DK567-DK572</f>
        <v>31838.99225176343</v>
      </c>
      <c r="DL574" s="1140">
        <f>SUM(DH574:DK574)</f>
        <v>112945.15320827218</v>
      </c>
      <c r="DM574" s="1138"/>
      <c r="DN574" s="1138"/>
      <c r="DO574" s="1138"/>
      <c r="DP574" s="1138"/>
      <c r="DQ574" s="1140"/>
      <c r="DR574" s="1138"/>
      <c r="DS574" s="1138"/>
      <c r="DT574" s="1138"/>
      <c r="DU574" s="1138"/>
      <c r="DV574" s="1140"/>
      <c r="DW574" s="1138"/>
      <c r="DX574" s="1138"/>
      <c r="DY574" s="1138"/>
      <c r="DZ574" s="1138"/>
      <c r="EA574" s="1140"/>
      <c r="EB574" s="1138"/>
      <c r="EC574" s="1138"/>
      <c r="ED574" s="1138"/>
      <c r="EE574" s="1138"/>
      <c r="EF574" s="1140"/>
      <c r="EG574" s="1138"/>
      <c r="EH574" s="1138"/>
      <c r="EI574" s="1138"/>
      <c r="EJ574" s="1138"/>
      <c r="EK574" s="1140"/>
      <c r="EL574" s="1138"/>
      <c r="EM574" s="1138"/>
      <c r="EN574" s="1138"/>
      <c r="EO574" s="1138"/>
      <c r="EP574" s="1140"/>
      <c r="EQ574" s="1138"/>
      <c r="ER574" s="1138"/>
      <c r="ES574" s="1138"/>
      <c r="ET574" s="1138"/>
      <c r="EU574" s="1140"/>
      <c r="EV574" s="1140"/>
      <c r="EW574" s="1140"/>
      <c r="EX574" s="1140"/>
      <c r="EY574" s="1140"/>
      <c r="EZ574" s="175"/>
      <c r="FA574" s="4271"/>
      <c r="FB574" s="4271"/>
    </row>
    <row r="575" spans="1:158" s="252" customFormat="1" ht="11.25" hidden="1" customHeight="1">
      <c r="A575" s="2368" t="s">
        <v>21</v>
      </c>
      <c r="B575" s="1149"/>
      <c r="C575" s="1150"/>
      <c r="D575" s="1150"/>
      <c r="E575" s="1150"/>
      <c r="F575" s="1151"/>
      <c r="G575" s="1149"/>
      <c r="H575" s="1150"/>
      <c r="I575" s="1150"/>
      <c r="J575" s="1150"/>
      <c r="K575" s="1154"/>
      <c r="L575" s="1153"/>
      <c r="M575" s="1153"/>
      <c r="N575" s="1153"/>
      <c r="O575" s="1153"/>
      <c r="P575" s="1154"/>
      <c r="Q575" s="1152"/>
      <c r="R575" s="1153"/>
      <c r="S575" s="1153"/>
      <c r="T575" s="1153"/>
      <c r="U575" s="1154"/>
      <c r="V575" s="1152"/>
      <c r="W575" s="1153"/>
      <c r="X575" s="1153"/>
      <c r="Y575" s="1153"/>
      <c r="Z575" s="1154"/>
      <c r="AA575" s="1152"/>
      <c r="AB575" s="1153"/>
      <c r="AC575" s="1153"/>
      <c r="AD575" s="1153"/>
      <c r="AE575" s="1154"/>
      <c r="AF575" s="1152"/>
      <c r="AG575" s="1153"/>
      <c r="AH575" s="1153"/>
      <c r="AI575" s="1153"/>
      <c r="AJ575" s="1154"/>
      <c r="AK575" s="1152"/>
      <c r="AL575" s="1153"/>
      <c r="AM575" s="1153"/>
      <c r="AN575" s="1153"/>
      <c r="AO575" s="1154"/>
      <c r="AP575" s="1153"/>
      <c r="AQ575" s="1153"/>
      <c r="AR575" s="1153"/>
      <c r="AS575" s="1153"/>
      <c r="AT575" s="1154"/>
      <c r="AU575" s="1153"/>
      <c r="AV575" s="1153"/>
      <c r="AW575" s="1153"/>
      <c r="AX575" s="1153"/>
      <c r="AY575" s="1154"/>
      <c r="AZ575" s="1153">
        <f t="shared" ref="AZ575:BN575" si="1404">+(AZ568-AZ569)*10000</f>
        <v>-542.1114195381183</v>
      </c>
      <c r="BA575" s="1153">
        <f t="shared" si="1404"/>
        <v>-708.6903247584919</v>
      </c>
      <c r="BB575" s="1153">
        <f t="shared" si="1404"/>
        <v>-537.30898432645006</v>
      </c>
      <c r="BC575" s="1153">
        <f t="shared" si="1404"/>
        <v>94.440745195969455</v>
      </c>
      <c r="BD575" s="1154">
        <f t="shared" si="1404"/>
        <v>-412.33563711169376</v>
      </c>
      <c r="BE575" s="1153">
        <f t="shared" si="1404"/>
        <v>114.28030096078956</v>
      </c>
      <c r="BF575" s="1153">
        <f t="shared" si="1404"/>
        <v>-92.602160871451119</v>
      </c>
      <c r="BG575" s="1153">
        <f t="shared" si="1404"/>
        <v>-215.71709991633492</v>
      </c>
      <c r="BH575" s="1153">
        <f t="shared" si="1404"/>
        <v>-178.23161866325597</v>
      </c>
      <c r="BI575" s="1154">
        <f t="shared" si="1404"/>
        <v>-102.95073384724685</v>
      </c>
      <c r="BJ575" s="1153">
        <f t="shared" si="1404"/>
        <v>37.65328558591019</v>
      </c>
      <c r="BK575" s="1153">
        <f t="shared" si="1404"/>
        <v>491.3338002391443</v>
      </c>
      <c r="BL575" s="1153">
        <f t="shared" si="1404"/>
        <v>530.55003558339922</v>
      </c>
      <c r="BM575" s="1153">
        <f t="shared" si="1404"/>
        <v>39.787051987796303</v>
      </c>
      <c r="BN575" s="1154">
        <f t="shared" si="1404"/>
        <v>266.66939733456462</v>
      </c>
      <c r="BO575" s="1153"/>
      <c r="BP575" s="1153"/>
      <c r="BQ575" s="1153"/>
      <c r="BR575" s="1153"/>
      <c r="BS575" s="1961"/>
      <c r="BT575" s="1153">
        <f>+(BT568-BT569)*10000</f>
        <v>-55.448270369300445</v>
      </c>
      <c r="BU575" s="1153">
        <f>+(BU568-BU569)*10000</f>
        <v>-302.41919050601365</v>
      </c>
      <c r="BV575" s="1153">
        <f>+(BV568-BV569)*10000</f>
        <v>-493.58439049142169</v>
      </c>
      <c r="BW575" s="1153">
        <f>+(BW568-BW569)*10000</f>
        <v>-171.57527632206461</v>
      </c>
      <c r="BX575" s="1154">
        <f>+(BX568-BX569)*10000</f>
        <v>-260.53623475511989</v>
      </c>
      <c r="BY575" s="1153"/>
      <c r="BZ575" s="1153"/>
      <c r="CA575" s="1153"/>
      <c r="CB575" s="1153"/>
      <c r="CC575" s="1961"/>
      <c r="CD575" s="1153">
        <f t="shared" ref="CD575:DL575" si="1405">+(CD568-CD569)*10000</f>
        <v>-41.214095468182776</v>
      </c>
      <c r="CE575" s="1153">
        <f t="shared" si="1405"/>
        <v>-87.513599301050078</v>
      </c>
      <c r="CF575" s="1153">
        <f t="shared" si="1405"/>
        <v>-65.623924446871484</v>
      </c>
      <c r="CG575" s="1153">
        <f t="shared" si="1405"/>
        <v>-35.069948134334169</v>
      </c>
      <c r="CH575" s="1154">
        <f t="shared" si="1405"/>
        <v>-56.761831516758399</v>
      </c>
      <c r="CI575" s="1153">
        <f t="shared" si="1405"/>
        <v>0</v>
      </c>
      <c r="CJ575" s="1153">
        <f t="shared" si="1405"/>
        <v>0</v>
      </c>
      <c r="CK575" s="1153">
        <f t="shared" si="1405"/>
        <v>0</v>
      </c>
      <c r="CL575" s="1153">
        <f t="shared" si="1405"/>
        <v>0</v>
      </c>
      <c r="CM575" s="1154">
        <f t="shared" si="1405"/>
        <v>0</v>
      </c>
      <c r="CN575" s="1153">
        <f t="shared" si="1405"/>
        <v>0</v>
      </c>
      <c r="CO575" s="1153">
        <f t="shared" si="1405"/>
        <v>0</v>
      </c>
      <c r="CP575" s="1153">
        <f t="shared" si="1405"/>
        <v>0</v>
      </c>
      <c r="CQ575" s="1153">
        <f t="shared" si="1405"/>
        <v>0</v>
      </c>
      <c r="CR575" s="1154">
        <f t="shared" si="1405"/>
        <v>0</v>
      </c>
      <c r="CS575" s="1153">
        <f t="shared" si="1405"/>
        <v>0</v>
      </c>
      <c r="CT575" s="1153">
        <f t="shared" si="1405"/>
        <v>0</v>
      </c>
      <c r="CU575" s="1153">
        <f t="shared" si="1405"/>
        <v>0</v>
      </c>
      <c r="CV575" s="1153">
        <f t="shared" si="1405"/>
        <v>0</v>
      </c>
      <c r="CW575" s="1154">
        <f t="shared" si="1405"/>
        <v>0</v>
      </c>
      <c r="CX575" s="1153">
        <f t="shared" si="1405"/>
        <v>0</v>
      </c>
      <c r="CY575" s="1153">
        <f t="shared" si="1405"/>
        <v>0</v>
      </c>
      <c r="CZ575" s="1153">
        <f t="shared" si="1405"/>
        <v>0</v>
      </c>
      <c r="DA575" s="1153">
        <f t="shared" si="1405"/>
        <v>0</v>
      </c>
      <c r="DB575" s="1154">
        <f t="shared" si="1405"/>
        <v>27.122364192209147</v>
      </c>
      <c r="DC575" s="2661">
        <f t="shared" si="1405"/>
        <v>0</v>
      </c>
      <c r="DD575" s="2661">
        <f t="shared" si="1405"/>
        <v>0</v>
      </c>
      <c r="DE575" s="2661">
        <f t="shared" si="1405"/>
        <v>0</v>
      </c>
      <c r="DF575" s="2661">
        <f t="shared" si="1405"/>
        <v>-184.97094482581522</v>
      </c>
      <c r="DG575" s="1154">
        <f t="shared" si="1405"/>
        <v>-53.138051755738935</v>
      </c>
      <c r="DH575" s="2661" t="e">
        <f t="shared" si="1405"/>
        <v>#VALUE!</v>
      </c>
      <c r="DI575" s="2661" t="e">
        <f t="shared" si="1405"/>
        <v>#VALUE!</v>
      </c>
      <c r="DJ575" s="2661" t="e">
        <f t="shared" si="1405"/>
        <v>#VALUE!</v>
      </c>
      <c r="DK575" s="2661">
        <f t="shared" si="1405"/>
        <v>-121.6242016668767</v>
      </c>
      <c r="DL575" s="1154">
        <f t="shared" si="1405"/>
        <v>-245.57949300501036</v>
      </c>
      <c r="DM575" s="2661"/>
      <c r="DN575" s="2661"/>
      <c r="DO575" s="2661"/>
      <c r="DP575" s="2661"/>
      <c r="DQ575" s="1154"/>
      <c r="DR575" s="2661"/>
      <c r="DS575" s="2661"/>
      <c r="DT575" s="2661"/>
      <c r="DU575" s="2661"/>
      <c r="DV575" s="1154"/>
      <c r="DW575" s="2661"/>
      <c r="DX575" s="2661"/>
      <c r="DY575" s="2661"/>
      <c r="DZ575" s="2661"/>
      <c r="EA575" s="1154"/>
      <c r="EB575" s="2661"/>
      <c r="EC575" s="2661"/>
      <c r="ED575" s="2661"/>
      <c r="EE575" s="2661"/>
      <c r="EF575" s="1154"/>
      <c r="EG575" s="2661"/>
      <c r="EH575" s="2661"/>
      <c r="EI575" s="2661"/>
      <c r="EJ575" s="2661"/>
      <c r="EK575" s="1154"/>
      <c r="EL575" s="2661"/>
      <c r="EM575" s="2661"/>
      <c r="EN575" s="2661"/>
      <c r="EO575" s="2661"/>
      <c r="EP575" s="1154"/>
      <c r="EQ575" s="2661"/>
      <c r="ER575" s="2661"/>
      <c r="ES575" s="2661"/>
      <c r="ET575" s="2661"/>
      <c r="EU575" s="1154"/>
      <c r="EV575" s="1154"/>
      <c r="EW575" s="1154"/>
      <c r="EX575" s="1154"/>
      <c r="EY575" s="1154"/>
      <c r="EZ575" s="251"/>
      <c r="FA575" s="725"/>
      <c r="FB575" s="725"/>
    </row>
    <row r="576" spans="1:158" s="180" customFormat="1" ht="11.25" hidden="1" customHeight="1" collapsed="1">
      <c r="A576" s="2964" t="str">
        <f>A29</f>
        <v>Google Network Members' properties</v>
      </c>
      <c r="B576" s="3321"/>
      <c r="C576" s="2965"/>
      <c r="D576" s="2965"/>
      <c r="E576" s="2965"/>
      <c r="F576" s="3322"/>
      <c r="G576" s="3321"/>
      <c r="H576" s="2965"/>
      <c r="I576" s="2965"/>
      <c r="J576" s="2965"/>
      <c r="K576" s="2966"/>
      <c r="L576" s="2965"/>
      <c r="M576" s="2965"/>
      <c r="N576" s="2965"/>
      <c r="O576" s="2965"/>
      <c r="P576" s="2966"/>
      <c r="Q576" s="3321"/>
      <c r="R576" s="2965"/>
      <c r="S576" s="2965"/>
      <c r="T576" s="2965"/>
      <c r="U576" s="2966"/>
      <c r="V576" s="3321"/>
      <c r="W576" s="2965"/>
      <c r="X576" s="2965"/>
      <c r="Y576" s="2965"/>
      <c r="Z576" s="2966"/>
      <c r="AA576" s="3321"/>
      <c r="AB576" s="2965"/>
      <c r="AC576" s="2965"/>
      <c r="AD576" s="2965"/>
      <c r="AE576" s="2966"/>
      <c r="AF576" s="3321"/>
      <c r="AG576" s="2965"/>
      <c r="AH576" s="2965"/>
      <c r="AI576" s="2965"/>
      <c r="AJ576" s="2966"/>
      <c r="AK576" s="3321"/>
      <c r="AL576" s="2965"/>
      <c r="AM576" s="2965"/>
      <c r="AN576" s="2967"/>
      <c r="AO576" s="2966"/>
      <c r="AP576" s="3321"/>
      <c r="AQ576" s="2965"/>
      <c r="AR576" s="2965"/>
      <c r="AS576" s="2967"/>
      <c r="AT576" s="2966"/>
      <c r="AU576" s="3321">
        <f t="shared" ref="AU576:BN576" si="1406">AU29</f>
        <v>1686.1410000000001</v>
      </c>
      <c r="AV576" s="2965">
        <f t="shared" si="1406"/>
        <v>1655.28</v>
      </c>
      <c r="AW576" s="2965">
        <f t="shared" si="1406"/>
        <v>1679.8610000000001</v>
      </c>
      <c r="AX576" s="2967">
        <f t="shared" si="1406"/>
        <v>1693.405</v>
      </c>
      <c r="AY576" s="2966">
        <f t="shared" si="1406"/>
        <v>6714.6869999999999</v>
      </c>
      <c r="AZ576" s="3321">
        <f t="shared" si="1406"/>
        <v>1638.0419999999999</v>
      </c>
      <c r="BA576" s="2965">
        <f t="shared" si="1406"/>
        <v>1683.5</v>
      </c>
      <c r="BB576" s="2965">
        <f t="shared" si="1406"/>
        <v>1800.89</v>
      </c>
      <c r="BC576" s="2967">
        <f t="shared" si="1406"/>
        <v>2043.886</v>
      </c>
      <c r="BD576" s="2966">
        <f t="shared" si="1406"/>
        <v>7166.3179999999993</v>
      </c>
      <c r="BE576" s="3321">
        <f t="shared" si="1406"/>
        <v>2036</v>
      </c>
      <c r="BF576" s="2965">
        <f t="shared" si="1406"/>
        <v>2063</v>
      </c>
      <c r="BG576" s="2965">
        <f t="shared" si="1406"/>
        <v>2199</v>
      </c>
      <c r="BH576" s="2967">
        <f t="shared" si="1406"/>
        <v>2495</v>
      </c>
      <c r="BI576" s="2966">
        <f t="shared" si="1406"/>
        <v>8793</v>
      </c>
      <c r="BJ576" s="3321">
        <f t="shared" si="1406"/>
        <v>2427</v>
      </c>
      <c r="BK576" s="2965">
        <f t="shared" si="1406"/>
        <v>2484</v>
      </c>
      <c r="BL576" s="2965">
        <f t="shared" si="1406"/>
        <v>2595</v>
      </c>
      <c r="BM576" s="2965">
        <f t="shared" si="1406"/>
        <v>2880</v>
      </c>
      <c r="BN576" s="2966">
        <f t="shared" si="1406"/>
        <v>10386</v>
      </c>
      <c r="BO576" s="2965"/>
      <c r="BP576" s="2965"/>
      <c r="BQ576" s="2965"/>
      <c r="BR576" s="2965"/>
      <c r="BS576" s="3323"/>
      <c r="BT576" s="2965">
        <f t="shared" ref="BT576:BX577" si="1407">BT29</f>
        <v>2913</v>
      </c>
      <c r="BU576" s="2965">
        <f t="shared" si="1407"/>
        <v>2983</v>
      </c>
      <c r="BV576" s="2965">
        <f t="shared" si="1407"/>
        <v>3133</v>
      </c>
      <c r="BW576" s="2965">
        <f t="shared" si="1407"/>
        <v>3436</v>
      </c>
      <c r="BX576" s="2966">
        <f t="shared" si="1407"/>
        <v>12465</v>
      </c>
      <c r="BY576" s="2965"/>
      <c r="BZ576" s="2965"/>
      <c r="CA576" s="2965"/>
      <c r="CB576" s="2965"/>
      <c r="CC576" s="3323"/>
      <c r="CD576" s="3324">
        <f t="shared" ref="CD576:DL576" si="1408">CD29</f>
        <v>3391</v>
      </c>
      <c r="CE576" s="2965">
        <f t="shared" si="1408"/>
        <v>3314</v>
      </c>
      <c r="CF576" s="2965">
        <f t="shared" si="1408"/>
        <v>3277</v>
      </c>
      <c r="CG576" s="2965">
        <f t="shared" si="1408"/>
        <v>3668</v>
      </c>
      <c r="CH576" s="2966">
        <f t="shared" si="1408"/>
        <v>13650</v>
      </c>
      <c r="CI576" s="2968">
        <f t="shared" si="1408"/>
        <v>3528</v>
      </c>
      <c r="CJ576" s="2965">
        <f t="shared" si="1408"/>
        <v>3563</v>
      </c>
      <c r="CK576" s="2965">
        <f t="shared" si="1408"/>
        <v>3568</v>
      </c>
      <c r="CL576" s="2965">
        <f t="shared" si="1408"/>
        <v>3880</v>
      </c>
      <c r="CM576" s="2966">
        <f t="shared" si="1408"/>
        <v>14539</v>
      </c>
      <c r="CN576" s="2965">
        <f t="shared" si="1408"/>
        <v>3576</v>
      </c>
      <c r="CO576" s="2965">
        <f t="shared" si="1408"/>
        <v>3621</v>
      </c>
      <c r="CP576" s="2965">
        <f t="shared" si="1408"/>
        <v>3694</v>
      </c>
      <c r="CQ576" s="2965">
        <f t="shared" si="1408"/>
        <v>4142</v>
      </c>
      <c r="CR576" s="2966">
        <f t="shared" si="1408"/>
        <v>15033</v>
      </c>
      <c r="CS576" s="2965">
        <f t="shared" si="1408"/>
        <v>3692</v>
      </c>
      <c r="CT576" s="2965">
        <f t="shared" si="1408"/>
        <v>3743</v>
      </c>
      <c r="CU576" s="2965">
        <f t="shared" si="1408"/>
        <v>3732</v>
      </c>
      <c r="CV576" s="2965">
        <f t="shared" si="1408"/>
        <v>4431</v>
      </c>
      <c r="CW576" s="2966">
        <f t="shared" si="1408"/>
        <v>15598</v>
      </c>
      <c r="CX576" s="2965">
        <f t="shared" si="1408"/>
        <v>4008</v>
      </c>
      <c r="CY576" s="2965">
        <f t="shared" si="1408"/>
        <v>4247</v>
      </c>
      <c r="CZ576" s="2965">
        <f t="shared" si="1408"/>
        <v>4342</v>
      </c>
      <c r="DA576" s="2965">
        <f t="shared" si="1408"/>
        <v>4990</v>
      </c>
      <c r="DB576" s="2966">
        <f t="shared" si="1408"/>
        <v>17616</v>
      </c>
      <c r="DC576" s="2965">
        <f t="shared" si="1408"/>
        <v>4644</v>
      </c>
      <c r="DD576" s="2965">
        <f t="shared" si="1408"/>
        <v>4825</v>
      </c>
      <c r="DE576" s="2965">
        <f t="shared" si="1408"/>
        <v>4900</v>
      </c>
      <c r="DF576" s="2965">
        <f t="shared" si="1408"/>
        <v>5593</v>
      </c>
      <c r="DG576" s="2966">
        <f t="shared" si="1408"/>
        <v>20010</v>
      </c>
      <c r="DH576" s="2965">
        <f t="shared" si="1408"/>
        <v>5015</v>
      </c>
      <c r="DI576" s="2965">
        <f t="shared" si="1408"/>
        <v>5249</v>
      </c>
      <c r="DJ576" s="2965">
        <f t="shared" si="1408"/>
        <v>5251</v>
      </c>
      <c r="DK576" s="2965">
        <f t="shared" si="1408"/>
        <v>6032</v>
      </c>
      <c r="DL576" s="2966">
        <f t="shared" si="1408"/>
        <v>21547</v>
      </c>
      <c r="DM576" s="2965"/>
      <c r="DN576" s="2965"/>
      <c r="DO576" s="2965"/>
      <c r="DP576" s="2965"/>
      <c r="DQ576" s="2966"/>
      <c r="DR576" s="2965"/>
      <c r="DS576" s="2965"/>
      <c r="DT576" s="2965"/>
      <c r="DU576" s="2965"/>
      <c r="DV576" s="2966"/>
      <c r="DW576" s="2965"/>
      <c r="DX576" s="2965"/>
      <c r="DY576" s="2965"/>
      <c r="DZ576" s="2965"/>
      <c r="EA576" s="2966"/>
      <c r="EB576" s="2965"/>
      <c r="EC576" s="2965"/>
      <c r="ED576" s="2965"/>
      <c r="EE576" s="2965"/>
      <c r="EF576" s="2966"/>
      <c r="EG576" s="2965"/>
      <c r="EH576" s="2965"/>
      <c r="EI576" s="2965"/>
      <c r="EJ576" s="2965"/>
      <c r="EK576" s="2966"/>
      <c r="EL576" s="2965"/>
      <c r="EM576" s="2965"/>
      <c r="EN576" s="2965"/>
      <c r="EO576" s="2965"/>
      <c r="EP576" s="2966"/>
      <c r="EQ576" s="2965"/>
      <c r="ER576" s="2965"/>
      <c r="ES576" s="2965"/>
      <c r="ET576" s="2965"/>
      <c r="EU576" s="2966"/>
      <c r="EV576" s="2966"/>
      <c r="EW576" s="2966"/>
      <c r="EX576" s="2966"/>
      <c r="EY576" s="2966"/>
      <c r="EZ576" s="175"/>
      <c r="FA576" s="1319"/>
      <c r="FB576" s="1319"/>
    </row>
    <row r="577" spans="1:158" s="183" customFormat="1" ht="11.25" hidden="1" customHeight="1">
      <c r="A577" s="1538" t="str">
        <f>A30</f>
        <v>Y/Y growth</v>
      </c>
      <c r="B577" s="739"/>
      <c r="C577" s="181"/>
      <c r="D577" s="181"/>
      <c r="E577" s="169"/>
      <c r="F577" s="983"/>
      <c r="G577" s="739"/>
      <c r="H577" s="181"/>
      <c r="I577" s="181"/>
      <c r="J577" s="181"/>
      <c r="K577" s="991"/>
      <c r="L577" s="181"/>
      <c r="M577" s="181"/>
      <c r="N577" s="181"/>
      <c r="O577" s="181"/>
      <c r="P577" s="992"/>
      <c r="Q577" s="736"/>
      <c r="R577" s="169"/>
      <c r="S577" s="169"/>
      <c r="T577" s="169"/>
      <c r="U577" s="992"/>
      <c r="V577" s="736"/>
      <c r="W577" s="169"/>
      <c r="X577" s="169"/>
      <c r="Y577" s="169"/>
      <c r="Z577" s="992"/>
      <c r="AA577" s="736"/>
      <c r="AB577" s="169"/>
      <c r="AC577" s="169"/>
      <c r="AD577" s="169"/>
      <c r="AE577" s="992"/>
      <c r="AF577" s="736"/>
      <c r="AG577" s="169"/>
      <c r="AH577" s="169"/>
      <c r="AI577" s="169"/>
      <c r="AJ577" s="992"/>
      <c r="AK577" s="736"/>
      <c r="AL577" s="169"/>
      <c r="AM577" s="169"/>
      <c r="AN577" s="169"/>
      <c r="AO577" s="992"/>
      <c r="AP577" s="736"/>
      <c r="AQ577" s="169"/>
      <c r="AR577" s="169"/>
      <c r="AS577" s="169"/>
      <c r="AT577" s="992"/>
      <c r="AU577" s="736">
        <f t="shared" ref="AU577:BN577" si="1409">AU30</f>
        <v>0.2533298546303544</v>
      </c>
      <c r="AV577" s="169">
        <f t="shared" si="1409"/>
        <v>0.22427334471850546</v>
      </c>
      <c r="AW577" s="169">
        <f t="shared" si="1409"/>
        <v>0.15476507179039833</v>
      </c>
      <c r="AX577" s="169">
        <f t="shared" si="1409"/>
        <v>3.5192403150438034E-2</v>
      </c>
      <c r="AY577" s="992">
        <f t="shared" si="1409"/>
        <v>0.16011749955122156</v>
      </c>
      <c r="AZ577" s="736">
        <f t="shared" si="1409"/>
        <v>-2.8526084117520556E-2</v>
      </c>
      <c r="BA577" s="169">
        <f t="shared" si="1409"/>
        <v>1.7048475182446454E-2</v>
      </c>
      <c r="BB577" s="169">
        <f t="shared" si="1409"/>
        <v>7.2047032462804861E-2</v>
      </c>
      <c r="BC577" s="169">
        <f t="shared" si="1409"/>
        <v>0.20696820902264967</v>
      </c>
      <c r="BD577" s="992">
        <f t="shared" si="1409"/>
        <v>6.7260171620806553E-2</v>
      </c>
      <c r="BE577" s="736">
        <f t="shared" si="1409"/>
        <v>0.24294737253379339</v>
      </c>
      <c r="BF577" s="169">
        <f t="shared" si="1409"/>
        <v>0.22542322542322535</v>
      </c>
      <c r="BG577" s="169">
        <f t="shared" si="1409"/>
        <v>0.22106291889010432</v>
      </c>
      <c r="BH577" s="169">
        <f t="shared" si="1409"/>
        <v>0.22071387543140863</v>
      </c>
      <c r="BI577" s="992">
        <f t="shared" si="1409"/>
        <v>0.22698992704482279</v>
      </c>
      <c r="BJ577" s="736">
        <f t="shared" si="1409"/>
        <v>0.1920432220039292</v>
      </c>
      <c r="BK577" s="169">
        <f t="shared" si="1409"/>
        <v>0.20407174018419783</v>
      </c>
      <c r="BL577" s="169">
        <f t="shared" si="1409"/>
        <v>0.18008185538881305</v>
      </c>
      <c r="BM577" s="169">
        <f t="shared" si="1409"/>
        <v>0.15430861723446898</v>
      </c>
      <c r="BN577" s="992">
        <f t="shared" si="1409"/>
        <v>0.18116683725690885</v>
      </c>
      <c r="BO577" s="169"/>
      <c r="BP577" s="169"/>
      <c r="BQ577" s="169"/>
      <c r="BR577" s="169"/>
      <c r="BS577" s="1927"/>
      <c r="BT577" s="169">
        <f t="shared" si="1407"/>
        <v>0.20024721878862795</v>
      </c>
      <c r="BU577" s="169">
        <f t="shared" si="1407"/>
        <v>0.20088566827697263</v>
      </c>
      <c r="BV577" s="169">
        <f t="shared" si="1407"/>
        <v>0.20732177263969165</v>
      </c>
      <c r="BW577" s="169">
        <f t="shared" si="1407"/>
        <v>0.19305555555555554</v>
      </c>
      <c r="BX577" s="992">
        <f t="shared" si="1407"/>
        <v>0.20017331022530338</v>
      </c>
      <c r="BY577" s="169"/>
      <c r="BZ577" s="169"/>
      <c r="CA577" s="169"/>
      <c r="CB577" s="169"/>
      <c r="CC577" s="1927"/>
      <c r="CD577" s="1689">
        <f t="shared" ref="CD577:DL577" si="1410">CD30</f>
        <v>0.16409200137315483</v>
      </c>
      <c r="CE577" s="169">
        <f t="shared" si="1410"/>
        <v>0.11096211867247741</v>
      </c>
      <c r="CF577" s="169">
        <f t="shared" si="1410"/>
        <v>4.5962336418768013E-2</v>
      </c>
      <c r="CG577" s="169">
        <f t="shared" si="1410"/>
        <v>6.7520372526193251E-2</v>
      </c>
      <c r="CH577" s="992">
        <f t="shared" si="1410"/>
        <v>9.5066185318892993E-2</v>
      </c>
      <c r="CI577" s="169">
        <f t="shared" si="1410"/>
        <v>4.0401061633736468E-2</v>
      </c>
      <c r="CJ577" s="169">
        <f t="shared" si="1410"/>
        <v>7.5135787567893741E-2</v>
      </c>
      <c r="CK577" s="169">
        <f t="shared" si="1410"/>
        <v>8.880073237717423E-2</v>
      </c>
      <c r="CL577" s="169">
        <f t="shared" si="1410"/>
        <v>5.7797164667393597E-2</v>
      </c>
      <c r="CM577" s="992">
        <f t="shared" si="1410"/>
        <v>6.5128205128205163E-2</v>
      </c>
      <c r="CN577" s="169">
        <f t="shared" si="1410"/>
        <v>1.3605442176870763E-2</v>
      </c>
      <c r="CO577" s="169">
        <f t="shared" si="1410"/>
        <v>1.6278417064271578E-2</v>
      </c>
      <c r="CP577" s="169">
        <f t="shared" si="1410"/>
        <v>3.5313901345291443E-2</v>
      </c>
      <c r="CQ577" s="169">
        <f t="shared" si="1410"/>
        <v>6.7525773195876271E-2</v>
      </c>
      <c r="CR577" s="992">
        <f t="shared" si="1410"/>
        <v>3.3977577550037719E-2</v>
      </c>
      <c r="CS577" s="169">
        <f t="shared" si="1410"/>
        <v>3.2438478747203625E-2</v>
      </c>
      <c r="CT577" s="169">
        <f t="shared" si="1410"/>
        <v>3.3692350179508335E-2</v>
      </c>
      <c r="CU577" s="169">
        <f t="shared" si="1410"/>
        <v>1.0286951813752054E-2</v>
      </c>
      <c r="CV577" s="169">
        <f t="shared" si="1410"/>
        <v>6.9773056494447205E-2</v>
      </c>
      <c r="CW577" s="992">
        <f t="shared" si="1410"/>
        <v>3.7583981906472497E-2</v>
      </c>
      <c r="CX577" s="169">
        <f t="shared" si="1410"/>
        <v>8.5590465872156019E-2</v>
      </c>
      <c r="CY577" s="169">
        <f t="shared" si="1410"/>
        <v>0.13465134918514554</v>
      </c>
      <c r="CZ577" s="169">
        <f t="shared" si="1410"/>
        <v>0.16345123258306549</v>
      </c>
      <c r="DA577" s="169">
        <f t="shared" si="1410"/>
        <v>0.12615662378695558</v>
      </c>
      <c r="DB577" s="992">
        <f t="shared" si="1410"/>
        <v>0.12937556096935499</v>
      </c>
      <c r="DC577" s="2612">
        <f t="shared" si="1410"/>
        <v>0.15868263473053901</v>
      </c>
      <c r="DD577" s="2612">
        <f t="shared" si="1410"/>
        <v>0.13609606781257355</v>
      </c>
      <c r="DE577" s="2612">
        <f t="shared" si="1410"/>
        <v>0.12851220635651783</v>
      </c>
      <c r="DF577" s="2612">
        <f t="shared" si="1410"/>
        <v>0.1208416833667334</v>
      </c>
      <c r="DG577" s="2588">
        <f t="shared" si="1410"/>
        <v>0.13589918256130784</v>
      </c>
      <c r="DH577" s="2612" t="str">
        <f t="shared" si="1410"/>
        <v>NA</v>
      </c>
      <c r="DI577" s="2612" t="str">
        <f t="shared" si="1410"/>
        <v>NA</v>
      </c>
      <c r="DJ577" s="2612" t="str">
        <f t="shared" si="1410"/>
        <v>NA</v>
      </c>
      <c r="DK577" s="2612">
        <f t="shared" si="1410"/>
        <v>7.8490970856427644E-2</v>
      </c>
      <c r="DL577" s="2588">
        <f t="shared" si="1410"/>
        <v>7.6811594202898625E-2</v>
      </c>
      <c r="DM577" s="2612"/>
      <c r="DN577" s="2612"/>
      <c r="DO577" s="2612"/>
      <c r="DP577" s="2612"/>
      <c r="DQ577" s="2588"/>
      <c r="DR577" s="2612"/>
      <c r="DS577" s="2612"/>
      <c r="DT577" s="2612"/>
      <c r="DU577" s="2612"/>
      <c r="DV577" s="2588"/>
      <c r="DW577" s="2612"/>
      <c r="DX577" s="2612"/>
      <c r="DY577" s="2612"/>
      <c r="DZ577" s="2612"/>
      <c r="EA577" s="2588"/>
      <c r="EB577" s="2612"/>
      <c r="EC577" s="2612"/>
      <c r="ED577" s="2612"/>
      <c r="EE577" s="2612"/>
      <c r="EF577" s="2588"/>
      <c r="EG577" s="2612"/>
      <c r="EH577" s="2612"/>
      <c r="EI577" s="2612"/>
      <c r="EJ577" s="2612"/>
      <c r="EK577" s="2588"/>
      <c r="EL577" s="2612"/>
      <c r="EM577" s="2612"/>
      <c r="EN577" s="2612"/>
      <c r="EO577" s="2612"/>
      <c r="EP577" s="2588"/>
      <c r="EQ577" s="2612"/>
      <c r="ER577" s="2612"/>
      <c r="ES577" s="2612"/>
      <c r="ET577" s="2612"/>
      <c r="EU577" s="2588"/>
      <c r="EV577" s="2588"/>
      <c r="EW577" s="2588"/>
      <c r="EX577" s="2588"/>
      <c r="EY577" s="2588"/>
      <c r="EZ577" s="181"/>
      <c r="FA577" s="725"/>
      <c r="FB577" s="725"/>
    </row>
    <row r="578" spans="1:158" s="1099" customFormat="1" ht="11.25" hidden="1" customHeight="1">
      <c r="A578" s="2369" t="s">
        <v>496</v>
      </c>
      <c r="B578" s="1142"/>
      <c r="C578" s="1143"/>
      <c r="D578" s="1143"/>
      <c r="E578" s="1144"/>
      <c r="F578" s="1145"/>
      <c r="G578" s="1142"/>
      <c r="H578" s="1143"/>
      <c r="I578" s="1143"/>
      <c r="J578" s="1143"/>
      <c r="K578" s="1146"/>
      <c r="L578" s="1143"/>
      <c r="M578" s="1143"/>
      <c r="N578" s="1143"/>
      <c r="O578" s="1143"/>
      <c r="P578" s="1146"/>
      <c r="Q578" s="1142"/>
      <c r="R578" s="1143"/>
      <c r="S578" s="1143"/>
      <c r="T578" s="1143"/>
      <c r="U578" s="1146"/>
      <c r="V578" s="1142"/>
      <c r="W578" s="1143"/>
      <c r="X578" s="1143"/>
      <c r="Y578" s="1143"/>
      <c r="Z578" s="1146"/>
      <c r="AA578" s="1142"/>
      <c r="AB578" s="1143"/>
      <c r="AC578" s="1143"/>
      <c r="AD578" s="1143"/>
      <c r="AE578" s="1146"/>
      <c r="AF578" s="1142"/>
      <c r="AG578" s="1143"/>
      <c r="AH578" s="1143"/>
      <c r="AI578" s="1143"/>
      <c r="AJ578" s="1146"/>
      <c r="AK578" s="1142"/>
      <c r="AL578" s="1143"/>
      <c r="AM578" s="1143"/>
      <c r="AN578" s="1143"/>
      <c r="AO578" s="1146"/>
      <c r="AP578" s="1142"/>
      <c r="AQ578" s="1143"/>
      <c r="AR578" s="1143"/>
      <c r="AS578" s="1143"/>
      <c r="AT578" s="1146"/>
      <c r="AU578" s="1142"/>
      <c r="AV578" s="1143"/>
      <c r="AW578" s="1143"/>
      <c r="AX578" s="1143"/>
      <c r="AY578" s="1146"/>
      <c r="AZ578" s="1142">
        <f t="shared" ref="AZ578:BN578" si="1411">+AZ582/AU583-1</f>
        <v>1.9968345327383563E-2</v>
      </c>
      <c r="BA578" s="1143">
        <f t="shared" si="1411"/>
        <v>8.670876180423881E-2</v>
      </c>
      <c r="BB578" s="1143">
        <f t="shared" si="1411"/>
        <v>0.1255191017773627</v>
      </c>
      <c r="BC578" s="1143">
        <f t="shared" si="1411"/>
        <v>0.19714252656515852</v>
      </c>
      <c r="BD578" s="1146">
        <f t="shared" si="1411"/>
        <v>0.10697128133043887</v>
      </c>
      <c r="BE578" s="1142">
        <f t="shared" si="1411"/>
        <v>0.2311306384350007</v>
      </c>
      <c r="BF578" s="1143">
        <f t="shared" si="1411"/>
        <v>0.23463613225201696</v>
      </c>
      <c r="BG578" s="1143">
        <f t="shared" si="1411"/>
        <v>0.24262211542068046</v>
      </c>
      <c r="BH578" s="1143">
        <f t="shared" si="1411"/>
        <v>0.23767336539931239</v>
      </c>
      <c r="BI578" s="1146">
        <f t="shared" si="1411"/>
        <v>0.23674496573856918</v>
      </c>
      <c r="BJ578" s="1142">
        <f t="shared" si="1411"/>
        <v>0.18865418301032699</v>
      </c>
      <c r="BK578" s="1143">
        <f t="shared" si="1411"/>
        <v>0.16136292204796843</v>
      </c>
      <c r="BL578" s="1143">
        <f t="shared" si="1411"/>
        <v>0.13518712379700482</v>
      </c>
      <c r="BM578" s="1143">
        <f t="shared" si="1411"/>
        <v>0.15073725285745954</v>
      </c>
      <c r="BN578" s="1146">
        <f t="shared" si="1411"/>
        <v>0.15817837330726459</v>
      </c>
      <c r="BO578" s="1143"/>
      <c r="BP578" s="1143"/>
      <c r="BQ578" s="1143"/>
      <c r="BR578" s="1143"/>
      <c r="BS578" s="1959"/>
      <c r="BT578" s="1142">
        <f>+BT582/BJ583-1</f>
        <v>0.2055981083711822</v>
      </c>
      <c r="BU578" s="1143">
        <f>+BU582/BK583-1</f>
        <v>0.2308946960199556</v>
      </c>
      <c r="BV578" s="1143">
        <f>+BV582/BL583-1</f>
        <v>0.25930143255681481</v>
      </c>
      <c r="BW578" s="1143">
        <f>+BW582/BM583-1</f>
        <v>0.21033649669268573</v>
      </c>
      <c r="BX578" s="1146">
        <f>+BX582/BN583-1</f>
        <v>0.22639739076437193</v>
      </c>
      <c r="BY578" s="1143"/>
      <c r="BZ578" s="1143"/>
      <c r="CA578" s="1143"/>
      <c r="CB578" s="1143"/>
      <c r="CC578" s="1959"/>
      <c r="CD578" s="1142">
        <f>+CD582/BT583-1</f>
        <v>0.16815227701897006</v>
      </c>
      <c r="CE578" s="1143">
        <f>+CE582/BU583-1</f>
        <v>0.11923078830515887</v>
      </c>
      <c r="CF578" s="1143">
        <f>+CF582/BV583-1</f>
        <v>5.1619145984187043E-2</v>
      </c>
      <c r="CG578" s="1143">
        <f>+CG582/BW583-1</f>
        <v>7.0589866914090971E-2</v>
      </c>
      <c r="CH578" s="1146">
        <f>+CH582/BX583-1</f>
        <v>0.10026227575364444</v>
      </c>
      <c r="CI578" s="1142">
        <f t="shared" ref="CI578:DL578" si="1412">+CI582/CD583-1</f>
        <v>4.0401061633736468E-2</v>
      </c>
      <c r="CJ578" s="1143">
        <f t="shared" si="1412"/>
        <v>7.5135787567893741E-2</v>
      </c>
      <c r="CK578" s="1143">
        <f t="shared" si="1412"/>
        <v>8.880073237717423E-2</v>
      </c>
      <c r="CL578" s="1143">
        <f t="shared" si="1412"/>
        <v>5.7797164667393597E-2</v>
      </c>
      <c r="CM578" s="1146">
        <f t="shared" si="1412"/>
        <v>6.5128205128205163E-2</v>
      </c>
      <c r="CN578" s="1142">
        <f t="shared" si="1412"/>
        <v>1.3605442176870763E-2</v>
      </c>
      <c r="CO578" s="1143">
        <f t="shared" si="1412"/>
        <v>1.6278417064271578E-2</v>
      </c>
      <c r="CP578" s="1143">
        <f t="shared" si="1412"/>
        <v>3.5313901345291443E-2</v>
      </c>
      <c r="CQ578" s="1143">
        <f t="shared" si="1412"/>
        <v>6.7525773195876271E-2</v>
      </c>
      <c r="CR578" s="1146">
        <f t="shared" si="1412"/>
        <v>3.3977577550037719E-2</v>
      </c>
      <c r="CS578" s="1142">
        <f t="shared" si="1412"/>
        <v>3.2438478747203625E-2</v>
      </c>
      <c r="CT578" s="1143">
        <f t="shared" si="1412"/>
        <v>3.3692350179508335E-2</v>
      </c>
      <c r="CU578" s="1143">
        <f t="shared" si="1412"/>
        <v>1.0286951813752054E-2</v>
      </c>
      <c r="CV578" s="1143">
        <f t="shared" si="1412"/>
        <v>6.9773056494447205E-2</v>
      </c>
      <c r="CW578" s="1146">
        <f t="shared" si="1412"/>
        <v>3.7583981906472497E-2</v>
      </c>
      <c r="CX578" s="1142">
        <f t="shared" si="1412"/>
        <v>8.5590465872156019E-2</v>
      </c>
      <c r="CY578" s="1143">
        <f t="shared" si="1412"/>
        <v>0.13465134918514554</v>
      </c>
      <c r="CZ578" s="1143">
        <f t="shared" si="1412"/>
        <v>0.16345123258306549</v>
      </c>
      <c r="DA578" s="1143">
        <f t="shared" si="1412"/>
        <v>0.12615662378695558</v>
      </c>
      <c r="DB578" s="1146">
        <f t="shared" si="1412"/>
        <v>0.12751634824977565</v>
      </c>
      <c r="DC578" s="1142">
        <f t="shared" si="1412"/>
        <v>0.15868263473053901</v>
      </c>
      <c r="DD578" s="1143">
        <f t="shared" si="1412"/>
        <v>0.13609606781257355</v>
      </c>
      <c r="DE578" s="1143">
        <f t="shared" si="1412"/>
        <v>0.12851220635651783</v>
      </c>
      <c r="DF578" s="1143">
        <f t="shared" si="1412"/>
        <v>0.13796422665067376</v>
      </c>
      <c r="DG578" s="1146">
        <f t="shared" si="1412"/>
        <v>0.13990114806316378</v>
      </c>
      <c r="DH578" s="1142">
        <f t="shared" si="1412"/>
        <v>0.11008055448953402</v>
      </c>
      <c r="DI578" s="1143">
        <f t="shared" si="1412"/>
        <v>0.11885485096708548</v>
      </c>
      <c r="DJ578" s="1143">
        <f t="shared" si="1412"/>
        <v>8.274615498190685E-2</v>
      </c>
      <c r="DK578" s="1143">
        <f t="shared" si="1412"/>
        <v>8.9561651361738326E-2</v>
      </c>
      <c r="DL578" s="1146">
        <f t="shared" si="1412"/>
        <v>9.975168626106079E-2</v>
      </c>
      <c r="DM578" s="1142"/>
      <c r="DN578" s="1143"/>
      <c r="DO578" s="1143"/>
      <c r="DP578" s="1143"/>
      <c r="DQ578" s="1146"/>
      <c r="DR578" s="1143"/>
      <c r="DS578" s="1143"/>
      <c r="DT578" s="1143"/>
      <c r="DU578" s="1143"/>
      <c r="DV578" s="1146"/>
      <c r="DW578" s="1143"/>
      <c r="DX578" s="1143"/>
      <c r="DY578" s="1143"/>
      <c r="DZ578" s="1143"/>
      <c r="EA578" s="1146"/>
      <c r="EB578" s="1143"/>
      <c r="EC578" s="1143"/>
      <c r="ED578" s="1143"/>
      <c r="EE578" s="1143"/>
      <c r="EF578" s="1146"/>
      <c r="EG578" s="1143"/>
      <c r="EH578" s="1143"/>
      <c r="EI578" s="1143"/>
      <c r="EJ578" s="1143"/>
      <c r="EK578" s="1146"/>
      <c r="EL578" s="1143"/>
      <c r="EM578" s="1143"/>
      <c r="EN578" s="1143"/>
      <c r="EO578" s="1143"/>
      <c r="EP578" s="1146"/>
      <c r="EQ578" s="1143"/>
      <c r="ER578" s="1143"/>
      <c r="ES578" s="1143"/>
      <c r="ET578" s="1143"/>
      <c r="EU578" s="1146"/>
      <c r="EV578" s="1146"/>
      <c r="EW578" s="1146"/>
      <c r="EX578" s="1146"/>
      <c r="EY578" s="1146"/>
      <c r="EZ578" s="1098"/>
      <c r="FA578" s="4272"/>
      <c r="FB578" s="4272"/>
    </row>
    <row r="579" spans="1:158" s="180" customFormat="1" ht="11.25" hidden="1" customHeight="1">
      <c r="A579" s="2367" t="s">
        <v>497</v>
      </c>
      <c r="B579" s="1141"/>
      <c r="C579" s="1138"/>
      <c r="D579" s="1138"/>
      <c r="E579" s="1147"/>
      <c r="F579" s="1148"/>
      <c r="G579" s="1137"/>
      <c r="H579" s="1138"/>
      <c r="I579" s="1138"/>
      <c r="J579" s="1138"/>
      <c r="K579" s="1140"/>
      <c r="L579" s="1138"/>
      <c r="M579" s="1138"/>
      <c r="N579" s="1138"/>
      <c r="O579" s="1138"/>
      <c r="P579" s="1140"/>
      <c r="Q579" s="1137"/>
      <c r="R579" s="1138"/>
      <c r="S579" s="1138"/>
      <c r="T579" s="1138"/>
      <c r="U579" s="1140"/>
      <c r="V579" s="1137"/>
      <c r="W579" s="1138"/>
      <c r="X579" s="1138"/>
      <c r="Y579" s="1138"/>
      <c r="Z579" s="1140"/>
      <c r="AA579" s="1137"/>
      <c r="AB579" s="1138"/>
      <c r="AC579" s="1138"/>
      <c r="AD579" s="1138"/>
      <c r="AE579" s="1140"/>
      <c r="AF579" s="1137"/>
      <c r="AG579" s="1138"/>
      <c r="AH579" s="1138"/>
      <c r="AI579" s="1138"/>
      <c r="AJ579" s="1140"/>
      <c r="AK579" s="1137"/>
      <c r="AL579" s="1138"/>
      <c r="AM579" s="1138"/>
      <c r="AN579" s="1138"/>
      <c r="AO579" s="1140"/>
      <c r="AP579" s="1137"/>
      <c r="AQ579" s="1138"/>
      <c r="AR579" s="1138"/>
      <c r="AS579" s="1138"/>
      <c r="AT579" s="1140"/>
      <c r="AU579" s="1137">
        <f>+AU580+AU581</f>
        <v>65.676370597004293</v>
      </c>
      <c r="AV579" s="1138">
        <f>+AV580+AV581</f>
        <v>78.335105824029299</v>
      </c>
      <c r="AW579" s="1138">
        <f>+AW580+AW581</f>
        <v>61.296503747885694</v>
      </c>
      <c r="AX579" s="1138">
        <f>+AX580+AX581</f>
        <v>-40.724387833929505</v>
      </c>
      <c r="AY579" s="1140">
        <f>SUM(AU579:AX579)</f>
        <v>164.58359233498979</v>
      </c>
      <c r="AZ579" s="1137">
        <f>+AZ580+AZ581</f>
        <v>-81.768445758659936</v>
      </c>
      <c r="BA579" s="1138">
        <f>+BA580+BA581</f>
        <v>-113.6985716010999</v>
      </c>
      <c r="BB579" s="1138">
        <f>+BB580+BB581</f>
        <v>-78.156646819239043</v>
      </c>
      <c r="BC579" s="1138">
        <f>+BC580+BC581</f>
        <v>62.475828179492261</v>
      </c>
      <c r="BD579" s="1140">
        <f>SUM(AZ579:BC579)</f>
        <v>-211.14783599950661</v>
      </c>
      <c r="BE579" s="1137">
        <f>+BE580+BE581</f>
        <v>75.730184501845031</v>
      </c>
      <c r="BF579" s="1138">
        <f>+BF580+BF581</f>
        <v>31.15674486803519</v>
      </c>
      <c r="BG579" s="1138">
        <f>+BG580+BG581</f>
        <v>-24.144935492725772</v>
      </c>
      <c r="BH579" s="1138">
        <f>+BH580+BH581</f>
        <v>-31.630924170616112</v>
      </c>
      <c r="BI579" s="1140">
        <f>SUM(BE579:BH579)</f>
        <v>51.111069706538331</v>
      </c>
      <c r="BJ579" s="1137">
        <f>+BJ580+BJ581</f>
        <v>10.472186588921282</v>
      </c>
      <c r="BK579" s="1138">
        <f>+BK580+BK581</f>
        <v>115.86128960779969</v>
      </c>
      <c r="BL579" s="1138">
        <f>+BL580+BL581</f>
        <v>129.21604938271605</v>
      </c>
      <c r="BM579" s="1138">
        <f>+BM580+BM581</f>
        <v>17.414965986394559</v>
      </c>
      <c r="BN579" s="1140">
        <f>SUM(BJ579:BM579)</f>
        <v>272.96449156583157</v>
      </c>
      <c r="BO579" s="1138"/>
      <c r="BP579" s="1138"/>
      <c r="BQ579" s="1138"/>
      <c r="BR579" s="1138"/>
      <c r="BS579" s="1960"/>
      <c r="BT579" s="1137">
        <f>+BT580+BT581</f>
        <v>-8.2094880225457985</v>
      </c>
      <c r="BU579" s="1138">
        <f>+BU580+BU581</f>
        <v>-73.187431594308649</v>
      </c>
      <c r="BV579" s="1138">
        <f>+BV580+BV581</f>
        <v>-134.55101509630398</v>
      </c>
      <c r="BW579" s="1138">
        <f>+BW580+BW581</f>
        <v>-41.535528864781092</v>
      </c>
      <c r="BX579" s="1140">
        <f>SUM(BT579:BW579)</f>
        <v>-257.48346357793952</v>
      </c>
      <c r="BY579" s="1138"/>
      <c r="BZ579" s="1138"/>
      <c r="CA579" s="1138"/>
      <c r="CB579" s="1138"/>
      <c r="CC579" s="1960"/>
      <c r="CD579" s="1137">
        <f>+CD580+CD581</f>
        <v>0</v>
      </c>
      <c r="CE579" s="1138">
        <f>+CE580+CE581</f>
        <v>0</v>
      </c>
      <c r="CF579" s="1138">
        <f>+CF580+CF581</f>
        <v>0</v>
      </c>
      <c r="CG579" s="1138">
        <f>+CG580+CG581</f>
        <v>0</v>
      </c>
      <c r="CH579" s="1140">
        <f>SUM(CD579:CG579)</f>
        <v>0</v>
      </c>
      <c r="CI579" s="1137">
        <f>+CI580+CI581</f>
        <v>0</v>
      </c>
      <c r="CJ579" s="1138">
        <f>+CJ580+CJ581</f>
        <v>0</v>
      </c>
      <c r="CK579" s="1138">
        <f>+CK580+CK581</f>
        <v>0</v>
      </c>
      <c r="CL579" s="1138">
        <f>+CL580+CL581</f>
        <v>0</v>
      </c>
      <c r="CM579" s="1140">
        <f>SUM(CI579:CL579)</f>
        <v>0</v>
      </c>
      <c r="CN579" s="1137">
        <f>+CN580+CN581</f>
        <v>0</v>
      </c>
      <c r="CO579" s="1138">
        <f>+CO580+CO581</f>
        <v>0</v>
      </c>
      <c r="CP579" s="1138">
        <f>+CP580+CP581</f>
        <v>0</v>
      </c>
      <c r="CQ579" s="1138">
        <f>+CQ580+CQ581</f>
        <v>0</v>
      </c>
      <c r="CR579" s="1140">
        <f>SUM(CN579:CQ579)</f>
        <v>0</v>
      </c>
      <c r="CS579" s="1137">
        <f>+CS580+CS581</f>
        <v>0</v>
      </c>
      <c r="CT579" s="1138">
        <f>+CT580+CT581</f>
        <v>0</v>
      </c>
      <c r="CU579" s="1138">
        <f>+CU580+CU581</f>
        <v>0</v>
      </c>
      <c r="CV579" s="1138">
        <f>+CV580+CV581</f>
        <v>0</v>
      </c>
      <c r="CW579" s="1140">
        <f>SUM(CS579:CV579)</f>
        <v>0</v>
      </c>
      <c r="CX579" s="1137">
        <f>+CX580+CX581</f>
        <v>0</v>
      </c>
      <c r="CY579" s="1138">
        <f>+CY580+CY581</f>
        <v>0</v>
      </c>
      <c r="CZ579" s="1138">
        <f>+CZ580+CZ581</f>
        <v>0</v>
      </c>
      <c r="DA579" s="1138">
        <f>+DA580+DA581</f>
        <v>0</v>
      </c>
      <c r="DB579" s="1140">
        <f>SUM(CX579:DA579)</f>
        <v>0</v>
      </c>
      <c r="DC579" s="1137">
        <f>+DC580+DC581</f>
        <v>0</v>
      </c>
      <c r="DD579" s="1138">
        <f>+DD580+DD581</f>
        <v>0</v>
      </c>
      <c r="DE579" s="1138">
        <f>+DE580+DE581</f>
        <v>0</v>
      </c>
      <c r="DF579" s="1138">
        <f>+DF580+DF581</f>
        <v>-85.441490986862192</v>
      </c>
      <c r="DG579" s="1140">
        <f>SUM(DC579:DF579)</f>
        <v>-85.441490986862192</v>
      </c>
      <c r="DH579" s="1137">
        <f>+DH580+DH581</f>
        <v>-140.21409504939598</v>
      </c>
      <c r="DI579" s="1138">
        <f>+DI580+DI581</f>
        <v>-149.47465591618737</v>
      </c>
      <c r="DJ579" s="1138">
        <f>+DJ580+DJ581</f>
        <v>-54.456159411343492</v>
      </c>
      <c r="DK579" s="1138">
        <f>+DK580+DK581</f>
        <v>-42.678936516549108</v>
      </c>
      <c r="DL579" s="1140">
        <f>SUM(DH579:DK579)</f>
        <v>-386.823846893476</v>
      </c>
      <c r="DM579" s="1137"/>
      <c r="DN579" s="1138"/>
      <c r="DO579" s="1138"/>
      <c r="DP579" s="1138"/>
      <c r="DQ579" s="1140"/>
      <c r="DR579" s="1138"/>
      <c r="DS579" s="1138"/>
      <c r="DT579" s="1138"/>
      <c r="DU579" s="1138"/>
      <c r="DV579" s="1140"/>
      <c r="DW579" s="1138"/>
      <c r="DX579" s="1138"/>
      <c r="DY579" s="1138"/>
      <c r="DZ579" s="1138"/>
      <c r="EA579" s="1140"/>
      <c r="EB579" s="1138"/>
      <c r="EC579" s="1138"/>
      <c r="ED579" s="1138"/>
      <c r="EE579" s="1138"/>
      <c r="EF579" s="1140"/>
      <c r="EG579" s="1138"/>
      <c r="EH579" s="1138"/>
      <c r="EI579" s="1138"/>
      <c r="EJ579" s="1138"/>
      <c r="EK579" s="1140"/>
      <c r="EL579" s="1138"/>
      <c r="EM579" s="1138"/>
      <c r="EN579" s="1138"/>
      <c r="EO579" s="1138"/>
      <c r="EP579" s="1140"/>
      <c r="EQ579" s="1138"/>
      <c r="ER579" s="1138"/>
      <c r="ES579" s="1138"/>
      <c r="ET579" s="1138"/>
      <c r="EU579" s="1140"/>
      <c r="EV579" s="1140"/>
      <c r="EW579" s="1140"/>
      <c r="EX579" s="1140"/>
      <c r="EY579" s="1140"/>
      <c r="EZ579" s="175"/>
      <c r="FA579" s="4271"/>
      <c r="FB579" s="4271"/>
    </row>
    <row r="580" spans="1:158" s="180" customFormat="1" ht="11.25" hidden="1" customHeight="1">
      <c r="A580" s="2367" t="s">
        <v>498</v>
      </c>
      <c r="B580" s="1137"/>
      <c r="C580" s="1138"/>
      <c r="D580" s="1138"/>
      <c r="E580" s="1147"/>
      <c r="F580" s="1148"/>
      <c r="G580" s="1137"/>
      <c r="H580" s="1138"/>
      <c r="I580" s="1138"/>
      <c r="J580" s="1138"/>
      <c r="K580" s="1140"/>
      <c r="L580" s="1138"/>
      <c r="M580" s="1138"/>
      <c r="N580" s="1138"/>
      <c r="O580" s="1138"/>
      <c r="P580" s="1140"/>
      <c r="Q580" s="1137"/>
      <c r="R580" s="1138"/>
      <c r="S580" s="1138"/>
      <c r="T580" s="1138"/>
      <c r="U580" s="1140"/>
      <c r="V580" s="1137"/>
      <c r="W580" s="1138"/>
      <c r="X580" s="1138"/>
      <c r="Y580" s="1138"/>
      <c r="Z580" s="1140"/>
      <c r="AA580" s="1137"/>
      <c r="AB580" s="1138"/>
      <c r="AC580" s="1138"/>
      <c r="AD580" s="1138"/>
      <c r="AE580" s="1140"/>
      <c r="AF580" s="1137"/>
      <c r="AG580" s="1138"/>
      <c r="AH580" s="1138"/>
      <c r="AI580" s="1138"/>
      <c r="AJ580" s="1140"/>
      <c r="AK580" s="1137"/>
      <c r="AL580" s="1138"/>
      <c r="AM580" s="1138"/>
      <c r="AN580" s="1138"/>
      <c r="AO580" s="1140"/>
      <c r="AP580" s="1137"/>
      <c r="AQ580" s="1138"/>
      <c r="AR580" s="1138"/>
      <c r="AS580" s="1138"/>
      <c r="AT580" s="1140"/>
      <c r="AU580" s="1137">
        <f>AU560*AU$212</f>
        <v>65.676370597004293</v>
      </c>
      <c r="AV580" s="1138">
        <f>AV560*AV$212</f>
        <v>76.854757367512207</v>
      </c>
      <c r="AW580" s="1138">
        <f>AW560*AW$212</f>
        <v>50.928845843940636</v>
      </c>
      <c r="AX580" s="1138">
        <f>AX560*AX$212</f>
        <v>-79.013035476478834</v>
      </c>
      <c r="AY580" s="1140">
        <f>SUM(AU580:AX580)</f>
        <v>114.44693833197827</v>
      </c>
      <c r="AZ580" s="1137">
        <f>AZ560*AZ$212</f>
        <v>-127.55877538350951</v>
      </c>
      <c r="BA580" s="1138">
        <f>BA560*BA$212</f>
        <v>-151.49648816554063</v>
      </c>
      <c r="BB580" s="1138">
        <f>BB560*BB$212</f>
        <v>-89.971023664007731</v>
      </c>
      <c r="BC580" s="1138">
        <f>BC560*BC$212</f>
        <v>60.025795701865114</v>
      </c>
      <c r="BD580" s="1140">
        <f>SUM(AZ580:BC580)</f>
        <v>-309.00049151119282</v>
      </c>
      <c r="BE580" s="1137">
        <f>BE560*BE$212</f>
        <v>72.725018450184507</v>
      </c>
      <c r="BF580" s="1138">
        <f>BF560*BF$212</f>
        <v>7.2598240469208211</v>
      </c>
      <c r="BG580" s="1138">
        <f>BG560*BG$212</f>
        <v>-51.006176228383197</v>
      </c>
      <c r="BH580" s="1138">
        <f>BH560*BH$212</f>
        <v>-39.021327014218009</v>
      </c>
      <c r="BI580" s="1140">
        <f>SUM(BE580:BH580)</f>
        <v>-10.042660745495873</v>
      </c>
      <c r="BJ580" s="1137">
        <f>BJ560*BJ$212</f>
        <v>6.5097376093294459</v>
      </c>
      <c r="BK580" s="1138">
        <f>BK560*BK$212</f>
        <v>114.76046975404387</v>
      </c>
      <c r="BL580" s="1138">
        <f>BL560*BL$212</f>
        <v>128.94907407407408</v>
      </c>
      <c r="BM580" s="1138">
        <f>BM560*BM$212</f>
        <v>10.612244897959185</v>
      </c>
      <c r="BN580" s="1140">
        <f>SUM(BJ580:BM580)</f>
        <v>260.83152633540658</v>
      </c>
      <c r="BO580" s="1138"/>
      <c r="BP580" s="1138"/>
      <c r="BQ580" s="1138"/>
      <c r="BR580" s="1138"/>
      <c r="BS580" s="1960"/>
      <c r="BT580" s="1137">
        <f>BT560*BT$212</f>
        <v>-18.33452325035228</v>
      </c>
      <c r="BU580" s="1138">
        <f>BU560*BU$212</f>
        <v>-95.225282743524261</v>
      </c>
      <c r="BV580" s="1138">
        <f>BV560*BV$212</f>
        <v>-151.40386951240671</v>
      </c>
      <c r="BW580" s="1138">
        <f>BW560*BW$212</f>
        <v>-51.386904300658657</v>
      </c>
      <c r="BX580" s="1140">
        <f>SUM(BT580:BW580)</f>
        <v>-316.35057980694194</v>
      </c>
      <c r="BY580" s="1138"/>
      <c r="BZ580" s="1138"/>
      <c r="CA580" s="1138"/>
      <c r="CB580" s="1138"/>
      <c r="CC580" s="1960"/>
      <c r="CD580" s="1137">
        <f>CD560*CD$212</f>
        <v>0</v>
      </c>
      <c r="CE580" s="1138">
        <f>CE560*CE$212</f>
        <v>0</v>
      </c>
      <c r="CF580" s="1138">
        <f>CF560*CF$212</f>
        <v>0</v>
      </c>
      <c r="CG580" s="1138">
        <f>CG560*CG$212</f>
        <v>0</v>
      </c>
      <c r="CH580" s="1140">
        <f>SUM(CD580:CG580)</f>
        <v>0</v>
      </c>
      <c r="CI580" s="1137">
        <f>CI560*CI$212</f>
        <v>0</v>
      </c>
      <c r="CJ580" s="1138">
        <f>CJ560*CJ$212</f>
        <v>0</v>
      </c>
      <c r="CK580" s="1138">
        <f>CK560*CK$212</f>
        <v>0</v>
      </c>
      <c r="CL580" s="1138">
        <f>CL560*CL$212</f>
        <v>0</v>
      </c>
      <c r="CM580" s="1140">
        <f>SUM(CI580:CL580)</f>
        <v>0</v>
      </c>
      <c r="CN580" s="1137">
        <f>CN560*CN$212</f>
        <v>0</v>
      </c>
      <c r="CO580" s="1138">
        <f>CO560*CO$212</f>
        <v>0</v>
      </c>
      <c r="CP580" s="1138">
        <f>CP560*CP$212</f>
        <v>0</v>
      </c>
      <c r="CQ580" s="1138">
        <f>CQ560*CQ$212</f>
        <v>0</v>
      </c>
      <c r="CR580" s="1140">
        <f>SUM(CN580:CQ580)</f>
        <v>0</v>
      </c>
      <c r="CS580" s="1137">
        <f>CS560*CS$212</f>
        <v>0</v>
      </c>
      <c r="CT580" s="1138">
        <f>CT560*CT$212</f>
        <v>0</v>
      </c>
      <c r="CU580" s="1138">
        <f>CU560*CU$212</f>
        <v>0</v>
      </c>
      <c r="CV580" s="1138">
        <f>CV560*CV$212</f>
        <v>0</v>
      </c>
      <c r="CW580" s="1140">
        <f>SUM(CS580:CV580)</f>
        <v>0</v>
      </c>
      <c r="CX580" s="1137">
        <f>CX560*CX$212</f>
        <v>0</v>
      </c>
      <c r="CY580" s="1138">
        <f>CY560*CY$212</f>
        <v>0</v>
      </c>
      <c r="CZ580" s="1138">
        <f>CZ560*CZ$212</f>
        <v>0</v>
      </c>
      <c r="DA580" s="1138">
        <f>DA560*DA$212</f>
        <v>0</v>
      </c>
      <c r="DB580" s="1140">
        <f>SUM(CX580:DA580)</f>
        <v>0</v>
      </c>
      <c r="DC580" s="1137">
        <f>DC560*DC$212</f>
        <v>0</v>
      </c>
      <c r="DD580" s="1138">
        <f>DD560*DD$212</f>
        <v>0</v>
      </c>
      <c r="DE580" s="1138">
        <f>DE560*DE$212</f>
        <v>0</v>
      </c>
      <c r="DF580" s="1138">
        <f>DF560*DF$212</f>
        <v>-103.09939912414706</v>
      </c>
      <c r="DG580" s="1140">
        <f>SUM(DC580:DF580)</f>
        <v>-103.09939912414706</v>
      </c>
      <c r="DH580" s="1137">
        <f>DH560*DH$212</f>
        <v>-159.12091692121413</v>
      </c>
      <c r="DI580" s="1138">
        <f>DI560*DI$212</f>
        <v>-164.03125000000003</v>
      </c>
      <c r="DJ580" s="1138">
        <f>DJ560*DJ$212</f>
        <v>-69.88540457789081</v>
      </c>
      <c r="DK580" s="1138">
        <f>DK560*DK$212</f>
        <v>-54.592381985892573</v>
      </c>
      <c r="DL580" s="1140">
        <f>SUM(DH580:DK580)</f>
        <v>-447.6299534849976</v>
      </c>
      <c r="DM580" s="1137"/>
      <c r="DN580" s="1138"/>
      <c r="DO580" s="1138"/>
      <c r="DP580" s="1138"/>
      <c r="DQ580" s="1140"/>
      <c r="DR580" s="1138"/>
      <c r="DS580" s="1138"/>
      <c r="DT580" s="1138"/>
      <c r="DU580" s="1138"/>
      <c r="DV580" s="1140"/>
      <c r="DW580" s="1138"/>
      <c r="DX580" s="1138"/>
      <c r="DY580" s="1138"/>
      <c r="DZ580" s="1138"/>
      <c r="EA580" s="1140"/>
      <c r="EB580" s="1138"/>
      <c r="EC580" s="1138"/>
      <c r="ED580" s="1138"/>
      <c r="EE580" s="1138"/>
      <c r="EF580" s="1140"/>
      <c r="EG580" s="1138"/>
      <c r="EH580" s="1138"/>
      <c r="EI580" s="1138"/>
      <c r="EJ580" s="1138"/>
      <c r="EK580" s="1140"/>
      <c r="EL580" s="1138"/>
      <c r="EM580" s="1138"/>
      <c r="EN580" s="1138"/>
      <c r="EO580" s="1138"/>
      <c r="EP580" s="1140"/>
      <c r="EQ580" s="1138"/>
      <c r="ER580" s="1138"/>
      <c r="ES580" s="1138"/>
      <c r="ET580" s="1138"/>
      <c r="EU580" s="1140"/>
      <c r="EV580" s="1140"/>
      <c r="EW580" s="1140"/>
      <c r="EX580" s="1140"/>
      <c r="EY580" s="1140"/>
      <c r="EZ580" s="175"/>
      <c r="FA580" s="4271"/>
      <c r="FB580" s="4271"/>
    </row>
    <row r="581" spans="1:158" s="180" customFormat="1" ht="11.25" hidden="1" customHeight="1">
      <c r="A581" s="2367" t="s">
        <v>499</v>
      </c>
      <c r="B581" s="1137"/>
      <c r="C581" s="1138"/>
      <c r="D581" s="1138"/>
      <c r="E581" s="1147"/>
      <c r="F581" s="1148"/>
      <c r="G581" s="1137"/>
      <c r="H581" s="1138"/>
      <c r="I581" s="1138"/>
      <c r="J581" s="1138"/>
      <c r="K581" s="1140"/>
      <c r="L581" s="1138"/>
      <c r="M581" s="1138"/>
      <c r="N581" s="1138"/>
      <c r="O581" s="1138"/>
      <c r="P581" s="1140"/>
      <c r="Q581" s="1137"/>
      <c r="R581" s="1138"/>
      <c r="S581" s="1138"/>
      <c r="T581" s="1138"/>
      <c r="U581" s="1140"/>
      <c r="V581" s="1137"/>
      <c r="W581" s="1138"/>
      <c r="X581" s="1138"/>
      <c r="Y581" s="1138"/>
      <c r="Z581" s="1140"/>
      <c r="AA581" s="1137"/>
      <c r="AB581" s="1138"/>
      <c r="AC581" s="1138"/>
      <c r="AD581" s="1138"/>
      <c r="AE581" s="1140"/>
      <c r="AF581" s="1137"/>
      <c r="AG581" s="1138"/>
      <c r="AH581" s="1138"/>
      <c r="AI581" s="1138"/>
      <c r="AJ581" s="1140"/>
      <c r="AK581" s="1137"/>
      <c r="AL581" s="1138"/>
      <c r="AM581" s="1138"/>
      <c r="AN581" s="1138"/>
      <c r="AO581" s="1140"/>
      <c r="AP581" s="1137"/>
      <c r="AQ581" s="1138"/>
      <c r="AR581" s="1138"/>
      <c r="AS581" s="1138"/>
      <c r="AT581" s="1140"/>
      <c r="AU581" s="1137">
        <f>AU560*AU$214</f>
        <v>0</v>
      </c>
      <c r="AV581" s="1138">
        <f>AV560*AV$214</f>
        <v>1.480348456517089</v>
      </c>
      <c r="AW581" s="1138">
        <f>AW560*AW$214</f>
        <v>10.367657903945059</v>
      </c>
      <c r="AX581" s="1138">
        <f>AX560*AX$214</f>
        <v>38.288647642549329</v>
      </c>
      <c r="AY581" s="1140">
        <f>SUM(AU581:AX581)</f>
        <v>50.136654003011472</v>
      </c>
      <c r="AZ581" s="1137">
        <f>AZ560*AZ$214</f>
        <v>45.790329624849569</v>
      </c>
      <c r="BA581" s="1138">
        <f>BA560*BA$214</f>
        <v>37.797916564440719</v>
      </c>
      <c r="BB581" s="1138">
        <f>BB560*BB$214</f>
        <v>11.814376844768693</v>
      </c>
      <c r="BC581" s="1138">
        <f>BC560*BC$214</f>
        <v>2.4500324776271474</v>
      </c>
      <c r="BD581" s="1140">
        <f>SUM(AZ581:BC581)</f>
        <v>97.852655511686123</v>
      </c>
      <c r="BE581" s="1137">
        <f>BE560*BE$214</f>
        <v>3.0051660516605168</v>
      </c>
      <c r="BF581" s="1138">
        <f>BF560*BF$214</f>
        <v>23.896920821114371</v>
      </c>
      <c r="BG581" s="1138">
        <f>BG560*BG$214</f>
        <v>26.861240735657425</v>
      </c>
      <c r="BH581" s="1138">
        <f>BH560*BH$214</f>
        <v>7.3904028436018958</v>
      </c>
      <c r="BI581" s="1140">
        <f>SUM(BE581:BH581)</f>
        <v>61.15373045203421</v>
      </c>
      <c r="BJ581" s="1137">
        <f>BJ560*BJ$214</f>
        <v>3.9624489795918363</v>
      </c>
      <c r="BK581" s="1138">
        <f>BK560*BK$214</f>
        <v>1.1008198537558165</v>
      </c>
      <c r="BL581" s="1138">
        <f>BL560*BL$214</f>
        <v>0.26697530864197533</v>
      </c>
      <c r="BM581" s="1138">
        <f>BM560*BM$214</f>
        <v>6.8027210884353746</v>
      </c>
      <c r="BN581" s="1140">
        <f>SUM(BJ581:BM581)</f>
        <v>12.132965230425004</v>
      </c>
      <c r="BO581" s="1138"/>
      <c r="BP581" s="1138"/>
      <c r="BQ581" s="1138"/>
      <c r="BR581" s="1138"/>
      <c r="BS581" s="1960"/>
      <c r="BT581" s="1137">
        <f>BT560*BT$214</f>
        <v>10.125035227806482</v>
      </c>
      <c r="BU581" s="1138">
        <f>BU560*BU$214</f>
        <v>22.037851149215616</v>
      </c>
      <c r="BV581" s="1138">
        <f>BV560*BV$214</f>
        <v>16.852854416102723</v>
      </c>
      <c r="BW581" s="1138">
        <f>BW560*BW$214</f>
        <v>9.851375435877566</v>
      </c>
      <c r="BX581" s="1140">
        <f>SUM(BT581:BW581)</f>
        <v>58.867116229002384</v>
      </c>
      <c r="BY581" s="1138"/>
      <c r="BZ581" s="1138"/>
      <c r="CA581" s="1138"/>
      <c r="CB581" s="1138"/>
      <c r="CC581" s="1960"/>
      <c r="CD581" s="1137">
        <f>CD560*CD$214</f>
        <v>0</v>
      </c>
      <c r="CE581" s="1138">
        <f>CE560*CE$214</f>
        <v>0</v>
      </c>
      <c r="CF581" s="1138">
        <f>CF560*CF$214</f>
        <v>0</v>
      </c>
      <c r="CG581" s="1138">
        <f>CG560*CG$214</f>
        <v>0</v>
      </c>
      <c r="CH581" s="1140">
        <f>SUM(CD581:CG581)</f>
        <v>0</v>
      </c>
      <c r="CI581" s="1137">
        <f>CI560*CI$214</f>
        <v>0</v>
      </c>
      <c r="CJ581" s="1138">
        <f>CJ560*CJ$214</f>
        <v>0</v>
      </c>
      <c r="CK581" s="1138">
        <f>CK560*CK$214</f>
        <v>0</v>
      </c>
      <c r="CL581" s="1138">
        <f>CL560*CL$214</f>
        <v>0</v>
      </c>
      <c r="CM581" s="1140">
        <f>SUM(CI581:CL581)</f>
        <v>0</v>
      </c>
      <c r="CN581" s="1137">
        <f>CN560*CN$214</f>
        <v>0</v>
      </c>
      <c r="CO581" s="1138">
        <f>CO560*CO$214</f>
        <v>0</v>
      </c>
      <c r="CP581" s="1138">
        <f>CP560*CP$214</f>
        <v>0</v>
      </c>
      <c r="CQ581" s="1138">
        <f>CQ560*CQ$214</f>
        <v>0</v>
      </c>
      <c r="CR581" s="1140">
        <f>SUM(CN581:CQ581)</f>
        <v>0</v>
      </c>
      <c r="CS581" s="1137">
        <f>CS560*CS$214</f>
        <v>0</v>
      </c>
      <c r="CT581" s="1138">
        <f>CT560*CT$214</f>
        <v>0</v>
      </c>
      <c r="CU581" s="1138">
        <f>CU560*CU$214</f>
        <v>0</v>
      </c>
      <c r="CV581" s="1138">
        <f>CV560*CV$214</f>
        <v>0</v>
      </c>
      <c r="CW581" s="1140">
        <f>SUM(CS581:CV581)</f>
        <v>0</v>
      </c>
      <c r="CX581" s="1137">
        <f>CX560*CX$214</f>
        <v>0</v>
      </c>
      <c r="CY581" s="1138">
        <f>CY560*CY$214</f>
        <v>0</v>
      </c>
      <c r="CZ581" s="1138">
        <f>CZ560*CZ$214</f>
        <v>0</v>
      </c>
      <c r="DA581" s="1138">
        <f>DA560*DA$214</f>
        <v>0</v>
      </c>
      <c r="DB581" s="1140">
        <f>SUM(CX581:DA581)</f>
        <v>0</v>
      </c>
      <c r="DC581" s="1137">
        <f>DC560*DC$214</f>
        <v>0</v>
      </c>
      <c r="DD581" s="1138">
        <f>DD560*DD$214</f>
        <v>0</v>
      </c>
      <c r="DE581" s="1138">
        <f>DE560*DE$214</f>
        <v>0</v>
      </c>
      <c r="DF581" s="1138">
        <f>DF560*DF$214</f>
        <v>17.657908137284856</v>
      </c>
      <c r="DG581" s="1140">
        <f>SUM(DC581:DF581)</f>
        <v>17.657908137284856</v>
      </c>
      <c r="DH581" s="1137">
        <f>DH560*DH$214</f>
        <v>18.906821871818156</v>
      </c>
      <c r="DI581" s="1138">
        <f>DI560*DI$214</f>
        <v>14.556594083812655</v>
      </c>
      <c r="DJ581" s="1138">
        <f>DJ560*DJ$214</f>
        <v>15.429245166547322</v>
      </c>
      <c r="DK581" s="1138">
        <f>DK560*DK$214</f>
        <v>11.913445469343463</v>
      </c>
      <c r="DL581" s="1140">
        <f>SUM(DH581:DK581)</f>
        <v>60.806106591521591</v>
      </c>
      <c r="DM581" s="1137"/>
      <c r="DN581" s="1138"/>
      <c r="DO581" s="1138"/>
      <c r="DP581" s="1138"/>
      <c r="DQ581" s="1140"/>
      <c r="DR581" s="1138"/>
      <c r="DS581" s="1138"/>
      <c r="DT581" s="1138"/>
      <c r="DU581" s="1138"/>
      <c r="DV581" s="1140"/>
      <c r="DW581" s="1138"/>
      <c r="DX581" s="1138"/>
      <c r="DY581" s="1138"/>
      <c r="DZ581" s="1138"/>
      <c r="EA581" s="1140"/>
      <c r="EB581" s="1138"/>
      <c r="EC581" s="1138"/>
      <c r="ED581" s="1138"/>
      <c r="EE581" s="1138"/>
      <c r="EF581" s="1140"/>
      <c r="EG581" s="1138"/>
      <c r="EH581" s="1138"/>
      <c r="EI581" s="1138"/>
      <c r="EJ581" s="1138"/>
      <c r="EK581" s="1140"/>
      <c r="EL581" s="1138"/>
      <c r="EM581" s="1138"/>
      <c r="EN581" s="1138"/>
      <c r="EO581" s="1138"/>
      <c r="EP581" s="1140"/>
      <c r="EQ581" s="1138"/>
      <c r="ER581" s="1138"/>
      <c r="ES581" s="1138"/>
      <c r="ET581" s="1138"/>
      <c r="EU581" s="1140"/>
      <c r="EV581" s="1140"/>
      <c r="EW581" s="1140"/>
      <c r="EX581" s="1140"/>
      <c r="EY581" s="1140"/>
      <c r="EZ581" s="175"/>
      <c r="FA581" s="4271"/>
      <c r="FB581" s="4271"/>
    </row>
    <row r="582" spans="1:158" s="180" customFormat="1" ht="11.25" hidden="1" customHeight="1">
      <c r="A582" s="2367" t="s">
        <v>502</v>
      </c>
      <c r="B582" s="1137"/>
      <c r="C582" s="1138"/>
      <c r="D582" s="1138"/>
      <c r="E582" s="1147"/>
      <c r="F582" s="1148"/>
      <c r="G582" s="1137"/>
      <c r="H582" s="1138"/>
      <c r="I582" s="1138"/>
      <c r="J582" s="1138"/>
      <c r="K582" s="1140"/>
      <c r="L582" s="1138"/>
      <c r="M582" s="1138"/>
      <c r="N582" s="1138"/>
      <c r="O582" s="1138"/>
      <c r="P582" s="1140"/>
      <c r="Q582" s="1137"/>
      <c r="R582" s="1138"/>
      <c r="S582" s="1138"/>
      <c r="T582" s="1138"/>
      <c r="U582" s="1140"/>
      <c r="V582" s="1137"/>
      <c r="W582" s="1138"/>
      <c r="X582" s="1138"/>
      <c r="Y582" s="1138"/>
      <c r="Z582" s="1140"/>
      <c r="AA582" s="1137"/>
      <c r="AB582" s="1138"/>
      <c r="AC582" s="1138"/>
      <c r="AD582" s="1138"/>
      <c r="AE582" s="1140"/>
      <c r="AF582" s="1137"/>
      <c r="AG582" s="1138"/>
      <c r="AH582" s="1138"/>
      <c r="AI582" s="1138"/>
      <c r="AJ582" s="1140"/>
      <c r="AK582" s="1137"/>
      <c r="AL582" s="1138"/>
      <c r="AM582" s="1138"/>
      <c r="AN582" s="1138"/>
      <c r="AO582" s="1140"/>
      <c r="AP582" s="1137"/>
      <c r="AQ582" s="1138"/>
      <c r="AR582" s="1138"/>
      <c r="AS582" s="1138"/>
      <c r="AT582" s="1140"/>
      <c r="AU582" s="1137">
        <f>AU576-AU579</f>
        <v>1620.4646294029958</v>
      </c>
      <c r="AV582" s="1138">
        <f>AV576-AV579</f>
        <v>1576.9448941759706</v>
      </c>
      <c r="AW582" s="1138">
        <f>AW576-AW579</f>
        <v>1618.5644962521144</v>
      </c>
      <c r="AX582" s="1138">
        <f>AX576-AX579</f>
        <v>1734.1293878339295</v>
      </c>
      <c r="AY582" s="1140">
        <f>SUM(AU582:AX582)</f>
        <v>6550.1034076650103</v>
      </c>
      <c r="AZ582" s="1137">
        <f>AZ576-AZ579</f>
        <v>1719.8104457586599</v>
      </c>
      <c r="BA582" s="1138">
        <f>BA576-BA579</f>
        <v>1797.1985716011</v>
      </c>
      <c r="BB582" s="1138">
        <f>BB576-BB579</f>
        <v>1879.0466468192392</v>
      </c>
      <c r="BC582" s="1138">
        <f>BC576-BC579</f>
        <v>1981.4101718205077</v>
      </c>
      <c r="BD582" s="1140">
        <f>SUM(AZ582:BC582)</f>
        <v>7377.4658359995065</v>
      </c>
      <c r="BE582" s="1137">
        <f>BE576-BE579</f>
        <v>1960.2698154981549</v>
      </c>
      <c r="BF582" s="1138">
        <f>BF576-BF579</f>
        <v>2031.8432551319647</v>
      </c>
      <c r="BG582" s="1138">
        <f>BG576-BG579</f>
        <v>2223.1449354927258</v>
      </c>
      <c r="BH582" s="1138">
        <f>BH576-BH579</f>
        <v>2526.6309241706163</v>
      </c>
      <c r="BI582" s="1140">
        <f>SUM(BE582:BH582)</f>
        <v>8741.8889302934622</v>
      </c>
      <c r="BJ582" s="1137">
        <f>BJ576-BJ579</f>
        <v>2416.5278134110786</v>
      </c>
      <c r="BK582" s="1138">
        <f>BK576-BK579</f>
        <v>2368.1387103922002</v>
      </c>
      <c r="BL582" s="1138">
        <f>BL576-BL579</f>
        <v>2465.7839506172841</v>
      </c>
      <c r="BM582" s="1138">
        <f>BM576-BM579</f>
        <v>2862.5850340136053</v>
      </c>
      <c r="BN582" s="1140">
        <f>SUM(BJ582:BM582)</f>
        <v>10113.035508434168</v>
      </c>
      <c r="BO582" s="1138"/>
      <c r="BP582" s="1138"/>
      <c r="BQ582" s="1138"/>
      <c r="BR582" s="1138"/>
      <c r="BS582" s="1960"/>
      <c r="BT582" s="1137">
        <f>BT576-BT579</f>
        <v>2921.2094880225459</v>
      </c>
      <c r="BU582" s="1138">
        <f>BU576-BU579</f>
        <v>3056.1874315943087</v>
      </c>
      <c r="BV582" s="1138">
        <f>BV576-BV579</f>
        <v>3267.5510150963041</v>
      </c>
      <c r="BW582" s="1138">
        <f>BW576-BW579</f>
        <v>3477.5355288647811</v>
      </c>
      <c r="BX582" s="1140">
        <f>SUM(BT582:BW582)</f>
        <v>12722.483463577939</v>
      </c>
      <c r="BY582" s="1138"/>
      <c r="BZ582" s="1138"/>
      <c r="CA582" s="1138"/>
      <c r="CB582" s="1138"/>
      <c r="CC582" s="1960"/>
      <c r="CD582" s="1137">
        <f>CD576-CD579</f>
        <v>3391</v>
      </c>
      <c r="CE582" s="1138">
        <f>CE576-CE579</f>
        <v>3314</v>
      </c>
      <c r="CF582" s="1138">
        <f>CF576-CF579</f>
        <v>3277</v>
      </c>
      <c r="CG582" s="1138">
        <f>CG576-CG579</f>
        <v>3668</v>
      </c>
      <c r="CH582" s="1140">
        <f>SUM(CD582:CG582)</f>
        <v>13650</v>
      </c>
      <c r="CI582" s="1137">
        <f>CI576-CI579</f>
        <v>3528</v>
      </c>
      <c r="CJ582" s="1138">
        <f>CJ576-CJ579</f>
        <v>3563</v>
      </c>
      <c r="CK582" s="1138">
        <f>CK576-CK579</f>
        <v>3568</v>
      </c>
      <c r="CL582" s="1138">
        <f>CL576-CL579</f>
        <v>3880</v>
      </c>
      <c r="CM582" s="1140">
        <f>SUM(CI582:CL582)</f>
        <v>14539</v>
      </c>
      <c r="CN582" s="1137">
        <f>CN576-CN579</f>
        <v>3576</v>
      </c>
      <c r="CO582" s="1138">
        <f>CO576-CO579</f>
        <v>3621</v>
      </c>
      <c r="CP582" s="1138">
        <f>CP576-CP579</f>
        <v>3694</v>
      </c>
      <c r="CQ582" s="1138">
        <f>CQ576-CQ579</f>
        <v>4142</v>
      </c>
      <c r="CR582" s="1140">
        <f>SUM(CN582:CQ582)</f>
        <v>15033</v>
      </c>
      <c r="CS582" s="1137">
        <f>CS576-CS579</f>
        <v>3692</v>
      </c>
      <c r="CT582" s="1138">
        <f>CT576-CT579</f>
        <v>3743</v>
      </c>
      <c r="CU582" s="1138">
        <f>CU576-CU579</f>
        <v>3732</v>
      </c>
      <c r="CV582" s="1138">
        <f>CV576-CV579</f>
        <v>4431</v>
      </c>
      <c r="CW582" s="1140">
        <f>SUM(CS582:CV582)</f>
        <v>15598</v>
      </c>
      <c r="CX582" s="1137">
        <f>CX576-CX579</f>
        <v>4008</v>
      </c>
      <c r="CY582" s="1138">
        <f>CY576-CY579</f>
        <v>4247</v>
      </c>
      <c r="CZ582" s="1138">
        <f>CZ576-CZ579</f>
        <v>4342</v>
      </c>
      <c r="DA582" s="1138">
        <f>DA576-DA579</f>
        <v>4990</v>
      </c>
      <c r="DB582" s="1140">
        <f>SUM(CX582:DA582)</f>
        <v>17587</v>
      </c>
      <c r="DC582" s="1137">
        <f>DC576-DC579</f>
        <v>4644</v>
      </c>
      <c r="DD582" s="1138">
        <f>DD576-DD579</f>
        <v>4825</v>
      </c>
      <c r="DE582" s="1138">
        <f>DE576-DE579</f>
        <v>4900</v>
      </c>
      <c r="DF582" s="1138">
        <f>DF576-DF579</f>
        <v>5678.4414909868619</v>
      </c>
      <c r="DG582" s="1140">
        <f>SUM(DC582:DF582)</f>
        <v>20047.441490986861</v>
      </c>
      <c r="DH582" s="1137">
        <f>DH576-DH579</f>
        <v>5155.2140950493958</v>
      </c>
      <c r="DI582" s="1138">
        <f>DI576-DI579</f>
        <v>5398.4746559161877</v>
      </c>
      <c r="DJ582" s="1138">
        <f>DJ576-DJ579</f>
        <v>5305.4561594113438</v>
      </c>
      <c r="DK582" s="1138">
        <f>DK576-DK579</f>
        <v>6074.6789365165487</v>
      </c>
      <c r="DL582" s="1140">
        <f>SUM(DH582:DK582)</f>
        <v>21933.823846893476</v>
      </c>
      <c r="DM582" s="1137"/>
      <c r="DN582" s="1138"/>
      <c r="DO582" s="1138"/>
      <c r="DP582" s="1138"/>
      <c r="DQ582" s="1140"/>
      <c r="DR582" s="1138"/>
      <c r="DS582" s="1138"/>
      <c r="DT582" s="1138"/>
      <c r="DU582" s="1138"/>
      <c r="DV582" s="1140"/>
      <c r="DW582" s="1138"/>
      <c r="DX582" s="1138"/>
      <c r="DY582" s="1138"/>
      <c r="DZ582" s="1138"/>
      <c r="EA582" s="1140"/>
      <c r="EB582" s="1138"/>
      <c r="EC582" s="1138"/>
      <c r="ED582" s="1138"/>
      <c r="EE582" s="1138"/>
      <c r="EF582" s="1140"/>
      <c r="EG582" s="1138"/>
      <c r="EH582" s="1138"/>
      <c r="EI582" s="1138"/>
      <c r="EJ582" s="1138"/>
      <c r="EK582" s="1140"/>
      <c r="EL582" s="1138"/>
      <c r="EM582" s="1138"/>
      <c r="EN582" s="1138"/>
      <c r="EO582" s="1138"/>
      <c r="EP582" s="1140"/>
      <c r="EQ582" s="1138"/>
      <c r="ER582" s="1138"/>
      <c r="ES582" s="1138"/>
      <c r="ET582" s="1138"/>
      <c r="EU582" s="1140"/>
      <c r="EV582" s="1140"/>
      <c r="EW582" s="1140"/>
      <c r="EX582" s="1140"/>
      <c r="EY582" s="1140"/>
      <c r="EZ582" s="175"/>
      <c r="FA582" s="4271"/>
      <c r="FB582" s="4271"/>
    </row>
    <row r="583" spans="1:158" s="180" customFormat="1" ht="11.25" hidden="1" customHeight="1">
      <c r="A583" s="2367" t="s">
        <v>503</v>
      </c>
      <c r="B583" s="1141"/>
      <c r="C583" s="1138"/>
      <c r="D583" s="1138"/>
      <c r="E583" s="1147"/>
      <c r="F583" s="1139"/>
      <c r="G583" s="1141"/>
      <c r="H583" s="1138"/>
      <c r="I583" s="1138"/>
      <c r="J583" s="1138"/>
      <c r="K583" s="1140"/>
      <c r="L583" s="1138"/>
      <c r="M583" s="1138"/>
      <c r="N583" s="1138"/>
      <c r="O583" s="1138"/>
      <c r="P583" s="1140"/>
      <c r="Q583" s="1141"/>
      <c r="R583" s="1138"/>
      <c r="S583" s="1138"/>
      <c r="T583" s="1138"/>
      <c r="U583" s="1140"/>
      <c r="V583" s="1141"/>
      <c r="W583" s="1138"/>
      <c r="X583" s="1138"/>
      <c r="Y583" s="1138"/>
      <c r="Z583" s="1140"/>
      <c r="AA583" s="1141"/>
      <c r="AB583" s="1138"/>
      <c r="AC583" s="1138"/>
      <c r="AD583" s="1138"/>
      <c r="AE583" s="1140"/>
      <c r="AF583" s="1141"/>
      <c r="AG583" s="1138"/>
      <c r="AH583" s="1138"/>
      <c r="AI583" s="1138"/>
      <c r="AJ583" s="1140"/>
      <c r="AK583" s="1141"/>
      <c r="AL583" s="1138"/>
      <c r="AM583" s="1138"/>
      <c r="AN583" s="1138"/>
      <c r="AO583" s="1140"/>
      <c r="AP583" s="1138"/>
      <c r="AQ583" s="1138"/>
      <c r="AR583" s="1138"/>
      <c r="AS583" s="1138"/>
      <c r="AT583" s="1140"/>
      <c r="AU583" s="1138">
        <f>AU576-AU581</f>
        <v>1686.1410000000001</v>
      </c>
      <c r="AV583" s="1138">
        <f>AV576-AV581</f>
        <v>1653.7996515434829</v>
      </c>
      <c r="AW583" s="1138">
        <f>AW576-AW581</f>
        <v>1669.4933420960551</v>
      </c>
      <c r="AX583" s="1138">
        <f>AX576-AX581</f>
        <v>1655.1163523574508</v>
      </c>
      <c r="AY583" s="1140">
        <f>SUM(AU583:AX583)</f>
        <v>6664.5503459969887</v>
      </c>
      <c r="AZ583" s="1138">
        <f>AZ576-AZ581</f>
        <v>1592.2516703751503</v>
      </c>
      <c r="BA583" s="1138">
        <f>BA576-BA581</f>
        <v>1645.7020834355592</v>
      </c>
      <c r="BB583" s="1138">
        <f>BB576-BB581</f>
        <v>1789.0756231552314</v>
      </c>
      <c r="BC583" s="1138">
        <f>BC576-BC581</f>
        <v>2041.4359675223727</v>
      </c>
      <c r="BD583" s="1140">
        <f>SUM(AZ583:BC583)</f>
        <v>7068.4653444883133</v>
      </c>
      <c r="BE583" s="1138">
        <f>BE576-BE581</f>
        <v>2032.9948339483394</v>
      </c>
      <c r="BF583" s="1138">
        <f>BF576-BF581</f>
        <v>2039.1030791788855</v>
      </c>
      <c r="BG583" s="1138">
        <f>BG576-BG581</f>
        <v>2172.1387592643428</v>
      </c>
      <c r="BH583" s="1138">
        <f>BH576-BH581</f>
        <v>2487.6095971563982</v>
      </c>
      <c r="BI583" s="1140">
        <f>SUM(BE583:BH583)</f>
        <v>8731.8462695479648</v>
      </c>
      <c r="BJ583" s="1138">
        <f>BJ576-BJ581</f>
        <v>2423.037551020408</v>
      </c>
      <c r="BK583" s="1138">
        <f>BK576-BK581</f>
        <v>2482.8991801462444</v>
      </c>
      <c r="BL583" s="1138">
        <f>BL576-BL581</f>
        <v>2594.733024691358</v>
      </c>
      <c r="BM583" s="1138">
        <f>BM576-BM581</f>
        <v>2873.1972789115648</v>
      </c>
      <c r="BN583" s="1140">
        <f>SUM(BJ583:BM583)</f>
        <v>10373.867034769575</v>
      </c>
      <c r="BO583" s="1138"/>
      <c r="BP583" s="1138"/>
      <c r="BQ583" s="1138"/>
      <c r="BR583" s="1138"/>
      <c r="BS583" s="1960"/>
      <c r="BT583" s="1138">
        <f>BT576-BT581</f>
        <v>2902.8749647721934</v>
      </c>
      <c r="BU583" s="1138">
        <f>BU576-BU581</f>
        <v>2960.9621488507842</v>
      </c>
      <c r="BV583" s="1138">
        <f>BV576-BV581</f>
        <v>3116.1471455838973</v>
      </c>
      <c r="BW583" s="1138">
        <f>BW576-BW581</f>
        <v>3426.1486245641227</v>
      </c>
      <c r="BX583" s="1140">
        <f>SUM(BT583:BW583)</f>
        <v>12406.132883770997</v>
      </c>
      <c r="BY583" s="1138"/>
      <c r="BZ583" s="1138"/>
      <c r="CA583" s="1138"/>
      <c r="CB583" s="1138"/>
      <c r="CC583" s="1960"/>
      <c r="CD583" s="1138">
        <f>CD576-CD581</f>
        <v>3391</v>
      </c>
      <c r="CE583" s="1138">
        <f>CE576-CE581</f>
        <v>3314</v>
      </c>
      <c r="CF583" s="1138">
        <f>CF576-CF581</f>
        <v>3277</v>
      </c>
      <c r="CG583" s="1138">
        <f>CG576-CG581</f>
        <v>3668</v>
      </c>
      <c r="CH583" s="1140">
        <f>SUM(CD583:CG583)</f>
        <v>13650</v>
      </c>
      <c r="CI583" s="1138">
        <f>CI576-CI581</f>
        <v>3528</v>
      </c>
      <c r="CJ583" s="1138">
        <f>CJ576-CJ581</f>
        <v>3563</v>
      </c>
      <c r="CK583" s="1138">
        <f>CK576-CK581</f>
        <v>3568</v>
      </c>
      <c r="CL583" s="1138">
        <f>CL576-CL581</f>
        <v>3880</v>
      </c>
      <c r="CM583" s="1140">
        <f>SUM(CI583:CL583)</f>
        <v>14539</v>
      </c>
      <c r="CN583" s="1138">
        <f>CN576-CN581</f>
        <v>3576</v>
      </c>
      <c r="CO583" s="1138">
        <f>CO576-CO581</f>
        <v>3621</v>
      </c>
      <c r="CP583" s="1138">
        <f>CP576-CP581</f>
        <v>3694</v>
      </c>
      <c r="CQ583" s="1138">
        <f>CQ576-CQ581</f>
        <v>4142</v>
      </c>
      <c r="CR583" s="1140">
        <f>SUM(CN583:CQ583)</f>
        <v>15033</v>
      </c>
      <c r="CS583" s="1138">
        <f>CS576-CS581</f>
        <v>3692</v>
      </c>
      <c r="CT583" s="1138">
        <f>CT576-CT581</f>
        <v>3743</v>
      </c>
      <c r="CU583" s="1138">
        <f>CU576-CU581</f>
        <v>3732</v>
      </c>
      <c r="CV583" s="1138">
        <f>CV576-CV581</f>
        <v>4431</v>
      </c>
      <c r="CW583" s="1140">
        <f>SUM(CS583:CV583)</f>
        <v>15598</v>
      </c>
      <c r="CX583" s="1138">
        <f>CX576-CX581</f>
        <v>4008</v>
      </c>
      <c r="CY583" s="1138">
        <f>CY576-CY581</f>
        <v>4247</v>
      </c>
      <c r="CZ583" s="1138">
        <f>CZ576-CZ581</f>
        <v>4342</v>
      </c>
      <c r="DA583" s="1138">
        <f>DA576-DA581</f>
        <v>4990</v>
      </c>
      <c r="DB583" s="1140">
        <f>SUM(CX583:DA583)</f>
        <v>17587</v>
      </c>
      <c r="DC583" s="1138">
        <f>DC576-DC581</f>
        <v>4644</v>
      </c>
      <c r="DD583" s="1138">
        <f>DD576-DD581</f>
        <v>4825</v>
      </c>
      <c r="DE583" s="1138">
        <f>DE576-DE581</f>
        <v>4900</v>
      </c>
      <c r="DF583" s="1138">
        <f>DF576-DF581</f>
        <v>5575.3420918627153</v>
      </c>
      <c r="DG583" s="1140">
        <f>SUM(DC583:DF583)</f>
        <v>19944.342091862716</v>
      </c>
      <c r="DH583" s="1138">
        <f>DH576-DH581</f>
        <v>4996.0931781281815</v>
      </c>
      <c r="DI583" s="1138">
        <f>DI576-DI581</f>
        <v>5234.4434059161877</v>
      </c>
      <c r="DJ583" s="1138">
        <f>DJ576-DJ581</f>
        <v>5235.5707548334531</v>
      </c>
      <c r="DK583" s="1138">
        <f>DK576-DK581</f>
        <v>6020.0865545306569</v>
      </c>
      <c r="DL583" s="1140">
        <f>SUM(DH583:DK583)</f>
        <v>21486.193893408483</v>
      </c>
      <c r="DM583" s="1138"/>
      <c r="DN583" s="1138"/>
      <c r="DO583" s="1138"/>
      <c r="DP583" s="1138"/>
      <c r="DQ583" s="1140"/>
      <c r="DR583" s="1138"/>
      <c r="DS583" s="1138"/>
      <c r="DT583" s="1138"/>
      <c r="DU583" s="1138"/>
      <c r="DV583" s="1140"/>
      <c r="DW583" s="1138"/>
      <c r="DX583" s="1138"/>
      <c r="DY583" s="1138"/>
      <c r="DZ583" s="1138"/>
      <c r="EA583" s="1140"/>
      <c r="EB583" s="1138"/>
      <c r="EC583" s="1138"/>
      <c r="ED583" s="1138"/>
      <c r="EE583" s="1138"/>
      <c r="EF583" s="1140"/>
      <c r="EG583" s="1138"/>
      <c r="EH583" s="1138"/>
      <c r="EI583" s="1138"/>
      <c r="EJ583" s="1138"/>
      <c r="EK583" s="1140"/>
      <c r="EL583" s="1138"/>
      <c r="EM583" s="1138"/>
      <c r="EN583" s="1138"/>
      <c r="EO583" s="1138"/>
      <c r="EP583" s="1140"/>
      <c r="EQ583" s="1138"/>
      <c r="ER583" s="1138"/>
      <c r="ES583" s="1138"/>
      <c r="ET583" s="1138"/>
      <c r="EU583" s="1140"/>
      <c r="EV583" s="1140"/>
      <c r="EW583" s="1140"/>
      <c r="EX583" s="1140"/>
      <c r="EY583" s="1140"/>
      <c r="EZ583" s="175"/>
      <c r="FA583" s="4271"/>
      <c r="FB583" s="4271"/>
    </row>
    <row r="584" spans="1:158" s="252" customFormat="1" ht="11.25" hidden="1" customHeight="1">
      <c r="A584" s="2368" t="s">
        <v>21</v>
      </c>
      <c r="B584" s="1149"/>
      <c r="C584" s="1150"/>
      <c r="D584" s="1150"/>
      <c r="E584" s="1150"/>
      <c r="F584" s="1151"/>
      <c r="G584" s="1149"/>
      <c r="H584" s="1150"/>
      <c r="I584" s="1150"/>
      <c r="J584" s="1150"/>
      <c r="K584" s="1154"/>
      <c r="L584" s="1153"/>
      <c r="M584" s="1153"/>
      <c r="N584" s="1153"/>
      <c r="O584" s="1153"/>
      <c r="P584" s="1154"/>
      <c r="Q584" s="1152"/>
      <c r="R584" s="1153"/>
      <c r="S584" s="1153"/>
      <c r="T584" s="1153"/>
      <c r="U584" s="1154"/>
      <c r="V584" s="1152"/>
      <c r="W584" s="1153"/>
      <c r="X584" s="1153"/>
      <c r="Y584" s="1153"/>
      <c r="Z584" s="1154"/>
      <c r="AA584" s="1152"/>
      <c r="AB584" s="1153"/>
      <c r="AC584" s="1153"/>
      <c r="AD584" s="1153"/>
      <c r="AE584" s="1154"/>
      <c r="AF584" s="1152"/>
      <c r="AG584" s="1153"/>
      <c r="AH584" s="1153"/>
      <c r="AI584" s="1153"/>
      <c r="AJ584" s="1154"/>
      <c r="AK584" s="1152"/>
      <c r="AL584" s="1153"/>
      <c r="AM584" s="1153"/>
      <c r="AN584" s="1153"/>
      <c r="AO584" s="1154"/>
      <c r="AP584" s="1153"/>
      <c r="AQ584" s="1153"/>
      <c r="AR584" s="1153"/>
      <c r="AS584" s="1153"/>
      <c r="AT584" s="1154"/>
      <c r="AU584" s="1153"/>
      <c r="AV584" s="1153"/>
      <c r="AW584" s="1153"/>
      <c r="AX584" s="1153"/>
      <c r="AY584" s="1154"/>
      <c r="AZ584" s="1153">
        <f>+(AZ577-AZ578)*10000</f>
        <v>-484.94429444904119</v>
      </c>
      <c r="BA584" s="1153">
        <f>+(BA577-BA578)*10000</f>
        <v>-696.60286621792352</v>
      </c>
      <c r="BB584" s="1153">
        <f>+(BB577-BB578)*10000</f>
        <v>-534.72069314557837</v>
      </c>
      <c r="BC584" s="1153">
        <f>+(BC577-BC578)*10000</f>
        <v>98.256824574911576</v>
      </c>
      <c r="BD584" s="1154">
        <f>+(BD30-BD578)*10000</f>
        <v>-397.11109709632319</v>
      </c>
      <c r="BE584" s="1153">
        <f>+(BE577-BE578)*10000</f>
        <v>118.16734098792692</v>
      </c>
      <c r="BF584" s="1153">
        <f>+(BF577-BF578)*10000</f>
        <v>-92.129068287916112</v>
      </c>
      <c r="BG584" s="1153">
        <f>+(BG577-BG578)*10000</f>
        <v>-215.59196530576142</v>
      </c>
      <c r="BH584" s="1153">
        <f>+(BH577-BH578)*10000</f>
        <v>-169.59489967903752</v>
      </c>
      <c r="BI584" s="1154">
        <f>+(BI30-BI578)*10000</f>
        <v>-97.55038693746387</v>
      </c>
      <c r="BJ584" s="1153">
        <f>+(BJ577-BJ578)*10000</f>
        <v>33.890389936022117</v>
      </c>
      <c r="BK584" s="1153">
        <f>+(BK577-BK578)*10000</f>
        <v>427.08818136229399</v>
      </c>
      <c r="BL584" s="1153">
        <f>+(BL577-BL578)*10000</f>
        <v>448.94731591808232</v>
      </c>
      <c r="BM584" s="1153">
        <f>+(BM577-BM578)*10000</f>
        <v>35.71364377009445</v>
      </c>
      <c r="BN584" s="1154">
        <f>+(BN30-BN578)*10000</f>
        <v>229.88463949644267</v>
      </c>
      <c r="BO584" s="1153"/>
      <c r="BP584" s="1153"/>
      <c r="BQ584" s="1153"/>
      <c r="BR584" s="1153"/>
      <c r="BS584" s="1961"/>
      <c r="BT584" s="1153">
        <f>+(BT577-BT578)*10000</f>
        <v>-53.508895825542524</v>
      </c>
      <c r="BU584" s="1153">
        <f>+(BU577-BU578)*10000</f>
        <v>-300.09027742982977</v>
      </c>
      <c r="BV584" s="1153">
        <f>+(BV577-BV578)*10000</f>
        <v>-519.79659917123172</v>
      </c>
      <c r="BW584" s="1153">
        <f>+(BW577-BW578)*10000</f>
        <v>-172.80941137130191</v>
      </c>
      <c r="BX584" s="1154">
        <f>+(BX30-BX578)*10000</f>
        <v>-262.24080539068552</v>
      </c>
      <c r="BY584" s="1153"/>
      <c r="BZ584" s="1153"/>
      <c r="CA584" s="1153"/>
      <c r="CB584" s="1153"/>
      <c r="CC584" s="1961"/>
      <c r="CD584" s="1153">
        <f>+(CD577-CD578)*10000</f>
        <v>-40.602756458152371</v>
      </c>
      <c r="CE584" s="1153">
        <f>+(CE577-CE578)*10000</f>
        <v>-82.686696326814683</v>
      </c>
      <c r="CF584" s="1153">
        <f>+(CF577-CF578)*10000</f>
        <v>-56.568095654190302</v>
      </c>
      <c r="CG584" s="1153">
        <f>+(CG577-CG578)*10000</f>
        <v>-30.694943878977199</v>
      </c>
      <c r="CH584" s="1154">
        <f>+(CH30-CH578)*10000</f>
        <v>-51.960904347514436</v>
      </c>
      <c r="CI584" s="1153">
        <f>+(CI577-CI578)*10000</f>
        <v>0</v>
      </c>
      <c r="CJ584" s="1153">
        <f>+(CJ577-CJ578)*10000</f>
        <v>0</v>
      </c>
      <c r="CK584" s="1153">
        <f>+(CK577-CK578)*10000</f>
        <v>0</v>
      </c>
      <c r="CL584" s="1153">
        <f>+(CL577-CL578)*10000</f>
        <v>0</v>
      </c>
      <c r="CM584" s="1154">
        <f>+(CM30-CM578)*10000</f>
        <v>0</v>
      </c>
      <c r="CN584" s="1153">
        <f>+(CN577-CN578)*10000</f>
        <v>0</v>
      </c>
      <c r="CO584" s="1153">
        <f>+(CO577-CO578)*10000</f>
        <v>0</v>
      </c>
      <c r="CP584" s="1153">
        <f>+(CP577-CP578)*10000</f>
        <v>0</v>
      </c>
      <c r="CQ584" s="1153">
        <f>+(CQ577-CQ578)*10000</f>
        <v>0</v>
      </c>
      <c r="CR584" s="1154">
        <f>+(CR30-CR578)*10000</f>
        <v>0</v>
      </c>
      <c r="CS584" s="1153">
        <f>+(CS577-CS578)*10000</f>
        <v>0</v>
      </c>
      <c r="CT584" s="1153">
        <f>+(CT577-CT578)*10000</f>
        <v>0</v>
      </c>
      <c r="CU584" s="1153">
        <f>+(CU577-CU578)*10000</f>
        <v>0</v>
      </c>
      <c r="CV584" s="1153">
        <f>+(CV577-CV578)*10000</f>
        <v>0</v>
      </c>
      <c r="CW584" s="1154">
        <f>+(CW30-CW578)*10000</f>
        <v>0</v>
      </c>
      <c r="CX584" s="1153">
        <f>+(CX577-CX578)*10000</f>
        <v>0</v>
      </c>
      <c r="CY584" s="1153">
        <f>+(CY577-CY578)*10000</f>
        <v>0</v>
      </c>
      <c r="CZ584" s="1153">
        <f>+(CZ577-CZ578)*10000</f>
        <v>0</v>
      </c>
      <c r="DA584" s="1153">
        <f>+(DA577-DA578)*10000</f>
        <v>0</v>
      </c>
      <c r="DB584" s="1154">
        <f>+(DB30-DB578)*10000</f>
        <v>18.592127195793395</v>
      </c>
      <c r="DC584" s="2661">
        <f>+(DC577-DC578)*10000</f>
        <v>0</v>
      </c>
      <c r="DD584" s="2661">
        <f>+(DD577-DD578)*10000</f>
        <v>0</v>
      </c>
      <c r="DE584" s="2661">
        <f>+(DE577-DE578)*10000</f>
        <v>0</v>
      </c>
      <c r="DF584" s="2661">
        <f>+(DF577-DF578)*10000</f>
        <v>-171.22543283940362</v>
      </c>
      <c r="DG584" s="1154">
        <f>+(DG30-DG578)*10000</f>
        <v>-40.019655018559419</v>
      </c>
      <c r="DH584" s="2661" t="e">
        <f>+(DH577-DH578)*10000</f>
        <v>#VALUE!</v>
      </c>
      <c r="DI584" s="2661" t="e">
        <f>+(DI577-DI578)*10000</f>
        <v>#VALUE!</v>
      </c>
      <c r="DJ584" s="2661" t="e">
        <f>+(DJ577-DJ578)*10000</f>
        <v>#VALUE!</v>
      </c>
      <c r="DK584" s="2661">
        <f>+(DK577-DK578)*10000</f>
        <v>-110.70680505310682</v>
      </c>
      <c r="DL584" s="1154">
        <f>+(DL30-DL578)*10000</f>
        <v>-229.40092058162165</v>
      </c>
      <c r="DM584" s="2661"/>
      <c r="DN584" s="2661"/>
      <c r="DO584" s="2661"/>
      <c r="DP584" s="2661"/>
      <c r="DQ584" s="1154"/>
      <c r="DR584" s="2661"/>
      <c r="DS584" s="2661"/>
      <c r="DT584" s="2661"/>
      <c r="DU584" s="2661"/>
      <c r="DV584" s="1154"/>
      <c r="DW584" s="2661"/>
      <c r="DX584" s="2661"/>
      <c r="DY584" s="2661"/>
      <c r="DZ584" s="2661"/>
      <c r="EA584" s="1154"/>
      <c r="EB584" s="2661"/>
      <c r="EC584" s="2661"/>
      <c r="ED584" s="2661"/>
      <c r="EE584" s="2661"/>
      <c r="EF584" s="1154"/>
      <c r="EG584" s="2661"/>
      <c r="EH584" s="2661"/>
      <c r="EI584" s="2661"/>
      <c r="EJ584" s="2661"/>
      <c r="EK584" s="1154"/>
      <c r="EL584" s="2661"/>
      <c r="EM584" s="2661"/>
      <c r="EN584" s="2661"/>
      <c r="EO584" s="2661"/>
      <c r="EP584" s="1154"/>
      <c r="EQ584" s="2661"/>
      <c r="ER584" s="2661"/>
      <c r="ES584" s="2661"/>
      <c r="ET584" s="2661"/>
      <c r="EU584" s="1154"/>
      <c r="EV584" s="1154"/>
      <c r="EW584" s="1154"/>
      <c r="EX584" s="1154"/>
      <c r="EY584" s="1154"/>
      <c r="EZ584" s="251"/>
      <c r="FA584" s="725"/>
      <c r="FB584" s="725"/>
    </row>
    <row r="585" spans="1:158" s="180" customFormat="1" ht="11.25" hidden="1" customHeight="1" collapsed="1">
      <c r="A585" s="2964" t="str">
        <f>A36</f>
        <v>Google advertising</v>
      </c>
      <c r="B585" s="3321"/>
      <c r="C585" s="2965"/>
      <c r="D585" s="2965"/>
      <c r="E585" s="2965"/>
      <c r="F585" s="3322"/>
      <c r="G585" s="3321"/>
      <c r="H585" s="2965"/>
      <c r="I585" s="2965"/>
      <c r="J585" s="2965"/>
      <c r="K585" s="2966"/>
      <c r="L585" s="2965"/>
      <c r="M585" s="2965"/>
      <c r="N585" s="2965"/>
      <c r="O585" s="2965"/>
      <c r="P585" s="2966"/>
      <c r="Q585" s="3321"/>
      <c r="R585" s="2965"/>
      <c r="S585" s="2965"/>
      <c r="T585" s="2965"/>
      <c r="U585" s="2966"/>
      <c r="V585" s="3321"/>
      <c r="W585" s="2965"/>
      <c r="X585" s="2965"/>
      <c r="Y585" s="2965"/>
      <c r="Z585" s="2966"/>
      <c r="AA585" s="3321"/>
      <c r="AB585" s="2965"/>
      <c r="AC585" s="2965"/>
      <c r="AD585" s="2965"/>
      <c r="AE585" s="2966"/>
      <c r="AF585" s="3321"/>
      <c r="AG585" s="2965"/>
      <c r="AH585" s="2965"/>
      <c r="AI585" s="2965"/>
      <c r="AJ585" s="2966"/>
      <c r="AK585" s="3321"/>
      <c r="AL585" s="2965"/>
      <c r="AM585" s="2965"/>
      <c r="AN585" s="2967"/>
      <c r="AO585" s="2966"/>
      <c r="AP585" s="3321"/>
      <c r="AQ585" s="2965"/>
      <c r="AR585" s="2965"/>
      <c r="AS585" s="2967"/>
      <c r="AT585" s="2966"/>
      <c r="AU585" s="3321">
        <f t="shared" ref="AU585:BN585" si="1413">AU36</f>
        <v>5086.5460000000003</v>
      </c>
      <c r="AV585" s="2965">
        <f t="shared" si="1413"/>
        <v>5185.4250000000002</v>
      </c>
      <c r="AW585" s="2965">
        <f t="shared" si="1413"/>
        <v>5351.9719999999998</v>
      </c>
      <c r="AX585" s="2967">
        <f t="shared" si="1413"/>
        <v>5504.5709999999999</v>
      </c>
      <c r="AY585" s="2966">
        <f t="shared" si="1413"/>
        <v>21128.514000000003</v>
      </c>
      <c r="AZ585" s="3321">
        <f t="shared" si="1413"/>
        <v>5330.8649999999998</v>
      </c>
      <c r="BA585" s="2965">
        <f t="shared" si="1413"/>
        <v>5336.1280000000006</v>
      </c>
      <c r="BB585" s="2965">
        <f t="shared" si="1413"/>
        <v>5756.6210000000001</v>
      </c>
      <c r="BC585" s="2967">
        <f t="shared" si="1413"/>
        <v>6465.1900000000005</v>
      </c>
      <c r="BD585" s="2966">
        <f t="shared" si="1413"/>
        <v>22888.804</v>
      </c>
      <c r="BE585" s="3321">
        <f t="shared" si="1413"/>
        <v>6475</v>
      </c>
      <c r="BF585" s="2965">
        <f t="shared" si="1413"/>
        <v>6562</v>
      </c>
      <c r="BG585" s="2965">
        <f t="shared" si="1413"/>
        <v>7032</v>
      </c>
      <c r="BH585" s="2967">
        <f t="shared" si="1413"/>
        <v>8167</v>
      </c>
      <c r="BI585" s="2966">
        <f t="shared" si="1413"/>
        <v>28236</v>
      </c>
      <c r="BJ585" s="3321">
        <f t="shared" si="1413"/>
        <v>8306</v>
      </c>
      <c r="BK585" s="2965">
        <f t="shared" si="1413"/>
        <v>8716</v>
      </c>
      <c r="BL585" s="2965">
        <f t="shared" si="1413"/>
        <v>9335</v>
      </c>
      <c r="BM585" s="2965">
        <f t="shared" si="1413"/>
        <v>10174</v>
      </c>
      <c r="BN585" s="2966">
        <f t="shared" si="1413"/>
        <v>36531</v>
      </c>
      <c r="BO585" s="2965"/>
      <c r="BP585" s="2965"/>
      <c r="BQ585" s="2965"/>
      <c r="BR585" s="2965"/>
      <c r="BS585" s="3323"/>
      <c r="BT585" s="2965">
        <f t="shared" ref="BT585:BX586" si="1414">BT36</f>
        <v>10225</v>
      </c>
      <c r="BU585" s="2965">
        <f t="shared" si="1414"/>
        <v>10525</v>
      </c>
      <c r="BV585" s="2965">
        <f t="shared" si="1414"/>
        <v>10860</v>
      </c>
      <c r="BW585" s="2965">
        <f t="shared" si="1414"/>
        <v>12076</v>
      </c>
      <c r="BX585" s="2966">
        <f t="shared" si="1414"/>
        <v>43686</v>
      </c>
      <c r="BY585" s="2965"/>
      <c r="BZ585" s="2965"/>
      <c r="CA585" s="2965"/>
      <c r="CB585" s="2965"/>
      <c r="CC585" s="3323"/>
      <c r="CD585" s="3324">
        <f t="shared" ref="CD585:DL585" si="1415">CD36</f>
        <v>12031</v>
      </c>
      <c r="CE585" s="2965">
        <f t="shared" si="1415"/>
        <v>12182</v>
      </c>
      <c r="CF585" s="2965">
        <f t="shared" si="1415"/>
        <v>12653</v>
      </c>
      <c r="CG585" s="2965">
        <f t="shared" si="1415"/>
        <v>14206</v>
      </c>
      <c r="CH585" s="2966">
        <f t="shared" si="1415"/>
        <v>51072</v>
      </c>
      <c r="CI585" s="2968">
        <f t="shared" si="1415"/>
        <v>13997</v>
      </c>
      <c r="CJ585" s="2965">
        <f t="shared" si="1415"/>
        <v>14498</v>
      </c>
      <c r="CK585" s="2965">
        <f t="shared" si="1415"/>
        <v>14820</v>
      </c>
      <c r="CL585" s="2965">
        <f t="shared" si="1415"/>
        <v>16309</v>
      </c>
      <c r="CM585" s="2966">
        <f t="shared" si="1415"/>
        <v>59624</v>
      </c>
      <c r="CN585" s="2965">
        <f t="shared" si="1415"/>
        <v>15508</v>
      </c>
      <c r="CO585" s="2965">
        <f t="shared" si="1415"/>
        <v>16023</v>
      </c>
      <c r="CP585" s="2965">
        <f t="shared" si="1415"/>
        <v>16781</v>
      </c>
      <c r="CQ585" s="2965">
        <f t="shared" si="1415"/>
        <v>19078</v>
      </c>
      <c r="CR585" s="2966">
        <f t="shared" si="1415"/>
        <v>67390</v>
      </c>
      <c r="CS585" s="2965">
        <f t="shared" si="1415"/>
        <v>18020</v>
      </c>
      <c r="CT585" s="2965">
        <f t="shared" si="1415"/>
        <v>19143</v>
      </c>
      <c r="CU585" s="2965">
        <f t="shared" si="1415"/>
        <v>19821</v>
      </c>
      <c r="CV585" s="2965">
        <f t="shared" si="1415"/>
        <v>22399</v>
      </c>
      <c r="CW585" s="2966">
        <f t="shared" si="1415"/>
        <v>79383</v>
      </c>
      <c r="CX585" s="2965">
        <f t="shared" si="1415"/>
        <v>21411</v>
      </c>
      <c r="CY585" s="2965">
        <f t="shared" si="1415"/>
        <v>22672</v>
      </c>
      <c r="CZ585" s="2965">
        <f t="shared" si="1415"/>
        <v>24065</v>
      </c>
      <c r="DA585" s="2965">
        <f t="shared" si="1415"/>
        <v>27227</v>
      </c>
      <c r="DB585" s="2966">
        <f t="shared" si="1415"/>
        <v>95577</v>
      </c>
      <c r="DC585" s="2965">
        <f t="shared" si="1415"/>
        <v>26642</v>
      </c>
      <c r="DD585" s="2965">
        <f t="shared" si="1415"/>
        <v>28087</v>
      </c>
      <c r="DE585" s="2965">
        <f t="shared" si="1415"/>
        <v>28954</v>
      </c>
      <c r="DF585" s="2965">
        <f t="shared" si="1415"/>
        <v>32518</v>
      </c>
      <c r="DG585" s="2966">
        <f t="shared" si="1415"/>
        <v>116461</v>
      </c>
      <c r="DH585" s="2965">
        <f t="shared" si="1415"/>
        <v>30587</v>
      </c>
      <c r="DI585" s="2965">
        <f t="shared" si="1415"/>
        <v>32494</v>
      </c>
      <c r="DJ585" s="2965">
        <f t="shared" si="1415"/>
        <v>33796</v>
      </c>
      <c r="DK585" s="2965">
        <f t="shared" si="1415"/>
        <v>37934</v>
      </c>
      <c r="DL585" s="2966">
        <f t="shared" si="1415"/>
        <v>134811</v>
      </c>
      <c r="DM585" s="2965"/>
      <c r="DN585" s="2965"/>
      <c r="DO585" s="2965"/>
      <c r="DP585" s="2965"/>
      <c r="DQ585" s="2966"/>
      <c r="DR585" s="2965"/>
      <c r="DS585" s="2965"/>
      <c r="DT585" s="2965"/>
      <c r="DU585" s="2965"/>
      <c r="DV585" s="2966"/>
      <c r="DW585" s="2965"/>
      <c r="DX585" s="2965"/>
      <c r="DY585" s="2965"/>
      <c r="DZ585" s="2965"/>
      <c r="EA585" s="2966"/>
      <c r="EB585" s="2965"/>
      <c r="EC585" s="2965"/>
      <c r="ED585" s="2965"/>
      <c r="EE585" s="2965"/>
      <c r="EF585" s="2966"/>
      <c r="EG585" s="2965"/>
      <c r="EH585" s="2965"/>
      <c r="EI585" s="2965"/>
      <c r="EJ585" s="2965"/>
      <c r="EK585" s="2966"/>
      <c r="EL585" s="2965"/>
      <c r="EM585" s="2965"/>
      <c r="EN585" s="2965"/>
      <c r="EO585" s="2965"/>
      <c r="EP585" s="2966"/>
      <c r="EQ585" s="2965"/>
      <c r="ER585" s="2965"/>
      <c r="ES585" s="2965"/>
      <c r="ET585" s="2965"/>
      <c r="EU585" s="2966"/>
      <c r="EV585" s="2966"/>
      <c r="EW585" s="2966"/>
      <c r="EX585" s="2966"/>
      <c r="EY585" s="2966"/>
      <c r="EZ585" s="175"/>
      <c r="FA585" s="1319"/>
      <c r="FB585" s="1319"/>
    </row>
    <row r="586" spans="1:158" s="183" customFormat="1" ht="11.25" hidden="1" customHeight="1">
      <c r="A586" s="1538" t="str">
        <f>A37</f>
        <v>Y/Y growth</v>
      </c>
      <c r="B586" s="739"/>
      <c r="C586" s="181"/>
      <c r="D586" s="181"/>
      <c r="E586" s="169"/>
      <c r="F586" s="983"/>
      <c r="G586" s="739"/>
      <c r="H586" s="181"/>
      <c r="I586" s="181"/>
      <c r="J586" s="181"/>
      <c r="K586" s="991"/>
      <c r="L586" s="181"/>
      <c r="M586" s="181"/>
      <c r="N586" s="181"/>
      <c r="O586" s="181"/>
      <c r="P586" s="992"/>
      <c r="Q586" s="736"/>
      <c r="R586" s="169"/>
      <c r="S586" s="169"/>
      <c r="T586" s="169"/>
      <c r="U586" s="992"/>
      <c r="V586" s="736"/>
      <c r="W586" s="169"/>
      <c r="X586" s="169"/>
      <c r="Y586" s="169"/>
      <c r="Z586" s="992"/>
      <c r="AA586" s="736"/>
      <c r="AB586" s="169"/>
      <c r="AC586" s="169"/>
      <c r="AD586" s="169"/>
      <c r="AE586" s="992"/>
      <c r="AF586" s="736"/>
      <c r="AG586" s="169"/>
      <c r="AH586" s="169"/>
      <c r="AI586" s="169"/>
      <c r="AJ586" s="992"/>
      <c r="AK586" s="736"/>
      <c r="AL586" s="169"/>
      <c r="AM586" s="169"/>
      <c r="AN586" s="169"/>
      <c r="AO586" s="992"/>
      <c r="AP586" s="736"/>
      <c r="AQ586" s="169"/>
      <c r="AR586" s="169"/>
      <c r="AS586" s="169"/>
      <c r="AT586" s="992"/>
      <c r="AU586" s="736">
        <f t="shared" ref="AU586:BN586" si="1416">AU37</f>
        <v>0.40223738438848233</v>
      </c>
      <c r="AV586" s="169">
        <f t="shared" si="1416"/>
        <v>0.35095474841865282</v>
      </c>
      <c r="AW586" s="169">
        <f t="shared" si="1416"/>
        <v>0.27747974269819364</v>
      </c>
      <c r="AX586" s="169">
        <f t="shared" si="1416"/>
        <v>0.15706056386137313</v>
      </c>
      <c r="AY586" s="992">
        <f t="shared" si="1416"/>
        <v>0.28733160161955662</v>
      </c>
      <c r="AZ586" s="736">
        <f t="shared" si="1416"/>
        <v>4.8032397623062772E-2</v>
      </c>
      <c r="BA586" s="169">
        <f t="shared" si="1416"/>
        <v>2.90628058452298E-2</v>
      </c>
      <c r="BB586" s="169">
        <f t="shared" si="1416"/>
        <v>7.5607458334983946E-2</v>
      </c>
      <c r="BC586" s="169">
        <f t="shared" si="1416"/>
        <v>0.17451296386221582</v>
      </c>
      <c r="BD586" s="992">
        <f t="shared" si="1416"/>
        <v>8.3313478647859318E-2</v>
      </c>
      <c r="BE586" s="736">
        <f t="shared" si="1416"/>
        <v>0.21462464346780497</v>
      </c>
      <c r="BF586" s="169">
        <f t="shared" si="1416"/>
        <v>0.22973062115451492</v>
      </c>
      <c r="BG586" s="169">
        <f t="shared" si="1416"/>
        <v>0.22154993354608554</v>
      </c>
      <c r="BH586" s="169">
        <f t="shared" si="1416"/>
        <v>0.26322660277578835</v>
      </c>
      <c r="BI586" s="992">
        <f t="shared" si="1416"/>
        <v>0.23361622564464257</v>
      </c>
      <c r="BJ586" s="736">
        <f t="shared" si="1416"/>
        <v>0.28277992277992281</v>
      </c>
      <c r="BK586" s="169">
        <f t="shared" si="1416"/>
        <v>0.32825358122523629</v>
      </c>
      <c r="BL586" s="169">
        <f t="shared" si="1416"/>
        <v>0.32750284414106945</v>
      </c>
      <c r="BM586" s="169">
        <f t="shared" si="1416"/>
        <v>0.24574507162972936</v>
      </c>
      <c r="BN586" s="992">
        <f t="shared" si="1416"/>
        <v>0.29377390565235872</v>
      </c>
      <c r="BO586" s="169"/>
      <c r="BP586" s="169"/>
      <c r="BQ586" s="169"/>
      <c r="BR586" s="169"/>
      <c r="BS586" s="1927"/>
      <c r="BT586" s="169">
        <f t="shared" si="1414"/>
        <v>0.2310378039971106</v>
      </c>
      <c r="BU586" s="169">
        <f t="shared" si="1414"/>
        <v>0.2075493345571362</v>
      </c>
      <c r="BV586" s="169">
        <f t="shared" si="1414"/>
        <v>0.16336368505623988</v>
      </c>
      <c r="BW586" s="169">
        <f t="shared" si="1414"/>
        <v>0.18694712011008452</v>
      </c>
      <c r="BX586" s="992">
        <f t="shared" si="1414"/>
        <v>0.19586104951958605</v>
      </c>
      <c r="BY586" s="169"/>
      <c r="BZ586" s="169"/>
      <c r="CA586" s="169"/>
      <c r="CB586" s="169"/>
      <c r="CC586" s="1927"/>
      <c r="CD586" s="1689">
        <f t="shared" ref="CD586:DL586" si="1417">CD37</f>
        <v>0.17662591687041562</v>
      </c>
      <c r="CE586" s="169">
        <f t="shared" si="1417"/>
        <v>0.15743467933491684</v>
      </c>
      <c r="CF586" s="169">
        <f t="shared" si="1417"/>
        <v>0.16510128913443833</v>
      </c>
      <c r="CG586" s="169">
        <f t="shared" si="1417"/>
        <v>0.17638290824776415</v>
      </c>
      <c r="CH586" s="992">
        <f t="shared" si="1417"/>
        <v>0.16907018266721607</v>
      </c>
      <c r="CI586" s="169">
        <f t="shared" si="1417"/>
        <v>0.16341118776494068</v>
      </c>
      <c r="CJ586" s="169">
        <f t="shared" si="1417"/>
        <v>0.19011656542439659</v>
      </c>
      <c r="CK586" s="169">
        <f t="shared" si="1417"/>
        <v>0.17126373192128352</v>
      </c>
      <c r="CL586" s="169">
        <f t="shared" si="1417"/>
        <v>0.14803604110939039</v>
      </c>
      <c r="CM586" s="992">
        <f t="shared" si="1417"/>
        <v>0.16744987468671679</v>
      </c>
      <c r="CN586" s="169">
        <f t="shared" si="1417"/>
        <v>0.10795170393655784</v>
      </c>
      <c r="CO586" s="169">
        <f t="shared" si="1417"/>
        <v>0.10518692233411508</v>
      </c>
      <c r="CP586" s="169">
        <f t="shared" si="1417"/>
        <v>0.13232118758434552</v>
      </c>
      <c r="CQ586" s="169">
        <f t="shared" si="1417"/>
        <v>0.16978355509228038</v>
      </c>
      <c r="CR586" s="992">
        <f t="shared" si="1417"/>
        <v>0.13024956393398623</v>
      </c>
      <c r="CS586" s="169">
        <f t="shared" si="1417"/>
        <v>0.16198091307712148</v>
      </c>
      <c r="CT586" s="169">
        <f t="shared" si="1417"/>
        <v>0.1947200898708108</v>
      </c>
      <c r="CU586" s="169">
        <f t="shared" si="1417"/>
        <v>0.1811572611882486</v>
      </c>
      <c r="CV586" s="169">
        <f t="shared" si="1417"/>
        <v>0.17407485061327188</v>
      </c>
      <c r="CW586" s="992">
        <f t="shared" si="1417"/>
        <v>0.17796408962754118</v>
      </c>
      <c r="CX586" s="169">
        <f t="shared" si="1417"/>
        <v>0.18817980022197567</v>
      </c>
      <c r="CY586" s="169">
        <f t="shared" si="1417"/>
        <v>0.18434937052708555</v>
      </c>
      <c r="CZ586" s="169">
        <f t="shared" si="1417"/>
        <v>0.2141163412542253</v>
      </c>
      <c r="DA586" s="169">
        <f t="shared" si="1417"/>
        <v>0.21554533684539479</v>
      </c>
      <c r="DB586" s="992">
        <f t="shared" si="1417"/>
        <v>0.20399833717546567</v>
      </c>
      <c r="DC586" s="2612">
        <f t="shared" si="1417"/>
        <v>0.24431367054317876</v>
      </c>
      <c r="DD586" s="2612">
        <f t="shared" si="1417"/>
        <v>0.23884086097388857</v>
      </c>
      <c r="DE586" s="2612">
        <f t="shared" si="1417"/>
        <v>0.20315811344275914</v>
      </c>
      <c r="DF586" s="2612">
        <f t="shared" si="1417"/>
        <v>0.19432915855584532</v>
      </c>
      <c r="DG586" s="2588">
        <f t="shared" si="1417"/>
        <v>0.21850445190788581</v>
      </c>
      <c r="DH586" s="2612" t="str">
        <f t="shared" si="1417"/>
        <v>NA</v>
      </c>
      <c r="DI586" s="2612" t="str">
        <f t="shared" si="1417"/>
        <v>NA</v>
      </c>
      <c r="DJ586" s="2612" t="str">
        <f t="shared" si="1417"/>
        <v>NA</v>
      </c>
      <c r="DK586" s="2612">
        <f t="shared" si="1417"/>
        <v>0.16655390860446517</v>
      </c>
      <c r="DL586" s="2588">
        <f t="shared" si="1417"/>
        <v>0.15756347618516076</v>
      </c>
      <c r="DM586" s="2612"/>
      <c r="DN586" s="2612"/>
      <c r="DO586" s="2612"/>
      <c r="DP586" s="2612"/>
      <c r="DQ586" s="2588"/>
      <c r="DR586" s="2612"/>
      <c r="DS586" s="2612"/>
      <c r="DT586" s="2612"/>
      <c r="DU586" s="2612"/>
      <c r="DV586" s="2588"/>
      <c r="DW586" s="2612"/>
      <c r="DX586" s="2612"/>
      <c r="DY586" s="2612"/>
      <c r="DZ586" s="2612"/>
      <c r="EA586" s="2588"/>
      <c r="EB586" s="2612"/>
      <c r="EC586" s="2612"/>
      <c r="ED586" s="2612"/>
      <c r="EE586" s="2612"/>
      <c r="EF586" s="2588"/>
      <c r="EG586" s="2612"/>
      <c r="EH586" s="2612"/>
      <c r="EI586" s="2612"/>
      <c r="EJ586" s="2612"/>
      <c r="EK586" s="2588"/>
      <c r="EL586" s="2612"/>
      <c r="EM586" s="2612"/>
      <c r="EN586" s="2612"/>
      <c r="EO586" s="2612"/>
      <c r="EP586" s="2588"/>
      <c r="EQ586" s="2612"/>
      <c r="ER586" s="2612"/>
      <c r="ES586" s="2612"/>
      <c r="ET586" s="2612"/>
      <c r="EU586" s="2588"/>
      <c r="EV586" s="2588"/>
      <c r="EW586" s="2588"/>
      <c r="EX586" s="2588"/>
      <c r="EY586" s="2588"/>
      <c r="EZ586" s="181"/>
      <c r="FA586" s="725"/>
      <c r="FB586" s="725"/>
    </row>
    <row r="587" spans="1:158" s="1099" customFormat="1" ht="11.25" hidden="1" customHeight="1">
      <c r="A587" s="2369" t="s">
        <v>496</v>
      </c>
      <c r="B587" s="1142"/>
      <c r="C587" s="1143"/>
      <c r="D587" s="1143"/>
      <c r="E587" s="1144"/>
      <c r="F587" s="1145"/>
      <c r="G587" s="1142"/>
      <c r="H587" s="1143"/>
      <c r="I587" s="1143"/>
      <c r="J587" s="1143"/>
      <c r="K587" s="1146"/>
      <c r="L587" s="1143"/>
      <c r="M587" s="1143"/>
      <c r="N587" s="1143"/>
      <c r="O587" s="1143"/>
      <c r="P587" s="1146"/>
      <c r="Q587" s="1142"/>
      <c r="R587" s="1143"/>
      <c r="S587" s="1143"/>
      <c r="T587" s="1143"/>
      <c r="U587" s="1146"/>
      <c r="V587" s="1142"/>
      <c r="W587" s="1143"/>
      <c r="X587" s="1143"/>
      <c r="Y587" s="1143"/>
      <c r="Z587" s="1146"/>
      <c r="AA587" s="1142"/>
      <c r="AB587" s="1143"/>
      <c r="AC587" s="1143"/>
      <c r="AD587" s="1143"/>
      <c r="AE587" s="1146"/>
      <c r="AF587" s="1142"/>
      <c r="AG587" s="1143"/>
      <c r="AH587" s="1143"/>
      <c r="AI587" s="1143"/>
      <c r="AJ587" s="1146"/>
      <c r="AK587" s="1142"/>
      <c r="AL587" s="1143"/>
      <c r="AM587" s="1143"/>
      <c r="AN587" s="1143"/>
      <c r="AO587" s="1146"/>
      <c r="AP587" s="1142"/>
      <c r="AQ587" s="1143"/>
      <c r="AR587" s="1143"/>
      <c r="AS587" s="1143"/>
      <c r="AT587" s="1146"/>
      <c r="AU587" s="1142"/>
      <c r="AV587" s="1143"/>
      <c r="AW587" s="1143"/>
      <c r="AX587" s="1143"/>
      <c r="AY587" s="1146"/>
      <c r="AZ587" s="1142">
        <f t="shared" ref="AZ587:BN587" si="1418">+AZ591/AU592-1</f>
        <v>0.10034850444960308</v>
      </c>
      <c r="BA587" s="1143">
        <f t="shared" si="1418"/>
        <v>9.9545985119595226E-2</v>
      </c>
      <c r="BB587" s="1143">
        <f t="shared" si="1418"/>
        <v>0.12925711625644176</v>
      </c>
      <c r="BC587" s="1143">
        <f t="shared" si="1418"/>
        <v>0.16495149294786415</v>
      </c>
      <c r="BD587" s="1146">
        <f t="shared" si="1418"/>
        <v>0.1240615441753794</v>
      </c>
      <c r="BE587" s="1142">
        <f t="shared" si="1418"/>
        <v>0.20307717431596051</v>
      </c>
      <c r="BF587" s="1143">
        <f t="shared" si="1418"/>
        <v>0.2389759115996144</v>
      </c>
      <c r="BG587" s="1143">
        <f t="shared" si="1418"/>
        <v>0.24311772885115479</v>
      </c>
      <c r="BH587" s="1143">
        <f t="shared" si="1418"/>
        <v>0.28077672596857517</v>
      </c>
      <c r="BI587" s="1146">
        <f t="shared" si="1418"/>
        <v>0.24374196284929539</v>
      </c>
      <c r="BJ587" s="1142">
        <f t="shared" si="1418"/>
        <v>0.27913291477026081</v>
      </c>
      <c r="BK587" s="1143">
        <f t="shared" si="1418"/>
        <v>0.28113999260246403</v>
      </c>
      <c r="BL587" s="1143">
        <f t="shared" si="1418"/>
        <v>0.27699966624461858</v>
      </c>
      <c r="BM587" s="1143">
        <f t="shared" si="1418"/>
        <v>0.24189080812928676</v>
      </c>
      <c r="BN587" s="1146">
        <f t="shared" si="1418"/>
        <v>0.2682537600123871</v>
      </c>
      <c r="BO587" s="1143"/>
      <c r="BP587" s="1143"/>
      <c r="BQ587" s="1143"/>
      <c r="BR587" s="1143"/>
      <c r="BS587" s="1959"/>
      <c r="BT587" s="1142">
        <f>+BT591/BJ592-1</f>
        <v>0.2365259628180798</v>
      </c>
      <c r="BU587" s="1143">
        <f>+BU591/BK592-1</f>
        <v>0.23772488118826485</v>
      </c>
      <c r="BV587" s="1143">
        <f>+BV591/BL592-1</f>
        <v>0.21345078700333731</v>
      </c>
      <c r="BW587" s="1143">
        <f>+BW591/BM592-1</f>
        <v>0.20413958295893941</v>
      </c>
      <c r="BX587" s="1146">
        <f>+BX591/BN592-1</f>
        <v>0.22196312247809002</v>
      </c>
      <c r="BY587" s="1143"/>
      <c r="BZ587" s="1143"/>
      <c r="CA587" s="1143"/>
      <c r="CB587" s="1143"/>
      <c r="CC587" s="1959"/>
      <c r="CD587" s="1142">
        <f>+CD591/BT592-1</f>
        <v>0.18072990998167193</v>
      </c>
      <c r="CE587" s="1143">
        <f>+CE591/BU592-1</f>
        <v>0.16604923497455015</v>
      </c>
      <c r="CF587" s="1143">
        <f>+CF591/BV592-1</f>
        <v>0.17140243009102729</v>
      </c>
      <c r="CG587" s="1143">
        <f>+CG591/BW592-1</f>
        <v>0.17976542049560118</v>
      </c>
      <c r="CH587" s="1146">
        <f>+CH591/BX592-1</f>
        <v>0.17460957837112057</v>
      </c>
      <c r="CI587" s="1142">
        <f t="shared" ref="CI587:DL587" si="1419">+CI591/CD592-1</f>
        <v>0.16341118776494068</v>
      </c>
      <c r="CJ587" s="1143">
        <f t="shared" si="1419"/>
        <v>0.19011656542439659</v>
      </c>
      <c r="CK587" s="1143">
        <f t="shared" si="1419"/>
        <v>0.17126373192128352</v>
      </c>
      <c r="CL587" s="1143">
        <f t="shared" si="1419"/>
        <v>0.14803604110939039</v>
      </c>
      <c r="CM587" s="1146">
        <f t="shared" si="1419"/>
        <v>0.16744987468671679</v>
      </c>
      <c r="CN587" s="1142">
        <f t="shared" si="1419"/>
        <v>0.10795170393655784</v>
      </c>
      <c r="CO587" s="1143">
        <f t="shared" si="1419"/>
        <v>0.10518692233411508</v>
      </c>
      <c r="CP587" s="1143">
        <f t="shared" si="1419"/>
        <v>0.13232118758434552</v>
      </c>
      <c r="CQ587" s="1143">
        <f t="shared" si="1419"/>
        <v>0.16978355509228038</v>
      </c>
      <c r="CR587" s="1146">
        <f t="shared" si="1419"/>
        <v>0.13024956393398623</v>
      </c>
      <c r="CS587" s="1142">
        <f t="shared" si="1419"/>
        <v>0.16198091307712148</v>
      </c>
      <c r="CT587" s="1143">
        <f t="shared" si="1419"/>
        <v>0.1947200898708108</v>
      </c>
      <c r="CU587" s="1143">
        <f t="shared" si="1419"/>
        <v>0.1811572611882486</v>
      </c>
      <c r="CV587" s="1143">
        <f t="shared" si="1419"/>
        <v>0.17407485061327188</v>
      </c>
      <c r="CW587" s="1146">
        <f t="shared" si="1419"/>
        <v>0.17796408962754118</v>
      </c>
      <c r="CX587" s="1142">
        <f t="shared" si="1419"/>
        <v>0.18817980022197567</v>
      </c>
      <c r="CY587" s="1143">
        <f t="shared" si="1419"/>
        <v>0.18434937052708555</v>
      </c>
      <c r="CZ587" s="1143">
        <f t="shared" si="1419"/>
        <v>0.2141163412542253</v>
      </c>
      <c r="DA587" s="1143">
        <f t="shared" si="1419"/>
        <v>0.21554533684539479</v>
      </c>
      <c r="DB587" s="1146">
        <f t="shared" si="1419"/>
        <v>0.20145371175188642</v>
      </c>
      <c r="DC587" s="1142">
        <f t="shared" si="1419"/>
        <v>0.24431367054317876</v>
      </c>
      <c r="DD587" s="1143">
        <f t="shared" si="1419"/>
        <v>0.23884086097388857</v>
      </c>
      <c r="DE587" s="1143">
        <f t="shared" si="1419"/>
        <v>0.20315811344275914</v>
      </c>
      <c r="DF587" s="1143">
        <f t="shared" si="1419"/>
        <v>0.21257433360252809</v>
      </c>
      <c r="DG587" s="1146">
        <f t="shared" si="1419"/>
        <v>0.22356761605238296</v>
      </c>
      <c r="DH587" s="1142">
        <f t="shared" si="1419"/>
        <v>0.18017341658139374</v>
      </c>
      <c r="DI587" s="1143">
        <f t="shared" si="1419"/>
        <v>0.18985027673581101</v>
      </c>
      <c r="DJ587" s="1143">
        <f t="shared" si="1419"/>
        <v>0.17933569423930074</v>
      </c>
      <c r="DK587" s="1143">
        <f t="shared" si="1419"/>
        <v>0.17852855277244206</v>
      </c>
      <c r="DL587" s="1146">
        <f t="shared" si="1419"/>
        <v>0.18184630658289169</v>
      </c>
      <c r="DM587" s="1142"/>
      <c r="DN587" s="1143"/>
      <c r="DO587" s="1143"/>
      <c r="DP587" s="1143"/>
      <c r="DQ587" s="1146"/>
      <c r="DR587" s="1143"/>
      <c r="DS587" s="1143"/>
      <c r="DT587" s="1143"/>
      <c r="DU587" s="1143"/>
      <c r="DV587" s="1146"/>
      <c r="DW587" s="1143"/>
      <c r="DX587" s="1143"/>
      <c r="DY587" s="1143"/>
      <c r="DZ587" s="1143"/>
      <c r="EA587" s="1146"/>
      <c r="EB587" s="1143"/>
      <c r="EC587" s="1143"/>
      <c r="ED587" s="1143"/>
      <c r="EE587" s="1143"/>
      <c r="EF587" s="1146"/>
      <c r="EG587" s="1143"/>
      <c r="EH587" s="1143"/>
      <c r="EI587" s="1143"/>
      <c r="EJ587" s="1143"/>
      <c r="EK587" s="1146"/>
      <c r="EL587" s="1143"/>
      <c r="EM587" s="1143"/>
      <c r="EN587" s="1143"/>
      <c r="EO587" s="1143"/>
      <c r="EP587" s="1146"/>
      <c r="EQ587" s="1143"/>
      <c r="ER587" s="1143"/>
      <c r="ES587" s="1143"/>
      <c r="ET587" s="1143"/>
      <c r="EU587" s="1146"/>
      <c r="EV587" s="1146"/>
      <c r="EW587" s="1146"/>
      <c r="EX587" s="1146"/>
      <c r="EY587" s="1146"/>
      <c r="EZ587" s="1098"/>
      <c r="FA587" s="4272"/>
      <c r="FB587" s="4272"/>
    </row>
    <row r="588" spans="1:158" s="180" customFormat="1" ht="11.25" hidden="1" customHeight="1">
      <c r="A588" s="2367" t="s">
        <v>497</v>
      </c>
      <c r="B588" s="1141"/>
      <c r="C588" s="1138"/>
      <c r="D588" s="1138"/>
      <c r="E588" s="1147"/>
      <c r="F588" s="1148"/>
      <c r="G588" s="1137"/>
      <c r="H588" s="1138"/>
      <c r="I588" s="1138"/>
      <c r="J588" s="1138"/>
      <c r="K588" s="1140"/>
      <c r="L588" s="1138"/>
      <c r="M588" s="1138"/>
      <c r="N588" s="1138"/>
      <c r="O588" s="1138"/>
      <c r="P588" s="1140"/>
      <c r="Q588" s="1137"/>
      <c r="R588" s="1138"/>
      <c r="S588" s="1138"/>
      <c r="T588" s="1138"/>
      <c r="U588" s="1140"/>
      <c r="V588" s="1137"/>
      <c r="W588" s="1138"/>
      <c r="X588" s="1138"/>
      <c r="Y588" s="1138"/>
      <c r="Z588" s="1140"/>
      <c r="AA588" s="1137"/>
      <c r="AB588" s="1138"/>
      <c r="AC588" s="1138"/>
      <c r="AD588" s="1138"/>
      <c r="AE588" s="1140"/>
      <c r="AF588" s="1137"/>
      <c r="AG588" s="1138"/>
      <c r="AH588" s="1138"/>
      <c r="AI588" s="1138"/>
      <c r="AJ588" s="1140"/>
      <c r="AK588" s="1137"/>
      <c r="AL588" s="1138"/>
      <c r="AM588" s="1138"/>
      <c r="AN588" s="1138"/>
      <c r="AO588" s="1140"/>
      <c r="AP588" s="1137"/>
      <c r="AQ588" s="1138"/>
      <c r="AR588" s="1138"/>
      <c r="AS588" s="1138"/>
      <c r="AT588" s="1140"/>
      <c r="AU588" s="1137">
        <f>SUM(AU570,AU579)</f>
        <v>198.12452229956443</v>
      </c>
      <c r="AV588" s="1138">
        <f t="shared" ref="AV588:BI588" si="1420">SUM(AV570,AV579)</f>
        <v>245.39704226328303</v>
      </c>
      <c r="AW588" s="1138">
        <f t="shared" si="1420"/>
        <v>195.28828382620901</v>
      </c>
      <c r="AX588" s="1138">
        <f t="shared" si="1420"/>
        <v>-132.37842350967497</v>
      </c>
      <c r="AY588" s="1140">
        <f t="shared" si="1420"/>
        <v>506.43142487938144</v>
      </c>
      <c r="AZ588" s="1137">
        <f t="shared" si="1420"/>
        <v>-266.10828391411127</v>
      </c>
      <c r="BA588" s="1138">
        <f t="shared" si="1420"/>
        <v>-360.38617848567509</v>
      </c>
      <c r="BB588" s="1138">
        <f t="shared" si="1420"/>
        <v>-249.83102486504708</v>
      </c>
      <c r="BC588" s="1138">
        <f t="shared" si="1420"/>
        <v>197.62261671530192</v>
      </c>
      <c r="BD588" s="1140">
        <f t="shared" si="1420"/>
        <v>-678.70287054953155</v>
      </c>
      <c r="BE588" s="1137">
        <f t="shared" si="1420"/>
        <v>240.84132841328415</v>
      </c>
      <c r="BF588" s="1138">
        <f t="shared" si="1420"/>
        <v>99.103519061583583</v>
      </c>
      <c r="BG588" s="1138">
        <f t="shared" si="1420"/>
        <v>-77.211089761185832</v>
      </c>
      <c r="BH588" s="1138">
        <f t="shared" si="1420"/>
        <v>-103.53898104265404</v>
      </c>
      <c r="BI588" s="1140">
        <f t="shared" si="1420"/>
        <v>159.1947766710278</v>
      </c>
      <c r="BJ588" s="1137">
        <f t="shared" ref="BJ588:BN592" si="1421">SUM(BJ570,BJ579)</f>
        <v>35.839300291545186</v>
      </c>
      <c r="BK588" s="1138">
        <f t="shared" si="1421"/>
        <v>406.54066031464652</v>
      </c>
      <c r="BL588" s="1138">
        <f t="shared" si="1421"/>
        <v>464.82921810699588</v>
      </c>
      <c r="BM588" s="1138">
        <f t="shared" si="1421"/>
        <v>61.520786092214664</v>
      </c>
      <c r="BN588" s="1140">
        <f t="shared" si="1421"/>
        <v>968.72996480540223</v>
      </c>
      <c r="BO588" s="1138"/>
      <c r="BP588" s="1138"/>
      <c r="BQ588" s="1138"/>
      <c r="BR588" s="1138"/>
      <c r="BS588" s="1960"/>
      <c r="BT588" s="1137">
        <f t="shared" ref="BT588:BX592" si="1422">SUM(BT570,BT579)</f>
        <v>-28.816345702207617</v>
      </c>
      <c r="BU588" s="1138">
        <f t="shared" si="1422"/>
        <v>-258.2292046698285</v>
      </c>
      <c r="BV588" s="1138">
        <f t="shared" si="1422"/>
        <v>-466.39770952628839</v>
      </c>
      <c r="BW588" s="1138">
        <f t="shared" si="1422"/>
        <v>-145.97876791941107</v>
      </c>
      <c r="BX588" s="1140">
        <f t="shared" si="1422"/>
        <v>-901.70479285682745</v>
      </c>
      <c r="BY588" s="1138"/>
      <c r="BZ588" s="1138"/>
      <c r="CA588" s="1138"/>
      <c r="CB588" s="1138"/>
      <c r="CC588" s="1960"/>
      <c r="CD588" s="1137">
        <f t="shared" ref="CD588:DL588" si="1423">SUM(CD570,CD579)</f>
        <v>0</v>
      </c>
      <c r="CE588" s="1138">
        <f t="shared" si="1423"/>
        <v>0</v>
      </c>
      <c r="CF588" s="1138">
        <f t="shared" si="1423"/>
        <v>0</v>
      </c>
      <c r="CG588" s="1138">
        <f t="shared" si="1423"/>
        <v>0</v>
      </c>
      <c r="CH588" s="1140">
        <f t="shared" si="1423"/>
        <v>0</v>
      </c>
      <c r="CI588" s="1137">
        <f t="shared" si="1423"/>
        <v>0</v>
      </c>
      <c r="CJ588" s="1138">
        <f t="shared" si="1423"/>
        <v>0</v>
      </c>
      <c r="CK588" s="1138">
        <f t="shared" si="1423"/>
        <v>0</v>
      </c>
      <c r="CL588" s="1138">
        <f t="shared" si="1423"/>
        <v>0</v>
      </c>
      <c r="CM588" s="1140">
        <f t="shared" si="1423"/>
        <v>0</v>
      </c>
      <c r="CN588" s="1137">
        <f t="shared" si="1423"/>
        <v>0</v>
      </c>
      <c r="CO588" s="1138">
        <f t="shared" si="1423"/>
        <v>0</v>
      </c>
      <c r="CP588" s="1138">
        <f t="shared" si="1423"/>
        <v>0</v>
      </c>
      <c r="CQ588" s="1138">
        <f t="shared" si="1423"/>
        <v>0</v>
      </c>
      <c r="CR588" s="1140">
        <f t="shared" si="1423"/>
        <v>0</v>
      </c>
      <c r="CS588" s="1137">
        <f t="shared" si="1423"/>
        <v>0</v>
      </c>
      <c r="CT588" s="1138">
        <f t="shared" si="1423"/>
        <v>0</v>
      </c>
      <c r="CU588" s="1138">
        <f t="shared" si="1423"/>
        <v>0</v>
      </c>
      <c r="CV588" s="1138">
        <f t="shared" si="1423"/>
        <v>0</v>
      </c>
      <c r="CW588" s="1140">
        <f t="shared" si="1423"/>
        <v>0</v>
      </c>
      <c r="CX588" s="1137">
        <f t="shared" si="1423"/>
        <v>0</v>
      </c>
      <c r="CY588" s="1138">
        <f t="shared" si="1423"/>
        <v>0</v>
      </c>
      <c r="CZ588" s="1138">
        <f t="shared" si="1423"/>
        <v>0</v>
      </c>
      <c r="DA588" s="1138">
        <f t="shared" si="1423"/>
        <v>0</v>
      </c>
      <c r="DB588" s="1140">
        <f t="shared" si="1423"/>
        <v>0</v>
      </c>
      <c r="DC588" s="1137">
        <f t="shared" si="1423"/>
        <v>0</v>
      </c>
      <c r="DD588" s="1138">
        <f t="shared" si="1423"/>
        <v>0</v>
      </c>
      <c r="DE588" s="1138">
        <f t="shared" si="1423"/>
        <v>0</v>
      </c>
      <c r="DF588" s="1138">
        <f t="shared" si="1423"/>
        <v>-496.76138099602804</v>
      </c>
      <c r="DG588" s="1140">
        <f t="shared" si="1423"/>
        <v>-496.76138099602804</v>
      </c>
      <c r="DH588" s="1137">
        <f t="shared" si="1423"/>
        <v>-855.18016456149041</v>
      </c>
      <c r="DI588" s="1138">
        <f t="shared" si="1423"/>
        <v>-925.32472267871822</v>
      </c>
      <c r="DJ588" s="1138">
        <f t="shared" si="1423"/>
        <v>-350.48569100471616</v>
      </c>
      <c r="DK588" s="1138">
        <f t="shared" si="1423"/>
        <v>-268.39900162778076</v>
      </c>
      <c r="DL588" s="1140">
        <f t="shared" si="1423"/>
        <v>-2399.3895798727053</v>
      </c>
      <c r="DM588" s="1137"/>
      <c r="DN588" s="1138"/>
      <c r="DO588" s="1138"/>
      <c r="DP588" s="1138"/>
      <c r="DQ588" s="1140"/>
      <c r="DR588" s="1138"/>
      <c r="DS588" s="1138"/>
      <c r="DT588" s="1138"/>
      <c r="DU588" s="1138"/>
      <c r="DV588" s="1140"/>
      <c r="DW588" s="1138"/>
      <c r="DX588" s="1138"/>
      <c r="DY588" s="1138"/>
      <c r="DZ588" s="1138"/>
      <c r="EA588" s="1140"/>
      <c r="EB588" s="1138"/>
      <c r="EC588" s="1138"/>
      <c r="ED588" s="1138"/>
      <c r="EE588" s="1138"/>
      <c r="EF588" s="1140"/>
      <c r="EG588" s="1138"/>
      <c r="EH588" s="1138"/>
      <c r="EI588" s="1138"/>
      <c r="EJ588" s="1138"/>
      <c r="EK588" s="1140"/>
      <c r="EL588" s="1138"/>
      <c r="EM588" s="1138"/>
      <c r="EN588" s="1138"/>
      <c r="EO588" s="1138"/>
      <c r="EP588" s="1140"/>
      <c r="EQ588" s="1138"/>
      <c r="ER588" s="1138"/>
      <c r="ES588" s="1138"/>
      <c r="ET588" s="1138"/>
      <c r="EU588" s="1140"/>
      <c r="EV588" s="1140"/>
      <c r="EW588" s="1140"/>
      <c r="EX588" s="1140"/>
      <c r="EY588" s="1140"/>
      <c r="EZ588" s="175"/>
      <c r="FA588" s="4271"/>
      <c r="FB588" s="4271"/>
    </row>
    <row r="589" spans="1:158" s="180" customFormat="1" ht="11.25" hidden="1" customHeight="1">
      <c r="A589" s="2367" t="s">
        <v>498</v>
      </c>
      <c r="B589" s="1137"/>
      <c r="C589" s="1138"/>
      <c r="D589" s="1138"/>
      <c r="E589" s="1147"/>
      <c r="F589" s="1148"/>
      <c r="G589" s="1137"/>
      <c r="H589" s="1138"/>
      <c r="I589" s="1138"/>
      <c r="J589" s="1138"/>
      <c r="K589" s="1140"/>
      <c r="L589" s="1138"/>
      <c r="M589" s="1138"/>
      <c r="N589" s="1138"/>
      <c r="O589" s="1138"/>
      <c r="P589" s="1140"/>
      <c r="Q589" s="1137"/>
      <c r="R589" s="1138"/>
      <c r="S589" s="1138"/>
      <c r="T589" s="1138"/>
      <c r="U589" s="1140"/>
      <c r="V589" s="1137"/>
      <c r="W589" s="1138"/>
      <c r="X589" s="1138"/>
      <c r="Y589" s="1138"/>
      <c r="Z589" s="1140"/>
      <c r="AA589" s="1137"/>
      <c r="AB589" s="1138"/>
      <c r="AC589" s="1138"/>
      <c r="AD589" s="1138"/>
      <c r="AE589" s="1140"/>
      <c r="AF589" s="1137"/>
      <c r="AG589" s="1138"/>
      <c r="AH589" s="1138"/>
      <c r="AI589" s="1138"/>
      <c r="AJ589" s="1140"/>
      <c r="AK589" s="1137"/>
      <c r="AL589" s="1138"/>
      <c r="AM589" s="1138"/>
      <c r="AN589" s="1138"/>
      <c r="AO589" s="1140"/>
      <c r="AP589" s="1137"/>
      <c r="AQ589" s="1138"/>
      <c r="AR589" s="1138"/>
      <c r="AS589" s="1138"/>
      <c r="AT589" s="1140"/>
      <c r="AU589" s="1137">
        <f>SUM(AU571,AU580)</f>
        <v>198.12452229956443</v>
      </c>
      <c r="AV589" s="1138">
        <f t="shared" ref="AV589:BI589" si="1424">SUM(AV571,AV580)</f>
        <v>240.75961784255958</v>
      </c>
      <c r="AW589" s="1138">
        <f t="shared" si="1424"/>
        <v>162.25732780812615</v>
      </c>
      <c r="AX589" s="1138">
        <f t="shared" si="1424"/>
        <v>-256.8392461967436</v>
      </c>
      <c r="AY589" s="1140">
        <f t="shared" si="1424"/>
        <v>344.30222175350656</v>
      </c>
      <c r="AZ589" s="1137">
        <f t="shared" si="1424"/>
        <v>-415.1289229060136</v>
      </c>
      <c r="BA589" s="1138">
        <f t="shared" si="1424"/>
        <v>-480.19284371951881</v>
      </c>
      <c r="BB589" s="1138">
        <f t="shared" si="1424"/>
        <v>-287.59617978650772</v>
      </c>
      <c r="BC589" s="1138">
        <f t="shared" si="1424"/>
        <v>189.87271017744695</v>
      </c>
      <c r="BD589" s="1140">
        <f t="shared" si="1424"/>
        <v>-993.0452362345934</v>
      </c>
      <c r="BE589" s="1137">
        <f t="shared" si="1424"/>
        <v>231.28413284132841</v>
      </c>
      <c r="BF589" s="1138">
        <f t="shared" si="1424"/>
        <v>23.092082111436952</v>
      </c>
      <c r="BG589" s="1138">
        <f t="shared" si="1424"/>
        <v>-163.1084271205051</v>
      </c>
      <c r="BH589" s="1138">
        <f t="shared" si="1424"/>
        <v>-127.73033175355451</v>
      </c>
      <c r="BI589" s="1140">
        <f t="shared" si="1424"/>
        <v>-36.46254392129422</v>
      </c>
      <c r="BJ589" s="1137">
        <f t="shared" si="1421"/>
        <v>22.278483965014576</v>
      </c>
      <c r="BK589" s="1138">
        <f t="shared" si="1421"/>
        <v>402.67804121426985</v>
      </c>
      <c r="BL589" s="1138">
        <f t="shared" si="1421"/>
        <v>463.86882716049382</v>
      </c>
      <c r="BM589" s="1138">
        <f t="shared" si="1421"/>
        <v>37.489229024943313</v>
      </c>
      <c r="BN589" s="1140">
        <f t="shared" si="1421"/>
        <v>926.31458136472156</v>
      </c>
      <c r="BO589" s="1138"/>
      <c r="BP589" s="1138"/>
      <c r="BQ589" s="1138"/>
      <c r="BR589" s="1138"/>
      <c r="BS589" s="1960"/>
      <c r="BT589" s="1137">
        <f t="shared" si="1422"/>
        <v>-64.356505401597005</v>
      </c>
      <c r="BU589" s="1138">
        <f t="shared" si="1422"/>
        <v>-335.9859540313754</v>
      </c>
      <c r="BV589" s="1138">
        <f t="shared" si="1422"/>
        <v>-524.81520041644978</v>
      </c>
      <c r="BW589" s="1138">
        <f t="shared" si="1422"/>
        <v>-180.60193723363034</v>
      </c>
      <c r="BX589" s="1140">
        <f t="shared" si="1422"/>
        <v>-1107.7256232474285</v>
      </c>
      <c r="BY589" s="1138"/>
      <c r="BZ589" s="1138"/>
      <c r="CA589" s="1138"/>
      <c r="CB589" s="1138"/>
      <c r="CC589" s="1960"/>
      <c r="CD589" s="1137">
        <f t="shared" ref="CD589:DL589" si="1425">SUM(CD571,CD580)</f>
        <v>0</v>
      </c>
      <c r="CE589" s="1138">
        <f t="shared" si="1425"/>
        <v>0</v>
      </c>
      <c r="CF589" s="1138">
        <f t="shared" si="1425"/>
        <v>0</v>
      </c>
      <c r="CG589" s="1138">
        <f t="shared" si="1425"/>
        <v>0</v>
      </c>
      <c r="CH589" s="1140">
        <f t="shared" si="1425"/>
        <v>0</v>
      </c>
      <c r="CI589" s="1137">
        <f t="shared" si="1425"/>
        <v>0</v>
      </c>
      <c r="CJ589" s="1138">
        <f t="shared" si="1425"/>
        <v>0</v>
      </c>
      <c r="CK589" s="1138">
        <f t="shared" si="1425"/>
        <v>0</v>
      </c>
      <c r="CL589" s="1138">
        <f t="shared" si="1425"/>
        <v>0</v>
      </c>
      <c r="CM589" s="1140">
        <f t="shared" si="1425"/>
        <v>0</v>
      </c>
      <c r="CN589" s="1137">
        <f t="shared" si="1425"/>
        <v>0</v>
      </c>
      <c r="CO589" s="1138">
        <f t="shared" si="1425"/>
        <v>0</v>
      </c>
      <c r="CP589" s="1138">
        <f t="shared" si="1425"/>
        <v>0</v>
      </c>
      <c r="CQ589" s="1138">
        <f t="shared" si="1425"/>
        <v>0</v>
      </c>
      <c r="CR589" s="1140">
        <f t="shared" si="1425"/>
        <v>0</v>
      </c>
      <c r="CS589" s="1137">
        <f t="shared" si="1425"/>
        <v>0</v>
      </c>
      <c r="CT589" s="1138">
        <f t="shared" si="1425"/>
        <v>0</v>
      </c>
      <c r="CU589" s="1138">
        <f t="shared" si="1425"/>
        <v>0</v>
      </c>
      <c r="CV589" s="1138">
        <f t="shared" si="1425"/>
        <v>0</v>
      </c>
      <c r="CW589" s="1140">
        <f t="shared" si="1425"/>
        <v>0</v>
      </c>
      <c r="CX589" s="1137">
        <f t="shared" si="1425"/>
        <v>0</v>
      </c>
      <c r="CY589" s="1138">
        <f t="shared" si="1425"/>
        <v>0</v>
      </c>
      <c r="CZ589" s="1138">
        <f t="shared" si="1425"/>
        <v>0</v>
      </c>
      <c r="DA589" s="1138">
        <f t="shared" si="1425"/>
        <v>0</v>
      </c>
      <c r="DB589" s="1140">
        <f t="shared" si="1425"/>
        <v>0</v>
      </c>
      <c r="DC589" s="1137">
        <f t="shared" si="1425"/>
        <v>0</v>
      </c>
      <c r="DD589" s="1138">
        <f t="shared" si="1425"/>
        <v>0</v>
      </c>
      <c r="DE589" s="1138">
        <f t="shared" si="1425"/>
        <v>0</v>
      </c>
      <c r="DF589" s="1138">
        <f t="shared" si="1425"/>
        <v>-599.42539973520729</v>
      </c>
      <c r="DG589" s="1140">
        <f t="shared" si="1425"/>
        <v>-599.42539973520729</v>
      </c>
      <c r="DH589" s="1137">
        <f t="shared" si="1425"/>
        <v>-970.49481273562833</v>
      </c>
      <c r="DI589" s="1138">
        <f t="shared" si="1425"/>
        <v>-1015.4375</v>
      </c>
      <c r="DJ589" s="1138">
        <f t="shared" si="1425"/>
        <v>-449.78997012271907</v>
      </c>
      <c r="DK589" s="1138">
        <f t="shared" si="1425"/>
        <v>-343.32019533369504</v>
      </c>
      <c r="DL589" s="1140">
        <f t="shared" si="1425"/>
        <v>-2779.0424781920428</v>
      </c>
      <c r="DM589" s="1137"/>
      <c r="DN589" s="1138"/>
      <c r="DO589" s="1138"/>
      <c r="DP589" s="1138"/>
      <c r="DQ589" s="1140"/>
      <c r="DR589" s="1138"/>
      <c r="DS589" s="1138"/>
      <c r="DT589" s="1138"/>
      <c r="DU589" s="1138"/>
      <c r="DV589" s="1140"/>
      <c r="DW589" s="1138"/>
      <c r="DX589" s="1138"/>
      <c r="DY589" s="1138"/>
      <c r="DZ589" s="1138"/>
      <c r="EA589" s="1140"/>
      <c r="EB589" s="1138"/>
      <c r="EC589" s="1138"/>
      <c r="ED589" s="1138"/>
      <c r="EE589" s="1138"/>
      <c r="EF589" s="1140"/>
      <c r="EG589" s="1138"/>
      <c r="EH589" s="1138"/>
      <c r="EI589" s="1138"/>
      <c r="EJ589" s="1138"/>
      <c r="EK589" s="1140"/>
      <c r="EL589" s="1138"/>
      <c r="EM589" s="1138"/>
      <c r="EN589" s="1138"/>
      <c r="EO589" s="1138"/>
      <c r="EP589" s="1140"/>
      <c r="EQ589" s="1138"/>
      <c r="ER589" s="1138"/>
      <c r="ES589" s="1138"/>
      <c r="ET589" s="1138"/>
      <c r="EU589" s="1140"/>
      <c r="EV589" s="1140"/>
      <c r="EW589" s="1140"/>
      <c r="EX589" s="1140"/>
      <c r="EY589" s="1140"/>
      <c r="EZ589" s="175"/>
      <c r="FA589" s="4271"/>
      <c r="FB589" s="4271"/>
    </row>
    <row r="590" spans="1:158" s="180" customFormat="1" ht="11.25" hidden="1" customHeight="1">
      <c r="A590" s="2367" t="s">
        <v>499</v>
      </c>
      <c r="B590" s="1137"/>
      <c r="C590" s="1138"/>
      <c r="D590" s="1138"/>
      <c r="E590" s="1147"/>
      <c r="F590" s="1148"/>
      <c r="G590" s="1137"/>
      <c r="H590" s="1138"/>
      <c r="I590" s="1138"/>
      <c r="J590" s="1138"/>
      <c r="K590" s="1140"/>
      <c r="L590" s="1138"/>
      <c r="M590" s="1138"/>
      <c r="N590" s="1138"/>
      <c r="O590" s="1138"/>
      <c r="P590" s="1140"/>
      <c r="Q590" s="1137"/>
      <c r="R590" s="1138"/>
      <c r="S590" s="1138"/>
      <c r="T590" s="1138"/>
      <c r="U590" s="1140"/>
      <c r="V590" s="1137"/>
      <c r="W590" s="1138"/>
      <c r="X590" s="1138"/>
      <c r="Y590" s="1138"/>
      <c r="Z590" s="1140"/>
      <c r="AA590" s="1137"/>
      <c r="AB590" s="1138"/>
      <c r="AC590" s="1138"/>
      <c r="AD590" s="1138"/>
      <c r="AE590" s="1140"/>
      <c r="AF590" s="1137"/>
      <c r="AG590" s="1138"/>
      <c r="AH590" s="1138"/>
      <c r="AI590" s="1138"/>
      <c r="AJ590" s="1140"/>
      <c r="AK590" s="1137"/>
      <c r="AL590" s="1138"/>
      <c r="AM590" s="1138"/>
      <c r="AN590" s="1138"/>
      <c r="AO590" s="1140"/>
      <c r="AP590" s="1137"/>
      <c r="AQ590" s="1138"/>
      <c r="AR590" s="1138"/>
      <c r="AS590" s="1138"/>
      <c r="AT590" s="1140"/>
      <c r="AU590" s="1137">
        <f>SUM(AU572,AU581)</f>
        <v>0</v>
      </c>
      <c r="AV590" s="1138">
        <f t="shared" ref="AV590:BI590" si="1426">SUM(AV572,AV581)</f>
        <v>4.637424420723459</v>
      </c>
      <c r="AW590" s="1138">
        <f t="shared" si="1426"/>
        <v>33.030956018082833</v>
      </c>
      <c r="AX590" s="1138">
        <f t="shared" si="1426"/>
        <v>124.4608226870686</v>
      </c>
      <c r="AY590" s="1140">
        <f t="shared" si="1426"/>
        <v>162.12920312587488</v>
      </c>
      <c r="AZ590" s="1137">
        <f t="shared" si="1426"/>
        <v>149.02063899190233</v>
      </c>
      <c r="BA590" s="1138">
        <f t="shared" si="1426"/>
        <v>119.80666523384374</v>
      </c>
      <c r="BB590" s="1138">
        <f t="shared" si="1426"/>
        <v>37.765154921460613</v>
      </c>
      <c r="BC590" s="1138">
        <f t="shared" si="1426"/>
        <v>7.7499065378549776</v>
      </c>
      <c r="BD590" s="1140">
        <f t="shared" si="1426"/>
        <v>314.34236568506162</v>
      </c>
      <c r="BE590" s="1137">
        <f t="shared" si="1426"/>
        <v>9.5571955719557202</v>
      </c>
      <c r="BF590" s="1138">
        <f t="shared" si="1426"/>
        <v>76.011436950146631</v>
      </c>
      <c r="BG590" s="1138">
        <f t="shared" si="1426"/>
        <v>85.897337359319238</v>
      </c>
      <c r="BH590" s="1138">
        <f t="shared" si="1426"/>
        <v>24.191350710900473</v>
      </c>
      <c r="BI590" s="1140">
        <f t="shared" si="1426"/>
        <v>195.65732059232207</v>
      </c>
      <c r="BJ590" s="1137">
        <f t="shared" si="1421"/>
        <v>13.560816326530613</v>
      </c>
      <c r="BK590" s="1138">
        <f t="shared" si="1421"/>
        <v>3.8626191003766897</v>
      </c>
      <c r="BL590" s="1138">
        <f t="shared" si="1421"/>
        <v>0.9603909465020577</v>
      </c>
      <c r="BM590" s="1138">
        <f t="shared" si="1421"/>
        <v>24.031557067271358</v>
      </c>
      <c r="BN590" s="1140">
        <f t="shared" si="1421"/>
        <v>42.415383440680714</v>
      </c>
      <c r="BO590" s="1138"/>
      <c r="BP590" s="1138"/>
      <c r="BQ590" s="1138"/>
      <c r="BR590" s="1138"/>
      <c r="BS590" s="1960"/>
      <c r="BT590" s="1137">
        <f t="shared" si="1422"/>
        <v>35.540159699389385</v>
      </c>
      <c r="BU590" s="1138">
        <f t="shared" si="1422"/>
        <v>77.756749361546881</v>
      </c>
      <c r="BV590" s="1138">
        <f t="shared" si="1422"/>
        <v>58.417490890161375</v>
      </c>
      <c r="BW590" s="1138">
        <f t="shared" si="1422"/>
        <v>34.62316931421929</v>
      </c>
      <c r="BX590" s="1140">
        <f t="shared" si="1422"/>
        <v>206.02083039060102</v>
      </c>
      <c r="BY590" s="1138"/>
      <c r="BZ590" s="1138"/>
      <c r="CA590" s="1138"/>
      <c r="CB590" s="1138"/>
      <c r="CC590" s="1960"/>
      <c r="CD590" s="1137">
        <f t="shared" ref="CD590:DL590" si="1427">SUM(CD572,CD581)</f>
        <v>0</v>
      </c>
      <c r="CE590" s="1138">
        <f t="shared" si="1427"/>
        <v>0</v>
      </c>
      <c r="CF590" s="1138">
        <f t="shared" si="1427"/>
        <v>0</v>
      </c>
      <c r="CG590" s="1138">
        <f t="shared" si="1427"/>
        <v>0</v>
      </c>
      <c r="CH590" s="1140">
        <f t="shared" si="1427"/>
        <v>0</v>
      </c>
      <c r="CI590" s="1137">
        <f t="shared" si="1427"/>
        <v>0</v>
      </c>
      <c r="CJ590" s="1138">
        <f t="shared" si="1427"/>
        <v>0</v>
      </c>
      <c r="CK590" s="1138">
        <f t="shared" si="1427"/>
        <v>0</v>
      </c>
      <c r="CL590" s="1138">
        <f t="shared" si="1427"/>
        <v>0</v>
      </c>
      <c r="CM590" s="1140">
        <f t="shared" si="1427"/>
        <v>0</v>
      </c>
      <c r="CN590" s="1137">
        <f t="shared" si="1427"/>
        <v>0</v>
      </c>
      <c r="CO590" s="1138">
        <f t="shared" si="1427"/>
        <v>0</v>
      </c>
      <c r="CP590" s="1138">
        <f t="shared" si="1427"/>
        <v>0</v>
      </c>
      <c r="CQ590" s="1138">
        <f t="shared" si="1427"/>
        <v>0</v>
      </c>
      <c r="CR590" s="1140">
        <f t="shared" si="1427"/>
        <v>0</v>
      </c>
      <c r="CS590" s="1137">
        <f t="shared" si="1427"/>
        <v>0</v>
      </c>
      <c r="CT590" s="1138">
        <f t="shared" si="1427"/>
        <v>0</v>
      </c>
      <c r="CU590" s="1138">
        <f t="shared" si="1427"/>
        <v>0</v>
      </c>
      <c r="CV590" s="1138">
        <f t="shared" si="1427"/>
        <v>0</v>
      </c>
      <c r="CW590" s="1140">
        <f t="shared" si="1427"/>
        <v>0</v>
      </c>
      <c r="CX590" s="1137">
        <f t="shared" si="1427"/>
        <v>0</v>
      </c>
      <c r="CY590" s="1138">
        <f t="shared" si="1427"/>
        <v>0</v>
      </c>
      <c r="CZ590" s="1138">
        <f t="shared" si="1427"/>
        <v>0</v>
      </c>
      <c r="DA590" s="1138">
        <f t="shared" si="1427"/>
        <v>0</v>
      </c>
      <c r="DB590" s="1140">
        <f t="shared" si="1427"/>
        <v>0</v>
      </c>
      <c r="DC590" s="1137">
        <f t="shared" si="1427"/>
        <v>0</v>
      </c>
      <c r="DD590" s="1138">
        <f t="shared" si="1427"/>
        <v>0</v>
      </c>
      <c r="DE590" s="1138">
        <f t="shared" si="1427"/>
        <v>0</v>
      </c>
      <c r="DF590" s="1138">
        <f t="shared" si="1427"/>
        <v>102.66401873917914</v>
      </c>
      <c r="DG590" s="1140">
        <f t="shared" si="1427"/>
        <v>102.66401873917914</v>
      </c>
      <c r="DH590" s="1137">
        <f t="shared" si="1427"/>
        <v>115.31464817413797</v>
      </c>
      <c r="DI590" s="1138">
        <f t="shared" si="1427"/>
        <v>90.11277732128184</v>
      </c>
      <c r="DJ590" s="1138">
        <f t="shared" si="1427"/>
        <v>99.30427911800291</v>
      </c>
      <c r="DK590" s="1138">
        <f t="shared" si="1427"/>
        <v>74.921193705914263</v>
      </c>
      <c r="DL590" s="1140">
        <f t="shared" si="1427"/>
        <v>379.652898319337</v>
      </c>
      <c r="DM590" s="1137"/>
      <c r="DN590" s="1138"/>
      <c r="DO590" s="1138"/>
      <c r="DP590" s="1138"/>
      <c r="DQ590" s="1140"/>
      <c r="DR590" s="1138"/>
      <c r="DS590" s="1138"/>
      <c r="DT590" s="1138"/>
      <c r="DU590" s="1138"/>
      <c r="DV590" s="1140"/>
      <c r="DW590" s="1138"/>
      <c r="DX590" s="1138"/>
      <c r="DY590" s="1138"/>
      <c r="DZ590" s="1138"/>
      <c r="EA590" s="1140"/>
      <c r="EB590" s="1138"/>
      <c r="EC590" s="1138"/>
      <c r="ED590" s="1138"/>
      <c r="EE590" s="1138"/>
      <c r="EF590" s="1140"/>
      <c r="EG590" s="1138"/>
      <c r="EH590" s="1138"/>
      <c r="EI590" s="1138"/>
      <c r="EJ590" s="1138"/>
      <c r="EK590" s="1140"/>
      <c r="EL590" s="1138"/>
      <c r="EM590" s="1138"/>
      <c r="EN590" s="1138"/>
      <c r="EO590" s="1138"/>
      <c r="EP590" s="1140"/>
      <c r="EQ590" s="1138"/>
      <c r="ER590" s="1138"/>
      <c r="ES590" s="1138"/>
      <c r="ET590" s="1138"/>
      <c r="EU590" s="1140"/>
      <c r="EV590" s="1140"/>
      <c r="EW590" s="1140"/>
      <c r="EX590" s="1140"/>
      <c r="EY590" s="1140"/>
      <c r="EZ590" s="175"/>
      <c r="FA590" s="4271"/>
      <c r="FB590" s="4271"/>
    </row>
    <row r="591" spans="1:158" s="180" customFormat="1" ht="11.25" hidden="1" customHeight="1">
      <c r="A591" s="2367" t="s">
        <v>502</v>
      </c>
      <c r="B591" s="1137"/>
      <c r="C591" s="1138"/>
      <c r="D591" s="1138"/>
      <c r="E591" s="1147"/>
      <c r="F591" s="1148"/>
      <c r="G591" s="1137"/>
      <c r="H591" s="1138"/>
      <c r="I591" s="1138"/>
      <c r="J591" s="1138"/>
      <c r="K591" s="1140"/>
      <c r="L591" s="1138"/>
      <c r="M591" s="1138"/>
      <c r="N591" s="1138"/>
      <c r="O591" s="1138"/>
      <c r="P591" s="1140"/>
      <c r="Q591" s="1137"/>
      <c r="R591" s="1138"/>
      <c r="S591" s="1138"/>
      <c r="T591" s="1138"/>
      <c r="U591" s="1140"/>
      <c r="V591" s="1137"/>
      <c r="W591" s="1138"/>
      <c r="X591" s="1138"/>
      <c r="Y591" s="1138"/>
      <c r="Z591" s="1140"/>
      <c r="AA591" s="1137"/>
      <c r="AB591" s="1138"/>
      <c r="AC591" s="1138"/>
      <c r="AD591" s="1138"/>
      <c r="AE591" s="1140"/>
      <c r="AF591" s="1137"/>
      <c r="AG591" s="1138"/>
      <c r="AH591" s="1138"/>
      <c r="AI591" s="1138"/>
      <c r="AJ591" s="1140"/>
      <c r="AK591" s="1137"/>
      <c r="AL591" s="1138"/>
      <c r="AM591" s="1138"/>
      <c r="AN591" s="1138"/>
      <c r="AO591" s="1140"/>
      <c r="AP591" s="1137"/>
      <c r="AQ591" s="1138"/>
      <c r="AR591" s="1138"/>
      <c r="AS591" s="1138"/>
      <c r="AT591" s="1140"/>
      <c r="AU591" s="1137">
        <f>SUM(AU573,AU582)</f>
        <v>4888.4214777004363</v>
      </c>
      <c r="AV591" s="1138">
        <f t="shared" ref="AV591:BI591" si="1428">SUM(AV573,AV582)</f>
        <v>4940.0279577367164</v>
      </c>
      <c r="AW591" s="1138">
        <f t="shared" si="1428"/>
        <v>5156.6837161737913</v>
      </c>
      <c r="AX591" s="1138">
        <f t="shared" si="1428"/>
        <v>5636.9494235096754</v>
      </c>
      <c r="AY591" s="1140">
        <f t="shared" si="1428"/>
        <v>20622.082575120621</v>
      </c>
      <c r="AZ591" s="1137">
        <f t="shared" si="1428"/>
        <v>5596.9732839141107</v>
      </c>
      <c r="BA591" s="1138">
        <f t="shared" si="1428"/>
        <v>5696.5141784856751</v>
      </c>
      <c r="BB591" s="1138">
        <f t="shared" si="1428"/>
        <v>6006.452024865047</v>
      </c>
      <c r="BC591" s="1138">
        <f t="shared" si="1428"/>
        <v>6267.5673832846978</v>
      </c>
      <c r="BD591" s="1140">
        <f t="shared" si="1428"/>
        <v>23567.506870549529</v>
      </c>
      <c r="BE591" s="1137">
        <f t="shared" si="1428"/>
        <v>6234.1586715867161</v>
      </c>
      <c r="BF591" s="1138">
        <f t="shared" si="1428"/>
        <v>6462.8964809384161</v>
      </c>
      <c r="BG591" s="1138">
        <f t="shared" si="1428"/>
        <v>7109.2110897611856</v>
      </c>
      <c r="BH591" s="1138">
        <f t="shared" si="1428"/>
        <v>8270.538981042655</v>
      </c>
      <c r="BI591" s="1140">
        <f t="shared" si="1428"/>
        <v>28076.805223328975</v>
      </c>
      <c r="BJ591" s="1137">
        <f t="shared" si="1421"/>
        <v>8270.1606997084546</v>
      </c>
      <c r="BK591" s="1138">
        <f t="shared" si="1421"/>
        <v>8309.4593396853543</v>
      </c>
      <c r="BL591" s="1138">
        <f t="shared" si="1421"/>
        <v>8870.1707818930045</v>
      </c>
      <c r="BM591" s="1138">
        <f t="shared" si="1421"/>
        <v>10112.479213907785</v>
      </c>
      <c r="BN591" s="1140">
        <f t="shared" si="1421"/>
        <v>35562.270035194597</v>
      </c>
      <c r="BO591" s="1138"/>
      <c r="BP591" s="1138"/>
      <c r="BQ591" s="1138"/>
      <c r="BR591" s="1138"/>
      <c r="BS591" s="1960"/>
      <c r="BT591" s="1137">
        <f t="shared" si="1422"/>
        <v>10253.816345702207</v>
      </c>
      <c r="BU591" s="1138">
        <f t="shared" si="1422"/>
        <v>10783.229204669828</v>
      </c>
      <c r="BV591" s="1138">
        <f t="shared" si="1422"/>
        <v>11326.397709526289</v>
      </c>
      <c r="BW591" s="1138">
        <f t="shared" si="1422"/>
        <v>12221.978767919411</v>
      </c>
      <c r="BX591" s="1140">
        <f t="shared" si="1422"/>
        <v>44587.704792856828</v>
      </c>
      <c r="BY591" s="1138"/>
      <c r="BZ591" s="1138"/>
      <c r="CA591" s="1138"/>
      <c r="CB591" s="1138"/>
      <c r="CC591" s="1960"/>
      <c r="CD591" s="1137">
        <f t="shared" ref="CD591:DL591" si="1429">SUM(CD573,CD582)</f>
        <v>12031</v>
      </c>
      <c r="CE591" s="1138">
        <f t="shared" si="1429"/>
        <v>12182</v>
      </c>
      <c r="CF591" s="1138">
        <f t="shared" si="1429"/>
        <v>12653</v>
      </c>
      <c r="CG591" s="1138">
        <f t="shared" si="1429"/>
        <v>14206</v>
      </c>
      <c r="CH591" s="1140">
        <f t="shared" si="1429"/>
        <v>51072</v>
      </c>
      <c r="CI591" s="1137">
        <f t="shared" si="1429"/>
        <v>13997</v>
      </c>
      <c r="CJ591" s="1138">
        <f t="shared" si="1429"/>
        <v>14498</v>
      </c>
      <c r="CK591" s="1138">
        <f t="shared" si="1429"/>
        <v>14820</v>
      </c>
      <c r="CL591" s="1138">
        <f t="shared" si="1429"/>
        <v>16309</v>
      </c>
      <c r="CM591" s="1140">
        <f t="shared" si="1429"/>
        <v>59624</v>
      </c>
      <c r="CN591" s="1137">
        <f t="shared" si="1429"/>
        <v>15508</v>
      </c>
      <c r="CO591" s="1138">
        <f t="shared" si="1429"/>
        <v>16023</v>
      </c>
      <c r="CP591" s="1138">
        <f t="shared" si="1429"/>
        <v>16781</v>
      </c>
      <c r="CQ591" s="1138">
        <f t="shared" si="1429"/>
        <v>19078</v>
      </c>
      <c r="CR591" s="1140">
        <f t="shared" si="1429"/>
        <v>67390</v>
      </c>
      <c r="CS591" s="1137">
        <f t="shared" si="1429"/>
        <v>18020</v>
      </c>
      <c r="CT591" s="1138">
        <f t="shared" si="1429"/>
        <v>19143</v>
      </c>
      <c r="CU591" s="1138">
        <f t="shared" si="1429"/>
        <v>19821</v>
      </c>
      <c r="CV591" s="1138">
        <f t="shared" si="1429"/>
        <v>22399</v>
      </c>
      <c r="CW591" s="1140">
        <f t="shared" si="1429"/>
        <v>79383</v>
      </c>
      <c r="CX591" s="1137">
        <f t="shared" si="1429"/>
        <v>21411</v>
      </c>
      <c r="CY591" s="1138">
        <f t="shared" si="1429"/>
        <v>22672</v>
      </c>
      <c r="CZ591" s="1138">
        <f t="shared" si="1429"/>
        <v>24065</v>
      </c>
      <c r="DA591" s="1138">
        <f t="shared" si="1429"/>
        <v>27227</v>
      </c>
      <c r="DB591" s="1140">
        <f t="shared" si="1429"/>
        <v>95375</v>
      </c>
      <c r="DC591" s="1137">
        <f t="shared" si="1429"/>
        <v>26642</v>
      </c>
      <c r="DD591" s="1138">
        <f t="shared" si="1429"/>
        <v>28087</v>
      </c>
      <c r="DE591" s="1138">
        <f t="shared" si="1429"/>
        <v>28954</v>
      </c>
      <c r="DF591" s="1138">
        <f t="shared" si="1429"/>
        <v>33014.761380996031</v>
      </c>
      <c r="DG591" s="1140">
        <f t="shared" si="1429"/>
        <v>116697.76138099603</v>
      </c>
      <c r="DH591" s="1137">
        <f t="shared" si="1429"/>
        <v>31442.180164561491</v>
      </c>
      <c r="DI591" s="1138">
        <f t="shared" si="1429"/>
        <v>33419.324722678721</v>
      </c>
      <c r="DJ591" s="1138">
        <f t="shared" si="1429"/>
        <v>34146.485691004717</v>
      </c>
      <c r="DK591" s="1138">
        <f t="shared" si="1429"/>
        <v>38202.399001627782</v>
      </c>
      <c r="DL591" s="1140">
        <f t="shared" si="1429"/>
        <v>137210.38957987272</v>
      </c>
      <c r="DM591" s="1137"/>
      <c r="DN591" s="1138"/>
      <c r="DO591" s="1138"/>
      <c r="DP591" s="1138"/>
      <c r="DQ591" s="1140"/>
      <c r="DR591" s="1138"/>
      <c r="DS591" s="1138"/>
      <c r="DT591" s="1138"/>
      <c r="DU591" s="1138"/>
      <c r="DV591" s="1140"/>
      <c r="DW591" s="1138"/>
      <c r="DX591" s="1138"/>
      <c r="DY591" s="1138"/>
      <c r="DZ591" s="1138"/>
      <c r="EA591" s="1140"/>
      <c r="EB591" s="1138"/>
      <c r="EC591" s="1138"/>
      <c r="ED591" s="1138"/>
      <c r="EE591" s="1138"/>
      <c r="EF591" s="1140"/>
      <c r="EG591" s="1138"/>
      <c r="EH591" s="1138"/>
      <c r="EI591" s="1138"/>
      <c r="EJ591" s="1138"/>
      <c r="EK591" s="1140"/>
      <c r="EL591" s="1138"/>
      <c r="EM591" s="1138"/>
      <c r="EN591" s="1138"/>
      <c r="EO591" s="1138"/>
      <c r="EP591" s="1140"/>
      <c r="EQ591" s="1138"/>
      <c r="ER591" s="1138"/>
      <c r="ES591" s="1138"/>
      <c r="ET591" s="1138"/>
      <c r="EU591" s="1140"/>
      <c r="EV591" s="1140"/>
      <c r="EW591" s="1140"/>
      <c r="EX591" s="1140"/>
      <c r="EY591" s="1140"/>
      <c r="EZ591" s="175"/>
      <c r="FA591" s="4271"/>
      <c r="FB591" s="4271"/>
    </row>
    <row r="592" spans="1:158" s="180" customFormat="1" ht="11.25" hidden="1" customHeight="1">
      <c r="A592" s="2367" t="s">
        <v>503</v>
      </c>
      <c r="B592" s="1141"/>
      <c r="C592" s="1138"/>
      <c r="D592" s="1138"/>
      <c r="E592" s="1147"/>
      <c r="F592" s="1139"/>
      <c r="G592" s="1141"/>
      <c r="H592" s="1138"/>
      <c r="I592" s="1138"/>
      <c r="J592" s="1138"/>
      <c r="K592" s="1140"/>
      <c r="L592" s="1138"/>
      <c r="M592" s="1138"/>
      <c r="N592" s="1138"/>
      <c r="O592" s="1138"/>
      <c r="P592" s="1140"/>
      <c r="Q592" s="1141"/>
      <c r="R592" s="1138"/>
      <c r="S592" s="1138"/>
      <c r="T592" s="1138"/>
      <c r="U592" s="1140"/>
      <c r="V592" s="1141"/>
      <c r="W592" s="1138"/>
      <c r="X592" s="1138"/>
      <c r="Y592" s="1138"/>
      <c r="Z592" s="1140"/>
      <c r="AA592" s="1141"/>
      <c r="AB592" s="1138"/>
      <c r="AC592" s="1138"/>
      <c r="AD592" s="1138"/>
      <c r="AE592" s="1140"/>
      <c r="AF592" s="1141"/>
      <c r="AG592" s="1138"/>
      <c r="AH592" s="1138"/>
      <c r="AI592" s="1138"/>
      <c r="AJ592" s="1140"/>
      <c r="AK592" s="1141"/>
      <c r="AL592" s="1138"/>
      <c r="AM592" s="1138"/>
      <c r="AN592" s="1138"/>
      <c r="AO592" s="1140"/>
      <c r="AP592" s="1138"/>
      <c r="AQ592" s="1138"/>
      <c r="AR592" s="1138"/>
      <c r="AS592" s="1138"/>
      <c r="AT592" s="1140"/>
      <c r="AU592" s="1137">
        <f>SUM(AU574,AU583)</f>
        <v>5086.5460000000003</v>
      </c>
      <c r="AV592" s="1138">
        <f t="shared" ref="AV592:BI592" si="1430">SUM(AV574,AV583)</f>
        <v>5180.7875755792766</v>
      </c>
      <c r="AW592" s="1138">
        <f t="shared" si="1430"/>
        <v>5318.9410439819167</v>
      </c>
      <c r="AX592" s="1138">
        <f t="shared" si="1430"/>
        <v>5380.1101773129312</v>
      </c>
      <c r="AY592" s="1140">
        <f t="shared" si="1430"/>
        <v>20966.384796874125</v>
      </c>
      <c r="AZ592" s="1138">
        <f t="shared" si="1430"/>
        <v>5181.8443610080976</v>
      </c>
      <c r="BA592" s="1138">
        <f t="shared" si="1430"/>
        <v>5216.3213347661567</v>
      </c>
      <c r="BB592" s="1138">
        <f t="shared" si="1430"/>
        <v>5718.8558450785395</v>
      </c>
      <c r="BC592" s="1138">
        <f t="shared" si="1430"/>
        <v>6457.4400934621444</v>
      </c>
      <c r="BD592" s="1140">
        <f t="shared" si="1430"/>
        <v>22574.461634314939</v>
      </c>
      <c r="BE592" s="1138">
        <f t="shared" si="1430"/>
        <v>6465.4428044280448</v>
      </c>
      <c r="BF592" s="1138">
        <f t="shared" si="1430"/>
        <v>6485.9885630498529</v>
      </c>
      <c r="BG592" s="1138">
        <f t="shared" si="1430"/>
        <v>6946.1026626406801</v>
      </c>
      <c r="BH592" s="1138">
        <f t="shared" si="1430"/>
        <v>8142.8086492890998</v>
      </c>
      <c r="BI592" s="1140">
        <f t="shared" si="1430"/>
        <v>28040.342679407677</v>
      </c>
      <c r="BJ592" s="1138">
        <f t="shared" si="1421"/>
        <v>8292.4391836734685</v>
      </c>
      <c r="BK592" s="1138">
        <f t="shared" si="1421"/>
        <v>8712.1373808996232</v>
      </c>
      <c r="BL592" s="1138">
        <f t="shared" si="1421"/>
        <v>9334.0396090534978</v>
      </c>
      <c r="BM592" s="1138">
        <f t="shared" si="1421"/>
        <v>10149.968442932728</v>
      </c>
      <c r="BN592" s="1140">
        <f t="shared" si="1421"/>
        <v>36488.584616559318</v>
      </c>
      <c r="BO592" s="1138"/>
      <c r="BP592" s="1138"/>
      <c r="BQ592" s="1138"/>
      <c r="BR592" s="1138"/>
      <c r="BS592" s="1960"/>
      <c r="BT592" s="1138">
        <f t="shared" si="1422"/>
        <v>10189.459840300609</v>
      </c>
      <c r="BU592" s="1138">
        <f t="shared" si="1422"/>
        <v>10447.243250638452</v>
      </c>
      <c r="BV592" s="1138">
        <f t="shared" si="1422"/>
        <v>10801.582509109838</v>
      </c>
      <c r="BW592" s="1138">
        <f t="shared" si="1422"/>
        <v>12041.37683068578</v>
      </c>
      <c r="BX592" s="1140">
        <f t="shared" si="1422"/>
        <v>43479.979169609396</v>
      </c>
      <c r="BY592" s="1138"/>
      <c r="BZ592" s="1138"/>
      <c r="CA592" s="1138"/>
      <c r="CB592" s="1138"/>
      <c r="CC592" s="1960"/>
      <c r="CD592" s="1138">
        <f t="shared" ref="CD592:DL592" si="1431">SUM(CD574,CD583)</f>
        <v>12031</v>
      </c>
      <c r="CE592" s="1138">
        <f t="shared" si="1431"/>
        <v>12182</v>
      </c>
      <c r="CF592" s="1138">
        <f t="shared" si="1431"/>
        <v>12653</v>
      </c>
      <c r="CG592" s="1138">
        <f t="shared" si="1431"/>
        <v>14206</v>
      </c>
      <c r="CH592" s="1140">
        <f t="shared" si="1431"/>
        <v>51072</v>
      </c>
      <c r="CI592" s="1138">
        <f t="shared" si="1431"/>
        <v>13997</v>
      </c>
      <c r="CJ592" s="1138">
        <f t="shared" si="1431"/>
        <v>14498</v>
      </c>
      <c r="CK592" s="1138">
        <f t="shared" si="1431"/>
        <v>14820</v>
      </c>
      <c r="CL592" s="1138">
        <f t="shared" si="1431"/>
        <v>16309</v>
      </c>
      <c r="CM592" s="1140">
        <f t="shared" si="1431"/>
        <v>59624</v>
      </c>
      <c r="CN592" s="1138">
        <f t="shared" si="1431"/>
        <v>15508</v>
      </c>
      <c r="CO592" s="1138">
        <f t="shared" si="1431"/>
        <v>16023</v>
      </c>
      <c r="CP592" s="1138">
        <f t="shared" si="1431"/>
        <v>16781</v>
      </c>
      <c r="CQ592" s="1138">
        <f t="shared" si="1431"/>
        <v>19078</v>
      </c>
      <c r="CR592" s="1140">
        <f t="shared" si="1431"/>
        <v>67390</v>
      </c>
      <c r="CS592" s="1138">
        <f t="shared" si="1431"/>
        <v>18020</v>
      </c>
      <c r="CT592" s="1138">
        <f t="shared" si="1431"/>
        <v>19143</v>
      </c>
      <c r="CU592" s="1138">
        <f t="shared" si="1431"/>
        <v>19821</v>
      </c>
      <c r="CV592" s="1138">
        <f t="shared" si="1431"/>
        <v>22399</v>
      </c>
      <c r="CW592" s="1140">
        <f t="shared" si="1431"/>
        <v>79383</v>
      </c>
      <c r="CX592" s="1138">
        <f t="shared" si="1431"/>
        <v>21411</v>
      </c>
      <c r="CY592" s="1138">
        <f t="shared" si="1431"/>
        <v>22672</v>
      </c>
      <c r="CZ592" s="1138">
        <f t="shared" si="1431"/>
        <v>24065</v>
      </c>
      <c r="DA592" s="1138">
        <f t="shared" si="1431"/>
        <v>27227</v>
      </c>
      <c r="DB592" s="1140">
        <f t="shared" si="1431"/>
        <v>95375</v>
      </c>
      <c r="DC592" s="1138">
        <f t="shared" si="1431"/>
        <v>26642</v>
      </c>
      <c r="DD592" s="1138">
        <f t="shared" si="1431"/>
        <v>28087</v>
      </c>
      <c r="DE592" s="1138">
        <f t="shared" si="1431"/>
        <v>28954</v>
      </c>
      <c r="DF592" s="1138">
        <f t="shared" si="1431"/>
        <v>32415.335981260821</v>
      </c>
      <c r="DG592" s="1140">
        <f t="shared" si="1431"/>
        <v>116098.33598126081</v>
      </c>
      <c r="DH592" s="1138">
        <f t="shared" si="1431"/>
        <v>30471.685351825865</v>
      </c>
      <c r="DI592" s="1138">
        <f t="shared" si="1431"/>
        <v>32403.887222678717</v>
      </c>
      <c r="DJ592" s="1138">
        <f t="shared" si="1431"/>
        <v>33696.695720881995</v>
      </c>
      <c r="DK592" s="1138">
        <f t="shared" si="1431"/>
        <v>37859.078806294085</v>
      </c>
      <c r="DL592" s="1140">
        <f t="shared" si="1431"/>
        <v>134431.34710168067</v>
      </c>
      <c r="DM592" s="1138"/>
      <c r="DN592" s="1138"/>
      <c r="DO592" s="1138"/>
      <c r="DP592" s="1138"/>
      <c r="DQ592" s="1140"/>
      <c r="DR592" s="1138"/>
      <c r="DS592" s="1138"/>
      <c r="DT592" s="1138"/>
      <c r="DU592" s="1138"/>
      <c r="DV592" s="1140"/>
      <c r="DW592" s="1138"/>
      <c r="DX592" s="1138"/>
      <c r="DY592" s="1138"/>
      <c r="DZ592" s="1138"/>
      <c r="EA592" s="1140"/>
      <c r="EB592" s="1138"/>
      <c r="EC592" s="1138"/>
      <c r="ED592" s="1138"/>
      <c r="EE592" s="1138"/>
      <c r="EF592" s="1140"/>
      <c r="EG592" s="1138"/>
      <c r="EH592" s="1138"/>
      <c r="EI592" s="1138"/>
      <c r="EJ592" s="1138"/>
      <c r="EK592" s="1140"/>
      <c r="EL592" s="1138"/>
      <c r="EM592" s="1138"/>
      <c r="EN592" s="1138"/>
      <c r="EO592" s="1138"/>
      <c r="EP592" s="1140"/>
      <c r="EQ592" s="1138"/>
      <c r="ER592" s="1138"/>
      <c r="ES592" s="1138"/>
      <c r="ET592" s="1138"/>
      <c r="EU592" s="1140"/>
      <c r="EV592" s="1140"/>
      <c r="EW592" s="1140"/>
      <c r="EX592" s="1140"/>
      <c r="EY592" s="1140"/>
      <c r="EZ592" s="175"/>
      <c r="FA592" s="4271"/>
      <c r="FB592" s="4271"/>
    </row>
    <row r="593" spans="1:158" s="252" customFormat="1" ht="11.25" hidden="1" customHeight="1">
      <c r="A593" s="2368" t="s">
        <v>21</v>
      </c>
      <c r="B593" s="1149"/>
      <c r="C593" s="1150"/>
      <c r="D593" s="1150"/>
      <c r="E593" s="1150"/>
      <c r="F593" s="1151"/>
      <c r="G593" s="1149"/>
      <c r="H593" s="1150"/>
      <c r="I593" s="1150"/>
      <c r="J593" s="1150"/>
      <c r="K593" s="1154"/>
      <c r="L593" s="1153"/>
      <c r="M593" s="1153"/>
      <c r="N593" s="1153"/>
      <c r="O593" s="1153"/>
      <c r="P593" s="1154"/>
      <c r="Q593" s="1152"/>
      <c r="R593" s="1153"/>
      <c r="S593" s="1153"/>
      <c r="T593" s="1153"/>
      <c r="U593" s="1154"/>
      <c r="V593" s="1152"/>
      <c r="W593" s="1153"/>
      <c r="X593" s="1153"/>
      <c r="Y593" s="1153"/>
      <c r="Z593" s="1154"/>
      <c r="AA593" s="1152"/>
      <c r="AB593" s="1153"/>
      <c r="AC593" s="1153"/>
      <c r="AD593" s="1153"/>
      <c r="AE593" s="1154"/>
      <c r="AF593" s="1152"/>
      <c r="AG593" s="1153"/>
      <c r="AH593" s="1153"/>
      <c r="AI593" s="1153"/>
      <c r="AJ593" s="1154"/>
      <c r="AK593" s="1152"/>
      <c r="AL593" s="1153"/>
      <c r="AM593" s="1153"/>
      <c r="AN593" s="1153"/>
      <c r="AO593" s="1154"/>
      <c r="AP593" s="1153"/>
      <c r="AQ593" s="1153"/>
      <c r="AR593" s="1153"/>
      <c r="AS593" s="1153"/>
      <c r="AT593" s="1154"/>
      <c r="AU593" s="1153"/>
      <c r="AV593" s="1153"/>
      <c r="AW593" s="1153"/>
      <c r="AX593" s="1153"/>
      <c r="AY593" s="1154"/>
      <c r="AZ593" s="1153">
        <f t="shared" ref="AZ593:BN593" si="1432">+(AZ586-AZ587)*10000</f>
        <v>-523.16106826540306</v>
      </c>
      <c r="BA593" s="1153">
        <f t="shared" si="1432"/>
        <v>-704.8317927436542</v>
      </c>
      <c r="BB593" s="1153">
        <f t="shared" si="1432"/>
        <v>-536.49657921457811</v>
      </c>
      <c r="BC593" s="1153">
        <f t="shared" si="1432"/>
        <v>95.614709143516663</v>
      </c>
      <c r="BD593" s="1154">
        <f t="shared" si="1432"/>
        <v>-407.48065527520083</v>
      </c>
      <c r="BE593" s="1153">
        <f t="shared" si="1432"/>
        <v>115.47469151844459</v>
      </c>
      <c r="BF593" s="1153">
        <f t="shared" si="1432"/>
        <v>-92.452904450994737</v>
      </c>
      <c r="BG593" s="1153">
        <f t="shared" si="1432"/>
        <v>-215.67795305069248</v>
      </c>
      <c r="BH593" s="1153">
        <f t="shared" si="1432"/>
        <v>-175.50123192786816</v>
      </c>
      <c r="BI593" s="1154">
        <f t="shared" si="1432"/>
        <v>-101.25737204652819</v>
      </c>
      <c r="BJ593" s="1153">
        <f t="shared" si="1432"/>
        <v>36.470080096620009</v>
      </c>
      <c r="BK593" s="1153">
        <f t="shared" si="1432"/>
        <v>471.13588622772261</v>
      </c>
      <c r="BL593" s="1153">
        <f t="shared" si="1432"/>
        <v>505.0317789645087</v>
      </c>
      <c r="BM593" s="1153">
        <f t="shared" si="1432"/>
        <v>38.542635004426003</v>
      </c>
      <c r="BN593" s="1154">
        <f t="shared" si="1432"/>
        <v>255.20145639971625</v>
      </c>
      <c r="BO593" s="1153"/>
      <c r="BP593" s="1153"/>
      <c r="BQ593" s="1153"/>
      <c r="BR593" s="1153"/>
      <c r="BS593" s="1961"/>
      <c r="BT593" s="1153">
        <f>+(BT586-BT587)*10000</f>
        <v>-54.881588209692026</v>
      </c>
      <c r="BU593" s="1153">
        <f>+(BU586-BU587)*10000</f>
        <v>-301.75546631128645</v>
      </c>
      <c r="BV593" s="1153">
        <f>+(BV586-BV587)*10000</f>
        <v>-500.87101947097426</v>
      </c>
      <c r="BW593" s="1153">
        <f>+(BW586-BW587)*10000</f>
        <v>-171.92462848854893</v>
      </c>
      <c r="BX593" s="1154">
        <f>+(BX586-BX587)*10000</f>
        <v>-261.02072958503976</v>
      </c>
      <c r="BY593" s="1153"/>
      <c r="BZ593" s="1153"/>
      <c r="CA593" s="1153"/>
      <c r="CB593" s="1153"/>
      <c r="CC593" s="1961"/>
      <c r="CD593" s="1153">
        <f t="shared" ref="CD593:DL593" si="1433">+(CD586-CD587)*10000</f>
        <v>-41.039931112563096</v>
      </c>
      <c r="CE593" s="1153">
        <f t="shared" si="1433"/>
        <v>-86.145556396333149</v>
      </c>
      <c r="CF593" s="1153">
        <f t="shared" si="1433"/>
        <v>-63.011409565889579</v>
      </c>
      <c r="CG593" s="1153">
        <f t="shared" si="1433"/>
        <v>-33.825122478370332</v>
      </c>
      <c r="CH593" s="1154">
        <f t="shared" si="1433"/>
        <v>-55.393957039044928</v>
      </c>
      <c r="CI593" s="1153">
        <f t="shared" si="1433"/>
        <v>0</v>
      </c>
      <c r="CJ593" s="1153">
        <f t="shared" si="1433"/>
        <v>0</v>
      </c>
      <c r="CK593" s="1153">
        <f t="shared" si="1433"/>
        <v>0</v>
      </c>
      <c r="CL593" s="1153">
        <f t="shared" si="1433"/>
        <v>0</v>
      </c>
      <c r="CM593" s="1154">
        <f t="shared" si="1433"/>
        <v>0</v>
      </c>
      <c r="CN593" s="1153">
        <f t="shared" si="1433"/>
        <v>0</v>
      </c>
      <c r="CO593" s="1153">
        <f t="shared" si="1433"/>
        <v>0</v>
      </c>
      <c r="CP593" s="1153">
        <f t="shared" si="1433"/>
        <v>0</v>
      </c>
      <c r="CQ593" s="1153">
        <f t="shared" si="1433"/>
        <v>0</v>
      </c>
      <c r="CR593" s="1154">
        <f t="shared" si="1433"/>
        <v>0</v>
      </c>
      <c r="CS593" s="1153">
        <f t="shared" si="1433"/>
        <v>0</v>
      </c>
      <c r="CT593" s="1153">
        <f t="shared" si="1433"/>
        <v>0</v>
      </c>
      <c r="CU593" s="1153">
        <f t="shared" si="1433"/>
        <v>0</v>
      </c>
      <c r="CV593" s="1153">
        <f t="shared" si="1433"/>
        <v>0</v>
      </c>
      <c r="CW593" s="1154">
        <f t="shared" si="1433"/>
        <v>0</v>
      </c>
      <c r="CX593" s="1153">
        <f t="shared" si="1433"/>
        <v>0</v>
      </c>
      <c r="CY593" s="1153">
        <f t="shared" si="1433"/>
        <v>0</v>
      </c>
      <c r="CZ593" s="1153">
        <f t="shared" si="1433"/>
        <v>0</v>
      </c>
      <c r="DA593" s="1153">
        <f t="shared" si="1433"/>
        <v>0</v>
      </c>
      <c r="DB593" s="1154">
        <f t="shared" si="1433"/>
        <v>25.446254235792498</v>
      </c>
      <c r="DC593" s="2661">
        <f t="shared" si="1433"/>
        <v>0</v>
      </c>
      <c r="DD593" s="2661">
        <f t="shared" si="1433"/>
        <v>0</v>
      </c>
      <c r="DE593" s="2661">
        <f t="shared" si="1433"/>
        <v>0</v>
      </c>
      <c r="DF593" s="2661">
        <f t="shared" si="1433"/>
        <v>-182.45175046682772</v>
      </c>
      <c r="DG593" s="1154">
        <f t="shared" si="1433"/>
        <v>-50.63164144497145</v>
      </c>
      <c r="DH593" s="2661" t="e">
        <f t="shared" si="1433"/>
        <v>#VALUE!</v>
      </c>
      <c r="DI593" s="2661" t="e">
        <f t="shared" si="1433"/>
        <v>#VALUE!</v>
      </c>
      <c r="DJ593" s="2661" t="e">
        <f t="shared" si="1433"/>
        <v>#VALUE!</v>
      </c>
      <c r="DK593" s="2661">
        <f t="shared" si="1433"/>
        <v>-119.74644167976889</v>
      </c>
      <c r="DL593" s="1154">
        <f t="shared" si="1433"/>
        <v>-242.82830397730936</v>
      </c>
      <c r="DM593" s="2661"/>
      <c r="DN593" s="2661"/>
      <c r="DO593" s="2661"/>
      <c r="DP593" s="2661"/>
      <c r="DQ593" s="1154"/>
      <c r="DR593" s="2661"/>
      <c r="DS593" s="2661"/>
      <c r="DT593" s="2661"/>
      <c r="DU593" s="2661"/>
      <c r="DV593" s="1154"/>
      <c r="DW593" s="2661"/>
      <c r="DX593" s="2661"/>
      <c r="DY593" s="2661"/>
      <c r="DZ593" s="2661"/>
      <c r="EA593" s="1154"/>
      <c r="EB593" s="2661"/>
      <c r="EC593" s="2661"/>
      <c r="ED593" s="2661"/>
      <c r="EE593" s="2661"/>
      <c r="EF593" s="1154"/>
      <c r="EG593" s="2661"/>
      <c r="EH593" s="2661"/>
      <c r="EI593" s="2661"/>
      <c r="EJ593" s="2661"/>
      <c r="EK593" s="1154"/>
      <c r="EL593" s="2661"/>
      <c r="EM593" s="2661"/>
      <c r="EN593" s="2661"/>
      <c r="EO593" s="2661"/>
      <c r="EP593" s="1154"/>
      <c r="EQ593" s="2661"/>
      <c r="ER593" s="2661"/>
      <c r="ES593" s="2661"/>
      <c r="ET593" s="2661"/>
      <c r="EU593" s="1154"/>
      <c r="EV593" s="1154"/>
      <c r="EW593" s="1154"/>
      <c r="EX593" s="1154"/>
      <c r="EY593" s="1154"/>
      <c r="EZ593" s="251"/>
      <c r="FA593" s="725"/>
      <c r="FB593" s="725"/>
    </row>
    <row r="594" spans="1:158" s="211" customFormat="1" ht="11.25" hidden="1" customHeight="1" collapsed="1">
      <c r="A594" s="2067"/>
      <c r="B594" s="2001"/>
      <c r="C594" s="183"/>
      <c r="D594" s="183"/>
      <c r="E594" s="183"/>
      <c r="F594" s="269"/>
      <c r="G594" s="183"/>
      <c r="H594" s="183"/>
      <c r="I594" s="183"/>
      <c r="J594" s="183"/>
      <c r="K594" s="1028"/>
      <c r="P594" s="1028"/>
      <c r="U594" s="1028"/>
      <c r="Z594" s="1028"/>
      <c r="AE594" s="1028"/>
      <c r="AJ594" s="1028"/>
      <c r="AO594" s="1028"/>
      <c r="AT594" s="1028"/>
      <c r="AU594" s="2085"/>
      <c r="AY594" s="1938"/>
      <c r="AZ594" s="2085"/>
      <c r="BC594" s="344"/>
      <c r="BD594" s="1938"/>
      <c r="BE594" s="2085"/>
      <c r="BI594" s="1938"/>
      <c r="BJ594" s="2085"/>
      <c r="BN594" s="1938"/>
      <c r="BS594" s="1938"/>
      <c r="BX594" s="1938"/>
      <c r="CC594" s="1938"/>
      <c r="CH594" s="1938"/>
      <c r="CM594" s="1938"/>
      <c r="CR594" s="1938"/>
      <c r="CW594" s="1938"/>
      <c r="DB594" s="1938"/>
      <c r="DG594" s="1938"/>
      <c r="DL594" s="1938"/>
      <c r="DQ594" s="1938"/>
      <c r="DV594" s="1938"/>
      <c r="EA594" s="1938"/>
      <c r="EF594" s="1938"/>
      <c r="EK594" s="1938"/>
      <c r="EP594" s="1938"/>
      <c r="EU594" s="1938"/>
      <c r="EV594" s="1938"/>
      <c r="EW594" s="1938"/>
      <c r="EX594" s="1938"/>
      <c r="EY594" s="1938"/>
      <c r="FA594" s="725"/>
      <c r="FB594" s="725"/>
    </row>
    <row r="595" spans="1:158" s="211" customFormat="1" ht="11.25" hidden="1" customHeight="1">
      <c r="A595" s="2349" t="s">
        <v>658</v>
      </c>
      <c r="B595" s="2370"/>
      <c r="C595" s="2371"/>
      <c r="D595" s="2371"/>
      <c r="E595" s="2371"/>
      <c r="F595" s="2372"/>
      <c r="G595" s="2370"/>
      <c r="H595" s="2371"/>
      <c r="I595" s="2371"/>
      <c r="J595" s="2371"/>
      <c r="K595" s="2373"/>
      <c r="L595" s="2374"/>
      <c r="M595" s="2374"/>
      <c r="N595" s="2374"/>
      <c r="O595" s="2374"/>
      <c r="P595" s="2373"/>
      <c r="Q595" s="2375"/>
      <c r="R595" s="2374"/>
      <c r="S595" s="2374"/>
      <c r="T595" s="2374"/>
      <c r="U595" s="2373"/>
      <c r="V595" s="2375"/>
      <c r="W595" s="2374"/>
      <c r="X595" s="2374"/>
      <c r="Y595" s="2374"/>
      <c r="Z595" s="2373"/>
      <c r="AA595" s="2375"/>
      <c r="AB595" s="2374"/>
      <c r="AC595" s="2374"/>
      <c r="AD595" s="2374"/>
      <c r="AE595" s="2373"/>
      <c r="AF595" s="2375"/>
      <c r="AG595" s="2374"/>
      <c r="AH595" s="2374"/>
      <c r="AI595" s="2374"/>
      <c r="AJ595" s="2373"/>
      <c r="AK595" s="2375"/>
      <c r="AL595" s="2374"/>
      <c r="AM595" s="2374"/>
      <c r="AN595" s="2374"/>
      <c r="AO595" s="2373"/>
      <c r="AP595" s="2375"/>
      <c r="AQ595" s="2374"/>
      <c r="AR595" s="2374"/>
      <c r="AS595" s="2374"/>
      <c r="AT595" s="2373"/>
      <c r="AU595" s="2375"/>
      <c r="AV595" s="2374"/>
      <c r="AW595" s="2374"/>
      <c r="AX595" s="2374"/>
      <c r="AY595" s="2373"/>
      <c r="AZ595" s="2375"/>
      <c r="BA595" s="2374"/>
      <c r="BB595" s="2374"/>
      <c r="BC595" s="2374"/>
      <c r="BD595" s="2373"/>
      <c r="BE595" s="2375"/>
      <c r="BF595" s="2374"/>
      <c r="BG595" s="2374"/>
      <c r="BH595" s="2374"/>
      <c r="BI595" s="2373"/>
      <c r="BJ595" s="2375"/>
      <c r="BK595" s="2374"/>
      <c r="BL595" s="2374"/>
      <c r="BM595" s="2374"/>
      <c r="BN595" s="2373"/>
      <c r="BO595" s="2374"/>
      <c r="BP595" s="2374"/>
      <c r="BQ595" s="2374"/>
      <c r="BR595" s="2374"/>
      <c r="BS595" s="2376"/>
      <c r="BT595" s="2374"/>
      <c r="BU595" s="2374"/>
      <c r="BV595" s="2374"/>
      <c r="BW595" s="2374"/>
      <c r="BX595" s="2376"/>
      <c r="BY595" s="2374"/>
      <c r="BZ595" s="2374"/>
      <c r="CA595" s="2374"/>
      <c r="CB595" s="2374"/>
      <c r="CC595" s="2376"/>
      <c r="CD595" s="2374"/>
      <c r="CE595" s="2374"/>
      <c r="CF595" s="2374"/>
      <c r="CG595" s="2374"/>
      <c r="CH595" s="2376"/>
      <c r="CI595" s="2377"/>
      <c r="CJ595" s="2374"/>
      <c r="CK595" s="2374"/>
      <c r="CL595" s="2374"/>
      <c r="CM595" s="2376"/>
      <c r="CN595" s="2374"/>
      <c r="CO595" s="2374"/>
      <c r="CP595" s="2374"/>
      <c r="CQ595" s="2374"/>
      <c r="CR595" s="2378"/>
      <c r="CS595" s="2379"/>
      <c r="CT595" s="2379"/>
      <c r="CU595" s="2379"/>
      <c r="CV595" s="2379"/>
      <c r="CW595" s="2378"/>
      <c r="CX595" s="2379"/>
      <c r="CY595" s="2379"/>
      <c r="CZ595" s="2379"/>
      <c r="DA595" s="2379"/>
      <c r="DB595" s="2378"/>
      <c r="DC595" s="2379"/>
      <c r="DD595" s="2379"/>
      <c r="DE595" s="2379"/>
      <c r="DF595" s="2379"/>
      <c r="DG595" s="2378"/>
      <c r="DH595" s="2379"/>
      <c r="DI595" s="2379"/>
      <c r="DJ595" s="2379"/>
      <c r="DK595" s="2379"/>
      <c r="DL595" s="2378"/>
      <c r="DM595" s="2379"/>
      <c r="DN595" s="2379"/>
      <c r="DO595" s="2379"/>
      <c r="DP595" s="2379"/>
      <c r="DQ595" s="2378"/>
      <c r="DR595" s="2379"/>
      <c r="DS595" s="2379"/>
      <c r="DT595" s="2379"/>
      <c r="DU595" s="2379"/>
      <c r="DV595" s="2378"/>
      <c r="DW595" s="2379"/>
      <c r="DX595" s="2379"/>
      <c r="DY595" s="2379"/>
      <c r="DZ595" s="2379"/>
      <c r="EA595" s="2378"/>
      <c r="EB595" s="2379"/>
      <c r="EC595" s="2379"/>
      <c r="ED595" s="2379"/>
      <c r="EE595" s="2379"/>
      <c r="EF595" s="2378"/>
      <c r="EG595" s="2379"/>
      <c r="EH595" s="2379"/>
      <c r="EI595" s="2379"/>
      <c r="EJ595" s="2379"/>
      <c r="EK595" s="2378"/>
      <c r="EL595" s="2379"/>
      <c r="EM595" s="2379"/>
      <c r="EN595" s="2379"/>
      <c r="EO595" s="2379"/>
      <c r="EP595" s="2378"/>
      <c r="EQ595" s="2379"/>
      <c r="ER595" s="2379"/>
      <c r="ES595" s="2379"/>
      <c r="ET595" s="2379"/>
      <c r="EU595" s="2378"/>
      <c r="EV595" s="2378"/>
      <c r="EW595" s="2378"/>
      <c r="EX595" s="2378"/>
      <c r="EY595" s="2378"/>
      <c r="EZ595" s="209"/>
      <c r="FA595" s="725"/>
      <c r="FB595" s="725"/>
    </row>
    <row r="596" spans="1:158" s="161" customFormat="1" ht="11.25" hidden="1" customHeight="1">
      <c r="A596" s="1541" t="str">
        <f>A90</f>
        <v>Google Properties - TAC</v>
      </c>
      <c r="B596" s="984"/>
      <c r="C596" s="185"/>
      <c r="D596" s="185"/>
      <c r="E596" s="185"/>
      <c r="F596" s="985"/>
      <c r="G596" s="984"/>
      <c r="H596" s="185"/>
      <c r="I596" s="185"/>
      <c r="J596" s="185"/>
      <c r="K596" s="1505"/>
      <c r="L596" s="185"/>
      <c r="M596" s="185"/>
      <c r="N596" s="185"/>
      <c r="O596" s="185"/>
      <c r="P596" s="1014"/>
      <c r="Q596" s="987"/>
      <c r="R596" s="73"/>
      <c r="S596" s="73"/>
      <c r="T596" s="74"/>
      <c r="U596" s="1014"/>
      <c r="V596" s="987"/>
      <c r="W596" s="73"/>
      <c r="X596" s="73"/>
      <c r="Y596" s="74"/>
      <c r="Z596" s="1014"/>
      <c r="AA596" s="988"/>
      <c r="AB596" s="197"/>
      <c r="AC596" s="197"/>
      <c r="AD596" s="198"/>
      <c r="AE596" s="1014"/>
      <c r="AF596" s="2291"/>
      <c r="AG596" s="197"/>
      <c r="AH596" s="197"/>
      <c r="AI596" s="199"/>
      <c r="AJ596" s="1014"/>
      <c r="AK596" s="989"/>
      <c r="AL596" s="200"/>
      <c r="AM596" s="201"/>
      <c r="AN596" s="202"/>
      <c r="AO596" s="1014"/>
      <c r="AP596" s="990"/>
      <c r="AQ596" s="201"/>
      <c r="AR596" s="201"/>
      <c r="AS596" s="201"/>
      <c r="AT596" s="1014"/>
      <c r="AU596" s="2382">
        <f t="shared" ref="AU596:BZ596" si="1434">AU90</f>
        <v>143.11000000000001</v>
      </c>
      <c r="AV596" s="203">
        <f t="shared" si="1434"/>
        <v>154.44</v>
      </c>
      <c r="AW596" s="203">
        <f t="shared" si="1434"/>
        <v>166.8</v>
      </c>
      <c r="AX596" s="203">
        <f t="shared" si="1434"/>
        <v>190.1</v>
      </c>
      <c r="AY596" s="1014">
        <f t="shared" si="1434"/>
        <v>654.45000000000005</v>
      </c>
      <c r="AZ596" s="2382">
        <f t="shared" si="1434"/>
        <v>206.9</v>
      </c>
      <c r="BA596" s="203">
        <f t="shared" si="1434"/>
        <v>218</v>
      </c>
      <c r="BB596" s="203">
        <f t="shared" si="1434"/>
        <v>229</v>
      </c>
      <c r="BC596" s="203">
        <f t="shared" si="1434"/>
        <v>249.89999999999995</v>
      </c>
      <c r="BD596" s="1014">
        <f t="shared" si="1434"/>
        <v>903.8</v>
      </c>
      <c r="BE596" s="2382">
        <f t="shared" si="1434"/>
        <v>265</v>
      </c>
      <c r="BF596" s="203">
        <f t="shared" si="1434"/>
        <v>269</v>
      </c>
      <c r="BG596" s="203">
        <f t="shared" si="1434"/>
        <v>285</v>
      </c>
      <c r="BH596" s="203">
        <f t="shared" si="1434"/>
        <v>333</v>
      </c>
      <c r="BI596" s="1014">
        <f t="shared" si="1434"/>
        <v>1152</v>
      </c>
      <c r="BJ596" s="2382">
        <f t="shared" si="1434"/>
        <v>337</v>
      </c>
      <c r="BK596" s="203">
        <f t="shared" si="1434"/>
        <v>355</v>
      </c>
      <c r="BL596" s="203">
        <f t="shared" si="1434"/>
        <v>383</v>
      </c>
      <c r="BM596" s="203">
        <f t="shared" si="1434"/>
        <v>442</v>
      </c>
      <c r="BN596" s="1014">
        <f t="shared" si="1434"/>
        <v>1517</v>
      </c>
      <c r="BO596" s="175">
        <f t="shared" si="1434"/>
        <v>0</v>
      </c>
      <c r="BP596" s="175">
        <f t="shared" si="1434"/>
        <v>0</v>
      </c>
      <c r="BQ596" s="175">
        <f t="shared" si="1434"/>
        <v>0</v>
      </c>
      <c r="BR596" s="175">
        <f t="shared" si="1434"/>
        <v>0</v>
      </c>
      <c r="BS596" s="1963">
        <f t="shared" si="1434"/>
        <v>0</v>
      </c>
      <c r="BT596" s="203">
        <f t="shared" si="1434"/>
        <v>468</v>
      </c>
      <c r="BU596" s="203">
        <f t="shared" si="1434"/>
        <v>507</v>
      </c>
      <c r="BV596" s="203">
        <f t="shared" si="1434"/>
        <v>556</v>
      </c>
      <c r="BW596" s="203">
        <f t="shared" si="1434"/>
        <v>634</v>
      </c>
      <c r="BX596" s="1014">
        <f t="shared" si="1434"/>
        <v>2165</v>
      </c>
      <c r="BY596" s="175">
        <f t="shared" si="1434"/>
        <v>0</v>
      </c>
      <c r="BZ596" s="175">
        <f t="shared" si="1434"/>
        <v>0</v>
      </c>
      <c r="CA596" s="175">
        <f t="shared" ref="CA596:DF596" si="1435">CA90</f>
        <v>0</v>
      </c>
      <c r="CB596" s="175">
        <f t="shared" si="1435"/>
        <v>0</v>
      </c>
      <c r="CC596" s="1963">
        <f t="shared" si="1435"/>
        <v>0</v>
      </c>
      <c r="CD596" s="2383">
        <f t="shared" si="1435"/>
        <v>680</v>
      </c>
      <c r="CE596" s="203">
        <f t="shared" si="1435"/>
        <v>706</v>
      </c>
      <c r="CF596" s="203">
        <f t="shared" si="1435"/>
        <v>755</v>
      </c>
      <c r="CG596" s="203">
        <f t="shared" si="1435"/>
        <v>824</v>
      </c>
      <c r="CH596" s="1014">
        <f t="shared" si="1435"/>
        <v>2965</v>
      </c>
      <c r="CI596" s="553">
        <f t="shared" si="1435"/>
        <v>845</v>
      </c>
      <c r="CJ596" s="203">
        <f t="shared" si="1435"/>
        <v>893</v>
      </c>
      <c r="CK596" s="203">
        <f t="shared" si="1435"/>
        <v>927</v>
      </c>
      <c r="CL596" s="203">
        <f t="shared" si="1435"/>
        <v>968</v>
      </c>
      <c r="CM596" s="1014">
        <f t="shared" si="1435"/>
        <v>3633</v>
      </c>
      <c r="CN596" s="175">
        <f t="shared" si="1435"/>
        <v>913</v>
      </c>
      <c r="CO596" s="203">
        <f t="shared" si="1435"/>
        <v>945</v>
      </c>
      <c r="CP596" s="203">
        <f t="shared" si="1435"/>
        <v>1052</v>
      </c>
      <c r="CQ596" s="203">
        <f t="shared" si="1435"/>
        <v>1191</v>
      </c>
      <c r="CR596" s="1014">
        <f t="shared" si="1435"/>
        <v>4101</v>
      </c>
      <c r="CS596" s="175">
        <f t="shared" si="1435"/>
        <v>1217</v>
      </c>
      <c r="CT596" s="175">
        <f t="shared" si="1435"/>
        <v>1352</v>
      </c>
      <c r="CU596" s="175">
        <f t="shared" si="1435"/>
        <v>1559</v>
      </c>
      <c r="CV596" s="175">
        <f t="shared" si="1435"/>
        <v>1766</v>
      </c>
      <c r="CW596" s="1014">
        <f t="shared" si="1435"/>
        <v>5894</v>
      </c>
      <c r="CX596" s="175">
        <f t="shared" si="1435"/>
        <v>1805</v>
      </c>
      <c r="CY596" s="175">
        <f t="shared" si="1435"/>
        <v>2049</v>
      </c>
      <c r="CZ596" s="175">
        <f t="shared" si="1435"/>
        <v>2401</v>
      </c>
      <c r="DA596" s="175">
        <f t="shared" si="1435"/>
        <v>2776</v>
      </c>
      <c r="DB596" s="1014">
        <f t="shared" si="1435"/>
        <v>9031</v>
      </c>
      <c r="DC596" s="175">
        <f t="shared" si="1435"/>
        <v>2902</v>
      </c>
      <c r="DD596" s="175">
        <f t="shared" si="1435"/>
        <v>3009</v>
      </c>
      <c r="DE596" s="175">
        <f t="shared" si="1435"/>
        <v>3155</v>
      </c>
      <c r="DF596" s="175">
        <f t="shared" si="1435"/>
        <v>3506</v>
      </c>
      <c r="DG596" s="1014">
        <f t="shared" ref="DG596:DL596" si="1436">DG90</f>
        <v>12572</v>
      </c>
      <c r="DH596" s="175">
        <f t="shared" si="1436"/>
        <v>3383</v>
      </c>
      <c r="DI596" s="175">
        <f t="shared" si="1436"/>
        <v>3617</v>
      </c>
      <c r="DJ596" s="175">
        <f t="shared" si="1436"/>
        <v>3856</v>
      </c>
      <c r="DK596" s="175">
        <f t="shared" si="1436"/>
        <v>4300.6670000000004</v>
      </c>
      <c r="DL596" s="1014">
        <f t="shared" si="1436"/>
        <v>15156.667000000001</v>
      </c>
      <c r="DM596" s="175"/>
      <c r="DN596" s="175"/>
      <c r="DO596" s="175"/>
      <c r="DP596" s="175"/>
      <c r="DQ596" s="1014"/>
      <c r="DR596" s="175"/>
      <c r="DS596" s="175"/>
      <c r="DT596" s="175"/>
      <c r="DU596" s="175"/>
      <c r="DV596" s="1014"/>
      <c r="DW596" s="175"/>
      <c r="DX596" s="175"/>
      <c r="DY596" s="175"/>
      <c r="DZ596" s="175"/>
      <c r="EA596" s="1014"/>
      <c r="EB596" s="175"/>
      <c r="EC596" s="175"/>
      <c r="ED596" s="175"/>
      <c r="EE596" s="175"/>
      <c r="EF596" s="1014"/>
      <c r="EG596" s="175"/>
      <c r="EH596" s="175"/>
      <c r="EI596" s="175"/>
      <c r="EJ596" s="175"/>
      <c r="EK596" s="1014"/>
      <c r="EL596" s="175"/>
      <c r="EM596" s="175"/>
      <c r="EN596" s="175"/>
      <c r="EO596" s="175"/>
      <c r="EP596" s="1014"/>
      <c r="EQ596" s="175"/>
      <c r="ER596" s="175"/>
      <c r="ES596" s="175"/>
      <c r="ET596" s="175"/>
      <c r="EU596" s="1014"/>
      <c r="EV596" s="1014"/>
      <c r="EW596" s="1014"/>
      <c r="EX596" s="1014"/>
      <c r="EY596" s="1014"/>
      <c r="EZ596" s="174"/>
      <c r="FA596" s="1319"/>
      <c r="FB596" s="1319"/>
    </row>
    <row r="597" spans="1:158" s="161" customFormat="1" ht="11.25" hidden="1" customHeight="1">
      <c r="A597" s="1547" t="str">
        <f>A93</f>
        <v>TAC as % of Google Properties Revs</v>
      </c>
      <c r="B597" s="745"/>
      <c r="C597" s="174"/>
      <c r="D597" s="174"/>
      <c r="E597" s="174"/>
      <c r="F597" s="986"/>
      <c r="G597" s="745"/>
      <c r="H597" s="174"/>
      <c r="I597" s="174"/>
      <c r="J597" s="174"/>
      <c r="K597" s="1718"/>
      <c r="L597" s="174"/>
      <c r="M597" s="174"/>
      <c r="N597" s="174"/>
      <c r="O597" s="174"/>
      <c r="P597" s="996"/>
      <c r="Q597" s="987"/>
      <c r="R597" s="73"/>
      <c r="S597" s="73"/>
      <c r="T597" s="74"/>
      <c r="U597" s="996"/>
      <c r="V597" s="987"/>
      <c r="W597" s="73"/>
      <c r="X597" s="73"/>
      <c r="Y597" s="74"/>
      <c r="Z597" s="996"/>
      <c r="AA597" s="987"/>
      <c r="AB597" s="73"/>
      <c r="AC597" s="73"/>
      <c r="AD597" s="74"/>
      <c r="AE597" s="995"/>
      <c r="AF597" s="737"/>
      <c r="AG597" s="127"/>
      <c r="AH597" s="127"/>
      <c r="AI597" s="127"/>
      <c r="AJ597" s="995"/>
      <c r="AK597" s="737"/>
      <c r="AL597" s="127"/>
      <c r="AM597" s="127"/>
      <c r="AN597" s="127"/>
      <c r="AO597" s="995"/>
      <c r="AP597" s="737"/>
      <c r="AQ597" s="127"/>
      <c r="AR597" s="127"/>
      <c r="AS597" s="127"/>
      <c r="AT597" s="995"/>
      <c r="AU597" s="737">
        <f t="shared" ref="AU597:BZ597" si="1437">AU93</f>
        <v>4.2086163265846278E-2</v>
      </c>
      <c r="AV597" s="127">
        <f t="shared" si="1437"/>
        <v>4.3748911163705738E-2</v>
      </c>
      <c r="AW597" s="127">
        <f t="shared" si="1437"/>
        <v>4.5423463506413617E-2</v>
      </c>
      <c r="AX597" s="127">
        <f t="shared" si="1437"/>
        <v>4.9879748087593136E-2</v>
      </c>
      <c r="AY597" s="995">
        <f t="shared" si="1437"/>
        <v>4.5404319061134839E-2</v>
      </c>
      <c r="AZ597" s="737">
        <f t="shared" si="1437"/>
        <v>5.6027597315116376E-2</v>
      </c>
      <c r="BA597" s="127">
        <f t="shared" si="1437"/>
        <v>5.9683055597230264E-2</v>
      </c>
      <c r="BB597" s="127">
        <f t="shared" si="1437"/>
        <v>5.7890690747171632E-2</v>
      </c>
      <c r="BC597" s="127">
        <f t="shared" si="1437"/>
        <v>5.6521786332719925E-2</v>
      </c>
      <c r="BD597" s="995">
        <f t="shared" si="1437"/>
        <v>5.7484547927089895E-2</v>
      </c>
      <c r="BE597" s="737">
        <f t="shared" si="1437"/>
        <v>5.9698130209506643E-2</v>
      </c>
      <c r="BF597" s="127">
        <f t="shared" si="1437"/>
        <v>5.9791064681040229E-2</v>
      </c>
      <c r="BG597" s="127">
        <f t="shared" si="1437"/>
        <v>5.8969584109248914E-2</v>
      </c>
      <c r="BH597" s="127">
        <f t="shared" si="1437"/>
        <v>5.8709449929478137E-2</v>
      </c>
      <c r="BI597" s="995">
        <f t="shared" si="1437"/>
        <v>5.9250115722882274E-2</v>
      </c>
      <c r="BJ597" s="737">
        <f t="shared" si="1437"/>
        <v>5.7322673924136758E-2</v>
      </c>
      <c r="BK597" s="127">
        <f t="shared" si="1437"/>
        <v>5.696405648267009E-2</v>
      </c>
      <c r="BL597" s="127">
        <f t="shared" si="1437"/>
        <v>5.682492581602374E-2</v>
      </c>
      <c r="BM597" s="127">
        <f t="shared" si="1437"/>
        <v>6.0597751576638333E-2</v>
      </c>
      <c r="BN597" s="995">
        <f t="shared" si="1437"/>
        <v>5.8022566456301397E-2</v>
      </c>
      <c r="BO597" s="127">
        <f t="shared" si="1437"/>
        <v>0</v>
      </c>
      <c r="BP597" s="127">
        <f t="shared" si="1437"/>
        <v>0</v>
      </c>
      <c r="BQ597" s="127">
        <f t="shared" si="1437"/>
        <v>0</v>
      </c>
      <c r="BR597" s="127">
        <f t="shared" si="1437"/>
        <v>0</v>
      </c>
      <c r="BS597" s="1957">
        <f t="shared" si="1437"/>
        <v>0</v>
      </c>
      <c r="BT597" s="127">
        <f t="shared" si="1437"/>
        <v>6.4004376367614885E-2</v>
      </c>
      <c r="BU597" s="127">
        <f t="shared" si="1437"/>
        <v>6.7223548130469366E-2</v>
      </c>
      <c r="BV597" s="127">
        <f t="shared" si="1437"/>
        <v>7.1955480781674644E-2</v>
      </c>
      <c r="BW597" s="127">
        <f t="shared" si="1437"/>
        <v>7.3379629629629628E-2</v>
      </c>
      <c r="BX597" s="995">
        <f t="shared" si="1437"/>
        <v>6.9344351558246059E-2</v>
      </c>
      <c r="BY597" s="127">
        <f t="shared" si="1437"/>
        <v>0</v>
      </c>
      <c r="BZ597" s="127">
        <f t="shared" si="1437"/>
        <v>0</v>
      </c>
      <c r="CA597" s="127">
        <f t="shared" ref="CA597:DF597" si="1438">CA93</f>
        <v>0</v>
      </c>
      <c r="CB597" s="127">
        <f t="shared" si="1438"/>
        <v>0</v>
      </c>
      <c r="CC597" s="1957">
        <f t="shared" si="1438"/>
        <v>0</v>
      </c>
      <c r="CD597" s="1289">
        <f t="shared" si="1438"/>
        <v>7.8703703703703706E-2</v>
      </c>
      <c r="CE597" s="127">
        <f t="shared" si="1438"/>
        <v>7.9612088407758227E-2</v>
      </c>
      <c r="CF597" s="127">
        <f t="shared" si="1438"/>
        <v>8.0524744027303752E-2</v>
      </c>
      <c r="CG597" s="127">
        <f t="shared" si="1438"/>
        <v>7.8193205541848554E-2</v>
      </c>
      <c r="CH597" s="995">
        <f t="shared" si="1438"/>
        <v>7.9231468120357015E-2</v>
      </c>
      <c r="CI597" s="127">
        <f t="shared" si="1438"/>
        <v>8.0714490400229252E-2</v>
      </c>
      <c r="CJ597" s="127">
        <f t="shared" si="1438"/>
        <v>8.1664380429812528E-2</v>
      </c>
      <c r="CK597" s="127">
        <f t="shared" si="1438"/>
        <v>8.2385353714895124E-2</v>
      </c>
      <c r="CL597" s="127">
        <f t="shared" si="1438"/>
        <v>7.7882371872234291E-2</v>
      </c>
      <c r="CM597" s="995">
        <f t="shared" si="1438"/>
        <v>8.0581124542530774E-2</v>
      </c>
      <c r="CN597" s="127">
        <f t="shared" si="1438"/>
        <v>7.6516929265839764E-2</v>
      </c>
      <c r="CO597" s="127">
        <f t="shared" si="1438"/>
        <v>7.6197387518142229E-2</v>
      </c>
      <c r="CP597" s="127">
        <f t="shared" si="1438"/>
        <v>8.0385114999617938E-2</v>
      </c>
      <c r="CQ597" s="127">
        <f t="shared" si="1438"/>
        <v>7.9740224959828604E-2</v>
      </c>
      <c r="CR597" s="995">
        <f t="shared" si="1438"/>
        <v>7.8327635273220397E-2</v>
      </c>
      <c r="CS597" s="127">
        <f t="shared" si="1438"/>
        <v>8.4938581797878276E-2</v>
      </c>
      <c r="CT597" s="127">
        <f t="shared" si="1438"/>
        <v>8.7792207792207796E-2</v>
      </c>
      <c r="CU597" s="127">
        <f t="shared" si="1438"/>
        <v>9.6898502082167937E-2</v>
      </c>
      <c r="CV597" s="127">
        <f t="shared" si="1438"/>
        <v>9.8285841495992871E-2</v>
      </c>
      <c r="CW597" s="995">
        <f t="shared" si="1438"/>
        <v>9.2404170259465387E-2</v>
      </c>
      <c r="CX597" s="127">
        <f t="shared" si="1438"/>
        <v>0.10371774981325059</v>
      </c>
      <c r="CY597" s="127">
        <f t="shared" si="1438"/>
        <v>0.11120759837177747</v>
      </c>
      <c r="CZ597" s="127">
        <f t="shared" si="1438"/>
        <v>0.12173604421234092</v>
      </c>
      <c r="DA597" s="127">
        <f t="shared" si="1438"/>
        <v>0.12483698340603498</v>
      </c>
      <c r="DB597" s="995">
        <f t="shared" si="1438"/>
        <v>0.11583997126768512</v>
      </c>
      <c r="DC597" s="127">
        <f t="shared" si="1438"/>
        <v>0.13192108373488498</v>
      </c>
      <c r="DD597" s="127">
        <f t="shared" si="1438"/>
        <v>0.12935259221047202</v>
      </c>
      <c r="DE597" s="127">
        <f t="shared" si="1438"/>
        <v>0.13116321609711482</v>
      </c>
      <c r="DF597" s="127">
        <f t="shared" si="1438"/>
        <v>0.13021355617455896</v>
      </c>
      <c r="DG597" s="995">
        <f t="shared" ref="DG597:DL597" si="1439">DG93</f>
        <v>0.13034597878715617</v>
      </c>
      <c r="DH597" s="127">
        <f t="shared" si="1439"/>
        <v>0.13229313311434382</v>
      </c>
      <c r="DI597" s="127">
        <f t="shared" si="1439"/>
        <v>0.13275830427601396</v>
      </c>
      <c r="DJ597" s="127">
        <f t="shared" si="1439"/>
        <v>0.13508495358206341</v>
      </c>
      <c r="DK597" s="127">
        <f t="shared" si="1439"/>
        <v>0.13480869537960002</v>
      </c>
      <c r="DL597" s="995">
        <f t="shared" si="1439"/>
        <v>0.13381716167537788</v>
      </c>
      <c r="DM597" s="127"/>
      <c r="DN597" s="127"/>
      <c r="DO597" s="127"/>
      <c r="DP597" s="127"/>
      <c r="DQ597" s="995"/>
      <c r="DR597" s="127"/>
      <c r="DS597" s="127"/>
      <c r="DT597" s="127"/>
      <c r="DU597" s="127"/>
      <c r="DV597" s="995"/>
      <c r="DW597" s="127"/>
      <c r="DX597" s="127"/>
      <c r="DY597" s="127"/>
      <c r="DZ597" s="127"/>
      <c r="EA597" s="995"/>
      <c r="EB597" s="127"/>
      <c r="EC597" s="127"/>
      <c r="ED597" s="127"/>
      <c r="EE597" s="127"/>
      <c r="EF597" s="995"/>
      <c r="EG597" s="127"/>
      <c r="EH597" s="127"/>
      <c r="EI597" s="127"/>
      <c r="EJ597" s="127"/>
      <c r="EK597" s="995"/>
      <c r="EL597" s="127"/>
      <c r="EM597" s="127"/>
      <c r="EN597" s="127"/>
      <c r="EO597" s="127"/>
      <c r="EP597" s="995"/>
      <c r="EQ597" s="127"/>
      <c r="ER597" s="127"/>
      <c r="ES597" s="127"/>
      <c r="ET597" s="127"/>
      <c r="EU597" s="995"/>
      <c r="EV597" s="995"/>
      <c r="EW597" s="995"/>
      <c r="EX597" s="995"/>
      <c r="EY597" s="995"/>
      <c r="EZ597" s="174"/>
      <c r="FA597" s="1104"/>
      <c r="FB597" s="1104"/>
    </row>
    <row r="598" spans="1:158" s="1105" customFormat="1" ht="11.25" hidden="1" customHeight="1">
      <c r="A598" s="2346" t="str">
        <f>A91</f>
        <v>Y/Y growth</v>
      </c>
      <c r="B598" s="984"/>
      <c r="C598" s="185"/>
      <c r="D598" s="185"/>
      <c r="E598" s="185"/>
      <c r="F598" s="985"/>
      <c r="G598" s="984"/>
      <c r="H598" s="185"/>
      <c r="I598" s="185"/>
      <c r="J598" s="185"/>
      <c r="K598" s="1505"/>
      <c r="L598" s="185"/>
      <c r="M598" s="185"/>
      <c r="N598" s="185"/>
      <c r="O598" s="185"/>
      <c r="P598" s="992"/>
      <c r="Q598" s="736"/>
      <c r="R598" s="169"/>
      <c r="S598" s="169"/>
      <c r="T598" s="184"/>
      <c r="U598" s="992"/>
      <c r="V598" s="736"/>
      <c r="W598" s="169"/>
      <c r="X598" s="169"/>
      <c r="Y598" s="169"/>
      <c r="Z598" s="992"/>
      <c r="AA598" s="736"/>
      <c r="AB598" s="169"/>
      <c r="AC598" s="169"/>
      <c r="AD598" s="169"/>
      <c r="AE598" s="992"/>
      <c r="AF598" s="736"/>
      <c r="AG598" s="169"/>
      <c r="AH598" s="169"/>
      <c r="AI598" s="184"/>
      <c r="AJ598" s="992"/>
      <c r="AK598" s="736"/>
      <c r="AL598" s="169"/>
      <c r="AM598" s="169"/>
      <c r="AN598" s="169"/>
      <c r="AO598" s="992"/>
      <c r="AP598" s="736"/>
      <c r="AQ598" s="169"/>
      <c r="AR598" s="169"/>
      <c r="AS598" s="169"/>
      <c r="AT598" s="992"/>
      <c r="AU598" s="736">
        <f t="shared" ref="AU598:BZ598" si="1440">AU91</f>
        <v>0.9574613595951309</v>
      </c>
      <c r="AV598" s="169">
        <f t="shared" si="1440"/>
        <v>0.77639751552795033</v>
      </c>
      <c r="AW598" s="169">
        <f t="shared" si="1440"/>
        <v>0.58299326183923328</v>
      </c>
      <c r="AX598" s="169">
        <f t="shared" si="1440"/>
        <v>0.51631171731674241</v>
      </c>
      <c r="AY598" s="992">
        <f t="shared" si="1440"/>
        <v>0.67468461321937623</v>
      </c>
      <c r="AZ598" s="736">
        <f t="shared" si="1440"/>
        <v>0.445741038362099</v>
      </c>
      <c r="BA598" s="169">
        <f t="shared" si="1440"/>
        <v>0.41155141155141162</v>
      </c>
      <c r="BB598" s="169">
        <f t="shared" si="1440"/>
        <v>0.37290167865707424</v>
      </c>
      <c r="BC598" s="169">
        <f t="shared" si="1440"/>
        <v>0.31457127827459219</v>
      </c>
      <c r="BD598" s="992">
        <f t="shared" si="1440"/>
        <v>0.38100695240278082</v>
      </c>
      <c r="BE598" s="736">
        <f t="shared" si="1440"/>
        <v>0.28081198646689209</v>
      </c>
      <c r="BF598" s="169">
        <f t="shared" si="1440"/>
        <v>0.23394495412844041</v>
      </c>
      <c r="BG598" s="169">
        <f t="shared" si="1440"/>
        <v>0.24454148471615711</v>
      </c>
      <c r="BH598" s="169">
        <f t="shared" si="1440"/>
        <v>0.33253301320528239</v>
      </c>
      <c r="BI598" s="992">
        <f t="shared" si="1440"/>
        <v>0.27461827838017272</v>
      </c>
      <c r="BJ598" s="736">
        <f t="shared" si="1440"/>
        <v>0.27169811320754711</v>
      </c>
      <c r="BK598" s="169">
        <f t="shared" si="1440"/>
        <v>0.31970260223048319</v>
      </c>
      <c r="BL598" s="169">
        <f t="shared" si="1440"/>
        <v>0.34385964912280698</v>
      </c>
      <c r="BM598" s="169">
        <f t="shared" si="1440"/>
        <v>0.32732732732732739</v>
      </c>
      <c r="BN598" s="992">
        <f t="shared" si="1440"/>
        <v>0.31684027777777768</v>
      </c>
      <c r="BO598" s="169">
        <f t="shared" si="1440"/>
        <v>0</v>
      </c>
      <c r="BP598" s="169">
        <f t="shared" si="1440"/>
        <v>0</v>
      </c>
      <c r="BQ598" s="169">
        <f t="shared" si="1440"/>
        <v>0</v>
      </c>
      <c r="BR598" s="169">
        <f t="shared" si="1440"/>
        <v>0</v>
      </c>
      <c r="BS598" s="1927">
        <f t="shared" si="1440"/>
        <v>0</v>
      </c>
      <c r="BT598" s="169">
        <f t="shared" si="1440"/>
        <v>0.38872403560830859</v>
      </c>
      <c r="BU598" s="169">
        <f t="shared" si="1440"/>
        <v>0.42816901408450714</v>
      </c>
      <c r="BV598" s="169">
        <f t="shared" si="1440"/>
        <v>0.45169712793733674</v>
      </c>
      <c r="BW598" s="169">
        <f t="shared" si="1440"/>
        <v>0.43438914027149322</v>
      </c>
      <c r="BX598" s="992">
        <f t="shared" si="1440"/>
        <v>0.42715886618325638</v>
      </c>
      <c r="BY598" s="169">
        <f t="shared" si="1440"/>
        <v>0</v>
      </c>
      <c r="BZ598" s="169">
        <f t="shared" si="1440"/>
        <v>0</v>
      </c>
      <c r="CA598" s="169">
        <f t="shared" ref="CA598:DF598" si="1441">CA91</f>
        <v>0</v>
      </c>
      <c r="CB598" s="169">
        <f t="shared" si="1441"/>
        <v>0</v>
      </c>
      <c r="CC598" s="1927">
        <f t="shared" si="1441"/>
        <v>0</v>
      </c>
      <c r="CD598" s="1689">
        <f t="shared" si="1441"/>
        <v>0.45299145299145294</v>
      </c>
      <c r="CE598" s="169">
        <f t="shared" si="1441"/>
        <v>0.39250493096646943</v>
      </c>
      <c r="CF598" s="169">
        <f t="shared" si="1441"/>
        <v>0.3579136690647482</v>
      </c>
      <c r="CG598" s="169">
        <f t="shared" si="1441"/>
        <v>0.2996845425867507</v>
      </c>
      <c r="CH598" s="992">
        <f t="shared" si="1441"/>
        <v>0.36951501154734401</v>
      </c>
      <c r="CI598" s="550">
        <f t="shared" si="1441"/>
        <v>0.24264705882352944</v>
      </c>
      <c r="CJ598" s="169">
        <f t="shared" si="1441"/>
        <v>0.26487252124645888</v>
      </c>
      <c r="CK598" s="169">
        <f t="shared" si="1441"/>
        <v>0.22781456953642376</v>
      </c>
      <c r="CL598" s="169">
        <f t="shared" si="1441"/>
        <v>0.17475728155339798</v>
      </c>
      <c r="CM598" s="992">
        <f t="shared" si="1441"/>
        <v>0.22529510961214161</v>
      </c>
      <c r="CN598" s="169">
        <f t="shared" si="1441"/>
        <v>8.0473372781065144E-2</v>
      </c>
      <c r="CO598" s="169">
        <f t="shared" si="1441"/>
        <v>5.8230683090705559E-2</v>
      </c>
      <c r="CP598" s="169">
        <f t="shared" si="1441"/>
        <v>0.13484358144552311</v>
      </c>
      <c r="CQ598" s="169">
        <f t="shared" si="1441"/>
        <v>0.23037190082644621</v>
      </c>
      <c r="CR598" s="992">
        <f t="shared" si="1441"/>
        <v>0.12881915772089192</v>
      </c>
      <c r="CS598" s="169">
        <f t="shared" si="1441"/>
        <v>0.33296823658269448</v>
      </c>
      <c r="CT598" s="169">
        <f t="shared" si="1441"/>
        <v>0.43068783068783079</v>
      </c>
      <c r="CU598" s="169">
        <f t="shared" si="1441"/>
        <v>0.48193916349809895</v>
      </c>
      <c r="CV598" s="169">
        <f t="shared" si="1441"/>
        <v>0.48278757346767431</v>
      </c>
      <c r="CW598" s="992">
        <f t="shared" si="1441"/>
        <v>0.43721043647890756</v>
      </c>
      <c r="CX598" s="169">
        <f t="shared" si="1441"/>
        <v>0.48315529991783079</v>
      </c>
      <c r="CY598" s="169">
        <f t="shared" si="1441"/>
        <v>0.51553254437869822</v>
      </c>
      <c r="CZ598" s="169">
        <f t="shared" si="1441"/>
        <v>0.54008980115458627</v>
      </c>
      <c r="DA598" s="169">
        <f t="shared" si="1441"/>
        <v>0.57191392978482436</v>
      </c>
      <c r="DB598" s="992">
        <f t="shared" si="1441"/>
        <v>0.53223617237869014</v>
      </c>
      <c r="DC598" s="2612">
        <f t="shared" si="1441"/>
        <v>0.60775623268698054</v>
      </c>
      <c r="DD598" s="2612">
        <f t="shared" si="1441"/>
        <v>0.46852122986822842</v>
      </c>
      <c r="DE598" s="2612">
        <f t="shared" si="1441"/>
        <v>0.31403581840899619</v>
      </c>
      <c r="DF598" s="2612">
        <f t="shared" si="1441"/>
        <v>0.26296829971181546</v>
      </c>
      <c r="DG598" s="2588">
        <f t="shared" ref="DG598:DL598" si="1442">DG91</f>
        <v>0.39209389879304624</v>
      </c>
      <c r="DH598" s="2612">
        <f t="shared" si="1442"/>
        <v>0.16574776016540316</v>
      </c>
      <c r="DI598" s="2612">
        <f t="shared" si="1442"/>
        <v>0.20206048521103348</v>
      </c>
      <c r="DJ598" s="2612">
        <f t="shared" si="1442"/>
        <v>0.22218700475435815</v>
      </c>
      <c r="DK598" s="2612">
        <f t="shared" si="1442"/>
        <v>0.2266591557330293</v>
      </c>
      <c r="DL598" s="2588">
        <f t="shared" si="1442"/>
        <v>0.20558916640152725</v>
      </c>
      <c r="DM598" s="2612"/>
      <c r="DN598" s="2612"/>
      <c r="DO598" s="2612"/>
      <c r="DP598" s="2612"/>
      <c r="DQ598" s="2588"/>
      <c r="DR598" s="2612"/>
      <c r="DS598" s="2612"/>
      <c r="DT598" s="2612"/>
      <c r="DU598" s="2612"/>
      <c r="DV598" s="2588"/>
      <c r="DW598" s="2612"/>
      <c r="DX598" s="2612"/>
      <c r="DY598" s="2612"/>
      <c r="DZ598" s="2612"/>
      <c r="EA598" s="2588"/>
      <c r="EB598" s="2612"/>
      <c r="EC598" s="2612"/>
      <c r="ED598" s="2612"/>
      <c r="EE598" s="2612"/>
      <c r="EF598" s="2588"/>
      <c r="EG598" s="2612"/>
      <c r="EH598" s="2612"/>
      <c r="EI598" s="2612"/>
      <c r="EJ598" s="2612"/>
      <c r="EK598" s="2588"/>
      <c r="EL598" s="2612"/>
      <c r="EM598" s="2612"/>
      <c r="EN598" s="2612"/>
      <c r="EO598" s="2612"/>
      <c r="EP598" s="2588"/>
      <c r="EQ598" s="2612"/>
      <c r="ER598" s="2612"/>
      <c r="ES598" s="2612"/>
      <c r="ET598" s="2612"/>
      <c r="EU598" s="2588"/>
      <c r="EV598" s="2588"/>
      <c r="EW598" s="2588"/>
      <c r="EX598" s="2588"/>
      <c r="EY598" s="2588"/>
      <c r="EZ598" s="185"/>
      <c r="FA598" s="1104"/>
      <c r="FB598" s="1104"/>
    </row>
    <row r="599" spans="1:158" s="161" customFormat="1" ht="11.25" hidden="1" customHeight="1">
      <c r="A599" s="1546" t="s">
        <v>504</v>
      </c>
      <c r="B599" s="1113"/>
      <c r="C599" s="1114"/>
      <c r="D599" s="1114"/>
      <c r="E599" s="1114"/>
      <c r="F599" s="1115"/>
      <c r="G599" s="1113"/>
      <c r="H599" s="1114"/>
      <c r="I599" s="1114"/>
      <c r="J599" s="1114"/>
      <c r="K599" s="1997"/>
      <c r="L599" s="1114"/>
      <c r="M599" s="1114"/>
      <c r="N599" s="1114"/>
      <c r="O599" s="1114"/>
      <c r="P599" s="1116"/>
      <c r="Q599" s="1117"/>
      <c r="R599" s="1118"/>
      <c r="S599" s="1118"/>
      <c r="T599" s="1119"/>
      <c r="U599" s="1116"/>
      <c r="V599" s="1117"/>
      <c r="W599" s="1118"/>
      <c r="X599" s="1118"/>
      <c r="Y599" s="1119"/>
      <c r="Z599" s="1116"/>
      <c r="AA599" s="1117"/>
      <c r="AB599" s="1118"/>
      <c r="AC599" s="1118"/>
      <c r="AD599" s="1119"/>
      <c r="AE599" s="1116"/>
      <c r="AF599" s="1120"/>
      <c r="AG599" s="1121"/>
      <c r="AH599" s="1121"/>
      <c r="AI599" s="1121"/>
      <c r="AJ599" s="1116"/>
      <c r="AK599" s="1120"/>
      <c r="AL599" s="1121"/>
      <c r="AM599" s="1121"/>
      <c r="AN599" s="1121"/>
      <c r="AO599" s="1116"/>
      <c r="AP599" s="1120"/>
      <c r="AQ599" s="1121"/>
      <c r="AR599" s="1121"/>
      <c r="AS599" s="1121"/>
      <c r="AT599" s="1116"/>
      <c r="AU599" s="1120">
        <f t="shared" ref="AU599:DB599" si="1443">AU596/AU574</f>
        <v>4.2086163265846278E-2</v>
      </c>
      <c r="AV599" s="1121">
        <f t="shared" si="1443"/>
        <v>4.3788071670877844E-2</v>
      </c>
      <c r="AW599" s="1121">
        <f t="shared" si="1443"/>
        <v>4.5705546051202667E-2</v>
      </c>
      <c r="AX599" s="1121">
        <f t="shared" si="1443"/>
        <v>5.103364164698232E-2</v>
      </c>
      <c r="AY599" s="1122">
        <f t="shared" si="1443"/>
        <v>4.5759864040368775E-2</v>
      </c>
      <c r="AZ599" s="1120">
        <f t="shared" si="1443"/>
        <v>5.7638851488612121E-2</v>
      </c>
      <c r="BA599" s="1121">
        <f t="shared" si="1443"/>
        <v>6.1053835386890361E-2</v>
      </c>
      <c r="BB599" s="1121">
        <f t="shared" si="1443"/>
        <v>5.8272978911762932E-2</v>
      </c>
      <c r="BC599" s="1121">
        <f t="shared" si="1443"/>
        <v>5.6589621040451045E-2</v>
      </c>
      <c r="BD599" s="1122">
        <f t="shared" si="1443"/>
        <v>5.8287128611850425E-2</v>
      </c>
      <c r="BE599" s="1120">
        <f t="shared" si="1443"/>
        <v>5.9786375782617515E-2</v>
      </c>
      <c r="BF599" s="1121">
        <f t="shared" si="1443"/>
        <v>6.049177586777843E-2</v>
      </c>
      <c r="BG599" s="1121">
        <f t="shared" si="1443"/>
        <v>5.9698817537861278E-2</v>
      </c>
      <c r="BH599" s="1121">
        <f t="shared" si="1443"/>
        <v>5.8883868972643548E-2</v>
      </c>
      <c r="BI599" s="1122">
        <f t="shared" si="1443"/>
        <v>5.9662853882902114E-2</v>
      </c>
      <c r="BJ599" s="1120">
        <f t="shared" si="1443"/>
        <v>5.7416415009867154E-2</v>
      </c>
      <c r="BK599" s="1121">
        <f t="shared" si="1443"/>
        <v>5.6989312105140792E-2</v>
      </c>
      <c r="BL599" s="1121">
        <f t="shared" si="1443"/>
        <v>5.6830772603328611E-2</v>
      </c>
      <c r="BM599" s="1121">
        <f t="shared" si="1443"/>
        <v>6.0741225749326652E-2</v>
      </c>
      <c r="BN599" s="1122">
        <f t="shared" si="1443"/>
        <v>5.8089848961561469E-2</v>
      </c>
      <c r="BO599" s="1121" t="e">
        <f t="shared" si="1443"/>
        <v>#DIV/0!</v>
      </c>
      <c r="BP599" s="1121" t="e">
        <f t="shared" si="1443"/>
        <v>#DIV/0!</v>
      </c>
      <c r="BQ599" s="1121" t="e">
        <f t="shared" si="1443"/>
        <v>#DIV/0!</v>
      </c>
      <c r="BR599" s="1121" t="e">
        <f t="shared" si="1443"/>
        <v>#DIV/0!</v>
      </c>
      <c r="BS599" s="1965" t="e">
        <f t="shared" si="1443"/>
        <v>#DIV/0!</v>
      </c>
      <c r="BT599" s="1121">
        <f t="shared" si="1443"/>
        <v>6.4227619384734203E-2</v>
      </c>
      <c r="BU599" s="1121">
        <f t="shared" si="1443"/>
        <v>6.772387960143951E-2</v>
      </c>
      <c r="BV599" s="1121">
        <f t="shared" si="1443"/>
        <v>7.2344632893368982E-2</v>
      </c>
      <c r="BW599" s="1121">
        <f t="shared" si="1443"/>
        <v>7.3590621726015729E-2</v>
      </c>
      <c r="BX599" s="1122">
        <f t="shared" si="1443"/>
        <v>6.9672739579286561E-2</v>
      </c>
      <c r="BY599" s="1121" t="e">
        <f t="shared" si="1443"/>
        <v>#DIV/0!</v>
      </c>
      <c r="BZ599" s="1121" t="e">
        <f t="shared" si="1443"/>
        <v>#DIV/0!</v>
      </c>
      <c r="CA599" s="1121" t="e">
        <f t="shared" si="1443"/>
        <v>#DIV/0!</v>
      </c>
      <c r="CB599" s="1121" t="e">
        <f t="shared" si="1443"/>
        <v>#DIV/0!</v>
      </c>
      <c r="CC599" s="1965" t="e">
        <f t="shared" si="1443"/>
        <v>#DIV/0!</v>
      </c>
      <c r="CD599" s="1696">
        <f t="shared" si="1443"/>
        <v>7.8703703703703706E-2</v>
      </c>
      <c r="CE599" s="1121">
        <f t="shared" si="1443"/>
        <v>7.9612088407758227E-2</v>
      </c>
      <c r="CF599" s="1121">
        <f t="shared" si="1443"/>
        <v>8.0524744027303752E-2</v>
      </c>
      <c r="CG599" s="1121">
        <f t="shared" si="1443"/>
        <v>7.8193205541848554E-2</v>
      </c>
      <c r="CH599" s="1122">
        <f t="shared" si="1443"/>
        <v>7.9231468120357015E-2</v>
      </c>
      <c r="CI599" s="1121">
        <f t="shared" si="1443"/>
        <v>8.0714490400229252E-2</v>
      </c>
      <c r="CJ599" s="1121">
        <f t="shared" si="1443"/>
        <v>8.1664380429812528E-2</v>
      </c>
      <c r="CK599" s="1121">
        <f t="shared" si="1443"/>
        <v>8.2385353714895124E-2</v>
      </c>
      <c r="CL599" s="1121">
        <f t="shared" si="1443"/>
        <v>7.7882371872234291E-2</v>
      </c>
      <c r="CM599" s="1122">
        <f t="shared" si="1443"/>
        <v>8.0581124542530774E-2</v>
      </c>
      <c r="CN599" s="1121">
        <f t="shared" si="1443"/>
        <v>7.6516929265839764E-2</v>
      </c>
      <c r="CO599" s="1121">
        <f t="shared" si="1443"/>
        <v>7.6197387518142229E-2</v>
      </c>
      <c r="CP599" s="1121">
        <f t="shared" si="1443"/>
        <v>8.0385114999617938E-2</v>
      </c>
      <c r="CQ599" s="1121">
        <f t="shared" si="1443"/>
        <v>7.9740224959828604E-2</v>
      </c>
      <c r="CR599" s="1122">
        <f t="shared" si="1443"/>
        <v>7.8327635273220397E-2</v>
      </c>
      <c r="CS599" s="1121">
        <f t="shared" si="1443"/>
        <v>8.4938581797878276E-2</v>
      </c>
      <c r="CT599" s="1121">
        <f t="shared" si="1443"/>
        <v>8.7792207792207796E-2</v>
      </c>
      <c r="CU599" s="1121">
        <f t="shared" si="1443"/>
        <v>9.6898502082167937E-2</v>
      </c>
      <c r="CV599" s="1121">
        <f t="shared" si="1443"/>
        <v>9.8285841495992871E-2</v>
      </c>
      <c r="CW599" s="1122">
        <f t="shared" si="1443"/>
        <v>9.2404170259465387E-2</v>
      </c>
      <c r="CX599" s="1121">
        <f t="shared" si="1443"/>
        <v>0.10371774981325059</v>
      </c>
      <c r="CY599" s="1121">
        <f t="shared" si="1443"/>
        <v>0.11120759837177747</v>
      </c>
      <c r="CZ599" s="1121">
        <f t="shared" si="1443"/>
        <v>0.12173604421234092</v>
      </c>
      <c r="DA599" s="1121">
        <f t="shared" si="1443"/>
        <v>0.12483698340603498</v>
      </c>
      <c r="DB599" s="1122">
        <f t="shared" si="1443"/>
        <v>0.11609759860132668</v>
      </c>
      <c r="DC599" s="1121">
        <f t="shared" ref="DC599:DL599" si="1444">DC596/DC574</f>
        <v>0.13192108373488498</v>
      </c>
      <c r="DD599" s="1121">
        <f t="shared" si="1444"/>
        <v>0.12935259221047202</v>
      </c>
      <c r="DE599" s="1121">
        <f t="shared" si="1444"/>
        <v>0.13116321609711482</v>
      </c>
      <c r="DF599" s="1121">
        <f t="shared" si="1444"/>
        <v>0.13062596118491973</v>
      </c>
      <c r="DG599" s="1122">
        <f t="shared" si="1444"/>
        <v>0.13074859911134887</v>
      </c>
      <c r="DH599" s="1121">
        <f t="shared" si="1444"/>
        <v>0.13279377283691896</v>
      </c>
      <c r="DI599" s="1121">
        <f t="shared" si="1444"/>
        <v>0.13312749515205188</v>
      </c>
      <c r="DJ599" s="1121">
        <f t="shared" si="1444"/>
        <v>0.13548304940861777</v>
      </c>
      <c r="DK599" s="1121">
        <f t="shared" si="1444"/>
        <v>0.135075474939437</v>
      </c>
      <c r="DL599" s="1122">
        <f t="shared" si="1444"/>
        <v>0.13419493063195842</v>
      </c>
      <c r="DM599" s="1121"/>
      <c r="DN599" s="1121"/>
      <c r="DO599" s="1121"/>
      <c r="DP599" s="1121"/>
      <c r="DQ599" s="1122"/>
      <c r="DR599" s="1121"/>
      <c r="DS599" s="1121"/>
      <c r="DT599" s="1121"/>
      <c r="DU599" s="1121"/>
      <c r="DV599" s="1122"/>
      <c r="DW599" s="1121"/>
      <c r="DX599" s="1121"/>
      <c r="DY599" s="1121"/>
      <c r="DZ599" s="1121"/>
      <c r="EA599" s="1122"/>
      <c r="EB599" s="1121"/>
      <c r="EC599" s="1121"/>
      <c r="ED599" s="1121"/>
      <c r="EE599" s="1121"/>
      <c r="EF599" s="1122"/>
      <c r="EG599" s="1121"/>
      <c r="EH599" s="1121"/>
      <c r="EI599" s="1121"/>
      <c r="EJ599" s="1121"/>
      <c r="EK599" s="1122"/>
      <c r="EL599" s="1121"/>
      <c r="EM599" s="1121"/>
      <c r="EN599" s="1121"/>
      <c r="EO599" s="1121"/>
      <c r="EP599" s="1122"/>
      <c r="EQ599" s="1121"/>
      <c r="ER599" s="1121"/>
      <c r="ES599" s="1121"/>
      <c r="ET599" s="1121"/>
      <c r="EU599" s="1122"/>
      <c r="EV599" s="1122"/>
      <c r="EW599" s="1122"/>
      <c r="EX599" s="1122"/>
      <c r="EY599" s="1122"/>
      <c r="EZ599" s="174"/>
      <c r="FA599" s="1104"/>
      <c r="FB599" s="1104"/>
    </row>
    <row r="600" spans="1:158" s="1134" customFormat="1" ht="11.25" hidden="1" customHeight="1">
      <c r="A600" s="1546" t="s">
        <v>506</v>
      </c>
      <c r="B600" s="1123"/>
      <c r="C600" s="1124"/>
      <c r="D600" s="1124"/>
      <c r="E600" s="1124"/>
      <c r="F600" s="1125"/>
      <c r="G600" s="1123"/>
      <c r="H600" s="1124"/>
      <c r="I600" s="1124"/>
      <c r="J600" s="1124"/>
      <c r="K600" s="1998"/>
      <c r="L600" s="1124"/>
      <c r="M600" s="1124"/>
      <c r="N600" s="1124"/>
      <c r="O600" s="1124"/>
      <c r="P600" s="1126"/>
      <c r="Q600" s="1127"/>
      <c r="R600" s="1128"/>
      <c r="S600" s="1128"/>
      <c r="T600" s="1129"/>
      <c r="U600" s="1126"/>
      <c r="V600" s="1127"/>
      <c r="W600" s="1128"/>
      <c r="X600" s="1128"/>
      <c r="Y600" s="1128"/>
      <c r="Z600" s="1126"/>
      <c r="AA600" s="1127"/>
      <c r="AB600" s="1128"/>
      <c r="AC600" s="1128"/>
      <c r="AD600" s="1128"/>
      <c r="AE600" s="1126"/>
      <c r="AF600" s="1130"/>
      <c r="AG600" s="1131"/>
      <c r="AH600" s="1131"/>
      <c r="AI600" s="1131"/>
      <c r="AJ600" s="1126"/>
      <c r="AK600" s="1130"/>
      <c r="AL600" s="1131"/>
      <c r="AM600" s="1131"/>
      <c r="AN600" s="1131"/>
      <c r="AO600" s="1126"/>
      <c r="AP600" s="1130"/>
      <c r="AQ600" s="1131"/>
      <c r="AR600" s="1131"/>
      <c r="AS600" s="1131"/>
      <c r="AT600" s="1126"/>
      <c r="AU600" s="1130">
        <f>AU599*AU573</f>
        <v>137.53576546318649</v>
      </c>
      <c r="AV600" s="1131">
        <f>AV599*AV573</f>
        <v>147.26292222231339</v>
      </c>
      <c r="AW600" s="1131">
        <f>AW599*AW573</f>
        <v>161.71167094077543</v>
      </c>
      <c r="AX600" s="1131">
        <f>AX599*AX573</f>
        <v>199.17511911333875</v>
      </c>
      <c r="AY600" s="1132">
        <f>SUM(AU600:AX600)</f>
        <v>645.68547773961404</v>
      </c>
      <c r="AZ600" s="1130">
        <f>AZ599*AZ573</f>
        <v>223.4752130256079</v>
      </c>
      <c r="BA600" s="1131">
        <f>BA599*BA573</f>
        <v>238.06817318426337</v>
      </c>
      <c r="BB600" s="1131">
        <f>BB599*BB573</f>
        <v>240.5162065551603</v>
      </c>
      <c r="BC600" s="1131">
        <f>BC599*BC573</f>
        <v>242.55201231655494</v>
      </c>
      <c r="BD600" s="1132">
        <f>SUM(AZ600:BC600)</f>
        <v>944.6116050815865</v>
      </c>
      <c r="BE600" s="1130">
        <f>BE599*BE573</f>
        <v>255.52032520325201</v>
      </c>
      <c r="BF600" s="1131">
        <f>BF599*BF573</f>
        <v>268.04227859368046</v>
      </c>
      <c r="BG600" s="1131">
        <f>BG599*BG573</f>
        <v>291.69237182159236</v>
      </c>
      <c r="BH600" s="1131">
        <f>BH599*BH573</f>
        <v>338.22352941176473</v>
      </c>
      <c r="BI600" s="1132">
        <f>SUM(BE600:BH600)</f>
        <v>1153.4785050302896</v>
      </c>
      <c r="BJ600" s="1130">
        <f>BJ599*BJ573</f>
        <v>336.09461511505663</v>
      </c>
      <c r="BK600" s="1131">
        <f>BK599*BK573</f>
        <v>338.59177565949904</v>
      </c>
      <c r="BL600" s="1131">
        <f>BL599*BL573</f>
        <v>363.96625167198272</v>
      </c>
      <c r="BM600" s="1131">
        <f>BM599*BM573</f>
        <v>440.36745903968176</v>
      </c>
      <c r="BN600" s="1132">
        <f>SUM(BJ600:BM600)</f>
        <v>1479.02010148622</v>
      </c>
      <c r="BO600" s="1131"/>
      <c r="BP600" s="1131"/>
      <c r="BQ600" s="1131"/>
      <c r="BR600" s="1131"/>
      <c r="BS600" s="1966"/>
      <c r="BT600" s="1131">
        <f>BT599*BT573</f>
        <v>470.95588235294116</v>
      </c>
      <c r="BU600" s="1131">
        <f>BU599*BU573</f>
        <v>523.30524671506021</v>
      </c>
      <c r="BV600" s="1131">
        <f>BV599*BV573</f>
        <v>583.01430565247733</v>
      </c>
      <c r="BW600" s="1131">
        <f>BW599*BW573</f>
        <v>643.50901460988496</v>
      </c>
      <c r="BX600" s="1132">
        <f>SUM(BT600:BW600)</f>
        <v>2220.7844493303637</v>
      </c>
      <c r="BY600" s="1131"/>
      <c r="BZ600" s="1131"/>
      <c r="CA600" s="1131"/>
      <c r="CB600" s="1131"/>
      <c r="CC600" s="1966"/>
      <c r="CD600" s="1697">
        <f>CD599*CD573</f>
        <v>680</v>
      </c>
      <c r="CE600" s="1131">
        <f>CE599*CE573</f>
        <v>706</v>
      </c>
      <c r="CF600" s="1131">
        <f>CF599*CF573</f>
        <v>755</v>
      </c>
      <c r="CG600" s="1131">
        <f>CG599*CG573</f>
        <v>824.00000000000011</v>
      </c>
      <c r="CH600" s="1132">
        <f>SUM(CD600:CG600)</f>
        <v>2965</v>
      </c>
      <c r="CI600" s="1130">
        <f>CI599*CI573</f>
        <v>845</v>
      </c>
      <c r="CJ600" s="1131">
        <f>CJ599*CJ573</f>
        <v>893</v>
      </c>
      <c r="CK600" s="1131">
        <f>CK599*CK573</f>
        <v>926.99999999999989</v>
      </c>
      <c r="CL600" s="1131">
        <f>CL599*CL573</f>
        <v>968</v>
      </c>
      <c r="CM600" s="1132">
        <f>SUM(CI600:CL600)</f>
        <v>3633</v>
      </c>
      <c r="CN600" s="1130">
        <f>CN599*CN573</f>
        <v>913.00000000000011</v>
      </c>
      <c r="CO600" s="1131">
        <f>CO599*CO573</f>
        <v>944.99999999999989</v>
      </c>
      <c r="CP600" s="1131">
        <f>CP599*CP573</f>
        <v>1052</v>
      </c>
      <c r="CQ600" s="1131">
        <f>CQ599*CQ573</f>
        <v>1191</v>
      </c>
      <c r="CR600" s="1132">
        <f>SUM(CN600:CQ600)</f>
        <v>4101</v>
      </c>
      <c r="CS600" s="1130">
        <f>CS599*CS573</f>
        <v>1217</v>
      </c>
      <c r="CT600" s="1131">
        <f>CT599*CT573</f>
        <v>1352</v>
      </c>
      <c r="CU600" s="1131">
        <f>CU599*CU573</f>
        <v>1559</v>
      </c>
      <c r="CV600" s="1131">
        <f>CV599*CV573</f>
        <v>1766</v>
      </c>
      <c r="CW600" s="1132">
        <f>SUM(CS600:CV600)</f>
        <v>5894</v>
      </c>
      <c r="CX600" s="1130">
        <f>CX599*CX573</f>
        <v>1805</v>
      </c>
      <c r="CY600" s="1131">
        <f>CY599*CY573</f>
        <v>2049</v>
      </c>
      <c r="CZ600" s="1131">
        <f>CZ599*CZ573</f>
        <v>2401</v>
      </c>
      <c r="DA600" s="1131">
        <f>DA599*DA573</f>
        <v>2776</v>
      </c>
      <c r="DB600" s="1132">
        <f>SUM(CX600:DA600)</f>
        <v>9031</v>
      </c>
      <c r="DC600" s="1130">
        <f>DC599*DC573</f>
        <v>2902</v>
      </c>
      <c r="DD600" s="1131">
        <f>DD599*DD573</f>
        <v>3009</v>
      </c>
      <c r="DE600" s="1131">
        <f>DE599*DE573</f>
        <v>3154.9999999999995</v>
      </c>
      <c r="DF600" s="1131">
        <f>DF599*DF573</f>
        <v>3570.8330608908868</v>
      </c>
      <c r="DG600" s="1132">
        <f>SUM(DC600:DF600)</f>
        <v>12636.833060890887</v>
      </c>
      <c r="DH600" s="1130">
        <f>DH599*DH573</f>
        <v>3490.7454008065856</v>
      </c>
      <c r="DI600" s="1131">
        <f>DI599*DI573</f>
        <v>3730.3455814193017</v>
      </c>
      <c r="DJ600" s="1131">
        <f>DJ599*DJ573</f>
        <v>3907.4706290242693</v>
      </c>
      <c r="DK600" s="1131">
        <f>DK599*DK573</f>
        <v>4339.6670465161797</v>
      </c>
      <c r="DL600" s="1132">
        <f>SUM(DH600:DK600)</f>
        <v>15468.228657766336</v>
      </c>
      <c r="DM600" s="1130"/>
      <c r="DN600" s="1131"/>
      <c r="DO600" s="1131"/>
      <c r="DP600" s="1131"/>
      <c r="DQ600" s="1132"/>
      <c r="DR600" s="1131"/>
      <c r="DS600" s="1131"/>
      <c r="DT600" s="1131"/>
      <c r="DU600" s="1131"/>
      <c r="DV600" s="1132"/>
      <c r="DW600" s="1131"/>
      <c r="DX600" s="1131"/>
      <c r="DY600" s="1131"/>
      <c r="DZ600" s="1131"/>
      <c r="EA600" s="1132"/>
      <c r="EB600" s="1131"/>
      <c r="EC600" s="1131"/>
      <c r="ED600" s="1131"/>
      <c r="EE600" s="1131"/>
      <c r="EF600" s="1132"/>
      <c r="EG600" s="1131"/>
      <c r="EH600" s="1131"/>
      <c r="EI600" s="1131"/>
      <c r="EJ600" s="1131"/>
      <c r="EK600" s="1132"/>
      <c r="EL600" s="1131"/>
      <c r="EM600" s="1131"/>
      <c r="EN600" s="1131"/>
      <c r="EO600" s="1131"/>
      <c r="EP600" s="1132"/>
      <c r="EQ600" s="1131"/>
      <c r="ER600" s="1131"/>
      <c r="ES600" s="1131"/>
      <c r="ET600" s="1131"/>
      <c r="EU600" s="1132"/>
      <c r="EV600" s="1132"/>
      <c r="EW600" s="1132"/>
      <c r="EX600" s="1132"/>
      <c r="EY600" s="1132"/>
      <c r="EZ600" s="1133"/>
      <c r="FA600" s="4273"/>
      <c r="FB600" s="4273"/>
    </row>
    <row r="601" spans="1:158" s="1105" customFormat="1" ht="11.25" hidden="1" customHeight="1" collapsed="1">
      <c r="A601" s="2384" t="s">
        <v>508</v>
      </c>
      <c r="B601" s="1155"/>
      <c r="C601" s="1156"/>
      <c r="D601" s="1156"/>
      <c r="E601" s="1156"/>
      <c r="F601" s="1157"/>
      <c r="G601" s="1155"/>
      <c r="H601" s="1156"/>
      <c r="I601" s="1156"/>
      <c r="J601" s="1156"/>
      <c r="K601" s="1999"/>
      <c r="L601" s="1156"/>
      <c r="M601" s="1156"/>
      <c r="N601" s="1156"/>
      <c r="O601" s="1156"/>
      <c r="P601" s="1158"/>
      <c r="Q601" s="1159"/>
      <c r="R601" s="1160"/>
      <c r="S601" s="1160"/>
      <c r="T601" s="1161"/>
      <c r="U601" s="1158"/>
      <c r="V601" s="1159"/>
      <c r="W601" s="1160"/>
      <c r="X601" s="1160"/>
      <c r="Y601" s="1161"/>
      <c r="Z601" s="1158"/>
      <c r="AA601" s="1159"/>
      <c r="AB601" s="1160"/>
      <c r="AC601" s="1160"/>
      <c r="AD601" s="1161"/>
      <c r="AE601" s="1158"/>
      <c r="AF601" s="1162"/>
      <c r="AG601" s="1135"/>
      <c r="AH601" s="1135"/>
      <c r="AI601" s="1135"/>
      <c r="AJ601" s="1158"/>
      <c r="AK601" s="1162"/>
      <c r="AL601" s="1135"/>
      <c r="AM601" s="1135"/>
      <c r="AN601" s="1135"/>
      <c r="AO601" s="1158"/>
      <c r="AP601" s="1162"/>
      <c r="AQ601" s="1135"/>
      <c r="AR601" s="1135"/>
      <c r="AS601" s="1135"/>
      <c r="AT601" s="1158"/>
      <c r="AU601" s="1135"/>
      <c r="AV601" s="1135"/>
      <c r="AW601" s="1135"/>
      <c r="AX601" s="1135"/>
      <c r="AY601" s="1136"/>
      <c r="AZ601" s="1135">
        <f t="shared" ref="AZ601:BN601" si="1445">AZ600/AU596-1</f>
        <v>0.56156252550910413</v>
      </c>
      <c r="BA601" s="1135">
        <f t="shared" si="1445"/>
        <v>0.54149296286106829</v>
      </c>
      <c r="BB601" s="1135">
        <f t="shared" si="1445"/>
        <v>0.44194368438345499</v>
      </c>
      <c r="BC601" s="1135">
        <f t="shared" si="1445"/>
        <v>0.27591800271728006</v>
      </c>
      <c r="BD601" s="1136">
        <f t="shared" si="1445"/>
        <v>0.44336710991150796</v>
      </c>
      <c r="BE601" s="1135">
        <f t="shared" si="1445"/>
        <v>0.23499432191035297</v>
      </c>
      <c r="BF601" s="1135">
        <f t="shared" si="1445"/>
        <v>0.22955173666825912</v>
      </c>
      <c r="BG601" s="1135">
        <f t="shared" si="1445"/>
        <v>0.27376581581481374</v>
      </c>
      <c r="BH601" s="1135">
        <f t="shared" si="1445"/>
        <v>0.35343549184379675</v>
      </c>
      <c r="BI601" s="1136">
        <f t="shared" si="1445"/>
        <v>0.2762541547137527</v>
      </c>
      <c r="BJ601" s="1135">
        <f t="shared" si="1445"/>
        <v>0.26828156647191181</v>
      </c>
      <c r="BK601" s="1135">
        <f t="shared" si="1445"/>
        <v>0.25870548572304464</v>
      </c>
      <c r="BL601" s="1135">
        <f t="shared" si="1445"/>
        <v>0.2770745672701147</v>
      </c>
      <c r="BM601" s="1135">
        <f t="shared" si="1445"/>
        <v>0.32242480192096634</v>
      </c>
      <c r="BN601" s="1136">
        <f t="shared" si="1445"/>
        <v>0.28387161587345489</v>
      </c>
      <c r="BO601" s="1135"/>
      <c r="BP601" s="1135"/>
      <c r="BQ601" s="1135"/>
      <c r="BR601" s="1135"/>
      <c r="BS601" s="1967"/>
      <c r="BT601" s="1135">
        <f>BT600/BJ596-1</f>
        <v>0.39749519986035953</v>
      </c>
      <c r="BU601" s="1135">
        <f>BU600/BK596-1</f>
        <v>0.47409928652129629</v>
      </c>
      <c r="BV601" s="1135">
        <f>BV600/BL596-1</f>
        <v>0.52223056306129845</v>
      </c>
      <c r="BW601" s="1135">
        <f>BW600/BM596-1</f>
        <v>0.45590274798616504</v>
      </c>
      <c r="BX601" s="1136">
        <f>BX600/BN596-1</f>
        <v>0.46393173983544078</v>
      </c>
      <c r="BY601" s="1135"/>
      <c r="BZ601" s="1135"/>
      <c r="CA601" s="1135"/>
      <c r="CB601" s="1135"/>
      <c r="CC601" s="1967"/>
      <c r="CD601" s="1135">
        <f>CD600/BT596-1</f>
        <v>0.45299145299145294</v>
      </c>
      <c r="CE601" s="1135">
        <f>CE600/BU596-1</f>
        <v>0.39250493096646943</v>
      </c>
      <c r="CF601" s="1135">
        <f>CF600/BV596-1</f>
        <v>0.3579136690647482</v>
      </c>
      <c r="CG601" s="1135">
        <f>CG600/BW596-1</f>
        <v>0.29968454258675092</v>
      </c>
      <c r="CH601" s="1136">
        <f>CH600/BX596-1</f>
        <v>0.36951501154734401</v>
      </c>
      <c r="CI601" s="1135">
        <f t="shared" ref="CI601:DA601" si="1446">CI600/CD596-1</f>
        <v>0.24264705882352944</v>
      </c>
      <c r="CJ601" s="1135">
        <f t="shared" si="1446"/>
        <v>0.26487252124645888</v>
      </c>
      <c r="CK601" s="1135">
        <f t="shared" si="1446"/>
        <v>0.22781456953642376</v>
      </c>
      <c r="CL601" s="1135">
        <f t="shared" si="1446"/>
        <v>0.17475728155339798</v>
      </c>
      <c r="CM601" s="1136">
        <f t="shared" si="1446"/>
        <v>0.22529510961214161</v>
      </c>
      <c r="CN601" s="1135">
        <f t="shared" si="1446"/>
        <v>8.0473372781065144E-2</v>
      </c>
      <c r="CO601" s="1135">
        <f t="shared" si="1446"/>
        <v>5.8230683090705337E-2</v>
      </c>
      <c r="CP601" s="1135">
        <f t="shared" si="1446"/>
        <v>0.13484358144552311</v>
      </c>
      <c r="CQ601" s="1135">
        <f t="shared" si="1446"/>
        <v>0.23037190082644621</v>
      </c>
      <c r="CR601" s="1136">
        <f t="shared" si="1446"/>
        <v>0.12881915772089192</v>
      </c>
      <c r="CS601" s="1135">
        <f t="shared" si="1446"/>
        <v>0.33296823658269448</v>
      </c>
      <c r="CT601" s="1135">
        <f t="shared" si="1446"/>
        <v>0.43068783068783079</v>
      </c>
      <c r="CU601" s="1135">
        <f t="shared" si="1446"/>
        <v>0.48193916349809895</v>
      </c>
      <c r="CV601" s="1135">
        <f t="shared" si="1446"/>
        <v>0.48278757346767431</v>
      </c>
      <c r="CW601" s="1136">
        <f t="shared" si="1446"/>
        <v>0.43721043647890756</v>
      </c>
      <c r="CX601" s="1135">
        <f t="shared" si="1446"/>
        <v>0.48315529991783079</v>
      </c>
      <c r="CY601" s="1135">
        <f t="shared" si="1446"/>
        <v>0.51553254437869822</v>
      </c>
      <c r="CZ601" s="1135">
        <f t="shared" si="1446"/>
        <v>0.54008980115458627</v>
      </c>
      <c r="DA601" s="1135">
        <f t="shared" si="1446"/>
        <v>0.57191392978482436</v>
      </c>
      <c r="DB601" s="1136">
        <f t="shared" ref="DB601:DL601" si="1447">DB600/CW596-1</f>
        <v>0.53223617237869014</v>
      </c>
      <c r="DC601" s="2660">
        <f t="shared" si="1447"/>
        <v>0.60775623268698054</v>
      </c>
      <c r="DD601" s="2660">
        <f t="shared" si="1447"/>
        <v>0.46852122986822842</v>
      </c>
      <c r="DE601" s="2660">
        <f t="shared" si="1447"/>
        <v>0.31403581840899597</v>
      </c>
      <c r="DF601" s="2660">
        <f t="shared" si="1447"/>
        <v>0.28632314873591014</v>
      </c>
      <c r="DG601" s="2597">
        <f t="shared" si="1447"/>
        <v>0.39927284474486635</v>
      </c>
      <c r="DH601" s="2660">
        <f t="shared" si="1447"/>
        <v>0.20287574114630802</v>
      </c>
      <c r="DI601" s="2660">
        <f t="shared" si="1447"/>
        <v>0.23972933912240002</v>
      </c>
      <c r="DJ601" s="2660">
        <f t="shared" si="1447"/>
        <v>0.23850099176680484</v>
      </c>
      <c r="DK601" s="2660">
        <f t="shared" si="1447"/>
        <v>0.23778295679297767</v>
      </c>
      <c r="DL601" s="2597">
        <f t="shared" si="1447"/>
        <v>0.23037135362443029</v>
      </c>
      <c r="DM601" s="2660"/>
      <c r="DN601" s="2660"/>
      <c r="DO601" s="2660"/>
      <c r="DP601" s="2660"/>
      <c r="DQ601" s="2597"/>
      <c r="DR601" s="2660"/>
      <c r="DS601" s="2660"/>
      <c r="DT601" s="2660"/>
      <c r="DU601" s="2660"/>
      <c r="DV601" s="2597"/>
      <c r="DW601" s="2660"/>
      <c r="DX601" s="2660"/>
      <c r="DY601" s="2660"/>
      <c r="DZ601" s="2660"/>
      <c r="EA601" s="2597"/>
      <c r="EB601" s="2660"/>
      <c r="EC601" s="2660"/>
      <c r="ED601" s="2660"/>
      <c r="EE601" s="2660"/>
      <c r="EF601" s="2597"/>
      <c r="EG601" s="2660"/>
      <c r="EH601" s="2660"/>
      <c r="EI601" s="2660"/>
      <c r="EJ601" s="2660"/>
      <c r="EK601" s="2597"/>
      <c r="EL601" s="2660"/>
      <c r="EM601" s="2660"/>
      <c r="EN601" s="2660"/>
      <c r="EO601" s="2660"/>
      <c r="EP601" s="2597"/>
      <c r="EQ601" s="2660"/>
      <c r="ER601" s="2660"/>
      <c r="ES601" s="2660"/>
      <c r="ET601" s="2660"/>
      <c r="EU601" s="2597"/>
      <c r="EV601" s="2597"/>
      <c r="EW601" s="2597"/>
      <c r="EX601" s="2597"/>
      <c r="EY601" s="2597"/>
      <c r="EZ601" s="185"/>
      <c r="FA601" s="1104"/>
      <c r="FB601" s="1104"/>
    </row>
    <row r="602" spans="1:158" s="180" customFormat="1" ht="11.25" hidden="1" customHeight="1">
      <c r="A602" s="1541" t="str">
        <f>A99</f>
        <v>Google Network Members' Properties - TAC</v>
      </c>
      <c r="B602" s="981"/>
      <c r="C602" s="175"/>
      <c r="D602" s="175"/>
      <c r="E602" s="176"/>
      <c r="F602" s="982"/>
      <c r="G602" s="981"/>
      <c r="H602" s="175"/>
      <c r="I602" s="175"/>
      <c r="J602" s="175"/>
      <c r="K602" s="1014"/>
      <c r="L602" s="175"/>
      <c r="M602" s="175"/>
      <c r="N602" s="175"/>
      <c r="O602" s="175"/>
      <c r="P602" s="1007"/>
      <c r="Q602" s="618"/>
      <c r="R602" s="176"/>
      <c r="S602" s="176"/>
      <c r="T602" s="176"/>
      <c r="U602" s="1007"/>
      <c r="V602" s="618"/>
      <c r="W602" s="176"/>
      <c r="X602" s="176"/>
      <c r="Y602" s="176"/>
      <c r="Z602" s="1007"/>
      <c r="AA602" s="618"/>
      <c r="AB602" s="175"/>
      <c r="AC602" s="175"/>
      <c r="AD602" s="175"/>
      <c r="AE602" s="1007"/>
      <c r="AF602" s="981"/>
      <c r="AG602" s="175"/>
      <c r="AH602" s="175"/>
      <c r="AI602" s="175"/>
      <c r="AJ602" s="1007"/>
      <c r="AK602" s="2292"/>
      <c r="AL602" s="2293"/>
      <c r="AM602" s="175"/>
      <c r="AN602" s="177"/>
      <c r="AO602" s="1007"/>
      <c r="AP602" s="981"/>
      <c r="AQ602" s="175"/>
      <c r="AR602" s="175"/>
      <c r="AS602" s="177"/>
      <c r="AT602" s="1007"/>
      <c r="AU602" s="981">
        <f t="shared" ref="AU602:BZ602" si="1448">AU99</f>
        <v>1343.2739999999999</v>
      </c>
      <c r="AV602" s="175">
        <f t="shared" si="1448"/>
        <v>1319.54</v>
      </c>
      <c r="AW602" s="175">
        <f t="shared" si="1448"/>
        <v>1328.4059999999999</v>
      </c>
      <c r="AX602" s="175">
        <f t="shared" si="1448"/>
        <v>1293.2820000000002</v>
      </c>
      <c r="AY602" s="1007">
        <f t="shared" si="1448"/>
        <v>5284.5020000000004</v>
      </c>
      <c r="AZ602" s="981">
        <f t="shared" si="1448"/>
        <v>1229.06</v>
      </c>
      <c r="BA602" s="175">
        <f t="shared" si="1448"/>
        <v>1235.354</v>
      </c>
      <c r="BB602" s="175">
        <f t="shared" si="1448"/>
        <v>1330.2159999999999</v>
      </c>
      <c r="BC602" s="51">
        <f t="shared" si="1448"/>
        <v>1470.9700000000007</v>
      </c>
      <c r="BD602" s="1007">
        <f t="shared" si="1448"/>
        <v>5265.6</v>
      </c>
      <c r="BE602" s="981">
        <f t="shared" si="1448"/>
        <v>1446</v>
      </c>
      <c r="BF602" s="175">
        <f t="shared" si="1448"/>
        <v>1463</v>
      </c>
      <c r="BG602" s="175">
        <f t="shared" si="1448"/>
        <v>1520</v>
      </c>
      <c r="BH602" s="177">
        <f t="shared" si="1448"/>
        <v>1736</v>
      </c>
      <c r="BI602" s="1007">
        <f t="shared" si="1448"/>
        <v>6165</v>
      </c>
      <c r="BJ602" s="981">
        <f t="shared" si="1448"/>
        <v>1701</v>
      </c>
      <c r="BK602" s="175">
        <f t="shared" si="1448"/>
        <v>1755</v>
      </c>
      <c r="BL602" s="175">
        <f t="shared" si="1448"/>
        <v>1827</v>
      </c>
      <c r="BM602" s="175">
        <f t="shared" si="1448"/>
        <v>2008</v>
      </c>
      <c r="BN602" s="1007">
        <f t="shared" si="1448"/>
        <v>7291</v>
      </c>
      <c r="BO602" s="176">
        <f t="shared" si="1448"/>
        <v>0</v>
      </c>
      <c r="BP602" s="176">
        <f t="shared" si="1448"/>
        <v>0</v>
      </c>
      <c r="BQ602" s="176">
        <f t="shared" si="1448"/>
        <v>0</v>
      </c>
      <c r="BR602" s="176">
        <f t="shared" si="1448"/>
        <v>0</v>
      </c>
      <c r="BS602" s="1954">
        <f t="shared" si="1448"/>
        <v>0</v>
      </c>
      <c r="BT602" s="175">
        <f t="shared" si="1448"/>
        <v>2042</v>
      </c>
      <c r="BU602" s="175">
        <f t="shared" si="1448"/>
        <v>2093</v>
      </c>
      <c r="BV602" s="175">
        <f t="shared" si="1448"/>
        <v>2214</v>
      </c>
      <c r="BW602" s="175">
        <f t="shared" si="1448"/>
        <v>2446</v>
      </c>
      <c r="BX602" s="1007">
        <f t="shared" si="1448"/>
        <v>8795</v>
      </c>
      <c r="BY602" s="176">
        <f t="shared" si="1448"/>
        <v>0</v>
      </c>
      <c r="BZ602" s="176">
        <f t="shared" si="1448"/>
        <v>0</v>
      </c>
      <c r="CA602" s="176">
        <f t="shared" ref="CA602:DF602" si="1449">CA99</f>
        <v>0</v>
      </c>
      <c r="CB602" s="176">
        <f t="shared" si="1449"/>
        <v>0</v>
      </c>
      <c r="CC602" s="1954">
        <f t="shared" si="1449"/>
        <v>0</v>
      </c>
      <c r="CD602" s="1693">
        <f t="shared" si="1449"/>
        <v>2282</v>
      </c>
      <c r="CE602" s="175">
        <f t="shared" si="1449"/>
        <v>2307</v>
      </c>
      <c r="CF602" s="175">
        <f t="shared" si="1449"/>
        <v>2217</v>
      </c>
      <c r="CG602" s="175">
        <f t="shared" si="1449"/>
        <v>2486</v>
      </c>
      <c r="CH602" s="1007">
        <f t="shared" si="1449"/>
        <v>9292</v>
      </c>
      <c r="CI602" s="175">
        <f t="shared" si="1449"/>
        <v>2387</v>
      </c>
      <c r="CJ602" s="175">
        <f t="shared" si="1449"/>
        <v>2400</v>
      </c>
      <c r="CK602" s="175">
        <f t="shared" si="1449"/>
        <v>2421</v>
      </c>
      <c r="CL602" s="175">
        <f t="shared" si="1449"/>
        <v>2652</v>
      </c>
      <c r="CM602" s="1007">
        <f t="shared" si="1449"/>
        <v>9860</v>
      </c>
      <c r="CN602" s="175">
        <f t="shared" si="1449"/>
        <v>2432</v>
      </c>
      <c r="CO602" s="175">
        <f t="shared" si="1449"/>
        <v>2432</v>
      </c>
      <c r="CP602" s="175">
        <f t="shared" si="1449"/>
        <v>2514</v>
      </c>
      <c r="CQ602" s="175">
        <f t="shared" si="1449"/>
        <v>2864</v>
      </c>
      <c r="CR602" s="1007">
        <f t="shared" si="1449"/>
        <v>10242</v>
      </c>
      <c r="CS602" s="175">
        <f t="shared" si="1449"/>
        <v>2571</v>
      </c>
      <c r="CT602" s="175">
        <f t="shared" si="1449"/>
        <v>2623</v>
      </c>
      <c r="CU602" s="175">
        <f t="shared" si="1449"/>
        <v>2623</v>
      </c>
      <c r="CV602" s="175">
        <f t="shared" si="1449"/>
        <v>3082</v>
      </c>
      <c r="CW602" s="1007">
        <f t="shared" si="1449"/>
        <v>10899</v>
      </c>
      <c r="CX602" s="175">
        <f t="shared" si="1449"/>
        <v>2824</v>
      </c>
      <c r="CY602" s="176">
        <f t="shared" si="1449"/>
        <v>3042</v>
      </c>
      <c r="CZ602" s="176">
        <f t="shared" si="1449"/>
        <v>3101</v>
      </c>
      <c r="DA602" s="176">
        <f t="shared" si="1449"/>
        <v>3674</v>
      </c>
      <c r="DB602" s="1007">
        <f t="shared" si="1449"/>
        <v>12641</v>
      </c>
      <c r="DC602" s="175">
        <f t="shared" si="1449"/>
        <v>3386</v>
      </c>
      <c r="DD602" s="176">
        <f t="shared" si="1449"/>
        <v>3411</v>
      </c>
      <c r="DE602" s="176">
        <f t="shared" si="1449"/>
        <v>3427</v>
      </c>
      <c r="DF602" s="176">
        <f t="shared" si="1449"/>
        <v>3930</v>
      </c>
      <c r="DG602" s="1007">
        <f t="shared" ref="DG602:DL602" si="1450">DG99</f>
        <v>14154</v>
      </c>
      <c r="DH602" s="175">
        <f t="shared" si="1450"/>
        <v>3477</v>
      </c>
      <c r="DI602" s="176">
        <f t="shared" si="1450"/>
        <v>3621</v>
      </c>
      <c r="DJ602" s="176">
        <f t="shared" si="1450"/>
        <v>3634</v>
      </c>
      <c r="DK602" s="176">
        <f t="shared" si="1450"/>
        <v>4200.3329999999996</v>
      </c>
      <c r="DL602" s="1007">
        <f t="shared" si="1450"/>
        <v>14932.332999999999</v>
      </c>
      <c r="DM602" s="175"/>
      <c r="DN602" s="176"/>
      <c r="DO602" s="176"/>
      <c r="DP602" s="176"/>
      <c r="DQ602" s="1007"/>
      <c r="DR602" s="176"/>
      <c r="DS602" s="176"/>
      <c r="DT602" s="176"/>
      <c r="DU602" s="176"/>
      <c r="DV602" s="1007"/>
      <c r="DW602" s="176"/>
      <c r="DX602" s="176"/>
      <c r="DY602" s="176"/>
      <c r="DZ602" s="176"/>
      <c r="EA602" s="1007"/>
      <c r="EB602" s="176"/>
      <c r="EC602" s="176"/>
      <c r="ED602" s="176"/>
      <c r="EE602" s="176"/>
      <c r="EF602" s="1007"/>
      <c r="EG602" s="176"/>
      <c r="EH602" s="176"/>
      <c r="EI602" s="176"/>
      <c r="EJ602" s="176"/>
      <c r="EK602" s="1007"/>
      <c r="EL602" s="176"/>
      <c r="EM602" s="176"/>
      <c r="EN602" s="176"/>
      <c r="EO602" s="176"/>
      <c r="EP602" s="1007"/>
      <c r="EQ602" s="176"/>
      <c r="ER602" s="176"/>
      <c r="ES602" s="176"/>
      <c r="ET602" s="176"/>
      <c r="EU602" s="1007"/>
      <c r="EV602" s="1007"/>
      <c r="EW602" s="1007"/>
      <c r="EX602" s="1007"/>
      <c r="EY602" s="1007"/>
      <c r="EZ602" s="175"/>
      <c r="FA602" s="1319"/>
      <c r="FB602" s="1319"/>
    </row>
    <row r="603" spans="1:158" s="161" customFormat="1" ht="11.25" hidden="1" customHeight="1">
      <c r="A603" s="1547" t="str">
        <f>A102</f>
        <v>TAC as % of Google Network Gross Adv. Revenues</v>
      </c>
      <c r="B603" s="745"/>
      <c r="C603" s="174"/>
      <c r="D603" s="174"/>
      <c r="E603" s="174"/>
      <c r="F603" s="986"/>
      <c r="G603" s="745"/>
      <c r="H603" s="174"/>
      <c r="I603" s="174"/>
      <c r="J603" s="174"/>
      <c r="K603" s="1718"/>
      <c r="L603" s="174"/>
      <c r="M603" s="174"/>
      <c r="N603" s="174"/>
      <c r="O603" s="174"/>
      <c r="P603" s="996"/>
      <c r="Q603" s="737"/>
      <c r="R603" s="127"/>
      <c r="S603" s="127"/>
      <c r="T603" s="127"/>
      <c r="U603" s="995"/>
      <c r="V603" s="737"/>
      <c r="W603" s="127"/>
      <c r="X603" s="127"/>
      <c r="Y603" s="127"/>
      <c r="Z603" s="995"/>
      <c r="AA603" s="737"/>
      <c r="AB603" s="127"/>
      <c r="AC603" s="127"/>
      <c r="AD603" s="127"/>
      <c r="AE603" s="995"/>
      <c r="AF603" s="737"/>
      <c r="AG603" s="127"/>
      <c r="AH603" s="127"/>
      <c r="AI603" s="127"/>
      <c r="AJ603" s="995"/>
      <c r="AK603" s="737"/>
      <c r="AL603" s="127"/>
      <c r="AM603" s="127"/>
      <c r="AN603" s="127"/>
      <c r="AO603" s="995"/>
      <c r="AP603" s="737"/>
      <c r="AQ603" s="127"/>
      <c r="AR603" s="127"/>
      <c r="AS603" s="127"/>
      <c r="AT603" s="995"/>
      <c r="AU603" s="737">
        <f t="shared" ref="AU603:BZ603" si="1451">AU102</f>
        <v>0.79665579568968425</v>
      </c>
      <c r="AV603" s="127">
        <f t="shared" si="1451"/>
        <v>0.79717026726596107</v>
      </c>
      <c r="AW603" s="127">
        <f t="shared" si="1451"/>
        <v>0.79078328504560791</v>
      </c>
      <c r="AX603" s="127">
        <f t="shared" si="1451"/>
        <v>0.76371688993477649</v>
      </c>
      <c r="AY603" s="995">
        <f t="shared" si="1451"/>
        <v>0.78700645316751183</v>
      </c>
      <c r="AZ603" s="737">
        <f t="shared" si="1451"/>
        <v>0.75032264129979576</v>
      </c>
      <c r="BA603" s="127">
        <f t="shared" si="1451"/>
        <v>0.73380100980100982</v>
      </c>
      <c r="BB603" s="127">
        <f t="shared" si="1451"/>
        <v>0.73864367062952196</v>
      </c>
      <c r="BC603" s="127">
        <f t="shared" si="1451"/>
        <v>0.71969278129993586</v>
      </c>
      <c r="BD603" s="995">
        <f t="shared" si="1451"/>
        <v>0.73477063116652108</v>
      </c>
      <c r="BE603" s="737">
        <f t="shared" si="1451"/>
        <v>0.71021611001964635</v>
      </c>
      <c r="BF603" s="127">
        <f t="shared" si="1451"/>
        <v>0.709161415414445</v>
      </c>
      <c r="BG603" s="127">
        <f t="shared" si="1451"/>
        <v>0.69122328331059568</v>
      </c>
      <c r="BH603" s="127">
        <f t="shared" si="1451"/>
        <v>0.69579158316633272</v>
      </c>
      <c r="BI603" s="995">
        <f t="shared" si="1451"/>
        <v>0.7011258955987717</v>
      </c>
      <c r="BJ603" s="737">
        <f t="shared" si="1451"/>
        <v>0.70086526576019781</v>
      </c>
      <c r="BK603" s="127">
        <f t="shared" si="1451"/>
        <v>0.70652173913043481</v>
      </c>
      <c r="BL603" s="127">
        <f t="shared" si="1451"/>
        <v>0.70404624277456651</v>
      </c>
      <c r="BM603" s="127">
        <f t="shared" si="1451"/>
        <v>0.69722222222222219</v>
      </c>
      <c r="BN603" s="995">
        <f t="shared" si="1451"/>
        <v>0.70200269593683806</v>
      </c>
      <c r="BO603" s="127">
        <f t="shared" si="1451"/>
        <v>0</v>
      </c>
      <c r="BP603" s="127">
        <f t="shared" si="1451"/>
        <v>0</v>
      </c>
      <c r="BQ603" s="127">
        <f t="shared" si="1451"/>
        <v>0</v>
      </c>
      <c r="BR603" s="127">
        <f t="shared" si="1451"/>
        <v>0</v>
      </c>
      <c r="BS603" s="1957">
        <f t="shared" si="1451"/>
        <v>0</v>
      </c>
      <c r="BT603" s="127">
        <f t="shared" si="1451"/>
        <v>0.70099553724682462</v>
      </c>
      <c r="BU603" s="127">
        <f t="shared" si="1451"/>
        <v>0.70164264163593693</v>
      </c>
      <c r="BV603" s="127">
        <f t="shared" si="1451"/>
        <v>0.70667092243855734</v>
      </c>
      <c r="BW603" s="127">
        <f t="shared" si="1451"/>
        <v>0.71187427240977885</v>
      </c>
      <c r="BX603" s="995">
        <f t="shared" si="1451"/>
        <v>0.70557561171279581</v>
      </c>
      <c r="BY603" s="127">
        <f t="shared" si="1451"/>
        <v>0</v>
      </c>
      <c r="BZ603" s="127">
        <f t="shared" si="1451"/>
        <v>0</v>
      </c>
      <c r="CA603" s="127">
        <f t="shared" ref="CA603:DF603" si="1452">CA102</f>
        <v>0</v>
      </c>
      <c r="CB603" s="127">
        <f t="shared" si="1452"/>
        <v>0</v>
      </c>
      <c r="CC603" s="1957">
        <f t="shared" si="1452"/>
        <v>0</v>
      </c>
      <c r="CD603" s="1289">
        <f t="shared" si="1452"/>
        <v>0.67295782954880567</v>
      </c>
      <c r="CE603" s="127">
        <f t="shared" si="1452"/>
        <v>0.69613759806879905</v>
      </c>
      <c r="CF603" s="127">
        <f t="shared" si="1452"/>
        <v>0.67653341470857487</v>
      </c>
      <c r="CG603" s="127">
        <f t="shared" si="1452"/>
        <v>0.67775354416575795</v>
      </c>
      <c r="CH603" s="995">
        <f t="shared" si="1452"/>
        <v>0.68073260073260078</v>
      </c>
      <c r="CI603" s="127">
        <f t="shared" si="1452"/>
        <v>0.67658730158730163</v>
      </c>
      <c r="CJ603" s="127">
        <f t="shared" si="1452"/>
        <v>0.67358967162503514</v>
      </c>
      <c r="CK603" s="127">
        <f t="shared" si="1452"/>
        <v>0.67853139013452912</v>
      </c>
      <c r="CL603" s="127">
        <f t="shared" si="1452"/>
        <v>0.68350515463917527</v>
      </c>
      <c r="CM603" s="995">
        <f t="shared" si="1452"/>
        <v>0.67817594057362951</v>
      </c>
      <c r="CN603" s="127">
        <f t="shared" si="1452"/>
        <v>0.68008948545861303</v>
      </c>
      <c r="CO603" s="127">
        <f t="shared" si="1452"/>
        <v>0.67163766915216794</v>
      </c>
      <c r="CP603" s="127">
        <f t="shared" si="1452"/>
        <v>0.68056307525717374</v>
      </c>
      <c r="CQ603" s="127">
        <f t="shared" si="1452"/>
        <v>0.69145340415258327</v>
      </c>
      <c r="CR603" s="995">
        <f t="shared" si="1452"/>
        <v>0.68130113749750554</v>
      </c>
      <c r="CS603" s="127">
        <f t="shared" si="1452"/>
        <v>0.69637053087757317</v>
      </c>
      <c r="CT603" s="127">
        <f t="shared" si="1452"/>
        <v>0.70077477958856538</v>
      </c>
      <c r="CU603" s="127">
        <f t="shared" si="1452"/>
        <v>0.70284030010718113</v>
      </c>
      <c r="CV603" s="127">
        <f t="shared" si="1452"/>
        <v>0.69555405100428802</v>
      </c>
      <c r="CW603" s="995">
        <f t="shared" si="1452"/>
        <v>0.69874342864469807</v>
      </c>
      <c r="CX603" s="127">
        <f t="shared" si="1452"/>
        <v>0.70459081836327342</v>
      </c>
      <c r="CY603" s="127">
        <f t="shared" si="1452"/>
        <v>0.71627030845302564</v>
      </c>
      <c r="CZ603" s="127">
        <f t="shared" si="1452"/>
        <v>0.7141870105941962</v>
      </c>
      <c r="DA603" s="127">
        <f t="shared" si="1452"/>
        <v>0.73627254509018036</v>
      </c>
      <c r="DB603" s="995">
        <f t="shared" si="1452"/>
        <v>0.71758628519527701</v>
      </c>
      <c r="DC603" s="127">
        <f t="shared" si="1452"/>
        <v>0.7291128337639966</v>
      </c>
      <c r="DD603" s="127">
        <f t="shared" si="1452"/>
        <v>0.70694300518134712</v>
      </c>
      <c r="DE603" s="127">
        <f t="shared" si="1452"/>
        <v>0.69938775510204076</v>
      </c>
      <c r="DF603" s="127">
        <f t="shared" si="1452"/>
        <v>0.70266404434114071</v>
      </c>
      <c r="DG603" s="995">
        <f t="shared" ref="DG603:DL603" si="1453">DG102</f>
        <v>0.70734632683658172</v>
      </c>
      <c r="DH603" s="127">
        <f t="shared" si="1453"/>
        <v>0.69332003988035895</v>
      </c>
      <c r="DI603" s="127">
        <f t="shared" si="1453"/>
        <v>0.68984568489236042</v>
      </c>
      <c r="DJ603" s="127">
        <f t="shared" si="1453"/>
        <v>0.69205865549419154</v>
      </c>
      <c r="DK603" s="127">
        <f t="shared" si="1453"/>
        <v>0.69634167771883282</v>
      </c>
      <c r="DL603" s="995">
        <f t="shared" si="1453"/>
        <v>0.69301215946535477</v>
      </c>
      <c r="DM603" s="127"/>
      <c r="DN603" s="127"/>
      <c r="DO603" s="127"/>
      <c r="DP603" s="127"/>
      <c r="DQ603" s="995"/>
      <c r="DR603" s="127"/>
      <c r="DS603" s="127"/>
      <c r="DT603" s="127"/>
      <c r="DU603" s="127"/>
      <c r="DV603" s="995"/>
      <c r="DW603" s="127"/>
      <c r="DX603" s="127"/>
      <c r="DY603" s="127"/>
      <c r="DZ603" s="127"/>
      <c r="EA603" s="995"/>
      <c r="EB603" s="127"/>
      <c r="EC603" s="127"/>
      <c r="ED603" s="127"/>
      <c r="EE603" s="127"/>
      <c r="EF603" s="995"/>
      <c r="EG603" s="127"/>
      <c r="EH603" s="127"/>
      <c r="EI603" s="127"/>
      <c r="EJ603" s="127"/>
      <c r="EK603" s="995"/>
      <c r="EL603" s="127"/>
      <c r="EM603" s="127"/>
      <c r="EN603" s="127"/>
      <c r="EO603" s="127"/>
      <c r="EP603" s="995"/>
      <c r="EQ603" s="127"/>
      <c r="ER603" s="127"/>
      <c r="ES603" s="127"/>
      <c r="ET603" s="127"/>
      <c r="EU603" s="995"/>
      <c r="EV603" s="995"/>
      <c r="EW603" s="995"/>
      <c r="EX603" s="995"/>
      <c r="EY603" s="995"/>
      <c r="EZ603" s="204"/>
      <c r="FA603" s="1102"/>
      <c r="FB603" s="1102"/>
    </row>
    <row r="604" spans="1:158" s="1105" customFormat="1" ht="11.25" hidden="1" customHeight="1">
      <c r="A604" s="2346" t="str">
        <f>A100</f>
        <v>Y/Y growth</v>
      </c>
      <c r="B604" s="984"/>
      <c r="C604" s="185"/>
      <c r="D604" s="185"/>
      <c r="E604" s="185"/>
      <c r="F604" s="985"/>
      <c r="G604" s="984"/>
      <c r="H604" s="185"/>
      <c r="I604" s="185"/>
      <c r="J604" s="185"/>
      <c r="K604" s="1505"/>
      <c r="L604" s="185"/>
      <c r="M604" s="185"/>
      <c r="N604" s="185"/>
      <c r="O604" s="185"/>
      <c r="P604" s="992"/>
      <c r="Q604" s="736"/>
      <c r="R604" s="169"/>
      <c r="S604" s="169"/>
      <c r="T604" s="184"/>
      <c r="U604" s="992"/>
      <c r="V604" s="736"/>
      <c r="W604" s="169"/>
      <c r="X604" s="169"/>
      <c r="Y604" s="169"/>
      <c r="Z604" s="992"/>
      <c r="AA604" s="736"/>
      <c r="AB604" s="169"/>
      <c r="AC604" s="169"/>
      <c r="AD604" s="169"/>
      <c r="AE604" s="992"/>
      <c r="AF604" s="736"/>
      <c r="AG604" s="169"/>
      <c r="AH604" s="169"/>
      <c r="AI604" s="169"/>
      <c r="AJ604" s="992"/>
      <c r="AK604" s="736"/>
      <c r="AL604" s="169"/>
      <c r="AM604" s="169"/>
      <c r="AN604" s="169"/>
      <c r="AO604" s="992"/>
      <c r="AP604" s="736"/>
      <c r="AQ604" s="169"/>
      <c r="AR604" s="169"/>
      <c r="AS604" s="169"/>
      <c r="AT604" s="992"/>
      <c r="AU604" s="736">
        <f t="shared" ref="AU604:BZ604" si="1454">AU100</f>
        <v>0.27697596200464258</v>
      </c>
      <c r="AV604" s="169">
        <f t="shared" si="1454"/>
        <v>0.24365467880846503</v>
      </c>
      <c r="AW604" s="169">
        <f t="shared" si="1454"/>
        <v>0.19059466726417207</v>
      </c>
      <c r="AX604" s="169">
        <f t="shared" si="1454"/>
        <v>-1.6099582789376954E-2</v>
      </c>
      <c r="AY604" s="992">
        <f t="shared" si="1454"/>
        <v>0.16318529295881912</v>
      </c>
      <c r="AZ604" s="736">
        <f t="shared" si="1454"/>
        <v>-8.5026584300745722E-2</v>
      </c>
      <c r="BA604" s="169">
        <f t="shared" si="1454"/>
        <v>-6.3799505888415653E-2</v>
      </c>
      <c r="BB604" s="169">
        <f t="shared" si="1454"/>
        <v>1.3625352490127529E-3</v>
      </c>
      <c r="BC604" s="169">
        <f t="shared" si="1454"/>
        <v>0.13739308209655787</v>
      </c>
      <c r="BD604" s="992">
        <f t="shared" si="1454"/>
        <v>-3.5768744150347365E-3</v>
      </c>
      <c r="BE604" s="736">
        <f t="shared" si="1454"/>
        <v>0.17650887670252069</v>
      </c>
      <c r="BF604" s="169">
        <f t="shared" si="1454"/>
        <v>0.18427592414805782</v>
      </c>
      <c r="BG604" s="169">
        <f t="shared" si="1454"/>
        <v>0.14267156612159226</v>
      </c>
      <c r="BH604" s="169">
        <f t="shared" si="1454"/>
        <v>0.18017362692644934</v>
      </c>
      <c r="BI604" s="992">
        <f t="shared" si="1454"/>
        <v>0.17080674567000909</v>
      </c>
      <c r="BJ604" s="736">
        <f t="shared" si="1454"/>
        <v>0.17634854771784236</v>
      </c>
      <c r="BK604" s="169">
        <f t="shared" si="1454"/>
        <v>0.19958988380041021</v>
      </c>
      <c r="BL604" s="169">
        <f t="shared" si="1454"/>
        <v>0.20197368421052642</v>
      </c>
      <c r="BM604" s="169">
        <f t="shared" si="1454"/>
        <v>0.15668202764976957</v>
      </c>
      <c r="BN604" s="992">
        <f t="shared" si="1454"/>
        <v>0.18264395782643961</v>
      </c>
      <c r="BO604" s="169">
        <f t="shared" si="1454"/>
        <v>0</v>
      </c>
      <c r="BP604" s="169">
        <f t="shared" si="1454"/>
        <v>0</v>
      </c>
      <c r="BQ604" s="169">
        <f t="shared" si="1454"/>
        <v>0</v>
      </c>
      <c r="BR604" s="169">
        <f t="shared" si="1454"/>
        <v>0</v>
      </c>
      <c r="BS604" s="1927">
        <f t="shared" si="1454"/>
        <v>0</v>
      </c>
      <c r="BT604" s="169">
        <f t="shared" si="1454"/>
        <v>0.20047031158142259</v>
      </c>
      <c r="BU604" s="169">
        <f t="shared" si="1454"/>
        <v>0.19259259259259265</v>
      </c>
      <c r="BV604" s="169">
        <f t="shared" si="1454"/>
        <v>0.21182266009852224</v>
      </c>
      <c r="BW604" s="169">
        <f t="shared" si="1454"/>
        <v>0.21812749003984067</v>
      </c>
      <c r="BX604" s="992">
        <f t="shared" si="1454"/>
        <v>0.20628171718557131</v>
      </c>
      <c r="BY604" s="169">
        <f t="shared" si="1454"/>
        <v>0</v>
      </c>
      <c r="BZ604" s="169">
        <f t="shared" si="1454"/>
        <v>0</v>
      </c>
      <c r="CA604" s="169">
        <f t="shared" ref="CA604:DF604" si="1455">CA100</f>
        <v>0</v>
      </c>
      <c r="CB604" s="169">
        <f t="shared" si="1455"/>
        <v>0</v>
      </c>
      <c r="CC604" s="1927">
        <f t="shared" si="1455"/>
        <v>0</v>
      </c>
      <c r="CD604" s="1689">
        <f t="shared" si="1455"/>
        <v>0.11753183153770808</v>
      </c>
      <c r="CE604" s="169">
        <f t="shared" si="1455"/>
        <v>0.10224558050645016</v>
      </c>
      <c r="CF604" s="169">
        <f t="shared" si="1455"/>
        <v>1.3550135501354532E-3</v>
      </c>
      <c r="CG604" s="169">
        <f t="shared" si="1455"/>
        <v>1.6353229762878119E-2</v>
      </c>
      <c r="CH604" s="992">
        <f t="shared" si="1455"/>
        <v>5.6509380329732739E-2</v>
      </c>
      <c r="CI604" s="169">
        <f t="shared" si="1455"/>
        <v>4.6012269938650263E-2</v>
      </c>
      <c r="CJ604" s="169">
        <f t="shared" si="1455"/>
        <v>4.0312093628088519E-2</v>
      </c>
      <c r="CK604" s="169">
        <f t="shared" si="1455"/>
        <v>9.201623815967519E-2</v>
      </c>
      <c r="CL604" s="169">
        <f t="shared" si="1455"/>
        <v>6.6773934030571303E-2</v>
      </c>
      <c r="CM604" s="992">
        <f t="shared" si="1455"/>
        <v>6.1127851915626419E-2</v>
      </c>
      <c r="CN604" s="169">
        <f t="shared" si="1455"/>
        <v>1.8852115626309285E-2</v>
      </c>
      <c r="CO604" s="169">
        <f t="shared" si="1455"/>
        <v>1.3333333333333419E-2</v>
      </c>
      <c r="CP604" s="169">
        <f t="shared" si="1455"/>
        <v>3.8413878562577386E-2</v>
      </c>
      <c r="CQ604" s="169">
        <f t="shared" si="1455"/>
        <v>7.9939668174962231E-2</v>
      </c>
      <c r="CR604" s="992">
        <f t="shared" si="1455"/>
        <v>3.8742393509127782E-2</v>
      </c>
      <c r="CS604" s="169">
        <f t="shared" si="1455"/>
        <v>5.7154605263157965E-2</v>
      </c>
      <c r="CT604" s="169">
        <f t="shared" si="1455"/>
        <v>7.8536184210526327E-2</v>
      </c>
      <c r="CU604" s="169">
        <f t="shared" si="1455"/>
        <v>4.3357199681782088E-2</v>
      </c>
      <c r="CV604" s="169">
        <f t="shared" si="1455"/>
        <v>7.61173184357542E-2</v>
      </c>
      <c r="CW604" s="992">
        <f t="shared" si="1455"/>
        <v>6.4147627416520248E-2</v>
      </c>
      <c r="CX604" s="169">
        <f t="shared" si="1455"/>
        <v>9.8405289770517212E-2</v>
      </c>
      <c r="CY604" s="169">
        <f t="shared" si="1455"/>
        <v>0.15974075486084627</v>
      </c>
      <c r="CZ604" s="169">
        <f t="shared" si="1455"/>
        <v>0.18223408311094169</v>
      </c>
      <c r="DA604" s="169">
        <f t="shared" si="1455"/>
        <v>0.19208306294613897</v>
      </c>
      <c r="DB604" s="992">
        <f t="shared" si="1455"/>
        <v>0.15983117717221762</v>
      </c>
      <c r="DC604" s="2612">
        <f t="shared" si="1455"/>
        <v>0.19900849858356939</v>
      </c>
      <c r="DD604" s="2612">
        <f t="shared" si="1455"/>
        <v>0.12130177514792906</v>
      </c>
      <c r="DE604" s="2612">
        <f t="shared" si="1455"/>
        <v>0.10512737826507568</v>
      </c>
      <c r="DF604" s="2612">
        <f t="shared" si="1455"/>
        <v>6.9678824169842057E-2</v>
      </c>
      <c r="DG604" s="2588">
        <f t="shared" ref="DG604:DL604" si="1456">DG100</f>
        <v>0.1196898979511114</v>
      </c>
      <c r="DH604" s="2612">
        <f t="shared" si="1456"/>
        <v>2.6875369167158825E-2</v>
      </c>
      <c r="DI604" s="2612">
        <f t="shared" si="1456"/>
        <v>6.1565523306948089E-2</v>
      </c>
      <c r="DJ604" s="2612">
        <f t="shared" si="1456"/>
        <v>6.0402684563758413E-2</v>
      </c>
      <c r="DK604" s="2612">
        <f t="shared" si="1456"/>
        <v>6.8787022900763217E-2</v>
      </c>
      <c r="DL604" s="2588">
        <f t="shared" si="1456"/>
        <v>5.4990320757382971E-2</v>
      </c>
      <c r="DM604" s="2612"/>
      <c r="DN604" s="2612"/>
      <c r="DO604" s="2612"/>
      <c r="DP604" s="2612"/>
      <c r="DQ604" s="2588"/>
      <c r="DR604" s="2612"/>
      <c r="DS604" s="2612"/>
      <c r="DT604" s="2612"/>
      <c r="DU604" s="2612"/>
      <c r="DV604" s="2588"/>
      <c r="DW604" s="2612"/>
      <c r="DX604" s="2612"/>
      <c r="DY604" s="2612"/>
      <c r="DZ604" s="2612"/>
      <c r="EA604" s="2588"/>
      <c r="EB604" s="2612"/>
      <c r="EC604" s="2612"/>
      <c r="ED604" s="2612"/>
      <c r="EE604" s="2612"/>
      <c r="EF604" s="2588"/>
      <c r="EG604" s="2612"/>
      <c r="EH604" s="2612"/>
      <c r="EI604" s="2612"/>
      <c r="EJ604" s="2612"/>
      <c r="EK604" s="2588"/>
      <c r="EL604" s="2612"/>
      <c r="EM604" s="2612"/>
      <c r="EN604" s="2612"/>
      <c r="EO604" s="2612"/>
      <c r="EP604" s="2588"/>
      <c r="EQ604" s="2612"/>
      <c r="ER604" s="2612"/>
      <c r="ES604" s="2612"/>
      <c r="ET604" s="2612"/>
      <c r="EU604" s="2588"/>
      <c r="EV604" s="2588"/>
      <c r="EW604" s="2588"/>
      <c r="EX604" s="2588"/>
      <c r="EY604" s="2588"/>
      <c r="EZ604" s="185"/>
      <c r="FA604" s="1104"/>
      <c r="FB604" s="1104"/>
    </row>
    <row r="605" spans="1:158" s="161" customFormat="1" ht="11.25" hidden="1" customHeight="1">
      <c r="A605" s="1546" t="s">
        <v>505</v>
      </c>
      <c r="B605" s="1113"/>
      <c r="C605" s="1114"/>
      <c r="D605" s="1114"/>
      <c r="E605" s="1114"/>
      <c r="F605" s="1115"/>
      <c r="G605" s="1113"/>
      <c r="H605" s="1114"/>
      <c r="I605" s="1114"/>
      <c r="J605" s="1114"/>
      <c r="K605" s="1997"/>
      <c r="L605" s="1114"/>
      <c r="M605" s="1114"/>
      <c r="N605" s="1114"/>
      <c r="O605" s="1114"/>
      <c r="P605" s="1116"/>
      <c r="Q605" s="1117"/>
      <c r="R605" s="1118"/>
      <c r="S605" s="1118"/>
      <c r="T605" s="1119"/>
      <c r="U605" s="1116"/>
      <c r="V605" s="1117"/>
      <c r="W605" s="1118"/>
      <c r="X605" s="1118"/>
      <c r="Y605" s="1119"/>
      <c r="Z605" s="1116"/>
      <c r="AA605" s="1117"/>
      <c r="AB605" s="1118"/>
      <c r="AC605" s="1118"/>
      <c r="AD605" s="1119"/>
      <c r="AE605" s="1116"/>
      <c r="AF605" s="1120"/>
      <c r="AG605" s="1121"/>
      <c r="AH605" s="1121"/>
      <c r="AI605" s="1121"/>
      <c r="AJ605" s="1116"/>
      <c r="AK605" s="1120"/>
      <c r="AL605" s="1121"/>
      <c r="AM605" s="1121"/>
      <c r="AN605" s="1121"/>
      <c r="AO605" s="1116"/>
      <c r="AP605" s="1120"/>
      <c r="AQ605" s="1121"/>
      <c r="AR605" s="1121"/>
      <c r="AS605" s="1121"/>
      <c r="AT605" s="1116"/>
      <c r="AU605" s="1120">
        <f t="shared" ref="AU605:DB605" si="1457">AU602/AU583</f>
        <v>0.79665579568968425</v>
      </c>
      <c r="AV605" s="1121">
        <f t="shared" si="1457"/>
        <v>0.79788382998417007</v>
      </c>
      <c r="AW605" s="1121">
        <f t="shared" si="1457"/>
        <v>0.79569409862526386</v>
      </c>
      <c r="AX605" s="1121">
        <f t="shared" si="1457"/>
        <v>0.78138434083979957</v>
      </c>
      <c r="AY605" s="1122">
        <f t="shared" si="1457"/>
        <v>0.79292701317412906</v>
      </c>
      <c r="AZ605" s="1120">
        <f t="shared" si="1457"/>
        <v>0.77190058761905478</v>
      </c>
      <c r="BA605" s="1121">
        <f t="shared" si="1457"/>
        <v>0.75065469773306803</v>
      </c>
      <c r="BB605" s="1121">
        <f t="shared" si="1457"/>
        <v>0.74352139327348155</v>
      </c>
      <c r="BC605" s="1121">
        <f t="shared" si="1457"/>
        <v>0.7205565216847194</v>
      </c>
      <c r="BD605" s="1122">
        <f t="shared" si="1457"/>
        <v>0.74494246535507025</v>
      </c>
      <c r="BE605" s="1120">
        <f t="shared" si="1457"/>
        <v>0.71126594905884766</v>
      </c>
      <c r="BF605" s="1121">
        <f t="shared" si="1457"/>
        <v>0.71747231169359371</v>
      </c>
      <c r="BG605" s="1121">
        <f t="shared" si="1457"/>
        <v>0.69977113272210645</v>
      </c>
      <c r="BH605" s="1121">
        <f t="shared" si="1457"/>
        <v>0.69785870016920348</v>
      </c>
      <c r="BI605" s="1122">
        <f t="shared" si="1457"/>
        <v>0.70603625048922825</v>
      </c>
      <c r="BJ605" s="1120">
        <f t="shared" si="1457"/>
        <v>0.70201140683257757</v>
      </c>
      <c r="BK605" s="1121">
        <f t="shared" si="1457"/>
        <v>0.7068349830848264</v>
      </c>
      <c r="BL605" s="1121">
        <f t="shared" si="1457"/>
        <v>0.7041186829682875</v>
      </c>
      <c r="BM605" s="1121">
        <f t="shared" si="1457"/>
        <v>0.69887299933705838</v>
      </c>
      <c r="BN605" s="1122">
        <f t="shared" si="1457"/>
        <v>0.70282373733566439</v>
      </c>
      <c r="BO605" s="1121" t="e">
        <f t="shared" si="1457"/>
        <v>#DIV/0!</v>
      </c>
      <c r="BP605" s="1121" t="e">
        <f t="shared" si="1457"/>
        <v>#DIV/0!</v>
      </c>
      <c r="BQ605" s="1121" t="e">
        <f t="shared" si="1457"/>
        <v>#DIV/0!</v>
      </c>
      <c r="BR605" s="1121" t="e">
        <f t="shared" si="1457"/>
        <v>#DIV/0!</v>
      </c>
      <c r="BS605" s="1965" t="e">
        <f t="shared" si="1457"/>
        <v>#DIV/0!</v>
      </c>
      <c r="BT605" s="1121">
        <f t="shared" si="1457"/>
        <v>0.70344056315916748</v>
      </c>
      <c r="BU605" s="1121">
        <f t="shared" si="1457"/>
        <v>0.7068648279790879</v>
      </c>
      <c r="BV605" s="1121">
        <f t="shared" si="1457"/>
        <v>0.71049276448245036</v>
      </c>
      <c r="BW605" s="1121">
        <f t="shared" si="1457"/>
        <v>0.71392115988873139</v>
      </c>
      <c r="BX605" s="1122">
        <f t="shared" si="1457"/>
        <v>0.70892356888302577</v>
      </c>
      <c r="BY605" s="1121" t="e">
        <f t="shared" si="1457"/>
        <v>#DIV/0!</v>
      </c>
      <c r="BZ605" s="1121" t="e">
        <f t="shared" si="1457"/>
        <v>#DIV/0!</v>
      </c>
      <c r="CA605" s="1121" t="e">
        <f t="shared" si="1457"/>
        <v>#DIV/0!</v>
      </c>
      <c r="CB605" s="1121" t="e">
        <f t="shared" si="1457"/>
        <v>#DIV/0!</v>
      </c>
      <c r="CC605" s="1965" t="e">
        <f t="shared" si="1457"/>
        <v>#DIV/0!</v>
      </c>
      <c r="CD605" s="1696">
        <f t="shared" si="1457"/>
        <v>0.67295782954880567</v>
      </c>
      <c r="CE605" s="1121">
        <f t="shared" si="1457"/>
        <v>0.69613759806879905</v>
      </c>
      <c r="CF605" s="1121">
        <f t="shared" si="1457"/>
        <v>0.67653341470857487</v>
      </c>
      <c r="CG605" s="1121">
        <f t="shared" si="1457"/>
        <v>0.67775354416575795</v>
      </c>
      <c r="CH605" s="1122">
        <f t="shared" si="1457"/>
        <v>0.68073260073260078</v>
      </c>
      <c r="CI605" s="1121">
        <f t="shared" si="1457"/>
        <v>0.67658730158730163</v>
      </c>
      <c r="CJ605" s="1121">
        <f t="shared" si="1457"/>
        <v>0.67358967162503514</v>
      </c>
      <c r="CK605" s="1121">
        <f t="shared" si="1457"/>
        <v>0.67853139013452912</v>
      </c>
      <c r="CL605" s="1121">
        <f t="shared" si="1457"/>
        <v>0.68350515463917527</v>
      </c>
      <c r="CM605" s="1122">
        <f t="shared" si="1457"/>
        <v>0.67817594057362951</v>
      </c>
      <c r="CN605" s="1121">
        <f t="shared" si="1457"/>
        <v>0.68008948545861303</v>
      </c>
      <c r="CO605" s="1121">
        <f t="shared" si="1457"/>
        <v>0.67163766915216794</v>
      </c>
      <c r="CP605" s="1121">
        <f t="shared" si="1457"/>
        <v>0.68056307525717374</v>
      </c>
      <c r="CQ605" s="1121">
        <f t="shared" si="1457"/>
        <v>0.69145340415258327</v>
      </c>
      <c r="CR605" s="1122">
        <f t="shared" si="1457"/>
        <v>0.68130113749750554</v>
      </c>
      <c r="CS605" s="1121">
        <f t="shared" si="1457"/>
        <v>0.69637053087757317</v>
      </c>
      <c r="CT605" s="1121">
        <f t="shared" si="1457"/>
        <v>0.70077477958856538</v>
      </c>
      <c r="CU605" s="1121">
        <f t="shared" si="1457"/>
        <v>0.70284030010718113</v>
      </c>
      <c r="CV605" s="1121">
        <f t="shared" si="1457"/>
        <v>0.69555405100428802</v>
      </c>
      <c r="CW605" s="1122">
        <f t="shared" si="1457"/>
        <v>0.69874342864469807</v>
      </c>
      <c r="CX605" s="1121">
        <f t="shared" si="1457"/>
        <v>0.70459081836327342</v>
      </c>
      <c r="CY605" s="1121">
        <f t="shared" si="1457"/>
        <v>0.71627030845302564</v>
      </c>
      <c r="CZ605" s="1121">
        <f t="shared" si="1457"/>
        <v>0.7141870105941962</v>
      </c>
      <c r="DA605" s="1121">
        <f t="shared" si="1457"/>
        <v>0.73627254509018036</v>
      </c>
      <c r="DB605" s="1122">
        <f t="shared" si="1457"/>
        <v>0.71876954568715523</v>
      </c>
      <c r="DC605" s="1121">
        <f t="shared" ref="DC605:DL605" si="1458">DC602/DC583</f>
        <v>0.7291128337639966</v>
      </c>
      <c r="DD605" s="1121">
        <f t="shared" si="1458"/>
        <v>0.70694300518134712</v>
      </c>
      <c r="DE605" s="1121">
        <f t="shared" si="1458"/>
        <v>0.69938775510204076</v>
      </c>
      <c r="DF605" s="1121">
        <f t="shared" si="1458"/>
        <v>0.70488948216036584</v>
      </c>
      <c r="DG605" s="1122">
        <f t="shared" si="1458"/>
        <v>0.70967495116195523</v>
      </c>
      <c r="DH605" s="1121">
        <f t="shared" si="1458"/>
        <v>0.69594378568069071</v>
      </c>
      <c r="DI605" s="1121">
        <f t="shared" si="1458"/>
        <v>0.6917640939450016</v>
      </c>
      <c r="DJ605" s="1121">
        <f t="shared" si="1458"/>
        <v>0.69409815475134384</v>
      </c>
      <c r="DK605" s="1121">
        <f t="shared" si="1458"/>
        <v>0.69771970252468729</v>
      </c>
      <c r="DL605" s="1122">
        <f t="shared" si="1458"/>
        <v>0.69497338961373367</v>
      </c>
      <c r="DM605" s="1121"/>
      <c r="DN605" s="1121"/>
      <c r="DO605" s="1121"/>
      <c r="DP605" s="1121"/>
      <c r="DQ605" s="1122"/>
      <c r="DR605" s="1121"/>
      <c r="DS605" s="1121"/>
      <c r="DT605" s="1121"/>
      <c r="DU605" s="1121"/>
      <c r="DV605" s="1122"/>
      <c r="DW605" s="1121"/>
      <c r="DX605" s="1121"/>
      <c r="DY605" s="1121"/>
      <c r="DZ605" s="1121"/>
      <c r="EA605" s="1122"/>
      <c r="EB605" s="1121"/>
      <c r="EC605" s="1121"/>
      <c r="ED605" s="1121"/>
      <c r="EE605" s="1121"/>
      <c r="EF605" s="1122"/>
      <c r="EG605" s="1121"/>
      <c r="EH605" s="1121"/>
      <c r="EI605" s="1121"/>
      <c r="EJ605" s="1121"/>
      <c r="EK605" s="1122"/>
      <c r="EL605" s="1121"/>
      <c r="EM605" s="1121"/>
      <c r="EN605" s="1121"/>
      <c r="EO605" s="1121"/>
      <c r="EP605" s="1122"/>
      <c r="EQ605" s="1121"/>
      <c r="ER605" s="1121"/>
      <c r="ES605" s="1121"/>
      <c r="ET605" s="1121"/>
      <c r="EU605" s="1122"/>
      <c r="EV605" s="1122"/>
      <c r="EW605" s="1122"/>
      <c r="EX605" s="1122"/>
      <c r="EY605" s="1122"/>
      <c r="EZ605" s="174"/>
      <c r="FA605" s="1104"/>
      <c r="FB605" s="1104"/>
    </row>
    <row r="606" spans="1:158" s="1134" customFormat="1" ht="11.25" hidden="1" customHeight="1">
      <c r="A606" s="1546" t="s">
        <v>507</v>
      </c>
      <c r="B606" s="1123"/>
      <c r="C606" s="1124"/>
      <c r="D606" s="1124"/>
      <c r="E606" s="1124"/>
      <c r="F606" s="1125"/>
      <c r="G606" s="1123"/>
      <c r="H606" s="1124"/>
      <c r="I606" s="1124"/>
      <c r="J606" s="1124"/>
      <c r="K606" s="1998"/>
      <c r="L606" s="1124"/>
      <c r="M606" s="1124"/>
      <c r="N606" s="1124"/>
      <c r="O606" s="1124"/>
      <c r="P606" s="1126"/>
      <c r="Q606" s="1127"/>
      <c r="R606" s="1128"/>
      <c r="S606" s="1128"/>
      <c r="T606" s="1129"/>
      <c r="U606" s="1126"/>
      <c r="V606" s="1127"/>
      <c r="W606" s="1128"/>
      <c r="X606" s="1128"/>
      <c r="Y606" s="1128"/>
      <c r="Z606" s="1126"/>
      <c r="AA606" s="1127"/>
      <c r="AB606" s="1128"/>
      <c r="AC606" s="1128"/>
      <c r="AD606" s="1128"/>
      <c r="AE606" s="1126"/>
      <c r="AF606" s="1130"/>
      <c r="AG606" s="1131"/>
      <c r="AH606" s="1131"/>
      <c r="AI606" s="1131"/>
      <c r="AJ606" s="1126"/>
      <c r="AK606" s="1130"/>
      <c r="AL606" s="1131"/>
      <c r="AM606" s="1131"/>
      <c r="AN606" s="1131"/>
      <c r="AO606" s="1126"/>
      <c r="AP606" s="1130"/>
      <c r="AQ606" s="1131"/>
      <c r="AR606" s="1131"/>
      <c r="AS606" s="1131"/>
      <c r="AT606" s="1126"/>
      <c r="AU606" s="1130">
        <f>AU605*AU582</f>
        <v>1290.9525387240328</v>
      </c>
      <c r="AV606" s="1131">
        <f>AV605*AV582</f>
        <v>1258.2188318391052</v>
      </c>
      <c r="AW606" s="1131">
        <f>AW605*AW582</f>
        <v>1287.8822179121805</v>
      </c>
      <c r="AX606" s="1131">
        <f>AX605*AX582</f>
        <v>1355.0215486435402</v>
      </c>
      <c r="AY606" s="1132">
        <f>SUM(AU606:AX606)</f>
        <v>5192.0751371188589</v>
      </c>
      <c r="AZ606" s="1130">
        <f>AZ605*AZ582</f>
        <v>1327.522693674498</v>
      </c>
      <c r="BA606" s="1131">
        <f>BA605*BA582</f>
        <v>1349.0755505315253</v>
      </c>
      <c r="BB606" s="1131">
        <f>BB605*BB582</f>
        <v>1397.1113808689042</v>
      </c>
      <c r="BC606" s="1131">
        <f>BC605*BC582</f>
        <v>1427.7180214377072</v>
      </c>
      <c r="BD606" s="1132">
        <f>SUM(AZ606:BC606)</f>
        <v>5501.427646512635</v>
      </c>
      <c r="BE606" s="1130">
        <f>BE605*BE582</f>
        <v>1394.2731707317073</v>
      </c>
      <c r="BF606" s="1131">
        <f>BF605*BF582</f>
        <v>1457.7912772585671</v>
      </c>
      <c r="BG606" s="1131">
        <f>BG605*BG582</f>
        <v>1555.692649715159</v>
      </c>
      <c r="BH606" s="1131">
        <f>BH605*BH582</f>
        <v>1763.2313725490196</v>
      </c>
      <c r="BI606" s="1132">
        <f>SUM(BE606:BH606)</f>
        <v>6170.9884702544523</v>
      </c>
      <c r="BJ606" s="1130">
        <f>BJ605*BJ582</f>
        <v>1696.4300899427637</v>
      </c>
      <c r="BK606" s="1131">
        <f>BK605*BK582</f>
        <v>1673.8832853025933</v>
      </c>
      <c r="BL606" s="1131">
        <f>BL605*BL582</f>
        <v>1736.204547792983</v>
      </c>
      <c r="BM606" s="1131">
        <f>BM605*BM582</f>
        <v>2000.5833885784637</v>
      </c>
      <c r="BN606" s="1132">
        <f>SUM(BJ606:BM606)</f>
        <v>7107.1013116168033</v>
      </c>
      <c r="BO606" s="1131"/>
      <c r="BP606" s="1131"/>
      <c r="BQ606" s="1131"/>
      <c r="BR606" s="1131"/>
      <c r="BS606" s="1966"/>
      <c r="BT606" s="1131">
        <f>BT605*BT582</f>
        <v>2054.8972473604831</v>
      </c>
      <c r="BU606" s="1131">
        <f>BU605*BU582</f>
        <v>2160.3114031057617</v>
      </c>
      <c r="BV606" s="1131">
        <f>BV605*BV582</f>
        <v>2321.5713538032101</v>
      </c>
      <c r="BW606" s="1131">
        <f>BW605*BW582</f>
        <v>2482.6861983214176</v>
      </c>
      <c r="BX606" s="1132">
        <f>SUM(BT606:BW606)</f>
        <v>9019.4662025908729</v>
      </c>
      <c r="BY606" s="1131"/>
      <c r="BZ606" s="1131"/>
      <c r="CA606" s="1131"/>
      <c r="CB606" s="1131"/>
      <c r="CC606" s="1966"/>
      <c r="CD606" s="1697">
        <f>CD605*CD582</f>
        <v>2282</v>
      </c>
      <c r="CE606" s="1131">
        <f>CE605*CE582</f>
        <v>2307</v>
      </c>
      <c r="CF606" s="1131">
        <f>CF605*CF582</f>
        <v>2217</v>
      </c>
      <c r="CG606" s="1131">
        <f>CG605*CG582</f>
        <v>2486</v>
      </c>
      <c r="CH606" s="1132">
        <f>SUM(CD606:CG606)</f>
        <v>9292</v>
      </c>
      <c r="CI606" s="1130">
        <f>CI605*CI582</f>
        <v>2387</v>
      </c>
      <c r="CJ606" s="1131">
        <f>CJ605*CJ582</f>
        <v>2400</v>
      </c>
      <c r="CK606" s="1131">
        <f>CK605*CK582</f>
        <v>2421</v>
      </c>
      <c r="CL606" s="1131">
        <f>CL605*CL582</f>
        <v>2652</v>
      </c>
      <c r="CM606" s="1132">
        <f>SUM(CI606:CL606)</f>
        <v>9860</v>
      </c>
      <c r="CN606" s="1130">
        <f>CN605*CN582</f>
        <v>2432</v>
      </c>
      <c r="CO606" s="1131">
        <f>CO605*CO582</f>
        <v>2432</v>
      </c>
      <c r="CP606" s="1131">
        <f>CP605*CP582</f>
        <v>2514</v>
      </c>
      <c r="CQ606" s="1131">
        <f>CQ605*CQ582</f>
        <v>2864</v>
      </c>
      <c r="CR606" s="1132">
        <f>SUM(CN606:CQ606)</f>
        <v>10242</v>
      </c>
      <c r="CS606" s="1130">
        <f>CS605*CS582</f>
        <v>2571</v>
      </c>
      <c r="CT606" s="1131">
        <f>CT605*CT582</f>
        <v>2623</v>
      </c>
      <c r="CU606" s="1131">
        <f>CU605*CU582</f>
        <v>2623</v>
      </c>
      <c r="CV606" s="1131">
        <f>CV605*CV582</f>
        <v>3082</v>
      </c>
      <c r="CW606" s="1132">
        <f>SUM(CS606:CV606)</f>
        <v>10899</v>
      </c>
      <c r="CX606" s="1130">
        <f>CX605*CX582</f>
        <v>2824</v>
      </c>
      <c r="CY606" s="1131">
        <f>CY605*CY582</f>
        <v>3042</v>
      </c>
      <c r="CZ606" s="1131">
        <f>CZ605*CZ582</f>
        <v>3101</v>
      </c>
      <c r="DA606" s="1131">
        <f>DA605*DA582</f>
        <v>3674</v>
      </c>
      <c r="DB606" s="1132">
        <f>SUM(CX606:DA606)</f>
        <v>12641</v>
      </c>
      <c r="DC606" s="1130">
        <f>DC605*DC582</f>
        <v>3386.0000000000005</v>
      </c>
      <c r="DD606" s="1131">
        <f>DD605*DD582</f>
        <v>3411</v>
      </c>
      <c r="DE606" s="1131">
        <f>DE605*DE582</f>
        <v>3426.9999999999995</v>
      </c>
      <c r="DF606" s="1131">
        <f>DF605*DF582</f>
        <v>4002.6736820596648</v>
      </c>
      <c r="DG606" s="1132">
        <f>SUM(DC606:DF606)</f>
        <v>14226.673682059665</v>
      </c>
      <c r="DH606" s="1130">
        <f>DH605*DH582</f>
        <v>3587.7392133031326</v>
      </c>
      <c r="DI606" s="1131">
        <f>DI605*DI582</f>
        <v>3734.470929034916</v>
      </c>
      <c r="DJ606" s="1131">
        <f>DJ605*DJ582</f>
        <v>3682.5073303615654</v>
      </c>
      <c r="DK606" s="1131">
        <f>DK605*DK582</f>
        <v>4238.4231805193103</v>
      </c>
      <c r="DL606" s="1132">
        <f>SUM(DH606:DK606)</f>
        <v>15243.140653218923</v>
      </c>
      <c r="DM606" s="1130"/>
      <c r="DN606" s="1131"/>
      <c r="DO606" s="1131"/>
      <c r="DP606" s="1131"/>
      <c r="DQ606" s="1132"/>
      <c r="DR606" s="1131"/>
      <c r="DS606" s="1131"/>
      <c r="DT606" s="1131"/>
      <c r="DU606" s="1131"/>
      <c r="DV606" s="1132"/>
      <c r="DW606" s="1131"/>
      <c r="DX606" s="1131"/>
      <c r="DY606" s="1131"/>
      <c r="DZ606" s="1131"/>
      <c r="EA606" s="1132"/>
      <c r="EB606" s="1131"/>
      <c r="EC606" s="1131"/>
      <c r="ED606" s="1131"/>
      <c r="EE606" s="1131"/>
      <c r="EF606" s="1132"/>
      <c r="EG606" s="1131"/>
      <c r="EH606" s="1131"/>
      <c r="EI606" s="1131"/>
      <c r="EJ606" s="1131"/>
      <c r="EK606" s="1132"/>
      <c r="EL606" s="1131"/>
      <c r="EM606" s="1131"/>
      <c r="EN606" s="1131"/>
      <c r="EO606" s="1131"/>
      <c r="EP606" s="1132"/>
      <c r="EQ606" s="1131"/>
      <c r="ER606" s="1131"/>
      <c r="ES606" s="1131"/>
      <c r="ET606" s="1131"/>
      <c r="EU606" s="1132"/>
      <c r="EV606" s="1132"/>
      <c r="EW606" s="1132"/>
      <c r="EX606" s="1132"/>
      <c r="EY606" s="1132"/>
      <c r="EZ606" s="1133"/>
      <c r="FA606" s="4273"/>
      <c r="FB606" s="4273"/>
    </row>
    <row r="607" spans="1:158" s="1105" customFormat="1" ht="11.25" hidden="1" customHeight="1" collapsed="1">
      <c r="A607" s="2384" t="s">
        <v>508</v>
      </c>
      <c r="B607" s="1155"/>
      <c r="C607" s="1156"/>
      <c r="D607" s="1156"/>
      <c r="E607" s="1156"/>
      <c r="F607" s="1157"/>
      <c r="G607" s="1155"/>
      <c r="H607" s="1156"/>
      <c r="I607" s="1156"/>
      <c r="J607" s="1156"/>
      <c r="K607" s="1999"/>
      <c r="L607" s="1156"/>
      <c r="M607" s="1156"/>
      <c r="N607" s="1156"/>
      <c r="O607" s="1156"/>
      <c r="P607" s="1158"/>
      <c r="Q607" s="1159"/>
      <c r="R607" s="1160"/>
      <c r="S607" s="1160"/>
      <c r="T607" s="1161"/>
      <c r="U607" s="1158"/>
      <c r="V607" s="1159"/>
      <c r="W607" s="1160"/>
      <c r="X607" s="1160"/>
      <c r="Y607" s="1161"/>
      <c r="Z607" s="1158"/>
      <c r="AA607" s="1159"/>
      <c r="AB607" s="1160"/>
      <c r="AC607" s="1160"/>
      <c r="AD607" s="1161"/>
      <c r="AE607" s="1158"/>
      <c r="AF607" s="1162"/>
      <c r="AG607" s="1135"/>
      <c r="AH607" s="1135"/>
      <c r="AI607" s="1135"/>
      <c r="AJ607" s="1158"/>
      <c r="AK607" s="1162"/>
      <c r="AL607" s="1135"/>
      <c r="AM607" s="1135"/>
      <c r="AN607" s="1135"/>
      <c r="AO607" s="1158"/>
      <c r="AP607" s="1162"/>
      <c r="AQ607" s="1135"/>
      <c r="AR607" s="1135"/>
      <c r="AS607" s="1135"/>
      <c r="AT607" s="1158"/>
      <c r="AU607" s="1135"/>
      <c r="AV607" s="1135"/>
      <c r="AW607" s="1135"/>
      <c r="AX607" s="1135"/>
      <c r="AY607" s="1136"/>
      <c r="AZ607" s="1135">
        <f t="shared" ref="AZ607:BN607" si="1459">AZ606/AU602-1</f>
        <v>-1.1726056132629559E-2</v>
      </c>
      <c r="BA607" s="1135">
        <f t="shared" si="1459"/>
        <v>2.2383217281420231E-2</v>
      </c>
      <c r="BB607" s="1135">
        <f t="shared" si="1459"/>
        <v>5.1720167530788341E-2</v>
      </c>
      <c r="BC607" s="1135">
        <f t="shared" si="1459"/>
        <v>0.10394950323108731</v>
      </c>
      <c r="BD607" s="1136">
        <f t="shared" si="1459"/>
        <v>4.104940191386719E-2</v>
      </c>
      <c r="BE607" s="1135">
        <f t="shared" si="1459"/>
        <v>0.13442238030015408</v>
      </c>
      <c r="BF607" s="1135">
        <f t="shared" si="1459"/>
        <v>0.18005954346573305</v>
      </c>
      <c r="BG607" s="1135">
        <f t="shared" si="1459"/>
        <v>0.16950378714070435</v>
      </c>
      <c r="BH607" s="1135">
        <f t="shared" si="1459"/>
        <v>0.19868615440764859</v>
      </c>
      <c r="BI607" s="1136">
        <f t="shared" si="1459"/>
        <v>0.17194402731966951</v>
      </c>
      <c r="BJ607" s="1135">
        <f t="shared" si="1459"/>
        <v>0.17318816731864706</v>
      </c>
      <c r="BK607" s="1135">
        <f t="shared" si="1459"/>
        <v>0.14414441920888121</v>
      </c>
      <c r="BL607" s="1135">
        <f t="shared" si="1459"/>
        <v>0.14223983407433094</v>
      </c>
      <c r="BM607" s="1135">
        <f t="shared" si="1459"/>
        <v>0.15240978604750222</v>
      </c>
      <c r="BN607" s="1136">
        <f t="shared" si="1459"/>
        <v>0.15281448688026011</v>
      </c>
      <c r="BO607" s="1135"/>
      <c r="BP607" s="1135"/>
      <c r="BQ607" s="1135"/>
      <c r="BR607" s="1135"/>
      <c r="BS607" s="1967"/>
      <c r="BT607" s="1135">
        <f>BT606/BJ602-1</f>
        <v>0.20805246758405826</v>
      </c>
      <c r="BU607" s="1135">
        <f>BU606/BK602-1</f>
        <v>0.23094666843633149</v>
      </c>
      <c r="BV607" s="1135">
        <f>BV606/BL602-1</f>
        <v>0.270701343077838</v>
      </c>
      <c r="BW607" s="1135">
        <f>BW606/BM602-1</f>
        <v>0.23639750912421187</v>
      </c>
      <c r="BX607" s="1136">
        <f>BX606/BN602-1</f>
        <v>0.23706846832956696</v>
      </c>
      <c r="BY607" s="1135"/>
      <c r="BZ607" s="1135"/>
      <c r="CA607" s="1135"/>
      <c r="CB607" s="1135"/>
      <c r="CC607" s="1967"/>
      <c r="CD607" s="1135">
        <f>CD606/BT602-1</f>
        <v>0.11753183153770808</v>
      </c>
      <c r="CE607" s="1135">
        <f>CE606/BU602-1</f>
        <v>0.10224558050645016</v>
      </c>
      <c r="CF607" s="1135">
        <f>CF606/BV602-1</f>
        <v>1.3550135501354532E-3</v>
      </c>
      <c r="CG607" s="1135">
        <f>CG606/BW602-1</f>
        <v>1.6353229762878119E-2</v>
      </c>
      <c r="CH607" s="1136">
        <f>CH606/BX602-1</f>
        <v>5.6509380329732739E-2</v>
      </c>
      <c r="CI607" s="1135">
        <f t="shared" ref="CI607:DL607" si="1460">CI606/CD602-1</f>
        <v>4.6012269938650263E-2</v>
      </c>
      <c r="CJ607" s="1135">
        <f t="shared" si="1460"/>
        <v>4.0312093628088519E-2</v>
      </c>
      <c r="CK607" s="1135">
        <f t="shared" si="1460"/>
        <v>9.201623815967519E-2</v>
      </c>
      <c r="CL607" s="1135">
        <f t="shared" si="1460"/>
        <v>6.6773934030571303E-2</v>
      </c>
      <c r="CM607" s="1136">
        <f t="shared" si="1460"/>
        <v>6.1127851915626419E-2</v>
      </c>
      <c r="CN607" s="1135">
        <f t="shared" si="1460"/>
        <v>1.8852115626309285E-2</v>
      </c>
      <c r="CO607" s="1135">
        <f t="shared" si="1460"/>
        <v>1.3333333333333419E-2</v>
      </c>
      <c r="CP607" s="1135">
        <f t="shared" si="1460"/>
        <v>3.8413878562577386E-2</v>
      </c>
      <c r="CQ607" s="1135">
        <f t="shared" si="1460"/>
        <v>7.9939668174962231E-2</v>
      </c>
      <c r="CR607" s="1136">
        <f t="shared" si="1460"/>
        <v>3.8742393509127782E-2</v>
      </c>
      <c r="CS607" s="1135">
        <f t="shared" si="1460"/>
        <v>5.7154605263157965E-2</v>
      </c>
      <c r="CT607" s="1135">
        <f t="shared" si="1460"/>
        <v>7.8536184210526327E-2</v>
      </c>
      <c r="CU607" s="1135">
        <f t="shared" si="1460"/>
        <v>4.3357199681782088E-2</v>
      </c>
      <c r="CV607" s="1135">
        <f t="shared" si="1460"/>
        <v>7.61173184357542E-2</v>
      </c>
      <c r="CW607" s="1136">
        <f t="shared" si="1460"/>
        <v>6.4147627416520248E-2</v>
      </c>
      <c r="CX607" s="1135">
        <f t="shared" si="1460"/>
        <v>9.8405289770517212E-2</v>
      </c>
      <c r="CY607" s="1135">
        <f t="shared" si="1460"/>
        <v>0.15974075486084627</v>
      </c>
      <c r="CZ607" s="1135">
        <f t="shared" si="1460"/>
        <v>0.18223408311094169</v>
      </c>
      <c r="DA607" s="1135">
        <f t="shared" si="1460"/>
        <v>0.19208306294613897</v>
      </c>
      <c r="DB607" s="1136">
        <f t="shared" si="1460"/>
        <v>0.15983117717221762</v>
      </c>
      <c r="DC607" s="2660">
        <f t="shared" si="1460"/>
        <v>0.19900849858356962</v>
      </c>
      <c r="DD607" s="2660">
        <f t="shared" si="1460"/>
        <v>0.12130177514792906</v>
      </c>
      <c r="DE607" s="2660">
        <f t="shared" si="1460"/>
        <v>0.10512737826507568</v>
      </c>
      <c r="DF607" s="2660">
        <f t="shared" si="1460"/>
        <v>8.9459358208945128E-2</v>
      </c>
      <c r="DG607" s="2597">
        <f t="shared" si="1460"/>
        <v>0.12543894328452376</v>
      </c>
      <c r="DH607" s="2660">
        <f t="shared" si="1460"/>
        <v>5.9580393769383511E-2</v>
      </c>
      <c r="DI607" s="2660">
        <f t="shared" si="1460"/>
        <v>9.4831700098187088E-2</v>
      </c>
      <c r="DJ607" s="2660">
        <f t="shared" si="1460"/>
        <v>7.4557143379505586E-2</v>
      </c>
      <c r="DK607" s="2660">
        <f t="shared" si="1460"/>
        <v>7.847918079371774E-2</v>
      </c>
      <c r="DL607" s="2597">
        <f t="shared" si="1460"/>
        <v>7.6949318441353887E-2</v>
      </c>
      <c r="DM607" s="2660"/>
      <c r="DN607" s="2660"/>
      <c r="DO607" s="2660"/>
      <c r="DP607" s="2660"/>
      <c r="DQ607" s="2597"/>
      <c r="DR607" s="2660"/>
      <c r="DS607" s="2660"/>
      <c r="DT607" s="2660"/>
      <c r="DU607" s="2660"/>
      <c r="DV607" s="2597"/>
      <c r="DW607" s="2660"/>
      <c r="DX607" s="2660"/>
      <c r="DY607" s="2660"/>
      <c r="DZ607" s="2660"/>
      <c r="EA607" s="2597"/>
      <c r="EB607" s="2660"/>
      <c r="EC607" s="2660"/>
      <c r="ED607" s="2660"/>
      <c r="EE607" s="2660"/>
      <c r="EF607" s="2597"/>
      <c r="EG607" s="2660"/>
      <c r="EH607" s="2660"/>
      <c r="EI607" s="2660"/>
      <c r="EJ607" s="2660"/>
      <c r="EK607" s="2597"/>
      <c r="EL607" s="2660"/>
      <c r="EM607" s="2660"/>
      <c r="EN607" s="2660"/>
      <c r="EO607" s="2660"/>
      <c r="EP607" s="2597"/>
      <c r="EQ607" s="2660"/>
      <c r="ER607" s="2660"/>
      <c r="ES607" s="2660"/>
      <c r="ET607" s="2660"/>
      <c r="EU607" s="2597"/>
      <c r="EV607" s="2597"/>
      <c r="EW607" s="2597"/>
      <c r="EX607" s="2597"/>
      <c r="EY607" s="2597"/>
      <c r="EZ607" s="185"/>
      <c r="FA607" s="1104"/>
      <c r="FB607" s="1104"/>
    </row>
    <row r="608" spans="1:158" s="161" customFormat="1" ht="11.25" hidden="1" customHeight="1">
      <c r="A608" s="3299" t="str">
        <f>A105</f>
        <v>Total Traffic Acquisition Costs (TAC)</v>
      </c>
      <c r="B608" s="3300"/>
      <c r="C608" s="3051"/>
      <c r="D608" s="3051"/>
      <c r="E608" s="3051"/>
      <c r="F608" s="3301"/>
      <c r="G608" s="3300"/>
      <c r="H608" s="3051"/>
      <c r="I608" s="3051"/>
      <c r="J608" s="3051"/>
      <c r="K608" s="3052"/>
      <c r="L608" s="3051"/>
      <c r="M608" s="3051"/>
      <c r="N608" s="3051"/>
      <c r="O608" s="3051"/>
      <c r="P608" s="3053"/>
      <c r="Q608" s="3302"/>
      <c r="R608" s="3055"/>
      <c r="S608" s="3055"/>
      <c r="T608" s="3055"/>
      <c r="U608" s="3053"/>
      <c r="V608" s="3302"/>
      <c r="W608" s="3055"/>
      <c r="X608" s="3055"/>
      <c r="Y608" s="3055"/>
      <c r="Z608" s="3053"/>
      <c r="AA608" s="3302"/>
      <c r="AB608" s="3055"/>
      <c r="AC608" s="3055"/>
      <c r="AD608" s="3055"/>
      <c r="AE608" s="3053"/>
      <c r="AF608" s="3302"/>
      <c r="AG608" s="3055"/>
      <c r="AH608" s="3055"/>
      <c r="AI608" s="3055"/>
      <c r="AJ608" s="3053"/>
      <c r="AK608" s="3302"/>
      <c r="AL608" s="3055"/>
      <c r="AM608" s="3055"/>
      <c r="AN608" s="3055"/>
      <c r="AO608" s="3053"/>
      <c r="AP608" s="3302"/>
      <c r="AQ608" s="3055"/>
      <c r="AR608" s="3055"/>
      <c r="AS608" s="3055"/>
      <c r="AT608" s="3053"/>
      <c r="AU608" s="3302">
        <f t="shared" ref="AU608:BZ608" si="1461">AU105</f>
        <v>1486.384</v>
      </c>
      <c r="AV608" s="3055">
        <f t="shared" si="1461"/>
        <v>1473.98</v>
      </c>
      <c r="AW608" s="3055">
        <f t="shared" si="1461"/>
        <v>1495.2059999999999</v>
      </c>
      <c r="AX608" s="3055">
        <f t="shared" si="1461"/>
        <v>1483.3820000000001</v>
      </c>
      <c r="AY608" s="3053">
        <f t="shared" si="1461"/>
        <v>5938.9520000000002</v>
      </c>
      <c r="AZ608" s="3302">
        <f t="shared" si="1461"/>
        <v>1435.96</v>
      </c>
      <c r="BA608" s="3055">
        <f t="shared" si="1461"/>
        <v>1453.354</v>
      </c>
      <c r="BB608" s="3055">
        <f t="shared" si="1461"/>
        <v>1559.2159999999999</v>
      </c>
      <c r="BC608" s="3055">
        <f t="shared" si="1461"/>
        <v>1720.886</v>
      </c>
      <c r="BD608" s="3053">
        <f t="shared" si="1461"/>
        <v>6169.4000000000005</v>
      </c>
      <c r="BE608" s="3302">
        <f t="shared" si="1461"/>
        <v>1711</v>
      </c>
      <c r="BF608" s="3055">
        <f t="shared" si="1461"/>
        <v>1732</v>
      </c>
      <c r="BG608" s="3055">
        <f t="shared" si="1461"/>
        <v>1805</v>
      </c>
      <c r="BH608" s="3055">
        <f t="shared" si="1461"/>
        <v>2069</v>
      </c>
      <c r="BI608" s="3053">
        <f t="shared" si="1461"/>
        <v>7317</v>
      </c>
      <c r="BJ608" s="3302">
        <f t="shared" si="1461"/>
        <v>2038</v>
      </c>
      <c r="BK608" s="3055">
        <f t="shared" si="1461"/>
        <v>2110</v>
      </c>
      <c r="BL608" s="3055">
        <f t="shared" si="1461"/>
        <v>2210</v>
      </c>
      <c r="BM608" s="3055">
        <f t="shared" si="1461"/>
        <v>2450</v>
      </c>
      <c r="BN608" s="3053">
        <f t="shared" si="1461"/>
        <v>8808</v>
      </c>
      <c r="BO608" s="3055">
        <f t="shared" si="1461"/>
        <v>0</v>
      </c>
      <c r="BP608" s="3055">
        <f t="shared" si="1461"/>
        <v>0</v>
      </c>
      <c r="BQ608" s="3055">
        <f t="shared" si="1461"/>
        <v>0</v>
      </c>
      <c r="BR608" s="3055">
        <f t="shared" si="1461"/>
        <v>0</v>
      </c>
      <c r="BS608" s="3303">
        <f t="shared" si="1461"/>
        <v>0</v>
      </c>
      <c r="BT608" s="3055">
        <f t="shared" si="1461"/>
        <v>2510</v>
      </c>
      <c r="BU608" s="3055">
        <f t="shared" si="1461"/>
        <v>2600</v>
      </c>
      <c r="BV608" s="3055">
        <f t="shared" si="1461"/>
        <v>2770</v>
      </c>
      <c r="BW608" s="3055">
        <f t="shared" si="1461"/>
        <v>3080</v>
      </c>
      <c r="BX608" s="3053">
        <f t="shared" si="1461"/>
        <v>10960</v>
      </c>
      <c r="BY608" s="3055">
        <f t="shared" si="1461"/>
        <v>0</v>
      </c>
      <c r="BZ608" s="3055">
        <f t="shared" si="1461"/>
        <v>0</v>
      </c>
      <c r="CA608" s="3055">
        <f t="shared" ref="CA608:DF608" si="1462">CA105</f>
        <v>0</v>
      </c>
      <c r="CB608" s="3055">
        <f t="shared" si="1462"/>
        <v>0</v>
      </c>
      <c r="CC608" s="3303">
        <f t="shared" si="1462"/>
        <v>0</v>
      </c>
      <c r="CD608" s="3304">
        <f t="shared" si="1462"/>
        <v>2962</v>
      </c>
      <c r="CE608" s="3055">
        <f t="shared" si="1462"/>
        <v>3013</v>
      </c>
      <c r="CF608" s="3055">
        <f t="shared" si="1462"/>
        <v>2972</v>
      </c>
      <c r="CG608" s="3055">
        <f t="shared" si="1462"/>
        <v>3310</v>
      </c>
      <c r="CH608" s="3053">
        <f t="shared" si="1462"/>
        <v>12257</v>
      </c>
      <c r="CI608" s="3100">
        <f t="shared" si="1462"/>
        <v>3232</v>
      </c>
      <c r="CJ608" s="3055">
        <f t="shared" si="1462"/>
        <v>3293</v>
      </c>
      <c r="CK608" s="3055">
        <f t="shared" si="1462"/>
        <v>3348</v>
      </c>
      <c r="CL608" s="3055">
        <f t="shared" si="1462"/>
        <v>3620</v>
      </c>
      <c r="CM608" s="3053">
        <f t="shared" si="1462"/>
        <v>13493</v>
      </c>
      <c r="CN608" s="3055">
        <f t="shared" si="1462"/>
        <v>3345</v>
      </c>
      <c r="CO608" s="3055">
        <f t="shared" si="1462"/>
        <v>3377</v>
      </c>
      <c r="CP608" s="3055">
        <f t="shared" si="1462"/>
        <v>3566</v>
      </c>
      <c r="CQ608" s="3055">
        <f t="shared" si="1462"/>
        <v>4055</v>
      </c>
      <c r="CR608" s="3053">
        <f t="shared" si="1462"/>
        <v>14343</v>
      </c>
      <c r="CS608" s="3055">
        <f t="shared" si="1462"/>
        <v>3788</v>
      </c>
      <c r="CT608" s="3055">
        <f t="shared" si="1462"/>
        <v>3975</v>
      </c>
      <c r="CU608" s="3055">
        <f t="shared" si="1462"/>
        <v>4182</v>
      </c>
      <c r="CV608" s="3055">
        <f t="shared" si="1462"/>
        <v>4848</v>
      </c>
      <c r="CW608" s="3053">
        <f t="shared" si="1462"/>
        <v>16793</v>
      </c>
      <c r="CX608" s="3055">
        <f t="shared" si="1462"/>
        <v>4629</v>
      </c>
      <c r="CY608" s="3055">
        <f t="shared" si="1462"/>
        <v>5091</v>
      </c>
      <c r="CZ608" s="3055">
        <f t="shared" si="1462"/>
        <v>5502</v>
      </c>
      <c r="DA608" s="3055">
        <f t="shared" si="1462"/>
        <v>6450</v>
      </c>
      <c r="DB608" s="3053">
        <f t="shared" si="1462"/>
        <v>21672</v>
      </c>
      <c r="DC608" s="3055">
        <f t="shared" si="1462"/>
        <v>6288</v>
      </c>
      <c r="DD608" s="3055">
        <f t="shared" si="1462"/>
        <v>6420</v>
      </c>
      <c r="DE608" s="3055">
        <f t="shared" si="1462"/>
        <v>6582</v>
      </c>
      <c r="DF608" s="3055">
        <f t="shared" si="1462"/>
        <v>7436</v>
      </c>
      <c r="DG608" s="3053">
        <f t="shared" ref="DG608:DL608" si="1463">DG105</f>
        <v>26726</v>
      </c>
      <c r="DH608" s="3055">
        <f t="shared" si="1463"/>
        <v>6860</v>
      </c>
      <c r="DI608" s="3055">
        <f t="shared" si="1463"/>
        <v>7238</v>
      </c>
      <c r="DJ608" s="3055">
        <f t="shared" si="1463"/>
        <v>7490</v>
      </c>
      <c r="DK608" s="3055">
        <f t="shared" si="1463"/>
        <v>8501</v>
      </c>
      <c r="DL608" s="3053">
        <f t="shared" si="1463"/>
        <v>30089</v>
      </c>
      <c r="DM608" s="3055"/>
      <c r="DN608" s="3055"/>
      <c r="DO608" s="3055"/>
      <c r="DP608" s="3055"/>
      <c r="DQ608" s="3053"/>
      <c r="DR608" s="3055"/>
      <c r="DS608" s="3055"/>
      <c r="DT608" s="3055"/>
      <c r="DU608" s="3055"/>
      <c r="DV608" s="3053"/>
      <c r="DW608" s="3055"/>
      <c r="DX608" s="3055"/>
      <c r="DY608" s="3055"/>
      <c r="DZ608" s="3055"/>
      <c r="EA608" s="3053"/>
      <c r="EB608" s="3055"/>
      <c r="EC608" s="3055"/>
      <c r="ED608" s="3055"/>
      <c r="EE608" s="3055"/>
      <c r="EF608" s="3053"/>
      <c r="EG608" s="3055"/>
      <c r="EH608" s="3055"/>
      <c r="EI608" s="3055"/>
      <c r="EJ608" s="3055"/>
      <c r="EK608" s="3053"/>
      <c r="EL608" s="3055"/>
      <c r="EM608" s="3055"/>
      <c r="EN608" s="3055"/>
      <c r="EO608" s="3055"/>
      <c r="EP608" s="3053"/>
      <c r="EQ608" s="3055"/>
      <c r="ER608" s="3055"/>
      <c r="ES608" s="3055"/>
      <c r="ET608" s="3055"/>
      <c r="EU608" s="3053"/>
      <c r="EV608" s="3053"/>
      <c r="EW608" s="3053"/>
      <c r="EX608" s="3053"/>
      <c r="EY608" s="3053"/>
      <c r="EZ608" s="174"/>
      <c r="FA608" s="1319"/>
      <c r="FB608" s="1319"/>
    </row>
    <row r="609" spans="1:158" s="161" customFormat="1" ht="11.25" hidden="1" customHeight="1">
      <c r="A609" s="3305" t="str">
        <f>A107</f>
        <v>TAC as a % of Total Gross Adv. Revenues</v>
      </c>
      <c r="B609" s="3306"/>
      <c r="C609" s="3057"/>
      <c r="D609" s="3057"/>
      <c r="E609" s="3057"/>
      <c r="F609" s="3307"/>
      <c r="G609" s="3306"/>
      <c r="H609" s="3057"/>
      <c r="I609" s="3057"/>
      <c r="J609" s="3057"/>
      <c r="K609" s="3058"/>
      <c r="L609" s="3057"/>
      <c r="M609" s="3057"/>
      <c r="N609" s="3057"/>
      <c r="O609" s="3057"/>
      <c r="P609" s="3059"/>
      <c r="Q609" s="3308"/>
      <c r="R609" s="3060"/>
      <c r="S609" s="3060"/>
      <c r="T609" s="3060"/>
      <c r="U609" s="3059"/>
      <c r="V609" s="3308"/>
      <c r="W609" s="3060"/>
      <c r="X609" s="3060"/>
      <c r="Y609" s="3060"/>
      <c r="Z609" s="3059"/>
      <c r="AA609" s="3308"/>
      <c r="AB609" s="3060"/>
      <c r="AC609" s="3060"/>
      <c r="AD609" s="3060"/>
      <c r="AE609" s="3059"/>
      <c r="AF609" s="3308"/>
      <c r="AG609" s="3060"/>
      <c r="AH609" s="3060"/>
      <c r="AI609" s="3060"/>
      <c r="AJ609" s="3059"/>
      <c r="AK609" s="3308"/>
      <c r="AL609" s="3060"/>
      <c r="AM609" s="3060"/>
      <c r="AN609" s="3060"/>
      <c r="AO609" s="3059"/>
      <c r="AP609" s="3308"/>
      <c r="AQ609" s="3060"/>
      <c r="AR609" s="3060"/>
      <c r="AS609" s="3060"/>
      <c r="AT609" s="3059"/>
      <c r="AU609" s="3308">
        <f t="shared" ref="AU609:BZ609" si="1464">AU107</f>
        <v>0.29221872760022222</v>
      </c>
      <c r="AV609" s="3060">
        <f t="shared" si="1464"/>
        <v>0.2842544246614308</v>
      </c>
      <c r="AW609" s="3060">
        <f t="shared" si="1464"/>
        <v>0.27937477998763821</v>
      </c>
      <c r="AX609" s="3060">
        <f t="shared" si="1464"/>
        <v>0.26948185426257559</v>
      </c>
      <c r="AY609" s="3059">
        <f t="shared" si="1464"/>
        <v>0.28108706556457302</v>
      </c>
      <c r="AZ609" s="3308">
        <f t="shared" si="1464"/>
        <v>0.26936716649174197</v>
      </c>
      <c r="BA609" s="3060">
        <f t="shared" si="1464"/>
        <v>0.27236115775333725</v>
      </c>
      <c r="BB609" s="3060">
        <f t="shared" si="1464"/>
        <v>0.27085611507167134</v>
      </c>
      <c r="BC609" s="3060">
        <f t="shared" si="1464"/>
        <v>0.26617717344733871</v>
      </c>
      <c r="BD609" s="3059">
        <f t="shared" si="1464"/>
        <v>0.26953789284927254</v>
      </c>
      <c r="BE609" s="3308">
        <f t="shared" si="1464"/>
        <v>0.26424710424710424</v>
      </c>
      <c r="BF609" s="3060">
        <f t="shared" si="1464"/>
        <v>0.26394391953672663</v>
      </c>
      <c r="BG609" s="3060">
        <f t="shared" si="1464"/>
        <v>0.25668373151308305</v>
      </c>
      <c r="BH609" s="3060">
        <f t="shared" si="1464"/>
        <v>0.2533365985061834</v>
      </c>
      <c r="BI609" s="3059">
        <f t="shared" si="1464"/>
        <v>0.25913727156821081</v>
      </c>
      <c r="BJ609" s="3308">
        <f t="shared" si="1464"/>
        <v>0.24536479653262702</v>
      </c>
      <c r="BK609" s="3060">
        <f t="shared" si="1464"/>
        <v>0.24208352455254703</v>
      </c>
      <c r="BL609" s="3060">
        <f t="shared" si="1464"/>
        <v>0.23674343867166578</v>
      </c>
      <c r="BM609" s="3060">
        <f t="shared" si="1464"/>
        <v>0.24080990760762727</v>
      </c>
      <c r="BN609" s="3059">
        <f t="shared" si="1464"/>
        <v>0.24111028989077771</v>
      </c>
      <c r="BO609" s="3060">
        <f t="shared" si="1464"/>
        <v>0</v>
      </c>
      <c r="BP609" s="3060">
        <f t="shared" si="1464"/>
        <v>0</v>
      </c>
      <c r="BQ609" s="3060">
        <f t="shared" si="1464"/>
        <v>0</v>
      </c>
      <c r="BR609" s="3060">
        <f t="shared" si="1464"/>
        <v>0</v>
      </c>
      <c r="BS609" s="3309">
        <f t="shared" si="1464"/>
        <v>0</v>
      </c>
      <c r="BT609" s="3060">
        <f t="shared" si="1464"/>
        <v>0.24547677261613693</v>
      </c>
      <c r="BU609" s="3060">
        <f t="shared" si="1464"/>
        <v>0.24703087885985747</v>
      </c>
      <c r="BV609" s="3060">
        <f t="shared" si="1464"/>
        <v>0.2550644567219153</v>
      </c>
      <c r="BW609" s="3060">
        <f t="shared" si="1464"/>
        <v>0.2550513415038092</v>
      </c>
      <c r="BX609" s="3059">
        <f t="shared" si="1464"/>
        <v>0.25088128920020142</v>
      </c>
      <c r="BY609" s="3060">
        <f t="shared" si="1464"/>
        <v>0</v>
      </c>
      <c r="BZ609" s="3060">
        <f t="shared" si="1464"/>
        <v>0</v>
      </c>
      <c r="CA609" s="3060">
        <f t="shared" ref="CA609:DF609" si="1465">CA107</f>
        <v>0</v>
      </c>
      <c r="CB609" s="3060">
        <f t="shared" si="1465"/>
        <v>0</v>
      </c>
      <c r="CC609" s="3309">
        <f t="shared" si="1465"/>
        <v>0</v>
      </c>
      <c r="CD609" s="3310">
        <f t="shared" si="1465"/>
        <v>0.24619732358074972</v>
      </c>
      <c r="CE609" s="3060">
        <f t="shared" si="1465"/>
        <v>0.24733212937120341</v>
      </c>
      <c r="CF609" s="3060">
        <f t="shared" si="1465"/>
        <v>0.23488500750810085</v>
      </c>
      <c r="CG609" s="3060">
        <f t="shared" si="1465"/>
        <v>0.23300014078558356</v>
      </c>
      <c r="CH609" s="3059">
        <f t="shared" si="1465"/>
        <v>0.23999451754385964</v>
      </c>
      <c r="CI609" s="3061">
        <f t="shared" si="1465"/>
        <v>0.2309066228477531</v>
      </c>
      <c r="CJ609" s="3060">
        <f t="shared" si="1465"/>
        <v>0.22713477721064976</v>
      </c>
      <c r="CK609" s="3060">
        <f t="shared" si="1465"/>
        <v>0.22591093117408906</v>
      </c>
      <c r="CL609" s="3060">
        <f t="shared" si="1465"/>
        <v>0.2219633331289472</v>
      </c>
      <c r="CM609" s="3059">
        <f t="shared" si="1465"/>
        <v>0.22630148933315444</v>
      </c>
      <c r="CN609" s="3060">
        <f t="shared" si="1465"/>
        <v>0.21569512509672428</v>
      </c>
      <c r="CO609" s="3060">
        <f t="shared" si="1465"/>
        <v>0.2107595331710666</v>
      </c>
      <c r="CP609" s="3060">
        <f t="shared" si="1465"/>
        <v>0.21250223467016269</v>
      </c>
      <c r="CQ609" s="3060">
        <f t="shared" si="1465"/>
        <v>0.21254848516615998</v>
      </c>
      <c r="CR609" s="3059">
        <f t="shared" si="1465"/>
        <v>0.21283573230449621</v>
      </c>
      <c r="CS609" s="3060">
        <f t="shared" si="1465"/>
        <v>0.21021087680355161</v>
      </c>
      <c r="CT609" s="3060">
        <f t="shared" si="1465"/>
        <v>0.20764770412161104</v>
      </c>
      <c r="CU609" s="3060">
        <f t="shared" si="1465"/>
        <v>0.21098834569396094</v>
      </c>
      <c r="CV609" s="3060">
        <f t="shared" si="1465"/>
        <v>0.21643823384972544</v>
      </c>
      <c r="CW609" s="3059">
        <f t="shared" si="1465"/>
        <v>0.21154403335726793</v>
      </c>
      <c r="CX609" s="3060">
        <f t="shared" si="1465"/>
        <v>0.21619728177105227</v>
      </c>
      <c r="CY609" s="3060">
        <f t="shared" si="1465"/>
        <v>0.22455010585744531</v>
      </c>
      <c r="CZ609" s="3060">
        <f t="shared" si="1465"/>
        <v>0.22863079160606689</v>
      </c>
      <c r="DA609" s="3060">
        <f t="shared" si="1465"/>
        <v>0.23689719763470085</v>
      </c>
      <c r="DB609" s="3059">
        <f t="shared" si="1465"/>
        <v>0.22674911328039174</v>
      </c>
      <c r="DC609" s="3060">
        <f t="shared" si="1465"/>
        <v>0.23601831694317243</v>
      </c>
      <c r="DD609" s="3060">
        <f t="shared" si="1465"/>
        <v>0.22857549756114928</v>
      </c>
      <c r="DE609" s="3060">
        <f t="shared" si="1465"/>
        <v>0.22732610347447677</v>
      </c>
      <c r="DF609" s="3060">
        <f t="shared" si="1465"/>
        <v>0.22867335014453533</v>
      </c>
      <c r="DG609" s="3059">
        <f t="shared" ref="DG609:DL609" si="1466">DG107</f>
        <v>0.2294845484754553</v>
      </c>
      <c r="DH609" s="3060">
        <f t="shared" si="1466"/>
        <v>0.22427828816163731</v>
      </c>
      <c r="DI609" s="3060">
        <f t="shared" si="1466"/>
        <v>0.22274881516587677</v>
      </c>
      <c r="DJ609" s="3060">
        <f t="shared" si="1466"/>
        <v>0.22162386081193042</v>
      </c>
      <c r="DK609" s="3060">
        <f t="shared" si="1466"/>
        <v>0.22409975220119155</v>
      </c>
      <c r="DL609" s="3059">
        <f t="shared" si="1466"/>
        <v>0.22319395301570347</v>
      </c>
      <c r="DM609" s="3060"/>
      <c r="DN609" s="3060"/>
      <c r="DO609" s="3060"/>
      <c r="DP609" s="3060"/>
      <c r="DQ609" s="3059"/>
      <c r="DR609" s="3060"/>
      <c r="DS609" s="3060"/>
      <c r="DT609" s="3060"/>
      <c r="DU609" s="3060"/>
      <c r="DV609" s="3059"/>
      <c r="DW609" s="3060"/>
      <c r="DX609" s="3060"/>
      <c r="DY609" s="3060"/>
      <c r="DZ609" s="3060"/>
      <c r="EA609" s="3059"/>
      <c r="EB609" s="3060"/>
      <c r="EC609" s="3060"/>
      <c r="ED609" s="3060"/>
      <c r="EE609" s="3060"/>
      <c r="EF609" s="3059"/>
      <c r="EG609" s="3060"/>
      <c r="EH609" s="3060"/>
      <c r="EI609" s="3060"/>
      <c r="EJ609" s="3060"/>
      <c r="EK609" s="3059"/>
      <c r="EL609" s="3060"/>
      <c r="EM609" s="3060"/>
      <c r="EN609" s="3060"/>
      <c r="EO609" s="3060"/>
      <c r="EP609" s="3059"/>
      <c r="EQ609" s="3060"/>
      <c r="ER609" s="3060"/>
      <c r="ES609" s="3060"/>
      <c r="ET609" s="3060"/>
      <c r="EU609" s="3059"/>
      <c r="EV609" s="3059"/>
      <c r="EW609" s="3059"/>
      <c r="EX609" s="3059"/>
      <c r="EY609" s="3059"/>
      <c r="EZ609" s="174"/>
      <c r="FA609" s="4265"/>
      <c r="FB609" s="4265"/>
    </row>
    <row r="610" spans="1:158" s="206" customFormat="1" ht="11.25" hidden="1" customHeight="1">
      <c r="A610" s="3311" t="str">
        <f>A106</f>
        <v>Y/Y growth</v>
      </c>
      <c r="B610" s="3312"/>
      <c r="C610" s="3313"/>
      <c r="D610" s="3313"/>
      <c r="E610" s="3313"/>
      <c r="F610" s="3314"/>
      <c r="G610" s="3312"/>
      <c r="H610" s="3313"/>
      <c r="I610" s="3313"/>
      <c r="J610" s="3313"/>
      <c r="K610" s="3315"/>
      <c r="L610" s="3313"/>
      <c r="M610" s="3313"/>
      <c r="N610" s="3313"/>
      <c r="O610" s="3313"/>
      <c r="P610" s="3065"/>
      <c r="Q610" s="3316"/>
      <c r="R610" s="3313"/>
      <c r="S610" s="3313"/>
      <c r="T610" s="3313"/>
      <c r="U610" s="3065"/>
      <c r="V610" s="3316"/>
      <c r="W610" s="3313"/>
      <c r="X610" s="3313"/>
      <c r="Y610" s="3313"/>
      <c r="Z610" s="3065"/>
      <c r="AA610" s="3316"/>
      <c r="AB610" s="3313"/>
      <c r="AC610" s="3313"/>
      <c r="AD610" s="3313"/>
      <c r="AE610" s="3065"/>
      <c r="AF610" s="3317"/>
      <c r="AG610" s="3064"/>
      <c r="AH610" s="3064"/>
      <c r="AI610" s="3064"/>
      <c r="AJ610" s="3065"/>
      <c r="AK610" s="3317"/>
      <c r="AL610" s="3064"/>
      <c r="AM610" s="3064"/>
      <c r="AN610" s="3064"/>
      <c r="AO610" s="3065"/>
      <c r="AP610" s="3317"/>
      <c r="AQ610" s="3064"/>
      <c r="AR610" s="3064"/>
      <c r="AS610" s="3064"/>
      <c r="AT610" s="3065"/>
      <c r="AU610" s="3317">
        <f t="shared" ref="AU610:BZ610" si="1467">AU106</f>
        <v>0.32119733908844927</v>
      </c>
      <c r="AV610" s="3064">
        <f t="shared" si="1467"/>
        <v>0.28400167950395394</v>
      </c>
      <c r="AW610" s="3064">
        <f t="shared" si="1467"/>
        <v>0.22445459905660381</v>
      </c>
      <c r="AX610" s="3064">
        <f t="shared" si="1467"/>
        <v>3.025946406966451E-2</v>
      </c>
      <c r="AY610" s="3065">
        <f t="shared" si="1467"/>
        <v>0.20369847909978267</v>
      </c>
      <c r="AZ610" s="3317">
        <f t="shared" si="1467"/>
        <v>-3.3923938901387563E-2</v>
      </c>
      <c r="BA610" s="3064">
        <f t="shared" si="1467"/>
        <v>-1.3993405609302734E-2</v>
      </c>
      <c r="BB610" s="3064">
        <f t="shared" si="1467"/>
        <v>4.2810154587394678E-2</v>
      </c>
      <c r="BC610" s="3064">
        <f t="shared" si="1467"/>
        <v>0.16010980313904311</v>
      </c>
      <c r="BD610" s="3065">
        <f t="shared" si="1467"/>
        <v>3.8802805612842217E-2</v>
      </c>
      <c r="BE610" s="3317">
        <f t="shared" si="1467"/>
        <v>0.1915373687289339</v>
      </c>
      <c r="BF610" s="3064">
        <f t="shared" si="1467"/>
        <v>0.19172617270121384</v>
      </c>
      <c r="BG610" s="3064">
        <f t="shared" si="1467"/>
        <v>0.15763306687463441</v>
      </c>
      <c r="BH610" s="3064">
        <f t="shared" si="1467"/>
        <v>0.20228765879901411</v>
      </c>
      <c r="BI610" s="3065">
        <f t="shared" si="1467"/>
        <v>0.18601484747301189</v>
      </c>
      <c r="BJ610" s="3317">
        <f t="shared" si="1467"/>
        <v>0.19111630625365295</v>
      </c>
      <c r="BK610" s="3064">
        <f t="shared" si="1467"/>
        <v>0.21824480369515009</v>
      </c>
      <c r="BL610" s="3064">
        <f t="shared" si="1467"/>
        <v>0.22437673130193914</v>
      </c>
      <c r="BM610" s="3064">
        <f t="shared" si="1467"/>
        <v>0.18414693088448519</v>
      </c>
      <c r="BN610" s="3065">
        <f t="shared" si="1467"/>
        <v>0.20377203772037711</v>
      </c>
      <c r="BO610" s="3064">
        <f t="shared" si="1467"/>
        <v>0</v>
      </c>
      <c r="BP610" s="3064">
        <f t="shared" si="1467"/>
        <v>0</v>
      </c>
      <c r="BQ610" s="3064">
        <f t="shared" si="1467"/>
        <v>0</v>
      </c>
      <c r="BR610" s="3064">
        <f t="shared" si="1467"/>
        <v>0</v>
      </c>
      <c r="BS610" s="3318">
        <f t="shared" si="1467"/>
        <v>0</v>
      </c>
      <c r="BT610" s="3064">
        <f t="shared" si="1467"/>
        <v>0.23159960745829244</v>
      </c>
      <c r="BU610" s="3064">
        <f t="shared" si="1467"/>
        <v>0.23222748815165883</v>
      </c>
      <c r="BV610" s="3064">
        <f t="shared" si="1467"/>
        <v>0.25339366515837103</v>
      </c>
      <c r="BW610" s="3064">
        <f t="shared" si="1467"/>
        <v>0.25714285714285712</v>
      </c>
      <c r="BX610" s="3065">
        <f t="shared" si="1467"/>
        <v>0.24432334241598541</v>
      </c>
      <c r="BY610" s="3064">
        <f t="shared" si="1467"/>
        <v>0</v>
      </c>
      <c r="BZ610" s="3064">
        <f t="shared" si="1467"/>
        <v>0</v>
      </c>
      <c r="CA610" s="3064">
        <f t="shared" ref="CA610:DF610" si="1468">CA106</f>
        <v>0</v>
      </c>
      <c r="CB610" s="3064">
        <f t="shared" si="1468"/>
        <v>0</v>
      </c>
      <c r="CC610" s="3318">
        <f t="shared" si="1468"/>
        <v>0</v>
      </c>
      <c r="CD610" s="3319">
        <f t="shared" si="1468"/>
        <v>0.18007968127490037</v>
      </c>
      <c r="CE610" s="3064">
        <f t="shared" si="1468"/>
        <v>0.15884615384615386</v>
      </c>
      <c r="CF610" s="3064">
        <f t="shared" si="1468"/>
        <v>7.2924187725631695E-2</v>
      </c>
      <c r="CG610" s="3064">
        <f t="shared" si="1468"/>
        <v>7.4675324675324672E-2</v>
      </c>
      <c r="CH610" s="3065">
        <f t="shared" si="1468"/>
        <v>0.11833941605839415</v>
      </c>
      <c r="CI610" s="3320">
        <f t="shared" si="1468"/>
        <v>9.1154625253207389E-2</v>
      </c>
      <c r="CJ610" s="3064">
        <f t="shared" si="1468"/>
        <v>9.2930633919681371E-2</v>
      </c>
      <c r="CK610" s="3064">
        <f t="shared" si="1468"/>
        <v>0.12651413189771188</v>
      </c>
      <c r="CL610" s="3064">
        <f t="shared" si="1468"/>
        <v>9.3655589123867067E-2</v>
      </c>
      <c r="CM610" s="3065">
        <f t="shared" si="1468"/>
        <v>0.10084033613445387</v>
      </c>
      <c r="CN610" s="3064">
        <f t="shared" si="1468"/>
        <v>3.4962871287128605E-2</v>
      </c>
      <c r="CO610" s="3064">
        <f t="shared" si="1468"/>
        <v>2.5508654722137925E-2</v>
      </c>
      <c r="CP610" s="3064">
        <f t="shared" si="1468"/>
        <v>6.5113500597371532E-2</v>
      </c>
      <c r="CQ610" s="3064">
        <f t="shared" si="1468"/>
        <v>0.12016574585635365</v>
      </c>
      <c r="CR610" s="3065">
        <f t="shared" si="1468"/>
        <v>6.2995627362335993E-2</v>
      </c>
      <c r="CS610" s="3064">
        <f t="shared" si="1468"/>
        <v>0.13243647234678635</v>
      </c>
      <c r="CT610" s="3064">
        <f t="shared" si="1468"/>
        <v>0.17708024874148642</v>
      </c>
      <c r="CU610" s="3064">
        <f t="shared" si="1468"/>
        <v>0.17274256870443083</v>
      </c>
      <c r="CV610" s="3064">
        <f t="shared" si="1468"/>
        <v>0.19556103575832307</v>
      </c>
      <c r="CW610" s="3065">
        <f t="shared" si="1468"/>
        <v>0.17081503172279167</v>
      </c>
      <c r="CX610" s="3064">
        <f t="shared" si="1468"/>
        <v>0.22201689545934533</v>
      </c>
      <c r="CY610" s="3064">
        <f t="shared" si="1468"/>
        <v>0.28075471698113197</v>
      </c>
      <c r="CZ610" s="3064">
        <f t="shared" si="1468"/>
        <v>0.31563845050215211</v>
      </c>
      <c r="DA610" s="3064">
        <f t="shared" si="1468"/>
        <v>0.33044554455445541</v>
      </c>
      <c r="DB610" s="3065">
        <f t="shared" si="1468"/>
        <v>0.29053772405168821</v>
      </c>
      <c r="DC610" s="3064">
        <f t="shared" si="1468"/>
        <v>0.35839274141283206</v>
      </c>
      <c r="DD610" s="3064">
        <f t="shared" si="1468"/>
        <v>0.26104890984089568</v>
      </c>
      <c r="DE610" s="3064">
        <f t="shared" si="1468"/>
        <v>0.19629225736095957</v>
      </c>
      <c r="DF610" s="3064">
        <f t="shared" si="1468"/>
        <v>0.15286821705426346</v>
      </c>
      <c r="DG610" s="3065">
        <f t="shared" ref="DG610:DL610" si="1469">DG106</f>
        <v>0.23320413436692511</v>
      </c>
      <c r="DH610" s="3064">
        <f t="shared" si="1469"/>
        <v>9.0966921119592925E-2</v>
      </c>
      <c r="DI610" s="3064">
        <f t="shared" si="1469"/>
        <v>0.12741433021806858</v>
      </c>
      <c r="DJ610" s="3064">
        <f t="shared" si="1469"/>
        <v>0.13795199027651162</v>
      </c>
      <c r="DK610" s="3064">
        <f t="shared" si="1469"/>
        <v>0.14322216245293173</v>
      </c>
      <c r="DL610" s="3065">
        <f t="shared" si="1469"/>
        <v>0.1258325226371324</v>
      </c>
      <c r="DM610" s="3064"/>
      <c r="DN610" s="3064"/>
      <c r="DO610" s="3064"/>
      <c r="DP610" s="3064"/>
      <c r="DQ610" s="3065"/>
      <c r="DR610" s="3064"/>
      <c r="DS610" s="3064"/>
      <c r="DT610" s="3064"/>
      <c r="DU610" s="3064"/>
      <c r="DV610" s="3065"/>
      <c r="DW610" s="3064"/>
      <c r="DX610" s="3064"/>
      <c r="DY610" s="3064"/>
      <c r="DZ610" s="3064"/>
      <c r="EA610" s="3065"/>
      <c r="EB610" s="3064"/>
      <c r="EC610" s="3064"/>
      <c r="ED610" s="3064"/>
      <c r="EE610" s="3064"/>
      <c r="EF610" s="3065"/>
      <c r="EG610" s="3064"/>
      <c r="EH610" s="3064"/>
      <c r="EI610" s="3064"/>
      <c r="EJ610" s="3064"/>
      <c r="EK610" s="3065"/>
      <c r="EL610" s="3064"/>
      <c r="EM610" s="3064"/>
      <c r="EN610" s="3064"/>
      <c r="EO610" s="3064"/>
      <c r="EP610" s="3065"/>
      <c r="EQ610" s="3064"/>
      <c r="ER610" s="3064"/>
      <c r="ES610" s="3064"/>
      <c r="ET610" s="3064"/>
      <c r="EU610" s="3065"/>
      <c r="EV610" s="3065"/>
      <c r="EW610" s="3065"/>
      <c r="EX610" s="3065"/>
      <c r="EY610" s="3065"/>
      <c r="EZ610" s="205"/>
      <c r="FA610" s="725"/>
      <c r="FB610" s="725"/>
    </row>
    <row r="611" spans="1:158" s="1134" customFormat="1" ht="11.25" hidden="1" customHeight="1">
      <c r="A611" s="1543" t="s">
        <v>505</v>
      </c>
      <c r="B611" s="1113"/>
      <c r="C611" s="1114"/>
      <c r="D611" s="1114"/>
      <c r="E611" s="1114"/>
      <c r="F611" s="1115"/>
      <c r="G611" s="1113"/>
      <c r="H611" s="1114"/>
      <c r="I611" s="1114"/>
      <c r="J611" s="1114"/>
      <c r="K611" s="1997"/>
      <c r="L611" s="1114"/>
      <c r="M611" s="1114"/>
      <c r="N611" s="1114"/>
      <c r="O611" s="1114"/>
      <c r="P611" s="1116"/>
      <c r="Q611" s="1117"/>
      <c r="R611" s="1118"/>
      <c r="S611" s="1118"/>
      <c r="T611" s="1119"/>
      <c r="U611" s="1116"/>
      <c r="V611" s="1117"/>
      <c r="W611" s="1118"/>
      <c r="X611" s="1118"/>
      <c r="Y611" s="1119"/>
      <c r="Z611" s="1116"/>
      <c r="AA611" s="1117"/>
      <c r="AB611" s="1118"/>
      <c r="AC611" s="1118"/>
      <c r="AD611" s="1119"/>
      <c r="AE611" s="1116"/>
      <c r="AF611" s="1120"/>
      <c r="AG611" s="1121"/>
      <c r="AH611" s="1121"/>
      <c r="AI611" s="1121"/>
      <c r="AJ611" s="1116"/>
      <c r="AK611" s="1120"/>
      <c r="AL611" s="1121"/>
      <c r="AM611" s="1121"/>
      <c r="AN611" s="1121"/>
      <c r="AO611" s="1116"/>
      <c r="AP611" s="1120"/>
      <c r="AQ611" s="1121"/>
      <c r="AR611" s="1121"/>
      <c r="AS611" s="1121"/>
      <c r="AT611" s="1116"/>
      <c r="AU611" s="1121">
        <f t="shared" ref="AU611:DB611" si="1470">AU608/AU592</f>
        <v>0.29221872760022222</v>
      </c>
      <c r="AV611" s="1121">
        <f t="shared" si="1470"/>
        <v>0.28450886636385408</v>
      </c>
      <c r="AW611" s="1121">
        <f t="shared" si="1470"/>
        <v>0.2811097148165877</v>
      </c>
      <c r="AX611" s="1121">
        <f t="shared" si="1470"/>
        <v>0.27571591493705577</v>
      </c>
      <c r="AY611" s="1122">
        <f t="shared" si="1470"/>
        <v>0.28326066022051821</v>
      </c>
      <c r="AZ611" s="1121">
        <f t="shared" si="1470"/>
        <v>0.27711368770648342</v>
      </c>
      <c r="BA611" s="1121">
        <f t="shared" si="1470"/>
        <v>0.27861665467454427</v>
      </c>
      <c r="BB611" s="1121">
        <f t="shared" si="1470"/>
        <v>0.27264474612379158</v>
      </c>
      <c r="BC611" s="1121">
        <f t="shared" si="1470"/>
        <v>0.26649662638640914</v>
      </c>
      <c r="BD611" s="1122">
        <f t="shared" si="1470"/>
        <v>0.27329112427744601</v>
      </c>
      <c r="BE611" s="1121">
        <f t="shared" si="1470"/>
        <v>0.26463771341820119</v>
      </c>
      <c r="BF611" s="1121">
        <f t="shared" si="1470"/>
        <v>0.26703716529305377</v>
      </c>
      <c r="BG611" s="1121">
        <f t="shared" si="1470"/>
        <v>0.25985795022986291</v>
      </c>
      <c r="BH611" s="1121">
        <f t="shared" si="1470"/>
        <v>0.25408923248867354</v>
      </c>
      <c r="BI611" s="1122">
        <f t="shared" si="1470"/>
        <v>0.26094545575484257</v>
      </c>
      <c r="BJ611" s="1121">
        <f t="shared" si="1470"/>
        <v>0.24576604722196904</v>
      </c>
      <c r="BK611" s="1121">
        <f t="shared" si="1470"/>
        <v>0.24219085486713474</v>
      </c>
      <c r="BL611" s="1121">
        <f t="shared" si="1470"/>
        <v>0.23676779749856891</v>
      </c>
      <c r="BM611" s="1121">
        <f t="shared" si="1470"/>
        <v>0.2413800608124943</v>
      </c>
      <c r="BN611" s="1122">
        <f t="shared" si="1470"/>
        <v>0.24139056344769089</v>
      </c>
      <c r="BO611" s="1121" t="e">
        <f t="shared" si="1470"/>
        <v>#DIV/0!</v>
      </c>
      <c r="BP611" s="1121" t="e">
        <f t="shared" si="1470"/>
        <v>#DIV/0!</v>
      </c>
      <c r="BQ611" s="1121" t="e">
        <f t="shared" si="1470"/>
        <v>#DIV/0!</v>
      </c>
      <c r="BR611" s="1121" t="e">
        <f t="shared" si="1470"/>
        <v>#DIV/0!</v>
      </c>
      <c r="BS611" s="1965" t="e">
        <f t="shared" si="1470"/>
        <v>#DIV/0!</v>
      </c>
      <c r="BT611" s="1121">
        <f t="shared" si="1470"/>
        <v>0.24633297930795417</v>
      </c>
      <c r="BU611" s="1121">
        <f t="shared" si="1470"/>
        <v>0.24886948045754642</v>
      </c>
      <c r="BV611" s="1121">
        <f t="shared" si="1470"/>
        <v>0.25644390510962978</v>
      </c>
      <c r="BW611" s="1121">
        <f t="shared" si="1470"/>
        <v>0.25578470330328396</v>
      </c>
      <c r="BX611" s="1122">
        <f t="shared" si="1470"/>
        <v>0.25207003796498045</v>
      </c>
      <c r="BY611" s="1121" t="e">
        <f t="shared" si="1470"/>
        <v>#DIV/0!</v>
      </c>
      <c r="BZ611" s="1121" t="e">
        <f t="shared" si="1470"/>
        <v>#DIV/0!</v>
      </c>
      <c r="CA611" s="1121" t="e">
        <f t="shared" si="1470"/>
        <v>#DIV/0!</v>
      </c>
      <c r="CB611" s="1121" t="e">
        <f t="shared" si="1470"/>
        <v>#DIV/0!</v>
      </c>
      <c r="CC611" s="1965" t="e">
        <f t="shared" si="1470"/>
        <v>#DIV/0!</v>
      </c>
      <c r="CD611" s="1121">
        <f t="shared" si="1470"/>
        <v>0.24619732358074972</v>
      </c>
      <c r="CE611" s="1121">
        <f t="shared" si="1470"/>
        <v>0.24733212937120341</v>
      </c>
      <c r="CF611" s="1121">
        <f t="shared" si="1470"/>
        <v>0.23488500750810085</v>
      </c>
      <c r="CG611" s="1121">
        <f t="shared" si="1470"/>
        <v>0.23300014078558356</v>
      </c>
      <c r="CH611" s="1122">
        <f t="shared" si="1470"/>
        <v>0.23999451754385964</v>
      </c>
      <c r="CI611" s="1121">
        <f t="shared" si="1470"/>
        <v>0.2309066228477531</v>
      </c>
      <c r="CJ611" s="1121">
        <f t="shared" si="1470"/>
        <v>0.22713477721064976</v>
      </c>
      <c r="CK611" s="1121">
        <f t="shared" si="1470"/>
        <v>0.22591093117408906</v>
      </c>
      <c r="CL611" s="1121">
        <f t="shared" si="1470"/>
        <v>0.2219633331289472</v>
      </c>
      <c r="CM611" s="1122">
        <f t="shared" si="1470"/>
        <v>0.22630148933315444</v>
      </c>
      <c r="CN611" s="1121">
        <f t="shared" si="1470"/>
        <v>0.21569512509672428</v>
      </c>
      <c r="CO611" s="1121">
        <f t="shared" si="1470"/>
        <v>0.2107595331710666</v>
      </c>
      <c r="CP611" s="1121">
        <f t="shared" si="1470"/>
        <v>0.21250223467016269</v>
      </c>
      <c r="CQ611" s="1121">
        <f t="shared" si="1470"/>
        <v>0.21254848516615998</v>
      </c>
      <c r="CR611" s="1122">
        <f t="shared" si="1470"/>
        <v>0.21283573230449621</v>
      </c>
      <c r="CS611" s="1121">
        <f t="shared" si="1470"/>
        <v>0.21021087680355161</v>
      </c>
      <c r="CT611" s="1121">
        <f t="shared" si="1470"/>
        <v>0.20764770412161104</v>
      </c>
      <c r="CU611" s="1121">
        <f t="shared" si="1470"/>
        <v>0.21098834569396094</v>
      </c>
      <c r="CV611" s="1121">
        <f t="shared" si="1470"/>
        <v>0.21643823384972544</v>
      </c>
      <c r="CW611" s="1122">
        <f t="shared" si="1470"/>
        <v>0.21154403335726793</v>
      </c>
      <c r="CX611" s="1121">
        <f t="shared" si="1470"/>
        <v>0.21619728177105227</v>
      </c>
      <c r="CY611" s="1121">
        <f t="shared" si="1470"/>
        <v>0.22455010585744531</v>
      </c>
      <c r="CZ611" s="1121">
        <f t="shared" si="1470"/>
        <v>0.22863079160606689</v>
      </c>
      <c r="DA611" s="1121">
        <f t="shared" si="1470"/>
        <v>0.23689719763470085</v>
      </c>
      <c r="DB611" s="1122">
        <f t="shared" si="1470"/>
        <v>0.22722935779816514</v>
      </c>
      <c r="DC611" s="1121">
        <f t="shared" ref="DC611:DL611" si="1471">DC608/DC592</f>
        <v>0.23601831694317243</v>
      </c>
      <c r="DD611" s="1121">
        <f t="shared" si="1471"/>
        <v>0.22857549756114928</v>
      </c>
      <c r="DE611" s="1121">
        <f t="shared" si="1471"/>
        <v>0.22732610347447677</v>
      </c>
      <c r="DF611" s="1121">
        <f t="shared" si="1471"/>
        <v>0.22939759144556524</v>
      </c>
      <c r="DG611" s="1122">
        <f t="shared" si="1471"/>
        <v>0.23020140447416737</v>
      </c>
      <c r="DH611" s="1121">
        <f t="shared" si="1471"/>
        <v>0.22512702926649736</v>
      </c>
      <c r="DI611" s="1121">
        <f t="shared" si="1471"/>
        <v>0.22336826289576439</v>
      </c>
      <c r="DJ611" s="1121">
        <f t="shared" si="1471"/>
        <v>0.22227698709812704</v>
      </c>
      <c r="DK611" s="1121">
        <f t="shared" si="1471"/>
        <v>0.22454323422646791</v>
      </c>
      <c r="DL611" s="1122">
        <f t="shared" si="1471"/>
        <v>0.22382428390932804</v>
      </c>
      <c r="DM611" s="1121"/>
      <c r="DN611" s="1121"/>
      <c r="DO611" s="1121"/>
      <c r="DP611" s="1121"/>
      <c r="DQ611" s="1122"/>
      <c r="DR611" s="1121"/>
      <c r="DS611" s="1121"/>
      <c r="DT611" s="1121"/>
      <c r="DU611" s="1121"/>
      <c r="DV611" s="1122"/>
      <c r="DW611" s="1121"/>
      <c r="DX611" s="1121"/>
      <c r="DY611" s="1121"/>
      <c r="DZ611" s="1121"/>
      <c r="EA611" s="1122"/>
      <c r="EB611" s="1121"/>
      <c r="EC611" s="1121"/>
      <c r="ED611" s="1121"/>
      <c r="EE611" s="1121"/>
      <c r="EF611" s="1122"/>
      <c r="EG611" s="1121"/>
      <c r="EH611" s="1121"/>
      <c r="EI611" s="1121"/>
      <c r="EJ611" s="1121"/>
      <c r="EK611" s="1122"/>
      <c r="EL611" s="1121"/>
      <c r="EM611" s="1121"/>
      <c r="EN611" s="1121"/>
      <c r="EO611" s="1121"/>
      <c r="EP611" s="1122"/>
      <c r="EQ611" s="1121"/>
      <c r="ER611" s="1121"/>
      <c r="ES611" s="1121"/>
      <c r="ET611" s="1121"/>
      <c r="EU611" s="1122"/>
      <c r="EV611" s="1122"/>
      <c r="EW611" s="1122"/>
      <c r="EX611" s="1122"/>
      <c r="EY611" s="1122"/>
      <c r="EZ611" s="1133"/>
      <c r="FA611" s="4273"/>
      <c r="FB611" s="4273"/>
    </row>
    <row r="612" spans="1:158" s="1134" customFormat="1" ht="11.25" hidden="1" customHeight="1">
      <c r="A612" s="1543" t="s">
        <v>507</v>
      </c>
      <c r="B612" s="1123"/>
      <c r="C612" s="1124"/>
      <c r="D612" s="1124"/>
      <c r="E612" s="1124"/>
      <c r="F612" s="1125"/>
      <c r="G612" s="1123"/>
      <c r="H612" s="1124"/>
      <c r="I612" s="1124"/>
      <c r="J612" s="1124"/>
      <c r="K612" s="1998"/>
      <c r="L612" s="1124"/>
      <c r="M612" s="1124"/>
      <c r="N612" s="1124"/>
      <c r="O612" s="1124"/>
      <c r="P612" s="1126"/>
      <c r="Q612" s="1127"/>
      <c r="R612" s="1128"/>
      <c r="S612" s="1128"/>
      <c r="T612" s="1129"/>
      <c r="U612" s="1126"/>
      <c r="V612" s="1127"/>
      <c r="W612" s="1128"/>
      <c r="X612" s="1128"/>
      <c r="Y612" s="1128"/>
      <c r="Z612" s="1126"/>
      <c r="AA612" s="1127"/>
      <c r="AB612" s="1128"/>
      <c r="AC612" s="1128"/>
      <c r="AD612" s="1128"/>
      <c r="AE612" s="1126"/>
      <c r="AF612" s="1130"/>
      <c r="AG612" s="1131"/>
      <c r="AH612" s="1131"/>
      <c r="AI612" s="1131"/>
      <c r="AJ612" s="1126"/>
      <c r="AK612" s="1130"/>
      <c r="AL612" s="1131"/>
      <c r="AM612" s="1131"/>
      <c r="AN612" s="1131"/>
      <c r="AO612" s="1126"/>
      <c r="AP612" s="1130"/>
      <c r="AQ612" s="1131"/>
      <c r="AR612" s="1131"/>
      <c r="AS612" s="1131"/>
      <c r="AT612" s="1126"/>
      <c r="AU612" s="1130">
        <f t="shared" ref="AU612:DB612" si="1472">AU611*AU591</f>
        <v>1428.4883041872195</v>
      </c>
      <c r="AV612" s="1131">
        <f t="shared" si="1472"/>
        <v>1405.4817540614185</v>
      </c>
      <c r="AW612" s="1131">
        <f t="shared" si="1472"/>
        <v>1449.5938888529561</v>
      </c>
      <c r="AX612" s="1131">
        <f t="shared" si="1472"/>
        <v>1554.1966677568792</v>
      </c>
      <c r="AY612" s="1132">
        <f t="shared" si="1472"/>
        <v>5841.4247253507119</v>
      </c>
      <c r="AZ612" s="1130">
        <f t="shared" si="1472"/>
        <v>1550.9979067001059</v>
      </c>
      <c r="BA612" s="1131">
        <f t="shared" si="1472"/>
        <v>1587.1437237157886</v>
      </c>
      <c r="BB612" s="1131">
        <f t="shared" si="1472"/>
        <v>1637.6275874240646</v>
      </c>
      <c r="BC612" s="1131">
        <f t="shared" si="1472"/>
        <v>1670.2855632948661</v>
      </c>
      <c r="BD612" s="1132">
        <f t="shared" si="1472"/>
        <v>6440.7904490689143</v>
      </c>
      <c r="BE612" s="1130">
        <f t="shared" si="1472"/>
        <v>1649.7934959349593</v>
      </c>
      <c r="BF612" s="1131">
        <f t="shared" si="1472"/>
        <v>1725.8335558522474</v>
      </c>
      <c r="BG612" s="1131">
        <f t="shared" si="1472"/>
        <v>1847.3850215367515</v>
      </c>
      <c r="BH612" s="1131">
        <f t="shared" si="1472"/>
        <v>2101.4549019607844</v>
      </c>
      <c r="BI612" s="1132">
        <f t="shared" si="1472"/>
        <v>7326.5147351415235</v>
      </c>
      <c r="BJ612" s="1130">
        <f t="shared" si="1472"/>
        <v>2032.5247050578205</v>
      </c>
      <c r="BK612" s="1131">
        <f t="shared" si="1472"/>
        <v>2012.4750609620928</v>
      </c>
      <c r="BL612" s="1131">
        <f t="shared" si="1472"/>
        <v>2100.1707994649655</v>
      </c>
      <c r="BM612" s="1131">
        <f t="shared" si="1472"/>
        <v>2440.9508476181459</v>
      </c>
      <c r="BN612" s="1132">
        <f t="shared" si="1472"/>
        <v>8584.3964012745582</v>
      </c>
      <c r="BO612" s="1131" t="e">
        <f t="shared" si="1472"/>
        <v>#DIV/0!</v>
      </c>
      <c r="BP612" s="1131" t="e">
        <f t="shared" si="1472"/>
        <v>#DIV/0!</v>
      </c>
      <c r="BQ612" s="1131" t="e">
        <f t="shared" si="1472"/>
        <v>#DIV/0!</v>
      </c>
      <c r="BR612" s="1131" t="e">
        <f t="shared" si="1472"/>
        <v>#DIV/0!</v>
      </c>
      <c r="BS612" s="1966" t="e">
        <f t="shared" si="1472"/>
        <v>#DIV/0!</v>
      </c>
      <c r="BT612" s="1130">
        <f t="shared" si="1472"/>
        <v>2525.8531297134241</v>
      </c>
      <c r="BU612" s="1131">
        <f t="shared" si="1472"/>
        <v>2683.6166498208213</v>
      </c>
      <c r="BV612" s="1131">
        <f t="shared" si="1472"/>
        <v>2904.5856594556876</v>
      </c>
      <c r="BW612" s="1131">
        <f t="shared" si="1472"/>
        <v>3126.1952129313022</v>
      </c>
      <c r="BX612" s="1132">
        <f t="shared" si="1472"/>
        <v>11239.224439906762</v>
      </c>
      <c r="BY612" s="1131" t="e">
        <f t="shared" si="1472"/>
        <v>#DIV/0!</v>
      </c>
      <c r="BZ612" s="1131" t="e">
        <f t="shared" si="1472"/>
        <v>#DIV/0!</v>
      </c>
      <c r="CA612" s="1131" t="e">
        <f t="shared" si="1472"/>
        <v>#DIV/0!</v>
      </c>
      <c r="CB612" s="1131" t="e">
        <f t="shared" si="1472"/>
        <v>#DIV/0!</v>
      </c>
      <c r="CC612" s="1966" t="e">
        <f t="shared" si="1472"/>
        <v>#DIV/0!</v>
      </c>
      <c r="CD612" s="1130">
        <f t="shared" si="1472"/>
        <v>2962</v>
      </c>
      <c r="CE612" s="1131">
        <f t="shared" si="1472"/>
        <v>3013</v>
      </c>
      <c r="CF612" s="1131">
        <f t="shared" si="1472"/>
        <v>2972</v>
      </c>
      <c r="CG612" s="1131">
        <f t="shared" si="1472"/>
        <v>3310</v>
      </c>
      <c r="CH612" s="1132">
        <f t="shared" si="1472"/>
        <v>12257</v>
      </c>
      <c r="CI612" s="1130">
        <f t="shared" si="1472"/>
        <v>3232</v>
      </c>
      <c r="CJ612" s="1131">
        <f t="shared" si="1472"/>
        <v>3293</v>
      </c>
      <c r="CK612" s="1131">
        <f t="shared" si="1472"/>
        <v>3348</v>
      </c>
      <c r="CL612" s="1131">
        <f t="shared" si="1472"/>
        <v>3620</v>
      </c>
      <c r="CM612" s="1132">
        <f t="shared" si="1472"/>
        <v>13493</v>
      </c>
      <c r="CN612" s="1130">
        <f t="shared" si="1472"/>
        <v>3345</v>
      </c>
      <c r="CO612" s="1131">
        <f t="shared" si="1472"/>
        <v>3377</v>
      </c>
      <c r="CP612" s="1131">
        <f t="shared" si="1472"/>
        <v>3566</v>
      </c>
      <c r="CQ612" s="1131">
        <f t="shared" si="1472"/>
        <v>4055</v>
      </c>
      <c r="CR612" s="1132">
        <f t="shared" si="1472"/>
        <v>14343</v>
      </c>
      <c r="CS612" s="1130">
        <f t="shared" si="1472"/>
        <v>3788</v>
      </c>
      <c r="CT612" s="1131">
        <f t="shared" si="1472"/>
        <v>3975</v>
      </c>
      <c r="CU612" s="1131">
        <f t="shared" si="1472"/>
        <v>4182</v>
      </c>
      <c r="CV612" s="1131">
        <f t="shared" si="1472"/>
        <v>4848</v>
      </c>
      <c r="CW612" s="1132">
        <f t="shared" si="1472"/>
        <v>16793</v>
      </c>
      <c r="CX612" s="1130">
        <f t="shared" si="1472"/>
        <v>4629</v>
      </c>
      <c r="CY612" s="1131">
        <f t="shared" si="1472"/>
        <v>5091</v>
      </c>
      <c r="CZ612" s="1131">
        <f t="shared" si="1472"/>
        <v>5502</v>
      </c>
      <c r="DA612" s="1131">
        <f t="shared" si="1472"/>
        <v>6450</v>
      </c>
      <c r="DB612" s="1132">
        <f t="shared" si="1472"/>
        <v>21672</v>
      </c>
      <c r="DC612" s="1130">
        <f t="shared" ref="DC612:DL612" si="1473">DC611*DC591</f>
        <v>6288</v>
      </c>
      <c r="DD612" s="1131">
        <f t="shared" si="1473"/>
        <v>6420</v>
      </c>
      <c r="DE612" s="1131">
        <f t="shared" si="1473"/>
        <v>6582</v>
      </c>
      <c r="DF612" s="1131">
        <f t="shared" si="1473"/>
        <v>7573.5067429505525</v>
      </c>
      <c r="DG612" s="1132">
        <f t="shared" si="1473"/>
        <v>26863.988568896537</v>
      </c>
      <c r="DH612" s="1130">
        <f t="shared" si="1473"/>
        <v>7078.4846141097178</v>
      </c>
      <c r="DI612" s="1131">
        <f t="shared" si="1473"/>
        <v>7464.8165104542186</v>
      </c>
      <c r="DJ612" s="1131">
        <f t="shared" si="1473"/>
        <v>7589.9779593858348</v>
      </c>
      <c r="DK612" s="1131">
        <f t="shared" si="1473"/>
        <v>8578.0902270354909</v>
      </c>
      <c r="DL612" s="1132">
        <f t="shared" si="1473"/>
        <v>30711.017192634936</v>
      </c>
      <c r="DM612" s="1130"/>
      <c r="DN612" s="1131"/>
      <c r="DO612" s="1131"/>
      <c r="DP612" s="1131"/>
      <c r="DQ612" s="1132"/>
      <c r="DR612" s="1131"/>
      <c r="DS612" s="1131"/>
      <c r="DT612" s="1131"/>
      <c r="DU612" s="1131"/>
      <c r="DV612" s="1132"/>
      <c r="DW612" s="1131"/>
      <c r="DX612" s="1131"/>
      <c r="DY612" s="1131"/>
      <c r="DZ612" s="1131"/>
      <c r="EA612" s="1132"/>
      <c r="EB612" s="1131"/>
      <c r="EC612" s="1131"/>
      <c r="ED612" s="1131"/>
      <c r="EE612" s="1131"/>
      <c r="EF612" s="1132"/>
      <c r="EG612" s="1131"/>
      <c r="EH612" s="1131"/>
      <c r="EI612" s="1131"/>
      <c r="EJ612" s="1131"/>
      <c r="EK612" s="1132"/>
      <c r="EL612" s="1131"/>
      <c r="EM612" s="1131"/>
      <c r="EN612" s="1131"/>
      <c r="EO612" s="1131"/>
      <c r="EP612" s="1132"/>
      <c r="EQ612" s="1131"/>
      <c r="ER612" s="1131"/>
      <c r="ES612" s="1131"/>
      <c r="ET612" s="1131"/>
      <c r="EU612" s="1132"/>
      <c r="EV612" s="1132"/>
      <c r="EW612" s="1132"/>
      <c r="EX612" s="1132"/>
      <c r="EY612" s="1132"/>
      <c r="EZ612" s="1133"/>
      <c r="FA612" s="4273"/>
      <c r="FB612" s="4273"/>
    </row>
    <row r="613" spans="1:158" s="1105" customFormat="1" ht="11.25" hidden="1" customHeight="1" collapsed="1">
      <c r="A613" s="1544" t="s">
        <v>508</v>
      </c>
      <c r="B613" s="1155"/>
      <c r="C613" s="1156"/>
      <c r="D613" s="1156"/>
      <c r="E613" s="1156"/>
      <c r="F613" s="1157"/>
      <c r="G613" s="1155"/>
      <c r="H613" s="1156"/>
      <c r="I613" s="1156"/>
      <c r="J613" s="1156"/>
      <c r="K613" s="1999"/>
      <c r="L613" s="1156"/>
      <c r="M613" s="1156"/>
      <c r="N613" s="1156"/>
      <c r="O613" s="1156"/>
      <c r="P613" s="1158"/>
      <c r="Q613" s="1159"/>
      <c r="R613" s="1160"/>
      <c r="S613" s="1160"/>
      <c r="T613" s="1161"/>
      <c r="U613" s="1158"/>
      <c r="V613" s="1159"/>
      <c r="W613" s="1160"/>
      <c r="X613" s="1160"/>
      <c r="Y613" s="1161"/>
      <c r="Z613" s="1158"/>
      <c r="AA613" s="1159"/>
      <c r="AB613" s="1160"/>
      <c r="AC613" s="1160"/>
      <c r="AD613" s="1161"/>
      <c r="AE613" s="1158"/>
      <c r="AF613" s="1162"/>
      <c r="AG613" s="1135"/>
      <c r="AH613" s="1135"/>
      <c r="AI613" s="1135"/>
      <c r="AJ613" s="1158"/>
      <c r="AK613" s="1162"/>
      <c r="AL613" s="1135"/>
      <c r="AM613" s="1135"/>
      <c r="AN613" s="1135"/>
      <c r="AO613" s="1158"/>
      <c r="AP613" s="1162"/>
      <c r="AQ613" s="1135"/>
      <c r="AR613" s="1135"/>
      <c r="AS613" s="1135"/>
      <c r="AT613" s="1158"/>
      <c r="AU613" s="1135"/>
      <c r="AV613" s="1135"/>
      <c r="AW613" s="1135"/>
      <c r="AX613" s="1135"/>
      <c r="AY613" s="1136"/>
      <c r="AZ613" s="1135">
        <f t="shared" ref="AZ613:BN613" si="1474">AZ612/AU608-1</f>
        <v>4.3470534330365407E-2</v>
      </c>
      <c r="BA613" s="1135">
        <f t="shared" si="1474"/>
        <v>7.6774259973533265E-2</v>
      </c>
      <c r="BB613" s="1135">
        <f t="shared" si="1474"/>
        <v>9.5252150823408099E-2</v>
      </c>
      <c r="BC613" s="1135">
        <f t="shared" si="1474"/>
        <v>0.12599826834548744</v>
      </c>
      <c r="BD613" s="1136">
        <f t="shared" si="1474"/>
        <v>8.4499495713875827E-2</v>
      </c>
      <c r="BE613" s="1135">
        <f t="shared" si="1474"/>
        <v>0.14891326773375257</v>
      </c>
      <c r="BF613" s="1135">
        <f t="shared" si="1474"/>
        <v>0.18748326687940264</v>
      </c>
      <c r="BG613" s="1135">
        <f t="shared" si="1474"/>
        <v>0.18481661395005666</v>
      </c>
      <c r="BH613" s="1135">
        <f t="shared" si="1474"/>
        <v>0.22114707305468495</v>
      </c>
      <c r="BI613" s="1136">
        <f t="shared" si="1474"/>
        <v>0.18755709390565101</v>
      </c>
      <c r="BJ613" s="1135">
        <f t="shared" si="1474"/>
        <v>0.18791625076436036</v>
      </c>
      <c r="BK613" s="1135">
        <f t="shared" si="1474"/>
        <v>0.16193710217210899</v>
      </c>
      <c r="BL613" s="1135">
        <f t="shared" si="1474"/>
        <v>0.16352952878945448</v>
      </c>
      <c r="BM613" s="1135">
        <f t="shared" si="1474"/>
        <v>0.17977324679465734</v>
      </c>
      <c r="BN613" s="1136">
        <f t="shared" si="1474"/>
        <v>0.17321257363325926</v>
      </c>
      <c r="BO613" s="1135"/>
      <c r="BP613" s="1135"/>
      <c r="BQ613" s="1135"/>
      <c r="BR613" s="1135"/>
      <c r="BS613" s="1967"/>
      <c r="BT613" s="1135">
        <f>BT612/BJ608-1</f>
        <v>0.23937837571806875</v>
      </c>
      <c r="BU613" s="1135">
        <f>BU612/BK608-1</f>
        <v>0.27185623214256927</v>
      </c>
      <c r="BV613" s="1135">
        <f>BV612/BL608-1</f>
        <v>0.31429215359985863</v>
      </c>
      <c r="BW613" s="1135">
        <f>BW612/BM608-1</f>
        <v>0.27599804609440914</v>
      </c>
      <c r="BX613" s="1136">
        <f>BX612/BN608-1</f>
        <v>0.27602457310476414</v>
      </c>
      <c r="BY613" s="1135"/>
      <c r="BZ613" s="1135"/>
      <c r="CA613" s="1135"/>
      <c r="CB613" s="1135"/>
      <c r="CC613" s="1967"/>
      <c r="CD613" s="1135">
        <f>CD612/BT608-1</f>
        <v>0.18007968127490037</v>
      </c>
      <c r="CE613" s="1135">
        <f>CE612/BU608-1</f>
        <v>0.15884615384615386</v>
      </c>
      <c r="CF613" s="1135">
        <f>CF612/BV608-1</f>
        <v>7.2924187725631695E-2</v>
      </c>
      <c r="CG613" s="1135">
        <f>CG612/BW608-1</f>
        <v>7.4675324675324672E-2</v>
      </c>
      <c r="CH613" s="1136">
        <f>CH612/BX608-1</f>
        <v>0.11833941605839415</v>
      </c>
      <c r="CI613" s="1135">
        <f t="shared" ref="CI613:DL613" si="1475">CI612/CD608-1</f>
        <v>9.1154625253207389E-2</v>
      </c>
      <c r="CJ613" s="1135">
        <f t="shared" si="1475"/>
        <v>9.2930633919681371E-2</v>
      </c>
      <c r="CK613" s="1135">
        <f t="shared" si="1475"/>
        <v>0.12651413189771188</v>
      </c>
      <c r="CL613" s="1135">
        <f t="shared" si="1475"/>
        <v>9.3655589123867067E-2</v>
      </c>
      <c r="CM613" s="1136">
        <f t="shared" si="1475"/>
        <v>0.10084033613445387</v>
      </c>
      <c r="CN613" s="1135">
        <f t="shared" si="1475"/>
        <v>3.4962871287128605E-2</v>
      </c>
      <c r="CO613" s="1135">
        <f t="shared" si="1475"/>
        <v>2.5508654722137925E-2</v>
      </c>
      <c r="CP613" s="1135">
        <f t="shared" si="1475"/>
        <v>6.5113500597371532E-2</v>
      </c>
      <c r="CQ613" s="1135">
        <f t="shared" si="1475"/>
        <v>0.12016574585635365</v>
      </c>
      <c r="CR613" s="1136">
        <f t="shared" si="1475"/>
        <v>6.2995627362335993E-2</v>
      </c>
      <c r="CS613" s="1135">
        <f t="shared" si="1475"/>
        <v>0.13243647234678635</v>
      </c>
      <c r="CT613" s="1135">
        <f t="shared" si="1475"/>
        <v>0.17708024874148642</v>
      </c>
      <c r="CU613" s="1135">
        <f t="shared" si="1475"/>
        <v>0.17274256870443083</v>
      </c>
      <c r="CV613" s="1135">
        <f t="shared" si="1475"/>
        <v>0.19556103575832307</v>
      </c>
      <c r="CW613" s="1136">
        <f t="shared" si="1475"/>
        <v>0.17081503172279167</v>
      </c>
      <c r="CX613" s="1135">
        <f t="shared" si="1475"/>
        <v>0.22201689545934533</v>
      </c>
      <c r="CY613" s="1135">
        <f t="shared" si="1475"/>
        <v>0.28075471698113197</v>
      </c>
      <c r="CZ613" s="1135">
        <f t="shared" si="1475"/>
        <v>0.31563845050215211</v>
      </c>
      <c r="DA613" s="1135">
        <f t="shared" si="1475"/>
        <v>0.33044554455445541</v>
      </c>
      <c r="DB613" s="1136">
        <f t="shared" si="1475"/>
        <v>0.29053772405168821</v>
      </c>
      <c r="DC613" s="2660">
        <f t="shared" si="1475"/>
        <v>0.35839274141283206</v>
      </c>
      <c r="DD613" s="2660">
        <f t="shared" si="1475"/>
        <v>0.26104890984089568</v>
      </c>
      <c r="DE613" s="2660">
        <f t="shared" si="1475"/>
        <v>0.19629225736095957</v>
      </c>
      <c r="DF613" s="2660">
        <f t="shared" si="1475"/>
        <v>0.17418709193031812</v>
      </c>
      <c r="DG613" s="2597">
        <f t="shared" si="1475"/>
        <v>0.23957127025177827</v>
      </c>
      <c r="DH613" s="2660">
        <f t="shared" si="1475"/>
        <v>0.1257132019894589</v>
      </c>
      <c r="DI613" s="2660">
        <f t="shared" si="1475"/>
        <v>0.1627440047436477</v>
      </c>
      <c r="DJ613" s="2660">
        <f t="shared" si="1475"/>
        <v>0.15314159212789957</v>
      </c>
      <c r="DK613" s="2660">
        <f t="shared" si="1475"/>
        <v>0.15358932585200247</v>
      </c>
      <c r="DL613" s="2597">
        <f t="shared" si="1475"/>
        <v>0.14910638302158707</v>
      </c>
      <c r="DM613" s="2660"/>
      <c r="DN613" s="2660"/>
      <c r="DO613" s="2660"/>
      <c r="DP613" s="2660"/>
      <c r="DQ613" s="2597"/>
      <c r="DR613" s="2660"/>
      <c r="DS613" s="2660"/>
      <c r="DT613" s="2660"/>
      <c r="DU613" s="2660"/>
      <c r="DV613" s="2597"/>
      <c r="DW613" s="2660"/>
      <c r="DX613" s="2660"/>
      <c r="DY613" s="2660"/>
      <c r="DZ613" s="2660"/>
      <c r="EA613" s="2597"/>
      <c r="EB613" s="2660"/>
      <c r="EC613" s="2660"/>
      <c r="ED613" s="2660"/>
      <c r="EE613" s="2660"/>
      <c r="EF613" s="2597"/>
      <c r="EG613" s="2660"/>
      <c r="EH613" s="2660"/>
      <c r="EI613" s="2660"/>
      <c r="EJ613" s="2660"/>
      <c r="EK613" s="2597"/>
      <c r="EL613" s="2660"/>
      <c r="EM613" s="2660"/>
      <c r="EN613" s="2660"/>
      <c r="EO613" s="2660"/>
      <c r="EP613" s="2597"/>
      <c r="EQ613" s="2660"/>
      <c r="ER613" s="2660"/>
      <c r="ES613" s="2660"/>
      <c r="ET613" s="2660"/>
      <c r="EU613" s="2597"/>
      <c r="EV613" s="2597"/>
      <c r="EW613" s="2597"/>
      <c r="EX613" s="2597"/>
      <c r="EY613" s="2597"/>
      <c r="EZ613" s="185"/>
      <c r="FA613" s="1104"/>
      <c r="FB613" s="1104"/>
    </row>
    <row r="614" spans="1:158" s="211" customFormat="1" ht="11.25" hidden="1" customHeight="1">
      <c r="A614" s="2067"/>
      <c r="B614" s="2248"/>
      <c r="C614" s="183"/>
      <c r="D614" s="183"/>
      <c r="E614" s="183"/>
      <c r="F614" s="269"/>
      <c r="G614" s="183"/>
      <c r="H614" s="183"/>
      <c r="I614" s="183"/>
      <c r="J614" s="183"/>
      <c r="K614" s="1028"/>
      <c r="P614" s="1028"/>
      <c r="U614" s="1028"/>
      <c r="Z614" s="1028"/>
      <c r="AE614" s="1028"/>
      <c r="AJ614" s="1028"/>
      <c r="AO614" s="1028"/>
      <c r="AT614" s="1028"/>
      <c r="AU614" s="2381"/>
      <c r="AY614" s="2380"/>
      <c r="AZ614" s="2381"/>
      <c r="BC614" s="344"/>
      <c r="BD614" s="2380"/>
      <c r="BE614" s="2381"/>
      <c r="BI614" s="2380"/>
      <c r="BJ614" s="2381"/>
      <c r="BN614" s="2380"/>
      <c r="BS614" s="2380"/>
      <c r="BX614" s="2380"/>
      <c r="CC614" s="2380"/>
      <c r="CH614" s="2380"/>
      <c r="CM614" s="2380"/>
      <c r="CR614" s="2380"/>
      <c r="CW614" s="2380"/>
      <c r="DB614" s="2380"/>
      <c r="DG614" s="2380"/>
      <c r="DL614" s="2380"/>
      <c r="DQ614" s="2380"/>
      <c r="DV614" s="2380"/>
      <c r="EA614" s="2380"/>
      <c r="EF614" s="2380"/>
      <c r="EK614" s="2380"/>
      <c r="EP614" s="2380"/>
      <c r="EU614" s="2380"/>
      <c r="EV614" s="2380"/>
      <c r="EW614" s="2380"/>
      <c r="EX614" s="2380"/>
      <c r="EY614" s="2380"/>
      <c r="FA614" s="725"/>
      <c r="FB614" s="725"/>
    </row>
    <row r="615" spans="1:158" s="211" customFormat="1" ht="11.25" hidden="1" customHeight="1">
      <c r="A615" s="2349" t="s">
        <v>659</v>
      </c>
      <c r="B615" s="2370"/>
      <c r="C615" s="2371"/>
      <c r="D615" s="2371"/>
      <c r="E615" s="2371"/>
      <c r="F615" s="2372"/>
      <c r="G615" s="2370"/>
      <c r="H615" s="2371"/>
      <c r="I615" s="2371"/>
      <c r="J615" s="2371"/>
      <c r="K615" s="2373"/>
      <c r="L615" s="2374"/>
      <c r="M615" s="2374"/>
      <c r="N615" s="2374"/>
      <c r="O615" s="2374"/>
      <c r="P615" s="2373"/>
      <c r="Q615" s="2375"/>
      <c r="R615" s="2374"/>
      <c r="S615" s="2374"/>
      <c r="T615" s="2374"/>
      <c r="U615" s="2373"/>
      <c r="V615" s="2375"/>
      <c r="W615" s="2374"/>
      <c r="X615" s="2374"/>
      <c r="Y615" s="2374"/>
      <c r="Z615" s="2373"/>
      <c r="AA615" s="2375"/>
      <c r="AB615" s="2374"/>
      <c r="AC615" s="2374"/>
      <c r="AD615" s="2374"/>
      <c r="AE615" s="2373"/>
      <c r="AF615" s="2375"/>
      <c r="AG615" s="2374"/>
      <c r="AH615" s="2374"/>
      <c r="AI615" s="2374"/>
      <c r="AJ615" s="2373"/>
      <c r="AK615" s="2375"/>
      <c r="AL615" s="2374"/>
      <c r="AM615" s="2374"/>
      <c r="AN615" s="2374"/>
      <c r="AO615" s="2373"/>
      <c r="AP615" s="2375"/>
      <c r="AQ615" s="2374"/>
      <c r="AR615" s="2374"/>
      <c r="AS615" s="2374"/>
      <c r="AT615" s="2373"/>
      <c r="AU615" s="2375"/>
      <c r="AV615" s="2374"/>
      <c r="AW615" s="2374"/>
      <c r="AX615" s="2374"/>
      <c r="AY615" s="2373"/>
      <c r="AZ615" s="2375"/>
      <c r="BA615" s="2374"/>
      <c r="BB615" s="2374"/>
      <c r="BC615" s="2374"/>
      <c r="BD615" s="2373"/>
      <c r="BE615" s="2375"/>
      <c r="BF615" s="2374"/>
      <c r="BG615" s="2374"/>
      <c r="BH615" s="2374"/>
      <c r="BI615" s="2373"/>
      <c r="BJ615" s="2375"/>
      <c r="BK615" s="2374"/>
      <c r="BL615" s="2374"/>
      <c r="BM615" s="2374"/>
      <c r="BN615" s="2373"/>
      <c r="BO615" s="2374"/>
      <c r="BP615" s="2374"/>
      <c r="BQ615" s="2374"/>
      <c r="BR615" s="2374"/>
      <c r="BS615" s="2376"/>
      <c r="BT615" s="2374"/>
      <c r="BU615" s="2374"/>
      <c r="BV615" s="2374"/>
      <c r="BW615" s="2374"/>
      <c r="BX615" s="2376"/>
      <c r="BY615" s="2374"/>
      <c r="BZ615" s="2374"/>
      <c r="CA615" s="2374"/>
      <c r="CB615" s="2374"/>
      <c r="CC615" s="2376"/>
      <c r="CD615" s="2374"/>
      <c r="CE615" s="2374"/>
      <c r="CF615" s="2374"/>
      <c r="CG615" s="2374"/>
      <c r="CH615" s="2376"/>
      <c r="CI615" s="2377"/>
      <c r="CJ615" s="2374"/>
      <c r="CK615" s="2374"/>
      <c r="CL615" s="2374"/>
      <c r="CM615" s="2376"/>
      <c r="CN615" s="2374"/>
      <c r="CO615" s="2374"/>
      <c r="CP615" s="2374"/>
      <c r="CQ615" s="2374"/>
      <c r="CR615" s="2378"/>
      <c r="CS615" s="2379"/>
      <c r="CT615" s="2379"/>
      <c r="CU615" s="2379"/>
      <c r="CV615" s="2379"/>
      <c r="CW615" s="2378"/>
      <c r="CX615" s="2379"/>
      <c r="CY615" s="2379"/>
      <c r="CZ615" s="2379"/>
      <c r="DA615" s="2379"/>
      <c r="DB615" s="2378"/>
      <c r="DC615" s="2379"/>
      <c r="DD615" s="2379"/>
      <c r="DE615" s="2379"/>
      <c r="DF615" s="2379"/>
      <c r="DG615" s="2378"/>
      <c r="DH615" s="2379"/>
      <c r="DI615" s="2379"/>
      <c r="DJ615" s="2379"/>
      <c r="DK615" s="2379"/>
      <c r="DL615" s="2378"/>
      <c r="DM615" s="2379"/>
      <c r="DN615" s="2379"/>
      <c r="DO615" s="2379"/>
      <c r="DP615" s="2379"/>
      <c r="DQ615" s="2378"/>
      <c r="DR615" s="2379"/>
      <c r="DS615" s="2379"/>
      <c r="DT615" s="2379"/>
      <c r="DU615" s="2379"/>
      <c r="DV615" s="2378"/>
      <c r="DW615" s="2379"/>
      <c r="DX615" s="2379"/>
      <c r="DY615" s="2379"/>
      <c r="DZ615" s="2379"/>
      <c r="EA615" s="2378"/>
      <c r="EB615" s="2379"/>
      <c r="EC615" s="2379"/>
      <c r="ED615" s="2379"/>
      <c r="EE615" s="2379"/>
      <c r="EF615" s="2378"/>
      <c r="EG615" s="2379"/>
      <c r="EH615" s="2379"/>
      <c r="EI615" s="2379"/>
      <c r="EJ615" s="2379"/>
      <c r="EK615" s="2378"/>
      <c r="EL615" s="2379"/>
      <c r="EM615" s="2379"/>
      <c r="EN615" s="2379"/>
      <c r="EO615" s="2379"/>
      <c r="EP615" s="2378"/>
      <c r="EQ615" s="2379"/>
      <c r="ER615" s="2379"/>
      <c r="ES615" s="2379"/>
      <c r="ET615" s="2379"/>
      <c r="EU615" s="2378"/>
      <c r="EV615" s="2378"/>
      <c r="EW615" s="2378"/>
      <c r="EX615" s="2378"/>
      <c r="EY615" s="2378"/>
      <c r="EZ615" s="209"/>
      <c r="FA615" s="725"/>
      <c r="FB615" s="725"/>
    </row>
    <row r="616" spans="1:158" s="180" customFormat="1" ht="11.25" hidden="1" customHeight="1">
      <c r="A616" s="2343" t="str">
        <f>A115</f>
        <v xml:space="preserve">Google Properties - Net Revenues </v>
      </c>
      <c r="B616" s="2335"/>
      <c r="C616" s="2336"/>
      <c r="D616" s="2336"/>
      <c r="E616" s="2333"/>
      <c r="F616" s="2344"/>
      <c r="G616" s="2335"/>
      <c r="H616" s="2336"/>
      <c r="I616" s="2336"/>
      <c r="J616" s="2336"/>
      <c r="K616" s="2345"/>
      <c r="L616" s="2336"/>
      <c r="M616" s="2336"/>
      <c r="N616" s="2336"/>
      <c r="O616" s="2336"/>
      <c r="P616" s="2345"/>
      <c r="Q616" s="2335"/>
      <c r="R616" s="2336"/>
      <c r="S616" s="2336"/>
      <c r="T616" s="2336"/>
      <c r="U616" s="2345"/>
      <c r="V616" s="2335"/>
      <c r="W616" s="2336"/>
      <c r="X616" s="2336"/>
      <c r="Y616" s="2336"/>
      <c r="Z616" s="2345"/>
      <c r="AA616" s="2335"/>
      <c r="AB616" s="2336"/>
      <c r="AC616" s="2336"/>
      <c r="AD616" s="2336"/>
      <c r="AE616" s="2345"/>
      <c r="AF616" s="2335"/>
      <c r="AG616" s="2336"/>
      <c r="AH616" s="2336"/>
      <c r="AI616" s="2336"/>
      <c r="AJ616" s="2345"/>
      <c r="AK616" s="2335"/>
      <c r="AL616" s="2336"/>
      <c r="AM616" s="2336"/>
      <c r="AN616" s="2336"/>
      <c r="AO616" s="2345"/>
      <c r="AP616" s="2335"/>
      <c r="AQ616" s="2336"/>
      <c r="AR616" s="2336"/>
      <c r="AS616" s="2336"/>
      <c r="AT616" s="2345"/>
      <c r="AU616" s="2335">
        <f t="shared" ref="AU616:BZ616" si="1476">AU115</f>
        <v>3257.2950000000001</v>
      </c>
      <c r="AV616" s="2336">
        <f t="shared" si="1476"/>
        <v>3375.7049999999999</v>
      </c>
      <c r="AW616" s="2336">
        <f t="shared" si="1476"/>
        <v>3505.3109999999997</v>
      </c>
      <c r="AX616" s="2336">
        <f t="shared" si="1476"/>
        <v>3621.0660000000003</v>
      </c>
      <c r="AY616" s="2345">
        <f t="shared" si="1476"/>
        <v>13759.377</v>
      </c>
      <c r="AZ616" s="2335">
        <f t="shared" si="1476"/>
        <v>3485.9229999999998</v>
      </c>
      <c r="BA616" s="2336">
        <f t="shared" si="1476"/>
        <v>3434.6280000000002</v>
      </c>
      <c r="BB616" s="2336">
        <f t="shared" si="1476"/>
        <v>3726.7310000000002</v>
      </c>
      <c r="BC616" s="2336">
        <f t="shared" si="1476"/>
        <v>4171.4040000000005</v>
      </c>
      <c r="BD616" s="2345">
        <f t="shared" si="1476"/>
        <v>14818.686000000002</v>
      </c>
      <c r="BE616" s="2335">
        <f t="shared" si="1476"/>
        <v>4174</v>
      </c>
      <c r="BF616" s="2336">
        <f t="shared" si="1476"/>
        <v>4230</v>
      </c>
      <c r="BG616" s="2336">
        <f t="shared" si="1476"/>
        <v>4548</v>
      </c>
      <c r="BH616" s="2336">
        <f t="shared" si="1476"/>
        <v>5339</v>
      </c>
      <c r="BI616" s="2345">
        <f t="shared" si="1476"/>
        <v>18291</v>
      </c>
      <c r="BJ616" s="2335">
        <f t="shared" si="1476"/>
        <v>5542</v>
      </c>
      <c r="BK616" s="2336">
        <f t="shared" si="1476"/>
        <v>5877</v>
      </c>
      <c r="BL616" s="2336">
        <f t="shared" si="1476"/>
        <v>6357</v>
      </c>
      <c r="BM616" s="2336">
        <f t="shared" si="1476"/>
        <v>6852</v>
      </c>
      <c r="BN616" s="2345">
        <f t="shared" si="1476"/>
        <v>24628</v>
      </c>
      <c r="BO616" s="2336">
        <f t="shared" si="1476"/>
        <v>0</v>
      </c>
      <c r="BP616" s="2336">
        <f t="shared" si="1476"/>
        <v>0</v>
      </c>
      <c r="BQ616" s="2336">
        <f t="shared" si="1476"/>
        <v>0</v>
      </c>
      <c r="BR616" s="2336">
        <f t="shared" si="1476"/>
        <v>0</v>
      </c>
      <c r="BS616" s="2391">
        <f t="shared" si="1476"/>
        <v>0</v>
      </c>
      <c r="BT616" s="2336">
        <f t="shared" si="1476"/>
        <v>6844</v>
      </c>
      <c r="BU616" s="2336">
        <f t="shared" si="1476"/>
        <v>7035</v>
      </c>
      <c r="BV616" s="2336">
        <f t="shared" si="1476"/>
        <v>7171</v>
      </c>
      <c r="BW616" s="2336">
        <f t="shared" si="1476"/>
        <v>8006</v>
      </c>
      <c r="BX616" s="2345">
        <f t="shared" si="1476"/>
        <v>29056</v>
      </c>
      <c r="BY616" s="2336">
        <f t="shared" si="1476"/>
        <v>0</v>
      </c>
      <c r="BZ616" s="2336">
        <f t="shared" si="1476"/>
        <v>0</v>
      </c>
      <c r="CA616" s="2336">
        <f t="shared" ref="CA616:DF616" si="1477">CA115</f>
        <v>0</v>
      </c>
      <c r="CB616" s="2336">
        <f t="shared" si="1477"/>
        <v>0</v>
      </c>
      <c r="CC616" s="2391">
        <f t="shared" si="1477"/>
        <v>0</v>
      </c>
      <c r="CD616" s="2394">
        <f t="shared" si="1477"/>
        <v>7960</v>
      </c>
      <c r="CE616" s="2336">
        <f t="shared" si="1477"/>
        <v>8162</v>
      </c>
      <c r="CF616" s="2336">
        <f t="shared" si="1477"/>
        <v>8621</v>
      </c>
      <c r="CG616" s="2336">
        <f t="shared" si="1477"/>
        <v>9714</v>
      </c>
      <c r="CH616" s="2345">
        <f t="shared" si="1477"/>
        <v>34457</v>
      </c>
      <c r="CI616" s="2393">
        <f t="shared" si="1477"/>
        <v>9624</v>
      </c>
      <c r="CJ616" s="2336">
        <f t="shared" si="1477"/>
        <v>10042</v>
      </c>
      <c r="CK616" s="2336">
        <f t="shared" si="1477"/>
        <v>10325</v>
      </c>
      <c r="CL616" s="2336">
        <f t="shared" si="1477"/>
        <v>11461</v>
      </c>
      <c r="CM616" s="2345">
        <f t="shared" si="1477"/>
        <v>41452</v>
      </c>
      <c r="CN616" s="2336">
        <f t="shared" si="1477"/>
        <v>11019</v>
      </c>
      <c r="CO616" s="2336">
        <f t="shared" si="1477"/>
        <v>11457</v>
      </c>
      <c r="CP616" s="2336">
        <f t="shared" si="1477"/>
        <v>12035</v>
      </c>
      <c r="CQ616" s="2336">
        <f t="shared" si="1477"/>
        <v>13745</v>
      </c>
      <c r="CR616" s="2345">
        <f t="shared" si="1477"/>
        <v>48256</v>
      </c>
      <c r="CS616" s="2336">
        <f t="shared" si="1477"/>
        <v>13111</v>
      </c>
      <c r="CT616" s="2336">
        <f t="shared" si="1477"/>
        <v>14048</v>
      </c>
      <c r="CU616" s="2336">
        <f t="shared" si="1477"/>
        <v>14530</v>
      </c>
      <c r="CV616" s="2336">
        <f t="shared" si="1477"/>
        <v>16202</v>
      </c>
      <c r="CW616" s="2345">
        <f t="shared" si="1477"/>
        <v>57891</v>
      </c>
      <c r="CX616" s="2336">
        <f t="shared" si="1477"/>
        <v>15598</v>
      </c>
      <c r="CY616" s="2336">
        <f t="shared" si="1477"/>
        <v>16376</v>
      </c>
      <c r="CZ616" s="2336">
        <f t="shared" si="1477"/>
        <v>17322</v>
      </c>
      <c r="DA616" s="2336">
        <f t="shared" si="1477"/>
        <v>19461</v>
      </c>
      <c r="DB616" s="2345">
        <f t="shared" si="1477"/>
        <v>68930</v>
      </c>
      <c r="DC616" s="2336">
        <f t="shared" si="1477"/>
        <v>19096</v>
      </c>
      <c r="DD616" s="2336">
        <f t="shared" si="1477"/>
        <v>20253</v>
      </c>
      <c r="DE616" s="2336">
        <f t="shared" si="1477"/>
        <v>20899</v>
      </c>
      <c r="DF616" s="2336">
        <f t="shared" si="1477"/>
        <v>23419</v>
      </c>
      <c r="DG616" s="2345">
        <f t="shared" ref="DG616:DL616" si="1478">DG115</f>
        <v>83879</v>
      </c>
      <c r="DH616" s="2336">
        <f t="shared" si="1478"/>
        <v>22189</v>
      </c>
      <c r="DI616" s="2336">
        <f t="shared" si="1478"/>
        <v>23628</v>
      </c>
      <c r="DJ616" s="2336">
        <f t="shared" si="1478"/>
        <v>24689</v>
      </c>
      <c r="DK616" s="2336">
        <f t="shared" si="1478"/>
        <v>27601.332999999999</v>
      </c>
      <c r="DL616" s="2345">
        <f t="shared" si="1478"/>
        <v>98107.332999999999</v>
      </c>
      <c r="DM616" s="2336"/>
      <c r="DN616" s="2336"/>
      <c r="DO616" s="2336"/>
      <c r="DP616" s="2336"/>
      <c r="DQ616" s="2345"/>
      <c r="DR616" s="2336"/>
      <c r="DS616" s="2336"/>
      <c r="DT616" s="2336"/>
      <c r="DU616" s="2336"/>
      <c r="DV616" s="2345"/>
      <c r="DW616" s="2336"/>
      <c r="DX616" s="2336"/>
      <c r="DY616" s="2336"/>
      <c r="DZ616" s="2336"/>
      <c r="EA616" s="2345"/>
      <c r="EB616" s="2336"/>
      <c r="EC616" s="2336"/>
      <c r="ED616" s="2336"/>
      <c r="EE616" s="2336"/>
      <c r="EF616" s="2345"/>
      <c r="EG616" s="2336"/>
      <c r="EH616" s="2336"/>
      <c r="EI616" s="2336"/>
      <c r="EJ616" s="2336"/>
      <c r="EK616" s="2345"/>
      <c r="EL616" s="2336"/>
      <c r="EM616" s="2336"/>
      <c r="EN616" s="2336"/>
      <c r="EO616" s="2336"/>
      <c r="EP616" s="2345"/>
      <c r="EQ616" s="2336"/>
      <c r="ER616" s="2336"/>
      <c r="ES616" s="2336"/>
      <c r="ET616" s="2336"/>
      <c r="EU616" s="2345"/>
      <c r="EV616" s="2345"/>
      <c r="EW616" s="2345"/>
      <c r="EX616" s="2345"/>
      <c r="EY616" s="2345"/>
      <c r="EZ616" s="175"/>
      <c r="FA616" s="1319"/>
      <c r="FB616" s="1319"/>
    </row>
    <row r="617" spans="1:158" s="183" customFormat="1" ht="11.25" hidden="1" customHeight="1">
      <c r="A617" s="1542" t="str">
        <f>A116</f>
        <v>Y/Y growth</v>
      </c>
      <c r="B617" s="739"/>
      <c r="C617" s="181"/>
      <c r="D617" s="181"/>
      <c r="E617" s="182"/>
      <c r="F617" s="983"/>
      <c r="G617" s="739"/>
      <c r="H617" s="181"/>
      <c r="I617" s="181"/>
      <c r="J617" s="181"/>
      <c r="K617" s="991"/>
      <c r="L617" s="181"/>
      <c r="M617" s="181"/>
      <c r="N617" s="181"/>
      <c r="O617" s="181"/>
      <c r="P617" s="991"/>
      <c r="Q617" s="739"/>
      <c r="R617" s="181"/>
      <c r="S617" s="181"/>
      <c r="T617" s="181"/>
      <c r="U617" s="991"/>
      <c r="V617" s="736"/>
      <c r="W617" s="169"/>
      <c r="X617" s="169"/>
      <c r="Y617" s="169"/>
      <c r="Z617" s="991"/>
      <c r="AA617" s="736"/>
      <c r="AB617" s="181"/>
      <c r="AC617" s="181"/>
      <c r="AD617" s="181"/>
      <c r="AE617" s="991"/>
      <c r="AF617" s="736"/>
      <c r="AG617" s="181"/>
      <c r="AH617" s="181"/>
      <c r="AI617" s="181"/>
      <c r="AJ617" s="991"/>
      <c r="AK617" s="739"/>
      <c r="AL617" s="181"/>
      <c r="AM617" s="181"/>
      <c r="AN617" s="190"/>
      <c r="AO617" s="991"/>
      <c r="AP617" s="739"/>
      <c r="AQ617" s="181"/>
      <c r="AR617" s="181"/>
      <c r="AS617" s="190"/>
      <c r="AT617" s="991"/>
      <c r="AU617" s="739">
        <f t="shared" ref="AU617:BZ617" si="1479">AU116</f>
        <v>0.47454901763730462</v>
      </c>
      <c r="AV617" s="181">
        <f t="shared" si="1479"/>
        <v>0.40692479213120225</v>
      </c>
      <c r="AW617" s="181">
        <f t="shared" si="1479"/>
        <v>0.33312910314423205</v>
      </c>
      <c r="AX617" s="190">
        <f t="shared" si="1479"/>
        <v>0.20856533793654486</v>
      </c>
      <c r="AY617" s="991">
        <f t="shared" si="1479"/>
        <v>0.34448797508207041</v>
      </c>
      <c r="AZ617" s="739">
        <f t="shared" si="1479"/>
        <v>7.0189528427728964E-2</v>
      </c>
      <c r="BA617" s="181">
        <f t="shared" si="1479"/>
        <v>1.7455020506827568E-2</v>
      </c>
      <c r="BB617" s="181">
        <f t="shared" si="1479"/>
        <v>6.3167005723600678E-2</v>
      </c>
      <c r="BC617" s="190">
        <f t="shared" si="1479"/>
        <v>0.15198231680947005</v>
      </c>
      <c r="BD617" s="991">
        <f t="shared" si="1479"/>
        <v>7.6988151425751328E-2</v>
      </c>
      <c r="BE617" s="739">
        <f t="shared" si="1479"/>
        <v>0.19738732037397266</v>
      </c>
      <c r="BF617" s="181">
        <f t="shared" si="1479"/>
        <v>0.23157442378039184</v>
      </c>
      <c r="BG617" s="181">
        <f t="shared" si="1479"/>
        <v>0.22037249267521575</v>
      </c>
      <c r="BH617" s="190">
        <f t="shared" si="1479"/>
        <v>0.27990479943922941</v>
      </c>
      <c r="BI617" s="991">
        <f t="shared" si="1479"/>
        <v>0.23431996602127869</v>
      </c>
      <c r="BJ617" s="739">
        <f t="shared" si="1479"/>
        <v>0.32774317201724967</v>
      </c>
      <c r="BK617" s="181">
        <f t="shared" si="1479"/>
        <v>0.38936170212765964</v>
      </c>
      <c r="BL617" s="181">
        <f t="shared" si="1479"/>
        <v>0.39775725593667555</v>
      </c>
      <c r="BM617" s="181">
        <f t="shared" si="1479"/>
        <v>0.28338640194793041</v>
      </c>
      <c r="BN617" s="991">
        <f t="shared" si="1479"/>
        <v>0.34645454048439128</v>
      </c>
      <c r="BO617" s="181">
        <f t="shared" si="1479"/>
        <v>0</v>
      </c>
      <c r="BP617" s="181">
        <f t="shared" si="1479"/>
        <v>0</v>
      </c>
      <c r="BQ617" s="181">
        <f t="shared" si="1479"/>
        <v>0</v>
      </c>
      <c r="BR617" s="181">
        <f t="shared" si="1479"/>
        <v>0</v>
      </c>
      <c r="BS617" s="1962">
        <f t="shared" si="1479"/>
        <v>0</v>
      </c>
      <c r="BT617" s="181">
        <f t="shared" si="1479"/>
        <v>0.23493323709852043</v>
      </c>
      <c r="BU617" s="181">
        <f t="shared" si="1479"/>
        <v>0.19703930576824913</v>
      </c>
      <c r="BV617" s="181">
        <f t="shared" si="1479"/>
        <v>0.12804782129935499</v>
      </c>
      <c r="BW617" s="181">
        <f t="shared" si="1479"/>
        <v>0.16841798015178044</v>
      </c>
      <c r="BX617" s="991">
        <f t="shared" si="1479"/>
        <v>0.1797953548806237</v>
      </c>
      <c r="BY617" s="181">
        <f t="shared" si="1479"/>
        <v>0</v>
      </c>
      <c r="BZ617" s="181">
        <f t="shared" si="1479"/>
        <v>0</v>
      </c>
      <c r="CA617" s="181">
        <f t="shared" ref="CA617:DF617" si="1480">CA116</f>
        <v>0</v>
      </c>
      <c r="CB617" s="181">
        <f t="shared" si="1480"/>
        <v>0</v>
      </c>
      <c r="CC617" s="1962">
        <f t="shared" si="1480"/>
        <v>0</v>
      </c>
      <c r="CD617" s="1692">
        <f t="shared" si="1480"/>
        <v>0.16306253652834601</v>
      </c>
      <c r="CE617" s="181">
        <f t="shared" si="1480"/>
        <v>0.16019900497512429</v>
      </c>
      <c r="CF617" s="181">
        <f t="shared" si="1480"/>
        <v>0.20220331892344157</v>
      </c>
      <c r="CG617" s="181">
        <f t="shared" si="1480"/>
        <v>0.21333999500374712</v>
      </c>
      <c r="CH617" s="991">
        <f t="shared" si="1480"/>
        <v>0.1858824339207048</v>
      </c>
      <c r="CI617" s="551">
        <f t="shared" si="1480"/>
        <v>0.20904522613065324</v>
      </c>
      <c r="CJ617" s="181">
        <f t="shared" si="1480"/>
        <v>0.23033570203381526</v>
      </c>
      <c r="CK617" s="181">
        <f t="shared" si="1480"/>
        <v>0.19765688435216333</v>
      </c>
      <c r="CL617" s="181">
        <f t="shared" si="1480"/>
        <v>0.17984352480955312</v>
      </c>
      <c r="CM617" s="991">
        <f t="shared" si="1480"/>
        <v>0.20300664596453544</v>
      </c>
      <c r="CN617" s="181">
        <f t="shared" si="1480"/>
        <v>0.14495012468827939</v>
      </c>
      <c r="CO617" s="181">
        <f t="shared" si="1480"/>
        <v>0.14090818562039442</v>
      </c>
      <c r="CP617" s="181">
        <f t="shared" si="1480"/>
        <v>0.16561743341404367</v>
      </c>
      <c r="CQ617" s="181">
        <f t="shared" si="1480"/>
        <v>0.19928453014571157</v>
      </c>
      <c r="CR617" s="991">
        <f t="shared" si="1480"/>
        <v>0.16414165782109436</v>
      </c>
      <c r="CS617" s="181">
        <f t="shared" si="1480"/>
        <v>0.18985388873763509</v>
      </c>
      <c r="CT617" s="181">
        <f t="shared" si="1480"/>
        <v>0.2261499519944139</v>
      </c>
      <c r="CU617" s="181">
        <f t="shared" si="1480"/>
        <v>0.20731200664727867</v>
      </c>
      <c r="CV617" s="181">
        <f t="shared" si="1480"/>
        <v>0.17875591124045109</v>
      </c>
      <c r="CW617" s="991">
        <f t="shared" si="1480"/>
        <v>0.19966429045092848</v>
      </c>
      <c r="CX617" s="181">
        <f t="shared" si="1480"/>
        <v>0.18968804820379837</v>
      </c>
      <c r="CY617" s="181">
        <f t="shared" si="1480"/>
        <v>0.16571753986332571</v>
      </c>
      <c r="CZ617" s="181">
        <f t="shared" si="1480"/>
        <v>0.19215416379903649</v>
      </c>
      <c r="DA617" s="181">
        <f t="shared" si="1480"/>
        <v>0.20114800641896058</v>
      </c>
      <c r="DB617" s="991">
        <f t="shared" si="1480"/>
        <v>0.19068594427458496</v>
      </c>
      <c r="DC617" s="181">
        <f t="shared" si="1480"/>
        <v>0.22425952045134001</v>
      </c>
      <c r="DD617" s="181">
        <f t="shared" si="1480"/>
        <v>0.23674890083048372</v>
      </c>
      <c r="DE617" s="181">
        <f t="shared" si="1480"/>
        <v>0.20650040411037995</v>
      </c>
      <c r="DF617" s="181">
        <f t="shared" si="1480"/>
        <v>0.20338112121679264</v>
      </c>
      <c r="DG617" s="991">
        <f t="shared" ref="DG617:DL617" si="1481">DG116</f>
        <v>0.21687218917742634</v>
      </c>
      <c r="DH617" s="181">
        <f t="shared" si="1481"/>
        <v>0.16197109342270632</v>
      </c>
      <c r="DI617" s="181">
        <f t="shared" si="1481"/>
        <v>0.16664197896607913</v>
      </c>
      <c r="DJ617" s="181">
        <f t="shared" si="1481"/>
        <v>0.18134838987511359</v>
      </c>
      <c r="DK617" s="181">
        <f t="shared" si="1481"/>
        <v>0.17858717280840342</v>
      </c>
      <c r="DL617" s="991">
        <f t="shared" si="1481"/>
        <v>0.16962926358206465</v>
      </c>
      <c r="DM617" s="181"/>
      <c r="DN617" s="181"/>
      <c r="DO617" s="181"/>
      <c r="DP617" s="181"/>
      <c r="DQ617" s="991"/>
      <c r="DR617" s="181"/>
      <c r="DS617" s="181"/>
      <c r="DT617" s="181"/>
      <c r="DU617" s="181"/>
      <c r="DV617" s="991"/>
      <c r="DW617" s="181"/>
      <c r="DX617" s="181"/>
      <c r="DY617" s="181"/>
      <c r="DZ617" s="181"/>
      <c r="EA617" s="991"/>
      <c r="EB617" s="181"/>
      <c r="EC617" s="181"/>
      <c r="ED617" s="181"/>
      <c r="EE617" s="181"/>
      <c r="EF617" s="991"/>
      <c r="EG617" s="181"/>
      <c r="EH617" s="181"/>
      <c r="EI617" s="181"/>
      <c r="EJ617" s="181"/>
      <c r="EK617" s="991"/>
      <c r="EL617" s="181"/>
      <c r="EM617" s="181"/>
      <c r="EN617" s="181"/>
      <c r="EO617" s="181"/>
      <c r="EP617" s="991"/>
      <c r="EQ617" s="181"/>
      <c r="ER617" s="181"/>
      <c r="ES617" s="181"/>
      <c r="ET617" s="181"/>
      <c r="EU617" s="991"/>
      <c r="EV617" s="991"/>
      <c r="EW617" s="991"/>
      <c r="EX617" s="991"/>
      <c r="EY617" s="991"/>
      <c r="EZ617" s="181"/>
      <c r="FA617" s="4266"/>
      <c r="FB617" s="4266"/>
    </row>
    <row r="618" spans="1:158" s="180" customFormat="1" ht="11.25" hidden="1" customHeight="1">
      <c r="A618" s="2407" t="s">
        <v>515</v>
      </c>
      <c r="B618" s="1137"/>
      <c r="C618" s="1138"/>
      <c r="D618" s="1138"/>
      <c r="E618" s="1138"/>
      <c r="F618" s="1139"/>
      <c r="G618" s="1137"/>
      <c r="H618" s="1138"/>
      <c r="I618" s="1138"/>
      <c r="J618" s="1138"/>
      <c r="K618" s="1140"/>
      <c r="L618" s="1138"/>
      <c r="M618" s="1138"/>
      <c r="N618" s="1138"/>
      <c r="O618" s="1138"/>
      <c r="P618" s="1140"/>
      <c r="Q618" s="1137"/>
      <c r="R618" s="1138"/>
      <c r="S618" s="1138"/>
      <c r="T618" s="1138"/>
      <c r="U618" s="1140"/>
      <c r="V618" s="1137"/>
      <c r="W618" s="1138"/>
      <c r="X618" s="1138"/>
      <c r="Y618" s="1138"/>
      <c r="Z618" s="1140"/>
      <c r="AA618" s="1137"/>
      <c r="AB618" s="1138"/>
      <c r="AC618" s="1138"/>
      <c r="AD618" s="1138"/>
      <c r="AE618" s="1140"/>
      <c r="AF618" s="1137"/>
      <c r="AG618" s="1138"/>
      <c r="AH618" s="1138"/>
      <c r="AI618" s="1138"/>
      <c r="AJ618" s="1140"/>
      <c r="AK618" s="1137"/>
      <c r="AL618" s="1138"/>
      <c r="AM618" s="1138"/>
      <c r="AN618" s="1138"/>
      <c r="AO618" s="1140"/>
      <c r="AP618" s="1137"/>
      <c r="AQ618" s="1138"/>
      <c r="AR618" s="1138"/>
      <c r="AS618" s="1138"/>
      <c r="AT618" s="1140"/>
      <c r="AU618" s="1138">
        <f>AU573-AU600</f>
        <v>3130.4210828342534</v>
      </c>
      <c r="AV618" s="1138">
        <f>AV573-AV600</f>
        <v>3215.8201413384327</v>
      </c>
      <c r="AW618" s="1138">
        <f>AW573-AW600</f>
        <v>3376.4075489809011</v>
      </c>
      <c r="AX618" s="1138">
        <f>AX573-AX600</f>
        <v>3703.6449165624067</v>
      </c>
      <c r="AY618" s="1140">
        <f>SUM(AU618:AX618)</f>
        <v>13426.293689715994</v>
      </c>
      <c r="AZ618" s="1138">
        <f>AZ573-AZ600</f>
        <v>3653.6876251298431</v>
      </c>
      <c r="BA618" s="1138">
        <f>BA573-BA600</f>
        <v>3661.2474337003123</v>
      </c>
      <c r="BB618" s="1138">
        <f>BB573-BB600</f>
        <v>3886.8891714906476</v>
      </c>
      <c r="BC618" s="1138">
        <f>BC573-BC600</f>
        <v>4043.6051991476356</v>
      </c>
      <c r="BD618" s="1140">
        <f>SUM(AZ618:BC618)</f>
        <v>15245.429429468439</v>
      </c>
      <c r="BE618" s="1138">
        <f>BE573-BE600</f>
        <v>4018.3685308853087</v>
      </c>
      <c r="BF618" s="1138">
        <f>BF573-BF600</f>
        <v>4163.0109472127706</v>
      </c>
      <c r="BG618" s="1138">
        <f>BG573-BG600</f>
        <v>4594.3737824468681</v>
      </c>
      <c r="BH618" s="1138">
        <f>BH573-BH600</f>
        <v>5405.6845274602738</v>
      </c>
      <c r="BI618" s="1140">
        <f>SUM(BE618:BH618)</f>
        <v>18181.43778800522</v>
      </c>
      <c r="BJ618" s="1138">
        <f>BJ573-BJ600</f>
        <v>5517.5382711823195</v>
      </c>
      <c r="BK618" s="1138">
        <f>BK573-BK600</f>
        <v>5602.7288536336546</v>
      </c>
      <c r="BL618" s="1138">
        <f>BL573-BL600</f>
        <v>6040.4205796037377</v>
      </c>
      <c r="BM618" s="1138">
        <f>BM573-BM600</f>
        <v>6809.5267208544974</v>
      </c>
      <c r="BN618" s="1140">
        <f>SUM(BJ618:BM618)</f>
        <v>23970.214425274211</v>
      </c>
      <c r="BO618" s="1138"/>
      <c r="BP618" s="1138"/>
      <c r="BQ618" s="1138"/>
      <c r="BR618" s="1138"/>
      <c r="BS618" s="1960"/>
      <c r="BT618" s="1138">
        <f>BT573-BT600</f>
        <v>6861.6509753267201</v>
      </c>
      <c r="BU618" s="1138">
        <f>BU573-BU600</f>
        <v>7203.7365263604597</v>
      </c>
      <c r="BV618" s="1138">
        <f>BV573-BV600</f>
        <v>7475.8323887775068</v>
      </c>
      <c r="BW618" s="1138">
        <f>BW573-BW600</f>
        <v>8100.9342244447453</v>
      </c>
      <c r="BX618" s="1140">
        <f>SUM(BT618:BW618)</f>
        <v>29642.154114909434</v>
      </c>
      <c r="BY618" s="1138"/>
      <c r="BZ618" s="1138"/>
      <c r="CA618" s="1138"/>
      <c r="CB618" s="1138"/>
      <c r="CC618" s="1960"/>
      <c r="CD618" s="1691">
        <f>CD573-CD600</f>
        <v>7960</v>
      </c>
      <c r="CE618" s="1138">
        <f>CE573-CE600</f>
        <v>8162</v>
      </c>
      <c r="CF618" s="1138">
        <f>CF573-CF600</f>
        <v>8621</v>
      </c>
      <c r="CG618" s="1138">
        <f>CG573-CG600</f>
        <v>9714</v>
      </c>
      <c r="CH618" s="1140">
        <f>SUM(CD618:CG618)</f>
        <v>34457</v>
      </c>
      <c r="CI618" s="1138">
        <f>CI573-CI600</f>
        <v>9624</v>
      </c>
      <c r="CJ618" s="1138">
        <f>CJ573-CJ600</f>
        <v>10042</v>
      </c>
      <c r="CK618" s="1138">
        <f>CK573-CK600</f>
        <v>10325</v>
      </c>
      <c r="CL618" s="1138">
        <f>CL573-CL600</f>
        <v>11461</v>
      </c>
      <c r="CM618" s="1140">
        <f>SUM(CI618:CL618)</f>
        <v>41452</v>
      </c>
      <c r="CN618" s="1138">
        <f>CN573-CN600</f>
        <v>11019</v>
      </c>
      <c r="CO618" s="1138">
        <f>CO573-CO600</f>
        <v>11457</v>
      </c>
      <c r="CP618" s="1138">
        <f>CP573-CP600</f>
        <v>12035</v>
      </c>
      <c r="CQ618" s="1138">
        <f>CQ573-CQ600</f>
        <v>13745</v>
      </c>
      <c r="CR618" s="1140">
        <f>SUM(CN618:CQ618)</f>
        <v>48256</v>
      </c>
      <c r="CS618" s="1138">
        <f>CS573-CS600</f>
        <v>13111</v>
      </c>
      <c r="CT618" s="1138">
        <f>CT573-CT600</f>
        <v>14048</v>
      </c>
      <c r="CU618" s="1138">
        <f>CU573-CU600</f>
        <v>14530</v>
      </c>
      <c r="CV618" s="1138">
        <f>CV573-CV600</f>
        <v>16202</v>
      </c>
      <c r="CW618" s="1140">
        <f>SUM(CS618:CV618)</f>
        <v>57891</v>
      </c>
      <c r="CX618" s="1138">
        <f t="shared" ref="CX618:DL618" si="1482">CX573-CX600</f>
        <v>15598</v>
      </c>
      <c r="CY618" s="1138">
        <f t="shared" si="1482"/>
        <v>16376</v>
      </c>
      <c r="CZ618" s="1138">
        <f t="shared" si="1482"/>
        <v>17322</v>
      </c>
      <c r="DA618" s="1138">
        <f t="shared" si="1482"/>
        <v>19461</v>
      </c>
      <c r="DB618" s="1140">
        <f t="shared" si="1482"/>
        <v>68757</v>
      </c>
      <c r="DC618" s="1138">
        <f t="shared" si="1482"/>
        <v>19096</v>
      </c>
      <c r="DD618" s="1138">
        <f t="shared" si="1482"/>
        <v>20253</v>
      </c>
      <c r="DE618" s="1138">
        <f t="shared" si="1482"/>
        <v>20899</v>
      </c>
      <c r="DF618" s="1138">
        <f t="shared" si="1482"/>
        <v>23765.486829118279</v>
      </c>
      <c r="DG618" s="1140">
        <f t="shared" si="1482"/>
        <v>84013.486829118279</v>
      </c>
      <c r="DH618" s="1138">
        <f t="shared" si="1482"/>
        <v>22796.220668705508</v>
      </c>
      <c r="DI618" s="1138">
        <f t="shared" si="1482"/>
        <v>24290.50448534323</v>
      </c>
      <c r="DJ618" s="1138">
        <f t="shared" si="1482"/>
        <v>24933.558902569104</v>
      </c>
      <c r="DK618" s="1138">
        <f t="shared" si="1482"/>
        <v>27788.053018595052</v>
      </c>
      <c r="DL618" s="1140">
        <f t="shared" si="1482"/>
        <v>99808.337075212898</v>
      </c>
      <c r="DM618" s="1138"/>
      <c r="DN618" s="1138"/>
      <c r="DO618" s="1138"/>
      <c r="DP618" s="1138"/>
      <c r="DQ618" s="1140"/>
      <c r="DR618" s="1138"/>
      <c r="DS618" s="1138"/>
      <c r="DT618" s="1138"/>
      <c r="DU618" s="1138"/>
      <c r="DV618" s="1140"/>
      <c r="DW618" s="1138"/>
      <c r="DX618" s="1138"/>
      <c r="DY618" s="1138"/>
      <c r="DZ618" s="1138"/>
      <c r="EA618" s="1140"/>
      <c r="EB618" s="1138"/>
      <c r="EC618" s="1138"/>
      <c r="ED618" s="1138"/>
      <c r="EE618" s="1138"/>
      <c r="EF618" s="1140"/>
      <c r="EG618" s="1138"/>
      <c r="EH618" s="1138"/>
      <c r="EI618" s="1138"/>
      <c r="EJ618" s="1138"/>
      <c r="EK618" s="1140"/>
      <c r="EL618" s="1138"/>
      <c r="EM618" s="1138"/>
      <c r="EN618" s="1138"/>
      <c r="EO618" s="1138"/>
      <c r="EP618" s="1140"/>
      <c r="EQ618" s="1138"/>
      <c r="ER618" s="1138"/>
      <c r="ES618" s="1138"/>
      <c r="ET618" s="1138"/>
      <c r="EU618" s="1140"/>
      <c r="EV618" s="1140"/>
      <c r="EW618" s="1140"/>
      <c r="EX618" s="1140"/>
      <c r="EY618" s="1140"/>
      <c r="EZ618" s="175"/>
      <c r="FA618" s="1319"/>
      <c r="FB618" s="1319"/>
    </row>
    <row r="619" spans="1:158" s="183" customFormat="1" ht="11.25" hidden="1" customHeight="1" collapsed="1">
      <c r="A619" s="2406" t="s">
        <v>496</v>
      </c>
      <c r="B619" s="1142"/>
      <c r="C619" s="1143"/>
      <c r="D619" s="1143"/>
      <c r="E619" s="1143"/>
      <c r="F619" s="1145"/>
      <c r="G619" s="1142"/>
      <c r="H619" s="1143"/>
      <c r="I619" s="1143"/>
      <c r="J619" s="1143"/>
      <c r="K619" s="1146"/>
      <c r="L619" s="1143"/>
      <c r="M619" s="1143"/>
      <c r="N619" s="1143"/>
      <c r="O619" s="1143"/>
      <c r="P619" s="1146"/>
      <c r="Q619" s="1142"/>
      <c r="R619" s="1143"/>
      <c r="S619" s="1143"/>
      <c r="T619" s="1143"/>
      <c r="U619" s="1146"/>
      <c r="V619" s="1142"/>
      <c r="W619" s="1143"/>
      <c r="X619" s="1143"/>
      <c r="Y619" s="1143"/>
      <c r="Z619" s="1146"/>
      <c r="AA619" s="1142"/>
      <c r="AB619" s="1143"/>
      <c r="AC619" s="1143"/>
      <c r="AD619" s="1143"/>
      <c r="AE619" s="1146"/>
      <c r="AF619" s="1142"/>
      <c r="AG619" s="1143"/>
      <c r="AH619" s="1143"/>
      <c r="AI619" s="1143"/>
      <c r="AJ619" s="1146"/>
      <c r="AK619" s="1142"/>
      <c r="AL619" s="1143"/>
      <c r="AM619" s="1143"/>
      <c r="AN619" s="1143"/>
      <c r="AO619" s="1146"/>
      <c r="AP619" s="1142"/>
      <c r="AQ619" s="1143"/>
      <c r="AR619" s="1143"/>
      <c r="AS619" s="1143"/>
      <c r="AT619" s="1146"/>
      <c r="AU619" s="1143"/>
      <c r="AV619" s="1143"/>
      <c r="AW619" s="1143"/>
      <c r="AX619" s="1143"/>
      <c r="AY619" s="1146"/>
      <c r="AZ619" s="1143">
        <f t="shared" ref="AZ619:BN619" si="1483">AZ618/(AU616-AU572)-1</f>
        <v>0.12169380578972522</v>
      </c>
      <c r="BA619" s="1143">
        <f t="shared" si="1483"/>
        <v>8.5602789394625844E-2</v>
      </c>
      <c r="BB619" s="1143">
        <f t="shared" si="1483"/>
        <v>0.11607302954757337</v>
      </c>
      <c r="BC619" s="1143">
        <f t="shared" si="1483"/>
        <v>0.14391135897796348</v>
      </c>
      <c r="BD619" s="1146">
        <f t="shared" si="1483"/>
        <v>0.11709532946355838</v>
      </c>
      <c r="BE619" s="1143">
        <f t="shared" si="1483"/>
        <v>0.18792006794250593</v>
      </c>
      <c r="BF619" s="1143">
        <f t="shared" si="1483"/>
        <v>0.24171897705369982</v>
      </c>
      <c r="BG619" s="1143">
        <f t="shared" si="1483"/>
        <v>0.2414608560729814</v>
      </c>
      <c r="BH619" s="1143">
        <f t="shared" si="1483"/>
        <v>0.297539467101265</v>
      </c>
      <c r="BI619" s="1146">
        <f t="shared" si="1483"/>
        <v>0.24511665417566375</v>
      </c>
      <c r="BJ619" s="1143">
        <f t="shared" si="1483"/>
        <v>0.32396092531113441</v>
      </c>
      <c r="BK619" s="1143">
        <f t="shared" si="1483"/>
        <v>0.3410441418902932</v>
      </c>
      <c r="BL619" s="1143">
        <f t="shared" si="1483"/>
        <v>0.34561576114712889</v>
      </c>
      <c r="BM619" s="1143">
        <f t="shared" si="1483"/>
        <v>0.27945735478003142</v>
      </c>
      <c r="BN619" s="1146">
        <f t="shared" si="1483"/>
        <v>0.32020043317704272</v>
      </c>
      <c r="BO619" s="1143"/>
      <c r="BP619" s="1143"/>
      <c r="BQ619" s="1143"/>
      <c r="BR619" s="1143"/>
      <c r="BS619" s="1959"/>
      <c r="BT619" s="1143">
        <f>BT618/(BJ616-BJ572)-1</f>
        <v>0.24026624076390823</v>
      </c>
      <c r="BU619" s="1143">
        <f>BU618/(BK616-BK572)-1</f>
        <v>0.22632693468858167</v>
      </c>
      <c r="BV619" s="1143">
        <f>BV618/(BL616-BL572)-1</f>
        <v>0.17612835214236489</v>
      </c>
      <c r="BW619" s="1143">
        <f>BW618/(BM616-BM572)-1</f>
        <v>0.18525317527655871</v>
      </c>
      <c r="BX619" s="1146">
        <f>BX618/(BN616-BN572)-1</f>
        <v>0.2050774229904242</v>
      </c>
      <c r="BY619" s="1143"/>
      <c r="BZ619" s="1143"/>
      <c r="CA619" s="1143"/>
      <c r="CB619" s="1143"/>
      <c r="CC619" s="1959"/>
      <c r="CD619" s="1690">
        <f>CD618/(BT616-BT572)-1</f>
        <v>0.16739765586376554</v>
      </c>
      <c r="CE619" s="1143">
        <f>CE618/(BU616-BU572)-1</f>
        <v>0.16946142173717438</v>
      </c>
      <c r="CF619" s="1143">
        <f>CF618/(BV616-BV572)-1</f>
        <v>0.20921216904565476</v>
      </c>
      <c r="CG619" s="1143">
        <f>CG618/(BW616-BW572)-1</f>
        <v>0.21710590765332261</v>
      </c>
      <c r="CH619" s="1146">
        <f>CH618/(BX616-BX572)-1</f>
        <v>0.19191889082337665</v>
      </c>
      <c r="CI619" s="1143">
        <f t="shared" ref="CI619:DA619" si="1484">CI618/(CD616-CD572)-1</f>
        <v>0.20904522613065324</v>
      </c>
      <c r="CJ619" s="1143">
        <f t="shared" si="1484"/>
        <v>0.23033570203381526</v>
      </c>
      <c r="CK619" s="1143">
        <f t="shared" si="1484"/>
        <v>0.19765688435216333</v>
      </c>
      <c r="CL619" s="1143">
        <f t="shared" si="1484"/>
        <v>0.17984352480955312</v>
      </c>
      <c r="CM619" s="1146">
        <f t="shared" si="1484"/>
        <v>0.20300664596453544</v>
      </c>
      <c r="CN619" s="1143">
        <f t="shared" si="1484"/>
        <v>0.14495012468827939</v>
      </c>
      <c r="CO619" s="1143">
        <f t="shared" si="1484"/>
        <v>0.14090818562039442</v>
      </c>
      <c r="CP619" s="1143">
        <f t="shared" si="1484"/>
        <v>0.16561743341404367</v>
      </c>
      <c r="CQ619" s="1143">
        <f t="shared" si="1484"/>
        <v>0.19928453014571157</v>
      </c>
      <c r="CR619" s="1146">
        <f t="shared" si="1484"/>
        <v>0.16414165782109436</v>
      </c>
      <c r="CS619" s="1143">
        <f t="shared" si="1484"/>
        <v>0.18985388873763509</v>
      </c>
      <c r="CT619" s="1143">
        <f t="shared" si="1484"/>
        <v>0.2261499519944139</v>
      </c>
      <c r="CU619" s="1143">
        <f t="shared" si="1484"/>
        <v>0.20731200664727867</v>
      </c>
      <c r="CV619" s="1143">
        <f t="shared" si="1484"/>
        <v>0.17875591124045109</v>
      </c>
      <c r="CW619" s="1146">
        <f t="shared" si="1484"/>
        <v>0.19966429045092848</v>
      </c>
      <c r="CX619" s="1143">
        <f t="shared" si="1484"/>
        <v>0.18968804820379837</v>
      </c>
      <c r="CY619" s="1143">
        <f t="shared" si="1484"/>
        <v>0.16571753986332571</v>
      </c>
      <c r="CZ619" s="1143">
        <f t="shared" si="1484"/>
        <v>0.19215416379903649</v>
      </c>
      <c r="DA619" s="1143">
        <f t="shared" si="1484"/>
        <v>0.20114800641896058</v>
      </c>
      <c r="DB619" s="1146">
        <f t="shared" ref="DB619:DL619" si="1485">DB618/(CW616-CW572)-1</f>
        <v>0.18769756957039951</v>
      </c>
      <c r="DC619" s="1143">
        <f t="shared" si="1485"/>
        <v>0.22425952045134001</v>
      </c>
      <c r="DD619" s="1143">
        <f t="shared" si="1485"/>
        <v>0.23674890083048372</v>
      </c>
      <c r="DE619" s="1143">
        <f t="shared" si="1485"/>
        <v>0.20650040411037995</v>
      </c>
      <c r="DF619" s="1143">
        <f t="shared" si="1485"/>
        <v>0.22118528488352496</v>
      </c>
      <c r="DG619" s="1146">
        <f t="shared" si="1485"/>
        <v>0.21882325299750871</v>
      </c>
      <c r="DH619" s="1143">
        <f t="shared" si="1485"/>
        <v>0.19376941080359811</v>
      </c>
      <c r="DI619" s="1143">
        <f t="shared" si="1485"/>
        <v>0.19935340371022714</v>
      </c>
      <c r="DJ619" s="1143">
        <f t="shared" si="1485"/>
        <v>0.19305033267472638</v>
      </c>
      <c r="DK619" s="1143">
        <f t="shared" si="1485"/>
        <v>0.19088284458755544</v>
      </c>
      <c r="DL619" s="1146">
        <f t="shared" si="1485"/>
        <v>0.19111564495842681</v>
      </c>
      <c r="DM619" s="1143"/>
      <c r="DN619" s="1143"/>
      <c r="DO619" s="1143"/>
      <c r="DP619" s="1143"/>
      <c r="DQ619" s="1146"/>
      <c r="DR619" s="1143"/>
      <c r="DS619" s="1143"/>
      <c r="DT619" s="1143"/>
      <c r="DU619" s="1143"/>
      <c r="DV619" s="1146"/>
      <c r="DW619" s="1143"/>
      <c r="DX619" s="1143"/>
      <c r="DY619" s="1143"/>
      <c r="DZ619" s="1143"/>
      <c r="EA619" s="1146"/>
      <c r="EB619" s="1143"/>
      <c r="EC619" s="1143"/>
      <c r="ED619" s="1143"/>
      <c r="EE619" s="1143"/>
      <c r="EF619" s="1146"/>
      <c r="EG619" s="1143"/>
      <c r="EH619" s="1143"/>
      <c r="EI619" s="1143"/>
      <c r="EJ619" s="1143"/>
      <c r="EK619" s="1146"/>
      <c r="EL619" s="1143"/>
      <c r="EM619" s="1143"/>
      <c r="EN619" s="1143"/>
      <c r="EO619" s="1143"/>
      <c r="EP619" s="1146"/>
      <c r="EQ619" s="1143"/>
      <c r="ER619" s="1143"/>
      <c r="ES619" s="1143"/>
      <c r="ET619" s="1143"/>
      <c r="EU619" s="1146"/>
      <c r="EV619" s="1146"/>
      <c r="EW619" s="1146"/>
      <c r="EX619" s="1146"/>
      <c r="EY619" s="1146"/>
      <c r="EZ619" s="181"/>
      <c r="FA619" s="4267"/>
      <c r="FB619" s="4267"/>
    </row>
    <row r="620" spans="1:158" s="180" customFormat="1" ht="11.25" hidden="1" customHeight="1">
      <c r="A620" s="2343" t="str">
        <f>A118</f>
        <v xml:space="preserve">Google Network Members' Properties - Net Revenues </v>
      </c>
      <c r="B620" s="2335"/>
      <c r="C620" s="2336"/>
      <c r="D620" s="2336"/>
      <c r="E620" s="2333"/>
      <c r="F620" s="2344"/>
      <c r="G620" s="2335"/>
      <c r="H620" s="2336"/>
      <c r="I620" s="2336"/>
      <c r="J620" s="2336"/>
      <c r="K620" s="2345"/>
      <c r="L620" s="2336"/>
      <c r="M620" s="2336"/>
      <c r="N620" s="2336"/>
      <c r="O620" s="2336"/>
      <c r="P620" s="2345"/>
      <c r="Q620" s="2334"/>
      <c r="R620" s="2333"/>
      <c r="S620" s="2333"/>
      <c r="T620" s="2333"/>
      <c r="U620" s="2345"/>
      <c r="V620" s="2334"/>
      <c r="W620" s="2333"/>
      <c r="X620" s="2333"/>
      <c r="Y620" s="2333"/>
      <c r="Z620" s="2345"/>
      <c r="AA620" s="2334"/>
      <c r="AB620" s="2333"/>
      <c r="AC620" s="2333"/>
      <c r="AD620" s="2333"/>
      <c r="AE620" s="2345"/>
      <c r="AF620" s="2334"/>
      <c r="AG620" s="2333"/>
      <c r="AH620" s="2333"/>
      <c r="AI620" s="2333"/>
      <c r="AJ620" s="2345"/>
      <c r="AK620" s="2334"/>
      <c r="AL620" s="2333"/>
      <c r="AM620" s="2333"/>
      <c r="AN620" s="2333"/>
      <c r="AO620" s="2345"/>
      <c r="AP620" s="2334"/>
      <c r="AQ620" s="2333"/>
      <c r="AR620" s="2333"/>
      <c r="AS620" s="2333"/>
      <c r="AT620" s="2345"/>
      <c r="AU620" s="2334">
        <f t="shared" ref="AU620:BZ620" si="1486">AU118</f>
        <v>342.86700000000019</v>
      </c>
      <c r="AV620" s="2333">
        <f t="shared" si="1486"/>
        <v>335.74</v>
      </c>
      <c r="AW620" s="2333">
        <f t="shared" si="1486"/>
        <v>351.45500000000015</v>
      </c>
      <c r="AX620" s="2333">
        <f t="shared" si="1486"/>
        <v>400.12299999999982</v>
      </c>
      <c r="AY620" s="2345">
        <f t="shared" si="1486"/>
        <v>1430.1849999999995</v>
      </c>
      <c r="AZ620" s="2334">
        <f t="shared" si="1486"/>
        <v>408.98199999999997</v>
      </c>
      <c r="BA620" s="2333">
        <f t="shared" si="1486"/>
        <v>448.14599999999996</v>
      </c>
      <c r="BB620" s="2333">
        <f t="shared" si="1486"/>
        <v>470.67400000000021</v>
      </c>
      <c r="BC620" s="2333">
        <f t="shared" si="1486"/>
        <v>572.91599999999926</v>
      </c>
      <c r="BD620" s="2345">
        <f t="shared" si="1486"/>
        <v>1900.7179999999989</v>
      </c>
      <c r="BE620" s="2334">
        <f t="shared" si="1486"/>
        <v>590</v>
      </c>
      <c r="BF620" s="2333">
        <f t="shared" si="1486"/>
        <v>600</v>
      </c>
      <c r="BG620" s="2333">
        <f t="shared" si="1486"/>
        <v>679</v>
      </c>
      <c r="BH620" s="2333">
        <f t="shared" si="1486"/>
        <v>759</v>
      </c>
      <c r="BI620" s="2345">
        <f t="shared" si="1486"/>
        <v>2628</v>
      </c>
      <c r="BJ620" s="2334">
        <f t="shared" si="1486"/>
        <v>726</v>
      </c>
      <c r="BK620" s="2333">
        <f t="shared" si="1486"/>
        <v>729</v>
      </c>
      <c r="BL620" s="2333">
        <f t="shared" si="1486"/>
        <v>768</v>
      </c>
      <c r="BM620" s="2333">
        <f t="shared" si="1486"/>
        <v>872</v>
      </c>
      <c r="BN620" s="2345">
        <f t="shared" si="1486"/>
        <v>3095</v>
      </c>
      <c r="BO620" s="2336">
        <f t="shared" si="1486"/>
        <v>0</v>
      </c>
      <c r="BP620" s="2336">
        <f t="shared" si="1486"/>
        <v>0</v>
      </c>
      <c r="BQ620" s="2336">
        <f t="shared" si="1486"/>
        <v>0</v>
      </c>
      <c r="BR620" s="2336">
        <f t="shared" si="1486"/>
        <v>0</v>
      </c>
      <c r="BS620" s="2391">
        <f t="shared" si="1486"/>
        <v>0</v>
      </c>
      <c r="BT620" s="2333">
        <f t="shared" si="1486"/>
        <v>871</v>
      </c>
      <c r="BU620" s="2333">
        <f t="shared" si="1486"/>
        <v>890</v>
      </c>
      <c r="BV620" s="2333">
        <f t="shared" si="1486"/>
        <v>919</v>
      </c>
      <c r="BW620" s="2333">
        <f t="shared" si="1486"/>
        <v>990</v>
      </c>
      <c r="BX620" s="2345">
        <f t="shared" si="1486"/>
        <v>3670</v>
      </c>
      <c r="BY620" s="2336">
        <f t="shared" si="1486"/>
        <v>0</v>
      </c>
      <c r="BZ620" s="2336">
        <f t="shared" si="1486"/>
        <v>0</v>
      </c>
      <c r="CA620" s="2336">
        <f t="shared" ref="CA620:DF620" si="1487">CA118</f>
        <v>0</v>
      </c>
      <c r="CB620" s="2336">
        <f t="shared" si="1487"/>
        <v>0</v>
      </c>
      <c r="CC620" s="2391">
        <f t="shared" si="1487"/>
        <v>0</v>
      </c>
      <c r="CD620" s="2392">
        <f t="shared" si="1487"/>
        <v>1109</v>
      </c>
      <c r="CE620" s="2333">
        <f t="shared" si="1487"/>
        <v>1007</v>
      </c>
      <c r="CF620" s="2333">
        <f t="shared" si="1487"/>
        <v>1060</v>
      </c>
      <c r="CG620" s="2333">
        <f t="shared" si="1487"/>
        <v>1182</v>
      </c>
      <c r="CH620" s="2345">
        <f t="shared" si="1487"/>
        <v>4358</v>
      </c>
      <c r="CI620" s="2393">
        <f t="shared" si="1487"/>
        <v>1141</v>
      </c>
      <c r="CJ620" s="2333">
        <f t="shared" si="1487"/>
        <v>1163</v>
      </c>
      <c r="CK620" s="2333">
        <f t="shared" si="1487"/>
        <v>1147</v>
      </c>
      <c r="CL620" s="2333">
        <f t="shared" si="1487"/>
        <v>1228</v>
      </c>
      <c r="CM620" s="2345">
        <f t="shared" si="1487"/>
        <v>4679</v>
      </c>
      <c r="CN620" s="2336">
        <f t="shared" si="1487"/>
        <v>1144</v>
      </c>
      <c r="CO620" s="2336">
        <f t="shared" si="1487"/>
        <v>1189</v>
      </c>
      <c r="CP620" s="2333">
        <f t="shared" si="1487"/>
        <v>1180</v>
      </c>
      <c r="CQ620" s="2333">
        <f t="shared" si="1487"/>
        <v>1278</v>
      </c>
      <c r="CR620" s="2345">
        <f t="shared" si="1487"/>
        <v>4791</v>
      </c>
      <c r="CS620" s="2336">
        <f t="shared" si="1487"/>
        <v>1121</v>
      </c>
      <c r="CT620" s="2336">
        <f t="shared" si="1487"/>
        <v>1120</v>
      </c>
      <c r="CU620" s="2336">
        <f t="shared" si="1487"/>
        <v>1109</v>
      </c>
      <c r="CV620" s="2336">
        <f t="shared" si="1487"/>
        <v>1349</v>
      </c>
      <c r="CW620" s="2345">
        <f t="shared" si="1487"/>
        <v>4699</v>
      </c>
      <c r="CX620" s="2336">
        <f t="shared" si="1487"/>
        <v>1184</v>
      </c>
      <c r="CY620" s="2336">
        <f t="shared" si="1487"/>
        <v>1205</v>
      </c>
      <c r="CZ620" s="2336">
        <f t="shared" si="1487"/>
        <v>1241</v>
      </c>
      <c r="DA620" s="2336">
        <f t="shared" si="1487"/>
        <v>1316</v>
      </c>
      <c r="DB620" s="2345">
        <f t="shared" si="1487"/>
        <v>4975</v>
      </c>
      <c r="DC620" s="2336">
        <f t="shared" si="1487"/>
        <v>1258</v>
      </c>
      <c r="DD620" s="2336">
        <f t="shared" si="1487"/>
        <v>1414</v>
      </c>
      <c r="DE620" s="2336">
        <f t="shared" si="1487"/>
        <v>1473</v>
      </c>
      <c r="DF620" s="2336">
        <f t="shared" si="1487"/>
        <v>1663</v>
      </c>
      <c r="DG620" s="2345">
        <f t="shared" ref="DG620:DL620" si="1488">DG118</f>
        <v>5856</v>
      </c>
      <c r="DH620" s="2336">
        <f t="shared" si="1488"/>
        <v>1538</v>
      </c>
      <c r="DI620" s="2336">
        <f t="shared" si="1488"/>
        <v>1628</v>
      </c>
      <c r="DJ620" s="2336">
        <f t="shared" si="1488"/>
        <v>1617</v>
      </c>
      <c r="DK620" s="2336">
        <f t="shared" si="1488"/>
        <v>1831.6670000000004</v>
      </c>
      <c r="DL620" s="2345">
        <f t="shared" si="1488"/>
        <v>6614.6670000000013</v>
      </c>
      <c r="DM620" s="2336"/>
      <c r="DN620" s="2336"/>
      <c r="DO620" s="2336"/>
      <c r="DP620" s="2336"/>
      <c r="DQ620" s="2345"/>
      <c r="DR620" s="2336"/>
      <c r="DS620" s="2336"/>
      <c r="DT620" s="2336"/>
      <c r="DU620" s="2336"/>
      <c r="DV620" s="2345"/>
      <c r="DW620" s="2336"/>
      <c r="DX620" s="2336"/>
      <c r="DY620" s="2336"/>
      <c r="DZ620" s="2336"/>
      <c r="EA620" s="2345"/>
      <c r="EB620" s="2336"/>
      <c r="EC620" s="2336"/>
      <c r="ED620" s="2336"/>
      <c r="EE620" s="2336"/>
      <c r="EF620" s="2345"/>
      <c r="EG620" s="2336"/>
      <c r="EH620" s="2336"/>
      <c r="EI620" s="2336"/>
      <c r="EJ620" s="2336"/>
      <c r="EK620" s="2345"/>
      <c r="EL620" s="2336"/>
      <c r="EM620" s="2336"/>
      <c r="EN620" s="2336"/>
      <c r="EO620" s="2336"/>
      <c r="EP620" s="2345"/>
      <c r="EQ620" s="2336"/>
      <c r="ER620" s="2336"/>
      <c r="ES620" s="2336"/>
      <c r="ET620" s="2336"/>
      <c r="EU620" s="2345"/>
      <c r="EV620" s="2345"/>
      <c r="EW620" s="2345"/>
      <c r="EX620" s="2345"/>
      <c r="EY620" s="2345"/>
      <c r="EZ620" s="175"/>
      <c r="FA620" s="1319"/>
      <c r="FB620" s="1319"/>
    </row>
    <row r="621" spans="1:158" s="183" customFormat="1" ht="11.25" hidden="1" customHeight="1">
      <c r="A621" s="1542" t="str">
        <f>A119</f>
        <v>Y/Y growth</v>
      </c>
      <c r="B621" s="739"/>
      <c r="C621" s="181"/>
      <c r="D621" s="181"/>
      <c r="E621" s="182"/>
      <c r="F621" s="983"/>
      <c r="G621" s="739"/>
      <c r="H621" s="181"/>
      <c r="I621" s="181"/>
      <c r="J621" s="181"/>
      <c r="K621" s="991"/>
      <c r="L621" s="181"/>
      <c r="M621" s="181"/>
      <c r="N621" s="181"/>
      <c r="O621" s="181"/>
      <c r="P621" s="991"/>
      <c r="Q621" s="739"/>
      <c r="R621" s="181"/>
      <c r="S621" s="181"/>
      <c r="T621" s="181"/>
      <c r="U621" s="991"/>
      <c r="V621" s="739"/>
      <c r="W621" s="169"/>
      <c r="X621" s="169"/>
      <c r="Y621" s="169"/>
      <c r="Z621" s="991"/>
      <c r="AA621" s="736"/>
      <c r="AB621" s="169"/>
      <c r="AC621" s="169"/>
      <c r="AD621" s="169"/>
      <c r="AE621" s="991"/>
      <c r="AF621" s="736"/>
      <c r="AG621" s="169"/>
      <c r="AH621" s="169"/>
      <c r="AI621" s="169"/>
      <c r="AJ621" s="991"/>
      <c r="AK621" s="736"/>
      <c r="AL621" s="169"/>
      <c r="AM621" s="169"/>
      <c r="AN621" s="184"/>
      <c r="AO621" s="991"/>
      <c r="AP621" s="736"/>
      <c r="AQ621" s="169"/>
      <c r="AR621" s="169"/>
      <c r="AS621" s="184"/>
      <c r="AT621" s="991"/>
      <c r="AU621" s="736">
        <f t="shared" ref="AU621:BZ621" si="1489">AU119</f>
        <v>0.16855537113468944</v>
      </c>
      <c r="AV621" s="169">
        <f t="shared" si="1489"/>
        <v>0.15361488216112984</v>
      </c>
      <c r="AW621" s="169">
        <f t="shared" si="1489"/>
        <v>3.6829109274835181E-2</v>
      </c>
      <c r="AX621" s="184">
        <f t="shared" si="1489"/>
        <v>0.2449687608901272</v>
      </c>
      <c r="AY621" s="991">
        <f t="shared" si="1489"/>
        <v>0.14892107772530094</v>
      </c>
      <c r="AZ621" s="736">
        <f t="shared" si="1489"/>
        <v>0.1928298728078226</v>
      </c>
      <c r="BA621" s="169">
        <f t="shared" si="1489"/>
        <v>0.33480073866682525</v>
      </c>
      <c r="BB621" s="169">
        <f t="shared" si="1489"/>
        <v>0.33921554679830979</v>
      </c>
      <c r="BC621" s="184">
        <f t="shared" si="1489"/>
        <v>0.43184970621533747</v>
      </c>
      <c r="BD621" s="991">
        <f t="shared" si="1489"/>
        <v>0.32900149281386648</v>
      </c>
      <c r="BE621" s="736">
        <f t="shared" si="1489"/>
        <v>0.44260627607082959</v>
      </c>
      <c r="BF621" s="169">
        <f t="shared" si="1489"/>
        <v>0.33884939283180038</v>
      </c>
      <c r="BG621" s="169">
        <f t="shared" si="1489"/>
        <v>0.44261208394769991</v>
      </c>
      <c r="BH621" s="184">
        <f t="shared" si="1489"/>
        <v>0.32480154158725005</v>
      </c>
      <c r="BI621" s="991">
        <f t="shared" si="1489"/>
        <v>0.38263540409466401</v>
      </c>
      <c r="BJ621" s="736">
        <f t="shared" si="1489"/>
        <v>0.23050847457627111</v>
      </c>
      <c r="BK621" s="169">
        <f t="shared" si="1489"/>
        <v>0.21500000000000008</v>
      </c>
      <c r="BL621" s="169">
        <f t="shared" si="1489"/>
        <v>0.13107511045655373</v>
      </c>
      <c r="BM621" s="169">
        <f t="shared" si="1489"/>
        <v>0.14888010540184449</v>
      </c>
      <c r="BN621" s="991">
        <f t="shared" si="1489"/>
        <v>0.17770167427701677</v>
      </c>
      <c r="BO621" s="181">
        <f t="shared" si="1489"/>
        <v>0</v>
      </c>
      <c r="BP621" s="181">
        <f t="shared" si="1489"/>
        <v>0</v>
      </c>
      <c r="BQ621" s="181">
        <f t="shared" si="1489"/>
        <v>0</v>
      </c>
      <c r="BR621" s="181">
        <f t="shared" si="1489"/>
        <v>0</v>
      </c>
      <c r="BS621" s="1962">
        <f t="shared" si="1489"/>
        <v>0</v>
      </c>
      <c r="BT621" s="169">
        <f t="shared" si="1489"/>
        <v>0.19972451790633605</v>
      </c>
      <c r="BU621" s="169">
        <f t="shared" si="1489"/>
        <v>0.22085048010973929</v>
      </c>
      <c r="BV621" s="169">
        <f t="shared" si="1489"/>
        <v>0.19661458333333326</v>
      </c>
      <c r="BW621" s="169">
        <f t="shared" si="1489"/>
        <v>0.1353211009174311</v>
      </c>
      <c r="BX621" s="991">
        <f t="shared" si="1489"/>
        <v>0.18578352180936997</v>
      </c>
      <c r="BY621" s="181">
        <f t="shared" si="1489"/>
        <v>0</v>
      </c>
      <c r="BZ621" s="181">
        <f t="shared" si="1489"/>
        <v>0</v>
      </c>
      <c r="CA621" s="181">
        <f t="shared" ref="CA621:DF621" si="1490">CA119</f>
        <v>0</v>
      </c>
      <c r="CB621" s="181">
        <f t="shared" si="1490"/>
        <v>0</v>
      </c>
      <c r="CC621" s="1962">
        <f t="shared" si="1490"/>
        <v>0</v>
      </c>
      <c r="CD621" s="1689">
        <f t="shared" si="1490"/>
        <v>0.27324913892078073</v>
      </c>
      <c r="CE621" s="169">
        <f t="shared" si="1490"/>
        <v>0.13146067415730345</v>
      </c>
      <c r="CF621" s="169">
        <f t="shared" si="1490"/>
        <v>0.15342763873775844</v>
      </c>
      <c r="CG621" s="169">
        <f t="shared" si="1490"/>
        <v>0.19393939393939386</v>
      </c>
      <c r="CH621" s="991">
        <f t="shared" si="1490"/>
        <v>0.18746594005449602</v>
      </c>
      <c r="CI621" s="551">
        <f t="shared" si="1490"/>
        <v>2.8854824165915227E-2</v>
      </c>
      <c r="CJ621" s="169">
        <f t="shared" si="1490"/>
        <v>0.15491559086395235</v>
      </c>
      <c r="CK621" s="169">
        <f t="shared" si="1490"/>
        <v>8.2075471698113134E-2</v>
      </c>
      <c r="CL621" s="169">
        <f t="shared" si="1490"/>
        <v>3.891708967851093E-2</v>
      </c>
      <c r="CM621" s="991">
        <f t="shared" si="1490"/>
        <v>7.3657641119779793E-2</v>
      </c>
      <c r="CN621" s="181">
        <f t="shared" si="1490"/>
        <v>2.6292725679228912E-3</v>
      </c>
      <c r="CO621" s="181">
        <f t="shared" si="1490"/>
        <v>2.2355975924333693E-2</v>
      </c>
      <c r="CP621" s="169">
        <f t="shared" si="1490"/>
        <v>2.8770706190061057E-2</v>
      </c>
      <c r="CQ621" s="169">
        <f t="shared" si="1490"/>
        <v>4.0716612377850181E-2</v>
      </c>
      <c r="CR621" s="991">
        <f t="shared" si="1490"/>
        <v>2.3936738619363185E-2</v>
      </c>
      <c r="CS621" s="181">
        <f t="shared" si="1490"/>
        <v>-2.0104895104895104E-2</v>
      </c>
      <c r="CT621" s="181">
        <f t="shared" si="1490"/>
        <v>-5.8031959629941121E-2</v>
      </c>
      <c r="CU621" s="181">
        <f t="shared" si="1490"/>
        <v>-6.0169491525423724E-2</v>
      </c>
      <c r="CV621" s="181">
        <f t="shared" si="1490"/>
        <v>5.555555555555558E-2</v>
      </c>
      <c r="CW621" s="991">
        <f t="shared" si="1490"/>
        <v>-1.9202671676059269E-2</v>
      </c>
      <c r="CX621" s="181">
        <f t="shared" si="1490"/>
        <v>5.6199821587868071E-2</v>
      </c>
      <c r="CY621" s="181">
        <f t="shared" si="1490"/>
        <v>7.5892857142857206E-2</v>
      </c>
      <c r="CZ621" s="181">
        <f t="shared" si="1490"/>
        <v>0.11902614968440028</v>
      </c>
      <c r="DA621" s="181">
        <f t="shared" si="1490"/>
        <v>-2.4462564862861358E-2</v>
      </c>
      <c r="DB621" s="991">
        <f t="shared" si="1490"/>
        <v>5.8735901255586365E-2</v>
      </c>
      <c r="DC621" s="181">
        <f t="shared" si="1490"/>
        <v>6.25E-2</v>
      </c>
      <c r="DD621" s="181">
        <f t="shared" si="1490"/>
        <v>0.17344398340248968</v>
      </c>
      <c r="DE621" s="181">
        <f t="shared" si="1490"/>
        <v>0.1869460112812249</v>
      </c>
      <c r="DF621" s="181">
        <f t="shared" si="1490"/>
        <v>0.26367781155015191</v>
      </c>
      <c r="DG621" s="991">
        <f t="shared" ref="DG621:DL621" si="1491">DG119</f>
        <v>0.17708542713567832</v>
      </c>
      <c r="DH621" s="181">
        <f t="shared" si="1491"/>
        <v>0.22257551669316378</v>
      </c>
      <c r="DI621" s="181">
        <f t="shared" si="1491"/>
        <v>0.15134370579915135</v>
      </c>
      <c r="DJ621" s="181">
        <f t="shared" si="1491"/>
        <v>9.775967413441955E-2</v>
      </c>
      <c r="DK621" s="181">
        <f t="shared" si="1491"/>
        <v>0.10142333132892389</v>
      </c>
      <c r="DL621" s="991">
        <f t="shared" si="1491"/>
        <v>0.12955379098360686</v>
      </c>
      <c r="DM621" s="181"/>
      <c r="DN621" s="181"/>
      <c r="DO621" s="181"/>
      <c r="DP621" s="181"/>
      <c r="DQ621" s="991"/>
      <c r="DR621" s="181"/>
      <c r="DS621" s="181"/>
      <c r="DT621" s="181"/>
      <c r="DU621" s="181"/>
      <c r="DV621" s="991"/>
      <c r="DW621" s="181"/>
      <c r="DX621" s="181"/>
      <c r="DY621" s="181"/>
      <c r="DZ621" s="181"/>
      <c r="EA621" s="991"/>
      <c r="EB621" s="181"/>
      <c r="EC621" s="181"/>
      <c r="ED621" s="181"/>
      <c r="EE621" s="181"/>
      <c r="EF621" s="991"/>
      <c r="EG621" s="181"/>
      <c r="EH621" s="181"/>
      <c r="EI621" s="181"/>
      <c r="EJ621" s="181"/>
      <c r="EK621" s="991"/>
      <c r="EL621" s="181"/>
      <c r="EM621" s="181"/>
      <c r="EN621" s="181"/>
      <c r="EO621" s="181"/>
      <c r="EP621" s="991"/>
      <c r="EQ621" s="181"/>
      <c r="ER621" s="181"/>
      <c r="ES621" s="181"/>
      <c r="ET621" s="181"/>
      <c r="EU621" s="991"/>
      <c r="EV621" s="991"/>
      <c r="EW621" s="991"/>
      <c r="EX621" s="991"/>
      <c r="EY621" s="991"/>
      <c r="EZ621" s="169"/>
      <c r="FA621" s="725"/>
      <c r="FB621" s="725"/>
    </row>
    <row r="622" spans="1:158" s="180" customFormat="1" ht="11.25" hidden="1" customHeight="1">
      <c r="A622" s="2407" t="s">
        <v>516</v>
      </c>
      <c r="B622" s="1137"/>
      <c r="C622" s="1138"/>
      <c r="D622" s="1138"/>
      <c r="E622" s="1138"/>
      <c r="F622" s="1139"/>
      <c r="G622" s="1137"/>
      <c r="H622" s="1138"/>
      <c r="I622" s="1138"/>
      <c r="J622" s="1138"/>
      <c r="K622" s="1140"/>
      <c r="L622" s="1138"/>
      <c r="M622" s="1138"/>
      <c r="N622" s="1138"/>
      <c r="O622" s="1138"/>
      <c r="P622" s="1140"/>
      <c r="Q622" s="1137"/>
      <c r="R622" s="1138"/>
      <c r="S622" s="1138"/>
      <c r="T622" s="1138"/>
      <c r="U622" s="1140"/>
      <c r="V622" s="1137"/>
      <c r="W622" s="1138"/>
      <c r="X622" s="1138"/>
      <c r="Y622" s="1138"/>
      <c r="Z622" s="1140"/>
      <c r="AA622" s="1137"/>
      <c r="AB622" s="1138"/>
      <c r="AC622" s="1138"/>
      <c r="AD622" s="1138"/>
      <c r="AE622" s="1140"/>
      <c r="AF622" s="1137"/>
      <c r="AG622" s="1138"/>
      <c r="AH622" s="1138"/>
      <c r="AI622" s="1138"/>
      <c r="AJ622" s="1140"/>
      <c r="AK622" s="1137"/>
      <c r="AL622" s="1138"/>
      <c r="AM622" s="1138"/>
      <c r="AN622" s="1138"/>
      <c r="AO622" s="1140"/>
      <c r="AP622" s="1137"/>
      <c r="AQ622" s="1138"/>
      <c r="AR622" s="1138"/>
      <c r="AS622" s="1138"/>
      <c r="AT622" s="1140"/>
      <c r="AU622" s="1138">
        <f>AU582-AU606</f>
        <v>329.51209067896298</v>
      </c>
      <c r="AV622" s="1138">
        <f>AV582-AV606</f>
        <v>318.72606233686543</v>
      </c>
      <c r="AW622" s="1138">
        <f>AW582-AW606</f>
        <v>330.68227833993387</v>
      </c>
      <c r="AX622" s="1138">
        <f>AX582-AX606</f>
        <v>379.10783919038931</v>
      </c>
      <c r="AY622" s="1140">
        <f>SUM(AU622:AX622)</f>
        <v>1358.0282705461516</v>
      </c>
      <c r="AZ622" s="1138">
        <f>AZ582-AZ606</f>
        <v>392.28775208416187</v>
      </c>
      <c r="BA622" s="1138">
        <f>BA582-BA606</f>
        <v>448.12302106957463</v>
      </c>
      <c r="BB622" s="1138">
        <f>BB582-BB606</f>
        <v>481.93526595033495</v>
      </c>
      <c r="BC622" s="1138">
        <f>BC582-BC606</f>
        <v>553.69215038280049</v>
      </c>
      <c r="BD622" s="1140">
        <f>SUM(AZ622:BC622)</f>
        <v>1876.0381894868719</v>
      </c>
      <c r="BE622" s="1138">
        <f>BE582-BE606</f>
        <v>565.99664476644762</v>
      </c>
      <c r="BF622" s="1138">
        <f>BF582-BF606</f>
        <v>574.05197787339762</v>
      </c>
      <c r="BG622" s="1138">
        <f>BG582-BG606</f>
        <v>667.45228577756689</v>
      </c>
      <c r="BH622" s="1138">
        <f>BH582-BH606</f>
        <v>763.39955162159663</v>
      </c>
      <c r="BI622" s="1140">
        <f>SUM(BE622:BH622)</f>
        <v>2570.900460039009</v>
      </c>
      <c r="BJ622" s="1138">
        <f>BJ582-BJ606</f>
        <v>720.09772346831483</v>
      </c>
      <c r="BK622" s="1138">
        <f>BK582-BK606</f>
        <v>694.25542508960689</v>
      </c>
      <c r="BL622" s="1138">
        <f>BL582-BL606</f>
        <v>729.57940282430104</v>
      </c>
      <c r="BM622" s="1138">
        <f>BM582-BM606</f>
        <v>862.00164543514165</v>
      </c>
      <c r="BN622" s="1140">
        <f>SUM(BJ622:BM622)</f>
        <v>3005.9341968173644</v>
      </c>
      <c r="BO622" s="1138"/>
      <c r="BP622" s="1138"/>
      <c r="BQ622" s="1138"/>
      <c r="BR622" s="1138"/>
      <c r="BS622" s="1960"/>
      <c r="BT622" s="1138">
        <f>BT582-BT606</f>
        <v>866.31224066206278</v>
      </c>
      <c r="BU622" s="1138">
        <f>BU582-BU606</f>
        <v>895.87602848854704</v>
      </c>
      <c r="BV622" s="1138">
        <f>BV582-BV606</f>
        <v>945.97966129309407</v>
      </c>
      <c r="BW622" s="1138">
        <f>BW582-BW606</f>
        <v>994.84933054336352</v>
      </c>
      <c r="BX622" s="1140">
        <f>SUM(BT622:BW622)</f>
        <v>3703.0172609870674</v>
      </c>
      <c r="BY622" s="1138"/>
      <c r="BZ622" s="1138"/>
      <c r="CA622" s="1138"/>
      <c r="CB622" s="1138"/>
      <c r="CC622" s="1960"/>
      <c r="CD622" s="1691">
        <f>CD582-CD606</f>
        <v>1109</v>
      </c>
      <c r="CE622" s="1138">
        <f>CE582-CE606</f>
        <v>1007</v>
      </c>
      <c r="CF622" s="1138">
        <f>CF582-CF606</f>
        <v>1060</v>
      </c>
      <c r="CG622" s="1138">
        <f>CG582-CG606</f>
        <v>1182</v>
      </c>
      <c r="CH622" s="1140">
        <f>SUM(CD622:CG622)</f>
        <v>4358</v>
      </c>
      <c r="CI622" s="1138">
        <f>CI582-CI606</f>
        <v>1141</v>
      </c>
      <c r="CJ622" s="1138">
        <f>CJ582-CJ606</f>
        <v>1163</v>
      </c>
      <c r="CK622" s="1138">
        <f>CK582-CK606</f>
        <v>1147</v>
      </c>
      <c r="CL622" s="1138">
        <f>CL582-CL606</f>
        <v>1228</v>
      </c>
      <c r="CM622" s="1140">
        <f>SUM(CI622:CL622)</f>
        <v>4679</v>
      </c>
      <c r="CN622" s="1138">
        <f>CN582-CN606</f>
        <v>1144</v>
      </c>
      <c r="CO622" s="1138">
        <f>CO582-CO606</f>
        <v>1189</v>
      </c>
      <c r="CP622" s="1138">
        <f>CP582-CP606</f>
        <v>1180</v>
      </c>
      <c r="CQ622" s="1138">
        <f>CQ582-CQ606</f>
        <v>1278</v>
      </c>
      <c r="CR622" s="1140">
        <f>SUM(CN622:CQ622)</f>
        <v>4791</v>
      </c>
      <c r="CS622" s="1138">
        <f>CS582-CS606</f>
        <v>1121</v>
      </c>
      <c r="CT622" s="1138">
        <f>CT582-CT606</f>
        <v>1120</v>
      </c>
      <c r="CU622" s="1138">
        <f>CU582-CU606</f>
        <v>1109</v>
      </c>
      <c r="CV622" s="1138">
        <f>CV582-CV606</f>
        <v>1349</v>
      </c>
      <c r="CW622" s="1140">
        <f>SUM(CS622:CV622)</f>
        <v>4699</v>
      </c>
      <c r="CX622" s="1138">
        <f t="shared" ref="CX622:DL622" si="1492">CX582-CX606</f>
        <v>1184</v>
      </c>
      <c r="CY622" s="1138">
        <f t="shared" si="1492"/>
        <v>1205</v>
      </c>
      <c r="CZ622" s="1138">
        <f t="shared" si="1492"/>
        <v>1241</v>
      </c>
      <c r="DA622" s="1138">
        <f t="shared" si="1492"/>
        <v>1316</v>
      </c>
      <c r="DB622" s="1140">
        <f t="shared" si="1492"/>
        <v>4946</v>
      </c>
      <c r="DC622" s="1138">
        <f t="shared" si="1492"/>
        <v>1257.9999999999995</v>
      </c>
      <c r="DD622" s="1138">
        <f t="shared" si="1492"/>
        <v>1414</v>
      </c>
      <c r="DE622" s="1138">
        <f t="shared" si="1492"/>
        <v>1473.0000000000005</v>
      </c>
      <c r="DF622" s="1138">
        <f t="shared" si="1492"/>
        <v>1675.7678089271972</v>
      </c>
      <c r="DG622" s="1140">
        <f t="shared" si="1492"/>
        <v>5820.7678089271958</v>
      </c>
      <c r="DH622" s="1138">
        <f t="shared" si="1492"/>
        <v>1567.4748817462632</v>
      </c>
      <c r="DI622" s="1138">
        <f t="shared" si="1492"/>
        <v>1664.0037268812716</v>
      </c>
      <c r="DJ622" s="1138">
        <f t="shared" si="1492"/>
        <v>1622.9488290497784</v>
      </c>
      <c r="DK622" s="1138">
        <f t="shared" si="1492"/>
        <v>1836.2557559972383</v>
      </c>
      <c r="DL622" s="1140">
        <f t="shared" si="1492"/>
        <v>6690.683193674553</v>
      </c>
      <c r="DM622" s="1138"/>
      <c r="DN622" s="1138"/>
      <c r="DO622" s="1138"/>
      <c r="DP622" s="1138"/>
      <c r="DQ622" s="1140"/>
      <c r="DR622" s="1138"/>
      <c r="DS622" s="1138"/>
      <c r="DT622" s="1138"/>
      <c r="DU622" s="1138"/>
      <c r="DV622" s="1140"/>
      <c r="DW622" s="1138"/>
      <c r="DX622" s="1138"/>
      <c r="DY622" s="1138"/>
      <c r="DZ622" s="1138"/>
      <c r="EA622" s="1140"/>
      <c r="EB622" s="1138"/>
      <c r="EC622" s="1138"/>
      <c r="ED622" s="1138"/>
      <c r="EE622" s="1138"/>
      <c r="EF622" s="1140"/>
      <c r="EG622" s="1138"/>
      <c r="EH622" s="1138"/>
      <c r="EI622" s="1138"/>
      <c r="EJ622" s="1138"/>
      <c r="EK622" s="1140"/>
      <c r="EL622" s="1138"/>
      <c r="EM622" s="1138"/>
      <c r="EN622" s="1138"/>
      <c r="EO622" s="1138"/>
      <c r="EP622" s="1140"/>
      <c r="EQ622" s="1138"/>
      <c r="ER622" s="1138"/>
      <c r="ES622" s="1138"/>
      <c r="ET622" s="1138"/>
      <c r="EU622" s="1140"/>
      <c r="EV622" s="1140"/>
      <c r="EW622" s="1140"/>
      <c r="EX622" s="1140"/>
      <c r="EY622" s="1140"/>
      <c r="EZ622" s="175"/>
      <c r="FA622" s="1319"/>
      <c r="FB622" s="1319"/>
    </row>
    <row r="623" spans="1:158" s="183" customFormat="1" ht="11.25" hidden="1" customHeight="1">
      <c r="A623" s="2406" t="s">
        <v>496</v>
      </c>
      <c r="B623" s="1142"/>
      <c r="C623" s="1143"/>
      <c r="D623" s="1143"/>
      <c r="E623" s="1143"/>
      <c r="F623" s="1145"/>
      <c r="G623" s="1142"/>
      <c r="H623" s="1143"/>
      <c r="I623" s="1143"/>
      <c r="J623" s="1143"/>
      <c r="K623" s="1146"/>
      <c r="L623" s="1143"/>
      <c r="M623" s="1143"/>
      <c r="N623" s="1143"/>
      <c r="O623" s="1143"/>
      <c r="P623" s="1146"/>
      <c r="Q623" s="1142"/>
      <c r="R623" s="1143"/>
      <c r="S623" s="1143"/>
      <c r="T623" s="1143"/>
      <c r="U623" s="1146"/>
      <c r="V623" s="1142"/>
      <c r="W623" s="1143"/>
      <c r="X623" s="1143"/>
      <c r="Y623" s="1143"/>
      <c r="Z623" s="1146"/>
      <c r="AA623" s="1142"/>
      <c r="AB623" s="1143"/>
      <c r="AC623" s="1143"/>
      <c r="AD623" s="1143"/>
      <c r="AE623" s="1146"/>
      <c r="AF623" s="1142"/>
      <c r="AG623" s="1143"/>
      <c r="AH623" s="1143"/>
      <c r="AI623" s="1143"/>
      <c r="AJ623" s="1146"/>
      <c r="AK623" s="1142"/>
      <c r="AL623" s="1143"/>
      <c r="AM623" s="1143"/>
      <c r="AN623" s="1143"/>
      <c r="AO623" s="1146"/>
      <c r="AP623" s="1142"/>
      <c r="AQ623" s="1143"/>
      <c r="AR623" s="1143"/>
      <c r="AS623" s="1143"/>
      <c r="AT623" s="1146"/>
      <c r="AU623" s="1143"/>
      <c r="AV623" s="1143"/>
      <c r="AW623" s="1143"/>
      <c r="AX623" s="1143"/>
      <c r="AY623" s="1146"/>
      <c r="AZ623" s="1143">
        <f t="shared" ref="AZ623:BN623" si="1493">AZ622/(AU620-AU581)-1</f>
        <v>0.14413971622862998</v>
      </c>
      <c r="BA623" s="1143">
        <f t="shared" si="1493"/>
        <v>0.34064347581383014</v>
      </c>
      <c r="BB623" s="1143">
        <f t="shared" si="1493"/>
        <v>0.41293799702076051</v>
      </c>
      <c r="BC623" s="1143">
        <f t="shared" si="1493"/>
        <v>0.53023654823082333</v>
      </c>
      <c r="BD623" s="1146">
        <f t="shared" si="1493"/>
        <v>0.35940033907403879</v>
      </c>
      <c r="BE623" s="1143">
        <f t="shared" si="1493"/>
        <v>0.55839654632446423</v>
      </c>
      <c r="BF623" s="1143">
        <f t="shared" si="1493"/>
        <v>0.39893909840460196</v>
      </c>
      <c r="BG623" s="1143">
        <f t="shared" si="1493"/>
        <v>0.45458927326837117</v>
      </c>
      <c r="BH623" s="1143">
        <f t="shared" si="1493"/>
        <v>0.3382034951833619</v>
      </c>
      <c r="BI623" s="1146">
        <f t="shared" si="1493"/>
        <v>0.42600803099284112</v>
      </c>
      <c r="BJ623" s="1143">
        <f t="shared" si="1493"/>
        <v>0.22675308507347003</v>
      </c>
      <c r="BK623" s="1143">
        <f t="shared" si="1493"/>
        <v>0.20508889846435574</v>
      </c>
      <c r="BL623" s="1143">
        <f t="shared" si="1493"/>
        <v>0.11874872097361133</v>
      </c>
      <c r="BM623" s="1143">
        <f t="shared" si="1493"/>
        <v>0.14687418667403307</v>
      </c>
      <c r="BN623" s="1146">
        <f t="shared" si="1493"/>
        <v>0.17106124838038084</v>
      </c>
      <c r="BO623" s="1143"/>
      <c r="BP623" s="1143"/>
      <c r="BQ623" s="1143"/>
      <c r="BR623" s="1143"/>
      <c r="BS623" s="1959"/>
      <c r="BT623" s="1143">
        <f>BT622/(BJ620-BJ581)-1</f>
        <v>0.19981604756949367</v>
      </c>
      <c r="BU623" s="1143">
        <f>BU622/(BK620-BK581)-1</f>
        <v>0.23076938801958025</v>
      </c>
      <c r="BV623" s="1143">
        <f>BV622/(BL620-BL581)-1</f>
        <v>0.23217268356196397</v>
      </c>
      <c r="BW623" s="1143">
        <f>BW622/(BM620-BM581)-1</f>
        <v>0.1498525882962829</v>
      </c>
      <c r="BX623" s="1146">
        <f>BX622/(BN620-BN581)-1</f>
        <v>0.20116022495399144</v>
      </c>
      <c r="BY623" s="1143"/>
      <c r="BZ623" s="1143"/>
      <c r="CA623" s="1143"/>
      <c r="CB623" s="1143"/>
      <c r="CC623" s="1959"/>
      <c r="CD623" s="1690">
        <f>CD622/(BT620-BT581)-1</f>
        <v>0.28822424321918327</v>
      </c>
      <c r="CE623" s="1143">
        <f>CE622/(BU620-BU581)-1</f>
        <v>0.1601888415679269</v>
      </c>
      <c r="CF623" s="1143">
        <f>CF622/(BV620-BV581)-1</f>
        <v>0.17497462048049317</v>
      </c>
      <c r="CG623" s="1143">
        <f>CG622/(BW620-BW581)-1</f>
        <v>0.20593955893744376</v>
      </c>
      <c r="CH623" s="1146">
        <f>CH622/(BX620-BX581)-1</f>
        <v>0.20682349286716684</v>
      </c>
      <c r="CI623" s="1143">
        <f t="shared" ref="CI623:DB623" si="1494">CI622/(CD620-CD581)-1</f>
        <v>2.8854824165915227E-2</v>
      </c>
      <c r="CJ623" s="1143">
        <f t="shared" si="1494"/>
        <v>0.15491559086395235</v>
      </c>
      <c r="CK623" s="1143">
        <f t="shared" si="1494"/>
        <v>8.2075471698113134E-2</v>
      </c>
      <c r="CL623" s="1143">
        <f t="shared" si="1494"/>
        <v>3.891708967851093E-2</v>
      </c>
      <c r="CM623" s="1146">
        <f t="shared" si="1494"/>
        <v>7.3657641119779793E-2</v>
      </c>
      <c r="CN623" s="1143">
        <f t="shared" si="1494"/>
        <v>2.6292725679228912E-3</v>
      </c>
      <c r="CO623" s="1143">
        <f t="shared" si="1494"/>
        <v>2.2355975924333693E-2</v>
      </c>
      <c r="CP623" s="1143">
        <f t="shared" si="1494"/>
        <v>2.8770706190061057E-2</v>
      </c>
      <c r="CQ623" s="1143">
        <f t="shared" si="1494"/>
        <v>4.0716612377850181E-2</v>
      </c>
      <c r="CR623" s="1146">
        <f t="shared" si="1494"/>
        <v>2.3936738619363185E-2</v>
      </c>
      <c r="CS623" s="1143">
        <f t="shared" si="1494"/>
        <v>-2.0104895104895104E-2</v>
      </c>
      <c r="CT623" s="1143">
        <f t="shared" si="1494"/>
        <v>-5.8031959629941121E-2</v>
      </c>
      <c r="CU623" s="1143">
        <f t="shared" si="1494"/>
        <v>-6.0169491525423724E-2</v>
      </c>
      <c r="CV623" s="1143">
        <f t="shared" si="1494"/>
        <v>5.555555555555558E-2</v>
      </c>
      <c r="CW623" s="1146">
        <f t="shared" si="1494"/>
        <v>-1.9202671676059269E-2</v>
      </c>
      <c r="CX623" s="1143">
        <f t="shared" si="1494"/>
        <v>5.6199821587868071E-2</v>
      </c>
      <c r="CY623" s="1143">
        <f t="shared" si="1494"/>
        <v>7.5892857142857206E-2</v>
      </c>
      <c r="CZ623" s="1143">
        <f t="shared" si="1494"/>
        <v>0.11902614968440028</v>
      </c>
      <c r="DA623" s="1143">
        <f t="shared" si="1494"/>
        <v>-2.4462564862861358E-2</v>
      </c>
      <c r="DB623" s="1146">
        <f t="shared" si="1494"/>
        <v>5.2564375399021035E-2</v>
      </c>
      <c r="DC623" s="1143">
        <f t="shared" ref="DC623:DL623" si="1495">DC622/(CX620-CX581)-1</f>
        <v>6.2499999999999556E-2</v>
      </c>
      <c r="DD623" s="1143">
        <f t="shared" si="1495"/>
        <v>0.17344398340248968</v>
      </c>
      <c r="DE623" s="1143">
        <f t="shared" si="1495"/>
        <v>0.18694601128122512</v>
      </c>
      <c r="DF623" s="1143">
        <f t="shared" si="1495"/>
        <v>0.27337979401762702</v>
      </c>
      <c r="DG623" s="1146">
        <f t="shared" si="1495"/>
        <v>0.17000357968385837</v>
      </c>
      <c r="DH623" s="1143">
        <f t="shared" si="1495"/>
        <v>0.24600547038653686</v>
      </c>
      <c r="DI623" s="1143">
        <f t="shared" si="1495"/>
        <v>0.17680603032621756</v>
      </c>
      <c r="DJ623" s="1143">
        <f t="shared" si="1495"/>
        <v>0.10179825461627856</v>
      </c>
      <c r="DK623" s="1143">
        <f t="shared" si="1495"/>
        <v>0.11603280866557486</v>
      </c>
      <c r="DL623" s="1146">
        <f t="shared" si="1495"/>
        <v>0.14599026374281876</v>
      </c>
      <c r="DM623" s="1143"/>
      <c r="DN623" s="1143"/>
      <c r="DO623" s="1143"/>
      <c r="DP623" s="1143"/>
      <c r="DQ623" s="1146"/>
      <c r="DR623" s="1143"/>
      <c r="DS623" s="1143"/>
      <c r="DT623" s="1143"/>
      <c r="DU623" s="1143"/>
      <c r="DV623" s="1146"/>
      <c r="DW623" s="1143"/>
      <c r="DX623" s="1143"/>
      <c r="DY623" s="1143"/>
      <c r="DZ623" s="1143"/>
      <c r="EA623" s="1146"/>
      <c r="EB623" s="1143"/>
      <c r="EC623" s="1143"/>
      <c r="ED623" s="1143"/>
      <c r="EE623" s="1143"/>
      <c r="EF623" s="1146"/>
      <c r="EG623" s="1143"/>
      <c r="EH623" s="1143"/>
      <c r="EI623" s="1143"/>
      <c r="EJ623" s="1143"/>
      <c r="EK623" s="1146"/>
      <c r="EL623" s="1143"/>
      <c r="EM623" s="1143"/>
      <c r="EN623" s="1143"/>
      <c r="EO623" s="1143"/>
      <c r="EP623" s="1146"/>
      <c r="EQ623" s="1143"/>
      <c r="ER623" s="1143"/>
      <c r="ES623" s="1143"/>
      <c r="ET623" s="1143"/>
      <c r="EU623" s="1146"/>
      <c r="EV623" s="1146"/>
      <c r="EW623" s="1146"/>
      <c r="EX623" s="1146"/>
      <c r="EY623" s="1146"/>
      <c r="EZ623" s="181"/>
      <c r="FA623" s="4267"/>
      <c r="FB623" s="4267"/>
    </row>
    <row r="624" spans="1:158" s="168" customFormat="1" ht="11.25" hidden="1" customHeight="1" collapsed="1">
      <c r="A624" s="3086" t="str">
        <f>A121</f>
        <v>Google Advertising - Net Revenues</v>
      </c>
      <c r="B624" s="3294"/>
      <c r="C624" s="3013"/>
      <c r="D624" s="3013"/>
      <c r="E624" s="3013"/>
      <c r="F624" s="3295"/>
      <c r="G624" s="3294"/>
      <c r="H624" s="3013"/>
      <c r="I624" s="3013"/>
      <c r="J624" s="3013"/>
      <c r="K624" s="3014"/>
      <c r="L624" s="3013"/>
      <c r="M624" s="3013"/>
      <c r="N624" s="3013"/>
      <c r="O624" s="3045"/>
      <c r="P624" s="3014"/>
      <c r="Q624" s="3294"/>
      <c r="R624" s="3013"/>
      <c r="S624" s="3013"/>
      <c r="T624" s="3045"/>
      <c r="U624" s="3014"/>
      <c r="V624" s="3296"/>
      <c r="W624" s="3013"/>
      <c r="X624" s="3013"/>
      <c r="Y624" s="3045"/>
      <c r="Z624" s="3014"/>
      <c r="AA624" s="3294"/>
      <c r="AB624" s="3013"/>
      <c r="AC624" s="3013"/>
      <c r="AD624" s="3045"/>
      <c r="AE624" s="3014"/>
      <c r="AF624" s="3294"/>
      <c r="AG624" s="3013"/>
      <c r="AH624" s="3013"/>
      <c r="AI624" s="3045"/>
      <c r="AJ624" s="3014"/>
      <c r="AK624" s="3294"/>
      <c r="AL624" s="3013"/>
      <c r="AM624" s="3013"/>
      <c r="AN624" s="3045"/>
      <c r="AO624" s="3014"/>
      <c r="AP624" s="3294"/>
      <c r="AQ624" s="3013"/>
      <c r="AR624" s="3013"/>
      <c r="AS624" s="3045"/>
      <c r="AT624" s="3014"/>
      <c r="AU624" s="3294">
        <f t="shared" ref="AU624:BZ624" si="1496">AU121</f>
        <v>3600.1620000000003</v>
      </c>
      <c r="AV624" s="3013">
        <f t="shared" si="1496"/>
        <v>3711.4449999999997</v>
      </c>
      <c r="AW624" s="3013">
        <f t="shared" si="1496"/>
        <v>3856.7659999999996</v>
      </c>
      <c r="AX624" s="3045">
        <f t="shared" si="1496"/>
        <v>4021.1890000000003</v>
      </c>
      <c r="AY624" s="3014">
        <f t="shared" si="1496"/>
        <v>15189.562</v>
      </c>
      <c r="AZ624" s="3294">
        <f t="shared" si="1496"/>
        <v>3894.9049999999997</v>
      </c>
      <c r="BA624" s="3013">
        <f t="shared" si="1496"/>
        <v>3882.7740000000003</v>
      </c>
      <c r="BB624" s="3013">
        <f t="shared" si="1496"/>
        <v>4197.4050000000007</v>
      </c>
      <c r="BC624" s="3045">
        <f t="shared" si="1496"/>
        <v>4744.32</v>
      </c>
      <c r="BD624" s="3014">
        <f t="shared" si="1496"/>
        <v>16719.404000000002</v>
      </c>
      <c r="BE624" s="3294">
        <f t="shared" si="1496"/>
        <v>4764</v>
      </c>
      <c r="BF624" s="3013">
        <f t="shared" si="1496"/>
        <v>4830</v>
      </c>
      <c r="BG624" s="3013">
        <f t="shared" si="1496"/>
        <v>5227</v>
      </c>
      <c r="BH624" s="3045">
        <f t="shared" si="1496"/>
        <v>6098</v>
      </c>
      <c r="BI624" s="3014">
        <f t="shared" si="1496"/>
        <v>20919</v>
      </c>
      <c r="BJ624" s="3294">
        <f t="shared" si="1496"/>
        <v>6268</v>
      </c>
      <c r="BK624" s="3013">
        <f t="shared" si="1496"/>
        <v>6606</v>
      </c>
      <c r="BL624" s="3013">
        <f t="shared" si="1496"/>
        <v>7125</v>
      </c>
      <c r="BM624" s="3013">
        <f t="shared" si="1496"/>
        <v>7724</v>
      </c>
      <c r="BN624" s="3014">
        <f t="shared" si="1496"/>
        <v>27723</v>
      </c>
      <c r="BO624" s="3013">
        <f t="shared" si="1496"/>
        <v>0</v>
      </c>
      <c r="BP624" s="3013">
        <f t="shared" si="1496"/>
        <v>0</v>
      </c>
      <c r="BQ624" s="3013">
        <f t="shared" si="1496"/>
        <v>0</v>
      </c>
      <c r="BR624" s="3013">
        <f t="shared" si="1496"/>
        <v>0</v>
      </c>
      <c r="BS624" s="3297">
        <f t="shared" si="1496"/>
        <v>0</v>
      </c>
      <c r="BT624" s="3013">
        <f t="shared" si="1496"/>
        <v>7715</v>
      </c>
      <c r="BU624" s="3013">
        <f t="shared" si="1496"/>
        <v>7925</v>
      </c>
      <c r="BV624" s="3013">
        <f t="shared" si="1496"/>
        <v>8090</v>
      </c>
      <c r="BW624" s="3013">
        <f t="shared" si="1496"/>
        <v>8996</v>
      </c>
      <c r="BX624" s="3014">
        <f t="shared" si="1496"/>
        <v>32726</v>
      </c>
      <c r="BY624" s="3013">
        <f t="shared" si="1496"/>
        <v>0</v>
      </c>
      <c r="BZ624" s="3013">
        <f t="shared" si="1496"/>
        <v>0</v>
      </c>
      <c r="CA624" s="3013">
        <f t="shared" ref="CA624:DF624" si="1497">CA121</f>
        <v>0</v>
      </c>
      <c r="CB624" s="3013">
        <f t="shared" si="1497"/>
        <v>0</v>
      </c>
      <c r="CC624" s="3297">
        <f t="shared" si="1497"/>
        <v>0</v>
      </c>
      <c r="CD624" s="3298">
        <f t="shared" si="1497"/>
        <v>9069</v>
      </c>
      <c r="CE624" s="3013">
        <f t="shared" si="1497"/>
        <v>9169</v>
      </c>
      <c r="CF624" s="3013">
        <f t="shared" si="1497"/>
        <v>9681</v>
      </c>
      <c r="CG624" s="3013">
        <f t="shared" si="1497"/>
        <v>10896</v>
      </c>
      <c r="CH624" s="3014">
        <f t="shared" si="1497"/>
        <v>38815</v>
      </c>
      <c r="CI624" s="3049">
        <f t="shared" si="1497"/>
        <v>10765</v>
      </c>
      <c r="CJ624" s="3013">
        <f t="shared" si="1497"/>
        <v>11205</v>
      </c>
      <c r="CK624" s="3013">
        <f t="shared" si="1497"/>
        <v>11472</v>
      </c>
      <c r="CL624" s="3013">
        <f t="shared" si="1497"/>
        <v>12689</v>
      </c>
      <c r="CM624" s="3014">
        <f t="shared" si="1497"/>
        <v>46131</v>
      </c>
      <c r="CN624" s="3013">
        <f t="shared" si="1497"/>
        <v>12163</v>
      </c>
      <c r="CO624" s="3013">
        <f t="shared" si="1497"/>
        <v>12646</v>
      </c>
      <c r="CP624" s="3013">
        <f t="shared" si="1497"/>
        <v>13215</v>
      </c>
      <c r="CQ624" s="3013">
        <f t="shared" si="1497"/>
        <v>15023</v>
      </c>
      <c r="CR624" s="3014">
        <f t="shared" si="1497"/>
        <v>53047</v>
      </c>
      <c r="CS624" s="3013">
        <f t="shared" si="1497"/>
        <v>14232</v>
      </c>
      <c r="CT624" s="3013">
        <f t="shared" si="1497"/>
        <v>15168</v>
      </c>
      <c r="CU624" s="3013">
        <f t="shared" si="1497"/>
        <v>15639</v>
      </c>
      <c r="CV624" s="3013">
        <f t="shared" si="1497"/>
        <v>17551</v>
      </c>
      <c r="CW624" s="3014">
        <f t="shared" si="1497"/>
        <v>62590</v>
      </c>
      <c r="CX624" s="3013">
        <f t="shared" si="1497"/>
        <v>16782</v>
      </c>
      <c r="CY624" s="3013">
        <f t="shared" si="1497"/>
        <v>17581</v>
      </c>
      <c r="CZ624" s="3013">
        <f t="shared" si="1497"/>
        <v>18563</v>
      </c>
      <c r="DA624" s="3013">
        <f t="shared" si="1497"/>
        <v>20777</v>
      </c>
      <c r="DB624" s="3014">
        <f t="shared" si="1497"/>
        <v>73905</v>
      </c>
      <c r="DC624" s="3013">
        <f t="shared" si="1497"/>
        <v>20354</v>
      </c>
      <c r="DD624" s="3013">
        <f t="shared" si="1497"/>
        <v>21667</v>
      </c>
      <c r="DE624" s="3013">
        <f t="shared" si="1497"/>
        <v>22372</v>
      </c>
      <c r="DF624" s="3013">
        <f t="shared" si="1497"/>
        <v>25082</v>
      </c>
      <c r="DG624" s="3014">
        <f t="shared" ref="DG624:DL624" si="1498">DG121</f>
        <v>89735</v>
      </c>
      <c r="DH624" s="3013">
        <f t="shared" si="1498"/>
        <v>23727</v>
      </c>
      <c r="DI624" s="3013">
        <f t="shared" si="1498"/>
        <v>25256</v>
      </c>
      <c r="DJ624" s="3013">
        <f t="shared" si="1498"/>
        <v>26306</v>
      </c>
      <c r="DK624" s="3013">
        <f t="shared" si="1498"/>
        <v>29433</v>
      </c>
      <c r="DL624" s="3014">
        <f t="shared" si="1498"/>
        <v>104722</v>
      </c>
      <c r="DM624" s="3013"/>
      <c r="DN624" s="3013"/>
      <c r="DO624" s="3013"/>
      <c r="DP624" s="3013"/>
      <c r="DQ624" s="3014"/>
      <c r="DR624" s="3013"/>
      <c r="DS624" s="3013"/>
      <c r="DT624" s="3013"/>
      <c r="DU624" s="3013"/>
      <c r="DV624" s="3014"/>
      <c r="DW624" s="3013"/>
      <c r="DX624" s="3013"/>
      <c r="DY624" s="3013"/>
      <c r="DZ624" s="3013"/>
      <c r="EA624" s="3014"/>
      <c r="EB624" s="3013"/>
      <c r="EC624" s="3013"/>
      <c r="ED624" s="3013"/>
      <c r="EE624" s="3013"/>
      <c r="EF624" s="3014"/>
      <c r="EG624" s="3013"/>
      <c r="EH624" s="3013"/>
      <c r="EI624" s="3013"/>
      <c r="EJ624" s="3013"/>
      <c r="EK624" s="3014"/>
      <c r="EL624" s="3013"/>
      <c r="EM624" s="3013"/>
      <c r="EN624" s="3013"/>
      <c r="EO624" s="3013"/>
      <c r="EP624" s="3014"/>
      <c r="EQ624" s="3013"/>
      <c r="ER624" s="3013"/>
      <c r="ES624" s="3013"/>
      <c r="ET624" s="3013"/>
      <c r="EU624" s="3014"/>
      <c r="EV624" s="3014"/>
      <c r="EW624" s="3014"/>
      <c r="EX624" s="3014"/>
      <c r="EY624" s="3014"/>
      <c r="EZ624" s="167"/>
      <c r="FA624" s="1319"/>
      <c r="FB624" s="1319"/>
    </row>
    <row r="625" spans="1:158" s="183" customFormat="1" ht="11.25" hidden="1" customHeight="1">
      <c r="A625" s="1538" t="str">
        <f>A122</f>
        <v>Y/Y growth</v>
      </c>
      <c r="B625" s="739"/>
      <c r="C625" s="181"/>
      <c r="D625" s="181"/>
      <c r="E625" s="182"/>
      <c r="F625" s="983"/>
      <c r="G625" s="739"/>
      <c r="H625" s="181"/>
      <c r="I625" s="181"/>
      <c r="J625" s="181"/>
      <c r="K625" s="991"/>
      <c r="L625" s="181"/>
      <c r="M625" s="181"/>
      <c r="N625" s="181"/>
      <c r="O625" s="181"/>
      <c r="P625" s="991"/>
      <c r="Q625" s="739"/>
      <c r="R625" s="181"/>
      <c r="S625" s="181"/>
      <c r="T625" s="181"/>
      <c r="U625" s="991"/>
      <c r="V625" s="736"/>
      <c r="W625" s="169"/>
      <c r="X625" s="169"/>
      <c r="Y625" s="169"/>
      <c r="Z625" s="991"/>
      <c r="AA625" s="736"/>
      <c r="AB625" s="181"/>
      <c r="AC625" s="181"/>
      <c r="AD625" s="181"/>
      <c r="AE625" s="991"/>
      <c r="AF625" s="736"/>
      <c r="AG625" s="181"/>
      <c r="AH625" s="181"/>
      <c r="AI625" s="181"/>
      <c r="AJ625" s="991"/>
      <c r="AK625" s="739"/>
      <c r="AL625" s="181"/>
      <c r="AM625" s="181"/>
      <c r="AN625" s="190"/>
      <c r="AO625" s="991"/>
      <c r="AP625" s="739"/>
      <c r="AQ625" s="181"/>
      <c r="AR625" s="181"/>
      <c r="AS625" s="190"/>
      <c r="AT625" s="991"/>
      <c r="AU625" s="739">
        <f t="shared" ref="AU625:BZ625" si="1499">AU122</f>
        <v>0.43867101552016452</v>
      </c>
      <c r="AV625" s="181">
        <f t="shared" si="1499"/>
        <v>0.37952291551054262</v>
      </c>
      <c r="AW625" s="181">
        <f t="shared" si="1499"/>
        <v>0.29929317801059629</v>
      </c>
      <c r="AX625" s="190">
        <f t="shared" si="1499"/>
        <v>0.2120919555058669</v>
      </c>
      <c r="AY625" s="991">
        <f t="shared" si="1499"/>
        <v>0.3232797759820496</v>
      </c>
      <c r="AZ625" s="739">
        <f t="shared" si="1499"/>
        <v>8.1869371433840987E-2</v>
      </c>
      <c r="BA625" s="181">
        <f t="shared" si="1499"/>
        <v>4.6162343777154335E-2</v>
      </c>
      <c r="BB625" s="181">
        <f t="shared" si="1499"/>
        <v>8.8322444244737897E-2</v>
      </c>
      <c r="BC625" s="190">
        <f t="shared" si="1499"/>
        <v>0.17983014476564008</v>
      </c>
      <c r="BD625" s="991">
        <f t="shared" si="1499"/>
        <v>0.10071666319279005</v>
      </c>
      <c r="BE625" s="739">
        <f t="shared" si="1499"/>
        <v>0.2231363794495631</v>
      </c>
      <c r="BF625" s="181">
        <f t="shared" si="1499"/>
        <v>0.24395599640875298</v>
      </c>
      <c r="BG625" s="181">
        <f t="shared" si="1499"/>
        <v>0.24529322283649035</v>
      </c>
      <c r="BH625" s="190">
        <f t="shared" si="1499"/>
        <v>0.28532645352758679</v>
      </c>
      <c r="BI625" s="991">
        <f t="shared" si="1499"/>
        <v>0.25118096314916483</v>
      </c>
      <c r="BJ625" s="739">
        <f t="shared" si="1499"/>
        <v>0.31570109151973136</v>
      </c>
      <c r="BK625" s="181">
        <f t="shared" si="1499"/>
        <v>0.36770186335403721</v>
      </c>
      <c r="BL625" s="181">
        <f t="shared" si="1499"/>
        <v>0.3631145972833365</v>
      </c>
      <c r="BM625" s="181">
        <f t="shared" si="1499"/>
        <v>0.26664480157428661</v>
      </c>
      <c r="BN625" s="991">
        <f t="shared" si="1499"/>
        <v>0.32525455327692532</v>
      </c>
      <c r="BO625" s="181">
        <f t="shared" si="1499"/>
        <v>0</v>
      </c>
      <c r="BP625" s="181">
        <f t="shared" si="1499"/>
        <v>0</v>
      </c>
      <c r="BQ625" s="181">
        <f t="shared" si="1499"/>
        <v>0</v>
      </c>
      <c r="BR625" s="181">
        <f t="shared" si="1499"/>
        <v>0</v>
      </c>
      <c r="BS625" s="1962">
        <f t="shared" si="1499"/>
        <v>0</v>
      </c>
      <c r="BT625" s="181">
        <f t="shared" si="1499"/>
        <v>0.23085513720484996</v>
      </c>
      <c r="BU625" s="181">
        <f t="shared" si="1499"/>
        <v>0.19966696942173789</v>
      </c>
      <c r="BV625" s="181">
        <f t="shared" si="1499"/>
        <v>0.13543859649122814</v>
      </c>
      <c r="BW625" s="181">
        <f t="shared" si="1499"/>
        <v>0.16468151216986016</v>
      </c>
      <c r="BX625" s="991">
        <f t="shared" si="1499"/>
        <v>0.18046387476102876</v>
      </c>
      <c r="BY625" s="181">
        <f t="shared" si="1499"/>
        <v>0</v>
      </c>
      <c r="BZ625" s="181">
        <f t="shared" si="1499"/>
        <v>0</v>
      </c>
      <c r="CA625" s="181">
        <f t="shared" ref="CA625:DF625" si="1500">CA122</f>
        <v>0</v>
      </c>
      <c r="CB625" s="181">
        <f t="shared" si="1500"/>
        <v>0</v>
      </c>
      <c r="CC625" s="1962">
        <f t="shared" si="1500"/>
        <v>0</v>
      </c>
      <c r="CD625" s="1692">
        <f t="shared" si="1500"/>
        <v>0.17550226830848992</v>
      </c>
      <c r="CE625" s="181">
        <f t="shared" si="1500"/>
        <v>0.15697160883280747</v>
      </c>
      <c r="CF625" s="181">
        <f t="shared" si="1500"/>
        <v>0.19666254635352276</v>
      </c>
      <c r="CG625" s="181">
        <f t="shared" si="1500"/>
        <v>0.2112049799911071</v>
      </c>
      <c r="CH625" s="991">
        <f t="shared" si="1500"/>
        <v>0.18606001344496725</v>
      </c>
      <c r="CI625" s="551">
        <f t="shared" si="1500"/>
        <v>0.18701069577682206</v>
      </c>
      <c r="CJ625" s="181">
        <f t="shared" si="1500"/>
        <v>0.22205256843712506</v>
      </c>
      <c r="CK625" s="181">
        <f t="shared" si="1500"/>
        <v>0.1850015494267121</v>
      </c>
      <c r="CL625" s="181">
        <f t="shared" si="1500"/>
        <v>0.16455580029368577</v>
      </c>
      <c r="CM625" s="991">
        <f t="shared" si="1500"/>
        <v>0.18848383356949627</v>
      </c>
      <c r="CN625" s="181">
        <f t="shared" si="1500"/>
        <v>0.12986530422666043</v>
      </c>
      <c r="CO625" s="181">
        <f t="shared" si="1500"/>
        <v>0.1286033020972781</v>
      </c>
      <c r="CP625" s="181">
        <f t="shared" si="1500"/>
        <v>0.15193514644351458</v>
      </c>
      <c r="CQ625" s="181">
        <f t="shared" si="1500"/>
        <v>0.18393884466861055</v>
      </c>
      <c r="CR625" s="991">
        <f t="shared" si="1500"/>
        <v>0.14992087750102967</v>
      </c>
      <c r="CS625" s="181">
        <f t="shared" si="1500"/>
        <v>0.17010605936035517</v>
      </c>
      <c r="CT625" s="181">
        <f t="shared" si="1500"/>
        <v>0.19943065000790772</v>
      </c>
      <c r="CU625" s="181">
        <f t="shared" si="1500"/>
        <v>0.18342792281498288</v>
      </c>
      <c r="CV625" s="181">
        <f t="shared" si="1500"/>
        <v>0.16827531118950945</v>
      </c>
      <c r="CW625" s="991">
        <f t="shared" si="1500"/>
        <v>0.17989707240748776</v>
      </c>
      <c r="CX625" s="181">
        <f t="shared" si="1500"/>
        <v>0.17917369308600328</v>
      </c>
      <c r="CY625" s="181">
        <f t="shared" si="1500"/>
        <v>0.15908491561181437</v>
      </c>
      <c r="CZ625" s="181">
        <f t="shared" si="1500"/>
        <v>0.18696847624528412</v>
      </c>
      <c r="DA625" s="181">
        <f t="shared" si="1500"/>
        <v>0.18380719047347727</v>
      </c>
      <c r="DB625" s="991">
        <f t="shared" si="1500"/>
        <v>0.18077967726473876</v>
      </c>
      <c r="DC625" s="181">
        <f t="shared" si="1500"/>
        <v>0.21284709808127755</v>
      </c>
      <c r="DD625" s="181">
        <f t="shared" si="1500"/>
        <v>0.23240998805528701</v>
      </c>
      <c r="DE625" s="181">
        <f t="shared" si="1500"/>
        <v>0.20519312611108109</v>
      </c>
      <c r="DF625" s="181">
        <f t="shared" si="1500"/>
        <v>0.20720026952880599</v>
      </c>
      <c r="DG625" s="991">
        <f t="shared" ref="DG625:DL625" si="1501">DG122</f>
        <v>0.21419389757120633</v>
      </c>
      <c r="DH625" s="181">
        <f t="shared" si="1501"/>
        <v>0.16571681242016312</v>
      </c>
      <c r="DI625" s="181">
        <f t="shared" si="1501"/>
        <v>0.16564360548299262</v>
      </c>
      <c r="DJ625" s="181">
        <f t="shared" si="1501"/>
        <v>0.17584480600750929</v>
      </c>
      <c r="DK625" s="181">
        <f t="shared" si="1501"/>
        <v>0.1734710150705685</v>
      </c>
      <c r="DL625" s="991">
        <f t="shared" si="1501"/>
        <v>0.16701398562433822</v>
      </c>
      <c r="DM625" s="181"/>
      <c r="DN625" s="181"/>
      <c r="DO625" s="181"/>
      <c r="DP625" s="181"/>
      <c r="DQ625" s="991"/>
      <c r="DR625" s="181"/>
      <c r="DS625" s="181"/>
      <c r="DT625" s="181"/>
      <c r="DU625" s="181"/>
      <c r="DV625" s="991"/>
      <c r="DW625" s="181"/>
      <c r="DX625" s="181"/>
      <c r="DY625" s="181"/>
      <c r="DZ625" s="181"/>
      <c r="EA625" s="991"/>
      <c r="EB625" s="181"/>
      <c r="EC625" s="181"/>
      <c r="ED625" s="181"/>
      <c r="EE625" s="181"/>
      <c r="EF625" s="991"/>
      <c r="EG625" s="181"/>
      <c r="EH625" s="181"/>
      <c r="EI625" s="181"/>
      <c r="EJ625" s="181"/>
      <c r="EK625" s="991"/>
      <c r="EL625" s="181"/>
      <c r="EM625" s="181"/>
      <c r="EN625" s="181"/>
      <c r="EO625" s="181"/>
      <c r="EP625" s="991"/>
      <c r="EQ625" s="181"/>
      <c r="ER625" s="181"/>
      <c r="ES625" s="181"/>
      <c r="ET625" s="181"/>
      <c r="EU625" s="991"/>
      <c r="EV625" s="991"/>
      <c r="EW625" s="991"/>
      <c r="EX625" s="991"/>
      <c r="EY625" s="991"/>
      <c r="EZ625" s="169"/>
      <c r="FA625" s="725"/>
      <c r="FB625" s="725"/>
    </row>
    <row r="626" spans="1:158" s="180" customFormat="1" ht="11.25" hidden="1" customHeight="1">
      <c r="A626" s="1543" t="s">
        <v>517</v>
      </c>
      <c r="B626" s="1137"/>
      <c r="C626" s="1138"/>
      <c r="D626" s="1138"/>
      <c r="E626" s="1138"/>
      <c r="F626" s="1139"/>
      <c r="G626" s="1137"/>
      <c r="H626" s="1138"/>
      <c r="I626" s="1138"/>
      <c r="J626" s="1138"/>
      <c r="K626" s="1140"/>
      <c r="L626" s="1138"/>
      <c r="M626" s="1138"/>
      <c r="N626" s="1138"/>
      <c r="O626" s="1138"/>
      <c r="P626" s="1140"/>
      <c r="Q626" s="1137"/>
      <c r="R626" s="1138"/>
      <c r="S626" s="1138"/>
      <c r="T626" s="1138"/>
      <c r="U626" s="1140"/>
      <c r="V626" s="1137"/>
      <c r="W626" s="1138"/>
      <c r="X626" s="1138"/>
      <c r="Y626" s="1138"/>
      <c r="Z626" s="1140"/>
      <c r="AA626" s="1137"/>
      <c r="AB626" s="1138"/>
      <c r="AC626" s="1138"/>
      <c r="AD626" s="1138"/>
      <c r="AE626" s="1140"/>
      <c r="AF626" s="1137"/>
      <c r="AG626" s="1138"/>
      <c r="AH626" s="1138"/>
      <c r="AI626" s="1138"/>
      <c r="AJ626" s="1140"/>
      <c r="AK626" s="1137"/>
      <c r="AL626" s="1138"/>
      <c r="AM626" s="1138"/>
      <c r="AN626" s="1138"/>
      <c r="AO626" s="1140"/>
      <c r="AP626" s="1137"/>
      <c r="AQ626" s="1138"/>
      <c r="AR626" s="1138"/>
      <c r="AS626" s="1138"/>
      <c r="AT626" s="1140"/>
      <c r="AU626" s="1138">
        <f>AU618+AU622</f>
        <v>3459.9331735132164</v>
      </c>
      <c r="AV626" s="1138">
        <f>AV618+AV622</f>
        <v>3534.5462036752979</v>
      </c>
      <c r="AW626" s="1138">
        <f>AW618+AW622</f>
        <v>3707.089827320835</v>
      </c>
      <c r="AX626" s="1138">
        <f>AX618+AX622</f>
        <v>4082.752755752796</v>
      </c>
      <c r="AY626" s="1140">
        <f>SUM(AU626:AX626)</f>
        <v>14784.321960262145</v>
      </c>
      <c r="AZ626" s="1138">
        <f>AZ618+AZ622</f>
        <v>4045.9753772140048</v>
      </c>
      <c r="BA626" s="1138">
        <f>BA618+BA622</f>
        <v>4109.3704547698871</v>
      </c>
      <c r="BB626" s="1138">
        <f>BB618+BB622</f>
        <v>4368.8244374409824</v>
      </c>
      <c r="BC626" s="1138">
        <f>BC618+BC622</f>
        <v>4597.2973495304359</v>
      </c>
      <c r="BD626" s="1140">
        <f>SUM(AZ626:BC626)</f>
        <v>17121.46761895531</v>
      </c>
      <c r="BE626" s="1138">
        <f>BE618+BE622</f>
        <v>4584.3651756517565</v>
      </c>
      <c r="BF626" s="1138">
        <f>BF618+BF622</f>
        <v>4737.0629250861684</v>
      </c>
      <c r="BG626" s="1138">
        <f>BG618+BG622</f>
        <v>5261.8260682244345</v>
      </c>
      <c r="BH626" s="1138">
        <f>BH618+BH622</f>
        <v>6169.0840790818702</v>
      </c>
      <c r="BI626" s="1140">
        <f>SUM(BE626:BH626)</f>
        <v>20752.338248044231</v>
      </c>
      <c r="BJ626" s="1138">
        <f>BJ618+BJ622</f>
        <v>6237.6359946506345</v>
      </c>
      <c r="BK626" s="1138">
        <f>BK618+BK622</f>
        <v>6296.984278723261</v>
      </c>
      <c r="BL626" s="1138">
        <f>BL618+BL622</f>
        <v>6769.9999824280385</v>
      </c>
      <c r="BM626" s="1138">
        <f>BM618+BM622</f>
        <v>7671.5283662896391</v>
      </c>
      <c r="BN626" s="1140">
        <f>SUM(BJ626:BM626)</f>
        <v>26976.148622091576</v>
      </c>
      <c r="BO626" s="1138"/>
      <c r="BP626" s="1138"/>
      <c r="BQ626" s="1138"/>
      <c r="BR626" s="1138"/>
      <c r="BS626" s="1960"/>
      <c r="BT626" s="1138">
        <f>BT618+BT622</f>
        <v>7727.9632159887824</v>
      </c>
      <c r="BU626" s="1138">
        <f>BU618+BU622</f>
        <v>8099.6125548490072</v>
      </c>
      <c r="BV626" s="1138">
        <f>BV618+BV622</f>
        <v>8421.8120500706009</v>
      </c>
      <c r="BW626" s="1138">
        <f>BW618+BW622</f>
        <v>9095.7835549881092</v>
      </c>
      <c r="BX626" s="1140">
        <f>SUM(BT626:BW626)</f>
        <v>33345.171375896505</v>
      </c>
      <c r="BY626" s="1138"/>
      <c r="BZ626" s="1138"/>
      <c r="CA626" s="1138"/>
      <c r="CB626" s="1138"/>
      <c r="CC626" s="1960"/>
      <c r="CD626" s="1691">
        <f>CD618+CD622</f>
        <v>9069</v>
      </c>
      <c r="CE626" s="1138">
        <f>CE618+CE622</f>
        <v>9169</v>
      </c>
      <c r="CF626" s="1138">
        <f>CF618+CF622</f>
        <v>9681</v>
      </c>
      <c r="CG626" s="1138">
        <f>CG618+CG622</f>
        <v>10896</v>
      </c>
      <c r="CH626" s="1140">
        <f>SUM(CD626:CG626)</f>
        <v>38815</v>
      </c>
      <c r="CI626" s="1138">
        <f>CI618+CI622</f>
        <v>10765</v>
      </c>
      <c r="CJ626" s="1138">
        <f>CJ618+CJ622</f>
        <v>11205</v>
      </c>
      <c r="CK626" s="1138">
        <f>CK618+CK622</f>
        <v>11472</v>
      </c>
      <c r="CL626" s="1138">
        <f>CL618+CL622</f>
        <v>12689</v>
      </c>
      <c r="CM626" s="1140">
        <f>SUM(CI626:CL626)</f>
        <v>46131</v>
      </c>
      <c r="CN626" s="1138">
        <f>CN618+CN622</f>
        <v>12163</v>
      </c>
      <c r="CO626" s="1138">
        <f>CO618+CO622</f>
        <v>12646</v>
      </c>
      <c r="CP626" s="1138">
        <f>CP618+CP622</f>
        <v>13215</v>
      </c>
      <c r="CQ626" s="1138">
        <f>CQ618+CQ622</f>
        <v>15023</v>
      </c>
      <c r="CR626" s="1140">
        <f>SUM(CN626:CQ626)</f>
        <v>53047</v>
      </c>
      <c r="CS626" s="1138">
        <f>CS618+CS622</f>
        <v>14232</v>
      </c>
      <c r="CT626" s="1138">
        <f>CT618+CT622</f>
        <v>15168</v>
      </c>
      <c r="CU626" s="1138">
        <f>CU618+CU622</f>
        <v>15639</v>
      </c>
      <c r="CV626" s="1138">
        <f>CV618+CV622</f>
        <v>17551</v>
      </c>
      <c r="CW626" s="1140">
        <f>SUM(CS626:CV626)</f>
        <v>62590</v>
      </c>
      <c r="CX626" s="1138">
        <f t="shared" ref="CX626:DL626" si="1502">CX618+CX622</f>
        <v>16782</v>
      </c>
      <c r="CY626" s="1138">
        <f t="shared" si="1502"/>
        <v>17581</v>
      </c>
      <c r="CZ626" s="1138">
        <f t="shared" si="1502"/>
        <v>18563</v>
      </c>
      <c r="DA626" s="1138">
        <f t="shared" si="1502"/>
        <v>20777</v>
      </c>
      <c r="DB626" s="1140">
        <f t="shared" si="1502"/>
        <v>73703</v>
      </c>
      <c r="DC626" s="1138">
        <f t="shared" si="1502"/>
        <v>20354</v>
      </c>
      <c r="DD626" s="1138">
        <f t="shared" si="1502"/>
        <v>21667</v>
      </c>
      <c r="DE626" s="1138">
        <f t="shared" si="1502"/>
        <v>22372</v>
      </c>
      <c r="DF626" s="1138">
        <f t="shared" si="1502"/>
        <v>25441.254638045477</v>
      </c>
      <c r="DG626" s="1140">
        <f t="shared" si="1502"/>
        <v>89834.254638045473</v>
      </c>
      <c r="DH626" s="1138">
        <f t="shared" si="1502"/>
        <v>24363.695550451772</v>
      </c>
      <c r="DI626" s="1138">
        <f t="shared" si="1502"/>
        <v>25954.5082122245</v>
      </c>
      <c r="DJ626" s="1138">
        <f t="shared" si="1502"/>
        <v>26556.507731618884</v>
      </c>
      <c r="DK626" s="1138">
        <f t="shared" si="1502"/>
        <v>29624.308774592289</v>
      </c>
      <c r="DL626" s="1140">
        <f t="shared" si="1502"/>
        <v>106499.02026888746</v>
      </c>
      <c r="DM626" s="1138"/>
      <c r="DN626" s="1138"/>
      <c r="DO626" s="1138"/>
      <c r="DP626" s="1138"/>
      <c r="DQ626" s="1140"/>
      <c r="DR626" s="1138"/>
      <c r="DS626" s="1138"/>
      <c r="DT626" s="1138"/>
      <c r="DU626" s="1138"/>
      <c r="DV626" s="1140"/>
      <c r="DW626" s="1138"/>
      <c r="DX626" s="1138"/>
      <c r="DY626" s="1138"/>
      <c r="DZ626" s="1138"/>
      <c r="EA626" s="1140"/>
      <c r="EB626" s="1138"/>
      <c r="EC626" s="1138"/>
      <c r="ED626" s="1138"/>
      <c r="EE626" s="1138"/>
      <c r="EF626" s="1140"/>
      <c r="EG626" s="1138"/>
      <c r="EH626" s="1138"/>
      <c r="EI626" s="1138"/>
      <c r="EJ626" s="1138"/>
      <c r="EK626" s="1140"/>
      <c r="EL626" s="1138"/>
      <c r="EM626" s="1138"/>
      <c r="EN626" s="1138"/>
      <c r="EO626" s="1138"/>
      <c r="EP626" s="1140"/>
      <c r="EQ626" s="1138"/>
      <c r="ER626" s="1138"/>
      <c r="ES626" s="1138"/>
      <c r="ET626" s="1138"/>
      <c r="EU626" s="1140"/>
      <c r="EV626" s="1140"/>
      <c r="EW626" s="1140"/>
      <c r="EX626" s="1140"/>
      <c r="EY626" s="1140"/>
      <c r="EZ626" s="175"/>
      <c r="FA626" s="1319"/>
      <c r="FB626" s="1319"/>
    </row>
    <row r="627" spans="1:158" s="183" customFormat="1" ht="11.25" hidden="1" customHeight="1" collapsed="1">
      <c r="A627" s="2408" t="s">
        <v>496</v>
      </c>
      <c r="B627" s="1142"/>
      <c r="C627" s="1143"/>
      <c r="D627" s="1143"/>
      <c r="E627" s="1143"/>
      <c r="F627" s="1145"/>
      <c r="G627" s="1142"/>
      <c r="H627" s="1143"/>
      <c r="I627" s="1143"/>
      <c r="J627" s="1143"/>
      <c r="K627" s="1146"/>
      <c r="L627" s="1143"/>
      <c r="M627" s="1143"/>
      <c r="N627" s="1143"/>
      <c r="O627" s="1143"/>
      <c r="P627" s="1146"/>
      <c r="Q627" s="1142"/>
      <c r="R627" s="1143"/>
      <c r="S627" s="1143"/>
      <c r="T627" s="1143"/>
      <c r="U627" s="1146"/>
      <c r="V627" s="1142"/>
      <c r="W627" s="1143"/>
      <c r="X627" s="1143"/>
      <c r="Y627" s="1143"/>
      <c r="Z627" s="1146"/>
      <c r="AA627" s="1142"/>
      <c r="AB627" s="1143"/>
      <c r="AC627" s="1143"/>
      <c r="AD627" s="1143"/>
      <c r="AE627" s="1146"/>
      <c r="AF627" s="1142"/>
      <c r="AG627" s="1143"/>
      <c r="AH627" s="1143"/>
      <c r="AI627" s="1143"/>
      <c r="AJ627" s="1146"/>
      <c r="AK627" s="1142"/>
      <c r="AL627" s="1143"/>
      <c r="AM627" s="1143"/>
      <c r="AN627" s="1143"/>
      <c r="AO627" s="1146"/>
      <c r="AP627" s="1142"/>
      <c r="AQ627" s="1143"/>
      <c r="AR627" s="1143"/>
      <c r="AS627" s="1143"/>
      <c r="AT627" s="1146"/>
      <c r="AU627" s="1143"/>
      <c r="AV627" s="1143"/>
      <c r="AW627" s="1143"/>
      <c r="AX627" s="1143"/>
      <c r="AY627" s="1146"/>
      <c r="AZ627" s="1143">
        <f t="shared" ref="AZ627:BN627" si="1503">AZ626/(AU624-AU590)-1</f>
        <v>0.123831476809656</v>
      </c>
      <c r="BA627" s="1143">
        <f t="shared" si="1503"/>
        <v>0.1086009648417483</v>
      </c>
      <c r="BB627" s="1143">
        <f t="shared" si="1503"/>
        <v>0.14255417469810516</v>
      </c>
      <c r="BC627" s="1143">
        <f t="shared" si="1503"/>
        <v>0.17978394702927325</v>
      </c>
      <c r="BD627" s="1146">
        <f t="shared" si="1503"/>
        <v>0.1393474754062296</v>
      </c>
      <c r="BE627" s="1143">
        <f t="shared" si="1503"/>
        <v>0.2238405497435072</v>
      </c>
      <c r="BF627" s="1143">
        <f t="shared" si="1503"/>
        <v>0.25886368486920319</v>
      </c>
      <c r="BG627" s="1143">
        <f t="shared" si="1503"/>
        <v>0.26497155143129558</v>
      </c>
      <c r="BH627" s="1143">
        <f t="shared" si="1503"/>
        <v>0.30243698654370488</v>
      </c>
      <c r="BI627" s="1146">
        <f t="shared" si="1503"/>
        <v>0.26499605491490286</v>
      </c>
      <c r="BJ627" s="1143">
        <f t="shared" si="1503"/>
        <v>0.31195941380159642</v>
      </c>
      <c r="BK627" s="1143">
        <f t="shared" si="1503"/>
        <v>0.32456866380922067</v>
      </c>
      <c r="BL627" s="1143">
        <f t="shared" si="1503"/>
        <v>0.31683812339018513</v>
      </c>
      <c r="BM627" s="1143">
        <f t="shared" si="1503"/>
        <v>0.26305071648701706</v>
      </c>
      <c r="BN627" s="1146">
        <f t="shared" si="1503"/>
        <v>0.30172767199845474</v>
      </c>
      <c r="BO627" s="1143"/>
      <c r="BP627" s="1143"/>
      <c r="BQ627" s="1143"/>
      <c r="BR627" s="1143"/>
      <c r="BS627" s="1959"/>
      <c r="BT627" s="1143">
        <f>BT626/(BJ624-BJ590)-1</f>
        <v>0.23559650818282574</v>
      </c>
      <c r="BU627" s="1143">
        <f>BU626/(BK624-BK590)-1</f>
        <v>0.22681672427503075</v>
      </c>
      <c r="BV627" s="1143">
        <f>BV626/(BL624-BL590)-1</f>
        <v>0.18216805523762747</v>
      </c>
      <c r="BW627" s="1143">
        <f>BW626/(BM624-BM590)-1</f>
        <v>0.18127543280213088</v>
      </c>
      <c r="BX627" s="1146">
        <f>BX626/(BN624-BN590)-1</f>
        <v>0.20464115327782739</v>
      </c>
      <c r="BY627" s="1143"/>
      <c r="BZ627" s="1143"/>
      <c r="CA627" s="1143"/>
      <c r="CB627" s="1143"/>
      <c r="CC627" s="1959"/>
      <c r="CD627" s="1690">
        <f>CD626/(BT624-BT590)-1</f>
        <v>0.18094243457167369</v>
      </c>
      <c r="CE627" s="1143">
        <f>CE626/(BU624-BU590)-1</f>
        <v>0.16843580696367599</v>
      </c>
      <c r="CF627" s="1143">
        <f>CF626/(BV624-BV590)-1</f>
        <v>0.20536643793664644</v>
      </c>
      <c r="CG627" s="1143">
        <f>CG626/(BW624-BW590)-1</f>
        <v>0.21588459071262722</v>
      </c>
      <c r="CH627" s="1146">
        <f>CH626/(BX624-BX590)-1</f>
        <v>0.19357395026480928</v>
      </c>
      <c r="CI627" s="1143">
        <f t="shared" ref="CI627:DA627" si="1504">CI626/(CD624-CD590)-1</f>
        <v>0.18701069577682206</v>
      </c>
      <c r="CJ627" s="1143">
        <f t="shared" si="1504"/>
        <v>0.22205256843712506</v>
      </c>
      <c r="CK627" s="1143">
        <f t="shared" si="1504"/>
        <v>0.1850015494267121</v>
      </c>
      <c r="CL627" s="1143">
        <f t="shared" si="1504"/>
        <v>0.16455580029368577</v>
      </c>
      <c r="CM627" s="1146">
        <f t="shared" si="1504"/>
        <v>0.18848383356949627</v>
      </c>
      <c r="CN627" s="1143">
        <f t="shared" si="1504"/>
        <v>0.12986530422666043</v>
      </c>
      <c r="CO627" s="1143">
        <f t="shared" si="1504"/>
        <v>0.1286033020972781</v>
      </c>
      <c r="CP627" s="1143">
        <f t="shared" si="1504"/>
        <v>0.15193514644351458</v>
      </c>
      <c r="CQ627" s="1143">
        <f t="shared" si="1504"/>
        <v>0.18393884466861055</v>
      </c>
      <c r="CR627" s="1146">
        <f t="shared" si="1504"/>
        <v>0.14992087750102967</v>
      </c>
      <c r="CS627" s="1143">
        <f t="shared" si="1504"/>
        <v>0.17010605936035517</v>
      </c>
      <c r="CT627" s="1143">
        <f t="shared" si="1504"/>
        <v>0.19943065000790772</v>
      </c>
      <c r="CU627" s="1143">
        <f t="shared" si="1504"/>
        <v>0.18342792281498288</v>
      </c>
      <c r="CV627" s="1143">
        <f t="shared" si="1504"/>
        <v>0.16827531118950945</v>
      </c>
      <c r="CW627" s="1146">
        <f t="shared" si="1504"/>
        <v>0.17989707240748776</v>
      </c>
      <c r="CX627" s="1143">
        <f t="shared" si="1504"/>
        <v>0.17917369308600328</v>
      </c>
      <c r="CY627" s="1143">
        <f t="shared" si="1504"/>
        <v>0.15908491561181437</v>
      </c>
      <c r="CZ627" s="1143">
        <f t="shared" si="1504"/>
        <v>0.18696847624528412</v>
      </c>
      <c r="DA627" s="1143">
        <f t="shared" si="1504"/>
        <v>0.18380719047347727</v>
      </c>
      <c r="DB627" s="1146">
        <f t="shared" ref="DB627:DL627" si="1505">DB626/(CW624-CW590)-1</f>
        <v>0.17755232465250037</v>
      </c>
      <c r="DC627" s="1143">
        <f t="shared" si="1505"/>
        <v>0.21284709808127755</v>
      </c>
      <c r="DD627" s="1143">
        <f t="shared" si="1505"/>
        <v>0.23240998805528701</v>
      </c>
      <c r="DE627" s="1143">
        <f t="shared" si="1505"/>
        <v>0.20519312611108109</v>
      </c>
      <c r="DF627" s="1143">
        <f t="shared" si="1505"/>
        <v>0.22449124695795719</v>
      </c>
      <c r="DG627" s="1146">
        <f t="shared" si="1505"/>
        <v>0.21553690058920871</v>
      </c>
      <c r="DH627" s="1143">
        <f t="shared" si="1505"/>
        <v>0.19699791443705283</v>
      </c>
      <c r="DI627" s="1143">
        <f t="shared" si="1505"/>
        <v>0.19788195007266807</v>
      </c>
      <c r="DJ627" s="1143">
        <f t="shared" si="1505"/>
        <v>0.18704218360534974</v>
      </c>
      <c r="DK627" s="1143">
        <f t="shared" si="1505"/>
        <v>0.18595261286433185</v>
      </c>
      <c r="DL627" s="1146">
        <f t="shared" si="1505"/>
        <v>0.18817633282650248</v>
      </c>
      <c r="DM627" s="1143"/>
      <c r="DN627" s="1143"/>
      <c r="DO627" s="1143"/>
      <c r="DP627" s="1143"/>
      <c r="DQ627" s="1146"/>
      <c r="DR627" s="1143"/>
      <c r="DS627" s="1143"/>
      <c r="DT627" s="1143"/>
      <c r="DU627" s="1143"/>
      <c r="DV627" s="1146"/>
      <c r="DW627" s="1143"/>
      <c r="DX627" s="1143"/>
      <c r="DY627" s="1143"/>
      <c r="DZ627" s="1143"/>
      <c r="EA627" s="1146"/>
      <c r="EB627" s="1143"/>
      <c r="EC627" s="1143"/>
      <c r="ED627" s="1143"/>
      <c r="EE627" s="1143"/>
      <c r="EF627" s="1146"/>
      <c r="EG627" s="1143"/>
      <c r="EH627" s="1143"/>
      <c r="EI627" s="1143"/>
      <c r="EJ627" s="1143"/>
      <c r="EK627" s="1146"/>
      <c r="EL627" s="1143"/>
      <c r="EM627" s="1143"/>
      <c r="EN627" s="1143"/>
      <c r="EO627" s="1143"/>
      <c r="EP627" s="1146"/>
      <c r="EQ627" s="1143"/>
      <c r="ER627" s="1143"/>
      <c r="ES627" s="1143"/>
      <c r="ET627" s="1143"/>
      <c r="EU627" s="1146"/>
      <c r="EV627" s="1146"/>
      <c r="EW627" s="1146"/>
      <c r="EX627" s="1146"/>
      <c r="EY627" s="1146"/>
      <c r="EZ627" s="181"/>
      <c r="FA627" s="4267"/>
      <c r="FB627" s="4267"/>
    </row>
    <row r="628" spans="1:158" s="211" customFormat="1" ht="11.25" hidden="1" customHeight="1">
      <c r="A628" s="2067"/>
      <c r="B628" s="2001"/>
      <c r="C628" s="183"/>
      <c r="D628" s="183"/>
      <c r="E628" s="183"/>
      <c r="F628" s="269"/>
      <c r="G628" s="183"/>
      <c r="H628" s="183"/>
      <c r="I628" s="183"/>
      <c r="J628" s="183"/>
      <c r="K628" s="1028"/>
      <c r="P628" s="1028"/>
      <c r="U628" s="1028"/>
      <c r="Z628" s="1028"/>
      <c r="AE628" s="1028"/>
      <c r="AJ628" s="1028"/>
      <c r="AO628" s="1028"/>
      <c r="AT628" s="1028"/>
      <c r="AU628" s="2085"/>
      <c r="AY628" s="1938"/>
      <c r="AZ628" s="2085"/>
      <c r="BC628" s="344"/>
      <c r="BD628" s="1938"/>
      <c r="BE628" s="2085"/>
      <c r="BI628" s="1938"/>
      <c r="BJ628" s="2085"/>
      <c r="BN628" s="1938"/>
      <c r="BS628" s="1938"/>
      <c r="BX628" s="1938"/>
      <c r="CC628" s="1938"/>
      <c r="CH628" s="1938"/>
      <c r="CM628" s="1938"/>
      <c r="CR628" s="1938"/>
      <c r="CW628" s="1938"/>
      <c r="DB628" s="1938"/>
      <c r="DG628" s="1938"/>
      <c r="DL628" s="1938"/>
      <c r="DQ628" s="1938"/>
      <c r="DV628" s="1938"/>
      <c r="EA628" s="1938"/>
      <c r="EF628" s="1938"/>
      <c r="EK628" s="1938"/>
      <c r="EP628" s="1938"/>
      <c r="EU628" s="1938"/>
      <c r="EV628" s="1938"/>
      <c r="EW628" s="1938"/>
      <c r="EX628" s="1938"/>
      <c r="EY628" s="1938"/>
      <c r="FA628" s="725"/>
      <c r="FB628" s="725"/>
    </row>
    <row r="629" spans="1:158" ht="11.25" hidden="1" customHeight="1">
      <c r="AZ629" s="285"/>
      <c r="BE629" s="285"/>
      <c r="CV629" s="283"/>
      <c r="FA629" s="725"/>
      <c r="FB629" s="725"/>
    </row>
    <row r="630" spans="1:158" s="357" customFormat="1" ht="11.25" hidden="1" customHeight="1">
      <c r="A630" s="3947" t="s">
        <v>523</v>
      </c>
      <c r="B630" s="3946"/>
      <c r="C630" s="3946"/>
      <c r="D630" s="3946"/>
      <c r="E630" s="3946"/>
      <c r="F630" s="3946"/>
      <c r="G630" s="3946"/>
      <c r="H630" s="3946"/>
      <c r="I630" s="3946"/>
      <c r="J630" s="3946"/>
      <c r="K630" s="3945"/>
      <c r="L630" s="3946"/>
      <c r="M630" s="3946"/>
      <c r="N630" s="3946"/>
      <c r="O630" s="3946"/>
      <c r="P630" s="3945"/>
      <c r="Q630" s="3946"/>
      <c r="R630" s="3946"/>
      <c r="S630" s="3946"/>
      <c r="T630" s="3946"/>
      <c r="U630" s="3945"/>
      <c r="V630" s="3946"/>
      <c r="W630" s="3946"/>
      <c r="X630" s="3946"/>
      <c r="Y630" s="3946"/>
      <c r="Z630" s="3945"/>
      <c r="AA630" s="3946"/>
      <c r="AB630" s="3946"/>
      <c r="AC630" s="3946"/>
      <c r="AD630" s="3946"/>
      <c r="AE630" s="3945"/>
      <c r="AF630" s="3946"/>
      <c r="AG630" s="3946"/>
      <c r="AH630" s="3946"/>
      <c r="AI630" s="3946"/>
      <c r="AJ630" s="3945"/>
      <c r="AK630" s="3946"/>
      <c r="AL630" s="3946"/>
      <c r="AM630" s="3946"/>
      <c r="AN630" s="3946"/>
      <c r="AO630" s="3945"/>
      <c r="AP630" s="3946"/>
      <c r="AQ630" s="3946"/>
      <c r="AR630" s="3946"/>
      <c r="AS630" s="3946"/>
      <c r="AT630" s="3945"/>
      <c r="AU630" s="3946"/>
      <c r="AV630" s="3946"/>
      <c r="AW630" s="3946"/>
      <c r="AX630" s="3946"/>
      <c r="AY630" s="3945"/>
      <c r="AZ630" s="3946"/>
      <c r="BA630" s="3946"/>
      <c r="BB630" s="3946"/>
      <c r="BC630" s="3946"/>
      <c r="BD630" s="3945"/>
      <c r="BE630" s="3946"/>
      <c r="BF630" s="3946"/>
      <c r="BG630" s="3946"/>
      <c r="BH630" s="3946"/>
      <c r="BI630" s="3945"/>
      <c r="BJ630" s="3946"/>
      <c r="BK630" s="3946"/>
      <c r="BL630" s="3946"/>
      <c r="BM630" s="3946"/>
      <c r="BN630" s="3945"/>
      <c r="BO630" s="3946"/>
      <c r="BP630" s="3946"/>
      <c r="BQ630" s="3946"/>
      <c r="BR630" s="3946"/>
      <c r="BS630" s="3945"/>
      <c r="BT630" s="3946"/>
      <c r="BU630" s="3946"/>
      <c r="BV630" s="3946"/>
      <c r="BW630" s="3946"/>
      <c r="BX630" s="3945"/>
      <c r="BY630" s="3946"/>
      <c r="BZ630" s="3946"/>
      <c r="CA630" s="3946"/>
      <c r="CB630" s="3946"/>
      <c r="CC630" s="3945"/>
      <c r="CD630" s="3946"/>
      <c r="CE630" s="3946"/>
      <c r="CF630" s="3946"/>
      <c r="CG630" s="3946"/>
      <c r="CH630" s="3945"/>
      <c r="CI630" s="3946"/>
      <c r="CJ630" s="3946"/>
      <c r="CK630" s="3946"/>
      <c r="CL630" s="3946"/>
      <c r="CM630" s="3948"/>
      <c r="CN630" s="3949"/>
      <c r="CO630" s="3949"/>
      <c r="CP630" s="3949"/>
      <c r="CQ630" s="3949"/>
      <c r="CR630" s="3948" t="str">
        <f t="shared" ref="CR630:DP630" si="1506">IF(AND(ABS(CR69-CR520)&lt;0.1,ABS(CR520-CR170)&lt;0.1,ABS(CR170-CR69)&lt;0.1),"ok","err")</f>
        <v>ok</v>
      </c>
      <c r="CS630" s="3949" t="str">
        <f t="shared" si="1506"/>
        <v>ok</v>
      </c>
      <c r="CT630" s="3949" t="str">
        <f t="shared" si="1506"/>
        <v>ok</v>
      </c>
      <c r="CU630" s="3949" t="str">
        <f t="shared" si="1506"/>
        <v>ok</v>
      </c>
      <c r="CV630" s="3949" t="str">
        <f t="shared" si="1506"/>
        <v>ok</v>
      </c>
      <c r="CW630" s="3948" t="str">
        <f t="shared" si="1506"/>
        <v>ok</v>
      </c>
      <c r="CX630" s="3949" t="str">
        <f t="shared" si="1506"/>
        <v>ok</v>
      </c>
      <c r="CY630" s="3949" t="str">
        <f t="shared" si="1506"/>
        <v>ok</v>
      </c>
      <c r="CZ630" s="3949" t="str">
        <f t="shared" si="1506"/>
        <v>ok</v>
      </c>
      <c r="DA630" s="3949" t="str">
        <f t="shared" si="1506"/>
        <v>ok</v>
      </c>
      <c r="DB630" s="3948" t="str">
        <f t="shared" si="1506"/>
        <v>ok</v>
      </c>
      <c r="DC630" s="3949" t="str">
        <f t="shared" si="1506"/>
        <v>ok</v>
      </c>
      <c r="DD630" s="3949" t="str">
        <f t="shared" si="1506"/>
        <v>ok</v>
      </c>
      <c r="DE630" s="3949" t="str">
        <f t="shared" si="1506"/>
        <v>ok</v>
      </c>
      <c r="DF630" s="3949" t="str">
        <f t="shared" si="1506"/>
        <v>ok</v>
      </c>
      <c r="DG630" s="3948" t="str">
        <f t="shared" si="1506"/>
        <v>ok</v>
      </c>
      <c r="DH630" s="3949" t="str">
        <f t="shared" si="1506"/>
        <v>ok</v>
      </c>
      <c r="DI630" s="3949" t="str">
        <f t="shared" si="1506"/>
        <v>ok</v>
      </c>
      <c r="DJ630" s="3949" t="str">
        <f t="shared" si="1506"/>
        <v>ok</v>
      </c>
      <c r="DK630" s="3949" t="str">
        <f t="shared" si="1506"/>
        <v>err</v>
      </c>
      <c r="DL630" s="3948" t="str">
        <f t="shared" si="1506"/>
        <v>err</v>
      </c>
      <c r="DM630" s="3949" t="str">
        <f t="shared" si="1506"/>
        <v>err</v>
      </c>
      <c r="DN630" s="3949" t="str">
        <f t="shared" si="1506"/>
        <v>err</v>
      </c>
      <c r="DO630" s="3949" t="str">
        <f t="shared" si="1506"/>
        <v>err</v>
      </c>
      <c r="DP630" s="3949" t="str">
        <f t="shared" si="1506"/>
        <v>err</v>
      </c>
      <c r="DQ630" s="3948"/>
      <c r="DR630" s="3949"/>
      <c r="DS630" s="3949"/>
      <c r="DT630" s="3949"/>
      <c r="DU630" s="3949"/>
      <c r="DV630" s="3948"/>
      <c r="DW630" s="3949"/>
      <c r="DX630" s="3949"/>
      <c r="DY630" s="3949"/>
      <c r="DZ630" s="3949"/>
      <c r="EA630" s="3948"/>
      <c r="EB630" s="3949"/>
      <c r="EC630" s="3949"/>
      <c r="ED630" s="3949"/>
      <c r="EE630" s="3949"/>
      <c r="EF630" s="3948"/>
      <c r="EG630" s="3949"/>
      <c r="EH630" s="3949"/>
      <c r="EI630" s="3949"/>
      <c r="EJ630" s="3949"/>
      <c r="EK630" s="3948"/>
      <c r="EL630" s="3949"/>
      <c r="EM630" s="3949"/>
      <c r="EN630" s="3949"/>
      <c r="EO630" s="3949"/>
      <c r="EP630" s="3948"/>
      <c r="EQ630" s="3949"/>
      <c r="ER630" s="3949"/>
      <c r="ES630" s="3949"/>
      <c r="ET630" s="3949"/>
      <c r="EU630" s="3948"/>
      <c r="EV630" s="3948"/>
      <c r="EW630" s="3948"/>
      <c r="EX630" s="3948"/>
      <c r="EY630" s="3948"/>
      <c r="EZ630" s="138"/>
      <c r="FA630" s="725"/>
      <c r="FB630" s="725"/>
    </row>
    <row r="631" spans="1:158" ht="11.25" hidden="1" customHeight="1">
      <c r="AZ631" s="285"/>
      <c r="BE631" s="285"/>
      <c r="CV631" s="37"/>
      <c r="FA631" s="1112"/>
      <c r="FB631" s="1112"/>
    </row>
    <row r="632" spans="1:158" ht="11.25" hidden="1" customHeight="1"/>
    <row r="633" spans="1:158" ht="11.25" hidden="1" customHeight="1"/>
  </sheetData>
  <mergeCells count="3">
    <mergeCell ref="DC3:DF3"/>
    <mergeCell ref="DC2:DF2"/>
    <mergeCell ref="DC4:DF4"/>
  </mergeCells>
  <phoneticPr fontId="0" type="noConversion"/>
  <pageMargins left="0.25" right="0.25" top="0.75" bottom="0.75" header="0.3" footer="0.3"/>
  <pageSetup scale="13" orientation="landscape" r:id="rId1"/>
  <headerFooter alignWithMargins="0"/>
  <rowBreaks count="4" manualBreakCount="4">
    <brk id="113" max="85" man="1"/>
    <brk id="138" max="85" man="1"/>
    <brk id="205" max="85" man="1"/>
    <brk id="402" max="85" man="1"/>
  </rowBreaks>
  <drawing r:id="rId2"/>
  <legacyDrawing r:id="rId3"/>
  <webPublishItems count="14">
    <webPublishItem id="5049" divId="GOOGL_5049" sourceType="range" sourceRef="A6:EK136" destinationFile="C:\Users\R544600\AppData\Local\Temp\1\ExternalObjectTempData\excel\extobj-20221025125945k07D5.html"/>
    <webPublishItem id="23015" divId="GOOGL_23015" sourceType="range" sourceRef="A6:EK136" destinationFile="C:\Users\R544600\AppData\Local\Temp\1\ExternalObjectTempData\excel\extobj-20221025214840kp12.html"/>
    <webPublishItem id="30925" divId="GOOGL_30925" sourceType="range" sourceRef="A6:EK136" destinationFile="C:\Users\R544600\AppData\Local\Temp\1\ExternalObjectTempData\excel\extobj-20230202235609kp4.html"/>
    <webPublishItem id="7570" divId="GOOGL_7570" sourceType="range" sourceRef="A6:EK136" destinationFile="C:\Users\R544600\AppData\Local\Temp\1\ExternalObjectTempData\excel\extobj-20230425222441kp4.html"/>
    <webPublishItem id="26316" divId="GOOGL_26316" sourceType="range" sourceRef="A6:EK136" destinationFile="C:\Users\R544600\AppData\Local\Temp\1\ExternalObjectTempData\excel\extobj-20230725215606kIpE6.html"/>
    <webPublishItem id="17856" divId="GOOGL_17856" sourceType="range" sourceRef="A6:EP136" destinationFile="C:\Users\R544600\AppData\Local\Temp\1\ExternalObjectTempData\excel\extobj-20230725224530kp11.html"/>
    <webPublishItem id="23590" divId="GOOGL WIP (24 Quarters) C_23590" sourceType="range" sourceRef="A6:EP136" destinationFile="C:\Users\R544600\AppData\Local\Temp\1\ExternalObjectTempData\excel\extobj-20231016135435koMF7.html"/>
    <webPublishItem id="1818" divId="GOOGL_1818" sourceType="range" sourceRef="A168:EK320" destinationFile="C:\Users\R544600\AppData\Local\Temp\1\ExternalObjectTempData\excel\extobj-20221025125855kwmE4.html"/>
    <webPublishItem id="23751" divId="GOOGL_23751" sourceType="range" sourceRef="A168:EK320" destinationFile="C:\Users\R544600\AppData\Local\Temp\1\ExternalObjectTempData\excel\extobj-20221025214848kp13.html"/>
    <webPublishItem id="31345" divId="GOOGL_31345" sourceType="range" sourceRef="A168:EK320" destinationFile="C:\Users\R544600\AppData\Local\Temp\1\ExternalObjectTempData\excel\extobj-20230202235620kp5.html"/>
    <webPublishItem id="8101" divId="GOOGL_8101" sourceType="range" sourceRef="A168:EK320" destinationFile="C:\Users\R544600\AppData\Local\Temp\1\ExternalObjectTempData\excel\extobj-20230425222453kp5.html"/>
    <webPublishItem id="6749" divId="GOOGL_6749" sourceType="range" sourceRef="A168:EK320" destinationFile="C:\Users\R544600\AppData\Local\Temp\1\ExternalObjectTempData\excel\extobj-20230725215945kiv7.html"/>
    <webPublishItem id="17894" divId="GOOGL_17894" sourceType="range" sourceRef="A168:EP320" destinationFile="C:\Users\R544600\AppData\Local\Temp\1\ExternalObjectTempData\excel\extobj-20230725224540kJ5C12.html"/>
    <webPublishItem id="25192" divId="GOOGL WIP (24 Quarters) C_25192" sourceType="range" sourceRef="A168:EP320" destinationFile="C:\Users\R544600\AppData\Local\Temp\1\ExternalObjectTempData\excel\extobj-20231016135500kCNB8.html"/>
  </webPublishItem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autoPageBreaks="0"/>
  </sheetPr>
  <dimension ref="A1:FD416"/>
  <sheetViews>
    <sheetView showGridLines="0" zoomScaleNormal="100" workbookViewId="0">
      <pane xSplit="1" ySplit="6" topLeftCell="EF7" activePane="bottomRight" state="frozen"/>
      <selection pane="topRight" activeCell="B1" sqref="B1"/>
      <selection pane="bottomLeft" activeCell="A7" sqref="A7"/>
      <selection pane="bottomRight" activeCell="EF7" sqref="EF7"/>
    </sheetView>
  </sheetViews>
  <sheetFormatPr defaultRowHeight="12.75" outlineLevelRow="2" outlineLevelCol="2"/>
  <cols>
    <col min="1" max="1" width="45.7109375" style="1518" customWidth="1"/>
    <col min="2" max="5" width="9.140625" hidden="1" customWidth="1"/>
    <col min="6" max="6" width="7.140625" hidden="1" customWidth="1" collapsed="1"/>
    <col min="7" max="10" width="9.140625" hidden="1" customWidth="1"/>
    <col min="11" max="11" width="7.140625" hidden="1" customWidth="1"/>
    <col min="12" max="15" width="9.140625" hidden="1" customWidth="1"/>
    <col min="16" max="16" width="7.140625" hidden="1" customWidth="1"/>
    <col min="17" max="20" width="9.140625" hidden="1" customWidth="1"/>
    <col min="21" max="21" width="7.140625" hidden="1" customWidth="1"/>
    <col min="22" max="25" width="9.140625" hidden="1" customWidth="1"/>
    <col min="26" max="26" width="7.140625" hidden="1" customWidth="1"/>
    <col min="27" max="30" width="9.140625" hidden="1" customWidth="1"/>
    <col min="31" max="31" width="7.140625" hidden="1" customWidth="1"/>
    <col min="32" max="35" width="9.140625" hidden="1" customWidth="1"/>
    <col min="36" max="36" width="7.140625" hidden="1" customWidth="1"/>
    <col min="37" max="40" width="9.140625" hidden="1" customWidth="1"/>
    <col min="41" max="41" width="7.140625" hidden="1" customWidth="1"/>
    <col min="42" max="45" width="9.140625" hidden="1" customWidth="1"/>
    <col min="46" max="46" width="7.140625" hidden="1" customWidth="1"/>
    <col min="47" max="50" width="9.140625" hidden="1" customWidth="1"/>
    <col min="51" max="51" width="7.140625" hidden="1" customWidth="1"/>
    <col min="52" max="55" width="9.140625" hidden="1" customWidth="1"/>
    <col min="56" max="56" width="7.140625" hidden="1" customWidth="1"/>
    <col min="57" max="60" width="9.140625" hidden="1" customWidth="1"/>
    <col min="61" max="61" width="7.140625" hidden="1" customWidth="1"/>
    <col min="62" max="62" width="5" hidden="1" customWidth="1"/>
    <col min="63" max="65" width="9.140625" hidden="1" customWidth="1"/>
    <col min="66" max="66" width="7.140625" hidden="1" customWidth="1"/>
    <col min="67" max="70" width="9.7109375" hidden="1" customWidth="1"/>
    <col min="71" max="81" width="7.140625" hidden="1" customWidth="1"/>
    <col min="82" max="85" width="9.140625" hidden="1" customWidth="1"/>
    <col min="86" max="86" width="7.7109375" hidden="1" customWidth="1" outlineLevel="2" collapsed="1"/>
    <col min="87" max="90" width="7.140625" hidden="1" customWidth="1" outlineLevel="2"/>
    <col min="91" max="91" width="7.140625" hidden="1" customWidth="1" outlineLevel="2" collapsed="1"/>
    <col min="92" max="95" width="7.140625" hidden="1" customWidth="1" outlineLevel="2"/>
    <col min="96" max="96" width="8.28515625" hidden="1" customWidth="1" outlineLevel="2" collapsed="1"/>
    <col min="97" max="100" width="8.28515625" hidden="1" customWidth="1" outlineLevel="2"/>
    <col min="101" max="102" width="8.28515625" hidden="1" customWidth="1" outlineLevel="2" collapsed="1"/>
    <col min="103" max="105" width="8.28515625" hidden="1" customWidth="1" outlineLevel="2"/>
    <col min="106" max="106" width="8.28515625" hidden="1" customWidth="1" outlineLevel="2" collapsed="1"/>
    <col min="107" max="110" width="8.28515625" hidden="1" customWidth="1" outlineLevel="2"/>
    <col min="111" max="111" width="8.28515625" hidden="1" customWidth="1" outlineLevel="1" collapsed="1"/>
    <col min="112" max="115" width="8.28515625" hidden="1" customWidth="1" outlineLevel="2"/>
    <col min="116" max="116" width="8.28515625" hidden="1" customWidth="1" outlineLevel="1" collapsed="1"/>
    <col min="117" max="120" width="8.28515625" hidden="1" customWidth="1" outlineLevel="2"/>
    <col min="121" max="121" width="8.28515625" hidden="1" customWidth="1" outlineLevel="1" collapsed="1"/>
    <col min="122" max="125" width="8.28515625" hidden="1" customWidth="1" outlineLevel="2"/>
    <col min="126" max="126" width="8.28515625" hidden="1" customWidth="1" outlineLevel="1" collapsed="1"/>
    <col min="127" max="130" width="8.28515625" hidden="1" customWidth="1" outlineLevel="2"/>
    <col min="131" max="131" width="8.28515625" hidden="1" customWidth="1" outlineLevel="1" collapsed="1"/>
    <col min="132" max="135" width="8.28515625" hidden="1" customWidth="1" outlineLevel="1"/>
    <col min="136" max="136" width="8.28515625" customWidth="1" collapsed="1"/>
    <col min="137" max="155" width="8.28515625" customWidth="1"/>
    <col min="156" max="156" width="3.7109375" style="536" customWidth="1"/>
    <col min="157" max="158" width="9.7109375" customWidth="1"/>
  </cols>
  <sheetData>
    <row r="1" spans="1:159" s="2" customFormat="1" ht="11.25" customHeight="1">
      <c r="A1" s="1515"/>
      <c r="B1" s="20"/>
      <c r="C1" s="20"/>
      <c r="D1" s="20"/>
      <c r="E1" s="20"/>
      <c r="F1" s="20"/>
      <c r="G1" s="20"/>
      <c r="H1" s="22"/>
      <c r="I1" s="22"/>
      <c r="J1" s="20"/>
      <c r="K1" s="20"/>
      <c r="L1" s="20"/>
      <c r="M1" s="20"/>
      <c r="N1" s="20"/>
      <c r="O1" s="20"/>
      <c r="P1" s="20"/>
      <c r="Q1" s="20"/>
      <c r="R1" s="22"/>
      <c r="S1" s="22"/>
      <c r="T1" s="20"/>
      <c r="U1" s="20"/>
      <c r="V1" s="20"/>
      <c r="W1" s="20"/>
      <c r="X1" s="20"/>
      <c r="Y1" s="22"/>
      <c r="Z1" s="20"/>
      <c r="AA1" s="20"/>
      <c r="AB1" s="20"/>
      <c r="AC1" s="20"/>
      <c r="AD1" s="20"/>
      <c r="AE1" s="20"/>
      <c r="AF1" s="20"/>
      <c r="AG1" s="20"/>
      <c r="AH1" s="20"/>
      <c r="AI1" s="20"/>
      <c r="AJ1" s="22"/>
      <c r="AK1" s="22"/>
      <c r="AL1" s="22"/>
      <c r="AM1" s="22"/>
      <c r="AN1" s="22"/>
      <c r="AO1" s="22"/>
      <c r="AP1" s="22"/>
      <c r="AQ1" s="22"/>
      <c r="AR1" s="22"/>
      <c r="AS1" s="22"/>
      <c r="AT1" s="20"/>
      <c r="AU1" s="22"/>
      <c r="AV1" s="22"/>
      <c r="AW1" s="22"/>
      <c r="AX1" s="22"/>
      <c r="AY1" s="20"/>
      <c r="AZ1" s="22"/>
      <c r="BA1" s="22"/>
      <c r="BB1" s="22"/>
      <c r="BC1" s="22"/>
      <c r="BD1" s="20"/>
      <c r="BE1" s="22"/>
      <c r="BF1" s="22"/>
      <c r="BG1" s="22"/>
      <c r="BH1" s="22"/>
      <c r="BI1" s="20"/>
      <c r="BJ1" s="22"/>
      <c r="BK1" s="22"/>
      <c r="BL1" s="22"/>
      <c r="BM1" s="22"/>
      <c r="BN1" s="20"/>
      <c r="BO1" s="20"/>
      <c r="BP1" s="20"/>
      <c r="BQ1" s="20"/>
      <c r="BR1" s="20"/>
      <c r="BS1" s="20"/>
      <c r="BT1" s="20"/>
      <c r="BU1" s="20"/>
      <c r="BV1" s="20"/>
      <c r="BW1" s="20"/>
      <c r="BX1" s="20"/>
      <c r="BY1" s="20"/>
      <c r="BZ1" s="20"/>
      <c r="CA1" s="20"/>
      <c r="CB1" s="20"/>
      <c r="CC1" s="20"/>
      <c r="CD1" s="22"/>
      <c r="CE1" s="22"/>
      <c r="CF1" s="22"/>
      <c r="CG1" s="22"/>
      <c r="CH1" s="20"/>
      <c r="CI1" s="22"/>
      <c r="CJ1" s="22"/>
      <c r="CK1" s="22"/>
      <c r="CL1" s="22"/>
      <c r="CM1" s="20"/>
      <c r="CN1" s="22"/>
      <c r="CO1" s="22"/>
      <c r="CP1" s="22"/>
      <c r="CQ1" s="22"/>
      <c r="CR1" s="20"/>
      <c r="CS1" s="20"/>
      <c r="CT1" s="20"/>
      <c r="CU1" s="20"/>
      <c r="CV1" s="20"/>
      <c r="CW1" s="20"/>
      <c r="CX1" s="20"/>
      <c r="CY1" s="20"/>
      <c r="CZ1" s="20"/>
      <c r="DA1" s="20"/>
      <c r="DB1" s="20"/>
      <c r="DC1" s="20"/>
      <c r="DD1" s="20"/>
      <c r="DE1" s="20"/>
      <c r="DF1" s="20"/>
      <c r="DG1" s="20"/>
      <c r="DH1" s="4127"/>
      <c r="DI1" s="4127"/>
      <c r="DJ1" s="4127"/>
      <c r="DK1" s="4127"/>
      <c r="DL1" s="4896"/>
      <c r="DM1" s="4896"/>
      <c r="DN1" s="4896"/>
      <c r="DO1" s="4896"/>
      <c r="DP1" s="4896"/>
      <c r="DQ1" s="4896"/>
      <c r="DR1" s="6269" t="s">
        <v>1035</v>
      </c>
      <c r="DS1" s="6269"/>
      <c r="DT1" s="6269"/>
      <c r="DU1" s="6269"/>
      <c r="DV1" s="6270" t="s">
        <v>1039</v>
      </c>
      <c r="DW1" s="6270"/>
      <c r="DX1" s="6270"/>
      <c r="DY1" s="6270"/>
      <c r="DZ1" s="6270"/>
      <c r="EA1" s="6270"/>
      <c r="EB1" s="5232"/>
      <c r="EC1" s="5232"/>
      <c r="ED1" s="5232"/>
      <c r="EE1" s="5232"/>
      <c r="EF1" s="6061"/>
      <c r="EG1" s="5232"/>
      <c r="EH1" s="5232"/>
      <c r="EI1" s="5232"/>
      <c r="EJ1" s="6061"/>
      <c r="EL1" s="6061"/>
      <c r="EM1" s="6061"/>
      <c r="EN1" s="5270"/>
      <c r="EO1" s="5270"/>
      <c r="EP1" s="5270"/>
      <c r="ER1" s="5270"/>
      <c r="ES1" s="5270"/>
      <c r="ET1" s="5270"/>
      <c r="EU1" s="5270"/>
      <c r="EV1" s="5270"/>
      <c r="EW1" s="5270"/>
      <c r="EX1" s="5270"/>
      <c r="EY1" s="6227"/>
      <c r="FA1" s="20"/>
      <c r="FB1" s="20"/>
      <c r="FC1" s="20"/>
    </row>
    <row r="2" spans="1:159" s="17" customFormat="1" ht="28.5" customHeight="1">
      <c r="A2" s="2916" t="str">
        <f>IS!A2</f>
        <v>Alphabet Inc.</v>
      </c>
      <c r="B2" s="18"/>
      <c r="C2" s="18"/>
      <c r="D2" s="18"/>
      <c r="E2" s="18"/>
      <c r="F2" s="18"/>
      <c r="G2" s="18"/>
      <c r="H2" s="18"/>
      <c r="I2" s="18"/>
      <c r="J2" s="18"/>
      <c r="K2" s="18"/>
      <c r="L2" s="18"/>
      <c r="M2" s="18"/>
      <c r="N2" s="18"/>
      <c r="O2" s="18"/>
      <c r="P2" s="18"/>
      <c r="Q2" s="18"/>
      <c r="R2" s="18"/>
      <c r="S2" s="18"/>
      <c r="T2" s="18"/>
      <c r="U2" s="18"/>
      <c r="V2" s="18"/>
      <c r="W2" s="18"/>
      <c r="X2" s="18"/>
      <c r="Y2" s="23"/>
      <c r="Z2" s="18"/>
      <c r="AA2" s="18"/>
      <c r="AB2" s="18"/>
      <c r="AC2" s="18"/>
      <c r="AD2" s="18"/>
      <c r="AE2" s="18"/>
      <c r="AF2" s="18"/>
      <c r="AG2" s="18"/>
      <c r="AH2" s="18"/>
      <c r="AI2" s="18"/>
      <c r="AJ2" s="23"/>
      <c r="AK2" s="23"/>
      <c r="AL2" s="23"/>
      <c r="AM2" s="23"/>
      <c r="AN2" s="23"/>
      <c r="AO2" s="18"/>
      <c r="AP2" s="18"/>
      <c r="AQ2" s="18"/>
      <c r="AR2" s="18"/>
      <c r="AS2" s="18"/>
      <c r="AT2" s="18"/>
      <c r="AU2" s="18"/>
      <c r="AV2" s="18"/>
      <c r="AW2" s="18"/>
      <c r="AX2" s="18"/>
      <c r="AY2" s="18"/>
      <c r="AZ2" s="18"/>
      <c r="BA2" s="18"/>
      <c r="BB2" s="18"/>
      <c r="BC2" s="18"/>
      <c r="BD2" s="18"/>
      <c r="BE2" s="18"/>
      <c r="BF2" s="18"/>
      <c r="BG2" s="18"/>
      <c r="BH2" s="18"/>
      <c r="BI2" s="18"/>
      <c r="BJ2" s="18"/>
      <c r="BK2" s="474"/>
      <c r="BL2" s="18"/>
      <c r="BM2" s="18"/>
      <c r="BN2" s="18"/>
      <c r="BO2" s="580"/>
      <c r="BP2" s="18"/>
      <c r="BQ2" s="18"/>
      <c r="BR2" s="18"/>
      <c r="BS2" s="18"/>
      <c r="BT2" s="18"/>
      <c r="BU2" s="18"/>
      <c r="BV2" s="18"/>
      <c r="BW2" s="18"/>
      <c r="BX2" s="18"/>
      <c r="BY2" s="18"/>
      <c r="BZ2" s="18"/>
      <c r="CA2" s="18"/>
      <c r="CB2" s="18"/>
      <c r="CC2" s="18"/>
      <c r="CD2" s="580"/>
      <c r="CE2" s="580"/>
      <c r="CF2" s="580"/>
      <c r="CG2" s="580"/>
      <c r="CH2" s="580"/>
      <c r="CI2" s="580"/>
      <c r="CJ2" s="580"/>
      <c r="CK2" s="580"/>
      <c r="CL2" s="580"/>
      <c r="CM2" s="580"/>
      <c r="CN2" s="580"/>
      <c r="CO2" s="580"/>
      <c r="CP2" s="580"/>
      <c r="CQ2" s="658"/>
      <c r="CR2" s="659"/>
      <c r="CS2" s="659"/>
      <c r="CT2" s="659"/>
      <c r="CU2" s="659"/>
      <c r="CV2" s="290"/>
      <c r="CW2" s="150"/>
      <c r="CX2" s="659"/>
      <c r="CY2" s="659"/>
      <c r="CZ2" s="659"/>
      <c r="DA2" s="659"/>
      <c r="DB2" s="290"/>
      <c r="DC2" s="659"/>
      <c r="DD2" s="659"/>
      <c r="DE2" s="659"/>
      <c r="DF2" s="659"/>
      <c r="DG2" s="290"/>
      <c r="DH2" s="659"/>
      <c r="DI2" s="659"/>
      <c r="DJ2" s="659"/>
      <c r="DK2" s="659"/>
      <c r="DL2" s="127"/>
      <c r="DM2" s="127"/>
      <c r="DN2" s="127"/>
      <c r="DO2" s="127"/>
      <c r="DP2" s="127"/>
      <c r="DQ2" s="4896"/>
      <c r="DR2" s="6269"/>
      <c r="DS2" s="6269"/>
      <c r="DT2" s="6269"/>
      <c r="DU2" s="6269"/>
      <c r="DV2" s="6270"/>
      <c r="DW2" s="6270"/>
      <c r="DX2" s="6270"/>
      <c r="DY2" s="6270"/>
      <c r="DZ2" s="6270"/>
      <c r="EA2" s="6270"/>
      <c r="EB2" s="5232"/>
      <c r="EC2" s="5232"/>
      <c r="ED2" s="5232"/>
      <c r="EE2" s="5232"/>
      <c r="EF2" s="6061"/>
      <c r="EH2" s="5232"/>
      <c r="EI2" s="5232"/>
      <c r="EJ2" s="6061"/>
      <c r="EL2" s="5270"/>
      <c r="EM2" s="5270"/>
      <c r="EN2" s="5270"/>
      <c r="EO2" s="5270"/>
      <c r="EP2" s="5270"/>
      <c r="EQ2" s="5270"/>
      <c r="ER2" s="5270"/>
      <c r="ES2" s="5270"/>
      <c r="ET2" s="5270"/>
      <c r="EU2" s="5270"/>
      <c r="EV2" s="5270"/>
      <c r="EW2" s="5270"/>
      <c r="EX2" s="5270"/>
      <c r="EY2" s="5270"/>
      <c r="FA2" s="806"/>
      <c r="FB2" s="806"/>
      <c r="FC2" s="806"/>
    </row>
    <row r="3" spans="1:159" s="15" customFormat="1" ht="20.25" customHeight="1">
      <c r="A3" s="2917" t="s">
        <v>435</v>
      </c>
      <c r="B3" s="19"/>
      <c r="C3" s="19"/>
      <c r="D3" s="19"/>
      <c r="E3" s="19"/>
      <c r="F3" s="19"/>
      <c r="G3" s="19"/>
      <c r="H3" s="19"/>
      <c r="I3" s="19"/>
      <c r="J3" s="19"/>
      <c r="K3" s="19"/>
      <c r="L3" s="19"/>
      <c r="M3" s="19"/>
      <c r="N3" s="19"/>
      <c r="O3" s="19"/>
      <c r="P3" s="19"/>
      <c r="Q3" s="19"/>
      <c r="R3" s="19"/>
      <c r="S3" s="19"/>
      <c r="T3" s="19"/>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470"/>
      <c r="BF3" s="470"/>
      <c r="BG3" s="470"/>
      <c r="BH3" s="470"/>
      <c r="BI3" s="470"/>
      <c r="BJ3" s="470"/>
      <c r="BK3" s="473"/>
      <c r="BL3" s="470"/>
      <c r="BM3" s="470"/>
      <c r="BN3" s="470"/>
      <c r="BO3" s="470"/>
      <c r="BP3" s="470"/>
      <c r="BQ3" s="470"/>
      <c r="BR3" s="470"/>
      <c r="BS3" s="470"/>
      <c r="BT3" s="470"/>
      <c r="BU3" s="470"/>
      <c r="BV3" s="470"/>
      <c r="BW3" s="470"/>
      <c r="BX3" s="470"/>
      <c r="BY3" s="470"/>
      <c r="BZ3" s="470"/>
      <c r="CA3" s="470"/>
      <c r="CB3" s="470"/>
      <c r="CC3" s="470"/>
      <c r="CD3" s="470"/>
      <c r="CE3" s="470"/>
      <c r="CF3" s="470"/>
      <c r="CG3" s="470"/>
      <c r="CH3" s="470"/>
      <c r="CI3" s="529"/>
      <c r="CJ3" s="529"/>
      <c r="CK3" s="529"/>
      <c r="CL3" s="529"/>
      <c r="CM3" s="470"/>
      <c r="CN3" s="529"/>
      <c r="CO3" s="529"/>
      <c r="CP3" s="529"/>
      <c r="CQ3" s="658"/>
      <c r="CR3" s="659"/>
      <c r="CS3" s="659"/>
      <c r="CT3" s="659"/>
      <c r="CU3" s="659"/>
      <c r="CV3" s="756"/>
      <c r="CW3" s="659"/>
      <c r="CX3" s="659"/>
      <c r="CY3" s="659"/>
      <c r="CZ3" s="659"/>
      <c r="DA3" s="659"/>
      <c r="DB3" s="756"/>
      <c r="DC3" s="659"/>
      <c r="DD3" s="659"/>
      <c r="DE3" s="659"/>
      <c r="DF3" s="659"/>
      <c r="DG3" s="760"/>
      <c r="DH3" s="659"/>
      <c r="DI3" s="659"/>
      <c r="DJ3" s="659"/>
      <c r="DK3" s="659"/>
      <c r="DL3" s="760"/>
      <c r="DM3" s="4896"/>
      <c r="DN3" s="4896"/>
      <c r="DO3" s="4896"/>
      <c r="DP3" s="4896"/>
      <c r="DQ3" s="4896"/>
      <c r="DR3" s="4896"/>
      <c r="DS3" s="4896"/>
      <c r="DT3" s="4896"/>
      <c r="DU3" s="4896"/>
      <c r="DV3" s="4896"/>
      <c r="DW3" s="4896"/>
      <c r="DX3" s="4896"/>
      <c r="DY3" s="5272"/>
      <c r="DZ3" s="5271"/>
      <c r="EA3" s="5270"/>
      <c r="EB3" s="5270"/>
      <c r="EC3" s="5270"/>
      <c r="ED3" s="5220"/>
      <c r="EE3" s="5220"/>
      <c r="EF3" s="5270"/>
      <c r="EG3" s="5220"/>
      <c r="EH3" s="5220"/>
      <c r="EI3" s="5220"/>
      <c r="EJ3" s="6061"/>
      <c r="EL3" s="6061"/>
      <c r="EM3" s="6061"/>
      <c r="EN3" s="5270"/>
      <c r="EO3" s="5270"/>
      <c r="EP3" s="5270"/>
      <c r="EQ3" s="5270"/>
      <c r="ER3" s="5270"/>
      <c r="ES3" s="5270"/>
      <c r="ET3" s="5270"/>
      <c r="EU3" s="5270"/>
      <c r="EV3" s="5270"/>
      <c r="EW3" s="5270"/>
      <c r="EX3" s="5270"/>
      <c r="EY3" s="6061"/>
      <c r="EZ3" s="809"/>
      <c r="FA3" s="809"/>
      <c r="FB3" s="809"/>
      <c r="FC3" s="809"/>
    </row>
    <row r="4" spans="1:159" s="6" customFormat="1">
      <c r="A4" s="1517" t="s">
        <v>36</v>
      </c>
      <c r="B4" s="20"/>
      <c r="C4" s="20"/>
      <c r="D4" s="20"/>
      <c r="E4" s="20"/>
      <c r="F4" s="20"/>
      <c r="G4" s="20"/>
      <c r="H4" s="22"/>
      <c r="I4" s="22"/>
      <c r="J4" s="20"/>
      <c r="K4" s="20"/>
      <c r="L4" s="20"/>
      <c r="M4" s="20"/>
      <c r="N4" s="20"/>
      <c r="O4" s="20"/>
      <c r="P4" s="20"/>
      <c r="Q4" s="20"/>
      <c r="R4" s="22"/>
      <c r="S4" s="22"/>
      <c r="T4" s="20"/>
      <c r="U4" s="20"/>
      <c r="V4" s="20"/>
      <c r="W4" s="20"/>
      <c r="X4" s="20"/>
      <c r="Y4" s="22"/>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42"/>
      <c r="BG4" s="42"/>
      <c r="BH4" s="42"/>
      <c r="BI4" s="470"/>
      <c r="BJ4" s="42"/>
      <c r="BK4" s="42"/>
      <c r="BL4" s="42"/>
      <c r="BM4" s="42"/>
      <c r="BN4" s="470"/>
      <c r="BO4" s="470"/>
      <c r="BP4" s="470"/>
      <c r="BQ4" s="470"/>
      <c r="BR4" s="470"/>
      <c r="BS4" s="470"/>
      <c r="BT4" s="470"/>
      <c r="BU4" s="470"/>
      <c r="BV4" s="470"/>
      <c r="BW4" s="470"/>
      <c r="BX4" s="470"/>
      <c r="BY4" s="470"/>
      <c r="BZ4" s="470"/>
      <c r="CA4" s="470"/>
      <c r="CB4" s="470"/>
      <c r="CC4" s="470"/>
      <c r="CD4" s="42"/>
      <c r="CE4" s="42"/>
      <c r="CF4" s="42"/>
      <c r="CG4" s="42"/>
      <c r="CH4" s="470"/>
      <c r="CI4" s="42"/>
      <c r="CJ4" s="510"/>
      <c r="CK4" s="510"/>
      <c r="CL4" s="42"/>
      <c r="CM4" s="470"/>
      <c r="CN4" s="42"/>
      <c r="CO4" s="510"/>
      <c r="CP4" s="510"/>
      <c r="CQ4" s="42"/>
      <c r="CR4" s="473"/>
      <c r="CS4" s="470"/>
      <c r="CT4" s="470"/>
      <c r="CU4" s="470"/>
      <c r="CV4" s="619"/>
      <c r="CW4" s="473"/>
      <c r="CX4" s="470"/>
      <c r="CY4" s="470"/>
      <c r="CZ4" s="470"/>
      <c r="DA4" s="470"/>
      <c r="DB4" s="661"/>
      <c r="DC4" s="470"/>
      <c r="DD4" s="470"/>
      <c r="DE4" s="470"/>
      <c r="DF4" s="470"/>
      <c r="DG4" s="661"/>
      <c r="DH4" s="470"/>
      <c r="DI4" s="470"/>
      <c r="DJ4" s="470"/>
      <c r="DK4" s="470"/>
      <c r="DL4" s="661"/>
      <c r="DM4" s="4896"/>
      <c r="DN4" s="4896"/>
      <c r="DO4" s="4896"/>
      <c r="DP4" s="4896"/>
      <c r="DQ4" s="5084"/>
      <c r="DR4" s="4896"/>
      <c r="DS4" s="4896"/>
      <c r="DT4" s="4896"/>
      <c r="DU4" s="4896"/>
      <c r="DV4" s="4896"/>
      <c r="DW4" s="5756"/>
      <c r="DX4" s="5756"/>
      <c r="DY4" s="5756"/>
      <c r="DZ4" s="5756"/>
      <c r="EA4" s="5270"/>
      <c r="EB4" s="5272"/>
      <c r="EC4" s="4896"/>
      <c r="ED4" s="4896"/>
      <c r="EE4" s="4896"/>
      <c r="EF4" s="5270"/>
      <c r="EH4" s="4896"/>
      <c r="EI4" s="4896"/>
      <c r="EJ4" s="6061"/>
      <c r="EL4" s="6061"/>
      <c r="EM4" s="6061"/>
      <c r="EN4" s="5270"/>
      <c r="EO4" s="5270"/>
      <c r="EP4" s="5270"/>
      <c r="EQ4" s="5270"/>
      <c r="ER4" s="5270"/>
      <c r="ES4" s="5270"/>
      <c r="ET4" s="5270"/>
      <c r="EU4" s="5270"/>
      <c r="EV4" s="5270"/>
      <c r="EW4" s="5270"/>
      <c r="EX4" s="5270"/>
      <c r="EY4" s="6061"/>
      <c r="FA4" s="661"/>
      <c r="FB4" s="661"/>
      <c r="FC4" s="661"/>
    </row>
    <row r="5" spans="1:159">
      <c r="CH5" s="2535"/>
      <c r="DQ5" s="4728"/>
      <c r="DR5" s="4728"/>
      <c r="DS5" s="4728"/>
      <c r="DT5" s="4728"/>
      <c r="DU5" s="4728"/>
      <c r="DV5" s="4728"/>
      <c r="DW5" s="4728"/>
      <c r="DX5" s="4728"/>
      <c r="DY5" s="4728"/>
      <c r="DZ5" s="4728"/>
      <c r="EA5" s="4628"/>
      <c r="EB5" s="4629"/>
      <c r="EC5" s="4629"/>
      <c r="ED5" s="4629"/>
      <c r="EE5" s="4629"/>
      <c r="EF5" s="5795"/>
      <c r="EG5" s="4629"/>
      <c r="EH5" s="4629"/>
      <c r="EI5" s="4629"/>
      <c r="EJ5" s="6061"/>
      <c r="EL5" s="6061"/>
      <c r="EM5" s="6061"/>
      <c r="EN5" s="5270"/>
      <c r="EO5" s="5270"/>
      <c r="EP5" s="475"/>
      <c r="EQ5" s="5270"/>
      <c r="ER5" s="5270"/>
      <c r="ES5" s="5270"/>
      <c r="ET5" s="5270"/>
      <c r="EU5" s="5270"/>
      <c r="EV5" s="5270"/>
      <c r="EW5" s="5270"/>
      <c r="EX5" s="5270"/>
      <c r="EY5" s="6061"/>
      <c r="FA5" s="1340" t="s">
        <v>853</v>
      </c>
      <c r="FB5" s="1340" t="s">
        <v>854</v>
      </c>
    </row>
    <row r="6" spans="1:159" s="535" customFormat="1">
      <c r="A6" s="5116" t="s">
        <v>690</v>
      </c>
      <c r="B6" s="4770" t="str">
        <f>'Revenue Drivers'!B6</f>
        <v>3/99A</v>
      </c>
      <c r="C6" s="4770" t="str">
        <f>'Revenue Drivers'!C6</f>
        <v>6/99A</v>
      </c>
      <c r="D6" s="4770" t="str">
        <f>'Revenue Drivers'!D6</f>
        <v>9/99A</v>
      </c>
      <c r="E6" s="4770" t="str">
        <f>'Revenue Drivers'!E6</f>
        <v>12/99A</v>
      </c>
      <c r="F6" s="5117" t="str">
        <f>'Revenue Drivers'!F6</f>
        <v>1999A</v>
      </c>
      <c r="G6" s="4770" t="str">
        <f>'Revenue Drivers'!G6</f>
        <v>3/00A</v>
      </c>
      <c r="H6" s="4770" t="str">
        <f>'Revenue Drivers'!H6</f>
        <v>6/00A</v>
      </c>
      <c r="I6" s="4770" t="str">
        <f>'Revenue Drivers'!I6</f>
        <v>9/00A</v>
      </c>
      <c r="J6" s="4770" t="str">
        <f>'Revenue Drivers'!J6</f>
        <v>12/00A</v>
      </c>
      <c r="K6" s="4770" t="str">
        <f>'Revenue Drivers'!K6</f>
        <v>2000A</v>
      </c>
      <c r="L6" s="4770" t="str">
        <f>'Revenue Drivers'!L6</f>
        <v>3/01A</v>
      </c>
      <c r="M6" s="4770" t="str">
        <f>'Revenue Drivers'!M6</f>
        <v>6/01A</v>
      </c>
      <c r="N6" s="4770" t="str">
        <f>'Revenue Drivers'!N6</f>
        <v>9/01A</v>
      </c>
      <c r="O6" s="4770" t="str">
        <f>'Revenue Drivers'!O6</f>
        <v>12/01A</v>
      </c>
      <c r="P6" s="5117" t="str">
        <f>'Revenue Drivers'!P6</f>
        <v>2001A</v>
      </c>
      <c r="Q6" s="4770" t="str">
        <f>'Revenue Drivers'!Q6</f>
        <v>3/02A</v>
      </c>
      <c r="R6" s="4770" t="str">
        <f>'Revenue Drivers'!R6</f>
        <v>6/02A</v>
      </c>
      <c r="S6" s="4770" t="str">
        <f>'Revenue Drivers'!S6</f>
        <v>9/02A</v>
      </c>
      <c r="T6" s="4770" t="str">
        <f>'Revenue Drivers'!T6</f>
        <v>12/02A</v>
      </c>
      <c r="U6" s="5117" t="str">
        <f>'Revenue Drivers'!U6</f>
        <v>2002A</v>
      </c>
      <c r="V6" s="4770" t="str">
        <f>'Revenue Drivers'!V6</f>
        <v>3/03A</v>
      </c>
      <c r="W6" s="4770" t="str">
        <f>'Revenue Drivers'!W6</f>
        <v>6/03A</v>
      </c>
      <c r="X6" s="4770" t="str">
        <f>'Revenue Drivers'!X6</f>
        <v>9/03A</v>
      </c>
      <c r="Y6" s="4770" t="str">
        <f>'Revenue Drivers'!Y6</f>
        <v>12/03A</v>
      </c>
      <c r="Z6" s="5117" t="str">
        <f>'Revenue Drivers'!Z6</f>
        <v>2003A</v>
      </c>
      <c r="AA6" s="4770" t="str">
        <f>'Revenue Drivers'!AA6</f>
        <v>3/04A</v>
      </c>
      <c r="AB6" s="4770" t="str">
        <f>'Revenue Drivers'!AB6</f>
        <v>6/04A</v>
      </c>
      <c r="AC6" s="4770" t="str">
        <f>'Revenue Drivers'!AC6</f>
        <v>9/04A</v>
      </c>
      <c r="AD6" s="4770" t="str">
        <f>'Revenue Drivers'!AD6</f>
        <v>12/04A</v>
      </c>
      <c r="AE6" s="5117" t="str">
        <f>'Revenue Drivers'!AE6</f>
        <v>2004A</v>
      </c>
      <c r="AF6" s="4770" t="str">
        <f>'Revenue Drivers'!AF6</f>
        <v>3/05A</v>
      </c>
      <c r="AG6" s="4770" t="str">
        <f>'Revenue Drivers'!AG6</f>
        <v>6/05A</v>
      </c>
      <c r="AH6" s="4770" t="str">
        <f>'Revenue Drivers'!AH6</f>
        <v>9/05A</v>
      </c>
      <c r="AI6" s="4770" t="str">
        <f>'Revenue Drivers'!AI6</f>
        <v>12/05A</v>
      </c>
      <c r="AJ6" s="5117" t="str">
        <f>'Revenue Drivers'!AJ6</f>
        <v>2005A</v>
      </c>
      <c r="AK6" s="4770" t="str">
        <f>'Revenue Drivers'!AK6</f>
        <v>3/06A</v>
      </c>
      <c r="AL6" s="4770" t="str">
        <f>'Revenue Drivers'!AL6</f>
        <v>6/06A</v>
      </c>
      <c r="AM6" s="4770" t="str">
        <f>'Revenue Drivers'!AM6</f>
        <v>9/06A</v>
      </c>
      <c r="AN6" s="4770" t="str">
        <f>'Revenue Drivers'!AN6</f>
        <v>12/06A</v>
      </c>
      <c r="AO6" s="5117" t="str">
        <f>'Revenue Drivers'!AO6</f>
        <v>2006A</v>
      </c>
      <c r="AP6" s="4770" t="str">
        <f>'Revenue Drivers'!AP6</f>
        <v>3/07A</v>
      </c>
      <c r="AQ6" s="4770" t="str">
        <f>'Revenue Drivers'!AQ6</f>
        <v>6/07A</v>
      </c>
      <c r="AR6" s="4770" t="str">
        <f>'Revenue Drivers'!AR6</f>
        <v>9/07A</v>
      </c>
      <c r="AS6" s="4770" t="str">
        <f>'Revenue Drivers'!AS6</f>
        <v>12/07A</v>
      </c>
      <c r="AT6" s="5117" t="str">
        <f>'Revenue Drivers'!AT6</f>
        <v>2007A</v>
      </c>
      <c r="AU6" s="4770" t="str">
        <f>'Revenue Drivers'!AU6</f>
        <v>3/08A</v>
      </c>
      <c r="AV6" s="4770" t="str">
        <f>'Revenue Drivers'!AV6</f>
        <v>6/08A</v>
      </c>
      <c r="AW6" s="4770" t="str">
        <f>'Revenue Drivers'!AW6</f>
        <v>9/08A</v>
      </c>
      <c r="AX6" s="4770" t="str">
        <f>'Revenue Drivers'!AX6</f>
        <v>12/08A</v>
      </c>
      <c r="AY6" s="4770" t="str">
        <f>'Revenue Drivers'!AY6</f>
        <v>2008A</v>
      </c>
      <c r="AZ6" s="4770" t="str">
        <f>'Revenue Drivers'!AZ6</f>
        <v>3/09A</v>
      </c>
      <c r="BA6" s="4770" t="str">
        <f>'Revenue Drivers'!BA6</f>
        <v>6/09A</v>
      </c>
      <c r="BB6" s="4770" t="str">
        <f>'Revenue Drivers'!BB6</f>
        <v>9/09A</v>
      </c>
      <c r="BC6" s="4770" t="str">
        <f>'Revenue Drivers'!BC6</f>
        <v>12/09A</v>
      </c>
      <c r="BD6" s="4770" t="str">
        <f>'Revenue Drivers'!BD6</f>
        <v>2009A</v>
      </c>
      <c r="BE6" s="4770" t="str">
        <f>'Revenue Drivers'!BE6</f>
        <v>3/10A</v>
      </c>
      <c r="BF6" s="4770" t="str">
        <f>'Revenue Drivers'!BF6</f>
        <v>6/10A</v>
      </c>
      <c r="BG6" s="4770" t="str">
        <f>'Revenue Drivers'!BG6</f>
        <v>9/10A</v>
      </c>
      <c r="BH6" s="4770" t="str">
        <f>'Revenue Drivers'!BH6</f>
        <v>12/10A</v>
      </c>
      <c r="BI6" s="4770" t="str">
        <f>'Revenue Drivers'!BI6</f>
        <v>2010A</v>
      </c>
      <c r="BJ6" s="4770" t="str">
        <f>'Revenue Drivers'!BJ6</f>
        <v>3/11A</v>
      </c>
      <c r="BK6" s="4770" t="str">
        <f>'Revenue Drivers'!BK6</f>
        <v>6/11A</v>
      </c>
      <c r="BL6" s="4770" t="str">
        <f>'Revenue Drivers'!BL6</f>
        <v>9/11A</v>
      </c>
      <c r="BM6" s="4770" t="str">
        <f>'Revenue Drivers'!BM6</f>
        <v>12/11A</v>
      </c>
      <c r="BN6" s="4770" t="str">
        <f>'Revenue Drivers'!BN6</f>
        <v>2011A</v>
      </c>
      <c r="BO6" s="4770" t="str">
        <f>'Revenue Drivers'!BT6</f>
        <v>3/12A</v>
      </c>
      <c r="BP6" s="4770" t="str">
        <f>'Revenue Drivers'!BU6</f>
        <v>6/12A</v>
      </c>
      <c r="BQ6" s="4770" t="str">
        <f>'Revenue Drivers'!BV6</f>
        <v>9/12A</v>
      </c>
      <c r="BR6" s="4770" t="str">
        <f>'Revenue Drivers'!BW6</f>
        <v>12/12A</v>
      </c>
      <c r="BS6" s="4770" t="str">
        <f>'Revenue Drivers'!BX6</f>
        <v>2012A</v>
      </c>
      <c r="BT6" s="4770"/>
      <c r="BU6" s="4770"/>
      <c r="BV6" s="4770"/>
      <c r="BW6" s="4770"/>
      <c r="BX6" s="4770"/>
      <c r="BY6" s="4770"/>
      <c r="BZ6" s="4770"/>
      <c r="CA6" s="4770"/>
      <c r="CB6" s="4770"/>
      <c r="CC6" s="4770"/>
      <c r="CD6" s="4770" t="str">
        <f>'Revenue Drivers'!CD6</f>
        <v>3/13A</v>
      </c>
      <c r="CE6" s="4770" t="str">
        <f>'Revenue Drivers'!CE6</f>
        <v>6/13A</v>
      </c>
      <c r="CF6" s="4770" t="str">
        <f>'Revenue Drivers'!CF6</f>
        <v>9/13A</v>
      </c>
      <c r="CG6" s="4770" t="str">
        <f>'Revenue Drivers'!CG6</f>
        <v>12/13A</v>
      </c>
      <c r="CH6" s="4770" t="str">
        <f>'Revenue Drivers'!CH6</f>
        <v>2013A</v>
      </c>
      <c r="CI6" s="4770" t="str">
        <f>'Revenue Drivers'!CI6</f>
        <v>3/14A</v>
      </c>
      <c r="CJ6" s="4770" t="str">
        <f>'Revenue Drivers'!CJ6</f>
        <v>6/14A</v>
      </c>
      <c r="CK6" s="4770" t="str">
        <f>'Revenue Drivers'!CK6</f>
        <v>9/14A</v>
      </c>
      <c r="CL6" s="4770" t="str">
        <f>'Revenue Drivers'!CL6</f>
        <v>12/14A</v>
      </c>
      <c r="CM6" s="4770" t="str">
        <f>'Revenue Drivers'!CM6</f>
        <v>2014A</v>
      </c>
      <c r="CN6" s="4770" t="str">
        <f>'Revenue Drivers'!CN6</f>
        <v>3/15A</v>
      </c>
      <c r="CO6" s="4770" t="str">
        <f>'Revenue Drivers'!CO6</f>
        <v>6/15A</v>
      </c>
      <c r="CP6" s="4770" t="str">
        <f>'Revenue Drivers'!CP6</f>
        <v>9/15A</v>
      </c>
      <c r="CQ6" s="4770" t="str">
        <f>'Revenue Drivers'!CQ6</f>
        <v>12/15A</v>
      </c>
      <c r="CR6" s="4770" t="str">
        <f>'Revenue Drivers'!CR6</f>
        <v>2015A</v>
      </c>
      <c r="CS6" s="4770" t="str">
        <f>'Revenue Drivers'!CS6</f>
        <v>3/16A</v>
      </c>
      <c r="CT6" s="4770" t="str">
        <f>'Revenue Drivers'!CT6</f>
        <v>6/16A</v>
      </c>
      <c r="CU6" s="4770" t="str">
        <f>'Revenue Drivers'!CU6</f>
        <v>9/16A</v>
      </c>
      <c r="CV6" s="4770" t="str">
        <f>'Revenue Drivers'!CV6</f>
        <v>12/16A</v>
      </c>
      <c r="CW6" s="4770" t="str">
        <f>'Revenue Drivers'!CW6</f>
        <v>2016A</v>
      </c>
      <c r="CX6" s="4770" t="str">
        <f>'Revenue Drivers'!CX6</f>
        <v>3/17A</v>
      </c>
      <c r="CY6" s="4770" t="str">
        <f>'Revenue Drivers'!CY6</f>
        <v>6/17A</v>
      </c>
      <c r="CZ6" s="4770" t="str">
        <f>'Revenue Drivers'!CZ6</f>
        <v>9/17A</v>
      </c>
      <c r="DA6" s="4770" t="str">
        <f>'Revenue Drivers'!DA6</f>
        <v>12/17A</v>
      </c>
      <c r="DB6" s="4770" t="str">
        <f>'Revenue Drivers'!DB6</f>
        <v>2017A</v>
      </c>
      <c r="DC6" s="4770" t="str">
        <f>'Revenue Drivers'!DC6</f>
        <v>3/18A</v>
      </c>
      <c r="DD6" s="4770" t="str">
        <f>'Revenue Drivers'!DD6</f>
        <v>6/18A</v>
      </c>
      <c r="DE6" s="4770" t="str">
        <f>'Revenue Drivers'!DE6</f>
        <v>9/18A</v>
      </c>
      <c r="DF6" s="4770" t="str">
        <f>'Revenue Drivers'!DF6</f>
        <v>12/18A</v>
      </c>
      <c r="DG6" s="4770" t="str">
        <f>IS!DG6</f>
        <v>2018A</v>
      </c>
      <c r="DH6" s="4770" t="str">
        <f>IS!DH6</f>
        <v>3/19A</v>
      </c>
      <c r="DI6" s="4770" t="str">
        <f>IS!DI6</f>
        <v>6/19A</v>
      </c>
      <c r="DJ6" s="4770" t="str">
        <f>IS!DJ6</f>
        <v>9/19A</v>
      </c>
      <c r="DK6" s="4770" t="str">
        <f>IS!DK6</f>
        <v>12/19A</v>
      </c>
      <c r="DL6" s="4770" t="str">
        <f>IS!DL6</f>
        <v>2019A</v>
      </c>
      <c r="DM6" s="4770" t="str">
        <f>IS!DM6</f>
        <v>3/20A</v>
      </c>
      <c r="DN6" s="4770" t="str">
        <f>IS!DN6</f>
        <v>6/20A</v>
      </c>
      <c r="DO6" s="4770" t="str">
        <f>IS!DO6</f>
        <v>9/20A</v>
      </c>
      <c r="DP6" s="4770" t="str">
        <f>IS!DP6</f>
        <v>12/20A</v>
      </c>
      <c r="DQ6" s="4770" t="str">
        <f>IS!DQ6</f>
        <v>2020A</v>
      </c>
      <c r="DR6" s="4770" t="str">
        <f>IS!DR6</f>
        <v>3/21A</v>
      </c>
      <c r="DS6" s="4770" t="str">
        <f>IS!DS6</f>
        <v>6/21A</v>
      </c>
      <c r="DT6" s="4770" t="str">
        <f>IS!DT6</f>
        <v>9/21A</v>
      </c>
      <c r="DU6" s="4770" t="str">
        <f>IS!DU6</f>
        <v>12/21A</v>
      </c>
      <c r="DV6" s="4770" t="str">
        <f>IS!DV6</f>
        <v>2021A</v>
      </c>
      <c r="DW6" s="4770" t="str">
        <f>IS!DW6</f>
        <v>3/22A</v>
      </c>
      <c r="DX6" s="4770" t="str">
        <f>IS!DX6</f>
        <v>6/22A</v>
      </c>
      <c r="DY6" s="4770" t="str">
        <f>IS!DY6</f>
        <v>9/22A</v>
      </c>
      <c r="DZ6" s="4770" t="str">
        <f>IS!DZ6</f>
        <v>12/22A</v>
      </c>
      <c r="EA6" s="4770" t="str">
        <f>IS!EA6</f>
        <v>2022A</v>
      </c>
      <c r="EB6" s="4770" t="str">
        <f>IS!EB6</f>
        <v>3/23A</v>
      </c>
      <c r="EC6" s="4770" t="str">
        <f>IS!EC6</f>
        <v>6/23A</v>
      </c>
      <c r="ED6" s="4770" t="str">
        <f>IS!ED6</f>
        <v>9/23A</v>
      </c>
      <c r="EE6" s="4770" t="str">
        <f>IS!EE6</f>
        <v>12/23A</v>
      </c>
      <c r="EF6" s="4770" t="str">
        <f>IS!EF6</f>
        <v>2023A</v>
      </c>
      <c r="EG6" s="4770" t="str">
        <f>IS!EG6</f>
        <v>3/24A</v>
      </c>
      <c r="EH6" s="4770" t="str">
        <f>IS!EH6</f>
        <v>6/24A</v>
      </c>
      <c r="EI6" s="4770" t="str">
        <f>IS!EI6</f>
        <v>9/24A</v>
      </c>
      <c r="EJ6" s="4770" t="str">
        <f>IS!EJ6</f>
        <v>12/24A</v>
      </c>
      <c r="EK6" s="4770" t="str">
        <f>IS!EK6</f>
        <v>2024A</v>
      </c>
      <c r="EL6" s="4770" t="str">
        <f>IS!EL6</f>
        <v>3/25A</v>
      </c>
      <c r="EM6" s="4770" t="str">
        <f>IS!EM6</f>
        <v>6/25A</v>
      </c>
      <c r="EN6" s="4770" t="str">
        <f>IS!EN6</f>
        <v>9/25A</v>
      </c>
      <c r="EO6" s="4770" t="str">
        <f>IS!EO6</f>
        <v>12/25E</v>
      </c>
      <c r="EP6" s="4770" t="str">
        <f>IS!EP6</f>
        <v>2025E</v>
      </c>
      <c r="EQ6" s="4770" t="str">
        <f>IS!EQ6</f>
        <v>3/26E</v>
      </c>
      <c r="ER6" s="4770" t="str">
        <f>IS!ER6</f>
        <v>6/26E</v>
      </c>
      <c r="ES6" s="4770" t="str">
        <f>IS!ES6</f>
        <v>9/26E</v>
      </c>
      <c r="ET6" s="4770" t="str">
        <f>IS!ET6</f>
        <v>12/26E</v>
      </c>
      <c r="EU6" s="4770" t="str">
        <f>IS!EU6</f>
        <v>2026E</v>
      </c>
      <c r="EV6" s="4770" t="str">
        <f>IS!EV6</f>
        <v>2027E</v>
      </c>
      <c r="EW6" s="4770" t="str">
        <f>IS!EW6</f>
        <v>2028E</v>
      </c>
      <c r="EX6" s="4770" t="str">
        <f>IS!EX6</f>
        <v>2029E</v>
      </c>
      <c r="EY6" s="4770" t="str">
        <f>IS!EY6</f>
        <v>2030E</v>
      </c>
      <c r="EZ6" s="2586"/>
      <c r="FA6" s="4885" t="s">
        <v>1131</v>
      </c>
      <c r="FB6" s="4885" t="s">
        <v>1132</v>
      </c>
    </row>
    <row r="7" spans="1:159" s="535" customFormat="1">
      <c r="A7" s="5118" t="s">
        <v>959</v>
      </c>
      <c r="B7" s="4887"/>
      <c r="C7" s="4887"/>
      <c r="D7" s="4887"/>
      <c r="E7" s="4887"/>
      <c r="F7" s="4887"/>
      <c r="G7" s="4887"/>
      <c r="H7" s="4887"/>
      <c r="I7" s="4887"/>
      <c r="J7" s="4887"/>
      <c r="K7" s="4887"/>
      <c r="L7" s="4887"/>
      <c r="M7" s="4887"/>
      <c r="N7" s="4887"/>
      <c r="O7" s="4887"/>
      <c r="P7" s="4887"/>
      <c r="Q7" s="4887"/>
      <c r="R7" s="4887"/>
      <c r="S7" s="4887"/>
      <c r="T7" s="4887"/>
      <c r="U7" s="4887"/>
      <c r="V7" s="4887"/>
      <c r="W7" s="4887"/>
      <c r="X7" s="4887"/>
      <c r="Y7" s="4887"/>
      <c r="Z7" s="4887"/>
      <c r="AA7" s="4887"/>
      <c r="AB7" s="4887"/>
      <c r="AC7" s="4887"/>
      <c r="AD7" s="4887"/>
      <c r="AE7" s="4887"/>
      <c r="AF7" s="4887"/>
      <c r="AG7" s="4887"/>
      <c r="AH7" s="4887"/>
      <c r="AI7" s="4887"/>
      <c r="AJ7" s="4887"/>
      <c r="AK7" s="4887"/>
      <c r="AL7" s="4887"/>
      <c r="AM7" s="4887"/>
      <c r="AN7" s="4887"/>
      <c r="AO7" s="4887"/>
      <c r="AP7" s="4887"/>
      <c r="AQ7" s="4887"/>
      <c r="AR7" s="4887"/>
      <c r="AS7" s="4887"/>
      <c r="AT7" s="4887"/>
      <c r="AU7" s="4887"/>
      <c r="AV7" s="4887"/>
      <c r="AW7" s="4887"/>
      <c r="AX7" s="4887"/>
      <c r="AY7" s="4887"/>
      <c r="AZ7" s="4887"/>
      <c r="BA7" s="4887"/>
      <c r="BB7" s="4887"/>
      <c r="BC7" s="4887"/>
      <c r="BD7" s="4887"/>
      <c r="BE7" s="4887"/>
      <c r="BF7" s="4887"/>
      <c r="BG7" s="4887"/>
      <c r="BH7" s="4887"/>
      <c r="BI7" s="4887"/>
      <c r="BJ7" s="4887"/>
      <c r="BK7" s="4887"/>
      <c r="BL7" s="4887"/>
      <c r="BM7" s="4887"/>
      <c r="BN7" s="4887"/>
      <c r="BO7" s="4887"/>
      <c r="BP7" s="4887"/>
      <c r="BQ7" s="4887"/>
      <c r="BR7" s="4887"/>
      <c r="BS7" s="4887"/>
      <c r="BT7" s="4887"/>
      <c r="BU7" s="4887"/>
      <c r="BV7" s="4887"/>
      <c r="BW7" s="4887"/>
      <c r="BX7" s="4887"/>
      <c r="BY7" s="4887"/>
      <c r="BZ7" s="4887"/>
      <c r="CA7" s="4887"/>
      <c r="CB7" s="4887"/>
      <c r="CC7" s="4887"/>
      <c r="CD7" s="4887"/>
      <c r="CE7" s="4887"/>
      <c r="CF7" s="4887"/>
      <c r="CG7" s="4887"/>
      <c r="CH7" s="5119"/>
      <c r="CI7" s="4889"/>
      <c r="CJ7" s="4889"/>
      <c r="CK7" s="4889"/>
      <c r="CL7" s="4889"/>
      <c r="CM7" s="5119"/>
      <c r="CN7" s="4889"/>
      <c r="CO7" s="4889"/>
      <c r="CP7" s="4889"/>
      <c r="CQ7" s="4889"/>
      <c r="CR7" s="5119"/>
      <c r="CS7" s="4889"/>
      <c r="CT7" s="4889"/>
      <c r="CU7" s="4889"/>
      <c r="CV7" s="4889"/>
      <c r="CW7" s="5119"/>
      <c r="CX7" s="4889"/>
      <c r="CY7" s="4889"/>
      <c r="CZ7" s="4889"/>
      <c r="DA7" s="4889"/>
      <c r="DB7" s="5119"/>
      <c r="DC7" s="4889"/>
      <c r="DD7" s="4889"/>
      <c r="DE7" s="4889"/>
      <c r="DF7" s="4889"/>
      <c r="DG7" s="5119"/>
      <c r="DH7" s="4889"/>
      <c r="DI7" s="4889"/>
      <c r="DJ7" s="4889"/>
      <c r="DK7" s="4889"/>
      <c r="DL7" s="5119"/>
      <c r="DM7" s="4889"/>
      <c r="DN7" s="4889"/>
      <c r="DO7" s="4889"/>
      <c r="DP7" s="4889"/>
      <c r="DQ7" s="5119"/>
      <c r="DR7" s="4889"/>
      <c r="DS7" s="4889"/>
      <c r="DT7" s="4889"/>
      <c r="DU7" s="4889"/>
      <c r="DV7" s="5119"/>
      <c r="DW7" s="4889"/>
      <c r="DX7" s="4889"/>
      <c r="DY7" s="4889"/>
      <c r="DZ7" s="4889"/>
      <c r="EA7" s="5119"/>
      <c r="EB7" s="4889"/>
      <c r="EC7" s="4889"/>
      <c r="ED7" s="4889"/>
      <c r="EE7" s="4889"/>
      <c r="EF7" s="5119"/>
      <c r="EG7" s="4889"/>
      <c r="EH7" s="4889"/>
      <c r="EI7" s="4889"/>
      <c r="EJ7" s="4889"/>
      <c r="EK7" s="4888"/>
      <c r="EL7" s="4889"/>
      <c r="EM7" s="4889"/>
      <c r="EN7" s="4889"/>
      <c r="EO7" s="4889"/>
      <c r="EP7" s="4888"/>
      <c r="EQ7" s="4889"/>
      <c r="ER7" s="4889"/>
      <c r="ES7" s="4889"/>
      <c r="ET7" s="4889"/>
      <c r="EU7" s="4888"/>
      <c r="EV7" s="4888"/>
      <c r="EW7" s="4888"/>
      <c r="EX7" s="4888"/>
      <c r="EY7" s="4888"/>
      <c r="EZ7" s="2586"/>
      <c r="FA7" s="1319"/>
      <c r="FB7" s="1319"/>
    </row>
    <row r="8" spans="1:159" s="2586" customFormat="1">
      <c r="A8" s="5120" t="s">
        <v>963</v>
      </c>
      <c r="B8" s="2718"/>
      <c r="C8" s="2718"/>
      <c r="D8" s="2718"/>
      <c r="E8" s="2718"/>
      <c r="F8" s="2718"/>
      <c r="G8" s="2718"/>
      <c r="H8" s="2718"/>
      <c r="I8" s="2718"/>
      <c r="J8" s="2718"/>
      <c r="K8" s="2718"/>
      <c r="L8" s="2718"/>
      <c r="M8" s="2718"/>
      <c r="N8" s="2718"/>
      <c r="O8" s="2718"/>
      <c r="P8" s="2718"/>
      <c r="Q8" s="2718"/>
      <c r="R8" s="2718"/>
      <c r="S8" s="2718"/>
      <c r="T8" s="2718"/>
      <c r="U8" s="2718"/>
      <c r="V8" s="2718"/>
      <c r="W8" s="2718"/>
      <c r="X8" s="2718"/>
      <c r="Y8" s="2718"/>
      <c r="Z8" s="2718"/>
      <c r="AA8" s="2718"/>
      <c r="AB8" s="2718"/>
      <c r="AC8" s="2718"/>
      <c r="AD8" s="2718"/>
      <c r="AE8" s="2718"/>
      <c r="AF8" s="2718"/>
      <c r="AG8" s="2718"/>
      <c r="AH8" s="2718"/>
      <c r="AI8" s="2718"/>
      <c r="AJ8" s="2718"/>
      <c r="AK8" s="2718"/>
      <c r="AL8" s="2718"/>
      <c r="AM8" s="2718"/>
      <c r="AN8" s="2718"/>
      <c r="AO8" s="2718"/>
      <c r="AP8" s="2718"/>
      <c r="AQ8" s="2718"/>
      <c r="AR8" s="2718"/>
      <c r="AS8" s="2718"/>
      <c r="AT8" s="2718"/>
      <c r="AU8" s="2718"/>
      <c r="AV8" s="2718"/>
      <c r="AW8" s="2718"/>
      <c r="AX8" s="2718"/>
      <c r="AY8" s="2718"/>
      <c r="AZ8" s="2718"/>
      <c r="BA8" s="2718"/>
      <c r="BB8" s="2718"/>
      <c r="BC8" s="2718"/>
      <c r="BD8" s="2718"/>
      <c r="BE8" s="2718"/>
      <c r="BF8" s="2718"/>
      <c r="BG8" s="2718"/>
      <c r="BH8" s="2718"/>
      <c r="BI8" s="2718"/>
      <c r="BJ8" s="2718"/>
      <c r="BK8" s="2718"/>
      <c r="BL8" s="2718"/>
      <c r="BM8" s="2718"/>
      <c r="BN8" s="2718"/>
      <c r="BO8" s="2718"/>
      <c r="BP8" s="2718"/>
      <c r="BQ8" s="2718"/>
      <c r="BR8" s="2718"/>
      <c r="BS8" s="2718"/>
      <c r="BT8" s="2718"/>
      <c r="BU8" s="2718"/>
      <c r="BV8" s="2718"/>
      <c r="BW8" s="2718"/>
      <c r="BX8" s="2718"/>
      <c r="BY8" s="2718"/>
      <c r="BZ8" s="2718"/>
      <c r="CA8" s="2718"/>
      <c r="CB8" s="2718"/>
      <c r="CC8" s="2718"/>
      <c r="CD8" s="2718"/>
      <c r="CE8" s="2718"/>
      <c r="CF8" s="2718"/>
      <c r="CG8" s="2718"/>
      <c r="CH8" s="5121"/>
      <c r="CI8" s="2825"/>
      <c r="CJ8" s="2825"/>
      <c r="CK8" s="2825"/>
      <c r="CL8" s="2825"/>
      <c r="CM8" s="5121"/>
      <c r="CN8" s="2825"/>
      <c r="CO8" s="2825"/>
      <c r="CP8" s="2825"/>
      <c r="CQ8" s="2825"/>
      <c r="CR8" s="5121"/>
      <c r="CS8" s="2825"/>
      <c r="CT8" s="2825"/>
      <c r="CU8" s="2825"/>
      <c r="CV8" s="2825"/>
      <c r="CW8" s="5121"/>
      <c r="CX8" s="2825"/>
      <c r="CY8" s="2825"/>
      <c r="CZ8" s="2825"/>
      <c r="DA8" s="2825"/>
      <c r="DB8" s="5121"/>
      <c r="DC8" s="2825"/>
      <c r="DD8" s="2825"/>
      <c r="DE8" s="2825"/>
      <c r="DF8" s="2825"/>
      <c r="DG8" s="5121"/>
      <c r="DH8" s="2825"/>
      <c r="DI8" s="2825"/>
      <c r="DJ8" s="2825"/>
      <c r="DK8" s="2825"/>
      <c r="DL8" s="5121"/>
      <c r="DM8" s="2825"/>
      <c r="DN8" s="2825"/>
      <c r="DO8" s="2825"/>
      <c r="DP8" s="2825"/>
      <c r="DQ8" s="5121"/>
      <c r="DR8" s="2825"/>
      <c r="DS8" s="2825"/>
      <c r="DT8" s="2825"/>
      <c r="DU8" s="2825"/>
      <c r="DV8" s="5121"/>
      <c r="DW8" s="2825"/>
      <c r="DX8" s="2825"/>
      <c r="DY8" s="2825"/>
      <c r="DZ8" s="2825"/>
      <c r="EA8" s="5121"/>
      <c r="EB8" s="2825"/>
      <c r="EC8" s="2825"/>
      <c r="ED8" s="2825"/>
      <c r="EE8" s="2825"/>
      <c r="EF8" s="5121"/>
      <c r="EG8" s="2825"/>
      <c r="EH8" s="2825"/>
      <c r="EI8" s="2825"/>
      <c r="EJ8" s="2825"/>
      <c r="EK8" s="5121"/>
      <c r="EL8" s="2825"/>
      <c r="EM8" s="2825"/>
      <c r="EN8" s="2825"/>
      <c r="EO8" s="2825"/>
      <c r="EP8" s="5121"/>
      <c r="EQ8" s="2825"/>
      <c r="ER8" s="2825"/>
      <c r="ES8" s="2825"/>
      <c r="ET8" s="2825"/>
      <c r="EU8" s="5121"/>
      <c r="EV8" s="4897"/>
      <c r="EW8" s="4897"/>
      <c r="EX8" s="4897"/>
      <c r="EY8" s="4897"/>
      <c r="FA8" s="1319"/>
      <c r="FB8" s="1319"/>
    </row>
    <row r="9" spans="1:159" s="4" customFormat="1" ht="11.25" customHeight="1">
      <c r="A9" s="5122" t="s">
        <v>960</v>
      </c>
      <c r="B9" s="170"/>
      <c r="C9" s="170"/>
      <c r="D9" s="170"/>
      <c r="E9" s="286"/>
      <c r="F9" s="4858"/>
      <c r="G9" s="170"/>
      <c r="H9" s="170"/>
      <c r="I9" s="170"/>
      <c r="J9" s="286"/>
      <c r="K9" s="4858"/>
      <c r="L9" s="170"/>
      <c r="M9" s="170"/>
      <c r="N9" s="170"/>
      <c r="O9" s="286"/>
      <c r="P9" s="2657"/>
      <c r="Q9" s="2608"/>
      <c r="R9" s="170"/>
      <c r="S9" s="170"/>
      <c r="T9" s="286"/>
      <c r="U9" s="4858"/>
      <c r="V9" s="4859"/>
      <c r="W9" s="170"/>
      <c r="X9" s="170"/>
      <c r="Y9" s="286"/>
      <c r="Z9" s="4858"/>
      <c r="AA9" s="4859"/>
      <c r="AB9" s="170"/>
      <c r="AC9" s="170"/>
      <c r="AD9" s="286"/>
      <c r="AE9" s="4858"/>
      <c r="AF9" s="4859"/>
      <c r="AG9" s="170"/>
      <c r="AH9" s="170"/>
      <c r="AI9" s="286"/>
      <c r="AJ9" s="4858"/>
      <c r="AK9" s="170"/>
      <c r="AL9" s="170"/>
      <c r="AM9" s="170"/>
      <c r="AN9" s="286"/>
      <c r="AO9" s="4858"/>
      <c r="AP9" s="170"/>
      <c r="AQ9" s="170"/>
      <c r="AR9" s="170"/>
      <c r="AS9" s="286"/>
      <c r="AT9" s="4858"/>
      <c r="AU9" s="170"/>
      <c r="AV9" s="170"/>
      <c r="AW9" s="170"/>
      <c r="AX9" s="286"/>
      <c r="AY9" s="4858"/>
      <c r="AZ9" s="170"/>
      <c r="BA9" s="170"/>
      <c r="BB9" s="170"/>
      <c r="BC9" s="170"/>
      <c r="BD9" s="4860"/>
      <c r="BE9" s="4866"/>
      <c r="BF9" s="170"/>
      <c r="BG9" s="170"/>
      <c r="BH9" s="170"/>
      <c r="BI9" s="4860"/>
      <c r="BJ9" s="170"/>
      <c r="BK9" s="170"/>
      <c r="BL9" s="170"/>
      <c r="BM9" s="170"/>
      <c r="BN9" s="4860"/>
      <c r="BO9" s="170"/>
      <c r="BP9" s="170"/>
      <c r="BQ9" s="170"/>
      <c r="BR9" s="286"/>
      <c r="BS9" s="4858"/>
      <c r="BT9" s="170"/>
      <c r="BU9" s="170"/>
      <c r="BV9" s="170"/>
      <c r="BW9" s="170"/>
      <c r="BX9" s="4860"/>
      <c r="BY9" s="170"/>
      <c r="BZ9" s="170"/>
      <c r="CA9" s="170"/>
      <c r="CB9" s="170"/>
      <c r="CC9" s="4860"/>
      <c r="CD9" s="170"/>
      <c r="CE9" s="170"/>
      <c r="CF9" s="170"/>
      <c r="CG9" s="170"/>
      <c r="CH9" s="4860"/>
      <c r="CI9" s="170"/>
      <c r="CJ9" s="170"/>
      <c r="CK9" s="170"/>
      <c r="CL9" s="170"/>
      <c r="CM9" s="4860"/>
      <c r="CN9" s="170"/>
      <c r="CO9" s="170"/>
      <c r="CP9" s="170"/>
      <c r="CQ9" s="170"/>
      <c r="CR9" s="4860"/>
      <c r="CS9" s="170"/>
      <c r="CT9" s="170"/>
      <c r="CU9" s="170"/>
      <c r="CV9" s="170"/>
      <c r="CW9" s="4860"/>
      <c r="CX9" s="170"/>
      <c r="CY9" s="170"/>
      <c r="CZ9" s="170"/>
      <c r="DA9" s="170"/>
      <c r="DB9" s="4860"/>
      <c r="DC9" s="170"/>
      <c r="DD9" s="170"/>
      <c r="DE9" s="170"/>
      <c r="DF9" s="170"/>
      <c r="DG9" s="4863">
        <f>'Revenue Drivers'!DG498-DG10</f>
        <v>130524</v>
      </c>
      <c r="DH9" s="4864">
        <f>'Revenue Drivers'!DH498-DH10</f>
        <v>34207</v>
      </c>
      <c r="DI9" s="4864">
        <f>'Revenue Drivers'!DI498-DI10</f>
        <v>36574</v>
      </c>
      <c r="DJ9" s="4864">
        <f>'Revenue Drivers'!DJ498-DJ10</f>
        <v>37846</v>
      </c>
      <c r="DK9" s="4864">
        <f>'Revenue Drivers'!DK498-DK10</f>
        <v>43198</v>
      </c>
      <c r="DL9" s="4863">
        <f>'Revenue Drivers'!DL498-DL10</f>
        <v>151825</v>
      </c>
      <c r="DM9" s="4864">
        <f>'Revenue Drivers'!DM498-DM10</f>
        <v>38198</v>
      </c>
      <c r="DN9" s="4864">
        <f>'Revenue Drivers'!DN498-DN10</f>
        <v>34991</v>
      </c>
      <c r="DO9" s="4864">
        <f>'Revenue Drivers'!DO498-DO10</f>
        <v>42573</v>
      </c>
      <c r="DP9" s="4864">
        <f>'Revenue Drivers'!DP498-DP10</f>
        <v>52873</v>
      </c>
      <c r="DQ9" s="4863">
        <f>'Revenue Drivers'!DQ498-DQ10</f>
        <v>168635</v>
      </c>
      <c r="DR9" s="4864">
        <f>'Revenue Drivers'!DR50</f>
        <v>51178</v>
      </c>
      <c r="DS9" s="4864">
        <f>'Revenue Drivers'!DS50</f>
        <v>57067</v>
      </c>
      <c r="DT9" s="4864">
        <f>'Revenue Drivers'!DT498-DT10</f>
        <v>59884</v>
      </c>
      <c r="DU9" s="4864">
        <f>'Revenue Drivers'!DU498-DU10</f>
        <v>69400</v>
      </c>
      <c r="DV9" s="4863">
        <f>'Revenue Drivers'!DV498-DV10</f>
        <v>237529</v>
      </c>
      <c r="DW9" s="4864">
        <f>'Revenue Drivers'!DW50</f>
        <v>61472</v>
      </c>
      <c r="DX9" s="4864">
        <f>'Revenue Drivers'!DX50</f>
        <v>62841</v>
      </c>
      <c r="DY9" s="4864">
        <f>'Revenue Drivers'!DY50</f>
        <v>61377</v>
      </c>
      <c r="DZ9" s="4864">
        <f>'Revenue Drivers'!DZ50</f>
        <v>67838</v>
      </c>
      <c r="EA9" s="4863">
        <f>'Revenue Drivers'!EA498-EA10</f>
        <v>253528</v>
      </c>
      <c r="EB9" s="4864">
        <f>'Revenue Drivers'!EB50</f>
        <v>61961</v>
      </c>
      <c r="EC9" s="4864">
        <f>'Revenue Drivers'!EC50</f>
        <v>66285</v>
      </c>
      <c r="ED9" s="4864">
        <f>'Revenue Drivers'!ED50</f>
        <v>67986</v>
      </c>
      <c r="EE9" s="4864">
        <f>'Revenue Drivers'!EE50</f>
        <v>76311</v>
      </c>
      <c r="EF9" s="4863">
        <f>'Revenue Drivers'!EF498-EF10</f>
        <v>272543</v>
      </c>
      <c r="EG9" s="4864">
        <f>'Revenue Drivers'!EG50</f>
        <v>70398</v>
      </c>
      <c r="EH9" s="4864">
        <f>'Revenue Drivers'!EH50</f>
        <v>73928</v>
      </c>
      <c r="EI9" s="4864">
        <f>'Revenue Drivers'!EI50</f>
        <v>76510</v>
      </c>
      <c r="EJ9" s="4864">
        <f>'Revenue Drivers'!EJ50</f>
        <v>84094</v>
      </c>
      <c r="EK9" s="4863">
        <f>'Revenue Drivers'!EK498-EK10</f>
        <v>304930</v>
      </c>
      <c r="EL9" s="4864">
        <f>'Revenue Drivers'!EL50</f>
        <v>77264</v>
      </c>
      <c r="EM9" s="4864">
        <f>'Revenue Drivers'!EM50</f>
        <v>82543</v>
      </c>
      <c r="EN9" s="4864">
        <f>'Revenue Drivers'!EN50</f>
        <v>87052</v>
      </c>
      <c r="EO9" s="4865">
        <f>'Revenue Drivers'!EO50</f>
        <v>95555.366202239675</v>
      </c>
      <c r="EP9" s="4863">
        <f>'Revenue Drivers'!EP498-EP10</f>
        <v>342414.36620223965</v>
      </c>
      <c r="EQ9" s="4865">
        <f>'Revenue Drivers'!EQ50</f>
        <v>88880.896874787693</v>
      </c>
      <c r="ER9" s="4865">
        <f>'Revenue Drivers'!ER50</f>
        <v>92871.007608047861</v>
      </c>
      <c r="ES9" s="4865">
        <f>'Revenue Drivers'!ES50</f>
        <v>96617.613211321688</v>
      </c>
      <c r="ET9" s="4865">
        <f>'Revenue Drivers'!ET50</f>
        <v>106063.6653918759</v>
      </c>
      <c r="EU9" s="4863">
        <f>'Revenue Drivers'!EU498-EU10</f>
        <v>384433.1830860331</v>
      </c>
      <c r="EV9" s="4863">
        <f>'Revenue Drivers'!EV50</f>
        <v>421240.41935221193</v>
      </c>
      <c r="EW9" s="4863">
        <f>'Revenue Drivers'!EW50</f>
        <v>457540.79143547313</v>
      </c>
      <c r="EX9" s="4863">
        <f>'Revenue Drivers'!EX50</f>
        <v>493095.40909181454</v>
      </c>
      <c r="EY9" s="4863">
        <f>'Revenue Drivers'!EY50</f>
        <v>528676.60277234321</v>
      </c>
      <c r="EZ9" s="170"/>
      <c r="FA9" s="1319">
        <f>IF(AND(EV9&gt;0,EK9&gt;0),(EV9/EK9)^(1/3)-1,"NA")</f>
        <v>0.11372156133305156</v>
      </c>
      <c r="FB9" s="1319">
        <f>IF(AND(EX9&gt;0,EK9&gt;0),(EX9/EK9)^(1/5)-1,"NA")</f>
        <v>0.10089566363995139</v>
      </c>
      <c r="FC9" s="511"/>
    </row>
    <row r="10" spans="1:159" s="4" customFormat="1" ht="11.25" customHeight="1">
      <c r="A10" s="4857" t="s">
        <v>692</v>
      </c>
      <c r="B10" s="170"/>
      <c r="C10" s="170"/>
      <c r="D10" s="170"/>
      <c r="E10" s="286"/>
      <c r="F10" s="4858"/>
      <c r="G10" s="170"/>
      <c r="H10" s="170"/>
      <c r="I10" s="170"/>
      <c r="J10" s="286"/>
      <c r="K10" s="4858"/>
      <c r="L10" s="170"/>
      <c r="M10" s="170"/>
      <c r="N10" s="170"/>
      <c r="O10" s="286"/>
      <c r="P10" s="2657"/>
      <c r="Q10" s="2608"/>
      <c r="R10" s="170"/>
      <c r="S10" s="170"/>
      <c r="T10" s="286"/>
      <c r="U10" s="4858"/>
      <c r="V10" s="4859"/>
      <c r="W10" s="170"/>
      <c r="X10" s="170"/>
      <c r="Y10" s="286"/>
      <c r="Z10" s="4858"/>
      <c r="AA10" s="4859"/>
      <c r="AB10" s="170"/>
      <c r="AC10" s="170"/>
      <c r="AD10" s="286"/>
      <c r="AE10" s="4858"/>
      <c r="AF10" s="4859"/>
      <c r="AG10" s="170"/>
      <c r="AH10" s="170"/>
      <c r="AI10" s="286"/>
      <c r="AJ10" s="4858"/>
      <c r="AK10" s="170"/>
      <c r="AL10" s="170"/>
      <c r="AM10" s="170"/>
      <c r="AN10" s="286"/>
      <c r="AO10" s="4858"/>
      <c r="AP10" s="170"/>
      <c r="AQ10" s="170"/>
      <c r="AR10" s="170"/>
      <c r="AS10" s="286"/>
      <c r="AT10" s="4858"/>
      <c r="AU10" s="170"/>
      <c r="AV10" s="170"/>
      <c r="AW10" s="170"/>
      <c r="AX10" s="286"/>
      <c r="AY10" s="4858"/>
      <c r="AZ10" s="170"/>
      <c r="BA10" s="170"/>
      <c r="BB10" s="170"/>
      <c r="BC10" s="170"/>
      <c r="BD10" s="4860"/>
      <c r="BE10" s="4866"/>
      <c r="BF10" s="170"/>
      <c r="BG10" s="170"/>
      <c r="BH10" s="170"/>
      <c r="BI10" s="4860"/>
      <c r="BJ10" s="170"/>
      <c r="BK10" s="170"/>
      <c r="BL10" s="170"/>
      <c r="BM10" s="170"/>
      <c r="BN10" s="4860"/>
      <c r="BO10" s="170"/>
      <c r="BP10" s="170"/>
      <c r="BQ10" s="170"/>
      <c r="BR10" s="286"/>
      <c r="BS10" s="4858"/>
      <c r="BT10" s="170"/>
      <c r="BU10" s="170"/>
      <c r="BV10" s="170"/>
      <c r="BW10" s="170"/>
      <c r="BX10" s="4860"/>
      <c r="BY10" s="170"/>
      <c r="BZ10" s="170"/>
      <c r="CA10" s="170"/>
      <c r="CB10" s="170"/>
      <c r="CC10" s="4860"/>
      <c r="CD10" s="170"/>
      <c r="CE10" s="170"/>
      <c r="CF10" s="170"/>
      <c r="CG10" s="170"/>
      <c r="CH10" s="4860"/>
      <c r="CI10" s="170"/>
      <c r="CJ10" s="170"/>
      <c r="CK10" s="170"/>
      <c r="CL10" s="170"/>
      <c r="CM10" s="4860"/>
      <c r="CN10" s="170"/>
      <c r="CO10" s="170"/>
      <c r="CP10" s="170"/>
      <c r="CQ10" s="170"/>
      <c r="CR10" s="4860"/>
      <c r="CS10" s="170"/>
      <c r="CT10" s="170"/>
      <c r="CU10" s="170"/>
      <c r="CV10" s="170"/>
      <c r="CW10" s="4860"/>
      <c r="CX10" s="170"/>
      <c r="CY10" s="170"/>
      <c r="CZ10" s="170"/>
      <c r="DA10" s="170"/>
      <c r="DB10" s="4860"/>
      <c r="DC10" s="170"/>
      <c r="DD10" s="170"/>
      <c r="DE10" s="170"/>
      <c r="DF10" s="170"/>
      <c r="DG10" s="4863">
        <f>'Revenue Drivers'!DG57</f>
        <v>5838</v>
      </c>
      <c r="DH10" s="4864">
        <f>'Revenue Drivers'!DH57</f>
        <v>1825</v>
      </c>
      <c r="DI10" s="4864">
        <f>'Revenue Drivers'!DI57</f>
        <v>2100</v>
      </c>
      <c r="DJ10" s="4864">
        <f>'Revenue Drivers'!DJ57</f>
        <v>2379</v>
      </c>
      <c r="DK10" s="4864">
        <f>'Revenue Drivers'!DK57</f>
        <v>2614</v>
      </c>
      <c r="DL10" s="4863">
        <f>'Revenue Drivers'!DL57</f>
        <v>8918</v>
      </c>
      <c r="DM10" s="4864">
        <f>'Revenue Drivers'!DM57</f>
        <v>2777</v>
      </c>
      <c r="DN10" s="4864">
        <f>'Revenue Drivers'!DN57</f>
        <v>3007</v>
      </c>
      <c r="DO10" s="4864">
        <f>'Revenue Drivers'!DO57</f>
        <v>3444</v>
      </c>
      <c r="DP10" s="4864">
        <f>'Revenue Drivers'!DP57</f>
        <v>3831</v>
      </c>
      <c r="DQ10" s="4863">
        <f>'Revenue Drivers'!DQ57</f>
        <v>13059</v>
      </c>
      <c r="DR10" s="4864">
        <f>'Revenue Drivers'!DR57</f>
        <v>4047</v>
      </c>
      <c r="DS10" s="4864">
        <f>'Revenue Drivers'!DS57</f>
        <v>4628</v>
      </c>
      <c r="DT10" s="4864">
        <f>'Revenue Drivers'!DT57</f>
        <v>4990</v>
      </c>
      <c r="DU10" s="4864">
        <f>'Revenue Drivers'!DU57</f>
        <v>5541</v>
      </c>
      <c r="DV10" s="4863">
        <f>'Revenue Drivers'!DV57</f>
        <v>19206</v>
      </c>
      <c r="DW10" s="4864">
        <f>'Revenue Drivers'!DW57</f>
        <v>5821</v>
      </c>
      <c r="DX10" s="4864">
        <f>'Revenue Drivers'!DX57</f>
        <v>6276</v>
      </c>
      <c r="DY10" s="4864">
        <f>'Revenue Drivers'!DY57</f>
        <v>6868</v>
      </c>
      <c r="DZ10" s="4864">
        <f>'Revenue Drivers'!DZ57</f>
        <v>7315</v>
      </c>
      <c r="EA10" s="4863">
        <f>'Revenue Drivers'!EA57</f>
        <v>26280</v>
      </c>
      <c r="EB10" s="4864">
        <f>'Revenue Drivers'!EB57</f>
        <v>7454</v>
      </c>
      <c r="EC10" s="4864">
        <f>'Revenue Drivers'!EC57</f>
        <v>8031</v>
      </c>
      <c r="ED10" s="4864">
        <f>'Revenue Drivers'!ED57</f>
        <v>8411</v>
      </c>
      <c r="EE10" s="4864">
        <f>'Revenue Drivers'!EE57</f>
        <v>9192</v>
      </c>
      <c r="EF10" s="4863">
        <f>'Revenue Drivers'!EF57</f>
        <v>33088</v>
      </c>
      <c r="EG10" s="4864">
        <f>'Revenue Drivers'!EG57</f>
        <v>9574</v>
      </c>
      <c r="EH10" s="4864">
        <f>'Revenue Drivers'!EH57</f>
        <v>10347</v>
      </c>
      <c r="EI10" s="4864">
        <f>'Revenue Drivers'!EI57</f>
        <v>11353</v>
      </c>
      <c r="EJ10" s="4864">
        <f>'Revenue Drivers'!EJ57</f>
        <v>11955</v>
      </c>
      <c r="EK10" s="4863">
        <f>'Revenue Drivers'!EK57</f>
        <v>43229</v>
      </c>
      <c r="EL10" s="4864">
        <f>'Revenue Drivers'!EL57</f>
        <v>12260</v>
      </c>
      <c r="EM10" s="4864">
        <f>'Revenue Drivers'!EM57</f>
        <v>13624</v>
      </c>
      <c r="EN10" s="4864">
        <f>'Revenue Drivers'!EN57</f>
        <v>15157</v>
      </c>
      <c r="EO10" s="4865">
        <f>'Revenue Drivers'!EO57</f>
        <v>16522.494173601481</v>
      </c>
      <c r="EP10" s="4863">
        <f>'Revenue Drivers'!EP57</f>
        <v>57563.494173601481</v>
      </c>
      <c r="EQ10" s="4865">
        <f>'Revenue Drivers'!EQ57</f>
        <v>17703.157460375878</v>
      </c>
      <c r="ER10" s="4865">
        <f>'Revenue Drivers'!ER57</f>
        <v>19458.681752392629</v>
      </c>
      <c r="ES10" s="4865">
        <f>'Revenue Drivers'!ES57</f>
        <v>21697.828609286509</v>
      </c>
      <c r="ET10" s="4865">
        <f>'Revenue Drivers'!ET57</f>
        <v>23908.685118985952</v>
      </c>
      <c r="EU10" s="4863">
        <f>'Revenue Drivers'!EU57</f>
        <v>82768.352941040968</v>
      </c>
      <c r="EV10" s="4863">
        <f>'Revenue Drivers'!EV57</f>
        <v>107598.85882335326</v>
      </c>
      <c r="EW10" s="4863">
        <f>'Revenue Drivers'!EW57</f>
        <v>134498.57352919158</v>
      </c>
      <c r="EX10" s="4863">
        <f>'Revenue Drivers'!EX57</f>
        <v>161398.28823502988</v>
      </c>
      <c r="EY10" s="4863">
        <f>'Revenue Drivers'!EY57</f>
        <v>190449.98011733525</v>
      </c>
      <c r="EZ10" s="170"/>
      <c r="FA10" s="1319">
        <f t="shared" ref="FA10:FA11" si="0">IF(AND(EV10&gt;0,EK10&gt;0),(EV10/EK10)^(1/3)-1,"NA")</f>
        <v>0.35522319257888801</v>
      </c>
      <c r="FB10" s="1319">
        <f t="shared" ref="FB10:FB11" si="1">IF(AND(EX10&gt;0,EK10&gt;0),(EX10/EK10)^(1/5)-1,"NA")</f>
        <v>0.30144178688805212</v>
      </c>
      <c r="FC10" s="511"/>
    </row>
    <row r="11" spans="1:159" s="4" customFormat="1" ht="11.25" customHeight="1">
      <c r="A11" s="4857" t="s">
        <v>434</v>
      </c>
      <c r="B11" s="170"/>
      <c r="C11" s="170"/>
      <c r="D11" s="170"/>
      <c r="E11" s="286"/>
      <c r="F11" s="4858"/>
      <c r="G11" s="170"/>
      <c r="H11" s="170"/>
      <c r="I11" s="170"/>
      <c r="J11" s="286"/>
      <c r="K11" s="4858"/>
      <c r="L11" s="170"/>
      <c r="M11" s="170"/>
      <c r="N11" s="170"/>
      <c r="O11" s="286"/>
      <c r="P11" s="2657"/>
      <c r="Q11" s="2608"/>
      <c r="R11" s="170"/>
      <c r="S11" s="170"/>
      <c r="T11" s="286"/>
      <c r="U11" s="4858"/>
      <c r="V11" s="4859"/>
      <c r="W11" s="170"/>
      <c r="X11" s="170"/>
      <c r="Y11" s="286"/>
      <c r="Z11" s="4858"/>
      <c r="AA11" s="4859"/>
      <c r="AB11" s="170"/>
      <c r="AC11" s="170"/>
      <c r="AD11" s="286"/>
      <c r="AE11" s="4858"/>
      <c r="AF11" s="4859"/>
      <c r="AG11" s="170"/>
      <c r="AH11" s="170"/>
      <c r="AI11" s="286"/>
      <c r="AJ11" s="4858"/>
      <c r="AK11" s="170"/>
      <c r="AL11" s="170"/>
      <c r="AM11" s="170"/>
      <c r="AN11" s="286"/>
      <c r="AO11" s="4858"/>
      <c r="AP11" s="170"/>
      <c r="AQ11" s="170"/>
      <c r="AR11" s="170"/>
      <c r="AS11" s="286"/>
      <c r="AT11" s="4858"/>
      <c r="AU11" s="170"/>
      <c r="AV11" s="170"/>
      <c r="AW11" s="170"/>
      <c r="AX11" s="286"/>
      <c r="AY11" s="4858"/>
      <c r="AZ11" s="170"/>
      <c r="BA11" s="170"/>
      <c r="BB11" s="170"/>
      <c r="BC11" s="170"/>
      <c r="BD11" s="4860"/>
      <c r="BE11" s="4866"/>
      <c r="BF11" s="170"/>
      <c r="BG11" s="170"/>
      <c r="BH11" s="170"/>
      <c r="BI11" s="4860"/>
      <c r="BJ11" s="170"/>
      <c r="BK11" s="170"/>
      <c r="BL11" s="170"/>
      <c r="BM11" s="170"/>
      <c r="BN11" s="4860"/>
      <c r="BO11" s="170"/>
      <c r="BP11" s="170"/>
      <c r="BQ11" s="170"/>
      <c r="BR11" s="286"/>
      <c r="BS11" s="4858"/>
      <c r="BT11" s="170"/>
      <c r="BU11" s="170"/>
      <c r="BV11" s="170"/>
      <c r="BW11" s="170"/>
      <c r="BX11" s="4860"/>
      <c r="BY11" s="170"/>
      <c r="BZ11" s="170"/>
      <c r="CA11" s="170"/>
      <c r="CB11" s="170"/>
      <c r="CC11" s="4860"/>
      <c r="CD11" s="170"/>
      <c r="CE11" s="170"/>
      <c r="CF11" s="170"/>
      <c r="CG11" s="170"/>
      <c r="CH11" s="4860"/>
      <c r="CI11" s="170"/>
      <c r="CJ11" s="170"/>
      <c r="CK11" s="170"/>
      <c r="CL11" s="170"/>
      <c r="CM11" s="4860"/>
      <c r="CN11" s="170"/>
      <c r="CO11" s="170"/>
      <c r="CP11" s="170"/>
      <c r="CQ11" s="170"/>
      <c r="CR11" s="4860"/>
      <c r="CS11" s="170"/>
      <c r="CT11" s="170"/>
      <c r="CU11" s="170"/>
      <c r="CV11" s="170"/>
      <c r="CW11" s="4860"/>
      <c r="CX11" s="170"/>
      <c r="CY11" s="170"/>
      <c r="CZ11" s="170"/>
      <c r="DA11" s="170"/>
      <c r="DB11" s="4860"/>
      <c r="DC11" s="170"/>
      <c r="DD11" s="170"/>
      <c r="DE11" s="170"/>
      <c r="DF11" s="170"/>
      <c r="DG11" s="4863">
        <f>'Revenue Drivers'!DG64</f>
        <v>595</v>
      </c>
      <c r="DH11" s="4864">
        <f>'Revenue Drivers'!DH64</f>
        <v>170</v>
      </c>
      <c r="DI11" s="4864">
        <f>'Revenue Drivers'!DI64</f>
        <v>162</v>
      </c>
      <c r="DJ11" s="4864">
        <f>'Revenue Drivers'!DJ64</f>
        <v>155</v>
      </c>
      <c r="DK11" s="4864">
        <f>'Revenue Drivers'!DK64</f>
        <v>172</v>
      </c>
      <c r="DL11" s="4863">
        <f>'Revenue Drivers'!DL64</f>
        <v>659</v>
      </c>
      <c r="DM11" s="4864">
        <f>'Revenue Drivers'!DM64</f>
        <v>135</v>
      </c>
      <c r="DN11" s="4864">
        <f>'Revenue Drivers'!DN64</f>
        <v>148</v>
      </c>
      <c r="DO11" s="4864">
        <f>'Revenue Drivers'!DO64</f>
        <v>178</v>
      </c>
      <c r="DP11" s="4864">
        <f>'Revenue Drivers'!DP64</f>
        <v>196</v>
      </c>
      <c r="DQ11" s="4863">
        <f>'Revenue Drivers'!DQ64</f>
        <v>657</v>
      </c>
      <c r="DR11" s="4864">
        <f>'Revenue Drivers'!DR64</f>
        <v>198</v>
      </c>
      <c r="DS11" s="4864">
        <f>'Revenue Drivers'!DS64</f>
        <v>192</v>
      </c>
      <c r="DT11" s="4864">
        <f>'Revenue Drivers'!DT64</f>
        <v>182</v>
      </c>
      <c r="DU11" s="4864">
        <f>'Revenue Drivers'!DU64</f>
        <v>181</v>
      </c>
      <c r="DV11" s="4863">
        <f>'Revenue Drivers'!DV64</f>
        <v>753</v>
      </c>
      <c r="DW11" s="4864">
        <f>'Revenue Drivers'!DW64</f>
        <v>440</v>
      </c>
      <c r="DX11" s="4864">
        <f>'Revenue Drivers'!DX64</f>
        <v>193</v>
      </c>
      <c r="DY11" s="4864">
        <f>'Revenue Drivers'!DY64</f>
        <v>209</v>
      </c>
      <c r="DZ11" s="4864">
        <f>'Revenue Drivers'!DZ64</f>
        <v>226</v>
      </c>
      <c r="EA11" s="4863">
        <f>'Revenue Drivers'!EA64</f>
        <v>1068</v>
      </c>
      <c r="EB11" s="4864">
        <f>'Revenue Drivers'!EB64</f>
        <v>288</v>
      </c>
      <c r="EC11" s="4864">
        <f>'Revenue Drivers'!EC64</f>
        <v>285</v>
      </c>
      <c r="ED11" s="4864">
        <f>'Revenue Drivers'!ED64</f>
        <v>297</v>
      </c>
      <c r="EE11" s="4864">
        <f>'Revenue Drivers'!EE64</f>
        <v>657</v>
      </c>
      <c r="EF11" s="4863">
        <f>'Revenue Drivers'!EF64</f>
        <v>1527</v>
      </c>
      <c r="EG11" s="4864">
        <f>'Revenue Drivers'!EG64</f>
        <v>495</v>
      </c>
      <c r="EH11" s="4864">
        <f>'Revenue Drivers'!EH64</f>
        <v>365</v>
      </c>
      <c r="EI11" s="4864">
        <f>'Revenue Drivers'!EI64</f>
        <v>388</v>
      </c>
      <c r="EJ11" s="4864">
        <f>'Revenue Drivers'!EJ64</f>
        <v>400</v>
      </c>
      <c r="EK11" s="4863">
        <f>'Revenue Drivers'!EK64</f>
        <v>1648</v>
      </c>
      <c r="EL11" s="4864">
        <f>'Revenue Drivers'!EL64</f>
        <v>450</v>
      </c>
      <c r="EM11" s="4864">
        <f>'Revenue Drivers'!EM64</f>
        <v>373</v>
      </c>
      <c r="EN11" s="4864">
        <f>'Revenue Drivers'!EN64</f>
        <v>344</v>
      </c>
      <c r="EO11" s="4865">
        <f>'Revenue Drivers'!EO64</f>
        <v>364.03000000001907</v>
      </c>
      <c r="EP11" s="4863">
        <f>'Revenue Drivers'!EP64</f>
        <v>1531.0300000000191</v>
      </c>
      <c r="EQ11" s="4865">
        <f>'Revenue Drivers'!EQ64</f>
        <v>389.67099999999687</v>
      </c>
      <c r="ER11" s="4865">
        <f>'Revenue Drivers'!ER64</f>
        <v>413.72800000001826</v>
      </c>
      <c r="ES11" s="4865">
        <f>'Revenue Drivers'!ES64</f>
        <v>433.1469999999839</v>
      </c>
      <c r="ET11" s="4865">
        <f>'Revenue Drivers'!ET64</f>
        <v>449.71923157751809</v>
      </c>
      <c r="EU11" s="4863">
        <f>'Revenue Drivers'!EU64</f>
        <v>1686.2652315775169</v>
      </c>
      <c r="EV11" s="4863">
        <f>'Revenue Drivers'!EV64</f>
        <v>1896.2430371849186</v>
      </c>
      <c r="EW11" s="4863">
        <f>'Revenue Drivers'!EW64</f>
        <v>2182.5701647044334</v>
      </c>
      <c r="EX11" s="4863">
        <f>'Revenue Drivers'!EX64</f>
        <v>2600.0818384145678</v>
      </c>
      <c r="EY11" s="4863">
        <f>'Revenue Drivers'!EY64</f>
        <v>3209.2867170257668</v>
      </c>
      <c r="EZ11" s="170"/>
      <c r="FA11" s="1319">
        <f t="shared" si="0"/>
        <v>4.7881719126072531E-2</v>
      </c>
      <c r="FB11" s="1319">
        <f t="shared" si="1"/>
        <v>9.548380623956354E-2</v>
      </c>
      <c r="FC11" s="511"/>
    </row>
    <row r="12" spans="1:159" s="4" customFormat="1" ht="11.25" customHeight="1">
      <c r="A12" s="4857" t="s">
        <v>961</v>
      </c>
      <c r="B12" s="170"/>
      <c r="C12" s="170"/>
      <c r="D12" s="170"/>
      <c r="E12" s="286"/>
      <c r="F12" s="4858"/>
      <c r="G12" s="170"/>
      <c r="H12" s="170"/>
      <c r="I12" s="170"/>
      <c r="J12" s="286"/>
      <c r="K12" s="4858"/>
      <c r="L12" s="170"/>
      <c r="M12" s="170"/>
      <c r="N12" s="170"/>
      <c r="O12" s="286"/>
      <c r="P12" s="2657"/>
      <c r="Q12" s="2608"/>
      <c r="R12" s="170"/>
      <c r="S12" s="170"/>
      <c r="T12" s="286"/>
      <c r="U12" s="4858"/>
      <c r="V12" s="4859"/>
      <c r="W12" s="170"/>
      <c r="X12" s="170"/>
      <c r="Y12" s="286"/>
      <c r="Z12" s="4858"/>
      <c r="AA12" s="4859"/>
      <c r="AB12" s="170"/>
      <c r="AC12" s="170"/>
      <c r="AD12" s="286"/>
      <c r="AE12" s="4858"/>
      <c r="AF12" s="4859"/>
      <c r="AG12" s="170"/>
      <c r="AH12" s="170"/>
      <c r="AI12" s="286"/>
      <c r="AJ12" s="4858"/>
      <c r="AK12" s="170"/>
      <c r="AL12" s="170"/>
      <c r="AM12" s="170"/>
      <c r="AN12" s="286"/>
      <c r="AO12" s="4858"/>
      <c r="AP12" s="170"/>
      <c r="AQ12" s="170"/>
      <c r="AR12" s="170"/>
      <c r="AS12" s="286"/>
      <c r="AT12" s="4858"/>
      <c r="AU12" s="170"/>
      <c r="AV12" s="170"/>
      <c r="AW12" s="170"/>
      <c r="AX12" s="286"/>
      <c r="AY12" s="4858"/>
      <c r="AZ12" s="170"/>
      <c r="BA12" s="170"/>
      <c r="BB12" s="170"/>
      <c r="BC12" s="170"/>
      <c r="BD12" s="4860"/>
      <c r="BE12" s="4866"/>
      <c r="BF12" s="170"/>
      <c r="BG12" s="170"/>
      <c r="BH12" s="170"/>
      <c r="BI12" s="4860"/>
      <c r="BJ12" s="170"/>
      <c r="BK12" s="170"/>
      <c r="BL12" s="170"/>
      <c r="BM12" s="170"/>
      <c r="BN12" s="4860"/>
      <c r="BO12" s="170"/>
      <c r="BP12" s="170"/>
      <c r="BQ12" s="170"/>
      <c r="BR12" s="286"/>
      <c r="BS12" s="4858"/>
      <c r="BT12" s="170"/>
      <c r="BU12" s="170"/>
      <c r="BV12" s="170"/>
      <c r="BW12" s="170"/>
      <c r="BX12" s="4860"/>
      <c r="BY12" s="170"/>
      <c r="BZ12" s="170"/>
      <c r="CA12" s="170"/>
      <c r="CB12" s="170"/>
      <c r="CC12" s="4860"/>
      <c r="CD12" s="170"/>
      <c r="CE12" s="170"/>
      <c r="CF12" s="170"/>
      <c r="CG12" s="170"/>
      <c r="CH12" s="4860"/>
      <c r="CI12" s="170"/>
      <c r="CJ12" s="170"/>
      <c r="CK12" s="170"/>
      <c r="CL12" s="170"/>
      <c r="CM12" s="4860"/>
      <c r="CN12" s="170"/>
      <c r="CO12" s="170"/>
      <c r="CP12" s="170"/>
      <c r="CQ12" s="170"/>
      <c r="CR12" s="4860"/>
      <c r="CS12" s="170"/>
      <c r="CT12" s="170"/>
      <c r="CU12" s="170"/>
      <c r="CV12" s="170"/>
      <c r="CW12" s="4860"/>
      <c r="CX12" s="170"/>
      <c r="CY12" s="170"/>
      <c r="CZ12" s="170"/>
      <c r="DA12" s="170"/>
      <c r="DB12" s="4860"/>
      <c r="DC12" s="170"/>
      <c r="DD12" s="170"/>
      <c r="DE12" s="170"/>
      <c r="DF12" s="170"/>
      <c r="DG12" s="4863">
        <f>'Revenue Drivers'!DG68</f>
        <v>-138</v>
      </c>
      <c r="DH12" s="4864">
        <f>'Revenue Drivers'!DH68</f>
        <v>137</v>
      </c>
      <c r="DI12" s="4864">
        <f>'Revenue Drivers'!DI68</f>
        <v>108</v>
      </c>
      <c r="DJ12" s="4864">
        <f>'Revenue Drivers'!DJ68</f>
        <v>119</v>
      </c>
      <c r="DK12" s="4864">
        <f>'Revenue Drivers'!DK68</f>
        <v>91</v>
      </c>
      <c r="DL12" s="4863">
        <f>'Revenue Drivers'!DL68</f>
        <v>455</v>
      </c>
      <c r="DM12" s="4864">
        <f>'Revenue Drivers'!DM68</f>
        <v>49</v>
      </c>
      <c r="DN12" s="4864">
        <f>'Revenue Drivers'!DN68</f>
        <v>151</v>
      </c>
      <c r="DO12" s="4864">
        <f>'Revenue Drivers'!DO68</f>
        <v>-22</v>
      </c>
      <c r="DP12" s="4864">
        <f>'Revenue Drivers'!DP68</f>
        <v>-2</v>
      </c>
      <c r="DQ12" s="4863">
        <f>'Revenue Drivers'!DQ68</f>
        <v>176</v>
      </c>
      <c r="DR12" s="4864">
        <f>'Revenue Drivers'!DR68</f>
        <v>-109</v>
      </c>
      <c r="DS12" s="4864">
        <f>'Revenue Drivers'!DS68</f>
        <v>-7</v>
      </c>
      <c r="DT12" s="4864">
        <f>'Revenue Drivers'!DT68</f>
        <v>62</v>
      </c>
      <c r="DU12" s="4864">
        <f>'Revenue Drivers'!DU68</f>
        <v>203</v>
      </c>
      <c r="DV12" s="4863">
        <f>'Revenue Drivers'!DV68</f>
        <v>149</v>
      </c>
      <c r="DW12" s="4864">
        <f>'Revenue Drivers'!DW68</f>
        <v>278</v>
      </c>
      <c r="DX12" s="4864">
        <f>'Revenue Drivers'!DX68</f>
        <v>375</v>
      </c>
      <c r="DY12" s="4864">
        <f>'Revenue Drivers'!DY68</f>
        <v>638</v>
      </c>
      <c r="DZ12" s="4864">
        <f>'Revenue Drivers'!DZ68</f>
        <v>669</v>
      </c>
      <c r="EA12" s="4863">
        <f>'Revenue Drivers'!EA68</f>
        <v>1960</v>
      </c>
      <c r="EB12" s="4864">
        <f>'Revenue Drivers'!EB68</f>
        <v>84</v>
      </c>
      <c r="EC12" s="4864">
        <f>'Revenue Drivers'!EC68</f>
        <v>3</v>
      </c>
      <c r="ED12" s="4864">
        <f>'Revenue Drivers'!ED68</f>
        <v>-1</v>
      </c>
      <c r="EE12" s="4864">
        <f>'Revenue Drivers'!EE68</f>
        <v>150</v>
      </c>
      <c r="EF12" s="4863">
        <f>'Revenue Drivers'!EF68</f>
        <v>236</v>
      </c>
      <c r="EG12" s="4864">
        <f>'Revenue Drivers'!EG68</f>
        <v>72</v>
      </c>
      <c r="EH12" s="4864">
        <f>'Revenue Drivers'!EH68</f>
        <v>102</v>
      </c>
      <c r="EI12" s="4864">
        <f>'Revenue Drivers'!EI68</f>
        <v>17</v>
      </c>
      <c r="EJ12" s="4864">
        <f>'Revenue Drivers'!EJ68</f>
        <v>20</v>
      </c>
      <c r="EK12" s="4863">
        <f>'Revenue Drivers'!EK68</f>
        <v>211</v>
      </c>
      <c r="EL12" s="4864">
        <f>'Revenue Drivers'!EL68</f>
        <v>260</v>
      </c>
      <c r="EM12" s="4864">
        <f>'Revenue Drivers'!EM68</f>
        <v>-112</v>
      </c>
      <c r="EN12" s="4864">
        <f>'Revenue Drivers'!EN68</f>
        <v>-207</v>
      </c>
      <c r="EO12" s="4865">
        <f>'Revenue Drivers'!EO68</f>
        <v>-195.55607516823349</v>
      </c>
      <c r="EP12" s="4863">
        <f>'Revenue Drivers'!EP68</f>
        <v>-254.55607516823349</v>
      </c>
      <c r="EQ12" s="4865">
        <f>'Revenue Drivers'!EQ68</f>
        <v>-649.21286703271676</v>
      </c>
      <c r="ER12" s="4865">
        <f>'Revenue Drivers'!ER68</f>
        <v>-130.00387208809934</v>
      </c>
      <c r="ES12" s="4865">
        <f>'Revenue Drivers'!ES68</f>
        <v>139.86763587836194</v>
      </c>
      <c r="ET12" s="4865">
        <f>'Revenue Drivers'!ET68</f>
        <v>53.200193109215618</v>
      </c>
      <c r="EU12" s="4863">
        <f>'Revenue Drivers'!EU68</f>
        <v>-586.14891013323847</v>
      </c>
      <c r="EV12" s="4863">
        <f>'Revenue Drivers'!EV68</f>
        <v>0</v>
      </c>
      <c r="EW12" s="4863">
        <f>'Revenue Drivers'!EW68</f>
        <v>0</v>
      </c>
      <c r="EX12" s="4863">
        <f>'Revenue Drivers'!EX68</f>
        <v>0</v>
      </c>
      <c r="EY12" s="4863">
        <f>'Revenue Drivers'!EY68</f>
        <v>0</v>
      </c>
      <c r="EZ12" s="170"/>
      <c r="FA12" s="1319"/>
      <c r="FB12" s="1319"/>
      <c r="FC12" s="511"/>
    </row>
    <row r="13" spans="1:159" s="157" customFormat="1" ht="11.25" customHeight="1">
      <c r="A13" s="3952" t="s">
        <v>962</v>
      </c>
      <c r="B13" s="3448"/>
      <c r="C13" s="3448"/>
      <c r="D13" s="3448"/>
      <c r="E13" s="3449"/>
      <c r="F13" s="4851"/>
      <c r="G13" s="3448"/>
      <c r="H13" s="3448"/>
      <c r="I13" s="3448"/>
      <c r="J13" s="3449"/>
      <c r="K13" s="4851"/>
      <c r="L13" s="3448"/>
      <c r="M13" s="3448"/>
      <c r="N13" s="3448"/>
      <c r="O13" s="3449"/>
      <c r="P13" s="4851"/>
      <c r="Q13" s="3448"/>
      <c r="R13" s="3448"/>
      <c r="S13" s="3448"/>
      <c r="T13" s="3449"/>
      <c r="U13" s="4851"/>
      <c r="V13" s="4852"/>
      <c r="W13" s="3448"/>
      <c r="X13" s="3448"/>
      <c r="Y13" s="3449"/>
      <c r="Z13" s="4851"/>
      <c r="AA13" s="4852"/>
      <c r="AB13" s="3448"/>
      <c r="AC13" s="3448"/>
      <c r="AD13" s="3449"/>
      <c r="AE13" s="4851"/>
      <c r="AF13" s="4852"/>
      <c r="AG13" s="3448"/>
      <c r="AH13" s="3448"/>
      <c r="AI13" s="3449"/>
      <c r="AJ13" s="4851"/>
      <c r="AK13" s="3448"/>
      <c r="AL13" s="3448"/>
      <c r="AM13" s="3448"/>
      <c r="AN13" s="3449"/>
      <c r="AO13" s="4851"/>
      <c r="AP13" s="3448"/>
      <c r="AQ13" s="3448"/>
      <c r="AR13" s="3448"/>
      <c r="AS13" s="3449"/>
      <c r="AT13" s="4851"/>
      <c r="AU13" s="3448"/>
      <c r="AV13" s="3448"/>
      <c r="AW13" s="3448"/>
      <c r="AX13" s="3449"/>
      <c r="AY13" s="4851"/>
      <c r="AZ13" s="3448"/>
      <c r="BA13" s="3448"/>
      <c r="BB13" s="3448"/>
      <c r="BC13" s="3448"/>
      <c r="BD13" s="4853"/>
      <c r="BE13" s="4854"/>
      <c r="BF13" s="4855"/>
      <c r="BG13" s="4855"/>
      <c r="BH13" s="4855"/>
      <c r="BI13" s="4853"/>
      <c r="BJ13" s="4855"/>
      <c r="BK13" s="4855"/>
      <c r="BL13" s="4855"/>
      <c r="BM13" s="4855"/>
      <c r="BN13" s="4853"/>
      <c r="BO13" s="4855"/>
      <c r="BP13" s="4855"/>
      <c r="BQ13" s="4855"/>
      <c r="BR13" s="4856"/>
      <c r="BS13" s="4851"/>
      <c r="BT13" s="4855"/>
      <c r="BU13" s="4855"/>
      <c r="BV13" s="4855"/>
      <c r="BW13" s="4855"/>
      <c r="BX13" s="4853"/>
      <c r="BY13" s="4855"/>
      <c r="BZ13" s="4855"/>
      <c r="CA13" s="4855"/>
      <c r="CB13" s="4855"/>
      <c r="CC13" s="4853"/>
      <c r="CD13" s="4855"/>
      <c r="CE13" s="4855"/>
      <c r="CF13" s="4855"/>
      <c r="CG13" s="4855"/>
      <c r="CH13" s="4853"/>
      <c r="CI13" s="4855"/>
      <c r="CJ13" s="4855"/>
      <c r="CK13" s="4855"/>
      <c r="CL13" s="4855"/>
      <c r="CM13" s="4853"/>
      <c r="CN13" s="4855"/>
      <c r="CO13" s="4855"/>
      <c r="CP13" s="4855"/>
      <c r="CQ13" s="4855"/>
      <c r="CR13" s="4853"/>
      <c r="CS13" s="4855"/>
      <c r="CT13" s="4855"/>
      <c r="CU13" s="4855"/>
      <c r="CV13" s="4855"/>
      <c r="CW13" s="4853"/>
      <c r="CX13" s="4855"/>
      <c r="CY13" s="4855"/>
      <c r="CZ13" s="4855"/>
      <c r="DA13" s="4855"/>
      <c r="DB13" s="4853"/>
      <c r="DC13" s="4855"/>
      <c r="DD13" s="4855"/>
      <c r="DE13" s="4855"/>
      <c r="DF13" s="4855"/>
      <c r="DG13" s="4861">
        <f t="shared" ref="DG13:DV13" si="2">SUM(DG9:DG12)</f>
        <v>136819</v>
      </c>
      <c r="DH13" s="4862">
        <f t="shared" si="2"/>
        <v>36339</v>
      </c>
      <c r="DI13" s="4862">
        <f t="shared" si="2"/>
        <v>38944</v>
      </c>
      <c r="DJ13" s="4862">
        <f t="shared" si="2"/>
        <v>40499</v>
      </c>
      <c r="DK13" s="4862">
        <f t="shared" si="2"/>
        <v>46075</v>
      </c>
      <c r="DL13" s="4861">
        <f t="shared" si="2"/>
        <v>161857</v>
      </c>
      <c r="DM13" s="4862">
        <f t="shared" si="2"/>
        <v>41159</v>
      </c>
      <c r="DN13" s="4862">
        <f t="shared" si="2"/>
        <v>38297</v>
      </c>
      <c r="DO13" s="4862">
        <f t="shared" si="2"/>
        <v>46173</v>
      </c>
      <c r="DP13" s="4862">
        <f t="shared" si="2"/>
        <v>56898</v>
      </c>
      <c r="DQ13" s="4861">
        <f t="shared" si="2"/>
        <v>182527</v>
      </c>
      <c r="DR13" s="4862">
        <f t="shared" si="2"/>
        <v>55314</v>
      </c>
      <c r="DS13" s="4862">
        <f>SUM(DS9:DS12)</f>
        <v>61880</v>
      </c>
      <c r="DT13" s="4862">
        <f t="shared" si="2"/>
        <v>65118</v>
      </c>
      <c r="DU13" s="4862">
        <f t="shared" si="2"/>
        <v>75325</v>
      </c>
      <c r="DV13" s="4861">
        <f t="shared" si="2"/>
        <v>257637</v>
      </c>
      <c r="DW13" s="4862">
        <f t="shared" ref="DW13:EF13" si="3">SUM(DW9:DW12)</f>
        <v>68011</v>
      </c>
      <c r="DX13" s="4862">
        <f t="shared" si="3"/>
        <v>69685</v>
      </c>
      <c r="DY13" s="4862">
        <f t="shared" si="3"/>
        <v>69092</v>
      </c>
      <c r="DZ13" s="4862">
        <f t="shared" si="3"/>
        <v>76048</v>
      </c>
      <c r="EA13" s="4861">
        <f t="shared" si="3"/>
        <v>282836</v>
      </c>
      <c r="EB13" s="4862">
        <f>SUM(EB9:EB12)</f>
        <v>69787</v>
      </c>
      <c r="EC13" s="4862">
        <f>SUM(EC9:EC12)</f>
        <v>74604</v>
      </c>
      <c r="ED13" s="4862">
        <f>SUM(ED9:ED12)</f>
        <v>76693</v>
      </c>
      <c r="EE13" s="4862">
        <f t="shared" ref="EE13" si="4">SUM(EE9:EE12)</f>
        <v>86310</v>
      </c>
      <c r="EF13" s="4861">
        <f t="shared" si="3"/>
        <v>307394</v>
      </c>
      <c r="EG13" s="4862">
        <f>SUM(EG9:EG12)</f>
        <v>80539</v>
      </c>
      <c r="EH13" s="4862">
        <f>SUM(EH9:EH12)</f>
        <v>84742</v>
      </c>
      <c r="EI13" s="4862">
        <f>SUM(EI9:EI12)</f>
        <v>88268</v>
      </c>
      <c r="EJ13" s="4862">
        <f t="shared" ref="EJ13" si="5">SUM(EJ9:EJ12)</f>
        <v>96469</v>
      </c>
      <c r="EK13" s="4861">
        <f>SUM(EK9:EK12)</f>
        <v>350018</v>
      </c>
      <c r="EL13" s="4862">
        <f>SUM(EL9:EL12)</f>
        <v>90234</v>
      </c>
      <c r="EM13" s="4862">
        <f>SUM(EM9:EM12)</f>
        <v>96428</v>
      </c>
      <c r="EN13" s="4862">
        <f>SUM(EN9:EN12)</f>
        <v>102346</v>
      </c>
      <c r="EO13" s="4862">
        <f t="shared" ref="EO13" si="6">SUM(EO9:EO12)</f>
        <v>112246.33430067293</v>
      </c>
      <c r="EP13" s="4861">
        <f>SUM(EP9:EP12)</f>
        <v>401254.33430067293</v>
      </c>
      <c r="EQ13" s="4862">
        <f t="shared" ref="EQ13:ET13" si="7">SUM(EQ9:EQ12)</f>
        <v>106324.51246813085</v>
      </c>
      <c r="ER13" s="4862">
        <f t="shared" si="7"/>
        <v>112613.41348835241</v>
      </c>
      <c r="ES13" s="4862">
        <f t="shared" si="7"/>
        <v>118888.45645648653</v>
      </c>
      <c r="ET13" s="4862">
        <f t="shared" si="7"/>
        <v>130475.26993554857</v>
      </c>
      <c r="EU13" s="4861">
        <f>SUM(EU9:EU12)</f>
        <v>468301.65234851837</v>
      </c>
      <c r="EV13" s="4861">
        <f>SUM(EV9:EV12)</f>
        <v>530735.52121275011</v>
      </c>
      <c r="EW13" s="4861">
        <f>SUM(EW9:EW12)</f>
        <v>594221.93512936914</v>
      </c>
      <c r="EX13" s="4861">
        <f>SUM(EX9:EX12)</f>
        <v>657093.77916525898</v>
      </c>
      <c r="EY13" s="4861">
        <f>SUM(EY9:EY12)</f>
        <v>722335.86960670422</v>
      </c>
      <c r="EZ13" s="619"/>
      <c r="FA13" s="1319">
        <f>IF(AND(EV13&gt;0,EK13&gt;0),(EV13/EK13)^(1/3)-1,"NA")</f>
        <v>0.14884805174012783</v>
      </c>
      <c r="FB13" s="1319">
        <f>IF(AND(EX13&gt;0,EK13&gt;0),(EX13/EK13)^(1/5)-1,"NA")</f>
        <v>0.13424636296782211</v>
      </c>
    </row>
    <row r="14" spans="1:159" s="4" customFormat="1" ht="11.25" customHeight="1">
      <c r="A14" s="4905" t="s">
        <v>985</v>
      </c>
      <c r="B14" s="170"/>
      <c r="C14" s="170"/>
      <c r="D14" s="170"/>
      <c r="E14" s="286"/>
      <c r="F14" s="4858"/>
      <c r="G14" s="170"/>
      <c r="H14" s="170"/>
      <c r="I14" s="170"/>
      <c r="J14" s="286"/>
      <c r="K14" s="4858"/>
      <c r="L14" s="170"/>
      <c r="M14" s="170"/>
      <c r="N14" s="170"/>
      <c r="O14" s="286"/>
      <c r="P14" s="2657"/>
      <c r="Q14" s="2608"/>
      <c r="R14" s="170"/>
      <c r="S14" s="170"/>
      <c r="T14" s="286"/>
      <c r="U14" s="4858"/>
      <c r="V14" s="4859"/>
      <c r="W14" s="170"/>
      <c r="X14" s="170"/>
      <c r="Y14" s="286"/>
      <c r="Z14" s="4858"/>
      <c r="AA14" s="4859"/>
      <c r="AB14" s="170"/>
      <c r="AC14" s="170"/>
      <c r="AD14" s="286"/>
      <c r="AE14" s="4858"/>
      <c r="AF14" s="4859"/>
      <c r="AG14" s="170"/>
      <c r="AH14" s="170"/>
      <c r="AI14" s="286"/>
      <c r="AJ14" s="4858"/>
      <c r="AK14" s="170"/>
      <c r="AL14" s="170"/>
      <c r="AM14" s="170"/>
      <c r="AN14" s="286"/>
      <c r="AO14" s="4858"/>
      <c r="AP14" s="170"/>
      <c r="AQ14" s="170"/>
      <c r="AR14" s="170"/>
      <c r="AS14" s="286"/>
      <c r="AT14" s="4858"/>
      <c r="AU14" s="170"/>
      <c r="AV14" s="170"/>
      <c r="AW14" s="170"/>
      <c r="AX14" s="286"/>
      <c r="AY14" s="4858"/>
      <c r="AZ14" s="170"/>
      <c r="BA14" s="170"/>
      <c r="BB14" s="170"/>
      <c r="BC14" s="170"/>
      <c r="BD14" s="4860"/>
      <c r="BE14" s="4866"/>
      <c r="BF14" s="170"/>
      <c r="BG14" s="170"/>
      <c r="BH14" s="170"/>
      <c r="BI14" s="4860"/>
      <c r="BJ14" s="170"/>
      <c r="BK14" s="170"/>
      <c r="BL14" s="170"/>
      <c r="BM14" s="170"/>
      <c r="BN14" s="4860"/>
      <c r="BO14" s="170"/>
      <c r="BP14" s="170"/>
      <c r="BQ14" s="170"/>
      <c r="BR14" s="286"/>
      <c r="BS14" s="4858"/>
      <c r="BT14" s="170"/>
      <c r="BU14" s="170"/>
      <c r="BV14" s="170"/>
      <c r="BW14" s="170"/>
      <c r="BX14" s="4860"/>
      <c r="BY14" s="170"/>
      <c r="BZ14" s="170"/>
      <c r="CA14" s="170"/>
      <c r="CB14" s="170"/>
      <c r="CC14" s="4860"/>
      <c r="CD14" s="170"/>
      <c r="CE14" s="170"/>
      <c r="CF14" s="170"/>
      <c r="CG14" s="170"/>
      <c r="CH14" s="4860"/>
      <c r="CI14" s="170"/>
      <c r="CJ14" s="170"/>
      <c r="CK14" s="170"/>
      <c r="CL14" s="170"/>
      <c r="CM14" s="4860"/>
      <c r="CN14" s="170"/>
      <c r="CO14" s="170"/>
      <c r="CP14" s="170"/>
      <c r="CQ14" s="170"/>
      <c r="CR14" s="4860"/>
      <c r="CS14" s="170"/>
      <c r="CT14" s="170"/>
      <c r="CU14" s="170"/>
      <c r="CV14" s="170"/>
      <c r="CW14" s="4860"/>
      <c r="CX14" s="170"/>
      <c r="CY14" s="170"/>
      <c r="CZ14" s="170"/>
      <c r="DA14" s="170"/>
      <c r="DB14" s="4860"/>
      <c r="DC14" s="170"/>
      <c r="DD14" s="170"/>
      <c r="DE14" s="170"/>
      <c r="DF14" s="170"/>
      <c r="DG14" s="4863">
        <f>DG13-DG12</f>
        <v>136957</v>
      </c>
      <c r="DH14" s="4865">
        <f t="shared" ref="DH14:DV14" si="8">DH13-DH12</f>
        <v>36202</v>
      </c>
      <c r="DI14" s="4865">
        <f t="shared" si="8"/>
        <v>38836</v>
      </c>
      <c r="DJ14" s="4865">
        <f t="shared" si="8"/>
        <v>40380</v>
      </c>
      <c r="DK14" s="4865">
        <f t="shared" si="8"/>
        <v>45984</v>
      </c>
      <c r="DL14" s="4863">
        <f t="shared" si="8"/>
        <v>161402</v>
      </c>
      <c r="DM14" s="4865">
        <f t="shared" si="8"/>
        <v>41110</v>
      </c>
      <c r="DN14" s="4865">
        <f t="shared" si="8"/>
        <v>38146</v>
      </c>
      <c r="DO14" s="4865">
        <f t="shared" si="8"/>
        <v>46195</v>
      </c>
      <c r="DP14" s="4865">
        <f t="shared" si="8"/>
        <v>56900</v>
      </c>
      <c r="DQ14" s="4863">
        <f t="shared" si="8"/>
        <v>182351</v>
      </c>
      <c r="DR14" s="4865">
        <f t="shared" si="8"/>
        <v>55423</v>
      </c>
      <c r="DS14" s="4865">
        <f>DS13-DS12</f>
        <v>61887</v>
      </c>
      <c r="DT14" s="4865">
        <f t="shared" si="8"/>
        <v>65056</v>
      </c>
      <c r="DU14" s="4865">
        <f t="shared" si="8"/>
        <v>75122</v>
      </c>
      <c r="DV14" s="4863">
        <f t="shared" si="8"/>
        <v>257488</v>
      </c>
      <c r="DW14" s="4865">
        <f t="shared" ref="DW14:EF14" si="9">DW13-DW12</f>
        <v>67733</v>
      </c>
      <c r="DX14" s="4865">
        <f t="shared" si="9"/>
        <v>69310</v>
      </c>
      <c r="DY14" s="4865">
        <f t="shared" si="9"/>
        <v>68454</v>
      </c>
      <c r="DZ14" s="4865">
        <f t="shared" si="9"/>
        <v>75379</v>
      </c>
      <c r="EA14" s="4863">
        <f t="shared" si="9"/>
        <v>280876</v>
      </c>
      <c r="EB14" s="4865">
        <f>EB13-EB12</f>
        <v>69703</v>
      </c>
      <c r="EC14" s="4865">
        <f>EC13-EC12</f>
        <v>74601</v>
      </c>
      <c r="ED14" s="4865">
        <f>ED13-ED12</f>
        <v>76694</v>
      </c>
      <c r="EE14" s="4865">
        <f t="shared" ref="EE14" si="10">EE13-EE12</f>
        <v>86160</v>
      </c>
      <c r="EF14" s="4863">
        <f t="shared" si="9"/>
        <v>307158</v>
      </c>
      <c r="EG14" s="4865">
        <f>EG13-EG12</f>
        <v>80467</v>
      </c>
      <c r="EH14" s="4865">
        <f>EH13-EH12</f>
        <v>84640</v>
      </c>
      <c r="EI14" s="4865">
        <f>EI13-EI12</f>
        <v>88251</v>
      </c>
      <c r="EJ14" s="4865">
        <f t="shared" ref="EJ14" si="11">EJ13-EJ12</f>
        <v>96449</v>
      </c>
      <c r="EK14" s="4863">
        <f>EK13-EK12</f>
        <v>349807</v>
      </c>
      <c r="EL14" s="4865">
        <f>EL13-EL12</f>
        <v>89974</v>
      </c>
      <c r="EM14" s="4865">
        <f>EM13-EM12</f>
        <v>96540</v>
      </c>
      <c r="EN14" s="4865">
        <f>EN13-EN12</f>
        <v>102553</v>
      </c>
      <c r="EO14" s="4865">
        <f t="shared" ref="EO14" si="12">EO13-EO12</f>
        <v>112441.89037584116</v>
      </c>
      <c r="EP14" s="4863">
        <f>EP13-EP12</f>
        <v>401508.89037584118</v>
      </c>
      <c r="EQ14" s="4865">
        <f t="shared" ref="EQ14:ET14" si="13">EQ13-EQ12</f>
        <v>106973.72533516357</v>
      </c>
      <c r="ER14" s="4865">
        <f t="shared" si="13"/>
        <v>112743.41736044051</v>
      </c>
      <c r="ES14" s="4865">
        <f t="shared" si="13"/>
        <v>118748.58882060817</v>
      </c>
      <c r="ET14" s="4865">
        <f t="shared" si="13"/>
        <v>130422.06974243936</v>
      </c>
      <c r="EU14" s="4863">
        <f>EU13-EU12</f>
        <v>468887.8012586516</v>
      </c>
      <c r="EV14" s="4863">
        <f>EV13-EV12</f>
        <v>530735.52121275011</v>
      </c>
      <c r="EW14" s="4863">
        <f>EW13-EW12</f>
        <v>594221.93512936914</v>
      </c>
      <c r="EX14" s="4863">
        <f>EX13-EX12</f>
        <v>657093.77916525898</v>
      </c>
      <c r="EY14" s="4863">
        <f>EY13-EY12</f>
        <v>722335.86960670422</v>
      </c>
      <c r="EZ14" s="170"/>
      <c r="FA14" s="1319"/>
      <c r="FB14" s="1319"/>
      <c r="FC14" s="511"/>
    </row>
    <row r="15" spans="1:159" s="4" customFormat="1" ht="11.25" hidden="1" customHeight="1" outlineLevel="1">
      <c r="A15" s="4857"/>
      <c r="B15" s="170"/>
      <c r="C15" s="170"/>
      <c r="D15" s="170"/>
      <c r="E15" s="286"/>
      <c r="F15" s="4858"/>
      <c r="G15" s="170"/>
      <c r="H15" s="170"/>
      <c r="I15" s="170"/>
      <c r="J15" s="286"/>
      <c r="K15" s="4858"/>
      <c r="L15" s="170"/>
      <c r="M15" s="170"/>
      <c r="N15" s="170"/>
      <c r="O15" s="286"/>
      <c r="P15" s="2657"/>
      <c r="Q15" s="2608"/>
      <c r="R15" s="170"/>
      <c r="S15" s="170"/>
      <c r="T15" s="286"/>
      <c r="U15" s="4858"/>
      <c r="V15" s="4859"/>
      <c r="W15" s="170"/>
      <c r="X15" s="170"/>
      <c r="Y15" s="286"/>
      <c r="Z15" s="4858"/>
      <c r="AA15" s="4859"/>
      <c r="AB15" s="170"/>
      <c r="AC15" s="170"/>
      <c r="AD15" s="286"/>
      <c r="AE15" s="4858"/>
      <c r="AF15" s="4859"/>
      <c r="AG15" s="170"/>
      <c r="AH15" s="170"/>
      <c r="AI15" s="286"/>
      <c r="AJ15" s="4858"/>
      <c r="AK15" s="170"/>
      <c r="AL15" s="170"/>
      <c r="AM15" s="170"/>
      <c r="AN15" s="286"/>
      <c r="AO15" s="4858"/>
      <c r="AP15" s="170"/>
      <c r="AQ15" s="170"/>
      <c r="AR15" s="170"/>
      <c r="AS15" s="286"/>
      <c r="AT15" s="4858"/>
      <c r="AU15" s="170"/>
      <c r="AV15" s="170"/>
      <c r="AW15" s="170"/>
      <c r="AX15" s="286"/>
      <c r="AY15" s="4858"/>
      <c r="AZ15" s="170"/>
      <c r="BA15" s="170"/>
      <c r="BB15" s="170"/>
      <c r="BC15" s="170"/>
      <c r="BD15" s="4860"/>
      <c r="BE15" s="4866"/>
      <c r="BF15" s="170"/>
      <c r="BG15" s="170"/>
      <c r="BH15" s="170"/>
      <c r="BI15" s="4860"/>
      <c r="BJ15" s="170"/>
      <c r="BK15" s="170"/>
      <c r="BL15" s="170"/>
      <c r="BM15" s="170"/>
      <c r="BN15" s="4860"/>
      <c r="BO15" s="170"/>
      <c r="BP15" s="170"/>
      <c r="BQ15" s="170"/>
      <c r="BR15" s="286"/>
      <c r="BS15" s="4858"/>
      <c r="BT15" s="170"/>
      <c r="BU15" s="170"/>
      <c r="BV15" s="170"/>
      <c r="BW15" s="170"/>
      <c r="BX15" s="4860"/>
      <c r="BY15" s="170"/>
      <c r="BZ15" s="170"/>
      <c r="CA15" s="170"/>
      <c r="CB15" s="170"/>
      <c r="CC15" s="4860"/>
      <c r="CD15" s="170"/>
      <c r="CE15" s="170"/>
      <c r="CF15" s="170"/>
      <c r="CG15" s="170"/>
      <c r="CH15" s="4860"/>
      <c r="CI15" s="170"/>
      <c r="CJ15" s="170"/>
      <c r="CK15" s="170"/>
      <c r="CL15" s="170"/>
      <c r="CM15" s="4860"/>
      <c r="CN15" s="170"/>
      <c r="CO15" s="170"/>
      <c r="CP15" s="170"/>
      <c r="CQ15" s="170"/>
      <c r="CR15" s="4860"/>
      <c r="CS15" s="170"/>
      <c r="CT15" s="170"/>
      <c r="CU15" s="170"/>
      <c r="CV15" s="170"/>
      <c r="CW15" s="4860"/>
      <c r="CX15" s="170"/>
      <c r="CY15" s="170"/>
      <c r="CZ15" s="170"/>
      <c r="DA15" s="170"/>
      <c r="DB15" s="4860"/>
      <c r="DC15" s="170"/>
      <c r="DD15" s="170"/>
      <c r="DE15" s="170"/>
      <c r="DF15" s="170"/>
      <c r="DG15" s="4863"/>
      <c r="DH15" s="4865"/>
      <c r="DI15" s="4865"/>
      <c r="DJ15" s="4865"/>
      <c r="DK15" s="4865"/>
      <c r="DL15" s="4863"/>
      <c r="DM15" s="4865"/>
      <c r="DN15" s="4865"/>
      <c r="DO15" s="4865"/>
      <c r="DP15" s="4865"/>
      <c r="DQ15" s="4863"/>
      <c r="DR15" s="4865"/>
      <c r="DS15" s="4865"/>
      <c r="DT15" s="4865"/>
      <c r="DU15" s="4865"/>
      <c r="DV15" s="4863"/>
      <c r="DW15" s="4865"/>
      <c r="DX15" s="4865"/>
      <c r="DY15" s="4865"/>
      <c r="DZ15" s="4865"/>
      <c r="EA15" s="4863"/>
      <c r="EB15" s="4865"/>
      <c r="EC15" s="4865"/>
      <c r="ED15" s="4865"/>
      <c r="EE15" s="4865"/>
      <c r="EF15" s="4863"/>
      <c r="EG15" s="4865"/>
      <c r="EH15" s="4865"/>
      <c r="EI15" s="4865"/>
      <c r="EJ15" s="4865"/>
      <c r="EK15" s="4863"/>
      <c r="EL15" s="4865"/>
      <c r="EM15" s="4865"/>
      <c r="EN15" s="4865"/>
      <c r="EO15" s="4865"/>
      <c r="EP15" s="4863"/>
      <c r="EQ15" s="4865"/>
      <c r="ER15" s="4865"/>
      <c r="ES15" s="4865"/>
      <c r="ET15" s="4865"/>
      <c r="EU15" s="4863"/>
      <c r="EV15" s="4863"/>
      <c r="EW15" s="4863"/>
      <c r="EX15" s="4863"/>
      <c r="EY15" s="4863"/>
      <c r="EZ15" s="170"/>
      <c r="FA15" s="1319"/>
      <c r="FB15" s="1319"/>
      <c r="FC15" s="511"/>
    </row>
    <row r="16" spans="1:159" s="2586" customFormat="1" collapsed="1">
      <c r="A16" s="3557" t="s">
        <v>964</v>
      </c>
      <c r="B16" s="2718"/>
      <c r="C16" s="2718"/>
      <c r="D16" s="2718"/>
      <c r="E16" s="2718"/>
      <c r="F16" s="2718"/>
      <c r="G16" s="2718"/>
      <c r="H16" s="2718"/>
      <c r="I16" s="2718"/>
      <c r="J16" s="2718"/>
      <c r="K16" s="2718"/>
      <c r="L16" s="2718"/>
      <c r="M16" s="2718"/>
      <c r="N16" s="2718"/>
      <c r="O16" s="2718"/>
      <c r="P16" s="2718"/>
      <c r="Q16" s="2718"/>
      <c r="R16" s="2718"/>
      <c r="S16" s="2718"/>
      <c r="T16" s="2718"/>
      <c r="U16" s="2718"/>
      <c r="V16" s="2718"/>
      <c r="W16" s="2718"/>
      <c r="X16" s="2718"/>
      <c r="Y16" s="2718"/>
      <c r="Z16" s="2718"/>
      <c r="AA16" s="2718"/>
      <c r="AB16" s="2718"/>
      <c r="AC16" s="2718"/>
      <c r="AD16" s="2718"/>
      <c r="AE16" s="2718"/>
      <c r="AF16" s="2718"/>
      <c r="AG16" s="2718"/>
      <c r="AH16" s="2718"/>
      <c r="AI16" s="2718"/>
      <c r="AJ16" s="2718"/>
      <c r="AK16" s="2718"/>
      <c r="AL16" s="2718"/>
      <c r="AM16" s="2718"/>
      <c r="AN16" s="2718"/>
      <c r="AO16" s="2718"/>
      <c r="AP16" s="2718"/>
      <c r="AQ16" s="2718"/>
      <c r="AR16" s="2718"/>
      <c r="AS16" s="2718"/>
      <c r="AT16" s="2718"/>
      <c r="AU16" s="2718"/>
      <c r="AV16" s="2718"/>
      <c r="AW16" s="2718"/>
      <c r="AX16" s="2718"/>
      <c r="AY16" s="2718"/>
      <c r="AZ16" s="2718"/>
      <c r="BA16" s="2718"/>
      <c r="BB16" s="2718"/>
      <c r="BC16" s="2718"/>
      <c r="BD16" s="2718"/>
      <c r="BE16" s="2718"/>
      <c r="BF16" s="2718"/>
      <c r="BG16" s="2718"/>
      <c r="BH16" s="2718"/>
      <c r="BI16" s="2718"/>
      <c r="BJ16" s="2718"/>
      <c r="BK16" s="2718"/>
      <c r="BL16" s="2718"/>
      <c r="BM16" s="2718"/>
      <c r="BN16" s="2718"/>
      <c r="BO16" s="2718"/>
      <c r="BP16" s="2718"/>
      <c r="BQ16" s="2718"/>
      <c r="BR16" s="2718"/>
      <c r="BS16" s="2718"/>
      <c r="BT16" s="2718"/>
      <c r="BU16" s="2718"/>
      <c r="BV16" s="2718"/>
      <c r="BW16" s="2718"/>
      <c r="BX16" s="2718"/>
      <c r="BY16" s="2718"/>
      <c r="BZ16" s="2718"/>
      <c r="CA16" s="2718"/>
      <c r="CB16" s="2718"/>
      <c r="CC16" s="2718"/>
      <c r="CD16" s="2718"/>
      <c r="CE16" s="2718"/>
      <c r="CF16" s="2718"/>
      <c r="CG16" s="2718"/>
      <c r="CH16" s="4897"/>
      <c r="CI16" s="2825"/>
      <c r="CJ16" s="2825"/>
      <c r="CK16" s="2825"/>
      <c r="CL16" s="2825"/>
      <c r="CM16" s="4897"/>
      <c r="CN16" s="2825"/>
      <c r="CO16" s="2825"/>
      <c r="CP16" s="2825"/>
      <c r="CQ16" s="2825"/>
      <c r="CR16" s="4897"/>
      <c r="CS16" s="2825"/>
      <c r="CT16" s="2825"/>
      <c r="CU16" s="2825"/>
      <c r="CV16" s="2825"/>
      <c r="CW16" s="4897"/>
      <c r="CX16" s="2825"/>
      <c r="CY16" s="2825"/>
      <c r="CZ16" s="2825"/>
      <c r="DA16" s="2825"/>
      <c r="DB16" s="4897"/>
      <c r="DC16" s="2825"/>
      <c r="DD16" s="2825"/>
      <c r="DE16" s="2825"/>
      <c r="DF16" s="2825"/>
      <c r="DG16" s="4897"/>
      <c r="DH16" s="2825"/>
      <c r="DI16" s="2825"/>
      <c r="DJ16" s="2825"/>
      <c r="DK16" s="5103"/>
      <c r="DL16" s="4897"/>
      <c r="DM16" s="2825"/>
      <c r="DN16" s="2825"/>
      <c r="DO16" s="2825"/>
      <c r="DP16" s="5103"/>
      <c r="DQ16" s="4897"/>
      <c r="DR16" s="2825"/>
      <c r="DS16" s="2825"/>
      <c r="DT16" s="2825"/>
      <c r="DU16" s="5103"/>
      <c r="DV16" s="4897"/>
      <c r="DW16" s="2825"/>
      <c r="DX16" s="5103"/>
      <c r="DY16" s="5103"/>
      <c r="DZ16" s="5103"/>
      <c r="EA16" s="4897"/>
      <c r="EB16" s="5103"/>
      <c r="EC16" s="5103"/>
      <c r="ED16" s="5103"/>
      <c r="EE16" s="5103"/>
      <c r="EF16" s="4897"/>
      <c r="EG16" s="5103"/>
      <c r="EH16" s="5103"/>
      <c r="EI16" s="5103"/>
      <c r="EJ16" s="5103"/>
      <c r="EK16" s="4897"/>
      <c r="EL16" s="5103"/>
      <c r="EM16" s="5103"/>
      <c r="EN16" s="5103"/>
      <c r="EO16" s="5103"/>
      <c r="EP16" s="4897"/>
      <c r="EQ16" s="5103"/>
      <c r="ER16" s="5103"/>
      <c r="ES16" s="5103"/>
      <c r="ET16" s="5103"/>
      <c r="EU16" s="4897"/>
      <c r="EV16" s="4897"/>
      <c r="EW16" s="4897"/>
      <c r="EX16" s="4897"/>
      <c r="EY16" s="4897"/>
      <c r="FA16" s="1319"/>
      <c r="FB16" s="1319"/>
    </row>
    <row r="17" spans="1:160" s="4" customFormat="1" ht="11.25" customHeight="1">
      <c r="A17" s="4857" t="s">
        <v>960</v>
      </c>
      <c r="B17" s="170"/>
      <c r="C17" s="170"/>
      <c r="D17" s="170"/>
      <c r="E17" s="286"/>
      <c r="F17" s="4858"/>
      <c r="G17" s="170"/>
      <c r="H17" s="170"/>
      <c r="I17" s="170"/>
      <c r="J17" s="286"/>
      <c r="K17" s="4858"/>
      <c r="L17" s="170"/>
      <c r="M17" s="170"/>
      <c r="N17" s="170"/>
      <c r="O17" s="286"/>
      <c r="P17" s="2657"/>
      <c r="Q17" s="2608"/>
      <c r="R17" s="170"/>
      <c r="S17" s="170"/>
      <c r="T17" s="286"/>
      <c r="U17" s="4858"/>
      <c r="V17" s="4859"/>
      <c r="W17" s="170"/>
      <c r="X17" s="170"/>
      <c r="Y17" s="286"/>
      <c r="Z17" s="4858"/>
      <c r="AA17" s="4859"/>
      <c r="AB17" s="170"/>
      <c r="AC17" s="170"/>
      <c r="AD17" s="286"/>
      <c r="AE17" s="4858"/>
      <c r="AF17" s="4859"/>
      <c r="AG17" s="170"/>
      <c r="AH17" s="170"/>
      <c r="AI17" s="286"/>
      <c r="AJ17" s="4858"/>
      <c r="AK17" s="170"/>
      <c r="AL17" s="170"/>
      <c r="AM17" s="170"/>
      <c r="AN17" s="286"/>
      <c r="AO17" s="4858"/>
      <c r="AP17" s="170"/>
      <c r="AQ17" s="170"/>
      <c r="AR17" s="170"/>
      <c r="AS17" s="286"/>
      <c r="AT17" s="4858"/>
      <c r="AU17" s="170"/>
      <c r="AV17" s="170"/>
      <c r="AW17" s="170"/>
      <c r="AX17" s="286"/>
      <c r="AY17" s="4858"/>
      <c r="AZ17" s="170"/>
      <c r="BA17" s="170"/>
      <c r="BB17" s="170"/>
      <c r="BC17" s="170"/>
      <c r="BD17" s="4860"/>
      <c r="BE17" s="4866"/>
      <c r="BF17" s="170"/>
      <c r="BG17" s="170"/>
      <c r="BH17" s="170"/>
      <c r="BI17" s="4860"/>
      <c r="BJ17" s="170"/>
      <c r="BK17" s="170"/>
      <c r="BL17" s="170"/>
      <c r="BM17" s="170"/>
      <c r="BN17" s="4860"/>
      <c r="BO17" s="170"/>
      <c r="BP17" s="170"/>
      <c r="BQ17" s="170"/>
      <c r="BR17" s="286"/>
      <c r="BS17" s="4858"/>
      <c r="BT17" s="170"/>
      <c r="BU17" s="170"/>
      <c r="BV17" s="170"/>
      <c r="BW17" s="170"/>
      <c r="BX17" s="4860"/>
      <c r="BY17" s="170"/>
      <c r="BZ17" s="170"/>
      <c r="CA17" s="170"/>
      <c r="CB17" s="170"/>
      <c r="CC17" s="4860"/>
      <c r="CD17" s="170"/>
      <c r="CE17" s="170"/>
      <c r="CF17" s="170"/>
      <c r="CG17" s="170"/>
      <c r="CH17" s="4860"/>
      <c r="CI17" s="170"/>
      <c r="CJ17" s="170"/>
      <c r="CK17" s="170"/>
      <c r="CL17" s="170"/>
      <c r="CM17" s="4860"/>
      <c r="CN17" s="170"/>
      <c r="CO17" s="170"/>
      <c r="CP17" s="170"/>
      <c r="CQ17" s="170"/>
      <c r="CR17" s="4860"/>
      <c r="CS17" s="170"/>
      <c r="CT17" s="170"/>
      <c r="CU17" s="170"/>
      <c r="CV17" s="170"/>
      <c r="CW17" s="4860"/>
      <c r="CX17" s="170"/>
      <c r="CY17" s="170"/>
      <c r="CZ17" s="170"/>
      <c r="DA17" s="170"/>
      <c r="DB17" s="4860"/>
      <c r="DC17" s="170"/>
      <c r="DD17" s="170"/>
      <c r="DE17" s="170"/>
      <c r="DF17" s="170"/>
      <c r="DG17" s="4890">
        <v>43137</v>
      </c>
      <c r="DH17" s="4865"/>
      <c r="DI17" s="4865"/>
      <c r="DJ17" s="4865"/>
      <c r="DK17" s="4864">
        <v>13488</v>
      </c>
      <c r="DL17" s="4890">
        <v>48999</v>
      </c>
      <c r="DM17" s="4864">
        <v>11548</v>
      </c>
      <c r="DN17" s="4864">
        <v>9539</v>
      </c>
      <c r="DO17" s="4864">
        <v>14453</v>
      </c>
      <c r="DP17" s="4864">
        <v>19066</v>
      </c>
      <c r="DQ17" s="4863">
        <f>SUM(DM17:DP17)</f>
        <v>54606</v>
      </c>
      <c r="DR17" s="4864">
        <v>19546</v>
      </c>
      <c r="DS17" s="4864">
        <v>22343</v>
      </c>
      <c r="DT17" s="4864">
        <v>23973</v>
      </c>
      <c r="DU17" s="4864">
        <v>25993</v>
      </c>
      <c r="DV17" s="4890">
        <v>88132</v>
      </c>
      <c r="DW17" s="4864">
        <v>21973</v>
      </c>
      <c r="DX17" s="4864">
        <v>21621</v>
      </c>
      <c r="DY17" s="4864">
        <v>18883</v>
      </c>
      <c r="DZ17" s="4864">
        <v>20222</v>
      </c>
      <c r="EA17" s="4863">
        <f>SUM(DW17:DZ17)</f>
        <v>82699</v>
      </c>
      <c r="EB17" s="4864">
        <v>21737</v>
      </c>
      <c r="EC17" s="4864">
        <v>23454</v>
      </c>
      <c r="ED17" s="4864">
        <v>23937</v>
      </c>
      <c r="EE17" s="4864">
        <v>26730</v>
      </c>
      <c r="EF17" s="4863">
        <f>SUM(EB17:EE17)</f>
        <v>95858</v>
      </c>
      <c r="EG17" s="4864">
        <v>27897</v>
      </c>
      <c r="EH17" s="4864">
        <v>29674</v>
      </c>
      <c r="EI17" s="4864">
        <v>30856</v>
      </c>
      <c r="EJ17" s="4864">
        <v>32836</v>
      </c>
      <c r="EK17" s="4863">
        <f>SUM(EG17:EJ17)</f>
        <v>121263</v>
      </c>
      <c r="EL17" s="4864">
        <v>32682</v>
      </c>
      <c r="EM17" s="4864">
        <v>33063</v>
      </c>
      <c r="EN17" s="4864">
        <v>33527</v>
      </c>
      <c r="EO17" s="4865">
        <f t="shared" ref="EO17" si="14">EO44</f>
        <v>38843.256361210428</v>
      </c>
      <c r="EP17" s="4863">
        <f>SUM(EL17:EO17)</f>
        <v>138115.25636121043</v>
      </c>
      <c r="EQ17" s="4865">
        <f t="shared" ref="EQ17:ET17" si="15">EQ44</f>
        <v>38929.832831157008</v>
      </c>
      <c r="ER17" s="4865">
        <f t="shared" si="15"/>
        <v>39934.533271460583</v>
      </c>
      <c r="ES17" s="4865">
        <f t="shared" si="15"/>
        <v>40869.250388389075</v>
      </c>
      <c r="ET17" s="4865">
        <f t="shared" si="15"/>
        <v>44228.548468412249</v>
      </c>
      <c r="EU17" s="4863">
        <f>SUM(EQ17:ET17)</f>
        <v>163962.16495941891</v>
      </c>
      <c r="EV17" s="4863">
        <f>EV44</f>
        <v>180290.8994827467</v>
      </c>
      <c r="EW17" s="4863">
        <f>EW44</f>
        <v>196284.99952581798</v>
      </c>
      <c r="EX17" s="4863">
        <f>EX44</f>
        <v>211784.47820493433</v>
      </c>
      <c r="EY17" s="4863">
        <f>EY44</f>
        <v>227859.61579487991</v>
      </c>
      <c r="EZ17" s="170"/>
      <c r="FA17" s="1319">
        <f t="shared" ref="FA17:FA20" si="16">IF(AND(EV17&gt;0,EK17&gt;0),(EV17/EK17)^(1/3)-1,"NA")</f>
        <v>0.14134033552259639</v>
      </c>
      <c r="FB17" s="1319">
        <f t="shared" ref="FB17:FB20" si="17">IF(AND(EX17&gt;0,EK17&gt;0),(EX17/EK17)^(1/5)-1,"NA")</f>
        <v>0.1179777589753519</v>
      </c>
      <c r="FC17" s="511"/>
    </row>
    <row r="18" spans="1:160" s="4" customFormat="1" ht="11.25" customHeight="1">
      <c r="A18" s="4857" t="s">
        <v>692</v>
      </c>
      <c r="B18" s="170"/>
      <c r="C18" s="170"/>
      <c r="D18" s="170"/>
      <c r="E18" s="286"/>
      <c r="F18" s="4858"/>
      <c r="G18" s="170"/>
      <c r="H18" s="170"/>
      <c r="I18" s="170"/>
      <c r="J18" s="286"/>
      <c r="K18" s="4858"/>
      <c r="L18" s="170"/>
      <c r="M18" s="170"/>
      <c r="N18" s="170"/>
      <c r="O18" s="286"/>
      <c r="P18" s="2657"/>
      <c r="Q18" s="2608"/>
      <c r="R18" s="170"/>
      <c r="S18" s="170"/>
      <c r="T18" s="286"/>
      <c r="U18" s="4858"/>
      <c r="V18" s="4859"/>
      <c r="W18" s="170"/>
      <c r="X18" s="170"/>
      <c r="Y18" s="286"/>
      <c r="Z18" s="4858"/>
      <c r="AA18" s="4859"/>
      <c r="AB18" s="170"/>
      <c r="AC18" s="170"/>
      <c r="AD18" s="286"/>
      <c r="AE18" s="4858"/>
      <c r="AF18" s="4859"/>
      <c r="AG18" s="170"/>
      <c r="AH18" s="170"/>
      <c r="AI18" s="286"/>
      <c r="AJ18" s="4858"/>
      <c r="AK18" s="170"/>
      <c r="AL18" s="170"/>
      <c r="AM18" s="170"/>
      <c r="AN18" s="286"/>
      <c r="AO18" s="4858"/>
      <c r="AP18" s="170"/>
      <c r="AQ18" s="170"/>
      <c r="AR18" s="170"/>
      <c r="AS18" s="286"/>
      <c r="AT18" s="4858"/>
      <c r="AU18" s="170"/>
      <c r="AV18" s="170"/>
      <c r="AW18" s="170"/>
      <c r="AX18" s="286"/>
      <c r="AY18" s="4858"/>
      <c r="AZ18" s="170"/>
      <c r="BA18" s="170"/>
      <c r="BB18" s="170"/>
      <c r="BC18" s="170"/>
      <c r="BD18" s="4860"/>
      <c r="BE18" s="4866"/>
      <c r="BF18" s="170"/>
      <c r="BG18" s="170"/>
      <c r="BH18" s="170"/>
      <c r="BI18" s="4860"/>
      <c r="BJ18" s="170"/>
      <c r="BK18" s="170"/>
      <c r="BL18" s="170"/>
      <c r="BM18" s="170"/>
      <c r="BN18" s="4860"/>
      <c r="BO18" s="170"/>
      <c r="BP18" s="170"/>
      <c r="BQ18" s="170"/>
      <c r="BR18" s="286"/>
      <c r="BS18" s="4858"/>
      <c r="BT18" s="170"/>
      <c r="BU18" s="170"/>
      <c r="BV18" s="170"/>
      <c r="BW18" s="170"/>
      <c r="BX18" s="4860"/>
      <c r="BY18" s="170"/>
      <c r="BZ18" s="170"/>
      <c r="CA18" s="170"/>
      <c r="CB18" s="170"/>
      <c r="CC18" s="4860"/>
      <c r="CD18" s="170"/>
      <c r="CE18" s="170"/>
      <c r="CF18" s="170"/>
      <c r="CG18" s="170"/>
      <c r="CH18" s="4860"/>
      <c r="CI18" s="170"/>
      <c r="CJ18" s="170"/>
      <c r="CK18" s="170"/>
      <c r="CL18" s="170"/>
      <c r="CM18" s="4860"/>
      <c r="CN18" s="170"/>
      <c r="CO18" s="170"/>
      <c r="CP18" s="170"/>
      <c r="CQ18" s="170"/>
      <c r="CR18" s="4860"/>
      <c r="CS18" s="170"/>
      <c r="CT18" s="170"/>
      <c r="CU18" s="170"/>
      <c r="CV18" s="170"/>
      <c r="CW18" s="4860"/>
      <c r="CX18" s="170"/>
      <c r="CY18" s="170"/>
      <c r="CZ18" s="170"/>
      <c r="DA18" s="170"/>
      <c r="DB18" s="4860"/>
      <c r="DC18" s="170"/>
      <c r="DD18" s="170"/>
      <c r="DE18" s="170"/>
      <c r="DF18" s="170"/>
      <c r="DG18" s="4890">
        <v>-4348</v>
      </c>
      <c r="DH18" s="4865"/>
      <c r="DI18" s="4865"/>
      <c r="DJ18" s="4865"/>
      <c r="DK18" s="4864">
        <v>-1194</v>
      </c>
      <c r="DL18" s="4890">
        <v>-4645</v>
      </c>
      <c r="DM18" s="4864">
        <v>-1730</v>
      </c>
      <c r="DN18" s="4864">
        <v>-1426</v>
      </c>
      <c r="DO18" s="4864">
        <v>-1208</v>
      </c>
      <c r="DP18" s="4864">
        <v>-1243</v>
      </c>
      <c r="DQ18" s="4863">
        <f>SUM(DM18:DP18)</f>
        <v>-5607</v>
      </c>
      <c r="DR18" s="4864">
        <v>-974</v>
      </c>
      <c r="DS18" s="4864">
        <v>-591</v>
      </c>
      <c r="DT18" s="4864">
        <v>-644</v>
      </c>
      <c r="DU18" s="4864">
        <v>-890</v>
      </c>
      <c r="DV18" s="4890">
        <v>-2282</v>
      </c>
      <c r="DW18" s="4864">
        <v>-706</v>
      </c>
      <c r="DX18" s="4864">
        <v>-590</v>
      </c>
      <c r="DY18" s="4864">
        <v>-440</v>
      </c>
      <c r="DZ18" s="4864">
        <v>-186</v>
      </c>
      <c r="EA18" s="4863">
        <f>SUM(DW18:DZ18)</f>
        <v>-1922</v>
      </c>
      <c r="EB18" s="4864">
        <v>191</v>
      </c>
      <c r="EC18" s="4864">
        <v>395</v>
      </c>
      <c r="ED18" s="4864">
        <v>266</v>
      </c>
      <c r="EE18" s="4864">
        <v>864</v>
      </c>
      <c r="EF18" s="4863">
        <f>SUM(EB18:EE18)</f>
        <v>1716</v>
      </c>
      <c r="EG18" s="4864">
        <v>900</v>
      </c>
      <c r="EH18" s="4864">
        <v>1172</v>
      </c>
      <c r="EI18" s="4864">
        <v>1947</v>
      </c>
      <c r="EJ18" s="4864">
        <v>2093</v>
      </c>
      <c r="EK18" s="4863">
        <f>SUM(EG18:EJ18)</f>
        <v>6112</v>
      </c>
      <c r="EL18" s="4864">
        <v>2177</v>
      </c>
      <c r="EM18" s="4864">
        <v>2826</v>
      </c>
      <c r="EN18" s="4864">
        <v>3594</v>
      </c>
      <c r="EO18" s="4865">
        <f t="shared" ref="EO18" si="18">EO82</f>
        <v>3965.3986016643553</v>
      </c>
      <c r="EP18" s="4863">
        <f>SUM(EL18:EO18)</f>
        <v>12562.398601664356</v>
      </c>
      <c r="EQ18" s="4865">
        <f t="shared" ref="EQ18:ET18" si="19">EQ82</f>
        <v>4425.7893650939695</v>
      </c>
      <c r="ER18" s="4865">
        <f t="shared" si="19"/>
        <v>4786.8357110885863</v>
      </c>
      <c r="ES18" s="4865">
        <f t="shared" si="19"/>
        <v>5185.7810376194757</v>
      </c>
      <c r="ET18" s="4865">
        <f t="shared" si="19"/>
        <v>5570.723632723727</v>
      </c>
      <c r="EU18" s="4863">
        <f>SUM(EQ18:ET18)</f>
        <v>19969.129746525759</v>
      </c>
      <c r="EV18" s="4863">
        <f>EV82</f>
        <v>24747.73752937125</v>
      </c>
      <c r="EW18" s="4863">
        <f>EW82</f>
        <v>34431.634823473047</v>
      </c>
      <c r="EX18" s="4863">
        <f>EX82</f>
        <v>45998.512146983514</v>
      </c>
      <c r="EY18" s="4863">
        <f>EY82</f>
        <v>60943.993637547283</v>
      </c>
      <c r="EZ18" s="170"/>
      <c r="FA18" s="1319">
        <f t="shared" si="16"/>
        <v>0.5938620075026102</v>
      </c>
      <c r="FB18" s="1319">
        <f t="shared" si="17"/>
        <v>0.49731125035417856</v>
      </c>
      <c r="FC18" s="511"/>
    </row>
    <row r="19" spans="1:160" s="4" customFormat="1" ht="11.25" customHeight="1">
      <c r="A19" s="4857" t="s">
        <v>434</v>
      </c>
      <c r="B19" s="170"/>
      <c r="C19" s="170"/>
      <c r="D19" s="170"/>
      <c r="E19" s="286"/>
      <c r="F19" s="4858"/>
      <c r="G19" s="170"/>
      <c r="H19" s="170"/>
      <c r="I19" s="170"/>
      <c r="J19" s="286"/>
      <c r="K19" s="4858"/>
      <c r="L19" s="170"/>
      <c r="M19" s="170"/>
      <c r="N19" s="170"/>
      <c r="O19" s="286"/>
      <c r="P19" s="2657"/>
      <c r="Q19" s="2608"/>
      <c r="R19" s="170"/>
      <c r="S19" s="170"/>
      <c r="T19" s="286"/>
      <c r="U19" s="4858"/>
      <c r="V19" s="4859"/>
      <c r="W19" s="170"/>
      <c r="X19" s="170"/>
      <c r="Y19" s="286"/>
      <c r="Z19" s="4858"/>
      <c r="AA19" s="4859"/>
      <c r="AB19" s="170"/>
      <c r="AC19" s="170"/>
      <c r="AD19" s="286"/>
      <c r="AE19" s="4858"/>
      <c r="AF19" s="4859"/>
      <c r="AG19" s="170"/>
      <c r="AH19" s="170"/>
      <c r="AI19" s="286"/>
      <c r="AJ19" s="4858"/>
      <c r="AK19" s="170"/>
      <c r="AL19" s="170"/>
      <c r="AM19" s="170"/>
      <c r="AN19" s="286"/>
      <c r="AO19" s="4858"/>
      <c r="AP19" s="170"/>
      <c r="AQ19" s="170"/>
      <c r="AR19" s="170"/>
      <c r="AS19" s="286"/>
      <c r="AT19" s="4858"/>
      <c r="AU19" s="170"/>
      <c r="AV19" s="170"/>
      <c r="AW19" s="170"/>
      <c r="AX19" s="286"/>
      <c r="AY19" s="4858"/>
      <c r="AZ19" s="170"/>
      <c r="BA19" s="170"/>
      <c r="BB19" s="170"/>
      <c r="BC19" s="170"/>
      <c r="BD19" s="4860"/>
      <c r="BE19" s="4866"/>
      <c r="BF19" s="170"/>
      <c r="BG19" s="170"/>
      <c r="BH19" s="170"/>
      <c r="BI19" s="4860"/>
      <c r="BJ19" s="170"/>
      <c r="BK19" s="170"/>
      <c r="BL19" s="170"/>
      <c r="BM19" s="170"/>
      <c r="BN19" s="4860"/>
      <c r="BO19" s="170"/>
      <c r="BP19" s="170"/>
      <c r="BQ19" s="170"/>
      <c r="BR19" s="286"/>
      <c r="BS19" s="4858"/>
      <c r="BT19" s="170"/>
      <c r="BU19" s="170"/>
      <c r="BV19" s="170"/>
      <c r="BW19" s="170"/>
      <c r="BX19" s="4860"/>
      <c r="BY19" s="170"/>
      <c r="BZ19" s="170"/>
      <c r="CA19" s="170"/>
      <c r="CB19" s="170"/>
      <c r="CC19" s="4860"/>
      <c r="CD19" s="170"/>
      <c r="CE19" s="170"/>
      <c r="CF19" s="170"/>
      <c r="CG19" s="170"/>
      <c r="CH19" s="4860"/>
      <c r="CI19" s="170"/>
      <c r="CJ19" s="170"/>
      <c r="CK19" s="170"/>
      <c r="CL19" s="170"/>
      <c r="CM19" s="4860"/>
      <c r="CN19" s="170"/>
      <c r="CO19" s="170"/>
      <c r="CP19" s="170"/>
      <c r="CQ19" s="170"/>
      <c r="CR19" s="4860"/>
      <c r="CS19" s="170"/>
      <c r="CT19" s="170"/>
      <c r="CU19" s="170"/>
      <c r="CV19" s="170"/>
      <c r="CW19" s="4860"/>
      <c r="CX19" s="170"/>
      <c r="CY19" s="170"/>
      <c r="CZ19" s="170"/>
      <c r="DA19" s="170"/>
      <c r="DB19" s="4860"/>
      <c r="DC19" s="170"/>
      <c r="DD19" s="170"/>
      <c r="DE19" s="170"/>
      <c r="DF19" s="170"/>
      <c r="DG19" s="4890">
        <v>-3358</v>
      </c>
      <c r="DH19" s="4865"/>
      <c r="DI19" s="4865"/>
      <c r="DJ19" s="4865"/>
      <c r="DK19" s="4864">
        <v>-2026</v>
      </c>
      <c r="DL19" s="4890">
        <v>-4824</v>
      </c>
      <c r="DM19" s="4864">
        <v>-1121</v>
      </c>
      <c r="DN19" s="4864">
        <v>-1116</v>
      </c>
      <c r="DO19" s="4864">
        <v>-1103</v>
      </c>
      <c r="DP19" s="4864">
        <v>-1136</v>
      </c>
      <c r="DQ19" s="4863">
        <f>SUM(DM19:DP19)</f>
        <v>-4476</v>
      </c>
      <c r="DR19" s="4864">
        <v>-1145</v>
      </c>
      <c r="DS19" s="4864">
        <v>-1398</v>
      </c>
      <c r="DT19" s="4864">
        <v>-1288</v>
      </c>
      <c r="DU19" s="4864">
        <v>-1450</v>
      </c>
      <c r="DV19" s="4890">
        <v>-4051</v>
      </c>
      <c r="DW19" s="4864">
        <v>-835</v>
      </c>
      <c r="DX19" s="4864">
        <v>-1339</v>
      </c>
      <c r="DY19" s="4864">
        <v>-1225</v>
      </c>
      <c r="DZ19" s="4864">
        <v>-1237</v>
      </c>
      <c r="EA19" s="4863">
        <f>SUM(DW19:DZ19)</f>
        <v>-4636</v>
      </c>
      <c r="EB19" s="4864">
        <v>-1225</v>
      </c>
      <c r="EC19" s="4864">
        <v>-813</v>
      </c>
      <c r="ED19" s="4864">
        <v>-1194</v>
      </c>
      <c r="EE19" s="4864">
        <v>-863</v>
      </c>
      <c r="EF19" s="4863">
        <f>SUM(EB19:EE19)</f>
        <v>-4095</v>
      </c>
      <c r="EG19" s="4864">
        <v>-1020</v>
      </c>
      <c r="EH19" s="4864">
        <v>-1134</v>
      </c>
      <c r="EI19" s="4864">
        <v>-1116</v>
      </c>
      <c r="EJ19" s="4864">
        <v>-1174</v>
      </c>
      <c r="EK19" s="4863">
        <f>SUM(EG19:EJ19)</f>
        <v>-4444</v>
      </c>
      <c r="EL19" s="4864">
        <v>-1226</v>
      </c>
      <c r="EM19" s="4864">
        <v>-1246</v>
      </c>
      <c r="EN19" s="4864">
        <v>-1426</v>
      </c>
      <c r="EO19" s="4865">
        <f t="shared" ref="EO19" si="20">EO21-SUM(EO17,EO18,EO20)</f>
        <v>-1563.1700744260161</v>
      </c>
      <c r="EP19" s="4863">
        <f>SUM(EL19:EO19)</f>
        <v>-5461.1700744260161</v>
      </c>
      <c r="EQ19" s="4865">
        <f t="shared" ref="EQ19:ET19" si="21">EQ21-SUM(EQ17,EQ18,EQ20)</f>
        <v>-1303.0906263284342</v>
      </c>
      <c r="ER19" s="4865">
        <f t="shared" si="21"/>
        <v>-1321.214175292931</v>
      </c>
      <c r="ES19" s="4865">
        <f t="shared" si="21"/>
        <v>-1451.6202837407618</v>
      </c>
      <c r="ET19" s="4865">
        <f t="shared" si="21"/>
        <v>-1572.1851517060641</v>
      </c>
      <c r="EU19" s="4863">
        <f>SUM(EQ19:ET19)</f>
        <v>-5648.1102370681911</v>
      </c>
      <c r="EV19" s="4863">
        <f>EV21-SUM(EV17,EV18,EV20)</f>
        <v>-5757.1138264919573</v>
      </c>
      <c r="EW19" s="4863">
        <f>EW21-SUM(EW17,EW18,EW20)</f>
        <v>-4171.5645153180812</v>
      </c>
      <c r="EX19" s="4863">
        <f>EX21-SUM(EX17,EX18,EX20)</f>
        <v>-1987.517192386149</v>
      </c>
      <c r="EY19" s="4863">
        <f>EY21-SUM(EY17,EY18,EY20)</f>
        <v>-133.51592206879286</v>
      </c>
      <c r="EZ19" s="170"/>
      <c r="FA19" s="1319" t="str">
        <f t="shared" si="16"/>
        <v>NA</v>
      </c>
      <c r="FB19" s="1319" t="str">
        <f t="shared" si="17"/>
        <v>NA</v>
      </c>
      <c r="FC19" s="77"/>
    </row>
    <row r="20" spans="1:160" s="4" customFormat="1" ht="11.25" customHeight="1">
      <c r="A20" s="4857" t="s">
        <v>981</v>
      </c>
      <c r="B20" s="170"/>
      <c r="C20" s="170"/>
      <c r="D20" s="170"/>
      <c r="E20" s="286"/>
      <c r="F20" s="4858"/>
      <c r="G20" s="170"/>
      <c r="H20" s="170"/>
      <c r="I20" s="170"/>
      <c r="J20" s="286"/>
      <c r="K20" s="4858"/>
      <c r="L20" s="170"/>
      <c r="M20" s="170"/>
      <c r="N20" s="170"/>
      <c r="O20" s="286"/>
      <c r="P20" s="2657"/>
      <c r="Q20" s="2608"/>
      <c r="R20" s="170"/>
      <c r="S20" s="170"/>
      <c r="T20" s="286"/>
      <c r="U20" s="4858"/>
      <c r="V20" s="4859"/>
      <c r="W20" s="170"/>
      <c r="X20" s="170"/>
      <c r="Y20" s="286"/>
      <c r="Z20" s="4858"/>
      <c r="AA20" s="4859"/>
      <c r="AB20" s="170"/>
      <c r="AC20" s="170"/>
      <c r="AD20" s="286"/>
      <c r="AE20" s="4858"/>
      <c r="AF20" s="4859"/>
      <c r="AG20" s="170"/>
      <c r="AH20" s="170"/>
      <c r="AI20" s="286"/>
      <c r="AJ20" s="4858"/>
      <c r="AK20" s="170"/>
      <c r="AL20" s="170"/>
      <c r="AM20" s="170"/>
      <c r="AN20" s="286"/>
      <c r="AO20" s="4858"/>
      <c r="AP20" s="170"/>
      <c r="AQ20" s="170"/>
      <c r="AR20" s="170"/>
      <c r="AS20" s="286"/>
      <c r="AT20" s="4858"/>
      <c r="AU20" s="170"/>
      <c r="AV20" s="170"/>
      <c r="AW20" s="170"/>
      <c r="AX20" s="286"/>
      <c r="AY20" s="4858"/>
      <c r="AZ20" s="170"/>
      <c r="BA20" s="170"/>
      <c r="BB20" s="170"/>
      <c r="BC20" s="170"/>
      <c r="BD20" s="4860"/>
      <c r="BE20" s="4866"/>
      <c r="BF20" s="170"/>
      <c r="BG20" s="170"/>
      <c r="BH20" s="170"/>
      <c r="BI20" s="4860"/>
      <c r="BJ20" s="170"/>
      <c r="BK20" s="170"/>
      <c r="BL20" s="170"/>
      <c r="BM20" s="170"/>
      <c r="BN20" s="4860"/>
      <c r="BO20" s="170"/>
      <c r="BP20" s="170"/>
      <c r="BQ20" s="170"/>
      <c r="BR20" s="286"/>
      <c r="BS20" s="4858"/>
      <c r="BT20" s="170"/>
      <c r="BU20" s="170"/>
      <c r="BV20" s="170"/>
      <c r="BW20" s="170"/>
      <c r="BX20" s="4860"/>
      <c r="BY20" s="170"/>
      <c r="BZ20" s="170"/>
      <c r="CA20" s="170"/>
      <c r="CB20" s="170"/>
      <c r="CC20" s="4860"/>
      <c r="CD20" s="170"/>
      <c r="CE20" s="170"/>
      <c r="CF20" s="170"/>
      <c r="CG20" s="170"/>
      <c r="CH20" s="4860"/>
      <c r="CI20" s="170"/>
      <c r="CJ20" s="170"/>
      <c r="CK20" s="170"/>
      <c r="CL20" s="170"/>
      <c r="CM20" s="4860"/>
      <c r="CN20" s="170"/>
      <c r="CO20" s="170"/>
      <c r="CP20" s="170"/>
      <c r="CQ20" s="170"/>
      <c r="CR20" s="4860"/>
      <c r="CS20" s="170"/>
      <c r="CT20" s="170"/>
      <c r="CU20" s="170"/>
      <c r="CV20" s="170"/>
      <c r="CW20" s="4860"/>
      <c r="CX20" s="170"/>
      <c r="CY20" s="170"/>
      <c r="CZ20" s="170"/>
      <c r="DA20" s="170"/>
      <c r="DB20" s="4860"/>
      <c r="DC20" s="170"/>
      <c r="DD20" s="170"/>
      <c r="DE20" s="170"/>
      <c r="DF20" s="170"/>
      <c r="DG20" s="4890">
        <v>-7907</v>
      </c>
      <c r="DH20" s="4865"/>
      <c r="DI20" s="4865"/>
      <c r="DJ20" s="4865"/>
      <c r="DK20" s="4864">
        <v>-1002</v>
      </c>
      <c r="DL20" s="4890">
        <v>-5299</v>
      </c>
      <c r="DM20" s="4864">
        <v>-720</v>
      </c>
      <c r="DN20" s="4864">
        <v>-614</v>
      </c>
      <c r="DO20" s="4864">
        <v>-929</v>
      </c>
      <c r="DP20" s="4864">
        <v>-1036</v>
      </c>
      <c r="DQ20" s="4863">
        <f>SUM(DM20:DP20)</f>
        <v>-3299</v>
      </c>
      <c r="DR20" s="4864">
        <v>-990</v>
      </c>
      <c r="DS20" s="4864">
        <v>-993</v>
      </c>
      <c r="DT20" s="4864">
        <v>-1010</v>
      </c>
      <c r="DU20" s="4864">
        <v>-1768</v>
      </c>
      <c r="DV20" s="4863">
        <f>DV21-SUM(DV17:DV19)</f>
        <v>-3085</v>
      </c>
      <c r="DW20" s="4865">
        <f t="shared" ref="DW20:EB20" si="22">DW21-SUM(DW17:DW19)</f>
        <v>-338</v>
      </c>
      <c r="DX20" s="4865">
        <f t="shared" si="22"/>
        <v>-239</v>
      </c>
      <c r="DY20" s="4865">
        <f t="shared" si="22"/>
        <v>-83</v>
      </c>
      <c r="DZ20" s="4865">
        <f t="shared" si="22"/>
        <v>-639</v>
      </c>
      <c r="EA20" s="4863">
        <f>SUM(DW20:DZ20)</f>
        <v>-1299</v>
      </c>
      <c r="EB20" s="4865">
        <f t="shared" si="22"/>
        <v>-3288</v>
      </c>
      <c r="EC20" s="4865">
        <f>EC21-SUM(EC17:EC19)</f>
        <v>-1198</v>
      </c>
      <c r="ED20" s="4865">
        <f>ED21-SUM(ED17:ED19)</f>
        <v>-1666</v>
      </c>
      <c r="EE20" s="4865">
        <f t="shared" ref="EE20" si="23">EE21-SUM(EE17:EE19)</f>
        <v>-3034</v>
      </c>
      <c r="EF20" s="4863">
        <f>SUM(EB20:EE20)</f>
        <v>-9186</v>
      </c>
      <c r="EG20" s="4865">
        <f t="shared" ref="EG20" si="24">EG21-SUM(EG17:EG19)</f>
        <v>-2305</v>
      </c>
      <c r="EH20" s="4865">
        <f>EH21-SUM(EH17:EH19)</f>
        <v>-2287</v>
      </c>
      <c r="EI20" s="4865">
        <f>EI21-SUM(EI17:EI19)</f>
        <v>-3166</v>
      </c>
      <c r="EJ20" s="4865">
        <f t="shared" ref="EJ20" si="25">EJ21-SUM(EJ17:EJ19)</f>
        <v>-2783</v>
      </c>
      <c r="EK20" s="4863">
        <f>SUM(EG20:EJ20)</f>
        <v>-10541</v>
      </c>
      <c r="EL20" s="4865">
        <f t="shared" ref="EL20" si="26">EL21-SUM(EL17:EL19)</f>
        <v>-3027</v>
      </c>
      <c r="EM20" s="4865">
        <f>EM21-SUM(EM17:EM19)</f>
        <v>-3372</v>
      </c>
      <c r="EN20" s="4865">
        <f>EN21-SUM(EN17:EN19)</f>
        <v>-4467</v>
      </c>
      <c r="EO20" s="4865">
        <f t="shared" ref="EO20" si="27">EO152</f>
        <v>-3906.1384575709917</v>
      </c>
      <c r="EP20" s="4863">
        <f>SUM(EL20:EO20)</f>
        <v>-14772.138457570993</v>
      </c>
      <c r="EQ20" s="4865">
        <f t="shared" ref="EQ20:ET20" si="28">EQ152</f>
        <v>-4928.1618804392592</v>
      </c>
      <c r="ER20" s="4865">
        <f t="shared" si="28"/>
        <v>-4470.625440465059</v>
      </c>
      <c r="ES20" s="4865">
        <f t="shared" si="28"/>
        <v>-4491.3273281253569</v>
      </c>
      <c r="ET20" s="4865">
        <f t="shared" si="28"/>
        <v>-4641.9943176186007</v>
      </c>
      <c r="EU20" s="4863">
        <f>SUM(EQ20:ET20)</f>
        <v>-18532.108966648273</v>
      </c>
      <c r="EV20" s="4863">
        <f>EV152</f>
        <v>-20592.538223054704</v>
      </c>
      <c r="EW20" s="4863">
        <f>EW152</f>
        <v>-23174.655470045396</v>
      </c>
      <c r="EX20" s="4863">
        <f>EX152</f>
        <v>-25626.657387445099</v>
      </c>
      <c r="EY20" s="4863">
        <f>EY152</f>
        <v>-28026.631740740126</v>
      </c>
      <c r="EZ20" s="170"/>
      <c r="FA20" s="1319" t="str">
        <f t="shared" si="16"/>
        <v>NA</v>
      </c>
      <c r="FB20" s="1319" t="str">
        <f t="shared" si="17"/>
        <v>NA</v>
      </c>
      <c r="FC20" s="511"/>
    </row>
    <row r="21" spans="1:160" s="157" customFormat="1" ht="11.25" customHeight="1">
      <c r="A21" s="3952" t="s">
        <v>965</v>
      </c>
      <c r="B21" s="3448"/>
      <c r="C21" s="3448"/>
      <c r="D21" s="3448"/>
      <c r="E21" s="3449"/>
      <c r="F21" s="4851"/>
      <c r="G21" s="3448"/>
      <c r="H21" s="3448"/>
      <c r="I21" s="3448"/>
      <c r="J21" s="3449"/>
      <c r="K21" s="4851"/>
      <c r="L21" s="3448"/>
      <c r="M21" s="3448"/>
      <c r="N21" s="3448"/>
      <c r="O21" s="3449"/>
      <c r="P21" s="4851"/>
      <c r="Q21" s="3448"/>
      <c r="R21" s="3448"/>
      <c r="S21" s="3448"/>
      <c r="T21" s="3449"/>
      <c r="U21" s="4851"/>
      <c r="V21" s="4852"/>
      <c r="W21" s="3448"/>
      <c r="X21" s="3448"/>
      <c r="Y21" s="3449"/>
      <c r="Z21" s="4851"/>
      <c r="AA21" s="4852"/>
      <c r="AB21" s="3448"/>
      <c r="AC21" s="3448"/>
      <c r="AD21" s="3449"/>
      <c r="AE21" s="4851"/>
      <c r="AF21" s="4852"/>
      <c r="AG21" s="3448"/>
      <c r="AH21" s="3448"/>
      <c r="AI21" s="3449"/>
      <c r="AJ21" s="4851"/>
      <c r="AK21" s="3448"/>
      <c r="AL21" s="3448"/>
      <c r="AM21" s="3448"/>
      <c r="AN21" s="3449"/>
      <c r="AO21" s="4851"/>
      <c r="AP21" s="3448"/>
      <c r="AQ21" s="3448"/>
      <c r="AR21" s="3448"/>
      <c r="AS21" s="3449"/>
      <c r="AT21" s="4851"/>
      <c r="AU21" s="3448"/>
      <c r="AV21" s="3448"/>
      <c r="AW21" s="3448"/>
      <c r="AX21" s="3449"/>
      <c r="AY21" s="4851"/>
      <c r="AZ21" s="3448"/>
      <c r="BA21" s="3448"/>
      <c r="BB21" s="3448"/>
      <c r="BC21" s="3448"/>
      <c r="BD21" s="4853"/>
      <c r="BE21" s="4854"/>
      <c r="BF21" s="4855"/>
      <c r="BG21" s="4855"/>
      <c r="BH21" s="4855"/>
      <c r="BI21" s="4853"/>
      <c r="BJ21" s="4855"/>
      <c r="BK21" s="4855"/>
      <c r="BL21" s="4855"/>
      <c r="BM21" s="4855"/>
      <c r="BN21" s="4853"/>
      <c r="BO21" s="4855"/>
      <c r="BP21" s="4855"/>
      <c r="BQ21" s="4855"/>
      <c r="BR21" s="4856"/>
      <c r="BS21" s="4851"/>
      <c r="BT21" s="4855"/>
      <c r="BU21" s="4855"/>
      <c r="BV21" s="4855"/>
      <c r="BW21" s="4855"/>
      <c r="BX21" s="4853"/>
      <c r="BY21" s="4855"/>
      <c r="BZ21" s="4855"/>
      <c r="CA21" s="4855"/>
      <c r="CB21" s="4855"/>
      <c r="CC21" s="4853"/>
      <c r="CD21" s="4855"/>
      <c r="CE21" s="4855"/>
      <c r="CF21" s="4855"/>
      <c r="CG21" s="4855"/>
      <c r="CH21" s="4853"/>
      <c r="CI21" s="4855"/>
      <c r="CJ21" s="4855"/>
      <c r="CK21" s="4855"/>
      <c r="CL21" s="4855"/>
      <c r="CM21" s="4853"/>
      <c r="CN21" s="4855"/>
      <c r="CO21" s="4855"/>
      <c r="CP21" s="4855"/>
      <c r="CQ21" s="4855"/>
      <c r="CR21" s="4853"/>
      <c r="CS21" s="4855"/>
      <c r="CT21" s="4855"/>
      <c r="CU21" s="4855"/>
      <c r="CV21" s="4855"/>
      <c r="CW21" s="4853"/>
      <c r="CX21" s="4855"/>
      <c r="CY21" s="4855"/>
      <c r="CZ21" s="4855"/>
      <c r="DA21" s="4855"/>
      <c r="DB21" s="4853"/>
      <c r="DC21" s="4855"/>
      <c r="DD21" s="4855"/>
      <c r="DE21" s="4855"/>
      <c r="DF21" s="4855"/>
      <c r="DG21" s="4861">
        <f>IS!DG27</f>
        <v>27524</v>
      </c>
      <c r="DH21" s="4862">
        <f>IS!DH27</f>
        <v>6608</v>
      </c>
      <c r="DI21" s="4862">
        <f>IS!DI27</f>
        <v>9180</v>
      </c>
      <c r="DJ21" s="4862">
        <f>IS!DJ27</f>
        <v>9177</v>
      </c>
      <c r="DK21" s="4862">
        <f>IS!DK27</f>
        <v>9266</v>
      </c>
      <c r="DL21" s="4861">
        <f>IS!DL27</f>
        <v>34231</v>
      </c>
      <c r="DM21" s="4862">
        <f>IS!DM27</f>
        <v>7977</v>
      </c>
      <c r="DN21" s="4862">
        <f>IS!DN27</f>
        <v>6383</v>
      </c>
      <c r="DO21" s="4862">
        <f>IS!DO27</f>
        <v>11213</v>
      </c>
      <c r="DP21" s="4862">
        <f>IS!DP27</f>
        <v>15651</v>
      </c>
      <c r="DQ21" s="4861">
        <f>IS!DQ27</f>
        <v>41224</v>
      </c>
      <c r="DR21" s="4862">
        <f>IS!DR27</f>
        <v>16437</v>
      </c>
      <c r="DS21" s="4862">
        <f>IS!DS27</f>
        <v>19361</v>
      </c>
      <c r="DT21" s="4862">
        <f>IS!DT27</f>
        <v>21031</v>
      </c>
      <c r="DU21" s="4862">
        <f>IS!DU27</f>
        <v>21885</v>
      </c>
      <c r="DV21" s="4861">
        <f>IS!DV27</f>
        <v>78714</v>
      </c>
      <c r="DW21" s="4862">
        <f>IS!DW27</f>
        <v>20094</v>
      </c>
      <c r="DX21" s="4862">
        <f>IS!DX27</f>
        <v>19453</v>
      </c>
      <c r="DY21" s="4862">
        <f>IS!DY27</f>
        <v>17135</v>
      </c>
      <c r="DZ21" s="4862">
        <f>IS!DZ27</f>
        <v>18160</v>
      </c>
      <c r="EA21" s="4861">
        <f>IS!EA27</f>
        <v>74842</v>
      </c>
      <c r="EB21" s="4862">
        <f>IS!EB27</f>
        <v>17415</v>
      </c>
      <c r="EC21" s="4862">
        <f>IS!EC27</f>
        <v>21838</v>
      </c>
      <c r="ED21" s="4862">
        <f>IS!ED27</f>
        <v>21343</v>
      </c>
      <c r="EE21" s="4862">
        <f>IS!EE27</f>
        <v>23697</v>
      </c>
      <c r="EF21" s="4861">
        <f>IS!EF27</f>
        <v>84293</v>
      </c>
      <c r="EG21" s="4862">
        <f>IS!EG27</f>
        <v>25472</v>
      </c>
      <c r="EH21" s="4862">
        <f>IS!EH27</f>
        <v>27425</v>
      </c>
      <c r="EI21" s="4862">
        <f>IS!EI27</f>
        <v>28521</v>
      </c>
      <c r="EJ21" s="4862">
        <f>IS!EJ27</f>
        <v>30972</v>
      </c>
      <c r="EK21" s="4861">
        <f>IS!EK27</f>
        <v>112390</v>
      </c>
      <c r="EL21" s="4862">
        <f>IS!EL27</f>
        <v>30606</v>
      </c>
      <c r="EM21" s="4862">
        <f>IS!EM27</f>
        <v>31271</v>
      </c>
      <c r="EN21" s="4862">
        <f>IS!EN27</f>
        <v>31228</v>
      </c>
      <c r="EO21" s="4862">
        <f>IS!EO27</f>
        <v>37339.346430877777</v>
      </c>
      <c r="EP21" s="4861">
        <f>IS!EP27</f>
        <v>130444.34643087776</v>
      </c>
      <c r="EQ21" s="4862">
        <f>IS!EQ27</f>
        <v>37124.369689483283</v>
      </c>
      <c r="ER21" s="4862">
        <f>IS!ER27</f>
        <v>38929.529366791176</v>
      </c>
      <c r="ES21" s="4862">
        <f>IS!ES27</f>
        <v>40112.083814142432</v>
      </c>
      <c r="ET21" s="4862">
        <f>IS!ET27</f>
        <v>43585.092631811312</v>
      </c>
      <c r="EU21" s="4861">
        <f>IS!EU27</f>
        <v>159751.07550222822</v>
      </c>
      <c r="EV21" s="4861">
        <f>IS!EV27</f>
        <v>178688.9849625713</v>
      </c>
      <c r="EW21" s="4861">
        <f>IS!EW27</f>
        <v>203370.41436392756</v>
      </c>
      <c r="EX21" s="4861">
        <f>IS!EX27</f>
        <v>230168.81577208661</v>
      </c>
      <c r="EY21" s="4861">
        <f>IS!EY27</f>
        <v>260643.4617696183</v>
      </c>
      <c r="EZ21" s="619"/>
      <c r="FA21" s="4276"/>
      <c r="FB21" s="4276"/>
    </row>
    <row r="22" spans="1:160" s="4" customFormat="1" ht="11.25" hidden="1" customHeight="1" outlineLevel="1">
      <c r="A22" s="4857"/>
      <c r="B22" s="170"/>
      <c r="C22" s="170"/>
      <c r="D22" s="170"/>
      <c r="E22" s="286"/>
      <c r="F22" s="4858"/>
      <c r="G22" s="170"/>
      <c r="H22" s="170"/>
      <c r="I22" s="170"/>
      <c r="J22" s="286"/>
      <c r="K22" s="4858"/>
      <c r="L22" s="170"/>
      <c r="M22" s="170"/>
      <c r="N22" s="170"/>
      <c r="O22" s="286"/>
      <c r="P22" s="2657"/>
      <c r="Q22" s="2608"/>
      <c r="R22" s="170"/>
      <c r="S22" s="170"/>
      <c r="T22" s="286"/>
      <c r="U22" s="4858"/>
      <c r="V22" s="4859"/>
      <c r="W22" s="170"/>
      <c r="X22" s="170"/>
      <c r="Y22" s="286"/>
      <c r="Z22" s="4858"/>
      <c r="AA22" s="4859"/>
      <c r="AB22" s="170"/>
      <c r="AC22" s="170"/>
      <c r="AD22" s="286"/>
      <c r="AE22" s="4858"/>
      <c r="AF22" s="4859"/>
      <c r="AG22" s="170"/>
      <c r="AH22" s="170"/>
      <c r="AI22" s="286"/>
      <c r="AJ22" s="4858"/>
      <c r="AK22" s="170"/>
      <c r="AL22" s="170"/>
      <c r="AM22" s="170"/>
      <c r="AN22" s="286"/>
      <c r="AO22" s="4858"/>
      <c r="AP22" s="170"/>
      <c r="AQ22" s="170"/>
      <c r="AR22" s="170"/>
      <c r="AS22" s="286"/>
      <c r="AT22" s="4858"/>
      <c r="AU22" s="170"/>
      <c r="AV22" s="170"/>
      <c r="AW22" s="170"/>
      <c r="AX22" s="286"/>
      <c r="AY22" s="4858"/>
      <c r="AZ22" s="170"/>
      <c r="BA22" s="170"/>
      <c r="BB22" s="170"/>
      <c r="BC22" s="170"/>
      <c r="BD22" s="4860"/>
      <c r="BE22" s="4866"/>
      <c r="BF22" s="170"/>
      <c r="BG22" s="170"/>
      <c r="BH22" s="170"/>
      <c r="BI22" s="4860"/>
      <c r="BJ22" s="170"/>
      <c r="BK22" s="170"/>
      <c r="BL22" s="170"/>
      <c r="BM22" s="170"/>
      <c r="BN22" s="4860"/>
      <c r="BO22" s="170"/>
      <c r="BP22" s="170"/>
      <c r="BQ22" s="170"/>
      <c r="BR22" s="286"/>
      <c r="BS22" s="4858"/>
      <c r="BT22" s="170"/>
      <c r="BU22" s="170"/>
      <c r="BV22" s="170"/>
      <c r="BW22" s="170"/>
      <c r="BX22" s="4860"/>
      <c r="BY22" s="170"/>
      <c r="BZ22" s="170"/>
      <c r="CA22" s="170"/>
      <c r="CB22" s="170"/>
      <c r="CC22" s="4860"/>
      <c r="CD22" s="170"/>
      <c r="CE22" s="170"/>
      <c r="CF22" s="170"/>
      <c r="CG22" s="170"/>
      <c r="CH22" s="4860"/>
      <c r="CI22" s="170"/>
      <c r="CJ22" s="170"/>
      <c r="CK22" s="170"/>
      <c r="CL22" s="170"/>
      <c r="CM22" s="4860"/>
      <c r="CN22" s="170"/>
      <c r="CO22" s="170"/>
      <c r="CP22" s="170"/>
      <c r="CQ22" s="170"/>
      <c r="CR22" s="4860"/>
      <c r="CS22" s="170"/>
      <c r="CT22" s="170"/>
      <c r="CU22" s="170"/>
      <c r="CV22" s="170"/>
      <c r="CW22" s="4860"/>
      <c r="CX22" s="170"/>
      <c r="CY22" s="170"/>
      <c r="CZ22" s="170"/>
      <c r="DA22" s="170"/>
      <c r="DB22" s="4860"/>
      <c r="DC22" s="170"/>
      <c r="DD22" s="170"/>
      <c r="DE22" s="170"/>
      <c r="DF22" s="170"/>
      <c r="DG22" s="4863"/>
      <c r="DH22" s="4865"/>
      <c r="DI22" s="4865"/>
      <c r="DJ22" s="4865"/>
      <c r="DK22" s="4865"/>
      <c r="DL22" s="4863"/>
      <c r="DM22" s="4865"/>
      <c r="DN22" s="4865"/>
      <c r="DO22" s="4865"/>
      <c r="DP22" s="4865"/>
      <c r="DQ22" s="4863"/>
      <c r="DR22" s="4865"/>
      <c r="DS22" s="4865"/>
      <c r="DT22" s="4865"/>
      <c r="DU22" s="4865"/>
      <c r="DV22" s="4863"/>
      <c r="DW22" s="4865"/>
      <c r="DX22" s="4865"/>
      <c r="DY22" s="4865"/>
      <c r="DZ22" s="4865"/>
      <c r="EA22" s="4863"/>
      <c r="EB22" s="4865"/>
      <c r="EC22" s="4865"/>
      <c r="ED22" s="4865"/>
      <c r="EE22" s="4865"/>
      <c r="EF22" s="4863"/>
      <c r="EG22" s="4865"/>
      <c r="EH22" s="4865"/>
      <c r="EI22" s="4865"/>
      <c r="EJ22" s="4865"/>
      <c r="EK22" s="4863"/>
      <c r="EL22" s="4865"/>
      <c r="EM22" s="4865"/>
      <c r="EN22" s="4865"/>
      <c r="EO22" s="4865"/>
      <c r="EP22" s="4863"/>
      <c r="EQ22" s="4865"/>
      <c r="ER22" s="4865"/>
      <c r="ES22" s="4865"/>
      <c r="ET22" s="4865"/>
      <c r="EU22" s="4863"/>
      <c r="EV22" s="4863"/>
      <c r="EW22" s="4863"/>
      <c r="EX22" s="4863"/>
      <c r="EY22" s="4863"/>
      <c r="EZ22" s="170"/>
      <c r="FA22" s="1319"/>
      <c r="FB22" s="1319"/>
      <c r="FC22" s="511"/>
    </row>
    <row r="23" spans="1:160" s="2586" customFormat="1" collapsed="1">
      <c r="A23" s="3557" t="s">
        <v>973</v>
      </c>
      <c r="B23" s="2718"/>
      <c r="C23" s="2718"/>
      <c r="D23" s="2718"/>
      <c r="E23" s="2718"/>
      <c r="F23" s="2718"/>
      <c r="G23" s="2718"/>
      <c r="H23" s="2718"/>
      <c r="I23" s="2718"/>
      <c r="J23" s="2718"/>
      <c r="K23" s="2718"/>
      <c r="L23" s="2718"/>
      <c r="M23" s="2718"/>
      <c r="N23" s="2718"/>
      <c r="O23" s="2718"/>
      <c r="P23" s="2718"/>
      <c r="Q23" s="2718"/>
      <c r="R23" s="2718"/>
      <c r="S23" s="2718"/>
      <c r="T23" s="2718"/>
      <c r="U23" s="2718"/>
      <c r="V23" s="2718"/>
      <c r="W23" s="2718"/>
      <c r="X23" s="2718"/>
      <c r="Y23" s="2718"/>
      <c r="Z23" s="2718"/>
      <c r="AA23" s="2718"/>
      <c r="AB23" s="2718"/>
      <c r="AC23" s="2718"/>
      <c r="AD23" s="2718"/>
      <c r="AE23" s="2718"/>
      <c r="AF23" s="2718"/>
      <c r="AG23" s="2718"/>
      <c r="AH23" s="2718"/>
      <c r="AI23" s="2718"/>
      <c r="AJ23" s="2718"/>
      <c r="AK23" s="2718"/>
      <c r="AL23" s="2718"/>
      <c r="AM23" s="2718"/>
      <c r="AN23" s="2718"/>
      <c r="AO23" s="2718"/>
      <c r="AP23" s="2718"/>
      <c r="AQ23" s="2718"/>
      <c r="AR23" s="2718"/>
      <c r="AS23" s="2718"/>
      <c r="AT23" s="2718"/>
      <c r="AU23" s="2718"/>
      <c r="AV23" s="2718"/>
      <c r="AW23" s="2718"/>
      <c r="AX23" s="2718"/>
      <c r="AY23" s="2718"/>
      <c r="AZ23" s="2718"/>
      <c r="BA23" s="2718"/>
      <c r="BB23" s="2718"/>
      <c r="BC23" s="2718"/>
      <c r="BD23" s="2718"/>
      <c r="BE23" s="2718"/>
      <c r="BF23" s="2718"/>
      <c r="BG23" s="2718"/>
      <c r="BH23" s="2718"/>
      <c r="BI23" s="2718"/>
      <c r="BJ23" s="2718"/>
      <c r="BK23" s="2718"/>
      <c r="BL23" s="2718"/>
      <c r="BM23" s="2718"/>
      <c r="BN23" s="2718"/>
      <c r="BO23" s="2718"/>
      <c r="BP23" s="2718"/>
      <c r="BQ23" s="2718"/>
      <c r="BR23" s="2718"/>
      <c r="BS23" s="2718"/>
      <c r="BT23" s="2718"/>
      <c r="BU23" s="2718"/>
      <c r="BV23" s="2718"/>
      <c r="BW23" s="2718"/>
      <c r="BX23" s="2718"/>
      <c r="BY23" s="2718"/>
      <c r="BZ23" s="2718"/>
      <c r="CA23" s="2718"/>
      <c r="CB23" s="2718"/>
      <c r="CC23" s="2718"/>
      <c r="CD23" s="2718"/>
      <c r="CE23" s="2718"/>
      <c r="CF23" s="2718"/>
      <c r="CG23" s="2718"/>
      <c r="CH23" s="4897"/>
      <c r="CI23" s="2825"/>
      <c r="CJ23" s="2825"/>
      <c r="CK23" s="2825"/>
      <c r="CL23" s="2825"/>
      <c r="CM23" s="4897"/>
      <c r="CN23" s="2825"/>
      <c r="CO23" s="2825"/>
      <c r="CP23" s="2825"/>
      <c r="CQ23" s="2825"/>
      <c r="CR23" s="4897"/>
      <c r="CS23" s="2825"/>
      <c r="CT23" s="2825"/>
      <c r="CU23" s="2825"/>
      <c r="CV23" s="2825"/>
      <c r="CW23" s="4897"/>
      <c r="CX23" s="2825"/>
      <c r="CY23" s="2825"/>
      <c r="CZ23" s="2825"/>
      <c r="DA23" s="2825"/>
      <c r="DB23" s="4897"/>
      <c r="DC23" s="2825"/>
      <c r="DD23" s="2825"/>
      <c r="DE23" s="2825"/>
      <c r="DF23" s="2825"/>
      <c r="DG23" s="4897"/>
      <c r="DH23" s="2825"/>
      <c r="DI23" s="2825"/>
      <c r="DJ23" s="2825"/>
      <c r="DK23" s="2825"/>
      <c r="DL23" s="4897"/>
      <c r="DM23" s="2825"/>
      <c r="DN23" s="2825"/>
      <c r="DO23" s="2825"/>
      <c r="DP23" s="2825"/>
      <c r="DQ23" s="4897"/>
      <c r="DR23" s="2825"/>
      <c r="DS23" s="2825"/>
      <c r="DT23" s="2825"/>
      <c r="DU23" s="2825"/>
      <c r="DV23" s="4897"/>
      <c r="DW23" s="2825"/>
      <c r="DX23" s="2825"/>
      <c r="DY23" s="2825"/>
      <c r="DZ23" s="2825"/>
      <c r="EA23" s="4897"/>
      <c r="EB23" s="2825"/>
      <c r="EC23" s="5783"/>
      <c r="ED23" s="2825"/>
      <c r="EE23" s="2825"/>
      <c r="EF23" s="4897"/>
      <c r="EG23" s="2825"/>
      <c r="EH23" s="5783"/>
      <c r="EI23" s="2825"/>
      <c r="EJ23" s="2825"/>
      <c r="EK23" s="4897"/>
      <c r="EL23" s="2825"/>
      <c r="EM23" s="5783"/>
      <c r="EN23" s="2825"/>
      <c r="EO23" s="2825"/>
      <c r="EP23" s="4897"/>
      <c r="EQ23" s="2825"/>
      <c r="ER23" s="2825"/>
      <c r="ES23" s="2825"/>
      <c r="ET23" s="2825"/>
      <c r="EU23" s="4897"/>
      <c r="EV23" s="4897"/>
      <c r="EW23" s="4897"/>
      <c r="EX23" s="4897"/>
      <c r="EY23" s="4897"/>
      <c r="FA23" s="1319"/>
      <c r="FB23" s="1319"/>
    </row>
    <row r="24" spans="1:160" s="4" customFormat="1" ht="11.25" customHeight="1">
      <c r="A24" s="4857" t="s">
        <v>960</v>
      </c>
      <c r="B24" s="170"/>
      <c r="C24" s="170"/>
      <c r="D24" s="170"/>
      <c r="E24" s="286"/>
      <c r="F24" s="4858"/>
      <c r="G24" s="170"/>
      <c r="H24" s="170"/>
      <c r="I24" s="170"/>
      <c r="J24" s="286"/>
      <c r="K24" s="4858"/>
      <c r="L24" s="170"/>
      <c r="M24" s="170"/>
      <c r="N24" s="170"/>
      <c r="O24" s="286"/>
      <c r="P24" s="2657"/>
      <c r="Q24" s="2608"/>
      <c r="R24" s="170"/>
      <c r="S24" s="170"/>
      <c r="T24" s="286"/>
      <c r="U24" s="4858"/>
      <c r="V24" s="4859"/>
      <c r="W24" s="170"/>
      <c r="X24" s="170"/>
      <c r="Y24" s="286"/>
      <c r="Z24" s="4858"/>
      <c r="AA24" s="4859"/>
      <c r="AB24" s="170"/>
      <c r="AC24" s="170"/>
      <c r="AD24" s="286"/>
      <c r="AE24" s="4858"/>
      <c r="AF24" s="4859"/>
      <c r="AG24" s="170"/>
      <c r="AH24" s="170"/>
      <c r="AI24" s="286"/>
      <c r="AJ24" s="4858"/>
      <c r="AK24" s="170"/>
      <c r="AL24" s="170"/>
      <c r="AM24" s="170"/>
      <c r="AN24" s="286"/>
      <c r="AO24" s="4858"/>
      <c r="AP24" s="170"/>
      <c r="AQ24" s="170"/>
      <c r="AR24" s="170"/>
      <c r="AS24" s="286"/>
      <c r="AT24" s="4858"/>
      <c r="AU24" s="170"/>
      <c r="AV24" s="170"/>
      <c r="AW24" s="170"/>
      <c r="AX24" s="286"/>
      <c r="AY24" s="4858"/>
      <c r="AZ24" s="170"/>
      <c r="BA24" s="170"/>
      <c r="BB24" s="170"/>
      <c r="BC24" s="170"/>
      <c r="BD24" s="4860"/>
      <c r="BE24" s="4866"/>
      <c r="BF24" s="170"/>
      <c r="BG24" s="170"/>
      <c r="BH24" s="170"/>
      <c r="BI24" s="4860"/>
      <c r="BJ24" s="170"/>
      <c r="BK24" s="170"/>
      <c r="BL24" s="170"/>
      <c r="BM24" s="170"/>
      <c r="BN24" s="4860"/>
      <c r="BO24" s="170"/>
      <c r="BP24" s="170"/>
      <c r="BQ24" s="170"/>
      <c r="BR24" s="286"/>
      <c r="BS24" s="4858"/>
      <c r="BT24" s="170"/>
      <c r="BU24" s="170"/>
      <c r="BV24" s="170"/>
      <c r="BW24" s="170"/>
      <c r="BX24" s="4860"/>
      <c r="BY24" s="170"/>
      <c r="BZ24" s="170"/>
      <c r="CA24" s="170"/>
      <c r="CB24" s="170"/>
      <c r="CC24" s="4860"/>
      <c r="CD24" s="170"/>
      <c r="CE24" s="170"/>
      <c r="CF24" s="170"/>
      <c r="CG24" s="170"/>
      <c r="CH24" s="4860"/>
      <c r="CI24" s="170"/>
      <c r="CJ24" s="170"/>
      <c r="CK24" s="170"/>
      <c r="CL24" s="170"/>
      <c r="CM24" s="4860"/>
      <c r="CN24" s="170"/>
      <c r="CO24" s="170"/>
      <c r="CP24" s="170"/>
      <c r="CQ24" s="170"/>
      <c r="CR24" s="4860"/>
      <c r="CS24" s="170"/>
      <c r="CT24" s="170"/>
      <c r="CU24" s="170"/>
      <c r="CV24" s="170"/>
      <c r="CW24" s="4860"/>
      <c r="CX24" s="170"/>
      <c r="CY24" s="170"/>
      <c r="CZ24" s="170"/>
      <c r="DA24" s="170"/>
      <c r="DB24" s="4860"/>
      <c r="DC24" s="170"/>
      <c r="DD24" s="170"/>
      <c r="DE24" s="170"/>
      <c r="DF24" s="170"/>
      <c r="DG24" s="2958">
        <f>IFERROR(DG17/DG9,"NA")</f>
        <v>0.33049094419417119</v>
      </c>
      <c r="DH24" s="127"/>
      <c r="DI24" s="127"/>
      <c r="DJ24" s="127"/>
      <c r="DK24" s="127">
        <f t="shared" ref="DK24:DQ24" si="29">IFERROR(DK17/DK9,"NA")</f>
        <v>0.31223667762396407</v>
      </c>
      <c r="DL24" s="2958">
        <f t="shared" si="29"/>
        <v>0.32273341017618967</v>
      </c>
      <c r="DM24" s="127">
        <f t="shared" si="29"/>
        <v>0.30231949316718154</v>
      </c>
      <c r="DN24" s="127">
        <f t="shared" si="29"/>
        <v>0.27261295761767312</v>
      </c>
      <c r="DO24" s="127">
        <f t="shared" si="29"/>
        <v>0.33948746858337442</v>
      </c>
      <c r="DP24" s="127">
        <f t="shared" si="29"/>
        <v>0.36059992812966923</v>
      </c>
      <c r="DQ24" s="2958">
        <f t="shared" si="29"/>
        <v>0.32381178284460521</v>
      </c>
      <c r="DR24" s="127">
        <f t="shared" ref="DR24:EA24" si="30">IFERROR(DR17/DR9,"NA")</f>
        <v>0.3819219195748173</v>
      </c>
      <c r="DS24" s="127">
        <f t="shared" si="30"/>
        <v>0.39152224578127465</v>
      </c>
      <c r="DT24" s="127">
        <f t="shared" si="30"/>
        <v>0.40032395965533363</v>
      </c>
      <c r="DU24" s="127">
        <f t="shared" si="30"/>
        <v>0.37453890489913544</v>
      </c>
      <c r="DV24" s="2958">
        <f t="shared" si="30"/>
        <v>0.3710367997170872</v>
      </c>
      <c r="DW24" s="127">
        <f t="shared" si="30"/>
        <v>0.35744729307652262</v>
      </c>
      <c r="DX24" s="127">
        <f t="shared" si="30"/>
        <v>0.34405881510478825</v>
      </c>
      <c r="DY24" s="127">
        <f t="shared" si="30"/>
        <v>0.30765596233116638</v>
      </c>
      <c r="DZ24" s="127">
        <f t="shared" si="30"/>
        <v>0.29809251451988561</v>
      </c>
      <c r="EA24" s="2958">
        <f t="shared" si="30"/>
        <v>0.32619276766274335</v>
      </c>
      <c r="EB24" s="127">
        <f>IFERROR(EB17/EB9,"NA")</f>
        <v>0.35081744968609285</v>
      </c>
      <c r="EC24" s="127">
        <f>IFERROR(EC17/EC9,"NA")</f>
        <v>0.35383570943652409</v>
      </c>
      <c r="ED24" s="127">
        <f>IFERROR(ED17/ED9,"NA")</f>
        <v>0.35208719442238107</v>
      </c>
      <c r="EE24" s="127">
        <f t="shared" ref="EE24:EV24" si="31">IFERROR(EE17/EE9,"NA")</f>
        <v>0.35027715532492038</v>
      </c>
      <c r="EF24" s="2958">
        <f t="shared" si="31"/>
        <v>0.35171697677063801</v>
      </c>
      <c r="EG24" s="127">
        <f>IFERROR(EG17/EG9,"NA")</f>
        <v>0.39627546237109007</v>
      </c>
      <c r="EH24" s="127">
        <f>IFERROR(EH17/EH9,"NA")</f>
        <v>0.40139054214911807</v>
      </c>
      <c r="EI24" s="127">
        <f>IFERROR(EI17/EI9,"NA")</f>
        <v>0.40329368709972552</v>
      </c>
      <c r="EJ24" s="127">
        <f t="shared" ref="EJ24" si="32">IFERROR(EJ17/EJ9,"NA")</f>
        <v>0.39046780983185481</v>
      </c>
      <c r="EK24" s="2958">
        <f>IFERROR(EK17/EK9,"NA")</f>
        <v>0.39767487620109532</v>
      </c>
      <c r="EL24" s="127">
        <f>IFERROR(EL17/EL9,"NA")</f>
        <v>0.4229913025471112</v>
      </c>
      <c r="EM24" s="127">
        <f>IFERROR(EM17/EM9,"NA")</f>
        <v>0.40055486231418774</v>
      </c>
      <c r="EN24" s="127">
        <f>IFERROR(EN17/EN9,"NA")</f>
        <v>0.38513761889445391</v>
      </c>
      <c r="EO24" s="127">
        <f t="shared" ref="EO24" si="33">IFERROR(EO17/EO9,"NA")</f>
        <v>0.40649999999999997</v>
      </c>
      <c r="EP24" s="2958">
        <f>IFERROR(EP17/EP9,"NA")</f>
        <v>0.40335707258157399</v>
      </c>
      <c r="EQ24" s="127">
        <f t="shared" ref="EQ24:ET24" si="34">IFERROR(EQ17/EQ9,"NA")</f>
        <v>0.438</v>
      </c>
      <c r="ER24" s="127">
        <f t="shared" si="34"/>
        <v>0.43000000000000005</v>
      </c>
      <c r="ES24" s="127">
        <f t="shared" si="34"/>
        <v>0.42299999999999999</v>
      </c>
      <c r="ET24" s="127">
        <f t="shared" si="34"/>
        <v>0.41699999999999998</v>
      </c>
      <c r="EU24" s="2958">
        <f>IFERROR(EU17/EU9,"NA")</f>
        <v>0.42650367391080668</v>
      </c>
      <c r="EV24" s="2958">
        <f t="shared" si="31"/>
        <v>0.42799999999999999</v>
      </c>
      <c r="EW24" s="2958">
        <f>IFERROR(EW17/EW9,"NA")</f>
        <v>0.42900000000000005</v>
      </c>
      <c r="EX24" s="2958">
        <f>IFERROR(EX17/EX9,"NA")</f>
        <v>0.42949999999999999</v>
      </c>
      <c r="EY24" s="2958">
        <f>IFERROR(EY17/EY9,"NA")</f>
        <v>0.43099999999999999</v>
      </c>
      <c r="EZ24" s="170"/>
      <c r="FA24" s="1319"/>
      <c r="FB24" s="1319"/>
      <c r="FC24" s="511"/>
      <c r="FD24" s="511"/>
    </row>
    <row r="25" spans="1:160" s="4" customFormat="1" ht="11.25" hidden="1" customHeight="1" outlineLevel="1">
      <c r="A25" s="4128" t="s">
        <v>1033</v>
      </c>
      <c r="B25" s="4907"/>
      <c r="C25" s="4907"/>
      <c r="D25" s="4907"/>
      <c r="E25" s="4908"/>
      <c r="F25" s="4909"/>
      <c r="G25" s="4907"/>
      <c r="H25" s="4907"/>
      <c r="I25" s="4907"/>
      <c r="J25" s="4908"/>
      <c r="K25" s="4909"/>
      <c r="L25" s="4907"/>
      <c r="M25" s="4907"/>
      <c r="N25" s="4907"/>
      <c r="O25" s="4908"/>
      <c r="P25" s="4910"/>
      <c r="Q25" s="1118"/>
      <c r="R25" s="4907"/>
      <c r="S25" s="4907"/>
      <c r="T25" s="4908"/>
      <c r="U25" s="4909"/>
      <c r="V25" s="4911"/>
      <c r="W25" s="4907"/>
      <c r="X25" s="4907"/>
      <c r="Y25" s="4908"/>
      <c r="Z25" s="4909"/>
      <c r="AA25" s="4911"/>
      <c r="AB25" s="4907"/>
      <c r="AC25" s="4907"/>
      <c r="AD25" s="4908"/>
      <c r="AE25" s="4909"/>
      <c r="AF25" s="4911"/>
      <c r="AG25" s="4907"/>
      <c r="AH25" s="4907"/>
      <c r="AI25" s="4908"/>
      <c r="AJ25" s="4909"/>
      <c r="AK25" s="4907"/>
      <c r="AL25" s="4907"/>
      <c r="AM25" s="4907"/>
      <c r="AN25" s="4908"/>
      <c r="AO25" s="4909"/>
      <c r="AP25" s="4907"/>
      <c r="AQ25" s="4907"/>
      <c r="AR25" s="4907"/>
      <c r="AS25" s="4908"/>
      <c r="AT25" s="4909"/>
      <c r="AU25" s="4907"/>
      <c r="AV25" s="4907"/>
      <c r="AW25" s="4907"/>
      <c r="AX25" s="4908"/>
      <c r="AY25" s="4909"/>
      <c r="AZ25" s="4907"/>
      <c r="BA25" s="4907"/>
      <c r="BB25" s="4907"/>
      <c r="BC25" s="4907"/>
      <c r="BD25" s="4912"/>
      <c r="BE25" s="4913"/>
      <c r="BF25" s="4907"/>
      <c r="BG25" s="4907"/>
      <c r="BH25" s="4907"/>
      <c r="BI25" s="4912"/>
      <c r="BJ25" s="4907"/>
      <c r="BK25" s="4907"/>
      <c r="BL25" s="4907"/>
      <c r="BM25" s="4907"/>
      <c r="BN25" s="4912"/>
      <c r="BO25" s="4907"/>
      <c r="BP25" s="4907"/>
      <c r="BQ25" s="4907"/>
      <c r="BR25" s="4908"/>
      <c r="BS25" s="4909"/>
      <c r="BT25" s="4907"/>
      <c r="BU25" s="4907"/>
      <c r="BV25" s="4907"/>
      <c r="BW25" s="4907"/>
      <c r="BX25" s="4912"/>
      <c r="BY25" s="4907"/>
      <c r="BZ25" s="4907"/>
      <c r="CA25" s="4907"/>
      <c r="CB25" s="4907"/>
      <c r="CC25" s="4912"/>
      <c r="CD25" s="4907"/>
      <c r="CE25" s="4907"/>
      <c r="CF25" s="4907"/>
      <c r="CG25" s="4907"/>
      <c r="CH25" s="4914"/>
      <c r="CI25" s="4915"/>
      <c r="CJ25" s="4915"/>
      <c r="CK25" s="4915"/>
      <c r="CL25" s="4915"/>
      <c r="CM25" s="4914"/>
      <c r="CN25" s="4915"/>
      <c r="CO25" s="4915"/>
      <c r="CP25" s="4915"/>
      <c r="CQ25" s="4915"/>
      <c r="CR25" s="4914"/>
      <c r="CS25" s="4915"/>
      <c r="CT25" s="4915"/>
      <c r="CU25" s="4915"/>
      <c r="CV25" s="4915"/>
      <c r="CW25" s="4914"/>
      <c r="CX25" s="4915"/>
      <c r="CY25" s="4915"/>
      <c r="CZ25" s="4915"/>
      <c r="DA25" s="4915"/>
      <c r="DB25" s="4914"/>
      <c r="DC25" s="4915"/>
      <c r="DD25" s="4915"/>
      <c r="DE25" s="4915"/>
      <c r="DF25" s="4915"/>
      <c r="DG25" s="5705"/>
      <c r="DH25" s="3453"/>
      <c r="DI25" s="3453"/>
      <c r="DJ25" s="3453"/>
      <c r="DK25" s="3453"/>
      <c r="DL25" s="5705">
        <f t="shared" ref="DL25:EN25" si="35">(DL24-DG24)*10000</f>
        <v>-77.575340179815157</v>
      </c>
      <c r="DM25" s="3453">
        <f t="shared" si="35"/>
        <v>3023.1949316718155</v>
      </c>
      <c r="DN25" s="3453">
        <f t="shared" si="35"/>
        <v>2726.1295761767315</v>
      </c>
      <c r="DO25" s="3453">
        <f t="shared" si="35"/>
        <v>3394.874685833744</v>
      </c>
      <c r="DP25" s="3453">
        <f t="shared" si="35"/>
        <v>483.63250505705167</v>
      </c>
      <c r="DQ25" s="5705">
        <f t="shared" si="35"/>
        <v>10.783726684155393</v>
      </c>
      <c r="DR25" s="3453">
        <f t="shared" si="35"/>
        <v>796.02426407635767</v>
      </c>
      <c r="DS25" s="3453">
        <f t="shared" si="35"/>
        <v>1189.0928816360151</v>
      </c>
      <c r="DT25" s="3453">
        <f t="shared" si="35"/>
        <v>608.3649107195921</v>
      </c>
      <c r="DU25" s="3453">
        <f t="shared" si="35"/>
        <v>139.38976769466205</v>
      </c>
      <c r="DV25" s="5705">
        <f t="shared" si="35"/>
        <v>472.25016872481984</v>
      </c>
      <c r="DW25" s="3453" t="s">
        <v>116</v>
      </c>
      <c r="DX25" s="3453" t="s">
        <v>116</v>
      </c>
      <c r="DY25" s="3453" t="s">
        <v>116</v>
      </c>
      <c r="DZ25" s="3453" t="s">
        <v>116</v>
      </c>
      <c r="EA25" s="5705">
        <f t="shared" si="35"/>
        <v>-448.44032054343842</v>
      </c>
      <c r="EB25" s="3453">
        <f t="shared" si="35"/>
        <v>-66.298433904297681</v>
      </c>
      <c r="EC25" s="3453">
        <f t="shared" si="35"/>
        <v>97.768943317358421</v>
      </c>
      <c r="ED25" s="3453">
        <f t="shared" si="35"/>
        <v>444.3123209121469</v>
      </c>
      <c r="EE25" s="3453">
        <f t="shared" si="35"/>
        <v>521.84640805034769</v>
      </c>
      <c r="EF25" s="5705">
        <f t="shared" ref="EF25:EK25" si="36">(EF24-EA24)*10000</f>
        <v>255.24209107894657</v>
      </c>
      <c r="EG25" s="3453">
        <f t="shared" si="35"/>
        <v>454.5801268499722</v>
      </c>
      <c r="EH25" s="3453">
        <f t="shared" si="35"/>
        <v>475.54832712593975</v>
      </c>
      <c r="EI25" s="3453">
        <f t="shared" si="35"/>
        <v>512.06492677344454</v>
      </c>
      <c r="EJ25" s="3453">
        <f t="shared" si="35"/>
        <v>401.9065450693443</v>
      </c>
      <c r="EK25" s="5705">
        <f t="shared" si="36"/>
        <v>459.57899430457303</v>
      </c>
      <c r="EL25" s="3453">
        <f t="shared" si="35"/>
        <v>267.15840176021135</v>
      </c>
      <c r="EM25" s="3453">
        <f t="shared" si="35"/>
        <v>-8.3567983493032507</v>
      </c>
      <c r="EN25" s="3453">
        <f t="shared" si="35"/>
        <v>-181.56068205271603</v>
      </c>
      <c r="EO25" s="3453">
        <f t="shared" ref="EO25:EP25" si="37">(EO24-EJ24)*10000</f>
        <v>160.32190168145166</v>
      </c>
      <c r="EP25" s="5705">
        <f t="shared" si="37"/>
        <v>56.821963804786769</v>
      </c>
      <c r="EQ25" s="3453">
        <f t="shared" ref="EQ25" si="38">(EQ24-EL24)*10000</f>
        <v>150.08697452888796</v>
      </c>
      <c r="ER25" s="3453">
        <f t="shared" ref="ER25" si="39">(ER24-EM24)*10000</f>
        <v>294.45137685812307</v>
      </c>
      <c r="ES25" s="3453">
        <f t="shared" ref="ES25" si="40">(ES24-EN24)*10000</f>
        <v>378.62381105546075</v>
      </c>
      <c r="ET25" s="3453">
        <f t="shared" ref="ET25:EU25" si="41">(ET24-EO24)*10000</f>
        <v>105.0000000000001</v>
      </c>
      <c r="EU25" s="5705">
        <f t="shared" si="41"/>
        <v>231.46601329232686</v>
      </c>
      <c r="EV25" s="5705">
        <f>(EV24-EU24)*10000</f>
        <v>14.963260891933118</v>
      </c>
      <c r="EW25" s="5705">
        <f>(EW24-EV24)*10000</f>
        <v>10.000000000000565</v>
      </c>
      <c r="EX25" s="5705">
        <f>(EX24-EW24)*10000</f>
        <v>4.9999999999994493</v>
      </c>
      <c r="EY25" s="5705">
        <f>(EY24-EX24)*10000</f>
        <v>15.000000000000014</v>
      </c>
      <c r="EZ25" s="170"/>
      <c r="FA25" s="1319"/>
      <c r="FB25" s="1319"/>
      <c r="FC25" s="511"/>
      <c r="FD25" s="511"/>
    </row>
    <row r="26" spans="1:160" s="4" customFormat="1" ht="11.25" hidden="1" customHeight="1" outlineLevel="1">
      <c r="A26" s="4128" t="s">
        <v>1034</v>
      </c>
      <c r="B26" s="4907"/>
      <c r="C26" s="4907"/>
      <c r="D26" s="4907"/>
      <c r="E26" s="4908"/>
      <c r="F26" s="4909"/>
      <c r="G26" s="4907"/>
      <c r="H26" s="4907"/>
      <c r="I26" s="4907"/>
      <c r="J26" s="4908"/>
      <c r="K26" s="4909"/>
      <c r="L26" s="4907"/>
      <c r="M26" s="4907"/>
      <c r="N26" s="4907"/>
      <c r="O26" s="4908"/>
      <c r="P26" s="4910"/>
      <c r="Q26" s="1118"/>
      <c r="R26" s="4907"/>
      <c r="S26" s="4907"/>
      <c r="T26" s="4908"/>
      <c r="U26" s="4909"/>
      <c r="V26" s="4911"/>
      <c r="W26" s="4907"/>
      <c r="X26" s="4907"/>
      <c r="Y26" s="4908"/>
      <c r="Z26" s="4909"/>
      <c r="AA26" s="4911"/>
      <c r="AB26" s="4907"/>
      <c r="AC26" s="4907"/>
      <c r="AD26" s="4908"/>
      <c r="AE26" s="4909"/>
      <c r="AF26" s="4911"/>
      <c r="AG26" s="4907"/>
      <c r="AH26" s="4907"/>
      <c r="AI26" s="4908"/>
      <c r="AJ26" s="4909"/>
      <c r="AK26" s="4907"/>
      <c r="AL26" s="4907"/>
      <c r="AM26" s="4907"/>
      <c r="AN26" s="4908"/>
      <c r="AO26" s="4909"/>
      <c r="AP26" s="4907"/>
      <c r="AQ26" s="4907"/>
      <c r="AR26" s="4907"/>
      <c r="AS26" s="4908"/>
      <c r="AT26" s="4909"/>
      <c r="AU26" s="4907"/>
      <c r="AV26" s="4907"/>
      <c r="AW26" s="4907"/>
      <c r="AX26" s="4908"/>
      <c r="AY26" s="4909"/>
      <c r="AZ26" s="4907"/>
      <c r="BA26" s="4907"/>
      <c r="BB26" s="4907"/>
      <c r="BC26" s="4907"/>
      <c r="BD26" s="4912"/>
      <c r="BE26" s="4913"/>
      <c r="BF26" s="4907"/>
      <c r="BG26" s="4907"/>
      <c r="BH26" s="4907"/>
      <c r="BI26" s="4912"/>
      <c r="BJ26" s="4907"/>
      <c r="BK26" s="4907"/>
      <c r="BL26" s="4907"/>
      <c r="BM26" s="4907"/>
      <c r="BN26" s="4912"/>
      <c r="BO26" s="4907"/>
      <c r="BP26" s="4907"/>
      <c r="BQ26" s="4907"/>
      <c r="BR26" s="4908"/>
      <c r="BS26" s="4909"/>
      <c r="BT26" s="4907"/>
      <c r="BU26" s="4907"/>
      <c r="BV26" s="4907"/>
      <c r="BW26" s="4907"/>
      <c r="BX26" s="4912"/>
      <c r="BY26" s="4907"/>
      <c r="BZ26" s="4907"/>
      <c r="CA26" s="4907"/>
      <c r="CB26" s="4907"/>
      <c r="CC26" s="4912"/>
      <c r="CD26" s="4907"/>
      <c r="CE26" s="4907"/>
      <c r="CF26" s="4907"/>
      <c r="CG26" s="4907"/>
      <c r="CH26" s="4914"/>
      <c r="CI26" s="4915"/>
      <c r="CJ26" s="4915"/>
      <c r="CK26" s="4915"/>
      <c r="CL26" s="4915"/>
      <c r="CM26" s="4914"/>
      <c r="CN26" s="4915"/>
      <c r="CO26" s="4915"/>
      <c r="CP26" s="4915"/>
      <c r="CQ26" s="4915"/>
      <c r="CR26" s="4914"/>
      <c r="CS26" s="4915"/>
      <c r="CT26" s="4915"/>
      <c r="CU26" s="4915"/>
      <c r="CV26" s="4915"/>
      <c r="CW26" s="4914"/>
      <c r="CX26" s="4915"/>
      <c r="CY26" s="4915"/>
      <c r="CZ26" s="4915"/>
      <c r="DA26" s="4915"/>
      <c r="DB26" s="4914"/>
      <c r="DC26" s="4915"/>
      <c r="DD26" s="4915"/>
      <c r="DE26" s="4915"/>
      <c r="DF26" s="4915"/>
      <c r="DG26" s="5705"/>
      <c r="DH26" s="3453"/>
      <c r="DI26" s="3453"/>
      <c r="DJ26" s="3453"/>
      <c r="DK26" s="3453"/>
      <c r="DL26" s="5705"/>
      <c r="DM26" s="3453">
        <f>(DM24-DK24)*10000</f>
        <v>-99.171844567825246</v>
      </c>
      <c r="DN26" s="3453">
        <f>(DN24-DM24)*10000</f>
        <v>-297.06535549508419</v>
      </c>
      <c r="DO26" s="3453">
        <f>(DO24-DN24)*10000</f>
        <v>668.7451096570129</v>
      </c>
      <c r="DP26" s="3453">
        <f>(DP24-DO24)*10000</f>
        <v>211.12459546294815</v>
      </c>
      <c r="DQ26" s="5705"/>
      <c r="DR26" s="3453">
        <f>(DR24-DP24)*10000</f>
        <v>213.21991445148069</v>
      </c>
      <c r="DS26" s="3453">
        <f>(DS24-DR24)*10000</f>
        <v>96.003262064573434</v>
      </c>
      <c r="DT26" s="3453">
        <f>(DT24-DS24)*10000</f>
        <v>88.0171387405898</v>
      </c>
      <c r="DU26" s="3453">
        <f>(DU24-DT24)*10000</f>
        <v>-257.8505475619819</v>
      </c>
      <c r="DV26" s="5705"/>
      <c r="DW26" s="3453" t="s">
        <v>116</v>
      </c>
      <c r="DX26" s="3453">
        <f>(DX24-DW24)*10000</f>
        <v>-133.88477971734369</v>
      </c>
      <c r="DY26" s="3453">
        <f>(DY24-DX24)*10000</f>
        <v>-364.02852773621873</v>
      </c>
      <c r="DZ26" s="3453">
        <f>(DZ24-DY24)*10000</f>
        <v>-95.63447811280767</v>
      </c>
      <c r="EA26" s="5705"/>
      <c r="EB26" s="3453">
        <f>(EB24-DZ24)*10000</f>
        <v>527.2493516620724</v>
      </c>
      <c r="EC26" s="3453">
        <f>(EC24-EB24)*10000</f>
        <v>30.182597504312405</v>
      </c>
      <c r="ED26" s="3453">
        <f>(ED24-EC24)*10000</f>
        <v>-17.48515014143026</v>
      </c>
      <c r="EE26" s="3453">
        <f>(EE24-ED24)*10000</f>
        <v>-18.100390974606917</v>
      </c>
      <c r="EF26" s="5705"/>
      <c r="EG26" s="3453">
        <f>(EG24-EE24)*10000</f>
        <v>459.98307046169697</v>
      </c>
      <c r="EH26" s="3453">
        <f>(EH24-EG24)*10000</f>
        <v>51.15079778027998</v>
      </c>
      <c r="EI26" s="3453">
        <f>(EI24-EH24)*10000</f>
        <v>19.031449506074495</v>
      </c>
      <c r="EJ26" s="3453">
        <f>(EJ24-EI24)*10000</f>
        <v>-128.25877267870712</v>
      </c>
      <c r="EK26" s="5705"/>
      <c r="EL26" s="3453">
        <f>(EL24-EJ24)*10000</f>
        <v>325.23492715256396</v>
      </c>
      <c r="EM26" s="3453">
        <f>(EM24-EL24)*10000</f>
        <v>-224.36440232923459</v>
      </c>
      <c r="EN26" s="3453">
        <f>(EN24-EM24)*10000</f>
        <v>-154.17243419733828</v>
      </c>
      <c r="EO26" s="3453">
        <f t="shared" ref="EO26" si="42">(EO24-EN24)*10000</f>
        <v>213.62381105546058</v>
      </c>
      <c r="EP26" s="5705"/>
      <c r="EQ26" s="3453">
        <f t="shared" ref="EQ26" si="43">(EQ24-EP24)*10000</f>
        <v>346.42927418426007</v>
      </c>
      <c r="ER26" s="3453">
        <f t="shared" ref="ER26" si="44">(ER24-EQ24)*10000</f>
        <v>-79.999999999999517</v>
      </c>
      <c r="ES26" s="3453">
        <f t="shared" ref="ES26" si="45">(ES24-ER24)*10000</f>
        <v>-70.000000000000611</v>
      </c>
      <c r="ET26" s="3453">
        <f t="shared" ref="ET26" si="46">(ET24-ES24)*10000</f>
        <v>-60.000000000000057</v>
      </c>
      <c r="EU26" s="5705"/>
      <c r="EV26" s="5705"/>
      <c r="EW26" s="5705"/>
      <c r="EX26" s="5705"/>
      <c r="EY26" s="5705"/>
      <c r="EZ26" s="170"/>
      <c r="FA26" s="1319"/>
      <c r="FB26" s="1319"/>
      <c r="FC26" s="511"/>
      <c r="FD26" s="511"/>
    </row>
    <row r="27" spans="1:160" s="4" customFormat="1" ht="11.25" customHeight="1" collapsed="1">
      <c r="A27" s="4857" t="s">
        <v>692</v>
      </c>
      <c r="B27" s="170"/>
      <c r="C27" s="170"/>
      <c r="D27" s="170"/>
      <c r="E27" s="286"/>
      <c r="F27" s="4858"/>
      <c r="G27" s="170"/>
      <c r="H27" s="170"/>
      <c r="I27" s="170"/>
      <c r="J27" s="286"/>
      <c r="K27" s="4858"/>
      <c r="L27" s="170"/>
      <c r="M27" s="170"/>
      <c r="N27" s="170"/>
      <c r="O27" s="286"/>
      <c r="P27" s="2657"/>
      <c r="Q27" s="2608"/>
      <c r="R27" s="170"/>
      <c r="S27" s="170"/>
      <c r="T27" s="286"/>
      <c r="U27" s="4858"/>
      <c r="V27" s="4859"/>
      <c r="W27" s="170"/>
      <c r="X27" s="170"/>
      <c r="Y27" s="286"/>
      <c r="Z27" s="4858"/>
      <c r="AA27" s="4859"/>
      <c r="AB27" s="170"/>
      <c r="AC27" s="170"/>
      <c r="AD27" s="286"/>
      <c r="AE27" s="4858"/>
      <c r="AF27" s="4859"/>
      <c r="AG27" s="170"/>
      <c r="AH27" s="170"/>
      <c r="AI27" s="286"/>
      <c r="AJ27" s="4858"/>
      <c r="AK27" s="170"/>
      <c r="AL27" s="170"/>
      <c r="AM27" s="170"/>
      <c r="AN27" s="286"/>
      <c r="AO27" s="4858"/>
      <c r="AP27" s="170"/>
      <c r="AQ27" s="170"/>
      <c r="AR27" s="170"/>
      <c r="AS27" s="286"/>
      <c r="AT27" s="4858"/>
      <c r="AU27" s="170"/>
      <c r="AV27" s="170"/>
      <c r="AW27" s="170"/>
      <c r="AX27" s="286"/>
      <c r="AY27" s="4858"/>
      <c r="AZ27" s="170"/>
      <c r="BA27" s="170"/>
      <c r="BB27" s="170"/>
      <c r="BC27" s="170"/>
      <c r="BD27" s="4860"/>
      <c r="BE27" s="4866"/>
      <c r="BF27" s="170"/>
      <c r="BG27" s="170"/>
      <c r="BH27" s="170"/>
      <c r="BI27" s="4860"/>
      <c r="BJ27" s="170"/>
      <c r="BK27" s="170"/>
      <c r="BL27" s="170"/>
      <c r="BM27" s="170"/>
      <c r="BN27" s="4860"/>
      <c r="BO27" s="170"/>
      <c r="BP27" s="170"/>
      <c r="BQ27" s="170"/>
      <c r="BR27" s="286"/>
      <c r="BS27" s="4858"/>
      <c r="BT27" s="170"/>
      <c r="BU27" s="170"/>
      <c r="BV27" s="170"/>
      <c r="BW27" s="170"/>
      <c r="BX27" s="4860"/>
      <c r="BY27" s="170"/>
      <c r="BZ27" s="170"/>
      <c r="CA27" s="170"/>
      <c r="CB27" s="170"/>
      <c r="CC27" s="4860"/>
      <c r="CD27" s="170"/>
      <c r="CE27" s="170"/>
      <c r="CF27" s="170"/>
      <c r="CG27" s="170"/>
      <c r="CH27" s="4860"/>
      <c r="CI27" s="170"/>
      <c r="CJ27" s="170"/>
      <c r="CK27" s="170"/>
      <c r="CL27" s="170"/>
      <c r="CM27" s="4860"/>
      <c r="CN27" s="170"/>
      <c r="CO27" s="170"/>
      <c r="CP27" s="170"/>
      <c r="CQ27" s="170"/>
      <c r="CR27" s="4860"/>
      <c r="CS27" s="170"/>
      <c r="CT27" s="170"/>
      <c r="CU27" s="170"/>
      <c r="CV27" s="170"/>
      <c r="CW27" s="4860"/>
      <c r="CX27" s="170"/>
      <c r="CY27" s="170"/>
      <c r="CZ27" s="170"/>
      <c r="DA27" s="170"/>
      <c r="DB27" s="4860"/>
      <c r="DC27" s="170"/>
      <c r="DD27" s="170"/>
      <c r="DE27" s="170"/>
      <c r="DF27" s="170"/>
      <c r="DG27" s="2958">
        <f>IFERROR(DG18/DG10,"NA")</f>
        <v>-0.74477560808496057</v>
      </c>
      <c r="DH27" s="127"/>
      <c r="DI27" s="127"/>
      <c r="DJ27" s="127"/>
      <c r="DK27" s="127">
        <f t="shared" ref="DK27:EA27" si="47">IFERROR(DK18/DK10,"NA")</f>
        <v>-0.45677123182861518</v>
      </c>
      <c r="DL27" s="2958">
        <f t="shared" si="47"/>
        <v>-0.52085669432608206</v>
      </c>
      <c r="DM27" s="127">
        <f t="shared" si="47"/>
        <v>-0.62297443284119558</v>
      </c>
      <c r="DN27" s="127">
        <f t="shared" si="47"/>
        <v>-0.47422680412371132</v>
      </c>
      <c r="DO27" s="127">
        <f t="shared" si="47"/>
        <v>-0.35075493612078978</v>
      </c>
      <c r="DP27" s="127">
        <f t="shared" si="47"/>
        <v>-0.32445836596188987</v>
      </c>
      <c r="DQ27" s="2958">
        <f t="shared" si="47"/>
        <v>-0.42935906271536872</v>
      </c>
      <c r="DR27" s="127">
        <f t="shared" si="47"/>
        <v>-0.24067210279219176</v>
      </c>
      <c r="DS27" s="127">
        <f t="shared" si="47"/>
        <v>-0.12770095073465859</v>
      </c>
      <c r="DT27" s="127">
        <f t="shared" si="47"/>
        <v>-0.12905811623246494</v>
      </c>
      <c r="DU27" s="127">
        <f t="shared" si="47"/>
        <v>-0.16062082656560187</v>
      </c>
      <c r="DV27" s="2958">
        <f t="shared" si="47"/>
        <v>-0.11881703634280955</v>
      </c>
      <c r="DW27" s="127">
        <f t="shared" si="47"/>
        <v>-0.12128500257687683</v>
      </c>
      <c r="DX27" s="127">
        <f t="shared" si="47"/>
        <v>-9.4008922880815804E-2</v>
      </c>
      <c r="DY27" s="127">
        <f t="shared" si="47"/>
        <v>-6.4065230052417002E-2</v>
      </c>
      <c r="DZ27" s="127">
        <f t="shared" si="47"/>
        <v>-2.5427204374572795E-2</v>
      </c>
      <c r="EA27" s="2958">
        <f t="shared" si="47"/>
        <v>-7.3135464231354641E-2</v>
      </c>
      <c r="EB27" s="127">
        <f>IFERROR(EB18/EB10,"NA")</f>
        <v>2.5623826133619534E-2</v>
      </c>
      <c r="EC27" s="127">
        <f>IFERROR(EC18/EC10,"NA")</f>
        <v>4.9184410409662559E-2</v>
      </c>
      <c r="ED27" s="127">
        <f>IFERROR(ED18/ED10,"NA")</f>
        <v>3.1625252645345381E-2</v>
      </c>
      <c r="EE27" s="127">
        <f t="shared" ref="EE27:EV27" si="48">IFERROR(EE18/EE10,"NA")</f>
        <v>9.3994778067885115E-2</v>
      </c>
      <c r="EF27" s="2958">
        <f t="shared" si="48"/>
        <v>5.1861702127659573E-2</v>
      </c>
      <c r="EG27" s="127">
        <f>IFERROR(EG18/EG10,"NA")</f>
        <v>9.4004595780238148E-2</v>
      </c>
      <c r="EH27" s="127">
        <f>IFERROR(EH18/EH10,"NA")</f>
        <v>0.11326954672852034</v>
      </c>
      <c r="EI27" s="127">
        <f>IFERROR(EI18/EI10,"NA")</f>
        <v>0.17149652074341584</v>
      </c>
      <c r="EJ27" s="127">
        <f t="shared" ref="EJ27" si="49">IFERROR(EJ18/EJ10,"NA")</f>
        <v>0.17507319113341699</v>
      </c>
      <c r="EK27" s="2958">
        <f>IFERROR(EK18/EK10,"NA")</f>
        <v>0.14138656920123066</v>
      </c>
      <c r="EL27" s="127">
        <f>IFERROR(EL18/EL10,"NA")</f>
        <v>0.17756933115823817</v>
      </c>
      <c r="EM27" s="127">
        <f>IFERROR(EM18/EM10,"NA")</f>
        <v>0.20742806811509101</v>
      </c>
      <c r="EN27" s="127">
        <f>IFERROR(EN18/EN10,"NA")</f>
        <v>0.23711816322491258</v>
      </c>
      <c r="EO27" s="127">
        <f t="shared" ref="EO27" si="50">IFERROR(EO18/EO10,"NA")</f>
        <v>0.24</v>
      </c>
      <c r="EP27" s="2958">
        <f>IFERROR(EP18/EP10,"NA")</f>
        <v>0.21823551162093024</v>
      </c>
      <c r="EQ27" s="127">
        <f t="shared" ref="EQ27:ET27" si="51">IFERROR(EQ18/EQ10,"NA")</f>
        <v>0.25</v>
      </c>
      <c r="ER27" s="127">
        <f t="shared" si="51"/>
        <v>0.24599999999999997</v>
      </c>
      <c r="ES27" s="127">
        <f t="shared" si="51"/>
        <v>0.23899999999999999</v>
      </c>
      <c r="ET27" s="127">
        <f t="shared" si="51"/>
        <v>0.23300000000000001</v>
      </c>
      <c r="EU27" s="2958">
        <f>IFERROR(EU18/EU10,"NA")</f>
        <v>0.24126527878053253</v>
      </c>
      <c r="EV27" s="2958">
        <f t="shared" si="48"/>
        <v>0.22999999999999998</v>
      </c>
      <c r="EW27" s="2958">
        <f>IFERROR(EW18/EW10,"NA")</f>
        <v>0.25600000000000001</v>
      </c>
      <c r="EX27" s="2958">
        <f>IFERROR(EX18/EX10,"NA")</f>
        <v>0.28499999999999998</v>
      </c>
      <c r="EY27" s="2958">
        <f>IFERROR(EY18/EY10,"NA")</f>
        <v>0.32</v>
      </c>
      <c r="EZ27" s="170"/>
      <c r="FA27" s="1319"/>
      <c r="FB27" s="1319"/>
      <c r="FC27" s="511"/>
      <c r="FD27" s="511"/>
    </row>
    <row r="28" spans="1:160" s="4" customFormat="1" ht="11.25" hidden="1" customHeight="1" outlineLevel="1">
      <c r="A28" s="4128" t="s">
        <v>1033</v>
      </c>
      <c r="B28" s="4907"/>
      <c r="C28" s="4907"/>
      <c r="D28" s="4907"/>
      <c r="E28" s="4908"/>
      <c r="F28" s="4909"/>
      <c r="G28" s="4907"/>
      <c r="H28" s="4907"/>
      <c r="I28" s="4907"/>
      <c r="J28" s="4908"/>
      <c r="K28" s="4909"/>
      <c r="L28" s="4907"/>
      <c r="M28" s="4907"/>
      <c r="N28" s="4907"/>
      <c r="O28" s="4908"/>
      <c r="P28" s="4910"/>
      <c r="Q28" s="1118"/>
      <c r="R28" s="4907"/>
      <c r="S28" s="4907"/>
      <c r="T28" s="4908"/>
      <c r="U28" s="4909"/>
      <c r="V28" s="4911"/>
      <c r="W28" s="4907"/>
      <c r="X28" s="4907"/>
      <c r="Y28" s="4908"/>
      <c r="Z28" s="4909"/>
      <c r="AA28" s="4911"/>
      <c r="AB28" s="4907"/>
      <c r="AC28" s="4907"/>
      <c r="AD28" s="4908"/>
      <c r="AE28" s="4909"/>
      <c r="AF28" s="4911"/>
      <c r="AG28" s="4907"/>
      <c r="AH28" s="4907"/>
      <c r="AI28" s="4908"/>
      <c r="AJ28" s="4909"/>
      <c r="AK28" s="4907"/>
      <c r="AL28" s="4907"/>
      <c r="AM28" s="4907"/>
      <c r="AN28" s="4908"/>
      <c r="AO28" s="4909"/>
      <c r="AP28" s="4907"/>
      <c r="AQ28" s="4907"/>
      <c r="AR28" s="4907"/>
      <c r="AS28" s="4908"/>
      <c r="AT28" s="4909"/>
      <c r="AU28" s="4907"/>
      <c r="AV28" s="4907"/>
      <c r="AW28" s="4907"/>
      <c r="AX28" s="4908"/>
      <c r="AY28" s="4909"/>
      <c r="AZ28" s="4907"/>
      <c r="BA28" s="4907"/>
      <c r="BB28" s="4907"/>
      <c r="BC28" s="4907"/>
      <c r="BD28" s="4912"/>
      <c r="BE28" s="4913"/>
      <c r="BF28" s="4907"/>
      <c r="BG28" s="4907"/>
      <c r="BH28" s="4907"/>
      <c r="BI28" s="4912"/>
      <c r="BJ28" s="4907"/>
      <c r="BK28" s="4907"/>
      <c r="BL28" s="4907"/>
      <c r="BM28" s="4907"/>
      <c r="BN28" s="4912"/>
      <c r="BO28" s="4907"/>
      <c r="BP28" s="4907"/>
      <c r="BQ28" s="4907"/>
      <c r="BR28" s="4908"/>
      <c r="BS28" s="4909"/>
      <c r="BT28" s="4907"/>
      <c r="BU28" s="4907"/>
      <c r="BV28" s="4907"/>
      <c r="BW28" s="4907"/>
      <c r="BX28" s="4912"/>
      <c r="BY28" s="4907"/>
      <c r="BZ28" s="4907"/>
      <c r="CA28" s="4907"/>
      <c r="CB28" s="4907"/>
      <c r="CC28" s="4912"/>
      <c r="CD28" s="4907"/>
      <c r="CE28" s="4907"/>
      <c r="CF28" s="4907"/>
      <c r="CG28" s="4907"/>
      <c r="CH28" s="4914"/>
      <c r="CI28" s="4915"/>
      <c r="CJ28" s="4915"/>
      <c r="CK28" s="4915"/>
      <c r="CL28" s="4915"/>
      <c r="CM28" s="4914"/>
      <c r="CN28" s="4915"/>
      <c r="CO28" s="4915"/>
      <c r="CP28" s="4915"/>
      <c r="CQ28" s="4915"/>
      <c r="CR28" s="4914"/>
      <c r="CS28" s="4915"/>
      <c r="CT28" s="4915"/>
      <c r="CU28" s="4915"/>
      <c r="CV28" s="4915"/>
      <c r="CW28" s="4914"/>
      <c r="CX28" s="4915"/>
      <c r="CY28" s="4915"/>
      <c r="CZ28" s="4915"/>
      <c r="DA28" s="4915"/>
      <c r="DB28" s="4914"/>
      <c r="DC28" s="4915"/>
      <c r="DD28" s="4915"/>
      <c r="DE28" s="4915"/>
      <c r="DF28" s="4915"/>
      <c r="DG28" s="5705"/>
      <c r="DH28" s="3453"/>
      <c r="DI28" s="3453"/>
      <c r="DJ28" s="3453"/>
      <c r="DK28" s="3453"/>
      <c r="DL28" s="5705">
        <f t="shared" ref="DL28:EF28" si="52">(DL27-DG27)*10000</f>
        <v>2239.1891375887853</v>
      </c>
      <c r="DM28" s="3453">
        <f t="shared" si="52"/>
        <v>-6229.7443284119554</v>
      </c>
      <c r="DN28" s="3453">
        <f t="shared" si="52"/>
        <v>-4742.2680412371128</v>
      </c>
      <c r="DO28" s="3453">
        <f t="shared" si="52"/>
        <v>-3507.5493612078976</v>
      </c>
      <c r="DP28" s="3453">
        <f t="shared" si="52"/>
        <v>1323.1286586672531</v>
      </c>
      <c r="DQ28" s="5705">
        <f t="shared" si="52"/>
        <v>914.97631610713336</v>
      </c>
      <c r="DR28" s="3453">
        <f t="shared" si="52"/>
        <v>3823.0233004900383</v>
      </c>
      <c r="DS28" s="3453">
        <f t="shared" si="52"/>
        <v>3465.2585338905274</v>
      </c>
      <c r="DT28" s="3453">
        <f t="shared" si="52"/>
        <v>2216.9681988832485</v>
      </c>
      <c r="DU28" s="3453">
        <f t="shared" si="52"/>
        <v>1638.37539396288</v>
      </c>
      <c r="DV28" s="5705">
        <f t="shared" si="52"/>
        <v>3105.4202637255917</v>
      </c>
      <c r="DW28" s="3453" t="s">
        <v>116</v>
      </c>
      <c r="DX28" s="3453" t="s">
        <v>116</v>
      </c>
      <c r="DY28" s="3453" t="s">
        <v>116</v>
      </c>
      <c r="DZ28" s="3453" t="s">
        <v>116</v>
      </c>
      <c r="EA28" s="5705">
        <f t="shared" si="52"/>
        <v>456.81572111454904</v>
      </c>
      <c r="EB28" s="3453">
        <f>(EB27-DW27)*10000</f>
        <v>1469.0882871049637</v>
      </c>
      <c r="EC28" s="3453">
        <f>(EC27-DX27)*10000</f>
        <v>1431.9333329047836</v>
      </c>
      <c r="ED28" s="3453">
        <f>(ED27-DY27)*10000</f>
        <v>956.90482697762388</v>
      </c>
      <c r="EE28" s="3453">
        <f t="shared" si="52"/>
        <v>1194.2198244245792</v>
      </c>
      <c r="EF28" s="5705">
        <f t="shared" si="52"/>
        <v>1249.971663590142</v>
      </c>
      <c r="EG28" s="3453">
        <f>(EG27-EB27)*10000</f>
        <v>683.80769646618614</v>
      </c>
      <c r="EH28" s="3453">
        <f>(EH27-EC27)*10000</f>
        <v>640.85136318857792</v>
      </c>
      <c r="EI28" s="3453">
        <f>(EI27-ED27)*10000</f>
        <v>1398.7126809807046</v>
      </c>
      <c r="EJ28" s="3453">
        <f t="shared" ref="EJ28" si="53">(EJ27-EE27)*10000</f>
        <v>810.78413065531879</v>
      </c>
      <c r="EK28" s="5705">
        <f>(EK27-EF27)*10000</f>
        <v>895.2486707357109</v>
      </c>
      <c r="EL28" s="3453">
        <f>(EL27-EG27)*10000</f>
        <v>835.64735378000023</v>
      </c>
      <c r="EM28" s="3453">
        <f>(EM27-EH27)*10000</f>
        <v>941.58521386570669</v>
      </c>
      <c r="EN28" s="3453">
        <f>(EN27-EI27)*10000</f>
        <v>656.21642481496735</v>
      </c>
      <c r="EO28" s="3453">
        <f t="shared" ref="EO28" si="54">(EO27-EJ27)*10000</f>
        <v>649.26808866583008</v>
      </c>
      <c r="EP28" s="5705">
        <f>(EP27-EK27)*10000</f>
        <v>768.48942419699586</v>
      </c>
      <c r="EQ28" s="3453">
        <f t="shared" ref="EQ28" si="55">(EQ27-EL27)*10000</f>
        <v>724.30668841761826</v>
      </c>
      <c r="ER28" s="3453">
        <f t="shared" ref="ER28" si="56">(ER27-EM27)*10000</f>
        <v>385.71931884908957</v>
      </c>
      <c r="ES28" s="3453">
        <f t="shared" ref="ES28" si="57">(ES27-EN27)*10000</f>
        <v>18.818367750874089</v>
      </c>
      <c r="ET28" s="3453">
        <f t="shared" ref="ET28" si="58">(ET27-EO27)*10000</f>
        <v>-69.999999999999787</v>
      </c>
      <c r="EU28" s="5705">
        <f>(EU27-EP27)*10000</f>
        <v>230.29767159602284</v>
      </c>
      <c r="EV28" s="5705">
        <f>(EV27-EU27)*10000</f>
        <v>-112.65278780532545</v>
      </c>
      <c r="EW28" s="5705">
        <f>(EW27-EV27)*10000</f>
        <v>260.00000000000023</v>
      </c>
      <c r="EX28" s="5705">
        <f>(EX27-EW27)*10000</f>
        <v>289.99999999999972</v>
      </c>
      <c r="EY28" s="5705">
        <f>(EY27-EX27)*10000</f>
        <v>350.00000000000028</v>
      </c>
      <c r="EZ28" s="170"/>
      <c r="FA28" s="1319"/>
      <c r="FB28" s="1319"/>
      <c r="FC28" s="511"/>
      <c r="FD28" s="511"/>
    </row>
    <row r="29" spans="1:160" s="4" customFormat="1" ht="11.25" hidden="1" customHeight="1" outlineLevel="1">
      <c r="A29" s="4128" t="s">
        <v>1034</v>
      </c>
      <c r="B29" s="4907"/>
      <c r="C29" s="4907"/>
      <c r="D29" s="4907"/>
      <c r="E29" s="4908"/>
      <c r="F29" s="4909"/>
      <c r="G29" s="4907"/>
      <c r="H29" s="4907"/>
      <c r="I29" s="4907"/>
      <c r="J29" s="4908"/>
      <c r="K29" s="4909"/>
      <c r="L29" s="4907"/>
      <c r="M29" s="4907"/>
      <c r="N29" s="4907"/>
      <c r="O29" s="4908"/>
      <c r="P29" s="4910"/>
      <c r="Q29" s="1118"/>
      <c r="R29" s="4907"/>
      <c r="S29" s="4907"/>
      <c r="T29" s="4908"/>
      <c r="U29" s="4909"/>
      <c r="V29" s="4911"/>
      <c r="W29" s="4907"/>
      <c r="X29" s="4907"/>
      <c r="Y29" s="4908"/>
      <c r="Z29" s="4909"/>
      <c r="AA29" s="4911"/>
      <c r="AB29" s="4907"/>
      <c r="AC29" s="4907"/>
      <c r="AD29" s="4908"/>
      <c r="AE29" s="4909"/>
      <c r="AF29" s="4911"/>
      <c r="AG29" s="4907"/>
      <c r="AH29" s="4907"/>
      <c r="AI29" s="4908"/>
      <c r="AJ29" s="4909"/>
      <c r="AK29" s="4907"/>
      <c r="AL29" s="4907"/>
      <c r="AM29" s="4907"/>
      <c r="AN29" s="4908"/>
      <c r="AO29" s="4909"/>
      <c r="AP29" s="4907"/>
      <c r="AQ29" s="4907"/>
      <c r="AR29" s="4907"/>
      <c r="AS29" s="4908"/>
      <c r="AT29" s="4909"/>
      <c r="AU29" s="4907"/>
      <c r="AV29" s="4907"/>
      <c r="AW29" s="4907"/>
      <c r="AX29" s="4908"/>
      <c r="AY29" s="4909"/>
      <c r="AZ29" s="4907"/>
      <c r="BA29" s="4907"/>
      <c r="BB29" s="4907"/>
      <c r="BC29" s="4907"/>
      <c r="BD29" s="4912"/>
      <c r="BE29" s="4913"/>
      <c r="BF29" s="4907"/>
      <c r="BG29" s="4907"/>
      <c r="BH29" s="4907"/>
      <c r="BI29" s="4912"/>
      <c r="BJ29" s="4907"/>
      <c r="BK29" s="4907"/>
      <c r="BL29" s="4907"/>
      <c r="BM29" s="4907"/>
      <c r="BN29" s="4912"/>
      <c r="BO29" s="4907"/>
      <c r="BP29" s="4907"/>
      <c r="BQ29" s="4907"/>
      <c r="BR29" s="4908"/>
      <c r="BS29" s="4909"/>
      <c r="BT29" s="4907"/>
      <c r="BU29" s="4907"/>
      <c r="BV29" s="4907"/>
      <c r="BW29" s="4907"/>
      <c r="BX29" s="4912"/>
      <c r="BY29" s="4907"/>
      <c r="BZ29" s="4907"/>
      <c r="CA29" s="4907"/>
      <c r="CB29" s="4907"/>
      <c r="CC29" s="4912"/>
      <c r="CD29" s="4907"/>
      <c r="CE29" s="4907"/>
      <c r="CF29" s="4907"/>
      <c r="CG29" s="4907"/>
      <c r="CH29" s="4914"/>
      <c r="CI29" s="4915"/>
      <c r="CJ29" s="4915"/>
      <c r="CK29" s="4915"/>
      <c r="CL29" s="4915"/>
      <c r="CM29" s="4914"/>
      <c r="CN29" s="4915"/>
      <c r="CO29" s="4915"/>
      <c r="CP29" s="4915"/>
      <c r="CQ29" s="4915"/>
      <c r="CR29" s="4914"/>
      <c r="CS29" s="4915"/>
      <c r="CT29" s="4915"/>
      <c r="CU29" s="4915"/>
      <c r="CV29" s="4915"/>
      <c r="CW29" s="4914"/>
      <c r="CX29" s="4915"/>
      <c r="CY29" s="4915"/>
      <c r="CZ29" s="4915"/>
      <c r="DA29" s="4915"/>
      <c r="DB29" s="4914"/>
      <c r="DC29" s="4915"/>
      <c r="DD29" s="4915"/>
      <c r="DE29" s="4915"/>
      <c r="DF29" s="4915"/>
      <c r="DG29" s="5705"/>
      <c r="DH29" s="3453"/>
      <c r="DI29" s="3453"/>
      <c r="DJ29" s="3453"/>
      <c r="DK29" s="3453"/>
      <c r="DL29" s="5705"/>
      <c r="DM29" s="3453">
        <f>(DM27-DK27)*10000</f>
        <v>-1662.0320101258039</v>
      </c>
      <c r="DN29" s="3453">
        <f>(DN27-DM27)*10000</f>
        <v>1487.4762871748426</v>
      </c>
      <c r="DO29" s="3453">
        <f>(DO27-DN27)*10000</f>
        <v>1234.7186800292154</v>
      </c>
      <c r="DP29" s="3453">
        <f>(DP27-DO27)*10000</f>
        <v>262.96570158899914</v>
      </c>
      <c r="DQ29" s="5705"/>
      <c r="DR29" s="3453">
        <f>(DR27-DP27)*10000</f>
        <v>837.86263169698111</v>
      </c>
      <c r="DS29" s="3453">
        <f>(DS27-DR27)*10000</f>
        <v>1129.7115205753316</v>
      </c>
      <c r="DT29" s="3453">
        <f>(DT27-DS27)*10000</f>
        <v>-13.571654978063453</v>
      </c>
      <c r="DU29" s="3453">
        <f>(DU27-DT27)*10000</f>
        <v>-315.62710333136931</v>
      </c>
      <c r="DV29" s="5705"/>
      <c r="DW29" s="3453" t="s">
        <v>116</v>
      </c>
      <c r="DX29" s="3453">
        <f>(DX27-DW27)*10000</f>
        <v>272.76079696061021</v>
      </c>
      <c r="DY29" s="3453">
        <f>(DY27-DX27)*10000</f>
        <v>299.43692828398804</v>
      </c>
      <c r="DZ29" s="3453">
        <f>(DZ27-DY27)*10000</f>
        <v>386.38025677844206</v>
      </c>
      <c r="EA29" s="5705"/>
      <c r="EB29" s="3453">
        <f>(EB27-DZ27)*10000</f>
        <v>510.51030508192332</v>
      </c>
      <c r="EC29" s="3453">
        <f>(EC27-EB27)*10000</f>
        <v>235.60584276043025</v>
      </c>
      <c r="ED29" s="3453">
        <f>(ED27-EC27)*10000</f>
        <v>-175.59157764317177</v>
      </c>
      <c r="EE29" s="3453">
        <f>(EE27-ED27)*10000</f>
        <v>623.69525422539732</v>
      </c>
      <c r="EF29" s="5705"/>
      <c r="EG29" s="3453">
        <f>(EG27-EE27)*10000</f>
        <v>9.8177123530329702E-2</v>
      </c>
      <c r="EH29" s="3453">
        <f>(EH27-EG27)*10000</f>
        <v>192.64950948282191</v>
      </c>
      <c r="EI29" s="3453">
        <f>(EI27-EH27)*10000</f>
        <v>582.26974014895507</v>
      </c>
      <c r="EJ29" s="3453">
        <f>(EJ27-EI27)*10000</f>
        <v>35.766703900011464</v>
      </c>
      <c r="EK29" s="5705"/>
      <c r="EL29" s="3453">
        <f>(EL27-EJ27)*10000</f>
        <v>24.961400248211806</v>
      </c>
      <c r="EM29" s="3453">
        <f>(EM27-EL27)*10000</f>
        <v>298.58736956852846</v>
      </c>
      <c r="EN29" s="3453">
        <f>(EN27-EM27)*10000</f>
        <v>296.90095109821567</v>
      </c>
      <c r="EO29" s="3453">
        <f t="shared" ref="EO29" si="59">(EO27-EN27)*10000</f>
        <v>28.818367750874096</v>
      </c>
      <c r="EP29" s="5705"/>
      <c r="EQ29" s="3453">
        <f t="shared" ref="EQ29" si="60">(EQ27-EP27)*10000</f>
        <v>317.64488379069758</v>
      </c>
      <c r="ER29" s="3453">
        <f t="shared" ref="ER29" si="61">(ER27-EQ27)*10000</f>
        <v>-40.000000000000313</v>
      </c>
      <c r="ES29" s="3453">
        <f t="shared" ref="ES29" si="62">(ES27-ER27)*10000</f>
        <v>-69.999999999999787</v>
      </c>
      <c r="ET29" s="3453">
        <f t="shared" ref="ET29" si="63">(ET27-ES27)*10000</f>
        <v>-59.999999999999773</v>
      </c>
      <c r="EU29" s="5705"/>
      <c r="EV29" s="5705"/>
      <c r="EW29" s="5705"/>
      <c r="EX29" s="5705"/>
      <c r="EY29" s="5705"/>
      <c r="EZ29" s="170"/>
      <c r="FA29" s="1319"/>
      <c r="FB29" s="1319"/>
      <c r="FC29" s="511"/>
      <c r="FD29" s="511"/>
    </row>
    <row r="30" spans="1:160" s="4" customFormat="1" ht="11.25" customHeight="1" collapsed="1">
      <c r="A30" s="4857" t="s">
        <v>434</v>
      </c>
      <c r="B30" s="170"/>
      <c r="C30" s="170"/>
      <c r="D30" s="170"/>
      <c r="E30" s="286"/>
      <c r="F30" s="4858"/>
      <c r="G30" s="170"/>
      <c r="H30" s="170"/>
      <c r="I30" s="170"/>
      <c r="J30" s="286"/>
      <c r="K30" s="4858"/>
      <c r="L30" s="170"/>
      <c r="M30" s="170"/>
      <c r="N30" s="170"/>
      <c r="O30" s="286"/>
      <c r="P30" s="2657"/>
      <c r="Q30" s="2608"/>
      <c r="R30" s="170"/>
      <c r="S30" s="170"/>
      <c r="T30" s="286"/>
      <c r="U30" s="4858"/>
      <c r="V30" s="4859"/>
      <c r="W30" s="170"/>
      <c r="X30" s="170"/>
      <c r="Y30" s="286"/>
      <c r="Z30" s="4858"/>
      <c r="AA30" s="4859"/>
      <c r="AB30" s="170"/>
      <c r="AC30" s="170"/>
      <c r="AD30" s="286"/>
      <c r="AE30" s="4858"/>
      <c r="AF30" s="4859"/>
      <c r="AG30" s="170"/>
      <c r="AH30" s="170"/>
      <c r="AI30" s="286"/>
      <c r="AJ30" s="4858"/>
      <c r="AK30" s="170"/>
      <c r="AL30" s="170"/>
      <c r="AM30" s="170"/>
      <c r="AN30" s="286"/>
      <c r="AO30" s="4858"/>
      <c r="AP30" s="170"/>
      <c r="AQ30" s="170"/>
      <c r="AR30" s="170"/>
      <c r="AS30" s="286"/>
      <c r="AT30" s="4858"/>
      <c r="AU30" s="170"/>
      <c r="AV30" s="170"/>
      <c r="AW30" s="170"/>
      <c r="AX30" s="286"/>
      <c r="AY30" s="4858"/>
      <c r="AZ30" s="170"/>
      <c r="BA30" s="170"/>
      <c r="BB30" s="170"/>
      <c r="BC30" s="170"/>
      <c r="BD30" s="4860"/>
      <c r="BE30" s="4866"/>
      <c r="BF30" s="170"/>
      <c r="BG30" s="170"/>
      <c r="BH30" s="170"/>
      <c r="BI30" s="4860"/>
      <c r="BJ30" s="170"/>
      <c r="BK30" s="170"/>
      <c r="BL30" s="170"/>
      <c r="BM30" s="170"/>
      <c r="BN30" s="4860"/>
      <c r="BO30" s="170"/>
      <c r="BP30" s="170"/>
      <c r="BQ30" s="170"/>
      <c r="BR30" s="286"/>
      <c r="BS30" s="4858"/>
      <c r="BT30" s="170"/>
      <c r="BU30" s="170"/>
      <c r="BV30" s="170"/>
      <c r="BW30" s="170"/>
      <c r="BX30" s="4860"/>
      <c r="BY30" s="170"/>
      <c r="BZ30" s="170"/>
      <c r="CA30" s="170"/>
      <c r="CB30" s="170"/>
      <c r="CC30" s="4860"/>
      <c r="CD30" s="170"/>
      <c r="CE30" s="170"/>
      <c r="CF30" s="170"/>
      <c r="CG30" s="170"/>
      <c r="CH30" s="4860"/>
      <c r="CI30" s="170"/>
      <c r="CJ30" s="170"/>
      <c r="CK30" s="170"/>
      <c r="CL30" s="170"/>
      <c r="CM30" s="4860"/>
      <c r="CN30" s="170"/>
      <c r="CO30" s="170"/>
      <c r="CP30" s="170"/>
      <c r="CQ30" s="170"/>
      <c r="CR30" s="4860"/>
      <c r="CS30" s="170"/>
      <c r="CT30" s="170"/>
      <c r="CU30" s="170"/>
      <c r="CV30" s="170"/>
      <c r="CW30" s="4860"/>
      <c r="CX30" s="170"/>
      <c r="CY30" s="170"/>
      <c r="CZ30" s="170"/>
      <c r="DA30" s="170"/>
      <c r="DB30" s="4860"/>
      <c r="DC30" s="170"/>
      <c r="DD30" s="170"/>
      <c r="DE30" s="170"/>
      <c r="DF30" s="170"/>
      <c r="DG30" s="2958">
        <f>IFERROR(DG19/DG11,"NA")</f>
        <v>-5.643697478991597</v>
      </c>
      <c r="DH30" s="127"/>
      <c r="DI30" s="127"/>
      <c r="DJ30" s="127"/>
      <c r="DK30" s="127">
        <f t="shared" ref="DK30:EA30" si="64">IFERROR(DK19/DK11,"NA")</f>
        <v>-11.779069767441861</v>
      </c>
      <c r="DL30" s="2958">
        <f t="shared" si="64"/>
        <v>-7.3201820940819422</v>
      </c>
      <c r="DM30" s="127">
        <f t="shared" si="64"/>
        <v>-8.3037037037037038</v>
      </c>
      <c r="DN30" s="127">
        <f t="shared" si="64"/>
        <v>-7.5405405405405403</v>
      </c>
      <c r="DO30" s="127">
        <f t="shared" si="64"/>
        <v>-6.1966292134831464</v>
      </c>
      <c r="DP30" s="127">
        <f t="shared" si="64"/>
        <v>-5.795918367346939</v>
      </c>
      <c r="DQ30" s="2958">
        <f t="shared" si="64"/>
        <v>-6.8127853881278542</v>
      </c>
      <c r="DR30" s="127">
        <f t="shared" si="64"/>
        <v>-5.7828282828282829</v>
      </c>
      <c r="DS30" s="127">
        <f t="shared" si="64"/>
        <v>-7.28125</v>
      </c>
      <c r="DT30" s="127">
        <f t="shared" si="64"/>
        <v>-7.0769230769230766</v>
      </c>
      <c r="DU30" s="127">
        <f t="shared" si="64"/>
        <v>-8.0110497237569067</v>
      </c>
      <c r="DV30" s="2958">
        <f t="shared" si="64"/>
        <v>-5.3798140770252321</v>
      </c>
      <c r="DW30" s="127">
        <f t="shared" si="64"/>
        <v>-1.8977272727272727</v>
      </c>
      <c r="DX30" s="127">
        <f t="shared" si="64"/>
        <v>-6.937823834196891</v>
      </c>
      <c r="DY30" s="127">
        <f t="shared" si="64"/>
        <v>-5.8612440191387556</v>
      </c>
      <c r="DZ30" s="127">
        <f t="shared" si="64"/>
        <v>-5.4734513274336285</v>
      </c>
      <c r="EA30" s="2958">
        <f t="shared" si="64"/>
        <v>-4.3408239700374533</v>
      </c>
      <c r="EB30" s="127">
        <f>IFERROR(EB19/EB11,"NA")</f>
        <v>-4.2534722222222223</v>
      </c>
      <c r="EC30" s="127">
        <f>IFERROR(EC19/EC11,"NA")</f>
        <v>-2.8526315789473684</v>
      </c>
      <c r="ED30" s="127">
        <f>IFERROR(ED19/ED11,"NA")</f>
        <v>-4.0202020202020199</v>
      </c>
      <c r="EE30" s="127">
        <f t="shared" ref="EE30:EV30" si="65">IFERROR(EE19/EE11,"NA")</f>
        <v>-1.3135464231354643</v>
      </c>
      <c r="EF30" s="2958">
        <f t="shared" si="65"/>
        <v>-2.6817288801571708</v>
      </c>
      <c r="EG30" s="127">
        <f>IFERROR(EG19/EG11,"NA")</f>
        <v>-2.0606060606060606</v>
      </c>
      <c r="EH30" s="127">
        <f>IFERROR(EH19/EH11,"NA")</f>
        <v>-3.106849315068493</v>
      </c>
      <c r="EI30" s="127">
        <f>IFERROR(EI19/EI11,"NA")</f>
        <v>-2.8762886597938144</v>
      </c>
      <c r="EJ30" s="127">
        <f t="shared" ref="EJ30" si="66">IFERROR(EJ19/EJ11,"NA")</f>
        <v>-2.9350000000000001</v>
      </c>
      <c r="EK30" s="2958">
        <f>IFERROR(EK19/EK11,"NA")</f>
        <v>-2.6966019417475726</v>
      </c>
      <c r="EL30" s="127">
        <f>IFERROR(EL19/EL11,"NA")</f>
        <v>-2.7244444444444444</v>
      </c>
      <c r="EM30" s="127">
        <f>IFERROR(EM19/EM11,"NA")</f>
        <v>-3.3404825737265416</v>
      </c>
      <c r="EN30" s="127">
        <f>IFERROR(EN19/EN11,"NA")</f>
        <v>-4.1453488372093021</v>
      </c>
      <c r="EO30" s="127">
        <f t="shared" ref="EO30" si="67">IFERROR(EO19/EO11,"NA")</f>
        <v>-4.2940693745733434</v>
      </c>
      <c r="EP30" s="2958">
        <f>IFERROR(EP19/EP11,"NA")</f>
        <v>-3.5669908979092169</v>
      </c>
      <c r="EQ30" s="127">
        <f t="shared" ref="EQ30:ET30" si="68">IFERROR(EQ19/EQ11,"NA")</f>
        <v>-3.3440790470125945</v>
      </c>
      <c r="ER30" s="127">
        <f t="shared" si="68"/>
        <v>-3.1934366909971592</v>
      </c>
      <c r="ES30" s="127">
        <f t="shared" si="68"/>
        <v>-3.3513340361143347</v>
      </c>
      <c r="ET30" s="127">
        <f t="shared" si="68"/>
        <v>-3.4959259940722962</v>
      </c>
      <c r="EU30" s="2958">
        <f>IFERROR(EU19/EU11,"NA")</f>
        <v>-3.3494791514999873</v>
      </c>
      <c r="EV30" s="2958">
        <f t="shared" si="65"/>
        <v>-3.0360632648854562</v>
      </c>
      <c r="EW30" s="2958">
        <f>IFERROR(EW19/EW11,"NA")</f>
        <v>-1.911308320244999</v>
      </c>
      <c r="EX30" s="2958">
        <f>IFERROR(EX19/EX11,"NA")</f>
        <v>-0.76440562870823414</v>
      </c>
      <c r="EY30" s="2958">
        <f>IFERROR(EY19/EY11,"NA")</f>
        <v>-4.1602989648905492E-2</v>
      </c>
      <c r="EZ30" s="170"/>
      <c r="FA30" s="1319"/>
      <c r="FB30" s="1319"/>
      <c r="FC30" s="511"/>
    </row>
    <row r="31" spans="1:160" s="4" customFormat="1" ht="11.25" hidden="1" customHeight="1" outlineLevel="1">
      <c r="A31" s="4128" t="s">
        <v>1033</v>
      </c>
      <c r="B31" s="4907"/>
      <c r="C31" s="4907"/>
      <c r="D31" s="4907"/>
      <c r="E31" s="4908"/>
      <c r="F31" s="4909"/>
      <c r="G31" s="4907"/>
      <c r="H31" s="4907"/>
      <c r="I31" s="4907"/>
      <c r="J31" s="4908"/>
      <c r="K31" s="4909"/>
      <c r="L31" s="4907"/>
      <c r="M31" s="4907"/>
      <c r="N31" s="4907"/>
      <c r="O31" s="4908"/>
      <c r="P31" s="4910"/>
      <c r="Q31" s="1118"/>
      <c r="R31" s="4907"/>
      <c r="S31" s="4907"/>
      <c r="T31" s="4908"/>
      <c r="U31" s="4909"/>
      <c r="V31" s="4911"/>
      <c r="W31" s="4907"/>
      <c r="X31" s="4907"/>
      <c r="Y31" s="4908"/>
      <c r="Z31" s="4909"/>
      <c r="AA31" s="4911"/>
      <c r="AB31" s="4907"/>
      <c r="AC31" s="4907"/>
      <c r="AD31" s="4908"/>
      <c r="AE31" s="4909"/>
      <c r="AF31" s="4911"/>
      <c r="AG31" s="4907"/>
      <c r="AH31" s="4907"/>
      <c r="AI31" s="4908"/>
      <c r="AJ31" s="4909"/>
      <c r="AK31" s="4907"/>
      <c r="AL31" s="4907"/>
      <c r="AM31" s="4907"/>
      <c r="AN31" s="4908"/>
      <c r="AO31" s="4909"/>
      <c r="AP31" s="4907"/>
      <c r="AQ31" s="4907"/>
      <c r="AR31" s="4907"/>
      <c r="AS31" s="4908"/>
      <c r="AT31" s="4909"/>
      <c r="AU31" s="4907"/>
      <c r="AV31" s="4907"/>
      <c r="AW31" s="4907"/>
      <c r="AX31" s="4908"/>
      <c r="AY31" s="4909"/>
      <c r="AZ31" s="4907"/>
      <c r="BA31" s="4907"/>
      <c r="BB31" s="4907"/>
      <c r="BC31" s="4907"/>
      <c r="BD31" s="4912"/>
      <c r="BE31" s="4913"/>
      <c r="BF31" s="4907"/>
      <c r="BG31" s="4907"/>
      <c r="BH31" s="4907"/>
      <c r="BI31" s="4912"/>
      <c r="BJ31" s="4907"/>
      <c r="BK31" s="4907"/>
      <c r="BL31" s="4907"/>
      <c r="BM31" s="4907"/>
      <c r="BN31" s="4912"/>
      <c r="BO31" s="4907"/>
      <c r="BP31" s="4907"/>
      <c r="BQ31" s="4907"/>
      <c r="BR31" s="4908"/>
      <c r="BS31" s="4909"/>
      <c r="BT31" s="4907"/>
      <c r="BU31" s="4907"/>
      <c r="BV31" s="4907"/>
      <c r="BW31" s="4907"/>
      <c r="BX31" s="4912"/>
      <c r="BY31" s="4907"/>
      <c r="BZ31" s="4907"/>
      <c r="CA31" s="4907"/>
      <c r="CB31" s="4907"/>
      <c r="CC31" s="4912"/>
      <c r="CD31" s="4907"/>
      <c r="CE31" s="4907"/>
      <c r="CF31" s="4907"/>
      <c r="CG31" s="4907"/>
      <c r="CH31" s="4914"/>
      <c r="CI31" s="4915"/>
      <c r="CJ31" s="4915"/>
      <c r="CK31" s="4915"/>
      <c r="CL31" s="4915"/>
      <c r="CM31" s="4914"/>
      <c r="CN31" s="4915"/>
      <c r="CO31" s="4915"/>
      <c r="CP31" s="4915"/>
      <c r="CQ31" s="4915"/>
      <c r="CR31" s="4914"/>
      <c r="CS31" s="4915"/>
      <c r="CT31" s="4915"/>
      <c r="CU31" s="4915"/>
      <c r="CV31" s="4915"/>
      <c r="CW31" s="4914"/>
      <c r="CX31" s="4915"/>
      <c r="CY31" s="4915"/>
      <c r="CZ31" s="4915"/>
      <c r="DA31" s="4915"/>
      <c r="DB31" s="4914"/>
      <c r="DC31" s="4915"/>
      <c r="DD31" s="4915"/>
      <c r="DE31" s="4915"/>
      <c r="DF31" s="4915"/>
      <c r="DG31" s="5705"/>
      <c r="DH31" s="3453"/>
      <c r="DI31" s="3453"/>
      <c r="DJ31" s="3453"/>
      <c r="DK31" s="3453"/>
      <c r="DL31" s="5705">
        <f t="shared" ref="DL31:EF31" si="69">(DL30-DG30)*10000</f>
        <v>-16764.846150903453</v>
      </c>
      <c r="DM31" s="3453">
        <f t="shared" si="69"/>
        <v>-83037.037037037036</v>
      </c>
      <c r="DN31" s="3453">
        <f t="shared" si="69"/>
        <v>-75405.4054054054</v>
      </c>
      <c r="DO31" s="3453">
        <f t="shared" si="69"/>
        <v>-61966.292134831463</v>
      </c>
      <c r="DP31" s="3453">
        <f t="shared" si="69"/>
        <v>59831.514000949217</v>
      </c>
      <c r="DQ31" s="5705">
        <f t="shared" si="69"/>
        <v>5073.9670595408807</v>
      </c>
      <c r="DR31" s="3453">
        <f t="shared" si="69"/>
        <v>25208.75420875421</v>
      </c>
      <c r="DS31" s="3453">
        <f t="shared" si="69"/>
        <v>2592.9054054054036</v>
      </c>
      <c r="DT31" s="3453">
        <f t="shared" si="69"/>
        <v>-8802.9386343993028</v>
      </c>
      <c r="DU31" s="3453">
        <f t="shared" si="69"/>
        <v>-22151.313564099677</v>
      </c>
      <c r="DV31" s="5705">
        <f t="shared" si="69"/>
        <v>14329.713111026222</v>
      </c>
      <c r="DW31" s="3453" t="s">
        <v>116</v>
      </c>
      <c r="DX31" s="3453" t="s">
        <v>116</v>
      </c>
      <c r="DY31" s="3453" t="s">
        <v>116</v>
      </c>
      <c r="DZ31" s="3453" t="s">
        <v>116</v>
      </c>
      <c r="EA31" s="5705">
        <f t="shared" si="69"/>
        <v>10389.901069877787</v>
      </c>
      <c r="EB31" s="3453">
        <f>(EB30-DW30)*10000</f>
        <v>-23557.449494949498</v>
      </c>
      <c r="EC31" s="3453">
        <f>(EC30-DX30)*10000</f>
        <v>40851.92255249522</v>
      </c>
      <c r="ED31" s="3453">
        <f>(ED30-DY30)*10000</f>
        <v>18410.419989367358</v>
      </c>
      <c r="EE31" s="3453">
        <f t="shared" si="69"/>
        <v>41599.049042981642</v>
      </c>
      <c r="EF31" s="5705">
        <f t="shared" si="69"/>
        <v>16590.950898802825</v>
      </c>
      <c r="EG31" s="3453">
        <f>(EG30-EB30)*10000</f>
        <v>21928.661616161618</v>
      </c>
      <c r="EH31" s="3453">
        <f>(EH30-EC30)*10000</f>
        <v>-2542.1773612112465</v>
      </c>
      <c r="EI31" s="3453">
        <f>(EI30-ED30)*10000</f>
        <v>11439.133604082055</v>
      </c>
      <c r="EJ31" s="3453">
        <f t="shared" ref="EJ31" si="70">(EJ30-EE30)*10000</f>
        <v>-16214.535768645357</v>
      </c>
      <c r="EK31" s="5705">
        <f>(EK30-EF30)*10000</f>
        <v>-148.73061590401804</v>
      </c>
      <c r="EL31" s="3453">
        <f>(EL30-EG30)*10000</f>
        <v>-6638.3838383838392</v>
      </c>
      <c r="EM31" s="3453">
        <f>(EM30-EH30)*10000</f>
        <v>-2336.332586580485</v>
      </c>
      <c r="EN31" s="3453">
        <f>(EN30-EI30)*10000</f>
        <v>-12690.601774154877</v>
      </c>
      <c r="EO31" s="3453">
        <f t="shared" ref="EO31" si="71">(EO30-EJ30)*10000</f>
        <v>-13590.693745733433</v>
      </c>
      <c r="EP31" s="5705">
        <f>(EP30-EK30)*10000</f>
        <v>-8703.8895616164427</v>
      </c>
      <c r="EQ31" s="3453">
        <f t="shared" ref="EQ31" si="72">(EQ30-EL30)*10000</f>
        <v>-6196.3460256815006</v>
      </c>
      <c r="ER31" s="3453">
        <f t="shared" ref="ER31" si="73">(ER30-EM30)*10000</f>
        <v>1470.4588272938236</v>
      </c>
      <c r="ES31" s="3453">
        <f t="shared" ref="ES31" si="74">(ES30-EN30)*10000</f>
        <v>7940.1480109496752</v>
      </c>
      <c r="ET31" s="3453">
        <f t="shared" ref="ET31" si="75">(ET30-EO30)*10000</f>
        <v>7981.4338050104716</v>
      </c>
      <c r="EU31" s="5705">
        <f>(EU30-EP30)*10000</f>
        <v>2175.1174640922954</v>
      </c>
      <c r="EV31" s="5705">
        <f>(EV30-EU30)*10000</f>
        <v>3134.1588661453111</v>
      </c>
      <c r="EW31" s="5705">
        <f>(EW30-EV30)*10000</f>
        <v>11247.549446404571</v>
      </c>
      <c r="EX31" s="5705">
        <f>(EX30-EW30)*10000</f>
        <v>11469.026915367649</v>
      </c>
      <c r="EY31" s="5705">
        <f>(EY30-EX30)*10000</f>
        <v>7228.0263905932861</v>
      </c>
      <c r="EZ31" s="170"/>
      <c r="FA31" s="1319"/>
      <c r="FB31" s="1319"/>
      <c r="FC31" s="511"/>
      <c r="FD31" s="511"/>
    </row>
    <row r="32" spans="1:160" s="4" customFormat="1" ht="11.25" hidden="1" customHeight="1" outlineLevel="1">
      <c r="A32" s="4128" t="s">
        <v>1034</v>
      </c>
      <c r="B32" s="4907"/>
      <c r="C32" s="4907"/>
      <c r="D32" s="4907"/>
      <c r="E32" s="4908"/>
      <c r="F32" s="4909"/>
      <c r="G32" s="4907"/>
      <c r="H32" s="4907"/>
      <c r="I32" s="4907"/>
      <c r="J32" s="4908"/>
      <c r="K32" s="4909"/>
      <c r="L32" s="4907"/>
      <c r="M32" s="4907"/>
      <c r="N32" s="4907"/>
      <c r="O32" s="4908"/>
      <c r="P32" s="4910"/>
      <c r="Q32" s="1118"/>
      <c r="R32" s="4907"/>
      <c r="S32" s="4907"/>
      <c r="T32" s="4908"/>
      <c r="U32" s="4909"/>
      <c r="V32" s="4911"/>
      <c r="W32" s="4907"/>
      <c r="X32" s="4907"/>
      <c r="Y32" s="4908"/>
      <c r="Z32" s="4909"/>
      <c r="AA32" s="4911"/>
      <c r="AB32" s="4907"/>
      <c r="AC32" s="4907"/>
      <c r="AD32" s="4908"/>
      <c r="AE32" s="4909"/>
      <c r="AF32" s="4911"/>
      <c r="AG32" s="4907"/>
      <c r="AH32" s="4907"/>
      <c r="AI32" s="4908"/>
      <c r="AJ32" s="4909"/>
      <c r="AK32" s="4907"/>
      <c r="AL32" s="4907"/>
      <c r="AM32" s="4907"/>
      <c r="AN32" s="4908"/>
      <c r="AO32" s="4909"/>
      <c r="AP32" s="4907"/>
      <c r="AQ32" s="4907"/>
      <c r="AR32" s="4907"/>
      <c r="AS32" s="4908"/>
      <c r="AT32" s="4909"/>
      <c r="AU32" s="4907"/>
      <c r="AV32" s="4907"/>
      <c r="AW32" s="4907"/>
      <c r="AX32" s="4908"/>
      <c r="AY32" s="4909"/>
      <c r="AZ32" s="4907"/>
      <c r="BA32" s="4907"/>
      <c r="BB32" s="4907"/>
      <c r="BC32" s="4907"/>
      <c r="BD32" s="4912"/>
      <c r="BE32" s="4913"/>
      <c r="BF32" s="4907"/>
      <c r="BG32" s="4907"/>
      <c r="BH32" s="4907"/>
      <c r="BI32" s="4912"/>
      <c r="BJ32" s="4907"/>
      <c r="BK32" s="4907"/>
      <c r="BL32" s="4907"/>
      <c r="BM32" s="4907"/>
      <c r="BN32" s="4912"/>
      <c r="BO32" s="4907"/>
      <c r="BP32" s="4907"/>
      <c r="BQ32" s="4907"/>
      <c r="BR32" s="4908"/>
      <c r="BS32" s="4909"/>
      <c r="BT32" s="4907"/>
      <c r="BU32" s="4907"/>
      <c r="BV32" s="4907"/>
      <c r="BW32" s="4907"/>
      <c r="BX32" s="4912"/>
      <c r="BY32" s="4907"/>
      <c r="BZ32" s="4907"/>
      <c r="CA32" s="4907"/>
      <c r="CB32" s="4907"/>
      <c r="CC32" s="4912"/>
      <c r="CD32" s="4907"/>
      <c r="CE32" s="4907"/>
      <c r="CF32" s="4907"/>
      <c r="CG32" s="4907"/>
      <c r="CH32" s="4914"/>
      <c r="CI32" s="4915"/>
      <c r="CJ32" s="4915"/>
      <c r="CK32" s="4915"/>
      <c r="CL32" s="4915"/>
      <c r="CM32" s="4914"/>
      <c r="CN32" s="4915"/>
      <c r="CO32" s="4915"/>
      <c r="CP32" s="4915"/>
      <c r="CQ32" s="4915"/>
      <c r="CR32" s="4914"/>
      <c r="CS32" s="4915"/>
      <c r="CT32" s="4915"/>
      <c r="CU32" s="4915"/>
      <c r="CV32" s="4915"/>
      <c r="CW32" s="4914"/>
      <c r="CX32" s="4915"/>
      <c r="CY32" s="4915"/>
      <c r="CZ32" s="4915"/>
      <c r="DA32" s="4915"/>
      <c r="DB32" s="4914"/>
      <c r="DC32" s="4915"/>
      <c r="DD32" s="4915"/>
      <c r="DE32" s="4915"/>
      <c r="DF32" s="4915"/>
      <c r="DG32" s="5705"/>
      <c r="DH32" s="3453"/>
      <c r="DI32" s="3453"/>
      <c r="DJ32" s="3453"/>
      <c r="DK32" s="3453"/>
      <c r="DL32" s="5705"/>
      <c r="DM32" s="3453">
        <f>(DM30-DK30)*10000</f>
        <v>34753.660637381574</v>
      </c>
      <c r="DN32" s="3453">
        <f>(DN30-DM30)*10000</f>
        <v>7631.6316316316343</v>
      </c>
      <c r="DO32" s="3453">
        <f>(DO30-DN30)*10000</f>
        <v>13439.113270573938</v>
      </c>
      <c r="DP32" s="3453">
        <f>(DP30-DO30)*10000</f>
        <v>4007.1084613620746</v>
      </c>
      <c r="DQ32" s="5705"/>
      <c r="DR32" s="3453">
        <f>(DR30-DP30)*10000</f>
        <v>130.90084518656118</v>
      </c>
      <c r="DS32" s="3453">
        <f>(DS30-DR30)*10000</f>
        <v>-14984.217171717171</v>
      </c>
      <c r="DT32" s="3453">
        <f>(DT30-DS30)*10000</f>
        <v>2043.2692307692334</v>
      </c>
      <c r="DU32" s="3453">
        <f>(DU30-DT30)*10000</f>
        <v>-9341.2664683383009</v>
      </c>
      <c r="DV32" s="5705"/>
      <c r="DW32" s="3453" t="s">
        <v>116</v>
      </c>
      <c r="DX32" s="3453">
        <f>(DX30-DW30)*10000</f>
        <v>-50400.965614696186</v>
      </c>
      <c r="DY32" s="3453">
        <f>(DY30-DX30)*10000</f>
        <v>10765.798150581353</v>
      </c>
      <c r="DZ32" s="3453">
        <f>(DZ30-DY30)*10000</f>
        <v>3877.9269170512707</v>
      </c>
      <c r="EA32" s="5705"/>
      <c r="EB32" s="3453">
        <f>(EB30-DZ30)*10000</f>
        <v>12199.791052114062</v>
      </c>
      <c r="EC32" s="3453">
        <f>(EC30-EB30)*10000</f>
        <v>14008.406432748539</v>
      </c>
      <c r="ED32" s="3453">
        <f>(ED30-EC30)*10000</f>
        <v>-11675.704412546515</v>
      </c>
      <c r="EE32" s="3453">
        <f>(EE30-ED30)*10000</f>
        <v>27066.555970665559</v>
      </c>
      <c r="EF32" s="5705"/>
      <c r="EG32" s="3453">
        <f>(EG30-EE30)*10000</f>
        <v>-7470.5963747059623</v>
      </c>
      <c r="EH32" s="3453">
        <f>(EH30-EG30)*10000</f>
        <v>-10462.432544624326</v>
      </c>
      <c r="EI32" s="3453">
        <f>(EI30-EH30)*10000</f>
        <v>2305.6065527467863</v>
      </c>
      <c r="EJ32" s="3453">
        <f>(EJ30-EI30)*10000</f>
        <v>-587.11340206185628</v>
      </c>
      <c r="EK32" s="5705"/>
      <c r="EL32" s="3453">
        <f>(EL30-EJ30)*10000</f>
        <v>2105.5555555555561</v>
      </c>
      <c r="EM32" s="3453">
        <f>(EM30-EL30)*10000</f>
        <v>-6160.3812928209709</v>
      </c>
      <c r="EN32" s="3453">
        <f>(EN30-EM30)*10000</f>
        <v>-8048.6626348276059</v>
      </c>
      <c r="EO32" s="3453">
        <f t="shared" ref="EO32" si="76">(EO30-EN30)*10000</f>
        <v>-1487.2053736404123</v>
      </c>
      <c r="EP32" s="5705"/>
      <c r="EQ32" s="3453">
        <f t="shared" ref="EQ32" si="77">(EQ30-EP30)*10000</f>
        <v>2229.1185089662235</v>
      </c>
      <c r="ER32" s="3453">
        <f t="shared" ref="ER32" si="78">(ER30-EQ30)*10000</f>
        <v>1506.423560154353</v>
      </c>
      <c r="ES32" s="3453">
        <f t="shared" ref="ES32" si="79">(ES30-ER30)*10000</f>
        <v>-1578.9734511717545</v>
      </c>
      <c r="ET32" s="3453">
        <f t="shared" ref="ET32" si="80">(ET30-ES30)*10000</f>
        <v>-1445.9195795796154</v>
      </c>
      <c r="EU32" s="5705"/>
      <c r="EV32" s="5705"/>
      <c r="EW32" s="5705"/>
      <c r="EX32" s="5705"/>
      <c r="EY32" s="5705"/>
      <c r="EZ32" s="170"/>
      <c r="FA32" s="1319"/>
      <c r="FB32" s="1319"/>
      <c r="FC32" s="511"/>
      <c r="FD32" s="511"/>
    </row>
    <row r="33" spans="1:160" s="4" customFormat="1" ht="11.25" customHeight="1" collapsed="1">
      <c r="A33" s="4857" t="s">
        <v>982</v>
      </c>
      <c r="B33" s="170"/>
      <c r="C33" s="170"/>
      <c r="D33" s="170"/>
      <c r="E33" s="286"/>
      <c r="F33" s="4858"/>
      <c r="G33" s="170"/>
      <c r="H33" s="170"/>
      <c r="I33" s="170"/>
      <c r="J33" s="286"/>
      <c r="K33" s="4858"/>
      <c r="L33" s="170"/>
      <c r="M33" s="170"/>
      <c r="N33" s="170"/>
      <c r="O33" s="286"/>
      <c r="P33" s="2657"/>
      <c r="Q33" s="2608"/>
      <c r="R33" s="170"/>
      <c r="S33" s="170"/>
      <c r="T33" s="286"/>
      <c r="U33" s="4858"/>
      <c r="V33" s="4859"/>
      <c r="W33" s="170"/>
      <c r="X33" s="170"/>
      <c r="Y33" s="286"/>
      <c r="Z33" s="4858"/>
      <c r="AA33" s="4859"/>
      <c r="AB33" s="170"/>
      <c r="AC33" s="170"/>
      <c r="AD33" s="286"/>
      <c r="AE33" s="4858"/>
      <c r="AF33" s="4859"/>
      <c r="AG33" s="170"/>
      <c r="AH33" s="170"/>
      <c r="AI33" s="286"/>
      <c r="AJ33" s="4858"/>
      <c r="AK33" s="170"/>
      <c r="AL33" s="170"/>
      <c r="AM33" s="170"/>
      <c r="AN33" s="286"/>
      <c r="AO33" s="4858"/>
      <c r="AP33" s="170"/>
      <c r="AQ33" s="170"/>
      <c r="AR33" s="170"/>
      <c r="AS33" s="286"/>
      <c r="AT33" s="4858"/>
      <c r="AU33" s="170"/>
      <c r="AV33" s="170"/>
      <c r="AW33" s="170"/>
      <c r="AX33" s="286"/>
      <c r="AY33" s="4858"/>
      <c r="AZ33" s="170"/>
      <c r="BA33" s="170"/>
      <c r="BB33" s="170"/>
      <c r="BC33" s="170"/>
      <c r="BD33" s="4860"/>
      <c r="BE33" s="4866"/>
      <c r="BF33" s="170"/>
      <c r="BG33" s="170"/>
      <c r="BH33" s="170"/>
      <c r="BI33" s="4860"/>
      <c r="BJ33" s="170"/>
      <c r="BK33" s="170"/>
      <c r="BL33" s="170"/>
      <c r="BM33" s="170"/>
      <c r="BN33" s="4860"/>
      <c r="BO33" s="170"/>
      <c r="BP33" s="170"/>
      <c r="BQ33" s="170"/>
      <c r="BR33" s="286"/>
      <c r="BS33" s="4858"/>
      <c r="BT33" s="170"/>
      <c r="BU33" s="170"/>
      <c r="BV33" s="170"/>
      <c r="BW33" s="170"/>
      <c r="BX33" s="4860"/>
      <c r="BY33" s="170"/>
      <c r="BZ33" s="170"/>
      <c r="CA33" s="170"/>
      <c r="CB33" s="170"/>
      <c r="CC33" s="4860"/>
      <c r="CD33" s="170"/>
      <c r="CE33" s="170"/>
      <c r="CF33" s="170"/>
      <c r="CG33" s="170"/>
      <c r="CH33" s="4860"/>
      <c r="CI33" s="170"/>
      <c r="CJ33" s="170"/>
      <c r="CK33" s="170"/>
      <c r="CL33" s="170"/>
      <c r="CM33" s="4860"/>
      <c r="CN33" s="170"/>
      <c r="CO33" s="170"/>
      <c r="CP33" s="170"/>
      <c r="CQ33" s="170"/>
      <c r="CR33" s="4860"/>
      <c r="CS33" s="170"/>
      <c r="CT33" s="170"/>
      <c r="CU33" s="170"/>
      <c r="CV33" s="170"/>
      <c r="CW33" s="4860"/>
      <c r="CX33" s="170"/>
      <c r="CY33" s="170"/>
      <c r="CZ33" s="170"/>
      <c r="DA33" s="170"/>
      <c r="DB33" s="4860"/>
      <c r="DC33" s="170"/>
      <c r="DD33" s="170"/>
      <c r="DE33" s="170"/>
      <c r="DF33" s="170"/>
      <c r="DG33" s="2958">
        <f>IFERROR(DG20/DG13,"NA")</f>
        <v>-5.7791680979980851E-2</v>
      </c>
      <c r="DH33" s="127"/>
      <c r="DI33" s="127"/>
      <c r="DJ33" s="127"/>
      <c r="DK33" s="127">
        <f t="shared" ref="DK33:DV33" si="81">IFERROR(DK20/DK13,"NA")</f>
        <v>-2.1747151383613675E-2</v>
      </c>
      <c r="DL33" s="2958">
        <f t="shared" si="81"/>
        <v>-3.2738775585856653E-2</v>
      </c>
      <c r="DM33" s="127">
        <f t="shared" si="81"/>
        <v>-1.7493136373575646E-2</v>
      </c>
      <c r="DN33" s="127">
        <f t="shared" si="81"/>
        <v>-1.6032587408935425E-2</v>
      </c>
      <c r="DO33" s="127">
        <f t="shared" si="81"/>
        <v>-2.0119983540164164E-2</v>
      </c>
      <c r="DP33" s="127">
        <f t="shared" si="81"/>
        <v>-1.8208021371577208E-2</v>
      </c>
      <c r="DQ33" s="2958">
        <f t="shared" si="81"/>
        <v>-1.8074038361447897E-2</v>
      </c>
      <c r="DR33" s="127">
        <f t="shared" si="81"/>
        <v>-1.7897819720143184E-2</v>
      </c>
      <c r="DS33" s="127">
        <f t="shared" si="81"/>
        <v>-1.6047188106011634E-2</v>
      </c>
      <c r="DT33" s="127">
        <f t="shared" si="81"/>
        <v>-1.5510304370527351E-2</v>
      </c>
      <c r="DU33" s="127">
        <f t="shared" si="81"/>
        <v>-2.3471622967142385E-2</v>
      </c>
      <c r="DV33" s="2958">
        <f t="shared" si="81"/>
        <v>-1.1974211778587703E-2</v>
      </c>
      <c r="DW33" s="127">
        <f t="shared" ref="DW33:EF33" si="82">IFERROR(DW20/DW13,"NA")</f>
        <v>-4.9697842995985947E-3</v>
      </c>
      <c r="DX33" s="127">
        <f t="shared" si="82"/>
        <v>-3.4297194518188995E-3</v>
      </c>
      <c r="DY33" s="127">
        <f t="shared" si="82"/>
        <v>-1.2012968216291323E-3</v>
      </c>
      <c r="DZ33" s="127">
        <f t="shared" si="82"/>
        <v>-8.402587839259415E-3</v>
      </c>
      <c r="EA33" s="2958">
        <f t="shared" si="82"/>
        <v>-4.5927675401999744E-3</v>
      </c>
      <c r="EB33" s="127">
        <f>IFERROR(EB20/EB13,"NA")</f>
        <v>-4.7114792153266367E-2</v>
      </c>
      <c r="EC33" s="127">
        <f>IFERROR(EC20/EC13,"NA")</f>
        <v>-1.605812020803174E-2</v>
      </c>
      <c r="ED33" s="127">
        <f>IFERROR(ED20/ED13,"NA")</f>
        <v>-2.1722973413479719E-2</v>
      </c>
      <c r="EE33" s="127">
        <f t="shared" si="82"/>
        <v>-3.5152357780095005E-2</v>
      </c>
      <c r="EF33" s="2958">
        <f t="shared" si="82"/>
        <v>-2.9883472026129333E-2</v>
      </c>
      <c r="EG33" s="127">
        <f>IFERROR(EG20/EG13,"NA")</f>
        <v>-2.8619674940091135E-2</v>
      </c>
      <c r="EH33" s="127">
        <f>IFERROR(EH20/EH13,"NA")</f>
        <v>-2.6987798258242667E-2</v>
      </c>
      <c r="EI33" s="127">
        <f>IFERROR(EI20/EI13,"NA")</f>
        <v>-3.586803824715639E-2</v>
      </c>
      <c r="EJ33" s="127">
        <f t="shared" ref="EJ33" si="83">IFERROR(EJ20/EJ13,"NA")</f>
        <v>-2.8848645678922764E-2</v>
      </c>
      <c r="EK33" s="2958">
        <f>IFERROR(EK20/EK13,"NA")</f>
        <v>-3.0115594055162877E-2</v>
      </c>
      <c r="EL33" s="127">
        <f>IFERROR(EL20/EL13,"NA")</f>
        <v>-3.3546113438393511E-2</v>
      </c>
      <c r="EM33" s="127">
        <f>IFERROR(EM20/EM13,"NA")</f>
        <v>-3.4969096113162151E-2</v>
      </c>
      <c r="EN33" s="127">
        <f>IFERROR(EN20/EN13,"NA")</f>
        <v>-4.364606335372169E-2</v>
      </c>
      <c r="EO33" s="127">
        <f t="shared" ref="EO33" si="84">IFERROR(EO20/EO13,"NA")</f>
        <v>-3.4799697307777239E-2</v>
      </c>
      <c r="EP33" s="2958">
        <f>IFERROR(EP20/EP13,"NA")</f>
        <v>-3.6814900662236208E-2</v>
      </c>
      <c r="EQ33" s="127">
        <f t="shared" ref="EQ33:ET33" si="85">IFERROR(EQ20/EQ13,"NA")</f>
        <v>-4.6350194946028087E-2</v>
      </c>
      <c r="ER33" s="127">
        <f t="shared" si="85"/>
        <v>-3.9698871581824974E-2</v>
      </c>
      <c r="ES33" s="127">
        <f t="shared" si="85"/>
        <v>-3.7777656990350392E-2</v>
      </c>
      <c r="ET33" s="127">
        <f t="shared" si="85"/>
        <v>-3.5577579719985458E-2</v>
      </c>
      <c r="EU33" s="2958">
        <f>IFERROR(EU20/EU13,"NA")</f>
        <v>-3.9573016395971092E-2</v>
      </c>
      <c r="EV33" s="2958">
        <f>IFERROR(EV20/EV13,"NA")</f>
        <v>-3.8800000000000001E-2</v>
      </c>
      <c r="EW33" s="2958">
        <f>IFERROR(EW20/EW13,"NA")</f>
        <v>-3.9E-2</v>
      </c>
      <c r="EX33" s="2958">
        <f>IFERROR(EX20/EX13,"NA")</f>
        <v>-3.9E-2</v>
      </c>
      <c r="EY33" s="2958">
        <f>IFERROR(EY20/EY13,"NA")</f>
        <v>-3.8800000000000001E-2</v>
      </c>
      <c r="EZ33" s="170"/>
      <c r="FA33" s="1319"/>
      <c r="FB33" s="1319"/>
      <c r="FC33" s="511"/>
    </row>
    <row r="34" spans="1:160" s="157" customFormat="1" ht="11.25" customHeight="1">
      <c r="A34" s="5933" t="str">
        <f>A21</f>
        <v>Total Income from Operations</v>
      </c>
      <c r="B34" s="5806"/>
      <c r="C34" s="5806"/>
      <c r="D34" s="5806"/>
      <c r="E34" s="5934"/>
      <c r="F34" s="5935"/>
      <c r="G34" s="5806"/>
      <c r="H34" s="5806"/>
      <c r="I34" s="5806"/>
      <c r="J34" s="5934"/>
      <c r="K34" s="5935"/>
      <c r="L34" s="5806"/>
      <c r="M34" s="5806"/>
      <c r="N34" s="5806"/>
      <c r="O34" s="5934"/>
      <c r="P34" s="5935"/>
      <c r="Q34" s="5806"/>
      <c r="R34" s="5806"/>
      <c r="S34" s="5806"/>
      <c r="T34" s="5934"/>
      <c r="U34" s="5935"/>
      <c r="V34" s="5807"/>
      <c r="W34" s="5806"/>
      <c r="X34" s="5806"/>
      <c r="Y34" s="5934"/>
      <c r="Z34" s="5935"/>
      <c r="AA34" s="5807"/>
      <c r="AB34" s="5806"/>
      <c r="AC34" s="5806"/>
      <c r="AD34" s="5934"/>
      <c r="AE34" s="5935"/>
      <c r="AF34" s="5807"/>
      <c r="AG34" s="5806"/>
      <c r="AH34" s="5806"/>
      <c r="AI34" s="5934"/>
      <c r="AJ34" s="5935"/>
      <c r="AK34" s="5806"/>
      <c r="AL34" s="5806"/>
      <c r="AM34" s="5806"/>
      <c r="AN34" s="5934"/>
      <c r="AO34" s="5935"/>
      <c r="AP34" s="5806"/>
      <c r="AQ34" s="5806"/>
      <c r="AR34" s="5806"/>
      <c r="AS34" s="5934"/>
      <c r="AT34" s="5935"/>
      <c r="AU34" s="5806"/>
      <c r="AV34" s="5806"/>
      <c r="AW34" s="5806"/>
      <c r="AX34" s="5934"/>
      <c r="AY34" s="5935"/>
      <c r="AZ34" s="5806"/>
      <c r="BA34" s="5806"/>
      <c r="BB34" s="5806"/>
      <c r="BC34" s="5806"/>
      <c r="BD34" s="5936"/>
      <c r="BE34" s="5937"/>
      <c r="BF34" s="5808"/>
      <c r="BG34" s="5808"/>
      <c r="BH34" s="5808"/>
      <c r="BI34" s="5936"/>
      <c r="BJ34" s="5808"/>
      <c r="BK34" s="5808"/>
      <c r="BL34" s="5808"/>
      <c r="BM34" s="5808"/>
      <c r="BN34" s="5936"/>
      <c r="BO34" s="5808"/>
      <c r="BP34" s="5808"/>
      <c r="BQ34" s="5808"/>
      <c r="BR34" s="5938"/>
      <c r="BS34" s="5939"/>
      <c r="BT34" s="5808"/>
      <c r="BU34" s="5808"/>
      <c r="BV34" s="5808"/>
      <c r="BW34" s="5808"/>
      <c r="BX34" s="5936"/>
      <c r="BY34" s="5808"/>
      <c r="BZ34" s="5808"/>
      <c r="CA34" s="5808"/>
      <c r="CB34" s="5808"/>
      <c r="CC34" s="5936"/>
      <c r="CD34" s="5808"/>
      <c r="CE34" s="5808"/>
      <c r="CF34" s="5808"/>
      <c r="CG34" s="5808"/>
      <c r="CH34" s="5936"/>
      <c r="CI34" s="5808"/>
      <c r="CJ34" s="5808"/>
      <c r="CK34" s="5808"/>
      <c r="CL34" s="5808"/>
      <c r="CM34" s="5936"/>
      <c r="CN34" s="5808"/>
      <c r="CO34" s="5808"/>
      <c r="CP34" s="5808"/>
      <c r="CQ34" s="5808"/>
      <c r="CR34" s="5936"/>
      <c r="CS34" s="5808"/>
      <c r="CT34" s="5808"/>
      <c r="CU34" s="5808"/>
      <c r="CV34" s="5808"/>
      <c r="CW34" s="5936"/>
      <c r="CX34" s="5808"/>
      <c r="CY34" s="5808"/>
      <c r="CZ34" s="5808"/>
      <c r="DA34" s="5808"/>
      <c r="DB34" s="5936"/>
      <c r="DC34" s="5808"/>
      <c r="DD34" s="5808"/>
      <c r="DE34" s="5808"/>
      <c r="DF34" s="5808"/>
      <c r="DG34" s="5940">
        <f t="shared" ref="DG34:DV34" si="86">IFERROR(DG21/DG13,"NA")</f>
        <v>0.20117089000796673</v>
      </c>
      <c r="DH34" s="5809">
        <f t="shared" si="86"/>
        <v>0.18184319876716476</v>
      </c>
      <c r="DI34" s="5809">
        <f t="shared" si="86"/>
        <v>0.23572308956450289</v>
      </c>
      <c r="DJ34" s="5809">
        <f t="shared" si="86"/>
        <v>0.22659818760957059</v>
      </c>
      <c r="DK34" s="5809">
        <f t="shared" si="86"/>
        <v>0.20110689093868692</v>
      </c>
      <c r="DL34" s="5940">
        <f t="shared" si="86"/>
        <v>0.21148915400631421</v>
      </c>
      <c r="DM34" s="5809">
        <f t="shared" si="86"/>
        <v>0.1938093734055735</v>
      </c>
      <c r="DN34" s="5809">
        <f t="shared" si="86"/>
        <v>0.1666710186176463</v>
      </c>
      <c r="DO34" s="5809">
        <f t="shared" si="86"/>
        <v>0.24284755159941956</v>
      </c>
      <c r="DP34" s="5809">
        <f t="shared" si="86"/>
        <v>0.27507118000632713</v>
      </c>
      <c r="DQ34" s="5940">
        <f t="shared" si="86"/>
        <v>0.22585151785763202</v>
      </c>
      <c r="DR34" s="5809">
        <f t="shared" si="86"/>
        <v>0.29715804317171057</v>
      </c>
      <c r="DS34" s="5809">
        <f t="shared" si="86"/>
        <v>0.312879767291532</v>
      </c>
      <c r="DT34" s="5809">
        <f t="shared" si="86"/>
        <v>0.32296753585798088</v>
      </c>
      <c r="DU34" s="5809">
        <f t="shared" si="86"/>
        <v>0.29054098904746101</v>
      </c>
      <c r="DV34" s="5940">
        <f t="shared" si="86"/>
        <v>0.3055228868524319</v>
      </c>
      <c r="DW34" s="5809">
        <f t="shared" ref="DW34:EF34" si="87">IFERROR(DW21/DW13,"NA")</f>
        <v>0.29545220626075192</v>
      </c>
      <c r="DX34" s="5809">
        <f t="shared" si="87"/>
        <v>0.279156202913109</v>
      </c>
      <c r="DY34" s="5809">
        <f t="shared" si="87"/>
        <v>0.24800266311584554</v>
      </c>
      <c r="DZ34" s="5809">
        <f t="shared" si="87"/>
        <v>0.23879654954765411</v>
      </c>
      <c r="EA34" s="5940">
        <f t="shared" si="87"/>
        <v>0.26461270842467011</v>
      </c>
      <c r="EB34" s="5809">
        <f>IFERROR(EB21/EB13,"NA")</f>
        <v>0.24954504420594092</v>
      </c>
      <c r="EC34" s="5809">
        <f>IFERROR(EC21/EC13,"NA")</f>
        <v>0.29271888906761029</v>
      </c>
      <c r="ED34" s="5809">
        <f>IFERROR(ED21/ED13,"NA")</f>
        <v>0.27829136948613303</v>
      </c>
      <c r="EE34" s="5809">
        <f t="shared" si="87"/>
        <v>0.27455683003128256</v>
      </c>
      <c r="EF34" s="5940">
        <f t="shared" si="87"/>
        <v>0.27421810445226646</v>
      </c>
      <c r="EG34" s="5809">
        <f>IFERROR(EG21/EG13,"NA")</f>
        <v>0.31626913669154072</v>
      </c>
      <c r="EH34" s="5809">
        <f>IFERROR(EH21/EH13,"NA")</f>
        <v>0.32362936914398999</v>
      </c>
      <c r="EI34" s="5809">
        <f>IFERROR(EI21/EI13,"NA")</f>
        <v>0.32311823084243441</v>
      </c>
      <c r="EJ34" s="5809">
        <f t="shared" ref="EJ34" si="88">IFERROR(EJ21/EJ13,"NA")</f>
        <v>0.32105650519856122</v>
      </c>
      <c r="EK34" s="5940">
        <f>IFERROR(EK21/EK13,"NA")</f>
        <v>0.32109777211457696</v>
      </c>
      <c r="EL34" s="5809">
        <f>IFERROR(EL21/EL13,"NA")</f>
        <v>0.33918478622248821</v>
      </c>
      <c r="EM34" s="5809">
        <f>IFERROR(EM21/EM13,"NA")</f>
        <v>0.32429377359273243</v>
      </c>
      <c r="EN34" s="5809">
        <f>IFERROR(EN21/EN13,"NA")</f>
        <v>0.30512184159615424</v>
      </c>
      <c r="EO34" s="5809">
        <f t="shared" ref="EO34" si="89">IFERROR(EO21/EO13,"NA")</f>
        <v>0.33265537501525272</v>
      </c>
      <c r="EP34" s="5940">
        <f>IFERROR(EP21/EP13,"NA")</f>
        <v>0.3250914327398432</v>
      </c>
      <c r="EQ34" s="5809">
        <f t="shared" ref="EQ34:ET34" si="90">IFERROR(EQ21/EQ13,"NA")</f>
        <v>0.34916096794340579</v>
      </c>
      <c r="ER34" s="5809">
        <f t="shared" si="90"/>
        <v>0.3456917622945303</v>
      </c>
      <c r="ES34" s="5809">
        <f t="shared" si="90"/>
        <v>0.33739258637631953</v>
      </c>
      <c r="ET34" s="5809">
        <f t="shared" si="90"/>
        <v>0.33404868718295222</v>
      </c>
      <c r="EU34" s="5940">
        <f>IFERROR(EU21/EU13,"NA")</f>
        <v>0.34112857535539648</v>
      </c>
      <c r="EV34" s="5940">
        <f>IFERROR(EV21/EV13,"NA")</f>
        <v>0.33668178936706633</v>
      </c>
      <c r="EW34" s="5940">
        <f>IFERROR(EW21/EW13,"NA")</f>
        <v>0.34224656200153802</v>
      </c>
      <c r="EX34" s="5940">
        <f>IFERROR(EX21/EX13,"NA")</f>
        <v>0.35028305406342797</v>
      </c>
      <c r="EY34" s="5940">
        <f>IFERROR(EY21/EY13,"NA")</f>
        <v>0.36083416695274023</v>
      </c>
      <c r="EZ34" s="619"/>
      <c r="FA34" s="4276"/>
      <c r="FB34" s="4276"/>
    </row>
    <row r="35" spans="1:160" s="4" customFormat="1" ht="11.25" hidden="1" customHeight="1" outlineLevel="1">
      <c r="A35" s="5706" t="s">
        <v>1033</v>
      </c>
      <c r="B35" s="4907"/>
      <c r="C35" s="4907"/>
      <c r="D35" s="4907"/>
      <c r="E35" s="4908"/>
      <c r="F35" s="4909"/>
      <c r="G35" s="4907"/>
      <c r="H35" s="4907"/>
      <c r="I35" s="4907"/>
      <c r="J35" s="4908"/>
      <c r="K35" s="4909"/>
      <c r="L35" s="4907"/>
      <c r="M35" s="4907"/>
      <c r="N35" s="4907"/>
      <c r="O35" s="4908"/>
      <c r="P35" s="4910"/>
      <c r="Q35" s="1118"/>
      <c r="R35" s="4907"/>
      <c r="S35" s="4907"/>
      <c r="T35" s="4908"/>
      <c r="U35" s="4909"/>
      <c r="V35" s="4911"/>
      <c r="W35" s="4907"/>
      <c r="X35" s="4907"/>
      <c r="Y35" s="4908"/>
      <c r="Z35" s="4909"/>
      <c r="AA35" s="4911"/>
      <c r="AB35" s="4907"/>
      <c r="AC35" s="4907"/>
      <c r="AD35" s="4908"/>
      <c r="AE35" s="4909"/>
      <c r="AF35" s="4911"/>
      <c r="AG35" s="4907"/>
      <c r="AH35" s="4907"/>
      <c r="AI35" s="4908"/>
      <c r="AJ35" s="4909"/>
      <c r="AK35" s="4907"/>
      <c r="AL35" s="4907"/>
      <c r="AM35" s="4907"/>
      <c r="AN35" s="4908"/>
      <c r="AO35" s="4909"/>
      <c r="AP35" s="4907"/>
      <c r="AQ35" s="4907"/>
      <c r="AR35" s="4907"/>
      <c r="AS35" s="4908"/>
      <c r="AT35" s="4909"/>
      <c r="AU35" s="4907"/>
      <c r="AV35" s="4907"/>
      <c r="AW35" s="4907"/>
      <c r="AX35" s="4908"/>
      <c r="AY35" s="4909"/>
      <c r="AZ35" s="4907"/>
      <c r="BA35" s="4907"/>
      <c r="BB35" s="4907"/>
      <c r="BC35" s="4907"/>
      <c r="BD35" s="4912"/>
      <c r="BE35" s="4913"/>
      <c r="BF35" s="4907"/>
      <c r="BG35" s="4907"/>
      <c r="BH35" s="4907"/>
      <c r="BI35" s="4912"/>
      <c r="BJ35" s="4907"/>
      <c r="BK35" s="4907"/>
      <c r="BL35" s="4907"/>
      <c r="BM35" s="4907"/>
      <c r="BN35" s="4912"/>
      <c r="BO35" s="4907"/>
      <c r="BP35" s="4907"/>
      <c r="BQ35" s="4907"/>
      <c r="BR35" s="4908"/>
      <c r="BS35" s="4909"/>
      <c r="BT35" s="4907"/>
      <c r="BU35" s="4907"/>
      <c r="BV35" s="4907"/>
      <c r="BW35" s="4907"/>
      <c r="BX35" s="4912"/>
      <c r="BY35" s="4907"/>
      <c r="BZ35" s="4907"/>
      <c r="CA35" s="4907"/>
      <c r="CB35" s="4907"/>
      <c r="CC35" s="4912"/>
      <c r="CD35" s="4907"/>
      <c r="CE35" s="4907"/>
      <c r="CF35" s="4907"/>
      <c r="CG35" s="4907"/>
      <c r="CH35" s="4914"/>
      <c r="CI35" s="4915"/>
      <c r="CJ35" s="4915"/>
      <c r="CK35" s="4915"/>
      <c r="CL35" s="4915"/>
      <c r="CM35" s="4914"/>
      <c r="CN35" s="4915"/>
      <c r="CO35" s="4915"/>
      <c r="CP35" s="4915"/>
      <c r="CQ35" s="4915"/>
      <c r="CR35" s="4914"/>
      <c r="CS35" s="4915"/>
      <c r="CT35" s="4915"/>
      <c r="CU35" s="4915"/>
      <c r="CV35" s="4915"/>
      <c r="CW35" s="4914"/>
      <c r="CX35" s="4915"/>
      <c r="CY35" s="4915"/>
      <c r="CZ35" s="4915"/>
      <c r="DA35" s="4915"/>
      <c r="DB35" s="4914"/>
      <c r="DC35" s="4915"/>
      <c r="DD35" s="4915"/>
      <c r="DE35" s="4915"/>
      <c r="DF35" s="4915"/>
      <c r="DG35" s="5705"/>
      <c r="DH35" s="3453"/>
      <c r="DI35" s="3453"/>
      <c r="DJ35" s="3453"/>
      <c r="DK35" s="3453"/>
      <c r="DL35" s="5705">
        <f t="shared" ref="DL35:EF35" si="91">(DL34-DG34)*10000</f>
        <v>103.18263998347483</v>
      </c>
      <c r="DM35" s="3453">
        <f t="shared" si="91"/>
        <v>119.66174638408738</v>
      </c>
      <c r="DN35" s="3453">
        <f t="shared" si="91"/>
        <v>-690.52070946856588</v>
      </c>
      <c r="DO35" s="3453">
        <f t="shared" si="91"/>
        <v>162.4936398984897</v>
      </c>
      <c r="DP35" s="3453">
        <f t="shared" si="91"/>
        <v>739.6428906764022</v>
      </c>
      <c r="DQ35" s="5705">
        <f t="shared" si="91"/>
        <v>143.62363851317812</v>
      </c>
      <c r="DR35" s="3453">
        <f t="shared" si="91"/>
        <v>1033.4866976613707</v>
      </c>
      <c r="DS35" s="3453">
        <f t="shared" si="91"/>
        <v>1462.087486738857</v>
      </c>
      <c r="DT35" s="3453">
        <f t="shared" si="91"/>
        <v>801.19984258561317</v>
      </c>
      <c r="DU35" s="3453">
        <f t="shared" si="91"/>
        <v>154.69809041133874</v>
      </c>
      <c r="DV35" s="5705">
        <f t="shared" si="91"/>
        <v>796.71368994799877</v>
      </c>
      <c r="DW35" s="3453">
        <f t="shared" si="91"/>
        <v>-17.058369109586579</v>
      </c>
      <c r="DX35" s="3453">
        <f t="shared" si="91"/>
        <v>-337.23564378422998</v>
      </c>
      <c r="DY35" s="3453">
        <f t="shared" si="91"/>
        <v>-749.64872742135344</v>
      </c>
      <c r="DZ35" s="3453">
        <f t="shared" si="91"/>
        <v>-517.4443949980689</v>
      </c>
      <c r="EA35" s="5705">
        <f t="shared" si="91"/>
        <v>-409.10178427761792</v>
      </c>
      <c r="EB35" s="3453">
        <f>(EB34-DW34)*10000</f>
        <v>-459.07162054810988</v>
      </c>
      <c r="EC35" s="3453">
        <f>(EC34-DX34)*10000</f>
        <v>135.6268615450129</v>
      </c>
      <c r="ED35" s="3453">
        <f t="shared" si="91"/>
        <v>302.88706370287491</v>
      </c>
      <c r="EE35" s="3453">
        <f t="shared" si="91"/>
        <v>357.60280483628446</v>
      </c>
      <c r="EF35" s="5705">
        <f t="shared" si="91"/>
        <v>96.053960275963576</v>
      </c>
      <c r="EG35" s="3453">
        <f>(EG34-EB34)*10000</f>
        <v>667.24092485599795</v>
      </c>
      <c r="EH35" s="3453">
        <f>(EH34-EC34)*10000</f>
        <v>309.10480076379696</v>
      </c>
      <c r="EI35" s="3453">
        <f t="shared" ref="EI35:EJ35" si="92">(EI34-ED34)*10000</f>
        <v>448.26861356301373</v>
      </c>
      <c r="EJ35" s="3453">
        <f t="shared" si="92"/>
        <v>464.99675167278656</v>
      </c>
      <c r="EK35" s="5705">
        <f>(EK34-EF34)*10000</f>
        <v>468.79667662310499</v>
      </c>
      <c r="EL35" s="3453">
        <f>(EL34-EG34)*10000</f>
        <v>229.15649530947491</v>
      </c>
      <c r="EM35" s="3453">
        <f>(EM34-EH34)*10000</f>
        <v>6.6440444874243942</v>
      </c>
      <c r="EN35" s="3453">
        <f t="shared" ref="EN35" si="93">(EN34-EI34)*10000</f>
        <v>-179.96389246280165</v>
      </c>
      <c r="EO35" s="3453">
        <f t="shared" ref="EO35" si="94">(EO34-EJ34)*10000</f>
        <v>115.98869816691504</v>
      </c>
      <c r="EP35" s="5705">
        <f>(EP34-EK34)*10000</f>
        <v>39.936606252662379</v>
      </c>
      <c r="EQ35" s="3453">
        <f t="shared" ref="EQ35" si="95">(EQ34-EL34)*10000</f>
        <v>99.76181720917576</v>
      </c>
      <c r="ER35" s="3453">
        <f t="shared" ref="ER35" si="96">(ER34-EM34)*10000</f>
        <v>213.97988701797877</v>
      </c>
      <c r="ES35" s="3453">
        <f t="shared" ref="ES35" si="97">(ES34-EN34)*10000</f>
        <v>322.70744780165285</v>
      </c>
      <c r="ET35" s="3453">
        <f t="shared" ref="ET35" si="98">(ET34-EO34)*10000</f>
        <v>13.933121676995007</v>
      </c>
      <c r="EU35" s="5705">
        <f>(EU34-EP34)*10000</f>
        <v>160.37142615553279</v>
      </c>
      <c r="EV35" s="5705">
        <f>(EV34-EU34)*10000</f>
        <v>-44.467859883301486</v>
      </c>
      <c r="EW35" s="5705">
        <f>(EW34-EV34)*10000</f>
        <v>55.647726344716929</v>
      </c>
      <c r="EX35" s="5705">
        <f>(EX34-EW34)*10000</f>
        <v>80.364920618899433</v>
      </c>
      <c r="EY35" s="5705">
        <f>(EY34-EX34)*10000</f>
        <v>105.51112889312265</v>
      </c>
      <c r="EZ35" s="170"/>
      <c r="FA35" s="1319"/>
      <c r="FB35" s="1319"/>
      <c r="FC35" s="511"/>
      <c r="FD35" s="511"/>
    </row>
    <row r="36" spans="1:160" s="4" customFormat="1" ht="11.25" hidden="1" customHeight="1" outlineLevel="1">
      <c r="A36" s="5706" t="s">
        <v>1034</v>
      </c>
      <c r="B36" s="4907"/>
      <c r="C36" s="4907"/>
      <c r="D36" s="4907"/>
      <c r="E36" s="4908"/>
      <c r="F36" s="4909"/>
      <c r="G36" s="4907"/>
      <c r="H36" s="4907"/>
      <c r="I36" s="4907"/>
      <c r="J36" s="4908"/>
      <c r="K36" s="4909"/>
      <c r="L36" s="4907"/>
      <c r="M36" s="4907"/>
      <c r="N36" s="4907"/>
      <c r="O36" s="4908"/>
      <c r="P36" s="4910"/>
      <c r="Q36" s="1118"/>
      <c r="R36" s="4907"/>
      <c r="S36" s="4907"/>
      <c r="T36" s="4908"/>
      <c r="U36" s="4909"/>
      <c r="V36" s="4911"/>
      <c r="W36" s="4907"/>
      <c r="X36" s="4907"/>
      <c r="Y36" s="4908"/>
      <c r="Z36" s="4909"/>
      <c r="AA36" s="4911"/>
      <c r="AB36" s="4907"/>
      <c r="AC36" s="4907"/>
      <c r="AD36" s="4908"/>
      <c r="AE36" s="4909"/>
      <c r="AF36" s="4911"/>
      <c r="AG36" s="4907"/>
      <c r="AH36" s="4907"/>
      <c r="AI36" s="4908"/>
      <c r="AJ36" s="4909"/>
      <c r="AK36" s="4907"/>
      <c r="AL36" s="4907"/>
      <c r="AM36" s="4907"/>
      <c r="AN36" s="4908"/>
      <c r="AO36" s="4909"/>
      <c r="AP36" s="4907"/>
      <c r="AQ36" s="4907"/>
      <c r="AR36" s="4907"/>
      <c r="AS36" s="4908"/>
      <c r="AT36" s="4909"/>
      <c r="AU36" s="4907"/>
      <c r="AV36" s="4907"/>
      <c r="AW36" s="4907"/>
      <c r="AX36" s="4908"/>
      <c r="AY36" s="4909"/>
      <c r="AZ36" s="4907"/>
      <c r="BA36" s="4907"/>
      <c r="BB36" s="4907"/>
      <c r="BC36" s="4907"/>
      <c r="BD36" s="4912"/>
      <c r="BE36" s="4913"/>
      <c r="BF36" s="4907"/>
      <c r="BG36" s="4907"/>
      <c r="BH36" s="4907"/>
      <c r="BI36" s="4912"/>
      <c r="BJ36" s="4907"/>
      <c r="BK36" s="4907"/>
      <c r="BL36" s="4907"/>
      <c r="BM36" s="4907"/>
      <c r="BN36" s="4912"/>
      <c r="BO36" s="4907"/>
      <c r="BP36" s="4907"/>
      <c r="BQ36" s="4907"/>
      <c r="BR36" s="4908"/>
      <c r="BS36" s="4909"/>
      <c r="BT36" s="4907"/>
      <c r="BU36" s="4907"/>
      <c r="BV36" s="4907"/>
      <c r="BW36" s="4907"/>
      <c r="BX36" s="4912"/>
      <c r="BY36" s="4907"/>
      <c r="BZ36" s="4907"/>
      <c r="CA36" s="4907"/>
      <c r="CB36" s="4907"/>
      <c r="CC36" s="4912"/>
      <c r="CD36" s="4907"/>
      <c r="CE36" s="4907"/>
      <c r="CF36" s="4907"/>
      <c r="CG36" s="4907"/>
      <c r="CH36" s="4914"/>
      <c r="CI36" s="4915"/>
      <c r="CJ36" s="4915"/>
      <c r="CK36" s="4915"/>
      <c r="CL36" s="4915"/>
      <c r="CM36" s="4914"/>
      <c r="CN36" s="4915"/>
      <c r="CO36" s="4915"/>
      <c r="CP36" s="4915"/>
      <c r="CQ36" s="4915"/>
      <c r="CR36" s="4914"/>
      <c r="CS36" s="4915"/>
      <c r="CT36" s="4915"/>
      <c r="CU36" s="4915"/>
      <c r="CV36" s="4915"/>
      <c r="CW36" s="4914"/>
      <c r="CX36" s="4915"/>
      <c r="CY36" s="4915"/>
      <c r="CZ36" s="4915"/>
      <c r="DA36" s="4915"/>
      <c r="DB36" s="4914"/>
      <c r="DC36" s="4915"/>
      <c r="DD36" s="4915"/>
      <c r="DE36" s="4915"/>
      <c r="DF36" s="4915"/>
      <c r="DG36" s="5705"/>
      <c r="DH36" s="3453"/>
      <c r="DI36" s="3453"/>
      <c r="DJ36" s="3453"/>
      <c r="DK36" s="3453"/>
      <c r="DL36" s="5705"/>
      <c r="DM36" s="3453">
        <f>(DM34-DK34)*10000</f>
        <v>-72.975175331134182</v>
      </c>
      <c r="DN36" s="3453">
        <f>(DN34-DM34)*10000</f>
        <v>-271.38354787927199</v>
      </c>
      <c r="DO36" s="3453">
        <f>(DO34-DN34)*10000</f>
        <v>761.76532981773266</v>
      </c>
      <c r="DP36" s="3453">
        <f>(DP34-DO34)*10000</f>
        <v>322.23628406907568</v>
      </c>
      <c r="DQ36" s="5705"/>
      <c r="DR36" s="3453">
        <f>(DR34-DP34)*10000</f>
        <v>220.86863165383443</v>
      </c>
      <c r="DS36" s="3453">
        <f>(DS34-DR34)*10000</f>
        <v>157.21724119821423</v>
      </c>
      <c r="DT36" s="3453">
        <f>(DT34-DS34)*10000</f>
        <v>100.87768566448885</v>
      </c>
      <c r="DU36" s="3453">
        <f>(DU34-DT34)*10000</f>
        <v>-324.26546810519875</v>
      </c>
      <c r="DV36" s="5705"/>
      <c r="DW36" s="3453">
        <f>(DW34-DU34)*10000</f>
        <v>49.11217213290908</v>
      </c>
      <c r="DX36" s="3453">
        <f>(DX34-DW34)*10000</f>
        <v>-162.96003347642917</v>
      </c>
      <c r="DY36" s="3453">
        <f>(DY34-DX34)*10000</f>
        <v>-311.5353979726346</v>
      </c>
      <c r="DZ36" s="3453">
        <f>(DZ34-DY34)*10000</f>
        <v>-92.061135681914266</v>
      </c>
      <c r="EA36" s="5705"/>
      <c r="EB36" s="3453">
        <f>(EB34-DZ34)*10000</f>
        <v>107.48494658286812</v>
      </c>
      <c r="EC36" s="3453">
        <f>(EC34-EB34)*10000</f>
        <v>431.73844861669363</v>
      </c>
      <c r="ED36" s="3453">
        <f>(ED34-EC34)*10000</f>
        <v>-144.27519581477256</v>
      </c>
      <c r="EE36" s="3453">
        <f>(EE34-ED34)*10000</f>
        <v>-37.345394548504714</v>
      </c>
      <c r="EF36" s="5705"/>
      <c r="EG36" s="3453">
        <f>(EG34-EE34)*10000</f>
        <v>417.12306660258156</v>
      </c>
      <c r="EH36" s="3453">
        <f>(EH34-EG34)*10000</f>
        <v>73.602324524492673</v>
      </c>
      <c r="EI36" s="3453">
        <f>(EI34-EH34)*10000</f>
        <v>-5.1113830155558038</v>
      </c>
      <c r="EJ36" s="3453">
        <f>(EJ34-EI34)*10000</f>
        <v>-20.617256438731914</v>
      </c>
      <c r="EK36" s="5705"/>
      <c r="EL36" s="3453">
        <f>(EL34-EJ34)*10000</f>
        <v>181.28281023926996</v>
      </c>
      <c r="EM36" s="3453">
        <f>(EM34-EL34)*10000</f>
        <v>-148.91012629755784</v>
      </c>
      <c r="EN36" s="3453">
        <f>(EN34-EM34)*10000</f>
        <v>-191.71931996578184</v>
      </c>
      <c r="EO36" s="3453">
        <f t="shared" ref="EO36" si="99">(EO34-EN34)*10000</f>
        <v>275.33533419098478</v>
      </c>
      <c r="EP36" s="5705"/>
      <c r="EQ36" s="3453">
        <f t="shared" ref="EQ36" si="100">(EQ34-EP34)*10000</f>
        <v>240.69535203562586</v>
      </c>
      <c r="ER36" s="3453">
        <f t="shared" ref="ER36" si="101">(ER34-EQ34)*10000</f>
        <v>-34.692056488754844</v>
      </c>
      <c r="ES36" s="3453">
        <f t="shared" ref="ES36" si="102">(ES34-ER34)*10000</f>
        <v>-82.991759182107771</v>
      </c>
      <c r="ET36" s="3453">
        <f t="shared" ref="ET36" si="103">(ET34-ES34)*10000</f>
        <v>-33.438991933673059</v>
      </c>
      <c r="EU36" s="5705"/>
      <c r="EV36" s="5705"/>
      <c r="EW36" s="5705"/>
      <c r="EX36" s="5705"/>
      <c r="EY36" s="5705"/>
      <c r="EZ36" s="170"/>
      <c r="FA36" s="1319"/>
      <c r="FB36" s="1319"/>
      <c r="FC36" s="511"/>
      <c r="FD36" s="511"/>
    </row>
    <row r="37" spans="1:160" s="4" customFormat="1" ht="11.25" hidden="1" customHeight="1" outlineLevel="1">
      <c r="A37" s="4953"/>
      <c r="B37" s="4943"/>
      <c r="C37" s="4943"/>
      <c r="D37" s="4943"/>
      <c r="E37" s="4944"/>
      <c r="F37" s="4945"/>
      <c r="G37" s="4943"/>
      <c r="H37" s="4943"/>
      <c r="I37" s="4943"/>
      <c r="J37" s="4944"/>
      <c r="K37" s="4945"/>
      <c r="L37" s="4943"/>
      <c r="M37" s="4943"/>
      <c r="N37" s="4943"/>
      <c r="O37" s="4944"/>
      <c r="P37" s="4946"/>
      <c r="Q37" s="4947"/>
      <c r="R37" s="4943"/>
      <c r="S37" s="4943"/>
      <c r="T37" s="4944"/>
      <c r="U37" s="4945"/>
      <c r="V37" s="4948"/>
      <c r="W37" s="4943"/>
      <c r="X37" s="4943"/>
      <c r="Y37" s="4944"/>
      <c r="Z37" s="4945"/>
      <c r="AA37" s="4948"/>
      <c r="AB37" s="4943"/>
      <c r="AC37" s="4943"/>
      <c r="AD37" s="4944"/>
      <c r="AE37" s="4945"/>
      <c r="AF37" s="4948"/>
      <c r="AG37" s="4943"/>
      <c r="AH37" s="4943"/>
      <c r="AI37" s="4944"/>
      <c r="AJ37" s="4945"/>
      <c r="AK37" s="4943"/>
      <c r="AL37" s="4943"/>
      <c r="AM37" s="4943"/>
      <c r="AN37" s="4944"/>
      <c r="AO37" s="4945"/>
      <c r="AP37" s="4943"/>
      <c r="AQ37" s="4943"/>
      <c r="AR37" s="4943"/>
      <c r="AS37" s="4944"/>
      <c r="AT37" s="4945"/>
      <c r="AU37" s="4943"/>
      <c r="AV37" s="4943"/>
      <c r="AW37" s="4943"/>
      <c r="AX37" s="4944"/>
      <c r="AY37" s="4945"/>
      <c r="AZ37" s="4943"/>
      <c r="BA37" s="4943"/>
      <c r="BB37" s="4943"/>
      <c r="BC37" s="4943"/>
      <c r="BD37" s="4949"/>
      <c r="BE37" s="4950"/>
      <c r="BF37" s="4943"/>
      <c r="BG37" s="4943"/>
      <c r="BH37" s="4943"/>
      <c r="BI37" s="4949"/>
      <c r="BJ37" s="4943"/>
      <c r="BK37" s="4943"/>
      <c r="BL37" s="4943"/>
      <c r="BM37" s="4943"/>
      <c r="BN37" s="4949"/>
      <c r="BO37" s="4943"/>
      <c r="BP37" s="4943"/>
      <c r="BQ37" s="4943"/>
      <c r="BR37" s="4944"/>
      <c r="BS37" s="4945"/>
      <c r="BT37" s="4943"/>
      <c r="BU37" s="4943"/>
      <c r="BV37" s="4943"/>
      <c r="BW37" s="4943"/>
      <c r="BX37" s="4949"/>
      <c r="BY37" s="4943"/>
      <c r="BZ37" s="4943"/>
      <c r="CA37" s="4943"/>
      <c r="CB37" s="4943"/>
      <c r="CC37" s="4949"/>
      <c r="CD37" s="4943"/>
      <c r="CE37" s="4943"/>
      <c r="CF37" s="4943"/>
      <c r="CG37" s="4943"/>
      <c r="CH37" s="4949"/>
      <c r="CI37" s="4943"/>
      <c r="CJ37" s="4943"/>
      <c r="CK37" s="4943"/>
      <c r="CL37" s="4943"/>
      <c r="CM37" s="4949"/>
      <c r="CN37" s="4943"/>
      <c r="CO37" s="4943"/>
      <c r="CP37" s="4943"/>
      <c r="CQ37" s="4943"/>
      <c r="CR37" s="4949"/>
      <c r="CS37" s="4943"/>
      <c r="CT37" s="4943"/>
      <c r="CU37" s="4943"/>
      <c r="CV37" s="4943"/>
      <c r="CW37" s="4949"/>
      <c r="CX37" s="4943"/>
      <c r="CY37" s="4943"/>
      <c r="CZ37" s="4943"/>
      <c r="DA37" s="4943"/>
      <c r="DB37" s="4949"/>
      <c r="DC37" s="4943"/>
      <c r="DD37" s="4943"/>
      <c r="DE37" s="4943"/>
      <c r="DF37" s="4943"/>
      <c r="DG37" s="4951"/>
      <c r="DH37" s="4952"/>
      <c r="DI37" s="4952"/>
      <c r="DJ37" s="4952"/>
      <c r="DK37" s="4952"/>
      <c r="DL37" s="4951"/>
      <c r="DM37" s="4952"/>
      <c r="DN37" s="4952"/>
      <c r="DO37" s="4952"/>
      <c r="DP37" s="4952"/>
      <c r="DQ37" s="4951"/>
      <c r="DR37" s="4952"/>
      <c r="DS37" s="4952"/>
      <c r="DT37" s="4952"/>
      <c r="DU37" s="4952"/>
      <c r="DV37" s="4951"/>
      <c r="DW37" s="4952"/>
      <c r="DX37" s="4952"/>
      <c r="DY37" s="4952"/>
      <c r="DZ37" s="4952"/>
      <c r="EA37" s="4951"/>
      <c r="EB37" s="4952"/>
      <c r="EC37" s="4952"/>
      <c r="ED37" s="4952"/>
      <c r="EE37" s="4952"/>
      <c r="EF37" s="4951"/>
      <c r="EG37" s="4952"/>
      <c r="EH37" s="4952"/>
      <c r="EI37" s="4952"/>
      <c r="EJ37" s="4952"/>
      <c r="EK37" s="4951"/>
      <c r="EL37" s="4952"/>
      <c r="EM37" s="4952"/>
      <c r="EN37" s="4952"/>
      <c r="EO37" s="4952"/>
      <c r="EP37" s="4951"/>
      <c r="EQ37" s="4952"/>
      <c r="ER37" s="4952"/>
      <c r="ES37" s="4952"/>
      <c r="ET37" s="4952"/>
      <c r="EU37" s="4951"/>
      <c r="EV37" s="4951"/>
      <c r="EW37" s="4951"/>
      <c r="EX37" s="4951"/>
      <c r="EY37" s="4951"/>
      <c r="EZ37" s="170"/>
      <c r="FA37" s="1319"/>
      <c r="FB37" s="1319"/>
      <c r="FC37" s="511"/>
    </row>
    <row r="38" spans="1:160" s="535" customFormat="1" collapsed="1">
      <c r="A38" s="4886" t="s">
        <v>977</v>
      </c>
      <c r="B38" s="4887"/>
      <c r="C38" s="4887"/>
      <c r="D38" s="4887"/>
      <c r="E38" s="4887"/>
      <c r="F38" s="4887"/>
      <c r="G38" s="4887"/>
      <c r="H38" s="4887"/>
      <c r="I38" s="4887"/>
      <c r="J38" s="4887"/>
      <c r="K38" s="4887"/>
      <c r="L38" s="4887"/>
      <c r="M38" s="4887"/>
      <c r="N38" s="4887"/>
      <c r="O38" s="4887"/>
      <c r="P38" s="4887"/>
      <c r="Q38" s="4887"/>
      <c r="R38" s="4887"/>
      <c r="S38" s="4887"/>
      <c r="T38" s="4887"/>
      <c r="U38" s="4887"/>
      <c r="V38" s="4887"/>
      <c r="W38" s="4887"/>
      <c r="X38" s="4887"/>
      <c r="Y38" s="4887"/>
      <c r="Z38" s="4887"/>
      <c r="AA38" s="4887"/>
      <c r="AB38" s="4887"/>
      <c r="AC38" s="4887"/>
      <c r="AD38" s="4887"/>
      <c r="AE38" s="4887"/>
      <c r="AF38" s="4887"/>
      <c r="AG38" s="4887"/>
      <c r="AH38" s="4887"/>
      <c r="AI38" s="4887"/>
      <c r="AJ38" s="4887"/>
      <c r="AK38" s="4887"/>
      <c r="AL38" s="4887"/>
      <c r="AM38" s="4887"/>
      <c r="AN38" s="4887"/>
      <c r="AO38" s="4887"/>
      <c r="AP38" s="4887"/>
      <c r="AQ38" s="4887"/>
      <c r="AR38" s="4887"/>
      <c r="AS38" s="4887"/>
      <c r="AT38" s="4887"/>
      <c r="AU38" s="4887"/>
      <c r="AV38" s="4887"/>
      <c r="AW38" s="4887"/>
      <c r="AX38" s="4887"/>
      <c r="AY38" s="4887"/>
      <c r="AZ38" s="4887"/>
      <c r="BA38" s="4887"/>
      <c r="BB38" s="4887"/>
      <c r="BC38" s="4887"/>
      <c r="BD38" s="4887"/>
      <c r="BE38" s="4887"/>
      <c r="BF38" s="4887"/>
      <c r="BG38" s="4887"/>
      <c r="BH38" s="4887"/>
      <c r="BI38" s="4887"/>
      <c r="BJ38" s="4887"/>
      <c r="BK38" s="4887"/>
      <c r="BL38" s="4887"/>
      <c r="BM38" s="4887"/>
      <c r="BN38" s="4887"/>
      <c r="BO38" s="4887"/>
      <c r="BP38" s="4887"/>
      <c r="BQ38" s="4887"/>
      <c r="BR38" s="4887"/>
      <c r="BS38" s="4887"/>
      <c r="BT38" s="4887"/>
      <c r="BU38" s="4887"/>
      <c r="BV38" s="4887"/>
      <c r="BW38" s="4887"/>
      <c r="BX38" s="4887"/>
      <c r="BY38" s="4887"/>
      <c r="BZ38" s="4887"/>
      <c r="CA38" s="4887"/>
      <c r="CB38" s="4887"/>
      <c r="CC38" s="4887"/>
      <c r="CD38" s="4887"/>
      <c r="CE38" s="4887"/>
      <c r="CF38" s="4887"/>
      <c r="CG38" s="4887"/>
      <c r="CH38" s="4888"/>
      <c r="CI38" s="4889"/>
      <c r="CJ38" s="4889"/>
      <c r="CK38" s="4889"/>
      <c r="CL38" s="4889"/>
      <c r="CM38" s="4888"/>
      <c r="CN38" s="4889"/>
      <c r="CO38" s="4889"/>
      <c r="CP38" s="4889"/>
      <c r="CQ38" s="4889"/>
      <c r="CR38" s="4888"/>
      <c r="CS38" s="4889"/>
      <c r="CT38" s="4889"/>
      <c r="CU38" s="4889"/>
      <c r="CV38" s="4889"/>
      <c r="CW38" s="4888"/>
      <c r="CX38" s="4889"/>
      <c r="CY38" s="4889"/>
      <c r="CZ38" s="4889"/>
      <c r="DA38" s="4889"/>
      <c r="DB38" s="4888"/>
      <c r="DC38" s="4889"/>
      <c r="DD38" s="4889"/>
      <c r="DE38" s="4889"/>
      <c r="DF38" s="4889"/>
      <c r="DG38" s="4888"/>
      <c r="DH38" s="4889"/>
      <c r="DI38" s="4889"/>
      <c r="DJ38" s="4889"/>
      <c r="DK38" s="4889"/>
      <c r="DL38" s="4888"/>
      <c r="DM38" s="4889"/>
      <c r="DN38" s="4889"/>
      <c r="DO38" s="4889"/>
      <c r="DP38" s="4889"/>
      <c r="DQ38" s="4888"/>
      <c r="DR38" s="4889"/>
      <c r="DS38" s="4889"/>
      <c r="DT38" s="4889"/>
      <c r="DU38" s="4889"/>
      <c r="DV38" s="4888"/>
      <c r="DW38" s="4889"/>
      <c r="DX38" s="4889"/>
      <c r="DY38" s="4889"/>
      <c r="DZ38" s="4889"/>
      <c r="EA38" s="4888"/>
      <c r="EB38" s="4889"/>
      <c r="EC38" s="4889"/>
      <c r="ED38" s="4889"/>
      <c r="EE38" s="4889"/>
      <c r="EF38" s="4888"/>
      <c r="EG38" s="4889"/>
      <c r="EH38" s="4889"/>
      <c r="EI38" s="4889"/>
      <c r="EJ38" s="4889"/>
      <c r="EK38" s="4888"/>
      <c r="EL38" s="4889"/>
      <c r="EM38" s="4889"/>
      <c r="EN38" s="4889"/>
      <c r="EO38" s="4889"/>
      <c r="EP38" s="4888"/>
      <c r="EQ38" s="4889"/>
      <c r="ER38" s="4889"/>
      <c r="ES38" s="4889"/>
      <c r="ET38" s="4889"/>
      <c r="EU38" s="4888"/>
      <c r="EV38" s="4888"/>
      <c r="EW38" s="4888"/>
      <c r="EX38" s="4888"/>
      <c r="EY38" s="4888"/>
      <c r="EZ38" s="2586"/>
      <c r="FA38" s="1319"/>
      <c r="FB38" s="1319"/>
    </row>
    <row r="39" spans="1:160" s="2586" customFormat="1">
      <c r="A39" s="4997" t="s">
        <v>978</v>
      </c>
      <c r="B39" s="4998"/>
      <c r="C39" s="4998"/>
      <c r="D39" s="4998"/>
      <c r="E39" s="4998"/>
      <c r="F39" s="4998"/>
      <c r="G39" s="4998"/>
      <c r="H39" s="4998"/>
      <c r="I39" s="4998"/>
      <c r="J39" s="4998"/>
      <c r="K39" s="4998"/>
      <c r="L39" s="4998"/>
      <c r="M39" s="4998"/>
      <c r="N39" s="4998"/>
      <c r="O39" s="4998"/>
      <c r="P39" s="4998"/>
      <c r="Q39" s="4998"/>
      <c r="R39" s="4998"/>
      <c r="S39" s="4998"/>
      <c r="T39" s="4998"/>
      <c r="U39" s="4998"/>
      <c r="V39" s="4998"/>
      <c r="W39" s="4998"/>
      <c r="X39" s="4998"/>
      <c r="Y39" s="4998"/>
      <c r="Z39" s="4998"/>
      <c r="AA39" s="4998"/>
      <c r="AB39" s="4998"/>
      <c r="AC39" s="4998"/>
      <c r="AD39" s="4998"/>
      <c r="AE39" s="4998"/>
      <c r="AF39" s="4998"/>
      <c r="AG39" s="4998"/>
      <c r="AH39" s="4998"/>
      <c r="AI39" s="4998"/>
      <c r="AJ39" s="4998"/>
      <c r="AK39" s="4998"/>
      <c r="AL39" s="4998"/>
      <c r="AM39" s="4998"/>
      <c r="AN39" s="4998"/>
      <c r="AO39" s="4998"/>
      <c r="AP39" s="4998"/>
      <c r="AQ39" s="4998"/>
      <c r="AR39" s="4998"/>
      <c r="AS39" s="4998"/>
      <c r="AT39" s="4998"/>
      <c r="AU39" s="4998"/>
      <c r="AV39" s="4998"/>
      <c r="AW39" s="4998"/>
      <c r="AX39" s="4998"/>
      <c r="AY39" s="4998"/>
      <c r="AZ39" s="4998"/>
      <c r="BA39" s="4998"/>
      <c r="BB39" s="4998"/>
      <c r="BC39" s="4998"/>
      <c r="BD39" s="4998"/>
      <c r="BE39" s="4998"/>
      <c r="BF39" s="4998"/>
      <c r="BG39" s="4998"/>
      <c r="BH39" s="4998"/>
      <c r="BI39" s="4998"/>
      <c r="BJ39" s="4998"/>
      <c r="BK39" s="4998"/>
      <c r="BL39" s="4998"/>
      <c r="BM39" s="4998"/>
      <c r="BN39" s="4998"/>
      <c r="BO39" s="4998"/>
      <c r="BP39" s="4998"/>
      <c r="BQ39" s="4998"/>
      <c r="BR39" s="4998"/>
      <c r="BS39" s="4998"/>
      <c r="BT39" s="4998"/>
      <c r="BU39" s="4998"/>
      <c r="BV39" s="4998"/>
      <c r="BW39" s="4998"/>
      <c r="BX39" s="4998"/>
      <c r="BY39" s="4998"/>
      <c r="BZ39" s="4998"/>
      <c r="CA39" s="4998"/>
      <c r="CB39" s="4998"/>
      <c r="CC39" s="4998"/>
      <c r="CD39" s="4998"/>
      <c r="CE39" s="4998"/>
      <c r="CF39" s="4998"/>
      <c r="CG39" s="4998"/>
      <c r="CH39" s="4999"/>
      <c r="CI39" s="5000"/>
      <c r="CJ39" s="5000"/>
      <c r="CK39" s="5000"/>
      <c r="CL39" s="5000"/>
      <c r="CM39" s="4999"/>
      <c r="CN39" s="5000"/>
      <c r="CO39" s="5000"/>
      <c r="CP39" s="5000"/>
      <c r="CQ39" s="5000"/>
      <c r="CR39" s="4999"/>
      <c r="CS39" s="5000"/>
      <c r="CT39" s="5000"/>
      <c r="CU39" s="5000"/>
      <c r="CV39" s="5000"/>
      <c r="CW39" s="4999"/>
      <c r="CX39" s="5000"/>
      <c r="CY39" s="5000"/>
      <c r="CZ39" s="5000"/>
      <c r="DA39" s="5000"/>
      <c r="DB39" s="4999"/>
      <c r="DC39" s="5000"/>
      <c r="DD39" s="5000"/>
      <c r="DE39" s="5000"/>
      <c r="DF39" s="5000"/>
      <c r="DG39" s="4999"/>
      <c r="DH39" s="5000"/>
      <c r="DI39" s="5000"/>
      <c r="DJ39" s="5000"/>
      <c r="DK39" s="5000"/>
      <c r="DL39" s="4999"/>
      <c r="DM39" s="5000"/>
      <c r="DN39" s="5000"/>
      <c r="DO39" s="5000"/>
      <c r="DP39" s="5000"/>
      <c r="DQ39" s="4999"/>
      <c r="DR39" s="5000"/>
      <c r="DS39" s="5000"/>
      <c r="DT39" s="5000"/>
      <c r="DU39" s="5000"/>
      <c r="DV39" s="4999"/>
      <c r="DW39" s="5000"/>
      <c r="DX39" s="5000"/>
      <c r="DY39" s="5000"/>
      <c r="DZ39" s="5000"/>
      <c r="EA39" s="4999"/>
      <c r="EB39" s="5000"/>
      <c r="EC39" s="5000"/>
      <c r="ED39" s="5000"/>
      <c r="EE39" s="5000"/>
      <c r="EF39" s="4999"/>
      <c r="EG39" s="5000"/>
      <c r="EH39" s="5000"/>
      <c r="EI39" s="5000"/>
      <c r="EJ39" s="5000"/>
      <c r="EK39" s="4999"/>
      <c r="EL39" s="5000"/>
      <c r="EM39" s="5000"/>
      <c r="EN39" s="5000"/>
      <c r="EO39" s="5000"/>
      <c r="EP39" s="4999"/>
      <c r="EQ39" s="5000"/>
      <c r="ER39" s="5000"/>
      <c r="ES39" s="5000"/>
      <c r="ET39" s="5000"/>
      <c r="EU39" s="4999"/>
      <c r="EV39" s="4999"/>
      <c r="EW39" s="4999"/>
      <c r="EX39" s="4999"/>
      <c r="EY39" s="4999"/>
      <c r="FA39" s="1319"/>
      <c r="FB39" s="1319"/>
    </row>
    <row r="40" spans="1:160" s="4" customFormat="1" ht="11.25" customHeight="1">
      <c r="A40" s="4927" t="s">
        <v>312</v>
      </c>
      <c r="B40" s="4928"/>
      <c r="C40" s="4928"/>
      <c r="D40" s="4928"/>
      <c r="E40" s="4929"/>
      <c r="F40" s="4930"/>
      <c r="G40" s="4928"/>
      <c r="H40" s="4928"/>
      <c r="I40" s="4928"/>
      <c r="J40" s="4929"/>
      <c r="K40" s="4930"/>
      <c r="L40" s="4928"/>
      <c r="M40" s="4928"/>
      <c r="N40" s="4928"/>
      <c r="O40" s="4929"/>
      <c r="P40" s="4931"/>
      <c r="Q40" s="4085"/>
      <c r="R40" s="4928"/>
      <c r="S40" s="4928"/>
      <c r="T40" s="4929"/>
      <c r="U40" s="4930"/>
      <c r="V40" s="4932"/>
      <c r="W40" s="4928"/>
      <c r="X40" s="4928"/>
      <c r="Y40" s="4929"/>
      <c r="Z40" s="4930"/>
      <c r="AA40" s="4932"/>
      <c r="AB40" s="4928"/>
      <c r="AC40" s="4928"/>
      <c r="AD40" s="4929"/>
      <c r="AE40" s="4930"/>
      <c r="AF40" s="4932"/>
      <c r="AG40" s="4928"/>
      <c r="AH40" s="4928"/>
      <c r="AI40" s="4929"/>
      <c r="AJ40" s="4930"/>
      <c r="AK40" s="4928"/>
      <c r="AL40" s="4928"/>
      <c r="AM40" s="4928"/>
      <c r="AN40" s="4929"/>
      <c r="AO40" s="4930"/>
      <c r="AP40" s="4928"/>
      <c r="AQ40" s="4928"/>
      <c r="AR40" s="4928"/>
      <c r="AS40" s="4929"/>
      <c r="AT40" s="4930"/>
      <c r="AU40" s="4928"/>
      <c r="AV40" s="4928"/>
      <c r="AW40" s="4928"/>
      <c r="AX40" s="4929"/>
      <c r="AY40" s="4930"/>
      <c r="AZ40" s="4928"/>
      <c r="BA40" s="4928"/>
      <c r="BB40" s="4928"/>
      <c r="BC40" s="4928"/>
      <c r="BD40" s="4933"/>
      <c r="BE40" s="4934"/>
      <c r="BF40" s="4928"/>
      <c r="BG40" s="4928"/>
      <c r="BH40" s="4928"/>
      <c r="BI40" s="4933"/>
      <c r="BJ40" s="4928"/>
      <c r="BK40" s="4928"/>
      <c r="BL40" s="4928"/>
      <c r="BM40" s="4928"/>
      <c r="BN40" s="4933"/>
      <c r="BO40" s="4928"/>
      <c r="BP40" s="4928"/>
      <c r="BQ40" s="4928"/>
      <c r="BR40" s="4929"/>
      <c r="BS40" s="4930"/>
      <c r="BT40" s="4928"/>
      <c r="BU40" s="4928"/>
      <c r="BV40" s="4928"/>
      <c r="BW40" s="4928"/>
      <c r="BX40" s="4933"/>
      <c r="BY40" s="4928"/>
      <c r="BZ40" s="4928"/>
      <c r="CA40" s="4928"/>
      <c r="CB40" s="4928"/>
      <c r="CC40" s="4933"/>
      <c r="CD40" s="4928"/>
      <c r="CE40" s="4928"/>
      <c r="CF40" s="4928"/>
      <c r="CG40" s="4928"/>
      <c r="CH40" s="4933"/>
      <c r="CI40" s="4928"/>
      <c r="CJ40" s="4928"/>
      <c r="CK40" s="4928"/>
      <c r="CL40" s="4928"/>
      <c r="CM40" s="4933"/>
      <c r="CN40" s="4928"/>
      <c r="CO40" s="4928"/>
      <c r="CP40" s="4928"/>
      <c r="CQ40" s="4928"/>
      <c r="CR40" s="4933"/>
      <c r="CS40" s="4928"/>
      <c r="CT40" s="4928"/>
      <c r="CU40" s="4928"/>
      <c r="CV40" s="4928"/>
      <c r="CW40" s="4933"/>
      <c r="CX40" s="4928"/>
      <c r="CY40" s="4928"/>
      <c r="CZ40" s="4928"/>
      <c r="DA40" s="4928"/>
      <c r="DB40" s="4933"/>
      <c r="DC40" s="4928"/>
      <c r="DD40" s="4928"/>
      <c r="DE40" s="4928"/>
      <c r="DF40" s="4928"/>
      <c r="DG40" s="4935">
        <f>DG9</f>
        <v>130524</v>
      </c>
      <c r="DH40" s="4936"/>
      <c r="DI40" s="4936"/>
      <c r="DJ40" s="4936"/>
      <c r="DK40" s="4936">
        <f t="shared" ref="DK40:EV40" si="104">DK9</f>
        <v>43198</v>
      </c>
      <c r="DL40" s="4935">
        <f t="shared" si="104"/>
        <v>151825</v>
      </c>
      <c r="DM40" s="4936">
        <f t="shared" si="104"/>
        <v>38198</v>
      </c>
      <c r="DN40" s="4936">
        <f t="shared" si="104"/>
        <v>34991</v>
      </c>
      <c r="DO40" s="4936">
        <f t="shared" si="104"/>
        <v>42573</v>
      </c>
      <c r="DP40" s="4936">
        <f t="shared" si="104"/>
        <v>52873</v>
      </c>
      <c r="DQ40" s="4935">
        <f t="shared" si="104"/>
        <v>168635</v>
      </c>
      <c r="DR40" s="4936">
        <f t="shared" si="104"/>
        <v>51178</v>
      </c>
      <c r="DS40" s="4936">
        <f t="shared" si="104"/>
        <v>57067</v>
      </c>
      <c r="DT40" s="4936">
        <f t="shared" si="104"/>
        <v>59884</v>
      </c>
      <c r="DU40" s="4936">
        <f t="shared" si="104"/>
        <v>69400</v>
      </c>
      <c r="DV40" s="4935">
        <f t="shared" si="104"/>
        <v>237529</v>
      </c>
      <c r="DW40" s="4936">
        <f t="shared" si="104"/>
        <v>61472</v>
      </c>
      <c r="DX40" s="4936">
        <f t="shared" si="104"/>
        <v>62841</v>
      </c>
      <c r="DY40" s="4936">
        <f t="shared" si="104"/>
        <v>61377</v>
      </c>
      <c r="DZ40" s="4936">
        <f t="shared" si="104"/>
        <v>67838</v>
      </c>
      <c r="EA40" s="4935">
        <f t="shared" si="104"/>
        <v>253528</v>
      </c>
      <c r="EB40" s="4936">
        <f>EB9</f>
        <v>61961</v>
      </c>
      <c r="EC40" s="4936">
        <f>EC9</f>
        <v>66285</v>
      </c>
      <c r="ED40" s="4936">
        <f>ED9</f>
        <v>67986</v>
      </c>
      <c r="EE40" s="4936">
        <f t="shared" ref="EE40" si="105">EE9</f>
        <v>76311</v>
      </c>
      <c r="EF40" s="4935">
        <f t="shared" si="104"/>
        <v>272543</v>
      </c>
      <c r="EG40" s="4936">
        <f>EG9</f>
        <v>70398</v>
      </c>
      <c r="EH40" s="4936">
        <f>EH9</f>
        <v>73928</v>
      </c>
      <c r="EI40" s="4936">
        <f>EI9</f>
        <v>76510</v>
      </c>
      <c r="EJ40" s="4936">
        <f t="shared" ref="EJ40" si="106">EJ9</f>
        <v>84094</v>
      </c>
      <c r="EK40" s="4935">
        <f>EK9</f>
        <v>304930</v>
      </c>
      <c r="EL40" s="4936">
        <f>EL9</f>
        <v>77264</v>
      </c>
      <c r="EM40" s="4936">
        <f>EM9</f>
        <v>82543</v>
      </c>
      <c r="EN40" s="4936">
        <f>EN9</f>
        <v>87052</v>
      </c>
      <c r="EO40" s="4936">
        <f t="shared" ref="EO40" si="107">EO9</f>
        <v>95555.366202239675</v>
      </c>
      <c r="EP40" s="4935">
        <f>EP9</f>
        <v>342414.36620223965</v>
      </c>
      <c r="EQ40" s="4936">
        <f t="shared" ref="EQ40:ET40" si="108">EQ9</f>
        <v>88880.896874787693</v>
      </c>
      <c r="ER40" s="4936">
        <f t="shared" si="108"/>
        <v>92871.007608047861</v>
      </c>
      <c r="ES40" s="4936">
        <f t="shared" si="108"/>
        <v>96617.613211321688</v>
      </c>
      <c r="ET40" s="4936">
        <f t="shared" si="108"/>
        <v>106063.6653918759</v>
      </c>
      <c r="EU40" s="4935">
        <f>EU9</f>
        <v>384433.1830860331</v>
      </c>
      <c r="EV40" s="4935">
        <f t="shared" si="104"/>
        <v>421240.41935221193</v>
      </c>
      <c r="EW40" s="4935">
        <f>EW9</f>
        <v>457540.79143547313</v>
      </c>
      <c r="EX40" s="4935">
        <f>EX9</f>
        <v>493095.40909181454</v>
      </c>
      <c r="EY40" s="4935">
        <f>EY9</f>
        <v>528676.60277234321</v>
      </c>
      <c r="EZ40" s="170"/>
      <c r="FA40" s="1319">
        <f t="shared" ref="FA40:FA44" si="109">IF(AND(EV40&gt;0,EK40&gt;0),(EV40/EK40)^(1/3)-1,"NA")</f>
        <v>0.11372156133305156</v>
      </c>
      <c r="FB40" s="1319">
        <f t="shared" ref="FB40:FB44" si="110">IF(AND(EX40&gt;0,EK40&gt;0),(EX40/EK40)^(1/5)-1,"NA")</f>
        <v>0.10089566363995139</v>
      </c>
      <c r="FC40" s="511"/>
    </row>
    <row r="41" spans="1:160" s="4" customFormat="1" ht="11.25" customHeight="1">
      <c r="A41" s="4857" t="s">
        <v>380</v>
      </c>
      <c r="B41" s="170"/>
      <c r="C41" s="170"/>
      <c r="D41" s="170"/>
      <c r="E41" s="286"/>
      <c r="F41" s="4858"/>
      <c r="G41" s="170"/>
      <c r="H41" s="170"/>
      <c r="I41" s="170"/>
      <c r="J41" s="286"/>
      <c r="K41" s="4858"/>
      <c r="L41" s="170"/>
      <c r="M41" s="170"/>
      <c r="N41" s="170"/>
      <c r="O41" s="286"/>
      <c r="P41" s="2657"/>
      <c r="Q41" s="2608"/>
      <c r="R41" s="170"/>
      <c r="S41" s="170"/>
      <c r="T41" s="286"/>
      <c r="U41" s="4858"/>
      <c r="V41" s="4859"/>
      <c r="W41" s="170"/>
      <c r="X41" s="170"/>
      <c r="Y41" s="286"/>
      <c r="Z41" s="4858"/>
      <c r="AA41" s="4859"/>
      <c r="AB41" s="170"/>
      <c r="AC41" s="170"/>
      <c r="AD41" s="286"/>
      <c r="AE41" s="4858"/>
      <c r="AF41" s="4859"/>
      <c r="AG41" s="170"/>
      <c r="AH41" s="170"/>
      <c r="AI41" s="286"/>
      <c r="AJ41" s="4858"/>
      <c r="AK41" s="170"/>
      <c r="AL41" s="170"/>
      <c r="AM41" s="170"/>
      <c r="AN41" s="286"/>
      <c r="AO41" s="4858"/>
      <c r="AP41" s="170"/>
      <c r="AQ41" s="170"/>
      <c r="AR41" s="170"/>
      <c r="AS41" s="286"/>
      <c r="AT41" s="4858"/>
      <c r="AU41" s="170"/>
      <c r="AV41" s="170"/>
      <c r="AW41" s="170"/>
      <c r="AX41" s="286"/>
      <c r="AY41" s="4858"/>
      <c r="AZ41" s="170"/>
      <c r="BA41" s="170"/>
      <c r="BB41" s="170"/>
      <c r="BC41" s="170"/>
      <c r="BD41" s="4860"/>
      <c r="BE41" s="4866"/>
      <c r="BF41" s="170"/>
      <c r="BG41" s="170"/>
      <c r="BH41" s="170"/>
      <c r="BI41" s="4860"/>
      <c r="BJ41" s="170"/>
      <c r="BK41" s="170"/>
      <c r="BL41" s="170"/>
      <c r="BM41" s="170"/>
      <c r="BN41" s="4860"/>
      <c r="BO41" s="170"/>
      <c r="BP41" s="170"/>
      <c r="BQ41" s="170"/>
      <c r="BR41" s="286"/>
      <c r="BS41" s="4858"/>
      <c r="BT41" s="170"/>
      <c r="BU41" s="170"/>
      <c r="BV41" s="170"/>
      <c r="BW41" s="170"/>
      <c r="BX41" s="4860"/>
      <c r="BY41" s="170"/>
      <c r="BZ41" s="170"/>
      <c r="CA41" s="170"/>
      <c r="CB41" s="170"/>
      <c r="CC41" s="4860"/>
      <c r="CD41" s="170"/>
      <c r="CE41" s="170"/>
      <c r="CF41" s="170"/>
      <c r="CG41" s="170"/>
      <c r="CH41" s="4860"/>
      <c r="CI41" s="170"/>
      <c r="CJ41" s="170"/>
      <c r="CK41" s="170"/>
      <c r="CL41" s="170"/>
      <c r="CM41" s="4860"/>
      <c r="CN41" s="170"/>
      <c r="CO41" s="170"/>
      <c r="CP41" s="170"/>
      <c r="CQ41" s="170"/>
      <c r="CR41" s="4860"/>
      <c r="CS41" s="170"/>
      <c r="CT41" s="170"/>
      <c r="CU41" s="170"/>
      <c r="CV41" s="170"/>
      <c r="CW41" s="4860"/>
      <c r="CX41" s="170"/>
      <c r="CY41" s="170"/>
      <c r="CZ41" s="170"/>
      <c r="DA41" s="170"/>
      <c r="DB41" s="4860"/>
      <c r="DC41" s="170"/>
      <c r="DD41" s="170"/>
      <c r="DE41" s="170"/>
      <c r="DF41" s="170"/>
      <c r="DG41" s="4863">
        <f>IS!DG8</f>
        <v>26726</v>
      </c>
      <c r="DH41" s="4865"/>
      <c r="DI41" s="4865"/>
      <c r="DJ41" s="4865"/>
      <c r="DK41" s="4865">
        <f>IS!DK8</f>
        <v>8501</v>
      </c>
      <c r="DL41" s="4863">
        <f>IS!DL8</f>
        <v>30089</v>
      </c>
      <c r="DM41" s="4865">
        <f>IS!DM8</f>
        <v>7452</v>
      </c>
      <c r="DN41" s="4865">
        <f>IS!DN8</f>
        <v>6694</v>
      </c>
      <c r="DO41" s="4865">
        <f>IS!DO8</f>
        <v>8166</v>
      </c>
      <c r="DP41" s="4865">
        <f>IS!DP8</f>
        <v>10466</v>
      </c>
      <c r="DQ41" s="4863">
        <f>IS!DQ8</f>
        <v>32778</v>
      </c>
      <c r="DR41" s="4865">
        <f>IS!DR8</f>
        <v>9712</v>
      </c>
      <c r="DS41" s="4865">
        <f>IS!DS8</f>
        <v>10929</v>
      </c>
      <c r="DT41" s="4865">
        <f>IS!DT8</f>
        <v>11498</v>
      </c>
      <c r="DU41" s="4865">
        <f>IS!DU8</f>
        <v>13427</v>
      </c>
      <c r="DV41" s="4863">
        <f>IS!DV8</f>
        <v>45566</v>
      </c>
      <c r="DW41" s="4865">
        <f>IS!DW8</f>
        <v>11990</v>
      </c>
      <c r="DX41" s="4865">
        <f>IS!DX8</f>
        <v>12214</v>
      </c>
      <c r="DY41" s="4865">
        <f>IS!DY8</f>
        <v>11826</v>
      </c>
      <c r="DZ41" s="4865">
        <f>IS!DZ8</f>
        <v>12925</v>
      </c>
      <c r="EA41" s="4863">
        <f>IS!EA8</f>
        <v>48955</v>
      </c>
      <c r="EB41" s="4865">
        <f>IS!EB8</f>
        <v>11721</v>
      </c>
      <c r="EC41" s="4865">
        <f>IS!EC8</f>
        <v>12537</v>
      </c>
      <c r="ED41" s="4865">
        <f>IS!ED8</f>
        <v>12642</v>
      </c>
      <c r="EE41" s="4865">
        <f>IS!EE8</f>
        <v>13986</v>
      </c>
      <c r="EF41" s="4863">
        <f>IS!EF8</f>
        <v>50886</v>
      </c>
      <c r="EG41" s="4865">
        <f>IS!EG8</f>
        <v>12946</v>
      </c>
      <c r="EH41" s="4865">
        <f>IS!EH8</f>
        <v>13387</v>
      </c>
      <c r="EI41" s="4865">
        <f>IS!EI8</f>
        <v>13719</v>
      </c>
      <c r="EJ41" s="4865">
        <f>IS!EJ8</f>
        <v>14848</v>
      </c>
      <c r="EK41" s="4863">
        <f>IS!EK8</f>
        <v>54900</v>
      </c>
      <c r="EL41" s="4865">
        <f>IS!EL8</f>
        <v>13748</v>
      </c>
      <c r="EM41" s="4865">
        <f>IS!EM8</f>
        <v>14705</v>
      </c>
      <c r="EN41" s="4865">
        <f>IS!EN8</f>
        <v>14876</v>
      </c>
      <c r="EO41" s="4865">
        <f>IS!EO8</f>
        <v>16258.297203300754</v>
      </c>
      <c r="EP41" s="4863">
        <f>IS!EP8</f>
        <v>59587.297203300754</v>
      </c>
      <c r="EQ41" s="4865">
        <f>IS!EQ8</f>
        <v>15444.782506115487</v>
      </c>
      <c r="ER41" s="4865">
        <f>IS!ER8</f>
        <v>15894.085868995453</v>
      </c>
      <c r="ES41" s="4865">
        <f>IS!ES8</f>
        <v>16168.651554713349</v>
      </c>
      <c r="ET41" s="4865">
        <f>IS!ET8</f>
        <v>17560.522184742083</v>
      </c>
      <c r="EU41" s="4863">
        <f>IS!EU8</f>
        <v>65068.042114566371</v>
      </c>
      <c r="EV41" s="4863">
        <f>IS!EV8</f>
        <v>70196.900175195173</v>
      </c>
      <c r="EW41" s="4863">
        <f>IS!EW8</f>
        <v>75419.857670370227</v>
      </c>
      <c r="EX41" s="4863">
        <f>IS!EX8</f>
        <v>80229.579235217301</v>
      </c>
      <c r="EY41" s="4863">
        <f>IS!EY8</f>
        <v>85065.791930375693</v>
      </c>
      <c r="EZ41" s="170"/>
      <c r="FA41" s="1319">
        <f t="shared" si="109"/>
        <v>8.538012164230091E-2</v>
      </c>
      <c r="FB41" s="1319">
        <f t="shared" si="110"/>
        <v>7.8828557365533181E-2</v>
      </c>
      <c r="FC41" s="511"/>
    </row>
    <row r="42" spans="1:160" s="4" customFormat="1" ht="11.25" customHeight="1">
      <c r="A42" s="4927" t="s">
        <v>282</v>
      </c>
      <c r="B42" s="4928"/>
      <c r="C42" s="4928"/>
      <c r="D42" s="4928"/>
      <c r="E42" s="4929"/>
      <c r="F42" s="4930"/>
      <c r="G42" s="4928"/>
      <c r="H42" s="4928"/>
      <c r="I42" s="4928"/>
      <c r="J42" s="4929"/>
      <c r="K42" s="4930"/>
      <c r="L42" s="4928"/>
      <c r="M42" s="4928"/>
      <c r="N42" s="4928"/>
      <c r="O42" s="4929"/>
      <c r="P42" s="4931"/>
      <c r="Q42" s="4085"/>
      <c r="R42" s="4928"/>
      <c r="S42" s="4928"/>
      <c r="T42" s="4929"/>
      <c r="U42" s="4930"/>
      <c r="V42" s="4932"/>
      <c r="W42" s="4928"/>
      <c r="X42" s="4928"/>
      <c r="Y42" s="4929"/>
      <c r="Z42" s="4930"/>
      <c r="AA42" s="4932"/>
      <c r="AB42" s="4928"/>
      <c r="AC42" s="4928"/>
      <c r="AD42" s="4929"/>
      <c r="AE42" s="4930"/>
      <c r="AF42" s="4932"/>
      <c r="AG42" s="4928"/>
      <c r="AH42" s="4928"/>
      <c r="AI42" s="4929"/>
      <c r="AJ42" s="4930"/>
      <c r="AK42" s="4928"/>
      <c r="AL42" s="4928"/>
      <c r="AM42" s="4928"/>
      <c r="AN42" s="4929"/>
      <c r="AO42" s="4930"/>
      <c r="AP42" s="4928"/>
      <c r="AQ42" s="4928"/>
      <c r="AR42" s="4928"/>
      <c r="AS42" s="4929"/>
      <c r="AT42" s="4930"/>
      <c r="AU42" s="4928"/>
      <c r="AV42" s="4928"/>
      <c r="AW42" s="4928"/>
      <c r="AX42" s="4929"/>
      <c r="AY42" s="4930"/>
      <c r="AZ42" s="4928"/>
      <c r="BA42" s="4928"/>
      <c r="BB42" s="4928"/>
      <c r="BC42" s="4928"/>
      <c r="BD42" s="4933"/>
      <c r="BE42" s="4934"/>
      <c r="BF42" s="4928"/>
      <c r="BG42" s="4928"/>
      <c r="BH42" s="4928"/>
      <c r="BI42" s="4933"/>
      <c r="BJ42" s="4928"/>
      <c r="BK42" s="4928"/>
      <c r="BL42" s="4928"/>
      <c r="BM42" s="4928"/>
      <c r="BN42" s="4933"/>
      <c r="BO42" s="4928"/>
      <c r="BP42" s="4928"/>
      <c r="BQ42" s="4928"/>
      <c r="BR42" s="4929"/>
      <c r="BS42" s="4930"/>
      <c r="BT42" s="4928"/>
      <c r="BU42" s="4928"/>
      <c r="BV42" s="4928"/>
      <c r="BW42" s="4928"/>
      <c r="BX42" s="4933"/>
      <c r="BY42" s="4928"/>
      <c r="BZ42" s="4928"/>
      <c r="CA42" s="4928"/>
      <c r="CB42" s="4928"/>
      <c r="CC42" s="4933"/>
      <c r="CD42" s="4928"/>
      <c r="CE42" s="4928"/>
      <c r="CF42" s="4928"/>
      <c r="CG42" s="4928"/>
      <c r="CH42" s="4933"/>
      <c r="CI42" s="4928"/>
      <c r="CJ42" s="4928"/>
      <c r="CK42" s="4928"/>
      <c r="CL42" s="4928"/>
      <c r="CM42" s="4933"/>
      <c r="CN42" s="4928"/>
      <c r="CO42" s="4928"/>
      <c r="CP42" s="4928"/>
      <c r="CQ42" s="4928"/>
      <c r="CR42" s="4933"/>
      <c r="CS42" s="4928"/>
      <c r="CT42" s="4928"/>
      <c r="CU42" s="4928"/>
      <c r="CV42" s="4928"/>
      <c r="CW42" s="4933"/>
      <c r="CX42" s="4928"/>
      <c r="CY42" s="4928"/>
      <c r="CZ42" s="4928"/>
      <c r="DA42" s="4928"/>
      <c r="DB42" s="4933"/>
      <c r="DC42" s="4928"/>
      <c r="DD42" s="4928"/>
      <c r="DE42" s="4928"/>
      <c r="DF42" s="4928"/>
      <c r="DG42" s="4935">
        <f>DG40-DG41</f>
        <v>103798</v>
      </c>
      <c r="DH42" s="4936"/>
      <c r="DI42" s="4936"/>
      <c r="DJ42" s="4936"/>
      <c r="DK42" s="4936">
        <f t="shared" ref="DK42:EV42" si="111">DK40-DK41</f>
        <v>34697</v>
      </c>
      <c r="DL42" s="4935">
        <f t="shared" si="111"/>
        <v>121736</v>
      </c>
      <c r="DM42" s="4936">
        <f t="shared" si="111"/>
        <v>30746</v>
      </c>
      <c r="DN42" s="4936">
        <f t="shared" si="111"/>
        <v>28297</v>
      </c>
      <c r="DO42" s="4936">
        <f t="shared" si="111"/>
        <v>34407</v>
      </c>
      <c r="DP42" s="4936">
        <f t="shared" si="111"/>
        <v>42407</v>
      </c>
      <c r="DQ42" s="4935">
        <f t="shared" si="111"/>
        <v>135857</v>
      </c>
      <c r="DR42" s="4936">
        <f t="shared" si="111"/>
        <v>41466</v>
      </c>
      <c r="DS42" s="4936">
        <f t="shared" si="111"/>
        <v>46138</v>
      </c>
      <c r="DT42" s="4936">
        <f t="shared" si="111"/>
        <v>48386</v>
      </c>
      <c r="DU42" s="4936">
        <f t="shared" si="111"/>
        <v>55973</v>
      </c>
      <c r="DV42" s="4935">
        <f t="shared" si="111"/>
        <v>191963</v>
      </c>
      <c r="DW42" s="4936">
        <f t="shared" si="111"/>
        <v>49482</v>
      </c>
      <c r="DX42" s="4936">
        <f t="shared" si="111"/>
        <v>50627</v>
      </c>
      <c r="DY42" s="4936">
        <f t="shared" si="111"/>
        <v>49551</v>
      </c>
      <c r="DZ42" s="4936">
        <f t="shared" si="111"/>
        <v>54913</v>
      </c>
      <c r="EA42" s="4935">
        <f t="shared" si="111"/>
        <v>204573</v>
      </c>
      <c r="EB42" s="4936">
        <f>EB40-EB41</f>
        <v>50240</v>
      </c>
      <c r="EC42" s="4936">
        <f>EC40-EC41</f>
        <v>53748</v>
      </c>
      <c r="ED42" s="4936">
        <f>ED40-ED41</f>
        <v>55344</v>
      </c>
      <c r="EE42" s="4936">
        <f t="shared" ref="EE42" si="112">EE40-EE41</f>
        <v>62325</v>
      </c>
      <c r="EF42" s="4935">
        <f t="shared" si="111"/>
        <v>221657</v>
      </c>
      <c r="EG42" s="4936">
        <f>EG40-EG41</f>
        <v>57452</v>
      </c>
      <c r="EH42" s="4936">
        <f>EH40-EH41</f>
        <v>60541</v>
      </c>
      <c r="EI42" s="4936">
        <f>EI40-EI41</f>
        <v>62791</v>
      </c>
      <c r="EJ42" s="4936">
        <f t="shared" ref="EJ42" si="113">EJ40-EJ41</f>
        <v>69246</v>
      </c>
      <c r="EK42" s="4935">
        <f>EK40-EK41</f>
        <v>250030</v>
      </c>
      <c r="EL42" s="4936">
        <f>EL40-EL41</f>
        <v>63516</v>
      </c>
      <c r="EM42" s="4936">
        <f>EM40-EM41</f>
        <v>67838</v>
      </c>
      <c r="EN42" s="4936">
        <f>EN40-EN41</f>
        <v>72176</v>
      </c>
      <c r="EO42" s="4936">
        <f t="shared" ref="EO42" si="114">EO40-EO41</f>
        <v>79297.068998938921</v>
      </c>
      <c r="EP42" s="4935">
        <f>EP40-EP41</f>
        <v>282827.06899893889</v>
      </c>
      <c r="EQ42" s="4936">
        <f t="shared" ref="EQ42:ET42" si="115">EQ40-EQ41</f>
        <v>73436.114368672206</v>
      </c>
      <c r="ER42" s="4936">
        <f t="shared" si="115"/>
        <v>76976.921739052414</v>
      </c>
      <c r="ES42" s="4936">
        <f t="shared" si="115"/>
        <v>80448.961656608342</v>
      </c>
      <c r="ET42" s="4936">
        <f t="shared" si="115"/>
        <v>88503.143207133806</v>
      </c>
      <c r="EU42" s="4935">
        <f>EU40-EU41</f>
        <v>319365.14097146672</v>
      </c>
      <c r="EV42" s="4935">
        <f t="shared" si="111"/>
        <v>351043.51917701674</v>
      </c>
      <c r="EW42" s="4935">
        <f>EW40-EW41</f>
        <v>382120.93376510288</v>
      </c>
      <c r="EX42" s="4935">
        <f>EX40-EX41</f>
        <v>412865.82985659724</v>
      </c>
      <c r="EY42" s="4935">
        <f>EY40-EY41</f>
        <v>443610.81084196753</v>
      </c>
      <c r="EZ42" s="170"/>
      <c r="FA42" s="1319">
        <f t="shared" si="109"/>
        <v>0.11975483474040804</v>
      </c>
      <c r="FB42" s="1319">
        <f t="shared" si="110"/>
        <v>0.10551175280218272</v>
      </c>
      <c r="FC42" s="511"/>
    </row>
    <row r="43" spans="1:160" s="4" customFormat="1" ht="11.25" customHeight="1">
      <c r="A43" s="4857" t="s">
        <v>995</v>
      </c>
      <c r="B43" s="170"/>
      <c r="C43" s="170"/>
      <c r="D43" s="170"/>
      <c r="E43" s="286"/>
      <c r="F43" s="4858"/>
      <c r="G43" s="170"/>
      <c r="H43" s="170"/>
      <c r="I43" s="170"/>
      <c r="J43" s="286"/>
      <c r="K43" s="4858"/>
      <c r="L43" s="170"/>
      <c r="M43" s="170"/>
      <c r="N43" s="170"/>
      <c r="O43" s="286"/>
      <c r="P43" s="2657"/>
      <c r="Q43" s="2608"/>
      <c r="R43" s="170"/>
      <c r="S43" s="170"/>
      <c r="T43" s="286"/>
      <c r="U43" s="4858"/>
      <c r="V43" s="4859"/>
      <c r="W43" s="170"/>
      <c r="X43" s="170"/>
      <c r="Y43" s="286"/>
      <c r="Z43" s="4858"/>
      <c r="AA43" s="4859"/>
      <c r="AB43" s="170"/>
      <c r="AC43" s="170"/>
      <c r="AD43" s="286"/>
      <c r="AE43" s="4858"/>
      <c r="AF43" s="4859"/>
      <c r="AG43" s="170"/>
      <c r="AH43" s="170"/>
      <c r="AI43" s="286"/>
      <c r="AJ43" s="4858"/>
      <c r="AK43" s="170"/>
      <c r="AL43" s="170"/>
      <c r="AM43" s="170"/>
      <c r="AN43" s="286"/>
      <c r="AO43" s="4858"/>
      <c r="AP43" s="170"/>
      <c r="AQ43" s="170"/>
      <c r="AR43" s="170"/>
      <c r="AS43" s="286"/>
      <c r="AT43" s="4858"/>
      <c r="AU43" s="170"/>
      <c r="AV43" s="170"/>
      <c r="AW43" s="170"/>
      <c r="AX43" s="286"/>
      <c r="AY43" s="4858"/>
      <c r="AZ43" s="170"/>
      <c r="BA43" s="170"/>
      <c r="BB43" s="170"/>
      <c r="BC43" s="170"/>
      <c r="BD43" s="4860"/>
      <c r="BE43" s="4866"/>
      <c r="BF43" s="170"/>
      <c r="BG43" s="170"/>
      <c r="BH43" s="170"/>
      <c r="BI43" s="4860"/>
      <c r="BJ43" s="170"/>
      <c r="BK43" s="170"/>
      <c r="BL43" s="170"/>
      <c r="BM43" s="170"/>
      <c r="BN43" s="4860"/>
      <c r="BO43" s="170"/>
      <c r="BP43" s="170"/>
      <c r="BQ43" s="170"/>
      <c r="BR43" s="286"/>
      <c r="BS43" s="4858"/>
      <c r="BT43" s="170"/>
      <c r="BU43" s="170"/>
      <c r="BV43" s="170"/>
      <c r="BW43" s="170"/>
      <c r="BX43" s="4860"/>
      <c r="BY43" s="170"/>
      <c r="BZ43" s="170"/>
      <c r="CA43" s="170"/>
      <c r="CB43" s="170"/>
      <c r="CC43" s="4860"/>
      <c r="CD43" s="170"/>
      <c r="CE43" s="170"/>
      <c r="CF43" s="170"/>
      <c r="CG43" s="170"/>
      <c r="CH43" s="4860"/>
      <c r="CI43" s="170"/>
      <c r="CJ43" s="170"/>
      <c r="CK43" s="170"/>
      <c r="CL43" s="170"/>
      <c r="CM43" s="4860"/>
      <c r="CN43" s="170"/>
      <c r="CO43" s="170"/>
      <c r="CP43" s="170"/>
      <c r="CQ43" s="170"/>
      <c r="CR43" s="4860"/>
      <c r="CS43" s="170"/>
      <c r="CT43" s="170"/>
      <c r="CU43" s="170"/>
      <c r="CV43" s="170"/>
      <c r="CW43" s="4860"/>
      <c r="CX43" s="170"/>
      <c r="CY43" s="170"/>
      <c r="CZ43" s="170"/>
      <c r="DA43" s="170"/>
      <c r="DB43" s="4860"/>
      <c r="DC43" s="170"/>
      <c r="DD43" s="170"/>
      <c r="DE43" s="170"/>
      <c r="DF43" s="170"/>
      <c r="DG43" s="4863">
        <f>DG42-DG44</f>
        <v>60661</v>
      </c>
      <c r="DH43" s="4865"/>
      <c r="DI43" s="4865"/>
      <c r="DJ43" s="4865"/>
      <c r="DK43" s="4865">
        <f t="shared" ref="DK43:EV43" si="116">DK42-DK44</f>
        <v>21209</v>
      </c>
      <c r="DL43" s="4863">
        <f t="shared" si="116"/>
        <v>72737</v>
      </c>
      <c r="DM43" s="4865">
        <f t="shared" si="116"/>
        <v>19198</v>
      </c>
      <c r="DN43" s="4865">
        <f t="shared" si="116"/>
        <v>18758</v>
      </c>
      <c r="DO43" s="4865">
        <f t="shared" si="116"/>
        <v>19954</v>
      </c>
      <c r="DP43" s="4865">
        <f t="shared" si="116"/>
        <v>23341</v>
      </c>
      <c r="DQ43" s="4863">
        <f t="shared" si="116"/>
        <v>81251</v>
      </c>
      <c r="DR43" s="4865">
        <f t="shared" si="116"/>
        <v>21920</v>
      </c>
      <c r="DS43" s="4865">
        <f t="shared" si="116"/>
        <v>23795</v>
      </c>
      <c r="DT43" s="4865">
        <f t="shared" si="116"/>
        <v>24413</v>
      </c>
      <c r="DU43" s="4865">
        <f t="shared" si="116"/>
        <v>29980</v>
      </c>
      <c r="DV43" s="4863">
        <f t="shared" si="116"/>
        <v>103831</v>
      </c>
      <c r="DW43" s="4865">
        <f t="shared" si="116"/>
        <v>27509</v>
      </c>
      <c r="DX43" s="4865">
        <f t="shared" si="116"/>
        <v>29006</v>
      </c>
      <c r="DY43" s="4865">
        <f t="shared" si="116"/>
        <v>30668</v>
      </c>
      <c r="DZ43" s="4865">
        <f t="shared" si="116"/>
        <v>34691</v>
      </c>
      <c r="EA43" s="4863">
        <f t="shared" si="116"/>
        <v>121874</v>
      </c>
      <c r="EB43" s="4865">
        <f>EB42-EB44</f>
        <v>28503</v>
      </c>
      <c r="EC43" s="4865">
        <f>EC42-EC44</f>
        <v>30294</v>
      </c>
      <c r="ED43" s="4865">
        <f>ED42-ED44</f>
        <v>31407</v>
      </c>
      <c r="EE43" s="4865">
        <f t="shared" ref="EE43" si="117">EE42-EE44</f>
        <v>35595</v>
      </c>
      <c r="EF43" s="4863">
        <f t="shared" si="116"/>
        <v>125799</v>
      </c>
      <c r="EG43" s="4865">
        <f>EG42-EG44</f>
        <v>29555</v>
      </c>
      <c r="EH43" s="4865">
        <f>EH42-EH44</f>
        <v>30867</v>
      </c>
      <c r="EI43" s="4865">
        <f>EI42-EI44</f>
        <v>31935</v>
      </c>
      <c r="EJ43" s="4865">
        <f t="shared" ref="EJ43" si="118">EJ42-EJ44</f>
        <v>36410</v>
      </c>
      <c r="EK43" s="4863">
        <f>EK42-EK44</f>
        <v>128767</v>
      </c>
      <c r="EL43" s="4865">
        <f>EL42-EL44</f>
        <v>30834</v>
      </c>
      <c r="EM43" s="4865">
        <f>EM42-EM44</f>
        <v>34775</v>
      </c>
      <c r="EN43" s="4865">
        <f>EN42-EN44</f>
        <v>38649</v>
      </c>
      <c r="EO43" s="4865">
        <f t="shared" ref="EO43" si="119">EO42-EO44</f>
        <v>40453.812637728493</v>
      </c>
      <c r="EP43" s="4863">
        <f>EP42-EP44</f>
        <v>144711.81263772846</v>
      </c>
      <c r="EQ43" s="4865">
        <f t="shared" ref="EQ43:ET43" si="120">EQ42-EQ44</f>
        <v>34506.281537515199</v>
      </c>
      <c r="ER43" s="4865">
        <f t="shared" si="120"/>
        <v>37042.388467591831</v>
      </c>
      <c r="ES43" s="4865">
        <f t="shared" si="120"/>
        <v>39579.711268219267</v>
      </c>
      <c r="ET43" s="4865">
        <f t="shared" si="120"/>
        <v>44274.594738721556</v>
      </c>
      <c r="EU43" s="4863">
        <f>EU42-EU44</f>
        <v>155402.97601204782</v>
      </c>
      <c r="EV43" s="4863">
        <f t="shared" si="116"/>
        <v>170752.61969427005</v>
      </c>
      <c r="EW43" s="4863">
        <f>EW42-EW44</f>
        <v>185835.93423928489</v>
      </c>
      <c r="EX43" s="4863">
        <f>EX42-EX44</f>
        <v>201081.3516516629</v>
      </c>
      <c r="EY43" s="4863">
        <f>EY42-EY44</f>
        <v>215751.19504708762</v>
      </c>
      <c r="EZ43" s="170"/>
      <c r="FA43" s="1319">
        <f t="shared" si="109"/>
        <v>9.8637113228633E-2</v>
      </c>
      <c r="FB43" s="1319">
        <f t="shared" si="110"/>
        <v>9.3234789618991343E-2</v>
      </c>
      <c r="FC43" s="511"/>
    </row>
    <row r="44" spans="1:160" s="4" customFormat="1" ht="11.25" customHeight="1">
      <c r="A44" s="4927" t="s">
        <v>533</v>
      </c>
      <c r="B44" s="4928"/>
      <c r="C44" s="4928"/>
      <c r="D44" s="4928"/>
      <c r="E44" s="4929"/>
      <c r="F44" s="4930"/>
      <c r="G44" s="4928"/>
      <c r="H44" s="4928"/>
      <c r="I44" s="4928"/>
      <c r="J44" s="4929"/>
      <c r="K44" s="4930"/>
      <c r="L44" s="4928"/>
      <c r="M44" s="4928"/>
      <c r="N44" s="4928"/>
      <c r="O44" s="4929"/>
      <c r="P44" s="4931"/>
      <c r="Q44" s="4085"/>
      <c r="R44" s="4928"/>
      <c r="S44" s="4928"/>
      <c r="T44" s="4929"/>
      <c r="U44" s="4930"/>
      <c r="V44" s="4932"/>
      <c r="W44" s="4928"/>
      <c r="X44" s="4928"/>
      <c r="Y44" s="4929"/>
      <c r="Z44" s="4930"/>
      <c r="AA44" s="4932"/>
      <c r="AB44" s="4928"/>
      <c r="AC44" s="4928"/>
      <c r="AD44" s="4929"/>
      <c r="AE44" s="4930"/>
      <c r="AF44" s="4932"/>
      <c r="AG44" s="4928"/>
      <c r="AH44" s="4928"/>
      <c r="AI44" s="4929"/>
      <c r="AJ44" s="4930"/>
      <c r="AK44" s="4928"/>
      <c r="AL44" s="4928"/>
      <c r="AM44" s="4928"/>
      <c r="AN44" s="4929"/>
      <c r="AO44" s="4930"/>
      <c r="AP44" s="4928"/>
      <c r="AQ44" s="4928"/>
      <c r="AR44" s="4928"/>
      <c r="AS44" s="4929"/>
      <c r="AT44" s="4930"/>
      <c r="AU44" s="4928"/>
      <c r="AV44" s="4928"/>
      <c r="AW44" s="4928"/>
      <c r="AX44" s="4929"/>
      <c r="AY44" s="4930"/>
      <c r="AZ44" s="4928"/>
      <c r="BA44" s="4928"/>
      <c r="BB44" s="4928"/>
      <c r="BC44" s="4928"/>
      <c r="BD44" s="4933"/>
      <c r="BE44" s="4934"/>
      <c r="BF44" s="4928"/>
      <c r="BG44" s="4928"/>
      <c r="BH44" s="4928"/>
      <c r="BI44" s="4933"/>
      <c r="BJ44" s="4928"/>
      <c r="BK44" s="4928"/>
      <c r="BL44" s="4928"/>
      <c r="BM44" s="4928"/>
      <c r="BN44" s="4933"/>
      <c r="BO44" s="4928"/>
      <c r="BP44" s="4928"/>
      <c r="BQ44" s="4928"/>
      <c r="BR44" s="4929"/>
      <c r="BS44" s="4930"/>
      <c r="BT44" s="4928"/>
      <c r="BU44" s="4928"/>
      <c r="BV44" s="4928"/>
      <c r="BW44" s="4928"/>
      <c r="BX44" s="4933"/>
      <c r="BY44" s="4928"/>
      <c r="BZ44" s="4928"/>
      <c r="CA44" s="4928"/>
      <c r="CB44" s="4928"/>
      <c r="CC44" s="4933"/>
      <c r="CD44" s="4928"/>
      <c r="CE44" s="4928"/>
      <c r="CF44" s="4928"/>
      <c r="CG44" s="4928"/>
      <c r="CH44" s="4933"/>
      <c r="CI44" s="4928"/>
      <c r="CJ44" s="4928"/>
      <c r="CK44" s="4928"/>
      <c r="CL44" s="4928"/>
      <c r="CM44" s="4933"/>
      <c r="CN44" s="4928"/>
      <c r="CO44" s="4928"/>
      <c r="CP44" s="4928"/>
      <c r="CQ44" s="4928"/>
      <c r="CR44" s="4933"/>
      <c r="CS44" s="4928"/>
      <c r="CT44" s="4928"/>
      <c r="CU44" s="4928"/>
      <c r="CV44" s="4928"/>
      <c r="CW44" s="4933"/>
      <c r="CX44" s="4928"/>
      <c r="CY44" s="4928"/>
      <c r="CZ44" s="4928"/>
      <c r="DA44" s="4928"/>
      <c r="DB44" s="4933"/>
      <c r="DC44" s="4928"/>
      <c r="DD44" s="4928"/>
      <c r="DE44" s="4928"/>
      <c r="DF44" s="4928"/>
      <c r="DG44" s="4935">
        <f>DG17</f>
        <v>43137</v>
      </c>
      <c r="DH44" s="4936"/>
      <c r="DI44" s="4936"/>
      <c r="DJ44" s="4936"/>
      <c r="DK44" s="4936">
        <f t="shared" ref="DK44:DQ44" si="121">DK17</f>
        <v>13488</v>
      </c>
      <c r="DL44" s="4935">
        <f t="shared" si="121"/>
        <v>48999</v>
      </c>
      <c r="DM44" s="4936">
        <f t="shared" si="121"/>
        <v>11548</v>
      </c>
      <c r="DN44" s="4936">
        <f t="shared" si="121"/>
        <v>9539</v>
      </c>
      <c r="DO44" s="4936">
        <f t="shared" si="121"/>
        <v>14453</v>
      </c>
      <c r="DP44" s="4936">
        <f t="shared" si="121"/>
        <v>19066</v>
      </c>
      <c r="DQ44" s="4935">
        <f t="shared" si="121"/>
        <v>54606</v>
      </c>
      <c r="DR44" s="4936">
        <f t="shared" ref="DR44:DW44" si="122">DR17</f>
        <v>19546</v>
      </c>
      <c r="DS44" s="4936">
        <f t="shared" si="122"/>
        <v>22343</v>
      </c>
      <c r="DT44" s="4936">
        <f t="shared" si="122"/>
        <v>23973</v>
      </c>
      <c r="DU44" s="4936">
        <f t="shared" si="122"/>
        <v>25993</v>
      </c>
      <c r="DV44" s="4935">
        <f t="shared" si="122"/>
        <v>88132</v>
      </c>
      <c r="DW44" s="4936">
        <f t="shared" si="122"/>
        <v>21973</v>
      </c>
      <c r="DX44" s="4936">
        <f t="shared" ref="DX44:ED44" si="123">DX17</f>
        <v>21621</v>
      </c>
      <c r="DY44" s="4936">
        <f t="shared" si="123"/>
        <v>18883</v>
      </c>
      <c r="DZ44" s="4936">
        <f t="shared" si="123"/>
        <v>20222</v>
      </c>
      <c r="EA44" s="4935">
        <f t="shared" si="123"/>
        <v>82699</v>
      </c>
      <c r="EB44" s="4936">
        <f t="shared" si="123"/>
        <v>21737</v>
      </c>
      <c r="EC44" s="4936">
        <f t="shared" si="123"/>
        <v>23454</v>
      </c>
      <c r="ED44" s="4936">
        <f t="shared" si="123"/>
        <v>23937</v>
      </c>
      <c r="EE44" s="4936">
        <f t="shared" ref="EE44" si="124">EE17</f>
        <v>26730</v>
      </c>
      <c r="EF44" s="4935">
        <f>EF17</f>
        <v>95858</v>
      </c>
      <c r="EG44" s="4936">
        <f t="shared" ref="EG44:EJ44" si="125">EG17</f>
        <v>27897</v>
      </c>
      <c r="EH44" s="4936">
        <f t="shared" si="125"/>
        <v>29674</v>
      </c>
      <c r="EI44" s="4936">
        <f t="shared" si="125"/>
        <v>30856</v>
      </c>
      <c r="EJ44" s="4936">
        <f t="shared" si="125"/>
        <v>32836</v>
      </c>
      <c r="EK44" s="4935">
        <f>EK17</f>
        <v>121263</v>
      </c>
      <c r="EL44" s="4936">
        <f t="shared" ref="EL44:EN44" si="126">EL17</f>
        <v>32682</v>
      </c>
      <c r="EM44" s="4936">
        <f t="shared" si="126"/>
        <v>33063</v>
      </c>
      <c r="EN44" s="4936">
        <f t="shared" si="126"/>
        <v>33527</v>
      </c>
      <c r="EO44" s="4936">
        <f t="shared" ref="EO44" si="127">EO40*EO75</f>
        <v>38843.256361210428</v>
      </c>
      <c r="EP44" s="4935">
        <f>EP17</f>
        <v>138115.25636121043</v>
      </c>
      <c r="EQ44" s="4936">
        <f t="shared" ref="EQ44:ET44" si="128">EQ40*EQ75</f>
        <v>38929.832831157008</v>
      </c>
      <c r="ER44" s="4936">
        <f t="shared" si="128"/>
        <v>39934.533271460583</v>
      </c>
      <c r="ES44" s="4936">
        <f t="shared" si="128"/>
        <v>40869.250388389075</v>
      </c>
      <c r="ET44" s="4936">
        <f t="shared" si="128"/>
        <v>44228.548468412249</v>
      </c>
      <c r="EU44" s="4935">
        <f>EU17</f>
        <v>163962.16495941891</v>
      </c>
      <c r="EV44" s="4935">
        <f>EV40*EV75</f>
        <v>180290.8994827467</v>
      </c>
      <c r="EW44" s="4935">
        <f>EW40*EW75</f>
        <v>196284.99952581798</v>
      </c>
      <c r="EX44" s="4935">
        <f>EX40*EX75</f>
        <v>211784.47820493433</v>
      </c>
      <c r="EY44" s="4935">
        <f>EY40*EY75</f>
        <v>227859.61579487991</v>
      </c>
      <c r="EZ44" s="170"/>
      <c r="FA44" s="1319">
        <f t="shared" si="109"/>
        <v>0.14134033552259639</v>
      </c>
      <c r="FB44" s="1319">
        <f t="shared" si="110"/>
        <v>0.1179777589753519</v>
      </c>
      <c r="FC44" s="511"/>
    </row>
    <row r="45" spans="1:160" s="4" customFormat="1" ht="11.25" customHeight="1">
      <c r="A45" s="4857" t="s">
        <v>479</v>
      </c>
      <c r="B45" s="170"/>
      <c r="C45" s="170"/>
      <c r="D45" s="170"/>
      <c r="E45" s="286"/>
      <c r="F45" s="4858"/>
      <c r="G45" s="170"/>
      <c r="H45" s="170"/>
      <c r="I45" s="170"/>
      <c r="J45" s="286"/>
      <c r="K45" s="4858"/>
      <c r="L45" s="170"/>
      <c r="M45" s="170"/>
      <c r="N45" s="170"/>
      <c r="O45" s="286"/>
      <c r="P45" s="2657"/>
      <c r="Q45" s="2608"/>
      <c r="R45" s="170"/>
      <c r="S45" s="170"/>
      <c r="T45" s="286"/>
      <c r="U45" s="4858"/>
      <c r="V45" s="4859"/>
      <c r="W45" s="170"/>
      <c r="X45" s="170"/>
      <c r="Y45" s="286"/>
      <c r="Z45" s="4858"/>
      <c r="AA45" s="4859"/>
      <c r="AB45" s="170"/>
      <c r="AC45" s="170"/>
      <c r="AD45" s="286"/>
      <c r="AE45" s="4858"/>
      <c r="AF45" s="4859"/>
      <c r="AG45" s="170"/>
      <c r="AH45" s="170"/>
      <c r="AI45" s="286"/>
      <c r="AJ45" s="4858"/>
      <c r="AK45" s="170"/>
      <c r="AL45" s="170"/>
      <c r="AM45" s="170"/>
      <c r="AN45" s="286"/>
      <c r="AO45" s="4858"/>
      <c r="AP45" s="170"/>
      <c r="AQ45" s="170"/>
      <c r="AR45" s="170"/>
      <c r="AS45" s="286"/>
      <c r="AT45" s="4858"/>
      <c r="AU45" s="170"/>
      <c r="AV45" s="170"/>
      <c r="AW45" s="170"/>
      <c r="AX45" s="286"/>
      <c r="AY45" s="4858"/>
      <c r="AZ45" s="170"/>
      <c r="BA45" s="170"/>
      <c r="BB45" s="170"/>
      <c r="BC45" s="170"/>
      <c r="BD45" s="4860"/>
      <c r="BE45" s="4866"/>
      <c r="BF45" s="170"/>
      <c r="BG45" s="170"/>
      <c r="BH45" s="170"/>
      <c r="BI45" s="4860"/>
      <c r="BJ45" s="170"/>
      <c r="BK45" s="170"/>
      <c r="BL45" s="170"/>
      <c r="BM45" s="170"/>
      <c r="BN45" s="4860"/>
      <c r="BO45" s="170"/>
      <c r="BP45" s="170"/>
      <c r="BQ45" s="170"/>
      <c r="BR45" s="286"/>
      <c r="BS45" s="4858"/>
      <c r="BT45" s="170"/>
      <c r="BU45" s="170"/>
      <c r="BV45" s="170"/>
      <c r="BW45" s="170"/>
      <c r="BX45" s="4860"/>
      <c r="BY45" s="170"/>
      <c r="BZ45" s="170"/>
      <c r="CA45" s="170"/>
      <c r="CB45" s="170"/>
      <c r="CC45" s="4860"/>
      <c r="CD45" s="170"/>
      <c r="CE45" s="170"/>
      <c r="CF45" s="170"/>
      <c r="CG45" s="170"/>
      <c r="CH45" s="4860"/>
      <c r="CI45" s="170"/>
      <c r="CJ45" s="170"/>
      <c r="CK45" s="170"/>
      <c r="CL45" s="170"/>
      <c r="CM45" s="4860"/>
      <c r="CN45" s="170"/>
      <c r="CO45" s="170"/>
      <c r="CP45" s="170"/>
      <c r="CQ45" s="170"/>
      <c r="CR45" s="4860"/>
      <c r="CS45" s="170"/>
      <c r="CT45" s="170"/>
      <c r="CU45" s="170"/>
      <c r="CV45" s="170"/>
      <c r="CW45" s="4860"/>
      <c r="CX45" s="170"/>
      <c r="CY45" s="170"/>
      <c r="CZ45" s="170"/>
      <c r="DA45" s="170"/>
      <c r="DB45" s="4860"/>
      <c r="DC45" s="170"/>
      <c r="DD45" s="170"/>
      <c r="DE45" s="170"/>
      <c r="DF45" s="170"/>
      <c r="DG45" s="4863">
        <f>IS!DG30-DG83-DG119-DG153</f>
        <v>3132</v>
      </c>
      <c r="DH45" s="4865"/>
      <c r="DI45" s="4865"/>
      <c r="DJ45" s="4865"/>
      <c r="DK45" s="4865">
        <f>IS!DK30-DK83-DK119-DK153</f>
        <v>1036</v>
      </c>
      <c r="DL45" s="4863">
        <f>IS!DL30-DL83-DL119-DL153</f>
        <v>3071</v>
      </c>
      <c r="DM45" s="4865">
        <f>IS!DM30-DM83-DM119-DM153</f>
        <v>588</v>
      </c>
      <c r="DN45" s="4865">
        <f>IS!DN30-DN83-DN119-DN153</f>
        <v>514</v>
      </c>
      <c r="DO45" s="4865">
        <f>IS!DO30-DO83-DO119-DO153</f>
        <v>382</v>
      </c>
      <c r="DP45" s="4865">
        <f>IS!DP30-DP83-DP119-DP153</f>
        <v>391</v>
      </c>
      <c r="DQ45" s="4863">
        <f>IS!DQ30-DQ83-DQ119-DQ153</f>
        <v>1875</v>
      </c>
      <c r="DR45" s="4865">
        <f>IS!DR30-DR83-DR119-DR153</f>
        <v>674</v>
      </c>
      <c r="DS45" s="4865">
        <f>IS!DS30-DS83-DS119-DS153</f>
        <v>375</v>
      </c>
      <c r="DT45" s="4865">
        <f>IS!DT30-DT83-DT119-DT153</f>
        <v>404</v>
      </c>
      <c r="DU45" s="4865">
        <f>IS!DU30-DU83-DU119-DU153</f>
        <v>95</v>
      </c>
      <c r="DV45" s="4863">
        <f>IS!DV30-DV83-DV119-DV153</f>
        <v>1548</v>
      </c>
      <c r="DW45" s="4865">
        <f>IS!DW30-DW83-DW119-DW153</f>
        <v>-323</v>
      </c>
      <c r="DX45" s="4865">
        <f>IS!DX30-DX83-DX119-DX153</f>
        <v>-506</v>
      </c>
      <c r="DY45" s="4865">
        <f>IS!DY30-DY83-DY119-DY153</f>
        <v>-309</v>
      </c>
      <c r="DZ45" s="4865">
        <f>IS!DZ30-DZ83-DZ119-DZ153</f>
        <v>281</v>
      </c>
      <c r="EA45" s="4863">
        <f>IS!EA30-EA83-EA119-EA153</f>
        <v>-857</v>
      </c>
      <c r="EB45" s="4865">
        <f>IS!EB30-EB83-EB119-EB153</f>
        <v>295</v>
      </c>
      <c r="EC45" s="4865">
        <f>IS!EC30-EC83-EC119-EC153</f>
        <v>265</v>
      </c>
      <c r="ED45" s="4865">
        <f>IS!ED30-ED83-ED119-ED153</f>
        <v>41</v>
      </c>
      <c r="EE45" s="4865">
        <f>IS!EE30-EE83-EE119-EE153</f>
        <v>174</v>
      </c>
      <c r="EF45" s="4863">
        <f>IS!EF30-EF83-EF119-EF153</f>
        <v>775</v>
      </c>
      <c r="EG45" s="4865">
        <f>IS!EG30-EG83-EG119-EG153</f>
        <v>496</v>
      </c>
      <c r="EH45" s="4865">
        <f>IS!EH30-EH83-EH119-EH153</f>
        <v>712</v>
      </c>
      <c r="EI45" s="4865">
        <f>IS!EI30-EI83-EI119-EI153</f>
        <v>1335</v>
      </c>
      <c r="EJ45" s="4865">
        <f>IS!EJ30-EJ83-EJ119-EJ153</f>
        <v>950</v>
      </c>
      <c r="EK45" s="4863">
        <f>IS!EK30-EK83-EK119-EK153</f>
        <v>3493</v>
      </c>
      <c r="EL45" s="4865">
        <f>IS!EL30-EL83-EL119-EL153</f>
        <v>1465</v>
      </c>
      <c r="EM45" s="4865">
        <f>IS!EM30-EM83-EM119-EM153</f>
        <v>1459</v>
      </c>
      <c r="EN45" s="4865">
        <f>IS!EN30-EN83-EN119-EN153</f>
        <v>2199</v>
      </c>
      <c r="EO45" s="4865">
        <f ca="1">IS!EO30-EO83-EO119-EO153</f>
        <v>950.78376487847618</v>
      </c>
      <c r="EP45" s="4863">
        <f ca="1">IS!EP30-EP83-EP119-EP153</f>
        <v>6073.7837648784771</v>
      </c>
      <c r="EQ45" s="4865">
        <f ca="1">IS!EQ30-EQ83-EQ119-EQ153</f>
        <v>937.4710461233858</v>
      </c>
      <c r="ER45" s="4865">
        <f ca="1">IS!ER30-ER83-ER119-ER153</f>
        <v>827.10195831727015</v>
      </c>
      <c r="ES45" s="4865">
        <f ca="1">IS!ES30-ES83-ES119-ES153</f>
        <v>733.790920491576</v>
      </c>
      <c r="ET45" s="4865">
        <f ca="1">IS!ET30-ET83-ET119-ET153</f>
        <v>745.27347776099884</v>
      </c>
      <c r="EU45" s="4863">
        <f ca="1">IS!EU30-EU83-EU119-EU153</f>
        <v>3243.6374026932308</v>
      </c>
      <c r="EV45" s="4863">
        <f ca="1">IS!EV30-EV83-EV119-EV153</f>
        <v>2731.6578810745086</v>
      </c>
      <c r="EW45" s="4863">
        <f ca="1">IS!EW30-EW83-EW119-EW153</f>
        <v>2450.3180952969096</v>
      </c>
      <c r="EX45" s="4863">
        <f ca="1">IS!EX30-EX83-EX119-EX153</f>
        <v>2714.1655529124491</v>
      </c>
      <c r="EY45" s="4863">
        <f ca="1">IS!EY30-EY83-EY119-EY153</f>
        <v>3638.3158607230607</v>
      </c>
      <c r="EZ45" s="170"/>
      <c r="FA45" s="1319"/>
      <c r="FB45" s="1319"/>
      <c r="FC45" s="511"/>
    </row>
    <row r="46" spans="1:160" s="4" customFormat="1" ht="11.25" customHeight="1">
      <c r="A46" s="4905" t="s">
        <v>225</v>
      </c>
      <c r="B46" s="170"/>
      <c r="C46" s="170"/>
      <c r="D46" s="170"/>
      <c r="E46" s="286"/>
      <c r="F46" s="4858"/>
      <c r="G46" s="170"/>
      <c r="H46" s="170"/>
      <c r="I46" s="170"/>
      <c r="J46" s="286"/>
      <c r="K46" s="4858"/>
      <c r="L46" s="170"/>
      <c r="M46" s="170"/>
      <c r="N46" s="170"/>
      <c r="O46" s="286"/>
      <c r="P46" s="2657"/>
      <c r="Q46" s="2608"/>
      <c r="R46" s="170"/>
      <c r="S46" s="170"/>
      <c r="T46" s="286"/>
      <c r="U46" s="4858"/>
      <c r="V46" s="4859"/>
      <c r="W46" s="170"/>
      <c r="X46" s="170"/>
      <c r="Y46" s="286"/>
      <c r="Z46" s="4858"/>
      <c r="AA46" s="4859"/>
      <c r="AB46" s="170"/>
      <c r="AC46" s="170"/>
      <c r="AD46" s="286"/>
      <c r="AE46" s="4858"/>
      <c r="AF46" s="4859"/>
      <c r="AG46" s="170"/>
      <c r="AH46" s="170"/>
      <c r="AI46" s="286"/>
      <c r="AJ46" s="4858"/>
      <c r="AK46" s="170"/>
      <c r="AL46" s="170"/>
      <c r="AM46" s="170"/>
      <c r="AN46" s="286"/>
      <c r="AO46" s="4858"/>
      <c r="AP46" s="170"/>
      <c r="AQ46" s="170"/>
      <c r="AR46" s="170"/>
      <c r="AS46" s="286"/>
      <c r="AT46" s="4858"/>
      <c r="AU46" s="170"/>
      <c r="AV46" s="170"/>
      <c r="AW46" s="170"/>
      <c r="AX46" s="286"/>
      <c r="AY46" s="4858"/>
      <c r="AZ46" s="170"/>
      <c r="BA46" s="170"/>
      <c r="BB46" s="170"/>
      <c r="BC46" s="170"/>
      <c r="BD46" s="4860"/>
      <c r="BE46" s="4866"/>
      <c r="BF46" s="170"/>
      <c r="BG46" s="170"/>
      <c r="BH46" s="170"/>
      <c r="BI46" s="4860"/>
      <c r="BJ46" s="170"/>
      <c r="BK46" s="170"/>
      <c r="BL46" s="170"/>
      <c r="BM46" s="170"/>
      <c r="BN46" s="4860"/>
      <c r="BO46" s="170"/>
      <c r="BP46" s="170"/>
      <c r="BQ46" s="170"/>
      <c r="BR46" s="286"/>
      <c r="BS46" s="4858"/>
      <c r="BT46" s="170"/>
      <c r="BU46" s="170"/>
      <c r="BV46" s="170"/>
      <c r="BW46" s="170"/>
      <c r="BX46" s="4860"/>
      <c r="BY46" s="170"/>
      <c r="BZ46" s="170"/>
      <c r="CA46" s="170"/>
      <c r="CB46" s="170"/>
      <c r="CC46" s="4860"/>
      <c r="CD46" s="170"/>
      <c r="CE46" s="170"/>
      <c r="CF46" s="170"/>
      <c r="CG46" s="170"/>
      <c r="CH46" s="4860"/>
      <c r="CI46" s="170"/>
      <c r="CJ46" s="170"/>
      <c r="CK46" s="170"/>
      <c r="CL46" s="170"/>
      <c r="CM46" s="4860"/>
      <c r="CN46" s="170"/>
      <c r="CO46" s="170"/>
      <c r="CP46" s="170"/>
      <c r="CQ46" s="170"/>
      <c r="CR46" s="4860"/>
      <c r="CS46" s="170"/>
      <c r="CT46" s="170"/>
      <c r="CU46" s="170"/>
      <c r="CV46" s="170"/>
      <c r="CW46" s="4860"/>
      <c r="CX46" s="170"/>
      <c r="CY46" s="170"/>
      <c r="CZ46" s="170"/>
      <c r="DA46" s="170"/>
      <c r="DB46" s="4860"/>
      <c r="DC46" s="170"/>
      <c r="DD46" s="170"/>
      <c r="DE46" s="170"/>
      <c r="DF46" s="170"/>
      <c r="DG46" s="4863">
        <f>DG44+DG45</f>
        <v>46269</v>
      </c>
      <c r="DH46" s="4865"/>
      <c r="DI46" s="4865"/>
      <c r="DJ46" s="4865"/>
      <c r="DK46" s="4865">
        <f t="shared" ref="DK46:EF46" si="129">DK44+DK45</f>
        <v>14524</v>
      </c>
      <c r="DL46" s="4863">
        <f t="shared" si="129"/>
        <v>52070</v>
      </c>
      <c r="DM46" s="4865">
        <f t="shared" si="129"/>
        <v>12136</v>
      </c>
      <c r="DN46" s="4865">
        <f t="shared" si="129"/>
        <v>10053</v>
      </c>
      <c r="DO46" s="4865">
        <f t="shared" si="129"/>
        <v>14835</v>
      </c>
      <c r="DP46" s="4865">
        <f t="shared" si="129"/>
        <v>19457</v>
      </c>
      <c r="DQ46" s="4863">
        <f t="shared" si="129"/>
        <v>56481</v>
      </c>
      <c r="DR46" s="4865">
        <f t="shared" si="129"/>
        <v>20220</v>
      </c>
      <c r="DS46" s="4865">
        <f t="shared" si="129"/>
        <v>22718</v>
      </c>
      <c r="DT46" s="4865">
        <f t="shared" si="129"/>
        <v>24377</v>
      </c>
      <c r="DU46" s="4865">
        <f t="shared" si="129"/>
        <v>26088</v>
      </c>
      <c r="DV46" s="4863">
        <f t="shared" si="129"/>
        <v>89680</v>
      </c>
      <c r="DW46" s="4865">
        <f t="shared" si="129"/>
        <v>21650</v>
      </c>
      <c r="DX46" s="4865">
        <f t="shared" si="129"/>
        <v>21115</v>
      </c>
      <c r="DY46" s="4865">
        <f t="shared" si="129"/>
        <v>18574</v>
      </c>
      <c r="DZ46" s="4865">
        <f t="shared" si="129"/>
        <v>20503</v>
      </c>
      <c r="EA46" s="4863">
        <f t="shared" si="129"/>
        <v>81842</v>
      </c>
      <c r="EB46" s="4865">
        <f>EB44+EB45</f>
        <v>22032</v>
      </c>
      <c r="EC46" s="4865">
        <f>EC44+EC45</f>
        <v>23719</v>
      </c>
      <c r="ED46" s="4865">
        <f>ED44+ED45</f>
        <v>23978</v>
      </c>
      <c r="EE46" s="4865">
        <f t="shared" ref="EE46" si="130">EE44+EE45</f>
        <v>26904</v>
      </c>
      <c r="EF46" s="4863">
        <f t="shared" si="129"/>
        <v>96633</v>
      </c>
      <c r="EG46" s="4865">
        <f>EG44+EG45</f>
        <v>28393</v>
      </c>
      <c r="EH46" s="4865">
        <f>EH44+EH45</f>
        <v>30386</v>
      </c>
      <c r="EI46" s="4865">
        <f>EI44+EI45</f>
        <v>32191</v>
      </c>
      <c r="EJ46" s="4865">
        <f t="shared" ref="EJ46" si="131">EJ44+EJ45</f>
        <v>33786</v>
      </c>
      <c r="EK46" s="4863">
        <f t="shared" ref="EK46:EX46" si="132">EK44+EK45</f>
        <v>124756</v>
      </c>
      <c r="EL46" s="4865">
        <f>EL44+EL45</f>
        <v>34147</v>
      </c>
      <c r="EM46" s="4865">
        <f>EM44+EM45</f>
        <v>34522</v>
      </c>
      <c r="EN46" s="4865">
        <f>EN44+EN45</f>
        <v>35726</v>
      </c>
      <c r="EO46" s="4865">
        <f t="shared" ca="1" si="132"/>
        <v>39794.040126088905</v>
      </c>
      <c r="EP46" s="4863">
        <f t="shared" ca="1" si="132"/>
        <v>144189.04012608889</v>
      </c>
      <c r="EQ46" s="4865">
        <f t="shared" ref="EQ46:EU46" ca="1" si="133">EQ44+EQ45</f>
        <v>39867.303877280392</v>
      </c>
      <c r="ER46" s="4865">
        <f t="shared" ca="1" si="133"/>
        <v>40761.63522977785</v>
      </c>
      <c r="ES46" s="4865">
        <f t="shared" ca="1" si="133"/>
        <v>41603.041308880653</v>
      </c>
      <c r="ET46" s="4865">
        <f t="shared" ca="1" si="133"/>
        <v>44973.821946173251</v>
      </c>
      <c r="EU46" s="4863">
        <f t="shared" ca="1" si="133"/>
        <v>167205.80236211212</v>
      </c>
      <c r="EV46" s="4863">
        <f t="shared" ca="1" si="132"/>
        <v>183022.55736382119</v>
      </c>
      <c r="EW46" s="4863">
        <f t="shared" ca="1" si="132"/>
        <v>198735.3176211149</v>
      </c>
      <c r="EX46" s="4863">
        <f t="shared" ca="1" si="132"/>
        <v>214498.64375784679</v>
      </c>
      <c r="EY46" s="4863">
        <f t="shared" ref="EY46" ca="1" si="134">EY44+EY45</f>
        <v>231497.93165560297</v>
      </c>
      <c r="EZ46" s="170"/>
      <c r="FA46" s="1319"/>
      <c r="FB46" s="1319"/>
      <c r="FC46" s="511"/>
    </row>
    <row r="47" spans="1:160" s="4" customFormat="1" ht="11.25" customHeight="1">
      <c r="A47" s="4857" t="s">
        <v>950</v>
      </c>
      <c r="B47" s="170"/>
      <c r="C47" s="170"/>
      <c r="D47" s="170"/>
      <c r="E47" s="286"/>
      <c r="F47" s="4858"/>
      <c r="G47" s="170"/>
      <c r="H47" s="170"/>
      <c r="I47" s="170"/>
      <c r="J47" s="286"/>
      <c r="K47" s="4858"/>
      <c r="L47" s="170"/>
      <c r="M47" s="170"/>
      <c r="N47" s="170"/>
      <c r="O47" s="286"/>
      <c r="P47" s="2657"/>
      <c r="Q47" s="2608"/>
      <c r="R47" s="170"/>
      <c r="S47" s="170"/>
      <c r="T47" s="286"/>
      <c r="U47" s="4858"/>
      <c r="V47" s="4859"/>
      <c r="W47" s="170"/>
      <c r="X47" s="170"/>
      <c r="Y47" s="286"/>
      <c r="Z47" s="4858"/>
      <c r="AA47" s="4859"/>
      <c r="AB47" s="170"/>
      <c r="AC47" s="170"/>
      <c r="AD47" s="286"/>
      <c r="AE47" s="4858"/>
      <c r="AF47" s="4859"/>
      <c r="AG47" s="170"/>
      <c r="AH47" s="170"/>
      <c r="AI47" s="286"/>
      <c r="AJ47" s="4858"/>
      <c r="AK47" s="170"/>
      <c r="AL47" s="170"/>
      <c r="AM47" s="170"/>
      <c r="AN47" s="286"/>
      <c r="AO47" s="4858"/>
      <c r="AP47" s="170"/>
      <c r="AQ47" s="170"/>
      <c r="AR47" s="170"/>
      <c r="AS47" s="286"/>
      <c r="AT47" s="4858"/>
      <c r="AU47" s="170"/>
      <c r="AV47" s="170"/>
      <c r="AW47" s="170"/>
      <c r="AX47" s="286"/>
      <c r="AY47" s="4858"/>
      <c r="AZ47" s="170"/>
      <c r="BA47" s="170"/>
      <c r="BB47" s="170"/>
      <c r="BC47" s="170"/>
      <c r="BD47" s="4860"/>
      <c r="BE47" s="4866"/>
      <c r="BF47" s="170"/>
      <c r="BG47" s="170"/>
      <c r="BH47" s="170"/>
      <c r="BI47" s="4860"/>
      <c r="BJ47" s="170"/>
      <c r="BK47" s="170"/>
      <c r="BL47" s="170"/>
      <c r="BM47" s="170"/>
      <c r="BN47" s="4860"/>
      <c r="BO47" s="170"/>
      <c r="BP47" s="170"/>
      <c r="BQ47" s="170"/>
      <c r="BR47" s="286"/>
      <c r="BS47" s="4858"/>
      <c r="BT47" s="170"/>
      <c r="BU47" s="170"/>
      <c r="BV47" s="170"/>
      <c r="BW47" s="170"/>
      <c r="BX47" s="4860"/>
      <c r="BY47" s="170"/>
      <c r="BZ47" s="170"/>
      <c r="CA47" s="170"/>
      <c r="CB47" s="170"/>
      <c r="CC47" s="4860"/>
      <c r="CD47" s="170"/>
      <c r="CE47" s="170"/>
      <c r="CF47" s="170"/>
      <c r="CG47" s="170"/>
      <c r="CH47" s="4860"/>
      <c r="CI47" s="170"/>
      <c r="CJ47" s="170"/>
      <c r="CK47" s="170"/>
      <c r="CL47" s="170"/>
      <c r="CM47" s="4860"/>
      <c r="CN47" s="170"/>
      <c r="CO47" s="170"/>
      <c r="CP47" s="170"/>
      <c r="CQ47" s="170"/>
      <c r="CR47" s="4860"/>
      <c r="CS47" s="170"/>
      <c r="CT47" s="170"/>
      <c r="CU47" s="170"/>
      <c r="CV47" s="170"/>
      <c r="CW47" s="4860"/>
      <c r="CX47" s="170"/>
      <c r="CY47" s="170"/>
      <c r="CZ47" s="170"/>
      <c r="DA47" s="170"/>
      <c r="DB47" s="4860"/>
      <c r="DC47" s="170"/>
      <c r="DD47" s="170"/>
      <c r="DE47" s="170"/>
      <c r="DF47" s="170"/>
      <c r="DG47" s="4863">
        <f>IS!DG33</f>
        <v>4177</v>
      </c>
      <c r="DH47" s="4865"/>
      <c r="DI47" s="4865"/>
      <c r="DJ47" s="4865"/>
      <c r="DK47" s="4865">
        <f>IS!DK33</f>
        <v>33</v>
      </c>
      <c r="DL47" s="4863">
        <f>IS!DL33</f>
        <v>5282</v>
      </c>
      <c r="DM47" s="4865">
        <f>IS!DM33</f>
        <v>921</v>
      </c>
      <c r="DN47" s="4865">
        <f>IS!DN33</f>
        <v>1318</v>
      </c>
      <c r="DO47" s="4865">
        <f>IS!DO33</f>
        <v>2112</v>
      </c>
      <c r="DP47" s="4865">
        <f>IS!DP33</f>
        <v>3462</v>
      </c>
      <c r="DQ47" s="4863">
        <f>IS!DQ33</f>
        <v>7813</v>
      </c>
      <c r="DR47" s="4865">
        <f>IS!DR33</f>
        <v>3353</v>
      </c>
      <c r="DS47" s="4865">
        <f>IS!DS33</f>
        <v>3460</v>
      </c>
      <c r="DT47" s="4865">
        <f>IS!DT33</f>
        <v>4128</v>
      </c>
      <c r="DU47" s="4865">
        <f>IS!DU33</f>
        <v>3760</v>
      </c>
      <c r="DV47" s="4863">
        <f>IS!DV33</f>
        <v>14701</v>
      </c>
      <c r="DW47" s="4865">
        <f>IS!DW33</f>
        <v>2498</v>
      </c>
      <c r="DX47" s="4865">
        <f>IS!DX33</f>
        <v>3012</v>
      </c>
      <c r="DY47" s="4865">
        <f>IS!DY33</f>
        <v>2323</v>
      </c>
      <c r="DZ47" s="4865">
        <f>IS!DZ33</f>
        <v>3523</v>
      </c>
      <c r="EA47" s="4863">
        <f>IS!EA33</f>
        <v>11356</v>
      </c>
      <c r="EB47" s="4865">
        <f>IS!EB33</f>
        <v>3154</v>
      </c>
      <c r="EC47" s="4865">
        <f>IS!EC33</f>
        <v>3535</v>
      </c>
      <c r="ED47" s="4865">
        <f>IS!ED33</f>
        <v>1508</v>
      </c>
      <c r="EE47" s="4865">
        <f>IS!EE33</f>
        <v>3725</v>
      </c>
      <c r="EF47" s="4863">
        <f>IS!EF33</f>
        <v>11922</v>
      </c>
      <c r="EG47" s="4865">
        <f>IS!EG33</f>
        <v>4653</v>
      </c>
      <c r="EH47" s="4865">
        <f>IS!EH33</f>
        <v>3932</v>
      </c>
      <c r="EI47" s="4865">
        <f>IS!EI33</f>
        <v>5405</v>
      </c>
      <c r="EJ47" s="4865">
        <f>IS!EJ33</f>
        <v>5707</v>
      </c>
      <c r="EK47" s="4863">
        <f>IS!EK33</f>
        <v>19697</v>
      </c>
      <c r="EL47" s="4865">
        <f>IS!EL33</f>
        <v>7249</v>
      </c>
      <c r="EM47" s="4865">
        <f>IS!EM33</f>
        <v>5737</v>
      </c>
      <c r="EN47" s="4865">
        <f>IS!EN33</f>
        <v>9008</v>
      </c>
      <c r="EO47" s="4865">
        <f ca="1">IS!EO33</f>
        <v>6509.3221332785633</v>
      </c>
      <c r="EP47" s="4863">
        <f ca="1">IS!EP33</f>
        <v>28503.322133278562</v>
      </c>
      <c r="EQ47" s="4865">
        <f ca="1">IS!EQ33</f>
        <v>6470.5129250531336</v>
      </c>
      <c r="ER47" s="4865">
        <f ca="1">IS!ER33</f>
        <v>6758.6273252684359</v>
      </c>
      <c r="ES47" s="4865">
        <f ca="1">IS!ES33</f>
        <v>6943.7987048877822</v>
      </c>
      <c r="ET47" s="4865">
        <f ca="1">IS!ET33</f>
        <v>7536.1622386272938</v>
      </c>
      <c r="EU47" s="4863">
        <f ca="1">IS!EU33</f>
        <v>27709.101193836643</v>
      </c>
      <c r="EV47" s="4863">
        <f ca="1">IS!EV33</f>
        <v>30841.509283419786</v>
      </c>
      <c r="EW47" s="4863">
        <f ca="1">IS!EW33</f>
        <v>34989.52451806816</v>
      </c>
      <c r="EX47" s="4863">
        <f ca="1">IS!EX33</f>
        <v>39590.106825249844</v>
      </c>
      <c r="EY47" s="4863">
        <f ca="1">IS!EY33</f>
        <v>44927.902197158037</v>
      </c>
      <c r="EZ47" s="170"/>
      <c r="FA47" s="1319"/>
      <c r="FB47" s="1319"/>
      <c r="FC47" s="511"/>
    </row>
    <row r="48" spans="1:160" s="4" customFormat="1" ht="11.25" customHeight="1">
      <c r="A48" s="4927" t="s">
        <v>372</v>
      </c>
      <c r="B48" s="4928"/>
      <c r="C48" s="4928"/>
      <c r="D48" s="4928"/>
      <c r="E48" s="4929"/>
      <c r="F48" s="4930"/>
      <c r="G48" s="4928"/>
      <c r="H48" s="4928"/>
      <c r="I48" s="4928"/>
      <c r="J48" s="4929"/>
      <c r="K48" s="4930"/>
      <c r="L48" s="4928"/>
      <c r="M48" s="4928"/>
      <c r="N48" s="4928"/>
      <c r="O48" s="4929"/>
      <c r="P48" s="4931"/>
      <c r="Q48" s="4085"/>
      <c r="R48" s="4928"/>
      <c r="S48" s="4928"/>
      <c r="T48" s="4929"/>
      <c r="U48" s="4930"/>
      <c r="V48" s="4932"/>
      <c r="W48" s="4928"/>
      <c r="X48" s="4928"/>
      <c r="Y48" s="4929"/>
      <c r="Z48" s="4930"/>
      <c r="AA48" s="4932"/>
      <c r="AB48" s="4928"/>
      <c r="AC48" s="4928"/>
      <c r="AD48" s="4929"/>
      <c r="AE48" s="4930"/>
      <c r="AF48" s="4932"/>
      <c r="AG48" s="4928"/>
      <c r="AH48" s="4928"/>
      <c r="AI48" s="4929"/>
      <c r="AJ48" s="4930"/>
      <c r="AK48" s="4928"/>
      <c r="AL48" s="4928"/>
      <c r="AM48" s="4928"/>
      <c r="AN48" s="4929"/>
      <c r="AO48" s="4930"/>
      <c r="AP48" s="4928"/>
      <c r="AQ48" s="4928"/>
      <c r="AR48" s="4928"/>
      <c r="AS48" s="4929"/>
      <c r="AT48" s="4930"/>
      <c r="AU48" s="4928"/>
      <c r="AV48" s="4928"/>
      <c r="AW48" s="4928"/>
      <c r="AX48" s="4929"/>
      <c r="AY48" s="4930"/>
      <c r="AZ48" s="4928"/>
      <c r="BA48" s="4928"/>
      <c r="BB48" s="4928"/>
      <c r="BC48" s="4928"/>
      <c r="BD48" s="4933"/>
      <c r="BE48" s="4934"/>
      <c r="BF48" s="4928"/>
      <c r="BG48" s="4928"/>
      <c r="BH48" s="4928"/>
      <c r="BI48" s="4933"/>
      <c r="BJ48" s="4928"/>
      <c r="BK48" s="4928"/>
      <c r="BL48" s="4928"/>
      <c r="BM48" s="4928"/>
      <c r="BN48" s="4933"/>
      <c r="BO48" s="4928"/>
      <c r="BP48" s="4928"/>
      <c r="BQ48" s="4928"/>
      <c r="BR48" s="4929"/>
      <c r="BS48" s="4930"/>
      <c r="BT48" s="4928"/>
      <c r="BU48" s="4928"/>
      <c r="BV48" s="4928"/>
      <c r="BW48" s="4928"/>
      <c r="BX48" s="4933"/>
      <c r="BY48" s="4928"/>
      <c r="BZ48" s="4928"/>
      <c r="CA48" s="4928"/>
      <c r="CB48" s="4928"/>
      <c r="CC48" s="4933"/>
      <c r="CD48" s="4928"/>
      <c r="CE48" s="4928"/>
      <c r="CF48" s="4928"/>
      <c r="CG48" s="4928"/>
      <c r="CH48" s="4933"/>
      <c r="CI48" s="4928"/>
      <c r="CJ48" s="4928"/>
      <c r="CK48" s="4928"/>
      <c r="CL48" s="4928"/>
      <c r="CM48" s="4933"/>
      <c r="CN48" s="4928"/>
      <c r="CO48" s="4928"/>
      <c r="CP48" s="4928"/>
      <c r="CQ48" s="4928"/>
      <c r="CR48" s="4933"/>
      <c r="CS48" s="4928"/>
      <c r="CT48" s="4928"/>
      <c r="CU48" s="4928"/>
      <c r="CV48" s="4928"/>
      <c r="CW48" s="4933"/>
      <c r="CX48" s="4928"/>
      <c r="CY48" s="4928"/>
      <c r="CZ48" s="4928"/>
      <c r="DA48" s="4928"/>
      <c r="DB48" s="4933"/>
      <c r="DC48" s="4928"/>
      <c r="DD48" s="4928"/>
      <c r="DE48" s="4928"/>
      <c r="DF48" s="4928"/>
      <c r="DG48" s="4935">
        <f>DG46-DG47</f>
        <v>42092</v>
      </c>
      <c r="DH48" s="4936"/>
      <c r="DI48" s="4936"/>
      <c r="DJ48" s="4936"/>
      <c r="DK48" s="4936">
        <f t="shared" ref="DK48:EF48" si="135">DK46-DK47</f>
        <v>14491</v>
      </c>
      <c r="DL48" s="4935">
        <f t="shared" si="135"/>
        <v>46788</v>
      </c>
      <c r="DM48" s="4936">
        <f t="shared" si="135"/>
        <v>11215</v>
      </c>
      <c r="DN48" s="4936">
        <f t="shared" si="135"/>
        <v>8735</v>
      </c>
      <c r="DO48" s="4936">
        <f t="shared" si="135"/>
        <v>12723</v>
      </c>
      <c r="DP48" s="4936">
        <f t="shared" si="135"/>
        <v>15995</v>
      </c>
      <c r="DQ48" s="4935">
        <f t="shared" si="135"/>
        <v>48668</v>
      </c>
      <c r="DR48" s="4936">
        <f t="shared" si="135"/>
        <v>16867</v>
      </c>
      <c r="DS48" s="4936">
        <f t="shared" si="135"/>
        <v>19258</v>
      </c>
      <c r="DT48" s="4936">
        <f t="shared" si="135"/>
        <v>20249</v>
      </c>
      <c r="DU48" s="4936">
        <f t="shared" si="135"/>
        <v>22328</v>
      </c>
      <c r="DV48" s="4935">
        <f t="shared" si="135"/>
        <v>74979</v>
      </c>
      <c r="DW48" s="4936">
        <f t="shared" si="135"/>
        <v>19152</v>
      </c>
      <c r="DX48" s="4936">
        <f t="shared" si="135"/>
        <v>18103</v>
      </c>
      <c r="DY48" s="4936">
        <f t="shared" si="135"/>
        <v>16251</v>
      </c>
      <c r="DZ48" s="4936">
        <f t="shared" si="135"/>
        <v>16980</v>
      </c>
      <c r="EA48" s="4935">
        <f t="shared" si="135"/>
        <v>70486</v>
      </c>
      <c r="EB48" s="4936">
        <f>EB46-EB47</f>
        <v>18878</v>
      </c>
      <c r="EC48" s="4936">
        <f>EC46-EC47</f>
        <v>20184</v>
      </c>
      <c r="ED48" s="4936">
        <f>ED46-ED47</f>
        <v>22470</v>
      </c>
      <c r="EE48" s="4936">
        <f t="shared" ref="EE48" si="136">EE46-EE47</f>
        <v>23179</v>
      </c>
      <c r="EF48" s="4935">
        <f t="shared" si="135"/>
        <v>84711</v>
      </c>
      <c r="EG48" s="4936">
        <f>EG46-EG47</f>
        <v>23740</v>
      </c>
      <c r="EH48" s="4936">
        <f>EH46-EH47</f>
        <v>26454</v>
      </c>
      <c r="EI48" s="4936">
        <f>EI46-EI47</f>
        <v>26786</v>
      </c>
      <c r="EJ48" s="4936">
        <f t="shared" ref="EJ48" si="137">EJ46-EJ47</f>
        <v>28079</v>
      </c>
      <c r="EK48" s="4935">
        <f t="shared" ref="EK48:EX48" si="138">EK46-EK47</f>
        <v>105059</v>
      </c>
      <c r="EL48" s="4936">
        <f>EL46-EL47</f>
        <v>26898</v>
      </c>
      <c r="EM48" s="4936">
        <f>EM46-EM47</f>
        <v>28785</v>
      </c>
      <c r="EN48" s="4936">
        <f>EN46-EN47</f>
        <v>26718</v>
      </c>
      <c r="EO48" s="4936">
        <f t="shared" ca="1" si="138"/>
        <v>33284.717992810343</v>
      </c>
      <c r="EP48" s="4935">
        <f t="shared" ca="1" si="138"/>
        <v>115685.71799281033</v>
      </c>
      <c r="EQ48" s="4936">
        <f t="shared" ref="EQ48:EU48" ca="1" si="139">EQ46-EQ47</f>
        <v>33396.79095222726</v>
      </c>
      <c r="ER48" s="4936">
        <f t="shared" ca="1" si="139"/>
        <v>34003.007904509417</v>
      </c>
      <c r="ES48" s="4936">
        <f t="shared" ca="1" si="139"/>
        <v>34659.242603992869</v>
      </c>
      <c r="ET48" s="4936">
        <f t="shared" ca="1" si="139"/>
        <v>37437.659707545958</v>
      </c>
      <c r="EU48" s="4935">
        <f t="shared" ca="1" si="139"/>
        <v>139496.7011682755</v>
      </c>
      <c r="EV48" s="4935">
        <f t="shared" ca="1" si="138"/>
        <v>152181.04808040141</v>
      </c>
      <c r="EW48" s="4935">
        <f t="shared" ca="1" si="138"/>
        <v>163745.79310304674</v>
      </c>
      <c r="EX48" s="4935">
        <f t="shared" ca="1" si="138"/>
        <v>174908.53693259694</v>
      </c>
      <c r="EY48" s="4935">
        <f t="shared" ref="EY48" ca="1" si="140">EY46-EY47</f>
        <v>186570.02945844491</v>
      </c>
      <c r="EZ48" s="170"/>
      <c r="FA48" s="1319"/>
      <c r="FB48" s="1319"/>
      <c r="FC48" s="511"/>
    </row>
    <row r="49" spans="1:159" s="4" customFormat="1" ht="11.25" customHeight="1">
      <c r="A49" s="4927" t="s">
        <v>121</v>
      </c>
      <c r="B49" s="4928"/>
      <c r="C49" s="4928"/>
      <c r="D49" s="4928"/>
      <c r="E49" s="4929"/>
      <c r="F49" s="4930"/>
      <c r="G49" s="4928"/>
      <c r="H49" s="4928"/>
      <c r="I49" s="4928"/>
      <c r="J49" s="4929"/>
      <c r="K49" s="4930"/>
      <c r="L49" s="4928"/>
      <c r="M49" s="4928"/>
      <c r="N49" s="4928"/>
      <c r="O49" s="4929"/>
      <c r="P49" s="4931"/>
      <c r="Q49" s="4085"/>
      <c r="R49" s="4928"/>
      <c r="S49" s="4928"/>
      <c r="T49" s="4929"/>
      <c r="U49" s="4930"/>
      <c r="V49" s="4932"/>
      <c r="W49" s="4928"/>
      <c r="X49" s="4928"/>
      <c r="Y49" s="4929"/>
      <c r="Z49" s="4930"/>
      <c r="AA49" s="4932"/>
      <c r="AB49" s="4928"/>
      <c r="AC49" s="4928"/>
      <c r="AD49" s="4929"/>
      <c r="AE49" s="4930"/>
      <c r="AF49" s="4932"/>
      <c r="AG49" s="4928"/>
      <c r="AH49" s="4928"/>
      <c r="AI49" s="4929"/>
      <c r="AJ49" s="4930"/>
      <c r="AK49" s="4928"/>
      <c r="AL49" s="4928"/>
      <c r="AM49" s="4928"/>
      <c r="AN49" s="4929"/>
      <c r="AO49" s="4930"/>
      <c r="AP49" s="4928"/>
      <c r="AQ49" s="4928"/>
      <c r="AR49" s="4928"/>
      <c r="AS49" s="4929"/>
      <c r="AT49" s="4930"/>
      <c r="AU49" s="4928"/>
      <c r="AV49" s="4928"/>
      <c r="AW49" s="4928"/>
      <c r="AX49" s="4929"/>
      <c r="AY49" s="4930"/>
      <c r="AZ49" s="4928"/>
      <c r="BA49" s="4928"/>
      <c r="BB49" s="4928"/>
      <c r="BC49" s="4928"/>
      <c r="BD49" s="4933"/>
      <c r="BE49" s="4934"/>
      <c r="BF49" s="4928"/>
      <c r="BG49" s="4928"/>
      <c r="BH49" s="4928"/>
      <c r="BI49" s="4933"/>
      <c r="BJ49" s="4928"/>
      <c r="BK49" s="4928"/>
      <c r="BL49" s="4928"/>
      <c r="BM49" s="4928"/>
      <c r="BN49" s="4933"/>
      <c r="BO49" s="4928"/>
      <c r="BP49" s="4928"/>
      <c r="BQ49" s="4928"/>
      <c r="BR49" s="4929"/>
      <c r="BS49" s="4930"/>
      <c r="BT49" s="4928"/>
      <c r="BU49" s="4928"/>
      <c r="BV49" s="4928"/>
      <c r="BW49" s="4928"/>
      <c r="BX49" s="4933"/>
      <c r="BY49" s="4928"/>
      <c r="BZ49" s="4928"/>
      <c r="CA49" s="4928"/>
      <c r="CB49" s="4928"/>
      <c r="CC49" s="4933"/>
      <c r="CD49" s="4928"/>
      <c r="CE49" s="4928"/>
      <c r="CF49" s="4928"/>
      <c r="CG49" s="4928"/>
      <c r="CH49" s="4933"/>
      <c r="CI49" s="4928"/>
      <c r="CJ49" s="4928"/>
      <c r="CK49" s="4928"/>
      <c r="CL49" s="4928"/>
      <c r="CM49" s="4933"/>
      <c r="CN49" s="4928"/>
      <c r="CO49" s="4928"/>
      <c r="CP49" s="4928"/>
      <c r="CQ49" s="4928"/>
      <c r="CR49" s="4937"/>
      <c r="CS49" s="4938"/>
      <c r="CT49" s="4938"/>
      <c r="CU49" s="4938"/>
      <c r="CV49" s="4938"/>
      <c r="CW49" s="4937"/>
      <c r="CX49" s="4938"/>
      <c r="CY49" s="4938"/>
      <c r="CZ49" s="4938"/>
      <c r="DA49" s="4938"/>
      <c r="DB49" s="4937"/>
      <c r="DC49" s="4938"/>
      <c r="DD49" s="4938"/>
      <c r="DE49" s="4938"/>
      <c r="DF49" s="4938"/>
      <c r="DG49" s="4937">
        <f>DG48/DG177</f>
        <v>2.992528986303201</v>
      </c>
      <c r="DH49" s="4938"/>
      <c r="DI49" s="4938"/>
      <c r="DJ49" s="4938"/>
      <c r="DK49" s="4938">
        <f t="shared" ref="DK49:EF49" si="141">DK48/DK177</f>
        <v>1.0422270617985772</v>
      </c>
      <c r="DL49" s="4937">
        <f t="shared" si="141"/>
        <v>3.3489059224271767</v>
      </c>
      <c r="DM49" s="4938">
        <f t="shared" si="141"/>
        <v>0.81001983338798467</v>
      </c>
      <c r="DN49" s="4938">
        <f t="shared" si="141"/>
        <v>0.63571287174829416</v>
      </c>
      <c r="DO49" s="4938">
        <f t="shared" si="141"/>
        <v>0.92753382294405051</v>
      </c>
      <c r="DP49" s="4938">
        <f t="shared" si="141"/>
        <v>1.1709901913556837</v>
      </c>
      <c r="DQ49" s="4937">
        <f t="shared" si="141"/>
        <v>3.5419238888094404</v>
      </c>
      <c r="DR49" s="4938">
        <f t="shared" si="141"/>
        <v>1.2364548558727757</v>
      </c>
      <c r="DS49" s="4938">
        <f t="shared" si="141"/>
        <v>1.4168378427691097</v>
      </c>
      <c r="DT49" s="4938">
        <f t="shared" si="141"/>
        <v>1.4965581158844024</v>
      </c>
      <c r="DU49" s="4938">
        <f t="shared" si="141"/>
        <v>1.6600916292065493</v>
      </c>
      <c r="DV49" s="4937">
        <f t="shared" si="141"/>
        <v>5.5320867895502817</v>
      </c>
      <c r="DW49" s="4938">
        <f t="shared" si="141"/>
        <v>1.4344971395443944</v>
      </c>
      <c r="DX49" s="4938">
        <f t="shared" si="141"/>
        <v>1.3673993504041091</v>
      </c>
      <c r="DY49" s="4938">
        <f t="shared" si="141"/>
        <v>1.2408185080552798</v>
      </c>
      <c r="DZ49" s="4938">
        <f t="shared" si="141"/>
        <v>1.3115007337607167</v>
      </c>
      <c r="EA49" s="4937">
        <f t="shared" si="141"/>
        <v>5.3566875568311136</v>
      </c>
      <c r="EB49" s="4938">
        <f>EB48/EB177</f>
        <v>1.4721983935116587</v>
      </c>
      <c r="EC49" s="4938">
        <f>EC48/EC177</f>
        <v>1.581322469445315</v>
      </c>
      <c r="ED49" s="4938">
        <f>ED48/ED177</f>
        <v>1.7698487712665407</v>
      </c>
      <c r="EE49" s="4938">
        <f t="shared" ref="EE49" si="142">EE48/EE177</f>
        <v>1.8393112204411999</v>
      </c>
      <c r="EF49" s="4937">
        <f t="shared" si="141"/>
        <v>6.6590154269431068</v>
      </c>
      <c r="EG49" s="4938">
        <f>EG48/EG177</f>
        <v>1.895106569809212</v>
      </c>
      <c r="EH49" s="4938">
        <f>EH48/EH177</f>
        <v>2.1171668667466985</v>
      </c>
      <c r="EI49" s="4938">
        <f>EI48/EI177</f>
        <v>2.1568564296642241</v>
      </c>
      <c r="EJ49" s="4938">
        <f t="shared" ref="EJ49" si="143">EJ48/EJ177</f>
        <v>2.2739714933592485</v>
      </c>
      <c r="EK49" s="4937">
        <f t="shared" ref="EK49:EX49" si="144">EK48/EK177</f>
        <v>8.4403382273192875</v>
      </c>
      <c r="EL49" s="4938">
        <f>EL48/EL177</f>
        <v>2.1884305589455701</v>
      </c>
      <c r="EM49" s="4938">
        <f>EM48/EM177</f>
        <v>2.3598130841121496</v>
      </c>
      <c r="EN49" s="4938">
        <f>EN48/EN177</f>
        <v>2.1894616078013605</v>
      </c>
      <c r="EO49" s="4938">
        <f t="shared" ca="1" si="144"/>
        <v>2.7263608268972153</v>
      </c>
      <c r="EP49" s="4937">
        <f t="shared" ca="1" si="144"/>
        <v>9.4629517867413657</v>
      </c>
      <c r="EQ49" s="4938">
        <f t="shared" ref="EQ49:EU49" ca="1" si="145">EQ48/EQ177</f>
        <v>2.7350552284963991</v>
      </c>
      <c r="ER49" s="4938">
        <f t="shared" ca="1" si="145"/>
        <v>2.7842056793430965</v>
      </c>
      <c r="ES49" s="4938">
        <f t="shared" ca="1" si="145"/>
        <v>2.8374313791225134</v>
      </c>
      <c r="ET49" s="4938">
        <f t="shared" ca="1" si="145"/>
        <v>3.0643404614226579</v>
      </c>
      <c r="EU49" s="4937">
        <f t="shared" ca="1" si="145"/>
        <v>11.421125917896232</v>
      </c>
      <c r="EV49" s="4937">
        <f t="shared" ca="1" si="144"/>
        <v>12.559440692041038</v>
      </c>
      <c r="EW49" s="4937">
        <f t="shared" ca="1" si="144"/>
        <v>13.633464640124481</v>
      </c>
      <c r="EX49" s="4937">
        <f t="shared" ca="1" si="144"/>
        <v>14.708877504559595</v>
      </c>
      <c r="EY49" s="4937">
        <f t="shared" ref="EY49" ca="1" si="146">EY48/EY177</f>
        <v>15.865235310799148</v>
      </c>
      <c r="EZ49" s="170"/>
      <c r="FA49" s="1319">
        <f ca="1">IF(AND(EV49&gt;0,EK49&gt;0),(EV49/EK49)^(1/3)-1,"NA")</f>
        <v>0.1416600822715679</v>
      </c>
      <c r="FB49" s="1319">
        <f ca="1">IF(AND(EX49&gt;0,EK49&gt;0),(EX49/EK49)^(1/5)-1,"NA")</f>
        <v>0.11749074796934589</v>
      </c>
      <c r="FC49" s="511"/>
    </row>
    <row r="50" spans="1:159" s="4" customFormat="1" ht="11.25" hidden="1" customHeight="1" outlineLevel="1">
      <c r="A50" s="4905"/>
      <c r="B50" s="170"/>
      <c r="C50" s="170"/>
      <c r="D50" s="170"/>
      <c r="E50" s="286"/>
      <c r="F50" s="4858"/>
      <c r="G50" s="170"/>
      <c r="H50" s="170"/>
      <c r="I50" s="170"/>
      <c r="J50" s="286"/>
      <c r="K50" s="4858"/>
      <c r="L50" s="170"/>
      <c r="M50" s="170"/>
      <c r="N50" s="170"/>
      <c r="O50" s="286"/>
      <c r="P50" s="2657"/>
      <c r="Q50" s="2608"/>
      <c r="R50" s="170"/>
      <c r="S50" s="170"/>
      <c r="T50" s="286"/>
      <c r="U50" s="4858"/>
      <c r="V50" s="4859"/>
      <c r="W50" s="170"/>
      <c r="X50" s="170"/>
      <c r="Y50" s="286"/>
      <c r="Z50" s="4858"/>
      <c r="AA50" s="4859"/>
      <c r="AB50" s="170"/>
      <c r="AC50" s="170"/>
      <c r="AD50" s="286"/>
      <c r="AE50" s="4858"/>
      <c r="AF50" s="4859"/>
      <c r="AG50" s="170"/>
      <c r="AH50" s="170"/>
      <c r="AI50" s="286"/>
      <c r="AJ50" s="4858"/>
      <c r="AK50" s="170"/>
      <c r="AL50" s="170"/>
      <c r="AM50" s="170"/>
      <c r="AN50" s="286"/>
      <c r="AO50" s="4858"/>
      <c r="AP50" s="170"/>
      <c r="AQ50" s="170"/>
      <c r="AR50" s="170"/>
      <c r="AS50" s="286"/>
      <c r="AT50" s="4858"/>
      <c r="AU50" s="170"/>
      <c r="AV50" s="170"/>
      <c r="AW50" s="170"/>
      <c r="AX50" s="286"/>
      <c r="AY50" s="4858"/>
      <c r="AZ50" s="170"/>
      <c r="BA50" s="170"/>
      <c r="BB50" s="170"/>
      <c r="BC50" s="170"/>
      <c r="BD50" s="4860"/>
      <c r="BE50" s="4866"/>
      <c r="BF50" s="170"/>
      <c r="BG50" s="170"/>
      <c r="BH50" s="170"/>
      <c r="BI50" s="4860"/>
      <c r="BJ50" s="170"/>
      <c r="BK50" s="170"/>
      <c r="BL50" s="170"/>
      <c r="BM50" s="170"/>
      <c r="BN50" s="4860"/>
      <c r="BO50" s="170"/>
      <c r="BP50" s="170"/>
      <c r="BQ50" s="170"/>
      <c r="BR50" s="286"/>
      <c r="BS50" s="4858"/>
      <c r="BT50" s="170"/>
      <c r="BU50" s="170"/>
      <c r="BV50" s="170"/>
      <c r="BW50" s="170"/>
      <c r="BX50" s="4860"/>
      <c r="BY50" s="170"/>
      <c r="BZ50" s="170"/>
      <c r="CA50" s="170"/>
      <c r="CB50" s="170"/>
      <c r="CC50" s="4860"/>
      <c r="CD50" s="170"/>
      <c r="CE50" s="170"/>
      <c r="CF50" s="170"/>
      <c r="CG50" s="170"/>
      <c r="CH50" s="4860"/>
      <c r="CI50" s="170"/>
      <c r="CJ50" s="170"/>
      <c r="CK50" s="170"/>
      <c r="CL50" s="170"/>
      <c r="CM50" s="4860"/>
      <c r="CN50" s="170"/>
      <c r="CO50" s="170"/>
      <c r="CP50" s="170"/>
      <c r="CQ50" s="170"/>
      <c r="CR50" s="4860"/>
      <c r="CS50" s="170"/>
      <c r="CT50" s="170"/>
      <c r="CU50" s="170"/>
      <c r="CV50" s="170"/>
      <c r="CW50" s="4860"/>
      <c r="CX50" s="170"/>
      <c r="CY50" s="170"/>
      <c r="CZ50" s="170"/>
      <c r="DA50" s="170"/>
      <c r="DB50" s="4860"/>
      <c r="DC50" s="170"/>
      <c r="DD50" s="170"/>
      <c r="DE50" s="170"/>
      <c r="DF50" s="170"/>
      <c r="DG50" s="4863"/>
      <c r="DH50" s="4865"/>
      <c r="DI50" s="4865"/>
      <c r="DJ50" s="4865"/>
      <c r="DK50" s="4865"/>
      <c r="DL50" s="4863"/>
      <c r="DM50" s="4865"/>
      <c r="DN50" s="4865"/>
      <c r="DO50" s="4865"/>
      <c r="DP50" s="4865"/>
      <c r="DQ50" s="4863"/>
      <c r="DR50" s="4865"/>
      <c r="DS50" s="4865"/>
      <c r="DT50" s="4865"/>
      <c r="DU50" s="4865"/>
      <c r="DV50" s="4863"/>
      <c r="DW50" s="4865"/>
      <c r="DX50" s="4865"/>
      <c r="DY50" s="4865"/>
      <c r="DZ50" s="4865"/>
      <c r="EA50" s="4863"/>
      <c r="EB50" s="4865"/>
      <c r="EC50" s="4865"/>
      <c r="ED50" s="4865"/>
      <c r="EE50" s="4865"/>
      <c r="EF50" s="4863"/>
      <c r="EG50" s="4865"/>
      <c r="EH50" s="4865"/>
      <c r="EI50" s="4865"/>
      <c r="EJ50" s="4865"/>
      <c r="EK50" s="4863"/>
      <c r="EL50" s="4865"/>
      <c r="EM50" s="4865"/>
      <c r="EN50" s="4865"/>
      <c r="EO50" s="4865"/>
      <c r="EP50" s="4863"/>
      <c r="EQ50" s="4865"/>
      <c r="ER50" s="4865"/>
      <c r="ES50" s="4865"/>
      <c r="ET50" s="4865"/>
      <c r="EU50" s="4863"/>
      <c r="EV50" s="4863"/>
      <c r="EW50" s="4863"/>
      <c r="EX50" s="4863"/>
      <c r="EY50" s="4863"/>
      <c r="EZ50" s="170"/>
      <c r="FA50" s="1319"/>
      <c r="FB50" s="1319"/>
      <c r="FC50" s="511"/>
    </row>
    <row r="51" spans="1:159" s="4" customFormat="1" ht="11.25" customHeight="1" collapsed="1">
      <c r="A51" s="4857" t="s">
        <v>728</v>
      </c>
      <c r="B51" s="170"/>
      <c r="C51" s="170"/>
      <c r="D51" s="170"/>
      <c r="E51" s="286"/>
      <c r="F51" s="4858"/>
      <c r="G51" s="170"/>
      <c r="H51" s="170"/>
      <c r="I51" s="170"/>
      <c r="J51" s="286"/>
      <c r="K51" s="4858"/>
      <c r="L51" s="170"/>
      <c r="M51" s="170"/>
      <c r="N51" s="170"/>
      <c r="O51" s="286"/>
      <c r="P51" s="2657"/>
      <c r="Q51" s="2608"/>
      <c r="R51" s="170"/>
      <c r="S51" s="170"/>
      <c r="T51" s="286"/>
      <c r="U51" s="4858"/>
      <c r="V51" s="4859"/>
      <c r="W51" s="170"/>
      <c r="X51" s="170"/>
      <c r="Y51" s="286"/>
      <c r="Z51" s="4858"/>
      <c r="AA51" s="4859"/>
      <c r="AB51" s="170"/>
      <c r="AC51" s="170"/>
      <c r="AD51" s="286"/>
      <c r="AE51" s="4858"/>
      <c r="AF51" s="4859"/>
      <c r="AG51" s="170"/>
      <c r="AH51" s="170"/>
      <c r="AI51" s="286"/>
      <c r="AJ51" s="4858"/>
      <c r="AK51" s="170"/>
      <c r="AL51" s="170"/>
      <c r="AM51" s="170"/>
      <c r="AN51" s="286"/>
      <c r="AO51" s="4858"/>
      <c r="AP51" s="170"/>
      <c r="AQ51" s="170"/>
      <c r="AR51" s="170"/>
      <c r="AS51" s="286"/>
      <c r="AT51" s="4858"/>
      <c r="AU51" s="170"/>
      <c r="AV51" s="170"/>
      <c r="AW51" s="170"/>
      <c r="AX51" s="286"/>
      <c r="AY51" s="4858"/>
      <c r="AZ51" s="170"/>
      <c r="BA51" s="170"/>
      <c r="BB51" s="170"/>
      <c r="BC51" s="170"/>
      <c r="BD51" s="4860"/>
      <c r="BE51" s="4866"/>
      <c r="BF51" s="170"/>
      <c r="BG51" s="170"/>
      <c r="BH51" s="170"/>
      <c r="BI51" s="4860"/>
      <c r="BJ51" s="170"/>
      <c r="BK51" s="170"/>
      <c r="BL51" s="170"/>
      <c r="BM51" s="170"/>
      <c r="BN51" s="4860"/>
      <c r="BO51" s="170"/>
      <c r="BP51" s="170"/>
      <c r="BQ51" s="170"/>
      <c r="BR51" s="286"/>
      <c r="BS51" s="4858"/>
      <c r="BT51" s="170"/>
      <c r="BU51" s="170"/>
      <c r="BV51" s="170"/>
      <c r="BW51" s="170"/>
      <c r="BX51" s="4860"/>
      <c r="BY51" s="170"/>
      <c r="BZ51" s="170"/>
      <c r="CA51" s="170"/>
      <c r="CB51" s="170"/>
      <c r="CC51" s="4860"/>
      <c r="CD51" s="170"/>
      <c r="CE51" s="170"/>
      <c r="CF51" s="170"/>
      <c r="CG51" s="170"/>
      <c r="CH51" s="4860"/>
      <c r="CI51" s="170"/>
      <c r="CJ51" s="170"/>
      <c r="CK51" s="170"/>
      <c r="CL51" s="170"/>
      <c r="CM51" s="4860"/>
      <c r="CN51" s="170"/>
      <c r="CO51" s="170"/>
      <c r="CP51" s="170"/>
      <c r="CQ51" s="170"/>
      <c r="CR51" s="4860"/>
      <c r="CS51" s="170"/>
      <c r="CT51" s="170"/>
      <c r="CU51" s="170"/>
      <c r="CV51" s="170"/>
      <c r="CW51" s="4860"/>
      <c r="CX51" s="170"/>
      <c r="CY51" s="170"/>
      <c r="CZ51" s="170"/>
      <c r="DA51" s="170"/>
      <c r="DB51" s="4860"/>
      <c r="DC51" s="170"/>
      <c r="DD51" s="170"/>
      <c r="DE51" s="170"/>
      <c r="DF51" s="170"/>
      <c r="DG51" s="4863">
        <f>DG179-DG89-DG125</f>
        <v>6664.7</v>
      </c>
      <c r="DH51" s="4865"/>
      <c r="DI51" s="4865"/>
      <c r="DJ51" s="4865"/>
      <c r="DK51" s="4865"/>
      <c r="DL51" s="4863">
        <f>DL179-DL89-DL125</f>
        <v>8182.8799999999992</v>
      </c>
      <c r="DM51" s="4865"/>
      <c r="DN51" s="4865"/>
      <c r="DO51" s="4865"/>
      <c r="DP51" s="4865"/>
      <c r="DQ51" s="4863">
        <f>DQ179-DQ89-DQ125</f>
        <v>9141.1759999999995</v>
      </c>
      <c r="DR51" s="4865"/>
      <c r="DS51" s="4865"/>
      <c r="DT51" s="4865"/>
      <c r="DU51" s="4865"/>
      <c r="DV51" s="4863">
        <f>DV$40*DV71</f>
        <v>8313.5150000000012</v>
      </c>
      <c r="DW51" s="4865"/>
      <c r="DX51" s="4865"/>
      <c r="DY51" s="4865"/>
      <c r="DZ51" s="4865"/>
      <c r="EA51" s="4863">
        <f>EA$40*EA71</f>
        <v>10445.3536</v>
      </c>
      <c r="EB51" s="4865"/>
      <c r="EC51" s="4865"/>
      <c r="ED51" s="4865"/>
      <c r="EE51" s="4865"/>
      <c r="EF51" s="4863">
        <f>EF$40*EF71</f>
        <v>9266.4620000000014</v>
      </c>
      <c r="EG51" s="4865"/>
      <c r="EH51" s="4865"/>
      <c r="EI51" s="4865"/>
      <c r="EJ51" s="4865"/>
      <c r="EK51" s="4863">
        <f t="shared" ref="EK51:EW52" si="147">EK$40*EK71</f>
        <v>10489.592000000001</v>
      </c>
      <c r="EL51" s="4865"/>
      <c r="EM51" s="4865"/>
      <c r="EN51" s="4865"/>
      <c r="EO51" s="4865"/>
      <c r="EP51" s="4863">
        <f t="shared" ref="EP51" si="148">EP$40*EP71</f>
        <v>14038.989014291827</v>
      </c>
      <c r="EQ51" s="4865"/>
      <c r="ER51" s="4865"/>
      <c r="ES51" s="4865"/>
      <c r="ET51" s="4865"/>
      <c r="EU51" s="4863">
        <f t="shared" ref="EU51:EU52" si="149">EU$40*EU71</f>
        <v>19606.092337387687</v>
      </c>
      <c r="EV51" s="4863">
        <f t="shared" si="147"/>
        <v>25274.425161132716</v>
      </c>
      <c r="EW51" s="4863">
        <f t="shared" si="147"/>
        <v>28001.496435850953</v>
      </c>
      <c r="EX51" s="4863">
        <f t="shared" ref="EX51:EY51" si="150">EX$40*EX71</f>
        <v>30078.819954600687</v>
      </c>
      <c r="EY51" s="4863">
        <f t="shared" si="150"/>
        <v>31984.934467726762</v>
      </c>
      <c r="EZ51" s="170"/>
      <c r="FA51" s="1319"/>
      <c r="FB51" s="1319"/>
      <c r="FC51" s="511"/>
    </row>
    <row r="52" spans="1:159" s="4" customFormat="1" ht="11.25" customHeight="1">
      <c r="A52" s="4857" t="s">
        <v>374</v>
      </c>
      <c r="B52" s="170"/>
      <c r="C52" s="170"/>
      <c r="D52" s="170"/>
      <c r="E52" s="286"/>
      <c r="F52" s="4858"/>
      <c r="G52" s="170"/>
      <c r="H52" s="170"/>
      <c r="I52" s="170"/>
      <c r="J52" s="286"/>
      <c r="K52" s="4858"/>
      <c r="L52" s="170"/>
      <c r="M52" s="170"/>
      <c r="N52" s="170"/>
      <c r="O52" s="286"/>
      <c r="P52" s="2657"/>
      <c r="Q52" s="2608"/>
      <c r="R52" s="170"/>
      <c r="S52" s="170"/>
      <c r="T52" s="286"/>
      <c r="U52" s="4858"/>
      <c r="V52" s="4859"/>
      <c r="W52" s="170"/>
      <c r="X52" s="170"/>
      <c r="Y52" s="286"/>
      <c r="Z52" s="4858"/>
      <c r="AA52" s="4859"/>
      <c r="AB52" s="170"/>
      <c r="AC52" s="170"/>
      <c r="AD52" s="286"/>
      <c r="AE52" s="4858"/>
      <c r="AF52" s="4859"/>
      <c r="AG52" s="170"/>
      <c r="AH52" s="170"/>
      <c r="AI52" s="286"/>
      <c r="AJ52" s="4858"/>
      <c r="AK52" s="170"/>
      <c r="AL52" s="170"/>
      <c r="AM52" s="170"/>
      <c r="AN52" s="286"/>
      <c r="AO52" s="4858"/>
      <c r="AP52" s="170"/>
      <c r="AQ52" s="170"/>
      <c r="AR52" s="170"/>
      <c r="AS52" s="286"/>
      <c r="AT52" s="4858"/>
      <c r="AU52" s="170"/>
      <c r="AV52" s="170"/>
      <c r="AW52" s="170"/>
      <c r="AX52" s="286"/>
      <c r="AY52" s="4858"/>
      <c r="AZ52" s="170"/>
      <c r="BA52" s="170"/>
      <c r="BB52" s="170"/>
      <c r="BC52" s="170"/>
      <c r="BD52" s="4860"/>
      <c r="BE52" s="4866"/>
      <c r="BF52" s="170"/>
      <c r="BG52" s="170"/>
      <c r="BH52" s="170"/>
      <c r="BI52" s="4860"/>
      <c r="BJ52" s="170"/>
      <c r="BK52" s="170"/>
      <c r="BL52" s="170"/>
      <c r="BM52" s="170"/>
      <c r="BN52" s="4860"/>
      <c r="BO52" s="170"/>
      <c r="BP52" s="170"/>
      <c r="BQ52" s="170"/>
      <c r="BR52" s="286"/>
      <c r="BS52" s="4858"/>
      <c r="BT52" s="170"/>
      <c r="BU52" s="170"/>
      <c r="BV52" s="170"/>
      <c r="BW52" s="170"/>
      <c r="BX52" s="4860"/>
      <c r="BY52" s="170"/>
      <c r="BZ52" s="170"/>
      <c r="CA52" s="170"/>
      <c r="CB52" s="170"/>
      <c r="CC52" s="4860"/>
      <c r="CD52" s="170"/>
      <c r="CE52" s="170"/>
      <c r="CF52" s="170"/>
      <c r="CG52" s="170"/>
      <c r="CH52" s="4860"/>
      <c r="CI52" s="170"/>
      <c r="CJ52" s="170"/>
      <c r="CK52" s="170"/>
      <c r="CL52" s="170"/>
      <c r="CM52" s="4860"/>
      <c r="CN52" s="170"/>
      <c r="CO52" s="170"/>
      <c r="CP52" s="170"/>
      <c r="CQ52" s="170"/>
      <c r="CR52" s="4860"/>
      <c r="CS52" s="170"/>
      <c r="CT52" s="170"/>
      <c r="CU52" s="170"/>
      <c r="CV52" s="170"/>
      <c r="CW52" s="4860"/>
      <c r="CX52" s="170"/>
      <c r="CY52" s="170"/>
      <c r="CZ52" s="170"/>
      <c r="DA52" s="170"/>
      <c r="DB52" s="4860"/>
      <c r="DC52" s="170"/>
      <c r="DD52" s="170"/>
      <c r="DE52" s="170"/>
      <c r="DF52" s="170"/>
      <c r="DG52" s="4863">
        <f>DG180-DG90-DG126</f>
        <v>7589.5818312702022</v>
      </c>
      <c r="DH52" s="4865"/>
      <c r="DI52" s="4865"/>
      <c r="DJ52" s="4865"/>
      <c r="DK52" s="4865"/>
      <c r="DL52" s="4863">
        <f>DL180-DL90-DL126</f>
        <v>8698.097798377752</v>
      </c>
      <c r="DM52" s="4865"/>
      <c r="DN52" s="4865"/>
      <c r="DO52" s="4865"/>
      <c r="DP52" s="4865"/>
      <c r="DQ52" s="4863">
        <f>DQ180-DQ90-DQ126</f>
        <v>10131.130937977217</v>
      </c>
      <c r="DR52" s="4865"/>
      <c r="DS52" s="4865"/>
      <c r="DT52" s="4865"/>
      <c r="DU52" s="4865"/>
      <c r="DV52" s="4863">
        <f>DV$40*DV72</f>
        <v>11401.392</v>
      </c>
      <c r="DW52" s="4865"/>
      <c r="DX52" s="4865"/>
      <c r="DY52" s="4865"/>
      <c r="DZ52" s="4865"/>
      <c r="EA52" s="4863">
        <f>EA$40*EA72</f>
        <v>13944.04</v>
      </c>
      <c r="EB52" s="4865"/>
      <c r="EC52" s="4865"/>
      <c r="ED52" s="4865"/>
      <c r="EE52" s="4865"/>
      <c r="EF52" s="4863">
        <f>EF$40*EF72</f>
        <v>16052.7827</v>
      </c>
      <c r="EG52" s="4865"/>
      <c r="EH52" s="4865"/>
      <c r="EI52" s="4865"/>
      <c r="EJ52" s="4865"/>
      <c r="EK52" s="4863">
        <f t="shared" si="147"/>
        <v>16161.289999999999</v>
      </c>
      <c r="EL52" s="4865"/>
      <c r="EM52" s="4865"/>
      <c r="EN52" s="4865"/>
      <c r="EO52" s="4865"/>
      <c r="EP52" s="4863">
        <f t="shared" ref="EP52" si="151">EP$40*EP72</f>
        <v>17189.20118335243</v>
      </c>
      <c r="EQ52" s="4865"/>
      <c r="ER52" s="4865"/>
      <c r="ES52" s="4865"/>
      <c r="ET52" s="4865"/>
      <c r="EU52" s="4863">
        <f t="shared" si="149"/>
        <v>19875.195565547911</v>
      </c>
      <c r="EV52" s="4863">
        <f t="shared" si="147"/>
        <v>21272.641177286703</v>
      </c>
      <c r="EW52" s="4863">
        <f t="shared" si="147"/>
        <v>22785.531413486562</v>
      </c>
      <c r="EX52" s="4863">
        <f t="shared" ref="EX52:EY52" si="152">EX$40*EX72</f>
        <v>24309.603668226457</v>
      </c>
      <c r="EY52" s="4863">
        <f t="shared" si="152"/>
        <v>25905.153535844816</v>
      </c>
      <c r="EZ52" s="170"/>
      <c r="FA52" s="1319"/>
      <c r="FB52" s="1319"/>
      <c r="FC52" s="511"/>
    </row>
    <row r="53" spans="1:159" s="4" customFormat="1" ht="11.25" customHeight="1">
      <c r="A53" s="4927" t="s">
        <v>897</v>
      </c>
      <c r="B53" s="4928"/>
      <c r="C53" s="4928"/>
      <c r="D53" s="4928"/>
      <c r="E53" s="4929"/>
      <c r="F53" s="4930"/>
      <c r="G53" s="4928"/>
      <c r="H53" s="4928"/>
      <c r="I53" s="4928"/>
      <c r="J53" s="4929"/>
      <c r="K53" s="4930"/>
      <c r="L53" s="4928"/>
      <c r="M53" s="4928"/>
      <c r="N53" s="4928"/>
      <c r="O53" s="4929"/>
      <c r="P53" s="4931"/>
      <c r="Q53" s="4085"/>
      <c r="R53" s="4928"/>
      <c r="S53" s="4928"/>
      <c r="T53" s="4929"/>
      <c r="U53" s="4930"/>
      <c r="V53" s="4932"/>
      <c r="W53" s="4928"/>
      <c r="X53" s="4928"/>
      <c r="Y53" s="4929"/>
      <c r="Z53" s="4930"/>
      <c r="AA53" s="4932"/>
      <c r="AB53" s="4928"/>
      <c r="AC53" s="4928"/>
      <c r="AD53" s="4929"/>
      <c r="AE53" s="4930"/>
      <c r="AF53" s="4932"/>
      <c r="AG53" s="4928"/>
      <c r="AH53" s="4928"/>
      <c r="AI53" s="4929"/>
      <c r="AJ53" s="4930"/>
      <c r="AK53" s="4928"/>
      <c r="AL53" s="4928"/>
      <c r="AM53" s="4928"/>
      <c r="AN53" s="4929"/>
      <c r="AO53" s="4930"/>
      <c r="AP53" s="4928"/>
      <c r="AQ53" s="4928"/>
      <c r="AR53" s="4928"/>
      <c r="AS53" s="4929"/>
      <c r="AT53" s="4930"/>
      <c r="AU53" s="4928"/>
      <c r="AV53" s="4928"/>
      <c r="AW53" s="4928"/>
      <c r="AX53" s="4929"/>
      <c r="AY53" s="4930"/>
      <c r="AZ53" s="4928"/>
      <c r="BA53" s="4928"/>
      <c r="BB53" s="4928"/>
      <c r="BC53" s="4928"/>
      <c r="BD53" s="4933"/>
      <c r="BE53" s="4934"/>
      <c r="BF53" s="4928"/>
      <c r="BG53" s="4928"/>
      <c r="BH53" s="4928"/>
      <c r="BI53" s="4933"/>
      <c r="BJ53" s="4928"/>
      <c r="BK53" s="4928"/>
      <c r="BL53" s="4928"/>
      <c r="BM53" s="4928"/>
      <c r="BN53" s="4933"/>
      <c r="BO53" s="4928"/>
      <c r="BP53" s="4928"/>
      <c r="BQ53" s="4928"/>
      <c r="BR53" s="4929"/>
      <c r="BS53" s="4930"/>
      <c r="BT53" s="4928"/>
      <c r="BU53" s="4928"/>
      <c r="BV53" s="4928"/>
      <c r="BW53" s="4928"/>
      <c r="BX53" s="4933"/>
      <c r="BY53" s="4928"/>
      <c r="BZ53" s="4928"/>
      <c r="CA53" s="4928"/>
      <c r="CB53" s="4928"/>
      <c r="CC53" s="4933"/>
      <c r="CD53" s="4928"/>
      <c r="CE53" s="4928"/>
      <c r="CF53" s="4928"/>
      <c r="CG53" s="4928"/>
      <c r="CH53" s="4933"/>
      <c r="CI53" s="4928"/>
      <c r="CJ53" s="4928"/>
      <c r="CK53" s="4928"/>
      <c r="CL53" s="4928"/>
      <c r="CM53" s="4933"/>
      <c r="CN53" s="4928"/>
      <c r="CO53" s="4928"/>
      <c r="CP53" s="4928"/>
      <c r="CQ53" s="4928"/>
      <c r="CR53" s="4933"/>
      <c r="CS53" s="4928"/>
      <c r="CT53" s="4928"/>
      <c r="CU53" s="4928"/>
      <c r="CV53" s="4928"/>
      <c r="CW53" s="4933"/>
      <c r="CX53" s="4928"/>
      <c r="CY53" s="4928"/>
      <c r="CZ53" s="4928"/>
      <c r="DA53" s="4928"/>
      <c r="DB53" s="4933"/>
      <c r="DC53" s="4928"/>
      <c r="DD53" s="4928"/>
      <c r="DE53" s="4928"/>
      <c r="DF53" s="4928"/>
      <c r="DG53" s="4935">
        <f>DG44+DG51+DG52</f>
        <v>57391.2818312702</v>
      </c>
      <c r="DH53" s="4936"/>
      <c r="DI53" s="4936"/>
      <c r="DJ53" s="4936"/>
      <c r="DK53" s="4936"/>
      <c r="DL53" s="4935">
        <f>DL44+DL51+DL52</f>
        <v>65879.977798377746</v>
      </c>
      <c r="DM53" s="4936"/>
      <c r="DN53" s="4936"/>
      <c r="DO53" s="4936"/>
      <c r="DP53" s="4936"/>
      <c r="DQ53" s="4935">
        <f>DQ44+DQ51+DQ52</f>
        <v>73878.306937977221</v>
      </c>
      <c r="DR53" s="4936"/>
      <c r="DS53" s="4936"/>
      <c r="DT53" s="4936"/>
      <c r="DU53" s="4936"/>
      <c r="DV53" s="4935">
        <f>DV44+DV51+DV52</f>
        <v>107846.90700000001</v>
      </c>
      <c r="DW53" s="4936"/>
      <c r="DX53" s="4936"/>
      <c r="DY53" s="4936"/>
      <c r="DZ53" s="4936"/>
      <c r="EA53" s="4935">
        <f>EA44+EA51+EA52</f>
        <v>107088.39360000001</v>
      </c>
      <c r="EB53" s="4936"/>
      <c r="EC53" s="4936"/>
      <c r="ED53" s="4936"/>
      <c r="EE53" s="4936"/>
      <c r="EF53" s="4935">
        <f>EF44+EF51+EF52</f>
        <v>121177.2447</v>
      </c>
      <c r="EG53" s="4936"/>
      <c r="EH53" s="4936"/>
      <c r="EI53" s="4936"/>
      <c r="EJ53" s="4936"/>
      <c r="EK53" s="4935">
        <f>EK44+EK51+EK52</f>
        <v>147913.88200000001</v>
      </c>
      <c r="EL53" s="4936"/>
      <c r="EM53" s="4936"/>
      <c r="EN53" s="4936"/>
      <c r="EO53" s="4936"/>
      <c r="EP53" s="4935">
        <f>EP44+EP51+EP52</f>
        <v>169343.44655885466</v>
      </c>
      <c r="EQ53" s="4936"/>
      <c r="ER53" s="4936"/>
      <c r="ES53" s="4936"/>
      <c r="ET53" s="4936"/>
      <c r="EU53" s="4935">
        <f>EU44+EU51+EU52</f>
        <v>203443.45286235452</v>
      </c>
      <c r="EV53" s="4935">
        <f>EV44+EV51+EV52</f>
        <v>226837.96582116612</v>
      </c>
      <c r="EW53" s="4935">
        <f>EW44+EW51+EW52</f>
        <v>247072.02737515548</v>
      </c>
      <c r="EX53" s="4935">
        <f>EX44+EX51+EX52</f>
        <v>266172.9018277615</v>
      </c>
      <c r="EY53" s="4935">
        <f>EY44+EY51+EY52</f>
        <v>285749.70379845146</v>
      </c>
      <c r="EZ53" s="170"/>
      <c r="FA53" s="1319"/>
      <c r="FB53" s="1319"/>
      <c r="FC53" s="511"/>
    </row>
    <row r="54" spans="1:159" s="4" customFormat="1" ht="11.25" hidden="1" customHeight="1" outlineLevel="1">
      <c r="A54" s="4905"/>
      <c r="B54" s="170"/>
      <c r="C54" s="170"/>
      <c r="D54" s="170"/>
      <c r="E54" s="286"/>
      <c r="F54" s="4858"/>
      <c r="G54" s="170"/>
      <c r="H54" s="170"/>
      <c r="I54" s="170"/>
      <c r="J54" s="286"/>
      <c r="K54" s="4858"/>
      <c r="L54" s="170"/>
      <c r="M54" s="170"/>
      <c r="N54" s="170"/>
      <c r="O54" s="286"/>
      <c r="P54" s="2657"/>
      <c r="Q54" s="2608"/>
      <c r="R54" s="170"/>
      <c r="S54" s="170"/>
      <c r="T54" s="286"/>
      <c r="U54" s="4858"/>
      <c r="V54" s="4859"/>
      <c r="W54" s="170"/>
      <c r="X54" s="170"/>
      <c r="Y54" s="286"/>
      <c r="Z54" s="4858"/>
      <c r="AA54" s="4859"/>
      <c r="AB54" s="170"/>
      <c r="AC54" s="170"/>
      <c r="AD54" s="286"/>
      <c r="AE54" s="4858"/>
      <c r="AF54" s="4859"/>
      <c r="AG54" s="170"/>
      <c r="AH54" s="170"/>
      <c r="AI54" s="286"/>
      <c r="AJ54" s="4858"/>
      <c r="AK54" s="170"/>
      <c r="AL54" s="170"/>
      <c r="AM54" s="170"/>
      <c r="AN54" s="286"/>
      <c r="AO54" s="4858"/>
      <c r="AP54" s="170"/>
      <c r="AQ54" s="170"/>
      <c r="AR54" s="170"/>
      <c r="AS54" s="286"/>
      <c r="AT54" s="4858"/>
      <c r="AU54" s="170"/>
      <c r="AV54" s="170"/>
      <c r="AW54" s="170"/>
      <c r="AX54" s="286"/>
      <c r="AY54" s="4858"/>
      <c r="AZ54" s="170"/>
      <c r="BA54" s="170"/>
      <c r="BB54" s="170"/>
      <c r="BC54" s="170"/>
      <c r="BD54" s="4860"/>
      <c r="BE54" s="4866"/>
      <c r="BF54" s="170"/>
      <c r="BG54" s="170"/>
      <c r="BH54" s="170"/>
      <c r="BI54" s="4860"/>
      <c r="BJ54" s="170"/>
      <c r="BK54" s="170"/>
      <c r="BL54" s="170"/>
      <c r="BM54" s="170"/>
      <c r="BN54" s="4860"/>
      <c r="BO54" s="170"/>
      <c r="BP54" s="170"/>
      <c r="BQ54" s="170"/>
      <c r="BR54" s="286"/>
      <c r="BS54" s="4858"/>
      <c r="BT54" s="170"/>
      <c r="BU54" s="170"/>
      <c r="BV54" s="170"/>
      <c r="BW54" s="170"/>
      <c r="BX54" s="4860"/>
      <c r="BY54" s="170"/>
      <c r="BZ54" s="170"/>
      <c r="CA54" s="170"/>
      <c r="CB54" s="170"/>
      <c r="CC54" s="4860"/>
      <c r="CD54" s="170"/>
      <c r="CE54" s="170"/>
      <c r="CF54" s="170"/>
      <c r="CG54" s="170"/>
      <c r="CH54" s="4860"/>
      <c r="CI54" s="170"/>
      <c r="CJ54" s="170"/>
      <c r="CK54" s="170"/>
      <c r="CL54" s="170"/>
      <c r="CM54" s="4860"/>
      <c r="CN54" s="170"/>
      <c r="CO54" s="170"/>
      <c r="CP54" s="170"/>
      <c r="CQ54" s="170"/>
      <c r="CR54" s="4860"/>
      <c r="CS54" s="170"/>
      <c r="CT54" s="170"/>
      <c r="CU54" s="170"/>
      <c r="CV54" s="170"/>
      <c r="CW54" s="4860"/>
      <c r="CX54" s="170"/>
      <c r="CY54" s="170"/>
      <c r="CZ54" s="170"/>
      <c r="DA54" s="170"/>
      <c r="DB54" s="4860"/>
      <c r="DC54" s="170"/>
      <c r="DD54" s="170"/>
      <c r="DE54" s="170"/>
      <c r="DF54" s="170"/>
      <c r="DG54" s="4863"/>
      <c r="DH54" s="4865"/>
      <c r="DI54" s="4865"/>
      <c r="DJ54" s="4865"/>
      <c r="DK54" s="4865"/>
      <c r="DL54" s="4863"/>
      <c r="DM54" s="4865"/>
      <c r="DN54" s="4865"/>
      <c r="DO54" s="4865"/>
      <c r="DP54" s="4865"/>
      <c r="DQ54" s="4863"/>
      <c r="DR54" s="4865"/>
      <c r="DS54" s="4865"/>
      <c r="DT54" s="4865"/>
      <c r="DU54" s="4865"/>
      <c r="DV54" s="4863"/>
      <c r="DW54" s="4865"/>
      <c r="DX54" s="4865"/>
      <c r="DY54" s="4865"/>
      <c r="DZ54" s="4865"/>
      <c r="EA54" s="4863"/>
      <c r="EB54" s="4865"/>
      <c r="EC54" s="4865"/>
      <c r="ED54" s="4865"/>
      <c r="EE54" s="4865"/>
      <c r="EF54" s="2958"/>
      <c r="EG54" s="4865"/>
      <c r="EH54" s="4865"/>
      <c r="EI54" s="4865"/>
      <c r="EJ54" s="4865"/>
      <c r="EK54" s="2958"/>
      <c r="EL54" s="4865"/>
      <c r="EM54" s="4865"/>
      <c r="EN54" s="4865"/>
      <c r="EO54" s="4865"/>
      <c r="EP54" s="2958"/>
      <c r="EQ54" s="4865"/>
      <c r="ER54" s="4865"/>
      <c r="ES54" s="4865"/>
      <c r="ET54" s="4865"/>
      <c r="EU54" s="2958"/>
      <c r="EV54" s="2958"/>
      <c r="EW54" s="2958"/>
      <c r="EX54" s="2958"/>
      <c r="EY54" s="2958"/>
      <c r="EZ54" s="170"/>
      <c r="FA54" s="1319"/>
      <c r="FB54" s="1319"/>
      <c r="FC54" s="511"/>
    </row>
    <row r="55" spans="1:159" s="4" customFormat="1" ht="11.25" hidden="1" customHeight="1" outlineLevel="1">
      <c r="A55" s="4916" t="s">
        <v>359</v>
      </c>
      <c r="B55" s="4917"/>
      <c r="C55" s="4917"/>
      <c r="D55" s="4917"/>
      <c r="E55" s="4918"/>
      <c r="F55" s="4919"/>
      <c r="G55" s="4917"/>
      <c r="H55" s="4917"/>
      <c r="I55" s="4917"/>
      <c r="J55" s="4918"/>
      <c r="K55" s="4919"/>
      <c r="L55" s="4917"/>
      <c r="M55" s="4917"/>
      <c r="N55" s="4917"/>
      <c r="O55" s="4918"/>
      <c r="P55" s="4920"/>
      <c r="Q55" s="4921"/>
      <c r="R55" s="4917"/>
      <c r="S55" s="4917"/>
      <c r="T55" s="4918"/>
      <c r="U55" s="4919"/>
      <c r="V55" s="4922"/>
      <c r="W55" s="4917"/>
      <c r="X55" s="4917"/>
      <c r="Y55" s="4918"/>
      <c r="Z55" s="4919"/>
      <c r="AA55" s="4922"/>
      <c r="AB55" s="4917"/>
      <c r="AC55" s="4917"/>
      <c r="AD55" s="4918"/>
      <c r="AE55" s="4919"/>
      <c r="AF55" s="4922"/>
      <c r="AG55" s="4917"/>
      <c r="AH55" s="4917"/>
      <c r="AI55" s="4918"/>
      <c r="AJ55" s="4919"/>
      <c r="AK55" s="4917"/>
      <c r="AL55" s="4917"/>
      <c r="AM55" s="4917"/>
      <c r="AN55" s="4918"/>
      <c r="AO55" s="4919"/>
      <c r="AP55" s="4917"/>
      <c r="AQ55" s="4917"/>
      <c r="AR55" s="4917"/>
      <c r="AS55" s="4918"/>
      <c r="AT55" s="4919"/>
      <c r="AU55" s="4917"/>
      <c r="AV55" s="4917"/>
      <c r="AW55" s="4917"/>
      <c r="AX55" s="4918"/>
      <c r="AY55" s="4919"/>
      <c r="AZ55" s="4917"/>
      <c r="BA55" s="4917"/>
      <c r="BB55" s="4917"/>
      <c r="BC55" s="4917"/>
      <c r="BD55" s="4923"/>
      <c r="BE55" s="4924"/>
      <c r="BF55" s="4917"/>
      <c r="BG55" s="4917"/>
      <c r="BH55" s="4917"/>
      <c r="BI55" s="4923"/>
      <c r="BJ55" s="4917"/>
      <c r="BK55" s="4917"/>
      <c r="BL55" s="4917"/>
      <c r="BM55" s="4917"/>
      <c r="BN55" s="4923"/>
      <c r="BO55" s="4917"/>
      <c r="BP55" s="4917"/>
      <c r="BQ55" s="4917"/>
      <c r="BR55" s="4918"/>
      <c r="BS55" s="4919"/>
      <c r="BT55" s="4917"/>
      <c r="BU55" s="4917"/>
      <c r="BV55" s="4917"/>
      <c r="BW55" s="4917"/>
      <c r="BX55" s="4923"/>
      <c r="BY55" s="4917"/>
      <c r="BZ55" s="4917"/>
      <c r="CA55" s="4917"/>
      <c r="CB55" s="4917"/>
      <c r="CC55" s="4923"/>
      <c r="CD55" s="4917"/>
      <c r="CE55" s="4917"/>
      <c r="CF55" s="4917"/>
      <c r="CG55" s="4917"/>
      <c r="CH55" s="4923"/>
      <c r="CI55" s="4917"/>
      <c r="CJ55" s="4917"/>
      <c r="CK55" s="4917"/>
      <c r="CL55" s="4917"/>
      <c r="CM55" s="4923"/>
      <c r="CN55" s="4917"/>
      <c r="CO55" s="4917"/>
      <c r="CP55" s="4917"/>
      <c r="CQ55" s="4917"/>
      <c r="CR55" s="4923"/>
      <c r="CS55" s="4917"/>
      <c r="CT55" s="4917"/>
      <c r="CU55" s="4917"/>
      <c r="CV55" s="4917"/>
      <c r="CW55" s="4923"/>
      <c r="CX55" s="4917"/>
      <c r="CY55" s="4917"/>
      <c r="CZ55" s="4917"/>
      <c r="DA55" s="4917"/>
      <c r="DB55" s="4923"/>
      <c r="DC55" s="4917"/>
      <c r="DD55" s="4917"/>
      <c r="DE55" s="4917"/>
      <c r="DF55" s="4917"/>
      <c r="DG55" s="4925"/>
      <c r="DH55" s="4926"/>
      <c r="DI55" s="4926"/>
      <c r="DJ55" s="4926"/>
      <c r="DK55" s="4926"/>
      <c r="DL55" s="4925"/>
      <c r="DM55" s="4926"/>
      <c r="DN55" s="4926"/>
      <c r="DO55" s="4926"/>
      <c r="DP55" s="4926"/>
      <c r="DQ55" s="4925"/>
      <c r="DR55" s="4926"/>
      <c r="DS55" s="4926"/>
      <c r="DT55" s="4926"/>
      <c r="DU55" s="4926"/>
      <c r="DV55" s="4925"/>
      <c r="DW55" s="4926"/>
      <c r="DX55" s="4926"/>
      <c r="DY55" s="4926"/>
      <c r="DZ55" s="4926"/>
      <c r="EA55" s="4925"/>
      <c r="EB55" s="4926"/>
      <c r="EC55" s="4926"/>
      <c r="ED55" s="4926"/>
      <c r="EE55" s="4926"/>
      <c r="EF55" s="5313"/>
      <c r="EG55" s="4926"/>
      <c r="EH55" s="4926"/>
      <c r="EI55" s="4926"/>
      <c r="EJ55" s="4926"/>
      <c r="EK55" s="5313"/>
      <c r="EL55" s="4926"/>
      <c r="EM55" s="4926"/>
      <c r="EN55" s="4926"/>
      <c r="EO55" s="4926"/>
      <c r="EP55" s="5313"/>
      <c r="EQ55" s="4926"/>
      <c r="ER55" s="4926"/>
      <c r="ES55" s="4926"/>
      <c r="ET55" s="4926"/>
      <c r="EU55" s="5313"/>
      <c r="EV55" s="5313"/>
      <c r="EW55" s="5313"/>
      <c r="EX55" s="5313"/>
      <c r="EY55" s="5313"/>
      <c r="EZ55" s="170"/>
      <c r="FA55" s="1319"/>
      <c r="FB55" s="1319"/>
      <c r="FC55" s="511"/>
    </row>
    <row r="56" spans="1:159" s="4" customFormat="1" ht="11.25" hidden="1" customHeight="1" outlineLevel="1">
      <c r="A56" s="5276" t="str">
        <f>A40</f>
        <v>Revenue</v>
      </c>
      <c r="B56" s="5277"/>
      <c r="C56" s="5277"/>
      <c r="D56" s="5277"/>
      <c r="E56" s="5278"/>
      <c r="F56" s="5279"/>
      <c r="G56" s="5277"/>
      <c r="H56" s="5277"/>
      <c r="I56" s="5277"/>
      <c r="J56" s="5278"/>
      <c r="K56" s="5279"/>
      <c r="L56" s="5277"/>
      <c r="M56" s="5277"/>
      <c r="N56" s="5277"/>
      <c r="O56" s="5278"/>
      <c r="P56" s="5280"/>
      <c r="Q56" s="5281"/>
      <c r="R56" s="5277"/>
      <c r="S56" s="5277"/>
      <c r="T56" s="5278"/>
      <c r="U56" s="5279"/>
      <c r="V56" s="5282"/>
      <c r="W56" s="5277"/>
      <c r="X56" s="5277"/>
      <c r="Y56" s="5278"/>
      <c r="Z56" s="5279"/>
      <c r="AA56" s="5282"/>
      <c r="AB56" s="5277"/>
      <c r="AC56" s="5277"/>
      <c r="AD56" s="5278"/>
      <c r="AE56" s="5279"/>
      <c r="AF56" s="5282"/>
      <c r="AG56" s="5277"/>
      <c r="AH56" s="5277"/>
      <c r="AI56" s="5278"/>
      <c r="AJ56" s="5279"/>
      <c r="AK56" s="5277"/>
      <c r="AL56" s="5277"/>
      <c r="AM56" s="5277"/>
      <c r="AN56" s="5278"/>
      <c r="AO56" s="5279"/>
      <c r="AP56" s="5277"/>
      <c r="AQ56" s="5277"/>
      <c r="AR56" s="5277"/>
      <c r="AS56" s="5278"/>
      <c r="AT56" s="5279"/>
      <c r="AU56" s="5277"/>
      <c r="AV56" s="5277"/>
      <c r="AW56" s="5277"/>
      <c r="AX56" s="5278"/>
      <c r="AY56" s="5279"/>
      <c r="AZ56" s="5277"/>
      <c r="BA56" s="5277"/>
      <c r="BB56" s="5277"/>
      <c r="BC56" s="5277"/>
      <c r="BD56" s="5283"/>
      <c r="BE56" s="5284"/>
      <c r="BF56" s="5277"/>
      <c r="BG56" s="5277"/>
      <c r="BH56" s="5277"/>
      <c r="BI56" s="5283"/>
      <c r="BJ56" s="5277"/>
      <c r="BK56" s="5277"/>
      <c r="BL56" s="5277"/>
      <c r="BM56" s="5277"/>
      <c r="BN56" s="5283"/>
      <c r="BO56" s="5277"/>
      <c r="BP56" s="5277"/>
      <c r="BQ56" s="5277"/>
      <c r="BR56" s="5278"/>
      <c r="BS56" s="5279"/>
      <c r="BT56" s="5277"/>
      <c r="BU56" s="5277"/>
      <c r="BV56" s="5277"/>
      <c r="BW56" s="5277"/>
      <c r="BX56" s="5283"/>
      <c r="BY56" s="5277"/>
      <c r="BZ56" s="5277"/>
      <c r="CA56" s="5277"/>
      <c r="CB56" s="5277"/>
      <c r="CC56" s="5283"/>
      <c r="CD56" s="5277"/>
      <c r="CE56" s="5277"/>
      <c r="CF56" s="5277"/>
      <c r="CG56" s="5277"/>
      <c r="CH56" s="5283"/>
      <c r="CI56" s="5277"/>
      <c r="CJ56" s="5277"/>
      <c r="CK56" s="5277"/>
      <c r="CL56" s="5277"/>
      <c r="CM56" s="5283"/>
      <c r="CN56" s="5277"/>
      <c r="CO56" s="5277"/>
      <c r="CP56" s="5277"/>
      <c r="CQ56" s="5277"/>
      <c r="CR56" s="5283"/>
      <c r="CS56" s="5277"/>
      <c r="CT56" s="5277"/>
      <c r="CU56" s="5277"/>
      <c r="CV56" s="5277"/>
      <c r="CW56" s="5283"/>
      <c r="CX56" s="5277"/>
      <c r="CY56" s="5277"/>
      <c r="CZ56" s="5277"/>
      <c r="DA56" s="5277"/>
      <c r="DB56" s="5283"/>
      <c r="DC56" s="5277"/>
      <c r="DD56" s="5277"/>
      <c r="DE56" s="5277"/>
      <c r="DF56" s="5277"/>
      <c r="DG56" s="5285"/>
      <c r="DH56" s="4459"/>
      <c r="DI56" s="4459"/>
      <c r="DJ56" s="4459"/>
      <c r="DK56" s="4459"/>
      <c r="DL56" s="5285">
        <f>DL40/DG40-1</f>
        <v>0.16319604057491333</v>
      </c>
      <c r="DM56" s="4459"/>
      <c r="DN56" s="4459"/>
      <c r="DO56" s="4459"/>
      <c r="DP56" s="4459">
        <f t="shared" ref="DP56:DY58" si="153">DP40/DK40-1</f>
        <v>0.22396870225473409</v>
      </c>
      <c r="DQ56" s="5285">
        <f t="shared" si="153"/>
        <v>0.11071957846204517</v>
      </c>
      <c r="DR56" s="4459">
        <f t="shared" si="153"/>
        <v>0.33980836693020566</v>
      </c>
      <c r="DS56" s="4459">
        <f t="shared" si="153"/>
        <v>0.63090508988025484</v>
      </c>
      <c r="DT56" s="4459">
        <f t="shared" si="153"/>
        <v>0.40661921875367013</v>
      </c>
      <c r="DU56" s="4459">
        <f t="shared" si="153"/>
        <v>0.31257919921320898</v>
      </c>
      <c r="DV56" s="5285">
        <f t="shared" si="153"/>
        <v>0.40853915260770313</v>
      </c>
      <c r="DW56" s="4459">
        <f t="shared" si="153"/>
        <v>0.20114111532299028</v>
      </c>
      <c r="DX56" s="4459">
        <f t="shared" si="153"/>
        <v>0.10117931554138115</v>
      </c>
      <c r="DY56" s="4459">
        <f t="shared" si="153"/>
        <v>2.4931534299645897E-2</v>
      </c>
      <c r="DZ56" s="4459">
        <f t="shared" ref="DZ56:EN59" si="154">DZ40/DU40-1</f>
        <v>-2.2507204610951015E-2</v>
      </c>
      <c r="EA56" s="5285">
        <f t="shared" si="154"/>
        <v>6.7355986005919188E-2</v>
      </c>
      <c r="EB56" s="4459">
        <f t="shared" si="154"/>
        <v>7.9548412285268544E-3</v>
      </c>
      <c r="EC56" s="4459">
        <f t="shared" si="154"/>
        <v>5.4804984007256419E-2</v>
      </c>
      <c r="ED56" s="4459">
        <f t="shared" si="154"/>
        <v>0.1076787721785033</v>
      </c>
      <c r="EE56" s="4459">
        <f t="shared" si="154"/>
        <v>0.12490049824582083</v>
      </c>
      <c r="EF56" s="4244">
        <f t="shared" ref="EF56:EF59" si="155">EF40/EA40-1</f>
        <v>7.5001577735003711E-2</v>
      </c>
      <c r="EG56" s="4459">
        <f t="shared" si="154"/>
        <v>0.13616629815529113</v>
      </c>
      <c r="EH56" s="4459">
        <f t="shared" si="154"/>
        <v>0.11530512182243347</v>
      </c>
      <c r="EI56" s="4459">
        <f t="shared" si="154"/>
        <v>0.12537875444944557</v>
      </c>
      <c r="EJ56" s="4459">
        <f t="shared" si="154"/>
        <v>0.10199053871656782</v>
      </c>
      <c r="EK56" s="4244">
        <f t="shared" ref="EK56:EK59" si="156">EK40/EF40-1</f>
        <v>0.11883262457667221</v>
      </c>
      <c r="EL56" s="4459">
        <f t="shared" si="154"/>
        <v>9.7531179863064255E-2</v>
      </c>
      <c r="EM56" s="4459">
        <f t="shared" si="154"/>
        <v>0.11653230169895035</v>
      </c>
      <c r="EN56" s="4459">
        <f t="shared" si="154"/>
        <v>0.13778591033851795</v>
      </c>
      <c r="EO56" s="2288">
        <f t="shared" ref="EO56:EP59" si="157">EO40/EJ40-1</f>
        <v>0.13629231814683185</v>
      </c>
      <c r="EP56" s="4244">
        <f t="shared" si="157"/>
        <v>0.12292777425061363</v>
      </c>
      <c r="EQ56" s="2288">
        <f t="shared" ref="EQ56:EQ59" si="158">EQ40/EL40-1</f>
        <v>0.15035329357511507</v>
      </c>
      <c r="ER56" s="2288">
        <f t="shared" ref="ER56:ER59" si="159">ER40/EM40-1</f>
        <v>0.12512275550982954</v>
      </c>
      <c r="ES56" s="2288">
        <f t="shared" ref="ES56:ES59" si="160">ES40/EN40-1</f>
        <v>0.10988389940864862</v>
      </c>
      <c r="ET56" s="2288">
        <f t="shared" ref="ET56:EU59" si="161">ET40/EO40-1</f>
        <v>0.10997079083340822</v>
      </c>
      <c r="EU56" s="4244">
        <f t="shared" si="161"/>
        <v>0.12271335852472953</v>
      </c>
      <c r="EV56" s="4244">
        <f t="shared" ref="EV56:EY58" si="162">EV40/EU40-1</f>
        <v>9.5744170601271161E-2</v>
      </c>
      <c r="EW56" s="4244">
        <f t="shared" si="162"/>
        <v>8.6174950018054641E-2</v>
      </c>
      <c r="EX56" s="4244">
        <f t="shared" si="162"/>
        <v>7.7708082693115799E-2</v>
      </c>
      <c r="EY56" s="4244">
        <f t="shared" si="162"/>
        <v>7.2158841928912532E-2</v>
      </c>
      <c r="EZ56" s="170"/>
      <c r="FA56" s="1319"/>
      <c r="FB56" s="1319"/>
      <c r="FC56" s="511"/>
    </row>
    <row r="57" spans="1:159" s="4" customFormat="1" ht="11.25" hidden="1" customHeight="1" outlineLevel="1">
      <c r="A57" s="4857" t="str">
        <f>A41</f>
        <v>TAC</v>
      </c>
      <c r="B57" s="170"/>
      <c r="C57" s="170"/>
      <c r="D57" s="170"/>
      <c r="E57" s="286"/>
      <c r="F57" s="4858"/>
      <c r="G57" s="170"/>
      <c r="H57" s="170"/>
      <c r="I57" s="170"/>
      <c r="J57" s="286"/>
      <c r="K57" s="4858"/>
      <c r="L57" s="170"/>
      <c r="M57" s="170"/>
      <c r="N57" s="170"/>
      <c r="O57" s="286"/>
      <c r="P57" s="2657"/>
      <c r="Q57" s="2608"/>
      <c r="R57" s="170"/>
      <c r="S57" s="170"/>
      <c r="T57" s="286"/>
      <c r="U57" s="4858"/>
      <c r="V57" s="4859"/>
      <c r="W57" s="170"/>
      <c r="X57" s="170"/>
      <c r="Y57" s="286"/>
      <c r="Z57" s="4858"/>
      <c r="AA57" s="4859"/>
      <c r="AB57" s="170"/>
      <c r="AC57" s="170"/>
      <c r="AD57" s="286"/>
      <c r="AE57" s="4858"/>
      <c r="AF57" s="4859"/>
      <c r="AG57" s="170"/>
      <c r="AH57" s="170"/>
      <c r="AI57" s="286"/>
      <c r="AJ57" s="4858"/>
      <c r="AK57" s="170"/>
      <c r="AL57" s="170"/>
      <c r="AM57" s="170"/>
      <c r="AN57" s="286"/>
      <c r="AO57" s="4858"/>
      <c r="AP57" s="170"/>
      <c r="AQ57" s="170"/>
      <c r="AR57" s="170"/>
      <c r="AS57" s="286"/>
      <c r="AT57" s="4858"/>
      <c r="AU57" s="170"/>
      <c r="AV57" s="170"/>
      <c r="AW57" s="170"/>
      <c r="AX57" s="286"/>
      <c r="AY57" s="4858"/>
      <c r="AZ57" s="170"/>
      <c r="BA57" s="170"/>
      <c r="BB57" s="170"/>
      <c r="BC57" s="170"/>
      <c r="BD57" s="4860"/>
      <c r="BE57" s="4866"/>
      <c r="BF57" s="170"/>
      <c r="BG57" s="170"/>
      <c r="BH57" s="170"/>
      <c r="BI57" s="4860"/>
      <c r="BJ57" s="170"/>
      <c r="BK57" s="170"/>
      <c r="BL57" s="170"/>
      <c r="BM57" s="170"/>
      <c r="BN57" s="4860"/>
      <c r="BO57" s="170"/>
      <c r="BP57" s="170"/>
      <c r="BQ57" s="170"/>
      <c r="BR57" s="286"/>
      <c r="BS57" s="4858"/>
      <c r="BT57" s="170"/>
      <c r="BU57" s="170"/>
      <c r="BV57" s="170"/>
      <c r="BW57" s="170"/>
      <c r="BX57" s="4860"/>
      <c r="BY57" s="170"/>
      <c r="BZ57" s="170"/>
      <c r="CA57" s="170"/>
      <c r="CB57" s="170"/>
      <c r="CC57" s="4860"/>
      <c r="CD57" s="170"/>
      <c r="CE57" s="170"/>
      <c r="CF57" s="170"/>
      <c r="CG57" s="170"/>
      <c r="CH57" s="4860"/>
      <c r="CI57" s="170"/>
      <c r="CJ57" s="170"/>
      <c r="CK57" s="170"/>
      <c r="CL57" s="170"/>
      <c r="CM57" s="4860"/>
      <c r="CN57" s="170"/>
      <c r="CO57" s="170"/>
      <c r="CP57" s="170"/>
      <c r="CQ57" s="170"/>
      <c r="CR57" s="4860"/>
      <c r="CS57" s="170"/>
      <c r="CT57" s="170"/>
      <c r="CU57" s="170"/>
      <c r="CV57" s="170"/>
      <c r="CW57" s="4860"/>
      <c r="CX57" s="170"/>
      <c r="CY57" s="170"/>
      <c r="CZ57" s="170"/>
      <c r="DA57" s="170"/>
      <c r="DB57" s="4860"/>
      <c r="DC57" s="170"/>
      <c r="DD57" s="170"/>
      <c r="DE57" s="170"/>
      <c r="DF57" s="170"/>
      <c r="DG57" s="4939"/>
      <c r="DH57" s="2623"/>
      <c r="DI57" s="2623"/>
      <c r="DJ57" s="2623"/>
      <c r="DK57" s="2623"/>
      <c r="DL57" s="4939">
        <f>DL41/DG41-1</f>
        <v>0.1258325226371324</v>
      </c>
      <c r="DM57" s="2623"/>
      <c r="DN57" s="2623"/>
      <c r="DO57" s="2623"/>
      <c r="DP57" s="2623">
        <f t="shared" si="153"/>
        <v>0.23114927655569928</v>
      </c>
      <c r="DQ57" s="4939">
        <f t="shared" si="153"/>
        <v>8.9368207650636355E-2</v>
      </c>
      <c r="DR57" s="2623">
        <f t="shared" si="153"/>
        <v>0.30327428878153517</v>
      </c>
      <c r="DS57" s="2623">
        <f t="shared" si="153"/>
        <v>0.63265610994920829</v>
      </c>
      <c r="DT57" s="2623">
        <f t="shared" si="153"/>
        <v>0.40803330884153799</v>
      </c>
      <c r="DU57" s="2623">
        <f t="shared" si="153"/>
        <v>0.28291610930632527</v>
      </c>
      <c r="DV57" s="4939">
        <f t="shared" si="153"/>
        <v>0.39013972786625173</v>
      </c>
      <c r="DW57" s="2623">
        <f t="shared" si="153"/>
        <v>0.23455518945634268</v>
      </c>
      <c r="DX57" s="2623">
        <f t="shared" si="153"/>
        <v>0.11757708848019033</v>
      </c>
      <c r="DY57" s="2623">
        <f t="shared" si="153"/>
        <v>2.85267002957037E-2</v>
      </c>
      <c r="DZ57" s="2623">
        <f t="shared" si="154"/>
        <v>-3.7387353839279047E-2</v>
      </c>
      <c r="EA57" s="4939">
        <f t="shared" si="154"/>
        <v>7.437563095290356E-2</v>
      </c>
      <c r="EB57" s="2623">
        <f t="shared" si="154"/>
        <v>-2.2435362802335268E-2</v>
      </c>
      <c r="EC57" s="2623">
        <f t="shared" si="154"/>
        <v>2.6445063042410455E-2</v>
      </c>
      <c r="ED57" s="2623">
        <f t="shared" si="154"/>
        <v>6.9000507356671736E-2</v>
      </c>
      <c r="EE57" s="2623">
        <f t="shared" si="154"/>
        <v>8.2088974854932273E-2</v>
      </c>
      <c r="EF57" s="4241">
        <f t="shared" si="155"/>
        <v>3.9444387702992634E-2</v>
      </c>
      <c r="EG57" s="2623">
        <f t="shared" si="154"/>
        <v>0.10451326678611039</v>
      </c>
      <c r="EH57" s="2623">
        <f t="shared" si="154"/>
        <v>6.7799314030469793E-2</v>
      </c>
      <c r="EI57" s="2623">
        <f t="shared" si="154"/>
        <v>8.5192216421452249E-2</v>
      </c>
      <c r="EJ57" s="2623">
        <f t="shared" si="154"/>
        <v>6.1633061633061592E-2</v>
      </c>
      <c r="EK57" s="4241">
        <f t="shared" si="156"/>
        <v>7.8882207286876449E-2</v>
      </c>
      <c r="EL57" s="2623">
        <f t="shared" si="154"/>
        <v>6.1949636953499088E-2</v>
      </c>
      <c r="EM57" s="2623">
        <f t="shared" si="154"/>
        <v>9.8453723761858569E-2</v>
      </c>
      <c r="EN57" s="2623">
        <f t="shared" si="154"/>
        <v>8.4335592973248774E-2</v>
      </c>
      <c r="EO57" s="2612">
        <f t="shared" si="157"/>
        <v>9.4982300868854619E-2</v>
      </c>
      <c r="EP57" s="4241">
        <f t="shared" si="157"/>
        <v>8.5378819732254252E-2</v>
      </c>
      <c r="EQ57" s="2612">
        <f t="shared" si="158"/>
        <v>0.12342031612710858</v>
      </c>
      <c r="ER57" s="2612">
        <f t="shared" si="159"/>
        <v>8.0862690853142016E-2</v>
      </c>
      <c r="ES57" s="2612">
        <f t="shared" si="160"/>
        <v>8.6895103167071053E-2</v>
      </c>
      <c r="ET57" s="2612">
        <f t="shared" si="161"/>
        <v>8.0096025134597237E-2</v>
      </c>
      <c r="EU57" s="4241">
        <f t="shared" si="161"/>
        <v>9.1978410978540204E-2</v>
      </c>
      <c r="EV57" s="4241">
        <f t="shared" si="162"/>
        <v>7.8822996573315374E-2</v>
      </c>
      <c r="EW57" s="4241">
        <f t="shared" si="162"/>
        <v>7.4404389398103898E-2</v>
      </c>
      <c r="EX57" s="4241">
        <f t="shared" si="162"/>
        <v>6.377261524237321E-2</v>
      </c>
      <c r="EY57" s="4241">
        <f t="shared" si="162"/>
        <v>6.0279671677942792E-2</v>
      </c>
      <c r="EZ57" s="170"/>
      <c r="FA57" s="1319"/>
      <c r="FB57" s="1319"/>
      <c r="FC57" s="511"/>
    </row>
    <row r="58" spans="1:159" s="4" customFormat="1" ht="11.25" hidden="1" customHeight="1" outlineLevel="1">
      <c r="A58" s="5276" t="str">
        <f>A42</f>
        <v>Net Revenue</v>
      </c>
      <c r="B58" s="5277"/>
      <c r="C58" s="5277"/>
      <c r="D58" s="5277"/>
      <c r="E58" s="5278"/>
      <c r="F58" s="5279"/>
      <c r="G58" s="5277"/>
      <c r="H58" s="5277"/>
      <c r="I58" s="5277"/>
      <c r="J58" s="5278"/>
      <c r="K58" s="5279"/>
      <c r="L58" s="5277"/>
      <c r="M58" s="5277"/>
      <c r="N58" s="5277"/>
      <c r="O58" s="5278"/>
      <c r="P58" s="5280"/>
      <c r="Q58" s="5281"/>
      <c r="R58" s="5277"/>
      <c r="S58" s="5277"/>
      <c r="T58" s="5278"/>
      <c r="U58" s="5279"/>
      <c r="V58" s="5282"/>
      <c r="W58" s="5277"/>
      <c r="X58" s="5277"/>
      <c r="Y58" s="5278"/>
      <c r="Z58" s="5279"/>
      <c r="AA58" s="5282"/>
      <c r="AB58" s="5277"/>
      <c r="AC58" s="5277"/>
      <c r="AD58" s="5278"/>
      <c r="AE58" s="5279"/>
      <c r="AF58" s="5282"/>
      <c r="AG58" s="5277"/>
      <c r="AH58" s="5277"/>
      <c r="AI58" s="5278"/>
      <c r="AJ58" s="5279"/>
      <c r="AK58" s="5277"/>
      <c r="AL58" s="5277"/>
      <c r="AM58" s="5277"/>
      <c r="AN58" s="5278"/>
      <c r="AO58" s="5279"/>
      <c r="AP58" s="5277"/>
      <c r="AQ58" s="5277"/>
      <c r="AR58" s="5277"/>
      <c r="AS58" s="5278"/>
      <c r="AT58" s="5279"/>
      <c r="AU58" s="5277"/>
      <c r="AV58" s="5277"/>
      <c r="AW58" s="5277"/>
      <c r="AX58" s="5278"/>
      <c r="AY58" s="5279"/>
      <c r="AZ58" s="5277"/>
      <c r="BA58" s="5277"/>
      <c r="BB58" s="5277"/>
      <c r="BC58" s="5277"/>
      <c r="BD58" s="5283"/>
      <c r="BE58" s="5284"/>
      <c r="BF58" s="5277"/>
      <c r="BG58" s="5277"/>
      <c r="BH58" s="5277"/>
      <c r="BI58" s="5283"/>
      <c r="BJ58" s="5277"/>
      <c r="BK58" s="5277"/>
      <c r="BL58" s="5277"/>
      <c r="BM58" s="5277"/>
      <c r="BN58" s="5283"/>
      <c r="BO58" s="5277"/>
      <c r="BP58" s="5277"/>
      <c r="BQ58" s="5277"/>
      <c r="BR58" s="5278"/>
      <c r="BS58" s="5279"/>
      <c r="BT58" s="5277"/>
      <c r="BU58" s="5277"/>
      <c r="BV58" s="5277"/>
      <c r="BW58" s="5277"/>
      <c r="BX58" s="5283"/>
      <c r="BY58" s="5277"/>
      <c r="BZ58" s="5277"/>
      <c r="CA58" s="5277"/>
      <c r="CB58" s="5277"/>
      <c r="CC58" s="5283"/>
      <c r="CD58" s="5277"/>
      <c r="CE58" s="5277"/>
      <c r="CF58" s="5277"/>
      <c r="CG58" s="5277"/>
      <c r="CH58" s="5283"/>
      <c r="CI58" s="5277"/>
      <c r="CJ58" s="5277"/>
      <c r="CK58" s="5277"/>
      <c r="CL58" s="5277"/>
      <c r="CM58" s="5283"/>
      <c r="CN58" s="5277"/>
      <c r="CO58" s="5277"/>
      <c r="CP58" s="5277"/>
      <c r="CQ58" s="5277"/>
      <c r="CR58" s="5283"/>
      <c r="CS58" s="5277"/>
      <c r="CT58" s="5277"/>
      <c r="CU58" s="5277"/>
      <c r="CV58" s="5277"/>
      <c r="CW58" s="5283"/>
      <c r="CX58" s="5277"/>
      <c r="CY58" s="5277"/>
      <c r="CZ58" s="5277"/>
      <c r="DA58" s="5277"/>
      <c r="DB58" s="5283"/>
      <c r="DC58" s="5277"/>
      <c r="DD58" s="5277"/>
      <c r="DE58" s="5277"/>
      <c r="DF58" s="5277"/>
      <c r="DG58" s="5285"/>
      <c r="DH58" s="4459"/>
      <c r="DI58" s="4459"/>
      <c r="DJ58" s="4459"/>
      <c r="DK58" s="4459"/>
      <c r="DL58" s="5285">
        <f>DL42/DG42-1</f>
        <v>0.17281643191583651</v>
      </c>
      <c r="DM58" s="4459"/>
      <c r="DN58" s="4459"/>
      <c r="DO58" s="4459"/>
      <c r="DP58" s="4459">
        <f t="shared" si="153"/>
        <v>0.22220941291754337</v>
      </c>
      <c r="DQ58" s="5285">
        <f t="shared" si="153"/>
        <v>0.11599691134914902</v>
      </c>
      <c r="DR58" s="4459">
        <f t="shared" si="153"/>
        <v>0.3486632407467638</v>
      </c>
      <c r="DS58" s="4459">
        <f t="shared" si="153"/>
        <v>0.63049086475598126</v>
      </c>
      <c r="DT58" s="4459">
        <f t="shared" si="153"/>
        <v>0.40628360508036154</v>
      </c>
      <c r="DU58" s="4459">
        <f t="shared" si="153"/>
        <v>0.31990001650670874</v>
      </c>
      <c r="DV58" s="5285">
        <f t="shared" si="153"/>
        <v>0.41297835223801505</v>
      </c>
      <c r="DW58" s="4459">
        <f t="shared" si="153"/>
        <v>0.19331500506439014</v>
      </c>
      <c r="DX58" s="4459">
        <f t="shared" si="153"/>
        <v>9.7295071307815784E-2</v>
      </c>
      <c r="DY58" s="4459">
        <f t="shared" si="153"/>
        <v>2.4077212416814708E-2</v>
      </c>
      <c r="DZ58" s="4459">
        <f t="shared" si="154"/>
        <v>-1.8937702106372689E-2</v>
      </c>
      <c r="EA58" s="5285">
        <f t="shared" si="154"/>
        <v>6.5689742294087861E-2</v>
      </c>
      <c r="EB58" s="4459">
        <f t="shared" si="154"/>
        <v>1.5318701750131281E-2</v>
      </c>
      <c r="EC58" s="4459">
        <f t="shared" si="154"/>
        <v>6.1646947281094988E-2</v>
      </c>
      <c r="ED58" s="4459">
        <f t="shared" si="154"/>
        <v>0.11690985045710489</v>
      </c>
      <c r="EE58" s="4459">
        <f t="shared" si="154"/>
        <v>0.13497714566678209</v>
      </c>
      <c r="EF58" s="4244">
        <f t="shared" si="155"/>
        <v>8.351053169284306E-2</v>
      </c>
      <c r="EG58" s="4459">
        <f t="shared" si="154"/>
        <v>0.14355095541401264</v>
      </c>
      <c r="EH58" s="4459">
        <f t="shared" si="154"/>
        <v>0.12638609808737078</v>
      </c>
      <c r="EI58" s="4459">
        <f t="shared" si="154"/>
        <v>0.134558398381035</v>
      </c>
      <c r="EJ58" s="4459">
        <f t="shared" si="154"/>
        <v>0.11104693140794231</v>
      </c>
      <c r="EK58" s="4244">
        <f t="shared" si="156"/>
        <v>0.12800407837334249</v>
      </c>
      <c r="EL58" s="4459">
        <f t="shared" si="154"/>
        <v>0.10554898001810198</v>
      </c>
      <c r="EM58" s="4459">
        <f t="shared" si="154"/>
        <v>0.12052988883566518</v>
      </c>
      <c r="EN58" s="4459">
        <f t="shared" si="154"/>
        <v>0.14946409517287518</v>
      </c>
      <c r="EO58" s="2288">
        <f t="shared" si="157"/>
        <v>0.14515017472401182</v>
      </c>
      <c r="EP58" s="4244">
        <f t="shared" si="157"/>
        <v>0.13117253529152051</v>
      </c>
      <c r="EQ58" s="2288">
        <f t="shared" si="158"/>
        <v>0.15618292034561687</v>
      </c>
      <c r="ER58" s="2288">
        <f t="shared" si="159"/>
        <v>0.1347168510134793</v>
      </c>
      <c r="ES58" s="2288">
        <f t="shared" si="160"/>
        <v>0.11462205797783676</v>
      </c>
      <c r="ET58" s="2288">
        <f t="shared" si="161"/>
        <v>0.11609602125796181</v>
      </c>
      <c r="EU58" s="4244">
        <f t="shared" si="161"/>
        <v>0.12918873749197224</v>
      </c>
      <c r="EV58" s="4244">
        <f t="shared" si="162"/>
        <v>9.9191721767718732E-2</v>
      </c>
      <c r="EW58" s="4244">
        <f t="shared" si="162"/>
        <v>8.8528666362916342E-2</v>
      </c>
      <c r="EX58" s="4244">
        <f t="shared" si="162"/>
        <v>8.0458549571099436E-2</v>
      </c>
      <c r="EY58" s="4244">
        <f t="shared" si="162"/>
        <v>7.4467245196942367E-2</v>
      </c>
      <c r="EZ58" s="170"/>
      <c r="FA58" s="1319"/>
      <c r="FB58" s="1319"/>
      <c r="FC58" s="511"/>
    </row>
    <row r="59" spans="1:159" s="4" customFormat="1" ht="11.25" hidden="1" customHeight="1" outlineLevel="1">
      <c r="A59" s="4857" t="str">
        <f>A43</f>
        <v>GAAP Costs &amp; Opex</v>
      </c>
      <c r="B59" s="170"/>
      <c r="C59" s="170"/>
      <c r="D59" s="170"/>
      <c r="E59" s="286"/>
      <c r="F59" s="4858"/>
      <c r="G59" s="170"/>
      <c r="H59" s="170"/>
      <c r="I59" s="170"/>
      <c r="J59" s="286"/>
      <c r="K59" s="4858"/>
      <c r="L59" s="170"/>
      <c r="M59" s="170"/>
      <c r="N59" s="170"/>
      <c r="O59" s="286"/>
      <c r="P59" s="2657"/>
      <c r="Q59" s="2608"/>
      <c r="R59" s="170"/>
      <c r="S59" s="170"/>
      <c r="T59" s="286"/>
      <c r="U59" s="4858"/>
      <c r="V59" s="4859"/>
      <c r="W59" s="170"/>
      <c r="X59" s="170"/>
      <c r="Y59" s="286"/>
      <c r="Z59" s="4858"/>
      <c r="AA59" s="4859"/>
      <c r="AB59" s="170"/>
      <c r="AC59" s="170"/>
      <c r="AD59" s="286"/>
      <c r="AE59" s="4858"/>
      <c r="AF59" s="4859"/>
      <c r="AG59" s="170"/>
      <c r="AH59" s="170"/>
      <c r="AI59" s="286"/>
      <c r="AJ59" s="4858"/>
      <c r="AK59" s="170"/>
      <c r="AL59" s="170"/>
      <c r="AM59" s="170"/>
      <c r="AN59" s="286"/>
      <c r="AO59" s="4858"/>
      <c r="AP59" s="170"/>
      <c r="AQ59" s="170"/>
      <c r="AR59" s="170"/>
      <c r="AS59" s="286"/>
      <c r="AT59" s="4858"/>
      <c r="AU59" s="170"/>
      <c r="AV59" s="170"/>
      <c r="AW59" s="170"/>
      <c r="AX59" s="286"/>
      <c r="AY59" s="4858"/>
      <c r="AZ59" s="170"/>
      <c r="BA59" s="170"/>
      <c r="BB59" s="170"/>
      <c r="BC59" s="170"/>
      <c r="BD59" s="4860"/>
      <c r="BE59" s="4866"/>
      <c r="BF59" s="170"/>
      <c r="BG59" s="170"/>
      <c r="BH59" s="170"/>
      <c r="BI59" s="4860"/>
      <c r="BJ59" s="170"/>
      <c r="BK59" s="170"/>
      <c r="BL59" s="170"/>
      <c r="BM59" s="170"/>
      <c r="BN59" s="4860"/>
      <c r="BO59" s="170"/>
      <c r="BP59" s="170"/>
      <c r="BQ59" s="170"/>
      <c r="BR59" s="286"/>
      <c r="BS59" s="4858"/>
      <c r="BT59" s="170"/>
      <c r="BU59" s="170"/>
      <c r="BV59" s="170"/>
      <c r="BW59" s="170"/>
      <c r="BX59" s="4860"/>
      <c r="BY59" s="170"/>
      <c r="BZ59" s="170"/>
      <c r="CA59" s="170"/>
      <c r="CB59" s="170"/>
      <c r="CC59" s="4860"/>
      <c r="CD59" s="170"/>
      <c r="CE59" s="170"/>
      <c r="CF59" s="170"/>
      <c r="CG59" s="170"/>
      <c r="CH59" s="4860"/>
      <c r="CI59" s="170"/>
      <c r="CJ59" s="170"/>
      <c r="CK59" s="170"/>
      <c r="CL59" s="170"/>
      <c r="CM59" s="4860"/>
      <c r="CN59" s="170"/>
      <c r="CO59" s="170"/>
      <c r="CP59" s="170"/>
      <c r="CQ59" s="170"/>
      <c r="CR59" s="4860"/>
      <c r="CS59" s="170"/>
      <c r="CT59" s="170"/>
      <c r="CU59" s="170"/>
      <c r="CV59" s="170"/>
      <c r="CW59" s="4860"/>
      <c r="CX59" s="170"/>
      <c r="CY59" s="170"/>
      <c r="CZ59" s="170"/>
      <c r="DA59" s="170"/>
      <c r="DB59" s="4860"/>
      <c r="DC59" s="170"/>
      <c r="DD59" s="170"/>
      <c r="DE59" s="170"/>
      <c r="DF59" s="170"/>
      <c r="DG59" s="4939"/>
      <c r="DH59" s="2623"/>
      <c r="DI59" s="2623"/>
      <c r="DJ59" s="2623"/>
      <c r="DK59" s="2623"/>
      <c r="DL59" s="4939">
        <f>DL43/DG43-1</f>
        <v>0.19907353983613851</v>
      </c>
      <c r="DM59" s="2623"/>
      <c r="DN59" s="2623"/>
      <c r="DO59" s="2623"/>
      <c r="DP59" s="2623">
        <f t="shared" ref="DP59:DY59" si="163">DP43/DK43-1</f>
        <v>0.10052336272337214</v>
      </c>
      <c r="DQ59" s="4939">
        <f t="shared" si="163"/>
        <v>0.11705184431582283</v>
      </c>
      <c r="DR59" s="2623">
        <f t="shared" si="163"/>
        <v>0.1417856026669444</v>
      </c>
      <c r="DS59" s="2623">
        <f t="shared" si="163"/>
        <v>0.26852542915022926</v>
      </c>
      <c r="DT59" s="2623">
        <f t="shared" si="163"/>
        <v>0.2234639671243861</v>
      </c>
      <c r="DU59" s="2623">
        <f t="shared" si="163"/>
        <v>0.28443511417677048</v>
      </c>
      <c r="DV59" s="4939">
        <f t="shared" si="163"/>
        <v>0.27790427194742229</v>
      </c>
      <c r="DW59" s="2623">
        <f t="shared" si="163"/>
        <v>0.25497262773722618</v>
      </c>
      <c r="DX59" s="2623">
        <f t="shared" si="163"/>
        <v>0.21899558730825808</v>
      </c>
      <c r="DY59" s="2623">
        <f t="shared" si="163"/>
        <v>0.25621595051816648</v>
      </c>
      <c r="DZ59" s="2623">
        <f t="shared" si="154"/>
        <v>0.1571380920613743</v>
      </c>
      <c r="EA59" s="4939">
        <f t="shared" si="154"/>
        <v>0.17377276535909325</v>
      </c>
      <c r="EB59" s="2623">
        <f t="shared" si="154"/>
        <v>3.6133628994147404E-2</v>
      </c>
      <c r="EC59" s="2623">
        <f t="shared" si="154"/>
        <v>4.4404605943597852E-2</v>
      </c>
      <c r="ED59" s="2623">
        <f t="shared" si="154"/>
        <v>2.4096778400939156E-2</v>
      </c>
      <c r="EE59" s="2623">
        <f t="shared" si="154"/>
        <v>2.6058631921824116E-2</v>
      </c>
      <c r="EF59" s="4241">
        <f t="shared" si="155"/>
        <v>3.2205392454502269E-2</v>
      </c>
      <c r="EG59" s="2623">
        <f t="shared" si="154"/>
        <v>3.6908395607479827E-2</v>
      </c>
      <c r="EH59" s="2623">
        <f t="shared" si="154"/>
        <v>1.8914636561695453E-2</v>
      </c>
      <c r="EI59" s="2623">
        <f t="shared" si="154"/>
        <v>1.6811538828923389E-2</v>
      </c>
      <c r="EJ59" s="2623">
        <f t="shared" si="154"/>
        <v>2.2896474223907948E-2</v>
      </c>
      <c r="EK59" s="4241">
        <f t="shared" si="156"/>
        <v>2.3593192314724343E-2</v>
      </c>
      <c r="EL59" s="2623">
        <f t="shared" si="154"/>
        <v>4.3275249534765692E-2</v>
      </c>
      <c r="EM59" s="2623">
        <f t="shared" si="154"/>
        <v>0.12660770402047494</v>
      </c>
      <c r="EN59" s="2623">
        <f t="shared" si="154"/>
        <v>0.21023954908407694</v>
      </c>
      <c r="EO59" s="2612">
        <f t="shared" si="157"/>
        <v>0.11106324190410577</v>
      </c>
      <c r="EP59" s="4241">
        <f t="shared" si="157"/>
        <v>0.12382685499956092</v>
      </c>
      <c r="EQ59" s="2612">
        <f t="shared" si="158"/>
        <v>0.11909844773675804</v>
      </c>
      <c r="ER59" s="2612">
        <f t="shared" si="159"/>
        <v>6.5201681311051862E-2</v>
      </c>
      <c r="ES59" s="2612">
        <f t="shared" si="160"/>
        <v>2.408112158708553E-2</v>
      </c>
      <c r="ET59" s="2612">
        <f t="shared" si="161"/>
        <v>9.4448010011043637E-2</v>
      </c>
      <c r="EU59" s="4241">
        <f t="shared" si="161"/>
        <v>7.3878995635854539E-2</v>
      </c>
      <c r="EV59" s="4241">
        <f>EV43/EU43-1</f>
        <v>9.8773164299197358E-2</v>
      </c>
      <c r="EW59" s="4241">
        <f>EW43/EV43-1</f>
        <v>8.8334308264325756E-2</v>
      </c>
      <c r="EX59" s="4241">
        <f>EX43/EW43-1</f>
        <v>8.2036972422931953E-2</v>
      </c>
      <c r="EY59" s="4241">
        <f>EY43/EX43-1</f>
        <v>7.2954768181773266E-2</v>
      </c>
      <c r="EZ59" s="170"/>
      <c r="FA59" s="1319"/>
      <c r="FB59" s="1319"/>
      <c r="FC59" s="511"/>
    </row>
    <row r="60" spans="1:159" s="4" customFormat="1" ht="11.25" hidden="1" customHeight="1" outlineLevel="1">
      <c r="A60" s="4857" t="s">
        <v>994</v>
      </c>
      <c r="B60" s="170"/>
      <c r="C60" s="170"/>
      <c r="D60" s="170"/>
      <c r="E60" s="286"/>
      <c r="F60" s="4858"/>
      <c r="G60" s="170"/>
      <c r="H60" s="170"/>
      <c r="I60" s="170"/>
      <c r="J60" s="286"/>
      <c r="K60" s="4858"/>
      <c r="L60" s="170"/>
      <c r="M60" s="170"/>
      <c r="N60" s="170"/>
      <c r="O60" s="286"/>
      <c r="P60" s="2657"/>
      <c r="Q60" s="2608"/>
      <c r="R60" s="170"/>
      <c r="S60" s="170"/>
      <c r="T60" s="286"/>
      <c r="U60" s="4858"/>
      <c r="V60" s="4859"/>
      <c r="W60" s="170"/>
      <c r="X60" s="170"/>
      <c r="Y60" s="286"/>
      <c r="Z60" s="4858"/>
      <c r="AA60" s="4859"/>
      <c r="AB60" s="170"/>
      <c r="AC60" s="170"/>
      <c r="AD60" s="286"/>
      <c r="AE60" s="4858"/>
      <c r="AF60" s="4859"/>
      <c r="AG60" s="170"/>
      <c r="AH60" s="170"/>
      <c r="AI60" s="286"/>
      <c r="AJ60" s="4858"/>
      <c r="AK60" s="170"/>
      <c r="AL60" s="170"/>
      <c r="AM60" s="170"/>
      <c r="AN60" s="286"/>
      <c r="AO60" s="4858"/>
      <c r="AP60" s="170"/>
      <c r="AQ60" s="170"/>
      <c r="AR60" s="170"/>
      <c r="AS60" s="286"/>
      <c r="AT60" s="4858"/>
      <c r="AU60" s="170"/>
      <c r="AV60" s="170"/>
      <c r="AW60" s="170"/>
      <c r="AX60" s="286"/>
      <c r="AY60" s="4858"/>
      <c r="AZ60" s="170"/>
      <c r="BA60" s="170"/>
      <c r="BB60" s="170"/>
      <c r="BC60" s="170"/>
      <c r="BD60" s="4860"/>
      <c r="BE60" s="4866"/>
      <c r="BF60" s="170"/>
      <c r="BG60" s="170"/>
      <c r="BH60" s="170"/>
      <c r="BI60" s="4860"/>
      <c r="BJ60" s="170"/>
      <c r="BK60" s="170"/>
      <c r="BL60" s="170"/>
      <c r="BM60" s="170"/>
      <c r="BN60" s="4860"/>
      <c r="BO60" s="170"/>
      <c r="BP60" s="170"/>
      <c r="BQ60" s="170"/>
      <c r="BR60" s="286"/>
      <c r="BS60" s="4858"/>
      <c r="BT60" s="170"/>
      <c r="BU60" s="170"/>
      <c r="BV60" s="170"/>
      <c r="BW60" s="170"/>
      <c r="BX60" s="4860"/>
      <c r="BY60" s="170"/>
      <c r="BZ60" s="170"/>
      <c r="CA60" s="170"/>
      <c r="CB60" s="170"/>
      <c r="CC60" s="4860"/>
      <c r="CD60" s="170"/>
      <c r="CE60" s="170"/>
      <c r="CF60" s="170"/>
      <c r="CG60" s="170"/>
      <c r="CH60" s="4860"/>
      <c r="CI60" s="170"/>
      <c r="CJ60" s="170"/>
      <c r="CK60" s="170"/>
      <c r="CL60" s="170"/>
      <c r="CM60" s="4860"/>
      <c r="CN60" s="170"/>
      <c r="CO60" s="170"/>
      <c r="CP60" s="170"/>
      <c r="CQ60" s="170"/>
      <c r="CR60" s="4860"/>
      <c r="CS60" s="170"/>
      <c r="CT60" s="170"/>
      <c r="CU60" s="170"/>
      <c r="CV60" s="170"/>
      <c r="CW60" s="4860"/>
      <c r="CX60" s="170"/>
      <c r="CY60" s="170"/>
      <c r="CZ60" s="170"/>
      <c r="DA60" s="170"/>
      <c r="DB60" s="4860"/>
      <c r="DC60" s="170"/>
      <c r="DD60" s="170"/>
      <c r="DE60" s="170"/>
      <c r="DF60" s="170"/>
      <c r="DG60" s="4939"/>
      <c r="DH60" s="2623"/>
      <c r="DI60" s="2623"/>
      <c r="DJ60" s="2623"/>
      <c r="DK60" s="2623"/>
      <c r="DL60" s="4939"/>
      <c r="DM60" s="2623"/>
      <c r="DN60" s="2623"/>
      <c r="DO60" s="2623"/>
      <c r="DP60" s="2623"/>
      <c r="DQ60" s="4939">
        <f>(DQ43-DQ51-DQ52)/(DL43-DL51-DL52)-1</f>
        <v>0.10961523250437799</v>
      </c>
      <c r="DR60" s="2623"/>
      <c r="DS60" s="2623"/>
      <c r="DT60" s="2623"/>
      <c r="DU60" s="2623"/>
      <c r="DV60" s="4939">
        <f>(DV43-DV51-DV52)/(DQ43-DQ51-DQ52)-1</f>
        <v>0.35717758546189526</v>
      </c>
      <c r="DW60" s="2623"/>
      <c r="DX60" s="2623"/>
      <c r="DY60" s="2623"/>
      <c r="DZ60" s="2623"/>
      <c r="EA60" s="4939">
        <f>(EA43-EA51-EA52)/(DV43-DV51-DV52)-1</f>
        <v>0.15892931926831166</v>
      </c>
      <c r="EB60" s="2623"/>
      <c r="EC60" s="2623"/>
      <c r="ED60" s="2623"/>
      <c r="EE60" s="2623"/>
      <c r="EF60" s="4241">
        <f>(EF43-EF51-EF52)/(EA43-EA51-EA52)-1</f>
        <v>3.072432674867942E-2</v>
      </c>
      <c r="EG60" s="2623"/>
      <c r="EH60" s="2623"/>
      <c r="EI60" s="2623"/>
      <c r="EJ60" s="2623"/>
      <c r="EK60" s="4241">
        <f>(EK43-EK51-EK52)/(EF43-EF51-EF52)-1</f>
        <v>1.6285496467565608E-2</v>
      </c>
      <c r="EL60" s="2623"/>
      <c r="EM60" s="2623"/>
      <c r="EN60" s="2623"/>
      <c r="EO60" s="2612"/>
      <c r="EP60" s="6245">
        <f>(EP43-EP51-EP52-3500)/(EK43-EK51-EK52)-1</f>
        <v>7.7044687892309005E-2</v>
      </c>
      <c r="EQ60" s="2612"/>
      <c r="ER60" s="2612"/>
      <c r="ES60" s="2612"/>
      <c r="ET60" s="2612"/>
      <c r="EU60" s="6245">
        <f>(EU43-EU51-EU52)/(EP43-EP51-EP52-3500)-1</f>
        <v>5.3990453644704006E-2</v>
      </c>
      <c r="EV60" s="4241">
        <f>(EV43-EV51-EV52)/(EU43-EU51-EU52)-1</f>
        <v>7.1460874853212841E-2</v>
      </c>
      <c r="EW60" s="4241">
        <f>(EW43-EW51-EW52)/(EV43-EV51-EV52)-1</f>
        <v>8.7301676463937161E-2</v>
      </c>
      <c r="EX60" s="4241">
        <f>(EX43-EX51-EX52)/(EW43-EW51-EW52)-1</f>
        <v>8.6220776977392166E-2</v>
      </c>
      <c r="EY60" s="4241">
        <f>(EY43-EY51-EY52)/(EX43-EX51-EX52)-1</f>
        <v>7.6133043117694976E-2</v>
      </c>
      <c r="EZ60" s="170"/>
      <c r="FA60" s="1319"/>
      <c r="FB60" s="1319"/>
      <c r="FC60" s="511"/>
    </row>
    <row r="61" spans="1:159" s="4" customFormat="1" ht="11.25" hidden="1" customHeight="1" outlineLevel="1">
      <c r="A61" s="5276" t="str">
        <f>A44</f>
        <v>GAAP Operating Income</v>
      </c>
      <c r="B61" s="5277"/>
      <c r="C61" s="5277"/>
      <c r="D61" s="5277"/>
      <c r="E61" s="5278"/>
      <c r="F61" s="5279"/>
      <c r="G61" s="5277"/>
      <c r="H61" s="5277"/>
      <c r="I61" s="5277"/>
      <c r="J61" s="5278"/>
      <c r="K61" s="5279"/>
      <c r="L61" s="5277"/>
      <c r="M61" s="5277"/>
      <c r="N61" s="5277"/>
      <c r="O61" s="5278"/>
      <c r="P61" s="5280"/>
      <c r="Q61" s="5281"/>
      <c r="R61" s="5277"/>
      <c r="S61" s="5277"/>
      <c r="T61" s="5278"/>
      <c r="U61" s="5279"/>
      <c r="V61" s="5282"/>
      <c r="W61" s="5277"/>
      <c r="X61" s="5277"/>
      <c r="Y61" s="5278"/>
      <c r="Z61" s="5279"/>
      <c r="AA61" s="5282"/>
      <c r="AB61" s="5277"/>
      <c r="AC61" s="5277"/>
      <c r="AD61" s="5278"/>
      <c r="AE61" s="5279"/>
      <c r="AF61" s="5282"/>
      <c r="AG61" s="5277"/>
      <c r="AH61" s="5277"/>
      <c r="AI61" s="5278"/>
      <c r="AJ61" s="5279"/>
      <c r="AK61" s="5277"/>
      <c r="AL61" s="5277"/>
      <c r="AM61" s="5277"/>
      <c r="AN61" s="5278"/>
      <c r="AO61" s="5279"/>
      <c r="AP61" s="5277"/>
      <c r="AQ61" s="5277"/>
      <c r="AR61" s="5277"/>
      <c r="AS61" s="5278"/>
      <c r="AT61" s="5279"/>
      <c r="AU61" s="5277"/>
      <c r="AV61" s="5277"/>
      <c r="AW61" s="5277"/>
      <c r="AX61" s="5278"/>
      <c r="AY61" s="5279"/>
      <c r="AZ61" s="5277"/>
      <c r="BA61" s="5277"/>
      <c r="BB61" s="5277"/>
      <c r="BC61" s="5277"/>
      <c r="BD61" s="5283"/>
      <c r="BE61" s="5284"/>
      <c r="BF61" s="5277"/>
      <c r="BG61" s="5277"/>
      <c r="BH61" s="5277"/>
      <c r="BI61" s="5283"/>
      <c r="BJ61" s="5277"/>
      <c r="BK61" s="5277"/>
      <c r="BL61" s="5277"/>
      <c r="BM61" s="5277"/>
      <c r="BN61" s="5283"/>
      <c r="BO61" s="5277"/>
      <c r="BP61" s="5277"/>
      <c r="BQ61" s="5277"/>
      <c r="BR61" s="5278"/>
      <c r="BS61" s="5279"/>
      <c r="BT61" s="5277"/>
      <c r="BU61" s="5277"/>
      <c r="BV61" s="5277"/>
      <c r="BW61" s="5277"/>
      <c r="BX61" s="5283"/>
      <c r="BY61" s="5277"/>
      <c r="BZ61" s="5277"/>
      <c r="CA61" s="5277"/>
      <c r="CB61" s="5277"/>
      <c r="CC61" s="5283"/>
      <c r="CD61" s="5277"/>
      <c r="CE61" s="5277"/>
      <c r="CF61" s="5277"/>
      <c r="CG61" s="5277"/>
      <c r="CH61" s="5283"/>
      <c r="CI61" s="5277"/>
      <c r="CJ61" s="5277"/>
      <c r="CK61" s="5277"/>
      <c r="CL61" s="5277"/>
      <c r="CM61" s="5283"/>
      <c r="CN61" s="5277"/>
      <c r="CO61" s="5277"/>
      <c r="CP61" s="5277"/>
      <c r="CQ61" s="5277"/>
      <c r="CR61" s="5283"/>
      <c r="CS61" s="5277"/>
      <c r="CT61" s="5277"/>
      <c r="CU61" s="5277"/>
      <c r="CV61" s="5277"/>
      <c r="CW61" s="5283"/>
      <c r="CX61" s="5277"/>
      <c r="CY61" s="5277"/>
      <c r="CZ61" s="5277"/>
      <c r="DA61" s="5277"/>
      <c r="DB61" s="5283"/>
      <c r="DC61" s="5277"/>
      <c r="DD61" s="5277"/>
      <c r="DE61" s="5277"/>
      <c r="DF61" s="5277"/>
      <c r="DG61" s="5285"/>
      <c r="DH61" s="4459"/>
      <c r="DI61" s="4459"/>
      <c r="DJ61" s="4459"/>
      <c r="DK61" s="4459"/>
      <c r="DL61" s="5285">
        <f>IF(DL44*DG44&gt;0,(DL44-DG44)/ABS(DG44),"NA")</f>
        <v>0.13589262118367063</v>
      </c>
      <c r="DM61" s="4459"/>
      <c r="DN61" s="4459"/>
      <c r="DO61" s="4459"/>
      <c r="DP61" s="4459"/>
      <c r="DQ61" s="5285">
        <f t="shared" ref="DQ61:DY61" si="164">IF(DQ44*DL44&gt;0,(DQ44-DL44)/ABS(DL44),"NA")</f>
        <v>0.11443090675319904</v>
      </c>
      <c r="DR61" s="4459">
        <f t="shared" si="164"/>
        <v>0.69258746103221336</v>
      </c>
      <c r="DS61" s="4459">
        <f t="shared" si="164"/>
        <v>1.342279064891498</v>
      </c>
      <c r="DT61" s="4459">
        <f t="shared" si="164"/>
        <v>0.65868677783159202</v>
      </c>
      <c r="DU61" s="4459"/>
      <c r="DV61" s="5285">
        <f t="shared" si="164"/>
        <v>0.61396183569571106</v>
      </c>
      <c r="DW61" s="4459">
        <f t="shared" si="164"/>
        <v>0.12416862785224599</v>
      </c>
      <c r="DX61" s="4459">
        <f t="shared" si="164"/>
        <v>-3.2314371391487268E-2</v>
      </c>
      <c r="DY61" s="4459">
        <f t="shared" si="164"/>
        <v>-0.21232219580361239</v>
      </c>
      <c r="DZ61" s="4459">
        <f t="shared" ref="DZ61:EN61" si="165">IF(DZ44*DU44&gt;0,(DZ44-DU44)/ABS(DU44),"NA")</f>
        <v>-0.22202131343053899</v>
      </c>
      <c r="EA61" s="5285">
        <f t="shared" si="165"/>
        <v>-6.1646167112966915E-2</v>
      </c>
      <c r="EB61" s="4459">
        <f t="shared" si="165"/>
        <v>-1.0740454193783279E-2</v>
      </c>
      <c r="EC61" s="4459">
        <f t="shared" si="165"/>
        <v>8.477868738726238E-2</v>
      </c>
      <c r="ED61" s="4459">
        <f t="shared" si="165"/>
        <v>0.26764814912884605</v>
      </c>
      <c r="EE61" s="4459">
        <f t="shared" si="165"/>
        <v>0.3218277123924439</v>
      </c>
      <c r="EF61" s="4244">
        <f t="shared" si="165"/>
        <v>0.1591192154681435</v>
      </c>
      <c r="EG61" s="4459">
        <f t="shared" si="165"/>
        <v>0.28338777200165616</v>
      </c>
      <c r="EH61" s="4459">
        <f t="shared" si="165"/>
        <v>0.26519996589067962</v>
      </c>
      <c r="EI61" s="4459">
        <f t="shared" si="165"/>
        <v>0.28905042402974473</v>
      </c>
      <c r="EJ61" s="4459">
        <f t="shared" si="165"/>
        <v>0.22843247287691731</v>
      </c>
      <c r="EK61" s="4244">
        <f>IF(EK44*EF44&gt;0,(EK44-EF44)/ABS(EF44),"NA")</f>
        <v>0.26502743641636589</v>
      </c>
      <c r="EL61" s="4459">
        <f t="shared" si="165"/>
        <v>0.17152381976556619</v>
      </c>
      <c r="EM61" s="4459">
        <f t="shared" si="165"/>
        <v>0.11420772393340972</v>
      </c>
      <c r="EN61" s="4459">
        <f t="shared" si="165"/>
        <v>8.6563391236712472E-2</v>
      </c>
      <c r="EO61" s="2288">
        <f t="shared" ref="EO61" si="166">IF(EO44*EJ44&gt;0,(EO44-EJ44)/ABS(EJ44),"NA")</f>
        <v>0.18294726401542294</v>
      </c>
      <c r="EP61" s="4244">
        <f>IF(EP44*EK44&gt;0,(EP44-EK44)/ABS(EK44),"NA")</f>
        <v>0.13897278115509618</v>
      </c>
      <c r="EQ61" s="2288">
        <f t="shared" ref="EQ61" si="167">IF(EQ44*EL44&gt;0,(EQ44-EL44)/ABS(EL44),"NA")</f>
        <v>0.1911704556378743</v>
      </c>
      <c r="ER61" s="2288">
        <f t="shared" ref="ER61" si="168">IF(ER44*EM44&gt;0,(ER44-EM44)/ABS(EM44),"NA")</f>
        <v>0.20783151170373479</v>
      </c>
      <c r="ES61" s="2288">
        <f t="shared" ref="ES61" si="169">IF(ES44*EN44&gt;0,(ES44-EN44)/ABS(EN44),"NA")</f>
        <v>0.21899514983115326</v>
      </c>
      <c r="ET61" s="2288">
        <f t="shared" ref="ET61" si="170">IF(ET44*EO44&gt;0,(ET44-EO44)/ABS(EO44),"NA")</f>
        <v>0.1386416230689575</v>
      </c>
      <c r="EU61" s="4244">
        <f>IF(EU44*EP44&gt;0,(EU44-EP44)/ABS(EP44),"NA")</f>
        <v>0.1871401413513038</v>
      </c>
      <c r="EV61" s="4244">
        <f>IF(EV44*EU44&gt;0,(EV44-EU44)/ABS(EU44),"NA")</f>
        <v>9.9588429607337742E-2</v>
      </c>
      <c r="EW61" s="4244">
        <f>IF(EW44*EV44&gt;0,(EW44-EV44)/ABS(EV44),"NA")</f>
        <v>8.8712741957349198E-2</v>
      </c>
      <c r="EX61" s="4244">
        <f>IF(EX44*EW44&gt;0,(EX44-EW44)/ABS(EW44),"NA")</f>
        <v>7.896415271956457E-2</v>
      </c>
      <c r="EY61" s="4244">
        <f>IF(EY44*EX44&gt;0,(EY44-EX44)/ABS(EX44),"NA")</f>
        <v>7.5903284915858585E-2</v>
      </c>
      <c r="EZ61" s="170"/>
      <c r="FA61" s="1319"/>
      <c r="FB61" s="1319"/>
      <c r="FC61" s="511"/>
    </row>
    <row r="62" spans="1:159" s="4" customFormat="1" ht="11.25" hidden="1" customHeight="1" outlineLevel="1">
      <c r="A62" s="4905" t="str">
        <f>A48</f>
        <v>GAAP Net Income</v>
      </c>
      <c r="B62" s="170"/>
      <c r="C62" s="170"/>
      <c r="D62" s="170"/>
      <c r="E62" s="286"/>
      <c r="F62" s="4858"/>
      <c r="G62" s="170"/>
      <c r="H62" s="170"/>
      <c r="I62" s="170"/>
      <c r="J62" s="286"/>
      <c r="K62" s="4858"/>
      <c r="L62" s="170"/>
      <c r="M62" s="170"/>
      <c r="N62" s="170"/>
      <c r="O62" s="286"/>
      <c r="P62" s="2657"/>
      <c r="Q62" s="2608"/>
      <c r="R62" s="170"/>
      <c r="S62" s="170"/>
      <c r="T62" s="286"/>
      <c r="U62" s="4858"/>
      <c r="V62" s="4859"/>
      <c r="W62" s="170"/>
      <c r="X62" s="170"/>
      <c r="Y62" s="286"/>
      <c r="Z62" s="4858"/>
      <c r="AA62" s="4859"/>
      <c r="AB62" s="170"/>
      <c r="AC62" s="170"/>
      <c r="AD62" s="286"/>
      <c r="AE62" s="4858"/>
      <c r="AF62" s="4859"/>
      <c r="AG62" s="170"/>
      <c r="AH62" s="170"/>
      <c r="AI62" s="286"/>
      <c r="AJ62" s="4858"/>
      <c r="AK62" s="170"/>
      <c r="AL62" s="170"/>
      <c r="AM62" s="170"/>
      <c r="AN62" s="286"/>
      <c r="AO62" s="4858"/>
      <c r="AP62" s="170"/>
      <c r="AQ62" s="170"/>
      <c r="AR62" s="170"/>
      <c r="AS62" s="286"/>
      <c r="AT62" s="4858"/>
      <c r="AU62" s="170"/>
      <c r="AV62" s="170"/>
      <c r="AW62" s="170"/>
      <c r="AX62" s="286"/>
      <c r="AY62" s="4858"/>
      <c r="AZ62" s="170"/>
      <c r="BA62" s="170"/>
      <c r="BB62" s="170"/>
      <c r="BC62" s="170"/>
      <c r="BD62" s="4860"/>
      <c r="BE62" s="4866"/>
      <c r="BF62" s="170"/>
      <c r="BG62" s="170"/>
      <c r="BH62" s="170"/>
      <c r="BI62" s="4860"/>
      <c r="BJ62" s="170"/>
      <c r="BK62" s="170"/>
      <c r="BL62" s="170"/>
      <c r="BM62" s="170"/>
      <c r="BN62" s="4860"/>
      <c r="BO62" s="170"/>
      <c r="BP62" s="170"/>
      <c r="BQ62" s="170"/>
      <c r="BR62" s="286"/>
      <c r="BS62" s="4858"/>
      <c r="BT62" s="170"/>
      <c r="BU62" s="170"/>
      <c r="BV62" s="170"/>
      <c r="BW62" s="170"/>
      <c r="BX62" s="4860"/>
      <c r="BY62" s="170"/>
      <c r="BZ62" s="170"/>
      <c r="CA62" s="170"/>
      <c r="CB62" s="170"/>
      <c r="CC62" s="4860"/>
      <c r="CD62" s="170"/>
      <c r="CE62" s="170"/>
      <c r="CF62" s="170"/>
      <c r="CG62" s="170"/>
      <c r="CH62" s="4860"/>
      <c r="CI62" s="170"/>
      <c r="CJ62" s="170"/>
      <c r="CK62" s="170"/>
      <c r="CL62" s="170"/>
      <c r="CM62" s="4860"/>
      <c r="CN62" s="170"/>
      <c r="CO62" s="170"/>
      <c r="CP62" s="170"/>
      <c r="CQ62" s="170"/>
      <c r="CR62" s="4860"/>
      <c r="CS62" s="170"/>
      <c r="CT62" s="170"/>
      <c r="CU62" s="170"/>
      <c r="CV62" s="170"/>
      <c r="CW62" s="4860"/>
      <c r="CX62" s="170"/>
      <c r="CY62" s="170"/>
      <c r="CZ62" s="170"/>
      <c r="DA62" s="170"/>
      <c r="DB62" s="4860"/>
      <c r="DC62" s="170"/>
      <c r="DD62" s="170"/>
      <c r="DE62" s="170"/>
      <c r="DF62" s="170"/>
      <c r="DG62" s="4939"/>
      <c r="DH62" s="2623"/>
      <c r="DI62" s="2623"/>
      <c r="DJ62" s="2623"/>
      <c r="DK62" s="2623"/>
      <c r="DL62" s="4939">
        <f>IF(DL48*DG48&gt;0,(DL48-DG48)/ABS(DG48),"NA")</f>
        <v>0.11156514302005131</v>
      </c>
      <c r="DM62" s="2623"/>
      <c r="DN62" s="2623"/>
      <c r="DO62" s="2623"/>
      <c r="DP62" s="2623"/>
      <c r="DQ62" s="4939">
        <f t="shared" ref="DQ62:DY63" si="171">IF(DQ48*DL48&gt;0,(DQ48-DL48)/ABS(DL48),"NA")</f>
        <v>4.0181243053774469E-2</v>
      </c>
      <c r="DR62" s="2623">
        <f t="shared" si="171"/>
        <v>0.50396790013374948</v>
      </c>
      <c r="DS62" s="2623">
        <f t="shared" si="171"/>
        <v>1.2046937607326846</v>
      </c>
      <c r="DT62" s="2623">
        <f t="shared" si="171"/>
        <v>0.59152715554507584</v>
      </c>
      <c r="DU62" s="2623"/>
      <c r="DV62" s="4939">
        <f t="shared" si="171"/>
        <v>0.54062217473493879</v>
      </c>
      <c r="DW62" s="2623">
        <f t="shared" si="171"/>
        <v>0.13547163099543488</v>
      </c>
      <c r="DX62" s="2623">
        <f t="shared" si="171"/>
        <v>-5.9975075293384569E-2</v>
      </c>
      <c r="DY62" s="2623">
        <f t="shared" si="171"/>
        <v>-0.19744184898019657</v>
      </c>
      <c r="DZ62" s="2623">
        <f t="shared" ref="DZ62:EN63" si="172">IF(DZ48*DU48&gt;0,(DZ48-DU48)/ABS(DU48),"NA")</f>
        <v>-0.23951988534575422</v>
      </c>
      <c r="EA62" s="4939">
        <f t="shared" si="172"/>
        <v>-5.9923445231331439E-2</v>
      </c>
      <c r="EB62" s="2623">
        <f t="shared" si="172"/>
        <v>-1.4306599832915622E-2</v>
      </c>
      <c r="EC62" s="2623">
        <f t="shared" si="172"/>
        <v>0.11495332265370381</v>
      </c>
      <c r="ED62" s="2623">
        <f t="shared" si="172"/>
        <v>0.38268414251430682</v>
      </c>
      <c r="EE62" s="2623">
        <f t="shared" si="172"/>
        <v>0.36507656065959954</v>
      </c>
      <c r="EF62" s="4241">
        <f t="shared" si="172"/>
        <v>0.20181312601083903</v>
      </c>
      <c r="EG62" s="2623">
        <f t="shared" si="172"/>
        <v>0.25754846911749124</v>
      </c>
      <c r="EH62" s="2623">
        <f t="shared" si="172"/>
        <v>0.3106420927467301</v>
      </c>
      <c r="EI62" s="2623">
        <f t="shared" si="172"/>
        <v>0.19207832665776592</v>
      </c>
      <c r="EJ62" s="2623">
        <f t="shared" si="172"/>
        <v>0.21139824841451313</v>
      </c>
      <c r="EK62" s="4241">
        <f t="shared" ref="EK62:EK63" si="173">IF(EK48*EF48&gt;0,(EK48-EF48)/ABS(EF48),"NA")</f>
        <v>0.24020493206313229</v>
      </c>
      <c r="EL62" s="2623">
        <f t="shared" si="172"/>
        <v>0.13302443133951136</v>
      </c>
      <c r="EM62" s="2623">
        <f t="shared" si="172"/>
        <v>8.8115218870492173E-2</v>
      </c>
      <c r="EN62" s="2623">
        <f t="shared" si="172"/>
        <v>-2.5386395878443965E-3</v>
      </c>
      <c r="EO62" s="2612">
        <f t="shared" ref="EO62:EP63" ca="1" si="174">IF(EO48*EJ48&gt;0,(EO48-EJ48)/ABS(EJ48),"NA")</f>
        <v>0.18539541980876609</v>
      </c>
      <c r="EP62" s="4241">
        <f t="shared" ca="1" si="174"/>
        <v>0.10115000135933455</v>
      </c>
      <c r="EQ62" s="2612">
        <f t="shared" ref="EQ62:EQ63" ca="1" si="175">IF(EQ48*EL48&gt;0,(EQ48-EL48)/ABS(EL48),"NA")</f>
        <v>0.24160870519099042</v>
      </c>
      <c r="ER62" s="2612">
        <f t="shared" ref="ER62:ER63" ca="1" si="176">IF(ER48*EM48&gt;0,(ER48-EM48)/ABS(EM48),"NA")</f>
        <v>0.18127524420737945</v>
      </c>
      <c r="ES62" s="2612">
        <f t="shared" ref="ES62:ES63" ca="1" si="177">IF(ES48*EN48&gt;0,(ES48-EN48)/ABS(EN48),"NA")</f>
        <v>0.29722444060157455</v>
      </c>
      <c r="ET62" s="2612">
        <f t="shared" ref="ET62:EU63" ca="1" si="178">IF(ET48*EO48&gt;0,(ET48-EO48)/ABS(EO48),"NA")</f>
        <v>0.12477022384965586</v>
      </c>
      <c r="EU62" s="4241">
        <f t="shared" ca="1" si="178"/>
        <v>0.20582474300712711</v>
      </c>
      <c r="EV62" s="4241">
        <f t="shared" ref="EV62:EY63" ca="1" si="179">IF(EV48*EU48&gt;0,(EV48-EU48)/ABS(EU48),"NA")</f>
        <v>9.0929368263875474E-2</v>
      </c>
      <c r="EW62" s="4241">
        <f t="shared" ca="1" si="179"/>
        <v>7.5993332734410959E-2</v>
      </c>
      <c r="EX62" s="4241">
        <f t="shared" ca="1" si="179"/>
        <v>6.8171179350698649E-2</v>
      </c>
      <c r="EY62" s="4241">
        <f t="shared" ca="1" si="179"/>
        <v>6.6671945980211769E-2</v>
      </c>
      <c r="EZ62" s="170"/>
      <c r="FA62" s="1319"/>
      <c r="FB62" s="1319"/>
      <c r="FC62" s="511"/>
    </row>
    <row r="63" spans="1:159" s="4" customFormat="1" ht="11.25" hidden="1" customHeight="1" outlineLevel="1">
      <c r="A63" s="4905" t="str">
        <f>A49</f>
        <v>GAAP EPS</v>
      </c>
      <c r="B63" s="170"/>
      <c r="C63" s="170"/>
      <c r="D63" s="170"/>
      <c r="E63" s="286"/>
      <c r="F63" s="4858"/>
      <c r="G63" s="170"/>
      <c r="H63" s="170"/>
      <c r="I63" s="170"/>
      <c r="J63" s="286"/>
      <c r="K63" s="4858"/>
      <c r="L63" s="170"/>
      <c r="M63" s="170"/>
      <c r="N63" s="170"/>
      <c r="O63" s="286"/>
      <c r="P63" s="2657"/>
      <c r="Q63" s="2608"/>
      <c r="R63" s="170"/>
      <c r="S63" s="170"/>
      <c r="T63" s="286"/>
      <c r="U63" s="4858"/>
      <c r="V63" s="4859"/>
      <c r="W63" s="170"/>
      <c r="X63" s="170"/>
      <c r="Y63" s="286"/>
      <c r="Z63" s="4858"/>
      <c r="AA63" s="4859"/>
      <c r="AB63" s="170"/>
      <c r="AC63" s="170"/>
      <c r="AD63" s="286"/>
      <c r="AE63" s="4858"/>
      <c r="AF63" s="4859"/>
      <c r="AG63" s="170"/>
      <c r="AH63" s="170"/>
      <c r="AI63" s="286"/>
      <c r="AJ63" s="4858"/>
      <c r="AK63" s="170"/>
      <c r="AL63" s="170"/>
      <c r="AM63" s="170"/>
      <c r="AN63" s="286"/>
      <c r="AO63" s="4858"/>
      <c r="AP63" s="170"/>
      <c r="AQ63" s="170"/>
      <c r="AR63" s="170"/>
      <c r="AS63" s="286"/>
      <c r="AT63" s="4858"/>
      <c r="AU63" s="170"/>
      <c r="AV63" s="170"/>
      <c r="AW63" s="170"/>
      <c r="AX63" s="286"/>
      <c r="AY63" s="4858"/>
      <c r="AZ63" s="170"/>
      <c r="BA63" s="170"/>
      <c r="BB63" s="170"/>
      <c r="BC63" s="170"/>
      <c r="BD63" s="4860"/>
      <c r="BE63" s="4866"/>
      <c r="BF63" s="170"/>
      <c r="BG63" s="170"/>
      <c r="BH63" s="170"/>
      <c r="BI63" s="4860"/>
      <c r="BJ63" s="170"/>
      <c r="BK63" s="170"/>
      <c r="BL63" s="170"/>
      <c r="BM63" s="170"/>
      <c r="BN63" s="4860"/>
      <c r="BO63" s="170"/>
      <c r="BP63" s="170"/>
      <c r="BQ63" s="170"/>
      <c r="BR63" s="286"/>
      <c r="BS63" s="4858"/>
      <c r="BT63" s="170"/>
      <c r="BU63" s="170"/>
      <c r="BV63" s="170"/>
      <c r="BW63" s="170"/>
      <c r="BX63" s="4860"/>
      <c r="BY63" s="170"/>
      <c r="BZ63" s="170"/>
      <c r="CA63" s="170"/>
      <c r="CB63" s="170"/>
      <c r="CC63" s="4860"/>
      <c r="CD63" s="170"/>
      <c r="CE63" s="170"/>
      <c r="CF63" s="170"/>
      <c r="CG63" s="170"/>
      <c r="CH63" s="4860"/>
      <c r="CI63" s="170"/>
      <c r="CJ63" s="170"/>
      <c r="CK63" s="170"/>
      <c r="CL63" s="170"/>
      <c r="CM63" s="4860"/>
      <c r="CN63" s="170"/>
      <c r="CO63" s="170"/>
      <c r="CP63" s="170"/>
      <c r="CQ63" s="170"/>
      <c r="CR63" s="4860"/>
      <c r="CS63" s="170"/>
      <c r="CT63" s="170"/>
      <c r="CU63" s="170"/>
      <c r="CV63" s="170"/>
      <c r="CW63" s="4860"/>
      <c r="CX63" s="170"/>
      <c r="CY63" s="170"/>
      <c r="CZ63" s="170"/>
      <c r="DA63" s="170"/>
      <c r="DB63" s="4860"/>
      <c r="DC63" s="170"/>
      <c r="DD63" s="170"/>
      <c r="DE63" s="170"/>
      <c r="DF63" s="170"/>
      <c r="DG63" s="4863"/>
      <c r="DH63" s="4865"/>
      <c r="DI63" s="4865"/>
      <c r="DJ63" s="4865"/>
      <c r="DK63" s="4865"/>
      <c r="DL63" s="4939">
        <f>IF(DL49*DG49&gt;0,(DL49-DG49)/ABS(DG49),"NA")</f>
        <v>0.11908888360149966</v>
      </c>
      <c r="DM63" s="2623"/>
      <c r="DN63" s="2623"/>
      <c r="DO63" s="2623"/>
      <c r="DP63" s="2623"/>
      <c r="DQ63" s="4939">
        <f t="shared" si="171"/>
        <v>5.763612679879962E-2</v>
      </c>
      <c r="DR63" s="2623">
        <f t="shared" si="171"/>
        <v>0.52645010024160299</v>
      </c>
      <c r="DS63" s="2623">
        <f t="shared" si="171"/>
        <v>1.2287386424512987</v>
      </c>
      <c r="DT63" s="2623">
        <f t="shared" si="171"/>
        <v>0.61348090912117148</v>
      </c>
      <c r="DU63" s="2623"/>
      <c r="DV63" s="4939">
        <f t="shared" si="171"/>
        <v>0.56188753999730967</v>
      </c>
      <c r="DW63" s="2623">
        <f t="shared" si="171"/>
        <v>0.16016944147291709</v>
      </c>
      <c r="DX63" s="2623">
        <f t="shared" si="171"/>
        <v>-3.4893543123027115E-2</v>
      </c>
      <c r="DY63" s="2623">
        <f t="shared" si="171"/>
        <v>-0.17088518321788745</v>
      </c>
      <c r="DZ63" s="2623">
        <f t="shared" si="172"/>
        <v>-0.20998292462473511</v>
      </c>
      <c r="EA63" s="4939">
        <f t="shared" si="172"/>
        <v>-3.1705799166145528E-2</v>
      </c>
      <c r="EB63" s="2623">
        <f t="shared" si="172"/>
        <v>2.6281860679930304E-2</v>
      </c>
      <c r="EC63" s="2623">
        <f t="shared" si="172"/>
        <v>0.15644523962804643</v>
      </c>
      <c r="ED63" s="2623">
        <f t="shared" si="172"/>
        <v>0.42635587700928462</v>
      </c>
      <c r="EE63" s="2623">
        <f t="shared" si="172"/>
        <v>0.40244772503252152</v>
      </c>
      <c r="EF63" s="4241">
        <f t="shared" si="172"/>
        <v>0.2431218652002953</v>
      </c>
      <c r="EG63" s="2623">
        <f t="shared" si="172"/>
        <v>0.28726303340732734</v>
      </c>
      <c r="EH63" s="2623">
        <f t="shared" si="172"/>
        <v>0.33885839710438265</v>
      </c>
      <c r="EI63" s="2623">
        <f t="shared" si="172"/>
        <v>0.21866707748184191</v>
      </c>
      <c r="EJ63" s="2623">
        <f t="shared" si="172"/>
        <v>0.2363168712762953</v>
      </c>
      <c r="EK63" s="4241">
        <f t="shared" si="173"/>
        <v>0.26750543228489204</v>
      </c>
      <c r="EL63" s="2623">
        <f t="shared" si="172"/>
        <v>0.15477968036694015</v>
      </c>
      <c r="EM63" s="2623">
        <f t="shared" si="172"/>
        <v>0.11460892439636017</v>
      </c>
      <c r="EN63" s="2623">
        <f t="shared" si="172"/>
        <v>1.5116990490745039E-2</v>
      </c>
      <c r="EO63" s="2612">
        <f t="shared" ca="1" si="174"/>
        <v>0.19894239433479871</v>
      </c>
      <c r="EP63" s="4241">
        <f t="shared" ca="1" si="174"/>
        <v>0.12115788868651389</v>
      </c>
      <c r="EQ63" s="2612">
        <f t="shared" ca="1" si="175"/>
        <v>0.24977930751168259</v>
      </c>
      <c r="ER63" s="2612">
        <f t="shared" ca="1" si="176"/>
        <v>0.17984161461271805</v>
      </c>
      <c r="ES63" s="2612">
        <f t="shared" ca="1" si="177"/>
        <v>0.29594936445213071</v>
      </c>
      <c r="ET63" s="2612">
        <f t="shared" ca="1" si="178"/>
        <v>0.12396731613477829</v>
      </c>
      <c r="EU63" s="4241">
        <f t="shared" ca="1" si="178"/>
        <v>0.20693058310816748</v>
      </c>
      <c r="EV63" s="4241">
        <f t="shared" ca="1" si="179"/>
        <v>9.9667474321523244E-2</v>
      </c>
      <c r="EW63" s="4241">
        <f t="shared" ca="1" si="179"/>
        <v>8.5515268905569652E-2</v>
      </c>
      <c r="EX63" s="4241">
        <f t="shared" ca="1" si="179"/>
        <v>7.8880379479628338E-2</v>
      </c>
      <c r="EY63" s="4241">
        <f t="shared" ca="1" si="179"/>
        <v>7.8616319014220809E-2</v>
      </c>
      <c r="EZ63" s="170"/>
      <c r="FA63" s="1319"/>
      <c r="FB63" s="1319"/>
      <c r="FC63" s="511"/>
    </row>
    <row r="64" spans="1:159" s="4" customFormat="1" ht="11.25" hidden="1" customHeight="1" outlineLevel="1">
      <c r="A64" s="4964" t="str">
        <f>A51</f>
        <v>D&amp;A</v>
      </c>
      <c r="B64" s="4965"/>
      <c r="C64" s="4965"/>
      <c r="D64" s="4965"/>
      <c r="E64" s="4966"/>
      <c r="F64" s="4967"/>
      <c r="G64" s="4965"/>
      <c r="H64" s="4965"/>
      <c r="I64" s="4965"/>
      <c r="J64" s="4966"/>
      <c r="K64" s="4967"/>
      <c r="L64" s="4965"/>
      <c r="M64" s="4965"/>
      <c r="N64" s="4965"/>
      <c r="O64" s="4966"/>
      <c r="P64" s="4968"/>
      <c r="Q64" s="4969"/>
      <c r="R64" s="4965"/>
      <c r="S64" s="4965"/>
      <c r="T64" s="4966"/>
      <c r="U64" s="4967"/>
      <c r="V64" s="4970"/>
      <c r="W64" s="4965"/>
      <c r="X64" s="4965"/>
      <c r="Y64" s="4966"/>
      <c r="Z64" s="4967"/>
      <c r="AA64" s="4970"/>
      <c r="AB64" s="4965"/>
      <c r="AC64" s="4965"/>
      <c r="AD64" s="4966"/>
      <c r="AE64" s="4967"/>
      <c r="AF64" s="4970"/>
      <c r="AG64" s="4965"/>
      <c r="AH64" s="4965"/>
      <c r="AI64" s="4966"/>
      <c r="AJ64" s="4967"/>
      <c r="AK64" s="4965"/>
      <c r="AL64" s="4965"/>
      <c r="AM64" s="4965"/>
      <c r="AN64" s="4966"/>
      <c r="AO64" s="4967"/>
      <c r="AP64" s="4965"/>
      <c r="AQ64" s="4965"/>
      <c r="AR64" s="4965"/>
      <c r="AS64" s="4966"/>
      <c r="AT64" s="4967"/>
      <c r="AU64" s="4965"/>
      <c r="AV64" s="4965"/>
      <c r="AW64" s="4965"/>
      <c r="AX64" s="4966"/>
      <c r="AY64" s="4967"/>
      <c r="AZ64" s="4965"/>
      <c r="BA64" s="4965"/>
      <c r="BB64" s="4965"/>
      <c r="BC64" s="4965"/>
      <c r="BD64" s="4971"/>
      <c r="BE64" s="4972"/>
      <c r="BF64" s="4965"/>
      <c r="BG64" s="4965"/>
      <c r="BH64" s="4965"/>
      <c r="BI64" s="4971"/>
      <c r="BJ64" s="4965"/>
      <c r="BK64" s="4965"/>
      <c r="BL64" s="4965"/>
      <c r="BM64" s="4965"/>
      <c r="BN64" s="4971"/>
      <c r="BO64" s="4965"/>
      <c r="BP64" s="4965"/>
      <c r="BQ64" s="4965"/>
      <c r="BR64" s="4966"/>
      <c r="BS64" s="4967"/>
      <c r="BT64" s="4965"/>
      <c r="BU64" s="4965"/>
      <c r="BV64" s="4965"/>
      <c r="BW64" s="4965"/>
      <c r="BX64" s="4971"/>
      <c r="BY64" s="4965"/>
      <c r="BZ64" s="4965"/>
      <c r="CA64" s="4965"/>
      <c r="CB64" s="4965"/>
      <c r="CC64" s="4971"/>
      <c r="CD64" s="4965"/>
      <c r="CE64" s="4965"/>
      <c r="CF64" s="4965"/>
      <c r="CG64" s="4965"/>
      <c r="CH64" s="4971"/>
      <c r="CI64" s="4965"/>
      <c r="CJ64" s="4965"/>
      <c r="CK64" s="4965"/>
      <c r="CL64" s="4965"/>
      <c r="CM64" s="4971"/>
      <c r="CN64" s="4965"/>
      <c r="CO64" s="4965"/>
      <c r="CP64" s="4965"/>
      <c r="CQ64" s="4965"/>
      <c r="CR64" s="4971"/>
      <c r="CS64" s="4965"/>
      <c r="CT64" s="4965"/>
      <c r="CU64" s="4965"/>
      <c r="CV64" s="4965"/>
      <c r="CW64" s="4971"/>
      <c r="CX64" s="4965"/>
      <c r="CY64" s="4965"/>
      <c r="CZ64" s="4965"/>
      <c r="DA64" s="4965"/>
      <c r="DB64" s="4971"/>
      <c r="DC64" s="4965"/>
      <c r="DD64" s="4965"/>
      <c r="DE64" s="4965"/>
      <c r="DF64" s="4965"/>
      <c r="DG64" s="4973"/>
      <c r="DH64" s="4974"/>
      <c r="DI64" s="4974"/>
      <c r="DJ64" s="4974"/>
      <c r="DK64" s="4974"/>
      <c r="DL64" s="4975">
        <f>DL51/DG51-1</f>
        <v>0.22779419928879019</v>
      </c>
      <c r="DM64" s="4976"/>
      <c r="DN64" s="4976"/>
      <c r="DO64" s="4976"/>
      <c r="DP64" s="4976"/>
      <c r="DQ64" s="4975">
        <f>DQ51/DL51-1</f>
        <v>0.11710986840818882</v>
      </c>
      <c r="DR64" s="4976"/>
      <c r="DS64" s="4976"/>
      <c r="DT64" s="4976"/>
      <c r="DU64" s="4976"/>
      <c r="DV64" s="4975">
        <f>DV51/DQ51-1</f>
        <v>-9.0542070298175847E-2</v>
      </c>
      <c r="DW64" s="4976"/>
      <c r="DX64" s="4976"/>
      <c r="DY64" s="4976"/>
      <c r="DZ64" s="4976"/>
      <c r="EA64" s="4975">
        <f>EA51/DV51-1</f>
        <v>0.25643047495553906</v>
      </c>
      <c r="EB64" s="4976"/>
      <c r="EC64" s="4976"/>
      <c r="ED64" s="4976"/>
      <c r="EE64" s="4976"/>
      <c r="EF64" s="4979">
        <f>EF51/EA51-1</f>
        <v>-0.11286277565557945</v>
      </c>
      <c r="EG64" s="4976"/>
      <c r="EH64" s="4976"/>
      <c r="EI64" s="4976"/>
      <c r="EJ64" s="4976"/>
      <c r="EK64" s="4979">
        <f>EK51/EF51-1</f>
        <v>0.13199536133639778</v>
      </c>
      <c r="EL64" s="4976"/>
      <c r="EM64" s="4976"/>
      <c r="EN64" s="4976"/>
      <c r="EO64" s="4980"/>
      <c r="EP64" s="4979">
        <f>EP51/EK51-1</f>
        <v>0.3383732193103246</v>
      </c>
      <c r="EQ64" s="4980"/>
      <c r="ER64" s="4980"/>
      <c r="ES64" s="4980"/>
      <c r="ET64" s="4980"/>
      <c r="EU64" s="4979">
        <f>EU51/EP51-1</f>
        <v>0.39654588499417542</v>
      </c>
      <c r="EV64" s="4979">
        <f t="shared" ref="EV64:EY65" si="180">EV51/EU51-1</f>
        <v>0.28911078894267206</v>
      </c>
      <c r="EW64" s="4979">
        <f t="shared" si="180"/>
        <v>0.10789844901841561</v>
      </c>
      <c r="EX64" s="4979">
        <f t="shared" si="180"/>
        <v>7.4186160854249561E-2</v>
      </c>
      <c r="EY64" s="4979">
        <f t="shared" si="180"/>
        <v>6.3370654699986817E-2</v>
      </c>
      <c r="EZ64" s="170"/>
      <c r="FA64" s="1319"/>
      <c r="FB64" s="1319"/>
      <c r="FC64" s="511"/>
    </row>
    <row r="65" spans="1:159" s="4" customFormat="1" ht="11.25" hidden="1" customHeight="1" outlineLevel="1">
      <c r="A65" s="4964" t="str">
        <f>A52</f>
        <v>SBC</v>
      </c>
      <c r="B65" s="4965"/>
      <c r="C65" s="4965"/>
      <c r="D65" s="4965"/>
      <c r="E65" s="4966"/>
      <c r="F65" s="4967"/>
      <c r="G65" s="4965"/>
      <c r="H65" s="4965"/>
      <c r="I65" s="4965"/>
      <c r="J65" s="4966"/>
      <c r="K65" s="4967"/>
      <c r="L65" s="4965"/>
      <c r="M65" s="4965"/>
      <c r="N65" s="4965"/>
      <c r="O65" s="4966"/>
      <c r="P65" s="4968"/>
      <c r="Q65" s="4969"/>
      <c r="R65" s="4965"/>
      <c r="S65" s="4965"/>
      <c r="T65" s="4966"/>
      <c r="U65" s="4967"/>
      <c r="V65" s="4970"/>
      <c r="W65" s="4965"/>
      <c r="X65" s="4965"/>
      <c r="Y65" s="4966"/>
      <c r="Z65" s="4967"/>
      <c r="AA65" s="4970"/>
      <c r="AB65" s="4965"/>
      <c r="AC65" s="4965"/>
      <c r="AD65" s="4966"/>
      <c r="AE65" s="4967"/>
      <c r="AF65" s="4970"/>
      <c r="AG65" s="4965"/>
      <c r="AH65" s="4965"/>
      <c r="AI65" s="4966"/>
      <c r="AJ65" s="4967"/>
      <c r="AK65" s="4965"/>
      <c r="AL65" s="4965"/>
      <c r="AM65" s="4965"/>
      <c r="AN65" s="4966"/>
      <c r="AO65" s="4967"/>
      <c r="AP65" s="4965"/>
      <c r="AQ65" s="4965"/>
      <c r="AR65" s="4965"/>
      <c r="AS65" s="4966"/>
      <c r="AT65" s="4967"/>
      <c r="AU65" s="4965"/>
      <c r="AV65" s="4965"/>
      <c r="AW65" s="4965"/>
      <c r="AX65" s="4966"/>
      <c r="AY65" s="4967"/>
      <c r="AZ65" s="4965"/>
      <c r="BA65" s="4965"/>
      <c r="BB65" s="4965"/>
      <c r="BC65" s="4965"/>
      <c r="BD65" s="4971"/>
      <c r="BE65" s="4972"/>
      <c r="BF65" s="4965"/>
      <c r="BG65" s="4965"/>
      <c r="BH65" s="4965"/>
      <c r="BI65" s="4971"/>
      <c r="BJ65" s="4965"/>
      <c r="BK65" s="4965"/>
      <c r="BL65" s="4965"/>
      <c r="BM65" s="4965"/>
      <c r="BN65" s="4971"/>
      <c r="BO65" s="4965"/>
      <c r="BP65" s="4965"/>
      <c r="BQ65" s="4965"/>
      <c r="BR65" s="4966"/>
      <c r="BS65" s="4967"/>
      <c r="BT65" s="4965"/>
      <c r="BU65" s="4965"/>
      <c r="BV65" s="4965"/>
      <c r="BW65" s="4965"/>
      <c r="BX65" s="4971"/>
      <c r="BY65" s="4965"/>
      <c r="BZ65" s="4965"/>
      <c r="CA65" s="4965"/>
      <c r="CB65" s="4965"/>
      <c r="CC65" s="4971"/>
      <c r="CD65" s="4965"/>
      <c r="CE65" s="4965"/>
      <c r="CF65" s="4965"/>
      <c r="CG65" s="4965"/>
      <c r="CH65" s="4971"/>
      <c r="CI65" s="4965"/>
      <c r="CJ65" s="4965"/>
      <c r="CK65" s="4965"/>
      <c r="CL65" s="4965"/>
      <c r="CM65" s="4971"/>
      <c r="CN65" s="4965"/>
      <c r="CO65" s="4965"/>
      <c r="CP65" s="4965"/>
      <c r="CQ65" s="4965"/>
      <c r="CR65" s="4971"/>
      <c r="CS65" s="4965"/>
      <c r="CT65" s="4965"/>
      <c r="CU65" s="4965"/>
      <c r="CV65" s="4965"/>
      <c r="CW65" s="4971"/>
      <c r="CX65" s="4965"/>
      <c r="CY65" s="4965"/>
      <c r="CZ65" s="4965"/>
      <c r="DA65" s="4965"/>
      <c r="DB65" s="4971"/>
      <c r="DC65" s="4965"/>
      <c r="DD65" s="4965"/>
      <c r="DE65" s="4965"/>
      <c r="DF65" s="4965"/>
      <c r="DG65" s="4973"/>
      <c r="DH65" s="4974"/>
      <c r="DI65" s="4974"/>
      <c r="DJ65" s="4974"/>
      <c r="DK65" s="4974"/>
      <c r="DL65" s="4975">
        <f>DL52/DG52-1</f>
        <v>0.14605758153107984</v>
      </c>
      <c r="DM65" s="4976"/>
      <c r="DN65" s="4976"/>
      <c r="DO65" s="4976"/>
      <c r="DP65" s="4976"/>
      <c r="DQ65" s="4975">
        <f>DQ52/DL52-1</f>
        <v>0.1647524749453535</v>
      </c>
      <c r="DR65" s="4976"/>
      <c r="DS65" s="4976"/>
      <c r="DT65" s="4976"/>
      <c r="DU65" s="4976"/>
      <c r="DV65" s="4975">
        <f>DV52/DQ52-1</f>
        <v>0.12538196078989805</v>
      </c>
      <c r="DW65" s="4976"/>
      <c r="DX65" s="4976"/>
      <c r="DY65" s="4976"/>
      <c r="DZ65" s="4976"/>
      <c r="EA65" s="4975">
        <f>EA52/DV52-1</f>
        <v>0.22301206729844925</v>
      </c>
      <c r="EB65" s="4976"/>
      <c r="EC65" s="4976"/>
      <c r="ED65" s="4976"/>
      <c r="EE65" s="4976"/>
      <c r="EF65" s="4979">
        <f>EF52/EA52-1</f>
        <v>0.15122896233803096</v>
      </c>
      <c r="EG65" s="4976"/>
      <c r="EH65" s="4976"/>
      <c r="EI65" s="4976"/>
      <c r="EJ65" s="4976"/>
      <c r="EK65" s="4979">
        <f>EK52/EF52-1</f>
        <v>6.7594075138137644E-3</v>
      </c>
      <c r="EL65" s="4976"/>
      <c r="EM65" s="4976"/>
      <c r="EN65" s="4976"/>
      <c r="EO65" s="4980"/>
      <c r="EP65" s="4979">
        <f>EP52/EK52-1</f>
        <v>6.3603288063788899E-2</v>
      </c>
      <c r="EQ65" s="4980"/>
      <c r="ER65" s="4980"/>
      <c r="ES65" s="4980"/>
      <c r="ET65" s="4980"/>
      <c r="EU65" s="4979">
        <f>EU52/EP52-1</f>
        <v>0.15626057043283881</v>
      </c>
      <c r="EV65" s="4979">
        <f t="shared" si="180"/>
        <v>7.0311037047663394E-2</v>
      </c>
      <c r="EW65" s="4979">
        <f t="shared" si="180"/>
        <v>7.1119059621764569E-2</v>
      </c>
      <c r="EX65" s="4979">
        <f t="shared" si="180"/>
        <v>6.6887720417080576E-2</v>
      </c>
      <c r="EY65" s="4979">
        <f t="shared" si="180"/>
        <v>6.5634548773158441E-2</v>
      </c>
      <c r="EZ65" s="170"/>
      <c r="FA65" s="1319"/>
      <c r="FB65" s="1319"/>
      <c r="FC65" s="511"/>
    </row>
    <row r="66" spans="1:159" s="4" customFormat="1" ht="11.25" hidden="1" customHeight="1" outlineLevel="1">
      <c r="A66" s="4978" t="str">
        <f>A53</f>
        <v>Adj. EBITDA</v>
      </c>
      <c r="B66" s="4965"/>
      <c r="C66" s="4965"/>
      <c r="D66" s="4965"/>
      <c r="E66" s="4966"/>
      <c r="F66" s="4967"/>
      <c r="G66" s="4965"/>
      <c r="H66" s="4965"/>
      <c r="I66" s="4965"/>
      <c r="J66" s="4966"/>
      <c r="K66" s="4967"/>
      <c r="L66" s="4965"/>
      <c r="M66" s="4965"/>
      <c r="N66" s="4965"/>
      <c r="O66" s="4966"/>
      <c r="P66" s="4968"/>
      <c r="Q66" s="4969"/>
      <c r="R66" s="4965"/>
      <c r="S66" s="4965"/>
      <c r="T66" s="4966"/>
      <c r="U66" s="4967"/>
      <c r="V66" s="4970"/>
      <c r="W66" s="4965"/>
      <c r="X66" s="4965"/>
      <c r="Y66" s="4966"/>
      <c r="Z66" s="4967"/>
      <c r="AA66" s="4970"/>
      <c r="AB66" s="4965"/>
      <c r="AC66" s="4965"/>
      <c r="AD66" s="4966"/>
      <c r="AE66" s="4967"/>
      <c r="AF66" s="4970"/>
      <c r="AG66" s="4965"/>
      <c r="AH66" s="4965"/>
      <c r="AI66" s="4966"/>
      <c r="AJ66" s="4967"/>
      <c r="AK66" s="4965"/>
      <c r="AL66" s="4965"/>
      <c r="AM66" s="4965"/>
      <c r="AN66" s="4966"/>
      <c r="AO66" s="4967"/>
      <c r="AP66" s="4965"/>
      <c r="AQ66" s="4965"/>
      <c r="AR66" s="4965"/>
      <c r="AS66" s="4966"/>
      <c r="AT66" s="4967"/>
      <c r="AU66" s="4965"/>
      <c r="AV66" s="4965"/>
      <c r="AW66" s="4965"/>
      <c r="AX66" s="4966"/>
      <c r="AY66" s="4967"/>
      <c r="AZ66" s="4965"/>
      <c r="BA66" s="4965"/>
      <c r="BB66" s="4965"/>
      <c r="BC66" s="4965"/>
      <c r="BD66" s="4971"/>
      <c r="BE66" s="4972"/>
      <c r="BF66" s="4965"/>
      <c r="BG66" s="4965"/>
      <c r="BH66" s="4965"/>
      <c r="BI66" s="4971"/>
      <c r="BJ66" s="4965"/>
      <c r="BK66" s="4965"/>
      <c r="BL66" s="4965"/>
      <c r="BM66" s="4965"/>
      <c r="BN66" s="4971"/>
      <c r="BO66" s="4965"/>
      <c r="BP66" s="4965"/>
      <c r="BQ66" s="4965"/>
      <c r="BR66" s="4966"/>
      <c r="BS66" s="4967"/>
      <c r="BT66" s="4965"/>
      <c r="BU66" s="4965"/>
      <c r="BV66" s="4965"/>
      <c r="BW66" s="4965"/>
      <c r="BX66" s="4971"/>
      <c r="BY66" s="4965"/>
      <c r="BZ66" s="4965"/>
      <c r="CA66" s="4965"/>
      <c r="CB66" s="4965"/>
      <c r="CC66" s="4971"/>
      <c r="CD66" s="4965"/>
      <c r="CE66" s="4965"/>
      <c r="CF66" s="4965"/>
      <c r="CG66" s="4965"/>
      <c r="CH66" s="4971"/>
      <c r="CI66" s="4965"/>
      <c r="CJ66" s="4965"/>
      <c r="CK66" s="4965"/>
      <c r="CL66" s="4965"/>
      <c r="CM66" s="4971"/>
      <c r="CN66" s="4965"/>
      <c r="CO66" s="4965"/>
      <c r="CP66" s="4965"/>
      <c r="CQ66" s="4965"/>
      <c r="CR66" s="4971"/>
      <c r="CS66" s="4965"/>
      <c r="CT66" s="4965"/>
      <c r="CU66" s="4965"/>
      <c r="CV66" s="4965"/>
      <c r="CW66" s="4971"/>
      <c r="CX66" s="4965"/>
      <c r="CY66" s="4965"/>
      <c r="CZ66" s="4965"/>
      <c r="DA66" s="4965"/>
      <c r="DB66" s="4971"/>
      <c r="DC66" s="4965"/>
      <c r="DD66" s="4965"/>
      <c r="DE66" s="4965"/>
      <c r="DF66" s="4965"/>
      <c r="DG66" s="4973"/>
      <c r="DH66" s="4974"/>
      <c r="DI66" s="4974"/>
      <c r="DJ66" s="4974"/>
      <c r="DK66" s="4974"/>
      <c r="DL66" s="4975">
        <f>IF(DL53*DG53&gt;0,(DL53-DG53)/ABS(DG53),"NA")</f>
        <v>0.14790915442635047</v>
      </c>
      <c r="DM66" s="4976"/>
      <c r="DN66" s="4976"/>
      <c r="DO66" s="4976"/>
      <c r="DP66" s="4976"/>
      <c r="DQ66" s="4975">
        <f>IF(DQ53*DL53&gt;0,(DQ53-DL53)/ABS(DL53),"NA")</f>
        <v>0.1214075870528971</v>
      </c>
      <c r="DR66" s="4976"/>
      <c r="DS66" s="4976"/>
      <c r="DT66" s="4976"/>
      <c r="DU66" s="4976"/>
      <c r="DV66" s="4975">
        <f>IF(DV53*DQ53&gt;0,(DV53-DQ53)/ABS(DQ53),"NA")</f>
        <v>0.45979126309080576</v>
      </c>
      <c r="DW66" s="4976"/>
      <c r="DX66" s="4976"/>
      <c r="DY66" s="4976"/>
      <c r="DZ66" s="4976"/>
      <c r="EA66" s="4975">
        <f>IF(EA53*DV53&gt;0,(EA53-DV53)/ABS(DV53),"NA")</f>
        <v>-7.0332420381791399E-3</v>
      </c>
      <c r="EB66" s="4976"/>
      <c r="EC66" s="4976"/>
      <c r="ED66" s="4976"/>
      <c r="EE66" s="4976"/>
      <c r="EF66" s="4979">
        <f>IF(EF53*EA53&gt;0,(EF53-EA53)/ABS(EA53),"NA")</f>
        <v>0.13156282045489553</v>
      </c>
      <c r="EG66" s="4976"/>
      <c r="EH66" s="4976"/>
      <c r="EI66" s="4976"/>
      <c r="EJ66" s="4976"/>
      <c r="EK66" s="4979">
        <f>IF(EK53*EF53&gt;0,(EK53-EF53)/ABS(EF53),"NA")</f>
        <v>0.22064074295625585</v>
      </c>
      <c r="EL66" s="4976"/>
      <c r="EM66" s="4976"/>
      <c r="EN66" s="4976"/>
      <c r="EO66" s="4980"/>
      <c r="EP66" s="4979">
        <f>IF(EP53*EK53&gt;0,(EP53-EK53)/ABS(EK53),"NA")</f>
        <v>0.14487865688532633</v>
      </c>
      <c r="EQ66" s="4980"/>
      <c r="ER66" s="4980"/>
      <c r="ES66" s="4980"/>
      <c r="ET66" s="4980"/>
      <c r="EU66" s="4979">
        <f>IF(EU53*EP53&gt;0,(EU53-EP53)/ABS(EP53),"NA")</f>
        <v>0.20136596364624323</v>
      </c>
      <c r="EV66" s="4979">
        <f>IF(EV53*EU53&gt;0,(EV53-EU53)/ABS(EU53),"NA")</f>
        <v>0.11499270499817864</v>
      </c>
      <c r="EW66" s="4979">
        <f>IF(EW53*EV53&gt;0,(EW53-EV53)/ABS(EV53),"NA")</f>
        <v>8.9200506981893121E-2</v>
      </c>
      <c r="EX66" s="4979">
        <f>IF(EX53*EW53&gt;0,(EX53-EW53)/ABS(EW53),"NA")</f>
        <v>7.7308931551377719E-2</v>
      </c>
      <c r="EY66" s="4979">
        <f>IF(EY53*EX53&gt;0,(EY53-EX53)/ABS(EX53),"NA")</f>
        <v>7.3549192409368427E-2</v>
      </c>
      <c r="EZ66" s="170"/>
      <c r="FA66" s="1319"/>
      <c r="FB66" s="1319"/>
      <c r="FC66" s="511"/>
    </row>
    <row r="67" spans="1:159" s="4" customFormat="1" ht="11.25" hidden="1" customHeight="1" outlineLevel="1">
      <c r="A67" s="4905"/>
      <c r="B67" s="170"/>
      <c r="C67" s="170"/>
      <c r="D67" s="170"/>
      <c r="E67" s="286"/>
      <c r="F67" s="4858"/>
      <c r="G67" s="170"/>
      <c r="H67" s="170"/>
      <c r="I67" s="170"/>
      <c r="J67" s="286"/>
      <c r="K67" s="4858"/>
      <c r="L67" s="170"/>
      <c r="M67" s="170"/>
      <c r="N67" s="170"/>
      <c r="O67" s="286"/>
      <c r="P67" s="2657"/>
      <c r="Q67" s="2608"/>
      <c r="R67" s="170"/>
      <c r="S67" s="170"/>
      <c r="T67" s="286"/>
      <c r="U67" s="4858"/>
      <c r="V67" s="4859"/>
      <c r="W67" s="170"/>
      <c r="X67" s="170"/>
      <c r="Y67" s="286"/>
      <c r="Z67" s="4858"/>
      <c r="AA67" s="4859"/>
      <c r="AB67" s="170"/>
      <c r="AC67" s="170"/>
      <c r="AD67" s="286"/>
      <c r="AE67" s="4858"/>
      <c r="AF67" s="4859"/>
      <c r="AG67" s="170"/>
      <c r="AH67" s="170"/>
      <c r="AI67" s="286"/>
      <c r="AJ67" s="4858"/>
      <c r="AK67" s="170"/>
      <c r="AL67" s="170"/>
      <c r="AM67" s="170"/>
      <c r="AN67" s="286"/>
      <c r="AO67" s="4858"/>
      <c r="AP67" s="170"/>
      <c r="AQ67" s="170"/>
      <c r="AR67" s="170"/>
      <c r="AS67" s="286"/>
      <c r="AT67" s="4858"/>
      <c r="AU67" s="170"/>
      <c r="AV67" s="170"/>
      <c r="AW67" s="170"/>
      <c r="AX67" s="286"/>
      <c r="AY67" s="4858"/>
      <c r="AZ67" s="170"/>
      <c r="BA67" s="170"/>
      <c r="BB67" s="170"/>
      <c r="BC67" s="170"/>
      <c r="BD67" s="4860"/>
      <c r="BE67" s="4866"/>
      <c r="BF67" s="170"/>
      <c r="BG67" s="170"/>
      <c r="BH67" s="170"/>
      <c r="BI67" s="4860"/>
      <c r="BJ67" s="170"/>
      <c r="BK67" s="170"/>
      <c r="BL67" s="170"/>
      <c r="BM67" s="170"/>
      <c r="BN67" s="4860"/>
      <c r="BO67" s="170"/>
      <c r="BP67" s="170"/>
      <c r="BQ67" s="170"/>
      <c r="BR67" s="286"/>
      <c r="BS67" s="4858"/>
      <c r="BT67" s="170"/>
      <c r="BU67" s="170"/>
      <c r="BV67" s="170"/>
      <c r="BW67" s="170"/>
      <c r="BX67" s="4860"/>
      <c r="BY67" s="170"/>
      <c r="BZ67" s="170"/>
      <c r="CA67" s="170"/>
      <c r="CB67" s="170"/>
      <c r="CC67" s="4860"/>
      <c r="CD67" s="170"/>
      <c r="CE67" s="170"/>
      <c r="CF67" s="170"/>
      <c r="CG67" s="170"/>
      <c r="CH67" s="4860"/>
      <c r="CI67" s="170"/>
      <c r="CJ67" s="170"/>
      <c r="CK67" s="170"/>
      <c r="CL67" s="170"/>
      <c r="CM67" s="4860"/>
      <c r="CN67" s="170"/>
      <c r="CO67" s="170"/>
      <c r="CP67" s="170"/>
      <c r="CQ67" s="170"/>
      <c r="CR67" s="4860"/>
      <c r="CS67" s="170"/>
      <c r="CT67" s="170"/>
      <c r="CU67" s="170"/>
      <c r="CV67" s="170"/>
      <c r="CW67" s="4860"/>
      <c r="CX67" s="170"/>
      <c r="CY67" s="170"/>
      <c r="CZ67" s="170"/>
      <c r="DA67" s="170"/>
      <c r="DB67" s="4860"/>
      <c r="DC67" s="170"/>
      <c r="DD67" s="170"/>
      <c r="DE67" s="170"/>
      <c r="DF67" s="170"/>
      <c r="DG67" s="4863"/>
      <c r="DH67" s="4865"/>
      <c r="DI67" s="4865"/>
      <c r="DJ67" s="4865"/>
      <c r="DK67" s="4865"/>
      <c r="DL67" s="4863"/>
      <c r="DM67" s="4865"/>
      <c r="DN67" s="4865"/>
      <c r="DO67" s="4865"/>
      <c r="DP67" s="4865"/>
      <c r="DQ67" s="4863"/>
      <c r="DR67" s="4865"/>
      <c r="DS67" s="4865"/>
      <c r="DT67" s="4865"/>
      <c r="DU67" s="4865"/>
      <c r="DV67" s="4863"/>
      <c r="DW67" s="4865"/>
      <c r="DX67" s="4865"/>
      <c r="DY67" s="4865"/>
      <c r="DZ67" s="4865"/>
      <c r="EA67" s="4863"/>
      <c r="EB67" s="4865"/>
      <c r="EC67" s="4865"/>
      <c r="ED67" s="4865"/>
      <c r="EE67" s="4865"/>
      <c r="EF67" s="4863"/>
      <c r="EG67" s="4865"/>
      <c r="EH67" s="4865"/>
      <c r="EI67" s="4865"/>
      <c r="EJ67" s="4865"/>
      <c r="EK67" s="4863"/>
      <c r="EL67" s="4865"/>
      <c r="EM67" s="4865"/>
      <c r="EN67" s="4865"/>
      <c r="EO67" s="4865"/>
      <c r="EP67" s="2957"/>
      <c r="EQ67" s="4865"/>
      <c r="ER67" s="4865"/>
      <c r="ES67" s="4865"/>
      <c r="ET67" s="4865"/>
      <c r="EU67" s="2957"/>
      <c r="EV67" s="2957"/>
      <c r="EW67" s="2957"/>
      <c r="EX67" s="2957"/>
      <c r="EY67" s="2957"/>
      <c r="EZ67" s="170"/>
      <c r="FA67" s="1319"/>
      <c r="FB67" s="1319"/>
      <c r="FC67" s="511"/>
    </row>
    <row r="68" spans="1:159" s="4" customFormat="1" ht="11.25" customHeight="1" collapsed="1">
      <c r="A68" s="4916" t="s">
        <v>980</v>
      </c>
      <c r="B68" s="4917"/>
      <c r="C68" s="4917"/>
      <c r="D68" s="4917"/>
      <c r="E68" s="4918"/>
      <c r="F68" s="4919"/>
      <c r="G68" s="4917"/>
      <c r="H68" s="4917"/>
      <c r="I68" s="4917"/>
      <c r="J68" s="4918"/>
      <c r="K68" s="4919"/>
      <c r="L68" s="4917"/>
      <c r="M68" s="4917"/>
      <c r="N68" s="4917"/>
      <c r="O68" s="4918"/>
      <c r="P68" s="4920"/>
      <c r="Q68" s="4921"/>
      <c r="R68" s="4917"/>
      <c r="S68" s="4917"/>
      <c r="T68" s="4918"/>
      <c r="U68" s="4919"/>
      <c r="V68" s="4922"/>
      <c r="W68" s="4917"/>
      <c r="X68" s="4917"/>
      <c r="Y68" s="4918"/>
      <c r="Z68" s="4919"/>
      <c r="AA68" s="4922"/>
      <c r="AB68" s="4917"/>
      <c r="AC68" s="4917"/>
      <c r="AD68" s="4918"/>
      <c r="AE68" s="4919"/>
      <c r="AF68" s="4922"/>
      <c r="AG68" s="4917"/>
      <c r="AH68" s="4917"/>
      <c r="AI68" s="4918"/>
      <c r="AJ68" s="4919"/>
      <c r="AK68" s="4917"/>
      <c r="AL68" s="4917"/>
      <c r="AM68" s="4917"/>
      <c r="AN68" s="4918"/>
      <c r="AO68" s="4919"/>
      <c r="AP68" s="4917"/>
      <c r="AQ68" s="4917"/>
      <c r="AR68" s="4917"/>
      <c r="AS68" s="4918"/>
      <c r="AT68" s="4919"/>
      <c r="AU68" s="4917"/>
      <c r="AV68" s="4917"/>
      <c r="AW68" s="4917"/>
      <c r="AX68" s="4918"/>
      <c r="AY68" s="4919"/>
      <c r="AZ68" s="4917"/>
      <c r="BA68" s="4917"/>
      <c r="BB68" s="4917"/>
      <c r="BC68" s="4917"/>
      <c r="BD68" s="4923"/>
      <c r="BE68" s="4924"/>
      <c r="BF68" s="4917"/>
      <c r="BG68" s="4917"/>
      <c r="BH68" s="4917"/>
      <c r="BI68" s="4923"/>
      <c r="BJ68" s="4917"/>
      <c r="BK68" s="4917"/>
      <c r="BL68" s="4917"/>
      <c r="BM68" s="4917"/>
      <c r="BN68" s="4923"/>
      <c r="BO68" s="4917"/>
      <c r="BP68" s="4917"/>
      <c r="BQ68" s="4917"/>
      <c r="BR68" s="4918"/>
      <c r="BS68" s="4919"/>
      <c r="BT68" s="4917"/>
      <c r="BU68" s="4917"/>
      <c r="BV68" s="4917"/>
      <c r="BW68" s="4917"/>
      <c r="BX68" s="4923"/>
      <c r="BY68" s="4917"/>
      <c r="BZ68" s="4917"/>
      <c r="CA68" s="4917"/>
      <c r="CB68" s="4917"/>
      <c r="CC68" s="4923"/>
      <c r="CD68" s="4917"/>
      <c r="CE68" s="4917"/>
      <c r="CF68" s="4917"/>
      <c r="CG68" s="4917"/>
      <c r="CH68" s="4923"/>
      <c r="CI68" s="4917"/>
      <c r="CJ68" s="4917"/>
      <c r="CK68" s="4917"/>
      <c r="CL68" s="4917"/>
      <c r="CM68" s="4923"/>
      <c r="CN68" s="4917"/>
      <c r="CO68" s="4917"/>
      <c r="CP68" s="4917"/>
      <c r="CQ68" s="4917"/>
      <c r="CR68" s="4923"/>
      <c r="CS68" s="4917"/>
      <c r="CT68" s="4917"/>
      <c r="CU68" s="4917"/>
      <c r="CV68" s="4917"/>
      <c r="CW68" s="4923"/>
      <c r="CX68" s="4917"/>
      <c r="CY68" s="4917"/>
      <c r="CZ68" s="4917"/>
      <c r="DA68" s="4917"/>
      <c r="DB68" s="4923"/>
      <c r="DC68" s="4917"/>
      <c r="DD68" s="4917"/>
      <c r="DE68" s="4917"/>
      <c r="DF68" s="4917"/>
      <c r="DG68" s="4925"/>
      <c r="DH68" s="4926"/>
      <c r="DI68" s="4926"/>
      <c r="DJ68" s="4926"/>
      <c r="DK68" s="4926"/>
      <c r="DL68" s="4925"/>
      <c r="DM68" s="4926"/>
      <c r="DN68" s="4926"/>
      <c r="DO68" s="4926"/>
      <c r="DP68" s="4926"/>
      <c r="DQ68" s="4925"/>
      <c r="DR68" s="4926"/>
      <c r="DS68" s="4926"/>
      <c r="DT68" s="4926"/>
      <c r="DU68" s="4926"/>
      <c r="DV68" s="4925"/>
      <c r="DW68" s="4926"/>
      <c r="DX68" s="4926"/>
      <c r="DY68" s="4926"/>
      <c r="DZ68" s="4926"/>
      <c r="EA68" s="4925"/>
      <c r="EB68" s="4926"/>
      <c r="EC68" s="4926"/>
      <c r="ED68" s="4926"/>
      <c r="EE68" s="4926"/>
      <c r="EF68" s="4925"/>
      <c r="EG68" s="4926"/>
      <c r="EH68" s="4926"/>
      <c r="EI68" s="4926"/>
      <c r="EJ68" s="4926"/>
      <c r="EK68" s="4925"/>
      <c r="EL68" s="4926"/>
      <c r="EM68" s="4926"/>
      <c r="EN68" s="4926"/>
      <c r="EO68" s="4926"/>
      <c r="EP68" s="5796"/>
      <c r="EQ68" s="4926"/>
      <c r="ER68" s="4926"/>
      <c r="ES68" s="4926"/>
      <c r="ET68" s="4926"/>
      <c r="EU68" s="5796"/>
      <c r="EV68" s="5796"/>
      <c r="EW68" s="5796"/>
      <c r="EX68" s="5796"/>
      <c r="EY68" s="5796"/>
      <c r="EZ68" s="170"/>
      <c r="FA68" s="1319"/>
      <c r="FB68" s="1319"/>
      <c r="FC68" s="511"/>
    </row>
    <row r="69" spans="1:159" s="4" customFormat="1" ht="11.25" customHeight="1">
      <c r="A69" s="4905" t="str">
        <f>A41</f>
        <v>TAC</v>
      </c>
      <c r="B69" s="170"/>
      <c r="C69" s="170"/>
      <c r="D69" s="170"/>
      <c r="E69" s="286"/>
      <c r="F69" s="4858"/>
      <c r="G69" s="170"/>
      <c r="H69" s="170"/>
      <c r="I69" s="170"/>
      <c r="J69" s="286"/>
      <c r="K69" s="4858"/>
      <c r="L69" s="170"/>
      <c r="M69" s="170"/>
      <c r="N69" s="170"/>
      <c r="O69" s="286"/>
      <c r="P69" s="2657"/>
      <c r="Q69" s="2608"/>
      <c r="R69" s="170"/>
      <c r="S69" s="170"/>
      <c r="T69" s="286"/>
      <c r="U69" s="4858"/>
      <c r="V69" s="4859"/>
      <c r="W69" s="170"/>
      <c r="X69" s="170"/>
      <c r="Y69" s="286"/>
      <c r="Z69" s="4858"/>
      <c r="AA69" s="4859"/>
      <c r="AB69" s="170"/>
      <c r="AC69" s="170"/>
      <c r="AD69" s="286"/>
      <c r="AE69" s="4858"/>
      <c r="AF69" s="4859"/>
      <c r="AG69" s="170"/>
      <c r="AH69" s="170"/>
      <c r="AI69" s="286"/>
      <c r="AJ69" s="4858"/>
      <c r="AK69" s="170"/>
      <c r="AL69" s="170"/>
      <c r="AM69" s="170"/>
      <c r="AN69" s="286"/>
      <c r="AO69" s="4858"/>
      <c r="AP69" s="170"/>
      <c r="AQ69" s="170"/>
      <c r="AR69" s="170"/>
      <c r="AS69" s="286"/>
      <c r="AT69" s="4858"/>
      <c r="AU69" s="170"/>
      <c r="AV69" s="170"/>
      <c r="AW69" s="170"/>
      <c r="AX69" s="286"/>
      <c r="AY69" s="4858"/>
      <c r="AZ69" s="170"/>
      <c r="BA69" s="170"/>
      <c r="BB69" s="170"/>
      <c r="BC69" s="170"/>
      <c r="BD69" s="4860"/>
      <c r="BE69" s="4866"/>
      <c r="BF69" s="170"/>
      <c r="BG69" s="170"/>
      <c r="BH69" s="170"/>
      <c r="BI69" s="4860"/>
      <c r="BJ69" s="170"/>
      <c r="BK69" s="170"/>
      <c r="BL69" s="170"/>
      <c r="BM69" s="170"/>
      <c r="BN69" s="4860"/>
      <c r="BO69" s="170"/>
      <c r="BP69" s="170"/>
      <c r="BQ69" s="170"/>
      <c r="BR69" s="286"/>
      <c r="BS69" s="4858"/>
      <c r="BT69" s="170"/>
      <c r="BU69" s="170"/>
      <c r="BV69" s="170"/>
      <c r="BW69" s="170"/>
      <c r="BX69" s="4860"/>
      <c r="BY69" s="170"/>
      <c r="BZ69" s="170"/>
      <c r="CA69" s="170"/>
      <c r="CB69" s="170"/>
      <c r="CC69" s="4860"/>
      <c r="CD69" s="170"/>
      <c r="CE69" s="170"/>
      <c r="CF69" s="170"/>
      <c r="CG69" s="170"/>
      <c r="CH69" s="4860"/>
      <c r="CI69" s="170"/>
      <c r="CJ69" s="170"/>
      <c r="CK69" s="170"/>
      <c r="CL69" s="170"/>
      <c r="CM69" s="4860"/>
      <c r="CN69" s="170"/>
      <c r="CO69" s="170"/>
      <c r="CP69" s="170"/>
      <c r="CQ69" s="170"/>
      <c r="CR69" s="2957"/>
      <c r="CS69" s="2618"/>
      <c r="CT69" s="2618"/>
      <c r="CU69" s="2618"/>
      <c r="CV69" s="2618"/>
      <c r="CW69" s="2957"/>
      <c r="CX69" s="2618"/>
      <c r="CY69" s="2618"/>
      <c r="CZ69" s="2618"/>
      <c r="DA69" s="2618"/>
      <c r="DB69" s="2957"/>
      <c r="DC69" s="2618"/>
      <c r="DD69" s="2618"/>
      <c r="DE69" s="2618"/>
      <c r="DF69" s="2618"/>
      <c r="DG69" s="2958">
        <f>DG41/DG$40</f>
        <v>0.2047592779871901</v>
      </c>
      <c r="DH69" s="127"/>
      <c r="DI69" s="127"/>
      <c r="DJ69" s="127"/>
      <c r="DK69" s="127">
        <f t="shared" ref="DK69:DV69" si="181">DK41/DK$40</f>
        <v>0.19679151812583917</v>
      </c>
      <c r="DL69" s="2958">
        <f t="shared" si="181"/>
        <v>0.19818211756957022</v>
      </c>
      <c r="DM69" s="127">
        <f t="shared" si="181"/>
        <v>0.19508874810199486</v>
      </c>
      <c r="DN69" s="127">
        <f t="shared" si="181"/>
        <v>0.19130633591494955</v>
      </c>
      <c r="DO69" s="127">
        <f t="shared" si="181"/>
        <v>0.19181171164822775</v>
      </c>
      <c r="DP69" s="127">
        <f t="shared" si="181"/>
        <v>0.19794602159892571</v>
      </c>
      <c r="DQ69" s="2958">
        <f t="shared" si="181"/>
        <v>0.19437246123284016</v>
      </c>
      <c r="DR69" s="127">
        <f t="shared" si="181"/>
        <v>0.18976904138497011</v>
      </c>
      <c r="DS69" s="127">
        <f t="shared" si="181"/>
        <v>0.19151173182399636</v>
      </c>
      <c r="DT69" s="127">
        <f t="shared" si="181"/>
        <v>0.19200454211475521</v>
      </c>
      <c r="DU69" s="127">
        <f t="shared" si="181"/>
        <v>0.19347262247838617</v>
      </c>
      <c r="DV69" s="2958">
        <f t="shared" si="181"/>
        <v>0.19183341823524708</v>
      </c>
      <c r="DW69" s="127">
        <f t="shared" ref="DW69:EF69" si="182">DW41/DW$40</f>
        <v>0.1950481520041645</v>
      </c>
      <c r="DX69" s="127">
        <f t="shared" si="182"/>
        <v>0.1943635524577903</v>
      </c>
      <c r="DY69" s="127">
        <f t="shared" si="182"/>
        <v>0.19267803900483896</v>
      </c>
      <c r="DZ69" s="127">
        <f t="shared" si="182"/>
        <v>0.19052743300215219</v>
      </c>
      <c r="EA69" s="2958">
        <f t="shared" si="182"/>
        <v>0.1930950427566186</v>
      </c>
      <c r="EB69" s="127">
        <f>EB41/EB$40</f>
        <v>0.18916737948064105</v>
      </c>
      <c r="EC69" s="127">
        <f>EC41/EC$40</f>
        <v>0.18913781398506449</v>
      </c>
      <c r="ED69" s="127">
        <f>ED41/ED$40</f>
        <v>0.18595004853940517</v>
      </c>
      <c r="EE69" s="127">
        <f t="shared" ref="EE69" si="183">EE41/EE$40</f>
        <v>0.18327632975586744</v>
      </c>
      <c r="EF69" s="2958">
        <f t="shared" si="182"/>
        <v>0.18670815247502229</v>
      </c>
      <c r="EG69" s="127">
        <f>EG41/EG$40</f>
        <v>0.18389726980880139</v>
      </c>
      <c r="EH69" s="127">
        <f>EH41/EH$40</f>
        <v>0.18108159290120115</v>
      </c>
      <c r="EI69" s="127">
        <f>EI41/EI$40</f>
        <v>0.17930989413148607</v>
      </c>
      <c r="EJ69" s="127">
        <f t="shared" ref="EJ69" si="184">EJ41/EJ$40</f>
        <v>0.17656432087901633</v>
      </c>
      <c r="EK69" s="2958">
        <f t="shared" ref="EK69:EW69" si="185">EK41/EK$40</f>
        <v>0.1800413209589086</v>
      </c>
      <c r="EL69" s="127">
        <f>EL41/EL$40</f>
        <v>0.17793539034996894</v>
      </c>
      <c r="EM69" s="127">
        <f>EM41/EM$40</f>
        <v>0.17814957052687691</v>
      </c>
      <c r="EN69" s="127">
        <f>EN41/EN$40</f>
        <v>0.17088636676928731</v>
      </c>
      <c r="EO69" s="127">
        <f t="shared" ref="EO69:EP69" si="186">EO41/EO$40</f>
        <v>0.1701453078929196</v>
      </c>
      <c r="EP69" s="2958">
        <f t="shared" si="186"/>
        <v>0.1740210198076409</v>
      </c>
      <c r="EQ69" s="127">
        <f t="shared" ref="EQ69:EU69" si="187">EQ41/EQ$40</f>
        <v>0.17376942683053206</v>
      </c>
      <c r="ER69" s="127">
        <f t="shared" si="187"/>
        <v>0.17114152498565258</v>
      </c>
      <c r="ES69" s="127">
        <f t="shared" si="187"/>
        <v>0.1673468327079177</v>
      </c>
      <c r="ET69" s="127">
        <f t="shared" si="187"/>
        <v>0.16556586197413425</v>
      </c>
      <c r="EU69" s="2958">
        <f t="shared" si="187"/>
        <v>0.16925709063986982</v>
      </c>
      <c r="EV69" s="2958">
        <f t="shared" si="185"/>
        <v>0.16664331567028806</v>
      </c>
      <c r="EW69" s="2958">
        <f t="shared" si="185"/>
        <v>0.16483745074127817</v>
      </c>
      <c r="EX69" s="2958">
        <f t="shared" ref="EX69:EY69" si="188">EX41/EX$40</f>
        <v>0.16270599513993553</v>
      </c>
      <c r="EY69" s="2958">
        <f t="shared" si="188"/>
        <v>0.16090326578535274</v>
      </c>
      <c r="EZ69" s="170"/>
      <c r="FA69" s="1319"/>
      <c r="FB69" s="1319"/>
      <c r="FC69" s="511"/>
    </row>
    <row r="70" spans="1:159" s="4" customFormat="1" ht="11.25" customHeight="1">
      <c r="A70" s="4905" t="str">
        <f>A43</f>
        <v>GAAP Costs &amp; Opex</v>
      </c>
      <c r="B70" s="170"/>
      <c r="C70" s="170"/>
      <c r="D70" s="170"/>
      <c r="E70" s="286"/>
      <c r="F70" s="4858"/>
      <c r="G70" s="170"/>
      <c r="H70" s="170"/>
      <c r="I70" s="170"/>
      <c r="J70" s="286"/>
      <c r="K70" s="4858"/>
      <c r="L70" s="170"/>
      <c r="M70" s="170"/>
      <c r="N70" s="170"/>
      <c r="O70" s="286"/>
      <c r="P70" s="2657"/>
      <c r="Q70" s="2608"/>
      <c r="R70" s="170"/>
      <c r="S70" s="170"/>
      <c r="T70" s="286"/>
      <c r="U70" s="4858"/>
      <c r="V70" s="4859"/>
      <c r="W70" s="170"/>
      <c r="X70" s="170"/>
      <c r="Y70" s="286"/>
      <c r="Z70" s="4858"/>
      <c r="AA70" s="4859"/>
      <c r="AB70" s="170"/>
      <c r="AC70" s="170"/>
      <c r="AD70" s="286"/>
      <c r="AE70" s="4858"/>
      <c r="AF70" s="4859"/>
      <c r="AG70" s="170"/>
      <c r="AH70" s="170"/>
      <c r="AI70" s="286"/>
      <c r="AJ70" s="4858"/>
      <c r="AK70" s="170"/>
      <c r="AL70" s="170"/>
      <c r="AM70" s="170"/>
      <c r="AN70" s="286"/>
      <c r="AO70" s="4858"/>
      <c r="AP70" s="170"/>
      <c r="AQ70" s="170"/>
      <c r="AR70" s="170"/>
      <c r="AS70" s="286"/>
      <c r="AT70" s="4858"/>
      <c r="AU70" s="170"/>
      <c r="AV70" s="170"/>
      <c r="AW70" s="170"/>
      <c r="AX70" s="286"/>
      <c r="AY70" s="4858"/>
      <c r="AZ70" s="170"/>
      <c r="BA70" s="170"/>
      <c r="BB70" s="170"/>
      <c r="BC70" s="170"/>
      <c r="BD70" s="4860"/>
      <c r="BE70" s="4866"/>
      <c r="BF70" s="170"/>
      <c r="BG70" s="170"/>
      <c r="BH70" s="170"/>
      <c r="BI70" s="4860"/>
      <c r="BJ70" s="170"/>
      <c r="BK70" s="170"/>
      <c r="BL70" s="170"/>
      <c r="BM70" s="170"/>
      <c r="BN70" s="4860"/>
      <c r="BO70" s="170"/>
      <c r="BP70" s="170"/>
      <c r="BQ70" s="170"/>
      <c r="BR70" s="286"/>
      <c r="BS70" s="4858"/>
      <c r="BT70" s="170"/>
      <c r="BU70" s="170"/>
      <c r="BV70" s="170"/>
      <c r="BW70" s="170"/>
      <c r="BX70" s="4860"/>
      <c r="BY70" s="170"/>
      <c r="BZ70" s="170"/>
      <c r="CA70" s="170"/>
      <c r="CB70" s="170"/>
      <c r="CC70" s="4860"/>
      <c r="CD70" s="170"/>
      <c r="CE70" s="170"/>
      <c r="CF70" s="170"/>
      <c r="CG70" s="170"/>
      <c r="CH70" s="4860"/>
      <c r="CI70" s="170"/>
      <c r="CJ70" s="170"/>
      <c r="CK70" s="170"/>
      <c r="CL70" s="170"/>
      <c r="CM70" s="4860"/>
      <c r="CN70" s="170"/>
      <c r="CO70" s="170"/>
      <c r="CP70" s="170"/>
      <c r="CQ70" s="170"/>
      <c r="CR70" s="2957"/>
      <c r="CS70" s="2618"/>
      <c r="CT70" s="2618"/>
      <c r="CU70" s="2618"/>
      <c r="CV70" s="2618"/>
      <c r="CW70" s="2957"/>
      <c r="CX70" s="2618"/>
      <c r="CY70" s="2618"/>
      <c r="CZ70" s="2618"/>
      <c r="DA70" s="2618"/>
      <c r="DB70" s="2957"/>
      <c r="DC70" s="2618"/>
      <c r="DD70" s="2618"/>
      <c r="DE70" s="2618"/>
      <c r="DF70" s="2618"/>
      <c r="DG70" s="2958">
        <f>DG43/DG$40</f>
        <v>0.46474977781863874</v>
      </c>
      <c r="DH70" s="127"/>
      <c r="DI70" s="127"/>
      <c r="DJ70" s="127"/>
      <c r="DK70" s="127">
        <f t="shared" ref="DK70:DV70" si="189">DK43/DK$40</f>
        <v>0.49097180425019676</v>
      </c>
      <c r="DL70" s="2958">
        <f t="shared" si="189"/>
        <v>0.47908447225424006</v>
      </c>
      <c r="DM70" s="127">
        <f t="shared" si="189"/>
        <v>0.50259175873082362</v>
      </c>
      <c r="DN70" s="127">
        <f t="shared" si="189"/>
        <v>0.53608070646737738</v>
      </c>
      <c r="DO70" s="127">
        <f t="shared" si="189"/>
        <v>0.46870081976839784</v>
      </c>
      <c r="DP70" s="127">
        <f t="shared" si="189"/>
        <v>0.44145405027140505</v>
      </c>
      <c r="DQ70" s="2958">
        <f t="shared" si="189"/>
        <v>0.48181575592255466</v>
      </c>
      <c r="DR70" s="127">
        <f t="shared" si="189"/>
        <v>0.42830903904021261</v>
      </c>
      <c r="DS70" s="127">
        <f t="shared" si="189"/>
        <v>0.41696602239472902</v>
      </c>
      <c r="DT70" s="127">
        <f t="shared" si="189"/>
        <v>0.40767149822991117</v>
      </c>
      <c r="DU70" s="127">
        <f t="shared" si="189"/>
        <v>0.43198847262247836</v>
      </c>
      <c r="DV70" s="2958">
        <f t="shared" si="189"/>
        <v>0.43712978204766578</v>
      </c>
      <c r="DW70" s="127">
        <f t="shared" ref="DW70:EF70" si="190">DW43/DW$40</f>
        <v>0.44750455491931285</v>
      </c>
      <c r="DX70" s="127">
        <f t="shared" si="190"/>
        <v>0.46157763243742145</v>
      </c>
      <c r="DY70" s="127">
        <f t="shared" si="190"/>
        <v>0.49966599866399464</v>
      </c>
      <c r="DZ70" s="127">
        <f t="shared" si="190"/>
        <v>0.51138005247796225</v>
      </c>
      <c r="EA70" s="2958">
        <f t="shared" si="190"/>
        <v>0.48071218958063805</v>
      </c>
      <c r="EB70" s="127">
        <f>EB43/EB$40</f>
        <v>0.4600151708332661</v>
      </c>
      <c r="EC70" s="127">
        <f>EC43/EC$40</f>
        <v>0.45702647657841139</v>
      </c>
      <c r="ED70" s="127">
        <f>ED43/ED$40</f>
        <v>0.46196275703821377</v>
      </c>
      <c r="EE70" s="127">
        <f t="shared" ref="EE70" si="191">EE43/EE$40</f>
        <v>0.46644651491921219</v>
      </c>
      <c r="EF70" s="2958">
        <f t="shared" si="190"/>
        <v>0.46157487075433967</v>
      </c>
      <c r="EG70" s="127">
        <f>EG43/EG$40</f>
        <v>0.41982726782010854</v>
      </c>
      <c r="EH70" s="127">
        <f>EH43/EH$40</f>
        <v>0.41752786494968075</v>
      </c>
      <c r="EI70" s="127">
        <f>EI43/EI$40</f>
        <v>0.41739641876878841</v>
      </c>
      <c r="EJ70" s="127">
        <f t="shared" ref="EJ70" si="192">EJ43/EJ$40</f>
        <v>0.43296786928912884</v>
      </c>
      <c r="EK70" s="2958">
        <f t="shared" ref="EK70:EW70" si="193">EK43/EK$40</f>
        <v>0.42228380283999606</v>
      </c>
      <c r="EL70" s="127">
        <f>EL43/EL$40</f>
        <v>0.39907330710291988</v>
      </c>
      <c r="EM70" s="127">
        <f>EM43/EM$40</f>
        <v>0.42129556715893535</v>
      </c>
      <c r="EN70" s="127">
        <f>EN43/EN$40</f>
        <v>0.44397601433625877</v>
      </c>
      <c r="EO70" s="127">
        <f t="shared" ref="EO70:EP70" si="194">EO43/EO$40</f>
        <v>0.42335469210708038</v>
      </c>
      <c r="EP70" s="2958">
        <f t="shared" si="194"/>
        <v>0.42262190761078511</v>
      </c>
      <c r="EQ70" s="127">
        <f t="shared" ref="EQ70:EU70" si="195">EQ43/EQ$40</f>
        <v>0.38823057316946796</v>
      </c>
      <c r="ER70" s="127">
        <f t="shared" si="195"/>
        <v>0.39885847501434746</v>
      </c>
      <c r="ES70" s="127">
        <f t="shared" si="195"/>
        <v>0.40965316729208234</v>
      </c>
      <c r="ET70" s="127">
        <f t="shared" si="195"/>
        <v>0.41743413802586571</v>
      </c>
      <c r="EU70" s="2958">
        <f t="shared" si="195"/>
        <v>0.4042392354493235</v>
      </c>
      <c r="EV70" s="2958">
        <f t="shared" si="193"/>
        <v>0.40535668432971195</v>
      </c>
      <c r="EW70" s="2958">
        <f t="shared" si="193"/>
        <v>0.40616254925872175</v>
      </c>
      <c r="EX70" s="2958">
        <f t="shared" ref="EX70:EY70" si="196">EX43/EX$40</f>
        <v>0.40779400486006451</v>
      </c>
      <c r="EY70" s="2958">
        <f t="shared" si="196"/>
        <v>0.40809673421464732</v>
      </c>
      <c r="EZ70" s="170"/>
      <c r="FA70" s="1319"/>
      <c r="FB70" s="1319"/>
      <c r="FC70" s="511"/>
    </row>
    <row r="71" spans="1:159" s="4" customFormat="1" ht="11.25" customHeight="1">
      <c r="A71" s="4978" t="str">
        <f>A51</f>
        <v>D&amp;A</v>
      </c>
      <c r="B71" s="4965"/>
      <c r="C71" s="4965"/>
      <c r="D71" s="4965"/>
      <c r="E71" s="4966"/>
      <c r="F71" s="4967"/>
      <c r="G71" s="4965"/>
      <c r="H71" s="4965"/>
      <c r="I71" s="4965"/>
      <c r="J71" s="4966"/>
      <c r="K71" s="4967"/>
      <c r="L71" s="4965"/>
      <c r="M71" s="4965"/>
      <c r="N71" s="4965"/>
      <c r="O71" s="4966"/>
      <c r="P71" s="4968"/>
      <c r="Q71" s="4969"/>
      <c r="R71" s="4965"/>
      <c r="S71" s="4965"/>
      <c r="T71" s="4966"/>
      <c r="U71" s="4967"/>
      <c r="V71" s="4970"/>
      <c r="W71" s="4965"/>
      <c r="X71" s="4965"/>
      <c r="Y71" s="4966"/>
      <c r="Z71" s="4967"/>
      <c r="AA71" s="4970"/>
      <c r="AB71" s="4965"/>
      <c r="AC71" s="4965"/>
      <c r="AD71" s="4966"/>
      <c r="AE71" s="4967"/>
      <c r="AF71" s="4970"/>
      <c r="AG71" s="4965"/>
      <c r="AH71" s="4965"/>
      <c r="AI71" s="4966"/>
      <c r="AJ71" s="4967"/>
      <c r="AK71" s="4965"/>
      <c r="AL71" s="4965"/>
      <c r="AM71" s="4965"/>
      <c r="AN71" s="4966"/>
      <c r="AO71" s="4967"/>
      <c r="AP71" s="4965"/>
      <c r="AQ71" s="4965"/>
      <c r="AR71" s="4965"/>
      <c r="AS71" s="4966"/>
      <c r="AT71" s="4967"/>
      <c r="AU71" s="4965"/>
      <c r="AV71" s="4965"/>
      <c r="AW71" s="4965"/>
      <c r="AX71" s="4966"/>
      <c r="AY71" s="4967"/>
      <c r="AZ71" s="4965"/>
      <c r="BA71" s="4965"/>
      <c r="BB71" s="4965"/>
      <c r="BC71" s="4965"/>
      <c r="BD71" s="4971"/>
      <c r="BE71" s="4972"/>
      <c r="BF71" s="4965"/>
      <c r="BG71" s="4965"/>
      <c r="BH71" s="4965"/>
      <c r="BI71" s="4971"/>
      <c r="BJ71" s="4965"/>
      <c r="BK71" s="4965"/>
      <c r="BL71" s="4965"/>
      <c r="BM71" s="4965"/>
      <c r="BN71" s="4971"/>
      <c r="BO71" s="4965"/>
      <c r="BP71" s="4965"/>
      <c r="BQ71" s="4965"/>
      <c r="BR71" s="4966"/>
      <c r="BS71" s="4967"/>
      <c r="BT71" s="4965"/>
      <c r="BU71" s="4965"/>
      <c r="BV71" s="4965"/>
      <c r="BW71" s="4965"/>
      <c r="BX71" s="4971"/>
      <c r="BY71" s="4965"/>
      <c r="BZ71" s="4965"/>
      <c r="CA71" s="4965"/>
      <c r="CB71" s="4965"/>
      <c r="CC71" s="4971"/>
      <c r="CD71" s="4965"/>
      <c r="CE71" s="4965"/>
      <c r="CF71" s="4965"/>
      <c r="CG71" s="4965"/>
      <c r="CH71" s="4971"/>
      <c r="CI71" s="4965"/>
      <c r="CJ71" s="4965"/>
      <c r="CK71" s="4965"/>
      <c r="CL71" s="4965"/>
      <c r="CM71" s="4971"/>
      <c r="CN71" s="4965"/>
      <c r="CO71" s="4965"/>
      <c r="CP71" s="4965"/>
      <c r="CQ71" s="4965"/>
      <c r="CR71" s="4975"/>
      <c r="CS71" s="4976"/>
      <c r="CT71" s="4976"/>
      <c r="CU71" s="4976"/>
      <c r="CV71" s="4976"/>
      <c r="CW71" s="4975"/>
      <c r="CX71" s="4976"/>
      <c r="CY71" s="4976"/>
      <c r="CZ71" s="4976"/>
      <c r="DA71" s="4976"/>
      <c r="DB71" s="4975"/>
      <c r="DC71" s="4976"/>
      <c r="DD71" s="4976"/>
      <c r="DE71" s="4976"/>
      <c r="DF71" s="4976"/>
      <c r="DG71" s="4979">
        <f>DG51/DG40</f>
        <v>5.106110753577886E-2</v>
      </c>
      <c r="DH71" s="4980"/>
      <c r="DI71" s="4980"/>
      <c r="DJ71" s="4980"/>
      <c r="DK71" s="4980"/>
      <c r="DL71" s="4979">
        <f>DL51/DL40</f>
        <v>5.3896789066359287E-2</v>
      </c>
      <c r="DM71" s="4980"/>
      <c r="DN71" s="4980"/>
      <c r="DO71" s="4980"/>
      <c r="DP71" s="4980"/>
      <c r="DQ71" s="4979">
        <f>DQ51/DQ40</f>
        <v>5.4206872831855782E-2</v>
      </c>
      <c r="DR71" s="4980"/>
      <c r="DS71" s="4980"/>
      <c r="DT71" s="4980"/>
      <c r="DU71" s="4980"/>
      <c r="DV71" s="4981">
        <v>3.5000000000000003E-2</v>
      </c>
      <c r="DW71" s="4980"/>
      <c r="DX71" s="4980"/>
      <c r="DY71" s="4980"/>
      <c r="DZ71" s="4980"/>
      <c r="EA71" s="4981">
        <v>4.1200000000000001E-2</v>
      </c>
      <c r="EB71" s="4980"/>
      <c r="EC71" s="4980"/>
      <c r="ED71" s="4980"/>
      <c r="EE71" s="4980"/>
      <c r="EF71" s="4981">
        <v>3.4000000000000002E-2</v>
      </c>
      <c r="EG71" s="4980"/>
      <c r="EH71" s="4980"/>
      <c r="EI71" s="4980"/>
      <c r="EJ71" s="4980"/>
      <c r="EK71" s="4981">
        <v>3.44E-2</v>
      </c>
      <c r="EL71" s="4980"/>
      <c r="EM71" s="4980"/>
      <c r="EN71" s="4980"/>
      <c r="EO71" s="4980"/>
      <c r="EP71" s="4981">
        <v>4.1000000000000002E-2</v>
      </c>
      <c r="EQ71" s="4980"/>
      <c r="ER71" s="4980"/>
      <c r="ES71" s="4980"/>
      <c r="ET71" s="4980"/>
      <c r="EU71" s="4981">
        <v>5.0999999999999997E-2</v>
      </c>
      <c r="EV71" s="4981">
        <v>0.06</v>
      </c>
      <c r="EW71" s="4981">
        <v>6.1199999999999997E-2</v>
      </c>
      <c r="EX71" s="4981">
        <v>6.0999999999999999E-2</v>
      </c>
      <c r="EY71" s="4981">
        <v>6.0499999999999998E-2</v>
      </c>
      <c r="EZ71" s="170"/>
      <c r="FA71" s="1319"/>
      <c r="FB71" s="1319"/>
      <c r="FC71" s="511"/>
    </row>
    <row r="72" spans="1:159" s="4" customFormat="1" ht="11.25" customHeight="1">
      <c r="A72" s="4978" t="str">
        <f>A52</f>
        <v>SBC</v>
      </c>
      <c r="B72" s="4965"/>
      <c r="C72" s="4965"/>
      <c r="D72" s="4965"/>
      <c r="E72" s="4966"/>
      <c r="F72" s="4967"/>
      <c r="G72" s="4965"/>
      <c r="H72" s="4965"/>
      <c r="I72" s="4965"/>
      <c r="J72" s="4966"/>
      <c r="K72" s="4967"/>
      <c r="L72" s="4965"/>
      <c r="M72" s="4965"/>
      <c r="N72" s="4965"/>
      <c r="O72" s="4966"/>
      <c r="P72" s="4968"/>
      <c r="Q72" s="4969"/>
      <c r="R72" s="4965"/>
      <c r="S72" s="4965"/>
      <c r="T72" s="4966"/>
      <c r="U72" s="4967"/>
      <c r="V72" s="4970"/>
      <c r="W72" s="4965"/>
      <c r="X72" s="4965"/>
      <c r="Y72" s="4966"/>
      <c r="Z72" s="4967"/>
      <c r="AA72" s="4970"/>
      <c r="AB72" s="4965"/>
      <c r="AC72" s="4965"/>
      <c r="AD72" s="4966"/>
      <c r="AE72" s="4967"/>
      <c r="AF72" s="4970"/>
      <c r="AG72" s="4965"/>
      <c r="AH72" s="4965"/>
      <c r="AI72" s="4966"/>
      <c r="AJ72" s="4967"/>
      <c r="AK72" s="4965"/>
      <c r="AL72" s="4965"/>
      <c r="AM72" s="4965"/>
      <c r="AN72" s="4966"/>
      <c r="AO72" s="4967"/>
      <c r="AP72" s="4965"/>
      <c r="AQ72" s="4965"/>
      <c r="AR72" s="4965"/>
      <c r="AS72" s="4966"/>
      <c r="AT72" s="4967"/>
      <c r="AU72" s="4965"/>
      <c r="AV72" s="4965"/>
      <c r="AW72" s="4965"/>
      <c r="AX72" s="4966"/>
      <c r="AY72" s="4967"/>
      <c r="AZ72" s="4965"/>
      <c r="BA72" s="4965"/>
      <c r="BB72" s="4965"/>
      <c r="BC72" s="4965"/>
      <c r="BD72" s="4971"/>
      <c r="BE72" s="4972"/>
      <c r="BF72" s="4965"/>
      <c r="BG72" s="4965"/>
      <c r="BH72" s="4965"/>
      <c r="BI72" s="4971"/>
      <c r="BJ72" s="4965"/>
      <c r="BK72" s="4965"/>
      <c r="BL72" s="4965"/>
      <c r="BM72" s="4965"/>
      <c r="BN72" s="4971"/>
      <c r="BO72" s="4965"/>
      <c r="BP72" s="4965"/>
      <c r="BQ72" s="4965"/>
      <c r="BR72" s="4966"/>
      <c r="BS72" s="4967"/>
      <c r="BT72" s="4965"/>
      <c r="BU72" s="4965"/>
      <c r="BV72" s="4965"/>
      <c r="BW72" s="4965"/>
      <c r="BX72" s="4971"/>
      <c r="BY72" s="4965"/>
      <c r="BZ72" s="4965"/>
      <c r="CA72" s="4965"/>
      <c r="CB72" s="4965"/>
      <c r="CC72" s="4971"/>
      <c r="CD72" s="4965"/>
      <c r="CE72" s="4965"/>
      <c r="CF72" s="4965"/>
      <c r="CG72" s="4965"/>
      <c r="CH72" s="4971"/>
      <c r="CI72" s="4965"/>
      <c r="CJ72" s="4965"/>
      <c r="CK72" s="4965"/>
      <c r="CL72" s="4965"/>
      <c r="CM72" s="4971"/>
      <c r="CN72" s="4965"/>
      <c r="CO72" s="4965"/>
      <c r="CP72" s="4965"/>
      <c r="CQ72" s="4965"/>
      <c r="CR72" s="4975"/>
      <c r="CS72" s="4976"/>
      <c r="CT72" s="4976"/>
      <c r="CU72" s="4976"/>
      <c r="CV72" s="4976"/>
      <c r="CW72" s="4975"/>
      <c r="CX72" s="4976"/>
      <c r="CY72" s="4976"/>
      <c r="CZ72" s="4976"/>
      <c r="DA72" s="4976"/>
      <c r="DB72" s="4975"/>
      <c r="DC72" s="4976"/>
      <c r="DD72" s="4976"/>
      <c r="DE72" s="4976"/>
      <c r="DF72" s="4976"/>
      <c r="DG72" s="4979">
        <f>DG52/DG40</f>
        <v>5.8147021477047915E-2</v>
      </c>
      <c r="DH72" s="4980"/>
      <c r="DI72" s="4980"/>
      <c r="DJ72" s="4980"/>
      <c r="DK72" s="4980"/>
      <c r="DL72" s="4979">
        <f>DL52/DL40</f>
        <v>5.729028683272025E-2</v>
      </c>
      <c r="DM72" s="4980"/>
      <c r="DN72" s="4980"/>
      <c r="DO72" s="4980"/>
      <c r="DP72" s="4980"/>
      <c r="DQ72" s="4979">
        <f>DQ52/DQ40</f>
        <v>6.0077273033339561E-2</v>
      </c>
      <c r="DR72" s="4980"/>
      <c r="DS72" s="4980"/>
      <c r="DT72" s="4980"/>
      <c r="DU72" s="4980"/>
      <c r="DV72" s="4981">
        <v>4.8000000000000001E-2</v>
      </c>
      <c r="DW72" s="4980"/>
      <c r="DX72" s="4980"/>
      <c r="DY72" s="4980"/>
      <c r="DZ72" s="4980"/>
      <c r="EA72" s="4981">
        <v>5.5E-2</v>
      </c>
      <c r="EB72" s="4980"/>
      <c r="EC72" s="4980"/>
      <c r="ED72" s="4980"/>
      <c r="EE72" s="4980"/>
      <c r="EF72" s="4981">
        <v>5.8900000000000001E-2</v>
      </c>
      <c r="EG72" s="4980"/>
      <c r="EH72" s="4980"/>
      <c r="EI72" s="4980"/>
      <c r="EJ72" s="4980"/>
      <c r="EK72" s="4981">
        <v>5.2999999999999999E-2</v>
      </c>
      <c r="EL72" s="4980"/>
      <c r="EM72" s="4980"/>
      <c r="EN72" s="4980"/>
      <c r="EO72" s="4980"/>
      <c r="EP72" s="4981">
        <v>5.0200000000000002E-2</v>
      </c>
      <c r="EQ72" s="4980"/>
      <c r="ER72" s="4980"/>
      <c r="ES72" s="4980"/>
      <c r="ET72" s="4980"/>
      <c r="EU72" s="4981">
        <v>5.1700000000000003E-2</v>
      </c>
      <c r="EV72" s="4981">
        <v>5.0500000000000003E-2</v>
      </c>
      <c r="EW72" s="4981">
        <v>4.9799999999999997E-2</v>
      </c>
      <c r="EX72" s="4981">
        <v>4.9299999999999997E-2</v>
      </c>
      <c r="EY72" s="4981">
        <v>4.9000000000000002E-2</v>
      </c>
      <c r="EZ72" s="170"/>
      <c r="FA72" s="1319"/>
      <c r="FB72" s="1319"/>
      <c r="FC72" s="511"/>
    </row>
    <row r="73" spans="1:159" s="4" customFormat="1" ht="11.25" hidden="1" customHeight="1" outlineLevel="1">
      <c r="A73" s="4905"/>
      <c r="B73" s="170"/>
      <c r="C73" s="170"/>
      <c r="D73" s="170"/>
      <c r="E73" s="286"/>
      <c r="F73" s="4858"/>
      <c r="G73" s="170"/>
      <c r="H73" s="170"/>
      <c r="I73" s="170"/>
      <c r="J73" s="286"/>
      <c r="K73" s="4858"/>
      <c r="L73" s="170"/>
      <c r="M73" s="170"/>
      <c r="N73" s="170"/>
      <c r="O73" s="286"/>
      <c r="P73" s="2657"/>
      <c r="Q73" s="2608"/>
      <c r="R73" s="170"/>
      <c r="S73" s="170"/>
      <c r="T73" s="286"/>
      <c r="U73" s="4858"/>
      <c r="V73" s="4859"/>
      <c r="W73" s="170"/>
      <c r="X73" s="170"/>
      <c r="Y73" s="286"/>
      <c r="Z73" s="4858"/>
      <c r="AA73" s="4859"/>
      <c r="AB73" s="170"/>
      <c r="AC73" s="170"/>
      <c r="AD73" s="286"/>
      <c r="AE73" s="4858"/>
      <c r="AF73" s="4859"/>
      <c r="AG73" s="170"/>
      <c r="AH73" s="170"/>
      <c r="AI73" s="286"/>
      <c r="AJ73" s="4858"/>
      <c r="AK73" s="170"/>
      <c r="AL73" s="170"/>
      <c r="AM73" s="170"/>
      <c r="AN73" s="286"/>
      <c r="AO73" s="4858"/>
      <c r="AP73" s="170"/>
      <c r="AQ73" s="170"/>
      <c r="AR73" s="170"/>
      <c r="AS73" s="286"/>
      <c r="AT73" s="4858"/>
      <c r="AU73" s="170"/>
      <c r="AV73" s="170"/>
      <c r="AW73" s="170"/>
      <c r="AX73" s="286"/>
      <c r="AY73" s="4858"/>
      <c r="AZ73" s="170"/>
      <c r="BA73" s="170"/>
      <c r="BB73" s="170"/>
      <c r="BC73" s="170"/>
      <c r="BD73" s="4860"/>
      <c r="BE73" s="4866"/>
      <c r="BF73" s="170"/>
      <c r="BG73" s="170"/>
      <c r="BH73" s="170"/>
      <c r="BI73" s="4860"/>
      <c r="BJ73" s="170"/>
      <c r="BK73" s="170"/>
      <c r="BL73" s="170"/>
      <c r="BM73" s="170"/>
      <c r="BN73" s="4860"/>
      <c r="BO73" s="170"/>
      <c r="BP73" s="170"/>
      <c r="BQ73" s="170"/>
      <c r="BR73" s="286"/>
      <c r="BS73" s="4858"/>
      <c r="BT73" s="170"/>
      <c r="BU73" s="170"/>
      <c r="BV73" s="170"/>
      <c r="BW73" s="170"/>
      <c r="BX73" s="4860"/>
      <c r="BY73" s="170"/>
      <c r="BZ73" s="170"/>
      <c r="CA73" s="170"/>
      <c r="CB73" s="170"/>
      <c r="CC73" s="4860"/>
      <c r="CD73" s="170"/>
      <c r="CE73" s="170"/>
      <c r="CF73" s="170"/>
      <c r="CG73" s="170"/>
      <c r="CH73" s="4860"/>
      <c r="CI73" s="170"/>
      <c r="CJ73" s="170"/>
      <c r="CK73" s="170"/>
      <c r="CL73" s="170"/>
      <c r="CM73" s="4860"/>
      <c r="CN73" s="170"/>
      <c r="CO73" s="170"/>
      <c r="CP73" s="170"/>
      <c r="CQ73" s="170"/>
      <c r="CR73" s="4860"/>
      <c r="CS73" s="170"/>
      <c r="CT73" s="170"/>
      <c r="CU73" s="170"/>
      <c r="CV73" s="170"/>
      <c r="CW73" s="4860"/>
      <c r="CX73" s="170"/>
      <c r="CY73" s="170"/>
      <c r="CZ73" s="170"/>
      <c r="DA73" s="170"/>
      <c r="DB73" s="4860"/>
      <c r="DC73" s="170"/>
      <c r="DD73" s="170"/>
      <c r="DE73" s="170"/>
      <c r="DF73" s="170"/>
      <c r="DG73" s="4863"/>
      <c r="DH73" s="4865"/>
      <c r="DI73" s="4865"/>
      <c r="DJ73" s="4865"/>
      <c r="DK73" s="4865"/>
      <c r="DL73" s="4863"/>
      <c r="DM73" s="4865"/>
      <c r="DN73" s="4865"/>
      <c r="DO73" s="4865"/>
      <c r="DP73" s="4865"/>
      <c r="DQ73" s="4863"/>
      <c r="DR73" s="4865"/>
      <c r="DS73" s="4865"/>
      <c r="DT73" s="4865"/>
      <c r="DU73" s="4865"/>
      <c r="DV73" s="4863"/>
      <c r="DW73" s="4865"/>
      <c r="DX73" s="4865"/>
      <c r="DY73" s="4865"/>
      <c r="DZ73" s="4865"/>
      <c r="EA73" s="4863"/>
      <c r="EB73" s="4865"/>
      <c r="EC73" s="4865"/>
      <c r="ED73" s="4865"/>
      <c r="EE73" s="4865"/>
      <c r="EF73" s="4863"/>
      <c r="EG73" s="4865"/>
      <c r="EH73" s="4865"/>
      <c r="EI73" s="4865"/>
      <c r="EJ73" s="4865"/>
      <c r="EK73" s="4863"/>
      <c r="EL73" s="4865"/>
      <c r="EM73" s="4865"/>
      <c r="EN73" s="4865">
        <f>(EN74-EI75)*10000</f>
        <v>220.49785767066732</v>
      </c>
      <c r="EO73" s="4865"/>
      <c r="EP73" s="4863">
        <f>(EP74-EK75)*10000</f>
        <v>159.03730128664918</v>
      </c>
      <c r="EQ73" s="4865"/>
      <c r="ER73" s="4865"/>
      <c r="ES73" s="4865"/>
      <c r="ET73" s="4865"/>
      <c r="EU73" s="4863">
        <f>(EU75-EP74)*10000</f>
        <v>129.25067581046446</v>
      </c>
      <c r="EV73" s="4863"/>
      <c r="EW73" s="4863"/>
      <c r="EX73" s="4863"/>
      <c r="EY73" s="4863"/>
      <c r="EZ73" s="170"/>
      <c r="FA73" s="1319"/>
      <c r="FB73" s="1319"/>
      <c r="FC73" s="511"/>
    </row>
    <row r="74" spans="1:159" s="4" customFormat="1" ht="11.25" customHeight="1" collapsed="1">
      <c r="A74" s="4916" t="s">
        <v>901</v>
      </c>
      <c r="B74" s="4917"/>
      <c r="C74" s="4917"/>
      <c r="D74" s="4917"/>
      <c r="E74" s="4918"/>
      <c r="F74" s="4919"/>
      <c r="G74" s="4917"/>
      <c r="H74" s="4917"/>
      <c r="I74" s="4917"/>
      <c r="J74" s="4918"/>
      <c r="K74" s="4919"/>
      <c r="L74" s="4917"/>
      <c r="M74" s="4917"/>
      <c r="N74" s="4917"/>
      <c r="O74" s="4918"/>
      <c r="P74" s="4920"/>
      <c r="Q74" s="4921"/>
      <c r="R74" s="4917"/>
      <c r="S74" s="4917"/>
      <c r="T74" s="4918"/>
      <c r="U74" s="4919"/>
      <c r="V74" s="4922"/>
      <c r="W74" s="4917"/>
      <c r="X74" s="4917"/>
      <c r="Y74" s="4918"/>
      <c r="Z74" s="4919"/>
      <c r="AA74" s="4922"/>
      <c r="AB74" s="4917"/>
      <c r="AC74" s="4917"/>
      <c r="AD74" s="4918"/>
      <c r="AE74" s="4919"/>
      <c r="AF74" s="4922"/>
      <c r="AG74" s="4917"/>
      <c r="AH74" s="4917"/>
      <c r="AI74" s="4918"/>
      <c r="AJ74" s="4919"/>
      <c r="AK74" s="4917"/>
      <c r="AL74" s="4917"/>
      <c r="AM74" s="4917"/>
      <c r="AN74" s="4918"/>
      <c r="AO74" s="4919"/>
      <c r="AP74" s="4917"/>
      <c r="AQ74" s="4917"/>
      <c r="AR74" s="4917"/>
      <c r="AS74" s="4918"/>
      <c r="AT74" s="4919"/>
      <c r="AU74" s="4917"/>
      <c r="AV74" s="4917"/>
      <c r="AW74" s="4917"/>
      <c r="AX74" s="4918"/>
      <c r="AY74" s="4919"/>
      <c r="AZ74" s="4917"/>
      <c r="BA74" s="4917"/>
      <c r="BB74" s="4917"/>
      <c r="BC74" s="4917"/>
      <c r="BD74" s="4923"/>
      <c r="BE74" s="4924"/>
      <c r="BF74" s="4917"/>
      <c r="BG74" s="4917"/>
      <c r="BH74" s="4917"/>
      <c r="BI74" s="4923"/>
      <c r="BJ74" s="4917"/>
      <c r="BK74" s="4917"/>
      <c r="BL74" s="4917"/>
      <c r="BM74" s="4917"/>
      <c r="BN74" s="4923"/>
      <c r="BO74" s="4917"/>
      <c r="BP74" s="4917"/>
      <c r="BQ74" s="4917"/>
      <c r="BR74" s="4918"/>
      <c r="BS74" s="4919"/>
      <c r="BT74" s="4917"/>
      <c r="BU74" s="4917"/>
      <c r="BV74" s="4917"/>
      <c r="BW74" s="4917"/>
      <c r="BX74" s="4923"/>
      <c r="BY74" s="4917"/>
      <c r="BZ74" s="4917"/>
      <c r="CA74" s="4917"/>
      <c r="CB74" s="4917"/>
      <c r="CC74" s="4923"/>
      <c r="CD74" s="4917"/>
      <c r="CE74" s="4917"/>
      <c r="CF74" s="4917"/>
      <c r="CG74" s="4917"/>
      <c r="CH74" s="4923"/>
      <c r="CI74" s="4917"/>
      <c r="CJ74" s="4917"/>
      <c r="CK74" s="4917"/>
      <c r="CL74" s="4917"/>
      <c r="CM74" s="4923"/>
      <c r="CN74" s="4917"/>
      <c r="CO74" s="4917"/>
      <c r="CP74" s="4917"/>
      <c r="CQ74" s="4917"/>
      <c r="CR74" s="4923"/>
      <c r="CS74" s="4917"/>
      <c r="CT74" s="4917"/>
      <c r="CU74" s="4917"/>
      <c r="CV74" s="4917"/>
      <c r="CW74" s="4923"/>
      <c r="CX74" s="4917"/>
      <c r="CY74" s="4917"/>
      <c r="CZ74" s="4917"/>
      <c r="DA74" s="4917"/>
      <c r="DB74" s="4923"/>
      <c r="DC74" s="4917"/>
      <c r="DD74" s="4917"/>
      <c r="DE74" s="4917"/>
      <c r="DF74" s="4917"/>
      <c r="DG74" s="4925"/>
      <c r="DH74" s="4926"/>
      <c r="DI74" s="4926"/>
      <c r="DJ74" s="4926"/>
      <c r="DK74" s="4926"/>
      <c r="DL74" s="4925"/>
      <c r="DM74" s="4926"/>
      <c r="DN74" s="4926"/>
      <c r="DO74" s="4926"/>
      <c r="DP74" s="4926"/>
      <c r="DQ74" s="4925"/>
      <c r="DR74" s="4926"/>
      <c r="DS74" s="4926"/>
      <c r="DT74" s="4926"/>
      <c r="DU74" s="4926"/>
      <c r="DV74" s="4925"/>
      <c r="DW74" s="4926"/>
      <c r="DX74" s="4926"/>
      <c r="DY74" s="4926"/>
      <c r="DZ74" s="4926"/>
      <c r="EA74" s="4925"/>
      <c r="EB74" s="4926"/>
      <c r="EC74" s="4926"/>
      <c r="ED74" s="4926"/>
      <c r="EE74" s="4926"/>
      <c r="EF74" s="5796"/>
      <c r="EG74" s="4926"/>
      <c r="EH74" s="4926"/>
      <c r="EI74" s="4926"/>
      <c r="EJ74" s="4926"/>
      <c r="EK74" s="5796"/>
      <c r="EL74" s="4926"/>
      <c r="EM74" s="4915" t="s">
        <v>1204</v>
      </c>
      <c r="EN74" s="6234">
        <f>(EN44+3500)/EN40</f>
        <v>0.42534347286679225</v>
      </c>
      <c r="EO74" s="4926"/>
      <c r="EP74" s="6234">
        <f>(EP44+3500)/EP40</f>
        <v>0.41357860632976023</v>
      </c>
      <c r="EQ74" s="4926"/>
      <c r="ER74" s="4926"/>
      <c r="ES74" s="4926"/>
      <c r="ET74" s="4926"/>
      <c r="EU74" s="5796"/>
      <c r="EV74" s="4925"/>
      <c r="EW74" s="4925"/>
      <c r="EX74" s="4925"/>
      <c r="EY74" s="4925"/>
      <c r="EZ74" s="170"/>
      <c r="FA74" s="1319"/>
      <c r="FB74" s="1319"/>
      <c r="FC74" s="511"/>
    </row>
    <row r="75" spans="1:159" s="4" customFormat="1" ht="11.25" customHeight="1">
      <c r="A75" s="5276" t="str">
        <f>A44</f>
        <v>GAAP Operating Income</v>
      </c>
      <c r="B75" s="5277"/>
      <c r="C75" s="5277"/>
      <c r="D75" s="5277"/>
      <c r="E75" s="5278"/>
      <c r="F75" s="5279"/>
      <c r="G75" s="5277"/>
      <c r="H75" s="5277"/>
      <c r="I75" s="5277"/>
      <c r="J75" s="5278"/>
      <c r="K75" s="5279"/>
      <c r="L75" s="5277"/>
      <c r="M75" s="5277"/>
      <c r="N75" s="5277"/>
      <c r="O75" s="5278"/>
      <c r="P75" s="5280"/>
      <c r="Q75" s="5281"/>
      <c r="R75" s="5277"/>
      <c r="S75" s="5277"/>
      <c r="T75" s="5278"/>
      <c r="U75" s="5279"/>
      <c r="V75" s="5282"/>
      <c r="W75" s="5277"/>
      <c r="X75" s="5277"/>
      <c r="Y75" s="5278"/>
      <c r="Z75" s="5279"/>
      <c r="AA75" s="5282"/>
      <c r="AB75" s="5277"/>
      <c r="AC75" s="5277"/>
      <c r="AD75" s="5278"/>
      <c r="AE75" s="5279"/>
      <c r="AF75" s="5282"/>
      <c r="AG75" s="5277"/>
      <c r="AH75" s="5277"/>
      <c r="AI75" s="5278"/>
      <c r="AJ75" s="5279"/>
      <c r="AK75" s="5277"/>
      <c r="AL75" s="5277"/>
      <c r="AM75" s="5277"/>
      <c r="AN75" s="5278"/>
      <c r="AO75" s="5279"/>
      <c r="AP75" s="5277"/>
      <c r="AQ75" s="5277"/>
      <c r="AR75" s="5277"/>
      <c r="AS75" s="5278"/>
      <c r="AT75" s="5279"/>
      <c r="AU75" s="5277"/>
      <c r="AV75" s="5277"/>
      <c r="AW75" s="5277"/>
      <c r="AX75" s="5278"/>
      <c r="AY75" s="5279"/>
      <c r="AZ75" s="5277"/>
      <c r="BA75" s="5277"/>
      <c r="BB75" s="5277"/>
      <c r="BC75" s="5277"/>
      <c r="BD75" s="5283"/>
      <c r="BE75" s="5284"/>
      <c r="BF75" s="5277"/>
      <c r="BG75" s="5277"/>
      <c r="BH75" s="5277"/>
      <c r="BI75" s="5283"/>
      <c r="BJ75" s="5277"/>
      <c r="BK75" s="5277"/>
      <c r="BL75" s="5277"/>
      <c r="BM75" s="5277"/>
      <c r="BN75" s="5283"/>
      <c r="BO75" s="5277"/>
      <c r="BP75" s="5277"/>
      <c r="BQ75" s="5277"/>
      <c r="BR75" s="5278"/>
      <c r="BS75" s="5279"/>
      <c r="BT75" s="5277"/>
      <c r="BU75" s="5277"/>
      <c r="BV75" s="5277"/>
      <c r="BW75" s="5277"/>
      <c r="BX75" s="5283"/>
      <c r="BY75" s="5277"/>
      <c r="BZ75" s="5277"/>
      <c r="CA75" s="5277"/>
      <c r="CB75" s="5277"/>
      <c r="CC75" s="5283"/>
      <c r="CD75" s="5277"/>
      <c r="CE75" s="5277"/>
      <c r="CF75" s="5277"/>
      <c r="CG75" s="5277"/>
      <c r="CH75" s="6246"/>
      <c r="CI75" s="6247"/>
      <c r="CJ75" s="6247"/>
      <c r="CK75" s="6247"/>
      <c r="CL75" s="6247"/>
      <c r="CM75" s="6246"/>
      <c r="CN75" s="6247"/>
      <c r="CO75" s="6247"/>
      <c r="CP75" s="6247"/>
      <c r="CQ75" s="6247"/>
      <c r="CR75" s="6246"/>
      <c r="CS75" s="6247"/>
      <c r="CT75" s="6247"/>
      <c r="CU75" s="6247"/>
      <c r="CV75" s="6247"/>
      <c r="CW75" s="6246"/>
      <c r="CX75" s="6247"/>
      <c r="CY75" s="6247"/>
      <c r="CZ75" s="6247"/>
      <c r="DA75" s="6247"/>
      <c r="DB75" s="6246"/>
      <c r="DC75" s="6247"/>
      <c r="DD75" s="6247"/>
      <c r="DE75" s="6247"/>
      <c r="DF75" s="6247"/>
      <c r="DG75" s="4124">
        <f>DG44/DG$40</f>
        <v>0.33049094419417119</v>
      </c>
      <c r="DH75" s="709"/>
      <c r="DI75" s="709"/>
      <c r="DJ75" s="709"/>
      <c r="DK75" s="709">
        <f t="shared" ref="DK75:DQ75" si="197">DK44/DK$40</f>
        <v>0.31223667762396407</v>
      </c>
      <c r="DL75" s="4124">
        <f t="shared" si="197"/>
        <v>0.32273341017618967</v>
      </c>
      <c r="DM75" s="709">
        <f t="shared" si="197"/>
        <v>0.30231949316718154</v>
      </c>
      <c r="DN75" s="709">
        <f t="shared" si="197"/>
        <v>0.27261295761767312</v>
      </c>
      <c r="DO75" s="709">
        <f t="shared" si="197"/>
        <v>0.33948746858337442</v>
      </c>
      <c r="DP75" s="709">
        <f t="shared" si="197"/>
        <v>0.36059992812966923</v>
      </c>
      <c r="DQ75" s="4124">
        <f t="shared" si="197"/>
        <v>0.32381178284460521</v>
      </c>
      <c r="DR75" s="709">
        <f t="shared" ref="DR75:DW75" si="198">DR44/DR$40</f>
        <v>0.3819219195748173</v>
      </c>
      <c r="DS75" s="709">
        <f t="shared" si="198"/>
        <v>0.39152224578127465</v>
      </c>
      <c r="DT75" s="709">
        <f t="shared" si="198"/>
        <v>0.40032395965533363</v>
      </c>
      <c r="DU75" s="709">
        <f t="shared" si="198"/>
        <v>0.37453890489913544</v>
      </c>
      <c r="DV75" s="4124">
        <f t="shared" si="198"/>
        <v>0.3710367997170872</v>
      </c>
      <c r="DW75" s="709">
        <f t="shared" si="198"/>
        <v>0.35744729307652262</v>
      </c>
      <c r="DX75" s="709">
        <f t="shared" ref="DX75:ED75" si="199">DX44/DX$40</f>
        <v>0.34405881510478825</v>
      </c>
      <c r="DY75" s="709">
        <f t="shared" si="199"/>
        <v>0.30765596233116638</v>
      </c>
      <c r="DZ75" s="709">
        <f t="shared" si="199"/>
        <v>0.29809251451988561</v>
      </c>
      <c r="EA75" s="4124">
        <f t="shared" si="199"/>
        <v>0.32619276766274335</v>
      </c>
      <c r="EB75" s="709">
        <f t="shared" si="199"/>
        <v>0.35081744968609285</v>
      </c>
      <c r="EC75" s="709">
        <f t="shared" si="199"/>
        <v>0.35383570943652409</v>
      </c>
      <c r="ED75" s="709">
        <f t="shared" si="199"/>
        <v>0.35208719442238107</v>
      </c>
      <c r="EE75" s="709">
        <f t="shared" ref="EE75" si="200">EE44/EE$40</f>
        <v>0.35027715532492038</v>
      </c>
      <c r="EF75" s="4124">
        <f>EF44/EF$40</f>
        <v>0.35171697677063801</v>
      </c>
      <c r="EG75" s="709">
        <f t="shared" ref="EG75:EJ75" si="201">EG44/EG$40</f>
        <v>0.39627546237109007</v>
      </c>
      <c r="EH75" s="709">
        <f t="shared" si="201"/>
        <v>0.40139054214911807</v>
      </c>
      <c r="EI75" s="709">
        <f t="shared" si="201"/>
        <v>0.40329368709972552</v>
      </c>
      <c r="EJ75" s="709">
        <f t="shared" si="201"/>
        <v>0.39046780983185481</v>
      </c>
      <c r="EK75" s="4124">
        <f>EK44/EK$40</f>
        <v>0.39767487620109532</v>
      </c>
      <c r="EL75" s="709">
        <f t="shared" ref="EL75:EN75" si="202">EL44/EL$40</f>
        <v>0.4229913025471112</v>
      </c>
      <c r="EM75" s="709">
        <f t="shared" si="202"/>
        <v>0.40055486231418774</v>
      </c>
      <c r="EN75" s="709">
        <f t="shared" si="202"/>
        <v>0.38513761889445391</v>
      </c>
      <c r="EO75" s="6248">
        <v>0.40649999999999997</v>
      </c>
      <c r="EP75" s="4124">
        <f>EP44/EP$40</f>
        <v>0.40335707258157399</v>
      </c>
      <c r="EQ75" s="6248">
        <v>0.438</v>
      </c>
      <c r="ER75" s="6248">
        <v>0.43</v>
      </c>
      <c r="ES75" s="6248">
        <v>0.42299999999999999</v>
      </c>
      <c r="ET75" s="6248">
        <v>0.41699999999999998</v>
      </c>
      <c r="EU75" s="4124">
        <f>EU44/EU$40</f>
        <v>0.42650367391080668</v>
      </c>
      <c r="EV75" s="6249">
        <v>0.42799999999999999</v>
      </c>
      <c r="EW75" s="6249">
        <v>0.42899999999999999</v>
      </c>
      <c r="EX75" s="6249">
        <v>0.42949999999999999</v>
      </c>
      <c r="EY75" s="6249">
        <v>0.43099999999999999</v>
      </c>
      <c r="EZ75" s="170"/>
      <c r="FA75" s="1319"/>
      <c r="FB75" s="1319"/>
      <c r="FC75" s="511"/>
    </row>
    <row r="76" spans="1:159" s="767" customFormat="1" hidden="1" outlineLevel="1">
      <c r="A76" s="4479" t="s">
        <v>675</v>
      </c>
      <c r="B76" s="2743"/>
      <c r="C76" s="2743"/>
      <c r="D76" s="2743"/>
      <c r="E76" s="2743"/>
      <c r="F76" s="2743"/>
      <c r="G76" s="2743"/>
      <c r="H76" s="2743"/>
      <c r="I76" s="2743"/>
      <c r="J76" s="2743"/>
      <c r="K76" s="2743"/>
      <c r="L76" s="2743"/>
      <c r="M76" s="2743"/>
      <c r="N76" s="2743"/>
      <c r="O76" s="2743"/>
      <c r="P76" s="2743"/>
      <c r="Q76" s="2743"/>
      <c r="R76" s="2743"/>
      <c r="S76" s="2743"/>
      <c r="T76" s="2743"/>
      <c r="U76" s="2743"/>
      <c r="V76" s="2743"/>
      <c r="W76" s="2743"/>
      <c r="X76" s="2743"/>
      <c r="Y76" s="2743"/>
      <c r="Z76" s="2743"/>
      <c r="AA76" s="2743"/>
      <c r="AB76" s="2743"/>
      <c r="AC76" s="2743"/>
      <c r="AD76" s="2743"/>
      <c r="AE76" s="2743"/>
      <c r="AF76" s="2743"/>
      <c r="AG76" s="2743"/>
      <c r="AH76" s="2743"/>
      <c r="AI76" s="2743"/>
      <c r="AJ76" s="2743"/>
      <c r="AK76" s="2743"/>
      <c r="AL76" s="2743"/>
      <c r="AM76" s="2743"/>
      <c r="AN76" s="2743"/>
      <c r="AO76" s="2743"/>
      <c r="AP76" s="2743"/>
      <c r="AQ76" s="2743"/>
      <c r="AR76" s="2743"/>
      <c r="AS76" s="2743"/>
      <c r="AT76" s="2743"/>
      <c r="AU76" s="2743"/>
      <c r="AV76" s="2743"/>
      <c r="AW76" s="2743"/>
      <c r="AX76" s="2743"/>
      <c r="AY76" s="2743"/>
      <c r="AZ76" s="2743"/>
      <c r="BA76" s="2743"/>
      <c r="BB76" s="2743"/>
      <c r="BC76" s="2743"/>
      <c r="BD76" s="2743"/>
      <c r="BE76" s="2743"/>
      <c r="BF76" s="2743"/>
      <c r="BG76" s="2743"/>
      <c r="BH76" s="2743"/>
      <c r="BI76" s="2743"/>
      <c r="BJ76" s="2743"/>
      <c r="BK76" s="2743"/>
      <c r="BL76" s="2743"/>
      <c r="BM76" s="2743"/>
      <c r="BN76" s="2743"/>
      <c r="BO76" s="2743"/>
      <c r="BP76" s="2743"/>
      <c r="BQ76" s="2743"/>
      <c r="BR76" s="2743"/>
      <c r="BS76" s="2743"/>
      <c r="BT76" s="2743"/>
      <c r="BU76" s="2743"/>
      <c r="BV76" s="2743"/>
      <c r="BW76" s="2743"/>
      <c r="BX76" s="2743"/>
      <c r="BY76" s="2743"/>
      <c r="BZ76" s="2743"/>
      <c r="CA76" s="2743"/>
      <c r="CB76" s="2743"/>
      <c r="CC76" s="2743"/>
      <c r="CD76" s="2743"/>
      <c r="CE76" s="2743"/>
      <c r="CF76" s="2743"/>
      <c r="CG76" s="2743"/>
      <c r="CH76" s="5001"/>
      <c r="CI76" s="2745"/>
      <c r="CJ76" s="2745"/>
      <c r="CK76" s="2745"/>
      <c r="CL76" s="2745"/>
      <c r="CM76" s="5002"/>
      <c r="CN76" s="2747"/>
      <c r="CO76" s="2747"/>
      <c r="CP76" s="2747"/>
      <c r="CQ76" s="2748"/>
      <c r="CR76" s="5002"/>
      <c r="CS76" s="2748"/>
      <c r="CT76" s="2747"/>
      <c r="CU76" s="2747"/>
      <c r="CV76" s="2748"/>
      <c r="CW76" s="5002"/>
      <c r="CX76" s="2748"/>
      <c r="CY76" s="2748"/>
      <c r="CZ76" s="2748"/>
      <c r="DA76" s="2748"/>
      <c r="DB76" s="5002"/>
      <c r="DC76" s="2748"/>
      <c r="DD76" s="2748"/>
      <c r="DE76" s="2748"/>
      <c r="DF76" s="2748"/>
      <c r="DG76" s="5002"/>
      <c r="DH76" s="2748"/>
      <c r="DI76" s="2748"/>
      <c r="DJ76" s="2748"/>
      <c r="DK76" s="2748"/>
      <c r="DL76" s="5002">
        <f>(DL75-DG75)*10000</f>
        <v>-77.575340179815157</v>
      </c>
      <c r="DM76" s="2748"/>
      <c r="DN76" s="2748"/>
      <c r="DO76" s="2748"/>
      <c r="DP76" s="2748">
        <f t="shared" ref="DP76:EN76" si="203">(DP75-DK75)*10000</f>
        <v>483.63250505705167</v>
      </c>
      <c r="DQ76" s="5002">
        <f t="shared" si="203"/>
        <v>10.783726684155393</v>
      </c>
      <c r="DR76" s="2748">
        <f t="shared" si="203"/>
        <v>796.02426407635767</v>
      </c>
      <c r="DS76" s="2748">
        <f t="shared" si="203"/>
        <v>1189.0928816360151</v>
      </c>
      <c r="DT76" s="2748">
        <f t="shared" si="203"/>
        <v>608.3649107195921</v>
      </c>
      <c r="DU76" s="2748">
        <f t="shared" si="203"/>
        <v>139.38976769466205</v>
      </c>
      <c r="DV76" s="5002">
        <f t="shared" si="203"/>
        <v>472.25016872481984</v>
      </c>
      <c r="DW76" s="2748">
        <f t="shared" si="203"/>
        <v>-244.74626498294683</v>
      </c>
      <c r="DX76" s="2748">
        <f t="shared" si="203"/>
        <v>-474.63430676486394</v>
      </c>
      <c r="DY76" s="2748">
        <f t="shared" si="203"/>
        <v>-926.67997324167254</v>
      </c>
      <c r="DZ76" s="2748">
        <f t="shared" si="203"/>
        <v>-764.46390379249829</v>
      </c>
      <c r="EA76" s="5002">
        <f t="shared" ref="EA76:EF76" si="204">(EA75-DV75)*10000</f>
        <v>-448.44032054343842</v>
      </c>
      <c r="EB76" s="2748">
        <f t="shared" si="203"/>
        <v>-66.298433904297681</v>
      </c>
      <c r="EC76" s="2748">
        <f t="shared" si="203"/>
        <v>97.768943317358421</v>
      </c>
      <c r="ED76" s="2748">
        <f t="shared" si="203"/>
        <v>444.3123209121469</v>
      </c>
      <c r="EE76" s="2748">
        <f t="shared" si="203"/>
        <v>521.84640805034769</v>
      </c>
      <c r="EF76" s="5002">
        <f t="shared" si="204"/>
        <v>255.24209107894657</v>
      </c>
      <c r="EG76" s="2748">
        <f t="shared" si="203"/>
        <v>454.5801268499722</v>
      </c>
      <c r="EH76" s="2748">
        <f t="shared" si="203"/>
        <v>475.54832712593975</v>
      </c>
      <c r="EI76" s="2748">
        <f t="shared" si="203"/>
        <v>512.06492677344454</v>
      </c>
      <c r="EJ76" s="2748">
        <f t="shared" si="203"/>
        <v>401.9065450693443</v>
      </c>
      <c r="EK76" s="5002">
        <f>(EK75-EF75)*10000</f>
        <v>459.57899430457303</v>
      </c>
      <c r="EL76" s="2748">
        <f t="shared" si="203"/>
        <v>267.15840176021135</v>
      </c>
      <c r="EM76" s="2748">
        <f t="shared" si="203"/>
        <v>-8.3567983493032507</v>
      </c>
      <c r="EN76" s="2748">
        <f t="shared" si="203"/>
        <v>-181.56068205271603</v>
      </c>
      <c r="EO76" s="2748">
        <f t="shared" ref="EO76" si="205">(EO75-EJ75)*10000</f>
        <v>160.32190168145166</v>
      </c>
      <c r="EP76" s="5002">
        <f>(EP75-EK75)*10000</f>
        <v>56.821963804786769</v>
      </c>
      <c r="EQ76" s="2748">
        <f t="shared" ref="EQ76" si="206">(EQ75-EL75)*10000</f>
        <v>150.08697452888796</v>
      </c>
      <c r="ER76" s="2748">
        <f t="shared" ref="ER76" si="207">(ER75-EM75)*10000</f>
        <v>294.4513768581225</v>
      </c>
      <c r="ES76" s="2748">
        <f t="shared" ref="ES76" si="208">(ES75-EN75)*10000</f>
        <v>378.62381105546075</v>
      </c>
      <c r="ET76" s="2748">
        <f t="shared" ref="ET76" si="209">(ET75-EO75)*10000</f>
        <v>105.0000000000001</v>
      </c>
      <c r="EU76" s="5002">
        <f>(EU75-EP75)*10000</f>
        <v>231.46601329232686</v>
      </c>
      <c r="EV76" s="2746">
        <f>(EV75-EU75)*10000</f>
        <v>14.963260891933118</v>
      </c>
      <c r="EW76" s="2746">
        <f>(EW75-EV75)*10000</f>
        <v>10.000000000000009</v>
      </c>
      <c r="EX76" s="2746">
        <f>(EX75-EW75)*10000</f>
        <v>5.0000000000000044</v>
      </c>
      <c r="EY76" s="2746">
        <f>(EY75-EX75)*10000</f>
        <v>15.000000000000014</v>
      </c>
      <c r="FA76" s="4276"/>
      <c r="FB76" s="4276"/>
      <c r="FC76" s="766"/>
    </row>
    <row r="77" spans="1:159" s="4" customFormat="1" ht="11.25" hidden="1" customHeight="1" outlineLevel="1" collapsed="1">
      <c r="A77" s="4905" t="str">
        <f>A48</f>
        <v>GAAP Net Income</v>
      </c>
      <c r="B77" s="170"/>
      <c r="C77" s="170"/>
      <c r="D77" s="170"/>
      <c r="E77" s="286"/>
      <c r="F77" s="4858"/>
      <c r="G77" s="170"/>
      <c r="H77" s="170"/>
      <c r="I77" s="170"/>
      <c r="J77" s="286"/>
      <c r="K77" s="4858"/>
      <c r="L77" s="170"/>
      <c r="M77" s="170"/>
      <c r="N77" s="170"/>
      <c r="O77" s="286"/>
      <c r="P77" s="2657"/>
      <c r="Q77" s="2608"/>
      <c r="R77" s="170"/>
      <c r="S77" s="170"/>
      <c r="T77" s="286"/>
      <c r="U77" s="4858"/>
      <c r="V77" s="4859"/>
      <c r="W77" s="170"/>
      <c r="X77" s="170"/>
      <c r="Y77" s="286"/>
      <c r="Z77" s="4858"/>
      <c r="AA77" s="4859"/>
      <c r="AB77" s="170"/>
      <c r="AC77" s="170"/>
      <c r="AD77" s="286"/>
      <c r="AE77" s="4858"/>
      <c r="AF77" s="4859"/>
      <c r="AG77" s="170"/>
      <c r="AH77" s="170"/>
      <c r="AI77" s="286"/>
      <c r="AJ77" s="4858"/>
      <c r="AK77" s="170"/>
      <c r="AL77" s="170"/>
      <c r="AM77" s="170"/>
      <c r="AN77" s="286"/>
      <c r="AO77" s="4858"/>
      <c r="AP77" s="170"/>
      <c r="AQ77" s="170"/>
      <c r="AR77" s="170"/>
      <c r="AS77" s="286"/>
      <c r="AT77" s="4858"/>
      <c r="AU77" s="170"/>
      <c r="AV77" s="170"/>
      <c r="AW77" s="170"/>
      <c r="AX77" s="286"/>
      <c r="AY77" s="4858"/>
      <c r="AZ77" s="170"/>
      <c r="BA77" s="170"/>
      <c r="BB77" s="170"/>
      <c r="BC77" s="170"/>
      <c r="BD77" s="4860"/>
      <c r="BE77" s="4866"/>
      <c r="BF77" s="170"/>
      <c r="BG77" s="170"/>
      <c r="BH77" s="170"/>
      <c r="BI77" s="4860"/>
      <c r="BJ77" s="170"/>
      <c r="BK77" s="170"/>
      <c r="BL77" s="170"/>
      <c r="BM77" s="170"/>
      <c r="BN77" s="4860"/>
      <c r="BO77" s="170"/>
      <c r="BP77" s="170"/>
      <c r="BQ77" s="170"/>
      <c r="BR77" s="286"/>
      <c r="BS77" s="4858"/>
      <c r="BT77" s="170"/>
      <c r="BU77" s="170"/>
      <c r="BV77" s="170"/>
      <c r="BW77" s="170"/>
      <c r="BX77" s="4860"/>
      <c r="BY77" s="170"/>
      <c r="BZ77" s="170"/>
      <c r="CA77" s="170"/>
      <c r="CB77" s="170"/>
      <c r="CC77" s="4860"/>
      <c r="CD77" s="170"/>
      <c r="CE77" s="170"/>
      <c r="CF77" s="170"/>
      <c r="CG77" s="170"/>
      <c r="CH77" s="2957"/>
      <c r="CI77" s="2618"/>
      <c r="CJ77" s="2618"/>
      <c r="CK77" s="2618"/>
      <c r="CL77" s="2618"/>
      <c r="CM77" s="2957"/>
      <c r="CN77" s="2618"/>
      <c r="CO77" s="2618"/>
      <c r="CP77" s="2618"/>
      <c r="CQ77" s="2618"/>
      <c r="CR77" s="2957"/>
      <c r="CS77" s="2618"/>
      <c r="CT77" s="2618"/>
      <c r="CU77" s="2618"/>
      <c r="CV77" s="2618"/>
      <c r="CW77" s="2957"/>
      <c r="CX77" s="2618"/>
      <c r="CY77" s="2618"/>
      <c r="CZ77" s="2618"/>
      <c r="DA77" s="2618"/>
      <c r="DB77" s="2957"/>
      <c r="DC77" s="2618"/>
      <c r="DD77" s="2618"/>
      <c r="DE77" s="2618"/>
      <c r="DF77" s="2618"/>
      <c r="DG77" s="2958">
        <f>DG48/DG$40</f>
        <v>0.32248475376176028</v>
      </c>
      <c r="DH77" s="127"/>
      <c r="DI77" s="127"/>
      <c r="DJ77" s="127"/>
      <c r="DK77" s="127">
        <f t="shared" ref="DK77:DV77" si="210">DK48/DK$40</f>
        <v>0.3354553451548683</v>
      </c>
      <c r="DL77" s="2958">
        <f t="shared" si="210"/>
        <v>0.30817059114111639</v>
      </c>
      <c r="DM77" s="127">
        <f t="shared" si="210"/>
        <v>0.29360175925441123</v>
      </c>
      <c r="DN77" s="127">
        <f t="shared" si="210"/>
        <v>0.24963562058815125</v>
      </c>
      <c r="DO77" s="127">
        <f t="shared" si="210"/>
        <v>0.29885138468043126</v>
      </c>
      <c r="DP77" s="127">
        <f t="shared" si="210"/>
        <v>0.30251735290223741</v>
      </c>
      <c r="DQ77" s="2958">
        <f t="shared" si="210"/>
        <v>0.28859963827200757</v>
      </c>
      <c r="DR77" s="127">
        <f t="shared" si="210"/>
        <v>0.32957520809722929</v>
      </c>
      <c r="DS77" s="127">
        <f t="shared" si="210"/>
        <v>0.33746298210874937</v>
      </c>
      <c r="DT77" s="127">
        <f t="shared" si="210"/>
        <v>0.33813706499231849</v>
      </c>
      <c r="DU77" s="127">
        <f t="shared" si="210"/>
        <v>0.32172910662824206</v>
      </c>
      <c r="DV77" s="2958">
        <f t="shared" si="210"/>
        <v>0.31566250857789996</v>
      </c>
      <c r="DW77" s="127">
        <f t="shared" ref="DW77:EF77" si="211">DW48/DW$40</f>
        <v>0.31155648099947941</v>
      </c>
      <c r="DX77" s="127">
        <f t="shared" si="211"/>
        <v>0.28807625594755015</v>
      </c>
      <c r="DY77" s="127">
        <f t="shared" si="211"/>
        <v>0.26477344933769981</v>
      </c>
      <c r="DZ77" s="127">
        <f t="shared" si="211"/>
        <v>0.25030219051269198</v>
      </c>
      <c r="EA77" s="2958">
        <f t="shared" si="211"/>
        <v>0.27802057366444732</v>
      </c>
      <c r="EB77" s="127">
        <f>EB48/EB$40</f>
        <v>0.30467552169913331</v>
      </c>
      <c r="EC77" s="127">
        <f>EC48/EC$40</f>
        <v>0.3045032812853587</v>
      </c>
      <c r="ED77" s="127">
        <f>ED48/ED$40</f>
        <v>0.33050922248698261</v>
      </c>
      <c r="EE77" s="127">
        <f t="shared" ref="EE77" si="212">EE48/EE$40</f>
        <v>0.3037438901337946</v>
      </c>
      <c r="EF77" s="2958">
        <f t="shared" si="211"/>
        <v>0.31081700869220635</v>
      </c>
      <c r="EG77" s="127">
        <f>EG48/EG$40</f>
        <v>0.33722548936049318</v>
      </c>
      <c r="EH77" s="127">
        <f>EH48/EH$40</f>
        <v>0.3578346499296613</v>
      </c>
      <c r="EI77" s="127">
        <f>EI48/EI$40</f>
        <v>0.35009802640177756</v>
      </c>
      <c r="EJ77" s="127">
        <f t="shared" ref="EJ77" si="213">EJ48/EJ$40</f>
        <v>0.33390015934549433</v>
      </c>
      <c r="EK77" s="2958">
        <f t="shared" ref="EK77" si="214">EK48/EK$40</f>
        <v>0.34453481126815988</v>
      </c>
      <c r="EL77" s="127">
        <f>EL48/EL$40</f>
        <v>0.34813108303996687</v>
      </c>
      <c r="EM77" s="127">
        <f>EM48/EM$40</f>
        <v>0.34872732999769818</v>
      </c>
      <c r="EN77" s="127">
        <f>EN48/EN$40</f>
        <v>0.3069200018379819</v>
      </c>
      <c r="EO77" s="127">
        <f t="shared" ref="EO77:EX77" ca="1" si="215">EO48/EO$40</f>
        <v>0.34832913436137508</v>
      </c>
      <c r="EP77" s="2958">
        <f t="shared" ca="1" si="215"/>
        <v>0.33785299161333393</v>
      </c>
      <c r="EQ77" s="127">
        <f t="shared" ref="EQ77:EU77" ca="1" si="216">EQ48/EQ$40</f>
        <v>0.37574768174623052</v>
      </c>
      <c r="ER77" s="127">
        <f t="shared" ca="1" si="216"/>
        <v>0.36613157087748494</v>
      </c>
      <c r="ES77" s="127">
        <f t="shared" ca="1" si="216"/>
        <v>0.35872592431140171</v>
      </c>
      <c r="ET77" s="127">
        <f t="shared" ca="1" si="216"/>
        <v>0.35297346710793148</v>
      </c>
      <c r="EU77" s="2958">
        <f t="shared" ca="1" si="216"/>
        <v>0.36286332009236894</v>
      </c>
      <c r="EV77" s="2958">
        <f t="shared" ca="1" si="215"/>
        <v>0.36126886473626407</v>
      </c>
      <c r="EW77" s="2958">
        <f t="shared" ca="1" si="215"/>
        <v>0.35788239249513948</v>
      </c>
      <c r="EX77" s="2958">
        <f t="shared" ca="1" si="215"/>
        <v>0.35471540336330509</v>
      </c>
      <c r="EY77" s="2958">
        <f t="shared" ref="EY77" ca="1" si="217">EY48/EY$40</f>
        <v>0.35290010656814524</v>
      </c>
      <c r="EZ77" s="170"/>
      <c r="FA77" s="1319"/>
      <c r="FB77" s="1319"/>
      <c r="FC77" s="511"/>
    </row>
    <row r="78" spans="1:159" s="4" customFormat="1" ht="11.25" hidden="1" customHeight="1" outlineLevel="1" collapsed="1">
      <c r="A78" s="4905"/>
      <c r="B78" s="170"/>
      <c r="C78" s="170"/>
      <c r="D78" s="170"/>
      <c r="E78" s="286"/>
      <c r="F78" s="4858"/>
      <c r="G78" s="170"/>
      <c r="H78" s="170"/>
      <c r="I78" s="170"/>
      <c r="J78" s="286"/>
      <c r="K78" s="4858"/>
      <c r="L78" s="170"/>
      <c r="M78" s="170"/>
      <c r="N78" s="170"/>
      <c r="O78" s="286"/>
      <c r="P78" s="2657"/>
      <c r="Q78" s="2608"/>
      <c r="R78" s="170"/>
      <c r="S78" s="170"/>
      <c r="T78" s="286"/>
      <c r="U78" s="4858"/>
      <c r="V78" s="4859"/>
      <c r="W78" s="170"/>
      <c r="X78" s="170"/>
      <c r="Y78" s="286"/>
      <c r="Z78" s="4858"/>
      <c r="AA78" s="4859"/>
      <c r="AB78" s="170"/>
      <c r="AC78" s="170"/>
      <c r="AD78" s="286"/>
      <c r="AE78" s="4858"/>
      <c r="AF78" s="4859"/>
      <c r="AG78" s="170"/>
      <c r="AH78" s="170"/>
      <c r="AI78" s="286"/>
      <c r="AJ78" s="4858"/>
      <c r="AK78" s="170"/>
      <c r="AL78" s="170"/>
      <c r="AM78" s="170"/>
      <c r="AN78" s="286"/>
      <c r="AO78" s="4858"/>
      <c r="AP78" s="170"/>
      <c r="AQ78" s="170"/>
      <c r="AR78" s="170"/>
      <c r="AS78" s="286"/>
      <c r="AT78" s="4858"/>
      <c r="AU78" s="170"/>
      <c r="AV78" s="170"/>
      <c r="AW78" s="170"/>
      <c r="AX78" s="286"/>
      <c r="AY78" s="4858"/>
      <c r="AZ78" s="170"/>
      <c r="BA78" s="170"/>
      <c r="BB78" s="170"/>
      <c r="BC78" s="170"/>
      <c r="BD78" s="4860"/>
      <c r="BE78" s="4866"/>
      <c r="BF78" s="170"/>
      <c r="BG78" s="170"/>
      <c r="BH78" s="170"/>
      <c r="BI78" s="4860"/>
      <c r="BJ78" s="170"/>
      <c r="BK78" s="170"/>
      <c r="BL78" s="170"/>
      <c r="BM78" s="170"/>
      <c r="BN78" s="4860"/>
      <c r="BO78" s="170"/>
      <c r="BP78" s="170"/>
      <c r="BQ78" s="170"/>
      <c r="BR78" s="286"/>
      <c r="BS78" s="4858"/>
      <c r="BT78" s="170"/>
      <c r="BU78" s="170"/>
      <c r="BV78" s="170"/>
      <c r="BW78" s="170"/>
      <c r="BX78" s="4860"/>
      <c r="BY78" s="170"/>
      <c r="BZ78" s="170"/>
      <c r="CA78" s="170"/>
      <c r="CB78" s="170"/>
      <c r="CC78" s="4860"/>
      <c r="CD78" s="170"/>
      <c r="CE78" s="170"/>
      <c r="CF78" s="170"/>
      <c r="CG78" s="170"/>
      <c r="CH78" s="4860"/>
      <c r="CI78" s="170"/>
      <c r="CJ78" s="170"/>
      <c r="CK78" s="170"/>
      <c r="CL78" s="170"/>
      <c r="CM78" s="4860"/>
      <c r="CN78" s="170"/>
      <c r="CO78" s="170"/>
      <c r="CP78" s="170"/>
      <c r="CQ78" s="170"/>
      <c r="CR78" s="4860"/>
      <c r="CS78" s="170"/>
      <c r="CT78" s="170"/>
      <c r="CU78" s="170"/>
      <c r="CV78" s="170"/>
      <c r="CW78" s="4860"/>
      <c r="CX78" s="170"/>
      <c r="CY78" s="170"/>
      <c r="CZ78" s="170"/>
      <c r="DA78" s="170"/>
      <c r="DB78" s="4860"/>
      <c r="DC78" s="170"/>
      <c r="DD78" s="170"/>
      <c r="DE78" s="170"/>
      <c r="DF78" s="170"/>
      <c r="DG78" s="4863"/>
      <c r="DH78" s="4865"/>
      <c r="DI78" s="4865"/>
      <c r="DJ78" s="4865"/>
      <c r="DK78" s="4865"/>
      <c r="DL78" s="4863"/>
      <c r="DM78" s="4865"/>
      <c r="DN78" s="4865"/>
      <c r="DO78" s="4865"/>
      <c r="DP78" s="4865"/>
      <c r="DQ78" s="4863"/>
      <c r="DR78" s="4865"/>
      <c r="DS78" s="4865"/>
      <c r="DT78" s="4865"/>
      <c r="DU78" s="4865"/>
      <c r="DV78" s="4863"/>
      <c r="DW78" s="4865"/>
      <c r="DX78" s="4865"/>
      <c r="DY78" s="4865"/>
      <c r="DZ78" s="4865"/>
      <c r="EA78" s="4863"/>
      <c r="EB78" s="4865"/>
      <c r="EC78" s="4865"/>
      <c r="ED78" s="4865"/>
      <c r="EE78" s="4865"/>
      <c r="EF78" s="4863"/>
      <c r="EG78" s="4865"/>
      <c r="EH78" s="4865"/>
      <c r="EI78" s="4865"/>
      <c r="EJ78" s="4865"/>
      <c r="EK78" s="4863"/>
      <c r="EL78" s="4865"/>
      <c r="EM78" s="4865"/>
      <c r="EN78" s="4865"/>
      <c r="EO78" s="4865"/>
      <c r="EP78" s="4863"/>
      <c r="EQ78" s="4865"/>
      <c r="ER78" s="4865"/>
      <c r="ES78" s="4865"/>
      <c r="ET78" s="4865"/>
      <c r="EU78" s="4863"/>
      <c r="EV78" s="4863"/>
      <c r="EW78" s="4863"/>
      <c r="EX78" s="4863"/>
      <c r="EY78" s="4863"/>
      <c r="EZ78" s="170"/>
      <c r="FA78" s="1319"/>
      <c r="FB78" s="1319"/>
      <c r="FC78" s="511"/>
    </row>
    <row r="79" spans="1:159" s="2586" customFormat="1" collapsed="1">
      <c r="A79" s="4997" t="s">
        <v>826</v>
      </c>
      <c r="B79" s="4998"/>
      <c r="C79" s="4998"/>
      <c r="D79" s="4998"/>
      <c r="E79" s="4998"/>
      <c r="F79" s="4998"/>
      <c r="G79" s="4998"/>
      <c r="H79" s="4998"/>
      <c r="I79" s="4998"/>
      <c r="J79" s="4998"/>
      <c r="K79" s="4998"/>
      <c r="L79" s="4998"/>
      <c r="M79" s="4998"/>
      <c r="N79" s="4998"/>
      <c r="O79" s="4998"/>
      <c r="P79" s="4998"/>
      <c r="Q79" s="4998"/>
      <c r="R79" s="4998"/>
      <c r="S79" s="4998"/>
      <c r="T79" s="4998"/>
      <c r="U79" s="4998"/>
      <c r="V79" s="4998"/>
      <c r="W79" s="4998"/>
      <c r="X79" s="4998"/>
      <c r="Y79" s="4998"/>
      <c r="Z79" s="4998"/>
      <c r="AA79" s="4998"/>
      <c r="AB79" s="4998"/>
      <c r="AC79" s="4998"/>
      <c r="AD79" s="4998"/>
      <c r="AE79" s="4998"/>
      <c r="AF79" s="4998"/>
      <c r="AG79" s="4998"/>
      <c r="AH79" s="4998"/>
      <c r="AI79" s="4998"/>
      <c r="AJ79" s="4998"/>
      <c r="AK79" s="4998"/>
      <c r="AL79" s="4998"/>
      <c r="AM79" s="4998"/>
      <c r="AN79" s="4998"/>
      <c r="AO79" s="4998"/>
      <c r="AP79" s="4998"/>
      <c r="AQ79" s="4998"/>
      <c r="AR79" s="4998"/>
      <c r="AS79" s="4998"/>
      <c r="AT79" s="4998"/>
      <c r="AU79" s="4998"/>
      <c r="AV79" s="4998"/>
      <c r="AW79" s="4998"/>
      <c r="AX79" s="4998"/>
      <c r="AY79" s="4998"/>
      <c r="AZ79" s="4998"/>
      <c r="BA79" s="4998"/>
      <c r="BB79" s="4998"/>
      <c r="BC79" s="4998"/>
      <c r="BD79" s="4998"/>
      <c r="BE79" s="4998"/>
      <c r="BF79" s="4998"/>
      <c r="BG79" s="4998"/>
      <c r="BH79" s="4998"/>
      <c r="BI79" s="4998"/>
      <c r="BJ79" s="4998"/>
      <c r="BK79" s="4998"/>
      <c r="BL79" s="4998"/>
      <c r="BM79" s="4998"/>
      <c r="BN79" s="4998"/>
      <c r="BO79" s="4998"/>
      <c r="BP79" s="4998"/>
      <c r="BQ79" s="4998"/>
      <c r="BR79" s="4998"/>
      <c r="BS79" s="4998"/>
      <c r="BT79" s="4998"/>
      <c r="BU79" s="4998"/>
      <c r="BV79" s="4998"/>
      <c r="BW79" s="4998"/>
      <c r="BX79" s="4998"/>
      <c r="BY79" s="4998"/>
      <c r="BZ79" s="4998"/>
      <c r="CA79" s="4998"/>
      <c r="CB79" s="4998"/>
      <c r="CC79" s="4998"/>
      <c r="CD79" s="4998"/>
      <c r="CE79" s="4998"/>
      <c r="CF79" s="4998"/>
      <c r="CG79" s="4998"/>
      <c r="CH79" s="4999"/>
      <c r="CI79" s="5000"/>
      <c r="CJ79" s="5000"/>
      <c r="CK79" s="5000"/>
      <c r="CL79" s="5000"/>
      <c r="CM79" s="4999"/>
      <c r="CN79" s="5000"/>
      <c r="CO79" s="5000"/>
      <c r="CP79" s="5000"/>
      <c r="CQ79" s="5000"/>
      <c r="CR79" s="4999"/>
      <c r="CS79" s="5000"/>
      <c r="CT79" s="5000"/>
      <c r="CU79" s="5000"/>
      <c r="CV79" s="5000"/>
      <c r="CW79" s="4999"/>
      <c r="CX79" s="5000"/>
      <c r="CY79" s="5000"/>
      <c r="CZ79" s="5000"/>
      <c r="DA79" s="5000"/>
      <c r="DB79" s="4999"/>
      <c r="DC79" s="5000"/>
      <c r="DD79" s="5000"/>
      <c r="DE79" s="5000"/>
      <c r="DF79" s="5000"/>
      <c r="DG79" s="4999"/>
      <c r="DH79" s="5000"/>
      <c r="DI79" s="5000"/>
      <c r="DJ79" s="5000"/>
      <c r="DK79" s="5000"/>
      <c r="DL79" s="4999"/>
      <c r="DM79" s="5000"/>
      <c r="DN79" s="5000"/>
      <c r="DO79" s="5000"/>
      <c r="DP79" s="5000"/>
      <c r="DQ79" s="4999"/>
      <c r="DR79" s="5000"/>
      <c r="DS79" s="5000"/>
      <c r="DT79" s="5000"/>
      <c r="DU79" s="5000"/>
      <c r="DV79" s="4999"/>
      <c r="DW79" s="5000"/>
      <c r="DX79" s="5000"/>
      <c r="DY79" s="5000"/>
      <c r="DZ79" s="5000"/>
      <c r="EA79" s="4999"/>
      <c r="EB79" s="5000"/>
      <c r="EC79" s="5000"/>
      <c r="ED79" s="5000"/>
      <c r="EE79" s="5000"/>
      <c r="EF79" s="4999"/>
      <c r="EG79" s="5000"/>
      <c r="EH79" s="5000"/>
      <c r="EI79" s="5000"/>
      <c r="EJ79" s="5000"/>
      <c r="EK79" s="4999"/>
      <c r="EL79" s="5000"/>
      <c r="EM79" s="5000"/>
      <c r="EN79" s="5000"/>
      <c r="EO79" s="5000"/>
      <c r="EP79" s="4999"/>
      <c r="EQ79" s="5000"/>
      <c r="ER79" s="5000"/>
      <c r="ES79" s="5000"/>
      <c r="ET79" s="5000"/>
      <c r="EU79" s="4999"/>
      <c r="EV79" s="4999"/>
      <c r="EW79" s="4999"/>
      <c r="EX79" s="4999"/>
      <c r="EY79" s="4999"/>
      <c r="FA79" s="1319"/>
      <c r="FB79" s="1319"/>
    </row>
    <row r="80" spans="1:159" s="4" customFormat="1" ht="11.25" customHeight="1">
      <c r="A80" s="4927" t="s">
        <v>312</v>
      </c>
      <c r="B80" s="4928"/>
      <c r="C80" s="4928"/>
      <c r="D80" s="4928"/>
      <c r="E80" s="4929"/>
      <c r="F80" s="4930"/>
      <c r="G80" s="4928"/>
      <c r="H80" s="4928"/>
      <c r="I80" s="4928"/>
      <c r="J80" s="4929"/>
      <c r="K80" s="4930"/>
      <c r="L80" s="4928"/>
      <c r="M80" s="4928"/>
      <c r="N80" s="4928"/>
      <c r="O80" s="4929"/>
      <c r="P80" s="4931"/>
      <c r="Q80" s="4085"/>
      <c r="R80" s="4928"/>
      <c r="S80" s="4928"/>
      <c r="T80" s="4929"/>
      <c r="U80" s="4930"/>
      <c r="V80" s="4932"/>
      <c r="W80" s="4928"/>
      <c r="X80" s="4928"/>
      <c r="Y80" s="4929"/>
      <c r="Z80" s="4930"/>
      <c r="AA80" s="4932"/>
      <c r="AB80" s="4928"/>
      <c r="AC80" s="4928"/>
      <c r="AD80" s="4929"/>
      <c r="AE80" s="4930"/>
      <c r="AF80" s="4932"/>
      <c r="AG80" s="4928"/>
      <c r="AH80" s="4928"/>
      <c r="AI80" s="4929"/>
      <c r="AJ80" s="4930"/>
      <c r="AK80" s="4928"/>
      <c r="AL80" s="4928"/>
      <c r="AM80" s="4928"/>
      <c r="AN80" s="4929"/>
      <c r="AO80" s="4930"/>
      <c r="AP80" s="4928"/>
      <c r="AQ80" s="4928"/>
      <c r="AR80" s="4928"/>
      <c r="AS80" s="4929"/>
      <c r="AT80" s="4930"/>
      <c r="AU80" s="4928"/>
      <c r="AV80" s="4928"/>
      <c r="AW80" s="4928"/>
      <c r="AX80" s="4929"/>
      <c r="AY80" s="4930"/>
      <c r="AZ80" s="4928"/>
      <c r="BA80" s="4928"/>
      <c r="BB80" s="4928"/>
      <c r="BC80" s="4928"/>
      <c r="BD80" s="4933"/>
      <c r="BE80" s="4934"/>
      <c r="BF80" s="4928"/>
      <c r="BG80" s="4928"/>
      <c r="BH80" s="4928"/>
      <c r="BI80" s="4933"/>
      <c r="BJ80" s="4928"/>
      <c r="BK80" s="4928"/>
      <c r="BL80" s="4928"/>
      <c r="BM80" s="4928"/>
      <c r="BN80" s="4933"/>
      <c r="BO80" s="4928"/>
      <c r="BP80" s="4928"/>
      <c r="BQ80" s="4928"/>
      <c r="BR80" s="4929"/>
      <c r="BS80" s="4930"/>
      <c r="BT80" s="4928"/>
      <c r="BU80" s="4928"/>
      <c r="BV80" s="4928"/>
      <c r="BW80" s="4928"/>
      <c r="BX80" s="4933"/>
      <c r="BY80" s="4928"/>
      <c r="BZ80" s="4928"/>
      <c r="CA80" s="4928"/>
      <c r="CB80" s="4928"/>
      <c r="CC80" s="4933"/>
      <c r="CD80" s="4928"/>
      <c r="CE80" s="4928"/>
      <c r="CF80" s="4928"/>
      <c r="CG80" s="4928"/>
      <c r="CH80" s="4933"/>
      <c r="CI80" s="4928"/>
      <c r="CJ80" s="4928"/>
      <c r="CK80" s="4928"/>
      <c r="CL80" s="4928"/>
      <c r="CM80" s="4933"/>
      <c r="CN80" s="4928"/>
      <c r="CO80" s="4928"/>
      <c r="CP80" s="4928"/>
      <c r="CQ80" s="4928"/>
      <c r="CR80" s="4933"/>
      <c r="CS80" s="4928"/>
      <c r="CT80" s="4928"/>
      <c r="CU80" s="4928"/>
      <c r="CV80" s="4928"/>
      <c r="CW80" s="4933"/>
      <c r="CX80" s="4928"/>
      <c r="CY80" s="4928"/>
      <c r="CZ80" s="4928"/>
      <c r="DA80" s="4928"/>
      <c r="DB80" s="4933"/>
      <c r="DC80" s="4928"/>
      <c r="DD80" s="4928"/>
      <c r="DE80" s="4928"/>
      <c r="DF80" s="4928"/>
      <c r="DG80" s="4935">
        <f>DG10</f>
        <v>5838</v>
      </c>
      <c r="DH80" s="4936"/>
      <c r="DI80" s="4936"/>
      <c r="DJ80" s="4936"/>
      <c r="DK80" s="4936">
        <f t="shared" ref="DK80:DP80" si="218">DK10</f>
        <v>2614</v>
      </c>
      <c r="DL80" s="4935">
        <f t="shared" si="218"/>
        <v>8918</v>
      </c>
      <c r="DM80" s="4936">
        <f t="shared" si="218"/>
        <v>2777</v>
      </c>
      <c r="DN80" s="4936">
        <f t="shared" si="218"/>
        <v>3007</v>
      </c>
      <c r="DO80" s="4936">
        <f t="shared" si="218"/>
        <v>3444</v>
      </c>
      <c r="DP80" s="4936">
        <f t="shared" si="218"/>
        <v>3831</v>
      </c>
      <c r="DQ80" s="4935">
        <f t="shared" ref="DQ80:DQ86" si="219">SUM(DM80:DP80)</f>
        <v>13059</v>
      </c>
      <c r="DR80" s="4936">
        <f>DR10</f>
        <v>4047</v>
      </c>
      <c r="DS80" s="4936">
        <f>DS10</f>
        <v>4628</v>
      </c>
      <c r="DT80" s="4936">
        <f>DT10</f>
        <v>4990</v>
      </c>
      <c r="DU80" s="4936">
        <f>DU10</f>
        <v>5541</v>
      </c>
      <c r="DV80" s="4935">
        <f t="shared" ref="DV80:DV86" si="220">SUM(DR80:DU80)</f>
        <v>19206</v>
      </c>
      <c r="DW80" s="4936">
        <f>DW10</f>
        <v>5821</v>
      </c>
      <c r="DX80" s="4936">
        <f>DX10</f>
        <v>6276</v>
      </c>
      <c r="DY80" s="4936">
        <f>DY10</f>
        <v>6868</v>
      </c>
      <c r="DZ80" s="4936">
        <f>DZ10</f>
        <v>7315</v>
      </c>
      <c r="EA80" s="4935">
        <f t="shared" ref="EA80:EA86" si="221">SUM(DW80:DZ80)</f>
        <v>26280</v>
      </c>
      <c r="EB80" s="4936">
        <f>EB10</f>
        <v>7454</v>
      </c>
      <c r="EC80" s="4936">
        <f>EC10</f>
        <v>8031</v>
      </c>
      <c r="ED80" s="4936">
        <f>ED10</f>
        <v>8411</v>
      </c>
      <c r="EE80" s="4936">
        <f>EE10</f>
        <v>9192</v>
      </c>
      <c r="EF80" s="4935">
        <f t="shared" ref="EF80:EF86" si="222">SUM(EB80:EE80)</f>
        <v>33088</v>
      </c>
      <c r="EG80" s="4936">
        <f>EG10</f>
        <v>9574</v>
      </c>
      <c r="EH80" s="4936">
        <f>EH10</f>
        <v>10347</v>
      </c>
      <c r="EI80" s="4936">
        <f>EI10</f>
        <v>11353</v>
      </c>
      <c r="EJ80" s="4936">
        <f>EJ10</f>
        <v>11955</v>
      </c>
      <c r="EK80" s="4935">
        <f t="shared" ref="EK80:EK86" si="223">SUM(EG80:EJ80)</f>
        <v>43229</v>
      </c>
      <c r="EL80" s="4936">
        <f>EL10</f>
        <v>12260</v>
      </c>
      <c r="EM80" s="4936">
        <f>EM10</f>
        <v>13624</v>
      </c>
      <c r="EN80" s="4936">
        <f>EN10</f>
        <v>15157</v>
      </c>
      <c r="EO80" s="4936">
        <f t="shared" ref="EO80" si="224">EO10</f>
        <v>16522.494173601481</v>
      </c>
      <c r="EP80" s="4935">
        <f t="shared" ref="EP80:EP86" si="225">SUM(EL80:EO80)</f>
        <v>57563.494173601481</v>
      </c>
      <c r="EQ80" s="4936">
        <f t="shared" ref="EQ80:ET80" si="226">EQ10</f>
        <v>17703.157460375878</v>
      </c>
      <c r="ER80" s="4936">
        <f t="shared" si="226"/>
        <v>19458.681752392629</v>
      </c>
      <c r="ES80" s="4936">
        <f t="shared" si="226"/>
        <v>21697.828609286509</v>
      </c>
      <c r="ET80" s="4936">
        <f t="shared" si="226"/>
        <v>23908.685118985952</v>
      </c>
      <c r="EU80" s="4935">
        <f t="shared" ref="EU80:EU86" si="227">SUM(EQ80:ET80)</f>
        <v>82768.352941040968</v>
      </c>
      <c r="EV80" s="4935">
        <f>EV10</f>
        <v>107598.85882335326</v>
      </c>
      <c r="EW80" s="4935">
        <f>EW10</f>
        <v>134498.57352919158</v>
      </c>
      <c r="EX80" s="4935">
        <f>EX10</f>
        <v>161398.28823502988</v>
      </c>
      <c r="EY80" s="4935">
        <f>EY10</f>
        <v>190449.98011733525</v>
      </c>
      <c r="EZ80" s="170"/>
      <c r="FA80" s="1319">
        <f t="shared" ref="FA80:FA82" si="228">IF(AND(EV80&gt;0,EK80&gt;0),(EV80/EK80)^(1/3)-1,"NA")</f>
        <v>0.35522319257888801</v>
      </c>
      <c r="FB80" s="1319">
        <f t="shared" ref="FB80:FB82" si="229">IF(AND(EX80&gt;0,EK80&gt;0),(EX80/EK80)^(1/5)-1,"NA")</f>
        <v>0.30144178688805212</v>
      </c>
      <c r="FC80" s="511"/>
    </row>
    <row r="81" spans="1:159" s="4" customFormat="1" ht="11.25" customHeight="1">
      <c r="A81" s="4857" t="s">
        <v>995</v>
      </c>
      <c r="B81" s="170"/>
      <c r="C81" s="170"/>
      <c r="D81" s="170"/>
      <c r="E81" s="286"/>
      <c r="F81" s="4858"/>
      <c r="G81" s="170"/>
      <c r="H81" s="170"/>
      <c r="I81" s="170"/>
      <c r="J81" s="286"/>
      <c r="K81" s="4858"/>
      <c r="L81" s="170"/>
      <c r="M81" s="170"/>
      <c r="N81" s="170"/>
      <c r="O81" s="286"/>
      <c r="P81" s="2657"/>
      <c r="Q81" s="2608"/>
      <c r="R81" s="170"/>
      <c r="S81" s="170"/>
      <c r="T81" s="286"/>
      <c r="U81" s="4858"/>
      <c r="V81" s="4859"/>
      <c r="W81" s="170"/>
      <c r="X81" s="170"/>
      <c r="Y81" s="286"/>
      <c r="Z81" s="4858"/>
      <c r="AA81" s="4859"/>
      <c r="AB81" s="170"/>
      <c r="AC81" s="170"/>
      <c r="AD81" s="286"/>
      <c r="AE81" s="4858"/>
      <c r="AF81" s="4859"/>
      <c r="AG81" s="170"/>
      <c r="AH81" s="170"/>
      <c r="AI81" s="286"/>
      <c r="AJ81" s="4858"/>
      <c r="AK81" s="170"/>
      <c r="AL81" s="170"/>
      <c r="AM81" s="170"/>
      <c r="AN81" s="286"/>
      <c r="AO81" s="4858"/>
      <c r="AP81" s="170"/>
      <c r="AQ81" s="170"/>
      <c r="AR81" s="170"/>
      <c r="AS81" s="286"/>
      <c r="AT81" s="4858"/>
      <c r="AU81" s="170"/>
      <c r="AV81" s="170"/>
      <c r="AW81" s="170"/>
      <c r="AX81" s="286"/>
      <c r="AY81" s="4858"/>
      <c r="AZ81" s="170"/>
      <c r="BA81" s="170"/>
      <c r="BB81" s="170"/>
      <c r="BC81" s="170"/>
      <c r="BD81" s="4860"/>
      <c r="BE81" s="4866"/>
      <c r="BF81" s="170"/>
      <c r="BG81" s="170"/>
      <c r="BH81" s="170"/>
      <c r="BI81" s="4860"/>
      <c r="BJ81" s="170"/>
      <c r="BK81" s="170"/>
      <c r="BL81" s="170"/>
      <c r="BM81" s="170"/>
      <c r="BN81" s="4860"/>
      <c r="BO81" s="170"/>
      <c r="BP81" s="170"/>
      <c r="BQ81" s="170"/>
      <c r="BR81" s="286"/>
      <c r="BS81" s="4858"/>
      <c r="BT81" s="170"/>
      <c r="BU81" s="170"/>
      <c r="BV81" s="170"/>
      <c r="BW81" s="170"/>
      <c r="BX81" s="4860"/>
      <c r="BY81" s="170"/>
      <c r="BZ81" s="170"/>
      <c r="CA81" s="170"/>
      <c r="CB81" s="170"/>
      <c r="CC81" s="4860"/>
      <c r="CD81" s="170"/>
      <c r="CE81" s="170"/>
      <c r="CF81" s="170"/>
      <c r="CG81" s="170"/>
      <c r="CH81" s="4860"/>
      <c r="CI81" s="170"/>
      <c r="CJ81" s="170"/>
      <c r="CK81" s="170"/>
      <c r="CL81" s="170"/>
      <c r="CM81" s="4860"/>
      <c r="CN81" s="170"/>
      <c r="CO81" s="170"/>
      <c r="CP81" s="170"/>
      <c r="CQ81" s="170"/>
      <c r="CR81" s="4860"/>
      <c r="CS81" s="170"/>
      <c r="CT81" s="170"/>
      <c r="CU81" s="170"/>
      <c r="CV81" s="170"/>
      <c r="CW81" s="4860"/>
      <c r="CX81" s="170"/>
      <c r="CY81" s="170"/>
      <c r="CZ81" s="170"/>
      <c r="DA81" s="170"/>
      <c r="DB81" s="4860"/>
      <c r="DC81" s="170"/>
      <c r="DD81" s="170"/>
      <c r="DE81" s="170"/>
      <c r="DF81" s="170"/>
      <c r="DG81" s="4863">
        <f>DG80-DG82</f>
        <v>10186</v>
      </c>
      <c r="DH81" s="4865"/>
      <c r="DI81" s="4865"/>
      <c r="DJ81" s="4865"/>
      <c r="DK81" s="4865">
        <f t="shared" ref="DK81:DP81" si="230">DK80-DK82</f>
        <v>3808</v>
      </c>
      <c r="DL81" s="4863">
        <f t="shared" si="230"/>
        <v>13563</v>
      </c>
      <c r="DM81" s="4865">
        <f t="shared" si="230"/>
        <v>4507</v>
      </c>
      <c r="DN81" s="4865">
        <f t="shared" si="230"/>
        <v>4433</v>
      </c>
      <c r="DO81" s="4865">
        <f t="shared" si="230"/>
        <v>4652</v>
      </c>
      <c r="DP81" s="4865">
        <f t="shared" si="230"/>
        <v>5074</v>
      </c>
      <c r="DQ81" s="4863">
        <f t="shared" si="219"/>
        <v>18666</v>
      </c>
      <c r="DR81" s="4865">
        <f>DR80-DR82</f>
        <v>5021</v>
      </c>
      <c r="DS81" s="4865">
        <f>DS80-DS82</f>
        <v>5219</v>
      </c>
      <c r="DT81" s="4865">
        <f>DT80-DT82</f>
        <v>5634</v>
      </c>
      <c r="DU81" s="4865">
        <f>DU80-DU82</f>
        <v>6431</v>
      </c>
      <c r="DV81" s="4863">
        <f t="shared" si="220"/>
        <v>22305</v>
      </c>
      <c r="DW81" s="4865">
        <f>DW80-DW82</f>
        <v>6527</v>
      </c>
      <c r="DX81" s="4865">
        <f>DX80-DX82</f>
        <v>6866</v>
      </c>
      <c r="DY81" s="4865">
        <f>DY80-DY82</f>
        <v>7308</v>
      </c>
      <c r="DZ81" s="4865">
        <f>DZ80-DZ82</f>
        <v>7501</v>
      </c>
      <c r="EA81" s="4863">
        <f t="shared" si="221"/>
        <v>28202</v>
      </c>
      <c r="EB81" s="4865">
        <f>EB80-EB82</f>
        <v>7263</v>
      </c>
      <c r="EC81" s="4865">
        <f>EC80-EC82</f>
        <v>7636</v>
      </c>
      <c r="ED81" s="4865">
        <f>ED80-ED82</f>
        <v>8145</v>
      </c>
      <c r="EE81" s="4865">
        <f>EE80-EE82</f>
        <v>8328</v>
      </c>
      <c r="EF81" s="4863">
        <f t="shared" si="222"/>
        <v>31372</v>
      </c>
      <c r="EG81" s="4865">
        <f>EG80-EG82</f>
        <v>8674</v>
      </c>
      <c r="EH81" s="4865">
        <f>EH80-EH82</f>
        <v>9175</v>
      </c>
      <c r="EI81" s="4865">
        <f>EI80-EI82</f>
        <v>9406</v>
      </c>
      <c r="EJ81" s="4865">
        <f>EJ80-EJ82</f>
        <v>9862</v>
      </c>
      <c r="EK81" s="4863">
        <f t="shared" si="223"/>
        <v>37117</v>
      </c>
      <c r="EL81" s="4865">
        <f>EL80-EL82</f>
        <v>10083</v>
      </c>
      <c r="EM81" s="4865">
        <f>EM80-EM82</f>
        <v>10798</v>
      </c>
      <c r="EN81" s="4865">
        <f>EN80-EN82</f>
        <v>11563</v>
      </c>
      <c r="EO81" s="4865">
        <f t="shared" ref="EO81" si="231">EO80-EO82</f>
        <v>12557.095571937125</v>
      </c>
      <c r="EP81" s="4863">
        <f t="shared" si="225"/>
        <v>45001.095571937127</v>
      </c>
      <c r="EQ81" s="4865">
        <f t="shared" ref="EQ81:ET81" si="232">EQ80-EQ82</f>
        <v>13277.368095281909</v>
      </c>
      <c r="ER81" s="4865">
        <f t="shared" si="232"/>
        <v>14671.846041304043</v>
      </c>
      <c r="ES81" s="4865">
        <f t="shared" si="232"/>
        <v>16512.047571667033</v>
      </c>
      <c r="ET81" s="4865">
        <f t="shared" si="232"/>
        <v>18337.961486262226</v>
      </c>
      <c r="EU81" s="4863">
        <f t="shared" si="227"/>
        <v>62799.223194515209</v>
      </c>
      <c r="EV81" s="4863">
        <f>EV80-EV82</f>
        <v>82851.121293982011</v>
      </c>
      <c r="EW81" s="4863">
        <f>EW80-EW82</f>
        <v>100066.93870571852</v>
      </c>
      <c r="EX81" s="4863">
        <f>EX80-EX82</f>
        <v>115399.77608804636</v>
      </c>
      <c r="EY81" s="4863">
        <f>EY80-EY82</f>
        <v>129505.98647978797</v>
      </c>
      <c r="EZ81" s="170"/>
      <c r="FA81" s="1319">
        <f t="shared" si="228"/>
        <v>0.3068984449019283</v>
      </c>
      <c r="FB81" s="1319">
        <f t="shared" si="229"/>
        <v>0.25466106153087997</v>
      </c>
      <c r="FC81" s="511"/>
    </row>
    <row r="82" spans="1:159" s="4" customFormat="1" ht="11.25" customHeight="1">
      <c r="A82" s="4927" t="s">
        <v>533</v>
      </c>
      <c r="B82" s="4928"/>
      <c r="C82" s="4928"/>
      <c r="D82" s="4928"/>
      <c r="E82" s="4929"/>
      <c r="F82" s="4930"/>
      <c r="G82" s="4928"/>
      <c r="H82" s="4928"/>
      <c r="I82" s="4928"/>
      <c r="J82" s="4929"/>
      <c r="K82" s="4930"/>
      <c r="L82" s="4928"/>
      <c r="M82" s="4928"/>
      <c r="N82" s="4928"/>
      <c r="O82" s="4929"/>
      <c r="P82" s="4931"/>
      <c r="Q82" s="4085"/>
      <c r="R82" s="4928"/>
      <c r="S82" s="4928"/>
      <c r="T82" s="4929"/>
      <c r="U82" s="4930"/>
      <c r="V82" s="4932"/>
      <c r="W82" s="4928"/>
      <c r="X82" s="4928"/>
      <c r="Y82" s="4929"/>
      <c r="Z82" s="4930"/>
      <c r="AA82" s="4932"/>
      <c r="AB82" s="4928"/>
      <c r="AC82" s="4928"/>
      <c r="AD82" s="4929"/>
      <c r="AE82" s="4930"/>
      <c r="AF82" s="4932"/>
      <c r="AG82" s="4928"/>
      <c r="AH82" s="4928"/>
      <c r="AI82" s="4929"/>
      <c r="AJ82" s="4930"/>
      <c r="AK82" s="4928"/>
      <c r="AL82" s="4928"/>
      <c r="AM82" s="4928"/>
      <c r="AN82" s="4929"/>
      <c r="AO82" s="4930"/>
      <c r="AP82" s="4928"/>
      <c r="AQ82" s="4928"/>
      <c r="AR82" s="4928"/>
      <c r="AS82" s="4929"/>
      <c r="AT82" s="4930"/>
      <c r="AU82" s="4928"/>
      <c r="AV82" s="4928"/>
      <c r="AW82" s="4928"/>
      <c r="AX82" s="4929"/>
      <c r="AY82" s="4930"/>
      <c r="AZ82" s="4928"/>
      <c r="BA82" s="4928"/>
      <c r="BB82" s="4928"/>
      <c r="BC82" s="4928"/>
      <c r="BD82" s="4933"/>
      <c r="BE82" s="4934"/>
      <c r="BF82" s="4928"/>
      <c r="BG82" s="4928"/>
      <c r="BH82" s="4928"/>
      <c r="BI82" s="4933"/>
      <c r="BJ82" s="4928"/>
      <c r="BK82" s="4928"/>
      <c r="BL82" s="4928"/>
      <c r="BM82" s="4928"/>
      <c r="BN82" s="4933"/>
      <c r="BO82" s="4928"/>
      <c r="BP82" s="4928"/>
      <c r="BQ82" s="4928"/>
      <c r="BR82" s="4929"/>
      <c r="BS82" s="4930"/>
      <c r="BT82" s="4928"/>
      <c r="BU82" s="4928"/>
      <c r="BV82" s="4928"/>
      <c r="BW82" s="4928"/>
      <c r="BX82" s="4933"/>
      <c r="BY82" s="4928"/>
      <c r="BZ82" s="4928"/>
      <c r="CA82" s="4928"/>
      <c r="CB82" s="4928"/>
      <c r="CC82" s="4933"/>
      <c r="CD82" s="4928"/>
      <c r="CE82" s="4928"/>
      <c r="CF82" s="4928"/>
      <c r="CG82" s="4928"/>
      <c r="CH82" s="4933"/>
      <c r="CI82" s="4928"/>
      <c r="CJ82" s="4928"/>
      <c r="CK82" s="4928"/>
      <c r="CL82" s="4928"/>
      <c r="CM82" s="4933"/>
      <c r="CN82" s="4928"/>
      <c r="CO82" s="4928"/>
      <c r="CP82" s="4928"/>
      <c r="CQ82" s="4928"/>
      <c r="CR82" s="4933"/>
      <c r="CS82" s="4928"/>
      <c r="CT82" s="4928"/>
      <c r="CU82" s="4928"/>
      <c r="CV82" s="4928"/>
      <c r="CW82" s="4933"/>
      <c r="CX82" s="4928"/>
      <c r="CY82" s="4928"/>
      <c r="CZ82" s="4928"/>
      <c r="DA82" s="4928"/>
      <c r="DB82" s="4933"/>
      <c r="DC82" s="4928"/>
      <c r="DD82" s="4928"/>
      <c r="DE82" s="4928"/>
      <c r="DF82" s="4928"/>
      <c r="DG82" s="4935">
        <f>DG18</f>
        <v>-4348</v>
      </c>
      <c r="DH82" s="4936"/>
      <c r="DI82" s="4936"/>
      <c r="DJ82" s="4936"/>
      <c r="DK82" s="4936">
        <f t="shared" ref="DK82:DP82" si="233">DK18</f>
        <v>-1194</v>
      </c>
      <c r="DL82" s="4935">
        <f t="shared" si="233"/>
        <v>-4645</v>
      </c>
      <c r="DM82" s="4936">
        <f t="shared" si="233"/>
        <v>-1730</v>
      </c>
      <c r="DN82" s="4936">
        <f t="shared" si="233"/>
        <v>-1426</v>
      </c>
      <c r="DO82" s="4936">
        <f t="shared" si="233"/>
        <v>-1208</v>
      </c>
      <c r="DP82" s="4936">
        <f t="shared" si="233"/>
        <v>-1243</v>
      </c>
      <c r="DQ82" s="4935">
        <f t="shared" si="219"/>
        <v>-5607</v>
      </c>
      <c r="DR82" s="4936">
        <f>DR18</f>
        <v>-974</v>
      </c>
      <c r="DS82" s="4936">
        <f>DS18</f>
        <v>-591</v>
      </c>
      <c r="DT82" s="4936">
        <f>DT18</f>
        <v>-644</v>
      </c>
      <c r="DU82" s="4936">
        <f>DU18</f>
        <v>-890</v>
      </c>
      <c r="DV82" s="4935">
        <f t="shared" si="220"/>
        <v>-3099</v>
      </c>
      <c r="DW82" s="4936">
        <f>DW18</f>
        <v>-706</v>
      </c>
      <c r="DX82" s="4936">
        <f>DX18</f>
        <v>-590</v>
      </c>
      <c r="DY82" s="4936">
        <f>DY18</f>
        <v>-440</v>
      </c>
      <c r="DZ82" s="4936">
        <f>DZ18</f>
        <v>-186</v>
      </c>
      <c r="EA82" s="4935">
        <f t="shared" si="221"/>
        <v>-1922</v>
      </c>
      <c r="EB82" s="4936">
        <f>EB18</f>
        <v>191</v>
      </c>
      <c r="EC82" s="4936">
        <f>EC18</f>
        <v>395</v>
      </c>
      <c r="ED82" s="4936">
        <f>ED18</f>
        <v>266</v>
      </c>
      <c r="EE82" s="4936">
        <f>EE18</f>
        <v>864</v>
      </c>
      <c r="EF82" s="4935">
        <f t="shared" si="222"/>
        <v>1716</v>
      </c>
      <c r="EG82" s="4936">
        <f>EG18</f>
        <v>900</v>
      </c>
      <c r="EH82" s="4936">
        <f>EH18</f>
        <v>1172</v>
      </c>
      <c r="EI82" s="4936">
        <f>EI18</f>
        <v>1947</v>
      </c>
      <c r="EJ82" s="4936">
        <f>EJ18</f>
        <v>2093</v>
      </c>
      <c r="EK82" s="4935">
        <f t="shared" si="223"/>
        <v>6112</v>
      </c>
      <c r="EL82" s="4936">
        <f>EL18</f>
        <v>2177</v>
      </c>
      <c r="EM82" s="4936">
        <f>EM18</f>
        <v>2826</v>
      </c>
      <c r="EN82" s="4936">
        <f>EN18</f>
        <v>3594</v>
      </c>
      <c r="EO82" s="4936">
        <f t="shared" ref="EO82" si="234">EO80*EO110</f>
        <v>3965.3986016643553</v>
      </c>
      <c r="EP82" s="4935">
        <f t="shared" si="225"/>
        <v>12562.398601664356</v>
      </c>
      <c r="EQ82" s="4936">
        <f t="shared" ref="EQ82:ET82" si="235">EQ80*EQ110</f>
        <v>4425.7893650939695</v>
      </c>
      <c r="ER82" s="4936">
        <f t="shared" si="235"/>
        <v>4786.8357110885863</v>
      </c>
      <c r="ES82" s="4936">
        <f t="shared" si="235"/>
        <v>5185.7810376194757</v>
      </c>
      <c r="ET82" s="4936">
        <f t="shared" si="235"/>
        <v>5570.723632723727</v>
      </c>
      <c r="EU82" s="4935">
        <f t="shared" si="227"/>
        <v>19969.129746525759</v>
      </c>
      <c r="EV82" s="4935">
        <f>EV80*EV110</f>
        <v>24747.73752937125</v>
      </c>
      <c r="EW82" s="4935">
        <f>EW80*EW110</f>
        <v>34431.634823473047</v>
      </c>
      <c r="EX82" s="4935">
        <f>EX80*EX110</f>
        <v>45998.512146983514</v>
      </c>
      <c r="EY82" s="4935">
        <f>EY80*EY110</f>
        <v>60943.993637547283</v>
      </c>
      <c r="EZ82" s="170"/>
      <c r="FA82" s="1319">
        <f t="shared" si="228"/>
        <v>0.5938620075026102</v>
      </c>
      <c r="FB82" s="1319">
        <f t="shared" si="229"/>
        <v>0.49731125035417856</v>
      </c>
      <c r="FC82" s="511"/>
    </row>
    <row r="83" spans="1:159" s="4" customFormat="1" ht="11.25" customHeight="1">
      <c r="A83" s="4857" t="s">
        <v>479</v>
      </c>
      <c r="B83" s="170"/>
      <c r="C83" s="170"/>
      <c r="D83" s="170"/>
      <c r="E83" s="286"/>
      <c r="F83" s="4858"/>
      <c r="G83" s="170"/>
      <c r="H83" s="170"/>
      <c r="I83" s="170"/>
      <c r="J83" s="286"/>
      <c r="K83" s="4858"/>
      <c r="L83" s="170"/>
      <c r="M83" s="170"/>
      <c r="N83" s="170"/>
      <c r="O83" s="286"/>
      <c r="P83" s="2657"/>
      <c r="Q83" s="2608"/>
      <c r="R83" s="170"/>
      <c r="S83" s="170"/>
      <c r="T83" s="286"/>
      <c r="U83" s="4858"/>
      <c r="V83" s="4859"/>
      <c r="W83" s="170"/>
      <c r="X83" s="170"/>
      <c r="Y83" s="286"/>
      <c r="Z83" s="4858"/>
      <c r="AA83" s="4859"/>
      <c r="AB83" s="170"/>
      <c r="AC83" s="170"/>
      <c r="AD83" s="286"/>
      <c r="AE83" s="4858"/>
      <c r="AF83" s="4859"/>
      <c r="AG83" s="170"/>
      <c r="AH83" s="170"/>
      <c r="AI83" s="286"/>
      <c r="AJ83" s="4858"/>
      <c r="AK83" s="170"/>
      <c r="AL83" s="170"/>
      <c r="AM83" s="170"/>
      <c r="AN83" s="286"/>
      <c r="AO83" s="4858"/>
      <c r="AP83" s="170"/>
      <c r="AQ83" s="170"/>
      <c r="AR83" s="170"/>
      <c r="AS83" s="286"/>
      <c r="AT83" s="4858"/>
      <c r="AU83" s="170"/>
      <c r="AV83" s="170"/>
      <c r="AW83" s="170"/>
      <c r="AX83" s="286"/>
      <c r="AY83" s="4858"/>
      <c r="AZ83" s="170"/>
      <c r="BA83" s="170"/>
      <c r="BB83" s="170"/>
      <c r="BC83" s="170"/>
      <c r="BD83" s="4860"/>
      <c r="BE83" s="4866"/>
      <c r="BF83" s="170"/>
      <c r="BG83" s="170"/>
      <c r="BH83" s="170"/>
      <c r="BI83" s="4860"/>
      <c r="BJ83" s="170"/>
      <c r="BK83" s="170"/>
      <c r="BL83" s="170"/>
      <c r="BM83" s="170"/>
      <c r="BN83" s="4860"/>
      <c r="BO83" s="170"/>
      <c r="BP83" s="170"/>
      <c r="BQ83" s="170"/>
      <c r="BR83" s="286"/>
      <c r="BS83" s="4858"/>
      <c r="BT83" s="170"/>
      <c r="BU83" s="170"/>
      <c r="BV83" s="170"/>
      <c r="BW83" s="170"/>
      <c r="BX83" s="4860"/>
      <c r="BY83" s="170"/>
      <c r="BZ83" s="170"/>
      <c r="CA83" s="170"/>
      <c r="CB83" s="170"/>
      <c r="CC83" s="4860"/>
      <c r="CD83" s="170"/>
      <c r="CE83" s="170"/>
      <c r="CF83" s="170"/>
      <c r="CG83" s="170"/>
      <c r="CH83" s="4860"/>
      <c r="CI83" s="170"/>
      <c r="CJ83" s="170"/>
      <c r="CK83" s="170"/>
      <c r="CL83" s="170"/>
      <c r="CM83" s="4860"/>
      <c r="CN83" s="170"/>
      <c r="CO83" s="170"/>
      <c r="CP83" s="170"/>
      <c r="CQ83" s="170"/>
      <c r="CR83" s="4860"/>
      <c r="CS83" s="170"/>
      <c r="CT83" s="170"/>
      <c r="CU83" s="170"/>
      <c r="CV83" s="170"/>
      <c r="CW83" s="4860"/>
      <c r="CX83" s="170"/>
      <c r="CY83" s="170"/>
      <c r="CZ83" s="170"/>
      <c r="DA83" s="170"/>
      <c r="DB83" s="4860"/>
      <c r="DC83" s="170"/>
      <c r="DD83" s="170"/>
      <c r="DE83" s="170"/>
      <c r="DF83" s="170"/>
      <c r="DG83" s="4940">
        <v>0</v>
      </c>
      <c r="DH83" s="4865"/>
      <c r="DI83" s="4865"/>
      <c r="DJ83" s="4865"/>
      <c r="DK83" s="4941">
        <v>0</v>
      </c>
      <c r="DL83" s="4940">
        <v>0</v>
      </c>
      <c r="DM83" s="4941">
        <v>0</v>
      </c>
      <c r="DN83" s="4941">
        <v>0</v>
      </c>
      <c r="DO83" s="4941">
        <v>0</v>
      </c>
      <c r="DP83" s="4941">
        <v>0</v>
      </c>
      <c r="DQ83" s="4863">
        <f t="shared" si="219"/>
        <v>0</v>
      </c>
      <c r="DR83" s="4941">
        <v>0</v>
      </c>
      <c r="DS83" s="4941">
        <v>0</v>
      </c>
      <c r="DT83" s="4941">
        <v>0</v>
      </c>
      <c r="DU83" s="4941">
        <v>0</v>
      </c>
      <c r="DV83" s="4863">
        <f t="shared" si="220"/>
        <v>0</v>
      </c>
      <c r="DW83" s="4941">
        <v>0</v>
      </c>
      <c r="DX83" s="4941">
        <v>0</v>
      </c>
      <c r="DY83" s="4941">
        <v>0</v>
      </c>
      <c r="DZ83" s="4941">
        <v>0</v>
      </c>
      <c r="EA83" s="4863">
        <f t="shared" si="221"/>
        <v>0</v>
      </c>
      <c r="EB83" s="4941">
        <v>0</v>
      </c>
      <c r="EC83" s="4941">
        <v>0</v>
      </c>
      <c r="ED83" s="4941">
        <v>0</v>
      </c>
      <c r="EE83" s="4941">
        <v>0</v>
      </c>
      <c r="EF83" s="4863">
        <f t="shared" si="222"/>
        <v>0</v>
      </c>
      <c r="EG83" s="4941">
        <v>0</v>
      </c>
      <c r="EH83" s="4941">
        <v>0</v>
      </c>
      <c r="EI83" s="4941">
        <v>0</v>
      </c>
      <c r="EJ83" s="4941">
        <v>0</v>
      </c>
      <c r="EK83" s="4863">
        <f t="shared" si="223"/>
        <v>0</v>
      </c>
      <c r="EL83" s="4941">
        <v>0</v>
      </c>
      <c r="EM83" s="4941">
        <v>0</v>
      </c>
      <c r="EN83" s="4941">
        <v>0</v>
      </c>
      <c r="EO83" s="4941">
        <v>0</v>
      </c>
      <c r="EP83" s="4863">
        <f t="shared" si="225"/>
        <v>0</v>
      </c>
      <c r="EQ83" s="4941">
        <v>0</v>
      </c>
      <c r="ER83" s="4941">
        <v>0</v>
      </c>
      <c r="ES83" s="4941">
        <v>0</v>
      </c>
      <c r="ET83" s="4941">
        <v>0</v>
      </c>
      <c r="EU83" s="4863">
        <f t="shared" si="227"/>
        <v>0</v>
      </c>
      <c r="EV83" s="4940">
        <v>0</v>
      </c>
      <c r="EW83" s="4940">
        <v>0</v>
      </c>
      <c r="EX83" s="4940">
        <v>0</v>
      </c>
      <c r="EY83" s="4940">
        <v>0</v>
      </c>
      <c r="EZ83" s="170"/>
      <c r="FA83" s="1319"/>
      <c r="FB83" s="1319"/>
      <c r="FC83" s="511"/>
    </row>
    <row r="84" spans="1:159" s="4" customFormat="1" ht="11.25" customHeight="1">
      <c r="A84" s="4905" t="s">
        <v>225</v>
      </c>
      <c r="B84" s="170"/>
      <c r="C84" s="170"/>
      <c r="D84" s="170"/>
      <c r="E84" s="286"/>
      <c r="F84" s="4858"/>
      <c r="G84" s="170"/>
      <c r="H84" s="170"/>
      <c r="I84" s="170"/>
      <c r="J84" s="286"/>
      <c r="K84" s="4858"/>
      <c r="L84" s="170"/>
      <c r="M84" s="170"/>
      <c r="N84" s="170"/>
      <c r="O84" s="286"/>
      <c r="P84" s="2657"/>
      <c r="Q84" s="2608"/>
      <c r="R84" s="170"/>
      <c r="S84" s="170"/>
      <c r="T84" s="286"/>
      <c r="U84" s="4858"/>
      <c r="V84" s="4859"/>
      <c r="W84" s="170"/>
      <c r="X84" s="170"/>
      <c r="Y84" s="286"/>
      <c r="Z84" s="4858"/>
      <c r="AA84" s="4859"/>
      <c r="AB84" s="170"/>
      <c r="AC84" s="170"/>
      <c r="AD84" s="286"/>
      <c r="AE84" s="4858"/>
      <c r="AF84" s="4859"/>
      <c r="AG84" s="170"/>
      <c r="AH84" s="170"/>
      <c r="AI84" s="286"/>
      <c r="AJ84" s="4858"/>
      <c r="AK84" s="170"/>
      <c r="AL84" s="170"/>
      <c r="AM84" s="170"/>
      <c r="AN84" s="286"/>
      <c r="AO84" s="4858"/>
      <c r="AP84" s="170"/>
      <c r="AQ84" s="170"/>
      <c r="AR84" s="170"/>
      <c r="AS84" s="286"/>
      <c r="AT84" s="4858"/>
      <c r="AU84" s="170"/>
      <c r="AV84" s="170"/>
      <c r="AW84" s="170"/>
      <c r="AX84" s="286"/>
      <c r="AY84" s="4858"/>
      <c r="AZ84" s="170"/>
      <c r="BA84" s="170"/>
      <c r="BB84" s="170"/>
      <c r="BC84" s="170"/>
      <c r="BD84" s="4860"/>
      <c r="BE84" s="4866"/>
      <c r="BF84" s="170"/>
      <c r="BG84" s="170"/>
      <c r="BH84" s="170"/>
      <c r="BI84" s="4860"/>
      <c r="BJ84" s="170"/>
      <c r="BK84" s="170"/>
      <c r="BL84" s="170"/>
      <c r="BM84" s="170"/>
      <c r="BN84" s="4860"/>
      <c r="BO84" s="170"/>
      <c r="BP84" s="170"/>
      <c r="BQ84" s="170"/>
      <c r="BR84" s="286"/>
      <c r="BS84" s="4858"/>
      <c r="BT84" s="170"/>
      <c r="BU84" s="170"/>
      <c r="BV84" s="170"/>
      <c r="BW84" s="170"/>
      <c r="BX84" s="4860"/>
      <c r="BY84" s="170"/>
      <c r="BZ84" s="170"/>
      <c r="CA84" s="170"/>
      <c r="CB84" s="170"/>
      <c r="CC84" s="4860"/>
      <c r="CD84" s="170"/>
      <c r="CE84" s="170"/>
      <c r="CF84" s="170"/>
      <c r="CG84" s="170"/>
      <c r="CH84" s="4860"/>
      <c r="CI84" s="170"/>
      <c r="CJ84" s="170"/>
      <c r="CK84" s="170"/>
      <c r="CL84" s="170"/>
      <c r="CM84" s="4860"/>
      <c r="CN84" s="170"/>
      <c r="CO84" s="170"/>
      <c r="CP84" s="170"/>
      <c r="CQ84" s="170"/>
      <c r="CR84" s="4860"/>
      <c r="CS84" s="170"/>
      <c r="CT84" s="170"/>
      <c r="CU84" s="170"/>
      <c r="CV84" s="170"/>
      <c r="CW84" s="4860"/>
      <c r="CX84" s="170"/>
      <c r="CY84" s="170"/>
      <c r="CZ84" s="170"/>
      <c r="DA84" s="170"/>
      <c r="DB84" s="4860"/>
      <c r="DC84" s="170"/>
      <c r="DD84" s="170"/>
      <c r="DE84" s="170"/>
      <c r="DF84" s="170"/>
      <c r="DG84" s="4863">
        <f>DG82+DG83</f>
        <v>-4348</v>
      </c>
      <c r="DH84" s="4865"/>
      <c r="DI84" s="4865"/>
      <c r="DJ84" s="4865"/>
      <c r="DK84" s="4865">
        <f t="shared" ref="DK84:DP84" si="236">DK82+DK83</f>
        <v>-1194</v>
      </c>
      <c r="DL84" s="4863">
        <f t="shared" si="236"/>
        <v>-4645</v>
      </c>
      <c r="DM84" s="4865">
        <f t="shared" si="236"/>
        <v>-1730</v>
      </c>
      <c r="DN84" s="4865">
        <f t="shared" si="236"/>
        <v>-1426</v>
      </c>
      <c r="DO84" s="4865">
        <f t="shared" si="236"/>
        <v>-1208</v>
      </c>
      <c r="DP84" s="4865">
        <f t="shared" si="236"/>
        <v>-1243</v>
      </c>
      <c r="DQ84" s="4863">
        <f t="shared" si="219"/>
        <v>-5607</v>
      </c>
      <c r="DR84" s="4865">
        <f>DR82+DR83</f>
        <v>-974</v>
      </c>
      <c r="DS84" s="4865">
        <f>DS82+DS83</f>
        <v>-591</v>
      </c>
      <c r="DT84" s="4865">
        <f>DT82+DT83</f>
        <v>-644</v>
      </c>
      <c r="DU84" s="4865">
        <f>DU82+DU83</f>
        <v>-890</v>
      </c>
      <c r="DV84" s="4863">
        <f t="shared" si="220"/>
        <v>-3099</v>
      </c>
      <c r="DW84" s="4865">
        <f>DW82+DW83</f>
        <v>-706</v>
      </c>
      <c r="DX84" s="4865">
        <f>DX82+DX83</f>
        <v>-590</v>
      </c>
      <c r="DY84" s="4865">
        <f>DY82+DY83</f>
        <v>-440</v>
      </c>
      <c r="DZ84" s="4865">
        <f>DZ82+DZ83</f>
        <v>-186</v>
      </c>
      <c r="EA84" s="4863">
        <f t="shared" si="221"/>
        <v>-1922</v>
      </c>
      <c r="EB84" s="4865">
        <f>EB82+EB83</f>
        <v>191</v>
      </c>
      <c r="EC84" s="4865">
        <f>EC82+EC83</f>
        <v>395</v>
      </c>
      <c r="ED84" s="4865">
        <f>ED82+ED83</f>
        <v>266</v>
      </c>
      <c r="EE84" s="4865">
        <f>EE82+EE83</f>
        <v>864</v>
      </c>
      <c r="EF84" s="4863">
        <f t="shared" si="222"/>
        <v>1716</v>
      </c>
      <c r="EG84" s="4865">
        <f>EG82+EG83</f>
        <v>900</v>
      </c>
      <c r="EH84" s="4865">
        <f>EH82+EH83</f>
        <v>1172</v>
      </c>
      <c r="EI84" s="4865">
        <f>EI82+EI83</f>
        <v>1947</v>
      </c>
      <c r="EJ84" s="4865">
        <f>EJ82+EJ83</f>
        <v>2093</v>
      </c>
      <c r="EK84" s="4863">
        <f t="shared" si="223"/>
        <v>6112</v>
      </c>
      <c r="EL84" s="4865">
        <f>EL82+EL83</f>
        <v>2177</v>
      </c>
      <c r="EM84" s="4865">
        <f>EM82+EM83</f>
        <v>2826</v>
      </c>
      <c r="EN84" s="4865">
        <f>EN82+EN83</f>
        <v>3594</v>
      </c>
      <c r="EO84" s="4865">
        <f t="shared" ref="EO84" si="237">EO82+EO83</f>
        <v>3965.3986016643553</v>
      </c>
      <c r="EP84" s="4863">
        <f t="shared" si="225"/>
        <v>12562.398601664356</v>
      </c>
      <c r="EQ84" s="4865">
        <f t="shared" ref="EQ84:ET84" si="238">EQ82+EQ83</f>
        <v>4425.7893650939695</v>
      </c>
      <c r="ER84" s="4865">
        <f t="shared" si="238"/>
        <v>4786.8357110885863</v>
      </c>
      <c r="ES84" s="4865">
        <f t="shared" si="238"/>
        <v>5185.7810376194757</v>
      </c>
      <c r="ET84" s="4865">
        <f t="shared" si="238"/>
        <v>5570.723632723727</v>
      </c>
      <c r="EU84" s="4863">
        <f t="shared" si="227"/>
        <v>19969.129746525759</v>
      </c>
      <c r="EV84" s="4863">
        <f>EV82+EV83</f>
        <v>24747.73752937125</v>
      </c>
      <c r="EW84" s="4863">
        <f>EW82+EW83</f>
        <v>34431.634823473047</v>
      </c>
      <c r="EX84" s="4863">
        <f>EX82+EX83</f>
        <v>45998.512146983514</v>
      </c>
      <c r="EY84" s="4863">
        <f>EY82+EY83</f>
        <v>60943.993637547283</v>
      </c>
      <c r="EZ84" s="170"/>
      <c r="FA84" s="1319"/>
      <c r="FB84" s="1319"/>
      <c r="FC84" s="511"/>
    </row>
    <row r="85" spans="1:159" s="4" customFormat="1" ht="11.25" customHeight="1">
      <c r="A85" s="4857" t="s">
        <v>950</v>
      </c>
      <c r="B85" s="170"/>
      <c r="C85" s="170"/>
      <c r="D85" s="170"/>
      <c r="E85" s="286"/>
      <c r="F85" s="4858"/>
      <c r="G85" s="170"/>
      <c r="H85" s="170"/>
      <c r="I85" s="170"/>
      <c r="J85" s="286"/>
      <c r="K85" s="4858"/>
      <c r="L85" s="170"/>
      <c r="M85" s="170"/>
      <c r="N85" s="170"/>
      <c r="O85" s="286"/>
      <c r="P85" s="2657"/>
      <c r="Q85" s="2608"/>
      <c r="R85" s="170"/>
      <c r="S85" s="170"/>
      <c r="T85" s="286"/>
      <c r="U85" s="4858"/>
      <c r="V85" s="4859"/>
      <c r="W85" s="170"/>
      <c r="X85" s="170"/>
      <c r="Y85" s="286"/>
      <c r="Z85" s="4858"/>
      <c r="AA85" s="4859"/>
      <c r="AB85" s="170"/>
      <c r="AC85" s="170"/>
      <c r="AD85" s="286"/>
      <c r="AE85" s="4858"/>
      <c r="AF85" s="4859"/>
      <c r="AG85" s="170"/>
      <c r="AH85" s="170"/>
      <c r="AI85" s="286"/>
      <c r="AJ85" s="4858"/>
      <c r="AK85" s="170"/>
      <c r="AL85" s="170"/>
      <c r="AM85" s="170"/>
      <c r="AN85" s="286"/>
      <c r="AO85" s="4858"/>
      <c r="AP85" s="170"/>
      <c r="AQ85" s="170"/>
      <c r="AR85" s="170"/>
      <c r="AS85" s="286"/>
      <c r="AT85" s="4858"/>
      <c r="AU85" s="170"/>
      <c r="AV85" s="170"/>
      <c r="AW85" s="170"/>
      <c r="AX85" s="286"/>
      <c r="AY85" s="4858"/>
      <c r="AZ85" s="170"/>
      <c r="BA85" s="170"/>
      <c r="BB85" s="170"/>
      <c r="BC85" s="170"/>
      <c r="BD85" s="4860"/>
      <c r="BE85" s="4866"/>
      <c r="BF85" s="170"/>
      <c r="BG85" s="170"/>
      <c r="BH85" s="170"/>
      <c r="BI85" s="4860"/>
      <c r="BJ85" s="170"/>
      <c r="BK85" s="170"/>
      <c r="BL85" s="170"/>
      <c r="BM85" s="170"/>
      <c r="BN85" s="4860"/>
      <c r="BO85" s="170"/>
      <c r="BP85" s="170"/>
      <c r="BQ85" s="170"/>
      <c r="BR85" s="286"/>
      <c r="BS85" s="4858"/>
      <c r="BT85" s="170"/>
      <c r="BU85" s="170"/>
      <c r="BV85" s="170"/>
      <c r="BW85" s="170"/>
      <c r="BX85" s="4860"/>
      <c r="BY85" s="170"/>
      <c r="BZ85" s="170"/>
      <c r="CA85" s="170"/>
      <c r="CB85" s="170"/>
      <c r="CC85" s="4860"/>
      <c r="CD85" s="170"/>
      <c r="CE85" s="170"/>
      <c r="CF85" s="170"/>
      <c r="CG85" s="170"/>
      <c r="CH85" s="4860"/>
      <c r="CI85" s="170"/>
      <c r="CJ85" s="170"/>
      <c r="CK85" s="170"/>
      <c r="CL85" s="170"/>
      <c r="CM85" s="4860"/>
      <c r="CN85" s="170"/>
      <c r="CO85" s="170"/>
      <c r="CP85" s="170"/>
      <c r="CQ85" s="170"/>
      <c r="CR85" s="4860"/>
      <c r="CS85" s="170"/>
      <c r="CT85" s="170"/>
      <c r="CU85" s="170"/>
      <c r="CV85" s="170"/>
      <c r="CW85" s="4860"/>
      <c r="CX85" s="170"/>
      <c r="CY85" s="170"/>
      <c r="CZ85" s="170"/>
      <c r="DA85" s="170"/>
      <c r="DB85" s="4860"/>
      <c r="DC85" s="170"/>
      <c r="DD85" s="170"/>
      <c r="DE85" s="170"/>
      <c r="DF85" s="170"/>
      <c r="DG85" s="4940">
        <v>0</v>
      </c>
      <c r="DH85" s="4865"/>
      <c r="DI85" s="4865"/>
      <c r="DJ85" s="4865"/>
      <c r="DK85" s="4941">
        <v>0</v>
      </c>
      <c r="DL85" s="4940">
        <v>0</v>
      </c>
      <c r="DM85" s="4941">
        <v>0</v>
      </c>
      <c r="DN85" s="4941">
        <v>0</v>
      </c>
      <c r="DO85" s="4941">
        <v>0</v>
      </c>
      <c r="DP85" s="4941">
        <v>0</v>
      </c>
      <c r="DQ85" s="4863">
        <f t="shared" si="219"/>
        <v>0</v>
      </c>
      <c r="DR85" s="4941">
        <v>0</v>
      </c>
      <c r="DS85" s="4941">
        <v>0</v>
      </c>
      <c r="DT85" s="4941">
        <v>0</v>
      </c>
      <c r="DU85" s="4941">
        <v>0</v>
      </c>
      <c r="DV85" s="4863">
        <f t="shared" si="220"/>
        <v>0</v>
      </c>
      <c r="DW85" s="4941">
        <v>0</v>
      </c>
      <c r="DX85" s="4941">
        <v>0</v>
      </c>
      <c r="DY85" s="4941">
        <v>0</v>
      </c>
      <c r="DZ85" s="4941">
        <v>0</v>
      </c>
      <c r="EA85" s="4863">
        <f t="shared" si="221"/>
        <v>0</v>
      </c>
      <c r="EB85" s="4941">
        <v>0</v>
      </c>
      <c r="EC85" s="4941">
        <v>0</v>
      </c>
      <c r="ED85" s="4941">
        <v>0</v>
      </c>
      <c r="EE85" s="4941">
        <v>0</v>
      </c>
      <c r="EF85" s="4863">
        <f t="shared" si="222"/>
        <v>0</v>
      </c>
      <c r="EG85" s="4941">
        <v>0</v>
      </c>
      <c r="EH85" s="4941">
        <v>0</v>
      </c>
      <c r="EI85" s="4941">
        <v>0</v>
      </c>
      <c r="EJ85" s="4941">
        <v>0</v>
      </c>
      <c r="EK85" s="4863">
        <f t="shared" si="223"/>
        <v>0</v>
      </c>
      <c r="EL85" s="4941">
        <v>0</v>
      </c>
      <c r="EM85" s="4941">
        <v>0</v>
      </c>
      <c r="EN85" s="4941">
        <v>0</v>
      </c>
      <c r="EO85" s="4941">
        <v>0</v>
      </c>
      <c r="EP85" s="4863">
        <f t="shared" si="225"/>
        <v>0</v>
      </c>
      <c r="EQ85" s="4941">
        <v>0</v>
      </c>
      <c r="ER85" s="4941">
        <v>0</v>
      </c>
      <c r="ES85" s="4941">
        <v>0</v>
      </c>
      <c r="ET85" s="4941">
        <v>0</v>
      </c>
      <c r="EU85" s="4863">
        <f t="shared" si="227"/>
        <v>0</v>
      </c>
      <c r="EV85" s="4940">
        <v>0</v>
      </c>
      <c r="EW85" s="4940">
        <v>0</v>
      </c>
      <c r="EX85" s="4940">
        <v>0</v>
      </c>
      <c r="EY85" s="4940">
        <v>0</v>
      </c>
      <c r="EZ85" s="170"/>
      <c r="FA85" s="1319"/>
      <c r="FB85" s="1319"/>
      <c r="FC85" s="511"/>
    </row>
    <row r="86" spans="1:159" s="4" customFormat="1" ht="11.25" customHeight="1">
      <c r="A86" s="4927" t="s">
        <v>372</v>
      </c>
      <c r="B86" s="4928"/>
      <c r="C86" s="4928"/>
      <c r="D86" s="4928"/>
      <c r="E86" s="4929"/>
      <c r="F86" s="4930"/>
      <c r="G86" s="4928"/>
      <c r="H86" s="4928"/>
      <c r="I86" s="4928"/>
      <c r="J86" s="4929"/>
      <c r="K86" s="4930"/>
      <c r="L86" s="4928"/>
      <c r="M86" s="4928"/>
      <c r="N86" s="4928"/>
      <c r="O86" s="4929"/>
      <c r="P86" s="4931"/>
      <c r="Q86" s="4085"/>
      <c r="R86" s="4928"/>
      <c r="S86" s="4928"/>
      <c r="T86" s="4929"/>
      <c r="U86" s="4930"/>
      <c r="V86" s="4932"/>
      <c r="W86" s="4928"/>
      <c r="X86" s="4928"/>
      <c r="Y86" s="4929"/>
      <c r="Z86" s="4930"/>
      <c r="AA86" s="4932"/>
      <c r="AB86" s="4928"/>
      <c r="AC86" s="4928"/>
      <c r="AD86" s="4929"/>
      <c r="AE86" s="4930"/>
      <c r="AF86" s="4932"/>
      <c r="AG86" s="4928"/>
      <c r="AH86" s="4928"/>
      <c r="AI86" s="4929"/>
      <c r="AJ86" s="4930"/>
      <c r="AK86" s="4928"/>
      <c r="AL86" s="4928"/>
      <c r="AM86" s="4928"/>
      <c r="AN86" s="4929"/>
      <c r="AO86" s="4930"/>
      <c r="AP86" s="4928"/>
      <c r="AQ86" s="4928"/>
      <c r="AR86" s="4928"/>
      <c r="AS86" s="4929"/>
      <c r="AT86" s="4930"/>
      <c r="AU86" s="4928"/>
      <c r="AV86" s="4928"/>
      <c r="AW86" s="4928"/>
      <c r="AX86" s="4929"/>
      <c r="AY86" s="4930"/>
      <c r="AZ86" s="4928"/>
      <c r="BA86" s="4928"/>
      <c r="BB86" s="4928"/>
      <c r="BC86" s="4928"/>
      <c r="BD86" s="4933"/>
      <c r="BE86" s="4934"/>
      <c r="BF86" s="4928"/>
      <c r="BG86" s="4928"/>
      <c r="BH86" s="4928"/>
      <c r="BI86" s="4933"/>
      <c r="BJ86" s="4928"/>
      <c r="BK86" s="4928"/>
      <c r="BL86" s="4928"/>
      <c r="BM86" s="4928"/>
      <c r="BN86" s="4933"/>
      <c r="BO86" s="4928"/>
      <c r="BP86" s="4928"/>
      <c r="BQ86" s="4928"/>
      <c r="BR86" s="4929"/>
      <c r="BS86" s="4930"/>
      <c r="BT86" s="4928"/>
      <c r="BU86" s="4928"/>
      <c r="BV86" s="4928"/>
      <c r="BW86" s="4928"/>
      <c r="BX86" s="4933"/>
      <c r="BY86" s="4928"/>
      <c r="BZ86" s="4928"/>
      <c r="CA86" s="4928"/>
      <c r="CB86" s="4928"/>
      <c r="CC86" s="4933"/>
      <c r="CD86" s="4928"/>
      <c r="CE86" s="4928"/>
      <c r="CF86" s="4928"/>
      <c r="CG86" s="4928"/>
      <c r="CH86" s="4933"/>
      <c r="CI86" s="4928"/>
      <c r="CJ86" s="4928"/>
      <c r="CK86" s="4928"/>
      <c r="CL86" s="4928"/>
      <c r="CM86" s="4933"/>
      <c r="CN86" s="4928"/>
      <c r="CO86" s="4928"/>
      <c r="CP86" s="4928"/>
      <c r="CQ86" s="4928"/>
      <c r="CR86" s="4933"/>
      <c r="CS86" s="4928"/>
      <c r="CT86" s="4928"/>
      <c r="CU86" s="4928"/>
      <c r="CV86" s="4928"/>
      <c r="CW86" s="4933"/>
      <c r="CX86" s="4928"/>
      <c r="CY86" s="4928"/>
      <c r="CZ86" s="4928"/>
      <c r="DA86" s="4928"/>
      <c r="DB86" s="4933"/>
      <c r="DC86" s="4928"/>
      <c r="DD86" s="4928"/>
      <c r="DE86" s="4928"/>
      <c r="DF86" s="4928"/>
      <c r="DG86" s="4935">
        <f>DG84-DG85</f>
        <v>-4348</v>
      </c>
      <c r="DH86" s="4936"/>
      <c r="DI86" s="4936"/>
      <c r="DJ86" s="4936"/>
      <c r="DK86" s="4936">
        <f t="shared" ref="DK86:DP86" si="239">DK84-DK85</f>
        <v>-1194</v>
      </c>
      <c r="DL86" s="4935">
        <f t="shared" si="239"/>
        <v>-4645</v>
      </c>
      <c r="DM86" s="4936">
        <f t="shared" si="239"/>
        <v>-1730</v>
      </c>
      <c r="DN86" s="4936">
        <f t="shared" si="239"/>
        <v>-1426</v>
      </c>
      <c r="DO86" s="4936">
        <f t="shared" si="239"/>
        <v>-1208</v>
      </c>
      <c r="DP86" s="4936">
        <f t="shared" si="239"/>
        <v>-1243</v>
      </c>
      <c r="DQ86" s="4935">
        <f t="shared" si="219"/>
        <v>-5607</v>
      </c>
      <c r="DR86" s="4936">
        <f>DR84-DR85</f>
        <v>-974</v>
      </c>
      <c r="DS86" s="4936">
        <f>DS84-DS85</f>
        <v>-591</v>
      </c>
      <c r="DT86" s="4936">
        <f>DT84-DT85</f>
        <v>-644</v>
      </c>
      <c r="DU86" s="4936">
        <f>DU84-DU85</f>
        <v>-890</v>
      </c>
      <c r="DV86" s="4935">
        <f t="shared" si="220"/>
        <v>-3099</v>
      </c>
      <c r="DW86" s="4936">
        <f>DW84-DW85</f>
        <v>-706</v>
      </c>
      <c r="DX86" s="4936">
        <f>DX84-DX85</f>
        <v>-590</v>
      </c>
      <c r="DY86" s="4936">
        <f>DY84-DY85</f>
        <v>-440</v>
      </c>
      <c r="DZ86" s="4936">
        <f>DZ84-DZ85</f>
        <v>-186</v>
      </c>
      <c r="EA86" s="4935">
        <f t="shared" si="221"/>
        <v>-1922</v>
      </c>
      <c r="EB86" s="4936">
        <f>EB84-EB85</f>
        <v>191</v>
      </c>
      <c r="EC86" s="4936">
        <f>EC84-EC85</f>
        <v>395</v>
      </c>
      <c r="ED86" s="4936">
        <f>ED84-ED85</f>
        <v>266</v>
      </c>
      <c r="EE86" s="4936">
        <f>EE84-EE85</f>
        <v>864</v>
      </c>
      <c r="EF86" s="4935">
        <f t="shared" si="222"/>
        <v>1716</v>
      </c>
      <c r="EG86" s="4936">
        <f>EG84-EG85</f>
        <v>900</v>
      </c>
      <c r="EH86" s="4936">
        <f>EH84-EH85</f>
        <v>1172</v>
      </c>
      <c r="EI86" s="4936">
        <f>EI84-EI85</f>
        <v>1947</v>
      </c>
      <c r="EJ86" s="4936">
        <f>EJ84-EJ85</f>
        <v>2093</v>
      </c>
      <c r="EK86" s="4935">
        <f t="shared" si="223"/>
        <v>6112</v>
      </c>
      <c r="EL86" s="4936">
        <f>EL84-EL85</f>
        <v>2177</v>
      </c>
      <c r="EM86" s="4936">
        <f>EM84-EM85</f>
        <v>2826</v>
      </c>
      <c r="EN86" s="4936">
        <f>EN84-EN85</f>
        <v>3594</v>
      </c>
      <c r="EO86" s="4936">
        <f t="shared" ref="EO86" si="240">EO84-EO85</f>
        <v>3965.3986016643553</v>
      </c>
      <c r="EP86" s="4935">
        <f t="shared" si="225"/>
        <v>12562.398601664356</v>
      </c>
      <c r="EQ86" s="4936">
        <f t="shared" ref="EQ86:ET86" si="241">EQ84-EQ85</f>
        <v>4425.7893650939695</v>
      </c>
      <c r="ER86" s="4936">
        <f t="shared" si="241"/>
        <v>4786.8357110885863</v>
      </c>
      <c r="ES86" s="4936">
        <f t="shared" si="241"/>
        <v>5185.7810376194757</v>
      </c>
      <c r="ET86" s="4936">
        <f t="shared" si="241"/>
        <v>5570.723632723727</v>
      </c>
      <c r="EU86" s="4935">
        <f t="shared" si="227"/>
        <v>19969.129746525759</v>
      </c>
      <c r="EV86" s="4935">
        <f>EV84-EV85</f>
        <v>24747.73752937125</v>
      </c>
      <c r="EW86" s="4935">
        <f>EW84-EW85</f>
        <v>34431.634823473047</v>
      </c>
      <c r="EX86" s="4935">
        <f>EX84-EX85</f>
        <v>45998.512146983514</v>
      </c>
      <c r="EY86" s="4935">
        <f>EY84-EY85</f>
        <v>60943.993637547283</v>
      </c>
      <c r="EZ86" s="170"/>
      <c r="FA86" s="1319"/>
      <c r="FB86" s="1319"/>
      <c r="FC86" s="511"/>
    </row>
    <row r="87" spans="1:159" s="4" customFormat="1" ht="11.25" customHeight="1">
      <c r="A87" s="4927" t="s">
        <v>121</v>
      </c>
      <c r="B87" s="4928"/>
      <c r="C87" s="4928"/>
      <c r="D87" s="4928"/>
      <c r="E87" s="4929"/>
      <c r="F87" s="4930"/>
      <c r="G87" s="4928"/>
      <c r="H87" s="4928"/>
      <c r="I87" s="4928"/>
      <c r="J87" s="4929"/>
      <c r="K87" s="4930"/>
      <c r="L87" s="4928"/>
      <c r="M87" s="4928"/>
      <c r="N87" s="4928"/>
      <c r="O87" s="4929"/>
      <c r="P87" s="4931"/>
      <c r="Q87" s="4085"/>
      <c r="R87" s="4928"/>
      <c r="S87" s="4928"/>
      <c r="T87" s="4929"/>
      <c r="U87" s="4930"/>
      <c r="V87" s="4932"/>
      <c r="W87" s="4928"/>
      <c r="X87" s="4928"/>
      <c r="Y87" s="4929"/>
      <c r="Z87" s="4930"/>
      <c r="AA87" s="4932"/>
      <c r="AB87" s="4928"/>
      <c r="AC87" s="4928"/>
      <c r="AD87" s="4929"/>
      <c r="AE87" s="4930"/>
      <c r="AF87" s="4932"/>
      <c r="AG87" s="4928"/>
      <c r="AH87" s="4928"/>
      <c r="AI87" s="4929"/>
      <c r="AJ87" s="4930"/>
      <c r="AK87" s="4928"/>
      <c r="AL87" s="4928"/>
      <c r="AM87" s="4928"/>
      <c r="AN87" s="4929"/>
      <c r="AO87" s="4930"/>
      <c r="AP87" s="4928"/>
      <c r="AQ87" s="4928"/>
      <c r="AR87" s="4928"/>
      <c r="AS87" s="4929"/>
      <c r="AT87" s="4930"/>
      <c r="AU87" s="4928"/>
      <c r="AV87" s="4928"/>
      <c r="AW87" s="4928"/>
      <c r="AX87" s="4929"/>
      <c r="AY87" s="4930"/>
      <c r="AZ87" s="4928"/>
      <c r="BA87" s="4928"/>
      <c r="BB87" s="4928"/>
      <c r="BC87" s="4928"/>
      <c r="BD87" s="4933"/>
      <c r="BE87" s="4934"/>
      <c r="BF87" s="4928"/>
      <c r="BG87" s="4928"/>
      <c r="BH87" s="4928"/>
      <c r="BI87" s="4933"/>
      <c r="BJ87" s="4928"/>
      <c r="BK87" s="4928"/>
      <c r="BL87" s="4928"/>
      <c r="BM87" s="4928"/>
      <c r="BN87" s="4933"/>
      <c r="BO87" s="4928"/>
      <c r="BP87" s="4928"/>
      <c r="BQ87" s="4928"/>
      <c r="BR87" s="4929"/>
      <c r="BS87" s="4930"/>
      <c r="BT87" s="4928"/>
      <c r="BU87" s="4928"/>
      <c r="BV87" s="4928"/>
      <c r="BW87" s="4928"/>
      <c r="BX87" s="4933"/>
      <c r="BY87" s="4928"/>
      <c r="BZ87" s="4928"/>
      <c r="CA87" s="4928"/>
      <c r="CB87" s="4928"/>
      <c r="CC87" s="4933"/>
      <c r="CD87" s="4928"/>
      <c r="CE87" s="4928"/>
      <c r="CF87" s="4928"/>
      <c r="CG87" s="4928"/>
      <c r="CH87" s="4933"/>
      <c r="CI87" s="4928"/>
      <c r="CJ87" s="4928"/>
      <c r="CK87" s="4928"/>
      <c r="CL87" s="4928"/>
      <c r="CM87" s="4933"/>
      <c r="CN87" s="4928"/>
      <c r="CO87" s="4928"/>
      <c r="CP87" s="4928"/>
      <c r="CQ87" s="4928"/>
      <c r="CR87" s="4937"/>
      <c r="CS87" s="4938"/>
      <c r="CT87" s="4938"/>
      <c r="CU87" s="4938"/>
      <c r="CV87" s="4938"/>
      <c r="CW87" s="4937"/>
      <c r="CX87" s="4938"/>
      <c r="CY87" s="4938"/>
      <c r="CZ87" s="4938"/>
      <c r="DA87" s="4938"/>
      <c r="DB87" s="4937"/>
      <c r="DC87" s="4938"/>
      <c r="DD87" s="4938"/>
      <c r="DE87" s="4938"/>
      <c r="DF87" s="4938"/>
      <c r="DG87" s="4937">
        <f>DG86/DG$177</f>
        <v>-0.309120878847437</v>
      </c>
      <c r="DH87" s="4938"/>
      <c r="DI87" s="4938"/>
      <c r="DJ87" s="4938"/>
      <c r="DK87" s="4938">
        <f t="shared" ref="DK87:EF87" si="242">DK86/DK$177</f>
        <v>-8.5875309625802296E-2</v>
      </c>
      <c r="DL87" s="4937">
        <f t="shared" si="242"/>
        <v>-0.33247131763858762</v>
      </c>
      <c r="DM87" s="4938">
        <f t="shared" si="242"/>
        <v>-0.12495178883292141</v>
      </c>
      <c r="DN87" s="4938">
        <f t="shared" si="242"/>
        <v>-0.10378094506159902</v>
      </c>
      <c r="DO87" s="4938">
        <f t="shared" si="242"/>
        <v>-8.8065775219398956E-2</v>
      </c>
      <c r="DP87" s="4938">
        <f t="shared" si="242"/>
        <v>-9.0999737909041256E-2</v>
      </c>
      <c r="DQ87" s="4937">
        <f t="shared" si="242"/>
        <v>-0.408062119761538</v>
      </c>
      <c r="DR87" s="4938">
        <f t="shared" si="242"/>
        <v>-7.1400191475667493E-2</v>
      </c>
      <c r="DS87" s="4938">
        <f t="shared" si="242"/>
        <v>-4.3480691924215588E-2</v>
      </c>
      <c r="DT87" s="4938">
        <f t="shared" si="242"/>
        <v>-4.7596593739421947E-2</v>
      </c>
      <c r="DU87" s="4938">
        <f t="shared" si="242"/>
        <v>-6.6171692493453463E-2</v>
      </c>
      <c r="DV87" s="4937">
        <f t="shared" si="242"/>
        <v>-0.22864984810168612</v>
      </c>
      <c r="DW87" s="4938">
        <f t="shared" si="242"/>
        <v>-5.2879854872511609E-2</v>
      </c>
      <c r="DX87" s="4938">
        <f t="shared" si="242"/>
        <v>-4.4565299493919477E-2</v>
      </c>
      <c r="DY87" s="4938">
        <f t="shared" si="242"/>
        <v>-3.3595479880888755E-2</v>
      </c>
      <c r="DZ87" s="4938">
        <f t="shared" si="242"/>
        <v>-1.4366262454622693E-2</v>
      </c>
      <c r="EA87" s="4937">
        <f t="shared" si="242"/>
        <v>-0.14606522549484155</v>
      </c>
      <c r="EB87" s="4938">
        <f>EB86/EB$177</f>
        <v>1.4895110348592373E-2</v>
      </c>
      <c r="EC87" s="4938">
        <f>EC86/EC$177</f>
        <v>3.0946411783140081E-2</v>
      </c>
      <c r="ED87" s="4938">
        <f>ED86/ED$177</f>
        <v>2.0951480781348456E-2</v>
      </c>
      <c r="EE87" s="4938">
        <f t="shared" ref="EE87" si="243">EE86/EE$177</f>
        <v>6.8560545945088078E-2</v>
      </c>
      <c r="EF87" s="4937">
        <f t="shared" si="242"/>
        <v>0.13489240444138745</v>
      </c>
      <c r="EG87" s="4938">
        <f>EG86/EG$177</f>
        <v>7.1844815199169798E-2</v>
      </c>
      <c r="EH87" s="4938">
        <f>EH86/EH$177</f>
        <v>9.3797519007603039E-2</v>
      </c>
      <c r="EI87" s="4938">
        <f>EI86/EI$177</f>
        <v>0.15677590788308238</v>
      </c>
      <c r="EJ87" s="4938">
        <f t="shared" ref="EJ87" si="244">EJ86/EJ$177</f>
        <v>0.16950113378684808</v>
      </c>
      <c r="EK87" s="4937">
        <f>EK86/EK$177</f>
        <v>0.49103215569704151</v>
      </c>
      <c r="EL87" s="4938">
        <f>EL86/EL$177</f>
        <v>0.17712147099503703</v>
      </c>
      <c r="EM87" s="4938">
        <f>EM86/EM$177</f>
        <v>0.23167732415150025</v>
      </c>
      <c r="EN87" s="4938">
        <f>EN86/EN$177</f>
        <v>0.29451774153896582</v>
      </c>
      <c r="EO87" s="4938">
        <f t="shared" ref="EO87" si="245">EO86/EO$177</f>
        <v>0.32480694031855528</v>
      </c>
      <c r="EP87" s="4937">
        <f>EP86/EP$177</f>
        <v>1.0275890088763158</v>
      </c>
      <c r="EQ87" s="4938">
        <f t="shared" ref="EQ87:ET87" si="246">EQ86/EQ$177</f>
        <v>0.36245333752393782</v>
      </c>
      <c r="ER87" s="4938">
        <f t="shared" si="246"/>
        <v>0.39195165352203204</v>
      </c>
      <c r="ES87" s="4938">
        <f t="shared" si="246"/>
        <v>0.4245418173017107</v>
      </c>
      <c r="ET87" s="4938">
        <f t="shared" si="246"/>
        <v>0.45597384987496886</v>
      </c>
      <c r="EU87" s="4937">
        <f>EU86/EU$177</f>
        <v>1.6349486647053837</v>
      </c>
      <c r="EV87" s="4937">
        <f ca="1">EV86/EV$177</f>
        <v>2.0424208249513627</v>
      </c>
      <c r="EW87" s="4937">
        <f ca="1">EW86/EW$177</f>
        <v>2.8667757929639546</v>
      </c>
      <c r="EX87" s="4937">
        <f ca="1">EX86/EX$177</f>
        <v>3.868230175767279</v>
      </c>
      <c r="EY87" s="4937">
        <f ca="1">EY86/EY$177</f>
        <v>5.182455095526965</v>
      </c>
      <c r="EZ87" s="170"/>
      <c r="FA87" s="1319">
        <f ca="1">IF(AND(EV87&gt;0,EK87&gt;0),(EV87/EK87)^(1/3)-1,"NA")</f>
        <v>0.60821866751780429</v>
      </c>
      <c r="FB87" s="1319">
        <f ca="1">IF(AND(EX87&gt;0,EK87&gt;0),(EX87/EK87)^(1/5)-1,"NA")</f>
        <v>0.51105570560639713</v>
      </c>
      <c r="FC87" s="511"/>
    </row>
    <row r="88" spans="1:159" s="4" customFormat="1" ht="11.25" hidden="1" customHeight="1" outlineLevel="1">
      <c r="A88" s="4905"/>
      <c r="B88" s="170"/>
      <c r="C88" s="170"/>
      <c r="D88" s="170"/>
      <c r="E88" s="286"/>
      <c r="F88" s="4858"/>
      <c r="G88" s="170"/>
      <c r="H88" s="170"/>
      <c r="I88" s="170"/>
      <c r="J88" s="286"/>
      <c r="K88" s="4858"/>
      <c r="L88" s="170"/>
      <c r="M88" s="170"/>
      <c r="N88" s="170"/>
      <c r="O88" s="286"/>
      <c r="P88" s="2657"/>
      <c r="Q88" s="2608"/>
      <c r="R88" s="170"/>
      <c r="S88" s="170"/>
      <c r="T88" s="286"/>
      <c r="U88" s="4858"/>
      <c r="V88" s="4859"/>
      <c r="W88" s="170"/>
      <c r="X88" s="170"/>
      <c r="Y88" s="286"/>
      <c r="Z88" s="4858"/>
      <c r="AA88" s="4859"/>
      <c r="AB88" s="170"/>
      <c r="AC88" s="170"/>
      <c r="AD88" s="286"/>
      <c r="AE88" s="4858"/>
      <c r="AF88" s="4859"/>
      <c r="AG88" s="170"/>
      <c r="AH88" s="170"/>
      <c r="AI88" s="286"/>
      <c r="AJ88" s="4858"/>
      <c r="AK88" s="170"/>
      <c r="AL88" s="170"/>
      <c r="AM88" s="170"/>
      <c r="AN88" s="286"/>
      <c r="AO88" s="4858"/>
      <c r="AP88" s="170"/>
      <c r="AQ88" s="170"/>
      <c r="AR88" s="170"/>
      <c r="AS88" s="286"/>
      <c r="AT88" s="4858"/>
      <c r="AU88" s="170"/>
      <c r="AV88" s="170"/>
      <c r="AW88" s="170"/>
      <c r="AX88" s="286"/>
      <c r="AY88" s="4858"/>
      <c r="AZ88" s="170"/>
      <c r="BA88" s="170"/>
      <c r="BB88" s="170"/>
      <c r="BC88" s="170"/>
      <c r="BD88" s="4860"/>
      <c r="BE88" s="4866"/>
      <c r="BF88" s="170"/>
      <c r="BG88" s="170"/>
      <c r="BH88" s="170"/>
      <c r="BI88" s="4860"/>
      <c r="BJ88" s="170"/>
      <c r="BK88" s="170"/>
      <c r="BL88" s="170"/>
      <c r="BM88" s="170"/>
      <c r="BN88" s="4860"/>
      <c r="BO88" s="170"/>
      <c r="BP88" s="170"/>
      <c r="BQ88" s="170"/>
      <c r="BR88" s="286"/>
      <c r="BS88" s="4858"/>
      <c r="BT88" s="170"/>
      <c r="BU88" s="170"/>
      <c r="BV88" s="170"/>
      <c r="BW88" s="170"/>
      <c r="BX88" s="4860"/>
      <c r="BY88" s="170"/>
      <c r="BZ88" s="170"/>
      <c r="CA88" s="170"/>
      <c r="CB88" s="170"/>
      <c r="CC88" s="4860"/>
      <c r="CD88" s="170"/>
      <c r="CE88" s="170"/>
      <c r="CF88" s="170"/>
      <c r="CG88" s="170"/>
      <c r="CH88" s="4860"/>
      <c r="CI88" s="170"/>
      <c r="CJ88" s="170"/>
      <c r="CK88" s="170"/>
      <c r="CL88" s="170"/>
      <c r="CM88" s="4860"/>
      <c r="CN88" s="170"/>
      <c r="CO88" s="170"/>
      <c r="CP88" s="170"/>
      <c r="CQ88" s="170"/>
      <c r="CR88" s="4860"/>
      <c r="CS88" s="170"/>
      <c r="CT88" s="170"/>
      <c r="CU88" s="170"/>
      <c r="CV88" s="170"/>
      <c r="CW88" s="4860"/>
      <c r="CX88" s="170"/>
      <c r="CY88" s="170"/>
      <c r="CZ88" s="170"/>
      <c r="DA88" s="170"/>
      <c r="DB88" s="4860"/>
      <c r="DC88" s="170"/>
      <c r="DD88" s="170"/>
      <c r="DE88" s="170"/>
      <c r="DF88" s="170"/>
      <c r="DG88" s="4863"/>
      <c r="DH88" s="4865"/>
      <c r="DI88" s="4865"/>
      <c r="DJ88" s="4865"/>
      <c r="DK88" s="4865"/>
      <c r="DL88" s="4863"/>
      <c r="DM88" s="4865"/>
      <c r="DN88" s="4865"/>
      <c r="DO88" s="4865"/>
      <c r="DP88" s="4865"/>
      <c r="DQ88" s="4863"/>
      <c r="DR88" s="4865"/>
      <c r="DS88" s="4865"/>
      <c r="DT88" s="4865"/>
      <c r="DU88" s="4865"/>
      <c r="DV88" s="4863"/>
      <c r="DW88" s="4865"/>
      <c r="DX88" s="4865"/>
      <c r="DY88" s="4865"/>
      <c r="DZ88" s="4865"/>
      <c r="EA88" s="4863"/>
      <c r="EB88" s="4865"/>
      <c r="EC88" s="4865"/>
      <c r="ED88" s="4865"/>
      <c r="EE88" s="4865"/>
      <c r="EF88" s="4863"/>
      <c r="EG88" s="4865"/>
      <c r="EH88" s="4865"/>
      <c r="EI88" s="4865"/>
      <c r="EJ88" s="4865"/>
      <c r="EK88" s="4863"/>
      <c r="EL88" s="4865"/>
      <c r="EM88" s="4865"/>
      <c r="EN88" s="4865"/>
      <c r="EO88" s="4865"/>
      <c r="EP88" s="4863"/>
      <c r="EQ88" s="4865"/>
      <c r="ER88" s="4865"/>
      <c r="ES88" s="4865"/>
      <c r="ET88" s="4865"/>
      <c r="EU88" s="4863"/>
      <c r="EV88" s="4863"/>
      <c r="EW88" s="4863"/>
      <c r="EX88" s="4863"/>
      <c r="EY88" s="4863"/>
      <c r="EZ88" s="170"/>
      <c r="FA88" s="1319"/>
      <c r="FB88" s="1319"/>
      <c r="FC88" s="511"/>
    </row>
    <row r="89" spans="1:159" s="4" customFormat="1" ht="11.25" customHeight="1" collapsed="1">
      <c r="A89" s="4857" t="s">
        <v>728</v>
      </c>
      <c r="B89" s="170"/>
      <c r="C89" s="170"/>
      <c r="D89" s="170"/>
      <c r="E89" s="286"/>
      <c r="F89" s="4858"/>
      <c r="G89" s="170"/>
      <c r="H89" s="170"/>
      <c r="I89" s="170"/>
      <c r="J89" s="286"/>
      <c r="K89" s="4858"/>
      <c r="L89" s="170"/>
      <c r="M89" s="170"/>
      <c r="N89" s="170"/>
      <c r="O89" s="286"/>
      <c r="P89" s="2657"/>
      <c r="Q89" s="2608"/>
      <c r="R89" s="170"/>
      <c r="S89" s="170"/>
      <c r="T89" s="286"/>
      <c r="U89" s="4858"/>
      <c r="V89" s="4859"/>
      <c r="W89" s="170"/>
      <c r="X89" s="170"/>
      <c r="Y89" s="286"/>
      <c r="Z89" s="4858"/>
      <c r="AA89" s="4859"/>
      <c r="AB89" s="170"/>
      <c r="AC89" s="170"/>
      <c r="AD89" s="286"/>
      <c r="AE89" s="4858"/>
      <c r="AF89" s="4859"/>
      <c r="AG89" s="170"/>
      <c r="AH89" s="170"/>
      <c r="AI89" s="286"/>
      <c r="AJ89" s="4858"/>
      <c r="AK89" s="170"/>
      <c r="AL89" s="170"/>
      <c r="AM89" s="170"/>
      <c r="AN89" s="286"/>
      <c r="AO89" s="4858"/>
      <c r="AP89" s="170"/>
      <c r="AQ89" s="170"/>
      <c r="AR89" s="170"/>
      <c r="AS89" s="286"/>
      <c r="AT89" s="4858"/>
      <c r="AU89" s="170"/>
      <c r="AV89" s="170"/>
      <c r="AW89" s="170"/>
      <c r="AX89" s="286"/>
      <c r="AY89" s="4858"/>
      <c r="AZ89" s="170"/>
      <c r="BA89" s="170"/>
      <c r="BB89" s="170"/>
      <c r="BC89" s="170"/>
      <c r="BD89" s="4860"/>
      <c r="BE89" s="4866"/>
      <c r="BF89" s="170"/>
      <c r="BG89" s="170"/>
      <c r="BH89" s="170"/>
      <c r="BI89" s="4860"/>
      <c r="BJ89" s="170"/>
      <c r="BK89" s="170"/>
      <c r="BL89" s="170"/>
      <c r="BM89" s="170"/>
      <c r="BN89" s="4860"/>
      <c r="BO89" s="170"/>
      <c r="BP89" s="170"/>
      <c r="BQ89" s="170"/>
      <c r="BR89" s="286"/>
      <c r="BS89" s="4858"/>
      <c r="BT89" s="170"/>
      <c r="BU89" s="170"/>
      <c r="BV89" s="170"/>
      <c r="BW89" s="170"/>
      <c r="BX89" s="4860"/>
      <c r="BY89" s="170"/>
      <c r="BZ89" s="170"/>
      <c r="CA89" s="170"/>
      <c r="CB89" s="170"/>
      <c r="CC89" s="4860"/>
      <c r="CD89" s="170"/>
      <c r="CE89" s="170"/>
      <c r="CF89" s="170"/>
      <c r="CG89" s="170"/>
      <c r="CH89" s="4860"/>
      <c r="CI89" s="170"/>
      <c r="CJ89" s="170"/>
      <c r="CK89" s="170"/>
      <c r="CL89" s="170"/>
      <c r="CM89" s="4860"/>
      <c r="CN89" s="170"/>
      <c r="CO89" s="170"/>
      <c r="CP89" s="170"/>
      <c r="CQ89" s="170"/>
      <c r="CR89" s="4860"/>
      <c r="CS89" s="170"/>
      <c r="CT89" s="170"/>
      <c r="CU89" s="170"/>
      <c r="CV89" s="170"/>
      <c r="CW89" s="4860"/>
      <c r="CX89" s="170"/>
      <c r="CY89" s="170"/>
      <c r="CZ89" s="170"/>
      <c r="DA89" s="170"/>
      <c r="DB89" s="4860"/>
      <c r="DC89" s="170"/>
      <c r="DD89" s="170"/>
      <c r="DE89" s="170"/>
      <c r="DF89" s="170"/>
      <c r="DG89" s="4863">
        <f>DG80*DG106</f>
        <v>2043.3</v>
      </c>
      <c r="DH89" s="4865"/>
      <c r="DI89" s="4865"/>
      <c r="DJ89" s="4865"/>
      <c r="DK89" s="4865"/>
      <c r="DL89" s="4863">
        <f>DL80*DL106</f>
        <v>3032.1200000000003</v>
      </c>
      <c r="DM89" s="4865"/>
      <c r="DN89" s="4865"/>
      <c r="DO89" s="4865"/>
      <c r="DP89" s="4865"/>
      <c r="DQ89" s="4863">
        <f>DQ80*DQ106</f>
        <v>4178.88</v>
      </c>
      <c r="DR89" s="4865"/>
      <c r="DS89" s="4865"/>
      <c r="DT89" s="4865"/>
      <c r="DU89" s="4865"/>
      <c r="DV89" s="4863">
        <f>DV$80*DV106</f>
        <v>3745.17</v>
      </c>
      <c r="DW89" s="4865"/>
      <c r="DX89" s="4865"/>
      <c r="DY89" s="4865"/>
      <c r="DZ89" s="4865"/>
      <c r="EA89" s="4863">
        <f>EA$80*EA106</f>
        <v>5098.32</v>
      </c>
      <c r="EB89" s="4865"/>
      <c r="EC89" s="4865"/>
      <c r="ED89" s="4865"/>
      <c r="EE89" s="4865"/>
      <c r="EF89" s="4863">
        <f>EF$80*EF106</f>
        <v>4069.8240000000001</v>
      </c>
      <c r="EG89" s="4865"/>
      <c r="EH89" s="4865"/>
      <c r="EI89" s="4865"/>
      <c r="EJ89" s="4865"/>
      <c r="EK89" s="4863">
        <f t="shared" ref="EK89:EW90" si="247">EK$80*EK106</f>
        <v>4409.3579999999993</v>
      </c>
      <c r="EL89" s="4865"/>
      <c r="EM89" s="4865"/>
      <c r="EN89" s="4865"/>
      <c r="EO89" s="4865"/>
      <c r="EP89" s="4863">
        <f t="shared" ref="EP89" si="248">EP$80*EP106</f>
        <v>7022.7462891793803</v>
      </c>
      <c r="EQ89" s="4865"/>
      <c r="ER89" s="4865"/>
      <c r="ES89" s="4865"/>
      <c r="ET89" s="4865"/>
      <c r="EU89" s="4863">
        <f t="shared" ref="EU89:EU90" si="249">EU$80*EU106</f>
        <v>16760.591470560797</v>
      </c>
      <c r="EV89" s="4863">
        <f t="shared" si="247"/>
        <v>24855.336388194606</v>
      </c>
      <c r="EW89" s="4863">
        <f t="shared" si="247"/>
        <v>28513.697588188614</v>
      </c>
      <c r="EX89" s="4863">
        <f t="shared" ref="EX89:EY89" si="250">EX$80*EX106</f>
        <v>31069.170485243252</v>
      </c>
      <c r="EY89" s="4863">
        <f t="shared" si="250"/>
        <v>33709.646480768337</v>
      </c>
      <c r="EZ89" s="170"/>
      <c r="FA89" s="1319"/>
      <c r="FB89" s="1319"/>
      <c r="FC89" s="511"/>
    </row>
    <row r="90" spans="1:159" s="4" customFormat="1" ht="11.25" customHeight="1">
      <c r="A90" s="4857" t="s">
        <v>374</v>
      </c>
      <c r="B90" s="170"/>
      <c r="C90" s="170"/>
      <c r="D90" s="170"/>
      <c r="E90" s="286"/>
      <c r="F90" s="4858"/>
      <c r="G90" s="170"/>
      <c r="H90" s="170"/>
      <c r="I90" s="170"/>
      <c r="J90" s="286"/>
      <c r="K90" s="4858"/>
      <c r="L90" s="170"/>
      <c r="M90" s="170"/>
      <c r="N90" s="170"/>
      <c r="O90" s="286"/>
      <c r="P90" s="2657"/>
      <c r="Q90" s="2608"/>
      <c r="R90" s="170"/>
      <c r="S90" s="170"/>
      <c r="T90" s="286"/>
      <c r="U90" s="4858"/>
      <c r="V90" s="4859"/>
      <c r="W90" s="170"/>
      <c r="X90" s="170"/>
      <c r="Y90" s="286"/>
      <c r="Z90" s="4858"/>
      <c r="AA90" s="4859"/>
      <c r="AB90" s="170"/>
      <c r="AC90" s="170"/>
      <c r="AD90" s="286"/>
      <c r="AE90" s="4858"/>
      <c r="AF90" s="4859"/>
      <c r="AG90" s="170"/>
      <c r="AH90" s="170"/>
      <c r="AI90" s="286"/>
      <c r="AJ90" s="4858"/>
      <c r="AK90" s="170"/>
      <c r="AL90" s="170"/>
      <c r="AM90" s="170"/>
      <c r="AN90" s="286"/>
      <c r="AO90" s="4858"/>
      <c r="AP90" s="170"/>
      <c r="AQ90" s="170"/>
      <c r="AR90" s="170"/>
      <c r="AS90" s="286"/>
      <c r="AT90" s="4858"/>
      <c r="AU90" s="170"/>
      <c r="AV90" s="170"/>
      <c r="AW90" s="170"/>
      <c r="AX90" s="286"/>
      <c r="AY90" s="4858"/>
      <c r="AZ90" s="170"/>
      <c r="BA90" s="170"/>
      <c r="BB90" s="170"/>
      <c r="BC90" s="170"/>
      <c r="BD90" s="4860"/>
      <c r="BE90" s="4866"/>
      <c r="BF90" s="170"/>
      <c r="BG90" s="170"/>
      <c r="BH90" s="170"/>
      <c r="BI90" s="4860"/>
      <c r="BJ90" s="170"/>
      <c r="BK90" s="170"/>
      <c r="BL90" s="170"/>
      <c r="BM90" s="170"/>
      <c r="BN90" s="4860"/>
      <c r="BO90" s="170"/>
      <c r="BP90" s="170"/>
      <c r="BQ90" s="170"/>
      <c r="BR90" s="286"/>
      <c r="BS90" s="4858"/>
      <c r="BT90" s="170"/>
      <c r="BU90" s="170"/>
      <c r="BV90" s="170"/>
      <c r="BW90" s="170"/>
      <c r="BX90" s="4860"/>
      <c r="BY90" s="170"/>
      <c r="BZ90" s="170"/>
      <c r="CA90" s="170"/>
      <c r="CB90" s="170"/>
      <c r="CC90" s="4860"/>
      <c r="CD90" s="170"/>
      <c r="CE90" s="170"/>
      <c r="CF90" s="170"/>
      <c r="CG90" s="170"/>
      <c r="CH90" s="4860"/>
      <c r="CI90" s="170"/>
      <c r="CJ90" s="170"/>
      <c r="CK90" s="170"/>
      <c r="CL90" s="170"/>
      <c r="CM90" s="4860"/>
      <c r="CN90" s="170"/>
      <c r="CO90" s="170"/>
      <c r="CP90" s="170"/>
      <c r="CQ90" s="170"/>
      <c r="CR90" s="4860"/>
      <c r="CS90" s="170"/>
      <c r="CT90" s="170"/>
      <c r="CU90" s="170"/>
      <c r="CV90" s="170"/>
      <c r="CW90" s="4860"/>
      <c r="CX90" s="170"/>
      <c r="CY90" s="170"/>
      <c r="CZ90" s="170"/>
      <c r="DA90" s="170"/>
      <c r="DB90" s="4860"/>
      <c r="DC90" s="170"/>
      <c r="DD90" s="170"/>
      <c r="DE90" s="170"/>
      <c r="DF90" s="170"/>
      <c r="DG90" s="4863">
        <f>DG81/SUM(DG$43,DG$81)*(DG180-DG126)</f>
        <v>1274.418168729798</v>
      </c>
      <c r="DH90" s="4865"/>
      <c r="DI90" s="4865"/>
      <c r="DJ90" s="4865"/>
      <c r="DK90" s="4865"/>
      <c r="DL90" s="4863">
        <f>DL81/SUM(DL$43,DL$81)*(DL180-DL126)</f>
        <v>1621.902201622248</v>
      </c>
      <c r="DM90" s="4865"/>
      <c r="DN90" s="4865"/>
      <c r="DO90" s="4865"/>
      <c r="DP90" s="4865"/>
      <c r="DQ90" s="4863">
        <f>DQ81/SUM(DQ$43,DQ$81)*(DQ180-DQ126)</f>
        <v>2327.4506170789623</v>
      </c>
      <c r="DR90" s="4865"/>
      <c r="DS90" s="4865"/>
      <c r="DT90" s="4865"/>
      <c r="DU90" s="4865"/>
      <c r="DV90" s="4863">
        <f>DV$80*DV107</f>
        <v>3303.4319999999998</v>
      </c>
      <c r="DW90" s="4865"/>
      <c r="DX90" s="4865"/>
      <c r="DY90" s="4865"/>
      <c r="DZ90" s="4865"/>
      <c r="EA90" s="4863">
        <f>EA$80*EA107</f>
        <v>4599</v>
      </c>
      <c r="EB90" s="4865"/>
      <c r="EC90" s="4865"/>
      <c r="ED90" s="4865"/>
      <c r="EE90" s="4865"/>
      <c r="EF90" s="4863">
        <f>EF$80*EF107</f>
        <v>5624.96</v>
      </c>
      <c r="EG90" s="4865"/>
      <c r="EH90" s="4865"/>
      <c r="EI90" s="4865"/>
      <c r="EJ90" s="4865"/>
      <c r="EK90" s="4863">
        <f t="shared" si="247"/>
        <v>5879.1440000000002</v>
      </c>
      <c r="EL90" s="4865"/>
      <c r="EM90" s="4865"/>
      <c r="EN90" s="4865"/>
      <c r="EO90" s="4865"/>
      <c r="EP90" s="4863">
        <f t="shared" ref="EP90" si="251">EP$80*EP107</f>
        <v>6447.111347443366</v>
      </c>
      <c r="EQ90" s="4865"/>
      <c r="ER90" s="4865"/>
      <c r="ES90" s="4865"/>
      <c r="ET90" s="4865"/>
      <c r="EU90" s="4863">
        <f t="shared" si="249"/>
        <v>7821.6093529283717</v>
      </c>
      <c r="EV90" s="4863">
        <f t="shared" si="247"/>
        <v>8747.7872223386203</v>
      </c>
      <c r="EW90" s="4863">
        <f t="shared" si="247"/>
        <v>9643.5477220430366</v>
      </c>
      <c r="EX90" s="4863">
        <f t="shared" ref="EX90:EY90" si="252">EX$80*EX107</f>
        <v>10571.587879394458</v>
      </c>
      <c r="EY90" s="4863">
        <f t="shared" si="252"/>
        <v>11503.178799087049</v>
      </c>
      <c r="EZ90" s="170"/>
      <c r="FA90" s="1319"/>
      <c r="FB90" s="1319"/>
      <c r="FC90" s="511"/>
    </row>
    <row r="91" spans="1:159" s="4" customFormat="1" ht="11.25" customHeight="1">
      <c r="A91" s="4927" t="s">
        <v>897</v>
      </c>
      <c r="B91" s="4928"/>
      <c r="C91" s="4928"/>
      <c r="D91" s="4928"/>
      <c r="E91" s="4929"/>
      <c r="F91" s="4930"/>
      <c r="G91" s="4928"/>
      <c r="H91" s="4928"/>
      <c r="I91" s="4928"/>
      <c r="J91" s="4929"/>
      <c r="K91" s="4930"/>
      <c r="L91" s="4928"/>
      <c r="M91" s="4928"/>
      <c r="N91" s="4928"/>
      <c r="O91" s="4929"/>
      <c r="P91" s="4931"/>
      <c r="Q91" s="4085"/>
      <c r="R91" s="4928"/>
      <c r="S91" s="4928"/>
      <c r="T91" s="4929"/>
      <c r="U91" s="4930"/>
      <c r="V91" s="4932"/>
      <c r="W91" s="4928"/>
      <c r="X91" s="4928"/>
      <c r="Y91" s="4929"/>
      <c r="Z91" s="4930"/>
      <c r="AA91" s="4932"/>
      <c r="AB91" s="4928"/>
      <c r="AC91" s="4928"/>
      <c r="AD91" s="4929"/>
      <c r="AE91" s="4930"/>
      <c r="AF91" s="4932"/>
      <c r="AG91" s="4928"/>
      <c r="AH91" s="4928"/>
      <c r="AI91" s="4929"/>
      <c r="AJ91" s="4930"/>
      <c r="AK91" s="4928"/>
      <c r="AL91" s="4928"/>
      <c r="AM91" s="4928"/>
      <c r="AN91" s="4929"/>
      <c r="AO91" s="4930"/>
      <c r="AP91" s="4928"/>
      <c r="AQ91" s="4928"/>
      <c r="AR91" s="4928"/>
      <c r="AS91" s="4929"/>
      <c r="AT91" s="4930"/>
      <c r="AU91" s="4928"/>
      <c r="AV91" s="4928"/>
      <c r="AW91" s="4928"/>
      <c r="AX91" s="4929"/>
      <c r="AY91" s="4930"/>
      <c r="AZ91" s="4928"/>
      <c r="BA91" s="4928"/>
      <c r="BB91" s="4928"/>
      <c r="BC91" s="4928"/>
      <c r="BD91" s="4933"/>
      <c r="BE91" s="4934"/>
      <c r="BF91" s="4928"/>
      <c r="BG91" s="4928"/>
      <c r="BH91" s="4928"/>
      <c r="BI91" s="4933"/>
      <c r="BJ91" s="4928"/>
      <c r="BK91" s="4928"/>
      <c r="BL91" s="4928"/>
      <c r="BM91" s="4928"/>
      <c r="BN91" s="4933"/>
      <c r="BO91" s="4928"/>
      <c r="BP91" s="4928"/>
      <c r="BQ91" s="4928"/>
      <c r="BR91" s="4929"/>
      <c r="BS91" s="4930"/>
      <c r="BT91" s="4928"/>
      <c r="BU91" s="4928"/>
      <c r="BV91" s="4928"/>
      <c r="BW91" s="4928"/>
      <c r="BX91" s="4933"/>
      <c r="BY91" s="4928"/>
      <c r="BZ91" s="4928"/>
      <c r="CA91" s="4928"/>
      <c r="CB91" s="4928"/>
      <c r="CC91" s="4933"/>
      <c r="CD91" s="4928"/>
      <c r="CE91" s="4928"/>
      <c r="CF91" s="4928"/>
      <c r="CG91" s="4928"/>
      <c r="CH91" s="4933"/>
      <c r="CI91" s="4928"/>
      <c r="CJ91" s="4928"/>
      <c r="CK91" s="4928"/>
      <c r="CL91" s="4928"/>
      <c r="CM91" s="4933"/>
      <c r="CN91" s="4928"/>
      <c r="CO91" s="4928"/>
      <c r="CP91" s="4928"/>
      <c r="CQ91" s="4928"/>
      <c r="CR91" s="4933"/>
      <c r="CS91" s="4928"/>
      <c r="CT91" s="4928"/>
      <c r="CU91" s="4928"/>
      <c r="CV91" s="4928"/>
      <c r="CW91" s="4933"/>
      <c r="CX91" s="4928"/>
      <c r="CY91" s="4928"/>
      <c r="CZ91" s="4928"/>
      <c r="DA91" s="4928"/>
      <c r="DB91" s="4933"/>
      <c r="DC91" s="4928"/>
      <c r="DD91" s="4928"/>
      <c r="DE91" s="4928"/>
      <c r="DF91" s="4928"/>
      <c r="DG91" s="4935">
        <f>DG82+DG89+DG90</f>
        <v>-1030.2818312702018</v>
      </c>
      <c r="DH91" s="4936"/>
      <c r="DI91" s="4936"/>
      <c r="DJ91" s="4936"/>
      <c r="DK91" s="4936"/>
      <c r="DL91" s="4935">
        <f>DL82+DL89+DL90</f>
        <v>9.0222016222483035</v>
      </c>
      <c r="DM91" s="4936"/>
      <c r="DN91" s="4936"/>
      <c r="DO91" s="4936"/>
      <c r="DP91" s="4936"/>
      <c r="DQ91" s="4935">
        <f>DQ82+DQ89+DQ90</f>
        <v>899.3306170789624</v>
      </c>
      <c r="DR91" s="4936"/>
      <c r="DS91" s="4936"/>
      <c r="DT91" s="4936"/>
      <c r="DU91" s="4936"/>
      <c r="DV91" s="4935">
        <f>DV82+DV89+DV90</f>
        <v>3949.6019999999999</v>
      </c>
      <c r="DW91" s="4936"/>
      <c r="DX91" s="4936"/>
      <c r="DY91" s="4936"/>
      <c r="DZ91" s="4936"/>
      <c r="EA91" s="4935">
        <f>EA82+EA89+EA90</f>
        <v>7775.32</v>
      </c>
      <c r="EB91" s="4936"/>
      <c r="EC91" s="4936"/>
      <c r="ED91" s="4936"/>
      <c r="EE91" s="4936"/>
      <c r="EF91" s="4935">
        <f>EF82+EF89+EF90</f>
        <v>11410.784</v>
      </c>
      <c r="EG91" s="4936"/>
      <c r="EH91" s="4936"/>
      <c r="EI91" s="4936"/>
      <c r="EJ91" s="4936"/>
      <c r="EK91" s="4935">
        <f>EK82+EK89+EK90</f>
        <v>16400.502</v>
      </c>
      <c r="EL91" s="4936"/>
      <c r="EM91" s="4936"/>
      <c r="EN91" s="4936"/>
      <c r="EO91" s="4936"/>
      <c r="EP91" s="4935">
        <f>EP82+EP89+EP90</f>
        <v>26032.256238287104</v>
      </c>
      <c r="EQ91" s="4936"/>
      <c r="ER91" s="4936"/>
      <c r="ES91" s="4936"/>
      <c r="ET91" s="4936"/>
      <c r="EU91" s="4935">
        <f>EU82+EU89+EU90</f>
        <v>44551.330570014921</v>
      </c>
      <c r="EV91" s="4935">
        <f>EV82+EV89+EV90</f>
        <v>58350.861139904475</v>
      </c>
      <c r="EW91" s="4935">
        <f>EW82+EW89+EW90</f>
        <v>72588.88013370469</v>
      </c>
      <c r="EX91" s="4935">
        <f>EX82+EX89+EX90</f>
        <v>87639.270511621216</v>
      </c>
      <c r="EY91" s="4935">
        <f>EY82+EY89+EY90</f>
        <v>106156.81891740266</v>
      </c>
      <c r="EZ91" s="170"/>
      <c r="FA91" s="1319"/>
      <c r="FB91" s="1319"/>
      <c r="FC91" s="511"/>
    </row>
    <row r="92" spans="1:159" s="4" customFormat="1" ht="11.25" hidden="1" customHeight="1" outlineLevel="1">
      <c r="A92" s="4905"/>
      <c r="B92" s="170"/>
      <c r="C92" s="170"/>
      <c r="D92" s="170"/>
      <c r="E92" s="286"/>
      <c r="F92" s="4858"/>
      <c r="G92" s="170"/>
      <c r="H92" s="170"/>
      <c r="I92" s="170"/>
      <c r="J92" s="286"/>
      <c r="K92" s="4858"/>
      <c r="L92" s="170"/>
      <c r="M92" s="170"/>
      <c r="N92" s="170"/>
      <c r="O92" s="286"/>
      <c r="P92" s="2657"/>
      <c r="Q92" s="2608"/>
      <c r="R92" s="170"/>
      <c r="S92" s="170"/>
      <c r="T92" s="286"/>
      <c r="U92" s="4858"/>
      <c r="V92" s="4859"/>
      <c r="W92" s="170"/>
      <c r="X92" s="170"/>
      <c r="Y92" s="286"/>
      <c r="Z92" s="4858"/>
      <c r="AA92" s="4859"/>
      <c r="AB92" s="170"/>
      <c r="AC92" s="170"/>
      <c r="AD92" s="286"/>
      <c r="AE92" s="4858"/>
      <c r="AF92" s="4859"/>
      <c r="AG92" s="170"/>
      <c r="AH92" s="170"/>
      <c r="AI92" s="286"/>
      <c r="AJ92" s="4858"/>
      <c r="AK92" s="170"/>
      <c r="AL92" s="170"/>
      <c r="AM92" s="170"/>
      <c r="AN92" s="286"/>
      <c r="AO92" s="4858"/>
      <c r="AP92" s="170"/>
      <c r="AQ92" s="170"/>
      <c r="AR92" s="170"/>
      <c r="AS92" s="286"/>
      <c r="AT92" s="4858"/>
      <c r="AU92" s="170"/>
      <c r="AV92" s="170"/>
      <c r="AW92" s="170"/>
      <c r="AX92" s="286"/>
      <c r="AY92" s="4858"/>
      <c r="AZ92" s="170"/>
      <c r="BA92" s="170"/>
      <c r="BB92" s="170"/>
      <c r="BC92" s="170"/>
      <c r="BD92" s="4860"/>
      <c r="BE92" s="4866"/>
      <c r="BF92" s="170"/>
      <c r="BG92" s="170"/>
      <c r="BH92" s="170"/>
      <c r="BI92" s="4860"/>
      <c r="BJ92" s="170"/>
      <c r="BK92" s="170"/>
      <c r="BL92" s="170"/>
      <c r="BM92" s="170"/>
      <c r="BN92" s="4860"/>
      <c r="BO92" s="170"/>
      <c r="BP92" s="170"/>
      <c r="BQ92" s="170"/>
      <c r="BR92" s="286"/>
      <c r="BS92" s="4858"/>
      <c r="BT92" s="170"/>
      <c r="BU92" s="170"/>
      <c r="BV92" s="170"/>
      <c r="BW92" s="170"/>
      <c r="BX92" s="4860"/>
      <c r="BY92" s="170"/>
      <c r="BZ92" s="170"/>
      <c r="CA92" s="170"/>
      <c r="CB92" s="170"/>
      <c r="CC92" s="4860"/>
      <c r="CD92" s="170"/>
      <c r="CE92" s="170"/>
      <c r="CF92" s="170"/>
      <c r="CG92" s="170"/>
      <c r="CH92" s="4860"/>
      <c r="CI92" s="170"/>
      <c r="CJ92" s="170"/>
      <c r="CK92" s="170"/>
      <c r="CL92" s="170"/>
      <c r="CM92" s="4860"/>
      <c r="CN92" s="170"/>
      <c r="CO92" s="170"/>
      <c r="CP92" s="170"/>
      <c r="CQ92" s="170"/>
      <c r="CR92" s="4860"/>
      <c r="CS92" s="170"/>
      <c r="CT92" s="170"/>
      <c r="CU92" s="170"/>
      <c r="CV92" s="170"/>
      <c r="CW92" s="4860"/>
      <c r="CX92" s="170"/>
      <c r="CY92" s="170"/>
      <c r="CZ92" s="170"/>
      <c r="DA92" s="170"/>
      <c r="DB92" s="4860"/>
      <c r="DC92" s="170"/>
      <c r="DD92" s="170"/>
      <c r="DE92" s="170"/>
      <c r="DF92" s="170"/>
      <c r="DG92" s="4863"/>
      <c r="DH92" s="4865"/>
      <c r="DI92" s="4865"/>
      <c r="DJ92" s="4865"/>
      <c r="DK92" s="4865"/>
      <c r="DL92" s="4863"/>
      <c r="DM92" s="4865"/>
      <c r="DN92" s="4865"/>
      <c r="DO92" s="4865"/>
      <c r="DP92" s="4865"/>
      <c r="DQ92" s="4863"/>
      <c r="DR92" s="4865"/>
      <c r="DS92" s="4865"/>
      <c r="DT92" s="4865"/>
      <c r="DU92" s="4865"/>
      <c r="DV92" s="4863"/>
      <c r="DW92" s="4865"/>
      <c r="DX92" s="4865"/>
      <c r="DY92" s="4865"/>
      <c r="DZ92" s="4865"/>
      <c r="EA92" s="4863"/>
      <c r="EB92" s="4865"/>
      <c r="EC92" s="4865"/>
      <c r="ED92" s="4865"/>
      <c r="EE92" s="4865"/>
      <c r="EF92" s="2958"/>
      <c r="EG92" s="4865"/>
      <c r="EH92" s="4865"/>
      <c r="EI92" s="4865"/>
      <c r="EJ92" s="4865"/>
      <c r="EK92" s="2958"/>
      <c r="EL92" s="4865"/>
      <c r="EM92" s="4865"/>
      <c r="EN92" s="4865"/>
      <c r="EO92" s="4865"/>
      <c r="EP92" s="2958"/>
      <c r="EQ92" s="4865"/>
      <c r="ER92" s="4865"/>
      <c r="ES92" s="4865"/>
      <c r="ET92" s="4865"/>
      <c r="EU92" s="2958"/>
      <c r="EV92" s="2958"/>
      <c r="EW92" s="2958"/>
      <c r="EX92" s="2958"/>
      <c r="EY92" s="2958"/>
      <c r="EZ92" s="170"/>
      <c r="FA92" s="1319"/>
      <c r="FB92" s="1319"/>
      <c r="FC92" s="511"/>
    </row>
    <row r="93" spans="1:159" s="4" customFormat="1" ht="11.25" hidden="1" customHeight="1" outlineLevel="1">
      <c r="A93" s="4916" t="s">
        <v>359</v>
      </c>
      <c r="B93" s="4917"/>
      <c r="C93" s="4917"/>
      <c r="D93" s="4917"/>
      <c r="E93" s="4918"/>
      <c r="F93" s="4919"/>
      <c r="G93" s="4917"/>
      <c r="H93" s="4917"/>
      <c r="I93" s="4917"/>
      <c r="J93" s="4918"/>
      <c r="K93" s="4919"/>
      <c r="L93" s="4917"/>
      <c r="M93" s="4917"/>
      <c r="N93" s="4917"/>
      <c r="O93" s="4918"/>
      <c r="P93" s="4920"/>
      <c r="Q93" s="4921"/>
      <c r="R93" s="4917"/>
      <c r="S93" s="4917"/>
      <c r="T93" s="4918"/>
      <c r="U93" s="4919"/>
      <c r="V93" s="4922"/>
      <c r="W93" s="4917"/>
      <c r="X93" s="4917"/>
      <c r="Y93" s="4918"/>
      <c r="Z93" s="4919"/>
      <c r="AA93" s="4922"/>
      <c r="AB93" s="4917"/>
      <c r="AC93" s="4917"/>
      <c r="AD93" s="4918"/>
      <c r="AE93" s="4919"/>
      <c r="AF93" s="4922"/>
      <c r="AG93" s="4917"/>
      <c r="AH93" s="4917"/>
      <c r="AI93" s="4918"/>
      <c r="AJ93" s="4919"/>
      <c r="AK93" s="4917"/>
      <c r="AL93" s="4917"/>
      <c r="AM93" s="4917"/>
      <c r="AN93" s="4918"/>
      <c r="AO93" s="4919"/>
      <c r="AP93" s="4917"/>
      <c r="AQ93" s="4917"/>
      <c r="AR93" s="4917"/>
      <c r="AS93" s="4918"/>
      <c r="AT93" s="4919"/>
      <c r="AU93" s="4917"/>
      <c r="AV93" s="4917"/>
      <c r="AW93" s="4917"/>
      <c r="AX93" s="4918"/>
      <c r="AY93" s="4919"/>
      <c r="AZ93" s="4917"/>
      <c r="BA93" s="4917"/>
      <c r="BB93" s="4917"/>
      <c r="BC93" s="4917"/>
      <c r="BD93" s="4923"/>
      <c r="BE93" s="4924"/>
      <c r="BF93" s="4917"/>
      <c r="BG93" s="4917"/>
      <c r="BH93" s="4917"/>
      <c r="BI93" s="4923"/>
      <c r="BJ93" s="4917"/>
      <c r="BK93" s="4917"/>
      <c r="BL93" s="4917"/>
      <c r="BM93" s="4917"/>
      <c r="BN93" s="4923"/>
      <c r="BO93" s="4917"/>
      <c r="BP93" s="4917"/>
      <c r="BQ93" s="4917"/>
      <c r="BR93" s="4918"/>
      <c r="BS93" s="4919"/>
      <c r="BT93" s="4917"/>
      <c r="BU93" s="4917"/>
      <c r="BV93" s="4917"/>
      <c r="BW93" s="4917"/>
      <c r="BX93" s="4923"/>
      <c r="BY93" s="4917"/>
      <c r="BZ93" s="4917"/>
      <c r="CA93" s="4917"/>
      <c r="CB93" s="4917"/>
      <c r="CC93" s="4923"/>
      <c r="CD93" s="4917"/>
      <c r="CE93" s="4917"/>
      <c r="CF93" s="4917"/>
      <c r="CG93" s="4917"/>
      <c r="CH93" s="4923"/>
      <c r="CI93" s="4917"/>
      <c r="CJ93" s="4917"/>
      <c r="CK93" s="4917"/>
      <c r="CL93" s="4917"/>
      <c r="CM93" s="4923"/>
      <c r="CN93" s="4917"/>
      <c r="CO93" s="4917"/>
      <c r="CP93" s="4917"/>
      <c r="CQ93" s="4917"/>
      <c r="CR93" s="4923"/>
      <c r="CS93" s="4917"/>
      <c r="CT93" s="4917"/>
      <c r="CU93" s="4917"/>
      <c r="CV93" s="4917"/>
      <c r="CW93" s="4923"/>
      <c r="CX93" s="4917"/>
      <c r="CY93" s="4917"/>
      <c r="CZ93" s="4917"/>
      <c r="DA93" s="4917"/>
      <c r="DB93" s="4923"/>
      <c r="DC93" s="4917"/>
      <c r="DD93" s="4917"/>
      <c r="DE93" s="4917"/>
      <c r="DF93" s="4917"/>
      <c r="DG93" s="4925"/>
      <c r="DH93" s="4926"/>
      <c r="DI93" s="4926"/>
      <c r="DJ93" s="4926"/>
      <c r="DK93" s="4926"/>
      <c r="DL93" s="4925"/>
      <c r="DM93" s="4926"/>
      <c r="DN93" s="4926"/>
      <c r="DO93" s="4926"/>
      <c r="DP93" s="4926"/>
      <c r="DQ93" s="4925"/>
      <c r="DR93" s="4926"/>
      <c r="DS93" s="4926"/>
      <c r="DT93" s="4926"/>
      <c r="DU93" s="4926"/>
      <c r="DV93" s="4925"/>
      <c r="DW93" s="4926"/>
      <c r="DX93" s="4926"/>
      <c r="DY93" s="4926"/>
      <c r="DZ93" s="4926"/>
      <c r="EA93" s="4925"/>
      <c r="EB93" s="4926"/>
      <c r="EC93" s="4926"/>
      <c r="ED93" s="4926"/>
      <c r="EE93" s="4926"/>
      <c r="EF93" s="5313"/>
      <c r="EG93" s="4926"/>
      <c r="EH93" s="4926"/>
      <c r="EI93" s="4926"/>
      <c r="EJ93" s="4926"/>
      <c r="EK93" s="5313"/>
      <c r="EL93" s="4926"/>
      <c r="EM93" s="4926"/>
      <c r="EN93" s="4926"/>
      <c r="EO93" s="4926"/>
      <c r="EP93" s="5313"/>
      <c r="EQ93" s="4926"/>
      <c r="ER93" s="4926"/>
      <c r="ES93" s="4926"/>
      <c r="ET93" s="4926"/>
      <c r="EU93" s="5313"/>
      <c r="EV93" s="5313"/>
      <c r="EW93" s="5313"/>
      <c r="EX93" s="5313"/>
      <c r="EY93" s="5313"/>
      <c r="EZ93" s="170"/>
      <c r="FA93" s="1319"/>
      <c r="FB93" s="1319"/>
      <c r="FC93" s="511"/>
    </row>
    <row r="94" spans="1:159" s="4" customFormat="1" ht="11.25" hidden="1" customHeight="1" outlineLevel="1">
      <c r="A94" s="5276" t="str">
        <f>A80</f>
        <v>Revenue</v>
      </c>
      <c r="B94" s="5277"/>
      <c r="C94" s="5277"/>
      <c r="D94" s="5277"/>
      <c r="E94" s="5278"/>
      <c r="F94" s="5279"/>
      <c r="G94" s="5277"/>
      <c r="H94" s="5277"/>
      <c r="I94" s="5277"/>
      <c r="J94" s="5278"/>
      <c r="K94" s="5279"/>
      <c r="L94" s="5277"/>
      <c r="M94" s="5277"/>
      <c r="N94" s="5277"/>
      <c r="O94" s="5278"/>
      <c r="P94" s="5280"/>
      <c r="Q94" s="5281"/>
      <c r="R94" s="5277"/>
      <c r="S94" s="5277"/>
      <c r="T94" s="5278"/>
      <c r="U94" s="5279"/>
      <c r="V94" s="5282"/>
      <c r="W94" s="5277"/>
      <c r="X94" s="5277"/>
      <c r="Y94" s="5278"/>
      <c r="Z94" s="5279"/>
      <c r="AA94" s="5282"/>
      <c r="AB94" s="5277"/>
      <c r="AC94" s="5277"/>
      <c r="AD94" s="5278"/>
      <c r="AE94" s="5279"/>
      <c r="AF94" s="5282"/>
      <c r="AG94" s="5277"/>
      <c r="AH94" s="5277"/>
      <c r="AI94" s="5278"/>
      <c r="AJ94" s="5279"/>
      <c r="AK94" s="5277"/>
      <c r="AL94" s="5277"/>
      <c r="AM94" s="5277"/>
      <c r="AN94" s="5278"/>
      <c r="AO94" s="5279"/>
      <c r="AP94" s="5277"/>
      <c r="AQ94" s="5277"/>
      <c r="AR94" s="5277"/>
      <c r="AS94" s="5278"/>
      <c r="AT94" s="5279"/>
      <c r="AU94" s="5277"/>
      <c r="AV94" s="5277"/>
      <c r="AW94" s="5277"/>
      <c r="AX94" s="5278"/>
      <c r="AY94" s="5279"/>
      <c r="AZ94" s="5277"/>
      <c r="BA94" s="5277"/>
      <c r="BB94" s="5277"/>
      <c r="BC94" s="5277"/>
      <c r="BD94" s="5283"/>
      <c r="BE94" s="5284"/>
      <c r="BF94" s="5277"/>
      <c r="BG94" s="5277"/>
      <c r="BH94" s="5277"/>
      <c r="BI94" s="5283"/>
      <c r="BJ94" s="5277"/>
      <c r="BK94" s="5277"/>
      <c r="BL94" s="5277"/>
      <c r="BM94" s="5277"/>
      <c r="BN94" s="5283"/>
      <c r="BO94" s="5277"/>
      <c r="BP94" s="5277"/>
      <c r="BQ94" s="5277"/>
      <c r="BR94" s="5278"/>
      <c r="BS94" s="5279"/>
      <c r="BT94" s="5277"/>
      <c r="BU94" s="5277"/>
      <c r="BV94" s="5277"/>
      <c r="BW94" s="5277"/>
      <c r="BX94" s="5283"/>
      <c r="BY94" s="5277"/>
      <c r="BZ94" s="5277"/>
      <c r="CA94" s="5277"/>
      <c r="CB94" s="5277"/>
      <c r="CC94" s="5283"/>
      <c r="CD94" s="5277"/>
      <c r="CE94" s="5277"/>
      <c r="CF94" s="5277"/>
      <c r="CG94" s="5277"/>
      <c r="CH94" s="5283"/>
      <c r="CI94" s="5277"/>
      <c r="CJ94" s="5277"/>
      <c r="CK94" s="5277"/>
      <c r="CL94" s="5277"/>
      <c r="CM94" s="5283"/>
      <c r="CN94" s="5277"/>
      <c r="CO94" s="5277"/>
      <c r="CP94" s="5277"/>
      <c r="CQ94" s="5277"/>
      <c r="CR94" s="5283"/>
      <c r="CS94" s="5277"/>
      <c r="CT94" s="5277"/>
      <c r="CU94" s="5277"/>
      <c r="CV94" s="5277"/>
      <c r="CW94" s="5283"/>
      <c r="CX94" s="5277"/>
      <c r="CY94" s="5277"/>
      <c r="CZ94" s="5277"/>
      <c r="DA94" s="5277"/>
      <c r="DB94" s="5283"/>
      <c r="DC94" s="5277"/>
      <c r="DD94" s="5277"/>
      <c r="DE94" s="5277"/>
      <c r="DF94" s="5277"/>
      <c r="DG94" s="5285"/>
      <c r="DH94" s="4459"/>
      <c r="DI94" s="4459"/>
      <c r="DJ94" s="4459"/>
      <c r="DK94" s="4459"/>
      <c r="DL94" s="5285">
        <f>DL80/DG80-1</f>
        <v>0.52757793764988015</v>
      </c>
      <c r="DM94" s="4459"/>
      <c r="DN94" s="4459"/>
      <c r="DO94" s="4459"/>
      <c r="DP94" s="4459"/>
      <c r="DQ94" s="5285">
        <f t="shared" ref="DQ94:DY95" si="253">DQ80/DL80-1</f>
        <v>0.46434178066831122</v>
      </c>
      <c r="DR94" s="4459">
        <f t="shared" si="253"/>
        <v>0.4573280518545193</v>
      </c>
      <c r="DS94" s="4459">
        <f t="shared" si="253"/>
        <v>0.53907549052211512</v>
      </c>
      <c r="DT94" s="4459">
        <f t="shared" si="253"/>
        <v>0.44889663182346107</v>
      </c>
      <c r="DU94" s="4459">
        <f t="shared" si="253"/>
        <v>0.44635865309318712</v>
      </c>
      <c r="DV94" s="5285">
        <f t="shared" si="253"/>
        <v>0.47070985527222597</v>
      </c>
      <c r="DW94" s="4459">
        <f t="shared" si="253"/>
        <v>0.4383493946132937</v>
      </c>
      <c r="DX94" s="4459">
        <f t="shared" si="253"/>
        <v>0.35609334485738975</v>
      </c>
      <c r="DY94" s="4459">
        <f t="shared" si="253"/>
        <v>0.37635270541082155</v>
      </c>
      <c r="DZ94" s="4459">
        <f t="shared" ref="DZ94:EN95" si="254">DZ80/DU80-1</f>
        <v>0.3201588160981772</v>
      </c>
      <c r="EA94" s="5285">
        <f t="shared" si="254"/>
        <v>0.36832239925023424</v>
      </c>
      <c r="EB94" s="4459">
        <f t="shared" si="254"/>
        <v>0.28053599037965982</v>
      </c>
      <c r="EC94" s="4459">
        <f t="shared" si="254"/>
        <v>0.2796367112810707</v>
      </c>
      <c r="ED94" s="4459">
        <f t="shared" si="254"/>
        <v>0.22466511357018049</v>
      </c>
      <c r="EE94" s="4459">
        <f t="shared" si="254"/>
        <v>0.25659603554340404</v>
      </c>
      <c r="EF94" s="4244">
        <f t="shared" si="254"/>
        <v>0.25905631659056327</v>
      </c>
      <c r="EG94" s="2288">
        <f t="shared" si="254"/>
        <v>0.28441105446740012</v>
      </c>
      <c r="EH94" s="2288">
        <f t="shared" si="254"/>
        <v>0.28838251774374291</v>
      </c>
      <c r="EI94" s="2288">
        <f t="shared" si="254"/>
        <v>0.34978004993460954</v>
      </c>
      <c r="EJ94" s="2288">
        <f t="shared" si="254"/>
        <v>0.3005874673629243</v>
      </c>
      <c r="EK94" s="4244">
        <f t="shared" ref="EK94:EK95" si="255">EK80/EF80-1</f>
        <v>0.30648573500967125</v>
      </c>
      <c r="EL94" s="2288">
        <f t="shared" si="254"/>
        <v>0.28055149362857734</v>
      </c>
      <c r="EM94" s="2288">
        <f t="shared" si="254"/>
        <v>0.31671015753358467</v>
      </c>
      <c r="EN94" s="2288">
        <f t="shared" si="254"/>
        <v>0.33506562142165075</v>
      </c>
      <c r="EO94" s="2288">
        <f t="shared" ref="EO94:EP95" si="256">EO80/EJ80-1</f>
        <v>0.3820572290758244</v>
      </c>
      <c r="EP94" s="4244">
        <f t="shared" si="256"/>
        <v>0.33159439666893697</v>
      </c>
      <c r="EQ94" s="2288">
        <f t="shared" ref="EQ94:EQ95" si="257">EQ80/EL80-1</f>
        <v>0.44397695435366047</v>
      </c>
      <c r="ER94" s="2288">
        <f t="shared" ref="ER94:ER95" si="258">ER80/EM80-1</f>
        <v>0.42826495540169041</v>
      </c>
      <c r="ES94" s="2288">
        <f t="shared" ref="ES94:ES95" si="259">ES80/EN80-1</f>
        <v>0.43153847128630396</v>
      </c>
      <c r="ET94" s="2288">
        <f t="shared" ref="ET94:EU95" si="260">ET80/EO80-1</f>
        <v>0.4470384959908551</v>
      </c>
      <c r="EU94" s="4244">
        <f t="shared" si="260"/>
        <v>0.43786186244056036</v>
      </c>
      <c r="EV94" s="4244">
        <f t="shared" ref="EV94:EY95" si="261">EV80/EU80-1</f>
        <v>0.30000000000000004</v>
      </c>
      <c r="EW94" s="4244">
        <f t="shared" si="261"/>
        <v>0.25</v>
      </c>
      <c r="EX94" s="4244">
        <f t="shared" si="261"/>
        <v>0.19999999999999996</v>
      </c>
      <c r="EY94" s="4244">
        <f t="shared" si="261"/>
        <v>0.17999999999999994</v>
      </c>
      <c r="EZ94" s="170"/>
      <c r="FA94" s="1319"/>
      <c r="FB94" s="1319"/>
      <c r="FC94" s="511"/>
    </row>
    <row r="95" spans="1:159" s="4" customFormat="1" ht="11.25" hidden="1" customHeight="1" outlineLevel="1">
      <c r="A95" s="4857" t="str">
        <f>A81</f>
        <v>GAAP Costs &amp; Opex</v>
      </c>
      <c r="B95" s="170"/>
      <c r="C95" s="170"/>
      <c r="D95" s="170"/>
      <c r="E95" s="286"/>
      <c r="F95" s="4858"/>
      <c r="G95" s="170"/>
      <c r="H95" s="170"/>
      <c r="I95" s="170"/>
      <c r="J95" s="286"/>
      <c r="K95" s="4858"/>
      <c r="L95" s="170"/>
      <c r="M95" s="170"/>
      <c r="N95" s="170"/>
      <c r="O95" s="286"/>
      <c r="P95" s="2657"/>
      <c r="Q95" s="2608"/>
      <c r="R95" s="170"/>
      <c r="S95" s="170"/>
      <c r="T95" s="286"/>
      <c r="U95" s="4858"/>
      <c r="V95" s="4859"/>
      <c r="W95" s="170"/>
      <c r="X95" s="170"/>
      <c r="Y95" s="286"/>
      <c r="Z95" s="4858"/>
      <c r="AA95" s="4859"/>
      <c r="AB95" s="170"/>
      <c r="AC95" s="170"/>
      <c r="AD95" s="286"/>
      <c r="AE95" s="4858"/>
      <c r="AF95" s="4859"/>
      <c r="AG95" s="170"/>
      <c r="AH95" s="170"/>
      <c r="AI95" s="286"/>
      <c r="AJ95" s="4858"/>
      <c r="AK95" s="170"/>
      <c r="AL95" s="170"/>
      <c r="AM95" s="170"/>
      <c r="AN95" s="286"/>
      <c r="AO95" s="4858"/>
      <c r="AP95" s="170"/>
      <c r="AQ95" s="170"/>
      <c r="AR95" s="170"/>
      <c r="AS95" s="286"/>
      <c r="AT95" s="4858"/>
      <c r="AU95" s="170"/>
      <c r="AV95" s="170"/>
      <c r="AW95" s="170"/>
      <c r="AX95" s="286"/>
      <c r="AY95" s="4858"/>
      <c r="AZ95" s="170"/>
      <c r="BA95" s="170"/>
      <c r="BB95" s="170"/>
      <c r="BC95" s="170"/>
      <c r="BD95" s="4860"/>
      <c r="BE95" s="4866"/>
      <c r="BF95" s="170"/>
      <c r="BG95" s="170"/>
      <c r="BH95" s="170"/>
      <c r="BI95" s="4860"/>
      <c r="BJ95" s="170"/>
      <c r="BK95" s="170"/>
      <c r="BL95" s="170"/>
      <c r="BM95" s="170"/>
      <c r="BN95" s="4860"/>
      <c r="BO95" s="170"/>
      <c r="BP95" s="170"/>
      <c r="BQ95" s="170"/>
      <c r="BR95" s="286"/>
      <c r="BS95" s="4858"/>
      <c r="BT95" s="170"/>
      <c r="BU95" s="170"/>
      <c r="BV95" s="170"/>
      <c r="BW95" s="170"/>
      <c r="BX95" s="4860"/>
      <c r="BY95" s="170"/>
      <c r="BZ95" s="170"/>
      <c r="CA95" s="170"/>
      <c r="CB95" s="170"/>
      <c r="CC95" s="4860"/>
      <c r="CD95" s="170"/>
      <c r="CE95" s="170"/>
      <c r="CF95" s="170"/>
      <c r="CG95" s="170"/>
      <c r="CH95" s="4860"/>
      <c r="CI95" s="170"/>
      <c r="CJ95" s="170"/>
      <c r="CK95" s="170"/>
      <c r="CL95" s="170"/>
      <c r="CM95" s="4860"/>
      <c r="CN95" s="170"/>
      <c r="CO95" s="170"/>
      <c r="CP95" s="170"/>
      <c r="CQ95" s="170"/>
      <c r="CR95" s="4860"/>
      <c r="CS95" s="170"/>
      <c r="CT95" s="170"/>
      <c r="CU95" s="170"/>
      <c r="CV95" s="170"/>
      <c r="CW95" s="4860"/>
      <c r="CX95" s="170"/>
      <c r="CY95" s="170"/>
      <c r="CZ95" s="170"/>
      <c r="DA95" s="170"/>
      <c r="DB95" s="4860"/>
      <c r="DC95" s="170"/>
      <c r="DD95" s="170"/>
      <c r="DE95" s="170"/>
      <c r="DF95" s="170"/>
      <c r="DG95" s="4939"/>
      <c r="DH95" s="2623"/>
      <c r="DI95" s="2623"/>
      <c r="DJ95" s="2623"/>
      <c r="DK95" s="2623"/>
      <c r="DL95" s="4939">
        <f>DL81/DG81-1</f>
        <v>0.33153347732181415</v>
      </c>
      <c r="DM95" s="2623"/>
      <c r="DN95" s="2623"/>
      <c r="DO95" s="2623"/>
      <c r="DP95" s="2623"/>
      <c r="DQ95" s="4939">
        <f t="shared" si="253"/>
        <v>0.37624419376244189</v>
      </c>
      <c r="DR95" s="2623">
        <f t="shared" si="253"/>
        <v>0.11404481917017972</v>
      </c>
      <c r="DS95" s="2623">
        <f t="shared" si="253"/>
        <v>0.1773065644033387</v>
      </c>
      <c r="DT95" s="2623">
        <f t="shared" si="253"/>
        <v>0.21109200343938084</v>
      </c>
      <c r="DU95" s="2623">
        <f t="shared" si="253"/>
        <v>0.26744186046511631</v>
      </c>
      <c r="DV95" s="4939">
        <f t="shared" si="253"/>
        <v>0.19495339119254251</v>
      </c>
      <c r="DW95" s="2612">
        <f t="shared" si="253"/>
        <v>0.29994025094602672</v>
      </c>
      <c r="DX95" s="2612">
        <f t="shared" si="253"/>
        <v>0.31557769687679627</v>
      </c>
      <c r="DY95" s="2612">
        <f t="shared" si="253"/>
        <v>0.29712460063897761</v>
      </c>
      <c r="DZ95" s="2612">
        <f t="shared" si="254"/>
        <v>0.16638158917742185</v>
      </c>
      <c r="EA95" s="4241">
        <f t="shared" si="254"/>
        <v>0.26438018381528816</v>
      </c>
      <c r="EB95" s="2612">
        <f t="shared" si="254"/>
        <v>0.11276237168683934</v>
      </c>
      <c r="EC95" s="2612">
        <f t="shared" si="254"/>
        <v>0.11214681036993879</v>
      </c>
      <c r="ED95" s="2612">
        <f t="shared" si="254"/>
        <v>0.1145320197044335</v>
      </c>
      <c r="EE95" s="2612">
        <f t="shared" si="254"/>
        <v>0.11025196640447943</v>
      </c>
      <c r="EF95" s="4241">
        <f t="shared" si="254"/>
        <v>0.11240337564711722</v>
      </c>
      <c r="EG95" s="2612">
        <f t="shared" si="254"/>
        <v>0.19427233925375198</v>
      </c>
      <c r="EH95" s="2612">
        <f t="shared" si="254"/>
        <v>0.20154531168150869</v>
      </c>
      <c r="EI95" s="2612">
        <f t="shared" si="254"/>
        <v>0.15481890730509518</v>
      </c>
      <c r="EJ95" s="2612">
        <f t="shared" si="254"/>
        <v>0.18419788664745429</v>
      </c>
      <c r="EK95" s="4241">
        <f t="shared" si="255"/>
        <v>0.18312507968889458</v>
      </c>
      <c r="EL95" s="2612">
        <f t="shared" si="254"/>
        <v>0.16243947429098449</v>
      </c>
      <c r="EM95" s="2612">
        <f t="shared" si="254"/>
        <v>0.17689373297002731</v>
      </c>
      <c r="EN95" s="2612">
        <f t="shared" si="254"/>
        <v>0.22932170954709763</v>
      </c>
      <c r="EO95" s="2612">
        <f t="shared" si="256"/>
        <v>0.27328083268476222</v>
      </c>
      <c r="EP95" s="4241">
        <f t="shared" si="256"/>
        <v>0.21241198297106778</v>
      </c>
      <c r="EQ95" s="2612">
        <f t="shared" si="257"/>
        <v>0.31680730886461461</v>
      </c>
      <c r="ER95" s="2612">
        <f t="shared" si="258"/>
        <v>0.35875588454380836</v>
      </c>
      <c r="ES95" s="2612">
        <f t="shared" si="259"/>
        <v>0.42800722750731079</v>
      </c>
      <c r="ET95" s="2612">
        <f t="shared" si="260"/>
        <v>0.46036648213813924</v>
      </c>
      <c r="EU95" s="4241">
        <f t="shared" si="260"/>
        <v>0.39550431820324539</v>
      </c>
      <c r="EV95" s="4241">
        <f t="shared" si="261"/>
        <v>0.31930169004412301</v>
      </c>
      <c r="EW95" s="4241">
        <f t="shared" si="261"/>
        <v>0.20779220779220764</v>
      </c>
      <c r="EX95" s="4241">
        <f t="shared" si="261"/>
        <v>0.15322580645161299</v>
      </c>
      <c r="EY95" s="4241">
        <f t="shared" si="261"/>
        <v>0.12223776223776217</v>
      </c>
      <c r="EZ95" s="170"/>
      <c r="FA95" s="1319"/>
      <c r="FB95" s="1319"/>
      <c r="FC95" s="511"/>
    </row>
    <row r="96" spans="1:159" s="4" customFormat="1" ht="11.25" hidden="1" customHeight="1" outlineLevel="1">
      <c r="A96" s="4857" t="s">
        <v>994</v>
      </c>
      <c r="B96" s="170"/>
      <c r="C96" s="170"/>
      <c r="D96" s="170"/>
      <c r="E96" s="286"/>
      <c r="F96" s="4858"/>
      <c r="G96" s="170"/>
      <c r="H96" s="170"/>
      <c r="I96" s="170"/>
      <c r="J96" s="286"/>
      <c r="K96" s="4858"/>
      <c r="L96" s="170"/>
      <c r="M96" s="170"/>
      <c r="N96" s="170"/>
      <c r="O96" s="286"/>
      <c r="P96" s="2657"/>
      <c r="Q96" s="2608"/>
      <c r="R96" s="170"/>
      <c r="S96" s="170"/>
      <c r="T96" s="286"/>
      <c r="U96" s="4858"/>
      <c r="V96" s="4859"/>
      <c r="W96" s="170"/>
      <c r="X96" s="170"/>
      <c r="Y96" s="286"/>
      <c r="Z96" s="4858"/>
      <c r="AA96" s="4859"/>
      <c r="AB96" s="170"/>
      <c r="AC96" s="170"/>
      <c r="AD96" s="286"/>
      <c r="AE96" s="4858"/>
      <c r="AF96" s="4859"/>
      <c r="AG96" s="170"/>
      <c r="AH96" s="170"/>
      <c r="AI96" s="286"/>
      <c r="AJ96" s="4858"/>
      <c r="AK96" s="170"/>
      <c r="AL96" s="170"/>
      <c r="AM96" s="170"/>
      <c r="AN96" s="286"/>
      <c r="AO96" s="4858"/>
      <c r="AP96" s="170"/>
      <c r="AQ96" s="170"/>
      <c r="AR96" s="170"/>
      <c r="AS96" s="286"/>
      <c r="AT96" s="4858"/>
      <c r="AU96" s="170"/>
      <c r="AV96" s="170"/>
      <c r="AW96" s="170"/>
      <c r="AX96" s="286"/>
      <c r="AY96" s="4858"/>
      <c r="AZ96" s="170"/>
      <c r="BA96" s="170"/>
      <c r="BB96" s="170"/>
      <c r="BC96" s="170"/>
      <c r="BD96" s="4860"/>
      <c r="BE96" s="4866"/>
      <c r="BF96" s="170"/>
      <c r="BG96" s="170"/>
      <c r="BH96" s="170"/>
      <c r="BI96" s="4860"/>
      <c r="BJ96" s="170"/>
      <c r="BK96" s="170"/>
      <c r="BL96" s="170"/>
      <c r="BM96" s="170"/>
      <c r="BN96" s="4860"/>
      <c r="BO96" s="170"/>
      <c r="BP96" s="170"/>
      <c r="BQ96" s="170"/>
      <c r="BR96" s="286"/>
      <c r="BS96" s="4858"/>
      <c r="BT96" s="170"/>
      <c r="BU96" s="170"/>
      <c r="BV96" s="170"/>
      <c r="BW96" s="170"/>
      <c r="BX96" s="4860"/>
      <c r="BY96" s="170"/>
      <c r="BZ96" s="170"/>
      <c r="CA96" s="170"/>
      <c r="CB96" s="170"/>
      <c r="CC96" s="4860"/>
      <c r="CD96" s="170"/>
      <c r="CE96" s="170"/>
      <c r="CF96" s="170"/>
      <c r="CG96" s="170"/>
      <c r="CH96" s="4860"/>
      <c r="CI96" s="170"/>
      <c r="CJ96" s="170"/>
      <c r="CK96" s="170"/>
      <c r="CL96" s="170"/>
      <c r="CM96" s="4860"/>
      <c r="CN96" s="170"/>
      <c r="CO96" s="170"/>
      <c r="CP96" s="170"/>
      <c r="CQ96" s="170"/>
      <c r="CR96" s="4860"/>
      <c r="CS96" s="170"/>
      <c r="CT96" s="170"/>
      <c r="CU96" s="170"/>
      <c r="CV96" s="170"/>
      <c r="CW96" s="4860"/>
      <c r="CX96" s="170"/>
      <c r="CY96" s="170"/>
      <c r="CZ96" s="170"/>
      <c r="DA96" s="170"/>
      <c r="DB96" s="4860"/>
      <c r="DC96" s="170"/>
      <c r="DD96" s="170"/>
      <c r="DE96" s="170"/>
      <c r="DF96" s="170"/>
      <c r="DG96" s="4939"/>
      <c r="DH96" s="2623"/>
      <c r="DI96" s="2623"/>
      <c r="DJ96" s="2623"/>
      <c r="DK96" s="2623"/>
      <c r="DL96" s="4939"/>
      <c r="DM96" s="2623"/>
      <c r="DN96" s="2623"/>
      <c r="DO96" s="2623"/>
      <c r="DP96" s="2623"/>
      <c r="DQ96" s="4939">
        <f>(DQ81-DQ89-DQ90)/(DL81-DL89-DL90)-1</f>
        <v>0.36487817773383702</v>
      </c>
      <c r="DR96" s="2623"/>
      <c r="DS96" s="2623"/>
      <c r="DT96" s="2623"/>
      <c r="DU96" s="2623"/>
      <c r="DV96" s="4939">
        <f>(DV81-DV89-DV90)/(DQ81-DQ89-DQ90)-1</f>
        <v>0.25467210658116257</v>
      </c>
      <c r="DW96" s="2623"/>
      <c r="DX96" s="2623"/>
      <c r="DY96" s="2623"/>
      <c r="DZ96" s="2623"/>
      <c r="EA96" s="4939">
        <f>(EA81-EA89-EA90)/(DV81-DV89-DV90)-1</f>
        <v>0.21291277272656361</v>
      </c>
      <c r="EB96" s="2623"/>
      <c r="EC96" s="2623"/>
      <c r="ED96" s="2623"/>
      <c r="EE96" s="2623"/>
      <c r="EF96" s="4241">
        <f>(EF81-EF89-EF90)/(EA81-EA89-EA90)-1</f>
        <v>0.17144506146553207</v>
      </c>
      <c r="EG96" s="2623"/>
      <c r="EH96" s="2623"/>
      <c r="EI96" s="2623"/>
      <c r="EJ96" s="2623"/>
      <c r="EK96" s="4241">
        <f>(EK81-EK89-EK90)/(EF81-EF89-EF90)-1</f>
        <v>0.23763577389273594</v>
      </c>
      <c r="EL96" s="2623"/>
      <c r="EM96" s="2623"/>
      <c r="EN96" s="2623"/>
      <c r="EO96" s="2612"/>
      <c r="EP96" s="4241">
        <f>(EP81-EP89-EP90)/(EK81-EK89-EK90)-1</f>
        <v>0.17528897574938318</v>
      </c>
      <c r="EQ96" s="2612"/>
      <c r="ER96" s="2612"/>
      <c r="ES96" s="2612"/>
      <c r="ET96" s="2612"/>
      <c r="EU96" s="4241">
        <f>(EU81-EU89-EU90)/(EP81-EP89-EP90)-1</f>
        <v>0.21203685213461676</v>
      </c>
      <c r="EV96" s="4241">
        <f>(EV81-EV89-EV90)/(EU81-EU89-EU90)-1</f>
        <v>0.28864036568128304</v>
      </c>
      <c r="EW96" s="4241">
        <f>(EW81-EW89-EW90)/(EV81-EV89-EV90)-1</f>
        <v>0.25710072099628567</v>
      </c>
      <c r="EX96" s="4241">
        <f>(EX81-EX89-EX90)/(EW81-EW89-EW90)-1</f>
        <v>0.19139691505539891</v>
      </c>
      <c r="EY96" s="4241">
        <f>(EY81-EY89-EY90)/(EX81-EX89-EX90)-1</f>
        <v>0.14281838074398245</v>
      </c>
      <c r="EZ96" s="170"/>
      <c r="FA96" s="1319"/>
      <c r="FB96" s="1319"/>
      <c r="FC96" s="511"/>
    </row>
    <row r="97" spans="1:159" s="4" customFormat="1" ht="11.25" hidden="1" customHeight="1" outlineLevel="1">
      <c r="A97" s="5276" t="str">
        <f>A82</f>
        <v>GAAP Operating Income</v>
      </c>
      <c r="B97" s="5277"/>
      <c r="C97" s="5277"/>
      <c r="D97" s="5277"/>
      <c r="E97" s="5278"/>
      <c r="F97" s="5279"/>
      <c r="G97" s="5277"/>
      <c r="H97" s="5277"/>
      <c r="I97" s="5277"/>
      <c r="J97" s="5278"/>
      <c r="K97" s="5279"/>
      <c r="L97" s="5277"/>
      <c r="M97" s="5277"/>
      <c r="N97" s="5277"/>
      <c r="O97" s="5278"/>
      <c r="P97" s="5280"/>
      <c r="Q97" s="5281"/>
      <c r="R97" s="5277"/>
      <c r="S97" s="5277"/>
      <c r="T97" s="5278"/>
      <c r="U97" s="5279"/>
      <c r="V97" s="5282"/>
      <c r="W97" s="5277"/>
      <c r="X97" s="5277"/>
      <c r="Y97" s="5278"/>
      <c r="Z97" s="5279"/>
      <c r="AA97" s="5282"/>
      <c r="AB97" s="5277"/>
      <c r="AC97" s="5277"/>
      <c r="AD97" s="5278"/>
      <c r="AE97" s="5279"/>
      <c r="AF97" s="5282"/>
      <c r="AG97" s="5277"/>
      <c r="AH97" s="5277"/>
      <c r="AI97" s="5278"/>
      <c r="AJ97" s="5279"/>
      <c r="AK97" s="5277"/>
      <c r="AL97" s="5277"/>
      <c r="AM97" s="5277"/>
      <c r="AN97" s="5278"/>
      <c r="AO97" s="5279"/>
      <c r="AP97" s="5277"/>
      <c r="AQ97" s="5277"/>
      <c r="AR97" s="5277"/>
      <c r="AS97" s="5278"/>
      <c r="AT97" s="5279"/>
      <c r="AU97" s="5277"/>
      <c r="AV97" s="5277"/>
      <c r="AW97" s="5277"/>
      <c r="AX97" s="5278"/>
      <c r="AY97" s="5279"/>
      <c r="AZ97" s="5277"/>
      <c r="BA97" s="5277"/>
      <c r="BB97" s="5277"/>
      <c r="BC97" s="5277"/>
      <c r="BD97" s="5283"/>
      <c r="BE97" s="5284"/>
      <c r="BF97" s="5277"/>
      <c r="BG97" s="5277"/>
      <c r="BH97" s="5277"/>
      <c r="BI97" s="5283"/>
      <c r="BJ97" s="5277"/>
      <c r="BK97" s="5277"/>
      <c r="BL97" s="5277"/>
      <c r="BM97" s="5277"/>
      <c r="BN97" s="5283"/>
      <c r="BO97" s="5277"/>
      <c r="BP97" s="5277"/>
      <c r="BQ97" s="5277"/>
      <c r="BR97" s="5278"/>
      <c r="BS97" s="5279"/>
      <c r="BT97" s="5277"/>
      <c r="BU97" s="5277"/>
      <c r="BV97" s="5277"/>
      <c r="BW97" s="5277"/>
      <c r="BX97" s="5283"/>
      <c r="BY97" s="5277"/>
      <c r="BZ97" s="5277"/>
      <c r="CA97" s="5277"/>
      <c r="CB97" s="5277"/>
      <c r="CC97" s="5283"/>
      <c r="CD97" s="5277"/>
      <c r="CE97" s="5277"/>
      <c r="CF97" s="5277"/>
      <c r="CG97" s="5277"/>
      <c r="CH97" s="5283"/>
      <c r="CI97" s="5277"/>
      <c r="CJ97" s="5277"/>
      <c r="CK97" s="5277"/>
      <c r="CL97" s="5277"/>
      <c r="CM97" s="5283"/>
      <c r="CN97" s="5277"/>
      <c r="CO97" s="5277"/>
      <c r="CP97" s="5277"/>
      <c r="CQ97" s="5277"/>
      <c r="CR97" s="5283"/>
      <c r="CS97" s="5277"/>
      <c r="CT97" s="5277"/>
      <c r="CU97" s="5277"/>
      <c r="CV97" s="5277"/>
      <c r="CW97" s="5283"/>
      <c r="CX97" s="5277"/>
      <c r="CY97" s="5277"/>
      <c r="CZ97" s="5277"/>
      <c r="DA97" s="5277"/>
      <c r="DB97" s="5283"/>
      <c r="DC97" s="5277"/>
      <c r="DD97" s="5277"/>
      <c r="DE97" s="5277"/>
      <c r="DF97" s="5277"/>
      <c r="DG97" s="5285"/>
      <c r="DH97" s="4459"/>
      <c r="DI97" s="4459"/>
      <c r="DJ97" s="4459"/>
      <c r="DK97" s="4459"/>
      <c r="DL97" s="5285">
        <f>IF(DL82*DG82&gt;0,(DL82-DG82)/ABS(DG82),"NA")</f>
        <v>-6.830726770929163E-2</v>
      </c>
      <c r="DM97" s="4459"/>
      <c r="DN97" s="4459"/>
      <c r="DO97" s="4459"/>
      <c r="DP97" s="4459"/>
      <c r="DQ97" s="5285">
        <f t="shared" ref="DQ97:DY97" si="262">IF(DQ82*DL82&gt;0,(DQ82-DL82)/ABS(DL82),"NA")</f>
        <v>-0.20710441334768567</v>
      </c>
      <c r="DR97" s="4459">
        <f t="shared" si="262"/>
        <v>0.43699421965317919</v>
      </c>
      <c r="DS97" s="4459">
        <f t="shared" si="262"/>
        <v>0.58555399719495094</v>
      </c>
      <c r="DT97" s="4459">
        <f t="shared" si="262"/>
        <v>0.46688741721854304</v>
      </c>
      <c r="DU97" s="4459">
        <f t="shared" si="262"/>
        <v>0.28399034593724859</v>
      </c>
      <c r="DV97" s="5285">
        <f t="shared" si="262"/>
        <v>0.44729802033172822</v>
      </c>
      <c r="DW97" s="4459">
        <f t="shared" si="262"/>
        <v>0.27515400410677621</v>
      </c>
      <c r="DX97" s="4459">
        <f t="shared" si="262"/>
        <v>1.6920473773265651E-3</v>
      </c>
      <c r="DY97" s="4459">
        <f t="shared" si="262"/>
        <v>0.31677018633540371</v>
      </c>
      <c r="DZ97" s="4459">
        <f t="shared" ref="DZ97:EN97" si="263">IF(DZ82*DU82&gt;0,(DZ82-DU82)/ABS(DU82),"NA")</f>
        <v>0.79101123595505618</v>
      </c>
      <c r="EA97" s="5285">
        <f t="shared" si="263"/>
        <v>0.37979993546305257</v>
      </c>
      <c r="EB97" s="4459" t="str">
        <f t="shared" si="263"/>
        <v>NA</v>
      </c>
      <c r="EC97" s="4459" t="str">
        <f t="shared" si="263"/>
        <v>NA</v>
      </c>
      <c r="ED97" s="4459" t="str">
        <f t="shared" si="263"/>
        <v>NA</v>
      </c>
      <c r="EE97" s="4459" t="str">
        <f t="shared" si="263"/>
        <v>NA</v>
      </c>
      <c r="EF97" s="4244" t="str">
        <f t="shared" si="263"/>
        <v>NA</v>
      </c>
      <c r="EG97" s="4459">
        <f t="shared" si="263"/>
        <v>3.7120418848167538</v>
      </c>
      <c r="EH97" s="4459">
        <f t="shared" si="263"/>
        <v>1.9670886075949368</v>
      </c>
      <c r="EI97" s="4459">
        <f t="shared" si="263"/>
        <v>6.3195488721804507</v>
      </c>
      <c r="EJ97" s="4459">
        <f t="shared" si="263"/>
        <v>1.4224537037037037</v>
      </c>
      <c r="EK97" s="4244">
        <f>IF(EK82*EF82&gt;0,(EK82-EF82)/ABS(EF82),"NA")</f>
        <v>2.561771561771562</v>
      </c>
      <c r="EL97" s="4459">
        <f t="shared" si="263"/>
        <v>1.4188888888888889</v>
      </c>
      <c r="EM97" s="4459">
        <f t="shared" si="263"/>
        <v>1.4112627986348123</v>
      </c>
      <c r="EN97" s="4459">
        <f t="shared" si="263"/>
        <v>0.84591679506933748</v>
      </c>
      <c r="EO97" s="2288">
        <f t="shared" ref="EO97" si="264">IF(EO82*EJ82&gt;0,(EO82-EJ82)/ABS(EJ82),"NA")</f>
        <v>0.89460038302167</v>
      </c>
      <c r="EP97" s="4244">
        <f>IF(EP82*EK82&gt;0,(EP82-EK82)/ABS(EK82),"NA")</f>
        <v>1.0553662633613148</v>
      </c>
      <c r="EQ97" s="2288">
        <f t="shared" ref="EQ97" si="265">IF(EQ82*EL82&gt;0,(EQ82-EL82)/ABS(EL82),"NA")</f>
        <v>1.0329762816233208</v>
      </c>
      <c r="ER97" s="2288">
        <f t="shared" ref="ER97" si="266">IF(ER82*EM82&gt;0,(ER82-EM82)/ABS(EM82),"NA")</f>
        <v>0.69385552409362572</v>
      </c>
      <c r="ES97" s="2288">
        <f t="shared" ref="ES97" si="267">IF(ES82*EN82&gt;0,(ES82-EN82)/ABS(EN82),"NA")</f>
        <v>0.44289956528087804</v>
      </c>
      <c r="ET97" s="2288">
        <f t="shared" ref="ET97" si="268">IF(ET82*EO82&gt;0,(ET82-EO82)/ABS(EO82),"NA")</f>
        <v>0.40483320652445515</v>
      </c>
      <c r="EU97" s="4244">
        <f>IF(EU82*EP82&gt;0,(EU82-EP82)/ABS(EP82),"NA")</f>
        <v>0.58959529781837261</v>
      </c>
      <c r="EV97" s="4244">
        <f>IF(EV82*EU82&gt;0,(EV82-EU82)/ABS(EU82),"NA")</f>
        <v>0.23929975134128595</v>
      </c>
      <c r="EW97" s="4244">
        <f>IF(EW82*EV82&gt;0,(EW82-EV82)/ABS(EV82),"NA")</f>
        <v>0.39130434782608708</v>
      </c>
      <c r="EX97" s="4244">
        <f>IF(EX82*EW82&gt;0,(EX82-EW82)/ABS(EW82),"NA")</f>
        <v>0.33593749999999972</v>
      </c>
      <c r="EY97" s="4244">
        <f>IF(EY82*EX82&gt;0,(EY82-EX82)/ABS(EX82),"NA")</f>
        <v>0.32491228070175443</v>
      </c>
      <c r="EZ97" s="170"/>
      <c r="FA97" s="1319"/>
      <c r="FB97" s="1319"/>
      <c r="FC97" s="511"/>
    </row>
    <row r="98" spans="1:159" s="4" customFormat="1" ht="11.25" hidden="1" customHeight="1" outlineLevel="1">
      <c r="A98" s="4905" t="str">
        <f>A86</f>
        <v>GAAP Net Income</v>
      </c>
      <c r="B98" s="170"/>
      <c r="C98" s="170"/>
      <c r="D98" s="170"/>
      <c r="E98" s="286"/>
      <c r="F98" s="4858"/>
      <c r="G98" s="170"/>
      <c r="H98" s="170"/>
      <c r="I98" s="170"/>
      <c r="J98" s="286"/>
      <c r="K98" s="4858"/>
      <c r="L98" s="170"/>
      <c r="M98" s="170"/>
      <c r="N98" s="170"/>
      <c r="O98" s="286"/>
      <c r="P98" s="2657"/>
      <c r="Q98" s="2608"/>
      <c r="R98" s="170"/>
      <c r="S98" s="170"/>
      <c r="T98" s="286"/>
      <c r="U98" s="4858"/>
      <c r="V98" s="4859"/>
      <c r="W98" s="170"/>
      <c r="X98" s="170"/>
      <c r="Y98" s="286"/>
      <c r="Z98" s="4858"/>
      <c r="AA98" s="4859"/>
      <c r="AB98" s="170"/>
      <c r="AC98" s="170"/>
      <c r="AD98" s="286"/>
      <c r="AE98" s="4858"/>
      <c r="AF98" s="4859"/>
      <c r="AG98" s="170"/>
      <c r="AH98" s="170"/>
      <c r="AI98" s="286"/>
      <c r="AJ98" s="4858"/>
      <c r="AK98" s="170"/>
      <c r="AL98" s="170"/>
      <c r="AM98" s="170"/>
      <c r="AN98" s="286"/>
      <c r="AO98" s="4858"/>
      <c r="AP98" s="170"/>
      <c r="AQ98" s="170"/>
      <c r="AR98" s="170"/>
      <c r="AS98" s="286"/>
      <c r="AT98" s="4858"/>
      <c r="AU98" s="170"/>
      <c r="AV98" s="170"/>
      <c r="AW98" s="170"/>
      <c r="AX98" s="286"/>
      <c r="AY98" s="4858"/>
      <c r="AZ98" s="170"/>
      <c r="BA98" s="170"/>
      <c r="BB98" s="170"/>
      <c r="BC98" s="170"/>
      <c r="BD98" s="4860"/>
      <c r="BE98" s="4866"/>
      <c r="BF98" s="170"/>
      <c r="BG98" s="170"/>
      <c r="BH98" s="170"/>
      <c r="BI98" s="4860"/>
      <c r="BJ98" s="170"/>
      <c r="BK98" s="170"/>
      <c r="BL98" s="170"/>
      <c r="BM98" s="170"/>
      <c r="BN98" s="4860"/>
      <c r="BO98" s="170"/>
      <c r="BP98" s="170"/>
      <c r="BQ98" s="170"/>
      <c r="BR98" s="286"/>
      <c r="BS98" s="4858"/>
      <c r="BT98" s="170"/>
      <c r="BU98" s="170"/>
      <c r="BV98" s="170"/>
      <c r="BW98" s="170"/>
      <c r="BX98" s="4860"/>
      <c r="BY98" s="170"/>
      <c r="BZ98" s="170"/>
      <c r="CA98" s="170"/>
      <c r="CB98" s="170"/>
      <c r="CC98" s="4860"/>
      <c r="CD98" s="170"/>
      <c r="CE98" s="170"/>
      <c r="CF98" s="170"/>
      <c r="CG98" s="170"/>
      <c r="CH98" s="4860"/>
      <c r="CI98" s="170"/>
      <c r="CJ98" s="170"/>
      <c r="CK98" s="170"/>
      <c r="CL98" s="170"/>
      <c r="CM98" s="4860"/>
      <c r="CN98" s="170"/>
      <c r="CO98" s="170"/>
      <c r="CP98" s="170"/>
      <c r="CQ98" s="170"/>
      <c r="CR98" s="4860"/>
      <c r="CS98" s="170"/>
      <c r="CT98" s="170"/>
      <c r="CU98" s="170"/>
      <c r="CV98" s="170"/>
      <c r="CW98" s="4860"/>
      <c r="CX98" s="170"/>
      <c r="CY98" s="170"/>
      <c r="CZ98" s="170"/>
      <c r="DA98" s="170"/>
      <c r="DB98" s="4860"/>
      <c r="DC98" s="170"/>
      <c r="DD98" s="170"/>
      <c r="DE98" s="170"/>
      <c r="DF98" s="170"/>
      <c r="DG98" s="4939"/>
      <c r="DH98" s="2623"/>
      <c r="DI98" s="2623"/>
      <c r="DJ98" s="2623"/>
      <c r="DK98" s="2623"/>
      <c r="DL98" s="4939">
        <f>IF(DL86*DG86&gt;0,(DL86-DG86)/ABS(DG86),"NA")</f>
        <v>-6.830726770929163E-2</v>
      </c>
      <c r="DM98" s="2623"/>
      <c r="DN98" s="2623"/>
      <c r="DO98" s="2623"/>
      <c r="DP98" s="2623"/>
      <c r="DQ98" s="4939">
        <f t="shared" ref="DQ98:DY99" si="269">IF(DQ86*DL86&gt;0,(DQ86-DL86)/ABS(DL86),"NA")</f>
        <v>-0.20710441334768567</v>
      </c>
      <c r="DR98" s="2623">
        <f t="shared" si="269"/>
        <v>0.43699421965317919</v>
      </c>
      <c r="DS98" s="2623">
        <f t="shared" si="269"/>
        <v>0.58555399719495094</v>
      </c>
      <c r="DT98" s="2623">
        <f t="shared" si="269"/>
        <v>0.46688741721854304</v>
      </c>
      <c r="DU98" s="2623">
        <f t="shared" si="269"/>
        <v>0.28399034593724859</v>
      </c>
      <c r="DV98" s="4939">
        <f t="shared" si="269"/>
        <v>0.44729802033172822</v>
      </c>
      <c r="DW98" s="2623">
        <f t="shared" si="269"/>
        <v>0.27515400410677621</v>
      </c>
      <c r="DX98" s="2623">
        <f t="shared" si="269"/>
        <v>1.6920473773265651E-3</v>
      </c>
      <c r="DY98" s="2623">
        <f t="shared" si="269"/>
        <v>0.31677018633540371</v>
      </c>
      <c r="DZ98" s="2623">
        <f t="shared" ref="DZ98:EN99" si="270">IF(DZ86*DU86&gt;0,(DZ86-DU86)/ABS(DU86),"NA")</f>
        <v>0.79101123595505618</v>
      </c>
      <c r="EA98" s="4939">
        <f t="shared" si="270"/>
        <v>0.37979993546305257</v>
      </c>
      <c r="EB98" s="2623" t="str">
        <f t="shared" si="270"/>
        <v>NA</v>
      </c>
      <c r="EC98" s="2623" t="str">
        <f t="shared" si="270"/>
        <v>NA</v>
      </c>
      <c r="ED98" s="2623" t="str">
        <f t="shared" si="270"/>
        <v>NA</v>
      </c>
      <c r="EE98" s="2623" t="str">
        <f t="shared" si="270"/>
        <v>NA</v>
      </c>
      <c r="EF98" s="4241" t="str">
        <f t="shared" si="270"/>
        <v>NA</v>
      </c>
      <c r="EG98" s="2623">
        <f t="shared" si="270"/>
        <v>3.7120418848167538</v>
      </c>
      <c r="EH98" s="2623">
        <f t="shared" si="270"/>
        <v>1.9670886075949368</v>
      </c>
      <c r="EI98" s="2623">
        <f t="shared" si="270"/>
        <v>6.3195488721804507</v>
      </c>
      <c r="EJ98" s="2623">
        <f t="shared" si="270"/>
        <v>1.4224537037037037</v>
      </c>
      <c r="EK98" s="4241">
        <f t="shared" ref="EK98:EK99" si="271">IF(EK86*EF86&gt;0,(EK86-EF86)/ABS(EF86),"NA")</f>
        <v>2.561771561771562</v>
      </c>
      <c r="EL98" s="2623">
        <f t="shared" si="270"/>
        <v>1.4188888888888889</v>
      </c>
      <c r="EM98" s="2623">
        <f t="shared" si="270"/>
        <v>1.4112627986348123</v>
      </c>
      <c r="EN98" s="2623">
        <f t="shared" si="270"/>
        <v>0.84591679506933748</v>
      </c>
      <c r="EO98" s="2612">
        <f t="shared" ref="EO98:EP99" si="272">IF(EO86*EJ86&gt;0,(EO86-EJ86)/ABS(EJ86),"NA")</f>
        <v>0.89460038302167</v>
      </c>
      <c r="EP98" s="4241">
        <f t="shared" si="272"/>
        <v>1.0553662633613148</v>
      </c>
      <c r="EQ98" s="2612">
        <f t="shared" ref="EQ98:EQ99" si="273">IF(EQ86*EL86&gt;0,(EQ86-EL86)/ABS(EL86),"NA")</f>
        <v>1.0329762816233208</v>
      </c>
      <c r="ER98" s="2612">
        <f t="shared" ref="ER98:ER99" si="274">IF(ER86*EM86&gt;0,(ER86-EM86)/ABS(EM86),"NA")</f>
        <v>0.69385552409362572</v>
      </c>
      <c r="ES98" s="2612">
        <f t="shared" ref="ES98:ES99" si="275">IF(ES86*EN86&gt;0,(ES86-EN86)/ABS(EN86),"NA")</f>
        <v>0.44289956528087804</v>
      </c>
      <c r="ET98" s="2612">
        <f t="shared" ref="ET98:EU99" si="276">IF(ET86*EO86&gt;0,(ET86-EO86)/ABS(EO86),"NA")</f>
        <v>0.40483320652445515</v>
      </c>
      <c r="EU98" s="4241">
        <f t="shared" si="276"/>
        <v>0.58959529781837261</v>
      </c>
      <c r="EV98" s="4241">
        <f t="shared" ref="EV98:EY98" si="277">IF(EV86*EU86&gt;0,(EV86-EU86)/ABS(EU86),"NA")</f>
        <v>0.23929975134128595</v>
      </c>
      <c r="EW98" s="4241">
        <f t="shared" si="277"/>
        <v>0.39130434782608708</v>
      </c>
      <c r="EX98" s="4241">
        <f t="shared" si="277"/>
        <v>0.33593749999999972</v>
      </c>
      <c r="EY98" s="4241">
        <f t="shared" si="277"/>
        <v>0.32491228070175443</v>
      </c>
      <c r="EZ98" s="170"/>
      <c r="FA98" s="1319"/>
      <c r="FB98" s="1319"/>
      <c r="FC98" s="511"/>
    </row>
    <row r="99" spans="1:159" s="4" customFormat="1" ht="11.25" hidden="1" customHeight="1" outlineLevel="1">
      <c r="A99" s="4905" t="str">
        <f>A87</f>
        <v>GAAP EPS</v>
      </c>
      <c r="B99" s="170"/>
      <c r="C99" s="170"/>
      <c r="D99" s="170"/>
      <c r="E99" s="286"/>
      <c r="F99" s="4858"/>
      <c r="G99" s="170"/>
      <c r="H99" s="170"/>
      <c r="I99" s="170"/>
      <c r="J99" s="286"/>
      <c r="K99" s="4858"/>
      <c r="L99" s="170"/>
      <c r="M99" s="170"/>
      <c r="N99" s="170"/>
      <c r="O99" s="286"/>
      <c r="P99" s="2657"/>
      <c r="Q99" s="2608"/>
      <c r="R99" s="170"/>
      <c r="S99" s="170"/>
      <c r="T99" s="286"/>
      <c r="U99" s="4858"/>
      <c r="V99" s="4859"/>
      <c r="W99" s="170"/>
      <c r="X99" s="170"/>
      <c r="Y99" s="286"/>
      <c r="Z99" s="4858"/>
      <c r="AA99" s="4859"/>
      <c r="AB99" s="170"/>
      <c r="AC99" s="170"/>
      <c r="AD99" s="286"/>
      <c r="AE99" s="4858"/>
      <c r="AF99" s="4859"/>
      <c r="AG99" s="170"/>
      <c r="AH99" s="170"/>
      <c r="AI99" s="286"/>
      <c r="AJ99" s="4858"/>
      <c r="AK99" s="170"/>
      <c r="AL99" s="170"/>
      <c r="AM99" s="170"/>
      <c r="AN99" s="286"/>
      <c r="AO99" s="4858"/>
      <c r="AP99" s="170"/>
      <c r="AQ99" s="170"/>
      <c r="AR99" s="170"/>
      <c r="AS99" s="286"/>
      <c r="AT99" s="4858"/>
      <c r="AU99" s="170"/>
      <c r="AV99" s="170"/>
      <c r="AW99" s="170"/>
      <c r="AX99" s="286"/>
      <c r="AY99" s="4858"/>
      <c r="AZ99" s="170"/>
      <c r="BA99" s="170"/>
      <c r="BB99" s="170"/>
      <c r="BC99" s="170"/>
      <c r="BD99" s="4860"/>
      <c r="BE99" s="4866"/>
      <c r="BF99" s="170"/>
      <c r="BG99" s="170"/>
      <c r="BH99" s="170"/>
      <c r="BI99" s="4860"/>
      <c r="BJ99" s="170"/>
      <c r="BK99" s="170"/>
      <c r="BL99" s="170"/>
      <c r="BM99" s="170"/>
      <c r="BN99" s="4860"/>
      <c r="BO99" s="170"/>
      <c r="BP99" s="170"/>
      <c r="BQ99" s="170"/>
      <c r="BR99" s="286"/>
      <c r="BS99" s="4858"/>
      <c r="BT99" s="170"/>
      <c r="BU99" s="170"/>
      <c r="BV99" s="170"/>
      <c r="BW99" s="170"/>
      <c r="BX99" s="4860"/>
      <c r="BY99" s="170"/>
      <c r="BZ99" s="170"/>
      <c r="CA99" s="170"/>
      <c r="CB99" s="170"/>
      <c r="CC99" s="4860"/>
      <c r="CD99" s="170"/>
      <c r="CE99" s="170"/>
      <c r="CF99" s="170"/>
      <c r="CG99" s="170"/>
      <c r="CH99" s="4860"/>
      <c r="CI99" s="170"/>
      <c r="CJ99" s="170"/>
      <c r="CK99" s="170"/>
      <c r="CL99" s="170"/>
      <c r="CM99" s="4860"/>
      <c r="CN99" s="170"/>
      <c r="CO99" s="170"/>
      <c r="CP99" s="170"/>
      <c r="CQ99" s="170"/>
      <c r="CR99" s="4860"/>
      <c r="CS99" s="170"/>
      <c r="CT99" s="170"/>
      <c r="CU99" s="170"/>
      <c r="CV99" s="170"/>
      <c r="CW99" s="4860"/>
      <c r="CX99" s="170"/>
      <c r="CY99" s="170"/>
      <c r="CZ99" s="170"/>
      <c r="DA99" s="170"/>
      <c r="DB99" s="4860"/>
      <c r="DC99" s="170"/>
      <c r="DD99" s="170"/>
      <c r="DE99" s="170"/>
      <c r="DF99" s="170"/>
      <c r="DG99" s="4863"/>
      <c r="DH99" s="4865"/>
      <c r="DI99" s="4865"/>
      <c r="DJ99" s="4865"/>
      <c r="DK99" s="4865"/>
      <c r="DL99" s="4939">
        <f>IF(DL87*DG87&gt;0,(DL87-DG87)/ABS(DG87),"NA")</f>
        <v>-7.5538213006553195E-2</v>
      </c>
      <c r="DM99" s="2623"/>
      <c r="DN99" s="2623"/>
      <c r="DO99" s="2623"/>
      <c r="DP99" s="2623"/>
      <c r="DQ99" s="4939">
        <f t="shared" si="269"/>
        <v>-0.22736037099332954</v>
      </c>
      <c r="DR99" s="2623">
        <f t="shared" si="269"/>
        <v>0.42857807685218607</v>
      </c>
      <c r="DS99" s="2623">
        <f t="shared" si="269"/>
        <v>0.58103395668243629</v>
      </c>
      <c r="DT99" s="2623">
        <f t="shared" si="269"/>
        <v>0.45953358588118731</v>
      </c>
      <c r="DU99" s="2623">
        <f t="shared" si="269"/>
        <v>0.27283644970938986</v>
      </c>
      <c r="DV99" s="4939">
        <f t="shared" si="269"/>
        <v>0.43966901844429035</v>
      </c>
      <c r="DW99" s="2623">
        <f t="shared" si="269"/>
        <v>0.25938777222281595</v>
      </c>
      <c r="DX99" s="2623">
        <f t="shared" si="269"/>
        <v>-2.4944579345570209E-2</v>
      </c>
      <c r="DY99" s="2623">
        <f t="shared" si="269"/>
        <v>0.29416209771618068</v>
      </c>
      <c r="DZ99" s="2623">
        <f t="shared" si="270"/>
        <v>0.78289413624951509</v>
      </c>
      <c r="EA99" s="4939">
        <f t="shared" si="270"/>
        <v>0.36118380699783886</v>
      </c>
      <c r="EB99" s="2623" t="str">
        <f t="shared" si="270"/>
        <v>NA</v>
      </c>
      <c r="EC99" s="2623" t="str">
        <f t="shared" si="270"/>
        <v>NA</v>
      </c>
      <c r="ED99" s="2623" t="str">
        <f t="shared" si="270"/>
        <v>NA</v>
      </c>
      <c r="EE99" s="2623" t="str">
        <f t="shared" si="270"/>
        <v>NA</v>
      </c>
      <c r="EF99" s="4241" t="str">
        <f t="shared" si="270"/>
        <v>NA</v>
      </c>
      <c r="EG99" s="2623">
        <f t="shared" si="270"/>
        <v>3.8233825408322213</v>
      </c>
      <c r="EH99" s="2623">
        <f t="shared" si="270"/>
        <v>2.0309659053494817</v>
      </c>
      <c r="EI99" s="2623">
        <f t="shared" si="270"/>
        <v>6.4828079942993</v>
      </c>
      <c r="EJ99" s="2623">
        <f t="shared" si="270"/>
        <v>1.4722838981271524</v>
      </c>
      <c r="EK99" s="4241">
        <f t="shared" si="271"/>
        <v>2.6401764630891544</v>
      </c>
      <c r="EL99" s="2623">
        <f t="shared" si="270"/>
        <v>1.4653340746164762</v>
      </c>
      <c r="EM99" s="2623">
        <f t="shared" si="270"/>
        <v>1.469972837263648</v>
      </c>
      <c r="EN99" s="2623">
        <f t="shared" si="270"/>
        <v>0.87859056608752772</v>
      </c>
      <c r="EO99" s="2612">
        <f t="shared" si="272"/>
        <v>0.91625231679575747</v>
      </c>
      <c r="EP99" s="4241">
        <f t="shared" si="272"/>
        <v>1.0927122530653994</v>
      </c>
      <c r="EQ99" s="2612">
        <f t="shared" si="273"/>
        <v>1.0463546033563249</v>
      </c>
      <c r="ER99" s="2612">
        <f t="shared" si="274"/>
        <v>0.69179981233607457</v>
      </c>
      <c r="ES99" s="2612">
        <f t="shared" si="275"/>
        <v>0.44148130120555812</v>
      </c>
      <c r="ET99" s="2612">
        <f t="shared" si="276"/>
        <v>0.40383037821719969</v>
      </c>
      <c r="EU99" s="4241">
        <f t="shared" si="276"/>
        <v>0.5910530869663787</v>
      </c>
      <c r="EV99" s="4241">
        <f ca="1">IF(EV87*EU87&gt;0,(EV87-EU87)/ABS(EU87),"NA")</f>
        <v>0.24922627177374104</v>
      </c>
      <c r="EW99" s="4241">
        <f ca="1">IF(EW87*EV87&gt;0,(EW87-EV87)/ABS(EV87),"NA")</f>
        <v>0.4036166092422323</v>
      </c>
      <c r="EX99" s="4241">
        <f ca="1">IF(EX87*EW87&gt;0,(EX87-EW87)/ABS(EW87),"NA")</f>
        <v>0.34933125403850379</v>
      </c>
      <c r="EY99" s="4241">
        <f ca="1">IF(EY87*EX87&gt;0,(EY87-EX87)/ABS(EX87),"NA")</f>
        <v>0.33974837588329504</v>
      </c>
      <c r="EZ99" s="170"/>
      <c r="FA99" s="1319"/>
      <c r="FB99" s="1319"/>
      <c r="FC99" s="511"/>
    </row>
    <row r="100" spans="1:159" s="4" customFormat="1" ht="11.25" hidden="1" customHeight="1" outlineLevel="1">
      <c r="A100" s="4978" t="str">
        <f>A89</f>
        <v>D&amp;A</v>
      </c>
      <c r="B100" s="4965"/>
      <c r="C100" s="4965"/>
      <c r="D100" s="4965"/>
      <c r="E100" s="4966"/>
      <c r="F100" s="4967"/>
      <c r="G100" s="4965"/>
      <c r="H100" s="4965"/>
      <c r="I100" s="4965"/>
      <c r="J100" s="4966"/>
      <c r="K100" s="4967"/>
      <c r="L100" s="4965"/>
      <c r="M100" s="4965"/>
      <c r="N100" s="4965"/>
      <c r="O100" s="4966"/>
      <c r="P100" s="4968"/>
      <c r="Q100" s="4969"/>
      <c r="R100" s="4965"/>
      <c r="S100" s="4965"/>
      <c r="T100" s="4966"/>
      <c r="U100" s="4967"/>
      <c r="V100" s="4970"/>
      <c r="W100" s="4965"/>
      <c r="X100" s="4965"/>
      <c r="Y100" s="4966"/>
      <c r="Z100" s="4967"/>
      <c r="AA100" s="4970"/>
      <c r="AB100" s="4965"/>
      <c r="AC100" s="4965"/>
      <c r="AD100" s="4966"/>
      <c r="AE100" s="4967"/>
      <c r="AF100" s="4970"/>
      <c r="AG100" s="4965"/>
      <c r="AH100" s="4965"/>
      <c r="AI100" s="4966"/>
      <c r="AJ100" s="4967"/>
      <c r="AK100" s="4965"/>
      <c r="AL100" s="4965"/>
      <c r="AM100" s="4965"/>
      <c r="AN100" s="4966"/>
      <c r="AO100" s="4967"/>
      <c r="AP100" s="4965"/>
      <c r="AQ100" s="4965"/>
      <c r="AR100" s="4965"/>
      <c r="AS100" s="4966"/>
      <c r="AT100" s="4967"/>
      <c r="AU100" s="4965"/>
      <c r="AV100" s="4965"/>
      <c r="AW100" s="4965"/>
      <c r="AX100" s="4966"/>
      <c r="AY100" s="4967"/>
      <c r="AZ100" s="4965"/>
      <c r="BA100" s="4965"/>
      <c r="BB100" s="4965"/>
      <c r="BC100" s="4965"/>
      <c r="BD100" s="4971"/>
      <c r="BE100" s="4972"/>
      <c r="BF100" s="4965"/>
      <c r="BG100" s="4965"/>
      <c r="BH100" s="4965"/>
      <c r="BI100" s="4971"/>
      <c r="BJ100" s="4965"/>
      <c r="BK100" s="4965"/>
      <c r="BL100" s="4965"/>
      <c r="BM100" s="4965"/>
      <c r="BN100" s="4971"/>
      <c r="BO100" s="4965"/>
      <c r="BP100" s="4965"/>
      <c r="BQ100" s="4965"/>
      <c r="BR100" s="4966"/>
      <c r="BS100" s="4967"/>
      <c r="BT100" s="4965"/>
      <c r="BU100" s="4965"/>
      <c r="BV100" s="4965"/>
      <c r="BW100" s="4965"/>
      <c r="BX100" s="4971"/>
      <c r="BY100" s="4965"/>
      <c r="BZ100" s="4965"/>
      <c r="CA100" s="4965"/>
      <c r="CB100" s="4965"/>
      <c r="CC100" s="4971"/>
      <c r="CD100" s="4965"/>
      <c r="CE100" s="4965"/>
      <c r="CF100" s="4965"/>
      <c r="CG100" s="4965"/>
      <c r="CH100" s="4971"/>
      <c r="CI100" s="4965"/>
      <c r="CJ100" s="4965"/>
      <c r="CK100" s="4965"/>
      <c r="CL100" s="4965"/>
      <c r="CM100" s="4971"/>
      <c r="CN100" s="4965"/>
      <c r="CO100" s="4965"/>
      <c r="CP100" s="4965"/>
      <c r="CQ100" s="4965"/>
      <c r="CR100" s="4971"/>
      <c r="CS100" s="4965"/>
      <c r="CT100" s="4965"/>
      <c r="CU100" s="4965"/>
      <c r="CV100" s="4965"/>
      <c r="CW100" s="4971"/>
      <c r="CX100" s="4965"/>
      <c r="CY100" s="4965"/>
      <c r="CZ100" s="4965"/>
      <c r="DA100" s="4965"/>
      <c r="DB100" s="4971"/>
      <c r="DC100" s="4965"/>
      <c r="DD100" s="4965"/>
      <c r="DE100" s="4965"/>
      <c r="DF100" s="4965"/>
      <c r="DG100" s="4973"/>
      <c r="DH100" s="4974"/>
      <c r="DI100" s="4974"/>
      <c r="DJ100" s="4974"/>
      <c r="DK100" s="4974"/>
      <c r="DL100" s="4975">
        <f>DL89/DG89-1</f>
        <v>0.48393285371702666</v>
      </c>
      <c r="DM100" s="4976"/>
      <c r="DN100" s="4976"/>
      <c r="DO100" s="4976"/>
      <c r="DP100" s="4976"/>
      <c r="DQ100" s="4975">
        <f>DQ89/DL89-1</f>
        <v>0.37820402886429294</v>
      </c>
      <c r="DR100" s="4976"/>
      <c r="DS100" s="4976"/>
      <c r="DT100" s="4976"/>
      <c r="DU100" s="4976"/>
      <c r="DV100" s="4975">
        <f>DV89/DQ89-1</f>
        <v>-0.10378618194348721</v>
      </c>
      <c r="DW100" s="4976"/>
      <c r="DX100" s="4976"/>
      <c r="DY100" s="4976"/>
      <c r="DZ100" s="4976"/>
      <c r="EA100" s="4975">
        <f>EA89/DV89-1</f>
        <v>0.36130536130536117</v>
      </c>
      <c r="EB100" s="4976"/>
      <c r="EC100" s="4976"/>
      <c r="ED100" s="4976"/>
      <c r="EE100" s="4976"/>
      <c r="EF100" s="4979">
        <f>EF89/EA89-1</f>
        <v>-0.20173233535752944</v>
      </c>
      <c r="EG100" s="4976"/>
      <c r="EH100" s="4976"/>
      <c r="EI100" s="4976"/>
      <c r="EJ100" s="4976"/>
      <c r="EK100" s="4979">
        <f>EK89/EF89-1</f>
        <v>8.3427194886068534E-2</v>
      </c>
      <c r="EL100" s="4976"/>
      <c r="EM100" s="4976"/>
      <c r="EN100" s="4976"/>
      <c r="EO100" s="4980"/>
      <c r="EP100" s="4979">
        <f>EP89/EK89-1</f>
        <v>0.59269133719225819</v>
      </c>
      <c r="EQ100" s="4980"/>
      <c r="ER100" s="4980"/>
      <c r="ES100" s="4980"/>
      <c r="ET100" s="4980"/>
      <c r="EU100" s="4979">
        <f>EU89/EP89-1</f>
        <v>1.3866149765919138</v>
      </c>
      <c r="EV100" s="4979">
        <f t="shared" ref="EV100:EY101" si="278">EV89/EU89-1</f>
        <v>0.48296296296296304</v>
      </c>
      <c r="EW100" s="4979">
        <f t="shared" si="278"/>
        <v>0.14718614718614709</v>
      </c>
      <c r="EX100" s="4979">
        <f t="shared" si="278"/>
        <v>8.9622641509433887E-2</v>
      </c>
      <c r="EY100" s="4979">
        <f t="shared" si="278"/>
        <v>8.4987012987012944E-2</v>
      </c>
      <c r="EZ100" s="170"/>
      <c r="FA100" s="1319"/>
      <c r="FB100" s="1319"/>
      <c r="FC100" s="511"/>
    </row>
    <row r="101" spans="1:159" s="4" customFormat="1" ht="11.25" hidden="1" customHeight="1" outlineLevel="1">
      <c r="A101" s="4978" t="str">
        <f>A90</f>
        <v>SBC</v>
      </c>
      <c r="B101" s="4965"/>
      <c r="C101" s="4965"/>
      <c r="D101" s="4965"/>
      <c r="E101" s="4966"/>
      <c r="F101" s="4967"/>
      <c r="G101" s="4965"/>
      <c r="H101" s="4965"/>
      <c r="I101" s="4965"/>
      <c r="J101" s="4966"/>
      <c r="K101" s="4967"/>
      <c r="L101" s="4965"/>
      <c r="M101" s="4965"/>
      <c r="N101" s="4965"/>
      <c r="O101" s="4966"/>
      <c r="P101" s="4968"/>
      <c r="Q101" s="4969"/>
      <c r="R101" s="4965"/>
      <c r="S101" s="4965"/>
      <c r="T101" s="4966"/>
      <c r="U101" s="4967"/>
      <c r="V101" s="4970"/>
      <c r="W101" s="4965"/>
      <c r="X101" s="4965"/>
      <c r="Y101" s="4966"/>
      <c r="Z101" s="4967"/>
      <c r="AA101" s="4970"/>
      <c r="AB101" s="4965"/>
      <c r="AC101" s="4965"/>
      <c r="AD101" s="4966"/>
      <c r="AE101" s="4967"/>
      <c r="AF101" s="4970"/>
      <c r="AG101" s="4965"/>
      <c r="AH101" s="4965"/>
      <c r="AI101" s="4966"/>
      <c r="AJ101" s="4967"/>
      <c r="AK101" s="4965"/>
      <c r="AL101" s="4965"/>
      <c r="AM101" s="4965"/>
      <c r="AN101" s="4966"/>
      <c r="AO101" s="4967"/>
      <c r="AP101" s="4965"/>
      <c r="AQ101" s="4965"/>
      <c r="AR101" s="4965"/>
      <c r="AS101" s="4966"/>
      <c r="AT101" s="4967"/>
      <c r="AU101" s="4965"/>
      <c r="AV101" s="4965"/>
      <c r="AW101" s="4965"/>
      <c r="AX101" s="4966"/>
      <c r="AY101" s="4967"/>
      <c r="AZ101" s="4965"/>
      <c r="BA101" s="4965"/>
      <c r="BB101" s="4965"/>
      <c r="BC101" s="4965"/>
      <c r="BD101" s="4971"/>
      <c r="BE101" s="4972"/>
      <c r="BF101" s="4965"/>
      <c r="BG101" s="4965"/>
      <c r="BH101" s="4965"/>
      <c r="BI101" s="4971"/>
      <c r="BJ101" s="4965"/>
      <c r="BK101" s="4965"/>
      <c r="BL101" s="4965"/>
      <c r="BM101" s="4965"/>
      <c r="BN101" s="4971"/>
      <c r="BO101" s="4965"/>
      <c r="BP101" s="4965"/>
      <c r="BQ101" s="4965"/>
      <c r="BR101" s="4966"/>
      <c r="BS101" s="4967"/>
      <c r="BT101" s="4965"/>
      <c r="BU101" s="4965"/>
      <c r="BV101" s="4965"/>
      <c r="BW101" s="4965"/>
      <c r="BX101" s="4971"/>
      <c r="BY101" s="4965"/>
      <c r="BZ101" s="4965"/>
      <c r="CA101" s="4965"/>
      <c r="CB101" s="4965"/>
      <c r="CC101" s="4971"/>
      <c r="CD101" s="4965"/>
      <c r="CE101" s="4965"/>
      <c r="CF101" s="4965"/>
      <c r="CG101" s="4965"/>
      <c r="CH101" s="4971"/>
      <c r="CI101" s="4965"/>
      <c r="CJ101" s="4965"/>
      <c r="CK101" s="4965"/>
      <c r="CL101" s="4965"/>
      <c r="CM101" s="4971"/>
      <c r="CN101" s="4965"/>
      <c r="CO101" s="4965"/>
      <c r="CP101" s="4965"/>
      <c r="CQ101" s="4965"/>
      <c r="CR101" s="4971"/>
      <c r="CS101" s="4965"/>
      <c r="CT101" s="4965"/>
      <c r="CU101" s="4965"/>
      <c r="CV101" s="4965"/>
      <c r="CW101" s="4971"/>
      <c r="CX101" s="4965"/>
      <c r="CY101" s="4965"/>
      <c r="CZ101" s="4965"/>
      <c r="DA101" s="4965"/>
      <c r="DB101" s="4971"/>
      <c r="DC101" s="4965"/>
      <c r="DD101" s="4965"/>
      <c r="DE101" s="4965"/>
      <c r="DF101" s="4965"/>
      <c r="DG101" s="4973"/>
      <c r="DH101" s="4974"/>
      <c r="DI101" s="4974"/>
      <c r="DJ101" s="4974"/>
      <c r="DK101" s="4974"/>
      <c r="DL101" s="4975">
        <f>DL90/DG90-1</f>
        <v>0.27266092199453218</v>
      </c>
      <c r="DM101" s="4976"/>
      <c r="DN101" s="4976"/>
      <c r="DO101" s="4976"/>
      <c r="DP101" s="4976"/>
      <c r="DQ101" s="4975">
        <f>DQ90/DL90-1</f>
        <v>0.43501292171070216</v>
      </c>
      <c r="DR101" s="4976"/>
      <c r="DS101" s="4976"/>
      <c r="DT101" s="4976"/>
      <c r="DU101" s="4976"/>
      <c r="DV101" s="4975">
        <f>DV90/DQ90-1</f>
        <v>0.41933494775752989</v>
      </c>
      <c r="DW101" s="4976"/>
      <c r="DX101" s="4976"/>
      <c r="DY101" s="4976"/>
      <c r="DZ101" s="4976"/>
      <c r="EA101" s="4975">
        <f>EA90/DV90-1</f>
        <v>0.39218848760925007</v>
      </c>
      <c r="EB101" s="4976"/>
      <c r="EC101" s="4976"/>
      <c r="ED101" s="4976"/>
      <c r="EE101" s="4976"/>
      <c r="EF101" s="4979">
        <f>EF90/EA90-1</f>
        <v>0.22308327897368985</v>
      </c>
      <c r="EG101" s="4976"/>
      <c r="EH101" s="4976"/>
      <c r="EI101" s="4976"/>
      <c r="EJ101" s="4976"/>
      <c r="EK101" s="4979">
        <f>EK90/EF90-1</f>
        <v>4.5188588007736952E-2</v>
      </c>
      <c r="EL101" s="4976"/>
      <c r="EM101" s="4976"/>
      <c r="EN101" s="4976"/>
      <c r="EO101" s="4980"/>
      <c r="EP101" s="4979">
        <f>EP90/EK90-1</f>
        <v>9.6607150197948188E-2</v>
      </c>
      <c r="EQ101" s="4980"/>
      <c r="ER101" s="4980"/>
      <c r="ES101" s="4980"/>
      <c r="ET101" s="4980"/>
      <c r="EU101" s="4979">
        <f>EU90/EP90-1</f>
        <v>0.21319594643422279</v>
      </c>
      <c r="EV101" s="4979">
        <f t="shared" si="278"/>
        <v>0.11841269841269852</v>
      </c>
      <c r="EW101" s="4979">
        <f t="shared" si="278"/>
        <v>0.10239852398523985</v>
      </c>
      <c r="EX101" s="4979">
        <f t="shared" si="278"/>
        <v>9.6234309623430825E-2</v>
      </c>
      <c r="EY101" s="4979">
        <f t="shared" si="278"/>
        <v>8.812213740457997E-2</v>
      </c>
      <c r="EZ101" s="170"/>
      <c r="FA101" s="1319"/>
      <c r="FB101" s="1319"/>
      <c r="FC101" s="511"/>
    </row>
    <row r="102" spans="1:159" s="4" customFormat="1" ht="11.25" hidden="1" customHeight="1" outlineLevel="1">
      <c r="A102" s="4978" t="str">
        <f>A91</f>
        <v>Adj. EBITDA</v>
      </c>
      <c r="B102" s="4965"/>
      <c r="C102" s="4965"/>
      <c r="D102" s="4965"/>
      <c r="E102" s="4966"/>
      <c r="F102" s="4967"/>
      <c r="G102" s="4965"/>
      <c r="H102" s="4965"/>
      <c r="I102" s="4965"/>
      <c r="J102" s="4966"/>
      <c r="K102" s="4967"/>
      <c r="L102" s="4965"/>
      <c r="M102" s="4965"/>
      <c r="N102" s="4965"/>
      <c r="O102" s="4966"/>
      <c r="P102" s="4968"/>
      <c r="Q102" s="4969"/>
      <c r="R102" s="4965"/>
      <c r="S102" s="4965"/>
      <c r="T102" s="4966"/>
      <c r="U102" s="4967"/>
      <c r="V102" s="4970"/>
      <c r="W102" s="4965"/>
      <c r="X102" s="4965"/>
      <c r="Y102" s="4966"/>
      <c r="Z102" s="4967"/>
      <c r="AA102" s="4970"/>
      <c r="AB102" s="4965"/>
      <c r="AC102" s="4965"/>
      <c r="AD102" s="4966"/>
      <c r="AE102" s="4967"/>
      <c r="AF102" s="4970"/>
      <c r="AG102" s="4965"/>
      <c r="AH102" s="4965"/>
      <c r="AI102" s="4966"/>
      <c r="AJ102" s="4967"/>
      <c r="AK102" s="4965"/>
      <c r="AL102" s="4965"/>
      <c r="AM102" s="4965"/>
      <c r="AN102" s="4966"/>
      <c r="AO102" s="4967"/>
      <c r="AP102" s="4965"/>
      <c r="AQ102" s="4965"/>
      <c r="AR102" s="4965"/>
      <c r="AS102" s="4966"/>
      <c r="AT102" s="4967"/>
      <c r="AU102" s="4965"/>
      <c r="AV102" s="4965"/>
      <c r="AW102" s="4965"/>
      <c r="AX102" s="4966"/>
      <c r="AY102" s="4967"/>
      <c r="AZ102" s="4965"/>
      <c r="BA102" s="4965"/>
      <c r="BB102" s="4965"/>
      <c r="BC102" s="4965"/>
      <c r="BD102" s="4971"/>
      <c r="BE102" s="4972"/>
      <c r="BF102" s="4965"/>
      <c r="BG102" s="4965"/>
      <c r="BH102" s="4965"/>
      <c r="BI102" s="4971"/>
      <c r="BJ102" s="4965"/>
      <c r="BK102" s="4965"/>
      <c r="BL102" s="4965"/>
      <c r="BM102" s="4965"/>
      <c r="BN102" s="4971"/>
      <c r="BO102" s="4965"/>
      <c r="BP102" s="4965"/>
      <c r="BQ102" s="4965"/>
      <c r="BR102" s="4966"/>
      <c r="BS102" s="4967"/>
      <c r="BT102" s="4965"/>
      <c r="BU102" s="4965"/>
      <c r="BV102" s="4965"/>
      <c r="BW102" s="4965"/>
      <c r="BX102" s="4971"/>
      <c r="BY102" s="4965"/>
      <c r="BZ102" s="4965"/>
      <c r="CA102" s="4965"/>
      <c r="CB102" s="4965"/>
      <c r="CC102" s="4971"/>
      <c r="CD102" s="4965"/>
      <c r="CE102" s="4965"/>
      <c r="CF102" s="4965"/>
      <c r="CG102" s="4965"/>
      <c r="CH102" s="4971"/>
      <c r="CI102" s="4965"/>
      <c r="CJ102" s="4965"/>
      <c r="CK102" s="4965"/>
      <c r="CL102" s="4965"/>
      <c r="CM102" s="4971"/>
      <c r="CN102" s="4965"/>
      <c r="CO102" s="4965"/>
      <c r="CP102" s="4965"/>
      <c r="CQ102" s="4965"/>
      <c r="CR102" s="4971"/>
      <c r="CS102" s="4965"/>
      <c r="CT102" s="4965"/>
      <c r="CU102" s="4965"/>
      <c r="CV102" s="4965"/>
      <c r="CW102" s="4971"/>
      <c r="CX102" s="4965"/>
      <c r="CY102" s="4965"/>
      <c r="CZ102" s="4965"/>
      <c r="DA102" s="4965"/>
      <c r="DB102" s="4971"/>
      <c r="DC102" s="4965"/>
      <c r="DD102" s="4965"/>
      <c r="DE102" s="4965"/>
      <c r="DF102" s="4965"/>
      <c r="DG102" s="4973"/>
      <c r="DH102" s="4974"/>
      <c r="DI102" s="4974"/>
      <c r="DJ102" s="4974"/>
      <c r="DK102" s="4974"/>
      <c r="DL102" s="4975">
        <f>IF(DL90*DG90&gt;0,(DL90-DG90)/ABS(DG90),"NA")</f>
        <v>0.27266092199453212</v>
      </c>
      <c r="DM102" s="4976"/>
      <c r="DN102" s="4976"/>
      <c r="DO102" s="4976"/>
      <c r="DP102" s="4976"/>
      <c r="DQ102" s="4975">
        <f>IF(DQ90*DL90&gt;0,(DQ90-DL90)/ABS(DL90),"NA")</f>
        <v>0.43501292171070211</v>
      </c>
      <c r="DR102" s="4976"/>
      <c r="DS102" s="4976"/>
      <c r="DT102" s="4976"/>
      <c r="DU102" s="4976"/>
      <c r="DV102" s="4975">
        <f>IF(DV90*DQ90&gt;0,(DV90-DQ90)/ABS(DQ90),"NA")</f>
        <v>0.41933494775752994</v>
      </c>
      <c r="DW102" s="4976"/>
      <c r="DX102" s="4976"/>
      <c r="DY102" s="4976"/>
      <c r="DZ102" s="4976"/>
      <c r="EA102" s="4975">
        <f>IF(EA90*DV90&gt;0,(EA90-DV90)/ABS(DV90),"NA")</f>
        <v>0.39218848760925012</v>
      </c>
      <c r="EB102" s="4976"/>
      <c r="EC102" s="4976"/>
      <c r="ED102" s="4976"/>
      <c r="EE102" s="4976"/>
      <c r="EF102" s="4979">
        <f>IF(EF90*EA90&gt;0,(EF90-EA90)/ABS(EA90),"NA")</f>
        <v>0.22308327897368993</v>
      </c>
      <c r="EG102" s="4976"/>
      <c r="EH102" s="4976"/>
      <c r="EI102" s="4976"/>
      <c r="EJ102" s="4976"/>
      <c r="EK102" s="4979">
        <f>IF(EK90*EF90&gt;0,(EK90-EF90)/ABS(EF90),"NA")</f>
        <v>4.5188588007736979E-2</v>
      </c>
      <c r="EL102" s="4976"/>
      <c r="EM102" s="4976"/>
      <c r="EN102" s="4976"/>
      <c r="EO102" s="4980"/>
      <c r="EP102" s="4979">
        <f>IF(EP90*EK90&gt;0,(EP90-EK90)/ABS(EK90),"NA")</f>
        <v>9.6607150197948161E-2</v>
      </c>
      <c r="EQ102" s="4980"/>
      <c r="ER102" s="4980"/>
      <c r="ES102" s="4980"/>
      <c r="ET102" s="4980"/>
      <c r="EU102" s="4979">
        <f>IF(EU90*EP90&gt;0,(EU90-EP90)/ABS(EP90),"NA")</f>
        <v>0.21319594643422279</v>
      </c>
      <c r="EV102" s="4979">
        <f>IF(EV90*EU90&gt;0,(EV90-EU90)/ABS(EU90),"NA")</f>
        <v>0.11841269841269843</v>
      </c>
      <c r="EW102" s="4979">
        <f>IF(EW90*EV90&gt;0,(EW90-EV90)/ABS(EV90),"NA")</f>
        <v>0.10239852398523991</v>
      </c>
      <c r="EX102" s="4979">
        <f>IF(EX90*EW90&gt;0,(EX90-EW90)/ABS(EW90),"NA")</f>
        <v>9.6234309623430853E-2</v>
      </c>
      <c r="EY102" s="4979">
        <f>IF(EY90*EX90&gt;0,(EY90-EX90)/ABS(EX90),"NA")</f>
        <v>8.8122137404580039E-2</v>
      </c>
      <c r="EZ102" s="170"/>
      <c r="FA102" s="1319"/>
      <c r="FB102" s="1319"/>
      <c r="FC102" s="511"/>
    </row>
    <row r="103" spans="1:159" s="4" customFormat="1" ht="11.25" hidden="1" customHeight="1" outlineLevel="1">
      <c r="A103" s="4905"/>
      <c r="B103" s="170"/>
      <c r="C103" s="170"/>
      <c r="D103" s="170"/>
      <c r="E103" s="286"/>
      <c r="F103" s="4858"/>
      <c r="G103" s="170"/>
      <c r="H103" s="170"/>
      <c r="I103" s="170"/>
      <c r="J103" s="286"/>
      <c r="K103" s="4858"/>
      <c r="L103" s="170"/>
      <c r="M103" s="170"/>
      <c r="N103" s="170"/>
      <c r="O103" s="286"/>
      <c r="P103" s="2657"/>
      <c r="Q103" s="2608"/>
      <c r="R103" s="170"/>
      <c r="S103" s="170"/>
      <c r="T103" s="286"/>
      <c r="U103" s="4858"/>
      <c r="V103" s="4859"/>
      <c r="W103" s="170"/>
      <c r="X103" s="170"/>
      <c r="Y103" s="286"/>
      <c r="Z103" s="4858"/>
      <c r="AA103" s="4859"/>
      <c r="AB103" s="170"/>
      <c r="AC103" s="170"/>
      <c r="AD103" s="286"/>
      <c r="AE103" s="4858"/>
      <c r="AF103" s="4859"/>
      <c r="AG103" s="170"/>
      <c r="AH103" s="170"/>
      <c r="AI103" s="286"/>
      <c r="AJ103" s="4858"/>
      <c r="AK103" s="170"/>
      <c r="AL103" s="170"/>
      <c r="AM103" s="170"/>
      <c r="AN103" s="286"/>
      <c r="AO103" s="4858"/>
      <c r="AP103" s="170"/>
      <c r="AQ103" s="170"/>
      <c r="AR103" s="170"/>
      <c r="AS103" s="286"/>
      <c r="AT103" s="4858"/>
      <c r="AU103" s="170"/>
      <c r="AV103" s="170"/>
      <c r="AW103" s="170"/>
      <c r="AX103" s="286"/>
      <c r="AY103" s="4858"/>
      <c r="AZ103" s="170"/>
      <c r="BA103" s="170"/>
      <c r="BB103" s="170"/>
      <c r="BC103" s="170"/>
      <c r="BD103" s="4860"/>
      <c r="BE103" s="4866"/>
      <c r="BF103" s="170"/>
      <c r="BG103" s="170"/>
      <c r="BH103" s="170"/>
      <c r="BI103" s="4860"/>
      <c r="BJ103" s="170"/>
      <c r="BK103" s="170"/>
      <c r="BL103" s="170"/>
      <c r="BM103" s="170"/>
      <c r="BN103" s="4860"/>
      <c r="BO103" s="170"/>
      <c r="BP103" s="170"/>
      <c r="BQ103" s="170"/>
      <c r="BR103" s="286"/>
      <c r="BS103" s="4858"/>
      <c r="BT103" s="170"/>
      <c r="BU103" s="170"/>
      <c r="BV103" s="170"/>
      <c r="BW103" s="170"/>
      <c r="BX103" s="4860"/>
      <c r="BY103" s="170"/>
      <c r="BZ103" s="170"/>
      <c r="CA103" s="170"/>
      <c r="CB103" s="170"/>
      <c r="CC103" s="4860"/>
      <c r="CD103" s="170"/>
      <c r="CE103" s="170"/>
      <c r="CF103" s="170"/>
      <c r="CG103" s="170"/>
      <c r="CH103" s="4860"/>
      <c r="CI103" s="170"/>
      <c r="CJ103" s="170"/>
      <c r="CK103" s="170"/>
      <c r="CL103" s="170"/>
      <c r="CM103" s="4860"/>
      <c r="CN103" s="170"/>
      <c r="CO103" s="170"/>
      <c r="CP103" s="170"/>
      <c r="CQ103" s="170"/>
      <c r="CR103" s="4860"/>
      <c r="CS103" s="170"/>
      <c r="CT103" s="170"/>
      <c r="CU103" s="170"/>
      <c r="CV103" s="170"/>
      <c r="CW103" s="4860"/>
      <c r="CX103" s="170"/>
      <c r="CY103" s="170"/>
      <c r="CZ103" s="170"/>
      <c r="DA103" s="170"/>
      <c r="DB103" s="4860"/>
      <c r="DC103" s="170"/>
      <c r="DD103" s="170"/>
      <c r="DE103" s="170"/>
      <c r="DF103" s="170"/>
      <c r="DG103" s="4863"/>
      <c r="DH103" s="4865"/>
      <c r="DI103" s="4865"/>
      <c r="DJ103" s="4865"/>
      <c r="DK103" s="4865"/>
      <c r="DL103" s="4863"/>
      <c r="DM103" s="4865"/>
      <c r="DN103" s="4865"/>
      <c r="DO103" s="4865"/>
      <c r="DP103" s="4865"/>
      <c r="DQ103" s="4863"/>
      <c r="DR103" s="4865"/>
      <c r="DS103" s="4865"/>
      <c r="DT103" s="4865"/>
      <c r="DU103" s="4865"/>
      <c r="DV103" s="4863"/>
      <c r="DW103" s="4865"/>
      <c r="DX103" s="4865"/>
      <c r="DY103" s="4865"/>
      <c r="DZ103" s="4865"/>
      <c r="EA103" s="4863"/>
      <c r="EB103" s="4865"/>
      <c r="EC103" s="4865"/>
      <c r="ED103" s="4865"/>
      <c r="EE103" s="4865"/>
      <c r="EF103" s="4863"/>
      <c r="EG103" s="4865"/>
      <c r="EH103" s="4865"/>
      <c r="EI103" s="4865"/>
      <c r="EJ103" s="4865"/>
      <c r="EK103" s="4863"/>
      <c r="EL103" s="4865"/>
      <c r="EM103" s="4865"/>
      <c r="EN103" s="4865"/>
      <c r="EO103" s="4865"/>
      <c r="EP103" s="4863"/>
      <c r="EQ103" s="4865"/>
      <c r="ER103" s="4865"/>
      <c r="ES103" s="4865"/>
      <c r="ET103" s="4865"/>
      <c r="EU103" s="4863"/>
      <c r="EV103" s="4863"/>
      <c r="EW103" s="4863"/>
      <c r="EX103" s="4863"/>
      <c r="EY103" s="4863"/>
      <c r="EZ103" s="170"/>
      <c r="FA103" s="1319"/>
      <c r="FB103" s="1319"/>
      <c r="FC103" s="511"/>
    </row>
    <row r="104" spans="1:159" s="4" customFormat="1" ht="11.25" customHeight="1" collapsed="1">
      <c r="A104" s="4916" t="s">
        <v>980</v>
      </c>
      <c r="B104" s="4917"/>
      <c r="C104" s="4917"/>
      <c r="D104" s="4917"/>
      <c r="E104" s="4918"/>
      <c r="F104" s="4919"/>
      <c r="G104" s="4917"/>
      <c r="H104" s="4917"/>
      <c r="I104" s="4917"/>
      <c r="J104" s="4918"/>
      <c r="K104" s="4919"/>
      <c r="L104" s="4917"/>
      <c r="M104" s="4917"/>
      <c r="N104" s="4917"/>
      <c r="O104" s="4918"/>
      <c r="P104" s="4920"/>
      <c r="Q104" s="4921"/>
      <c r="R104" s="4917"/>
      <c r="S104" s="4917"/>
      <c r="T104" s="4918"/>
      <c r="U104" s="4919"/>
      <c r="V104" s="4922"/>
      <c r="W104" s="4917"/>
      <c r="X104" s="4917"/>
      <c r="Y104" s="4918"/>
      <c r="Z104" s="4919"/>
      <c r="AA104" s="4922"/>
      <c r="AB104" s="4917"/>
      <c r="AC104" s="4917"/>
      <c r="AD104" s="4918"/>
      <c r="AE104" s="4919"/>
      <c r="AF104" s="4922"/>
      <c r="AG104" s="4917"/>
      <c r="AH104" s="4917"/>
      <c r="AI104" s="4918"/>
      <c r="AJ104" s="4919"/>
      <c r="AK104" s="4917"/>
      <c r="AL104" s="4917"/>
      <c r="AM104" s="4917"/>
      <c r="AN104" s="4918"/>
      <c r="AO104" s="4919"/>
      <c r="AP104" s="4917"/>
      <c r="AQ104" s="4917"/>
      <c r="AR104" s="4917"/>
      <c r="AS104" s="4918"/>
      <c r="AT104" s="4919"/>
      <c r="AU104" s="4917"/>
      <c r="AV104" s="4917"/>
      <c r="AW104" s="4917"/>
      <c r="AX104" s="4918"/>
      <c r="AY104" s="4919"/>
      <c r="AZ104" s="4917"/>
      <c r="BA104" s="4917"/>
      <c r="BB104" s="4917"/>
      <c r="BC104" s="4917"/>
      <c r="BD104" s="4923"/>
      <c r="BE104" s="4924"/>
      <c r="BF104" s="4917"/>
      <c r="BG104" s="4917"/>
      <c r="BH104" s="4917"/>
      <c r="BI104" s="4923"/>
      <c r="BJ104" s="4917"/>
      <c r="BK104" s="4917"/>
      <c r="BL104" s="4917"/>
      <c r="BM104" s="4917"/>
      <c r="BN104" s="4923"/>
      <c r="BO104" s="4917"/>
      <c r="BP104" s="4917"/>
      <c r="BQ104" s="4917"/>
      <c r="BR104" s="4918"/>
      <c r="BS104" s="4919"/>
      <c r="BT104" s="4917"/>
      <c r="BU104" s="4917"/>
      <c r="BV104" s="4917"/>
      <c r="BW104" s="4917"/>
      <c r="BX104" s="4923"/>
      <c r="BY104" s="4917"/>
      <c r="BZ104" s="4917"/>
      <c r="CA104" s="4917"/>
      <c r="CB104" s="4917"/>
      <c r="CC104" s="4923"/>
      <c r="CD104" s="4917"/>
      <c r="CE104" s="4917"/>
      <c r="CF104" s="4917"/>
      <c r="CG104" s="4917"/>
      <c r="CH104" s="4923"/>
      <c r="CI104" s="4917"/>
      <c r="CJ104" s="4917"/>
      <c r="CK104" s="4917"/>
      <c r="CL104" s="4917"/>
      <c r="CM104" s="4923"/>
      <c r="CN104" s="4917"/>
      <c r="CO104" s="4917"/>
      <c r="CP104" s="4917"/>
      <c r="CQ104" s="4917"/>
      <c r="CR104" s="4923"/>
      <c r="CS104" s="4917"/>
      <c r="CT104" s="4917"/>
      <c r="CU104" s="4917"/>
      <c r="CV104" s="4917"/>
      <c r="CW104" s="4923"/>
      <c r="CX104" s="4917"/>
      <c r="CY104" s="4917"/>
      <c r="CZ104" s="4917"/>
      <c r="DA104" s="4917"/>
      <c r="DB104" s="4923"/>
      <c r="DC104" s="4917"/>
      <c r="DD104" s="4917"/>
      <c r="DE104" s="4917"/>
      <c r="DF104" s="4917"/>
      <c r="DG104" s="4925"/>
      <c r="DH104" s="4926"/>
      <c r="DI104" s="4926"/>
      <c r="DJ104" s="4926"/>
      <c r="DK104" s="4926"/>
      <c r="DL104" s="4925"/>
      <c r="DM104" s="4926"/>
      <c r="DN104" s="4926"/>
      <c r="DO104" s="4926"/>
      <c r="DP104" s="4926"/>
      <c r="DQ104" s="4925"/>
      <c r="DR104" s="4926"/>
      <c r="DS104" s="4926"/>
      <c r="DT104" s="4926"/>
      <c r="DU104" s="4926"/>
      <c r="DV104" s="4925"/>
      <c r="DW104" s="4926"/>
      <c r="DX104" s="4926"/>
      <c r="DY104" s="4926"/>
      <c r="DZ104" s="4926"/>
      <c r="EA104" s="4925"/>
      <c r="EB104" s="4926"/>
      <c r="EC104" s="4926"/>
      <c r="ED104" s="4926"/>
      <c r="EE104" s="4926"/>
      <c r="EF104" s="4925"/>
      <c r="EG104" s="4926"/>
      <c r="EH104" s="4926"/>
      <c r="EI104" s="4926"/>
      <c r="EJ104" s="4926"/>
      <c r="EK104" s="4925"/>
      <c r="EL104" s="4926"/>
      <c r="EM104" s="4926"/>
      <c r="EN104" s="4926"/>
      <c r="EO104" s="4926"/>
      <c r="EP104" s="4925"/>
      <c r="EQ104" s="4926"/>
      <c r="ER104" s="4926"/>
      <c r="ES104" s="4926"/>
      <c r="ET104" s="4926"/>
      <c r="EU104" s="4925"/>
      <c r="EV104" s="4925"/>
      <c r="EW104" s="4925"/>
      <c r="EX104" s="4925"/>
      <c r="EY104" s="4925"/>
      <c r="EZ104" s="170"/>
      <c r="FA104" s="1319"/>
      <c r="FB104" s="1319"/>
      <c r="FC104" s="511"/>
    </row>
    <row r="105" spans="1:159" s="4" customFormat="1" ht="11.25" customHeight="1">
      <c r="A105" s="4905" t="str">
        <f>A81</f>
        <v>GAAP Costs &amp; Opex</v>
      </c>
      <c r="B105" s="170"/>
      <c r="C105" s="170"/>
      <c r="D105" s="170"/>
      <c r="E105" s="286"/>
      <c r="F105" s="4858"/>
      <c r="G105" s="170"/>
      <c r="H105" s="170"/>
      <c r="I105" s="170"/>
      <c r="J105" s="286"/>
      <c r="K105" s="4858"/>
      <c r="L105" s="170"/>
      <c r="M105" s="170"/>
      <c r="N105" s="170"/>
      <c r="O105" s="286"/>
      <c r="P105" s="2657"/>
      <c r="Q105" s="2608"/>
      <c r="R105" s="170"/>
      <c r="S105" s="170"/>
      <c r="T105" s="286"/>
      <c r="U105" s="4858"/>
      <c r="V105" s="4859"/>
      <c r="W105" s="170"/>
      <c r="X105" s="170"/>
      <c r="Y105" s="286"/>
      <c r="Z105" s="4858"/>
      <c r="AA105" s="4859"/>
      <c r="AB105" s="170"/>
      <c r="AC105" s="170"/>
      <c r="AD105" s="286"/>
      <c r="AE105" s="4858"/>
      <c r="AF105" s="4859"/>
      <c r="AG105" s="170"/>
      <c r="AH105" s="170"/>
      <c r="AI105" s="286"/>
      <c r="AJ105" s="4858"/>
      <c r="AK105" s="170"/>
      <c r="AL105" s="170"/>
      <c r="AM105" s="170"/>
      <c r="AN105" s="286"/>
      <c r="AO105" s="4858"/>
      <c r="AP105" s="170"/>
      <c r="AQ105" s="170"/>
      <c r="AR105" s="170"/>
      <c r="AS105" s="286"/>
      <c r="AT105" s="4858"/>
      <c r="AU105" s="170"/>
      <c r="AV105" s="170"/>
      <c r="AW105" s="170"/>
      <c r="AX105" s="286"/>
      <c r="AY105" s="4858"/>
      <c r="AZ105" s="170"/>
      <c r="BA105" s="170"/>
      <c r="BB105" s="170"/>
      <c r="BC105" s="170"/>
      <c r="BD105" s="4860"/>
      <c r="BE105" s="4866"/>
      <c r="BF105" s="170"/>
      <c r="BG105" s="170"/>
      <c r="BH105" s="170"/>
      <c r="BI105" s="4860"/>
      <c r="BJ105" s="170"/>
      <c r="BK105" s="170"/>
      <c r="BL105" s="170"/>
      <c r="BM105" s="170"/>
      <c r="BN105" s="4860"/>
      <c r="BO105" s="170"/>
      <c r="BP105" s="170"/>
      <c r="BQ105" s="170"/>
      <c r="BR105" s="286"/>
      <c r="BS105" s="4858"/>
      <c r="BT105" s="170"/>
      <c r="BU105" s="170"/>
      <c r="BV105" s="170"/>
      <c r="BW105" s="170"/>
      <c r="BX105" s="4860"/>
      <c r="BY105" s="170"/>
      <c r="BZ105" s="170"/>
      <c r="CA105" s="170"/>
      <c r="CB105" s="170"/>
      <c r="CC105" s="4860"/>
      <c r="CD105" s="170"/>
      <c r="CE105" s="170"/>
      <c r="CF105" s="170"/>
      <c r="CG105" s="170"/>
      <c r="CH105" s="4860"/>
      <c r="CI105" s="170"/>
      <c r="CJ105" s="170"/>
      <c r="CK105" s="170"/>
      <c r="CL105" s="170"/>
      <c r="CM105" s="4860"/>
      <c r="CN105" s="170"/>
      <c r="CO105" s="170"/>
      <c r="CP105" s="170"/>
      <c r="CQ105" s="170"/>
      <c r="CR105" s="2957"/>
      <c r="CS105" s="2618"/>
      <c r="CT105" s="2618"/>
      <c r="CU105" s="2618"/>
      <c r="CV105" s="2618"/>
      <c r="CW105" s="2957"/>
      <c r="CX105" s="2618"/>
      <c r="CY105" s="2618"/>
      <c r="CZ105" s="2618"/>
      <c r="DA105" s="2618"/>
      <c r="DB105" s="2957"/>
      <c r="DC105" s="2618"/>
      <c r="DD105" s="2618"/>
      <c r="DE105" s="2618"/>
      <c r="DF105" s="2618"/>
      <c r="DG105" s="2957">
        <f>DG81/DG$80</f>
        <v>1.7447756080849606</v>
      </c>
      <c r="DH105" s="2618"/>
      <c r="DI105" s="2618"/>
      <c r="DJ105" s="2618"/>
      <c r="DK105" s="2618">
        <f t="shared" ref="DK105:DV105" si="279">DK81/DK$80</f>
        <v>1.4567712318286152</v>
      </c>
      <c r="DL105" s="2957">
        <f t="shared" si="279"/>
        <v>1.5208566943260822</v>
      </c>
      <c r="DM105" s="2618">
        <f t="shared" si="279"/>
        <v>1.6229744328411955</v>
      </c>
      <c r="DN105" s="2618">
        <f t="shared" si="279"/>
        <v>1.4742268041237114</v>
      </c>
      <c r="DO105" s="2618">
        <f t="shared" si="279"/>
        <v>1.3507549361207898</v>
      </c>
      <c r="DP105" s="2618">
        <f t="shared" si="279"/>
        <v>1.3244583659618898</v>
      </c>
      <c r="DQ105" s="2957">
        <f t="shared" si="279"/>
        <v>1.4293590627153687</v>
      </c>
      <c r="DR105" s="2618">
        <f t="shared" si="279"/>
        <v>1.2406721027921916</v>
      </c>
      <c r="DS105" s="2618">
        <f t="shared" si="279"/>
        <v>1.1277009507346587</v>
      </c>
      <c r="DT105" s="2618">
        <f t="shared" si="279"/>
        <v>1.1290581162324649</v>
      </c>
      <c r="DU105" s="2618">
        <f t="shared" si="279"/>
        <v>1.1606208265656019</v>
      </c>
      <c r="DV105" s="2957">
        <f t="shared" si="279"/>
        <v>1.1613558263042798</v>
      </c>
      <c r="DW105" s="2618">
        <f t="shared" ref="DW105:EF105" si="280">DW81/DW$80</f>
        <v>1.1212850025768768</v>
      </c>
      <c r="DX105" s="2618">
        <f t="shared" si="280"/>
        <v>1.0940089228808159</v>
      </c>
      <c r="DY105" s="2618">
        <f t="shared" si="280"/>
        <v>1.0640652300524169</v>
      </c>
      <c r="DZ105" s="2618">
        <f t="shared" si="280"/>
        <v>1.0254272043745727</v>
      </c>
      <c r="EA105" s="2957">
        <f t="shared" si="280"/>
        <v>1.0731354642313546</v>
      </c>
      <c r="EB105" s="2618">
        <f>EB81/EB$80</f>
        <v>0.97437617386638042</v>
      </c>
      <c r="EC105" s="2618">
        <f>EC81/EC$80</f>
        <v>0.95081558959033741</v>
      </c>
      <c r="ED105" s="2618">
        <f>ED81/ED$80</f>
        <v>0.96837474735465456</v>
      </c>
      <c r="EE105" s="2618">
        <f t="shared" ref="EE105" si="281">EE81/EE$80</f>
        <v>0.90600522193211486</v>
      </c>
      <c r="EF105" s="2958">
        <f t="shared" si="280"/>
        <v>0.94813829787234039</v>
      </c>
      <c r="EG105" s="127">
        <f>EG81/EG$80</f>
        <v>0.90599540421976188</v>
      </c>
      <c r="EH105" s="127">
        <f>EH81/EH$80</f>
        <v>0.8867304532714797</v>
      </c>
      <c r="EI105" s="127">
        <f>EI81/EI$80</f>
        <v>0.82850347925658419</v>
      </c>
      <c r="EJ105" s="127">
        <f t="shared" ref="EJ105" si="282">EJ81/EJ$80</f>
        <v>0.82492680886658298</v>
      </c>
      <c r="EK105" s="2958">
        <f t="shared" ref="EK105:EW105" si="283">EK81/EK$80</f>
        <v>0.85861343079876939</v>
      </c>
      <c r="EL105" s="127">
        <f>EL81/EL$80</f>
        <v>0.82243066884176186</v>
      </c>
      <c r="EM105" s="127">
        <f>EM81/EM$80</f>
        <v>0.79257193188490893</v>
      </c>
      <c r="EN105" s="127">
        <f>EN81/EN$80</f>
        <v>0.76288183677508736</v>
      </c>
      <c r="EO105" s="127">
        <f t="shared" ref="EO105:EP105" si="284">EO81/EO$80</f>
        <v>0.76</v>
      </c>
      <c r="EP105" s="2958">
        <f t="shared" si="284"/>
        <v>0.78176448837906976</v>
      </c>
      <c r="EQ105" s="127">
        <f t="shared" ref="EQ105:EU105" si="285">EQ81/EQ$80</f>
        <v>0.75</v>
      </c>
      <c r="ER105" s="127">
        <f t="shared" si="285"/>
        <v>0.754</v>
      </c>
      <c r="ES105" s="127">
        <f t="shared" si="285"/>
        <v>0.76100000000000001</v>
      </c>
      <c r="ET105" s="127">
        <f t="shared" si="285"/>
        <v>0.76700000000000002</v>
      </c>
      <c r="EU105" s="2958">
        <f t="shared" si="285"/>
        <v>0.7587347212194675</v>
      </c>
      <c r="EV105" s="2958">
        <f t="shared" si="283"/>
        <v>0.77</v>
      </c>
      <c r="EW105" s="2958">
        <f t="shared" si="283"/>
        <v>0.74399999999999988</v>
      </c>
      <c r="EX105" s="2958">
        <f t="shared" ref="EX105:EY105" si="286">EX81/EX$80</f>
        <v>0.71499999999999997</v>
      </c>
      <c r="EY105" s="2958">
        <f t="shared" si="286"/>
        <v>0.68</v>
      </c>
      <c r="EZ105" s="170"/>
      <c r="FA105" s="1319"/>
      <c r="FB105" s="1319"/>
      <c r="FC105" s="511"/>
    </row>
    <row r="106" spans="1:159" s="4" customFormat="1" ht="11.25" customHeight="1">
      <c r="A106" s="4978" t="str">
        <f>A89</f>
        <v>D&amp;A</v>
      </c>
      <c r="B106" s="4965"/>
      <c r="C106" s="4965"/>
      <c r="D106" s="4965"/>
      <c r="E106" s="4966"/>
      <c r="F106" s="4967"/>
      <c r="G106" s="4965"/>
      <c r="H106" s="4965"/>
      <c r="I106" s="4965"/>
      <c r="J106" s="4966"/>
      <c r="K106" s="4967"/>
      <c r="L106" s="4965"/>
      <c r="M106" s="4965"/>
      <c r="N106" s="4965"/>
      <c r="O106" s="4966"/>
      <c r="P106" s="4968"/>
      <c r="Q106" s="4969"/>
      <c r="R106" s="4965"/>
      <c r="S106" s="4965"/>
      <c r="T106" s="4966"/>
      <c r="U106" s="4967"/>
      <c r="V106" s="4970"/>
      <c r="W106" s="4965"/>
      <c r="X106" s="4965"/>
      <c r="Y106" s="4966"/>
      <c r="Z106" s="4967"/>
      <c r="AA106" s="4970"/>
      <c r="AB106" s="4965"/>
      <c r="AC106" s="4965"/>
      <c r="AD106" s="4966"/>
      <c r="AE106" s="4967"/>
      <c r="AF106" s="4970"/>
      <c r="AG106" s="4965"/>
      <c r="AH106" s="4965"/>
      <c r="AI106" s="4966"/>
      <c r="AJ106" s="4967"/>
      <c r="AK106" s="4965"/>
      <c r="AL106" s="4965"/>
      <c r="AM106" s="4965"/>
      <c r="AN106" s="4966"/>
      <c r="AO106" s="4967"/>
      <c r="AP106" s="4965"/>
      <c r="AQ106" s="4965"/>
      <c r="AR106" s="4965"/>
      <c r="AS106" s="4966"/>
      <c r="AT106" s="4967"/>
      <c r="AU106" s="4965"/>
      <c r="AV106" s="4965"/>
      <c r="AW106" s="4965"/>
      <c r="AX106" s="4966"/>
      <c r="AY106" s="4967"/>
      <c r="AZ106" s="4965"/>
      <c r="BA106" s="4965"/>
      <c r="BB106" s="4965"/>
      <c r="BC106" s="4965"/>
      <c r="BD106" s="4971"/>
      <c r="BE106" s="4972"/>
      <c r="BF106" s="4965"/>
      <c r="BG106" s="4965"/>
      <c r="BH106" s="4965"/>
      <c r="BI106" s="4971"/>
      <c r="BJ106" s="4965"/>
      <c r="BK106" s="4965"/>
      <c r="BL106" s="4965"/>
      <c r="BM106" s="4965"/>
      <c r="BN106" s="4971"/>
      <c r="BO106" s="4965"/>
      <c r="BP106" s="4965"/>
      <c r="BQ106" s="4965"/>
      <c r="BR106" s="4966"/>
      <c r="BS106" s="4967"/>
      <c r="BT106" s="4965"/>
      <c r="BU106" s="4965"/>
      <c r="BV106" s="4965"/>
      <c r="BW106" s="4965"/>
      <c r="BX106" s="4971"/>
      <c r="BY106" s="4965"/>
      <c r="BZ106" s="4965"/>
      <c r="CA106" s="4965"/>
      <c r="CB106" s="4965"/>
      <c r="CC106" s="4971"/>
      <c r="CD106" s="4965"/>
      <c r="CE106" s="4965"/>
      <c r="CF106" s="4965"/>
      <c r="CG106" s="4965"/>
      <c r="CH106" s="4971"/>
      <c r="CI106" s="4965"/>
      <c r="CJ106" s="4965"/>
      <c r="CK106" s="4965"/>
      <c r="CL106" s="4965"/>
      <c r="CM106" s="4971"/>
      <c r="CN106" s="4965"/>
      <c r="CO106" s="4965"/>
      <c r="CP106" s="4965"/>
      <c r="CQ106" s="4965"/>
      <c r="CR106" s="4975"/>
      <c r="CS106" s="4976"/>
      <c r="CT106" s="4976"/>
      <c r="CU106" s="4976"/>
      <c r="CV106" s="4976"/>
      <c r="CW106" s="4975"/>
      <c r="CX106" s="4976"/>
      <c r="CY106" s="4976"/>
      <c r="CZ106" s="4976"/>
      <c r="DA106" s="4976"/>
      <c r="DB106" s="4975"/>
      <c r="DC106" s="4976"/>
      <c r="DD106" s="4976"/>
      <c r="DE106" s="4976"/>
      <c r="DF106" s="4976"/>
      <c r="DG106" s="4977">
        <v>0.35</v>
      </c>
      <c r="DH106" s="4976"/>
      <c r="DI106" s="4976"/>
      <c r="DJ106" s="4976"/>
      <c r="DK106" s="4976"/>
      <c r="DL106" s="4977">
        <v>0.34</v>
      </c>
      <c r="DM106" s="4976"/>
      <c r="DN106" s="4976"/>
      <c r="DO106" s="4976"/>
      <c r="DP106" s="4976"/>
      <c r="DQ106" s="4977">
        <v>0.32</v>
      </c>
      <c r="DR106" s="4976"/>
      <c r="DS106" s="4976"/>
      <c r="DT106" s="4976"/>
      <c r="DU106" s="4976"/>
      <c r="DV106" s="4977">
        <v>0.19500000000000001</v>
      </c>
      <c r="DW106" s="4976"/>
      <c r="DX106" s="4976"/>
      <c r="DY106" s="4976"/>
      <c r="DZ106" s="4976"/>
      <c r="EA106" s="4977">
        <v>0.19400000000000001</v>
      </c>
      <c r="EB106" s="4976"/>
      <c r="EC106" s="4976"/>
      <c r="ED106" s="4976"/>
      <c r="EE106" s="4976"/>
      <c r="EF106" s="4977">
        <v>0.123</v>
      </c>
      <c r="EG106" s="4976"/>
      <c r="EH106" s="4976"/>
      <c r="EI106" s="4976"/>
      <c r="EJ106" s="4976"/>
      <c r="EK106" s="4977">
        <v>0.10199999999999999</v>
      </c>
      <c r="EL106" s="4976"/>
      <c r="EM106" s="4976"/>
      <c r="EN106" s="4976"/>
      <c r="EO106" s="4976"/>
      <c r="EP106" s="4977">
        <v>0.122</v>
      </c>
      <c r="EQ106" s="4976"/>
      <c r="ER106" s="4976"/>
      <c r="ES106" s="4976"/>
      <c r="ET106" s="4976"/>
      <c r="EU106" s="4977">
        <v>0.20250000000000001</v>
      </c>
      <c r="EV106" s="4977">
        <v>0.23100000000000001</v>
      </c>
      <c r="EW106" s="4977">
        <v>0.21199999999999999</v>
      </c>
      <c r="EX106" s="4977">
        <v>0.1925</v>
      </c>
      <c r="EY106" s="4977">
        <v>0.17699999999999999</v>
      </c>
      <c r="EZ106" s="170"/>
      <c r="FA106" s="1319"/>
      <c r="FB106" s="1319"/>
      <c r="FC106" s="511"/>
    </row>
    <row r="107" spans="1:159" s="4" customFormat="1" ht="11.25" customHeight="1">
      <c r="A107" s="4978" t="str">
        <f>A90</f>
        <v>SBC</v>
      </c>
      <c r="B107" s="4965"/>
      <c r="C107" s="4965"/>
      <c r="D107" s="4965"/>
      <c r="E107" s="4966"/>
      <c r="F107" s="4967"/>
      <c r="G107" s="4965"/>
      <c r="H107" s="4965"/>
      <c r="I107" s="4965"/>
      <c r="J107" s="4966"/>
      <c r="K107" s="4967"/>
      <c r="L107" s="4965"/>
      <c r="M107" s="4965"/>
      <c r="N107" s="4965"/>
      <c r="O107" s="4966"/>
      <c r="P107" s="4968"/>
      <c r="Q107" s="4969"/>
      <c r="R107" s="4965"/>
      <c r="S107" s="4965"/>
      <c r="T107" s="4966"/>
      <c r="U107" s="4967"/>
      <c r="V107" s="4970"/>
      <c r="W107" s="4965"/>
      <c r="X107" s="4965"/>
      <c r="Y107" s="4966"/>
      <c r="Z107" s="4967"/>
      <c r="AA107" s="4970"/>
      <c r="AB107" s="4965"/>
      <c r="AC107" s="4965"/>
      <c r="AD107" s="4966"/>
      <c r="AE107" s="4967"/>
      <c r="AF107" s="4970"/>
      <c r="AG107" s="4965"/>
      <c r="AH107" s="4965"/>
      <c r="AI107" s="4966"/>
      <c r="AJ107" s="4967"/>
      <c r="AK107" s="4965"/>
      <c r="AL107" s="4965"/>
      <c r="AM107" s="4965"/>
      <c r="AN107" s="4966"/>
      <c r="AO107" s="4967"/>
      <c r="AP107" s="4965"/>
      <c r="AQ107" s="4965"/>
      <c r="AR107" s="4965"/>
      <c r="AS107" s="4966"/>
      <c r="AT107" s="4967"/>
      <c r="AU107" s="4965"/>
      <c r="AV107" s="4965"/>
      <c r="AW107" s="4965"/>
      <c r="AX107" s="4966"/>
      <c r="AY107" s="4967"/>
      <c r="AZ107" s="4965"/>
      <c r="BA107" s="4965"/>
      <c r="BB107" s="4965"/>
      <c r="BC107" s="4965"/>
      <c r="BD107" s="4971"/>
      <c r="BE107" s="4972"/>
      <c r="BF107" s="4965"/>
      <c r="BG107" s="4965"/>
      <c r="BH107" s="4965"/>
      <c r="BI107" s="4971"/>
      <c r="BJ107" s="4965"/>
      <c r="BK107" s="4965"/>
      <c r="BL107" s="4965"/>
      <c r="BM107" s="4965"/>
      <c r="BN107" s="4971"/>
      <c r="BO107" s="4965"/>
      <c r="BP107" s="4965"/>
      <c r="BQ107" s="4965"/>
      <c r="BR107" s="4966"/>
      <c r="BS107" s="4967"/>
      <c r="BT107" s="4965"/>
      <c r="BU107" s="4965"/>
      <c r="BV107" s="4965"/>
      <c r="BW107" s="4965"/>
      <c r="BX107" s="4971"/>
      <c r="BY107" s="4965"/>
      <c r="BZ107" s="4965"/>
      <c r="CA107" s="4965"/>
      <c r="CB107" s="4965"/>
      <c r="CC107" s="4971"/>
      <c r="CD107" s="4965"/>
      <c r="CE107" s="4965"/>
      <c r="CF107" s="4965"/>
      <c r="CG107" s="4965"/>
      <c r="CH107" s="4971"/>
      <c r="CI107" s="4965"/>
      <c r="CJ107" s="4965"/>
      <c r="CK107" s="4965"/>
      <c r="CL107" s="4965"/>
      <c r="CM107" s="4971"/>
      <c r="CN107" s="4965"/>
      <c r="CO107" s="4965"/>
      <c r="CP107" s="4965"/>
      <c r="CQ107" s="4965"/>
      <c r="CR107" s="4975"/>
      <c r="CS107" s="4976"/>
      <c r="CT107" s="4976"/>
      <c r="CU107" s="4976"/>
      <c r="CV107" s="4976"/>
      <c r="CW107" s="4975"/>
      <c r="CX107" s="4976"/>
      <c r="CY107" s="4976"/>
      <c r="CZ107" s="4976"/>
      <c r="DA107" s="4976"/>
      <c r="DB107" s="4975"/>
      <c r="DC107" s="4976"/>
      <c r="DD107" s="4976"/>
      <c r="DE107" s="4976"/>
      <c r="DF107" s="4976"/>
      <c r="DG107" s="4975">
        <f>DG90/DG80</f>
        <v>0.21829704842922198</v>
      </c>
      <c r="DH107" s="4976"/>
      <c r="DI107" s="4976"/>
      <c r="DJ107" s="4976"/>
      <c r="DK107" s="4976"/>
      <c r="DL107" s="4975">
        <f>DL90/DL80</f>
        <v>0.18186837874212244</v>
      </c>
      <c r="DM107" s="4976"/>
      <c r="DN107" s="4976"/>
      <c r="DO107" s="4976"/>
      <c r="DP107" s="4976"/>
      <c r="DQ107" s="4975">
        <f>DQ90/DQ80</f>
        <v>0.17822579195029958</v>
      </c>
      <c r="DR107" s="4976"/>
      <c r="DS107" s="4976"/>
      <c r="DT107" s="4976"/>
      <c r="DU107" s="4976"/>
      <c r="DV107" s="4977">
        <v>0.17199999999999999</v>
      </c>
      <c r="DW107" s="4976"/>
      <c r="DX107" s="4976"/>
      <c r="DY107" s="4976"/>
      <c r="DZ107" s="4976"/>
      <c r="EA107" s="4977">
        <v>0.17499999999999999</v>
      </c>
      <c r="EB107" s="4976"/>
      <c r="EC107" s="4976"/>
      <c r="ED107" s="4976"/>
      <c r="EE107" s="4976"/>
      <c r="EF107" s="4977">
        <v>0.17</v>
      </c>
      <c r="EG107" s="4976"/>
      <c r="EH107" s="4976"/>
      <c r="EI107" s="4976"/>
      <c r="EJ107" s="4976"/>
      <c r="EK107" s="4977">
        <v>0.13600000000000001</v>
      </c>
      <c r="EL107" s="4976"/>
      <c r="EM107" s="4976"/>
      <c r="EN107" s="4976"/>
      <c r="EO107" s="4976"/>
      <c r="EP107" s="4977">
        <v>0.112</v>
      </c>
      <c r="EQ107" s="4976"/>
      <c r="ER107" s="4976"/>
      <c r="ES107" s="4976"/>
      <c r="ET107" s="4976"/>
      <c r="EU107" s="4977">
        <v>9.4500000000000001E-2</v>
      </c>
      <c r="EV107" s="4977">
        <v>8.1299999999999997E-2</v>
      </c>
      <c r="EW107" s="4977">
        <v>7.17E-2</v>
      </c>
      <c r="EX107" s="4977">
        <v>6.5500000000000003E-2</v>
      </c>
      <c r="EY107" s="4977">
        <v>6.0400000000000002E-2</v>
      </c>
      <c r="EZ107" s="170"/>
      <c r="FA107" s="1319"/>
      <c r="FB107" s="1319"/>
      <c r="FC107" s="511"/>
    </row>
    <row r="108" spans="1:159" s="4" customFormat="1" ht="11.25" hidden="1" customHeight="1" outlineLevel="1">
      <c r="A108" s="4905"/>
      <c r="B108" s="170"/>
      <c r="C108" s="170"/>
      <c r="D108" s="170"/>
      <c r="E108" s="286"/>
      <c r="F108" s="4858"/>
      <c r="G108" s="170"/>
      <c r="H108" s="170"/>
      <c r="I108" s="170"/>
      <c r="J108" s="286"/>
      <c r="K108" s="4858"/>
      <c r="L108" s="170"/>
      <c r="M108" s="170"/>
      <c r="N108" s="170"/>
      <c r="O108" s="286"/>
      <c r="P108" s="2657"/>
      <c r="Q108" s="2608"/>
      <c r="R108" s="170"/>
      <c r="S108" s="170"/>
      <c r="T108" s="286"/>
      <c r="U108" s="4858"/>
      <c r="V108" s="4859"/>
      <c r="W108" s="170"/>
      <c r="X108" s="170"/>
      <c r="Y108" s="286"/>
      <c r="Z108" s="4858"/>
      <c r="AA108" s="4859"/>
      <c r="AB108" s="170"/>
      <c r="AC108" s="170"/>
      <c r="AD108" s="286"/>
      <c r="AE108" s="4858"/>
      <c r="AF108" s="4859"/>
      <c r="AG108" s="170"/>
      <c r="AH108" s="170"/>
      <c r="AI108" s="286"/>
      <c r="AJ108" s="4858"/>
      <c r="AK108" s="170"/>
      <c r="AL108" s="170"/>
      <c r="AM108" s="170"/>
      <c r="AN108" s="286"/>
      <c r="AO108" s="4858"/>
      <c r="AP108" s="170"/>
      <c r="AQ108" s="170"/>
      <c r="AR108" s="170"/>
      <c r="AS108" s="286"/>
      <c r="AT108" s="4858"/>
      <c r="AU108" s="170"/>
      <c r="AV108" s="170"/>
      <c r="AW108" s="170"/>
      <c r="AX108" s="286"/>
      <c r="AY108" s="4858"/>
      <c r="AZ108" s="170"/>
      <c r="BA108" s="170"/>
      <c r="BB108" s="170"/>
      <c r="BC108" s="170"/>
      <c r="BD108" s="4860"/>
      <c r="BE108" s="4866"/>
      <c r="BF108" s="170"/>
      <c r="BG108" s="170"/>
      <c r="BH108" s="170"/>
      <c r="BI108" s="4860"/>
      <c r="BJ108" s="170"/>
      <c r="BK108" s="170"/>
      <c r="BL108" s="170"/>
      <c r="BM108" s="170"/>
      <c r="BN108" s="4860"/>
      <c r="BO108" s="170"/>
      <c r="BP108" s="170"/>
      <c r="BQ108" s="170"/>
      <c r="BR108" s="286"/>
      <c r="BS108" s="4858"/>
      <c r="BT108" s="170"/>
      <c r="BU108" s="170"/>
      <c r="BV108" s="170"/>
      <c r="BW108" s="170"/>
      <c r="BX108" s="4860"/>
      <c r="BY108" s="170"/>
      <c r="BZ108" s="170"/>
      <c r="CA108" s="170"/>
      <c r="CB108" s="170"/>
      <c r="CC108" s="4860"/>
      <c r="CD108" s="170"/>
      <c r="CE108" s="170"/>
      <c r="CF108" s="170"/>
      <c r="CG108" s="170"/>
      <c r="CH108" s="4860"/>
      <c r="CI108" s="170"/>
      <c r="CJ108" s="170"/>
      <c r="CK108" s="170"/>
      <c r="CL108" s="170"/>
      <c r="CM108" s="4860"/>
      <c r="CN108" s="170"/>
      <c r="CO108" s="170"/>
      <c r="CP108" s="170"/>
      <c r="CQ108" s="170"/>
      <c r="CR108" s="4860"/>
      <c r="CS108" s="170"/>
      <c r="CT108" s="170"/>
      <c r="CU108" s="170"/>
      <c r="CV108" s="170"/>
      <c r="CW108" s="4860"/>
      <c r="CX108" s="170"/>
      <c r="CY108" s="170"/>
      <c r="CZ108" s="170"/>
      <c r="DA108" s="170"/>
      <c r="DB108" s="4860"/>
      <c r="DC108" s="170"/>
      <c r="DD108" s="170"/>
      <c r="DE108" s="170"/>
      <c r="DF108" s="170"/>
      <c r="DG108" s="4863"/>
      <c r="DH108" s="4865"/>
      <c r="DI108" s="4865"/>
      <c r="DJ108" s="4865"/>
      <c r="DK108" s="4865"/>
      <c r="DL108" s="4863"/>
      <c r="DM108" s="4865"/>
      <c r="DN108" s="4865"/>
      <c r="DO108" s="4865"/>
      <c r="DP108" s="4865"/>
      <c r="DQ108" s="4863"/>
      <c r="DR108" s="4865"/>
      <c r="DS108" s="4865"/>
      <c r="DT108" s="4865"/>
      <c r="DU108" s="4865"/>
      <c r="DV108" s="4863"/>
      <c r="DW108" s="4865"/>
      <c r="DX108" s="4865"/>
      <c r="DY108" s="4865"/>
      <c r="DZ108" s="4865"/>
      <c r="EA108" s="4863"/>
      <c r="EB108" s="4865"/>
      <c r="EC108" s="4865"/>
      <c r="ED108" s="4865"/>
      <c r="EE108" s="4865"/>
      <c r="EF108" s="4863"/>
      <c r="EG108" s="4865"/>
      <c r="EH108" s="4865"/>
      <c r="EI108" s="4865"/>
      <c r="EJ108" s="4865"/>
      <c r="EK108" s="4863"/>
      <c r="EL108" s="4865"/>
      <c r="EM108" s="4865"/>
      <c r="EN108" s="4865"/>
      <c r="EO108" s="4865"/>
      <c r="EP108" s="4863"/>
      <c r="EQ108" s="4865"/>
      <c r="ER108" s="4865"/>
      <c r="ES108" s="4865"/>
      <c r="ET108" s="4865"/>
      <c r="EU108" s="4863"/>
      <c r="EV108" s="4863"/>
      <c r="EW108" s="4863"/>
      <c r="EX108" s="4863"/>
      <c r="EY108" s="4863"/>
      <c r="EZ108" s="170"/>
      <c r="FA108" s="1319"/>
      <c r="FB108" s="1319"/>
      <c r="FC108" s="511"/>
    </row>
    <row r="109" spans="1:159" s="4" customFormat="1" ht="11.25" customHeight="1" collapsed="1">
      <c r="A109" s="4916" t="s">
        <v>901</v>
      </c>
      <c r="B109" s="4917"/>
      <c r="C109" s="4917"/>
      <c r="D109" s="4917"/>
      <c r="E109" s="4918"/>
      <c r="F109" s="4919"/>
      <c r="G109" s="4917"/>
      <c r="H109" s="4917"/>
      <c r="I109" s="4917"/>
      <c r="J109" s="4918"/>
      <c r="K109" s="4919"/>
      <c r="L109" s="4917"/>
      <c r="M109" s="4917"/>
      <c r="N109" s="4917"/>
      <c r="O109" s="4918"/>
      <c r="P109" s="4920"/>
      <c r="Q109" s="4921"/>
      <c r="R109" s="4917"/>
      <c r="S109" s="4917"/>
      <c r="T109" s="4918"/>
      <c r="U109" s="4919"/>
      <c r="V109" s="4922"/>
      <c r="W109" s="4917"/>
      <c r="X109" s="4917"/>
      <c r="Y109" s="4918"/>
      <c r="Z109" s="4919"/>
      <c r="AA109" s="4922"/>
      <c r="AB109" s="4917"/>
      <c r="AC109" s="4917"/>
      <c r="AD109" s="4918"/>
      <c r="AE109" s="4919"/>
      <c r="AF109" s="4922"/>
      <c r="AG109" s="4917"/>
      <c r="AH109" s="4917"/>
      <c r="AI109" s="4918"/>
      <c r="AJ109" s="4919"/>
      <c r="AK109" s="4917"/>
      <c r="AL109" s="4917"/>
      <c r="AM109" s="4917"/>
      <c r="AN109" s="4918"/>
      <c r="AO109" s="4919"/>
      <c r="AP109" s="4917"/>
      <c r="AQ109" s="4917"/>
      <c r="AR109" s="4917"/>
      <c r="AS109" s="4918"/>
      <c r="AT109" s="4919"/>
      <c r="AU109" s="4917"/>
      <c r="AV109" s="4917"/>
      <c r="AW109" s="4917"/>
      <c r="AX109" s="4918"/>
      <c r="AY109" s="4919"/>
      <c r="AZ109" s="4917"/>
      <c r="BA109" s="4917"/>
      <c r="BB109" s="4917"/>
      <c r="BC109" s="4917"/>
      <c r="BD109" s="4923"/>
      <c r="BE109" s="4924"/>
      <c r="BF109" s="4917"/>
      <c r="BG109" s="4917"/>
      <c r="BH109" s="4917"/>
      <c r="BI109" s="4923"/>
      <c r="BJ109" s="4917"/>
      <c r="BK109" s="4917"/>
      <c r="BL109" s="4917"/>
      <c r="BM109" s="4917"/>
      <c r="BN109" s="4923"/>
      <c r="BO109" s="4917"/>
      <c r="BP109" s="4917"/>
      <c r="BQ109" s="4917"/>
      <c r="BR109" s="4918"/>
      <c r="BS109" s="4919"/>
      <c r="BT109" s="4917"/>
      <c r="BU109" s="4917"/>
      <c r="BV109" s="4917"/>
      <c r="BW109" s="4917"/>
      <c r="BX109" s="4923"/>
      <c r="BY109" s="4917"/>
      <c r="BZ109" s="4917"/>
      <c r="CA109" s="4917"/>
      <c r="CB109" s="4917"/>
      <c r="CC109" s="4923"/>
      <c r="CD109" s="4917"/>
      <c r="CE109" s="4917"/>
      <c r="CF109" s="4917"/>
      <c r="CG109" s="4917"/>
      <c r="CH109" s="4923"/>
      <c r="CI109" s="4917"/>
      <c r="CJ109" s="4917"/>
      <c r="CK109" s="4917"/>
      <c r="CL109" s="4917"/>
      <c r="CM109" s="4923"/>
      <c r="CN109" s="4917"/>
      <c r="CO109" s="4917"/>
      <c r="CP109" s="4917"/>
      <c r="CQ109" s="4917"/>
      <c r="CR109" s="4923"/>
      <c r="CS109" s="4917"/>
      <c r="CT109" s="4917"/>
      <c r="CU109" s="4917"/>
      <c r="CV109" s="4917"/>
      <c r="CW109" s="4923"/>
      <c r="CX109" s="4917"/>
      <c r="CY109" s="4917"/>
      <c r="CZ109" s="4917"/>
      <c r="DA109" s="4917"/>
      <c r="DB109" s="4923"/>
      <c r="DC109" s="4917"/>
      <c r="DD109" s="4917"/>
      <c r="DE109" s="4917"/>
      <c r="DF109" s="4917"/>
      <c r="DG109" s="4925"/>
      <c r="DH109" s="4926"/>
      <c r="DI109" s="4926"/>
      <c r="DJ109" s="4926"/>
      <c r="DK109" s="4926"/>
      <c r="DL109" s="4925"/>
      <c r="DM109" s="4926"/>
      <c r="DN109" s="4926"/>
      <c r="DO109" s="4926"/>
      <c r="DP109" s="4926"/>
      <c r="DQ109" s="4925"/>
      <c r="DR109" s="4926"/>
      <c r="DS109" s="4926"/>
      <c r="DT109" s="4926"/>
      <c r="DU109" s="4926"/>
      <c r="DV109" s="4925"/>
      <c r="DW109" s="4926"/>
      <c r="DX109" s="4926"/>
      <c r="DY109" s="4926"/>
      <c r="DZ109" s="4926"/>
      <c r="EA109" s="4925"/>
      <c r="EB109" s="4926"/>
      <c r="EC109" s="4926"/>
      <c r="ED109" s="4926"/>
      <c r="EE109" s="4926"/>
      <c r="EF109" s="4925"/>
      <c r="EG109" s="4926"/>
      <c r="EH109" s="4926"/>
      <c r="EI109" s="4926"/>
      <c r="EJ109" s="4926"/>
      <c r="EK109" s="4925"/>
      <c r="EL109" s="4926"/>
      <c r="EM109" s="4926"/>
      <c r="EN109" s="4926"/>
      <c r="EO109" s="4926"/>
      <c r="EP109" s="4925"/>
      <c r="EQ109" s="4926"/>
      <c r="ER109" s="4926"/>
      <c r="ES109" s="4926"/>
      <c r="ET109" s="4926"/>
      <c r="EU109" s="4925"/>
      <c r="EV109" s="4925"/>
      <c r="EW109" s="4925"/>
      <c r="EX109" s="4925"/>
      <c r="EY109" s="4925"/>
      <c r="EZ109" s="170"/>
      <c r="FA109" s="1319"/>
      <c r="FB109" s="1319"/>
      <c r="FC109" s="511"/>
    </row>
    <row r="110" spans="1:159" s="4" customFormat="1" ht="11.25" customHeight="1">
      <c r="A110" s="5276" t="str">
        <f>A82</f>
        <v>GAAP Operating Income</v>
      </c>
      <c r="B110" s="5277"/>
      <c r="C110" s="5277"/>
      <c r="D110" s="5277"/>
      <c r="E110" s="5278"/>
      <c r="F110" s="5279"/>
      <c r="G110" s="5277"/>
      <c r="H110" s="5277"/>
      <c r="I110" s="5277"/>
      <c r="J110" s="5278"/>
      <c r="K110" s="5279"/>
      <c r="L110" s="5277"/>
      <c r="M110" s="5277"/>
      <c r="N110" s="5277"/>
      <c r="O110" s="5278"/>
      <c r="P110" s="5280"/>
      <c r="Q110" s="5281"/>
      <c r="R110" s="5277"/>
      <c r="S110" s="5277"/>
      <c r="T110" s="5278"/>
      <c r="U110" s="5279"/>
      <c r="V110" s="5282"/>
      <c r="W110" s="5277"/>
      <c r="X110" s="5277"/>
      <c r="Y110" s="5278"/>
      <c r="Z110" s="5279"/>
      <c r="AA110" s="5282"/>
      <c r="AB110" s="5277"/>
      <c r="AC110" s="5277"/>
      <c r="AD110" s="5278"/>
      <c r="AE110" s="5279"/>
      <c r="AF110" s="5282"/>
      <c r="AG110" s="5277"/>
      <c r="AH110" s="5277"/>
      <c r="AI110" s="5278"/>
      <c r="AJ110" s="5279"/>
      <c r="AK110" s="5277"/>
      <c r="AL110" s="5277"/>
      <c r="AM110" s="5277"/>
      <c r="AN110" s="5278"/>
      <c r="AO110" s="5279"/>
      <c r="AP110" s="5277"/>
      <c r="AQ110" s="5277"/>
      <c r="AR110" s="5277"/>
      <c r="AS110" s="5278"/>
      <c r="AT110" s="5279"/>
      <c r="AU110" s="5277"/>
      <c r="AV110" s="5277"/>
      <c r="AW110" s="5277"/>
      <c r="AX110" s="5278"/>
      <c r="AY110" s="5279"/>
      <c r="AZ110" s="5277"/>
      <c r="BA110" s="5277"/>
      <c r="BB110" s="5277"/>
      <c r="BC110" s="5277"/>
      <c r="BD110" s="5283"/>
      <c r="BE110" s="5284"/>
      <c r="BF110" s="5277"/>
      <c r="BG110" s="5277"/>
      <c r="BH110" s="5277"/>
      <c r="BI110" s="5283"/>
      <c r="BJ110" s="5277"/>
      <c r="BK110" s="5277"/>
      <c r="BL110" s="5277"/>
      <c r="BM110" s="5277"/>
      <c r="BN110" s="5283"/>
      <c r="BO110" s="5277"/>
      <c r="BP110" s="5277"/>
      <c r="BQ110" s="5277"/>
      <c r="BR110" s="5278"/>
      <c r="BS110" s="5279"/>
      <c r="BT110" s="5277"/>
      <c r="BU110" s="5277"/>
      <c r="BV110" s="5277"/>
      <c r="BW110" s="5277"/>
      <c r="BX110" s="5283"/>
      <c r="BY110" s="5277"/>
      <c r="BZ110" s="5277"/>
      <c r="CA110" s="5277"/>
      <c r="CB110" s="5277"/>
      <c r="CC110" s="5283"/>
      <c r="CD110" s="5277"/>
      <c r="CE110" s="5277"/>
      <c r="CF110" s="5277"/>
      <c r="CG110" s="5277"/>
      <c r="CH110" s="6246"/>
      <c r="CI110" s="6247"/>
      <c r="CJ110" s="6247"/>
      <c r="CK110" s="6247"/>
      <c r="CL110" s="6247"/>
      <c r="CM110" s="6246"/>
      <c r="CN110" s="6247"/>
      <c r="CO110" s="6247"/>
      <c r="CP110" s="6247"/>
      <c r="CQ110" s="6247"/>
      <c r="CR110" s="6246"/>
      <c r="CS110" s="6247"/>
      <c r="CT110" s="6247"/>
      <c r="CU110" s="6247"/>
      <c r="CV110" s="6247"/>
      <c r="CW110" s="6246"/>
      <c r="CX110" s="6247"/>
      <c r="CY110" s="6247"/>
      <c r="CZ110" s="6247"/>
      <c r="DA110" s="6247"/>
      <c r="DB110" s="6246"/>
      <c r="DC110" s="6247"/>
      <c r="DD110" s="6247"/>
      <c r="DE110" s="6247"/>
      <c r="DF110" s="6247"/>
      <c r="DG110" s="4124">
        <f>DG82/DG$80</f>
        <v>-0.74477560808496057</v>
      </c>
      <c r="DH110" s="709"/>
      <c r="DI110" s="709"/>
      <c r="DJ110" s="709"/>
      <c r="DK110" s="709">
        <f t="shared" ref="DK110:DQ110" si="287">DK82/DK$80</f>
        <v>-0.45677123182861518</v>
      </c>
      <c r="DL110" s="4124">
        <f t="shared" si="287"/>
        <v>-0.52085669432608206</v>
      </c>
      <c r="DM110" s="709">
        <f t="shared" si="287"/>
        <v>-0.62297443284119558</v>
      </c>
      <c r="DN110" s="709">
        <f t="shared" si="287"/>
        <v>-0.47422680412371132</v>
      </c>
      <c r="DO110" s="709">
        <f t="shared" si="287"/>
        <v>-0.35075493612078978</v>
      </c>
      <c r="DP110" s="709">
        <f t="shared" si="287"/>
        <v>-0.32445836596188987</v>
      </c>
      <c r="DQ110" s="4124">
        <f t="shared" si="287"/>
        <v>-0.42935906271536872</v>
      </c>
      <c r="DR110" s="709">
        <f t="shared" ref="DR110:DW110" si="288">DR82/DR$80</f>
        <v>-0.24067210279219176</v>
      </c>
      <c r="DS110" s="709">
        <f t="shared" si="288"/>
        <v>-0.12770095073465859</v>
      </c>
      <c r="DT110" s="709">
        <f t="shared" si="288"/>
        <v>-0.12905811623246494</v>
      </c>
      <c r="DU110" s="709">
        <f t="shared" si="288"/>
        <v>-0.16062082656560187</v>
      </c>
      <c r="DV110" s="4124">
        <f t="shared" si="288"/>
        <v>-0.16135582630427991</v>
      </c>
      <c r="DW110" s="709">
        <f t="shared" si="288"/>
        <v>-0.12128500257687683</v>
      </c>
      <c r="DX110" s="709">
        <f t="shared" ref="DX110:ED110" si="289">DX82/DX$80</f>
        <v>-9.4008922880815804E-2</v>
      </c>
      <c r="DY110" s="709">
        <f t="shared" si="289"/>
        <v>-6.4065230052417002E-2</v>
      </c>
      <c r="DZ110" s="709">
        <f t="shared" si="289"/>
        <v>-2.5427204374572795E-2</v>
      </c>
      <c r="EA110" s="4124">
        <f t="shared" si="289"/>
        <v>-7.3135464231354641E-2</v>
      </c>
      <c r="EB110" s="709">
        <f t="shared" si="289"/>
        <v>2.5623826133619534E-2</v>
      </c>
      <c r="EC110" s="709">
        <f t="shared" si="289"/>
        <v>4.9184410409662559E-2</v>
      </c>
      <c r="ED110" s="709">
        <f t="shared" si="289"/>
        <v>3.1625252645345381E-2</v>
      </c>
      <c r="EE110" s="709">
        <f t="shared" ref="EE110" si="290">EE82/EE$80</f>
        <v>9.3994778067885115E-2</v>
      </c>
      <c r="EF110" s="4124">
        <f>EF82/EF$80</f>
        <v>5.1861702127659573E-2</v>
      </c>
      <c r="EG110" s="709">
        <f t="shared" ref="EG110:EJ110" si="291">EG82/EG$80</f>
        <v>9.4004595780238148E-2</v>
      </c>
      <c r="EH110" s="709">
        <f t="shared" si="291"/>
        <v>0.11326954672852034</v>
      </c>
      <c r="EI110" s="709">
        <f t="shared" si="291"/>
        <v>0.17149652074341584</v>
      </c>
      <c r="EJ110" s="709">
        <f t="shared" si="291"/>
        <v>0.17507319113341699</v>
      </c>
      <c r="EK110" s="4124">
        <f>EK82/EK$80</f>
        <v>0.14138656920123066</v>
      </c>
      <c r="EL110" s="709">
        <f t="shared" ref="EL110:EN110" si="292">EL82/EL$80</f>
        <v>0.17756933115823817</v>
      </c>
      <c r="EM110" s="709">
        <f t="shared" si="292"/>
        <v>0.20742806811509101</v>
      </c>
      <c r="EN110" s="709">
        <f t="shared" si="292"/>
        <v>0.23711816322491258</v>
      </c>
      <c r="EO110" s="6248">
        <v>0.24</v>
      </c>
      <c r="EP110" s="4124">
        <f>EP82/EP$80</f>
        <v>0.21823551162093024</v>
      </c>
      <c r="EQ110" s="6248">
        <v>0.25</v>
      </c>
      <c r="ER110" s="6248">
        <v>0.246</v>
      </c>
      <c r="ES110" s="6248">
        <v>0.23899999999999999</v>
      </c>
      <c r="ET110" s="6248">
        <v>0.23300000000000001</v>
      </c>
      <c r="EU110" s="4124">
        <f>EU82/EU$80</f>
        <v>0.24126527878053253</v>
      </c>
      <c r="EV110" s="6249">
        <v>0.23</v>
      </c>
      <c r="EW110" s="6249">
        <v>0.25600000000000001</v>
      </c>
      <c r="EX110" s="6249">
        <v>0.28499999999999998</v>
      </c>
      <c r="EY110" s="6249">
        <v>0.32</v>
      </c>
      <c r="EZ110" s="170"/>
      <c r="FA110" s="1319"/>
      <c r="FB110" s="1319"/>
      <c r="FC110" s="511"/>
    </row>
    <row r="111" spans="1:159" s="767" customFormat="1" hidden="1" outlineLevel="1">
      <c r="A111" s="4479" t="s">
        <v>675</v>
      </c>
      <c r="B111" s="2743"/>
      <c r="C111" s="2743"/>
      <c r="D111" s="2743"/>
      <c r="E111" s="2743"/>
      <c r="F111" s="2743"/>
      <c r="G111" s="2743"/>
      <c r="H111" s="2743"/>
      <c r="I111" s="2743"/>
      <c r="J111" s="2743"/>
      <c r="K111" s="2743"/>
      <c r="L111" s="2743"/>
      <c r="M111" s="2743"/>
      <c r="N111" s="2743"/>
      <c r="O111" s="2743"/>
      <c r="P111" s="2743"/>
      <c r="Q111" s="2743"/>
      <c r="R111" s="2743"/>
      <c r="S111" s="2743"/>
      <c r="T111" s="2743"/>
      <c r="U111" s="2743"/>
      <c r="V111" s="2743"/>
      <c r="W111" s="2743"/>
      <c r="X111" s="2743"/>
      <c r="Y111" s="2743"/>
      <c r="Z111" s="2743"/>
      <c r="AA111" s="2743"/>
      <c r="AB111" s="2743"/>
      <c r="AC111" s="2743"/>
      <c r="AD111" s="2743"/>
      <c r="AE111" s="2743"/>
      <c r="AF111" s="2743"/>
      <c r="AG111" s="2743"/>
      <c r="AH111" s="2743"/>
      <c r="AI111" s="2743"/>
      <c r="AJ111" s="2743"/>
      <c r="AK111" s="2743"/>
      <c r="AL111" s="2743"/>
      <c r="AM111" s="2743"/>
      <c r="AN111" s="2743"/>
      <c r="AO111" s="2743"/>
      <c r="AP111" s="2743"/>
      <c r="AQ111" s="2743"/>
      <c r="AR111" s="2743"/>
      <c r="AS111" s="2743"/>
      <c r="AT111" s="2743"/>
      <c r="AU111" s="2743"/>
      <c r="AV111" s="2743"/>
      <c r="AW111" s="2743"/>
      <c r="AX111" s="2743"/>
      <c r="AY111" s="2743"/>
      <c r="AZ111" s="2743"/>
      <c r="BA111" s="2743"/>
      <c r="BB111" s="2743"/>
      <c r="BC111" s="2743"/>
      <c r="BD111" s="2743"/>
      <c r="BE111" s="2743"/>
      <c r="BF111" s="2743"/>
      <c r="BG111" s="2743"/>
      <c r="BH111" s="2743"/>
      <c r="BI111" s="2743"/>
      <c r="BJ111" s="2743"/>
      <c r="BK111" s="2743"/>
      <c r="BL111" s="2743"/>
      <c r="BM111" s="2743"/>
      <c r="BN111" s="2743"/>
      <c r="BO111" s="2743"/>
      <c r="BP111" s="2743"/>
      <c r="BQ111" s="2743"/>
      <c r="BR111" s="2743"/>
      <c r="BS111" s="2743"/>
      <c r="BT111" s="2743"/>
      <c r="BU111" s="2743"/>
      <c r="BV111" s="2743"/>
      <c r="BW111" s="2743"/>
      <c r="BX111" s="2743"/>
      <c r="BY111" s="2743"/>
      <c r="BZ111" s="2743"/>
      <c r="CA111" s="2743"/>
      <c r="CB111" s="2743"/>
      <c r="CC111" s="2743"/>
      <c r="CD111" s="2743"/>
      <c r="CE111" s="2743"/>
      <c r="CF111" s="2743"/>
      <c r="CG111" s="2743"/>
      <c r="CH111" s="5001"/>
      <c r="CI111" s="2745"/>
      <c r="CJ111" s="2745"/>
      <c r="CK111" s="2745"/>
      <c r="CL111" s="2745"/>
      <c r="CM111" s="5002"/>
      <c r="CN111" s="2747"/>
      <c r="CO111" s="2747"/>
      <c r="CP111" s="2747"/>
      <c r="CQ111" s="2748"/>
      <c r="CR111" s="5002"/>
      <c r="CS111" s="2748"/>
      <c r="CT111" s="2747"/>
      <c r="CU111" s="2747"/>
      <c r="CV111" s="2748"/>
      <c r="CW111" s="5002"/>
      <c r="CX111" s="2748"/>
      <c r="CY111" s="2748"/>
      <c r="CZ111" s="2748"/>
      <c r="DA111" s="2748"/>
      <c r="DB111" s="5002"/>
      <c r="DC111" s="2748"/>
      <c r="DD111" s="2748"/>
      <c r="DE111" s="2748"/>
      <c r="DF111" s="2748"/>
      <c r="DG111" s="5002"/>
      <c r="DH111" s="2748"/>
      <c r="DI111" s="2748"/>
      <c r="DJ111" s="2748"/>
      <c r="DK111" s="2748"/>
      <c r="DL111" s="5002">
        <f>(DL110-DG110)*10000</f>
        <v>2239.1891375887853</v>
      </c>
      <c r="DM111" s="2748"/>
      <c r="DN111" s="2748"/>
      <c r="DO111" s="2748"/>
      <c r="DP111" s="2748">
        <f t="shared" ref="DP111:EN111" si="293">(DP110-DK110)*10000</f>
        <v>1323.1286586672531</v>
      </c>
      <c r="DQ111" s="5002">
        <f t="shared" si="293"/>
        <v>914.97631610713336</v>
      </c>
      <c r="DR111" s="2748">
        <f t="shared" si="293"/>
        <v>3823.0233004900383</v>
      </c>
      <c r="DS111" s="2748">
        <f t="shared" si="293"/>
        <v>3465.2585338905274</v>
      </c>
      <c r="DT111" s="2748">
        <f t="shared" si="293"/>
        <v>2216.9681988832485</v>
      </c>
      <c r="DU111" s="2748">
        <f t="shared" si="293"/>
        <v>1638.37539396288</v>
      </c>
      <c r="DV111" s="5002">
        <f t="shared" si="293"/>
        <v>2680.032364110888</v>
      </c>
      <c r="DW111" s="2748">
        <f t="shared" si="293"/>
        <v>1193.8710021531492</v>
      </c>
      <c r="DX111" s="2748">
        <f t="shared" si="293"/>
        <v>336.92027853842785</v>
      </c>
      <c r="DY111" s="2748">
        <f t="shared" si="293"/>
        <v>649.92886180047935</v>
      </c>
      <c r="DZ111" s="2748">
        <f t="shared" si="293"/>
        <v>1351.9362219102907</v>
      </c>
      <c r="EA111" s="5002">
        <f t="shared" ref="EA111:EF111" si="294">(EA110-DV110)*10000</f>
        <v>882.20362072925275</v>
      </c>
      <c r="EB111" s="2748">
        <f t="shared" si="293"/>
        <v>1469.0882871049637</v>
      </c>
      <c r="EC111" s="2748">
        <f t="shared" si="293"/>
        <v>1431.9333329047836</v>
      </c>
      <c r="ED111" s="2748">
        <f t="shared" si="293"/>
        <v>956.90482697762388</v>
      </c>
      <c r="EE111" s="2748">
        <f t="shared" si="293"/>
        <v>1194.2198244245792</v>
      </c>
      <c r="EF111" s="5002">
        <f t="shared" si="294"/>
        <v>1249.971663590142</v>
      </c>
      <c r="EG111" s="2748">
        <f t="shared" si="293"/>
        <v>683.80769646618614</v>
      </c>
      <c r="EH111" s="2748">
        <f t="shared" si="293"/>
        <v>640.85136318857792</v>
      </c>
      <c r="EI111" s="2748">
        <f t="shared" si="293"/>
        <v>1398.7126809807046</v>
      </c>
      <c r="EJ111" s="2748">
        <f t="shared" si="293"/>
        <v>810.78413065531879</v>
      </c>
      <c r="EK111" s="5002">
        <f>(EK110-EF110)*10000</f>
        <v>895.2486707357109</v>
      </c>
      <c r="EL111" s="2748">
        <f t="shared" si="293"/>
        <v>835.64735378000023</v>
      </c>
      <c r="EM111" s="2748">
        <f t="shared" si="293"/>
        <v>941.58521386570669</v>
      </c>
      <c r="EN111" s="2748">
        <f t="shared" si="293"/>
        <v>656.21642481496735</v>
      </c>
      <c r="EO111" s="2748">
        <f t="shared" ref="EO111" si="295">(EO110-EJ110)*10000</f>
        <v>649.26808866583008</v>
      </c>
      <c r="EP111" s="5002">
        <f>(EP110-EK110)*10000</f>
        <v>768.48942419699586</v>
      </c>
      <c r="EQ111" s="2748">
        <f t="shared" ref="EQ111" si="296">(EQ110-EL110)*10000</f>
        <v>724.30668841761826</v>
      </c>
      <c r="ER111" s="2748">
        <f t="shared" ref="ER111" si="297">(ER110-EM110)*10000</f>
        <v>385.71931884908986</v>
      </c>
      <c r="ES111" s="2748">
        <f t="shared" ref="ES111" si="298">(ES110-EN110)*10000</f>
        <v>18.818367750874089</v>
      </c>
      <c r="ET111" s="2748">
        <f t="shared" ref="ET111" si="299">(ET110-EO110)*10000</f>
        <v>-69.999999999999787</v>
      </c>
      <c r="EU111" s="5002">
        <f>(EU110-EP110)*10000</f>
        <v>230.29767159602284</v>
      </c>
      <c r="EV111" s="2746">
        <f>(EV110-EU110)*10000</f>
        <v>-112.65278780532518</v>
      </c>
      <c r="EW111" s="2746">
        <f>(EW110-EV110)*10000</f>
        <v>259.99999999999994</v>
      </c>
      <c r="EX111" s="2746">
        <f>(EX110-EW110)*10000</f>
        <v>289.99999999999972</v>
      </c>
      <c r="EY111" s="2746">
        <f>(EY110-EX110)*10000</f>
        <v>350.00000000000028</v>
      </c>
      <c r="FA111" s="4276"/>
      <c r="FB111" s="4276"/>
      <c r="FC111" s="766"/>
    </row>
    <row r="112" spans="1:159" s="4" customFormat="1" ht="11.25" hidden="1" customHeight="1" outlineLevel="1" collapsed="1">
      <c r="A112" s="4905" t="str">
        <f>A86</f>
        <v>GAAP Net Income</v>
      </c>
      <c r="B112" s="170"/>
      <c r="C112" s="170"/>
      <c r="D112" s="170"/>
      <c r="E112" s="286"/>
      <c r="F112" s="4858"/>
      <c r="G112" s="170"/>
      <c r="H112" s="170"/>
      <c r="I112" s="170"/>
      <c r="J112" s="286"/>
      <c r="K112" s="4858"/>
      <c r="L112" s="170"/>
      <c r="M112" s="170"/>
      <c r="N112" s="170"/>
      <c r="O112" s="286"/>
      <c r="P112" s="2657"/>
      <c r="Q112" s="2608"/>
      <c r="R112" s="170"/>
      <c r="S112" s="170"/>
      <c r="T112" s="286"/>
      <c r="U112" s="4858"/>
      <c r="V112" s="4859"/>
      <c r="W112" s="170"/>
      <c r="X112" s="170"/>
      <c r="Y112" s="286"/>
      <c r="Z112" s="4858"/>
      <c r="AA112" s="4859"/>
      <c r="AB112" s="170"/>
      <c r="AC112" s="170"/>
      <c r="AD112" s="286"/>
      <c r="AE112" s="4858"/>
      <c r="AF112" s="4859"/>
      <c r="AG112" s="170"/>
      <c r="AH112" s="170"/>
      <c r="AI112" s="286"/>
      <c r="AJ112" s="4858"/>
      <c r="AK112" s="170"/>
      <c r="AL112" s="170"/>
      <c r="AM112" s="170"/>
      <c r="AN112" s="286"/>
      <c r="AO112" s="4858"/>
      <c r="AP112" s="170"/>
      <c r="AQ112" s="170"/>
      <c r="AR112" s="170"/>
      <c r="AS112" s="286"/>
      <c r="AT112" s="4858"/>
      <c r="AU112" s="170"/>
      <c r="AV112" s="170"/>
      <c r="AW112" s="170"/>
      <c r="AX112" s="286"/>
      <c r="AY112" s="4858"/>
      <c r="AZ112" s="170"/>
      <c r="BA112" s="170"/>
      <c r="BB112" s="170"/>
      <c r="BC112" s="170"/>
      <c r="BD112" s="4860"/>
      <c r="BE112" s="4866"/>
      <c r="BF112" s="170"/>
      <c r="BG112" s="170"/>
      <c r="BH112" s="170"/>
      <c r="BI112" s="4860"/>
      <c r="BJ112" s="170"/>
      <c r="BK112" s="170"/>
      <c r="BL112" s="170"/>
      <c r="BM112" s="170"/>
      <c r="BN112" s="4860"/>
      <c r="BO112" s="170"/>
      <c r="BP112" s="170"/>
      <c r="BQ112" s="170"/>
      <c r="BR112" s="286"/>
      <c r="BS112" s="4858"/>
      <c r="BT112" s="170"/>
      <c r="BU112" s="170"/>
      <c r="BV112" s="170"/>
      <c r="BW112" s="170"/>
      <c r="BX112" s="4860"/>
      <c r="BY112" s="170"/>
      <c r="BZ112" s="170"/>
      <c r="CA112" s="170"/>
      <c r="CB112" s="170"/>
      <c r="CC112" s="4860"/>
      <c r="CD112" s="170"/>
      <c r="CE112" s="170"/>
      <c r="CF112" s="170"/>
      <c r="CG112" s="170"/>
      <c r="CH112" s="2957"/>
      <c r="CI112" s="2618"/>
      <c r="CJ112" s="2618"/>
      <c r="CK112" s="2618"/>
      <c r="CL112" s="2618"/>
      <c r="CM112" s="2957"/>
      <c r="CN112" s="2618"/>
      <c r="CO112" s="2618"/>
      <c r="CP112" s="2618"/>
      <c r="CQ112" s="2618"/>
      <c r="CR112" s="2957"/>
      <c r="CS112" s="2618"/>
      <c r="CT112" s="2618"/>
      <c r="CU112" s="2618"/>
      <c r="CV112" s="2618"/>
      <c r="CW112" s="2957"/>
      <c r="CX112" s="2618"/>
      <c r="CY112" s="2618"/>
      <c r="CZ112" s="2618"/>
      <c r="DA112" s="2618"/>
      <c r="DB112" s="2957"/>
      <c r="DC112" s="2618"/>
      <c r="DD112" s="2618"/>
      <c r="DE112" s="2618"/>
      <c r="DF112" s="2618"/>
      <c r="DG112" s="2958">
        <f>DG86/DG$80</f>
        <v>-0.74477560808496057</v>
      </c>
      <c r="DH112" s="127"/>
      <c r="DI112" s="127"/>
      <c r="DJ112" s="127"/>
      <c r="DK112" s="127">
        <f t="shared" ref="DK112:DV112" si="300">DK86/DK$80</f>
        <v>-0.45677123182861518</v>
      </c>
      <c r="DL112" s="2958">
        <f t="shared" si="300"/>
        <v>-0.52085669432608206</v>
      </c>
      <c r="DM112" s="127">
        <f t="shared" si="300"/>
        <v>-0.62297443284119558</v>
      </c>
      <c r="DN112" s="127">
        <f t="shared" si="300"/>
        <v>-0.47422680412371132</v>
      </c>
      <c r="DO112" s="127">
        <f t="shared" si="300"/>
        <v>-0.35075493612078978</v>
      </c>
      <c r="DP112" s="127">
        <f t="shared" si="300"/>
        <v>-0.32445836596188987</v>
      </c>
      <c r="DQ112" s="2958">
        <f t="shared" si="300"/>
        <v>-0.42935906271536872</v>
      </c>
      <c r="DR112" s="127">
        <f t="shared" si="300"/>
        <v>-0.24067210279219176</v>
      </c>
      <c r="DS112" s="127">
        <f t="shared" si="300"/>
        <v>-0.12770095073465859</v>
      </c>
      <c r="DT112" s="127">
        <f t="shared" si="300"/>
        <v>-0.12905811623246494</v>
      </c>
      <c r="DU112" s="127">
        <f t="shared" si="300"/>
        <v>-0.16062082656560187</v>
      </c>
      <c r="DV112" s="2958">
        <f t="shared" si="300"/>
        <v>-0.16135582630427991</v>
      </c>
      <c r="DW112" s="127">
        <f t="shared" ref="DW112:EF112" si="301">DW86/DW$80</f>
        <v>-0.12128500257687683</v>
      </c>
      <c r="DX112" s="127">
        <f t="shared" si="301"/>
        <v>-9.4008922880815804E-2</v>
      </c>
      <c r="DY112" s="127">
        <f t="shared" si="301"/>
        <v>-6.4065230052417002E-2</v>
      </c>
      <c r="DZ112" s="127">
        <f t="shared" si="301"/>
        <v>-2.5427204374572795E-2</v>
      </c>
      <c r="EA112" s="2958">
        <f t="shared" si="301"/>
        <v>-7.3135464231354641E-2</v>
      </c>
      <c r="EB112" s="127">
        <f>EB86/EB$80</f>
        <v>2.5623826133619534E-2</v>
      </c>
      <c r="EC112" s="127">
        <f>EC86/EC$80</f>
        <v>4.9184410409662559E-2</v>
      </c>
      <c r="ED112" s="127">
        <f>ED86/ED$80</f>
        <v>3.1625252645345381E-2</v>
      </c>
      <c r="EE112" s="127">
        <f t="shared" ref="EE112" si="302">EE86/EE$80</f>
        <v>9.3994778067885115E-2</v>
      </c>
      <c r="EF112" s="2958">
        <f t="shared" si="301"/>
        <v>5.1861702127659573E-2</v>
      </c>
      <c r="EG112" s="127">
        <f>EG86/EG$80</f>
        <v>9.4004595780238148E-2</v>
      </c>
      <c r="EH112" s="127">
        <f>EH86/EH$80</f>
        <v>0.11326954672852034</v>
      </c>
      <c r="EI112" s="127">
        <f>EI86/EI$80</f>
        <v>0.17149652074341584</v>
      </c>
      <c r="EJ112" s="127">
        <f t="shared" ref="EJ112" si="303">EJ86/EJ$80</f>
        <v>0.17507319113341699</v>
      </c>
      <c r="EK112" s="2958">
        <f t="shared" ref="EK112:EW112" si="304">EK86/EK$80</f>
        <v>0.14138656920123066</v>
      </c>
      <c r="EL112" s="127">
        <f>EL86/EL$80</f>
        <v>0.17756933115823817</v>
      </c>
      <c r="EM112" s="127">
        <f>EM86/EM$80</f>
        <v>0.20742806811509101</v>
      </c>
      <c r="EN112" s="127">
        <f>EN86/EN$80</f>
        <v>0.23711816322491258</v>
      </c>
      <c r="EO112" s="127">
        <f t="shared" ref="EO112" si="305">EO86/EO$80</f>
        <v>0.24</v>
      </c>
      <c r="EP112" s="2958">
        <f>EP86/EP$80</f>
        <v>0.21823551162093024</v>
      </c>
      <c r="EQ112" s="127">
        <f t="shared" ref="EQ112:ET112" si="306">EQ86/EQ$80</f>
        <v>0.25</v>
      </c>
      <c r="ER112" s="127">
        <f t="shared" si="306"/>
        <v>0.24599999999999997</v>
      </c>
      <c r="ES112" s="127">
        <f t="shared" si="306"/>
        <v>0.23899999999999999</v>
      </c>
      <c r="ET112" s="127">
        <f t="shared" si="306"/>
        <v>0.23300000000000001</v>
      </c>
      <c r="EU112" s="2958">
        <f>EU86/EU$80</f>
        <v>0.24126527878053253</v>
      </c>
      <c r="EV112" s="2958">
        <f t="shared" si="304"/>
        <v>0.22999999999999998</v>
      </c>
      <c r="EW112" s="2958">
        <f t="shared" si="304"/>
        <v>0.25600000000000001</v>
      </c>
      <c r="EX112" s="2958">
        <f t="shared" ref="EX112:EY112" si="307">EX86/EX$80</f>
        <v>0.28499999999999998</v>
      </c>
      <c r="EY112" s="2958">
        <f t="shared" si="307"/>
        <v>0.32</v>
      </c>
      <c r="EZ112" s="170"/>
      <c r="FA112" s="1319"/>
      <c r="FB112" s="1319"/>
      <c r="FC112" s="511"/>
    </row>
    <row r="113" spans="1:159" s="4" customFormat="1" ht="11.25" hidden="1" customHeight="1" outlineLevel="1" collapsed="1">
      <c r="A113" s="4905"/>
      <c r="B113" s="170"/>
      <c r="C113" s="170"/>
      <c r="D113" s="170"/>
      <c r="E113" s="286"/>
      <c r="F113" s="4858"/>
      <c r="G113" s="170"/>
      <c r="H113" s="170"/>
      <c r="I113" s="170"/>
      <c r="J113" s="286"/>
      <c r="K113" s="4858"/>
      <c r="L113" s="170"/>
      <c r="M113" s="170"/>
      <c r="N113" s="170"/>
      <c r="O113" s="286"/>
      <c r="P113" s="2657"/>
      <c r="Q113" s="2608"/>
      <c r="R113" s="170"/>
      <c r="S113" s="170"/>
      <c r="T113" s="286"/>
      <c r="U113" s="4858"/>
      <c r="V113" s="4859"/>
      <c r="W113" s="170"/>
      <c r="X113" s="170"/>
      <c r="Y113" s="286"/>
      <c r="Z113" s="4858"/>
      <c r="AA113" s="4859"/>
      <c r="AB113" s="170"/>
      <c r="AC113" s="170"/>
      <c r="AD113" s="286"/>
      <c r="AE113" s="4858"/>
      <c r="AF113" s="4859"/>
      <c r="AG113" s="170"/>
      <c r="AH113" s="170"/>
      <c r="AI113" s="286"/>
      <c r="AJ113" s="4858"/>
      <c r="AK113" s="170"/>
      <c r="AL113" s="170"/>
      <c r="AM113" s="170"/>
      <c r="AN113" s="286"/>
      <c r="AO113" s="4858"/>
      <c r="AP113" s="170"/>
      <c r="AQ113" s="170"/>
      <c r="AR113" s="170"/>
      <c r="AS113" s="286"/>
      <c r="AT113" s="4858"/>
      <c r="AU113" s="170"/>
      <c r="AV113" s="170"/>
      <c r="AW113" s="170"/>
      <c r="AX113" s="286"/>
      <c r="AY113" s="4858"/>
      <c r="AZ113" s="170"/>
      <c r="BA113" s="170"/>
      <c r="BB113" s="170"/>
      <c r="BC113" s="170"/>
      <c r="BD113" s="4860"/>
      <c r="BE113" s="4866"/>
      <c r="BF113" s="170"/>
      <c r="BG113" s="170"/>
      <c r="BH113" s="170"/>
      <c r="BI113" s="4860"/>
      <c r="BJ113" s="170"/>
      <c r="BK113" s="170"/>
      <c r="BL113" s="170"/>
      <c r="BM113" s="170"/>
      <c r="BN113" s="4860"/>
      <c r="BO113" s="170"/>
      <c r="BP113" s="170"/>
      <c r="BQ113" s="170"/>
      <c r="BR113" s="286"/>
      <c r="BS113" s="4858"/>
      <c r="BT113" s="170"/>
      <c r="BU113" s="170"/>
      <c r="BV113" s="170"/>
      <c r="BW113" s="170"/>
      <c r="BX113" s="4860"/>
      <c r="BY113" s="170"/>
      <c r="BZ113" s="170"/>
      <c r="CA113" s="170"/>
      <c r="CB113" s="170"/>
      <c r="CC113" s="4860"/>
      <c r="CD113" s="170"/>
      <c r="CE113" s="170"/>
      <c r="CF113" s="170"/>
      <c r="CG113" s="170"/>
      <c r="CH113" s="4860"/>
      <c r="CI113" s="170"/>
      <c r="CJ113" s="170"/>
      <c r="CK113" s="170"/>
      <c r="CL113" s="170"/>
      <c r="CM113" s="4860"/>
      <c r="CN113" s="170"/>
      <c r="CO113" s="170"/>
      <c r="CP113" s="170"/>
      <c r="CQ113" s="170"/>
      <c r="CR113" s="4860"/>
      <c r="CS113" s="170"/>
      <c r="CT113" s="170"/>
      <c r="CU113" s="170"/>
      <c r="CV113" s="170"/>
      <c r="CW113" s="4860"/>
      <c r="CX113" s="170"/>
      <c r="CY113" s="170"/>
      <c r="CZ113" s="170"/>
      <c r="DA113" s="170"/>
      <c r="DB113" s="4860"/>
      <c r="DC113" s="170"/>
      <c r="DD113" s="170"/>
      <c r="DE113" s="170"/>
      <c r="DF113" s="170"/>
      <c r="DG113" s="4863"/>
      <c r="DH113" s="4865"/>
      <c r="DI113" s="4865"/>
      <c r="DJ113" s="4865"/>
      <c r="DK113" s="4865"/>
      <c r="DL113" s="4863"/>
      <c r="DM113" s="4865"/>
      <c r="DN113" s="4865"/>
      <c r="DO113" s="4865"/>
      <c r="DP113" s="4865"/>
      <c r="DQ113" s="4863"/>
      <c r="DR113" s="4865"/>
      <c r="DS113" s="4865"/>
      <c r="DT113" s="4865"/>
      <c r="DU113" s="4865"/>
      <c r="DV113" s="4863"/>
      <c r="DW113" s="4865"/>
      <c r="DX113" s="4865"/>
      <c r="DY113" s="4865"/>
      <c r="DZ113" s="4865"/>
      <c r="EA113" s="4863"/>
      <c r="EB113" s="4865"/>
      <c r="EC113" s="4865"/>
      <c r="ED113" s="4865"/>
      <c r="EE113" s="4865"/>
      <c r="EF113" s="4863"/>
      <c r="EG113" s="4865"/>
      <c r="EH113" s="4865"/>
      <c r="EI113" s="4865"/>
      <c r="EJ113" s="4865"/>
      <c r="EK113" s="4863"/>
      <c r="EL113" s="4865"/>
      <c r="EM113" s="4865"/>
      <c r="EN113" s="4865"/>
      <c r="EO113" s="4865"/>
      <c r="EP113" s="4863"/>
      <c r="EQ113" s="4865"/>
      <c r="ER113" s="4865"/>
      <c r="ES113" s="4865"/>
      <c r="ET113" s="4865"/>
      <c r="EU113" s="4863"/>
      <c r="EV113" s="4863"/>
      <c r="EW113" s="4863"/>
      <c r="EX113" s="4863"/>
      <c r="EY113" s="4863"/>
      <c r="EZ113" s="170"/>
      <c r="FA113" s="1319"/>
      <c r="FB113" s="1319"/>
      <c r="FC113" s="511"/>
    </row>
    <row r="114" spans="1:159" s="2586" customFormat="1" collapsed="1">
      <c r="A114" s="4997" t="s">
        <v>693</v>
      </c>
      <c r="B114" s="4998"/>
      <c r="C114" s="4998"/>
      <c r="D114" s="4998"/>
      <c r="E114" s="4998"/>
      <c r="F114" s="4998"/>
      <c r="G114" s="4998"/>
      <c r="H114" s="4998"/>
      <c r="I114" s="4998"/>
      <c r="J114" s="4998"/>
      <c r="K114" s="4998"/>
      <c r="L114" s="4998"/>
      <c r="M114" s="4998"/>
      <c r="N114" s="4998"/>
      <c r="O114" s="4998"/>
      <c r="P114" s="4998"/>
      <c r="Q114" s="4998"/>
      <c r="R114" s="4998"/>
      <c r="S114" s="4998"/>
      <c r="T114" s="4998"/>
      <c r="U114" s="4998"/>
      <c r="V114" s="4998"/>
      <c r="W114" s="4998"/>
      <c r="X114" s="4998"/>
      <c r="Y114" s="4998"/>
      <c r="Z114" s="4998"/>
      <c r="AA114" s="4998"/>
      <c r="AB114" s="4998"/>
      <c r="AC114" s="4998"/>
      <c r="AD114" s="4998"/>
      <c r="AE114" s="4998"/>
      <c r="AF114" s="4998"/>
      <c r="AG114" s="4998"/>
      <c r="AH114" s="4998"/>
      <c r="AI114" s="4998"/>
      <c r="AJ114" s="4998"/>
      <c r="AK114" s="4998"/>
      <c r="AL114" s="4998"/>
      <c r="AM114" s="4998"/>
      <c r="AN114" s="4998"/>
      <c r="AO114" s="4998"/>
      <c r="AP114" s="4998"/>
      <c r="AQ114" s="4998"/>
      <c r="AR114" s="4998"/>
      <c r="AS114" s="4998"/>
      <c r="AT114" s="4998"/>
      <c r="AU114" s="4998"/>
      <c r="AV114" s="4998"/>
      <c r="AW114" s="4998"/>
      <c r="AX114" s="4998"/>
      <c r="AY114" s="4998"/>
      <c r="AZ114" s="4998"/>
      <c r="BA114" s="4998"/>
      <c r="BB114" s="4998"/>
      <c r="BC114" s="4998"/>
      <c r="BD114" s="4998"/>
      <c r="BE114" s="4998"/>
      <c r="BF114" s="4998"/>
      <c r="BG114" s="4998"/>
      <c r="BH114" s="4998"/>
      <c r="BI114" s="4998"/>
      <c r="BJ114" s="4998"/>
      <c r="BK114" s="4998"/>
      <c r="BL114" s="4998"/>
      <c r="BM114" s="4998"/>
      <c r="BN114" s="4998"/>
      <c r="BO114" s="4998"/>
      <c r="BP114" s="4998"/>
      <c r="BQ114" s="4998"/>
      <c r="BR114" s="4998"/>
      <c r="BS114" s="4998"/>
      <c r="BT114" s="4998"/>
      <c r="BU114" s="4998"/>
      <c r="BV114" s="4998"/>
      <c r="BW114" s="4998"/>
      <c r="BX114" s="4998"/>
      <c r="BY114" s="4998"/>
      <c r="BZ114" s="4998"/>
      <c r="CA114" s="4998"/>
      <c r="CB114" s="4998"/>
      <c r="CC114" s="4998"/>
      <c r="CD114" s="4998"/>
      <c r="CE114" s="4998"/>
      <c r="CF114" s="4998"/>
      <c r="CG114" s="4998"/>
      <c r="CH114" s="4999"/>
      <c r="CI114" s="5000"/>
      <c r="CJ114" s="5000"/>
      <c r="CK114" s="5000"/>
      <c r="CL114" s="5000"/>
      <c r="CM114" s="4999"/>
      <c r="CN114" s="5000"/>
      <c r="CO114" s="5000"/>
      <c r="CP114" s="5000"/>
      <c r="CQ114" s="5000"/>
      <c r="CR114" s="4999"/>
      <c r="CS114" s="5000"/>
      <c r="CT114" s="5000"/>
      <c r="CU114" s="5000"/>
      <c r="CV114" s="5000"/>
      <c r="CW114" s="4999"/>
      <c r="CX114" s="5000"/>
      <c r="CY114" s="5000"/>
      <c r="CZ114" s="5000"/>
      <c r="DA114" s="5000"/>
      <c r="DB114" s="4999"/>
      <c r="DC114" s="5000"/>
      <c r="DD114" s="5000"/>
      <c r="DE114" s="5000"/>
      <c r="DF114" s="5000"/>
      <c r="DG114" s="4999"/>
      <c r="DH114" s="5000"/>
      <c r="DI114" s="5000"/>
      <c r="DJ114" s="5000"/>
      <c r="DK114" s="5000"/>
      <c r="DL114" s="4999"/>
      <c r="DM114" s="5000"/>
      <c r="DN114" s="5000"/>
      <c r="DO114" s="5000"/>
      <c r="DP114" s="5000"/>
      <c r="DQ114" s="4999"/>
      <c r="DR114" s="5000"/>
      <c r="DS114" s="5000"/>
      <c r="DT114" s="5000"/>
      <c r="DU114" s="5000"/>
      <c r="DV114" s="4999"/>
      <c r="DW114" s="5000"/>
      <c r="DX114" s="5000"/>
      <c r="DY114" s="5000"/>
      <c r="DZ114" s="5000"/>
      <c r="EA114" s="4999"/>
      <c r="EB114" s="5000"/>
      <c r="EC114" s="5000"/>
      <c r="ED114" s="5000"/>
      <c r="EE114" s="5000"/>
      <c r="EF114" s="4999"/>
      <c r="EG114" s="5000"/>
      <c r="EH114" s="5000"/>
      <c r="EI114" s="5000"/>
      <c r="EJ114" s="5000"/>
      <c r="EK114" s="4999"/>
      <c r="EL114" s="5000"/>
      <c r="EM114" s="5000"/>
      <c r="EN114" s="5000"/>
      <c r="EO114" s="5000"/>
      <c r="EP114" s="4999"/>
      <c r="EQ114" s="5000"/>
      <c r="ER114" s="5000"/>
      <c r="ES114" s="5000"/>
      <c r="ET114" s="5000"/>
      <c r="EU114" s="4999"/>
      <c r="EV114" s="4999"/>
      <c r="EW114" s="4999"/>
      <c r="EX114" s="4999"/>
      <c r="EY114" s="4999"/>
      <c r="FA114" s="1319"/>
      <c r="FB114" s="1319"/>
    </row>
    <row r="115" spans="1:159" s="4" customFormat="1" ht="11.25" customHeight="1">
      <c r="A115" s="4927" t="s">
        <v>312</v>
      </c>
      <c r="B115" s="4928"/>
      <c r="C115" s="4928"/>
      <c r="D115" s="4928"/>
      <c r="E115" s="4929"/>
      <c r="F115" s="4930"/>
      <c r="G115" s="4928"/>
      <c r="H115" s="4928"/>
      <c r="I115" s="4928"/>
      <c r="J115" s="4929"/>
      <c r="K115" s="4930"/>
      <c r="L115" s="4928"/>
      <c r="M115" s="4928"/>
      <c r="N115" s="4928"/>
      <c r="O115" s="4929"/>
      <c r="P115" s="4931"/>
      <c r="Q115" s="4085"/>
      <c r="R115" s="4928"/>
      <c r="S115" s="4928"/>
      <c r="T115" s="4929"/>
      <c r="U115" s="4930"/>
      <c r="V115" s="4932"/>
      <c r="W115" s="4928"/>
      <c r="X115" s="4928"/>
      <c r="Y115" s="4929"/>
      <c r="Z115" s="4930"/>
      <c r="AA115" s="4932"/>
      <c r="AB115" s="4928"/>
      <c r="AC115" s="4928"/>
      <c r="AD115" s="4929"/>
      <c r="AE115" s="4930"/>
      <c r="AF115" s="4932"/>
      <c r="AG115" s="4928"/>
      <c r="AH115" s="4928"/>
      <c r="AI115" s="4929"/>
      <c r="AJ115" s="4930"/>
      <c r="AK115" s="4928"/>
      <c r="AL115" s="4928"/>
      <c r="AM115" s="4928"/>
      <c r="AN115" s="4929"/>
      <c r="AO115" s="4930"/>
      <c r="AP115" s="4928"/>
      <c r="AQ115" s="4928"/>
      <c r="AR115" s="4928"/>
      <c r="AS115" s="4929"/>
      <c r="AT115" s="4930"/>
      <c r="AU115" s="4928"/>
      <c r="AV115" s="4928"/>
      <c r="AW115" s="4928"/>
      <c r="AX115" s="4929"/>
      <c r="AY115" s="4930"/>
      <c r="AZ115" s="4928"/>
      <c r="BA115" s="4928"/>
      <c r="BB115" s="4928"/>
      <c r="BC115" s="4928"/>
      <c r="BD115" s="4933"/>
      <c r="BE115" s="4934"/>
      <c r="BF115" s="4928"/>
      <c r="BG115" s="4928"/>
      <c r="BH115" s="4928"/>
      <c r="BI115" s="4933"/>
      <c r="BJ115" s="4928"/>
      <c r="BK115" s="4928"/>
      <c r="BL115" s="4928"/>
      <c r="BM115" s="4928"/>
      <c r="BN115" s="4933"/>
      <c r="BO115" s="4928"/>
      <c r="BP115" s="4928"/>
      <c r="BQ115" s="4928"/>
      <c r="BR115" s="4929"/>
      <c r="BS115" s="4930"/>
      <c r="BT115" s="4928"/>
      <c r="BU115" s="4928"/>
      <c r="BV115" s="4928"/>
      <c r="BW115" s="4928"/>
      <c r="BX115" s="4933"/>
      <c r="BY115" s="4928"/>
      <c r="BZ115" s="4928"/>
      <c r="CA115" s="4928"/>
      <c r="CB115" s="4928"/>
      <c r="CC115" s="4933"/>
      <c r="CD115" s="4928"/>
      <c r="CE115" s="4928"/>
      <c r="CF115" s="4928"/>
      <c r="CG115" s="4928"/>
      <c r="CH115" s="4933"/>
      <c r="CI115" s="4928"/>
      <c r="CJ115" s="4928"/>
      <c r="CK115" s="4928"/>
      <c r="CL115" s="4928"/>
      <c r="CM115" s="4933"/>
      <c r="CN115" s="4928"/>
      <c r="CO115" s="4928"/>
      <c r="CP115" s="4928"/>
      <c r="CQ115" s="4928"/>
      <c r="CR115" s="4933"/>
      <c r="CS115" s="4928"/>
      <c r="CT115" s="4928"/>
      <c r="CU115" s="4928"/>
      <c r="CV115" s="4928"/>
      <c r="CW115" s="4933"/>
      <c r="CX115" s="4928"/>
      <c r="CY115" s="4928"/>
      <c r="CZ115" s="4928"/>
      <c r="DA115" s="4928"/>
      <c r="DB115" s="4933"/>
      <c r="DC115" s="4928"/>
      <c r="DD115" s="4928"/>
      <c r="DE115" s="4928"/>
      <c r="DF115" s="4928"/>
      <c r="DG115" s="4935">
        <f>DG11</f>
        <v>595</v>
      </c>
      <c r="DH115" s="4936"/>
      <c r="DI115" s="4936"/>
      <c r="DJ115" s="4936"/>
      <c r="DK115" s="4936">
        <f t="shared" ref="DK115:DP115" si="308">DK11</f>
        <v>172</v>
      </c>
      <c r="DL115" s="4935">
        <f t="shared" si="308"/>
        <v>659</v>
      </c>
      <c r="DM115" s="4936">
        <f t="shared" si="308"/>
        <v>135</v>
      </c>
      <c r="DN115" s="4936">
        <f t="shared" si="308"/>
        <v>148</v>
      </c>
      <c r="DO115" s="4936">
        <f t="shared" si="308"/>
        <v>178</v>
      </c>
      <c r="DP115" s="4936">
        <f t="shared" si="308"/>
        <v>196</v>
      </c>
      <c r="DQ115" s="4935">
        <f t="shared" ref="DQ115:DQ122" si="309">SUM(DM115:DP115)</f>
        <v>657</v>
      </c>
      <c r="DR115" s="4936">
        <f>DR11</f>
        <v>198</v>
      </c>
      <c r="DS115" s="4936">
        <f>DS11</f>
        <v>192</v>
      </c>
      <c r="DT115" s="4936">
        <f>DT11</f>
        <v>182</v>
      </c>
      <c r="DU115" s="4936">
        <f>DU11</f>
        <v>181</v>
      </c>
      <c r="DV115" s="4935">
        <f t="shared" ref="DV115:DV122" si="310">SUM(DR115:DU115)</f>
        <v>753</v>
      </c>
      <c r="DW115" s="4936">
        <f>DW11</f>
        <v>440</v>
      </c>
      <c r="DX115" s="4936">
        <f>DX11</f>
        <v>193</v>
      </c>
      <c r="DY115" s="4936">
        <f>DY11</f>
        <v>209</v>
      </c>
      <c r="DZ115" s="4936">
        <f>DZ11</f>
        <v>226</v>
      </c>
      <c r="EA115" s="4935">
        <f t="shared" ref="EA115:EA122" si="311">SUM(DW115:DZ115)</f>
        <v>1068</v>
      </c>
      <c r="EB115" s="4936">
        <f>EB11</f>
        <v>288</v>
      </c>
      <c r="EC115" s="4936">
        <f>EC11</f>
        <v>285</v>
      </c>
      <c r="ED115" s="4936">
        <f>ED11</f>
        <v>297</v>
      </c>
      <c r="EE115" s="4936">
        <f>EE11</f>
        <v>657</v>
      </c>
      <c r="EF115" s="4935">
        <f t="shared" ref="EF115:EF122" si="312">SUM(EB115:EE115)</f>
        <v>1527</v>
      </c>
      <c r="EG115" s="4936">
        <f>EG11</f>
        <v>495</v>
      </c>
      <c r="EH115" s="4936">
        <f>EH11</f>
        <v>365</v>
      </c>
      <c r="EI115" s="4936">
        <f>EI11</f>
        <v>388</v>
      </c>
      <c r="EJ115" s="4936">
        <f>EJ11</f>
        <v>400</v>
      </c>
      <c r="EK115" s="4935">
        <f t="shared" ref="EK115:EK122" si="313">SUM(EG115:EJ115)</f>
        <v>1648</v>
      </c>
      <c r="EL115" s="4936">
        <f>EL11</f>
        <v>450</v>
      </c>
      <c r="EM115" s="4936">
        <f>EM11</f>
        <v>373</v>
      </c>
      <c r="EN115" s="4936">
        <f>EN11</f>
        <v>344</v>
      </c>
      <c r="EO115" s="4936">
        <f t="shared" ref="EO115" si="314">EO11</f>
        <v>364.03000000001907</v>
      </c>
      <c r="EP115" s="4935">
        <f t="shared" ref="EP115:EP122" si="315">SUM(EL115:EO115)</f>
        <v>1531.0300000000191</v>
      </c>
      <c r="EQ115" s="4936">
        <f t="shared" ref="EQ115:ET115" si="316">EQ11</f>
        <v>389.67099999999687</v>
      </c>
      <c r="ER115" s="4936">
        <f t="shared" si="316"/>
        <v>413.72800000001826</v>
      </c>
      <c r="ES115" s="4936">
        <f t="shared" si="316"/>
        <v>433.1469999999839</v>
      </c>
      <c r="ET115" s="4936">
        <f t="shared" si="316"/>
        <v>449.71923157751809</v>
      </c>
      <c r="EU115" s="4935">
        <f t="shared" ref="EU115:EU122" si="317">SUM(EQ115:ET115)</f>
        <v>1686.2652315775169</v>
      </c>
      <c r="EV115" s="4935">
        <f>EV11</f>
        <v>1896.2430371849186</v>
      </c>
      <c r="EW115" s="4935">
        <f>EW11</f>
        <v>2182.5701647044334</v>
      </c>
      <c r="EX115" s="4935">
        <f>EX11</f>
        <v>2600.0818384145678</v>
      </c>
      <c r="EY115" s="4935">
        <f>EY11</f>
        <v>3209.2867170257668</v>
      </c>
      <c r="EZ115" s="170"/>
      <c r="FA115" s="1319">
        <f>IF(AND(EV115&gt;0,EK115&gt;0),(EV115/EK115)^(1/3)-1,"NA")</f>
        <v>4.7881719126072531E-2</v>
      </c>
      <c r="FB115" s="1319">
        <f>IF(AND(EX115&gt;0,EK115&gt;0),(EX115/EK115)^(1/5)-1,"NA")</f>
        <v>9.548380623956354E-2</v>
      </c>
      <c r="FC115" s="511"/>
    </row>
    <row r="116" spans="1:159" s="4" customFormat="1" ht="11.25" customHeight="1">
      <c r="A116" s="4857" t="s">
        <v>995</v>
      </c>
      <c r="B116" s="170"/>
      <c r="C116" s="170"/>
      <c r="D116" s="170"/>
      <c r="E116" s="286"/>
      <c r="F116" s="4858"/>
      <c r="G116" s="170"/>
      <c r="H116" s="170"/>
      <c r="I116" s="170"/>
      <c r="J116" s="286"/>
      <c r="K116" s="4858"/>
      <c r="L116" s="170"/>
      <c r="M116" s="170"/>
      <c r="N116" s="170"/>
      <c r="O116" s="286"/>
      <c r="P116" s="2657"/>
      <c r="Q116" s="2608"/>
      <c r="R116" s="170"/>
      <c r="S116" s="170"/>
      <c r="T116" s="286"/>
      <c r="U116" s="4858"/>
      <c r="V116" s="4859"/>
      <c r="W116" s="170"/>
      <c r="X116" s="170"/>
      <c r="Y116" s="286"/>
      <c r="Z116" s="4858"/>
      <c r="AA116" s="4859"/>
      <c r="AB116" s="170"/>
      <c r="AC116" s="170"/>
      <c r="AD116" s="286"/>
      <c r="AE116" s="4858"/>
      <c r="AF116" s="4859"/>
      <c r="AG116" s="170"/>
      <c r="AH116" s="170"/>
      <c r="AI116" s="286"/>
      <c r="AJ116" s="4858"/>
      <c r="AK116" s="170"/>
      <c r="AL116" s="170"/>
      <c r="AM116" s="170"/>
      <c r="AN116" s="286"/>
      <c r="AO116" s="4858"/>
      <c r="AP116" s="170"/>
      <c r="AQ116" s="170"/>
      <c r="AR116" s="170"/>
      <c r="AS116" s="286"/>
      <c r="AT116" s="4858"/>
      <c r="AU116" s="170"/>
      <c r="AV116" s="170"/>
      <c r="AW116" s="170"/>
      <c r="AX116" s="286"/>
      <c r="AY116" s="4858"/>
      <c r="AZ116" s="170"/>
      <c r="BA116" s="170"/>
      <c r="BB116" s="170"/>
      <c r="BC116" s="170"/>
      <c r="BD116" s="4860"/>
      <c r="BE116" s="4866"/>
      <c r="BF116" s="170"/>
      <c r="BG116" s="170"/>
      <c r="BH116" s="170"/>
      <c r="BI116" s="4860"/>
      <c r="BJ116" s="170"/>
      <c r="BK116" s="170"/>
      <c r="BL116" s="170"/>
      <c r="BM116" s="170"/>
      <c r="BN116" s="4860"/>
      <c r="BO116" s="170"/>
      <c r="BP116" s="170"/>
      <c r="BQ116" s="170"/>
      <c r="BR116" s="286"/>
      <c r="BS116" s="4858"/>
      <c r="BT116" s="170"/>
      <c r="BU116" s="170"/>
      <c r="BV116" s="170"/>
      <c r="BW116" s="170"/>
      <c r="BX116" s="4860"/>
      <c r="BY116" s="170"/>
      <c r="BZ116" s="170"/>
      <c r="CA116" s="170"/>
      <c r="CB116" s="170"/>
      <c r="CC116" s="4860"/>
      <c r="CD116" s="170"/>
      <c r="CE116" s="170"/>
      <c r="CF116" s="170"/>
      <c r="CG116" s="170"/>
      <c r="CH116" s="4860"/>
      <c r="CI116" s="170"/>
      <c r="CJ116" s="170"/>
      <c r="CK116" s="170"/>
      <c r="CL116" s="170"/>
      <c r="CM116" s="4860"/>
      <c r="CN116" s="170"/>
      <c r="CO116" s="170"/>
      <c r="CP116" s="170"/>
      <c r="CQ116" s="170"/>
      <c r="CR116" s="4860"/>
      <c r="CS116" s="170"/>
      <c r="CT116" s="170"/>
      <c r="CU116" s="170"/>
      <c r="CV116" s="170"/>
      <c r="CW116" s="4860"/>
      <c r="CX116" s="170"/>
      <c r="CY116" s="170"/>
      <c r="CZ116" s="170"/>
      <c r="DA116" s="170"/>
      <c r="DB116" s="4860"/>
      <c r="DC116" s="170"/>
      <c r="DD116" s="170"/>
      <c r="DE116" s="170"/>
      <c r="DF116" s="170"/>
      <c r="DG116" s="4863">
        <f>DG115-DG118</f>
        <v>3953</v>
      </c>
      <c r="DH116" s="4865"/>
      <c r="DI116" s="4865"/>
      <c r="DJ116" s="4865"/>
      <c r="DK116" s="4865">
        <f t="shared" ref="DK116:DP116" si="318">DK115-DK118</f>
        <v>2198</v>
      </c>
      <c r="DL116" s="4863">
        <f t="shared" si="318"/>
        <v>5483</v>
      </c>
      <c r="DM116" s="4865">
        <f t="shared" si="318"/>
        <v>1256</v>
      </c>
      <c r="DN116" s="4865">
        <f t="shared" si="318"/>
        <v>1264</v>
      </c>
      <c r="DO116" s="4865">
        <f t="shared" si="318"/>
        <v>1281</v>
      </c>
      <c r="DP116" s="4865">
        <f t="shared" si="318"/>
        <v>1332</v>
      </c>
      <c r="DQ116" s="4863">
        <f t="shared" si="309"/>
        <v>5133</v>
      </c>
      <c r="DR116" s="4865">
        <f>DR115-DR118</f>
        <v>1343</v>
      </c>
      <c r="DS116" s="4865">
        <f>DS115-DS118</f>
        <v>1590</v>
      </c>
      <c r="DT116" s="4865">
        <f>DT115-DT118</f>
        <v>1470</v>
      </c>
      <c r="DU116" s="4865">
        <f>DU115-DU118</f>
        <v>1631</v>
      </c>
      <c r="DV116" s="4863">
        <f t="shared" si="310"/>
        <v>6034</v>
      </c>
      <c r="DW116" s="4865">
        <f>DW115-DW118</f>
        <v>1275</v>
      </c>
      <c r="DX116" s="4865">
        <f>DX115-DX118</f>
        <v>1532</v>
      </c>
      <c r="DY116" s="4865">
        <f>DY115-DY118</f>
        <v>1434</v>
      </c>
      <c r="DZ116" s="4865">
        <f>DZ115-DZ118</f>
        <v>1463</v>
      </c>
      <c r="EA116" s="4863">
        <f t="shared" si="311"/>
        <v>5704</v>
      </c>
      <c r="EB116" s="4865">
        <f>EB115-EB118</f>
        <v>1513</v>
      </c>
      <c r="EC116" s="4865">
        <f>EC115-EC118</f>
        <v>1098</v>
      </c>
      <c r="ED116" s="4865">
        <f>ED115-ED118</f>
        <v>1491</v>
      </c>
      <c r="EE116" s="4865">
        <f>EE115-EE118</f>
        <v>1520</v>
      </c>
      <c r="EF116" s="4863">
        <f t="shared" si="312"/>
        <v>5622</v>
      </c>
      <c r="EG116" s="4865">
        <f>EG115-EG118</f>
        <v>1515</v>
      </c>
      <c r="EH116" s="4865">
        <f>EH115-EH118</f>
        <v>1499</v>
      </c>
      <c r="EI116" s="4865">
        <f>EI115-EI118</f>
        <v>1504</v>
      </c>
      <c r="EJ116" s="4865">
        <f>EJ115-EJ118</f>
        <v>1574</v>
      </c>
      <c r="EK116" s="4863">
        <f t="shared" si="313"/>
        <v>6092</v>
      </c>
      <c r="EL116" s="4865">
        <f>EL115-EL118</f>
        <v>1676</v>
      </c>
      <c r="EM116" s="4865">
        <f>EM115-EM118</f>
        <v>1619</v>
      </c>
      <c r="EN116" s="4865">
        <f>EN115-EN118</f>
        <v>1770</v>
      </c>
      <c r="EO116" s="4865">
        <f t="shared" ref="EO116" si="319">EO115-EO118</f>
        <v>1927.2000744260351</v>
      </c>
      <c r="EP116" s="4863">
        <f t="shared" si="315"/>
        <v>6992.2000744260349</v>
      </c>
      <c r="EQ116" s="4865">
        <f t="shared" ref="EQ116:ET116" si="320">EQ115-EQ118</f>
        <v>1692.761626328431</v>
      </c>
      <c r="ER116" s="4865">
        <f t="shared" si="320"/>
        <v>1734.9421752929493</v>
      </c>
      <c r="ES116" s="4865">
        <f t="shared" si="320"/>
        <v>1884.7672837407458</v>
      </c>
      <c r="ET116" s="4865">
        <f t="shared" si="320"/>
        <v>2021.9043832835821</v>
      </c>
      <c r="EU116" s="4863">
        <f t="shared" si="317"/>
        <v>7334.3754686457078</v>
      </c>
      <c r="EV116" s="4863">
        <f>EV115-EV118</f>
        <v>7653.3568636768759</v>
      </c>
      <c r="EW116" s="4863">
        <f>EW115-EW118</f>
        <v>6354.1346800225147</v>
      </c>
      <c r="EX116" s="4863">
        <f>EX115-EX118</f>
        <v>4587.5990308007167</v>
      </c>
      <c r="EY116" s="4863">
        <f>EY115-EY118</f>
        <v>3342.8026390945597</v>
      </c>
      <c r="EZ116" s="170"/>
      <c r="FA116" s="1319">
        <f>IF(AND(EV116&gt;0,EK116&gt;0),(EV116/EK116)^(1/3)-1,"NA")</f>
        <v>7.9022969795024212E-2</v>
      </c>
      <c r="FB116" s="1319">
        <f>IF(AND(EX116&gt;0,EK116&gt;0),(EX116/EK116)^(1/5)-1,"NA")</f>
        <v>-5.5145117675178046E-2</v>
      </c>
      <c r="FC116" s="511"/>
    </row>
    <row r="117" spans="1:159" s="4" customFormat="1" ht="11.25" customHeight="1">
      <c r="A117" s="5754" t="s">
        <v>994</v>
      </c>
      <c r="B117" s="170"/>
      <c r="C117" s="170"/>
      <c r="D117" s="170"/>
      <c r="E117" s="286"/>
      <c r="F117" s="4858"/>
      <c r="G117" s="170"/>
      <c r="H117" s="170"/>
      <c r="I117" s="170"/>
      <c r="J117" s="286"/>
      <c r="K117" s="4858"/>
      <c r="L117" s="170"/>
      <c r="M117" s="170"/>
      <c r="N117" s="170"/>
      <c r="O117" s="286"/>
      <c r="P117" s="2657"/>
      <c r="Q117" s="2608"/>
      <c r="R117" s="170"/>
      <c r="S117" s="170"/>
      <c r="T117" s="286"/>
      <c r="U117" s="4858"/>
      <c r="V117" s="5755"/>
      <c r="W117" s="170"/>
      <c r="X117" s="170"/>
      <c r="Y117" s="286"/>
      <c r="Z117" s="4858"/>
      <c r="AA117" s="5755"/>
      <c r="AB117" s="170"/>
      <c r="AC117" s="170"/>
      <c r="AD117" s="286"/>
      <c r="AE117" s="4858"/>
      <c r="AF117" s="5755"/>
      <c r="AG117" s="170"/>
      <c r="AH117" s="170"/>
      <c r="AI117" s="286"/>
      <c r="AJ117" s="4858"/>
      <c r="AK117" s="170"/>
      <c r="AL117" s="170"/>
      <c r="AM117" s="170"/>
      <c r="AN117" s="286"/>
      <c r="AO117" s="4858"/>
      <c r="AP117" s="170"/>
      <c r="AQ117" s="170"/>
      <c r="AR117" s="170"/>
      <c r="AS117" s="286"/>
      <c r="AT117" s="4858"/>
      <c r="AU117" s="170"/>
      <c r="AV117" s="170"/>
      <c r="AW117" s="170"/>
      <c r="AX117" s="286"/>
      <c r="AY117" s="4858"/>
      <c r="AZ117" s="170"/>
      <c r="BA117" s="170"/>
      <c r="BB117" s="170"/>
      <c r="BC117" s="170"/>
      <c r="BD117" s="4860"/>
      <c r="BE117" s="4866"/>
      <c r="BF117" s="170"/>
      <c r="BG117" s="170"/>
      <c r="BH117" s="170"/>
      <c r="BI117" s="4860"/>
      <c r="BJ117" s="170"/>
      <c r="BK117" s="170"/>
      <c r="BL117" s="170"/>
      <c r="BM117" s="170"/>
      <c r="BN117" s="4860"/>
      <c r="BO117" s="170"/>
      <c r="BP117" s="170"/>
      <c r="BQ117" s="170"/>
      <c r="BR117" s="286"/>
      <c r="BS117" s="4858"/>
      <c r="BT117" s="170"/>
      <c r="BU117" s="170"/>
      <c r="BV117" s="170"/>
      <c r="BW117" s="170"/>
      <c r="BX117" s="4860"/>
      <c r="BY117" s="170"/>
      <c r="BZ117" s="170"/>
      <c r="CA117" s="170"/>
      <c r="CB117" s="170"/>
      <c r="CC117" s="4860"/>
      <c r="CD117" s="170"/>
      <c r="CE117" s="170"/>
      <c r="CF117" s="170"/>
      <c r="CG117" s="170"/>
      <c r="CH117" s="4860"/>
      <c r="CI117" s="170"/>
      <c r="CJ117" s="170"/>
      <c r="CK117" s="170"/>
      <c r="CL117" s="170"/>
      <c r="CM117" s="4860"/>
      <c r="CN117" s="170"/>
      <c r="CO117" s="170"/>
      <c r="CP117" s="170"/>
      <c r="CQ117" s="170"/>
      <c r="CR117" s="4860"/>
      <c r="CS117" s="170"/>
      <c r="CT117" s="170"/>
      <c r="CU117" s="170"/>
      <c r="CV117" s="170"/>
      <c r="CW117" s="4860"/>
      <c r="CX117" s="170"/>
      <c r="CY117" s="170"/>
      <c r="CZ117" s="170"/>
      <c r="DA117" s="170"/>
      <c r="DB117" s="4860"/>
      <c r="DC117" s="170"/>
      <c r="DD117" s="170"/>
      <c r="DE117" s="170"/>
      <c r="DF117" s="170"/>
      <c r="DG117" s="4863"/>
      <c r="DH117" s="4865"/>
      <c r="DI117" s="4865"/>
      <c r="DJ117" s="4865"/>
      <c r="DK117" s="4865"/>
      <c r="DL117" s="4863">
        <f>DL116-SUM(DL125:DL126)</f>
        <v>4443</v>
      </c>
      <c r="DM117" s="4865"/>
      <c r="DN117" s="4865"/>
      <c r="DO117" s="4865"/>
      <c r="DP117" s="4865"/>
      <c r="DQ117" s="4863">
        <f>DQ116-SUM(DQ125:DQ126)</f>
        <v>4223.6375550561797</v>
      </c>
      <c r="DR117" s="4865"/>
      <c r="DS117" s="4865"/>
      <c r="DT117" s="4865"/>
      <c r="DU117" s="4865"/>
      <c r="DV117" s="4863">
        <f>DV116-SUM(DV125:DV126)</f>
        <v>4980.5090000000009</v>
      </c>
      <c r="DW117" s="4865"/>
      <c r="DX117" s="4865"/>
      <c r="DY117" s="4865"/>
      <c r="DZ117" s="4865"/>
      <c r="EA117" s="4863">
        <f>EA116-SUM(EA125:EA126)</f>
        <v>4500.713600000001</v>
      </c>
      <c r="EB117" s="4865"/>
      <c r="EC117" s="4865"/>
      <c r="ED117" s="4865"/>
      <c r="EE117" s="4865"/>
      <c r="EF117" s="4863">
        <f>EF116-SUM(EF125:EF126)</f>
        <v>4477.0287000000008</v>
      </c>
      <c r="EG117" s="4865"/>
      <c r="EH117" s="4865"/>
      <c r="EI117" s="4865"/>
      <c r="EJ117" s="4865"/>
      <c r="EK117" s="4863">
        <f>EK116-SUM(EK125:EK126)</f>
        <v>4935.3839999999991</v>
      </c>
      <c r="EL117" s="4865"/>
      <c r="EM117" s="4865"/>
      <c r="EN117" s="4865"/>
      <c r="EO117" s="4865"/>
      <c r="EP117" s="4863">
        <f>EP116-SUM(EP125:EP126)</f>
        <v>5753.8629005477942</v>
      </c>
      <c r="EQ117" s="4865"/>
      <c r="ER117" s="4865"/>
      <c r="ES117" s="4865"/>
      <c r="ET117" s="4865"/>
      <c r="EU117" s="4863">
        <f>EU116-SUM(EU125:EU126)</f>
        <v>6060.0183433603715</v>
      </c>
      <c r="EV117" s="4863">
        <f>EV116-SUM(EV125:EV126)</f>
        <v>6288.2108889822975</v>
      </c>
      <c r="EW117" s="4863">
        <f>EW116-SUM(EW125:EW126)</f>
        <v>4923.0859462340741</v>
      </c>
      <c r="EX117" s="4863">
        <f>EX116-SUM(EX125:EX126)</f>
        <v>3126.7312300885278</v>
      </c>
      <c r="EY117" s="4863">
        <f>EY116-SUM(EY125:EY126)</f>
        <v>1869.6961758360248</v>
      </c>
      <c r="EZ117" s="170"/>
      <c r="FA117" s="1319"/>
      <c r="FB117" s="1319"/>
      <c r="FC117" s="511"/>
    </row>
    <row r="118" spans="1:159" s="4" customFormat="1" ht="11.25" customHeight="1">
      <c r="A118" s="6250" t="s">
        <v>533</v>
      </c>
      <c r="B118" s="6251"/>
      <c r="C118" s="6251"/>
      <c r="D118" s="6251"/>
      <c r="E118" s="6252"/>
      <c r="F118" s="6253"/>
      <c r="G118" s="6251"/>
      <c r="H118" s="6251"/>
      <c r="I118" s="6251"/>
      <c r="J118" s="6252"/>
      <c r="K118" s="6253"/>
      <c r="L118" s="6251"/>
      <c r="M118" s="6251"/>
      <c r="N118" s="6251"/>
      <c r="O118" s="6252"/>
      <c r="P118" s="6254"/>
      <c r="Q118" s="6255"/>
      <c r="R118" s="6251"/>
      <c r="S118" s="6251"/>
      <c r="T118" s="6252"/>
      <c r="U118" s="6253"/>
      <c r="V118" s="6256"/>
      <c r="W118" s="6251"/>
      <c r="X118" s="6251"/>
      <c r="Y118" s="6252"/>
      <c r="Z118" s="6253"/>
      <c r="AA118" s="6256"/>
      <c r="AB118" s="6251"/>
      <c r="AC118" s="6251"/>
      <c r="AD118" s="6252"/>
      <c r="AE118" s="6253"/>
      <c r="AF118" s="6256"/>
      <c r="AG118" s="6251"/>
      <c r="AH118" s="6251"/>
      <c r="AI118" s="6252"/>
      <c r="AJ118" s="6253"/>
      <c r="AK118" s="6251"/>
      <c r="AL118" s="6251"/>
      <c r="AM118" s="6251"/>
      <c r="AN118" s="6252"/>
      <c r="AO118" s="6253"/>
      <c r="AP118" s="6251"/>
      <c r="AQ118" s="6251"/>
      <c r="AR118" s="6251"/>
      <c r="AS118" s="6252"/>
      <c r="AT118" s="6253"/>
      <c r="AU118" s="6251"/>
      <c r="AV118" s="6251"/>
      <c r="AW118" s="6251"/>
      <c r="AX118" s="6252"/>
      <c r="AY118" s="6253"/>
      <c r="AZ118" s="6251"/>
      <c r="BA118" s="6251"/>
      <c r="BB118" s="6251"/>
      <c r="BC118" s="6251"/>
      <c r="BD118" s="6257"/>
      <c r="BE118" s="6258"/>
      <c r="BF118" s="6251"/>
      <c r="BG118" s="6251"/>
      <c r="BH118" s="6251"/>
      <c r="BI118" s="6257"/>
      <c r="BJ118" s="6251"/>
      <c r="BK118" s="6251"/>
      <c r="BL118" s="6251"/>
      <c r="BM118" s="6251"/>
      <c r="BN118" s="6257"/>
      <c r="BO118" s="6251"/>
      <c r="BP118" s="6251"/>
      <c r="BQ118" s="6251"/>
      <c r="BR118" s="6252"/>
      <c r="BS118" s="6253"/>
      <c r="BT118" s="6251"/>
      <c r="BU118" s="6251"/>
      <c r="BV118" s="6251"/>
      <c r="BW118" s="6251"/>
      <c r="BX118" s="6257"/>
      <c r="BY118" s="6251"/>
      <c r="BZ118" s="6251"/>
      <c r="CA118" s="6251"/>
      <c r="CB118" s="6251"/>
      <c r="CC118" s="6257"/>
      <c r="CD118" s="6251"/>
      <c r="CE118" s="6251"/>
      <c r="CF118" s="6251"/>
      <c r="CG118" s="6251"/>
      <c r="CH118" s="6257"/>
      <c r="CI118" s="6251"/>
      <c r="CJ118" s="6251"/>
      <c r="CK118" s="6251"/>
      <c r="CL118" s="6251"/>
      <c r="CM118" s="6257"/>
      <c r="CN118" s="6251"/>
      <c r="CO118" s="6251"/>
      <c r="CP118" s="6251"/>
      <c r="CQ118" s="6251"/>
      <c r="CR118" s="6257"/>
      <c r="CS118" s="6251"/>
      <c r="CT118" s="6251"/>
      <c r="CU118" s="6251"/>
      <c r="CV118" s="6251"/>
      <c r="CW118" s="6257"/>
      <c r="CX118" s="6251"/>
      <c r="CY118" s="6251"/>
      <c r="CZ118" s="6251"/>
      <c r="DA118" s="6251"/>
      <c r="DB118" s="6257"/>
      <c r="DC118" s="6251"/>
      <c r="DD118" s="6251"/>
      <c r="DE118" s="6251"/>
      <c r="DF118" s="6251"/>
      <c r="DG118" s="6259">
        <f>DG19</f>
        <v>-3358</v>
      </c>
      <c r="DH118" s="6260"/>
      <c r="DI118" s="6260"/>
      <c r="DJ118" s="6260"/>
      <c r="DK118" s="6260">
        <f t="shared" ref="DK118:DP118" si="321">DK19</f>
        <v>-2026</v>
      </c>
      <c r="DL118" s="6259">
        <f t="shared" si="321"/>
        <v>-4824</v>
      </c>
      <c r="DM118" s="6260">
        <f t="shared" si="321"/>
        <v>-1121</v>
      </c>
      <c r="DN118" s="6260">
        <f t="shared" si="321"/>
        <v>-1116</v>
      </c>
      <c r="DO118" s="6260">
        <f t="shared" si="321"/>
        <v>-1103</v>
      </c>
      <c r="DP118" s="6260">
        <f t="shared" si="321"/>
        <v>-1136</v>
      </c>
      <c r="DQ118" s="6259">
        <f t="shared" si="309"/>
        <v>-4476</v>
      </c>
      <c r="DR118" s="6260">
        <f>DR19</f>
        <v>-1145</v>
      </c>
      <c r="DS118" s="6260">
        <f>DS19</f>
        <v>-1398</v>
      </c>
      <c r="DT118" s="6260">
        <f>DT19</f>
        <v>-1288</v>
      </c>
      <c r="DU118" s="6260">
        <f>DU19</f>
        <v>-1450</v>
      </c>
      <c r="DV118" s="6259">
        <f t="shared" si="310"/>
        <v>-5281</v>
      </c>
      <c r="DW118" s="6260">
        <f>DW19</f>
        <v>-835</v>
      </c>
      <c r="DX118" s="6260">
        <f>DX19</f>
        <v>-1339</v>
      </c>
      <c r="DY118" s="6260">
        <f>DY19</f>
        <v>-1225</v>
      </c>
      <c r="DZ118" s="6260">
        <f>DZ19</f>
        <v>-1237</v>
      </c>
      <c r="EA118" s="6259">
        <f t="shared" si="311"/>
        <v>-4636</v>
      </c>
      <c r="EB118" s="6260">
        <f>EB19</f>
        <v>-1225</v>
      </c>
      <c r="EC118" s="6260">
        <f>EC19</f>
        <v>-813</v>
      </c>
      <c r="ED118" s="6260">
        <f>ED19</f>
        <v>-1194</v>
      </c>
      <c r="EE118" s="6260">
        <f>EE19</f>
        <v>-863</v>
      </c>
      <c r="EF118" s="6259">
        <f t="shared" si="312"/>
        <v>-4095</v>
      </c>
      <c r="EG118" s="6260">
        <f>EG19</f>
        <v>-1020</v>
      </c>
      <c r="EH118" s="6260">
        <f>EH19</f>
        <v>-1134</v>
      </c>
      <c r="EI118" s="6260">
        <f>EI19</f>
        <v>-1116</v>
      </c>
      <c r="EJ118" s="6260">
        <f>EJ19</f>
        <v>-1174</v>
      </c>
      <c r="EK118" s="6259">
        <f t="shared" si="313"/>
        <v>-4444</v>
      </c>
      <c r="EL118" s="6260">
        <f>EL19</f>
        <v>-1226</v>
      </c>
      <c r="EM118" s="6260">
        <f>EM19</f>
        <v>-1246</v>
      </c>
      <c r="EN118" s="6260">
        <f>EN19</f>
        <v>-1426</v>
      </c>
      <c r="EO118" s="6260">
        <f t="shared" ref="EO118" si="322">EO19</f>
        <v>-1563.1700744260161</v>
      </c>
      <c r="EP118" s="6259">
        <f t="shared" si="315"/>
        <v>-5461.1700744260161</v>
      </c>
      <c r="EQ118" s="6260">
        <f t="shared" ref="EQ118:ET118" si="323">EQ19</f>
        <v>-1303.0906263284342</v>
      </c>
      <c r="ER118" s="6260">
        <f t="shared" si="323"/>
        <v>-1321.214175292931</v>
      </c>
      <c r="ES118" s="6260">
        <f t="shared" si="323"/>
        <v>-1451.6202837407618</v>
      </c>
      <c r="ET118" s="6260">
        <f t="shared" si="323"/>
        <v>-1572.1851517060641</v>
      </c>
      <c r="EU118" s="6259">
        <f t="shared" si="317"/>
        <v>-5648.1102370681911</v>
      </c>
      <c r="EV118" s="6259">
        <f>EV19</f>
        <v>-5757.1138264919573</v>
      </c>
      <c r="EW118" s="6259">
        <f>EW19</f>
        <v>-4171.5645153180812</v>
      </c>
      <c r="EX118" s="6259">
        <f>EX19</f>
        <v>-1987.517192386149</v>
      </c>
      <c r="EY118" s="6259">
        <f>EY19</f>
        <v>-133.51592206879286</v>
      </c>
      <c r="EZ118" s="170"/>
      <c r="FA118" s="1319" t="str">
        <f>IF(AND(EV118&gt;0,EK118&gt;0),(EV118/EK118)^(1/3)-1,"NA")</f>
        <v>NA</v>
      </c>
      <c r="FB118" s="1319" t="str">
        <f>IF(AND(EX118&gt;0,EK118&gt;0),(EX118/EK118)^(1/5)-1,"NA")</f>
        <v>NA</v>
      </c>
      <c r="FC118" s="511"/>
    </row>
    <row r="119" spans="1:159" s="4" customFormat="1" ht="11.25" customHeight="1">
      <c r="A119" s="4857" t="s">
        <v>479</v>
      </c>
      <c r="B119" s="170"/>
      <c r="C119" s="170"/>
      <c r="D119" s="170"/>
      <c r="E119" s="286"/>
      <c r="F119" s="4858"/>
      <c r="G119" s="170"/>
      <c r="H119" s="170"/>
      <c r="I119" s="170"/>
      <c r="J119" s="286"/>
      <c r="K119" s="4858"/>
      <c r="L119" s="170"/>
      <c r="M119" s="170"/>
      <c r="N119" s="170"/>
      <c r="O119" s="286"/>
      <c r="P119" s="2657"/>
      <c r="Q119" s="2608"/>
      <c r="R119" s="170"/>
      <c r="S119" s="170"/>
      <c r="T119" s="286"/>
      <c r="U119" s="4858"/>
      <c r="V119" s="4859"/>
      <c r="W119" s="170"/>
      <c r="X119" s="170"/>
      <c r="Y119" s="286"/>
      <c r="Z119" s="4858"/>
      <c r="AA119" s="4859"/>
      <c r="AB119" s="170"/>
      <c r="AC119" s="170"/>
      <c r="AD119" s="286"/>
      <c r="AE119" s="4858"/>
      <c r="AF119" s="4859"/>
      <c r="AG119" s="170"/>
      <c r="AH119" s="170"/>
      <c r="AI119" s="286"/>
      <c r="AJ119" s="4858"/>
      <c r="AK119" s="170"/>
      <c r="AL119" s="170"/>
      <c r="AM119" s="170"/>
      <c r="AN119" s="286"/>
      <c r="AO119" s="4858"/>
      <c r="AP119" s="170"/>
      <c r="AQ119" s="170"/>
      <c r="AR119" s="170"/>
      <c r="AS119" s="286"/>
      <c r="AT119" s="4858"/>
      <c r="AU119" s="170"/>
      <c r="AV119" s="170"/>
      <c r="AW119" s="170"/>
      <c r="AX119" s="286"/>
      <c r="AY119" s="4858"/>
      <c r="AZ119" s="170"/>
      <c r="BA119" s="170"/>
      <c r="BB119" s="170"/>
      <c r="BC119" s="170"/>
      <c r="BD119" s="4860"/>
      <c r="BE119" s="4866"/>
      <c r="BF119" s="170"/>
      <c r="BG119" s="170"/>
      <c r="BH119" s="170"/>
      <c r="BI119" s="4860"/>
      <c r="BJ119" s="170"/>
      <c r="BK119" s="170"/>
      <c r="BL119" s="170"/>
      <c r="BM119" s="170"/>
      <c r="BN119" s="4860"/>
      <c r="BO119" s="170"/>
      <c r="BP119" s="170"/>
      <c r="BQ119" s="170"/>
      <c r="BR119" s="286"/>
      <c r="BS119" s="4858"/>
      <c r="BT119" s="170"/>
      <c r="BU119" s="170"/>
      <c r="BV119" s="170"/>
      <c r="BW119" s="170"/>
      <c r="BX119" s="4860"/>
      <c r="BY119" s="170"/>
      <c r="BZ119" s="170"/>
      <c r="CA119" s="170"/>
      <c r="CB119" s="170"/>
      <c r="CC119" s="4860"/>
      <c r="CD119" s="170"/>
      <c r="CE119" s="170"/>
      <c r="CF119" s="170"/>
      <c r="CG119" s="170"/>
      <c r="CH119" s="4860"/>
      <c r="CI119" s="170"/>
      <c r="CJ119" s="170"/>
      <c r="CK119" s="170"/>
      <c r="CL119" s="170"/>
      <c r="CM119" s="4860"/>
      <c r="CN119" s="170"/>
      <c r="CO119" s="170"/>
      <c r="CP119" s="170"/>
      <c r="CQ119" s="170"/>
      <c r="CR119" s="4860"/>
      <c r="CS119" s="170"/>
      <c r="CT119" s="170"/>
      <c r="CU119" s="170"/>
      <c r="CV119" s="170"/>
      <c r="CW119" s="4860"/>
      <c r="CX119" s="170"/>
      <c r="CY119" s="170"/>
      <c r="CZ119" s="170"/>
      <c r="DA119" s="170"/>
      <c r="DB119" s="4860"/>
      <c r="DC119" s="170"/>
      <c r="DD119" s="170"/>
      <c r="DE119" s="170"/>
      <c r="DF119" s="170"/>
      <c r="DG119" s="4940">
        <f>SUM(IS!DG194,IS!DG195)</f>
        <v>4257</v>
      </c>
      <c r="DH119" s="4865"/>
      <c r="DI119" s="4865"/>
      <c r="DJ119" s="4865"/>
      <c r="DK119" s="4941">
        <f>SUM(IS!DK194,IS!DK195)</f>
        <v>402</v>
      </c>
      <c r="DL119" s="4940">
        <f>SUM(IS!DL194,IS!DL195)</f>
        <v>2323</v>
      </c>
      <c r="DM119" s="4941">
        <f>SUM(IS!DM194,IS!DM195)</f>
        <v>-808</v>
      </c>
      <c r="DN119" s="4941">
        <f>SUM(IS!DN194,IS!DN195)</f>
        <v>1380</v>
      </c>
      <c r="DO119" s="4941">
        <f>SUM(IS!DO194,IS!DO195)</f>
        <v>1764</v>
      </c>
      <c r="DP119" s="4941">
        <f>SUM(IS!DP194,IS!DP195)</f>
        <v>2647</v>
      </c>
      <c r="DQ119" s="4863">
        <f t="shared" si="309"/>
        <v>4983</v>
      </c>
      <c r="DR119" s="4941">
        <f>SUM(IS!DR194,IS!DR195)</f>
        <v>4172</v>
      </c>
      <c r="DS119" s="4941">
        <f>SUM(IS!DS194,IS!DS195)</f>
        <v>2249</v>
      </c>
      <c r="DT119" s="4941">
        <f>SUM(IS!DT194,IS!DT195)</f>
        <v>1629</v>
      </c>
      <c r="DU119" s="4941">
        <f>SUM(IS!DU194,IS!DU195)</f>
        <v>2422</v>
      </c>
      <c r="DV119" s="4863">
        <f t="shared" si="310"/>
        <v>10472</v>
      </c>
      <c r="DW119" s="4941">
        <f>SUM(IS!DW194,IS!DW195)</f>
        <v>-837</v>
      </c>
      <c r="DX119" s="4941">
        <f>SUM(IS!DX194,IS!DX195)</f>
        <v>67</v>
      </c>
      <c r="DY119" s="4941">
        <f>SUM(IS!DY194,IS!DY195)</f>
        <v>-593</v>
      </c>
      <c r="DZ119" s="4941">
        <f>SUM(IS!DZ194,IS!DZ195)</f>
        <v>-1294</v>
      </c>
      <c r="EA119" s="4863">
        <f t="shared" si="311"/>
        <v>-2657</v>
      </c>
      <c r="EB119" s="4941">
        <f>SUM(IS!EB194,IS!EB195)</f>
        <v>495</v>
      </c>
      <c r="EC119" s="4941">
        <f>SUM(IS!EC194,IS!EC195)</f>
        <v>-200</v>
      </c>
      <c r="ED119" s="4941">
        <f>SUM(IS!ED194,IS!ED195)</f>
        <v>-187</v>
      </c>
      <c r="EE119" s="4941">
        <f>SUM(IS!EE194,IS!EE195)</f>
        <v>541</v>
      </c>
      <c r="EF119" s="4863">
        <f t="shared" si="312"/>
        <v>649</v>
      </c>
      <c r="EG119" s="4941">
        <f>SUM(IS!EG194,IS!EG195)</f>
        <v>2347</v>
      </c>
      <c r="EH119" s="4941">
        <f>SUM(IS!EH194,IS!EH195)</f>
        <v>-586</v>
      </c>
      <c r="EI119" s="4941">
        <f>SUM(IS!EI194,IS!EI195)</f>
        <v>1850</v>
      </c>
      <c r="EJ119" s="4941">
        <f>SUM(IS!EJ194,IS!EJ195)</f>
        <v>321</v>
      </c>
      <c r="EK119" s="4863">
        <f t="shared" si="313"/>
        <v>3932</v>
      </c>
      <c r="EL119" s="4941">
        <f>SUM(IS!EL194,IS!EL195)</f>
        <v>9718</v>
      </c>
      <c r="EM119" s="4941">
        <f>SUM(IS!EM194,IS!EM195)</f>
        <v>1203</v>
      </c>
      <c r="EN119" s="4941">
        <f>SUM(IS!EN194,IS!EN195)</f>
        <v>10560</v>
      </c>
      <c r="EO119" s="4941">
        <f>SUM(IS!EO194,IS!EO195)</f>
        <v>0</v>
      </c>
      <c r="EP119" s="4863">
        <f t="shared" si="315"/>
        <v>21481</v>
      </c>
      <c r="EQ119" s="4941">
        <f>SUM(IS!EQ194,IS!EQ195)</f>
        <v>0</v>
      </c>
      <c r="ER119" s="4941">
        <f>SUM(IS!ER194,IS!ER195)</f>
        <v>0</v>
      </c>
      <c r="ES119" s="4941">
        <f>SUM(IS!ES194,IS!ES195)</f>
        <v>0</v>
      </c>
      <c r="ET119" s="4941">
        <f>SUM(IS!ET194,IS!ET195)</f>
        <v>0</v>
      </c>
      <c r="EU119" s="4863">
        <f t="shared" si="317"/>
        <v>0</v>
      </c>
      <c r="EV119" s="4940">
        <f>SUM(IS!EV194,IS!EV195)</f>
        <v>0</v>
      </c>
      <c r="EW119" s="4940">
        <f>SUM(IS!EW194,IS!EW195)</f>
        <v>0</v>
      </c>
      <c r="EX119" s="4940">
        <f>SUM(IS!EX194,IS!EX195)</f>
        <v>0</v>
      </c>
      <c r="EY119" s="4940">
        <f>SUM(IS!EY194,IS!EY195)</f>
        <v>0</v>
      </c>
      <c r="EZ119" s="170"/>
      <c r="FA119" s="1319"/>
      <c r="FB119" s="1319"/>
      <c r="FC119" s="511"/>
    </row>
    <row r="120" spans="1:159" s="4" customFormat="1" ht="11.25" customHeight="1">
      <c r="A120" s="4905" t="s">
        <v>225</v>
      </c>
      <c r="B120" s="170"/>
      <c r="C120" s="170"/>
      <c r="D120" s="170"/>
      <c r="E120" s="286"/>
      <c r="F120" s="4858"/>
      <c r="G120" s="170"/>
      <c r="H120" s="170"/>
      <c r="I120" s="170"/>
      <c r="J120" s="286"/>
      <c r="K120" s="4858"/>
      <c r="L120" s="170"/>
      <c r="M120" s="170"/>
      <c r="N120" s="170"/>
      <c r="O120" s="286"/>
      <c r="P120" s="2657"/>
      <c r="Q120" s="2608"/>
      <c r="R120" s="170"/>
      <c r="S120" s="170"/>
      <c r="T120" s="286"/>
      <c r="U120" s="4858"/>
      <c r="V120" s="4859"/>
      <c r="W120" s="170"/>
      <c r="X120" s="170"/>
      <c r="Y120" s="286"/>
      <c r="Z120" s="4858"/>
      <c r="AA120" s="4859"/>
      <c r="AB120" s="170"/>
      <c r="AC120" s="170"/>
      <c r="AD120" s="286"/>
      <c r="AE120" s="4858"/>
      <c r="AF120" s="4859"/>
      <c r="AG120" s="170"/>
      <c r="AH120" s="170"/>
      <c r="AI120" s="286"/>
      <c r="AJ120" s="4858"/>
      <c r="AK120" s="170"/>
      <c r="AL120" s="170"/>
      <c r="AM120" s="170"/>
      <c r="AN120" s="286"/>
      <c r="AO120" s="4858"/>
      <c r="AP120" s="170"/>
      <c r="AQ120" s="170"/>
      <c r="AR120" s="170"/>
      <c r="AS120" s="286"/>
      <c r="AT120" s="4858"/>
      <c r="AU120" s="170"/>
      <c r="AV120" s="170"/>
      <c r="AW120" s="170"/>
      <c r="AX120" s="286"/>
      <c r="AY120" s="4858"/>
      <c r="AZ120" s="170"/>
      <c r="BA120" s="170"/>
      <c r="BB120" s="170"/>
      <c r="BC120" s="170"/>
      <c r="BD120" s="4860"/>
      <c r="BE120" s="4866"/>
      <c r="BF120" s="170"/>
      <c r="BG120" s="170"/>
      <c r="BH120" s="170"/>
      <c r="BI120" s="4860"/>
      <c r="BJ120" s="170"/>
      <c r="BK120" s="170"/>
      <c r="BL120" s="170"/>
      <c r="BM120" s="170"/>
      <c r="BN120" s="4860"/>
      <c r="BO120" s="170"/>
      <c r="BP120" s="170"/>
      <c r="BQ120" s="170"/>
      <c r="BR120" s="286"/>
      <c r="BS120" s="4858"/>
      <c r="BT120" s="170"/>
      <c r="BU120" s="170"/>
      <c r="BV120" s="170"/>
      <c r="BW120" s="170"/>
      <c r="BX120" s="4860"/>
      <c r="BY120" s="170"/>
      <c r="BZ120" s="170"/>
      <c r="CA120" s="170"/>
      <c r="CB120" s="170"/>
      <c r="CC120" s="4860"/>
      <c r="CD120" s="170"/>
      <c r="CE120" s="170"/>
      <c r="CF120" s="170"/>
      <c r="CG120" s="170"/>
      <c r="CH120" s="4860"/>
      <c r="CI120" s="170"/>
      <c r="CJ120" s="170"/>
      <c r="CK120" s="170"/>
      <c r="CL120" s="170"/>
      <c r="CM120" s="4860"/>
      <c r="CN120" s="170"/>
      <c r="CO120" s="170"/>
      <c r="CP120" s="170"/>
      <c r="CQ120" s="170"/>
      <c r="CR120" s="4860"/>
      <c r="CS120" s="170"/>
      <c r="CT120" s="170"/>
      <c r="CU120" s="170"/>
      <c r="CV120" s="170"/>
      <c r="CW120" s="4860"/>
      <c r="CX120" s="170"/>
      <c r="CY120" s="170"/>
      <c r="CZ120" s="170"/>
      <c r="DA120" s="170"/>
      <c r="DB120" s="4860"/>
      <c r="DC120" s="170"/>
      <c r="DD120" s="170"/>
      <c r="DE120" s="170"/>
      <c r="DF120" s="170"/>
      <c r="DG120" s="4863">
        <f>DG118+DG119</f>
        <v>899</v>
      </c>
      <c r="DH120" s="4865"/>
      <c r="DI120" s="4865"/>
      <c r="DJ120" s="4865"/>
      <c r="DK120" s="4865">
        <f t="shared" ref="DK120:DP120" si="324">DK118+DK119</f>
        <v>-1624</v>
      </c>
      <c r="DL120" s="4863">
        <f t="shared" si="324"/>
        <v>-2501</v>
      </c>
      <c r="DM120" s="4865">
        <f t="shared" si="324"/>
        <v>-1929</v>
      </c>
      <c r="DN120" s="4865">
        <f t="shared" si="324"/>
        <v>264</v>
      </c>
      <c r="DO120" s="4865">
        <f t="shared" si="324"/>
        <v>661</v>
      </c>
      <c r="DP120" s="4865">
        <f t="shared" si="324"/>
        <v>1511</v>
      </c>
      <c r="DQ120" s="4863">
        <f t="shared" si="309"/>
        <v>507</v>
      </c>
      <c r="DR120" s="4865">
        <f>DR118+DR119</f>
        <v>3027</v>
      </c>
      <c r="DS120" s="4865">
        <f>DS118+DS119</f>
        <v>851</v>
      </c>
      <c r="DT120" s="4865">
        <f>DT118+DT119</f>
        <v>341</v>
      </c>
      <c r="DU120" s="4865">
        <f>DU118+DU119</f>
        <v>972</v>
      </c>
      <c r="DV120" s="4863">
        <f t="shared" si="310"/>
        <v>5191</v>
      </c>
      <c r="DW120" s="4865">
        <f>DW118+DW119</f>
        <v>-1672</v>
      </c>
      <c r="DX120" s="4865">
        <f>DX118+DX119</f>
        <v>-1272</v>
      </c>
      <c r="DY120" s="4865">
        <f>DY118+DY119</f>
        <v>-1818</v>
      </c>
      <c r="DZ120" s="4865">
        <f>DZ118+DZ119</f>
        <v>-2531</v>
      </c>
      <c r="EA120" s="4863">
        <f t="shared" si="311"/>
        <v>-7293</v>
      </c>
      <c r="EB120" s="4865">
        <f>EB118+EB119</f>
        <v>-730</v>
      </c>
      <c r="EC120" s="4865">
        <f>EC118+EC119</f>
        <v>-1013</v>
      </c>
      <c r="ED120" s="4865">
        <f>ED118+ED119</f>
        <v>-1381</v>
      </c>
      <c r="EE120" s="4865">
        <f>EE118+EE119</f>
        <v>-322</v>
      </c>
      <c r="EF120" s="4863">
        <f t="shared" si="312"/>
        <v>-3446</v>
      </c>
      <c r="EG120" s="4865">
        <f>EG118+EG119</f>
        <v>1327</v>
      </c>
      <c r="EH120" s="4865">
        <f>EH118+EH119</f>
        <v>-1720</v>
      </c>
      <c r="EI120" s="4865">
        <f>EI118+EI119</f>
        <v>734</v>
      </c>
      <c r="EJ120" s="4865">
        <f>EJ118+EJ119</f>
        <v>-853</v>
      </c>
      <c r="EK120" s="4863">
        <f t="shared" si="313"/>
        <v>-512</v>
      </c>
      <c r="EL120" s="4865">
        <f>EL118+EL119</f>
        <v>8492</v>
      </c>
      <c r="EM120" s="4865">
        <f>EM118+EM119</f>
        <v>-43</v>
      </c>
      <c r="EN120" s="4865">
        <f>EN118+EN119</f>
        <v>9134</v>
      </c>
      <c r="EO120" s="4865">
        <f t="shared" ref="EO120" si="325">EO118+EO119</f>
        <v>-1563.1700744260161</v>
      </c>
      <c r="EP120" s="4863">
        <f t="shared" si="315"/>
        <v>16019.829925573984</v>
      </c>
      <c r="EQ120" s="4865">
        <f t="shared" ref="EQ120:ET120" si="326">EQ118+EQ119</f>
        <v>-1303.0906263284342</v>
      </c>
      <c r="ER120" s="4865">
        <f t="shared" si="326"/>
        <v>-1321.214175292931</v>
      </c>
      <c r="ES120" s="4865">
        <f t="shared" si="326"/>
        <v>-1451.6202837407618</v>
      </c>
      <c r="ET120" s="4865">
        <f t="shared" si="326"/>
        <v>-1572.1851517060641</v>
      </c>
      <c r="EU120" s="4863">
        <f t="shared" si="317"/>
        <v>-5648.1102370681911</v>
      </c>
      <c r="EV120" s="4863">
        <f>EV118+EV119</f>
        <v>-5757.1138264919573</v>
      </c>
      <c r="EW120" s="4863">
        <f>EW118+EW119</f>
        <v>-4171.5645153180812</v>
      </c>
      <c r="EX120" s="4863">
        <f>EX118+EX119</f>
        <v>-1987.517192386149</v>
      </c>
      <c r="EY120" s="4863">
        <f>EY118+EY119</f>
        <v>-133.51592206879286</v>
      </c>
      <c r="EZ120" s="170"/>
      <c r="FA120" s="1319"/>
      <c r="FB120" s="1319"/>
      <c r="FC120" s="511"/>
    </row>
    <row r="121" spans="1:159" s="4" customFormat="1" ht="11.25" customHeight="1">
      <c r="A121" s="4857" t="s">
        <v>950</v>
      </c>
      <c r="B121" s="170"/>
      <c r="C121" s="170"/>
      <c r="D121" s="170"/>
      <c r="E121" s="286"/>
      <c r="F121" s="4858"/>
      <c r="G121" s="170"/>
      <c r="H121" s="170"/>
      <c r="I121" s="170"/>
      <c r="J121" s="286"/>
      <c r="K121" s="4858"/>
      <c r="L121" s="170"/>
      <c r="M121" s="170"/>
      <c r="N121" s="170"/>
      <c r="O121" s="286"/>
      <c r="P121" s="2657"/>
      <c r="Q121" s="2608"/>
      <c r="R121" s="170"/>
      <c r="S121" s="170"/>
      <c r="T121" s="286"/>
      <c r="U121" s="4858"/>
      <c r="V121" s="4859"/>
      <c r="W121" s="170"/>
      <c r="X121" s="170"/>
      <c r="Y121" s="286"/>
      <c r="Z121" s="4858"/>
      <c r="AA121" s="4859"/>
      <c r="AB121" s="170"/>
      <c r="AC121" s="170"/>
      <c r="AD121" s="286"/>
      <c r="AE121" s="4858"/>
      <c r="AF121" s="4859"/>
      <c r="AG121" s="170"/>
      <c r="AH121" s="170"/>
      <c r="AI121" s="286"/>
      <c r="AJ121" s="4858"/>
      <c r="AK121" s="170"/>
      <c r="AL121" s="170"/>
      <c r="AM121" s="170"/>
      <c r="AN121" s="286"/>
      <c r="AO121" s="4858"/>
      <c r="AP121" s="170"/>
      <c r="AQ121" s="170"/>
      <c r="AR121" s="170"/>
      <c r="AS121" s="286"/>
      <c r="AT121" s="4858"/>
      <c r="AU121" s="170"/>
      <c r="AV121" s="170"/>
      <c r="AW121" s="170"/>
      <c r="AX121" s="286"/>
      <c r="AY121" s="4858"/>
      <c r="AZ121" s="170"/>
      <c r="BA121" s="170"/>
      <c r="BB121" s="170"/>
      <c r="BC121" s="170"/>
      <c r="BD121" s="4860"/>
      <c r="BE121" s="4866"/>
      <c r="BF121" s="170"/>
      <c r="BG121" s="170"/>
      <c r="BH121" s="170"/>
      <c r="BI121" s="4860"/>
      <c r="BJ121" s="170"/>
      <c r="BK121" s="170"/>
      <c r="BL121" s="170"/>
      <c r="BM121" s="170"/>
      <c r="BN121" s="4860"/>
      <c r="BO121" s="170"/>
      <c r="BP121" s="170"/>
      <c r="BQ121" s="170"/>
      <c r="BR121" s="286"/>
      <c r="BS121" s="4858"/>
      <c r="BT121" s="170"/>
      <c r="BU121" s="170"/>
      <c r="BV121" s="170"/>
      <c r="BW121" s="170"/>
      <c r="BX121" s="4860"/>
      <c r="BY121" s="170"/>
      <c r="BZ121" s="170"/>
      <c r="CA121" s="170"/>
      <c r="CB121" s="170"/>
      <c r="CC121" s="4860"/>
      <c r="CD121" s="170"/>
      <c r="CE121" s="170"/>
      <c r="CF121" s="170"/>
      <c r="CG121" s="170"/>
      <c r="CH121" s="4860"/>
      <c r="CI121" s="170"/>
      <c r="CJ121" s="170"/>
      <c r="CK121" s="170"/>
      <c r="CL121" s="170"/>
      <c r="CM121" s="4860"/>
      <c r="CN121" s="170"/>
      <c r="CO121" s="170"/>
      <c r="CP121" s="170"/>
      <c r="CQ121" s="170"/>
      <c r="CR121" s="4860"/>
      <c r="CS121" s="170"/>
      <c r="CT121" s="170"/>
      <c r="CU121" s="170"/>
      <c r="CV121" s="170"/>
      <c r="CW121" s="4860"/>
      <c r="CX121" s="170"/>
      <c r="CY121" s="170"/>
      <c r="CZ121" s="170"/>
      <c r="DA121" s="170"/>
      <c r="DB121" s="4860"/>
      <c r="DC121" s="170"/>
      <c r="DD121" s="170"/>
      <c r="DE121" s="170"/>
      <c r="DF121" s="170"/>
      <c r="DG121" s="4940">
        <v>0</v>
      </c>
      <c r="DH121" s="4865"/>
      <c r="DI121" s="4865"/>
      <c r="DJ121" s="4865"/>
      <c r="DK121" s="4941">
        <v>0</v>
      </c>
      <c r="DL121" s="4940">
        <v>0</v>
      </c>
      <c r="DM121" s="4941">
        <v>0</v>
      </c>
      <c r="DN121" s="4941">
        <v>0</v>
      </c>
      <c r="DO121" s="4941">
        <v>0</v>
      </c>
      <c r="DP121" s="4941">
        <v>0</v>
      </c>
      <c r="DQ121" s="4863">
        <f t="shared" si="309"/>
        <v>0</v>
      </c>
      <c r="DR121" s="4941">
        <v>0</v>
      </c>
      <c r="DS121" s="4941">
        <v>0</v>
      </c>
      <c r="DT121" s="4941">
        <v>0</v>
      </c>
      <c r="DU121" s="4941">
        <v>0</v>
      </c>
      <c r="DV121" s="4863">
        <f t="shared" si="310"/>
        <v>0</v>
      </c>
      <c r="DW121" s="4941">
        <v>0</v>
      </c>
      <c r="DX121" s="4941">
        <v>0</v>
      </c>
      <c r="DY121" s="4941">
        <v>0</v>
      </c>
      <c r="DZ121" s="4941">
        <v>0</v>
      </c>
      <c r="EA121" s="4863">
        <f t="shared" si="311"/>
        <v>0</v>
      </c>
      <c r="EB121" s="4941">
        <v>0</v>
      </c>
      <c r="EC121" s="4941">
        <v>0</v>
      </c>
      <c r="ED121" s="4941">
        <v>0</v>
      </c>
      <c r="EE121" s="4941">
        <v>0</v>
      </c>
      <c r="EF121" s="4863">
        <f t="shared" si="312"/>
        <v>0</v>
      </c>
      <c r="EG121" s="4941">
        <v>0</v>
      </c>
      <c r="EH121" s="4941">
        <v>0</v>
      </c>
      <c r="EI121" s="4941">
        <v>0</v>
      </c>
      <c r="EJ121" s="4941">
        <v>0</v>
      </c>
      <c r="EK121" s="4863">
        <f t="shared" si="313"/>
        <v>0</v>
      </c>
      <c r="EL121" s="4941">
        <v>0</v>
      </c>
      <c r="EM121" s="4941">
        <v>0</v>
      </c>
      <c r="EN121" s="4941">
        <v>0</v>
      </c>
      <c r="EO121" s="4941">
        <v>0</v>
      </c>
      <c r="EP121" s="4863">
        <f t="shared" si="315"/>
        <v>0</v>
      </c>
      <c r="EQ121" s="4941">
        <v>0</v>
      </c>
      <c r="ER121" s="4941">
        <v>0</v>
      </c>
      <c r="ES121" s="4941">
        <v>0</v>
      </c>
      <c r="ET121" s="4941">
        <v>0</v>
      </c>
      <c r="EU121" s="4863">
        <f t="shared" si="317"/>
        <v>0</v>
      </c>
      <c r="EV121" s="4940">
        <v>0</v>
      </c>
      <c r="EW121" s="4940">
        <v>0</v>
      </c>
      <c r="EX121" s="4940">
        <v>0</v>
      </c>
      <c r="EY121" s="4940">
        <v>0</v>
      </c>
      <c r="EZ121" s="170"/>
      <c r="FA121" s="1319"/>
      <c r="FB121" s="1319"/>
      <c r="FC121" s="511"/>
    </row>
    <row r="122" spans="1:159" s="4" customFormat="1" ht="11.25" customHeight="1">
      <c r="A122" s="4927" t="s">
        <v>372</v>
      </c>
      <c r="B122" s="4928"/>
      <c r="C122" s="4928"/>
      <c r="D122" s="4928"/>
      <c r="E122" s="4929"/>
      <c r="F122" s="4930"/>
      <c r="G122" s="4928"/>
      <c r="H122" s="4928"/>
      <c r="I122" s="4928"/>
      <c r="J122" s="4929"/>
      <c r="K122" s="4930"/>
      <c r="L122" s="4928"/>
      <c r="M122" s="4928"/>
      <c r="N122" s="4928"/>
      <c r="O122" s="4929"/>
      <c r="P122" s="4931"/>
      <c r="Q122" s="4085"/>
      <c r="R122" s="4928"/>
      <c r="S122" s="4928"/>
      <c r="T122" s="4929"/>
      <c r="U122" s="4930"/>
      <c r="V122" s="4932"/>
      <c r="W122" s="4928"/>
      <c r="X122" s="4928"/>
      <c r="Y122" s="4929"/>
      <c r="Z122" s="4930"/>
      <c r="AA122" s="4932"/>
      <c r="AB122" s="4928"/>
      <c r="AC122" s="4928"/>
      <c r="AD122" s="4929"/>
      <c r="AE122" s="4930"/>
      <c r="AF122" s="4932"/>
      <c r="AG122" s="4928"/>
      <c r="AH122" s="4928"/>
      <c r="AI122" s="4929"/>
      <c r="AJ122" s="4930"/>
      <c r="AK122" s="4928"/>
      <c r="AL122" s="4928"/>
      <c r="AM122" s="4928"/>
      <c r="AN122" s="4929"/>
      <c r="AO122" s="4930"/>
      <c r="AP122" s="4928"/>
      <c r="AQ122" s="4928"/>
      <c r="AR122" s="4928"/>
      <c r="AS122" s="4929"/>
      <c r="AT122" s="4930"/>
      <c r="AU122" s="4928"/>
      <c r="AV122" s="4928"/>
      <c r="AW122" s="4928"/>
      <c r="AX122" s="4929"/>
      <c r="AY122" s="4930"/>
      <c r="AZ122" s="4928"/>
      <c r="BA122" s="4928"/>
      <c r="BB122" s="4928"/>
      <c r="BC122" s="4928"/>
      <c r="BD122" s="4933"/>
      <c r="BE122" s="4934"/>
      <c r="BF122" s="4928"/>
      <c r="BG122" s="4928"/>
      <c r="BH122" s="4928"/>
      <c r="BI122" s="4933"/>
      <c r="BJ122" s="4928"/>
      <c r="BK122" s="4928"/>
      <c r="BL122" s="4928"/>
      <c r="BM122" s="4928"/>
      <c r="BN122" s="4933"/>
      <c r="BO122" s="4928"/>
      <c r="BP122" s="4928"/>
      <c r="BQ122" s="4928"/>
      <c r="BR122" s="4929"/>
      <c r="BS122" s="4930"/>
      <c r="BT122" s="4928"/>
      <c r="BU122" s="4928"/>
      <c r="BV122" s="4928"/>
      <c r="BW122" s="4928"/>
      <c r="BX122" s="4933"/>
      <c r="BY122" s="4928"/>
      <c r="BZ122" s="4928"/>
      <c r="CA122" s="4928"/>
      <c r="CB122" s="4928"/>
      <c r="CC122" s="4933"/>
      <c r="CD122" s="4928"/>
      <c r="CE122" s="4928"/>
      <c r="CF122" s="4928"/>
      <c r="CG122" s="4928"/>
      <c r="CH122" s="4933"/>
      <c r="CI122" s="4928"/>
      <c r="CJ122" s="4928"/>
      <c r="CK122" s="4928"/>
      <c r="CL122" s="4928"/>
      <c r="CM122" s="4933"/>
      <c r="CN122" s="4928"/>
      <c r="CO122" s="4928"/>
      <c r="CP122" s="4928"/>
      <c r="CQ122" s="4928"/>
      <c r="CR122" s="4933"/>
      <c r="CS122" s="4928"/>
      <c r="CT122" s="4928"/>
      <c r="CU122" s="4928"/>
      <c r="CV122" s="4928"/>
      <c r="CW122" s="4933"/>
      <c r="CX122" s="4928"/>
      <c r="CY122" s="4928"/>
      <c r="CZ122" s="4928"/>
      <c r="DA122" s="4928"/>
      <c r="DB122" s="4933"/>
      <c r="DC122" s="4928"/>
      <c r="DD122" s="4928"/>
      <c r="DE122" s="4928"/>
      <c r="DF122" s="4928"/>
      <c r="DG122" s="4935">
        <f>DG120-DG121</f>
        <v>899</v>
      </c>
      <c r="DH122" s="4936"/>
      <c r="DI122" s="4936"/>
      <c r="DJ122" s="4936"/>
      <c r="DK122" s="4936">
        <f t="shared" ref="DK122:DP122" si="327">DK120-DK121</f>
        <v>-1624</v>
      </c>
      <c r="DL122" s="4935">
        <f t="shared" si="327"/>
        <v>-2501</v>
      </c>
      <c r="DM122" s="4936">
        <f t="shared" si="327"/>
        <v>-1929</v>
      </c>
      <c r="DN122" s="4936">
        <f t="shared" si="327"/>
        <v>264</v>
      </c>
      <c r="DO122" s="4936">
        <f t="shared" si="327"/>
        <v>661</v>
      </c>
      <c r="DP122" s="4936">
        <f t="shared" si="327"/>
        <v>1511</v>
      </c>
      <c r="DQ122" s="4935">
        <f t="shared" si="309"/>
        <v>507</v>
      </c>
      <c r="DR122" s="4936">
        <f>DR120-DR121</f>
        <v>3027</v>
      </c>
      <c r="DS122" s="4936">
        <f>DS120-DS121</f>
        <v>851</v>
      </c>
      <c r="DT122" s="4936">
        <f>DT120-DT121</f>
        <v>341</v>
      </c>
      <c r="DU122" s="4936">
        <f>DU120-DU121</f>
        <v>972</v>
      </c>
      <c r="DV122" s="4935">
        <f t="shared" si="310"/>
        <v>5191</v>
      </c>
      <c r="DW122" s="4936">
        <f>DW120-DW121</f>
        <v>-1672</v>
      </c>
      <c r="DX122" s="4936">
        <f>DX120-DX121</f>
        <v>-1272</v>
      </c>
      <c r="DY122" s="4936">
        <f>DY120-DY121</f>
        <v>-1818</v>
      </c>
      <c r="DZ122" s="4936">
        <f>DZ120-DZ121</f>
        <v>-2531</v>
      </c>
      <c r="EA122" s="4935">
        <f t="shared" si="311"/>
        <v>-7293</v>
      </c>
      <c r="EB122" s="4936">
        <f>EB120-EB121</f>
        <v>-730</v>
      </c>
      <c r="EC122" s="4936">
        <f>EC120-EC121</f>
        <v>-1013</v>
      </c>
      <c r="ED122" s="4936">
        <f>ED120-ED121</f>
        <v>-1381</v>
      </c>
      <c r="EE122" s="4936">
        <f>EE120-EE121</f>
        <v>-322</v>
      </c>
      <c r="EF122" s="4935">
        <f t="shared" si="312"/>
        <v>-3446</v>
      </c>
      <c r="EG122" s="4936">
        <f>EG120-EG121</f>
        <v>1327</v>
      </c>
      <c r="EH122" s="4936">
        <f>EH120-EH121</f>
        <v>-1720</v>
      </c>
      <c r="EI122" s="4936">
        <f>EI120-EI121</f>
        <v>734</v>
      </c>
      <c r="EJ122" s="4936">
        <f>EJ120-EJ121</f>
        <v>-853</v>
      </c>
      <c r="EK122" s="4935">
        <f t="shared" si="313"/>
        <v>-512</v>
      </c>
      <c r="EL122" s="4936">
        <f>EL120-EL121</f>
        <v>8492</v>
      </c>
      <c r="EM122" s="4936">
        <f>EM120-EM121</f>
        <v>-43</v>
      </c>
      <c r="EN122" s="4936">
        <f>EN120-EN121</f>
        <v>9134</v>
      </c>
      <c r="EO122" s="4936">
        <f t="shared" ref="EO122" si="328">EO120-EO121</f>
        <v>-1563.1700744260161</v>
      </c>
      <c r="EP122" s="4935">
        <f t="shared" si="315"/>
        <v>16019.829925573984</v>
      </c>
      <c r="EQ122" s="4936">
        <f t="shared" ref="EQ122:ET122" si="329">EQ120-EQ121</f>
        <v>-1303.0906263284342</v>
      </c>
      <c r="ER122" s="4936">
        <f t="shared" si="329"/>
        <v>-1321.214175292931</v>
      </c>
      <c r="ES122" s="4936">
        <f t="shared" si="329"/>
        <v>-1451.6202837407618</v>
      </c>
      <c r="ET122" s="4936">
        <f t="shared" si="329"/>
        <v>-1572.1851517060641</v>
      </c>
      <c r="EU122" s="4935">
        <f t="shared" si="317"/>
        <v>-5648.1102370681911</v>
      </c>
      <c r="EV122" s="4935">
        <f>EV120-EV121</f>
        <v>-5757.1138264919573</v>
      </c>
      <c r="EW122" s="4935">
        <f>EW120-EW121</f>
        <v>-4171.5645153180812</v>
      </c>
      <c r="EX122" s="4935">
        <f>EX120-EX121</f>
        <v>-1987.517192386149</v>
      </c>
      <c r="EY122" s="4935">
        <f>EY120-EY121</f>
        <v>-133.51592206879286</v>
      </c>
      <c r="EZ122" s="170"/>
      <c r="FA122" s="1319"/>
      <c r="FB122" s="1319"/>
      <c r="FC122" s="511"/>
    </row>
    <row r="123" spans="1:159" s="4" customFormat="1" ht="11.25" customHeight="1">
      <c r="A123" s="4927" t="s">
        <v>121</v>
      </c>
      <c r="B123" s="4928"/>
      <c r="C123" s="4928"/>
      <c r="D123" s="4928"/>
      <c r="E123" s="4929"/>
      <c r="F123" s="4930"/>
      <c r="G123" s="4928"/>
      <c r="H123" s="4928"/>
      <c r="I123" s="4928"/>
      <c r="J123" s="4929"/>
      <c r="K123" s="4930"/>
      <c r="L123" s="4928"/>
      <c r="M123" s="4928"/>
      <c r="N123" s="4928"/>
      <c r="O123" s="4929"/>
      <c r="P123" s="4931"/>
      <c r="Q123" s="4085"/>
      <c r="R123" s="4928"/>
      <c r="S123" s="4928"/>
      <c r="T123" s="4929"/>
      <c r="U123" s="4930"/>
      <c r="V123" s="4932"/>
      <c r="W123" s="4928"/>
      <c r="X123" s="4928"/>
      <c r="Y123" s="4929"/>
      <c r="Z123" s="4930"/>
      <c r="AA123" s="4932"/>
      <c r="AB123" s="4928"/>
      <c r="AC123" s="4928"/>
      <c r="AD123" s="4929"/>
      <c r="AE123" s="4930"/>
      <c r="AF123" s="4932"/>
      <c r="AG123" s="4928"/>
      <c r="AH123" s="4928"/>
      <c r="AI123" s="4929"/>
      <c r="AJ123" s="4930"/>
      <c r="AK123" s="4928"/>
      <c r="AL123" s="4928"/>
      <c r="AM123" s="4928"/>
      <c r="AN123" s="4929"/>
      <c r="AO123" s="4930"/>
      <c r="AP123" s="4928"/>
      <c r="AQ123" s="4928"/>
      <c r="AR123" s="4928"/>
      <c r="AS123" s="4929"/>
      <c r="AT123" s="4930"/>
      <c r="AU123" s="4928"/>
      <c r="AV123" s="4928"/>
      <c r="AW123" s="4928"/>
      <c r="AX123" s="4929"/>
      <c r="AY123" s="4930"/>
      <c r="AZ123" s="4928"/>
      <c r="BA123" s="4928"/>
      <c r="BB123" s="4928"/>
      <c r="BC123" s="4928"/>
      <c r="BD123" s="4933"/>
      <c r="BE123" s="4934"/>
      <c r="BF123" s="4928"/>
      <c r="BG123" s="4928"/>
      <c r="BH123" s="4928"/>
      <c r="BI123" s="4933"/>
      <c r="BJ123" s="4928"/>
      <c r="BK123" s="4928"/>
      <c r="BL123" s="4928"/>
      <c r="BM123" s="4928"/>
      <c r="BN123" s="4933"/>
      <c r="BO123" s="4928"/>
      <c r="BP123" s="4928"/>
      <c r="BQ123" s="4928"/>
      <c r="BR123" s="4929"/>
      <c r="BS123" s="4930"/>
      <c r="BT123" s="4928"/>
      <c r="BU123" s="4928"/>
      <c r="BV123" s="4928"/>
      <c r="BW123" s="4928"/>
      <c r="BX123" s="4933"/>
      <c r="BY123" s="4928"/>
      <c r="BZ123" s="4928"/>
      <c r="CA123" s="4928"/>
      <c r="CB123" s="4928"/>
      <c r="CC123" s="4933"/>
      <c r="CD123" s="4928"/>
      <c r="CE123" s="4928"/>
      <c r="CF123" s="4928"/>
      <c r="CG123" s="4928"/>
      <c r="CH123" s="4933"/>
      <c r="CI123" s="4928"/>
      <c r="CJ123" s="4928"/>
      <c r="CK123" s="4928"/>
      <c r="CL123" s="4928"/>
      <c r="CM123" s="4933"/>
      <c r="CN123" s="4928"/>
      <c r="CO123" s="4928"/>
      <c r="CP123" s="4928"/>
      <c r="CQ123" s="4928"/>
      <c r="CR123" s="4937"/>
      <c r="CS123" s="4938"/>
      <c r="CT123" s="4938"/>
      <c r="CU123" s="4938"/>
      <c r="CV123" s="4938"/>
      <c r="CW123" s="4937"/>
      <c r="CX123" s="4938"/>
      <c r="CY123" s="4938"/>
      <c r="CZ123" s="4938"/>
      <c r="DA123" s="4938"/>
      <c r="DB123" s="4937"/>
      <c r="DC123" s="4938"/>
      <c r="DD123" s="4938"/>
      <c r="DE123" s="4938"/>
      <c r="DF123" s="4938"/>
      <c r="DG123" s="4937">
        <f>DG122/DG$177</f>
        <v>6.3914367544582767E-2</v>
      </c>
      <c r="DH123" s="4938"/>
      <c r="DI123" s="4938"/>
      <c r="DJ123" s="4938"/>
      <c r="DK123" s="4938">
        <f t="shared" ref="DK123:EF123" si="330">DK122/DK$177</f>
        <v>-0.11680192867027046</v>
      </c>
      <c r="DL123" s="4937">
        <f t="shared" si="330"/>
        <v>-0.17901200547128257</v>
      </c>
      <c r="DM123" s="4938">
        <f t="shared" si="330"/>
        <v>-0.13932485587208404</v>
      </c>
      <c r="DN123" s="4938">
        <f t="shared" si="330"/>
        <v>1.9213302592049186E-2</v>
      </c>
      <c r="DO123" s="4938">
        <f t="shared" si="330"/>
        <v>4.8188309122535362E-2</v>
      </c>
      <c r="DP123" s="4938">
        <f t="shared" si="330"/>
        <v>0.11061995493206865</v>
      </c>
      <c r="DQ123" s="4937">
        <f t="shared" si="330"/>
        <v>3.6898072894435488E-2</v>
      </c>
      <c r="DR123" s="4938">
        <f t="shared" si="330"/>
        <v>0.22189772032530339</v>
      </c>
      <c r="DS123" s="4938">
        <f t="shared" si="330"/>
        <v>6.2609253515241062E-2</v>
      </c>
      <c r="DT123" s="4938">
        <f t="shared" si="330"/>
        <v>2.5202544200532431E-2</v>
      </c>
      <c r="DU123" s="4938">
        <f t="shared" si="330"/>
        <v>7.2268410228805355E-2</v>
      </c>
      <c r="DV123" s="4937">
        <f t="shared" si="330"/>
        <v>0.3830014073881422</v>
      </c>
      <c r="DW123" s="4938">
        <f t="shared" si="330"/>
        <v>-0.1252338772618122</v>
      </c>
      <c r="DX123" s="4938">
        <f t="shared" si="330"/>
        <v>-9.6079764332653528E-2</v>
      </c>
      <c r="DY123" s="4938">
        <f t="shared" si="330"/>
        <v>-0.13881041459876309</v>
      </c>
      <c r="DZ123" s="4938">
        <f t="shared" si="330"/>
        <v>-0.19548930254112923</v>
      </c>
      <c r="EA123" s="4937">
        <f t="shared" si="330"/>
        <v>-0.55424229424239302</v>
      </c>
      <c r="EB123" s="4938">
        <f>EB122/EB$177</f>
        <v>-5.6928955782578179E-2</v>
      </c>
      <c r="EC123" s="4938">
        <f>EC122/EC$177</f>
        <v>-7.9363835788154188E-2</v>
      </c>
      <c r="ED123" s="4938">
        <f>ED122/ED$177</f>
        <v>-0.10877441713925645</v>
      </c>
      <c r="EE123" s="4938">
        <f t="shared" ref="EE123" si="331">EE122/EE$177</f>
        <v>-2.5551499761942549E-2</v>
      </c>
      <c r="EF123" s="4937">
        <f t="shared" si="330"/>
        <v>-0.27088532966493073</v>
      </c>
      <c r="EG123" s="4938">
        <f>EG122/EG$177</f>
        <v>0.10593118863255369</v>
      </c>
      <c r="EH123" s="4938">
        <f>EH122/EH$177</f>
        <v>-0.13765506202480993</v>
      </c>
      <c r="EI123" s="4938">
        <f>EI122/EI$177</f>
        <v>5.910298735808036E-2</v>
      </c>
      <c r="EJ123" s="4938">
        <f t="shared" ref="EJ123" si="332">EJ122/EJ$177</f>
        <v>-6.9080012957563983E-2</v>
      </c>
      <c r="EK123" s="4937">
        <f>EK122/EK$177</f>
        <v>-4.1133583723312377E-2</v>
      </c>
      <c r="EL123" s="4938">
        <f>EL122/EL$177</f>
        <v>0.69091204946708973</v>
      </c>
      <c r="EM123" s="4938">
        <f>EM122/EM$177</f>
        <v>-3.5251680603377604E-3</v>
      </c>
      <c r="EN123" s="4938">
        <f>EN122/EN$177</f>
        <v>0.74850446611488974</v>
      </c>
      <c r="EO123" s="4938">
        <f t="shared" ref="EO123" si="333">EO122/EO$177</f>
        <v>-0.12803971052462143</v>
      </c>
      <c r="EP123" s="4937">
        <f>EP122/EP$177</f>
        <v>1.3104027087157335</v>
      </c>
      <c r="EQ123" s="4938">
        <f t="shared" ref="EQ123:ET123" si="334">EQ122/EQ$177</f>
        <v>-0.10671758360982715</v>
      </c>
      <c r="ER123" s="4938">
        <f t="shared" si="334"/>
        <v>-0.1081825472855107</v>
      </c>
      <c r="ES123" s="4938">
        <f t="shared" si="334"/>
        <v>-0.11883909266910107</v>
      </c>
      <c r="ET123" s="4938">
        <f t="shared" si="334"/>
        <v>-0.12868621091317178</v>
      </c>
      <c r="EU123" s="4937">
        <f>EU122/EU$177</f>
        <v>-0.46243228460218944</v>
      </c>
      <c r="EV123" s="4937">
        <f ca="1">EV122/EV$177</f>
        <v>-0.47513228863395573</v>
      </c>
      <c r="EW123" s="4937">
        <f ca="1">EW122/EW$177</f>
        <v>-0.34732420440137018</v>
      </c>
      <c r="EX123" s="4937">
        <f ca="1">EX122/EX$177</f>
        <v>-0.16713962299210011</v>
      </c>
      <c r="EY123" s="4937">
        <f ca="1">EY122/EY$177</f>
        <v>-1.13537073854165E-2</v>
      </c>
      <c r="EZ123" s="170"/>
      <c r="FA123" s="1319" t="str">
        <f ca="1">IF(AND(EV123&gt;0,EK123&gt;0),(EV123/EK123)^(1/3)-1,"NA")</f>
        <v>NA</v>
      </c>
      <c r="FB123" s="1319" t="str">
        <f ca="1">IF(AND(EX123&gt;0,EK123&gt;0),(EX123/EK123)^(1/5)-1,"NA")</f>
        <v>NA</v>
      </c>
      <c r="FC123" s="511"/>
    </row>
    <row r="124" spans="1:159" s="4" customFormat="1" ht="11.25" hidden="1" customHeight="1" outlineLevel="1">
      <c r="A124" s="4905"/>
      <c r="B124" s="170"/>
      <c r="C124" s="170"/>
      <c r="D124" s="170"/>
      <c r="E124" s="286"/>
      <c r="F124" s="4858"/>
      <c r="G124" s="170"/>
      <c r="H124" s="170"/>
      <c r="I124" s="170"/>
      <c r="J124" s="286"/>
      <c r="K124" s="4858"/>
      <c r="L124" s="170"/>
      <c r="M124" s="170"/>
      <c r="N124" s="170"/>
      <c r="O124" s="286"/>
      <c r="P124" s="2657"/>
      <c r="Q124" s="2608"/>
      <c r="R124" s="170"/>
      <c r="S124" s="170"/>
      <c r="T124" s="286"/>
      <c r="U124" s="4858"/>
      <c r="V124" s="4859"/>
      <c r="W124" s="170"/>
      <c r="X124" s="170"/>
      <c r="Y124" s="286"/>
      <c r="Z124" s="4858"/>
      <c r="AA124" s="4859"/>
      <c r="AB124" s="170"/>
      <c r="AC124" s="170"/>
      <c r="AD124" s="286"/>
      <c r="AE124" s="4858"/>
      <c r="AF124" s="4859"/>
      <c r="AG124" s="170"/>
      <c r="AH124" s="170"/>
      <c r="AI124" s="286"/>
      <c r="AJ124" s="4858"/>
      <c r="AK124" s="170"/>
      <c r="AL124" s="170"/>
      <c r="AM124" s="170"/>
      <c r="AN124" s="286"/>
      <c r="AO124" s="4858"/>
      <c r="AP124" s="170"/>
      <c r="AQ124" s="170"/>
      <c r="AR124" s="170"/>
      <c r="AS124" s="286"/>
      <c r="AT124" s="4858"/>
      <c r="AU124" s="170"/>
      <c r="AV124" s="170"/>
      <c r="AW124" s="170"/>
      <c r="AX124" s="286"/>
      <c r="AY124" s="4858"/>
      <c r="AZ124" s="170"/>
      <c r="BA124" s="170"/>
      <c r="BB124" s="170"/>
      <c r="BC124" s="170"/>
      <c r="BD124" s="4860"/>
      <c r="BE124" s="4866"/>
      <c r="BF124" s="170"/>
      <c r="BG124" s="170"/>
      <c r="BH124" s="170"/>
      <c r="BI124" s="4860"/>
      <c r="BJ124" s="170"/>
      <c r="BK124" s="170"/>
      <c r="BL124" s="170"/>
      <c r="BM124" s="170"/>
      <c r="BN124" s="4860"/>
      <c r="BO124" s="170"/>
      <c r="BP124" s="170"/>
      <c r="BQ124" s="170"/>
      <c r="BR124" s="286"/>
      <c r="BS124" s="4858"/>
      <c r="BT124" s="170"/>
      <c r="BU124" s="170"/>
      <c r="BV124" s="170"/>
      <c r="BW124" s="170"/>
      <c r="BX124" s="4860"/>
      <c r="BY124" s="170"/>
      <c r="BZ124" s="170"/>
      <c r="CA124" s="170"/>
      <c r="CB124" s="170"/>
      <c r="CC124" s="4860"/>
      <c r="CD124" s="170"/>
      <c r="CE124" s="170"/>
      <c r="CF124" s="170"/>
      <c r="CG124" s="170"/>
      <c r="CH124" s="4860"/>
      <c r="CI124" s="170"/>
      <c r="CJ124" s="170"/>
      <c r="CK124" s="170"/>
      <c r="CL124" s="170"/>
      <c r="CM124" s="4860"/>
      <c r="CN124" s="170"/>
      <c r="CO124" s="170"/>
      <c r="CP124" s="170"/>
      <c r="CQ124" s="170"/>
      <c r="CR124" s="4860"/>
      <c r="CS124" s="170"/>
      <c r="CT124" s="170"/>
      <c r="CU124" s="170"/>
      <c r="CV124" s="170"/>
      <c r="CW124" s="4860"/>
      <c r="CX124" s="170"/>
      <c r="CY124" s="170"/>
      <c r="CZ124" s="170"/>
      <c r="DA124" s="170"/>
      <c r="DB124" s="4860"/>
      <c r="DC124" s="170"/>
      <c r="DD124" s="170"/>
      <c r="DE124" s="170"/>
      <c r="DF124" s="170"/>
      <c r="DG124" s="4863"/>
      <c r="DH124" s="4865"/>
      <c r="DI124" s="4865"/>
      <c r="DJ124" s="4865"/>
      <c r="DK124" s="4865"/>
      <c r="DL124" s="4863"/>
      <c r="DM124" s="4865"/>
      <c r="DN124" s="4865"/>
      <c r="DO124" s="4865"/>
      <c r="DP124" s="4865"/>
      <c r="DQ124" s="4863"/>
      <c r="DR124" s="4865"/>
      <c r="DS124" s="4865"/>
      <c r="DT124" s="4865"/>
      <c r="DU124" s="4865"/>
      <c r="DV124" s="4863"/>
      <c r="DW124" s="4865"/>
      <c r="DX124" s="4865"/>
      <c r="DY124" s="4865"/>
      <c r="DZ124" s="4865"/>
      <c r="EA124" s="4863"/>
      <c r="EB124" s="4865"/>
      <c r="EC124" s="4865"/>
      <c r="ED124" s="4865"/>
      <c r="EE124" s="4865"/>
      <c r="EF124" s="4863"/>
      <c r="EG124" s="4865"/>
      <c r="EH124" s="4865"/>
      <c r="EI124" s="4865"/>
      <c r="EJ124" s="4865"/>
      <c r="EK124" s="4863"/>
      <c r="EL124" s="4865"/>
      <c r="EM124" s="4865"/>
      <c r="EN124" s="4865"/>
      <c r="EO124" s="4865"/>
      <c r="EP124" s="4863"/>
      <c r="EQ124" s="4865"/>
      <c r="ER124" s="4865"/>
      <c r="ES124" s="4865"/>
      <c r="ET124" s="4865"/>
      <c r="EU124" s="4863"/>
      <c r="EV124" s="4863"/>
      <c r="EW124" s="4863"/>
      <c r="EX124" s="4863"/>
      <c r="EY124" s="4863"/>
      <c r="EZ124" s="170"/>
      <c r="FA124" s="1319"/>
      <c r="FB124" s="1319"/>
      <c r="FC124" s="511"/>
    </row>
    <row r="125" spans="1:159" s="4" customFormat="1" ht="11.25" customHeight="1" collapsed="1">
      <c r="A125" s="4857" t="s">
        <v>728</v>
      </c>
      <c r="B125" s="170"/>
      <c r="C125" s="170"/>
      <c r="D125" s="170"/>
      <c r="E125" s="286"/>
      <c r="F125" s="4858"/>
      <c r="G125" s="170"/>
      <c r="H125" s="170"/>
      <c r="I125" s="170"/>
      <c r="J125" s="286"/>
      <c r="K125" s="4858"/>
      <c r="L125" s="170"/>
      <c r="M125" s="170"/>
      <c r="N125" s="170"/>
      <c r="O125" s="286"/>
      <c r="P125" s="2657"/>
      <c r="Q125" s="2608"/>
      <c r="R125" s="170"/>
      <c r="S125" s="170"/>
      <c r="T125" s="286"/>
      <c r="U125" s="4858"/>
      <c r="V125" s="4859"/>
      <c r="W125" s="170"/>
      <c r="X125" s="170"/>
      <c r="Y125" s="286"/>
      <c r="Z125" s="4858"/>
      <c r="AA125" s="4859"/>
      <c r="AB125" s="170"/>
      <c r="AC125" s="170"/>
      <c r="AD125" s="286"/>
      <c r="AE125" s="4858"/>
      <c r="AF125" s="4859"/>
      <c r="AG125" s="170"/>
      <c r="AH125" s="170"/>
      <c r="AI125" s="286"/>
      <c r="AJ125" s="4858"/>
      <c r="AK125" s="170"/>
      <c r="AL125" s="170"/>
      <c r="AM125" s="170"/>
      <c r="AN125" s="286"/>
      <c r="AO125" s="4858"/>
      <c r="AP125" s="170"/>
      <c r="AQ125" s="170"/>
      <c r="AR125" s="170"/>
      <c r="AS125" s="286"/>
      <c r="AT125" s="4858"/>
      <c r="AU125" s="170"/>
      <c r="AV125" s="170"/>
      <c r="AW125" s="170"/>
      <c r="AX125" s="286"/>
      <c r="AY125" s="4858"/>
      <c r="AZ125" s="170"/>
      <c r="BA125" s="170"/>
      <c r="BB125" s="170"/>
      <c r="BC125" s="170"/>
      <c r="BD125" s="4860"/>
      <c r="BE125" s="4866"/>
      <c r="BF125" s="170"/>
      <c r="BG125" s="170"/>
      <c r="BH125" s="170"/>
      <c r="BI125" s="4860"/>
      <c r="BJ125" s="170"/>
      <c r="BK125" s="170"/>
      <c r="BL125" s="170"/>
      <c r="BM125" s="170"/>
      <c r="BN125" s="4860"/>
      <c r="BO125" s="170"/>
      <c r="BP125" s="170"/>
      <c r="BQ125" s="170"/>
      <c r="BR125" s="286"/>
      <c r="BS125" s="4858"/>
      <c r="BT125" s="170"/>
      <c r="BU125" s="170"/>
      <c r="BV125" s="170"/>
      <c r="BW125" s="170"/>
      <c r="BX125" s="4860"/>
      <c r="BY125" s="170"/>
      <c r="BZ125" s="170"/>
      <c r="CA125" s="170"/>
      <c r="CB125" s="170"/>
      <c r="CC125" s="4860"/>
      <c r="CD125" s="170"/>
      <c r="CE125" s="170"/>
      <c r="CF125" s="170"/>
      <c r="CG125" s="170"/>
      <c r="CH125" s="4860"/>
      <c r="CI125" s="170"/>
      <c r="CJ125" s="170"/>
      <c r="CK125" s="170"/>
      <c r="CL125" s="170"/>
      <c r="CM125" s="4860"/>
      <c r="CN125" s="170"/>
      <c r="CO125" s="170"/>
      <c r="CP125" s="170"/>
      <c r="CQ125" s="170"/>
      <c r="CR125" s="4860"/>
      <c r="CS125" s="170"/>
      <c r="CT125" s="170"/>
      <c r="CU125" s="170"/>
      <c r="CV125" s="170"/>
      <c r="CW125" s="4860"/>
      <c r="CX125" s="170"/>
      <c r="CY125" s="170"/>
      <c r="CZ125" s="170"/>
      <c r="DA125" s="170"/>
      <c r="DB125" s="4860"/>
      <c r="DC125" s="170"/>
      <c r="DD125" s="170"/>
      <c r="DE125" s="170"/>
      <c r="DF125" s="170"/>
      <c r="DG125" s="4863">
        <f>DG264</f>
        <v>327</v>
      </c>
      <c r="DH125" s="4865"/>
      <c r="DI125" s="4865"/>
      <c r="DJ125" s="4865"/>
      <c r="DK125" s="4865"/>
      <c r="DL125" s="4863">
        <f>DL264</f>
        <v>566</v>
      </c>
      <c r="DM125" s="4865"/>
      <c r="DN125" s="4865"/>
      <c r="DO125" s="4865"/>
      <c r="DP125" s="4865"/>
      <c r="DQ125" s="4863">
        <f>DQ264</f>
        <v>376.94399999999996</v>
      </c>
      <c r="DR125" s="4865"/>
      <c r="DS125" s="4865"/>
      <c r="DT125" s="4865"/>
      <c r="DU125" s="4865"/>
      <c r="DV125" s="4863">
        <f>DV179-DV51-DV89</f>
        <v>382.31499999999869</v>
      </c>
      <c r="DW125" s="4865"/>
      <c r="DX125" s="4865"/>
      <c r="DY125" s="4865"/>
      <c r="DZ125" s="4865"/>
      <c r="EA125" s="4863">
        <f>EA179-EA51-EA89</f>
        <v>384.32639999999992</v>
      </c>
      <c r="EB125" s="4865"/>
      <c r="EC125" s="4865"/>
      <c r="ED125" s="4865"/>
      <c r="EE125" s="4865"/>
      <c r="EF125" s="4863">
        <f>EF179-EF51-EF89</f>
        <v>362.71399999999858</v>
      </c>
      <c r="EG125" s="4865"/>
      <c r="EH125" s="4865"/>
      <c r="EI125" s="4865"/>
      <c r="EJ125" s="4865"/>
      <c r="EK125" s="4863">
        <f t="shared" ref="EK125:EW126" si="335">EK179-EK51-EK89</f>
        <v>412.05000000000018</v>
      </c>
      <c r="EL125" s="4865"/>
      <c r="EM125" s="4865"/>
      <c r="EN125" s="4865"/>
      <c r="EO125" s="4865"/>
      <c r="EP125" s="4863">
        <f t="shared" ref="EP125" si="336">EP179-EP51-EP89</f>
        <v>465.46318205272837</v>
      </c>
      <c r="EQ125" s="4865"/>
      <c r="ER125" s="4865"/>
      <c r="ES125" s="4865"/>
      <c r="ET125" s="4865"/>
      <c r="EU125" s="4863">
        <f t="shared" ref="EU125:EU126" si="337">EU179-EU51-EU89</f>
        <v>489.4654572358304</v>
      </c>
      <c r="EV125" s="4863">
        <f t="shared" si="335"/>
        <v>529.4867648037216</v>
      </c>
      <c r="EW125" s="4863">
        <f t="shared" si="335"/>
        <v>553.03449645031287</v>
      </c>
      <c r="EX125" s="4863">
        <f t="shared" ref="EX125:EY125" si="338">EX179-EX51-EX89</f>
        <v>576.47895267052081</v>
      </c>
      <c r="EY125" s="4863">
        <f t="shared" si="338"/>
        <v>581.50712984305574</v>
      </c>
      <c r="EZ125" s="170"/>
      <c r="FA125" s="1319"/>
      <c r="FB125" s="1319"/>
      <c r="FC125" s="511"/>
    </row>
    <row r="126" spans="1:159" s="4" customFormat="1" ht="11.25" customHeight="1">
      <c r="A126" s="4857" t="s">
        <v>374</v>
      </c>
      <c r="B126" s="170"/>
      <c r="C126" s="170"/>
      <c r="D126" s="170"/>
      <c r="E126" s="286"/>
      <c r="F126" s="4858"/>
      <c r="G126" s="170"/>
      <c r="H126" s="170"/>
      <c r="I126" s="170"/>
      <c r="J126" s="286"/>
      <c r="K126" s="4858"/>
      <c r="L126" s="170"/>
      <c r="M126" s="170"/>
      <c r="N126" s="170"/>
      <c r="O126" s="286"/>
      <c r="P126" s="2657"/>
      <c r="Q126" s="2608"/>
      <c r="R126" s="170"/>
      <c r="S126" s="170"/>
      <c r="T126" s="286"/>
      <c r="U126" s="4858"/>
      <c r="V126" s="4859"/>
      <c r="W126" s="170"/>
      <c r="X126" s="170"/>
      <c r="Y126" s="286"/>
      <c r="Z126" s="4858"/>
      <c r="AA126" s="4859"/>
      <c r="AB126" s="170"/>
      <c r="AC126" s="170"/>
      <c r="AD126" s="286"/>
      <c r="AE126" s="4858"/>
      <c r="AF126" s="4859"/>
      <c r="AG126" s="170"/>
      <c r="AH126" s="170"/>
      <c r="AI126" s="286"/>
      <c r="AJ126" s="4858"/>
      <c r="AK126" s="170"/>
      <c r="AL126" s="170"/>
      <c r="AM126" s="170"/>
      <c r="AN126" s="286"/>
      <c r="AO126" s="4858"/>
      <c r="AP126" s="170"/>
      <c r="AQ126" s="170"/>
      <c r="AR126" s="170"/>
      <c r="AS126" s="286"/>
      <c r="AT126" s="4858"/>
      <c r="AU126" s="170"/>
      <c r="AV126" s="170"/>
      <c r="AW126" s="170"/>
      <c r="AX126" s="286"/>
      <c r="AY126" s="4858"/>
      <c r="AZ126" s="170"/>
      <c r="BA126" s="170"/>
      <c r="BB126" s="170"/>
      <c r="BC126" s="170"/>
      <c r="BD126" s="4860"/>
      <c r="BE126" s="4866"/>
      <c r="BF126" s="170"/>
      <c r="BG126" s="170"/>
      <c r="BH126" s="170"/>
      <c r="BI126" s="4860"/>
      <c r="BJ126" s="170"/>
      <c r="BK126" s="170"/>
      <c r="BL126" s="170"/>
      <c r="BM126" s="170"/>
      <c r="BN126" s="4860"/>
      <c r="BO126" s="170"/>
      <c r="BP126" s="170"/>
      <c r="BQ126" s="170"/>
      <c r="BR126" s="286"/>
      <c r="BS126" s="4858"/>
      <c r="BT126" s="170"/>
      <c r="BU126" s="170"/>
      <c r="BV126" s="170"/>
      <c r="BW126" s="170"/>
      <c r="BX126" s="4860"/>
      <c r="BY126" s="170"/>
      <c r="BZ126" s="170"/>
      <c r="CA126" s="170"/>
      <c r="CB126" s="170"/>
      <c r="CC126" s="4860"/>
      <c r="CD126" s="170"/>
      <c r="CE126" s="170"/>
      <c r="CF126" s="170"/>
      <c r="CG126" s="170"/>
      <c r="CH126" s="4860"/>
      <c r="CI126" s="170"/>
      <c r="CJ126" s="170"/>
      <c r="CK126" s="170"/>
      <c r="CL126" s="170"/>
      <c r="CM126" s="4860"/>
      <c r="CN126" s="170"/>
      <c r="CO126" s="170"/>
      <c r="CP126" s="170"/>
      <c r="CQ126" s="170"/>
      <c r="CR126" s="4860"/>
      <c r="CS126" s="170"/>
      <c r="CT126" s="170"/>
      <c r="CU126" s="170"/>
      <c r="CV126" s="170"/>
      <c r="CW126" s="4860"/>
      <c r="CX126" s="170"/>
      <c r="CY126" s="170"/>
      <c r="CZ126" s="170"/>
      <c r="DA126" s="170"/>
      <c r="DB126" s="4860"/>
      <c r="DC126" s="170"/>
      <c r="DD126" s="170"/>
      <c r="DE126" s="170"/>
      <c r="DF126" s="170"/>
      <c r="DG126" s="4863">
        <f>DG265</f>
        <v>489</v>
      </c>
      <c r="DH126" s="4865"/>
      <c r="DI126" s="4865"/>
      <c r="DJ126" s="4865"/>
      <c r="DK126" s="4865"/>
      <c r="DL126" s="4863">
        <f>DL265</f>
        <v>474</v>
      </c>
      <c r="DM126" s="4865"/>
      <c r="DN126" s="4865"/>
      <c r="DO126" s="4865"/>
      <c r="DP126" s="4865"/>
      <c r="DQ126" s="4863">
        <f>DQ265</f>
        <v>532.41844494382008</v>
      </c>
      <c r="DR126" s="4865"/>
      <c r="DS126" s="4865"/>
      <c r="DT126" s="4865"/>
      <c r="DU126" s="4865"/>
      <c r="DV126" s="4863">
        <f>DV180-DV52-DV90</f>
        <v>671.17600000000039</v>
      </c>
      <c r="DW126" s="4865"/>
      <c r="DX126" s="4865"/>
      <c r="DY126" s="4865"/>
      <c r="DZ126" s="4865"/>
      <c r="EA126" s="4863">
        <f>EA180-EA52-EA90</f>
        <v>818.95999999999913</v>
      </c>
      <c r="EB126" s="4865"/>
      <c r="EC126" s="4865"/>
      <c r="ED126" s="4865"/>
      <c r="EE126" s="4865"/>
      <c r="EF126" s="4863">
        <f>EF180-EF52-EF90</f>
        <v>782.25730000000021</v>
      </c>
      <c r="EG126" s="4865"/>
      <c r="EH126" s="4865"/>
      <c r="EI126" s="4865"/>
      <c r="EJ126" s="4865"/>
      <c r="EK126" s="4863">
        <f t="shared" si="335"/>
        <v>744.56600000000071</v>
      </c>
      <c r="EL126" s="4865"/>
      <c r="EM126" s="4865"/>
      <c r="EN126" s="4865"/>
      <c r="EO126" s="4865"/>
      <c r="EP126" s="4863">
        <f t="shared" ref="EP126" si="339">EP180-EP52-EP90</f>
        <v>772.87399182551235</v>
      </c>
      <c r="EQ126" s="4865"/>
      <c r="ER126" s="4865"/>
      <c r="ES126" s="4865"/>
      <c r="ET126" s="4865"/>
      <c r="EU126" s="4863">
        <f t="shared" si="337"/>
        <v>784.89166804950582</v>
      </c>
      <c r="EV126" s="4863">
        <f t="shared" si="335"/>
        <v>835.6592098908568</v>
      </c>
      <c r="EW126" s="4863">
        <f t="shared" si="335"/>
        <v>878.01423733812771</v>
      </c>
      <c r="EX126" s="4863">
        <f t="shared" ref="EX126:EY126" si="340">EX180-EX52-EX90</f>
        <v>884.3888480416681</v>
      </c>
      <c r="EY126" s="4863">
        <f t="shared" si="340"/>
        <v>891.59933341547912</v>
      </c>
      <c r="EZ126" s="170"/>
      <c r="FA126" s="1319"/>
      <c r="FB126" s="1319"/>
      <c r="FC126" s="511"/>
    </row>
    <row r="127" spans="1:159" s="4" customFormat="1" ht="11.25" customHeight="1">
      <c r="A127" s="4927" t="s">
        <v>897</v>
      </c>
      <c r="B127" s="4928"/>
      <c r="C127" s="4928"/>
      <c r="D127" s="4928"/>
      <c r="E127" s="4929"/>
      <c r="F127" s="4930"/>
      <c r="G127" s="4928"/>
      <c r="H127" s="4928"/>
      <c r="I127" s="4928"/>
      <c r="J127" s="4929"/>
      <c r="K127" s="4930"/>
      <c r="L127" s="4928"/>
      <c r="M127" s="4928"/>
      <c r="N127" s="4928"/>
      <c r="O127" s="4929"/>
      <c r="P127" s="4931"/>
      <c r="Q127" s="4085"/>
      <c r="R127" s="4928"/>
      <c r="S127" s="4928"/>
      <c r="T127" s="4929"/>
      <c r="U127" s="4930"/>
      <c r="V127" s="4932"/>
      <c r="W127" s="4928"/>
      <c r="X127" s="4928"/>
      <c r="Y127" s="4929"/>
      <c r="Z127" s="4930"/>
      <c r="AA127" s="4932"/>
      <c r="AB127" s="4928"/>
      <c r="AC127" s="4928"/>
      <c r="AD127" s="4929"/>
      <c r="AE127" s="4930"/>
      <c r="AF127" s="4932"/>
      <c r="AG127" s="4928"/>
      <c r="AH127" s="4928"/>
      <c r="AI127" s="4929"/>
      <c r="AJ127" s="4930"/>
      <c r="AK127" s="4928"/>
      <c r="AL127" s="4928"/>
      <c r="AM127" s="4928"/>
      <c r="AN127" s="4929"/>
      <c r="AO127" s="4930"/>
      <c r="AP127" s="4928"/>
      <c r="AQ127" s="4928"/>
      <c r="AR127" s="4928"/>
      <c r="AS127" s="4929"/>
      <c r="AT127" s="4930"/>
      <c r="AU127" s="4928"/>
      <c r="AV127" s="4928"/>
      <c r="AW127" s="4928"/>
      <c r="AX127" s="4929"/>
      <c r="AY127" s="4930"/>
      <c r="AZ127" s="4928"/>
      <c r="BA127" s="4928"/>
      <c r="BB127" s="4928"/>
      <c r="BC127" s="4928"/>
      <c r="BD127" s="4933"/>
      <c r="BE127" s="4934"/>
      <c r="BF127" s="4928"/>
      <c r="BG127" s="4928"/>
      <c r="BH127" s="4928"/>
      <c r="BI127" s="4933"/>
      <c r="BJ127" s="4928"/>
      <c r="BK127" s="4928"/>
      <c r="BL127" s="4928"/>
      <c r="BM127" s="4928"/>
      <c r="BN127" s="4933"/>
      <c r="BO127" s="4928"/>
      <c r="BP127" s="4928"/>
      <c r="BQ127" s="4928"/>
      <c r="BR127" s="4929"/>
      <c r="BS127" s="4930"/>
      <c r="BT127" s="4928"/>
      <c r="BU127" s="4928"/>
      <c r="BV127" s="4928"/>
      <c r="BW127" s="4928"/>
      <c r="BX127" s="4933"/>
      <c r="BY127" s="4928"/>
      <c r="BZ127" s="4928"/>
      <c r="CA127" s="4928"/>
      <c r="CB127" s="4928"/>
      <c r="CC127" s="4933"/>
      <c r="CD127" s="4928"/>
      <c r="CE127" s="4928"/>
      <c r="CF127" s="4928"/>
      <c r="CG127" s="4928"/>
      <c r="CH127" s="4933"/>
      <c r="CI127" s="4928"/>
      <c r="CJ127" s="4928"/>
      <c r="CK127" s="4928"/>
      <c r="CL127" s="4928"/>
      <c r="CM127" s="4933"/>
      <c r="CN127" s="4928"/>
      <c r="CO127" s="4928"/>
      <c r="CP127" s="4928"/>
      <c r="CQ127" s="4928"/>
      <c r="CR127" s="4933"/>
      <c r="CS127" s="4928"/>
      <c r="CT127" s="4928"/>
      <c r="CU127" s="4928"/>
      <c r="CV127" s="4928"/>
      <c r="CW127" s="4933"/>
      <c r="CX127" s="4928"/>
      <c r="CY127" s="4928"/>
      <c r="CZ127" s="4928"/>
      <c r="DA127" s="4928"/>
      <c r="DB127" s="4933"/>
      <c r="DC127" s="4928"/>
      <c r="DD127" s="4928"/>
      <c r="DE127" s="4928"/>
      <c r="DF127" s="4928"/>
      <c r="DG127" s="4935">
        <f>DG118+DG125+DG126</f>
        <v>-2542</v>
      </c>
      <c r="DH127" s="4936"/>
      <c r="DI127" s="4936"/>
      <c r="DJ127" s="4936"/>
      <c r="DK127" s="4936"/>
      <c r="DL127" s="4935">
        <f>DL118+DL125+DL126</f>
        <v>-3784</v>
      </c>
      <c r="DM127" s="4936"/>
      <c r="DN127" s="4936"/>
      <c r="DO127" s="4936"/>
      <c r="DP127" s="4936"/>
      <c r="DQ127" s="4935">
        <f>DQ118+DQ125+DQ126</f>
        <v>-3566.6375550561806</v>
      </c>
      <c r="DR127" s="4936"/>
      <c r="DS127" s="4936"/>
      <c r="DT127" s="4936"/>
      <c r="DU127" s="4936"/>
      <c r="DV127" s="4935">
        <f>DV118+DV125+DV126</f>
        <v>-4227.5090000000009</v>
      </c>
      <c r="DW127" s="4936"/>
      <c r="DX127" s="4936"/>
      <c r="DY127" s="4936"/>
      <c r="DZ127" s="4936"/>
      <c r="EA127" s="4935">
        <f>EA118+EA125+EA126</f>
        <v>-3432.713600000001</v>
      </c>
      <c r="EB127" s="4936"/>
      <c r="EC127" s="4936"/>
      <c r="ED127" s="4936"/>
      <c r="EE127" s="4936"/>
      <c r="EF127" s="4935">
        <f>EF118+EF125+EF126</f>
        <v>-2950.0287000000012</v>
      </c>
      <c r="EG127" s="4936"/>
      <c r="EH127" s="4936"/>
      <c r="EI127" s="4936"/>
      <c r="EJ127" s="4936"/>
      <c r="EK127" s="4935">
        <f>EK118+EK125+EK126</f>
        <v>-3287.3839999999991</v>
      </c>
      <c r="EL127" s="4936"/>
      <c r="EM127" s="4936"/>
      <c r="EN127" s="4936"/>
      <c r="EO127" s="4936"/>
      <c r="EP127" s="4935">
        <f>EP118+EP125+EP126</f>
        <v>-4222.8329005477754</v>
      </c>
      <c r="EQ127" s="4936"/>
      <c r="ER127" s="4936"/>
      <c r="ES127" s="4936"/>
      <c r="ET127" s="4936"/>
      <c r="EU127" s="4935">
        <f>EU118+EU125+EU126</f>
        <v>-4373.7531117828548</v>
      </c>
      <c r="EV127" s="4935">
        <f>EV118+EV125+EV126</f>
        <v>-4391.9678517973789</v>
      </c>
      <c r="EW127" s="4935">
        <f>EW118+EW125+EW126</f>
        <v>-2740.5157815296407</v>
      </c>
      <c r="EX127" s="4935">
        <f>EX118+EX125+EX126</f>
        <v>-526.64939167396005</v>
      </c>
      <c r="EY127" s="4935">
        <f>EY118+EY125+EY126</f>
        <v>1339.590541189742</v>
      </c>
      <c r="EZ127" s="170"/>
      <c r="FA127" s="1319"/>
      <c r="FB127" s="1319"/>
      <c r="FC127" s="511"/>
    </row>
    <row r="128" spans="1:159" s="4" customFormat="1" ht="11.25" hidden="1" customHeight="1" outlineLevel="1">
      <c r="A128" s="4905"/>
      <c r="B128" s="170"/>
      <c r="C128" s="170"/>
      <c r="D128" s="170"/>
      <c r="E128" s="286"/>
      <c r="F128" s="4858"/>
      <c r="G128" s="170"/>
      <c r="H128" s="170"/>
      <c r="I128" s="170"/>
      <c r="J128" s="286"/>
      <c r="K128" s="4858"/>
      <c r="L128" s="170"/>
      <c r="M128" s="170"/>
      <c r="N128" s="170"/>
      <c r="O128" s="286"/>
      <c r="P128" s="2657"/>
      <c r="Q128" s="2608"/>
      <c r="R128" s="170"/>
      <c r="S128" s="170"/>
      <c r="T128" s="286"/>
      <c r="U128" s="4858"/>
      <c r="V128" s="4859"/>
      <c r="W128" s="170"/>
      <c r="X128" s="170"/>
      <c r="Y128" s="286"/>
      <c r="Z128" s="4858"/>
      <c r="AA128" s="4859"/>
      <c r="AB128" s="170"/>
      <c r="AC128" s="170"/>
      <c r="AD128" s="286"/>
      <c r="AE128" s="4858"/>
      <c r="AF128" s="4859"/>
      <c r="AG128" s="170"/>
      <c r="AH128" s="170"/>
      <c r="AI128" s="286"/>
      <c r="AJ128" s="4858"/>
      <c r="AK128" s="170"/>
      <c r="AL128" s="170"/>
      <c r="AM128" s="170"/>
      <c r="AN128" s="286"/>
      <c r="AO128" s="4858"/>
      <c r="AP128" s="170"/>
      <c r="AQ128" s="170"/>
      <c r="AR128" s="170"/>
      <c r="AS128" s="286"/>
      <c r="AT128" s="4858"/>
      <c r="AU128" s="170"/>
      <c r="AV128" s="170"/>
      <c r="AW128" s="170"/>
      <c r="AX128" s="286"/>
      <c r="AY128" s="4858"/>
      <c r="AZ128" s="170"/>
      <c r="BA128" s="170"/>
      <c r="BB128" s="170"/>
      <c r="BC128" s="170"/>
      <c r="BD128" s="4860"/>
      <c r="BE128" s="4866"/>
      <c r="BF128" s="170"/>
      <c r="BG128" s="170"/>
      <c r="BH128" s="170"/>
      <c r="BI128" s="4860"/>
      <c r="BJ128" s="170"/>
      <c r="BK128" s="170"/>
      <c r="BL128" s="170"/>
      <c r="BM128" s="170"/>
      <c r="BN128" s="4860"/>
      <c r="BO128" s="170"/>
      <c r="BP128" s="170"/>
      <c r="BQ128" s="170"/>
      <c r="BR128" s="286"/>
      <c r="BS128" s="4858"/>
      <c r="BT128" s="170"/>
      <c r="BU128" s="170"/>
      <c r="BV128" s="170"/>
      <c r="BW128" s="170"/>
      <c r="BX128" s="4860"/>
      <c r="BY128" s="170"/>
      <c r="BZ128" s="170"/>
      <c r="CA128" s="170"/>
      <c r="CB128" s="170"/>
      <c r="CC128" s="4860"/>
      <c r="CD128" s="170"/>
      <c r="CE128" s="170"/>
      <c r="CF128" s="170"/>
      <c r="CG128" s="170"/>
      <c r="CH128" s="4860"/>
      <c r="CI128" s="170"/>
      <c r="CJ128" s="170"/>
      <c r="CK128" s="170"/>
      <c r="CL128" s="170"/>
      <c r="CM128" s="4860"/>
      <c r="CN128" s="170"/>
      <c r="CO128" s="170"/>
      <c r="CP128" s="170"/>
      <c r="CQ128" s="170"/>
      <c r="CR128" s="4860"/>
      <c r="CS128" s="170"/>
      <c r="CT128" s="170"/>
      <c r="CU128" s="170"/>
      <c r="CV128" s="170"/>
      <c r="CW128" s="4860"/>
      <c r="CX128" s="170"/>
      <c r="CY128" s="170"/>
      <c r="CZ128" s="170"/>
      <c r="DA128" s="170"/>
      <c r="DB128" s="4860"/>
      <c r="DC128" s="170"/>
      <c r="DD128" s="170"/>
      <c r="DE128" s="170"/>
      <c r="DF128" s="170"/>
      <c r="DG128" s="4863"/>
      <c r="DH128" s="4865"/>
      <c r="DI128" s="4865"/>
      <c r="DJ128" s="4865"/>
      <c r="DK128" s="4865"/>
      <c r="DL128" s="4863"/>
      <c r="DM128" s="4865"/>
      <c r="DN128" s="4865"/>
      <c r="DO128" s="4865"/>
      <c r="DP128" s="4865"/>
      <c r="DQ128" s="4863"/>
      <c r="DR128" s="4865"/>
      <c r="DS128" s="4865"/>
      <c r="DT128" s="4865"/>
      <c r="DU128" s="4865"/>
      <c r="DV128" s="4863"/>
      <c r="DW128" s="4865"/>
      <c r="DX128" s="4865"/>
      <c r="DY128" s="4865"/>
      <c r="DZ128" s="4865"/>
      <c r="EA128" s="4863"/>
      <c r="EB128" s="4865"/>
      <c r="EC128" s="4865"/>
      <c r="ED128" s="4865"/>
      <c r="EE128" s="4865"/>
      <c r="EF128" s="4863"/>
      <c r="EG128" s="4865"/>
      <c r="EH128" s="4865"/>
      <c r="EI128" s="4865"/>
      <c r="EJ128" s="4865"/>
      <c r="EK128" s="4863"/>
      <c r="EL128" s="4865"/>
      <c r="EM128" s="4865"/>
      <c r="EN128" s="4865"/>
      <c r="EO128" s="4865"/>
      <c r="EP128" s="4863"/>
      <c r="EQ128" s="4865"/>
      <c r="ER128" s="4865"/>
      <c r="ES128" s="4865"/>
      <c r="ET128" s="4865"/>
      <c r="EU128" s="4863"/>
      <c r="EV128" s="4863"/>
      <c r="EW128" s="4863"/>
      <c r="EX128" s="4863"/>
      <c r="EY128" s="4863"/>
      <c r="EZ128" s="170"/>
      <c r="FA128" s="1319"/>
      <c r="FB128" s="1319"/>
      <c r="FC128" s="511"/>
    </row>
    <row r="129" spans="1:159" s="4" customFormat="1" ht="11.25" hidden="1" customHeight="1" outlineLevel="1">
      <c r="A129" s="4916" t="s">
        <v>359</v>
      </c>
      <c r="B129" s="4917"/>
      <c r="C129" s="4917"/>
      <c r="D129" s="4917"/>
      <c r="E129" s="4918"/>
      <c r="F129" s="4919"/>
      <c r="G129" s="4917"/>
      <c r="H129" s="4917"/>
      <c r="I129" s="4917"/>
      <c r="J129" s="4918"/>
      <c r="K129" s="4919"/>
      <c r="L129" s="4917"/>
      <c r="M129" s="4917"/>
      <c r="N129" s="4917"/>
      <c r="O129" s="4918"/>
      <c r="P129" s="4920"/>
      <c r="Q129" s="4921"/>
      <c r="R129" s="4917"/>
      <c r="S129" s="4917"/>
      <c r="T129" s="4918"/>
      <c r="U129" s="4919"/>
      <c r="V129" s="4922"/>
      <c r="W129" s="4917"/>
      <c r="X129" s="4917"/>
      <c r="Y129" s="4918"/>
      <c r="Z129" s="4919"/>
      <c r="AA129" s="4922"/>
      <c r="AB129" s="4917"/>
      <c r="AC129" s="4917"/>
      <c r="AD129" s="4918"/>
      <c r="AE129" s="4919"/>
      <c r="AF129" s="4922"/>
      <c r="AG129" s="4917"/>
      <c r="AH129" s="4917"/>
      <c r="AI129" s="4918"/>
      <c r="AJ129" s="4919"/>
      <c r="AK129" s="4917"/>
      <c r="AL129" s="4917"/>
      <c r="AM129" s="4917"/>
      <c r="AN129" s="4918"/>
      <c r="AO129" s="4919"/>
      <c r="AP129" s="4917"/>
      <c r="AQ129" s="4917"/>
      <c r="AR129" s="4917"/>
      <c r="AS129" s="4918"/>
      <c r="AT129" s="4919"/>
      <c r="AU129" s="4917"/>
      <c r="AV129" s="4917"/>
      <c r="AW129" s="4917"/>
      <c r="AX129" s="4918"/>
      <c r="AY129" s="4919"/>
      <c r="AZ129" s="4917"/>
      <c r="BA129" s="4917"/>
      <c r="BB129" s="4917"/>
      <c r="BC129" s="4917"/>
      <c r="BD129" s="4923"/>
      <c r="BE129" s="4924"/>
      <c r="BF129" s="4917"/>
      <c r="BG129" s="4917"/>
      <c r="BH129" s="4917"/>
      <c r="BI129" s="4923"/>
      <c r="BJ129" s="4917"/>
      <c r="BK129" s="4917"/>
      <c r="BL129" s="4917"/>
      <c r="BM129" s="4917"/>
      <c r="BN129" s="4923"/>
      <c r="BO129" s="4917"/>
      <c r="BP129" s="4917"/>
      <c r="BQ129" s="4917"/>
      <c r="BR129" s="4918"/>
      <c r="BS129" s="4919"/>
      <c r="BT129" s="4917"/>
      <c r="BU129" s="4917"/>
      <c r="BV129" s="4917"/>
      <c r="BW129" s="4917"/>
      <c r="BX129" s="4923"/>
      <c r="BY129" s="4917"/>
      <c r="BZ129" s="4917"/>
      <c r="CA129" s="4917"/>
      <c r="CB129" s="4917"/>
      <c r="CC129" s="4923"/>
      <c r="CD129" s="4917"/>
      <c r="CE129" s="4917"/>
      <c r="CF129" s="4917"/>
      <c r="CG129" s="4917"/>
      <c r="CH129" s="4923"/>
      <c r="CI129" s="4917"/>
      <c r="CJ129" s="4917"/>
      <c r="CK129" s="4917"/>
      <c r="CL129" s="4917"/>
      <c r="CM129" s="4923"/>
      <c r="CN129" s="4917"/>
      <c r="CO129" s="4917"/>
      <c r="CP129" s="4917"/>
      <c r="CQ129" s="4917"/>
      <c r="CR129" s="4923"/>
      <c r="CS129" s="4917"/>
      <c r="CT129" s="4917"/>
      <c r="CU129" s="4917"/>
      <c r="CV129" s="4917"/>
      <c r="CW129" s="4923"/>
      <c r="CX129" s="4917"/>
      <c r="CY129" s="4917"/>
      <c r="CZ129" s="4917"/>
      <c r="DA129" s="4917"/>
      <c r="DB129" s="4923"/>
      <c r="DC129" s="4917"/>
      <c r="DD129" s="4917"/>
      <c r="DE129" s="4917"/>
      <c r="DF129" s="4917"/>
      <c r="DG129" s="4925"/>
      <c r="DH129" s="4926"/>
      <c r="DI129" s="4926"/>
      <c r="DJ129" s="4926"/>
      <c r="DK129" s="4926"/>
      <c r="DL129" s="4925"/>
      <c r="DM129" s="4926"/>
      <c r="DN129" s="4926"/>
      <c r="DO129" s="4926"/>
      <c r="DP129" s="4926"/>
      <c r="DQ129" s="4925"/>
      <c r="DR129" s="4926"/>
      <c r="DS129" s="4926"/>
      <c r="DT129" s="4926"/>
      <c r="DU129" s="4926"/>
      <c r="DV129" s="4925"/>
      <c r="DW129" s="4926"/>
      <c r="DX129" s="4926"/>
      <c r="DY129" s="4926"/>
      <c r="DZ129" s="4926"/>
      <c r="EA129" s="4925"/>
      <c r="EB129" s="4926"/>
      <c r="EC129" s="4926"/>
      <c r="ED129" s="4926"/>
      <c r="EE129" s="4926"/>
      <c r="EF129" s="4925"/>
      <c r="EG129" s="4926"/>
      <c r="EH129" s="4926"/>
      <c r="EI129" s="4926"/>
      <c r="EJ129" s="4926"/>
      <c r="EK129" s="4925"/>
      <c r="EL129" s="4926"/>
      <c r="EM129" s="4926"/>
      <c r="EN129" s="4926"/>
      <c r="EO129" s="4926"/>
      <c r="EP129" s="4925"/>
      <c r="EQ129" s="4926"/>
      <c r="ER129" s="4926"/>
      <c r="ES129" s="4926"/>
      <c r="ET129" s="4926"/>
      <c r="EU129" s="4925"/>
      <c r="EV129" s="4925"/>
      <c r="EW129" s="4925"/>
      <c r="EX129" s="4925"/>
      <c r="EY129" s="4925"/>
      <c r="EZ129" s="170"/>
      <c r="FA129" s="1319"/>
      <c r="FB129" s="1319"/>
      <c r="FC129" s="511"/>
    </row>
    <row r="130" spans="1:159" s="4" customFormat="1" ht="11.25" hidden="1" customHeight="1" outlineLevel="1">
      <c r="A130" s="4905" t="str">
        <f>A115</f>
        <v>Revenue</v>
      </c>
      <c r="B130" s="170"/>
      <c r="C130" s="170"/>
      <c r="D130" s="170"/>
      <c r="E130" s="286"/>
      <c r="F130" s="4858"/>
      <c r="G130" s="170"/>
      <c r="H130" s="170"/>
      <c r="I130" s="170"/>
      <c r="J130" s="286"/>
      <c r="K130" s="4858"/>
      <c r="L130" s="170"/>
      <c r="M130" s="170"/>
      <c r="N130" s="170"/>
      <c r="O130" s="286"/>
      <c r="P130" s="2657"/>
      <c r="Q130" s="2608"/>
      <c r="R130" s="170"/>
      <c r="S130" s="170"/>
      <c r="T130" s="286"/>
      <c r="U130" s="4858"/>
      <c r="V130" s="4859"/>
      <c r="W130" s="170"/>
      <c r="X130" s="170"/>
      <c r="Y130" s="286"/>
      <c r="Z130" s="4858"/>
      <c r="AA130" s="4859"/>
      <c r="AB130" s="170"/>
      <c r="AC130" s="170"/>
      <c r="AD130" s="286"/>
      <c r="AE130" s="4858"/>
      <c r="AF130" s="4859"/>
      <c r="AG130" s="170"/>
      <c r="AH130" s="170"/>
      <c r="AI130" s="286"/>
      <c r="AJ130" s="4858"/>
      <c r="AK130" s="170"/>
      <c r="AL130" s="170"/>
      <c r="AM130" s="170"/>
      <c r="AN130" s="286"/>
      <c r="AO130" s="4858"/>
      <c r="AP130" s="170"/>
      <c r="AQ130" s="170"/>
      <c r="AR130" s="170"/>
      <c r="AS130" s="286"/>
      <c r="AT130" s="4858"/>
      <c r="AU130" s="170"/>
      <c r="AV130" s="170"/>
      <c r="AW130" s="170"/>
      <c r="AX130" s="286"/>
      <c r="AY130" s="4858"/>
      <c r="AZ130" s="170"/>
      <c r="BA130" s="170"/>
      <c r="BB130" s="170"/>
      <c r="BC130" s="170"/>
      <c r="BD130" s="4860"/>
      <c r="BE130" s="4866"/>
      <c r="BF130" s="170"/>
      <c r="BG130" s="170"/>
      <c r="BH130" s="170"/>
      <c r="BI130" s="4860"/>
      <c r="BJ130" s="170"/>
      <c r="BK130" s="170"/>
      <c r="BL130" s="170"/>
      <c r="BM130" s="170"/>
      <c r="BN130" s="4860"/>
      <c r="BO130" s="170"/>
      <c r="BP130" s="170"/>
      <c r="BQ130" s="170"/>
      <c r="BR130" s="286"/>
      <c r="BS130" s="4858"/>
      <c r="BT130" s="170"/>
      <c r="BU130" s="170"/>
      <c r="BV130" s="170"/>
      <c r="BW130" s="170"/>
      <c r="BX130" s="4860"/>
      <c r="BY130" s="170"/>
      <c r="BZ130" s="170"/>
      <c r="CA130" s="170"/>
      <c r="CB130" s="170"/>
      <c r="CC130" s="4860"/>
      <c r="CD130" s="170"/>
      <c r="CE130" s="170"/>
      <c r="CF130" s="170"/>
      <c r="CG130" s="170"/>
      <c r="CH130" s="4860"/>
      <c r="CI130" s="170"/>
      <c r="CJ130" s="170"/>
      <c r="CK130" s="170"/>
      <c r="CL130" s="170"/>
      <c r="CM130" s="4860"/>
      <c r="CN130" s="170"/>
      <c r="CO130" s="170"/>
      <c r="CP130" s="170"/>
      <c r="CQ130" s="170"/>
      <c r="CR130" s="4860"/>
      <c r="CS130" s="170"/>
      <c r="CT130" s="170"/>
      <c r="CU130" s="170"/>
      <c r="CV130" s="170"/>
      <c r="CW130" s="4860"/>
      <c r="CX130" s="170"/>
      <c r="CY130" s="170"/>
      <c r="CZ130" s="170"/>
      <c r="DA130" s="170"/>
      <c r="DB130" s="4860"/>
      <c r="DC130" s="170"/>
      <c r="DD130" s="170"/>
      <c r="DE130" s="170"/>
      <c r="DF130" s="170"/>
      <c r="DG130" s="4939"/>
      <c r="DH130" s="2623"/>
      <c r="DI130" s="2623"/>
      <c r="DJ130" s="2623"/>
      <c r="DK130" s="2623"/>
      <c r="DL130" s="4939">
        <f>DL115/DG115-1</f>
        <v>0.1075630252100841</v>
      </c>
      <c r="DM130" s="2623"/>
      <c r="DN130" s="2623"/>
      <c r="DO130" s="2623"/>
      <c r="DP130" s="2623"/>
      <c r="DQ130" s="4939">
        <f t="shared" ref="DQ130:DT131" si="341">DQ115/DL115-1</f>
        <v>-3.0349013657056112E-3</v>
      </c>
      <c r="DR130" s="2623">
        <f t="shared" si="341"/>
        <v>0.46666666666666656</v>
      </c>
      <c r="DS130" s="2623">
        <f t="shared" si="341"/>
        <v>0.29729729729729737</v>
      </c>
      <c r="DT130" s="2623">
        <f t="shared" si="341"/>
        <v>2.2471910112359605E-2</v>
      </c>
      <c r="DU130" s="2623"/>
      <c r="DV130" s="4939">
        <f t="shared" ref="DV130:EN131" si="342">DV115/DQ115-1</f>
        <v>0.14611872146118721</v>
      </c>
      <c r="DW130" s="2623">
        <f t="shared" si="342"/>
        <v>1.2222222222222223</v>
      </c>
      <c r="DX130" s="2623">
        <f t="shared" si="342"/>
        <v>5.2083333333332593E-3</v>
      </c>
      <c r="DY130" s="2623">
        <f t="shared" si="342"/>
        <v>0.14835164835164827</v>
      </c>
      <c r="DZ130" s="2623">
        <f t="shared" si="342"/>
        <v>0.24861878453038666</v>
      </c>
      <c r="EA130" s="4939">
        <f t="shared" si="342"/>
        <v>0.41832669322709171</v>
      </c>
      <c r="EB130" s="2623">
        <f t="shared" si="342"/>
        <v>-0.34545454545454546</v>
      </c>
      <c r="EC130" s="2623">
        <f t="shared" si="342"/>
        <v>0.47668393782383411</v>
      </c>
      <c r="ED130" s="2623">
        <f t="shared" si="342"/>
        <v>0.42105263157894735</v>
      </c>
      <c r="EE130" s="2623">
        <f t="shared" si="342"/>
        <v>1.9070796460176993</v>
      </c>
      <c r="EF130" s="4939">
        <f t="shared" si="342"/>
        <v>0.4297752808988764</v>
      </c>
      <c r="EG130" s="2623">
        <f t="shared" si="342"/>
        <v>0.71875</v>
      </c>
      <c r="EH130" s="2623">
        <f t="shared" si="342"/>
        <v>0.2807017543859649</v>
      </c>
      <c r="EI130" s="2623">
        <f t="shared" si="342"/>
        <v>0.30639730639730645</v>
      </c>
      <c r="EJ130" s="2623">
        <f t="shared" si="342"/>
        <v>-0.39117199391171997</v>
      </c>
      <c r="EK130" s="4939">
        <f t="shared" ref="EK130:EK131" si="343">EK115/EF115-1</f>
        <v>7.9240340537000575E-2</v>
      </c>
      <c r="EL130" s="2623">
        <f t="shared" si="342"/>
        <v>-9.0909090909090939E-2</v>
      </c>
      <c r="EM130" s="2623">
        <f t="shared" si="342"/>
        <v>2.1917808219177992E-2</v>
      </c>
      <c r="EN130" s="2623">
        <f t="shared" si="342"/>
        <v>-0.11340206185567014</v>
      </c>
      <c r="EO130" s="2623">
        <f t="shared" ref="EO130:EP131" si="344">EO115/EJ115-1</f>
        <v>-8.9924999999952293E-2</v>
      </c>
      <c r="EP130" s="4939">
        <f t="shared" si="344"/>
        <v>-7.0976941747561195E-2</v>
      </c>
      <c r="EQ130" s="2623">
        <f t="shared" ref="EQ130:EQ131" si="345">EQ115/EL115-1</f>
        <v>-0.13406444444445142</v>
      </c>
      <c r="ER130" s="2623">
        <f t="shared" ref="ER130:ER131" si="346">ER115/EM115-1</f>
        <v>0.10919034852551812</v>
      </c>
      <c r="ES130" s="2623">
        <f t="shared" ref="ES130:ES131" si="347">ES115/EN115-1</f>
        <v>0.25914825581390666</v>
      </c>
      <c r="ET130" s="2623">
        <f t="shared" ref="ET130:EU131" si="348">ET115/EO115-1</f>
        <v>0.23539057653900652</v>
      </c>
      <c r="EU130" s="4939">
        <f t="shared" si="348"/>
        <v>0.10139267785575456</v>
      </c>
      <c r="EV130" s="4939">
        <f t="shared" ref="EV130:EY132" si="349">EV115/EU115-1</f>
        <v>0.12452240707766093</v>
      </c>
      <c r="EW130" s="4939">
        <f t="shared" si="349"/>
        <v>0.15099706203514063</v>
      </c>
      <c r="EX130" s="4939">
        <f t="shared" si="349"/>
        <v>0.19129358609493985</v>
      </c>
      <c r="EY130" s="4939">
        <f t="shared" si="349"/>
        <v>0.2343021937273595</v>
      </c>
      <c r="EZ130" s="170"/>
      <c r="FA130" s="1319"/>
      <c r="FB130" s="1319"/>
      <c r="FC130" s="511"/>
    </row>
    <row r="131" spans="1:159" s="4" customFormat="1" ht="11.25" hidden="1" customHeight="1" outlineLevel="1">
      <c r="A131" s="4857" t="str">
        <f>A116</f>
        <v>GAAP Costs &amp; Opex</v>
      </c>
      <c r="B131" s="170"/>
      <c r="C131" s="170"/>
      <c r="D131" s="170"/>
      <c r="E131" s="286"/>
      <c r="F131" s="4858"/>
      <c r="G131" s="170"/>
      <c r="H131" s="170"/>
      <c r="I131" s="170"/>
      <c r="J131" s="286"/>
      <c r="K131" s="4858"/>
      <c r="L131" s="170"/>
      <c r="M131" s="170"/>
      <c r="N131" s="170"/>
      <c r="O131" s="286"/>
      <c r="P131" s="2657"/>
      <c r="Q131" s="2608"/>
      <c r="R131" s="170"/>
      <c r="S131" s="170"/>
      <c r="T131" s="286"/>
      <c r="U131" s="4858"/>
      <c r="V131" s="4859"/>
      <c r="W131" s="170"/>
      <c r="X131" s="170"/>
      <c r="Y131" s="286"/>
      <c r="Z131" s="4858"/>
      <c r="AA131" s="4859"/>
      <c r="AB131" s="170"/>
      <c r="AC131" s="170"/>
      <c r="AD131" s="286"/>
      <c r="AE131" s="4858"/>
      <c r="AF131" s="4859"/>
      <c r="AG131" s="170"/>
      <c r="AH131" s="170"/>
      <c r="AI131" s="286"/>
      <c r="AJ131" s="4858"/>
      <c r="AK131" s="170"/>
      <c r="AL131" s="170"/>
      <c r="AM131" s="170"/>
      <c r="AN131" s="286"/>
      <c r="AO131" s="4858"/>
      <c r="AP131" s="170"/>
      <c r="AQ131" s="170"/>
      <c r="AR131" s="170"/>
      <c r="AS131" s="286"/>
      <c r="AT131" s="4858"/>
      <c r="AU131" s="170"/>
      <c r="AV131" s="170"/>
      <c r="AW131" s="170"/>
      <c r="AX131" s="286"/>
      <c r="AY131" s="4858"/>
      <c r="AZ131" s="170"/>
      <c r="BA131" s="170"/>
      <c r="BB131" s="170"/>
      <c r="BC131" s="170"/>
      <c r="BD131" s="4860"/>
      <c r="BE131" s="4866"/>
      <c r="BF131" s="170"/>
      <c r="BG131" s="170"/>
      <c r="BH131" s="170"/>
      <c r="BI131" s="4860"/>
      <c r="BJ131" s="170"/>
      <c r="BK131" s="170"/>
      <c r="BL131" s="170"/>
      <c r="BM131" s="170"/>
      <c r="BN131" s="4860"/>
      <c r="BO131" s="170"/>
      <c r="BP131" s="170"/>
      <c r="BQ131" s="170"/>
      <c r="BR131" s="286"/>
      <c r="BS131" s="4858"/>
      <c r="BT131" s="170"/>
      <c r="BU131" s="170"/>
      <c r="BV131" s="170"/>
      <c r="BW131" s="170"/>
      <c r="BX131" s="4860"/>
      <c r="BY131" s="170"/>
      <c r="BZ131" s="170"/>
      <c r="CA131" s="170"/>
      <c r="CB131" s="170"/>
      <c r="CC131" s="4860"/>
      <c r="CD131" s="170"/>
      <c r="CE131" s="170"/>
      <c r="CF131" s="170"/>
      <c r="CG131" s="170"/>
      <c r="CH131" s="4860"/>
      <c r="CI131" s="170"/>
      <c r="CJ131" s="170"/>
      <c r="CK131" s="170"/>
      <c r="CL131" s="170"/>
      <c r="CM131" s="4860"/>
      <c r="CN131" s="170"/>
      <c r="CO131" s="170"/>
      <c r="CP131" s="170"/>
      <c r="CQ131" s="170"/>
      <c r="CR131" s="4860"/>
      <c r="CS131" s="170"/>
      <c r="CT131" s="170"/>
      <c r="CU131" s="170"/>
      <c r="CV131" s="170"/>
      <c r="CW131" s="4860"/>
      <c r="CX131" s="170"/>
      <c r="CY131" s="170"/>
      <c r="CZ131" s="170"/>
      <c r="DA131" s="170"/>
      <c r="DB131" s="4860"/>
      <c r="DC131" s="170"/>
      <c r="DD131" s="170"/>
      <c r="DE131" s="170"/>
      <c r="DF131" s="170"/>
      <c r="DG131" s="4939"/>
      <c r="DH131" s="2623"/>
      <c r="DI131" s="2623"/>
      <c r="DJ131" s="2623"/>
      <c r="DK131" s="2623"/>
      <c r="DL131" s="4939">
        <f>DL116/DG116-1</f>
        <v>0.38704781178851499</v>
      </c>
      <c r="DM131" s="2623"/>
      <c r="DN131" s="2623"/>
      <c r="DO131" s="2623"/>
      <c r="DP131" s="2623"/>
      <c r="DQ131" s="4939">
        <f t="shared" si="341"/>
        <v>-6.3833667700164187E-2</v>
      </c>
      <c r="DR131" s="2623">
        <f t="shared" si="341"/>
        <v>6.9267515923566947E-2</v>
      </c>
      <c r="DS131" s="2623">
        <f t="shared" si="341"/>
        <v>0.25791139240506333</v>
      </c>
      <c r="DT131" s="2623">
        <f t="shared" si="341"/>
        <v>0.14754098360655732</v>
      </c>
      <c r="DU131" s="2623"/>
      <c r="DV131" s="4939">
        <f t="shared" si="342"/>
        <v>0.17553087862848238</v>
      </c>
      <c r="DW131" s="2623">
        <f t="shared" si="342"/>
        <v>-5.0632911392405111E-2</v>
      </c>
      <c r="DX131" s="2623">
        <f t="shared" si="342"/>
        <v>-3.647798742138364E-2</v>
      </c>
      <c r="DY131" s="2623">
        <f t="shared" si="342"/>
        <v>-2.4489795918367308E-2</v>
      </c>
      <c r="DZ131" s="2623">
        <f t="shared" si="342"/>
        <v>-0.10300429184549353</v>
      </c>
      <c r="EA131" s="4939">
        <f t="shared" si="342"/>
        <v>-5.4690089492873684E-2</v>
      </c>
      <c r="EB131" s="2623">
        <f t="shared" si="342"/>
        <v>0.18666666666666676</v>
      </c>
      <c r="EC131" s="2623">
        <f t="shared" si="342"/>
        <v>-0.28328981723237601</v>
      </c>
      <c r="ED131" s="2623">
        <f t="shared" si="342"/>
        <v>3.9748953974895418E-2</v>
      </c>
      <c r="EE131" s="2623">
        <f t="shared" si="342"/>
        <v>3.8961038961038863E-2</v>
      </c>
      <c r="EF131" s="4939">
        <f t="shared" si="342"/>
        <v>-1.4375876577840119E-2</v>
      </c>
      <c r="EG131" s="2623">
        <f t="shared" si="342"/>
        <v>1.3218770654328527E-3</v>
      </c>
      <c r="EH131" s="2623">
        <f t="shared" si="342"/>
        <v>0.36520947176684881</v>
      </c>
      <c r="EI131" s="2623">
        <f t="shared" si="342"/>
        <v>8.7189805499665596E-3</v>
      </c>
      <c r="EJ131" s="2623">
        <f t="shared" si="342"/>
        <v>3.5526315789473628E-2</v>
      </c>
      <c r="EK131" s="4939">
        <f t="shared" si="343"/>
        <v>8.3600142298114521E-2</v>
      </c>
      <c r="EL131" s="2623">
        <f t="shared" si="342"/>
        <v>0.10627062706270629</v>
      </c>
      <c r="EM131" s="2623">
        <f t="shared" si="342"/>
        <v>8.0053368912608391E-2</v>
      </c>
      <c r="EN131" s="2623">
        <f t="shared" si="342"/>
        <v>0.1768617021276595</v>
      </c>
      <c r="EO131" s="2623">
        <f t="shared" si="344"/>
        <v>0.224396489470162</v>
      </c>
      <c r="EP131" s="4939">
        <f t="shared" si="344"/>
        <v>0.14776757623539649</v>
      </c>
      <c r="EQ131" s="2623">
        <f t="shared" si="345"/>
        <v>1.0000970363025719E-2</v>
      </c>
      <c r="ER131" s="2623">
        <f t="shared" si="346"/>
        <v>7.1613449841228638E-2</v>
      </c>
      <c r="ES131" s="2623">
        <f t="shared" si="347"/>
        <v>6.484027329985631E-2</v>
      </c>
      <c r="ET131" s="2623">
        <f t="shared" si="348"/>
        <v>4.9140880655970332E-2</v>
      </c>
      <c r="EU131" s="4939">
        <f t="shared" si="348"/>
        <v>4.8936728151012021E-2</v>
      </c>
      <c r="EV131" s="4939">
        <f t="shared" si="349"/>
        <v>4.3491282440448531E-2</v>
      </c>
      <c r="EW131" s="4939">
        <f t="shared" si="349"/>
        <v>-0.16975847419588119</v>
      </c>
      <c r="EX131" s="4939">
        <f t="shared" si="349"/>
        <v>-0.27801356725657855</v>
      </c>
      <c r="EY131" s="4939">
        <f t="shared" si="349"/>
        <v>-0.27133940506759824</v>
      </c>
      <c r="EZ131" s="170"/>
      <c r="FA131" s="1319"/>
      <c r="FB131" s="1319"/>
      <c r="FC131" s="511"/>
    </row>
    <row r="132" spans="1:159" s="4" customFormat="1" ht="11.25" hidden="1" customHeight="1" outlineLevel="1">
      <c r="A132" s="4857" t="s">
        <v>994</v>
      </c>
      <c r="B132" s="170"/>
      <c r="C132" s="170"/>
      <c r="D132" s="170"/>
      <c r="E132" s="286"/>
      <c r="F132" s="4858"/>
      <c r="G132" s="170"/>
      <c r="H132" s="170"/>
      <c r="I132" s="170"/>
      <c r="J132" s="286"/>
      <c r="K132" s="4858"/>
      <c r="L132" s="170"/>
      <c r="M132" s="170"/>
      <c r="N132" s="170"/>
      <c r="O132" s="286"/>
      <c r="P132" s="2657"/>
      <c r="Q132" s="2608"/>
      <c r="R132" s="170"/>
      <c r="S132" s="170"/>
      <c r="T132" s="286"/>
      <c r="U132" s="4858"/>
      <c r="V132" s="4859"/>
      <c r="W132" s="170"/>
      <c r="X132" s="170"/>
      <c r="Y132" s="286"/>
      <c r="Z132" s="4858"/>
      <c r="AA132" s="4859"/>
      <c r="AB132" s="170"/>
      <c r="AC132" s="170"/>
      <c r="AD132" s="286"/>
      <c r="AE132" s="4858"/>
      <c r="AF132" s="4859"/>
      <c r="AG132" s="170"/>
      <c r="AH132" s="170"/>
      <c r="AI132" s="286"/>
      <c r="AJ132" s="4858"/>
      <c r="AK132" s="170"/>
      <c r="AL132" s="170"/>
      <c r="AM132" s="170"/>
      <c r="AN132" s="286"/>
      <c r="AO132" s="4858"/>
      <c r="AP132" s="170"/>
      <c r="AQ132" s="170"/>
      <c r="AR132" s="170"/>
      <c r="AS132" s="286"/>
      <c r="AT132" s="4858"/>
      <c r="AU132" s="170"/>
      <c r="AV132" s="170"/>
      <c r="AW132" s="170"/>
      <c r="AX132" s="286"/>
      <c r="AY132" s="4858"/>
      <c r="AZ132" s="170"/>
      <c r="BA132" s="170"/>
      <c r="BB132" s="170"/>
      <c r="BC132" s="170"/>
      <c r="BD132" s="4860"/>
      <c r="BE132" s="4866"/>
      <c r="BF132" s="170"/>
      <c r="BG132" s="170"/>
      <c r="BH132" s="170"/>
      <c r="BI132" s="4860"/>
      <c r="BJ132" s="170"/>
      <c r="BK132" s="170"/>
      <c r="BL132" s="170"/>
      <c r="BM132" s="170"/>
      <c r="BN132" s="4860"/>
      <c r="BO132" s="170"/>
      <c r="BP132" s="170"/>
      <c r="BQ132" s="170"/>
      <c r="BR132" s="286"/>
      <c r="BS132" s="4858"/>
      <c r="BT132" s="170"/>
      <c r="BU132" s="170"/>
      <c r="BV132" s="170"/>
      <c r="BW132" s="170"/>
      <c r="BX132" s="4860"/>
      <c r="BY132" s="170"/>
      <c r="BZ132" s="170"/>
      <c r="CA132" s="170"/>
      <c r="CB132" s="170"/>
      <c r="CC132" s="4860"/>
      <c r="CD132" s="170"/>
      <c r="CE132" s="170"/>
      <c r="CF132" s="170"/>
      <c r="CG132" s="170"/>
      <c r="CH132" s="4860"/>
      <c r="CI132" s="170"/>
      <c r="CJ132" s="170"/>
      <c r="CK132" s="170"/>
      <c r="CL132" s="170"/>
      <c r="CM132" s="4860"/>
      <c r="CN132" s="170"/>
      <c r="CO132" s="170"/>
      <c r="CP132" s="170"/>
      <c r="CQ132" s="170"/>
      <c r="CR132" s="4860"/>
      <c r="CS132" s="170"/>
      <c r="CT132" s="170"/>
      <c r="CU132" s="170"/>
      <c r="CV132" s="170"/>
      <c r="CW132" s="4860"/>
      <c r="CX132" s="170"/>
      <c r="CY132" s="170"/>
      <c r="CZ132" s="170"/>
      <c r="DA132" s="170"/>
      <c r="DB132" s="4860"/>
      <c r="DC132" s="170"/>
      <c r="DD132" s="170"/>
      <c r="DE132" s="170"/>
      <c r="DF132" s="170"/>
      <c r="DG132" s="4939"/>
      <c r="DH132" s="2623"/>
      <c r="DI132" s="2623"/>
      <c r="DJ132" s="2623"/>
      <c r="DK132" s="2623"/>
      <c r="DL132" s="4939"/>
      <c r="DM132" s="2623"/>
      <c r="DN132" s="2623"/>
      <c r="DO132" s="2623"/>
      <c r="DP132" s="2623"/>
      <c r="DQ132" s="4939">
        <f>DQ117/DL117-1</f>
        <v>-4.9372596206126551E-2</v>
      </c>
      <c r="DR132" s="2623"/>
      <c r="DS132" s="2623"/>
      <c r="DT132" s="2623"/>
      <c r="DU132" s="2623"/>
      <c r="DV132" s="4939">
        <f>DV117/DQ117-1</f>
        <v>0.17919895707853972</v>
      </c>
      <c r="DW132" s="2623"/>
      <c r="DX132" s="2623"/>
      <c r="DY132" s="2623"/>
      <c r="DZ132" s="2623"/>
      <c r="EA132" s="4939">
        <f>EA117/DV117-1</f>
        <v>-9.6334611582872376E-2</v>
      </c>
      <c r="EB132" s="2623"/>
      <c r="EC132" s="2623"/>
      <c r="ED132" s="2623"/>
      <c r="EE132" s="2623"/>
      <c r="EF132" s="4939">
        <f>EF117/EA117-1</f>
        <v>-5.2624765992664857E-3</v>
      </c>
      <c r="EG132" s="2623"/>
      <c r="EH132" s="2623"/>
      <c r="EI132" s="2623"/>
      <c r="EJ132" s="2623"/>
      <c r="EK132" s="4939">
        <f>EK117/EF117-1</f>
        <v>0.10237935262733489</v>
      </c>
      <c r="EL132" s="2623"/>
      <c r="EM132" s="2623"/>
      <c r="EN132" s="2623"/>
      <c r="EO132" s="2623"/>
      <c r="EP132" s="4939">
        <f>EP117/EK117-1</f>
        <v>0.16583895002856819</v>
      </c>
      <c r="EQ132" s="2623"/>
      <c r="ER132" s="2623"/>
      <c r="ES132" s="2623"/>
      <c r="ET132" s="2623"/>
      <c r="EU132" s="4939">
        <f>EU117/EP117-1</f>
        <v>5.3208678778813079E-2</v>
      </c>
      <c r="EV132" s="4939">
        <f t="shared" si="349"/>
        <v>3.7655421599827932E-2</v>
      </c>
      <c r="EW132" s="4939">
        <f t="shared" si="349"/>
        <v>-0.21709274177494375</v>
      </c>
      <c r="EX132" s="4939">
        <f t="shared" si="349"/>
        <v>-0.36488388294737606</v>
      </c>
      <c r="EY132" s="4939">
        <f t="shared" si="349"/>
        <v>-0.40202849613553526</v>
      </c>
      <c r="EZ132" s="170"/>
      <c r="FA132" s="1319"/>
      <c r="FB132" s="1319"/>
      <c r="FC132" s="511"/>
    </row>
    <row r="133" spans="1:159" s="4" customFormat="1" ht="11.25" hidden="1" customHeight="1" outlineLevel="1">
      <c r="A133" s="4905" t="str">
        <f>A118</f>
        <v>GAAP Operating Income</v>
      </c>
      <c r="B133" s="170"/>
      <c r="C133" s="170"/>
      <c r="D133" s="170"/>
      <c r="E133" s="286"/>
      <c r="F133" s="4858"/>
      <c r="G133" s="170"/>
      <c r="H133" s="170"/>
      <c r="I133" s="170"/>
      <c r="J133" s="286"/>
      <c r="K133" s="4858"/>
      <c r="L133" s="170"/>
      <c r="M133" s="170"/>
      <c r="N133" s="170"/>
      <c r="O133" s="286"/>
      <c r="P133" s="2657"/>
      <c r="Q133" s="2608"/>
      <c r="R133" s="170"/>
      <c r="S133" s="170"/>
      <c r="T133" s="286"/>
      <c r="U133" s="4858"/>
      <c r="V133" s="4859"/>
      <c r="W133" s="170"/>
      <c r="X133" s="170"/>
      <c r="Y133" s="286"/>
      <c r="Z133" s="4858"/>
      <c r="AA133" s="4859"/>
      <c r="AB133" s="170"/>
      <c r="AC133" s="170"/>
      <c r="AD133" s="286"/>
      <c r="AE133" s="4858"/>
      <c r="AF133" s="4859"/>
      <c r="AG133" s="170"/>
      <c r="AH133" s="170"/>
      <c r="AI133" s="286"/>
      <c r="AJ133" s="4858"/>
      <c r="AK133" s="170"/>
      <c r="AL133" s="170"/>
      <c r="AM133" s="170"/>
      <c r="AN133" s="286"/>
      <c r="AO133" s="4858"/>
      <c r="AP133" s="170"/>
      <c r="AQ133" s="170"/>
      <c r="AR133" s="170"/>
      <c r="AS133" s="286"/>
      <c r="AT133" s="4858"/>
      <c r="AU133" s="170"/>
      <c r="AV133" s="170"/>
      <c r="AW133" s="170"/>
      <c r="AX133" s="286"/>
      <c r="AY133" s="4858"/>
      <c r="AZ133" s="170"/>
      <c r="BA133" s="170"/>
      <c r="BB133" s="170"/>
      <c r="BC133" s="170"/>
      <c r="BD133" s="4860"/>
      <c r="BE133" s="4866"/>
      <c r="BF133" s="170"/>
      <c r="BG133" s="170"/>
      <c r="BH133" s="170"/>
      <c r="BI133" s="4860"/>
      <c r="BJ133" s="170"/>
      <c r="BK133" s="170"/>
      <c r="BL133" s="170"/>
      <c r="BM133" s="170"/>
      <c r="BN133" s="4860"/>
      <c r="BO133" s="170"/>
      <c r="BP133" s="170"/>
      <c r="BQ133" s="170"/>
      <c r="BR133" s="286"/>
      <c r="BS133" s="4858"/>
      <c r="BT133" s="170"/>
      <c r="BU133" s="170"/>
      <c r="BV133" s="170"/>
      <c r="BW133" s="170"/>
      <c r="BX133" s="4860"/>
      <c r="BY133" s="170"/>
      <c r="BZ133" s="170"/>
      <c r="CA133" s="170"/>
      <c r="CB133" s="170"/>
      <c r="CC133" s="4860"/>
      <c r="CD133" s="170"/>
      <c r="CE133" s="170"/>
      <c r="CF133" s="170"/>
      <c r="CG133" s="170"/>
      <c r="CH133" s="4860"/>
      <c r="CI133" s="170"/>
      <c r="CJ133" s="170"/>
      <c r="CK133" s="170"/>
      <c r="CL133" s="170"/>
      <c r="CM133" s="4860"/>
      <c r="CN133" s="170"/>
      <c r="CO133" s="170"/>
      <c r="CP133" s="170"/>
      <c r="CQ133" s="170"/>
      <c r="CR133" s="4860"/>
      <c r="CS133" s="170"/>
      <c r="CT133" s="170"/>
      <c r="CU133" s="170"/>
      <c r="CV133" s="170"/>
      <c r="CW133" s="4860"/>
      <c r="CX133" s="170"/>
      <c r="CY133" s="170"/>
      <c r="CZ133" s="170"/>
      <c r="DA133" s="170"/>
      <c r="DB133" s="4860"/>
      <c r="DC133" s="170"/>
      <c r="DD133" s="170"/>
      <c r="DE133" s="170"/>
      <c r="DF133" s="170"/>
      <c r="DG133" s="4939"/>
      <c r="DH133" s="2623"/>
      <c r="DI133" s="2623"/>
      <c r="DJ133" s="2623"/>
      <c r="DK133" s="2623"/>
      <c r="DL133" s="4939">
        <f>IF(DL118*DG118&gt;0,(DL118-DG118)/ABS(DG118),"NA")</f>
        <v>-0.43656938653960692</v>
      </c>
      <c r="DM133" s="2623"/>
      <c r="DN133" s="2623"/>
      <c r="DO133" s="2623"/>
      <c r="DP133" s="2623"/>
      <c r="DQ133" s="4939">
        <f t="shared" ref="DQ133:DY133" si="350">IF(DQ118*DL118&gt;0,(DQ118-DL118)/ABS(DL118),"NA")</f>
        <v>7.2139303482587069E-2</v>
      </c>
      <c r="DR133" s="2623">
        <f t="shared" si="350"/>
        <v>-2.1409455842997322E-2</v>
      </c>
      <c r="DS133" s="2623">
        <f t="shared" si="350"/>
        <v>-0.25268817204301075</v>
      </c>
      <c r="DT133" s="2623">
        <f t="shared" si="350"/>
        <v>-0.16772438803263826</v>
      </c>
      <c r="DU133" s="2623"/>
      <c r="DV133" s="4939">
        <f t="shared" si="350"/>
        <v>-0.17984807864164432</v>
      </c>
      <c r="DW133" s="2623">
        <f t="shared" si="350"/>
        <v>0.27074235807860264</v>
      </c>
      <c r="DX133" s="2623">
        <f t="shared" si="350"/>
        <v>4.2203147353361947E-2</v>
      </c>
      <c r="DY133" s="2623">
        <f t="shared" si="350"/>
        <v>4.8913043478260872E-2</v>
      </c>
      <c r="DZ133" s="2623">
        <f t="shared" ref="DZ133:EN133" si="351">IF(DZ118*DU118&gt;0,(DZ118-DU118)/ABS(DU118),"NA")</f>
        <v>0.14689655172413793</v>
      </c>
      <c r="EA133" s="4939">
        <f t="shared" si="351"/>
        <v>0.12213595909865556</v>
      </c>
      <c r="EB133" s="2623">
        <f t="shared" si="351"/>
        <v>-0.46706586826347307</v>
      </c>
      <c r="EC133" s="2623">
        <f t="shared" si="351"/>
        <v>0.3928304705003734</v>
      </c>
      <c r="ED133" s="2623">
        <f t="shared" si="351"/>
        <v>2.5306122448979593E-2</v>
      </c>
      <c r="EE133" s="2623">
        <f t="shared" si="351"/>
        <v>0.30234438156831045</v>
      </c>
      <c r="EF133" s="4939">
        <f t="shared" si="351"/>
        <v>0.11669542709232096</v>
      </c>
      <c r="EG133" s="2623">
        <f t="shared" si="351"/>
        <v>0.16734693877551021</v>
      </c>
      <c r="EH133" s="2623">
        <f t="shared" si="351"/>
        <v>-0.39483394833948338</v>
      </c>
      <c r="EI133" s="2623">
        <f t="shared" si="351"/>
        <v>6.5326633165829151E-2</v>
      </c>
      <c r="EJ133" s="2623">
        <f t="shared" si="351"/>
        <v>-0.36037079953650059</v>
      </c>
      <c r="EK133" s="4939">
        <f>IF(EK118*EF118&gt;0,(EK118-EF118)/ABS(EF118),"NA")</f>
        <v>-8.5225885225885228E-2</v>
      </c>
      <c r="EL133" s="2623">
        <f t="shared" si="351"/>
        <v>-0.20196078431372549</v>
      </c>
      <c r="EM133" s="2623">
        <f t="shared" si="351"/>
        <v>-9.8765432098765427E-2</v>
      </c>
      <c r="EN133" s="2623">
        <f t="shared" si="351"/>
        <v>-0.27777777777777779</v>
      </c>
      <c r="EO133" s="2623">
        <f t="shared" ref="EO133" si="352">IF(EO118*EJ118&gt;0,(EO118-EJ118)/ABS(EJ118),"NA")</f>
        <v>-0.33149069371892342</v>
      </c>
      <c r="EP133" s="4939">
        <f>IF(EP118*EK118&gt;0,(EP118-EK118)/ABS(EK118),"NA")</f>
        <v>-0.22888615536138976</v>
      </c>
      <c r="EQ133" s="2623">
        <f t="shared" ref="EQ133" si="353">IF(EQ118*EL118&gt;0,(EQ118-EL118)/ABS(EL118),"NA")</f>
        <v>-6.2879793090076797E-2</v>
      </c>
      <c r="ER133" s="2623">
        <f t="shared" ref="ER133" si="354">IF(ER118*EM118&gt;0,(ER118-EM118)/ABS(EM118),"NA")</f>
        <v>-6.0364506655642886E-2</v>
      </c>
      <c r="ES133" s="2623">
        <f t="shared" ref="ES133" si="355">IF(ES118*EN118&gt;0,(ES118-EN118)/ABS(EN118),"NA")</f>
        <v>-1.7966538387631001E-2</v>
      </c>
      <c r="ET133" s="2623">
        <f t="shared" ref="ET133" si="356">IF(ET118*EO118&gt;0,(ET118-EO118)/ABS(EO118),"NA")</f>
        <v>-5.7671762193619632E-3</v>
      </c>
      <c r="EU133" s="4939">
        <f>IF(EU118*EP118&gt;0,(EU118-EP118)/ABS(EP118),"NA")</f>
        <v>-3.4230789390279681E-2</v>
      </c>
      <c r="EV133" s="4939">
        <f>IF(EV118*EU118&gt;0,(EV118-EU118)/ABS(EU118),"NA")</f>
        <v>-1.9299125698429637E-2</v>
      </c>
      <c r="EW133" s="4939">
        <f>IF(EW118*EV118&gt;0,(EW118-EV118)/ABS(EV118),"NA")</f>
        <v>0.27540697630083433</v>
      </c>
      <c r="EX133" s="4939">
        <f>IF(EX118*EW118&gt;0,(EX118-EW118)/ABS(EW118),"NA")</f>
        <v>0.52355592605893064</v>
      </c>
      <c r="EY133" s="4939">
        <f>IF(EY118*EX118&gt;0,(EY118-EX118)/ABS(EX118),"NA")</f>
        <v>0.93282275867586439</v>
      </c>
      <c r="EZ133" s="170"/>
      <c r="FA133" s="1319"/>
      <c r="FB133" s="1319"/>
      <c r="FC133" s="511"/>
    </row>
    <row r="134" spans="1:159" s="4" customFormat="1" ht="11.25" hidden="1" customHeight="1" outlineLevel="1">
      <c r="A134" s="4905" t="str">
        <f>A122</f>
        <v>GAAP Net Income</v>
      </c>
      <c r="B134" s="170"/>
      <c r="C134" s="170"/>
      <c r="D134" s="170"/>
      <c r="E134" s="286"/>
      <c r="F134" s="4858"/>
      <c r="G134" s="170"/>
      <c r="H134" s="170"/>
      <c r="I134" s="170"/>
      <c r="J134" s="286"/>
      <c r="K134" s="4858"/>
      <c r="L134" s="170"/>
      <c r="M134" s="170"/>
      <c r="N134" s="170"/>
      <c r="O134" s="286"/>
      <c r="P134" s="2657"/>
      <c r="Q134" s="2608"/>
      <c r="R134" s="170"/>
      <c r="S134" s="170"/>
      <c r="T134" s="286"/>
      <c r="U134" s="4858"/>
      <c r="V134" s="4859"/>
      <c r="W134" s="170"/>
      <c r="X134" s="170"/>
      <c r="Y134" s="286"/>
      <c r="Z134" s="4858"/>
      <c r="AA134" s="4859"/>
      <c r="AB134" s="170"/>
      <c r="AC134" s="170"/>
      <c r="AD134" s="286"/>
      <c r="AE134" s="4858"/>
      <c r="AF134" s="4859"/>
      <c r="AG134" s="170"/>
      <c r="AH134" s="170"/>
      <c r="AI134" s="286"/>
      <c r="AJ134" s="4858"/>
      <c r="AK134" s="170"/>
      <c r="AL134" s="170"/>
      <c r="AM134" s="170"/>
      <c r="AN134" s="286"/>
      <c r="AO134" s="4858"/>
      <c r="AP134" s="170"/>
      <c r="AQ134" s="170"/>
      <c r="AR134" s="170"/>
      <c r="AS134" s="286"/>
      <c r="AT134" s="4858"/>
      <c r="AU134" s="170"/>
      <c r="AV134" s="170"/>
      <c r="AW134" s="170"/>
      <c r="AX134" s="286"/>
      <c r="AY134" s="4858"/>
      <c r="AZ134" s="170"/>
      <c r="BA134" s="170"/>
      <c r="BB134" s="170"/>
      <c r="BC134" s="170"/>
      <c r="BD134" s="4860"/>
      <c r="BE134" s="4866"/>
      <c r="BF134" s="170"/>
      <c r="BG134" s="170"/>
      <c r="BH134" s="170"/>
      <c r="BI134" s="4860"/>
      <c r="BJ134" s="170"/>
      <c r="BK134" s="170"/>
      <c r="BL134" s="170"/>
      <c r="BM134" s="170"/>
      <c r="BN134" s="4860"/>
      <c r="BO134" s="170"/>
      <c r="BP134" s="170"/>
      <c r="BQ134" s="170"/>
      <c r="BR134" s="286"/>
      <c r="BS134" s="4858"/>
      <c r="BT134" s="170"/>
      <c r="BU134" s="170"/>
      <c r="BV134" s="170"/>
      <c r="BW134" s="170"/>
      <c r="BX134" s="4860"/>
      <c r="BY134" s="170"/>
      <c r="BZ134" s="170"/>
      <c r="CA134" s="170"/>
      <c r="CB134" s="170"/>
      <c r="CC134" s="4860"/>
      <c r="CD134" s="170"/>
      <c r="CE134" s="170"/>
      <c r="CF134" s="170"/>
      <c r="CG134" s="170"/>
      <c r="CH134" s="4860"/>
      <c r="CI134" s="170"/>
      <c r="CJ134" s="170"/>
      <c r="CK134" s="170"/>
      <c r="CL134" s="170"/>
      <c r="CM134" s="4860"/>
      <c r="CN134" s="170"/>
      <c r="CO134" s="170"/>
      <c r="CP134" s="170"/>
      <c r="CQ134" s="170"/>
      <c r="CR134" s="4860"/>
      <c r="CS134" s="170"/>
      <c r="CT134" s="170"/>
      <c r="CU134" s="170"/>
      <c r="CV134" s="170"/>
      <c r="CW134" s="4860"/>
      <c r="CX134" s="170"/>
      <c r="CY134" s="170"/>
      <c r="CZ134" s="170"/>
      <c r="DA134" s="170"/>
      <c r="DB134" s="4860"/>
      <c r="DC134" s="170"/>
      <c r="DD134" s="170"/>
      <c r="DE134" s="170"/>
      <c r="DF134" s="170"/>
      <c r="DG134" s="4939"/>
      <c r="DH134" s="2623"/>
      <c r="DI134" s="2623"/>
      <c r="DJ134" s="2623"/>
      <c r="DK134" s="2623"/>
      <c r="DL134" s="4939" t="str">
        <f>IF(DL122*DG122&gt;0,(DL122-DG122)/ABS(DG122),"NA")</f>
        <v>NA</v>
      </c>
      <c r="DM134" s="2623"/>
      <c r="DN134" s="2623"/>
      <c r="DO134" s="2623"/>
      <c r="DP134" s="2623"/>
      <c r="DQ134" s="4939" t="str">
        <f t="shared" ref="DQ134:DY135" si="357">IF(DQ122*DL122&gt;0,(DQ122-DL122)/ABS(DL122),"NA")</f>
        <v>NA</v>
      </c>
      <c r="DR134" s="2623" t="str">
        <f t="shared" si="357"/>
        <v>NA</v>
      </c>
      <c r="DS134" s="2623">
        <f t="shared" si="357"/>
        <v>2.2234848484848486</v>
      </c>
      <c r="DT134" s="2623">
        <f t="shared" si="357"/>
        <v>-0.48411497730711045</v>
      </c>
      <c r="DU134" s="2623"/>
      <c r="DV134" s="4939">
        <f t="shared" si="357"/>
        <v>9.2386587771203157</v>
      </c>
      <c r="DW134" s="2623" t="str">
        <f t="shared" si="357"/>
        <v>NA</v>
      </c>
      <c r="DX134" s="2623" t="str">
        <f t="shared" si="357"/>
        <v>NA</v>
      </c>
      <c r="DY134" s="2623" t="str">
        <f t="shared" si="357"/>
        <v>NA</v>
      </c>
      <c r="DZ134" s="2623" t="str">
        <f t="shared" ref="DZ134:EN135" si="358">IF(DZ122*DU122&gt;0,(DZ122-DU122)/ABS(DU122),"NA")</f>
        <v>NA</v>
      </c>
      <c r="EA134" s="4939" t="str">
        <f t="shared" si="358"/>
        <v>NA</v>
      </c>
      <c r="EB134" s="2623">
        <f t="shared" si="358"/>
        <v>0.5633971291866029</v>
      </c>
      <c r="EC134" s="2623">
        <f t="shared" si="358"/>
        <v>0.20361635220125787</v>
      </c>
      <c r="ED134" s="2623">
        <f t="shared" si="358"/>
        <v>0.24037403740374039</v>
      </c>
      <c r="EE134" s="2623">
        <f t="shared" si="358"/>
        <v>0.8727775582773607</v>
      </c>
      <c r="EF134" s="4939">
        <f t="shared" si="358"/>
        <v>0.52749211572740984</v>
      </c>
      <c r="EG134" s="2623" t="str">
        <f t="shared" si="358"/>
        <v>NA</v>
      </c>
      <c r="EH134" s="2623">
        <f t="shared" si="358"/>
        <v>-0.69792694965449165</v>
      </c>
      <c r="EI134" s="2623" t="str">
        <f t="shared" si="358"/>
        <v>NA</v>
      </c>
      <c r="EJ134" s="2623">
        <f t="shared" si="358"/>
        <v>-1.6490683229813665</v>
      </c>
      <c r="EK134" s="4939">
        <f t="shared" ref="EK134:EK135" si="359">IF(EK122*EF122&gt;0,(EK122-EF122)/ABS(EF122),"NA")</f>
        <v>0.8514219384793964</v>
      </c>
      <c r="EL134" s="2623">
        <f t="shared" si="358"/>
        <v>5.3993971363978899</v>
      </c>
      <c r="EM134" s="2623">
        <f t="shared" si="358"/>
        <v>0.97499999999999998</v>
      </c>
      <c r="EN134" s="2623">
        <f t="shared" si="358"/>
        <v>11.444141689373296</v>
      </c>
      <c r="EO134" s="2623">
        <f t="shared" ref="EO134:EP135" si="360">IF(EO122*EJ122&gt;0,(EO122-EJ122)/ABS(EJ122),"NA")</f>
        <v>-0.83255577306684181</v>
      </c>
      <c r="EP134" s="4939" t="str">
        <f t="shared" si="360"/>
        <v>NA</v>
      </c>
      <c r="EQ134" s="2623" t="str">
        <f t="shared" ref="EQ134:EQ135" si="361">IF(EQ122*EL122&gt;0,(EQ122-EL122)/ABS(EL122),"NA")</f>
        <v>NA</v>
      </c>
      <c r="ER134" s="2623">
        <f t="shared" ref="ER134:ER135" si="362">IF(ER122*EM122&gt;0,(ER122-EM122)/ABS(EM122),"NA")</f>
        <v>-29.725911053323976</v>
      </c>
      <c r="ES134" s="2623" t="str">
        <f t="shared" ref="ES134:ES135" si="363">IF(ES122*EN122&gt;0,(ES122-EN122)/ABS(EN122),"NA")</f>
        <v>NA</v>
      </c>
      <c r="ET134" s="2623">
        <f t="shared" ref="ET134:EU135" si="364">IF(ET122*EO122&gt;0,(ET122-EO122)/ABS(EO122),"NA")</f>
        <v>-5.7671762193619632E-3</v>
      </c>
      <c r="EU134" s="4939" t="str">
        <f t="shared" si="364"/>
        <v>NA</v>
      </c>
      <c r="EV134" s="4939">
        <f t="shared" ref="EV134:EY134" si="365">IF(EV122*EU122&gt;0,(EV122-EU122)/ABS(EU122),"NA")</f>
        <v>-1.9299125698429637E-2</v>
      </c>
      <c r="EW134" s="4939">
        <f t="shared" si="365"/>
        <v>0.27540697630083433</v>
      </c>
      <c r="EX134" s="4939">
        <f t="shared" si="365"/>
        <v>0.52355592605893064</v>
      </c>
      <c r="EY134" s="4939">
        <f t="shared" si="365"/>
        <v>0.93282275867586439</v>
      </c>
      <c r="EZ134" s="170"/>
      <c r="FA134" s="1319"/>
      <c r="FB134" s="1319"/>
      <c r="FC134" s="511"/>
    </row>
    <row r="135" spans="1:159" s="4" customFormat="1" ht="11.25" hidden="1" customHeight="1" outlineLevel="1">
      <c r="A135" s="4905" t="str">
        <f>A123</f>
        <v>GAAP EPS</v>
      </c>
      <c r="B135" s="170"/>
      <c r="C135" s="170"/>
      <c r="D135" s="170"/>
      <c r="E135" s="286"/>
      <c r="F135" s="4858"/>
      <c r="G135" s="170"/>
      <c r="H135" s="170"/>
      <c r="I135" s="170"/>
      <c r="J135" s="286"/>
      <c r="K135" s="4858"/>
      <c r="L135" s="170"/>
      <c r="M135" s="170"/>
      <c r="N135" s="170"/>
      <c r="O135" s="286"/>
      <c r="P135" s="2657"/>
      <c r="Q135" s="2608"/>
      <c r="R135" s="170"/>
      <c r="S135" s="170"/>
      <c r="T135" s="286"/>
      <c r="U135" s="4858"/>
      <c r="V135" s="4859"/>
      <c r="W135" s="170"/>
      <c r="X135" s="170"/>
      <c r="Y135" s="286"/>
      <c r="Z135" s="4858"/>
      <c r="AA135" s="4859"/>
      <c r="AB135" s="170"/>
      <c r="AC135" s="170"/>
      <c r="AD135" s="286"/>
      <c r="AE135" s="4858"/>
      <c r="AF135" s="4859"/>
      <c r="AG135" s="170"/>
      <c r="AH135" s="170"/>
      <c r="AI135" s="286"/>
      <c r="AJ135" s="4858"/>
      <c r="AK135" s="170"/>
      <c r="AL135" s="170"/>
      <c r="AM135" s="170"/>
      <c r="AN135" s="286"/>
      <c r="AO135" s="4858"/>
      <c r="AP135" s="170"/>
      <c r="AQ135" s="170"/>
      <c r="AR135" s="170"/>
      <c r="AS135" s="286"/>
      <c r="AT135" s="4858"/>
      <c r="AU135" s="170"/>
      <c r="AV135" s="170"/>
      <c r="AW135" s="170"/>
      <c r="AX135" s="286"/>
      <c r="AY135" s="4858"/>
      <c r="AZ135" s="170"/>
      <c r="BA135" s="170"/>
      <c r="BB135" s="170"/>
      <c r="BC135" s="170"/>
      <c r="BD135" s="4860"/>
      <c r="BE135" s="4866"/>
      <c r="BF135" s="170"/>
      <c r="BG135" s="170"/>
      <c r="BH135" s="170"/>
      <c r="BI135" s="4860"/>
      <c r="BJ135" s="170"/>
      <c r="BK135" s="170"/>
      <c r="BL135" s="170"/>
      <c r="BM135" s="170"/>
      <c r="BN135" s="4860"/>
      <c r="BO135" s="170"/>
      <c r="BP135" s="170"/>
      <c r="BQ135" s="170"/>
      <c r="BR135" s="286"/>
      <c r="BS135" s="4858"/>
      <c r="BT135" s="170"/>
      <c r="BU135" s="170"/>
      <c r="BV135" s="170"/>
      <c r="BW135" s="170"/>
      <c r="BX135" s="4860"/>
      <c r="BY135" s="170"/>
      <c r="BZ135" s="170"/>
      <c r="CA135" s="170"/>
      <c r="CB135" s="170"/>
      <c r="CC135" s="4860"/>
      <c r="CD135" s="170"/>
      <c r="CE135" s="170"/>
      <c r="CF135" s="170"/>
      <c r="CG135" s="170"/>
      <c r="CH135" s="4860"/>
      <c r="CI135" s="170"/>
      <c r="CJ135" s="170"/>
      <c r="CK135" s="170"/>
      <c r="CL135" s="170"/>
      <c r="CM135" s="4860"/>
      <c r="CN135" s="170"/>
      <c r="CO135" s="170"/>
      <c r="CP135" s="170"/>
      <c r="CQ135" s="170"/>
      <c r="CR135" s="4860"/>
      <c r="CS135" s="170"/>
      <c r="CT135" s="170"/>
      <c r="CU135" s="170"/>
      <c r="CV135" s="170"/>
      <c r="CW135" s="4860"/>
      <c r="CX135" s="170"/>
      <c r="CY135" s="170"/>
      <c r="CZ135" s="170"/>
      <c r="DA135" s="170"/>
      <c r="DB135" s="4860"/>
      <c r="DC135" s="170"/>
      <c r="DD135" s="170"/>
      <c r="DE135" s="170"/>
      <c r="DF135" s="170"/>
      <c r="DG135" s="4863"/>
      <c r="DH135" s="4865"/>
      <c r="DI135" s="4865"/>
      <c r="DJ135" s="4865"/>
      <c r="DK135" s="4865"/>
      <c r="DL135" s="4939" t="str">
        <f>IF(DL123*DG123&gt;0,(DL123-DG123)/ABS(DG123),"NA")</f>
        <v>NA</v>
      </c>
      <c r="DM135" s="2623"/>
      <c r="DN135" s="2623"/>
      <c r="DO135" s="2623"/>
      <c r="DP135" s="2623"/>
      <c r="DQ135" s="4939" t="str">
        <f t="shared" si="357"/>
        <v>NA</v>
      </c>
      <c r="DR135" s="2623" t="str">
        <f t="shared" si="357"/>
        <v>NA</v>
      </c>
      <c r="DS135" s="2623">
        <f t="shared" si="357"/>
        <v>2.2586408929587103</v>
      </c>
      <c r="DT135" s="2623">
        <f t="shared" si="357"/>
        <v>-0.47699878540153196</v>
      </c>
      <c r="DU135" s="2623"/>
      <c r="DV135" s="4939">
        <f t="shared" si="357"/>
        <v>9.3799840301660247</v>
      </c>
      <c r="DW135" s="2623" t="str">
        <f t="shared" si="357"/>
        <v>NA</v>
      </c>
      <c r="DX135" s="2623" t="str">
        <f t="shared" si="357"/>
        <v>NA</v>
      </c>
      <c r="DY135" s="2623" t="str">
        <f t="shared" si="357"/>
        <v>NA</v>
      </c>
      <c r="DZ135" s="2623" t="str">
        <f t="shared" si="358"/>
        <v>NA</v>
      </c>
      <c r="EA135" s="4939" t="str">
        <f t="shared" si="358"/>
        <v>NA</v>
      </c>
      <c r="EB135" s="2623">
        <f t="shared" si="358"/>
        <v>0.54541888323426024</v>
      </c>
      <c r="EC135" s="2623">
        <f t="shared" si="358"/>
        <v>0.17397969968602731</v>
      </c>
      <c r="ED135" s="2623">
        <f t="shared" si="358"/>
        <v>0.2163814404439815</v>
      </c>
      <c r="EE135" s="2623">
        <f t="shared" si="358"/>
        <v>0.86929463950301455</v>
      </c>
      <c r="EF135" s="4939">
        <f t="shared" si="358"/>
        <v>0.51125106748626914</v>
      </c>
      <c r="EG135" s="2623" t="str">
        <f t="shared" si="358"/>
        <v>NA</v>
      </c>
      <c r="EH135" s="2623">
        <f t="shared" si="358"/>
        <v>-0.73448095921488032</v>
      </c>
      <c r="EI135" s="2623" t="str">
        <f t="shared" si="358"/>
        <v>NA</v>
      </c>
      <c r="EJ135" s="2623">
        <f t="shared" si="358"/>
        <v>-1.7035600102211841</v>
      </c>
      <c r="EK135" s="4939">
        <f t="shared" si="359"/>
        <v>0.84815130529884286</v>
      </c>
      <c r="EL135" s="2623">
        <f t="shared" si="358"/>
        <v>5.5222722258283596</v>
      </c>
      <c r="EM135" s="2623">
        <f t="shared" si="358"/>
        <v>0.97439129365469757</v>
      </c>
      <c r="EN135" s="2623">
        <f t="shared" si="358"/>
        <v>11.664410033625089</v>
      </c>
      <c r="EO135" s="2623">
        <f t="shared" si="360"/>
        <v>-0.85349864660964281</v>
      </c>
      <c r="EP135" s="4939" t="str">
        <f t="shared" si="360"/>
        <v>NA</v>
      </c>
      <c r="EQ135" s="2623" t="str">
        <f t="shared" si="361"/>
        <v>NA</v>
      </c>
      <c r="ER135" s="2623">
        <f t="shared" si="362"/>
        <v>-29.688621204387431</v>
      </c>
      <c r="ES135" s="2623" t="str">
        <f t="shared" si="363"/>
        <v>NA</v>
      </c>
      <c r="ET135" s="2623">
        <f t="shared" si="364"/>
        <v>-5.0492178239190406E-3</v>
      </c>
      <c r="EU135" s="4939" t="str">
        <f t="shared" si="364"/>
        <v>NA</v>
      </c>
      <c r="EV135" s="4939">
        <f ca="1">IF(EV123*EU123&gt;0,(EV123-EU123)/ABS(EU123),"NA")</f>
        <v>-2.7463489152128651E-2</v>
      </c>
      <c r="EW135" s="4939">
        <f ca="1">IF(EW123*EV123&gt;0,(EW123-EV123)/ABS(EV123),"NA")</f>
        <v>0.26899473534001289</v>
      </c>
      <c r="EX135" s="4939">
        <f ca="1">IF(EX123*EW123&gt;0,(EX123-EW123)/ABS(EW123),"NA")</f>
        <v>0.51877922449956171</v>
      </c>
      <c r="EY135" s="4939">
        <f ca="1">IF(EY123*EX123&gt;0,(EY123-EX123)/ABS(EX123),"NA")</f>
        <v>0.93207052174604266</v>
      </c>
      <c r="EZ135" s="170"/>
      <c r="FA135" s="1319"/>
      <c r="FB135" s="1319"/>
      <c r="FC135" s="511"/>
    </row>
    <row r="136" spans="1:159" s="4" customFormat="1" ht="11.25" hidden="1" customHeight="1" outlineLevel="1">
      <c r="A136" s="4964" t="str">
        <f>A125</f>
        <v>D&amp;A</v>
      </c>
      <c r="B136" s="4965"/>
      <c r="C136" s="4965"/>
      <c r="D136" s="4965"/>
      <c r="E136" s="4966"/>
      <c r="F136" s="4967"/>
      <c r="G136" s="4965"/>
      <c r="H136" s="4965"/>
      <c r="I136" s="4965"/>
      <c r="J136" s="4966"/>
      <c r="K136" s="4967"/>
      <c r="L136" s="4965"/>
      <c r="M136" s="4965"/>
      <c r="N136" s="4965"/>
      <c r="O136" s="4966"/>
      <c r="P136" s="4968"/>
      <c r="Q136" s="4969"/>
      <c r="R136" s="4965"/>
      <c r="S136" s="4965"/>
      <c r="T136" s="4966"/>
      <c r="U136" s="4967"/>
      <c r="V136" s="4970"/>
      <c r="W136" s="4965"/>
      <c r="X136" s="4965"/>
      <c r="Y136" s="4966"/>
      <c r="Z136" s="4967"/>
      <c r="AA136" s="4970"/>
      <c r="AB136" s="4965"/>
      <c r="AC136" s="4965"/>
      <c r="AD136" s="4966"/>
      <c r="AE136" s="4967"/>
      <c r="AF136" s="4970"/>
      <c r="AG136" s="4965"/>
      <c r="AH136" s="4965"/>
      <c r="AI136" s="4966"/>
      <c r="AJ136" s="4967"/>
      <c r="AK136" s="4965"/>
      <c r="AL136" s="4965"/>
      <c r="AM136" s="4965"/>
      <c r="AN136" s="4966"/>
      <c r="AO136" s="4967"/>
      <c r="AP136" s="4965"/>
      <c r="AQ136" s="4965"/>
      <c r="AR136" s="4965"/>
      <c r="AS136" s="4966"/>
      <c r="AT136" s="4967"/>
      <c r="AU136" s="4965"/>
      <c r="AV136" s="4965"/>
      <c r="AW136" s="4965"/>
      <c r="AX136" s="4966"/>
      <c r="AY136" s="4967"/>
      <c r="AZ136" s="4965"/>
      <c r="BA136" s="4965"/>
      <c r="BB136" s="4965"/>
      <c r="BC136" s="4965"/>
      <c r="BD136" s="4971"/>
      <c r="BE136" s="4972"/>
      <c r="BF136" s="4965"/>
      <c r="BG136" s="4965"/>
      <c r="BH136" s="4965"/>
      <c r="BI136" s="4971"/>
      <c r="BJ136" s="4965"/>
      <c r="BK136" s="4965"/>
      <c r="BL136" s="4965"/>
      <c r="BM136" s="4965"/>
      <c r="BN136" s="4971"/>
      <c r="BO136" s="4965"/>
      <c r="BP136" s="4965"/>
      <c r="BQ136" s="4965"/>
      <c r="BR136" s="4966"/>
      <c r="BS136" s="4967"/>
      <c r="BT136" s="4965"/>
      <c r="BU136" s="4965"/>
      <c r="BV136" s="4965"/>
      <c r="BW136" s="4965"/>
      <c r="BX136" s="4971"/>
      <c r="BY136" s="4965"/>
      <c r="BZ136" s="4965"/>
      <c r="CA136" s="4965"/>
      <c r="CB136" s="4965"/>
      <c r="CC136" s="4971"/>
      <c r="CD136" s="4965"/>
      <c r="CE136" s="4965"/>
      <c r="CF136" s="4965"/>
      <c r="CG136" s="4965"/>
      <c r="CH136" s="4971"/>
      <c r="CI136" s="4965"/>
      <c r="CJ136" s="4965"/>
      <c r="CK136" s="4965"/>
      <c r="CL136" s="4965"/>
      <c r="CM136" s="4971"/>
      <c r="CN136" s="4965"/>
      <c r="CO136" s="4965"/>
      <c r="CP136" s="4965"/>
      <c r="CQ136" s="4965"/>
      <c r="CR136" s="4971"/>
      <c r="CS136" s="4965"/>
      <c r="CT136" s="4965"/>
      <c r="CU136" s="4965"/>
      <c r="CV136" s="4965"/>
      <c r="CW136" s="4971"/>
      <c r="CX136" s="4965"/>
      <c r="CY136" s="4965"/>
      <c r="CZ136" s="4965"/>
      <c r="DA136" s="4965"/>
      <c r="DB136" s="4971"/>
      <c r="DC136" s="4965"/>
      <c r="DD136" s="4965"/>
      <c r="DE136" s="4965"/>
      <c r="DF136" s="4965"/>
      <c r="DG136" s="4973"/>
      <c r="DH136" s="4974"/>
      <c r="DI136" s="4974"/>
      <c r="DJ136" s="4974"/>
      <c r="DK136" s="4974"/>
      <c r="DL136" s="4975">
        <f>DL125/DG125-1</f>
        <v>0.73088685015290511</v>
      </c>
      <c r="DM136" s="4976"/>
      <c r="DN136" s="4976"/>
      <c r="DO136" s="4976"/>
      <c r="DP136" s="4976"/>
      <c r="DQ136" s="4975">
        <f>DQ125/DL125-1</f>
        <v>-0.33402120141342762</v>
      </c>
      <c r="DR136" s="4976"/>
      <c r="DS136" s="4976"/>
      <c r="DT136" s="4976"/>
      <c r="DU136" s="4976"/>
      <c r="DV136" s="4975">
        <f>DV125/DQ125-1</f>
        <v>1.4248800882886492E-2</v>
      </c>
      <c r="DW136" s="4976"/>
      <c r="DX136" s="4976"/>
      <c r="DY136" s="4976"/>
      <c r="DZ136" s="4976"/>
      <c r="EA136" s="4975">
        <f>EA125/DV125-1</f>
        <v>5.2611066790506644E-3</v>
      </c>
      <c r="EB136" s="4976"/>
      <c r="EC136" s="4976"/>
      <c r="ED136" s="4976"/>
      <c r="EE136" s="4976"/>
      <c r="EF136" s="4975">
        <f>EF125/EA125-1</f>
        <v>-5.6234492348174236E-2</v>
      </c>
      <c r="EG136" s="4976"/>
      <c r="EH136" s="4976"/>
      <c r="EI136" s="4976"/>
      <c r="EJ136" s="4976"/>
      <c r="EK136" s="4975">
        <f>EK125/EF125-1</f>
        <v>0.1360190122245124</v>
      </c>
      <c r="EL136" s="4976"/>
      <c r="EM136" s="4976"/>
      <c r="EN136" s="4976"/>
      <c r="EO136" s="4976"/>
      <c r="EP136" s="4975">
        <f>EP125/EK125-1</f>
        <v>0.12962791421606146</v>
      </c>
      <c r="EQ136" s="4976"/>
      <c r="ER136" s="4976"/>
      <c r="ES136" s="4976"/>
      <c r="ET136" s="4976"/>
      <c r="EU136" s="4975">
        <f>EU125/EP125-1</f>
        <v>5.1566431263693424E-2</v>
      </c>
      <c r="EV136" s="4975">
        <f t="shared" ref="EV136:EY137" si="366">EV125/EU125-1</f>
        <v>8.1765335993073895E-2</v>
      </c>
      <c r="EW136" s="4975">
        <f t="shared" si="366"/>
        <v>4.447274835154813E-2</v>
      </c>
      <c r="EX136" s="4975">
        <f t="shared" si="366"/>
        <v>4.2392393911569126E-2</v>
      </c>
      <c r="EY136" s="4975">
        <f t="shared" si="366"/>
        <v>8.7222215993179031E-3</v>
      </c>
      <c r="EZ136" s="170"/>
      <c r="FA136" s="1319"/>
      <c r="FB136" s="1319"/>
      <c r="FC136" s="511"/>
    </row>
    <row r="137" spans="1:159" s="4" customFormat="1" ht="11.25" hidden="1" customHeight="1" outlineLevel="1">
      <c r="A137" s="4964" t="str">
        <f>A126</f>
        <v>SBC</v>
      </c>
      <c r="B137" s="4965"/>
      <c r="C137" s="4965"/>
      <c r="D137" s="4965"/>
      <c r="E137" s="4966"/>
      <c r="F137" s="4967"/>
      <c r="G137" s="4965"/>
      <c r="H137" s="4965"/>
      <c r="I137" s="4965"/>
      <c r="J137" s="4966"/>
      <c r="K137" s="4967"/>
      <c r="L137" s="4965"/>
      <c r="M137" s="4965"/>
      <c r="N137" s="4965"/>
      <c r="O137" s="4966"/>
      <c r="P137" s="4968"/>
      <c r="Q137" s="4969"/>
      <c r="R137" s="4965"/>
      <c r="S137" s="4965"/>
      <c r="T137" s="4966"/>
      <c r="U137" s="4967"/>
      <c r="V137" s="4970"/>
      <c r="W137" s="4965"/>
      <c r="X137" s="4965"/>
      <c r="Y137" s="4966"/>
      <c r="Z137" s="4967"/>
      <c r="AA137" s="4970"/>
      <c r="AB137" s="4965"/>
      <c r="AC137" s="4965"/>
      <c r="AD137" s="4966"/>
      <c r="AE137" s="4967"/>
      <c r="AF137" s="4970"/>
      <c r="AG137" s="4965"/>
      <c r="AH137" s="4965"/>
      <c r="AI137" s="4966"/>
      <c r="AJ137" s="4967"/>
      <c r="AK137" s="4965"/>
      <c r="AL137" s="4965"/>
      <c r="AM137" s="4965"/>
      <c r="AN137" s="4966"/>
      <c r="AO137" s="4967"/>
      <c r="AP137" s="4965"/>
      <c r="AQ137" s="4965"/>
      <c r="AR137" s="4965"/>
      <c r="AS137" s="4966"/>
      <c r="AT137" s="4967"/>
      <c r="AU137" s="4965"/>
      <c r="AV137" s="4965"/>
      <c r="AW137" s="4965"/>
      <c r="AX137" s="4966"/>
      <c r="AY137" s="4967"/>
      <c r="AZ137" s="4965"/>
      <c r="BA137" s="4965"/>
      <c r="BB137" s="4965"/>
      <c r="BC137" s="4965"/>
      <c r="BD137" s="4971"/>
      <c r="BE137" s="4972"/>
      <c r="BF137" s="4965"/>
      <c r="BG137" s="4965"/>
      <c r="BH137" s="4965"/>
      <c r="BI137" s="4971"/>
      <c r="BJ137" s="4965"/>
      <c r="BK137" s="4965"/>
      <c r="BL137" s="4965"/>
      <c r="BM137" s="4965"/>
      <c r="BN137" s="4971"/>
      <c r="BO137" s="4965"/>
      <c r="BP137" s="4965"/>
      <c r="BQ137" s="4965"/>
      <c r="BR137" s="4966"/>
      <c r="BS137" s="4967"/>
      <c r="BT137" s="4965"/>
      <c r="BU137" s="4965"/>
      <c r="BV137" s="4965"/>
      <c r="BW137" s="4965"/>
      <c r="BX137" s="4971"/>
      <c r="BY137" s="4965"/>
      <c r="BZ137" s="4965"/>
      <c r="CA137" s="4965"/>
      <c r="CB137" s="4965"/>
      <c r="CC137" s="4971"/>
      <c r="CD137" s="4965"/>
      <c r="CE137" s="4965"/>
      <c r="CF137" s="4965"/>
      <c r="CG137" s="4965"/>
      <c r="CH137" s="4971"/>
      <c r="CI137" s="4965"/>
      <c r="CJ137" s="4965"/>
      <c r="CK137" s="4965"/>
      <c r="CL137" s="4965"/>
      <c r="CM137" s="4971"/>
      <c r="CN137" s="4965"/>
      <c r="CO137" s="4965"/>
      <c r="CP137" s="4965"/>
      <c r="CQ137" s="4965"/>
      <c r="CR137" s="4971"/>
      <c r="CS137" s="4965"/>
      <c r="CT137" s="4965"/>
      <c r="CU137" s="4965"/>
      <c r="CV137" s="4965"/>
      <c r="CW137" s="4971"/>
      <c r="CX137" s="4965"/>
      <c r="CY137" s="4965"/>
      <c r="CZ137" s="4965"/>
      <c r="DA137" s="4965"/>
      <c r="DB137" s="4971"/>
      <c r="DC137" s="4965"/>
      <c r="DD137" s="4965"/>
      <c r="DE137" s="4965"/>
      <c r="DF137" s="4965"/>
      <c r="DG137" s="4973"/>
      <c r="DH137" s="4974"/>
      <c r="DI137" s="4974"/>
      <c r="DJ137" s="4974"/>
      <c r="DK137" s="4974"/>
      <c r="DL137" s="4975">
        <f>DL126/DG126-1</f>
        <v>-3.0674846625766916E-2</v>
      </c>
      <c r="DM137" s="4976"/>
      <c r="DN137" s="4976"/>
      <c r="DO137" s="4976"/>
      <c r="DP137" s="4976"/>
      <c r="DQ137" s="4975">
        <f>DQ126/DL126-1</f>
        <v>0.12324566443843898</v>
      </c>
      <c r="DR137" s="4976"/>
      <c r="DS137" s="4976"/>
      <c r="DT137" s="4976"/>
      <c r="DU137" s="4976"/>
      <c r="DV137" s="4975">
        <f>DV126/DQ126-1</f>
        <v>0.26061748306038068</v>
      </c>
      <c r="DW137" s="4976"/>
      <c r="DX137" s="4976"/>
      <c r="DY137" s="4976"/>
      <c r="DZ137" s="4976"/>
      <c r="EA137" s="4975">
        <f>EA126/DV126-1</f>
        <v>0.22018665744901278</v>
      </c>
      <c r="EB137" s="4976"/>
      <c r="EC137" s="4976"/>
      <c r="ED137" s="4976"/>
      <c r="EE137" s="4976"/>
      <c r="EF137" s="4975">
        <f>EF126/EA126-1</f>
        <v>-4.4816230340918861E-2</v>
      </c>
      <c r="EG137" s="4976"/>
      <c r="EH137" s="4976"/>
      <c r="EI137" s="4976"/>
      <c r="EJ137" s="4976"/>
      <c r="EK137" s="4975">
        <f>EK126/EF126-1</f>
        <v>-4.8182739873440017E-2</v>
      </c>
      <c r="EL137" s="4976"/>
      <c r="EM137" s="4976"/>
      <c r="EN137" s="4976"/>
      <c r="EO137" s="4976"/>
      <c r="EP137" s="4975">
        <f>EP126/EK126-1</f>
        <v>3.8019452708707657E-2</v>
      </c>
      <c r="EQ137" s="4976"/>
      <c r="ER137" s="4976"/>
      <c r="ES137" s="4976"/>
      <c r="ET137" s="4976"/>
      <c r="EU137" s="4975">
        <f>EU126/EP126-1</f>
        <v>1.5549334498380585E-2</v>
      </c>
      <c r="EV137" s="4975">
        <f t="shared" si="366"/>
        <v>6.4680953955736031E-2</v>
      </c>
      <c r="EW137" s="4975">
        <f t="shared" si="366"/>
        <v>5.0684569673806079E-2</v>
      </c>
      <c r="EX137" s="4975">
        <f t="shared" si="366"/>
        <v>7.2602589257166894E-3</v>
      </c>
      <c r="EY137" s="4975">
        <f t="shared" si="366"/>
        <v>8.1530713438748847E-3</v>
      </c>
      <c r="EZ137" s="170"/>
      <c r="FA137" s="1319"/>
      <c r="FB137" s="1319"/>
      <c r="FC137" s="511"/>
    </row>
    <row r="138" spans="1:159" s="4" customFormat="1" ht="11.25" hidden="1" customHeight="1" outlineLevel="1">
      <c r="A138" s="4978" t="str">
        <f>A127</f>
        <v>Adj. EBITDA</v>
      </c>
      <c r="B138" s="4965"/>
      <c r="C138" s="4965"/>
      <c r="D138" s="4965"/>
      <c r="E138" s="4966"/>
      <c r="F138" s="4967"/>
      <c r="G138" s="4965"/>
      <c r="H138" s="4965"/>
      <c r="I138" s="4965"/>
      <c r="J138" s="4966"/>
      <c r="K138" s="4967"/>
      <c r="L138" s="4965"/>
      <c r="M138" s="4965"/>
      <c r="N138" s="4965"/>
      <c r="O138" s="4966"/>
      <c r="P138" s="4968"/>
      <c r="Q138" s="4969"/>
      <c r="R138" s="4965"/>
      <c r="S138" s="4965"/>
      <c r="T138" s="4966"/>
      <c r="U138" s="4967"/>
      <c r="V138" s="4970"/>
      <c r="W138" s="4965"/>
      <c r="X138" s="4965"/>
      <c r="Y138" s="4966"/>
      <c r="Z138" s="4967"/>
      <c r="AA138" s="4970"/>
      <c r="AB138" s="4965"/>
      <c r="AC138" s="4965"/>
      <c r="AD138" s="4966"/>
      <c r="AE138" s="4967"/>
      <c r="AF138" s="4970"/>
      <c r="AG138" s="4965"/>
      <c r="AH138" s="4965"/>
      <c r="AI138" s="4966"/>
      <c r="AJ138" s="4967"/>
      <c r="AK138" s="4965"/>
      <c r="AL138" s="4965"/>
      <c r="AM138" s="4965"/>
      <c r="AN138" s="4966"/>
      <c r="AO138" s="4967"/>
      <c r="AP138" s="4965"/>
      <c r="AQ138" s="4965"/>
      <c r="AR138" s="4965"/>
      <c r="AS138" s="4966"/>
      <c r="AT138" s="4967"/>
      <c r="AU138" s="4965"/>
      <c r="AV138" s="4965"/>
      <c r="AW138" s="4965"/>
      <c r="AX138" s="4966"/>
      <c r="AY138" s="4967"/>
      <c r="AZ138" s="4965"/>
      <c r="BA138" s="4965"/>
      <c r="BB138" s="4965"/>
      <c r="BC138" s="4965"/>
      <c r="BD138" s="4971"/>
      <c r="BE138" s="4972"/>
      <c r="BF138" s="4965"/>
      <c r="BG138" s="4965"/>
      <c r="BH138" s="4965"/>
      <c r="BI138" s="4971"/>
      <c r="BJ138" s="4965"/>
      <c r="BK138" s="4965"/>
      <c r="BL138" s="4965"/>
      <c r="BM138" s="4965"/>
      <c r="BN138" s="4971"/>
      <c r="BO138" s="4965"/>
      <c r="BP138" s="4965"/>
      <c r="BQ138" s="4965"/>
      <c r="BR138" s="4966"/>
      <c r="BS138" s="4967"/>
      <c r="BT138" s="4965"/>
      <c r="BU138" s="4965"/>
      <c r="BV138" s="4965"/>
      <c r="BW138" s="4965"/>
      <c r="BX138" s="4971"/>
      <c r="BY138" s="4965"/>
      <c r="BZ138" s="4965"/>
      <c r="CA138" s="4965"/>
      <c r="CB138" s="4965"/>
      <c r="CC138" s="4971"/>
      <c r="CD138" s="4965"/>
      <c r="CE138" s="4965"/>
      <c r="CF138" s="4965"/>
      <c r="CG138" s="4965"/>
      <c r="CH138" s="4971"/>
      <c r="CI138" s="4965"/>
      <c r="CJ138" s="4965"/>
      <c r="CK138" s="4965"/>
      <c r="CL138" s="4965"/>
      <c r="CM138" s="4971"/>
      <c r="CN138" s="4965"/>
      <c r="CO138" s="4965"/>
      <c r="CP138" s="4965"/>
      <c r="CQ138" s="4965"/>
      <c r="CR138" s="4971"/>
      <c r="CS138" s="4965"/>
      <c r="CT138" s="4965"/>
      <c r="CU138" s="4965"/>
      <c r="CV138" s="4965"/>
      <c r="CW138" s="4971"/>
      <c r="CX138" s="4965"/>
      <c r="CY138" s="4965"/>
      <c r="CZ138" s="4965"/>
      <c r="DA138" s="4965"/>
      <c r="DB138" s="4971"/>
      <c r="DC138" s="4965"/>
      <c r="DD138" s="4965"/>
      <c r="DE138" s="4965"/>
      <c r="DF138" s="4965"/>
      <c r="DG138" s="4973"/>
      <c r="DH138" s="4974"/>
      <c r="DI138" s="4974"/>
      <c r="DJ138" s="4974"/>
      <c r="DK138" s="4974"/>
      <c r="DL138" s="4975">
        <f>IF(DL126*DG126&gt;0,(DL126-DG126)/ABS(DG126),"NA")</f>
        <v>-3.0674846625766871E-2</v>
      </c>
      <c r="DM138" s="4976"/>
      <c r="DN138" s="4976"/>
      <c r="DO138" s="4976"/>
      <c r="DP138" s="4976"/>
      <c r="DQ138" s="4975">
        <f>IF(DQ126*DL126&gt;0,(DQ126-DL126)/ABS(DL126),"NA")</f>
        <v>0.12324566443843898</v>
      </c>
      <c r="DR138" s="4976"/>
      <c r="DS138" s="4976"/>
      <c r="DT138" s="4976"/>
      <c r="DU138" s="4976"/>
      <c r="DV138" s="4975">
        <f>IF(DV126*DQ126&gt;0,(DV126-DQ126)/ABS(DQ126),"NA")</f>
        <v>0.26061748306038079</v>
      </c>
      <c r="DW138" s="4976"/>
      <c r="DX138" s="4976"/>
      <c r="DY138" s="4976"/>
      <c r="DZ138" s="4976"/>
      <c r="EA138" s="4975">
        <f>IF(EA126*DV126&gt;0,(EA126-DV126)/ABS(DV126),"NA")</f>
        <v>0.22018665744901286</v>
      </c>
      <c r="EB138" s="4976"/>
      <c r="EC138" s="4976"/>
      <c r="ED138" s="4976"/>
      <c r="EE138" s="4976"/>
      <c r="EF138" s="4975">
        <f>IF(EF126*EA126&gt;0,(EF126-EA126)/ABS(EA126),"NA")</f>
        <v>-4.481623034091891E-2</v>
      </c>
      <c r="EG138" s="4976"/>
      <c r="EH138" s="4976"/>
      <c r="EI138" s="4976"/>
      <c r="EJ138" s="4976"/>
      <c r="EK138" s="4975">
        <f>IF(EK126*EF126&gt;0,(EK126-EF126)/ABS(EF126),"NA")</f>
        <v>-4.8182739873439968E-2</v>
      </c>
      <c r="EL138" s="4976"/>
      <c r="EM138" s="4976"/>
      <c r="EN138" s="4976"/>
      <c r="EO138" s="4976"/>
      <c r="EP138" s="4975">
        <f>IF(EP126*EK126&gt;0,(EP126-EK126)/ABS(EK126),"NA")</f>
        <v>3.8019452708707636E-2</v>
      </c>
      <c r="EQ138" s="4976"/>
      <c r="ER138" s="4976"/>
      <c r="ES138" s="4976"/>
      <c r="ET138" s="4976"/>
      <c r="EU138" s="4975">
        <f>IF(EU126*EP126&gt;0,(EU126-EP126)/ABS(EP126),"NA")</f>
        <v>1.5549334498380484E-2</v>
      </c>
      <c r="EV138" s="4975">
        <f>IF(EV126*EU126&gt;0,(EV126-EU126)/ABS(EU126),"NA")</f>
        <v>6.4680953955736087E-2</v>
      </c>
      <c r="EW138" s="4975">
        <f>IF(EW126*EV126&gt;0,(EW126-EV126)/ABS(EV126),"NA")</f>
        <v>5.0684569673806135E-2</v>
      </c>
      <c r="EX138" s="4975">
        <f>IF(EX126*EW126&gt;0,(EX126-EW126)/ABS(EW126),"NA")</f>
        <v>7.2602589257165871E-3</v>
      </c>
      <c r="EY138" s="4975">
        <f>IF(EY126*EX126&gt;0,(EY126-EX126)/ABS(EX126),"NA")</f>
        <v>8.1530713438748639E-3</v>
      </c>
      <c r="EZ138" s="170"/>
      <c r="FA138" s="1319"/>
      <c r="FB138" s="1319"/>
      <c r="FC138" s="511"/>
    </row>
    <row r="139" spans="1:159" s="4" customFormat="1" ht="11.25" hidden="1" customHeight="1" outlineLevel="1">
      <c r="A139" s="4905"/>
      <c r="B139" s="170"/>
      <c r="C139" s="170"/>
      <c r="D139" s="170"/>
      <c r="E139" s="286"/>
      <c r="F139" s="4858"/>
      <c r="G139" s="170"/>
      <c r="H139" s="170"/>
      <c r="I139" s="170"/>
      <c r="J139" s="286"/>
      <c r="K139" s="4858"/>
      <c r="L139" s="170"/>
      <c r="M139" s="170"/>
      <c r="N139" s="170"/>
      <c r="O139" s="286"/>
      <c r="P139" s="2657"/>
      <c r="Q139" s="2608"/>
      <c r="R139" s="170"/>
      <c r="S139" s="170"/>
      <c r="T139" s="286"/>
      <c r="U139" s="4858"/>
      <c r="V139" s="4859"/>
      <c r="W139" s="170"/>
      <c r="X139" s="170"/>
      <c r="Y139" s="286"/>
      <c r="Z139" s="4858"/>
      <c r="AA139" s="4859"/>
      <c r="AB139" s="170"/>
      <c r="AC139" s="170"/>
      <c r="AD139" s="286"/>
      <c r="AE139" s="4858"/>
      <c r="AF139" s="4859"/>
      <c r="AG139" s="170"/>
      <c r="AH139" s="170"/>
      <c r="AI139" s="286"/>
      <c r="AJ139" s="4858"/>
      <c r="AK139" s="170"/>
      <c r="AL139" s="170"/>
      <c r="AM139" s="170"/>
      <c r="AN139" s="286"/>
      <c r="AO139" s="4858"/>
      <c r="AP139" s="170"/>
      <c r="AQ139" s="170"/>
      <c r="AR139" s="170"/>
      <c r="AS139" s="286"/>
      <c r="AT139" s="4858"/>
      <c r="AU139" s="170"/>
      <c r="AV139" s="170"/>
      <c r="AW139" s="170"/>
      <c r="AX139" s="286"/>
      <c r="AY139" s="4858"/>
      <c r="AZ139" s="170"/>
      <c r="BA139" s="170"/>
      <c r="BB139" s="170"/>
      <c r="BC139" s="170"/>
      <c r="BD139" s="4860"/>
      <c r="BE139" s="4866"/>
      <c r="BF139" s="170"/>
      <c r="BG139" s="170"/>
      <c r="BH139" s="170"/>
      <c r="BI139" s="4860"/>
      <c r="BJ139" s="170"/>
      <c r="BK139" s="170"/>
      <c r="BL139" s="170"/>
      <c r="BM139" s="170"/>
      <c r="BN139" s="4860"/>
      <c r="BO139" s="170"/>
      <c r="BP139" s="170"/>
      <c r="BQ139" s="170"/>
      <c r="BR139" s="286"/>
      <c r="BS139" s="4858"/>
      <c r="BT139" s="170"/>
      <c r="BU139" s="170"/>
      <c r="BV139" s="170"/>
      <c r="BW139" s="170"/>
      <c r="BX139" s="4860"/>
      <c r="BY139" s="170"/>
      <c r="BZ139" s="170"/>
      <c r="CA139" s="170"/>
      <c r="CB139" s="170"/>
      <c r="CC139" s="4860"/>
      <c r="CD139" s="170"/>
      <c r="CE139" s="170"/>
      <c r="CF139" s="170"/>
      <c r="CG139" s="170"/>
      <c r="CH139" s="4860"/>
      <c r="CI139" s="170"/>
      <c r="CJ139" s="170"/>
      <c r="CK139" s="170"/>
      <c r="CL139" s="170"/>
      <c r="CM139" s="4860"/>
      <c r="CN139" s="170"/>
      <c r="CO139" s="170"/>
      <c r="CP139" s="170"/>
      <c r="CQ139" s="170"/>
      <c r="CR139" s="4860"/>
      <c r="CS139" s="170"/>
      <c r="CT139" s="170"/>
      <c r="CU139" s="170"/>
      <c r="CV139" s="170"/>
      <c r="CW139" s="4860"/>
      <c r="CX139" s="170"/>
      <c r="CY139" s="170"/>
      <c r="CZ139" s="170"/>
      <c r="DA139" s="170"/>
      <c r="DB139" s="4860"/>
      <c r="DC139" s="170"/>
      <c r="DD139" s="170"/>
      <c r="DE139" s="170"/>
      <c r="DF139" s="170"/>
      <c r="DG139" s="4863"/>
      <c r="DH139" s="4865"/>
      <c r="DI139" s="4865"/>
      <c r="DJ139" s="4865"/>
      <c r="DK139" s="4865"/>
      <c r="DL139" s="4863"/>
      <c r="DM139" s="4865"/>
      <c r="DN139" s="4865"/>
      <c r="DO139" s="4865"/>
      <c r="DP139" s="4865"/>
      <c r="DQ139" s="4863"/>
      <c r="DR139" s="4865"/>
      <c r="DS139" s="4865"/>
      <c r="DT139" s="4865"/>
      <c r="DU139" s="4865"/>
      <c r="DV139" s="4863"/>
      <c r="DW139" s="4865"/>
      <c r="DX139" s="4865"/>
      <c r="DY139" s="4865"/>
      <c r="DZ139" s="4865"/>
      <c r="EA139" s="4863"/>
      <c r="EB139" s="4865"/>
      <c r="EC139" s="4865"/>
      <c r="ED139" s="4865"/>
      <c r="EE139" s="4865"/>
      <c r="EF139" s="4863"/>
      <c r="EG139" s="4865"/>
      <c r="EH139" s="4865"/>
      <c r="EI139" s="4865"/>
      <c r="EJ139" s="4865"/>
      <c r="EK139" s="4863"/>
      <c r="EL139" s="4865"/>
      <c r="EM139" s="4865"/>
      <c r="EN139" s="4865"/>
      <c r="EO139" s="4865"/>
      <c r="EP139" s="4863"/>
      <c r="EQ139" s="4865"/>
      <c r="ER139" s="4865"/>
      <c r="ES139" s="4865"/>
      <c r="ET139" s="4865"/>
      <c r="EU139" s="4863"/>
      <c r="EV139" s="4863"/>
      <c r="EW139" s="4863"/>
      <c r="EX139" s="4863"/>
      <c r="EY139" s="4863"/>
      <c r="EZ139" s="170"/>
      <c r="FA139" s="1319"/>
      <c r="FB139" s="1319"/>
      <c r="FC139" s="511"/>
    </row>
    <row r="140" spans="1:159" s="4" customFormat="1" ht="11.25" customHeight="1" collapsed="1">
      <c r="A140" s="4916" t="s">
        <v>980</v>
      </c>
      <c r="B140" s="4917"/>
      <c r="C140" s="4917"/>
      <c r="D140" s="4917"/>
      <c r="E140" s="4918"/>
      <c r="F140" s="4919"/>
      <c r="G140" s="4917"/>
      <c r="H140" s="4917"/>
      <c r="I140" s="4917"/>
      <c r="J140" s="4918"/>
      <c r="K140" s="4919"/>
      <c r="L140" s="4917"/>
      <c r="M140" s="4917"/>
      <c r="N140" s="4917"/>
      <c r="O140" s="4918"/>
      <c r="P140" s="4920"/>
      <c r="Q140" s="4921"/>
      <c r="R140" s="4917"/>
      <c r="S140" s="4917"/>
      <c r="T140" s="4918"/>
      <c r="U140" s="4919"/>
      <c r="V140" s="4922"/>
      <c r="W140" s="4917"/>
      <c r="X140" s="4917"/>
      <c r="Y140" s="4918"/>
      <c r="Z140" s="4919"/>
      <c r="AA140" s="4922"/>
      <c r="AB140" s="4917"/>
      <c r="AC140" s="4917"/>
      <c r="AD140" s="4918"/>
      <c r="AE140" s="4919"/>
      <c r="AF140" s="4922"/>
      <c r="AG140" s="4917"/>
      <c r="AH140" s="4917"/>
      <c r="AI140" s="4918"/>
      <c r="AJ140" s="4919"/>
      <c r="AK140" s="4917"/>
      <c r="AL140" s="4917"/>
      <c r="AM140" s="4917"/>
      <c r="AN140" s="4918"/>
      <c r="AO140" s="4919"/>
      <c r="AP140" s="4917"/>
      <c r="AQ140" s="4917"/>
      <c r="AR140" s="4917"/>
      <c r="AS140" s="4918"/>
      <c r="AT140" s="4919"/>
      <c r="AU140" s="4917"/>
      <c r="AV140" s="4917"/>
      <c r="AW140" s="4917"/>
      <c r="AX140" s="4918"/>
      <c r="AY140" s="4919"/>
      <c r="AZ140" s="4917"/>
      <c r="BA140" s="4917"/>
      <c r="BB140" s="4917"/>
      <c r="BC140" s="4917"/>
      <c r="BD140" s="4923"/>
      <c r="BE140" s="4924"/>
      <c r="BF140" s="4917"/>
      <c r="BG140" s="4917"/>
      <c r="BH140" s="4917"/>
      <c r="BI140" s="4923"/>
      <c r="BJ140" s="4917"/>
      <c r="BK140" s="4917"/>
      <c r="BL140" s="4917"/>
      <c r="BM140" s="4917"/>
      <c r="BN140" s="4923"/>
      <c r="BO140" s="4917"/>
      <c r="BP140" s="4917"/>
      <c r="BQ140" s="4917"/>
      <c r="BR140" s="4918"/>
      <c r="BS140" s="4919"/>
      <c r="BT140" s="4917"/>
      <c r="BU140" s="4917"/>
      <c r="BV140" s="4917"/>
      <c r="BW140" s="4917"/>
      <c r="BX140" s="4923"/>
      <c r="BY140" s="4917"/>
      <c r="BZ140" s="4917"/>
      <c r="CA140" s="4917"/>
      <c r="CB140" s="4917"/>
      <c r="CC140" s="4923"/>
      <c r="CD140" s="4917"/>
      <c r="CE140" s="4917"/>
      <c r="CF140" s="4917"/>
      <c r="CG140" s="4917"/>
      <c r="CH140" s="4923"/>
      <c r="CI140" s="4917"/>
      <c r="CJ140" s="4917"/>
      <c r="CK140" s="4917"/>
      <c r="CL140" s="4917"/>
      <c r="CM140" s="4923"/>
      <c r="CN140" s="4917"/>
      <c r="CO140" s="4917"/>
      <c r="CP140" s="4917"/>
      <c r="CQ140" s="4917"/>
      <c r="CR140" s="4923"/>
      <c r="CS140" s="4917"/>
      <c r="CT140" s="4917"/>
      <c r="CU140" s="4917"/>
      <c r="CV140" s="4917"/>
      <c r="CW140" s="4923"/>
      <c r="CX140" s="4917"/>
      <c r="CY140" s="4917"/>
      <c r="CZ140" s="4917"/>
      <c r="DA140" s="4917"/>
      <c r="DB140" s="4923"/>
      <c r="DC140" s="4917"/>
      <c r="DD140" s="4917"/>
      <c r="DE140" s="4917"/>
      <c r="DF140" s="4917"/>
      <c r="DG140" s="4925"/>
      <c r="DH140" s="4926"/>
      <c r="DI140" s="4926"/>
      <c r="DJ140" s="4926"/>
      <c r="DK140" s="4926"/>
      <c r="DL140" s="4925"/>
      <c r="DM140" s="4926"/>
      <c r="DN140" s="4926"/>
      <c r="DO140" s="4926"/>
      <c r="DP140" s="4926"/>
      <c r="DQ140" s="4925"/>
      <c r="DR140" s="4926"/>
      <c r="DS140" s="4926"/>
      <c r="DT140" s="4926"/>
      <c r="DU140" s="4926"/>
      <c r="DV140" s="4925"/>
      <c r="DW140" s="4926"/>
      <c r="DX140" s="4926"/>
      <c r="DY140" s="4926"/>
      <c r="DZ140" s="4926"/>
      <c r="EA140" s="4925"/>
      <c r="EB140" s="4926"/>
      <c r="EC140" s="4926"/>
      <c r="ED140" s="4926"/>
      <c r="EE140" s="4926"/>
      <c r="EF140" s="4925"/>
      <c r="EG140" s="4926"/>
      <c r="EH140" s="4926"/>
      <c r="EI140" s="4926"/>
      <c r="EJ140" s="4926"/>
      <c r="EK140" s="4925"/>
      <c r="EL140" s="4926"/>
      <c r="EM140" s="4926"/>
      <c r="EN140" s="4926"/>
      <c r="EO140" s="4926"/>
      <c r="EP140" s="4925"/>
      <c r="EQ140" s="4926"/>
      <c r="ER140" s="4926"/>
      <c r="ES140" s="4926"/>
      <c r="ET140" s="4926"/>
      <c r="EU140" s="4925"/>
      <c r="EV140" s="4925"/>
      <c r="EW140" s="4925"/>
      <c r="EX140" s="4925"/>
      <c r="EY140" s="4925"/>
      <c r="EZ140" s="170"/>
      <c r="FA140" s="1319"/>
      <c r="FB140" s="1319"/>
      <c r="FC140" s="511"/>
    </row>
    <row r="141" spans="1:159" s="4" customFormat="1" ht="11.25" customHeight="1">
      <c r="A141" s="4905" t="str">
        <f>A116</f>
        <v>GAAP Costs &amp; Opex</v>
      </c>
      <c r="B141" s="170"/>
      <c r="C141" s="170"/>
      <c r="D141" s="170"/>
      <c r="E141" s="286"/>
      <c r="F141" s="4858"/>
      <c r="G141" s="170"/>
      <c r="H141" s="170"/>
      <c r="I141" s="170"/>
      <c r="J141" s="286"/>
      <c r="K141" s="4858"/>
      <c r="L141" s="170"/>
      <c r="M141" s="170"/>
      <c r="N141" s="170"/>
      <c r="O141" s="286"/>
      <c r="P141" s="2657"/>
      <c r="Q141" s="2608"/>
      <c r="R141" s="170"/>
      <c r="S141" s="170"/>
      <c r="T141" s="286"/>
      <c r="U141" s="4858"/>
      <c r="V141" s="4859"/>
      <c r="W141" s="170"/>
      <c r="X141" s="170"/>
      <c r="Y141" s="286"/>
      <c r="Z141" s="4858"/>
      <c r="AA141" s="4859"/>
      <c r="AB141" s="170"/>
      <c r="AC141" s="170"/>
      <c r="AD141" s="286"/>
      <c r="AE141" s="4858"/>
      <c r="AF141" s="4859"/>
      <c r="AG141" s="170"/>
      <c r="AH141" s="170"/>
      <c r="AI141" s="286"/>
      <c r="AJ141" s="4858"/>
      <c r="AK141" s="170"/>
      <c r="AL141" s="170"/>
      <c r="AM141" s="170"/>
      <c r="AN141" s="286"/>
      <c r="AO141" s="4858"/>
      <c r="AP141" s="170"/>
      <c r="AQ141" s="170"/>
      <c r="AR141" s="170"/>
      <c r="AS141" s="286"/>
      <c r="AT141" s="4858"/>
      <c r="AU141" s="170"/>
      <c r="AV141" s="170"/>
      <c r="AW141" s="170"/>
      <c r="AX141" s="286"/>
      <c r="AY141" s="4858"/>
      <c r="AZ141" s="170"/>
      <c r="BA141" s="170"/>
      <c r="BB141" s="170"/>
      <c r="BC141" s="170"/>
      <c r="BD141" s="4860"/>
      <c r="BE141" s="4866"/>
      <c r="BF141" s="170"/>
      <c r="BG141" s="170"/>
      <c r="BH141" s="170"/>
      <c r="BI141" s="4860"/>
      <c r="BJ141" s="170"/>
      <c r="BK141" s="170"/>
      <c r="BL141" s="170"/>
      <c r="BM141" s="170"/>
      <c r="BN141" s="4860"/>
      <c r="BO141" s="170"/>
      <c r="BP141" s="170"/>
      <c r="BQ141" s="170"/>
      <c r="BR141" s="286"/>
      <c r="BS141" s="4858"/>
      <c r="BT141" s="170"/>
      <c r="BU141" s="170"/>
      <c r="BV141" s="170"/>
      <c r="BW141" s="170"/>
      <c r="BX141" s="4860"/>
      <c r="BY141" s="170"/>
      <c r="BZ141" s="170"/>
      <c r="CA141" s="170"/>
      <c r="CB141" s="170"/>
      <c r="CC141" s="4860"/>
      <c r="CD141" s="170"/>
      <c r="CE141" s="170"/>
      <c r="CF141" s="170"/>
      <c r="CG141" s="170"/>
      <c r="CH141" s="4860"/>
      <c r="CI141" s="170"/>
      <c r="CJ141" s="170"/>
      <c r="CK141" s="170"/>
      <c r="CL141" s="170"/>
      <c r="CM141" s="4860"/>
      <c r="CN141" s="170"/>
      <c r="CO141" s="170"/>
      <c r="CP141" s="170"/>
      <c r="CQ141" s="170"/>
      <c r="CR141" s="2957"/>
      <c r="CS141" s="2618"/>
      <c r="CT141" s="2618"/>
      <c r="CU141" s="2618"/>
      <c r="CV141" s="2618"/>
      <c r="CW141" s="2957"/>
      <c r="CX141" s="2618"/>
      <c r="CY141" s="2618"/>
      <c r="CZ141" s="2618"/>
      <c r="DA141" s="2618"/>
      <c r="DB141" s="2957"/>
      <c r="DC141" s="2618"/>
      <c r="DD141" s="2618"/>
      <c r="DE141" s="2618"/>
      <c r="DF141" s="2618"/>
      <c r="DG141" s="2957">
        <f>DG116/DG$115</f>
        <v>6.643697478991597</v>
      </c>
      <c r="DH141" s="2618"/>
      <c r="DI141" s="2618"/>
      <c r="DJ141" s="2618"/>
      <c r="DK141" s="2618">
        <f t="shared" ref="DK141:DV141" si="367">DK116/DK$115</f>
        <v>12.779069767441861</v>
      </c>
      <c r="DL141" s="2957">
        <f t="shared" si="367"/>
        <v>8.3201820940819431</v>
      </c>
      <c r="DM141" s="2618">
        <f t="shared" si="367"/>
        <v>9.3037037037037038</v>
      </c>
      <c r="DN141" s="2618">
        <f t="shared" si="367"/>
        <v>8.5405405405405403</v>
      </c>
      <c r="DO141" s="2618">
        <f t="shared" si="367"/>
        <v>7.1966292134831464</v>
      </c>
      <c r="DP141" s="2618">
        <f t="shared" si="367"/>
        <v>6.795918367346939</v>
      </c>
      <c r="DQ141" s="2957">
        <f t="shared" si="367"/>
        <v>7.8127853881278542</v>
      </c>
      <c r="DR141" s="2618">
        <f t="shared" si="367"/>
        <v>6.7828282828282829</v>
      </c>
      <c r="DS141" s="2618">
        <f t="shared" si="367"/>
        <v>8.28125</v>
      </c>
      <c r="DT141" s="2618">
        <f t="shared" si="367"/>
        <v>8.0769230769230766</v>
      </c>
      <c r="DU141" s="2618">
        <f t="shared" si="367"/>
        <v>9.0110497237569067</v>
      </c>
      <c r="DV141" s="2957">
        <f t="shared" si="367"/>
        <v>8.0132802124833997</v>
      </c>
      <c r="DW141" s="2618">
        <f t="shared" ref="DW141:EF141" si="368">DW116/DW$115</f>
        <v>2.8977272727272729</v>
      </c>
      <c r="DX141" s="2618">
        <f t="shared" si="368"/>
        <v>7.937823834196891</v>
      </c>
      <c r="DY141" s="2618">
        <f t="shared" si="368"/>
        <v>6.8612440191387556</v>
      </c>
      <c r="DZ141" s="2618">
        <f t="shared" si="368"/>
        <v>6.4734513274336285</v>
      </c>
      <c r="EA141" s="2957">
        <f t="shared" si="368"/>
        <v>5.3408239700374533</v>
      </c>
      <c r="EB141" s="2618">
        <f t="shared" si="368"/>
        <v>5.2534722222222223</v>
      </c>
      <c r="EC141" s="2618">
        <f>EC116/EC$115</f>
        <v>3.8526315789473684</v>
      </c>
      <c r="ED141" s="2618">
        <f>ED116/ED$115</f>
        <v>5.0202020202020199</v>
      </c>
      <c r="EE141" s="2618">
        <f t="shared" ref="EE141" si="369">EE116/EE$115</f>
        <v>2.3135464231354641</v>
      </c>
      <c r="EF141" s="2957">
        <f t="shared" si="368"/>
        <v>3.6817288801571708</v>
      </c>
      <c r="EG141" s="2618">
        <f t="shared" ref="EG141" si="370">EG116/EG$115</f>
        <v>3.0606060606060606</v>
      </c>
      <c r="EH141" s="2618">
        <f>EH116/EH$115</f>
        <v>4.1068493150684935</v>
      </c>
      <c r="EI141" s="2618">
        <f>EI116/EI$115</f>
        <v>3.8762886597938144</v>
      </c>
      <c r="EJ141" s="2618">
        <f t="shared" ref="EJ141" si="371">EJ116/EJ$115</f>
        <v>3.9350000000000001</v>
      </c>
      <c r="EK141" s="2957">
        <f t="shared" ref="EK141:EW141" si="372">EK116/EK$115</f>
        <v>3.6966019417475726</v>
      </c>
      <c r="EL141" s="2618">
        <f t="shared" si="372"/>
        <v>3.7244444444444444</v>
      </c>
      <c r="EM141" s="2618">
        <f>EM116/EM$115</f>
        <v>4.3404825737265416</v>
      </c>
      <c r="EN141" s="2618">
        <f>EN116/EN$115</f>
        <v>5.1453488372093021</v>
      </c>
      <c r="EO141" s="2618">
        <f t="shared" ref="EO141:EP141" si="373">EO116/EO$115</f>
        <v>5.2940693745733434</v>
      </c>
      <c r="EP141" s="2957">
        <f t="shared" si="373"/>
        <v>4.5669908979092169</v>
      </c>
      <c r="EQ141" s="2618">
        <f t="shared" ref="EQ141:EU141" si="374">EQ116/EQ$115</f>
        <v>4.3440790470125945</v>
      </c>
      <c r="ER141" s="2618">
        <f t="shared" si="374"/>
        <v>4.1934366909971592</v>
      </c>
      <c r="ES141" s="2618">
        <f t="shared" si="374"/>
        <v>4.3513340361143351</v>
      </c>
      <c r="ET141" s="2618">
        <f t="shared" si="374"/>
        <v>4.4959259940722962</v>
      </c>
      <c r="EU141" s="2957">
        <f t="shared" si="374"/>
        <v>4.3494791514999873</v>
      </c>
      <c r="EV141" s="2957">
        <f t="shared" si="372"/>
        <v>4.0360632648854562</v>
      </c>
      <c r="EW141" s="2957">
        <f t="shared" si="372"/>
        <v>2.911308320244999</v>
      </c>
      <c r="EX141" s="2957">
        <f t="shared" ref="EX141:EY141" si="375">EX116/EX$115</f>
        <v>1.7644056287082341</v>
      </c>
      <c r="EY141" s="2957">
        <f t="shared" si="375"/>
        <v>1.0416029896489054</v>
      </c>
      <c r="EZ141" s="170"/>
      <c r="FA141" s="1319"/>
      <c r="FB141" s="1319"/>
      <c r="FC141" s="511"/>
    </row>
    <row r="142" spans="1:159" s="4" customFormat="1" ht="11.25" hidden="1" customHeight="1" outlineLevel="1">
      <c r="A142" s="4905"/>
      <c r="B142" s="170"/>
      <c r="C142" s="170"/>
      <c r="D142" s="170"/>
      <c r="E142" s="286"/>
      <c r="F142" s="4858"/>
      <c r="G142" s="170"/>
      <c r="H142" s="170"/>
      <c r="I142" s="170"/>
      <c r="J142" s="286"/>
      <c r="K142" s="4858"/>
      <c r="L142" s="170"/>
      <c r="M142" s="170"/>
      <c r="N142" s="170"/>
      <c r="O142" s="286"/>
      <c r="P142" s="2657"/>
      <c r="Q142" s="2608"/>
      <c r="R142" s="170"/>
      <c r="S142" s="170"/>
      <c r="T142" s="286"/>
      <c r="U142" s="4858"/>
      <c r="V142" s="4859"/>
      <c r="W142" s="170"/>
      <c r="X142" s="170"/>
      <c r="Y142" s="286"/>
      <c r="Z142" s="4858"/>
      <c r="AA142" s="4859"/>
      <c r="AB142" s="170"/>
      <c r="AC142" s="170"/>
      <c r="AD142" s="286"/>
      <c r="AE142" s="4858"/>
      <c r="AF142" s="4859"/>
      <c r="AG142" s="170"/>
      <c r="AH142" s="170"/>
      <c r="AI142" s="286"/>
      <c r="AJ142" s="4858"/>
      <c r="AK142" s="170"/>
      <c r="AL142" s="170"/>
      <c r="AM142" s="170"/>
      <c r="AN142" s="286"/>
      <c r="AO142" s="4858"/>
      <c r="AP142" s="170"/>
      <c r="AQ142" s="170"/>
      <c r="AR142" s="170"/>
      <c r="AS142" s="286"/>
      <c r="AT142" s="4858"/>
      <c r="AU142" s="170"/>
      <c r="AV142" s="170"/>
      <c r="AW142" s="170"/>
      <c r="AX142" s="286"/>
      <c r="AY142" s="4858"/>
      <c r="AZ142" s="170"/>
      <c r="BA142" s="170"/>
      <c r="BB142" s="170"/>
      <c r="BC142" s="170"/>
      <c r="BD142" s="4860"/>
      <c r="BE142" s="4866"/>
      <c r="BF142" s="170"/>
      <c r="BG142" s="170"/>
      <c r="BH142" s="170"/>
      <c r="BI142" s="4860"/>
      <c r="BJ142" s="170"/>
      <c r="BK142" s="170"/>
      <c r="BL142" s="170"/>
      <c r="BM142" s="170"/>
      <c r="BN142" s="4860"/>
      <c r="BO142" s="170"/>
      <c r="BP142" s="170"/>
      <c r="BQ142" s="170"/>
      <c r="BR142" s="286"/>
      <c r="BS142" s="4858"/>
      <c r="BT142" s="170"/>
      <c r="BU142" s="170"/>
      <c r="BV142" s="170"/>
      <c r="BW142" s="170"/>
      <c r="BX142" s="4860"/>
      <c r="BY142" s="170"/>
      <c r="BZ142" s="170"/>
      <c r="CA142" s="170"/>
      <c r="CB142" s="170"/>
      <c r="CC142" s="4860"/>
      <c r="CD142" s="170"/>
      <c r="CE142" s="170"/>
      <c r="CF142" s="170"/>
      <c r="CG142" s="170"/>
      <c r="CH142" s="4860"/>
      <c r="CI142" s="170"/>
      <c r="CJ142" s="170"/>
      <c r="CK142" s="170"/>
      <c r="CL142" s="170"/>
      <c r="CM142" s="4860"/>
      <c r="CN142" s="170"/>
      <c r="CO142" s="170"/>
      <c r="CP142" s="170"/>
      <c r="CQ142" s="170"/>
      <c r="CR142" s="4860"/>
      <c r="CS142" s="170"/>
      <c r="CT142" s="170"/>
      <c r="CU142" s="170"/>
      <c r="CV142" s="170"/>
      <c r="CW142" s="4860"/>
      <c r="CX142" s="170"/>
      <c r="CY142" s="170"/>
      <c r="CZ142" s="170"/>
      <c r="DA142" s="170"/>
      <c r="DB142" s="4860"/>
      <c r="DC142" s="170"/>
      <c r="DD142" s="170"/>
      <c r="DE142" s="170"/>
      <c r="DF142" s="170"/>
      <c r="DG142" s="4863"/>
      <c r="DH142" s="4865"/>
      <c r="DI142" s="4865"/>
      <c r="DJ142" s="4865"/>
      <c r="DK142" s="4865"/>
      <c r="DL142" s="4863"/>
      <c r="DM142" s="4865"/>
      <c r="DN142" s="4865"/>
      <c r="DO142" s="4865"/>
      <c r="DP142" s="4865"/>
      <c r="DQ142" s="4863"/>
      <c r="DR142" s="4865"/>
      <c r="DS142" s="4865"/>
      <c r="DT142" s="4865"/>
      <c r="DU142" s="4865"/>
      <c r="DV142" s="4863"/>
      <c r="DW142" s="4865"/>
      <c r="DX142" s="4865"/>
      <c r="DY142" s="4865"/>
      <c r="DZ142" s="4865"/>
      <c r="EA142" s="4863"/>
      <c r="EB142" s="4865"/>
      <c r="EC142" s="4865"/>
      <c r="ED142" s="4865"/>
      <c r="EE142" s="4865"/>
      <c r="EF142" s="4863"/>
      <c r="EG142" s="4865"/>
      <c r="EH142" s="4865"/>
      <c r="EI142" s="4865"/>
      <c r="EJ142" s="4865"/>
      <c r="EK142" s="4863"/>
      <c r="EL142" s="4865"/>
      <c r="EM142" s="4865"/>
      <c r="EN142" s="4865"/>
      <c r="EO142" s="4865"/>
      <c r="EP142" s="4863"/>
      <c r="EQ142" s="4865"/>
      <c r="ER142" s="4865"/>
      <c r="ES142" s="4865"/>
      <c r="ET142" s="4865"/>
      <c r="EU142" s="4863"/>
      <c r="EV142" s="4863"/>
      <c r="EW142" s="4863"/>
      <c r="EX142" s="4863"/>
      <c r="EY142" s="4863"/>
      <c r="EZ142" s="170"/>
      <c r="FA142" s="1319"/>
      <c r="FB142" s="1319"/>
      <c r="FC142" s="511"/>
    </row>
    <row r="143" spans="1:159" s="4" customFormat="1" ht="11.25" customHeight="1" collapsed="1">
      <c r="A143" s="4916" t="s">
        <v>901</v>
      </c>
      <c r="B143" s="4917"/>
      <c r="C143" s="4917"/>
      <c r="D143" s="4917"/>
      <c r="E143" s="4918"/>
      <c r="F143" s="4919"/>
      <c r="G143" s="4917"/>
      <c r="H143" s="4917"/>
      <c r="I143" s="4917"/>
      <c r="J143" s="4918"/>
      <c r="K143" s="4919"/>
      <c r="L143" s="4917"/>
      <c r="M143" s="4917"/>
      <c r="N143" s="4917"/>
      <c r="O143" s="4918"/>
      <c r="P143" s="4920"/>
      <c r="Q143" s="4921"/>
      <c r="R143" s="4917"/>
      <c r="S143" s="4917"/>
      <c r="T143" s="4918"/>
      <c r="U143" s="4919"/>
      <c r="V143" s="4922"/>
      <c r="W143" s="4917"/>
      <c r="X143" s="4917"/>
      <c r="Y143" s="4918"/>
      <c r="Z143" s="4919"/>
      <c r="AA143" s="4922"/>
      <c r="AB143" s="4917"/>
      <c r="AC143" s="4917"/>
      <c r="AD143" s="4918"/>
      <c r="AE143" s="4919"/>
      <c r="AF143" s="4922"/>
      <c r="AG143" s="4917"/>
      <c r="AH143" s="4917"/>
      <c r="AI143" s="4918"/>
      <c r="AJ143" s="4919"/>
      <c r="AK143" s="4917"/>
      <c r="AL143" s="4917"/>
      <c r="AM143" s="4917"/>
      <c r="AN143" s="4918"/>
      <c r="AO143" s="4919"/>
      <c r="AP143" s="4917"/>
      <c r="AQ143" s="4917"/>
      <c r="AR143" s="4917"/>
      <c r="AS143" s="4918"/>
      <c r="AT143" s="4919"/>
      <c r="AU143" s="4917"/>
      <c r="AV143" s="4917"/>
      <c r="AW143" s="4917"/>
      <c r="AX143" s="4918"/>
      <c r="AY143" s="4919"/>
      <c r="AZ143" s="4917"/>
      <c r="BA143" s="4917"/>
      <c r="BB143" s="4917"/>
      <c r="BC143" s="4917"/>
      <c r="BD143" s="4923"/>
      <c r="BE143" s="4924"/>
      <c r="BF143" s="4917"/>
      <c r="BG143" s="4917"/>
      <c r="BH143" s="4917"/>
      <c r="BI143" s="4923"/>
      <c r="BJ143" s="4917"/>
      <c r="BK143" s="4917"/>
      <c r="BL143" s="4917"/>
      <c r="BM143" s="4917"/>
      <c r="BN143" s="4923"/>
      <c r="BO143" s="4917"/>
      <c r="BP143" s="4917"/>
      <c r="BQ143" s="4917"/>
      <c r="BR143" s="4918"/>
      <c r="BS143" s="4919"/>
      <c r="BT143" s="4917"/>
      <c r="BU143" s="4917"/>
      <c r="BV143" s="4917"/>
      <c r="BW143" s="4917"/>
      <c r="BX143" s="4923"/>
      <c r="BY143" s="4917"/>
      <c r="BZ143" s="4917"/>
      <c r="CA143" s="4917"/>
      <c r="CB143" s="4917"/>
      <c r="CC143" s="4923"/>
      <c r="CD143" s="4917"/>
      <c r="CE143" s="4917"/>
      <c r="CF143" s="4917"/>
      <c r="CG143" s="4917"/>
      <c r="CH143" s="4923"/>
      <c r="CI143" s="4917"/>
      <c r="CJ143" s="4917"/>
      <c r="CK143" s="4917"/>
      <c r="CL143" s="4917"/>
      <c r="CM143" s="4923"/>
      <c r="CN143" s="4917"/>
      <c r="CO143" s="4917"/>
      <c r="CP143" s="4917"/>
      <c r="CQ143" s="4917"/>
      <c r="CR143" s="4923"/>
      <c r="CS143" s="4917"/>
      <c r="CT143" s="4917"/>
      <c r="CU143" s="4917"/>
      <c r="CV143" s="4917"/>
      <c r="CW143" s="4923"/>
      <c r="CX143" s="4917"/>
      <c r="CY143" s="4917"/>
      <c r="CZ143" s="4917"/>
      <c r="DA143" s="4917"/>
      <c r="DB143" s="4923"/>
      <c r="DC143" s="4917"/>
      <c r="DD143" s="4917"/>
      <c r="DE143" s="4917"/>
      <c r="DF143" s="4917"/>
      <c r="DG143" s="4925"/>
      <c r="DH143" s="4926"/>
      <c r="DI143" s="4926"/>
      <c r="DJ143" s="4926"/>
      <c r="DK143" s="4926"/>
      <c r="DL143" s="4925"/>
      <c r="DM143" s="4926"/>
      <c r="DN143" s="4926"/>
      <c r="DO143" s="4926"/>
      <c r="DP143" s="4926"/>
      <c r="DQ143" s="4925"/>
      <c r="DR143" s="4926"/>
      <c r="DS143" s="4926"/>
      <c r="DT143" s="4926"/>
      <c r="DU143" s="4926"/>
      <c r="DV143" s="4925"/>
      <c r="DW143" s="4926"/>
      <c r="DX143" s="4926"/>
      <c r="DY143" s="4926"/>
      <c r="DZ143" s="4926"/>
      <c r="EA143" s="4925"/>
      <c r="EB143" s="4926"/>
      <c r="EC143" s="4926"/>
      <c r="ED143" s="4926"/>
      <c r="EE143" s="4926"/>
      <c r="EF143" s="4925"/>
      <c r="EG143" s="4926"/>
      <c r="EH143" s="4926"/>
      <c r="EI143" s="4926"/>
      <c r="EJ143" s="4926"/>
      <c r="EK143" s="4925"/>
      <c r="EL143" s="4926"/>
      <c r="EM143" s="4926"/>
      <c r="EN143" s="4926"/>
      <c r="EO143" s="4926"/>
      <c r="EP143" s="4925"/>
      <c r="EQ143" s="4926"/>
      <c r="ER143" s="4926"/>
      <c r="ES143" s="4926"/>
      <c r="ET143" s="4926"/>
      <c r="EU143" s="4925"/>
      <c r="EV143" s="4925"/>
      <c r="EW143" s="4925"/>
      <c r="EX143" s="4925"/>
      <c r="EY143" s="4925"/>
      <c r="EZ143" s="170"/>
      <c r="FA143" s="1319"/>
      <c r="FB143" s="1319"/>
      <c r="FC143" s="511"/>
    </row>
    <row r="144" spans="1:159" s="4" customFormat="1" ht="11.25" customHeight="1">
      <c r="A144" s="4905" t="str">
        <f>A118</f>
        <v>GAAP Operating Income</v>
      </c>
      <c r="B144" s="170"/>
      <c r="C144" s="170"/>
      <c r="D144" s="170"/>
      <c r="E144" s="286"/>
      <c r="F144" s="4858"/>
      <c r="G144" s="170"/>
      <c r="H144" s="170"/>
      <c r="I144" s="170"/>
      <c r="J144" s="286"/>
      <c r="K144" s="4858"/>
      <c r="L144" s="170"/>
      <c r="M144" s="170"/>
      <c r="N144" s="170"/>
      <c r="O144" s="286"/>
      <c r="P144" s="2657"/>
      <c r="Q144" s="2608"/>
      <c r="R144" s="170"/>
      <c r="S144" s="170"/>
      <c r="T144" s="286"/>
      <c r="U144" s="4858"/>
      <c r="V144" s="4859"/>
      <c r="W144" s="170"/>
      <c r="X144" s="170"/>
      <c r="Y144" s="286"/>
      <c r="Z144" s="4858"/>
      <c r="AA144" s="4859"/>
      <c r="AB144" s="170"/>
      <c r="AC144" s="170"/>
      <c r="AD144" s="286"/>
      <c r="AE144" s="4858"/>
      <c r="AF144" s="4859"/>
      <c r="AG144" s="170"/>
      <c r="AH144" s="170"/>
      <c r="AI144" s="286"/>
      <c r="AJ144" s="4858"/>
      <c r="AK144" s="170"/>
      <c r="AL144" s="170"/>
      <c r="AM144" s="170"/>
      <c r="AN144" s="286"/>
      <c r="AO144" s="4858"/>
      <c r="AP144" s="170"/>
      <c r="AQ144" s="170"/>
      <c r="AR144" s="170"/>
      <c r="AS144" s="286"/>
      <c r="AT144" s="4858"/>
      <c r="AU144" s="170"/>
      <c r="AV144" s="170"/>
      <c r="AW144" s="170"/>
      <c r="AX144" s="286"/>
      <c r="AY144" s="4858"/>
      <c r="AZ144" s="170"/>
      <c r="BA144" s="170"/>
      <c r="BB144" s="170"/>
      <c r="BC144" s="170"/>
      <c r="BD144" s="4860"/>
      <c r="BE144" s="4866"/>
      <c r="BF144" s="170"/>
      <c r="BG144" s="170"/>
      <c r="BH144" s="170"/>
      <c r="BI144" s="4860"/>
      <c r="BJ144" s="170"/>
      <c r="BK144" s="170"/>
      <c r="BL144" s="170"/>
      <c r="BM144" s="170"/>
      <c r="BN144" s="4860"/>
      <c r="BO144" s="170"/>
      <c r="BP144" s="170"/>
      <c r="BQ144" s="170"/>
      <c r="BR144" s="286"/>
      <c r="BS144" s="4858"/>
      <c r="BT144" s="170"/>
      <c r="BU144" s="170"/>
      <c r="BV144" s="170"/>
      <c r="BW144" s="170"/>
      <c r="BX144" s="4860"/>
      <c r="BY144" s="170"/>
      <c r="BZ144" s="170"/>
      <c r="CA144" s="170"/>
      <c r="CB144" s="170"/>
      <c r="CC144" s="4860"/>
      <c r="CD144" s="170"/>
      <c r="CE144" s="170"/>
      <c r="CF144" s="170"/>
      <c r="CG144" s="170"/>
      <c r="CH144" s="2957"/>
      <c r="CI144" s="2618"/>
      <c r="CJ144" s="2618"/>
      <c r="CK144" s="2618"/>
      <c r="CL144" s="2618"/>
      <c r="CM144" s="2957"/>
      <c r="CN144" s="2618"/>
      <c r="CO144" s="2618"/>
      <c r="CP144" s="2618"/>
      <c r="CQ144" s="2618"/>
      <c r="CR144" s="2957"/>
      <c r="CS144" s="2618"/>
      <c r="CT144" s="2618"/>
      <c r="CU144" s="2618"/>
      <c r="CV144" s="2618"/>
      <c r="CW144" s="2957"/>
      <c r="CX144" s="2618"/>
      <c r="CY144" s="2618"/>
      <c r="CZ144" s="2618"/>
      <c r="DA144" s="2618"/>
      <c r="DB144" s="2957"/>
      <c r="DC144" s="2618"/>
      <c r="DD144" s="2618"/>
      <c r="DE144" s="2618"/>
      <c r="DF144" s="2618"/>
      <c r="DG144" s="2958">
        <f>DG118/DG$115</f>
        <v>-5.643697478991597</v>
      </c>
      <c r="DH144" s="127"/>
      <c r="DI144" s="127"/>
      <c r="DJ144" s="127"/>
      <c r="DK144" s="127">
        <f t="shared" ref="DK144:DV144" si="376">DK118/DK$115</f>
        <v>-11.779069767441861</v>
      </c>
      <c r="DL144" s="2958">
        <f t="shared" si="376"/>
        <v>-7.3201820940819422</v>
      </c>
      <c r="DM144" s="127">
        <f t="shared" si="376"/>
        <v>-8.3037037037037038</v>
      </c>
      <c r="DN144" s="127">
        <f t="shared" si="376"/>
        <v>-7.5405405405405403</v>
      </c>
      <c r="DO144" s="127">
        <f t="shared" si="376"/>
        <v>-6.1966292134831464</v>
      </c>
      <c r="DP144" s="127">
        <f t="shared" si="376"/>
        <v>-5.795918367346939</v>
      </c>
      <c r="DQ144" s="2958">
        <f t="shared" si="376"/>
        <v>-6.8127853881278542</v>
      </c>
      <c r="DR144" s="127">
        <f t="shared" si="376"/>
        <v>-5.7828282828282829</v>
      </c>
      <c r="DS144" s="127">
        <f t="shared" si="376"/>
        <v>-7.28125</v>
      </c>
      <c r="DT144" s="127">
        <f t="shared" si="376"/>
        <v>-7.0769230769230766</v>
      </c>
      <c r="DU144" s="127">
        <f t="shared" si="376"/>
        <v>-8.0110497237569067</v>
      </c>
      <c r="DV144" s="2958">
        <f t="shared" si="376"/>
        <v>-7.0132802124833997</v>
      </c>
      <c r="DW144" s="127">
        <f t="shared" ref="DW144:EF144" si="377">DW118/DW$115</f>
        <v>-1.8977272727272727</v>
      </c>
      <c r="DX144" s="127">
        <f t="shared" si="377"/>
        <v>-6.937823834196891</v>
      </c>
      <c r="DY144" s="127">
        <f t="shared" si="377"/>
        <v>-5.8612440191387556</v>
      </c>
      <c r="DZ144" s="127">
        <f t="shared" si="377"/>
        <v>-5.4734513274336285</v>
      </c>
      <c r="EA144" s="2958">
        <f t="shared" si="377"/>
        <v>-4.3408239700374533</v>
      </c>
      <c r="EB144" s="127">
        <f t="shared" si="377"/>
        <v>-4.2534722222222223</v>
      </c>
      <c r="EC144" s="127">
        <f>EC118/EC$115</f>
        <v>-2.8526315789473684</v>
      </c>
      <c r="ED144" s="127">
        <f>ED118/ED$115</f>
        <v>-4.0202020202020199</v>
      </c>
      <c r="EE144" s="127">
        <f t="shared" ref="EE144" si="378">EE118/EE$115</f>
        <v>-1.3135464231354643</v>
      </c>
      <c r="EF144" s="2958">
        <f t="shared" si="377"/>
        <v>-2.6817288801571708</v>
      </c>
      <c r="EG144" s="127">
        <f t="shared" ref="EG144" si="379">EG118/EG$115</f>
        <v>-2.0606060606060606</v>
      </c>
      <c r="EH144" s="127">
        <f>EH118/EH$115</f>
        <v>-3.106849315068493</v>
      </c>
      <c r="EI144" s="127">
        <f>EI118/EI$115</f>
        <v>-2.8762886597938144</v>
      </c>
      <c r="EJ144" s="127">
        <f t="shared" ref="EJ144" si="380">EJ118/EJ$115</f>
        <v>-2.9350000000000001</v>
      </c>
      <c r="EK144" s="2958">
        <f t="shared" ref="EK144:EW144" si="381">EK118/EK$115</f>
        <v>-2.6966019417475726</v>
      </c>
      <c r="EL144" s="127">
        <f t="shared" si="381"/>
        <v>-2.7244444444444444</v>
      </c>
      <c r="EM144" s="127">
        <f>EM118/EM$115</f>
        <v>-3.3404825737265416</v>
      </c>
      <c r="EN144" s="127">
        <f>EN118/EN$115</f>
        <v>-4.1453488372093021</v>
      </c>
      <c r="EO144" s="127">
        <f t="shared" ref="EO144:EP144" si="382">EO118/EO$115</f>
        <v>-4.2940693745733434</v>
      </c>
      <c r="EP144" s="2958">
        <f t="shared" si="382"/>
        <v>-3.5669908979092169</v>
      </c>
      <c r="EQ144" s="127">
        <f t="shared" ref="EQ144:EU144" si="383">EQ118/EQ$115</f>
        <v>-3.3440790470125945</v>
      </c>
      <c r="ER144" s="127">
        <f t="shared" si="383"/>
        <v>-3.1934366909971592</v>
      </c>
      <c r="ES144" s="127">
        <f t="shared" si="383"/>
        <v>-3.3513340361143347</v>
      </c>
      <c r="ET144" s="127">
        <f t="shared" si="383"/>
        <v>-3.4959259940722962</v>
      </c>
      <c r="EU144" s="2958">
        <f t="shared" si="383"/>
        <v>-3.3494791514999873</v>
      </c>
      <c r="EV144" s="2958">
        <f t="shared" si="381"/>
        <v>-3.0360632648854562</v>
      </c>
      <c r="EW144" s="2958">
        <f t="shared" si="381"/>
        <v>-1.911308320244999</v>
      </c>
      <c r="EX144" s="2958">
        <f t="shared" ref="EX144:EY144" si="384">EX118/EX$115</f>
        <v>-0.76440562870823414</v>
      </c>
      <c r="EY144" s="2958">
        <f t="shared" si="384"/>
        <v>-4.1602989648905492E-2</v>
      </c>
      <c r="EZ144" s="170"/>
      <c r="FA144" s="1319"/>
      <c r="FB144" s="1319"/>
      <c r="FC144" s="511"/>
    </row>
    <row r="145" spans="1:159" s="767" customFormat="1" hidden="1" outlineLevel="1">
      <c r="A145" s="4479" t="s">
        <v>675</v>
      </c>
      <c r="B145" s="2743"/>
      <c r="C145" s="2743"/>
      <c r="D145" s="2743"/>
      <c r="E145" s="2743"/>
      <c r="F145" s="2743"/>
      <c r="G145" s="2743"/>
      <c r="H145" s="2743"/>
      <c r="I145" s="2743"/>
      <c r="J145" s="2743"/>
      <c r="K145" s="2743"/>
      <c r="L145" s="2743"/>
      <c r="M145" s="2743"/>
      <c r="N145" s="2743"/>
      <c r="O145" s="2743"/>
      <c r="P145" s="2743"/>
      <c r="Q145" s="2743"/>
      <c r="R145" s="2743"/>
      <c r="S145" s="2743"/>
      <c r="T145" s="2743"/>
      <c r="U145" s="2743"/>
      <c r="V145" s="2743"/>
      <c r="W145" s="2743"/>
      <c r="X145" s="2743"/>
      <c r="Y145" s="2743"/>
      <c r="Z145" s="2743"/>
      <c r="AA145" s="2743"/>
      <c r="AB145" s="2743"/>
      <c r="AC145" s="2743"/>
      <c r="AD145" s="2743"/>
      <c r="AE145" s="2743"/>
      <c r="AF145" s="2743"/>
      <c r="AG145" s="2743"/>
      <c r="AH145" s="2743"/>
      <c r="AI145" s="2743"/>
      <c r="AJ145" s="2743"/>
      <c r="AK145" s="2743"/>
      <c r="AL145" s="2743"/>
      <c r="AM145" s="2743"/>
      <c r="AN145" s="2743"/>
      <c r="AO145" s="2743"/>
      <c r="AP145" s="2743"/>
      <c r="AQ145" s="2743"/>
      <c r="AR145" s="2743"/>
      <c r="AS145" s="2743"/>
      <c r="AT145" s="2743"/>
      <c r="AU145" s="2743"/>
      <c r="AV145" s="2743"/>
      <c r="AW145" s="2743"/>
      <c r="AX145" s="2743"/>
      <c r="AY145" s="2743"/>
      <c r="AZ145" s="2743"/>
      <c r="BA145" s="2743"/>
      <c r="BB145" s="2743"/>
      <c r="BC145" s="2743"/>
      <c r="BD145" s="2743"/>
      <c r="BE145" s="2743"/>
      <c r="BF145" s="2743"/>
      <c r="BG145" s="2743"/>
      <c r="BH145" s="2743"/>
      <c r="BI145" s="2743"/>
      <c r="BJ145" s="2743"/>
      <c r="BK145" s="2743"/>
      <c r="BL145" s="2743"/>
      <c r="BM145" s="2743"/>
      <c r="BN145" s="2743"/>
      <c r="BO145" s="2743"/>
      <c r="BP145" s="2743"/>
      <c r="BQ145" s="2743"/>
      <c r="BR145" s="2743"/>
      <c r="BS145" s="2743"/>
      <c r="BT145" s="2743"/>
      <c r="BU145" s="2743"/>
      <c r="BV145" s="2743"/>
      <c r="BW145" s="2743"/>
      <c r="BX145" s="2743"/>
      <c r="BY145" s="2743"/>
      <c r="BZ145" s="2743"/>
      <c r="CA145" s="2743"/>
      <c r="CB145" s="2743"/>
      <c r="CC145" s="2743"/>
      <c r="CD145" s="2743"/>
      <c r="CE145" s="2743"/>
      <c r="CF145" s="2743"/>
      <c r="CG145" s="2743"/>
      <c r="CH145" s="5001"/>
      <c r="CI145" s="2745"/>
      <c r="CJ145" s="2745"/>
      <c r="CK145" s="2745"/>
      <c r="CL145" s="2745"/>
      <c r="CM145" s="5002"/>
      <c r="CN145" s="2747"/>
      <c r="CO145" s="2747"/>
      <c r="CP145" s="2747"/>
      <c r="CQ145" s="2748"/>
      <c r="CR145" s="5002"/>
      <c r="CS145" s="2748"/>
      <c r="CT145" s="2747"/>
      <c r="CU145" s="2747"/>
      <c r="CV145" s="2748"/>
      <c r="CW145" s="5002"/>
      <c r="CX145" s="2748"/>
      <c r="CY145" s="2748"/>
      <c r="CZ145" s="2748"/>
      <c r="DA145" s="2748"/>
      <c r="DB145" s="5002"/>
      <c r="DC145" s="2748"/>
      <c r="DD145" s="2748"/>
      <c r="DE145" s="2748"/>
      <c r="DF145" s="2748"/>
      <c r="DG145" s="5002"/>
      <c r="DH145" s="2748"/>
      <c r="DI145" s="2748"/>
      <c r="DJ145" s="2748"/>
      <c r="DK145" s="2748"/>
      <c r="DL145" s="5002">
        <f>(DL144-DG144)*10000</f>
        <v>-16764.846150903453</v>
      </c>
      <c r="DM145" s="2748"/>
      <c r="DN145" s="2748"/>
      <c r="DO145" s="2748"/>
      <c r="DP145" s="2748">
        <f t="shared" ref="DP145:DZ145" si="385">(DP144-DK144)*10000</f>
        <v>59831.514000949217</v>
      </c>
      <c r="DQ145" s="5002">
        <f t="shared" si="385"/>
        <v>5073.9670595408807</v>
      </c>
      <c r="DR145" s="2748">
        <f t="shared" si="385"/>
        <v>25208.75420875421</v>
      </c>
      <c r="DS145" s="2748">
        <f t="shared" si="385"/>
        <v>2592.9054054054036</v>
      </c>
      <c r="DT145" s="2748">
        <f t="shared" si="385"/>
        <v>-8802.9386343993028</v>
      </c>
      <c r="DU145" s="2748">
        <f t="shared" si="385"/>
        <v>-22151.313564099677</v>
      </c>
      <c r="DV145" s="5002">
        <f t="shared" si="385"/>
        <v>-2004.9482435554555</v>
      </c>
      <c r="DW145" s="2748">
        <f t="shared" si="385"/>
        <v>38851.010101010106</v>
      </c>
      <c r="DX145" s="2748">
        <f t="shared" si="385"/>
        <v>3434.2616580310905</v>
      </c>
      <c r="DY145" s="2748">
        <f t="shared" si="385"/>
        <v>12156.79057784321</v>
      </c>
      <c r="DZ145" s="2748">
        <f t="shared" si="385"/>
        <v>25375.983963232782</v>
      </c>
      <c r="EA145" s="5002">
        <f t="shared" ref="EA145:EN145" si="386">(EA144-DV144)*10000</f>
        <v>26724.562424459466</v>
      </c>
      <c r="EB145" s="2748">
        <f t="shared" si="386"/>
        <v>-23557.449494949498</v>
      </c>
      <c r="EC145" s="2748">
        <f t="shared" si="386"/>
        <v>40851.92255249522</v>
      </c>
      <c r="ED145" s="2748">
        <f t="shared" si="386"/>
        <v>18410.419989367358</v>
      </c>
      <c r="EE145" s="2748">
        <f t="shared" si="386"/>
        <v>41599.049042981642</v>
      </c>
      <c r="EF145" s="5002">
        <f t="shared" si="386"/>
        <v>16590.950898802825</v>
      </c>
      <c r="EG145" s="2748">
        <f t="shared" si="386"/>
        <v>21928.661616161618</v>
      </c>
      <c r="EH145" s="2748">
        <f t="shared" si="386"/>
        <v>-2542.1773612112465</v>
      </c>
      <c r="EI145" s="2748">
        <f t="shared" si="386"/>
        <v>11439.133604082055</v>
      </c>
      <c r="EJ145" s="2748">
        <f t="shared" si="386"/>
        <v>-16214.535768645357</v>
      </c>
      <c r="EK145" s="5002">
        <f>(EK144-EF144)*10000</f>
        <v>-148.73061590401804</v>
      </c>
      <c r="EL145" s="2748">
        <f t="shared" si="386"/>
        <v>-6638.3838383838392</v>
      </c>
      <c r="EM145" s="2748">
        <f t="shared" si="386"/>
        <v>-2336.332586580485</v>
      </c>
      <c r="EN145" s="2748">
        <f t="shared" si="386"/>
        <v>-12690.601774154877</v>
      </c>
      <c r="EO145" s="2748">
        <f t="shared" ref="EO145" si="387">(EO144-EJ144)*10000</f>
        <v>-13590.693745733433</v>
      </c>
      <c r="EP145" s="5002">
        <f>(EP144-EK144)*10000</f>
        <v>-8703.8895616164427</v>
      </c>
      <c r="EQ145" s="2748">
        <f t="shared" ref="EQ145" si="388">(EQ144-EL144)*10000</f>
        <v>-6196.3460256815006</v>
      </c>
      <c r="ER145" s="2748">
        <f t="shared" ref="ER145" si="389">(ER144-EM144)*10000</f>
        <v>1470.4588272938236</v>
      </c>
      <c r="ES145" s="2748">
        <f t="shared" ref="ES145" si="390">(ES144-EN144)*10000</f>
        <v>7940.1480109496752</v>
      </c>
      <c r="ET145" s="2748">
        <f t="shared" ref="ET145" si="391">(ET144-EO144)*10000</f>
        <v>7981.4338050104716</v>
      </c>
      <c r="EU145" s="5002">
        <f>(EU144-EP144)*10000</f>
        <v>2175.1174640922954</v>
      </c>
      <c r="EV145" s="2746">
        <f>(EV144-EU144)*10000</f>
        <v>3134.1588661453111</v>
      </c>
      <c r="EW145" s="2746">
        <f>(EW144-EV144)*10000</f>
        <v>11247.549446404571</v>
      </c>
      <c r="EX145" s="2746">
        <f>(EX144-EW144)*10000</f>
        <v>11469.026915367649</v>
      </c>
      <c r="EY145" s="2746">
        <f>(EY144-EX144)*10000</f>
        <v>7228.0263905932861</v>
      </c>
      <c r="FA145" s="4276"/>
      <c r="FB145" s="4276"/>
      <c r="FC145" s="766"/>
    </row>
    <row r="146" spans="1:159" s="4" customFormat="1" ht="11.25" hidden="1" customHeight="1" outlineLevel="1" collapsed="1">
      <c r="A146" s="4905" t="str">
        <f>A122</f>
        <v>GAAP Net Income</v>
      </c>
      <c r="B146" s="170"/>
      <c r="C146" s="170"/>
      <c r="D146" s="170"/>
      <c r="E146" s="286"/>
      <c r="F146" s="4858"/>
      <c r="G146" s="170"/>
      <c r="H146" s="170"/>
      <c r="I146" s="170"/>
      <c r="J146" s="286"/>
      <c r="K146" s="4858"/>
      <c r="L146" s="170"/>
      <c r="M146" s="170"/>
      <c r="N146" s="170"/>
      <c r="O146" s="286"/>
      <c r="P146" s="2657"/>
      <c r="Q146" s="2608"/>
      <c r="R146" s="170"/>
      <c r="S146" s="170"/>
      <c r="T146" s="286"/>
      <c r="U146" s="4858"/>
      <c r="V146" s="4859"/>
      <c r="W146" s="170"/>
      <c r="X146" s="170"/>
      <c r="Y146" s="286"/>
      <c r="Z146" s="4858"/>
      <c r="AA146" s="4859"/>
      <c r="AB146" s="170"/>
      <c r="AC146" s="170"/>
      <c r="AD146" s="286"/>
      <c r="AE146" s="4858"/>
      <c r="AF146" s="4859"/>
      <c r="AG146" s="170"/>
      <c r="AH146" s="170"/>
      <c r="AI146" s="286"/>
      <c r="AJ146" s="4858"/>
      <c r="AK146" s="170"/>
      <c r="AL146" s="170"/>
      <c r="AM146" s="170"/>
      <c r="AN146" s="286"/>
      <c r="AO146" s="4858"/>
      <c r="AP146" s="170"/>
      <c r="AQ146" s="170"/>
      <c r="AR146" s="170"/>
      <c r="AS146" s="286"/>
      <c r="AT146" s="4858"/>
      <c r="AU146" s="170"/>
      <c r="AV146" s="170"/>
      <c r="AW146" s="170"/>
      <c r="AX146" s="286"/>
      <c r="AY146" s="4858"/>
      <c r="AZ146" s="170"/>
      <c r="BA146" s="170"/>
      <c r="BB146" s="170"/>
      <c r="BC146" s="170"/>
      <c r="BD146" s="4860"/>
      <c r="BE146" s="4866"/>
      <c r="BF146" s="170"/>
      <c r="BG146" s="170"/>
      <c r="BH146" s="170"/>
      <c r="BI146" s="4860"/>
      <c r="BJ146" s="170"/>
      <c r="BK146" s="170"/>
      <c r="BL146" s="170"/>
      <c r="BM146" s="170"/>
      <c r="BN146" s="4860"/>
      <c r="BO146" s="170"/>
      <c r="BP146" s="170"/>
      <c r="BQ146" s="170"/>
      <c r="BR146" s="286"/>
      <c r="BS146" s="4858"/>
      <c r="BT146" s="170"/>
      <c r="BU146" s="170"/>
      <c r="BV146" s="170"/>
      <c r="BW146" s="170"/>
      <c r="BX146" s="4860"/>
      <c r="BY146" s="170"/>
      <c r="BZ146" s="170"/>
      <c r="CA146" s="170"/>
      <c r="CB146" s="170"/>
      <c r="CC146" s="4860"/>
      <c r="CD146" s="170"/>
      <c r="CE146" s="170"/>
      <c r="CF146" s="170"/>
      <c r="CG146" s="170"/>
      <c r="CH146" s="2957"/>
      <c r="CI146" s="2618"/>
      <c r="CJ146" s="2618"/>
      <c r="CK146" s="2618"/>
      <c r="CL146" s="2618"/>
      <c r="CM146" s="2957"/>
      <c r="CN146" s="2618"/>
      <c r="CO146" s="2618"/>
      <c r="CP146" s="2618"/>
      <c r="CQ146" s="2618"/>
      <c r="CR146" s="2957"/>
      <c r="CS146" s="2618"/>
      <c r="CT146" s="2618"/>
      <c r="CU146" s="2618"/>
      <c r="CV146" s="2618"/>
      <c r="CW146" s="2957"/>
      <c r="CX146" s="2618"/>
      <c r="CY146" s="2618"/>
      <c r="CZ146" s="2618"/>
      <c r="DA146" s="2618"/>
      <c r="DB146" s="2957"/>
      <c r="DC146" s="2618"/>
      <c r="DD146" s="2618"/>
      <c r="DE146" s="2618"/>
      <c r="DF146" s="2618"/>
      <c r="DG146" s="2958">
        <f>DG122/DG$115</f>
        <v>1.5109243697478991</v>
      </c>
      <c r="DH146" s="127"/>
      <c r="DI146" s="127"/>
      <c r="DJ146" s="127"/>
      <c r="DK146" s="127">
        <f t="shared" ref="DK146:DV146" si="392">DK122/DK$115</f>
        <v>-9.4418604651162799</v>
      </c>
      <c r="DL146" s="2958">
        <f t="shared" si="392"/>
        <v>-3.795144157814871</v>
      </c>
      <c r="DM146" s="127">
        <f t="shared" si="392"/>
        <v>-14.28888888888889</v>
      </c>
      <c r="DN146" s="127">
        <f t="shared" si="392"/>
        <v>1.7837837837837838</v>
      </c>
      <c r="DO146" s="127">
        <f t="shared" si="392"/>
        <v>3.7134831460674156</v>
      </c>
      <c r="DP146" s="127">
        <f t="shared" si="392"/>
        <v>7.7091836734693882</v>
      </c>
      <c r="DQ146" s="2958">
        <f t="shared" si="392"/>
        <v>0.77168949771689499</v>
      </c>
      <c r="DR146" s="127">
        <f t="shared" si="392"/>
        <v>15.287878787878787</v>
      </c>
      <c r="DS146" s="127">
        <f t="shared" si="392"/>
        <v>4.432291666666667</v>
      </c>
      <c r="DT146" s="127">
        <f t="shared" si="392"/>
        <v>1.8736263736263736</v>
      </c>
      <c r="DU146" s="127">
        <f t="shared" si="392"/>
        <v>5.3701657458563536</v>
      </c>
      <c r="DV146" s="2958">
        <f t="shared" si="392"/>
        <v>6.8937583001328022</v>
      </c>
      <c r="DW146" s="127">
        <f t="shared" ref="DW146:EF146" si="393">DW122/DW$115</f>
        <v>-3.8</v>
      </c>
      <c r="DX146" s="127">
        <f t="shared" si="393"/>
        <v>-6.590673575129534</v>
      </c>
      <c r="DY146" s="127">
        <f t="shared" si="393"/>
        <v>-8.6985645933014357</v>
      </c>
      <c r="DZ146" s="127">
        <f t="shared" si="393"/>
        <v>-11.199115044247788</v>
      </c>
      <c r="EA146" s="2958">
        <f t="shared" si="393"/>
        <v>-6.8286516853932584</v>
      </c>
      <c r="EB146" s="127">
        <f t="shared" si="393"/>
        <v>-2.5347222222222223</v>
      </c>
      <c r="EC146" s="127">
        <f>EC122/EC$115</f>
        <v>-3.5543859649122806</v>
      </c>
      <c r="ED146" s="127">
        <f>ED122/ED$115</f>
        <v>-4.6498316498316496</v>
      </c>
      <c r="EE146" s="127">
        <f t="shared" ref="EE146" si="394">EE122/EE$115</f>
        <v>-0.49010654490106542</v>
      </c>
      <c r="EF146" s="2958">
        <f t="shared" si="393"/>
        <v>-2.2567125081859856</v>
      </c>
      <c r="EG146" s="127">
        <f t="shared" ref="EG146" si="395">EG122/EG$115</f>
        <v>2.680808080808081</v>
      </c>
      <c r="EH146" s="127">
        <f>EH122/EH$115</f>
        <v>-4.7123287671232879</v>
      </c>
      <c r="EI146" s="127">
        <f>EI122/EI$115</f>
        <v>1.8917525773195876</v>
      </c>
      <c r="EJ146" s="127">
        <f t="shared" ref="EJ146" si="396">EJ122/EJ$115</f>
        <v>-2.1324999999999998</v>
      </c>
      <c r="EK146" s="2958">
        <f t="shared" ref="EK146:EW146" si="397">EK122/EK$115</f>
        <v>-0.31067961165048541</v>
      </c>
      <c r="EL146" s="127">
        <f t="shared" si="397"/>
        <v>18.871111111111112</v>
      </c>
      <c r="EM146" s="127">
        <f>EM122/EM$115</f>
        <v>-0.11528150134048257</v>
      </c>
      <c r="EN146" s="127">
        <f>EN122/EN$115</f>
        <v>26.552325581395348</v>
      </c>
      <c r="EO146" s="127">
        <f t="shared" ref="EO146:EP146" si="398">EO122/EO$115</f>
        <v>-4.2940693745733434</v>
      </c>
      <c r="EP146" s="2958">
        <f t="shared" si="398"/>
        <v>10.463433065043652</v>
      </c>
      <c r="EQ146" s="127">
        <f t="shared" ref="EQ146:EU146" si="399">EQ122/EQ$115</f>
        <v>-3.3440790470125945</v>
      </c>
      <c r="ER146" s="127">
        <f t="shared" si="399"/>
        <v>-3.1934366909971592</v>
      </c>
      <c r="ES146" s="127">
        <f t="shared" si="399"/>
        <v>-3.3513340361143347</v>
      </c>
      <c r="ET146" s="127">
        <f t="shared" si="399"/>
        <v>-3.4959259940722962</v>
      </c>
      <c r="EU146" s="2958">
        <f t="shared" si="399"/>
        <v>-3.3494791514999873</v>
      </c>
      <c r="EV146" s="2958">
        <f t="shared" si="397"/>
        <v>-3.0360632648854562</v>
      </c>
      <c r="EW146" s="2958">
        <f t="shared" si="397"/>
        <v>-1.911308320244999</v>
      </c>
      <c r="EX146" s="2958">
        <f t="shared" ref="EX146:EY146" si="400">EX122/EX$115</f>
        <v>-0.76440562870823414</v>
      </c>
      <c r="EY146" s="2958">
        <f t="shared" si="400"/>
        <v>-4.1602989648905492E-2</v>
      </c>
      <c r="EZ146" s="170"/>
      <c r="FA146" s="1319"/>
      <c r="FB146" s="1319"/>
      <c r="FC146" s="511"/>
    </row>
    <row r="147" spans="1:159" s="4" customFormat="1" ht="11.25" hidden="1" customHeight="1" outlineLevel="1" collapsed="1">
      <c r="A147" s="4905"/>
      <c r="B147" s="170"/>
      <c r="C147" s="170"/>
      <c r="D147" s="170"/>
      <c r="E147" s="286"/>
      <c r="F147" s="4858"/>
      <c r="G147" s="170"/>
      <c r="H147" s="170"/>
      <c r="I147" s="170"/>
      <c r="J147" s="286"/>
      <c r="K147" s="4858"/>
      <c r="L147" s="170"/>
      <c r="M147" s="170"/>
      <c r="N147" s="170"/>
      <c r="O147" s="286"/>
      <c r="P147" s="2657"/>
      <c r="Q147" s="2608"/>
      <c r="R147" s="170"/>
      <c r="S147" s="170"/>
      <c r="T147" s="286"/>
      <c r="U147" s="4858"/>
      <c r="V147" s="4859"/>
      <c r="W147" s="170"/>
      <c r="X147" s="170"/>
      <c r="Y147" s="286"/>
      <c r="Z147" s="4858"/>
      <c r="AA147" s="4859"/>
      <c r="AB147" s="170"/>
      <c r="AC147" s="170"/>
      <c r="AD147" s="286"/>
      <c r="AE147" s="4858"/>
      <c r="AF147" s="4859"/>
      <c r="AG147" s="170"/>
      <c r="AH147" s="170"/>
      <c r="AI147" s="286"/>
      <c r="AJ147" s="4858"/>
      <c r="AK147" s="170"/>
      <c r="AL147" s="170"/>
      <c r="AM147" s="170"/>
      <c r="AN147" s="286"/>
      <c r="AO147" s="4858"/>
      <c r="AP147" s="170"/>
      <c r="AQ147" s="170"/>
      <c r="AR147" s="170"/>
      <c r="AS147" s="286"/>
      <c r="AT147" s="4858"/>
      <c r="AU147" s="170"/>
      <c r="AV147" s="170"/>
      <c r="AW147" s="170"/>
      <c r="AX147" s="286"/>
      <c r="AY147" s="4858"/>
      <c r="AZ147" s="170"/>
      <c r="BA147" s="170"/>
      <c r="BB147" s="170"/>
      <c r="BC147" s="170"/>
      <c r="BD147" s="4860"/>
      <c r="BE147" s="4866"/>
      <c r="BF147" s="170"/>
      <c r="BG147" s="170"/>
      <c r="BH147" s="170"/>
      <c r="BI147" s="4860"/>
      <c r="BJ147" s="170"/>
      <c r="BK147" s="170"/>
      <c r="BL147" s="170"/>
      <c r="BM147" s="170"/>
      <c r="BN147" s="4860"/>
      <c r="BO147" s="170"/>
      <c r="BP147" s="170"/>
      <c r="BQ147" s="170"/>
      <c r="BR147" s="286"/>
      <c r="BS147" s="4858"/>
      <c r="BT147" s="170"/>
      <c r="BU147" s="170"/>
      <c r="BV147" s="170"/>
      <c r="BW147" s="170"/>
      <c r="BX147" s="4860"/>
      <c r="BY147" s="170"/>
      <c r="BZ147" s="170"/>
      <c r="CA147" s="170"/>
      <c r="CB147" s="170"/>
      <c r="CC147" s="4860"/>
      <c r="CD147" s="170"/>
      <c r="CE147" s="170"/>
      <c r="CF147" s="170"/>
      <c r="CG147" s="170"/>
      <c r="CH147" s="4860"/>
      <c r="CI147" s="170"/>
      <c r="CJ147" s="170"/>
      <c r="CK147" s="170"/>
      <c r="CL147" s="170"/>
      <c r="CM147" s="4860"/>
      <c r="CN147" s="170"/>
      <c r="CO147" s="170"/>
      <c r="CP147" s="170"/>
      <c r="CQ147" s="170"/>
      <c r="CR147" s="4860"/>
      <c r="CS147" s="170"/>
      <c r="CT147" s="170"/>
      <c r="CU147" s="170"/>
      <c r="CV147" s="170"/>
      <c r="CW147" s="4860"/>
      <c r="CX147" s="170"/>
      <c r="CY147" s="170"/>
      <c r="CZ147" s="170"/>
      <c r="DA147" s="170"/>
      <c r="DB147" s="4860"/>
      <c r="DC147" s="170"/>
      <c r="DD147" s="170"/>
      <c r="DE147" s="170"/>
      <c r="DF147" s="170"/>
      <c r="DG147" s="4863"/>
      <c r="DH147" s="4865"/>
      <c r="DI147" s="4865"/>
      <c r="DJ147" s="4865"/>
      <c r="DK147" s="4865"/>
      <c r="DL147" s="4863"/>
      <c r="DM147" s="4865"/>
      <c r="DN147" s="4865"/>
      <c r="DO147" s="4865"/>
      <c r="DP147" s="4865"/>
      <c r="DQ147" s="4863"/>
      <c r="DR147" s="4865"/>
      <c r="DS147" s="4865"/>
      <c r="DT147" s="4865"/>
      <c r="DU147" s="4865"/>
      <c r="DV147" s="4863"/>
      <c r="DW147" s="4865"/>
      <c r="DX147" s="4865"/>
      <c r="DY147" s="4865"/>
      <c r="DZ147" s="4865"/>
      <c r="EA147" s="4863"/>
      <c r="EB147" s="4865"/>
      <c r="EC147" s="4865"/>
      <c r="ED147" s="4865"/>
      <c r="EE147" s="4865"/>
      <c r="EF147" s="4863"/>
      <c r="EG147" s="4865"/>
      <c r="EH147" s="4865"/>
      <c r="EI147" s="4865"/>
      <c r="EJ147" s="4865"/>
      <c r="EK147" s="4863"/>
      <c r="EL147" s="4865"/>
      <c r="EM147" s="4865"/>
      <c r="EN147" s="4865"/>
      <c r="EO147" s="4865"/>
      <c r="EP147" s="4863"/>
      <c r="EQ147" s="4865"/>
      <c r="ER147" s="4865"/>
      <c r="ES147" s="4865"/>
      <c r="ET147" s="4865"/>
      <c r="EU147" s="4863"/>
      <c r="EV147" s="4863"/>
      <c r="EW147" s="4863"/>
      <c r="EX147" s="4863"/>
      <c r="EY147" s="4863"/>
      <c r="EZ147" s="170"/>
      <c r="FA147" s="1319"/>
      <c r="FB147" s="1319"/>
      <c r="FC147" s="511"/>
    </row>
    <row r="148" spans="1:159" s="2586" customFormat="1" collapsed="1">
      <c r="A148" s="3557" t="s">
        <v>917</v>
      </c>
      <c r="B148" s="2718"/>
      <c r="C148" s="2718"/>
      <c r="D148" s="2718"/>
      <c r="E148" s="2718"/>
      <c r="F148" s="2718"/>
      <c r="G148" s="2718"/>
      <c r="H148" s="2718"/>
      <c r="I148" s="2718"/>
      <c r="J148" s="2718"/>
      <c r="K148" s="2718"/>
      <c r="L148" s="2718"/>
      <c r="M148" s="2718"/>
      <c r="N148" s="2718"/>
      <c r="O148" s="2718"/>
      <c r="P148" s="2718"/>
      <c r="Q148" s="2718"/>
      <c r="R148" s="2718"/>
      <c r="S148" s="2718"/>
      <c r="T148" s="2718"/>
      <c r="U148" s="2718"/>
      <c r="V148" s="2718"/>
      <c r="W148" s="2718"/>
      <c r="X148" s="2718"/>
      <c r="Y148" s="2718"/>
      <c r="Z148" s="2718"/>
      <c r="AA148" s="2718"/>
      <c r="AB148" s="2718"/>
      <c r="AC148" s="2718"/>
      <c r="AD148" s="2718"/>
      <c r="AE148" s="2718"/>
      <c r="AF148" s="2718"/>
      <c r="AG148" s="2718"/>
      <c r="AH148" s="2718"/>
      <c r="AI148" s="2718"/>
      <c r="AJ148" s="2718"/>
      <c r="AK148" s="2718"/>
      <c r="AL148" s="2718"/>
      <c r="AM148" s="2718"/>
      <c r="AN148" s="2718"/>
      <c r="AO148" s="2718"/>
      <c r="AP148" s="2718"/>
      <c r="AQ148" s="2718"/>
      <c r="AR148" s="2718"/>
      <c r="AS148" s="2718"/>
      <c r="AT148" s="2718"/>
      <c r="AU148" s="2718"/>
      <c r="AV148" s="2718"/>
      <c r="AW148" s="2718"/>
      <c r="AX148" s="2718"/>
      <c r="AY148" s="2718"/>
      <c r="AZ148" s="2718"/>
      <c r="BA148" s="2718"/>
      <c r="BB148" s="2718"/>
      <c r="BC148" s="2718"/>
      <c r="BD148" s="2718"/>
      <c r="BE148" s="2718"/>
      <c r="BF148" s="2718"/>
      <c r="BG148" s="2718"/>
      <c r="BH148" s="2718"/>
      <c r="BI148" s="2718"/>
      <c r="BJ148" s="2718"/>
      <c r="BK148" s="2718"/>
      <c r="BL148" s="2718"/>
      <c r="BM148" s="2718"/>
      <c r="BN148" s="2718"/>
      <c r="BO148" s="2718"/>
      <c r="BP148" s="2718"/>
      <c r="BQ148" s="2718"/>
      <c r="BR148" s="2718"/>
      <c r="BS148" s="2718"/>
      <c r="BT148" s="2718"/>
      <c r="BU148" s="2718"/>
      <c r="BV148" s="2718"/>
      <c r="BW148" s="2718"/>
      <c r="BX148" s="2718"/>
      <c r="BY148" s="2718"/>
      <c r="BZ148" s="2718"/>
      <c r="CA148" s="2718"/>
      <c r="CB148" s="2718"/>
      <c r="CC148" s="2718"/>
      <c r="CD148" s="2718"/>
      <c r="CE148" s="2718"/>
      <c r="CF148" s="2718"/>
      <c r="CG148" s="2718"/>
      <c r="CH148" s="4897"/>
      <c r="CI148" s="2825"/>
      <c r="CJ148" s="2825"/>
      <c r="CK148" s="2825"/>
      <c r="CL148" s="2825"/>
      <c r="CM148" s="4897"/>
      <c r="CN148" s="2825"/>
      <c r="CO148" s="2825"/>
      <c r="CP148" s="2825"/>
      <c r="CQ148" s="2825"/>
      <c r="CR148" s="4897"/>
      <c r="CS148" s="2825"/>
      <c r="CT148" s="2825"/>
      <c r="CU148" s="2825"/>
      <c r="CV148" s="2825"/>
      <c r="CW148" s="4897"/>
      <c r="CX148" s="2825"/>
      <c r="CY148" s="2825"/>
      <c r="CZ148" s="2825"/>
      <c r="DA148" s="2825"/>
      <c r="DB148" s="4897"/>
      <c r="DC148" s="2825"/>
      <c r="DD148" s="2825"/>
      <c r="DE148" s="2825"/>
      <c r="DF148" s="2825"/>
      <c r="DG148" s="4897"/>
      <c r="DH148" s="2825"/>
      <c r="DI148" s="2825"/>
      <c r="DJ148" s="2825"/>
      <c r="DK148" s="2825"/>
      <c r="DL148" s="4897"/>
      <c r="DM148" s="2825"/>
      <c r="DN148" s="2825"/>
      <c r="DO148" s="2825"/>
      <c r="DP148" s="2825"/>
      <c r="DQ148" s="4897"/>
      <c r="DR148" s="2825"/>
      <c r="DS148" s="2825"/>
      <c r="DT148" s="2825"/>
      <c r="DU148" s="2825"/>
      <c r="DV148" s="4897"/>
      <c r="DW148" s="2825"/>
      <c r="DX148" s="2825"/>
      <c r="DY148" s="2825"/>
      <c r="DZ148" s="2825"/>
      <c r="EA148" s="4897"/>
      <c r="EB148" s="2825"/>
      <c r="EC148" s="2825"/>
      <c r="ED148" s="2825"/>
      <c r="EE148" s="2825"/>
      <c r="EF148" s="4897"/>
      <c r="EG148" s="2825"/>
      <c r="EH148" s="2825"/>
      <c r="EI148" s="2825"/>
      <c r="EJ148" s="2825"/>
      <c r="EK148" s="4897"/>
      <c r="EL148" s="2825"/>
      <c r="EM148" s="2825"/>
      <c r="EN148" s="2825"/>
      <c r="EO148" s="2825"/>
      <c r="EP148" s="4897"/>
      <c r="EQ148" s="2825"/>
      <c r="ER148" s="2825"/>
      <c r="ES148" s="2825"/>
      <c r="ET148" s="2825"/>
      <c r="EU148" s="4897"/>
      <c r="EV148" s="4897"/>
      <c r="EW148" s="4897"/>
      <c r="EX148" s="4897"/>
      <c r="EY148" s="4897"/>
      <c r="FA148" s="1319"/>
      <c r="FB148" s="1319"/>
    </row>
    <row r="149" spans="1:159" s="4" customFormat="1" ht="11.25" customHeight="1">
      <c r="A149" s="4927" t="str">
        <f>A12</f>
        <v>Hedging gains (losses)</v>
      </c>
      <c r="B149" s="4928"/>
      <c r="C149" s="4928"/>
      <c r="D149" s="4928"/>
      <c r="E149" s="4929"/>
      <c r="F149" s="4930"/>
      <c r="G149" s="4928"/>
      <c r="H149" s="4928"/>
      <c r="I149" s="4928"/>
      <c r="J149" s="4929"/>
      <c r="K149" s="4930"/>
      <c r="L149" s="4928"/>
      <c r="M149" s="4928"/>
      <c r="N149" s="4928"/>
      <c r="O149" s="4929"/>
      <c r="P149" s="4931"/>
      <c r="Q149" s="4085"/>
      <c r="R149" s="4928"/>
      <c r="S149" s="4928"/>
      <c r="T149" s="4929"/>
      <c r="U149" s="4930"/>
      <c r="V149" s="4932"/>
      <c r="W149" s="4928"/>
      <c r="X149" s="4928"/>
      <c r="Y149" s="4929"/>
      <c r="Z149" s="4930"/>
      <c r="AA149" s="4932"/>
      <c r="AB149" s="4928"/>
      <c r="AC149" s="4928"/>
      <c r="AD149" s="4929"/>
      <c r="AE149" s="4930"/>
      <c r="AF149" s="4932"/>
      <c r="AG149" s="4928"/>
      <c r="AH149" s="4928"/>
      <c r="AI149" s="4929"/>
      <c r="AJ149" s="4930"/>
      <c r="AK149" s="4928"/>
      <c r="AL149" s="4928"/>
      <c r="AM149" s="4928"/>
      <c r="AN149" s="4929"/>
      <c r="AO149" s="4930"/>
      <c r="AP149" s="4928"/>
      <c r="AQ149" s="4928"/>
      <c r="AR149" s="4928"/>
      <c r="AS149" s="4929"/>
      <c r="AT149" s="4930"/>
      <c r="AU149" s="4928"/>
      <c r="AV149" s="4928"/>
      <c r="AW149" s="4928"/>
      <c r="AX149" s="4929"/>
      <c r="AY149" s="4930"/>
      <c r="AZ149" s="4928"/>
      <c r="BA149" s="4928"/>
      <c r="BB149" s="4928"/>
      <c r="BC149" s="4928"/>
      <c r="BD149" s="4933"/>
      <c r="BE149" s="4934"/>
      <c r="BF149" s="4928"/>
      <c r="BG149" s="4928"/>
      <c r="BH149" s="4928"/>
      <c r="BI149" s="4933"/>
      <c r="BJ149" s="4928"/>
      <c r="BK149" s="4928"/>
      <c r="BL149" s="4928"/>
      <c r="BM149" s="4928"/>
      <c r="BN149" s="4933"/>
      <c r="BO149" s="4928"/>
      <c r="BP149" s="4928"/>
      <c r="BQ149" s="4928"/>
      <c r="BR149" s="4929"/>
      <c r="BS149" s="4930"/>
      <c r="BT149" s="4928"/>
      <c r="BU149" s="4928"/>
      <c r="BV149" s="4928"/>
      <c r="BW149" s="4928"/>
      <c r="BX149" s="4933"/>
      <c r="BY149" s="4928"/>
      <c r="BZ149" s="4928"/>
      <c r="CA149" s="4928"/>
      <c r="CB149" s="4928"/>
      <c r="CC149" s="4933"/>
      <c r="CD149" s="4928"/>
      <c r="CE149" s="4928"/>
      <c r="CF149" s="4928"/>
      <c r="CG149" s="4928"/>
      <c r="CH149" s="4933"/>
      <c r="CI149" s="4928"/>
      <c r="CJ149" s="4928"/>
      <c r="CK149" s="4928"/>
      <c r="CL149" s="4928"/>
      <c r="CM149" s="4933"/>
      <c r="CN149" s="4928"/>
      <c r="CO149" s="4928"/>
      <c r="CP149" s="4928"/>
      <c r="CQ149" s="4928"/>
      <c r="CR149" s="4933"/>
      <c r="CS149" s="4928"/>
      <c r="CT149" s="4928"/>
      <c r="CU149" s="4928"/>
      <c r="CV149" s="4928"/>
      <c r="CW149" s="4933"/>
      <c r="CX149" s="4928"/>
      <c r="CY149" s="4928"/>
      <c r="CZ149" s="4928"/>
      <c r="DA149" s="4928"/>
      <c r="DB149" s="4933"/>
      <c r="DC149" s="4928"/>
      <c r="DD149" s="4928"/>
      <c r="DE149" s="4928"/>
      <c r="DF149" s="4928"/>
      <c r="DG149" s="4935">
        <f>DG12</f>
        <v>-138</v>
      </c>
      <c r="DH149" s="4936"/>
      <c r="DI149" s="4936"/>
      <c r="DJ149" s="4936"/>
      <c r="DK149" s="4936">
        <f t="shared" ref="DK149:DP149" si="401">DK12</f>
        <v>91</v>
      </c>
      <c r="DL149" s="4935">
        <f t="shared" si="401"/>
        <v>455</v>
      </c>
      <c r="DM149" s="4936">
        <f t="shared" si="401"/>
        <v>49</v>
      </c>
      <c r="DN149" s="4936">
        <f t="shared" si="401"/>
        <v>151</v>
      </c>
      <c r="DO149" s="4936">
        <f t="shared" si="401"/>
        <v>-22</v>
      </c>
      <c r="DP149" s="4936">
        <f t="shared" si="401"/>
        <v>-2</v>
      </c>
      <c r="DQ149" s="4935">
        <f t="shared" ref="DQ149:DQ156" si="402">SUM(DM149:DP149)</f>
        <v>176</v>
      </c>
      <c r="DR149" s="4936">
        <f>DR12</f>
        <v>-109</v>
      </c>
      <c r="DS149" s="4936">
        <f>DS12</f>
        <v>-7</v>
      </c>
      <c r="DT149" s="4936">
        <f>DT12</f>
        <v>62</v>
      </c>
      <c r="DU149" s="4936">
        <f>DU12</f>
        <v>203</v>
      </c>
      <c r="DV149" s="4935">
        <f t="shared" ref="DV149:DV156" si="403">SUM(DR149:DU149)</f>
        <v>149</v>
      </c>
      <c r="DW149" s="4936">
        <f>DW12</f>
        <v>278</v>
      </c>
      <c r="DX149" s="4936">
        <f>DX12</f>
        <v>375</v>
      </c>
      <c r="DY149" s="4936">
        <f>DY12</f>
        <v>638</v>
      </c>
      <c r="DZ149" s="4936">
        <f>DZ12</f>
        <v>669</v>
      </c>
      <c r="EA149" s="4935">
        <f t="shared" ref="EA149:EA156" si="404">SUM(DW149:DZ149)</f>
        <v>1960</v>
      </c>
      <c r="EB149" s="4936">
        <f t="shared" ref="EB149:EE149" si="405">EB12</f>
        <v>84</v>
      </c>
      <c r="EC149" s="4936">
        <f t="shared" si="405"/>
        <v>3</v>
      </c>
      <c r="ED149" s="4936">
        <f t="shared" si="405"/>
        <v>-1</v>
      </c>
      <c r="EE149" s="4936">
        <f t="shared" si="405"/>
        <v>150</v>
      </c>
      <c r="EF149" s="4935">
        <f t="shared" ref="EF149:EF156" si="406">SUM(EB149:EE149)</f>
        <v>236</v>
      </c>
      <c r="EG149" s="4936">
        <f t="shared" ref="EG149:EJ149" si="407">EG12</f>
        <v>72</v>
      </c>
      <c r="EH149" s="4936">
        <f t="shared" si="407"/>
        <v>102</v>
      </c>
      <c r="EI149" s="4936">
        <f t="shared" si="407"/>
        <v>17</v>
      </c>
      <c r="EJ149" s="4936">
        <f t="shared" si="407"/>
        <v>20</v>
      </c>
      <c r="EK149" s="4935">
        <f t="shared" ref="EK149:EK156" si="408">SUM(EG149:EJ149)</f>
        <v>211</v>
      </c>
      <c r="EL149" s="4936">
        <f t="shared" ref="EL149:EN149" si="409">EL12</f>
        <v>260</v>
      </c>
      <c r="EM149" s="4936">
        <f t="shared" si="409"/>
        <v>-112</v>
      </c>
      <c r="EN149" s="4936">
        <f t="shared" si="409"/>
        <v>-207</v>
      </c>
      <c r="EO149" s="4936">
        <f t="shared" ref="EO149" si="410">EO12</f>
        <v>-195.55607516823349</v>
      </c>
      <c r="EP149" s="4935">
        <f t="shared" ref="EP149:EP156" si="411">SUM(EL149:EO149)</f>
        <v>-254.55607516823349</v>
      </c>
      <c r="EQ149" s="4936">
        <f t="shared" ref="EQ149:ET149" si="412">EQ12</f>
        <v>-649.21286703271676</v>
      </c>
      <c r="ER149" s="4936">
        <f t="shared" si="412"/>
        <v>-130.00387208809934</v>
      </c>
      <c r="ES149" s="4936">
        <f t="shared" si="412"/>
        <v>139.86763587836194</v>
      </c>
      <c r="ET149" s="4936">
        <f t="shared" si="412"/>
        <v>53.200193109215618</v>
      </c>
      <c r="EU149" s="4935">
        <f t="shared" ref="EU149:EU156" si="413">SUM(EQ149:ET149)</f>
        <v>-586.14891013323847</v>
      </c>
      <c r="EV149" s="4935">
        <f>EV12</f>
        <v>0</v>
      </c>
      <c r="EW149" s="4935">
        <f>EW12</f>
        <v>0</v>
      </c>
      <c r="EX149" s="4935">
        <f>EX12</f>
        <v>0</v>
      </c>
      <c r="EY149" s="4935">
        <f>EY12</f>
        <v>0</v>
      </c>
      <c r="EZ149" s="170"/>
      <c r="FA149" s="1319"/>
      <c r="FB149" s="1319"/>
      <c r="FC149" s="511"/>
    </row>
    <row r="150" spans="1:159" s="4" customFormat="1" ht="11.25" customHeight="1">
      <c r="A150" s="5906" t="str">
        <f>A20</f>
        <v>Corporate costs, unallocated</v>
      </c>
      <c r="B150" s="5277"/>
      <c r="C150" s="5277"/>
      <c r="D150" s="5277"/>
      <c r="E150" s="5278"/>
      <c r="F150" s="5279"/>
      <c r="G150" s="5277"/>
      <c r="H150" s="5277"/>
      <c r="I150" s="5277"/>
      <c r="J150" s="5278"/>
      <c r="K150" s="5279"/>
      <c r="L150" s="5277"/>
      <c r="M150" s="5277"/>
      <c r="N150" s="5277"/>
      <c r="O150" s="5278"/>
      <c r="P150" s="5280"/>
      <c r="Q150" s="5281"/>
      <c r="R150" s="5277"/>
      <c r="S150" s="5277"/>
      <c r="T150" s="5278"/>
      <c r="U150" s="5279"/>
      <c r="V150" s="5282"/>
      <c r="W150" s="5277"/>
      <c r="X150" s="5277"/>
      <c r="Y150" s="5278"/>
      <c r="Z150" s="5279"/>
      <c r="AA150" s="5282"/>
      <c r="AB150" s="5277"/>
      <c r="AC150" s="5277"/>
      <c r="AD150" s="5278"/>
      <c r="AE150" s="5279"/>
      <c r="AF150" s="5282"/>
      <c r="AG150" s="5277"/>
      <c r="AH150" s="5277"/>
      <c r="AI150" s="5278"/>
      <c r="AJ150" s="5279"/>
      <c r="AK150" s="5277"/>
      <c r="AL150" s="5277"/>
      <c r="AM150" s="5277"/>
      <c r="AN150" s="5278"/>
      <c r="AO150" s="5279"/>
      <c r="AP150" s="5277"/>
      <c r="AQ150" s="5277"/>
      <c r="AR150" s="5277"/>
      <c r="AS150" s="5278"/>
      <c r="AT150" s="5279"/>
      <c r="AU150" s="5277"/>
      <c r="AV150" s="5277"/>
      <c r="AW150" s="5277"/>
      <c r="AX150" s="5278"/>
      <c r="AY150" s="5279"/>
      <c r="AZ150" s="5277"/>
      <c r="BA150" s="5277"/>
      <c r="BB150" s="5277"/>
      <c r="BC150" s="5277"/>
      <c r="BD150" s="5283"/>
      <c r="BE150" s="5284"/>
      <c r="BF150" s="5277"/>
      <c r="BG150" s="5277"/>
      <c r="BH150" s="5277"/>
      <c r="BI150" s="5283"/>
      <c r="BJ150" s="5277"/>
      <c r="BK150" s="5277"/>
      <c r="BL150" s="5277"/>
      <c r="BM150" s="5277"/>
      <c r="BN150" s="5283"/>
      <c r="BO150" s="5277"/>
      <c r="BP150" s="5277"/>
      <c r="BQ150" s="5277"/>
      <c r="BR150" s="5278"/>
      <c r="BS150" s="5279"/>
      <c r="BT150" s="5277"/>
      <c r="BU150" s="5277"/>
      <c r="BV150" s="5277"/>
      <c r="BW150" s="5277"/>
      <c r="BX150" s="5283"/>
      <c r="BY150" s="5277"/>
      <c r="BZ150" s="5277"/>
      <c r="CA150" s="5277"/>
      <c r="CB150" s="5277"/>
      <c r="CC150" s="5283"/>
      <c r="CD150" s="5277"/>
      <c r="CE150" s="5277"/>
      <c r="CF150" s="5277"/>
      <c r="CG150" s="5277"/>
      <c r="CH150" s="5283"/>
      <c r="CI150" s="5277"/>
      <c r="CJ150" s="5277"/>
      <c r="CK150" s="5277"/>
      <c r="CL150" s="5277"/>
      <c r="CM150" s="5283"/>
      <c r="CN150" s="5277"/>
      <c r="CO150" s="5277"/>
      <c r="CP150" s="5277"/>
      <c r="CQ150" s="5277"/>
      <c r="CR150" s="5283"/>
      <c r="CS150" s="5277"/>
      <c r="CT150" s="5277"/>
      <c r="CU150" s="5277"/>
      <c r="CV150" s="5277"/>
      <c r="CW150" s="5283"/>
      <c r="CX150" s="5277"/>
      <c r="CY150" s="5277"/>
      <c r="CZ150" s="5277"/>
      <c r="DA150" s="5277"/>
      <c r="DB150" s="5283"/>
      <c r="DC150" s="5277"/>
      <c r="DD150" s="5277"/>
      <c r="DE150" s="5277"/>
      <c r="DF150" s="5277"/>
      <c r="DG150" s="6261">
        <f>DG149-DG152-DG151</f>
        <v>2698</v>
      </c>
      <c r="DH150" s="6262"/>
      <c r="DI150" s="6262"/>
      <c r="DJ150" s="6262"/>
      <c r="DK150" s="6262">
        <f t="shared" ref="DK150:DP150" si="414">DK149-DK152-DK151</f>
        <v>1093</v>
      </c>
      <c r="DL150" s="6261">
        <f t="shared" si="414"/>
        <v>4057</v>
      </c>
      <c r="DM150" s="6262">
        <f t="shared" si="414"/>
        <v>769</v>
      </c>
      <c r="DN150" s="6262">
        <f t="shared" si="414"/>
        <v>765</v>
      </c>
      <c r="DO150" s="6262">
        <f t="shared" si="414"/>
        <v>907</v>
      </c>
      <c r="DP150" s="6262">
        <f t="shared" si="414"/>
        <v>1034</v>
      </c>
      <c r="DQ150" s="6261">
        <f t="shared" si="402"/>
        <v>3475</v>
      </c>
      <c r="DR150" s="6262">
        <f>DR149-DR152-DR151</f>
        <v>881</v>
      </c>
      <c r="DS150" s="6262">
        <f>DS149-DS152-DS151</f>
        <v>986</v>
      </c>
      <c r="DT150" s="6262">
        <f>DT149-DT152-DT151</f>
        <v>1072</v>
      </c>
      <c r="DU150" s="6262">
        <f>DU149-DU152-DU151</f>
        <v>1971</v>
      </c>
      <c r="DV150" s="6261">
        <f t="shared" si="403"/>
        <v>4910</v>
      </c>
      <c r="DW150" s="6262">
        <f>DW149-DW152-DW151</f>
        <v>616</v>
      </c>
      <c r="DX150" s="6262">
        <f>DX149-DX152-DX151</f>
        <v>614</v>
      </c>
      <c r="DY150" s="6262">
        <f>DY149-DY152-DY151</f>
        <v>721</v>
      </c>
      <c r="DZ150" s="6262">
        <f>DZ149-DZ152-DZ151</f>
        <v>1308</v>
      </c>
      <c r="EA150" s="6261">
        <f t="shared" si="404"/>
        <v>3259</v>
      </c>
      <c r="EB150" s="6262">
        <f t="shared" ref="EB150:EE150" si="415">EB149-EB152-EB151</f>
        <v>814</v>
      </c>
      <c r="EC150" s="6262">
        <f t="shared" si="415"/>
        <v>1131</v>
      </c>
      <c r="ED150" s="6262">
        <f t="shared" si="415"/>
        <v>1356</v>
      </c>
      <c r="EE150" s="6262">
        <f t="shared" si="415"/>
        <v>1916</v>
      </c>
      <c r="EF150" s="6261">
        <f t="shared" si="406"/>
        <v>5217</v>
      </c>
      <c r="EG150" s="6262">
        <f t="shared" ref="EG150:EJ150" si="416">EG149-EG152-EG151</f>
        <v>1661</v>
      </c>
      <c r="EH150" s="6262">
        <f t="shared" si="416"/>
        <v>2389</v>
      </c>
      <c r="EI150" s="6262">
        <f t="shared" si="416"/>
        <v>2576</v>
      </c>
      <c r="EJ150" s="6262">
        <f t="shared" si="416"/>
        <v>2339</v>
      </c>
      <c r="EK150" s="6261">
        <f t="shared" si="408"/>
        <v>8965</v>
      </c>
      <c r="EL150" s="6262">
        <f t="shared" ref="EL150:EN150" si="417">EL149-EL152-EL151</f>
        <v>3287</v>
      </c>
      <c r="EM150" s="6262">
        <f t="shared" si="417"/>
        <v>3260</v>
      </c>
      <c r="EN150" s="6262">
        <f t="shared" si="417"/>
        <v>3653</v>
      </c>
      <c r="EO150" s="6262">
        <f t="shared" ref="EO150" si="418">EO14*EO163</f>
        <v>3710.5823824027584</v>
      </c>
      <c r="EP150" s="6261">
        <f t="shared" si="411"/>
        <v>13910.582382402758</v>
      </c>
      <c r="EQ150" s="6262">
        <f t="shared" ref="EQ150:ET150" si="419">EQ14*EQ163</f>
        <v>4278.9490134065427</v>
      </c>
      <c r="ER150" s="6262">
        <f t="shared" si="419"/>
        <v>4340.6215683769597</v>
      </c>
      <c r="ES150" s="6262">
        <f t="shared" si="419"/>
        <v>4631.1949640037192</v>
      </c>
      <c r="ET150" s="6262">
        <f t="shared" si="419"/>
        <v>4695.1945107278161</v>
      </c>
      <c r="EU150" s="6261">
        <f t="shared" si="413"/>
        <v>17945.960056515036</v>
      </c>
      <c r="EV150" s="6261">
        <f>EV14*EV163</f>
        <v>20592.538223054704</v>
      </c>
      <c r="EW150" s="6261">
        <f>EW14*EW163</f>
        <v>23174.655470045396</v>
      </c>
      <c r="EX150" s="6261">
        <f>EX14*EX163</f>
        <v>25626.657387445099</v>
      </c>
      <c r="EY150" s="6261">
        <f>EY14*EY163</f>
        <v>28026.631740740126</v>
      </c>
      <c r="EZ150" s="170"/>
      <c r="FA150" s="1319">
        <f>IF(AND(EV150&gt;0,EK150&gt;0),(EV150/EK150)^(1/3)-1,"NA")</f>
        <v>0.31943053017782463</v>
      </c>
      <c r="FB150" s="1319">
        <f>IF(AND(EX150&gt;0,EK150&gt;0),(EX150/EK150)^(1/5)-1,"NA")</f>
        <v>0.23375331830255397</v>
      </c>
      <c r="FC150" s="511"/>
    </row>
    <row r="151" spans="1:159" s="4" customFormat="1" ht="11.25" customHeight="1">
      <c r="A151" s="4857" t="s">
        <v>246</v>
      </c>
      <c r="B151" s="170"/>
      <c r="C151" s="170"/>
      <c r="D151" s="170"/>
      <c r="E151" s="286"/>
      <c r="F151" s="4858"/>
      <c r="G151" s="170"/>
      <c r="H151" s="170"/>
      <c r="I151" s="170"/>
      <c r="J151" s="286"/>
      <c r="K151" s="4858"/>
      <c r="L151" s="170"/>
      <c r="M151" s="170"/>
      <c r="N151" s="170"/>
      <c r="O151" s="286"/>
      <c r="P151" s="2657"/>
      <c r="Q151" s="2608"/>
      <c r="R151" s="170"/>
      <c r="S151" s="170"/>
      <c r="T151" s="286"/>
      <c r="U151" s="4858"/>
      <c r="V151" s="4859"/>
      <c r="W151" s="170"/>
      <c r="X151" s="170"/>
      <c r="Y151" s="286"/>
      <c r="Z151" s="4858"/>
      <c r="AA151" s="4859"/>
      <c r="AB151" s="170"/>
      <c r="AC151" s="170"/>
      <c r="AD151" s="286"/>
      <c r="AE151" s="4858"/>
      <c r="AF151" s="4859"/>
      <c r="AG151" s="170"/>
      <c r="AH151" s="170"/>
      <c r="AI151" s="286"/>
      <c r="AJ151" s="4858"/>
      <c r="AK151" s="170"/>
      <c r="AL151" s="170"/>
      <c r="AM151" s="170"/>
      <c r="AN151" s="286"/>
      <c r="AO151" s="4858"/>
      <c r="AP151" s="170"/>
      <c r="AQ151" s="170"/>
      <c r="AR151" s="170"/>
      <c r="AS151" s="286"/>
      <c r="AT151" s="4858"/>
      <c r="AU151" s="170"/>
      <c r="AV151" s="170"/>
      <c r="AW151" s="170"/>
      <c r="AX151" s="286"/>
      <c r="AY151" s="4858"/>
      <c r="AZ151" s="170"/>
      <c r="BA151" s="170"/>
      <c r="BB151" s="170"/>
      <c r="BC151" s="170"/>
      <c r="BD151" s="4860"/>
      <c r="BE151" s="4866"/>
      <c r="BF151" s="170"/>
      <c r="BG151" s="170"/>
      <c r="BH151" s="170"/>
      <c r="BI151" s="4860"/>
      <c r="BJ151" s="170"/>
      <c r="BK151" s="170"/>
      <c r="BL151" s="170"/>
      <c r="BM151" s="170"/>
      <c r="BN151" s="4860"/>
      <c r="BO151" s="170"/>
      <c r="BP151" s="170"/>
      <c r="BQ151" s="170"/>
      <c r="BR151" s="286"/>
      <c r="BS151" s="4858"/>
      <c r="BT151" s="170"/>
      <c r="BU151" s="170"/>
      <c r="BV151" s="170"/>
      <c r="BW151" s="170"/>
      <c r="BX151" s="4860"/>
      <c r="BY151" s="170"/>
      <c r="BZ151" s="170"/>
      <c r="CA151" s="170"/>
      <c r="CB151" s="170"/>
      <c r="CC151" s="4860"/>
      <c r="CD151" s="170"/>
      <c r="CE151" s="170"/>
      <c r="CF151" s="170"/>
      <c r="CG151" s="170"/>
      <c r="CH151" s="4860"/>
      <c r="CI151" s="170"/>
      <c r="CJ151" s="170"/>
      <c r="CK151" s="170"/>
      <c r="CL151" s="170"/>
      <c r="CM151" s="4860"/>
      <c r="CN151" s="170"/>
      <c r="CO151" s="170"/>
      <c r="CP151" s="170"/>
      <c r="CQ151" s="170"/>
      <c r="CR151" s="4860"/>
      <c r="CS151" s="170"/>
      <c r="CT151" s="170"/>
      <c r="CU151" s="170"/>
      <c r="CV151" s="170"/>
      <c r="CW151" s="4860"/>
      <c r="CX151" s="170"/>
      <c r="CY151" s="170"/>
      <c r="CZ151" s="170"/>
      <c r="DA151" s="170"/>
      <c r="DB151" s="4860"/>
      <c r="DC151" s="170"/>
      <c r="DD151" s="170"/>
      <c r="DE151" s="170"/>
      <c r="DF151" s="170"/>
      <c r="DG151" s="4863">
        <f>IS!DG25</f>
        <v>5071</v>
      </c>
      <c r="DH151" s="4865"/>
      <c r="DI151" s="4865"/>
      <c r="DJ151" s="4865"/>
      <c r="DK151" s="4865">
        <f>IS!DK25</f>
        <v>0</v>
      </c>
      <c r="DL151" s="4863">
        <f>IS!DL25</f>
        <v>1697</v>
      </c>
      <c r="DM151" s="4865">
        <f>IS!DM25</f>
        <v>0</v>
      </c>
      <c r="DN151" s="4865">
        <f>IS!DN25</f>
        <v>0</v>
      </c>
      <c r="DO151" s="4865">
        <f>IS!DO25</f>
        <v>0</v>
      </c>
      <c r="DP151" s="4865">
        <f>IS!DP25</f>
        <v>0</v>
      </c>
      <c r="DQ151" s="4863">
        <f t="shared" si="402"/>
        <v>0</v>
      </c>
      <c r="DR151" s="4865">
        <f>IS!DR25</f>
        <v>0</v>
      </c>
      <c r="DS151" s="4865">
        <f>IS!DS25</f>
        <v>0</v>
      </c>
      <c r="DT151" s="4865">
        <f>IS!DT25</f>
        <v>0</v>
      </c>
      <c r="DU151" s="4865">
        <f>IS!DU25</f>
        <v>0</v>
      </c>
      <c r="DV151" s="4863">
        <f t="shared" si="403"/>
        <v>0</v>
      </c>
      <c r="DW151" s="4865">
        <f>IS!DW25</f>
        <v>0</v>
      </c>
      <c r="DX151" s="4865">
        <f>IS!DX25</f>
        <v>0</v>
      </c>
      <c r="DY151" s="4865">
        <f>IS!DY25</f>
        <v>0</v>
      </c>
      <c r="DZ151" s="4865">
        <f>IS!DZ25</f>
        <v>0</v>
      </c>
      <c r="EA151" s="4863">
        <f t="shared" si="404"/>
        <v>0</v>
      </c>
      <c r="EB151" s="4864">
        <f>SUM(IS!EB251,IS!EB258)</f>
        <v>2558</v>
      </c>
      <c r="EC151" s="4864">
        <f>SUM(IS!EC251,IS!EC258)</f>
        <v>70</v>
      </c>
      <c r="ED151" s="4864">
        <f>SUM(IS!ED251,IS!ED258)+207</f>
        <v>309</v>
      </c>
      <c r="EE151" s="4864">
        <f>SUM(IS!EE251,IS!EE258)+62</f>
        <v>1268</v>
      </c>
      <c r="EF151" s="4863">
        <f t="shared" si="406"/>
        <v>4205</v>
      </c>
      <c r="EG151" s="4864">
        <f>SUM(IS!EG251,IS!EG258)</f>
        <v>716</v>
      </c>
      <c r="EH151" s="4864">
        <f>SUM(IS!EH251,IS!EH258)</f>
        <v>0</v>
      </c>
      <c r="EI151" s="4864">
        <v>607</v>
      </c>
      <c r="EJ151" s="4864">
        <f>SUM(IS!EJ251,IS!EJ258)</f>
        <v>464</v>
      </c>
      <c r="EK151" s="4863">
        <f t="shared" si="408"/>
        <v>1787</v>
      </c>
      <c r="EL151" s="4864">
        <f>IS!EL25</f>
        <v>0</v>
      </c>
      <c r="EM151" s="4864">
        <f>IS!EM25</f>
        <v>0</v>
      </c>
      <c r="EN151" s="4864">
        <v>607</v>
      </c>
      <c r="EO151" s="4865">
        <f>IS!EO25</f>
        <v>0</v>
      </c>
      <c r="EP151" s="4863">
        <f t="shared" si="411"/>
        <v>607</v>
      </c>
      <c r="EQ151" s="4865">
        <f>IS!EQ25</f>
        <v>0</v>
      </c>
      <c r="ER151" s="4865">
        <f>IS!ER25</f>
        <v>0</v>
      </c>
      <c r="ES151" s="4865">
        <f>IS!ES25</f>
        <v>0</v>
      </c>
      <c r="ET151" s="4865">
        <f>IS!ET25</f>
        <v>0</v>
      </c>
      <c r="EU151" s="4863">
        <f t="shared" si="413"/>
        <v>0</v>
      </c>
      <c r="EV151" s="4863">
        <f>IS!EV25</f>
        <v>0</v>
      </c>
      <c r="EW151" s="4863">
        <f>IS!EW25</f>
        <v>0</v>
      </c>
      <c r="EX151" s="4863">
        <f>IS!EX25</f>
        <v>0</v>
      </c>
      <c r="EY151" s="4863">
        <f>IS!EY25</f>
        <v>0</v>
      </c>
      <c r="EZ151" s="170"/>
      <c r="FA151" s="1319"/>
      <c r="FB151" s="1319"/>
      <c r="FC151" s="511"/>
    </row>
    <row r="152" spans="1:159" s="4" customFormat="1" ht="11.25" customHeight="1">
      <c r="A152" s="4927" t="s">
        <v>533</v>
      </c>
      <c r="B152" s="4928"/>
      <c r="C152" s="4928"/>
      <c r="D152" s="4928"/>
      <c r="E152" s="4929"/>
      <c r="F152" s="4930"/>
      <c r="G152" s="4928"/>
      <c r="H152" s="4928"/>
      <c r="I152" s="4928"/>
      <c r="J152" s="4929"/>
      <c r="K152" s="4930"/>
      <c r="L152" s="4928"/>
      <c r="M152" s="4928"/>
      <c r="N152" s="4928"/>
      <c r="O152" s="4929"/>
      <c r="P152" s="4931"/>
      <c r="Q152" s="4085"/>
      <c r="R152" s="4928"/>
      <c r="S152" s="4928"/>
      <c r="T152" s="4929"/>
      <c r="U152" s="4930"/>
      <c r="V152" s="4932"/>
      <c r="W152" s="4928"/>
      <c r="X152" s="4928"/>
      <c r="Y152" s="4929"/>
      <c r="Z152" s="4930"/>
      <c r="AA152" s="4932"/>
      <c r="AB152" s="4928"/>
      <c r="AC152" s="4928"/>
      <c r="AD152" s="4929"/>
      <c r="AE152" s="4930"/>
      <c r="AF152" s="4932"/>
      <c r="AG152" s="4928"/>
      <c r="AH152" s="4928"/>
      <c r="AI152" s="4929"/>
      <c r="AJ152" s="4930"/>
      <c r="AK152" s="4928"/>
      <c r="AL152" s="4928"/>
      <c r="AM152" s="4928"/>
      <c r="AN152" s="4929"/>
      <c r="AO152" s="4930"/>
      <c r="AP152" s="4928"/>
      <c r="AQ152" s="4928"/>
      <c r="AR152" s="4928"/>
      <c r="AS152" s="4929"/>
      <c r="AT152" s="4930"/>
      <c r="AU152" s="4928"/>
      <c r="AV152" s="4928"/>
      <c r="AW152" s="4928"/>
      <c r="AX152" s="4929"/>
      <c r="AY152" s="4930"/>
      <c r="AZ152" s="4928"/>
      <c r="BA152" s="4928"/>
      <c r="BB152" s="4928"/>
      <c r="BC152" s="4928"/>
      <c r="BD152" s="4933"/>
      <c r="BE152" s="4934"/>
      <c r="BF152" s="4928"/>
      <c r="BG152" s="4928"/>
      <c r="BH152" s="4928"/>
      <c r="BI152" s="4933"/>
      <c r="BJ152" s="4928"/>
      <c r="BK152" s="4928"/>
      <c r="BL152" s="4928"/>
      <c r="BM152" s="4928"/>
      <c r="BN152" s="4933"/>
      <c r="BO152" s="4928"/>
      <c r="BP152" s="4928"/>
      <c r="BQ152" s="4928"/>
      <c r="BR152" s="4929"/>
      <c r="BS152" s="4930"/>
      <c r="BT152" s="4928"/>
      <c r="BU152" s="4928"/>
      <c r="BV152" s="4928"/>
      <c r="BW152" s="4928"/>
      <c r="BX152" s="4933"/>
      <c r="BY152" s="4928"/>
      <c r="BZ152" s="4928"/>
      <c r="CA152" s="4928"/>
      <c r="CB152" s="4928"/>
      <c r="CC152" s="4933"/>
      <c r="CD152" s="4928"/>
      <c r="CE152" s="4928"/>
      <c r="CF152" s="4928"/>
      <c r="CG152" s="4928"/>
      <c r="CH152" s="4933"/>
      <c r="CI152" s="4928"/>
      <c r="CJ152" s="4928"/>
      <c r="CK152" s="4928"/>
      <c r="CL152" s="4928"/>
      <c r="CM152" s="4933"/>
      <c r="CN152" s="4928"/>
      <c r="CO152" s="4928"/>
      <c r="CP152" s="4928"/>
      <c r="CQ152" s="4928"/>
      <c r="CR152" s="4933"/>
      <c r="CS152" s="4928"/>
      <c r="CT152" s="4928"/>
      <c r="CU152" s="4928"/>
      <c r="CV152" s="4928"/>
      <c r="CW152" s="4933"/>
      <c r="CX152" s="4928"/>
      <c r="CY152" s="4928"/>
      <c r="CZ152" s="4928"/>
      <c r="DA152" s="4928"/>
      <c r="DB152" s="4933"/>
      <c r="DC152" s="4928"/>
      <c r="DD152" s="4928"/>
      <c r="DE152" s="4928"/>
      <c r="DF152" s="4928"/>
      <c r="DG152" s="4935">
        <f>DG20</f>
        <v>-7907</v>
      </c>
      <c r="DH152" s="4936"/>
      <c r="DI152" s="4936"/>
      <c r="DJ152" s="4936"/>
      <c r="DK152" s="4936">
        <f t="shared" ref="DK152:DP152" si="420">DK20</f>
        <v>-1002</v>
      </c>
      <c r="DL152" s="4935">
        <f t="shared" si="420"/>
        <v>-5299</v>
      </c>
      <c r="DM152" s="4936">
        <f t="shared" si="420"/>
        <v>-720</v>
      </c>
      <c r="DN152" s="4936">
        <f t="shared" si="420"/>
        <v>-614</v>
      </c>
      <c r="DO152" s="4936">
        <f t="shared" si="420"/>
        <v>-929</v>
      </c>
      <c r="DP152" s="4936">
        <f t="shared" si="420"/>
        <v>-1036</v>
      </c>
      <c r="DQ152" s="4935">
        <f t="shared" si="402"/>
        <v>-3299</v>
      </c>
      <c r="DR152" s="4936">
        <f>DR20</f>
        <v>-990</v>
      </c>
      <c r="DS152" s="4936">
        <f>DS20</f>
        <v>-993</v>
      </c>
      <c r="DT152" s="4936">
        <f>DT20</f>
        <v>-1010</v>
      </c>
      <c r="DU152" s="4936">
        <f>DU20</f>
        <v>-1768</v>
      </c>
      <c r="DV152" s="4935">
        <f t="shared" si="403"/>
        <v>-4761</v>
      </c>
      <c r="DW152" s="4936">
        <f>DW20</f>
        <v>-338</v>
      </c>
      <c r="DX152" s="4936">
        <f>DX20</f>
        <v>-239</v>
      </c>
      <c r="DY152" s="4936">
        <f>DY20</f>
        <v>-83</v>
      </c>
      <c r="DZ152" s="4936">
        <f>DZ20</f>
        <v>-639</v>
      </c>
      <c r="EA152" s="4935">
        <f t="shared" si="404"/>
        <v>-1299</v>
      </c>
      <c r="EB152" s="4936">
        <f t="shared" ref="EB152:EE152" si="421">EB20</f>
        <v>-3288</v>
      </c>
      <c r="EC152" s="4936">
        <f t="shared" si="421"/>
        <v>-1198</v>
      </c>
      <c r="ED152" s="4936">
        <f t="shared" si="421"/>
        <v>-1666</v>
      </c>
      <c r="EE152" s="4936">
        <f t="shared" si="421"/>
        <v>-3034</v>
      </c>
      <c r="EF152" s="4935">
        <f t="shared" si="406"/>
        <v>-9186</v>
      </c>
      <c r="EG152" s="4936">
        <f t="shared" ref="EG152:EJ152" si="422">EG20</f>
        <v>-2305</v>
      </c>
      <c r="EH152" s="4936">
        <f t="shared" si="422"/>
        <v>-2287</v>
      </c>
      <c r="EI152" s="4936">
        <f t="shared" si="422"/>
        <v>-3166</v>
      </c>
      <c r="EJ152" s="4936">
        <f t="shared" si="422"/>
        <v>-2783</v>
      </c>
      <c r="EK152" s="4935">
        <f t="shared" si="408"/>
        <v>-10541</v>
      </c>
      <c r="EL152" s="4936">
        <f t="shared" ref="EL152:EN152" si="423">EL20</f>
        <v>-3027</v>
      </c>
      <c r="EM152" s="4936">
        <f t="shared" si="423"/>
        <v>-3372</v>
      </c>
      <c r="EN152" s="4936">
        <f t="shared" si="423"/>
        <v>-4467</v>
      </c>
      <c r="EO152" s="4936">
        <f t="shared" ref="EO152" si="424">EO149-EO150-EO151</f>
        <v>-3906.1384575709917</v>
      </c>
      <c r="EP152" s="4935">
        <f t="shared" si="411"/>
        <v>-14772.138457570993</v>
      </c>
      <c r="EQ152" s="4936">
        <f t="shared" ref="EQ152:ET152" si="425">EQ149-EQ150-EQ151</f>
        <v>-4928.1618804392592</v>
      </c>
      <c r="ER152" s="4936">
        <f t="shared" si="425"/>
        <v>-4470.625440465059</v>
      </c>
      <c r="ES152" s="4936">
        <f t="shared" si="425"/>
        <v>-4491.3273281253569</v>
      </c>
      <c r="ET152" s="4936">
        <f t="shared" si="425"/>
        <v>-4641.9943176186007</v>
      </c>
      <c r="EU152" s="4935">
        <f t="shared" si="413"/>
        <v>-18532.108966648273</v>
      </c>
      <c r="EV152" s="4935">
        <f>EV149-EV150-EV151</f>
        <v>-20592.538223054704</v>
      </c>
      <c r="EW152" s="4935">
        <f>EW149-EW150-EW151</f>
        <v>-23174.655470045396</v>
      </c>
      <c r="EX152" s="4935">
        <f>EX149-EX150-EX151</f>
        <v>-25626.657387445099</v>
      </c>
      <c r="EY152" s="4935">
        <f>EY149-EY150-EY151</f>
        <v>-28026.631740740126</v>
      </c>
      <c r="EZ152" s="170"/>
      <c r="FA152" s="1319"/>
      <c r="FB152" s="1319"/>
      <c r="FC152" s="511"/>
    </row>
    <row r="153" spans="1:159" s="4" customFormat="1" ht="11.25" customHeight="1">
      <c r="A153" s="4857" t="s">
        <v>479</v>
      </c>
      <c r="B153" s="170"/>
      <c r="C153" s="170"/>
      <c r="D153" s="170"/>
      <c r="E153" s="286"/>
      <c r="F153" s="4858"/>
      <c r="G153" s="170"/>
      <c r="H153" s="170"/>
      <c r="I153" s="170"/>
      <c r="J153" s="286"/>
      <c r="K153" s="4858"/>
      <c r="L153" s="170"/>
      <c r="M153" s="170"/>
      <c r="N153" s="170"/>
      <c r="O153" s="286"/>
      <c r="P153" s="2657"/>
      <c r="Q153" s="2608"/>
      <c r="R153" s="170"/>
      <c r="S153" s="170"/>
      <c r="T153" s="286"/>
      <c r="U153" s="4858"/>
      <c r="V153" s="4859"/>
      <c r="W153" s="170"/>
      <c r="X153" s="170"/>
      <c r="Y153" s="286"/>
      <c r="Z153" s="4858"/>
      <c r="AA153" s="4859"/>
      <c r="AB153" s="170"/>
      <c r="AC153" s="170"/>
      <c r="AD153" s="286"/>
      <c r="AE153" s="4858"/>
      <c r="AF153" s="4859"/>
      <c r="AG153" s="170"/>
      <c r="AH153" s="170"/>
      <c r="AI153" s="286"/>
      <c r="AJ153" s="4858"/>
      <c r="AK153" s="170"/>
      <c r="AL153" s="170"/>
      <c r="AM153" s="170"/>
      <c r="AN153" s="286"/>
      <c r="AO153" s="4858"/>
      <c r="AP153" s="170"/>
      <c r="AQ153" s="170"/>
      <c r="AR153" s="170"/>
      <c r="AS153" s="286"/>
      <c r="AT153" s="4858"/>
      <c r="AU153" s="170"/>
      <c r="AV153" s="170"/>
      <c r="AW153" s="170"/>
      <c r="AX153" s="286"/>
      <c r="AY153" s="4858"/>
      <c r="AZ153" s="170"/>
      <c r="BA153" s="170"/>
      <c r="BB153" s="170"/>
      <c r="BC153" s="170"/>
      <c r="BD153" s="4860"/>
      <c r="BE153" s="4866"/>
      <c r="BF153" s="170"/>
      <c r="BG153" s="170"/>
      <c r="BH153" s="170"/>
      <c r="BI153" s="4860"/>
      <c r="BJ153" s="170"/>
      <c r="BK153" s="170"/>
      <c r="BL153" s="170"/>
      <c r="BM153" s="170"/>
      <c r="BN153" s="4860"/>
      <c r="BO153" s="170"/>
      <c r="BP153" s="170"/>
      <c r="BQ153" s="170"/>
      <c r="BR153" s="286"/>
      <c r="BS153" s="4858"/>
      <c r="BT153" s="170"/>
      <c r="BU153" s="170"/>
      <c r="BV153" s="170"/>
      <c r="BW153" s="170"/>
      <c r="BX153" s="4860"/>
      <c r="BY153" s="170"/>
      <c r="BZ153" s="170"/>
      <c r="CA153" s="170"/>
      <c r="CB153" s="170"/>
      <c r="CC153" s="4860"/>
      <c r="CD153" s="170"/>
      <c r="CE153" s="170"/>
      <c r="CF153" s="170"/>
      <c r="CG153" s="170"/>
      <c r="CH153" s="4860"/>
      <c r="CI153" s="170"/>
      <c r="CJ153" s="170"/>
      <c r="CK153" s="170"/>
      <c r="CL153" s="170"/>
      <c r="CM153" s="4860"/>
      <c r="CN153" s="170"/>
      <c r="CO153" s="170"/>
      <c r="CP153" s="170"/>
      <c r="CQ153" s="170"/>
      <c r="CR153" s="4860"/>
      <c r="CS153" s="170"/>
      <c r="CT153" s="170"/>
      <c r="CU153" s="170"/>
      <c r="CV153" s="170"/>
      <c r="CW153" s="4860"/>
      <c r="CX153" s="170"/>
      <c r="CY153" s="170"/>
      <c r="CZ153" s="170"/>
      <c r="DA153" s="170"/>
      <c r="DB153" s="4860"/>
      <c r="DC153" s="170"/>
      <c r="DD153" s="170"/>
      <c r="DE153" s="170"/>
      <c r="DF153" s="170"/>
      <c r="DG153" s="4940">
        <v>0</v>
      </c>
      <c r="DH153" s="4865"/>
      <c r="DI153" s="4865"/>
      <c r="DJ153" s="4865"/>
      <c r="DK153" s="4941">
        <v>0</v>
      </c>
      <c r="DL153" s="4940">
        <v>0</v>
      </c>
      <c r="DM153" s="4941">
        <v>0</v>
      </c>
      <c r="DN153" s="4941">
        <v>0</v>
      </c>
      <c r="DO153" s="4941">
        <v>0</v>
      </c>
      <c r="DP153" s="4941">
        <v>0</v>
      </c>
      <c r="DQ153" s="4863">
        <f t="shared" si="402"/>
        <v>0</v>
      </c>
      <c r="DR153" s="4941">
        <v>0</v>
      </c>
      <c r="DS153" s="4941">
        <v>0</v>
      </c>
      <c r="DT153" s="4941">
        <v>0</v>
      </c>
      <c r="DU153" s="4941">
        <v>0</v>
      </c>
      <c r="DV153" s="4863">
        <f t="shared" si="403"/>
        <v>0</v>
      </c>
      <c r="DW153" s="4941">
        <v>0</v>
      </c>
      <c r="DX153" s="4941">
        <v>0</v>
      </c>
      <c r="DY153" s="4941">
        <v>0</v>
      </c>
      <c r="DZ153" s="4941">
        <v>0</v>
      </c>
      <c r="EA153" s="4863">
        <f t="shared" si="404"/>
        <v>0</v>
      </c>
      <c r="EB153" s="4941">
        <v>0</v>
      </c>
      <c r="EC153" s="4941">
        <v>0</v>
      </c>
      <c r="ED153" s="4941">
        <v>0</v>
      </c>
      <c r="EE153" s="4865">
        <v>0</v>
      </c>
      <c r="EF153" s="4863">
        <f t="shared" si="406"/>
        <v>0</v>
      </c>
      <c r="EG153" s="4941">
        <v>0</v>
      </c>
      <c r="EH153" s="4941">
        <v>0</v>
      </c>
      <c r="EI153" s="4941">
        <v>0</v>
      </c>
      <c r="EJ153" s="4865">
        <v>0</v>
      </c>
      <c r="EK153" s="4863">
        <f t="shared" si="408"/>
        <v>0</v>
      </c>
      <c r="EL153" s="4941">
        <v>0</v>
      </c>
      <c r="EM153" s="4941">
        <v>0</v>
      </c>
      <c r="EN153" s="4941">
        <v>0</v>
      </c>
      <c r="EO153" s="4941">
        <v>0</v>
      </c>
      <c r="EP153" s="4863">
        <f t="shared" si="411"/>
        <v>0</v>
      </c>
      <c r="EQ153" s="4941">
        <v>0</v>
      </c>
      <c r="ER153" s="4941">
        <v>0</v>
      </c>
      <c r="ES153" s="4941">
        <v>0</v>
      </c>
      <c r="ET153" s="4941">
        <v>0</v>
      </c>
      <c r="EU153" s="4863">
        <f t="shared" si="413"/>
        <v>0</v>
      </c>
      <c r="EV153" s="4940">
        <v>0</v>
      </c>
      <c r="EW153" s="4940">
        <v>0</v>
      </c>
      <c r="EX153" s="4940">
        <v>0</v>
      </c>
      <c r="EY153" s="4940">
        <v>0</v>
      </c>
      <c r="EZ153" s="170"/>
      <c r="FA153" s="1319"/>
      <c r="FB153" s="1319"/>
      <c r="FC153" s="511"/>
    </row>
    <row r="154" spans="1:159" s="4" customFormat="1" ht="11.25" customHeight="1">
      <c r="A154" s="4905" t="s">
        <v>225</v>
      </c>
      <c r="B154" s="170"/>
      <c r="C154" s="170"/>
      <c r="D154" s="170"/>
      <c r="E154" s="286"/>
      <c r="F154" s="4858"/>
      <c r="G154" s="170"/>
      <c r="H154" s="170"/>
      <c r="I154" s="170"/>
      <c r="J154" s="286"/>
      <c r="K154" s="4858"/>
      <c r="L154" s="170"/>
      <c r="M154" s="170"/>
      <c r="N154" s="170"/>
      <c r="O154" s="286"/>
      <c r="P154" s="2657"/>
      <c r="Q154" s="2608"/>
      <c r="R154" s="170"/>
      <c r="S154" s="170"/>
      <c r="T154" s="286"/>
      <c r="U154" s="4858"/>
      <c r="V154" s="4859"/>
      <c r="W154" s="170"/>
      <c r="X154" s="170"/>
      <c r="Y154" s="286"/>
      <c r="Z154" s="4858"/>
      <c r="AA154" s="4859"/>
      <c r="AB154" s="170"/>
      <c r="AC154" s="170"/>
      <c r="AD154" s="286"/>
      <c r="AE154" s="4858"/>
      <c r="AF154" s="4859"/>
      <c r="AG154" s="170"/>
      <c r="AH154" s="170"/>
      <c r="AI154" s="286"/>
      <c r="AJ154" s="4858"/>
      <c r="AK154" s="170"/>
      <c r="AL154" s="170"/>
      <c r="AM154" s="170"/>
      <c r="AN154" s="286"/>
      <c r="AO154" s="4858"/>
      <c r="AP154" s="170"/>
      <c r="AQ154" s="170"/>
      <c r="AR154" s="170"/>
      <c r="AS154" s="286"/>
      <c r="AT154" s="4858"/>
      <c r="AU154" s="170"/>
      <c r="AV154" s="170"/>
      <c r="AW154" s="170"/>
      <c r="AX154" s="286"/>
      <c r="AY154" s="4858"/>
      <c r="AZ154" s="170"/>
      <c r="BA154" s="170"/>
      <c r="BB154" s="170"/>
      <c r="BC154" s="170"/>
      <c r="BD154" s="4860"/>
      <c r="BE154" s="4866"/>
      <c r="BF154" s="170"/>
      <c r="BG154" s="170"/>
      <c r="BH154" s="170"/>
      <c r="BI154" s="4860"/>
      <c r="BJ154" s="170"/>
      <c r="BK154" s="170"/>
      <c r="BL154" s="170"/>
      <c r="BM154" s="170"/>
      <c r="BN154" s="4860"/>
      <c r="BO154" s="170"/>
      <c r="BP154" s="170"/>
      <c r="BQ154" s="170"/>
      <c r="BR154" s="286"/>
      <c r="BS154" s="4858"/>
      <c r="BT154" s="170"/>
      <c r="BU154" s="170"/>
      <c r="BV154" s="170"/>
      <c r="BW154" s="170"/>
      <c r="BX154" s="4860"/>
      <c r="BY154" s="170"/>
      <c r="BZ154" s="170"/>
      <c r="CA154" s="170"/>
      <c r="CB154" s="170"/>
      <c r="CC154" s="4860"/>
      <c r="CD154" s="170"/>
      <c r="CE154" s="170"/>
      <c r="CF154" s="170"/>
      <c r="CG154" s="170"/>
      <c r="CH154" s="4860"/>
      <c r="CI154" s="170"/>
      <c r="CJ154" s="170"/>
      <c r="CK154" s="170"/>
      <c r="CL154" s="170"/>
      <c r="CM154" s="4860"/>
      <c r="CN154" s="170"/>
      <c r="CO154" s="170"/>
      <c r="CP154" s="170"/>
      <c r="CQ154" s="170"/>
      <c r="CR154" s="4860"/>
      <c r="CS154" s="170"/>
      <c r="CT154" s="170"/>
      <c r="CU154" s="170"/>
      <c r="CV154" s="170"/>
      <c r="CW154" s="4860"/>
      <c r="CX154" s="170"/>
      <c r="CY154" s="170"/>
      <c r="CZ154" s="170"/>
      <c r="DA154" s="170"/>
      <c r="DB154" s="4860"/>
      <c r="DC154" s="170"/>
      <c r="DD154" s="170"/>
      <c r="DE154" s="170"/>
      <c r="DF154" s="170"/>
      <c r="DG154" s="4863">
        <f>DG152+DG153</f>
        <v>-7907</v>
      </c>
      <c r="DH154" s="4865"/>
      <c r="DI154" s="4865"/>
      <c r="DJ154" s="4865"/>
      <c r="DK154" s="4865">
        <f t="shared" ref="DK154:DP154" si="426">DK152+DK153</f>
        <v>-1002</v>
      </c>
      <c r="DL154" s="4863">
        <f t="shared" si="426"/>
        <v>-5299</v>
      </c>
      <c r="DM154" s="4865">
        <f t="shared" si="426"/>
        <v>-720</v>
      </c>
      <c r="DN154" s="4865">
        <f t="shared" si="426"/>
        <v>-614</v>
      </c>
      <c r="DO154" s="4865">
        <f t="shared" si="426"/>
        <v>-929</v>
      </c>
      <c r="DP154" s="4865">
        <f t="shared" si="426"/>
        <v>-1036</v>
      </c>
      <c r="DQ154" s="4863">
        <f t="shared" si="402"/>
        <v>-3299</v>
      </c>
      <c r="DR154" s="4865">
        <f>DR152+DR153</f>
        <v>-990</v>
      </c>
      <c r="DS154" s="4865">
        <f>DS152+DS153</f>
        <v>-993</v>
      </c>
      <c r="DT154" s="4865">
        <f>DT152+DT153</f>
        <v>-1010</v>
      </c>
      <c r="DU154" s="4865">
        <f>DU152+DU153</f>
        <v>-1768</v>
      </c>
      <c r="DV154" s="4863">
        <f t="shared" si="403"/>
        <v>-4761</v>
      </c>
      <c r="DW154" s="4865">
        <f>DW152+DW153</f>
        <v>-338</v>
      </c>
      <c r="DX154" s="4865">
        <f>DX152+DX153</f>
        <v>-239</v>
      </c>
      <c r="DY154" s="4865">
        <f>DY152+DY153</f>
        <v>-83</v>
      </c>
      <c r="DZ154" s="4865">
        <f>DZ152+DZ153</f>
        <v>-639</v>
      </c>
      <c r="EA154" s="4863">
        <f t="shared" si="404"/>
        <v>-1299</v>
      </c>
      <c r="EB154" s="4865">
        <f t="shared" ref="EB154:EE154" si="427">EB152+EB153</f>
        <v>-3288</v>
      </c>
      <c r="EC154" s="4865">
        <f t="shared" si="427"/>
        <v>-1198</v>
      </c>
      <c r="ED154" s="4865">
        <f t="shared" si="427"/>
        <v>-1666</v>
      </c>
      <c r="EE154" s="4865">
        <f t="shared" si="427"/>
        <v>-3034</v>
      </c>
      <c r="EF154" s="4863">
        <f t="shared" si="406"/>
        <v>-9186</v>
      </c>
      <c r="EG154" s="4865">
        <f t="shared" ref="EG154:EJ154" si="428">EG152+EG153</f>
        <v>-2305</v>
      </c>
      <c r="EH154" s="4865">
        <f t="shared" si="428"/>
        <v>-2287</v>
      </c>
      <c r="EI154" s="4865">
        <f t="shared" si="428"/>
        <v>-3166</v>
      </c>
      <c r="EJ154" s="4865">
        <f t="shared" si="428"/>
        <v>-2783</v>
      </c>
      <c r="EK154" s="4863">
        <f t="shared" si="408"/>
        <v>-10541</v>
      </c>
      <c r="EL154" s="4865">
        <f t="shared" ref="EL154:EN154" si="429">EL152+EL153</f>
        <v>-3027</v>
      </c>
      <c r="EM154" s="4865">
        <f t="shared" si="429"/>
        <v>-3372</v>
      </c>
      <c r="EN154" s="4865">
        <f t="shared" si="429"/>
        <v>-4467</v>
      </c>
      <c r="EO154" s="4865">
        <f t="shared" ref="EO154" si="430">EO152+EO153</f>
        <v>-3906.1384575709917</v>
      </c>
      <c r="EP154" s="4863">
        <f t="shared" si="411"/>
        <v>-14772.138457570993</v>
      </c>
      <c r="EQ154" s="4865">
        <f t="shared" ref="EQ154:ET154" si="431">EQ152+EQ153</f>
        <v>-4928.1618804392592</v>
      </c>
      <c r="ER154" s="4865">
        <f t="shared" si="431"/>
        <v>-4470.625440465059</v>
      </c>
      <c r="ES154" s="4865">
        <f t="shared" si="431"/>
        <v>-4491.3273281253569</v>
      </c>
      <c r="ET154" s="4865">
        <f t="shared" si="431"/>
        <v>-4641.9943176186007</v>
      </c>
      <c r="EU154" s="4863">
        <f t="shared" si="413"/>
        <v>-18532.108966648273</v>
      </c>
      <c r="EV154" s="4863">
        <f>EV152+EV153</f>
        <v>-20592.538223054704</v>
      </c>
      <c r="EW154" s="4863">
        <f>EW152+EW153</f>
        <v>-23174.655470045396</v>
      </c>
      <c r="EX154" s="4863">
        <f>EX152+EX153</f>
        <v>-25626.657387445099</v>
      </c>
      <c r="EY154" s="4863">
        <f>EY152+EY153</f>
        <v>-28026.631740740126</v>
      </c>
      <c r="EZ154" s="170"/>
      <c r="FA154" s="1319"/>
      <c r="FB154" s="1319"/>
      <c r="FC154" s="511"/>
    </row>
    <row r="155" spans="1:159" s="4" customFormat="1" ht="11.25" customHeight="1">
      <c r="A155" s="4857" t="s">
        <v>950</v>
      </c>
      <c r="B155" s="170"/>
      <c r="C155" s="170"/>
      <c r="D155" s="170"/>
      <c r="E155" s="286"/>
      <c r="F155" s="4858"/>
      <c r="G155" s="170"/>
      <c r="H155" s="170"/>
      <c r="I155" s="170"/>
      <c r="J155" s="286"/>
      <c r="K155" s="4858"/>
      <c r="L155" s="170"/>
      <c r="M155" s="170"/>
      <c r="N155" s="170"/>
      <c r="O155" s="286"/>
      <c r="P155" s="2657"/>
      <c r="Q155" s="2608"/>
      <c r="R155" s="170"/>
      <c r="S155" s="170"/>
      <c r="T155" s="286"/>
      <c r="U155" s="4858"/>
      <c r="V155" s="4859"/>
      <c r="W155" s="170"/>
      <c r="X155" s="170"/>
      <c r="Y155" s="286"/>
      <c r="Z155" s="4858"/>
      <c r="AA155" s="4859"/>
      <c r="AB155" s="170"/>
      <c r="AC155" s="170"/>
      <c r="AD155" s="286"/>
      <c r="AE155" s="4858"/>
      <c r="AF155" s="4859"/>
      <c r="AG155" s="170"/>
      <c r="AH155" s="170"/>
      <c r="AI155" s="286"/>
      <c r="AJ155" s="4858"/>
      <c r="AK155" s="170"/>
      <c r="AL155" s="170"/>
      <c r="AM155" s="170"/>
      <c r="AN155" s="286"/>
      <c r="AO155" s="4858"/>
      <c r="AP155" s="170"/>
      <c r="AQ155" s="170"/>
      <c r="AR155" s="170"/>
      <c r="AS155" s="286"/>
      <c r="AT155" s="4858"/>
      <c r="AU155" s="170"/>
      <c r="AV155" s="170"/>
      <c r="AW155" s="170"/>
      <c r="AX155" s="286"/>
      <c r="AY155" s="4858"/>
      <c r="AZ155" s="170"/>
      <c r="BA155" s="170"/>
      <c r="BB155" s="170"/>
      <c r="BC155" s="170"/>
      <c r="BD155" s="4860"/>
      <c r="BE155" s="4866"/>
      <c r="BF155" s="170"/>
      <c r="BG155" s="170"/>
      <c r="BH155" s="170"/>
      <c r="BI155" s="4860"/>
      <c r="BJ155" s="170"/>
      <c r="BK155" s="170"/>
      <c r="BL155" s="170"/>
      <c r="BM155" s="170"/>
      <c r="BN155" s="4860"/>
      <c r="BO155" s="170"/>
      <c r="BP155" s="170"/>
      <c r="BQ155" s="170"/>
      <c r="BR155" s="286"/>
      <c r="BS155" s="4858"/>
      <c r="BT155" s="170"/>
      <c r="BU155" s="170"/>
      <c r="BV155" s="170"/>
      <c r="BW155" s="170"/>
      <c r="BX155" s="4860"/>
      <c r="BY155" s="170"/>
      <c r="BZ155" s="170"/>
      <c r="CA155" s="170"/>
      <c r="CB155" s="170"/>
      <c r="CC155" s="4860"/>
      <c r="CD155" s="170"/>
      <c r="CE155" s="170"/>
      <c r="CF155" s="170"/>
      <c r="CG155" s="170"/>
      <c r="CH155" s="4860"/>
      <c r="CI155" s="170"/>
      <c r="CJ155" s="170"/>
      <c r="CK155" s="170"/>
      <c r="CL155" s="170"/>
      <c r="CM155" s="4860"/>
      <c r="CN155" s="170"/>
      <c r="CO155" s="170"/>
      <c r="CP155" s="170"/>
      <c r="CQ155" s="170"/>
      <c r="CR155" s="4860"/>
      <c r="CS155" s="170"/>
      <c r="CT155" s="170"/>
      <c r="CU155" s="170"/>
      <c r="CV155" s="170"/>
      <c r="CW155" s="4860"/>
      <c r="CX155" s="170"/>
      <c r="CY155" s="170"/>
      <c r="CZ155" s="170"/>
      <c r="DA155" s="170"/>
      <c r="DB155" s="4860"/>
      <c r="DC155" s="170"/>
      <c r="DD155" s="170"/>
      <c r="DE155" s="170"/>
      <c r="DF155" s="170"/>
      <c r="DG155" s="4940">
        <v>0</v>
      </c>
      <c r="DH155" s="4865"/>
      <c r="DI155" s="4865"/>
      <c r="DJ155" s="4865"/>
      <c r="DK155" s="4941">
        <v>0</v>
      </c>
      <c r="DL155" s="4940">
        <v>0</v>
      </c>
      <c r="DM155" s="4941">
        <v>0</v>
      </c>
      <c r="DN155" s="4941">
        <v>0</v>
      </c>
      <c r="DO155" s="4941">
        <v>0</v>
      </c>
      <c r="DP155" s="4941">
        <v>0</v>
      </c>
      <c r="DQ155" s="4863">
        <f t="shared" si="402"/>
        <v>0</v>
      </c>
      <c r="DR155" s="4941">
        <v>0</v>
      </c>
      <c r="DS155" s="4941">
        <v>0</v>
      </c>
      <c r="DT155" s="4941">
        <v>0</v>
      </c>
      <c r="DU155" s="4941">
        <v>0</v>
      </c>
      <c r="DV155" s="4863">
        <f t="shared" si="403"/>
        <v>0</v>
      </c>
      <c r="DW155" s="4941">
        <v>0</v>
      </c>
      <c r="DX155" s="4941">
        <v>0</v>
      </c>
      <c r="DY155" s="4941">
        <v>0</v>
      </c>
      <c r="DZ155" s="4941">
        <v>0</v>
      </c>
      <c r="EA155" s="4863">
        <f t="shared" si="404"/>
        <v>0</v>
      </c>
      <c r="EB155" s="4941">
        <v>0</v>
      </c>
      <c r="EC155" s="4941">
        <v>0</v>
      </c>
      <c r="ED155" s="4941">
        <v>0</v>
      </c>
      <c r="EE155" s="4865">
        <v>0</v>
      </c>
      <c r="EF155" s="4863">
        <f t="shared" si="406"/>
        <v>0</v>
      </c>
      <c r="EG155" s="4941">
        <v>0</v>
      </c>
      <c r="EH155" s="4941">
        <v>0</v>
      </c>
      <c r="EI155" s="4941">
        <v>0</v>
      </c>
      <c r="EJ155" s="4865">
        <v>0</v>
      </c>
      <c r="EK155" s="4863">
        <f t="shared" si="408"/>
        <v>0</v>
      </c>
      <c r="EL155" s="4941">
        <v>0</v>
      </c>
      <c r="EM155" s="4941">
        <v>0</v>
      </c>
      <c r="EN155" s="4941">
        <v>0</v>
      </c>
      <c r="EO155" s="4941">
        <v>0</v>
      </c>
      <c r="EP155" s="4863">
        <f t="shared" si="411"/>
        <v>0</v>
      </c>
      <c r="EQ155" s="4941">
        <v>0</v>
      </c>
      <c r="ER155" s="4941">
        <v>0</v>
      </c>
      <c r="ES155" s="4941">
        <v>0</v>
      </c>
      <c r="ET155" s="4941">
        <v>0</v>
      </c>
      <c r="EU155" s="4863">
        <f t="shared" si="413"/>
        <v>0</v>
      </c>
      <c r="EV155" s="4940">
        <v>0</v>
      </c>
      <c r="EW155" s="4940">
        <v>0</v>
      </c>
      <c r="EX155" s="4940">
        <v>0</v>
      </c>
      <c r="EY155" s="4940">
        <v>0</v>
      </c>
      <c r="EZ155" s="170"/>
      <c r="FA155" s="1319"/>
      <c r="FB155" s="1319"/>
      <c r="FC155" s="511"/>
    </row>
    <row r="156" spans="1:159" s="4" customFormat="1" ht="11.25" customHeight="1">
      <c r="A156" s="4927" t="s">
        <v>372</v>
      </c>
      <c r="B156" s="4928"/>
      <c r="C156" s="4928"/>
      <c r="D156" s="4928"/>
      <c r="E156" s="4929"/>
      <c r="F156" s="4930"/>
      <c r="G156" s="4928"/>
      <c r="H156" s="4928"/>
      <c r="I156" s="4928"/>
      <c r="J156" s="4929"/>
      <c r="K156" s="4930"/>
      <c r="L156" s="4928"/>
      <c r="M156" s="4928"/>
      <c r="N156" s="4928"/>
      <c r="O156" s="4929"/>
      <c r="P156" s="4931"/>
      <c r="Q156" s="4085"/>
      <c r="R156" s="4928"/>
      <c r="S156" s="4928"/>
      <c r="T156" s="4929"/>
      <c r="U156" s="4930"/>
      <c r="V156" s="4932"/>
      <c r="W156" s="4928"/>
      <c r="X156" s="4928"/>
      <c r="Y156" s="4929"/>
      <c r="Z156" s="4930"/>
      <c r="AA156" s="4932"/>
      <c r="AB156" s="4928"/>
      <c r="AC156" s="4928"/>
      <c r="AD156" s="4929"/>
      <c r="AE156" s="4930"/>
      <c r="AF156" s="4932"/>
      <c r="AG156" s="4928"/>
      <c r="AH156" s="4928"/>
      <c r="AI156" s="4929"/>
      <c r="AJ156" s="4930"/>
      <c r="AK156" s="4928"/>
      <c r="AL156" s="4928"/>
      <c r="AM156" s="4928"/>
      <c r="AN156" s="4929"/>
      <c r="AO156" s="4930"/>
      <c r="AP156" s="4928"/>
      <c r="AQ156" s="4928"/>
      <c r="AR156" s="4928"/>
      <c r="AS156" s="4929"/>
      <c r="AT156" s="4930"/>
      <c r="AU156" s="4928"/>
      <c r="AV156" s="4928"/>
      <c r="AW156" s="4928"/>
      <c r="AX156" s="4929"/>
      <c r="AY156" s="4930"/>
      <c r="AZ156" s="4928"/>
      <c r="BA156" s="4928"/>
      <c r="BB156" s="4928"/>
      <c r="BC156" s="4928"/>
      <c r="BD156" s="4933"/>
      <c r="BE156" s="4934"/>
      <c r="BF156" s="4928"/>
      <c r="BG156" s="4928"/>
      <c r="BH156" s="4928"/>
      <c r="BI156" s="4933"/>
      <c r="BJ156" s="4928"/>
      <c r="BK156" s="4928"/>
      <c r="BL156" s="4928"/>
      <c r="BM156" s="4928"/>
      <c r="BN156" s="4933"/>
      <c r="BO156" s="4928"/>
      <c r="BP156" s="4928"/>
      <c r="BQ156" s="4928"/>
      <c r="BR156" s="4929"/>
      <c r="BS156" s="4930"/>
      <c r="BT156" s="4928"/>
      <c r="BU156" s="4928"/>
      <c r="BV156" s="4928"/>
      <c r="BW156" s="4928"/>
      <c r="BX156" s="4933"/>
      <c r="BY156" s="4928"/>
      <c r="BZ156" s="4928"/>
      <c r="CA156" s="4928"/>
      <c r="CB156" s="4928"/>
      <c r="CC156" s="4933"/>
      <c r="CD156" s="4928"/>
      <c r="CE156" s="4928"/>
      <c r="CF156" s="4928"/>
      <c r="CG156" s="4928"/>
      <c r="CH156" s="4933"/>
      <c r="CI156" s="4928"/>
      <c r="CJ156" s="4928"/>
      <c r="CK156" s="4928"/>
      <c r="CL156" s="4928"/>
      <c r="CM156" s="4933"/>
      <c r="CN156" s="4928"/>
      <c r="CO156" s="4928"/>
      <c r="CP156" s="4928"/>
      <c r="CQ156" s="4928"/>
      <c r="CR156" s="4933"/>
      <c r="CS156" s="4928"/>
      <c r="CT156" s="4928"/>
      <c r="CU156" s="4928"/>
      <c r="CV156" s="4928"/>
      <c r="CW156" s="4933"/>
      <c r="CX156" s="4928"/>
      <c r="CY156" s="4928"/>
      <c r="CZ156" s="4928"/>
      <c r="DA156" s="4928"/>
      <c r="DB156" s="4933"/>
      <c r="DC156" s="4928"/>
      <c r="DD156" s="4928"/>
      <c r="DE156" s="4928"/>
      <c r="DF156" s="4928"/>
      <c r="DG156" s="4935">
        <f>DG154-DG155</f>
        <v>-7907</v>
      </c>
      <c r="DH156" s="4936"/>
      <c r="DI156" s="4936"/>
      <c r="DJ156" s="4936"/>
      <c r="DK156" s="4936">
        <f t="shared" ref="DK156:DP156" si="432">DK154-DK155</f>
        <v>-1002</v>
      </c>
      <c r="DL156" s="4935">
        <f t="shared" si="432"/>
        <v>-5299</v>
      </c>
      <c r="DM156" s="4936">
        <f t="shared" si="432"/>
        <v>-720</v>
      </c>
      <c r="DN156" s="4936">
        <f t="shared" si="432"/>
        <v>-614</v>
      </c>
      <c r="DO156" s="4936">
        <f t="shared" si="432"/>
        <v>-929</v>
      </c>
      <c r="DP156" s="4936">
        <f t="shared" si="432"/>
        <v>-1036</v>
      </c>
      <c r="DQ156" s="4935">
        <f t="shared" si="402"/>
        <v>-3299</v>
      </c>
      <c r="DR156" s="4936">
        <f>DR154-DR155</f>
        <v>-990</v>
      </c>
      <c r="DS156" s="4936">
        <f>DS154-DS155</f>
        <v>-993</v>
      </c>
      <c r="DT156" s="4936">
        <f>DT154-DT155</f>
        <v>-1010</v>
      </c>
      <c r="DU156" s="4936">
        <f>DU154-DU155</f>
        <v>-1768</v>
      </c>
      <c r="DV156" s="4935">
        <f t="shared" si="403"/>
        <v>-4761</v>
      </c>
      <c r="DW156" s="4936">
        <f>DW154-DW155</f>
        <v>-338</v>
      </c>
      <c r="DX156" s="4936">
        <f>DX154-DX155</f>
        <v>-239</v>
      </c>
      <c r="DY156" s="4936">
        <f>DY154-DY155</f>
        <v>-83</v>
      </c>
      <c r="DZ156" s="4936">
        <f>DZ154-DZ155</f>
        <v>-639</v>
      </c>
      <c r="EA156" s="4935">
        <f t="shared" si="404"/>
        <v>-1299</v>
      </c>
      <c r="EB156" s="4936">
        <f t="shared" ref="EB156:EE156" si="433">EB154-EB155</f>
        <v>-3288</v>
      </c>
      <c r="EC156" s="4936">
        <f t="shared" si="433"/>
        <v>-1198</v>
      </c>
      <c r="ED156" s="4936">
        <f t="shared" si="433"/>
        <v>-1666</v>
      </c>
      <c r="EE156" s="4936">
        <f t="shared" si="433"/>
        <v>-3034</v>
      </c>
      <c r="EF156" s="4935">
        <f t="shared" si="406"/>
        <v>-9186</v>
      </c>
      <c r="EG156" s="4936">
        <f t="shared" ref="EG156:EJ156" si="434">EG154-EG155</f>
        <v>-2305</v>
      </c>
      <c r="EH156" s="4936">
        <f t="shared" si="434"/>
        <v>-2287</v>
      </c>
      <c r="EI156" s="4936">
        <f t="shared" si="434"/>
        <v>-3166</v>
      </c>
      <c r="EJ156" s="4936">
        <f t="shared" si="434"/>
        <v>-2783</v>
      </c>
      <c r="EK156" s="4935">
        <f t="shared" si="408"/>
        <v>-10541</v>
      </c>
      <c r="EL156" s="4936">
        <f t="shared" ref="EL156:EN156" si="435">EL154-EL155</f>
        <v>-3027</v>
      </c>
      <c r="EM156" s="4936">
        <f t="shared" si="435"/>
        <v>-3372</v>
      </c>
      <c r="EN156" s="4936">
        <f t="shared" si="435"/>
        <v>-4467</v>
      </c>
      <c r="EO156" s="4936">
        <f t="shared" ref="EO156" si="436">EO154-EO155</f>
        <v>-3906.1384575709917</v>
      </c>
      <c r="EP156" s="4935">
        <f t="shared" si="411"/>
        <v>-14772.138457570993</v>
      </c>
      <c r="EQ156" s="4936">
        <f t="shared" ref="EQ156:ET156" si="437">EQ154-EQ155</f>
        <v>-4928.1618804392592</v>
      </c>
      <c r="ER156" s="4936">
        <f t="shared" si="437"/>
        <v>-4470.625440465059</v>
      </c>
      <c r="ES156" s="4936">
        <f t="shared" si="437"/>
        <v>-4491.3273281253569</v>
      </c>
      <c r="ET156" s="4936">
        <f t="shared" si="437"/>
        <v>-4641.9943176186007</v>
      </c>
      <c r="EU156" s="4935">
        <f t="shared" si="413"/>
        <v>-18532.108966648273</v>
      </c>
      <c r="EV156" s="4935">
        <f>EV154-EV155</f>
        <v>-20592.538223054704</v>
      </c>
      <c r="EW156" s="4935">
        <f>EW154-EW155</f>
        <v>-23174.655470045396</v>
      </c>
      <c r="EX156" s="4935">
        <f>EX154-EX155</f>
        <v>-25626.657387445099</v>
      </c>
      <c r="EY156" s="4935">
        <f>EY154-EY155</f>
        <v>-28026.631740740126</v>
      </c>
      <c r="EZ156" s="170"/>
      <c r="FA156" s="1319"/>
      <c r="FB156" s="1319"/>
      <c r="FC156" s="511"/>
    </row>
    <row r="157" spans="1:159" s="4" customFormat="1" ht="11.25" customHeight="1">
      <c r="A157" s="4927" t="s">
        <v>121</v>
      </c>
      <c r="B157" s="4928"/>
      <c r="C157" s="4928"/>
      <c r="D157" s="4928"/>
      <c r="E157" s="4929"/>
      <c r="F157" s="4930"/>
      <c r="G157" s="4928"/>
      <c r="H157" s="4928"/>
      <c r="I157" s="4928"/>
      <c r="J157" s="4929"/>
      <c r="K157" s="4930"/>
      <c r="L157" s="4928"/>
      <c r="M157" s="4928"/>
      <c r="N157" s="4928"/>
      <c r="O157" s="4929"/>
      <c r="P157" s="4931"/>
      <c r="Q157" s="4085"/>
      <c r="R157" s="4928"/>
      <c r="S157" s="4928"/>
      <c r="T157" s="4929"/>
      <c r="U157" s="4930"/>
      <c r="V157" s="4932"/>
      <c r="W157" s="4928"/>
      <c r="X157" s="4928"/>
      <c r="Y157" s="4929"/>
      <c r="Z157" s="4930"/>
      <c r="AA157" s="4932"/>
      <c r="AB157" s="4928"/>
      <c r="AC157" s="4928"/>
      <c r="AD157" s="4929"/>
      <c r="AE157" s="4930"/>
      <c r="AF157" s="4932"/>
      <c r="AG157" s="4928"/>
      <c r="AH157" s="4928"/>
      <c r="AI157" s="4929"/>
      <c r="AJ157" s="4930"/>
      <c r="AK157" s="4928"/>
      <c r="AL157" s="4928"/>
      <c r="AM157" s="4928"/>
      <c r="AN157" s="4929"/>
      <c r="AO157" s="4930"/>
      <c r="AP157" s="4928"/>
      <c r="AQ157" s="4928"/>
      <c r="AR157" s="4928"/>
      <c r="AS157" s="4929"/>
      <c r="AT157" s="4930"/>
      <c r="AU157" s="4928"/>
      <c r="AV157" s="4928"/>
      <c r="AW157" s="4928"/>
      <c r="AX157" s="4929"/>
      <c r="AY157" s="4930"/>
      <c r="AZ157" s="4928"/>
      <c r="BA157" s="4928"/>
      <c r="BB157" s="4928"/>
      <c r="BC157" s="4928"/>
      <c r="BD157" s="4933"/>
      <c r="BE157" s="4934"/>
      <c r="BF157" s="4928"/>
      <c r="BG157" s="4928"/>
      <c r="BH157" s="4928"/>
      <c r="BI157" s="4933"/>
      <c r="BJ157" s="4928"/>
      <c r="BK157" s="4928"/>
      <c r="BL157" s="4928"/>
      <c r="BM157" s="4928"/>
      <c r="BN157" s="4933"/>
      <c r="BO157" s="4928"/>
      <c r="BP157" s="4928"/>
      <c r="BQ157" s="4928"/>
      <c r="BR157" s="4929"/>
      <c r="BS157" s="4930"/>
      <c r="BT157" s="4928"/>
      <c r="BU157" s="4928"/>
      <c r="BV157" s="4928"/>
      <c r="BW157" s="4928"/>
      <c r="BX157" s="4933"/>
      <c r="BY157" s="4928"/>
      <c r="BZ157" s="4928"/>
      <c r="CA157" s="4928"/>
      <c r="CB157" s="4928"/>
      <c r="CC157" s="4933"/>
      <c r="CD157" s="4928"/>
      <c r="CE157" s="4928"/>
      <c r="CF157" s="4928"/>
      <c r="CG157" s="4928"/>
      <c r="CH157" s="4933"/>
      <c r="CI157" s="4928"/>
      <c r="CJ157" s="4928"/>
      <c r="CK157" s="4928"/>
      <c r="CL157" s="4928"/>
      <c r="CM157" s="4933"/>
      <c r="CN157" s="4928"/>
      <c r="CO157" s="4928"/>
      <c r="CP157" s="4928"/>
      <c r="CQ157" s="4928"/>
      <c r="CR157" s="4937"/>
      <c r="CS157" s="4938"/>
      <c r="CT157" s="4938"/>
      <c r="CU157" s="4938"/>
      <c r="CV157" s="4938"/>
      <c r="CW157" s="4937"/>
      <c r="CX157" s="4938"/>
      <c r="CY157" s="4938"/>
      <c r="CZ157" s="4938"/>
      <c r="DA157" s="4938"/>
      <c r="DB157" s="4937"/>
      <c r="DC157" s="4938"/>
      <c r="DD157" s="4938"/>
      <c r="DE157" s="4938"/>
      <c r="DF157" s="4938"/>
      <c r="DG157" s="4937">
        <f>DG156/DG$177</f>
        <v>-0.56214783556731462</v>
      </c>
      <c r="DH157" s="4938"/>
      <c r="DI157" s="4938"/>
      <c r="DJ157" s="4938"/>
      <c r="DK157" s="4938">
        <f t="shared" ref="DK157:EJ157" si="438">DK156/DK$177</f>
        <v>-7.2066214610597909E-2</v>
      </c>
      <c r="DL157" s="4937">
        <f t="shared" si="438"/>
        <v>-0.37928213394335319</v>
      </c>
      <c r="DM157" s="4938">
        <f t="shared" si="438"/>
        <v>-5.2003056624106016E-2</v>
      </c>
      <c r="DN157" s="4938">
        <f t="shared" si="438"/>
        <v>-4.4685484058781061E-2</v>
      </c>
      <c r="DO157" s="4938">
        <f t="shared" si="438"/>
        <v>-6.7726080446044404E-2</v>
      </c>
      <c r="DP157" s="4938">
        <f t="shared" si="438"/>
        <v>-7.5845316551702929E-2</v>
      </c>
      <c r="DQ157" s="4937">
        <f t="shared" si="438"/>
        <v>-0.24009219423815123</v>
      </c>
      <c r="DR157" s="4938">
        <f t="shared" si="438"/>
        <v>-7.2573089898265719E-2</v>
      </c>
      <c r="DS157" s="4938">
        <f t="shared" si="438"/>
        <v>-7.3056390999570356E-2</v>
      </c>
      <c r="DT157" s="4938">
        <f t="shared" si="438"/>
        <v>-7.4646831796298399E-2</v>
      </c>
      <c r="DU157" s="4938">
        <f t="shared" si="438"/>
        <v>-0.13145118239148956</v>
      </c>
      <c r="DV157" s="4937">
        <f t="shared" si="438"/>
        <v>-0.35127522646406184</v>
      </c>
      <c r="DW157" s="4938">
        <f t="shared" si="438"/>
        <v>-2.5316417771825674E-2</v>
      </c>
      <c r="DX157" s="4938">
        <f t="shared" si="438"/>
        <v>-1.8052723015333484E-2</v>
      </c>
      <c r="DY157" s="4938">
        <f t="shared" si="438"/>
        <v>-6.3373291593494694E-3</v>
      </c>
      <c r="DZ157" s="4938">
        <f t="shared" si="438"/>
        <v>-4.9355062948945705E-2</v>
      </c>
      <c r="EA157" s="4937">
        <f t="shared" si="438"/>
        <v>-9.8719421393235779E-2</v>
      </c>
      <c r="EB157" s="4938">
        <f t="shared" ref="EB157:EE157" si="439">EB156/EB$177</f>
        <v>-0.25641425563440695</v>
      </c>
      <c r="EC157" s="4938">
        <f t="shared" si="439"/>
        <v>-9.3857724851143839E-2</v>
      </c>
      <c r="ED157" s="4938">
        <f t="shared" si="439"/>
        <v>-0.13122243226212982</v>
      </c>
      <c r="EE157" s="4938">
        <f t="shared" si="439"/>
        <v>-0.24075543564513568</v>
      </c>
      <c r="EF157" s="4937">
        <f t="shared" si="438"/>
        <v>-0.72209885034882582</v>
      </c>
      <c r="EG157" s="4938">
        <f t="shared" si="438"/>
        <v>-0.1840025544823182</v>
      </c>
      <c r="EH157" s="4938">
        <f t="shared" si="438"/>
        <v>-0.18303321328531413</v>
      </c>
      <c r="EI157" s="4938">
        <f t="shared" si="438"/>
        <v>-0.25493195909493516</v>
      </c>
      <c r="EJ157" s="4938">
        <f t="shared" si="438"/>
        <v>-0.22538062844185294</v>
      </c>
      <c r="EK157" s="4937">
        <f>EK156/EK$177</f>
        <v>-0.8468537227098355</v>
      </c>
      <c r="EL157" s="4938">
        <f t="shared" ref="EL157:EN157" si="440">EL156/EL$177</f>
        <v>-0.2462777642177203</v>
      </c>
      <c r="EM157" s="4938">
        <f t="shared" si="440"/>
        <v>-0.27643876045253318</v>
      </c>
      <c r="EN157" s="4938">
        <f t="shared" si="440"/>
        <v>-0.36605752683766285</v>
      </c>
      <c r="EO157" s="4938">
        <f t="shared" ref="EO157" si="441">EO156/EO$177</f>
        <v>-0.3199529248665593</v>
      </c>
      <c r="EP157" s="4937">
        <f>EP156/EP$177</f>
        <v>-1.2083430559660775</v>
      </c>
      <c r="EQ157" s="4938">
        <f t="shared" ref="EQ157:ET157" si="442">EQ156/EQ$177</f>
        <v>-0.40359551123498377</v>
      </c>
      <c r="ER157" s="4938">
        <f t="shared" si="442"/>
        <v>-0.36605999023715291</v>
      </c>
      <c r="ES157" s="4938">
        <f t="shared" si="442"/>
        <v>-0.36768931278565303</v>
      </c>
      <c r="ET157" s="4938">
        <f t="shared" si="442"/>
        <v>-0.37995566817723947</v>
      </c>
      <c r="EU157" s="4937">
        <f>EU156/EU$177</f>
        <v>-1.5172943034469346</v>
      </c>
      <c r="EV157" s="4937">
        <f ca="1">EV156/EV$177</f>
        <v>-1.6994938973899167</v>
      </c>
      <c r="EW157" s="4937">
        <f ca="1">EW156/EW$177</f>
        <v>-1.9295203859014594</v>
      </c>
      <c r="EX157" s="4937">
        <f ca="1">EX156/EX$177</f>
        <v>-2.155065561542632</v>
      </c>
      <c r="EY157" s="4937">
        <f ca="1">EY156/EY$177</f>
        <v>-2.3832826141831744</v>
      </c>
      <c r="EZ157" s="170"/>
      <c r="FA157" s="1319" t="str">
        <f ca="1">IF(AND(EV157&gt;0,EK157&gt;0),(EV157/EK157)^(1/3)-1,"NA")</f>
        <v>NA</v>
      </c>
      <c r="FB157" s="1319" t="str">
        <f ca="1">IF(AND(EX157&gt;0,EK157&gt;0),(EX157/EK157)^(1/5)-1,"NA")</f>
        <v>NA</v>
      </c>
      <c r="FC157" s="511"/>
    </row>
    <row r="158" spans="1:159" s="4" customFormat="1" ht="11.25" hidden="1" customHeight="1" outlineLevel="2">
      <c r="A158" s="4905"/>
      <c r="B158" s="170"/>
      <c r="C158" s="170"/>
      <c r="D158" s="170"/>
      <c r="E158" s="286"/>
      <c r="F158" s="4858"/>
      <c r="G158" s="170"/>
      <c r="H158" s="170"/>
      <c r="I158" s="170"/>
      <c r="J158" s="286"/>
      <c r="K158" s="4858"/>
      <c r="L158" s="170"/>
      <c r="M158" s="170"/>
      <c r="N158" s="170"/>
      <c r="O158" s="286"/>
      <c r="P158" s="2657"/>
      <c r="Q158" s="2608"/>
      <c r="R158" s="170"/>
      <c r="S158" s="170"/>
      <c r="T158" s="286"/>
      <c r="U158" s="4858"/>
      <c r="V158" s="4859"/>
      <c r="W158" s="170"/>
      <c r="X158" s="170"/>
      <c r="Y158" s="286"/>
      <c r="Z158" s="4858"/>
      <c r="AA158" s="4859"/>
      <c r="AB158" s="170"/>
      <c r="AC158" s="170"/>
      <c r="AD158" s="286"/>
      <c r="AE158" s="4858"/>
      <c r="AF158" s="4859"/>
      <c r="AG158" s="170"/>
      <c r="AH158" s="170"/>
      <c r="AI158" s="286"/>
      <c r="AJ158" s="4858"/>
      <c r="AK158" s="170"/>
      <c r="AL158" s="170"/>
      <c r="AM158" s="170"/>
      <c r="AN158" s="286"/>
      <c r="AO158" s="4858"/>
      <c r="AP158" s="170"/>
      <c r="AQ158" s="170"/>
      <c r="AR158" s="170"/>
      <c r="AS158" s="286"/>
      <c r="AT158" s="4858"/>
      <c r="AU158" s="170"/>
      <c r="AV158" s="170"/>
      <c r="AW158" s="170"/>
      <c r="AX158" s="286"/>
      <c r="AY158" s="4858"/>
      <c r="AZ158" s="170"/>
      <c r="BA158" s="170"/>
      <c r="BB158" s="170"/>
      <c r="BC158" s="170"/>
      <c r="BD158" s="4860"/>
      <c r="BE158" s="4866"/>
      <c r="BF158" s="170"/>
      <c r="BG158" s="170"/>
      <c r="BH158" s="170"/>
      <c r="BI158" s="4860"/>
      <c r="BJ158" s="170"/>
      <c r="BK158" s="170"/>
      <c r="BL158" s="170"/>
      <c r="BM158" s="170"/>
      <c r="BN158" s="4860"/>
      <c r="BO158" s="170"/>
      <c r="BP158" s="170"/>
      <c r="BQ158" s="170"/>
      <c r="BR158" s="286"/>
      <c r="BS158" s="4858"/>
      <c r="BT158" s="170"/>
      <c r="BU158" s="170"/>
      <c r="BV158" s="170"/>
      <c r="BW158" s="170"/>
      <c r="BX158" s="4860"/>
      <c r="BY158" s="170"/>
      <c r="BZ158" s="170"/>
      <c r="CA158" s="170"/>
      <c r="CB158" s="170"/>
      <c r="CC158" s="4860"/>
      <c r="CD158" s="170"/>
      <c r="CE158" s="170"/>
      <c r="CF158" s="170"/>
      <c r="CG158" s="170"/>
      <c r="CH158" s="4860"/>
      <c r="CI158" s="170"/>
      <c r="CJ158" s="170"/>
      <c r="CK158" s="170"/>
      <c r="CL158" s="170"/>
      <c r="CM158" s="4860"/>
      <c r="CN158" s="170"/>
      <c r="CO158" s="170"/>
      <c r="CP158" s="170"/>
      <c r="CQ158" s="170"/>
      <c r="CR158" s="4860"/>
      <c r="CS158" s="170"/>
      <c r="CT158" s="170"/>
      <c r="CU158" s="170"/>
      <c r="CV158" s="170"/>
      <c r="CW158" s="4860"/>
      <c r="CX158" s="170"/>
      <c r="CY158" s="170"/>
      <c r="CZ158" s="170"/>
      <c r="DA158" s="170"/>
      <c r="DB158" s="4860"/>
      <c r="DC158" s="170"/>
      <c r="DD158" s="170"/>
      <c r="DE158" s="170"/>
      <c r="DF158" s="170"/>
      <c r="DG158" s="4863"/>
      <c r="DH158" s="4865"/>
      <c r="DI158" s="4865"/>
      <c r="DJ158" s="4865"/>
      <c r="DK158" s="4865"/>
      <c r="DL158" s="4863"/>
      <c r="DM158" s="4865"/>
      <c r="DN158" s="4865"/>
      <c r="DO158" s="4865"/>
      <c r="DP158" s="4865"/>
      <c r="DQ158" s="4863"/>
      <c r="DR158" s="4865"/>
      <c r="DS158" s="4865"/>
      <c r="DT158" s="4865"/>
      <c r="DU158" s="4865"/>
      <c r="DV158" s="4863"/>
      <c r="DW158" s="4865"/>
      <c r="DX158" s="4865"/>
      <c r="DY158" s="4865"/>
      <c r="DZ158" s="4865"/>
      <c r="EA158" s="4863"/>
      <c r="EB158" s="4865"/>
      <c r="EC158" s="4865"/>
      <c r="ED158" s="4865"/>
      <c r="EE158" s="4865"/>
      <c r="EF158" s="4863"/>
      <c r="EG158" s="4865"/>
      <c r="EH158" s="4865"/>
      <c r="EI158" s="4865"/>
      <c r="EJ158" s="4865"/>
      <c r="EK158" s="4863"/>
      <c r="EL158" s="4865"/>
      <c r="EM158" s="4865"/>
      <c r="EN158" s="4865"/>
      <c r="EO158" s="4865"/>
      <c r="EP158" s="4863"/>
      <c r="EQ158" s="4865"/>
      <c r="ER158" s="4865"/>
      <c r="ES158" s="4865"/>
      <c r="ET158" s="4865"/>
      <c r="EU158" s="4863"/>
      <c r="EV158" s="4863"/>
      <c r="EW158" s="4863"/>
      <c r="EX158" s="4863"/>
      <c r="EY158" s="4863"/>
      <c r="EZ158" s="170"/>
      <c r="FA158" s="1319"/>
      <c r="FB158" s="1319"/>
      <c r="FC158" s="511"/>
    </row>
    <row r="159" spans="1:159" s="4" customFormat="1" ht="11.25" hidden="1" customHeight="1" outlineLevel="1">
      <c r="A159" s="4916" t="s">
        <v>359</v>
      </c>
      <c r="B159" s="4917"/>
      <c r="C159" s="4917"/>
      <c r="D159" s="4917"/>
      <c r="E159" s="4918"/>
      <c r="F159" s="4919"/>
      <c r="G159" s="4917"/>
      <c r="H159" s="4917"/>
      <c r="I159" s="4917"/>
      <c r="J159" s="4918"/>
      <c r="K159" s="4919"/>
      <c r="L159" s="4917"/>
      <c r="M159" s="4917"/>
      <c r="N159" s="4917"/>
      <c r="O159" s="4918"/>
      <c r="P159" s="4920"/>
      <c r="Q159" s="4921"/>
      <c r="R159" s="4917"/>
      <c r="S159" s="4917"/>
      <c r="T159" s="4918"/>
      <c r="U159" s="4919"/>
      <c r="V159" s="4922"/>
      <c r="W159" s="4917"/>
      <c r="X159" s="4917"/>
      <c r="Y159" s="4918"/>
      <c r="Z159" s="4919"/>
      <c r="AA159" s="4922"/>
      <c r="AB159" s="4917"/>
      <c r="AC159" s="4917"/>
      <c r="AD159" s="4918"/>
      <c r="AE159" s="4919"/>
      <c r="AF159" s="4922"/>
      <c r="AG159" s="4917"/>
      <c r="AH159" s="4917"/>
      <c r="AI159" s="4918"/>
      <c r="AJ159" s="4919"/>
      <c r="AK159" s="4917"/>
      <c r="AL159" s="4917"/>
      <c r="AM159" s="4917"/>
      <c r="AN159" s="4918"/>
      <c r="AO159" s="4919"/>
      <c r="AP159" s="4917"/>
      <c r="AQ159" s="4917"/>
      <c r="AR159" s="4917"/>
      <c r="AS159" s="4918"/>
      <c r="AT159" s="4919"/>
      <c r="AU159" s="4917"/>
      <c r="AV159" s="4917"/>
      <c r="AW159" s="4917"/>
      <c r="AX159" s="4918"/>
      <c r="AY159" s="4919"/>
      <c r="AZ159" s="4917"/>
      <c r="BA159" s="4917"/>
      <c r="BB159" s="4917"/>
      <c r="BC159" s="4917"/>
      <c r="BD159" s="4923"/>
      <c r="BE159" s="4924"/>
      <c r="BF159" s="4917"/>
      <c r="BG159" s="4917"/>
      <c r="BH159" s="4917"/>
      <c r="BI159" s="4923"/>
      <c r="BJ159" s="4917"/>
      <c r="BK159" s="4917"/>
      <c r="BL159" s="4917"/>
      <c r="BM159" s="4917"/>
      <c r="BN159" s="4923"/>
      <c r="BO159" s="4917"/>
      <c r="BP159" s="4917"/>
      <c r="BQ159" s="4917"/>
      <c r="BR159" s="4918"/>
      <c r="BS159" s="4919"/>
      <c r="BT159" s="4917"/>
      <c r="BU159" s="4917"/>
      <c r="BV159" s="4917"/>
      <c r="BW159" s="4917"/>
      <c r="BX159" s="4923"/>
      <c r="BY159" s="4917"/>
      <c r="BZ159" s="4917"/>
      <c r="CA159" s="4917"/>
      <c r="CB159" s="4917"/>
      <c r="CC159" s="4923"/>
      <c r="CD159" s="4917"/>
      <c r="CE159" s="4917"/>
      <c r="CF159" s="4917"/>
      <c r="CG159" s="4917"/>
      <c r="CH159" s="4923"/>
      <c r="CI159" s="4917"/>
      <c r="CJ159" s="4917"/>
      <c r="CK159" s="4917"/>
      <c r="CL159" s="4917"/>
      <c r="CM159" s="4923"/>
      <c r="CN159" s="4917"/>
      <c r="CO159" s="4917"/>
      <c r="CP159" s="4917"/>
      <c r="CQ159" s="4917"/>
      <c r="CR159" s="4923"/>
      <c r="CS159" s="4917"/>
      <c r="CT159" s="4917"/>
      <c r="CU159" s="4917"/>
      <c r="CV159" s="4917"/>
      <c r="CW159" s="4923"/>
      <c r="CX159" s="4917"/>
      <c r="CY159" s="4917"/>
      <c r="CZ159" s="4917"/>
      <c r="DA159" s="4917"/>
      <c r="DB159" s="4923"/>
      <c r="DC159" s="4917"/>
      <c r="DD159" s="4917"/>
      <c r="DE159" s="4917"/>
      <c r="DF159" s="4917"/>
      <c r="DG159" s="4925"/>
      <c r="DH159" s="4926"/>
      <c r="DI159" s="4926"/>
      <c r="DJ159" s="4926"/>
      <c r="DK159" s="4926"/>
      <c r="DL159" s="4925"/>
      <c r="DM159" s="4926"/>
      <c r="DN159" s="4926"/>
      <c r="DO159" s="4926"/>
      <c r="DP159" s="4926"/>
      <c r="DQ159" s="4925"/>
      <c r="DR159" s="4926"/>
      <c r="DS159" s="4926"/>
      <c r="DT159" s="4926"/>
      <c r="DU159" s="4926"/>
      <c r="DV159" s="4925"/>
      <c r="DW159" s="4926"/>
      <c r="DX159" s="4926"/>
      <c r="DY159" s="4926"/>
      <c r="DZ159" s="4926"/>
      <c r="EA159" s="4925"/>
      <c r="EB159" s="4926"/>
      <c r="EC159" s="4926"/>
      <c r="ED159" s="4926"/>
      <c r="EE159" s="4926"/>
      <c r="EF159" s="4925"/>
      <c r="EG159" s="4926"/>
      <c r="EH159" s="4926"/>
      <c r="EI159" s="4926"/>
      <c r="EJ159" s="4926"/>
      <c r="EK159" s="4925"/>
      <c r="EL159" s="4926"/>
      <c r="EM159" s="4926"/>
      <c r="EN159" s="4926"/>
      <c r="EO159" s="4926"/>
      <c r="EP159" s="4925"/>
      <c r="EQ159" s="4926"/>
      <c r="ER159" s="4926"/>
      <c r="ES159" s="4926"/>
      <c r="ET159" s="4926"/>
      <c r="EU159" s="4925"/>
      <c r="EV159" s="4925"/>
      <c r="EW159" s="4925"/>
      <c r="EX159" s="4925"/>
      <c r="EY159" s="4925"/>
      <c r="EZ159" s="170"/>
      <c r="FA159" s="1319"/>
      <c r="FB159" s="1319"/>
      <c r="FC159" s="511"/>
    </row>
    <row r="160" spans="1:159" s="4" customFormat="1" ht="11.25" hidden="1" customHeight="1" outlineLevel="1">
      <c r="A160" s="4905" t="str">
        <f>A150</f>
        <v>Corporate costs, unallocated</v>
      </c>
      <c r="B160" s="170"/>
      <c r="C160" s="170"/>
      <c r="D160" s="170"/>
      <c r="E160" s="286"/>
      <c r="F160" s="4858"/>
      <c r="G160" s="170"/>
      <c r="H160" s="170"/>
      <c r="I160" s="170"/>
      <c r="J160" s="286"/>
      <c r="K160" s="4858"/>
      <c r="L160" s="170"/>
      <c r="M160" s="170"/>
      <c r="N160" s="170"/>
      <c r="O160" s="286"/>
      <c r="P160" s="2657"/>
      <c r="Q160" s="2608"/>
      <c r="R160" s="170"/>
      <c r="S160" s="170"/>
      <c r="T160" s="286"/>
      <c r="U160" s="4858"/>
      <c r="V160" s="4859"/>
      <c r="W160" s="170"/>
      <c r="X160" s="170"/>
      <c r="Y160" s="286"/>
      <c r="Z160" s="4858"/>
      <c r="AA160" s="4859"/>
      <c r="AB160" s="170"/>
      <c r="AC160" s="170"/>
      <c r="AD160" s="286"/>
      <c r="AE160" s="4858"/>
      <c r="AF160" s="4859"/>
      <c r="AG160" s="170"/>
      <c r="AH160" s="170"/>
      <c r="AI160" s="286"/>
      <c r="AJ160" s="4858"/>
      <c r="AK160" s="170"/>
      <c r="AL160" s="170"/>
      <c r="AM160" s="170"/>
      <c r="AN160" s="286"/>
      <c r="AO160" s="4858"/>
      <c r="AP160" s="170"/>
      <c r="AQ160" s="170"/>
      <c r="AR160" s="170"/>
      <c r="AS160" s="286"/>
      <c r="AT160" s="4858"/>
      <c r="AU160" s="170"/>
      <c r="AV160" s="170"/>
      <c r="AW160" s="170"/>
      <c r="AX160" s="286"/>
      <c r="AY160" s="4858"/>
      <c r="AZ160" s="170"/>
      <c r="BA160" s="170"/>
      <c r="BB160" s="170"/>
      <c r="BC160" s="170"/>
      <c r="BD160" s="4860"/>
      <c r="BE160" s="4866"/>
      <c r="BF160" s="170"/>
      <c r="BG160" s="170"/>
      <c r="BH160" s="170"/>
      <c r="BI160" s="4860"/>
      <c r="BJ160" s="170"/>
      <c r="BK160" s="170"/>
      <c r="BL160" s="170"/>
      <c r="BM160" s="170"/>
      <c r="BN160" s="4860"/>
      <c r="BO160" s="170"/>
      <c r="BP160" s="170"/>
      <c r="BQ160" s="170"/>
      <c r="BR160" s="286"/>
      <c r="BS160" s="4858"/>
      <c r="BT160" s="170"/>
      <c r="BU160" s="170"/>
      <c r="BV160" s="170"/>
      <c r="BW160" s="170"/>
      <c r="BX160" s="4860"/>
      <c r="BY160" s="170"/>
      <c r="BZ160" s="170"/>
      <c r="CA160" s="170"/>
      <c r="CB160" s="170"/>
      <c r="CC160" s="4860"/>
      <c r="CD160" s="170"/>
      <c r="CE160" s="170"/>
      <c r="CF160" s="170"/>
      <c r="CG160" s="170"/>
      <c r="CH160" s="4860"/>
      <c r="CI160" s="170"/>
      <c r="CJ160" s="170"/>
      <c r="CK160" s="170"/>
      <c r="CL160" s="170"/>
      <c r="CM160" s="4860"/>
      <c r="CN160" s="170"/>
      <c r="CO160" s="170"/>
      <c r="CP160" s="170"/>
      <c r="CQ160" s="170"/>
      <c r="CR160" s="4860"/>
      <c r="CS160" s="170"/>
      <c r="CT160" s="170"/>
      <c r="CU160" s="170"/>
      <c r="CV160" s="170"/>
      <c r="CW160" s="4860"/>
      <c r="CX160" s="170"/>
      <c r="CY160" s="170"/>
      <c r="CZ160" s="170"/>
      <c r="DA160" s="170"/>
      <c r="DB160" s="4860"/>
      <c r="DC160" s="170"/>
      <c r="DD160" s="170"/>
      <c r="DE160" s="170"/>
      <c r="DF160" s="170"/>
      <c r="DG160" s="4863"/>
      <c r="DH160" s="4865"/>
      <c r="DI160" s="4865"/>
      <c r="DJ160" s="4865"/>
      <c r="DK160" s="4865"/>
      <c r="DL160" s="4939">
        <f>DL150/DG150-1</f>
        <v>0.50370644922164565</v>
      </c>
      <c r="DM160" s="2623"/>
      <c r="DN160" s="2623"/>
      <c r="DO160" s="2623"/>
      <c r="DP160" s="2623">
        <f t="shared" ref="DP160:DZ160" si="443">DP150/DK150-1</f>
        <v>-5.3979871912168353E-2</v>
      </c>
      <c r="DQ160" s="4939">
        <f t="shared" si="443"/>
        <v>-0.14345575548434808</v>
      </c>
      <c r="DR160" s="2623">
        <f t="shared" si="443"/>
        <v>0.14564369310793235</v>
      </c>
      <c r="DS160" s="2623">
        <f t="shared" si="443"/>
        <v>0.28888888888888897</v>
      </c>
      <c r="DT160" s="2623">
        <f t="shared" si="443"/>
        <v>0.18191841234840123</v>
      </c>
      <c r="DU160" s="2623">
        <f t="shared" si="443"/>
        <v>0.9061895551257253</v>
      </c>
      <c r="DV160" s="4939">
        <f t="shared" si="443"/>
        <v>0.4129496402877697</v>
      </c>
      <c r="DW160" s="2623">
        <f t="shared" si="443"/>
        <v>-0.300794551645857</v>
      </c>
      <c r="DX160" s="2623">
        <f t="shared" si="443"/>
        <v>-0.37728194726166331</v>
      </c>
      <c r="DY160" s="2623">
        <f t="shared" si="443"/>
        <v>-0.3274253731343284</v>
      </c>
      <c r="DZ160" s="2623">
        <f t="shared" si="443"/>
        <v>-0.33637747336377477</v>
      </c>
      <c r="EA160" s="4939">
        <f t="shared" ref="EA160:EN160" si="444">EA150/DV150-1</f>
        <v>-0.3362525458248472</v>
      </c>
      <c r="EB160" s="2623">
        <f t="shared" ref="EB160" si="445">EB150/DW150-1</f>
        <v>0.3214285714285714</v>
      </c>
      <c r="EC160" s="2623">
        <f t="shared" ref="EC160" si="446">EC150/DX150-1</f>
        <v>0.8420195439739413</v>
      </c>
      <c r="ED160" s="2623">
        <f t="shared" ref="ED160" si="447">ED150/DY150-1</f>
        <v>0.88072122052704582</v>
      </c>
      <c r="EE160" s="2612">
        <f t="shared" ref="EE160" si="448">EE150/DZ150-1</f>
        <v>0.46483180428134552</v>
      </c>
      <c r="EF160" s="4241">
        <f t="shared" si="444"/>
        <v>0.60079779073335371</v>
      </c>
      <c r="EG160" s="2623">
        <f t="shared" si="444"/>
        <v>1.0405405405405403</v>
      </c>
      <c r="EH160" s="2623">
        <f t="shared" si="444"/>
        <v>1.1122900088417329</v>
      </c>
      <c r="EI160" s="2623">
        <f t="shared" si="444"/>
        <v>0.89970501474926245</v>
      </c>
      <c r="EJ160" s="2612">
        <f t="shared" si="444"/>
        <v>0.22077244258872653</v>
      </c>
      <c r="EK160" s="4241">
        <f>EK150/EF150-1</f>
        <v>0.71842054820778234</v>
      </c>
      <c r="EL160" s="2623">
        <f t="shared" si="444"/>
        <v>0.97892835641180009</v>
      </c>
      <c r="EM160" s="2623">
        <f t="shared" si="444"/>
        <v>0.36458769359564669</v>
      </c>
      <c r="EN160" s="2623">
        <f t="shared" si="444"/>
        <v>0.41809006211180133</v>
      </c>
      <c r="EO160" s="2612">
        <f t="shared" ref="EO160" si="449">EO150/EJ150-1</f>
        <v>0.58639691423803275</v>
      </c>
      <c r="EP160" s="4241">
        <f>EP150/EK150-1</f>
        <v>0.55165447656472466</v>
      </c>
      <c r="EQ160" s="2612">
        <f t="shared" ref="EQ160" si="450">EQ150/EL150-1</f>
        <v>0.30177943821312514</v>
      </c>
      <c r="ER160" s="2612">
        <f t="shared" ref="ER160" si="451">ER150/EM150-1</f>
        <v>0.33147900870458891</v>
      </c>
      <c r="ES160" s="2612">
        <f t="shared" ref="ES160" si="452">ES150/EN150-1</f>
        <v>0.26777852833389515</v>
      </c>
      <c r="ET160" s="2612">
        <f t="shared" ref="ET160" si="453">ET150/EO150-1</f>
        <v>0.26535245060035018</v>
      </c>
      <c r="EU160" s="4241">
        <f>EU150/EP150-1</f>
        <v>0.29009408543650439</v>
      </c>
      <c r="EV160" s="4241">
        <f>EV150/EU150-1</f>
        <v>0.14747487223893962</v>
      </c>
      <c r="EW160" s="4241">
        <f>EW150/EV150-1</f>
        <v>0.12539091679819458</v>
      </c>
      <c r="EX160" s="4241">
        <f>EX150/EW150-1</f>
        <v>0.10580532343054938</v>
      </c>
      <c r="EY160" s="4241">
        <f>EY150/EX150-1</f>
        <v>9.3651478497964957E-2</v>
      </c>
      <c r="EZ160" s="170"/>
      <c r="FA160" s="1319"/>
      <c r="FB160" s="1319"/>
      <c r="FC160" s="511"/>
    </row>
    <row r="161" spans="1:159" s="4" customFormat="1" ht="11.25" hidden="1" customHeight="1" outlineLevel="1">
      <c r="A161" s="4905"/>
      <c r="B161" s="170"/>
      <c r="C161" s="170"/>
      <c r="D161" s="170"/>
      <c r="E161" s="286"/>
      <c r="F161" s="4858"/>
      <c r="G161" s="170"/>
      <c r="H161" s="170"/>
      <c r="I161" s="170"/>
      <c r="J161" s="286"/>
      <c r="K161" s="4858"/>
      <c r="L161" s="170"/>
      <c r="M161" s="170"/>
      <c r="N161" s="170"/>
      <c r="O161" s="286"/>
      <c r="P161" s="2657"/>
      <c r="Q161" s="2608"/>
      <c r="R161" s="170"/>
      <c r="S161" s="170"/>
      <c r="T161" s="286"/>
      <c r="U161" s="4858"/>
      <c r="V161" s="4859"/>
      <c r="W161" s="170"/>
      <c r="X161" s="170"/>
      <c r="Y161" s="286"/>
      <c r="Z161" s="4858"/>
      <c r="AA161" s="4859"/>
      <c r="AB161" s="170"/>
      <c r="AC161" s="170"/>
      <c r="AD161" s="286"/>
      <c r="AE161" s="4858"/>
      <c r="AF161" s="4859"/>
      <c r="AG161" s="170"/>
      <c r="AH161" s="170"/>
      <c r="AI161" s="286"/>
      <c r="AJ161" s="4858"/>
      <c r="AK161" s="170"/>
      <c r="AL161" s="170"/>
      <c r="AM161" s="170"/>
      <c r="AN161" s="286"/>
      <c r="AO161" s="4858"/>
      <c r="AP161" s="170"/>
      <c r="AQ161" s="170"/>
      <c r="AR161" s="170"/>
      <c r="AS161" s="286"/>
      <c r="AT161" s="4858"/>
      <c r="AU161" s="170"/>
      <c r="AV161" s="170"/>
      <c r="AW161" s="170"/>
      <c r="AX161" s="286"/>
      <c r="AY161" s="4858"/>
      <c r="AZ161" s="170"/>
      <c r="BA161" s="170"/>
      <c r="BB161" s="170"/>
      <c r="BC161" s="170"/>
      <c r="BD161" s="4860"/>
      <c r="BE161" s="4866"/>
      <c r="BF161" s="170"/>
      <c r="BG161" s="170"/>
      <c r="BH161" s="170"/>
      <c r="BI161" s="4860"/>
      <c r="BJ161" s="170"/>
      <c r="BK161" s="170"/>
      <c r="BL161" s="170"/>
      <c r="BM161" s="170"/>
      <c r="BN161" s="4860"/>
      <c r="BO161" s="170"/>
      <c r="BP161" s="170"/>
      <c r="BQ161" s="170"/>
      <c r="BR161" s="286"/>
      <c r="BS161" s="4858"/>
      <c r="BT161" s="170"/>
      <c r="BU161" s="170"/>
      <c r="BV161" s="170"/>
      <c r="BW161" s="170"/>
      <c r="BX161" s="4860"/>
      <c r="BY161" s="170"/>
      <c r="BZ161" s="170"/>
      <c r="CA161" s="170"/>
      <c r="CB161" s="170"/>
      <c r="CC161" s="4860"/>
      <c r="CD161" s="170"/>
      <c r="CE161" s="170"/>
      <c r="CF161" s="170"/>
      <c r="CG161" s="170"/>
      <c r="CH161" s="4860"/>
      <c r="CI161" s="170"/>
      <c r="CJ161" s="170"/>
      <c r="CK161" s="170"/>
      <c r="CL161" s="170"/>
      <c r="CM161" s="4860"/>
      <c r="CN161" s="170"/>
      <c r="CO161" s="170"/>
      <c r="CP161" s="170"/>
      <c r="CQ161" s="170"/>
      <c r="CR161" s="4860"/>
      <c r="CS161" s="170"/>
      <c r="CT161" s="170"/>
      <c r="CU161" s="170"/>
      <c r="CV161" s="170"/>
      <c r="CW161" s="4860"/>
      <c r="CX161" s="170"/>
      <c r="CY161" s="170"/>
      <c r="CZ161" s="170"/>
      <c r="DA161" s="170"/>
      <c r="DB161" s="4860"/>
      <c r="DC161" s="170"/>
      <c r="DD161" s="170"/>
      <c r="DE161" s="170"/>
      <c r="DF161" s="170"/>
      <c r="DG161" s="4863"/>
      <c r="DH161" s="4865"/>
      <c r="DI161" s="4865"/>
      <c r="DJ161" s="4865"/>
      <c r="DK161" s="4865"/>
      <c r="DL161" s="4863"/>
      <c r="DM161" s="4865"/>
      <c r="DN161" s="4865"/>
      <c r="DO161" s="4865"/>
      <c r="DP161" s="4865"/>
      <c r="DQ161" s="4863"/>
      <c r="DR161" s="4865"/>
      <c r="DS161" s="4865"/>
      <c r="DT161" s="4865"/>
      <c r="DU161" s="4865"/>
      <c r="DV161" s="4863"/>
      <c r="DW161" s="4865"/>
      <c r="DX161" s="4865"/>
      <c r="DY161" s="4865"/>
      <c r="DZ161" s="4865"/>
      <c r="EA161" s="4863"/>
      <c r="EB161" s="4865"/>
      <c r="EC161" s="4865"/>
      <c r="ED161" s="4865"/>
      <c r="EE161" s="4865"/>
      <c r="EF161" s="4863"/>
      <c r="EG161" s="4865"/>
      <c r="EH161" s="4865"/>
      <c r="EI161" s="4865"/>
      <c r="EJ161" s="4865"/>
      <c r="EK161" s="4863"/>
      <c r="EL161" s="4865"/>
      <c r="EM161" s="4865"/>
      <c r="EN161" s="4865"/>
      <c r="EO161" s="4865"/>
      <c r="EP161" s="4863"/>
      <c r="EQ161" s="4865"/>
      <c r="ER161" s="4865"/>
      <c r="ES161" s="4865"/>
      <c r="ET161" s="4865"/>
      <c r="EU161" s="4863"/>
      <c r="EV161" s="4863"/>
      <c r="EW161" s="4863"/>
      <c r="EX161" s="4863"/>
      <c r="EY161" s="4863"/>
      <c r="EZ161" s="170"/>
      <c r="FA161" s="1319"/>
      <c r="FB161" s="1319"/>
      <c r="FC161" s="511"/>
    </row>
    <row r="162" spans="1:159" s="4" customFormat="1" ht="11.25" customHeight="1" collapsed="1">
      <c r="A162" s="4916" t="s">
        <v>986</v>
      </c>
      <c r="B162" s="4917"/>
      <c r="C162" s="4917"/>
      <c r="D162" s="4917"/>
      <c r="E162" s="4918"/>
      <c r="F162" s="4919"/>
      <c r="G162" s="4917"/>
      <c r="H162" s="4917"/>
      <c r="I162" s="4917"/>
      <c r="J162" s="4918"/>
      <c r="K162" s="4919"/>
      <c r="L162" s="4917"/>
      <c r="M162" s="4917"/>
      <c r="N162" s="4917"/>
      <c r="O162" s="4918"/>
      <c r="P162" s="4920"/>
      <c r="Q162" s="4921"/>
      <c r="R162" s="4917"/>
      <c r="S162" s="4917"/>
      <c r="T162" s="4918"/>
      <c r="U162" s="4919"/>
      <c r="V162" s="4922"/>
      <c r="W162" s="4917"/>
      <c r="X162" s="4917"/>
      <c r="Y162" s="4918"/>
      <c r="Z162" s="4919"/>
      <c r="AA162" s="4922"/>
      <c r="AB162" s="4917"/>
      <c r="AC162" s="4917"/>
      <c r="AD162" s="4918"/>
      <c r="AE162" s="4919"/>
      <c r="AF162" s="4922"/>
      <c r="AG162" s="4917"/>
      <c r="AH162" s="4917"/>
      <c r="AI162" s="4918"/>
      <c r="AJ162" s="4919"/>
      <c r="AK162" s="4917"/>
      <c r="AL162" s="4917"/>
      <c r="AM162" s="4917"/>
      <c r="AN162" s="4918"/>
      <c r="AO162" s="4919"/>
      <c r="AP162" s="4917"/>
      <c r="AQ162" s="4917"/>
      <c r="AR162" s="4917"/>
      <c r="AS162" s="4918"/>
      <c r="AT162" s="4919"/>
      <c r="AU162" s="4917"/>
      <c r="AV162" s="4917"/>
      <c r="AW162" s="4917"/>
      <c r="AX162" s="4918"/>
      <c r="AY162" s="4919"/>
      <c r="AZ162" s="4917"/>
      <c r="BA162" s="4917"/>
      <c r="BB162" s="4917"/>
      <c r="BC162" s="4917"/>
      <c r="BD162" s="4923"/>
      <c r="BE162" s="4924"/>
      <c r="BF162" s="4917"/>
      <c r="BG162" s="4917"/>
      <c r="BH162" s="4917"/>
      <c r="BI162" s="4923"/>
      <c r="BJ162" s="4917"/>
      <c r="BK162" s="4917"/>
      <c r="BL162" s="4917"/>
      <c r="BM162" s="4917"/>
      <c r="BN162" s="4923"/>
      <c r="BO162" s="4917"/>
      <c r="BP162" s="4917"/>
      <c r="BQ162" s="4917"/>
      <c r="BR162" s="4918"/>
      <c r="BS162" s="4919"/>
      <c r="BT162" s="4917"/>
      <c r="BU162" s="4917"/>
      <c r="BV162" s="4917"/>
      <c r="BW162" s="4917"/>
      <c r="BX162" s="4923"/>
      <c r="BY162" s="4917"/>
      <c r="BZ162" s="4917"/>
      <c r="CA162" s="4917"/>
      <c r="CB162" s="4917"/>
      <c r="CC162" s="4923"/>
      <c r="CD162" s="4917"/>
      <c r="CE162" s="4917"/>
      <c r="CF162" s="4917"/>
      <c r="CG162" s="4917"/>
      <c r="CH162" s="4923"/>
      <c r="CI162" s="4917"/>
      <c r="CJ162" s="4917"/>
      <c r="CK162" s="4917"/>
      <c r="CL162" s="4917"/>
      <c r="CM162" s="4923"/>
      <c r="CN162" s="4917"/>
      <c r="CO162" s="4917"/>
      <c r="CP162" s="4917"/>
      <c r="CQ162" s="4917"/>
      <c r="CR162" s="4923"/>
      <c r="CS162" s="4917"/>
      <c r="CT162" s="4917"/>
      <c r="CU162" s="4917"/>
      <c r="CV162" s="4917"/>
      <c r="CW162" s="4923"/>
      <c r="CX162" s="4917"/>
      <c r="CY162" s="4917"/>
      <c r="CZ162" s="4917"/>
      <c r="DA162" s="4917"/>
      <c r="DB162" s="4923"/>
      <c r="DC162" s="4917"/>
      <c r="DD162" s="4917"/>
      <c r="DE162" s="4917"/>
      <c r="DF162" s="4917"/>
      <c r="DG162" s="4925"/>
      <c r="DH162" s="4926"/>
      <c r="DI162" s="4926"/>
      <c r="DJ162" s="4926"/>
      <c r="DK162" s="4926"/>
      <c r="DL162" s="4925"/>
      <c r="DM162" s="4926"/>
      <c r="DN162" s="4926"/>
      <c r="DO162" s="4926"/>
      <c r="DP162" s="4926"/>
      <c r="DQ162" s="4925"/>
      <c r="DR162" s="4926"/>
      <c r="DS162" s="4926"/>
      <c r="DT162" s="4926"/>
      <c r="DU162" s="4926"/>
      <c r="DV162" s="4925"/>
      <c r="DW162" s="4926"/>
      <c r="DX162" s="4926"/>
      <c r="DY162" s="4926"/>
      <c r="DZ162" s="4926"/>
      <c r="EA162" s="4925"/>
      <c r="EB162" s="4926"/>
      <c r="EC162" s="4926"/>
      <c r="ED162" s="4926"/>
      <c r="EE162" s="4926"/>
      <c r="EF162" s="4925"/>
      <c r="EG162" s="4926"/>
      <c r="EH162" s="4926"/>
      <c r="EI162" s="4926"/>
      <c r="EJ162" s="4926"/>
      <c r="EK162" s="4925"/>
      <c r="EL162" s="4926"/>
      <c r="EM162" s="4926"/>
      <c r="EN162" s="4926"/>
      <c r="EO162" s="4926"/>
      <c r="EP162" s="4925"/>
      <c r="EQ162" s="4926"/>
      <c r="ER162" s="4926"/>
      <c r="ES162" s="4926"/>
      <c r="ET162" s="4926"/>
      <c r="EU162" s="4925"/>
      <c r="EV162" s="4925"/>
      <c r="EW162" s="4925"/>
      <c r="EX162" s="4925"/>
      <c r="EY162" s="4925"/>
      <c r="EZ162" s="170"/>
      <c r="FA162" s="1319"/>
      <c r="FB162" s="1319"/>
      <c r="FC162" s="511"/>
    </row>
    <row r="163" spans="1:159" s="4" customFormat="1" ht="11.25" customHeight="1">
      <c r="A163" s="4942" t="str">
        <f>A150</f>
        <v>Corporate costs, unallocated</v>
      </c>
      <c r="B163" s="4943"/>
      <c r="C163" s="4943"/>
      <c r="D163" s="4943"/>
      <c r="E163" s="4944"/>
      <c r="F163" s="4945"/>
      <c r="G163" s="4943"/>
      <c r="H163" s="4943"/>
      <c r="I163" s="4943"/>
      <c r="J163" s="4944"/>
      <c r="K163" s="4945"/>
      <c r="L163" s="4943"/>
      <c r="M163" s="4943"/>
      <c r="N163" s="4943"/>
      <c r="O163" s="4944"/>
      <c r="P163" s="4946"/>
      <c r="Q163" s="4947"/>
      <c r="R163" s="4943"/>
      <c r="S163" s="4943"/>
      <c r="T163" s="4944"/>
      <c r="U163" s="4945"/>
      <c r="V163" s="4948"/>
      <c r="W163" s="4943"/>
      <c r="X163" s="4943"/>
      <c r="Y163" s="4944"/>
      <c r="Z163" s="4945"/>
      <c r="AA163" s="4948"/>
      <c r="AB163" s="4943"/>
      <c r="AC163" s="4943"/>
      <c r="AD163" s="4944"/>
      <c r="AE163" s="4945"/>
      <c r="AF163" s="4948"/>
      <c r="AG163" s="4943"/>
      <c r="AH163" s="4943"/>
      <c r="AI163" s="4944"/>
      <c r="AJ163" s="4945"/>
      <c r="AK163" s="4943"/>
      <c r="AL163" s="4943"/>
      <c r="AM163" s="4943"/>
      <c r="AN163" s="4944"/>
      <c r="AO163" s="4945"/>
      <c r="AP163" s="4943"/>
      <c r="AQ163" s="4943"/>
      <c r="AR163" s="4943"/>
      <c r="AS163" s="4944"/>
      <c r="AT163" s="4945"/>
      <c r="AU163" s="4943"/>
      <c r="AV163" s="4943"/>
      <c r="AW163" s="4943"/>
      <c r="AX163" s="4944"/>
      <c r="AY163" s="4945"/>
      <c r="AZ163" s="4943"/>
      <c r="BA163" s="4943"/>
      <c r="BB163" s="4943"/>
      <c r="BC163" s="4943"/>
      <c r="BD163" s="4949"/>
      <c r="BE163" s="4950"/>
      <c r="BF163" s="4943"/>
      <c r="BG163" s="4943"/>
      <c r="BH163" s="4943"/>
      <c r="BI163" s="4949"/>
      <c r="BJ163" s="4943"/>
      <c r="BK163" s="4943"/>
      <c r="BL163" s="4943"/>
      <c r="BM163" s="4943"/>
      <c r="BN163" s="4949"/>
      <c r="BO163" s="4943"/>
      <c r="BP163" s="4943"/>
      <c r="BQ163" s="4943"/>
      <c r="BR163" s="4944"/>
      <c r="BS163" s="4945"/>
      <c r="BT163" s="4943"/>
      <c r="BU163" s="4943"/>
      <c r="BV163" s="4943"/>
      <c r="BW163" s="4943"/>
      <c r="BX163" s="4949"/>
      <c r="BY163" s="4943"/>
      <c r="BZ163" s="4943"/>
      <c r="CA163" s="4943"/>
      <c r="CB163" s="4943"/>
      <c r="CC163" s="4949"/>
      <c r="CD163" s="4943"/>
      <c r="CE163" s="4943"/>
      <c r="CF163" s="4943"/>
      <c r="CG163" s="4943"/>
      <c r="CH163" s="4949"/>
      <c r="CI163" s="4943"/>
      <c r="CJ163" s="4943"/>
      <c r="CK163" s="4943"/>
      <c r="CL163" s="4943"/>
      <c r="CM163" s="4949"/>
      <c r="CN163" s="4943"/>
      <c r="CO163" s="4943"/>
      <c r="CP163" s="4943"/>
      <c r="CQ163" s="4943"/>
      <c r="CR163" s="2960"/>
      <c r="CS163" s="5003"/>
      <c r="CT163" s="5003"/>
      <c r="CU163" s="5003"/>
      <c r="CV163" s="5003"/>
      <c r="CW163" s="2960"/>
      <c r="CX163" s="5003"/>
      <c r="CY163" s="5003"/>
      <c r="CZ163" s="5003"/>
      <c r="DA163" s="5003"/>
      <c r="DB163" s="2960"/>
      <c r="DC163" s="5003"/>
      <c r="DD163" s="5003"/>
      <c r="DE163" s="5003"/>
      <c r="DF163" s="5003"/>
      <c r="DG163" s="5004">
        <f>DG150/DG$14</f>
        <v>1.9699613747380565E-2</v>
      </c>
      <c r="DH163" s="5003"/>
      <c r="DI163" s="5003"/>
      <c r="DJ163" s="5003"/>
      <c r="DK163" s="5005">
        <f t="shared" ref="DK163:DQ163" si="454">DK150/DK$14</f>
        <v>2.3769137091162143E-2</v>
      </c>
      <c r="DL163" s="5228">
        <f t="shared" si="454"/>
        <v>2.5135995836482818E-2</v>
      </c>
      <c r="DM163" s="5229">
        <f t="shared" si="454"/>
        <v>1.8705910970566772E-2</v>
      </c>
      <c r="DN163" s="5229">
        <f t="shared" si="454"/>
        <v>2.0054527342316362E-2</v>
      </c>
      <c r="DO163" s="5229">
        <f t="shared" si="454"/>
        <v>1.9634159541075873E-2</v>
      </c>
      <c r="DP163" s="5229">
        <f t="shared" si="454"/>
        <v>1.8172231985940247E-2</v>
      </c>
      <c r="DQ163" s="5228">
        <f t="shared" si="454"/>
        <v>1.9056654474063756E-2</v>
      </c>
      <c r="DR163" s="5229">
        <f t="shared" ref="DR163:DW163" si="455">DR150/DR$14</f>
        <v>1.5895927683452719E-2</v>
      </c>
      <c r="DS163" s="5229">
        <f t="shared" si="455"/>
        <v>1.5932263641798762E-2</v>
      </c>
      <c r="DT163" s="5229">
        <f t="shared" si="455"/>
        <v>1.6478111165764881E-2</v>
      </c>
      <c r="DU163" s="5229">
        <f t="shared" si="455"/>
        <v>2.6237320625116477E-2</v>
      </c>
      <c r="DV163" s="5228">
        <f t="shared" si="455"/>
        <v>1.9068849810476605E-2</v>
      </c>
      <c r="DW163" s="5229">
        <f t="shared" si="455"/>
        <v>9.09453294553615E-3</v>
      </c>
      <c r="DX163" s="5229">
        <f t="shared" ref="DX163:EA163" si="456">DX150/DX$14</f>
        <v>8.8587505410474675E-3</v>
      </c>
      <c r="DY163" s="5229">
        <f t="shared" si="456"/>
        <v>1.0532620445846847E-2</v>
      </c>
      <c r="DZ163" s="5229">
        <f t="shared" si="456"/>
        <v>1.7352312978415739E-2</v>
      </c>
      <c r="EA163" s="5228">
        <f t="shared" si="456"/>
        <v>1.1602984947094091E-2</v>
      </c>
      <c r="EB163" s="5229">
        <f t="shared" ref="EB163:EE163" si="457">EB150/EB$14</f>
        <v>1.16781200235284E-2</v>
      </c>
      <c r="EC163" s="5229">
        <f t="shared" si="457"/>
        <v>1.5160654682913098E-2</v>
      </c>
      <c r="ED163" s="5229">
        <f t="shared" si="457"/>
        <v>1.7680652984588104E-2</v>
      </c>
      <c r="EE163" s="5229">
        <f t="shared" si="457"/>
        <v>2.2237697307335189E-2</v>
      </c>
      <c r="EF163" s="5228">
        <f>EF150/EF$14</f>
        <v>1.698474400796984E-2</v>
      </c>
      <c r="EG163" s="5229">
        <f t="shared" ref="EG163:EJ163" si="458">EG150/EG$14</f>
        <v>2.0642002311506581E-2</v>
      </c>
      <c r="EH163" s="5229">
        <f t="shared" si="458"/>
        <v>2.8225425330812855E-2</v>
      </c>
      <c r="EI163" s="5229">
        <f t="shared" si="458"/>
        <v>2.9189470940839197E-2</v>
      </c>
      <c r="EJ163" s="5229">
        <f t="shared" si="458"/>
        <v>2.4251158643428132E-2</v>
      </c>
      <c r="EK163" s="5228">
        <f>EK150/EK$14</f>
        <v>2.5628417956187269E-2</v>
      </c>
      <c r="EL163" s="5229">
        <f t="shared" ref="EL163:EN163" si="459">EL150/EL$14</f>
        <v>3.6532776135327981E-2</v>
      </c>
      <c r="EM163" s="5229">
        <f t="shared" si="459"/>
        <v>3.3768386161176715E-2</v>
      </c>
      <c r="EN163" s="5229">
        <f t="shared" si="459"/>
        <v>3.5620605930591985E-2</v>
      </c>
      <c r="EO163" s="5230">
        <v>3.3000000000000002E-2</v>
      </c>
      <c r="EP163" s="5228">
        <f>EP150/EP$14</f>
        <v>3.464576430519746E-2</v>
      </c>
      <c r="EQ163" s="5230">
        <v>0.04</v>
      </c>
      <c r="ER163" s="5230">
        <v>3.85E-2</v>
      </c>
      <c r="ES163" s="5230">
        <v>3.9E-2</v>
      </c>
      <c r="ET163" s="5230">
        <v>3.5999999999999997E-2</v>
      </c>
      <c r="EU163" s="5228">
        <f>EU150/EU$14</f>
        <v>3.8273463306876573E-2</v>
      </c>
      <c r="EV163" s="5231">
        <v>3.8800000000000001E-2</v>
      </c>
      <c r="EW163" s="5231">
        <v>3.9E-2</v>
      </c>
      <c r="EX163" s="5231">
        <v>3.9E-2</v>
      </c>
      <c r="EY163" s="5231">
        <v>3.8800000000000001E-2</v>
      </c>
      <c r="EZ163" s="170"/>
      <c r="FA163" s="1319"/>
      <c r="FB163" s="1319"/>
      <c r="FC163" s="511"/>
    </row>
    <row r="164" spans="1:159" s="767" customFormat="1" hidden="1" outlineLevel="1">
      <c r="A164" s="4479" t="s">
        <v>675</v>
      </c>
      <c r="B164" s="2743"/>
      <c r="C164" s="2743"/>
      <c r="D164" s="2743"/>
      <c r="E164" s="2743"/>
      <c r="F164" s="2743"/>
      <c r="G164" s="2743"/>
      <c r="H164" s="2743"/>
      <c r="I164" s="2743"/>
      <c r="J164" s="2743"/>
      <c r="K164" s="2743"/>
      <c r="L164" s="2743"/>
      <c r="M164" s="2743"/>
      <c r="N164" s="2743"/>
      <c r="O164" s="2743"/>
      <c r="P164" s="2743"/>
      <c r="Q164" s="2743"/>
      <c r="R164" s="2743"/>
      <c r="S164" s="2743"/>
      <c r="T164" s="2743"/>
      <c r="U164" s="2743"/>
      <c r="V164" s="2743"/>
      <c r="W164" s="2743"/>
      <c r="X164" s="2743"/>
      <c r="Y164" s="2743"/>
      <c r="Z164" s="2743"/>
      <c r="AA164" s="2743"/>
      <c r="AB164" s="2743"/>
      <c r="AC164" s="2743"/>
      <c r="AD164" s="2743"/>
      <c r="AE164" s="2743"/>
      <c r="AF164" s="2743"/>
      <c r="AG164" s="2743"/>
      <c r="AH164" s="2743"/>
      <c r="AI164" s="2743"/>
      <c r="AJ164" s="2743"/>
      <c r="AK164" s="2743"/>
      <c r="AL164" s="2743"/>
      <c r="AM164" s="2743"/>
      <c r="AN164" s="2743"/>
      <c r="AO164" s="2743"/>
      <c r="AP164" s="2743"/>
      <c r="AQ164" s="2743"/>
      <c r="AR164" s="2743"/>
      <c r="AS164" s="2743"/>
      <c r="AT164" s="2743"/>
      <c r="AU164" s="2743"/>
      <c r="AV164" s="2743"/>
      <c r="AW164" s="2743"/>
      <c r="AX164" s="2743"/>
      <c r="AY164" s="2743"/>
      <c r="AZ164" s="2743"/>
      <c r="BA164" s="2743"/>
      <c r="BB164" s="2743"/>
      <c r="BC164" s="2743"/>
      <c r="BD164" s="2743"/>
      <c r="BE164" s="2743"/>
      <c r="BF164" s="2743"/>
      <c r="BG164" s="2743"/>
      <c r="BH164" s="2743"/>
      <c r="BI164" s="2743"/>
      <c r="BJ164" s="2743"/>
      <c r="BK164" s="2743"/>
      <c r="BL164" s="2743"/>
      <c r="BM164" s="2743"/>
      <c r="BN164" s="2743"/>
      <c r="BO164" s="2743"/>
      <c r="BP164" s="2743"/>
      <c r="BQ164" s="2743"/>
      <c r="BR164" s="2743"/>
      <c r="BS164" s="2743"/>
      <c r="BT164" s="2743"/>
      <c r="BU164" s="2743"/>
      <c r="BV164" s="2743"/>
      <c r="BW164" s="2743"/>
      <c r="BX164" s="2743"/>
      <c r="BY164" s="2743"/>
      <c r="BZ164" s="2743"/>
      <c r="CA164" s="2743"/>
      <c r="CB164" s="2743"/>
      <c r="CC164" s="2743"/>
      <c r="CD164" s="2743"/>
      <c r="CE164" s="2743"/>
      <c r="CF164" s="2743"/>
      <c r="CG164" s="2743"/>
      <c r="CH164" s="2744"/>
      <c r="CI164" s="2745"/>
      <c r="CJ164" s="2745"/>
      <c r="CK164" s="2745"/>
      <c r="CL164" s="2745"/>
      <c r="CM164" s="2746"/>
      <c r="CN164" s="2747"/>
      <c r="CO164" s="2747"/>
      <c r="CP164" s="2747"/>
      <c r="CQ164" s="2748"/>
      <c r="CR164" s="2746"/>
      <c r="CS164" s="2748"/>
      <c r="CT164" s="2747"/>
      <c r="CU164" s="2747"/>
      <c r="CV164" s="2748"/>
      <c r="CW164" s="2746"/>
      <c r="CX164" s="2748"/>
      <c r="CY164" s="2748"/>
      <c r="CZ164" s="2748"/>
      <c r="DA164" s="2748"/>
      <c r="DB164" s="2746"/>
      <c r="DC164" s="2748"/>
      <c r="DD164" s="2748"/>
      <c r="DE164" s="2748"/>
      <c r="DF164" s="2748"/>
      <c r="DG164" s="2746"/>
      <c r="DH164" s="2748"/>
      <c r="DI164" s="2748"/>
      <c r="DJ164" s="2748"/>
      <c r="DK164" s="2748"/>
      <c r="DL164" s="2746">
        <f>(DL163-DG163)*10000</f>
        <v>54.363820891022534</v>
      </c>
      <c r="DM164" s="2748"/>
      <c r="DN164" s="2748"/>
      <c r="DO164" s="2748"/>
      <c r="DP164" s="2748">
        <f t="shared" ref="DP164:DZ164" si="460">(DP163-DK163)*10000</f>
        <v>-55.969051052218965</v>
      </c>
      <c r="DQ164" s="2746">
        <f t="shared" si="460"/>
        <v>-60.79341362419062</v>
      </c>
      <c r="DR164" s="2748">
        <f t="shared" si="460"/>
        <v>-28.099832871140531</v>
      </c>
      <c r="DS164" s="2748">
        <f t="shared" si="460"/>
        <v>-41.222637005175997</v>
      </c>
      <c r="DT164" s="2748">
        <f t="shared" si="460"/>
        <v>-31.560483753109921</v>
      </c>
      <c r="DU164" s="2748">
        <f t="shared" si="460"/>
        <v>80.650886391762313</v>
      </c>
      <c r="DV164" s="2746">
        <f t="shared" si="460"/>
        <v>0.12195336412848534</v>
      </c>
      <c r="DW164" s="2748">
        <f t="shared" si="460"/>
        <v>-68.013947379165685</v>
      </c>
      <c r="DX164" s="2748">
        <f t="shared" si="460"/>
        <v>-70.735131007512948</v>
      </c>
      <c r="DY164" s="2748">
        <f t="shared" si="460"/>
        <v>-59.45490719918034</v>
      </c>
      <c r="DZ164" s="2748">
        <f t="shared" si="460"/>
        <v>-88.850076467007383</v>
      </c>
      <c r="EA164" s="2746">
        <f t="shared" ref="EA164:EN164" si="461">(EA163-DV163)*10000</f>
        <v>-74.658648633825138</v>
      </c>
      <c r="EB164" s="2748">
        <f t="shared" ref="EB164" si="462">(EB163-DW163)*10000</f>
        <v>25.835870779922498</v>
      </c>
      <c r="EC164" s="2748">
        <f t="shared" ref="EC164" si="463">(EC163-DX163)*10000</f>
        <v>63.019041418656307</v>
      </c>
      <c r="ED164" s="2748">
        <f t="shared" ref="ED164" si="464">(ED163-DY163)*10000</f>
        <v>71.480325387412563</v>
      </c>
      <c r="EE164" s="2748">
        <f t="shared" ref="EE164" si="465">(EE163-DZ163)*10000</f>
        <v>48.853843289194501</v>
      </c>
      <c r="EF164" s="2746">
        <f t="shared" si="461"/>
        <v>53.817590608757484</v>
      </c>
      <c r="EG164" s="2748">
        <f t="shared" si="461"/>
        <v>89.638822879781813</v>
      </c>
      <c r="EH164" s="2748">
        <f t="shared" si="461"/>
        <v>130.64770647899755</v>
      </c>
      <c r="EI164" s="2748">
        <f t="shared" si="461"/>
        <v>115.08817956251093</v>
      </c>
      <c r="EJ164" s="2748">
        <f t="shared" si="461"/>
        <v>20.134613360929428</v>
      </c>
      <c r="EK164" s="2746">
        <f>(EK163-EF163)*10000</f>
        <v>86.436739482174289</v>
      </c>
      <c r="EL164" s="2748">
        <f t="shared" si="461"/>
        <v>158.90773823821399</v>
      </c>
      <c r="EM164" s="2748">
        <f t="shared" si="461"/>
        <v>55.429608303638602</v>
      </c>
      <c r="EN164" s="2748">
        <f t="shared" si="461"/>
        <v>64.311349897527876</v>
      </c>
      <c r="EO164" s="2748">
        <f t="shared" ref="EO164" si="466">(EO163-EJ163)*10000</f>
        <v>87.488413565718702</v>
      </c>
      <c r="EP164" s="2746">
        <f>(EP163-EK163)*10000</f>
        <v>90.173463490101909</v>
      </c>
      <c r="EQ164" s="2748">
        <f t="shared" ref="EQ164" si="467">(EQ163-EL163)*10000</f>
        <v>34.672238646720203</v>
      </c>
      <c r="ER164" s="2748">
        <f t="shared" ref="ER164" si="468">(ER163-EM163)*10000</f>
        <v>47.316138388232844</v>
      </c>
      <c r="ES164" s="2748">
        <f t="shared" ref="ES164" si="469">(ES163-EN163)*10000</f>
        <v>33.793940694080149</v>
      </c>
      <c r="ET164" s="2748">
        <f t="shared" ref="ET164" si="470">(ET163-EO163)*10000</f>
        <v>29.999999999999957</v>
      </c>
      <c r="EU164" s="2746">
        <f>(EU163-EP163)*10000</f>
        <v>36.276990016791132</v>
      </c>
      <c r="EV164" s="2746">
        <f>(EV163-EU163)*10000</f>
        <v>5.2653669312342775</v>
      </c>
      <c r="EW164" s="2746">
        <f>(EW163-EV163)*10000</f>
        <v>1.999999999999988</v>
      </c>
      <c r="EX164" s="2746">
        <f>(EX163-EW163)*10000</f>
        <v>0</v>
      </c>
      <c r="EY164" s="2746">
        <f>(EY163-EX163)*10000</f>
        <v>-1.999999999999988</v>
      </c>
      <c r="FA164" s="4276"/>
      <c r="FB164" s="4276"/>
      <c r="FC164" s="766"/>
    </row>
    <row r="165" spans="1:159" s="4" customFormat="1" ht="11.25" hidden="1" customHeight="1" outlineLevel="1" collapsed="1">
      <c r="A165" s="4942"/>
      <c r="B165" s="4943"/>
      <c r="C165" s="4943"/>
      <c r="D165" s="4943"/>
      <c r="E165" s="4944"/>
      <c r="F165" s="4945"/>
      <c r="G165" s="4943"/>
      <c r="H165" s="4943"/>
      <c r="I165" s="4943"/>
      <c r="J165" s="4944"/>
      <c r="K165" s="4945"/>
      <c r="L165" s="4943"/>
      <c r="M165" s="4943"/>
      <c r="N165" s="4943"/>
      <c r="O165" s="4944"/>
      <c r="P165" s="4946"/>
      <c r="Q165" s="4947"/>
      <c r="R165" s="4943"/>
      <c r="S165" s="4943"/>
      <c r="T165" s="4944"/>
      <c r="U165" s="4945"/>
      <c r="V165" s="4948"/>
      <c r="W165" s="4943"/>
      <c r="X165" s="4943"/>
      <c r="Y165" s="4944"/>
      <c r="Z165" s="4945"/>
      <c r="AA165" s="4948"/>
      <c r="AB165" s="4943"/>
      <c r="AC165" s="4943"/>
      <c r="AD165" s="4944"/>
      <c r="AE165" s="4945"/>
      <c r="AF165" s="4948"/>
      <c r="AG165" s="4943"/>
      <c r="AH165" s="4943"/>
      <c r="AI165" s="4944"/>
      <c r="AJ165" s="4945"/>
      <c r="AK165" s="4943"/>
      <c r="AL165" s="4943"/>
      <c r="AM165" s="4943"/>
      <c r="AN165" s="4944"/>
      <c r="AO165" s="4945"/>
      <c r="AP165" s="4943"/>
      <c r="AQ165" s="4943"/>
      <c r="AR165" s="4943"/>
      <c r="AS165" s="4944"/>
      <c r="AT165" s="4945"/>
      <c r="AU165" s="4943"/>
      <c r="AV165" s="4943"/>
      <c r="AW165" s="4943"/>
      <c r="AX165" s="4944"/>
      <c r="AY165" s="4945"/>
      <c r="AZ165" s="4943"/>
      <c r="BA165" s="4943"/>
      <c r="BB165" s="4943"/>
      <c r="BC165" s="4943"/>
      <c r="BD165" s="4949"/>
      <c r="BE165" s="4950"/>
      <c r="BF165" s="4943"/>
      <c r="BG165" s="4943"/>
      <c r="BH165" s="4943"/>
      <c r="BI165" s="4949"/>
      <c r="BJ165" s="4943"/>
      <c r="BK165" s="4943"/>
      <c r="BL165" s="4943"/>
      <c r="BM165" s="4943"/>
      <c r="BN165" s="4949"/>
      <c r="BO165" s="4943"/>
      <c r="BP165" s="4943"/>
      <c r="BQ165" s="4943"/>
      <c r="BR165" s="4944"/>
      <c r="BS165" s="4945"/>
      <c r="BT165" s="4943"/>
      <c r="BU165" s="4943"/>
      <c r="BV165" s="4943"/>
      <c r="BW165" s="4943"/>
      <c r="BX165" s="4949"/>
      <c r="BY165" s="4943"/>
      <c r="BZ165" s="4943"/>
      <c r="CA165" s="4943"/>
      <c r="CB165" s="4943"/>
      <c r="CC165" s="4949"/>
      <c r="CD165" s="4943"/>
      <c r="CE165" s="4943"/>
      <c r="CF165" s="4943"/>
      <c r="CG165" s="4943"/>
      <c r="CH165" s="4949"/>
      <c r="CI165" s="4943"/>
      <c r="CJ165" s="4943"/>
      <c r="CK165" s="4943"/>
      <c r="CL165" s="4943"/>
      <c r="CM165" s="4949"/>
      <c r="CN165" s="4943"/>
      <c r="CO165" s="4943"/>
      <c r="CP165" s="4943"/>
      <c r="CQ165" s="4943"/>
      <c r="CR165" s="4949"/>
      <c r="CS165" s="4943"/>
      <c r="CT165" s="4943"/>
      <c r="CU165" s="4943"/>
      <c r="CV165" s="4943"/>
      <c r="CW165" s="4949"/>
      <c r="CX165" s="4943"/>
      <c r="CY165" s="4943"/>
      <c r="CZ165" s="4943"/>
      <c r="DA165" s="4943"/>
      <c r="DB165" s="4949"/>
      <c r="DC165" s="4943"/>
      <c r="DD165" s="4943"/>
      <c r="DE165" s="4943"/>
      <c r="DF165" s="4943"/>
      <c r="DG165" s="4951"/>
      <c r="DH165" s="4952"/>
      <c r="DI165" s="4952"/>
      <c r="DJ165" s="4952"/>
      <c r="DK165" s="4952"/>
      <c r="DL165" s="4951"/>
      <c r="DM165" s="4952"/>
      <c r="DN165" s="4952"/>
      <c r="DO165" s="4952"/>
      <c r="DP165" s="4952"/>
      <c r="DQ165" s="4951"/>
      <c r="DR165" s="4952"/>
      <c r="DS165" s="4952"/>
      <c r="DT165" s="4952"/>
      <c r="DU165" s="4952"/>
      <c r="DV165" s="4951"/>
      <c r="DW165" s="4952"/>
      <c r="DX165" s="4952"/>
      <c r="DY165" s="4952"/>
      <c r="DZ165" s="4952"/>
      <c r="EA165" s="4951"/>
      <c r="EB165" s="4952"/>
      <c r="EC165" s="4952"/>
      <c r="ED165" s="4952"/>
      <c r="EE165" s="4952"/>
      <c r="EF165" s="4951"/>
      <c r="EG165" s="4952"/>
      <c r="EH165" s="4952"/>
      <c r="EI165" s="4952"/>
      <c r="EJ165" s="4952"/>
      <c r="EK165" s="4951"/>
      <c r="EL165" s="4952"/>
      <c r="EM165" s="4952"/>
      <c r="EN165" s="4952"/>
      <c r="EO165" s="4952"/>
      <c r="EP165" s="4951"/>
      <c r="EQ165" s="4952"/>
      <c r="ER165" s="4952"/>
      <c r="ES165" s="4952"/>
      <c r="ET165" s="4952"/>
      <c r="EU165" s="4951"/>
      <c r="EV165" s="4951"/>
      <c r="EW165" s="4951"/>
      <c r="EX165" s="4951"/>
      <c r="EY165" s="4951"/>
      <c r="EZ165" s="170"/>
      <c r="FA165" s="1319"/>
      <c r="FB165" s="1319"/>
      <c r="FC165" s="511"/>
    </row>
    <row r="166" spans="1:159" s="4" customFormat="1" ht="11.25" customHeight="1" collapsed="1">
      <c r="A166" s="4997" t="s">
        <v>888</v>
      </c>
      <c r="B166" s="4998"/>
      <c r="C166" s="4998"/>
      <c r="D166" s="4998"/>
      <c r="E166" s="4998"/>
      <c r="F166" s="4998"/>
      <c r="G166" s="4998"/>
      <c r="H166" s="4998"/>
      <c r="I166" s="4998"/>
      <c r="J166" s="4998"/>
      <c r="K166" s="4998"/>
      <c r="L166" s="4998"/>
      <c r="M166" s="4998"/>
      <c r="N166" s="4998"/>
      <c r="O166" s="4998"/>
      <c r="P166" s="4998"/>
      <c r="Q166" s="4998"/>
      <c r="R166" s="4998"/>
      <c r="S166" s="4998"/>
      <c r="T166" s="4998"/>
      <c r="U166" s="4998"/>
      <c r="V166" s="4998"/>
      <c r="W166" s="4998"/>
      <c r="X166" s="4998"/>
      <c r="Y166" s="4998"/>
      <c r="Z166" s="4998"/>
      <c r="AA166" s="4998"/>
      <c r="AB166" s="4998"/>
      <c r="AC166" s="4998"/>
      <c r="AD166" s="4998"/>
      <c r="AE166" s="4998"/>
      <c r="AF166" s="4998"/>
      <c r="AG166" s="4998"/>
      <c r="AH166" s="4998"/>
      <c r="AI166" s="4998"/>
      <c r="AJ166" s="4998"/>
      <c r="AK166" s="4998"/>
      <c r="AL166" s="4998"/>
      <c r="AM166" s="4998"/>
      <c r="AN166" s="4998"/>
      <c r="AO166" s="4998"/>
      <c r="AP166" s="4998"/>
      <c r="AQ166" s="4998"/>
      <c r="AR166" s="4998"/>
      <c r="AS166" s="4998"/>
      <c r="AT166" s="4998"/>
      <c r="AU166" s="4998"/>
      <c r="AV166" s="4998"/>
      <c r="AW166" s="4998"/>
      <c r="AX166" s="4998"/>
      <c r="AY166" s="4998"/>
      <c r="AZ166" s="4998"/>
      <c r="BA166" s="4998"/>
      <c r="BB166" s="4998"/>
      <c r="BC166" s="4998"/>
      <c r="BD166" s="4998"/>
      <c r="BE166" s="4998"/>
      <c r="BF166" s="4998"/>
      <c r="BG166" s="4998"/>
      <c r="BH166" s="4998"/>
      <c r="BI166" s="4998"/>
      <c r="BJ166" s="4998"/>
      <c r="BK166" s="4998"/>
      <c r="BL166" s="4998"/>
      <c r="BM166" s="4998"/>
      <c r="BN166" s="4998"/>
      <c r="BO166" s="4998"/>
      <c r="BP166" s="4998"/>
      <c r="BQ166" s="4998"/>
      <c r="BR166" s="4998"/>
      <c r="BS166" s="4998"/>
      <c r="BT166" s="4998"/>
      <c r="BU166" s="4998"/>
      <c r="BV166" s="4998"/>
      <c r="BW166" s="4998"/>
      <c r="BX166" s="4998"/>
      <c r="BY166" s="4998"/>
      <c r="BZ166" s="4998"/>
      <c r="CA166" s="4998"/>
      <c r="CB166" s="4998"/>
      <c r="CC166" s="4998"/>
      <c r="CD166" s="4998"/>
      <c r="CE166" s="4998"/>
      <c r="CF166" s="4998"/>
      <c r="CG166" s="4998"/>
      <c r="CH166" s="4999"/>
      <c r="CI166" s="5000"/>
      <c r="CJ166" s="5000"/>
      <c r="CK166" s="5000"/>
      <c r="CL166" s="5000"/>
      <c r="CM166" s="4999"/>
      <c r="CN166" s="5000"/>
      <c r="CO166" s="5000"/>
      <c r="CP166" s="5000"/>
      <c r="CQ166" s="5000"/>
      <c r="CR166" s="4999"/>
      <c r="CS166" s="5000"/>
      <c r="CT166" s="5000"/>
      <c r="CU166" s="5000"/>
      <c r="CV166" s="5000"/>
      <c r="CW166" s="4999"/>
      <c r="CX166" s="5000"/>
      <c r="CY166" s="5000"/>
      <c r="CZ166" s="5000"/>
      <c r="DA166" s="5000"/>
      <c r="DB166" s="4999"/>
      <c r="DC166" s="5000"/>
      <c r="DD166" s="5000"/>
      <c r="DE166" s="5000"/>
      <c r="DF166" s="5000"/>
      <c r="DG166" s="4999"/>
      <c r="DH166" s="5000"/>
      <c r="DI166" s="5000"/>
      <c r="DJ166" s="5000"/>
      <c r="DK166" s="5000"/>
      <c r="DL166" s="4999"/>
      <c r="DM166" s="5000"/>
      <c r="DN166" s="5000"/>
      <c r="DO166" s="5000"/>
      <c r="DP166" s="5000"/>
      <c r="DQ166" s="4999"/>
      <c r="DR166" s="5000"/>
      <c r="DS166" s="5000"/>
      <c r="DT166" s="5000"/>
      <c r="DU166" s="5000"/>
      <c r="DV166" s="4999"/>
      <c r="DW166" s="5000"/>
      <c r="DX166" s="5000"/>
      <c r="DY166" s="5000"/>
      <c r="DZ166" s="5000"/>
      <c r="EA166" s="4999"/>
      <c r="EB166" s="5000"/>
      <c r="EC166" s="5000"/>
      <c r="ED166" s="5000"/>
      <c r="EE166" s="5000"/>
      <c r="EF166" s="4999"/>
      <c r="EG166" s="5000"/>
      <c r="EH166" s="5000"/>
      <c r="EI166" s="5000"/>
      <c r="EJ166" s="5000"/>
      <c r="EK166" s="4999"/>
      <c r="EL166" s="5000"/>
      <c r="EM166" s="5000"/>
      <c r="EN166" s="5000"/>
      <c r="EO166" s="5000"/>
      <c r="EP166" s="4999"/>
      <c r="EQ166" s="5000"/>
      <c r="ER166" s="5000"/>
      <c r="ES166" s="5000"/>
      <c r="ET166" s="5000"/>
      <c r="EU166" s="4999"/>
      <c r="EV166" s="4999"/>
      <c r="EW166" s="4999"/>
      <c r="EX166" s="4999"/>
      <c r="EY166" s="4999"/>
      <c r="EZ166" s="170"/>
      <c r="FA166" s="1319"/>
      <c r="FB166" s="1319"/>
      <c r="FC166" s="511"/>
    </row>
    <row r="167" spans="1:159" s="4" customFormat="1" ht="11.25" customHeight="1">
      <c r="A167" s="4927" t="s">
        <v>312</v>
      </c>
      <c r="B167" s="4928"/>
      <c r="C167" s="4928"/>
      <c r="D167" s="4928"/>
      <c r="E167" s="4929"/>
      <c r="F167" s="4930"/>
      <c r="G167" s="4928"/>
      <c r="H167" s="4928"/>
      <c r="I167" s="4928"/>
      <c r="J167" s="4929"/>
      <c r="K167" s="4930"/>
      <c r="L167" s="4928"/>
      <c r="M167" s="4928"/>
      <c r="N167" s="4928"/>
      <c r="O167" s="4929"/>
      <c r="P167" s="4931"/>
      <c r="Q167" s="4085"/>
      <c r="R167" s="4928"/>
      <c r="S167" s="4928"/>
      <c r="T167" s="4929"/>
      <c r="U167" s="4930"/>
      <c r="V167" s="4932"/>
      <c r="W167" s="4928"/>
      <c r="X167" s="4928"/>
      <c r="Y167" s="4929"/>
      <c r="Z167" s="4930"/>
      <c r="AA167" s="4932"/>
      <c r="AB167" s="4928"/>
      <c r="AC167" s="4928"/>
      <c r="AD167" s="4929"/>
      <c r="AE167" s="4930"/>
      <c r="AF167" s="4932"/>
      <c r="AG167" s="4928"/>
      <c r="AH167" s="4928"/>
      <c r="AI167" s="4929"/>
      <c r="AJ167" s="4930"/>
      <c r="AK167" s="4928"/>
      <c r="AL167" s="4928"/>
      <c r="AM167" s="4928"/>
      <c r="AN167" s="4929"/>
      <c r="AO167" s="4930"/>
      <c r="AP167" s="4928"/>
      <c r="AQ167" s="4928"/>
      <c r="AR167" s="4928"/>
      <c r="AS167" s="4929"/>
      <c r="AT167" s="4930"/>
      <c r="AU167" s="4928"/>
      <c r="AV167" s="4928"/>
      <c r="AW167" s="4928"/>
      <c r="AX167" s="4929"/>
      <c r="AY167" s="4930"/>
      <c r="AZ167" s="4928"/>
      <c r="BA167" s="4928"/>
      <c r="BB167" s="4928"/>
      <c r="BC167" s="4928"/>
      <c r="BD167" s="4933"/>
      <c r="BE167" s="4934"/>
      <c r="BF167" s="4928"/>
      <c r="BG167" s="4928"/>
      <c r="BH167" s="4928"/>
      <c r="BI167" s="4933"/>
      <c r="BJ167" s="4928"/>
      <c r="BK167" s="4928"/>
      <c r="BL167" s="4928"/>
      <c r="BM167" s="4928"/>
      <c r="BN167" s="4933"/>
      <c r="BO167" s="4928"/>
      <c r="BP167" s="4928"/>
      <c r="BQ167" s="4928"/>
      <c r="BR167" s="4929"/>
      <c r="BS167" s="4930"/>
      <c r="BT167" s="4928"/>
      <c r="BU167" s="4928"/>
      <c r="BV167" s="4928"/>
      <c r="BW167" s="4928"/>
      <c r="BX167" s="4933"/>
      <c r="BY167" s="4928"/>
      <c r="BZ167" s="4928"/>
      <c r="CA167" s="4928"/>
      <c r="CB167" s="4928"/>
      <c r="CC167" s="4933"/>
      <c r="CD167" s="4928"/>
      <c r="CE167" s="4928"/>
      <c r="CF167" s="4928"/>
      <c r="CG167" s="4928"/>
      <c r="CH167" s="4933"/>
      <c r="CI167" s="4928"/>
      <c r="CJ167" s="4928"/>
      <c r="CK167" s="4928"/>
      <c r="CL167" s="4928"/>
      <c r="CM167" s="4933"/>
      <c r="CN167" s="4928"/>
      <c r="CO167" s="4928"/>
      <c r="CP167" s="4928"/>
      <c r="CQ167" s="4928"/>
      <c r="CR167" s="4933"/>
      <c r="CS167" s="4928"/>
      <c r="CT167" s="4928"/>
      <c r="CU167" s="4928"/>
      <c r="CV167" s="4928"/>
      <c r="CW167" s="4933"/>
      <c r="CX167" s="4928"/>
      <c r="CY167" s="4928"/>
      <c r="CZ167" s="4928"/>
      <c r="DA167" s="4928"/>
      <c r="DB167" s="4933"/>
      <c r="DC167" s="4928"/>
      <c r="DD167" s="4928"/>
      <c r="DE167" s="4928"/>
      <c r="DF167" s="4928"/>
      <c r="DG167" s="4935">
        <f>IS!DG7</f>
        <v>136819</v>
      </c>
      <c r="DH167" s="4936"/>
      <c r="DI167" s="4936"/>
      <c r="DJ167" s="4936"/>
      <c r="DK167" s="4936">
        <f>IS!DK7</f>
        <v>46075</v>
      </c>
      <c r="DL167" s="4935">
        <f>IS!DL7</f>
        <v>161857</v>
      </c>
      <c r="DM167" s="4936">
        <f>IS!DM7</f>
        <v>41159</v>
      </c>
      <c r="DN167" s="4936">
        <f>IS!DN7</f>
        <v>38297</v>
      </c>
      <c r="DO167" s="4936">
        <f>IS!DO7</f>
        <v>46173</v>
      </c>
      <c r="DP167" s="4936">
        <f>IS!DP7</f>
        <v>56898</v>
      </c>
      <c r="DQ167" s="4935">
        <f>IS!DQ7</f>
        <v>182527</v>
      </c>
      <c r="DR167" s="4936">
        <f>IS!DR7</f>
        <v>55314</v>
      </c>
      <c r="DS167" s="4936">
        <f>IS!DS7</f>
        <v>61880</v>
      </c>
      <c r="DT167" s="4936">
        <f>IS!DT7</f>
        <v>65118</v>
      </c>
      <c r="DU167" s="4936">
        <f>IS!DU7</f>
        <v>75325</v>
      </c>
      <c r="DV167" s="4935">
        <f>IS!DV7</f>
        <v>257637</v>
      </c>
      <c r="DW167" s="4936">
        <f>IS!DW7</f>
        <v>68011</v>
      </c>
      <c r="DX167" s="4936">
        <f>IS!DX7</f>
        <v>69685</v>
      </c>
      <c r="DY167" s="4936">
        <f>IS!DY7</f>
        <v>69092</v>
      </c>
      <c r="DZ167" s="4936">
        <f>IS!DZ7</f>
        <v>76048</v>
      </c>
      <c r="EA167" s="4935">
        <f>IS!EA7</f>
        <v>282836</v>
      </c>
      <c r="EB167" s="4936">
        <f>IS!EB7</f>
        <v>69787</v>
      </c>
      <c r="EC167" s="4936">
        <f>IS!EC7</f>
        <v>74604</v>
      </c>
      <c r="ED167" s="4936">
        <f>IS!ED7</f>
        <v>76693</v>
      </c>
      <c r="EE167" s="4936">
        <f>IS!EE7</f>
        <v>86310</v>
      </c>
      <c r="EF167" s="4935">
        <f>IS!EF7</f>
        <v>307394</v>
      </c>
      <c r="EG167" s="4936">
        <f>IS!EG7</f>
        <v>80539</v>
      </c>
      <c r="EH167" s="4936">
        <f>IS!EH7</f>
        <v>84742</v>
      </c>
      <c r="EI167" s="4936">
        <f>IS!EI7</f>
        <v>88268</v>
      </c>
      <c r="EJ167" s="4936">
        <f>IS!EJ7</f>
        <v>96469</v>
      </c>
      <c r="EK167" s="4935">
        <f>IS!EK7</f>
        <v>350018</v>
      </c>
      <c r="EL167" s="4936">
        <f>IS!EL7</f>
        <v>90234</v>
      </c>
      <c r="EM167" s="4936">
        <f>IS!EM7</f>
        <v>96428</v>
      </c>
      <c r="EN167" s="4936">
        <f>IS!EN7</f>
        <v>102346</v>
      </c>
      <c r="EO167" s="4936">
        <f>IS!EO7</f>
        <v>112246.33430067294</v>
      </c>
      <c r="EP167" s="4935">
        <f>IS!EP7</f>
        <v>401254.33430067293</v>
      </c>
      <c r="EQ167" s="4936">
        <f>IS!EQ7</f>
        <v>106324.51246813085</v>
      </c>
      <c r="ER167" s="4936">
        <f>IS!ER7</f>
        <v>112613.41348835241</v>
      </c>
      <c r="ES167" s="4936">
        <f>IS!ES7</f>
        <v>118888.45645648654</v>
      </c>
      <c r="ET167" s="4936">
        <f>IS!ET7</f>
        <v>130475.26993554858</v>
      </c>
      <c r="EU167" s="4935">
        <f>IS!EU7</f>
        <v>468301.65234851843</v>
      </c>
      <c r="EV167" s="4935">
        <f>IS!EV7</f>
        <v>530735.52121275011</v>
      </c>
      <c r="EW167" s="4935">
        <f>IS!EW7</f>
        <v>594221.93512936914</v>
      </c>
      <c r="EX167" s="4935">
        <f>IS!EX7</f>
        <v>657093.77916525898</v>
      </c>
      <c r="EY167" s="4935">
        <f>IS!EY7</f>
        <v>722335.86960670422</v>
      </c>
      <c r="EZ167" s="170"/>
      <c r="FA167" s="1319"/>
      <c r="FB167" s="1319"/>
      <c r="FC167" s="511"/>
    </row>
    <row r="168" spans="1:159" s="4" customFormat="1" ht="11.25" customHeight="1">
      <c r="A168" s="4857" t="s">
        <v>380</v>
      </c>
      <c r="B168" s="170"/>
      <c r="C168" s="170"/>
      <c r="D168" s="170"/>
      <c r="E168" s="286"/>
      <c r="F168" s="4858"/>
      <c r="G168" s="170"/>
      <c r="H168" s="170"/>
      <c r="I168" s="170"/>
      <c r="J168" s="286"/>
      <c r="K168" s="4858"/>
      <c r="L168" s="170"/>
      <c r="M168" s="170"/>
      <c r="N168" s="170"/>
      <c r="O168" s="286"/>
      <c r="P168" s="2657"/>
      <c r="Q168" s="2608"/>
      <c r="R168" s="170"/>
      <c r="S168" s="170"/>
      <c r="T168" s="286"/>
      <c r="U168" s="4858"/>
      <c r="V168" s="4859"/>
      <c r="W168" s="170"/>
      <c r="X168" s="170"/>
      <c r="Y168" s="286"/>
      <c r="Z168" s="4858"/>
      <c r="AA168" s="4859"/>
      <c r="AB168" s="170"/>
      <c r="AC168" s="170"/>
      <c r="AD168" s="286"/>
      <c r="AE168" s="4858"/>
      <c r="AF168" s="4859"/>
      <c r="AG168" s="170"/>
      <c r="AH168" s="170"/>
      <c r="AI168" s="286"/>
      <c r="AJ168" s="4858"/>
      <c r="AK168" s="170"/>
      <c r="AL168" s="170"/>
      <c r="AM168" s="170"/>
      <c r="AN168" s="286"/>
      <c r="AO168" s="4858"/>
      <c r="AP168" s="170"/>
      <c r="AQ168" s="170"/>
      <c r="AR168" s="170"/>
      <c r="AS168" s="286"/>
      <c r="AT168" s="4858"/>
      <c r="AU168" s="170"/>
      <c r="AV168" s="170"/>
      <c r="AW168" s="170"/>
      <c r="AX168" s="286"/>
      <c r="AY168" s="4858"/>
      <c r="AZ168" s="170"/>
      <c r="BA168" s="170"/>
      <c r="BB168" s="170"/>
      <c r="BC168" s="170"/>
      <c r="BD168" s="4860"/>
      <c r="BE168" s="4866"/>
      <c r="BF168" s="170"/>
      <c r="BG168" s="170"/>
      <c r="BH168" s="170"/>
      <c r="BI168" s="4860"/>
      <c r="BJ168" s="170"/>
      <c r="BK168" s="170"/>
      <c r="BL168" s="170"/>
      <c r="BM168" s="170"/>
      <c r="BN168" s="4860"/>
      <c r="BO168" s="170"/>
      <c r="BP168" s="170"/>
      <c r="BQ168" s="170"/>
      <c r="BR168" s="286"/>
      <c r="BS168" s="4858"/>
      <c r="BT168" s="170"/>
      <c r="BU168" s="170"/>
      <c r="BV168" s="170"/>
      <c r="BW168" s="170"/>
      <c r="BX168" s="4860"/>
      <c r="BY168" s="170"/>
      <c r="BZ168" s="170"/>
      <c r="CA168" s="170"/>
      <c r="CB168" s="170"/>
      <c r="CC168" s="4860"/>
      <c r="CD168" s="170"/>
      <c r="CE168" s="170"/>
      <c r="CF168" s="170"/>
      <c r="CG168" s="170"/>
      <c r="CH168" s="4860"/>
      <c r="CI168" s="170"/>
      <c r="CJ168" s="170"/>
      <c r="CK168" s="170"/>
      <c r="CL168" s="170"/>
      <c r="CM168" s="4860"/>
      <c r="CN168" s="170"/>
      <c r="CO168" s="170"/>
      <c r="CP168" s="170"/>
      <c r="CQ168" s="170"/>
      <c r="CR168" s="4860"/>
      <c r="CS168" s="170"/>
      <c r="CT168" s="170"/>
      <c r="CU168" s="170"/>
      <c r="CV168" s="170"/>
      <c r="CW168" s="4860"/>
      <c r="CX168" s="170"/>
      <c r="CY168" s="170"/>
      <c r="CZ168" s="170"/>
      <c r="DA168" s="170"/>
      <c r="DB168" s="4860"/>
      <c r="DC168" s="170"/>
      <c r="DD168" s="170"/>
      <c r="DE168" s="170"/>
      <c r="DF168" s="170"/>
      <c r="DG168" s="4863">
        <f>IS!DG8</f>
        <v>26726</v>
      </c>
      <c r="DH168" s="4865"/>
      <c r="DI168" s="4865"/>
      <c r="DJ168" s="4865"/>
      <c r="DK168" s="4865">
        <f>IS!DK8</f>
        <v>8501</v>
      </c>
      <c r="DL168" s="4863">
        <f>IS!DL8</f>
        <v>30089</v>
      </c>
      <c r="DM168" s="4865">
        <f>IS!DM8</f>
        <v>7452</v>
      </c>
      <c r="DN168" s="4865">
        <f>IS!DN8</f>
        <v>6694</v>
      </c>
      <c r="DO168" s="4865">
        <f>IS!DO8</f>
        <v>8166</v>
      </c>
      <c r="DP168" s="4865">
        <f>IS!DP8</f>
        <v>10466</v>
      </c>
      <c r="DQ168" s="4863">
        <f>IS!DQ8</f>
        <v>32778</v>
      </c>
      <c r="DR168" s="4865">
        <f>IS!DR8</f>
        <v>9712</v>
      </c>
      <c r="DS168" s="4865">
        <f>IS!DS8</f>
        <v>10929</v>
      </c>
      <c r="DT168" s="4865">
        <f>IS!DT8</f>
        <v>11498</v>
      </c>
      <c r="DU168" s="4865">
        <f>IS!DU8</f>
        <v>13427</v>
      </c>
      <c r="DV168" s="4863">
        <f>IS!DV8</f>
        <v>45566</v>
      </c>
      <c r="DW168" s="4865">
        <f>IS!DW8</f>
        <v>11990</v>
      </c>
      <c r="DX168" s="4865">
        <f>IS!DX8</f>
        <v>12214</v>
      </c>
      <c r="DY168" s="4865">
        <f>IS!DY8</f>
        <v>11826</v>
      </c>
      <c r="DZ168" s="4865">
        <f>IS!DZ8</f>
        <v>12925</v>
      </c>
      <c r="EA168" s="4863">
        <f>IS!EA8</f>
        <v>48955</v>
      </c>
      <c r="EB168" s="4865">
        <f>IS!EB8</f>
        <v>11721</v>
      </c>
      <c r="EC168" s="4865">
        <f>IS!EC8</f>
        <v>12537</v>
      </c>
      <c r="ED168" s="4865">
        <f>IS!ED8</f>
        <v>12642</v>
      </c>
      <c r="EE168" s="4865">
        <f>IS!EE8</f>
        <v>13986</v>
      </c>
      <c r="EF168" s="4863">
        <f>IS!EF8</f>
        <v>50886</v>
      </c>
      <c r="EG168" s="4865">
        <f>IS!EG8</f>
        <v>12946</v>
      </c>
      <c r="EH168" s="4865">
        <f>IS!EH8</f>
        <v>13387</v>
      </c>
      <c r="EI168" s="4865">
        <f>IS!EI8</f>
        <v>13719</v>
      </c>
      <c r="EJ168" s="4865">
        <f>IS!EJ8</f>
        <v>14848</v>
      </c>
      <c r="EK168" s="4863">
        <f>IS!EK8</f>
        <v>54900</v>
      </c>
      <c r="EL168" s="4865">
        <f>IS!EL8</f>
        <v>13748</v>
      </c>
      <c r="EM168" s="4865">
        <f>IS!EM8</f>
        <v>14705</v>
      </c>
      <c r="EN168" s="4865">
        <f>IS!EN8</f>
        <v>14876</v>
      </c>
      <c r="EO168" s="4865">
        <f>IS!EO8</f>
        <v>16258.297203300754</v>
      </c>
      <c r="EP168" s="4863">
        <f>IS!EP8</f>
        <v>59587.297203300754</v>
      </c>
      <c r="EQ168" s="4865">
        <f>IS!EQ8</f>
        <v>15444.782506115487</v>
      </c>
      <c r="ER168" s="4865">
        <f>IS!ER8</f>
        <v>15894.085868995453</v>
      </c>
      <c r="ES168" s="4865">
        <f>IS!ES8</f>
        <v>16168.651554713349</v>
      </c>
      <c r="ET168" s="4865">
        <f>IS!ET8</f>
        <v>17560.522184742083</v>
      </c>
      <c r="EU168" s="4863">
        <f>IS!EU8</f>
        <v>65068.042114566371</v>
      </c>
      <c r="EV168" s="4863">
        <f>IS!EV8</f>
        <v>70196.900175195173</v>
      </c>
      <c r="EW168" s="4863">
        <f>IS!EW8</f>
        <v>75419.857670370227</v>
      </c>
      <c r="EX168" s="4863">
        <f>IS!EX8</f>
        <v>80229.579235217301</v>
      </c>
      <c r="EY168" s="4863">
        <f>IS!EY8</f>
        <v>85065.791930375693</v>
      </c>
      <c r="EZ168" s="170"/>
      <c r="FA168" s="1319"/>
      <c r="FB168" s="1319"/>
      <c r="FC168" s="511"/>
    </row>
    <row r="169" spans="1:159" s="4" customFormat="1" ht="11.25" customHeight="1">
      <c r="A169" s="4927" t="s">
        <v>282</v>
      </c>
      <c r="B169" s="4928"/>
      <c r="C169" s="4928"/>
      <c r="D169" s="4928"/>
      <c r="E169" s="4929"/>
      <c r="F169" s="4930"/>
      <c r="G169" s="4928"/>
      <c r="H169" s="4928"/>
      <c r="I169" s="4928"/>
      <c r="J169" s="4929"/>
      <c r="K169" s="4930"/>
      <c r="L169" s="4928"/>
      <c r="M169" s="4928"/>
      <c r="N169" s="4928"/>
      <c r="O169" s="4929"/>
      <c r="P169" s="4931"/>
      <c r="Q169" s="4085"/>
      <c r="R169" s="4928"/>
      <c r="S169" s="4928"/>
      <c r="T169" s="4929"/>
      <c r="U169" s="4930"/>
      <c r="V169" s="4932"/>
      <c r="W169" s="4928"/>
      <c r="X169" s="4928"/>
      <c r="Y169" s="4929"/>
      <c r="Z169" s="4930"/>
      <c r="AA169" s="4932"/>
      <c r="AB169" s="4928"/>
      <c r="AC169" s="4928"/>
      <c r="AD169" s="4929"/>
      <c r="AE169" s="4930"/>
      <c r="AF169" s="4932"/>
      <c r="AG169" s="4928"/>
      <c r="AH169" s="4928"/>
      <c r="AI169" s="4929"/>
      <c r="AJ169" s="4930"/>
      <c r="AK169" s="4928"/>
      <c r="AL169" s="4928"/>
      <c r="AM169" s="4928"/>
      <c r="AN169" s="4929"/>
      <c r="AO169" s="4930"/>
      <c r="AP169" s="4928"/>
      <c r="AQ169" s="4928"/>
      <c r="AR169" s="4928"/>
      <c r="AS169" s="4929"/>
      <c r="AT169" s="4930"/>
      <c r="AU169" s="4928"/>
      <c r="AV169" s="4928"/>
      <c r="AW169" s="4928"/>
      <c r="AX169" s="4929"/>
      <c r="AY169" s="4930"/>
      <c r="AZ169" s="4928"/>
      <c r="BA169" s="4928"/>
      <c r="BB169" s="4928"/>
      <c r="BC169" s="4928"/>
      <c r="BD169" s="4933"/>
      <c r="BE169" s="4934"/>
      <c r="BF169" s="4928"/>
      <c r="BG169" s="4928"/>
      <c r="BH169" s="4928"/>
      <c r="BI169" s="4933"/>
      <c r="BJ169" s="4928"/>
      <c r="BK169" s="4928"/>
      <c r="BL169" s="4928"/>
      <c r="BM169" s="4928"/>
      <c r="BN169" s="4933"/>
      <c r="BO169" s="4928"/>
      <c r="BP169" s="4928"/>
      <c r="BQ169" s="4928"/>
      <c r="BR169" s="4929"/>
      <c r="BS169" s="4930"/>
      <c r="BT169" s="4928"/>
      <c r="BU169" s="4928"/>
      <c r="BV169" s="4928"/>
      <c r="BW169" s="4928"/>
      <c r="BX169" s="4933"/>
      <c r="BY169" s="4928"/>
      <c r="BZ169" s="4928"/>
      <c r="CA169" s="4928"/>
      <c r="CB169" s="4928"/>
      <c r="CC169" s="4933"/>
      <c r="CD169" s="4928"/>
      <c r="CE169" s="4928"/>
      <c r="CF169" s="4928"/>
      <c r="CG169" s="4928"/>
      <c r="CH169" s="4933"/>
      <c r="CI169" s="4928"/>
      <c r="CJ169" s="4928"/>
      <c r="CK169" s="4928"/>
      <c r="CL169" s="4928"/>
      <c r="CM169" s="4933"/>
      <c r="CN169" s="4928"/>
      <c r="CO169" s="4928"/>
      <c r="CP169" s="4928"/>
      <c r="CQ169" s="4928"/>
      <c r="CR169" s="4933"/>
      <c r="CS169" s="4928"/>
      <c r="CT169" s="4928"/>
      <c r="CU169" s="4928"/>
      <c r="CV169" s="4928"/>
      <c r="CW169" s="4933"/>
      <c r="CX169" s="4928"/>
      <c r="CY169" s="4928"/>
      <c r="CZ169" s="4928"/>
      <c r="DA169" s="4928"/>
      <c r="DB169" s="4933"/>
      <c r="DC169" s="4928"/>
      <c r="DD169" s="4928"/>
      <c r="DE169" s="4928"/>
      <c r="DF169" s="4928"/>
      <c r="DG169" s="4935">
        <f>IS!DG9</f>
        <v>110093</v>
      </c>
      <c r="DH169" s="4936"/>
      <c r="DI169" s="4936"/>
      <c r="DJ169" s="4936"/>
      <c r="DK169" s="4936">
        <f>IS!DK9</f>
        <v>37574</v>
      </c>
      <c r="DL169" s="4935">
        <f>IS!DL9</f>
        <v>131768</v>
      </c>
      <c r="DM169" s="4936">
        <f>IS!DM9</f>
        <v>33707</v>
      </c>
      <c r="DN169" s="4936">
        <f>IS!DN9</f>
        <v>31603</v>
      </c>
      <c r="DO169" s="4936">
        <f>IS!DO9</f>
        <v>38007</v>
      </c>
      <c r="DP169" s="4936">
        <f>IS!DP9</f>
        <v>46432</v>
      </c>
      <c r="DQ169" s="4935">
        <f>IS!DQ9</f>
        <v>149749</v>
      </c>
      <c r="DR169" s="4936">
        <f>IS!DR9</f>
        <v>45602</v>
      </c>
      <c r="DS169" s="4936">
        <f>IS!DS9</f>
        <v>50951</v>
      </c>
      <c r="DT169" s="4936">
        <f>IS!DT9</f>
        <v>53620</v>
      </c>
      <c r="DU169" s="4936">
        <f>IS!DU9</f>
        <v>61898</v>
      </c>
      <c r="DV169" s="4935">
        <f>IS!DV9</f>
        <v>212071</v>
      </c>
      <c r="DW169" s="4936">
        <f>IS!DW9</f>
        <v>56021</v>
      </c>
      <c r="DX169" s="4936">
        <f>IS!DX9</f>
        <v>57471</v>
      </c>
      <c r="DY169" s="4936">
        <f>IS!DY9</f>
        <v>57266</v>
      </c>
      <c r="DZ169" s="4936">
        <f>IS!DZ9</f>
        <v>63123</v>
      </c>
      <c r="EA169" s="4935">
        <f>IS!EA9</f>
        <v>233881</v>
      </c>
      <c r="EB169" s="4936">
        <f>IS!EB9</f>
        <v>58066</v>
      </c>
      <c r="EC169" s="4936">
        <f>IS!EC9</f>
        <v>62067</v>
      </c>
      <c r="ED169" s="4936">
        <f>IS!ED9</f>
        <v>64051</v>
      </c>
      <c r="EE169" s="4936">
        <f>IS!EE9</f>
        <v>72324</v>
      </c>
      <c r="EF169" s="4935">
        <f>IS!EF9</f>
        <v>256508</v>
      </c>
      <c r="EG169" s="4936">
        <f>IS!EG9</f>
        <v>67593</v>
      </c>
      <c r="EH169" s="4936">
        <f>IS!EH9</f>
        <v>71355</v>
      </c>
      <c r="EI169" s="4936">
        <f>IS!EI9</f>
        <v>74549</v>
      </c>
      <c r="EJ169" s="4936">
        <f>IS!EJ9</f>
        <v>81621</v>
      </c>
      <c r="EK169" s="4935">
        <f>IS!EK9</f>
        <v>295118</v>
      </c>
      <c r="EL169" s="4936">
        <f>IS!EL9</f>
        <v>76486</v>
      </c>
      <c r="EM169" s="4936">
        <f>IS!EM9</f>
        <v>81723</v>
      </c>
      <c r="EN169" s="4936">
        <f>IS!EN9</f>
        <v>87470</v>
      </c>
      <c r="EO169" s="4936">
        <f>IS!EO9</f>
        <v>95988.037097372187</v>
      </c>
      <c r="EP169" s="4935">
        <f>IS!EP9</f>
        <v>341667.03709737217</v>
      </c>
      <c r="EQ169" s="4936">
        <f>IS!EQ9</f>
        <v>90879.729962015364</v>
      </c>
      <c r="ER169" s="4936">
        <f>IS!ER9</f>
        <v>96719.327619356962</v>
      </c>
      <c r="ES169" s="4936">
        <f>IS!ES9</f>
        <v>102719.8049017732</v>
      </c>
      <c r="ET169" s="4936">
        <f>IS!ET9</f>
        <v>112914.74775080651</v>
      </c>
      <c r="EU169" s="4935">
        <f>IS!EU9</f>
        <v>403233.61023395206</v>
      </c>
      <c r="EV169" s="4935">
        <f>IS!EV9</f>
        <v>460538.62103755493</v>
      </c>
      <c r="EW169" s="4935">
        <f>IS!EW9</f>
        <v>518802.07745899889</v>
      </c>
      <c r="EX169" s="4935">
        <f>IS!EX9</f>
        <v>576864.19993004168</v>
      </c>
      <c r="EY169" s="4935">
        <f>IS!EY9</f>
        <v>637270.07767632848</v>
      </c>
      <c r="EZ169" s="170"/>
      <c r="FA169" s="1319"/>
      <c r="FB169" s="1319"/>
      <c r="FC169" s="511"/>
    </row>
    <row r="170" spans="1:159" s="4" customFormat="1" ht="11.25" customHeight="1">
      <c r="A170" s="4857" t="s">
        <v>979</v>
      </c>
      <c r="B170" s="170"/>
      <c r="C170" s="170"/>
      <c r="D170" s="170"/>
      <c r="E170" s="286"/>
      <c r="F170" s="4858"/>
      <c r="G170" s="170"/>
      <c r="H170" s="170"/>
      <c r="I170" s="170"/>
      <c r="J170" s="286"/>
      <c r="K170" s="4858"/>
      <c r="L170" s="170"/>
      <c r="M170" s="170"/>
      <c r="N170" s="170"/>
      <c r="O170" s="286"/>
      <c r="P170" s="2657"/>
      <c r="Q170" s="2608"/>
      <c r="R170" s="170"/>
      <c r="S170" s="170"/>
      <c r="T170" s="286"/>
      <c r="U170" s="4858"/>
      <c r="V170" s="4859"/>
      <c r="W170" s="170"/>
      <c r="X170" s="170"/>
      <c r="Y170" s="286"/>
      <c r="Z170" s="4858"/>
      <c r="AA170" s="4859"/>
      <c r="AB170" s="170"/>
      <c r="AC170" s="170"/>
      <c r="AD170" s="286"/>
      <c r="AE170" s="4858"/>
      <c r="AF170" s="4859"/>
      <c r="AG170" s="170"/>
      <c r="AH170" s="170"/>
      <c r="AI170" s="286"/>
      <c r="AJ170" s="4858"/>
      <c r="AK170" s="170"/>
      <c r="AL170" s="170"/>
      <c r="AM170" s="170"/>
      <c r="AN170" s="286"/>
      <c r="AO170" s="4858"/>
      <c r="AP170" s="170"/>
      <c r="AQ170" s="170"/>
      <c r="AR170" s="170"/>
      <c r="AS170" s="286"/>
      <c r="AT170" s="4858"/>
      <c r="AU170" s="170"/>
      <c r="AV170" s="170"/>
      <c r="AW170" s="170"/>
      <c r="AX170" s="286"/>
      <c r="AY170" s="4858"/>
      <c r="AZ170" s="170"/>
      <c r="BA170" s="170"/>
      <c r="BB170" s="170"/>
      <c r="BC170" s="170"/>
      <c r="BD170" s="4860"/>
      <c r="BE170" s="4866"/>
      <c r="BF170" s="170"/>
      <c r="BG170" s="170"/>
      <c r="BH170" s="170"/>
      <c r="BI170" s="4860"/>
      <c r="BJ170" s="170"/>
      <c r="BK170" s="170"/>
      <c r="BL170" s="170"/>
      <c r="BM170" s="170"/>
      <c r="BN170" s="4860"/>
      <c r="BO170" s="170"/>
      <c r="BP170" s="170"/>
      <c r="BQ170" s="170"/>
      <c r="BR170" s="286"/>
      <c r="BS170" s="4858"/>
      <c r="BT170" s="170"/>
      <c r="BU170" s="170"/>
      <c r="BV170" s="170"/>
      <c r="BW170" s="170"/>
      <c r="BX170" s="4860"/>
      <c r="BY170" s="170"/>
      <c r="BZ170" s="170"/>
      <c r="CA170" s="170"/>
      <c r="CB170" s="170"/>
      <c r="CC170" s="4860"/>
      <c r="CD170" s="170"/>
      <c r="CE170" s="170"/>
      <c r="CF170" s="170"/>
      <c r="CG170" s="170"/>
      <c r="CH170" s="4860"/>
      <c r="CI170" s="170"/>
      <c r="CJ170" s="170"/>
      <c r="CK170" s="170"/>
      <c r="CL170" s="170"/>
      <c r="CM170" s="4860"/>
      <c r="CN170" s="170"/>
      <c r="CO170" s="170"/>
      <c r="CP170" s="170"/>
      <c r="CQ170" s="170"/>
      <c r="CR170" s="4860"/>
      <c r="CS170" s="170"/>
      <c r="CT170" s="170"/>
      <c r="CU170" s="170"/>
      <c r="CV170" s="170"/>
      <c r="CW170" s="4860"/>
      <c r="CX170" s="170"/>
      <c r="CY170" s="170"/>
      <c r="CZ170" s="170"/>
      <c r="DA170" s="170"/>
      <c r="DB170" s="4860"/>
      <c r="DC170" s="170"/>
      <c r="DD170" s="170"/>
      <c r="DE170" s="170"/>
      <c r="DF170" s="170"/>
      <c r="DG170" s="4863"/>
      <c r="DH170" s="4865"/>
      <c r="DI170" s="4865"/>
      <c r="DJ170" s="4865"/>
      <c r="DK170" s="4865"/>
      <c r="DL170" s="4863">
        <f t="shared" ref="DL170:DU170" si="471">DL169-DL171</f>
        <v>97537</v>
      </c>
      <c r="DM170" s="4865">
        <f t="shared" si="471"/>
        <v>25730</v>
      </c>
      <c r="DN170" s="4865">
        <f t="shared" si="471"/>
        <v>25220</v>
      </c>
      <c r="DO170" s="4865">
        <f t="shared" si="471"/>
        <v>26794</v>
      </c>
      <c r="DP170" s="4865">
        <f t="shared" si="471"/>
        <v>30781</v>
      </c>
      <c r="DQ170" s="4863">
        <f t="shared" si="471"/>
        <v>108525</v>
      </c>
      <c r="DR170" s="4865">
        <f t="shared" si="471"/>
        <v>29165</v>
      </c>
      <c r="DS170" s="4865">
        <f t="shared" si="471"/>
        <v>31590</v>
      </c>
      <c r="DT170" s="4865">
        <f>DT169-DT171</f>
        <v>32589</v>
      </c>
      <c r="DU170" s="4865">
        <f t="shared" si="471"/>
        <v>40013</v>
      </c>
      <c r="DV170" s="4863">
        <f t="shared" ref="DV170:EW170" si="472">DV169-DV171</f>
        <v>133357</v>
      </c>
      <c r="DW170" s="4865">
        <f t="shared" si="472"/>
        <v>35927</v>
      </c>
      <c r="DX170" s="4865">
        <f t="shared" si="472"/>
        <v>38018</v>
      </c>
      <c r="DY170" s="4865">
        <f t="shared" si="472"/>
        <v>40131</v>
      </c>
      <c r="DZ170" s="4865">
        <f t="shared" si="472"/>
        <v>44963</v>
      </c>
      <c r="EA170" s="4863">
        <f t="shared" si="472"/>
        <v>159039</v>
      </c>
      <c r="EB170" s="4865">
        <f t="shared" si="472"/>
        <v>40651</v>
      </c>
      <c r="EC170" s="4865">
        <f t="shared" si="472"/>
        <v>40229</v>
      </c>
      <c r="ED170" s="4865">
        <f t="shared" si="472"/>
        <v>42708</v>
      </c>
      <c r="EE170" s="4865">
        <f t="shared" si="472"/>
        <v>48627</v>
      </c>
      <c r="EF170" s="4863">
        <f t="shared" si="472"/>
        <v>172215</v>
      </c>
      <c r="EG170" s="4865">
        <f t="shared" ref="EG170" si="473">EG169-EG171</f>
        <v>42121</v>
      </c>
      <c r="EH170" s="4865">
        <f t="shared" si="472"/>
        <v>43930</v>
      </c>
      <c r="EI170" s="4865">
        <f t="shared" ref="EI170:EJ170" si="474">EI169-EI171</f>
        <v>46028</v>
      </c>
      <c r="EJ170" s="4865">
        <f t="shared" si="474"/>
        <v>50649</v>
      </c>
      <c r="EK170" s="4863">
        <f t="shared" si="472"/>
        <v>182728</v>
      </c>
      <c r="EL170" s="4865">
        <f t="shared" si="472"/>
        <v>45880</v>
      </c>
      <c r="EM170" s="4865">
        <f t="shared" ref="EM170" si="475">EM169-EM171</f>
        <v>50452</v>
      </c>
      <c r="EN170" s="4865">
        <f t="shared" ref="EN170:EP170" si="476">EN169-EN171</f>
        <v>56242</v>
      </c>
      <c r="EO170" s="4865">
        <f t="shared" si="476"/>
        <v>58648.690666494411</v>
      </c>
      <c r="EP170" s="4863">
        <f t="shared" si="476"/>
        <v>211222.69066649443</v>
      </c>
      <c r="EQ170" s="4865">
        <f t="shared" ref="EQ170:ET170" si="477">EQ169-EQ171</f>
        <v>53755.360272532082</v>
      </c>
      <c r="ER170" s="4865">
        <f t="shared" si="477"/>
        <v>57789.798252565786</v>
      </c>
      <c r="ES170" s="4865">
        <f t="shared" si="477"/>
        <v>62607.721087630765</v>
      </c>
      <c r="ET170" s="4865">
        <f t="shared" si="477"/>
        <v>69329.655118995201</v>
      </c>
      <c r="EU170" s="4863">
        <f t="shared" si="472"/>
        <v>243482.53473172383</v>
      </c>
      <c r="EV170" s="4863">
        <f t="shared" si="472"/>
        <v>281849.63607498363</v>
      </c>
      <c r="EW170" s="4863">
        <f t="shared" si="472"/>
        <v>315431.66309507133</v>
      </c>
      <c r="EX170" s="4863">
        <f t="shared" ref="EX170:EY170" si="478">EX169-EX171</f>
        <v>346695.38415795506</v>
      </c>
      <c r="EY170" s="4863">
        <f t="shared" si="478"/>
        <v>376626.61590671015</v>
      </c>
      <c r="EZ170" s="170"/>
      <c r="FA170" s="1319"/>
      <c r="FB170" s="1319"/>
      <c r="FC170" s="511"/>
    </row>
    <row r="171" spans="1:159" s="4" customFormat="1" ht="11.25" customHeight="1">
      <c r="A171" s="4927" t="s">
        <v>533</v>
      </c>
      <c r="B171" s="4928"/>
      <c r="C171" s="4928"/>
      <c r="D171" s="4928"/>
      <c r="E171" s="4929"/>
      <c r="F171" s="4930"/>
      <c r="G171" s="4928"/>
      <c r="H171" s="4928"/>
      <c r="I171" s="4928"/>
      <c r="J171" s="4929"/>
      <c r="K171" s="4930"/>
      <c r="L171" s="4928"/>
      <c r="M171" s="4928"/>
      <c r="N171" s="4928"/>
      <c r="O171" s="4929"/>
      <c r="P171" s="4931"/>
      <c r="Q171" s="4085"/>
      <c r="R171" s="4928"/>
      <c r="S171" s="4928"/>
      <c r="T171" s="4929"/>
      <c r="U171" s="4930"/>
      <c r="V171" s="4932"/>
      <c r="W171" s="4928"/>
      <c r="X171" s="4928"/>
      <c r="Y171" s="4929"/>
      <c r="Z171" s="4930"/>
      <c r="AA171" s="4932"/>
      <c r="AB171" s="4928"/>
      <c r="AC171" s="4928"/>
      <c r="AD171" s="4929"/>
      <c r="AE171" s="4930"/>
      <c r="AF171" s="4932"/>
      <c r="AG171" s="4928"/>
      <c r="AH171" s="4928"/>
      <c r="AI171" s="4929"/>
      <c r="AJ171" s="4930"/>
      <c r="AK171" s="4928"/>
      <c r="AL171" s="4928"/>
      <c r="AM171" s="4928"/>
      <c r="AN171" s="4929"/>
      <c r="AO171" s="4930"/>
      <c r="AP171" s="4928"/>
      <c r="AQ171" s="4928"/>
      <c r="AR171" s="4928"/>
      <c r="AS171" s="4929"/>
      <c r="AT171" s="4930"/>
      <c r="AU171" s="4928"/>
      <c r="AV171" s="4928"/>
      <c r="AW171" s="4928"/>
      <c r="AX171" s="4929"/>
      <c r="AY171" s="4930"/>
      <c r="AZ171" s="4928"/>
      <c r="BA171" s="4928"/>
      <c r="BB171" s="4928"/>
      <c r="BC171" s="4928"/>
      <c r="BD171" s="4933"/>
      <c r="BE171" s="4934"/>
      <c r="BF171" s="4928"/>
      <c r="BG171" s="4928"/>
      <c r="BH171" s="4928"/>
      <c r="BI171" s="4933"/>
      <c r="BJ171" s="4928"/>
      <c r="BK171" s="4928"/>
      <c r="BL171" s="4928"/>
      <c r="BM171" s="4928"/>
      <c r="BN171" s="4933"/>
      <c r="BO171" s="4928"/>
      <c r="BP171" s="4928"/>
      <c r="BQ171" s="4928"/>
      <c r="BR171" s="4929"/>
      <c r="BS171" s="4930"/>
      <c r="BT171" s="4928"/>
      <c r="BU171" s="4928"/>
      <c r="BV171" s="4928"/>
      <c r="BW171" s="4928"/>
      <c r="BX171" s="4933"/>
      <c r="BY171" s="4928"/>
      <c r="BZ171" s="4928"/>
      <c r="CA171" s="4928"/>
      <c r="CB171" s="4928"/>
      <c r="CC171" s="4933"/>
      <c r="CD171" s="4928"/>
      <c r="CE171" s="4928"/>
      <c r="CF171" s="4928"/>
      <c r="CG171" s="4928"/>
      <c r="CH171" s="4933"/>
      <c r="CI171" s="4928"/>
      <c r="CJ171" s="4928"/>
      <c r="CK171" s="4928"/>
      <c r="CL171" s="4928"/>
      <c r="CM171" s="4933"/>
      <c r="CN171" s="4928"/>
      <c r="CO171" s="4928"/>
      <c r="CP171" s="4928"/>
      <c r="CQ171" s="4928"/>
      <c r="CR171" s="4933"/>
      <c r="CS171" s="4928"/>
      <c r="CT171" s="4928"/>
      <c r="CU171" s="4928"/>
      <c r="CV171" s="4928"/>
      <c r="CW171" s="4933"/>
      <c r="CX171" s="4928"/>
      <c r="CY171" s="4928"/>
      <c r="CZ171" s="4928"/>
      <c r="DA171" s="4928"/>
      <c r="DB171" s="4933"/>
      <c r="DC171" s="4928"/>
      <c r="DD171" s="4928"/>
      <c r="DE171" s="4928"/>
      <c r="DF171" s="4928"/>
      <c r="DG171" s="4935">
        <f>IS!DG27</f>
        <v>27524</v>
      </c>
      <c r="DH171" s="4936"/>
      <c r="DI171" s="4936"/>
      <c r="DJ171" s="4936"/>
      <c r="DK171" s="4936">
        <f>IS!DK27</f>
        <v>9266</v>
      </c>
      <c r="DL171" s="4935">
        <f>IS!DL27</f>
        <v>34231</v>
      </c>
      <c r="DM171" s="4936">
        <f>IS!DM27</f>
        <v>7977</v>
      </c>
      <c r="DN171" s="4936">
        <f>IS!DN27</f>
        <v>6383</v>
      </c>
      <c r="DO171" s="4936">
        <f>IS!DO27</f>
        <v>11213</v>
      </c>
      <c r="DP171" s="4936">
        <f>IS!DP27</f>
        <v>15651</v>
      </c>
      <c r="DQ171" s="4935">
        <f>IS!DQ27</f>
        <v>41224</v>
      </c>
      <c r="DR171" s="4936">
        <f>IS!DR27</f>
        <v>16437</v>
      </c>
      <c r="DS171" s="4936">
        <f>IS!DS27</f>
        <v>19361</v>
      </c>
      <c r="DT171" s="4936">
        <f>IS!DT27</f>
        <v>21031</v>
      </c>
      <c r="DU171" s="4936">
        <f>IS!DU27</f>
        <v>21885</v>
      </c>
      <c r="DV171" s="4935">
        <f>IS!DV27</f>
        <v>78714</v>
      </c>
      <c r="DW171" s="4936">
        <f>IS!DW27</f>
        <v>20094</v>
      </c>
      <c r="DX171" s="4936">
        <f>IS!DX27</f>
        <v>19453</v>
      </c>
      <c r="DY171" s="4936">
        <f>IS!DY27</f>
        <v>17135</v>
      </c>
      <c r="DZ171" s="4936">
        <f>IS!DZ27</f>
        <v>18160</v>
      </c>
      <c r="EA171" s="4935">
        <f>IS!EA27</f>
        <v>74842</v>
      </c>
      <c r="EB171" s="4936">
        <f>IS!EB27</f>
        <v>17415</v>
      </c>
      <c r="EC171" s="4936">
        <f>IS!EC27</f>
        <v>21838</v>
      </c>
      <c r="ED171" s="4936">
        <f>IS!ED27</f>
        <v>21343</v>
      </c>
      <c r="EE171" s="4936">
        <f>IS!EE27</f>
        <v>23697</v>
      </c>
      <c r="EF171" s="4935">
        <f>IS!EF27</f>
        <v>84293</v>
      </c>
      <c r="EG171" s="4936">
        <f>IS!EG27</f>
        <v>25472</v>
      </c>
      <c r="EH171" s="4936">
        <f>IS!EH27</f>
        <v>27425</v>
      </c>
      <c r="EI171" s="4936">
        <f>IS!EI27</f>
        <v>28521</v>
      </c>
      <c r="EJ171" s="4936">
        <f>IS!EJ27</f>
        <v>30972</v>
      </c>
      <c r="EK171" s="4935">
        <f>IS!EK27</f>
        <v>112390</v>
      </c>
      <c r="EL171" s="4936">
        <f>IS!EL27</f>
        <v>30606</v>
      </c>
      <c r="EM171" s="4936">
        <f>IS!EM27</f>
        <v>31271</v>
      </c>
      <c r="EN171" s="4936">
        <f>IS!EN27</f>
        <v>31228</v>
      </c>
      <c r="EO171" s="4936">
        <f>IS!EO27</f>
        <v>37339.346430877777</v>
      </c>
      <c r="EP171" s="4935">
        <f>IS!EP27</f>
        <v>130444.34643087776</v>
      </c>
      <c r="EQ171" s="4936">
        <f>IS!EQ27</f>
        <v>37124.369689483283</v>
      </c>
      <c r="ER171" s="4936">
        <f>IS!ER27</f>
        <v>38929.529366791176</v>
      </c>
      <c r="ES171" s="4936">
        <f>IS!ES27</f>
        <v>40112.083814142432</v>
      </c>
      <c r="ET171" s="4936">
        <f>IS!ET27</f>
        <v>43585.092631811312</v>
      </c>
      <c r="EU171" s="4935">
        <f>IS!EU27</f>
        <v>159751.07550222822</v>
      </c>
      <c r="EV171" s="4935">
        <f>IS!EV27</f>
        <v>178688.9849625713</v>
      </c>
      <c r="EW171" s="4935">
        <f>IS!EW27</f>
        <v>203370.41436392756</v>
      </c>
      <c r="EX171" s="4935">
        <f>IS!EX27</f>
        <v>230168.81577208661</v>
      </c>
      <c r="EY171" s="4935">
        <f>IS!EY27</f>
        <v>260643.4617696183</v>
      </c>
      <c r="EZ171" s="170"/>
      <c r="FA171" s="1319"/>
      <c r="FB171" s="1319"/>
      <c r="FC171" s="511"/>
    </row>
    <row r="172" spans="1:159" s="4" customFormat="1" ht="11.25" customHeight="1">
      <c r="A172" s="4857" t="s">
        <v>479</v>
      </c>
      <c r="B172" s="170"/>
      <c r="C172" s="170"/>
      <c r="D172" s="170"/>
      <c r="E172" s="286"/>
      <c r="F172" s="4858"/>
      <c r="G172" s="170"/>
      <c r="H172" s="170"/>
      <c r="I172" s="170"/>
      <c r="J172" s="286"/>
      <c r="K172" s="4858"/>
      <c r="L172" s="170"/>
      <c r="M172" s="170"/>
      <c r="N172" s="170"/>
      <c r="O172" s="286"/>
      <c r="P172" s="2657"/>
      <c r="Q172" s="2608"/>
      <c r="R172" s="170"/>
      <c r="S172" s="170"/>
      <c r="T172" s="286"/>
      <c r="U172" s="4858"/>
      <c r="V172" s="4859"/>
      <c r="W172" s="170"/>
      <c r="X172" s="170"/>
      <c r="Y172" s="286"/>
      <c r="Z172" s="4858"/>
      <c r="AA172" s="4859"/>
      <c r="AB172" s="170"/>
      <c r="AC172" s="170"/>
      <c r="AD172" s="286"/>
      <c r="AE172" s="4858"/>
      <c r="AF172" s="4859"/>
      <c r="AG172" s="170"/>
      <c r="AH172" s="170"/>
      <c r="AI172" s="286"/>
      <c r="AJ172" s="4858"/>
      <c r="AK172" s="170"/>
      <c r="AL172" s="170"/>
      <c r="AM172" s="170"/>
      <c r="AN172" s="286"/>
      <c r="AO172" s="4858"/>
      <c r="AP172" s="170"/>
      <c r="AQ172" s="170"/>
      <c r="AR172" s="170"/>
      <c r="AS172" s="286"/>
      <c r="AT172" s="4858"/>
      <c r="AU172" s="170"/>
      <c r="AV172" s="170"/>
      <c r="AW172" s="170"/>
      <c r="AX172" s="286"/>
      <c r="AY172" s="4858"/>
      <c r="AZ172" s="170"/>
      <c r="BA172" s="170"/>
      <c r="BB172" s="170"/>
      <c r="BC172" s="170"/>
      <c r="BD172" s="4860"/>
      <c r="BE172" s="4866"/>
      <c r="BF172" s="170"/>
      <c r="BG172" s="170"/>
      <c r="BH172" s="170"/>
      <c r="BI172" s="4860"/>
      <c r="BJ172" s="170"/>
      <c r="BK172" s="170"/>
      <c r="BL172" s="170"/>
      <c r="BM172" s="170"/>
      <c r="BN172" s="4860"/>
      <c r="BO172" s="170"/>
      <c r="BP172" s="170"/>
      <c r="BQ172" s="170"/>
      <c r="BR172" s="286"/>
      <c r="BS172" s="4858"/>
      <c r="BT172" s="170"/>
      <c r="BU172" s="170"/>
      <c r="BV172" s="170"/>
      <c r="BW172" s="170"/>
      <c r="BX172" s="4860"/>
      <c r="BY172" s="170"/>
      <c r="BZ172" s="170"/>
      <c r="CA172" s="170"/>
      <c r="CB172" s="170"/>
      <c r="CC172" s="4860"/>
      <c r="CD172" s="170"/>
      <c r="CE172" s="170"/>
      <c r="CF172" s="170"/>
      <c r="CG172" s="170"/>
      <c r="CH172" s="4860"/>
      <c r="CI172" s="170"/>
      <c r="CJ172" s="170"/>
      <c r="CK172" s="170"/>
      <c r="CL172" s="170"/>
      <c r="CM172" s="4860"/>
      <c r="CN172" s="170"/>
      <c r="CO172" s="170"/>
      <c r="CP172" s="170"/>
      <c r="CQ172" s="170"/>
      <c r="CR172" s="4860"/>
      <c r="CS172" s="170"/>
      <c r="CT172" s="170"/>
      <c r="CU172" s="170"/>
      <c r="CV172" s="170"/>
      <c r="CW172" s="4860"/>
      <c r="CX172" s="170"/>
      <c r="CY172" s="170"/>
      <c r="CZ172" s="170"/>
      <c r="DA172" s="170"/>
      <c r="DB172" s="4860"/>
      <c r="DC172" s="170"/>
      <c r="DD172" s="170"/>
      <c r="DE172" s="170"/>
      <c r="DF172" s="170"/>
      <c r="DG172" s="4863">
        <f>IS!DG30</f>
        <v>7389</v>
      </c>
      <c r="DH172" s="4865"/>
      <c r="DI172" s="4865"/>
      <c r="DJ172" s="4865"/>
      <c r="DK172" s="4865">
        <f>IS!DK30</f>
        <v>1438</v>
      </c>
      <c r="DL172" s="4863">
        <f>IS!DL30</f>
        <v>5394</v>
      </c>
      <c r="DM172" s="4865">
        <f>IS!DM30</f>
        <v>-220</v>
      </c>
      <c r="DN172" s="4865">
        <f>IS!DN30</f>
        <v>1894</v>
      </c>
      <c r="DO172" s="4865">
        <f>IS!DO30</f>
        <v>2146</v>
      </c>
      <c r="DP172" s="4865">
        <f>IS!DP30</f>
        <v>3038</v>
      </c>
      <c r="DQ172" s="4863">
        <f>IS!DQ30</f>
        <v>6858</v>
      </c>
      <c r="DR172" s="4865">
        <f>IS!DR30</f>
        <v>4846</v>
      </c>
      <c r="DS172" s="4865">
        <f>IS!DS30</f>
        <v>2624</v>
      </c>
      <c r="DT172" s="4865">
        <f>IS!DT30</f>
        <v>2033</v>
      </c>
      <c r="DU172" s="4865">
        <f>IS!DU30</f>
        <v>2517</v>
      </c>
      <c r="DV172" s="4863">
        <f>IS!DV30</f>
        <v>12020</v>
      </c>
      <c r="DW172" s="4865">
        <f>IS!DW30</f>
        <v>-1160</v>
      </c>
      <c r="DX172" s="4865">
        <f>IS!DX30</f>
        <v>-439</v>
      </c>
      <c r="DY172" s="4865">
        <f>IS!DY30</f>
        <v>-902</v>
      </c>
      <c r="DZ172" s="4865">
        <f>IS!DZ30</f>
        <v>-1013</v>
      </c>
      <c r="EA172" s="4863">
        <f>IS!EA30</f>
        <v>-3514</v>
      </c>
      <c r="EB172" s="4865">
        <f>IS!EB30</f>
        <v>790</v>
      </c>
      <c r="EC172" s="4865">
        <f>IS!EC30</f>
        <v>65</v>
      </c>
      <c r="ED172" s="4865">
        <f>IS!ED30</f>
        <v>-146</v>
      </c>
      <c r="EE172" s="4865">
        <f>IS!EE30</f>
        <v>715</v>
      </c>
      <c r="EF172" s="4863">
        <f>IS!EF30</f>
        <v>1424</v>
      </c>
      <c r="EG172" s="4865">
        <f>IS!EG30</f>
        <v>2843</v>
      </c>
      <c r="EH172" s="4865">
        <f>IS!EH30</f>
        <v>126</v>
      </c>
      <c r="EI172" s="4865">
        <f>IS!EI30</f>
        <v>3185</v>
      </c>
      <c r="EJ172" s="4865">
        <f>IS!EJ30</f>
        <v>1271</v>
      </c>
      <c r="EK172" s="4863">
        <f>IS!EK30</f>
        <v>7425</v>
      </c>
      <c r="EL172" s="4865">
        <f>IS!EL30</f>
        <v>11183</v>
      </c>
      <c r="EM172" s="4865">
        <f>IS!EM30</f>
        <v>2662</v>
      </c>
      <c r="EN172" s="4865">
        <f>IS!EN30</f>
        <v>12759</v>
      </c>
      <c r="EO172" s="4865">
        <f ca="1">IS!EO30</f>
        <v>950.78376487847618</v>
      </c>
      <c r="EP172" s="4863">
        <f ca="1">IS!EP30</f>
        <v>27554.783764878477</v>
      </c>
      <c r="EQ172" s="4865">
        <f ca="1">IS!EQ30</f>
        <v>937.4710461233858</v>
      </c>
      <c r="ER172" s="4865">
        <f ca="1">IS!ER30</f>
        <v>827.10195831727015</v>
      </c>
      <c r="ES172" s="4865">
        <f ca="1">IS!ES30</f>
        <v>733.790920491576</v>
      </c>
      <c r="ET172" s="4865">
        <f ca="1">IS!ET30</f>
        <v>745.27347776099884</v>
      </c>
      <c r="EU172" s="4863">
        <f ca="1">IS!EU30</f>
        <v>3243.6374026932308</v>
      </c>
      <c r="EV172" s="4863">
        <f ca="1">IS!EV30</f>
        <v>2731.6578810745086</v>
      </c>
      <c r="EW172" s="4863">
        <f ca="1">IS!EW30</f>
        <v>2450.3180952969096</v>
      </c>
      <c r="EX172" s="4863">
        <f ca="1">IS!EX30</f>
        <v>2714.1655529124491</v>
      </c>
      <c r="EY172" s="4863">
        <f ca="1">IS!EY30</f>
        <v>3638.3158607230607</v>
      </c>
      <c r="EZ172" s="170"/>
      <c r="FA172" s="1319"/>
      <c r="FB172" s="1319"/>
      <c r="FC172" s="511"/>
    </row>
    <row r="173" spans="1:159" s="4" customFormat="1" ht="11.25" customHeight="1">
      <c r="A173" s="4905" t="s">
        <v>225</v>
      </c>
      <c r="B173" s="170"/>
      <c r="C173" s="170"/>
      <c r="D173" s="170"/>
      <c r="E173" s="286"/>
      <c r="F173" s="4858"/>
      <c r="G173" s="170"/>
      <c r="H173" s="170"/>
      <c r="I173" s="170"/>
      <c r="J173" s="286"/>
      <c r="K173" s="4858"/>
      <c r="L173" s="170"/>
      <c r="M173" s="170"/>
      <c r="N173" s="170"/>
      <c r="O173" s="286"/>
      <c r="P173" s="2657"/>
      <c r="Q173" s="2608"/>
      <c r="R173" s="170"/>
      <c r="S173" s="170"/>
      <c r="T173" s="286"/>
      <c r="U173" s="4858"/>
      <c r="V173" s="4859"/>
      <c r="W173" s="170"/>
      <c r="X173" s="170"/>
      <c r="Y173" s="286"/>
      <c r="Z173" s="4858"/>
      <c r="AA173" s="4859"/>
      <c r="AB173" s="170"/>
      <c r="AC173" s="170"/>
      <c r="AD173" s="286"/>
      <c r="AE173" s="4858"/>
      <c r="AF173" s="4859"/>
      <c r="AG173" s="170"/>
      <c r="AH173" s="170"/>
      <c r="AI173" s="286"/>
      <c r="AJ173" s="4858"/>
      <c r="AK173" s="170"/>
      <c r="AL173" s="170"/>
      <c r="AM173" s="170"/>
      <c r="AN173" s="286"/>
      <c r="AO173" s="4858"/>
      <c r="AP173" s="170"/>
      <c r="AQ173" s="170"/>
      <c r="AR173" s="170"/>
      <c r="AS173" s="286"/>
      <c r="AT173" s="4858"/>
      <c r="AU173" s="170"/>
      <c r="AV173" s="170"/>
      <c r="AW173" s="170"/>
      <c r="AX173" s="286"/>
      <c r="AY173" s="4858"/>
      <c r="AZ173" s="170"/>
      <c r="BA173" s="170"/>
      <c r="BB173" s="170"/>
      <c r="BC173" s="170"/>
      <c r="BD173" s="4860"/>
      <c r="BE173" s="4866"/>
      <c r="BF173" s="170"/>
      <c r="BG173" s="170"/>
      <c r="BH173" s="170"/>
      <c r="BI173" s="4860"/>
      <c r="BJ173" s="170"/>
      <c r="BK173" s="170"/>
      <c r="BL173" s="170"/>
      <c r="BM173" s="170"/>
      <c r="BN173" s="4860"/>
      <c r="BO173" s="170"/>
      <c r="BP173" s="170"/>
      <c r="BQ173" s="170"/>
      <c r="BR173" s="286"/>
      <c r="BS173" s="4858"/>
      <c r="BT173" s="170"/>
      <c r="BU173" s="170"/>
      <c r="BV173" s="170"/>
      <c r="BW173" s="170"/>
      <c r="BX173" s="4860"/>
      <c r="BY173" s="170"/>
      <c r="BZ173" s="170"/>
      <c r="CA173" s="170"/>
      <c r="CB173" s="170"/>
      <c r="CC173" s="4860"/>
      <c r="CD173" s="170"/>
      <c r="CE173" s="170"/>
      <c r="CF173" s="170"/>
      <c r="CG173" s="170"/>
      <c r="CH173" s="4860"/>
      <c r="CI173" s="170"/>
      <c r="CJ173" s="170"/>
      <c r="CK173" s="170"/>
      <c r="CL173" s="170"/>
      <c r="CM173" s="4860"/>
      <c r="CN173" s="170"/>
      <c r="CO173" s="170"/>
      <c r="CP173" s="170"/>
      <c r="CQ173" s="170"/>
      <c r="CR173" s="4860"/>
      <c r="CS173" s="170"/>
      <c r="CT173" s="170"/>
      <c r="CU173" s="170"/>
      <c r="CV173" s="170"/>
      <c r="CW173" s="4860"/>
      <c r="CX173" s="170"/>
      <c r="CY173" s="170"/>
      <c r="CZ173" s="170"/>
      <c r="DA173" s="170"/>
      <c r="DB173" s="4860"/>
      <c r="DC173" s="170"/>
      <c r="DD173" s="170"/>
      <c r="DE173" s="170"/>
      <c r="DF173" s="170"/>
      <c r="DG173" s="4863">
        <f>DG171+DG172</f>
        <v>34913</v>
      </c>
      <c r="DH173" s="4865"/>
      <c r="DI173" s="4865"/>
      <c r="DJ173" s="4865"/>
      <c r="DK173" s="4865">
        <f t="shared" ref="DK173:DV173" si="479">DK171+DK172</f>
        <v>10704</v>
      </c>
      <c r="DL173" s="4863">
        <f t="shared" si="479"/>
        <v>39625</v>
      </c>
      <c r="DM173" s="4865">
        <f t="shared" si="479"/>
        <v>7757</v>
      </c>
      <c r="DN173" s="4865">
        <f t="shared" si="479"/>
        <v>8277</v>
      </c>
      <c r="DO173" s="4865">
        <f t="shared" si="479"/>
        <v>13359</v>
      </c>
      <c r="DP173" s="4865">
        <f t="shared" si="479"/>
        <v>18689</v>
      </c>
      <c r="DQ173" s="4863">
        <f t="shared" si="479"/>
        <v>48082</v>
      </c>
      <c r="DR173" s="4865">
        <f t="shared" si="479"/>
        <v>21283</v>
      </c>
      <c r="DS173" s="4865">
        <f t="shared" si="479"/>
        <v>21985</v>
      </c>
      <c r="DT173" s="4865">
        <f t="shared" si="479"/>
        <v>23064</v>
      </c>
      <c r="DU173" s="4865">
        <f t="shared" si="479"/>
        <v>24402</v>
      </c>
      <c r="DV173" s="4863">
        <f t="shared" si="479"/>
        <v>90734</v>
      </c>
      <c r="DW173" s="4865">
        <f t="shared" ref="DW173:EF173" si="480">DW171+DW172</f>
        <v>18934</v>
      </c>
      <c r="DX173" s="4865">
        <f t="shared" si="480"/>
        <v>19014</v>
      </c>
      <c r="DY173" s="4865">
        <f t="shared" si="480"/>
        <v>16233</v>
      </c>
      <c r="DZ173" s="4865">
        <f t="shared" si="480"/>
        <v>17147</v>
      </c>
      <c r="EA173" s="4863">
        <f t="shared" si="480"/>
        <v>71328</v>
      </c>
      <c r="EB173" s="4865">
        <f t="shared" si="480"/>
        <v>18205</v>
      </c>
      <c r="EC173" s="4865">
        <f t="shared" si="480"/>
        <v>21903</v>
      </c>
      <c r="ED173" s="4865">
        <f t="shared" si="480"/>
        <v>21197</v>
      </c>
      <c r="EE173" s="4865">
        <f t="shared" si="480"/>
        <v>24412</v>
      </c>
      <c r="EF173" s="4863">
        <f t="shared" si="480"/>
        <v>85717</v>
      </c>
      <c r="EG173" s="4865">
        <f t="shared" ref="EG173" si="481">EG171+EG172</f>
        <v>28315</v>
      </c>
      <c r="EH173" s="4865">
        <f t="shared" ref="EH173:EL173" si="482">EH171+EH172</f>
        <v>27551</v>
      </c>
      <c r="EI173" s="4865">
        <f t="shared" si="482"/>
        <v>31706</v>
      </c>
      <c r="EJ173" s="4865">
        <f t="shared" si="482"/>
        <v>32243</v>
      </c>
      <c r="EK173" s="4863">
        <f t="shared" si="482"/>
        <v>119815</v>
      </c>
      <c r="EL173" s="4865">
        <f t="shared" si="482"/>
        <v>41789</v>
      </c>
      <c r="EM173" s="4865">
        <f t="shared" ref="EM173" si="483">EM171+EM172</f>
        <v>33933</v>
      </c>
      <c r="EN173" s="4865">
        <f t="shared" ref="EN173:EX173" si="484">EN171+EN172</f>
        <v>43987</v>
      </c>
      <c r="EO173" s="4865">
        <f t="shared" ca="1" si="484"/>
        <v>38290.130195756254</v>
      </c>
      <c r="EP173" s="4863">
        <f t="shared" ca="1" si="484"/>
        <v>157999.13019575624</v>
      </c>
      <c r="EQ173" s="4865">
        <f t="shared" ref="EQ173:ET173" ca="1" si="485">EQ171+EQ172</f>
        <v>38061.840735606667</v>
      </c>
      <c r="ER173" s="4865">
        <f t="shared" ca="1" si="485"/>
        <v>39756.631325108443</v>
      </c>
      <c r="ES173" s="4865">
        <f t="shared" ca="1" si="485"/>
        <v>40845.87473463401</v>
      </c>
      <c r="ET173" s="4865">
        <f t="shared" ca="1" si="485"/>
        <v>44330.366109572315</v>
      </c>
      <c r="EU173" s="4863">
        <f t="shared" ca="1" si="484"/>
        <v>162994.71290492144</v>
      </c>
      <c r="EV173" s="4863">
        <f t="shared" ca="1" si="484"/>
        <v>181420.64284364579</v>
      </c>
      <c r="EW173" s="4863">
        <f t="shared" ca="1" si="484"/>
        <v>205820.73245922447</v>
      </c>
      <c r="EX173" s="4863">
        <f t="shared" ca="1" si="484"/>
        <v>232882.98132499907</v>
      </c>
      <c r="EY173" s="4863">
        <f t="shared" ref="EY173" ca="1" si="486">EY171+EY172</f>
        <v>264281.77763034136</v>
      </c>
      <c r="EZ173" s="170"/>
      <c r="FA173" s="1319"/>
      <c r="FB173" s="1319"/>
      <c r="FC173" s="511"/>
    </row>
    <row r="174" spans="1:159" s="4" customFormat="1" ht="11.25" customHeight="1">
      <c r="A174" s="4857" t="s">
        <v>950</v>
      </c>
      <c r="B174" s="170"/>
      <c r="C174" s="170"/>
      <c r="D174" s="170"/>
      <c r="E174" s="286"/>
      <c r="F174" s="4858"/>
      <c r="G174" s="170"/>
      <c r="H174" s="170"/>
      <c r="I174" s="170"/>
      <c r="J174" s="286"/>
      <c r="K174" s="4858"/>
      <c r="L174" s="170"/>
      <c r="M174" s="170"/>
      <c r="N174" s="170"/>
      <c r="O174" s="286"/>
      <c r="P174" s="2657"/>
      <c r="Q174" s="2608"/>
      <c r="R174" s="170"/>
      <c r="S174" s="170"/>
      <c r="T174" s="286"/>
      <c r="U174" s="4858"/>
      <c r="V174" s="4859"/>
      <c r="W174" s="170"/>
      <c r="X174" s="170"/>
      <c r="Y174" s="286"/>
      <c r="Z174" s="4858"/>
      <c r="AA174" s="4859"/>
      <c r="AB174" s="170"/>
      <c r="AC174" s="170"/>
      <c r="AD174" s="286"/>
      <c r="AE174" s="4858"/>
      <c r="AF174" s="4859"/>
      <c r="AG174" s="170"/>
      <c r="AH174" s="170"/>
      <c r="AI174" s="286"/>
      <c r="AJ174" s="4858"/>
      <c r="AK174" s="170"/>
      <c r="AL174" s="170"/>
      <c r="AM174" s="170"/>
      <c r="AN174" s="286"/>
      <c r="AO174" s="4858"/>
      <c r="AP174" s="170"/>
      <c r="AQ174" s="170"/>
      <c r="AR174" s="170"/>
      <c r="AS174" s="286"/>
      <c r="AT174" s="4858"/>
      <c r="AU174" s="170"/>
      <c r="AV174" s="170"/>
      <c r="AW174" s="170"/>
      <c r="AX174" s="286"/>
      <c r="AY174" s="4858"/>
      <c r="AZ174" s="170"/>
      <c r="BA174" s="170"/>
      <c r="BB174" s="170"/>
      <c r="BC174" s="170"/>
      <c r="BD174" s="4860"/>
      <c r="BE174" s="4866"/>
      <c r="BF174" s="170"/>
      <c r="BG174" s="170"/>
      <c r="BH174" s="170"/>
      <c r="BI174" s="4860"/>
      <c r="BJ174" s="170"/>
      <c r="BK174" s="170"/>
      <c r="BL174" s="170"/>
      <c r="BM174" s="170"/>
      <c r="BN174" s="4860"/>
      <c r="BO174" s="170"/>
      <c r="BP174" s="170"/>
      <c r="BQ174" s="170"/>
      <c r="BR174" s="286"/>
      <c r="BS174" s="4858"/>
      <c r="BT174" s="170"/>
      <c r="BU174" s="170"/>
      <c r="BV174" s="170"/>
      <c r="BW174" s="170"/>
      <c r="BX174" s="4860"/>
      <c r="BY174" s="170"/>
      <c r="BZ174" s="170"/>
      <c r="CA174" s="170"/>
      <c r="CB174" s="170"/>
      <c r="CC174" s="4860"/>
      <c r="CD174" s="170"/>
      <c r="CE174" s="170"/>
      <c r="CF174" s="170"/>
      <c r="CG174" s="170"/>
      <c r="CH174" s="4860"/>
      <c r="CI174" s="170"/>
      <c r="CJ174" s="170"/>
      <c r="CK174" s="170"/>
      <c r="CL174" s="170"/>
      <c r="CM174" s="4860"/>
      <c r="CN174" s="170"/>
      <c r="CO174" s="170"/>
      <c r="CP174" s="170"/>
      <c r="CQ174" s="170"/>
      <c r="CR174" s="4860"/>
      <c r="CS174" s="170"/>
      <c r="CT174" s="170"/>
      <c r="CU174" s="170"/>
      <c r="CV174" s="170"/>
      <c r="CW174" s="4860"/>
      <c r="CX174" s="170"/>
      <c r="CY174" s="170"/>
      <c r="CZ174" s="170"/>
      <c r="DA174" s="170"/>
      <c r="DB174" s="4860"/>
      <c r="DC174" s="170"/>
      <c r="DD174" s="170"/>
      <c r="DE174" s="170"/>
      <c r="DF174" s="170"/>
      <c r="DG174" s="4863">
        <f>IS!DG33</f>
        <v>4177</v>
      </c>
      <c r="DH174" s="4865"/>
      <c r="DI174" s="4865"/>
      <c r="DJ174" s="4865"/>
      <c r="DK174" s="4865">
        <f>IS!DK33</f>
        <v>33</v>
      </c>
      <c r="DL174" s="4863">
        <f>IS!DL33</f>
        <v>5282</v>
      </c>
      <c r="DM174" s="4865">
        <f>IS!DM33</f>
        <v>921</v>
      </c>
      <c r="DN174" s="4865">
        <f>IS!DN33</f>
        <v>1318</v>
      </c>
      <c r="DO174" s="4865">
        <f>IS!DO33</f>
        <v>2112</v>
      </c>
      <c r="DP174" s="4865">
        <f>IS!DP33</f>
        <v>3462</v>
      </c>
      <c r="DQ174" s="4863">
        <f>IS!DQ33</f>
        <v>7813</v>
      </c>
      <c r="DR174" s="4865">
        <f>IS!DR33</f>
        <v>3353</v>
      </c>
      <c r="DS174" s="4865">
        <f>IS!DS33</f>
        <v>3460</v>
      </c>
      <c r="DT174" s="4865">
        <f>IS!DT33</f>
        <v>4128</v>
      </c>
      <c r="DU174" s="4865">
        <f>IS!DU33</f>
        <v>3760</v>
      </c>
      <c r="DV174" s="4863">
        <f>IS!DV33</f>
        <v>14701</v>
      </c>
      <c r="DW174" s="4865">
        <f>IS!DW33</f>
        <v>2498</v>
      </c>
      <c r="DX174" s="4865">
        <f>IS!DX33</f>
        <v>3012</v>
      </c>
      <c r="DY174" s="4865">
        <f>IS!DY33</f>
        <v>2323</v>
      </c>
      <c r="DZ174" s="4865">
        <f>IS!DZ33</f>
        <v>3523</v>
      </c>
      <c r="EA174" s="4863">
        <f>IS!EA33</f>
        <v>11356</v>
      </c>
      <c r="EB174" s="4865">
        <f>IS!EB33</f>
        <v>3154</v>
      </c>
      <c r="EC174" s="4865">
        <f>IS!EC33</f>
        <v>3535</v>
      </c>
      <c r="ED174" s="4865">
        <f>IS!ED33</f>
        <v>1508</v>
      </c>
      <c r="EE174" s="4865">
        <f>IS!EE33</f>
        <v>3725</v>
      </c>
      <c r="EF174" s="4863">
        <f>IS!EF33</f>
        <v>11922</v>
      </c>
      <c r="EG174" s="4865">
        <f>IS!EG33</f>
        <v>4653</v>
      </c>
      <c r="EH174" s="4865">
        <f>IS!EH33</f>
        <v>3932</v>
      </c>
      <c r="EI174" s="4865">
        <f>IS!EI33</f>
        <v>5405</v>
      </c>
      <c r="EJ174" s="4865">
        <f>IS!EJ33</f>
        <v>5707</v>
      </c>
      <c r="EK174" s="4863">
        <f>IS!EK33</f>
        <v>19697</v>
      </c>
      <c r="EL174" s="4865">
        <f>IS!EL33</f>
        <v>7249</v>
      </c>
      <c r="EM174" s="4865">
        <f>IS!EM33</f>
        <v>5737</v>
      </c>
      <c r="EN174" s="4865">
        <f>IS!EN33</f>
        <v>9008</v>
      </c>
      <c r="EO174" s="4865">
        <f ca="1">IS!EO33</f>
        <v>6509.3221332785633</v>
      </c>
      <c r="EP174" s="4863">
        <f ca="1">IS!EP33</f>
        <v>28503.322133278562</v>
      </c>
      <c r="EQ174" s="4865">
        <f ca="1">IS!EQ33</f>
        <v>6470.5129250531336</v>
      </c>
      <c r="ER174" s="4865">
        <f ca="1">IS!ER33</f>
        <v>6758.6273252684359</v>
      </c>
      <c r="ES174" s="4865">
        <f ca="1">IS!ES33</f>
        <v>6943.7987048877822</v>
      </c>
      <c r="ET174" s="4865">
        <f ca="1">IS!ET33</f>
        <v>7536.1622386272938</v>
      </c>
      <c r="EU174" s="4863">
        <f ca="1">IS!EU33</f>
        <v>27709.101193836643</v>
      </c>
      <c r="EV174" s="4863">
        <f ca="1">IS!EV33</f>
        <v>30841.509283419786</v>
      </c>
      <c r="EW174" s="4863">
        <f ca="1">IS!EW33</f>
        <v>34989.52451806816</v>
      </c>
      <c r="EX174" s="4863">
        <f ca="1">IS!EX33</f>
        <v>39590.106825249844</v>
      </c>
      <c r="EY174" s="4863">
        <f ca="1">IS!EY33</f>
        <v>44927.902197158037</v>
      </c>
      <c r="EZ174" s="170"/>
      <c r="FA174" s="1319"/>
      <c r="FB174" s="1319"/>
      <c r="FC174" s="511"/>
    </row>
    <row r="175" spans="1:159" s="4" customFormat="1" ht="11.25" customHeight="1">
      <c r="A175" s="4927" t="s">
        <v>372</v>
      </c>
      <c r="B175" s="4928"/>
      <c r="C175" s="4928"/>
      <c r="D175" s="4928"/>
      <c r="E175" s="4929"/>
      <c r="F175" s="4930"/>
      <c r="G175" s="4928"/>
      <c r="H175" s="4928"/>
      <c r="I175" s="4928"/>
      <c r="J175" s="4929"/>
      <c r="K175" s="4930"/>
      <c r="L175" s="4928"/>
      <c r="M175" s="4928"/>
      <c r="N175" s="4928"/>
      <c r="O175" s="4929"/>
      <c r="P175" s="4931"/>
      <c r="Q175" s="4085"/>
      <c r="R175" s="4928"/>
      <c r="S175" s="4928"/>
      <c r="T175" s="4929"/>
      <c r="U175" s="4930"/>
      <c r="V175" s="4932"/>
      <c r="W175" s="4928"/>
      <c r="X175" s="4928"/>
      <c r="Y175" s="4929"/>
      <c r="Z175" s="4930"/>
      <c r="AA175" s="4932"/>
      <c r="AB175" s="4928"/>
      <c r="AC175" s="4928"/>
      <c r="AD175" s="4929"/>
      <c r="AE175" s="4930"/>
      <c r="AF175" s="4932"/>
      <c r="AG175" s="4928"/>
      <c r="AH175" s="4928"/>
      <c r="AI175" s="4929"/>
      <c r="AJ175" s="4930"/>
      <c r="AK175" s="4928"/>
      <c r="AL175" s="4928"/>
      <c r="AM175" s="4928"/>
      <c r="AN175" s="4929"/>
      <c r="AO175" s="4930"/>
      <c r="AP175" s="4928"/>
      <c r="AQ175" s="4928"/>
      <c r="AR175" s="4928"/>
      <c r="AS175" s="4929"/>
      <c r="AT175" s="4930"/>
      <c r="AU175" s="4928"/>
      <c r="AV175" s="4928"/>
      <c r="AW175" s="4928"/>
      <c r="AX175" s="4929"/>
      <c r="AY175" s="4930"/>
      <c r="AZ175" s="4928"/>
      <c r="BA175" s="4928"/>
      <c r="BB175" s="4928"/>
      <c r="BC175" s="4928"/>
      <c r="BD175" s="4933"/>
      <c r="BE175" s="4934"/>
      <c r="BF175" s="4928"/>
      <c r="BG175" s="4928"/>
      <c r="BH175" s="4928"/>
      <c r="BI175" s="4933"/>
      <c r="BJ175" s="4928"/>
      <c r="BK175" s="4928"/>
      <c r="BL175" s="4928"/>
      <c r="BM175" s="4928"/>
      <c r="BN175" s="4933"/>
      <c r="BO175" s="4928"/>
      <c r="BP175" s="4928"/>
      <c r="BQ175" s="4928"/>
      <c r="BR175" s="4929"/>
      <c r="BS175" s="4930"/>
      <c r="BT175" s="4928"/>
      <c r="BU175" s="4928"/>
      <c r="BV175" s="4928"/>
      <c r="BW175" s="4928"/>
      <c r="BX175" s="4933"/>
      <c r="BY175" s="4928"/>
      <c r="BZ175" s="4928"/>
      <c r="CA175" s="4928"/>
      <c r="CB175" s="4928"/>
      <c r="CC175" s="4933"/>
      <c r="CD175" s="4928"/>
      <c r="CE175" s="4928"/>
      <c r="CF175" s="4928"/>
      <c r="CG175" s="4928"/>
      <c r="CH175" s="4933"/>
      <c r="CI175" s="4928"/>
      <c r="CJ175" s="4928"/>
      <c r="CK175" s="4928"/>
      <c r="CL175" s="4928"/>
      <c r="CM175" s="4933"/>
      <c r="CN175" s="4928"/>
      <c r="CO175" s="4928"/>
      <c r="CP175" s="4928"/>
      <c r="CQ175" s="4928"/>
      <c r="CR175" s="4933"/>
      <c r="CS175" s="4928"/>
      <c r="CT175" s="4928"/>
      <c r="CU175" s="4928"/>
      <c r="CV175" s="4928"/>
      <c r="CW175" s="4933"/>
      <c r="CX175" s="4928"/>
      <c r="CY175" s="4928"/>
      <c r="CZ175" s="4928"/>
      <c r="DA175" s="4928"/>
      <c r="DB175" s="4933"/>
      <c r="DC175" s="4928"/>
      <c r="DD175" s="4928"/>
      <c r="DE175" s="4928"/>
      <c r="DF175" s="4928"/>
      <c r="DG175" s="4935">
        <f>DG173-DG174</f>
        <v>30736</v>
      </c>
      <c r="DH175" s="4936"/>
      <c r="DI175" s="4936"/>
      <c r="DJ175" s="4936"/>
      <c r="DK175" s="4936">
        <f t="shared" ref="DK175:DV175" si="487">DK173-DK174</f>
        <v>10671</v>
      </c>
      <c r="DL175" s="4935">
        <f t="shared" si="487"/>
        <v>34343</v>
      </c>
      <c r="DM175" s="4936">
        <f t="shared" si="487"/>
        <v>6836</v>
      </c>
      <c r="DN175" s="4936">
        <f t="shared" si="487"/>
        <v>6959</v>
      </c>
      <c r="DO175" s="4936">
        <f t="shared" si="487"/>
        <v>11247</v>
      </c>
      <c r="DP175" s="4936">
        <f t="shared" si="487"/>
        <v>15227</v>
      </c>
      <c r="DQ175" s="4935">
        <f t="shared" si="487"/>
        <v>40269</v>
      </c>
      <c r="DR175" s="4936">
        <f t="shared" si="487"/>
        <v>17930</v>
      </c>
      <c r="DS175" s="4936">
        <f t="shared" si="487"/>
        <v>18525</v>
      </c>
      <c r="DT175" s="4936">
        <f t="shared" si="487"/>
        <v>18936</v>
      </c>
      <c r="DU175" s="4936">
        <f t="shared" si="487"/>
        <v>20642</v>
      </c>
      <c r="DV175" s="4935">
        <f t="shared" si="487"/>
        <v>76033</v>
      </c>
      <c r="DW175" s="4936">
        <f t="shared" ref="DW175:EF175" si="488">DW173-DW174</f>
        <v>16436</v>
      </c>
      <c r="DX175" s="4936">
        <f t="shared" si="488"/>
        <v>16002</v>
      </c>
      <c r="DY175" s="4936">
        <f t="shared" si="488"/>
        <v>13910</v>
      </c>
      <c r="DZ175" s="4936">
        <f t="shared" si="488"/>
        <v>13624</v>
      </c>
      <c r="EA175" s="4935">
        <f t="shared" si="488"/>
        <v>59972</v>
      </c>
      <c r="EB175" s="4936">
        <f t="shared" si="488"/>
        <v>15051</v>
      </c>
      <c r="EC175" s="4936">
        <f t="shared" si="488"/>
        <v>18368</v>
      </c>
      <c r="ED175" s="4936">
        <f t="shared" si="488"/>
        <v>19689</v>
      </c>
      <c r="EE175" s="4936">
        <f t="shared" si="488"/>
        <v>20687</v>
      </c>
      <c r="EF175" s="4935">
        <f t="shared" si="488"/>
        <v>73795</v>
      </c>
      <c r="EG175" s="4936">
        <f t="shared" ref="EG175" si="489">EG173-EG174</f>
        <v>23662</v>
      </c>
      <c r="EH175" s="4936">
        <f t="shared" ref="EH175:EL175" si="490">EH173-EH174</f>
        <v>23619</v>
      </c>
      <c r="EI175" s="4936">
        <f t="shared" si="490"/>
        <v>26301</v>
      </c>
      <c r="EJ175" s="4936">
        <f t="shared" si="490"/>
        <v>26536</v>
      </c>
      <c r="EK175" s="4935">
        <f t="shared" si="490"/>
        <v>100118</v>
      </c>
      <c r="EL175" s="4936">
        <f t="shared" si="490"/>
        <v>34540</v>
      </c>
      <c r="EM175" s="4936">
        <f t="shared" ref="EM175" si="491">EM173-EM174</f>
        <v>28196</v>
      </c>
      <c r="EN175" s="4936">
        <f t="shared" ref="EN175:EX175" si="492">EN173-EN174</f>
        <v>34979</v>
      </c>
      <c r="EO175" s="4936">
        <f t="shared" ca="1" si="492"/>
        <v>31780.808062477692</v>
      </c>
      <c r="EP175" s="4935">
        <f t="shared" ca="1" si="492"/>
        <v>129495.80806247768</v>
      </c>
      <c r="EQ175" s="4936">
        <f t="shared" ref="EQ175:ET175" ca="1" si="493">EQ173-EQ174</f>
        <v>31591.327810553536</v>
      </c>
      <c r="ER175" s="4936">
        <f t="shared" ca="1" si="493"/>
        <v>32998.00399984001</v>
      </c>
      <c r="ES175" s="4936">
        <f t="shared" ca="1" si="493"/>
        <v>33902.076029746226</v>
      </c>
      <c r="ET175" s="4936">
        <f t="shared" ca="1" si="493"/>
        <v>36794.203870945021</v>
      </c>
      <c r="EU175" s="4935">
        <f t="shared" ca="1" si="492"/>
        <v>135285.61171108478</v>
      </c>
      <c r="EV175" s="4935">
        <f t="shared" ca="1" si="492"/>
        <v>150579.13356022601</v>
      </c>
      <c r="EW175" s="4935">
        <f t="shared" ca="1" si="492"/>
        <v>170831.20794115632</v>
      </c>
      <c r="EX175" s="4935">
        <f t="shared" ca="1" si="492"/>
        <v>193292.87449974922</v>
      </c>
      <c r="EY175" s="4935">
        <f t="shared" ref="EY175" ca="1" si="494">EY173-EY174</f>
        <v>219353.87543318333</v>
      </c>
      <c r="EZ175" s="170"/>
      <c r="FA175" s="1319"/>
      <c r="FB175" s="1319"/>
      <c r="FC175" s="511"/>
    </row>
    <row r="176" spans="1:159" s="4" customFormat="1" ht="11.25" customHeight="1">
      <c r="A176" s="4927" t="s">
        <v>121</v>
      </c>
      <c r="B176" s="4928"/>
      <c r="C176" s="4928"/>
      <c r="D176" s="4928"/>
      <c r="E176" s="4929"/>
      <c r="F176" s="4930"/>
      <c r="G176" s="4928"/>
      <c r="H176" s="4928"/>
      <c r="I176" s="4928"/>
      <c r="J176" s="4929"/>
      <c r="K176" s="4930"/>
      <c r="L176" s="4928"/>
      <c r="M176" s="4928"/>
      <c r="N176" s="4928"/>
      <c r="O176" s="4929"/>
      <c r="P176" s="4931"/>
      <c r="Q176" s="4085"/>
      <c r="R176" s="4928"/>
      <c r="S176" s="4928"/>
      <c r="T176" s="4929"/>
      <c r="U176" s="4930"/>
      <c r="V176" s="4932"/>
      <c r="W176" s="4928"/>
      <c r="X176" s="4928"/>
      <c r="Y176" s="4929"/>
      <c r="Z176" s="4930"/>
      <c r="AA176" s="4932"/>
      <c r="AB176" s="4928"/>
      <c r="AC176" s="4928"/>
      <c r="AD176" s="4929"/>
      <c r="AE176" s="4930"/>
      <c r="AF176" s="4932"/>
      <c r="AG176" s="4928"/>
      <c r="AH176" s="4928"/>
      <c r="AI176" s="4929"/>
      <c r="AJ176" s="4930"/>
      <c r="AK176" s="4928"/>
      <c r="AL176" s="4928"/>
      <c r="AM176" s="4928"/>
      <c r="AN176" s="4929"/>
      <c r="AO176" s="4930"/>
      <c r="AP176" s="4928"/>
      <c r="AQ176" s="4928"/>
      <c r="AR176" s="4928"/>
      <c r="AS176" s="4929"/>
      <c r="AT176" s="4930"/>
      <c r="AU176" s="4928"/>
      <c r="AV176" s="4928"/>
      <c r="AW176" s="4928"/>
      <c r="AX176" s="4929"/>
      <c r="AY176" s="4930"/>
      <c r="AZ176" s="4928"/>
      <c r="BA176" s="4928"/>
      <c r="BB176" s="4928"/>
      <c r="BC176" s="4928"/>
      <c r="BD176" s="4933"/>
      <c r="BE176" s="4934"/>
      <c r="BF176" s="4928"/>
      <c r="BG176" s="4928"/>
      <c r="BH176" s="4928"/>
      <c r="BI176" s="4933"/>
      <c r="BJ176" s="4928"/>
      <c r="BK176" s="4928"/>
      <c r="BL176" s="4928"/>
      <c r="BM176" s="4928"/>
      <c r="BN176" s="4933"/>
      <c r="BO176" s="4928"/>
      <c r="BP176" s="4928"/>
      <c r="BQ176" s="4928"/>
      <c r="BR176" s="4929"/>
      <c r="BS176" s="4930"/>
      <c r="BT176" s="4928"/>
      <c r="BU176" s="4928"/>
      <c r="BV176" s="4928"/>
      <c r="BW176" s="4928"/>
      <c r="BX176" s="4933"/>
      <c r="BY176" s="4928"/>
      <c r="BZ176" s="4928"/>
      <c r="CA176" s="4928"/>
      <c r="CB176" s="4928"/>
      <c r="CC176" s="4933"/>
      <c r="CD176" s="4928"/>
      <c r="CE176" s="4928"/>
      <c r="CF176" s="4928"/>
      <c r="CG176" s="4928"/>
      <c r="CH176" s="4933"/>
      <c r="CI176" s="4928"/>
      <c r="CJ176" s="4928"/>
      <c r="CK176" s="4928"/>
      <c r="CL176" s="4928"/>
      <c r="CM176" s="4933"/>
      <c r="CN176" s="4928"/>
      <c r="CO176" s="4928"/>
      <c r="CP176" s="4928"/>
      <c r="CQ176" s="4928"/>
      <c r="CR176" s="4937"/>
      <c r="CS176" s="4938"/>
      <c r="CT176" s="4938"/>
      <c r="CU176" s="4938"/>
      <c r="CV176" s="4938"/>
      <c r="CW176" s="4937"/>
      <c r="CX176" s="4938"/>
      <c r="CY176" s="4938"/>
      <c r="CZ176" s="4938"/>
      <c r="DA176" s="4938"/>
      <c r="DB176" s="4937"/>
      <c r="DC176" s="4938"/>
      <c r="DD176" s="4938"/>
      <c r="DE176" s="4938"/>
      <c r="DF176" s="4938"/>
      <c r="DG176" s="4937">
        <f>IS!DG37</f>
        <v>2.1851746394330318</v>
      </c>
      <c r="DH176" s="4938"/>
      <c r="DI176" s="4938"/>
      <c r="DJ176" s="4938"/>
      <c r="DK176" s="4938">
        <f>IS!DK37</f>
        <v>0.76748360889190648</v>
      </c>
      <c r="DL176" s="4937">
        <f>IS!DL37</f>
        <v>2.4581404653739534</v>
      </c>
      <c r="DM176" s="4938">
        <f>IS!DM37</f>
        <v>0.49374013205887324</v>
      </c>
      <c r="DN176" s="4938">
        <f>IS!DN37</f>
        <v>0.50645974521996318</v>
      </c>
      <c r="DO176" s="4938">
        <f>IS!DO37</f>
        <v>0.81993027640114247</v>
      </c>
      <c r="DP176" s="4938">
        <f>IS!DP37</f>
        <v>1.1147650918270082</v>
      </c>
      <c r="DQ176" s="4937">
        <f>IS!DQ37</f>
        <v>2.9306676477041864</v>
      </c>
      <c r="DR176" s="4938">
        <f>IS!DR37</f>
        <v>1.3143792948241459</v>
      </c>
      <c r="DS176" s="4938">
        <f>IS!DS37</f>
        <v>1.3629100133605647</v>
      </c>
      <c r="DT176" s="4938">
        <f>IS!DT37</f>
        <v>1.3995172345492144</v>
      </c>
      <c r="DU176" s="4938">
        <f>IS!DU37</f>
        <v>1.5347371645504115</v>
      </c>
      <c r="DV176" s="4937">
        <f>IS!DV37</f>
        <v>5.6098528237223304</v>
      </c>
      <c r="DW176" s="4938">
        <f>IS!DW37</f>
        <v>1.2310669896382449</v>
      </c>
      <c r="DX176" s="4938">
        <f>IS!DX37</f>
        <v>1.2087015635622025</v>
      </c>
      <c r="DY176" s="4938">
        <f>IS!DY37</f>
        <v>1.0620752844162786</v>
      </c>
      <c r="DZ176" s="4938">
        <f>IS!DZ37</f>
        <v>1.0522901058160192</v>
      </c>
      <c r="EA176" s="4937">
        <f>IS!EA37</f>
        <v>4.5576606157006436</v>
      </c>
      <c r="EB176" s="4938">
        <f>IS!EB37</f>
        <v>1.1737502924432659</v>
      </c>
      <c r="EC176" s="4938">
        <f>IS!EC37</f>
        <v>1.439047320589157</v>
      </c>
      <c r="ED176" s="4938">
        <f>IS!ED37</f>
        <v>1.5508034026465027</v>
      </c>
      <c r="EE176" s="4938">
        <f>IS!EE37</f>
        <v>1.6415648309792097</v>
      </c>
      <c r="EF176" s="4937">
        <f>IS!EF37</f>
        <v>5.8009236513707378</v>
      </c>
      <c r="EG176" s="4938">
        <f>IS!EG37</f>
        <v>1.8888800191586175</v>
      </c>
      <c r="EH176" s="4938">
        <f>IS!EH37</f>
        <v>1.8902761104441776</v>
      </c>
      <c r="EI176" s="4938">
        <f>IS!EI37</f>
        <v>2.1178033658104516</v>
      </c>
      <c r="EJ176" s="4938">
        <f>IS!EJ37</f>
        <v>2.1490119857466796</v>
      </c>
      <c r="EK176" s="4937">
        <f>IS!EK37</f>
        <v>8.0433830765831811</v>
      </c>
      <c r="EL176" s="4938">
        <f>IS!EL37</f>
        <v>2.8101863151899762</v>
      </c>
      <c r="EM176" s="4938">
        <f>IS!EM37</f>
        <v>2.3115264797507789</v>
      </c>
      <c r="EN176" s="4938">
        <f>IS!EN37</f>
        <v>2.8664262886175531</v>
      </c>
      <c r="EO176" s="4938">
        <f ca="1">IS!EO37</f>
        <v>2.6031751318245901</v>
      </c>
      <c r="EP176" s="4937">
        <f ca="1">IS!EP37</f>
        <v>10.592600448367341</v>
      </c>
      <c r="EQ176" s="4938">
        <f ca="1">IS!EQ37</f>
        <v>2.5871954711755261</v>
      </c>
      <c r="ER176" s="4938">
        <f ca="1">IS!ER37</f>
        <v>2.7019147953424647</v>
      </c>
      <c r="ES176" s="4938">
        <f ca="1">IS!ES37</f>
        <v>2.7754447909694702</v>
      </c>
      <c r="ET176" s="4938">
        <f ca="1">IS!ET37</f>
        <v>3.0116724322072157</v>
      </c>
      <c r="EU176" s="4937">
        <f ca="1">IS!EU37</f>
        <v>11.07634799455249</v>
      </c>
      <c r="EV176" s="4937">
        <f ca="1">IS!EV37</f>
        <v>12.427235330968529</v>
      </c>
      <c r="EW176" s="4937">
        <f ca="1">IS!EW37</f>
        <v>14.223395842785607</v>
      </c>
      <c r="EX176" s="4937">
        <f ca="1">IS!EX37</f>
        <v>16.254902495792145</v>
      </c>
      <c r="EY176" s="4937">
        <f ca="1">IS!EY37</f>
        <v>18.653054084757528</v>
      </c>
      <c r="EZ176" s="170"/>
      <c r="FA176" s="1319"/>
      <c r="FB176" s="1319"/>
      <c r="FC176" s="511"/>
    </row>
    <row r="177" spans="1:159" s="4" customFormat="1" ht="11.25" customHeight="1">
      <c r="A177" s="4235" t="str">
        <f>IS!A38</f>
        <v>Diluted shares outstanding</v>
      </c>
      <c r="B177" s="170"/>
      <c r="C177" s="170"/>
      <c r="D177" s="170"/>
      <c r="E177" s="286"/>
      <c r="F177" s="4858"/>
      <c r="G177" s="170"/>
      <c r="H177" s="170"/>
      <c r="I177" s="170"/>
      <c r="J177" s="286"/>
      <c r="K177" s="4858"/>
      <c r="L177" s="170"/>
      <c r="M177" s="170"/>
      <c r="N177" s="170"/>
      <c r="O177" s="286"/>
      <c r="P177" s="2657"/>
      <c r="Q177" s="2608"/>
      <c r="R177" s="170"/>
      <c r="S177" s="170"/>
      <c r="T177" s="286"/>
      <c r="U177" s="4858"/>
      <c r="V177" s="4859"/>
      <c r="W177" s="170"/>
      <c r="X177" s="170"/>
      <c r="Y177" s="286"/>
      <c r="Z177" s="4858"/>
      <c r="AA177" s="4859"/>
      <c r="AB177" s="170"/>
      <c r="AC177" s="170"/>
      <c r="AD177" s="286"/>
      <c r="AE177" s="4858"/>
      <c r="AF177" s="4859"/>
      <c r="AG177" s="170"/>
      <c r="AH177" s="170"/>
      <c r="AI177" s="286"/>
      <c r="AJ177" s="4858"/>
      <c r="AK177" s="170"/>
      <c r="AL177" s="170"/>
      <c r="AM177" s="170"/>
      <c r="AN177" s="286"/>
      <c r="AO177" s="4858"/>
      <c r="AP177" s="170"/>
      <c r="AQ177" s="170"/>
      <c r="AR177" s="170"/>
      <c r="AS177" s="286"/>
      <c r="AT177" s="4858"/>
      <c r="AU177" s="170"/>
      <c r="AV177" s="170"/>
      <c r="AW177" s="170"/>
      <c r="AX177" s="286"/>
      <c r="AY177" s="4858"/>
      <c r="AZ177" s="170"/>
      <c r="BA177" s="170"/>
      <c r="BB177" s="170"/>
      <c r="BC177" s="170"/>
      <c r="BD177" s="4860"/>
      <c r="BE177" s="4866"/>
      <c r="BF177" s="170"/>
      <c r="BG177" s="170"/>
      <c r="BH177" s="170"/>
      <c r="BI177" s="4860"/>
      <c r="BJ177" s="170"/>
      <c r="BK177" s="170"/>
      <c r="BL177" s="170"/>
      <c r="BM177" s="170"/>
      <c r="BN177" s="4860"/>
      <c r="BO177" s="170"/>
      <c r="BP177" s="170"/>
      <c r="BQ177" s="170"/>
      <c r="BR177" s="286"/>
      <c r="BS177" s="4858"/>
      <c r="BT177" s="170"/>
      <c r="BU177" s="170"/>
      <c r="BV177" s="170"/>
      <c r="BW177" s="170"/>
      <c r="BX177" s="4860"/>
      <c r="BY177" s="170"/>
      <c r="BZ177" s="170"/>
      <c r="CA177" s="170"/>
      <c r="CB177" s="170"/>
      <c r="CC177" s="4860"/>
      <c r="CD177" s="170"/>
      <c r="CE177" s="170"/>
      <c r="CF177" s="170"/>
      <c r="CG177" s="170"/>
      <c r="CH177" s="4860"/>
      <c r="CI177" s="170"/>
      <c r="CJ177" s="170"/>
      <c r="CK177" s="170"/>
      <c r="CL177" s="170"/>
      <c r="CM177" s="4860"/>
      <c r="CN177" s="170"/>
      <c r="CO177" s="170"/>
      <c r="CP177" s="170"/>
      <c r="CQ177" s="170"/>
      <c r="CR177" s="4860"/>
      <c r="CS177" s="170"/>
      <c r="CT177" s="170"/>
      <c r="CU177" s="170"/>
      <c r="CV177" s="170"/>
      <c r="CW177" s="4860"/>
      <c r="CX177" s="170"/>
      <c r="CY177" s="170"/>
      <c r="CZ177" s="170"/>
      <c r="DA177" s="170"/>
      <c r="DB177" s="4860"/>
      <c r="DC177" s="170"/>
      <c r="DD177" s="170"/>
      <c r="DE177" s="170"/>
      <c r="DF177" s="170"/>
      <c r="DG177" s="4863">
        <f>IS!DG38</f>
        <v>14065.695</v>
      </c>
      <c r="DH177" s="4865"/>
      <c r="DI177" s="4865"/>
      <c r="DJ177" s="4865"/>
      <c r="DK177" s="4865">
        <f>IS!DK38</f>
        <v>13903.88</v>
      </c>
      <c r="DL177" s="4863">
        <f>IS!DL38</f>
        <v>13971.13</v>
      </c>
      <c r="DM177" s="4865">
        <f>IS!DM38</f>
        <v>13845.34</v>
      </c>
      <c r="DN177" s="4865">
        <f>IS!DN38</f>
        <v>13740.48</v>
      </c>
      <c r="DO177" s="4865">
        <f>IS!DO38</f>
        <v>13717.02</v>
      </c>
      <c r="DP177" s="4865">
        <f>IS!DP38</f>
        <v>13659.380000000001</v>
      </c>
      <c r="DQ177" s="4863">
        <f>IS!DQ38</f>
        <v>13740.555</v>
      </c>
      <c r="DR177" s="4865">
        <f>IS!DR38</f>
        <v>13641.42</v>
      </c>
      <c r="DS177" s="4865">
        <f>IS!DS38</f>
        <v>13592.239999999998</v>
      </c>
      <c r="DT177" s="4865">
        <f>IS!DT38</f>
        <v>13530.380000000001</v>
      </c>
      <c r="DU177" s="4865">
        <f>IS!DU38</f>
        <v>13449.86</v>
      </c>
      <c r="DV177" s="4863">
        <f>IS!DV38</f>
        <v>13553.474999999999</v>
      </c>
      <c r="DW177" s="4865">
        <f>IS!DW38</f>
        <v>13351.02</v>
      </c>
      <c r="DX177" s="4865">
        <f>IS!DX38</f>
        <v>13239</v>
      </c>
      <c r="DY177" s="4865">
        <f>IS!DY38</f>
        <v>13097</v>
      </c>
      <c r="DZ177" s="4865">
        <f>IS!DZ38</f>
        <v>12947</v>
      </c>
      <c r="EA177" s="4863">
        <f>IS!EA38</f>
        <v>13158.505000000001</v>
      </c>
      <c r="EB177" s="4865">
        <f>IS!EB38</f>
        <v>12823</v>
      </c>
      <c r="EC177" s="4865">
        <f>IS!EC38</f>
        <v>12764</v>
      </c>
      <c r="ED177" s="4865">
        <f>IS!ED38</f>
        <v>12696</v>
      </c>
      <c r="EE177" s="4865">
        <f>IS!EE38</f>
        <v>12602</v>
      </c>
      <c r="EF177" s="4863">
        <f>IS!EF38</f>
        <v>12721.25</v>
      </c>
      <c r="EG177" s="4865">
        <f>IS!EG38</f>
        <v>12527</v>
      </c>
      <c r="EH177" s="4865">
        <f>IS!EH38</f>
        <v>12495</v>
      </c>
      <c r="EI177" s="4865">
        <f>IS!EI38</f>
        <v>12419</v>
      </c>
      <c r="EJ177" s="4865">
        <f>IS!EJ38</f>
        <v>12348</v>
      </c>
      <c r="EK177" s="4863">
        <f>IS!EK38</f>
        <v>12447.25</v>
      </c>
      <c r="EL177" s="4865">
        <f>IS!EL38</f>
        <v>12291</v>
      </c>
      <c r="EM177" s="4865">
        <f>IS!EM38</f>
        <v>12198</v>
      </c>
      <c r="EN177" s="4865">
        <f>IS!EN38</f>
        <v>12203</v>
      </c>
      <c r="EO177" s="4865">
        <f>IS!EO38</f>
        <v>12208.478666666666</v>
      </c>
      <c r="EP177" s="4863">
        <f>IS!EP38</f>
        <v>12225.119666666666</v>
      </c>
      <c r="EQ177" s="4865">
        <f>IS!EQ38</f>
        <v>12210.645914666666</v>
      </c>
      <c r="ER177" s="4865">
        <f>IS!ER38</f>
        <v>12212.821831658666</v>
      </c>
      <c r="ES177" s="4865">
        <f>IS!ES38</f>
        <v>12215.006452318636</v>
      </c>
      <c r="ET177" s="4865">
        <f>IS!ET38</f>
        <v>12217.199811461243</v>
      </c>
      <c r="EU177" s="4863">
        <f>IS!EU38</f>
        <v>12213.918502526303</v>
      </c>
      <c r="EV177" s="4863">
        <f ca="1">IS!EV38</f>
        <v>12116.865058874722</v>
      </c>
      <c r="EW177" s="4863">
        <f ca="1">IS!EW38</f>
        <v>12010.578193097632</v>
      </c>
      <c r="EX177" s="4863">
        <f ca="1">IS!EX38</f>
        <v>11891.358594724659</v>
      </c>
      <c r="EY177" s="4863">
        <f ca="1">IS!EY38</f>
        <v>11759.676160078787</v>
      </c>
      <c r="EZ177" s="170"/>
      <c r="FA177" s="1319"/>
      <c r="FB177" s="1319"/>
      <c r="FC177" s="511"/>
    </row>
    <row r="178" spans="1:159" s="4" customFormat="1" ht="11.25" customHeight="1">
      <c r="A178" s="4905"/>
      <c r="B178" s="170"/>
      <c r="C178" s="170"/>
      <c r="D178" s="170"/>
      <c r="E178" s="286"/>
      <c r="F178" s="4858"/>
      <c r="G178" s="170"/>
      <c r="H178" s="170"/>
      <c r="I178" s="170"/>
      <c r="J178" s="286"/>
      <c r="K178" s="4858"/>
      <c r="L178" s="170"/>
      <c r="M178" s="170"/>
      <c r="N178" s="170"/>
      <c r="O178" s="286"/>
      <c r="P178" s="2657"/>
      <c r="Q178" s="2608"/>
      <c r="R178" s="170"/>
      <c r="S178" s="170"/>
      <c r="T178" s="286"/>
      <c r="U178" s="4858"/>
      <c r="V178" s="4859"/>
      <c r="W178" s="170"/>
      <c r="X178" s="170"/>
      <c r="Y178" s="286"/>
      <c r="Z178" s="4858"/>
      <c r="AA178" s="4859"/>
      <c r="AB178" s="170"/>
      <c r="AC178" s="170"/>
      <c r="AD178" s="286"/>
      <c r="AE178" s="4858"/>
      <c r="AF178" s="4859"/>
      <c r="AG178" s="170"/>
      <c r="AH178" s="170"/>
      <c r="AI178" s="286"/>
      <c r="AJ178" s="4858"/>
      <c r="AK178" s="170"/>
      <c r="AL178" s="170"/>
      <c r="AM178" s="170"/>
      <c r="AN178" s="286"/>
      <c r="AO178" s="4858"/>
      <c r="AP178" s="170"/>
      <c r="AQ178" s="170"/>
      <c r="AR178" s="170"/>
      <c r="AS178" s="286"/>
      <c r="AT178" s="4858"/>
      <c r="AU178" s="170"/>
      <c r="AV178" s="170"/>
      <c r="AW178" s="170"/>
      <c r="AX178" s="286"/>
      <c r="AY178" s="4858"/>
      <c r="AZ178" s="170"/>
      <c r="BA178" s="170"/>
      <c r="BB178" s="170"/>
      <c r="BC178" s="170"/>
      <c r="BD178" s="4860"/>
      <c r="BE178" s="4866"/>
      <c r="BF178" s="170"/>
      <c r="BG178" s="170"/>
      <c r="BH178" s="170"/>
      <c r="BI178" s="4860"/>
      <c r="BJ178" s="170"/>
      <c r="BK178" s="170"/>
      <c r="BL178" s="170"/>
      <c r="BM178" s="170"/>
      <c r="BN178" s="4860"/>
      <c r="BO178" s="170"/>
      <c r="BP178" s="170"/>
      <c r="BQ178" s="170"/>
      <c r="BR178" s="286"/>
      <c r="BS178" s="4858"/>
      <c r="BT178" s="170"/>
      <c r="BU178" s="170"/>
      <c r="BV178" s="170"/>
      <c r="BW178" s="170"/>
      <c r="BX178" s="4860"/>
      <c r="BY178" s="170"/>
      <c r="BZ178" s="170"/>
      <c r="CA178" s="170"/>
      <c r="CB178" s="170"/>
      <c r="CC178" s="4860"/>
      <c r="CD178" s="170"/>
      <c r="CE178" s="170"/>
      <c r="CF178" s="170"/>
      <c r="CG178" s="170"/>
      <c r="CH178" s="4860"/>
      <c r="CI178" s="170"/>
      <c r="CJ178" s="170"/>
      <c r="CK178" s="170"/>
      <c r="CL178" s="170"/>
      <c r="CM178" s="4860"/>
      <c r="CN178" s="170"/>
      <c r="CO178" s="170"/>
      <c r="CP178" s="170"/>
      <c r="CQ178" s="170"/>
      <c r="CR178" s="4860"/>
      <c r="CS178" s="170"/>
      <c r="CT178" s="170"/>
      <c r="CU178" s="170"/>
      <c r="CV178" s="170"/>
      <c r="CW178" s="4860"/>
      <c r="CX178" s="170"/>
      <c r="CY178" s="170"/>
      <c r="CZ178" s="170"/>
      <c r="DA178" s="170"/>
      <c r="DB178" s="4860"/>
      <c r="DC178" s="170"/>
      <c r="DD178" s="170"/>
      <c r="DE178" s="170"/>
      <c r="DF178" s="170"/>
      <c r="DG178" s="4863"/>
      <c r="DH178" s="4865"/>
      <c r="DI178" s="4865"/>
      <c r="DJ178" s="4865"/>
      <c r="DK178" s="4865"/>
      <c r="DL178" s="4863"/>
      <c r="DM178" s="4865"/>
      <c r="DN178" s="4865"/>
      <c r="DO178" s="4865"/>
      <c r="DP178" s="4865"/>
      <c r="DQ178" s="4863"/>
      <c r="DR178" s="4865"/>
      <c r="DS178" s="4865"/>
      <c r="DT178" s="4865"/>
      <c r="DU178" s="4865"/>
      <c r="DV178" s="4863"/>
      <c r="DW178" s="4865"/>
      <c r="DX178" s="4865"/>
      <c r="DY178" s="4865"/>
      <c r="DZ178" s="4865"/>
      <c r="EA178" s="4863"/>
      <c r="EB178" s="4865"/>
      <c r="EC178" s="4865"/>
      <c r="ED178" s="4865"/>
      <c r="EE178" s="4865"/>
      <c r="EF178" s="4863"/>
      <c r="EG178" s="4865"/>
      <c r="EH178" s="4865"/>
      <c r="EI178" s="4865"/>
      <c r="EJ178" s="4865"/>
      <c r="EK178" s="4863"/>
      <c r="EL178" s="4865"/>
      <c r="EM178" s="4865"/>
      <c r="EN178" s="4865"/>
      <c r="EO178" s="4865"/>
      <c r="EP178" s="4863"/>
      <c r="EQ178" s="4865"/>
      <c r="ER178" s="4865"/>
      <c r="ES178" s="4865"/>
      <c r="ET178" s="4865"/>
      <c r="EU178" s="4863"/>
      <c r="EV178" s="4863"/>
      <c r="EW178" s="4863"/>
      <c r="EX178" s="4863"/>
      <c r="EY178" s="4863"/>
      <c r="EZ178" s="170"/>
      <c r="FA178" s="1319"/>
      <c r="FB178" s="1319"/>
      <c r="FC178" s="511"/>
    </row>
    <row r="179" spans="1:159" s="4" customFormat="1" ht="11.25" customHeight="1">
      <c r="A179" s="4857" t="s">
        <v>728</v>
      </c>
      <c r="B179" s="170"/>
      <c r="C179" s="170"/>
      <c r="D179" s="170"/>
      <c r="E179" s="286"/>
      <c r="F179" s="4858"/>
      <c r="G179" s="170"/>
      <c r="H179" s="170"/>
      <c r="I179" s="170"/>
      <c r="J179" s="286"/>
      <c r="K179" s="4858"/>
      <c r="L179" s="170"/>
      <c r="M179" s="170"/>
      <c r="N179" s="170"/>
      <c r="O179" s="286"/>
      <c r="P179" s="2657"/>
      <c r="Q179" s="2608"/>
      <c r="R179" s="170"/>
      <c r="S179" s="170"/>
      <c r="T179" s="286"/>
      <c r="U179" s="4858"/>
      <c r="V179" s="4859"/>
      <c r="W179" s="170"/>
      <c r="X179" s="170"/>
      <c r="Y179" s="286"/>
      <c r="Z179" s="4858"/>
      <c r="AA179" s="4859"/>
      <c r="AB179" s="170"/>
      <c r="AC179" s="170"/>
      <c r="AD179" s="286"/>
      <c r="AE179" s="4858"/>
      <c r="AF179" s="4859"/>
      <c r="AG179" s="170"/>
      <c r="AH179" s="170"/>
      <c r="AI179" s="286"/>
      <c r="AJ179" s="4858"/>
      <c r="AK179" s="170"/>
      <c r="AL179" s="170"/>
      <c r="AM179" s="170"/>
      <c r="AN179" s="286"/>
      <c r="AO179" s="4858"/>
      <c r="AP179" s="170"/>
      <c r="AQ179" s="170"/>
      <c r="AR179" s="170"/>
      <c r="AS179" s="286"/>
      <c r="AT179" s="4858"/>
      <c r="AU179" s="170"/>
      <c r="AV179" s="170"/>
      <c r="AW179" s="170"/>
      <c r="AX179" s="286"/>
      <c r="AY179" s="4858"/>
      <c r="AZ179" s="170"/>
      <c r="BA179" s="170"/>
      <c r="BB179" s="170"/>
      <c r="BC179" s="170"/>
      <c r="BD179" s="4860"/>
      <c r="BE179" s="4866"/>
      <c r="BF179" s="170"/>
      <c r="BG179" s="170"/>
      <c r="BH179" s="170"/>
      <c r="BI179" s="4860"/>
      <c r="BJ179" s="170"/>
      <c r="BK179" s="170"/>
      <c r="BL179" s="170"/>
      <c r="BM179" s="170"/>
      <c r="BN179" s="4860"/>
      <c r="BO179" s="170"/>
      <c r="BP179" s="170"/>
      <c r="BQ179" s="170"/>
      <c r="BR179" s="286"/>
      <c r="BS179" s="4858"/>
      <c r="BT179" s="170"/>
      <c r="BU179" s="170"/>
      <c r="BV179" s="170"/>
      <c r="BW179" s="170"/>
      <c r="BX179" s="4860"/>
      <c r="BY179" s="170"/>
      <c r="BZ179" s="170"/>
      <c r="CA179" s="170"/>
      <c r="CB179" s="170"/>
      <c r="CC179" s="4860"/>
      <c r="CD179" s="170"/>
      <c r="CE179" s="170"/>
      <c r="CF179" s="170"/>
      <c r="CG179" s="170"/>
      <c r="CH179" s="4860"/>
      <c r="CI179" s="170"/>
      <c r="CJ179" s="170"/>
      <c r="CK179" s="170"/>
      <c r="CL179" s="170"/>
      <c r="CM179" s="4860"/>
      <c r="CN179" s="170"/>
      <c r="CO179" s="170"/>
      <c r="CP179" s="170"/>
      <c r="CQ179" s="170"/>
      <c r="CR179" s="4860"/>
      <c r="CS179" s="170"/>
      <c r="CT179" s="170"/>
      <c r="CU179" s="170"/>
      <c r="CV179" s="170"/>
      <c r="CW179" s="4860"/>
      <c r="CX179" s="170"/>
      <c r="CY179" s="170"/>
      <c r="CZ179" s="170"/>
      <c r="DA179" s="170"/>
      <c r="DB179" s="4860"/>
      <c r="DC179" s="170"/>
      <c r="DD179" s="170"/>
      <c r="DE179" s="170"/>
      <c r="DF179" s="170"/>
      <c r="DG179" s="4863">
        <f>IS!DG55</f>
        <v>9035</v>
      </c>
      <c r="DH179" s="4865"/>
      <c r="DI179" s="4865"/>
      <c r="DJ179" s="4865"/>
      <c r="DK179" s="4865">
        <f>IS!DK55</f>
        <v>3413</v>
      </c>
      <c r="DL179" s="4863">
        <f>IS!DL55</f>
        <v>11781</v>
      </c>
      <c r="DM179" s="4865">
        <f>IS!DM55</f>
        <v>3108</v>
      </c>
      <c r="DN179" s="4865">
        <f>IS!DN55</f>
        <v>3386</v>
      </c>
      <c r="DO179" s="4865">
        <f>IS!DO55</f>
        <v>3478</v>
      </c>
      <c r="DP179" s="4865">
        <f>IS!DP55</f>
        <v>3725</v>
      </c>
      <c r="DQ179" s="4863">
        <f>IS!DQ55</f>
        <v>13697</v>
      </c>
      <c r="DR179" s="4865">
        <f>IS!DR55</f>
        <v>2753</v>
      </c>
      <c r="DS179" s="4865">
        <f>IS!DS55</f>
        <v>2945</v>
      </c>
      <c r="DT179" s="4865">
        <f>IS!DT55</f>
        <v>3304</v>
      </c>
      <c r="DU179" s="4865">
        <f>IS!DU55</f>
        <v>3439</v>
      </c>
      <c r="DV179" s="4863">
        <f>IS!DV55</f>
        <v>12441</v>
      </c>
      <c r="DW179" s="4865">
        <f>IS!DW55</f>
        <v>3782</v>
      </c>
      <c r="DX179" s="4865">
        <f>IS!DX55</f>
        <v>3899</v>
      </c>
      <c r="DY179" s="4865">
        <f>IS!DY55</f>
        <v>4046</v>
      </c>
      <c r="DZ179" s="4865">
        <f>IS!DZ55</f>
        <v>4201</v>
      </c>
      <c r="EA179" s="4863">
        <f>IS!EA55</f>
        <v>15928</v>
      </c>
      <c r="EB179" s="4865">
        <f>IS!EB55</f>
        <v>3186</v>
      </c>
      <c r="EC179" s="4865">
        <f>IS!EC55</f>
        <v>3397</v>
      </c>
      <c r="ED179" s="4865">
        <f>IS!ED55</f>
        <v>3800</v>
      </c>
      <c r="EE179" s="4865">
        <f>IS!EE55</f>
        <v>3316</v>
      </c>
      <c r="EF179" s="4863">
        <f>IS!EF55</f>
        <v>13699</v>
      </c>
      <c r="EG179" s="4865">
        <f>IS!EG55</f>
        <v>3413</v>
      </c>
      <c r="EH179" s="4865">
        <f>IS!EH55</f>
        <v>3708</v>
      </c>
      <c r="EI179" s="4865">
        <f>IS!EI55</f>
        <v>3985</v>
      </c>
      <c r="EJ179" s="4865">
        <f>IS!EJ55</f>
        <v>4205</v>
      </c>
      <c r="EK179" s="4863">
        <f>IS!EK55</f>
        <v>15311</v>
      </c>
      <c r="EL179" s="4865">
        <f>IS!EL55</f>
        <v>4487</v>
      </c>
      <c r="EM179" s="4865">
        <f>IS!EM55</f>
        <v>4998</v>
      </c>
      <c r="EN179" s="4865">
        <f>IS!EN55</f>
        <v>5611</v>
      </c>
      <c r="EO179" s="4865">
        <f>IS!EO55</f>
        <v>6431.1984855239371</v>
      </c>
      <c r="EP179" s="4863">
        <f>IS!EP55</f>
        <v>21527.198485523935</v>
      </c>
      <c r="EQ179" s="4865">
        <f>IS!EQ55</f>
        <v>7543.0175868472752</v>
      </c>
      <c r="ER179" s="4865">
        <f>IS!ER55</f>
        <v>8704.7394857421259</v>
      </c>
      <c r="ES179" s="4865">
        <f>IS!ES55</f>
        <v>9655.6616607666801</v>
      </c>
      <c r="ET179" s="4865">
        <f>IS!ET55</f>
        <v>10952.730531828231</v>
      </c>
      <c r="EU179" s="4863">
        <f>IS!EU55</f>
        <v>36856.149265184315</v>
      </c>
      <c r="EV179" s="4863">
        <f>IS!EV55</f>
        <v>50659.248314131044</v>
      </c>
      <c r="EW179" s="4863">
        <f>IS!EW55</f>
        <v>57068.22852048988</v>
      </c>
      <c r="EX179" s="4863">
        <f>IS!EX55</f>
        <v>61724.46939251446</v>
      </c>
      <c r="EY179" s="4863">
        <f>IS!EY55</f>
        <v>66276.088078338158</v>
      </c>
      <c r="EZ179" s="170"/>
      <c r="FA179" s="1319"/>
      <c r="FB179" s="1319"/>
      <c r="FC179" s="511"/>
    </row>
    <row r="180" spans="1:159" s="4" customFormat="1" ht="11.25" customHeight="1">
      <c r="A180" s="4857" t="s">
        <v>374</v>
      </c>
      <c r="B180" s="170"/>
      <c r="C180" s="170"/>
      <c r="D180" s="170"/>
      <c r="E180" s="286"/>
      <c r="F180" s="4858"/>
      <c r="G180" s="170"/>
      <c r="H180" s="170"/>
      <c r="I180" s="170"/>
      <c r="J180" s="286"/>
      <c r="K180" s="4858"/>
      <c r="L180" s="170"/>
      <c r="M180" s="170"/>
      <c r="N180" s="170"/>
      <c r="O180" s="286"/>
      <c r="P180" s="2657"/>
      <c r="Q180" s="2608"/>
      <c r="R180" s="170"/>
      <c r="S180" s="170"/>
      <c r="T180" s="286"/>
      <c r="U180" s="4858"/>
      <c r="V180" s="4859"/>
      <c r="W180" s="170"/>
      <c r="X180" s="170"/>
      <c r="Y180" s="286"/>
      <c r="Z180" s="4858"/>
      <c r="AA180" s="4859"/>
      <c r="AB180" s="170"/>
      <c r="AC180" s="170"/>
      <c r="AD180" s="286"/>
      <c r="AE180" s="4858"/>
      <c r="AF180" s="4859"/>
      <c r="AG180" s="170"/>
      <c r="AH180" s="170"/>
      <c r="AI180" s="286"/>
      <c r="AJ180" s="4858"/>
      <c r="AK180" s="170"/>
      <c r="AL180" s="170"/>
      <c r="AM180" s="170"/>
      <c r="AN180" s="286"/>
      <c r="AO180" s="4858"/>
      <c r="AP180" s="170"/>
      <c r="AQ180" s="170"/>
      <c r="AR180" s="170"/>
      <c r="AS180" s="286"/>
      <c r="AT180" s="4858"/>
      <c r="AU180" s="170"/>
      <c r="AV180" s="170"/>
      <c r="AW180" s="170"/>
      <c r="AX180" s="286"/>
      <c r="AY180" s="4858"/>
      <c r="AZ180" s="170"/>
      <c r="BA180" s="170"/>
      <c r="BB180" s="170"/>
      <c r="BC180" s="170"/>
      <c r="BD180" s="4860"/>
      <c r="BE180" s="4866"/>
      <c r="BF180" s="170"/>
      <c r="BG180" s="170"/>
      <c r="BH180" s="170"/>
      <c r="BI180" s="4860"/>
      <c r="BJ180" s="170"/>
      <c r="BK180" s="170"/>
      <c r="BL180" s="170"/>
      <c r="BM180" s="170"/>
      <c r="BN180" s="4860"/>
      <c r="BO180" s="170"/>
      <c r="BP180" s="170"/>
      <c r="BQ180" s="170"/>
      <c r="BR180" s="286"/>
      <c r="BS180" s="4858"/>
      <c r="BT180" s="170"/>
      <c r="BU180" s="170"/>
      <c r="BV180" s="170"/>
      <c r="BW180" s="170"/>
      <c r="BX180" s="4860"/>
      <c r="BY180" s="170"/>
      <c r="BZ180" s="170"/>
      <c r="CA180" s="170"/>
      <c r="CB180" s="170"/>
      <c r="CC180" s="4860"/>
      <c r="CD180" s="170"/>
      <c r="CE180" s="170"/>
      <c r="CF180" s="170"/>
      <c r="CG180" s="170"/>
      <c r="CH180" s="4860"/>
      <c r="CI180" s="170"/>
      <c r="CJ180" s="170"/>
      <c r="CK180" s="170"/>
      <c r="CL180" s="170"/>
      <c r="CM180" s="4860"/>
      <c r="CN180" s="170"/>
      <c r="CO180" s="170"/>
      <c r="CP180" s="170"/>
      <c r="CQ180" s="170"/>
      <c r="CR180" s="4860"/>
      <c r="CS180" s="170"/>
      <c r="CT180" s="170"/>
      <c r="CU180" s="170"/>
      <c r="CV180" s="170"/>
      <c r="CW180" s="4860"/>
      <c r="CX180" s="170"/>
      <c r="CY180" s="170"/>
      <c r="CZ180" s="170"/>
      <c r="DA180" s="170"/>
      <c r="DB180" s="4860"/>
      <c r="DC180" s="170"/>
      <c r="DD180" s="170"/>
      <c r="DE180" s="170"/>
      <c r="DF180" s="170"/>
      <c r="DG180" s="4863">
        <f>IS!DG56</f>
        <v>9353</v>
      </c>
      <c r="DH180" s="4865"/>
      <c r="DI180" s="4865"/>
      <c r="DJ180" s="4865"/>
      <c r="DK180" s="4865">
        <f>IS!DK56</f>
        <v>2645</v>
      </c>
      <c r="DL180" s="4863">
        <f>IS!DL56</f>
        <v>10794</v>
      </c>
      <c r="DM180" s="4865">
        <f>IS!DM56</f>
        <v>3191</v>
      </c>
      <c r="DN180" s="4865">
        <f>IS!DN56</f>
        <v>3382</v>
      </c>
      <c r="DO180" s="4865">
        <f>IS!DO56</f>
        <v>3195</v>
      </c>
      <c r="DP180" s="4865">
        <f>IS!DP56</f>
        <v>3223</v>
      </c>
      <c r="DQ180" s="4863">
        <f>IS!DQ56</f>
        <v>12991</v>
      </c>
      <c r="DR180" s="4865">
        <f>IS!DR56</f>
        <v>3745</v>
      </c>
      <c r="DS180" s="4865">
        <f>IS!DS56</f>
        <v>3803</v>
      </c>
      <c r="DT180" s="4865">
        <f>IS!DT56</f>
        <v>3874</v>
      </c>
      <c r="DU180" s="4865">
        <f>IS!DU56</f>
        <v>3954</v>
      </c>
      <c r="DV180" s="4863">
        <f>IS!DV56</f>
        <v>15376</v>
      </c>
      <c r="DW180" s="4865">
        <f>IS!DW56</f>
        <v>4504</v>
      </c>
      <c r="DX180" s="4865">
        <f>IS!DX56</f>
        <v>4782</v>
      </c>
      <c r="DY180" s="4865">
        <f>IS!DY56</f>
        <v>4976</v>
      </c>
      <c r="DZ180" s="4865">
        <f>IS!DZ56</f>
        <v>5100</v>
      </c>
      <c r="EA180" s="4863">
        <f>IS!EA56</f>
        <v>19362</v>
      </c>
      <c r="EB180" s="4865">
        <f>IS!EB56</f>
        <v>5284</v>
      </c>
      <c r="EC180" s="4865">
        <f>IS!EC56</f>
        <v>5774</v>
      </c>
      <c r="ED180" s="4865">
        <f>IS!ED56</f>
        <v>5743</v>
      </c>
      <c r="EE180" s="4865">
        <f>IS!EE56</f>
        <v>5659</v>
      </c>
      <c r="EF180" s="4863">
        <f>IS!EF56</f>
        <v>22460</v>
      </c>
      <c r="EG180" s="4865">
        <f>IS!EG56</f>
        <v>5264</v>
      </c>
      <c r="EH180" s="4865">
        <f>IS!EH56</f>
        <v>5865</v>
      </c>
      <c r="EI180" s="4865">
        <f>IS!EI56</f>
        <v>5846</v>
      </c>
      <c r="EJ180" s="4865">
        <f>IS!EJ56</f>
        <v>5810</v>
      </c>
      <c r="EK180" s="4863">
        <f>IS!EK56</f>
        <v>22785</v>
      </c>
      <c r="EL180" s="4865">
        <f>IS!EL56</f>
        <v>5516</v>
      </c>
      <c r="EM180" s="4865">
        <f>IS!EM56</f>
        <v>5998</v>
      </c>
      <c r="EN180" s="4865">
        <f>IS!EN56</f>
        <v>6368</v>
      </c>
      <c r="EO180" s="4865">
        <f>IS!EO56</f>
        <v>6527.1865226213095</v>
      </c>
      <c r="EP180" s="4863">
        <f>IS!EP56</f>
        <v>24409.186522621309</v>
      </c>
      <c r="EQ180" s="4865">
        <f>IS!EQ56</f>
        <v>6452.4608273030899</v>
      </c>
      <c r="ER180" s="4865">
        <f>IS!ER56</f>
        <v>7098.6445316606469</v>
      </c>
      <c r="ES180" s="4865">
        <f>IS!ES56</f>
        <v>7478.2178760088218</v>
      </c>
      <c r="ET180" s="4865">
        <f>IS!ET56</f>
        <v>7452.3733515532294</v>
      </c>
      <c r="EU180" s="4863">
        <f>IS!EU56</f>
        <v>28481.696586525788</v>
      </c>
      <c r="EV180" s="4863">
        <f>IS!EV56</f>
        <v>30856.08760951618</v>
      </c>
      <c r="EW180" s="4863">
        <f>IS!EW56</f>
        <v>33307.093372867726</v>
      </c>
      <c r="EX180" s="4863">
        <f>IS!EX56</f>
        <v>35765.580395662582</v>
      </c>
      <c r="EY180" s="4863">
        <f>IS!EY56</f>
        <v>38299.931668347344</v>
      </c>
      <c r="EZ180" s="170"/>
      <c r="FA180" s="1319"/>
      <c r="FB180" s="1319"/>
      <c r="FC180" s="511"/>
    </row>
    <row r="181" spans="1:159" s="4" customFormat="1" ht="11.25" customHeight="1">
      <c r="A181" s="4857" t="s">
        <v>246</v>
      </c>
      <c r="B181" s="170"/>
      <c r="C181" s="170"/>
      <c r="D181" s="170"/>
      <c r="E181" s="286"/>
      <c r="F181" s="4858"/>
      <c r="G181" s="170"/>
      <c r="H181" s="170"/>
      <c r="I181" s="170"/>
      <c r="J181" s="286"/>
      <c r="K181" s="4858"/>
      <c r="L181" s="170"/>
      <c r="M181" s="170"/>
      <c r="N181" s="170"/>
      <c r="O181" s="286"/>
      <c r="P181" s="2657"/>
      <c r="Q181" s="2608"/>
      <c r="R181" s="170"/>
      <c r="S181" s="170"/>
      <c r="T181" s="286"/>
      <c r="U181" s="4858"/>
      <c r="V181" s="4859"/>
      <c r="W181" s="170"/>
      <c r="X181" s="170"/>
      <c r="Y181" s="286"/>
      <c r="Z181" s="4858"/>
      <c r="AA181" s="4859"/>
      <c r="AB181" s="170"/>
      <c r="AC181" s="170"/>
      <c r="AD181" s="286"/>
      <c r="AE181" s="4858"/>
      <c r="AF181" s="4859"/>
      <c r="AG181" s="170"/>
      <c r="AH181" s="170"/>
      <c r="AI181" s="286"/>
      <c r="AJ181" s="4858"/>
      <c r="AK181" s="170"/>
      <c r="AL181" s="170"/>
      <c r="AM181" s="170"/>
      <c r="AN181" s="286"/>
      <c r="AO181" s="4858"/>
      <c r="AP181" s="170"/>
      <c r="AQ181" s="170"/>
      <c r="AR181" s="170"/>
      <c r="AS181" s="286"/>
      <c r="AT181" s="4858"/>
      <c r="AU181" s="170"/>
      <c r="AV181" s="170"/>
      <c r="AW181" s="170"/>
      <c r="AX181" s="286"/>
      <c r="AY181" s="4858"/>
      <c r="AZ181" s="170"/>
      <c r="BA181" s="170"/>
      <c r="BB181" s="170"/>
      <c r="BC181" s="170"/>
      <c r="BD181" s="4860"/>
      <c r="BE181" s="4866"/>
      <c r="BF181" s="170"/>
      <c r="BG181" s="170"/>
      <c r="BH181" s="170"/>
      <c r="BI181" s="4860"/>
      <c r="BJ181" s="170"/>
      <c r="BK181" s="170"/>
      <c r="BL181" s="170"/>
      <c r="BM181" s="170"/>
      <c r="BN181" s="4860"/>
      <c r="BO181" s="170"/>
      <c r="BP181" s="170"/>
      <c r="BQ181" s="170"/>
      <c r="BR181" s="286"/>
      <c r="BS181" s="4858"/>
      <c r="BT181" s="170"/>
      <c r="BU181" s="170"/>
      <c r="BV181" s="170"/>
      <c r="BW181" s="170"/>
      <c r="BX181" s="4860"/>
      <c r="BY181" s="170"/>
      <c r="BZ181" s="170"/>
      <c r="CA181" s="170"/>
      <c r="CB181" s="170"/>
      <c r="CC181" s="4860"/>
      <c r="CD181" s="170"/>
      <c r="CE181" s="170"/>
      <c r="CF181" s="170"/>
      <c r="CG181" s="170"/>
      <c r="CH181" s="4860"/>
      <c r="CI181" s="170"/>
      <c r="CJ181" s="170"/>
      <c r="CK181" s="170"/>
      <c r="CL181" s="170"/>
      <c r="CM181" s="4860"/>
      <c r="CN181" s="170"/>
      <c r="CO181" s="170"/>
      <c r="CP181" s="170"/>
      <c r="CQ181" s="170"/>
      <c r="CR181" s="4860"/>
      <c r="CS181" s="170"/>
      <c r="CT181" s="170"/>
      <c r="CU181" s="170"/>
      <c r="CV181" s="170"/>
      <c r="CW181" s="4860"/>
      <c r="CX181" s="170"/>
      <c r="CY181" s="170"/>
      <c r="CZ181" s="170"/>
      <c r="DA181" s="170"/>
      <c r="DB181" s="4860"/>
      <c r="DC181" s="170"/>
      <c r="DD181" s="170"/>
      <c r="DE181" s="170"/>
      <c r="DF181" s="170"/>
      <c r="DG181" s="4863">
        <f>IS!DG25</f>
        <v>5071</v>
      </c>
      <c r="DH181" s="4865"/>
      <c r="DI181" s="4865"/>
      <c r="DJ181" s="4865"/>
      <c r="DK181" s="4865">
        <f>IS!DK25</f>
        <v>0</v>
      </c>
      <c r="DL181" s="4863">
        <f>IS!DL25</f>
        <v>1697</v>
      </c>
      <c r="DM181" s="4865">
        <f>IS!DM25</f>
        <v>0</v>
      </c>
      <c r="DN181" s="4865">
        <f>IS!DN25</f>
        <v>0</v>
      </c>
      <c r="DO181" s="4865">
        <f>IS!DO25</f>
        <v>0</v>
      </c>
      <c r="DP181" s="4865">
        <f>IS!DP25</f>
        <v>0</v>
      </c>
      <c r="DQ181" s="4863">
        <f>IS!DQ25</f>
        <v>0</v>
      </c>
      <c r="DR181" s="4865">
        <f>IS!DR25</f>
        <v>0</v>
      </c>
      <c r="DS181" s="4865">
        <f>IS!DS25</f>
        <v>0</v>
      </c>
      <c r="DT181" s="4865">
        <f>IS!DT25</f>
        <v>0</v>
      </c>
      <c r="DU181" s="4865">
        <f>IS!DU25</f>
        <v>0</v>
      </c>
      <c r="DV181" s="4863">
        <f>IS!DV25</f>
        <v>0</v>
      </c>
      <c r="DW181" s="4865">
        <f>IS!DW25</f>
        <v>0</v>
      </c>
      <c r="DX181" s="4865">
        <f>IS!DX25</f>
        <v>0</v>
      </c>
      <c r="DY181" s="4865">
        <f>IS!DY25</f>
        <v>0</v>
      </c>
      <c r="DZ181" s="4865">
        <f>IS!DZ25</f>
        <v>0</v>
      </c>
      <c r="EA181" s="4863">
        <f>IS!EA25</f>
        <v>0</v>
      </c>
      <c r="EB181" s="4865">
        <f>IS!EB25</f>
        <v>0</v>
      </c>
      <c r="EC181" s="4865">
        <f>IS!EC25</f>
        <v>0</v>
      </c>
      <c r="ED181" s="4865">
        <f>IS!ED25</f>
        <v>0</v>
      </c>
      <c r="EE181" s="4865">
        <f>IS!EE25</f>
        <v>0</v>
      </c>
      <c r="EF181" s="4863">
        <f>IS!EF25</f>
        <v>0</v>
      </c>
      <c r="EG181" s="4865">
        <f>IS!EG25</f>
        <v>0</v>
      </c>
      <c r="EH181" s="4865">
        <f>IS!EH25</f>
        <v>0</v>
      </c>
      <c r="EI181" s="4865">
        <f>IS!EI25</f>
        <v>0</v>
      </c>
      <c r="EJ181" s="4865">
        <f>IS!EJ25</f>
        <v>0</v>
      </c>
      <c r="EK181" s="4863">
        <f>IS!EK25</f>
        <v>0</v>
      </c>
      <c r="EL181" s="4865">
        <f>IS!EL25</f>
        <v>0</v>
      </c>
      <c r="EM181" s="4865">
        <f>IS!EM25</f>
        <v>0</v>
      </c>
      <c r="EN181" s="4865">
        <f>IS!EN25</f>
        <v>3457</v>
      </c>
      <c r="EO181" s="4865">
        <f>IS!EO25</f>
        <v>0</v>
      </c>
      <c r="EP181" s="4863">
        <f>IS!EP25</f>
        <v>3457</v>
      </c>
      <c r="EQ181" s="4865">
        <f>IS!EQ25</f>
        <v>0</v>
      </c>
      <c r="ER181" s="4865">
        <f>IS!ER25</f>
        <v>0</v>
      </c>
      <c r="ES181" s="4865">
        <f>IS!ES25</f>
        <v>0</v>
      </c>
      <c r="ET181" s="4865">
        <f>IS!ET25</f>
        <v>0</v>
      </c>
      <c r="EU181" s="4863">
        <f>IS!EU25</f>
        <v>0</v>
      </c>
      <c r="EV181" s="4863">
        <f>IS!EV25</f>
        <v>0</v>
      </c>
      <c r="EW181" s="4863">
        <f>IS!EW25</f>
        <v>0</v>
      </c>
      <c r="EX181" s="4863">
        <f>IS!EX25</f>
        <v>0</v>
      </c>
      <c r="EY181" s="4863">
        <f>IS!EY25</f>
        <v>0</v>
      </c>
      <c r="EZ181" s="170"/>
      <c r="FA181" s="1319"/>
      <c r="FB181" s="1319"/>
      <c r="FC181" s="511"/>
    </row>
    <row r="182" spans="1:159" s="4" customFormat="1" ht="11.25" customHeight="1">
      <c r="A182" s="4927" t="s">
        <v>897</v>
      </c>
      <c r="B182" s="4928"/>
      <c r="C182" s="4928"/>
      <c r="D182" s="4928"/>
      <c r="E182" s="4929"/>
      <c r="F182" s="4930"/>
      <c r="G182" s="4928"/>
      <c r="H182" s="4928"/>
      <c r="I182" s="4928"/>
      <c r="J182" s="4929"/>
      <c r="K182" s="4930"/>
      <c r="L182" s="4928"/>
      <c r="M182" s="4928"/>
      <c r="N182" s="4928"/>
      <c r="O182" s="4929"/>
      <c r="P182" s="4931"/>
      <c r="Q182" s="4085"/>
      <c r="R182" s="4928"/>
      <c r="S182" s="4928"/>
      <c r="T182" s="4929"/>
      <c r="U182" s="4930"/>
      <c r="V182" s="4932"/>
      <c r="W182" s="4928"/>
      <c r="X182" s="4928"/>
      <c r="Y182" s="4929"/>
      <c r="Z182" s="4930"/>
      <c r="AA182" s="4932"/>
      <c r="AB182" s="4928"/>
      <c r="AC182" s="4928"/>
      <c r="AD182" s="4929"/>
      <c r="AE182" s="4930"/>
      <c r="AF182" s="4932"/>
      <c r="AG182" s="4928"/>
      <c r="AH182" s="4928"/>
      <c r="AI182" s="4929"/>
      <c r="AJ182" s="4930"/>
      <c r="AK182" s="4928"/>
      <c r="AL182" s="4928"/>
      <c r="AM182" s="4928"/>
      <c r="AN182" s="4929"/>
      <c r="AO182" s="4930"/>
      <c r="AP182" s="4928"/>
      <c r="AQ182" s="4928"/>
      <c r="AR182" s="4928"/>
      <c r="AS182" s="4929"/>
      <c r="AT182" s="4930"/>
      <c r="AU182" s="4928"/>
      <c r="AV182" s="4928"/>
      <c r="AW182" s="4928"/>
      <c r="AX182" s="4929"/>
      <c r="AY182" s="4930"/>
      <c r="AZ182" s="4928"/>
      <c r="BA182" s="4928"/>
      <c r="BB182" s="4928"/>
      <c r="BC182" s="4928"/>
      <c r="BD182" s="4933"/>
      <c r="BE182" s="4934"/>
      <c r="BF182" s="4928"/>
      <c r="BG182" s="4928"/>
      <c r="BH182" s="4928"/>
      <c r="BI182" s="4933"/>
      <c r="BJ182" s="4928"/>
      <c r="BK182" s="4928"/>
      <c r="BL182" s="4928"/>
      <c r="BM182" s="4928"/>
      <c r="BN182" s="4933"/>
      <c r="BO182" s="4928"/>
      <c r="BP182" s="4928"/>
      <c r="BQ182" s="4928"/>
      <c r="BR182" s="4929"/>
      <c r="BS182" s="4930"/>
      <c r="BT182" s="4928"/>
      <c r="BU182" s="4928"/>
      <c r="BV182" s="4928"/>
      <c r="BW182" s="4928"/>
      <c r="BX182" s="4933"/>
      <c r="BY182" s="4928"/>
      <c r="BZ182" s="4928"/>
      <c r="CA182" s="4928"/>
      <c r="CB182" s="4928"/>
      <c r="CC182" s="4933"/>
      <c r="CD182" s="4928"/>
      <c r="CE182" s="4928"/>
      <c r="CF182" s="4928"/>
      <c r="CG182" s="4928"/>
      <c r="CH182" s="4933"/>
      <c r="CI182" s="4928"/>
      <c r="CJ182" s="4928"/>
      <c r="CK182" s="4928"/>
      <c r="CL182" s="4928"/>
      <c r="CM182" s="4933"/>
      <c r="CN182" s="4928"/>
      <c r="CO182" s="4928"/>
      <c r="CP182" s="4928"/>
      <c r="CQ182" s="4928"/>
      <c r="CR182" s="4933"/>
      <c r="CS182" s="4928"/>
      <c r="CT182" s="4928"/>
      <c r="CU182" s="4928"/>
      <c r="CV182" s="4928"/>
      <c r="CW182" s="4933"/>
      <c r="CX182" s="4928"/>
      <c r="CY182" s="4928"/>
      <c r="CZ182" s="4928"/>
      <c r="DA182" s="4928"/>
      <c r="DB182" s="4933"/>
      <c r="DC182" s="4928"/>
      <c r="DD182" s="4928"/>
      <c r="DE182" s="4928"/>
      <c r="DF182" s="4928"/>
      <c r="DG182" s="4935">
        <f>DG171+DG179+DG180+DG181</f>
        <v>50983</v>
      </c>
      <c r="DH182" s="4936"/>
      <c r="DI182" s="4936"/>
      <c r="DJ182" s="4936"/>
      <c r="DK182" s="4936">
        <f t="shared" ref="DK182:DV182" si="495">DK171+DK179+DK180+DK181</f>
        <v>15324</v>
      </c>
      <c r="DL182" s="4935">
        <f t="shared" si="495"/>
        <v>58503</v>
      </c>
      <c r="DM182" s="4936">
        <f t="shared" si="495"/>
        <v>14276</v>
      </c>
      <c r="DN182" s="4936">
        <f t="shared" si="495"/>
        <v>13151</v>
      </c>
      <c r="DO182" s="4936">
        <f t="shared" si="495"/>
        <v>17886</v>
      </c>
      <c r="DP182" s="4936">
        <f t="shared" si="495"/>
        <v>22599</v>
      </c>
      <c r="DQ182" s="4935">
        <f t="shared" si="495"/>
        <v>67912</v>
      </c>
      <c r="DR182" s="4936">
        <f t="shared" si="495"/>
        <v>22935</v>
      </c>
      <c r="DS182" s="4936">
        <f t="shared" si="495"/>
        <v>26109</v>
      </c>
      <c r="DT182" s="4936">
        <f t="shared" si="495"/>
        <v>28209</v>
      </c>
      <c r="DU182" s="4936">
        <f t="shared" si="495"/>
        <v>29278</v>
      </c>
      <c r="DV182" s="4935">
        <f t="shared" si="495"/>
        <v>106531</v>
      </c>
      <c r="DW182" s="4936">
        <f t="shared" ref="DW182:EF182" si="496">DW171+DW179+DW180+DW181</f>
        <v>28380</v>
      </c>
      <c r="DX182" s="4936">
        <f t="shared" si="496"/>
        <v>28134</v>
      </c>
      <c r="DY182" s="4936">
        <f t="shared" si="496"/>
        <v>26157</v>
      </c>
      <c r="DZ182" s="4936">
        <f t="shared" si="496"/>
        <v>27461</v>
      </c>
      <c r="EA182" s="4935">
        <f t="shared" si="496"/>
        <v>110132</v>
      </c>
      <c r="EB182" s="4936">
        <f t="shared" si="496"/>
        <v>25885</v>
      </c>
      <c r="EC182" s="4936">
        <f t="shared" si="496"/>
        <v>31009</v>
      </c>
      <c r="ED182" s="4936">
        <f t="shared" si="496"/>
        <v>30886</v>
      </c>
      <c r="EE182" s="4936">
        <f t="shared" si="496"/>
        <v>32672</v>
      </c>
      <c r="EF182" s="4935">
        <f t="shared" si="496"/>
        <v>120452</v>
      </c>
      <c r="EG182" s="4936">
        <f t="shared" ref="EG182" si="497">EG171+EG179+EG180+EG181</f>
        <v>34149</v>
      </c>
      <c r="EH182" s="4936">
        <f t="shared" ref="EH182:EW182" si="498">EH171+EH179+EH180+EH181</f>
        <v>36998</v>
      </c>
      <c r="EI182" s="4936">
        <f t="shared" si="498"/>
        <v>38352</v>
      </c>
      <c r="EJ182" s="4936">
        <f t="shared" si="498"/>
        <v>40987</v>
      </c>
      <c r="EK182" s="4935">
        <f t="shared" si="498"/>
        <v>150486</v>
      </c>
      <c r="EL182" s="4936">
        <f t="shared" si="498"/>
        <v>40609</v>
      </c>
      <c r="EM182" s="4936">
        <f t="shared" ref="EM182" si="499">EM171+EM179+EM180+EM181</f>
        <v>42267</v>
      </c>
      <c r="EN182" s="4936">
        <f t="shared" ref="EN182:EP182" si="500">EN171+EN179+EN180+EN181</f>
        <v>46664</v>
      </c>
      <c r="EO182" s="4936">
        <f t="shared" si="500"/>
        <v>50297.731439023024</v>
      </c>
      <c r="EP182" s="4935">
        <f t="shared" si="500"/>
        <v>179837.73143902302</v>
      </c>
      <c r="EQ182" s="4936">
        <f t="shared" ref="EQ182:ET182" si="501">EQ171+EQ179+EQ180+EQ181</f>
        <v>51119.848103633645</v>
      </c>
      <c r="ER182" s="4936">
        <f t="shared" si="501"/>
        <v>54732.913384193947</v>
      </c>
      <c r="ES182" s="4936">
        <f t="shared" si="501"/>
        <v>57245.963350917933</v>
      </c>
      <c r="ET182" s="4936">
        <f t="shared" si="501"/>
        <v>61990.196515192772</v>
      </c>
      <c r="EU182" s="4935">
        <f t="shared" si="498"/>
        <v>225088.92135393832</v>
      </c>
      <c r="EV182" s="4935">
        <f t="shared" si="498"/>
        <v>260204.32088621851</v>
      </c>
      <c r="EW182" s="4935">
        <f t="shared" si="498"/>
        <v>293745.73625728517</v>
      </c>
      <c r="EX182" s="4935">
        <f t="shared" ref="EX182:EY182" si="502">EX171+EX179+EX180+EX181</f>
        <v>327658.86556026363</v>
      </c>
      <c r="EY182" s="4935">
        <f t="shared" si="502"/>
        <v>365219.48151630379</v>
      </c>
      <c r="EZ182" s="170"/>
      <c r="FA182" s="1319"/>
      <c r="FB182" s="1319"/>
      <c r="FC182" s="511"/>
    </row>
    <row r="183" spans="1:159" s="4" customFormat="1" ht="11.25" hidden="1" customHeight="1" outlineLevel="1">
      <c r="A183" s="4916" t="s">
        <v>522</v>
      </c>
      <c r="B183" s="4907"/>
      <c r="C183" s="4907"/>
      <c r="D183" s="4907"/>
      <c r="E183" s="4908"/>
      <c r="F183" s="4909"/>
      <c r="G183" s="4907"/>
      <c r="H183" s="4907"/>
      <c r="I183" s="4907"/>
      <c r="J183" s="4908"/>
      <c r="K183" s="4909"/>
      <c r="L183" s="4907"/>
      <c r="M183" s="4907"/>
      <c r="N183" s="4907"/>
      <c r="O183" s="4908"/>
      <c r="P183" s="4910"/>
      <c r="Q183" s="1118"/>
      <c r="R183" s="4907"/>
      <c r="S183" s="4907"/>
      <c r="T183" s="4908"/>
      <c r="U183" s="4909"/>
      <c r="V183" s="4911"/>
      <c r="W183" s="4907"/>
      <c r="X183" s="4907"/>
      <c r="Y183" s="4908"/>
      <c r="Z183" s="4909"/>
      <c r="AA183" s="4911"/>
      <c r="AB183" s="4907"/>
      <c r="AC183" s="4907"/>
      <c r="AD183" s="4908"/>
      <c r="AE183" s="4909"/>
      <c r="AF183" s="4911"/>
      <c r="AG183" s="4907"/>
      <c r="AH183" s="4907"/>
      <c r="AI183" s="4908"/>
      <c r="AJ183" s="4909"/>
      <c r="AK183" s="4907"/>
      <c r="AL183" s="4907"/>
      <c r="AM183" s="4907"/>
      <c r="AN183" s="4908"/>
      <c r="AO183" s="4909"/>
      <c r="AP183" s="4907"/>
      <c r="AQ183" s="4907"/>
      <c r="AR183" s="4907"/>
      <c r="AS183" s="4908"/>
      <c r="AT183" s="4909"/>
      <c r="AU183" s="4907"/>
      <c r="AV183" s="4907"/>
      <c r="AW183" s="4907"/>
      <c r="AX183" s="4908"/>
      <c r="AY183" s="4909"/>
      <c r="AZ183" s="4907"/>
      <c r="BA183" s="4907"/>
      <c r="BB183" s="4907"/>
      <c r="BC183" s="4907"/>
      <c r="BD183" s="4912"/>
      <c r="BE183" s="4913"/>
      <c r="BF183" s="4907"/>
      <c r="BG183" s="4907"/>
      <c r="BH183" s="4907"/>
      <c r="BI183" s="4912"/>
      <c r="BJ183" s="4907"/>
      <c r="BK183" s="4907"/>
      <c r="BL183" s="4907"/>
      <c r="BM183" s="4907"/>
      <c r="BN183" s="4912"/>
      <c r="BO183" s="4907"/>
      <c r="BP183" s="4907"/>
      <c r="BQ183" s="4907"/>
      <c r="BR183" s="4908"/>
      <c r="BS183" s="4909"/>
      <c r="BT183" s="4907"/>
      <c r="BU183" s="4907"/>
      <c r="BV183" s="4907"/>
      <c r="BW183" s="4907"/>
      <c r="BX183" s="4912"/>
      <c r="BY183" s="4907"/>
      <c r="BZ183" s="4907"/>
      <c r="CA183" s="4907"/>
      <c r="CB183" s="4907"/>
      <c r="CC183" s="4912"/>
      <c r="CD183" s="4907"/>
      <c r="CE183" s="4907"/>
      <c r="CF183" s="4907"/>
      <c r="CG183" s="4907"/>
      <c r="CH183" s="4912"/>
      <c r="CI183" s="4907"/>
      <c r="CJ183" s="4907"/>
      <c r="CK183" s="4907"/>
      <c r="CL183" s="4907"/>
      <c r="CM183" s="4912"/>
      <c r="CN183" s="4907"/>
      <c r="CO183" s="4907"/>
      <c r="CP183" s="4907"/>
      <c r="CQ183" s="4907"/>
      <c r="CR183" s="4912"/>
      <c r="CS183" s="4907"/>
      <c r="CT183" s="4907"/>
      <c r="CU183" s="4907"/>
      <c r="CV183" s="4907"/>
      <c r="CW183" s="4912"/>
      <c r="CX183" s="4907"/>
      <c r="CY183" s="4907"/>
      <c r="CZ183" s="4907"/>
      <c r="DA183" s="4907"/>
      <c r="DB183" s="4912"/>
      <c r="DC183" s="4907"/>
      <c r="DD183" s="4907"/>
      <c r="DE183" s="4907"/>
      <c r="DF183" s="4907"/>
      <c r="DG183" s="4914"/>
      <c r="DH183" s="4915"/>
      <c r="DI183" s="4915"/>
      <c r="DJ183" s="4915"/>
      <c r="DK183" s="4915"/>
      <c r="DL183" s="4914"/>
      <c r="DM183" s="4915"/>
      <c r="DN183" s="4915"/>
      <c r="DO183" s="4915"/>
      <c r="DP183" s="4915"/>
      <c r="DQ183" s="4914"/>
      <c r="DR183" s="4915"/>
      <c r="DS183" s="4915"/>
      <c r="DT183" s="4915"/>
      <c r="DU183" s="4915"/>
      <c r="DV183" s="4914"/>
      <c r="DW183" s="4915"/>
      <c r="DX183" s="4915"/>
      <c r="DY183" s="4915"/>
      <c r="DZ183" s="4915"/>
      <c r="EA183" s="4914"/>
      <c r="EB183" s="4915"/>
      <c r="EC183" s="4915"/>
      <c r="ED183" s="4915"/>
      <c r="EE183" s="4915"/>
      <c r="EF183" s="4914"/>
      <c r="EG183" s="4915"/>
      <c r="EH183" s="4915"/>
      <c r="EI183" s="4915"/>
      <c r="EJ183" s="4915"/>
      <c r="EK183" s="4914"/>
      <c r="EL183" s="4915"/>
      <c r="EM183" s="4915"/>
      <c r="EN183" s="4915"/>
      <c r="EO183" s="4915"/>
      <c r="EP183" s="4914"/>
      <c r="EQ183" s="4915"/>
      <c r="ER183" s="4915"/>
      <c r="ES183" s="4915"/>
      <c r="ET183" s="4915"/>
      <c r="EU183" s="4914"/>
      <c r="EV183" s="4914"/>
      <c r="EW183" s="4914"/>
      <c r="EX183" s="4914"/>
      <c r="EY183" s="4914"/>
      <c r="EZ183" s="170"/>
      <c r="FA183" s="1319"/>
      <c r="FB183" s="1319"/>
      <c r="FC183" s="511"/>
    </row>
    <row r="184" spans="1:159" s="4" customFormat="1" ht="11.25" hidden="1" customHeight="1" outlineLevel="1">
      <c r="A184" s="4906" t="s">
        <v>991</v>
      </c>
      <c r="B184" s="4907"/>
      <c r="C184" s="4907"/>
      <c r="D184" s="4907"/>
      <c r="E184" s="4908"/>
      <c r="F184" s="4909"/>
      <c r="G184" s="4907"/>
      <c r="H184" s="4907"/>
      <c r="I184" s="4907"/>
      <c r="J184" s="4908"/>
      <c r="K184" s="4909"/>
      <c r="L184" s="4907"/>
      <c r="M184" s="4907"/>
      <c r="N184" s="4907"/>
      <c r="O184" s="4908"/>
      <c r="P184" s="4910"/>
      <c r="Q184" s="1118"/>
      <c r="R184" s="4907"/>
      <c r="S184" s="4907"/>
      <c r="T184" s="4908"/>
      <c r="U184" s="4909"/>
      <c r="V184" s="4911"/>
      <c r="W184" s="4907"/>
      <c r="X184" s="4907"/>
      <c r="Y184" s="4908"/>
      <c r="Z184" s="4909"/>
      <c r="AA184" s="4911"/>
      <c r="AB184" s="4907"/>
      <c r="AC184" s="4907"/>
      <c r="AD184" s="4908"/>
      <c r="AE184" s="4909"/>
      <c r="AF184" s="4911"/>
      <c r="AG184" s="4907"/>
      <c r="AH184" s="4907"/>
      <c r="AI184" s="4908"/>
      <c r="AJ184" s="4909"/>
      <c r="AK184" s="4907"/>
      <c r="AL184" s="4907"/>
      <c r="AM184" s="4907"/>
      <c r="AN184" s="4908"/>
      <c r="AO184" s="4909"/>
      <c r="AP184" s="4907"/>
      <c r="AQ184" s="4907"/>
      <c r="AR184" s="4907"/>
      <c r="AS184" s="4908"/>
      <c r="AT184" s="4909"/>
      <c r="AU184" s="4907"/>
      <c r="AV184" s="4907"/>
      <c r="AW184" s="4907"/>
      <c r="AX184" s="4908"/>
      <c r="AY184" s="4909"/>
      <c r="AZ184" s="4907"/>
      <c r="BA184" s="4907"/>
      <c r="BB184" s="4907"/>
      <c r="BC184" s="4907"/>
      <c r="BD184" s="4912"/>
      <c r="BE184" s="4913"/>
      <c r="BF184" s="4907"/>
      <c r="BG184" s="4907"/>
      <c r="BH184" s="4907"/>
      <c r="BI184" s="4912"/>
      <c r="BJ184" s="4907"/>
      <c r="BK184" s="4907"/>
      <c r="BL184" s="4907"/>
      <c r="BM184" s="4907"/>
      <c r="BN184" s="4912"/>
      <c r="BO184" s="4907"/>
      <c r="BP184" s="4907"/>
      <c r="BQ184" s="4907"/>
      <c r="BR184" s="4908"/>
      <c r="BS184" s="4909"/>
      <c r="BT184" s="4907"/>
      <c r="BU184" s="4907"/>
      <c r="BV184" s="4907"/>
      <c r="BW184" s="4907"/>
      <c r="BX184" s="4912"/>
      <c r="BY184" s="4907"/>
      <c r="BZ184" s="4907"/>
      <c r="CA184" s="4907"/>
      <c r="CB184" s="4907"/>
      <c r="CC184" s="4912"/>
      <c r="CD184" s="4907"/>
      <c r="CE184" s="4907"/>
      <c r="CF184" s="4907"/>
      <c r="CG184" s="4907"/>
      <c r="CH184" s="4912"/>
      <c r="CI184" s="4907"/>
      <c r="CJ184" s="4907"/>
      <c r="CK184" s="4907"/>
      <c r="CL184" s="4907"/>
      <c r="CM184" s="4912"/>
      <c r="CN184" s="4907"/>
      <c r="CO184" s="4907"/>
      <c r="CP184" s="4907"/>
      <c r="CQ184" s="4907"/>
      <c r="CR184" s="4912"/>
      <c r="CS184" s="4907"/>
      <c r="CT184" s="4907"/>
      <c r="CU184" s="4907"/>
      <c r="CV184" s="4907"/>
      <c r="CW184" s="4912"/>
      <c r="CX184" s="4907"/>
      <c r="CY184" s="4907"/>
      <c r="CZ184" s="4907"/>
      <c r="DA184" s="4907"/>
      <c r="DB184" s="4912"/>
      <c r="DC184" s="4907"/>
      <c r="DD184" s="4907"/>
      <c r="DE184" s="4907"/>
      <c r="DF184" s="4907"/>
      <c r="DG184" s="4914" t="str">
        <f>IF(DG182&lt;&gt;IS!DG57,"Err","Ok")</f>
        <v>Ok</v>
      </c>
      <c r="DH184" s="4915"/>
      <c r="DI184" s="4915"/>
      <c r="DJ184" s="4915"/>
      <c r="DK184" s="4915" t="str">
        <f>IF(DK182&lt;&gt;IS!DK57,"Err","Ok")</f>
        <v>Ok</v>
      </c>
      <c r="DL184" s="4914" t="str">
        <f>IF(DL182&lt;&gt;IS!DL57,"Err","Ok")</f>
        <v>Ok</v>
      </c>
      <c r="DM184" s="4915" t="str">
        <f>IF(DM182&lt;&gt;IS!DM57,"Err","Ok")</f>
        <v>Ok</v>
      </c>
      <c r="DN184" s="4915" t="str">
        <f>IF(DN182&lt;&gt;IS!DN57,"Err","Ok")</f>
        <v>Ok</v>
      </c>
      <c r="DO184" s="4915" t="str">
        <f>IF(DO182&lt;&gt;IS!DO57,"Err","Ok")</f>
        <v>Ok</v>
      </c>
      <c r="DP184" s="4915" t="str">
        <f>IF(DP182&lt;&gt;IS!DP57,"Err","Ok")</f>
        <v>Ok</v>
      </c>
      <c r="DQ184" s="4914" t="str">
        <f>IF(DQ182&lt;&gt;IS!DQ57,"Err","Ok")</f>
        <v>Ok</v>
      </c>
      <c r="DR184" s="4915" t="str">
        <f>IF(DR182&lt;&gt;IS!DR57,"Err","Ok")</f>
        <v>Ok</v>
      </c>
      <c r="DS184" s="4915" t="str">
        <f>IF(DS182&lt;&gt;IS!DS57,"Err","Ok")</f>
        <v>Ok</v>
      </c>
      <c r="DT184" s="4915" t="str">
        <f>IF(DT182&lt;&gt;IS!DT57,"Err","Ok")</f>
        <v>Ok</v>
      </c>
      <c r="DU184" s="4915" t="str">
        <f>IF(DU182&lt;&gt;IS!DU57,"Err","Ok")</f>
        <v>Ok</v>
      </c>
      <c r="DV184" s="4914" t="str">
        <f>IF(DV182&lt;&gt;IS!DV57,"Err","Ok")</f>
        <v>Ok</v>
      </c>
      <c r="DW184" s="4915" t="str">
        <f>IF(DW182&lt;&gt;IS!DW57,"Err","Ok")</f>
        <v>Ok</v>
      </c>
      <c r="DX184" s="4915" t="str">
        <f>IF(DX182&lt;&gt;IS!DX57,"Err","Ok")</f>
        <v>Ok</v>
      </c>
      <c r="DY184" s="4915" t="str">
        <f>IF(DY182&lt;&gt;IS!DY57,"Err","Ok")</f>
        <v>Ok</v>
      </c>
      <c r="DZ184" s="4915" t="str">
        <f>IF(DZ182&lt;&gt;IS!DZ57,"Err","Ok")</f>
        <v>Ok</v>
      </c>
      <c r="EA184" s="4914" t="str">
        <f>IF(EA182&lt;&gt;IS!EA57,"Err","Ok")</f>
        <v>Ok</v>
      </c>
      <c r="EB184" s="4915" t="str">
        <f>IF(EB182&lt;&gt;IS!EB57,"Err","Ok")</f>
        <v>Ok</v>
      </c>
      <c r="EC184" s="4915" t="str">
        <f>IF(EC182&lt;&gt;IS!EC57,"Err","Ok")</f>
        <v>Ok</v>
      </c>
      <c r="ED184" s="4915" t="str">
        <f>IF(ED182&lt;&gt;IS!ED57,"Err","Ok")</f>
        <v>Ok</v>
      </c>
      <c r="EE184" s="4915" t="str">
        <f>IF(EE182&lt;&gt;IS!EE57,"Err","Ok")</f>
        <v>Ok</v>
      </c>
      <c r="EF184" s="4914" t="str">
        <f>IF(EF182&lt;&gt;IS!EF57,"Err","Ok")</f>
        <v>Ok</v>
      </c>
      <c r="EG184" s="4915" t="str">
        <f>IF(EG182&lt;&gt;IS!EG57,"Err","Ok")</f>
        <v>Ok</v>
      </c>
      <c r="EH184" s="4915" t="str">
        <f>IF(EH182&lt;&gt;IS!EH57,"Err","Ok")</f>
        <v>Ok</v>
      </c>
      <c r="EI184" s="4915" t="str">
        <f>IF(EI182&lt;&gt;IS!EI57,"Err","Ok")</f>
        <v>Ok</v>
      </c>
      <c r="EJ184" s="4915" t="str">
        <f>IF(EJ182&lt;&gt;IS!EJ57,"Err","Ok")</f>
        <v>Ok</v>
      </c>
      <c r="EK184" s="4914" t="str">
        <f>IF(EK182&lt;&gt;IS!EK57,"Err","Ok")</f>
        <v>Ok</v>
      </c>
      <c r="EL184" s="4915" t="str">
        <f>IF(EL182&lt;&gt;IS!EL57,"Err","Ok")</f>
        <v>Ok</v>
      </c>
      <c r="EM184" s="4915" t="str">
        <f>IF(EM182&lt;&gt;IS!EM57,"Err","Ok")</f>
        <v>Ok</v>
      </c>
      <c r="EN184" s="4915" t="str">
        <f>IF(EN182&lt;&gt;IS!EN57,"Err","Ok")</f>
        <v>Ok</v>
      </c>
      <c r="EO184" s="4915" t="str">
        <f>IF(EO182&lt;&gt;IS!EO57,"Err","Ok")</f>
        <v>Ok</v>
      </c>
      <c r="EP184" s="4914" t="str">
        <f>IF(EP182&lt;&gt;IS!EP57,"Err","Ok")</f>
        <v>Ok</v>
      </c>
      <c r="EQ184" s="4915" t="str">
        <f>IF(EQ182&lt;&gt;IS!EQ57,"Err","Ok")</f>
        <v>Ok</v>
      </c>
      <c r="ER184" s="4915" t="str">
        <f>IF(ER182&lt;&gt;IS!ER57,"Err","Ok")</f>
        <v>Ok</v>
      </c>
      <c r="ES184" s="4915" t="str">
        <f>IF(ES182&lt;&gt;IS!ES57,"Err","Ok")</f>
        <v>Ok</v>
      </c>
      <c r="ET184" s="4915" t="str">
        <f>IF(ET182&lt;&gt;IS!ET57,"Err","Ok")</f>
        <v>Ok</v>
      </c>
      <c r="EU184" s="4914" t="str">
        <f>IF(EU182&lt;&gt;IS!EU57,"Err","Ok")</f>
        <v>Ok</v>
      </c>
      <c r="EV184" s="4914" t="str">
        <f>IF(EV182&lt;&gt;IS!EV57,"Err","Ok")</f>
        <v>Ok</v>
      </c>
      <c r="EW184" s="4914" t="str">
        <f>IF(EW182&lt;&gt;IS!EW57,"Err","Ok")</f>
        <v>Ok</v>
      </c>
      <c r="EX184" s="4914" t="str">
        <f>IF(EX182&lt;&gt;IS!EX57,"Err","Ok")</f>
        <v>Ok</v>
      </c>
      <c r="EY184" s="4914" t="str">
        <f>IF(EY182&lt;&gt;IS!EY57,"Err","Ok")</f>
        <v>Ok</v>
      </c>
      <c r="EZ184" s="170"/>
      <c r="FA184" s="1319"/>
      <c r="FB184" s="1319"/>
      <c r="FC184" s="511"/>
    </row>
    <row r="185" spans="1:159" s="4" customFormat="1" ht="11.25" hidden="1" customHeight="1" outlineLevel="1">
      <c r="A185" s="4905"/>
      <c r="B185" s="170"/>
      <c r="C185" s="170"/>
      <c r="D185" s="170"/>
      <c r="E185" s="286"/>
      <c r="F185" s="4858"/>
      <c r="G185" s="170"/>
      <c r="H185" s="170"/>
      <c r="I185" s="170"/>
      <c r="J185" s="286"/>
      <c r="K185" s="4858"/>
      <c r="L185" s="170"/>
      <c r="M185" s="170"/>
      <c r="N185" s="170"/>
      <c r="O185" s="286"/>
      <c r="P185" s="2657"/>
      <c r="Q185" s="2608"/>
      <c r="R185" s="170"/>
      <c r="S185" s="170"/>
      <c r="T185" s="286"/>
      <c r="U185" s="4858"/>
      <c r="V185" s="4859"/>
      <c r="W185" s="170"/>
      <c r="X185" s="170"/>
      <c r="Y185" s="286"/>
      <c r="Z185" s="4858"/>
      <c r="AA185" s="4859"/>
      <c r="AB185" s="170"/>
      <c r="AC185" s="170"/>
      <c r="AD185" s="286"/>
      <c r="AE185" s="4858"/>
      <c r="AF185" s="4859"/>
      <c r="AG185" s="170"/>
      <c r="AH185" s="170"/>
      <c r="AI185" s="286"/>
      <c r="AJ185" s="4858"/>
      <c r="AK185" s="170"/>
      <c r="AL185" s="170"/>
      <c r="AM185" s="170"/>
      <c r="AN185" s="286"/>
      <c r="AO185" s="4858"/>
      <c r="AP185" s="170"/>
      <c r="AQ185" s="170"/>
      <c r="AR185" s="170"/>
      <c r="AS185" s="286"/>
      <c r="AT185" s="4858"/>
      <c r="AU185" s="170"/>
      <c r="AV185" s="170"/>
      <c r="AW185" s="170"/>
      <c r="AX185" s="286"/>
      <c r="AY185" s="4858"/>
      <c r="AZ185" s="170"/>
      <c r="BA185" s="170"/>
      <c r="BB185" s="170"/>
      <c r="BC185" s="170"/>
      <c r="BD185" s="4860"/>
      <c r="BE185" s="4866"/>
      <c r="BF185" s="170"/>
      <c r="BG185" s="170"/>
      <c r="BH185" s="170"/>
      <c r="BI185" s="4860"/>
      <c r="BJ185" s="170"/>
      <c r="BK185" s="170"/>
      <c r="BL185" s="170"/>
      <c r="BM185" s="170"/>
      <c r="BN185" s="4860"/>
      <c r="BO185" s="170"/>
      <c r="BP185" s="170"/>
      <c r="BQ185" s="170"/>
      <c r="BR185" s="286"/>
      <c r="BS185" s="4858"/>
      <c r="BT185" s="170"/>
      <c r="BU185" s="170"/>
      <c r="BV185" s="170"/>
      <c r="BW185" s="170"/>
      <c r="BX185" s="4860"/>
      <c r="BY185" s="170"/>
      <c r="BZ185" s="170"/>
      <c r="CA185" s="170"/>
      <c r="CB185" s="170"/>
      <c r="CC185" s="4860"/>
      <c r="CD185" s="170"/>
      <c r="CE185" s="170"/>
      <c r="CF185" s="170"/>
      <c r="CG185" s="170"/>
      <c r="CH185" s="4860"/>
      <c r="CI185" s="170"/>
      <c r="CJ185" s="170"/>
      <c r="CK185" s="170"/>
      <c r="CL185" s="170"/>
      <c r="CM185" s="4860"/>
      <c r="CN185" s="170"/>
      <c r="CO185" s="170"/>
      <c r="CP185" s="170"/>
      <c r="CQ185" s="170"/>
      <c r="CR185" s="4860"/>
      <c r="CS185" s="170"/>
      <c r="CT185" s="170"/>
      <c r="CU185" s="170"/>
      <c r="CV185" s="170"/>
      <c r="CW185" s="4860"/>
      <c r="CX185" s="170"/>
      <c r="CY185" s="170"/>
      <c r="CZ185" s="170"/>
      <c r="DA185" s="170"/>
      <c r="DB185" s="4860"/>
      <c r="DC185" s="170"/>
      <c r="DD185" s="170"/>
      <c r="DE185" s="170"/>
      <c r="DF185" s="170"/>
      <c r="DG185" s="4863"/>
      <c r="DH185" s="4865"/>
      <c r="DI185" s="4865"/>
      <c r="DJ185" s="4865"/>
      <c r="DK185" s="4865"/>
      <c r="DL185" s="4863"/>
      <c r="DM185" s="4865"/>
      <c r="DN185" s="4865"/>
      <c r="DO185" s="4865"/>
      <c r="DP185" s="4865"/>
      <c r="DQ185" s="4863"/>
      <c r="DR185" s="4865"/>
      <c r="DS185" s="4865"/>
      <c r="DT185" s="4865"/>
      <c r="DU185" s="4865"/>
      <c r="DV185" s="4863"/>
      <c r="DW185" s="4865"/>
      <c r="DX185" s="4865"/>
      <c r="DY185" s="4865"/>
      <c r="DZ185" s="4865"/>
      <c r="EA185" s="4863"/>
      <c r="EB185" s="4865"/>
      <c r="EC185" s="4865"/>
      <c r="ED185" s="4865"/>
      <c r="EE185" s="4865"/>
      <c r="EF185" s="4863"/>
      <c r="EG185" s="4865"/>
      <c r="EH185" s="4865"/>
      <c r="EI185" s="4865"/>
      <c r="EJ185" s="4865"/>
      <c r="EK185" s="4863"/>
      <c r="EL185" s="4865"/>
      <c r="EM185" s="4865"/>
      <c r="EN185" s="4865"/>
      <c r="EO185" s="4865"/>
      <c r="EP185" s="4863"/>
      <c r="EQ185" s="4865"/>
      <c r="ER185" s="4865"/>
      <c r="ES185" s="4865"/>
      <c r="ET185" s="4865"/>
      <c r="EU185" s="4863"/>
      <c r="EV185" s="4863"/>
      <c r="EW185" s="4863"/>
      <c r="EX185" s="4863"/>
      <c r="EY185" s="4863"/>
      <c r="EZ185" s="170"/>
      <c r="FA185" s="1319"/>
      <c r="FB185" s="1319"/>
      <c r="FC185" s="511"/>
    </row>
    <row r="186" spans="1:159" s="4" customFormat="1" ht="11.25" hidden="1" customHeight="1" outlineLevel="1">
      <c r="A186" s="4916" t="s">
        <v>944</v>
      </c>
      <c r="B186" s="4907"/>
      <c r="C186" s="4907"/>
      <c r="D186" s="4907"/>
      <c r="E186" s="4908"/>
      <c r="F186" s="4909"/>
      <c r="G186" s="4907"/>
      <c r="H186" s="4907"/>
      <c r="I186" s="4907"/>
      <c r="J186" s="4908"/>
      <c r="K186" s="4909"/>
      <c r="L186" s="4907"/>
      <c r="M186" s="4907"/>
      <c r="N186" s="4907"/>
      <c r="O186" s="4908"/>
      <c r="P186" s="4910"/>
      <c r="Q186" s="1118"/>
      <c r="R186" s="4907"/>
      <c r="S186" s="4907"/>
      <c r="T186" s="4908"/>
      <c r="U186" s="4909"/>
      <c r="V186" s="4911"/>
      <c r="W186" s="4907"/>
      <c r="X186" s="4907"/>
      <c r="Y186" s="4908"/>
      <c r="Z186" s="4909"/>
      <c r="AA186" s="4911"/>
      <c r="AB186" s="4907"/>
      <c r="AC186" s="4907"/>
      <c r="AD186" s="4908"/>
      <c r="AE186" s="4909"/>
      <c r="AF186" s="4911"/>
      <c r="AG186" s="4907"/>
      <c r="AH186" s="4907"/>
      <c r="AI186" s="4908"/>
      <c r="AJ186" s="4909"/>
      <c r="AK186" s="4907"/>
      <c r="AL186" s="4907"/>
      <c r="AM186" s="4907"/>
      <c r="AN186" s="4908"/>
      <c r="AO186" s="4909"/>
      <c r="AP186" s="4907"/>
      <c r="AQ186" s="4907"/>
      <c r="AR186" s="4907"/>
      <c r="AS186" s="4908"/>
      <c r="AT186" s="4909"/>
      <c r="AU186" s="4907"/>
      <c r="AV186" s="4907"/>
      <c r="AW186" s="4907"/>
      <c r="AX186" s="4908"/>
      <c r="AY186" s="4909"/>
      <c r="AZ186" s="4907"/>
      <c r="BA186" s="4907"/>
      <c r="BB186" s="4907"/>
      <c r="BC186" s="4907"/>
      <c r="BD186" s="4912"/>
      <c r="BE186" s="4913"/>
      <c r="BF186" s="4907"/>
      <c r="BG186" s="4907"/>
      <c r="BH186" s="4907"/>
      <c r="BI186" s="4912"/>
      <c r="BJ186" s="4907"/>
      <c r="BK186" s="4907"/>
      <c r="BL186" s="4907"/>
      <c r="BM186" s="4907"/>
      <c r="BN186" s="4912"/>
      <c r="BO186" s="4907"/>
      <c r="BP186" s="4907"/>
      <c r="BQ186" s="4907"/>
      <c r="BR186" s="4908"/>
      <c r="BS186" s="4909"/>
      <c r="BT186" s="4907"/>
      <c r="BU186" s="4907"/>
      <c r="BV186" s="4907"/>
      <c r="BW186" s="4907"/>
      <c r="BX186" s="4912"/>
      <c r="BY186" s="4907"/>
      <c r="BZ186" s="4907"/>
      <c r="CA186" s="4907"/>
      <c r="CB186" s="4907"/>
      <c r="CC186" s="4912"/>
      <c r="CD186" s="4907"/>
      <c r="CE186" s="4907"/>
      <c r="CF186" s="4907"/>
      <c r="CG186" s="4907"/>
      <c r="CH186" s="4912"/>
      <c r="CI186" s="4907"/>
      <c r="CJ186" s="4907"/>
      <c r="CK186" s="4907"/>
      <c r="CL186" s="4907"/>
      <c r="CM186" s="4912"/>
      <c r="CN186" s="4907"/>
      <c r="CO186" s="4907"/>
      <c r="CP186" s="4907"/>
      <c r="CQ186" s="4907"/>
      <c r="CR186" s="4912"/>
      <c r="CS186" s="4907"/>
      <c r="CT186" s="4907"/>
      <c r="CU186" s="4907"/>
      <c r="CV186" s="4907"/>
      <c r="CW186" s="4912"/>
      <c r="CX186" s="4907"/>
      <c r="CY186" s="4907"/>
      <c r="CZ186" s="4907"/>
      <c r="DA186" s="4907"/>
      <c r="DB186" s="4912"/>
      <c r="DC186" s="4907"/>
      <c r="DD186" s="4907"/>
      <c r="DE186" s="4907"/>
      <c r="DF186" s="4907"/>
      <c r="DG186" s="4914"/>
      <c r="DH186" s="4915"/>
      <c r="DI186" s="4915"/>
      <c r="DJ186" s="4915"/>
      <c r="DK186" s="4915"/>
      <c r="DL186" s="4914"/>
      <c r="DM186" s="4915"/>
      <c r="DN186" s="4915"/>
      <c r="DO186" s="4915"/>
      <c r="DP186" s="4915"/>
      <c r="DQ186" s="4914"/>
      <c r="DR186" s="4915"/>
      <c r="DS186" s="4915"/>
      <c r="DT186" s="4915"/>
      <c r="DU186" s="4915"/>
      <c r="DV186" s="4914"/>
      <c r="DW186" s="4915"/>
      <c r="DX186" s="4915"/>
      <c r="DY186" s="4915"/>
      <c r="DZ186" s="4915"/>
      <c r="EA186" s="4914"/>
      <c r="EB186" s="4915"/>
      <c r="EC186" s="4915"/>
      <c r="ED186" s="4915"/>
      <c r="EE186" s="4915"/>
      <c r="EF186" s="4914"/>
      <c r="EG186" s="4915"/>
      <c r="EH186" s="4915"/>
      <c r="EI186" s="4915"/>
      <c r="EJ186" s="4915"/>
      <c r="EK186" s="4914"/>
      <c r="EL186" s="4915"/>
      <c r="EM186" s="4915"/>
      <c r="EN186" s="4915"/>
      <c r="EO186" s="4915"/>
      <c r="EP186" s="4914"/>
      <c r="EQ186" s="4915"/>
      <c r="ER186" s="4915"/>
      <c r="ES186" s="4915"/>
      <c r="ET186" s="4915"/>
      <c r="EU186" s="4914"/>
      <c r="EV186" s="4914"/>
      <c r="EW186" s="4914"/>
      <c r="EX186" s="4914"/>
      <c r="EY186" s="4914"/>
      <c r="EZ186" s="170"/>
      <c r="FA186" s="1319"/>
      <c r="FB186" s="1319"/>
      <c r="FC186" s="511"/>
    </row>
    <row r="187" spans="1:159" s="4" customFormat="1" ht="11.25" hidden="1" customHeight="1" outlineLevel="1">
      <c r="A187" s="4906" t="s">
        <v>312</v>
      </c>
      <c r="B187" s="4907"/>
      <c r="C187" s="4907"/>
      <c r="D187" s="4907"/>
      <c r="E187" s="4908"/>
      <c r="F187" s="4909"/>
      <c r="G187" s="4907"/>
      <c r="H187" s="4907"/>
      <c r="I187" s="4907"/>
      <c r="J187" s="4908"/>
      <c r="K187" s="4909"/>
      <c r="L187" s="4907"/>
      <c r="M187" s="4907"/>
      <c r="N187" s="4907"/>
      <c r="O187" s="4908"/>
      <c r="P187" s="4910"/>
      <c r="Q187" s="1118"/>
      <c r="R187" s="4907"/>
      <c r="S187" s="4907"/>
      <c r="T187" s="4908"/>
      <c r="U187" s="4909"/>
      <c r="V187" s="4911"/>
      <c r="W187" s="4907"/>
      <c r="X187" s="4907"/>
      <c r="Y187" s="4908"/>
      <c r="Z187" s="4909"/>
      <c r="AA187" s="4911"/>
      <c r="AB187" s="4907"/>
      <c r="AC187" s="4907"/>
      <c r="AD187" s="4908"/>
      <c r="AE187" s="4909"/>
      <c r="AF187" s="4911"/>
      <c r="AG187" s="4907"/>
      <c r="AH187" s="4907"/>
      <c r="AI187" s="4908"/>
      <c r="AJ187" s="4909"/>
      <c r="AK187" s="4907"/>
      <c r="AL187" s="4907"/>
      <c r="AM187" s="4907"/>
      <c r="AN187" s="4908"/>
      <c r="AO187" s="4909"/>
      <c r="AP187" s="4907"/>
      <c r="AQ187" s="4907"/>
      <c r="AR187" s="4907"/>
      <c r="AS187" s="4908"/>
      <c r="AT187" s="4909"/>
      <c r="AU187" s="4907"/>
      <c r="AV187" s="4907"/>
      <c r="AW187" s="4907"/>
      <c r="AX187" s="4908"/>
      <c r="AY187" s="4909"/>
      <c r="AZ187" s="4907"/>
      <c r="BA187" s="4907"/>
      <c r="BB187" s="4907"/>
      <c r="BC187" s="4907"/>
      <c r="BD187" s="4912"/>
      <c r="BE187" s="4913"/>
      <c r="BF187" s="4907"/>
      <c r="BG187" s="4907"/>
      <c r="BH187" s="4907"/>
      <c r="BI187" s="4912"/>
      <c r="BJ187" s="4907"/>
      <c r="BK187" s="4907"/>
      <c r="BL187" s="4907"/>
      <c r="BM187" s="4907"/>
      <c r="BN187" s="4912"/>
      <c r="BO187" s="4907"/>
      <c r="BP187" s="4907"/>
      <c r="BQ187" s="4907"/>
      <c r="BR187" s="4908"/>
      <c r="BS187" s="4909"/>
      <c r="BT187" s="4907"/>
      <c r="BU187" s="4907"/>
      <c r="BV187" s="4907"/>
      <c r="BW187" s="4907"/>
      <c r="BX187" s="4912"/>
      <c r="BY187" s="4907"/>
      <c r="BZ187" s="4907"/>
      <c r="CA187" s="4907"/>
      <c r="CB187" s="4907"/>
      <c r="CC187" s="4912"/>
      <c r="CD187" s="4907"/>
      <c r="CE187" s="4907"/>
      <c r="CF187" s="4907"/>
      <c r="CG187" s="4907"/>
      <c r="CH187" s="4912"/>
      <c r="CI187" s="4907"/>
      <c r="CJ187" s="4907"/>
      <c r="CK187" s="4907"/>
      <c r="CL187" s="4907"/>
      <c r="CM187" s="4912"/>
      <c r="CN187" s="4907"/>
      <c r="CO187" s="4907"/>
      <c r="CP187" s="4907"/>
      <c r="CQ187" s="4907"/>
      <c r="CR187" s="4912"/>
      <c r="CS187" s="4907"/>
      <c r="CT187" s="4907"/>
      <c r="CU187" s="4907"/>
      <c r="CV187" s="4907"/>
      <c r="CW187" s="4912"/>
      <c r="CX187" s="4907"/>
      <c r="CY187" s="4907"/>
      <c r="CZ187" s="4907"/>
      <c r="DA187" s="4907"/>
      <c r="DB187" s="4912"/>
      <c r="DC187" s="4907"/>
      <c r="DD187" s="4907"/>
      <c r="DE187" s="4907"/>
      <c r="DF187" s="4907"/>
      <c r="DG187" s="4914" t="str">
        <f>IF(SUM(DG40,DG80,DG115,DG149)&lt;&gt;IS!DG7,"Err","Ok")</f>
        <v>Ok</v>
      </c>
      <c r="DH187" s="4915"/>
      <c r="DI187" s="4915"/>
      <c r="DJ187" s="4915"/>
      <c r="DK187" s="4915" t="str">
        <f>IF(SUM(DK40,DK80,DK115,DK149)&lt;&gt;IS!DK7,"Err","Ok")</f>
        <v>Ok</v>
      </c>
      <c r="DL187" s="4914" t="str">
        <f>IF(SUM(DL40,DL80,DL115,DL149)&lt;&gt;IS!DL7,"Err","Ok")</f>
        <v>Ok</v>
      </c>
      <c r="DM187" s="4915" t="str">
        <f>IF(SUM(DM40,DM80,DM115,DM149)&lt;&gt;IS!DM7,"Err","Ok")</f>
        <v>Ok</v>
      </c>
      <c r="DN187" s="4915" t="str">
        <f>IF(SUM(DN40,DN80,DN115,DN149)&lt;&gt;IS!DN7,"Err","Ok")</f>
        <v>Ok</v>
      </c>
      <c r="DO187" s="4915" t="str">
        <f>IF(SUM(DO40,DO80,DO115,DO149)&lt;&gt;IS!DO7,"Err","Ok")</f>
        <v>Ok</v>
      </c>
      <c r="DP187" s="4915" t="str">
        <f>IF(SUM(DP40,DP80,DP115,DP149)&lt;&gt;IS!DP7,"Err","Ok")</f>
        <v>Ok</v>
      </c>
      <c r="DQ187" s="4914" t="str">
        <f>IF(SUM(DQ40,DQ80,DQ115,DQ149)&lt;&gt;IS!DQ7,"Err","Ok")</f>
        <v>Ok</v>
      </c>
      <c r="DR187" s="4915" t="str">
        <f>IF(SUM(DR40,DR80,DR115,DR149)&lt;&gt;IS!DR7,"Err","Ok")</f>
        <v>Ok</v>
      </c>
      <c r="DS187" s="4915" t="str">
        <f>IF(SUM(DS40,DS80,DS115,DS149)&lt;&gt;IS!DS7,"Err","Ok")</f>
        <v>Ok</v>
      </c>
      <c r="DT187" s="4915" t="str">
        <f>IF(SUM(DT40,DT80,DT115,DT149)&lt;&gt;IS!DT7,"Err","Ok")</f>
        <v>Ok</v>
      </c>
      <c r="DU187" s="4915" t="str">
        <f>IF(SUM(DU40,DU80,DU115,DU149)&lt;&gt;IS!DU7,"Err","Ok")</f>
        <v>Ok</v>
      </c>
      <c r="DV187" s="4914" t="str">
        <f>IF(SUM(DV40,DV80,DV115,DV149)&lt;&gt;IS!DV7,"Err","Ok")</f>
        <v>Ok</v>
      </c>
      <c r="DW187" s="4915" t="str">
        <f>IF(SUM(DW40,DW80,DW115,DW149)&lt;&gt;IS!DW7,"Err","Ok")</f>
        <v>Ok</v>
      </c>
      <c r="DX187" s="4915" t="str">
        <f>IF(SUM(DX40,DX80,DX115,DX149)&lt;&gt;IS!DX7,"Err","Ok")</f>
        <v>Ok</v>
      </c>
      <c r="DY187" s="4915" t="str">
        <f>IF(SUM(DY40,DY80,DY115,DY149)&lt;&gt;IS!DY7,"Err","Ok")</f>
        <v>Ok</v>
      </c>
      <c r="DZ187" s="4915" t="str">
        <f>IF(SUM(DZ40,DZ80,DZ115,DZ149)&lt;&gt;IS!DZ7,"Err","Ok")</f>
        <v>Ok</v>
      </c>
      <c r="EA187" s="4914" t="str">
        <f>IF(SUM(EA40,EA80,EA115,EA149)&lt;&gt;IS!EA7,"Err","Ok")</f>
        <v>Ok</v>
      </c>
      <c r="EB187" s="4915" t="str">
        <f>IF(SUM(EB40,EB80,EB115,EB149)&lt;&gt;IS!EB7,"Err","Ok")</f>
        <v>Ok</v>
      </c>
      <c r="EC187" s="4915" t="str">
        <f>IF(SUM(EC40,EC80,EC115,EC149)&lt;&gt;IS!EC7,"Err","Ok")</f>
        <v>Ok</v>
      </c>
      <c r="ED187" s="4915" t="str">
        <f>IF(SUM(ED40,ED80,ED115,ED149)&lt;&gt;IS!ED7,"Err","Ok")</f>
        <v>Ok</v>
      </c>
      <c r="EE187" s="4915" t="str">
        <f>IF(SUM(EE40,EE80,EE115,EE149)&lt;&gt;IS!EE7,"Err","Ok")</f>
        <v>Ok</v>
      </c>
      <c r="EF187" s="4914" t="str">
        <f>IF(SUM(EF40,EF80,EF115,EF149)&lt;&gt;IS!EF7,"Err","Ok")</f>
        <v>Ok</v>
      </c>
      <c r="EG187" s="4915" t="str">
        <f>IF(SUM(EG40,EG80,EG115,EG149)&lt;&gt;IS!EG7,"Err","Ok")</f>
        <v>Ok</v>
      </c>
      <c r="EH187" s="4915" t="str">
        <f>IF(SUM(EH40,EH80,EH115,EH149)&lt;&gt;IS!EH7,"Err","Ok")</f>
        <v>Ok</v>
      </c>
      <c r="EI187" s="4915" t="str">
        <f>IF(SUM(EI40,EI80,EI115,EI149)&lt;&gt;IS!EI7,"Err","Ok")</f>
        <v>Ok</v>
      </c>
      <c r="EJ187" s="4915" t="str">
        <f>IF(SUM(EJ40,EJ80,EJ115,EJ149)&lt;&gt;IS!EJ7,"Err","Ok")</f>
        <v>Ok</v>
      </c>
      <c r="EK187" s="4914" t="str">
        <f>IF(SUM(EK40,EK80,EK115,EK149)&lt;&gt;IS!EK7,"Err","Ok")</f>
        <v>Ok</v>
      </c>
      <c r="EL187" s="4915" t="str">
        <f>IF(SUM(EL40,EL80,EL115,EL149)&lt;&gt;IS!EL7,"Err","Ok")</f>
        <v>Ok</v>
      </c>
      <c r="EM187" s="4915" t="str">
        <f>IF(SUM(EM40,EM80,EM115,EM149)&lt;&gt;IS!EM7,"Err","Ok")</f>
        <v>Ok</v>
      </c>
      <c r="EN187" s="4915" t="str">
        <f>IF(SUM(EN40,EN80,EN115,EN149)&lt;&gt;IS!EN7,"Err","Ok")</f>
        <v>Ok</v>
      </c>
      <c r="EO187" s="4915" t="str">
        <f>IF(SUM(EO40,EO80,EO115,EO149)&lt;&gt;IS!EO7,"Err","Ok")</f>
        <v>Ok</v>
      </c>
      <c r="EP187" s="4914" t="str">
        <f>IF(SUM(EP40,EP80,EP115,EP149)&lt;&gt;IS!EP7,"Err","Ok")</f>
        <v>Ok</v>
      </c>
      <c r="EQ187" s="4915" t="str">
        <f>IF(SUM(EQ40,EQ80,EQ115,EQ149)&lt;&gt;IS!EQ7,"Err","Ok")</f>
        <v>Ok</v>
      </c>
      <c r="ER187" s="4915" t="str">
        <f>IF(SUM(ER40,ER80,ER115,ER149)&lt;&gt;IS!ER7,"Err","Ok")</f>
        <v>Ok</v>
      </c>
      <c r="ES187" s="4915" t="str">
        <f>IF(SUM(ES40,ES80,ES115,ES149)&lt;&gt;IS!ES7,"Err","Ok")</f>
        <v>Ok</v>
      </c>
      <c r="ET187" s="4915" t="str">
        <f>IF(SUM(ET40,ET80,ET115,ET149)&lt;&gt;IS!ET7,"Err","Ok")</f>
        <v>Ok</v>
      </c>
      <c r="EU187" s="4914" t="str">
        <f>IF(SUM(EU40,EU80,EU115,EU149)&lt;&gt;IS!EU7,"Err","Ok")</f>
        <v>Ok</v>
      </c>
      <c r="EV187" s="4914" t="str">
        <f>IF(SUM(EV40,EV80,EV115,EV149)&lt;&gt;IS!EV7,"Err","Ok")</f>
        <v>Ok</v>
      </c>
      <c r="EW187" s="4914" t="str">
        <f>IF(SUM(EW40,EW80,EW115,EW149)&lt;&gt;IS!EW7,"Err","Ok")</f>
        <v>Ok</v>
      </c>
      <c r="EX187" s="4914" t="str">
        <f>IF(SUM(EX40,EX80,EX115,EX149)&lt;&gt;IS!EX7,"Err","Ok")</f>
        <v>Ok</v>
      </c>
      <c r="EY187" s="4914" t="str">
        <f>IF(SUM(EY40,EY80,EY115,EY149)&lt;&gt;IS!EY7,"Err","Ok")</f>
        <v>Ok</v>
      </c>
      <c r="EZ187" s="170"/>
      <c r="FA187" s="1319"/>
      <c r="FB187" s="1319"/>
      <c r="FC187" s="511"/>
    </row>
    <row r="188" spans="1:159" s="4" customFormat="1" ht="11.25" hidden="1" customHeight="1" outlineLevel="1">
      <c r="A188" s="4906" t="s">
        <v>533</v>
      </c>
      <c r="B188" s="4907"/>
      <c r="C188" s="4907"/>
      <c r="D188" s="4907"/>
      <c r="E188" s="4908"/>
      <c r="F188" s="4909"/>
      <c r="G188" s="4907"/>
      <c r="H188" s="4907"/>
      <c r="I188" s="4907"/>
      <c r="J188" s="4908"/>
      <c r="K188" s="4909"/>
      <c r="L188" s="4907"/>
      <c r="M188" s="4907"/>
      <c r="N188" s="4907"/>
      <c r="O188" s="4908"/>
      <c r="P188" s="4910"/>
      <c r="Q188" s="1118"/>
      <c r="R188" s="4907"/>
      <c r="S188" s="4907"/>
      <c r="T188" s="4908"/>
      <c r="U188" s="4909"/>
      <c r="V188" s="4911"/>
      <c r="W188" s="4907"/>
      <c r="X188" s="4907"/>
      <c r="Y188" s="4908"/>
      <c r="Z188" s="4909"/>
      <c r="AA188" s="4911"/>
      <c r="AB188" s="4907"/>
      <c r="AC188" s="4907"/>
      <c r="AD188" s="4908"/>
      <c r="AE188" s="4909"/>
      <c r="AF188" s="4911"/>
      <c r="AG188" s="4907"/>
      <c r="AH188" s="4907"/>
      <c r="AI188" s="4908"/>
      <c r="AJ188" s="4909"/>
      <c r="AK188" s="4907"/>
      <c r="AL188" s="4907"/>
      <c r="AM188" s="4907"/>
      <c r="AN188" s="4908"/>
      <c r="AO188" s="4909"/>
      <c r="AP188" s="4907"/>
      <c r="AQ188" s="4907"/>
      <c r="AR188" s="4907"/>
      <c r="AS188" s="4908"/>
      <c r="AT188" s="4909"/>
      <c r="AU188" s="4907"/>
      <c r="AV188" s="4907"/>
      <c r="AW188" s="4907"/>
      <c r="AX188" s="4908"/>
      <c r="AY188" s="4909"/>
      <c r="AZ188" s="4907"/>
      <c r="BA188" s="4907"/>
      <c r="BB188" s="4907"/>
      <c r="BC188" s="4907"/>
      <c r="BD188" s="4912"/>
      <c r="BE188" s="4913"/>
      <c r="BF188" s="4907"/>
      <c r="BG188" s="4907"/>
      <c r="BH188" s="4907"/>
      <c r="BI188" s="4912"/>
      <c r="BJ188" s="4907"/>
      <c r="BK188" s="4907"/>
      <c r="BL188" s="4907"/>
      <c r="BM188" s="4907"/>
      <c r="BN188" s="4912"/>
      <c r="BO188" s="4907"/>
      <c r="BP188" s="4907"/>
      <c r="BQ188" s="4907"/>
      <c r="BR188" s="4908"/>
      <c r="BS188" s="4909"/>
      <c r="BT188" s="4907"/>
      <c r="BU188" s="4907"/>
      <c r="BV188" s="4907"/>
      <c r="BW188" s="4907"/>
      <c r="BX188" s="4912"/>
      <c r="BY188" s="4907"/>
      <c r="BZ188" s="4907"/>
      <c r="CA188" s="4907"/>
      <c r="CB188" s="4907"/>
      <c r="CC188" s="4912"/>
      <c r="CD188" s="4907"/>
      <c r="CE188" s="4907"/>
      <c r="CF188" s="4907"/>
      <c r="CG188" s="4907"/>
      <c r="CH188" s="4912"/>
      <c r="CI188" s="4907"/>
      <c r="CJ188" s="4907"/>
      <c r="CK188" s="4907"/>
      <c r="CL188" s="4907"/>
      <c r="CM188" s="4912"/>
      <c r="CN188" s="4907"/>
      <c r="CO188" s="4907"/>
      <c r="CP188" s="4907"/>
      <c r="CQ188" s="4907"/>
      <c r="CR188" s="4912"/>
      <c r="CS188" s="4907"/>
      <c r="CT188" s="4907"/>
      <c r="CU188" s="4907"/>
      <c r="CV188" s="4907"/>
      <c r="CW188" s="4912"/>
      <c r="CX188" s="4907"/>
      <c r="CY188" s="4907"/>
      <c r="CZ188" s="4907"/>
      <c r="DA188" s="4907"/>
      <c r="DB188" s="4912"/>
      <c r="DC188" s="4907"/>
      <c r="DD188" s="4907"/>
      <c r="DE188" s="4907"/>
      <c r="DF188" s="4907"/>
      <c r="DG188" s="4914" t="str">
        <f>IF(SUM(DG44,DG82,DG118,DG152)&lt;&gt;IS!DG27,"Err","Ok")</f>
        <v>Ok</v>
      </c>
      <c r="DH188" s="4915"/>
      <c r="DI188" s="4915"/>
      <c r="DJ188" s="4915"/>
      <c r="DK188" s="4915" t="str">
        <f>IF(SUM(DK44,DK82,DK118,DK152)&lt;&gt;IS!DK27,"Err","Ok")</f>
        <v>Ok</v>
      </c>
      <c r="DL188" s="4914" t="str">
        <f>IF(SUM(DL44,DL82,DL118,DL152)&lt;&gt;IS!DL27,"Err","Ok")</f>
        <v>Ok</v>
      </c>
      <c r="DM188" s="4915" t="str">
        <f>IF(SUM(DM44,DM82,DM118,DM152)&lt;&gt;IS!DM27,"Err","Ok")</f>
        <v>Ok</v>
      </c>
      <c r="DN188" s="4915" t="str">
        <f>IF(SUM(DN44,DN82,DN118,DN152)&lt;&gt;IS!DN27,"Err","Ok")</f>
        <v>Ok</v>
      </c>
      <c r="DO188" s="4915" t="str">
        <f>IF(SUM(DO44,DO82,DO118,DO152)&lt;&gt;IS!DO27,"Err","Ok")</f>
        <v>Ok</v>
      </c>
      <c r="DP188" s="4915" t="str">
        <f>IF(SUM(DP44,DP82,DP118,DP152)&lt;&gt;IS!DP27,"Err","Ok")</f>
        <v>Ok</v>
      </c>
      <c r="DQ188" s="4914" t="str">
        <f>IF(SUM(DQ44,DQ82,DQ118,DQ152)&lt;&gt;IS!DQ27,"Err","Ok")</f>
        <v>Ok</v>
      </c>
      <c r="DR188" s="4915" t="str">
        <f>IF(SUM(DR44,DR82,DR118,DR152)&lt;&gt;IS!DR27,"Err","Ok")</f>
        <v>Ok</v>
      </c>
      <c r="DS188" s="4915" t="str">
        <f>IF(SUM(DS44,DS82,DS118,DS152)&lt;&gt;IS!DS27,"Err","Ok")</f>
        <v>Ok</v>
      </c>
      <c r="DT188" s="4915" t="str">
        <f>IF(SUM(DT44,DT82,DT118,DT152)&lt;&gt;IS!DT27,"Err","Ok")</f>
        <v>Ok</v>
      </c>
      <c r="DU188" s="4915" t="str">
        <f>IF(SUM(DU44,DU82,DU118,DU152)&lt;&gt;IS!DU27,"Err","Ok")</f>
        <v>Ok</v>
      </c>
      <c r="DV188" s="4914" t="str">
        <f>IF(SUM(DV44,DV82,DV118,DV152)&lt;&gt;IS!DV27,"Err","Ok")</f>
        <v>Err</v>
      </c>
      <c r="DW188" s="4915" t="str">
        <f>IF(SUM(DW44,DW82,DW118,DW152)&lt;&gt;IS!DW27,"Err","Ok")</f>
        <v>Ok</v>
      </c>
      <c r="DX188" s="4915" t="str">
        <f>IF(SUM(DX44,DX82,DX118,DX152)&lt;&gt;IS!DX27,"Err","Ok")</f>
        <v>Ok</v>
      </c>
      <c r="DY188" s="4915" t="str">
        <f>IF(SUM(DY44,DY82,DY118,DY152)&lt;&gt;IS!DY27,"Err","Ok")</f>
        <v>Ok</v>
      </c>
      <c r="DZ188" s="4915" t="str">
        <f>IF(SUM(DZ44,DZ82,DZ118,DZ152)&lt;&gt;IS!DZ27,"Err","Ok")</f>
        <v>Ok</v>
      </c>
      <c r="EA188" s="4914" t="str">
        <f>IF(SUM(EA44,EA82,EA118,EA152)&lt;&gt;IS!EA27,"Err","Ok")</f>
        <v>Ok</v>
      </c>
      <c r="EB188" s="4915" t="str">
        <f>IF(SUM(EB44,EB82,EB118,EB152)&lt;&gt;IS!EB27,"Err","Ok")</f>
        <v>Ok</v>
      </c>
      <c r="EC188" s="4915" t="str">
        <f>IF(SUM(EC44,EC82,EC118,EC152)&lt;&gt;IS!EC27,"Err","Ok")</f>
        <v>Ok</v>
      </c>
      <c r="ED188" s="4915" t="str">
        <f>IF(SUM(ED44,ED82,ED118,ED152)&lt;&gt;IS!ED27,"Err","Ok")</f>
        <v>Ok</v>
      </c>
      <c r="EE188" s="4915" t="str">
        <f>IF(SUM(EE44,EE82,EE118,EE152)&lt;&gt;IS!EE27,"Err","Ok")</f>
        <v>Ok</v>
      </c>
      <c r="EF188" s="4914" t="str">
        <f>IF(SUM(EF44,EF82,EF118,EF152)&lt;&gt;IS!EF27,"Err","Ok")</f>
        <v>Ok</v>
      </c>
      <c r="EG188" s="4915" t="str">
        <f>IF(SUM(EG44,EG82,EG118,EG152)&lt;&gt;IS!EG27,"Err","Ok")</f>
        <v>Ok</v>
      </c>
      <c r="EH188" s="4915" t="str">
        <f>IF(SUM(EH44,EH82,EH118,EH152)&lt;&gt;IS!EH27,"Err","Ok")</f>
        <v>Ok</v>
      </c>
      <c r="EI188" s="4915" t="str">
        <f>IF(SUM(EI44,EI82,EI118,EI152)&lt;&gt;IS!EI27,"Err","Ok")</f>
        <v>Ok</v>
      </c>
      <c r="EJ188" s="4915" t="str">
        <f>IF(SUM(EJ44,EJ82,EJ118,EJ152)&lt;&gt;IS!EJ27,"Err","Ok")</f>
        <v>Ok</v>
      </c>
      <c r="EK188" s="4914" t="str">
        <f>IF(SUM(EK44,EK82,EK118,EK152)&lt;&gt;IS!EK27,"Err","Ok")</f>
        <v>Ok</v>
      </c>
      <c r="EL188" s="4915" t="str">
        <f>IF(SUM(EL44,EL82,EL118,EL152)&lt;&gt;IS!EL27,"Err","Ok")</f>
        <v>Ok</v>
      </c>
      <c r="EM188" s="4915" t="str">
        <f>IF(SUM(EM44,EM82,EM118,EM152)&lt;&gt;IS!EM27,"Err","Ok")</f>
        <v>Ok</v>
      </c>
      <c r="EN188" s="4915" t="str">
        <f>IF(SUM(EN44,EN82,EN118,EN152)&lt;&gt;IS!EN27,"Err","Ok")</f>
        <v>Ok</v>
      </c>
      <c r="EO188" s="4915" t="str">
        <f>IF(SUM(EO44,EO82,EO118,EO152)&lt;&gt;IS!EO27,"Err","Ok")</f>
        <v>Ok</v>
      </c>
      <c r="EP188" s="4914" t="str">
        <f>IF(SUM(EP44,EP82,EP118,EP152)&lt;&gt;IS!EP27,"Err","Ok")</f>
        <v>Ok</v>
      </c>
      <c r="EQ188" s="4915" t="str">
        <f>IF(SUM(EQ44,EQ82,EQ118,EQ152)&lt;&gt;IS!EQ27,"Err","Ok")</f>
        <v>Ok</v>
      </c>
      <c r="ER188" s="4915" t="str">
        <f>IF(SUM(ER44,ER82,ER118,ER152)&lt;&gt;IS!ER27,"Err","Ok")</f>
        <v>Ok</v>
      </c>
      <c r="ES188" s="4915" t="str">
        <f>IF(SUM(ES44,ES82,ES118,ES152)&lt;&gt;IS!ES27,"Err","Ok")</f>
        <v>Ok</v>
      </c>
      <c r="ET188" s="4915" t="str">
        <f>IF(SUM(ET44,ET82,ET118,ET152)&lt;&gt;IS!ET27,"Err","Ok")</f>
        <v>Ok</v>
      </c>
      <c r="EU188" s="4914" t="str">
        <f>IF(SUM(EU44,EU82,EU118,EU152)&lt;&gt;IS!EU27,"Err","Ok")</f>
        <v>Ok</v>
      </c>
      <c r="EV188" s="4914" t="str">
        <f>IF(SUM(EV44,EV82,EV118,EV152)&lt;&gt;IS!EV27,"Err","Ok")</f>
        <v>Ok</v>
      </c>
      <c r="EW188" s="4914" t="str">
        <f>IF(SUM(EW44,EW82,EW118,EW152)&lt;&gt;IS!EW27,"Err","Ok")</f>
        <v>Ok</v>
      </c>
      <c r="EX188" s="4914" t="str">
        <f>IF(SUM(EX44,EX82,EX118,EX152)&lt;&gt;IS!EX27,"Err","Ok")</f>
        <v>Ok</v>
      </c>
      <c r="EY188" s="4914" t="str">
        <f>IF(SUM(EY44,EY82,EY118,EY152)&lt;&gt;IS!EY27,"Err","Ok")</f>
        <v>Ok</v>
      </c>
      <c r="EZ188" s="170"/>
      <c r="FA188" s="1319"/>
      <c r="FB188" s="1319"/>
      <c r="FC188" s="511"/>
    </row>
    <row r="189" spans="1:159" s="4" customFormat="1" ht="11.25" hidden="1" customHeight="1" outlineLevel="1">
      <c r="A189" s="4906" t="s">
        <v>121</v>
      </c>
      <c r="B189" s="4907"/>
      <c r="C189" s="4907"/>
      <c r="D189" s="4907"/>
      <c r="E189" s="4908"/>
      <c r="F189" s="4909"/>
      <c r="G189" s="4907"/>
      <c r="H189" s="4907"/>
      <c r="I189" s="4907"/>
      <c r="J189" s="4908"/>
      <c r="K189" s="4909"/>
      <c r="L189" s="4907"/>
      <c r="M189" s="4907"/>
      <c r="N189" s="4907"/>
      <c r="O189" s="4908"/>
      <c r="P189" s="4910"/>
      <c r="Q189" s="1118"/>
      <c r="R189" s="4907"/>
      <c r="S189" s="4907"/>
      <c r="T189" s="4908"/>
      <c r="U189" s="4909"/>
      <c r="V189" s="4911"/>
      <c r="W189" s="4907"/>
      <c r="X189" s="4907"/>
      <c r="Y189" s="4908"/>
      <c r="Z189" s="4909"/>
      <c r="AA189" s="4911"/>
      <c r="AB189" s="4907"/>
      <c r="AC189" s="4907"/>
      <c r="AD189" s="4908"/>
      <c r="AE189" s="4909"/>
      <c r="AF189" s="4911"/>
      <c r="AG189" s="4907"/>
      <c r="AH189" s="4907"/>
      <c r="AI189" s="4908"/>
      <c r="AJ189" s="4909"/>
      <c r="AK189" s="4907"/>
      <c r="AL189" s="4907"/>
      <c r="AM189" s="4907"/>
      <c r="AN189" s="4908"/>
      <c r="AO189" s="4909"/>
      <c r="AP189" s="4907"/>
      <c r="AQ189" s="4907"/>
      <c r="AR189" s="4907"/>
      <c r="AS189" s="4908"/>
      <c r="AT189" s="4909"/>
      <c r="AU189" s="4907"/>
      <c r="AV189" s="4907"/>
      <c r="AW189" s="4907"/>
      <c r="AX189" s="4908"/>
      <c r="AY189" s="4909"/>
      <c r="AZ189" s="4907"/>
      <c r="BA189" s="4907"/>
      <c r="BB189" s="4907"/>
      <c r="BC189" s="4907"/>
      <c r="BD189" s="4912"/>
      <c r="BE189" s="4913"/>
      <c r="BF189" s="4907"/>
      <c r="BG189" s="4907"/>
      <c r="BH189" s="4907"/>
      <c r="BI189" s="4912"/>
      <c r="BJ189" s="4907"/>
      <c r="BK189" s="4907"/>
      <c r="BL189" s="4907"/>
      <c r="BM189" s="4907"/>
      <c r="BN189" s="4912"/>
      <c r="BO189" s="4907"/>
      <c r="BP189" s="4907"/>
      <c r="BQ189" s="4907"/>
      <c r="BR189" s="4908"/>
      <c r="BS189" s="4909"/>
      <c r="BT189" s="4907"/>
      <c r="BU189" s="4907"/>
      <c r="BV189" s="4907"/>
      <c r="BW189" s="4907"/>
      <c r="BX189" s="4912"/>
      <c r="BY189" s="4907"/>
      <c r="BZ189" s="4907"/>
      <c r="CA189" s="4907"/>
      <c r="CB189" s="4907"/>
      <c r="CC189" s="4912"/>
      <c r="CD189" s="4907"/>
      <c r="CE189" s="4907"/>
      <c r="CF189" s="4907"/>
      <c r="CG189" s="4907"/>
      <c r="CH189" s="4912"/>
      <c r="CI189" s="4907"/>
      <c r="CJ189" s="4907"/>
      <c r="CK189" s="4907"/>
      <c r="CL189" s="4907"/>
      <c r="CM189" s="4912"/>
      <c r="CN189" s="4907"/>
      <c r="CO189" s="4907"/>
      <c r="CP189" s="4907"/>
      <c r="CQ189" s="4907"/>
      <c r="CR189" s="4912"/>
      <c r="CS189" s="4907"/>
      <c r="CT189" s="4907"/>
      <c r="CU189" s="4907"/>
      <c r="CV189" s="4907"/>
      <c r="CW189" s="4912"/>
      <c r="CX189" s="4907"/>
      <c r="CY189" s="4907"/>
      <c r="CZ189" s="4907"/>
      <c r="DA189" s="4907"/>
      <c r="DB189" s="4912"/>
      <c r="DC189" s="4907"/>
      <c r="DD189" s="4907"/>
      <c r="DE189" s="4907"/>
      <c r="DF189" s="4907"/>
      <c r="DG189" s="4914" t="str">
        <f>IF(SUM(DG49,DG87,DG123,DG157)&lt;&gt;IS!DG37,"Err","Ok")</f>
        <v>Ok</v>
      </c>
      <c r="DH189" s="4915"/>
      <c r="DI189" s="4915"/>
      <c r="DJ189" s="4915"/>
      <c r="DK189" s="4915" t="str">
        <f>IF(SUM(DK49,DK87,DK123,DK157)&lt;&gt;IS!DK37,"Err","Ok")</f>
        <v>Ok</v>
      </c>
      <c r="DL189" s="4914" t="str">
        <f>IF(SUM(DL49,DL87,DL123,DL157)&lt;&gt;IS!DL37,"Err","Ok")</f>
        <v>Ok</v>
      </c>
      <c r="DM189" s="4915" t="str">
        <f>IF(SUM(DM49,DM87,DM123,DM157)&lt;&gt;IS!DM37,"Err","Ok")</f>
        <v>Ok</v>
      </c>
      <c r="DN189" s="4915" t="str">
        <f>IF(SUM(DN49,DN87,DN123,DN157)&lt;&gt;IS!DN37,"Err","Ok")</f>
        <v>Ok</v>
      </c>
      <c r="DO189" s="4915" t="str">
        <f>IF(SUM(DO49,DO87,DO123,DO157)&lt;&gt;IS!DO37,"Err","Ok")</f>
        <v>Ok</v>
      </c>
      <c r="DP189" s="4915" t="str">
        <f>IF(SUM(DP49,DP87,DP123,DP157)&lt;&gt;IS!DP37,"Err","Ok")</f>
        <v>Ok</v>
      </c>
      <c r="DQ189" s="4914" t="str">
        <f>IF(SUM(DQ49,DQ87,DQ123,DQ157)&lt;&gt;IS!DQ37,"Err","Ok")</f>
        <v>Ok</v>
      </c>
      <c r="DR189" s="4915" t="str">
        <f>IF(SUM(DR49,DR87,DR123,DR157)&lt;&gt;IS!DR37,"Err","Ok")</f>
        <v>Ok</v>
      </c>
      <c r="DS189" s="4915" t="str">
        <f>IF(SUM(DS49,DS87,DS123,DS157)&lt;&gt;IS!DS37,"Err","Ok")</f>
        <v>Ok</v>
      </c>
      <c r="DT189" s="4915" t="str">
        <f>IF(SUM(DT49,DT87,DT123,DT157)&lt;&gt;IS!DT37,"Err","Ok")</f>
        <v>Ok</v>
      </c>
      <c r="DU189" s="4915" t="str">
        <f>IF(SUM(DU49,DU87,DU123,DU157)&lt;&gt;IS!DU37,"Err","Ok")</f>
        <v>Ok</v>
      </c>
      <c r="DV189" s="4914" t="str">
        <f>IF(SUM(DV49,DV87,DV123,DV157)&lt;&gt;IS!DV37,"Err","Ok")</f>
        <v>Err</v>
      </c>
      <c r="DW189" s="4915" t="str">
        <f>IF(SUM(DW49,DW87,DW123,DW157)&lt;&gt;IS!DW37,"Err","Ok")</f>
        <v>Ok</v>
      </c>
      <c r="DX189" s="4915" t="str">
        <f>IF(SUM(DX49,DX87,DX123,DX157)&lt;&gt;IS!DX37,"Err","Ok")</f>
        <v>Ok</v>
      </c>
      <c r="DY189" s="4915" t="str">
        <f>IF(SUM(DY49,DY87,DY123,DY157)&lt;&gt;IS!DY37,"Err","Ok")</f>
        <v>Ok</v>
      </c>
      <c r="DZ189" s="4915" t="str">
        <f>IF(SUM(DZ49,DZ87,DZ123,DZ157)&lt;&gt;IS!DZ37,"Err","Ok")</f>
        <v>Ok</v>
      </c>
      <c r="EA189" s="4914" t="str">
        <f>IF(SUM(EA49,EA87,EA123,EA157)&lt;&gt;IS!EA37,"Err","Ok")</f>
        <v>Ok</v>
      </c>
      <c r="EB189" s="4915" t="str">
        <f>IF(SUM(EB49,EB87,EB123,EB157)&lt;&gt;IS!EB37,"Err","Ok")</f>
        <v>Ok</v>
      </c>
      <c r="EC189" s="4915" t="str">
        <f>IF(SUM(EC49,EC87,EC123,EC157)&lt;&gt;IS!EC37,"Err","Ok")</f>
        <v>Ok</v>
      </c>
      <c r="ED189" s="4915" t="str">
        <f>IF(SUM(ED49,ED87,ED123,ED157)&lt;&gt;IS!ED37,"Err","Ok")</f>
        <v>Ok</v>
      </c>
      <c r="EE189" s="4915" t="str">
        <f>IF(SUM(EE49,EE87,EE123,EE157)&lt;&gt;IS!EE37,"Err","Ok")</f>
        <v>Ok</v>
      </c>
      <c r="EF189" s="4914" t="str">
        <f>IF(SUM(EF49,EF87,EF123,EF157)&lt;&gt;IS!EF37,"Err","Ok")</f>
        <v>Ok</v>
      </c>
      <c r="EG189" s="4915" t="str">
        <f>IF(SUM(EG49,EG87,EG123,EG157)&lt;&gt;IS!EG37,"Err","Ok")</f>
        <v>Ok</v>
      </c>
      <c r="EH189" s="4915" t="str">
        <f>IF(SUM(EH49,EH87,EH123,EH157)&lt;&gt;IS!EH37,"Err","Ok")</f>
        <v>Ok</v>
      </c>
      <c r="EI189" s="4915" t="str">
        <f>IF(SUM(EI49,EI87,EI123,EI157)&lt;&gt;IS!EI37,"Err","Ok")</f>
        <v>Ok</v>
      </c>
      <c r="EJ189" s="4915" t="str">
        <f>IF(SUM(EJ49,EJ87,EJ123,EJ157)&lt;&gt;IS!EJ37,"Err","Ok")</f>
        <v>Ok</v>
      </c>
      <c r="EK189" s="4914" t="str">
        <f>IF(SUM(EK49,EK87,EK123,EK157)&lt;&gt;IS!EK37,"Err","Ok")</f>
        <v>Ok</v>
      </c>
      <c r="EL189" s="4915" t="str">
        <f>IF(SUM(EL49,EL87,EL123,EL157)&lt;&gt;IS!EL37,"Err","Ok")</f>
        <v>Ok</v>
      </c>
      <c r="EM189" s="4915" t="str">
        <f>IF(SUM(EM49,EM87,EM123,EM157)&lt;&gt;IS!EM37,"Err","Ok")</f>
        <v>Ok</v>
      </c>
      <c r="EN189" s="4915" t="str">
        <f>IF(SUM(EN49,EN87,EN123,EN157)&lt;&gt;IS!EN37,"Err","Ok")</f>
        <v>Ok</v>
      </c>
      <c r="EO189" s="4915" t="str">
        <f ca="1">IF(SUM(EO49,EO87,EO123,EO157)&lt;&gt;IS!EO37,"Err","Ok")</f>
        <v>Ok</v>
      </c>
      <c r="EP189" s="4914" t="str">
        <f ca="1">IF(SUM(EP49,EP87,EP123,EP157)&lt;&gt;IS!EP37,"Err","Ok")</f>
        <v>Ok</v>
      </c>
      <c r="EQ189" s="4915" t="str">
        <f ca="1">IF(SUM(EQ49,EQ87,EQ123,EQ157)&lt;&gt;IS!EQ37,"Err","Ok")</f>
        <v>Ok</v>
      </c>
      <c r="ER189" s="4915" t="str">
        <f ca="1">IF(SUM(ER49,ER87,ER123,ER157)&lt;&gt;IS!ER37,"Err","Ok")</f>
        <v>Ok</v>
      </c>
      <c r="ES189" s="4915" t="str">
        <f ca="1">IF(SUM(ES49,ES87,ES123,ES157)&lt;&gt;IS!ES37,"Err","Ok")</f>
        <v>Ok</v>
      </c>
      <c r="ET189" s="4915" t="str">
        <f ca="1">IF(SUM(ET49,ET87,ET123,ET157)&lt;&gt;IS!ET37,"Err","Ok")</f>
        <v>Ok</v>
      </c>
      <c r="EU189" s="4914" t="str">
        <f ca="1">IF(SUM(EU49,EU87,EU123,EU157)&lt;&gt;IS!EU37,"Err","Ok")</f>
        <v>Ok</v>
      </c>
      <c r="EV189" s="4914" t="str">
        <f ca="1">IF(SUM(EV49,EV87,EV123,EV157)&lt;&gt;IS!EV37,"Err","Ok")</f>
        <v>Ok</v>
      </c>
      <c r="EW189" s="4914" t="str">
        <f ca="1">IF(SUM(EW49,EW87,EW123,EW157)&lt;&gt;IS!EW37,"Err","Ok")</f>
        <v>Ok</v>
      </c>
      <c r="EX189" s="4914" t="str">
        <f ca="1">IF(SUM(EX49,EX87,EX123,EX157)&lt;&gt;IS!EX37,"Err","Ok")</f>
        <v>Ok</v>
      </c>
      <c r="EY189" s="4914" t="str">
        <f ca="1">IF(SUM(EY49,EY87,EY123,EY157)&lt;&gt;IS!EY37,"Err","Ok")</f>
        <v>Ok</v>
      </c>
      <c r="EZ189" s="170"/>
      <c r="FA189" s="1319"/>
      <c r="FB189" s="1319"/>
      <c r="FC189" s="511"/>
    </row>
    <row r="190" spans="1:159" s="4" customFormat="1" ht="11.25" customHeight="1" collapsed="1">
      <c r="A190" s="4901"/>
      <c r="B190" s="4902"/>
      <c r="C190" s="4902"/>
      <c r="D190" s="4902"/>
      <c r="E190" s="4902"/>
      <c r="F190" s="4902"/>
      <c r="G190" s="4902"/>
      <c r="H190" s="4902"/>
      <c r="I190" s="4902"/>
      <c r="J190" s="4902"/>
      <c r="K190" s="4902"/>
      <c r="L190" s="4902"/>
      <c r="M190" s="4902"/>
      <c r="N190" s="4902"/>
      <c r="O190" s="4902"/>
      <c r="P190" s="4903"/>
      <c r="Q190" s="4903"/>
      <c r="R190" s="4902"/>
      <c r="S190" s="4902"/>
      <c r="T190" s="4902"/>
      <c r="U190" s="4902"/>
      <c r="V190" s="4902"/>
      <c r="W190" s="4902"/>
      <c r="X190" s="4902"/>
      <c r="Y190" s="4902"/>
      <c r="Z190" s="4902"/>
      <c r="AA190" s="4902"/>
      <c r="AB190" s="4902"/>
      <c r="AC190" s="4902"/>
      <c r="AD190" s="4902"/>
      <c r="AE190" s="4902"/>
      <c r="AF190" s="4902"/>
      <c r="AG190" s="4902"/>
      <c r="AH190" s="4902"/>
      <c r="AI190" s="4902"/>
      <c r="AJ190" s="4902"/>
      <c r="AK190" s="4902"/>
      <c r="AL190" s="4902"/>
      <c r="AM190" s="4902"/>
      <c r="AN190" s="4902"/>
      <c r="AO190" s="4902"/>
      <c r="AP190" s="4902"/>
      <c r="AQ190" s="4902"/>
      <c r="AR190" s="4902"/>
      <c r="AS190" s="4902"/>
      <c r="AT190" s="4902"/>
      <c r="AU190" s="4902"/>
      <c r="AV190" s="4902"/>
      <c r="AW190" s="4902"/>
      <c r="AX190" s="4902"/>
      <c r="AY190" s="4902"/>
      <c r="AZ190" s="4902"/>
      <c r="BA190" s="4902"/>
      <c r="BB190" s="4902"/>
      <c r="BC190" s="4902"/>
      <c r="BD190" s="4902"/>
      <c r="BE190" s="4902"/>
      <c r="BF190" s="4902"/>
      <c r="BG190" s="4902"/>
      <c r="BH190" s="4902"/>
      <c r="BI190" s="4902"/>
      <c r="BJ190" s="4902"/>
      <c r="BK190" s="4902"/>
      <c r="BL190" s="4902"/>
      <c r="BM190" s="4902"/>
      <c r="BN190" s="4902"/>
      <c r="BO190" s="4902"/>
      <c r="BP190" s="4902"/>
      <c r="BQ190" s="4902"/>
      <c r="BR190" s="4902"/>
      <c r="BS190" s="4902"/>
      <c r="BT190" s="4902"/>
      <c r="BU190" s="4902"/>
      <c r="BV190" s="4902"/>
      <c r="BW190" s="4902"/>
      <c r="BX190" s="4902"/>
      <c r="BY190" s="4902"/>
      <c r="BZ190" s="4902"/>
      <c r="CA190" s="4902"/>
      <c r="CB190" s="4902"/>
      <c r="CC190" s="4902"/>
      <c r="CD190" s="4902"/>
      <c r="CE190" s="4902"/>
      <c r="CF190" s="4902"/>
      <c r="CG190" s="4902"/>
      <c r="CH190" s="4902"/>
      <c r="CI190" s="4902"/>
      <c r="CJ190" s="4902"/>
      <c r="CK190" s="4902"/>
      <c r="CL190" s="4902"/>
      <c r="CM190" s="4902"/>
      <c r="CN190" s="4902"/>
      <c r="CO190" s="4902"/>
      <c r="CP190" s="4902"/>
      <c r="CQ190" s="4902"/>
      <c r="CR190" s="4902"/>
      <c r="CS190" s="4902"/>
      <c r="CT190" s="4902"/>
      <c r="CU190" s="4902"/>
      <c r="CV190" s="4902"/>
      <c r="CW190" s="4902"/>
      <c r="CX190" s="4902"/>
      <c r="CY190" s="4902"/>
      <c r="CZ190" s="4902"/>
      <c r="DA190" s="4902"/>
      <c r="DB190" s="4902"/>
      <c r="DC190" s="4902"/>
      <c r="DD190" s="4902"/>
      <c r="DE190" s="4902"/>
      <c r="DF190" s="4902"/>
      <c r="DG190" s="4904"/>
      <c r="DH190" s="4904"/>
      <c r="DI190" s="4904"/>
      <c r="DJ190" s="4904"/>
      <c r="DK190" s="4904"/>
      <c r="DL190" s="4904"/>
      <c r="DM190" s="4904"/>
      <c r="DN190" s="4904"/>
      <c r="DO190" s="4904"/>
      <c r="DP190" s="4904"/>
      <c r="DQ190" s="4904"/>
      <c r="DR190" s="4904"/>
      <c r="DS190" s="4904"/>
      <c r="DT190" s="4904"/>
      <c r="DU190" s="4904"/>
      <c r="DV190" s="4904"/>
      <c r="DW190" s="4904"/>
      <c r="DX190" s="4904"/>
      <c r="DY190" s="4904"/>
      <c r="DZ190" s="4904"/>
      <c r="EA190" s="4904"/>
      <c r="EB190" s="4904"/>
      <c r="EC190" s="4904"/>
      <c r="ED190" s="4904"/>
      <c r="EE190" s="4904"/>
      <c r="EF190" s="4904"/>
      <c r="EG190" s="4904"/>
      <c r="EH190" s="4904"/>
      <c r="EI190" s="4904"/>
      <c r="EJ190" s="4904"/>
      <c r="EK190" s="4904"/>
      <c r="EL190" s="4904"/>
      <c r="EM190" s="4904"/>
      <c r="EN190" s="4904"/>
      <c r="EO190" s="4904"/>
      <c r="EP190" s="4904"/>
      <c r="EQ190" s="4904"/>
      <c r="ER190" s="4904"/>
      <c r="ES190" s="4904"/>
      <c r="ET190" s="4904"/>
      <c r="EU190" s="4904"/>
      <c r="EV190" s="4904"/>
      <c r="EW190" s="4904"/>
      <c r="EX190" s="4904"/>
      <c r="EY190" s="4904"/>
      <c r="EZ190" s="170"/>
      <c r="FA190" s="1319"/>
      <c r="FB190" s="1319"/>
      <c r="FC190" s="511"/>
    </row>
    <row r="191" spans="1:159" s="535" customFormat="1" hidden="1">
      <c r="A191" s="4898" t="s">
        <v>976</v>
      </c>
      <c r="B191" s="4899"/>
      <c r="C191" s="4899"/>
      <c r="D191" s="4899"/>
      <c r="E191" s="4899"/>
      <c r="F191" s="4900"/>
      <c r="G191" s="4899"/>
      <c r="H191" s="4899"/>
      <c r="I191" s="4899"/>
      <c r="J191" s="4899"/>
      <c r="K191" s="4899"/>
      <c r="L191" s="4899"/>
      <c r="M191" s="4899"/>
      <c r="N191" s="4899"/>
      <c r="O191" s="4899"/>
      <c r="P191" s="4900"/>
      <c r="Q191" s="4899"/>
      <c r="R191" s="4899"/>
      <c r="S191" s="4899"/>
      <c r="T191" s="4899"/>
      <c r="U191" s="4900"/>
      <c r="V191" s="4899"/>
      <c r="W191" s="4899"/>
      <c r="X191" s="4899"/>
      <c r="Y191" s="4899"/>
      <c r="Z191" s="4900"/>
      <c r="AA191" s="4899"/>
      <c r="AB191" s="4899"/>
      <c r="AC191" s="4899"/>
      <c r="AD191" s="4899"/>
      <c r="AE191" s="4900"/>
      <c r="AF191" s="4899"/>
      <c r="AG191" s="4899"/>
      <c r="AH191" s="4899"/>
      <c r="AI191" s="4899"/>
      <c r="AJ191" s="4900"/>
      <c r="AK191" s="4899"/>
      <c r="AL191" s="4899"/>
      <c r="AM191" s="4899"/>
      <c r="AN191" s="4899"/>
      <c r="AO191" s="4900"/>
      <c r="AP191" s="4899"/>
      <c r="AQ191" s="4899"/>
      <c r="AR191" s="4899"/>
      <c r="AS191" s="4899"/>
      <c r="AT191" s="4900"/>
      <c r="AU191" s="4899"/>
      <c r="AV191" s="4899"/>
      <c r="AW191" s="4899"/>
      <c r="AX191" s="4899"/>
      <c r="AY191" s="4899"/>
      <c r="AZ191" s="4899"/>
      <c r="BA191" s="4899"/>
      <c r="BB191" s="4899"/>
      <c r="BC191" s="4899"/>
      <c r="BD191" s="4899"/>
      <c r="BE191" s="4899"/>
      <c r="BF191" s="4899"/>
      <c r="BG191" s="4899"/>
      <c r="BH191" s="4899"/>
      <c r="BI191" s="4899"/>
      <c r="BJ191" s="4899"/>
      <c r="BK191" s="4899"/>
      <c r="BL191" s="4899"/>
      <c r="BM191" s="4899"/>
      <c r="BN191" s="4899"/>
      <c r="BO191" s="4899"/>
      <c r="BP191" s="4899"/>
      <c r="BQ191" s="4899"/>
      <c r="BR191" s="4899"/>
      <c r="BS191" s="4899"/>
      <c r="BT191" s="4899"/>
      <c r="BU191" s="4899"/>
      <c r="BV191" s="4899"/>
      <c r="BW191" s="4899"/>
      <c r="BX191" s="4899"/>
      <c r="BY191" s="4899"/>
      <c r="BZ191" s="4899"/>
      <c r="CA191" s="4899"/>
      <c r="CB191" s="4899"/>
      <c r="CC191" s="4899"/>
      <c r="CD191" s="4899"/>
      <c r="CE191" s="4899"/>
      <c r="CF191" s="4899"/>
      <c r="CG191" s="4899"/>
      <c r="CH191" s="4899"/>
      <c r="CI191" s="2535"/>
      <c r="CJ191" s="2535"/>
      <c r="CK191" s="2535"/>
      <c r="CL191" s="2535"/>
      <c r="CM191" s="2535"/>
      <c r="CN191" s="2535"/>
      <c r="CO191" s="2535"/>
      <c r="CP191" s="2535"/>
      <c r="CQ191" s="2535"/>
      <c r="CR191" s="2535"/>
      <c r="CS191" s="2535"/>
      <c r="CT191" s="2535"/>
      <c r="CU191" s="2535"/>
      <c r="CV191" s="2535"/>
      <c r="CW191" s="3521" t="s">
        <v>727</v>
      </c>
      <c r="CX191" s="4899"/>
      <c r="CY191" s="4899"/>
      <c r="CZ191" s="4899"/>
      <c r="DA191" s="4899"/>
      <c r="DB191" s="4899"/>
      <c r="DC191" s="4899"/>
      <c r="DD191" s="4899"/>
      <c r="DE191" s="4899"/>
      <c r="DF191" s="4899"/>
      <c r="DG191" s="4899" t="str">
        <f>DG$6</f>
        <v>2018A</v>
      </c>
      <c r="DH191" s="4899" t="str">
        <f t="shared" ref="DH191:DQ191" si="503">DH$6</f>
        <v>3/19A</v>
      </c>
      <c r="DI191" s="4899" t="str">
        <f t="shared" si="503"/>
        <v>6/19A</v>
      </c>
      <c r="DJ191" s="4899" t="str">
        <f t="shared" si="503"/>
        <v>9/19A</v>
      </c>
      <c r="DK191" s="4899" t="str">
        <f t="shared" si="503"/>
        <v>12/19A</v>
      </c>
      <c r="DL191" s="4899" t="str">
        <f t="shared" si="503"/>
        <v>2019A</v>
      </c>
      <c r="DM191" s="4899" t="str">
        <f t="shared" si="503"/>
        <v>3/20A</v>
      </c>
      <c r="DN191" s="4899" t="str">
        <f t="shared" si="503"/>
        <v>6/20A</v>
      </c>
      <c r="DO191" s="4899" t="str">
        <f t="shared" si="503"/>
        <v>9/20A</v>
      </c>
      <c r="DP191" s="4899" t="str">
        <f t="shared" si="503"/>
        <v>12/20A</v>
      </c>
      <c r="DQ191" s="4899" t="str">
        <f t="shared" si="503"/>
        <v>2020A</v>
      </c>
      <c r="DR191" s="4899"/>
      <c r="DS191" s="4899"/>
      <c r="DT191" s="4899"/>
      <c r="DU191" s="4899"/>
      <c r="DV191" s="4899"/>
      <c r="DW191" s="4899"/>
      <c r="DX191" s="4899"/>
      <c r="DY191" s="4899"/>
      <c r="DZ191" s="4899"/>
      <c r="EA191" s="4899"/>
      <c r="EB191" s="4899"/>
      <c r="EC191" s="4899"/>
      <c r="ED191" s="4899"/>
      <c r="EE191" s="4899"/>
      <c r="EF191" s="4899"/>
      <c r="EG191" s="4899"/>
      <c r="EH191" s="4899"/>
      <c r="EI191" s="4899"/>
      <c r="EJ191" s="4899"/>
      <c r="EK191" s="4899"/>
      <c r="EL191" s="4899"/>
      <c r="EM191" s="4899"/>
      <c r="EN191" s="4899"/>
      <c r="EO191" s="4899"/>
      <c r="EP191" s="4899"/>
      <c r="EQ191" s="4899"/>
      <c r="ER191" s="4899"/>
      <c r="ES191" s="4899"/>
      <c r="ET191" s="4899"/>
      <c r="EU191" s="4899"/>
      <c r="EV191" s="4899"/>
      <c r="EW191" s="4899"/>
      <c r="EX191" s="4899"/>
      <c r="EY191" s="4899"/>
      <c r="EZ191" s="2586"/>
      <c r="FA191" s="4885"/>
      <c r="FB191" s="4885"/>
    </row>
    <row r="192" spans="1:159" s="535" customFormat="1" hidden="1">
      <c r="A192" s="3551" t="s">
        <v>841</v>
      </c>
      <c r="B192" s="2698"/>
      <c r="C192" s="2698"/>
      <c r="D192" s="2698"/>
      <c r="E192" s="2698"/>
      <c r="F192" s="2698"/>
      <c r="G192" s="2698"/>
      <c r="H192" s="2698"/>
      <c r="I192" s="2698"/>
      <c r="J192" s="2698"/>
      <c r="K192" s="2698"/>
      <c r="L192" s="2698"/>
      <c r="M192" s="2698"/>
      <c r="N192" s="2698"/>
      <c r="O192" s="2698"/>
      <c r="P192" s="2698"/>
      <c r="Q192" s="2698"/>
      <c r="R192" s="2698"/>
      <c r="S192" s="2698"/>
      <c r="T192" s="2698"/>
      <c r="U192" s="2698"/>
      <c r="V192" s="2698"/>
      <c r="W192" s="2698"/>
      <c r="X192" s="2698"/>
      <c r="Y192" s="2698"/>
      <c r="Z192" s="2698"/>
      <c r="AA192" s="2698"/>
      <c r="AB192" s="2698"/>
      <c r="AC192" s="2698"/>
      <c r="AD192" s="2698"/>
      <c r="AE192" s="2698"/>
      <c r="AF192" s="2698"/>
      <c r="AG192" s="2698"/>
      <c r="AH192" s="2698"/>
      <c r="AI192" s="2698"/>
      <c r="AJ192" s="2698"/>
      <c r="AK192" s="2698"/>
      <c r="AL192" s="2698"/>
      <c r="AM192" s="2698"/>
      <c r="AN192" s="2698"/>
      <c r="AO192" s="2698"/>
      <c r="AP192" s="2698"/>
      <c r="AQ192" s="2698"/>
      <c r="AR192" s="2698"/>
      <c r="AS192" s="2698"/>
      <c r="AT192" s="2698"/>
      <c r="AU192" s="2698"/>
      <c r="AV192" s="2698"/>
      <c r="AW192" s="2698"/>
      <c r="AX192" s="2698"/>
      <c r="AY192" s="2698"/>
      <c r="AZ192" s="2698"/>
      <c r="BA192" s="2698"/>
      <c r="BB192" s="2698"/>
      <c r="BC192" s="2698"/>
      <c r="BD192" s="2698"/>
      <c r="BE192" s="2698"/>
      <c r="BF192" s="2698"/>
      <c r="BG192" s="2698"/>
      <c r="BH192" s="2698"/>
      <c r="BI192" s="2698"/>
      <c r="BJ192" s="2698"/>
      <c r="BK192" s="2698"/>
      <c r="BL192" s="2698"/>
      <c r="BM192" s="2698"/>
      <c r="BN192" s="2698"/>
      <c r="BO192" s="2698"/>
      <c r="BP192" s="2698"/>
      <c r="BQ192" s="2698"/>
      <c r="BR192" s="2698"/>
      <c r="BS192" s="2698"/>
      <c r="BT192" s="2698"/>
      <c r="BU192" s="2698"/>
      <c r="BV192" s="2698"/>
      <c r="BW192" s="2698"/>
      <c r="BX192" s="2698"/>
      <c r="BY192" s="2698"/>
      <c r="BZ192" s="2698"/>
      <c r="CA192" s="2698"/>
      <c r="CB192" s="2698"/>
      <c r="CC192" s="2698"/>
      <c r="CD192" s="2698"/>
      <c r="CE192" s="2698"/>
      <c r="CF192" s="2698"/>
      <c r="CG192" s="2698"/>
      <c r="CH192" s="2699"/>
      <c r="CI192" s="2700"/>
      <c r="CJ192" s="2700"/>
      <c r="CK192" s="2700"/>
      <c r="CL192" s="2700"/>
      <c r="CM192" s="2699"/>
      <c r="CN192" s="2700"/>
      <c r="CO192" s="2700"/>
      <c r="CP192" s="2700"/>
      <c r="CQ192" s="2700"/>
      <c r="CR192" s="2699"/>
      <c r="CS192" s="2700"/>
      <c r="CT192" s="2700"/>
      <c r="CU192" s="2700"/>
      <c r="CV192" s="2700"/>
      <c r="CW192" s="2699" t="s">
        <v>31</v>
      </c>
      <c r="CX192" s="2700"/>
      <c r="CY192" s="2700"/>
      <c r="CZ192" s="2700"/>
      <c r="DA192" s="2700"/>
      <c r="DB192" s="2699"/>
      <c r="DC192" s="2700"/>
      <c r="DD192" s="2700"/>
      <c r="DE192" s="2700"/>
      <c r="DF192" s="2700"/>
      <c r="DG192" s="2699"/>
      <c r="DH192" s="2700"/>
      <c r="DI192" s="2700"/>
      <c r="DJ192" s="2700"/>
      <c r="DK192" s="2700"/>
      <c r="DL192" s="2699"/>
      <c r="DM192" s="2700"/>
      <c r="DN192" s="2700"/>
      <c r="DO192" s="2700"/>
      <c r="DP192" s="2700"/>
      <c r="DQ192" s="2699"/>
      <c r="DR192" s="2700"/>
      <c r="DS192" s="2700"/>
      <c r="DT192" s="2700"/>
      <c r="DU192" s="2700"/>
      <c r="DV192" s="2699"/>
      <c r="DW192" s="2700"/>
      <c r="DX192" s="2700"/>
      <c r="DY192" s="2700"/>
      <c r="DZ192" s="2700"/>
      <c r="EA192" s="2699"/>
      <c r="EB192" s="2700"/>
      <c r="EC192" s="2700"/>
      <c r="ED192" s="2700"/>
      <c r="EE192" s="2700"/>
      <c r="EF192" s="2699"/>
      <c r="EG192" s="2700"/>
      <c r="EH192" s="2700"/>
      <c r="EI192" s="2700"/>
      <c r="EJ192" s="2700"/>
      <c r="EK192" s="2699"/>
      <c r="EL192" s="2700"/>
      <c r="EM192" s="2700"/>
      <c r="EN192" s="2700"/>
      <c r="EO192" s="2700"/>
      <c r="EP192" s="2699"/>
      <c r="EQ192" s="2700"/>
      <c r="ER192" s="2700"/>
      <c r="ES192" s="2700"/>
      <c r="ET192" s="2700"/>
      <c r="EU192" s="2699"/>
      <c r="EV192" s="2699"/>
      <c r="EW192" s="2699"/>
      <c r="EX192" s="2699"/>
      <c r="EY192" s="2699"/>
      <c r="EZ192" s="2586"/>
      <c r="FA192" s="1319"/>
      <c r="FB192" s="1319"/>
    </row>
    <row r="193" spans="1:158" s="763" customFormat="1" hidden="1">
      <c r="A193" s="4474" t="s">
        <v>530</v>
      </c>
      <c r="B193" s="3258"/>
      <c r="C193" s="3258"/>
      <c r="D193" s="3258"/>
      <c r="E193" s="3258"/>
      <c r="F193" s="3258"/>
      <c r="G193" s="3258"/>
      <c r="H193" s="3258"/>
      <c r="I193" s="3258"/>
      <c r="J193" s="3258"/>
      <c r="K193" s="3258"/>
      <c r="L193" s="3258"/>
      <c r="M193" s="3258"/>
      <c r="N193" s="3258"/>
      <c r="O193" s="3258"/>
      <c r="P193" s="3258"/>
      <c r="Q193" s="3258"/>
      <c r="R193" s="3258"/>
      <c r="S193" s="3258"/>
      <c r="T193" s="3258"/>
      <c r="U193" s="3258"/>
      <c r="V193" s="3258"/>
      <c r="W193" s="3258"/>
      <c r="X193" s="3258"/>
      <c r="Y193" s="3258"/>
      <c r="Z193" s="3258"/>
      <c r="AA193" s="3258"/>
      <c r="AB193" s="3258"/>
      <c r="AC193" s="3258"/>
      <c r="AD193" s="3258"/>
      <c r="AE193" s="3258"/>
      <c r="AF193" s="3258"/>
      <c r="AG193" s="3258"/>
      <c r="AH193" s="3258"/>
      <c r="AI193" s="3258"/>
      <c r="AJ193" s="3258"/>
      <c r="AK193" s="3258"/>
      <c r="AL193" s="3258"/>
      <c r="AM193" s="3258"/>
      <c r="AN193" s="3258"/>
      <c r="AO193" s="3258"/>
      <c r="AP193" s="3258"/>
      <c r="AQ193" s="3258"/>
      <c r="AR193" s="3258"/>
      <c r="AS193" s="3258"/>
      <c r="AT193" s="3258"/>
      <c r="AU193" s="3258"/>
      <c r="AV193" s="3258"/>
      <c r="AW193" s="3258"/>
      <c r="AX193" s="3258"/>
      <c r="AY193" s="3258"/>
      <c r="AZ193" s="3258"/>
      <c r="BA193" s="3258"/>
      <c r="BB193" s="3258"/>
      <c r="BC193" s="3258"/>
      <c r="BD193" s="3258"/>
      <c r="BE193" s="3258"/>
      <c r="BF193" s="3258"/>
      <c r="BG193" s="3258"/>
      <c r="BH193" s="3258"/>
      <c r="BI193" s="3258"/>
      <c r="BJ193" s="3258"/>
      <c r="BK193" s="3258"/>
      <c r="BL193" s="3258"/>
      <c r="BM193" s="3258"/>
      <c r="BN193" s="3258"/>
      <c r="BO193" s="3258"/>
      <c r="BP193" s="3258"/>
      <c r="BQ193" s="3258"/>
      <c r="BR193" s="3258"/>
      <c r="BS193" s="3258"/>
      <c r="BT193" s="3258"/>
      <c r="BU193" s="3258"/>
      <c r="BV193" s="3258"/>
      <c r="BW193" s="3258"/>
      <c r="BX193" s="3258"/>
      <c r="BY193" s="3258"/>
      <c r="BZ193" s="3258"/>
      <c r="CA193" s="3258"/>
      <c r="CB193" s="3258"/>
      <c r="CC193" s="3258"/>
      <c r="CD193" s="3258"/>
      <c r="CE193" s="3258"/>
      <c r="CF193" s="3258"/>
      <c r="CG193" s="3258"/>
      <c r="CH193" s="4877">
        <v>55507</v>
      </c>
      <c r="CI193" s="3149" t="s">
        <v>373</v>
      </c>
      <c r="CJ193" s="3149" t="s">
        <v>373</v>
      </c>
      <c r="CK193" s="3149" t="s">
        <v>373</v>
      </c>
      <c r="CL193" s="3271">
        <v>17997</v>
      </c>
      <c r="CM193" s="4877">
        <v>65674</v>
      </c>
      <c r="CN193" s="3271">
        <v>17178</v>
      </c>
      <c r="CO193" s="3271">
        <v>17653</v>
      </c>
      <c r="CP193" s="3271">
        <v>18534</v>
      </c>
      <c r="CQ193" s="3271">
        <v>21179</v>
      </c>
      <c r="CR193" s="4878">
        <f>SUM(CN193:CQ193)</f>
        <v>74544</v>
      </c>
      <c r="CS193" s="3271">
        <f>'Revenue Drivers'!CS498</f>
        <v>20092</v>
      </c>
      <c r="CT193" s="3271">
        <f>'Revenue Drivers'!CT498</f>
        <v>21315</v>
      </c>
      <c r="CU193" s="3271">
        <f>'Revenue Drivers'!CU498</f>
        <v>22254</v>
      </c>
      <c r="CV193" s="3271">
        <f>'Revenue Drivers'!CV498</f>
        <v>25802</v>
      </c>
      <c r="CW193" s="4878">
        <f>SUM(CS193:CV193)</f>
        <v>89463</v>
      </c>
      <c r="CX193" s="3271">
        <f>'Revenue Drivers'!CX498</f>
        <v>24618</v>
      </c>
      <c r="CY193" s="3271">
        <f>'Revenue Drivers'!CY498</f>
        <v>25913</v>
      </c>
      <c r="CZ193" s="3271">
        <f>'Revenue Drivers'!CZ498</f>
        <v>27655</v>
      </c>
      <c r="DA193" s="3271">
        <f>'Revenue Drivers'!DA498</f>
        <v>32192</v>
      </c>
      <c r="DB193" s="4878">
        <f>'Revenue Drivers'!DB498</f>
        <v>110547</v>
      </c>
      <c r="DC193" s="3271">
        <f>'Revenue Drivers'!DC498</f>
        <v>30996</v>
      </c>
      <c r="DD193" s="3271">
        <f>'Revenue Drivers'!DD498</f>
        <v>32512</v>
      </c>
      <c r="DE193" s="3271">
        <f>'Revenue Drivers'!DE498</f>
        <v>33594</v>
      </c>
      <c r="DF193" s="3271">
        <f>'Revenue Drivers'!DF498</f>
        <v>38998</v>
      </c>
      <c r="DG193" s="4878">
        <f>'Revenue Drivers'!DG498</f>
        <v>136362</v>
      </c>
      <c r="DH193" s="3271">
        <f>'Revenue Drivers'!DH498</f>
        <v>36032</v>
      </c>
      <c r="DI193" s="3271">
        <f>'Revenue Drivers'!DI498</f>
        <v>38674</v>
      </c>
      <c r="DJ193" s="3271">
        <f>'Revenue Drivers'!DJ498</f>
        <v>40225</v>
      </c>
      <c r="DK193" s="3271">
        <f>'Revenue Drivers'!DK498</f>
        <v>45812</v>
      </c>
      <c r="DL193" s="4878">
        <f>SUM(DH193:DK193)</f>
        <v>160743</v>
      </c>
      <c r="DM193" s="3271">
        <f>'Revenue Drivers'!DM498</f>
        <v>40975</v>
      </c>
      <c r="DN193" s="3271">
        <f>'Revenue Drivers'!DN498</f>
        <v>37998</v>
      </c>
      <c r="DO193" s="3271">
        <f>'Revenue Drivers'!DO498</f>
        <v>46017</v>
      </c>
      <c r="DP193" s="3273">
        <f>'Revenue Drivers'!DP498</f>
        <v>56704</v>
      </c>
      <c r="DQ193" s="4878">
        <f>SUM(DM193:DP193)</f>
        <v>181694</v>
      </c>
      <c r="DR193" s="3273"/>
      <c r="DS193" s="3273"/>
      <c r="DT193" s="3273"/>
      <c r="DU193" s="3273"/>
      <c r="DV193" s="4878"/>
      <c r="DW193" s="3273"/>
      <c r="DX193" s="3273"/>
      <c r="DY193" s="3273"/>
      <c r="DZ193" s="3273"/>
      <c r="EA193" s="4878"/>
      <c r="EB193" s="3273"/>
      <c r="EC193" s="3273"/>
      <c r="ED193" s="3273"/>
      <c r="EE193" s="3273"/>
      <c r="EF193" s="4878"/>
      <c r="EG193" s="3273"/>
      <c r="EH193" s="3273"/>
      <c r="EI193" s="3273"/>
      <c r="EJ193" s="3273"/>
      <c r="EK193" s="4878"/>
      <c r="EL193" s="3273"/>
      <c r="EM193" s="3273"/>
      <c r="EN193" s="3273"/>
      <c r="EO193" s="3273"/>
      <c r="EP193" s="4878"/>
      <c r="EQ193" s="3273"/>
      <c r="ER193" s="3273"/>
      <c r="ES193" s="3273"/>
      <c r="ET193" s="3273"/>
      <c r="EU193" s="4878"/>
      <c r="EV193" s="4878"/>
      <c r="EW193" s="4878"/>
      <c r="EX193" s="4878"/>
      <c r="EY193" s="4878"/>
      <c r="EZ193" s="791"/>
      <c r="FA193" s="4879"/>
      <c r="FB193" s="4879"/>
    </row>
    <row r="194" spans="1:158" s="791" customFormat="1" hidden="1">
      <c r="A194" s="3562" t="s">
        <v>380</v>
      </c>
      <c r="B194" s="2704"/>
      <c r="C194" s="2704"/>
      <c r="D194" s="2704"/>
      <c r="E194" s="2704"/>
      <c r="F194" s="2704"/>
      <c r="G194" s="2704"/>
      <c r="H194" s="2704"/>
      <c r="I194" s="2704"/>
      <c r="J194" s="2704"/>
      <c r="K194" s="2704"/>
      <c r="L194" s="2704"/>
      <c r="M194" s="2704"/>
      <c r="N194" s="2704"/>
      <c r="O194" s="2704"/>
      <c r="P194" s="2704"/>
      <c r="Q194" s="2704"/>
      <c r="R194" s="2704"/>
      <c r="S194" s="2704"/>
      <c r="T194" s="2704"/>
      <c r="U194" s="2704"/>
      <c r="V194" s="2704"/>
      <c r="W194" s="2704"/>
      <c r="X194" s="2704"/>
      <c r="Y194" s="2704"/>
      <c r="Z194" s="2704"/>
      <c r="AA194" s="2704"/>
      <c r="AB194" s="2704"/>
      <c r="AC194" s="2704"/>
      <c r="AD194" s="2704"/>
      <c r="AE194" s="2704"/>
      <c r="AF194" s="2704"/>
      <c r="AG194" s="2704"/>
      <c r="AH194" s="2704"/>
      <c r="AI194" s="2704"/>
      <c r="AJ194" s="2704"/>
      <c r="AK194" s="2704"/>
      <c r="AL194" s="2704"/>
      <c r="AM194" s="2704"/>
      <c r="AN194" s="2704"/>
      <c r="AO194" s="2704"/>
      <c r="AP194" s="2704"/>
      <c r="AQ194" s="2704"/>
      <c r="AR194" s="2704"/>
      <c r="AS194" s="2704"/>
      <c r="AT194" s="2704"/>
      <c r="AU194" s="2704"/>
      <c r="AV194" s="2704"/>
      <c r="AW194" s="2704"/>
      <c r="AX194" s="2704"/>
      <c r="AY194" s="2704"/>
      <c r="AZ194" s="2704"/>
      <c r="BA194" s="2704"/>
      <c r="BB194" s="2704"/>
      <c r="BC194" s="2704"/>
      <c r="BD194" s="2704"/>
      <c r="BE194" s="2704"/>
      <c r="BF194" s="2704"/>
      <c r="BG194" s="2704"/>
      <c r="BH194" s="2704"/>
      <c r="BI194" s="2704"/>
      <c r="BJ194" s="2704"/>
      <c r="BK194" s="2704"/>
      <c r="BL194" s="2704"/>
      <c r="BM194" s="2704"/>
      <c r="BN194" s="2704"/>
      <c r="BO194" s="2704"/>
      <c r="BP194" s="2704"/>
      <c r="BQ194" s="2704"/>
      <c r="BR194" s="2704"/>
      <c r="BS194" s="2704"/>
      <c r="BT194" s="2704"/>
      <c r="BU194" s="2704"/>
      <c r="BV194" s="2704"/>
      <c r="BW194" s="2704"/>
      <c r="BX194" s="2704"/>
      <c r="BY194" s="2704"/>
      <c r="BZ194" s="2704"/>
      <c r="CA194" s="2704"/>
      <c r="CB194" s="2704"/>
      <c r="CC194" s="2704"/>
      <c r="CD194" s="2704"/>
      <c r="CE194" s="2704"/>
      <c r="CF194" s="2704"/>
      <c r="CG194" s="2704"/>
      <c r="CH194" s="4139">
        <f>CH193-CH195</f>
        <v>12257</v>
      </c>
      <c r="CI194" s="2706" t="s">
        <v>373</v>
      </c>
      <c r="CJ194" s="2706" t="s">
        <v>373</v>
      </c>
      <c r="CK194" s="2706" t="s">
        <v>373</v>
      </c>
      <c r="CL194" s="2707">
        <f t="shared" ref="CL194:DQ194" si="504">CL193-CL195</f>
        <v>3620</v>
      </c>
      <c r="CM194" s="4139">
        <f t="shared" si="504"/>
        <v>13493</v>
      </c>
      <c r="CN194" s="2707">
        <f t="shared" si="504"/>
        <v>3345</v>
      </c>
      <c r="CO194" s="2707">
        <f t="shared" si="504"/>
        <v>3377</v>
      </c>
      <c r="CP194" s="2707">
        <f t="shared" si="504"/>
        <v>3566</v>
      </c>
      <c r="CQ194" s="2707">
        <f t="shared" si="504"/>
        <v>4055</v>
      </c>
      <c r="CR194" s="4139">
        <f t="shared" si="504"/>
        <v>14343</v>
      </c>
      <c r="CS194" s="2707">
        <f t="shared" si="504"/>
        <v>3788</v>
      </c>
      <c r="CT194" s="2707">
        <f t="shared" si="504"/>
        <v>3975</v>
      </c>
      <c r="CU194" s="2707">
        <f t="shared" si="504"/>
        <v>4182</v>
      </c>
      <c r="CV194" s="2707">
        <f t="shared" si="504"/>
        <v>4848</v>
      </c>
      <c r="CW194" s="4139">
        <f t="shared" si="504"/>
        <v>16793</v>
      </c>
      <c r="CX194" s="2707">
        <f t="shared" si="504"/>
        <v>4629</v>
      </c>
      <c r="CY194" s="2707">
        <f t="shared" si="504"/>
        <v>5091</v>
      </c>
      <c r="CZ194" s="2707">
        <f t="shared" si="504"/>
        <v>5502</v>
      </c>
      <c r="DA194" s="2707">
        <f t="shared" si="504"/>
        <v>6450</v>
      </c>
      <c r="DB194" s="4139">
        <f t="shared" si="504"/>
        <v>21672</v>
      </c>
      <c r="DC194" s="2707">
        <f t="shared" si="504"/>
        <v>6288</v>
      </c>
      <c r="DD194" s="2707">
        <f t="shared" si="504"/>
        <v>6420</v>
      </c>
      <c r="DE194" s="2707">
        <f t="shared" si="504"/>
        <v>6582</v>
      </c>
      <c r="DF194" s="2707">
        <f t="shared" si="504"/>
        <v>7436</v>
      </c>
      <c r="DG194" s="4139">
        <f t="shared" si="504"/>
        <v>26726</v>
      </c>
      <c r="DH194" s="2707">
        <f t="shared" si="504"/>
        <v>6860</v>
      </c>
      <c r="DI194" s="2707">
        <f t="shared" si="504"/>
        <v>7238</v>
      </c>
      <c r="DJ194" s="2707">
        <f t="shared" si="504"/>
        <v>7490</v>
      </c>
      <c r="DK194" s="2707">
        <f t="shared" si="504"/>
        <v>8501</v>
      </c>
      <c r="DL194" s="4139">
        <f t="shared" si="504"/>
        <v>30089</v>
      </c>
      <c r="DM194" s="2707">
        <f t="shared" si="504"/>
        <v>7452</v>
      </c>
      <c r="DN194" s="2707">
        <f t="shared" si="504"/>
        <v>6694</v>
      </c>
      <c r="DO194" s="2707">
        <f>DO193-DO195</f>
        <v>8166</v>
      </c>
      <c r="DP194" s="2707">
        <f t="shared" si="504"/>
        <v>10466</v>
      </c>
      <c r="DQ194" s="4139">
        <f t="shared" si="504"/>
        <v>32778</v>
      </c>
      <c r="DR194" s="2707"/>
      <c r="DS194" s="2707"/>
      <c r="DT194" s="2707"/>
      <c r="DU194" s="2707"/>
      <c r="DV194" s="4139"/>
      <c r="DW194" s="2707"/>
      <c r="DX194" s="2707"/>
      <c r="DY194" s="2707"/>
      <c r="DZ194" s="2707"/>
      <c r="EA194" s="4139"/>
      <c r="EB194" s="2707"/>
      <c r="EC194" s="2707"/>
      <c r="ED194" s="2707"/>
      <c r="EE194" s="2707"/>
      <c r="EF194" s="4139"/>
      <c r="EG194" s="2707"/>
      <c r="EH194" s="2707"/>
      <c r="EI194" s="2707"/>
      <c r="EJ194" s="2707"/>
      <c r="EK194" s="4139"/>
      <c r="EL194" s="2707"/>
      <c r="EM194" s="2707"/>
      <c r="EN194" s="2707"/>
      <c r="EO194" s="2707"/>
      <c r="EP194" s="4139"/>
      <c r="EQ194" s="2707"/>
      <c r="ER194" s="2707"/>
      <c r="ES194" s="2707"/>
      <c r="ET194" s="2707"/>
      <c r="EU194" s="4139"/>
      <c r="EV194" s="4139"/>
      <c r="EW194" s="4139"/>
      <c r="EX194" s="4139"/>
      <c r="EY194" s="4139"/>
      <c r="FA194" s="4276"/>
      <c r="FB194" s="4276"/>
    </row>
    <row r="195" spans="1:158" s="763" customFormat="1" hidden="1">
      <c r="A195" s="4880" t="s">
        <v>529</v>
      </c>
      <c r="B195" s="4881"/>
      <c r="C195" s="4881"/>
      <c r="D195" s="4881"/>
      <c r="E195" s="4881"/>
      <c r="F195" s="4881"/>
      <c r="G195" s="4881"/>
      <c r="H195" s="4881"/>
      <c r="I195" s="4881"/>
      <c r="J195" s="4881"/>
      <c r="K195" s="4881"/>
      <c r="L195" s="4881"/>
      <c r="M195" s="4881"/>
      <c r="N195" s="4881"/>
      <c r="O195" s="4881"/>
      <c r="P195" s="4881"/>
      <c r="Q195" s="4881"/>
      <c r="R195" s="4881"/>
      <c r="S195" s="4881"/>
      <c r="T195" s="4881"/>
      <c r="U195" s="4881"/>
      <c r="V195" s="4881"/>
      <c r="W195" s="4881"/>
      <c r="X195" s="4881"/>
      <c r="Y195" s="4881"/>
      <c r="Z195" s="4881"/>
      <c r="AA195" s="4881"/>
      <c r="AB195" s="4881"/>
      <c r="AC195" s="4881"/>
      <c r="AD195" s="4881"/>
      <c r="AE195" s="4881"/>
      <c r="AF195" s="4881"/>
      <c r="AG195" s="4881"/>
      <c r="AH195" s="4881"/>
      <c r="AI195" s="4881"/>
      <c r="AJ195" s="4881"/>
      <c r="AK195" s="4881"/>
      <c r="AL195" s="4881"/>
      <c r="AM195" s="4881"/>
      <c r="AN195" s="4881"/>
      <c r="AO195" s="4881"/>
      <c r="AP195" s="4881"/>
      <c r="AQ195" s="4881"/>
      <c r="AR195" s="4881"/>
      <c r="AS195" s="4881"/>
      <c r="AT195" s="4881"/>
      <c r="AU195" s="4881"/>
      <c r="AV195" s="4881"/>
      <c r="AW195" s="4881"/>
      <c r="AX195" s="4881"/>
      <c r="AY195" s="4881"/>
      <c r="AZ195" s="4881"/>
      <c r="BA195" s="4881"/>
      <c r="BB195" s="4881"/>
      <c r="BC195" s="4881"/>
      <c r="BD195" s="4881"/>
      <c r="BE195" s="4881"/>
      <c r="BF195" s="4881"/>
      <c r="BG195" s="4881"/>
      <c r="BH195" s="4881"/>
      <c r="BI195" s="4881"/>
      <c r="BJ195" s="4881"/>
      <c r="BK195" s="4881"/>
      <c r="BL195" s="4881"/>
      <c r="BM195" s="4881"/>
      <c r="BN195" s="4881"/>
      <c r="BO195" s="4881"/>
      <c r="BP195" s="4881"/>
      <c r="BQ195" s="4881"/>
      <c r="BR195" s="4881"/>
      <c r="BS195" s="4881"/>
      <c r="BT195" s="4881"/>
      <c r="BU195" s="4881"/>
      <c r="BV195" s="4881"/>
      <c r="BW195" s="4881"/>
      <c r="BX195" s="4881"/>
      <c r="BY195" s="4881"/>
      <c r="BZ195" s="4881"/>
      <c r="CA195" s="4881"/>
      <c r="CB195" s="4881"/>
      <c r="CC195" s="4881"/>
      <c r="CD195" s="4881"/>
      <c r="CE195" s="4881"/>
      <c r="CF195" s="4881"/>
      <c r="CG195" s="4881"/>
      <c r="CH195" s="4882">
        <f>CH193-'Revenue Drivers'!CH105</f>
        <v>43250</v>
      </c>
      <c r="CI195" s="4883" t="s">
        <v>373</v>
      </c>
      <c r="CJ195" s="4883" t="s">
        <v>373</v>
      </c>
      <c r="CK195" s="4883" t="s">
        <v>373</v>
      </c>
      <c r="CL195" s="4884">
        <f>CL193-'Revenue Drivers'!CL105</f>
        <v>14377</v>
      </c>
      <c r="CM195" s="4882">
        <f>CM193-'Revenue Drivers'!CM105</f>
        <v>52181</v>
      </c>
      <c r="CN195" s="4884">
        <f>CN193-'Revenue Drivers'!CN105</f>
        <v>13833</v>
      </c>
      <c r="CO195" s="4884">
        <f>CO193-'Revenue Drivers'!CO105</f>
        <v>14276</v>
      </c>
      <c r="CP195" s="4884">
        <f>CP193-'Revenue Drivers'!CP105</f>
        <v>14968</v>
      </c>
      <c r="CQ195" s="4884">
        <f>CQ193-'Revenue Drivers'!CQ105</f>
        <v>17124</v>
      </c>
      <c r="CR195" s="4882">
        <f>CR193-'Revenue Drivers'!CR105</f>
        <v>60201</v>
      </c>
      <c r="CS195" s="4884">
        <f>CS193-'Revenue Drivers'!CS105</f>
        <v>16304</v>
      </c>
      <c r="CT195" s="4884">
        <f>CT193-'Revenue Drivers'!CT105</f>
        <v>17340</v>
      </c>
      <c r="CU195" s="4884">
        <f>CU193-'Revenue Drivers'!CU105</f>
        <v>18072</v>
      </c>
      <c r="CV195" s="4884">
        <f>CV193-'Revenue Drivers'!CV105</f>
        <v>20954</v>
      </c>
      <c r="CW195" s="4882">
        <f>CW193-'Revenue Drivers'!CW105</f>
        <v>72670</v>
      </c>
      <c r="CX195" s="4884">
        <f>CX193-'Revenue Drivers'!CX105</f>
        <v>19989</v>
      </c>
      <c r="CY195" s="4884">
        <f>CY193-'Revenue Drivers'!CY105</f>
        <v>20822</v>
      </c>
      <c r="CZ195" s="4884">
        <f>CZ193-'Revenue Drivers'!CZ105</f>
        <v>22153</v>
      </c>
      <c r="DA195" s="4884">
        <f>DA193-'Revenue Drivers'!DA105</f>
        <v>25742</v>
      </c>
      <c r="DB195" s="4882">
        <f>DB193-'Revenue Drivers'!DB105</f>
        <v>88875</v>
      </c>
      <c r="DC195" s="4884">
        <f>DC193-'Revenue Drivers'!DC105</f>
        <v>24708</v>
      </c>
      <c r="DD195" s="4884">
        <f>DD193-'Revenue Drivers'!DD105</f>
        <v>26092</v>
      </c>
      <c r="DE195" s="4884">
        <f>DE193-'Revenue Drivers'!DE105</f>
        <v>27012</v>
      </c>
      <c r="DF195" s="4884">
        <f>DF193-'Revenue Drivers'!DF105</f>
        <v>31562</v>
      </c>
      <c r="DG195" s="4882">
        <f>DG193-'Revenue Drivers'!DG105</f>
        <v>109636</v>
      </c>
      <c r="DH195" s="4884">
        <f>DH193-'Revenue Drivers'!DH105</f>
        <v>29172</v>
      </c>
      <c r="DI195" s="4884">
        <f>DI193-'Revenue Drivers'!DI105</f>
        <v>31436</v>
      </c>
      <c r="DJ195" s="4884">
        <f>DJ193-'Revenue Drivers'!DJ105</f>
        <v>32735</v>
      </c>
      <c r="DK195" s="4884">
        <f>DK193-'Revenue Drivers'!DK105</f>
        <v>37311</v>
      </c>
      <c r="DL195" s="4882">
        <f>DL193-'Revenue Drivers'!DL105</f>
        <v>130654</v>
      </c>
      <c r="DM195" s="4884">
        <f>DM193-'Revenue Drivers'!DM105</f>
        <v>33523</v>
      </c>
      <c r="DN195" s="4884">
        <f>DN193-'Revenue Drivers'!DN105</f>
        <v>31304</v>
      </c>
      <c r="DO195" s="4884">
        <f>DO193-'Revenue Drivers'!DO105</f>
        <v>37851</v>
      </c>
      <c r="DP195" s="4884">
        <f>DP193-'Revenue Drivers'!DP105</f>
        <v>46238</v>
      </c>
      <c r="DQ195" s="4882">
        <f>DQ193-'Revenue Drivers'!DQ105</f>
        <v>148916</v>
      </c>
      <c r="DR195" s="4884"/>
      <c r="DS195" s="4884"/>
      <c r="DT195" s="4884"/>
      <c r="DU195" s="4884"/>
      <c r="DV195" s="4882"/>
      <c r="DW195" s="4884"/>
      <c r="DX195" s="4884"/>
      <c r="DY195" s="4884"/>
      <c r="DZ195" s="4884"/>
      <c r="EA195" s="4882"/>
      <c r="EB195" s="4884"/>
      <c r="EC195" s="4884"/>
      <c r="ED195" s="4884"/>
      <c r="EE195" s="4884"/>
      <c r="EF195" s="4882"/>
      <c r="EG195" s="4884"/>
      <c r="EH195" s="4884"/>
      <c r="EI195" s="4884"/>
      <c r="EJ195" s="4884"/>
      <c r="EK195" s="4882"/>
      <c r="EL195" s="4884"/>
      <c r="EM195" s="4884"/>
      <c r="EN195" s="4884"/>
      <c r="EO195" s="4884"/>
      <c r="EP195" s="4882"/>
      <c r="EQ195" s="4884"/>
      <c r="ER195" s="4884"/>
      <c r="ES195" s="4884"/>
      <c r="ET195" s="4884"/>
      <c r="EU195" s="4882"/>
      <c r="EV195" s="4882"/>
      <c r="EW195" s="4882"/>
      <c r="EX195" s="4882"/>
      <c r="EY195" s="4882"/>
      <c r="EZ195" s="791"/>
      <c r="FA195" s="4879"/>
      <c r="FB195" s="4879"/>
    </row>
    <row r="196" spans="1:158" s="762" customFormat="1" hidden="1">
      <c r="A196" s="3560" t="s">
        <v>554</v>
      </c>
      <c r="B196" s="157"/>
      <c r="C196" s="157"/>
      <c r="D196" s="157"/>
      <c r="E196" s="157"/>
      <c r="F196" s="157"/>
      <c r="G196" s="157"/>
      <c r="H196" s="157"/>
      <c r="I196" s="157"/>
      <c r="J196" s="157"/>
      <c r="K196" s="157"/>
      <c r="L196" s="157"/>
      <c r="M196" s="157"/>
      <c r="N196" s="157"/>
      <c r="O196" s="157"/>
      <c r="P196" s="157"/>
      <c r="Q196" s="157"/>
      <c r="R196" s="157"/>
      <c r="S196" s="157"/>
      <c r="T196" s="157"/>
      <c r="U196" s="157"/>
      <c r="V196" s="157"/>
      <c r="W196" s="157"/>
      <c r="X196" s="157"/>
      <c r="Y196" s="157"/>
      <c r="Z196" s="157"/>
      <c r="AA196" s="157"/>
      <c r="AB196" s="157"/>
      <c r="AC196" s="157"/>
      <c r="AD196" s="157"/>
      <c r="AE196" s="157"/>
      <c r="AF196" s="157"/>
      <c r="AG196" s="157"/>
      <c r="AH196" s="157"/>
      <c r="AI196" s="157"/>
      <c r="AJ196" s="157"/>
      <c r="AK196" s="157"/>
      <c r="AL196" s="157"/>
      <c r="AM196" s="157"/>
      <c r="AN196" s="157"/>
      <c r="AO196" s="157"/>
      <c r="AP196" s="157"/>
      <c r="AQ196" s="157"/>
      <c r="AR196" s="157"/>
      <c r="AS196" s="157"/>
      <c r="AT196" s="157"/>
      <c r="AU196" s="157"/>
      <c r="AV196" s="157"/>
      <c r="AW196" s="157"/>
      <c r="AX196" s="157"/>
      <c r="AY196" s="157"/>
      <c r="AZ196" s="157"/>
      <c r="BA196" s="157"/>
      <c r="BB196" s="157"/>
      <c r="BC196" s="157"/>
      <c r="BD196" s="157"/>
      <c r="BE196" s="157"/>
      <c r="BF196" s="157"/>
      <c r="BG196" s="157"/>
      <c r="BH196" s="157"/>
      <c r="BI196" s="157"/>
      <c r="BJ196" s="157"/>
      <c r="BK196" s="157"/>
      <c r="BL196" s="157"/>
      <c r="BM196" s="157"/>
      <c r="BN196" s="157"/>
      <c r="BO196" s="157"/>
      <c r="BP196" s="157"/>
      <c r="BQ196" s="157"/>
      <c r="BR196" s="157"/>
      <c r="BS196" s="157"/>
      <c r="BT196" s="157"/>
      <c r="BU196" s="157"/>
      <c r="BV196" s="157"/>
      <c r="BW196" s="157"/>
      <c r="BX196" s="157"/>
      <c r="BY196" s="157"/>
      <c r="BZ196" s="157"/>
      <c r="CA196" s="157"/>
      <c r="CB196" s="157"/>
      <c r="CC196" s="157"/>
      <c r="CD196" s="157"/>
      <c r="CE196" s="157"/>
      <c r="CF196" s="157"/>
      <c r="CG196" s="157"/>
      <c r="CH196" s="2701">
        <f>CH195-CH200</f>
        <v>24079</v>
      </c>
      <c r="CI196" s="655" t="s">
        <v>373</v>
      </c>
      <c r="CJ196" s="655" t="s">
        <v>373</v>
      </c>
      <c r="CK196" s="655" t="s">
        <v>373</v>
      </c>
      <c r="CL196" s="2702">
        <f t="shared" ref="CL196:CQ196" si="505">CL195-CL200</f>
        <v>8076</v>
      </c>
      <c r="CM196" s="2701">
        <f t="shared" si="505"/>
        <v>29493</v>
      </c>
      <c r="CN196" s="2702">
        <f t="shared" si="505"/>
        <v>7590</v>
      </c>
      <c r="CO196" s="2702">
        <f t="shared" si="505"/>
        <v>7672</v>
      </c>
      <c r="CP196" s="2702">
        <f t="shared" si="505"/>
        <v>7886</v>
      </c>
      <c r="CQ196" s="2702">
        <f t="shared" si="505"/>
        <v>9102</v>
      </c>
      <c r="CR196" s="2701">
        <f>SUM(CN196:CQ196)</f>
        <v>32250</v>
      </c>
      <c r="CS196" s="2702">
        <f>CS195-CS200</f>
        <v>8736</v>
      </c>
      <c r="CT196" s="2702">
        <f>CT195-CT200</f>
        <v>9026</v>
      </c>
      <c r="CU196" s="2702">
        <f>CU195-CU200</f>
        <v>9666</v>
      </c>
      <c r="CV196" s="2702">
        <f>CV195-CV200</f>
        <v>11418</v>
      </c>
      <c r="CW196" s="2701">
        <f>SUM(CS196:CV196)</f>
        <v>38846</v>
      </c>
      <c r="CX196" s="2702">
        <f>CX195-CX200</f>
        <v>10661</v>
      </c>
      <c r="CY196" s="2702">
        <f>CY195-CY200</f>
        <v>11274</v>
      </c>
      <c r="CZ196" s="2702">
        <f>CZ195-CZ200</f>
        <v>11881</v>
      </c>
      <c r="DA196" s="2702">
        <f>DA195-DA200</f>
        <v>15435</v>
      </c>
      <c r="DB196" s="2701">
        <f>SUM(CX196:DA196)</f>
        <v>49251</v>
      </c>
      <c r="DC196" s="2702">
        <f>DC195-DC200</f>
        <v>14036</v>
      </c>
      <c r="DD196" s="2702">
        <f>DD195-DD200</f>
        <v>14845</v>
      </c>
      <c r="DE196" s="2702">
        <f>DE195-DE200</f>
        <v>15451</v>
      </c>
      <c r="DF196" s="2702">
        <f>DF195-DF200</f>
        <v>19894</v>
      </c>
      <c r="DG196" s="2701">
        <f>SUM(DC196:DF196)</f>
        <v>64226</v>
      </c>
      <c r="DH196" s="2702">
        <f>DH195-DH200</f>
        <v>17372</v>
      </c>
      <c r="DI196" s="2702">
        <f>DI195-DI200</f>
        <v>18556</v>
      </c>
      <c r="DJ196" s="2702">
        <f>DJ195-DJ200</f>
        <v>19519</v>
      </c>
      <c r="DK196" s="2702">
        <f>DK195-DK200</f>
        <v>23349</v>
      </c>
      <c r="DL196" s="2701">
        <f>SUM(DH196:DK196)</f>
        <v>78796</v>
      </c>
      <c r="DM196" s="2702">
        <f>DM195-DM200</f>
        <v>20717</v>
      </c>
      <c r="DN196" s="2702">
        <f>DN195-DN200</f>
        <v>20065</v>
      </c>
      <c r="DO196" s="2702">
        <f>DO195-DO200</f>
        <v>21685</v>
      </c>
      <c r="DP196" s="2702">
        <f>DP195-DP200</f>
        <v>25358.654399999999</v>
      </c>
      <c r="DQ196" s="2701">
        <f>SUM(DM196:DP196)</f>
        <v>87825.654399999999</v>
      </c>
      <c r="DR196" s="2702"/>
      <c r="DS196" s="2702"/>
      <c r="DT196" s="2702"/>
      <c r="DU196" s="2702"/>
      <c r="DV196" s="2701"/>
      <c r="DW196" s="2702"/>
      <c r="DX196" s="2702"/>
      <c r="DY196" s="2702"/>
      <c r="DZ196" s="2702"/>
      <c r="EA196" s="2701"/>
      <c r="EB196" s="2702"/>
      <c r="EC196" s="2702"/>
      <c r="ED196" s="2702"/>
      <c r="EE196" s="2702"/>
      <c r="EF196" s="2701"/>
      <c r="EG196" s="2702"/>
      <c r="EH196" s="2702"/>
      <c r="EI196" s="2702"/>
      <c r="EJ196" s="2702"/>
      <c r="EK196" s="2701"/>
      <c r="EL196" s="2702"/>
      <c r="EM196" s="2702"/>
      <c r="EN196" s="2702"/>
      <c r="EO196" s="2702"/>
      <c r="EP196" s="2701"/>
      <c r="EQ196" s="2702"/>
      <c r="ER196" s="2702"/>
      <c r="ES196" s="2702"/>
      <c r="ET196" s="2702"/>
      <c r="EU196" s="2701"/>
      <c r="EV196" s="2701"/>
      <c r="EW196" s="2701"/>
      <c r="EX196" s="2701"/>
      <c r="EY196" s="2701"/>
      <c r="EZ196" s="1645"/>
      <c r="FA196" s="4275"/>
      <c r="FB196" s="4275"/>
    </row>
    <row r="197" spans="1:158" s="627" customFormat="1" hidden="1">
      <c r="A197" s="3560" t="s">
        <v>442</v>
      </c>
      <c r="B197" s="157"/>
      <c r="C197" s="157"/>
      <c r="D197" s="157"/>
      <c r="E197" s="157"/>
      <c r="F197" s="157"/>
      <c r="G197" s="157"/>
      <c r="H197" s="157"/>
      <c r="I197" s="157"/>
      <c r="J197" s="157"/>
      <c r="K197" s="157"/>
      <c r="L197" s="157"/>
      <c r="M197" s="157"/>
      <c r="N197" s="157"/>
      <c r="O197" s="157"/>
      <c r="P197" s="157"/>
      <c r="Q197" s="157"/>
      <c r="R197" s="157"/>
      <c r="S197" s="157"/>
      <c r="T197" s="157"/>
      <c r="U197" s="157"/>
      <c r="V197" s="157"/>
      <c r="W197" s="157"/>
      <c r="X197" s="157"/>
      <c r="Y197" s="157"/>
      <c r="Z197" s="157"/>
      <c r="AA197" s="157"/>
      <c r="AB197" s="157"/>
      <c r="AC197" s="157"/>
      <c r="AD197" s="157"/>
      <c r="AE197" s="157"/>
      <c r="AF197" s="157"/>
      <c r="AG197" s="157"/>
      <c r="AH197" s="157"/>
      <c r="AI197" s="157"/>
      <c r="AJ197" s="157"/>
      <c r="AK197" s="157"/>
      <c r="AL197" s="157"/>
      <c r="AM197" s="157"/>
      <c r="AN197" s="157"/>
      <c r="AO197" s="157"/>
      <c r="AP197" s="157"/>
      <c r="AQ197" s="157"/>
      <c r="AR197" s="157"/>
      <c r="AS197" s="157"/>
      <c r="AT197" s="157"/>
      <c r="AU197" s="157"/>
      <c r="AV197" s="157"/>
      <c r="AW197" s="157"/>
      <c r="AX197" s="157"/>
      <c r="AY197" s="157"/>
      <c r="AZ197" s="157"/>
      <c r="BA197" s="157"/>
      <c r="BB197" s="157"/>
      <c r="BC197" s="157"/>
      <c r="BD197" s="157"/>
      <c r="BE197" s="157"/>
      <c r="BF197" s="157"/>
      <c r="BG197" s="157"/>
      <c r="BH197" s="157"/>
      <c r="BI197" s="157"/>
      <c r="BJ197" s="157"/>
      <c r="BK197" s="157"/>
      <c r="BL197" s="157"/>
      <c r="BM197" s="157"/>
      <c r="BN197" s="157"/>
      <c r="BO197" s="157"/>
      <c r="BP197" s="157"/>
      <c r="BQ197" s="157"/>
      <c r="BR197" s="157"/>
      <c r="BS197" s="157"/>
      <c r="BT197" s="157"/>
      <c r="BU197" s="157"/>
      <c r="BV197" s="157"/>
      <c r="BW197" s="157"/>
      <c r="BX197" s="157"/>
      <c r="BY197" s="157"/>
      <c r="BZ197" s="157"/>
      <c r="CA197" s="157"/>
      <c r="CB197" s="157"/>
      <c r="CC197" s="157"/>
      <c r="CD197" s="157"/>
      <c r="CE197" s="157"/>
      <c r="CF197" s="157"/>
      <c r="CG197" s="157"/>
      <c r="CH197" s="2708">
        <v>2911</v>
      </c>
      <c r="CI197" s="655" t="s">
        <v>373</v>
      </c>
      <c r="CJ197" s="655" t="s">
        <v>373</v>
      </c>
      <c r="CK197" s="655" t="s">
        <v>373</v>
      </c>
      <c r="CL197" s="2709">
        <v>1078</v>
      </c>
      <c r="CM197" s="2708">
        <v>3677</v>
      </c>
      <c r="CN197" s="2709">
        <v>1055</v>
      </c>
      <c r="CO197" s="2709">
        <v>996</v>
      </c>
      <c r="CP197" s="2709">
        <v>1275</v>
      </c>
      <c r="CQ197" s="2709">
        <v>1278</v>
      </c>
      <c r="CR197" s="2701">
        <f>SUM(CN197:CQ197)</f>
        <v>4604</v>
      </c>
      <c r="CS197" s="2710">
        <v>1323</v>
      </c>
      <c r="CT197" s="2709">
        <v>1321</v>
      </c>
      <c r="CU197" s="2709">
        <v>1629</v>
      </c>
      <c r="CV197" s="2709">
        <v>1653</v>
      </c>
      <c r="CW197" s="2701">
        <f>SUM(CS197:CV197)</f>
        <v>5926</v>
      </c>
      <c r="CX197" s="2709">
        <v>1882</v>
      </c>
      <c r="CY197" s="2709">
        <v>1884</v>
      </c>
      <c r="CZ197" s="2709">
        <v>1690</v>
      </c>
      <c r="DA197" s="2709">
        <v>1712</v>
      </c>
      <c r="DB197" s="2701">
        <f>SUM(CX197:DA197)</f>
        <v>7168</v>
      </c>
      <c r="DC197" s="2709">
        <v>2304</v>
      </c>
      <c r="DD197" s="2709">
        <v>2288</v>
      </c>
      <c r="DE197" s="2709">
        <v>2071</v>
      </c>
      <c r="DF197" s="2709">
        <v>2092</v>
      </c>
      <c r="DG197" s="2701">
        <f>SUM(DC197:DF197)</f>
        <v>8755</v>
      </c>
      <c r="DH197" s="2709">
        <v>2612</v>
      </c>
      <c r="DI197" s="2709">
        <v>2600</v>
      </c>
      <c r="DJ197" s="2709">
        <v>2470</v>
      </c>
      <c r="DK197" s="2709">
        <v>2503</v>
      </c>
      <c r="DL197" s="2701">
        <f>SUM(DH197:DK197)</f>
        <v>10185</v>
      </c>
      <c r="DM197" s="2709">
        <v>2988</v>
      </c>
      <c r="DN197" s="2709">
        <v>3126</v>
      </c>
      <c r="DO197" s="2709">
        <v>2921</v>
      </c>
      <c r="DP197" s="2702">
        <f>+DP242*DP193</f>
        <v>3056.3456000000001</v>
      </c>
      <c r="DQ197" s="2701">
        <f>SUM(DM197:DP197)</f>
        <v>12091.345600000001</v>
      </c>
      <c r="DR197" s="2702"/>
      <c r="DS197" s="2702"/>
      <c r="DT197" s="2702"/>
      <c r="DU197" s="2702"/>
      <c r="DV197" s="2701"/>
      <c r="DW197" s="2702"/>
      <c r="DX197" s="2702"/>
      <c r="DY197" s="2702"/>
      <c r="DZ197" s="2702"/>
      <c r="EA197" s="2701"/>
      <c r="EB197" s="2702"/>
      <c r="EC197" s="2702"/>
      <c r="ED197" s="2702"/>
      <c r="EE197" s="2702"/>
      <c r="EF197" s="2701"/>
      <c r="EG197" s="2702"/>
      <c r="EH197" s="2702"/>
      <c r="EI197" s="2702"/>
      <c r="EJ197" s="2702"/>
      <c r="EK197" s="2701"/>
      <c r="EL197" s="2702"/>
      <c r="EM197" s="2702"/>
      <c r="EN197" s="2702"/>
      <c r="EO197" s="2702"/>
      <c r="EP197" s="2701"/>
      <c r="EQ197" s="2702"/>
      <c r="ER197" s="2702"/>
      <c r="ES197" s="2702"/>
      <c r="ET197" s="2702"/>
      <c r="EU197" s="2701"/>
      <c r="EV197" s="2701"/>
      <c r="EW197" s="2701"/>
      <c r="EX197" s="2701"/>
      <c r="EY197" s="2701"/>
      <c r="EZ197" s="768"/>
      <c r="FA197" s="1319"/>
      <c r="FB197" s="1319"/>
    </row>
    <row r="198" spans="1:158" s="627" customFormat="1" hidden="1">
      <c r="A198" s="4484" t="s">
        <v>958</v>
      </c>
      <c r="B198" s="157"/>
      <c r="C198" s="157"/>
      <c r="D198" s="157"/>
      <c r="E198" s="157"/>
      <c r="F198" s="157"/>
      <c r="G198" s="157"/>
      <c r="H198" s="157"/>
      <c r="I198" s="157"/>
      <c r="J198" s="157"/>
      <c r="K198" s="157"/>
      <c r="L198" s="157"/>
      <c r="M198" s="157"/>
      <c r="N198" s="157"/>
      <c r="O198" s="157"/>
      <c r="P198" s="157"/>
      <c r="Q198" s="157"/>
      <c r="R198" s="157"/>
      <c r="S198" s="157"/>
      <c r="T198" s="157"/>
      <c r="U198" s="157"/>
      <c r="V198" s="157"/>
      <c r="W198" s="157"/>
      <c r="X198" s="157"/>
      <c r="Y198" s="157"/>
      <c r="Z198" s="157"/>
      <c r="AA198" s="157"/>
      <c r="AB198" s="157"/>
      <c r="AC198" s="157"/>
      <c r="AD198" s="157"/>
      <c r="AE198" s="157"/>
      <c r="AF198" s="157"/>
      <c r="AG198" s="157"/>
      <c r="AH198" s="157"/>
      <c r="AI198" s="157"/>
      <c r="AJ198" s="157"/>
      <c r="AK198" s="157"/>
      <c r="AL198" s="157"/>
      <c r="AM198" s="157"/>
      <c r="AN198" s="157"/>
      <c r="AO198" s="157"/>
      <c r="AP198" s="157"/>
      <c r="AQ198" s="157"/>
      <c r="AR198" s="157"/>
      <c r="AS198" s="157"/>
      <c r="AT198" s="157"/>
      <c r="AU198" s="157"/>
      <c r="AV198" s="157"/>
      <c r="AW198" s="157"/>
      <c r="AX198" s="157"/>
      <c r="AY198" s="157"/>
      <c r="AZ198" s="157"/>
      <c r="BA198" s="157"/>
      <c r="BB198" s="157"/>
      <c r="BC198" s="157"/>
      <c r="BD198" s="157"/>
      <c r="BE198" s="157"/>
      <c r="BF198" s="157"/>
      <c r="BG198" s="157"/>
      <c r="BH198" s="157"/>
      <c r="BI198" s="157"/>
      <c r="BJ198" s="157"/>
      <c r="BK198" s="157"/>
      <c r="BL198" s="157"/>
      <c r="BM198" s="157"/>
      <c r="BN198" s="157"/>
      <c r="BO198" s="157"/>
      <c r="BP198" s="157"/>
      <c r="BQ198" s="157"/>
      <c r="BR198" s="157"/>
      <c r="BS198" s="157"/>
      <c r="BT198" s="157"/>
      <c r="BU198" s="157"/>
      <c r="BV198" s="157"/>
      <c r="BW198" s="157"/>
      <c r="BX198" s="157"/>
      <c r="BY198" s="157"/>
      <c r="BZ198" s="157"/>
      <c r="CA198" s="157"/>
      <c r="CB198" s="157"/>
      <c r="CC198" s="157"/>
      <c r="CD198" s="157"/>
      <c r="CE198" s="157"/>
      <c r="CF198" s="157"/>
      <c r="CG198" s="157"/>
      <c r="CH198" s="4137"/>
      <c r="CI198" s="655"/>
      <c r="CJ198" s="655"/>
      <c r="CK198" s="655"/>
      <c r="CL198" s="2709"/>
      <c r="CM198" s="4137"/>
      <c r="CN198" s="2709"/>
      <c r="CO198" s="2709"/>
      <c r="CP198" s="2709"/>
      <c r="CQ198" s="2709"/>
      <c r="CR198" s="4138"/>
      <c r="CS198" s="2702">
        <f t="shared" ref="CS198:CX198" si="506">SUM(CS196:CS197)</f>
        <v>10059</v>
      </c>
      <c r="CT198" s="2702">
        <f t="shared" si="506"/>
        <v>10347</v>
      </c>
      <c r="CU198" s="2702">
        <f t="shared" si="506"/>
        <v>11295</v>
      </c>
      <c r="CV198" s="2702">
        <f t="shared" si="506"/>
        <v>13071</v>
      </c>
      <c r="CW198" s="4138">
        <f t="shared" si="506"/>
        <v>44772</v>
      </c>
      <c r="CX198" s="2702">
        <f t="shared" si="506"/>
        <v>12543</v>
      </c>
      <c r="CY198" s="2702">
        <f t="shared" ref="CY198:DL198" si="507">SUM(CY196:CY197)</f>
        <v>13158</v>
      </c>
      <c r="CZ198" s="2702">
        <f t="shared" si="507"/>
        <v>13571</v>
      </c>
      <c r="DA198" s="2702">
        <f t="shared" si="507"/>
        <v>17147</v>
      </c>
      <c r="DB198" s="4138">
        <f t="shared" si="507"/>
        <v>56419</v>
      </c>
      <c r="DC198" s="2702">
        <f t="shared" si="507"/>
        <v>16340</v>
      </c>
      <c r="DD198" s="2702">
        <f t="shared" si="507"/>
        <v>17133</v>
      </c>
      <c r="DE198" s="2702">
        <f t="shared" si="507"/>
        <v>17522</v>
      </c>
      <c r="DF198" s="2702">
        <f t="shared" si="507"/>
        <v>21986</v>
      </c>
      <c r="DG198" s="4138">
        <f t="shared" si="507"/>
        <v>72981</v>
      </c>
      <c r="DH198" s="2702">
        <f t="shared" si="507"/>
        <v>19984</v>
      </c>
      <c r="DI198" s="2702">
        <f t="shared" si="507"/>
        <v>21156</v>
      </c>
      <c r="DJ198" s="2702">
        <f t="shared" si="507"/>
        <v>21989</v>
      </c>
      <c r="DK198" s="2702">
        <f t="shared" si="507"/>
        <v>25852</v>
      </c>
      <c r="DL198" s="4138">
        <f t="shared" si="507"/>
        <v>88981</v>
      </c>
      <c r="DM198" s="2702">
        <f>SUM(DM196:DM197)</f>
        <v>23705</v>
      </c>
      <c r="DN198" s="2702">
        <f>SUM(DN196:DN197)</f>
        <v>23191</v>
      </c>
      <c r="DO198" s="2702">
        <f>SUM(DO196:DO197)</f>
        <v>24606</v>
      </c>
      <c r="DP198" s="2702">
        <f>SUM(DP196:DP197)</f>
        <v>28415</v>
      </c>
      <c r="DQ198" s="4138">
        <f>SUM(DQ196:DQ197)</f>
        <v>99917</v>
      </c>
      <c r="DR198" s="2702"/>
      <c r="DS198" s="2702"/>
      <c r="DT198" s="2702"/>
      <c r="DU198" s="2702"/>
      <c r="DV198" s="4138"/>
      <c r="DW198" s="2702"/>
      <c r="DX198" s="2702"/>
      <c r="DY198" s="2702"/>
      <c r="DZ198" s="2702"/>
      <c r="EA198" s="4138"/>
      <c r="EB198" s="2702"/>
      <c r="EC198" s="2702"/>
      <c r="ED198" s="2702"/>
      <c r="EE198" s="2702"/>
      <c r="EF198" s="4138"/>
      <c r="EG198" s="2702"/>
      <c r="EH198" s="2702"/>
      <c r="EI198" s="2702"/>
      <c r="EJ198" s="2702"/>
      <c r="EK198" s="4138"/>
      <c r="EL198" s="2702"/>
      <c r="EM198" s="2702"/>
      <c r="EN198" s="2702"/>
      <c r="EO198" s="2702"/>
      <c r="EP198" s="4138"/>
      <c r="EQ198" s="2702"/>
      <c r="ER198" s="2702"/>
      <c r="ES198" s="2702"/>
      <c r="ET198" s="2702"/>
      <c r="EU198" s="4138"/>
      <c r="EV198" s="4138"/>
      <c r="EW198" s="4138"/>
      <c r="EX198" s="4138"/>
      <c r="EY198" s="4138"/>
      <c r="EZ198" s="768"/>
      <c r="FA198" s="1319"/>
      <c r="FB198" s="1319"/>
    </row>
    <row r="199" spans="1:158" s="762" customFormat="1" hidden="1">
      <c r="A199" s="4478" t="s">
        <v>547</v>
      </c>
      <c r="B199" s="3231"/>
      <c r="C199" s="3231"/>
      <c r="D199" s="3231"/>
      <c r="E199" s="3231"/>
      <c r="F199" s="3231"/>
      <c r="G199" s="3231"/>
      <c r="H199" s="3231"/>
      <c r="I199" s="3231"/>
      <c r="J199" s="3231"/>
      <c r="K199" s="3231"/>
      <c r="L199" s="3231"/>
      <c r="M199" s="3231"/>
      <c r="N199" s="3231"/>
      <c r="O199" s="3231"/>
      <c r="P199" s="3231"/>
      <c r="Q199" s="3231"/>
      <c r="R199" s="3231"/>
      <c r="S199" s="3231"/>
      <c r="T199" s="3231"/>
      <c r="U199" s="3231"/>
      <c r="V199" s="3231"/>
      <c r="W199" s="3231"/>
      <c r="X199" s="3231"/>
      <c r="Y199" s="3231"/>
      <c r="Z199" s="3231"/>
      <c r="AA199" s="3231"/>
      <c r="AB199" s="3231"/>
      <c r="AC199" s="3231"/>
      <c r="AD199" s="3231"/>
      <c r="AE199" s="3231"/>
      <c r="AF199" s="3231"/>
      <c r="AG199" s="3231"/>
      <c r="AH199" s="3231"/>
      <c r="AI199" s="3231"/>
      <c r="AJ199" s="3231"/>
      <c r="AK199" s="3231"/>
      <c r="AL199" s="3231"/>
      <c r="AM199" s="3231"/>
      <c r="AN199" s="3231"/>
      <c r="AO199" s="3231"/>
      <c r="AP199" s="3231"/>
      <c r="AQ199" s="3231"/>
      <c r="AR199" s="3231"/>
      <c r="AS199" s="3231"/>
      <c r="AT199" s="3231"/>
      <c r="AU199" s="3231"/>
      <c r="AV199" s="3231"/>
      <c r="AW199" s="3231"/>
      <c r="AX199" s="3231"/>
      <c r="AY199" s="3231"/>
      <c r="AZ199" s="3231"/>
      <c r="BA199" s="3231"/>
      <c r="BB199" s="3231"/>
      <c r="BC199" s="3231"/>
      <c r="BD199" s="3231"/>
      <c r="BE199" s="3231"/>
      <c r="BF199" s="3231"/>
      <c r="BG199" s="3231"/>
      <c r="BH199" s="3231"/>
      <c r="BI199" s="3231"/>
      <c r="BJ199" s="3231"/>
      <c r="BK199" s="3231"/>
      <c r="BL199" s="3231"/>
      <c r="BM199" s="3231"/>
      <c r="BN199" s="3231"/>
      <c r="BO199" s="3231"/>
      <c r="BP199" s="3231"/>
      <c r="BQ199" s="3231"/>
      <c r="BR199" s="3231"/>
      <c r="BS199" s="3231"/>
      <c r="BT199" s="3231"/>
      <c r="BU199" s="3231"/>
      <c r="BV199" s="3231"/>
      <c r="BW199" s="3231"/>
      <c r="BX199" s="3231"/>
      <c r="BY199" s="3231"/>
      <c r="BZ199" s="3231"/>
      <c r="CA199" s="3231"/>
      <c r="CB199" s="3231"/>
      <c r="CC199" s="3231"/>
      <c r="CD199" s="3231"/>
      <c r="CE199" s="3231"/>
      <c r="CF199" s="3231"/>
      <c r="CG199" s="3231"/>
      <c r="CH199" s="3232">
        <v>16260</v>
      </c>
      <c r="CI199" s="3233" t="s">
        <v>373</v>
      </c>
      <c r="CJ199" s="3233" t="s">
        <v>373</v>
      </c>
      <c r="CK199" s="3233" t="s">
        <v>373</v>
      </c>
      <c r="CL199" s="3234">
        <v>5223</v>
      </c>
      <c r="CM199" s="3232">
        <v>19011</v>
      </c>
      <c r="CN199" s="3234">
        <v>5188</v>
      </c>
      <c r="CO199" s="3234">
        <v>5608</v>
      </c>
      <c r="CP199" s="3234">
        <v>5807</v>
      </c>
      <c r="CQ199" s="3234">
        <v>6744</v>
      </c>
      <c r="CR199" s="3235">
        <f>SUM(CN199:CQ199)</f>
        <v>23347</v>
      </c>
      <c r="CS199" s="3236">
        <v>6245</v>
      </c>
      <c r="CT199" s="3234">
        <v>6990</v>
      </c>
      <c r="CU199" s="3234">
        <v>6774</v>
      </c>
      <c r="CV199" s="3234">
        <v>7883</v>
      </c>
      <c r="CW199" s="3235">
        <f>SUM(CS199:CV199)</f>
        <v>27892</v>
      </c>
      <c r="CX199" s="3234">
        <v>7446</v>
      </c>
      <c r="CY199" s="3234">
        <v>7664</v>
      </c>
      <c r="CZ199" s="3234">
        <v>8582</v>
      </c>
      <c r="DA199" s="3234">
        <v>8595</v>
      </c>
      <c r="DB199" s="3235">
        <f>SUM(CX199:DA199)</f>
        <v>32287</v>
      </c>
      <c r="DC199" s="3234">
        <v>8368</v>
      </c>
      <c r="DD199" s="3234">
        <v>8959</v>
      </c>
      <c r="DE199" s="3234">
        <v>9490</v>
      </c>
      <c r="DF199" s="3234">
        <v>9576</v>
      </c>
      <c r="DG199" s="3235">
        <f>SUM(DG17,DG18)</f>
        <v>38789</v>
      </c>
      <c r="DH199" s="3234">
        <f>9325-'Revenue Drivers'!DH68</f>
        <v>9188</v>
      </c>
      <c r="DI199" s="3234">
        <f>10388-'Revenue Drivers'!DI68</f>
        <v>10280</v>
      </c>
      <c r="DJ199" s="3234">
        <f>10865-'Revenue Drivers'!DJ68</f>
        <v>10746</v>
      </c>
      <c r="DK199" s="3234">
        <v>11459</v>
      </c>
      <c r="DL199" s="3235">
        <f>SUM(DL17,DL18)</f>
        <v>44354</v>
      </c>
      <c r="DM199" s="3234">
        <f>SUM(DM17,DM18)</f>
        <v>9818</v>
      </c>
      <c r="DN199" s="3234">
        <f>SUM(DN17,DN18)</f>
        <v>8113</v>
      </c>
      <c r="DO199" s="3234">
        <f>SUM(DO17,DO18)</f>
        <v>13245</v>
      </c>
      <c r="DP199" s="3237">
        <f>SUM(DP17,DP18)</f>
        <v>17823</v>
      </c>
      <c r="DQ199" s="3235">
        <f>SUM(DM199:DP199)</f>
        <v>48999</v>
      </c>
      <c r="DR199" s="3237"/>
      <c r="DS199" s="3237"/>
      <c r="DT199" s="3237"/>
      <c r="DU199" s="3237"/>
      <c r="DV199" s="3235"/>
      <c r="DW199" s="3237"/>
      <c r="DX199" s="3237"/>
      <c r="DY199" s="3237"/>
      <c r="DZ199" s="3237"/>
      <c r="EA199" s="3235"/>
      <c r="EB199" s="3237"/>
      <c r="EC199" s="3237"/>
      <c r="ED199" s="3237"/>
      <c r="EE199" s="3237"/>
      <c r="EF199" s="3235"/>
      <c r="EG199" s="3237"/>
      <c r="EH199" s="3237"/>
      <c r="EI199" s="3237"/>
      <c r="EJ199" s="3237"/>
      <c r="EK199" s="3235"/>
      <c r="EL199" s="3237"/>
      <c r="EM199" s="3237"/>
      <c r="EN199" s="3237"/>
      <c r="EO199" s="3237"/>
      <c r="EP199" s="3235"/>
      <c r="EQ199" s="3237"/>
      <c r="ER199" s="3237"/>
      <c r="ES199" s="3237"/>
      <c r="ET199" s="3237"/>
      <c r="EU199" s="3235"/>
      <c r="EV199" s="3235"/>
      <c r="EW199" s="3235"/>
      <c r="EX199" s="3235"/>
      <c r="EY199" s="3235"/>
      <c r="EZ199" s="1645"/>
      <c r="FA199" s="4275"/>
      <c r="FB199" s="4275"/>
    </row>
    <row r="200" spans="1:158" s="627" customFormat="1" hidden="1">
      <c r="A200" s="4485" t="s">
        <v>548</v>
      </c>
      <c r="B200" s="2711"/>
      <c r="C200" s="2711"/>
      <c r="D200" s="2711"/>
      <c r="E200" s="2711"/>
      <c r="F200" s="2711"/>
      <c r="G200" s="2711"/>
      <c r="H200" s="2711"/>
      <c r="I200" s="2711"/>
      <c r="J200" s="2711"/>
      <c r="K200" s="2711"/>
      <c r="L200" s="2711"/>
      <c r="M200" s="2711"/>
      <c r="N200" s="2711"/>
      <c r="O200" s="2711"/>
      <c r="P200" s="2711"/>
      <c r="Q200" s="2711"/>
      <c r="R200" s="2711"/>
      <c r="S200" s="2711"/>
      <c r="T200" s="2711"/>
      <c r="U200" s="2711"/>
      <c r="V200" s="2711"/>
      <c r="W200" s="2711"/>
      <c r="X200" s="2711"/>
      <c r="Y200" s="2711"/>
      <c r="Z200" s="2711"/>
      <c r="AA200" s="2711"/>
      <c r="AB200" s="2711"/>
      <c r="AC200" s="2711"/>
      <c r="AD200" s="2711"/>
      <c r="AE200" s="2711"/>
      <c r="AF200" s="2711"/>
      <c r="AG200" s="2711"/>
      <c r="AH200" s="2711"/>
      <c r="AI200" s="2711"/>
      <c r="AJ200" s="2711"/>
      <c r="AK200" s="2711"/>
      <c r="AL200" s="2711"/>
      <c r="AM200" s="2711"/>
      <c r="AN200" s="2711"/>
      <c r="AO200" s="2711"/>
      <c r="AP200" s="2711"/>
      <c r="AQ200" s="2711"/>
      <c r="AR200" s="2711"/>
      <c r="AS200" s="2711"/>
      <c r="AT200" s="2711"/>
      <c r="AU200" s="2711"/>
      <c r="AV200" s="2711"/>
      <c r="AW200" s="2711"/>
      <c r="AX200" s="2711"/>
      <c r="AY200" s="2711"/>
      <c r="AZ200" s="2711"/>
      <c r="BA200" s="2711"/>
      <c r="BB200" s="2711"/>
      <c r="BC200" s="2711"/>
      <c r="BD200" s="2711"/>
      <c r="BE200" s="2711"/>
      <c r="BF200" s="2711"/>
      <c r="BG200" s="2711"/>
      <c r="BH200" s="2711"/>
      <c r="BI200" s="2711"/>
      <c r="BJ200" s="2711"/>
      <c r="BK200" s="2711"/>
      <c r="BL200" s="2711"/>
      <c r="BM200" s="2711"/>
      <c r="BN200" s="2711"/>
      <c r="BO200" s="2711"/>
      <c r="BP200" s="2711"/>
      <c r="BQ200" s="2711"/>
      <c r="BR200" s="2711"/>
      <c r="BS200" s="2711"/>
      <c r="BT200" s="2711"/>
      <c r="BU200" s="2711"/>
      <c r="BV200" s="2711"/>
      <c r="BW200" s="2711"/>
      <c r="BX200" s="2711"/>
      <c r="BY200" s="2711"/>
      <c r="BZ200" s="2711"/>
      <c r="CA200" s="2711"/>
      <c r="CB200" s="2711"/>
      <c r="CC200" s="2711"/>
      <c r="CD200" s="2711"/>
      <c r="CE200" s="2711"/>
      <c r="CF200" s="2711"/>
      <c r="CG200" s="2711"/>
      <c r="CH200" s="2712">
        <v>19171</v>
      </c>
      <c r="CI200" s="2713" t="s">
        <v>373</v>
      </c>
      <c r="CJ200" s="2713" t="s">
        <v>373</v>
      </c>
      <c r="CK200" s="2713" t="s">
        <v>373</v>
      </c>
      <c r="CL200" s="2714">
        <v>6301</v>
      </c>
      <c r="CM200" s="2712">
        <v>22688</v>
      </c>
      <c r="CN200" s="2714">
        <v>6243</v>
      </c>
      <c r="CO200" s="2714">
        <v>6604</v>
      </c>
      <c r="CP200" s="2714">
        <v>7082</v>
      </c>
      <c r="CQ200" s="2714">
        <v>8022</v>
      </c>
      <c r="CR200" s="2715">
        <f>SUM(CN200:CQ200)</f>
        <v>27951</v>
      </c>
      <c r="CS200" s="2716">
        <f>CS199+CS197</f>
        <v>7568</v>
      </c>
      <c r="CT200" s="2714">
        <v>8314</v>
      </c>
      <c r="CU200" s="2714">
        <v>8406</v>
      </c>
      <c r="CV200" s="2714">
        <v>9536</v>
      </c>
      <c r="CW200" s="2715">
        <f>SUM(CS200:CV200)</f>
        <v>33824</v>
      </c>
      <c r="CX200" s="2716">
        <f>CX199+CX197</f>
        <v>9328</v>
      </c>
      <c r="CY200" s="2716">
        <f>CY199+CY197</f>
        <v>9548</v>
      </c>
      <c r="CZ200" s="2716">
        <f>CZ199+CZ197</f>
        <v>10272</v>
      </c>
      <c r="DA200" s="2716">
        <f>DA199+DA197</f>
        <v>10307</v>
      </c>
      <c r="DB200" s="2715">
        <f>SUM(CX200:DA200)</f>
        <v>39455</v>
      </c>
      <c r="DC200" s="2716">
        <f>DC199+DC197</f>
        <v>10672</v>
      </c>
      <c r="DD200" s="2716">
        <f>DD199+DD197</f>
        <v>11247</v>
      </c>
      <c r="DE200" s="2716">
        <f>DE199+DE197</f>
        <v>11561</v>
      </c>
      <c r="DF200" s="2716">
        <f>DF199+DF197</f>
        <v>11668</v>
      </c>
      <c r="DG200" s="2715">
        <f>SUM(DC200:DF200)</f>
        <v>45148</v>
      </c>
      <c r="DH200" s="2716">
        <f>DH199+DH197</f>
        <v>11800</v>
      </c>
      <c r="DI200" s="2716">
        <f>DI199+DI197</f>
        <v>12880</v>
      </c>
      <c r="DJ200" s="2716">
        <f>DJ199+DJ197</f>
        <v>13216</v>
      </c>
      <c r="DK200" s="2716">
        <f>DK199+DK197</f>
        <v>13962</v>
      </c>
      <c r="DL200" s="2715">
        <f>SUM(DH200:DK200)</f>
        <v>51858</v>
      </c>
      <c r="DM200" s="2716">
        <f>DM199+DM197</f>
        <v>12806</v>
      </c>
      <c r="DN200" s="2716">
        <f>DN199+DN197</f>
        <v>11239</v>
      </c>
      <c r="DO200" s="2716">
        <f>DO199+DO197</f>
        <v>16166</v>
      </c>
      <c r="DP200" s="2716">
        <f>DP199+DP197</f>
        <v>20879.345600000001</v>
      </c>
      <c r="DQ200" s="2715">
        <f>SUM(DM200:DP200)</f>
        <v>61090.345600000001</v>
      </c>
      <c r="DR200" s="2716"/>
      <c r="DS200" s="2716"/>
      <c r="DT200" s="2716"/>
      <c r="DU200" s="2716"/>
      <c r="DV200" s="2715"/>
      <c r="DW200" s="2716"/>
      <c r="DX200" s="2716"/>
      <c r="DY200" s="2716"/>
      <c r="DZ200" s="2716"/>
      <c r="EA200" s="2715"/>
      <c r="EB200" s="2716"/>
      <c r="EC200" s="2716"/>
      <c r="ED200" s="2716"/>
      <c r="EE200" s="2716"/>
      <c r="EF200" s="2715"/>
      <c r="EG200" s="2716"/>
      <c r="EH200" s="2716"/>
      <c r="EI200" s="2716"/>
      <c r="EJ200" s="2716"/>
      <c r="EK200" s="2715"/>
      <c r="EL200" s="2716"/>
      <c r="EM200" s="2716"/>
      <c r="EN200" s="2716"/>
      <c r="EO200" s="2716"/>
      <c r="EP200" s="2715"/>
      <c r="EQ200" s="2716"/>
      <c r="ER200" s="2716"/>
      <c r="ES200" s="2716"/>
      <c r="ET200" s="2716"/>
      <c r="EU200" s="2715"/>
      <c r="EV200" s="2715"/>
      <c r="EW200" s="2715"/>
      <c r="EX200" s="2715"/>
      <c r="EY200" s="2715"/>
      <c r="EZ200" s="768"/>
      <c r="FA200" s="1319"/>
      <c r="FB200" s="1319"/>
    </row>
    <row r="201" spans="1:158" s="768" customFormat="1" hidden="1">
      <c r="A201" s="3562" t="str">
        <f>+A319</f>
        <v>OI&amp;E</v>
      </c>
      <c r="B201" s="404"/>
      <c r="C201" s="404"/>
      <c r="D201" s="404"/>
      <c r="E201" s="404"/>
      <c r="F201" s="404"/>
      <c r="G201" s="404"/>
      <c r="H201" s="404"/>
      <c r="I201" s="404"/>
      <c r="J201" s="404"/>
      <c r="K201" s="404"/>
      <c r="L201" s="404"/>
      <c r="M201" s="404"/>
      <c r="N201" s="404"/>
      <c r="O201" s="404"/>
      <c r="P201" s="404"/>
      <c r="Q201" s="404"/>
      <c r="R201" s="404"/>
      <c r="S201" s="404"/>
      <c r="T201" s="404"/>
      <c r="U201" s="404"/>
      <c r="V201" s="404"/>
      <c r="W201" s="404"/>
      <c r="X201" s="404"/>
      <c r="Y201" s="404"/>
      <c r="Z201" s="404"/>
      <c r="AA201" s="404"/>
      <c r="AB201" s="404"/>
      <c r="AC201" s="404"/>
      <c r="AD201" s="404"/>
      <c r="AE201" s="404"/>
      <c r="AF201" s="404"/>
      <c r="AG201" s="404"/>
      <c r="AH201" s="404"/>
      <c r="AI201" s="404"/>
      <c r="AJ201" s="404"/>
      <c r="AK201" s="404"/>
      <c r="AL201" s="404"/>
      <c r="AM201" s="404"/>
      <c r="AN201" s="404"/>
      <c r="AO201" s="404"/>
      <c r="AP201" s="404"/>
      <c r="AQ201" s="404"/>
      <c r="AR201" s="404"/>
      <c r="AS201" s="404"/>
      <c r="AT201" s="404"/>
      <c r="AU201" s="404"/>
      <c r="AV201" s="404"/>
      <c r="AW201" s="404"/>
      <c r="AX201" s="404"/>
      <c r="AY201" s="404"/>
      <c r="AZ201" s="404"/>
      <c r="BA201" s="404"/>
      <c r="BB201" s="404"/>
      <c r="BC201" s="404"/>
      <c r="BD201" s="404"/>
      <c r="BE201" s="404"/>
      <c r="BF201" s="404"/>
      <c r="BG201" s="404"/>
      <c r="BH201" s="404"/>
      <c r="BI201" s="404"/>
      <c r="BJ201" s="404"/>
      <c r="BK201" s="404"/>
      <c r="BL201" s="404"/>
      <c r="BM201" s="404"/>
      <c r="BN201" s="404"/>
      <c r="BO201" s="404"/>
      <c r="BP201" s="404"/>
      <c r="BQ201" s="404"/>
      <c r="BR201" s="404"/>
      <c r="BS201" s="404"/>
      <c r="BT201" s="404"/>
      <c r="BU201" s="404"/>
      <c r="BV201" s="404"/>
      <c r="BW201" s="404"/>
      <c r="BX201" s="404"/>
      <c r="BY201" s="404"/>
      <c r="BZ201" s="404"/>
      <c r="CA201" s="404"/>
      <c r="CB201" s="404"/>
      <c r="CC201" s="404"/>
      <c r="CD201" s="404"/>
      <c r="CE201" s="404"/>
      <c r="CF201" s="404"/>
      <c r="CG201" s="404"/>
      <c r="CH201" s="2705">
        <f t="shared" ref="CH201:CW203" si="508">+CH319</f>
        <v>496</v>
      </c>
      <c r="CI201" s="2706">
        <f t="shared" si="508"/>
        <v>357</v>
      </c>
      <c r="CJ201" s="2706">
        <f t="shared" si="508"/>
        <v>145</v>
      </c>
      <c r="CK201" s="2706">
        <f t="shared" si="508"/>
        <v>133</v>
      </c>
      <c r="CL201" s="2706">
        <f t="shared" si="508"/>
        <v>128</v>
      </c>
      <c r="CM201" s="2705">
        <f t="shared" si="508"/>
        <v>763</v>
      </c>
      <c r="CN201" s="2707">
        <f t="shared" si="508"/>
        <v>157</v>
      </c>
      <c r="CO201" s="2707">
        <f t="shared" si="508"/>
        <v>131</v>
      </c>
      <c r="CP201" s="2707">
        <f t="shared" si="508"/>
        <v>183</v>
      </c>
      <c r="CQ201" s="2707">
        <f t="shared" si="508"/>
        <v>-180</v>
      </c>
      <c r="CR201" s="2705">
        <f t="shared" si="508"/>
        <v>291</v>
      </c>
      <c r="CS201" s="2707">
        <f t="shared" si="508"/>
        <v>-213</v>
      </c>
      <c r="CT201" s="2707">
        <f t="shared" si="508"/>
        <v>151</v>
      </c>
      <c r="CU201" s="2707">
        <f t="shared" si="508"/>
        <v>278</v>
      </c>
      <c r="CV201" s="2707">
        <f t="shared" si="508"/>
        <v>218</v>
      </c>
      <c r="CW201" s="2705">
        <f t="shared" si="508"/>
        <v>434</v>
      </c>
      <c r="CX201" s="2707">
        <f t="shared" ref="CX201:DQ201" si="509">+CX319</f>
        <v>251</v>
      </c>
      <c r="CY201" s="2707">
        <f t="shared" si="509"/>
        <v>245</v>
      </c>
      <c r="CZ201" s="2707">
        <f t="shared" si="509"/>
        <v>197</v>
      </c>
      <c r="DA201" s="2707">
        <f t="shared" si="509"/>
        <v>354</v>
      </c>
      <c r="DB201" s="2705">
        <f t="shared" si="509"/>
        <v>1047</v>
      </c>
      <c r="DC201" s="2707">
        <f t="shared" si="509"/>
        <v>2910</v>
      </c>
      <c r="DD201" s="2707">
        <f t="shared" si="509"/>
        <v>1170</v>
      </c>
      <c r="DE201" s="2707">
        <f t="shared" si="509"/>
        <v>1458</v>
      </c>
      <c r="DF201" s="2707">
        <f t="shared" si="509"/>
        <v>1851</v>
      </c>
      <c r="DG201" s="2705">
        <f t="shared" si="509"/>
        <v>7389</v>
      </c>
      <c r="DH201" s="2707">
        <f t="shared" si="509"/>
        <v>1538</v>
      </c>
      <c r="DI201" s="2707">
        <f t="shared" si="509"/>
        <v>2967</v>
      </c>
      <c r="DJ201" s="2707">
        <f t="shared" si="509"/>
        <v>-549</v>
      </c>
      <c r="DK201" s="2707">
        <f t="shared" si="509"/>
        <v>1438</v>
      </c>
      <c r="DL201" s="2705">
        <f t="shared" si="509"/>
        <v>5394</v>
      </c>
      <c r="DM201" s="2707">
        <f t="shared" si="509"/>
        <v>-220</v>
      </c>
      <c r="DN201" s="2707">
        <f t="shared" si="509"/>
        <v>1894</v>
      </c>
      <c r="DO201" s="2707">
        <f>+DO319</f>
        <v>2146</v>
      </c>
      <c r="DP201" s="2707">
        <f t="shared" si="509"/>
        <v>3038</v>
      </c>
      <c r="DQ201" s="2705">
        <f t="shared" si="509"/>
        <v>6858</v>
      </c>
      <c r="DR201" s="2707"/>
      <c r="DS201" s="2707"/>
      <c r="DT201" s="2707"/>
      <c r="DU201" s="2707"/>
      <c r="DV201" s="2705"/>
      <c r="DW201" s="2707"/>
      <c r="DX201" s="2707"/>
      <c r="DY201" s="2707"/>
      <c r="DZ201" s="2707"/>
      <c r="EA201" s="2705"/>
      <c r="EB201" s="2707"/>
      <c r="EC201" s="2707"/>
      <c r="ED201" s="2707"/>
      <c r="EE201" s="2707"/>
      <c r="EF201" s="2705"/>
      <c r="EG201" s="2707"/>
      <c r="EH201" s="2707"/>
      <c r="EI201" s="2707"/>
      <c r="EJ201" s="2707"/>
      <c r="EK201" s="2705"/>
      <c r="EL201" s="2707"/>
      <c r="EM201" s="2707"/>
      <c r="EN201" s="2707"/>
      <c r="EO201" s="2707"/>
      <c r="EP201" s="2705"/>
      <c r="EQ201" s="2707"/>
      <c r="ER201" s="2707"/>
      <c r="ES201" s="2707"/>
      <c r="ET201" s="2707"/>
      <c r="EU201" s="2705"/>
      <c r="EV201" s="2705"/>
      <c r="EW201" s="2705"/>
      <c r="EX201" s="2705"/>
      <c r="EY201" s="2705"/>
      <c r="FA201" s="1319"/>
      <c r="FB201" s="1319"/>
    </row>
    <row r="202" spans="1:158" s="768" customFormat="1" hidden="1">
      <c r="A202" s="3562" t="str">
        <f>+A320</f>
        <v>Provision for tax less tax effect</v>
      </c>
      <c r="B202" s="404"/>
      <c r="C202" s="404"/>
      <c r="D202" s="404"/>
      <c r="E202" s="404"/>
      <c r="F202" s="404"/>
      <c r="G202" s="404"/>
      <c r="H202" s="404"/>
      <c r="I202" s="404"/>
      <c r="J202" s="404"/>
      <c r="K202" s="404"/>
      <c r="L202" s="404"/>
      <c r="M202" s="404"/>
      <c r="N202" s="404"/>
      <c r="O202" s="404"/>
      <c r="P202" s="404"/>
      <c r="Q202" s="404"/>
      <c r="R202" s="404"/>
      <c r="S202" s="404"/>
      <c r="T202" s="404"/>
      <c r="U202" s="404"/>
      <c r="V202" s="404"/>
      <c r="W202" s="404"/>
      <c r="X202" s="404"/>
      <c r="Y202" s="404"/>
      <c r="Z202" s="404"/>
      <c r="AA202" s="404"/>
      <c r="AB202" s="404"/>
      <c r="AC202" s="404"/>
      <c r="AD202" s="404"/>
      <c r="AE202" s="404"/>
      <c r="AF202" s="404"/>
      <c r="AG202" s="404"/>
      <c r="AH202" s="404"/>
      <c r="AI202" s="404"/>
      <c r="AJ202" s="404"/>
      <c r="AK202" s="404"/>
      <c r="AL202" s="404"/>
      <c r="AM202" s="404"/>
      <c r="AN202" s="404"/>
      <c r="AO202" s="404"/>
      <c r="AP202" s="404"/>
      <c r="AQ202" s="404"/>
      <c r="AR202" s="404"/>
      <c r="AS202" s="404"/>
      <c r="AT202" s="404"/>
      <c r="AU202" s="404"/>
      <c r="AV202" s="404"/>
      <c r="AW202" s="404"/>
      <c r="AX202" s="404"/>
      <c r="AY202" s="404"/>
      <c r="AZ202" s="404"/>
      <c r="BA202" s="404"/>
      <c r="BB202" s="404"/>
      <c r="BC202" s="404"/>
      <c r="BD202" s="404"/>
      <c r="BE202" s="404"/>
      <c r="BF202" s="404"/>
      <c r="BG202" s="404"/>
      <c r="BH202" s="404"/>
      <c r="BI202" s="404"/>
      <c r="BJ202" s="404"/>
      <c r="BK202" s="404"/>
      <c r="BL202" s="404"/>
      <c r="BM202" s="404"/>
      <c r="BN202" s="404"/>
      <c r="BO202" s="404"/>
      <c r="BP202" s="404"/>
      <c r="BQ202" s="404"/>
      <c r="BR202" s="404"/>
      <c r="BS202" s="404"/>
      <c r="BT202" s="404"/>
      <c r="BU202" s="404"/>
      <c r="BV202" s="404"/>
      <c r="BW202" s="404"/>
      <c r="BX202" s="404"/>
      <c r="BY202" s="404"/>
      <c r="BZ202" s="404"/>
      <c r="CA202" s="404"/>
      <c r="CB202" s="404"/>
      <c r="CC202" s="404"/>
      <c r="CD202" s="404"/>
      <c r="CE202" s="404"/>
      <c r="CF202" s="404"/>
      <c r="CG202" s="404"/>
      <c r="CH202" s="2705">
        <f t="shared" si="508"/>
        <v>2552</v>
      </c>
      <c r="CI202" s="2706">
        <f t="shared" si="508"/>
        <v>903.34400000000005</v>
      </c>
      <c r="CJ202" s="2706">
        <f t="shared" si="508"/>
        <v>982.74959999999999</v>
      </c>
      <c r="CK202" s="2706">
        <f t="shared" si="508"/>
        <v>933.39400000000001</v>
      </c>
      <c r="CL202" s="2706">
        <f t="shared" si="508"/>
        <v>819.38699999999994</v>
      </c>
      <c r="CM202" s="2705">
        <f t="shared" si="508"/>
        <v>3331</v>
      </c>
      <c r="CN202" s="2707">
        <f t="shared" si="508"/>
        <v>1089.7667999999999</v>
      </c>
      <c r="CO202" s="2707">
        <f t="shared" si="508"/>
        <v>1025</v>
      </c>
      <c r="CP202" s="2707">
        <f t="shared" si="508"/>
        <v>912</v>
      </c>
      <c r="CQ202" s="2707">
        <f t="shared" si="508"/>
        <v>277</v>
      </c>
      <c r="CR202" s="2705">
        <f t="shared" si="508"/>
        <v>3303.7667999999999</v>
      </c>
      <c r="CS202" s="2707">
        <f t="shared" si="508"/>
        <v>922</v>
      </c>
      <c r="CT202" s="2707">
        <f t="shared" si="508"/>
        <v>1242</v>
      </c>
      <c r="CU202" s="2707">
        <f t="shared" si="508"/>
        <v>984</v>
      </c>
      <c r="CV202" s="2707">
        <f t="shared" si="508"/>
        <v>1524</v>
      </c>
      <c r="CW202" s="2705">
        <f t="shared" si="508"/>
        <v>4672</v>
      </c>
      <c r="CX202" s="2707">
        <f t="shared" ref="CX202:DQ202" si="510">+CX320</f>
        <v>1393</v>
      </c>
      <c r="CY202" s="2707">
        <f t="shared" si="510"/>
        <v>853</v>
      </c>
      <c r="CZ202" s="2707">
        <f t="shared" si="510"/>
        <v>1247</v>
      </c>
      <c r="DA202" s="2707">
        <f t="shared" si="510"/>
        <v>11038</v>
      </c>
      <c r="DB202" s="2705">
        <f t="shared" si="510"/>
        <v>14531</v>
      </c>
      <c r="DC202" s="2707">
        <f t="shared" si="510"/>
        <v>1142</v>
      </c>
      <c r="DD202" s="2707">
        <f t="shared" si="510"/>
        <v>1020</v>
      </c>
      <c r="DE202" s="2707">
        <f t="shared" si="510"/>
        <v>891</v>
      </c>
      <c r="DF202" s="2707">
        <f t="shared" si="510"/>
        <v>1124</v>
      </c>
      <c r="DG202" s="2705">
        <f t="shared" si="510"/>
        <v>4177</v>
      </c>
      <c r="DH202" s="2707">
        <f t="shared" si="510"/>
        <v>1489</v>
      </c>
      <c r="DI202" s="2707">
        <f t="shared" si="510"/>
        <v>2200</v>
      </c>
      <c r="DJ202" s="2707">
        <f t="shared" si="510"/>
        <v>1560</v>
      </c>
      <c r="DK202" s="2707">
        <f t="shared" si="510"/>
        <v>33</v>
      </c>
      <c r="DL202" s="2705">
        <f t="shared" si="510"/>
        <v>5282</v>
      </c>
      <c r="DM202" s="2707">
        <f t="shared" si="510"/>
        <v>921</v>
      </c>
      <c r="DN202" s="2707">
        <f t="shared" si="510"/>
        <v>1318</v>
      </c>
      <c r="DO202" s="2707">
        <f>+DO320</f>
        <v>2112</v>
      </c>
      <c r="DP202" s="2707">
        <f t="shared" si="510"/>
        <v>3462</v>
      </c>
      <c r="DQ202" s="2705">
        <f t="shared" si="510"/>
        <v>7813</v>
      </c>
      <c r="DR202" s="2707"/>
      <c r="DS202" s="2707"/>
      <c r="DT202" s="2707"/>
      <c r="DU202" s="2707"/>
      <c r="DV202" s="2705"/>
      <c r="DW202" s="2707"/>
      <c r="DX202" s="2707"/>
      <c r="DY202" s="2707"/>
      <c r="DZ202" s="2707"/>
      <c r="EA202" s="2705"/>
      <c r="EB202" s="2707"/>
      <c r="EC202" s="2707"/>
      <c r="ED202" s="2707"/>
      <c r="EE202" s="2707"/>
      <c r="EF202" s="2705"/>
      <c r="EG202" s="2707"/>
      <c r="EH202" s="2707"/>
      <c r="EI202" s="2707"/>
      <c r="EJ202" s="2707"/>
      <c r="EK202" s="2705"/>
      <c r="EL202" s="2707"/>
      <c r="EM202" s="2707"/>
      <c r="EN202" s="2707"/>
      <c r="EO202" s="2707"/>
      <c r="EP202" s="2705"/>
      <c r="EQ202" s="2707"/>
      <c r="ER202" s="2707"/>
      <c r="ES202" s="2707"/>
      <c r="ET202" s="2707"/>
      <c r="EU202" s="2705"/>
      <c r="EV202" s="2705"/>
      <c r="EW202" s="2705"/>
      <c r="EX202" s="2705"/>
      <c r="EY202" s="2705"/>
      <c r="FA202" s="1319"/>
      <c r="FB202" s="1319"/>
    </row>
    <row r="203" spans="1:158" s="768" customFormat="1" hidden="1">
      <c r="A203" s="3562" t="str">
        <f>+A321</f>
        <v>Discontinued</v>
      </c>
      <c r="B203" s="404"/>
      <c r="C203" s="404"/>
      <c r="D203" s="404"/>
      <c r="E203" s="404"/>
      <c r="F203" s="404"/>
      <c r="G203" s="404"/>
      <c r="H203" s="404"/>
      <c r="I203" s="404"/>
      <c r="J203" s="404"/>
      <c r="K203" s="404"/>
      <c r="L203" s="404"/>
      <c r="M203" s="404"/>
      <c r="N203" s="404"/>
      <c r="O203" s="404"/>
      <c r="P203" s="404"/>
      <c r="Q203" s="404"/>
      <c r="R203" s="404"/>
      <c r="S203" s="404"/>
      <c r="T203" s="404"/>
      <c r="U203" s="404"/>
      <c r="V203" s="404"/>
      <c r="W203" s="404"/>
      <c r="X203" s="404"/>
      <c r="Y203" s="404"/>
      <c r="Z203" s="404"/>
      <c r="AA203" s="404"/>
      <c r="AB203" s="404"/>
      <c r="AC203" s="404"/>
      <c r="AD203" s="404"/>
      <c r="AE203" s="404"/>
      <c r="AF203" s="404"/>
      <c r="AG203" s="404"/>
      <c r="AH203" s="404"/>
      <c r="AI203" s="404"/>
      <c r="AJ203" s="404"/>
      <c r="AK203" s="404"/>
      <c r="AL203" s="404"/>
      <c r="AM203" s="404"/>
      <c r="AN203" s="404"/>
      <c r="AO203" s="404"/>
      <c r="AP203" s="404"/>
      <c r="AQ203" s="404"/>
      <c r="AR203" s="404"/>
      <c r="AS203" s="404"/>
      <c r="AT203" s="404"/>
      <c r="AU203" s="404"/>
      <c r="AV203" s="404"/>
      <c r="AW203" s="404"/>
      <c r="AX203" s="404"/>
      <c r="AY203" s="404"/>
      <c r="AZ203" s="404"/>
      <c r="BA203" s="404"/>
      <c r="BB203" s="404"/>
      <c r="BC203" s="404"/>
      <c r="BD203" s="404"/>
      <c r="BE203" s="404"/>
      <c r="BF203" s="404"/>
      <c r="BG203" s="404"/>
      <c r="BH203" s="404"/>
      <c r="BI203" s="404"/>
      <c r="BJ203" s="404"/>
      <c r="BK203" s="404"/>
      <c r="BL203" s="404"/>
      <c r="BM203" s="404"/>
      <c r="BN203" s="404"/>
      <c r="BO203" s="404"/>
      <c r="BP203" s="404"/>
      <c r="BQ203" s="404"/>
      <c r="BR203" s="404"/>
      <c r="BS203" s="404"/>
      <c r="BT203" s="404"/>
      <c r="BU203" s="404"/>
      <c r="BV203" s="404"/>
      <c r="BW203" s="404"/>
      <c r="BX203" s="404"/>
      <c r="BY203" s="404"/>
      <c r="BZ203" s="404"/>
      <c r="CA203" s="404"/>
      <c r="CB203" s="404"/>
      <c r="CC203" s="404"/>
      <c r="CD203" s="404"/>
      <c r="CE203" s="404"/>
      <c r="CF203" s="404"/>
      <c r="CG203" s="404"/>
      <c r="CH203" s="2705">
        <f t="shared" si="508"/>
        <v>-109</v>
      </c>
      <c r="CI203" s="2706">
        <f t="shared" si="508"/>
        <v>0</v>
      </c>
      <c r="CJ203" s="2706">
        <f t="shared" si="508"/>
        <v>0</v>
      </c>
      <c r="CK203" s="2706">
        <f t="shared" si="508"/>
        <v>0</v>
      </c>
      <c r="CL203" s="2706">
        <f t="shared" si="508"/>
        <v>0</v>
      </c>
      <c r="CM203" s="2705">
        <f t="shared" si="508"/>
        <v>0</v>
      </c>
      <c r="CN203" s="2707">
        <f t="shared" si="508"/>
        <v>0</v>
      </c>
      <c r="CO203" s="2707">
        <f t="shared" si="508"/>
        <v>0</v>
      </c>
      <c r="CP203" s="2707">
        <f t="shared" si="508"/>
        <v>0</v>
      </c>
      <c r="CQ203" s="2707">
        <f t="shared" si="508"/>
        <v>0</v>
      </c>
      <c r="CR203" s="2705">
        <f t="shared" si="508"/>
        <v>0</v>
      </c>
      <c r="CS203" s="2707">
        <f t="shared" si="508"/>
        <v>0</v>
      </c>
      <c r="CT203" s="2707">
        <f t="shared" si="508"/>
        <v>0</v>
      </c>
      <c r="CU203" s="2707">
        <f t="shared" si="508"/>
        <v>0</v>
      </c>
      <c r="CV203" s="2707">
        <f t="shared" si="508"/>
        <v>0</v>
      </c>
      <c r="CW203" s="2705">
        <f t="shared" si="508"/>
        <v>0</v>
      </c>
      <c r="CX203" s="2707">
        <f t="shared" ref="CX203:DQ203" si="511">+CX321</f>
        <v>0</v>
      </c>
      <c r="CY203" s="2707">
        <f t="shared" si="511"/>
        <v>0</v>
      </c>
      <c r="CZ203" s="2707">
        <f t="shared" si="511"/>
        <v>0</v>
      </c>
      <c r="DA203" s="2707">
        <f t="shared" si="511"/>
        <v>0</v>
      </c>
      <c r="DB203" s="2705">
        <f t="shared" si="511"/>
        <v>0</v>
      </c>
      <c r="DC203" s="2707">
        <f t="shared" si="511"/>
        <v>0</v>
      </c>
      <c r="DD203" s="2707">
        <f t="shared" si="511"/>
        <v>0</v>
      </c>
      <c r="DE203" s="2707">
        <f t="shared" si="511"/>
        <v>0</v>
      </c>
      <c r="DF203" s="2707">
        <f t="shared" si="511"/>
        <v>0</v>
      </c>
      <c r="DG203" s="2705">
        <f t="shared" si="511"/>
        <v>0</v>
      </c>
      <c r="DH203" s="2707">
        <f t="shared" si="511"/>
        <v>0</v>
      </c>
      <c r="DI203" s="2707">
        <f t="shared" si="511"/>
        <v>0</v>
      </c>
      <c r="DJ203" s="2707">
        <f t="shared" si="511"/>
        <v>0</v>
      </c>
      <c r="DK203" s="2707">
        <f t="shared" si="511"/>
        <v>0</v>
      </c>
      <c r="DL203" s="2705">
        <f t="shared" si="511"/>
        <v>0</v>
      </c>
      <c r="DM203" s="2707">
        <f t="shared" si="511"/>
        <v>0</v>
      </c>
      <c r="DN203" s="2707">
        <f t="shared" si="511"/>
        <v>0</v>
      </c>
      <c r="DO203" s="2707">
        <f>+DO321</f>
        <v>0</v>
      </c>
      <c r="DP203" s="2707">
        <f t="shared" si="511"/>
        <v>0</v>
      </c>
      <c r="DQ203" s="2705">
        <f t="shared" si="511"/>
        <v>0</v>
      </c>
      <c r="DR203" s="2707"/>
      <c r="DS203" s="2707"/>
      <c r="DT203" s="2707"/>
      <c r="DU203" s="2707"/>
      <c r="DV203" s="2705"/>
      <c r="DW203" s="2707"/>
      <c r="DX203" s="2707"/>
      <c r="DY203" s="2707"/>
      <c r="DZ203" s="2707"/>
      <c r="EA203" s="2705"/>
      <c r="EB203" s="2707"/>
      <c r="EC203" s="2707"/>
      <c r="ED203" s="2707"/>
      <c r="EE203" s="2707"/>
      <c r="EF203" s="2705"/>
      <c r="EG203" s="2707"/>
      <c r="EH203" s="2707"/>
      <c r="EI203" s="2707"/>
      <c r="EJ203" s="2707"/>
      <c r="EK203" s="2705"/>
      <c r="EL203" s="2707"/>
      <c r="EM203" s="2707"/>
      <c r="EN203" s="2707"/>
      <c r="EO203" s="2707"/>
      <c r="EP203" s="2705"/>
      <c r="EQ203" s="2707"/>
      <c r="ER203" s="2707"/>
      <c r="ES203" s="2707"/>
      <c r="ET203" s="2707"/>
      <c r="EU203" s="2705"/>
      <c r="EV203" s="2705"/>
      <c r="EW203" s="2705"/>
      <c r="EX203" s="2705"/>
      <c r="EY203" s="2705"/>
      <c r="FA203" s="1319"/>
      <c r="FB203" s="1319"/>
    </row>
    <row r="204" spans="1:158" s="627" customFormat="1" hidden="1">
      <c r="A204" s="4487" t="s">
        <v>538</v>
      </c>
      <c r="B204" s="3238"/>
      <c r="C204" s="3238"/>
      <c r="D204" s="3238"/>
      <c r="E204" s="3238"/>
      <c r="F204" s="3238"/>
      <c r="G204" s="3238"/>
      <c r="H204" s="3238"/>
      <c r="I204" s="3238"/>
      <c r="J204" s="3238"/>
      <c r="K204" s="3238"/>
      <c r="L204" s="3238"/>
      <c r="M204" s="3238"/>
      <c r="N204" s="3238"/>
      <c r="O204" s="3238"/>
      <c r="P204" s="3238"/>
      <c r="Q204" s="3238"/>
      <c r="R204" s="3238"/>
      <c r="S204" s="3238"/>
      <c r="T204" s="3238"/>
      <c r="U204" s="3238"/>
      <c r="V204" s="3238"/>
      <c r="W204" s="3238"/>
      <c r="X204" s="3238"/>
      <c r="Y204" s="3238"/>
      <c r="Z204" s="3238"/>
      <c r="AA204" s="3238"/>
      <c r="AB204" s="3238"/>
      <c r="AC204" s="3238"/>
      <c r="AD204" s="3238"/>
      <c r="AE204" s="3238"/>
      <c r="AF204" s="3238"/>
      <c r="AG204" s="3238"/>
      <c r="AH204" s="3238"/>
      <c r="AI204" s="3238"/>
      <c r="AJ204" s="3238"/>
      <c r="AK204" s="3238"/>
      <c r="AL204" s="3238"/>
      <c r="AM204" s="3238"/>
      <c r="AN204" s="3238"/>
      <c r="AO204" s="3238"/>
      <c r="AP204" s="3238"/>
      <c r="AQ204" s="3238"/>
      <c r="AR204" s="3238"/>
      <c r="AS204" s="3238"/>
      <c r="AT204" s="3238"/>
      <c r="AU204" s="3238"/>
      <c r="AV204" s="3238"/>
      <c r="AW204" s="3238"/>
      <c r="AX204" s="3238"/>
      <c r="AY204" s="3238"/>
      <c r="AZ204" s="3238"/>
      <c r="BA204" s="3238"/>
      <c r="BB204" s="3238"/>
      <c r="BC204" s="3238"/>
      <c r="BD204" s="3238"/>
      <c r="BE204" s="3238"/>
      <c r="BF204" s="3238"/>
      <c r="BG204" s="3238"/>
      <c r="BH204" s="3238"/>
      <c r="BI204" s="3238"/>
      <c r="BJ204" s="3238"/>
      <c r="BK204" s="3238"/>
      <c r="BL204" s="3238"/>
      <c r="BM204" s="3238"/>
      <c r="BN204" s="3238"/>
      <c r="BO204" s="3238"/>
      <c r="BP204" s="3238"/>
      <c r="BQ204" s="3238"/>
      <c r="BR204" s="3238"/>
      <c r="BS204" s="3238"/>
      <c r="BT204" s="3238"/>
      <c r="BU204" s="3238"/>
      <c r="BV204" s="3238"/>
      <c r="BW204" s="3238"/>
      <c r="BX204" s="3238"/>
      <c r="BY204" s="3238"/>
      <c r="BZ204" s="3238"/>
      <c r="CA204" s="3238"/>
      <c r="CB204" s="3238"/>
      <c r="CC204" s="3238"/>
      <c r="CD204" s="3238"/>
      <c r="CE204" s="3238"/>
      <c r="CF204" s="3238"/>
      <c r="CG204" s="3238"/>
      <c r="CH204" s="3239">
        <f>CH199+CH201-CH202-CH203</f>
        <v>14313</v>
      </c>
      <c r="CI204" s="3240" t="s">
        <v>373</v>
      </c>
      <c r="CJ204" s="3240" t="s">
        <v>373</v>
      </c>
      <c r="CK204" s="3240" t="s">
        <v>373</v>
      </c>
      <c r="CL204" s="3240">
        <f t="shared" ref="CL204:DB204" si="512">CL199+CL201-CL202-CL203</f>
        <v>4531.6130000000003</v>
      </c>
      <c r="CM204" s="3239">
        <f t="shared" si="512"/>
        <v>16443</v>
      </c>
      <c r="CN204" s="3240">
        <f t="shared" si="512"/>
        <v>4255.2332000000006</v>
      </c>
      <c r="CO204" s="3240">
        <f t="shared" si="512"/>
        <v>4714</v>
      </c>
      <c r="CP204" s="3240">
        <f t="shared" si="512"/>
        <v>5078</v>
      </c>
      <c r="CQ204" s="3240">
        <f t="shared" si="512"/>
        <v>6287</v>
      </c>
      <c r="CR204" s="3239">
        <f t="shared" si="512"/>
        <v>20334.233199999999</v>
      </c>
      <c r="CS204" s="3240">
        <f t="shared" si="512"/>
        <v>5110</v>
      </c>
      <c r="CT204" s="3240">
        <f t="shared" si="512"/>
        <v>5899</v>
      </c>
      <c r="CU204" s="3240">
        <f t="shared" si="512"/>
        <v>6068</v>
      </c>
      <c r="CV204" s="3240">
        <f t="shared" si="512"/>
        <v>6577</v>
      </c>
      <c r="CW204" s="3239">
        <f t="shared" si="512"/>
        <v>23654</v>
      </c>
      <c r="CX204" s="3240">
        <f t="shared" si="512"/>
        <v>6304</v>
      </c>
      <c r="CY204" s="3240">
        <f t="shared" si="512"/>
        <v>7056</v>
      </c>
      <c r="CZ204" s="3240">
        <f t="shared" si="512"/>
        <v>7532</v>
      </c>
      <c r="DA204" s="3240">
        <f t="shared" si="512"/>
        <v>-2089</v>
      </c>
      <c r="DB204" s="3239">
        <f t="shared" si="512"/>
        <v>18803</v>
      </c>
      <c r="DC204" s="3240">
        <f t="shared" ref="DC204:DQ204" si="513">DC199+DC201-DC202-DC203</f>
        <v>10136</v>
      </c>
      <c r="DD204" s="3240">
        <f t="shared" si="513"/>
        <v>9109</v>
      </c>
      <c r="DE204" s="3240">
        <f t="shared" si="513"/>
        <v>10057</v>
      </c>
      <c r="DF204" s="3240">
        <f t="shared" si="513"/>
        <v>10303</v>
      </c>
      <c r="DG204" s="3239">
        <f t="shared" si="513"/>
        <v>42001</v>
      </c>
      <c r="DH204" s="3240">
        <f t="shared" si="513"/>
        <v>9237</v>
      </c>
      <c r="DI204" s="3240">
        <f t="shared" si="513"/>
        <v>11047</v>
      </c>
      <c r="DJ204" s="3240">
        <f t="shared" si="513"/>
        <v>8637</v>
      </c>
      <c r="DK204" s="3240">
        <f t="shared" si="513"/>
        <v>12864</v>
      </c>
      <c r="DL204" s="3239">
        <f t="shared" si="513"/>
        <v>44466</v>
      </c>
      <c r="DM204" s="3240">
        <f t="shared" si="513"/>
        <v>8677</v>
      </c>
      <c r="DN204" s="3240">
        <f t="shared" si="513"/>
        <v>8689</v>
      </c>
      <c r="DO204" s="3240">
        <f>DO199+DO201-DO202-DO203</f>
        <v>13279</v>
      </c>
      <c r="DP204" s="3240">
        <f t="shared" si="513"/>
        <v>17399</v>
      </c>
      <c r="DQ204" s="3239">
        <f t="shared" si="513"/>
        <v>48044</v>
      </c>
      <c r="DR204" s="3240"/>
      <c r="DS204" s="3240"/>
      <c r="DT204" s="3240"/>
      <c r="DU204" s="3240"/>
      <c r="DV204" s="3239"/>
      <c r="DW204" s="3240"/>
      <c r="DX204" s="3240"/>
      <c r="DY204" s="3240"/>
      <c r="DZ204" s="3240"/>
      <c r="EA204" s="3239"/>
      <c r="EB204" s="3240"/>
      <c r="EC204" s="3240"/>
      <c r="ED204" s="3240"/>
      <c r="EE204" s="3240"/>
      <c r="EF204" s="3239"/>
      <c r="EG204" s="3240"/>
      <c r="EH204" s="3240"/>
      <c r="EI204" s="3240"/>
      <c r="EJ204" s="3240"/>
      <c r="EK204" s="3239"/>
      <c r="EL204" s="3240"/>
      <c r="EM204" s="3240"/>
      <c r="EN204" s="3240"/>
      <c r="EO204" s="3240"/>
      <c r="EP204" s="3239"/>
      <c r="EQ204" s="3240"/>
      <c r="ER204" s="3240"/>
      <c r="ES204" s="3240"/>
      <c r="ET204" s="3240"/>
      <c r="EU204" s="3239"/>
      <c r="EV204" s="3239"/>
      <c r="EW204" s="3239"/>
      <c r="EX204" s="3239"/>
      <c r="EY204" s="3239"/>
      <c r="EZ204" s="768"/>
      <c r="FA204" s="1319"/>
      <c r="FB204" s="1319"/>
    </row>
    <row r="205" spans="1:158" s="768" customFormat="1" hidden="1">
      <c r="A205" s="4488" t="s">
        <v>539</v>
      </c>
      <c r="B205" s="3241"/>
      <c r="C205" s="3241"/>
      <c r="D205" s="3241"/>
      <c r="E205" s="3241"/>
      <c r="F205" s="3241"/>
      <c r="G205" s="3241"/>
      <c r="H205" s="3241"/>
      <c r="I205" s="3241"/>
      <c r="J205" s="3241"/>
      <c r="K205" s="3241"/>
      <c r="L205" s="3241"/>
      <c r="M205" s="3241"/>
      <c r="N205" s="3241"/>
      <c r="O205" s="3241"/>
      <c r="P205" s="3241"/>
      <c r="Q205" s="3241"/>
      <c r="R205" s="3241"/>
      <c r="S205" s="3241"/>
      <c r="T205" s="3241"/>
      <c r="U205" s="3241"/>
      <c r="V205" s="3241"/>
      <c r="W205" s="3241"/>
      <c r="X205" s="3241"/>
      <c r="Y205" s="3241"/>
      <c r="Z205" s="3241"/>
      <c r="AA205" s="3241"/>
      <c r="AB205" s="3241"/>
      <c r="AC205" s="3241"/>
      <c r="AD205" s="3241"/>
      <c r="AE205" s="3241"/>
      <c r="AF205" s="3241"/>
      <c r="AG205" s="3241"/>
      <c r="AH205" s="3241"/>
      <c r="AI205" s="3241"/>
      <c r="AJ205" s="3241"/>
      <c r="AK205" s="3241"/>
      <c r="AL205" s="3241"/>
      <c r="AM205" s="3241"/>
      <c r="AN205" s="3241"/>
      <c r="AO205" s="3241"/>
      <c r="AP205" s="3241"/>
      <c r="AQ205" s="3241"/>
      <c r="AR205" s="3241"/>
      <c r="AS205" s="3241"/>
      <c r="AT205" s="3241"/>
      <c r="AU205" s="3241"/>
      <c r="AV205" s="3241"/>
      <c r="AW205" s="3241"/>
      <c r="AX205" s="3241"/>
      <c r="AY205" s="3241"/>
      <c r="AZ205" s="3241"/>
      <c r="BA205" s="3241"/>
      <c r="BB205" s="3241"/>
      <c r="BC205" s="3241"/>
      <c r="BD205" s="3241"/>
      <c r="BE205" s="3241"/>
      <c r="BF205" s="3241"/>
      <c r="BG205" s="3241"/>
      <c r="BH205" s="3241"/>
      <c r="BI205" s="3241"/>
      <c r="BJ205" s="3241"/>
      <c r="BK205" s="3241"/>
      <c r="BL205" s="3241"/>
      <c r="BM205" s="3241"/>
      <c r="BN205" s="3241"/>
      <c r="BO205" s="3241"/>
      <c r="BP205" s="3241"/>
      <c r="BQ205" s="3241"/>
      <c r="BR205" s="3241"/>
      <c r="BS205" s="3241"/>
      <c r="BT205" s="3241"/>
      <c r="BU205" s="3241"/>
      <c r="BV205" s="3241"/>
      <c r="BW205" s="3241"/>
      <c r="BX205" s="3241"/>
      <c r="BY205" s="3241"/>
      <c r="BZ205" s="3241"/>
      <c r="CA205" s="3241"/>
      <c r="CB205" s="3241"/>
      <c r="CC205" s="3241"/>
      <c r="CD205" s="3241"/>
      <c r="CE205" s="3241"/>
      <c r="CF205" s="3241"/>
      <c r="CG205" s="3241"/>
      <c r="CH205" s="3242">
        <f>CH204/CH206</f>
        <v>1.0561260179038927</v>
      </c>
      <c r="CI205" s="3243" t="s">
        <v>373</v>
      </c>
      <c r="CJ205" s="3243" t="s">
        <v>373</v>
      </c>
      <c r="CK205" s="3243" t="s">
        <v>373</v>
      </c>
      <c r="CL205" s="3244">
        <f t="shared" ref="CL205:DB205" si="514">CL204/CL206</f>
        <v>0.32909747549350682</v>
      </c>
      <c r="CM205" s="3242">
        <f t="shared" si="514"/>
        <v>1.1966029662188713</v>
      </c>
      <c r="CN205" s="3244">
        <f t="shared" si="514"/>
        <v>0.30857473118123624</v>
      </c>
      <c r="CO205" s="3244">
        <f t="shared" si="514"/>
        <v>0.34116008904611228</v>
      </c>
      <c r="CP205" s="3244">
        <f t="shared" si="514"/>
        <v>0.3656820568067416</v>
      </c>
      <c r="CQ205" s="3244">
        <f t="shared" si="514"/>
        <v>0.45098812811592126</v>
      </c>
      <c r="CR205" s="3242">
        <f t="shared" si="514"/>
        <v>1.4672646010419521</v>
      </c>
      <c r="CS205" s="3244">
        <f t="shared" si="514"/>
        <v>0.36535961825282309</v>
      </c>
      <c r="CT205" s="3244">
        <f t="shared" si="514"/>
        <v>0.42326364323875976</v>
      </c>
      <c r="CU205" s="3244">
        <f t="shared" si="514"/>
        <v>0.43439665540347056</v>
      </c>
      <c r="CV205" s="3244">
        <f t="shared" si="514"/>
        <v>0.46963744303584154</v>
      </c>
      <c r="CW205" s="3242">
        <f t="shared" si="514"/>
        <v>1.6927005063646228</v>
      </c>
      <c r="CX205" s="3244">
        <f t="shared" si="514"/>
        <v>0.44897982439646972</v>
      </c>
      <c r="CY205" s="3244">
        <f t="shared" si="514"/>
        <v>0.50149039876162571</v>
      </c>
      <c r="CZ205" s="3244">
        <f t="shared" si="514"/>
        <v>0.53515906985204265</v>
      </c>
      <c r="DA205" s="3244">
        <f t="shared" si="514"/>
        <v>-2.962788566954909</v>
      </c>
      <c r="DB205" s="3242">
        <f t="shared" si="514"/>
        <v>1.3362299313230543</v>
      </c>
      <c r="DC205" s="3244">
        <f t="shared" ref="DC205:DQ205" si="515">DC204/DC206</f>
        <v>0.71872863881191373</v>
      </c>
      <c r="DD205" s="3244">
        <f t="shared" si="515"/>
        <v>0.64763873859397914</v>
      </c>
      <c r="DE205" s="3244">
        <f t="shared" si="515"/>
        <v>0.71441865487263778</v>
      </c>
      <c r="DF205" s="3244">
        <f t="shared" si="515"/>
        <v>0.73498464115371831</v>
      </c>
      <c r="DG205" s="3242">
        <f t="shared" si="515"/>
        <v>2.9860593450945725</v>
      </c>
      <c r="DH205" s="3244">
        <f t="shared" si="515"/>
        <v>0.65895825099624894</v>
      </c>
      <c r="DI205" s="3244">
        <f t="shared" si="515"/>
        <v>0.78912328524445907</v>
      </c>
      <c r="DJ205" s="3244">
        <f t="shared" si="515"/>
        <v>0.618519934860978</v>
      </c>
      <c r="DK205" s="3244">
        <f t="shared" si="515"/>
        <v>0.92520936601869408</v>
      </c>
      <c r="DL205" s="3242">
        <f t="shared" si="515"/>
        <v>3.1827060516937431</v>
      </c>
      <c r="DM205" s="3244">
        <f t="shared" si="515"/>
        <v>0.62670905878801098</v>
      </c>
      <c r="DN205" s="3244">
        <f t="shared" si="515"/>
        <v>0.63236509932695217</v>
      </c>
      <c r="DO205" s="3244">
        <f>DO204/DO206</f>
        <v>0.96806740822715132</v>
      </c>
      <c r="DP205" s="3244">
        <f t="shared" si="515"/>
        <v>1.2737767014315438</v>
      </c>
      <c r="DQ205" s="3242">
        <f t="shared" si="515"/>
        <v>3.4965108760162891</v>
      </c>
      <c r="DR205" s="3244"/>
      <c r="DS205" s="3244"/>
      <c r="DT205" s="3244"/>
      <c r="DU205" s="3244"/>
      <c r="DV205" s="3242"/>
      <c r="DW205" s="3244"/>
      <c r="DX205" s="3244"/>
      <c r="DY205" s="3244"/>
      <c r="DZ205" s="3244"/>
      <c r="EA205" s="3242"/>
      <c r="EB205" s="3244"/>
      <c r="EC205" s="3244"/>
      <c r="ED205" s="3244"/>
      <c r="EE205" s="3244"/>
      <c r="EF205" s="3242"/>
      <c r="EG205" s="3244"/>
      <c r="EH205" s="3244"/>
      <c r="EI205" s="3244"/>
      <c r="EJ205" s="3244"/>
      <c r="EK205" s="3242"/>
      <c r="EL205" s="3244"/>
      <c r="EM205" s="3244"/>
      <c r="EN205" s="3244"/>
      <c r="EO205" s="3244"/>
      <c r="EP205" s="3242"/>
      <c r="EQ205" s="3244"/>
      <c r="ER205" s="3244"/>
      <c r="ES205" s="3244"/>
      <c r="ET205" s="3244"/>
      <c r="EU205" s="3242"/>
      <c r="EV205" s="3242"/>
      <c r="EW205" s="3242"/>
      <c r="EX205" s="3242"/>
      <c r="EY205" s="3242"/>
      <c r="FA205" s="1319"/>
      <c r="FB205" s="1319"/>
    </row>
    <row r="206" spans="1:158" s="768" customFormat="1" hidden="1">
      <c r="A206" s="3562" t="str">
        <f>+A324</f>
        <v>Diluted Shares</v>
      </c>
      <c r="B206" s="404"/>
      <c r="C206" s="404"/>
      <c r="D206" s="404"/>
      <c r="E206" s="404"/>
      <c r="F206" s="404"/>
      <c r="G206" s="404"/>
      <c r="H206" s="404"/>
      <c r="I206" s="404"/>
      <c r="J206" s="404"/>
      <c r="K206" s="404"/>
      <c r="L206" s="404"/>
      <c r="M206" s="404"/>
      <c r="N206" s="404"/>
      <c r="O206" s="404"/>
      <c r="P206" s="404"/>
      <c r="Q206" s="404"/>
      <c r="R206" s="404"/>
      <c r="S206" s="404"/>
      <c r="T206" s="404"/>
      <c r="U206" s="404"/>
      <c r="V206" s="404"/>
      <c r="W206" s="404"/>
      <c r="X206" s="404"/>
      <c r="Y206" s="404"/>
      <c r="Z206" s="404"/>
      <c r="AA206" s="404"/>
      <c r="AB206" s="404"/>
      <c r="AC206" s="404"/>
      <c r="AD206" s="404"/>
      <c r="AE206" s="404"/>
      <c r="AF206" s="404"/>
      <c r="AG206" s="404"/>
      <c r="AH206" s="404"/>
      <c r="AI206" s="404"/>
      <c r="AJ206" s="404"/>
      <c r="AK206" s="404"/>
      <c r="AL206" s="404"/>
      <c r="AM206" s="404"/>
      <c r="AN206" s="404"/>
      <c r="AO206" s="404"/>
      <c r="AP206" s="404"/>
      <c r="AQ206" s="404"/>
      <c r="AR206" s="404"/>
      <c r="AS206" s="404"/>
      <c r="AT206" s="404"/>
      <c r="AU206" s="404"/>
      <c r="AV206" s="404"/>
      <c r="AW206" s="404"/>
      <c r="AX206" s="404"/>
      <c r="AY206" s="404"/>
      <c r="AZ206" s="404"/>
      <c r="BA206" s="404"/>
      <c r="BB206" s="404"/>
      <c r="BC206" s="404"/>
      <c r="BD206" s="404"/>
      <c r="BE206" s="404"/>
      <c r="BF206" s="404"/>
      <c r="BG206" s="404"/>
      <c r="BH206" s="404"/>
      <c r="BI206" s="404"/>
      <c r="BJ206" s="404"/>
      <c r="BK206" s="404"/>
      <c r="BL206" s="404"/>
      <c r="BM206" s="404"/>
      <c r="BN206" s="404"/>
      <c r="BO206" s="404"/>
      <c r="BP206" s="404"/>
      <c r="BQ206" s="404"/>
      <c r="BR206" s="404"/>
      <c r="BS206" s="404"/>
      <c r="BT206" s="404"/>
      <c r="BU206" s="404"/>
      <c r="BV206" s="404"/>
      <c r="BW206" s="404"/>
      <c r="BX206" s="404"/>
      <c r="BY206" s="404"/>
      <c r="BZ206" s="404"/>
      <c r="CA206" s="404"/>
      <c r="CB206" s="404"/>
      <c r="CC206" s="404"/>
      <c r="CD206" s="404"/>
      <c r="CE206" s="404"/>
      <c r="CF206" s="404"/>
      <c r="CG206" s="404"/>
      <c r="CH206" s="2705">
        <f t="shared" ref="CH206:DB206" si="516">+CH324</f>
        <v>13552.36</v>
      </c>
      <c r="CI206" s="2706">
        <f t="shared" si="516"/>
        <v>13704.24</v>
      </c>
      <c r="CJ206" s="2706">
        <f t="shared" si="516"/>
        <v>13727.26</v>
      </c>
      <c r="CK206" s="2706">
        <f t="shared" si="516"/>
        <v>13764.300000000001</v>
      </c>
      <c r="CL206" s="2706">
        <f t="shared" si="516"/>
        <v>13769.82</v>
      </c>
      <c r="CM206" s="2705">
        <f t="shared" si="516"/>
        <v>13741.400000000001</v>
      </c>
      <c r="CN206" s="2706">
        <f t="shared" si="516"/>
        <v>13789.960000000001</v>
      </c>
      <c r="CO206" s="2706">
        <f t="shared" si="516"/>
        <v>13817.560000000001</v>
      </c>
      <c r="CP206" s="2706">
        <f t="shared" si="516"/>
        <v>13886.38</v>
      </c>
      <c r="CQ206" s="2706">
        <f t="shared" si="516"/>
        <v>13940.5</v>
      </c>
      <c r="CR206" s="2705">
        <f t="shared" si="516"/>
        <v>13858.6</v>
      </c>
      <c r="CS206" s="2706">
        <f t="shared" si="516"/>
        <v>13986.220000000001</v>
      </c>
      <c r="CT206" s="2706">
        <f t="shared" si="516"/>
        <v>13936.939999999999</v>
      </c>
      <c r="CU206" s="2706">
        <f t="shared" si="516"/>
        <v>13968.800000000001</v>
      </c>
      <c r="CV206" s="2706">
        <f t="shared" si="516"/>
        <v>14004.42</v>
      </c>
      <c r="CW206" s="2705">
        <f t="shared" si="516"/>
        <v>13974.119999999999</v>
      </c>
      <c r="CX206" s="2706">
        <f t="shared" si="516"/>
        <v>14040.72</v>
      </c>
      <c r="CY206" s="2706">
        <f t="shared" si="516"/>
        <v>14070.060000000001</v>
      </c>
      <c r="CZ206" s="2706">
        <f t="shared" si="516"/>
        <v>14074.32</v>
      </c>
      <c r="DA206" s="2706">
        <f t="shared" si="516"/>
        <v>705.07899999999995</v>
      </c>
      <c r="DB206" s="2705">
        <f t="shared" si="516"/>
        <v>14071.680000000002</v>
      </c>
      <c r="DC206" s="2706">
        <f t="shared" ref="DC206:DQ206" si="517">+DC324</f>
        <v>14102.68</v>
      </c>
      <c r="DD206" s="2706">
        <f t="shared" si="517"/>
        <v>14064.939999999999</v>
      </c>
      <c r="DE206" s="2706">
        <f t="shared" si="517"/>
        <v>14077.18</v>
      </c>
      <c r="DF206" s="2706">
        <f t="shared" si="517"/>
        <v>14017.98</v>
      </c>
      <c r="DG206" s="2705">
        <f t="shared" si="517"/>
        <v>14065.695</v>
      </c>
      <c r="DH206" s="2706">
        <f t="shared" si="517"/>
        <v>14017.580000000002</v>
      </c>
      <c r="DI206" s="2706">
        <f t="shared" si="517"/>
        <v>13999.079999999998</v>
      </c>
      <c r="DJ206" s="2706">
        <f t="shared" si="517"/>
        <v>13963.98</v>
      </c>
      <c r="DK206" s="2706">
        <f t="shared" si="517"/>
        <v>13903.88</v>
      </c>
      <c r="DL206" s="2705">
        <f t="shared" si="517"/>
        <v>13971.13</v>
      </c>
      <c r="DM206" s="2706">
        <f t="shared" si="517"/>
        <v>13845.34</v>
      </c>
      <c r="DN206" s="2706">
        <f t="shared" si="517"/>
        <v>13740.48</v>
      </c>
      <c r="DO206" s="2706">
        <f>+DO324</f>
        <v>13717.02</v>
      </c>
      <c r="DP206" s="2706">
        <f t="shared" si="517"/>
        <v>13659.380000000001</v>
      </c>
      <c r="DQ206" s="2705">
        <f t="shared" si="517"/>
        <v>13740.555</v>
      </c>
      <c r="DR206" s="2706"/>
      <c r="DS206" s="2706"/>
      <c r="DT206" s="2706"/>
      <c r="DU206" s="2706"/>
      <c r="DV206" s="2705"/>
      <c r="DW206" s="2706"/>
      <c r="DX206" s="2706"/>
      <c r="DY206" s="2706"/>
      <c r="DZ206" s="2706"/>
      <c r="EA206" s="2705"/>
      <c r="EB206" s="2706"/>
      <c r="EC206" s="2706"/>
      <c r="ED206" s="2706"/>
      <c r="EE206" s="2706"/>
      <c r="EF206" s="2705"/>
      <c r="EG206" s="2706"/>
      <c r="EH206" s="2706"/>
      <c r="EI206" s="2706"/>
      <c r="EJ206" s="2706"/>
      <c r="EK206" s="2705"/>
      <c r="EL206" s="2706"/>
      <c r="EM206" s="2706"/>
      <c r="EN206" s="2706"/>
      <c r="EO206" s="2706"/>
      <c r="EP206" s="2705"/>
      <c r="EQ206" s="2706"/>
      <c r="ER206" s="2706"/>
      <c r="ES206" s="2706"/>
      <c r="ET206" s="2706"/>
      <c r="EU206" s="2705"/>
      <c r="EV206" s="2705"/>
      <c r="EW206" s="2705"/>
      <c r="EX206" s="2705"/>
      <c r="EY206" s="2705"/>
      <c r="FA206" s="1319"/>
      <c r="FB206" s="1319"/>
    </row>
    <row r="207" spans="1:158" hidden="1">
      <c r="A207" s="4474" t="s">
        <v>444</v>
      </c>
      <c r="B207" s="3245"/>
      <c r="C207" s="3245"/>
      <c r="D207" s="3245"/>
      <c r="E207" s="3245"/>
      <c r="F207" s="3245"/>
      <c r="G207" s="3245"/>
      <c r="H207" s="3245"/>
      <c r="I207" s="3245"/>
      <c r="J207" s="3245"/>
      <c r="K207" s="3245"/>
      <c r="L207" s="3245"/>
      <c r="M207" s="3245"/>
      <c r="N207" s="3245"/>
      <c r="O207" s="3245"/>
      <c r="P207" s="3245"/>
      <c r="Q207" s="3245"/>
      <c r="R207" s="3245"/>
      <c r="S207" s="3245"/>
      <c r="T207" s="3245"/>
      <c r="U207" s="3245"/>
      <c r="V207" s="3245"/>
      <c r="W207" s="3245"/>
      <c r="X207" s="3245"/>
      <c r="Y207" s="3245"/>
      <c r="Z207" s="3245"/>
      <c r="AA207" s="3245"/>
      <c r="AB207" s="3245"/>
      <c r="AC207" s="3245"/>
      <c r="AD207" s="3245"/>
      <c r="AE207" s="3245"/>
      <c r="AF207" s="3245"/>
      <c r="AG207" s="3245"/>
      <c r="AH207" s="3245"/>
      <c r="AI207" s="3245"/>
      <c r="AJ207" s="3245"/>
      <c r="AK207" s="3245"/>
      <c r="AL207" s="3245"/>
      <c r="AM207" s="3245"/>
      <c r="AN207" s="3245"/>
      <c r="AO207" s="3245"/>
      <c r="AP207" s="3245"/>
      <c r="AQ207" s="3245"/>
      <c r="AR207" s="3245"/>
      <c r="AS207" s="3245"/>
      <c r="AT207" s="3245"/>
      <c r="AU207" s="3245"/>
      <c r="AV207" s="3245"/>
      <c r="AW207" s="3245"/>
      <c r="AX207" s="3245"/>
      <c r="AY207" s="3245"/>
      <c r="AZ207" s="3245"/>
      <c r="BA207" s="3245"/>
      <c r="BB207" s="3245"/>
      <c r="BC207" s="3245"/>
      <c r="BD207" s="3245"/>
      <c r="BE207" s="3245"/>
      <c r="BF207" s="3245"/>
      <c r="BG207" s="3245"/>
      <c r="BH207" s="3245"/>
      <c r="BI207" s="3245"/>
      <c r="BJ207" s="3245"/>
      <c r="BK207" s="3245"/>
      <c r="BL207" s="3245"/>
      <c r="BM207" s="3245"/>
      <c r="BN207" s="3245"/>
      <c r="BO207" s="3245"/>
      <c r="BP207" s="3245"/>
      <c r="BQ207" s="3245"/>
      <c r="BR207" s="3245"/>
      <c r="BS207" s="3245"/>
      <c r="BT207" s="3245"/>
      <c r="BU207" s="3245"/>
      <c r="BV207" s="3245"/>
      <c r="BW207" s="3245"/>
      <c r="BX207" s="3245"/>
      <c r="BY207" s="3245"/>
      <c r="BZ207" s="3245"/>
      <c r="CA207" s="3245"/>
      <c r="CB207" s="3245"/>
      <c r="CC207" s="3245"/>
      <c r="CD207" s="3245"/>
      <c r="CE207" s="3245"/>
      <c r="CF207" s="3245"/>
      <c r="CG207" s="3245"/>
      <c r="CH207" s="3246">
        <v>7006</v>
      </c>
      <c r="CI207" s="3247" t="s">
        <v>373</v>
      </c>
      <c r="CJ207" s="3247" t="s">
        <v>373</v>
      </c>
      <c r="CK207" s="3247" t="s">
        <v>373</v>
      </c>
      <c r="CL207" s="3248">
        <v>3755</v>
      </c>
      <c r="CM207" s="3246">
        <v>11173</v>
      </c>
      <c r="CN207" s="3248">
        <v>2678</v>
      </c>
      <c r="CO207" s="3248">
        <v>2060</v>
      </c>
      <c r="CP207" s="3248">
        <v>2340</v>
      </c>
      <c r="CQ207" s="3248">
        <v>1787</v>
      </c>
      <c r="CR207" s="3249">
        <f>SUM(CN207:CQ207)</f>
        <v>8865</v>
      </c>
      <c r="CS207" s="3250">
        <v>2039</v>
      </c>
      <c r="CT207" s="3248">
        <v>2056</v>
      </c>
      <c r="CU207" s="3248">
        <v>2434</v>
      </c>
      <c r="CV207" s="3248">
        <v>2888</v>
      </c>
      <c r="CW207" s="3249">
        <f>SUM(CS207:CV207)</f>
        <v>9417</v>
      </c>
      <c r="CX207" s="3248">
        <v>2409</v>
      </c>
      <c r="CY207" s="3248">
        <v>2838</v>
      </c>
      <c r="CZ207" s="3248">
        <v>3563</v>
      </c>
      <c r="DA207" s="3248">
        <v>3809</v>
      </c>
      <c r="DB207" s="3249">
        <f>SUM(CX207:DA207)</f>
        <v>12619</v>
      </c>
      <c r="DC207" s="3248">
        <v>7669</v>
      </c>
      <c r="DD207" s="3248">
        <v>5299</v>
      </c>
      <c r="DE207" s="3248">
        <v>5643</v>
      </c>
      <c r="DF207" s="3248">
        <v>6849</v>
      </c>
      <c r="DG207" s="3249">
        <f>SUM(DC207:DF207)</f>
        <v>25460</v>
      </c>
      <c r="DH207" s="3248">
        <v>4534</v>
      </c>
      <c r="DI207" s="3248">
        <v>6896</v>
      </c>
      <c r="DJ207" s="3248">
        <v>7228</v>
      </c>
      <c r="DK207" s="3248">
        <v>6593</v>
      </c>
      <c r="DL207" s="3249">
        <f>SUM(DH207:DK207)</f>
        <v>25251</v>
      </c>
      <c r="DM207" s="3248">
        <v>5663</v>
      </c>
      <c r="DN207" s="3248">
        <v>4836</v>
      </c>
      <c r="DO207" s="3248">
        <v>5465</v>
      </c>
      <c r="DP207" s="3251">
        <f>+DP325-DP272</f>
        <v>5358.6</v>
      </c>
      <c r="DQ207" s="3249">
        <f>SUM(DM207:DP207)</f>
        <v>21322.6</v>
      </c>
      <c r="DR207" s="3251"/>
      <c r="DS207" s="3251"/>
      <c r="DT207" s="3251"/>
      <c r="DU207" s="3251"/>
      <c r="DV207" s="3249"/>
      <c r="DW207" s="3251"/>
      <c r="DX207" s="3251"/>
      <c r="DY207" s="3251"/>
      <c r="DZ207" s="3251"/>
      <c r="EA207" s="3249"/>
      <c r="EB207" s="3251"/>
      <c r="EC207" s="3251"/>
      <c r="ED207" s="3251"/>
      <c r="EE207" s="3251"/>
      <c r="EF207" s="3249"/>
      <c r="EG207" s="3251"/>
      <c r="EH207" s="3251"/>
      <c r="EI207" s="3251"/>
      <c r="EJ207" s="3251"/>
      <c r="EK207" s="3249"/>
      <c r="EL207" s="3251"/>
      <c r="EM207" s="3251"/>
      <c r="EN207" s="3251"/>
      <c r="EO207" s="3251"/>
      <c r="EP207" s="3249"/>
      <c r="EQ207" s="3251"/>
      <c r="ER207" s="3251"/>
      <c r="ES207" s="3251"/>
      <c r="ET207" s="3251"/>
      <c r="EU207" s="3249"/>
      <c r="EV207" s="3249"/>
      <c r="EW207" s="3249"/>
      <c r="EX207" s="3249"/>
      <c r="EY207" s="3249"/>
      <c r="FA207" s="1319"/>
      <c r="FB207" s="1319"/>
    </row>
    <row r="208" spans="1:158" hidden="1">
      <c r="A208" s="4486" t="s">
        <v>445</v>
      </c>
      <c r="B208" s="157"/>
      <c r="C208" s="157"/>
      <c r="D208" s="157"/>
      <c r="E208" s="157"/>
      <c r="F208" s="157"/>
      <c r="G208" s="157"/>
      <c r="H208" s="157"/>
      <c r="I208" s="157"/>
      <c r="J208" s="157"/>
      <c r="K208" s="157"/>
      <c r="L208" s="157"/>
      <c r="M208" s="157"/>
      <c r="N208" s="157"/>
      <c r="O208" s="157"/>
      <c r="P208" s="157"/>
      <c r="Q208" s="157"/>
      <c r="R208" s="157"/>
      <c r="S208" s="157"/>
      <c r="T208" s="157"/>
      <c r="U208" s="157"/>
      <c r="V208" s="157"/>
      <c r="W208" s="157"/>
      <c r="X208" s="157"/>
      <c r="Y208" s="157"/>
      <c r="Z208" s="157"/>
      <c r="AA208" s="157"/>
      <c r="AB208" s="157"/>
      <c r="AC208" s="157"/>
      <c r="AD208" s="157"/>
      <c r="AE208" s="157"/>
      <c r="AF208" s="157"/>
      <c r="AG208" s="157"/>
      <c r="AH208" s="157"/>
      <c r="AI208" s="157"/>
      <c r="AJ208" s="157"/>
      <c r="AK208" s="157"/>
      <c r="AL208" s="157"/>
      <c r="AM208" s="157"/>
      <c r="AN208" s="157"/>
      <c r="AO208" s="157"/>
      <c r="AP208" s="157"/>
      <c r="AQ208" s="157"/>
      <c r="AR208" s="157"/>
      <c r="AS208" s="157"/>
      <c r="AT208" s="157"/>
      <c r="AU208" s="157"/>
      <c r="AV208" s="157"/>
      <c r="AW208" s="157"/>
      <c r="AX208" s="157"/>
      <c r="AY208" s="157"/>
      <c r="AZ208" s="157"/>
      <c r="BA208" s="157"/>
      <c r="BB208" s="157"/>
      <c r="BC208" s="157"/>
      <c r="BD208" s="157"/>
      <c r="BE208" s="157"/>
      <c r="BF208" s="157"/>
      <c r="BG208" s="157"/>
      <c r="BH208" s="157"/>
      <c r="BI208" s="157"/>
      <c r="BJ208" s="157"/>
      <c r="BK208" s="157"/>
      <c r="BL208" s="157"/>
      <c r="BM208" s="157"/>
      <c r="BN208" s="157"/>
      <c r="BO208" s="157"/>
      <c r="BP208" s="157"/>
      <c r="BQ208" s="157"/>
      <c r="BR208" s="157"/>
      <c r="BS208" s="157"/>
      <c r="BT208" s="157"/>
      <c r="BU208" s="157"/>
      <c r="BV208" s="157"/>
      <c r="BW208" s="157"/>
      <c r="BX208" s="157"/>
      <c r="BY208" s="157"/>
      <c r="BZ208" s="157"/>
      <c r="CA208" s="157"/>
      <c r="CB208" s="157"/>
      <c r="CC208" s="157"/>
      <c r="CD208" s="157"/>
      <c r="CE208" s="157"/>
      <c r="CF208" s="157"/>
      <c r="CG208" s="157"/>
      <c r="CH208" s="2708">
        <v>3668</v>
      </c>
      <c r="CI208" s="655" t="s">
        <v>373</v>
      </c>
      <c r="CJ208" s="655" t="s">
        <v>373</v>
      </c>
      <c r="CK208" s="655" t="s">
        <v>373</v>
      </c>
      <c r="CL208" s="2709">
        <v>1214</v>
      </c>
      <c r="CM208" s="2708">
        <v>4778</v>
      </c>
      <c r="CN208" s="2709">
        <v>1137</v>
      </c>
      <c r="CO208" s="2709">
        <v>1189</v>
      </c>
      <c r="CP208" s="2709">
        <v>1200</v>
      </c>
      <c r="CQ208" s="2709">
        <v>1313</v>
      </c>
      <c r="CR208" s="2701">
        <f>SUM(CN208:CQ208)</f>
        <v>4839</v>
      </c>
      <c r="CS208" s="2710">
        <v>1317</v>
      </c>
      <c r="CT208" s="2709">
        <v>1409</v>
      </c>
      <c r="CU208" s="2709">
        <v>1488</v>
      </c>
      <c r="CV208" s="2709">
        <v>1586</v>
      </c>
      <c r="CW208" s="2701">
        <f>SUM(CS208:CV208)</f>
        <v>5800</v>
      </c>
      <c r="CX208" s="2709">
        <v>1416</v>
      </c>
      <c r="CY208" s="2709">
        <v>1564</v>
      </c>
      <c r="CZ208" s="2709">
        <v>1693</v>
      </c>
      <c r="DA208" s="2709">
        <v>1935</v>
      </c>
      <c r="DB208" s="2701">
        <f>SUM(CX208:DA208)</f>
        <v>6608</v>
      </c>
      <c r="DC208" s="2709">
        <v>1901</v>
      </c>
      <c r="DD208" s="2709">
        <v>2031</v>
      </c>
      <c r="DE208" s="2709">
        <v>2277</v>
      </c>
      <c r="DF208" s="2709">
        <v>2499</v>
      </c>
      <c r="DG208" s="2701">
        <f>SUM(DC208:DF208)</f>
        <v>8708</v>
      </c>
      <c r="DH208" s="2709">
        <v>2529</v>
      </c>
      <c r="DI208" s="2709">
        <v>2756</v>
      </c>
      <c r="DJ208" s="2709">
        <v>2837</v>
      </c>
      <c r="DK208" s="2709">
        <v>3036</v>
      </c>
      <c r="DL208" s="2701">
        <f>SUM(DH208:DK208)</f>
        <v>11158</v>
      </c>
      <c r="DM208" s="2709">
        <v>3013</v>
      </c>
      <c r="DN208" s="2709">
        <v>3292</v>
      </c>
      <c r="DO208" s="2709">
        <v>3383</v>
      </c>
      <c r="DP208" s="2702">
        <f>+DP257*DP$193</f>
        <v>3629.056</v>
      </c>
      <c r="DQ208" s="2701">
        <f>SUM(DM208:DP208)</f>
        <v>13317.056</v>
      </c>
      <c r="DR208" s="2702"/>
      <c r="DS208" s="2702"/>
      <c r="DT208" s="2702"/>
      <c r="DU208" s="2702"/>
      <c r="DV208" s="2701"/>
      <c r="DW208" s="2702"/>
      <c r="DX208" s="2702"/>
      <c r="DY208" s="2702"/>
      <c r="DZ208" s="2702"/>
      <c r="EA208" s="2701"/>
      <c r="EB208" s="2702"/>
      <c r="EC208" s="2702"/>
      <c r="ED208" s="2702"/>
      <c r="EE208" s="2702"/>
      <c r="EF208" s="2701"/>
      <c r="EG208" s="2702"/>
      <c r="EH208" s="2702"/>
      <c r="EI208" s="2702"/>
      <c r="EJ208" s="2702"/>
      <c r="EK208" s="2701"/>
      <c r="EL208" s="2702"/>
      <c r="EM208" s="2702"/>
      <c r="EN208" s="2702"/>
      <c r="EO208" s="2702"/>
      <c r="EP208" s="2701"/>
      <c r="EQ208" s="2702"/>
      <c r="ER208" s="2702"/>
      <c r="ES208" s="2702"/>
      <c r="ET208" s="2702"/>
      <c r="EU208" s="2701"/>
      <c r="EV208" s="2701"/>
      <c r="EW208" s="2701"/>
      <c r="EX208" s="2701"/>
      <c r="EY208" s="2701"/>
      <c r="FA208" s="1319"/>
      <c r="FB208" s="1319"/>
    </row>
    <row r="209" spans="1:159" s="535" customFormat="1" hidden="1">
      <c r="A209" s="3556"/>
      <c r="B209" s="157"/>
      <c r="C209" s="157"/>
      <c r="D209" s="157"/>
      <c r="E209" s="157"/>
      <c r="F209" s="157"/>
      <c r="G209" s="157"/>
      <c r="H209" s="157"/>
      <c r="I209" s="157"/>
      <c r="J209" s="157"/>
      <c r="K209" s="157"/>
      <c r="L209" s="157"/>
      <c r="M209" s="157"/>
      <c r="N209" s="157"/>
      <c r="O209" s="157"/>
      <c r="P209" s="157"/>
      <c r="Q209" s="157"/>
      <c r="R209" s="157"/>
      <c r="S209" s="157"/>
      <c r="T209" s="157"/>
      <c r="U209" s="157"/>
      <c r="V209" s="157"/>
      <c r="W209" s="157"/>
      <c r="X209" s="157"/>
      <c r="Y209" s="157"/>
      <c r="Z209" s="157"/>
      <c r="AA209" s="157"/>
      <c r="AB209" s="157"/>
      <c r="AC209" s="157"/>
      <c r="AD209" s="157"/>
      <c r="AE209" s="157"/>
      <c r="AF209" s="157"/>
      <c r="AG209" s="157"/>
      <c r="AH209" s="157"/>
      <c r="AI209" s="157"/>
      <c r="AJ209" s="157"/>
      <c r="AK209" s="157"/>
      <c r="AL209" s="157"/>
      <c r="AM209" s="157"/>
      <c r="AN209" s="157"/>
      <c r="AO209" s="157"/>
      <c r="AP209" s="157"/>
      <c r="AQ209" s="157"/>
      <c r="AR209" s="157"/>
      <c r="AS209" s="157"/>
      <c r="AT209" s="157"/>
      <c r="AU209" s="157"/>
      <c r="AV209" s="157"/>
      <c r="AW209" s="157"/>
      <c r="AX209" s="157"/>
      <c r="AY209" s="157"/>
      <c r="AZ209" s="157"/>
      <c r="BA209" s="157"/>
      <c r="BB209" s="157"/>
      <c r="BC209" s="157"/>
      <c r="BD209" s="157"/>
      <c r="BE209" s="157"/>
      <c r="BF209" s="157"/>
      <c r="BG209" s="157"/>
      <c r="BH209" s="157"/>
      <c r="BI209" s="157"/>
      <c r="BJ209" s="157"/>
      <c r="BK209" s="157"/>
      <c r="BL209" s="157"/>
      <c r="BM209" s="157"/>
      <c r="BN209" s="157"/>
      <c r="BO209" s="157"/>
      <c r="BP209" s="157"/>
      <c r="BQ209" s="157"/>
      <c r="BR209" s="157"/>
      <c r="BS209" s="157"/>
      <c r="BT209" s="157"/>
      <c r="BU209" s="157"/>
      <c r="BV209" s="157"/>
      <c r="BW209" s="157"/>
      <c r="BX209" s="157"/>
      <c r="BY209" s="157"/>
      <c r="BZ209" s="157"/>
      <c r="CA209" s="157"/>
      <c r="CB209" s="157"/>
      <c r="CC209" s="157"/>
      <c r="CD209" s="157"/>
      <c r="CE209" s="157"/>
      <c r="CF209" s="157"/>
      <c r="CG209" s="157"/>
      <c r="CH209" s="2717"/>
      <c r="CI209" s="655"/>
      <c r="CJ209" s="655"/>
      <c r="CK209" s="655"/>
      <c r="CL209" s="2709"/>
      <c r="CM209" s="2717"/>
      <c r="CN209" s="2709"/>
      <c r="CO209" s="2709"/>
      <c r="CP209" s="2709"/>
      <c r="CQ209" s="2709"/>
      <c r="CR209" s="2717"/>
      <c r="CS209" s="2702"/>
      <c r="CT209" s="2702"/>
      <c r="CU209" s="2702"/>
      <c r="CV209" s="2702"/>
      <c r="CW209" s="2717"/>
      <c r="CX209" s="2702"/>
      <c r="CY209" s="2702"/>
      <c r="CZ209" s="2702"/>
      <c r="DA209" s="2702"/>
      <c r="DB209" s="2717"/>
      <c r="DC209" s="2702"/>
      <c r="DD209" s="2702"/>
      <c r="DE209" s="2702"/>
      <c r="DF209" s="2702"/>
      <c r="DG209" s="2717"/>
      <c r="DH209" s="2702"/>
      <c r="DI209" s="2702"/>
      <c r="DJ209" s="2702"/>
      <c r="DK209" s="2702"/>
      <c r="DL209" s="2717"/>
      <c r="DM209" s="2702"/>
      <c r="DN209" s="2702"/>
      <c r="DO209" s="2702"/>
      <c r="DP209" s="2702"/>
      <c r="DQ209" s="4331"/>
      <c r="DR209" s="2702"/>
      <c r="DS209" s="2702"/>
      <c r="DT209" s="2702"/>
      <c r="DU209" s="2702"/>
      <c r="DV209" s="4331"/>
      <c r="DW209" s="2702"/>
      <c r="DX209" s="2702"/>
      <c r="DY209" s="2702"/>
      <c r="DZ209" s="2702"/>
      <c r="EA209" s="2717"/>
      <c r="EB209" s="2702"/>
      <c r="EC209" s="2702"/>
      <c r="ED209" s="2702"/>
      <c r="EE209" s="2702"/>
      <c r="EF209" s="2717"/>
      <c r="EG209" s="2702"/>
      <c r="EH209" s="2702"/>
      <c r="EI209" s="2702"/>
      <c r="EJ209" s="2702"/>
      <c r="EK209" s="2717"/>
      <c r="EL209" s="2702"/>
      <c r="EM209" s="2702"/>
      <c r="EN209" s="2702"/>
      <c r="EO209" s="2702"/>
      <c r="EP209" s="2717"/>
      <c r="EQ209" s="2702"/>
      <c r="ER209" s="2702"/>
      <c r="ES209" s="2702"/>
      <c r="ET209" s="2702"/>
      <c r="EU209" s="2717"/>
      <c r="EV209" s="2717"/>
      <c r="EW209" s="2717"/>
      <c r="EX209" s="2717"/>
      <c r="EY209" s="2717"/>
      <c r="EZ209" s="2586"/>
      <c r="FA209" s="4276"/>
      <c r="FB209" s="4276"/>
    </row>
    <row r="210" spans="1:159" s="535" customFormat="1" hidden="1">
      <c r="A210" s="4867" t="s">
        <v>462</v>
      </c>
      <c r="B210" s="2743"/>
      <c r="C210" s="2743"/>
      <c r="D210" s="2743"/>
      <c r="E210" s="2743"/>
      <c r="F210" s="2743"/>
      <c r="G210" s="2743"/>
      <c r="H210" s="2743"/>
      <c r="I210" s="2743"/>
      <c r="J210" s="2743"/>
      <c r="K210" s="2743"/>
      <c r="L210" s="2743"/>
      <c r="M210" s="2743"/>
      <c r="N210" s="2743"/>
      <c r="O210" s="2743"/>
      <c r="P210" s="2743"/>
      <c r="Q210" s="2743"/>
      <c r="R210" s="2743"/>
      <c r="S210" s="2743"/>
      <c r="T210" s="2743"/>
      <c r="U210" s="2743"/>
      <c r="V210" s="2743"/>
      <c r="W210" s="2743"/>
      <c r="X210" s="2743"/>
      <c r="Y210" s="2743"/>
      <c r="Z210" s="2743"/>
      <c r="AA210" s="2743"/>
      <c r="AB210" s="2743"/>
      <c r="AC210" s="2743"/>
      <c r="AD210" s="2743"/>
      <c r="AE210" s="2743"/>
      <c r="AF210" s="2743"/>
      <c r="AG210" s="2743"/>
      <c r="AH210" s="2743"/>
      <c r="AI210" s="2743"/>
      <c r="AJ210" s="2743"/>
      <c r="AK210" s="2743"/>
      <c r="AL210" s="2743"/>
      <c r="AM210" s="2743"/>
      <c r="AN210" s="2743"/>
      <c r="AO210" s="2743"/>
      <c r="AP210" s="2743"/>
      <c r="AQ210" s="2743"/>
      <c r="AR210" s="2743"/>
      <c r="AS210" s="2743"/>
      <c r="AT210" s="2743"/>
      <c r="AU210" s="2743"/>
      <c r="AV210" s="2743"/>
      <c r="AW210" s="2743"/>
      <c r="AX210" s="2743"/>
      <c r="AY210" s="2743"/>
      <c r="AZ210" s="2743"/>
      <c r="BA210" s="2743"/>
      <c r="BB210" s="2743"/>
      <c r="BC210" s="2743"/>
      <c r="BD210" s="2743"/>
      <c r="BE210" s="2743"/>
      <c r="BF210" s="2743"/>
      <c r="BG210" s="2743"/>
      <c r="BH210" s="2743"/>
      <c r="BI210" s="2743"/>
      <c r="BJ210" s="2743"/>
      <c r="BK210" s="2743"/>
      <c r="BL210" s="2743"/>
      <c r="BM210" s="2743"/>
      <c r="BN210" s="2743"/>
      <c r="BO210" s="2743"/>
      <c r="BP210" s="2743"/>
      <c r="BQ210" s="2743"/>
      <c r="BR210" s="2743"/>
      <c r="BS210" s="2743"/>
      <c r="BT210" s="2743"/>
      <c r="BU210" s="2743"/>
      <c r="BV210" s="2743"/>
      <c r="BW210" s="2743"/>
      <c r="BX210" s="2743"/>
      <c r="BY210" s="2743"/>
      <c r="BZ210" s="2743"/>
      <c r="CA210" s="2743"/>
      <c r="CB210" s="2743"/>
      <c r="CC210" s="2743"/>
      <c r="CD210" s="2743"/>
      <c r="CE210" s="2743"/>
      <c r="CF210" s="2743"/>
      <c r="CG210" s="2743"/>
      <c r="CH210" s="4868"/>
      <c r="CI210" s="2743"/>
      <c r="CJ210" s="2743"/>
      <c r="CK210" s="2743"/>
      <c r="CL210" s="2743"/>
      <c r="CM210" s="4868"/>
      <c r="CN210" s="2743"/>
      <c r="CO210" s="2743"/>
      <c r="CP210" s="2743"/>
      <c r="CQ210" s="2743"/>
      <c r="CR210" s="4868"/>
      <c r="CS210" s="4869"/>
      <c r="CT210" s="4869"/>
      <c r="CU210" s="4869"/>
      <c r="CV210" s="4869"/>
      <c r="CW210" s="4870"/>
      <c r="CX210" s="4869"/>
      <c r="CY210" s="4869"/>
      <c r="CZ210" s="4869"/>
      <c r="DA210" s="4869"/>
      <c r="DB210" s="4870"/>
      <c r="DC210" s="4869"/>
      <c r="DD210" s="4869"/>
      <c r="DE210" s="4869"/>
      <c r="DF210" s="4869"/>
      <c r="DG210" s="4870"/>
      <c r="DH210" s="4869"/>
      <c r="DI210" s="4869"/>
      <c r="DJ210" s="4869"/>
      <c r="DK210" s="4869"/>
      <c r="DL210" s="4870"/>
      <c r="DM210" s="4869"/>
      <c r="DN210" s="4869"/>
      <c r="DO210" s="4869"/>
      <c r="DP210" s="4869"/>
      <c r="DQ210" s="4868"/>
      <c r="DR210" s="4869"/>
      <c r="DS210" s="4869"/>
      <c r="DT210" s="4869"/>
      <c r="DU210" s="4869"/>
      <c r="DV210" s="4868"/>
      <c r="DW210" s="4869"/>
      <c r="DX210" s="4869"/>
      <c r="DY210" s="4869"/>
      <c r="DZ210" s="4869"/>
      <c r="EA210" s="4870"/>
      <c r="EB210" s="4869"/>
      <c r="EC210" s="4869"/>
      <c r="ED210" s="4869"/>
      <c r="EE210" s="4869"/>
      <c r="EF210" s="4870"/>
      <c r="EG210" s="4869"/>
      <c r="EH210" s="4869"/>
      <c r="EI210" s="4869"/>
      <c r="EJ210" s="4869"/>
      <c r="EK210" s="4870"/>
      <c r="EL210" s="4869"/>
      <c r="EM210" s="4869"/>
      <c r="EN210" s="4869"/>
      <c r="EO210" s="4869"/>
      <c r="EP210" s="4870"/>
      <c r="EQ210" s="4869"/>
      <c r="ER210" s="4869"/>
      <c r="ES210" s="4869"/>
      <c r="ET210" s="4869"/>
      <c r="EU210" s="4870"/>
      <c r="EV210" s="4870"/>
      <c r="EW210" s="4870"/>
      <c r="EX210" s="4870"/>
      <c r="EY210" s="4870"/>
      <c r="EZ210" s="2586"/>
      <c r="FA210" s="4276"/>
      <c r="FB210" s="4276"/>
    </row>
    <row r="211" spans="1:159" s="762" customFormat="1" hidden="1">
      <c r="A211" s="4553" t="str">
        <f t="shared" ref="A211:A218" si="518">A193</f>
        <v>Google Gross Revenue</v>
      </c>
      <c r="B211" s="4554"/>
      <c r="C211" s="4554"/>
      <c r="D211" s="4554"/>
      <c r="E211" s="4554"/>
      <c r="F211" s="4554"/>
      <c r="G211" s="4554"/>
      <c r="H211" s="4554"/>
      <c r="I211" s="4554"/>
      <c r="J211" s="4554"/>
      <c r="K211" s="4554"/>
      <c r="L211" s="4554"/>
      <c r="M211" s="4554"/>
      <c r="N211" s="4554"/>
      <c r="O211" s="4554"/>
      <c r="P211" s="4554"/>
      <c r="Q211" s="4554"/>
      <c r="R211" s="4554"/>
      <c r="S211" s="4554"/>
      <c r="T211" s="4554"/>
      <c r="U211" s="4554"/>
      <c r="V211" s="4554"/>
      <c r="W211" s="4554"/>
      <c r="X211" s="4554"/>
      <c r="Y211" s="4554"/>
      <c r="Z211" s="4554"/>
      <c r="AA211" s="4554"/>
      <c r="AB211" s="4554"/>
      <c r="AC211" s="4554"/>
      <c r="AD211" s="4554"/>
      <c r="AE211" s="4554"/>
      <c r="AF211" s="4554"/>
      <c r="AG211" s="4554"/>
      <c r="AH211" s="4554"/>
      <c r="AI211" s="4554"/>
      <c r="AJ211" s="4554"/>
      <c r="AK211" s="4554"/>
      <c r="AL211" s="4554"/>
      <c r="AM211" s="4554"/>
      <c r="AN211" s="4554"/>
      <c r="AO211" s="4554"/>
      <c r="AP211" s="4554"/>
      <c r="AQ211" s="4554"/>
      <c r="AR211" s="4554"/>
      <c r="AS211" s="4554"/>
      <c r="AT211" s="4554"/>
      <c r="AU211" s="4554"/>
      <c r="AV211" s="4554"/>
      <c r="AW211" s="4554"/>
      <c r="AX211" s="4554"/>
      <c r="AY211" s="4554"/>
      <c r="AZ211" s="4554"/>
      <c r="BA211" s="4554"/>
      <c r="BB211" s="4554"/>
      <c r="BC211" s="4554"/>
      <c r="BD211" s="4554"/>
      <c r="BE211" s="4554"/>
      <c r="BF211" s="4554"/>
      <c r="BG211" s="4554"/>
      <c r="BH211" s="4554"/>
      <c r="BI211" s="4554"/>
      <c r="BJ211" s="4554"/>
      <c r="BK211" s="4554"/>
      <c r="BL211" s="4554"/>
      <c r="BM211" s="4554"/>
      <c r="BN211" s="4554"/>
      <c r="BO211" s="4554"/>
      <c r="BP211" s="4554"/>
      <c r="BQ211" s="4554"/>
      <c r="BR211" s="4554"/>
      <c r="BS211" s="4554"/>
      <c r="BT211" s="4554"/>
      <c r="BU211" s="4554"/>
      <c r="BV211" s="4554"/>
      <c r="BW211" s="4554"/>
      <c r="BX211" s="4554"/>
      <c r="BY211" s="4554"/>
      <c r="BZ211" s="4554"/>
      <c r="CA211" s="4554"/>
      <c r="CB211" s="4554"/>
      <c r="CC211" s="4554"/>
      <c r="CD211" s="4554"/>
      <c r="CE211" s="4554"/>
      <c r="CF211" s="4554"/>
      <c r="CG211" s="4554"/>
      <c r="CH211" s="4555"/>
      <c r="CI211" s="4556"/>
      <c r="CJ211" s="4556"/>
      <c r="CK211" s="4556"/>
      <c r="CL211" s="4556"/>
      <c r="CM211" s="4555">
        <f>+IF(CM193&lt;0,IF(CH193&gt;0,"N/A",(-1)*(CM193/CH193-1)),IF(CH193&lt;0,"N/A",(CM193/CH193-1)))</f>
        <v>0.1831660871601779</v>
      </c>
      <c r="CN211" s="4557" t="str">
        <f t="shared" ref="CN211:CP215" si="519">+IFERROR(IF(CN193&lt;0,IF(CI193&gt;0,"N/A",(-1)*(CN193/CI193-1)),IF(CI193&lt;0,"N/A",(CN193/CI193-1))),"N/A")</f>
        <v>N/A</v>
      </c>
      <c r="CO211" s="4557" t="str">
        <f t="shared" si="519"/>
        <v>N/A</v>
      </c>
      <c r="CP211" s="4557" t="str">
        <f t="shared" si="519"/>
        <v>N/A</v>
      </c>
      <c r="CQ211" s="4556">
        <f t="shared" ref="CQ211:CZ215" si="520">+IF(CQ193&lt;0,IF(CL193&gt;0,"N/A",(-1)*(CQ193/CL193-1)),IF(CL193&lt;0,"N/A",(CQ193/CL193-1)))</f>
        <v>0.17680724565205308</v>
      </c>
      <c r="CR211" s="4555">
        <f t="shared" si="520"/>
        <v>0.13506105917105704</v>
      </c>
      <c r="CS211" s="4556">
        <f t="shared" si="520"/>
        <v>0.16963558039352655</v>
      </c>
      <c r="CT211" s="4556">
        <f t="shared" si="520"/>
        <v>0.20744349402367868</v>
      </c>
      <c r="CU211" s="4556">
        <f t="shared" si="520"/>
        <v>0.20071220459695693</v>
      </c>
      <c r="CV211" s="4557">
        <f t="shared" si="520"/>
        <v>0.21828226072996837</v>
      </c>
      <c r="CW211" s="4558">
        <f t="shared" si="520"/>
        <v>0.20013683193818421</v>
      </c>
      <c r="CX211" s="4557">
        <f t="shared" si="520"/>
        <v>0.22526378658172397</v>
      </c>
      <c r="CY211" s="4557">
        <f t="shared" si="520"/>
        <v>0.21571663148017839</v>
      </c>
      <c r="CZ211" s="4557">
        <f t="shared" si="520"/>
        <v>0.24269794194302152</v>
      </c>
      <c r="DA211" s="4557">
        <f t="shared" ref="DA211:DJ215" si="521">+IF(DA193&lt;0,IF(CV193&gt;0,"N/A",(-1)*(DA193/CV193-1)),IF(CV193&lt;0,"N/A",(DA193/CV193-1)))</f>
        <v>0.24765522052554068</v>
      </c>
      <c r="DB211" s="4558">
        <f t="shared" si="521"/>
        <v>0.23567284799302501</v>
      </c>
      <c r="DC211" s="4557">
        <f t="shared" si="521"/>
        <v>0.25907872288569345</v>
      </c>
      <c r="DD211" s="4557">
        <f t="shared" si="521"/>
        <v>0.25465982325473702</v>
      </c>
      <c r="DE211" s="4557">
        <f t="shared" si="521"/>
        <v>0.21475320918459584</v>
      </c>
      <c r="DF211" s="4557">
        <f t="shared" si="521"/>
        <v>0.21141898608349896</v>
      </c>
      <c r="DG211" s="4558">
        <f t="shared" si="521"/>
        <v>0.23352058400499343</v>
      </c>
      <c r="DH211" s="4557">
        <f t="shared" si="521"/>
        <v>0.16247257710672347</v>
      </c>
      <c r="DI211" s="4557">
        <f t="shared" si="521"/>
        <v>0.18953001968503935</v>
      </c>
      <c r="DJ211" s="4557">
        <f t="shared" si="521"/>
        <v>0.19738643805441458</v>
      </c>
      <c r="DK211" s="4557">
        <f t="shared" ref="DK211:DQ215" si="522">+IF(DK193&lt;0,IF(DF193&gt;0,"N/A",(-1)*(DK193/DF193-1)),IF(DF193&lt;0,"N/A",(DK193/DF193-1)))</f>
        <v>0.17472690907226007</v>
      </c>
      <c r="DL211" s="4558">
        <f t="shared" si="522"/>
        <v>0.17879614555374657</v>
      </c>
      <c r="DM211" s="4557">
        <f t="shared" si="522"/>
        <v>0.1371836145648313</v>
      </c>
      <c r="DN211" s="4557">
        <f t="shared" si="522"/>
        <v>-1.7479443553808816E-2</v>
      </c>
      <c r="DO211" s="4557">
        <f t="shared" si="522"/>
        <v>0.14399005593536351</v>
      </c>
      <c r="DP211" s="4557">
        <f t="shared" si="522"/>
        <v>0.23775430018335797</v>
      </c>
      <c r="DQ211" s="4558">
        <f t="shared" si="522"/>
        <v>0.13033849063411784</v>
      </c>
      <c r="DR211" s="4557"/>
      <c r="DS211" s="4557"/>
      <c r="DT211" s="4557"/>
      <c r="DU211" s="4557"/>
      <c r="DV211" s="4558"/>
      <c r="DW211" s="4557"/>
      <c r="DX211" s="4557"/>
      <c r="DY211" s="4557"/>
      <c r="DZ211" s="4557"/>
      <c r="EA211" s="4558"/>
      <c r="EB211" s="4557"/>
      <c r="EC211" s="4557"/>
      <c r="ED211" s="4557"/>
      <c r="EE211" s="4557"/>
      <c r="EF211" s="4558"/>
      <c r="EG211" s="4557"/>
      <c r="EH211" s="4557"/>
      <c r="EI211" s="4557"/>
      <c r="EJ211" s="4557"/>
      <c r="EK211" s="4558"/>
      <c r="EL211" s="4557"/>
      <c r="EM211" s="4557"/>
      <c r="EN211" s="4557"/>
      <c r="EO211" s="4557"/>
      <c r="EP211" s="4558"/>
      <c r="EQ211" s="4557"/>
      <c r="ER211" s="4557"/>
      <c r="ES211" s="4557"/>
      <c r="ET211" s="4557"/>
      <c r="EU211" s="4558"/>
      <c r="EV211" s="4558"/>
      <c r="EW211" s="4558"/>
      <c r="EX211" s="4558"/>
      <c r="EY211" s="4558"/>
      <c r="EZ211" s="1645"/>
      <c r="FA211" s="4275"/>
      <c r="FB211" s="4275"/>
    </row>
    <row r="212" spans="1:159" s="768" customFormat="1" hidden="1">
      <c r="A212" s="4476" t="str">
        <f t="shared" si="518"/>
        <v>TAC</v>
      </c>
      <c r="B212" s="2723"/>
      <c r="C212" s="2723"/>
      <c r="D212" s="2723"/>
      <c r="E212" s="2723"/>
      <c r="F212" s="2723"/>
      <c r="G212" s="2723"/>
      <c r="H212" s="2723"/>
      <c r="I212" s="2723"/>
      <c r="J212" s="2723"/>
      <c r="K212" s="2723"/>
      <c r="L212" s="2723"/>
      <c r="M212" s="2723"/>
      <c r="N212" s="2723"/>
      <c r="O212" s="2723"/>
      <c r="P212" s="2723"/>
      <c r="Q212" s="2723"/>
      <c r="R212" s="2723"/>
      <c r="S212" s="2723"/>
      <c r="T212" s="2723"/>
      <c r="U212" s="2723"/>
      <c r="V212" s="2723"/>
      <c r="W212" s="2723"/>
      <c r="X212" s="2723"/>
      <c r="Y212" s="2723"/>
      <c r="Z212" s="2723"/>
      <c r="AA212" s="2723"/>
      <c r="AB212" s="2723"/>
      <c r="AC212" s="2723"/>
      <c r="AD212" s="2723"/>
      <c r="AE212" s="2723"/>
      <c r="AF212" s="2723"/>
      <c r="AG212" s="2723"/>
      <c r="AH212" s="2723"/>
      <c r="AI212" s="2723"/>
      <c r="AJ212" s="2723"/>
      <c r="AK212" s="2723"/>
      <c r="AL212" s="2723"/>
      <c r="AM212" s="2723"/>
      <c r="AN212" s="2723"/>
      <c r="AO212" s="2723"/>
      <c r="AP212" s="2723"/>
      <c r="AQ212" s="2723"/>
      <c r="AR212" s="2723"/>
      <c r="AS212" s="2723"/>
      <c r="AT212" s="2723"/>
      <c r="AU212" s="2723"/>
      <c r="AV212" s="2723"/>
      <c r="AW212" s="2723"/>
      <c r="AX212" s="2723"/>
      <c r="AY212" s="2723"/>
      <c r="AZ212" s="2723"/>
      <c r="BA212" s="2723"/>
      <c r="BB212" s="2723"/>
      <c r="BC212" s="2723"/>
      <c r="BD212" s="2723"/>
      <c r="BE212" s="2723"/>
      <c r="BF212" s="2723"/>
      <c r="BG212" s="2723"/>
      <c r="BH212" s="2723"/>
      <c r="BI212" s="2723"/>
      <c r="BJ212" s="2723"/>
      <c r="BK212" s="2723"/>
      <c r="BL212" s="2723"/>
      <c r="BM212" s="2723"/>
      <c r="BN212" s="2723"/>
      <c r="BO212" s="2723"/>
      <c r="BP212" s="2723"/>
      <c r="BQ212" s="2723"/>
      <c r="BR212" s="2723"/>
      <c r="BS212" s="2723"/>
      <c r="BT212" s="2723"/>
      <c r="BU212" s="2723"/>
      <c r="BV212" s="2723"/>
      <c r="BW212" s="2723"/>
      <c r="BX212" s="2723"/>
      <c r="BY212" s="2723"/>
      <c r="BZ212" s="2723"/>
      <c r="CA212" s="2723"/>
      <c r="CB212" s="2723"/>
      <c r="CC212" s="2723"/>
      <c r="CD212" s="2723"/>
      <c r="CE212" s="2723"/>
      <c r="CF212" s="2723"/>
      <c r="CG212" s="2723"/>
      <c r="CH212" s="2724"/>
      <c r="CI212" s="2725"/>
      <c r="CJ212" s="2725"/>
      <c r="CK212" s="2725"/>
      <c r="CL212" s="2725"/>
      <c r="CM212" s="2724">
        <f>+IF(CM194&lt;0,IF(CH194&gt;0,"N/A",(-1)*(CM194/CH194-1)),IF(CH194&lt;0,"N/A",(CM194/CH194-1)))</f>
        <v>0.10084033613445387</v>
      </c>
      <c r="CN212" s="2726" t="str">
        <f t="shared" si="519"/>
        <v>N/A</v>
      </c>
      <c r="CO212" s="2726" t="str">
        <f t="shared" si="519"/>
        <v>N/A</v>
      </c>
      <c r="CP212" s="2726" t="str">
        <f t="shared" si="519"/>
        <v>N/A</v>
      </c>
      <c r="CQ212" s="2725">
        <f t="shared" si="520"/>
        <v>0.12016574585635365</v>
      </c>
      <c r="CR212" s="2724">
        <f t="shared" si="520"/>
        <v>6.2995627362335993E-2</v>
      </c>
      <c r="CS212" s="2725">
        <f t="shared" si="520"/>
        <v>0.13243647234678635</v>
      </c>
      <c r="CT212" s="2725">
        <f t="shared" si="520"/>
        <v>0.17708024874148642</v>
      </c>
      <c r="CU212" s="2725">
        <f t="shared" si="520"/>
        <v>0.17274256870443083</v>
      </c>
      <c r="CV212" s="2726">
        <f t="shared" si="520"/>
        <v>0.19556103575832307</v>
      </c>
      <c r="CW212" s="2887">
        <f t="shared" si="520"/>
        <v>0.17081503172279167</v>
      </c>
      <c r="CX212" s="2726">
        <f t="shared" si="520"/>
        <v>0.22201689545934533</v>
      </c>
      <c r="CY212" s="2726">
        <f t="shared" si="520"/>
        <v>0.28075471698113197</v>
      </c>
      <c r="CZ212" s="2726">
        <f t="shared" si="520"/>
        <v>0.31563845050215211</v>
      </c>
      <c r="DA212" s="2726">
        <f t="shared" si="521"/>
        <v>0.33044554455445541</v>
      </c>
      <c r="DB212" s="2887">
        <f t="shared" si="521"/>
        <v>0.29053772405168821</v>
      </c>
      <c r="DC212" s="2726">
        <f t="shared" si="521"/>
        <v>0.35839274141283206</v>
      </c>
      <c r="DD212" s="2726">
        <f t="shared" si="521"/>
        <v>0.26104890984089568</v>
      </c>
      <c r="DE212" s="2726">
        <f t="shared" si="521"/>
        <v>0.19629225736095957</v>
      </c>
      <c r="DF212" s="2726">
        <f t="shared" si="521"/>
        <v>0.15286821705426346</v>
      </c>
      <c r="DG212" s="2887">
        <f t="shared" si="521"/>
        <v>0.23320413436692511</v>
      </c>
      <c r="DH212" s="2726">
        <f t="shared" si="521"/>
        <v>9.0966921119592925E-2</v>
      </c>
      <c r="DI212" s="2726">
        <f t="shared" si="521"/>
        <v>0.12741433021806858</v>
      </c>
      <c r="DJ212" s="2726">
        <f t="shared" si="521"/>
        <v>0.13795199027651162</v>
      </c>
      <c r="DK212" s="2726">
        <f t="shared" si="522"/>
        <v>0.14322216245293173</v>
      </c>
      <c r="DL212" s="2887">
        <f t="shared" si="522"/>
        <v>0.1258325226371324</v>
      </c>
      <c r="DM212" s="2726">
        <f t="shared" si="522"/>
        <v>8.6297376093294353E-2</v>
      </c>
      <c r="DN212" s="2726">
        <f t="shared" si="522"/>
        <v>-7.5158883669521948E-2</v>
      </c>
      <c r="DO212" s="2726">
        <f t="shared" si="522"/>
        <v>9.0253671562082749E-2</v>
      </c>
      <c r="DP212" s="2726">
        <f t="shared" si="522"/>
        <v>0.23114927655569928</v>
      </c>
      <c r="DQ212" s="2887">
        <f t="shared" si="522"/>
        <v>8.9368207650636355E-2</v>
      </c>
      <c r="DR212" s="2726"/>
      <c r="DS212" s="2726"/>
      <c r="DT212" s="2726"/>
      <c r="DU212" s="2726"/>
      <c r="DV212" s="2887"/>
      <c r="DW212" s="2726"/>
      <c r="DX212" s="2726"/>
      <c r="DY212" s="2726"/>
      <c r="DZ212" s="2726"/>
      <c r="EA212" s="2887"/>
      <c r="EB212" s="2726"/>
      <c r="EC212" s="2726"/>
      <c r="ED212" s="2726"/>
      <c r="EE212" s="2726"/>
      <c r="EF212" s="2887"/>
      <c r="EG212" s="2726"/>
      <c r="EH212" s="2726"/>
      <c r="EI212" s="2726"/>
      <c r="EJ212" s="2726"/>
      <c r="EK212" s="2887"/>
      <c r="EL212" s="2726"/>
      <c r="EM212" s="2726"/>
      <c r="EN212" s="2726"/>
      <c r="EO212" s="2726"/>
      <c r="EP212" s="2887"/>
      <c r="EQ212" s="2726"/>
      <c r="ER212" s="2726"/>
      <c r="ES212" s="2726"/>
      <c r="ET212" s="2726"/>
      <c r="EU212" s="2887"/>
      <c r="EV212" s="2887"/>
      <c r="EW212" s="2887"/>
      <c r="EX212" s="2887"/>
      <c r="EY212" s="2887"/>
      <c r="FA212" s="4275"/>
      <c r="FB212" s="4275"/>
    </row>
    <row r="213" spans="1:159" s="762" customFormat="1" hidden="1">
      <c r="A213" s="1786" t="str">
        <f t="shared" si="518"/>
        <v>Google Net Revenue</v>
      </c>
      <c r="B213" s="2703"/>
      <c r="C213" s="2703"/>
      <c r="D213" s="2703"/>
      <c r="E213" s="2703"/>
      <c r="F213" s="2703"/>
      <c r="G213" s="2703"/>
      <c r="H213" s="2703"/>
      <c r="I213" s="2703"/>
      <c r="J213" s="2703"/>
      <c r="K213" s="2703"/>
      <c r="L213" s="2703"/>
      <c r="M213" s="2703"/>
      <c r="N213" s="2703"/>
      <c r="O213" s="2703"/>
      <c r="P213" s="2703"/>
      <c r="Q213" s="2703"/>
      <c r="R213" s="2703"/>
      <c r="S213" s="2703"/>
      <c r="T213" s="2703"/>
      <c r="U213" s="2703"/>
      <c r="V213" s="2703"/>
      <c r="W213" s="2703"/>
      <c r="X213" s="2703"/>
      <c r="Y213" s="2703"/>
      <c r="Z213" s="2703"/>
      <c r="AA213" s="2703"/>
      <c r="AB213" s="2703"/>
      <c r="AC213" s="2703"/>
      <c r="AD213" s="2703"/>
      <c r="AE213" s="2703"/>
      <c r="AF213" s="2703"/>
      <c r="AG213" s="2703"/>
      <c r="AH213" s="2703"/>
      <c r="AI213" s="2703"/>
      <c r="AJ213" s="2703"/>
      <c r="AK213" s="2703"/>
      <c r="AL213" s="2703"/>
      <c r="AM213" s="2703"/>
      <c r="AN213" s="2703"/>
      <c r="AO213" s="2703"/>
      <c r="AP213" s="2703"/>
      <c r="AQ213" s="2703"/>
      <c r="AR213" s="2703"/>
      <c r="AS213" s="2703"/>
      <c r="AT213" s="2703"/>
      <c r="AU213" s="2703"/>
      <c r="AV213" s="2703"/>
      <c r="AW213" s="2703"/>
      <c r="AX213" s="2703"/>
      <c r="AY213" s="2703"/>
      <c r="AZ213" s="2703"/>
      <c r="BA213" s="2703"/>
      <c r="BB213" s="2703"/>
      <c r="BC213" s="2703"/>
      <c r="BD213" s="2703"/>
      <c r="BE213" s="2703"/>
      <c r="BF213" s="2703"/>
      <c r="BG213" s="2703"/>
      <c r="BH213" s="2703"/>
      <c r="BI213" s="2703"/>
      <c r="BJ213" s="2703"/>
      <c r="BK213" s="2703"/>
      <c r="BL213" s="2703"/>
      <c r="BM213" s="2703"/>
      <c r="BN213" s="2703"/>
      <c r="BO213" s="2703"/>
      <c r="BP213" s="2703"/>
      <c r="BQ213" s="2703"/>
      <c r="BR213" s="2703"/>
      <c r="BS213" s="2703"/>
      <c r="BT213" s="2703"/>
      <c r="BU213" s="2703"/>
      <c r="BV213" s="2703"/>
      <c r="BW213" s="2703"/>
      <c r="BX213" s="2703"/>
      <c r="BY213" s="2703"/>
      <c r="BZ213" s="2703"/>
      <c r="CA213" s="2703"/>
      <c r="CB213" s="2703"/>
      <c r="CC213" s="2703"/>
      <c r="CD213" s="2703"/>
      <c r="CE213" s="2703"/>
      <c r="CF213" s="2703"/>
      <c r="CG213" s="2703"/>
      <c r="CH213" s="2721"/>
      <c r="CI213" s="2722"/>
      <c r="CJ213" s="2722"/>
      <c r="CK213" s="2722"/>
      <c r="CL213" s="2722"/>
      <c r="CM213" s="2721">
        <f>+IF(CM195&lt;0,IF(CH195&gt;0,"N/A",(-1)*(CM195/CH195-1)),IF(CH195&lt;0,"N/A",(CM195/CH195-1)))</f>
        <v>0.20649710982658953</v>
      </c>
      <c r="CN213" s="2727" t="str">
        <f t="shared" si="519"/>
        <v>N/A</v>
      </c>
      <c r="CO213" s="2727" t="str">
        <f t="shared" si="519"/>
        <v>N/A</v>
      </c>
      <c r="CP213" s="2727" t="str">
        <f t="shared" si="519"/>
        <v>N/A</v>
      </c>
      <c r="CQ213" s="2722">
        <f t="shared" si="520"/>
        <v>0.19106906865131812</v>
      </c>
      <c r="CR213" s="2721">
        <f t="shared" si="520"/>
        <v>0.15369578965523845</v>
      </c>
      <c r="CS213" s="2722">
        <f t="shared" si="520"/>
        <v>0.17863081038097306</v>
      </c>
      <c r="CT213" s="2722">
        <f t="shared" si="520"/>
        <v>0.21462594564303727</v>
      </c>
      <c r="CU213" s="2722">
        <f t="shared" si="520"/>
        <v>0.20737573490112249</v>
      </c>
      <c r="CV213" s="2727">
        <f t="shared" si="520"/>
        <v>0.2236626956318617</v>
      </c>
      <c r="CW213" s="2886">
        <f t="shared" si="520"/>
        <v>0.2071228052690155</v>
      </c>
      <c r="CX213" s="2727">
        <f t="shared" si="520"/>
        <v>0.22601815505397438</v>
      </c>
      <c r="CY213" s="2727">
        <f t="shared" si="520"/>
        <v>0.20080738177623991</v>
      </c>
      <c r="CZ213" s="2727">
        <f t="shared" si="520"/>
        <v>0.22581894643647638</v>
      </c>
      <c r="DA213" s="2727">
        <f t="shared" si="521"/>
        <v>0.22850052495943496</v>
      </c>
      <c r="DB213" s="2886">
        <f t="shared" si="521"/>
        <v>0.22299435805696977</v>
      </c>
      <c r="DC213" s="2727">
        <f t="shared" si="521"/>
        <v>0.23607984391415271</v>
      </c>
      <c r="DD213" s="2727">
        <f t="shared" si="521"/>
        <v>0.25309768514071651</v>
      </c>
      <c r="DE213" s="2727">
        <f t="shared" si="521"/>
        <v>0.21933823861328028</v>
      </c>
      <c r="DF213" s="2727">
        <f t="shared" si="521"/>
        <v>0.22608965892316069</v>
      </c>
      <c r="DG213" s="2886">
        <f t="shared" si="521"/>
        <v>0.23359774964838254</v>
      </c>
      <c r="DH213" s="2727">
        <f t="shared" si="521"/>
        <v>0.18067022826614854</v>
      </c>
      <c r="DI213" s="2727">
        <f t="shared" si="521"/>
        <v>0.20481373601103781</v>
      </c>
      <c r="DJ213" s="2727">
        <f t="shared" si="521"/>
        <v>0.21186879905227296</v>
      </c>
      <c r="DK213" s="2727">
        <f t="shared" si="522"/>
        <v>0.18214942018883473</v>
      </c>
      <c r="DL213" s="2886">
        <f t="shared" si="522"/>
        <v>0.19170710350614772</v>
      </c>
      <c r="DM213" s="2727">
        <f t="shared" si="522"/>
        <v>0.14914986973810507</v>
      </c>
      <c r="DN213" s="2727">
        <f t="shared" si="522"/>
        <v>-4.199007507316499E-3</v>
      </c>
      <c r="DO213" s="2727">
        <f t="shared" si="522"/>
        <v>0.15628532152130736</v>
      </c>
      <c r="DP213" s="2727">
        <f t="shared" si="522"/>
        <v>0.23925919969982035</v>
      </c>
      <c r="DQ213" s="2886">
        <f t="shared" si="522"/>
        <v>0.13977375357815292</v>
      </c>
      <c r="DR213" s="2727"/>
      <c r="DS213" s="2727"/>
      <c r="DT213" s="2727"/>
      <c r="DU213" s="2727"/>
      <c r="DV213" s="2886"/>
      <c r="DW213" s="2727"/>
      <c r="DX213" s="2727"/>
      <c r="DY213" s="2727"/>
      <c r="DZ213" s="2727"/>
      <c r="EA213" s="2886"/>
      <c r="EB213" s="2727"/>
      <c r="EC213" s="2727"/>
      <c r="ED213" s="2727"/>
      <c r="EE213" s="2727"/>
      <c r="EF213" s="2886"/>
      <c r="EG213" s="2727"/>
      <c r="EH213" s="2727"/>
      <c r="EI213" s="2727"/>
      <c r="EJ213" s="2727"/>
      <c r="EK213" s="2886"/>
      <c r="EL213" s="2727"/>
      <c r="EM213" s="2727"/>
      <c r="EN213" s="2727"/>
      <c r="EO213" s="2727"/>
      <c r="EP213" s="2886"/>
      <c r="EQ213" s="2727"/>
      <c r="ER213" s="2727"/>
      <c r="ES213" s="2727"/>
      <c r="ET213" s="2727"/>
      <c r="EU213" s="2886"/>
      <c r="EV213" s="2886"/>
      <c r="EW213" s="2886"/>
      <c r="EX213" s="2886"/>
      <c r="EY213" s="2886"/>
      <c r="EZ213" s="1645"/>
      <c r="FA213" s="4275"/>
      <c r="FB213" s="4275"/>
    </row>
    <row r="214" spans="1:159" s="627" customFormat="1" hidden="1">
      <c r="A214" s="3560" t="str">
        <f t="shared" si="518"/>
        <v>Google Opex ex-SBC</v>
      </c>
      <c r="B214" s="157"/>
      <c r="C214" s="157"/>
      <c r="D214" s="157"/>
      <c r="E214" s="157"/>
      <c r="F214" s="157"/>
      <c r="G214" s="157"/>
      <c r="H214" s="157"/>
      <c r="I214" s="157"/>
      <c r="J214" s="157"/>
      <c r="K214" s="157"/>
      <c r="L214" s="157"/>
      <c r="M214" s="157"/>
      <c r="N214" s="157"/>
      <c r="O214" s="157"/>
      <c r="P214" s="157"/>
      <c r="Q214" s="157"/>
      <c r="R214" s="157"/>
      <c r="S214" s="157"/>
      <c r="T214" s="157"/>
      <c r="U214" s="157"/>
      <c r="V214" s="157"/>
      <c r="W214" s="157"/>
      <c r="X214" s="157"/>
      <c r="Y214" s="157"/>
      <c r="Z214" s="157"/>
      <c r="AA214" s="157"/>
      <c r="AB214" s="157"/>
      <c r="AC214" s="157"/>
      <c r="AD214" s="157"/>
      <c r="AE214" s="157"/>
      <c r="AF214" s="157"/>
      <c r="AG214" s="157"/>
      <c r="AH214" s="157"/>
      <c r="AI214" s="157"/>
      <c r="AJ214" s="157"/>
      <c r="AK214" s="157"/>
      <c r="AL214" s="157"/>
      <c r="AM214" s="157"/>
      <c r="AN214" s="157"/>
      <c r="AO214" s="157"/>
      <c r="AP214" s="157"/>
      <c r="AQ214" s="157"/>
      <c r="AR214" s="157"/>
      <c r="AS214" s="157"/>
      <c r="AT214" s="157"/>
      <c r="AU214" s="157"/>
      <c r="AV214" s="157"/>
      <c r="AW214" s="157"/>
      <c r="AX214" s="157"/>
      <c r="AY214" s="157"/>
      <c r="AZ214" s="157"/>
      <c r="BA214" s="157"/>
      <c r="BB214" s="157"/>
      <c r="BC214" s="157"/>
      <c r="BD214" s="157"/>
      <c r="BE214" s="157"/>
      <c r="BF214" s="157"/>
      <c r="BG214" s="157"/>
      <c r="BH214" s="157"/>
      <c r="BI214" s="157"/>
      <c r="BJ214" s="157"/>
      <c r="BK214" s="157"/>
      <c r="BL214" s="157"/>
      <c r="BM214" s="157"/>
      <c r="BN214" s="157"/>
      <c r="BO214" s="157"/>
      <c r="BP214" s="157"/>
      <c r="BQ214" s="157"/>
      <c r="BR214" s="157"/>
      <c r="BS214" s="157"/>
      <c r="BT214" s="157"/>
      <c r="BU214" s="157"/>
      <c r="BV214" s="157"/>
      <c r="BW214" s="157"/>
      <c r="BX214" s="157"/>
      <c r="BY214" s="157"/>
      <c r="BZ214" s="157"/>
      <c r="CA214" s="157"/>
      <c r="CB214" s="157"/>
      <c r="CC214" s="157"/>
      <c r="CD214" s="157"/>
      <c r="CE214" s="157"/>
      <c r="CF214" s="157"/>
      <c r="CG214" s="157"/>
      <c r="CH214" s="2719"/>
      <c r="CI214" s="2720"/>
      <c r="CJ214" s="2720"/>
      <c r="CK214" s="2720"/>
      <c r="CL214" s="2720"/>
      <c r="CM214" s="2719">
        <f>+IF(CM196&lt;0,IF(CH196&gt;0,"N/A",(-1)*(CM196/CH196-1)),IF(CH196&lt;0,"N/A",(CM196/CH196-1)))</f>
        <v>0.2248432243863947</v>
      </c>
      <c r="CN214" s="2728" t="str">
        <f t="shared" si="519"/>
        <v>N/A</v>
      </c>
      <c r="CO214" s="2728" t="str">
        <f t="shared" si="519"/>
        <v>N/A</v>
      </c>
      <c r="CP214" s="2728" t="str">
        <f t="shared" si="519"/>
        <v>N/A</v>
      </c>
      <c r="CQ214" s="2720">
        <f t="shared" si="520"/>
        <v>0.12704309063893016</v>
      </c>
      <c r="CR214" s="2719">
        <f t="shared" si="520"/>
        <v>9.3479808768182293E-2</v>
      </c>
      <c r="CS214" s="2720">
        <f t="shared" si="520"/>
        <v>0.15098814229249014</v>
      </c>
      <c r="CT214" s="2720">
        <f t="shared" si="520"/>
        <v>0.17648592283628783</v>
      </c>
      <c r="CU214" s="2720">
        <f t="shared" si="520"/>
        <v>0.22571645954856701</v>
      </c>
      <c r="CV214" s="2728">
        <f t="shared" si="520"/>
        <v>0.25444957152274217</v>
      </c>
      <c r="CW214" s="2885">
        <f t="shared" si="520"/>
        <v>0.20452713178294579</v>
      </c>
      <c r="CX214" s="2728">
        <f t="shared" si="520"/>
        <v>0.2203525641025641</v>
      </c>
      <c r="CY214" s="2728">
        <f t="shared" si="520"/>
        <v>0.24905827609129183</v>
      </c>
      <c r="CZ214" s="2728">
        <f t="shared" si="520"/>
        <v>0.22915373474032696</v>
      </c>
      <c r="DA214" s="2728">
        <f t="shared" si="521"/>
        <v>0.35181292695743571</v>
      </c>
      <c r="DB214" s="2885">
        <f t="shared" si="521"/>
        <v>0.26785254595067709</v>
      </c>
      <c r="DC214" s="2728">
        <f t="shared" si="521"/>
        <v>0.3165744301660256</v>
      </c>
      <c r="DD214" s="2728">
        <f t="shared" si="521"/>
        <v>0.31674649636331376</v>
      </c>
      <c r="DE214" s="2728">
        <f t="shared" si="521"/>
        <v>0.30047975759616197</v>
      </c>
      <c r="DF214" s="2728">
        <f t="shared" si="521"/>
        <v>0.28888888888888897</v>
      </c>
      <c r="DG214" s="2885">
        <f t="shared" si="521"/>
        <v>0.3040547400052791</v>
      </c>
      <c r="DH214" s="2728">
        <f t="shared" si="521"/>
        <v>0.23767455115417491</v>
      </c>
      <c r="DI214" s="2728">
        <f t="shared" si="521"/>
        <v>0.24998315931290005</v>
      </c>
      <c r="DJ214" s="2728">
        <f t="shared" si="521"/>
        <v>0.26328392984272853</v>
      </c>
      <c r="DK214" s="2728">
        <f t="shared" si="522"/>
        <v>0.173670453403036</v>
      </c>
      <c r="DL214" s="2885">
        <f t="shared" si="522"/>
        <v>0.22685516768909797</v>
      </c>
      <c r="DM214" s="2728">
        <f t="shared" si="522"/>
        <v>0.19255123186737277</v>
      </c>
      <c r="DN214" s="2728">
        <f t="shared" si="522"/>
        <v>8.1321405475317965E-2</v>
      </c>
      <c r="DO214" s="2728">
        <f t="shared" si="522"/>
        <v>0.1109687996311286</v>
      </c>
      <c r="DP214" s="2728">
        <f t="shared" si="522"/>
        <v>8.6070255685468222E-2</v>
      </c>
      <c r="DQ214" s="2885">
        <f t="shared" si="522"/>
        <v>0.11459533986496773</v>
      </c>
      <c r="DR214" s="2728"/>
      <c r="DS214" s="2728"/>
      <c r="DT214" s="2728"/>
      <c r="DU214" s="2728"/>
      <c r="DV214" s="2885"/>
      <c r="DW214" s="2728"/>
      <c r="DX214" s="2728"/>
      <c r="DY214" s="2728"/>
      <c r="DZ214" s="2728"/>
      <c r="EA214" s="2885"/>
      <c r="EB214" s="2728"/>
      <c r="EC214" s="2728"/>
      <c r="ED214" s="2728"/>
      <c r="EE214" s="2728"/>
      <c r="EF214" s="2885"/>
      <c r="EG214" s="2728"/>
      <c r="EH214" s="2728"/>
      <c r="EI214" s="2728"/>
      <c r="EJ214" s="2728"/>
      <c r="EK214" s="2885"/>
      <c r="EL214" s="2728"/>
      <c r="EM214" s="2728"/>
      <c r="EN214" s="2728"/>
      <c r="EO214" s="2728"/>
      <c r="EP214" s="2885"/>
      <c r="EQ214" s="2728"/>
      <c r="ER214" s="2728"/>
      <c r="ES214" s="2728"/>
      <c r="ET214" s="2728"/>
      <c r="EU214" s="2885"/>
      <c r="EV214" s="2885"/>
      <c r="EW214" s="2885"/>
      <c r="EX214" s="2885"/>
      <c r="EY214" s="2885"/>
      <c r="EZ214" s="768"/>
      <c r="FA214" s="1319"/>
      <c r="FB214" s="1319"/>
    </row>
    <row r="215" spans="1:159" s="627" customFormat="1" hidden="1">
      <c r="A215" s="3560" t="str">
        <f t="shared" si="518"/>
        <v>Google SBC</v>
      </c>
      <c r="B215" s="157"/>
      <c r="C215" s="157"/>
      <c r="D215" s="157"/>
      <c r="E215" s="157"/>
      <c r="F215" s="157"/>
      <c r="G215" s="157"/>
      <c r="H215" s="157"/>
      <c r="I215" s="157"/>
      <c r="J215" s="157"/>
      <c r="K215" s="157"/>
      <c r="L215" s="157"/>
      <c r="M215" s="157"/>
      <c r="N215" s="157"/>
      <c r="O215" s="157"/>
      <c r="P215" s="157"/>
      <c r="Q215" s="157"/>
      <c r="R215" s="157"/>
      <c r="S215" s="157"/>
      <c r="T215" s="157"/>
      <c r="U215" s="157"/>
      <c r="V215" s="157"/>
      <c r="W215" s="157"/>
      <c r="X215" s="157"/>
      <c r="Y215" s="157"/>
      <c r="Z215" s="157"/>
      <c r="AA215" s="157"/>
      <c r="AB215" s="157"/>
      <c r="AC215" s="157"/>
      <c r="AD215" s="157"/>
      <c r="AE215" s="157"/>
      <c r="AF215" s="157"/>
      <c r="AG215" s="157"/>
      <c r="AH215" s="157"/>
      <c r="AI215" s="157"/>
      <c r="AJ215" s="157"/>
      <c r="AK215" s="157"/>
      <c r="AL215" s="157"/>
      <c r="AM215" s="157"/>
      <c r="AN215" s="157"/>
      <c r="AO215" s="157"/>
      <c r="AP215" s="157"/>
      <c r="AQ215" s="157"/>
      <c r="AR215" s="157"/>
      <c r="AS215" s="157"/>
      <c r="AT215" s="157"/>
      <c r="AU215" s="157"/>
      <c r="AV215" s="157"/>
      <c r="AW215" s="157"/>
      <c r="AX215" s="157"/>
      <c r="AY215" s="157"/>
      <c r="AZ215" s="157"/>
      <c r="BA215" s="157"/>
      <c r="BB215" s="157"/>
      <c r="BC215" s="157"/>
      <c r="BD215" s="157"/>
      <c r="BE215" s="157"/>
      <c r="BF215" s="157"/>
      <c r="BG215" s="157"/>
      <c r="BH215" s="157"/>
      <c r="BI215" s="157"/>
      <c r="BJ215" s="157"/>
      <c r="BK215" s="157"/>
      <c r="BL215" s="157"/>
      <c r="BM215" s="157"/>
      <c r="BN215" s="157"/>
      <c r="BO215" s="157"/>
      <c r="BP215" s="157"/>
      <c r="BQ215" s="157"/>
      <c r="BR215" s="157"/>
      <c r="BS215" s="157"/>
      <c r="BT215" s="157"/>
      <c r="BU215" s="157"/>
      <c r="BV215" s="157"/>
      <c r="BW215" s="157"/>
      <c r="BX215" s="157"/>
      <c r="BY215" s="157"/>
      <c r="BZ215" s="157"/>
      <c r="CA215" s="157"/>
      <c r="CB215" s="157"/>
      <c r="CC215" s="157"/>
      <c r="CD215" s="157"/>
      <c r="CE215" s="157"/>
      <c r="CF215" s="157"/>
      <c r="CG215" s="157"/>
      <c r="CH215" s="2719"/>
      <c r="CI215" s="2720"/>
      <c r="CJ215" s="2720"/>
      <c r="CK215" s="2720"/>
      <c r="CL215" s="2720"/>
      <c r="CM215" s="2719">
        <f>+IF(CM197&lt;0,IF(CH197&gt;0,"N/A",(-1)*(CM197/CH197-1)),IF(CH197&lt;0,"N/A",(CM197/CH197-1)))</f>
        <v>0.26313981449673651</v>
      </c>
      <c r="CN215" s="2728" t="str">
        <f t="shared" si="519"/>
        <v>N/A</v>
      </c>
      <c r="CO215" s="2728" t="str">
        <f t="shared" si="519"/>
        <v>N/A</v>
      </c>
      <c r="CP215" s="2728" t="str">
        <f t="shared" si="519"/>
        <v>N/A</v>
      </c>
      <c r="CQ215" s="2720">
        <f t="shared" si="520"/>
        <v>0.18552875695732829</v>
      </c>
      <c r="CR215" s="2719">
        <f t="shared" si="520"/>
        <v>0.25210769649170528</v>
      </c>
      <c r="CS215" s="2720">
        <f t="shared" si="520"/>
        <v>0.2540284360189573</v>
      </c>
      <c r="CT215" s="2720">
        <f t="shared" si="520"/>
        <v>0.3263052208835342</v>
      </c>
      <c r="CU215" s="2720">
        <f t="shared" si="520"/>
        <v>0.27764705882352936</v>
      </c>
      <c r="CV215" s="2728">
        <f t="shared" si="520"/>
        <v>0.29342723004694826</v>
      </c>
      <c r="CW215" s="2885">
        <f t="shared" si="520"/>
        <v>0.28714161598609911</v>
      </c>
      <c r="CX215" s="2728">
        <f t="shared" si="520"/>
        <v>0.42252456538170824</v>
      </c>
      <c r="CY215" s="2728">
        <f t="shared" si="520"/>
        <v>0.42619227857683573</v>
      </c>
      <c r="CZ215" s="2728">
        <f t="shared" si="520"/>
        <v>3.7446286065070611E-2</v>
      </c>
      <c r="DA215" s="2728">
        <f t="shared" si="521"/>
        <v>3.56926799758015E-2</v>
      </c>
      <c r="DB215" s="2885">
        <f t="shared" si="521"/>
        <v>0.20958488018899768</v>
      </c>
      <c r="DC215" s="2728">
        <f t="shared" si="521"/>
        <v>0.22422954303931997</v>
      </c>
      <c r="DD215" s="2728">
        <f t="shared" si="521"/>
        <v>0.21443736730360929</v>
      </c>
      <c r="DE215" s="2728">
        <f t="shared" si="521"/>
        <v>0.22544378698224854</v>
      </c>
      <c r="DF215" s="2728">
        <f t="shared" si="521"/>
        <v>0.22196261682243001</v>
      </c>
      <c r="DG215" s="2885">
        <f t="shared" si="521"/>
        <v>0.22140066964285721</v>
      </c>
      <c r="DH215" s="2728">
        <f t="shared" si="521"/>
        <v>0.13368055555555558</v>
      </c>
      <c r="DI215" s="2728">
        <f t="shared" si="521"/>
        <v>0.13636363636363646</v>
      </c>
      <c r="DJ215" s="2728">
        <f t="shared" si="521"/>
        <v>0.19266055045871555</v>
      </c>
      <c r="DK215" s="2728">
        <f t="shared" si="522"/>
        <v>0.19646271510516256</v>
      </c>
      <c r="DL215" s="2885">
        <f t="shared" si="522"/>
        <v>0.16333523700742436</v>
      </c>
      <c r="DM215" s="2728">
        <f t="shared" si="522"/>
        <v>0.14395099540581935</v>
      </c>
      <c r="DN215" s="2728">
        <f t="shared" si="522"/>
        <v>0.2023076923076923</v>
      </c>
      <c r="DO215" s="2728">
        <f t="shared" si="522"/>
        <v>0.18259109311740884</v>
      </c>
      <c r="DP215" s="2728">
        <f t="shared" si="522"/>
        <v>0.22107295245705161</v>
      </c>
      <c r="DQ215" s="2885">
        <f t="shared" si="522"/>
        <v>0.18717188021600406</v>
      </c>
      <c r="DR215" s="2728"/>
      <c r="DS215" s="2728"/>
      <c r="DT215" s="2728"/>
      <c r="DU215" s="2728"/>
      <c r="DV215" s="2885"/>
      <c r="DW215" s="2728"/>
      <c r="DX215" s="2728"/>
      <c r="DY215" s="2728"/>
      <c r="DZ215" s="2728"/>
      <c r="EA215" s="2885"/>
      <c r="EB215" s="2728"/>
      <c r="EC215" s="2728"/>
      <c r="ED215" s="2728"/>
      <c r="EE215" s="2728"/>
      <c r="EF215" s="2885"/>
      <c r="EG215" s="2728"/>
      <c r="EH215" s="2728"/>
      <c r="EI215" s="2728"/>
      <c r="EJ215" s="2728"/>
      <c r="EK215" s="2885"/>
      <c r="EL215" s="2728"/>
      <c r="EM215" s="2728"/>
      <c r="EN215" s="2728"/>
      <c r="EO215" s="2728"/>
      <c r="EP215" s="2885"/>
      <c r="EQ215" s="2728"/>
      <c r="ER215" s="2728"/>
      <c r="ES215" s="2728"/>
      <c r="ET215" s="2728"/>
      <c r="EU215" s="2885"/>
      <c r="EV215" s="2885"/>
      <c r="EW215" s="2885"/>
      <c r="EX215" s="2885"/>
      <c r="EY215" s="2885"/>
      <c r="EZ215" s="768"/>
      <c r="FA215" s="1319"/>
      <c r="FB215" s="1319"/>
    </row>
    <row r="216" spans="1:159" s="627" customFormat="1" hidden="1">
      <c r="A216" s="4484" t="str">
        <f t="shared" si="518"/>
        <v>Google Cost of Revenue &amp; Opex</v>
      </c>
      <c r="B216" s="157"/>
      <c r="C216" s="157"/>
      <c r="D216" s="157"/>
      <c r="E216" s="157"/>
      <c r="F216" s="157"/>
      <c r="G216" s="157"/>
      <c r="H216" s="157"/>
      <c r="I216" s="157"/>
      <c r="J216" s="157"/>
      <c r="K216" s="157"/>
      <c r="L216" s="157"/>
      <c r="M216" s="157"/>
      <c r="N216" s="157"/>
      <c r="O216" s="157"/>
      <c r="P216" s="157"/>
      <c r="Q216" s="157"/>
      <c r="R216" s="157"/>
      <c r="S216" s="157"/>
      <c r="T216" s="157"/>
      <c r="U216" s="157"/>
      <c r="V216" s="157"/>
      <c r="W216" s="157"/>
      <c r="X216" s="157"/>
      <c r="Y216" s="157"/>
      <c r="Z216" s="157"/>
      <c r="AA216" s="157"/>
      <c r="AB216" s="157"/>
      <c r="AC216" s="157"/>
      <c r="AD216" s="157"/>
      <c r="AE216" s="157"/>
      <c r="AF216" s="157"/>
      <c r="AG216" s="157"/>
      <c r="AH216" s="157"/>
      <c r="AI216" s="157"/>
      <c r="AJ216" s="157"/>
      <c r="AK216" s="157"/>
      <c r="AL216" s="157"/>
      <c r="AM216" s="157"/>
      <c r="AN216" s="157"/>
      <c r="AO216" s="157"/>
      <c r="AP216" s="157"/>
      <c r="AQ216" s="157"/>
      <c r="AR216" s="157"/>
      <c r="AS216" s="157"/>
      <c r="AT216" s="157"/>
      <c r="AU216" s="157"/>
      <c r="AV216" s="157"/>
      <c r="AW216" s="157"/>
      <c r="AX216" s="157"/>
      <c r="AY216" s="157"/>
      <c r="AZ216" s="157"/>
      <c r="BA216" s="157"/>
      <c r="BB216" s="157"/>
      <c r="BC216" s="157"/>
      <c r="BD216" s="157"/>
      <c r="BE216" s="157"/>
      <c r="BF216" s="157"/>
      <c r="BG216" s="157"/>
      <c r="BH216" s="157"/>
      <c r="BI216" s="157"/>
      <c r="BJ216" s="157"/>
      <c r="BK216" s="157"/>
      <c r="BL216" s="157"/>
      <c r="BM216" s="157"/>
      <c r="BN216" s="157"/>
      <c r="BO216" s="157"/>
      <c r="BP216" s="157"/>
      <c r="BQ216" s="157"/>
      <c r="BR216" s="157"/>
      <c r="BS216" s="157"/>
      <c r="BT216" s="157"/>
      <c r="BU216" s="157"/>
      <c r="BV216" s="157"/>
      <c r="BW216" s="157"/>
      <c r="BX216" s="157"/>
      <c r="BY216" s="157"/>
      <c r="BZ216" s="157"/>
      <c r="CA216" s="157"/>
      <c r="CB216" s="157"/>
      <c r="CC216" s="157"/>
      <c r="CD216" s="157"/>
      <c r="CE216" s="157"/>
      <c r="CF216" s="157"/>
      <c r="CG216" s="157"/>
      <c r="CH216" s="2779"/>
      <c r="CI216" s="2720"/>
      <c r="CJ216" s="2720"/>
      <c r="CK216" s="2720"/>
      <c r="CL216" s="2720"/>
      <c r="CM216" s="2779"/>
      <c r="CN216" s="2728"/>
      <c r="CO216" s="2728"/>
      <c r="CP216" s="2728"/>
      <c r="CQ216" s="2720"/>
      <c r="CR216" s="2779"/>
      <c r="CS216" s="2720"/>
      <c r="CT216" s="2720"/>
      <c r="CU216" s="2720"/>
      <c r="CV216" s="2728"/>
      <c r="CW216" s="2780"/>
      <c r="CX216" s="2728">
        <f t="shared" ref="CX216:DG218" si="523">+IF(CX198&lt;0,IF(CS198&gt;0,"N/A",(-1)*(CX198/CS198-1)),IF(CS198&lt;0,"N/A",(CX198/CS198-1)))</f>
        <v>0.24694303608708612</v>
      </c>
      <c r="CY216" s="2728">
        <f t="shared" si="523"/>
        <v>0.27167294868077696</v>
      </c>
      <c r="CZ216" s="2728">
        <f t="shared" si="523"/>
        <v>0.20150509074811862</v>
      </c>
      <c r="DA216" s="2728">
        <f t="shared" si="523"/>
        <v>0.31183536072220952</v>
      </c>
      <c r="DB216" s="2780">
        <f t="shared" si="523"/>
        <v>0.26014026623782716</v>
      </c>
      <c r="DC216" s="2728">
        <f t="shared" si="523"/>
        <v>0.30271864785139124</v>
      </c>
      <c r="DD216" s="2728">
        <f t="shared" si="523"/>
        <v>0.30209758321933422</v>
      </c>
      <c r="DE216" s="2728">
        <f t="shared" si="523"/>
        <v>0.29113550954240663</v>
      </c>
      <c r="DF216" s="2728">
        <f t="shared" si="523"/>
        <v>0.28220680002332776</v>
      </c>
      <c r="DG216" s="2780">
        <f t="shared" si="523"/>
        <v>0.29355359010262494</v>
      </c>
      <c r="DH216" s="2728">
        <f t="shared" ref="DH216:DQ218" si="524">+IF(DH198&lt;0,IF(DC198&gt;0,"N/A",(-1)*(DH198/DC198-1)),IF(DC198&lt;0,"N/A",(DH198/DC198-1)))</f>
        <v>0.22301101591187278</v>
      </c>
      <c r="DI216" s="2728">
        <f t="shared" si="524"/>
        <v>0.23481001575906135</v>
      </c>
      <c r="DJ216" s="2728">
        <f t="shared" si="524"/>
        <v>0.25493665106722974</v>
      </c>
      <c r="DK216" s="2728">
        <f t="shared" si="524"/>
        <v>0.17583917038115171</v>
      </c>
      <c r="DL216" s="2780">
        <f t="shared" si="524"/>
        <v>0.21923514339348604</v>
      </c>
      <c r="DM216" s="2728">
        <f t="shared" si="524"/>
        <v>0.18619895916733387</v>
      </c>
      <c r="DN216" s="2728">
        <f t="shared" si="524"/>
        <v>9.6190206088107466E-2</v>
      </c>
      <c r="DO216" s="2728">
        <f t="shared" si="524"/>
        <v>0.11901405248078589</v>
      </c>
      <c r="DP216" s="2728">
        <f t="shared" si="524"/>
        <v>9.9141265666099265E-2</v>
      </c>
      <c r="DQ216" s="2780">
        <f t="shared" si="524"/>
        <v>0.12290264213708535</v>
      </c>
      <c r="DR216" s="2728"/>
      <c r="DS216" s="2728"/>
      <c r="DT216" s="2728"/>
      <c r="DU216" s="2728"/>
      <c r="DV216" s="2780"/>
      <c r="DW216" s="2728"/>
      <c r="DX216" s="2728"/>
      <c r="DY216" s="2728"/>
      <c r="DZ216" s="2728"/>
      <c r="EA216" s="2780"/>
      <c r="EB216" s="2728"/>
      <c r="EC216" s="2728"/>
      <c r="ED216" s="2728"/>
      <c r="EE216" s="2728"/>
      <c r="EF216" s="2780"/>
      <c r="EG216" s="2728"/>
      <c r="EH216" s="2728"/>
      <c r="EI216" s="2728"/>
      <c r="EJ216" s="2728"/>
      <c r="EK216" s="2780"/>
      <c r="EL216" s="2728"/>
      <c r="EM216" s="2728"/>
      <c r="EN216" s="2728"/>
      <c r="EO216" s="2728"/>
      <c r="EP216" s="2780"/>
      <c r="EQ216" s="2728"/>
      <c r="ER216" s="2728"/>
      <c r="ES216" s="2728"/>
      <c r="ET216" s="2728"/>
      <c r="EU216" s="2780"/>
      <c r="EV216" s="2780"/>
      <c r="EW216" s="2780"/>
      <c r="EX216" s="2780"/>
      <c r="EY216" s="2780"/>
      <c r="EZ216" s="768"/>
      <c r="FA216" s="1319"/>
      <c r="FB216" s="1319"/>
    </row>
    <row r="217" spans="1:159" s="1645" customFormat="1" hidden="1">
      <c r="A217" s="4478" t="str">
        <f t="shared" si="518"/>
        <v>Google GAAP Operating Income/(Loss)</v>
      </c>
      <c r="B217" s="3231"/>
      <c r="C217" s="3231"/>
      <c r="D217" s="3231"/>
      <c r="E217" s="3231"/>
      <c r="F217" s="3231"/>
      <c r="G217" s="3231"/>
      <c r="H217" s="3231"/>
      <c r="I217" s="3231"/>
      <c r="J217" s="3231"/>
      <c r="K217" s="3231"/>
      <c r="L217" s="3231"/>
      <c r="M217" s="3231"/>
      <c r="N217" s="3231"/>
      <c r="O217" s="3231"/>
      <c r="P217" s="3231"/>
      <c r="Q217" s="3231"/>
      <c r="R217" s="3231"/>
      <c r="S217" s="3231"/>
      <c r="T217" s="3231"/>
      <c r="U217" s="3231"/>
      <c r="V217" s="3231"/>
      <c r="W217" s="3231"/>
      <c r="X217" s="3231"/>
      <c r="Y217" s="3231"/>
      <c r="Z217" s="3231"/>
      <c r="AA217" s="3231"/>
      <c r="AB217" s="3231"/>
      <c r="AC217" s="3231"/>
      <c r="AD217" s="3231"/>
      <c r="AE217" s="3231"/>
      <c r="AF217" s="3231"/>
      <c r="AG217" s="3231"/>
      <c r="AH217" s="3231"/>
      <c r="AI217" s="3231"/>
      <c r="AJ217" s="3231"/>
      <c r="AK217" s="3231"/>
      <c r="AL217" s="3231"/>
      <c r="AM217" s="3231"/>
      <c r="AN217" s="3231"/>
      <c r="AO217" s="3231"/>
      <c r="AP217" s="3231"/>
      <c r="AQ217" s="3231"/>
      <c r="AR217" s="3231"/>
      <c r="AS217" s="3231"/>
      <c r="AT217" s="3231"/>
      <c r="AU217" s="3231"/>
      <c r="AV217" s="3231"/>
      <c r="AW217" s="3231"/>
      <c r="AX217" s="3231"/>
      <c r="AY217" s="3231"/>
      <c r="AZ217" s="3231"/>
      <c r="BA217" s="3231"/>
      <c r="BB217" s="3231"/>
      <c r="BC217" s="3231"/>
      <c r="BD217" s="3231"/>
      <c r="BE217" s="3231"/>
      <c r="BF217" s="3231"/>
      <c r="BG217" s="3231"/>
      <c r="BH217" s="3231"/>
      <c r="BI217" s="3231"/>
      <c r="BJ217" s="3231"/>
      <c r="BK217" s="3231"/>
      <c r="BL217" s="3231"/>
      <c r="BM217" s="3231"/>
      <c r="BN217" s="3231"/>
      <c r="BO217" s="3231"/>
      <c r="BP217" s="3231"/>
      <c r="BQ217" s="3231"/>
      <c r="BR217" s="3231"/>
      <c r="BS217" s="3231"/>
      <c r="BT217" s="3231"/>
      <c r="BU217" s="3231"/>
      <c r="BV217" s="3231"/>
      <c r="BW217" s="3231"/>
      <c r="BX217" s="3231"/>
      <c r="BY217" s="3231"/>
      <c r="BZ217" s="3231"/>
      <c r="CA217" s="3231"/>
      <c r="CB217" s="3231"/>
      <c r="CC217" s="3231"/>
      <c r="CD217" s="3231"/>
      <c r="CE217" s="3231"/>
      <c r="CF217" s="3231"/>
      <c r="CG217" s="3231"/>
      <c r="CH217" s="3252"/>
      <c r="CI217" s="3253"/>
      <c r="CJ217" s="3253"/>
      <c r="CK217" s="3253"/>
      <c r="CL217" s="3253"/>
      <c r="CM217" s="3252">
        <f>+IF(CM199&lt;0,IF(CH199&gt;0,"N/A",(-1)*(CM199/CH199-1)),IF(CH199&lt;0,"N/A",(CM199/CH199-1)))</f>
        <v>0.16918819188191891</v>
      </c>
      <c r="CN217" s="3254" t="str">
        <f t="shared" ref="CN217:CP218" si="525">+IFERROR(IF(CN199&lt;0,IF(CI199&gt;0,"N/A",(-1)*(CN199/CI199-1)),IF(CI199&lt;0,"N/A",(CN199/CI199-1))),"N/A")</f>
        <v>N/A</v>
      </c>
      <c r="CO217" s="3254" t="str">
        <f t="shared" si="525"/>
        <v>N/A</v>
      </c>
      <c r="CP217" s="3254" t="str">
        <f t="shared" si="525"/>
        <v>N/A</v>
      </c>
      <c r="CQ217" s="3253">
        <f t="shared" ref="CQ217:CW218" si="526">+IF(CQ199&lt;0,IF(CL199&gt;0,"N/A",(-1)*(CQ199/CL199-1)),IF(CL199&lt;0,"N/A",(CQ199/CL199-1)))</f>
        <v>0.29121194715680643</v>
      </c>
      <c r="CR217" s="3252">
        <f t="shared" si="526"/>
        <v>0.2280784808794909</v>
      </c>
      <c r="CS217" s="3253">
        <f t="shared" si="526"/>
        <v>0.20373939861218204</v>
      </c>
      <c r="CT217" s="3253">
        <f t="shared" si="526"/>
        <v>0.24643366619115548</v>
      </c>
      <c r="CU217" s="3253">
        <f t="shared" si="526"/>
        <v>0.16652316170139492</v>
      </c>
      <c r="CV217" s="3254">
        <f t="shared" si="526"/>
        <v>0.16889086595492286</v>
      </c>
      <c r="CW217" s="3255">
        <f t="shared" si="526"/>
        <v>0.19467169229451331</v>
      </c>
      <c r="CX217" s="3254">
        <f t="shared" si="523"/>
        <v>0.19231385108086463</v>
      </c>
      <c r="CY217" s="3254">
        <f t="shared" si="523"/>
        <v>9.642346208869812E-2</v>
      </c>
      <c r="CZ217" s="3254">
        <f t="shared" si="523"/>
        <v>0.26690286389134932</v>
      </c>
      <c r="DA217" s="3254">
        <f t="shared" si="523"/>
        <v>9.0320943803120723E-2</v>
      </c>
      <c r="DB217" s="3255">
        <f t="shared" si="523"/>
        <v>0.15757206367417176</v>
      </c>
      <c r="DC217" s="3254">
        <f t="shared" si="523"/>
        <v>0.12382487241471929</v>
      </c>
      <c r="DD217" s="3254">
        <f t="shared" si="523"/>
        <v>0.16897181628392488</v>
      </c>
      <c r="DE217" s="3254">
        <f t="shared" si="523"/>
        <v>0.10580284316010258</v>
      </c>
      <c r="DF217" s="3254">
        <f t="shared" si="523"/>
        <v>0.11413612565445019</v>
      </c>
      <c r="DG217" s="3255">
        <f t="shared" si="523"/>
        <v>0.2013813609192554</v>
      </c>
      <c r="DH217" s="3254">
        <f t="shared" si="524"/>
        <v>9.7992351816443612E-2</v>
      </c>
      <c r="DI217" s="3254">
        <f t="shared" si="524"/>
        <v>0.14744949213081826</v>
      </c>
      <c r="DJ217" s="3254">
        <f t="shared" si="524"/>
        <v>0.13234984193888311</v>
      </c>
      <c r="DK217" s="3254">
        <f t="shared" si="524"/>
        <v>0.19663742690058483</v>
      </c>
      <c r="DL217" s="3255">
        <f t="shared" si="524"/>
        <v>0.14346850911340847</v>
      </c>
      <c r="DM217" s="3254">
        <f t="shared" si="524"/>
        <v>6.8567696996081784E-2</v>
      </c>
      <c r="DN217" s="3254">
        <f t="shared" si="524"/>
        <v>-0.21079766536964983</v>
      </c>
      <c r="DO217" s="3254">
        <f t="shared" si="524"/>
        <v>0.23255164712451148</v>
      </c>
      <c r="DP217" s="3254">
        <f t="shared" si="524"/>
        <v>0.55537132385024868</v>
      </c>
      <c r="DQ217" s="3255">
        <f t="shared" si="524"/>
        <v>0.10472561662984181</v>
      </c>
      <c r="DR217" s="3254"/>
      <c r="DS217" s="3254"/>
      <c r="DT217" s="3254"/>
      <c r="DU217" s="3254"/>
      <c r="DV217" s="3255"/>
      <c r="DW217" s="3254"/>
      <c r="DX217" s="3254"/>
      <c r="DY217" s="3254"/>
      <c r="DZ217" s="3254"/>
      <c r="EA217" s="3255"/>
      <c r="EB217" s="3254"/>
      <c r="EC217" s="3254"/>
      <c r="ED217" s="3254"/>
      <c r="EE217" s="3254"/>
      <c r="EF217" s="3255"/>
      <c r="EG217" s="3254"/>
      <c r="EH217" s="3254"/>
      <c r="EI217" s="3254"/>
      <c r="EJ217" s="3254"/>
      <c r="EK217" s="3255"/>
      <c r="EL217" s="3254"/>
      <c r="EM217" s="3254"/>
      <c r="EN217" s="3254"/>
      <c r="EO217" s="3254"/>
      <c r="EP217" s="3255"/>
      <c r="EQ217" s="3254"/>
      <c r="ER217" s="3254"/>
      <c r="ES217" s="3254"/>
      <c r="ET217" s="3254"/>
      <c r="EU217" s="3255"/>
      <c r="EV217" s="3255"/>
      <c r="EW217" s="3255"/>
      <c r="EX217" s="3255"/>
      <c r="EY217" s="3255"/>
      <c r="FA217" s="1319"/>
      <c r="FB217" s="1319"/>
      <c r="FC217" s="627"/>
    </row>
    <row r="218" spans="1:159" s="627" customFormat="1" hidden="1">
      <c r="A218" s="4485" t="str">
        <f t="shared" si="518"/>
        <v>Google Non-GAAP Operating Income/(Loss) ex-SBC</v>
      </c>
      <c r="B218" s="2711"/>
      <c r="C218" s="2711"/>
      <c r="D218" s="2711"/>
      <c r="E218" s="2711"/>
      <c r="F218" s="2711"/>
      <c r="G218" s="2711"/>
      <c r="H218" s="2711"/>
      <c r="I218" s="2711"/>
      <c r="J218" s="2711"/>
      <c r="K218" s="2711"/>
      <c r="L218" s="2711"/>
      <c r="M218" s="2711"/>
      <c r="N218" s="2711"/>
      <c r="O218" s="2711"/>
      <c r="P218" s="2711"/>
      <c r="Q218" s="2711"/>
      <c r="R218" s="2711"/>
      <c r="S218" s="2711"/>
      <c r="T218" s="2711"/>
      <c r="U218" s="2711"/>
      <c r="V218" s="2711"/>
      <c r="W218" s="2711"/>
      <c r="X218" s="2711"/>
      <c r="Y218" s="2711"/>
      <c r="Z218" s="2711"/>
      <c r="AA218" s="2711"/>
      <c r="AB218" s="2711"/>
      <c r="AC218" s="2711"/>
      <c r="AD218" s="2711"/>
      <c r="AE218" s="2711"/>
      <c r="AF218" s="2711"/>
      <c r="AG218" s="2711"/>
      <c r="AH218" s="2711"/>
      <c r="AI218" s="2711"/>
      <c r="AJ218" s="2711"/>
      <c r="AK218" s="2711"/>
      <c r="AL218" s="2711"/>
      <c r="AM218" s="2711"/>
      <c r="AN218" s="2711"/>
      <c r="AO218" s="2711"/>
      <c r="AP218" s="2711"/>
      <c r="AQ218" s="2711"/>
      <c r="AR218" s="2711"/>
      <c r="AS218" s="2711"/>
      <c r="AT218" s="2711"/>
      <c r="AU218" s="2711"/>
      <c r="AV218" s="2711"/>
      <c r="AW218" s="2711"/>
      <c r="AX218" s="2711"/>
      <c r="AY218" s="2711"/>
      <c r="AZ218" s="2711"/>
      <c r="BA218" s="2711"/>
      <c r="BB218" s="2711"/>
      <c r="BC218" s="2711"/>
      <c r="BD218" s="2711"/>
      <c r="BE218" s="2711"/>
      <c r="BF218" s="2711"/>
      <c r="BG218" s="2711"/>
      <c r="BH218" s="2711"/>
      <c r="BI218" s="2711"/>
      <c r="BJ218" s="2711"/>
      <c r="BK218" s="2711"/>
      <c r="BL218" s="2711"/>
      <c r="BM218" s="2711"/>
      <c r="BN218" s="2711"/>
      <c r="BO218" s="2711"/>
      <c r="BP218" s="2711"/>
      <c r="BQ218" s="2711"/>
      <c r="BR218" s="2711"/>
      <c r="BS218" s="2711"/>
      <c r="BT218" s="2711"/>
      <c r="BU218" s="2711"/>
      <c r="BV218" s="2711"/>
      <c r="BW218" s="2711"/>
      <c r="BX218" s="2711"/>
      <c r="BY218" s="2711"/>
      <c r="BZ218" s="2711"/>
      <c r="CA218" s="2711"/>
      <c r="CB218" s="2711"/>
      <c r="CC218" s="2711"/>
      <c r="CD218" s="2711"/>
      <c r="CE218" s="2711"/>
      <c r="CF218" s="2711"/>
      <c r="CG218" s="2711"/>
      <c r="CH218" s="2729"/>
      <c r="CI218" s="2730"/>
      <c r="CJ218" s="2730"/>
      <c r="CK218" s="2730"/>
      <c r="CL218" s="2730"/>
      <c r="CM218" s="2729">
        <f>+IF(CM200&lt;0,IF(CH200&gt;0,"N/A",(-1)*(CM200/CH200-1)),IF(CH200&lt;0,"N/A",(CM200/CH200-1)))</f>
        <v>0.1834541755776955</v>
      </c>
      <c r="CN218" s="2731" t="str">
        <f t="shared" si="525"/>
        <v>N/A</v>
      </c>
      <c r="CO218" s="2731" t="str">
        <f t="shared" si="525"/>
        <v>N/A</v>
      </c>
      <c r="CP218" s="2731" t="str">
        <f t="shared" si="525"/>
        <v>N/A</v>
      </c>
      <c r="CQ218" s="2730">
        <f t="shared" si="526"/>
        <v>0.27313124900809393</v>
      </c>
      <c r="CR218" s="2729">
        <f t="shared" si="526"/>
        <v>0.2319728490832158</v>
      </c>
      <c r="CS218" s="2730">
        <f t="shared" si="526"/>
        <v>0.2122377062309786</v>
      </c>
      <c r="CT218" s="2730">
        <f t="shared" si="526"/>
        <v>0.25893397940642027</v>
      </c>
      <c r="CU218" s="2730">
        <f t="shared" si="526"/>
        <v>0.18695283818130481</v>
      </c>
      <c r="CV218" s="2731">
        <f t="shared" si="526"/>
        <v>0.1887309897781102</v>
      </c>
      <c r="CW218" s="2888">
        <f t="shared" si="526"/>
        <v>0.21011770598547463</v>
      </c>
      <c r="CX218" s="2731">
        <f t="shared" si="523"/>
        <v>0.23255813953488369</v>
      </c>
      <c r="CY218" s="2731">
        <f t="shared" si="523"/>
        <v>0.14842434447919173</v>
      </c>
      <c r="CZ218" s="2731">
        <f t="shared" si="523"/>
        <v>0.22198429693076371</v>
      </c>
      <c r="DA218" s="2731">
        <f t="shared" si="523"/>
        <v>8.0851510067114107E-2</v>
      </c>
      <c r="DB218" s="2888">
        <f t="shared" si="523"/>
        <v>0.16647942289498574</v>
      </c>
      <c r="DC218" s="2731">
        <f t="shared" si="523"/>
        <v>0.14408233276157811</v>
      </c>
      <c r="DD218" s="2731">
        <f t="shared" si="523"/>
        <v>0.17794302471721823</v>
      </c>
      <c r="DE218" s="2731">
        <f t="shared" si="523"/>
        <v>0.12548676012461057</v>
      </c>
      <c r="DF218" s="2731">
        <f t="shared" si="523"/>
        <v>0.13204618220626752</v>
      </c>
      <c r="DG218" s="2888">
        <f t="shared" si="523"/>
        <v>0.14429096438981115</v>
      </c>
      <c r="DH218" s="2731">
        <f t="shared" si="524"/>
        <v>0.10569715142428793</v>
      </c>
      <c r="DI218" s="2731">
        <f t="shared" si="524"/>
        <v>0.14519427402862983</v>
      </c>
      <c r="DJ218" s="2731">
        <f t="shared" si="524"/>
        <v>0.1431537064267796</v>
      </c>
      <c r="DK218" s="2731">
        <f t="shared" si="524"/>
        <v>0.19660610215975316</v>
      </c>
      <c r="DL218" s="2888">
        <f t="shared" si="524"/>
        <v>0.14862230885089045</v>
      </c>
      <c r="DM218" s="2731">
        <f t="shared" si="524"/>
        <v>8.5254237288135526E-2</v>
      </c>
      <c r="DN218" s="2731">
        <f t="shared" si="524"/>
        <v>-0.12740683229813665</v>
      </c>
      <c r="DO218" s="2731">
        <f t="shared" si="524"/>
        <v>0.22321428571428581</v>
      </c>
      <c r="DP218" s="2731">
        <f t="shared" si="524"/>
        <v>0.49544088239507245</v>
      </c>
      <c r="DQ218" s="2888">
        <f t="shared" si="524"/>
        <v>0.17803127000655627</v>
      </c>
      <c r="DR218" s="2731"/>
      <c r="DS218" s="2731"/>
      <c r="DT218" s="2731"/>
      <c r="DU218" s="2731"/>
      <c r="DV218" s="2888"/>
      <c r="DW218" s="2731"/>
      <c r="DX218" s="2731"/>
      <c r="DY218" s="2731"/>
      <c r="DZ218" s="2731"/>
      <c r="EA218" s="2888"/>
      <c r="EB218" s="2731"/>
      <c r="EC218" s="2731"/>
      <c r="ED218" s="2731"/>
      <c r="EE218" s="2731"/>
      <c r="EF218" s="2888"/>
      <c r="EG218" s="2731"/>
      <c r="EH218" s="2731"/>
      <c r="EI218" s="2731"/>
      <c r="EJ218" s="2731"/>
      <c r="EK218" s="2888"/>
      <c r="EL218" s="2731"/>
      <c r="EM218" s="2731"/>
      <c r="EN218" s="2731"/>
      <c r="EO218" s="2731"/>
      <c r="EP218" s="2888"/>
      <c r="EQ218" s="2731"/>
      <c r="ER218" s="2731"/>
      <c r="ES218" s="2731"/>
      <c r="ET218" s="2731"/>
      <c r="EU218" s="2888"/>
      <c r="EV218" s="2888"/>
      <c r="EW218" s="2888"/>
      <c r="EX218" s="2888"/>
      <c r="EY218" s="2888"/>
      <c r="EZ218" s="768"/>
      <c r="FA218" s="1319"/>
      <c r="FB218" s="1319"/>
    </row>
    <row r="219" spans="1:159" s="627" customFormat="1" hidden="1">
      <c r="A219" s="4477" t="s">
        <v>538</v>
      </c>
      <c r="B219" s="404"/>
      <c r="C219" s="404"/>
      <c r="D219" s="404"/>
      <c r="E219" s="404"/>
      <c r="F219" s="404"/>
      <c r="G219" s="404"/>
      <c r="H219" s="404"/>
      <c r="I219" s="404"/>
      <c r="J219" s="404"/>
      <c r="K219" s="404"/>
      <c r="L219" s="404"/>
      <c r="M219" s="404"/>
      <c r="N219" s="404"/>
      <c r="O219" s="404"/>
      <c r="P219" s="404"/>
      <c r="Q219" s="404"/>
      <c r="R219" s="404"/>
      <c r="S219" s="404"/>
      <c r="T219" s="404"/>
      <c r="U219" s="404"/>
      <c r="V219" s="404"/>
      <c r="W219" s="404"/>
      <c r="X219" s="404"/>
      <c r="Y219" s="404"/>
      <c r="Z219" s="404"/>
      <c r="AA219" s="404"/>
      <c r="AB219" s="404"/>
      <c r="AC219" s="404"/>
      <c r="AD219" s="404"/>
      <c r="AE219" s="404"/>
      <c r="AF219" s="404"/>
      <c r="AG219" s="404"/>
      <c r="AH219" s="404"/>
      <c r="AI219" s="404"/>
      <c r="AJ219" s="404"/>
      <c r="AK219" s="404"/>
      <c r="AL219" s="404"/>
      <c r="AM219" s="404"/>
      <c r="AN219" s="404"/>
      <c r="AO219" s="404"/>
      <c r="AP219" s="404"/>
      <c r="AQ219" s="404"/>
      <c r="AR219" s="404"/>
      <c r="AS219" s="404"/>
      <c r="AT219" s="404"/>
      <c r="AU219" s="404"/>
      <c r="AV219" s="404"/>
      <c r="AW219" s="404"/>
      <c r="AX219" s="404"/>
      <c r="AY219" s="404"/>
      <c r="AZ219" s="404"/>
      <c r="BA219" s="404"/>
      <c r="BB219" s="404"/>
      <c r="BC219" s="404"/>
      <c r="BD219" s="404"/>
      <c r="BE219" s="404"/>
      <c r="BF219" s="404"/>
      <c r="BG219" s="404"/>
      <c r="BH219" s="404"/>
      <c r="BI219" s="404"/>
      <c r="BJ219" s="404"/>
      <c r="BK219" s="404"/>
      <c r="BL219" s="404"/>
      <c r="BM219" s="404"/>
      <c r="BN219" s="404"/>
      <c r="BO219" s="404"/>
      <c r="BP219" s="404"/>
      <c r="BQ219" s="404"/>
      <c r="BR219" s="404"/>
      <c r="BS219" s="404"/>
      <c r="BT219" s="404"/>
      <c r="BU219" s="404"/>
      <c r="BV219" s="404"/>
      <c r="BW219" s="404"/>
      <c r="BX219" s="404"/>
      <c r="BY219" s="404"/>
      <c r="BZ219" s="404"/>
      <c r="CA219" s="404"/>
      <c r="CB219" s="404"/>
      <c r="CC219" s="404"/>
      <c r="CD219" s="404"/>
      <c r="CE219" s="404"/>
      <c r="CF219" s="404"/>
      <c r="CG219" s="404"/>
      <c r="CH219" s="2732"/>
      <c r="CI219" s="2778"/>
      <c r="CJ219" s="2778"/>
      <c r="CK219" s="2778"/>
      <c r="CL219" s="2778"/>
      <c r="CM219" s="2732">
        <f t="shared" ref="CM219:CV220" si="527">+IFERROR(IF(CM204&lt;0,IF(CH204&gt;0,"N/A",(-1)*(CM204/CH204-1)),IF(CH204&lt;0,"N/A",(CM204/CH204-1))),"N/A")</f>
        <v>0.14881576189478096</v>
      </c>
      <c r="CN219" s="2643" t="str">
        <f t="shared" si="527"/>
        <v>N/A</v>
      </c>
      <c r="CO219" s="2643" t="str">
        <f t="shared" si="527"/>
        <v>N/A</v>
      </c>
      <c r="CP219" s="2643" t="str">
        <f t="shared" si="527"/>
        <v>N/A</v>
      </c>
      <c r="CQ219" s="2778">
        <f t="shared" si="527"/>
        <v>0.38736471980286047</v>
      </c>
      <c r="CR219" s="2732">
        <f t="shared" si="527"/>
        <v>0.23664983275557971</v>
      </c>
      <c r="CS219" s="2778">
        <f t="shared" si="527"/>
        <v>0.20087425525820746</v>
      </c>
      <c r="CT219" s="2778">
        <f t="shared" si="527"/>
        <v>0.25137887144675441</v>
      </c>
      <c r="CU219" s="2778">
        <f t="shared" si="527"/>
        <v>0.19495864513588024</v>
      </c>
      <c r="CV219" s="2643">
        <f t="shared" si="527"/>
        <v>4.6126928582789883E-2</v>
      </c>
      <c r="CW219" s="2889">
        <f t="shared" ref="CW219:DF220" si="528">+IFERROR(IF(CW204&lt;0,IF(CR204&gt;0,"N/A",(-1)*(CW204/CR204-1)),IF(CR204&lt;0,"N/A",(CW204/CR204-1))),"N/A")</f>
        <v>0.16325999448063788</v>
      </c>
      <c r="CX219" s="2643">
        <f t="shared" si="528"/>
        <v>0.23365949119373775</v>
      </c>
      <c r="CY219" s="2643">
        <f t="shared" si="528"/>
        <v>0.19613493812510585</v>
      </c>
      <c r="CZ219" s="2643">
        <f t="shared" si="528"/>
        <v>0.24126565589980231</v>
      </c>
      <c r="DA219" s="2643" t="str">
        <f t="shared" si="528"/>
        <v>N/A</v>
      </c>
      <c r="DB219" s="2889">
        <f t="shared" si="528"/>
        <v>-0.20508159296524897</v>
      </c>
      <c r="DC219" s="2643">
        <f t="shared" si="528"/>
        <v>0.60786802030456855</v>
      </c>
      <c r="DD219" s="2643">
        <f t="shared" si="528"/>
        <v>0.29095804988662133</v>
      </c>
      <c r="DE219" s="2643">
        <f t="shared" si="528"/>
        <v>0.3352363250132766</v>
      </c>
      <c r="DF219" s="2643" t="str">
        <f t="shared" si="528"/>
        <v>N/A</v>
      </c>
      <c r="DG219" s="2889">
        <f t="shared" ref="DG219:DP220" si="529">+IFERROR(IF(DG204&lt;0,IF(DB204&gt;0,"N/A",(-1)*(DG204/DB204-1)),IF(DB204&lt;0,"N/A",(DG204/DB204-1))),"N/A")</f>
        <v>1.2337392969207039</v>
      </c>
      <c r="DH219" s="2643">
        <f t="shared" si="529"/>
        <v>-8.869376479873714E-2</v>
      </c>
      <c r="DI219" s="2643">
        <f t="shared" si="529"/>
        <v>0.2127566143374684</v>
      </c>
      <c r="DJ219" s="2643">
        <f t="shared" si="529"/>
        <v>-0.14119518743163961</v>
      </c>
      <c r="DK219" s="2643">
        <f t="shared" si="529"/>
        <v>0.24856837814228872</v>
      </c>
      <c r="DL219" s="2889">
        <f t="shared" si="529"/>
        <v>5.8689078831456465E-2</v>
      </c>
      <c r="DM219" s="2643">
        <f t="shared" si="529"/>
        <v>-6.0625744289271366E-2</v>
      </c>
      <c r="DN219" s="2643">
        <f t="shared" si="529"/>
        <v>-0.21345161582330041</v>
      </c>
      <c r="DO219" s="2643">
        <f t="shared" si="529"/>
        <v>0.53745513488479801</v>
      </c>
      <c r="DP219" s="2643">
        <f t="shared" si="529"/>
        <v>0.3525342039800996</v>
      </c>
      <c r="DQ219" s="2889">
        <f>+IFERROR(IF(DQ204&lt;0,IF(DL204&gt;0,"N/A",(-1)*(DQ204/DL204-1)),IF(DL204&lt;0,"N/A",(DQ204/DL204-1))),"N/A")</f>
        <v>8.0465974002608798E-2</v>
      </c>
      <c r="DR219" s="2643"/>
      <c r="DS219" s="2643"/>
      <c r="DT219" s="2643"/>
      <c r="DU219" s="2643"/>
      <c r="DV219" s="2889"/>
      <c r="DW219" s="2643"/>
      <c r="DX219" s="2643"/>
      <c r="DY219" s="2643"/>
      <c r="DZ219" s="2643"/>
      <c r="EA219" s="2889"/>
      <c r="EB219" s="2643"/>
      <c r="EC219" s="2643"/>
      <c r="ED219" s="2643"/>
      <c r="EE219" s="2643"/>
      <c r="EF219" s="2889"/>
      <c r="EG219" s="2643"/>
      <c r="EH219" s="2643"/>
      <c r="EI219" s="2643"/>
      <c r="EJ219" s="2643"/>
      <c r="EK219" s="2889"/>
      <c r="EL219" s="2643"/>
      <c r="EM219" s="2643"/>
      <c r="EN219" s="2643"/>
      <c r="EO219" s="2643"/>
      <c r="EP219" s="2889"/>
      <c r="EQ219" s="2643"/>
      <c r="ER219" s="2643"/>
      <c r="ES219" s="2643"/>
      <c r="ET219" s="2643"/>
      <c r="EU219" s="2889"/>
      <c r="EV219" s="2889"/>
      <c r="EW219" s="2889"/>
      <c r="EX219" s="2889"/>
      <c r="EY219" s="2889"/>
      <c r="EZ219" s="768"/>
      <c r="FA219" s="1319"/>
      <c r="FB219" s="1319"/>
    </row>
    <row r="220" spans="1:159" s="627" customFormat="1" hidden="1">
      <c r="A220" s="3555" t="s">
        <v>539</v>
      </c>
      <c r="B220" s="3258"/>
      <c r="C220" s="3258"/>
      <c r="D220" s="3258"/>
      <c r="E220" s="3258"/>
      <c r="F220" s="3258"/>
      <c r="G220" s="3258"/>
      <c r="H220" s="3258"/>
      <c r="I220" s="3258"/>
      <c r="J220" s="3258"/>
      <c r="K220" s="3258"/>
      <c r="L220" s="3258"/>
      <c r="M220" s="3258"/>
      <c r="N220" s="3258"/>
      <c r="O220" s="3258"/>
      <c r="P220" s="3258"/>
      <c r="Q220" s="3258"/>
      <c r="R220" s="3258"/>
      <c r="S220" s="3258"/>
      <c r="T220" s="3258"/>
      <c r="U220" s="3258"/>
      <c r="V220" s="3258"/>
      <c r="W220" s="3258"/>
      <c r="X220" s="3258"/>
      <c r="Y220" s="3258"/>
      <c r="Z220" s="3258"/>
      <c r="AA220" s="3258"/>
      <c r="AB220" s="3258"/>
      <c r="AC220" s="3258"/>
      <c r="AD220" s="3258"/>
      <c r="AE220" s="3258"/>
      <c r="AF220" s="3258"/>
      <c r="AG220" s="3258"/>
      <c r="AH220" s="3258"/>
      <c r="AI220" s="3258"/>
      <c r="AJ220" s="3258"/>
      <c r="AK220" s="3258"/>
      <c r="AL220" s="3258"/>
      <c r="AM220" s="3258"/>
      <c r="AN220" s="3258"/>
      <c r="AO220" s="3258"/>
      <c r="AP220" s="3258"/>
      <c r="AQ220" s="3258"/>
      <c r="AR220" s="3258"/>
      <c r="AS220" s="3258"/>
      <c r="AT220" s="3258"/>
      <c r="AU220" s="3258"/>
      <c r="AV220" s="3258"/>
      <c r="AW220" s="3258"/>
      <c r="AX220" s="3258"/>
      <c r="AY220" s="3258"/>
      <c r="AZ220" s="3258"/>
      <c r="BA220" s="3258"/>
      <c r="BB220" s="3258"/>
      <c r="BC220" s="3258"/>
      <c r="BD220" s="3258"/>
      <c r="BE220" s="3258"/>
      <c r="BF220" s="3258"/>
      <c r="BG220" s="3258"/>
      <c r="BH220" s="3258"/>
      <c r="BI220" s="3258"/>
      <c r="BJ220" s="3258"/>
      <c r="BK220" s="3258"/>
      <c r="BL220" s="3258"/>
      <c r="BM220" s="3258"/>
      <c r="BN220" s="3258"/>
      <c r="BO220" s="3258"/>
      <c r="BP220" s="3258"/>
      <c r="BQ220" s="3258"/>
      <c r="BR220" s="3258"/>
      <c r="BS220" s="3258"/>
      <c r="BT220" s="3258"/>
      <c r="BU220" s="3258"/>
      <c r="BV220" s="3258"/>
      <c r="BW220" s="3258"/>
      <c r="BX220" s="3258"/>
      <c r="BY220" s="3258"/>
      <c r="BZ220" s="3258"/>
      <c r="CA220" s="3258"/>
      <c r="CB220" s="3258"/>
      <c r="CC220" s="3258"/>
      <c r="CD220" s="3258"/>
      <c r="CE220" s="3258"/>
      <c r="CF220" s="3258"/>
      <c r="CG220" s="3258"/>
      <c r="CH220" s="3259"/>
      <c r="CI220" s="3260"/>
      <c r="CJ220" s="3260"/>
      <c r="CK220" s="3260"/>
      <c r="CL220" s="3260"/>
      <c r="CM220" s="3259">
        <f t="shared" si="527"/>
        <v>0.13301154022678574</v>
      </c>
      <c r="CN220" s="3261" t="str">
        <f t="shared" si="527"/>
        <v>N/A</v>
      </c>
      <c r="CO220" s="3261" t="str">
        <f t="shared" si="527"/>
        <v>N/A</v>
      </c>
      <c r="CP220" s="3261" t="str">
        <f t="shared" si="527"/>
        <v>N/A</v>
      </c>
      <c r="CQ220" s="3260">
        <f t="shared" si="527"/>
        <v>0.37037857078554026</v>
      </c>
      <c r="CR220" s="3259">
        <f t="shared" si="527"/>
        <v>0.22619167966659881</v>
      </c>
      <c r="CS220" s="3260">
        <f t="shared" si="527"/>
        <v>0.18402312740972682</v>
      </c>
      <c r="CT220" s="3260">
        <f t="shared" si="527"/>
        <v>0.24065990374844248</v>
      </c>
      <c r="CU220" s="3260">
        <f t="shared" si="527"/>
        <v>0.18790804010666506</v>
      </c>
      <c r="CV220" s="3261">
        <f t="shared" si="527"/>
        <v>4.1352119395760889E-2</v>
      </c>
      <c r="CW220" s="3262">
        <f t="shared" si="528"/>
        <v>0.15364366124731776</v>
      </c>
      <c r="CX220" s="3261">
        <f t="shared" si="528"/>
        <v>0.22887095882003794</v>
      </c>
      <c r="CY220" s="3261">
        <f t="shared" si="528"/>
        <v>0.18481803663618424</v>
      </c>
      <c r="CZ220" s="3261">
        <f t="shared" si="528"/>
        <v>0.23195946192307404</v>
      </c>
      <c r="DA220" s="3261" t="str">
        <f t="shared" si="528"/>
        <v>N/A</v>
      </c>
      <c r="DB220" s="3262">
        <f t="shared" si="528"/>
        <v>-0.21059282117611744</v>
      </c>
      <c r="DC220" s="3261">
        <f t="shared" si="528"/>
        <v>0.60080386636091565</v>
      </c>
      <c r="DD220" s="3261">
        <f t="shared" si="528"/>
        <v>0.29142799182845835</v>
      </c>
      <c r="DE220" s="3261">
        <f t="shared" si="528"/>
        <v>0.33496505080284944</v>
      </c>
      <c r="DF220" s="3261" t="str">
        <f t="shared" si="528"/>
        <v>N/A</v>
      </c>
      <c r="DG220" s="3262">
        <f t="shared" si="529"/>
        <v>1.2346897604201672</v>
      </c>
      <c r="DH220" s="3261">
        <f t="shared" si="529"/>
        <v>-8.3161271985025653E-2</v>
      </c>
      <c r="DI220" s="3261">
        <f t="shared" si="529"/>
        <v>0.2184621428879352</v>
      </c>
      <c r="DJ220" s="3261">
        <f t="shared" si="529"/>
        <v>-0.13423322495512946</v>
      </c>
      <c r="DK220" s="3261">
        <f t="shared" si="529"/>
        <v>0.25881455776596463</v>
      </c>
      <c r="DL220" s="3262">
        <f t="shared" si="529"/>
        <v>6.5854922448951747E-2</v>
      </c>
      <c r="DM220" s="3261">
        <f t="shared" si="529"/>
        <v>-4.8939659165784577E-2</v>
      </c>
      <c r="DN220" s="3261">
        <f t="shared" si="529"/>
        <v>-0.19864853673522698</v>
      </c>
      <c r="DO220" s="3261">
        <f t="shared" si="529"/>
        <v>0.5651353394854437</v>
      </c>
      <c r="DP220" s="3261">
        <f t="shared" si="529"/>
        <v>0.37674427887904316</v>
      </c>
      <c r="DQ220" s="3262">
        <f>+IFERROR(IF(DQ205&lt;0,IF(DL205&gt;0,"N/A",(-1)*(DQ205/DL205-1)),IF(DL205&lt;0,"N/A",(DQ205/DL205-1))),"N/A")</f>
        <v>9.8596860415541165E-2</v>
      </c>
      <c r="DR220" s="3261"/>
      <c r="DS220" s="3261"/>
      <c r="DT220" s="3261"/>
      <c r="DU220" s="3261"/>
      <c r="DV220" s="3262"/>
      <c r="DW220" s="3261"/>
      <c r="DX220" s="3261"/>
      <c r="DY220" s="3261"/>
      <c r="DZ220" s="3261"/>
      <c r="EA220" s="3262"/>
      <c r="EB220" s="3261"/>
      <c r="EC220" s="3261"/>
      <c r="ED220" s="3261"/>
      <c r="EE220" s="3261"/>
      <c r="EF220" s="3262"/>
      <c r="EG220" s="3261"/>
      <c r="EH220" s="3261"/>
      <c r="EI220" s="3261"/>
      <c r="EJ220" s="3261"/>
      <c r="EK220" s="3262"/>
      <c r="EL220" s="3261"/>
      <c r="EM220" s="3261"/>
      <c r="EN220" s="3261"/>
      <c r="EO220" s="3261"/>
      <c r="EP220" s="3262"/>
      <c r="EQ220" s="3261"/>
      <c r="ER220" s="3261"/>
      <c r="ES220" s="3261"/>
      <c r="ET220" s="3261"/>
      <c r="EU220" s="3262"/>
      <c r="EV220" s="3262"/>
      <c r="EW220" s="3262"/>
      <c r="EX220" s="3262"/>
      <c r="EY220" s="3262"/>
      <c r="EZ220" s="768"/>
      <c r="FA220" s="1319"/>
      <c r="FB220" s="1319"/>
    </row>
    <row r="221" spans="1:159" s="627" customFormat="1" hidden="1">
      <c r="A221" s="4474" t="s">
        <v>444</v>
      </c>
      <c r="B221" s="3258"/>
      <c r="C221" s="3258"/>
      <c r="D221" s="3258"/>
      <c r="E221" s="3258"/>
      <c r="F221" s="3258"/>
      <c r="G221" s="3258"/>
      <c r="H221" s="3258"/>
      <c r="I221" s="3258"/>
      <c r="J221" s="3258"/>
      <c r="K221" s="3258"/>
      <c r="L221" s="3258"/>
      <c r="M221" s="3258"/>
      <c r="N221" s="3258"/>
      <c r="O221" s="3258"/>
      <c r="P221" s="3258"/>
      <c r="Q221" s="3258"/>
      <c r="R221" s="3258"/>
      <c r="S221" s="3258"/>
      <c r="T221" s="3258"/>
      <c r="U221" s="3258"/>
      <c r="V221" s="3258"/>
      <c r="W221" s="3258"/>
      <c r="X221" s="3258"/>
      <c r="Y221" s="3258"/>
      <c r="Z221" s="3258"/>
      <c r="AA221" s="3258"/>
      <c r="AB221" s="3258"/>
      <c r="AC221" s="3258"/>
      <c r="AD221" s="3258"/>
      <c r="AE221" s="3258"/>
      <c r="AF221" s="3258"/>
      <c r="AG221" s="3258"/>
      <c r="AH221" s="3258"/>
      <c r="AI221" s="3258"/>
      <c r="AJ221" s="3258"/>
      <c r="AK221" s="3258"/>
      <c r="AL221" s="3258"/>
      <c r="AM221" s="3258"/>
      <c r="AN221" s="3258"/>
      <c r="AO221" s="3258"/>
      <c r="AP221" s="3258"/>
      <c r="AQ221" s="3258"/>
      <c r="AR221" s="3258"/>
      <c r="AS221" s="3258"/>
      <c r="AT221" s="3258"/>
      <c r="AU221" s="3258"/>
      <c r="AV221" s="3258"/>
      <c r="AW221" s="3258"/>
      <c r="AX221" s="3258"/>
      <c r="AY221" s="3258"/>
      <c r="AZ221" s="3258"/>
      <c r="BA221" s="3258"/>
      <c r="BB221" s="3258"/>
      <c r="BC221" s="3258"/>
      <c r="BD221" s="3258"/>
      <c r="BE221" s="3258"/>
      <c r="BF221" s="3258"/>
      <c r="BG221" s="3258"/>
      <c r="BH221" s="3258"/>
      <c r="BI221" s="3258"/>
      <c r="BJ221" s="3258"/>
      <c r="BK221" s="3258"/>
      <c r="BL221" s="3258"/>
      <c r="BM221" s="3258"/>
      <c r="BN221" s="3258"/>
      <c r="BO221" s="3258"/>
      <c r="BP221" s="3258"/>
      <c r="BQ221" s="3258"/>
      <c r="BR221" s="3258"/>
      <c r="BS221" s="3258"/>
      <c r="BT221" s="3258"/>
      <c r="BU221" s="3258"/>
      <c r="BV221" s="3258"/>
      <c r="BW221" s="3258"/>
      <c r="BX221" s="3258"/>
      <c r="BY221" s="3258"/>
      <c r="BZ221" s="3258"/>
      <c r="CA221" s="3258"/>
      <c r="CB221" s="3258"/>
      <c r="CC221" s="3258"/>
      <c r="CD221" s="3258"/>
      <c r="CE221" s="3258"/>
      <c r="CF221" s="3258"/>
      <c r="CG221" s="3258"/>
      <c r="CH221" s="3259"/>
      <c r="CI221" s="3260"/>
      <c r="CJ221" s="3260"/>
      <c r="CK221" s="3260"/>
      <c r="CL221" s="3260"/>
      <c r="CM221" s="3259">
        <f>+IF(CM207&lt;0,IF(CH207&gt;0,"N/A",(-1)*(CM207/CH207-1)),IF(CH207&lt;0,"N/A",(CM207/CH207-1)))</f>
        <v>0.59477590636597211</v>
      </c>
      <c r="CN221" s="3261" t="str">
        <f t="shared" ref="CN221:CP222" si="530">+IFERROR(IF(CN207&lt;0,IF(CI207&gt;0,"N/A",(-1)*(CN207/CI207-1)),IF(CI207&lt;0,"N/A",(CN207/CI207-1))),"N/A")</f>
        <v>N/A</v>
      </c>
      <c r="CO221" s="3261" t="str">
        <f t="shared" si="530"/>
        <v>N/A</v>
      </c>
      <c r="CP221" s="3261" t="str">
        <f t="shared" si="530"/>
        <v>N/A</v>
      </c>
      <c r="CQ221" s="3260">
        <f t="shared" ref="CQ221:CZ222" si="531">+IF(CQ207&lt;0,IF(CL207&gt;0,"N/A",(-1)*(CQ207/CL207-1)),IF(CL207&lt;0,"N/A",(CQ207/CL207-1)))</f>
        <v>-0.52410119840213043</v>
      </c>
      <c r="CR221" s="3259">
        <f t="shared" si="531"/>
        <v>-0.20656940839523852</v>
      </c>
      <c r="CS221" s="3260">
        <f t="shared" si="531"/>
        <v>-0.23861090365944737</v>
      </c>
      <c r="CT221" s="3260">
        <f t="shared" si="531"/>
        <v>-1.9417475728155109E-3</v>
      </c>
      <c r="CU221" s="3260">
        <f t="shared" si="531"/>
        <v>4.017094017094025E-2</v>
      </c>
      <c r="CV221" s="3261">
        <f t="shared" si="531"/>
        <v>0.61611639619473979</v>
      </c>
      <c r="CW221" s="3262">
        <f t="shared" si="531"/>
        <v>6.2267343485617577E-2</v>
      </c>
      <c r="CX221" s="3261">
        <f t="shared" si="531"/>
        <v>0.18146150073565481</v>
      </c>
      <c r="CY221" s="3261">
        <f t="shared" si="531"/>
        <v>0.38035019455252916</v>
      </c>
      <c r="CZ221" s="3261">
        <f t="shared" si="531"/>
        <v>0.46384552177485627</v>
      </c>
      <c r="DA221" s="3261">
        <f t="shared" ref="DA221:DJ222" si="532">+IF(DA207&lt;0,IF(CV207&gt;0,"N/A",(-1)*(DA207/CV207-1)),IF(CV207&lt;0,"N/A",(DA207/CV207-1)))</f>
        <v>0.31890581717451516</v>
      </c>
      <c r="DB221" s="3262">
        <f t="shared" si="532"/>
        <v>0.3400233620048847</v>
      </c>
      <c r="DC221" s="3261">
        <f t="shared" si="532"/>
        <v>2.1834786218347864</v>
      </c>
      <c r="DD221" s="3261">
        <f t="shared" si="532"/>
        <v>0.86715997181113469</v>
      </c>
      <c r="DE221" s="3261">
        <f t="shared" si="532"/>
        <v>0.58377771540836365</v>
      </c>
      <c r="DF221" s="3261">
        <f t="shared" si="532"/>
        <v>0.79810974008926228</v>
      </c>
      <c r="DG221" s="3262">
        <f t="shared" si="532"/>
        <v>1.0175925192170538</v>
      </c>
      <c r="DH221" s="3261">
        <f t="shared" si="532"/>
        <v>-0.40878862954752904</v>
      </c>
      <c r="DI221" s="3261">
        <f t="shared" si="532"/>
        <v>0.30137761841856947</v>
      </c>
      <c r="DJ221" s="3261">
        <f t="shared" si="532"/>
        <v>0.28087896508949139</v>
      </c>
      <c r="DK221" s="3261">
        <f t="shared" ref="DK221:DQ222" si="533">+IF(DK207&lt;0,IF(DF207&gt;0,"N/A",(-1)*(DK207/DF207-1)),IF(DF207&lt;0,"N/A",(DK207/DF207-1)))</f>
        <v>-3.7377719375091267E-2</v>
      </c>
      <c r="DL221" s="3262">
        <f t="shared" si="533"/>
        <v>-8.208955223880543E-3</v>
      </c>
      <c r="DM221" s="3261">
        <f t="shared" si="533"/>
        <v>0.24900749889722107</v>
      </c>
      <c r="DN221" s="3261">
        <f t="shared" si="533"/>
        <v>-0.29872389791183296</v>
      </c>
      <c r="DO221" s="3261">
        <f t="shared" si="533"/>
        <v>-0.24391256225788605</v>
      </c>
      <c r="DP221" s="3261">
        <f t="shared" si="533"/>
        <v>-0.18722887911421193</v>
      </c>
      <c r="DQ221" s="3262">
        <f t="shared" si="533"/>
        <v>-0.15557403667181502</v>
      </c>
      <c r="DR221" s="3261"/>
      <c r="DS221" s="3261"/>
      <c r="DT221" s="3261"/>
      <c r="DU221" s="3261"/>
      <c r="DV221" s="3262"/>
      <c r="DW221" s="3261"/>
      <c r="DX221" s="3261"/>
      <c r="DY221" s="3261"/>
      <c r="DZ221" s="3261"/>
      <c r="EA221" s="3262"/>
      <c r="EB221" s="3261"/>
      <c r="EC221" s="3261"/>
      <c r="ED221" s="3261"/>
      <c r="EE221" s="3261"/>
      <c r="EF221" s="3262"/>
      <c r="EG221" s="3261"/>
      <c r="EH221" s="3261"/>
      <c r="EI221" s="3261"/>
      <c r="EJ221" s="3261"/>
      <c r="EK221" s="3262"/>
      <c r="EL221" s="3261"/>
      <c r="EM221" s="3261"/>
      <c r="EN221" s="3261"/>
      <c r="EO221" s="3261"/>
      <c r="EP221" s="3262"/>
      <c r="EQ221" s="3261"/>
      <c r="ER221" s="3261"/>
      <c r="ES221" s="3261"/>
      <c r="ET221" s="3261"/>
      <c r="EU221" s="3262"/>
      <c r="EV221" s="3262"/>
      <c r="EW221" s="3262"/>
      <c r="EX221" s="3262"/>
      <c r="EY221" s="3262"/>
      <c r="EZ221" s="768"/>
      <c r="FA221" s="1319"/>
      <c r="FB221" s="1319"/>
    </row>
    <row r="222" spans="1:159" s="627" customFormat="1" hidden="1">
      <c r="A222" s="4486" t="s">
        <v>445</v>
      </c>
      <c r="B222" s="157"/>
      <c r="C222" s="157"/>
      <c r="D222" s="157"/>
      <c r="E222" s="157"/>
      <c r="F222" s="157"/>
      <c r="G222" s="157"/>
      <c r="H222" s="157"/>
      <c r="I222" s="157"/>
      <c r="J222" s="157"/>
      <c r="K222" s="157"/>
      <c r="L222" s="157"/>
      <c r="M222" s="157"/>
      <c r="N222" s="157"/>
      <c r="O222" s="157"/>
      <c r="P222" s="157"/>
      <c r="Q222" s="157"/>
      <c r="R222" s="157"/>
      <c r="S222" s="157"/>
      <c r="T222" s="157"/>
      <c r="U222" s="157"/>
      <c r="V222" s="157"/>
      <c r="W222" s="157"/>
      <c r="X222" s="157"/>
      <c r="Y222" s="157"/>
      <c r="Z222" s="157"/>
      <c r="AA222" s="157"/>
      <c r="AB222" s="157"/>
      <c r="AC222" s="157"/>
      <c r="AD222" s="157"/>
      <c r="AE222" s="157"/>
      <c r="AF222" s="157"/>
      <c r="AG222" s="157"/>
      <c r="AH222" s="157"/>
      <c r="AI222" s="157"/>
      <c r="AJ222" s="157"/>
      <c r="AK222" s="157"/>
      <c r="AL222" s="157"/>
      <c r="AM222" s="157"/>
      <c r="AN222" s="157"/>
      <c r="AO222" s="157"/>
      <c r="AP222" s="157"/>
      <c r="AQ222" s="157"/>
      <c r="AR222" s="157"/>
      <c r="AS222" s="157"/>
      <c r="AT222" s="157"/>
      <c r="AU222" s="157"/>
      <c r="AV222" s="157"/>
      <c r="AW222" s="157"/>
      <c r="AX222" s="157"/>
      <c r="AY222" s="157"/>
      <c r="AZ222" s="157"/>
      <c r="BA222" s="157"/>
      <c r="BB222" s="157"/>
      <c r="BC222" s="157"/>
      <c r="BD222" s="157"/>
      <c r="BE222" s="157"/>
      <c r="BF222" s="157"/>
      <c r="BG222" s="157"/>
      <c r="BH222" s="157"/>
      <c r="BI222" s="157"/>
      <c r="BJ222" s="157"/>
      <c r="BK222" s="157"/>
      <c r="BL222" s="157"/>
      <c r="BM222" s="157"/>
      <c r="BN222" s="157"/>
      <c r="BO222" s="157"/>
      <c r="BP222" s="157"/>
      <c r="BQ222" s="157"/>
      <c r="BR222" s="157"/>
      <c r="BS222" s="157"/>
      <c r="BT222" s="157"/>
      <c r="BU222" s="157"/>
      <c r="BV222" s="157"/>
      <c r="BW222" s="157"/>
      <c r="BX222" s="157"/>
      <c r="BY222" s="157"/>
      <c r="BZ222" s="157"/>
      <c r="CA222" s="157"/>
      <c r="CB222" s="157"/>
      <c r="CC222" s="157"/>
      <c r="CD222" s="157"/>
      <c r="CE222" s="157"/>
      <c r="CF222" s="157"/>
      <c r="CG222" s="157"/>
      <c r="CH222" s="2719"/>
      <c r="CI222" s="2720"/>
      <c r="CJ222" s="2720"/>
      <c r="CK222" s="2720"/>
      <c r="CL222" s="2720"/>
      <c r="CM222" s="2719">
        <f>+IF(CM208&lt;0,IF(CH208&gt;0,"N/A",(-1)*(CM208/CH208-1)),IF(CH208&lt;0,"N/A",(CM208/CH208-1)))</f>
        <v>0.30261723009814623</v>
      </c>
      <c r="CN222" s="2728" t="str">
        <f t="shared" si="530"/>
        <v>N/A</v>
      </c>
      <c r="CO222" s="2728" t="str">
        <f t="shared" si="530"/>
        <v>N/A</v>
      </c>
      <c r="CP222" s="2728" t="str">
        <f t="shared" si="530"/>
        <v>N/A</v>
      </c>
      <c r="CQ222" s="2720">
        <f t="shared" si="531"/>
        <v>8.1548599670510757E-2</v>
      </c>
      <c r="CR222" s="2719">
        <f t="shared" si="531"/>
        <v>1.2766848053578972E-2</v>
      </c>
      <c r="CS222" s="2720">
        <f t="shared" si="531"/>
        <v>0.15831134564643801</v>
      </c>
      <c r="CT222" s="2720">
        <f t="shared" si="531"/>
        <v>0.18502943650126147</v>
      </c>
      <c r="CU222" s="2720">
        <f t="shared" si="531"/>
        <v>0.24</v>
      </c>
      <c r="CV222" s="2728">
        <f t="shared" si="531"/>
        <v>0.20792079207920788</v>
      </c>
      <c r="CW222" s="2885">
        <f t="shared" si="531"/>
        <v>0.19859475098160773</v>
      </c>
      <c r="CX222" s="2728">
        <f t="shared" si="531"/>
        <v>7.5170842824601403E-2</v>
      </c>
      <c r="CY222" s="2728">
        <f t="shared" si="531"/>
        <v>0.11000709723207946</v>
      </c>
      <c r="CZ222" s="2728">
        <f t="shared" si="531"/>
        <v>0.13776881720430101</v>
      </c>
      <c r="DA222" s="2728">
        <f t="shared" si="532"/>
        <v>0.22005044136191687</v>
      </c>
      <c r="DB222" s="2889">
        <f t="shared" si="532"/>
        <v>0.13931034482758631</v>
      </c>
      <c r="DC222" s="2728">
        <f t="shared" si="532"/>
        <v>0.34251412429378525</v>
      </c>
      <c r="DD222" s="2728">
        <f t="shared" si="532"/>
        <v>0.29859335038363177</v>
      </c>
      <c r="DE222" s="2728">
        <f t="shared" si="532"/>
        <v>0.34494979326639097</v>
      </c>
      <c r="DF222" s="2728">
        <f t="shared" si="532"/>
        <v>0.2914728682170542</v>
      </c>
      <c r="DG222" s="2889">
        <f t="shared" si="532"/>
        <v>0.31779661016949157</v>
      </c>
      <c r="DH222" s="2728">
        <f t="shared" si="532"/>
        <v>0.33035244608100989</v>
      </c>
      <c r="DI222" s="2728">
        <f t="shared" si="532"/>
        <v>0.35696701132447073</v>
      </c>
      <c r="DJ222" s="2728">
        <f t="shared" si="532"/>
        <v>0.24593763724198503</v>
      </c>
      <c r="DK222" s="2728">
        <f t="shared" si="533"/>
        <v>0.21488595438175273</v>
      </c>
      <c r="DL222" s="2889">
        <f t="shared" si="533"/>
        <v>0.2813504823151125</v>
      </c>
      <c r="DM222" s="2728">
        <f t="shared" si="533"/>
        <v>0.19137999209173584</v>
      </c>
      <c r="DN222" s="2728">
        <f t="shared" si="533"/>
        <v>0.19448476052249641</v>
      </c>
      <c r="DO222" s="2728">
        <f t="shared" si="533"/>
        <v>0.19245682058512514</v>
      </c>
      <c r="DP222" s="2728">
        <f t="shared" si="533"/>
        <v>0.19534123847167328</v>
      </c>
      <c r="DQ222" s="2889">
        <f t="shared" si="533"/>
        <v>0.1934984764294676</v>
      </c>
      <c r="DR222" s="2728"/>
      <c r="DS222" s="2728"/>
      <c r="DT222" s="2728"/>
      <c r="DU222" s="2728"/>
      <c r="DV222" s="2889"/>
      <c r="DW222" s="2728"/>
      <c r="DX222" s="2728"/>
      <c r="DY222" s="2728"/>
      <c r="DZ222" s="2728"/>
      <c r="EA222" s="4525"/>
      <c r="EB222" s="2728"/>
      <c r="EC222" s="2728"/>
      <c r="ED222" s="2728"/>
      <c r="EE222" s="2728"/>
      <c r="EF222" s="4525"/>
      <c r="EG222" s="2728"/>
      <c r="EH222" s="2728"/>
      <c r="EI222" s="2728"/>
      <c r="EJ222" s="2728"/>
      <c r="EK222" s="4525"/>
      <c r="EL222" s="2728"/>
      <c r="EM222" s="2728"/>
      <c r="EN222" s="2728"/>
      <c r="EO222" s="2728"/>
      <c r="EP222" s="4525"/>
      <c r="EQ222" s="2728"/>
      <c r="ER222" s="2728"/>
      <c r="ES222" s="2728"/>
      <c r="ET222" s="2728"/>
      <c r="EU222" s="2889"/>
      <c r="EV222" s="2889"/>
      <c r="EW222" s="2889"/>
      <c r="EX222" s="2889"/>
      <c r="EY222" s="2889"/>
      <c r="EZ222" s="768"/>
      <c r="FA222" s="1319"/>
      <c r="FB222" s="1319"/>
    </row>
    <row r="223" spans="1:159" s="627" customFormat="1" hidden="1">
      <c r="A223" s="3560"/>
      <c r="B223" s="157"/>
      <c r="C223" s="157"/>
      <c r="D223" s="157"/>
      <c r="E223" s="157"/>
      <c r="F223" s="157"/>
      <c r="G223" s="157"/>
      <c r="H223" s="157"/>
      <c r="I223" s="157"/>
      <c r="J223" s="157"/>
      <c r="K223" s="157"/>
      <c r="L223" s="157"/>
      <c r="M223" s="157"/>
      <c r="N223" s="157"/>
      <c r="O223" s="157"/>
      <c r="P223" s="157"/>
      <c r="Q223" s="157"/>
      <c r="R223" s="157"/>
      <c r="S223" s="157"/>
      <c r="T223" s="157"/>
      <c r="U223" s="157"/>
      <c r="V223" s="157"/>
      <c r="W223" s="157"/>
      <c r="X223" s="157"/>
      <c r="Y223" s="157"/>
      <c r="Z223" s="157"/>
      <c r="AA223" s="157"/>
      <c r="AB223" s="157"/>
      <c r="AC223" s="157"/>
      <c r="AD223" s="157"/>
      <c r="AE223" s="157"/>
      <c r="AF223" s="157"/>
      <c r="AG223" s="157"/>
      <c r="AH223" s="157"/>
      <c r="AI223" s="157"/>
      <c r="AJ223" s="157"/>
      <c r="AK223" s="157"/>
      <c r="AL223" s="157"/>
      <c r="AM223" s="157"/>
      <c r="AN223" s="157"/>
      <c r="AO223" s="157"/>
      <c r="AP223" s="157"/>
      <c r="AQ223" s="157"/>
      <c r="AR223" s="157"/>
      <c r="AS223" s="157"/>
      <c r="AT223" s="157"/>
      <c r="AU223" s="157"/>
      <c r="AV223" s="157"/>
      <c r="AW223" s="157"/>
      <c r="AX223" s="157"/>
      <c r="AY223" s="157"/>
      <c r="AZ223" s="157"/>
      <c r="BA223" s="157"/>
      <c r="BB223" s="157"/>
      <c r="BC223" s="157"/>
      <c r="BD223" s="157"/>
      <c r="BE223" s="157"/>
      <c r="BF223" s="157"/>
      <c r="BG223" s="157"/>
      <c r="BH223" s="157"/>
      <c r="BI223" s="157"/>
      <c r="BJ223" s="157"/>
      <c r="BK223" s="157"/>
      <c r="BL223" s="157"/>
      <c r="BM223" s="157"/>
      <c r="BN223" s="157"/>
      <c r="BO223" s="157"/>
      <c r="BP223" s="157"/>
      <c r="BQ223" s="157"/>
      <c r="BR223" s="157"/>
      <c r="BS223" s="157"/>
      <c r="BT223" s="157"/>
      <c r="BU223" s="157"/>
      <c r="BV223" s="157"/>
      <c r="BW223" s="157"/>
      <c r="BX223" s="157"/>
      <c r="BY223" s="157"/>
      <c r="BZ223" s="157"/>
      <c r="CA223" s="157"/>
      <c r="CB223" s="157"/>
      <c r="CC223" s="157"/>
      <c r="CD223" s="157"/>
      <c r="CE223" s="157"/>
      <c r="CF223" s="157"/>
      <c r="CG223" s="157"/>
      <c r="CH223" s="2719"/>
      <c r="CI223" s="2720"/>
      <c r="CJ223" s="2720"/>
      <c r="CK223" s="2720"/>
      <c r="CL223" s="2720"/>
      <c r="CM223" s="2719"/>
      <c r="CN223" s="2728"/>
      <c r="CO223" s="2728"/>
      <c r="CP223" s="2728"/>
      <c r="CQ223" s="2720"/>
      <c r="CR223" s="2719"/>
      <c r="CS223" s="2720"/>
      <c r="CT223" s="2720"/>
      <c r="CU223" s="2720"/>
      <c r="CV223" s="2720"/>
      <c r="CW223" s="2719"/>
      <c r="CX223" s="2720"/>
      <c r="CY223" s="2720"/>
      <c r="CZ223" s="2720"/>
      <c r="DA223" s="2720"/>
      <c r="DB223" s="2719"/>
      <c r="DC223" s="2720"/>
      <c r="DD223" s="2720"/>
      <c r="DE223" s="2720"/>
      <c r="DF223" s="2720"/>
      <c r="DG223" s="2719"/>
      <c r="DH223" s="2720"/>
      <c r="DI223" s="2720"/>
      <c r="DJ223" s="2720"/>
      <c r="DK223" s="2720"/>
      <c r="DL223" s="2719"/>
      <c r="DM223" s="2720"/>
      <c r="DN223" s="2720"/>
      <c r="DO223" s="2720"/>
      <c r="DP223" s="2720"/>
      <c r="DQ223" s="2719"/>
      <c r="DR223" s="2720"/>
      <c r="DS223" s="2720"/>
      <c r="DT223" s="2720"/>
      <c r="DU223" s="2720"/>
      <c r="DV223" s="2719"/>
      <c r="DW223" s="2720"/>
      <c r="DX223" s="2720"/>
      <c r="DY223" s="2720"/>
      <c r="DZ223" s="2720"/>
      <c r="EA223" s="2719"/>
      <c r="EB223" s="2720"/>
      <c r="EC223" s="2720"/>
      <c r="ED223" s="2720"/>
      <c r="EE223" s="2720"/>
      <c r="EF223" s="2719"/>
      <c r="EG223" s="2720"/>
      <c r="EH223" s="2720"/>
      <c r="EI223" s="2720"/>
      <c r="EJ223" s="2720"/>
      <c r="EK223" s="2719"/>
      <c r="EL223" s="2720"/>
      <c r="EM223" s="2720"/>
      <c r="EN223" s="2720"/>
      <c r="EO223" s="2720"/>
      <c r="EP223" s="2719"/>
      <c r="EQ223" s="2720"/>
      <c r="ER223" s="2720"/>
      <c r="ES223" s="2720"/>
      <c r="ET223" s="2720"/>
      <c r="EU223" s="2719"/>
      <c r="EV223" s="2719"/>
      <c r="EW223" s="2719"/>
      <c r="EX223" s="2719"/>
      <c r="EY223" s="2719"/>
      <c r="EZ223" s="768"/>
      <c r="FA223" s="1319"/>
      <c r="FB223" s="1319"/>
    </row>
    <row r="224" spans="1:159" s="766" customFormat="1" hidden="1">
      <c r="A224" s="4867" t="s">
        <v>463</v>
      </c>
      <c r="B224" s="2743"/>
      <c r="C224" s="2743"/>
      <c r="D224" s="2743"/>
      <c r="E224" s="2743"/>
      <c r="F224" s="2743"/>
      <c r="G224" s="2743"/>
      <c r="H224" s="2743"/>
      <c r="I224" s="2743"/>
      <c r="J224" s="2743"/>
      <c r="K224" s="2743"/>
      <c r="L224" s="2743"/>
      <c r="M224" s="2743"/>
      <c r="N224" s="2743"/>
      <c r="O224" s="2743"/>
      <c r="P224" s="2743"/>
      <c r="Q224" s="2743"/>
      <c r="R224" s="2743"/>
      <c r="S224" s="2743"/>
      <c r="T224" s="2743"/>
      <c r="U224" s="2743"/>
      <c r="V224" s="2743"/>
      <c r="W224" s="2743"/>
      <c r="X224" s="2743"/>
      <c r="Y224" s="2743"/>
      <c r="Z224" s="2743"/>
      <c r="AA224" s="2743"/>
      <c r="AB224" s="2743"/>
      <c r="AC224" s="2743"/>
      <c r="AD224" s="2743"/>
      <c r="AE224" s="2743"/>
      <c r="AF224" s="2743"/>
      <c r="AG224" s="2743"/>
      <c r="AH224" s="2743"/>
      <c r="AI224" s="2743"/>
      <c r="AJ224" s="2743"/>
      <c r="AK224" s="2743"/>
      <c r="AL224" s="2743"/>
      <c r="AM224" s="2743"/>
      <c r="AN224" s="2743"/>
      <c r="AO224" s="2743"/>
      <c r="AP224" s="2743"/>
      <c r="AQ224" s="2743"/>
      <c r="AR224" s="2743"/>
      <c r="AS224" s="2743"/>
      <c r="AT224" s="2743"/>
      <c r="AU224" s="2743"/>
      <c r="AV224" s="2743"/>
      <c r="AW224" s="2743"/>
      <c r="AX224" s="2743"/>
      <c r="AY224" s="2743"/>
      <c r="AZ224" s="2743"/>
      <c r="BA224" s="2743"/>
      <c r="BB224" s="2743"/>
      <c r="BC224" s="2743"/>
      <c r="BD224" s="2743"/>
      <c r="BE224" s="2743"/>
      <c r="BF224" s="2743"/>
      <c r="BG224" s="2743"/>
      <c r="BH224" s="2743"/>
      <c r="BI224" s="2743"/>
      <c r="BJ224" s="2743"/>
      <c r="BK224" s="2743"/>
      <c r="BL224" s="2743"/>
      <c r="BM224" s="2743"/>
      <c r="BN224" s="2743"/>
      <c r="BO224" s="2743"/>
      <c r="BP224" s="2743"/>
      <c r="BQ224" s="2743"/>
      <c r="BR224" s="2743"/>
      <c r="BS224" s="2743"/>
      <c r="BT224" s="2743"/>
      <c r="BU224" s="2743"/>
      <c r="BV224" s="2743"/>
      <c r="BW224" s="2743"/>
      <c r="BX224" s="2743"/>
      <c r="BY224" s="2743"/>
      <c r="BZ224" s="2743"/>
      <c r="CA224" s="2743"/>
      <c r="CB224" s="2743"/>
      <c r="CC224" s="2743"/>
      <c r="CD224" s="2743"/>
      <c r="CE224" s="2743"/>
      <c r="CF224" s="2743"/>
      <c r="CG224" s="2743"/>
      <c r="CH224" s="4891"/>
      <c r="CI224" s="4892"/>
      <c r="CJ224" s="4892"/>
      <c r="CK224" s="4892"/>
      <c r="CL224" s="4892"/>
      <c r="CM224" s="4891"/>
      <c r="CN224" s="4892"/>
      <c r="CO224" s="4892"/>
      <c r="CP224" s="4892"/>
      <c r="CQ224" s="4892"/>
      <c r="CR224" s="4891"/>
      <c r="CS224" s="4892"/>
      <c r="CT224" s="4892"/>
      <c r="CU224" s="4892"/>
      <c r="CV224" s="4892"/>
      <c r="CW224" s="4891"/>
      <c r="CX224" s="4892"/>
      <c r="CY224" s="4892"/>
      <c r="CZ224" s="4892"/>
      <c r="DA224" s="4892"/>
      <c r="DB224" s="4891"/>
      <c r="DC224" s="4892"/>
      <c r="DD224" s="4892"/>
      <c r="DE224" s="4892"/>
      <c r="DF224" s="4892"/>
      <c r="DG224" s="4891"/>
      <c r="DH224" s="4892"/>
      <c r="DI224" s="4892"/>
      <c r="DJ224" s="4892"/>
      <c r="DK224" s="4892"/>
      <c r="DL224" s="4891"/>
      <c r="DM224" s="4892"/>
      <c r="DN224" s="4892"/>
      <c r="DO224" s="4892"/>
      <c r="DP224" s="4892"/>
      <c r="DQ224" s="4891"/>
      <c r="DR224" s="4892"/>
      <c r="DS224" s="4892"/>
      <c r="DT224" s="4892"/>
      <c r="DU224" s="4892"/>
      <c r="DV224" s="4891"/>
      <c r="DW224" s="4892"/>
      <c r="DX224" s="4892"/>
      <c r="DY224" s="4892"/>
      <c r="DZ224" s="4892"/>
      <c r="EA224" s="4891"/>
      <c r="EB224" s="4892"/>
      <c r="EC224" s="4892"/>
      <c r="ED224" s="4892"/>
      <c r="EE224" s="4892"/>
      <c r="EF224" s="4891"/>
      <c r="EG224" s="4892"/>
      <c r="EH224" s="4892"/>
      <c r="EI224" s="4892"/>
      <c r="EJ224" s="4892"/>
      <c r="EK224" s="4891"/>
      <c r="EL224" s="4892"/>
      <c r="EM224" s="4892"/>
      <c r="EN224" s="4892"/>
      <c r="EO224" s="4892"/>
      <c r="EP224" s="4891"/>
      <c r="EQ224" s="4892"/>
      <c r="ER224" s="4892"/>
      <c r="ES224" s="4892"/>
      <c r="ET224" s="4892"/>
      <c r="EU224" s="4891"/>
      <c r="EV224" s="4891"/>
      <c r="EW224" s="4891"/>
      <c r="EX224" s="4891"/>
      <c r="EY224" s="4891"/>
      <c r="EZ224" s="767"/>
      <c r="FA224" s="4276"/>
      <c r="FB224" s="4276"/>
    </row>
    <row r="225" spans="1:158" s="627" customFormat="1" hidden="1">
      <c r="A225" s="4553" t="str">
        <f t="shared" ref="A225:A236" si="534">A211</f>
        <v>Google Gross Revenue</v>
      </c>
      <c r="B225" s="4554"/>
      <c r="C225" s="4554"/>
      <c r="D225" s="4554"/>
      <c r="E225" s="4554"/>
      <c r="F225" s="4554"/>
      <c r="G225" s="4554"/>
      <c r="H225" s="4554"/>
      <c r="I225" s="4554"/>
      <c r="J225" s="4554"/>
      <c r="K225" s="4554"/>
      <c r="L225" s="4554"/>
      <c r="M225" s="4554"/>
      <c r="N225" s="4554"/>
      <c r="O225" s="4554"/>
      <c r="P225" s="4554"/>
      <c r="Q225" s="4554"/>
      <c r="R225" s="4554"/>
      <c r="S225" s="4554"/>
      <c r="T225" s="4554"/>
      <c r="U225" s="4554"/>
      <c r="V225" s="4554"/>
      <c r="W225" s="4554"/>
      <c r="X225" s="4554"/>
      <c r="Y225" s="4554"/>
      <c r="Z225" s="4554"/>
      <c r="AA225" s="4554"/>
      <c r="AB225" s="4554"/>
      <c r="AC225" s="4554"/>
      <c r="AD225" s="4554"/>
      <c r="AE225" s="4554"/>
      <c r="AF225" s="4554"/>
      <c r="AG225" s="4554"/>
      <c r="AH225" s="4554"/>
      <c r="AI225" s="4554"/>
      <c r="AJ225" s="4554"/>
      <c r="AK225" s="4554"/>
      <c r="AL225" s="4554"/>
      <c r="AM225" s="4554"/>
      <c r="AN225" s="4554"/>
      <c r="AO225" s="4554"/>
      <c r="AP225" s="4554"/>
      <c r="AQ225" s="4554"/>
      <c r="AR225" s="4554"/>
      <c r="AS225" s="4554"/>
      <c r="AT225" s="4554"/>
      <c r="AU225" s="4554"/>
      <c r="AV225" s="4554"/>
      <c r="AW225" s="4554"/>
      <c r="AX225" s="4554"/>
      <c r="AY225" s="4554"/>
      <c r="AZ225" s="4554"/>
      <c r="BA225" s="4554"/>
      <c r="BB225" s="4554"/>
      <c r="BC225" s="4554"/>
      <c r="BD225" s="4554"/>
      <c r="BE225" s="4554"/>
      <c r="BF225" s="4554"/>
      <c r="BG225" s="4554"/>
      <c r="BH225" s="4554"/>
      <c r="BI225" s="4554"/>
      <c r="BJ225" s="4554"/>
      <c r="BK225" s="4554"/>
      <c r="BL225" s="4554"/>
      <c r="BM225" s="4554"/>
      <c r="BN225" s="4554"/>
      <c r="BO225" s="4554"/>
      <c r="BP225" s="4554"/>
      <c r="BQ225" s="4554"/>
      <c r="BR225" s="4554"/>
      <c r="BS225" s="4554"/>
      <c r="BT225" s="4554"/>
      <c r="BU225" s="4554"/>
      <c r="BV225" s="4554"/>
      <c r="BW225" s="4554"/>
      <c r="BX225" s="4554"/>
      <c r="BY225" s="4554"/>
      <c r="BZ225" s="4554"/>
      <c r="CA225" s="4554"/>
      <c r="CB225" s="4554"/>
      <c r="CC225" s="4554"/>
      <c r="CD225" s="4554"/>
      <c r="CE225" s="4554"/>
      <c r="CF225" s="4554"/>
      <c r="CG225" s="4554"/>
      <c r="CH225" s="4555"/>
      <c r="CI225" s="4556"/>
      <c r="CJ225" s="4556"/>
      <c r="CK225" s="4556"/>
      <c r="CL225" s="4556"/>
      <c r="CM225" s="4555"/>
      <c r="CN225" s="4557">
        <f>+IF(CN193&lt;0,IF(CL193&gt;0,"N/A",(-1)*(CN193/CL193-1)),IF(CL193&lt;0,"N/A",(CN193/CL193-1)))</f>
        <v>-4.5507584597432871E-2</v>
      </c>
      <c r="CO225" s="4557">
        <f t="shared" ref="CO225:CQ229" si="535">+IF(CO193&lt;0,IF(CN193&gt;0,"N/A",(-1)*(CO193/CN193-1)),IF(CN193&lt;0,"N/A",(CO193/CN193-1)))</f>
        <v>2.7651647456048423E-2</v>
      </c>
      <c r="CP225" s="4557">
        <f t="shared" si="535"/>
        <v>4.9906531467739157E-2</v>
      </c>
      <c r="CQ225" s="4556">
        <f t="shared" si="535"/>
        <v>0.14271069385993318</v>
      </c>
      <c r="CR225" s="4555"/>
      <c r="CS225" s="4556">
        <f>+IF(CS193&lt;0,IF(CQ193&gt;0,"N/A",(-1)*(CS193/CQ193-1)),IF(CQ193&lt;0,"N/A",(CS193/CQ193-1)))</f>
        <v>-5.1324425138108531E-2</v>
      </c>
      <c r="CT225" s="4556">
        <f t="shared" ref="CT225:CV232" si="536">+IF(CT193&lt;0,IF(CS193&gt;0,"N/A",(-1)*(CT193/CS193-1)),IF(CS193&lt;0,"N/A",(CT193/CS193-1)))</f>
        <v>6.0869998009157822E-2</v>
      </c>
      <c r="CU225" s="4556">
        <f t="shared" si="536"/>
        <v>4.4053483462350496E-2</v>
      </c>
      <c r="CV225" s="4556">
        <f t="shared" si="536"/>
        <v>0.1594320122225219</v>
      </c>
      <c r="CW225" s="4555"/>
      <c r="CX225" s="4557">
        <f t="shared" ref="CX225:CX232" si="537">+IF(CX193&lt;0,IF(CV193&gt;0,"N/A",(-1)*(CX193/CV193-1)),IF(CV193&lt;0,"N/A",(CX193/CV193-1)))</f>
        <v>-4.588791566545225E-2</v>
      </c>
      <c r="CY225" s="4557">
        <f t="shared" ref="CY225:DA232" si="538">+IF(CY193&lt;0,IF(CX193&gt;0,"N/A",(-1)*(CY193/CX193-1)),IF(CX193&lt;0,"N/A",(CY193/CX193-1)))</f>
        <v>5.2603785847753715E-2</v>
      </c>
      <c r="CZ225" s="4557">
        <f t="shared" si="538"/>
        <v>6.7224945008296899E-2</v>
      </c>
      <c r="DA225" s="4557">
        <f t="shared" si="538"/>
        <v>0.16405713252576382</v>
      </c>
      <c r="DB225" s="4555"/>
      <c r="DC225" s="4557">
        <f t="shared" ref="DC225:DC232" si="539">+IF(DC193&lt;0,IF(DA193&gt;0,"N/A",(-1)*(DC193/DA193-1)),IF(DA193&lt;0,"N/A",(DC193/DA193-1)))</f>
        <v>-3.7152087475149087E-2</v>
      </c>
      <c r="DD225" s="4557">
        <f t="shared" ref="DD225:DF232" si="540">+IF(DD193&lt;0,IF(DC193&gt;0,"N/A",(-1)*(DD193/DC193-1)),IF(DC193&lt;0,"N/A",(DD193/DC193-1)))</f>
        <v>4.8909536714414781E-2</v>
      </c>
      <c r="DE225" s="4557">
        <f t="shared" si="540"/>
        <v>3.3280019685039353E-2</v>
      </c>
      <c r="DF225" s="4557">
        <f t="shared" si="540"/>
        <v>0.1608620587009586</v>
      </c>
      <c r="DG225" s="4555"/>
      <c r="DH225" s="4557">
        <f t="shared" ref="DH225:DH232" si="541">+IF(DH193&lt;0,IF(DF193&gt;0,"N/A",(-1)*(DH193/DF193-1)),IF(DF193&lt;0,"N/A",(DH193/DF193-1)))</f>
        <v>-7.6055182317041892E-2</v>
      </c>
      <c r="DI225" s="4557">
        <f t="shared" ref="DI225:DK232" si="542">+IF(DI193&lt;0,IF(DH193&gt;0,"N/A",(-1)*(DI193/DH193-1)),IF(DH193&lt;0,"N/A",(DI193/DH193-1)))</f>
        <v>7.3323712255772611E-2</v>
      </c>
      <c r="DJ225" s="4557">
        <f t="shared" si="542"/>
        <v>4.0104462946682462E-2</v>
      </c>
      <c r="DK225" s="4557">
        <f t="shared" si="542"/>
        <v>0.13889372280919821</v>
      </c>
      <c r="DL225" s="4555"/>
      <c r="DM225" s="4557">
        <f t="shared" ref="DM225:DM232" si="543">+IF(DM193&lt;0,IF(DK193&gt;0,"N/A",(-1)*(DM193/DK193-1)),IF(DK193&lt;0,"N/A",(DM193/DK193-1)))</f>
        <v>-0.105583689862918</v>
      </c>
      <c r="DN225" s="4557">
        <f t="shared" ref="DN225:DP232" si="544">+IF(DN193&lt;0,IF(DM193&gt;0,"N/A",(-1)*(DN193/DM193-1)),IF(DM193&lt;0,"N/A",(DN193/DM193-1)))</f>
        <v>-7.2654057352043888E-2</v>
      </c>
      <c r="DO225" s="4557">
        <f t="shared" si="544"/>
        <v>0.21103742302226425</v>
      </c>
      <c r="DP225" s="4557">
        <f t="shared" si="544"/>
        <v>0.23224025903470458</v>
      </c>
      <c r="DQ225" s="4555"/>
      <c r="DR225" s="4557"/>
      <c r="DS225" s="4557"/>
      <c r="DT225" s="4557"/>
      <c r="DU225" s="4557"/>
      <c r="DV225" s="4555"/>
      <c r="DW225" s="4557"/>
      <c r="DX225" s="4557"/>
      <c r="DY225" s="4557"/>
      <c r="DZ225" s="4557"/>
      <c r="EA225" s="4555"/>
      <c r="EB225" s="4557"/>
      <c r="EC225" s="4557"/>
      <c r="ED225" s="4557"/>
      <c r="EE225" s="4557"/>
      <c r="EF225" s="4555"/>
      <c r="EG225" s="4557"/>
      <c r="EH225" s="4557"/>
      <c r="EI225" s="4557"/>
      <c r="EJ225" s="4557"/>
      <c r="EK225" s="4555"/>
      <c r="EL225" s="4557"/>
      <c r="EM225" s="4557"/>
      <c r="EN225" s="4557"/>
      <c r="EO225" s="4557"/>
      <c r="EP225" s="4555"/>
      <c r="EQ225" s="4557"/>
      <c r="ER225" s="4557"/>
      <c r="ES225" s="4557"/>
      <c r="ET225" s="4557"/>
      <c r="EU225" s="4555"/>
      <c r="EV225" s="4555"/>
      <c r="EW225" s="4555"/>
      <c r="EX225" s="4555"/>
      <c r="EY225" s="4555"/>
      <c r="EZ225" s="768"/>
      <c r="FA225" s="1319"/>
      <c r="FB225" s="1319"/>
    </row>
    <row r="226" spans="1:158" s="627" customFormat="1" hidden="1">
      <c r="A226" s="4483" t="str">
        <f t="shared" si="534"/>
        <v>TAC</v>
      </c>
      <c r="B226" s="2733"/>
      <c r="C226" s="2733"/>
      <c r="D226" s="2733"/>
      <c r="E226" s="2733"/>
      <c r="F226" s="2733"/>
      <c r="G226" s="2733"/>
      <c r="H226" s="2733"/>
      <c r="I226" s="2733"/>
      <c r="J226" s="2733"/>
      <c r="K226" s="2733"/>
      <c r="L226" s="2733"/>
      <c r="M226" s="2733"/>
      <c r="N226" s="2733"/>
      <c r="O226" s="2733"/>
      <c r="P226" s="2733"/>
      <c r="Q226" s="2733"/>
      <c r="R226" s="2733"/>
      <c r="S226" s="2733"/>
      <c r="T226" s="2733"/>
      <c r="U226" s="2733"/>
      <c r="V226" s="2733"/>
      <c r="W226" s="2733"/>
      <c r="X226" s="2733"/>
      <c r="Y226" s="2733"/>
      <c r="Z226" s="2733"/>
      <c r="AA226" s="2733"/>
      <c r="AB226" s="2733"/>
      <c r="AC226" s="2733"/>
      <c r="AD226" s="2733"/>
      <c r="AE226" s="2733"/>
      <c r="AF226" s="2733"/>
      <c r="AG226" s="2733"/>
      <c r="AH226" s="2733"/>
      <c r="AI226" s="2733"/>
      <c r="AJ226" s="2733"/>
      <c r="AK226" s="2733"/>
      <c r="AL226" s="2733"/>
      <c r="AM226" s="2733"/>
      <c r="AN226" s="2733"/>
      <c r="AO226" s="2733"/>
      <c r="AP226" s="2733"/>
      <c r="AQ226" s="2733"/>
      <c r="AR226" s="2733"/>
      <c r="AS226" s="2733"/>
      <c r="AT226" s="2733"/>
      <c r="AU226" s="2733"/>
      <c r="AV226" s="2733"/>
      <c r="AW226" s="2733"/>
      <c r="AX226" s="2733"/>
      <c r="AY226" s="2733"/>
      <c r="AZ226" s="2733"/>
      <c r="BA226" s="2733"/>
      <c r="BB226" s="2733"/>
      <c r="BC226" s="2733"/>
      <c r="BD226" s="2733"/>
      <c r="BE226" s="2733"/>
      <c r="BF226" s="2733"/>
      <c r="BG226" s="2733"/>
      <c r="BH226" s="2733"/>
      <c r="BI226" s="2733"/>
      <c r="BJ226" s="2733"/>
      <c r="BK226" s="2733"/>
      <c r="BL226" s="2733"/>
      <c r="BM226" s="2733"/>
      <c r="BN226" s="2733"/>
      <c r="BO226" s="2733"/>
      <c r="BP226" s="2733"/>
      <c r="BQ226" s="2733"/>
      <c r="BR226" s="2733"/>
      <c r="BS226" s="2733"/>
      <c r="BT226" s="2733"/>
      <c r="BU226" s="2733"/>
      <c r="BV226" s="2733"/>
      <c r="BW226" s="2733"/>
      <c r="BX226" s="2733"/>
      <c r="BY226" s="2733"/>
      <c r="BZ226" s="2733"/>
      <c r="CA226" s="2733"/>
      <c r="CB226" s="2733"/>
      <c r="CC226" s="2733"/>
      <c r="CD226" s="2733"/>
      <c r="CE226" s="2733"/>
      <c r="CF226" s="2733"/>
      <c r="CG226" s="2733"/>
      <c r="CH226" s="2734"/>
      <c r="CI226" s="2735"/>
      <c r="CJ226" s="2735"/>
      <c r="CK226" s="2735"/>
      <c r="CL226" s="2735"/>
      <c r="CM226" s="2734"/>
      <c r="CN226" s="2736">
        <f>+IF(CN194&lt;0,IF(CL194&gt;0,"N/A",(-1)*(CN194/CL194-1)),IF(CL194&lt;0,"N/A",(CN194/CL194-1)))</f>
        <v>-7.5966850828729227E-2</v>
      </c>
      <c r="CO226" s="2736">
        <f t="shared" si="535"/>
        <v>9.5665171898355883E-3</v>
      </c>
      <c r="CP226" s="2736">
        <f t="shared" si="535"/>
        <v>5.5966834468463178E-2</v>
      </c>
      <c r="CQ226" s="2735">
        <f t="shared" si="535"/>
        <v>0.13712843522153673</v>
      </c>
      <c r="CR226" s="2734"/>
      <c r="CS226" s="2735">
        <f>+IF(CS194&lt;0,IF(CQ194&gt;0,"N/A",(-1)*(CS194/CQ194-1)),IF(CQ194&lt;0,"N/A",(CS194/CQ194-1)))</f>
        <v>-6.5844636251541355E-2</v>
      </c>
      <c r="CT226" s="2735">
        <f t="shared" si="536"/>
        <v>4.9366420274551182E-2</v>
      </c>
      <c r="CU226" s="2735">
        <f t="shared" si="536"/>
        <v>5.2075471698113107E-2</v>
      </c>
      <c r="CV226" s="2735">
        <f t="shared" si="536"/>
        <v>0.15925394548063121</v>
      </c>
      <c r="CW226" s="2734"/>
      <c r="CX226" s="2736">
        <f t="shared" si="537"/>
        <v>-4.5173267326732658E-2</v>
      </c>
      <c r="CY226" s="2736">
        <f t="shared" si="538"/>
        <v>9.9805573558003902E-2</v>
      </c>
      <c r="CZ226" s="2736">
        <f t="shared" si="538"/>
        <v>8.0730701237477831E-2</v>
      </c>
      <c r="DA226" s="2736">
        <f t="shared" si="538"/>
        <v>0.17230098146128681</v>
      </c>
      <c r="DB226" s="2734"/>
      <c r="DC226" s="2736">
        <f t="shared" si="539"/>
        <v>-2.5116279069767433E-2</v>
      </c>
      <c r="DD226" s="2736">
        <f t="shared" si="540"/>
        <v>2.0992366412213803E-2</v>
      </c>
      <c r="DE226" s="2736">
        <f t="shared" si="540"/>
        <v>2.5233644859813165E-2</v>
      </c>
      <c r="DF226" s="2736">
        <f t="shared" si="540"/>
        <v>0.12974779702218164</v>
      </c>
      <c r="DG226" s="2734"/>
      <c r="DH226" s="2736">
        <f t="shared" si="541"/>
        <v>-7.7461000537923597E-2</v>
      </c>
      <c r="DI226" s="2736">
        <f t="shared" si="542"/>
        <v>5.5102040816326525E-2</v>
      </c>
      <c r="DJ226" s="2736">
        <f t="shared" si="542"/>
        <v>3.481624758220514E-2</v>
      </c>
      <c r="DK226" s="2736">
        <f t="shared" si="542"/>
        <v>0.13497997329773037</v>
      </c>
      <c r="DL226" s="2734"/>
      <c r="DM226" s="2736">
        <f t="shared" si="543"/>
        <v>-0.12339724738266089</v>
      </c>
      <c r="DN226" s="2736">
        <f t="shared" si="544"/>
        <v>-0.10171765968867419</v>
      </c>
      <c r="DO226" s="2736">
        <f t="shared" si="544"/>
        <v>0.21989841649238118</v>
      </c>
      <c r="DP226" s="2736">
        <f t="shared" si="544"/>
        <v>0.28165564535880483</v>
      </c>
      <c r="DQ226" s="2734"/>
      <c r="DR226" s="2736"/>
      <c r="DS226" s="2736"/>
      <c r="DT226" s="2736"/>
      <c r="DU226" s="2736"/>
      <c r="DV226" s="2734"/>
      <c r="DW226" s="2736"/>
      <c r="DX226" s="2736"/>
      <c r="DY226" s="2736"/>
      <c r="DZ226" s="2736"/>
      <c r="EA226" s="2734"/>
      <c r="EB226" s="2736"/>
      <c r="EC226" s="2736"/>
      <c r="ED226" s="2736"/>
      <c r="EE226" s="2736"/>
      <c r="EF226" s="2734"/>
      <c r="EG226" s="2736"/>
      <c r="EH226" s="2736"/>
      <c r="EI226" s="2736"/>
      <c r="EJ226" s="2736"/>
      <c r="EK226" s="2734"/>
      <c r="EL226" s="2736"/>
      <c r="EM226" s="2736"/>
      <c r="EN226" s="2736"/>
      <c r="EO226" s="2736"/>
      <c r="EP226" s="2734"/>
      <c r="EQ226" s="2736"/>
      <c r="ER226" s="2736"/>
      <c r="ES226" s="2736"/>
      <c r="ET226" s="2736"/>
      <c r="EU226" s="2734"/>
      <c r="EV226" s="2734"/>
      <c r="EW226" s="2734"/>
      <c r="EX226" s="2734"/>
      <c r="EY226" s="2734"/>
      <c r="EZ226" s="768"/>
      <c r="FA226" s="1319"/>
      <c r="FB226" s="1319"/>
    </row>
    <row r="227" spans="1:158" s="627" customFormat="1" hidden="1">
      <c r="A227" s="1786" t="str">
        <f t="shared" si="534"/>
        <v>Google Net Revenue</v>
      </c>
      <c r="B227" s="2703"/>
      <c r="C227" s="2703"/>
      <c r="D227" s="2703"/>
      <c r="E227" s="2703"/>
      <c r="F227" s="2703"/>
      <c r="G227" s="2703"/>
      <c r="H227" s="2703"/>
      <c r="I227" s="2703"/>
      <c r="J227" s="2703"/>
      <c r="K227" s="2703"/>
      <c r="L227" s="2703"/>
      <c r="M227" s="2703"/>
      <c r="N227" s="2703"/>
      <c r="O227" s="2703"/>
      <c r="P227" s="2703"/>
      <c r="Q227" s="2703"/>
      <c r="R227" s="2703"/>
      <c r="S227" s="2703"/>
      <c r="T227" s="2703"/>
      <c r="U227" s="2703"/>
      <c r="V227" s="2703"/>
      <c r="W227" s="2703"/>
      <c r="X227" s="2703"/>
      <c r="Y227" s="2703"/>
      <c r="Z227" s="2703"/>
      <c r="AA227" s="2703"/>
      <c r="AB227" s="2703"/>
      <c r="AC227" s="2703"/>
      <c r="AD227" s="2703"/>
      <c r="AE227" s="2703"/>
      <c r="AF227" s="2703"/>
      <c r="AG227" s="2703"/>
      <c r="AH227" s="2703"/>
      <c r="AI227" s="2703"/>
      <c r="AJ227" s="2703"/>
      <c r="AK227" s="2703"/>
      <c r="AL227" s="2703"/>
      <c r="AM227" s="2703"/>
      <c r="AN227" s="2703"/>
      <c r="AO227" s="2703"/>
      <c r="AP227" s="2703"/>
      <c r="AQ227" s="2703"/>
      <c r="AR227" s="2703"/>
      <c r="AS227" s="2703"/>
      <c r="AT227" s="2703"/>
      <c r="AU227" s="2703"/>
      <c r="AV227" s="2703"/>
      <c r="AW227" s="2703"/>
      <c r="AX227" s="2703"/>
      <c r="AY227" s="2703"/>
      <c r="AZ227" s="2703"/>
      <c r="BA227" s="2703"/>
      <c r="BB227" s="2703"/>
      <c r="BC227" s="2703"/>
      <c r="BD227" s="2703"/>
      <c r="BE227" s="2703"/>
      <c r="BF227" s="2703"/>
      <c r="BG227" s="2703"/>
      <c r="BH227" s="2703"/>
      <c r="BI227" s="2703"/>
      <c r="BJ227" s="2703"/>
      <c r="BK227" s="2703"/>
      <c r="BL227" s="2703"/>
      <c r="BM227" s="2703"/>
      <c r="BN227" s="2703"/>
      <c r="BO227" s="2703"/>
      <c r="BP227" s="2703"/>
      <c r="BQ227" s="2703"/>
      <c r="BR227" s="2703"/>
      <c r="BS227" s="2703"/>
      <c r="BT227" s="2703"/>
      <c r="BU227" s="2703"/>
      <c r="BV227" s="2703"/>
      <c r="BW227" s="2703"/>
      <c r="BX227" s="2703"/>
      <c r="BY227" s="2703"/>
      <c r="BZ227" s="2703"/>
      <c r="CA227" s="2703"/>
      <c r="CB227" s="2703"/>
      <c r="CC227" s="2703"/>
      <c r="CD227" s="2703"/>
      <c r="CE227" s="2703"/>
      <c r="CF227" s="2703"/>
      <c r="CG227" s="2703"/>
      <c r="CH227" s="2721"/>
      <c r="CI227" s="2722"/>
      <c r="CJ227" s="2722"/>
      <c r="CK227" s="2722"/>
      <c r="CL227" s="2722"/>
      <c r="CM227" s="2721"/>
      <c r="CN227" s="2727">
        <f>+IF(CN195&lt;0,IF(CL195&gt;0,"N/A",(-1)*(CN195/CL195-1)),IF(CL195&lt;0,"N/A",(CN195/CL195-1)))</f>
        <v>-3.7838213813730315E-2</v>
      </c>
      <c r="CO227" s="2727">
        <f t="shared" si="535"/>
        <v>3.2024868069110202E-2</v>
      </c>
      <c r="CP227" s="2727">
        <f t="shared" si="535"/>
        <v>4.8472961613897469E-2</v>
      </c>
      <c r="CQ227" s="2722">
        <f t="shared" si="535"/>
        <v>0.1440406199893105</v>
      </c>
      <c r="CR227" s="2721"/>
      <c r="CS227" s="2722">
        <f>+IF(CS195&lt;0,IF(CQ195&gt;0,"N/A",(-1)*(CS195/CQ195-1)),IF(CQ195&lt;0,"N/A",(CS195/CQ195-1)))</f>
        <v>-4.7886007942069653E-2</v>
      </c>
      <c r="CT227" s="2722">
        <f t="shared" si="536"/>
        <v>6.3542688910696699E-2</v>
      </c>
      <c r="CU227" s="2722">
        <f t="shared" si="536"/>
        <v>4.2214532871972299E-2</v>
      </c>
      <c r="CV227" s="2722">
        <f t="shared" si="536"/>
        <v>0.15947321823815841</v>
      </c>
      <c r="CW227" s="2721"/>
      <c r="CX227" s="2727">
        <f t="shared" si="537"/>
        <v>-4.6053259520855261E-2</v>
      </c>
      <c r="CY227" s="2727">
        <f t="shared" si="538"/>
        <v>4.1672920106058386E-2</v>
      </c>
      <c r="CZ227" s="2727">
        <f t="shared" si="538"/>
        <v>6.3922773989049997E-2</v>
      </c>
      <c r="DA227" s="2727">
        <f t="shared" si="538"/>
        <v>0.162009660091184</v>
      </c>
      <c r="DB227" s="2721"/>
      <c r="DC227" s="2727">
        <f t="shared" si="539"/>
        <v>-4.016781912827283E-2</v>
      </c>
      <c r="DD227" s="2727">
        <f t="shared" si="540"/>
        <v>5.6014246397927847E-2</v>
      </c>
      <c r="DE227" s="2727">
        <f t="shared" si="540"/>
        <v>3.5259849762379281E-2</v>
      </c>
      <c r="DF227" s="2727">
        <f t="shared" si="540"/>
        <v>0.16844365467199762</v>
      </c>
      <c r="DG227" s="2721"/>
      <c r="DH227" s="2727">
        <f t="shared" si="541"/>
        <v>-7.5723971864900874E-2</v>
      </c>
      <c r="DI227" s="2727">
        <f t="shared" si="542"/>
        <v>7.7608665843959868E-2</v>
      </c>
      <c r="DJ227" s="2727">
        <f t="shared" si="542"/>
        <v>4.1322051151545969E-2</v>
      </c>
      <c r="DK227" s="2727">
        <f t="shared" si="542"/>
        <v>0.1397892164350083</v>
      </c>
      <c r="DL227" s="2721"/>
      <c r="DM227" s="2727">
        <f t="shared" si="543"/>
        <v>-0.10152501943126691</v>
      </c>
      <c r="DN227" s="2727">
        <f t="shared" si="544"/>
        <v>-6.6193359782835692E-2</v>
      </c>
      <c r="DO227" s="2727">
        <f t="shared" si="544"/>
        <v>0.20914260158446196</v>
      </c>
      <c r="DP227" s="2727">
        <f t="shared" si="544"/>
        <v>0.22157935061160861</v>
      </c>
      <c r="DQ227" s="2721"/>
      <c r="DR227" s="2727"/>
      <c r="DS227" s="2727"/>
      <c r="DT227" s="2727"/>
      <c r="DU227" s="2727"/>
      <c r="DV227" s="2721"/>
      <c r="DW227" s="2727"/>
      <c r="DX227" s="2727"/>
      <c r="DY227" s="2727"/>
      <c r="DZ227" s="2727"/>
      <c r="EA227" s="2721"/>
      <c r="EB227" s="2727"/>
      <c r="EC227" s="2727"/>
      <c r="ED227" s="2727"/>
      <c r="EE227" s="2727"/>
      <c r="EF227" s="2721"/>
      <c r="EG227" s="2727"/>
      <c r="EH227" s="2727"/>
      <c r="EI227" s="2727"/>
      <c r="EJ227" s="2727"/>
      <c r="EK227" s="2721"/>
      <c r="EL227" s="2727"/>
      <c r="EM227" s="2727"/>
      <c r="EN227" s="2727"/>
      <c r="EO227" s="2727"/>
      <c r="EP227" s="2721"/>
      <c r="EQ227" s="2727"/>
      <c r="ER227" s="2727"/>
      <c r="ES227" s="2727"/>
      <c r="ET227" s="2727"/>
      <c r="EU227" s="2721"/>
      <c r="EV227" s="2721"/>
      <c r="EW227" s="2721"/>
      <c r="EX227" s="2721"/>
      <c r="EY227" s="2721"/>
      <c r="EZ227" s="768"/>
      <c r="FA227" s="1319"/>
      <c r="FB227" s="1319"/>
    </row>
    <row r="228" spans="1:158" s="627" customFormat="1" hidden="1">
      <c r="A228" s="3560" t="str">
        <f t="shared" si="534"/>
        <v>Google Opex ex-SBC</v>
      </c>
      <c r="B228" s="157"/>
      <c r="C228" s="157"/>
      <c r="D228" s="157"/>
      <c r="E228" s="157"/>
      <c r="F228" s="157"/>
      <c r="G228" s="157"/>
      <c r="H228" s="157"/>
      <c r="I228" s="157"/>
      <c r="J228" s="157"/>
      <c r="K228" s="157"/>
      <c r="L228" s="157"/>
      <c r="M228" s="157"/>
      <c r="N228" s="157"/>
      <c r="O228" s="157"/>
      <c r="P228" s="157"/>
      <c r="Q228" s="157"/>
      <c r="R228" s="157"/>
      <c r="S228" s="157"/>
      <c r="T228" s="157"/>
      <c r="U228" s="157"/>
      <c r="V228" s="157"/>
      <c r="W228" s="157"/>
      <c r="X228" s="157"/>
      <c r="Y228" s="157"/>
      <c r="Z228" s="157"/>
      <c r="AA228" s="157"/>
      <c r="AB228" s="157"/>
      <c r="AC228" s="157"/>
      <c r="AD228" s="157"/>
      <c r="AE228" s="157"/>
      <c r="AF228" s="157"/>
      <c r="AG228" s="157"/>
      <c r="AH228" s="157"/>
      <c r="AI228" s="157"/>
      <c r="AJ228" s="157"/>
      <c r="AK228" s="157"/>
      <c r="AL228" s="157"/>
      <c r="AM228" s="157"/>
      <c r="AN228" s="157"/>
      <c r="AO228" s="157"/>
      <c r="AP228" s="157"/>
      <c r="AQ228" s="157"/>
      <c r="AR228" s="157"/>
      <c r="AS228" s="157"/>
      <c r="AT228" s="157"/>
      <c r="AU228" s="157"/>
      <c r="AV228" s="157"/>
      <c r="AW228" s="157"/>
      <c r="AX228" s="157"/>
      <c r="AY228" s="157"/>
      <c r="AZ228" s="157"/>
      <c r="BA228" s="157"/>
      <c r="BB228" s="157"/>
      <c r="BC228" s="157"/>
      <c r="BD228" s="157"/>
      <c r="BE228" s="157"/>
      <c r="BF228" s="157"/>
      <c r="BG228" s="157"/>
      <c r="BH228" s="157"/>
      <c r="BI228" s="157"/>
      <c r="BJ228" s="157"/>
      <c r="BK228" s="157"/>
      <c r="BL228" s="157"/>
      <c r="BM228" s="157"/>
      <c r="BN228" s="157"/>
      <c r="BO228" s="157"/>
      <c r="BP228" s="157"/>
      <c r="BQ228" s="157"/>
      <c r="BR228" s="157"/>
      <c r="BS228" s="157"/>
      <c r="BT228" s="157"/>
      <c r="BU228" s="157"/>
      <c r="BV228" s="157"/>
      <c r="BW228" s="157"/>
      <c r="BX228" s="157"/>
      <c r="BY228" s="157"/>
      <c r="BZ228" s="157"/>
      <c r="CA228" s="157"/>
      <c r="CB228" s="157"/>
      <c r="CC228" s="157"/>
      <c r="CD228" s="157"/>
      <c r="CE228" s="157"/>
      <c r="CF228" s="157"/>
      <c r="CG228" s="157"/>
      <c r="CH228" s="2719"/>
      <c r="CI228" s="2720"/>
      <c r="CJ228" s="2720"/>
      <c r="CK228" s="2720"/>
      <c r="CL228" s="2720"/>
      <c r="CM228" s="2719"/>
      <c r="CN228" s="2728">
        <f>+IF(CN196&lt;0,IF(CL196&gt;0,"N/A",(-1)*(CN196/CL196-1)),IF(CL196&lt;0,"N/A",(CN196/CL196-1)))</f>
        <v>-6.0178306092124823E-2</v>
      </c>
      <c r="CO228" s="2728">
        <f t="shared" si="535"/>
        <v>1.0803689064558641E-2</v>
      </c>
      <c r="CP228" s="2728">
        <f t="shared" si="535"/>
        <v>2.7893639207507759E-2</v>
      </c>
      <c r="CQ228" s="2720">
        <f t="shared" si="535"/>
        <v>0.15419731169160533</v>
      </c>
      <c r="CR228" s="2719"/>
      <c r="CS228" s="2720">
        <f>+IF(CS196&lt;0,IF(CQ196&gt;0,"N/A",(-1)*(CS196/CQ196-1)),IF(CQ196&lt;0,"N/A",(CS196/CQ196-1)))</f>
        <v>-4.0210942649967052E-2</v>
      </c>
      <c r="CT228" s="2720">
        <f t="shared" si="536"/>
        <v>3.31959706959708E-2</v>
      </c>
      <c r="CU228" s="2720">
        <f t="shared" si="536"/>
        <v>7.0906270773321456E-2</v>
      </c>
      <c r="CV228" s="2720">
        <f t="shared" si="536"/>
        <v>0.18125387957790196</v>
      </c>
      <c r="CW228" s="2719"/>
      <c r="CX228" s="2728">
        <f t="shared" si="537"/>
        <v>-6.6298826414433298E-2</v>
      </c>
      <c r="CY228" s="2728">
        <f t="shared" si="538"/>
        <v>5.7499296501266395E-2</v>
      </c>
      <c r="CZ228" s="2728">
        <f t="shared" si="538"/>
        <v>5.3840695405357408E-2</v>
      </c>
      <c r="DA228" s="2728">
        <f t="shared" si="538"/>
        <v>0.29913306960693542</v>
      </c>
      <c r="DB228" s="2719"/>
      <c r="DC228" s="2728">
        <f t="shared" si="539"/>
        <v>-9.0638160025915182E-2</v>
      </c>
      <c r="DD228" s="2728">
        <f t="shared" si="540"/>
        <v>5.7637503562268488E-2</v>
      </c>
      <c r="DE228" s="2728">
        <f t="shared" si="540"/>
        <v>4.0821825530481748E-2</v>
      </c>
      <c r="DF228" s="2728">
        <f t="shared" si="540"/>
        <v>0.2875542036114167</v>
      </c>
      <c r="DG228" s="2719"/>
      <c r="DH228" s="2728">
        <f t="shared" si="541"/>
        <v>-0.12677189102241881</v>
      </c>
      <c r="DI228" s="2728">
        <f t="shared" si="542"/>
        <v>6.8155652774579689E-2</v>
      </c>
      <c r="DJ228" s="2728">
        <f t="shared" si="542"/>
        <v>5.1896960551843119E-2</v>
      </c>
      <c r="DK228" s="2728">
        <f t="shared" si="542"/>
        <v>0.19621906859982574</v>
      </c>
      <c r="DL228" s="2719"/>
      <c r="DM228" s="2728">
        <f t="shared" si="543"/>
        <v>-0.11272431367510383</v>
      </c>
      <c r="DN228" s="2728">
        <f t="shared" si="544"/>
        <v>-3.1471738186030773E-2</v>
      </c>
      <c r="DO228" s="2728">
        <f t="shared" si="544"/>
        <v>8.0737602790929452E-2</v>
      </c>
      <c r="DP228" s="2728">
        <f t="shared" si="544"/>
        <v>0.16940993313350239</v>
      </c>
      <c r="DQ228" s="2719"/>
      <c r="DR228" s="2728"/>
      <c r="DS228" s="2728"/>
      <c r="DT228" s="2728"/>
      <c r="DU228" s="2728"/>
      <c r="DV228" s="2719"/>
      <c r="DW228" s="2728"/>
      <c r="DX228" s="2728"/>
      <c r="DY228" s="2728"/>
      <c r="DZ228" s="2728"/>
      <c r="EA228" s="2719"/>
      <c r="EB228" s="2728"/>
      <c r="EC228" s="2728"/>
      <c r="ED228" s="2728"/>
      <c r="EE228" s="2728"/>
      <c r="EF228" s="2719"/>
      <c r="EG228" s="2728"/>
      <c r="EH228" s="2728"/>
      <c r="EI228" s="2728"/>
      <c r="EJ228" s="2728"/>
      <c r="EK228" s="2719"/>
      <c r="EL228" s="2728"/>
      <c r="EM228" s="2728"/>
      <c r="EN228" s="2728"/>
      <c r="EO228" s="2728"/>
      <c r="EP228" s="2719"/>
      <c r="EQ228" s="2728"/>
      <c r="ER228" s="2728"/>
      <c r="ES228" s="2728"/>
      <c r="ET228" s="2728"/>
      <c r="EU228" s="2719"/>
      <c r="EV228" s="2719"/>
      <c r="EW228" s="2719"/>
      <c r="EX228" s="2719"/>
      <c r="EY228" s="2719"/>
      <c r="EZ228" s="768"/>
      <c r="FA228" s="1319"/>
      <c r="FB228" s="1319"/>
    </row>
    <row r="229" spans="1:158" s="768" customFormat="1" hidden="1">
      <c r="A229" s="3560" t="str">
        <f t="shared" si="534"/>
        <v>Google SBC</v>
      </c>
      <c r="B229" s="157"/>
      <c r="C229" s="157"/>
      <c r="D229" s="157"/>
      <c r="E229" s="157"/>
      <c r="F229" s="157"/>
      <c r="G229" s="157"/>
      <c r="H229" s="157"/>
      <c r="I229" s="157"/>
      <c r="J229" s="157"/>
      <c r="K229" s="157"/>
      <c r="L229" s="157"/>
      <c r="M229" s="157"/>
      <c r="N229" s="157"/>
      <c r="O229" s="157"/>
      <c r="P229" s="157"/>
      <c r="Q229" s="157"/>
      <c r="R229" s="157"/>
      <c r="S229" s="157"/>
      <c r="T229" s="157"/>
      <c r="U229" s="157"/>
      <c r="V229" s="157"/>
      <c r="W229" s="157"/>
      <c r="X229" s="157"/>
      <c r="Y229" s="157"/>
      <c r="Z229" s="157"/>
      <c r="AA229" s="157"/>
      <c r="AB229" s="157"/>
      <c r="AC229" s="157"/>
      <c r="AD229" s="157"/>
      <c r="AE229" s="157"/>
      <c r="AF229" s="157"/>
      <c r="AG229" s="157"/>
      <c r="AH229" s="157"/>
      <c r="AI229" s="157"/>
      <c r="AJ229" s="157"/>
      <c r="AK229" s="157"/>
      <c r="AL229" s="157"/>
      <c r="AM229" s="157"/>
      <c r="AN229" s="157"/>
      <c r="AO229" s="157"/>
      <c r="AP229" s="157"/>
      <c r="AQ229" s="157"/>
      <c r="AR229" s="157"/>
      <c r="AS229" s="157"/>
      <c r="AT229" s="157"/>
      <c r="AU229" s="157"/>
      <c r="AV229" s="157"/>
      <c r="AW229" s="157"/>
      <c r="AX229" s="157"/>
      <c r="AY229" s="157"/>
      <c r="AZ229" s="157"/>
      <c r="BA229" s="157"/>
      <c r="BB229" s="157"/>
      <c r="BC229" s="157"/>
      <c r="BD229" s="157"/>
      <c r="BE229" s="157"/>
      <c r="BF229" s="157"/>
      <c r="BG229" s="157"/>
      <c r="BH229" s="157"/>
      <c r="BI229" s="157"/>
      <c r="BJ229" s="157"/>
      <c r="BK229" s="157"/>
      <c r="BL229" s="157"/>
      <c r="BM229" s="157"/>
      <c r="BN229" s="157"/>
      <c r="BO229" s="157"/>
      <c r="BP229" s="157"/>
      <c r="BQ229" s="157"/>
      <c r="BR229" s="157"/>
      <c r="BS229" s="157"/>
      <c r="BT229" s="157"/>
      <c r="BU229" s="157"/>
      <c r="BV229" s="157"/>
      <c r="BW229" s="157"/>
      <c r="BX229" s="157"/>
      <c r="BY229" s="157"/>
      <c r="BZ229" s="157"/>
      <c r="CA229" s="157"/>
      <c r="CB229" s="157"/>
      <c r="CC229" s="157"/>
      <c r="CD229" s="157"/>
      <c r="CE229" s="157"/>
      <c r="CF229" s="157"/>
      <c r="CG229" s="157"/>
      <c r="CH229" s="2719"/>
      <c r="CI229" s="2720"/>
      <c r="CJ229" s="2720"/>
      <c r="CK229" s="2720"/>
      <c r="CL229" s="2720"/>
      <c r="CM229" s="2719"/>
      <c r="CN229" s="2728">
        <f>+IF(CN197&lt;0,IF(CL197&gt;0,"N/A",(-1)*(CN197/CL197-1)),IF(CL197&lt;0,"N/A",(CN197/CL197-1)))</f>
        <v>-2.1335807050092748E-2</v>
      </c>
      <c r="CO229" s="2728">
        <f t="shared" si="535"/>
        <v>-5.5924170616113766E-2</v>
      </c>
      <c r="CP229" s="2728">
        <f t="shared" si="535"/>
        <v>0.28012048192771077</v>
      </c>
      <c r="CQ229" s="2720">
        <f t="shared" si="535"/>
        <v>2.3529411764706687E-3</v>
      </c>
      <c r="CR229" s="2719"/>
      <c r="CS229" s="2720">
        <f>+IF(CS197&lt;0,IF(CQ197&gt;0,"N/A",(-1)*(CS197/CQ197-1)),IF(CQ197&lt;0,"N/A",(CS197/CQ197-1)))</f>
        <v>3.5211267605633756E-2</v>
      </c>
      <c r="CT229" s="2720">
        <f t="shared" si="536"/>
        <v>-1.5117157974300355E-3</v>
      </c>
      <c r="CU229" s="2720">
        <f t="shared" si="536"/>
        <v>0.23315669947009843</v>
      </c>
      <c r="CV229" s="2720">
        <f t="shared" si="536"/>
        <v>1.4732965009208066E-2</v>
      </c>
      <c r="CW229" s="2719"/>
      <c r="CX229" s="2728">
        <f t="shared" si="537"/>
        <v>0.13853599516031467</v>
      </c>
      <c r="CY229" s="2728">
        <f t="shared" si="538"/>
        <v>1.0626992561104665E-3</v>
      </c>
      <c r="CZ229" s="2728">
        <f t="shared" si="538"/>
        <v>-0.10297239915074308</v>
      </c>
      <c r="DA229" s="2728">
        <f t="shared" si="538"/>
        <v>1.3017751479289963E-2</v>
      </c>
      <c r="DB229" s="2719"/>
      <c r="DC229" s="2728">
        <f t="shared" si="539"/>
        <v>0.34579439252336441</v>
      </c>
      <c r="DD229" s="2728">
        <f t="shared" si="540"/>
        <v>-6.9444444444444198E-3</v>
      </c>
      <c r="DE229" s="2728">
        <f t="shared" si="540"/>
        <v>-9.4842657342657288E-2</v>
      </c>
      <c r="DF229" s="2728">
        <f t="shared" si="540"/>
        <v>1.014002897151145E-2</v>
      </c>
      <c r="DG229" s="2719"/>
      <c r="DH229" s="2728">
        <f t="shared" si="541"/>
        <v>0.24856596558317401</v>
      </c>
      <c r="DI229" s="2728">
        <f t="shared" si="542"/>
        <v>-4.5941807044410643E-3</v>
      </c>
      <c r="DJ229" s="2728">
        <f t="shared" si="542"/>
        <v>-5.0000000000000044E-2</v>
      </c>
      <c r="DK229" s="2728">
        <f t="shared" si="542"/>
        <v>1.3360323886639769E-2</v>
      </c>
      <c r="DL229" s="2719"/>
      <c r="DM229" s="2728">
        <f t="shared" si="543"/>
        <v>0.19376747902516978</v>
      </c>
      <c r="DN229" s="2728">
        <f t="shared" si="544"/>
        <v>4.6184738955823201E-2</v>
      </c>
      <c r="DO229" s="2728">
        <f t="shared" si="544"/>
        <v>-6.5579014715291151E-2</v>
      </c>
      <c r="DP229" s="2728">
        <f t="shared" si="544"/>
        <v>4.6335364601163942E-2</v>
      </c>
      <c r="DQ229" s="2719"/>
      <c r="DR229" s="2728"/>
      <c r="DS229" s="2728"/>
      <c r="DT229" s="2728"/>
      <c r="DU229" s="2728"/>
      <c r="DV229" s="2719"/>
      <c r="DW229" s="2728"/>
      <c r="DX229" s="2728"/>
      <c r="DY229" s="2728"/>
      <c r="DZ229" s="2728"/>
      <c r="EA229" s="2719"/>
      <c r="EB229" s="2728"/>
      <c r="EC229" s="2728"/>
      <c r="ED229" s="2728"/>
      <c r="EE229" s="2728"/>
      <c r="EF229" s="2719"/>
      <c r="EG229" s="2728"/>
      <c r="EH229" s="2728"/>
      <c r="EI229" s="2728"/>
      <c r="EJ229" s="2728"/>
      <c r="EK229" s="2719"/>
      <c r="EL229" s="2728"/>
      <c r="EM229" s="2728"/>
      <c r="EN229" s="2728"/>
      <c r="EO229" s="2728"/>
      <c r="EP229" s="2719"/>
      <c r="EQ229" s="2728"/>
      <c r="ER229" s="2728"/>
      <c r="ES229" s="2728"/>
      <c r="ET229" s="2728"/>
      <c r="EU229" s="2719"/>
      <c r="EV229" s="2719"/>
      <c r="EW229" s="2719"/>
      <c r="EX229" s="2719"/>
      <c r="EY229" s="2719"/>
      <c r="FA229" s="1319"/>
      <c r="FB229" s="1319"/>
    </row>
    <row r="230" spans="1:158" s="768" customFormat="1" hidden="1">
      <c r="A230" s="4484" t="str">
        <f t="shared" si="534"/>
        <v>Google Cost of Revenue &amp; Opex</v>
      </c>
      <c r="B230" s="157"/>
      <c r="C230" s="157"/>
      <c r="D230" s="157"/>
      <c r="E230" s="157"/>
      <c r="F230" s="157"/>
      <c r="G230" s="157"/>
      <c r="H230" s="157"/>
      <c r="I230" s="157"/>
      <c r="J230" s="157"/>
      <c r="K230" s="157"/>
      <c r="L230" s="157"/>
      <c r="M230" s="157"/>
      <c r="N230" s="157"/>
      <c r="O230" s="157"/>
      <c r="P230" s="157"/>
      <c r="Q230" s="157"/>
      <c r="R230" s="157"/>
      <c r="S230" s="157"/>
      <c r="T230" s="157"/>
      <c r="U230" s="157"/>
      <c r="V230" s="157"/>
      <c r="W230" s="157"/>
      <c r="X230" s="157"/>
      <c r="Y230" s="157"/>
      <c r="Z230" s="157"/>
      <c r="AA230" s="157"/>
      <c r="AB230" s="157"/>
      <c r="AC230" s="157"/>
      <c r="AD230" s="157"/>
      <c r="AE230" s="157"/>
      <c r="AF230" s="157"/>
      <c r="AG230" s="157"/>
      <c r="AH230" s="157"/>
      <c r="AI230" s="157"/>
      <c r="AJ230" s="157"/>
      <c r="AK230" s="157"/>
      <c r="AL230" s="157"/>
      <c r="AM230" s="157"/>
      <c r="AN230" s="157"/>
      <c r="AO230" s="157"/>
      <c r="AP230" s="157"/>
      <c r="AQ230" s="157"/>
      <c r="AR230" s="157"/>
      <c r="AS230" s="157"/>
      <c r="AT230" s="157"/>
      <c r="AU230" s="157"/>
      <c r="AV230" s="157"/>
      <c r="AW230" s="157"/>
      <c r="AX230" s="157"/>
      <c r="AY230" s="157"/>
      <c r="AZ230" s="157"/>
      <c r="BA230" s="157"/>
      <c r="BB230" s="157"/>
      <c r="BC230" s="157"/>
      <c r="BD230" s="157"/>
      <c r="BE230" s="157"/>
      <c r="BF230" s="157"/>
      <c r="BG230" s="157"/>
      <c r="BH230" s="157"/>
      <c r="BI230" s="157"/>
      <c r="BJ230" s="157"/>
      <c r="BK230" s="157"/>
      <c r="BL230" s="157"/>
      <c r="BM230" s="157"/>
      <c r="BN230" s="157"/>
      <c r="BO230" s="157"/>
      <c r="BP230" s="157"/>
      <c r="BQ230" s="157"/>
      <c r="BR230" s="157"/>
      <c r="BS230" s="157"/>
      <c r="BT230" s="157"/>
      <c r="BU230" s="157"/>
      <c r="BV230" s="157"/>
      <c r="BW230" s="157"/>
      <c r="BX230" s="157"/>
      <c r="BY230" s="157"/>
      <c r="BZ230" s="157"/>
      <c r="CA230" s="157"/>
      <c r="CB230" s="157"/>
      <c r="CC230" s="157"/>
      <c r="CD230" s="157"/>
      <c r="CE230" s="157"/>
      <c r="CF230" s="157"/>
      <c r="CG230" s="157"/>
      <c r="CH230" s="2719"/>
      <c r="CI230" s="2720"/>
      <c r="CJ230" s="2720"/>
      <c r="CK230" s="2720"/>
      <c r="CL230" s="2720"/>
      <c r="CM230" s="2719"/>
      <c r="CN230" s="2728"/>
      <c r="CO230" s="2728"/>
      <c r="CP230" s="2728"/>
      <c r="CQ230" s="2720"/>
      <c r="CR230" s="2719"/>
      <c r="CS230" s="2720"/>
      <c r="CT230" s="2720">
        <f t="shared" si="536"/>
        <v>2.8631076647778197E-2</v>
      </c>
      <c r="CU230" s="2720">
        <f t="shared" si="536"/>
        <v>9.1620759640475447E-2</v>
      </c>
      <c r="CV230" s="2720">
        <f t="shared" si="536"/>
        <v>0.1572377158034528</v>
      </c>
      <c r="CW230" s="2719"/>
      <c r="CX230" s="2728">
        <f t="shared" si="537"/>
        <v>-4.0394767041542323E-2</v>
      </c>
      <c r="CY230" s="2728">
        <f t="shared" si="538"/>
        <v>4.9031332217172929E-2</v>
      </c>
      <c r="CZ230" s="2728">
        <f t="shared" si="538"/>
        <v>3.1387748898008772E-2</v>
      </c>
      <c r="DA230" s="2728">
        <f t="shared" si="538"/>
        <v>0.26350305799130491</v>
      </c>
      <c r="DB230" s="2719"/>
      <c r="DC230" s="2728">
        <f t="shared" si="539"/>
        <v>-4.7063626290313132E-2</v>
      </c>
      <c r="DD230" s="2728">
        <f t="shared" si="540"/>
        <v>4.8531211750306058E-2</v>
      </c>
      <c r="DE230" s="2728">
        <f t="shared" si="540"/>
        <v>2.2704721881748657E-2</v>
      </c>
      <c r="DF230" s="2728">
        <f t="shared" si="540"/>
        <v>0.25476543773541827</v>
      </c>
      <c r="DG230" s="2719"/>
      <c r="DH230" s="2728">
        <f t="shared" si="541"/>
        <v>-9.1057945965614451E-2</v>
      </c>
      <c r="DI230" s="2728">
        <f t="shared" si="542"/>
        <v>5.8646917534027176E-2</v>
      </c>
      <c r="DJ230" s="2728">
        <f t="shared" si="542"/>
        <v>3.9374172811495578E-2</v>
      </c>
      <c r="DK230" s="2728">
        <f t="shared" si="542"/>
        <v>0.17567874846514164</v>
      </c>
      <c r="DL230" s="2719"/>
      <c r="DM230" s="2728">
        <f t="shared" si="543"/>
        <v>-8.3049667337149913E-2</v>
      </c>
      <c r="DN230" s="2728">
        <f t="shared" si="544"/>
        <v>-2.1683189200590647E-2</v>
      </c>
      <c r="DO230" s="2728">
        <f t="shared" si="544"/>
        <v>6.1015048941399641E-2</v>
      </c>
      <c r="DP230" s="2728">
        <f t="shared" si="544"/>
        <v>0.15479964236365107</v>
      </c>
      <c r="DQ230" s="2719"/>
      <c r="DR230" s="2728"/>
      <c r="DS230" s="2728"/>
      <c r="DT230" s="2728"/>
      <c r="DU230" s="2728"/>
      <c r="DV230" s="2719"/>
      <c r="DW230" s="2728"/>
      <c r="DX230" s="2728"/>
      <c r="DY230" s="2728"/>
      <c r="DZ230" s="2728"/>
      <c r="EA230" s="2719"/>
      <c r="EB230" s="2728"/>
      <c r="EC230" s="2728"/>
      <c r="ED230" s="2728"/>
      <c r="EE230" s="2728"/>
      <c r="EF230" s="2719"/>
      <c r="EG230" s="2728"/>
      <c r="EH230" s="2728"/>
      <c r="EI230" s="2728"/>
      <c r="EJ230" s="2728"/>
      <c r="EK230" s="2719"/>
      <c r="EL230" s="2728"/>
      <c r="EM230" s="2728"/>
      <c r="EN230" s="2728"/>
      <c r="EO230" s="2728"/>
      <c r="EP230" s="2719"/>
      <c r="EQ230" s="2728"/>
      <c r="ER230" s="2728"/>
      <c r="ES230" s="2728"/>
      <c r="ET230" s="2728"/>
      <c r="EU230" s="2719"/>
      <c r="EV230" s="2719"/>
      <c r="EW230" s="2719"/>
      <c r="EX230" s="2719"/>
      <c r="EY230" s="2719"/>
      <c r="FA230" s="1319"/>
      <c r="FB230" s="1319"/>
    </row>
    <row r="231" spans="1:158" s="1645" customFormat="1" hidden="1">
      <c r="A231" s="4478" t="str">
        <f t="shared" si="534"/>
        <v>Google GAAP Operating Income/(Loss)</v>
      </c>
      <c r="B231" s="3231"/>
      <c r="C231" s="3231"/>
      <c r="D231" s="3231"/>
      <c r="E231" s="3231"/>
      <c r="F231" s="3231"/>
      <c r="G231" s="3231"/>
      <c r="H231" s="3231"/>
      <c r="I231" s="3231"/>
      <c r="J231" s="3231"/>
      <c r="K231" s="3231"/>
      <c r="L231" s="3231"/>
      <c r="M231" s="3231"/>
      <c r="N231" s="3231"/>
      <c r="O231" s="3231"/>
      <c r="P231" s="3231"/>
      <c r="Q231" s="3231"/>
      <c r="R231" s="3231"/>
      <c r="S231" s="3231"/>
      <c r="T231" s="3231"/>
      <c r="U231" s="3231"/>
      <c r="V231" s="3231"/>
      <c r="W231" s="3231"/>
      <c r="X231" s="3231"/>
      <c r="Y231" s="3231"/>
      <c r="Z231" s="3231"/>
      <c r="AA231" s="3231"/>
      <c r="AB231" s="3231"/>
      <c r="AC231" s="3231"/>
      <c r="AD231" s="3231"/>
      <c r="AE231" s="3231"/>
      <c r="AF231" s="3231"/>
      <c r="AG231" s="3231"/>
      <c r="AH231" s="3231"/>
      <c r="AI231" s="3231"/>
      <c r="AJ231" s="3231"/>
      <c r="AK231" s="3231"/>
      <c r="AL231" s="3231"/>
      <c r="AM231" s="3231"/>
      <c r="AN231" s="3231"/>
      <c r="AO231" s="3231"/>
      <c r="AP231" s="3231"/>
      <c r="AQ231" s="3231"/>
      <c r="AR231" s="3231"/>
      <c r="AS231" s="3231"/>
      <c r="AT231" s="3231"/>
      <c r="AU231" s="3231"/>
      <c r="AV231" s="3231"/>
      <c r="AW231" s="3231"/>
      <c r="AX231" s="3231"/>
      <c r="AY231" s="3231"/>
      <c r="AZ231" s="3231"/>
      <c r="BA231" s="3231"/>
      <c r="BB231" s="3231"/>
      <c r="BC231" s="3231"/>
      <c r="BD231" s="3231"/>
      <c r="BE231" s="3231"/>
      <c r="BF231" s="3231"/>
      <c r="BG231" s="3231"/>
      <c r="BH231" s="3231"/>
      <c r="BI231" s="3231"/>
      <c r="BJ231" s="3231"/>
      <c r="BK231" s="3231"/>
      <c r="BL231" s="3231"/>
      <c r="BM231" s="3231"/>
      <c r="BN231" s="3231"/>
      <c r="BO231" s="3231"/>
      <c r="BP231" s="3231"/>
      <c r="BQ231" s="3231"/>
      <c r="BR231" s="3231"/>
      <c r="BS231" s="3231"/>
      <c r="BT231" s="3231"/>
      <c r="BU231" s="3231"/>
      <c r="BV231" s="3231"/>
      <c r="BW231" s="3231"/>
      <c r="BX231" s="3231"/>
      <c r="BY231" s="3231"/>
      <c r="BZ231" s="3231"/>
      <c r="CA231" s="3231"/>
      <c r="CB231" s="3231"/>
      <c r="CC231" s="3231"/>
      <c r="CD231" s="3231"/>
      <c r="CE231" s="3231"/>
      <c r="CF231" s="3231"/>
      <c r="CG231" s="3231"/>
      <c r="CH231" s="3252"/>
      <c r="CI231" s="3253"/>
      <c r="CJ231" s="3253"/>
      <c r="CK231" s="3253"/>
      <c r="CL231" s="3253"/>
      <c r="CM231" s="3252"/>
      <c r="CN231" s="3254">
        <f>+IF(CN199&lt;0,IF(CL199&gt;0,"N/A",(-1)*(CN199/CL199-1)),IF(CL199&lt;0,"N/A",(CN199/CL199-1)))</f>
        <v>-6.7011296189929404E-3</v>
      </c>
      <c r="CO231" s="3254">
        <f t="shared" ref="CO231:CQ232" si="545">+IF(CO199&lt;0,IF(CN199&gt;0,"N/A",(-1)*(CO199/CN199-1)),IF(CN199&lt;0,"N/A",(CO199/CN199-1)))</f>
        <v>8.0956052428681646E-2</v>
      </c>
      <c r="CP231" s="3254">
        <f t="shared" si="545"/>
        <v>3.5485021398002914E-2</v>
      </c>
      <c r="CQ231" s="3253">
        <f t="shared" si="545"/>
        <v>0.16135698295161016</v>
      </c>
      <c r="CR231" s="3252"/>
      <c r="CS231" s="3253">
        <f>+IF(CS199&lt;0,IF(CQ199&gt;0,"N/A",(-1)*(CS199/CQ199-1)),IF(CQ199&lt;0,"N/A",(CS199/CQ199-1)))</f>
        <v>-7.399169632265723E-2</v>
      </c>
      <c r="CT231" s="3253">
        <f t="shared" si="536"/>
        <v>0.11929543634907924</v>
      </c>
      <c r="CU231" s="3253">
        <f t="shared" si="536"/>
        <v>-3.0901287553648071E-2</v>
      </c>
      <c r="CV231" s="3253">
        <f t="shared" si="536"/>
        <v>0.16371420135813408</v>
      </c>
      <c r="CW231" s="3252"/>
      <c r="CX231" s="3254">
        <f t="shared" si="537"/>
        <v>-5.5435747811746761E-2</v>
      </c>
      <c r="CY231" s="3254">
        <f t="shared" si="538"/>
        <v>2.9277464410421672E-2</v>
      </c>
      <c r="CZ231" s="3254">
        <f t="shared" si="538"/>
        <v>0.11978079331941549</v>
      </c>
      <c r="DA231" s="3254">
        <f t="shared" si="538"/>
        <v>1.514798415287899E-3</v>
      </c>
      <c r="DB231" s="3252"/>
      <c r="DC231" s="3254">
        <f t="shared" si="539"/>
        <v>-2.6410703897614907E-2</v>
      </c>
      <c r="DD231" s="3254">
        <f t="shared" si="540"/>
        <v>7.0626195028680616E-2</v>
      </c>
      <c r="DE231" s="3254">
        <f t="shared" si="540"/>
        <v>5.9270007813372105E-2</v>
      </c>
      <c r="DF231" s="3254">
        <f t="shared" si="540"/>
        <v>9.062170706006345E-3</v>
      </c>
      <c r="DG231" s="3252"/>
      <c r="DH231" s="3254">
        <f t="shared" si="541"/>
        <v>-4.0517961570593175E-2</v>
      </c>
      <c r="DI231" s="3254">
        <f t="shared" si="542"/>
        <v>0.11885067479320854</v>
      </c>
      <c r="DJ231" s="3254">
        <f t="shared" si="542"/>
        <v>4.5330739299610956E-2</v>
      </c>
      <c r="DK231" s="3254">
        <f t="shared" si="542"/>
        <v>6.6350269867857747E-2</v>
      </c>
      <c r="DL231" s="3252"/>
      <c r="DM231" s="3254">
        <f t="shared" si="543"/>
        <v>-0.14320621345667162</v>
      </c>
      <c r="DN231" s="3254">
        <f t="shared" si="544"/>
        <v>-0.17366062334487675</v>
      </c>
      <c r="DO231" s="3254">
        <f t="shared" si="544"/>
        <v>0.63256501910513996</v>
      </c>
      <c r="DP231" s="3254">
        <f t="shared" si="544"/>
        <v>0.3456398640996603</v>
      </c>
      <c r="DQ231" s="3252"/>
      <c r="DR231" s="3254"/>
      <c r="DS231" s="3254"/>
      <c r="DT231" s="3254"/>
      <c r="DU231" s="3254"/>
      <c r="DV231" s="3252"/>
      <c r="DW231" s="3254"/>
      <c r="DX231" s="3254"/>
      <c r="DY231" s="3254"/>
      <c r="DZ231" s="3254"/>
      <c r="EA231" s="3252"/>
      <c r="EB231" s="3254"/>
      <c r="EC231" s="3254"/>
      <c r="ED231" s="3254"/>
      <c r="EE231" s="3254"/>
      <c r="EF231" s="3252"/>
      <c r="EG231" s="3254"/>
      <c r="EH231" s="3254"/>
      <c r="EI231" s="3254"/>
      <c r="EJ231" s="3254"/>
      <c r="EK231" s="3252"/>
      <c r="EL231" s="3254"/>
      <c r="EM231" s="3254"/>
      <c r="EN231" s="3254"/>
      <c r="EO231" s="3254"/>
      <c r="EP231" s="3252"/>
      <c r="EQ231" s="3254"/>
      <c r="ER231" s="3254"/>
      <c r="ES231" s="3254"/>
      <c r="ET231" s="3254"/>
      <c r="EU231" s="3252"/>
      <c r="EV231" s="3252"/>
      <c r="EW231" s="3252"/>
      <c r="EX231" s="3252"/>
      <c r="EY231" s="3252"/>
      <c r="FA231" s="4275"/>
      <c r="FB231" s="4275"/>
    </row>
    <row r="232" spans="1:158" s="768" customFormat="1" hidden="1">
      <c r="A232" s="4485" t="str">
        <f t="shared" si="534"/>
        <v>Google Non-GAAP Operating Income/(Loss) ex-SBC</v>
      </c>
      <c r="B232" s="2711"/>
      <c r="C232" s="2711"/>
      <c r="D232" s="2711"/>
      <c r="E232" s="2711"/>
      <c r="F232" s="2711"/>
      <c r="G232" s="2711"/>
      <c r="H232" s="2711"/>
      <c r="I232" s="2711"/>
      <c r="J232" s="2711"/>
      <c r="K232" s="2711"/>
      <c r="L232" s="2711"/>
      <c r="M232" s="2711"/>
      <c r="N232" s="2711"/>
      <c r="O232" s="2711"/>
      <c r="P232" s="2711"/>
      <c r="Q232" s="2711"/>
      <c r="R232" s="2711"/>
      <c r="S232" s="2711"/>
      <c r="T232" s="2711"/>
      <c r="U232" s="2711"/>
      <c r="V232" s="2711"/>
      <c r="W232" s="2711"/>
      <c r="X232" s="2711"/>
      <c r="Y232" s="2711"/>
      <c r="Z232" s="2711"/>
      <c r="AA232" s="2711"/>
      <c r="AB232" s="2711"/>
      <c r="AC232" s="2711"/>
      <c r="AD232" s="2711"/>
      <c r="AE232" s="2711"/>
      <c r="AF232" s="2711"/>
      <c r="AG232" s="2711"/>
      <c r="AH232" s="2711"/>
      <c r="AI232" s="2711"/>
      <c r="AJ232" s="2711"/>
      <c r="AK232" s="2711"/>
      <c r="AL232" s="2711"/>
      <c r="AM232" s="2711"/>
      <c r="AN232" s="2711"/>
      <c r="AO232" s="2711"/>
      <c r="AP232" s="2711"/>
      <c r="AQ232" s="2711"/>
      <c r="AR232" s="2711"/>
      <c r="AS232" s="2711"/>
      <c r="AT232" s="2711"/>
      <c r="AU232" s="2711"/>
      <c r="AV232" s="2711"/>
      <c r="AW232" s="2711"/>
      <c r="AX232" s="2711"/>
      <c r="AY232" s="2711"/>
      <c r="AZ232" s="2711"/>
      <c r="BA232" s="2711"/>
      <c r="BB232" s="2711"/>
      <c r="BC232" s="2711"/>
      <c r="BD232" s="2711"/>
      <c r="BE232" s="2711"/>
      <c r="BF232" s="2711"/>
      <c r="BG232" s="2711"/>
      <c r="BH232" s="2711"/>
      <c r="BI232" s="2711"/>
      <c r="BJ232" s="2711"/>
      <c r="BK232" s="2711"/>
      <c r="BL232" s="2711"/>
      <c r="BM232" s="2711"/>
      <c r="BN232" s="2711"/>
      <c r="BO232" s="2711"/>
      <c r="BP232" s="2711"/>
      <c r="BQ232" s="2711"/>
      <c r="BR232" s="2711"/>
      <c r="BS232" s="2711"/>
      <c r="BT232" s="2711"/>
      <c r="BU232" s="2711"/>
      <c r="BV232" s="2711"/>
      <c r="BW232" s="2711"/>
      <c r="BX232" s="2711"/>
      <c r="BY232" s="2711"/>
      <c r="BZ232" s="2711"/>
      <c r="CA232" s="2711"/>
      <c r="CB232" s="2711"/>
      <c r="CC232" s="2711"/>
      <c r="CD232" s="2711"/>
      <c r="CE232" s="2711"/>
      <c r="CF232" s="2711"/>
      <c r="CG232" s="2711"/>
      <c r="CH232" s="2729"/>
      <c r="CI232" s="2730"/>
      <c r="CJ232" s="2730"/>
      <c r="CK232" s="2730"/>
      <c r="CL232" s="2730"/>
      <c r="CM232" s="2729"/>
      <c r="CN232" s="2731">
        <f>+IF(CN200&lt;0,IF(CL200&gt;0,"N/A",(-1)*(CN200/CL200-1)),IF(CL200&lt;0,"N/A",(CN200/CL200-1)))</f>
        <v>-9.204888112997911E-3</v>
      </c>
      <c r="CO232" s="2731">
        <f t="shared" si="545"/>
        <v>5.78247637353837E-2</v>
      </c>
      <c r="CP232" s="2731">
        <f t="shared" si="545"/>
        <v>7.2380375529981889E-2</v>
      </c>
      <c r="CQ232" s="2730">
        <f t="shared" si="545"/>
        <v>0.13273086698672687</v>
      </c>
      <c r="CR232" s="2729"/>
      <c r="CS232" s="2730">
        <f>+IF(CS200&lt;0,IF(CQ200&gt;0,"N/A",(-1)*(CS200/CQ200-1)),IF(CQ200&lt;0,"N/A",(CS200/CQ200-1)))</f>
        <v>-5.6594365494889054E-2</v>
      </c>
      <c r="CT232" s="2730">
        <f t="shared" si="536"/>
        <v>9.8572938689217793E-2</v>
      </c>
      <c r="CU232" s="2730">
        <f t="shared" si="536"/>
        <v>1.106567235987499E-2</v>
      </c>
      <c r="CV232" s="2730">
        <f t="shared" si="536"/>
        <v>0.13442778967404245</v>
      </c>
      <c r="CW232" s="2729"/>
      <c r="CX232" s="2731">
        <f t="shared" si="537"/>
        <v>-2.1812080536912748E-2</v>
      </c>
      <c r="CY232" s="2731">
        <f t="shared" si="538"/>
        <v>2.3584905660377409E-2</v>
      </c>
      <c r="CZ232" s="2731">
        <f t="shared" si="538"/>
        <v>7.5827398408043534E-2</v>
      </c>
      <c r="DA232" s="2731">
        <f t="shared" si="538"/>
        <v>3.4073208722742443E-3</v>
      </c>
      <c r="DB232" s="2729"/>
      <c r="DC232" s="2731">
        <f t="shared" si="539"/>
        <v>3.541282623459785E-2</v>
      </c>
      <c r="DD232" s="2731">
        <f t="shared" si="540"/>
        <v>5.3879310344827624E-2</v>
      </c>
      <c r="DE232" s="2731">
        <f t="shared" si="540"/>
        <v>2.7918556059393529E-2</v>
      </c>
      <c r="DF232" s="2731">
        <f t="shared" si="540"/>
        <v>9.2552547357493964E-3</v>
      </c>
      <c r="DG232" s="2729"/>
      <c r="DH232" s="2731">
        <f t="shared" si="541"/>
        <v>1.1312992800822652E-2</v>
      </c>
      <c r="DI232" s="2731">
        <f t="shared" si="542"/>
        <v>9.1525423728813449E-2</v>
      </c>
      <c r="DJ232" s="2731">
        <f t="shared" si="542"/>
        <v>2.6086956521739202E-2</v>
      </c>
      <c r="DK232" s="2731">
        <f t="shared" si="542"/>
        <v>5.6446731234866876E-2</v>
      </c>
      <c r="DL232" s="2729"/>
      <c r="DM232" s="2731">
        <f t="shared" si="543"/>
        <v>-8.2796161008451552E-2</v>
      </c>
      <c r="DN232" s="2731">
        <f t="shared" si="544"/>
        <v>-0.12236451663282832</v>
      </c>
      <c r="DO232" s="2731">
        <f t="shared" si="544"/>
        <v>0.43838419788237393</v>
      </c>
      <c r="DP232" s="2731">
        <f t="shared" si="544"/>
        <v>0.29155917357416805</v>
      </c>
      <c r="DQ232" s="2729"/>
      <c r="DR232" s="2731"/>
      <c r="DS232" s="2731"/>
      <c r="DT232" s="2731"/>
      <c r="DU232" s="2731"/>
      <c r="DV232" s="2729"/>
      <c r="DW232" s="2731"/>
      <c r="DX232" s="2731"/>
      <c r="DY232" s="2731"/>
      <c r="DZ232" s="2731"/>
      <c r="EA232" s="2729"/>
      <c r="EB232" s="2731"/>
      <c r="EC232" s="2731"/>
      <c r="ED232" s="2731"/>
      <c r="EE232" s="2731"/>
      <c r="EF232" s="2729"/>
      <c r="EG232" s="2731"/>
      <c r="EH232" s="2731"/>
      <c r="EI232" s="2731"/>
      <c r="EJ232" s="2731"/>
      <c r="EK232" s="2729"/>
      <c r="EL232" s="2731"/>
      <c r="EM232" s="2731"/>
      <c r="EN232" s="2731"/>
      <c r="EO232" s="2731"/>
      <c r="EP232" s="2729"/>
      <c r="EQ232" s="2731"/>
      <c r="ER232" s="2731"/>
      <c r="ES232" s="2731"/>
      <c r="ET232" s="2731"/>
      <c r="EU232" s="2729"/>
      <c r="EV232" s="2729"/>
      <c r="EW232" s="2729"/>
      <c r="EX232" s="2729"/>
      <c r="EY232" s="2729"/>
      <c r="FA232" s="1319"/>
      <c r="FB232" s="1319"/>
    </row>
    <row r="233" spans="1:158" s="627" customFormat="1" hidden="1">
      <c r="A233" s="4477" t="str">
        <f t="shared" si="534"/>
        <v>Google GAAP Net Income</v>
      </c>
      <c r="B233" s="404"/>
      <c r="C233" s="404"/>
      <c r="D233" s="404"/>
      <c r="E233" s="404"/>
      <c r="F233" s="404"/>
      <c r="G233" s="404"/>
      <c r="H233" s="404"/>
      <c r="I233" s="404"/>
      <c r="J233" s="404"/>
      <c r="K233" s="404"/>
      <c r="L233" s="404"/>
      <c r="M233" s="404"/>
      <c r="N233" s="404"/>
      <c r="O233" s="404"/>
      <c r="P233" s="404"/>
      <c r="Q233" s="404"/>
      <c r="R233" s="404"/>
      <c r="S233" s="404"/>
      <c r="T233" s="404"/>
      <c r="U233" s="404"/>
      <c r="V233" s="404"/>
      <c r="W233" s="404"/>
      <c r="X233" s="404"/>
      <c r="Y233" s="404"/>
      <c r="Z233" s="404"/>
      <c r="AA233" s="404"/>
      <c r="AB233" s="404"/>
      <c r="AC233" s="404"/>
      <c r="AD233" s="404"/>
      <c r="AE233" s="404"/>
      <c r="AF233" s="404"/>
      <c r="AG233" s="404"/>
      <c r="AH233" s="404"/>
      <c r="AI233" s="404"/>
      <c r="AJ233" s="404"/>
      <c r="AK233" s="404"/>
      <c r="AL233" s="404"/>
      <c r="AM233" s="404"/>
      <c r="AN233" s="404"/>
      <c r="AO233" s="404"/>
      <c r="AP233" s="404"/>
      <c r="AQ233" s="404"/>
      <c r="AR233" s="404"/>
      <c r="AS233" s="404"/>
      <c r="AT233" s="404"/>
      <c r="AU233" s="404"/>
      <c r="AV233" s="404"/>
      <c r="AW233" s="404"/>
      <c r="AX233" s="404"/>
      <c r="AY233" s="404"/>
      <c r="AZ233" s="404"/>
      <c r="BA233" s="404"/>
      <c r="BB233" s="404"/>
      <c r="BC233" s="404"/>
      <c r="BD233" s="404"/>
      <c r="BE233" s="404"/>
      <c r="BF233" s="404"/>
      <c r="BG233" s="404"/>
      <c r="BH233" s="404"/>
      <c r="BI233" s="404"/>
      <c r="BJ233" s="404"/>
      <c r="BK233" s="404"/>
      <c r="BL233" s="404"/>
      <c r="BM233" s="404"/>
      <c r="BN233" s="404"/>
      <c r="BO233" s="404"/>
      <c r="BP233" s="404"/>
      <c r="BQ233" s="404"/>
      <c r="BR233" s="404"/>
      <c r="BS233" s="404"/>
      <c r="BT233" s="404"/>
      <c r="BU233" s="404"/>
      <c r="BV233" s="404"/>
      <c r="BW233" s="404"/>
      <c r="BX233" s="404"/>
      <c r="BY233" s="404"/>
      <c r="BZ233" s="404"/>
      <c r="CA233" s="404"/>
      <c r="CB233" s="404"/>
      <c r="CC233" s="404"/>
      <c r="CD233" s="404"/>
      <c r="CE233" s="404"/>
      <c r="CF233" s="404"/>
      <c r="CG233" s="404"/>
      <c r="CH233" s="2732"/>
      <c r="CI233" s="2778"/>
      <c r="CJ233" s="2778"/>
      <c r="CK233" s="2778"/>
      <c r="CL233" s="2778"/>
      <c r="CM233" s="2732"/>
      <c r="CN233" s="2643">
        <f>+IF(CN204&lt;0,IF(CL204&gt;0,"N/A",(-1)*(CN204/CL204-1)),IF(CL204&lt;0,"N/A",(CN204/CL204-1)))</f>
        <v>-6.0989276886618482E-2</v>
      </c>
      <c r="CO233" s="2643">
        <f t="shared" ref="CO233:CQ234" si="546">+IF(CO204&lt;0,IF(CN204&gt;0,"N/A",(-1)*(CO204/CN204-1)),IF(CN204&lt;0,"N/A",(CO204/CN204-1)))</f>
        <v>0.10781237559436208</v>
      </c>
      <c r="CP233" s="2643">
        <f t="shared" si="546"/>
        <v>7.7216801018243464E-2</v>
      </c>
      <c r="CQ233" s="2778">
        <f t="shared" si="546"/>
        <v>0.23808586057502956</v>
      </c>
      <c r="CR233" s="2732"/>
      <c r="CS233" s="2778">
        <f>+IF(CS204&lt;0,IF(CQ204&gt;0,"N/A",(-1)*(CS204/CQ204-1)),IF(CQ204&lt;0,"N/A",(CS204/CQ204-1)))</f>
        <v>-0.18721170669635756</v>
      </c>
      <c r="CT233" s="2778">
        <f t="shared" ref="CT233:CV234" si="547">+IF(CT204&lt;0,IF(CS204&gt;0,"N/A",(-1)*(CT204/CS204-1)),IF(CS204&lt;0,"N/A",(CT204/CS204-1)))</f>
        <v>0.15440313111545989</v>
      </c>
      <c r="CU233" s="2778">
        <f t="shared" si="547"/>
        <v>2.8648923546363836E-2</v>
      </c>
      <c r="CV233" s="2778">
        <f t="shared" si="547"/>
        <v>8.3882663150955938E-2</v>
      </c>
      <c r="CW233" s="2732"/>
      <c r="CX233" s="2643">
        <f>+IF(CX204&lt;0,IF(CV204&gt;0,"N/A",(-1)*(CX204/CV204-1)),IF(CV204&lt;0,"N/A",(CX204/CV204-1)))</f>
        <v>-4.1508286452790033E-2</v>
      </c>
      <c r="CY233" s="2643">
        <f t="shared" ref="CY233:DA234" si="548">+IF(CY204&lt;0,IF(CX204&gt;0,"N/A",(-1)*(CY204/CX204-1)),IF(CX204&lt;0,"N/A",(CY204/CX204-1)))</f>
        <v>0.11928934010152292</v>
      </c>
      <c r="CZ233" s="2643">
        <f t="shared" si="548"/>
        <v>6.7460317460317443E-2</v>
      </c>
      <c r="DA233" s="2643" t="str">
        <f t="shared" si="548"/>
        <v>N/A</v>
      </c>
      <c r="DB233" s="2732"/>
      <c r="DC233" s="2643" t="str">
        <f>+IF(DC204&lt;0,IF(DA204&gt;0,"N/A",(-1)*(DC204/DA204-1)),IF(DA204&lt;0,"N/A",(DC204/DA204-1)))</f>
        <v>N/A</v>
      </c>
      <c r="DD233" s="2643">
        <f t="shared" ref="DD233:DF234" si="549">+IF(DD204&lt;0,IF(DC204&gt;0,"N/A",(-1)*(DD204/DC204-1)),IF(DC204&lt;0,"N/A",(DD204/DC204-1)))</f>
        <v>-0.10132202052091555</v>
      </c>
      <c r="DE233" s="2643">
        <f t="shared" si="549"/>
        <v>0.10407289493907124</v>
      </c>
      <c r="DF233" s="2643">
        <f t="shared" si="549"/>
        <v>2.4460574724072703E-2</v>
      </c>
      <c r="DG233" s="2732"/>
      <c r="DH233" s="2643">
        <f>+IF(DH204&lt;0,IF(DF204&gt;0,"N/A",(-1)*(DH204/DF204-1)),IF(DF204&lt;0,"N/A",(DH204/DF204-1)))</f>
        <v>-0.10346501019120646</v>
      </c>
      <c r="DI233" s="2643">
        <f t="shared" ref="DI233:DK234" si="550">+IF(DI204&lt;0,IF(DH204&gt;0,"N/A",(-1)*(DI204/DH204-1)),IF(DH204&lt;0,"N/A",(DI204/DH204-1)))</f>
        <v>0.19595106636353798</v>
      </c>
      <c r="DJ233" s="2643">
        <f t="shared" si="550"/>
        <v>-0.21815877613831813</v>
      </c>
      <c r="DK233" s="2643">
        <f t="shared" si="550"/>
        <v>0.48940604376519614</v>
      </c>
      <c r="DL233" s="2732"/>
      <c r="DM233" s="2643">
        <f>+IF(DM204&lt;0,IF(DK204&gt;0,"N/A",(-1)*(DM204/DK204-1)),IF(DK204&lt;0,"N/A",(DM204/DK204-1)))</f>
        <v>-0.32548196517412931</v>
      </c>
      <c r="DN233" s="2643">
        <f t="shared" ref="DN233:DP234" si="551">+IF(DN204&lt;0,IF(DM204&gt;0,"N/A",(-1)*(DN204/DM204-1)),IF(DM204&lt;0,"N/A",(DN204/DM204-1)))</f>
        <v>1.3829664630633509E-3</v>
      </c>
      <c r="DO233" s="2643">
        <f t="shared" si="551"/>
        <v>0.52825411439751413</v>
      </c>
      <c r="DP233" s="2643">
        <f t="shared" si="551"/>
        <v>0.31026432713306717</v>
      </c>
      <c r="DQ233" s="2732"/>
      <c r="DR233" s="2643"/>
      <c r="DS233" s="2643"/>
      <c r="DT233" s="2643"/>
      <c r="DU233" s="2643"/>
      <c r="DV233" s="2732"/>
      <c r="DW233" s="2643"/>
      <c r="DX233" s="2643"/>
      <c r="DY233" s="2643"/>
      <c r="DZ233" s="2643"/>
      <c r="EA233" s="2732"/>
      <c r="EB233" s="2643"/>
      <c r="EC233" s="2643"/>
      <c r="ED233" s="2643"/>
      <c r="EE233" s="2643"/>
      <c r="EF233" s="2732"/>
      <c r="EG233" s="2643"/>
      <c r="EH233" s="2643"/>
      <c r="EI233" s="2643"/>
      <c r="EJ233" s="2643"/>
      <c r="EK233" s="2732"/>
      <c r="EL233" s="2643"/>
      <c r="EM233" s="2643"/>
      <c r="EN233" s="2643"/>
      <c r="EO233" s="2643"/>
      <c r="EP233" s="2732"/>
      <c r="EQ233" s="2643"/>
      <c r="ER233" s="2643"/>
      <c r="ES233" s="2643"/>
      <c r="ET233" s="2643"/>
      <c r="EU233" s="2732"/>
      <c r="EV233" s="2732"/>
      <c r="EW233" s="2732"/>
      <c r="EX233" s="2732"/>
      <c r="EY233" s="2732"/>
      <c r="EZ233" s="768"/>
      <c r="FA233" s="1319"/>
      <c r="FB233" s="1319"/>
    </row>
    <row r="234" spans="1:158" s="627" customFormat="1" hidden="1">
      <c r="A234" s="3555" t="str">
        <f t="shared" si="534"/>
        <v>Google GAAP EPS</v>
      </c>
      <c r="B234" s="3258"/>
      <c r="C234" s="3258"/>
      <c r="D234" s="3258"/>
      <c r="E234" s="3258"/>
      <c r="F234" s="3258"/>
      <c r="G234" s="3258"/>
      <c r="H234" s="3258"/>
      <c r="I234" s="3258"/>
      <c r="J234" s="3258"/>
      <c r="K234" s="3258"/>
      <c r="L234" s="3258"/>
      <c r="M234" s="3258"/>
      <c r="N234" s="3258"/>
      <c r="O234" s="3258"/>
      <c r="P234" s="3258"/>
      <c r="Q234" s="3258"/>
      <c r="R234" s="3258"/>
      <c r="S234" s="3258"/>
      <c r="T234" s="3258"/>
      <c r="U234" s="3258"/>
      <c r="V234" s="3258"/>
      <c r="W234" s="3258"/>
      <c r="X234" s="3258"/>
      <c r="Y234" s="3258"/>
      <c r="Z234" s="3258"/>
      <c r="AA234" s="3258"/>
      <c r="AB234" s="3258"/>
      <c r="AC234" s="3258"/>
      <c r="AD234" s="3258"/>
      <c r="AE234" s="3258"/>
      <c r="AF234" s="3258"/>
      <c r="AG234" s="3258"/>
      <c r="AH234" s="3258"/>
      <c r="AI234" s="3258"/>
      <c r="AJ234" s="3258"/>
      <c r="AK234" s="3258"/>
      <c r="AL234" s="3258"/>
      <c r="AM234" s="3258"/>
      <c r="AN234" s="3258"/>
      <c r="AO234" s="3258"/>
      <c r="AP234" s="3258"/>
      <c r="AQ234" s="3258"/>
      <c r="AR234" s="3258"/>
      <c r="AS234" s="3258"/>
      <c r="AT234" s="3258"/>
      <c r="AU234" s="3258"/>
      <c r="AV234" s="3258"/>
      <c r="AW234" s="3258"/>
      <c r="AX234" s="3258"/>
      <c r="AY234" s="3258"/>
      <c r="AZ234" s="3258"/>
      <c r="BA234" s="3258"/>
      <c r="BB234" s="3258"/>
      <c r="BC234" s="3258"/>
      <c r="BD234" s="3258"/>
      <c r="BE234" s="3258"/>
      <c r="BF234" s="3258"/>
      <c r="BG234" s="3258"/>
      <c r="BH234" s="3258"/>
      <c r="BI234" s="3258"/>
      <c r="BJ234" s="3258"/>
      <c r="BK234" s="3258"/>
      <c r="BL234" s="3258"/>
      <c r="BM234" s="3258"/>
      <c r="BN234" s="3258"/>
      <c r="BO234" s="3258"/>
      <c r="BP234" s="3258"/>
      <c r="BQ234" s="3258"/>
      <c r="BR234" s="3258"/>
      <c r="BS234" s="3258"/>
      <c r="BT234" s="3258"/>
      <c r="BU234" s="3258"/>
      <c r="BV234" s="3258"/>
      <c r="BW234" s="3258"/>
      <c r="BX234" s="3258"/>
      <c r="BY234" s="3258"/>
      <c r="BZ234" s="3258"/>
      <c r="CA234" s="3258"/>
      <c r="CB234" s="3258"/>
      <c r="CC234" s="3258"/>
      <c r="CD234" s="3258"/>
      <c r="CE234" s="3258"/>
      <c r="CF234" s="3258"/>
      <c r="CG234" s="3258"/>
      <c r="CH234" s="3259"/>
      <c r="CI234" s="3260"/>
      <c r="CJ234" s="3260"/>
      <c r="CK234" s="3260"/>
      <c r="CL234" s="3260"/>
      <c r="CM234" s="3259"/>
      <c r="CN234" s="3261">
        <f>+IF(CN205&lt;0,IF(CL205&gt;0,"N/A",(-1)*(CN205/CL205-1)),IF(CL205&lt;0,"N/A",(CN205/CL205-1)))</f>
        <v>-6.2360685938095295E-2</v>
      </c>
      <c r="CO234" s="3261">
        <f t="shared" si="546"/>
        <v>0.10559956656249203</v>
      </c>
      <c r="CP234" s="3261">
        <f t="shared" si="546"/>
        <v>7.1878184312804683E-2</v>
      </c>
      <c r="CQ234" s="3260">
        <f t="shared" si="546"/>
        <v>0.23327934669286465</v>
      </c>
      <c r="CR234" s="3259"/>
      <c r="CS234" s="3260">
        <f>+IF(CS205&lt;0,IF(CQ205&gt;0,"N/A",(-1)*(CS205/CQ205-1)),IF(CQ205&lt;0,"N/A",(CS205/CQ205-1)))</f>
        <v>-0.18986865623453475</v>
      </c>
      <c r="CT234" s="3260">
        <f t="shared" si="547"/>
        <v>0.15848501611326959</v>
      </c>
      <c r="CU234" s="3260">
        <f t="shared" si="547"/>
        <v>2.630278395640695E-2</v>
      </c>
      <c r="CV234" s="3260">
        <f t="shared" si="547"/>
        <v>8.1125826347901109E-2</v>
      </c>
      <c r="CW234" s="3259"/>
      <c r="CX234" s="3261">
        <f>+IF(CX205&lt;0,IF(CV205&gt;0,"N/A",(-1)*(CX205/CV205-1)),IF(CV205&lt;0,"N/A",(CX205/CV205-1)))</f>
        <v>-4.3986311027154001E-2</v>
      </c>
      <c r="CY234" s="3261">
        <f t="shared" si="548"/>
        <v>0.11695530959713407</v>
      </c>
      <c r="CZ234" s="3261">
        <f t="shared" si="548"/>
        <v>6.713721972256681E-2</v>
      </c>
      <c r="DA234" s="3261" t="str">
        <f t="shared" si="548"/>
        <v>N/A</v>
      </c>
      <c r="DB234" s="3259"/>
      <c r="DC234" s="3261" t="str">
        <f>+IF(DC205&lt;0,IF(DA205&gt;0,"N/A",(-1)*(DC205/DA205-1)),IF(DA205&lt;0,"N/A",(DC205/DA205-1)))</f>
        <v>N/A</v>
      </c>
      <c r="DD234" s="3261">
        <f t="shared" si="549"/>
        <v>-9.8910626875045593E-2</v>
      </c>
      <c r="DE234" s="3261">
        <f t="shared" si="549"/>
        <v>0.10311291202814332</v>
      </c>
      <c r="DF234" s="3261">
        <f t="shared" si="549"/>
        <v>2.8787023044277715E-2</v>
      </c>
      <c r="DG234" s="3259"/>
      <c r="DH234" s="3261">
        <f>+IF(DH205&lt;0,IF(DF205&gt;0,"N/A",(-1)*(DH205/DF205-1)),IF(DF205&lt;0,"N/A",(DH205/DF205-1)))</f>
        <v>-0.10343942703092324</v>
      </c>
      <c r="DI234" s="3261">
        <f t="shared" si="550"/>
        <v>0.19753153413197211</v>
      </c>
      <c r="DJ234" s="3261">
        <f t="shared" si="550"/>
        <v>-0.21619353220660642</v>
      </c>
      <c r="DK234" s="3261">
        <f t="shared" si="550"/>
        <v>0.4958440526684873</v>
      </c>
      <c r="DL234" s="3259"/>
      <c r="DM234" s="3261">
        <f>+IF(DM205&lt;0,IF(DK205&gt;0,"N/A",(-1)*(DM205/DK205-1)),IF(DK205&lt;0,"N/A",(DM205/DK205-1)))</f>
        <v>-0.32263001023776039</v>
      </c>
      <c r="DN234" s="3261">
        <f t="shared" si="551"/>
        <v>9.0249860914399793E-3</v>
      </c>
      <c r="DO234" s="3261">
        <f t="shared" si="551"/>
        <v>0.53086786297583255</v>
      </c>
      <c r="DP234" s="3261">
        <f t="shared" si="551"/>
        <v>0.31579339476395174</v>
      </c>
      <c r="DQ234" s="3259"/>
      <c r="DR234" s="3261"/>
      <c r="DS234" s="3261"/>
      <c r="DT234" s="3261"/>
      <c r="DU234" s="3261"/>
      <c r="DV234" s="3259"/>
      <c r="DW234" s="3261"/>
      <c r="DX234" s="3261"/>
      <c r="DY234" s="3261"/>
      <c r="DZ234" s="3261"/>
      <c r="EA234" s="3259"/>
      <c r="EB234" s="3261"/>
      <c r="EC234" s="3261"/>
      <c r="ED234" s="3261"/>
      <c r="EE234" s="3261"/>
      <c r="EF234" s="3259"/>
      <c r="EG234" s="3261"/>
      <c r="EH234" s="3261"/>
      <c r="EI234" s="3261"/>
      <c r="EJ234" s="3261"/>
      <c r="EK234" s="3259"/>
      <c r="EL234" s="3261"/>
      <c r="EM234" s="3261"/>
      <c r="EN234" s="3261"/>
      <c r="EO234" s="3261"/>
      <c r="EP234" s="3259"/>
      <c r="EQ234" s="3261"/>
      <c r="ER234" s="3261"/>
      <c r="ES234" s="3261"/>
      <c r="ET234" s="3261"/>
      <c r="EU234" s="3259"/>
      <c r="EV234" s="3259"/>
      <c r="EW234" s="3259"/>
      <c r="EX234" s="3259"/>
      <c r="EY234" s="3259"/>
      <c r="EZ234" s="768"/>
      <c r="FA234" s="1319"/>
      <c r="FB234" s="1319"/>
    </row>
    <row r="235" spans="1:158" s="768" customFormat="1" hidden="1">
      <c r="A235" s="4474" t="str">
        <f t="shared" si="534"/>
        <v>Google CapEx</v>
      </c>
      <c r="B235" s="3258"/>
      <c r="C235" s="3258"/>
      <c r="D235" s="3258"/>
      <c r="E235" s="3258"/>
      <c r="F235" s="3258"/>
      <c r="G235" s="3258"/>
      <c r="H235" s="3258"/>
      <c r="I235" s="3258"/>
      <c r="J235" s="3258"/>
      <c r="K235" s="3258"/>
      <c r="L235" s="3258"/>
      <c r="M235" s="3258"/>
      <c r="N235" s="3258"/>
      <c r="O235" s="3258"/>
      <c r="P235" s="3258"/>
      <c r="Q235" s="3258"/>
      <c r="R235" s="3258"/>
      <c r="S235" s="3258"/>
      <c r="T235" s="3258"/>
      <c r="U235" s="3258"/>
      <c r="V235" s="3258"/>
      <c r="W235" s="3258"/>
      <c r="X235" s="3258"/>
      <c r="Y235" s="3258"/>
      <c r="Z235" s="3258"/>
      <c r="AA235" s="3258"/>
      <c r="AB235" s="3258"/>
      <c r="AC235" s="3258"/>
      <c r="AD235" s="3258"/>
      <c r="AE235" s="3258"/>
      <c r="AF235" s="3258"/>
      <c r="AG235" s="3258"/>
      <c r="AH235" s="3258"/>
      <c r="AI235" s="3258"/>
      <c r="AJ235" s="3258"/>
      <c r="AK235" s="3258"/>
      <c r="AL235" s="3258"/>
      <c r="AM235" s="3258"/>
      <c r="AN235" s="3258"/>
      <c r="AO235" s="3258"/>
      <c r="AP235" s="3258"/>
      <c r="AQ235" s="3258"/>
      <c r="AR235" s="3258"/>
      <c r="AS235" s="3258"/>
      <c r="AT235" s="3258"/>
      <c r="AU235" s="3258"/>
      <c r="AV235" s="3258"/>
      <c r="AW235" s="3258"/>
      <c r="AX235" s="3258"/>
      <c r="AY235" s="3258"/>
      <c r="AZ235" s="3258"/>
      <c r="BA235" s="3258"/>
      <c r="BB235" s="3258"/>
      <c r="BC235" s="3258"/>
      <c r="BD235" s="3258"/>
      <c r="BE235" s="3258"/>
      <c r="BF235" s="3258"/>
      <c r="BG235" s="3258"/>
      <c r="BH235" s="3258"/>
      <c r="BI235" s="3258"/>
      <c r="BJ235" s="3258"/>
      <c r="BK235" s="3258"/>
      <c r="BL235" s="3258"/>
      <c r="BM235" s="3258"/>
      <c r="BN235" s="3258"/>
      <c r="BO235" s="3258"/>
      <c r="BP235" s="3258"/>
      <c r="BQ235" s="3258"/>
      <c r="BR235" s="3258"/>
      <c r="BS235" s="3258"/>
      <c r="BT235" s="3258"/>
      <c r="BU235" s="3258"/>
      <c r="BV235" s="3258"/>
      <c r="BW235" s="3258"/>
      <c r="BX235" s="3258"/>
      <c r="BY235" s="3258"/>
      <c r="BZ235" s="3258"/>
      <c r="CA235" s="3258"/>
      <c r="CB235" s="3258"/>
      <c r="CC235" s="3258"/>
      <c r="CD235" s="3258"/>
      <c r="CE235" s="3258"/>
      <c r="CF235" s="3258"/>
      <c r="CG235" s="3258"/>
      <c r="CH235" s="3259"/>
      <c r="CI235" s="3260"/>
      <c r="CJ235" s="3260"/>
      <c r="CK235" s="3260"/>
      <c r="CL235" s="3260"/>
      <c r="CM235" s="3259"/>
      <c r="CN235" s="3261">
        <f>+IF(CN207&lt;0,IF(CL207&gt;0,"N/A",(-1)*(CN207/CL207-1)),IF(CL207&lt;0,"N/A",(CN207/CL207-1)))</f>
        <v>-0.28681757656458051</v>
      </c>
      <c r="CO235" s="3261">
        <f t="shared" ref="CO235:CQ236" si="552">+IF(CO207&lt;0,IF(CN207&gt;0,"N/A",(-1)*(CO207/CN207-1)),IF(CN207&lt;0,"N/A",(CO207/CN207-1)))</f>
        <v>-0.23076923076923073</v>
      </c>
      <c r="CP235" s="3261">
        <f t="shared" si="552"/>
        <v>0.13592233009708732</v>
      </c>
      <c r="CQ235" s="3260">
        <f t="shared" si="552"/>
        <v>-0.23632478632478637</v>
      </c>
      <c r="CR235" s="3259"/>
      <c r="CS235" s="3260">
        <f>+IF(CS207&lt;0,IF(CQ207&gt;0,"N/A",(-1)*(CS207/CQ207-1)),IF(CQ207&lt;0,"N/A",(CS207/CQ207-1)))</f>
        <v>0.14101846670397311</v>
      </c>
      <c r="CT235" s="3260">
        <f t="shared" ref="CT235:CV236" si="553">+IF(CT207&lt;0,IF(CS207&gt;0,"N/A",(-1)*(CT207/CS207-1)),IF(CS207&lt;0,"N/A",(CT207/CS207-1)))</f>
        <v>8.3374203040706973E-3</v>
      </c>
      <c r="CU235" s="3260">
        <f t="shared" si="553"/>
        <v>0.18385214007782102</v>
      </c>
      <c r="CV235" s="3260">
        <f t="shared" si="553"/>
        <v>0.18652423993426459</v>
      </c>
      <c r="CW235" s="3259"/>
      <c r="CX235" s="3261">
        <f>+IF(CX207&lt;0,IF(CV207&gt;0,"N/A",(-1)*(CX207/CV207-1)),IF(CV207&lt;0,"N/A",(CX207/CV207-1)))</f>
        <v>-0.16585872576177285</v>
      </c>
      <c r="CY235" s="3261">
        <f t="shared" ref="CY235:DA236" si="554">+IF(CY207&lt;0,IF(CX207&gt;0,"N/A",(-1)*(CY207/CX207-1)),IF(CX207&lt;0,"N/A",(CY207/CX207-1)))</f>
        <v>0.17808219178082196</v>
      </c>
      <c r="CZ235" s="3261">
        <f t="shared" si="554"/>
        <v>0.25546159267089497</v>
      </c>
      <c r="DA235" s="3261">
        <f t="shared" si="554"/>
        <v>6.9042941341566078E-2</v>
      </c>
      <c r="DB235" s="3259"/>
      <c r="DC235" s="3261">
        <f>+IF(DC207&lt;0,IF(DA207&gt;0,"N/A",(-1)*(DC207/DA207-1)),IF(DA207&lt;0,"N/A",(DC207/DA207-1)))</f>
        <v>1.0133893410343924</v>
      </c>
      <c r="DD235" s="3261">
        <f t="shared" ref="DD235:DF236" si="555">+IF(DD207&lt;0,IF(DC207&gt;0,"N/A",(-1)*(DD207/DC207-1)),IF(DC207&lt;0,"N/A",(DD207/DC207-1)))</f>
        <v>-0.30903638023210322</v>
      </c>
      <c r="DE235" s="3261">
        <f t="shared" si="555"/>
        <v>6.491790903944139E-2</v>
      </c>
      <c r="DF235" s="3261">
        <f t="shared" si="555"/>
        <v>0.21371610845295064</v>
      </c>
      <c r="DG235" s="3259"/>
      <c r="DH235" s="3261">
        <f>+IF(DH207&lt;0,IF(DF207&gt;0,"N/A",(-1)*(DH207/DF207-1)),IF(DF207&lt;0,"N/A",(DH207/DF207-1)))</f>
        <v>-0.33800554825521978</v>
      </c>
      <c r="DI235" s="3261">
        <f t="shared" ref="DI235:DK236" si="556">+IF(DI207&lt;0,IF(DH207&gt;0,"N/A",(-1)*(DI207/DH207-1)),IF(DH207&lt;0,"N/A",(DI207/DH207-1)))</f>
        <v>0.52095280105866792</v>
      </c>
      <c r="DJ235" s="3261">
        <f t="shared" si="556"/>
        <v>4.8143851508120727E-2</v>
      </c>
      <c r="DK235" s="3261">
        <f t="shared" si="556"/>
        <v>-8.7852794687327096E-2</v>
      </c>
      <c r="DL235" s="3259"/>
      <c r="DM235" s="3261">
        <f>+IF(DM207&lt;0,IF(DK207&gt;0,"N/A",(-1)*(DM207/DK207-1)),IF(DK207&lt;0,"N/A",(DM207/DK207-1)))</f>
        <v>-0.14105869861974818</v>
      </c>
      <c r="DN235" s="3261">
        <f t="shared" ref="DN235:DP236" si="557">+IF(DN207&lt;0,IF(DM207&gt;0,"N/A",(-1)*(DN207/DM207-1)),IF(DM207&lt;0,"N/A",(DN207/DM207-1)))</f>
        <v>-0.14603567013950203</v>
      </c>
      <c r="DO235" s="3261">
        <f t="shared" si="557"/>
        <v>0.13006617038875112</v>
      </c>
      <c r="DP235" s="3261">
        <f t="shared" si="557"/>
        <v>-1.9469350411710828E-2</v>
      </c>
      <c r="DQ235" s="3259"/>
      <c r="DR235" s="3261"/>
      <c r="DS235" s="3261"/>
      <c r="DT235" s="3261"/>
      <c r="DU235" s="3261"/>
      <c r="DV235" s="3259"/>
      <c r="DW235" s="3261"/>
      <c r="DX235" s="3261"/>
      <c r="DY235" s="3261"/>
      <c r="DZ235" s="3261"/>
      <c r="EA235" s="3259"/>
      <c r="EB235" s="3261"/>
      <c r="EC235" s="3261"/>
      <c r="ED235" s="3261"/>
      <c r="EE235" s="3261"/>
      <c r="EF235" s="3259"/>
      <c r="EG235" s="3261"/>
      <c r="EH235" s="3261"/>
      <c r="EI235" s="3261"/>
      <c r="EJ235" s="3261"/>
      <c r="EK235" s="3259"/>
      <c r="EL235" s="3261"/>
      <c r="EM235" s="3261"/>
      <c r="EN235" s="3261"/>
      <c r="EO235" s="3261"/>
      <c r="EP235" s="3259"/>
      <c r="EQ235" s="3261"/>
      <c r="ER235" s="3261"/>
      <c r="ES235" s="3261"/>
      <c r="ET235" s="3261"/>
      <c r="EU235" s="3259"/>
      <c r="EV235" s="3259"/>
      <c r="EW235" s="3259"/>
      <c r="EX235" s="3259"/>
      <c r="EY235" s="3259"/>
      <c r="FA235" s="1319"/>
      <c r="FB235" s="1319"/>
    </row>
    <row r="236" spans="1:158" s="627" customFormat="1" hidden="1">
      <c r="A236" s="4486" t="str">
        <f t="shared" si="534"/>
        <v>Google Depreciation, Amortization &amp; Impairment</v>
      </c>
      <c r="B236" s="157"/>
      <c r="C236" s="157"/>
      <c r="D236" s="157"/>
      <c r="E236" s="157"/>
      <c r="F236" s="157"/>
      <c r="G236" s="157"/>
      <c r="H236" s="157"/>
      <c r="I236" s="157"/>
      <c r="J236" s="157"/>
      <c r="K236" s="157"/>
      <c r="L236" s="157"/>
      <c r="M236" s="157"/>
      <c r="N236" s="157"/>
      <c r="O236" s="157"/>
      <c r="P236" s="157"/>
      <c r="Q236" s="157"/>
      <c r="R236" s="157"/>
      <c r="S236" s="157"/>
      <c r="T236" s="157"/>
      <c r="U236" s="157"/>
      <c r="V236" s="157"/>
      <c r="W236" s="157"/>
      <c r="X236" s="157"/>
      <c r="Y236" s="157"/>
      <c r="Z236" s="157"/>
      <c r="AA236" s="157"/>
      <c r="AB236" s="157"/>
      <c r="AC236" s="157"/>
      <c r="AD236" s="157"/>
      <c r="AE236" s="157"/>
      <c r="AF236" s="157"/>
      <c r="AG236" s="157"/>
      <c r="AH236" s="157"/>
      <c r="AI236" s="157"/>
      <c r="AJ236" s="157"/>
      <c r="AK236" s="157"/>
      <c r="AL236" s="157"/>
      <c r="AM236" s="157"/>
      <c r="AN236" s="157"/>
      <c r="AO236" s="157"/>
      <c r="AP236" s="157"/>
      <c r="AQ236" s="157"/>
      <c r="AR236" s="157"/>
      <c r="AS236" s="157"/>
      <c r="AT236" s="157"/>
      <c r="AU236" s="157"/>
      <c r="AV236" s="157"/>
      <c r="AW236" s="157"/>
      <c r="AX236" s="157"/>
      <c r="AY236" s="157"/>
      <c r="AZ236" s="157"/>
      <c r="BA236" s="157"/>
      <c r="BB236" s="157"/>
      <c r="BC236" s="157"/>
      <c r="BD236" s="157"/>
      <c r="BE236" s="157"/>
      <c r="BF236" s="157"/>
      <c r="BG236" s="157"/>
      <c r="BH236" s="157"/>
      <c r="BI236" s="157"/>
      <c r="BJ236" s="157"/>
      <c r="BK236" s="157"/>
      <c r="BL236" s="157"/>
      <c r="BM236" s="157"/>
      <c r="BN236" s="157"/>
      <c r="BO236" s="157"/>
      <c r="BP236" s="157"/>
      <c r="BQ236" s="157"/>
      <c r="BR236" s="157"/>
      <c r="BS236" s="157"/>
      <c r="BT236" s="157"/>
      <c r="BU236" s="157"/>
      <c r="BV236" s="157"/>
      <c r="BW236" s="157"/>
      <c r="BX236" s="157"/>
      <c r="BY236" s="157"/>
      <c r="BZ236" s="157"/>
      <c r="CA236" s="157"/>
      <c r="CB236" s="157"/>
      <c r="CC236" s="157"/>
      <c r="CD236" s="157"/>
      <c r="CE236" s="157"/>
      <c r="CF236" s="157"/>
      <c r="CG236" s="157"/>
      <c r="CH236" s="2719"/>
      <c r="CI236" s="2720"/>
      <c r="CJ236" s="2720"/>
      <c r="CK236" s="2720"/>
      <c r="CL236" s="2720"/>
      <c r="CM236" s="2719"/>
      <c r="CN236" s="2728">
        <f>+IF(CN208&lt;0,IF(CL208&gt;0,"N/A",(-1)*(CN208/CL208-1)),IF(CL208&lt;0,"N/A",(CN208/CL208-1)))</f>
        <v>-6.3426688632619466E-2</v>
      </c>
      <c r="CO236" s="2728">
        <f t="shared" si="552"/>
        <v>4.5734388742304288E-2</v>
      </c>
      <c r="CP236" s="2728">
        <f t="shared" si="552"/>
        <v>9.25147182506314E-3</v>
      </c>
      <c r="CQ236" s="2720">
        <f t="shared" si="552"/>
        <v>9.4166666666666732E-2</v>
      </c>
      <c r="CR236" s="2719"/>
      <c r="CS236" s="2720">
        <f>+IF(CS208&lt;0,IF(CQ208&gt;0,"N/A",(-1)*(CS208/CQ208-1)),IF(CQ208&lt;0,"N/A",(CS208/CQ208-1)))</f>
        <v>3.0464584920031346E-3</v>
      </c>
      <c r="CT236" s="2720">
        <f t="shared" si="553"/>
        <v>6.9855732725892183E-2</v>
      </c>
      <c r="CU236" s="2720">
        <f t="shared" si="553"/>
        <v>5.6068133427963129E-2</v>
      </c>
      <c r="CV236" s="2720">
        <f t="shared" si="553"/>
        <v>6.5860215053763493E-2</v>
      </c>
      <c r="CW236" s="2719"/>
      <c r="CX236" s="2728">
        <f>+IF(CX208&lt;0,IF(CV208&gt;0,"N/A",(-1)*(CX208/CV208-1)),IF(CV208&lt;0,"N/A",(CX208/CV208-1)))</f>
        <v>-0.10718789407314</v>
      </c>
      <c r="CY236" s="2728">
        <f t="shared" si="554"/>
        <v>0.10451977401129953</v>
      </c>
      <c r="CZ236" s="2728">
        <f t="shared" si="554"/>
        <v>8.2480818414322199E-2</v>
      </c>
      <c r="DA236" s="2728">
        <f t="shared" si="554"/>
        <v>0.14294152392203197</v>
      </c>
      <c r="DB236" s="2732"/>
      <c r="DC236" s="2728">
        <f>+IF(DC208&lt;0,IF(DA208&gt;0,"N/A",(-1)*(DC208/DA208-1)),IF(DA208&lt;0,"N/A",(DC208/DA208-1)))</f>
        <v>-1.7571059431524594E-2</v>
      </c>
      <c r="DD236" s="2728">
        <f t="shared" si="555"/>
        <v>6.8385060494476679E-2</v>
      </c>
      <c r="DE236" s="2728">
        <f t="shared" si="555"/>
        <v>0.12112259970457906</v>
      </c>
      <c r="DF236" s="2728">
        <f t="shared" si="555"/>
        <v>9.7496706192358396E-2</v>
      </c>
      <c r="DG236" s="2732"/>
      <c r="DH236" s="2728">
        <f>+IF(DH208&lt;0,IF(DF208&gt;0,"N/A",(-1)*(DH208/DF208-1)),IF(DF208&lt;0,"N/A",(DH208/DF208-1)))</f>
        <v>1.200480192076836E-2</v>
      </c>
      <c r="DI236" s="2728">
        <f t="shared" si="556"/>
        <v>8.9758797943851221E-2</v>
      </c>
      <c r="DJ236" s="2728">
        <f t="shared" si="556"/>
        <v>2.9390420899854774E-2</v>
      </c>
      <c r="DK236" s="2728">
        <f t="shared" si="556"/>
        <v>7.014451885794859E-2</v>
      </c>
      <c r="DL236" s="2732"/>
      <c r="DM236" s="2728">
        <f>+IF(DM208&lt;0,IF(DK208&gt;0,"N/A",(-1)*(DM208/DK208-1)),IF(DK208&lt;0,"N/A",(DM208/DK208-1)))</f>
        <v>-7.575757575757569E-3</v>
      </c>
      <c r="DN236" s="2728">
        <f t="shared" si="557"/>
        <v>9.2598738798539637E-2</v>
      </c>
      <c r="DO236" s="2728">
        <f t="shared" si="557"/>
        <v>2.7642770352369395E-2</v>
      </c>
      <c r="DP236" s="2728">
        <f t="shared" si="557"/>
        <v>7.2733077150458181E-2</v>
      </c>
      <c r="DQ236" s="2732"/>
      <c r="DR236" s="2728"/>
      <c r="DS236" s="2728"/>
      <c r="DT236" s="2728"/>
      <c r="DU236" s="2728"/>
      <c r="DV236" s="2732"/>
      <c r="DW236" s="2728"/>
      <c r="DX236" s="2728"/>
      <c r="DY236" s="2728"/>
      <c r="DZ236" s="2728"/>
      <c r="EA236" s="2732"/>
      <c r="EB236" s="2728"/>
      <c r="EC236" s="2728"/>
      <c r="ED236" s="2728"/>
      <c r="EE236" s="2728"/>
      <c r="EF236" s="2732"/>
      <c r="EG236" s="2728"/>
      <c r="EH236" s="2728"/>
      <c r="EI236" s="2728"/>
      <c r="EJ236" s="2728"/>
      <c r="EK236" s="2732"/>
      <c r="EL236" s="2728"/>
      <c r="EM236" s="2728"/>
      <c r="EN236" s="2728"/>
      <c r="EO236" s="2728"/>
      <c r="EP236" s="2732"/>
      <c r="EQ236" s="2728"/>
      <c r="ER236" s="2728"/>
      <c r="ES236" s="2728"/>
      <c r="ET236" s="2728"/>
      <c r="EU236" s="2732"/>
      <c r="EV236" s="2732"/>
      <c r="EW236" s="2732"/>
      <c r="EX236" s="2732"/>
      <c r="EY236" s="2732"/>
      <c r="EZ236" s="768"/>
      <c r="FA236" s="1319"/>
      <c r="FB236" s="1319"/>
    </row>
    <row r="237" spans="1:158" s="627" customFormat="1" hidden="1">
      <c r="A237" s="3560"/>
      <c r="B237" s="157"/>
      <c r="C237" s="157"/>
      <c r="D237" s="157"/>
      <c r="E237" s="157"/>
      <c r="F237" s="157"/>
      <c r="G237" s="157"/>
      <c r="H237" s="157"/>
      <c r="I237" s="157"/>
      <c r="J237" s="157"/>
      <c r="K237" s="157"/>
      <c r="L237" s="157"/>
      <c r="M237" s="157"/>
      <c r="N237" s="157"/>
      <c r="O237" s="157"/>
      <c r="P237" s="157"/>
      <c r="Q237" s="157"/>
      <c r="R237" s="157"/>
      <c r="S237" s="157"/>
      <c r="T237" s="157"/>
      <c r="U237" s="157"/>
      <c r="V237" s="157"/>
      <c r="W237" s="157"/>
      <c r="X237" s="157"/>
      <c r="Y237" s="157"/>
      <c r="Z237" s="157"/>
      <c r="AA237" s="157"/>
      <c r="AB237" s="157"/>
      <c r="AC237" s="157"/>
      <c r="AD237" s="157"/>
      <c r="AE237" s="157"/>
      <c r="AF237" s="157"/>
      <c r="AG237" s="157"/>
      <c r="AH237" s="157"/>
      <c r="AI237" s="157"/>
      <c r="AJ237" s="157"/>
      <c r="AK237" s="157"/>
      <c r="AL237" s="157"/>
      <c r="AM237" s="157"/>
      <c r="AN237" s="157"/>
      <c r="AO237" s="157"/>
      <c r="AP237" s="157"/>
      <c r="AQ237" s="157"/>
      <c r="AR237" s="157"/>
      <c r="AS237" s="157"/>
      <c r="AT237" s="157"/>
      <c r="AU237" s="157"/>
      <c r="AV237" s="157"/>
      <c r="AW237" s="157"/>
      <c r="AX237" s="157"/>
      <c r="AY237" s="157"/>
      <c r="AZ237" s="157"/>
      <c r="BA237" s="157"/>
      <c r="BB237" s="157"/>
      <c r="BC237" s="157"/>
      <c r="BD237" s="157"/>
      <c r="BE237" s="157"/>
      <c r="BF237" s="157"/>
      <c r="BG237" s="157"/>
      <c r="BH237" s="157"/>
      <c r="BI237" s="157"/>
      <c r="BJ237" s="157"/>
      <c r="BK237" s="157"/>
      <c r="BL237" s="157"/>
      <c r="BM237" s="157"/>
      <c r="BN237" s="157"/>
      <c r="BO237" s="157"/>
      <c r="BP237" s="157"/>
      <c r="BQ237" s="157"/>
      <c r="BR237" s="157"/>
      <c r="BS237" s="157"/>
      <c r="BT237" s="157"/>
      <c r="BU237" s="157"/>
      <c r="BV237" s="157"/>
      <c r="BW237" s="157"/>
      <c r="BX237" s="157"/>
      <c r="BY237" s="157"/>
      <c r="BZ237" s="157"/>
      <c r="CA237" s="157"/>
      <c r="CB237" s="157"/>
      <c r="CC237" s="157"/>
      <c r="CD237" s="157"/>
      <c r="CE237" s="157"/>
      <c r="CF237" s="157"/>
      <c r="CG237" s="157"/>
      <c r="CH237" s="2719"/>
      <c r="CI237" s="2720"/>
      <c r="CJ237" s="2720"/>
      <c r="CK237" s="2720"/>
      <c r="CL237" s="2720"/>
      <c r="CM237" s="2719"/>
      <c r="CN237" s="2720"/>
      <c r="CO237" s="2720"/>
      <c r="CP237" s="2720"/>
      <c r="CQ237" s="2720"/>
      <c r="CR237" s="2719"/>
      <c r="CS237" s="2720"/>
      <c r="CT237" s="2720"/>
      <c r="CU237" s="2720"/>
      <c r="CV237" s="2720"/>
      <c r="CW237" s="2719"/>
      <c r="CX237" s="2720"/>
      <c r="CY237" s="2720"/>
      <c r="CZ237" s="2720"/>
      <c r="DA237" s="2720"/>
      <c r="DB237" s="2719"/>
      <c r="DC237" s="2720"/>
      <c r="DD237" s="2720"/>
      <c r="DE237" s="2720"/>
      <c r="DF237" s="2720"/>
      <c r="DG237" s="2719"/>
      <c r="DH237" s="2720"/>
      <c r="DI237" s="2720"/>
      <c r="DJ237" s="2720"/>
      <c r="DK237" s="2720"/>
      <c r="DL237" s="2719"/>
      <c r="DM237" s="2720"/>
      <c r="DN237" s="2720"/>
      <c r="DO237" s="2720"/>
      <c r="DP237" s="2720"/>
      <c r="DQ237" s="2719"/>
      <c r="DR237" s="2720"/>
      <c r="DS237" s="2720"/>
      <c r="DT237" s="2720"/>
      <c r="DU237" s="2720"/>
      <c r="DV237" s="2719"/>
      <c r="DW237" s="2720"/>
      <c r="DX237" s="2720"/>
      <c r="DY237" s="2720"/>
      <c r="DZ237" s="2720"/>
      <c r="EA237" s="2719"/>
      <c r="EB237" s="2720"/>
      <c r="EC237" s="2720"/>
      <c r="ED237" s="2720"/>
      <c r="EE237" s="2720"/>
      <c r="EF237" s="2719"/>
      <c r="EG237" s="2720"/>
      <c r="EH237" s="2720"/>
      <c r="EI237" s="2720"/>
      <c r="EJ237" s="2720"/>
      <c r="EK237" s="2719"/>
      <c r="EL237" s="2720"/>
      <c r="EM237" s="2720"/>
      <c r="EN237" s="2720"/>
      <c r="EO237" s="2720"/>
      <c r="EP237" s="2719"/>
      <c r="EQ237" s="2720"/>
      <c r="ER237" s="2720"/>
      <c r="ES237" s="2720"/>
      <c r="ET237" s="2720"/>
      <c r="EU237" s="2719"/>
      <c r="EV237" s="2719"/>
      <c r="EW237" s="2719"/>
      <c r="EX237" s="2719"/>
      <c r="EY237" s="2719"/>
      <c r="EZ237" s="768"/>
      <c r="FA237" s="1319"/>
      <c r="FB237" s="1319"/>
    </row>
    <row r="238" spans="1:158" s="766" customFormat="1" hidden="1">
      <c r="A238" s="4867" t="s">
        <v>842</v>
      </c>
      <c r="B238" s="2743"/>
      <c r="C238" s="2743"/>
      <c r="D238" s="2743"/>
      <c r="E238" s="2743"/>
      <c r="F238" s="2743"/>
      <c r="G238" s="2743"/>
      <c r="H238" s="2743"/>
      <c r="I238" s="2743"/>
      <c r="J238" s="2743"/>
      <c r="K238" s="2743"/>
      <c r="L238" s="2743"/>
      <c r="M238" s="2743"/>
      <c r="N238" s="2743"/>
      <c r="O238" s="2743"/>
      <c r="P238" s="2743"/>
      <c r="Q238" s="2743"/>
      <c r="R238" s="2743"/>
      <c r="S238" s="2743"/>
      <c r="T238" s="2743"/>
      <c r="U238" s="2743"/>
      <c r="V238" s="2743"/>
      <c r="W238" s="2743"/>
      <c r="X238" s="2743"/>
      <c r="Y238" s="2743"/>
      <c r="Z238" s="2743"/>
      <c r="AA238" s="2743"/>
      <c r="AB238" s="2743"/>
      <c r="AC238" s="2743"/>
      <c r="AD238" s="2743"/>
      <c r="AE238" s="2743"/>
      <c r="AF238" s="2743"/>
      <c r="AG238" s="2743"/>
      <c r="AH238" s="2743"/>
      <c r="AI238" s="2743"/>
      <c r="AJ238" s="2743"/>
      <c r="AK238" s="2743"/>
      <c r="AL238" s="2743"/>
      <c r="AM238" s="2743"/>
      <c r="AN238" s="2743"/>
      <c r="AO238" s="2743"/>
      <c r="AP238" s="2743"/>
      <c r="AQ238" s="2743"/>
      <c r="AR238" s="2743"/>
      <c r="AS238" s="2743"/>
      <c r="AT238" s="2743"/>
      <c r="AU238" s="2743"/>
      <c r="AV238" s="2743"/>
      <c r="AW238" s="2743"/>
      <c r="AX238" s="2743"/>
      <c r="AY238" s="2743"/>
      <c r="AZ238" s="2743"/>
      <c r="BA238" s="2743"/>
      <c r="BB238" s="2743"/>
      <c r="BC238" s="2743"/>
      <c r="BD238" s="2743"/>
      <c r="BE238" s="2743"/>
      <c r="BF238" s="2743"/>
      <c r="BG238" s="2743"/>
      <c r="BH238" s="2743"/>
      <c r="BI238" s="2743"/>
      <c r="BJ238" s="2743"/>
      <c r="BK238" s="2743"/>
      <c r="BL238" s="2743"/>
      <c r="BM238" s="2743"/>
      <c r="BN238" s="2743"/>
      <c r="BO238" s="2743"/>
      <c r="BP238" s="2743"/>
      <c r="BQ238" s="2743"/>
      <c r="BR238" s="2743"/>
      <c r="BS238" s="2743"/>
      <c r="BT238" s="2743"/>
      <c r="BU238" s="2743"/>
      <c r="BV238" s="2743"/>
      <c r="BW238" s="2743"/>
      <c r="BX238" s="2743"/>
      <c r="BY238" s="2743"/>
      <c r="BZ238" s="2743"/>
      <c r="CA238" s="2743"/>
      <c r="CB238" s="2743"/>
      <c r="CC238" s="2743"/>
      <c r="CD238" s="2743"/>
      <c r="CE238" s="2743"/>
      <c r="CF238" s="2743"/>
      <c r="CG238" s="2743"/>
      <c r="CH238" s="2744"/>
      <c r="CI238" s="4871"/>
      <c r="CJ238" s="4871"/>
      <c r="CK238" s="4871"/>
      <c r="CL238" s="4871"/>
      <c r="CM238" s="2744"/>
      <c r="CN238" s="4871"/>
      <c r="CO238" s="4871"/>
      <c r="CP238" s="4871"/>
      <c r="CQ238" s="4871"/>
      <c r="CR238" s="2744"/>
      <c r="CS238" s="4871"/>
      <c r="CT238" s="4871"/>
      <c r="CU238" s="4871"/>
      <c r="CV238" s="4871"/>
      <c r="CW238" s="2744"/>
      <c r="CX238" s="4871"/>
      <c r="CY238" s="4871"/>
      <c r="CZ238" s="4871"/>
      <c r="DA238" s="4871"/>
      <c r="DB238" s="2744"/>
      <c r="DC238" s="4871"/>
      <c r="DD238" s="4871"/>
      <c r="DE238" s="4871"/>
      <c r="DF238" s="4871"/>
      <c r="DG238" s="2744"/>
      <c r="DH238" s="4871"/>
      <c r="DI238" s="4871"/>
      <c r="DJ238" s="4871"/>
      <c r="DK238" s="4871"/>
      <c r="DL238" s="2744"/>
      <c r="DM238" s="4871"/>
      <c r="DN238" s="4871"/>
      <c r="DO238" s="4871"/>
      <c r="DP238" s="4871"/>
      <c r="DQ238" s="2744"/>
      <c r="DR238" s="4871"/>
      <c r="DS238" s="4871"/>
      <c r="DT238" s="4871"/>
      <c r="DU238" s="4871"/>
      <c r="DV238" s="2744"/>
      <c r="DW238" s="4871"/>
      <c r="DX238" s="4871"/>
      <c r="DY238" s="4871"/>
      <c r="DZ238" s="4871"/>
      <c r="EA238" s="2744"/>
      <c r="EB238" s="4871"/>
      <c r="EC238" s="4871"/>
      <c r="ED238" s="4871"/>
      <c r="EE238" s="4871"/>
      <c r="EF238" s="2744"/>
      <c r="EG238" s="4871"/>
      <c r="EH238" s="4871"/>
      <c r="EI238" s="4871"/>
      <c r="EJ238" s="4871"/>
      <c r="EK238" s="2744"/>
      <c r="EL238" s="4871"/>
      <c r="EM238" s="4871"/>
      <c r="EN238" s="4871"/>
      <c r="EO238" s="4871"/>
      <c r="EP238" s="2744"/>
      <c r="EQ238" s="4871"/>
      <c r="ER238" s="4871"/>
      <c r="ES238" s="4871"/>
      <c r="ET238" s="4871"/>
      <c r="EU238" s="2744"/>
      <c r="EV238" s="2744"/>
      <c r="EW238" s="2744"/>
      <c r="EX238" s="2744"/>
      <c r="EY238" s="2744"/>
      <c r="EZ238" s="767"/>
      <c r="FA238" s="4276"/>
      <c r="FB238" s="4276"/>
    </row>
    <row r="239" spans="1:158" s="768" customFormat="1" hidden="1">
      <c r="A239" s="4546" t="s">
        <v>885</v>
      </c>
      <c r="B239" s="4547"/>
      <c r="C239" s="4547"/>
      <c r="D239" s="4547"/>
      <c r="E239" s="4547"/>
      <c r="F239" s="4547"/>
      <c r="G239" s="4547"/>
      <c r="H239" s="4547"/>
      <c r="I239" s="4547"/>
      <c r="J239" s="4547"/>
      <c r="K239" s="4547"/>
      <c r="L239" s="4547"/>
      <c r="M239" s="4547"/>
      <c r="N239" s="4547"/>
      <c r="O239" s="4547"/>
      <c r="P239" s="4547"/>
      <c r="Q239" s="4547"/>
      <c r="R239" s="4547"/>
      <c r="S239" s="4547"/>
      <c r="T239" s="4547"/>
      <c r="U239" s="4547"/>
      <c r="V239" s="4547"/>
      <c r="W239" s="4547"/>
      <c r="X239" s="4547"/>
      <c r="Y239" s="4547"/>
      <c r="Z239" s="4547"/>
      <c r="AA239" s="4547"/>
      <c r="AB239" s="4547"/>
      <c r="AC239" s="4547"/>
      <c r="AD239" s="4547"/>
      <c r="AE239" s="4547"/>
      <c r="AF239" s="4547"/>
      <c r="AG239" s="4547"/>
      <c r="AH239" s="4547"/>
      <c r="AI239" s="4547"/>
      <c r="AJ239" s="4547"/>
      <c r="AK239" s="4547"/>
      <c r="AL239" s="4547"/>
      <c r="AM239" s="4547"/>
      <c r="AN239" s="4547"/>
      <c r="AO239" s="4547"/>
      <c r="AP239" s="4547"/>
      <c r="AQ239" s="4547"/>
      <c r="AR239" s="4547"/>
      <c r="AS239" s="4547"/>
      <c r="AT239" s="4547"/>
      <c r="AU239" s="4547"/>
      <c r="AV239" s="4547"/>
      <c r="AW239" s="4547"/>
      <c r="AX239" s="4547"/>
      <c r="AY239" s="4547"/>
      <c r="AZ239" s="4547"/>
      <c r="BA239" s="4547"/>
      <c r="BB239" s="4547"/>
      <c r="BC239" s="4547"/>
      <c r="BD239" s="4547"/>
      <c r="BE239" s="4547"/>
      <c r="BF239" s="4547"/>
      <c r="BG239" s="4547"/>
      <c r="BH239" s="4547"/>
      <c r="BI239" s="4547"/>
      <c r="BJ239" s="4547"/>
      <c r="BK239" s="4547"/>
      <c r="BL239" s="4547"/>
      <c r="BM239" s="4547"/>
      <c r="BN239" s="4547"/>
      <c r="BO239" s="4547"/>
      <c r="BP239" s="4547"/>
      <c r="BQ239" s="4547"/>
      <c r="BR239" s="4547"/>
      <c r="BS239" s="4547"/>
      <c r="BT239" s="4547"/>
      <c r="BU239" s="4547"/>
      <c r="BV239" s="4547"/>
      <c r="BW239" s="4547"/>
      <c r="BX239" s="4547"/>
      <c r="BY239" s="4547"/>
      <c r="BZ239" s="4547"/>
      <c r="CA239" s="4547"/>
      <c r="CB239" s="4547"/>
      <c r="CC239" s="4547"/>
      <c r="CD239" s="4547"/>
      <c r="CE239" s="4547"/>
      <c r="CF239" s="4547"/>
      <c r="CG239" s="4547"/>
      <c r="CH239" s="4548"/>
      <c r="CI239" s="4549"/>
      <c r="CJ239" s="4549"/>
      <c r="CK239" s="4549"/>
      <c r="CL239" s="4549"/>
      <c r="CM239" s="4548"/>
      <c r="CN239" s="4550"/>
      <c r="CO239" s="4550"/>
      <c r="CP239" s="4550"/>
      <c r="CQ239" s="4549"/>
      <c r="CR239" s="4551">
        <f>+CR194/CR193</f>
        <v>0.19240985189954926</v>
      </c>
      <c r="CS239" s="4552">
        <f t="shared" ref="CS239:DQ239" si="558">+CS194/CS193</f>
        <v>0.18853274935297631</v>
      </c>
      <c r="CT239" s="4552">
        <f t="shared" si="558"/>
        <v>0.18648838845883181</v>
      </c>
      <c r="CU239" s="4552">
        <f t="shared" si="558"/>
        <v>0.1879212725802103</v>
      </c>
      <c r="CV239" s="4552">
        <f t="shared" si="558"/>
        <v>0.18789241144097357</v>
      </c>
      <c r="CW239" s="4551">
        <f t="shared" si="558"/>
        <v>0.18770888523747248</v>
      </c>
      <c r="CX239" s="4552">
        <f t="shared" si="558"/>
        <v>0.1880331464781867</v>
      </c>
      <c r="CY239" s="4552">
        <f t="shared" si="558"/>
        <v>0.19646509474009186</v>
      </c>
      <c r="CZ239" s="4552">
        <f t="shared" si="558"/>
        <v>0.19895136503344785</v>
      </c>
      <c r="DA239" s="4552">
        <f t="shared" si="558"/>
        <v>0.20036033797216699</v>
      </c>
      <c r="DB239" s="4551">
        <f t="shared" si="558"/>
        <v>0.19604331189448831</v>
      </c>
      <c r="DC239" s="4552">
        <f t="shared" si="558"/>
        <v>0.20286488579171505</v>
      </c>
      <c r="DD239" s="4552">
        <f t="shared" si="558"/>
        <v>0.19746555118110237</v>
      </c>
      <c r="DE239" s="4552">
        <f t="shared" si="558"/>
        <v>0.19592784425790319</v>
      </c>
      <c r="DF239" s="4552">
        <f t="shared" si="558"/>
        <v>0.19067644494589467</v>
      </c>
      <c r="DG239" s="4551">
        <f t="shared" si="558"/>
        <v>0.19599301858288967</v>
      </c>
      <c r="DH239" s="4552">
        <f t="shared" si="558"/>
        <v>0.19038632326820604</v>
      </c>
      <c r="DI239" s="4552">
        <f t="shared" si="558"/>
        <v>0.18715416041785179</v>
      </c>
      <c r="DJ239" s="4552">
        <f t="shared" si="558"/>
        <v>0.18620261031696705</v>
      </c>
      <c r="DK239" s="4552">
        <f t="shared" si="558"/>
        <v>0.18556273465467563</v>
      </c>
      <c r="DL239" s="4551">
        <f t="shared" si="558"/>
        <v>0.18718700036704553</v>
      </c>
      <c r="DM239" s="4552">
        <f t="shared" si="558"/>
        <v>0.18186699206833434</v>
      </c>
      <c r="DN239" s="4552">
        <f t="shared" si="558"/>
        <v>0.17616716669298385</v>
      </c>
      <c r="DO239" s="4552">
        <f>+DO194/DO193</f>
        <v>0.17745615750700827</v>
      </c>
      <c r="DP239" s="4552">
        <f t="shared" si="558"/>
        <v>0.18457251693002258</v>
      </c>
      <c r="DQ239" s="4551">
        <f t="shared" si="558"/>
        <v>0.18040221471264875</v>
      </c>
      <c r="DR239" s="4552"/>
      <c r="DS239" s="4552"/>
      <c r="DT239" s="4552"/>
      <c r="DU239" s="4552"/>
      <c r="DV239" s="4551"/>
      <c r="DW239" s="4552"/>
      <c r="DX239" s="4552"/>
      <c r="DY239" s="4552"/>
      <c r="DZ239" s="4552"/>
      <c r="EA239" s="4551"/>
      <c r="EB239" s="4552"/>
      <c r="EC239" s="4552"/>
      <c r="ED239" s="4552"/>
      <c r="EE239" s="4552"/>
      <c r="EF239" s="4551"/>
      <c r="EG239" s="4552"/>
      <c r="EH239" s="4552"/>
      <c r="EI239" s="4552"/>
      <c r="EJ239" s="4552"/>
      <c r="EK239" s="4551"/>
      <c r="EL239" s="4552"/>
      <c r="EM239" s="4552"/>
      <c r="EN239" s="4552"/>
      <c r="EO239" s="4552"/>
      <c r="EP239" s="4551"/>
      <c r="EQ239" s="4552"/>
      <c r="ER239" s="4552"/>
      <c r="ES239" s="4552"/>
      <c r="ET239" s="4552"/>
      <c r="EU239" s="4551"/>
      <c r="EV239" s="4551"/>
      <c r="EW239" s="4551"/>
      <c r="EX239" s="4551"/>
      <c r="EY239" s="4551"/>
      <c r="FA239" s="4275"/>
      <c r="FB239" s="4275"/>
    </row>
    <row r="240" spans="1:158" s="762" customFormat="1" hidden="1">
      <c r="A240" s="1786" t="str">
        <f>A195</f>
        <v>Google Net Revenue</v>
      </c>
      <c r="B240" s="2703"/>
      <c r="C240" s="2703"/>
      <c r="D240" s="2703"/>
      <c r="E240" s="2703"/>
      <c r="F240" s="2703"/>
      <c r="G240" s="2703"/>
      <c r="H240" s="2703"/>
      <c r="I240" s="2703"/>
      <c r="J240" s="2703"/>
      <c r="K240" s="2703"/>
      <c r="L240" s="2703"/>
      <c r="M240" s="2703"/>
      <c r="N240" s="2703"/>
      <c r="O240" s="2703"/>
      <c r="P240" s="2703"/>
      <c r="Q240" s="2703"/>
      <c r="R240" s="2703"/>
      <c r="S240" s="2703"/>
      <c r="T240" s="2703"/>
      <c r="U240" s="2703"/>
      <c r="V240" s="2703"/>
      <c r="W240" s="2703"/>
      <c r="X240" s="2703"/>
      <c r="Y240" s="2703"/>
      <c r="Z240" s="2703"/>
      <c r="AA240" s="2703"/>
      <c r="AB240" s="2703"/>
      <c r="AC240" s="2703"/>
      <c r="AD240" s="2703"/>
      <c r="AE240" s="2703"/>
      <c r="AF240" s="2703"/>
      <c r="AG240" s="2703"/>
      <c r="AH240" s="2703"/>
      <c r="AI240" s="2703"/>
      <c r="AJ240" s="2703"/>
      <c r="AK240" s="2703"/>
      <c r="AL240" s="2703"/>
      <c r="AM240" s="2703"/>
      <c r="AN240" s="2703"/>
      <c r="AO240" s="2703"/>
      <c r="AP240" s="2703"/>
      <c r="AQ240" s="2703"/>
      <c r="AR240" s="2703"/>
      <c r="AS240" s="2703"/>
      <c r="AT240" s="2703"/>
      <c r="AU240" s="2703"/>
      <c r="AV240" s="2703"/>
      <c r="AW240" s="2703"/>
      <c r="AX240" s="2703"/>
      <c r="AY240" s="2703"/>
      <c r="AZ240" s="2703"/>
      <c r="BA240" s="2703"/>
      <c r="BB240" s="2703"/>
      <c r="BC240" s="2703"/>
      <c r="BD240" s="2703"/>
      <c r="BE240" s="2703"/>
      <c r="BF240" s="2703"/>
      <c r="BG240" s="2703"/>
      <c r="BH240" s="2703"/>
      <c r="BI240" s="2703"/>
      <c r="BJ240" s="2703"/>
      <c r="BK240" s="2703"/>
      <c r="BL240" s="2703"/>
      <c r="BM240" s="2703"/>
      <c r="BN240" s="2703"/>
      <c r="BO240" s="2703"/>
      <c r="BP240" s="2703"/>
      <c r="BQ240" s="2703"/>
      <c r="BR240" s="2703"/>
      <c r="BS240" s="2703"/>
      <c r="BT240" s="2703"/>
      <c r="BU240" s="2703"/>
      <c r="BV240" s="2703"/>
      <c r="BW240" s="2703"/>
      <c r="BX240" s="2703"/>
      <c r="BY240" s="2703"/>
      <c r="BZ240" s="2703"/>
      <c r="CA240" s="2703"/>
      <c r="CB240" s="2703"/>
      <c r="CC240" s="2703"/>
      <c r="CD240" s="2703"/>
      <c r="CE240" s="2703"/>
      <c r="CF240" s="2703"/>
      <c r="CG240" s="2703"/>
      <c r="CH240" s="2721">
        <f>+CH195/CH$193</f>
        <v>0.77918100419766878</v>
      </c>
      <c r="CI240" s="2727" t="str">
        <f t="shared" ref="CI240:CK242" si="559">+IFERROR(CI195/CI$193,"N/A")</f>
        <v>N/A</v>
      </c>
      <c r="CJ240" s="2727" t="str">
        <f t="shared" si="559"/>
        <v>N/A</v>
      </c>
      <c r="CK240" s="2727" t="str">
        <f t="shared" si="559"/>
        <v>N/A</v>
      </c>
      <c r="CL240" s="2722">
        <f t="shared" ref="CL240:DQ240" si="560">+CL195/CL$193</f>
        <v>0.79885536478301944</v>
      </c>
      <c r="CM240" s="2721">
        <f t="shared" si="560"/>
        <v>0.79454578676492982</v>
      </c>
      <c r="CN240" s="2727">
        <f t="shared" si="560"/>
        <v>0.80527418791477468</v>
      </c>
      <c r="CO240" s="2727">
        <f t="shared" si="560"/>
        <v>0.80870107063955132</v>
      </c>
      <c r="CP240" s="2727">
        <f t="shared" si="560"/>
        <v>0.80759684903420736</v>
      </c>
      <c r="CQ240" s="2722">
        <f t="shared" si="560"/>
        <v>0.80853675810944803</v>
      </c>
      <c r="CR240" s="2721">
        <f t="shared" si="560"/>
        <v>0.80759014810045071</v>
      </c>
      <c r="CS240" s="2722">
        <f t="shared" si="560"/>
        <v>0.81146725064702374</v>
      </c>
      <c r="CT240" s="2722">
        <f t="shared" si="560"/>
        <v>0.81351161154116824</v>
      </c>
      <c r="CU240" s="2722">
        <f t="shared" si="560"/>
        <v>0.8120787274197897</v>
      </c>
      <c r="CV240" s="2722">
        <f t="shared" si="560"/>
        <v>0.81210758855902643</v>
      </c>
      <c r="CW240" s="2721">
        <f t="shared" si="560"/>
        <v>0.81229111476252758</v>
      </c>
      <c r="CX240" s="2722">
        <f t="shared" si="560"/>
        <v>0.8119668535218133</v>
      </c>
      <c r="CY240" s="2722">
        <f t="shared" si="560"/>
        <v>0.80353490525990812</v>
      </c>
      <c r="CZ240" s="2722">
        <f t="shared" si="560"/>
        <v>0.80104863496655221</v>
      </c>
      <c r="DA240" s="2722">
        <f t="shared" si="560"/>
        <v>0.79963966202783299</v>
      </c>
      <c r="DB240" s="2721">
        <f t="shared" si="560"/>
        <v>0.80395668810551169</v>
      </c>
      <c r="DC240" s="2722">
        <f t="shared" si="560"/>
        <v>0.79713511420828498</v>
      </c>
      <c r="DD240" s="2722">
        <f t="shared" si="560"/>
        <v>0.80253444881889768</v>
      </c>
      <c r="DE240" s="2722">
        <f t="shared" si="560"/>
        <v>0.80407215574209678</v>
      </c>
      <c r="DF240" s="2722">
        <f t="shared" si="560"/>
        <v>0.80932355505410536</v>
      </c>
      <c r="DG240" s="2721">
        <f t="shared" si="560"/>
        <v>0.80400698141711036</v>
      </c>
      <c r="DH240" s="2722">
        <f t="shared" si="560"/>
        <v>0.80961367673179396</v>
      </c>
      <c r="DI240" s="2722">
        <f t="shared" si="560"/>
        <v>0.81284583958214818</v>
      </c>
      <c r="DJ240" s="2722">
        <f t="shared" si="560"/>
        <v>0.81379738968303295</v>
      </c>
      <c r="DK240" s="2722">
        <f t="shared" si="560"/>
        <v>0.81443726534532435</v>
      </c>
      <c r="DL240" s="2721">
        <f t="shared" si="560"/>
        <v>0.8128129996329545</v>
      </c>
      <c r="DM240" s="2722">
        <f t="shared" si="560"/>
        <v>0.81813300793166566</v>
      </c>
      <c r="DN240" s="2722">
        <f t="shared" si="560"/>
        <v>0.82383283330701618</v>
      </c>
      <c r="DO240" s="2722">
        <f>+DO195/DO$193</f>
        <v>0.82254384249299173</v>
      </c>
      <c r="DP240" s="2722">
        <f t="shared" si="560"/>
        <v>0.81542748306997748</v>
      </c>
      <c r="DQ240" s="2721">
        <f t="shared" si="560"/>
        <v>0.81959778528735128</v>
      </c>
      <c r="DR240" s="2722"/>
      <c r="DS240" s="2722"/>
      <c r="DT240" s="2722"/>
      <c r="DU240" s="2722"/>
      <c r="DV240" s="2721"/>
      <c r="DW240" s="2722"/>
      <c r="DX240" s="2722"/>
      <c r="DY240" s="2722"/>
      <c r="DZ240" s="2722"/>
      <c r="EA240" s="2721"/>
      <c r="EB240" s="2722"/>
      <c r="EC240" s="2722"/>
      <c r="ED240" s="2722"/>
      <c r="EE240" s="2722"/>
      <c r="EF240" s="2721"/>
      <c r="EG240" s="2722"/>
      <c r="EH240" s="2722"/>
      <c r="EI240" s="2722"/>
      <c r="EJ240" s="2722"/>
      <c r="EK240" s="2721"/>
      <c r="EL240" s="2722"/>
      <c r="EM240" s="2722"/>
      <c r="EN240" s="2722"/>
      <c r="EO240" s="2722"/>
      <c r="EP240" s="2721"/>
      <c r="EQ240" s="2722"/>
      <c r="ER240" s="2722"/>
      <c r="ES240" s="2722"/>
      <c r="ET240" s="2722"/>
      <c r="EU240" s="2721"/>
      <c r="EV240" s="2721"/>
      <c r="EW240" s="2721"/>
      <c r="EX240" s="2721"/>
      <c r="EY240" s="2721"/>
      <c r="EZ240" s="1645"/>
      <c r="FA240" s="4275"/>
      <c r="FB240" s="4275"/>
    </row>
    <row r="241" spans="1:159" s="627" customFormat="1" hidden="1">
      <c r="A241" s="3560" t="str">
        <f>A196</f>
        <v>Google Opex ex-SBC</v>
      </c>
      <c r="B241" s="157"/>
      <c r="C241" s="157"/>
      <c r="D241" s="157"/>
      <c r="E241" s="157"/>
      <c r="F241" s="157"/>
      <c r="G241" s="157"/>
      <c r="H241" s="157"/>
      <c r="I241" s="157"/>
      <c r="J241" s="157"/>
      <c r="K241" s="157"/>
      <c r="L241" s="157"/>
      <c r="M241" s="157"/>
      <c r="N241" s="157"/>
      <c r="O241" s="157"/>
      <c r="P241" s="157"/>
      <c r="Q241" s="157"/>
      <c r="R241" s="157"/>
      <c r="S241" s="157"/>
      <c r="T241" s="157"/>
      <c r="U241" s="157"/>
      <c r="V241" s="157"/>
      <c r="W241" s="157"/>
      <c r="X241" s="157"/>
      <c r="Y241" s="157"/>
      <c r="Z241" s="157"/>
      <c r="AA241" s="157"/>
      <c r="AB241" s="157"/>
      <c r="AC241" s="157"/>
      <c r="AD241" s="157"/>
      <c r="AE241" s="157"/>
      <c r="AF241" s="157"/>
      <c r="AG241" s="157"/>
      <c r="AH241" s="157"/>
      <c r="AI241" s="157"/>
      <c r="AJ241" s="157"/>
      <c r="AK241" s="157"/>
      <c r="AL241" s="157"/>
      <c r="AM241" s="157"/>
      <c r="AN241" s="157"/>
      <c r="AO241" s="157"/>
      <c r="AP241" s="157"/>
      <c r="AQ241" s="157"/>
      <c r="AR241" s="157"/>
      <c r="AS241" s="157"/>
      <c r="AT241" s="157"/>
      <c r="AU241" s="157"/>
      <c r="AV241" s="157"/>
      <c r="AW241" s="157"/>
      <c r="AX241" s="157"/>
      <c r="AY241" s="157"/>
      <c r="AZ241" s="157"/>
      <c r="BA241" s="157"/>
      <c r="BB241" s="157"/>
      <c r="BC241" s="157"/>
      <c r="BD241" s="157"/>
      <c r="BE241" s="157"/>
      <c r="BF241" s="157"/>
      <c r="BG241" s="157"/>
      <c r="BH241" s="157"/>
      <c r="BI241" s="157"/>
      <c r="BJ241" s="157"/>
      <c r="BK241" s="157"/>
      <c r="BL241" s="157"/>
      <c r="BM241" s="157"/>
      <c r="BN241" s="157"/>
      <c r="BO241" s="157"/>
      <c r="BP241" s="157"/>
      <c r="BQ241" s="157"/>
      <c r="BR241" s="157"/>
      <c r="BS241" s="157"/>
      <c r="BT241" s="157"/>
      <c r="BU241" s="157"/>
      <c r="BV241" s="157"/>
      <c r="BW241" s="157"/>
      <c r="BX241" s="157"/>
      <c r="BY241" s="157"/>
      <c r="BZ241" s="157"/>
      <c r="CA241" s="157"/>
      <c r="CB241" s="157"/>
      <c r="CC241" s="157"/>
      <c r="CD241" s="157"/>
      <c r="CE241" s="157"/>
      <c r="CF241" s="157"/>
      <c r="CG241" s="157"/>
      <c r="CH241" s="2719">
        <f>+CH196/CH$193</f>
        <v>0.43380114219828131</v>
      </c>
      <c r="CI241" s="2728" t="str">
        <f t="shared" si="559"/>
        <v>N/A</v>
      </c>
      <c r="CJ241" s="2728" t="str">
        <f t="shared" si="559"/>
        <v>N/A</v>
      </c>
      <c r="CK241" s="2728" t="str">
        <f t="shared" si="559"/>
        <v>N/A</v>
      </c>
      <c r="CL241" s="2720">
        <f t="shared" ref="CL241:DQ241" si="561">+CL196/CL$193</f>
        <v>0.44874145690948491</v>
      </c>
      <c r="CM241" s="2719">
        <f t="shared" si="561"/>
        <v>0.44908182842525202</v>
      </c>
      <c r="CN241" s="2728">
        <f t="shared" si="561"/>
        <v>0.4418442193503318</v>
      </c>
      <c r="CO241" s="2728">
        <f t="shared" si="561"/>
        <v>0.43460035121509094</v>
      </c>
      <c r="CP241" s="2728">
        <f t="shared" si="561"/>
        <v>0.42548829178806519</v>
      </c>
      <c r="CQ241" s="2720">
        <f t="shared" si="561"/>
        <v>0.42976533358515512</v>
      </c>
      <c r="CR241" s="2719">
        <f t="shared" si="561"/>
        <v>0.43263039278815196</v>
      </c>
      <c r="CS241" s="2720">
        <f t="shared" si="561"/>
        <v>0.43479992036631493</v>
      </c>
      <c r="CT241" s="2720">
        <f t="shared" si="561"/>
        <v>0.42345765892563925</v>
      </c>
      <c r="CU241" s="2720">
        <f t="shared" si="561"/>
        <v>0.43434888110002695</v>
      </c>
      <c r="CV241" s="2720">
        <f t="shared" si="561"/>
        <v>0.44252383536159989</v>
      </c>
      <c r="CW241" s="2719">
        <f t="shared" si="561"/>
        <v>0.43421302661435451</v>
      </c>
      <c r="CX241" s="2720">
        <f t="shared" si="561"/>
        <v>0.43305711268177755</v>
      </c>
      <c r="CY241" s="2720">
        <f t="shared" si="561"/>
        <v>0.43507119978389225</v>
      </c>
      <c r="CZ241" s="2720">
        <f t="shared" si="561"/>
        <v>0.42961489784849033</v>
      </c>
      <c r="DA241" s="2720">
        <f t="shared" si="561"/>
        <v>0.47946694831013914</v>
      </c>
      <c r="DB241" s="2719">
        <f t="shared" si="561"/>
        <v>0.44552090965833535</v>
      </c>
      <c r="DC241" s="2720">
        <f t="shared" si="561"/>
        <v>0.45283262356433091</v>
      </c>
      <c r="DD241" s="2720">
        <f t="shared" si="561"/>
        <v>0.45660063976377951</v>
      </c>
      <c r="DE241" s="2720">
        <f t="shared" si="561"/>
        <v>0.45993332142644522</v>
      </c>
      <c r="DF241" s="2720">
        <f t="shared" si="561"/>
        <v>0.51012872454997693</v>
      </c>
      <c r="DG241" s="2719">
        <f t="shared" si="561"/>
        <v>0.47099631862249014</v>
      </c>
      <c r="DH241" s="2720">
        <f t="shared" si="561"/>
        <v>0.48212699822380106</v>
      </c>
      <c r="DI241" s="2720">
        <f t="shared" si="561"/>
        <v>0.47980555411904641</v>
      </c>
      <c r="DJ241" s="2720">
        <f t="shared" si="561"/>
        <v>0.4852454940957116</v>
      </c>
      <c r="DK241" s="2720">
        <f t="shared" si="561"/>
        <v>0.50966995547018246</v>
      </c>
      <c r="DL241" s="2719">
        <f t="shared" si="561"/>
        <v>0.49019864006519726</v>
      </c>
      <c r="DM241" s="2720">
        <f t="shared" si="561"/>
        <v>0.50560097620500311</v>
      </c>
      <c r="DN241" s="2720">
        <f t="shared" si="561"/>
        <v>0.52805410811095321</v>
      </c>
      <c r="DO241" s="2720">
        <f>+DO196/DO$193</f>
        <v>0.47123888997544383</v>
      </c>
      <c r="DP241" s="2720">
        <f t="shared" si="561"/>
        <v>0.44721103273137697</v>
      </c>
      <c r="DQ241" s="2719">
        <f t="shared" si="561"/>
        <v>0.4833712417581208</v>
      </c>
      <c r="DR241" s="2720"/>
      <c r="DS241" s="2720"/>
      <c r="DT241" s="2720"/>
      <c r="DU241" s="2720"/>
      <c r="DV241" s="2719"/>
      <c r="DW241" s="2720"/>
      <c r="DX241" s="2720"/>
      <c r="DY241" s="2720"/>
      <c r="DZ241" s="2720"/>
      <c r="EA241" s="2719"/>
      <c r="EB241" s="2720"/>
      <c r="EC241" s="2720"/>
      <c r="ED241" s="2720"/>
      <c r="EE241" s="2720"/>
      <c r="EF241" s="2719"/>
      <c r="EG241" s="2720"/>
      <c r="EH241" s="2720"/>
      <c r="EI241" s="2720"/>
      <c r="EJ241" s="2720"/>
      <c r="EK241" s="2719"/>
      <c r="EL241" s="2720"/>
      <c r="EM241" s="2720"/>
      <c r="EN241" s="2720"/>
      <c r="EO241" s="2720"/>
      <c r="EP241" s="2719"/>
      <c r="EQ241" s="2720"/>
      <c r="ER241" s="2720"/>
      <c r="ES241" s="2720"/>
      <c r="ET241" s="2720"/>
      <c r="EU241" s="2719"/>
      <c r="EV241" s="2719"/>
      <c r="EW241" s="2719"/>
      <c r="EX241" s="2719"/>
      <c r="EY241" s="2719"/>
      <c r="EZ241" s="768"/>
      <c r="FA241" s="1319"/>
      <c r="FB241" s="1319"/>
    </row>
    <row r="242" spans="1:159" s="768" customFormat="1" hidden="1">
      <c r="A242" s="3562" t="str">
        <f>A197</f>
        <v>Google SBC</v>
      </c>
      <c r="B242" s="404"/>
      <c r="C242" s="404"/>
      <c r="D242" s="404"/>
      <c r="E242" s="404"/>
      <c r="F242" s="404"/>
      <c r="G242" s="404"/>
      <c r="H242" s="404"/>
      <c r="I242" s="404"/>
      <c r="J242" s="404"/>
      <c r="K242" s="404"/>
      <c r="L242" s="404"/>
      <c r="M242" s="404"/>
      <c r="N242" s="404"/>
      <c r="O242" s="404"/>
      <c r="P242" s="404"/>
      <c r="Q242" s="404"/>
      <c r="R242" s="404"/>
      <c r="S242" s="404"/>
      <c r="T242" s="404"/>
      <c r="U242" s="404"/>
      <c r="V242" s="404"/>
      <c r="W242" s="404"/>
      <c r="X242" s="404"/>
      <c r="Y242" s="404"/>
      <c r="Z242" s="404"/>
      <c r="AA242" s="404"/>
      <c r="AB242" s="404"/>
      <c r="AC242" s="404"/>
      <c r="AD242" s="404"/>
      <c r="AE242" s="404"/>
      <c r="AF242" s="404"/>
      <c r="AG242" s="404"/>
      <c r="AH242" s="404"/>
      <c r="AI242" s="404"/>
      <c r="AJ242" s="404"/>
      <c r="AK242" s="404"/>
      <c r="AL242" s="404"/>
      <c r="AM242" s="404"/>
      <c r="AN242" s="404"/>
      <c r="AO242" s="404"/>
      <c r="AP242" s="404"/>
      <c r="AQ242" s="404"/>
      <c r="AR242" s="404"/>
      <c r="AS242" s="404"/>
      <c r="AT242" s="404"/>
      <c r="AU242" s="404"/>
      <c r="AV242" s="404"/>
      <c r="AW242" s="404"/>
      <c r="AX242" s="404"/>
      <c r="AY242" s="404"/>
      <c r="AZ242" s="404"/>
      <c r="BA242" s="404"/>
      <c r="BB242" s="404"/>
      <c r="BC242" s="404"/>
      <c r="BD242" s="404"/>
      <c r="BE242" s="404"/>
      <c r="BF242" s="404"/>
      <c r="BG242" s="404"/>
      <c r="BH242" s="404"/>
      <c r="BI242" s="404"/>
      <c r="BJ242" s="404"/>
      <c r="BK242" s="404"/>
      <c r="BL242" s="404"/>
      <c r="BM242" s="404"/>
      <c r="BN242" s="404"/>
      <c r="BO242" s="404"/>
      <c r="BP242" s="404"/>
      <c r="BQ242" s="404"/>
      <c r="BR242" s="404"/>
      <c r="BS242" s="404"/>
      <c r="BT242" s="404"/>
      <c r="BU242" s="404"/>
      <c r="BV242" s="404"/>
      <c r="BW242" s="404"/>
      <c r="BX242" s="404"/>
      <c r="BY242" s="404"/>
      <c r="BZ242" s="404"/>
      <c r="CA242" s="404"/>
      <c r="CB242" s="404"/>
      <c r="CC242" s="404"/>
      <c r="CD242" s="404"/>
      <c r="CE242" s="404"/>
      <c r="CF242" s="404"/>
      <c r="CG242" s="404"/>
      <c r="CH242" s="2737">
        <f>+CH197/CH$193</f>
        <v>5.2443835912587604E-2</v>
      </c>
      <c r="CI242" s="2738" t="str">
        <f t="shared" si="559"/>
        <v>N/A</v>
      </c>
      <c r="CJ242" s="2738" t="str">
        <f t="shared" si="559"/>
        <v>N/A</v>
      </c>
      <c r="CK242" s="2738" t="str">
        <f t="shared" si="559"/>
        <v>N/A</v>
      </c>
      <c r="CL242" s="2739">
        <f t="shared" ref="CL242:DM242" si="562">+CL197/CL$193</f>
        <v>5.9898872034227925E-2</v>
      </c>
      <c r="CM242" s="2737">
        <f t="shared" si="562"/>
        <v>5.5988671315893655E-2</v>
      </c>
      <c r="CN242" s="2739">
        <f t="shared" si="562"/>
        <v>6.1415764349749678E-2</v>
      </c>
      <c r="CO242" s="2739">
        <f t="shared" si="562"/>
        <v>5.642100492834079E-2</v>
      </c>
      <c r="CP242" s="2739">
        <f t="shared" si="562"/>
        <v>6.8792489478795724E-2</v>
      </c>
      <c r="CQ242" s="2739">
        <f t="shared" si="562"/>
        <v>6.0342792388686908E-2</v>
      </c>
      <c r="CR242" s="2740">
        <f t="shared" si="562"/>
        <v>6.1762180725477574E-2</v>
      </c>
      <c r="CS242" s="1856">
        <f t="shared" si="562"/>
        <v>6.5847103324706349E-2</v>
      </c>
      <c r="CT242" s="1856">
        <f t="shared" si="562"/>
        <v>6.1975134881538822E-2</v>
      </c>
      <c r="CU242" s="1856">
        <f t="shared" si="562"/>
        <v>7.3200323537341599E-2</v>
      </c>
      <c r="CV242" s="1856">
        <f t="shared" si="562"/>
        <v>6.4064801178203234E-2</v>
      </c>
      <c r="CW242" s="2740">
        <f t="shared" si="562"/>
        <v>6.6239674502308221E-2</v>
      </c>
      <c r="CX242" s="1856">
        <f t="shared" si="562"/>
        <v>7.6448127386465184E-2</v>
      </c>
      <c r="CY242" s="1856">
        <f t="shared" si="562"/>
        <v>7.2704819974530155E-2</v>
      </c>
      <c r="CZ242" s="1856">
        <f t="shared" si="562"/>
        <v>6.1110106671487974E-2</v>
      </c>
      <c r="DA242" s="1856">
        <f t="shared" si="562"/>
        <v>5.3180914512922464E-2</v>
      </c>
      <c r="DB242" s="2740">
        <f t="shared" si="562"/>
        <v>6.4841198766135671E-2</v>
      </c>
      <c r="DC242" s="1856">
        <f t="shared" si="562"/>
        <v>7.4332171893147503E-2</v>
      </c>
      <c r="DD242" s="1856">
        <f t="shared" si="562"/>
        <v>7.0374015748031496E-2</v>
      </c>
      <c r="DE242" s="1856">
        <f t="shared" si="562"/>
        <v>6.164791331785438E-2</v>
      </c>
      <c r="DF242" s="1856">
        <f t="shared" si="562"/>
        <v>5.3643776603928404E-2</v>
      </c>
      <c r="DG242" s="2740">
        <f t="shared" si="562"/>
        <v>6.4204103782578723E-2</v>
      </c>
      <c r="DH242" s="1856">
        <f t="shared" si="562"/>
        <v>7.2491119005328591E-2</v>
      </c>
      <c r="DI242" s="1856">
        <f t="shared" si="562"/>
        <v>6.7228629053110611E-2</v>
      </c>
      <c r="DJ242" s="1856">
        <f t="shared" si="562"/>
        <v>6.1404599129894342E-2</v>
      </c>
      <c r="DK242" s="1856">
        <f t="shared" si="562"/>
        <v>5.4636339823626999E-2</v>
      </c>
      <c r="DL242" s="2740">
        <f t="shared" si="562"/>
        <v>6.3362012653739197E-2</v>
      </c>
      <c r="DM242" s="1856">
        <f t="shared" si="562"/>
        <v>7.2922513727882859E-2</v>
      </c>
      <c r="DN242" s="1856">
        <f>+DN197/DN$193</f>
        <v>8.2267487762513816E-2</v>
      </c>
      <c r="DO242" s="1856">
        <f>+DO197/DO$193</f>
        <v>6.3476541278223261E-2</v>
      </c>
      <c r="DP242" s="2741">
        <v>5.3900000000000003E-2</v>
      </c>
      <c r="DQ242" s="2740">
        <f>+DQ197/DQ$193</f>
        <v>6.6547852983587799E-2</v>
      </c>
      <c r="DR242" s="2741"/>
      <c r="DS242" s="2741"/>
      <c r="DT242" s="2741"/>
      <c r="DU242" s="2741"/>
      <c r="DV242" s="2740"/>
      <c r="DW242" s="2741"/>
      <c r="DX242" s="2741"/>
      <c r="DY242" s="2741"/>
      <c r="DZ242" s="2741"/>
      <c r="EA242" s="2742"/>
      <c r="EB242" s="2741"/>
      <c r="EC242" s="2741"/>
      <c r="ED242" s="2741"/>
      <c r="EE242" s="2741"/>
      <c r="EF242" s="2742"/>
      <c r="EG242" s="2741"/>
      <c r="EH242" s="2741"/>
      <c r="EI242" s="2741"/>
      <c r="EJ242" s="2741"/>
      <c r="EK242" s="2742"/>
      <c r="EL242" s="2741"/>
      <c r="EM242" s="2741"/>
      <c r="EN242" s="2741"/>
      <c r="EO242" s="2741"/>
      <c r="EP242" s="2742"/>
      <c r="EQ242" s="2741"/>
      <c r="ER242" s="2741"/>
      <c r="ES242" s="2741"/>
      <c r="ET242" s="2741"/>
      <c r="EU242" s="2742"/>
      <c r="EV242" s="2742"/>
      <c r="EW242" s="2742"/>
      <c r="EX242" s="2742"/>
      <c r="EY242" s="2742"/>
      <c r="FA242" s="1319"/>
      <c r="FB242" s="1319"/>
    </row>
    <row r="243" spans="1:159" s="768" customFormat="1" hidden="1">
      <c r="A243" s="4477" t="str">
        <f>A198</f>
        <v>Google Cost of Revenue &amp; Opex</v>
      </c>
      <c r="B243" s="404"/>
      <c r="C243" s="404"/>
      <c r="D243" s="404"/>
      <c r="E243" s="404"/>
      <c r="F243" s="404"/>
      <c r="G243" s="404"/>
      <c r="H243" s="404"/>
      <c r="I243" s="404"/>
      <c r="J243" s="404"/>
      <c r="K243" s="404"/>
      <c r="L243" s="404"/>
      <c r="M243" s="404"/>
      <c r="N243" s="404"/>
      <c r="O243" s="404"/>
      <c r="P243" s="404"/>
      <c r="Q243" s="404"/>
      <c r="R243" s="404"/>
      <c r="S243" s="404"/>
      <c r="T243" s="404"/>
      <c r="U243" s="404"/>
      <c r="V243" s="404"/>
      <c r="W243" s="404"/>
      <c r="X243" s="404"/>
      <c r="Y243" s="404"/>
      <c r="Z243" s="404"/>
      <c r="AA243" s="404"/>
      <c r="AB243" s="404"/>
      <c r="AC243" s="404"/>
      <c r="AD243" s="404"/>
      <c r="AE243" s="404"/>
      <c r="AF243" s="404"/>
      <c r="AG243" s="404"/>
      <c r="AH243" s="404"/>
      <c r="AI243" s="404"/>
      <c r="AJ243" s="404"/>
      <c r="AK243" s="404"/>
      <c r="AL243" s="404"/>
      <c r="AM243" s="404"/>
      <c r="AN243" s="404"/>
      <c r="AO243" s="404"/>
      <c r="AP243" s="404"/>
      <c r="AQ243" s="404"/>
      <c r="AR243" s="404"/>
      <c r="AS243" s="404"/>
      <c r="AT243" s="404"/>
      <c r="AU243" s="404"/>
      <c r="AV243" s="404"/>
      <c r="AW243" s="404"/>
      <c r="AX243" s="404"/>
      <c r="AY243" s="404"/>
      <c r="AZ243" s="404"/>
      <c r="BA243" s="404"/>
      <c r="BB243" s="404"/>
      <c r="BC243" s="404"/>
      <c r="BD243" s="404"/>
      <c r="BE243" s="404"/>
      <c r="BF243" s="404"/>
      <c r="BG243" s="404"/>
      <c r="BH243" s="404"/>
      <c r="BI243" s="404"/>
      <c r="BJ243" s="404"/>
      <c r="BK243" s="404"/>
      <c r="BL243" s="404"/>
      <c r="BM243" s="404"/>
      <c r="BN243" s="404"/>
      <c r="BO243" s="404"/>
      <c r="BP243" s="404"/>
      <c r="BQ243" s="404"/>
      <c r="BR243" s="404"/>
      <c r="BS243" s="404"/>
      <c r="BT243" s="404"/>
      <c r="BU243" s="404"/>
      <c r="BV243" s="404"/>
      <c r="BW243" s="404"/>
      <c r="BX243" s="404"/>
      <c r="BY243" s="404"/>
      <c r="BZ243" s="404"/>
      <c r="CA243" s="404"/>
      <c r="CB243" s="404"/>
      <c r="CC243" s="404"/>
      <c r="CD243" s="404"/>
      <c r="CE243" s="404"/>
      <c r="CF243" s="404"/>
      <c r="CG243" s="404"/>
      <c r="CH243" s="4141"/>
      <c r="CI243" s="2738"/>
      <c r="CJ243" s="2738"/>
      <c r="CK243" s="2738"/>
      <c r="CL243" s="2739"/>
      <c r="CM243" s="4141"/>
      <c r="CN243" s="2739"/>
      <c r="CO243" s="2739"/>
      <c r="CP243" s="2739"/>
      <c r="CQ243" s="2739"/>
      <c r="CR243" s="4142"/>
      <c r="CS243" s="1856"/>
      <c r="CT243" s="1856"/>
      <c r="CU243" s="1856"/>
      <c r="CV243" s="1856"/>
      <c r="CW243" s="4142"/>
      <c r="CX243" s="2720">
        <f t="shared" ref="CX243:DP243" si="563">+CX198/CX$193</f>
        <v>0.50950524006824272</v>
      </c>
      <c r="CY243" s="2720">
        <f t="shared" si="563"/>
        <v>0.50777601975842246</v>
      </c>
      <c r="CZ243" s="2720">
        <f t="shared" si="563"/>
        <v>0.4907250045199783</v>
      </c>
      <c r="DA243" s="2720">
        <f t="shared" si="563"/>
        <v>0.53264786282306165</v>
      </c>
      <c r="DB243" s="2719">
        <f t="shared" si="563"/>
        <v>0.51036210842447105</v>
      </c>
      <c r="DC243" s="2720">
        <f t="shared" si="563"/>
        <v>0.52716479545747841</v>
      </c>
      <c r="DD243" s="2720">
        <f t="shared" si="563"/>
        <v>0.526974655511811</v>
      </c>
      <c r="DE243" s="2720">
        <f t="shared" si="563"/>
        <v>0.52158123474429963</v>
      </c>
      <c r="DF243" s="2720">
        <f t="shared" si="563"/>
        <v>0.56377250115390531</v>
      </c>
      <c r="DG243" s="2719">
        <f t="shared" si="563"/>
        <v>0.53520042240506882</v>
      </c>
      <c r="DH243" s="2720">
        <f t="shared" si="563"/>
        <v>0.55461811722912968</v>
      </c>
      <c r="DI243" s="2720">
        <f t="shared" si="563"/>
        <v>0.54703418317215702</v>
      </c>
      <c r="DJ243" s="2720">
        <f t="shared" si="563"/>
        <v>0.54665009322560598</v>
      </c>
      <c r="DK243" s="2720">
        <f t="shared" si="563"/>
        <v>0.56430629529380949</v>
      </c>
      <c r="DL243" s="2719">
        <f t="shared" si="563"/>
        <v>0.5535606527189364</v>
      </c>
      <c r="DM243" s="2720">
        <f t="shared" si="563"/>
        <v>0.57852348993288594</v>
      </c>
      <c r="DN243" s="2720">
        <f>+DN198/DN$193</f>
        <v>0.61032159587346702</v>
      </c>
      <c r="DO243" s="2720">
        <f>+DO198/DO$193</f>
        <v>0.53471543125366716</v>
      </c>
      <c r="DP243" s="2720">
        <f t="shared" si="563"/>
        <v>0.50111103273137703</v>
      </c>
      <c r="DQ243" s="2719">
        <f>+DQ198/DQ$193</f>
        <v>0.54991909474170864</v>
      </c>
      <c r="DR243" s="2720"/>
      <c r="DS243" s="2720"/>
      <c r="DT243" s="2720"/>
      <c r="DU243" s="2720"/>
      <c r="DV243" s="2719"/>
      <c r="DW243" s="2720"/>
      <c r="DX243" s="2720"/>
      <c r="DY243" s="2720"/>
      <c r="DZ243" s="2720"/>
      <c r="EA243" s="2719"/>
      <c r="EB243" s="2720"/>
      <c r="EC243" s="2720"/>
      <c r="ED243" s="2720"/>
      <c r="EE243" s="2720"/>
      <c r="EF243" s="2719"/>
      <c r="EG243" s="2720"/>
      <c r="EH243" s="2720"/>
      <c r="EI243" s="2720"/>
      <c r="EJ243" s="2720"/>
      <c r="EK243" s="2719"/>
      <c r="EL243" s="2720"/>
      <c r="EM243" s="2720"/>
      <c r="EN243" s="2720"/>
      <c r="EO243" s="2720"/>
      <c r="EP243" s="2719"/>
      <c r="EQ243" s="2720"/>
      <c r="ER243" s="2720"/>
      <c r="ES243" s="2720"/>
      <c r="ET243" s="2720"/>
      <c r="EU243" s="2719"/>
      <c r="EV243" s="2719"/>
      <c r="EW243" s="2719"/>
      <c r="EX243" s="2719"/>
      <c r="EY243" s="2719"/>
      <c r="FA243" s="1319"/>
      <c r="FB243" s="1319"/>
    </row>
    <row r="244" spans="1:159" s="1645" customFormat="1" hidden="1">
      <c r="A244" s="4478" t="s">
        <v>552</v>
      </c>
      <c r="B244" s="3231"/>
      <c r="C244" s="3231"/>
      <c r="D244" s="3231"/>
      <c r="E244" s="3231"/>
      <c r="F244" s="3231"/>
      <c r="G244" s="3231"/>
      <c r="H244" s="3231"/>
      <c r="I244" s="3231"/>
      <c r="J244" s="3231"/>
      <c r="K244" s="3231"/>
      <c r="L244" s="3231"/>
      <c r="M244" s="3231"/>
      <c r="N244" s="3231"/>
      <c r="O244" s="3231"/>
      <c r="P244" s="3231"/>
      <c r="Q244" s="3231"/>
      <c r="R244" s="3231"/>
      <c r="S244" s="3231"/>
      <c r="T244" s="3231"/>
      <c r="U244" s="3231"/>
      <c r="V244" s="3231"/>
      <c r="W244" s="3231"/>
      <c r="X244" s="3231"/>
      <c r="Y244" s="3231"/>
      <c r="Z244" s="3231"/>
      <c r="AA244" s="3231"/>
      <c r="AB244" s="3231"/>
      <c r="AC244" s="3231"/>
      <c r="AD244" s="3231"/>
      <c r="AE244" s="3231"/>
      <c r="AF244" s="3231"/>
      <c r="AG244" s="3231"/>
      <c r="AH244" s="3231"/>
      <c r="AI244" s="3231"/>
      <c r="AJ244" s="3231"/>
      <c r="AK244" s="3231"/>
      <c r="AL244" s="3231"/>
      <c r="AM244" s="3231"/>
      <c r="AN244" s="3231"/>
      <c r="AO244" s="3231"/>
      <c r="AP244" s="3231"/>
      <c r="AQ244" s="3231"/>
      <c r="AR244" s="3231"/>
      <c r="AS244" s="3231"/>
      <c r="AT244" s="3231"/>
      <c r="AU244" s="3231"/>
      <c r="AV244" s="3231"/>
      <c r="AW244" s="3231"/>
      <c r="AX244" s="3231"/>
      <c r="AY244" s="3231"/>
      <c r="AZ244" s="3231"/>
      <c r="BA244" s="3231"/>
      <c r="BB244" s="3231"/>
      <c r="BC244" s="3231"/>
      <c r="BD244" s="3231"/>
      <c r="BE244" s="3231"/>
      <c r="BF244" s="3231"/>
      <c r="BG244" s="3231"/>
      <c r="BH244" s="3231"/>
      <c r="BI244" s="3231"/>
      <c r="BJ244" s="3231"/>
      <c r="BK244" s="3231"/>
      <c r="BL244" s="3231"/>
      <c r="BM244" s="3231"/>
      <c r="BN244" s="3231"/>
      <c r="BO244" s="3231"/>
      <c r="BP244" s="3231"/>
      <c r="BQ244" s="3231"/>
      <c r="BR244" s="3231"/>
      <c r="BS244" s="3231"/>
      <c r="BT244" s="3231"/>
      <c r="BU244" s="3231"/>
      <c r="BV244" s="3231"/>
      <c r="BW244" s="3231"/>
      <c r="BX244" s="3231"/>
      <c r="BY244" s="3231"/>
      <c r="BZ244" s="3231"/>
      <c r="CA244" s="3231"/>
      <c r="CB244" s="3231"/>
      <c r="CC244" s="3231"/>
      <c r="CD244" s="3231"/>
      <c r="CE244" s="3231"/>
      <c r="CF244" s="3231"/>
      <c r="CG244" s="3231"/>
      <c r="CH244" s="3263">
        <f>+CH199/CH$193</f>
        <v>0.29293602608679986</v>
      </c>
      <c r="CI244" s="3264" t="str">
        <f>+IFERROR(CI199/CI$193,"N/A")</f>
        <v>N/A</v>
      </c>
      <c r="CJ244" s="3264" t="str">
        <f>+IFERROR(CJ199/CJ$193,"N/A")</f>
        <v>N/A</v>
      </c>
      <c r="CK244" s="3264" t="str">
        <f>+IFERROR(CK199/CK$193,"N/A")</f>
        <v>N/A</v>
      </c>
      <c r="CL244" s="3265">
        <f t="shared" ref="CL244:DL244" si="564">+CL199/CL$193</f>
        <v>0.29021503583930658</v>
      </c>
      <c r="CM244" s="3263">
        <f t="shared" si="564"/>
        <v>0.28947528702378417</v>
      </c>
      <c r="CN244" s="3264">
        <f t="shared" si="564"/>
        <v>0.30201420421469322</v>
      </c>
      <c r="CO244" s="3264">
        <f t="shared" si="564"/>
        <v>0.31767971449611965</v>
      </c>
      <c r="CP244" s="3264">
        <f t="shared" si="564"/>
        <v>0.3133160677673465</v>
      </c>
      <c r="CQ244" s="3265">
        <f t="shared" si="564"/>
        <v>0.31842863213560602</v>
      </c>
      <c r="CR244" s="3263">
        <f t="shared" si="564"/>
        <v>0.31319757458682118</v>
      </c>
      <c r="CS244" s="3265">
        <f t="shared" si="564"/>
        <v>0.31082022695600237</v>
      </c>
      <c r="CT244" s="3265">
        <f t="shared" si="564"/>
        <v>0.32793807178043632</v>
      </c>
      <c r="CU244" s="3265">
        <f t="shared" si="564"/>
        <v>0.30439471555675385</v>
      </c>
      <c r="CV244" s="3265">
        <f t="shared" si="564"/>
        <v>0.3055189520192233</v>
      </c>
      <c r="CW244" s="3263">
        <f t="shared" si="564"/>
        <v>0.31177134681376656</v>
      </c>
      <c r="CX244" s="3265">
        <f t="shared" si="564"/>
        <v>0.30246161345357053</v>
      </c>
      <c r="CY244" s="3265">
        <f t="shared" si="564"/>
        <v>0.29575888550148571</v>
      </c>
      <c r="CZ244" s="3265">
        <f t="shared" si="564"/>
        <v>0.31032363044657385</v>
      </c>
      <c r="DA244" s="3265">
        <f t="shared" si="564"/>
        <v>0.2669917992047714</v>
      </c>
      <c r="DB244" s="3263">
        <f t="shared" si="564"/>
        <v>0.29206581815879218</v>
      </c>
      <c r="DC244" s="3265">
        <f t="shared" si="564"/>
        <v>0.26997031875080657</v>
      </c>
      <c r="DD244" s="3265">
        <f t="shared" si="564"/>
        <v>0.27555979330708663</v>
      </c>
      <c r="DE244" s="3265">
        <f t="shared" si="564"/>
        <v>0.28249092099779721</v>
      </c>
      <c r="DF244" s="3265">
        <f t="shared" si="564"/>
        <v>0.24555105390020002</v>
      </c>
      <c r="DG244" s="3263">
        <f t="shared" si="564"/>
        <v>0.28445608013962836</v>
      </c>
      <c r="DH244" s="3265">
        <f t="shared" si="564"/>
        <v>0.25499555950266428</v>
      </c>
      <c r="DI244" s="3265">
        <f t="shared" si="564"/>
        <v>0.26581165640999121</v>
      </c>
      <c r="DJ244" s="3265">
        <f t="shared" si="564"/>
        <v>0.26714729645742696</v>
      </c>
      <c r="DK244" s="3265">
        <f t="shared" si="564"/>
        <v>0.25013097005151491</v>
      </c>
      <c r="DL244" s="3263">
        <f t="shared" si="564"/>
        <v>0.27593114474658303</v>
      </c>
      <c r="DM244" s="3265">
        <f>+DM199/DM$193</f>
        <v>0.23960951799877975</v>
      </c>
      <c r="DN244" s="3265">
        <f>+DN199/DN$193</f>
        <v>0.21351123743354913</v>
      </c>
      <c r="DO244" s="3265">
        <f>+DO199/DO$193</f>
        <v>0.28782841123932462</v>
      </c>
      <c r="DP244" s="3265">
        <f>+DP199/DP$193</f>
        <v>0.31431645033860045</v>
      </c>
      <c r="DQ244" s="3263">
        <f>+DQ199/DQ$193</f>
        <v>0.2696786905456427</v>
      </c>
      <c r="DR244" s="3265"/>
      <c r="DS244" s="3265"/>
      <c r="DT244" s="3265"/>
      <c r="DU244" s="3265"/>
      <c r="DV244" s="3263"/>
      <c r="DW244" s="3265"/>
      <c r="DX244" s="3265"/>
      <c r="DY244" s="3265"/>
      <c r="DZ244" s="3265"/>
      <c r="EA244" s="3263"/>
      <c r="EB244" s="3265"/>
      <c r="EC244" s="3265"/>
      <c r="ED244" s="3265"/>
      <c r="EE244" s="3265"/>
      <c r="EF244" s="3263"/>
      <c r="EG244" s="3265"/>
      <c r="EH244" s="3265"/>
      <c r="EI244" s="3265"/>
      <c r="EJ244" s="3265"/>
      <c r="EK244" s="3263"/>
      <c r="EL244" s="3265"/>
      <c r="EM244" s="3265"/>
      <c r="EN244" s="3265"/>
      <c r="EO244" s="3265"/>
      <c r="EP244" s="3263"/>
      <c r="EQ244" s="3265"/>
      <c r="ER244" s="3265"/>
      <c r="ES244" s="3265"/>
      <c r="ET244" s="3265"/>
      <c r="EU244" s="3263"/>
      <c r="EV244" s="3263"/>
      <c r="EW244" s="3263"/>
      <c r="EX244" s="3263"/>
      <c r="EY244" s="3263"/>
      <c r="FA244" s="1319"/>
      <c r="FB244" s="1319"/>
      <c r="FC244" s="627"/>
    </row>
    <row r="245" spans="1:159" s="767" customFormat="1" hidden="1">
      <c r="A245" s="4479" t="s">
        <v>675</v>
      </c>
      <c r="B245" s="2743"/>
      <c r="C245" s="2743"/>
      <c r="D245" s="2743"/>
      <c r="E245" s="2743"/>
      <c r="F245" s="2743"/>
      <c r="G245" s="2743"/>
      <c r="H245" s="2743"/>
      <c r="I245" s="2743"/>
      <c r="J245" s="2743"/>
      <c r="K245" s="2743"/>
      <c r="L245" s="2743"/>
      <c r="M245" s="2743"/>
      <c r="N245" s="2743"/>
      <c r="O245" s="2743"/>
      <c r="P245" s="2743"/>
      <c r="Q245" s="2743"/>
      <c r="R245" s="2743"/>
      <c r="S245" s="2743"/>
      <c r="T245" s="2743"/>
      <c r="U245" s="2743"/>
      <c r="V245" s="2743"/>
      <c r="W245" s="2743"/>
      <c r="X245" s="2743"/>
      <c r="Y245" s="2743"/>
      <c r="Z245" s="2743"/>
      <c r="AA245" s="2743"/>
      <c r="AB245" s="2743"/>
      <c r="AC245" s="2743"/>
      <c r="AD245" s="2743"/>
      <c r="AE245" s="2743"/>
      <c r="AF245" s="2743"/>
      <c r="AG245" s="2743"/>
      <c r="AH245" s="2743"/>
      <c r="AI245" s="2743"/>
      <c r="AJ245" s="2743"/>
      <c r="AK245" s="2743"/>
      <c r="AL245" s="2743"/>
      <c r="AM245" s="2743"/>
      <c r="AN245" s="2743"/>
      <c r="AO245" s="2743"/>
      <c r="AP245" s="2743"/>
      <c r="AQ245" s="2743"/>
      <c r="AR245" s="2743"/>
      <c r="AS245" s="2743"/>
      <c r="AT245" s="2743"/>
      <c r="AU245" s="2743"/>
      <c r="AV245" s="2743"/>
      <c r="AW245" s="2743"/>
      <c r="AX245" s="2743"/>
      <c r="AY245" s="2743"/>
      <c r="AZ245" s="2743"/>
      <c r="BA245" s="2743"/>
      <c r="BB245" s="2743"/>
      <c r="BC245" s="2743"/>
      <c r="BD245" s="2743"/>
      <c r="BE245" s="2743"/>
      <c r="BF245" s="2743"/>
      <c r="BG245" s="2743"/>
      <c r="BH245" s="2743"/>
      <c r="BI245" s="2743"/>
      <c r="BJ245" s="2743"/>
      <c r="BK245" s="2743"/>
      <c r="BL245" s="2743"/>
      <c r="BM245" s="2743"/>
      <c r="BN245" s="2743"/>
      <c r="BO245" s="2743"/>
      <c r="BP245" s="2743"/>
      <c r="BQ245" s="2743"/>
      <c r="BR245" s="2743"/>
      <c r="BS245" s="2743"/>
      <c r="BT245" s="2743"/>
      <c r="BU245" s="2743"/>
      <c r="BV245" s="2743"/>
      <c r="BW245" s="2743"/>
      <c r="BX245" s="2743"/>
      <c r="BY245" s="2743"/>
      <c r="BZ245" s="2743"/>
      <c r="CA245" s="2743"/>
      <c r="CB245" s="2743"/>
      <c r="CC245" s="2743"/>
      <c r="CD245" s="2743"/>
      <c r="CE245" s="2743"/>
      <c r="CF245" s="2743"/>
      <c r="CG245" s="2743"/>
      <c r="CH245" s="2744"/>
      <c r="CI245" s="2745"/>
      <c r="CJ245" s="2745"/>
      <c r="CK245" s="2745"/>
      <c r="CL245" s="2745"/>
      <c r="CM245" s="2746">
        <f>(CM244-CH244)*10000</f>
        <v>-34.607390630156942</v>
      </c>
      <c r="CN245" s="2747" t="s">
        <v>116</v>
      </c>
      <c r="CO245" s="2747" t="s">
        <v>116</v>
      </c>
      <c r="CP245" s="2747" t="s">
        <v>116</v>
      </c>
      <c r="CQ245" s="2748">
        <f t="shared" ref="CQ245:DL245" si="565">(CQ244-CL244)*10000</f>
        <v>282.13596296299437</v>
      </c>
      <c r="CR245" s="2746">
        <f t="shared" si="565"/>
        <v>237.22287563037014</v>
      </c>
      <c r="CS245" s="2748">
        <f t="shared" si="565"/>
        <v>88.060227413091496</v>
      </c>
      <c r="CT245" s="2747">
        <f t="shared" si="565"/>
        <v>102.58357284316676</v>
      </c>
      <c r="CU245" s="2747">
        <f t="shared" si="565"/>
        <v>-89.213522105926472</v>
      </c>
      <c r="CV245" s="2748">
        <f t="shared" si="565"/>
        <v>-129.09680116382717</v>
      </c>
      <c r="CW245" s="2746">
        <f t="shared" si="565"/>
        <v>-14.262277730546224</v>
      </c>
      <c r="CX245" s="2748">
        <f t="shared" si="565"/>
        <v>-83.586135024318338</v>
      </c>
      <c r="CY245" s="2748">
        <f t="shared" si="565"/>
        <v>-321.79186278950613</v>
      </c>
      <c r="CZ245" s="2748">
        <f t="shared" si="565"/>
        <v>59.289148898200025</v>
      </c>
      <c r="DA245" s="2748">
        <f t="shared" si="565"/>
        <v>-385.27152814451904</v>
      </c>
      <c r="DB245" s="2746">
        <f t="shared" si="565"/>
        <v>-197.05528654974381</v>
      </c>
      <c r="DC245" s="2748">
        <f t="shared" si="565"/>
        <v>-324.91294702763963</v>
      </c>
      <c r="DD245" s="2748">
        <f t="shared" si="565"/>
        <v>-201.99092194399083</v>
      </c>
      <c r="DE245" s="2748">
        <f t="shared" si="565"/>
        <v>-278.32709448776637</v>
      </c>
      <c r="DF245" s="2748">
        <f t="shared" si="565"/>
        <v>-214.40745304571379</v>
      </c>
      <c r="DG245" s="2746">
        <f t="shared" si="565"/>
        <v>-76.097380191638138</v>
      </c>
      <c r="DH245" s="2748">
        <f t="shared" si="565"/>
        <v>-149.74759248142288</v>
      </c>
      <c r="DI245" s="2748">
        <f t="shared" si="565"/>
        <v>-97.481368970954165</v>
      </c>
      <c r="DJ245" s="2748">
        <f t="shared" si="565"/>
        <v>-153.43624540370249</v>
      </c>
      <c r="DK245" s="2748">
        <f t="shared" si="565"/>
        <v>45.799161513148945</v>
      </c>
      <c r="DL245" s="2746">
        <f t="shared" si="565"/>
        <v>-85.249353930453296</v>
      </c>
      <c r="DM245" s="2748">
        <f>(DM244-DH244)*10000</f>
        <v>-153.86041503884533</v>
      </c>
      <c r="DN245" s="2748">
        <f>(DN244-DI244)*10000</f>
        <v>-523.00418976442086</v>
      </c>
      <c r="DO245" s="2748">
        <f>(DO244-DJ244)*10000</f>
        <v>206.81114781897659</v>
      </c>
      <c r="DP245" s="2748">
        <f>(DP244-DK244)*10000</f>
        <v>641.85480287085534</v>
      </c>
      <c r="DQ245" s="2746">
        <f>(DQ244-DL244)*10000</f>
        <v>-62.524542009403383</v>
      </c>
      <c r="DR245" s="2748"/>
      <c r="DS245" s="2748"/>
      <c r="DT245" s="2748"/>
      <c r="DU245" s="2748"/>
      <c r="DV245" s="2746"/>
      <c r="DW245" s="2748"/>
      <c r="DX245" s="2748"/>
      <c r="DY245" s="2748"/>
      <c r="DZ245" s="2748"/>
      <c r="EA245" s="2746"/>
      <c r="EB245" s="2748"/>
      <c r="EC245" s="2748"/>
      <c r="ED245" s="2748"/>
      <c r="EE245" s="2748"/>
      <c r="EF245" s="2746"/>
      <c r="EG245" s="2748"/>
      <c r="EH245" s="2748"/>
      <c r="EI245" s="2748"/>
      <c r="EJ245" s="2748"/>
      <c r="EK245" s="2746"/>
      <c r="EL245" s="2748"/>
      <c r="EM245" s="2748"/>
      <c r="EN245" s="2748"/>
      <c r="EO245" s="2748"/>
      <c r="EP245" s="2746"/>
      <c r="EQ245" s="2748"/>
      <c r="ER245" s="2748"/>
      <c r="ES245" s="2748"/>
      <c r="ET245" s="2748"/>
      <c r="EU245" s="2746"/>
      <c r="EV245" s="2746"/>
      <c r="EW245" s="2746"/>
      <c r="EX245" s="2746"/>
      <c r="EY245" s="2746"/>
      <c r="FA245" s="4276"/>
      <c r="FB245" s="4276"/>
      <c r="FC245" s="766"/>
    </row>
    <row r="246" spans="1:159" s="767" customFormat="1" hidden="1">
      <c r="A246" s="4479" t="s">
        <v>676</v>
      </c>
      <c r="B246" s="2743"/>
      <c r="C246" s="2743"/>
      <c r="D246" s="2743"/>
      <c r="E246" s="2743"/>
      <c r="F246" s="2743"/>
      <c r="G246" s="2743"/>
      <c r="H246" s="2743"/>
      <c r="I246" s="2743"/>
      <c r="J246" s="2743"/>
      <c r="K246" s="2743"/>
      <c r="L246" s="2743"/>
      <c r="M246" s="2743"/>
      <c r="N246" s="2743"/>
      <c r="O246" s="2743"/>
      <c r="P246" s="2743"/>
      <c r="Q246" s="2743"/>
      <c r="R246" s="2743"/>
      <c r="S246" s="2743"/>
      <c r="T246" s="2743"/>
      <c r="U246" s="2743"/>
      <c r="V246" s="2743"/>
      <c r="W246" s="2743"/>
      <c r="X246" s="2743"/>
      <c r="Y246" s="2743"/>
      <c r="Z246" s="2743"/>
      <c r="AA246" s="2743"/>
      <c r="AB246" s="2743"/>
      <c r="AC246" s="2743"/>
      <c r="AD246" s="2743"/>
      <c r="AE246" s="2743"/>
      <c r="AF246" s="2743"/>
      <c r="AG246" s="2743"/>
      <c r="AH246" s="2743"/>
      <c r="AI246" s="2743"/>
      <c r="AJ246" s="2743"/>
      <c r="AK246" s="2743"/>
      <c r="AL246" s="2743"/>
      <c r="AM246" s="2743"/>
      <c r="AN246" s="2743"/>
      <c r="AO246" s="2743"/>
      <c r="AP246" s="2743"/>
      <c r="AQ246" s="2743"/>
      <c r="AR246" s="2743"/>
      <c r="AS246" s="2743"/>
      <c r="AT246" s="2743"/>
      <c r="AU246" s="2743"/>
      <c r="AV246" s="2743"/>
      <c r="AW246" s="2743"/>
      <c r="AX246" s="2743"/>
      <c r="AY246" s="2743"/>
      <c r="AZ246" s="2743"/>
      <c r="BA246" s="2743"/>
      <c r="BB246" s="2743"/>
      <c r="BC246" s="2743"/>
      <c r="BD246" s="2743"/>
      <c r="BE246" s="2743"/>
      <c r="BF246" s="2743"/>
      <c r="BG246" s="2743"/>
      <c r="BH246" s="2743"/>
      <c r="BI246" s="2743"/>
      <c r="BJ246" s="2743"/>
      <c r="BK246" s="2743"/>
      <c r="BL246" s="2743"/>
      <c r="BM246" s="2743"/>
      <c r="BN246" s="2743"/>
      <c r="BO246" s="2743"/>
      <c r="BP246" s="2743"/>
      <c r="BQ246" s="2743"/>
      <c r="BR246" s="2743"/>
      <c r="BS246" s="2743"/>
      <c r="BT246" s="2743"/>
      <c r="BU246" s="2743"/>
      <c r="BV246" s="2743"/>
      <c r="BW246" s="2743"/>
      <c r="BX246" s="2743"/>
      <c r="BY246" s="2743"/>
      <c r="BZ246" s="2743"/>
      <c r="CA246" s="2743"/>
      <c r="CB246" s="2743"/>
      <c r="CC246" s="2743"/>
      <c r="CD246" s="2743"/>
      <c r="CE246" s="2743"/>
      <c r="CF246" s="2743"/>
      <c r="CG246" s="2743"/>
      <c r="CH246" s="2744"/>
      <c r="CI246" s="2745"/>
      <c r="CJ246" s="2745"/>
      <c r="CK246" s="2745"/>
      <c r="CL246" s="2745"/>
      <c r="CM246" s="2746"/>
      <c r="CN246" s="2747"/>
      <c r="CO246" s="2747"/>
      <c r="CP246" s="2747"/>
      <c r="CQ246" s="2748"/>
      <c r="CR246" s="2746"/>
      <c r="CS246" s="2748">
        <f>(CS244-CQ244)*10000</f>
        <v>-76.084051796036505</v>
      </c>
      <c r="CT246" s="2748">
        <f>(CT244-CS244)*10000</f>
        <v>171.17844824433959</v>
      </c>
      <c r="CU246" s="2748">
        <f>(CU244-CT244)*10000</f>
        <v>-235.43356223682477</v>
      </c>
      <c r="CV246" s="2748">
        <f>(CV244-CU244)*10000</f>
        <v>11.242364624694524</v>
      </c>
      <c r="CW246" s="2746"/>
      <c r="CX246" s="2748">
        <f>(CX244-CV244)*10000</f>
        <v>-30.573385656527673</v>
      </c>
      <c r="CY246" s="2748">
        <f>(CY244-CX244)*10000</f>
        <v>-67.027279520848197</v>
      </c>
      <c r="CZ246" s="2748">
        <f>(CZ244-CY244)*10000</f>
        <v>145.64744945088137</v>
      </c>
      <c r="DA246" s="2748">
        <f>(DA244-CZ244)*10000</f>
        <v>-433.31831241802456</v>
      </c>
      <c r="DB246" s="2746"/>
      <c r="DC246" s="2748">
        <f>(DC244-DA244)*10000</f>
        <v>29.785195460351744</v>
      </c>
      <c r="DD246" s="2748">
        <f>(DD244-DC244)*10000</f>
        <v>55.894745562800608</v>
      </c>
      <c r="DE246" s="2748">
        <f>(DE244-DD244)*10000</f>
        <v>69.311276907105807</v>
      </c>
      <c r="DF246" s="2748">
        <f>(DF244-DE244)*10000</f>
        <v>-369.39867097597198</v>
      </c>
      <c r="DG246" s="2746"/>
      <c r="DH246" s="2748">
        <f>(DH244-DF244)*10000</f>
        <v>94.445056024642653</v>
      </c>
      <c r="DI246" s="2748">
        <f>(DI244-DH244)*10000</f>
        <v>108.16096907326933</v>
      </c>
      <c r="DJ246" s="2748">
        <f>(DJ244-DI244)*10000</f>
        <v>13.356400474357489</v>
      </c>
      <c r="DK246" s="2748">
        <f>(DK244-DJ244)*10000</f>
        <v>-170.16326405912054</v>
      </c>
      <c r="DL246" s="2746"/>
      <c r="DM246" s="2748">
        <f>(DM244-DK244)*10000</f>
        <v>-105.21452052735164</v>
      </c>
      <c r="DN246" s="2748">
        <f>(DN244-DM244)*10000</f>
        <v>-260.98280565230613</v>
      </c>
      <c r="DO246" s="2748">
        <f>(DO244-DN244)*10000</f>
        <v>743.17173805775485</v>
      </c>
      <c r="DP246" s="2748">
        <f>(DP244-DO244)*10000</f>
        <v>264.88039099275829</v>
      </c>
      <c r="DQ246" s="2746"/>
      <c r="DR246" s="2748"/>
      <c r="DS246" s="2748"/>
      <c r="DT246" s="2748"/>
      <c r="DU246" s="2748"/>
      <c r="DV246" s="2746"/>
      <c r="DW246" s="2748"/>
      <c r="DX246" s="2748"/>
      <c r="DY246" s="2748"/>
      <c r="DZ246" s="2748"/>
      <c r="EA246" s="2746"/>
      <c r="EB246" s="2748"/>
      <c r="EC246" s="2748"/>
      <c r="ED246" s="2748"/>
      <c r="EE246" s="2748"/>
      <c r="EF246" s="2746"/>
      <c r="EG246" s="2748"/>
      <c r="EH246" s="2748"/>
      <c r="EI246" s="2748"/>
      <c r="EJ246" s="2748"/>
      <c r="EK246" s="2746"/>
      <c r="EL246" s="2748"/>
      <c r="EM246" s="2748"/>
      <c r="EN246" s="2748"/>
      <c r="EO246" s="2748"/>
      <c r="EP246" s="2746"/>
      <c r="EQ246" s="2748"/>
      <c r="ER246" s="2748"/>
      <c r="ES246" s="2748"/>
      <c r="ET246" s="2748"/>
      <c r="EU246" s="2746"/>
      <c r="EV246" s="2746"/>
      <c r="EW246" s="2746"/>
      <c r="EX246" s="2746"/>
      <c r="EY246" s="2746"/>
      <c r="FA246" s="4276"/>
      <c r="FB246" s="4276"/>
      <c r="FC246" s="766"/>
    </row>
    <row r="247" spans="1:159" s="1645" customFormat="1" hidden="1">
      <c r="A247" s="4475" t="s">
        <v>553</v>
      </c>
      <c r="B247" s="3258"/>
      <c r="C247" s="3258"/>
      <c r="D247" s="3258"/>
      <c r="E247" s="3258"/>
      <c r="F247" s="3258"/>
      <c r="G247" s="3258"/>
      <c r="H247" s="3258"/>
      <c r="I247" s="3258"/>
      <c r="J247" s="3258"/>
      <c r="K247" s="3258"/>
      <c r="L247" s="3258"/>
      <c r="M247" s="3258"/>
      <c r="N247" s="3258"/>
      <c r="O247" s="3258"/>
      <c r="P247" s="3258"/>
      <c r="Q247" s="3258"/>
      <c r="R247" s="3258"/>
      <c r="S247" s="3258"/>
      <c r="T247" s="3258"/>
      <c r="U247" s="3258"/>
      <c r="V247" s="3258"/>
      <c r="W247" s="3258"/>
      <c r="X247" s="3258"/>
      <c r="Y247" s="3258"/>
      <c r="Z247" s="3258"/>
      <c r="AA247" s="3258"/>
      <c r="AB247" s="3258"/>
      <c r="AC247" s="3258"/>
      <c r="AD247" s="3258"/>
      <c r="AE247" s="3258"/>
      <c r="AF247" s="3258"/>
      <c r="AG247" s="3258"/>
      <c r="AH247" s="3258"/>
      <c r="AI247" s="3258"/>
      <c r="AJ247" s="3258"/>
      <c r="AK247" s="3258"/>
      <c r="AL247" s="3258"/>
      <c r="AM247" s="3258"/>
      <c r="AN247" s="3258"/>
      <c r="AO247" s="3258"/>
      <c r="AP247" s="3258"/>
      <c r="AQ247" s="3258"/>
      <c r="AR247" s="3258"/>
      <c r="AS247" s="3258"/>
      <c r="AT247" s="3258"/>
      <c r="AU247" s="3258"/>
      <c r="AV247" s="3258"/>
      <c r="AW247" s="3258"/>
      <c r="AX247" s="3258"/>
      <c r="AY247" s="3258"/>
      <c r="AZ247" s="3258"/>
      <c r="BA247" s="3258"/>
      <c r="BB247" s="3258"/>
      <c r="BC247" s="3258"/>
      <c r="BD247" s="3258"/>
      <c r="BE247" s="3258"/>
      <c r="BF247" s="3258"/>
      <c r="BG247" s="3258"/>
      <c r="BH247" s="3258"/>
      <c r="BI247" s="3258"/>
      <c r="BJ247" s="3258"/>
      <c r="BK247" s="3258"/>
      <c r="BL247" s="3258"/>
      <c r="BM247" s="3258"/>
      <c r="BN247" s="3258"/>
      <c r="BO247" s="3258"/>
      <c r="BP247" s="3258"/>
      <c r="BQ247" s="3258"/>
      <c r="BR247" s="3258"/>
      <c r="BS247" s="3258"/>
      <c r="BT247" s="3258"/>
      <c r="BU247" s="3258"/>
      <c r="BV247" s="3258"/>
      <c r="BW247" s="3258"/>
      <c r="BX247" s="3258"/>
      <c r="BY247" s="3258"/>
      <c r="BZ247" s="3258"/>
      <c r="CA247" s="3258"/>
      <c r="CB247" s="3258"/>
      <c r="CC247" s="3258"/>
      <c r="CD247" s="3258"/>
      <c r="CE247" s="3258"/>
      <c r="CF247" s="3258"/>
      <c r="CG247" s="3258"/>
      <c r="CH247" s="3266">
        <f>+CH199/CH$195</f>
        <v>0.3759537572254335</v>
      </c>
      <c r="CI247" s="3267" t="str">
        <f>+IFERROR(CI208/CI$193,"N/A")</f>
        <v>N/A</v>
      </c>
      <c r="CJ247" s="3267" t="str">
        <f>+IFERROR(CJ208/CJ$193,"N/A")</f>
        <v>N/A</v>
      </c>
      <c r="CK247" s="3267" t="str">
        <f>+IFERROR(CK208/CK$193,"N/A")</f>
        <v>N/A</v>
      </c>
      <c r="CL247" s="3268">
        <f t="shared" ref="CL247:DQ247" si="566">+CL199/CL$195</f>
        <v>0.36328858593586977</v>
      </c>
      <c r="CM247" s="3266">
        <f t="shared" si="566"/>
        <v>0.36432801211168814</v>
      </c>
      <c r="CN247" s="3267">
        <f t="shared" si="566"/>
        <v>0.3750451818116099</v>
      </c>
      <c r="CO247" s="3267">
        <f t="shared" si="566"/>
        <v>0.3928271224432614</v>
      </c>
      <c r="CP247" s="3267">
        <f t="shared" si="566"/>
        <v>0.38796098343132013</v>
      </c>
      <c r="CQ247" s="3268">
        <f t="shared" si="566"/>
        <v>0.39383321653819203</v>
      </c>
      <c r="CR247" s="3266">
        <f t="shared" si="566"/>
        <v>0.38781747811498146</v>
      </c>
      <c r="CS247" s="3268">
        <f t="shared" si="566"/>
        <v>0.38303483807654565</v>
      </c>
      <c r="CT247" s="3268">
        <f t="shared" si="566"/>
        <v>0.40311418685121109</v>
      </c>
      <c r="CU247" s="3268">
        <f t="shared" si="566"/>
        <v>0.3748339973439575</v>
      </c>
      <c r="CV247" s="3268">
        <f t="shared" si="566"/>
        <v>0.37620502052114158</v>
      </c>
      <c r="CW247" s="3266">
        <f t="shared" si="566"/>
        <v>0.38381725608917022</v>
      </c>
      <c r="CX247" s="3268">
        <f t="shared" si="566"/>
        <v>0.3725048776827255</v>
      </c>
      <c r="CY247" s="3268">
        <f t="shared" si="566"/>
        <v>0.36807223129382383</v>
      </c>
      <c r="CZ247" s="3268">
        <f t="shared" si="566"/>
        <v>0.38739674084774073</v>
      </c>
      <c r="DA247" s="3268">
        <f t="shared" si="566"/>
        <v>0.33389014062621397</v>
      </c>
      <c r="DB247" s="3266">
        <f t="shared" si="566"/>
        <v>0.36328551336146275</v>
      </c>
      <c r="DC247" s="3268">
        <f t="shared" si="566"/>
        <v>0.3386757325562571</v>
      </c>
      <c r="DD247" s="3268">
        <f t="shared" si="566"/>
        <v>0.34336195002299558</v>
      </c>
      <c r="DE247" s="3268">
        <f t="shared" si="566"/>
        <v>0.35132533688730933</v>
      </c>
      <c r="DF247" s="3268">
        <f t="shared" si="566"/>
        <v>0.3034028261833851</v>
      </c>
      <c r="DG247" s="3266">
        <f t="shared" si="566"/>
        <v>0.35379802254733844</v>
      </c>
      <c r="DH247" s="3268">
        <f t="shared" si="566"/>
        <v>0.3149595502536679</v>
      </c>
      <c r="DI247" s="3268">
        <f t="shared" si="566"/>
        <v>0.32701361496373582</v>
      </c>
      <c r="DJ247" s="3268">
        <f t="shared" si="566"/>
        <v>0.32827249121735147</v>
      </c>
      <c r="DK247" s="3268">
        <f t="shared" si="566"/>
        <v>0.3071212243038246</v>
      </c>
      <c r="DL247" s="3266">
        <f t="shared" si="566"/>
        <v>0.33947678601497083</v>
      </c>
      <c r="DM247" s="3268">
        <f t="shared" si="566"/>
        <v>0.29287354950332606</v>
      </c>
      <c r="DN247" s="3268">
        <f>+DN199/DN$195</f>
        <v>0.25916815742397137</v>
      </c>
      <c r="DO247" s="3268">
        <f>+DO199/DO$195</f>
        <v>0.34992470476341442</v>
      </c>
      <c r="DP247" s="3268">
        <f t="shared" si="566"/>
        <v>0.38546217396946236</v>
      </c>
      <c r="DQ247" s="3266">
        <f t="shared" si="566"/>
        <v>0.32903784683982917</v>
      </c>
      <c r="DR247" s="3268"/>
      <c r="DS247" s="3268"/>
      <c r="DT247" s="3268"/>
      <c r="DU247" s="3268"/>
      <c r="DV247" s="3266"/>
      <c r="DW247" s="3268"/>
      <c r="DX247" s="3268"/>
      <c r="DY247" s="3268"/>
      <c r="DZ247" s="3268"/>
      <c r="EA247" s="3266"/>
      <c r="EB247" s="3268"/>
      <c r="EC247" s="3268"/>
      <c r="ED247" s="3268"/>
      <c r="EE247" s="3268"/>
      <c r="EF247" s="3266"/>
      <c r="EG247" s="3268"/>
      <c r="EH247" s="3268"/>
      <c r="EI247" s="3268"/>
      <c r="EJ247" s="3268"/>
      <c r="EK247" s="3266"/>
      <c r="EL247" s="3268"/>
      <c r="EM247" s="3268"/>
      <c r="EN247" s="3268"/>
      <c r="EO247" s="3268"/>
      <c r="EP247" s="3266"/>
      <c r="EQ247" s="3268"/>
      <c r="ER247" s="3268"/>
      <c r="ES247" s="3268"/>
      <c r="ET247" s="3268"/>
      <c r="EU247" s="3266"/>
      <c r="EV247" s="3266"/>
      <c r="EW247" s="3266"/>
      <c r="EX247" s="3266"/>
      <c r="EY247" s="3266"/>
      <c r="FA247" s="1319"/>
      <c r="FB247" s="1319"/>
      <c r="FC247" s="627"/>
    </row>
    <row r="248" spans="1:159" s="766" customFormat="1" hidden="1">
      <c r="A248" s="4479" t="s">
        <v>675</v>
      </c>
      <c r="B248" s="2743"/>
      <c r="C248" s="2743"/>
      <c r="D248" s="2743"/>
      <c r="E248" s="2743"/>
      <c r="F248" s="2743"/>
      <c r="G248" s="2743"/>
      <c r="H248" s="2743"/>
      <c r="I248" s="2743"/>
      <c r="J248" s="2743"/>
      <c r="K248" s="2743"/>
      <c r="L248" s="2743"/>
      <c r="M248" s="2743"/>
      <c r="N248" s="2743"/>
      <c r="O248" s="2743"/>
      <c r="P248" s="2743"/>
      <c r="Q248" s="2743"/>
      <c r="R248" s="2743"/>
      <c r="S248" s="2743"/>
      <c r="T248" s="2743"/>
      <c r="U248" s="2743"/>
      <c r="V248" s="2743"/>
      <c r="W248" s="2743"/>
      <c r="X248" s="2743"/>
      <c r="Y248" s="2743"/>
      <c r="Z248" s="2743"/>
      <c r="AA248" s="2743"/>
      <c r="AB248" s="2743"/>
      <c r="AC248" s="2743"/>
      <c r="AD248" s="2743"/>
      <c r="AE248" s="2743"/>
      <c r="AF248" s="2743"/>
      <c r="AG248" s="2743"/>
      <c r="AH248" s="2743"/>
      <c r="AI248" s="2743"/>
      <c r="AJ248" s="2743"/>
      <c r="AK248" s="2743"/>
      <c r="AL248" s="2743"/>
      <c r="AM248" s="2743"/>
      <c r="AN248" s="2743"/>
      <c r="AO248" s="2743"/>
      <c r="AP248" s="2743"/>
      <c r="AQ248" s="2743"/>
      <c r="AR248" s="2743"/>
      <c r="AS248" s="2743"/>
      <c r="AT248" s="2743"/>
      <c r="AU248" s="2743"/>
      <c r="AV248" s="2743"/>
      <c r="AW248" s="2743"/>
      <c r="AX248" s="2743"/>
      <c r="AY248" s="2743"/>
      <c r="AZ248" s="2743"/>
      <c r="BA248" s="2743"/>
      <c r="BB248" s="2743"/>
      <c r="BC248" s="2743"/>
      <c r="BD248" s="2743"/>
      <c r="BE248" s="2743"/>
      <c r="BF248" s="2743"/>
      <c r="BG248" s="2743"/>
      <c r="BH248" s="2743"/>
      <c r="BI248" s="2743"/>
      <c r="BJ248" s="2743"/>
      <c r="BK248" s="2743"/>
      <c r="BL248" s="2743"/>
      <c r="BM248" s="2743"/>
      <c r="BN248" s="2743"/>
      <c r="BO248" s="2743"/>
      <c r="BP248" s="2743"/>
      <c r="BQ248" s="2743"/>
      <c r="BR248" s="2743"/>
      <c r="BS248" s="2743"/>
      <c r="BT248" s="2743"/>
      <c r="BU248" s="2743"/>
      <c r="BV248" s="2743"/>
      <c r="BW248" s="2743"/>
      <c r="BX248" s="2743"/>
      <c r="BY248" s="2743"/>
      <c r="BZ248" s="2743"/>
      <c r="CA248" s="2743"/>
      <c r="CB248" s="2743"/>
      <c r="CC248" s="2743"/>
      <c r="CD248" s="2743"/>
      <c r="CE248" s="2743"/>
      <c r="CF248" s="2743"/>
      <c r="CG248" s="2743"/>
      <c r="CH248" s="2744"/>
      <c r="CI248" s="2745"/>
      <c r="CJ248" s="2745"/>
      <c r="CK248" s="2745"/>
      <c r="CL248" s="2745"/>
      <c r="CM248" s="2746">
        <f>(CM247-CH247)*10000</f>
        <v>-116.25745113745367</v>
      </c>
      <c r="CN248" s="2747" t="s">
        <v>116</v>
      </c>
      <c r="CO248" s="2747" t="s">
        <v>116</v>
      </c>
      <c r="CP248" s="2747" t="s">
        <v>116</v>
      </c>
      <c r="CQ248" s="2748">
        <f t="shared" ref="CQ248:DQ248" si="567">(CQ247-CL247)*10000</f>
        <v>305.44630602322263</v>
      </c>
      <c r="CR248" s="2746">
        <f t="shared" si="567"/>
        <v>234.89466003293325</v>
      </c>
      <c r="CS248" s="2748">
        <f t="shared" si="567"/>
        <v>79.89656264935752</v>
      </c>
      <c r="CT248" s="2747">
        <f t="shared" si="567"/>
        <v>102.87064407949687</v>
      </c>
      <c r="CU248" s="2747">
        <f t="shared" si="567"/>
        <v>-131.26986087362624</v>
      </c>
      <c r="CV248" s="2748">
        <f t="shared" si="567"/>
        <v>-176.28196017050456</v>
      </c>
      <c r="CW248" s="2746">
        <f t="shared" si="567"/>
        <v>-40.002220258112395</v>
      </c>
      <c r="CX248" s="2748">
        <f t="shared" si="567"/>
        <v>-105.29960393820149</v>
      </c>
      <c r="CY248" s="2748">
        <f t="shared" si="567"/>
        <v>-350.41955557387263</v>
      </c>
      <c r="CZ248" s="2748">
        <f t="shared" si="567"/>
        <v>125.62743503783224</v>
      </c>
      <c r="DA248" s="2748">
        <f t="shared" si="567"/>
        <v>-423.14879894927606</v>
      </c>
      <c r="DB248" s="2746">
        <f t="shared" si="567"/>
        <v>-205.3174272770747</v>
      </c>
      <c r="DC248" s="2748">
        <f t="shared" si="567"/>
        <v>-338.29145126468399</v>
      </c>
      <c r="DD248" s="2748">
        <f t="shared" si="567"/>
        <v>-247.1028127082825</v>
      </c>
      <c r="DE248" s="2748">
        <f t="shared" si="567"/>
        <v>-360.71403960431405</v>
      </c>
      <c r="DF248" s="2748">
        <f t="shared" si="567"/>
        <v>-304.8731444282887</v>
      </c>
      <c r="DG248" s="2746">
        <f t="shared" si="567"/>
        <v>-94.874908141243111</v>
      </c>
      <c r="DH248" s="2748">
        <f t="shared" si="567"/>
        <v>-237.16182302589206</v>
      </c>
      <c r="DI248" s="2748">
        <f t="shared" si="567"/>
        <v>-163.48335059259756</v>
      </c>
      <c r="DJ248" s="2748">
        <f t="shared" si="567"/>
        <v>-230.52845669957856</v>
      </c>
      <c r="DK248" s="2748">
        <f t="shared" si="567"/>
        <v>37.183981204395032</v>
      </c>
      <c r="DL248" s="2746">
        <f t="shared" si="567"/>
        <v>-143.2123653236761</v>
      </c>
      <c r="DM248" s="2748">
        <f t="shared" si="567"/>
        <v>-220.86000750341839</v>
      </c>
      <c r="DN248" s="2748">
        <f t="shared" si="567"/>
        <v>-678.45457539764448</v>
      </c>
      <c r="DO248" s="2748">
        <f t="shared" si="567"/>
        <v>216.52213546062947</v>
      </c>
      <c r="DP248" s="2748">
        <f t="shared" si="567"/>
        <v>783.40949665637766</v>
      </c>
      <c r="DQ248" s="2746">
        <f t="shared" si="567"/>
        <v>-104.3893917514166</v>
      </c>
      <c r="DR248" s="2748"/>
      <c r="DS248" s="2748"/>
      <c r="DT248" s="2748"/>
      <c r="DU248" s="2748"/>
      <c r="DV248" s="2746"/>
      <c r="DW248" s="2748"/>
      <c r="DX248" s="2748"/>
      <c r="DY248" s="2748"/>
      <c r="DZ248" s="2748"/>
      <c r="EA248" s="2746"/>
      <c r="EB248" s="2748"/>
      <c r="EC248" s="2748"/>
      <c r="ED248" s="2748"/>
      <c r="EE248" s="2748"/>
      <c r="EF248" s="2746"/>
      <c r="EG248" s="2748"/>
      <c r="EH248" s="2748"/>
      <c r="EI248" s="2748"/>
      <c r="EJ248" s="2748"/>
      <c r="EK248" s="2746"/>
      <c r="EL248" s="2748"/>
      <c r="EM248" s="2748"/>
      <c r="EN248" s="2748"/>
      <c r="EO248" s="2748"/>
      <c r="EP248" s="2746"/>
      <c r="EQ248" s="2748"/>
      <c r="ER248" s="2748"/>
      <c r="ES248" s="2748"/>
      <c r="ET248" s="2748"/>
      <c r="EU248" s="2746"/>
      <c r="EV248" s="2746"/>
      <c r="EW248" s="2746"/>
      <c r="EX248" s="2746"/>
      <c r="EY248" s="2746"/>
      <c r="EZ248" s="767"/>
      <c r="FA248" s="4276"/>
      <c r="FB248" s="4276"/>
    </row>
    <row r="249" spans="1:159" s="766" customFormat="1" hidden="1">
      <c r="A249" s="4480" t="s">
        <v>676</v>
      </c>
      <c r="B249" s="2749"/>
      <c r="C249" s="2749"/>
      <c r="D249" s="2749"/>
      <c r="E249" s="2749"/>
      <c r="F249" s="2749"/>
      <c r="G249" s="2749"/>
      <c r="H249" s="2749"/>
      <c r="I249" s="2749"/>
      <c r="J249" s="2749"/>
      <c r="K249" s="2749"/>
      <c r="L249" s="2749"/>
      <c r="M249" s="2749"/>
      <c r="N249" s="2749"/>
      <c r="O249" s="2749"/>
      <c r="P249" s="2749"/>
      <c r="Q249" s="2749"/>
      <c r="R249" s="2749"/>
      <c r="S249" s="2749"/>
      <c r="T249" s="2749"/>
      <c r="U249" s="2749"/>
      <c r="V249" s="2749"/>
      <c r="W249" s="2749"/>
      <c r="X249" s="2749"/>
      <c r="Y249" s="2749"/>
      <c r="Z249" s="2749"/>
      <c r="AA249" s="2749"/>
      <c r="AB249" s="2749"/>
      <c r="AC249" s="2749"/>
      <c r="AD249" s="2749"/>
      <c r="AE249" s="2749"/>
      <c r="AF249" s="2749"/>
      <c r="AG249" s="2749"/>
      <c r="AH249" s="2749"/>
      <c r="AI249" s="2749"/>
      <c r="AJ249" s="2749"/>
      <c r="AK249" s="2749"/>
      <c r="AL249" s="2749"/>
      <c r="AM249" s="2749"/>
      <c r="AN249" s="2749"/>
      <c r="AO249" s="2749"/>
      <c r="AP249" s="2749"/>
      <c r="AQ249" s="2749"/>
      <c r="AR249" s="2749"/>
      <c r="AS249" s="2749"/>
      <c r="AT249" s="2749"/>
      <c r="AU249" s="2749"/>
      <c r="AV249" s="2749"/>
      <c r="AW249" s="2749"/>
      <c r="AX249" s="2749"/>
      <c r="AY249" s="2749"/>
      <c r="AZ249" s="2749"/>
      <c r="BA249" s="2749"/>
      <c r="BB249" s="2749"/>
      <c r="BC249" s="2749"/>
      <c r="BD249" s="2749"/>
      <c r="BE249" s="2749"/>
      <c r="BF249" s="2749"/>
      <c r="BG249" s="2749"/>
      <c r="BH249" s="2749"/>
      <c r="BI249" s="2749"/>
      <c r="BJ249" s="2749"/>
      <c r="BK249" s="2749"/>
      <c r="BL249" s="2749"/>
      <c r="BM249" s="2749"/>
      <c r="BN249" s="2749"/>
      <c r="BO249" s="2749"/>
      <c r="BP249" s="2749"/>
      <c r="BQ249" s="2749"/>
      <c r="BR249" s="2749"/>
      <c r="BS249" s="2749"/>
      <c r="BT249" s="2749"/>
      <c r="BU249" s="2749"/>
      <c r="BV249" s="2749"/>
      <c r="BW249" s="2749"/>
      <c r="BX249" s="2749"/>
      <c r="BY249" s="2749"/>
      <c r="BZ249" s="2749"/>
      <c r="CA249" s="2749"/>
      <c r="CB249" s="2749"/>
      <c r="CC249" s="2749"/>
      <c r="CD249" s="2749"/>
      <c r="CE249" s="2749"/>
      <c r="CF249" s="2749"/>
      <c r="CG249" s="2749"/>
      <c r="CH249" s="2750"/>
      <c r="CI249" s="2751"/>
      <c r="CJ249" s="2751"/>
      <c r="CK249" s="2751"/>
      <c r="CL249" s="2751"/>
      <c r="CM249" s="2752"/>
      <c r="CN249" s="2753"/>
      <c r="CO249" s="2753"/>
      <c r="CP249" s="2753"/>
      <c r="CQ249" s="2754"/>
      <c r="CR249" s="2752"/>
      <c r="CS249" s="2754">
        <f>(CS247-CQ247)*10000</f>
        <v>-107.98378461646385</v>
      </c>
      <c r="CT249" s="2754">
        <f>(CT247-CS247)*10000</f>
        <v>200.79348774665439</v>
      </c>
      <c r="CU249" s="2754">
        <f>(CU247-CT247)*10000</f>
        <v>-282.80189507253584</v>
      </c>
      <c r="CV249" s="2754">
        <f>(CV247-CU247)*10000</f>
        <v>13.71023177184072</v>
      </c>
      <c r="CW249" s="2752"/>
      <c r="CX249" s="2754">
        <f>(CX247-CV247)*10000</f>
        <v>-37.001428384160761</v>
      </c>
      <c r="CY249" s="2754">
        <f>(CY247-CX247)*10000</f>
        <v>-44.326463889016729</v>
      </c>
      <c r="CZ249" s="2754">
        <f>(CZ247-CY247)*10000</f>
        <v>193.24509553916903</v>
      </c>
      <c r="DA249" s="2754">
        <f>(DA247-CZ247)*10000</f>
        <v>-535.06600221526753</v>
      </c>
      <c r="DB249" s="2752"/>
      <c r="DC249" s="2754">
        <f>(DC247-DA247)*10000</f>
        <v>47.855919300431317</v>
      </c>
      <c r="DD249" s="2754">
        <f>(DD247-DC247)*10000</f>
        <v>46.862174667384735</v>
      </c>
      <c r="DE249" s="2754">
        <f>(DE247-DD247)*10000</f>
        <v>79.63386864313749</v>
      </c>
      <c r="DF249" s="2754">
        <f>(DF247-DE247)*10000</f>
        <v>-479.22510703924223</v>
      </c>
      <c r="DG249" s="2752"/>
      <c r="DH249" s="2754">
        <f>(DH247-DF247)*10000</f>
        <v>115.56724070282797</v>
      </c>
      <c r="DI249" s="2754">
        <f>(DI247-DH247)*10000</f>
        <v>120.54064710067924</v>
      </c>
      <c r="DJ249" s="2754">
        <f>(DJ247-DI247)*10000</f>
        <v>12.588762536156484</v>
      </c>
      <c r="DK249" s="2754">
        <f>(DK247-DJ247)*10000</f>
        <v>-211.51266913526868</v>
      </c>
      <c r="DL249" s="2752"/>
      <c r="DM249" s="2754">
        <f>(DM247-DK247)*10000</f>
        <v>-142.47674800498544</v>
      </c>
      <c r="DN249" s="2754">
        <f>(DN247-DM247)*10000</f>
        <v>-337.05392079354692</v>
      </c>
      <c r="DO249" s="2754">
        <f>(DO247-DN247)*10000</f>
        <v>907.56547339443046</v>
      </c>
      <c r="DP249" s="2754">
        <f>(DP247-DO247)*10000</f>
        <v>355.37469206047945</v>
      </c>
      <c r="DQ249" s="2752"/>
      <c r="DR249" s="2754"/>
      <c r="DS249" s="2754"/>
      <c r="DT249" s="2754"/>
      <c r="DU249" s="2754"/>
      <c r="DV249" s="2752"/>
      <c r="DW249" s="2754"/>
      <c r="DX249" s="2754"/>
      <c r="DY249" s="2754"/>
      <c r="DZ249" s="2754"/>
      <c r="EA249" s="2752"/>
      <c r="EB249" s="2754"/>
      <c r="EC249" s="2754"/>
      <c r="ED249" s="2754"/>
      <c r="EE249" s="2754"/>
      <c r="EF249" s="2752"/>
      <c r="EG249" s="2754"/>
      <c r="EH249" s="2754"/>
      <c r="EI249" s="2754"/>
      <c r="EJ249" s="2754"/>
      <c r="EK249" s="2752"/>
      <c r="EL249" s="2754"/>
      <c r="EM249" s="2754"/>
      <c r="EN249" s="2754"/>
      <c r="EO249" s="2754"/>
      <c r="EP249" s="2752"/>
      <c r="EQ249" s="2754"/>
      <c r="ER249" s="2754"/>
      <c r="ES249" s="2754"/>
      <c r="ET249" s="2754"/>
      <c r="EU249" s="2752"/>
      <c r="EV249" s="2752"/>
      <c r="EW249" s="2752"/>
      <c r="EX249" s="2752"/>
      <c r="EY249" s="2752"/>
      <c r="EZ249" s="767"/>
      <c r="FA249" s="4276"/>
      <c r="FB249" s="4276"/>
    </row>
    <row r="250" spans="1:159" s="768" customFormat="1" hidden="1">
      <c r="A250" s="4481" t="s">
        <v>551</v>
      </c>
      <c r="B250" s="2755"/>
      <c r="C250" s="2755"/>
      <c r="D250" s="2755"/>
      <c r="E250" s="2755"/>
      <c r="F250" s="2755"/>
      <c r="G250" s="2755"/>
      <c r="H250" s="2755"/>
      <c r="I250" s="2755"/>
      <c r="J250" s="2755"/>
      <c r="K250" s="2755"/>
      <c r="L250" s="2755"/>
      <c r="M250" s="2755"/>
      <c r="N250" s="2755"/>
      <c r="O250" s="2755"/>
      <c r="P250" s="2755"/>
      <c r="Q250" s="2755"/>
      <c r="R250" s="2755"/>
      <c r="S250" s="2755"/>
      <c r="T250" s="2755"/>
      <c r="U250" s="2755"/>
      <c r="V250" s="2755"/>
      <c r="W250" s="2755"/>
      <c r="X250" s="2755"/>
      <c r="Y250" s="2755"/>
      <c r="Z250" s="2755"/>
      <c r="AA250" s="2755"/>
      <c r="AB250" s="2755"/>
      <c r="AC250" s="2755"/>
      <c r="AD250" s="2755"/>
      <c r="AE250" s="2755"/>
      <c r="AF250" s="2755"/>
      <c r="AG250" s="2755"/>
      <c r="AH250" s="2755"/>
      <c r="AI250" s="2755"/>
      <c r="AJ250" s="2755"/>
      <c r="AK250" s="2755"/>
      <c r="AL250" s="2755"/>
      <c r="AM250" s="2755"/>
      <c r="AN250" s="2755"/>
      <c r="AO250" s="2755"/>
      <c r="AP250" s="2755"/>
      <c r="AQ250" s="2755"/>
      <c r="AR250" s="2755"/>
      <c r="AS250" s="2755"/>
      <c r="AT250" s="2755"/>
      <c r="AU250" s="2755"/>
      <c r="AV250" s="2755"/>
      <c r="AW250" s="2755"/>
      <c r="AX250" s="2755"/>
      <c r="AY250" s="2755"/>
      <c r="AZ250" s="2755"/>
      <c r="BA250" s="2755"/>
      <c r="BB250" s="2755"/>
      <c r="BC250" s="2755"/>
      <c r="BD250" s="2755"/>
      <c r="BE250" s="2755"/>
      <c r="BF250" s="2755"/>
      <c r="BG250" s="2755"/>
      <c r="BH250" s="2755"/>
      <c r="BI250" s="2755"/>
      <c r="BJ250" s="2755"/>
      <c r="BK250" s="2755"/>
      <c r="BL250" s="2755"/>
      <c r="BM250" s="2755"/>
      <c r="BN250" s="2755"/>
      <c r="BO250" s="2755"/>
      <c r="BP250" s="2755"/>
      <c r="BQ250" s="2755"/>
      <c r="BR250" s="2755"/>
      <c r="BS250" s="2755"/>
      <c r="BT250" s="2755"/>
      <c r="BU250" s="2755"/>
      <c r="BV250" s="2755"/>
      <c r="BW250" s="2755"/>
      <c r="BX250" s="2755"/>
      <c r="BY250" s="2755"/>
      <c r="BZ250" s="2755"/>
      <c r="CA250" s="2755"/>
      <c r="CB250" s="2755"/>
      <c r="CC250" s="2755"/>
      <c r="CD250" s="2755"/>
      <c r="CE250" s="2755"/>
      <c r="CF250" s="2755"/>
      <c r="CG250" s="2755"/>
      <c r="CH250" s="2756">
        <f>+CH200/CH$193</f>
        <v>0.34537986199938747</v>
      </c>
      <c r="CI250" s="2757" t="str">
        <f>+IFERROR(CI200/CI$193,"N/A")</f>
        <v>N/A</v>
      </c>
      <c r="CJ250" s="2757" t="str">
        <f>+IFERROR(CJ200/CJ$193,"N/A")</f>
        <v>N/A</v>
      </c>
      <c r="CK250" s="2757" t="str">
        <f>+IFERROR(CK200/CK$193,"N/A")</f>
        <v>N/A</v>
      </c>
      <c r="CL250" s="2758">
        <f t="shared" ref="CL250:DQ250" si="568">+CL200/CL$193</f>
        <v>0.35011390787353447</v>
      </c>
      <c r="CM250" s="2759">
        <f t="shared" si="568"/>
        <v>0.3454639583396778</v>
      </c>
      <c r="CN250" s="2760">
        <f t="shared" si="568"/>
        <v>0.36342996856444287</v>
      </c>
      <c r="CO250" s="2760">
        <f t="shared" si="568"/>
        <v>0.37410071942446044</v>
      </c>
      <c r="CP250" s="2760">
        <f t="shared" si="568"/>
        <v>0.38210855724614223</v>
      </c>
      <c r="CQ250" s="2760">
        <f t="shared" si="568"/>
        <v>0.37877142452429291</v>
      </c>
      <c r="CR250" s="2759">
        <f t="shared" si="568"/>
        <v>0.3749597553122988</v>
      </c>
      <c r="CS250" s="2760">
        <f t="shared" si="568"/>
        <v>0.37666733028070876</v>
      </c>
      <c r="CT250" s="2760">
        <f t="shared" si="568"/>
        <v>0.39005395261552894</v>
      </c>
      <c r="CU250" s="2760">
        <f t="shared" si="568"/>
        <v>0.37772984631976275</v>
      </c>
      <c r="CV250" s="2760">
        <f t="shared" si="568"/>
        <v>0.36958375319742653</v>
      </c>
      <c r="CW250" s="2759">
        <f t="shared" si="568"/>
        <v>0.37807808814817301</v>
      </c>
      <c r="CX250" s="2760">
        <f t="shared" si="568"/>
        <v>0.37890974084003576</v>
      </c>
      <c r="CY250" s="2760">
        <f t="shared" si="568"/>
        <v>0.36846370547601592</v>
      </c>
      <c r="CZ250" s="2760">
        <f t="shared" si="568"/>
        <v>0.37143373711806182</v>
      </c>
      <c r="DA250" s="2760">
        <f t="shared" si="568"/>
        <v>0.32017271371769385</v>
      </c>
      <c r="DB250" s="2759">
        <f t="shared" si="568"/>
        <v>0.35690701692492788</v>
      </c>
      <c r="DC250" s="2760">
        <f t="shared" si="568"/>
        <v>0.34430249064395407</v>
      </c>
      <c r="DD250" s="2760">
        <f t="shared" si="568"/>
        <v>0.34593380905511811</v>
      </c>
      <c r="DE250" s="2760">
        <f t="shared" si="568"/>
        <v>0.34413883431565162</v>
      </c>
      <c r="DF250" s="2760">
        <f t="shared" si="568"/>
        <v>0.29919483050412843</v>
      </c>
      <c r="DG250" s="2759">
        <f t="shared" si="568"/>
        <v>0.33108930640501022</v>
      </c>
      <c r="DH250" s="2760">
        <f t="shared" si="568"/>
        <v>0.3274866785079929</v>
      </c>
      <c r="DI250" s="2760">
        <f t="shared" si="568"/>
        <v>0.33304028546310183</v>
      </c>
      <c r="DJ250" s="2760">
        <f t="shared" si="568"/>
        <v>0.32855189558732134</v>
      </c>
      <c r="DK250" s="2760">
        <f t="shared" si="568"/>
        <v>0.30476730987514189</v>
      </c>
      <c r="DL250" s="2759">
        <f t="shared" si="568"/>
        <v>0.32261435956775725</v>
      </c>
      <c r="DM250" s="2760">
        <f t="shared" si="568"/>
        <v>0.31253203172666261</v>
      </c>
      <c r="DN250" s="2760">
        <f>+DN200/DN$193</f>
        <v>0.29577872519606296</v>
      </c>
      <c r="DO250" s="2760">
        <f>+DO200/DO$193</f>
        <v>0.35130495251754784</v>
      </c>
      <c r="DP250" s="2760">
        <f t="shared" si="568"/>
        <v>0.36821645033860045</v>
      </c>
      <c r="DQ250" s="2759">
        <f t="shared" si="568"/>
        <v>0.33622654352923048</v>
      </c>
      <c r="DR250" s="2760"/>
      <c r="DS250" s="2760"/>
      <c r="DT250" s="2760"/>
      <c r="DU250" s="2760"/>
      <c r="DV250" s="2759"/>
      <c r="DW250" s="2760"/>
      <c r="DX250" s="2760"/>
      <c r="DY250" s="2760"/>
      <c r="DZ250" s="2760"/>
      <c r="EA250" s="2759"/>
      <c r="EB250" s="2760"/>
      <c r="EC250" s="2760"/>
      <c r="ED250" s="2760"/>
      <c r="EE250" s="2760"/>
      <c r="EF250" s="2759"/>
      <c r="EG250" s="2760"/>
      <c r="EH250" s="2760"/>
      <c r="EI250" s="2760"/>
      <c r="EJ250" s="2760"/>
      <c r="EK250" s="2759"/>
      <c r="EL250" s="2760"/>
      <c r="EM250" s="2760"/>
      <c r="EN250" s="2760"/>
      <c r="EO250" s="2760"/>
      <c r="EP250" s="2759"/>
      <c r="EQ250" s="2760"/>
      <c r="ER250" s="2760"/>
      <c r="ES250" s="2760"/>
      <c r="ET250" s="2760"/>
      <c r="EU250" s="2759"/>
      <c r="EV250" s="2759"/>
      <c r="EW250" s="2759"/>
      <c r="EX250" s="2759"/>
      <c r="EY250" s="2759"/>
      <c r="FA250" s="1319"/>
      <c r="FB250" s="1319"/>
    </row>
    <row r="251" spans="1:159" s="766" customFormat="1" hidden="1">
      <c r="A251" s="4479" t="s">
        <v>675</v>
      </c>
      <c r="B251" s="2743"/>
      <c r="C251" s="2743"/>
      <c r="D251" s="2743"/>
      <c r="E251" s="2743"/>
      <c r="F251" s="2743"/>
      <c r="G251" s="2743"/>
      <c r="H251" s="2743"/>
      <c r="I251" s="2743"/>
      <c r="J251" s="2743"/>
      <c r="K251" s="2743"/>
      <c r="L251" s="2743"/>
      <c r="M251" s="2743"/>
      <c r="N251" s="2743"/>
      <c r="O251" s="2743"/>
      <c r="P251" s="2743"/>
      <c r="Q251" s="2743"/>
      <c r="R251" s="2743"/>
      <c r="S251" s="2743"/>
      <c r="T251" s="2743"/>
      <c r="U251" s="2743"/>
      <c r="V251" s="2743"/>
      <c r="W251" s="2743"/>
      <c r="X251" s="2743"/>
      <c r="Y251" s="2743"/>
      <c r="Z251" s="2743"/>
      <c r="AA251" s="2743"/>
      <c r="AB251" s="2743"/>
      <c r="AC251" s="2743"/>
      <c r="AD251" s="2743"/>
      <c r="AE251" s="2743"/>
      <c r="AF251" s="2743"/>
      <c r="AG251" s="2743"/>
      <c r="AH251" s="2743"/>
      <c r="AI251" s="2743"/>
      <c r="AJ251" s="2743"/>
      <c r="AK251" s="2743"/>
      <c r="AL251" s="2743"/>
      <c r="AM251" s="2743"/>
      <c r="AN251" s="2743"/>
      <c r="AO251" s="2743"/>
      <c r="AP251" s="2743"/>
      <c r="AQ251" s="2743"/>
      <c r="AR251" s="2743"/>
      <c r="AS251" s="2743"/>
      <c r="AT251" s="2743"/>
      <c r="AU251" s="2743"/>
      <c r="AV251" s="2743"/>
      <c r="AW251" s="2743"/>
      <c r="AX251" s="2743"/>
      <c r="AY251" s="2743"/>
      <c r="AZ251" s="2743"/>
      <c r="BA251" s="2743"/>
      <c r="BB251" s="2743"/>
      <c r="BC251" s="2743"/>
      <c r="BD251" s="2743"/>
      <c r="BE251" s="2743"/>
      <c r="BF251" s="2743"/>
      <c r="BG251" s="2743"/>
      <c r="BH251" s="2743"/>
      <c r="BI251" s="2743"/>
      <c r="BJ251" s="2743"/>
      <c r="BK251" s="2743"/>
      <c r="BL251" s="2743"/>
      <c r="BM251" s="2743"/>
      <c r="BN251" s="2743"/>
      <c r="BO251" s="2743"/>
      <c r="BP251" s="2743"/>
      <c r="BQ251" s="2743"/>
      <c r="BR251" s="2743"/>
      <c r="BS251" s="2743"/>
      <c r="BT251" s="2743"/>
      <c r="BU251" s="2743"/>
      <c r="BV251" s="2743"/>
      <c r="BW251" s="2743"/>
      <c r="BX251" s="2743"/>
      <c r="BY251" s="2743"/>
      <c r="BZ251" s="2743"/>
      <c r="CA251" s="2743"/>
      <c r="CB251" s="2743"/>
      <c r="CC251" s="2743"/>
      <c r="CD251" s="2743"/>
      <c r="CE251" s="2743"/>
      <c r="CF251" s="2743"/>
      <c r="CG251" s="2743"/>
      <c r="CH251" s="2744"/>
      <c r="CI251" s="2745"/>
      <c r="CJ251" s="2745"/>
      <c r="CK251" s="2745"/>
      <c r="CL251" s="2745"/>
      <c r="CM251" s="2746">
        <f>(CM250-CH250)*10000</f>
        <v>0.84096340290329419</v>
      </c>
      <c r="CN251" s="2747" t="s">
        <v>116</v>
      </c>
      <c r="CO251" s="2747" t="s">
        <v>116</v>
      </c>
      <c r="CP251" s="2747" t="s">
        <v>116</v>
      </c>
      <c r="CQ251" s="2748">
        <f t="shared" ref="CQ251:CW251" si="569">(CQ250-CL250)*10000</f>
        <v>286.57516650758441</v>
      </c>
      <c r="CR251" s="2746">
        <f t="shared" si="569"/>
        <v>294.95796972621002</v>
      </c>
      <c r="CS251" s="2748">
        <f t="shared" si="569"/>
        <v>132.37361716265883</v>
      </c>
      <c r="CT251" s="2747">
        <f t="shared" si="569"/>
        <v>159.53233191068506</v>
      </c>
      <c r="CU251" s="2747">
        <f t="shared" si="569"/>
        <v>-43.787109263794811</v>
      </c>
      <c r="CV251" s="2748">
        <f t="shared" si="569"/>
        <v>-91.876713268663764</v>
      </c>
      <c r="CW251" s="2746">
        <f t="shared" si="569"/>
        <v>31.183328358742045</v>
      </c>
      <c r="CX251" s="2748">
        <f t="shared" ref="CX251:DQ251" si="570">(CX250-CS250)*10000</f>
        <v>22.424105593270017</v>
      </c>
      <c r="CY251" s="2747">
        <f t="shared" si="570"/>
        <v>-215.90247139513019</v>
      </c>
      <c r="CZ251" s="2747">
        <f t="shared" si="570"/>
        <v>-62.961092017009278</v>
      </c>
      <c r="DA251" s="2748">
        <f t="shared" si="570"/>
        <v>-494.11039479732688</v>
      </c>
      <c r="DB251" s="2746">
        <f t="shared" si="570"/>
        <v>-211.7107122324513</v>
      </c>
      <c r="DC251" s="2748">
        <f t="shared" si="570"/>
        <v>-346.07250196081685</v>
      </c>
      <c r="DD251" s="2747">
        <f t="shared" si="570"/>
        <v>-225.29896420897811</v>
      </c>
      <c r="DE251" s="2747">
        <f t="shared" si="570"/>
        <v>-272.94902802410206</v>
      </c>
      <c r="DF251" s="2748">
        <f t="shared" si="570"/>
        <v>-209.77883213565417</v>
      </c>
      <c r="DG251" s="2746">
        <f t="shared" si="570"/>
        <v>-258.17710519917659</v>
      </c>
      <c r="DH251" s="2748">
        <f t="shared" si="570"/>
        <v>-168.15812135961173</v>
      </c>
      <c r="DI251" s="2747">
        <f t="shared" si="570"/>
        <v>-128.93523592016288</v>
      </c>
      <c r="DJ251" s="2747">
        <f t="shared" si="570"/>
        <v>-155.86938728330279</v>
      </c>
      <c r="DK251" s="2748">
        <f t="shared" si="570"/>
        <v>55.724793710134612</v>
      </c>
      <c r="DL251" s="2746">
        <f t="shared" si="570"/>
        <v>-84.749468372529719</v>
      </c>
      <c r="DM251" s="2748">
        <f t="shared" si="570"/>
        <v>-149.54646781330294</v>
      </c>
      <c r="DN251" s="2747">
        <f t="shared" si="570"/>
        <v>-372.61560267038863</v>
      </c>
      <c r="DO251" s="2747">
        <f t="shared" si="570"/>
        <v>227.53056930226501</v>
      </c>
      <c r="DP251" s="2748">
        <f t="shared" si="570"/>
        <v>634.49140463458559</v>
      </c>
      <c r="DQ251" s="2746">
        <f t="shared" si="570"/>
        <v>136.12183961473235</v>
      </c>
      <c r="DR251" s="2748"/>
      <c r="DS251" s="2748"/>
      <c r="DT251" s="2748"/>
      <c r="DU251" s="2748"/>
      <c r="DV251" s="2746"/>
      <c r="DW251" s="2748"/>
      <c r="DX251" s="2748"/>
      <c r="DY251" s="2748"/>
      <c r="DZ251" s="2748"/>
      <c r="EA251" s="2746"/>
      <c r="EB251" s="2748"/>
      <c r="EC251" s="2748"/>
      <c r="ED251" s="2748"/>
      <c r="EE251" s="2748"/>
      <c r="EF251" s="2746"/>
      <c r="EG251" s="2748"/>
      <c r="EH251" s="2748"/>
      <c r="EI251" s="2748"/>
      <c r="EJ251" s="2748"/>
      <c r="EK251" s="2746"/>
      <c r="EL251" s="2748"/>
      <c r="EM251" s="2748"/>
      <c r="EN251" s="2748"/>
      <c r="EO251" s="2748"/>
      <c r="EP251" s="2746"/>
      <c r="EQ251" s="2748"/>
      <c r="ER251" s="2748"/>
      <c r="ES251" s="2748"/>
      <c r="ET251" s="2748"/>
      <c r="EU251" s="2746"/>
      <c r="EV251" s="2746"/>
      <c r="EW251" s="2746"/>
      <c r="EX251" s="2746"/>
      <c r="EY251" s="2746"/>
      <c r="EZ251" s="767"/>
      <c r="FA251" s="4276"/>
      <c r="FB251" s="4276"/>
    </row>
    <row r="252" spans="1:159" s="766" customFormat="1" hidden="1">
      <c r="A252" s="4479" t="s">
        <v>676</v>
      </c>
      <c r="B252" s="2743"/>
      <c r="C252" s="2743"/>
      <c r="D252" s="2743"/>
      <c r="E252" s="2743"/>
      <c r="F252" s="2743"/>
      <c r="G252" s="2743"/>
      <c r="H252" s="2743"/>
      <c r="I252" s="2743"/>
      <c r="J252" s="2743"/>
      <c r="K252" s="2743"/>
      <c r="L252" s="2743"/>
      <c r="M252" s="2743"/>
      <c r="N252" s="2743"/>
      <c r="O252" s="2743"/>
      <c r="P252" s="2743"/>
      <c r="Q252" s="2743"/>
      <c r="R252" s="2743"/>
      <c r="S252" s="2743"/>
      <c r="T252" s="2743"/>
      <c r="U252" s="2743"/>
      <c r="V252" s="2743"/>
      <c r="W252" s="2743"/>
      <c r="X252" s="2743"/>
      <c r="Y252" s="2743"/>
      <c r="Z252" s="2743"/>
      <c r="AA252" s="2743"/>
      <c r="AB252" s="2743"/>
      <c r="AC252" s="2743"/>
      <c r="AD252" s="2743"/>
      <c r="AE252" s="2743"/>
      <c r="AF252" s="2743"/>
      <c r="AG252" s="2743"/>
      <c r="AH252" s="2743"/>
      <c r="AI252" s="2743"/>
      <c r="AJ252" s="2743"/>
      <c r="AK252" s="2743"/>
      <c r="AL252" s="2743"/>
      <c r="AM252" s="2743"/>
      <c r="AN252" s="2743"/>
      <c r="AO252" s="2743"/>
      <c r="AP252" s="2743"/>
      <c r="AQ252" s="2743"/>
      <c r="AR252" s="2743"/>
      <c r="AS252" s="2743"/>
      <c r="AT252" s="2743"/>
      <c r="AU252" s="2743"/>
      <c r="AV252" s="2743"/>
      <c r="AW252" s="2743"/>
      <c r="AX252" s="2743"/>
      <c r="AY252" s="2743"/>
      <c r="AZ252" s="2743"/>
      <c r="BA252" s="2743"/>
      <c r="BB252" s="2743"/>
      <c r="BC252" s="2743"/>
      <c r="BD252" s="2743"/>
      <c r="BE252" s="2743"/>
      <c r="BF252" s="2743"/>
      <c r="BG252" s="2743"/>
      <c r="BH252" s="2743"/>
      <c r="BI252" s="2743"/>
      <c r="BJ252" s="2743"/>
      <c r="BK252" s="2743"/>
      <c r="BL252" s="2743"/>
      <c r="BM252" s="2743"/>
      <c r="BN252" s="2743"/>
      <c r="BO252" s="2743"/>
      <c r="BP252" s="2743"/>
      <c r="BQ252" s="2743"/>
      <c r="BR252" s="2743"/>
      <c r="BS252" s="2743"/>
      <c r="BT252" s="2743"/>
      <c r="BU252" s="2743"/>
      <c r="BV252" s="2743"/>
      <c r="BW252" s="2743"/>
      <c r="BX252" s="2743"/>
      <c r="BY252" s="2743"/>
      <c r="BZ252" s="2743"/>
      <c r="CA252" s="2743"/>
      <c r="CB252" s="2743"/>
      <c r="CC252" s="2743"/>
      <c r="CD252" s="2743"/>
      <c r="CE252" s="2743"/>
      <c r="CF252" s="2743"/>
      <c r="CG252" s="2743"/>
      <c r="CH252" s="2744"/>
      <c r="CI252" s="2745"/>
      <c r="CJ252" s="2745"/>
      <c r="CK252" s="2745"/>
      <c r="CL252" s="2745"/>
      <c r="CM252" s="2746"/>
      <c r="CN252" s="2747"/>
      <c r="CO252" s="2747"/>
      <c r="CP252" s="2747"/>
      <c r="CQ252" s="2748"/>
      <c r="CR252" s="2746"/>
      <c r="CS252" s="2748">
        <f>(CS250-CQ250)*10000</f>
        <v>-21.040942435841536</v>
      </c>
      <c r="CT252" s="2748">
        <f>(CT250-CS250)*10000</f>
        <v>133.86622334820186</v>
      </c>
      <c r="CU252" s="2748">
        <f>(CU250-CT250)*10000</f>
        <v>-123.24106295766191</v>
      </c>
      <c r="CV252" s="2748">
        <f>(CV250-CU250)*10000</f>
        <v>-81.460931223362181</v>
      </c>
      <c r="CW252" s="2746"/>
      <c r="CX252" s="2748">
        <f>(CX250-CV250)*10000</f>
        <v>93.259876426092234</v>
      </c>
      <c r="CY252" s="2748">
        <f>(CY250-CX250)*10000</f>
        <v>-104.46035364019835</v>
      </c>
      <c r="CZ252" s="2748">
        <f>(CZ250-CY250)*10000</f>
        <v>29.700316420459004</v>
      </c>
      <c r="DA252" s="2748">
        <f>(DA250-CZ250)*10000</f>
        <v>-512.61023400367981</v>
      </c>
      <c r="DB252" s="2746"/>
      <c r="DC252" s="2748">
        <f>(DC250-DA250)*10000</f>
        <v>241.29776926260226</v>
      </c>
      <c r="DD252" s="2748">
        <f>(DD250-DC250)*10000</f>
        <v>16.3131841116404</v>
      </c>
      <c r="DE252" s="2748">
        <f>(DE250-DD250)*10000</f>
        <v>-17.949747394664929</v>
      </c>
      <c r="DF252" s="2748">
        <f>(DF250-DE250)*10000</f>
        <v>-449.44003811523191</v>
      </c>
      <c r="DG252" s="2746"/>
      <c r="DH252" s="2748">
        <f>(DH250-DF250)*10000</f>
        <v>282.9184800386447</v>
      </c>
      <c r="DI252" s="2748">
        <f>(DI250-DH250)*10000</f>
        <v>55.536069551089248</v>
      </c>
      <c r="DJ252" s="2748">
        <f>(DJ250-DI250)*10000</f>
        <v>-44.88389875780485</v>
      </c>
      <c r="DK252" s="2748">
        <f>(DK250-DJ250)*10000</f>
        <v>-237.84585712179452</v>
      </c>
      <c r="DL252" s="2746"/>
      <c r="DM252" s="2748">
        <f>(DM250-DL250)*10000</f>
        <v>-100.8232784109464</v>
      </c>
      <c r="DN252" s="2748">
        <f>(DN250-DM250)*10000</f>
        <v>-167.53306530599644</v>
      </c>
      <c r="DO252" s="2748">
        <f>(DO250-DN250)*10000</f>
        <v>555.26227321484873</v>
      </c>
      <c r="DP252" s="2748">
        <f>(DP250-DO250)*10000</f>
        <v>169.11497821052612</v>
      </c>
      <c r="DQ252" s="2746"/>
      <c r="DR252" s="2748"/>
      <c r="DS252" s="2748"/>
      <c r="DT252" s="2748"/>
      <c r="DU252" s="2748"/>
      <c r="DV252" s="2746"/>
      <c r="DW252" s="2748"/>
      <c r="DX252" s="2748"/>
      <c r="DY252" s="2748"/>
      <c r="DZ252" s="2748"/>
      <c r="EA252" s="2746"/>
      <c r="EB252" s="2748"/>
      <c r="EC252" s="2748"/>
      <c r="ED252" s="2748"/>
      <c r="EE252" s="2748"/>
      <c r="EF252" s="2746"/>
      <c r="EG252" s="2748"/>
      <c r="EH252" s="2748"/>
      <c r="EI252" s="2748"/>
      <c r="EJ252" s="2748"/>
      <c r="EK252" s="2746"/>
      <c r="EL252" s="2748"/>
      <c r="EM252" s="2748"/>
      <c r="EN252" s="2748"/>
      <c r="EO252" s="2748"/>
      <c r="EP252" s="2746"/>
      <c r="EQ252" s="2748"/>
      <c r="ER252" s="2748"/>
      <c r="ES252" s="2748"/>
      <c r="ET252" s="2748"/>
      <c r="EU252" s="2746"/>
      <c r="EV252" s="2746"/>
      <c r="EW252" s="2746"/>
      <c r="EX252" s="2746"/>
      <c r="EY252" s="2746"/>
      <c r="EZ252" s="767"/>
      <c r="FA252" s="4276"/>
      <c r="FB252" s="4276"/>
    </row>
    <row r="253" spans="1:159" s="768" customFormat="1" hidden="1">
      <c r="A253" s="4477" t="s">
        <v>550</v>
      </c>
      <c r="B253" s="404"/>
      <c r="C253" s="404"/>
      <c r="D253" s="404"/>
      <c r="E253" s="404"/>
      <c r="F253" s="404"/>
      <c r="G253" s="404"/>
      <c r="H253" s="404"/>
      <c r="I253" s="404"/>
      <c r="J253" s="404"/>
      <c r="K253" s="404"/>
      <c r="L253" s="404"/>
      <c r="M253" s="404"/>
      <c r="N253" s="404"/>
      <c r="O253" s="404"/>
      <c r="P253" s="404"/>
      <c r="Q253" s="404"/>
      <c r="R253" s="404"/>
      <c r="S253" s="404"/>
      <c r="T253" s="404"/>
      <c r="U253" s="404"/>
      <c r="V253" s="404"/>
      <c r="W253" s="404"/>
      <c r="X253" s="404"/>
      <c r="Y253" s="404"/>
      <c r="Z253" s="404"/>
      <c r="AA253" s="404"/>
      <c r="AB253" s="404"/>
      <c r="AC253" s="404"/>
      <c r="AD253" s="404"/>
      <c r="AE253" s="404"/>
      <c r="AF253" s="404"/>
      <c r="AG253" s="404"/>
      <c r="AH253" s="404"/>
      <c r="AI253" s="404"/>
      <c r="AJ253" s="404"/>
      <c r="AK253" s="404"/>
      <c r="AL253" s="404"/>
      <c r="AM253" s="404"/>
      <c r="AN253" s="404"/>
      <c r="AO253" s="404"/>
      <c r="AP253" s="404"/>
      <c r="AQ253" s="404"/>
      <c r="AR253" s="404"/>
      <c r="AS253" s="404"/>
      <c r="AT253" s="404"/>
      <c r="AU253" s="404"/>
      <c r="AV253" s="404"/>
      <c r="AW253" s="404"/>
      <c r="AX253" s="404"/>
      <c r="AY253" s="404"/>
      <c r="AZ253" s="404"/>
      <c r="BA253" s="404"/>
      <c r="BB253" s="404"/>
      <c r="BC253" s="404"/>
      <c r="BD253" s="404"/>
      <c r="BE253" s="404"/>
      <c r="BF253" s="404"/>
      <c r="BG253" s="404"/>
      <c r="BH253" s="404"/>
      <c r="BI253" s="404"/>
      <c r="BJ253" s="404"/>
      <c r="BK253" s="404"/>
      <c r="BL253" s="404"/>
      <c r="BM253" s="404"/>
      <c r="BN253" s="404"/>
      <c r="BO253" s="404"/>
      <c r="BP253" s="404"/>
      <c r="BQ253" s="404"/>
      <c r="BR253" s="404"/>
      <c r="BS253" s="404"/>
      <c r="BT253" s="404"/>
      <c r="BU253" s="404"/>
      <c r="BV253" s="404"/>
      <c r="BW253" s="404"/>
      <c r="BX253" s="404"/>
      <c r="BY253" s="404"/>
      <c r="BZ253" s="404"/>
      <c r="CA253" s="404"/>
      <c r="CB253" s="404"/>
      <c r="CC253" s="404"/>
      <c r="CD253" s="404"/>
      <c r="CE253" s="404"/>
      <c r="CF253" s="404"/>
      <c r="CG253" s="404"/>
      <c r="CH253" s="2737">
        <f>+CH200/CH$195</f>
        <v>0.4432601156069364</v>
      </c>
      <c r="CI253" s="2738" t="str">
        <f>+IFERROR(CI202/CI$193,"N/A")</f>
        <v>N/A</v>
      </c>
      <c r="CJ253" s="2738" t="str">
        <f>+IFERROR(CJ202/CJ$193,"N/A")</f>
        <v>N/A</v>
      </c>
      <c r="CK253" s="2738" t="str">
        <f>+IFERROR(CK202/CK$193,"N/A")</f>
        <v>N/A</v>
      </c>
      <c r="CL253" s="2739">
        <f t="shared" ref="CL253:DQ253" si="571">+CL200/CL$195</f>
        <v>0.43826945816234264</v>
      </c>
      <c r="CM253" s="2740">
        <f t="shared" si="571"/>
        <v>0.43479427377781182</v>
      </c>
      <c r="CN253" s="1856">
        <f t="shared" si="571"/>
        <v>0.451312079809152</v>
      </c>
      <c r="CO253" s="1856">
        <f t="shared" si="571"/>
        <v>0.46259456430372653</v>
      </c>
      <c r="CP253" s="1856">
        <f t="shared" si="571"/>
        <v>0.47314270443613043</v>
      </c>
      <c r="CQ253" s="1856">
        <f t="shared" si="571"/>
        <v>0.46846531184302731</v>
      </c>
      <c r="CR253" s="2740">
        <f t="shared" si="571"/>
        <v>0.46429461304629494</v>
      </c>
      <c r="CS253" s="1856">
        <f t="shared" si="571"/>
        <v>0.46418056918547596</v>
      </c>
      <c r="CT253" s="1856">
        <f t="shared" si="571"/>
        <v>0.47946943483275661</v>
      </c>
      <c r="CU253" s="1856">
        <f t="shared" si="571"/>
        <v>0.46513944223107567</v>
      </c>
      <c r="CV253" s="1856">
        <f t="shared" si="571"/>
        <v>0.45509210651904169</v>
      </c>
      <c r="CW253" s="2740">
        <f t="shared" si="571"/>
        <v>0.46544653914958029</v>
      </c>
      <c r="CX253" s="1856">
        <f t="shared" si="571"/>
        <v>0.46665666116364002</v>
      </c>
      <c r="CY253" s="1856">
        <f t="shared" si="571"/>
        <v>0.45855345307847467</v>
      </c>
      <c r="CZ253" s="1856">
        <f t="shared" si="571"/>
        <v>0.4636843768338374</v>
      </c>
      <c r="DA253" s="1856">
        <f t="shared" si="571"/>
        <v>0.40039623960842202</v>
      </c>
      <c r="DB253" s="2740">
        <f t="shared" si="571"/>
        <v>0.44393811533052041</v>
      </c>
      <c r="DC253" s="1856">
        <f t="shared" si="571"/>
        <v>0.431924882629108</v>
      </c>
      <c r="DD253" s="1856">
        <f t="shared" si="571"/>
        <v>0.4310516633450866</v>
      </c>
      <c r="DE253" s="1856">
        <f t="shared" si="571"/>
        <v>0.42799496520065156</v>
      </c>
      <c r="DF253" s="1856">
        <f t="shared" si="571"/>
        <v>0.36968506431785059</v>
      </c>
      <c r="DG253" s="2740">
        <f t="shared" si="571"/>
        <v>0.41179904410959906</v>
      </c>
      <c r="DH253" s="1856">
        <f t="shared" si="571"/>
        <v>0.40449746332099273</v>
      </c>
      <c r="DI253" s="1856">
        <f t="shared" si="571"/>
        <v>0.40972133859269627</v>
      </c>
      <c r="DJ253" s="1856">
        <f t="shared" si="571"/>
        <v>0.40372689781579352</v>
      </c>
      <c r="DK253" s="1856">
        <f t="shared" si="571"/>
        <v>0.37420599823108469</v>
      </c>
      <c r="DL253" s="2740">
        <f t="shared" si="571"/>
        <v>0.39691092503865172</v>
      </c>
      <c r="DM253" s="1856">
        <f t="shared" si="571"/>
        <v>0.38200638367687856</v>
      </c>
      <c r="DN253" s="1856">
        <f>+DN200/DN$195</f>
        <v>0.35902760030667008</v>
      </c>
      <c r="DO253" s="1856">
        <f>+DO200/DO$195</f>
        <v>0.42709571741829805</v>
      </c>
      <c r="DP253" s="1856">
        <f t="shared" si="571"/>
        <v>0.45156247242527792</v>
      </c>
      <c r="DQ253" s="2740">
        <f t="shared" si="571"/>
        <v>0.41023359209218618</v>
      </c>
      <c r="DR253" s="1856"/>
      <c r="DS253" s="1856"/>
      <c r="DT253" s="1856"/>
      <c r="DU253" s="1856"/>
      <c r="DV253" s="2740"/>
      <c r="DW253" s="1856"/>
      <c r="DX253" s="1856"/>
      <c r="DY253" s="1856"/>
      <c r="DZ253" s="1856"/>
      <c r="EA253" s="2740"/>
      <c r="EB253" s="1856"/>
      <c r="EC253" s="1856"/>
      <c r="ED253" s="1856"/>
      <c r="EE253" s="1856"/>
      <c r="EF253" s="2740"/>
      <c r="EG253" s="1856"/>
      <c r="EH253" s="1856"/>
      <c r="EI253" s="1856"/>
      <c r="EJ253" s="1856"/>
      <c r="EK253" s="2740"/>
      <c r="EL253" s="1856"/>
      <c r="EM253" s="1856"/>
      <c r="EN253" s="1856"/>
      <c r="EO253" s="1856"/>
      <c r="EP253" s="2740"/>
      <c r="EQ253" s="1856"/>
      <c r="ER253" s="1856"/>
      <c r="ES253" s="1856"/>
      <c r="ET253" s="1856"/>
      <c r="EU253" s="2740"/>
      <c r="EV253" s="2740"/>
      <c r="EW253" s="2740"/>
      <c r="EX253" s="2740"/>
      <c r="EY253" s="2740"/>
      <c r="FA253" s="1319"/>
      <c r="FB253" s="1319"/>
    </row>
    <row r="254" spans="1:159" s="766" customFormat="1" hidden="1">
      <c r="A254" s="4479" t="s">
        <v>675</v>
      </c>
      <c r="B254" s="2743"/>
      <c r="C254" s="2743"/>
      <c r="D254" s="2743"/>
      <c r="E254" s="2743"/>
      <c r="F254" s="2743"/>
      <c r="G254" s="2743"/>
      <c r="H254" s="2743"/>
      <c r="I254" s="2743"/>
      <c r="J254" s="2743"/>
      <c r="K254" s="2743"/>
      <c r="L254" s="2743"/>
      <c r="M254" s="2743"/>
      <c r="N254" s="2743"/>
      <c r="O254" s="2743"/>
      <c r="P254" s="2743"/>
      <c r="Q254" s="2743"/>
      <c r="R254" s="2743"/>
      <c r="S254" s="2743"/>
      <c r="T254" s="2743"/>
      <c r="U254" s="2743"/>
      <c r="V254" s="2743"/>
      <c r="W254" s="2743"/>
      <c r="X254" s="2743"/>
      <c r="Y254" s="2743"/>
      <c r="Z254" s="2743"/>
      <c r="AA254" s="2743"/>
      <c r="AB254" s="2743"/>
      <c r="AC254" s="2743"/>
      <c r="AD254" s="2743"/>
      <c r="AE254" s="2743"/>
      <c r="AF254" s="2743"/>
      <c r="AG254" s="2743"/>
      <c r="AH254" s="2743"/>
      <c r="AI254" s="2743"/>
      <c r="AJ254" s="2743"/>
      <c r="AK254" s="2743"/>
      <c r="AL254" s="2743"/>
      <c r="AM254" s="2743"/>
      <c r="AN254" s="2743"/>
      <c r="AO254" s="2743"/>
      <c r="AP254" s="2743"/>
      <c r="AQ254" s="2743"/>
      <c r="AR254" s="2743"/>
      <c r="AS254" s="2743"/>
      <c r="AT254" s="2743"/>
      <c r="AU254" s="2743"/>
      <c r="AV254" s="2743"/>
      <c r="AW254" s="2743"/>
      <c r="AX254" s="2743"/>
      <c r="AY254" s="2743"/>
      <c r="AZ254" s="2743"/>
      <c r="BA254" s="2743"/>
      <c r="BB254" s="2743"/>
      <c r="BC254" s="2743"/>
      <c r="BD254" s="2743"/>
      <c r="BE254" s="2743"/>
      <c r="BF254" s="2743"/>
      <c r="BG254" s="2743"/>
      <c r="BH254" s="2743"/>
      <c r="BI254" s="2743"/>
      <c r="BJ254" s="2743"/>
      <c r="BK254" s="2743"/>
      <c r="BL254" s="2743"/>
      <c r="BM254" s="2743"/>
      <c r="BN254" s="2743"/>
      <c r="BO254" s="2743"/>
      <c r="BP254" s="2743"/>
      <c r="BQ254" s="2743"/>
      <c r="BR254" s="2743"/>
      <c r="BS254" s="2743"/>
      <c r="BT254" s="2743"/>
      <c r="BU254" s="2743"/>
      <c r="BV254" s="2743"/>
      <c r="BW254" s="2743"/>
      <c r="BX254" s="2743"/>
      <c r="BY254" s="2743"/>
      <c r="BZ254" s="2743"/>
      <c r="CA254" s="2743"/>
      <c r="CB254" s="2743"/>
      <c r="CC254" s="2743"/>
      <c r="CD254" s="2743"/>
      <c r="CE254" s="2743"/>
      <c r="CF254" s="2743"/>
      <c r="CG254" s="2743"/>
      <c r="CH254" s="2744"/>
      <c r="CI254" s="2745"/>
      <c r="CJ254" s="2745"/>
      <c r="CK254" s="2745"/>
      <c r="CL254" s="2745"/>
      <c r="CM254" s="2746">
        <f>(CM253-CH253)*10000</f>
        <v>-84.658418291245766</v>
      </c>
      <c r="CN254" s="2747" t="s">
        <v>116</v>
      </c>
      <c r="CO254" s="2747" t="s">
        <v>116</v>
      </c>
      <c r="CP254" s="2747" t="s">
        <v>116</v>
      </c>
      <c r="CQ254" s="2748">
        <f t="shared" ref="CQ254:DQ254" si="572">(CQ253-CL253)*10000</f>
        <v>301.95853680684672</v>
      </c>
      <c r="CR254" s="2746">
        <f t="shared" si="572"/>
        <v>295.00339268483111</v>
      </c>
      <c r="CS254" s="2748">
        <f t="shared" si="572"/>
        <v>128.68489376323956</v>
      </c>
      <c r="CT254" s="2747">
        <f t="shared" si="572"/>
        <v>168.74870529030085</v>
      </c>
      <c r="CU254" s="2747">
        <f t="shared" si="572"/>
        <v>-80.032622050547616</v>
      </c>
      <c r="CV254" s="2748">
        <f t="shared" si="572"/>
        <v>-133.73205323985616</v>
      </c>
      <c r="CW254" s="2746">
        <f t="shared" si="572"/>
        <v>11.5192610328535</v>
      </c>
      <c r="CX254" s="2748">
        <f t="shared" si="572"/>
        <v>24.760919781640634</v>
      </c>
      <c r="CY254" s="2747">
        <f t="shared" si="572"/>
        <v>-209.15981754281944</v>
      </c>
      <c r="CZ254" s="2747">
        <f t="shared" si="572"/>
        <v>-14.550653972382754</v>
      </c>
      <c r="DA254" s="2748">
        <f t="shared" si="572"/>
        <v>-546.95866910619668</v>
      </c>
      <c r="DB254" s="2746">
        <f t="shared" si="572"/>
        <v>-215.08423819059874</v>
      </c>
      <c r="DC254" s="2748">
        <f t="shared" si="572"/>
        <v>-347.3177853453202</v>
      </c>
      <c r="DD254" s="2747">
        <f t="shared" si="572"/>
        <v>-275.01789733388074</v>
      </c>
      <c r="DE254" s="2747">
        <f t="shared" si="572"/>
        <v>-356.89411633185841</v>
      </c>
      <c r="DF254" s="2748">
        <f t="shared" si="572"/>
        <v>-307.11175290571435</v>
      </c>
      <c r="DG254" s="2746">
        <f t="shared" si="572"/>
        <v>-321.39071220921358</v>
      </c>
      <c r="DH254" s="2748">
        <f t="shared" si="572"/>
        <v>-274.27419308115265</v>
      </c>
      <c r="DI254" s="2747">
        <f t="shared" si="572"/>
        <v>-213.30324752390328</v>
      </c>
      <c r="DJ254" s="2747">
        <f t="shared" si="572"/>
        <v>-242.6806738485804</v>
      </c>
      <c r="DK254" s="2748">
        <f t="shared" si="572"/>
        <v>45.209339132341043</v>
      </c>
      <c r="DL254" s="2746">
        <f t="shared" si="572"/>
        <v>-148.88119070947337</v>
      </c>
      <c r="DM254" s="2748">
        <f t="shared" si="572"/>
        <v>-224.91079644114177</v>
      </c>
      <c r="DN254" s="2747">
        <f t="shared" si="572"/>
        <v>-506.93738286026189</v>
      </c>
      <c r="DO254" s="2747">
        <f t="shared" si="572"/>
        <v>233.6881960250453</v>
      </c>
      <c r="DP254" s="2748">
        <f t="shared" si="572"/>
        <v>773.5647419419322</v>
      </c>
      <c r="DQ254" s="2746">
        <f t="shared" si="572"/>
        <v>133.22667053534465</v>
      </c>
      <c r="DR254" s="2748"/>
      <c r="DS254" s="2748"/>
      <c r="DT254" s="2748"/>
      <c r="DU254" s="2748"/>
      <c r="DV254" s="2746"/>
      <c r="DW254" s="2748"/>
      <c r="DX254" s="2748"/>
      <c r="DY254" s="2748"/>
      <c r="DZ254" s="2748"/>
      <c r="EA254" s="2746"/>
      <c r="EB254" s="2748"/>
      <c r="EC254" s="2748"/>
      <c r="ED254" s="2748"/>
      <c r="EE254" s="2748"/>
      <c r="EF254" s="2746"/>
      <c r="EG254" s="2748"/>
      <c r="EH254" s="2748"/>
      <c r="EI254" s="2748"/>
      <c r="EJ254" s="2748"/>
      <c r="EK254" s="2746"/>
      <c r="EL254" s="2748"/>
      <c r="EM254" s="2748"/>
      <c r="EN254" s="2748"/>
      <c r="EO254" s="2748"/>
      <c r="EP254" s="2746"/>
      <c r="EQ254" s="2748"/>
      <c r="ER254" s="2748"/>
      <c r="ES254" s="2748"/>
      <c r="ET254" s="2748"/>
      <c r="EU254" s="2746"/>
      <c r="EV254" s="2746"/>
      <c r="EW254" s="2746"/>
      <c r="EX254" s="2746"/>
      <c r="EY254" s="2746"/>
      <c r="EZ254" s="767"/>
      <c r="FA254" s="4276"/>
      <c r="FB254" s="4276"/>
    </row>
    <row r="255" spans="1:159" s="766" customFormat="1" hidden="1">
      <c r="A255" s="4480" t="s">
        <v>676</v>
      </c>
      <c r="B255" s="2749"/>
      <c r="C255" s="2749"/>
      <c r="D255" s="2749"/>
      <c r="E255" s="2749"/>
      <c r="F255" s="2749"/>
      <c r="G255" s="2749"/>
      <c r="H255" s="2749"/>
      <c r="I255" s="2749"/>
      <c r="J255" s="2749"/>
      <c r="K255" s="2749"/>
      <c r="L255" s="2749"/>
      <c r="M255" s="2749"/>
      <c r="N255" s="2749"/>
      <c r="O255" s="2749"/>
      <c r="P255" s="2749"/>
      <c r="Q255" s="2749"/>
      <c r="R255" s="2749"/>
      <c r="S255" s="2749"/>
      <c r="T255" s="2749"/>
      <c r="U255" s="2749"/>
      <c r="V255" s="2749"/>
      <c r="W255" s="2749"/>
      <c r="X255" s="2749"/>
      <c r="Y255" s="2749"/>
      <c r="Z255" s="2749"/>
      <c r="AA255" s="2749"/>
      <c r="AB255" s="2749"/>
      <c r="AC255" s="2749"/>
      <c r="AD255" s="2749"/>
      <c r="AE255" s="2749"/>
      <c r="AF255" s="2749"/>
      <c r="AG255" s="2749"/>
      <c r="AH255" s="2749"/>
      <c r="AI255" s="2749"/>
      <c r="AJ255" s="2749"/>
      <c r="AK255" s="2749"/>
      <c r="AL255" s="2749"/>
      <c r="AM255" s="2749"/>
      <c r="AN255" s="2749"/>
      <c r="AO255" s="2749"/>
      <c r="AP255" s="2749"/>
      <c r="AQ255" s="2749"/>
      <c r="AR255" s="2749"/>
      <c r="AS255" s="2749"/>
      <c r="AT255" s="2749"/>
      <c r="AU255" s="2749"/>
      <c r="AV255" s="2749"/>
      <c r="AW255" s="2749"/>
      <c r="AX255" s="2749"/>
      <c r="AY255" s="2749"/>
      <c r="AZ255" s="2749"/>
      <c r="BA255" s="2749"/>
      <c r="BB255" s="2749"/>
      <c r="BC255" s="2749"/>
      <c r="BD255" s="2749"/>
      <c r="BE255" s="2749"/>
      <c r="BF255" s="2749"/>
      <c r="BG255" s="2749"/>
      <c r="BH255" s="2749"/>
      <c r="BI255" s="2749"/>
      <c r="BJ255" s="2749"/>
      <c r="BK255" s="2749"/>
      <c r="BL255" s="2749"/>
      <c r="BM255" s="2749"/>
      <c r="BN255" s="2749"/>
      <c r="BO255" s="2749"/>
      <c r="BP255" s="2749"/>
      <c r="BQ255" s="2749"/>
      <c r="BR255" s="2749"/>
      <c r="BS255" s="2749"/>
      <c r="BT255" s="2749"/>
      <c r="BU255" s="2749"/>
      <c r="BV255" s="2749"/>
      <c r="BW255" s="2749"/>
      <c r="BX255" s="2749"/>
      <c r="BY255" s="2749"/>
      <c r="BZ255" s="2749"/>
      <c r="CA255" s="2749"/>
      <c r="CB255" s="2749"/>
      <c r="CC255" s="2749"/>
      <c r="CD255" s="2749"/>
      <c r="CE255" s="2749"/>
      <c r="CF255" s="2749"/>
      <c r="CG255" s="2749"/>
      <c r="CH255" s="2750"/>
      <c r="CI255" s="2751"/>
      <c r="CJ255" s="2751"/>
      <c r="CK255" s="2751"/>
      <c r="CL255" s="2751"/>
      <c r="CM255" s="2752"/>
      <c r="CN255" s="2753"/>
      <c r="CO255" s="2753"/>
      <c r="CP255" s="2753"/>
      <c r="CQ255" s="2754"/>
      <c r="CR255" s="2752"/>
      <c r="CS255" s="2754">
        <f>(CS253-CQ253)*10000</f>
        <v>-42.847426575513545</v>
      </c>
      <c r="CT255" s="2754">
        <f>(CT253-CS253)*10000</f>
        <v>152.88865647280659</v>
      </c>
      <c r="CU255" s="2754">
        <f>(CU253-CT253)*10000</f>
        <v>-143.29992601680942</v>
      </c>
      <c r="CV255" s="2754">
        <f>(CV253-CU253)*10000</f>
        <v>-100.47335712033978</v>
      </c>
      <c r="CW255" s="2752"/>
      <c r="CX255" s="2754">
        <f>(CX253-CV253)*10000</f>
        <v>115.64554644598324</v>
      </c>
      <c r="CY255" s="2754">
        <f>(CY253-CX253)*10000</f>
        <v>-81.032080851653475</v>
      </c>
      <c r="CZ255" s="2754">
        <f>(CZ253-CY253)*10000</f>
        <v>51.309237553627263</v>
      </c>
      <c r="DA255" s="2754">
        <f>(DA253-CZ253)*10000</f>
        <v>-632.8813722541538</v>
      </c>
      <c r="DB255" s="2752"/>
      <c r="DC255" s="2754">
        <f>(DC253-DA253)*10000</f>
        <v>315.28643020685973</v>
      </c>
      <c r="DD255" s="2754">
        <f>(DD253-DC253)*10000</f>
        <v>-8.7321928402139815</v>
      </c>
      <c r="DE255" s="2754">
        <f>(DE253-DD253)*10000</f>
        <v>-30.566981444350439</v>
      </c>
      <c r="DF255" s="2754">
        <f>(DF253-DE253)*10000</f>
        <v>-583.09900882800969</v>
      </c>
      <c r="DG255" s="2752"/>
      <c r="DH255" s="2754">
        <f>(DH253-DF253)*10000</f>
        <v>348.1239900314215</v>
      </c>
      <c r="DI255" s="2754">
        <f>(DI253-DH253)*10000</f>
        <v>52.238752717035375</v>
      </c>
      <c r="DJ255" s="2754">
        <f>(DJ253-DI253)*10000</f>
        <v>-59.944407769027542</v>
      </c>
      <c r="DK255" s="2754">
        <f>(DK253-DJ253)*10000</f>
        <v>-295.20899584708826</v>
      </c>
      <c r="DL255" s="2752"/>
      <c r="DM255" s="2754">
        <f>(DM253-DL253)*10000</f>
        <v>-149.04541361773161</v>
      </c>
      <c r="DN255" s="2754">
        <f>(DN253-DM253)*10000</f>
        <v>-229.78783370208478</v>
      </c>
      <c r="DO255" s="2754">
        <f>(DO253-DN253)*10000</f>
        <v>680.68117111627964</v>
      </c>
      <c r="DP255" s="2754">
        <f>(DP253-DO253)*10000</f>
        <v>244.66755006979866</v>
      </c>
      <c r="DQ255" s="2752"/>
      <c r="DR255" s="2754"/>
      <c r="DS255" s="2754"/>
      <c r="DT255" s="2754"/>
      <c r="DU255" s="2754"/>
      <c r="DV255" s="2752"/>
      <c r="DW255" s="2754"/>
      <c r="DX255" s="2754"/>
      <c r="DY255" s="2754"/>
      <c r="DZ255" s="2754"/>
      <c r="EA255" s="2752"/>
      <c r="EB255" s="2754"/>
      <c r="EC255" s="2754"/>
      <c r="ED255" s="2754"/>
      <c r="EE255" s="2754"/>
      <c r="EF255" s="2752"/>
      <c r="EG255" s="2754"/>
      <c r="EH255" s="2754"/>
      <c r="EI255" s="2754"/>
      <c r="EJ255" s="2754"/>
      <c r="EK255" s="2752"/>
      <c r="EL255" s="2754"/>
      <c r="EM255" s="2754"/>
      <c r="EN255" s="2754"/>
      <c r="EO255" s="2754"/>
      <c r="EP255" s="2752"/>
      <c r="EQ255" s="2754"/>
      <c r="ER255" s="2754"/>
      <c r="ES255" s="2754"/>
      <c r="ET255" s="2754"/>
      <c r="EU255" s="2752"/>
      <c r="EV255" s="2752"/>
      <c r="EW255" s="2752"/>
      <c r="EX255" s="2752"/>
      <c r="EY255" s="2752"/>
      <c r="EZ255" s="767"/>
      <c r="FA255" s="4276"/>
      <c r="FB255" s="4276"/>
    </row>
    <row r="256" spans="1:159" s="768" customFormat="1" hidden="1">
      <c r="A256" s="4481" t="s">
        <v>444</v>
      </c>
      <c r="B256" s="2755"/>
      <c r="C256" s="2755"/>
      <c r="D256" s="2755"/>
      <c r="E256" s="2755"/>
      <c r="F256" s="2755"/>
      <c r="G256" s="2755"/>
      <c r="H256" s="2755"/>
      <c r="I256" s="2755"/>
      <c r="J256" s="2755"/>
      <c r="K256" s="2755"/>
      <c r="L256" s="2755"/>
      <c r="M256" s="2755"/>
      <c r="N256" s="2755"/>
      <c r="O256" s="2755"/>
      <c r="P256" s="2755"/>
      <c r="Q256" s="2755"/>
      <c r="R256" s="2755"/>
      <c r="S256" s="2755"/>
      <c r="T256" s="2755"/>
      <c r="U256" s="2755"/>
      <c r="V256" s="2755"/>
      <c r="W256" s="2755"/>
      <c r="X256" s="2755"/>
      <c r="Y256" s="2755"/>
      <c r="Z256" s="2755"/>
      <c r="AA256" s="2755"/>
      <c r="AB256" s="2755"/>
      <c r="AC256" s="2755"/>
      <c r="AD256" s="2755"/>
      <c r="AE256" s="2755"/>
      <c r="AF256" s="2755"/>
      <c r="AG256" s="2755"/>
      <c r="AH256" s="2755"/>
      <c r="AI256" s="2755"/>
      <c r="AJ256" s="2755"/>
      <c r="AK256" s="2755"/>
      <c r="AL256" s="2755"/>
      <c r="AM256" s="2755"/>
      <c r="AN256" s="2755"/>
      <c r="AO256" s="2755"/>
      <c r="AP256" s="2755"/>
      <c r="AQ256" s="2755"/>
      <c r="AR256" s="2755"/>
      <c r="AS256" s="2755"/>
      <c r="AT256" s="2755"/>
      <c r="AU256" s="2755"/>
      <c r="AV256" s="2755"/>
      <c r="AW256" s="2755"/>
      <c r="AX256" s="2755"/>
      <c r="AY256" s="2755"/>
      <c r="AZ256" s="2755"/>
      <c r="BA256" s="2755"/>
      <c r="BB256" s="2755"/>
      <c r="BC256" s="2755"/>
      <c r="BD256" s="2755"/>
      <c r="BE256" s="2755"/>
      <c r="BF256" s="2755"/>
      <c r="BG256" s="2755"/>
      <c r="BH256" s="2755"/>
      <c r="BI256" s="2755"/>
      <c r="BJ256" s="2755"/>
      <c r="BK256" s="2755"/>
      <c r="BL256" s="2755"/>
      <c r="BM256" s="2755"/>
      <c r="BN256" s="2755"/>
      <c r="BO256" s="2755"/>
      <c r="BP256" s="2755"/>
      <c r="BQ256" s="2755"/>
      <c r="BR256" s="2755"/>
      <c r="BS256" s="2755"/>
      <c r="BT256" s="2755"/>
      <c r="BU256" s="2755"/>
      <c r="BV256" s="2755"/>
      <c r="BW256" s="2755"/>
      <c r="BX256" s="2755"/>
      <c r="BY256" s="2755"/>
      <c r="BZ256" s="2755"/>
      <c r="CA256" s="2755"/>
      <c r="CB256" s="2755"/>
      <c r="CC256" s="2755"/>
      <c r="CD256" s="2755"/>
      <c r="CE256" s="2755"/>
      <c r="CF256" s="2755"/>
      <c r="CG256" s="2755"/>
      <c r="CH256" s="2756">
        <f>+CH207/CH$193</f>
        <v>0.12621831480714144</v>
      </c>
      <c r="CI256" s="2757" t="str">
        <f t="shared" ref="CI256:CK257" si="573">+IFERROR(CI207/CI$193,"N/A")</f>
        <v>N/A</v>
      </c>
      <c r="CJ256" s="2757" t="str">
        <f t="shared" si="573"/>
        <v>N/A</v>
      </c>
      <c r="CK256" s="2757" t="str">
        <f t="shared" si="573"/>
        <v>N/A</v>
      </c>
      <c r="CL256" s="2758">
        <f t="shared" ref="CL256:DQ256" si="574">+CL207/CL$193</f>
        <v>0.20864588542534868</v>
      </c>
      <c r="CM256" s="2756">
        <f t="shared" si="574"/>
        <v>0.17012820903249384</v>
      </c>
      <c r="CN256" s="2758">
        <f t="shared" si="574"/>
        <v>0.15589707765746885</v>
      </c>
      <c r="CO256" s="2758">
        <f t="shared" si="574"/>
        <v>0.11669404633773296</v>
      </c>
      <c r="CP256" s="2758">
        <f t="shared" si="574"/>
        <v>0.12625445127873097</v>
      </c>
      <c r="CQ256" s="2758">
        <f t="shared" si="574"/>
        <v>8.4376032862741396E-2</v>
      </c>
      <c r="CR256" s="2756">
        <f t="shared" si="574"/>
        <v>0.11892305215711527</v>
      </c>
      <c r="CS256" s="2758">
        <f t="shared" si="574"/>
        <v>0.10148317738403345</v>
      </c>
      <c r="CT256" s="2758">
        <f t="shared" si="574"/>
        <v>9.6457893502228484E-2</v>
      </c>
      <c r="CU256" s="2758">
        <f t="shared" si="574"/>
        <v>0.10937359575806596</v>
      </c>
      <c r="CV256" s="2758">
        <f t="shared" si="574"/>
        <v>0.11192930780559647</v>
      </c>
      <c r="CW256" s="2756">
        <f t="shared" si="574"/>
        <v>0.10526139297810268</v>
      </c>
      <c r="CX256" s="2758">
        <f t="shared" si="574"/>
        <v>9.7855227882037529E-2</v>
      </c>
      <c r="CY256" s="2758">
        <f t="shared" si="574"/>
        <v>0.10952031798711072</v>
      </c>
      <c r="CZ256" s="2758">
        <f t="shared" si="574"/>
        <v>0.12883746158018441</v>
      </c>
      <c r="DA256" s="2758">
        <f t="shared" si="574"/>
        <v>0.11832132206759444</v>
      </c>
      <c r="DB256" s="2756">
        <f t="shared" si="574"/>
        <v>0.11415054230327372</v>
      </c>
      <c r="DC256" s="2758">
        <f t="shared" si="574"/>
        <v>0.2474190218092657</v>
      </c>
      <c r="DD256" s="2758">
        <f t="shared" si="574"/>
        <v>0.16298597440944881</v>
      </c>
      <c r="DE256" s="2758">
        <f t="shared" si="574"/>
        <v>0.16797642436149313</v>
      </c>
      <c r="DF256" s="2758">
        <f t="shared" si="574"/>
        <v>0.17562439099440996</v>
      </c>
      <c r="DG256" s="2756">
        <f t="shared" si="574"/>
        <v>0.18670890717355276</v>
      </c>
      <c r="DH256" s="2758">
        <f t="shared" si="574"/>
        <v>0.12583259325044405</v>
      </c>
      <c r="DI256" s="2758">
        <f t="shared" si="574"/>
        <v>0.17831100998086569</v>
      </c>
      <c r="DJ256" s="2758">
        <f t="shared" si="574"/>
        <v>0.17968924798011188</v>
      </c>
      <c r="DK256" s="2758">
        <f t="shared" si="574"/>
        <v>0.14391425827294158</v>
      </c>
      <c r="DL256" s="2756">
        <f t="shared" si="574"/>
        <v>0.15708926671767978</v>
      </c>
      <c r="DM256" s="2758">
        <f t="shared" si="574"/>
        <v>0.13820622330689444</v>
      </c>
      <c r="DN256" s="2758">
        <f>+DN207/DN$193</f>
        <v>0.12726985630822674</v>
      </c>
      <c r="DO256" s="2758">
        <f>+DO207/DO$193</f>
        <v>0.11876045809157486</v>
      </c>
      <c r="DP256" s="2758">
        <f t="shared" si="574"/>
        <v>9.4501269751693012E-2</v>
      </c>
      <c r="DQ256" s="2756">
        <f t="shared" si="574"/>
        <v>0.11735445309146146</v>
      </c>
      <c r="DR256" s="2758"/>
      <c r="DS256" s="2758"/>
      <c r="DT256" s="2758"/>
      <c r="DU256" s="2758"/>
      <c r="DV256" s="2756"/>
      <c r="DW256" s="2758"/>
      <c r="DX256" s="2758"/>
      <c r="DY256" s="2758"/>
      <c r="DZ256" s="2758"/>
      <c r="EA256" s="2756"/>
      <c r="EB256" s="2758"/>
      <c r="EC256" s="2758"/>
      <c r="ED256" s="2758"/>
      <c r="EE256" s="2758"/>
      <c r="EF256" s="2756"/>
      <c r="EG256" s="2758"/>
      <c r="EH256" s="2758"/>
      <c r="EI256" s="2758"/>
      <c r="EJ256" s="2758"/>
      <c r="EK256" s="2756"/>
      <c r="EL256" s="2758"/>
      <c r="EM256" s="2758"/>
      <c r="EN256" s="2758"/>
      <c r="EO256" s="2758"/>
      <c r="EP256" s="2756"/>
      <c r="EQ256" s="2758"/>
      <c r="ER256" s="2758"/>
      <c r="ES256" s="2758"/>
      <c r="ET256" s="2758"/>
      <c r="EU256" s="2756"/>
      <c r="EV256" s="2756"/>
      <c r="EW256" s="2756"/>
      <c r="EX256" s="2756"/>
      <c r="EY256" s="2756"/>
      <c r="FA256" s="1319"/>
      <c r="FB256" s="1319"/>
    </row>
    <row r="257" spans="1:158" hidden="1">
      <c r="A257" s="4482" t="s">
        <v>445</v>
      </c>
      <c r="B257" s="2761"/>
      <c r="C257" s="2761"/>
      <c r="D257" s="2761"/>
      <c r="E257" s="2761"/>
      <c r="F257" s="2761"/>
      <c r="G257" s="2761"/>
      <c r="H257" s="2761"/>
      <c r="I257" s="2761"/>
      <c r="J257" s="2761"/>
      <c r="K257" s="2761"/>
      <c r="L257" s="2761"/>
      <c r="M257" s="2761"/>
      <c r="N257" s="2761"/>
      <c r="O257" s="2761"/>
      <c r="P257" s="2761"/>
      <c r="Q257" s="2761"/>
      <c r="R257" s="2761"/>
      <c r="S257" s="2761"/>
      <c r="T257" s="2761"/>
      <c r="U257" s="2761"/>
      <c r="V257" s="2761"/>
      <c r="W257" s="2761"/>
      <c r="X257" s="2761"/>
      <c r="Y257" s="2761"/>
      <c r="Z257" s="2761"/>
      <c r="AA257" s="2761"/>
      <c r="AB257" s="2761"/>
      <c r="AC257" s="2761"/>
      <c r="AD257" s="2761"/>
      <c r="AE257" s="2761"/>
      <c r="AF257" s="2761"/>
      <c r="AG257" s="2761"/>
      <c r="AH257" s="2761"/>
      <c r="AI257" s="2761"/>
      <c r="AJ257" s="2761"/>
      <c r="AK257" s="2761"/>
      <c r="AL257" s="2761"/>
      <c r="AM257" s="2761"/>
      <c r="AN257" s="2761"/>
      <c r="AO257" s="2761"/>
      <c r="AP257" s="2761"/>
      <c r="AQ257" s="2761"/>
      <c r="AR257" s="2761"/>
      <c r="AS257" s="2761"/>
      <c r="AT257" s="2761"/>
      <c r="AU257" s="2761"/>
      <c r="AV257" s="2761"/>
      <c r="AW257" s="2761"/>
      <c r="AX257" s="2761"/>
      <c r="AY257" s="2761"/>
      <c r="AZ257" s="2761"/>
      <c r="BA257" s="2761"/>
      <c r="BB257" s="2761"/>
      <c r="BC257" s="2761"/>
      <c r="BD257" s="2761"/>
      <c r="BE257" s="2761"/>
      <c r="BF257" s="2761"/>
      <c r="BG257" s="2761"/>
      <c r="BH257" s="2761"/>
      <c r="BI257" s="2761"/>
      <c r="BJ257" s="2761"/>
      <c r="BK257" s="2761"/>
      <c r="BL257" s="2761"/>
      <c r="BM257" s="2761"/>
      <c r="BN257" s="2761"/>
      <c r="BO257" s="2761"/>
      <c r="BP257" s="2761"/>
      <c r="BQ257" s="2761"/>
      <c r="BR257" s="2761"/>
      <c r="BS257" s="2761"/>
      <c r="BT257" s="2761"/>
      <c r="BU257" s="2761"/>
      <c r="BV257" s="2761"/>
      <c r="BW257" s="2761"/>
      <c r="BX257" s="2761"/>
      <c r="BY257" s="2761"/>
      <c r="BZ257" s="2761"/>
      <c r="CA257" s="2761"/>
      <c r="CB257" s="2761"/>
      <c r="CC257" s="2761"/>
      <c r="CD257" s="2761"/>
      <c r="CE257" s="2761"/>
      <c r="CF257" s="2761"/>
      <c r="CG257" s="2761"/>
      <c r="CH257" s="2762">
        <f>+CH208/CH$193</f>
        <v>6.6081755454267033E-2</v>
      </c>
      <c r="CI257" s="2763" t="str">
        <f t="shared" si="573"/>
        <v>N/A</v>
      </c>
      <c r="CJ257" s="2763" t="str">
        <f t="shared" si="573"/>
        <v>N/A</v>
      </c>
      <c r="CK257" s="2763" t="str">
        <f t="shared" si="573"/>
        <v>N/A</v>
      </c>
      <c r="CL257" s="2764">
        <f t="shared" ref="CL257:DM257" si="575">+CL208/CL$193</f>
        <v>6.7455687058954272E-2</v>
      </c>
      <c r="CM257" s="2765">
        <f t="shared" si="575"/>
        <v>7.275329658616804E-2</v>
      </c>
      <c r="CN257" s="2766">
        <f t="shared" si="575"/>
        <v>6.6189311910583304E-2</v>
      </c>
      <c r="CO257" s="2766">
        <f t="shared" si="575"/>
        <v>6.7353990823089557E-2</v>
      </c>
      <c r="CP257" s="2766">
        <f t="shared" si="575"/>
        <v>6.4745872450631278E-2</v>
      </c>
      <c r="CQ257" s="2766">
        <f t="shared" si="575"/>
        <v>6.1995372774918553E-2</v>
      </c>
      <c r="CR257" s="2765">
        <f t="shared" si="575"/>
        <v>6.4914681262073406E-2</v>
      </c>
      <c r="CS257" s="2766">
        <f t="shared" si="575"/>
        <v>6.5548477005773445E-2</v>
      </c>
      <c r="CT257" s="2766">
        <f t="shared" si="575"/>
        <v>6.6103682852451329E-2</v>
      </c>
      <c r="CU257" s="2766">
        <f t="shared" si="575"/>
        <v>6.6864383930978696E-2</v>
      </c>
      <c r="CV257" s="2767">
        <f t="shared" si="575"/>
        <v>6.1468103247810248E-2</v>
      </c>
      <c r="CW257" s="2768">
        <f t="shared" si="575"/>
        <v>6.4831271028246318E-2</v>
      </c>
      <c r="CX257" s="2766">
        <f t="shared" si="575"/>
        <v>5.7518888618084331E-2</v>
      </c>
      <c r="CY257" s="2766">
        <f t="shared" si="575"/>
        <v>6.0355805966117393E-2</v>
      </c>
      <c r="CZ257" s="2766">
        <f t="shared" si="575"/>
        <v>6.1218586150786479E-2</v>
      </c>
      <c r="DA257" s="2766">
        <f t="shared" si="575"/>
        <v>6.0108101391650098E-2</v>
      </c>
      <c r="DB257" s="2768">
        <f t="shared" si="575"/>
        <v>5.9775480112531323E-2</v>
      </c>
      <c r="DC257" s="2766">
        <f t="shared" si="575"/>
        <v>6.1330494257323523E-2</v>
      </c>
      <c r="DD257" s="2766">
        <f t="shared" si="575"/>
        <v>6.2469242125984252E-2</v>
      </c>
      <c r="DE257" s="2766">
        <f t="shared" si="575"/>
        <v>6.777996070726916E-2</v>
      </c>
      <c r="DF257" s="2766">
        <f t="shared" si="575"/>
        <v>6.4080209241499569E-2</v>
      </c>
      <c r="DG257" s="2768">
        <f t="shared" si="575"/>
        <v>6.3859432979862421E-2</v>
      </c>
      <c r="DH257" s="2766">
        <f t="shared" si="575"/>
        <v>7.0187611012433399E-2</v>
      </c>
      <c r="DI257" s="2766">
        <f t="shared" si="575"/>
        <v>7.1262346796297255E-2</v>
      </c>
      <c r="DJ257" s="2766">
        <f t="shared" si="575"/>
        <v>7.0528278433809821E-2</v>
      </c>
      <c r="DK257" s="2766">
        <f t="shared" si="575"/>
        <v>6.6270846066532788E-2</v>
      </c>
      <c r="DL257" s="2768">
        <f t="shared" si="575"/>
        <v>6.9415153381484726E-2</v>
      </c>
      <c r="DM257" s="2766">
        <f t="shared" si="575"/>
        <v>7.3532641854789499E-2</v>
      </c>
      <c r="DN257" s="2766">
        <f>+DN208/DN$193</f>
        <v>8.6636138744144428E-2</v>
      </c>
      <c r="DO257" s="2766">
        <f>+DO208/DO$193</f>
        <v>7.3516309190081924E-2</v>
      </c>
      <c r="DP257" s="4579">
        <v>6.4000000000000001E-2</v>
      </c>
      <c r="DQ257" s="2768">
        <f>+DQ208/DQ$193</f>
        <v>7.3293867711647059E-2</v>
      </c>
      <c r="DR257" s="4579"/>
      <c r="DS257" s="4579"/>
      <c r="DT257" s="4579"/>
      <c r="DU257" s="4579"/>
      <c r="DV257" s="2768"/>
      <c r="DW257" s="4579"/>
      <c r="DX257" s="4579"/>
      <c r="DY257" s="4579"/>
      <c r="DZ257" s="4579"/>
      <c r="EA257" s="4580"/>
      <c r="EB257" s="4579"/>
      <c r="EC257" s="4579"/>
      <c r="ED257" s="4579"/>
      <c r="EE257" s="4579"/>
      <c r="EF257" s="4580"/>
      <c r="EG257" s="4579"/>
      <c r="EH257" s="4579"/>
      <c r="EI257" s="4579"/>
      <c r="EJ257" s="4579"/>
      <c r="EK257" s="4580"/>
      <c r="EL257" s="4579"/>
      <c r="EM257" s="4579"/>
      <c r="EN257" s="4579"/>
      <c r="EO257" s="4579"/>
      <c r="EP257" s="4580"/>
      <c r="EQ257" s="4579"/>
      <c r="ER257" s="4579"/>
      <c r="ES257" s="4579"/>
      <c r="ET257" s="4579"/>
      <c r="EU257" s="4580"/>
      <c r="EV257" s="4580"/>
      <c r="EW257" s="4580"/>
      <c r="EX257" s="4580"/>
      <c r="EY257" s="4580"/>
      <c r="FA257" s="1319"/>
      <c r="FB257" s="1319"/>
    </row>
    <row r="258" spans="1:158" hidden="1">
      <c r="A258" s="2912"/>
      <c r="B258" s="157"/>
      <c r="C258" s="157"/>
      <c r="D258" s="157"/>
      <c r="E258" s="157"/>
      <c r="F258" s="157"/>
      <c r="G258" s="157"/>
      <c r="H258" s="157"/>
      <c r="I258" s="157"/>
      <c r="J258" s="157"/>
      <c r="K258" s="157"/>
      <c r="L258" s="157"/>
      <c r="M258" s="157"/>
      <c r="N258" s="157"/>
      <c r="O258" s="157"/>
      <c r="P258" s="157"/>
      <c r="Q258" s="157"/>
      <c r="R258" s="157"/>
      <c r="S258" s="157"/>
      <c r="T258" s="157"/>
      <c r="U258" s="157"/>
      <c r="V258" s="157"/>
      <c r="W258" s="157"/>
      <c r="X258" s="157"/>
      <c r="Y258" s="157"/>
      <c r="Z258" s="157"/>
      <c r="AA258" s="157"/>
      <c r="AB258" s="157"/>
      <c r="AC258" s="157"/>
      <c r="AD258" s="157"/>
      <c r="AE258" s="157"/>
      <c r="AF258" s="157"/>
      <c r="AG258" s="157"/>
      <c r="AH258" s="157"/>
      <c r="AI258" s="157"/>
      <c r="AJ258" s="157"/>
      <c r="AK258" s="157"/>
      <c r="AL258" s="157"/>
      <c r="AM258" s="157"/>
      <c r="AN258" s="157"/>
      <c r="AO258" s="157"/>
      <c r="AP258" s="157"/>
      <c r="AQ258" s="157"/>
      <c r="AR258" s="157"/>
      <c r="AS258" s="157"/>
      <c r="AT258" s="157"/>
      <c r="AU258" s="157"/>
      <c r="AV258" s="157"/>
      <c r="AW258" s="157"/>
      <c r="AX258" s="157"/>
      <c r="AY258" s="157"/>
      <c r="AZ258" s="157"/>
      <c r="BA258" s="157"/>
      <c r="BB258" s="157"/>
      <c r="BC258" s="157"/>
      <c r="BD258" s="157"/>
      <c r="BE258" s="157"/>
      <c r="BF258" s="157"/>
      <c r="BG258" s="157"/>
      <c r="BH258" s="157"/>
      <c r="BI258" s="157"/>
      <c r="BJ258" s="157"/>
      <c r="BK258" s="157"/>
      <c r="BL258" s="157"/>
      <c r="BM258" s="157"/>
      <c r="BN258" s="157"/>
      <c r="BO258" s="157"/>
      <c r="BP258" s="157"/>
      <c r="BQ258" s="157"/>
      <c r="BR258" s="157"/>
      <c r="BS258" s="157"/>
      <c r="BT258" s="157"/>
      <c r="BU258" s="157"/>
      <c r="BV258" s="157"/>
      <c r="BW258" s="157"/>
      <c r="BX258" s="157"/>
      <c r="BY258" s="157"/>
      <c r="BZ258" s="157"/>
      <c r="CA258" s="157"/>
      <c r="CB258" s="157"/>
      <c r="CC258" s="157"/>
      <c r="CD258" s="157"/>
      <c r="CE258" s="157"/>
      <c r="CF258" s="157"/>
      <c r="CG258" s="157"/>
      <c r="CH258" s="157"/>
      <c r="CI258" s="157"/>
      <c r="CJ258" s="157"/>
      <c r="CK258" s="157"/>
      <c r="CL258" s="157"/>
      <c r="CM258" s="157"/>
      <c r="CN258" s="157"/>
      <c r="CO258" s="157"/>
      <c r="CP258" s="157"/>
      <c r="CQ258" s="157"/>
      <c r="CR258" s="157"/>
      <c r="CS258" s="157"/>
      <c r="CT258" s="157"/>
      <c r="CU258" s="157"/>
      <c r="CV258" s="2702"/>
      <c r="CW258" s="157"/>
      <c r="CX258" s="157"/>
      <c r="CY258" s="157"/>
      <c r="CZ258" s="157"/>
      <c r="DA258" s="157"/>
      <c r="DB258" s="157"/>
      <c r="DC258" s="157"/>
      <c r="DD258" s="157"/>
      <c r="DE258" s="157"/>
      <c r="DF258" s="157"/>
      <c r="DG258" s="157"/>
      <c r="DH258" s="157"/>
      <c r="DI258" s="157"/>
      <c r="DJ258" s="157"/>
      <c r="DK258" s="157"/>
      <c r="DL258" s="157"/>
      <c r="DM258" s="157"/>
      <c r="DN258" s="157"/>
      <c r="DO258" s="157"/>
      <c r="DP258" s="157"/>
      <c r="DQ258" s="157"/>
      <c r="DR258" s="157"/>
      <c r="DS258" s="157"/>
      <c r="DT258" s="157"/>
      <c r="DU258" s="157"/>
      <c r="DV258" s="157"/>
      <c r="DW258" s="157"/>
      <c r="DX258" s="157"/>
      <c r="DY258" s="157"/>
      <c r="DZ258" s="157"/>
      <c r="EA258" s="2702"/>
      <c r="EB258" s="157"/>
      <c r="EC258" s="157"/>
      <c r="ED258" s="157"/>
      <c r="EE258" s="157"/>
      <c r="EF258" s="2702"/>
      <c r="EG258" s="157"/>
      <c r="EH258" s="157"/>
      <c r="EI258" s="157"/>
      <c r="EJ258" s="157"/>
      <c r="EK258" s="2702"/>
      <c r="EL258" s="157"/>
      <c r="EM258" s="157"/>
      <c r="EN258" s="157"/>
      <c r="EO258" s="157"/>
      <c r="EP258" s="2702"/>
      <c r="EQ258" s="157"/>
      <c r="ER258" s="157"/>
      <c r="ES258" s="157"/>
      <c r="ET258" s="157"/>
      <c r="EU258" s="2702"/>
      <c r="EV258" s="2702"/>
      <c r="EW258" s="2702"/>
      <c r="EX258" s="2702"/>
      <c r="EY258" s="2702"/>
      <c r="FA258" s="1319"/>
      <c r="FB258" s="1319"/>
    </row>
    <row r="259" spans="1:158" hidden="1">
      <c r="A259" s="2913"/>
      <c r="B259" s="1479" t="str">
        <f t="shared" ref="B259:AG259" si="576">B6</f>
        <v>3/99A</v>
      </c>
      <c r="C259" s="1479" t="str">
        <f t="shared" si="576"/>
        <v>6/99A</v>
      </c>
      <c r="D259" s="1479" t="str">
        <f t="shared" si="576"/>
        <v>9/99A</v>
      </c>
      <c r="E259" s="1479" t="str">
        <f t="shared" si="576"/>
        <v>12/99A</v>
      </c>
      <c r="F259" s="1480" t="str">
        <f t="shared" si="576"/>
        <v>1999A</v>
      </c>
      <c r="G259" s="1479" t="str">
        <f t="shared" si="576"/>
        <v>3/00A</v>
      </c>
      <c r="H259" s="1479" t="str">
        <f t="shared" si="576"/>
        <v>6/00A</v>
      </c>
      <c r="I259" s="1479" t="str">
        <f t="shared" si="576"/>
        <v>9/00A</v>
      </c>
      <c r="J259" s="1479" t="str">
        <f t="shared" si="576"/>
        <v>12/00A</v>
      </c>
      <c r="K259" s="1479" t="str">
        <f t="shared" si="576"/>
        <v>2000A</v>
      </c>
      <c r="L259" s="1479" t="str">
        <f t="shared" si="576"/>
        <v>3/01A</v>
      </c>
      <c r="M259" s="1479" t="str">
        <f t="shared" si="576"/>
        <v>6/01A</v>
      </c>
      <c r="N259" s="1479" t="str">
        <f t="shared" si="576"/>
        <v>9/01A</v>
      </c>
      <c r="O259" s="1479" t="str">
        <f t="shared" si="576"/>
        <v>12/01A</v>
      </c>
      <c r="P259" s="1480" t="str">
        <f t="shared" si="576"/>
        <v>2001A</v>
      </c>
      <c r="Q259" s="1479" t="str">
        <f t="shared" si="576"/>
        <v>3/02A</v>
      </c>
      <c r="R259" s="1479" t="str">
        <f t="shared" si="576"/>
        <v>6/02A</v>
      </c>
      <c r="S259" s="1479" t="str">
        <f t="shared" si="576"/>
        <v>9/02A</v>
      </c>
      <c r="T259" s="1479" t="str">
        <f t="shared" si="576"/>
        <v>12/02A</v>
      </c>
      <c r="U259" s="1480" t="str">
        <f t="shared" si="576"/>
        <v>2002A</v>
      </c>
      <c r="V259" s="1479" t="str">
        <f t="shared" si="576"/>
        <v>3/03A</v>
      </c>
      <c r="W259" s="1479" t="str">
        <f t="shared" si="576"/>
        <v>6/03A</v>
      </c>
      <c r="X259" s="1479" t="str">
        <f t="shared" si="576"/>
        <v>9/03A</v>
      </c>
      <c r="Y259" s="1479" t="str">
        <f t="shared" si="576"/>
        <v>12/03A</v>
      </c>
      <c r="Z259" s="1480" t="str">
        <f t="shared" si="576"/>
        <v>2003A</v>
      </c>
      <c r="AA259" s="1479" t="str">
        <f t="shared" si="576"/>
        <v>3/04A</v>
      </c>
      <c r="AB259" s="1479" t="str">
        <f t="shared" si="576"/>
        <v>6/04A</v>
      </c>
      <c r="AC259" s="1479" t="str">
        <f t="shared" si="576"/>
        <v>9/04A</v>
      </c>
      <c r="AD259" s="1479" t="str">
        <f t="shared" si="576"/>
        <v>12/04A</v>
      </c>
      <c r="AE259" s="1480" t="str">
        <f t="shared" si="576"/>
        <v>2004A</v>
      </c>
      <c r="AF259" s="1479" t="str">
        <f t="shared" si="576"/>
        <v>3/05A</v>
      </c>
      <c r="AG259" s="1479" t="str">
        <f t="shared" si="576"/>
        <v>6/05A</v>
      </c>
      <c r="AH259" s="1479" t="str">
        <f t="shared" ref="AH259:BM259" si="577">AH6</f>
        <v>9/05A</v>
      </c>
      <c r="AI259" s="1479" t="str">
        <f t="shared" si="577"/>
        <v>12/05A</v>
      </c>
      <c r="AJ259" s="1480" t="str">
        <f t="shared" si="577"/>
        <v>2005A</v>
      </c>
      <c r="AK259" s="1479" t="str">
        <f t="shared" si="577"/>
        <v>3/06A</v>
      </c>
      <c r="AL259" s="1479" t="str">
        <f t="shared" si="577"/>
        <v>6/06A</v>
      </c>
      <c r="AM259" s="1479" t="str">
        <f t="shared" si="577"/>
        <v>9/06A</v>
      </c>
      <c r="AN259" s="1479" t="str">
        <f t="shared" si="577"/>
        <v>12/06A</v>
      </c>
      <c r="AO259" s="1480" t="str">
        <f t="shared" si="577"/>
        <v>2006A</v>
      </c>
      <c r="AP259" s="1479" t="str">
        <f t="shared" si="577"/>
        <v>3/07A</v>
      </c>
      <c r="AQ259" s="1479" t="str">
        <f t="shared" si="577"/>
        <v>6/07A</v>
      </c>
      <c r="AR259" s="1479" t="str">
        <f t="shared" si="577"/>
        <v>9/07A</v>
      </c>
      <c r="AS259" s="1479" t="str">
        <f t="shared" si="577"/>
        <v>12/07A</v>
      </c>
      <c r="AT259" s="1480" t="str">
        <f t="shared" si="577"/>
        <v>2007A</v>
      </c>
      <c r="AU259" s="1479" t="str">
        <f t="shared" si="577"/>
        <v>3/08A</v>
      </c>
      <c r="AV259" s="1479" t="str">
        <f t="shared" si="577"/>
        <v>6/08A</v>
      </c>
      <c r="AW259" s="1479" t="str">
        <f t="shared" si="577"/>
        <v>9/08A</v>
      </c>
      <c r="AX259" s="1479" t="str">
        <f t="shared" si="577"/>
        <v>12/08A</v>
      </c>
      <c r="AY259" s="1479" t="str">
        <f t="shared" si="577"/>
        <v>2008A</v>
      </c>
      <c r="AZ259" s="1479" t="str">
        <f t="shared" si="577"/>
        <v>3/09A</v>
      </c>
      <c r="BA259" s="1479" t="str">
        <f t="shared" si="577"/>
        <v>6/09A</v>
      </c>
      <c r="BB259" s="1479" t="str">
        <f t="shared" si="577"/>
        <v>9/09A</v>
      </c>
      <c r="BC259" s="1479" t="str">
        <f t="shared" si="577"/>
        <v>12/09A</v>
      </c>
      <c r="BD259" s="1479" t="str">
        <f t="shared" si="577"/>
        <v>2009A</v>
      </c>
      <c r="BE259" s="1479" t="str">
        <f t="shared" si="577"/>
        <v>3/10A</v>
      </c>
      <c r="BF259" s="1479" t="str">
        <f t="shared" si="577"/>
        <v>6/10A</v>
      </c>
      <c r="BG259" s="1479" t="str">
        <f t="shared" si="577"/>
        <v>9/10A</v>
      </c>
      <c r="BH259" s="1479" t="str">
        <f t="shared" si="577"/>
        <v>12/10A</v>
      </c>
      <c r="BI259" s="1479" t="str">
        <f t="shared" si="577"/>
        <v>2010A</v>
      </c>
      <c r="BJ259" s="1479" t="str">
        <f t="shared" si="577"/>
        <v>3/11A</v>
      </c>
      <c r="BK259" s="1479" t="str">
        <f t="shared" si="577"/>
        <v>6/11A</v>
      </c>
      <c r="BL259" s="1479" t="str">
        <f t="shared" si="577"/>
        <v>9/11A</v>
      </c>
      <c r="BM259" s="1479" t="str">
        <f t="shared" si="577"/>
        <v>12/11A</v>
      </c>
      <c r="BN259" s="1479" t="str">
        <f t="shared" ref="BN259:BS259" si="578">BN6</f>
        <v>2011A</v>
      </c>
      <c r="BO259" s="1479" t="str">
        <f t="shared" si="578"/>
        <v>3/12A</v>
      </c>
      <c r="BP259" s="1479" t="str">
        <f t="shared" si="578"/>
        <v>6/12A</v>
      </c>
      <c r="BQ259" s="1479" t="str">
        <f t="shared" si="578"/>
        <v>9/12A</v>
      </c>
      <c r="BR259" s="1479" t="str">
        <f t="shared" si="578"/>
        <v>12/12A</v>
      </c>
      <c r="BS259" s="1479" t="str">
        <f t="shared" si="578"/>
        <v>2012A</v>
      </c>
      <c r="BT259" s="1018"/>
      <c r="BU259" s="1018"/>
      <c r="BV259" s="1018"/>
      <c r="BW259" s="1018"/>
      <c r="BX259" s="1018"/>
      <c r="BY259" s="1018"/>
      <c r="BZ259" s="1018"/>
      <c r="CA259" s="1018"/>
      <c r="CB259" s="1018"/>
      <c r="CC259" s="1018"/>
      <c r="CD259" s="1479" t="str">
        <f t="shared" ref="CD259:DQ259" si="579">CD6</f>
        <v>3/13A</v>
      </c>
      <c r="CE259" s="1479" t="str">
        <f t="shared" si="579"/>
        <v>6/13A</v>
      </c>
      <c r="CF259" s="1479" t="str">
        <f t="shared" si="579"/>
        <v>9/13A</v>
      </c>
      <c r="CG259" s="1479" t="str">
        <f t="shared" si="579"/>
        <v>12/13A</v>
      </c>
      <c r="CH259" s="1479" t="str">
        <f t="shared" si="579"/>
        <v>2013A</v>
      </c>
      <c r="CI259" s="1479" t="str">
        <f t="shared" si="579"/>
        <v>3/14A</v>
      </c>
      <c r="CJ259" s="1479" t="str">
        <f t="shared" si="579"/>
        <v>6/14A</v>
      </c>
      <c r="CK259" s="1479" t="str">
        <f t="shared" si="579"/>
        <v>9/14A</v>
      </c>
      <c r="CL259" s="1479" t="str">
        <f t="shared" si="579"/>
        <v>12/14A</v>
      </c>
      <c r="CM259" s="1479" t="str">
        <f t="shared" si="579"/>
        <v>2014A</v>
      </c>
      <c r="CN259" s="1479" t="str">
        <f t="shared" si="579"/>
        <v>3/15A</v>
      </c>
      <c r="CO259" s="1479" t="str">
        <f t="shared" si="579"/>
        <v>6/15A</v>
      </c>
      <c r="CP259" s="1479" t="str">
        <f t="shared" si="579"/>
        <v>9/15A</v>
      </c>
      <c r="CQ259" s="1479" t="str">
        <f t="shared" si="579"/>
        <v>12/15A</v>
      </c>
      <c r="CR259" s="1479" t="str">
        <f t="shared" si="579"/>
        <v>2015A</v>
      </c>
      <c r="CS259" s="1479" t="str">
        <f t="shared" si="579"/>
        <v>3/16A</v>
      </c>
      <c r="CT259" s="1479" t="str">
        <f t="shared" si="579"/>
        <v>6/16A</v>
      </c>
      <c r="CU259" s="1479" t="str">
        <f t="shared" si="579"/>
        <v>9/16A</v>
      </c>
      <c r="CV259" s="1479" t="str">
        <f t="shared" si="579"/>
        <v>12/16A</v>
      </c>
      <c r="CW259" s="1479" t="str">
        <f t="shared" si="579"/>
        <v>2016A</v>
      </c>
      <c r="CX259" s="1479" t="str">
        <f t="shared" si="579"/>
        <v>3/17A</v>
      </c>
      <c r="CY259" s="1479" t="str">
        <f t="shared" si="579"/>
        <v>6/17A</v>
      </c>
      <c r="CZ259" s="1479" t="str">
        <f t="shared" si="579"/>
        <v>9/17A</v>
      </c>
      <c r="DA259" s="1479" t="str">
        <f t="shared" si="579"/>
        <v>12/17A</v>
      </c>
      <c r="DB259" s="1479" t="str">
        <f t="shared" si="579"/>
        <v>2017A</v>
      </c>
      <c r="DC259" s="1479" t="str">
        <f t="shared" si="579"/>
        <v>3/18A</v>
      </c>
      <c r="DD259" s="1479" t="str">
        <f t="shared" si="579"/>
        <v>6/18A</v>
      </c>
      <c r="DE259" s="1479" t="str">
        <f t="shared" si="579"/>
        <v>9/18A</v>
      </c>
      <c r="DF259" s="1479" t="str">
        <f t="shared" si="579"/>
        <v>12/18A</v>
      </c>
      <c r="DG259" s="1479" t="str">
        <f t="shared" si="579"/>
        <v>2018A</v>
      </c>
      <c r="DH259" s="1479" t="str">
        <f t="shared" si="579"/>
        <v>3/19A</v>
      </c>
      <c r="DI259" s="1479" t="str">
        <f t="shared" si="579"/>
        <v>6/19A</v>
      </c>
      <c r="DJ259" s="1479" t="str">
        <f t="shared" si="579"/>
        <v>9/19A</v>
      </c>
      <c r="DK259" s="1479" t="str">
        <f t="shared" si="579"/>
        <v>12/19A</v>
      </c>
      <c r="DL259" s="1479" t="str">
        <f t="shared" si="579"/>
        <v>2019A</v>
      </c>
      <c r="DM259" s="1479" t="str">
        <f t="shared" si="579"/>
        <v>3/20A</v>
      </c>
      <c r="DN259" s="1479" t="str">
        <f t="shared" si="579"/>
        <v>6/20A</v>
      </c>
      <c r="DO259" s="1479" t="str">
        <f t="shared" si="579"/>
        <v>9/20A</v>
      </c>
      <c r="DP259" s="1479" t="str">
        <f t="shared" si="579"/>
        <v>12/20A</v>
      </c>
      <c r="DQ259" s="1479" t="str">
        <f t="shared" si="579"/>
        <v>2020A</v>
      </c>
      <c r="DR259" s="1479"/>
      <c r="DS259" s="1479"/>
      <c r="DT259" s="1479"/>
      <c r="DU259" s="1479"/>
      <c r="DV259" s="1479"/>
      <c r="DW259" s="1479"/>
      <c r="DX259" s="1479"/>
      <c r="DY259" s="1479"/>
      <c r="DZ259" s="1479"/>
      <c r="EA259" s="1018"/>
      <c r="EB259" s="1479"/>
      <c r="EC259" s="1479"/>
      <c r="ED259" s="1479"/>
      <c r="EE259" s="1479"/>
      <c r="EF259" s="1018"/>
      <c r="EG259" s="1479"/>
      <c r="EH259" s="1479"/>
      <c r="EI259" s="1479"/>
      <c r="EJ259" s="1479"/>
      <c r="EK259" s="1018"/>
      <c r="EL259" s="1479"/>
      <c r="EM259" s="1479"/>
      <c r="EN259" s="1479"/>
      <c r="EO259" s="1479"/>
      <c r="EP259" s="1018"/>
      <c r="EQ259" s="1479"/>
      <c r="ER259" s="1479"/>
      <c r="ES259" s="1479"/>
      <c r="ET259" s="1479"/>
      <c r="EU259" s="1018"/>
      <c r="EV259" s="1018"/>
      <c r="EW259" s="1018"/>
      <c r="EX259" s="1018"/>
      <c r="EY259" s="1018"/>
      <c r="FA259" s="4277"/>
      <c r="FB259" s="4277"/>
    </row>
    <row r="260" spans="1:158" s="535" customFormat="1" hidden="1">
      <c r="A260" s="3551" t="s">
        <v>966</v>
      </c>
      <c r="B260" s="4872"/>
      <c r="C260" s="4872"/>
      <c r="D260" s="4872"/>
      <c r="E260" s="4872"/>
      <c r="F260" s="4872"/>
      <c r="G260" s="4872"/>
      <c r="H260" s="4872"/>
      <c r="I260" s="4872"/>
      <c r="J260" s="4872"/>
      <c r="K260" s="4872"/>
      <c r="L260" s="4872"/>
      <c r="M260" s="4872"/>
      <c r="N260" s="4872"/>
      <c r="O260" s="4872"/>
      <c r="P260" s="4872"/>
      <c r="Q260" s="4872"/>
      <c r="R260" s="4872"/>
      <c r="S260" s="4872"/>
      <c r="T260" s="4872"/>
      <c r="U260" s="4872"/>
      <c r="V260" s="4872"/>
      <c r="W260" s="4872"/>
      <c r="X260" s="4872"/>
      <c r="Y260" s="4872"/>
      <c r="Z260" s="4872"/>
      <c r="AA260" s="4872"/>
      <c r="AB260" s="4872"/>
      <c r="AC260" s="4872"/>
      <c r="AD260" s="4872"/>
      <c r="AE260" s="4872"/>
      <c r="AF260" s="4872"/>
      <c r="AG260" s="4872"/>
      <c r="AH260" s="4872"/>
      <c r="AI260" s="4872"/>
      <c r="AJ260" s="4872"/>
      <c r="AK260" s="4872"/>
      <c r="AL260" s="4872"/>
      <c r="AM260" s="4872"/>
      <c r="AN260" s="4872"/>
      <c r="AO260" s="4872"/>
      <c r="AP260" s="4872"/>
      <c r="AQ260" s="4872"/>
      <c r="AR260" s="4872"/>
      <c r="AS260" s="4872"/>
      <c r="AT260" s="4872"/>
      <c r="AU260" s="4872"/>
      <c r="AV260" s="4872"/>
      <c r="AW260" s="4872"/>
      <c r="AX260" s="4872"/>
      <c r="AY260" s="4872"/>
      <c r="AZ260" s="4872"/>
      <c r="BA260" s="4872"/>
      <c r="BB260" s="4872"/>
      <c r="BC260" s="4872"/>
      <c r="BD260" s="4872"/>
      <c r="BE260" s="4872"/>
      <c r="BF260" s="4872"/>
      <c r="BG260" s="4872"/>
      <c r="BH260" s="4872"/>
      <c r="BI260" s="4872"/>
      <c r="BJ260" s="4872"/>
      <c r="BK260" s="4872"/>
      <c r="BL260" s="4872"/>
      <c r="BM260" s="4872"/>
      <c r="BN260" s="4872"/>
      <c r="BO260" s="4872"/>
      <c r="BP260" s="4872"/>
      <c r="BQ260" s="4872"/>
      <c r="BR260" s="4872"/>
      <c r="BS260" s="4872"/>
      <c r="BT260" s="4872"/>
      <c r="BU260" s="4872"/>
      <c r="BV260" s="4872"/>
      <c r="BW260" s="4872"/>
      <c r="BX260" s="4872"/>
      <c r="BY260" s="4872"/>
      <c r="BZ260" s="4872"/>
      <c r="CA260" s="4872"/>
      <c r="CB260" s="4872"/>
      <c r="CC260" s="4872"/>
      <c r="CD260" s="4872"/>
      <c r="CE260" s="4872"/>
      <c r="CF260" s="4872"/>
      <c r="CG260" s="4872"/>
      <c r="CH260" s="4873"/>
      <c r="CI260" s="4874"/>
      <c r="CJ260" s="4874"/>
      <c r="CK260" s="4874"/>
      <c r="CL260" s="4874"/>
      <c r="CM260" s="4875"/>
      <c r="CN260" s="4874"/>
      <c r="CO260" s="4874"/>
      <c r="CP260" s="4874"/>
      <c r="CQ260" s="4874"/>
      <c r="CR260" s="4875"/>
      <c r="CS260" s="4874"/>
      <c r="CT260" s="4874"/>
      <c r="CU260" s="4874"/>
      <c r="CV260" s="4874"/>
      <c r="CW260" s="4875"/>
      <c r="CX260" s="4874"/>
      <c r="CY260" s="4874"/>
      <c r="CZ260" s="4874"/>
      <c r="DA260" s="4874"/>
      <c r="DB260" s="4875"/>
      <c r="DC260" s="4874"/>
      <c r="DD260" s="4874"/>
      <c r="DE260" s="4874"/>
      <c r="DF260" s="4874"/>
      <c r="DG260" s="4875"/>
      <c r="DH260" s="4874"/>
      <c r="DI260" s="4874"/>
      <c r="DJ260" s="4874"/>
      <c r="DK260" s="4874"/>
      <c r="DL260" s="4875"/>
      <c r="DM260" s="4874"/>
      <c r="DN260" s="4874"/>
      <c r="DO260" s="4874"/>
      <c r="DP260" s="4874"/>
      <c r="DQ260" s="4876"/>
      <c r="DR260" s="4874"/>
      <c r="DS260" s="4874"/>
      <c r="DT260" s="4874"/>
      <c r="DU260" s="4874"/>
      <c r="DV260" s="4876"/>
      <c r="DW260" s="4874"/>
      <c r="DX260" s="4874"/>
      <c r="DY260" s="4874"/>
      <c r="DZ260" s="4874"/>
      <c r="EA260" s="4876"/>
      <c r="EB260" s="4874"/>
      <c r="EC260" s="4874"/>
      <c r="ED260" s="4874"/>
      <c r="EE260" s="4874"/>
      <c r="EF260" s="4876"/>
      <c r="EG260" s="4874"/>
      <c r="EH260" s="4874"/>
      <c r="EI260" s="4874"/>
      <c r="EJ260" s="4874"/>
      <c r="EK260" s="4876"/>
      <c r="EL260" s="4874"/>
      <c r="EM260" s="4874"/>
      <c r="EN260" s="4874"/>
      <c r="EO260" s="4874"/>
      <c r="EP260" s="4876"/>
      <c r="EQ260" s="4874"/>
      <c r="ER260" s="4874"/>
      <c r="ES260" s="4874"/>
      <c r="ET260" s="4874"/>
      <c r="EU260" s="4876"/>
      <c r="EV260" s="4876"/>
      <c r="EW260" s="4876"/>
      <c r="EX260" s="4876"/>
      <c r="EY260" s="4876"/>
      <c r="EZ260" s="2586"/>
      <c r="FA260" s="1319"/>
      <c r="FB260" s="1319"/>
    </row>
    <row r="261" spans="1:158" hidden="1">
      <c r="A261" s="4474" t="s">
        <v>446</v>
      </c>
      <c r="B261" s="3258"/>
      <c r="C261" s="3258"/>
      <c r="D261" s="3258"/>
      <c r="E261" s="3258"/>
      <c r="F261" s="3258"/>
      <c r="G261" s="3258"/>
      <c r="H261" s="3258"/>
      <c r="I261" s="3258"/>
      <c r="J261" s="3258"/>
      <c r="K261" s="3258"/>
      <c r="L261" s="3258"/>
      <c r="M261" s="3258"/>
      <c r="N261" s="3258"/>
      <c r="O261" s="3258"/>
      <c r="P261" s="3258"/>
      <c r="Q261" s="3258"/>
      <c r="R261" s="3258"/>
      <c r="S261" s="3258"/>
      <c r="T261" s="3258"/>
      <c r="U261" s="3258"/>
      <c r="V261" s="3258"/>
      <c r="W261" s="3258"/>
      <c r="X261" s="3258"/>
      <c r="Y261" s="3258"/>
      <c r="Z261" s="3258"/>
      <c r="AA261" s="3258"/>
      <c r="AB261" s="3258"/>
      <c r="AC261" s="3258"/>
      <c r="AD261" s="3258"/>
      <c r="AE261" s="3258"/>
      <c r="AF261" s="3258"/>
      <c r="AG261" s="3258"/>
      <c r="AH261" s="3258"/>
      <c r="AI261" s="3258"/>
      <c r="AJ261" s="3258"/>
      <c r="AK261" s="3258"/>
      <c r="AL261" s="3258"/>
      <c r="AM261" s="3258"/>
      <c r="AN261" s="3258"/>
      <c r="AO261" s="3258"/>
      <c r="AP261" s="3258"/>
      <c r="AQ261" s="3258"/>
      <c r="AR261" s="3258"/>
      <c r="AS261" s="3258"/>
      <c r="AT261" s="3258"/>
      <c r="AU261" s="3258"/>
      <c r="AV261" s="3258"/>
      <c r="AW261" s="3258"/>
      <c r="AX261" s="3258"/>
      <c r="AY261" s="3258"/>
      <c r="AZ261" s="3258"/>
      <c r="BA261" s="3258"/>
      <c r="BB261" s="3258"/>
      <c r="BC261" s="3258"/>
      <c r="BD261" s="3258"/>
      <c r="BE261" s="3258"/>
      <c r="BF261" s="3258"/>
      <c r="BG261" s="3258"/>
      <c r="BH261" s="3258"/>
      <c r="BI261" s="3258"/>
      <c r="BJ261" s="3258"/>
      <c r="BK261" s="3258"/>
      <c r="BL261" s="3258"/>
      <c r="BM261" s="3258"/>
      <c r="BN261" s="3258"/>
      <c r="BO261" s="3258"/>
      <c r="BP261" s="3258"/>
      <c r="BQ261" s="3258"/>
      <c r="BR261" s="3258"/>
      <c r="BS261" s="3258"/>
      <c r="BT261" s="3258"/>
      <c r="BU261" s="3258"/>
      <c r="BV261" s="3258"/>
      <c r="BW261" s="3258"/>
      <c r="BX261" s="3258"/>
      <c r="BY261" s="3258"/>
      <c r="BZ261" s="3258"/>
      <c r="CA261" s="3258"/>
      <c r="CB261" s="3258"/>
      <c r="CC261" s="3258"/>
      <c r="CD261" s="3258"/>
      <c r="CE261" s="3258"/>
      <c r="CF261" s="3258"/>
      <c r="CG261" s="3258"/>
      <c r="CH261" s="3270">
        <v>12</v>
      </c>
      <c r="CI261" s="3149" t="s">
        <v>373</v>
      </c>
      <c r="CJ261" s="3149" t="s">
        <v>373</v>
      </c>
      <c r="CK261" s="3149" t="s">
        <v>373</v>
      </c>
      <c r="CL261" s="3271">
        <v>106</v>
      </c>
      <c r="CM261" s="3270">
        <v>327</v>
      </c>
      <c r="CN261" s="3271">
        <f>CN313-CN193</f>
        <v>80</v>
      </c>
      <c r="CO261" s="3271">
        <f>CO313-CO193</f>
        <v>74</v>
      </c>
      <c r="CP261" s="3271">
        <f>CP313-CP193</f>
        <v>141</v>
      </c>
      <c r="CQ261" s="3271">
        <f>CQ313-CQ193</f>
        <v>150</v>
      </c>
      <c r="CR261" s="3272">
        <f>SUM(CN261:CQ261)</f>
        <v>445</v>
      </c>
      <c r="CS261" s="3271">
        <f>CS313-CS193</f>
        <v>165</v>
      </c>
      <c r="CT261" s="3271">
        <f>CT313-CT193</f>
        <v>185</v>
      </c>
      <c r="CU261" s="3271">
        <f>CU313-CU193</f>
        <v>197</v>
      </c>
      <c r="CV261" s="3271">
        <f>CV313-CV193</f>
        <v>262</v>
      </c>
      <c r="CW261" s="3272">
        <f>SUM(CS261:CV261)</f>
        <v>809</v>
      </c>
      <c r="CX261" s="3273">
        <f>'Revenue Drivers'!CX507</f>
        <v>132</v>
      </c>
      <c r="CY261" s="3273">
        <f>'Revenue Drivers'!CY507</f>
        <v>97</v>
      </c>
      <c r="CZ261" s="3273">
        <f>'Revenue Drivers'!CZ507</f>
        <v>117</v>
      </c>
      <c r="DA261" s="3273">
        <f>'Revenue Drivers'!DA507</f>
        <v>131</v>
      </c>
      <c r="DB261" s="3272">
        <f>SUM(CX261:DA261)</f>
        <v>477</v>
      </c>
      <c r="DC261" s="3273">
        <f>'Revenue Drivers'!DC507</f>
        <v>150</v>
      </c>
      <c r="DD261" s="3273">
        <f>'Revenue Drivers'!DD507</f>
        <v>145</v>
      </c>
      <c r="DE261" s="3273">
        <f>'Revenue Drivers'!DE507</f>
        <v>146</v>
      </c>
      <c r="DF261" s="3273">
        <f>'Revenue Drivers'!DF507</f>
        <v>154</v>
      </c>
      <c r="DG261" s="3272">
        <f>SUM(DC261:DF261)</f>
        <v>595</v>
      </c>
      <c r="DH261" s="3273">
        <f>'Revenue Drivers'!DH507</f>
        <v>170</v>
      </c>
      <c r="DI261" s="3273">
        <f>'Revenue Drivers'!DI507</f>
        <v>162</v>
      </c>
      <c r="DJ261" s="3273">
        <f>'Revenue Drivers'!DJ507</f>
        <v>155</v>
      </c>
      <c r="DK261" s="3273">
        <f>'Revenue Drivers'!DK64</f>
        <v>172</v>
      </c>
      <c r="DL261" s="3272">
        <f>SUM(DH261:DK261)</f>
        <v>659</v>
      </c>
      <c r="DM261" s="3273">
        <f>'Revenue Drivers'!DM64</f>
        <v>135</v>
      </c>
      <c r="DN261" s="3273">
        <f>'Revenue Drivers'!DN64</f>
        <v>148</v>
      </c>
      <c r="DO261" s="3273">
        <f>'Revenue Drivers'!DO64</f>
        <v>178</v>
      </c>
      <c r="DP261" s="3273">
        <f>'Revenue Drivers'!DP64</f>
        <v>196</v>
      </c>
      <c r="DQ261" s="3272">
        <f>SUM(DM261:DP261)</f>
        <v>657</v>
      </c>
      <c r="DR261" s="3273"/>
      <c r="DS261" s="3273"/>
      <c r="DT261" s="3273"/>
      <c r="DU261" s="3273"/>
      <c r="DV261" s="3272"/>
      <c r="DW261" s="3273"/>
      <c r="DX261" s="3273"/>
      <c r="DY261" s="3273"/>
      <c r="DZ261" s="3273"/>
      <c r="EA261" s="3272"/>
      <c r="EB261" s="3273"/>
      <c r="EC261" s="3273"/>
      <c r="ED261" s="3273"/>
      <c r="EE261" s="3273"/>
      <c r="EF261" s="3272"/>
      <c r="EG261" s="3273"/>
      <c r="EH261" s="3273"/>
      <c r="EI261" s="3273"/>
      <c r="EJ261" s="3273"/>
      <c r="EK261" s="3272"/>
      <c r="EL261" s="3273"/>
      <c r="EM261" s="3273"/>
      <c r="EN261" s="3273"/>
      <c r="EO261" s="3273"/>
      <c r="EP261" s="3272"/>
      <c r="EQ261" s="3273"/>
      <c r="ER261" s="3273"/>
      <c r="ES261" s="3273"/>
      <c r="ET261" s="3273"/>
      <c r="EU261" s="3272"/>
      <c r="EV261" s="3272"/>
      <c r="EW261" s="3272"/>
      <c r="EX261" s="3272"/>
      <c r="EY261" s="3272"/>
      <c r="FA261" s="1319"/>
      <c r="FB261" s="1319"/>
    </row>
    <row r="262" spans="1:158" s="1636" customFormat="1" hidden="1">
      <c r="A262" s="4559" t="s">
        <v>535</v>
      </c>
      <c r="B262" s="4560"/>
      <c r="C262" s="4560"/>
      <c r="D262" s="4560"/>
      <c r="E262" s="4560"/>
      <c r="F262" s="4560"/>
      <c r="G262" s="4560"/>
      <c r="H262" s="4560"/>
      <c r="I262" s="4560"/>
      <c r="J262" s="4560"/>
      <c r="K262" s="4560"/>
      <c r="L262" s="4560"/>
      <c r="M262" s="4560"/>
      <c r="N262" s="4560"/>
      <c r="O262" s="4560"/>
      <c r="P262" s="4560"/>
      <c r="Q262" s="4560"/>
      <c r="R262" s="4560"/>
      <c r="S262" s="4560"/>
      <c r="T262" s="4560"/>
      <c r="U262" s="4560"/>
      <c r="V262" s="4560"/>
      <c r="W262" s="4560"/>
      <c r="X262" s="4560"/>
      <c r="Y262" s="4560"/>
      <c r="Z262" s="4560"/>
      <c r="AA262" s="4560"/>
      <c r="AB262" s="4560"/>
      <c r="AC262" s="4560"/>
      <c r="AD262" s="4560"/>
      <c r="AE262" s="4560"/>
      <c r="AF262" s="4560"/>
      <c r="AG262" s="4560"/>
      <c r="AH262" s="4560"/>
      <c r="AI262" s="4560"/>
      <c r="AJ262" s="4560"/>
      <c r="AK262" s="4560"/>
      <c r="AL262" s="4560"/>
      <c r="AM262" s="4560"/>
      <c r="AN262" s="4560"/>
      <c r="AO262" s="4560"/>
      <c r="AP262" s="4560"/>
      <c r="AQ262" s="4560"/>
      <c r="AR262" s="4560"/>
      <c r="AS262" s="4560"/>
      <c r="AT262" s="4560"/>
      <c r="AU262" s="4560"/>
      <c r="AV262" s="4560"/>
      <c r="AW262" s="4560"/>
      <c r="AX262" s="4560"/>
      <c r="AY262" s="4560"/>
      <c r="AZ262" s="4560"/>
      <c r="BA262" s="4560"/>
      <c r="BB262" s="4560"/>
      <c r="BC262" s="4560"/>
      <c r="BD262" s="4560"/>
      <c r="BE262" s="4560"/>
      <c r="BF262" s="4560"/>
      <c r="BG262" s="4560"/>
      <c r="BH262" s="4560"/>
      <c r="BI262" s="4560"/>
      <c r="BJ262" s="4560"/>
      <c r="BK262" s="4560"/>
      <c r="BL262" s="4560"/>
      <c r="BM262" s="4560"/>
      <c r="BN262" s="4560"/>
      <c r="BO262" s="4560"/>
      <c r="BP262" s="4560"/>
      <c r="BQ262" s="4560"/>
      <c r="BR262" s="4560"/>
      <c r="BS262" s="4560"/>
      <c r="BT262" s="4560"/>
      <c r="BU262" s="4560"/>
      <c r="BV262" s="4560"/>
      <c r="BW262" s="4560"/>
      <c r="BX262" s="4560"/>
      <c r="BY262" s="4560"/>
      <c r="BZ262" s="4560"/>
      <c r="CA262" s="4560"/>
      <c r="CB262" s="4560"/>
      <c r="CC262" s="4560"/>
      <c r="CD262" s="4560"/>
      <c r="CE262" s="4560"/>
      <c r="CF262" s="4560"/>
      <c r="CG262" s="4560"/>
      <c r="CH262" s="4561"/>
      <c r="CI262" s="4562"/>
      <c r="CJ262" s="4562"/>
      <c r="CK262" s="4562"/>
      <c r="CL262" s="4563"/>
      <c r="CM262" s="4561"/>
      <c r="CN262" s="4563"/>
      <c r="CO262" s="4563"/>
      <c r="CP262" s="4564">
        <f>SUM(CL261,CN261:CP261)</f>
        <v>401</v>
      </c>
      <c r="CQ262" s="4564">
        <f>SUM(CN261:CQ261)</f>
        <v>445</v>
      </c>
      <c r="CR262" s="4565">
        <f>CR261</f>
        <v>445</v>
      </c>
      <c r="CS262" s="4566">
        <f>SUM(CO261:CQ261,CS261)</f>
        <v>530</v>
      </c>
      <c r="CT262" s="4564">
        <f>SUM(CP261:CQ261,CS261:CT261)</f>
        <v>641</v>
      </c>
      <c r="CU262" s="4564">
        <f>SUM(CQ261,CS261:CU261)</f>
        <v>697</v>
      </c>
      <c r="CV262" s="4564">
        <f>SUM(CS261:CV261)</f>
        <v>809</v>
      </c>
      <c r="CW262" s="4565">
        <f>CW261</f>
        <v>809</v>
      </c>
      <c r="CX262" s="4566">
        <f>SUM(CT261:CV261,CX261)</f>
        <v>776</v>
      </c>
      <c r="CY262" s="4564">
        <f>SUM(CU261:CV261,CX261:CY261)</f>
        <v>688</v>
      </c>
      <c r="CZ262" s="4564">
        <f>SUM(CV261,CX261:CZ261)</f>
        <v>608</v>
      </c>
      <c r="DA262" s="4564">
        <f>SUM(CX261:DA261)</f>
        <v>477</v>
      </c>
      <c r="DB262" s="4565">
        <f>DB261</f>
        <v>477</v>
      </c>
      <c r="DC262" s="4567">
        <f>SUM(CY261:DA261,DC261)</f>
        <v>495</v>
      </c>
      <c r="DD262" s="4567">
        <f>SUM(CZ261:DA261,DC261:DD261)</f>
        <v>543</v>
      </c>
      <c r="DE262" s="4567">
        <f>SUM(DA261,DC261:DE261)</f>
        <v>572</v>
      </c>
      <c r="DF262" s="4567">
        <f>SUM(DC261:DF261)</f>
        <v>595</v>
      </c>
      <c r="DG262" s="4565">
        <f>DG261</f>
        <v>595</v>
      </c>
      <c r="DH262" s="4567">
        <f>SUM(DD261:DF261,DH261)</f>
        <v>615</v>
      </c>
      <c r="DI262" s="4567">
        <f>SUM(DE261:DF261,DH261:DI261)</f>
        <v>632</v>
      </c>
      <c r="DJ262" s="4567">
        <f>SUM(DF261,DH261:DJ261)</f>
        <v>641</v>
      </c>
      <c r="DK262" s="4567">
        <f>SUM(DH261:DK261)</f>
        <v>659</v>
      </c>
      <c r="DL262" s="4565">
        <f>DL261</f>
        <v>659</v>
      </c>
      <c r="DM262" s="4567">
        <f>SUM(DJ261:DM261)</f>
        <v>1121</v>
      </c>
      <c r="DN262" s="4567">
        <f>SUM(DK261:DN261)</f>
        <v>1114</v>
      </c>
      <c r="DO262" s="4567">
        <f>SUM(DL261:DO261)</f>
        <v>1120</v>
      </c>
      <c r="DP262" s="4567">
        <f>SUM(DM261:DP261)</f>
        <v>657</v>
      </c>
      <c r="DQ262" s="4565">
        <f>DQ261</f>
        <v>657</v>
      </c>
      <c r="DR262" s="4567"/>
      <c r="DS262" s="4567"/>
      <c r="DT262" s="4567"/>
      <c r="DU262" s="4567"/>
      <c r="DV262" s="4565"/>
      <c r="DW262" s="4567"/>
      <c r="DX262" s="4567"/>
      <c r="DY262" s="4567"/>
      <c r="DZ262" s="4567"/>
      <c r="EA262" s="4565"/>
      <c r="EB262" s="4567"/>
      <c r="EC262" s="4567"/>
      <c r="ED262" s="4567"/>
      <c r="EE262" s="4567"/>
      <c r="EF262" s="4565"/>
      <c r="EG262" s="4567"/>
      <c r="EH262" s="4567"/>
      <c r="EI262" s="4567"/>
      <c r="EJ262" s="4567"/>
      <c r="EK262" s="4565"/>
      <c r="EL262" s="4567"/>
      <c r="EM262" s="4567"/>
      <c r="EN262" s="4567"/>
      <c r="EO262" s="4567"/>
      <c r="EP262" s="4565"/>
      <c r="EQ262" s="4567"/>
      <c r="ER262" s="4567"/>
      <c r="ES262" s="4567"/>
      <c r="ET262" s="4567"/>
      <c r="EU262" s="4565"/>
      <c r="EV262" s="4565"/>
      <c r="EW262" s="4565"/>
      <c r="EX262" s="4565"/>
      <c r="EY262" s="4565"/>
      <c r="FA262" s="1319"/>
      <c r="FB262" s="1319"/>
    </row>
    <row r="263" spans="1:158" s="1514" customFormat="1" hidden="1">
      <c r="A263" s="4842" t="s">
        <v>952</v>
      </c>
      <c r="B263" s="4843"/>
      <c r="C263" s="4843"/>
      <c r="D263" s="4843"/>
      <c r="E263" s="4843"/>
      <c r="F263" s="4843"/>
      <c r="G263" s="4843"/>
      <c r="H263" s="4843"/>
      <c r="I263" s="4843"/>
      <c r="J263" s="4843"/>
      <c r="K263" s="4843"/>
      <c r="L263" s="4843"/>
      <c r="M263" s="4843"/>
      <c r="N263" s="4843"/>
      <c r="O263" s="4843"/>
      <c r="P263" s="4843"/>
      <c r="Q263" s="4843"/>
      <c r="R263" s="4843"/>
      <c r="S263" s="4843"/>
      <c r="T263" s="4843"/>
      <c r="U263" s="4843"/>
      <c r="V263" s="4843"/>
      <c r="W263" s="4843"/>
      <c r="X263" s="4843"/>
      <c r="Y263" s="4843"/>
      <c r="Z263" s="4843"/>
      <c r="AA263" s="4843"/>
      <c r="AB263" s="4843"/>
      <c r="AC263" s="4843"/>
      <c r="AD263" s="4843"/>
      <c r="AE263" s="4843"/>
      <c r="AF263" s="4843"/>
      <c r="AG263" s="4843"/>
      <c r="AH263" s="4843"/>
      <c r="AI263" s="4843"/>
      <c r="AJ263" s="4843"/>
      <c r="AK263" s="4843"/>
      <c r="AL263" s="4843"/>
      <c r="AM263" s="4843"/>
      <c r="AN263" s="4843"/>
      <c r="AO263" s="4843"/>
      <c r="AP263" s="4843"/>
      <c r="AQ263" s="4843"/>
      <c r="AR263" s="4843"/>
      <c r="AS263" s="4843"/>
      <c r="AT263" s="4843"/>
      <c r="AU263" s="4843"/>
      <c r="AV263" s="4843"/>
      <c r="AW263" s="4843"/>
      <c r="AX263" s="4843"/>
      <c r="AY263" s="4843"/>
      <c r="AZ263" s="4843"/>
      <c r="BA263" s="4843"/>
      <c r="BB263" s="4843"/>
      <c r="BC263" s="4843"/>
      <c r="BD263" s="4843"/>
      <c r="BE263" s="4843"/>
      <c r="BF263" s="4843"/>
      <c r="BG263" s="4843"/>
      <c r="BH263" s="4843"/>
      <c r="BI263" s="4843"/>
      <c r="BJ263" s="4843"/>
      <c r="BK263" s="4843"/>
      <c r="BL263" s="4843"/>
      <c r="BM263" s="4843"/>
      <c r="BN263" s="4843"/>
      <c r="BO263" s="4843"/>
      <c r="BP263" s="4843"/>
      <c r="BQ263" s="4843"/>
      <c r="BR263" s="4843"/>
      <c r="BS263" s="4843"/>
      <c r="BT263" s="4843"/>
      <c r="BU263" s="4843"/>
      <c r="BV263" s="4843"/>
      <c r="BW263" s="4843"/>
      <c r="BX263" s="4843"/>
      <c r="BY263" s="4843"/>
      <c r="BZ263" s="4843"/>
      <c r="CA263" s="4843"/>
      <c r="CB263" s="4843"/>
      <c r="CC263" s="4843"/>
      <c r="CD263" s="4843"/>
      <c r="CE263" s="4843"/>
      <c r="CF263" s="4843"/>
      <c r="CG263" s="4843"/>
      <c r="CH263" s="4844">
        <f>CH261-CH269-CH264</f>
        <v>391</v>
      </c>
      <c r="CI263" s="4845" t="s">
        <v>373</v>
      </c>
      <c r="CJ263" s="4845" t="s">
        <v>373</v>
      </c>
      <c r="CK263" s="4845" t="s">
        <v>373</v>
      </c>
      <c r="CL263" s="4843">
        <f t="shared" ref="CL263:DQ263" si="580">CL261-CL269-CL264</f>
        <v>588</v>
      </c>
      <c r="CM263" s="4844">
        <f t="shared" si="580"/>
        <v>1774</v>
      </c>
      <c r="CN263" s="4843">
        <f t="shared" si="580"/>
        <v>556</v>
      </c>
      <c r="CO263" s="4843">
        <f t="shared" si="580"/>
        <v>584</v>
      </c>
      <c r="CP263" s="4843">
        <f t="shared" si="580"/>
        <v>945</v>
      </c>
      <c r="CQ263" s="4843">
        <f t="shared" si="580"/>
        <v>1162</v>
      </c>
      <c r="CR263" s="4844">
        <f t="shared" si="580"/>
        <v>3247</v>
      </c>
      <c r="CS263" s="4843">
        <f t="shared" si="580"/>
        <v>747</v>
      </c>
      <c r="CT263" s="4843">
        <f t="shared" si="580"/>
        <v>810</v>
      </c>
      <c r="CU263" s="4843">
        <f t="shared" si="580"/>
        <v>755</v>
      </c>
      <c r="CV263" s="4843">
        <f t="shared" si="580"/>
        <v>1088</v>
      </c>
      <c r="CW263" s="4844">
        <f t="shared" si="580"/>
        <v>3400</v>
      </c>
      <c r="CX263" s="4843">
        <f t="shared" si="580"/>
        <v>662</v>
      </c>
      <c r="CY263" s="4843">
        <f t="shared" si="580"/>
        <v>588</v>
      </c>
      <c r="CZ263" s="4843">
        <f t="shared" si="580"/>
        <v>605</v>
      </c>
      <c r="DA263" s="4843">
        <f t="shared" si="580"/>
        <v>686</v>
      </c>
      <c r="DB263" s="4844">
        <f t="shared" si="580"/>
        <v>2541</v>
      </c>
      <c r="DC263" s="4843">
        <f t="shared" si="580"/>
        <v>524</v>
      </c>
      <c r="DD263" s="4843">
        <f t="shared" si="580"/>
        <v>667</v>
      </c>
      <c r="DE263" s="4843">
        <f t="shared" si="580"/>
        <v>670</v>
      </c>
      <c r="DF263" s="4843">
        <f t="shared" si="580"/>
        <v>1276</v>
      </c>
      <c r="DG263" s="4844">
        <f t="shared" si="580"/>
        <v>3137</v>
      </c>
      <c r="DH263" s="4843">
        <f t="shared" si="580"/>
        <v>831</v>
      </c>
      <c r="DI263" s="4843">
        <f t="shared" si="580"/>
        <v>947</v>
      </c>
      <c r="DJ263" s="4843">
        <f t="shared" si="580"/>
        <v>896</v>
      </c>
      <c r="DK263" s="4843">
        <f t="shared" si="580"/>
        <v>1769</v>
      </c>
      <c r="DL263" s="4844">
        <f t="shared" si="580"/>
        <v>4443</v>
      </c>
      <c r="DM263" s="4843">
        <f t="shared" si="580"/>
        <v>1029</v>
      </c>
      <c r="DN263" s="4843">
        <f t="shared" si="580"/>
        <v>1034</v>
      </c>
      <c r="DO263" s="4843">
        <f t="shared" si="580"/>
        <v>1056</v>
      </c>
      <c r="DP263" s="4843">
        <f t="shared" si="580"/>
        <v>1104.63755505618</v>
      </c>
      <c r="DQ263" s="4844">
        <f t="shared" si="580"/>
        <v>4223.6375550561806</v>
      </c>
      <c r="DR263" s="4843"/>
      <c r="DS263" s="4843"/>
      <c r="DT263" s="4843"/>
      <c r="DU263" s="4843"/>
      <c r="DV263" s="4844"/>
      <c r="DW263" s="4843"/>
      <c r="DX263" s="4843"/>
      <c r="DY263" s="4843"/>
      <c r="DZ263" s="4843"/>
      <c r="EA263" s="4844"/>
      <c r="EB263" s="4843"/>
      <c r="EC263" s="4843"/>
      <c r="ED263" s="4843"/>
      <c r="EE263" s="4843"/>
      <c r="EF263" s="4844"/>
      <c r="EG263" s="4843"/>
      <c r="EH263" s="4843"/>
      <c r="EI263" s="4843"/>
      <c r="EJ263" s="4843"/>
      <c r="EK263" s="4844"/>
      <c r="EL263" s="4843"/>
      <c r="EM263" s="4843"/>
      <c r="EN263" s="4843"/>
      <c r="EO263" s="4843"/>
      <c r="EP263" s="4844"/>
      <c r="EQ263" s="4843"/>
      <c r="ER263" s="4843"/>
      <c r="ES263" s="4843"/>
      <c r="ET263" s="4843"/>
      <c r="EU263" s="4844"/>
      <c r="EV263" s="4844"/>
      <c r="EW263" s="4844"/>
      <c r="EX263" s="4844"/>
      <c r="EY263" s="4844"/>
      <c r="FA263" s="1319"/>
      <c r="FB263" s="1319"/>
    </row>
    <row r="264" spans="1:158" hidden="1">
      <c r="A264" s="4846" t="s">
        <v>451</v>
      </c>
      <c r="B264" s="157"/>
      <c r="C264" s="157"/>
      <c r="D264" s="157"/>
      <c r="E264" s="157"/>
      <c r="F264" s="157"/>
      <c r="G264" s="157"/>
      <c r="H264" s="157"/>
      <c r="I264" s="157"/>
      <c r="J264" s="157"/>
      <c r="K264" s="157"/>
      <c r="L264" s="157"/>
      <c r="M264" s="157"/>
      <c r="N264" s="157"/>
      <c r="O264" s="157"/>
      <c r="P264" s="157"/>
      <c r="Q264" s="157"/>
      <c r="R264" s="157"/>
      <c r="S264" s="157"/>
      <c r="T264" s="157"/>
      <c r="U264" s="157"/>
      <c r="V264" s="157"/>
      <c r="W264" s="157"/>
      <c r="X264" s="157"/>
      <c r="Y264" s="157"/>
      <c r="Z264" s="157"/>
      <c r="AA264" s="157"/>
      <c r="AB264" s="157"/>
      <c r="AC264" s="157"/>
      <c r="AD264" s="157"/>
      <c r="AE264" s="157"/>
      <c r="AF264" s="157"/>
      <c r="AG264" s="157"/>
      <c r="AH264" s="157"/>
      <c r="AI264" s="157"/>
      <c r="AJ264" s="157"/>
      <c r="AK264" s="157"/>
      <c r="AL264" s="157"/>
      <c r="AM264" s="157"/>
      <c r="AN264" s="157"/>
      <c r="AO264" s="157"/>
      <c r="AP264" s="157"/>
      <c r="AQ264" s="157"/>
      <c r="AR264" s="157"/>
      <c r="AS264" s="157"/>
      <c r="AT264" s="157"/>
      <c r="AU264" s="157"/>
      <c r="AV264" s="157"/>
      <c r="AW264" s="157"/>
      <c r="AX264" s="157"/>
      <c r="AY264" s="157"/>
      <c r="AZ264" s="157"/>
      <c r="BA264" s="157"/>
      <c r="BB264" s="157"/>
      <c r="BC264" s="157"/>
      <c r="BD264" s="157"/>
      <c r="BE264" s="157"/>
      <c r="BF264" s="157"/>
      <c r="BG264" s="157"/>
      <c r="BH264" s="157"/>
      <c r="BI264" s="157"/>
      <c r="BJ264" s="157"/>
      <c r="BK264" s="157"/>
      <c r="BL264" s="157"/>
      <c r="BM264" s="157"/>
      <c r="BN264" s="157"/>
      <c r="BO264" s="157"/>
      <c r="BP264" s="157"/>
      <c r="BQ264" s="157"/>
      <c r="BR264" s="157"/>
      <c r="BS264" s="157"/>
      <c r="BT264" s="157"/>
      <c r="BU264" s="157"/>
      <c r="BV264" s="157"/>
      <c r="BW264" s="157"/>
      <c r="BX264" s="157"/>
      <c r="BY264" s="157"/>
      <c r="BZ264" s="157"/>
      <c r="CA264" s="157"/>
      <c r="CB264" s="157"/>
      <c r="CC264" s="157"/>
      <c r="CD264" s="157"/>
      <c r="CE264" s="157"/>
      <c r="CF264" s="157"/>
      <c r="CG264" s="157"/>
      <c r="CH264" s="4137">
        <f>+CH326-CH208-CH306</f>
        <v>24</v>
      </c>
      <c r="CI264" s="655" t="s">
        <v>373</v>
      </c>
      <c r="CJ264" s="655" t="s">
        <v>373</v>
      </c>
      <c r="CK264" s="655" t="s">
        <v>373</v>
      </c>
      <c r="CL264" s="2709">
        <f t="shared" ref="CL264:CQ264" si="581">+CL326-CL208-CL306</f>
        <v>51</v>
      </c>
      <c r="CM264" s="4137">
        <f t="shared" si="581"/>
        <v>148</v>
      </c>
      <c r="CN264" s="2709">
        <f t="shared" si="581"/>
        <v>40</v>
      </c>
      <c r="CO264" s="2709">
        <f t="shared" si="581"/>
        <v>45</v>
      </c>
      <c r="CP264" s="2709">
        <f t="shared" si="581"/>
        <v>48</v>
      </c>
      <c r="CQ264" s="2709">
        <f t="shared" si="581"/>
        <v>70</v>
      </c>
      <c r="CR264" s="4138">
        <f>SUM(CN264:CQ264)</f>
        <v>203</v>
      </c>
      <c r="CS264" s="2710">
        <f>+CS326-CS208-CS306</f>
        <v>54</v>
      </c>
      <c r="CT264" s="2709">
        <f>+CT326-CT208-CT306</f>
        <v>81</v>
      </c>
      <c r="CU264" s="2709">
        <f>+CU326-CU208-CU306</f>
        <v>104</v>
      </c>
      <c r="CV264" s="2709">
        <f>+CV326-CV208-CV306</f>
        <v>101</v>
      </c>
      <c r="CW264" s="4138">
        <f>SUM(CS264:CV264)</f>
        <v>340</v>
      </c>
      <c r="CX264" s="2710">
        <f>+CX326-CX208-CX306</f>
        <v>87</v>
      </c>
      <c r="CY264" s="2710">
        <f>+CY326-CY208-CY306</f>
        <v>61</v>
      </c>
      <c r="CZ264" s="2709">
        <f>+CZ326-CZ208-CZ306</f>
        <v>68</v>
      </c>
      <c r="DA264" s="2709">
        <f>+DA326-DA208-DA306</f>
        <v>91</v>
      </c>
      <c r="DB264" s="4138">
        <f>SUM(CX264:DA264)</f>
        <v>307</v>
      </c>
      <c r="DC264" s="2710">
        <f>+DC326-DC208-DC306</f>
        <v>85</v>
      </c>
      <c r="DD264" s="2709">
        <f>+DD326-DD208-DD306</f>
        <v>83</v>
      </c>
      <c r="DE264" s="2709">
        <f>+DE326-DE208-DE306</f>
        <v>78</v>
      </c>
      <c r="DF264" s="2709">
        <f>+DF326-DF208-DF306</f>
        <v>81</v>
      </c>
      <c r="DG264" s="4138">
        <f>SUM(DC264:DF264)</f>
        <v>327</v>
      </c>
      <c r="DH264" s="2710">
        <v>84</v>
      </c>
      <c r="DI264" s="2709">
        <v>79</v>
      </c>
      <c r="DJ264" s="2709">
        <v>83</v>
      </c>
      <c r="DK264" s="2709">
        <v>320</v>
      </c>
      <c r="DL264" s="4138">
        <f>SUM(DH264:DK264)</f>
        <v>566</v>
      </c>
      <c r="DM264" s="2709">
        <v>92</v>
      </c>
      <c r="DN264" s="2709">
        <v>94</v>
      </c>
      <c r="DO264" s="2709">
        <v>95</v>
      </c>
      <c r="DP264" s="2702">
        <f>+DP326-DP208-DP306</f>
        <v>95.94399999999996</v>
      </c>
      <c r="DQ264" s="4138">
        <f>SUM(DM264:DP264)</f>
        <v>376.94399999999996</v>
      </c>
      <c r="DR264" s="2702"/>
      <c r="DS264" s="2702"/>
      <c r="DT264" s="2702"/>
      <c r="DU264" s="2702"/>
      <c r="DV264" s="4138"/>
      <c r="DW264" s="2702"/>
      <c r="DX264" s="2702"/>
      <c r="DY264" s="2702"/>
      <c r="DZ264" s="2702"/>
      <c r="EA264" s="4138"/>
      <c r="EB264" s="2702"/>
      <c r="EC264" s="2702"/>
      <c r="ED264" s="2702"/>
      <c r="EE264" s="2702"/>
      <c r="EF264" s="4138"/>
      <c r="EG264" s="2702"/>
      <c r="EH264" s="2702"/>
      <c r="EI264" s="2702"/>
      <c r="EJ264" s="2702"/>
      <c r="EK264" s="4138"/>
      <c r="EL264" s="2702"/>
      <c r="EM264" s="2702"/>
      <c r="EN264" s="2702"/>
      <c r="EO264" s="2702"/>
      <c r="EP264" s="4138"/>
      <c r="EQ264" s="2702"/>
      <c r="ER264" s="2702"/>
      <c r="ES264" s="2702"/>
      <c r="ET264" s="2702"/>
      <c r="EU264" s="4138"/>
      <c r="EV264" s="4138"/>
      <c r="EW264" s="4138"/>
      <c r="EX264" s="4138"/>
      <c r="EY264" s="4138"/>
      <c r="FA264" s="1319"/>
      <c r="FB264" s="1319"/>
    </row>
    <row r="265" spans="1:158" hidden="1">
      <c r="A265" s="3553" t="s">
        <v>448</v>
      </c>
      <c r="B265" s="157"/>
      <c r="C265" s="157"/>
      <c r="D265" s="157"/>
      <c r="E265" s="157"/>
      <c r="F265" s="157"/>
      <c r="G265" s="157"/>
      <c r="H265" s="157"/>
      <c r="I265" s="157"/>
      <c r="J265" s="157"/>
      <c r="K265" s="157"/>
      <c r="L265" s="157"/>
      <c r="M265" s="157"/>
      <c r="N265" s="157"/>
      <c r="O265" s="157"/>
      <c r="P265" s="157"/>
      <c r="Q265" s="157"/>
      <c r="R265" s="157"/>
      <c r="S265" s="157"/>
      <c r="T265" s="157"/>
      <c r="U265" s="157"/>
      <c r="V265" s="157"/>
      <c r="W265" s="157"/>
      <c r="X265" s="157"/>
      <c r="Y265" s="157"/>
      <c r="Z265" s="157"/>
      <c r="AA265" s="157"/>
      <c r="AB265" s="157"/>
      <c r="AC265" s="157"/>
      <c r="AD265" s="157"/>
      <c r="AE265" s="157"/>
      <c r="AF265" s="157"/>
      <c r="AG265" s="157"/>
      <c r="AH265" s="157"/>
      <c r="AI265" s="157"/>
      <c r="AJ265" s="157"/>
      <c r="AK265" s="157"/>
      <c r="AL265" s="157"/>
      <c r="AM265" s="157"/>
      <c r="AN265" s="157"/>
      <c r="AO265" s="157"/>
      <c r="AP265" s="157"/>
      <c r="AQ265" s="157"/>
      <c r="AR265" s="157"/>
      <c r="AS265" s="157"/>
      <c r="AT265" s="157"/>
      <c r="AU265" s="157"/>
      <c r="AV265" s="157"/>
      <c r="AW265" s="157"/>
      <c r="AX265" s="157"/>
      <c r="AY265" s="157"/>
      <c r="AZ265" s="157"/>
      <c r="BA265" s="157"/>
      <c r="BB265" s="157"/>
      <c r="BC265" s="157"/>
      <c r="BD265" s="157"/>
      <c r="BE265" s="157"/>
      <c r="BF265" s="157"/>
      <c r="BG265" s="157"/>
      <c r="BH265" s="157"/>
      <c r="BI265" s="157"/>
      <c r="BJ265" s="157"/>
      <c r="BK265" s="157"/>
      <c r="BL265" s="157"/>
      <c r="BM265" s="157"/>
      <c r="BN265" s="157"/>
      <c r="BO265" s="157"/>
      <c r="BP265" s="157"/>
      <c r="BQ265" s="157"/>
      <c r="BR265" s="157"/>
      <c r="BS265" s="157"/>
      <c r="BT265" s="157"/>
      <c r="BU265" s="157"/>
      <c r="BV265" s="157"/>
      <c r="BW265" s="157"/>
      <c r="BX265" s="157"/>
      <c r="BY265" s="157"/>
      <c r="BZ265" s="157"/>
      <c r="CA265" s="157"/>
      <c r="CB265" s="157"/>
      <c r="CC265" s="157"/>
      <c r="CD265" s="157"/>
      <c r="CE265" s="157"/>
      <c r="CF265" s="157"/>
      <c r="CG265" s="157"/>
      <c r="CH265" s="4137">
        <v>124</v>
      </c>
      <c r="CI265" s="655" t="s">
        <v>373</v>
      </c>
      <c r="CJ265" s="655" t="s">
        <v>373</v>
      </c>
      <c r="CK265" s="655" t="s">
        <v>373</v>
      </c>
      <c r="CL265" s="2709">
        <v>101</v>
      </c>
      <c r="CM265" s="4137">
        <v>347</v>
      </c>
      <c r="CN265" s="2709">
        <f>CN315-CN197-CN303</f>
        <v>117</v>
      </c>
      <c r="CO265" s="2709">
        <f>CO315-CO197-CO303</f>
        <v>105</v>
      </c>
      <c r="CP265" s="2709">
        <f>CP315-CP197-CP303</f>
        <v>128</v>
      </c>
      <c r="CQ265" s="2709">
        <f>CQ315-CQ197-CQ303</f>
        <v>131</v>
      </c>
      <c r="CR265" s="4138">
        <f>SUM(CN265:CQ265)</f>
        <v>481</v>
      </c>
      <c r="CS265" s="2771">
        <f>CS315-CS197-CS303</f>
        <v>138</v>
      </c>
      <c r="CT265" s="2771">
        <f>CT315-CT197-CT303</f>
        <v>149</v>
      </c>
      <c r="CU265" s="2771">
        <f>CU315-CU197-CU303</f>
        <v>199</v>
      </c>
      <c r="CV265" s="2771">
        <f>CV315-CV197-CV303</f>
        <v>161</v>
      </c>
      <c r="CW265" s="4139">
        <f>SUM(CS265:CV265)</f>
        <v>647</v>
      </c>
      <c r="CX265" s="2771">
        <f>CX315-CX197-CX303</f>
        <v>86</v>
      </c>
      <c r="CY265" s="2771">
        <f>CY315-CY197-CY303</f>
        <v>81</v>
      </c>
      <c r="CZ265" s="2771">
        <f>CZ315-CZ197-CZ303</f>
        <v>94</v>
      </c>
      <c r="DA265" s="2771">
        <f>DA315-DA197-DA303</f>
        <v>102</v>
      </c>
      <c r="DB265" s="4139">
        <f>SUM(CX265:DA265)</f>
        <v>363</v>
      </c>
      <c r="DC265" s="2771">
        <f>DC315-DC197-DC303</f>
        <v>112</v>
      </c>
      <c r="DD265" s="2771">
        <f>DD315-DD197-DD303</f>
        <v>127</v>
      </c>
      <c r="DE265" s="2771">
        <f>DE315-DE197-DE303</f>
        <v>125</v>
      </c>
      <c r="DF265" s="2771">
        <f>DF315-DF197-DF303</f>
        <v>125</v>
      </c>
      <c r="DG265" s="4139">
        <f>SUM(DC265:DF265)</f>
        <v>489</v>
      </c>
      <c r="DH265" s="2771">
        <f>DH315-DH197-DH303</f>
        <v>123</v>
      </c>
      <c r="DI265" s="2771">
        <v>125</v>
      </c>
      <c r="DJ265" s="2771">
        <v>117</v>
      </c>
      <c r="DK265" s="2771">
        <v>109</v>
      </c>
      <c r="DL265" s="4139">
        <f>SUM(DH265:DK265)</f>
        <v>474</v>
      </c>
      <c r="DM265" s="2771">
        <v>135</v>
      </c>
      <c r="DN265" s="2771">
        <v>136</v>
      </c>
      <c r="DO265" s="2771">
        <v>130</v>
      </c>
      <c r="DP265" s="2707">
        <f>DP315-DP197-DP303</f>
        <v>131.41844494382013</v>
      </c>
      <c r="DQ265" s="4139">
        <f>SUM(DM265:DP265)</f>
        <v>532.41844494382008</v>
      </c>
      <c r="DR265" s="2707"/>
      <c r="DS265" s="2707"/>
      <c r="DT265" s="2707"/>
      <c r="DU265" s="2707"/>
      <c r="DV265" s="4139"/>
      <c r="DW265" s="2707"/>
      <c r="DX265" s="2707"/>
      <c r="DY265" s="2707"/>
      <c r="DZ265" s="2707"/>
      <c r="EA265" s="4139"/>
      <c r="EB265" s="2707"/>
      <c r="EC265" s="2707"/>
      <c r="ED265" s="2707"/>
      <c r="EE265" s="2707"/>
      <c r="EF265" s="4139"/>
      <c r="EG265" s="2707"/>
      <c r="EH265" s="2707"/>
      <c r="EI265" s="2707"/>
      <c r="EJ265" s="2707"/>
      <c r="EK265" s="4139"/>
      <c r="EL265" s="2707"/>
      <c r="EM265" s="2707"/>
      <c r="EN265" s="2707"/>
      <c r="EO265" s="2707"/>
      <c r="EP265" s="4139"/>
      <c r="EQ265" s="2707"/>
      <c r="ER265" s="2707"/>
      <c r="ES265" s="2707"/>
      <c r="ET265" s="2707"/>
      <c r="EU265" s="4139"/>
      <c r="EV265" s="4139"/>
      <c r="EW265" s="4139"/>
      <c r="EX265" s="4139"/>
      <c r="EY265" s="4139"/>
      <c r="FA265" s="1319"/>
      <c r="FB265" s="1319"/>
    </row>
    <row r="266" spans="1:158" hidden="1">
      <c r="A266" s="3560" t="s">
        <v>844</v>
      </c>
      <c r="B266" s="157"/>
      <c r="C266" s="157"/>
      <c r="D266" s="157"/>
      <c r="E266" s="157"/>
      <c r="F266" s="157"/>
      <c r="G266" s="157"/>
      <c r="H266" s="157"/>
      <c r="I266" s="157"/>
      <c r="J266" s="157"/>
      <c r="K266" s="157"/>
      <c r="L266" s="157"/>
      <c r="M266" s="157"/>
      <c r="N266" s="157"/>
      <c r="O266" s="157"/>
      <c r="P266" s="157"/>
      <c r="Q266" s="157"/>
      <c r="R266" s="157"/>
      <c r="S266" s="157"/>
      <c r="T266" s="157"/>
      <c r="U266" s="157"/>
      <c r="V266" s="157"/>
      <c r="W266" s="157"/>
      <c r="X266" s="157"/>
      <c r="Y266" s="157"/>
      <c r="Z266" s="157"/>
      <c r="AA266" s="157"/>
      <c r="AB266" s="157"/>
      <c r="AC266" s="157"/>
      <c r="AD266" s="157"/>
      <c r="AE266" s="157"/>
      <c r="AF266" s="157"/>
      <c r="AG266" s="157"/>
      <c r="AH266" s="157"/>
      <c r="AI266" s="157"/>
      <c r="AJ266" s="157"/>
      <c r="AK266" s="157"/>
      <c r="AL266" s="157"/>
      <c r="AM266" s="157"/>
      <c r="AN266" s="157"/>
      <c r="AO266" s="157"/>
      <c r="AP266" s="157"/>
      <c r="AQ266" s="157"/>
      <c r="AR266" s="157"/>
      <c r="AS266" s="157"/>
      <c r="AT266" s="157"/>
      <c r="AU266" s="157"/>
      <c r="AV266" s="157"/>
      <c r="AW266" s="157"/>
      <c r="AX266" s="157"/>
      <c r="AY266" s="157"/>
      <c r="AZ266" s="157"/>
      <c r="BA266" s="157"/>
      <c r="BB266" s="157"/>
      <c r="BC266" s="157"/>
      <c r="BD266" s="157"/>
      <c r="BE266" s="157"/>
      <c r="BF266" s="157"/>
      <c r="BG266" s="157"/>
      <c r="BH266" s="157"/>
      <c r="BI266" s="157"/>
      <c r="BJ266" s="157"/>
      <c r="BK266" s="157"/>
      <c r="BL266" s="157"/>
      <c r="BM266" s="157"/>
      <c r="BN266" s="157"/>
      <c r="BO266" s="157"/>
      <c r="BP266" s="157"/>
      <c r="BQ266" s="157"/>
      <c r="BR266" s="157"/>
      <c r="BS266" s="157"/>
      <c r="BT266" s="157"/>
      <c r="BU266" s="157"/>
      <c r="BV266" s="157"/>
      <c r="BW266" s="157"/>
      <c r="BX266" s="157"/>
      <c r="BY266" s="157"/>
      <c r="BZ266" s="157"/>
      <c r="CA266" s="157"/>
      <c r="CB266" s="157"/>
      <c r="CC266" s="157"/>
      <c r="CD266" s="157"/>
      <c r="CE266" s="157"/>
      <c r="CF266" s="157"/>
      <c r="CG266" s="157"/>
      <c r="CH266" s="4137"/>
      <c r="CI266" s="655"/>
      <c r="CJ266" s="655"/>
      <c r="CK266" s="655"/>
      <c r="CL266" s="2709"/>
      <c r="CM266" s="4137"/>
      <c r="CN266" s="2709"/>
      <c r="CO266" s="2709"/>
      <c r="CP266" s="2709"/>
      <c r="CQ266" s="2709"/>
      <c r="CR266" s="4138"/>
      <c r="CS266" s="2771"/>
      <c r="CT266" s="2771"/>
      <c r="CU266" s="2771"/>
      <c r="CV266" s="2771"/>
      <c r="CW266" s="4139"/>
      <c r="CX266" s="2707">
        <f t="shared" ref="CX266:DQ266" si="582">SUM(CX263:CX265)</f>
        <v>835</v>
      </c>
      <c r="CY266" s="2707">
        <f t="shared" si="582"/>
        <v>730</v>
      </c>
      <c r="CZ266" s="2707">
        <f t="shared" si="582"/>
        <v>767</v>
      </c>
      <c r="DA266" s="2707">
        <f t="shared" si="582"/>
        <v>879</v>
      </c>
      <c r="DB266" s="4139">
        <f t="shared" si="582"/>
        <v>3211</v>
      </c>
      <c r="DC266" s="2707">
        <f t="shared" si="582"/>
        <v>721</v>
      </c>
      <c r="DD266" s="2707">
        <f t="shared" si="582"/>
        <v>877</v>
      </c>
      <c r="DE266" s="2707">
        <f t="shared" si="582"/>
        <v>873</v>
      </c>
      <c r="DF266" s="2707">
        <f t="shared" si="582"/>
        <v>1482</v>
      </c>
      <c r="DG266" s="4139">
        <f t="shared" si="582"/>
        <v>3953</v>
      </c>
      <c r="DH266" s="2707">
        <f t="shared" si="582"/>
        <v>1038</v>
      </c>
      <c r="DI266" s="2707">
        <f t="shared" si="582"/>
        <v>1151</v>
      </c>
      <c r="DJ266" s="2707">
        <f t="shared" si="582"/>
        <v>1096</v>
      </c>
      <c r="DK266" s="2707">
        <f t="shared" si="582"/>
        <v>2198</v>
      </c>
      <c r="DL266" s="4139">
        <f t="shared" si="582"/>
        <v>5483</v>
      </c>
      <c r="DM266" s="2707">
        <f t="shared" si="582"/>
        <v>1256</v>
      </c>
      <c r="DN266" s="2707">
        <f t="shared" si="582"/>
        <v>1264</v>
      </c>
      <c r="DO266" s="2707">
        <f t="shared" si="582"/>
        <v>1281</v>
      </c>
      <c r="DP266" s="2707">
        <f t="shared" si="582"/>
        <v>1332</v>
      </c>
      <c r="DQ266" s="4139">
        <f t="shared" si="582"/>
        <v>5133</v>
      </c>
      <c r="DR266" s="2707"/>
      <c r="DS266" s="2707"/>
      <c r="DT266" s="2707"/>
      <c r="DU266" s="2707"/>
      <c r="DV266" s="4139"/>
      <c r="DW266" s="2707"/>
      <c r="DX266" s="2707"/>
      <c r="DY266" s="2707"/>
      <c r="DZ266" s="2707"/>
      <c r="EA266" s="4139"/>
      <c r="EB266" s="2707"/>
      <c r="EC266" s="2707"/>
      <c r="ED266" s="2707"/>
      <c r="EE266" s="2707"/>
      <c r="EF266" s="4139"/>
      <c r="EG266" s="2707"/>
      <c r="EH266" s="2707"/>
      <c r="EI266" s="2707"/>
      <c r="EJ266" s="2707"/>
      <c r="EK266" s="4139"/>
      <c r="EL266" s="2707"/>
      <c r="EM266" s="2707"/>
      <c r="EN266" s="2707"/>
      <c r="EO266" s="2707"/>
      <c r="EP266" s="4139"/>
      <c r="EQ266" s="2707"/>
      <c r="ER266" s="2707"/>
      <c r="ES266" s="2707"/>
      <c r="ET266" s="2707"/>
      <c r="EU266" s="4139"/>
      <c r="EV266" s="4139"/>
      <c r="EW266" s="4139"/>
      <c r="EX266" s="4139"/>
      <c r="EY266" s="4139"/>
      <c r="FA266" s="1319"/>
      <c r="FB266" s="1319"/>
    </row>
    <row r="267" spans="1:158" s="762" customFormat="1" hidden="1">
      <c r="A267" s="4475" t="s">
        <v>545</v>
      </c>
      <c r="B267" s="3258"/>
      <c r="C267" s="3258"/>
      <c r="D267" s="3258"/>
      <c r="E267" s="3258"/>
      <c r="F267" s="3258"/>
      <c r="G267" s="3258"/>
      <c r="H267" s="3258"/>
      <c r="I267" s="3258"/>
      <c r="J267" s="3258"/>
      <c r="K267" s="3258"/>
      <c r="L267" s="3258"/>
      <c r="M267" s="3258"/>
      <c r="N267" s="3258"/>
      <c r="O267" s="3258"/>
      <c r="P267" s="3258"/>
      <c r="Q267" s="3258"/>
      <c r="R267" s="3258"/>
      <c r="S267" s="3258"/>
      <c r="T267" s="3258"/>
      <c r="U267" s="3258"/>
      <c r="V267" s="3258"/>
      <c r="W267" s="3258"/>
      <c r="X267" s="3258"/>
      <c r="Y267" s="3258"/>
      <c r="Z267" s="3258"/>
      <c r="AA267" s="3258"/>
      <c r="AB267" s="3258"/>
      <c r="AC267" s="3258"/>
      <c r="AD267" s="3258"/>
      <c r="AE267" s="3258"/>
      <c r="AF267" s="3258"/>
      <c r="AG267" s="3258"/>
      <c r="AH267" s="3258"/>
      <c r="AI267" s="3258"/>
      <c r="AJ267" s="3258"/>
      <c r="AK267" s="3258"/>
      <c r="AL267" s="3258"/>
      <c r="AM267" s="3258"/>
      <c r="AN267" s="3258"/>
      <c r="AO267" s="3258"/>
      <c r="AP267" s="3258"/>
      <c r="AQ267" s="3258"/>
      <c r="AR267" s="3258"/>
      <c r="AS267" s="3258"/>
      <c r="AT267" s="3258"/>
      <c r="AU267" s="3258"/>
      <c r="AV267" s="3258"/>
      <c r="AW267" s="3258"/>
      <c r="AX267" s="3258"/>
      <c r="AY267" s="3258"/>
      <c r="AZ267" s="3258"/>
      <c r="BA267" s="3258"/>
      <c r="BB267" s="3258"/>
      <c r="BC267" s="3258"/>
      <c r="BD267" s="3258"/>
      <c r="BE267" s="3258"/>
      <c r="BF267" s="3258"/>
      <c r="BG267" s="3258"/>
      <c r="BH267" s="3258"/>
      <c r="BI267" s="3258"/>
      <c r="BJ267" s="3258"/>
      <c r="BK267" s="3258"/>
      <c r="BL267" s="3258"/>
      <c r="BM267" s="3258"/>
      <c r="BN267" s="3258"/>
      <c r="BO267" s="3258"/>
      <c r="BP267" s="3258"/>
      <c r="BQ267" s="3258"/>
      <c r="BR267" s="3258"/>
      <c r="BS267" s="3258"/>
      <c r="BT267" s="3258"/>
      <c r="BU267" s="3258"/>
      <c r="BV267" s="3258"/>
      <c r="BW267" s="3258"/>
      <c r="BX267" s="3258"/>
      <c r="BY267" s="3258"/>
      <c r="BZ267" s="3258"/>
      <c r="CA267" s="3258"/>
      <c r="CB267" s="3258"/>
      <c r="CC267" s="3258"/>
      <c r="CD267" s="3258"/>
      <c r="CE267" s="3258"/>
      <c r="CF267" s="3258"/>
      <c r="CG267" s="3258"/>
      <c r="CH267" s="3270">
        <v>-527</v>
      </c>
      <c r="CI267" s="3149" t="s">
        <v>373</v>
      </c>
      <c r="CJ267" s="3149" t="s">
        <v>373</v>
      </c>
      <c r="CK267" s="3149" t="s">
        <v>373</v>
      </c>
      <c r="CL267" s="3271">
        <v>-634</v>
      </c>
      <c r="CM267" s="3270">
        <v>-1942</v>
      </c>
      <c r="CN267" s="3271">
        <f>CN316-CN199-CN304</f>
        <v>-633</v>
      </c>
      <c r="CO267" s="3271">
        <f>CO316-CO199-CO304</f>
        <v>-660</v>
      </c>
      <c r="CP267" s="3271">
        <f>CP316-CP199-CP304</f>
        <v>-980</v>
      </c>
      <c r="CQ267" s="3271">
        <f>CQ316-CQ199-CQ304</f>
        <v>-1213</v>
      </c>
      <c r="CR267" s="3272">
        <f>SUM(CN267:CQ267)</f>
        <v>-3486</v>
      </c>
      <c r="CS267" s="3271">
        <f>CS316-CS199-CS304</f>
        <v>-774</v>
      </c>
      <c r="CT267" s="3271">
        <f>CT316-CT199-CT304</f>
        <v>-855</v>
      </c>
      <c r="CU267" s="3271">
        <f>CU316-CU199-CU304</f>
        <v>-861</v>
      </c>
      <c r="CV267" s="3271">
        <f>+CV316-CV199-CV304</f>
        <v>-1088</v>
      </c>
      <c r="CW267" s="3272">
        <f>SUM(CS267:CV267)</f>
        <v>-3578</v>
      </c>
      <c r="CX267" s="3271">
        <v>-703</v>
      </c>
      <c r="CY267" s="3271">
        <v>-633</v>
      </c>
      <c r="CZ267" s="3271">
        <v>-650</v>
      </c>
      <c r="DA267" s="3271">
        <v>-748</v>
      </c>
      <c r="DB267" s="3272">
        <f>SUM(CX267:DA267)</f>
        <v>-2734</v>
      </c>
      <c r="DC267" s="3271">
        <v>-571</v>
      </c>
      <c r="DD267" s="3271">
        <v>-732</v>
      </c>
      <c r="DE267" s="3271">
        <v>-727</v>
      </c>
      <c r="DF267" s="3271">
        <v>-1328</v>
      </c>
      <c r="DG267" s="3272">
        <f>SUM(DC267:DF267)</f>
        <v>-3358</v>
      </c>
      <c r="DH267" s="3271">
        <v>-868</v>
      </c>
      <c r="DI267" s="3271">
        <v>-989</v>
      </c>
      <c r="DJ267" s="3271">
        <v>-941</v>
      </c>
      <c r="DK267" s="3271">
        <v>-2026</v>
      </c>
      <c r="DL267" s="3272">
        <f>SUM(DH267:DK267)</f>
        <v>-4824</v>
      </c>
      <c r="DM267" s="3271">
        <v>-1121</v>
      </c>
      <c r="DN267" s="3271">
        <v>-1116</v>
      </c>
      <c r="DO267" s="3271">
        <v>-1103</v>
      </c>
      <c r="DP267" s="3273">
        <f>DP19</f>
        <v>-1136</v>
      </c>
      <c r="DQ267" s="3272">
        <f>SUM(DM267:DP267)</f>
        <v>-4476</v>
      </c>
      <c r="DR267" s="3273"/>
      <c r="DS267" s="3273"/>
      <c r="DT267" s="3273"/>
      <c r="DU267" s="3273"/>
      <c r="DV267" s="3272"/>
      <c r="DW267" s="3273"/>
      <c r="DX267" s="3273"/>
      <c r="DY267" s="3273"/>
      <c r="DZ267" s="3273"/>
      <c r="EA267" s="3272"/>
      <c r="EB267" s="3273"/>
      <c r="EC267" s="3273"/>
      <c r="ED267" s="3273"/>
      <c r="EE267" s="3273"/>
      <c r="EF267" s="3272"/>
      <c r="EG267" s="3273"/>
      <c r="EH267" s="3273"/>
      <c r="EI267" s="3273"/>
      <c r="EJ267" s="3273"/>
      <c r="EK267" s="3272"/>
      <c r="EL267" s="3273"/>
      <c r="EM267" s="3273"/>
      <c r="EN267" s="3273"/>
      <c r="EO267" s="3273"/>
      <c r="EP267" s="3272"/>
      <c r="EQ267" s="3273"/>
      <c r="ER267" s="3273"/>
      <c r="ES267" s="3273"/>
      <c r="ET267" s="3273"/>
      <c r="EU267" s="3272"/>
      <c r="EV267" s="3272"/>
      <c r="EW267" s="3272"/>
      <c r="EX267" s="3272"/>
      <c r="EY267" s="3272"/>
      <c r="EZ267" s="1645"/>
      <c r="FA267" s="4275"/>
      <c r="FB267" s="4275"/>
    </row>
    <row r="268" spans="1:158" s="1665" customFormat="1" hidden="1">
      <c r="A268" s="4546" t="s">
        <v>549</v>
      </c>
      <c r="B268" s="4560"/>
      <c r="C268" s="4560"/>
      <c r="D268" s="4560"/>
      <c r="E268" s="4560"/>
      <c r="F268" s="4560"/>
      <c r="G268" s="4560"/>
      <c r="H268" s="4560"/>
      <c r="I268" s="4560"/>
      <c r="J268" s="4560"/>
      <c r="K268" s="4560"/>
      <c r="L268" s="4560"/>
      <c r="M268" s="4560"/>
      <c r="N268" s="4560"/>
      <c r="O268" s="4560"/>
      <c r="P268" s="4560"/>
      <c r="Q268" s="4560"/>
      <c r="R268" s="4560"/>
      <c r="S268" s="4560"/>
      <c r="T268" s="4560"/>
      <c r="U268" s="4560"/>
      <c r="V268" s="4560"/>
      <c r="W268" s="4560"/>
      <c r="X268" s="4560"/>
      <c r="Y268" s="4560"/>
      <c r="Z268" s="4560"/>
      <c r="AA268" s="4560"/>
      <c r="AB268" s="4560"/>
      <c r="AC268" s="4560"/>
      <c r="AD268" s="4560"/>
      <c r="AE268" s="4560"/>
      <c r="AF268" s="4560"/>
      <c r="AG268" s="4560"/>
      <c r="AH268" s="4560"/>
      <c r="AI268" s="4560"/>
      <c r="AJ268" s="4560"/>
      <c r="AK268" s="4560"/>
      <c r="AL268" s="4560"/>
      <c r="AM268" s="4560"/>
      <c r="AN268" s="4560"/>
      <c r="AO268" s="4560"/>
      <c r="AP268" s="4560"/>
      <c r="AQ268" s="4560"/>
      <c r="AR268" s="4560"/>
      <c r="AS268" s="4560"/>
      <c r="AT268" s="4560"/>
      <c r="AU268" s="4560"/>
      <c r="AV268" s="4560"/>
      <c r="AW268" s="4560"/>
      <c r="AX268" s="4560"/>
      <c r="AY268" s="4560"/>
      <c r="AZ268" s="4560"/>
      <c r="BA268" s="4560"/>
      <c r="BB268" s="4560"/>
      <c r="BC268" s="4560"/>
      <c r="BD268" s="4560"/>
      <c r="BE268" s="4560"/>
      <c r="BF268" s="4560"/>
      <c r="BG268" s="4560"/>
      <c r="BH268" s="4560"/>
      <c r="BI268" s="4560"/>
      <c r="BJ268" s="4560"/>
      <c r="BK268" s="4560"/>
      <c r="BL268" s="4560"/>
      <c r="BM268" s="4560"/>
      <c r="BN268" s="4560"/>
      <c r="BO268" s="4560"/>
      <c r="BP268" s="4560"/>
      <c r="BQ268" s="4560"/>
      <c r="BR268" s="4560"/>
      <c r="BS268" s="4560"/>
      <c r="BT268" s="4560"/>
      <c r="BU268" s="4560"/>
      <c r="BV268" s="4560"/>
      <c r="BW268" s="4560"/>
      <c r="BX268" s="4560"/>
      <c r="BY268" s="4560"/>
      <c r="BZ268" s="4560"/>
      <c r="CA268" s="4560"/>
      <c r="CB268" s="4560"/>
      <c r="CC268" s="4560"/>
      <c r="CD268" s="4560"/>
      <c r="CE268" s="4560"/>
      <c r="CF268" s="4560"/>
      <c r="CG268" s="4560"/>
      <c r="CH268" s="4561"/>
      <c r="CI268" s="4562"/>
      <c r="CJ268" s="4562"/>
      <c r="CK268" s="4562"/>
      <c r="CL268" s="4563"/>
      <c r="CM268" s="4561"/>
      <c r="CN268" s="4563"/>
      <c r="CO268" s="4563"/>
      <c r="CP268" s="4564">
        <f>SUM(CL267,CN267:CP267)</f>
        <v>-2907</v>
      </c>
      <c r="CQ268" s="4564">
        <f>SUM(CN267:CQ267)</f>
        <v>-3486</v>
      </c>
      <c r="CR268" s="4565">
        <f>CR267</f>
        <v>-3486</v>
      </c>
      <c r="CS268" s="4566">
        <f>SUM(CO267:CQ267,CS267)</f>
        <v>-3627</v>
      </c>
      <c r="CT268" s="4564">
        <f>SUM(CP267:CQ267,CS267:CT267)</f>
        <v>-3822</v>
      </c>
      <c r="CU268" s="4564">
        <f>SUM(CQ267,CS267:CU267)</f>
        <v>-3703</v>
      </c>
      <c r="CV268" s="4564">
        <f>SUM(CS267:CV267)</f>
        <v>-3578</v>
      </c>
      <c r="CW268" s="4565">
        <f>CW267</f>
        <v>-3578</v>
      </c>
      <c r="CX268" s="4566">
        <f>SUM(CT267:CV267,CX267)</f>
        <v>-3507</v>
      </c>
      <c r="CY268" s="4564">
        <f>SUM(CU267:CV267,CX267:CY267)</f>
        <v>-3285</v>
      </c>
      <c r="CZ268" s="4564">
        <f>SUM(CV267,CX267:CZ267)</f>
        <v>-3074</v>
      </c>
      <c r="DA268" s="4564">
        <f>SUM(CX267:DA267)</f>
        <v>-2734</v>
      </c>
      <c r="DB268" s="4565">
        <f>DB267</f>
        <v>-2734</v>
      </c>
      <c r="DC268" s="4564">
        <f>SUM(CY267:DA267,DC267)</f>
        <v>-2602</v>
      </c>
      <c r="DD268" s="4564">
        <f>SUM(CZ267:DA267,DC267:DD267)</f>
        <v>-2701</v>
      </c>
      <c r="DE268" s="4564">
        <f>SUM(DA267,DC267:DE267)</f>
        <v>-2778</v>
      </c>
      <c r="DF268" s="4564">
        <f>SUM(DC267:DF267)</f>
        <v>-3358</v>
      </c>
      <c r="DG268" s="4565">
        <f>DG267</f>
        <v>-3358</v>
      </c>
      <c r="DH268" s="4564">
        <f>SUM(DD267:DF267,DH267)</f>
        <v>-3655</v>
      </c>
      <c r="DI268" s="4564">
        <f>SUM(DE267:DF267,DH267:DI267)</f>
        <v>-3912</v>
      </c>
      <c r="DJ268" s="4564">
        <f>SUM(DF267,DH267:DJ267)</f>
        <v>-4126</v>
      </c>
      <c r="DK268" s="4564">
        <f>SUM(DH267:DK267)</f>
        <v>-4824</v>
      </c>
      <c r="DL268" s="4565">
        <f>DL267</f>
        <v>-4824</v>
      </c>
      <c r="DM268" s="4564">
        <f>SUM(DI267:DK267,DM267)</f>
        <v>-5077</v>
      </c>
      <c r="DN268" s="4564">
        <f>SUM(DJ267:DK267,DM267:DN267)</f>
        <v>-5204</v>
      </c>
      <c r="DO268" s="4564">
        <f>SUM(DK267:DL267,DN267:DO267)</f>
        <v>-9069</v>
      </c>
      <c r="DP268" s="4567">
        <f>SUM(DM267:DP267)</f>
        <v>-4476</v>
      </c>
      <c r="DQ268" s="4565">
        <f>DQ267</f>
        <v>-4476</v>
      </c>
      <c r="DR268" s="4567"/>
      <c r="DS268" s="4567"/>
      <c r="DT268" s="4567"/>
      <c r="DU268" s="4567"/>
      <c r="DV268" s="4565"/>
      <c r="DW268" s="4567"/>
      <c r="DX268" s="4567"/>
      <c r="DY268" s="4567"/>
      <c r="DZ268" s="4567"/>
      <c r="EA268" s="4565"/>
      <c r="EB268" s="4567"/>
      <c r="EC268" s="4567"/>
      <c r="ED268" s="4567"/>
      <c r="EE268" s="4567"/>
      <c r="EF268" s="4565"/>
      <c r="EG268" s="4567"/>
      <c r="EH268" s="4567"/>
      <c r="EI268" s="4567"/>
      <c r="EJ268" s="4567"/>
      <c r="EK268" s="4565"/>
      <c r="EL268" s="4567"/>
      <c r="EM268" s="4567"/>
      <c r="EN268" s="4567"/>
      <c r="EO268" s="4567"/>
      <c r="EP268" s="4565"/>
      <c r="EQ268" s="4567"/>
      <c r="ER268" s="4567"/>
      <c r="ES268" s="4567"/>
      <c r="ET268" s="4567"/>
      <c r="EU268" s="4565"/>
      <c r="EV268" s="4565"/>
      <c r="EW268" s="4565"/>
      <c r="EX268" s="4565"/>
      <c r="EY268" s="4565"/>
      <c r="FA268" s="1319"/>
      <c r="FB268" s="1319"/>
    </row>
    <row r="269" spans="1:158" s="627" customFormat="1" hidden="1">
      <c r="A269" s="3562" t="s">
        <v>546</v>
      </c>
      <c r="B269" s="404"/>
      <c r="C269" s="404"/>
      <c r="D269" s="404"/>
      <c r="E269" s="404"/>
      <c r="F269" s="404"/>
      <c r="G269" s="404"/>
      <c r="H269" s="404"/>
      <c r="I269" s="404"/>
      <c r="J269" s="404"/>
      <c r="K269" s="404"/>
      <c r="L269" s="404"/>
      <c r="M269" s="404"/>
      <c r="N269" s="404"/>
      <c r="O269" s="404"/>
      <c r="P269" s="404"/>
      <c r="Q269" s="404"/>
      <c r="R269" s="404"/>
      <c r="S269" s="404"/>
      <c r="T269" s="404"/>
      <c r="U269" s="404"/>
      <c r="V269" s="404"/>
      <c r="W269" s="404"/>
      <c r="X269" s="404"/>
      <c r="Y269" s="404"/>
      <c r="Z269" s="404"/>
      <c r="AA269" s="404"/>
      <c r="AB269" s="404"/>
      <c r="AC269" s="404"/>
      <c r="AD269" s="404"/>
      <c r="AE269" s="404"/>
      <c r="AF269" s="404"/>
      <c r="AG269" s="404"/>
      <c r="AH269" s="404"/>
      <c r="AI269" s="404"/>
      <c r="AJ269" s="404"/>
      <c r="AK269" s="404"/>
      <c r="AL269" s="404"/>
      <c r="AM269" s="404"/>
      <c r="AN269" s="404"/>
      <c r="AO269" s="404"/>
      <c r="AP269" s="404"/>
      <c r="AQ269" s="404"/>
      <c r="AR269" s="404"/>
      <c r="AS269" s="404"/>
      <c r="AT269" s="404"/>
      <c r="AU269" s="404"/>
      <c r="AV269" s="404"/>
      <c r="AW269" s="404"/>
      <c r="AX269" s="404"/>
      <c r="AY269" s="404"/>
      <c r="AZ269" s="404"/>
      <c r="BA269" s="404"/>
      <c r="BB269" s="404"/>
      <c r="BC269" s="404"/>
      <c r="BD269" s="404"/>
      <c r="BE269" s="404"/>
      <c r="BF269" s="404"/>
      <c r="BG269" s="404"/>
      <c r="BH269" s="404"/>
      <c r="BI269" s="404"/>
      <c r="BJ269" s="404"/>
      <c r="BK269" s="404"/>
      <c r="BL269" s="404"/>
      <c r="BM269" s="404"/>
      <c r="BN269" s="404"/>
      <c r="BO269" s="404"/>
      <c r="BP269" s="404"/>
      <c r="BQ269" s="404"/>
      <c r="BR269" s="404"/>
      <c r="BS269" s="404"/>
      <c r="BT269" s="404"/>
      <c r="BU269" s="404"/>
      <c r="BV269" s="404"/>
      <c r="BW269" s="404"/>
      <c r="BX269" s="404"/>
      <c r="BY269" s="404"/>
      <c r="BZ269" s="404"/>
      <c r="CA269" s="404"/>
      <c r="CB269" s="404"/>
      <c r="CC269" s="404"/>
      <c r="CD269" s="404"/>
      <c r="CE269" s="404"/>
      <c r="CF269" s="404"/>
      <c r="CG269" s="404"/>
      <c r="CH269" s="2773">
        <v>-403</v>
      </c>
      <c r="CI269" s="2706" t="s">
        <v>373</v>
      </c>
      <c r="CJ269" s="2706" t="s">
        <v>373</v>
      </c>
      <c r="CK269" s="2706" t="s">
        <v>373</v>
      </c>
      <c r="CL269" s="2771">
        <v>-533</v>
      </c>
      <c r="CM269" s="2773">
        <v>-1595</v>
      </c>
      <c r="CN269" s="2771">
        <f>CN366-CN200-CN302</f>
        <v>-516</v>
      </c>
      <c r="CO269" s="2771">
        <f>CO366-CO200-CO302</f>
        <v>-555</v>
      </c>
      <c r="CP269" s="2771">
        <f>CP366-CP200-CP302</f>
        <v>-852</v>
      </c>
      <c r="CQ269" s="2771">
        <f>CQ366-CQ200-CQ302</f>
        <v>-1082</v>
      </c>
      <c r="CR269" s="2772">
        <f>SUM(CN269:CQ269)</f>
        <v>-3005</v>
      </c>
      <c r="CS269" s="2707">
        <f>CS267+CS265</f>
        <v>-636</v>
      </c>
      <c r="CT269" s="2707">
        <f>CT267+CT265</f>
        <v>-706</v>
      </c>
      <c r="CU269" s="2707">
        <f>CU267+CU265</f>
        <v>-662</v>
      </c>
      <c r="CV269" s="2707">
        <f>CV267+CV265</f>
        <v>-927</v>
      </c>
      <c r="CW269" s="2772">
        <f>SUM(CS269:CV269)</f>
        <v>-2931</v>
      </c>
      <c r="CX269" s="2707">
        <f>CX267+CX265</f>
        <v>-617</v>
      </c>
      <c r="CY269" s="2707">
        <f>CY267+CY265</f>
        <v>-552</v>
      </c>
      <c r="CZ269" s="2707">
        <f>CZ267+CZ265</f>
        <v>-556</v>
      </c>
      <c r="DA269" s="2707">
        <f>DA267+DA265</f>
        <v>-646</v>
      </c>
      <c r="DB269" s="2772">
        <f>SUM(CX269:DA269)</f>
        <v>-2371</v>
      </c>
      <c r="DC269" s="2707">
        <f>DC267+DC265</f>
        <v>-459</v>
      </c>
      <c r="DD269" s="2707">
        <f>DD267+DD265</f>
        <v>-605</v>
      </c>
      <c r="DE269" s="2707">
        <f>DE267+DE265</f>
        <v>-602</v>
      </c>
      <c r="DF269" s="2707">
        <f>DF267+DF265</f>
        <v>-1203</v>
      </c>
      <c r="DG269" s="2772">
        <f>SUM(DC269:DF269)</f>
        <v>-2869</v>
      </c>
      <c r="DH269" s="2707">
        <f>DH267+DH265</f>
        <v>-745</v>
      </c>
      <c r="DI269" s="2707">
        <f>DI267+DI265</f>
        <v>-864</v>
      </c>
      <c r="DJ269" s="2707">
        <f>DJ267+DJ265</f>
        <v>-824</v>
      </c>
      <c r="DK269" s="2707">
        <f>DK267+DK265</f>
        <v>-1917</v>
      </c>
      <c r="DL269" s="2772">
        <f>SUM(DH269:DK269)</f>
        <v>-4350</v>
      </c>
      <c r="DM269" s="2707">
        <f>DM267+DM265</f>
        <v>-986</v>
      </c>
      <c r="DN269" s="2707">
        <f>DN267+DN265</f>
        <v>-980</v>
      </c>
      <c r="DO269" s="2707">
        <f>DO267+DO265</f>
        <v>-973</v>
      </c>
      <c r="DP269" s="2707">
        <f>DP267+DP265</f>
        <v>-1004.5815550561799</v>
      </c>
      <c r="DQ269" s="2772">
        <f>SUM(DM269:DP269)</f>
        <v>-3943.5815550561802</v>
      </c>
      <c r="DR269" s="2707"/>
      <c r="DS269" s="2707"/>
      <c r="DT269" s="2707"/>
      <c r="DU269" s="2707"/>
      <c r="DV269" s="2772"/>
      <c r="DW269" s="2707"/>
      <c r="DX269" s="2707"/>
      <c r="DY269" s="2707"/>
      <c r="DZ269" s="2707"/>
      <c r="EA269" s="2772"/>
      <c r="EB269" s="2707"/>
      <c r="EC269" s="2707"/>
      <c r="ED269" s="2707"/>
      <c r="EE269" s="2707"/>
      <c r="EF269" s="2772"/>
      <c r="EG269" s="2707"/>
      <c r="EH269" s="2707"/>
      <c r="EI269" s="2707"/>
      <c r="EJ269" s="2707"/>
      <c r="EK269" s="2772"/>
      <c r="EL269" s="2707"/>
      <c r="EM269" s="2707"/>
      <c r="EN269" s="2707"/>
      <c r="EO269" s="2707"/>
      <c r="EP269" s="2772"/>
      <c r="EQ269" s="2707"/>
      <c r="ER269" s="2707"/>
      <c r="ES269" s="2707"/>
      <c r="ET269" s="2707"/>
      <c r="EU269" s="2772"/>
      <c r="EV269" s="2772"/>
      <c r="EW269" s="2772"/>
      <c r="EX269" s="2772"/>
      <c r="EY269" s="2772"/>
      <c r="EZ269" s="768"/>
      <c r="FA269" s="1319"/>
      <c r="FB269" s="1319"/>
    </row>
    <row r="270" spans="1:158" hidden="1">
      <c r="A270" s="3556" t="s">
        <v>543</v>
      </c>
      <c r="B270" s="157"/>
      <c r="C270" s="157"/>
      <c r="D270" s="157"/>
      <c r="E270" s="157"/>
      <c r="F270" s="157"/>
      <c r="G270" s="157"/>
      <c r="H270" s="157"/>
      <c r="I270" s="157"/>
      <c r="J270" s="157"/>
      <c r="K270" s="157"/>
      <c r="L270" s="157"/>
      <c r="M270" s="157"/>
      <c r="N270" s="157"/>
      <c r="O270" s="157"/>
      <c r="P270" s="157"/>
      <c r="Q270" s="157"/>
      <c r="R270" s="157"/>
      <c r="S270" s="157"/>
      <c r="T270" s="157"/>
      <c r="U270" s="157"/>
      <c r="V270" s="157"/>
      <c r="W270" s="157"/>
      <c r="X270" s="157"/>
      <c r="Y270" s="157"/>
      <c r="Z270" s="157"/>
      <c r="AA270" s="157"/>
      <c r="AB270" s="157"/>
      <c r="AC270" s="157"/>
      <c r="AD270" s="157"/>
      <c r="AE270" s="157"/>
      <c r="AF270" s="157"/>
      <c r="AG270" s="157"/>
      <c r="AH270" s="157"/>
      <c r="AI270" s="157"/>
      <c r="AJ270" s="157"/>
      <c r="AK270" s="157"/>
      <c r="AL270" s="157"/>
      <c r="AM270" s="157"/>
      <c r="AN270" s="157"/>
      <c r="AO270" s="157"/>
      <c r="AP270" s="157"/>
      <c r="AQ270" s="157"/>
      <c r="AR270" s="157"/>
      <c r="AS270" s="157"/>
      <c r="AT270" s="157"/>
      <c r="AU270" s="157"/>
      <c r="AV270" s="157"/>
      <c r="AW270" s="157"/>
      <c r="AX270" s="157"/>
      <c r="AY270" s="157"/>
      <c r="AZ270" s="157"/>
      <c r="BA270" s="157"/>
      <c r="BB270" s="157"/>
      <c r="BC270" s="157"/>
      <c r="BD270" s="157"/>
      <c r="BE270" s="157"/>
      <c r="BF270" s="157"/>
      <c r="BG270" s="157"/>
      <c r="BH270" s="157"/>
      <c r="BI270" s="157"/>
      <c r="BJ270" s="157"/>
      <c r="BK270" s="157"/>
      <c r="BL270" s="157"/>
      <c r="BM270" s="157"/>
      <c r="BN270" s="157"/>
      <c r="BO270" s="157"/>
      <c r="BP270" s="157"/>
      <c r="BQ270" s="157"/>
      <c r="BR270" s="157"/>
      <c r="BS270" s="157"/>
      <c r="BT270" s="157"/>
      <c r="BU270" s="157"/>
      <c r="BV270" s="157"/>
      <c r="BW270" s="157"/>
      <c r="BX270" s="157"/>
      <c r="BY270" s="157"/>
      <c r="BZ270" s="157"/>
      <c r="CA270" s="157"/>
      <c r="CB270" s="157"/>
      <c r="CC270" s="157"/>
      <c r="CD270" s="157"/>
      <c r="CE270" s="157"/>
      <c r="CF270" s="157"/>
      <c r="CG270" s="157"/>
      <c r="CH270" s="2770">
        <f>+CH322-CH204-IS!CH35</f>
        <v>-966</v>
      </c>
      <c r="CI270" s="655" t="s">
        <v>373</v>
      </c>
      <c r="CJ270" s="655" t="s">
        <v>373</v>
      </c>
      <c r="CK270" s="655" t="s">
        <v>373</v>
      </c>
      <c r="CL270" s="2702">
        <f>+CL322-CL204-IS!CL35</f>
        <v>-824</v>
      </c>
      <c r="CM270" s="2770">
        <f>+CM322-CM204-IS!CM35</f>
        <v>-2515</v>
      </c>
      <c r="CN270" s="2702">
        <f>+CN322-CN204-IS!CN35</f>
        <v>-741.00000000000045</v>
      </c>
      <c r="CO270" s="2702">
        <f>+CO322-CO204-IS!CO35</f>
        <v>-783</v>
      </c>
      <c r="CP270" s="2702">
        <f>+CP322-CP204-IS!CP35</f>
        <v>-1099</v>
      </c>
      <c r="CQ270" s="2702">
        <f>+CQ322-CQ204-IS!CQ35</f>
        <v>-1364</v>
      </c>
      <c r="CR270" s="2770">
        <f>+CR322-CR204-IS!CR35</f>
        <v>-3986.9999999999982</v>
      </c>
      <c r="CS270" s="2702">
        <f>+CS322-CS204-IS!CS35</f>
        <v>-903</v>
      </c>
      <c r="CT270" s="2707">
        <f>+CT322-CT204-IS!CT35</f>
        <v>-1022</v>
      </c>
      <c r="CU270" s="2707">
        <f>+CU322-CU204-IS!CU35</f>
        <v>-1007</v>
      </c>
      <c r="CV270" s="2707">
        <f>+CV322-CV204-IS!CV35</f>
        <v>-1244</v>
      </c>
      <c r="CW270" s="2770">
        <f>+CW322-CW204-IS!CW35</f>
        <v>-4176</v>
      </c>
      <c r="CX270" s="2702">
        <f>+CX322-CX204-IS!CX35</f>
        <v>-878</v>
      </c>
      <c r="CY270" s="2702">
        <f>+CY322-CY204-IS!CY35-CY304</f>
        <v>-633</v>
      </c>
      <c r="CZ270" s="2702">
        <f>+CZ322-CZ204-IS!CZ35</f>
        <v>-800</v>
      </c>
      <c r="DA270" s="2702">
        <f>+DA322-DA204-IS!DA35</f>
        <v>-931</v>
      </c>
      <c r="DB270" s="2770">
        <f>+DB322-DB204-IS!DB35</f>
        <v>-6141</v>
      </c>
      <c r="DC270" s="2702">
        <f>+DC322-DC204-IS!DC35</f>
        <v>-735</v>
      </c>
      <c r="DD270" s="2702">
        <f>+DD322-DD204-IS!DD35</f>
        <v>-5914</v>
      </c>
      <c r="DE270" s="2702">
        <f>+DE322-DE204-IS!DE35</f>
        <v>-865</v>
      </c>
      <c r="DF270" s="2702">
        <f>+DF322-DF204-IS!DF35</f>
        <v>-1355</v>
      </c>
      <c r="DG270" s="2770">
        <f>+DG322-DG204-IS!DG35</f>
        <v>-11265</v>
      </c>
      <c r="DH270" s="2702">
        <f>+DH322-DH204-IS!DH35</f>
        <v>-2580</v>
      </c>
      <c r="DI270" s="2702">
        <f>+DI322-DI204-IS!DI35</f>
        <v>-1100</v>
      </c>
      <c r="DJ270" s="2702">
        <f>+DJ322-DJ204-IS!DJ35</f>
        <v>-1569</v>
      </c>
      <c r="DK270" s="2702">
        <f>+DK322-DK204-IS!DK35</f>
        <v>-2193</v>
      </c>
      <c r="DL270" s="2770">
        <f>+DL322-DL204-IS!DL35</f>
        <v>-10123</v>
      </c>
      <c r="DM270" s="2702">
        <f>+DM322-DM204-IS!DM35</f>
        <v>-1841</v>
      </c>
      <c r="DN270" s="2702">
        <f>+DN322-DN204-IS!DN35</f>
        <v>-1730</v>
      </c>
      <c r="DO270" s="2702">
        <f>+DO322-DO204-IS!DO35</f>
        <v>-2032</v>
      </c>
      <c r="DP270" s="2702">
        <f>+DP322-DP204-IS!DP35</f>
        <v>-2172</v>
      </c>
      <c r="DQ270" s="2770">
        <f>+DQ322-DQ204-IS!DQ35</f>
        <v>-7775</v>
      </c>
      <c r="DR270" s="2702"/>
      <c r="DS270" s="2702"/>
      <c r="DT270" s="2702"/>
      <c r="DU270" s="2702"/>
      <c r="DV270" s="2770"/>
      <c r="DW270" s="2702"/>
      <c r="DX270" s="2702"/>
      <c r="DY270" s="2702"/>
      <c r="DZ270" s="2702"/>
      <c r="EA270" s="2770"/>
      <c r="EB270" s="2702"/>
      <c r="EC270" s="2702"/>
      <c r="ED270" s="2702"/>
      <c r="EE270" s="2702"/>
      <c r="EF270" s="2770"/>
      <c r="EG270" s="2702"/>
      <c r="EH270" s="2702"/>
      <c r="EI270" s="2702"/>
      <c r="EJ270" s="2702"/>
      <c r="EK270" s="2770"/>
      <c r="EL270" s="2702"/>
      <c r="EM270" s="2702"/>
      <c r="EN270" s="2702"/>
      <c r="EO270" s="2702"/>
      <c r="EP270" s="2770"/>
      <c r="EQ270" s="2702"/>
      <c r="ER270" s="2702"/>
      <c r="ES270" s="2702"/>
      <c r="ET270" s="2702"/>
      <c r="EU270" s="2770"/>
      <c r="EV270" s="2770"/>
      <c r="EW270" s="2770"/>
      <c r="EX270" s="2770"/>
      <c r="EY270" s="2770"/>
      <c r="FA270" s="1319"/>
      <c r="FB270" s="1319"/>
    </row>
    <row r="271" spans="1:158" s="1662" customFormat="1" hidden="1">
      <c r="A271" s="4474" t="s">
        <v>544</v>
      </c>
      <c r="B271" s="3274"/>
      <c r="C271" s="3274"/>
      <c r="D271" s="3274"/>
      <c r="E271" s="3274"/>
      <c r="F271" s="3274"/>
      <c r="G271" s="3274"/>
      <c r="H271" s="3274"/>
      <c r="I271" s="3274"/>
      <c r="J271" s="3274"/>
      <c r="K271" s="3274"/>
      <c r="L271" s="3274"/>
      <c r="M271" s="3274"/>
      <c r="N271" s="3274"/>
      <c r="O271" s="3274"/>
      <c r="P271" s="3274"/>
      <c r="Q271" s="3274"/>
      <c r="R271" s="3274"/>
      <c r="S271" s="3274"/>
      <c r="T271" s="3274"/>
      <c r="U271" s="3274"/>
      <c r="V271" s="3274"/>
      <c r="W271" s="3274"/>
      <c r="X271" s="3274"/>
      <c r="Y271" s="3274"/>
      <c r="Z271" s="3274"/>
      <c r="AA271" s="3274"/>
      <c r="AB271" s="3274"/>
      <c r="AC271" s="3274"/>
      <c r="AD271" s="3274"/>
      <c r="AE271" s="3274"/>
      <c r="AF271" s="3274"/>
      <c r="AG271" s="3274"/>
      <c r="AH271" s="3274"/>
      <c r="AI271" s="3274"/>
      <c r="AJ271" s="3274"/>
      <c r="AK271" s="3274"/>
      <c r="AL271" s="3274"/>
      <c r="AM271" s="3274"/>
      <c r="AN271" s="3274"/>
      <c r="AO271" s="3274"/>
      <c r="AP271" s="3274"/>
      <c r="AQ271" s="3274"/>
      <c r="AR271" s="3274"/>
      <c r="AS271" s="3274"/>
      <c r="AT271" s="3274"/>
      <c r="AU271" s="3274"/>
      <c r="AV271" s="3274"/>
      <c r="AW271" s="3274"/>
      <c r="AX271" s="3274"/>
      <c r="AY271" s="3274"/>
      <c r="AZ271" s="3274"/>
      <c r="BA271" s="3274"/>
      <c r="BB271" s="3274"/>
      <c r="BC271" s="3274"/>
      <c r="BD271" s="3274"/>
      <c r="BE271" s="3274"/>
      <c r="BF271" s="3274"/>
      <c r="BG271" s="3274"/>
      <c r="BH271" s="3274"/>
      <c r="BI271" s="3274"/>
      <c r="BJ271" s="3274"/>
      <c r="BK271" s="3274"/>
      <c r="BL271" s="3274"/>
      <c r="BM271" s="3274"/>
      <c r="BN271" s="3274"/>
      <c r="BO271" s="3274"/>
      <c r="BP271" s="3274"/>
      <c r="BQ271" s="3274"/>
      <c r="BR271" s="3274"/>
      <c r="BS271" s="3274"/>
      <c r="BT271" s="3274"/>
      <c r="BU271" s="3274"/>
      <c r="BV271" s="3274"/>
      <c r="BW271" s="3274"/>
      <c r="BX271" s="3274"/>
      <c r="BY271" s="3274"/>
      <c r="BZ271" s="3274"/>
      <c r="CA271" s="3274"/>
      <c r="CB271" s="3274"/>
      <c r="CC271" s="3274"/>
      <c r="CD271" s="3274"/>
      <c r="CE271" s="3274"/>
      <c r="CF271" s="3274"/>
      <c r="CG271" s="3274"/>
      <c r="CH271" s="3275"/>
      <c r="CI271" s="3149"/>
      <c r="CJ271" s="3149"/>
      <c r="CK271" s="3149"/>
      <c r="CL271" s="3276"/>
      <c r="CM271" s="3275">
        <f>CM323-CM205</f>
        <v>-0.14547280480882585</v>
      </c>
      <c r="CN271" s="3276">
        <f t="shared" ref="CN271:DQ271" si="583">CN323-CN205</f>
        <v>-5.3734746148647317E-2</v>
      </c>
      <c r="CO271" s="3276">
        <f t="shared" si="583"/>
        <v>-5.6667023700276986E-2</v>
      </c>
      <c r="CP271" s="3276">
        <f t="shared" si="583"/>
        <v>-7.9142296264397227E-2</v>
      </c>
      <c r="CQ271" s="3276">
        <f t="shared" si="583"/>
        <v>-9.7844410171801621E-2</v>
      </c>
      <c r="CR271" s="3275">
        <f t="shared" si="583"/>
        <v>-0.2876913973994486</v>
      </c>
      <c r="CS271" s="3276">
        <f t="shared" si="583"/>
        <v>-6.4563548978923524E-2</v>
      </c>
      <c r="CT271" s="3276">
        <f t="shared" si="583"/>
        <v>-7.3330300625531863E-2</v>
      </c>
      <c r="CU271" s="3276">
        <f t="shared" si="583"/>
        <v>-7.2089227421109903E-2</v>
      </c>
      <c r="CV271" s="3276">
        <f t="shared" si="583"/>
        <v>-9.1399715232762246E-2</v>
      </c>
      <c r="CW271" s="3275">
        <f t="shared" si="583"/>
        <v>-0.30141432877347563</v>
      </c>
      <c r="CX271" s="3276">
        <f t="shared" si="583"/>
        <v>-6.2532405745574282E-2</v>
      </c>
      <c r="CY271" s="3276">
        <f t="shared" si="583"/>
        <v>-0.25102949099008814</v>
      </c>
      <c r="CZ271" s="3276">
        <f t="shared" si="583"/>
        <v>-5.6841112039515973E-2</v>
      </c>
      <c r="DA271" s="3276">
        <f t="shared" si="583"/>
        <v>2.7453985144933624</v>
      </c>
      <c r="DB271" s="3275">
        <f t="shared" si="583"/>
        <v>-0.43640844589984984</v>
      </c>
      <c r="DC271" s="3276">
        <f t="shared" si="583"/>
        <v>-5.211775350500758E-2</v>
      </c>
      <c r="DD271" s="3276">
        <f t="shared" si="583"/>
        <v>-0.42047815347950301</v>
      </c>
      <c r="DE271" s="3276">
        <f t="shared" si="583"/>
        <v>-6.1446965940621601E-2</v>
      </c>
      <c r="DF271" s="3276">
        <f t="shared" si="583"/>
        <v>-9.6661573208122742E-2</v>
      </c>
      <c r="DG271" s="3275">
        <f t="shared" si="583"/>
        <v>-0.80088470566154069</v>
      </c>
      <c r="DH271" s="3276">
        <f t="shared" si="583"/>
        <v>-0.18405459430229754</v>
      </c>
      <c r="DI271" s="3276">
        <f t="shared" si="583"/>
        <v>-7.8576592176057392E-2</v>
      </c>
      <c r="DJ271" s="3276">
        <f t="shared" si="583"/>
        <v>-0.11236051612792342</v>
      </c>
      <c r="DK271" s="3276">
        <f t="shared" si="583"/>
        <v>-0.1577257571267876</v>
      </c>
      <c r="DL271" s="3275">
        <f t="shared" si="583"/>
        <v>-0.72456558631978973</v>
      </c>
      <c r="DM271" s="3276">
        <f t="shared" si="583"/>
        <v>-0.13296892672913774</v>
      </c>
      <c r="DN271" s="3276">
        <f t="shared" si="583"/>
        <v>-0.125905354106989</v>
      </c>
      <c r="DO271" s="3276">
        <f t="shared" si="583"/>
        <v>-0.14813713182600885</v>
      </c>
      <c r="DP271" s="3276">
        <f t="shared" si="583"/>
        <v>-0.15901160960453553</v>
      </c>
      <c r="DQ271" s="3275">
        <f t="shared" si="583"/>
        <v>-0.56584322831210265</v>
      </c>
      <c r="DR271" s="3276"/>
      <c r="DS271" s="3276"/>
      <c r="DT271" s="3276"/>
      <c r="DU271" s="3276"/>
      <c r="DV271" s="3275"/>
      <c r="DW271" s="3276"/>
      <c r="DX271" s="3276"/>
      <c r="DY271" s="3276"/>
      <c r="DZ271" s="3276"/>
      <c r="EA271" s="3275"/>
      <c r="EB271" s="3276"/>
      <c r="EC271" s="3276"/>
      <c r="ED271" s="3276"/>
      <c r="EE271" s="3276"/>
      <c r="EF271" s="3275"/>
      <c r="EG271" s="3276"/>
      <c r="EH271" s="3276"/>
      <c r="EI271" s="3276"/>
      <c r="EJ271" s="3276"/>
      <c r="EK271" s="3275"/>
      <c r="EL271" s="3276"/>
      <c r="EM271" s="3276"/>
      <c r="EN271" s="3276"/>
      <c r="EO271" s="3276"/>
      <c r="EP271" s="3275"/>
      <c r="EQ271" s="3276"/>
      <c r="ER271" s="3276"/>
      <c r="ES271" s="3276"/>
      <c r="ET271" s="3276"/>
      <c r="EU271" s="3275"/>
      <c r="EV271" s="3275"/>
      <c r="EW271" s="3275"/>
      <c r="EX271" s="3275"/>
      <c r="EY271" s="3275"/>
      <c r="FA271" s="4278"/>
      <c r="FB271" s="4278"/>
    </row>
    <row r="272" spans="1:158" hidden="1">
      <c r="A272" s="4840" t="s">
        <v>450</v>
      </c>
      <c r="B272" s="4817"/>
      <c r="C272" s="4817"/>
      <c r="D272" s="4817"/>
      <c r="E272" s="4817"/>
      <c r="F272" s="4817"/>
      <c r="G272" s="4817"/>
      <c r="H272" s="4817"/>
      <c r="I272" s="4817"/>
      <c r="J272" s="4817"/>
      <c r="K272" s="4817"/>
      <c r="L272" s="4817"/>
      <c r="M272" s="4817"/>
      <c r="N272" s="4817"/>
      <c r="O272" s="4817"/>
      <c r="P272" s="4817"/>
      <c r="Q272" s="4817"/>
      <c r="R272" s="4817"/>
      <c r="S272" s="4817"/>
      <c r="T272" s="4817"/>
      <c r="U272" s="4817"/>
      <c r="V272" s="4817"/>
      <c r="W272" s="4817"/>
      <c r="X272" s="4817"/>
      <c r="Y272" s="4817"/>
      <c r="Z272" s="4817"/>
      <c r="AA272" s="4817"/>
      <c r="AB272" s="4817"/>
      <c r="AC272" s="4817"/>
      <c r="AD272" s="4817"/>
      <c r="AE272" s="4817"/>
      <c r="AF272" s="4817"/>
      <c r="AG272" s="4817"/>
      <c r="AH272" s="4817"/>
      <c r="AI272" s="4817"/>
      <c r="AJ272" s="4817"/>
      <c r="AK272" s="4817"/>
      <c r="AL272" s="4817"/>
      <c r="AM272" s="4817"/>
      <c r="AN272" s="4817"/>
      <c r="AO272" s="4817"/>
      <c r="AP272" s="4817"/>
      <c r="AQ272" s="4817"/>
      <c r="AR272" s="4817"/>
      <c r="AS272" s="4817"/>
      <c r="AT272" s="4817"/>
      <c r="AU272" s="4817"/>
      <c r="AV272" s="4817"/>
      <c r="AW272" s="4817"/>
      <c r="AX272" s="4817"/>
      <c r="AY272" s="4817"/>
      <c r="AZ272" s="4817"/>
      <c r="BA272" s="4817"/>
      <c r="BB272" s="4817"/>
      <c r="BC272" s="4817"/>
      <c r="BD272" s="4817"/>
      <c r="BE272" s="4817"/>
      <c r="BF272" s="4817"/>
      <c r="BG272" s="4817"/>
      <c r="BH272" s="4817"/>
      <c r="BI272" s="4817"/>
      <c r="BJ272" s="4817"/>
      <c r="BK272" s="4817"/>
      <c r="BL272" s="4817"/>
      <c r="BM272" s="4817"/>
      <c r="BN272" s="4817"/>
      <c r="BO272" s="4817"/>
      <c r="BP272" s="4817"/>
      <c r="BQ272" s="4817"/>
      <c r="BR272" s="4817"/>
      <c r="BS272" s="4817"/>
      <c r="BT272" s="4817"/>
      <c r="BU272" s="4817"/>
      <c r="BV272" s="4817"/>
      <c r="BW272" s="4817"/>
      <c r="BX272" s="4817"/>
      <c r="BY272" s="4817"/>
      <c r="BZ272" s="4817"/>
      <c r="CA272" s="4817"/>
      <c r="CB272" s="4817"/>
      <c r="CC272" s="4817"/>
      <c r="CD272" s="4817"/>
      <c r="CE272" s="4817"/>
      <c r="CF272" s="4817"/>
      <c r="CG272" s="4817"/>
      <c r="CH272" s="4818">
        <v>187</v>
      </c>
      <c r="CI272" s="4841" t="s">
        <v>373</v>
      </c>
      <c r="CJ272" s="4841" t="s">
        <v>373</v>
      </c>
      <c r="CK272" s="4841" t="s">
        <v>373</v>
      </c>
      <c r="CL272" s="4820">
        <v>142</v>
      </c>
      <c r="CM272" s="4818">
        <v>501</v>
      </c>
      <c r="CN272" s="4820">
        <f>CN325-CN207-CN305</f>
        <v>157</v>
      </c>
      <c r="CO272" s="4820">
        <f>CO325-CO207-CO305</f>
        <v>232</v>
      </c>
      <c r="CP272" s="4820">
        <f>CP325-CP207-CP305</f>
        <v>271</v>
      </c>
      <c r="CQ272" s="4820">
        <f>CQ325-CQ207-CQ305</f>
        <v>193</v>
      </c>
      <c r="CR272" s="4821">
        <f>SUM(CN272:CQ272)</f>
        <v>853</v>
      </c>
      <c r="CS272" s="4822">
        <f>CS325-CS207-CS305</f>
        <v>277</v>
      </c>
      <c r="CT272" s="4820">
        <f>CT325-CT207-CT305</f>
        <v>280</v>
      </c>
      <c r="CU272" s="4820">
        <f>CU325-CU207-CU305</f>
        <v>324</v>
      </c>
      <c r="CV272" s="4820">
        <f>CV325-CV207-CV305</f>
        <v>504</v>
      </c>
      <c r="CW272" s="4821">
        <f>SUM(CS272:CV272)</f>
        <v>1385</v>
      </c>
      <c r="CX272" s="4822">
        <f>CX325-CX207-CX305</f>
        <v>167</v>
      </c>
      <c r="CY272" s="4822">
        <f>CY325-CY207-CY305</f>
        <v>148</v>
      </c>
      <c r="CZ272" s="4820">
        <f>CZ325-CZ207-CZ305</f>
        <v>73</v>
      </c>
      <c r="DA272" s="4820">
        <f>DA325-DA207-DA305</f>
        <v>105</v>
      </c>
      <c r="DB272" s="4821">
        <f>SUM(CX272:DA272)</f>
        <v>493</v>
      </c>
      <c r="DC272" s="4822">
        <f>DC325-DC207-DC305</f>
        <v>55</v>
      </c>
      <c r="DD272" s="4820">
        <f>DD325-DD207-DD305</f>
        <v>10</v>
      </c>
      <c r="DE272" s="4820">
        <f>DE325-DE207-DE305</f>
        <v>55</v>
      </c>
      <c r="DF272" s="4820">
        <f>DF325-DF207-DF305</f>
        <v>61</v>
      </c>
      <c r="DG272" s="4821">
        <f>SUM(DC272:DF272)</f>
        <v>181</v>
      </c>
      <c r="DH272" s="4822">
        <v>59</v>
      </c>
      <c r="DI272" s="4820">
        <v>65</v>
      </c>
      <c r="DJ272" s="4820">
        <v>71</v>
      </c>
      <c r="DK272" s="4820">
        <v>86</v>
      </c>
      <c r="DL272" s="4821">
        <f>SUM(DH272:DK272)</f>
        <v>281</v>
      </c>
      <c r="DM272" s="4820">
        <v>104</v>
      </c>
      <c r="DN272" s="4820">
        <v>96</v>
      </c>
      <c r="DO272" s="4820">
        <v>120</v>
      </c>
      <c r="DP272" s="4819">
        <f>DK272*(1+DP284)</f>
        <v>120.39999999999999</v>
      </c>
      <c r="DQ272" s="4821">
        <f>SUM(DM272:DP272)</f>
        <v>440.4</v>
      </c>
      <c r="DR272" s="4819"/>
      <c r="DS272" s="4819"/>
      <c r="DT272" s="4819"/>
      <c r="DU272" s="4819"/>
      <c r="DV272" s="4821"/>
      <c r="DW272" s="4819"/>
      <c r="DX272" s="4819"/>
      <c r="DY272" s="4819"/>
      <c r="DZ272" s="4819"/>
      <c r="EA272" s="4821"/>
      <c r="EB272" s="4819"/>
      <c r="EC272" s="4819"/>
      <c r="ED272" s="4819"/>
      <c r="EE272" s="4819"/>
      <c r="EF272" s="4821"/>
      <c r="EG272" s="4819"/>
      <c r="EH272" s="4819"/>
      <c r="EI272" s="4819"/>
      <c r="EJ272" s="4819"/>
      <c r="EK272" s="4821"/>
      <c r="EL272" s="4819"/>
      <c r="EM272" s="4819"/>
      <c r="EN272" s="4819"/>
      <c r="EO272" s="4819"/>
      <c r="EP272" s="4821"/>
      <c r="EQ272" s="4819"/>
      <c r="ER272" s="4819"/>
      <c r="ES272" s="4819"/>
      <c r="ET272" s="4819"/>
      <c r="EU272" s="4821"/>
      <c r="EV272" s="4821"/>
      <c r="EW272" s="4821"/>
      <c r="EX272" s="4821"/>
      <c r="EY272" s="4821"/>
      <c r="FA272" s="1319"/>
      <c r="FB272" s="1319"/>
    </row>
    <row r="273" spans="1:158" s="535" customFormat="1" hidden="1">
      <c r="A273" s="3556"/>
      <c r="B273" s="157"/>
      <c r="C273" s="157"/>
      <c r="D273" s="157"/>
      <c r="E273" s="157"/>
      <c r="F273" s="157"/>
      <c r="G273" s="157"/>
      <c r="H273" s="157"/>
      <c r="I273" s="157"/>
      <c r="J273" s="157"/>
      <c r="K273" s="157"/>
      <c r="L273" s="157"/>
      <c r="M273" s="157"/>
      <c r="N273" s="157"/>
      <c r="O273" s="157"/>
      <c r="P273" s="157"/>
      <c r="Q273" s="157"/>
      <c r="R273" s="157"/>
      <c r="S273" s="157"/>
      <c r="T273" s="157"/>
      <c r="U273" s="157"/>
      <c r="V273" s="157"/>
      <c r="W273" s="157"/>
      <c r="X273" s="157"/>
      <c r="Y273" s="157"/>
      <c r="Z273" s="157"/>
      <c r="AA273" s="157"/>
      <c r="AB273" s="157"/>
      <c r="AC273" s="157"/>
      <c r="AD273" s="157"/>
      <c r="AE273" s="157"/>
      <c r="AF273" s="157"/>
      <c r="AG273" s="157"/>
      <c r="AH273" s="157"/>
      <c r="AI273" s="157"/>
      <c r="AJ273" s="157"/>
      <c r="AK273" s="157"/>
      <c r="AL273" s="157"/>
      <c r="AM273" s="157"/>
      <c r="AN273" s="157"/>
      <c r="AO273" s="157"/>
      <c r="AP273" s="157"/>
      <c r="AQ273" s="157"/>
      <c r="AR273" s="157"/>
      <c r="AS273" s="157"/>
      <c r="AT273" s="157"/>
      <c r="AU273" s="157"/>
      <c r="AV273" s="157"/>
      <c r="AW273" s="157"/>
      <c r="AX273" s="157"/>
      <c r="AY273" s="157"/>
      <c r="AZ273" s="157"/>
      <c r="BA273" s="157"/>
      <c r="BB273" s="157"/>
      <c r="BC273" s="157"/>
      <c r="BD273" s="157"/>
      <c r="BE273" s="157"/>
      <c r="BF273" s="157"/>
      <c r="BG273" s="157"/>
      <c r="BH273" s="157"/>
      <c r="BI273" s="157"/>
      <c r="BJ273" s="157"/>
      <c r="BK273" s="157"/>
      <c r="BL273" s="157"/>
      <c r="BM273" s="157"/>
      <c r="BN273" s="157"/>
      <c r="BO273" s="157"/>
      <c r="BP273" s="157"/>
      <c r="BQ273" s="157"/>
      <c r="BR273" s="157"/>
      <c r="BS273" s="157"/>
      <c r="BT273" s="157"/>
      <c r="BU273" s="157"/>
      <c r="BV273" s="157"/>
      <c r="BW273" s="157"/>
      <c r="BX273" s="157"/>
      <c r="BY273" s="157"/>
      <c r="BZ273" s="157"/>
      <c r="CA273" s="157"/>
      <c r="CB273" s="157"/>
      <c r="CC273" s="157"/>
      <c r="CD273" s="157"/>
      <c r="CE273" s="157"/>
      <c r="CF273" s="157"/>
      <c r="CG273" s="157"/>
      <c r="CH273" s="2769"/>
      <c r="CI273" s="655"/>
      <c r="CJ273" s="655"/>
      <c r="CK273" s="655"/>
      <c r="CL273" s="2709"/>
      <c r="CM273" s="2769"/>
      <c r="CN273" s="2709"/>
      <c r="CO273" s="2709"/>
      <c r="CP273" s="2709"/>
      <c r="CQ273" s="2709"/>
      <c r="CR273" s="2770"/>
      <c r="CS273" s="2702"/>
      <c r="CT273" s="2702"/>
      <c r="CU273" s="2702"/>
      <c r="CV273" s="2702"/>
      <c r="CW273" s="2770"/>
      <c r="CX273" s="2702"/>
      <c r="CY273" s="2702"/>
      <c r="CZ273" s="2702"/>
      <c r="DA273" s="2702"/>
      <c r="DB273" s="2770"/>
      <c r="DC273" s="2702"/>
      <c r="DD273" s="2702"/>
      <c r="DE273" s="2702"/>
      <c r="DF273" s="2702"/>
      <c r="DG273" s="2770"/>
      <c r="DH273" s="2702"/>
      <c r="DI273" s="2702"/>
      <c r="DJ273" s="2702"/>
      <c r="DK273" s="2702"/>
      <c r="DL273" s="2770"/>
      <c r="DM273" s="2702"/>
      <c r="DN273" s="2702"/>
      <c r="DO273" s="2702"/>
      <c r="DP273" s="2702"/>
      <c r="DQ273" s="2770"/>
      <c r="DR273" s="2702"/>
      <c r="DS273" s="2702"/>
      <c r="DT273" s="2702"/>
      <c r="DU273" s="2702"/>
      <c r="DV273" s="2770"/>
      <c r="DW273" s="2702"/>
      <c r="DX273" s="2702"/>
      <c r="DY273" s="2702"/>
      <c r="DZ273" s="2702"/>
      <c r="EA273" s="2770"/>
      <c r="EB273" s="2702"/>
      <c r="EC273" s="2702"/>
      <c r="ED273" s="2702"/>
      <c r="EE273" s="2702"/>
      <c r="EF273" s="2770"/>
      <c r="EG273" s="2702"/>
      <c r="EH273" s="2702"/>
      <c r="EI273" s="2702"/>
      <c r="EJ273" s="2702"/>
      <c r="EK273" s="2770"/>
      <c r="EL273" s="2702"/>
      <c r="EM273" s="2702"/>
      <c r="EN273" s="2702"/>
      <c r="EO273" s="2702"/>
      <c r="EP273" s="2770"/>
      <c r="EQ273" s="2702"/>
      <c r="ER273" s="2702"/>
      <c r="ES273" s="2702"/>
      <c r="ET273" s="2702"/>
      <c r="EU273" s="2770"/>
      <c r="EV273" s="2770"/>
      <c r="EW273" s="2770"/>
      <c r="EX273" s="2770"/>
      <c r="EY273" s="2770"/>
      <c r="EZ273" s="2586"/>
      <c r="FA273" s="4276"/>
      <c r="FB273" s="4276"/>
    </row>
    <row r="274" spans="1:158" s="766" customFormat="1" hidden="1">
      <c r="A274" s="3565" t="s">
        <v>464</v>
      </c>
      <c r="B274" s="2775"/>
      <c r="C274" s="2775"/>
      <c r="D274" s="2775"/>
      <c r="E274" s="2775"/>
      <c r="F274" s="2775"/>
      <c r="G274" s="2775"/>
      <c r="H274" s="2775"/>
      <c r="I274" s="2775"/>
      <c r="J274" s="2775"/>
      <c r="K274" s="2775"/>
      <c r="L274" s="2775"/>
      <c r="M274" s="2775"/>
      <c r="N274" s="2775"/>
      <c r="O274" s="2775"/>
      <c r="P274" s="2775"/>
      <c r="Q274" s="2775"/>
      <c r="R274" s="2775"/>
      <c r="S274" s="2775"/>
      <c r="T274" s="2775"/>
      <c r="U274" s="2775"/>
      <c r="V274" s="2775"/>
      <c r="W274" s="2775"/>
      <c r="X274" s="2775"/>
      <c r="Y274" s="2775"/>
      <c r="Z274" s="2775"/>
      <c r="AA274" s="2775"/>
      <c r="AB274" s="2775"/>
      <c r="AC274" s="2775"/>
      <c r="AD274" s="2775"/>
      <c r="AE274" s="2775"/>
      <c r="AF274" s="2775"/>
      <c r="AG274" s="2775"/>
      <c r="AH274" s="2775"/>
      <c r="AI274" s="2775"/>
      <c r="AJ274" s="2775"/>
      <c r="AK274" s="2775"/>
      <c r="AL274" s="2775"/>
      <c r="AM274" s="2775"/>
      <c r="AN274" s="2775"/>
      <c r="AO274" s="2775"/>
      <c r="AP274" s="2775"/>
      <c r="AQ274" s="2775"/>
      <c r="AR274" s="2775"/>
      <c r="AS274" s="2775"/>
      <c r="AT274" s="2775"/>
      <c r="AU274" s="2775"/>
      <c r="AV274" s="2775"/>
      <c r="AW274" s="2775"/>
      <c r="AX274" s="2775"/>
      <c r="AY274" s="2775"/>
      <c r="AZ274" s="2775"/>
      <c r="BA274" s="2775"/>
      <c r="BB274" s="2775"/>
      <c r="BC274" s="2775"/>
      <c r="BD274" s="2775"/>
      <c r="BE274" s="2775"/>
      <c r="BF274" s="2775"/>
      <c r="BG274" s="2775"/>
      <c r="BH274" s="2775"/>
      <c r="BI274" s="2775"/>
      <c r="BJ274" s="2775"/>
      <c r="BK274" s="2775"/>
      <c r="BL274" s="2775"/>
      <c r="BM274" s="2775"/>
      <c r="BN274" s="2775"/>
      <c r="BO274" s="2775"/>
      <c r="BP274" s="2775"/>
      <c r="BQ274" s="2775"/>
      <c r="BR274" s="2775"/>
      <c r="BS274" s="2775"/>
      <c r="BT274" s="2775"/>
      <c r="BU274" s="2775"/>
      <c r="BV274" s="2775"/>
      <c r="BW274" s="2775"/>
      <c r="BX274" s="2775"/>
      <c r="BY274" s="2775"/>
      <c r="BZ274" s="2775"/>
      <c r="CA274" s="2775"/>
      <c r="CB274" s="2775"/>
      <c r="CC274" s="2775"/>
      <c r="CD274" s="2775"/>
      <c r="CE274" s="2775"/>
      <c r="CF274" s="2775"/>
      <c r="CG274" s="2775"/>
      <c r="CH274" s="2776"/>
      <c r="CI274" s="2775"/>
      <c r="CJ274" s="2775"/>
      <c r="CK274" s="2775"/>
      <c r="CL274" s="2775"/>
      <c r="CM274" s="2776"/>
      <c r="CN274" s="2775"/>
      <c r="CO274" s="2775"/>
      <c r="CP274" s="2775"/>
      <c r="CQ274" s="2775"/>
      <c r="CR274" s="2776"/>
      <c r="CS274" s="2775"/>
      <c r="CT274" s="2775"/>
      <c r="CU274" s="2775"/>
      <c r="CV274" s="2775"/>
      <c r="CW274" s="2776"/>
      <c r="CX274" s="2775"/>
      <c r="CY274" s="2775"/>
      <c r="CZ274" s="2775"/>
      <c r="DA274" s="2775"/>
      <c r="DB274" s="2776"/>
      <c r="DC274" s="2775"/>
      <c r="DD274" s="2775"/>
      <c r="DE274" s="2775"/>
      <c r="DF274" s="2775"/>
      <c r="DG274" s="2776"/>
      <c r="DH274" s="2775"/>
      <c r="DI274" s="2775"/>
      <c r="DJ274" s="2775"/>
      <c r="DK274" s="2775"/>
      <c r="DL274" s="4140"/>
      <c r="DM274" s="2775"/>
      <c r="DN274" s="2775"/>
      <c r="DO274" s="2775"/>
      <c r="DP274" s="2775"/>
      <c r="DQ274" s="4140"/>
      <c r="DR274" s="2775"/>
      <c r="DS274" s="2775"/>
      <c r="DT274" s="2775"/>
      <c r="DU274" s="2775"/>
      <c r="DV274" s="4140"/>
      <c r="DW274" s="2775"/>
      <c r="DX274" s="2775"/>
      <c r="DY274" s="2775"/>
      <c r="DZ274" s="2775"/>
      <c r="EA274" s="4140"/>
      <c r="EB274" s="2775"/>
      <c r="EC274" s="2775"/>
      <c r="ED274" s="2775"/>
      <c r="EE274" s="2775"/>
      <c r="EF274" s="4140"/>
      <c r="EG274" s="2775"/>
      <c r="EH274" s="2775"/>
      <c r="EI274" s="2775"/>
      <c r="EJ274" s="2775"/>
      <c r="EK274" s="4140"/>
      <c r="EL274" s="2775"/>
      <c r="EM274" s="2775"/>
      <c r="EN274" s="2775"/>
      <c r="EO274" s="2775"/>
      <c r="EP274" s="4140"/>
      <c r="EQ274" s="2775"/>
      <c r="ER274" s="2775"/>
      <c r="ES274" s="2775"/>
      <c r="ET274" s="2775"/>
      <c r="EU274" s="4140"/>
      <c r="EV274" s="4140"/>
      <c r="EW274" s="4140"/>
      <c r="EX274" s="4140"/>
      <c r="EY274" s="4140"/>
      <c r="EZ274" s="767"/>
      <c r="FA274" s="4276"/>
      <c r="FB274" s="4276"/>
    </row>
    <row r="275" spans="1:158" s="762" customFormat="1" hidden="1">
      <c r="A275" s="3555" t="str">
        <f>A261</f>
        <v>Other Bets Revenue</v>
      </c>
      <c r="B275" s="3258"/>
      <c r="C275" s="3258"/>
      <c r="D275" s="3258"/>
      <c r="E275" s="3258"/>
      <c r="F275" s="3258"/>
      <c r="G275" s="3258"/>
      <c r="H275" s="3258"/>
      <c r="I275" s="3258"/>
      <c r="J275" s="3258"/>
      <c r="K275" s="3258"/>
      <c r="L275" s="3258"/>
      <c r="M275" s="3258"/>
      <c r="N275" s="3258"/>
      <c r="O275" s="3258"/>
      <c r="P275" s="3258"/>
      <c r="Q275" s="3258"/>
      <c r="R275" s="3258"/>
      <c r="S275" s="3258"/>
      <c r="T275" s="3258"/>
      <c r="U275" s="3258"/>
      <c r="V275" s="3258"/>
      <c r="W275" s="3258"/>
      <c r="X275" s="3258"/>
      <c r="Y275" s="3258"/>
      <c r="Z275" s="3258"/>
      <c r="AA275" s="3258"/>
      <c r="AB275" s="3258"/>
      <c r="AC275" s="3258"/>
      <c r="AD275" s="3258"/>
      <c r="AE275" s="3258"/>
      <c r="AF275" s="3258"/>
      <c r="AG275" s="3258"/>
      <c r="AH275" s="3258"/>
      <c r="AI275" s="3258"/>
      <c r="AJ275" s="3258"/>
      <c r="AK275" s="3258"/>
      <c r="AL275" s="3258"/>
      <c r="AM275" s="3258"/>
      <c r="AN275" s="3258"/>
      <c r="AO275" s="3258"/>
      <c r="AP275" s="3258"/>
      <c r="AQ275" s="3258"/>
      <c r="AR275" s="3258"/>
      <c r="AS275" s="3258"/>
      <c r="AT275" s="3258"/>
      <c r="AU275" s="3258"/>
      <c r="AV275" s="3258"/>
      <c r="AW275" s="3258"/>
      <c r="AX275" s="3258"/>
      <c r="AY275" s="3258"/>
      <c r="AZ275" s="3258"/>
      <c r="BA275" s="3258"/>
      <c r="BB275" s="3258"/>
      <c r="BC275" s="3258"/>
      <c r="BD275" s="3258"/>
      <c r="BE275" s="3258"/>
      <c r="BF275" s="3258"/>
      <c r="BG275" s="3258"/>
      <c r="BH275" s="3258"/>
      <c r="BI275" s="3258"/>
      <c r="BJ275" s="3258"/>
      <c r="BK275" s="3258"/>
      <c r="BL275" s="3258"/>
      <c r="BM275" s="3258"/>
      <c r="BN275" s="3258"/>
      <c r="BO275" s="3258"/>
      <c r="BP275" s="3258"/>
      <c r="BQ275" s="3258"/>
      <c r="BR275" s="3258"/>
      <c r="BS275" s="3258"/>
      <c r="BT275" s="3258"/>
      <c r="BU275" s="3258"/>
      <c r="BV275" s="3258"/>
      <c r="BW275" s="3258"/>
      <c r="BX275" s="3258"/>
      <c r="BY275" s="3258"/>
      <c r="BZ275" s="3258"/>
      <c r="CA275" s="3258"/>
      <c r="CB275" s="3258"/>
      <c r="CC275" s="3258"/>
      <c r="CD275" s="3258"/>
      <c r="CE275" s="3258"/>
      <c r="CF275" s="3258"/>
      <c r="CG275" s="3258"/>
      <c r="CH275" s="3277"/>
      <c r="CI275" s="3260"/>
      <c r="CJ275" s="3260"/>
      <c r="CK275" s="3260"/>
      <c r="CL275" s="3260"/>
      <c r="CM275" s="3278">
        <f>+IF(CM261&lt;0,IF(CH261&gt;0,"N/A",(-1)*(CM261/CH261-1)),IF(CH261&lt;0,"N/A",(CM261/CH261-1)))</f>
        <v>26.25</v>
      </c>
      <c r="CN275" s="3261" t="str">
        <f>+IFERROR(IF(CN261&lt;0,IF(CI261&gt;0,"N/A",(-1)*(CN261/CI261-1)),IF(CI261&lt;0,"N/A",(CN261/CI261-1))),"N/A")</f>
        <v>N/A</v>
      </c>
      <c r="CO275" s="3261" t="str">
        <f>+IFERROR(IF(CO261&lt;0,IF(CJ261&gt;0,"N/A",(-1)*(CO261/CJ261-1)),IF(CJ261&lt;0,"N/A",(CO261/CJ261-1))),"N/A")</f>
        <v>N/A</v>
      </c>
      <c r="CP275" s="3261" t="str">
        <f>+IFERROR(IF(CP261&lt;0,IF(CK261&gt;0,"N/A",(-1)*(CP261/CK261-1)),IF(CK261&lt;0,"N/A",(CP261/CK261-1))),"N/A")</f>
        <v>N/A</v>
      </c>
      <c r="CQ275" s="3261">
        <f t="shared" ref="CQ275:CW275" si="584">+IF(CQ261&lt;0,IF(CL261&gt;0,"N/A",(-1)*(CQ261/CL261-1)),IF(CL261&lt;0,"N/A",(CQ261/CL261-1)))</f>
        <v>0.41509433962264142</v>
      </c>
      <c r="CR275" s="3278">
        <f t="shared" si="584"/>
        <v>0.36085626911314983</v>
      </c>
      <c r="CS275" s="3261">
        <f t="shared" si="584"/>
        <v>1.0625</v>
      </c>
      <c r="CT275" s="3261">
        <f t="shared" si="584"/>
        <v>1.5</v>
      </c>
      <c r="CU275" s="3261">
        <f t="shared" si="584"/>
        <v>0.39716312056737579</v>
      </c>
      <c r="CV275" s="3261">
        <f t="shared" si="584"/>
        <v>0.74666666666666659</v>
      </c>
      <c r="CW275" s="3278">
        <f t="shared" si="584"/>
        <v>0.81797752808988755</v>
      </c>
      <c r="CX275" s="3261" t="s">
        <v>116</v>
      </c>
      <c r="CY275" s="3261" t="s">
        <v>116</v>
      </c>
      <c r="CZ275" s="3261" t="s">
        <v>116</v>
      </c>
      <c r="DA275" s="3261" t="s">
        <v>116</v>
      </c>
      <c r="DB275" s="3278" t="s">
        <v>116</v>
      </c>
      <c r="DC275" s="3261">
        <f t="shared" ref="DC275:DL279" si="585">+IF(DC261&lt;0,IF(CX261&gt;0,"N/A",(-1)*(DC261/CX261-1)),IF(CX261&lt;0,"N/A",(DC261/CX261-1)))</f>
        <v>0.13636363636363646</v>
      </c>
      <c r="DD275" s="3261">
        <f t="shared" si="585"/>
        <v>0.49484536082474229</v>
      </c>
      <c r="DE275" s="3261">
        <f t="shared" si="585"/>
        <v>0.24786324786324787</v>
      </c>
      <c r="DF275" s="3261">
        <f t="shared" si="585"/>
        <v>0.17557251908396942</v>
      </c>
      <c r="DG275" s="3278">
        <f t="shared" si="585"/>
        <v>0.24737945492662483</v>
      </c>
      <c r="DH275" s="3261">
        <f t="shared" si="585"/>
        <v>0.1333333333333333</v>
      </c>
      <c r="DI275" s="3261">
        <f t="shared" si="585"/>
        <v>0.11724137931034484</v>
      </c>
      <c r="DJ275" s="3261">
        <f t="shared" si="585"/>
        <v>6.164383561643838E-2</v>
      </c>
      <c r="DK275" s="3261">
        <f t="shared" si="585"/>
        <v>0.11688311688311681</v>
      </c>
      <c r="DL275" s="3278">
        <f t="shared" si="585"/>
        <v>0.1075630252100841</v>
      </c>
      <c r="DM275" s="3261">
        <f t="shared" ref="DM275:DQ279" si="586">+IF(DM261&lt;0,IF(DH261&gt;0,"N/A",(-1)*(DM261/DH261-1)),IF(DH261&lt;0,"N/A",(DM261/DH261-1)))</f>
        <v>-0.20588235294117652</v>
      </c>
      <c r="DN275" s="3261">
        <f t="shared" si="586"/>
        <v>-8.6419753086419804E-2</v>
      </c>
      <c r="DO275" s="3261">
        <f t="shared" si="586"/>
        <v>0.14838709677419359</v>
      </c>
      <c r="DP275" s="3261">
        <f t="shared" si="586"/>
        <v>0.13953488372093026</v>
      </c>
      <c r="DQ275" s="3278">
        <f t="shared" si="586"/>
        <v>-3.0349013657056112E-3</v>
      </c>
      <c r="DR275" s="3261"/>
      <c r="DS275" s="3261"/>
      <c r="DT275" s="3261"/>
      <c r="DU275" s="3261"/>
      <c r="DV275" s="3278"/>
      <c r="DW275" s="3261"/>
      <c r="DX275" s="3261"/>
      <c r="DY275" s="3261"/>
      <c r="DZ275" s="3261"/>
      <c r="EA275" s="3278"/>
      <c r="EB275" s="3261"/>
      <c r="EC275" s="3261"/>
      <c r="ED275" s="3261"/>
      <c r="EE275" s="3261"/>
      <c r="EF275" s="3278"/>
      <c r="EG275" s="3261"/>
      <c r="EH275" s="3261"/>
      <c r="EI275" s="3261"/>
      <c r="EJ275" s="3261"/>
      <c r="EK275" s="3278"/>
      <c r="EL275" s="3261"/>
      <c r="EM275" s="3261"/>
      <c r="EN275" s="3261"/>
      <c r="EO275" s="3261"/>
      <c r="EP275" s="3278"/>
      <c r="EQ275" s="3261"/>
      <c r="ER275" s="3261"/>
      <c r="ES275" s="3261"/>
      <c r="ET275" s="3261"/>
      <c r="EU275" s="3278"/>
      <c r="EV275" s="3278"/>
      <c r="EW275" s="3278"/>
      <c r="EX275" s="3278"/>
      <c r="EY275" s="3278"/>
      <c r="EZ275" s="1645"/>
      <c r="FA275" s="4275"/>
      <c r="FB275" s="4275"/>
    </row>
    <row r="276" spans="1:158" s="768" customFormat="1" hidden="1">
      <c r="A276" s="3552" t="str">
        <f>A262</f>
        <v>LTM Other Bets Revenue</v>
      </c>
      <c r="B276" s="404"/>
      <c r="C276" s="404"/>
      <c r="D276" s="404"/>
      <c r="E276" s="404"/>
      <c r="F276" s="404"/>
      <c r="G276" s="404"/>
      <c r="H276" s="404"/>
      <c r="I276" s="404"/>
      <c r="J276" s="404"/>
      <c r="K276" s="404"/>
      <c r="L276" s="404"/>
      <c r="M276" s="404"/>
      <c r="N276" s="404"/>
      <c r="O276" s="404"/>
      <c r="P276" s="404"/>
      <c r="Q276" s="404"/>
      <c r="R276" s="404"/>
      <c r="S276" s="404"/>
      <c r="T276" s="404"/>
      <c r="U276" s="404"/>
      <c r="V276" s="404"/>
      <c r="W276" s="404"/>
      <c r="X276" s="404"/>
      <c r="Y276" s="404"/>
      <c r="Z276" s="404"/>
      <c r="AA276" s="404"/>
      <c r="AB276" s="404"/>
      <c r="AC276" s="404"/>
      <c r="AD276" s="404"/>
      <c r="AE276" s="404"/>
      <c r="AF276" s="404"/>
      <c r="AG276" s="404"/>
      <c r="AH276" s="404"/>
      <c r="AI276" s="404"/>
      <c r="AJ276" s="404"/>
      <c r="AK276" s="404"/>
      <c r="AL276" s="404"/>
      <c r="AM276" s="404"/>
      <c r="AN276" s="404"/>
      <c r="AO276" s="404"/>
      <c r="AP276" s="404"/>
      <c r="AQ276" s="404"/>
      <c r="AR276" s="404"/>
      <c r="AS276" s="404"/>
      <c r="AT276" s="404"/>
      <c r="AU276" s="404"/>
      <c r="AV276" s="404"/>
      <c r="AW276" s="404"/>
      <c r="AX276" s="404"/>
      <c r="AY276" s="404"/>
      <c r="AZ276" s="404"/>
      <c r="BA276" s="404"/>
      <c r="BB276" s="404"/>
      <c r="BC276" s="404"/>
      <c r="BD276" s="404"/>
      <c r="BE276" s="404"/>
      <c r="BF276" s="404"/>
      <c r="BG276" s="404"/>
      <c r="BH276" s="404"/>
      <c r="BI276" s="404"/>
      <c r="BJ276" s="404"/>
      <c r="BK276" s="404"/>
      <c r="BL276" s="404"/>
      <c r="BM276" s="404"/>
      <c r="BN276" s="404"/>
      <c r="BO276" s="404"/>
      <c r="BP276" s="404"/>
      <c r="BQ276" s="404"/>
      <c r="BR276" s="404"/>
      <c r="BS276" s="404"/>
      <c r="BT276" s="404"/>
      <c r="BU276" s="404"/>
      <c r="BV276" s="404"/>
      <c r="BW276" s="404"/>
      <c r="BX276" s="404"/>
      <c r="BY276" s="404"/>
      <c r="BZ276" s="404"/>
      <c r="CA276" s="404"/>
      <c r="CB276" s="404"/>
      <c r="CC276" s="404"/>
      <c r="CD276" s="404"/>
      <c r="CE276" s="404"/>
      <c r="CF276" s="404"/>
      <c r="CG276" s="404"/>
      <c r="CH276" s="2777"/>
      <c r="CI276" s="2778"/>
      <c r="CJ276" s="2778"/>
      <c r="CK276" s="2778"/>
      <c r="CL276" s="2778"/>
      <c r="CM276" s="1780"/>
      <c r="CN276" s="2643"/>
      <c r="CO276" s="2643"/>
      <c r="CP276" s="2643"/>
      <c r="CQ276" s="2643"/>
      <c r="CR276" s="1780"/>
      <c r="CS276" s="2643"/>
      <c r="CT276" s="2643"/>
      <c r="CU276" s="2643">
        <f t="shared" ref="CU276:CW279" si="587">+IF(CU262&lt;0,IF(CP262&gt;0,"N/A",(-1)*(CU262/CP262-1)),IF(CP262&lt;0,"N/A",(CU262/CP262-1)))</f>
        <v>0.73815461346633415</v>
      </c>
      <c r="CV276" s="2643">
        <f t="shared" si="587"/>
        <v>0.81797752808988755</v>
      </c>
      <c r="CW276" s="1780">
        <f t="shared" si="587"/>
        <v>0.81797752808988755</v>
      </c>
      <c r="CX276" s="2643" t="s">
        <v>116</v>
      </c>
      <c r="CY276" s="2643" t="s">
        <v>116</v>
      </c>
      <c r="CZ276" s="2643" t="s">
        <v>116</v>
      </c>
      <c r="DA276" s="2643" t="s">
        <v>116</v>
      </c>
      <c r="DB276" s="1780" t="s">
        <v>116</v>
      </c>
      <c r="DC276" s="2643">
        <f t="shared" si="585"/>
        <v>-0.36211340206185572</v>
      </c>
      <c r="DD276" s="2643">
        <f t="shared" si="585"/>
        <v>-0.21075581395348841</v>
      </c>
      <c r="DE276" s="2643">
        <f t="shared" si="585"/>
        <v>-5.9210526315789491E-2</v>
      </c>
      <c r="DF276" s="2643">
        <f t="shared" si="585"/>
        <v>0.24737945492662483</v>
      </c>
      <c r="DG276" s="1780">
        <f t="shared" si="585"/>
        <v>0.24737945492662483</v>
      </c>
      <c r="DH276" s="2643">
        <f t="shared" si="585"/>
        <v>0.24242424242424243</v>
      </c>
      <c r="DI276" s="2643">
        <f t="shared" si="585"/>
        <v>0.16390423572744006</v>
      </c>
      <c r="DJ276" s="2643">
        <f t="shared" si="585"/>
        <v>0.12062937062937062</v>
      </c>
      <c r="DK276" s="2643">
        <f t="shared" si="585"/>
        <v>0.1075630252100841</v>
      </c>
      <c r="DL276" s="1780">
        <f t="shared" si="585"/>
        <v>0.1075630252100841</v>
      </c>
      <c r="DM276" s="2643">
        <f t="shared" si="586"/>
        <v>0.82276422764227641</v>
      </c>
      <c r="DN276" s="2643">
        <f t="shared" si="586"/>
        <v>0.76265822784810133</v>
      </c>
      <c r="DO276" s="2643">
        <f t="shared" si="586"/>
        <v>0.74726989079563189</v>
      </c>
      <c r="DP276" s="2643">
        <f t="shared" si="586"/>
        <v>-3.0349013657056112E-3</v>
      </c>
      <c r="DQ276" s="1780">
        <f t="shared" si="586"/>
        <v>-3.0349013657056112E-3</v>
      </c>
      <c r="DR276" s="2643"/>
      <c r="DS276" s="2643"/>
      <c r="DT276" s="2643"/>
      <c r="DU276" s="2643"/>
      <c r="DV276" s="1780"/>
      <c r="DW276" s="2643"/>
      <c r="DX276" s="2643"/>
      <c r="DY276" s="2643"/>
      <c r="DZ276" s="2643"/>
      <c r="EA276" s="1780"/>
      <c r="EB276" s="2643"/>
      <c r="EC276" s="2643"/>
      <c r="ED276" s="2643"/>
      <c r="EE276" s="2643"/>
      <c r="EF276" s="1780"/>
      <c r="EG276" s="2643"/>
      <c r="EH276" s="2643"/>
      <c r="EI276" s="2643"/>
      <c r="EJ276" s="2643"/>
      <c r="EK276" s="1780"/>
      <c r="EL276" s="2643"/>
      <c r="EM276" s="2643"/>
      <c r="EN276" s="2643"/>
      <c r="EO276" s="2643"/>
      <c r="EP276" s="1780"/>
      <c r="EQ276" s="2643"/>
      <c r="ER276" s="2643"/>
      <c r="ES276" s="2643"/>
      <c r="ET276" s="2643"/>
      <c r="EU276" s="1780"/>
      <c r="EV276" s="1780"/>
      <c r="EW276" s="1780"/>
      <c r="EX276" s="1780"/>
      <c r="EY276" s="1780"/>
      <c r="FA276" s="1319"/>
      <c r="FB276" s="1319"/>
    </row>
    <row r="277" spans="1:158" s="768" customFormat="1" hidden="1">
      <c r="A277" s="3552" t="str">
        <f>A263</f>
        <v>Other Bets Costs &amp; Opex excl. SBC, D&amp;A, &amp; Impairment</v>
      </c>
      <c r="B277" s="404"/>
      <c r="C277" s="404"/>
      <c r="D277" s="404"/>
      <c r="E277" s="404"/>
      <c r="F277" s="404"/>
      <c r="G277" s="404"/>
      <c r="H277" s="404"/>
      <c r="I277" s="404"/>
      <c r="J277" s="404"/>
      <c r="K277" s="404"/>
      <c r="L277" s="404"/>
      <c r="M277" s="404"/>
      <c r="N277" s="404"/>
      <c r="O277" s="404"/>
      <c r="P277" s="404"/>
      <c r="Q277" s="404"/>
      <c r="R277" s="404"/>
      <c r="S277" s="404"/>
      <c r="T277" s="404"/>
      <c r="U277" s="404"/>
      <c r="V277" s="404"/>
      <c r="W277" s="404"/>
      <c r="X277" s="404"/>
      <c r="Y277" s="404"/>
      <c r="Z277" s="404"/>
      <c r="AA277" s="404"/>
      <c r="AB277" s="404"/>
      <c r="AC277" s="404"/>
      <c r="AD277" s="404"/>
      <c r="AE277" s="404"/>
      <c r="AF277" s="404"/>
      <c r="AG277" s="404"/>
      <c r="AH277" s="404"/>
      <c r="AI277" s="404"/>
      <c r="AJ277" s="404"/>
      <c r="AK277" s="404"/>
      <c r="AL277" s="404"/>
      <c r="AM277" s="404"/>
      <c r="AN277" s="404"/>
      <c r="AO277" s="404"/>
      <c r="AP277" s="404"/>
      <c r="AQ277" s="404"/>
      <c r="AR277" s="404"/>
      <c r="AS277" s="404"/>
      <c r="AT277" s="404"/>
      <c r="AU277" s="404"/>
      <c r="AV277" s="404"/>
      <c r="AW277" s="404"/>
      <c r="AX277" s="404"/>
      <c r="AY277" s="404"/>
      <c r="AZ277" s="404"/>
      <c r="BA277" s="404"/>
      <c r="BB277" s="404"/>
      <c r="BC277" s="404"/>
      <c r="BD277" s="404"/>
      <c r="BE277" s="404"/>
      <c r="BF277" s="404"/>
      <c r="BG277" s="404"/>
      <c r="BH277" s="404"/>
      <c r="BI277" s="404"/>
      <c r="BJ277" s="404"/>
      <c r="BK277" s="404"/>
      <c r="BL277" s="404"/>
      <c r="BM277" s="404"/>
      <c r="BN277" s="404"/>
      <c r="BO277" s="404"/>
      <c r="BP277" s="404"/>
      <c r="BQ277" s="404"/>
      <c r="BR277" s="404"/>
      <c r="BS277" s="404"/>
      <c r="BT277" s="404"/>
      <c r="BU277" s="404"/>
      <c r="BV277" s="404"/>
      <c r="BW277" s="404"/>
      <c r="BX277" s="404"/>
      <c r="BY277" s="404"/>
      <c r="BZ277" s="404"/>
      <c r="CA277" s="404"/>
      <c r="CB277" s="404"/>
      <c r="CC277" s="404"/>
      <c r="CD277" s="404"/>
      <c r="CE277" s="404"/>
      <c r="CF277" s="404"/>
      <c r="CG277" s="404"/>
      <c r="CH277" s="2777"/>
      <c r="CI277" s="2778"/>
      <c r="CJ277" s="2778"/>
      <c r="CK277" s="2778"/>
      <c r="CL277" s="2778"/>
      <c r="CM277" s="1780">
        <f>+IF(CM263&lt;0,IF(CH263&gt;0,"N/A",(-1)*(CM263/CH263-1)),IF(CH263&lt;0,"N/A",(CM263/CH263-1)))</f>
        <v>3.5370843989769822</v>
      </c>
      <c r="CN277" s="2643" t="str">
        <f t="shared" ref="CN277:CP279" si="588">+IFERROR(IF(CN263&lt;0,IF(CI263&gt;0,"N/A",(-1)*(CN263/CI263-1)),IF(CI263&lt;0,"N/A",(CN263/CI263-1))),"N/A")</f>
        <v>N/A</v>
      </c>
      <c r="CO277" s="2643" t="str">
        <f t="shared" si="588"/>
        <v>N/A</v>
      </c>
      <c r="CP277" s="2643" t="str">
        <f t="shared" si="588"/>
        <v>N/A</v>
      </c>
      <c r="CQ277" s="2643">
        <f>+IF(CQ263&lt;0,IF(CL263&gt;0,"N/A",(-1)*(CQ263/CL263-1)),IF(CL263&lt;0,"N/A",(CQ263/CL263-1)))</f>
        <v>0.97619047619047628</v>
      </c>
      <c r="CR277" s="1780">
        <f>+IF(CR263&lt;0,IF(CM263&gt;0,"N/A",(-1)*(CR263/CM263-1)),IF(CM263&lt;0,"N/A",(CR263/CM263-1)))</f>
        <v>0.83032694475760982</v>
      </c>
      <c r="CS277" s="2643">
        <f>+IF(CS263&lt;0,IF(CN263&gt;0,"N/A",(-1)*(CS263/CN263-1)),IF(CN263&lt;0,"N/A",(CS263/CN263-1)))</f>
        <v>0.34352517985611519</v>
      </c>
      <c r="CT277" s="2643">
        <f>+IF(CT263&lt;0,IF(CO263&gt;0,"N/A",(-1)*(CT263/CO263-1)),IF(CO263&lt;0,"N/A",(CT263/CO263-1)))</f>
        <v>0.38698630136986312</v>
      </c>
      <c r="CU277" s="2643">
        <f t="shared" si="587"/>
        <v>-0.20105820105820105</v>
      </c>
      <c r="CV277" s="2643">
        <f t="shared" si="587"/>
        <v>-6.3683304647160099E-2</v>
      </c>
      <c r="CW277" s="1780">
        <f t="shared" si="587"/>
        <v>4.7120418848167533E-2</v>
      </c>
      <c r="CX277" s="2643" t="s">
        <v>116</v>
      </c>
      <c r="CY277" s="2643" t="s">
        <v>116</v>
      </c>
      <c r="CZ277" s="2643" t="s">
        <v>116</v>
      </c>
      <c r="DA277" s="2643" t="s">
        <v>116</v>
      </c>
      <c r="DB277" s="1780" t="s">
        <v>116</v>
      </c>
      <c r="DC277" s="2643">
        <f t="shared" si="585"/>
        <v>-0.20845921450151061</v>
      </c>
      <c r="DD277" s="2643">
        <f t="shared" si="585"/>
        <v>0.13435374149659873</v>
      </c>
      <c r="DE277" s="2643">
        <f t="shared" si="585"/>
        <v>0.10743801652892571</v>
      </c>
      <c r="DF277" s="2643">
        <f t="shared" si="585"/>
        <v>0.86005830903790081</v>
      </c>
      <c r="DG277" s="1780">
        <f t="shared" si="585"/>
        <v>0.23455332546241636</v>
      </c>
      <c r="DH277" s="2643">
        <f t="shared" si="585"/>
        <v>0.58587786259541974</v>
      </c>
      <c r="DI277" s="2643">
        <f t="shared" si="585"/>
        <v>0.41979010494752633</v>
      </c>
      <c r="DJ277" s="2643">
        <f t="shared" si="585"/>
        <v>0.33731343283582094</v>
      </c>
      <c r="DK277" s="2643">
        <f t="shared" si="585"/>
        <v>0.38636363636363646</v>
      </c>
      <c r="DL277" s="1780">
        <f t="shared" si="585"/>
        <v>0.4163213261077463</v>
      </c>
      <c r="DM277" s="2643">
        <f t="shared" si="586"/>
        <v>0.23826714801444049</v>
      </c>
      <c r="DN277" s="2643">
        <f t="shared" si="586"/>
        <v>9.1869060190074014E-2</v>
      </c>
      <c r="DO277" s="2643">
        <f t="shared" si="586"/>
        <v>0.1785714285714286</v>
      </c>
      <c r="DP277" s="2643">
        <f t="shared" si="586"/>
        <v>-0.37555819386309786</v>
      </c>
      <c r="DQ277" s="1780">
        <f t="shared" si="586"/>
        <v>-4.9372596206126329E-2</v>
      </c>
      <c r="DR277" s="2643"/>
      <c r="DS277" s="2643"/>
      <c r="DT277" s="2643"/>
      <c r="DU277" s="2643"/>
      <c r="DV277" s="1780"/>
      <c r="DW277" s="2643"/>
      <c r="DX277" s="2643"/>
      <c r="DY277" s="2643"/>
      <c r="DZ277" s="2643"/>
      <c r="EA277" s="1780"/>
      <c r="EB277" s="2643"/>
      <c r="EC277" s="2643"/>
      <c r="ED277" s="2643"/>
      <c r="EE277" s="2643"/>
      <c r="EF277" s="1780"/>
      <c r="EG277" s="2643"/>
      <c r="EH277" s="2643"/>
      <c r="EI277" s="2643"/>
      <c r="EJ277" s="2643"/>
      <c r="EK277" s="1780"/>
      <c r="EL277" s="2643"/>
      <c r="EM277" s="2643"/>
      <c r="EN277" s="2643"/>
      <c r="EO277" s="2643"/>
      <c r="EP277" s="1780"/>
      <c r="EQ277" s="2643"/>
      <c r="ER277" s="2643"/>
      <c r="ES277" s="2643"/>
      <c r="ET277" s="2643"/>
      <c r="EU277" s="1780"/>
      <c r="EV277" s="1780"/>
      <c r="EW277" s="1780"/>
      <c r="EX277" s="1780"/>
      <c r="EY277" s="1780"/>
      <c r="FA277" s="1319"/>
      <c r="FB277" s="1319"/>
    </row>
    <row r="278" spans="1:158" s="627" customFormat="1" hidden="1">
      <c r="A278" s="3553" t="s">
        <v>451</v>
      </c>
      <c r="B278" s="157"/>
      <c r="C278" s="157"/>
      <c r="D278" s="157"/>
      <c r="E278" s="157"/>
      <c r="F278" s="157"/>
      <c r="G278" s="157"/>
      <c r="H278" s="157"/>
      <c r="I278" s="157"/>
      <c r="J278" s="157"/>
      <c r="K278" s="157"/>
      <c r="L278" s="157"/>
      <c r="M278" s="157"/>
      <c r="N278" s="157"/>
      <c r="O278" s="157"/>
      <c r="P278" s="157"/>
      <c r="Q278" s="157"/>
      <c r="R278" s="157"/>
      <c r="S278" s="157"/>
      <c r="T278" s="157"/>
      <c r="U278" s="157"/>
      <c r="V278" s="157"/>
      <c r="W278" s="157"/>
      <c r="X278" s="157"/>
      <c r="Y278" s="157"/>
      <c r="Z278" s="157"/>
      <c r="AA278" s="157"/>
      <c r="AB278" s="157"/>
      <c r="AC278" s="157"/>
      <c r="AD278" s="157"/>
      <c r="AE278" s="157"/>
      <c r="AF278" s="157"/>
      <c r="AG278" s="157"/>
      <c r="AH278" s="157"/>
      <c r="AI278" s="157"/>
      <c r="AJ278" s="157"/>
      <c r="AK278" s="157"/>
      <c r="AL278" s="157"/>
      <c r="AM278" s="157"/>
      <c r="AN278" s="157"/>
      <c r="AO278" s="157"/>
      <c r="AP278" s="157"/>
      <c r="AQ278" s="157"/>
      <c r="AR278" s="157"/>
      <c r="AS278" s="157"/>
      <c r="AT278" s="157"/>
      <c r="AU278" s="157"/>
      <c r="AV278" s="157"/>
      <c r="AW278" s="157"/>
      <c r="AX278" s="157"/>
      <c r="AY278" s="157"/>
      <c r="AZ278" s="157"/>
      <c r="BA278" s="157"/>
      <c r="BB278" s="157"/>
      <c r="BC278" s="157"/>
      <c r="BD278" s="157"/>
      <c r="BE278" s="157"/>
      <c r="BF278" s="157"/>
      <c r="BG278" s="157"/>
      <c r="BH278" s="157"/>
      <c r="BI278" s="157"/>
      <c r="BJ278" s="157"/>
      <c r="BK278" s="157"/>
      <c r="BL278" s="157"/>
      <c r="BM278" s="157"/>
      <c r="BN278" s="157"/>
      <c r="BO278" s="157"/>
      <c r="BP278" s="157"/>
      <c r="BQ278" s="157"/>
      <c r="BR278" s="157"/>
      <c r="BS278" s="157"/>
      <c r="BT278" s="157"/>
      <c r="BU278" s="157"/>
      <c r="BV278" s="157"/>
      <c r="BW278" s="157"/>
      <c r="BX278" s="157"/>
      <c r="BY278" s="157"/>
      <c r="BZ278" s="157"/>
      <c r="CA278" s="157"/>
      <c r="CB278" s="157"/>
      <c r="CC278" s="157"/>
      <c r="CD278" s="157"/>
      <c r="CE278" s="157"/>
      <c r="CF278" s="157"/>
      <c r="CG278" s="157"/>
      <c r="CH278" s="2779"/>
      <c r="CI278" s="2720"/>
      <c r="CJ278" s="2720"/>
      <c r="CK278" s="2720"/>
      <c r="CL278" s="2720"/>
      <c r="CM278" s="2780">
        <f>+IF(CM264&lt;0,IF(CH264&gt;0,"N/A",(-1)*(CM264/CH264-1)),IF(CH264&lt;0,"N/A",(CM264/CH264-1)))</f>
        <v>5.166666666666667</v>
      </c>
      <c r="CN278" s="2728" t="str">
        <f t="shared" si="588"/>
        <v>N/A</v>
      </c>
      <c r="CO278" s="2728" t="str">
        <f t="shared" si="588"/>
        <v>N/A</v>
      </c>
      <c r="CP278" s="2728" t="str">
        <f t="shared" si="588"/>
        <v>N/A</v>
      </c>
      <c r="CQ278" s="2728">
        <f>+IFERROR(IF(CQ264&lt;0,IF(CL264&gt;0,"N/A",(-1)*(CQ264/CL264-1)),IF(CL264&lt;0,"N/A",(CQ264/CL264-1))),"N/A")</f>
        <v>0.37254901960784315</v>
      </c>
      <c r="CR278" s="2780">
        <f t="shared" ref="CR278:CT279" si="589">+IF(CR264&lt;0,IF(CM264&gt;0,"N/A",(-1)*(CR264/CM264-1)),IF(CM264&lt;0,"N/A",(CR264/CM264-1)))</f>
        <v>0.37162162162162171</v>
      </c>
      <c r="CS278" s="2728">
        <f t="shared" si="589"/>
        <v>0.35000000000000009</v>
      </c>
      <c r="CT278" s="2728">
        <f t="shared" si="589"/>
        <v>0.8</v>
      </c>
      <c r="CU278" s="2728">
        <f t="shared" si="587"/>
        <v>1.1666666666666665</v>
      </c>
      <c r="CV278" s="2728">
        <f t="shared" si="587"/>
        <v>0.44285714285714284</v>
      </c>
      <c r="CW278" s="2780">
        <f t="shared" si="587"/>
        <v>0.67487684729064035</v>
      </c>
      <c r="CX278" s="2728" t="s">
        <v>116</v>
      </c>
      <c r="CY278" s="2728" t="s">
        <v>116</v>
      </c>
      <c r="CZ278" s="2728" t="s">
        <v>116</v>
      </c>
      <c r="DA278" s="2728" t="s">
        <v>116</v>
      </c>
      <c r="DB278" s="2780" t="s">
        <v>116</v>
      </c>
      <c r="DC278" s="2728">
        <f t="shared" si="585"/>
        <v>-2.2988505747126409E-2</v>
      </c>
      <c r="DD278" s="2728">
        <f t="shared" si="585"/>
        <v>0.36065573770491799</v>
      </c>
      <c r="DE278" s="2728">
        <f t="shared" si="585"/>
        <v>0.14705882352941169</v>
      </c>
      <c r="DF278" s="2728">
        <f t="shared" si="585"/>
        <v>-0.10989010989010994</v>
      </c>
      <c r="DG278" s="2780">
        <f t="shared" si="585"/>
        <v>6.514657980456029E-2</v>
      </c>
      <c r="DH278" s="2728">
        <f t="shared" si="585"/>
        <v>-1.1764705882352899E-2</v>
      </c>
      <c r="DI278" s="2728">
        <f t="shared" si="585"/>
        <v>-4.8192771084337394E-2</v>
      </c>
      <c r="DJ278" s="2728">
        <f t="shared" si="585"/>
        <v>6.4102564102564097E-2</v>
      </c>
      <c r="DK278" s="2728">
        <f t="shared" si="585"/>
        <v>2.9506172839506171</v>
      </c>
      <c r="DL278" s="2780">
        <f t="shared" si="585"/>
        <v>0.73088685015290511</v>
      </c>
      <c r="DM278" s="2728">
        <f t="shared" si="586"/>
        <v>9.5238095238095344E-2</v>
      </c>
      <c r="DN278" s="2728">
        <f t="shared" si="586"/>
        <v>0.18987341772151889</v>
      </c>
      <c r="DO278" s="2728">
        <f t="shared" si="586"/>
        <v>0.14457831325301207</v>
      </c>
      <c r="DP278" s="2728">
        <f t="shared" si="586"/>
        <v>-0.7001750000000001</v>
      </c>
      <c r="DQ278" s="2780">
        <f t="shared" si="586"/>
        <v>-0.33402120141342762</v>
      </c>
      <c r="DR278" s="2728"/>
      <c r="DS278" s="2728"/>
      <c r="DT278" s="2728"/>
      <c r="DU278" s="2728"/>
      <c r="DV278" s="2780"/>
      <c r="DW278" s="2728"/>
      <c r="DX278" s="2728"/>
      <c r="DY278" s="2728"/>
      <c r="DZ278" s="2728"/>
      <c r="EA278" s="2780"/>
      <c r="EB278" s="2728"/>
      <c r="EC278" s="2728"/>
      <c r="ED278" s="2728"/>
      <c r="EE278" s="2728"/>
      <c r="EF278" s="2780"/>
      <c r="EG278" s="2728"/>
      <c r="EH278" s="2728"/>
      <c r="EI278" s="2728"/>
      <c r="EJ278" s="2728"/>
      <c r="EK278" s="2780"/>
      <c r="EL278" s="2728"/>
      <c r="EM278" s="2728"/>
      <c r="EN278" s="2728"/>
      <c r="EO278" s="2728"/>
      <c r="EP278" s="2780"/>
      <c r="EQ278" s="2728"/>
      <c r="ER278" s="2728"/>
      <c r="ES278" s="2728"/>
      <c r="ET278" s="2728"/>
      <c r="EU278" s="2780"/>
      <c r="EV278" s="2780"/>
      <c r="EW278" s="2780"/>
      <c r="EX278" s="2780"/>
      <c r="EY278" s="2780"/>
      <c r="EZ278" s="768"/>
      <c r="FA278" s="1319"/>
      <c r="FB278" s="1319"/>
    </row>
    <row r="279" spans="1:158" s="627" customFormat="1" hidden="1">
      <c r="A279" s="3553" t="s">
        <v>448</v>
      </c>
      <c r="B279" s="157"/>
      <c r="C279" s="157"/>
      <c r="D279" s="157"/>
      <c r="E279" s="157"/>
      <c r="F279" s="157"/>
      <c r="G279" s="157"/>
      <c r="H279" s="157"/>
      <c r="I279" s="157"/>
      <c r="J279" s="157"/>
      <c r="K279" s="157"/>
      <c r="L279" s="157"/>
      <c r="M279" s="157"/>
      <c r="N279" s="157"/>
      <c r="O279" s="157"/>
      <c r="P279" s="157"/>
      <c r="Q279" s="157"/>
      <c r="R279" s="157"/>
      <c r="S279" s="157"/>
      <c r="T279" s="157"/>
      <c r="U279" s="157"/>
      <c r="V279" s="157"/>
      <c r="W279" s="157"/>
      <c r="X279" s="157"/>
      <c r="Y279" s="157"/>
      <c r="Z279" s="157"/>
      <c r="AA279" s="157"/>
      <c r="AB279" s="157"/>
      <c r="AC279" s="157"/>
      <c r="AD279" s="157"/>
      <c r="AE279" s="157"/>
      <c r="AF279" s="157"/>
      <c r="AG279" s="157"/>
      <c r="AH279" s="157"/>
      <c r="AI279" s="157"/>
      <c r="AJ279" s="157"/>
      <c r="AK279" s="157"/>
      <c r="AL279" s="157"/>
      <c r="AM279" s="157"/>
      <c r="AN279" s="157"/>
      <c r="AO279" s="157"/>
      <c r="AP279" s="157"/>
      <c r="AQ279" s="157"/>
      <c r="AR279" s="157"/>
      <c r="AS279" s="157"/>
      <c r="AT279" s="157"/>
      <c r="AU279" s="157"/>
      <c r="AV279" s="157"/>
      <c r="AW279" s="157"/>
      <c r="AX279" s="157"/>
      <c r="AY279" s="157"/>
      <c r="AZ279" s="157"/>
      <c r="BA279" s="157"/>
      <c r="BB279" s="157"/>
      <c r="BC279" s="157"/>
      <c r="BD279" s="157"/>
      <c r="BE279" s="157"/>
      <c r="BF279" s="157"/>
      <c r="BG279" s="157"/>
      <c r="BH279" s="157"/>
      <c r="BI279" s="157"/>
      <c r="BJ279" s="157"/>
      <c r="BK279" s="157"/>
      <c r="BL279" s="157"/>
      <c r="BM279" s="157"/>
      <c r="BN279" s="157"/>
      <c r="BO279" s="157"/>
      <c r="BP279" s="157"/>
      <c r="BQ279" s="157"/>
      <c r="BR279" s="157"/>
      <c r="BS279" s="157"/>
      <c r="BT279" s="157"/>
      <c r="BU279" s="157"/>
      <c r="BV279" s="157"/>
      <c r="BW279" s="157"/>
      <c r="BX279" s="157"/>
      <c r="BY279" s="157"/>
      <c r="BZ279" s="157"/>
      <c r="CA279" s="157"/>
      <c r="CB279" s="157"/>
      <c r="CC279" s="157"/>
      <c r="CD279" s="157"/>
      <c r="CE279" s="157"/>
      <c r="CF279" s="157"/>
      <c r="CG279" s="157"/>
      <c r="CH279" s="2779"/>
      <c r="CI279" s="2720"/>
      <c r="CJ279" s="2720"/>
      <c r="CK279" s="2720"/>
      <c r="CL279" s="2720"/>
      <c r="CM279" s="2780">
        <f>+IF(CM265&lt;0,IF(CH265&gt;0,"N/A",(-1)*(CM265/CH265-1)),IF(CH265&lt;0,"N/A",(CM265/CH265-1)))</f>
        <v>1.7983870967741935</v>
      </c>
      <c r="CN279" s="2728" t="str">
        <f t="shared" si="588"/>
        <v>N/A</v>
      </c>
      <c r="CO279" s="2728" t="str">
        <f t="shared" si="588"/>
        <v>N/A</v>
      </c>
      <c r="CP279" s="2728" t="str">
        <f t="shared" si="588"/>
        <v>N/A</v>
      </c>
      <c r="CQ279" s="2728">
        <f>+IF(CQ265&lt;0,IF(CL265&gt;0,"N/A",(-1)*(CQ265/CL265-1)),IF(CL265&lt;0,"N/A",(CQ265/CL265-1)))</f>
        <v>0.29702970297029707</v>
      </c>
      <c r="CR279" s="2780">
        <f t="shared" si="589"/>
        <v>0.38616714697406329</v>
      </c>
      <c r="CS279" s="2728">
        <f t="shared" si="589"/>
        <v>0.17948717948717952</v>
      </c>
      <c r="CT279" s="2728">
        <f t="shared" si="589"/>
        <v>0.41904761904761911</v>
      </c>
      <c r="CU279" s="2728">
        <f t="shared" si="587"/>
        <v>0.5546875</v>
      </c>
      <c r="CV279" s="2728">
        <f t="shared" si="587"/>
        <v>0.2290076335877862</v>
      </c>
      <c r="CW279" s="2780">
        <f t="shared" si="587"/>
        <v>0.34511434511434502</v>
      </c>
      <c r="CX279" s="2728" t="s">
        <v>116</v>
      </c>
      <c r="CY279" s="2728" t="s">
        <v>116</v>
      </c>
      <c r="CZ279" s="2728" t="s">
        <v>116</v>
      </c>
      <c r="DA279" s="2728" t="s">
        <v>116</v>
      </c>
      <c r="DB279" s="2780" t="s">
        <v>116</v>
      </c>
      <c r="DC279" s="2728">
        <f t="shared" si="585"/>
        <v>0.30232558139534893</v>
      </c>
      <c r="DD279" s="2728">
        <f t="shared" si="585"/>
        <v>0.56790123456790131</v>
      </c>
      <c r="DE279" s="2728">
        <f t="shared" si="585"/>
        <v>0.32978723404255317</v>
      </c>
      <c r="DF279" s="2728">
        <f t="shared" si="585"/>
        <v>0.22549019607843146</v>
      </c>
      <c r="DG279" s="2780">
        <f t="shared" si="585"/>
        <v>0.34710743801652888</v>
      </c>
      <c r="DH279" s="2728">
        <f t="shared" si="585"/>
        <v>9.8214285714285809E-2</v>
      </c>
      <c r="DI279" s="2728">
        <f t="shared" si="585"/>
        <v>-1.5748031496062964E-2</v>
      </c>
      <c r="DJ279" s="2728">
        <f t="shared" si="585"/>
        <v>-6.3999999999999946E-2</v>
      </c>
      <c r="DK279" s="2728">
        <f t="shared" si="585"/>
        <v>-0.128</v>
      </c>
      <c r="DL279" s="2780">
        <f t="shared" si="585"/>
        <v>-3.0674846625766916E-2</v>
      </c>
      <c r="DM279" s="2728">
        <f t="shared" si="586"/>
        <v>9.7560975609756184E-2</v>
      </c>
      <c r="DN279" s="2728">
        <f t="shared" si="586"/>
        <v>8.8000000000000078E-2</v>
      </c>
      <c r="DO279" s="2728">
        <f t="shared" si="586"/>
        <v>0.11111111111111116</v>
      </c>
      <c r="DP279" s="2728">
        <f t="shared" si="586"/>
        <v>0.20567380682403802</v>
      </c>
      <c r="DQ279" s="2780">
        <f t="shared" si="586"/>
        <v>0.12324566443843898</v>
      </c>
      <c r="DR279" s="2728"/>
      <c r="DS279" s="2728"/>
      <c r="DT279" s="2728"/>
      <c r="DU279" s="2728"/>
      <c r="DV279" s="2780"/>
      <c r="DW279" s="2728"/>
      <c r="DX279" s="2728"/>
      <c r="DY279" s="2728"/>
      <c r="DZ279" s="2728"/>
      <c r="EA279" s="2780"/>
      <c r="EB279" s="2728"/>
      <c r="EC279" s="2728"/>
      <c r="ED279" s="2728"/>
      <c r="EE279" s="2728"/>
      <c r="EF279" s="2780"/>
      <c r="EG279" s="2728"/>
      <c r="EH279" s="2728"/>
      <c r="EI279" s="2728"/>
      <c r="EJ279" s="2728"/>
      <c r="EK279" s="2780"/>
      <c r="EL279" s="2728"/>
      <c r="EM279" s="2728"/>
      <c r="EN279" s="2728"/>
      <c r="EO279" s="2728"/>
      <c r="EP279" s="2780"/>
      <c r="EQ279" s="2728"/>
      <c r="ER279" s="2728"/>
      <c r="ES279" s="2728"/>
      <c r="ET279" s="2728"/>
      <c r="EU279" s="2780"/>
      <c r="EV279" s="2780"/>
      <c r="EW279" s="2780"/>
      <c r="EX279" s="2780"/>
      <c r="EY279" s="2780"/>
      <c r="EZ279" s="768"/>
      <c r="FA279" s="1319"/>
      <c r="FB279" s="1319"/>
    </row>
    <row r="280" spans="1:158" s="1666" customFormat="1" hidden="1">
      <c r="A280" s="3566" t="str">
        <f>A267</f>
        <v>Other Bets GAAP Operating Income/(Loss)</v>
      </c>
      <c r="B280" s="2781"/>
      <c r="C280" s="2781"/>
      <c r="D280" s="2781"/>
      <c r="E280" s="2781"/>
      <c r="F280" s="2781"/>
      <c r="G280" s="2781"/>
      <c r="H280" s="2781"/>
      <c r="I280" s="2781"/>
      <c r="J280" s="2781"/>
      <c r="K280" s="2781"/>
      <c r="L280" s="2781"/>
      <c r="M280" s="2781"/>
      <c r="N280" s="2781"/>
      <c r="O280" s="2781"/>
      <c r="P280" s="2781"/>
      <c r="Q280" s="2781"/>
      <c r="R280" s="2781"/>
      <c r="S280" s="2781"/>
      <c r="T280" s="2781"/>
      <c r="U280" s="2781"/>
      <c r="V280" s="2781"/>
      <c r="W280" s="2781"/>
      <c r="X280" s="2781"/>
      <c r="Y280" s="2781"/>
      <c r="Z280" s="2781"/>
      <c r="AA280" s="2781"/>
      <c r="AB280" s="2781"/>
      <c r="AC280" s="2781"/>
      <c r="AD280" s="2781"/>
      <c r="AE280" s="2781"/>
      <c r="AF280" s="2781"/>
      <c r="AG280" s="2781"/>
      <c r="AH280" s="2781"/>
      <c r="AI280" s="2781"/>
      <c r="AJ280" s="2781"/>
      <c r="AK280" s="2781"/>
      <c r="AL280" s="2781"/>
      <c r="AM280" s="2781"/>
      <c r="AN280" s="2781"/>
      <c r="AO280" s="2781"/>
      <c r="AP280" s="2781"/>
      <c r="AQ280" s="2781"/>
      <c r="AR280" s="2781"/>
      <c r="AS280" s="2781"/>
      <c r="AT280" s="2781"/>
      <c r="AU280" s="2781"/>
      <c r="AV280" s="2781"/>
      <c r="AW280" s="2781"/>
      <c r="AX280" s="2781"/>
      <c r="AY280" s="2781"/>
      <c r="AZ280" s="2781"/>
      <c r="BA280" s="2781"/>
      <c r="BB280" s="2781"/>
      <c r="BC280" s="2781"/>
      <c r="BD280" s="2781"/>
      <c r="BE280" s="2781"/>
      <c r="BF280" s="2781"/>
      <c r="BG280" s="2781"/>
      <c r="BH280" s="2781"/>
      <c r="BI280" s="2781"/>
      <c r="BJ280" s="2781"/>
      <c r="BK280" s="2781"/>
      <c r="BL280" s="2781"/>
      <c r="BM280" s="2781"/>
      <c r="BN280" s="2781"/>
      <c r="BO280" s="2781"/>
      <c r="BP280" s="2781"/>
      <c r="BQ280" s="2781"/>
      <c r="BR280" s="2781"/>
      <c r="BS280" s="2781"/>
      <c r="BT280" s="2781"/>
      <c r="BU280" s="2781"/>
      <c r="BV280" s="2781"/>
      <c r="BW280" s="2781"/>
      <c r="BX280" s="2781"/>
      <c r="BY280" s="2781"/>
      <c r="BZ280" s="2781"/>
      <c r="CA280" s="2781"/>
      <c r="CB280" s="2781"/>
      <c r="CC280" s="2781"/>
      <c r="CD280" s="2781"/>
      <c r="CE280" s="2781"/>
      <c r="CF280" s="2781"/>
      <c r="CG280" s="2781"/>
      <c r="CH280" s="2782"/>
      <c r="CI280" s="2783"/>
      <c r="CJ280" s="2783"/>
      <c r="CK280" s="2783"/>
      <c r="CL280" s="2783"/>
      <c r="CM280" s="2784">
        <f t="shared" ref="CM280:CW280" si="590">+IF(CM267&lt;0,IF(CH267&gt;0,"N/A",(-1)*(CM267/CH267-1)),IF(CH267&lt;0,"N/A",(CM267/CH267-1)))</f>
        <v>-2.6850094876660342</v>
      </c>
      <c r="CN280" s="2785" t="str">
        <f t="shared" si="590"/>
        <v>N/A</v>
      </c>
      <c r="CO280" s="2785" t="str">
        <f t="shared" si="590"/>
        <v>N/A</v>
      </c>
      <c r="CP280" s="2785" t="str">
        <f t="shared" si="590"/>
        <v>N/A</v>
      </c>
      <c r="CQ280" s="2785">
        <f t="shared" si="590"/>
        <v>-0.91324921135646697</v>
      </c>
      <c r="CR280" s="2784">
        <f t="shared" si="590"/>
        <v>-0.79505664263645737</v>
      </c>
      <c r="CS280" s="2785">
        <f t="shared" si="590"/>
        <v>-0.22274881516587675</v>
      </c>
      <c r="CT280" s="2785">
        <f t="shared" si="590"/>
        <v>-0.29545454545454541</v>
      </c>
      <c r="CU280" s="2785">
        <f t="shared" si="590"/>
        <v>0.12142857142857144</v>
      </c>
      <c r="CV280" s="2785">
        <f t="shared" si="590"/>
        <v>0.10305028854080789</v>
      </c>
      <c r="CW280" s="2784">
        <f t="shared" si="590"/>
        <v>-2.6391279403327639E-2</v>
      </c>
      <c r="CX280" s="2785" t="s">
        <v>116</v>
      </c>
      <c r="CY280" s="2785" t="s">
        <v>116</v>
      </c>
      <c r="CZ280" s="2785" t="s">
        <v>116</v>
      </c>
      <c r="DA280" s="2785" t="s">
        <v>116</v>
      </c>
      <c r="DB280" s="2784" t="s">
        <v>116</v>
      </c>
      <c r="DC280" s="2785">
        <f t="shared" ref="DC280:DL281" si="591">+IF(DC267&lt;0,IF(CX267&gt;0,"N/A",(-1)*(DC267/CX267-1)),IF(CX267&lt;0,"N/A",(DC267/CX267-1)))</f>
        <v>0.18776671408250356</v>
      </c>
      <c r="DD280" s="2785">
        <f t="shared" si="591"/>
        <v>-0.15639810426540279</v>
      </c>
      <c r="DE280" s="2785">
        <f t="shared" si="591"/>
        <v>-0.1184615384615384</v>
      </c>
      <c r="DF280" s="2785">
        <f t="shared" si="591"/>
        <v>-0.77540106951871657</v>
      </c>
      <c r="DG280" s="2784">
        <f t="shared" si="591"/>
        <v>-0.22823701536210672</v>
      </c>
      <c r="DH280" s="2785">
        <f t="shared" si="591"/>
        <v>-0.52014010507880903</v>
      </c>
      <c r="DI280" s="2785">
        <f t="shared" si="591"/>
        <v>-0.35109289617486339</v>
      </c>
      <c r="DJ280" s="2785">
        <f t="shared" si="591"/>
        <v>-0.29436038514442919</v>
      </c>
      <c r="DK280" s="2785">
        <f t="shared" si="591"/>
        <v>-0.52560240963855431</v>
      </c>
      <c r="DL280" s="2784">
        <f t="shared" si="591"/>
        <v>-0.43656938653960697</v>
      </c>
      <c r="DM280" s="2785">
        <f t="shared" ref="DM280:DQ281" si="592">+IF(DM267&lt;0,IF(DH267&gt;0,"N/A",(-1)*(DM267/DH267-1)),IF(DH267&lt;0,"N/A",(DM267/DH267-1)))</f>
        <v>-0.29147465437788012</v>
      </c>
      <c r="DN280" s="2785">
        <f t="shared" si="592"/>
        <v>-0.12841253791708795</v>
      </c>
      <c r="DO280" s="2785">
        <f t="shared" si="592"/>
        <v>-0.17215727948990445</v>
      </c>
      <c r="DP280" s="2785">
        <f t="shared" si="592"/>
        <v>0.43928923988154001</v>
      </c>
      <c r="DQ280" s="2784">
        <f t="shared" si="592"/>
        <v>7.2139303482587014E-2</v>
      </c>
      <c r="DR280" s="2785"/>
      <c r="DS280" s="2785"/>
      <c r="DT280" s="2785"/>
      <c r="DU280" s="2785"/>
      <c r="DV280" s="2784"/>
      <c r="DW280" s="2785"/>
      <c r="DX280" s="2785"/>
      <c r="DY280" s="2785"/>
      <c r="DZ280" s="2785"/>
      <c r="EA280" s="2784"/>
      <c r="EB280" s="2785"/>
      <c r="EC280" s="2785"/>
      <c r="ED280" s="2785"/>
      <c r="EE280" s="2785"/>
      <c r="EF280" s="2784"/>
      <c r="EG280" s="2785"/>
      <c r="EH280" s="2785"/>
      <c r="EI280" s="2785"/>
      <c r="EJ280" s="2785"/>
      <c r="EK280" s="2784"/>
      <c r="EL280" s="2785"/>
      <c r="EM280" s="2785"/>
      <c r="EN280" s="2785"/>
      <c r="EO280" s="2785"/>
      <c r="EP280" s="2784"/>
      <c r="EQ280" s="2785"/>
      <c r="ER280" s="2785"/>
      <c r="ES280" s="2785"/>
      <c r="ET280" s="2785"/>
      <c r="EU280" s="2784"/>
      <c r="EV280" s="2784"/>
      <c r="EW280" s="2784"/>
      <c r="EX280" s="2784"/>
      <c r="EY280" s="2784"/>
      <c r="EZ280" s="4263"/>
      <c r="FA280" s="4279"/>
      <c r="FB280" s="4279"/>
    </row>
    <row r="281" spans="1:158" s="1666" customFormat="1" hidden="1">
      <c r="A281" s="3552" t="str">
        <f>A268</f>
        <v>LTM Other Bets GAAP Ops Income</v>
      </c>
      <c r="B281" s="2781"/>
      <c r="C281" s="2781"/>
      <c r="D281" s="2781"/>
      <c r="E281" s="2781"/>
      <c r="F281" s="2781"/>
      <c r="G281" s="2781"/>
      <c r="H281" s="2781"/>
      <c r="I281" s="2781"/>
      <c r="J281" s="2781"/>
      <c r="K281" s="2781"/>
      <c r="L281" s="2781"/>
      <c r="M281" s="2781"/>
      <c r="N281" s="2781"/>
      <c r="O281" s="2781"/>
      <c r="P281" s="2781"/>
      <c r="Q281" s="2781"/>
      <c r="R281" s="2781"/>
      <c r="S281" s="2781"/>
      <c r="T281" s="2781"/>
      <c r="U281" s="2781"/>
      <c r="V281" s="2781"/>
      <c r="W281" s="2781"/>
      <c r="X281" s="2781"/>
      <c r="Y281" s="2781"/>
      <c r="Z281" s="2781"/>
      <c r="AA281" s="2781"/>
      <c r="AB281" s="2781"/>
      <c r="AC281" s="2781"/>
      <c r="AD281" s="2781"/>
      <c r="AE281" s="2781"/>
      <c r="AF281" s="2781"/>
      <c r="AG281" s="2781"/>
      <c r="AH281" s="2781"/>
      <c r="AI281" s="2781"/>
      <c r="AJ281" s="2781"/>
      <c r="AK281" s="2781"/>
      <c r="AL281" s="2781"/>
      <c r="AM281" s="2781"/>
      <c r="AN281" s="2781"/>
      <c r="AO281" s="2781"/>
      <c r="AP281" s="2781"/>
      <c r="AQ281" s="2781"/>
      <c r="AR281" s="2781"/>
      <c r="AS281" s="2781"/>
      <c r="AT281" s="2781"/>
      <c r="AU281" s="2781"/>
      <c r="AV281" s="2781"/>
      <c r="AW281" s="2781"/>
      <c r="AX281" s="2781"/>
      <c r="AY281" s="2781"/>
      <c r="AZ281" s="2781"/>
      <c r="BA281" s="2781"/>
      <c r="BB281" s="2781"/>
      <c r="BC281" s="2781"/>
      <c r="BD281" s="2781"/>
      <c r="BE281" s="2781"/>
      <c r="BF281" s="2781"/>
      <c r="BG281" s="2781"/>
      <c r="BH281" s="2781"/>
      <c r="BI281" s="2781"/>
      <c r="BJ281" s="2781"/>
      <c r="BK281" s="2781"/>
      <c r="BL281" s="2781"/>
      <c r="BM281" s="2781"/>
      <c r="BN281" s="2781"/>
      <c r="BO281" s="2781"/>
      <c r="BP281" s="2781"/>
      <c r="BQ281" s="2781"/>
      <c r="BR281" s="2781"/>
      <c r="BS281" s="2781"/>
      <c r="BT281" s="2781"/>
      <c r="BU281" s="2781"/>
      <c r="BV281" s="2781"/>
      <c r="BW281" s="2781"/>
      <c r="BX281" s="2781"/>
      <c r="BY281" s="2781"/>
      <c r="BZ281" s="2781"/>
      <c r="CA281" s="2781"/>
      <c r="CB281" s="2781"/>
      <c r="CC281" s="2781"/>
      <c r="CD281" s="2781"/>
      <c r="CE281" s="2781"/>
      <c r="CF281" s="2781"/>
      <c r="CG281" s="2781"/>
      <c r="CH281" s="2782"/>
      <c r="CI281" s="2783"/>
      <c r="CJ281" s="2783"/>
      <c r="CK281" s="2783"/>
      <c r="CL281" s="2783"/>
      <c r="CM281" s="2784"/>
      <c r="CN281" s="2785"/>
      <c r="CO281" s="2785"/>
      <c r="CP281" s="2785"/>
      <c r="CQ281" s="2785"/>
      <c r="CR281" s="2784"/>
      <c r="CS281" s="2785"/>
      <c r="CT281" s="2785"/>
      <c r="CU281" s="2785">
        <f>+IF(CU268&lt;0,IF(CP268&gt;0,"N/A",(-1)*(CU268/CP268-1)),IF(CP268&lt;0,"N/A",(CU268/CP268-1)))</f>
        <v>-0.2738218094255247</v>
      </c>
      <c r="CV281" s="2785">
        <f>+IF(CV268&lt;0,IF(CQ268&gt;0,"N/A",(-1)*(CV268/CQ268-1)),IF(CQ268&lt;0,"N/A",(CV268/CQ268-1)))</f>
        <v>-2.6391279403327639E-2</v>
      </c>
      <c r="CW281" s="2784">
        <f>+IF(CW268&lt;0,IF(CR268&gt;0,"N/A",(-1)*(CW268/CR268-1)),IF(CR268&lt;0,"N/A",(CW268/CR268-1)))</f>
        <v>-2.6391279403327639E-2</v>
      </c>
      <c r="CX281" s="2785" t="s">
        <v>116</v>
      </c>
      <c r="CY281" s="2785" t="s">
        <v>116</v>
      </c>
      <c r="CZ281" s="2785" t="s">
        <v>116</v>
      </c>
      <c r="DA281" s="2785" t="s">
        <v>116</v>
      </c>
      <c r="DB281" s="2784" t="s">
        <v>116</v>
      </c>
      <c r="DC281" s="2785">
        <f t="shared" si="591"/>
        <v>0.25805531793555747</v>
      </c>
      <c r="DD281" s="2785">
        <f t="shared" si="591"/>
        <v>0.17777777777777781</v>
      </c>
      <c r="DE281" s="2785">
        <f t="shared" si="591"/>
        <v>9.6291476903057949E-2</v>
      </c>
      <c r="DF281" s="2785">
        <f t="shared" si="591"/>
        <v>-0.22823701536210672</v>
      </c>
      <c r="DG281" s="2784">
        <f t="shared" si="591"/>
        <v>-0.22823701536210672</v>
      </c>
      <c r="DH281" s="2785">
        <f t="shared" si="591"/>
        <v>-0.40468870099923127</v>
      </c>
      <c r="DI281" s="2785">
        <f t="shared" si="591"/>
        <v>-0.44835246205109214</v>
      </c>
      <c r="DJ281" s="2785">
        <f t="shared" si="591"/>
        <v>-0.48524118070554345</v>
      </c>
      <c r="DK281" s="2785">
        <f t="shared" si="591"/>
        <v>-0.43656938653960697</v>
      </c>
      <c r="DL281" s="2784">
        <f t="shared" si="591"/>
        <v>-0.43656938653960697</v>
      </c>
      <c r="DM281" s="2785">
        <f t="shared" si="592"/>
        <v>-0.38905608755129961</v>
      </c>
      <c r="DN281" s="2785">
        <f t="shared" si="592"/>
        <v>-0.33026584867075659</v>
      </c>
      <c r="DO281" s="2785">
        <f t="shared" si="592"/>
        <v>-1.1980126030053322</v>
      </c>
      <c r="DP281" s="2785">
        <f t="shared" si="592"/>
        <v>7.2139303482587014E-2</v>
      </c>
      <c r="DQ281" s="2784">
        <f t="shared" si="592"/>
        <v>7.2139303482587014E-2</v>
      </c>
      <c r="DR281" s="2785"/>
      <c r="DS281" s="2785"/>
      <c r="DT281" s="2785"/>
      <c r="DU281" s="2785"/>
      <c r="DV281" s="2784"/>
      <c r="DW281" s="2785"/>
      <c r="DX281" s="2785"/>
      <c r="DY281" s="2785"/>
      <c r="DZ281" s="2785"/>
      <c r="EA281" s="2784"/>
      <c r="EB281" s="2785"/>
      <c r="EC281" s="2785"/>
      <c r="ED281" s="2785"/>
      <c r="EE281" s="2785"/>
      <c r="EF281" s="2784"/>
      <c r="EG281" s="2785"/>
      <c r="EH281" s="2785"/>
      <c r="EI281" s="2785"/>
      <c r="EJ281" s="2785"/>
      <c r="EK281" s="2784"/>
      <c r="EL281" s="2785"/>
      <c r="EM281" s="2785"/>
      <c r="EN281" s="2785"/>
      <c r="EO281" s="2785"/>
      <c r="EP281" s="2784"/>
      <c r="EQ281" s="2785"/>
      <c r="ER281" s="2785"/>
      <c r="ES281" s="2785"/>
      <c r="ET281" s="2785"/>
      <c r="EU281" s="2784"/>
      <c r="EV281" s="2784"/>
      <c r="EW281" s="2784"/>
      <c r="EX281" s="2784"/>
      <c r="EY281" s="2784"/>
      <c r="EZ281" s="4263"/>
      <c r="FA281" s="4279"/>
      <c r="FB281" s="4279"/>
    </row>
    <row r="282" spans="1:158" s="1666" customFormat="1" hidden="1">
      <c r="A282" s="3566" t="str">
        <f>A270</f>
        <v>Other Bets GAAP Net Income</v>
      </c>
      <c r="B282" s="2781"/>
      <c r="C282" s="2781"/>
      <c r="D282" s="2781"/>
      <c r="E282" s="2781"/>
      <c r="F282" s="2781"/>
      <c r="G282" s="2781"/>
      <c r="H282" s="2781"/>
      <c r="I282" s="2781"/>
      <c r="J282" s="2781"/>
      <c r="K282" s="2781"/>
      <c r="L282" s="2781"/>
      <c r="M282" s="2781"/>
      <c r="N282" s="2781"/>
      <c r="O282" s="2781"/>
      <c r="P282" s="2781"/>
      <c r="Q282" s="2781"/>
      <c r="R282" s="2781"/>
      <c r="S282" s="2781"/>
      <c r="T282" s="2781"/>
      <c r="U282" s="2781"/>
      <c r="V282" s="2781"/>
      <c r="W282" s="2781"/>
      <c r="X282" s="2781"/>
      <c r="Y282" s="2781"/>
      <c r="Z282" s="2781"/>
      <c r="AA282" s="2781"/>
      <c r="AB282" s="2781"/>
      <c r="AC282" s="2781"/>
      <c r="AD282" s="2781"/>
      <c r="AE282" s="2781"/>
      <c r="AF282" s="2781"/>
      <c r="AG282" s="2781"/>
      <c r="AH282" s="2781"/>
      <c r="AI282" s="2781"/>
      <c r="AJ282" s="2781"/>
      <c r="AK282" s="2781"/>
      <c r="AL282" s="2781"/>
      <c r="AM282" s="2781"/>
      <c r="AN282" s="2781"/>
      <c r="AO282" s="2781"/>
      <c r="AP282" s="2781"/>
      <c r="AQ282" s="2781"/>
      <c r="AR282" s="2781"/>
      <c r="AS282" s="2781"/>
      <c r="AT282" s="2781"/>
      <c r="AU282" s="2781"/>
      <c r="AV282" s="2781"/>
      <c r="AW282" s="2781"/>
      <c r="AX282" s="2781"/>
      <c r="AY282" s="2781"/>
      <c r="AZ282" s="2781"/>
      <c r="BA282" s="2781"/>
      <c r="BB282" s="2781"/>
      <c r="BC282" s="2781"/>
      <c r="BD282" s="2781"/>
      <c r="BE282" s="2781"/>
      <c r="BF282" s="2781"/>
      <c r="BG282" s="2781"/>
      <c r="BH282" s="2781"/>
      <c r="BI282" s="2781"/>
      <c r="BJ282" s="2781"/>
      <c r="BK282" s="2781"/>
      <c r="BL282" s="2781"/>
      <c r="BM282" s="2781"/>
      <c r="BN282" s="2781"/>
      <c r="BO282" s="2781"/>
      <c r="BP282" s="2781"/>
      <c r="BQ282" s="2781"/>
      <c r="BR282" s="2781"/>
      <c r="BS282" s="2781"/>
      <c r="BT282" s="2781"/>
      <c r="BU282" s="2781"/>
      <c r="BV282" s="2781"/>
      <c r="BW282" s="2781"/>
      <c r="BX282" s="2781"/>
      <c r="BY282" s="2781"/>
      <c r="BZ282" s="2781"/>
      <c r="CA282" s="2781"/>
      <c r="CB282" s="2781"/>
      <c r="CC282" s="2781"/>
      <c r="CD282" s="2781"/>
      <c r="CE282" s="2781"/>
      <c r="CF282" s="2781"/>
      <c r="CG282" s="2781"/>
      <c r="CH282" s="2782"/>
      <c r="CI282" s="2783"/>
      <c r="CJ282" s="2783"/>
      <c r="CK282" s="2783"/>
      <c r="CL282" s="2783"/>
      <c r="CM282" s="2784">
        <f t="shared" ref="CM282:CW282" si="593">+IF(CM270&lt;0,IF(CH270&gt;0,"N/A",(-1)*(CM270/CH270-1)),IF(CH270&lt;0,"N/A",(CM270/CH270-1)))</f>
        <v>-1.6035196687370599</v>
      </c>
      <c r="CN282" s="2785" t="str">
        <f t="shared" si="593"/>
        <v>N/A</v>
      </c>
      <c r="CO282" s="2785" t="str">
        <f t="shared" si="593"/>
        <v>N/A</v>
      </c>
      <c r="CP282" s="2785" t="str">
        <f t="shared" si="593"/>
        <v>N/A</v>
      </c>
      <c r="CQ282" s="2785">
        <f t="shared" si="593"/>
        <v>-0.65533980582524265</v>
      </c>
      <c r="CR282" s="2784">
        <f t="shared" si="593"/>
        <v>-0.5852882703777329</v>
      </c>
      <c r="CS282" s="2785">
        <f t="shared" si="593"/>
        <v>-0.21862348178137569</v>
      </c>
      <c r="CT282" s="2785">
        <f t="shared" si="593"/>
        <v>-0.30523627075351212</v>
      </c>
      <c r="CU282" s="2785">
        <f t="shared" si="593"/>
        <v>8.3712465878071018E-2</v>
      </c>
      <c r="CV282" s="2785">
        <f t="shared" si="593"/>
        <v>8.7976539589442848E-2</v>
      </c>
      <c r="CW282" s="2784">
        <f t="shared" si="593"/>
        <v>-4.7404063205418012E-2</v>
      </c>
      <c r="CX282" s="2785" t="s">
        <v>116</v>
      </c>
      <c r="CY282" s="2785" t="s">
        <v>116</v>
      </c>
      <c r="CZ282" s="2785" t="s">
        <v>116</v>
      </c>
      <c r="DA282" s="2785" t="s">
        <v>116</v>
      </c>
      <c r="DB282" s="2784" t="s">
        <v>116</v>
      </c>
      <c r="DC282" s="2785">
        <f t="shared" ref="DC282:DL283" si="594">+IF(DC270&lt;0,IF(CX270&gt;0,"N/A",(-1)*(DC270/CX270-1)),IF(CX270&lt;0,"N/A",(DC270/CX270-1)))</f>
        <v>0.16287015945330297</v>
      </c>
      <c r="DD282" s="2785">
        <f t="shared" si="594"/>
        <v>-8.3428120063191145</v>
      </c>
      <c r="DE282" s="2785">
        <f t="shared" si="594"/>
        <v>-8.1250000000000044E-2</v>
      </c>
      <c r="DF282" s="2785">
        <f t="shared" si="594"/>
        <v>-0.45542427497314719</v>
      </c>
      <c r="DG282" s="2784">
        <f t="shared" si="594"/>
        <v>-0.83439179286761123</v>
      </c>
      <c r="DH282" s="2785">
        <f t="shared" si="594"/>
        <v>-2.510204081632653</v>
      </c>
      <c r="DI282" s="2785">
        <f t="shared" si="594"/>
        <v>0.8140006763611769</v>
      </c>
      <c r="DJ282" s="2785">
        <f t="shared" si="594"/>
        <v>-0.81387283236994223</v>
      </c>
      <c r="DK282" s="2785">
        <f t="shared" si="594"/>
        <v>-0.61845018450184508</v>
      </c>
      <c r="DL282" s="2784">
        <f t="shared" si="594"/>
        <v>0.10137594318686194</v>
      </c>
      <c r="DM282" s="2785">
        <f t="shared" ref="DM282:DQ283" si="595">+IF(DM270&lt;0,IF(DH270&gt;0,"N/A",(-1)*(DM270/DH270-1)),IF(DH270&lt;0,"N/A",(DM270/DH270-1)))</f>
        <v>0.2864341085271318</v>
      </c>
      <c r="DN282" s="2785">
        <f t="shared" si="595"/>
        <v>-0.57272727272727275</v>
      </c>
      <c r="DO282" s="2785">
        <f t="shared" si="595"/>
        <v>-0.29509241555130661</v>
      </c>
      <c r="DP282" s="2785">
        <f t="shared" si="595"/>
        <v>9.5759233926128173E-3</v>
      </c>
      <c r="DQ282" s="2784">
        <f t="shared" si="595"/>
        <v>0.23194705126938653</v>
      </c>
      <c r="DR282" s="2785"/>
      <c r="DS282" s="2785"/>
      <c r="DT282" s="2785"/>
      <c r="DU282" s="2785"/>
      <c r="DV282" s="2784"/>
      <c r="DW282" s="2785"/>
      <c r="DX282" s="2785"/>
      <c r="DY282" s="2785"/>
      <c r="DZ282" s="2785"/>
      <c r="EA282" s="2784"/>
      <c r="EB282" s="2785"/>
      <c r="EC282" s="2785"/>
      <c r="ED282" s="2785"/>
      <c r="EE282" s="2785"/>
      <c r="EF282" s="2784"/>
      <c r="EG282" s="2785"/>
      <c r="EH282" s="2785"/>
      <c r="EI282" s="2785"/>
      <c r="EJ282" s="2785"/>
      <c r="EK282" s="2784"/>
      <c r="EL282" s="2785"/>
      <c r="EM282" s="2785"/>
      <c r="EN282" s="2785"/>
      <c r="EO282" s="2785"/>
      <c r="EP282" s="2784"/>
      <c r="EQ282" s="2785"/>
      <c r="ER282" s="2785"/>
      <c r="ES282" s="2785"/>
      <c r="ET282" s="2785"/>
      <c r="EU282" s="2784"/>
      <c r="EV282" s="2784"/>
      <c r="EW282" s="2784"/>
      <c r="EX282" s="2784"/>
      <c r="EY282" s="2784"/>
      <c r="EZ282" s="4263"/>
      <c r="FA282" s="4279"/>
      <c r="FB282" s="4279"/>
    </row>
    <row r="283" spans="1:158" s="1666" customFormat="1" hidden="1">
      <c r="A283" s="3552" t="str">
        <f>A271</f>
        <v>Other Bets GAAP EPS</v>
      </c>
      <c r="B283" s="2781"/>
      <c r="C283" s="2781"/>
      <c r="D283" s="2781"/>
      <c r="E283" s="2781"/>
      <c r="F283" s="2781"/>
      <c r="G283" s="2781"/>
      <c r="H283" s="2781"/>
      <c r="I283" s="2781"/>
      <c r="J283" s="2781"/>
      <c r="K283" s="2781"/>
      <c r="L283" s="2781"/>
      <c r="M283" s="2781"/>
      <c r="N283" s="2781"/>
      <c r="O283" s="2781"/>
      <c r="P283" s="2781"/>
      <c r="Q283" s="2781"/>
      <c r="R283" s="2781"/>
      <c r="S283" s="2781"/>
      <c r="T283" s="2781"/>
      <c r="U283" s="2781"/>
      <c r="V283" s="2781"/>
      <c r="W283" s="2781"/>
      <c r="X283" s="2781"/>
      <c r="Y283" s="2781"/>
      <c r="Z283" s="2781"/>
      <c r="AA283" s="2781"/>
      <c r="AB283" s="2781"/>
      <c r="AC283" s="2781"/>
      <c r="AD283" s="2781"/>
      <c r="AE283" s="2781"/>
      <c r="AF283" s="2781"/>
      <c r="AG283" s="2781"/>
      <c r="AH283" s="2781"/>
      <c r="AI283" s="2781"/>
      <c r="AJ283" s="2781"/>
      <c r="AK283" s="2781"/>
      <c r="AL283" s="2781"/>
      <c r="AM283" s="2781"/>
      <c r="AN283" s="2781"/>
      <c r="AO283" s="2781"/>
      <c r="AP283" s="2781"/>
      <c r="AQ283" s="2781"/>
      <c r="AR283" s="2781"/>
      <c r="AS283" s="2781"/>
      <c r="AT283" s="2781"/>
      <c r="AU283" s="2781"/>
      <c r="AV283" s="2781"/>
      <c r="AW283" s="2781"/>
      <c r="AX283" s="2781"/>
      <c r="AY283" s="2781"/>
      <c r="AZ283" s="2781"/>
      <c r="BA283" s="2781"/>
      <c r="BB283" s="2781"/>
      <c r="BC283" s="2781"/>
      <c r="BD283" s="2781"/>
      <c r="BE283" s="2781"/>
      <c r="BF283" s="2781"/>
      <c r="BG283" s="2781"/>
      <c r="BH283" s="2781"/>
      <c r="BI283" s="2781"/>
      <c r="BJ283" s="2781"/>
      <c r="BK283" s="2781"/>
      <c r="BL283" s="2781"/>
      <c r="BM283" s="2781"/>
      <c r="BN283" s="2781"/>
      <c r="BO283" s="2781"/>
      <c r="BP283" s="2781"/>
      <c r="BQ283" s="2781"/>
      <c r="BR283" s="2781"/>
      <c r="BS283" s="2781"/>
      <c r="BT283" s="2781"/>
      <c r="BU283" s="2781"/>
      <c r="BV283" s="2781"/>
      <c r="BW283" s="2781"/>
      <c r="BX283" s="2781"/>
      <c r="BY283" s="2781"/>
      <c r="BZ283" s="2781"/>
      <c r="CA283" s="2781"/>
      <c r="CB283" s="2781"/>
      <c r="CC283" s="2781"/>
      <c r="CD283" s="2781"/>
      <c r="CE283" s="2781"/>
      <c r="CF283" s="2781"/>
      <c r="CG283" s="2781"/>
      <c r="CH283" s="2782"/>
      <c r="CI283" s="2783"/>
      <c r="CJ283" s="2783"/>
      <c r="CK283" s="2783"/>
      <c r="CL283" s="2783"/>
      <c r="CM283" s="2784"/>
      <c r="CN283" s="2785"/>
      <c r="CO283" s="2785"/>
      <c r="CP283" s="2785"/>
      <c r="CQ283" s="2785"/>
      <c r="CR283" s="2784"/>
      <c r="CS283" s="2785"/>
      <c r="CT283" s="2785"/>
      <c r="CU283" s="2785">
        <f>+IF(CU271&lt;0,IF(CP271&gt;0,"N/A",(-1)*(CU271/CP271-1)),IF(CP271&lt;0,"N/A",(CU271/CP271-1)))</f>
        <v>8.9118829958187651E-2</v>
      </c>
      <c r="CV283" s="2785">
        <f>+IF(CV271&lt;0,IF(CQ271&gt;0,"N/A",(-1)*(CV271/CQ271-1)),IF(CQ271&lt;0,"N/A",(CV271/CQ271-1)))</f>
        <v>6.5866766713840397E-2</v>
      </c>
      <c r="CW283" s="2784">
        <f>+IF(CW271&lt;0,IF(CR271&gt;0,"N/A",(-1)*(CW271/CR271-1)),IF(CR271&lt;0,"N/A",(CW271/CR271-1)))</f>
        <v>-4.7700179769272877E-2</v>
      </c>
      <c r="CX283" s="2785" t="s">
        <v>116</v>
      </c>
      <c r="CY283" s="2785" t="s">
        <v>116</v>
      </c>
      <c r="CZ283" s="2785" t="s">
        <v>116</v>
      </c>
      <c r="DA283" s="2785" t="s">
        <v>116</v>
      </c>
      <c r="DB283" s="2784" t="s">
        <v>116</v>
      </c>
      <c r="DC283" s="2785">
        <f t="shared" si="594"/>
        <v>0.16654808201272175</v>
      </c>
      <c r="DD283" s="2785">
        <f t="shared" si="594"/>
        <v>-0.67501496266869099</v>
      </c>
      <c r="DE283" s="2785">
        <f t="shared" si="594"/>
        <v>-8.1030327096761168E-2</v>
      </c>
      <c r="DF283" s="2785" t="str">
        <f t="shared" si="594"/>
        <v>N/A</v>
      </c>
      <c r="DG283" s="2784">
        <f t="shared" si="594"/>
        <v>-0.8351723326760121</v>
      </c>
      <c r="DH283" s="2785">
        <f t="shared" si="594"/>
        <v>-2.5315143482654752</v>
      </c>
      <c r="DI283" s="2785">
        <f t="shared" si="594"/>
        <v>0.81312562489673379</v>
      </c>
      <c r="DJ283" s="2785">
        <f t="shared" si="594"/>
        <v>-0.82857712187940091</v>
      </c>
      <c r="DK283" s="2785">
        <f t="shared" si="594"/>
        <v>-0.63173174087687478</v>
      </c>
      <c r="DL283" s="2784">
        <f t="shared" si="594"/>
        <v>9.5293515786033622E-2</v>
      </c>
      <c r="DM283" s="2785">
        <f t="shared" si="595"/>
        <v>0.2775571442093695</v>
      </c>
      <c r="DN283" s="2785">
        <f t="shared" si="595"/>
        <v>-0.60232647688369556</v>
      </c>
      <c r="DO283" s="2785">
        <f t="shared" si="595"/>
        <v>-0.31840914345172155</v>
      </c>
      <c r="DP283" s="2785">
        <f t="shared" si="595"/>
        <v>-8.152457158371984E-3</v>
      </c>
      <c r="DQ283" s="2784">
        <f t="shared" si="595"/>
        <v>0.21905864838802103</v>
      </c>
      <c r="DR283" s="2785"/>
      <c r="DS283" s="2785"/>
      <c r="DT283" s="2785"/>
      <c r="DU283" s="2785"/>
      <c r="DV283" s="2784"/>
      <c r="DW283" s="2785"/>
      <c r="DX283" s="2785"/>
      <c r="DY283" s="2785"/>
      <c r="DZ283" s="2785"/>
      <c r="EA283" s="2784"/>
      <c r="EB283" s="2785"/>
      <c r="EC283" s="2785"/>
      <c r="ED283" s="2785"/>
      <c r="EE283" s="2785"/>
      <c r="EF283" s="2784"/>
      <c r="EG283" s="2785"/>
      <c r="EH283" s="2785"/>
      <c r="EI283" s="2785"/>
      <c r="EJ283" s="2785"/>
      <c r="EK283" s="2784"/>
      <c r="EL283" s="2785"/>
      <c r="EM283" s="2785"/>
      <c r="EN283" s="2785"/>
      <c r="EO283" s="2785"/>
      <c r="EP283" s="2784"/>
      <c r="EQ283" s="2785"/>
      <c r="ER283" s="2785"/>
      <c r="ES283" s="2785"/>
      <c r="ET283" s="2785"/>
      <c r="EU283" s="2784"/>
      <c r="EV283" s="2784"/>
      <c r="EW283" s="2784"/>
      <c r="EX283" s="2784"/>
      <c r="EY283" s="2784"/>
      <c r="EZ283" s="4263"/>
      <c r="FA283" s="4279"/>
      <c r="FB283" s="4279"/>
    </row>
    <row r="284" spans="1:158" s="627" customFormat="1" hidden="1">
      <c r="A284" s="3555" t="s">
        <v>450</v>
      </c>
      <c r="B284" s="3258"/>
      <c r="C284" s="3258"/>
      <c r="D284" s="3258"/>
      <c r="E284" s="3258"/>
      <c r="F284" s="3258"/>
      <c r="G284" s="3258"/>
      <c r="H284" s="3258"/>
      <c r="I284" s="3258"/>
      <c r="J284" s="3258"/>
      <c r="K284" s="3258"/>
      <c r="L284" s="3258"/>
      <c r="M284" s="3258"/>
      <c r="N284" s="3258"/>
      <c r="O284" s="3258"/>
      <c r="P284" s="3258"/>
      <c r="Q284" s="3258"/>
      <c r="R284" s="3258"/>
      <c r="S284" s="3258"/>
      <c r="T284" s="3258"/>
      <c r="U284" s="3258"/>
      <c r="V284" s="3258"/>
      <c r="W284" s="3258"/>
      <c r="X284" s="3258"/>
      <c r="Y284" s="3258"/>
      <c r="Z284" s="3258"/>
      <c r="AA284" s="3258"/>
      <c r="AB284" s="3258"/>
      <c r="AC284" s="3258"/>
      <c r="AD284" s="3258"/>
      <c r="AE284" s="3258"/>
      <c r="AF284" s="3258"/>
      <c r="AG284" s="3258"/>
      <c r="AH284" s="3258"/>
      <c r="AI284" s="3258"/>
      <c r="AJ284" s="3258"/>
      <c r="AK284" s="3258"/>
      <c r="AL284" s="3258"/>
      <c r="AM284" s="3258"/>
      <c r="AN284" s="3258"/>
      <c r="AO284" s="3258"/>
      <c r="AP284" s="3258"/>
      <c r="AQ284" s="3258"/>
      <c r="AR284" s="3258"/>
      <c r="AS284" s="3258"/>
      <c r="AT284" s="3258"/>
      <c r="AU284" s="3258"/>
      <c r="AV284" s="3258"/>
      <c r="AW284" s="3258"/>
      <c r="AX284" s="3258"/>
      <c r="AY284" s="3258"/>
      <c r="AZ284" s="3258"/>
      <c r="BA284" s="3258"/>
      <c r="BB284" s="3258"/>
      <c r="BC284" s="3258"/>
      <c r="BD284" s="3258"/>
      <c r="BE284" s="3258"/>
      <c r="BF284" s="3258"/>
      <c r="BG284" s="3258"/>
      <c r="BH284" s="3258"/>
      <c r="BI284" s="3258"/>
      <c r="BJ284" s="3258"/>
      <c r="BK284" s="3258"/>
      <c r="BL284" s="3258"/>
      <c r="BM284" s="3258"/>
      <c r="BN284" s="3258"/>
      <c r="BO284" s="3258"/>
      <c r="BP284" s="3258"/>
      <c r="BQ284" s="3258"/>
      <c r="BR284" s="3258"/>
      <c r="BS284" s="3258"/>
      <c r="BT284" s="3258"/>
      <c r="BU284" s="3258"/>
      <c r="BV284" s="3258"/>
      <c r="BW284" s="3258"/>
      <c r="BX284" s="3258"/>
      <c r="BY284" s="3258"/>
      <c r="BZ284" s="3258"/>
      <c r="CA284" s="3258"/>
      <c r="CB284" s="3258"/>
      <c r="CC284" s="3258"/>
      <c r="CD284" s="3258"/>
      <c r="CE284" s="3258"/>
      <c r="CF284" s="3258"/>
      <c r="CG284" s="3258"/>
      <c r="CH284" s="3277"/>
      <c r="CI284" s="3260"/>
      <c r="CJ284" s="3260"/>
      <c r="CK284" s="3260"/>
      <c r="CL284" s="3260"/>
      <c r="CM284" s="3278">
        <f>+IF(CM272&lt;0,IF(CH272&gt;0,"N/A",(-1)*(CM272/CH272-1)),IF(CH272&lt;0,"N/A",(CM272/CH272-1)))</f>
        <v>1.679144385026738</v>
      </c>
      <c r="CN284" s="3261" t="str">
        <f>+IFERROR(IF(CN272&lt;0,IF(CI272&gt;0,"N/A",(-1)*(CN272/CI272-1)),IF(CI272&lt;0,"N/A",(CN272/CI272-1))),"N/A")</f>
        <v>N/A</v>
      </c>
      <c r="CO284" s="3261" t="str">
        <f>+IFERROR(IF(CO272&lt;0,IF(CJ272&gt;0,"N/A",(-1)*(CO272/CJ272-1)),IF(CJ272&lt;0,"N/A",(CO272/CJ272-1))),"N/A")</f>
        <v>N/A</v>
      </c>
      <c r="CP284" s="3261" t="str">
        <f>+IFERROR(IF(CP272&lt;0,IF(CK272&gt;0,"N/A",(-1)*(CP272/CK272-1)),IF(CK272&lt;0,"N/A",(CP272/CK272-1))),"N/A")</f>
        <v>N/A</v>
      </c>
      <c r="CQ284" s="3261">
        <f>+IFERROR(IF(CQ272&lt;0,IF(CL272&gt;0,"N/A",(-1)*(CQ272/CL272-1)),IF(CL272&lt;0,"N/A",(CQ272/CL272-1))),"N/A")</f>
        <v>0.35915492957746475</v>
      </c>
      <c r="CR284" s="3278">
        <f t="shared" ref="CR284:CW284" si="596">+IF(CR272&lt;0,IF(CM272&gt;0,"N/A",(-1)*(CR272/CM272-1)),IF(CM272&lt;0,"N/A",(CR272/CM272-1)))</f>
        <v>0.70259481037924143</v>
      </c>
      <c r="CS284" s="3261">
        <f t="shared" si="596"/>
        <v>0.76433121019108285</v>
      </c>
      <c r="CT284" s="3261">
        <f t="shared" si="596"/>
        <v>0.2068965517241379</v>
      </c>
      <c r="CU284" s="3261">
        <f t="shared" si="596"/>
        <v>0.19557195571955721</v>
      </c>
      <c r="CV284" s="3261">
        <f t="shared" si="596"/>
        <v>1.6113989637305699</v>
      </c>
      <c r="CW284" s="3278">
        <f t="shared" si="596"/>
        <v>0.62368112543962484</v>
      </c>
      <c r="CX284" s="3261" t="s">
        <v>116</v>
      </c>
      <c r="CY284" s="3261" t="s">
        <v>116</v>
      </c>
      <c r="CZ284" s="3261" t="s">
        <v>116</v>
      </c>
      <c r="DA284" s="3261" t="s">
        <v>116</v>
      </c>
      <c r="DB284" s="3278" t="s">
        <v>116</v>
      </c>
      <c r="DC284" s="3261">
        <f t="shared" ref="DC284:DO284" si="597">+IF(DC272&lt;0,IF(CX272&gt;0,"N/A",(-1)*(DC272/CX272-1)),IF(CX272&lt;0,"N/A",(DC272/CX272-1)))</f>
        <v>-0.6706586826347305</v>
      </c>
      <c r="DD284" s="3261">
        <f t="shared" si="597"/>
        <v>-0.93243243243243246</v>
      </c>
      <c r="DE284" s="3261">
        <f t="shared" si="597"/>
        <v>-0.24657534246575341</v>
      </c>
      <c r="DF284" s="3261">
        <f t="shared" si="597"/>
        <v>-0.419047619047619</v>
      </c>
      <c r="DG284" s="3278">
        <f t="shared" si="597"/>
        <v>-0.63286004056795131</v>
      </c>
      <c r="DH284" s="3261">
        <f t="shared" si="597"/>
        <v>7.2727272727272751E-2</v>
      </c>
      <c r="DI284" s="3261">
        <f t="shared" si="597"/>
        <v>5.5</v>
      </c>
      <c r="DJ284" s="3261">
        <f t="shared" si="597"/>
        <v>0.29090909090909101</v>
      </c>
      <c r="DK284" s="3261">
        <f t="shared" si="597"/>
        <v>0.4098360655737705</v>
      </c>
      <c r="DL284" s="3278">
        <f t="shared" si="597"/>
        <v>0.55248618784530379</v>
      </c>
      <c r="DM284" s="3261">
        <f t="shared" si="597"/>
        <v>0.76271186440677963</v>
      </c>
      <c r="DN284" s="3261">
        <f t="shared" si="597"/>
        <v>0.47692307692307701</v>
      </c>
      <c r="DO284" s="3261">
        <f t="shared" si="597"/>
        <v>0.6901408450704225</v>
      </c>
      <c r="DP284" s="3281">
        <v>0.4</v>
      </c>
      <c r="DQ284" s="3278">
        <f>+IF(DQ272&lt;0,IF(DL272&gt;0,"N/A",(-1)*(DQ272/DL272-1)),IF(DL272&lt;0,"N/A",(DQ272/DL272-1)))</f>
        <v>0.56725978647686826</v>
      </c>
      <c r="DR284" s="3281"/>
      <c r="DS284" s="3281"/>
      <c r="DT284" s="3281"/>
      <c r="DU284" s="3281"/>
      <c r="DV284" s="3278"/>
      <c r="DW284" s="3281"/>
      <c r="DX284" s="3281"/>
      <c r="DY284" s="3281"/>
      <c r="DZ284" s="3281"/>
      <c r="EA284" s="3282"/>
      <c r="EB284" s="3281"/>
      <c r="EC284" s="3281"/>
      <c r="ED284" s="3281"/>
      <c r="EE284" s="3281"/>
      <c r="EF284" s="3282"/>
      <c r="EG284" s="3281"/>
      <c r="EH284" s="3281"/>
      <c r="EI284" s="3281"/>
      <c r="EJ284" s="3281"/>
      <c r="EK284" s="3282"/>
      <c r="EL284" s="3281"/>
      <c r="EM284" s="3281"/>
      <c r="EN284" s="3281"/>
      <c r="EO284" s="3281"/>
      <c r="EP284" s="3282"/>
      <c r="EQ284" s="3281"/>
      <c r="ER284" s="3281"/>
      <c r="ES284" s="3281"/>
      <c r="ET284" s="3281"/>
      <c r="EU284" s="3282"/>
      <c r="EV284" s="3282"/>
      <c r="EW284" s="3282"/>
      <c r="EX284" s="3282"/>
      <c r="EY284" s="3282"/>
      <c r="EZ284" s="768"/>
      <c r="FA284" s="1319"/>
      <c r="FB284" s="1319"/>
    </row>
    <row r="285" spans="1:158" s="627" customFormat="1" hidden="1">
      <c r="A285" s="3560"/>
      <c r="B285" s="157"/>
      <c r="C285" s="157"/>
      <c r="D285" s="157"/>
      <c r="E285" s="157"/>
      <c r="F285" s="157"/>
      <c r="G285" s="157"/>
      <c r="H285" s="157"/>
      <c r="I285" s="157"/>
      <c r="J285" s="157"/>
      <c r="K285" s="157"/>
      <c r="L285" s="157"/>
      <c r="M285" s="157"/>
      <c r="N285" s="157"/>
      <c r="O285" s="157"/>
      <c r="P285" s="157"/>
      <c r="Q285" s="157"/>
      <c r="R285" s="157"/>
      <c r="S285" s="157"/>
      <c r="T285" s="157"/>
      <c r="U285" s="157"/>
      <c r="V285" s="157"/>
      <c r="W285" s="157"/>
      <c r="X285" s="157"/>
      <c r="Y285" s="157"/>
      <c r="Z285" s="157"/>
      <c r="AA285" s="157"/>
      <c r="AB285" s="157"/>
      <c r="AC285" s="157"/>
      <c r="AD285" s="157"/>
      <c r="AE285" s="157"/>
      <c r="AF285" s="157"/>
      <c r="AG285" s="157"/>
      <c r="AH285" s="157"/>
      <c r="AI285" s="157"/>
      <c r="AJ285" s="157"/>
      <c r="AK285" s="157"/>
      <c r="AL285" s="157"/>
      <c r="AM285" s="157"/>
      <c r="AN285" s="157"/>
      <c r="AO285" s="157"/>
      <c r="AP285" s="157"/>
      <c r="AQ285" s="157"/>
      <c r="AR285" s="157"/>
      <c r="AS285" s="157"/>
      <c r="AT285" s="157"/>
      <c r="AU285" s="157"/>
      <c r="AV285" s="157"/>
      <c r="AW285" s="157"/>
      <c r="AX285" s="157"/>
      <c r="AY285" s="157"/>
      <c r="AZ285" s="157"/>
      <c r="BA285" s="157"/>
      <c r="BB285" s="157"/>
      <c r="BC285" s="157"/>
      <c r="BD285" s="157"/>
      <c r="BE285" s="157"/>
      <c r="BF285" s="157"/>
      <c r="BG285" s="157"/>
      <c r="BH285" s="157"/>
      <c r="BI285" s="157"/>
      <c r="BJ285" s="157"/>
      <c r="BK285" s="157"/>
      <c r="BL285" s="157"/>
      <c r="BM285" s="157"/>
      <c r="BN285" s="157"/>
      <c r="BO285" s="157"/>
      <c r="BP285" s="157"/>
      <c r="BQ285" s="157"/>
      <c r="BR285" s="157"/>
      <c r="BS285" s="157"/>
      <c r="BT285" s="157"/>
      <c r="BU285" s="157"/>
      <c r="BV285" s="157"/>
      <c r="BW285" s="157"/>
      <c r="BX285" s="157"/>
      <c r="BY285" s="157"/>
      <c r="BZ285" s="157"/>
      <c r="CA285" s="157"/>
      <c r="CB285" s="157"/>
      <c r="CC285" s="157"/>
      <c r="CD285" s="157"/>
      <c r="CE285" s="157"/>
      <c r="CF285" s="157"/>
      <c r="CG285" s="157"/>
      <c r="CH285" s="2779"/>
      <c r="CI285" s="2720"/>
      <c r="CJ285" s="2720"/>
      <c r="CK285" s="2720"/>
      <c r="CL285" s="2720"/>
      <c r="CM285" s="2780"/>
      <c r="CN285" s="2728"/>
      <c r="CO285" s="2728"/>
      <c r="CP285" s="2728"/>
      <c r="CQ285" s="2728"/>
      <c r="CR285" s="2780"/>
      <c r="CS285" s="2728"/>
      <c r="CT285" s="2728"/>
      <c r="CU285" s="2728"/>
      <c r="CV285" s="2728"/>
      <c r="CW285" s="2780"/>
      <c r="CX285" s="2728"/>
      <c r="CY285" s="2728"/>
      <c r="CZ285" s="2728"/>
      <c r="DA285" s="2728"/>
      <c r="DB285" s="2780"/>
      <c r="DC285" s="2728"/>
      <c r="DD285" s="2728"/>
      <c r="DE285" s="2728"/>
      <c r="DF285" s="2728"/>
      <c r="DG285" s="2780"/>
      <c r="DH285" s="2728"/>
      <c r="DI285" s="2728"/>
      <c r="DJ285" s="2728"/>
      <c r="DK285" s="2728"/>
      <c r="DL285" s="2780"/>
      <c r="DM285" s="2728"/>
      <c r="DN285" s="2728"/>
      <c r="DO285" s="2728"/>
      <c r="DP285" s="2728"/>
      <c r="DQ285" s="2780"/>
      <c r="DR285" s="2728"/>
      <c r="DS285" s="2728"/>
      <c r="DT285" s="2728"/>
      <c r="DU285" s="2728"/>
      <c r="DV285" s="2780"/>
      <c r="DW285" s="2728"/>
      <c r="DX285" s="2728"/>
      <c r="DY285" s="2728"/>
      <c r="DZ285" s="2728"/>
      <c r="EA285" s="2780"/>
      <c r="EB285" s="2728"/>
      <c r="EC285" s="2728"/>
      <c r="ED285" s="2728"/>
      <c r="EE285" s="2728"/>
      <c r="EF285" s="2780"/>
      <c r="EG285" s="2728"/>
      <c r="EH285" s="2728"/>
      <c r="EI285" s="2728"/>
      <c r="EJ285" s="2728"/>
      <c r="EK285" s="2780"/>
      <c r="EL285" s="2728"/>
      <c r="EM285" s="2728"/>
      <c r="EN285" s="2728"/>
      <c r="EO285" s="2728"/>
      <c r="EP285" s="2780"/>
      <c r="EQ285" s="2728"/>
      <c r="ER285" s="2728"/>
      <c r="ES285" s="2728"/>
      <c r="ET285" s="2728"/>
      <c r="EU285" s="2780"/>
      <c r="EV285" s="2780"/>
      <c r="EW285" s="2780"/>
      <c r="EX285" s="2780"/>
      <c r="EY285" s="2780"/>
      <c r="EZ285" s="768"/>
      <c r="FA285" s="1319"/>
      <c r="FB285" s="1319"/>
    </row>
    <row r="286" spans="1:158" s="766" customFormat="1" hidden="1">
      <c r="A286" s="3565" t="s">
        <v>465</v>
      </c>
      <c r="B286" s="2775"/>
      <c r="C286" s="2775"/>
      <c r="D286" s="2775"/>
      <c r="E286" s="2775"/>
      <c r="F286" s="2775"/>
      <c r="G286" s="2775"/>
      <c r="H286" s="2775"/>
      <c r="I286" s="2775"/>
      <c r="J286" s="2775"/>
      <c r="K286" s="2775"/>
      <c r="L286" s="2775"/>
      <c r="M286" s="2775"/>
      <c r="N286" s="2775"/>
      <c r="O286" s="2775"/>
      <c r="P286" s="2775"/>
      <c r="Q286" s="2775"/>
      <c r="R286" s="2775"/>
      <c r="S286" s="2775"/>
      <c r="T286" s="2775"/>
      <c r="U286" s="2775"/>
      <c r="V286" s="2775"/>
      <c r="W286" s="2775"/>
      <c r="X286" s="2775"/>
      <c r="Y286" s="2775"/>
      <c r="Z286" s="2775"/>
      <c r="AA286" s="2775"/>
      <c r="AB286" s="2775"/>
      <c r="AC286" s="2775"/>
      <c r="AD286" s="2775"/>
      <c r="AE286" s="2775"/>
      <c r="AF286" s="2775"/>
      <c r="AG286" s="2775"/>
      <c r="AH286" s="2775"/>
      <c r="AI286" s="2775"/>
      <c r="AJ286" s="2775"/>
      <c r="AK286" s="2775"/>
      <c r="AL286" s="2775"/>
      <c r="AM286" s="2775"/>
      <c r="AN286" s="2775"/>
      <c r="AO286" s="2775"/>
      <c r="AP286" s="2775"/>
      <c r="AQ286" s="2775"/>
      <c r="AR286" s="2775"/>
      <c r="AS286" s="2775"/>
      <c r="AT286" s="2775"/>
      <c r="AU286" s="2775"/>
      <c r="AV286" s="2775"/>
      <c r="AW286" s="2775"/>
      <c r="AX286" s="2775"/>
      <c r="AY286" s="2775"/>
      <c r="AZ286" s="2775"/>
      <c r="BA286" s="2775"/>
      <c r="BB286" s="2775"/>
      <c r="BC286" s="2775"/>
      <c r="BD286" s="2775"/>
      <c r="BE286" s="2775"/>
      <c r="BF286" s="2775"/>
      <c r="BG286" s="2775"/>
      <c r="BH286" s="2775"/>
      <c r="BI286" s="2775"/>
      <c r="BJ286" s="2775"/>
      <c r="BK286" s="2775"/>
      <c r="BL286" s="2775"/>
      <c r="BM286" s="2775"/>
      <c r="BN286" s="2775"/>
      <c r="BO286" s="2775"/>
      <c r="BP286" s="2775"/>
      <c r="BQ286" s="2775"/>
      <c r="BR286" s="2775"/>
      <c r="BS286" s="2775"/>
      <c r="BT286" s="2775"/>
      <c r="BU286" s="2775"/>
      <c r="BV286" s="2775"/>
      <c r="BW286" s="2775"/>
      <c r="BX286" s="2775"/>
      <c r="BY286" s="2775"/>
      <c r="BZ286" s="2775"/>
      <c r="CA286" s="2775"/>
      <c r="CB286" s="2775"/>
      <c r="CC286" s="2775"/>
      <c r="CD286" s="2775"/>
      <c r="CE286" s="2775"/>
      <c r="CF286" s="2775"/>
      <c r="CG286" s="2775"/>
      <c r="CH286" s="2786"/>
      <c r="CI286" s="2787"/>
      <c r="CJ286" s="2787"/>
      <c r="CK286" s="2787"/>
      <c r="CL286" s="2787"/>
      <c r="CM286" s="2786"/>
      <c r="CN286" s="2787"/>
      <c r="CO286" s="2787"/>
      <c r="CP286" s="2787"/>
      <c r="CQ286" s="2787"/>
      <c r="CR286" s="2786"/>
      <c r="CS286" s="2787"/>
      <c r="CT286" s="2787"/>
      <c r="CU286" s="2787"/>
      <c r="CV286" s="2787"/>
      <c r="CW286" s="2786"/>
      <c r="CX286" s="2787"/>
      <c r="CY286" s="2787"/>
      <c r="CZ286" s="2787"/>
      <c r="DA286" s="2787"/>
      <c r="DB286" s="2786"/>
      <c r="DC286" s="2787"/>
      <c r="DD286" s="2787"/>
      <c r="DE286" s="2787"/>
      <c r="DF286" s="2787"/>
      <c r="DG286" s="2786"/>
      <c r="DH286" s="2787"/>
      <c r="DI286" s="2787"/>
      <c r="DJ286" s="2787"/>
      <c r="DK286" s="2787"/>
      <c r="DL286" s="2786"/>
      <c r="DM286" s="2787"/>
      <c r="DN286" s="2787"/>
      <c r="DO286" s="2787"/>
      <c r="DP286" s="2787"/>
      <c r="DQ286" s="2786"/>
      <c r="DR286" s="2787"/>
      <c r="DS286" s="2787"/>
      <c r="DT286" s="2787"/>
      <c r="DU286" s="2787"/>
      <c r="DV286" s="2786"/>
      <c r="DW286" s="2787"/>
      <c r="DX286" s="2787"/>
      <c r="DY286" s="2787"/>
      <c r="DZ286" s="2787"/>
      <c r="EA286" s="2786"/>
      <c r="EB286" s="2787"/>
      <c r="EC286" s="2787"/>
      <c r="ED286" s="2787"/>
      <c r="EE286" s="2787"/>
      <c r="EF286" s="2786"/>
      <c r="EG286" s="2787"/>
      <c r="EH286" s="2787"/>
      <c r="EI286" s="2787"/>
      <c r="EJ286" s="2787"/>
      <c r="EK286" s="2786"/>
      <c r="EL286" s="2787"/>
      <c r="EM286" s="2787"/>
      <c r="EN286" s="2787"/>
      <c r="EO286" s="2787"/>
      <c r="EP286" s="2786"/>
      <c r="EQ286" s="2787"/>
      <c r="ER286" s="2787"/>
      <c r="ES286" s="2787"/>
      <c r="ET286" s="2787"/>
      <c r="EU286" s="2786"/>
      <c r="EV286" s="2786"/>
      <c r="EW286" s="2786"/>
      <c r="EX286" s="2786"/>
      <c r="EY286" s="2786"/>
      <c r="EZ286" s="767"/>
      <c r="FA286" s="4276"/>
      <c r="FB286" s="4276"/>
    </row>
    <row r="287" spans="1:158" s="766" customFormat="1" hidden="1">
      <c r="A287" s="3555" t="s">
        <v>446</v>
      </c>
      <c r="B287" s="3245"/>
      <c r="C287" s="3245"/>
      <c r="D287" s="3245"/>
      <c r="E287" s="3245"/>
      <c r="F287" s="3245"/>
      <c r="G287" s="3245"/>
      <c r="H287" s="3245"/>
      <c r="I287" s="3245"/>
      <c r="J287" s="3245"/>
      <c r="K287" s="3245"/>
      <c r="L287" s="3245"/>
      <c r="M287" s="3245"/>
      <c r="N287" s="3245"/>
      <c r="O287" s="3245"/>
      <c r="P287" s="3245"/>
      <c r="Q287" s="3245"/>
      <c r="R287" s="3245"/>
      <c r="S287" s="3245"/>
      <c r="T287" s="3245"/>
      <c r="U287" s="3245"/>
      <c r="V287" s="3245"/>
      <c r="W287" s="3245"/>
      <c r="X287" s="3245"/>
      <c r="Y287" s="3245"/>
      <c r="Z287" s="3245"/>
      <c r="AA287" s="3245"/>
      <c r="AB287" s="3245"/>
      <c r="AC287" s="3245"/>
      <c r="AD287" s="3245"/>
      <c r="AE287" s="3245"/>
      <c r="AF287" s="3245"/>
      <c r="AG287" s="3245"/>
      <c r="AH287" s="3245"/>
      <c r="AI287" s="3245"/>
      <c r="AJ287" s="3245"/>
      <c r="AK287" s="3245"/>
      <c r="AL287" s="3245"/>
      <c r="AM287" s="3245"/>
      <c r="AN287" s="3245"/>
      <c r="AO287" s="3245"/>
      <c r="AP287" s="3245"/>
      <c r="AQ287" s="3245"/>
      <c r="AR287" s="3245"/>
      <c r="AS287" s="3245"/>
      <c r="AT287" s="3245"/>
      <c r="AU287" s="3245"/>
      <c r="AV287" s="3245"/>
      <c r="AW287" s="3245"/>
      <c r="AX287" s="3245"/>
      <c r="AY287" s="3245"/>
      <c r="AZ287" s="3245"/>
      <c r="BA287" s="3245"/>
      <c r="BB287" s="3245"/>
      <c r="BC287" s="3245"/>
      <c r="BD287" s="3245"/>
      <c r="BE287" s="3245"/>
      <c r="BF287" s="3245"/>
      <c r="BG287" s="3245"/>
      <c r="BH287" s="3245"/>
      <c r="BI287" s="3245"/>
      <c r="BJ287" s="3245"/>
      <c r="BK287" s="3245"/>
      <c r="BL287" s="3245"/>
      <c r="BM287" s="3245"/>
      <c r="BN287" s="3245"/>
      <c r="BO287" s="3245"/>
      <c r="BP287" s="3245"/>
      <c r="BQ287" s="3245"/>
      <c r="BR287" s="3245"/>
      <c r="BS287" s="3245"/>
      <c r="BT287" s="3245"/>
      <c r="BU287" s="3245"/>
      <c r="BV287" s="3245"/>
      <c r="BW287" s="3245"/>
      <c r="BX287" s="3245"/>
      <c r="BY287" s="3245"/>
      <c r="BZ287" s="3245"/>
      <c r="CA287" s="3245"/>
      <c r="CB287" s="3245"/>
      <c r="CC287" s="3245"/>
      <c r="CD287" s="3245"/>
      <c r="CE287" s="3245"/>
      <c r="CF287" s="3245"/>
      <c r="CG287" s="3245"/>
      <c r="CH287" s="3279"/>
      <c r="CI287" s="3256"/>
      <c r="CJ287" s="3256"/>
      <c r="CK287" s="3256"/>
      <c r="CL287" s="3256"/>
      <c r="CM287" s="3279"/>
      <c r="CN287" s="3257">
        <f>+IF(CN261&lt;0,IF(CL261&gt;0,"N/A",(-1)*(CN261/CL261-1)),IF(CL261&lt;0,"N/A",(CN261/CL261-1)))</f>
        <v>-0.24528301886792447</v>
      </c>
      <c r="CO287" s="3257">
        <f>+IF(CO261&lt;0,IF(CN261&gt;0,"N/A",(-1)*(CO261/CN261-1)),IF(CN261&lt;0,"N/A",(CO261/CN261-1)))</f>
        <v>-7.4999999999999956E-2</v>
      </c>
      <c r="CP287" s="3257">
        <f>+IF(CP261&lt;0,IF(CO261&gt;0,"N/A",(-1)*(CP261/CO261-1)),IF(CO261&lt;0,"N/A",(CP261/CO261-1)))</f>
        <v>0.90540540540540548</v>
      </c>
      <c r="CQ287" s="3257">
        <f>+IF(CQ261&lt;0,IF(CP261&gt;0,"N/A",(-1)*(CQ261/CP261-1)),IF(CP261&lt;0,"N/A",(CQ261/CP261-1)))</f>
        <v>6.3829787234042534E-2</v>
      </c>
      <c r="CR287" s="3280"/>
      <c r="CS287" s="3257">
        <f>+IF(CS261&lt;0,IF(CQ261&gt;0,"N/A",(-1)*(CS261/CQ261-1)),IF(CQ261&lt;0,"N/A",(CS261/CQ261-1)))</f>
        <v>0.10000000000000009</v>
      </c>
      <c r="CT287" s="3257">
        <f>+IF(CT261&lt;0,IF(CS261&gt;0,"N/A",(-1)*(CT261/CS261-1)),IF(CS261&lt;0,"N/A",(CT261/CS261-1)))</f>
        <v>0.1212121212121211</v>
      </c>
      <c r="CU287" s="3257">
        <f>+IF(CU261&lt;0,IF(CT261&gt;0,"N/A",(-1)*(CU261/CT261-1)),IF(CT261&lt;0,"N/A",(CU261/CT261-1)))</f>
        <v>6.4864864864864868E-2</v>
      </c>
      <c r="CV287" s="3257">
        <f>+IF(CV261&lt;0,IF(CU261&gt;0,"N/A",(-1)*(CV261/CU261-1)),IF(CU261&lt;0,"N/A",(CV261/CU261-1)))</f>
        <v>0.32994923857868019</v>
      </c>
      <c r="CW287" s="3279"/>
      <c r="CX287" s="3257">
        <f>+IF(CX261&lt;0,IF(CV261&gt;0,"N/A",(-1)*(CX261/CV261-1)),IF(CV261&lt;0,"N/A",(CX261/CV261-1)))</f>
        <v>-0.49618320610687028</v>
      </c>
      <c r="CY287" s="3257">
        <f>+IF(CY261&lt;0,IF(CX261&gt;0,"N/A",(-1)*(CY261/CX261-1)),IF(CX261&lt;0,"N/A",(CY261/CX261-1)))</f>
        <v>-0.26515151515151514</v>
      </c>
      <c r="CZ287" s="3257">
        <f>+IF(CZ261&lt;0,IF(CY261&gt;0,"N/A",(-1)*(CZ261/CY261-1)),IF(CY261&lt;0,"N/A",(CZ261/CY261-1)))</f>
        <v>0.20618556701030921</v>
      </c>
      <c r="DA287" s="3257">
        <f>+IF(DA261&lt;0,IF(CZ261&gt;0,"N/A",(-1)*(DA261/CZ261-1)),IF(CZ261&lt;0,"N/A",(DA261/CZ261-1)))</f>
        <v>0.11965811965811968</v>
      </c>
      <c r="DB287" s="3279"/>
      <c r="DC287" s="3257">
        <f>+IF(DC261&lt;0,IF(DA261&gt;0,"N/A",(-1)*(DC261/DA261-1)),IF(DA261&lt;0,"N/A",(DC261/DA261-1)))</f>
        <v>0.14503816793893121</v>
      </c>
      <c r="DD287" s="3257">
        <f>+IF(DD261&lt;0,IF(DC261&gt;0,"N/A",(-1)*(DD261/DC261-1)),IF(DC261&lt;0,"N/A",(DD261/DC261-1)))</f>
        <v>-3.3333333333333326E-2</v>
      </c>
      <c r="DE287" s="3257">
        <f>+IF(DE261&lt;0,IF(DD261&gt;0,"N/A",(-1)*(DE261/DD261-1)),IF(DD261&lt;0,"N/A",(DE261/DD261-1)))</f>
        <v>6.8965517241379448E-3</v>
      </c>
      <c r="DF287" s="3257">
        <f>+IF(DF261&lt;0,IF(DE261&gt;0,"N/A",(-1)*(DF261/DE261-1)),IF(DE261&lt;0,"N/A",(DF261/DE261-1)))</f>
        <v>5.4794520547945202E-2</v>
      </c>
      <c r="DG287" s="3279"/>
      <c r="DH287" s="3257">
        <f>+IF(DH261&lt;0,IF(DF261&gt;0,"N/A",(-1)*(DH261/DF261-1)),IF(DF261&lt;0,"N/A",(DH261/DF261-1)))</f>
        <v>0.10389610389610393</v>
      </c>
      <c r="DI287" s="3257">
        <f>+IF(DI261&lt;0,IF(DH261&gt;0,"N/A",(-1)*(DI261/DH261-1)),IF(DH261&lt;0,"N/A",(DI261/DH261-1)))</f>
        <v>-4.705882352941182E-2</v>
      </c>
      <c r="DJ287" s="3257">
        <f>+IF(DJ261&lt;0,IF(DI261&gt;0,"N/A",(-1)*(DJ261/DI261-1)),IF(DI261&lt;0,"N/A",(DJ261/DI261-1)))</f>
        <v>-4.3209876543209846E-2</v>
      </c>
      <c r="DK287" s="3257">
        <f>+IF(DK261&lt;0,IF(DJ261&gt;0,"N/A",(-1)*(DK261/DJ261-1)),IF(DJ261&lt;0,"N/A",(DK261/DJ261-1)))</f>
        <v>0.10967741935483866</v>
      </c>
      <c r="DL287" s="3279"/>
      <c r="DM287" s="3257">
        <f>+IF(DM261&lt;0,IF(DK261&gt;0,"N/A",(-1)*(DM261/DK261-1)),IF(DK261&lt;0,"N/A",(DM261/DK261-1)))</f>
        <v>-0.21511627906976749</v>
      </c>
      <c r="DN287" s="3257">
        <f>+IF(DN261&lt;0,IF(DM261&gt;0,"N/A",(-1)*(DN261/DM261-1)),IF(DM261&lt;0,"N/A",(DN261/DM261-1)))</f>
        <v>9.6296296296296324E-2</v>
      </c>
      <c r="DO287" s="3257">
        <f>+IF(DO261&lt;0,IF(DN261&gt;0,"N/A",(-1)*(DO261/DN261-1)),IF(DN261&lt;0,"N/A",(DO261/DN261-1)))</f>
        <v>0.20270270270270263</v>
      </c>
      <c r="DP287" s="3257">
        <f>+IF(DP261&lt;0,IF(DO261&gt;0,"N/A",(-1)*(DP261/DO261-1)),IF(DO261&lt;0,"N/A",(DP261/DO261-1)))</f>
        <v>0.101123595505618</v>
      </c>
      <c r="DQ287" s="3279"/>
      <c r="DR287" s="3257"/>
      <c r="DS287" s="3257"/>
      <c r="DT287" s="3257"/>
      <c r="DU287" s="3257"/>
      <c r="DV287" s="3279"/>
      <c r="DW287" s="3257"/>
      <c r="DX287" s="3257"/>
      <c r="DY287" s="3257"/>
      <c r="DZ287" s="3257"/>
      <c r="EA287" s="3279"/>
      <c r="EB287" s="3257"/>
      <c r="EC287" s="3257"/>
      <c r="ED287" s="3257"/>
      <c r="EE287" s="3257"/>
      <c r="EF287" s="3279"/>
      <c r="EG287" s="3257"/>
      <c r="EH287" s="3257"/>
      <c r="EI287" s="3257"/>
      <c r="EJ287" s="3257"/>
      <c r="EK287" s="3279"/>
      <c r="EL287" s="3257"/>
      <c r="EM287" s="3257"/>
      <c r="EN287" s="3257"/>
      <c r="EO287" s="3257"/>
      <c r="EP287" s="3279"/>
      <c r="EQ287" s="3257"/>
      <c r="ER287" s="3257"/>
      <c r="ES287" s="3257"/>
      <c r="ET287" s="3257"/>
      <c r="EU287" s="3279"/>
      <c r="EV287" s="3279"/>
      <c r="EW287" s="3279"/>
      <c r="EX287" s="3279"/>
      <c r="EY287" s="3279"/>
      <c r="EZ287" s="767"/>
      <c r="FA287" s="4276"/>
      <c r="FB287" s="4276"/>
    </row>
    <row r="288" spans="1:158" s="767" customFormat="1" hidden="1">
      <c r="A288" s="3552" t="str">
        <f>A277</f>
        <v>Other Bets Costs &amp; Opex excl. SBC, D&amp;A, &amp; Impairment</v>
      </c>
      <c r="B288" s="404"/>
      <c r="C288" s="404"/>
      <c r="D288" s="404"/>
      <c r="E288" s="404"/>
      <c r="F288" s="404"/>
      <c r="G288" s="404"/>
      <c r="H288" s="404"/>
      <c r="I288" s="404"/>
      <c r="J288" s="404"/>
      <c r="K288" s="404"/>
      <c r="L288" s="404"/>
      <c r="M288" s="404"/>
      <c r="N288" s="404"/>
      <c r="O288" s="404"/>
      <c r="P288" s="404"/>
      <c r="Q288" s="404"/>
      <c r="R288" s="404"/>
      <c r="S288" s="404"/>
      <c r="T288" s="404"/>
      <c r="U288" s="404"/>
      <c r="V288" s="404"/>
      <c r="W288" s="404"/>
      <c r="X288" s="404"/>
      <c r="Y288" s="404"/>
      <c r="Z288" s="404"/>
      <c r="AA288" s="404"/>
      <c r="AB288" s="404"/>
      <c r="AC288" s="404"/>
      <c r="AD288" s="404"/>
      <c r="AE288" s="404"/>
      <c r="AF288" s="404"/>
      <c r="AG288" s="404"/>
      <c r="AH288" s="404"/>
      <c r="AI288" s="404"/>
      <c r="AJ288" s="404"/>
      <c r="AK288" s="404"/>
      <c r="AL288" s="404"/>
      <c r="AM288" s="404"/>
      <c r="AN288" s="404"/>
      <c r="AO288" s="404"/>
      <c r="AP288" s="404"/>
      <c r="AQ288" s="404"/>
      <c r="AR288" s="404"/>
      <c r="AS288" s="404"/>
      <c r="AT288" s="404"/>
      <c r="AU288" s="404"/>
      <c r="AV288" s="404"/>
      <c r="AW288" s="404"/>
      <c r="AX288" s="404"/>
      <c r="AY288" s="404"/>
      <c r="AZ288" s="404"/>
      <c r="BA288" s="404"/>
      <c r="BB288" s="404"/>
      <c r="BC288" s="404"/>
      <c r="BD288" s="404"/>
      <c r="BE288" s="404"/>
      <c r="BF288" s="404"/>
      <c r="BG288" s="404"/>
      <c r="BH288" s="404"/>
      <c r="BI288" s="404"/>
      <c r="BJ288" s="404"/>
      <c r="BK288" s="404"/>
      <c r="BL288" s="404"/>
      <c r="BM288" s="404"/>
      <c r="BN288" s="404"/>
      <c r="BO288" s="404"/>
      <c r="BP288" s="404"/>
      <c r="BQ288" s="404"/>
      <c r="BR288" s="404"/>
      <c r="BS288" s="404"/>
      <c r="BT288" s="404"/>
      <c r="BU288" s="404"/>
      <c r="BV288" s="404"/>
      <c r="BW288" s="404"/>
      <c r="BX288" s="404"/>
      <c r="BY288" s="404"/>
      <c r="BZ288" s="404"/>
      <c r="CA288" s="404"/>
      <c r="CB288" s="404"/>
      <c r="CC288" s="404"/>
      <c r="CD288" s="404"/>
      <c r="CE288" s="404"/>
      <c r="CF288" s="404"/>
      <c r="CG288" s="404"/>
      <c r="CH288" s="2777"/>
      <c r="CI288" s="2778"/>
      <c r="CJ288" s="2778"/>
      <c r="CK288" s="2778"/>
      <c r="CL288" s="2778"/>
      <c r="CM288" s="2777"/>
      <c r="CN288" s="2643">
        <f>+IF(CN263&lt;0,IF(CL263&gt;0,"N/A",(-1)*(CN263/CL263-1)),IF(CL263&lt;0,"N/A",(CN263/CL263-1)))</f>
        <v>-5.4421768707482943E-2</v>
      </c>
      <c r="CO288" s="2643">
        <f>+IF(CO263&lt;0,IF(CN263&gt;0,"N/A",(-1)*(CO263/CN263-1)),IF(CN263&lt;0,"N/A",(CO263/CN263-1)))</f>
        <v>5.0359712230215736E-2</v>
      </c>
      <c r="CP288" s="2643">
        <f>+IF(CP263&lt;0,IF(CO263&gt;0,"N/A",(-1)*(CP263/CO263-1)),IF(CO263&lt;0,"N/A",(CP263/CO263-1)))</f>
        <v>0.61815068493150682</v>
      </c>
      <c r="CQ288" s="2643">
        <f>+IF(CQ263&lt;0,IF(CP263&gt;0,"N/A",(-1)*(CQ263/CP263-1)),IF(CP263&lt;0,"N/A",(CQ263/CP263-1)))</f>
        <v>0.22962962962962963</v>
      </c>
      <c r="CR288" s="1780"/>
      <c r="CS288" s="2643">
        <f>+IF(CS263&lt;0,IF(CQ263&gt;0,"N/A",(-1)*(CS263/CQ263-1)),IF(CQ263&lt;0,"N/A",(CS263/CQ263-1)))</f>
        <v>-0.3571428571428571</v>
      </c>
      <c r="CT288" s="2643">
        <f>+IF(CT263&lt;0,IF(CS263&gt;0,"N/A",(-1)*(CT263/CS263-1)),IF(CS263&lt;0,"N/A",(CT263/CS263-1)))</f>
        <v>8.43373493975903E-2</v>
      </c>
      <c r="CU288" s="2643">
        <f>+IF(CU263&lt;0,IF(CT263&gt;0,"N/A",(-1)*(CU263/CT263-1)),IF(CT263&lt;0,"N/A",(CU263/CT263-1)))</f>
        <v>-6.7901234567901203E-2</v>
      </c>
      <c r="CV288" s="2643">
        <f>+IF(CV263&lt;0,IF(CU263&gt;0,"N/A",(-1)*(CV263/CU263-1)),IF(CU263&lt;0,"N/A",(CV263/CU263-1)))</f>
        <v>0.44105960264900657</v>
      </c>
      <c r="CW288" s="2777"/>
      <c r="CX288" s="2643">
        <f>+IF(CX263&lt;0,IF(CV263&gt;0,"N/A",(-1)*(CX263/CV263-1)),IF(CV263&lt;0,"N/A",(CX263/CV263-1)))</f>
        <v>-0.39154411764705888</v>
      </c>
      <c r="CY288" s="2643">
        <f>+IF(CY263&lt;0,IF(CX263&gt;0,"N/A",(-1)*(CY263/CX263-1)),IF(CX263&lt;0,"N/A",(CY263/CX263-1)))</f>
        <v>-0.11178247734138969</v>
      </c>
      <c r="CZ288" s="2643">
        <f>+IF(CZ263&lt;0,IF(CY263&gt;0,"N/A",(-1)*(CZ263/CY263-1)),IF(CY263&lt;0,"N/A",(CZ263/CY263-1)))</f>
        <v>2.8911564625850428E-2</v>
      </c>
      <c r="DA288" s="2643">
        <f>+IF(DA263&lt;0,IF(CZ263&gt;0,"N/A",(-1)*(DA263/CZ263-1)),IF(CZ263&lt;0,"N/A",(DA263/CZ263-1)))</f>
        <v>0.13388429752066111</v>
      </c>
      <c r="DB288" s="2777"/>
      <c r="DC288" s="2643">
        <f>+IF(DC263&lt;0,IF(DA263&gt;0,"N/A",(-1)*(DC263/DA263-1)),IF(DA263&lt;0,"N/A",(DC263/DA263-1)))</f>
        <v>-0.23615160349854225</v>
      </c>
      <c r="DD288" s="2643">
        <f>+IF(DD263&lt;0,IF(DC263&gt;0,"N/A",(-1)*(DD263/DC263-1)),IF(DC263&lt;0,"N/A",(DD263/DC263-1)))</f>
        <v>0.27290076335877855</v>
      </c>
      <c r="DE288" s="2643">
        <f>+IF(DE263&lt;0,IF(DD263&gt;0,"N/A",(-1)*(DE263/DD263-1)),IF(DD263&lt;0,"N/A",(DE263/DD263-1)))</f>
        <v>4.4977511244377322E-3</v>
      </c>
      <c r="DF288" s="2643">
        <f>+IF(DF263&lt;0,IF(DE263&gt;0,"N/A",(-1)*(DF263/DE263-1)),IF(DE263&lt;0,"N/A",(DF263/DE263-1)))</f>
        <v>0.90447761194029841</v>
      </c>
      <c r="DG288" s="2777"/>
      <c r="DH288" s="2643">
        <f>+IF(DH263&lt;0,IF(DF263&gt;0,"N/A",(-1)*(DH263/DF263-1)),IF(DF263&lt;0,"N/A",(DH263/DF263-1)))</f>
        <v>-0.34874608150470221</v>
      </c>
      <c r="DI288" s="2643">
        <f>+IF(DI263&lt;0,IF(DH263&gt;0,"N/A",(-1)*(DI263/DH263-1)),IF(DH263&lt;0,"N/A",(DI263/DH263-1)))</f>
        <v>0.13959085439229835</v>
      </c>
      <c r="DJ288" s="2643">
        <f>+IF(DJ263&lt;0,IF(DI263&gt;0,"N/A",(-1)*(DJ263/DI263-1)),IF(DI263&lt;0,"N/A",(DJ263/DI263-1)))</f>
        <v>-5.3854276663146794E-2</v>
      </c>
      <c r="DK288" s="2643">
        <f>+IF(DK263&lt;0,IF(DJ263&gt;0,"N/A",(-1)*(DK263/DJ263-1)),IF(DJ263&lt;0,"N/A",(DK263/DJ263-1)))</f>
        <v>0.97433035714285721</v>
      </c>
      <c r="DL288" s="2777"/>
      <c r="DM288" s="2643">
        <f>+IF(DM263&lt;0,IF(DK263&gt;0,"N/A",(-1)*(DM263/DK263-1)),IF(DK263&lt;0,"N/A",(DM263/DK263-1)))</f>
        <v>-0.41831543244771052</v>
      </c>
      <c r="DN288" s="2643">
        <f>+IF(DN263&lt;0,IF(DM263&gt;0,"N/A",(-1)*(DN263/DM263-1)),IF(DM263&lt;0,"N/A",(DN263/DM263-1)))</f>
        <v>4.8590864917394949E-3</v>
      </c>
      <c r="DO288" s="2643">
        <f>+IF(DO263&lt;0,IF(DN263&gt;0,"N/A",(-1)*(DO263/DN263-1)),IF(DN263&lt;0,"N/A",(DO263/DN263-1)))</f>
        <v>2.1276595744680771E-2</v>
      </c>
      <c r="DP288" s="2643">
        <f>+IF(DP263&lt;0,IF(DO263&gt;0,"N/A",(-1)*(DP263/DO263-1)),IF(DO263&lt;0,"N/A",(DP263/DO263-1)))</f>
        <v>4.6058290772897692E-2</v>
      </c>
      <c r="DQ288" s="2777"/>
      <c r="DR288" s="2643"/>
      <c r="DS288" s="2643"/>
      <c r="DT288" s="2643"/>
      <c r="DU288" s="2643"/>
      <c r="DV288" s="2777"/>
      <c r="DW288" s="2643"/>
      <c r="DX288" s="2643"/>
      <c r="DY288" s="2643"/>
      <c r="DZ288" s="2643"/>
      <c r="EA288" s="2777"/>
      <c r="EB288" s="2643"/>
      <c r="EC288" s="2643"/>
      <c r="ED288" s="2643"/>
      <c r="EE288" s="2643"/>
      <c r="EF288" s="2777"/>
      <c r="EG288" s="2643"/>
      <c r="EH288" s="2643"/>
      <c r="EI288" s="2643"/>
      <c r="EJ288" s="2643"/>
      <c r="EK288" s="2777"/>
      <c r="EL288" s="2643"/>
      <c r="EM288" s="2643"/>
      <c r="EN288" s="2643"/>
      <c r="EO288" s="2643"/>
      <c r="EP288" s="2777"/>
      <c r="EQ288" s="2643"/>
      <c r="ER288" s="2643"/>
      <c r="ES288" s="2643"/>
      <c r="ET288" s="2643"/>
      <c r="EU288" s="2777"/>
      <c r="EV288" s="2777"/>
      <c r="EW288" s="2777"/>
      <c r="EX288" s="2777"/>
      <c r="EY288" s="2777"/>
      <c r="FA288" s="4276"/>
      <c r="FB288" s="4276"/>
    </row>
    <row r="289" spans="1:158" s="767" customFormat="1" hidden="1">
      <c r="A289" s="3552" t="s">
        <v>448</v>
      </c>
      <c r="B289" s="404"/>
      <c r="C289" s="404"/>
      <c r="D289" s="404"/>
      <c r="E289" s="404"/>
      <c r="F289" s="404"/>
      <c r="G289" s="404"/>
      <c r="H289" s="404"/>
      <c r="I289" s="404"/>
      <c r="J289" s="404"/>
      <c r="K289" s="404"/>
      <c r="L289" s="404"/>
      <c r="M289" s="404"/>
      <c r="N289" s="404"/>
      <c r="O289" s="404"/>
      <c r="P289" s="404"/>
      <c r="Q289" s="404"/>
      <c r="R289" s="404"/>
      <c r="S289" s="404"/>
      <c r="T289" s="404"/>
      <c r="U289" s="404"/>
      <c r="V289" s="404"/>
      <c r="W289" s="404"/>
      <c r="X289" s="404"/>
      <c r="Y289" s="404"/>
      <c r="Z289" s="404"/>
      <c r="AA289" s="404"/>
      <c r="AB289" s="404"/>
      <c r="AC289" s="404"/>
      <c r="AD289" s="404"/>
      <c r="AE289" s="404"/>
      <c r="AF289" s="404"/>
      <c r="AG289" s="404"/>
      <c r="AH289" s="404"/>
      <c r="AI289" s="404"/>
      <c r="AJ289" s="404"/>
      <c r="AK289" s="404"/>
      <c r="AL289" s="404"/>
      <c r="AM289" s="404"/>
      <c r="AN289" s="404"/>
      <c r="AO289" s="404"/>
      <c r="AP289" s="404"/>
      <c r="AQ289" s="404"/>
      <c r="AR289" s="404"/>
      <c r="AS289" s="404"/>
      <c r="AT289" s="404"/>
      <c r="AU289" s="404"/>
      <c r="AV289" s="404"/>
      <c r="AW289" s="404"/>
      <c r="AX289" s="404"/>
      <c r="AY289" s="404"/>
      <c r="AZ289" s="404"/>
      <c r="BA289" s="404"/>
      <c r="BB289" s="404"/>
      <c r="BC289" s="404"/>
      <c r="BD289" s="404"/>
      <c r="BE289" s="404"/>
      <c r="BF289" s="404"/>
      <c r="BG289" s="404"/>
      <c r="BH289" s="404"/>
      <c r="BI289" s="404"/>
      <c r="BJ289" s="404"/>
      <c r="BK289" s="404"/>
      <c r="BL289" s="404"/>
      <c r="BM289" s="404"/>
      <c r="BN289" s="404"/>
      <c r="BO289" s="404"/>
      <c r="BP289" s="404"/>
      <c r="BQ289" s="404"/>
      <c r="BR289" s="404"/>
      <c r="BS289" s="404"/>
      <c r="BT289" s="404"/>
      <c r="BU289" s="404"/>
      <c r="BV289" s="404"/>
      <c r="BW289" s="404"/>
      <c r="BX289" s="404"/>
      <c r="BY289" s="404"/>
      <c r="BZ289" s="404"/>
      <c r="CA289" s="404"/>
      <c r="CB289" s="404"/>
      <c r="CC289" s="404"/>
      <c r="CD289" s="404"/>
      <c r="CE289" s="404"/>
      <c r="CF289" s="404"/>
      <c r="CG289" s="404"/>
      <c r="CH289" s="2777"/>
      <c r="CI289" s="2778"/>
      <c r="CJ289" s="2778"/>
      <c r="CK289" s="2778"/>
      <c r="CL289" s="2778"/>
      <c r="CM289" s="2777"/>
      <c r="CN289" s="2643">
        <f>+IF(CN265&lt;0,IF(CL265&gt;0,"N/A",(-1)*(CN265/CL265-1)),IF(CL265&lt;0,"N/A",(CN265/CL265-1)))</f>
        <v>0.15841584158415833</v>
      </c>
      <c r="CO289" s="2643">
        <f>+IF(CO265&lt;0,IF(CN265&gt;0,"N/A",(-1)*(CO265/CN265-1)),IF(CN265&lt;0,"N/A",(CO265/CN265-1)))</f>
        <v>-0.10256410256410253</v>
      </c>
      <c r="CP289" s="2643">
        <f>+IF(CP265&lt;0,IF(CO265&gt;0,"N/A",(-1)*(CP265/CO265-1)),IF(CO265&lt;0,"N/A",(CP265/CO265-1)))</f>
        <v>0.21904761904761916</v>
      </c>
      <c r="CQ289" s="2643">
        <f>+IF(CQ265&lt;0,IF(CP265&gt;0,"N/A",(-1)*(CQ265/CP265-1)),IF(CP265&lt;0,"N/A",(CQ265/CP265-1)))</f>
        <v>2.34375E-2</v>
      </c>
      <c r="CR289" s="1780"/>
      <c r="CS289" s="2643">
        <f>+IF(CS265&lt;0,IF(CQ265&gt;0,"N/A",(-1)*(CS265/CQ265-1)),IF(CQ265&lt;0,"N/A",(CS265/CQ265-1)))</f>
        <v>5.3435114503816772E-2</v>
      </c>
      <c r="CT289" s="2643">
        <f>+IF(CT265&lt;0,IF(CS265&gt;0,"N/A",(-1)*(CT265/CS265-1)),IF(CS265&lt;0,"N/A",(CT265/CS265-1)))</f>
        <v>7.9710144927536142E-2</v>
      </c>
      <c r="CU289" s="2643">
        <f>+IF(CU265&lt;0,IF(CT265&gt;0,"N/A",(-1)*(CU265/CT265-1)),IF(CT265&lt;0,"N/A",(CU265/CT265-1)))</f>
        <v>0.33557046979865768</v>
      </c>
      <c r="CV289" s="2643">
        <f>+IF(CV265&lt;0,IF(CU265&gt;0,"N/A",(-1)*(CV265/CU265-1)),IF(CU265&lt;0,"N/A",(CV265/CU265-1)))</f>
        <v>-0.19095477386934678</v>
      </c>
      <c r="CW289" s="2777"/>
      <c r="CX289" s="2643">
        <f>+IF(CX265&lt;0,IF(CV265&gt;0,"N/A",(-1)*(CX265/CV265-1)),IF(CV265&lt;0,"N/A",(CX265/CV265-1)))</f>
        <v>-0.46583850931677018</v>
      </c>
      <c r="CY289" s="2643">
        <f>+IF(CY265&lt;0,IF(CX265&gt;0,"N/A",(-1)*(CY265/CX265-1)),IF(CX265&lt;0,"N/A",(CY265/CX265-1)))</f>
        <v>-5.8139534883720922E-2</v>
      </c>
      <c r="CZ289" s="2643">
        <f>+IF(CZ265&lt;0,IF(CY265&gt;0,"N/A",(-1)*(CZ265/CY265-1)),IF(CY265&lt;0,"N/A",(CZ265/CY265-1)))</f>
        <v>0.16049382716049387</v>
      </c>
      <c r="DA289" s="2643">
        <f>+IF(DA265&lt;0,IF(CZ265&gt;0,"N/A",(-1)*(DA265/CZ265-1)),IF(CZ265&lt;0,"N/A",(DA265/CZ265-1)))</f>
        <v>8.5106382978723305E-2</v>
      </c>
      <c r="DB289" s="2777"/>
      <c r="DC289" s="2643">
        <f>+IF(DC265&lt;0,IF(DA265&gt;0,"N/A",(-1)*(DC265/DA265-1)),IF(DA265&lt;0,"N/A",(DC265/DA265-1)))</f>
        <v>9.8039215686274606E-2</v>
      </c>
      <c r="DD289" s="2643">
        <f>+IF(DD265&lt;0,IF(DC265&gt;0,"N/A",(-1)*(DD265/DC265-1)),IF(DC265&lt;0,"N/A",(DD265/DC265-1)))</f>
        <v>0.1339285714285714</v>
      </c>
      <c r="DE289" s="2643">
        <f>+IF(DE265&lt;0,IF(DD265&gt;0,"N/A",(-1)*(DE265/DD265-1)),IF(DD265&lt;0,"N/A",(DE265/DD265-1)))</f>
        <v>-1.5748031496062964E-2</v>
      </c>
      <c r="DF289" s="2643">
        <f>+IF(DF265&lt;0,IF(DE265&gt;0,"N/A",(-1)*(DF265/DE265-1)),IF(DE265&lt;0,"N/A",(DF265/DE265-1)))</f>
        <v>0</v>
      </c>
      <c r="DG289" s="2777"/>
      <c r="DH289" s="2643">
        <f>+IF(DH265&lt;0,IF(DF265&gt;0,"N/A",(-1)*(DH265/DF265-1)),IF(DF265&lt;0,"N/A",(DH265/DF265-1)))</f>
        <v>-1.6000000000000014E-2</v>
      </c>
      <c r="DI289" s="2643">
        <f>+IF(DI265&lt;0,IF(DH265&gt;0,"N/A",(-1)*(DI265/DH265-1)),IF(DH265&lt;0,"N/A",(DI265/DH265-1)))</f>
        <v>1.6260162601626105E-2</v>
      </c>
      <c r="DJ289" s="2643">
        <f>+IF(DJ265&lt;0,IF(DI265&gt;0,"N/A",(-1)*(DJ265/DI265-1)),IF(DI265&lt;0,"N/A",(DJ265/DI265-1)))</f>
        <v>-6.3999999999999946E-2</v>
      </c>
      <c r="DK289" s="2643">
        <f>+IF(DK265&lt;0,IF(DJ265&gt;0,"N/A",(-1)*(DK265/DJ265-1)),IF(DJ265&lt;0,"N/A",(DK265/DJ265-1)))</f>
        <v>-6.8376068376068355E-2</v>
      </c>
      <c r="DL289" s="2777"/>
      <c r="DM289" s="2643">
        <f>+IF(DM265&lt;0,IF(DK265&gt;0,"N/A",(-1)*(DM265/DK265-1)),IF(DK265&lt;0,"N/A",(DM265/DK265-1)))</f>
        <v>0.23853211009174302</v>
      </c>
      <c r="DN289" s="2643">
        <f>+IF(DN265&lt;0,IF(DM265&gt;0,"N/A",(-1)*(DN265/DM265-1)),IF(DM265&lt;0,"N/A",(DN265/DM265-1)))</f>
        <v>7.4074074074073071E-3</v>
      </c>
      <c r="DO289" s="2643">
        <f>+IF(DO265&lt;0,IF(DN265&gt;0,"N/A",(-1)*(DO265/DN265-1)),IF(DN265&lt;0,"N/A",(DO265/DN265-1)))</f>
        <v>-4.4117647058823484E-2</v>
      </c>
      <c r="DP289" s="2643">
        <f>+IF(DP265&lt;0,IF(DO265&gt;0,"N/A",(-1)*(DP265/DO265-1)),IF(DO265&lt;0,"N/A",(DP265/DO265-1)))</f>
        <v>1.0911114952462553E-2</v>
      </c>
      <c r="DQ289" s="2777"/>
      <c r="DR289" s="2643"/>
      <c r="DS289" s="2643"/>
      <c r="DT289" s="2643"/>
      <c r="DU289" s="2643"/>
      <c r="DV289" s="2777"/>
      <c r="DW289" s="2643"/>
      <c r="DX289" s="2643"/>
      <c r="DY289" s="2643"/>
      <c r="DZ289" s="2643"/>
      <c r="EA289" s="2777"/>
      <c r="EB289" s="2643"/>
      <c r="EC289" s="2643"/>
      <c r="ED289" s="2643"/>
      <c r="EE289" s="2643"/>
      <c r="EF289" s="2777"/>
      <c r="EG289" s="2643"/>
      <c r="EH289" s="2643"/>
      <c r="EI289" s="2643"/>
      <c r="EJ289" s="2643"/>
      <c r="EK289" s="2777"/>
      <c r="EL289" s="2643"/>
      <c r="EM289" s="2643"/>
      <c r="EN289" s="2643"/>
      <c r="EO289" s="2643"/>
      <c r="EP289" s="2777"/>
      <c r="EQ289" s="2643"/>
      <c r="ER289" s="2643"/>
      <c r="ES289" s="2643"/>
      <c r="ET289" s="2643"/>
      <c r="EU289" s="2777"/>
      <c r="EV289" s="2777"/>
      <c r="EW289" s="2777"/>
      <c r="EX289" s="2777"/>
      <c r="EY289" s="2777"/>
      <c r="FA289" s="4276"/>
      <c r="FB289" s="4276"/>
    </row>
    <row r="290" spans="1:158" s="767" customFormat="1" hidden="1">
      <c r="A290" s="3567" t="s">
        <v>449</v>
      </c>
      <c r="B290" s="404"/>
      <c r="C290" s="404"/>
      <c r="D290" s="404"/>
      <c r="E290" s="404"/>
      <c r="F290" s="404"/>
      <c r="G290" s="404"/>
      <c r="H290" s="404"/>
      <c r="I290" s="404"/>
      <c r="J290" s="404"/>
      <c r="K290" s="404"/>
      <c r="L290" s="404"/>
      <c r="M290" s="404"/>
      <c r="N290" s="404"/>
      <c r="O290" s="404"/>
      <c r="P290" s="404"/>
      <c r="Q290" s="404"/>
      <c r="R290" s="404"/>
      <c r="S290" s="404"/>
      <c r="T290" s="404"/>
      <c r="U290" s="404"/>
      <c r="V290" s="404"/>
      <c r="W290" s="404"/>
      <c r="X290" s="404"/>
      <c r="Y290" s="404"/>
      <c r="Z290" s="404"/>
      <c r="AA290" s="404"/>
      <c r="AB290" s="404"/>
      <c r="AC290" s="404"/>
      <c r="AD290" s="404"/>
      <c r="AE290" s="404"/>
      <c r="AF290" s="404"/>
      <c r="AG290" s="404"/>
      <c r="AH290" s="404"/>
      <c r="AI290" s="404"/>
      <c r="AJ290" s="404"/>
      <c r="AK290" s="404"/>
      <c r="AL290" s="404"/>
      <c r="AM290" s="404"/>
      <c r="AN290" s="404"/>
      <c r="AO290" s="404"/>
      <c r="AP290" s="404"/>
      <c r="AQ290" s="404"/>
      <c r="AR290" s="404"/>
      <c r="AS290" s="404"/>
      <c r="AT290" s="404"/>
      <c r="AU290" s="404"/>
      <c r="AV290" s="404"/>
      <c r="AW290" s="404"/>
      <c r="AX290" s="404"/>
      <c r="AY290" s="404"/>
      <c r="AZ290" s="404"/>
      <c r="BA290" s="404"/>
      <c r="BB290" s="404"/>
      <c r="BC290" s="404"/>
      <c r="BD290" s="404"/>
      <c r="BE290" s="404"/>
      <c r="BF290" s="404"/>
      <c r="BG290" s="404"/>
      <c r="BH290" s="404"/>
      <c r="BI290" s="404"/>
      <c r="BJ290" s="404"/>
      <c r="BK290" s="404"/>
      <c r="BL290" s="404"/>
      <c r="BM290" s="404"/>
      <c r="BN290" s="404"/>
      <c r="BO290" s="404"/>
      <c r="BP290" s="404"/>
      <c r="BQ290" s="404"/>
      <c r="BR290" s="404"/>
      <c r="BS290" s="404"/>
      <c r="BT290" s="404"/>
      <c r="BU290" s="404"/>
      <c r="BV290" s="404"/>
      <c r="BW290" s="404"/>
      <c r="BX290" s="404"/>
      <c r="BY290" s="404"/>
      <c r="BZ290" s="404"/>
      <c r="CA290" s="404"/>
      <c r="CB290" s="404"/>
      <c r="CC290" s="404"/>
      <c r="CD290" s="404"/>
      <c r="CE290" s="404"/>
      <c r="CF290" s="404"/>
      <c r="CG290" s="404"/>
      <c r="CH290" s="2777"/>
      <c r="CI290" s="2778"/>
      <c r="CJ290" s="2778"/>
      <c r="CK290" s="2778"/>
      <c r="CL290" s="2778"/>
      <c r="CM290" s="2777"/>
      <c r="CN290" s="2788">
        <f>+IF(CN267&lt;0,IF(CL267&gt;0,"N/A",(-1)*(CN267/CL267-1)),IF(CL267&lt;0,"N/A",(CN267/CL267-1)))</f>
        <v>1.577287066246047E-3</v>
      </c>
      <c r="CO290" s="2788">
        <f>+IF(CO267&lt;0,IF(CN267&gt;0,"N/A",(-1)*(CO267/CN267-1)),IF(CN267&lt;0,"N/A",(CO267/CN267-1)))</f>
        <v>-4.2654028436019065E-2</v>
      </c>
      <c r="CP290" s="2788">
        <f>+IF(CP267&lt;0,IF(CO267&gt;0,"N/A",(-1)*(CP267/CO267-1)),IF(CO267&lt;0,"N/A",(CP267/CO267-1)))</f>
        <v>-0.48484848484848486</v>
      </c>
      <c r="CQ290" s="2788">
        <f>+IF(CQ267&lt;0,IF(CP267&gt;0,"N/A",(-1)*(CQ267/CP267-1)),IF(CP267&lt;0,"N/A",(CQ267/CP267-1)))</f>
        <v>-0.2377551020408164</v>
      </c>
      <c r="CR290" s="2789"/>
      <c r="CS290" s="2788">
        <f>+IF(CS267&lt;0,IF(CQ267&gt;0,"N/A",(-1)*(CS267/CQ267-1)),IF(CQ267&lt;0,"N/A",(CS267/CQ267-1)))</f>
        <v>0.36191261335531744</v>
      </c>
      <c r="CT290" s="2788">
        <f>+IF(CT267&lt;0,IF(CS267&gt;0,"N/A",(-1)*(CT267/CS267-1)),IF(CS267&lt;0,"N/A",(CT267/CS267-1)))</f>
        <v>-0.10465116279069764</v>
      </c>
      <c r="CU290" s="2788">
        <f>+IF(CU267&lt;0,IF(CT267&gt;0,"N/A",(-1)*(CU267/CT267-1)),IF(CT267&lt;0,"N/A",(CU267/CT267-1)))</f>
        <v>-7.0175438596491446E-3</v>
      </c>
      <c r="CV290" s="2788">
        <f>+IF(CV267&lt;0,IF(CU267&gt;0,"N/A",(-1)*(CV267/CU267-1)),IF(CU267&lt;0,"N/A",(CV267/CU267-1)))</f>
        <v>-0.2636469221835076</v>
      </c>
      <c r="CW290" s="2777"/>
      <c r="CX290" s="2788">
        <f>+IF(CX267&lt;0,IF(CV267&gt;0,"N/A",(-1)*(CX267/CV267-1)),IF(CV267&lt;0,"N/A",(CX267/CV267-1)))</f>
        <v>0.35386029411764708</v>
      </c>
      <c r="CY290" s="2788">
        <f>+IF(CY267&lt;0,IF(CX267&gt;0,"N/A",(-1)*(CY267/CX267-1)),IF(CX267&lt;0,"N/A",(CY267/CX267-1)))</f>
        <v>9.9573257467994281E-2</v>
      </c>
      <c r="CZ290" s="2788">
        <f>+IF(CZ267&lt;0,IF(CY267&gt;0,"N/A",(-1)*(CZ267/CY267-1)),IF(CY267&lt;0,"N/A",(CZ267/CY267-1)))</f>
        <v>-2.6856240126382325E-2</v>
      </c>
      <c r="DA290" s="2788">
        <f>+IF(DA267&lt;0,IF(CZ267&gt;0,"N/A",(-1)*(DA267/CZ267-1)),IF(CZ267&lt;0,"N/A",(DA267/CZ267-1)))</f>
        <v>-0.15076923076923077</v>
      </c>
      <c r="DB290" s="2777"/>
      <c r="DC290" s="2788">
        <f>+IF(DC267&lt;0,IF(DA267&gt;0,"N/A",(-1)*(DC267/DA267-1)),IF(DA267&lt;0,"N/A",(DC267/DA267-1)))</f>
        <v>0.2366310160427807</v>
      </c>
      <c r="DD290" s="2788">
        <f>+IF(DD267&lt;0,IF(DC267&gt;0,"N/A",(-1)*(DD267/DC267-1)),IF(DC267&lt;0,"N/A",(DD267/DC267-1)))</f>
        <v>-0.28196147110332759</v>
      </c>
      <c r="DE290" s="2788">
        <f>+IF(DE267&lt;0,IF(DD267&gt;0,"N/A",(-1)*(DE267/DD267-1)),IF(DD267&lt;0,"N/A",(DE267/DD267-1)))</f>
        <v>6.8306010928961269E-3</v>
      </c>
      <c r="DF290" s="2788">
        <f>+IF(DF267&lt;0,IF(DE267&gt;0,"N/A",(-1)*(DF267/DE267-1)),IF(DE267&lt;0,"N/A",(DF267/DE267-1)))</f>
        <v>-0.82668500687757906</v>
      </c>
      <c r="DG290" s="2777"/>
      <c r="DH290" s="2788">
        <f>+IF(DH267&lt;0,IF(DF267&gt;0,"N/A",(-1)*(DH267/DF267-1)),IF(DF267&lt;0,"N/A",(DH267/DF267-1)))</f>
        <v>0.34638554216867468</v>
      </c>
      <c r="DI290" s="2788">
        <f>+IF(DI267&lt;0,IF(DH267&gt;0,"N/A",(-1)*(DI267/DH267-1)),IF(DH267&lt;0,"N/A",(DI267/DH267-1)))</f>
        <v>-0.13940092165898621</v>
      </c>
      <c r="DJ290" s="2788">
        <f>+IF(DJ267&lt;0,IF(DI267&gt;0,"N/A",(-1)*(DJ267/DI267-1)),IF(DI267&lt;0,"N/A",(DJ267/DI267-1)))</f>
        <v>4.8533872598584438E-2</v>
      </c>
      <c r="DK290" s="2788">
        <f>+IF(DK267&lt;0,IF(DJ267&gt;0,"N/A",(-1)*(DK267/DJ267-1)),IF(DJ267&lt;0,"N/A",(DK267/DJ267-1)))</f>
        <v>-1.1530286928799152</v>
      </c>
      <c r="DL290" s="2777"/>
      <c r="DM290" s="2788">
        <f>+IF(DM267&lt;0,IF(DK267&gt;0,"N/A",(-1)*(DM267/DK267-1)),IF(DK267&lt;0,"N/A",(DM267/DK267-1)))</f>
        <v>0.44669299111549854</v>
      </c>
      <c r="DN290" s="2788">
        <f>+IF(DN267&lt;0,IF(DM267&gt;0,"N/A",(-1)*(DN267/DM267-1)),IF(DM267&lt;0,"N/A",(DN267/DM267-1)))</f>
        <v>4.460303300624413E-3</v>
      </c>
      <c r="DO290" s="2788">
        <f>+IF(DO267&lt;0,IF(DN267&gt;0,"N/A",(-1)*(DO267/DN267-1)),IF(DN267&lt;0,"N/A",(DO267/DN267-1)))</f>
        <v>1.1648745519713288E-2</v>
      </c>
      <c r="DP290" s="2788">
        <f>+IF(DP267&lt;0,IF(DO267&gt;0,"N/A",(-1)*(DP267/DO267-1)),IF(DO267&lt;0,"N/A",(DP267/DO267-1)))</f>
        <v>-2.9918404351767958E-2</v>
      </c>
      <c r="DQ290" s="2777"/>
      <c r="DR290" s="2788"/>
      <c r="DS290" s="2788"/>
      <c r="DT290" s="2788"/>
      <c r="DU290" s="2788"/>
      <c r="DV290" s="2777"/>
      <c r="DW290" s="2788"/>
      <c r="DX290" s="2788"/>
      <c r="DY290" s="2788"/>
      <c r="DZ290" s="2788"/>
      <c r="EA290" s="2777"/>
      <c r="EB290" s="2788"/>
      <c r="EC290" s="2788"/>
      <c r="ED290" s="2788"/>
      <c r="EE290" s="2788"/>
      <c r="EF290" s="2777"/>
      <c r="EG290" s="2788"/>
      <c r="EH290" s="2788"/>
      <c r="EI290" s="2788"/>
      <c r="EJ290" s="2788"/>
      <c r="EK290" s="2777"/>
      <c r="EL290" s="2788"/>
      <c r="EM290" s="2788"/>
      <c r="EN290" s="2788"/>
      <c r="EO290" s="2788"/>
      <c r="EP290" s="2777"/>
      <c r="EQ290" s="2788"/>
      <c r="ER290" s="2788"/>
      <c r="ES290" s="2788"/>
      <c r="ET290" s="2788"/>
      <c r="EU290" s="2777"/>
      <c r="EV290" s="2777"/>
      <c r="EW290" s="2777"/>
      <c r="EX290" s="2777"/>
      <c r="EY290" s="2777"/>
      <c r="FA290" s="4276"/>
      <c r="FB290" s="4276"/>
    </row>
    <row r="291" spans="1:158" s="767" customFormat="1" hidden="1">
      <c r="A291" s="3568" t="s">
        <v>450</v>
      </c>
      <c r="B291" s="404"/>
      <c r="C291" s="404"/>
      <c r="D291" s="404"/>
      <c r="E291" s="404"/>
      <c r="F291" s="404"/>
      <c r="G291" s="404"/>
      <c r="H291" s="404"/>
      <c r="I291" s="404"/>
      <c r="J291" s="404"/>
      <c r="K291" s="404"/>
      <c r="L291" s="404"/>
      <c r="M291" s="404"/>
      <c r="N291" s="404"/>
      <c r="O291" s="404"/>
      <c r="P291" s="404"/>
      <c r="Q291" s="404"/>
      <c r="R291" s="404"/>
      <c r="S291" s="404"/>
      <c r="T291" s="404"/>
      <c r="U291" s="404"/>
      <c r="V291" s="404"/>
      <c r="W291" s="404"/>
      <c r="X291" s="404"/>
      <c r="Y291" s="404"/>
      <c r="Z291" s="404"/>
      <c r="AA291" s="404"/>
      <c r="AB291" s="404"/>
      <c r="AC291" s="404"/>
      <c r="AD291" s="404"/>
      <c r="AE291" s="404"/>
      <c r="AF291" s="404"/>
      <c r="AG291" s="404"/>
      <c r="AH291" s="404"/>
      <c r="AI291" s="404"/>
      <c r="AJ291" s="404"/>
      <c r="AK291" s="404"/>
      <c r="AL291" s="404"/>
      <c r="AM291" s="404"/>
      <c r="AN291" s="404"/>
      <c r="AO291" s="404"/>
      <c r="AP291" s="404"/>
      <c r="AQ291" s="404"/>
      <c r="AR291" s="404"/>
      <c r="AS291" s="404"/>
      <c r="AT291" s="404"/>
      <c r="AU291" s="404"/>
      <c r="AV291" s="404"/>
      <c r="AW291" s="404"/>
      <c r="AX291" s="404"/>
      <c r="AY291" s="404"/>
      <c r="AZ291" s="404"/>
      <c r="BA291" s="404"/>
      <c r="BB291" s="404"/>
      <c r="BC291" s="404"/>
      <c r="BD291" s="404"/>
      <c r="BE291" s="404"/>
      <c r="BF291" s="404"/>
      <c r="BG291" s="404"/>
      <c r="BH291" s="404"/>
      <c r="BI291" s="404"/>
      <c r="BJ291" s="404"/>
      <c r="BK291" s="404"/>
      <c r="BL291" s="404"/>
      <c r="BM291" s="404"/>
      <c r="BN291" s="404"/>
      <c r="BO291" s="404"/>
      <c r="BP291" s="404"/>
      <c r="BQ291" s="404"/>
      <c r="BR291" s="404"/>
      <c r="BS291" s="404"/>
      <c r="BT291" s="404"/>
      <c r="BU291" s="404"/>
      <c r="BV291" s="404"/>
      <c r="BW291" s="404"/>
      <c r="BX291" s="404"/>
      <c r="BY291" s="404"/>
      <c r="BZ291" s="404"/>
      <c r="CA291" s="404"/>
      <c r="CB291" s="404"/>
      <c r="CC291" s="404"/>
      <c r="CD291" s="404"/>
      <c r="CE291" s="404"/>
      <c r="CF291" s="404"/>
      <c r="CG291" s="404"/>
      <c r="CH291" s="2777"/>
      <c r="CI291" s="2778"/>
      <c r="CJ291" s="2778"/>
      <c r="CK291" s="2778"/>
      <c r="CL291" s="2778"/>
      <c r="CM291" s="2777"/>
      <c r="CN291" s="2643">
        <f>+IF(CN272&lt;0,IF(CL272&gt;0,"N/A",(-1)*(CN272/CL272-1)),IF(CL272&lt;0,"N/A",(CN272/CL272-1)))</f>
        <v>0.10563380281690149</v>
      </c>
      <c r="CO291" s="2643">
        <f>+IF(CO272&lt;0,IF(CN272&gt;0,"N/A",(-1)*(CO272/CN272-1)),IF(CN272&lt;0,"N/A",(CO272/CN272-1)))</f>
        <v>0.47770700636942665</v>
      </c>
      <c r="CP291" s="2643">
        <f>+IF(CP272&lt;0,IF(CO272&gt;0,"N/A",(-1)*(CP272/CO272-1)),IF(CO272&lt;0,"N/A",(CP272/CO272-1)))</f>
        <v>0.1681034482758621</v>
      </c>
      <c r="CQ291" s="2643">
        <f>+IF(CQ272&lt;0,IF(CP272&gt;0,"N/A",(-1)*(CQ272/CP272-1)),IF(CP272&lt;0,"N/A",(CQ272/CP272-1)))</f>
        <v>-0.28782287822878228</v>
      </c>
      <c r="CR291" s="1780"/>
      <c r="CS291" s="2643">
        <f>+IF(CS272&lt;0,IF(CQ272&gt;0,"N/A",(-1)*(CS272/CQ272-1)),IF(CQ272&lt;0,"N/A",(CS272/CQ272-1)))</f>
        <v>0.43523316062176165</v>
      </c>
      <c r="CT291" s="2643">
        <f>+IF(CT272&lt;0,IF(CS272&gt;0,"N/A",(-1)*(CT272/CS272-1)),IF(CS272&lt;0,"N/A",(CT272/CS272-1)))</f>
        <v>1.0830324909747224E-2</v>
      </c>
      <c r="CU291" s="2643">
        <f>+IF(CU272&lt;0,IF(CT272&gt;0,"N/A",(-1)*(CU272/CT272-1)),IF(CT272&lt;0,"N/A",(CU272/CT272-1)))</f>
        <v>0.15714285714285725</v>
      </c>
      <c r="CV291" s="2643">
        <f>+IF(CV272&lt;0,IF(CU272&gt;0,"N/A",(-1)*(CV272/CU272-1)),IF(CU272&lt;0,"N/A",(CV272/CU272-1)))</f>
        <v>0.55555555555555558</v>
      </c>
      <c r="CW291" s="2777"/>
      <c r="CX291" s="2643">
        <f>+IF(CX272&lt;0,IF(CV272&gt;0,"N/A",(-1)*(CX272/CV272-1)),IF(CV272&lt;0,"N/A",(CX272/CV272-1)))</f>
        <v>-0.66865079365079372</v>
      </c>
      <c r="CY291" s="2643">
        <f>+IF(CY272&lt;0,IF(CX272&gt;0,"N/A",(-1)*(CY272/CX272-1)),IF(CX272&lt;0,"N/A",(CY272/CX272-1)))</f>
        <v>-0.11377245508982037</v>
      </c>
      <c r="CZ291" s="2643">
        <f>+IF(CZ272&lt;0,IF(CY272&gt;0,"N/A",(-1)*(CZ272/CY272-1)),IF(CY272&lt;0,"N/A",(CZ272/CY272-1)))</f>
        <v>-0.5067567567567568</v>
      </c>
      <c r="DA291" s="2643">
        <f>+IF(DA272&lt;0,IF(CZ272&gt;0,"N/A",(-1)*(DA272/CZ272-1)),IF(CZ272&lt;0,"N/A",(DA272/CZ272-1)))</f>
        <v>0.43835616438356162</v>
      </c>
      <c r="DB291" s="2777"/>
      <c r="DC291" s="2643">
        <f>+IF(DC272&lt;0,IF(DA272&gt;0,"N/A",(-1)*(DC272/DA272-1)),IF(DA272&lt;0,"N/A",(DC272/DA272-1)))</f>
        <v>-0.47619047619047616</v>
      </c>
      <c r="DD291" s="2643">
        <f>+IF(DD272&lt;0,IF(DC272&gt;0,"N/A",(-1)*(DD272/DC272-1)),IF(DC272&lt;0,"N/A",(DD272/DC272-1)))</f>
        <v>-0.81818181818181812</v>
      </c>
      <c r="DE291" s="2643">
        <f>+IF(DE272&lt;0,IF(DD272&gt;0,"N/A",(-1)*(DE272/DD272-1)),IF(DD272&lt;0,"N/A",(DE272/DD272-1)))</f>
        <v>4.5</v>
      </c>
      <c r="DF291" s="2643">
        <f>+IF(DF272&lt;0,IF(DE272&gt;0,"N/A",(-1)*(DF272/DE272-1)),IF(DE272&lt;0,"N/A",(DF272/DE272-1)))</f>
        <v>0.10909090909090913</v>
      </c>
      <c r="DG291" s="2777"/>
      <c r="DH291" s="2643">
        <f>+IF(DH272&lt;0,IF(DF272&gt;0,"N/A",(-1)*(DH272/DF272-1)),IF(DF272&lt;0,"N/A",(DH272/DF272-1)))</f>
        <v>-3.2786885245901676E-2</v>
      </c>
      <c r="DI291" s="2643">
        <f>+IF(DI272&lt;0,IF(DH272&gt;0,"N/A",(-1)*(DI272/DH272-1)),IF(DH272&lt;0,"N/A",(DI272/DH272-1)))</f>
        <v>0.10169491525423724</v>
      </c>
      <c r="DJ291" s="2643">
        <f>+IF(DJ272&lt;0,IF(DI272&gt;0,"N/A",(-1)*(DJ272/DI272-1)),IF(DI272&lt;0,"N/A",(DJ272/DI272-1)))</f>
        <v>9.2307692307692202E-2</v>
      </c>
      <c r="DK291" s="2643">
        <f>+IF(DK272&lt;0,IF(DJ272&gt;0,"N/A",(-1)*(DK272/DJ272-1)),IF(DJ272&lt;0,"N/A",(DK272/DJ272-1)))</f>
        <v>0.21126760563380276</v>
      </c>
      <c r="DL291" s="2777"/>
      <c r="DM291" s="2643">
        <f>+IF(DM272&lt;0,IF(DK272&gt;0,"N/A",(-1)*(DM272/DK272-1)),IF(DK272&lt;0,"N/A",(DM272/DK272-1)))</f>
        <v>0.20930232558139528</v>
      </c>
      <c r="DN291" s="2643">
        <f>+IF(DN272&lt;0,IF(DM272&gt;0,"N/A",(-1)*(DN272/DM272-1)),IF(DM272&lt;0,"N/A",(DN272/DM272-1)))</f>
        <v>-7.6923076923076872E-2</v>
      </c>
      <c r="DO291" s="2643">
        <f>+IF(DO272&lt;0,IF(DN272&gt;0,"N/A",(-1)*(DO272/DN272-1)),IF(DN272&lt;0,"N/A",(DO272/DN272-1)))</f>
        <v>0.25</v>
      </c>
      <c r="DP291" s="2643">
        <f>+IF(DP272&lt;0,IF(DO272&gt;0,"N/A",(-1)*(DP272/DO272-1)),IF(DO272&lt;0,"N/A",(DP272/DO272-1)))</f>
        <v>3.3333333333331883E-3</v>
      </c>
      <c r="DQ291" s="2777"/>
      <c r="DR291" s="2643"/>
      <c r="DS291" s="2643"/>
      <c r="DT291" s="2643"/>
      <c r="DU291" s="2643"/>
      <c r="DV291" s="2777"/>
      <c r="DW291" s="2643"/>
      <c r="DX291" s="2643"/>
      <c r="DY291" s="2643"/>
      <c r="DZ291" s="2643"/>
      <c r="EA291" s="2777"/>
      <c r="EB291" s="2643"/>
      <c r="EC291" s="2643"/>
      <c r="ED291" s="2643"/>
      <c r="EE291" s="2643"/>
      <c r="EF291" s="2777"/>
      <c r="EG291" s="2643"/>
      <c r="EH291" s="2643"/>
      <c r="EI291" s="2643"/>
      <c r="EJ291" s="2643"/>
      <c r="EK291" s="2777"/>
      <c r="EL291" s="2643"/>
      <c r="EM291" s="2643"/>
      <c r="EN291" s="2643"/>
      <c r="EO291" s="2643"/>
      <c r="EP291" s="2777"/>
      <c r="EQ291" s="2643"/>
      <c r="ER291" s="2643"/>
      <c r="ES291" s="2643"/>
      <c r="ET291" s="2643"/>
      <c r="EU291" s="2777"/>
      <c r="EV291" s="2777"/>
      <c r="EW291" s="2777"/>
      <c r="EX291" s="2777"/>
      <c r="EY291" s="2777"/>
      <c r="FA291" s="4276"/>
      <c r="FB291" s="4276"/>
    </row>
    <row r="292" spans="1:158" s="766" customFormat="1" hidden="1">
      <c r="A292" s="3560" t="s">
        <v>451</v>
      </c>
      <c r="B292" s="157"/>
      <c r="C292" s="157"/>
      <c r="D292" s="157"/>
      <c r="E292" s="157"/>
      <c r="F292" s="157"/>
      <c r="G292" s="157"/>
      <c r="H292" s="157"/>
      <c r="I292" s="157"/>
      <c r="J292" s="157"/>
      <c r="K292" s="157"/>
      <c r="L292" s="157"/>
      <c r="M292" s="157"/>
      <c r="N292" s="157"/>
      <c r="O292" s="157"/>
      <c r="P292" s="157"/>
      <c r="Q292" s="157"/>
      <c r="R292" s="157"/>
      <c r="S292" s="157"/>
      <c r="T292" s="157"/>
      <c r="U292" s="157"/>
      <c r="V292" s="157"/>
      <c r="W292" s="157"/>
      <c r="X292" s="157"/>
      <c r="Y292" s="157"/>
      <c r="Z292" s="157"/>
      <c r="AA292" s="157"/>
      <c r="AB292" s="157"/>
      <c r="AC292" s="157"/>
      <c r="AD292" s="157"/>
      <c r="AE292" s="157"/>
      <c r="AF292" s="157"/>
      <c r="AG292" s="157"/>
      <c r="AH292" s="157"/>
      <c r="AI292" s="157"/>
      <c r="AJ292" s="157"/>
      <c r="AK292" s="157"/>
      <c r="AL292" s="157"/>
      <c r="AM292" s="157"/>
      <c r="AN292" s="157"/>
      <c r="AO292" s="157"/>
      <c r="AP292" s="157"/>
      <c r="AQ292" s="157"/>
      <c r="AR292" s="157"/>
      <c r="AS292" s="157"/>
      <c r="AT292" s="157"/>
      <c r="AU292" s="157"/>
      <c r="AV292" s="157"/>
      <c r="AW292" s="157"/>
      <c r="AX292" s="157"/>
      <c r="AY292" s="157"/>
      <c r="AZ292" s="157"/>
      <c r="BA292" s="157"/>
      <c r="BB292" s="157"/>
      <c r="BC292" s="157"/>
      <c r="BD292" s="157"/>
      <c r="BE292" s="157"/>
      <c r="BF292" s="157"/>
      <c r="BG292" s="157"/>
      <c r="BH292" s="157"/>
      <c r="BI292" s="157"/>
      <c r="BJ292" s="157"/>
      <c r="BK292" s="157"/>
      <c r="BL292" s="157"/>
      <c r="BM292" s="157"/>
      <c r="BN292" s="157"/>
      <c r="BO292" s="157"/>
      <c r="BP292" s="157"/>
      <c r="BQ292" s="157"/>
      <c r="BR292" s="157"/>
      <c r="BS292" s="157"/>
      <c r="BT292" s="157"/>
      <c r="BU292" s="157"/>
      <c r="BV292" s="157"/>
      <c r="BW292" s="157"/>
      <c r="BX292" s="157"/>
      <c r="BY292" s="157"/>
      <c r="BZ292" s="157"/>
      <c r="CA292" s="157"/>
      <c r="CB292" s="157"/>
      <c r="CC292" s="157"/>
      <c r="CD292" s="157"/>
      <c r="CE292" s="157"/>
      <c r="CF292" s="157"/>
      <c r="CG292" s="157"/>
      <c r="CH292" s="2779"/>
      <c r="CI292" s="2720"/>
      <c r="CJ292" s="2720"/>
      <c r="CK292" s="2720"/>
      <c r="CL292" s="2720"/>
      <c r="CM292" s="2779"/>
      <c r="CN292" s="2728">
        <f>+IF(CN264&lt;0,IF(CL264&gt;0,"N/A",(-1)*(CN264/CL264-1)),IF(CL264&lt;0,"N/A",(CN264/CL264-1)))</f>
        <v>-0.21568627450980393</v>
      </c>
      <c r="CO292" s="2728">
        <f>+IF(CO264&lt;0,IF(CN264&gt;0,"N/A",(-1)*(CO264/CN264-1)),IF(CN264&lt;0,"N/A",(CO264/CN264-1)))</f>
        <v>0.125</v>
      </c>
      <c r="CP292" s="2728">
        <f>+IF(CP264&lt;0,IF(CO264&gt;0,"N/A",(-1)*(CP264/CO264-1)),IF(CO264&lt;0,"N/A",(CP264/CO264-1)))</f>
        <v>6.6666666666666652E-2</v>
      </c>
      <c r="CQ292" s="2728">
        <f>+IF(CQ264&lt;0,IF(CP264&gt;0,"N/A",(-1)*(CQ264/CP264-1)),IF(CP264&lt;0,"N/A",(CQ264/CP264-1)))</f>
        <v>0.45833333333333326</v>
      </c>
      <c r="CR292" s="2780"/>
      <c r="CS292" s="2728">
        <f>+IF(CS264&lt;0,IF(CQ264&gt;0,"N/A",(-1)*(CS264/CQ264-1)),IF(CQ264&lt;0,"N/A",(CS264/CQ264-1)))</f>
        <v>-0.22857142857142854</v>
      </c>
      <c r="CT292" s="2728">
        <f>+IF(CT264&lt;0,IF(CS264&gt;0,"N/A",(-1)*(CT264/CS264-1)),IF(CS264&lt;0,"N/A",(CT264/CS264-1)))</f>
        <v>0.5</v>
      </c>
      <c r="CU292" s="2728">
        <f>+IF(CU264&lt;0,IF(CT264&gt;0,"N/A",(-1)*(CU264/CT264-1)),IF(CT264&lt;0,"N/A",(CU264/CT264-1)))</f>
        <v>0.28395061728395055</v>
      </c>
      <c r="CV292" s="2728">
        <f>+IF(CV264&lt;0,IF(CU264&gt;0,"N/A",(-1)*(CV264/CU264-1)),IF(CU264&lt;0,"N/A",(CV264/CU264-1)))</f>
        <v>-2.8846153846153855E-2</v>
      </c>
      <c r="CW292" s="2779"/>
      <c r="CX292" s="2728">
        <f>+IF(CX264&lt;0,IF(CV264&gt;0,"N/A",(-1)*(CX264/CV264-1)),IF(CV264&lt;0,"N/A",(CX264/CV264-1)))</f>
        <v>-0.13861386138613863</v>
      </c>
      <c r="CY292" s="2728">
        <f>+IF(CY264&lt;0,IF(CX264&gt;0,"N/A",(-1)*(CY264/CX264-1)),IF(CX264&lt;0,"N/A",(CY264/CX264-1)))</f>
        <v>-0.29885057471264365</v>
      </c>
      <c r="CZ292" s="2728">
        <f>+IF(CZ264&lt;0,IF(CY264&gt;0,"N/A",(-1)*(CZ264/CY264-1)),IF(CY264&lt;0,"N/A",(CZ264/CY264-1)))</f>
        <v>0.11475409836065564</v>
      </c>
      <c r="DA292" s="2728">
        <f>+IF(DA264&lt;0,IF(CZ264&gt;0,"N/A",(-1)*(DA264/CZ264-1)),IF(CZ264&lt;0,"N/A",(DA264/CZ264-1)))</f>
        <v>0.33823529411764697</v>
      </c>
      <c r="DB292" s="2779"/>
      <c r="DC292" s="2728">
        <f>+IF(DC264&lt;0,IF(DA264&gt;0,"N/A",(-1)*(DC264/DA264-1)),IF(DA264&lt;0,"N/A",(DC264/DA264-1)))</f>
        <v>-6.5934065934065922E-2</v>
      </c>
      <c r="DD292" s="2728">
        <f>+IF(DD264&lt;0,IF(DC264&gt;0,"N/A",(-1)*(DD264/DC264-1)),IF(DC264&lt;0,"N/A",(DD264/DC264-1)))</f>
        <v>-2.352941176470591E-2</v>
      </c>
      <c r="DE292" s="2728">
        <f>+IF(DE264&lt;0,IF(DD264&gt;0,"N/A",(-1)*(DE264/DD264-1)),IF(DD264&lt;0,"N/A",(DE264/DD264-1)))</f>
        <v>-6.0240963855421659E-2</v>
      </c>
      <c r="DF292" s="2728">
        <f>+IF(DF264&lt;0,IF(DE264&gt;0,"N/A",(-1)*(DF264/DE264-1)),IF(DE264&lt;0,"N/A",(DF264/DE264-1)))</f>
        <v>3.8461538461538547E-2</v>
      </c>
      <c r="DG292" s="2779"/>
      <c r="DH292" s="2728">
        <f>+IF(DH264&lt;0,IF(DF264&gt;0,"N/A",(-1)*(DH264/DF264-1)),IF(DF264&lt;0,"N/A",(DH264/DF264-1)))</f>
        <v>3.7037037037036979E-2</v>
      </c>
      <c r="DI292" s="2728">
        <f>+IF(DI264&lt;0,IF(DH264&gt;0,"N/A",(-1)*(DI264/DH264-1)),IF(DH264&lt;0,"N/A",(DI264/DH264-1)))</f>
        <v>-5.9523809523809534E-2</v>
      </c>
      <c r="DJ292" s="2728">
        <f>+IF(DJ264&lt;0,IF(DI264&gt;0,"N/A",(-1)*(DJ264/DI264-1)),IF(DI264&lt;0,"N/A",(DJ264/DI264-1)))</f>
        <v>5.0632911392405111E-2</v>
      </c>
      <c r="DK292" s="2728">
        <f>+IF(DK264&lt;0,IF(DJ264&gt;0,"N/A",(-1)*(DK264/DJ264-1)),IF(DJ264&lt;0,"N/A",(DK264/DJ264-1)))</f>
        <v>2.8554216867469879</v>
      </c>
      <c r="DL292" s="2779"/>
      <c r="DM292" s="2728">
        <f>+IF(DM264&lt;0,IF(DK264&gt;0,"N/A",(-1)*(DM264/DK264-1)),IF(DK264&lt;0,"N/A",(DM264/DK264-1)))</f>
        <v>-0.71250000000000002</v>
      </c>
      <c r="DN292" s="2728">
        <f>+IF(DN264&lt;0,IF(DM264&gt;0,"N/A",(-1)*(DN264/DM264-1)),IF(DM264&lt;0,"N/A",(DN264/DM264-1)))</f>
        <v>2.1739130434782705E-2</v>
      </c>
      <c r="DO292" s="2728">
        <f>+IF(DO264&lt;0,IF(DN264&gt;0,"N/A",(-1)*(DO264/DN264-1)),IF(DN264&lt;0,"N/A",(DO264/DN264-1)))</f>
        <v>1.0638297872340496E-2</v>
      </c>
      <c r="DP292" s="2728">
        <f>+IF(DP264&lt;0,IF(DO264&gt;0,"N/A",(-1)*(DP264/DO264-1)),IF(DO264&lt;0,"N/A",(DP264/DO264-1)))</f>
        <v>9.9368421052627998E-3</v>
      </c>
      <c r="DQ292" s="2779"/>
      <c r="DR292" s="2728"/>
      <c r="DS292" s="2728"/>
      <c r="DT292" s="2728"/>
      <c r="DU292" s="2728"/>
      <c r="DV292" s="2779"/>
      <c r="DW292" s="2728"/>
      <c r="DX292" s="2728"/>
      <c r="DY292" s="2728"/>
      <c r="DZ292" s="2728"/>
      <c r="EA292" s="2779"/>
      <c r="EB292" s="2728"/>
      <c r="EC292" s="2728"/>
      <c r="ED292" s="2728"/>
      <c r="EE292" s="2728"/>
      <c r="EF292" s="2779"/>
      <c r="EG292" s="2728"/>
      <c r="EH292" s="2728"/>
      <c r="EI292" s="2728"/>
      <c r="EJ292" s="2728"/>
      <c r="EK292" s="2779"/>
      <c r="EL292" s="2728"/>
      <c r="EM292" s="2728"/>
      <c r="EN292" s="2728"/>
      <c r="EO292" s="2728"/>
      <c r="EP292" s="2779"/>
      <c r="EQ292" s="2728"/>
      <c r="ER292" s="2728"/>
      <c r="ES292" s="2728"/>
      <c r="ET292" s="2728"/>
      <c r="EU292" s="2779"/>
      <c r="EV292" s="2779"/>
      <c r="EW292" s="2779"/>
      <c r="EX292" s="2779"/>
      <c r="EY292" s="2779"/>
      <c r="EZ292" s="767"/>
      <c r="FA292" s="4276"/>
      <c r="FB292" s="4276"/>
    </row>
    <row r="293" spans="1:158" s="766" customFormat="1" hidden="1" collapsed="1">
      <c r="A293" s="3560"/>
      <c r="B293" s="157"/>
      <c r="C293" s="157"/>
      <c r="D293" s="157"/>
      <c r="E293" s="157"/>
      <c r="F293" s="157"/>
      <c r="G293" s="157"/>
      <c r="H293" s="157"/>
      <c r="I293" s="157"/>
      <c r="J293" s="157"/>
      <c r="K293" s="157"/>
      <c r="L293" s="157"/>
      <c r="M293" s="157"/>
      <c r="N293" s="157"/>
      <c r="O293" s="157"/>
      <c r="P293" s="157"/>
      <c r="Q293" s="157"/>
      <c r="R293" s="157"/>
      <c r="S293" s="157"/>
      <c r="T293" s="157"/>
      <c r="U293" s="157"/>
      <c r="V293" s="157"/>
      <c r="W293" s="157"/>
      <c r="X293" s="157"/>
      <c r="Y293" s="157"/>
      <c r="Z293" s="157"/>
      <c r="AA293" s="157"/>
      <c r="AB293" s="157"/>
      <c r="AC293" s="157"/>
      <c r="AD293" s="157"/>
      <c r="AE293" s="157"/>
      <c r="AF293" s="157"/>
      <c r="AG293" s="157"/>
      <c r="AH293" s="157"/>
      <c r="AI293" s="157"/>
      <c r="AJ293" s="157"/>
      <c r="AK293" s="157"/>
      <c r="AL293" s="157"/>
      <c r="AM293" s="157"/>
      <c r="AN293" s="157"/>
      <c r="AO293" s="157"/>
      <c r="AP293" s="157"/>
      <c r="AQ293" s="157"/>
      <c r="AR293" s="157"/>
      <c r="AS293" s="157"/>
      <c r="AT293" s="157"/>
      <c r="AU293" s="157"/>
      <c r="AV293" s="157"/>
      <c r="AW293" s="157"/>
      <c r="AX293" s="157"/>
      <c r="AY293" s="157"/>
      <c r="AZ293" s="157"/>
      <c r="BA293" s="157"/>
      <c r="BB293" s="157"/>
      <c r="BC293" s="157"/>
      <c r="BD293" s="157"/>
      <c r="BE293" s="157"/>
      <c r="BF293" s="157"/>
      <c r="BG293" s="157"/>
      <c r="BH293" s="157"/>
      <c r="BI293" s="157"/>
      <c r="BJ293" s="157"/>
      <c r="BK293" s="157"/>
      <c r="BL293" s="157"/>
      <c r="BM293" s="157"/>
      <c r="BN293" s="157"/>
      <c r="BO293" s="157"/>
      <c r="BP293" s="157"/>
      <c r="BQ293" s="157"/>
      <c r="BR293" s="157"/>
      <c r="BS293" s="157"/>
      <c r="BT293" s="157"/>
      <c r="BU293" s="157"/>
      <c r="BV293" s="157"/>
      <c r="BW293" s="157"/>
      <c r="BX293" s="157"/>
      <c r="BY293" s="157"/>
      <c r="BZ293" s="157"/>
      <c r="CA293" s="157"/>
      <c r="CB293" s="157"/>
      <c r="CC293" s="157"/>
      <c r="CD293" s="157"/>
      <c r="CE293" s="157"/>
      <c r="CF293" s="157"/>
      <c r="CG293" s="157"/>
      <c r="CH293" s="2779"/>
      <c r="CI293" s="2720"/>
      <c r="CJ293" s="2720"/>
      <c r="CK293" s="2720"/>
      <c r="CL293" s="2720"/>
      <c r="CM293" s="2779"/>
      <c r="CN293" s="2720"/>
      <c r="CO293" s="2720"/>
      <c r="CP293" s="2720"/>
      <c r="CQ293" s="2720"/>
      <c r="CR293" s="2779"/>
      <c r="CS293" s="2720"/>
      <c r="CT293" s="2720"/>
      <c r="CU293" s="2720"/>
      <c r="CV293" s="2720"/>
      <c r="CW293" s="2779"/>
      <c r="CX293" s="2720"/>
      <c r="CY293" s="2720"/>
      <c r="CZ293" s="2720"/>
      <c r="DA293" s="2720"/>
      <c r="DB293" s="2779"/>
      <c r="DC293" s="2720"/>
      <c r="DD293" s="2720"/>
      <c r="DE293" s="2720"/>
      <c r="DF293" s="2720"/>
      <c r="DG293" s="2779"/>
      <c r="DH293" s="2720"/>
      <c r="DI293" s="2720"/>
      <c r="DJ293" s="2720"/>
      <c r="DK293" s="2720"/>
      <c r="DL293" s="2779"/>
      <c r="DM293" s="2720"/>
      <c r="DN293" s="2720"/>
      <c r="DO293" s="2720"/>
      <c r="DP293" s="2720"/>
      <c r="DQ293" s="2779"/>
      <c r="DR293" s="2720"/>
      <c r="DS293" s="2720"/>
      <c r="DT293" s="2720"/>
      <c r="DU293" s="2720"/>
      <c r="DV293" s="2779"/>
      <c r="DW293" s="2720"/>
      <c r="DX293" s="2720"/>
      <c r="DY293" s="2720"/>
      <c r="DZ293" s="2720"/>
      <c r="EA293" s="2779"/>
      <c r="EB293" s="2720"/>
      <c r="EC293" s="2720"/>
      <c r="ED293" s="2720"/>
      <c r="EE293" s="2720"/>
      <c r="EF293" s="2779"/>
      <c r="EG293" s="2720"/>
      <c r="EH293" s="2720"/>
      <c r="EI293" s="2720"/>
      <c r="EJ293" s="2720"/>
      <c r="EK293" s="2779"/>
      <c r="EL293" s="2720"/>
      <c r="EM293" s="2720"/>
      <c r="EN293" s="2720"/>
      <c r="EO293" s="2720"/>
      <c r="EP293" s="2779"/>
      <c r="EQ293" s="2720"/>
      <c r="ER293" s="2720"/>
      <c r="ES293" s="2720"/>
      <c r="ET293" s="2720"/>
      <c r="EU293" s="2779"/>
      <c r="EV293" s="2779"/>
      <c r="EW293" s="2779"/>
      <c r="EX293" s="2779"/>
      <c r="EY293" s="2779"/>
      <c r="EZ293" s="767"/>
      <c r="FA293" s="4276"/>
      <c r="FB293" s="4276"/>
    </row>
    <row r="294" spans="1:158" s="766" customFormat="1" hidden="1">
      <c r="A294" s="3565" t="s">
        <v>472</v>
      </c>
      <c r="B294" s="2775"/>
      <c r="C294" s="2775"/>
      <c r="D294" s="2775"/>
      <c r="E294" s="2775"/>
      <c r="F294" s="2775"/>
      <c r="G294" s="2775"/>
      <c r="H294" s="2775"/>
      <c r="I294" s="2775"/>
      <c r="J294" s="2775"/>
      <c r="K294" s="2775"/>
      <c r="L294" s="2775"/>
      <c r="M294" s="2775"/>
      <c r="N294" s="2775"/>
      <c r="O294" s="2775"/>
      <c r="P294" s="2775"/>
      <c r="Q294" s="2775"/>
      <c r="R294" s="2775"/>
      <c r="S294" s="2775"/>
      <c r="T294" s="2775"/>
      <c r="U294" s="2775"/>
      <c r="V294" s="2775"/>
      <c r="W294" s="2775"/>
      <c r="X294" s="2775"/>
      <c r="Y294" s="2775"/>
      <c r="Z294" s="2775"/>
      <c r="AA294" s="2775"/>
      <c r="AB294" s="2775"/>
      <c r="AC294" s="2775"/>
      <c r="AD294" s="2775"/>
      <c r="AE294" s="2775"/>
      <c r="AF294" s="2775"/>
      <c r="AG294" s="2775"/>
      <c r="AH294" s="2775"/>
      <c r="AI294" s="2775"/>
      <c r="AJ294" s="2775"/>
      <c r="AK294" s="2775"/>
      <c r="AL294" s="2775"/>
      <c r="AM294" s="2775"/>
      <c r="AN294" s="2775"/>
      <c r="AO294" s="2775"/>
      <c r="AP294" s="2775"/>
      <c r="AQ294" s="2775"/>
      <c r="AR294" s="2775"/>
      <c r="AS294" s="2775"/>
      <c r="AT294" s="2775"/>
      <c r="AU294" s="2775"/>
      <c r="AV294" s="2775"/>
      <c r="AW294" s="2775"/>
      <c r="AX294" s="2775"/>
      <c r="AY294" s="2775"/>
      <c r="AZ294" s="2775"/>
      <c r="BA294" s="2775"/>
      <c r="BB294" s="2775"/>
      <c r="BC294" s="2775"/>
      <c r="BD294" s="2775"/>
      <c r="BE294" s="2775"/>
      <c r="BF294" s="2775"/>
      <c r="BG294" s="2775"/>
      <c r="BH294" s="2775"/>
      <c r="BI294" s="2775"/>
      <c r="BJ294" s="2775"/>
      <c r="BK294" s="2775"/>
      <c r="BL294" s="2775"/>
      <c r="BM294" s="2775"/>
      <c r="BN294" s="2775"/>
      <c r="BO294" s="2775"/>
      <c r="BP294" s="2775"/>
      <c r="BQ294" s="2775"/>
      <c r="BR294" s="2775"/>
      <c r="BS294" s="2775"/>
      <c r="BT294" s="2775"/>
      <c r="BU294" s="2775"/>
      <c r="BV294" s="2775"/>
      <c r="BW294" s="2775"/>
      <c r="BX294" s="2775"/>
      <c r="BY294" s="2775"/>
      <c r="BZ294" s="2775"/>
      <c r="CA294" s="2775"/>
      <c r="CB294" s="2775"/>
      <c r="CC294" s="2775"/>
      <c r="CD294" s="2775"/>
      <c r="CE294" s="2775"/>
      <c r="CF294" s="2775"/>
      <c r="CG294" s="2775"/>
      <c r="CH294" s="2790"/>
      <c r="CI294" s="2791"/>
      <c r="CJ294" s="2791"/>
      <c r="CK294" s="2791"/>
      <c r="CL294" s="2791"/>
      <c r="CM294" s="2790"/>
      <c r="CN294" s="2791"/>
      <c r="CO294" s="2791"/>
      <c r="CP294" s="2791"/>
      <c r="CQ294" s="2791"/>
      <c r="CR294" s="2790"/>
      <c r="CS294" s="2791"/>
      <c r="CT294" s="2791"/>
      <c r="CU294" s="2791"/>
      <c r="CV294" s="2791"/>
      <c r="CW294" s="2790"/>
      <c r="CX294" s="2791"/>
      <c r="CY294" s="2791"/>
      <c r="CZ294" s="2791"/>
      <c r="DA294" s="2791"/>
      <c r="DB294" s="2790"/>
      <c r="DC294" s="2791"/>
      <c r="DD294" s="2791"/>
      <c r="DE294" s="2791"/>
      <c r="DF294" s="2791"/>
      <c r="DG294" s="2790"/>
      <c r="DH294" s="2791"/>
      <c r="DI294" s="2791"/>
      <c r="DJ294" s="2791"/>
      <c r="DK294" s="2791"/>
      <c r="DL294" s="2790"/>
      <c r="DM294" s="2791"/>
      <c r="DN294" s="2791"/>
      <c r="DO294" s="2791"/>
      <c r="DP294" s="2791"/>
      <c r="DQ294" s="2790"/>
      <c r="DR294" s="2791"/>
      <c r="DS294" s="2791"/>
      <c r="DT294" s="2791"/>
      <c r="DU294" s="2791"/>
      <c r="DV294" s="2790"/>
      <c r="DW294" s="2791"/>
      <c r="DX294" s="2791"/>
      <c r="DY294" s="2791"/>
      <c r="DZ294" s="2791"/>
      <c r="EA294" s="2790"/>
      <c r="EB294" s="2791"/>
      <c r="EC294" s="2791"/>
      <c r="ED294" s="2791"/>
      <c r="EE294" s="2791"/>
      <c r="EF294" s="2790"/>
      <c r="EG294" s="2791"/>
      <c r="EH294" s="2791"/>
      <c r="EI294" s="2791"/>
      <c r="EJ294" s="2791"/>
      <c r="EK294" s="2790"/>
      <c r="EL294" s="2791"/>
      <c r="EM294" s="2791"/>
      <c r="EN294" s="2791"/>
      <c r="EO294" s="2791"/>
      <c r="EP294" s="2790"/>
      <c r="EQ294" s="2791"/>
      <c r="ER294" s="2791"/>
      <c r="ES294" s="2791"/>
      <c r="ET294" s="2791"/>
      <c r="EU294" s="2790"/>
      <c r="EV294" s="2790"/>
      <c r="EW294" s="2790"/>
      <c r="EX294" s="2790"/>
      <c r="EY294" s="2790"/>
      <c r="EZ294" s="767"/>
      <c r="FA294" s="4276"/>
      <c r="FB294" s="4276"/>
    </row>
    <row r="295" spans="1:158" s="767" customFormat="1" hidden="1">
      <c r="A295" s="3562" t="s">
        <v>448</v>
      </c>
      <c r="B295" s="404"/>
      <c r="C295" s="404"/>
      <c r="D295" s="404"/>
      <c r="E295" s="404"/>
      <c r="F295" s="404"/>
      <c r="G295" s="404"/>
      <c r="H295" s="404"/>
      <c r="I295" s="404"/>
      <c r="J295" s="404"/>
      <c r="K295" s="404"/>
      <c r="L295" s="404"/>
      <c r="M295" s="404"/>
      <c r="N295" s="404"/>
      <c r="O295" s="404"/>
      <c r="P295" s="404"/>
      <c r="Q295" s="404"/>
      <c r="R295" s="404"/>
      <c r="S295" s="404"/>
      <c r="T295" s="404"/>
      <c r="U295" s="404"/>
      <c r="V295" s="404"/>
      <c r="W295" s="404"/>
      <c r="X295" s="404"/>
      <c r="Y295" s="404"/>
      <c r="Z295" s="404"/>
      <c r="AA295" s="404"/>
      <c r="AB295" s="404"/>
      <c r="AC295" s="404"/>
      <c r="AD295" s="404"/>
      <c r="AE295" s="404"/>
      <c r="AF295" s="404"/>
      <c r="AG295" s="404"/>
      <c r="AH295" s="404"/>
      <c r="AI295" s="404"/>
      <c r="AJ295" s="404"/>
      <c r="AK295" s="404"/>
      <c r="AL295" s="404"/>
      <c r="AM295" s="404"/>
      <c r="AN295" s="404"/>
      <c r="AO295" s="404"/>
      <c r="AP295" s="404"/>
      <c r="AQ295" s="404"/>
      <c r="AR295" s="404"/>
      <c r="AS295" s="404"/>
      <c r="AT295" s="404"/>
      <c r="AU295" s="404"/>
      <c r="AV295" s="404"/>
      <c r="AW295" s="404"/>
      <c r="AX295" s="404"/>
      <c r="AY295" s="404"/>
      <c r="AZ295" s="404"/>
      <c r="BA295" s="404"/>
      <c r="BB295" s="404"/>
      <c r="BC295" s="404"/>
      <c r="BD295" s="404"/>
      <c r="BE295" s="404"/>
      <c r="BF295" s="404"/>
      <c r="BG295" s="404"/>
      <c r="BH295" s="404"/>
      <c r="BI295" s="404"/>
      <c r="BJ295" s="404"/>
      <c r="BK295" s="404"/>
      <c r="BL295" s="404"/>
      <c r="BM295" s="404"/>
      <c r="BN295" s="404"/>
      <c r="BO295" s="404"/>
      <c r="BP295" s="404"/>
      <c r="BQ295" s="404"/>
      <c r="BR295" s="404"/>
      <c r="BS295" s="404"/>
      <c r="BT295" s="404"/>
      <c r="BU295" s="404"/>
      <c r="BV295" s="404"/>
      <c r="BW295" s="404"/>
      <c r="BX295" s="404"/>
      <c r="BY295" s="404"/>
      <c r="BZ295" s="404"/>
      <c r="CA295" s="404"/>
      <c r="CB295" s="404"/>
      <c r="CC295" s="404"/>
      <c r="CD295" s="404"/>
      <c r="CE295" s="404"/>
      <c r="CF295" s="404"/>
      <c r="CG295" s="404"/>
      <c r="CH295" s="2792">
        <f>+CH265/CH$261</f>
        <v>10.333333333333334</v>
      </c>
      <c r="CI295" s="2738" t="str">
        <f>+IFERROR(CI265/CI$261,"N/A")</f>
        <v>N/A</v>
      </c>
      <c r="CJ295" s="2738" t="str">
        <f>+IFERROR(CJ265/CJ$261,"N/A")</f>
        <v>N/A</v>
      </c>
      <c r="CK295" s="2738" t="str">
        <f>+IFERROR(CK265/CK$261,"N/A")</f>
        <v>N/A</v>
      </c>
      <c r="CL295" s="2739">
        <f t="shared" ref="CL295:DQ295" si="598">+CL265/CL$261</f>
        <v>0.95283018867924529</v>
      </c>
      <c r="CM295" s="2792">
        <f t="shared" si="598"/>
        <v>1.0611620795107033</v>
      </c>
      <c r="CN295" s="2739">
        <f t="shared" si="598"/>
        <v>1.4624999999999999</v>
      </c>
      <c r="CO295" s="2739">
        <f t="shared" si="598"/>
        <v>1.4189189189189189</v>
      </c>
      <c r="CP295" s="2739">
        <f t="shared" si="598"/>
        <v>0.90780141843971629</v>
      </c>
      <c r="CQ295" s="2739">
        <f t="shared" si="598"/>
        <v>0.87333333333333329</v>
      </c>
      <c r="CR295" s="2792">
        <f t="shared" si="598"/>
        <v>1.0808988764044944</v>
      </c>
      <c r="CS295" s="2739">
        <f t="shared" si="598"/>
        <v>0.83636363636363631</v>
      </c>
      <c r="CT295" s="2739">
        <f t="shared" si="598"/>
        <v>0.80540540540540539</v>
      </c>
      <c r="CU295" s="2739">
        <f t="shared" si="598"/>
        <v>1.0101522842639594</v>
      </c>
      <c r="CV295" s="2739">
        <f t="shared" si="598"/>
        <v>0.6145038167938931</v>
      </c>
      <c r="CW295" s="2792">
        <f t="shared" si="598"/>
        <v>0.79975278121137205</v>
      </c>
      <c r="CX295" s="2739">
        <f t="shared" si="598"/>
        <v>0.65151515151515149</v>
      </c>
      <c r="CY295" s="2739">
        <f t="shared" si="598"/>
        <v>0.83505154639175261</v>
      </c>
      <c r="CZ295" s="2739">
        <f t="shared" si="598"/>
        <v>0.80341880341880345</v>
      </c>
      <c r="DA295" s="2739">
        <f t="shared" si="598"/>
        <v>0.77862595419847325</v>
      </c>
      <c r="DB295" s="2792">
        <f t="shared" si="598"/>
        <v>0.76100628930817615</v>
      </c>
      <c r="DC295" s="2739">
        <f t="shared" si="598"/>
        <v>0.7466666666666667</v>
      </c>
      <c r="DD295" s="2739">
        <f t="shared" si="598"/>
        <v>0.87586206896551722</v>
      </c>
      <c r="DE295" s="2739">
        <f t="shared" si="598"/>
        <v>0.85616438356164382</v>
      </c>
      <c r="DF295" s="2739">
        <f t="shared" si="598"/>
        <v>0.81168831168831168</v>
      </c>
      <c r="DG295" s="2792">
        <f t="shared" si="598"/>
        <v>0.82184873949579829</v>
      </c>
      <c r="DH295" s="2739">
        <f t="shared" si="598"/>
        <v>0.72352941176470587</v>
      </c>
      <c r="DI295" s="2739">
        <f t="shared" si="598"/>
        <v>0.77160493827160492</v>
      </c>
      <c r="DJ295" s="2739">
        <f t="shared" si="598"/>
        <v>0.75483870967741939</v>
      </c>
      <c r="DK295" s="2739">
        <f t="shared" si="598"/>
        <v>0.63372093023255816</v>
      </c>
      <c r="DL295" s="2792">
        <f t="shared" si="598"/>
        <v>0.71927162367223063</v>
      </c>
      <c r="DM295" s="2739">
        <f t="shared" si="598"/>
        <v>1</v>
      </c>
      <c r="DN295" s="2739">
        <f t="shared" si="598"/>
        <v>0.91891891891891897</v>
      </c>
      <c r="DO295" s="2739">
        <f t="shared" si="598"/>
        <v>0.7303370786516854</v>
      </c>
      <c r="DP295" s="2739">
        <f t="shared" si="598"/>
        <v>0.6705022701215313</v>
      </c>
      <c r="DQ295" s="2792">
        <f t="shared" si="598"/>
        <v>0.81037815059942175</v>
      </c>
      <c r="DR295" s="2739"/>
      <c r="DS295" s="2739"/>
      <c r="DT295" s="2739"/>
      <c r="DU295" s="2739"/>
      <c r="DV295" s="2792"/>
      <c r="DW295" s="2739"/>
      <c r="DX295" s="2739"/>
      <c r="DY295" s="2739"/>
      <c r="DZ295" s="2739"/>
      <c r="EA295" s="2792"/>
      <c r="EB295" s="2739"/>
      <c r="EC295" s="2739"/>
      <c r="ED295" s="2739"/>
      <c r="EE295" s="2739"/>
      <c r="EF295" s="2792"/>
      <c r="EG295" s="2739"/>
      <c r="EH295" s="2739"/>
      <c r="EI295" s="2739"/>
      <c r="EJ295" s="2739"/>
      <c r="EK295" s="2792"/>
      <c r="EL295" s="2739"/>
      <c r="EM295" s="2739"/>
      <c r="EN295" s="2739"/>
      <c r="EO295" s="2739"/>
      <c r="EP295" s="2792"/>
      <c r="EQ295" s="2739"/>
      <c r="ER295" s="2739"/>
      <c r="ES295" s="2739"/>
      <c r="ET295" s="2739"/>
      <c r="EU295" s="2792"/>
      <c r="EV295" s="2792"/>
      <c r="EW295" s="2792"/>
      <c r="EX295" s="2792"/>
      <c r="EY295" s="2792"/>
      <c r="FA295" s="4276"/>
      <c r="FB295" s="4276"/>
    </row>
    <row r="296" spans="1:158" s="767" customFormat="1" hidden="1">
      <c r="A296" s="3567" t="s">
        <v>449</v>
      </c>
      <c r="B296" s="404"/>
      <c r="C296" s="404"/>
      <c r="D296" s="404"/>
      <c r="E296" s="404"/>
      <c r="F296" s="404"/>
      <c r="G296" s="404"/>
      <c r="H296" s="404"/>
      <c r="I296" s="404"/>
      <c r="J296" s="404"/>
      <c r="K296" s="404"/>
      <c r="L296" s="404"/>
      <c r="M296" s="404"/>
      <c r="N296" s="404"/>
      <c r="O296" s="404"/>
      <c r="P296" s="404"/>
      <c r="Q296" s="404"/>
      <c r="R296" s="404"/>
      <c r="S296" s="404"/>
      <c r="T296" s="404"/>
      <c r="U296" s="404"/>
      <c r="V296" s="404"/>
      <c r="W296" s="404"/>
      <c r="X296" s="404"/>
      <c r="Y296" s="404"/>
      <c r="Z296" s="404"/>
      <c r="AA296" s="404"/>
      <c r="AB296" s="404"/>
      <c r="AC296" s="404"/>
      <c r="AD296" s="404"/>
      <c r="AE296" s="404"/>
      <c r="AF296" s="404"/>
      <c r="AG296" s="404"/>
      <c r="AH296" s="404"/>
      <c r="AI296" s="404"/>
      <c r="AJ296" s="404"/>
      <c r="AK296" s="404"/>
      <c r="AL296" s="404"/>
      <c r="AM296" s="404"/>
      <c r="AN296" s="404"/>
      <c r="AO296" s="404"/>
      <c r="AP296" s="404"/>
      <c r="AQ296" s="404"/>
      <c r="AR296" s="404"/>
      <c r="AS296" s="404"/>
      <c r="AT296" s="404"/>
      <c r="AU296" s="404"/>
      <c r="AV296" s="404"/>
      <c r="AW296" s="404"/>
      <c r="AX296" s="404"/>
      <c r="AY296" s="404"/>
      <c r="AZ296" s="404"/>
      <c r="BA296" s="404"/>
      <c r="BB296" s="404"/>
      <c r="BC296" s="404"/>
      <c r="BD296" s="404"/>
      <c r="BE296" s="404"/>
      <c r="BF296" s="404"/>
      <c r="BG296" s="404"/>
      <c r="BH296" s="404"/>
      <c r="BI296" s="404"/>
      <c r="BJ296" s="404"/>
      <c r="BK296" s="404"/>
      <c r="BL296" s="404"/>
      <c r="BM296" s="404"/>
      <c r="BN296" s="404"/>
      <c r="BO296" s="404"/>
      <c r="BP296" s="404"/>
      <c r="BQ296" s="404"/>
      <c r="BR296" s="404"/>
      <c r="BS296" s="404"/>
      <c r="BT296" s="404"/>
      <c r="BU296" s="404"/>
      <c r="BV296" s="404"/>
      <c r="BW296" s="404"/>
      <c r="BX296" s="404"/>
      <c r="BY296" s="404"/>
      <c r="BZ296" s="404"/>
      <c r="CA296" s="404"/>
      <c r="CB296" s="404"/>
      <c r="CC296" s="404"/>
      <c r="CD296" s="404"/>
      <c r="CE296" s="404"/>
      <c r="CF296" s="404"/>
      <c r="CG296" s="404"/>
      <c r="CH296" s="2793">
        <f>+CH267/CH$261</f>
        <v>-43.916666666666664</v>
      </c>
      <c r="CI296" s="2794" t="str">
        <f>+IFERROR(CI267/CI$261,"N/A")</f>
        <v>N/A</v>
      </c>
      <c r="CJ296" s="2794" t="str">
        <f>+IFERROR(CJ267/CJ$261,"N/A")</f>
        <v>N/A</v>
      </c>
      <c r="CK296" s="2794" t="str">
        <f>+IFERROR(CK267/CK$261,"N/A")</f>
        <v>N/A</v>
      </c>
      <c r="CL296" s="2795">
        <f t="shared" ref="CL296:DQ296" si="599">+CL267/CL$261</f>
        <v>-5.9811320754716979</v>
      </c>
      <c r="CM296" s="2793">
        <f t="shared" si="599"/>
        <v>-5.9388379204892967</v>
      </c>
      <c r="CN296" s="2795">
        <f t="shared" si="599"/>
        <v>-7.9124999999999996</v>
      </c>
      <c r="CO296" s="2795">
        <f t="shared" si="599"/>
        <v>-8.9189189189189193</v>
      </c>
      <c r="CP296" s="2795">
        <f t="shared" si="599"/>
        <v>-6.9503546099290778</v>
      </c>
      <c r="CQ296" s="2795">
        <f t="shared" si="599"/>
        <v>-8.086666666666666</v>
      </c>
      <c r="CR296" s="2793">
        <f t="shared" si="599"/>
        <v>-7.833707865168539</v>
      </c>
      <c r="CS296" s="2795">
        <f t="shared" si="599"/>
        <v>-4.6909090909090905</v>
      </c>
      <c r="CT296" s="2795">
        <f t="shared" si="599"/>
        <v>-4.6216216216216219</v>
      </c>
      <c r="CU296" s="2795">
        <f t="shared" si="599"/>
        <v>-4.3705583756345181</v>
      </c>
      <c r="CV296" s="2795">
        <f t="shared" si="599"/>
        <v>-4.1526717557251906</v>
      </c>
      <c r="CW296" s="2793">
        <f t="shared" si="599"/>
        <v>-4.4227441285537701</v>
      </c>
      <c r="CX296" s="2795">
        <f t="shared" si="599"/>
        <v>-5.3257575757575761</v>
      </c>
      <c r="CY296" s="2795">
        <f t="shared" si="599"/>
        <v>-6.5257731958762886</v>
      </c>
      <c r="CZ296" s="2795">
        <f t="shared" si="599"/>
        <v>-5.5555555555555554</v>
      </c>
      <c r="DA296" s="2795">
        <f t="shared" si="599"/>
        <v>-5.7099236641221376</v>
      </c>
      <c r="DB296" s="2793">
        <f t="shared" si="599"/>
        <v>-5.7316561844863729</v>
      </c>
      <c r="DC296" s="2795">
        <f t="shared" si="599"/>
        <v>-3.8066666666666666</v>
      </c>
      <c r="DD296" s="2795">
        <f t="shared" si="599"/>
        <v>-5.0482758620689658</v>
      </c>
      <c r="DE296" s="2795">
        <f t="shared" si="599"/>
        <v>-4.9794520547945202</v>
      </c>
      <c r="DF296" s="2795">
        <f t="shared" si="599"/>
        <v>-8.6233766233766236</v>
      </c>
      <c r="DG296" s="2793">
        <f t="shared" si="599"/>
        <v>-5.643697478991597</v>
      </c>
      <c r="DH296" s="2795">
        <f t="shared" si="599"/>
        <v>-5.1058823529411761</v>
      </c>
      <c r="DI296" s="2795">
        <f t="shared" si="599"/>
        <v>-6.1049382716049383</v>
      </c>
      <c r="DJ296" s="2795">
        <f t="shared" si="599"/>
        <v>-6.0709677419354842</v>
      </c>
      <c r="DK296" s="2795">
        <f t="shared" si="599"/>
        <v>-11.779069767441861</v>
      </c>
      <c r="DL296" s="2793">
        <f t="shared" si="599"/>
        <v>-7.3201820940819422</v>
      </c>
      <c r="DM296" s="2795">
        <f t="shared" si="599"/>
        <v>-8.3037037037037038</v>
      </c>
      <c r="DN296" s="2795">
        <f t="shared" si="599"/>
        <v>-7.5405405405405403</v>
      </c>
      <c r="DO296" s="2795">
        <f t="shared" si="599"/>
        <v>-6.1966292134831464</v>
      </c>
      <c r="DP296" s="2795">
        <f t="shared" si="599"/>
        <v>-5.795918367346939</v>
      </c>
      <c r="DQ296" s="2793">
        <f t="shared" si="599"/>
        <v>-6.8127853881278542</v>
      </c>
      <c r="DR296" s="2795"/>
      <c r="DS296" s="2795"/>
      <c r="DT296" s="2795"/>
      <c r="DU296" s="2795"/>
      <c r="DV296" s="2793"/>
      <c r="DW296" s="2795"/>
      <c r="DX296" s="2795"/>
      <c r="DY296" s="2795"/>
      <c r="DZ296" s="2795"/>
      <c r="EA296" s="2793"/>
      <c r="EB296" s="2795"/>
      <c r="EC296" s="2795"/>
      <c r="ED296" s="2795"/>
      <c r="EE296" s="2795"/>
      <c r="EF296" s="2793"/>
      <c r="EG296" s="2795"/>
      <c r="EH296" s="2795"/>
      <c r="EI296" s="2795"/>
      <c r="EJ296" s="2795"/>
      <c r="EK296" s="2793"/>
      <c r="EL296" s="2795"/>
      <c r="EM296" s="2795"/>
      <c r="EN296" s="2795"/>
      <c r="EO296" s="2795"/>
      <c r="EP296" s="2793"/>
      <c r="EQ296" s="2795"/>
      <c r="ER296" s="2795"/>
      <c r="ES296" s="2795"/>
      <c r="ET296" s="2795"/>
      <c r="EU296" s="2793"/>
      <c r="EV296" s="2793"/>
      <c r="EW296" s="2793"/>
      <c r="EX296" s="2793"/>
      <c r="EY296" s="2793"/>
      <c r="FA296" s="4276"/>
      <c r="FB296" s="4276"/>
    </row>
    <row r="297" spans="1:158" s="767" customFormat="1" hidden="1">
      <c r="A297" s="3568" t="s">
        <v>450</v>
      </c>
      <c r="B297" s="404"/>
      <c r="C297" s="404"/>
      <c r="D297" s="404"/>
      <c r="E297" s="404"/>
      <c r="F297" s="404"/>
      <c r="G297" s="404"/>
      <c r="H297" s="404"/>
      <c r="I297" s="404"/>
      <c r="J297" s="404"/>
      <c r="K297" s="404"/>
      <c r="L297" s="404"/>
      <c r="M297" s="404"/>
      <c r="N297" s="404"/>
      <c r="O297" s="404"/>
      <c r="P297" s="404"/>
      <c r="Q297" s="404"/>
      <c r="R297" s="404"/>
      <c r="S297" s="404"/>
      <c r="T297" s="404"/>
      <c r="U297" s="404"/>
      <c r="V297" s="404"/>
      <c r="W297" s="404"/>
      <c r="X297" s="404"/>
      <c r="Y297" s="404"/>
      <c r="Z297" s="404"/>
      <c r="AA297" s="404"/>
      <c r="AB297" s="404"/>
      <c r="AC297" s="404"/>
      <c r="AD297" s="404"/>
      <c r="AE297" s="404"/>
      <c r="AF297" s="404"/>
      <c r="AG297" s="404"/>
      <c r="AH297" s="404"/>
      <c r="AI297" s="404"/>
      <c r="AJ297" s="404"/>
      <c r="AK297" s="404"/>
      <c r="AL297" s="404"/>
      <c r="AM297" s="404"/>
      <c r="AN297" s="404"/>
      <c r="AO297" s="404"/>
      <c r="AP297" s="404"/>
      <c r="AQ297" s="404"/>
      <c r="AR297" s="404"/>
      <c r="AS297" s="404"/>
      <c r="AT297" s="404"/>
      <c r="AU297" s="404"/>
      <c r="AV297" s="404"/>
      <c r="AW297" s="404"/>
      <c r="AX297" s="404"/>
      <c r="AY297" s="404"/>
      <c r="AZ297" s="404"/>
      <c r="BA297" s="404"/>
      <c r="BB297" s="404"/>
      <c r="BC297" s="404"/>
      <c r="BD297" s="404"/>
      <c r="BE297" s="404"/>
      <c r="BF297" s="404"/>
      <c r="BG297" s="404"/>
      <c r="BH297" s="404"/>
      <c r="BI297" s="404"/>
      <c r="BJ297" s="404"/>
      <c r="BK297" s="404"/>
      <c r="BL297" s="404"/>
      <c r="BM297" s="404"/>
      <c r="BN297" s="404"/>
      <c r="BO297" s="404"/>
      <c r="BP297" s="404"/>
      <c r="BQ297" s="404"/>
      <c r="BR297" s="404"/>
      <c r="BS297" s="404"/>
      <c r="BT297" s="404"/>
      <c r="BU297" s="404"/>
      <c r="BV297" s="404"/>
      <c r="BW297" s="404"/>
      <c r="BX297" s="404"/>
      <c r="BY297" s="404"/>
      <c r="BZ297" s="404"/>
      <c r="CA297" s="404"/>
      <c r="CB297" s="404"/>
      <c r="CC297" s="404"/>
      <c r="CD297" s="404"/>
      <c r="CE297" s="404"/>
      <c r="CF297" s="404"/>
      <c r="CG297" s="404"/>
      <c r="CH297" s="2792">
        <f>+CH272/CH$261</f>
        <v>15.583333333333334</v>
      </c>
      <c r="CI297" s="2738" t="str">
        <f>+IFERROR(CI272/CI$261,"N/A")</f>
        <v>N/A</v>
      </c>
      <c r="CJ297" s="2738" t="str">
        <f>+IFERROR(CJ272/CJ$261,"N/A")</f>
        <v>N/A</v>
      </c>
      <c r="CK297" s="2738" t="str">
        <f>+IFERROR(CK272/CK$261,"N/A")</f>
        <v>N/A</v>
      </c>
      <c r="CL297" s="2739">
        <f t="shared" ref="CL297:DQ297" si="600">+CL272/CL$261</f>
        <v>1.3396226415094339</v>
      </c>
      <c r="CM297" s="2792">
        <f t="shared" si="600"/>
        <v>1.5321100917431192</v>
      </c>
      <c r="CN297" s="2739">
        <f t="shared" si="600"/>
        <v>1.9624999999999999</v>
      </c>
      <c r="CO297" s="2739">
        <f t="shared" si="600"/>
        <v>3.1351351351351351</v>
      </c>
      <c r="CP297" s="2739">
        <f t="shared" si="600"/>
        <v>1.9219858156028369</v>
      </c>
      <c r="CQ297" s="2739">
        <f t="shared" si="600"/>
        <v>1.2866666666666666</v>
      </c>
      <c r="CR297" s="2792">
        <f t="shared" si="600"/>
        <v>1.9168539325842697</v>
      </c>
      <c r="CS297" s="2739">
        <f t="shared" si="600"/>
        <v>1.6787878787878787</v>
      </c>
      <c r="CT297" s="2739">
        <f t="shared" si="600"/>
        <v>1.5135135135135136</v>
      </c>
      <c r="CU297" s="2739">
        <f t="shared" si="600"/>
        <v>1.6446700507614214</v>
      </c>
      <c r="CV297" s="2739">
        <f t="shared" si="600"/>
        <v>1.9236641221374047</v>
      </c>
      <c r="CW297" s="2792">
        <f t="shared" si="600"/>
        <v>1.7119901112484548</v>
      </c>
      <c r="CX297" s="2739">
        <f t="shared" si="600"/>
        <v>1.2651515151515151</v>
      </c>
      <c r="CY297" s="2739">
        <f t="shared" si="600"/>
        <v>1.5257731958762886</v>
      </c>
      <c r="CZ297" s="2739">
        <f t="shared" si="600"/>
        <v>0.62393162393162394</v>
      </c>
      <c r="DA297" s="2739">
        <f t="shared" si="600"/>
        <v>0.80152671755725191</v>
      </c>
      <c r="DB297" s="2792">
        <f t="shared" si="600"/>
        <v>1.0335429769392033</v>
      </c>
      <c r="DC297" s="2739">
        <f t="shared" si="600"/>
        <v>0.36666666666666664</v>
      </c>
      <c r="DD297" s="2739">
        <f t="shared" si="600"/>
        <v>6.8965517241379309E-2</v>
      </c>
      <c r="DE297" s="2739">
        <f t="shared" si="600"/>
        <v>0.37671232876712329</v>
      </c>
      <c r="DF297" s="2739">
        <f t="shared" si="600"/>
        <v>0.39610389610389612</v>
      </c>
      <c r="DG297" s="2792">
        <f t="shared" si="600"/>
        <v>0.30420168067226888</v>
      </c>
      <c r="DH297" s="2739">
        <f t="shared" si="600"/>
        <v>0.34705882352941175</v>
      </c>
      <c r="DI297" s="2739">
        <f t="shared" si="600"/>
        <v>0.40123456790123457</v>
      </c>
      <c r="DJ297" s="2739">
        <f t="shared" si="600"/>
        <v>0.45806451612903226</v>
      </c>
      <c r="DK297" s="2739">
        <f t="shared" si="600"/>
        <v>0.5</v>
      </c>
      <c r="DL297" s="2792">
        <f t="shared" si="600"/>
        <v>0.42640364188163887</v>
      </c>
      <c r="DM297" s="2739">
        <f t="shared" si="600"/>
        <v>0.77037037037037037</v>
      </c>
      <c r="DN297" s="2739">
        <f t="shared" si="600"/>
        <v>0.64864864864864868</v>
      </c>
      <c r="DO297" s="2739">
        <f t="shared" si="600"/>
        <v>0.6741573033707865</v>
      </c>
      <c r="DP297" s="2739">
        <f t="shared" si="600"/>
        <v>0.61428571428571421</v>
      </c>
      <c r="DQ297" s="2792">
        <f t="shared" si="600"/>
        <v>0.67031963470319633</v>
      </c>
      <c r="DR297" s="2739"/>
      <c r="DS297" s="2739"/>
      <c r="DT297" s="2739"/>
      <c r="DU297" s="2739"/>
      <c r="DV297" s="2792"/>
      <c r="DW297" s="2739"/>
      <c r="DX297" s="2739"/>
      <c r="DY297" s="2739"/>
      <c r="DZ297" s="2739"/>
      <c r="EA297" s="2792"/>
      <c r="EB297" s="2739"/>
      <c r="EC297" s="2739"/>
      <c r="ED297" s="2739"/>
      <c r="EE297" s="2739"/>
      <c r="EF297" s="2792"/>
      <c r="EG297" s="2739"/>
      <c r="EH297" s="2739"/>
      <c r="EI297" s="2739"/>
      <c r="EJ297" s="2739"/>
      <c r="EK297" s="2792"/>
      <c r="EL297" s="2739"/>
      <c r="EM297" s="2739"/>
      <c r="EN297" s="2739"/>
      <c r="EO297" s="2739"/>
      <c r="EP297" s="2792"/>
      <c r="EQ297" s="2739"/>
      <c r="ER297" s="2739"/>
      <c r="ES297" s="2739"/>
      <c r="ET297" s="2739"/>
      <c r="EU297" s="2792"/>
      <c r="EV297" s="2792"/>
      <c r="EW297" s="2792"/>
      <c r="EX297" s="2792"/>
      <c r="EY297" s="2792"/>
      <c r="FA297" s="4276"/>
      <c r="FB297" s="4276"/>
    </row>
    <row r="298" spans="1:158" s="766" customFormat="1" hidden="1">
      <c r="A298" s="3560" t="s">
        <v>451</v>
      </c>
      <c r="B298" s="157"/>
      <c r="C298" s="157"/>
      <c r="D298" s="157"/>
      <c r="E298" s="157"/>
      <c r="F298" s="157"/>
      <c r="G298" s="157"/>
      <c r="H298" s="157"/>
      <c r="I298" s="157"/>
      <c r="J298" s="157"/>
      <c r="K298" s="157"/>
      <c r="L298" s="157"/>
      <c r="M298" s="157"/>
      <c r="N298" s="157"/>
      <c r="O298" s="157"/>
      <c r="P298" s="157"/>
      <c r="Q298" s="157"/>
      <c r="R298" s="157"/>
      <c r="S298" s="157"/>
      <c r="T298" s="157"/>
      <c r="U298" s="157"/>
      <c r="V298" s="157"/>
      <c r="W298" s="157"/>
      <c r="X298" s="157"/>
      <c r="Y298" s="157"/>
      <c r="Z298" s="157"/>
      <c r="AA298" s="157"/>
      <c r="AB298" s="157"/>
      <c r="AC298" s="157"/>
      <c r="AD298" s="157"/>
      <c r="AE298" s="157"/>
      <c r="AF298" s="157"/>
      <c r="AG298" s="157"/>
      <c r="AH298" s="157"/>
      <c r="AI298" s="157"/>
      <c r="AJ298" s="157"/>
      <c r="AK298" s="157"/>
      <c r="AL298" s="157"/>
      <c r="AM298" s="157"/>
      <c r="AN298" s="157"/>
      <c r="AO298" s="157"/>
      <c r="AP298" s="157"/>
      <c r="AQ298" s="157"/>
      <c r="AR298" s="157"/>
      <c r="AS298" s="157"/>
      <c r="AT298" s="157"/>
      <c r="AU298" s="157"/>
      <c r="AV298" s="157"/>
      <c r="AW298" s="157"/>
      <c r="AX298" s="157"/>
      <c r="AY298" s="157"/>
      <c r="AZ298" s="157"/>
      <c r="BA298" s="157"/>
      <c r="BB298" s="157"/>
      <c r="BC298" s="157"/>
      <c r="BD298" s="157"/>
      <c r="BE298" s="157"/>
      <c r="BF298" s="157"/>
      <c r="BG298" s="157"/>
      <c r="BH298" s="157"/>
      <c r="BI298" s="157"/>
      <c r="BJ298" s="157"/>
      <c r="BK298" s="157"/>
      <c r="BL298" s="157"/>
      <c r="BM298" s="157"/>
      <c r="BN298" s="157"/>
      <c r="BO298" s="157"/>
      <c r="BP298" s="157"/>
      <c r="BQ298" s="157"/>
      <c r="BR298" s="157"/>
      <c r="BS298" s="157"/>
      <c r="BT298" s="157"/>
      <c r="BU298" s="157"/>
      <c r="BV298" s="157"/>
      <c r="BW298" s="157"/>
      <c r="BX298" s="157"/>
      <c r="BY298" s="157"/>
      <c r="BZ298" s="157"/>
      <c r="CA298" s="157"/>
      <c r="CB298" s="157"/>
      <c r="CC298" s="157"/>
      <c r="CD298" s="157"/>
      <c r="CE298" s="157"/>
      <c r="CF298" s="157"/>
      <c r="CG298" s="157"/>
      <c r="CH298" s="2796">
        <f>+CH264/CH$261</f>
        <v>2</v>
      </c>
      <c r="CI298" s="2797" t="str">
        <f>+IFERROR(CI264/CI$261,"N/A")</f>
        <v>N/A</v>
      </c>
      <c r="CJ298" s="2797" t="str">
        <f>+IFERROR(CJ264/CJ$261,"N/A")</f>
        <v>N/A</v>
      </c>
      <c r="CK298" s="2797" t="str">
        <f>+IFERROR(CK264/CK$261,"N/A")</f>
        <v>N/A</v>
      </c>
      <c r="CL298" s="2798">
        <f t="shared" ref="CL298:DQ298" si="601">+CL264/CL$261</f>
        <v>0.48113207547169812</v>
      </c>
      <c r="CM298" s="2796">
        <f t="shared" si="601"/>
        <v>0.45259938837920488</v>
      </c>
      <c r="CN298" s="2798">
        <f t="shared" si="601"/>
        <v>0.5</v>
      </c>
      <c r="CO298" s="2798">
        <f t="shared" si="601"/>
        <v>0.60810810810810811</v>
      </c>
      <c r="CP298" s="2798">
        <f t="shared" si="601"/>
        <v>0.34042553191489361</v>
      </c>
      <c r="CQ298" s="2798">
        <f t="shared" si="601"/>
        <v>0.46666666666666667</v>
      </c>
      <c r="CR298" s="2796">
        <f t="shared" si="601"/>
        <v>0.45617977528089887</v>
      </c>
      <c r="CS298" s="2798">
        <f t="shared" si="601"/>
        <v>0.32727272727272727</v>
      </c>
      <c r="CT298" s="2798">
        <f t="shared" si="601"/>
        <v>0.43783783783783786</v>
      </c>
      <c r="CU298" s="2798">
        <f t="shared" si="601"/>
        <v>0.52791878172588835</v>
      </c>
      <c r="CV298" s="2798">
        <f t="shared" si="601"/>
        <v>0.38549618320610685</v>
      </c>
      <c r="CW298" s="2796">
        <f t="shared" si="601"/>
        <v>0.42027194066749074</v>
      </c>
      <c r="CX298" s="2798">
        <f t="shared" si="601"/>
        <v>0.65909090909090906</v>
      </c>
      <c r="CY298" s="2798">
        <f t="shared" si="601"/>
        <v>0.62886597938144329</v>
      </c>
      <c r="CZ298" s="2798">
        <f t="shared" si="601"/>
        <v>0.58119658119658124</v>
      </c>
      <c r="DA298" s="2798">
        <f t="shared" si="601"/>
        <v>0.69465648854961837</v>
      </c>
      <c r="DB298" s="2796">
        <f t="shared" si="601"/>
        <v>0.64360587002096437</v>
      </c>
      <c r="DC298" s="2798">
        <f t="shared" si="601"/>
        <v>0.56666666666666665</v>
      </c>
      <c r="DD298" s="2798">
        <f t="shared" si="601"/>
        <v>0.57241379310344831</v>
      </c>
      <c r="DE298" s="2798">
        <f t="shared" si="601"/>
        <v>0.53424657534246578</v>
      </c>
      <c r="DF298" s="2798">
        <f t="shared" si="601"/>
        <v>0.52597402597402598</v>
      </c>
      <c r="DG298" s="2796">
        <f t="shared" si="601"/>
        <v>0.54957983193277316</v>
      </c>
      <c r="DH298" s="2798">
        <f t="shared" si="601"/>
        <v>0.49411764705882355</v>
      </c>
      <c r="DI298" s="2798">
        <f t="shared" si="601"/>
        <v>0.48765432098765432</v>
      </c>
      <c r="DJ298" s="2798">
        <f t="shared" si="601"/>
        <v>0.53548387096774197</v>
      </c>
      <c r="DK298" s="2798">
        <f t="shared" si="601"/>
        <v>1.8604651162790697</v>
      </c>
      <c r="DL298" s="2796">
        <f t="shared" si="601"/>
        <v>0.85887708649468897</v>
      </c>
      <c r="DM298" s="2798">
        <f t="shared" si="601"/>
        <v>0.68148148148148147</v>
      </c>
      <c r="DN298" s="2798">
        <f t="shared" si="601"/>
        <v>0.63513513513513509</v>
      </c>
      <c r="DO298" s="2798">
        <f t="shared" si="601"/>
        <v>0.5337078651685393</v>
      </c>
      <c r="DP298" s="2798">
        <f t="shared" si="601"/>
        <v>0.48951020408163243</v>
      </c>
      <c r="DQ298" s="2796">
        <f t="shared" si="601"/>
        <v>0.57373515981735157</v>
      </c>
      <c r="DR298" s="2798"/>
      <c r="DS298" s="2798"/>
      <c r="DT298" s="2798"/>
      <c r="DU298" s="2798"/>
      <c r="DV298" s="2796"/>
      <c r="DW298" s="2798"/>
      <c r="DX298" s="2798"/>
      <c r="DY298" s="2798"/>
      <c r="DZ298" s="2798"/>
      <c r="EA298" s="2796"/>
      <c r="EB298" s="2798"/>
      <c r="EC298" s="2798"/>
      <c r="ED298" s="2798"/>
      <c r="EE298" s="2798"/>
      <c r="EF298" s="2796"/>
      <c r="EG298" s="2798"/>
      <c r="EH298" s="2798"/>
      <c r="EI298" s="2798"/>
      <c r="EJ298" s="2798"/>
      <c r="EK298" s="2796"/>
      <c r="EL298" s="2798"/>
      <c r="EM298" s="2798"/>
      <c r="EN298" s="2798"/>
      <c r="EO298" s="2798"/>
      <c r="EP298" s="2796"/>
      <c r="EQ298" s="2798"/>
      <c r="ER298" s="2798"/>
      <c r="ES298" s="2798"/>
      <c r="ET298" s="2798"/>
      <c r="EU298" s="2796"/>
      <c r="EV298" s="2796"/>
      <c r="EW298" s="2796"/>
      <c r="EX298" s="2796"/>
      <c r="EY298" s="2796"/>
      <c r="EZ298" s="767"/>
      <c r="FA298" s="4276"/>
      <c r="FB298" s="4276"/>
    </row>
    <row r="299" spans="1:158" s="766" customFormat="1" hidden="1">
      <c r="A299" s="3957"/>
      <c r="B299" s="3958"/>
      <c r="C299" s="3958"/>
      <c r="D299" s="3958"/>
      <c r="E299" s="3958"/>
      <c r="F299" s="3958"/>
      <c r="G299" s="3958"/>
      <c r="H299" s="3958"/>
      <c r="I299" s="3958"/>
      <c r="J299" s="3958"/>
      <c r="K299" s="3958"/>
      <c r="L299" s="3958"/>
      <c r="M299" s="3958"/>
      <c r="N299" s="3958"/>
      <c r="O299" s="3958"/>
      <c r="P299" s="3958"/>
      <c r="Q299" s="3958"/>
      <c r="R299" s="3958"/>
      <c r="S299" s="3958"/>
      <c r="T299" s="3958"/>
      <c r="U299" s="3958"/>
      <c r="V299" s="3958"/>
      <c r="W299" s="3958"/>
      <c r="X299" s="3958"/>
      <c r="Y299" s="3958"/>
      <c r="Z299" s="3958"/>
      <c r="AA299" s="3958"/>
      <c r="AB299" s="3958"/>
      <c r="AC299" s="3958"/>
      <c r="AD299" s="3958"/>
      <c r="AE299" s="3958"/>
      <c r="AF299" s="3958"/>
      <c r="AG299" s="3958"/>
      <c r="AH299" s="3958"/>
      <c r="AI299" s="3958"/>
      <c r="AJ299" s="3958"/>
      <c r="AK299" s="3958"/>
      <c r="AL299" s="3958"/>
      <c r="AM299" s="3958"/>
      <c r="AN299" s="3958"/>
      <c r="AO299" s="3958"/>
      <c r="AP299" s="3958"/>
      <c r="AQ299" s="3958"/>
      <c r="AR299" s="3958"/>
      <c r="AS299" s="3958"/>
      <c r="AT299" s="3958"/>
      <c r="AU299" s="3958"/>
      <c r="AV299" s="3958"/>
      <c r="AW299" s="3958"/>
      <c r="AX299" s="3958"/>
      <c r="AY299" s="3958"/>
      <c r="AZ299" s="3958"/>
      <c r="BA299" s="3958"/>
      <c r="BB299" s="3958"/>
      <c r="BC299" s="3958"/>
      <c r="BD299" s="3958"/>
      <c r="BE299" s="3958"/>
      <c r="BF299" s="3958"/>
      <c r="BG299" s="3958"/>
      <c r="BH299" s="3958"/>
      <c r="BI299" s="3958"/>
      <c r="BJ299" s="3958"/>
      <c r="BK299" s="3958"/>
      <c r="BL299" s="3958"/>
      <c r="BM299" s="3958"/>
      <c r="BN299" s="3958"/>
      <c r="BO299" s="3958"/>
      <c r="BP299" s="3958"/>
      <c r="BQ299" s="3958"/>
      <c r="BR299" s="3958"/>
      <c r="BS299" s="3958"/>
      <c r="BT299" s="3958"/>
      <c r="BU299" s="3958"/>
      <c r="BV299" s="3958"/>
      <c r="BW299" s="3958"/>
      <c r="BX299" s="3958"/>
      <c r="BY299" s="3958"/>
      <c r="BZ299" s="3958"/>
      <c r="CA299" s="3958"/>
      <c r="CB299" s="3958"/>
      <c r="CC299" s="3958"/>
      <c r="CD299" s="3958"/>
      <c r="CE299" s="3958"/>
      <c r="CF299" s="3958"/>
      <c r="CG299" s="3958"/>
      <c r="CH299" s="3959"/>
      <c r="CI299" s="3960"/>
      <c r="CJ299" s="3960"/>
      <c r="CK299" s="3960"/>
      <c r="CL299" s="3961"/>
      <c r="CM299" s="3959"/>
      <c r="CN299" s="3961"/>
      <c r="CO299" s="3961"/>
      <c r="CP299" s="3961"/>
      <c r="CQ299" s="3961"/>
      <c r="CR299" s="3959"/>
      <c r="CS299" s="3961"/>
      <c r="CT299" s="3961"/>
      <c r="CU299" s="3961"/>
      <c r="CV299" s="3961"/>
      <c r="CW299" s="3959"/>
      <c r="CX299" s="3961"/>
      <c r="CY299" s="3961"/>
      <c r="CZ299" s="3961"/>
      <c r="DA299" s="3961"/>
      <c r="DB299" s="3959"/>
      <c r="DC299" s="3961"/>
      <c r="DD299" s="3961"/>
      <c r="DE299" s="3961"/>
      <c r="DF299" s="3961"/>
      <c r="DG299" s="3959"/>
      <c r="DH299" s="3961"/>
      <c r="DI299" s="3961"/>
      <c r="DJ299" s="3961"/>
      <c r="DK299" s="3961"/>
      <c r="DL299" s="3959"/>
      <c r="DM299" s="3961"/>
      <c r="DN299" s="3961"/>
      <c r="DO299" s="3961"/>
      <c r="DP299" s="3961"/>
      <c r="DQ299" s="3959"/>
      <c r="DR299" s="3961"/>
      <c r="DS299" s="3961"/>
      <c r="DT299" s="3961"/>
      <c r="DU299" s="3961"/>
      <c r="DV299" s="3959"/>
      <c r="DW299" s="3961"/>
      <c r="DX299" s="3961"/>
      <c r="DY299" s="3961"/>
      <c r="DZ299" s="3961"/>
      <c r="EA299" s="3959"/>
      <c r="EB299" s="3961"/>
      <c r="EC299" s="3961"/>
      <c r="ED299" s="3961"/>
      <c r="EE299" s="3961"/>
      <c r="EF299" s="3959"/>
      <c r="EG299" s="3961"/>
      <c r="EH299" s="3961"/>
      <c r="EI299" s="3961"/>
      <c r="EJ299" s="3961"/>
      <c r="EK299" s="3959"/>
      <c r="EL299" s="3961"/>
      <c r="EM299" s="3961"/>
      <c r="EN299" s="3961"/>
      <c r="EO299" s="3961"/>
      <c r="EP299" s="3959"/>
      <c r="EQ299" s="3961"/>
      <c r="ER299" s="3961"/>
      <c r="ES299" s="3961"/>
      <c r="ET299" s="3961"/>
      <c r="EU299" s="3959"/>
      <c r="EV299" s="3959"/>
      <c r="EW299" s="3959"/>
      <c r="EX299" s="3959"/>
      <c r="EY299" s="3959"/>
      <c r="EZ299" s="767"/>
      <c r="FA299" s="4276"/>
      <c r="FB299" s="4276"/>
    </row>
    <row r="300" spans="1:158" hidden="1">
      <c r="A300" s="1786" t="s">
        <v>452</v>
      </c>
      <c r="B300" s="2799"/>
      <c r="C300" s="2799"/>
      <c r="D300" s="2799"/>
      <c r="E300" s="2799"/>
      <c r="F300" s="2799"/>
      <c r="G300" s="2799"/>
      <c r="H300" s="2799"/>
      <c r="I300" s="2799"/>
      <c r="J300" s="2799"/>
      <c r="K300" s="2799"/>
      <c r="L300" s="2799"/>
      <c r="M300" s="2799"/>
      <c r="N300" s="2799"/>
      <c r="O300" s="2799"/>
      <c r="P300" s="2799"/>
      <c r="Q300" s="2799"/>
      <c r="R300" s="2799"/>
      <c r="S300" s="2799"/>
      <c r="T300" s="2799"/>
      <c r="U300" s="2799"/>
      <c r="V300" s="2799"/>
      <c r="W300" s="2799"/>
      <c r="X300" s="2799"/>
      <c r="Y300" s="2799"/>
      <c r="Z300" s="2799"/>
      <c r="AA300" s="2799"/>
      <c r="AB300" s="2799"/>
      <c r="AC300" s="2799"/>
      <c r="AD300" s="2799"/>
      <c r="AE300" s="2799"/>
      <c r="AF300" s="2799"/>
      <c r="AG300" s="2799"/>
      <c r="AH300" s="2799"/>
      <c r="AI300" s="2799"/>
      <c r="AJ300" s="2799"/>
      <c r="AK300" s="2799"/>
      <c r="AL300" s="2799"/>
      <c r="AM300" s="2799"/>
      <c r="AN300" s="2799"/>
      <c r="AO300" s="2799"/>
      <c r="AP300" s="2799"/>
      <c r="AQ300" s="2799"/>
      <c r="AR300" s="2799"/>
      <c r="AS300" s="2799"/>
      <c r="AT300" s="2799"/>
      <c r="AU300" s="2799"/>
      <c r="AV300" s="2799"/>
      <c r="AW300" s="2799"/>
      <c r="AX300" s="2799"/>
      <c r="AY300" s="2799"/>
      <c r="AZ300" s="2799"/>
      <c r="BA300" s="2799"/>
      <c r="BB300" s="2799"/>
      <c r="BC300" s="2799"/>
      <c r="BD300" s="2799"/>
      <c r="BE300" s="2799"/>
      <c r="BF300" s="2799"/>
      <c r="BG300" s="2799"/>
      <c r="BH300" s="2799"/>
      <c r="BI300" s="2799"/>
      <c r="BJ300" s="2799"/>
      <c r="BK300" s="2799"/>
      <c r="BL300" s="2799"/>
      <c r="BM300" s="2799"/>
      <c r="BN300" s="2799"/>
      <c r="BO300" s="2799"/>
      <c r="BP300" s="2799"/>
      <c r="BQ300" s="2799"/>
      <c r="BR300" s="2799"/>
      <c r="BS300" s="2799"/>
      <c r="BT300" s="2799"/>
      <c r="BU300" s="2799"/>
      <c r="BV300" s="2799"/>
      <c r="BW300" s="2799"/>
      <c r="BX300" s="2799"/>
      <c r="BY300" s="2799"/>
      <c r="BZ300" s="2799"/>
      <c r="CA300" s="2799"/>
      <c r="CB300" s="2799"/>
      <c r="CC300" s="2799"/>
      <c r="CD300" s="2799"/>
      <c r="CE300" s="2799"/>
      <c r="CF300" s="2799"/>
      <c r="CG300" s="2799"/>
      <c r="CH300" s="2800"/>
      <c r="CI300" s="2801"/>
      <c r="CJ300" s="2801"/>
      <c r="CK300" s="2801"/>
      <c r="CL300" s="2801"/>
      <c r="CM300" s="2800"/>
      <c r="CN300" s="2801"/>
      <c r="CO300" s="2801"/>
      <c r="CP300" s="2801"/>
      <c r="CQ300" s="2801"/>
      <c r="CR300" s="2800"/>
      <c r="CS300" s="2801"/>
      <c r="CT300" s="2801"/>
      <c r="CU300" s="2801"/>
      <c r="CV300" s="2801"/>
      <c r="CW300" s="2800"/>
      <c r="CX300" s="2801"/>
      <c r="CY300" s="2801"/>
      <c r="CZ300" s="2801"/>
      <c r="DA300" s="2801"/>
      <c r="DB300" s="2800"/>
      <c r="DC300" s="2801"/>
      <c r="DD300" s="2801"/>
      <c r="DE300" s="2801"/>
      <c r="DF300" s="2801"/>
      <c r="DG300" s="2800"/>
      <c r="DH300" s="2801"/>
      <c r="DI300" s="2801"/>
      <c r="DJ300" s="2801"/>
      <c r="DK300" s="2801"/>
      <c r="DL300" s="2800"/>
      <c r="DM300" s="2801"/>
      <c r="DN300" s="2801"/>
      <c r="DO300" s="2801"/>
      <c r="DP300" s="2801"/>
      <c r="DQ300" s="2800"/>
      <c r="DR300" s="2801"/>
      <c r="DS300" s="2801"/>
      <c r="DT300" s="2801"/>
      <c r="DU300" s="2801"/>
      <c r="DV300" s="2800"/>
      <c r="DW300" s="2801"/>
      <c r="DX300" s="2801"/>
      <c r="DY300" s="2801"/>
      <c r="DZ300" s="2801"/>
      <c r="EA300" s="2802"/>
      <c r="EB300" s="2801"/>
      <c r="EC300" s="2801"/>
      <c r="ED300" s="2801"/>
      <c r="EE300" s="2801"/>
      <c r="EF300" s="2802"/>
      <c r="EG300" s="2801"/>
      <c r="EH300" s="2801"/>
      <c r="EI300" s="2801"/>
      <c r="EJ300" s="2801"/>
      <c r="EK300" s="2802"/>
      <c r="EL300" s="2801"/>
      <c r="EM300" s="2801"/>
      <c r="EN300" s="2801"/>
      <c r="EO300" s="2801"/>
      <c r="EP300" s="2802"/>
      <c r="EQ300" s="2801"/>
      <c r="ER300" s="2801"/>
      <c r="ES300" s="2801"/>
      <c r="ET300" s="2801"/>
      <c r="EU300" s="2802"/>
      <c r="EV300" s="2802"/>
      <c r="EW300" s="2802"/>
      <c r="EX300" s="2802"/>
      <c r="EY300" s="2802"/>
      <c r="FA300" s="1319"/>
      <c r="FB300" s="1319"/>
    </row>
    <row r="301" spans="1:158" s="768" customFormat="1" hidden="1">
      <c r="A301" s="3552" t="s">
        <v>870</v>
      </c>
      <c r="B301" s="404"/>
      <c r="C301" s="404"/>
      <c r="D301" s="404"/>
      <c r="E301" s="404"/>
      <c r="F301" s="404"/>
      <c r="G301" s="404"/>
      <c r="H301" s="404"/>
      <c r="I301" s="404"/>
      <c r="J301" s="404"/>
      <c r="K301" s="404"/>
      <c r="L301" s="404"/>
      <c r="M301" s="404"/>
      <c r="N301" s="404"/>
      <c r="O301" s="404"/>
      <c r="P301" s="404"/>
      <c r="Q301" s="404"/>
      <c r="R301" s="404"/>
      <c r="S301" s="404"/>
      <c r="T301" s="404"/>
      <c r="U301" s="404"/>
      <c r="V301" s="404"/>
      <c r="W301" s="404"/>
      <c r="X301" s="404"/>
      <c r="Y301" s="404"/>
      <c r="Z301" s="404"/>
      <c r="AA301" s="404"/>
      <c r="AB301" s="404"/>
      <c r="AC301" s="404"/>
      <c r="AD301" s="404"/>
      <c r="AE301" s="404"/>
      <c r="AF301" s="404"/>
      <c r="AG301" s="404"/>
      <c r="AH301" s="404"/>
      <c r="AI301" s="404"/>
      <c r="AJ301" s="404"/>
      <c r="AK301" s="404"/>
      <c r="AL301" s="404"/>
      <c r="AM301" s="404"/>
      <c r="AN301" s="404"/>
      <c r="AO301" s="404"/>
      <c r="AP301" s="404"/>
      <c r="AQ301" s="404"/>
      <c r="AR301" s="404"/>
      <c r="AS301" s="404"/>
      <c r="AT301" s="404"/>
      <c r="AU301" s="404"/>
      <c r="AV301" s="404"/>
      <c r="AW301" s="404"/>
      <c r="AX301" s="404"/>
      <c r="AY301" s="404"/>
      <c r="AZ301" s="404"/>
      <c r="BA301" s="404"/>
      <c r="BB301" s="404"/>
      <c r="BC301" s="404"/>
      <c r="BD301" s="404"/>
      <c r="BE301" s="404"/>
      <c r="BF301" s="404"/>
      <c r="BG301" s="404"/>
      <c r="BH301" s="404"/>
      <c r="BI301" s="404"/>
      <c r="BJ301" s="404"/>
      <c r="BK301" s="404"/>
      <c r="BL301" s="404"/>
      <c r="BM301" s="404"/>
      <c r="BN301" s="404"/>
      <c r="BO301" s="404"/>
      <c r="BP301" s="404"/>
      <c r="BQ301" s="404"/>
      <c r="BR301" s="404"/>
      <c r="BS301" s="404"/>
      <c r="BT301" s="404"/>
      <c r="BU301" s="404"/>
      <c r="BV301" s="404"/>
      <c r="BW301" s="404"/>
      <c r="BX301" s="404"/>
      <c r="BY301" s="404"/>
      <c r="BZ301" s="404"/>
      <c r="CA301" s="404"/>
      <c r="CB301" s="404"/>
      <c r="CC301" s="404"/>
      <c r="CD301" s="404"/>
      <c r="CE301" s="404"/>
      <c r="CF301" s="404"/>
      <c r="CG301" s="404"/>
      <c r="CH301" s="2773"/>
      <c r="CI301" s="2707"/>
      <c r="CJ301" s="2707"/>
      <c r="CK301" s="2707"/>
      <c r="CL301" s="2771"/>
      <c r="CM301" s="2773"/>
      <c r="CN301" s="2771"/>
      <c r="CO301" s="2771"/>
      <c r="CP301" s="2771"/>
      <c r="CQ301" s="2771"/>
      <c r="CR301" s="2772"/>
      <c r="CS301" s="2803"/>
      <c r="CT301" s="2771"/>
      <c r="CU301" s="2771"/>
      <c r="CV301" s="2771"/>
      <c r="CW301" s="2772"/>
      <c r="CX301" s="2771"/>
      <c r="CY301" s="2771"/>
      <c r="CZ301" s="2771"/>
      <c r="DA301" s="2707">
        <f>DA313-DA193-DA261</f>
        <v>0</v>
      </c>
      <c r="DB301" s="2772">
        <f>DB313-DB193-DB261</f>
        <v>-169</v>
      </c>
      <c r="DC301" s="2771"/>
      <c r="DD301" s="2771"/>
      <c r="DE301" s="2771"/>
      <c r="DF301" s="2707">
        <f t="shared" ref="DF301:DQ301" si="602">DF313-DF193-DF261</f>
        <v>124</v>
      </c>
      <c r="DG301" s="2772">
        <f t="shared" si="602"/>
        <v>-138</v>
      </c>
      <c r="DH301" s="2707">
        <f t="shared" si="602"/>
        <v>137</v>
      </c>
      <c r="DI301" s="2707">
        <f t="shared" si="602"/>
        <v>108</v>
      </c>
      <c r="DJ301" s="2707">
        <f t="shared" si="602"/>
        <v>119</v>
      </c>
      <c r="DK301" s="2707">
        <f t="shared" si="602"/>
        <v>91</v>
      </c>
      <c r="DL301" s="2772">
        <f t="shared" si="602"/>
        <v>455</v>
      </c>
      <c r="DM301" s="2707">
        <f t="shared" si="602"/>
        <v>49</v>
      </c>
      <c r="DN301" s="2707">
        <f t="shared" si="602"/>
        <v>151</v>
      </c>
      <c r="DO301" s="2707">
        <f t="shared" si="602"/>
        <v>-22</v>
      </c>
      <c r="DP301" s="2707">
        <f t="shared" si="602"/>
        <v>-2</v>
      </c>
      <c r="DQ301" s="2772">
        <f t="shared" si="602"/>
        <v>176</v>
      </c>
      <c r="DR301" s="2707"/>
      <c r="DS301" s="2707"/>
      <c r="DT301" s="2707"/>
      <c r="DU301" s="2707"/>
      <c r="DV301" s="2772"/>
      <c r="DW301" s="2707"/>
      <c r="DX301" s="2707"/>
      <c r="DY301" s="2707"/>
      <c r="DZ301" s="2707"/>
      <c r="EA301" s="2772"/>
      <c r="EB301" s="2707"/>
      <c r="EC301" s="2707"/>
      <c r="ED301" s="2707"/>
      <c r="EE301" s="2707"/>
      <c r="EF301" s="2772"/>
      <c r="EG301" s="2707"/>
      <c r="EH301" s="2707"/>
      <c r="EI301" s="2707"/>
      <c r="EJ301" s="2707"/>
      <c r="EK301" s="2772"/>
      <c r="EL301" s="2707"/>
      <c r="EM301" s="2707"/>
      <c r="EN301" s="2707"/>
      <c r="EO301" s="2707"/>
      <c r="EP301" s="2772"/>
      <c r="EQ301" s="2707"/>
      <c r="ER301" s="2707"/>
      <c r="ES301" s="2707"/>
      <c r="ET301" s="2707"/>
      <c r="EU301" s="2772"/>
      <c r="EV301" s="2772"/>
      <c r="EW301" s="2772"/>
      <c r="EX301" s="2772"/>
      <c r="EY301" s="2772"/>
      <c r="FA301" s="1319"/>
      <c r="FB301" s="1319"/>
    </row>
    <row r="302" spans="1:158" s="768" customFormat="1" hidden="1">
      <c r="A302" s="3562" t="s">
        <v>453</v>
      </c>
      <c r="B302" s="404"/>
      <c r="C302" s="404"/>
      <c r="D302" s="404"/>
      <c r="E302" s="404"/>
      <c r="F302" s="404"/>
      <c r="G302" s="404"/>
      <c r="H302" s="404"/>
      <c r="I302" s="404"/>
      <c r="J302" s="404"/>
      <c r="K302" s="404"/>
      <c r="L302" s="404"/>
      <c r="M302" s="404"/>
      <c r="N302" s="404"/>
      <c r="O302" s="404"/>
      <c r="P302" s="404"/>
      <c r="Q302" s="404"/>
      <c r="R302" s="404"/>
      <c r="S302" s="404"/>
      <c r="T302" s="404"/>
      <c r="U302" s="404"/>
      <c r="V302" s="404"/>
      <c r="W302" s="404"/>
      <c r="X302" s="404"/>
      <c r="Y302" s="404"/>
      <c r="Z302" s="404"/>
      <c r="AA302" s="404"/>
      <c r="AB302" s="404"/>
      <c r="AC302" s="404"/>
      <c r="AD302" s="404"/>
      <c r="AE302" s="404"/>
      <c r="AF302" s="404"/>
      <c r="AG302" s="404"/>
      <c r="AH302" s="404"/>
      <c r="AI302" s="404"/>
      <c r="AJ302" s="404"/>
      <c r="AK302" s="404"/>
      <c r="AL302" s="404"/>
      <c r="AM302" s="404"/>
      <c r="AN302" s="404"/>
      <c r="AO302" s="404"/>
      <c r="AP302" s="404"/>
      <c r="AQ302" s="404"/>
      <c r="AR302" s="404"/>
      <c r="AS302" s="404"/>
      <c r="AT302" s="404"/>
      <c r="AU302" s="404"/>
      <c r="AV302" s="404"/>
      <c r="AW302" s="404"/>
      <c r="AX302" s="404"/>
      <c r="AY302" s="404"/>
      <c r="AZ302" s="404"/>
      <c r="BA302" s="404"/>
      <c r="BB302" s="404"/>
      <c r="BC302" s="404"/>
      <c r="BD302" s="404"/>
      <c r="BE302" s="404"/>
      <c r="BF302" s="404"/>
      <c r="BG302" s="404"/>
      <c r="BH302" s="404"/>
      <c r="BI302" s="404"/>
      <c r="BJ302" s="404"/>
      <c r="BK302" s="404"/>
      <c r="BL302" s="404"/>
      <c r="BM302" s="404"/>
      <c r="BN302" s="404"/>
      <c r="BO302" s="404"/>
      <c r="BP302" s="404"/>
      <c r="BQ302" s="404"/>
      <c r="BR302" s="404"/>
      <c r="BS302" s="404"/>
      <c r="BT302" s="404"/>
      <c r="BU302" s="404"/>
      <c r="BV302" s="404"/>
      <c r="BW302" s="404"/>
      <c r="BX302" s="404"/>
      <c r="BY302" s="404"/>
      <c r="BZ302" s="404"/>
      <c r="CA302" s="404"/>
      <c r="CB302" s="404"/>
      <c r="CC302" s="404"/>
      <c r="CD302" s="404"/>
      <c r="CE302" s="404"/>
      <c r="CF302" s="404"/>
      <c r="CG302" s="404"/>
      <c r="CH302" s="2772">
        <v>-238</v>
      </c>
      <c r="CI302" s="2707"/>
      <c r="CJ302" s="2707"/>
      <c r="CK302" s="2707"/>
      <c r="CL302" s="2707">
        <v>-168</v>
      </c>
      <c r="CM302" s="2772">
        <v>-422</v>
      </c>
      <c r="CN302" s="2707">
        <v>-77</v>
      </c>
      <c r="CO302" s="2707">
        <v>-92</v>
      </c>
      <c r="CP302" s="2707">
        <v>-90</v>
      </c>
      <c r="CQ302" s="2707">
        <v>-124</v>
      </c>
      <c r="CR302" s="2772">
        <f>SUM(CN302:CQ302)</f>
        <v>-383</v>
      </c>
      <c r="CS302" s="2707">
        <v>-95</v>
      </c>
      <c r="CT302" s="2707">
        <v>-134</v>
      </c>
      <c r="CU302" s="2707">
        <v>-114</v>
      </c>
      <c r="CV302" s="2707">
        <v>-124</v>
      </c>
      <c r="CW302" s="2770">
        <f>SUM(CS302:CV302)</f>
        <v>-467</v>
      </c>
      <c r="CX302" s="2707"/>
      <c r="CY302" s="2707"/>
      <c r="CZ302" s="2707"/>
      <c r="DA302" s="2707"/>
      <c r="DB302" s="2770"/>
      <c r="DC302" s="2707"/>
      <c r="DD302" s="2707"/>
      <c r="DE302" s="2707"/>
      <c r="DF302" s="2707"/>
      <c r="DG302" s="2770"/>
      <c r="DH302" s="2707"/>
      <c r="DI302" s="2707"/>
      <c r="DJ302" s="2707"/>
      <c r="DK302" s="2707"/>
      <c r="DL302" s="2770"/>
      <c r="DM302" s="2707"/>
      <c r="DN302" s="2707"/>
      <c r="DO302" s="2707"/>
      <c r="DP302" s="2707"/>
      <c r="DQ302" s="2770"/>
      <c r="DR302" s="2707"/>
      <c r="DS302" s="2707"/>
      <c r="DT302" s="2707"/>
      <c r="DU302" s="2707"/>
      <c r="DV302" s="2770"/>
      <c r="DW302" s="2707"/>
      <c r="DX302" s="2707"/>
      <c r="DY302" s="2707"/>
      <c r="DZ302" s="2707"/>
      <c r="EA302" s="2770"/>
      <c r="EB302" s="2707"/>
      <c r="EC302" s="2707"/>
      <c r="ED302" s="2707"/>
      <c r="EE302" s="2707"/>
      <c r="EF302" s="2770"/>
      <c r="EG302" s="2707"/>
      <c r="EH302" s="2707"/>
      <c r="EI302" s="2707"/>
      <c r="EJ302" s="2707"/>
      <c r="EK302" s="2770"/>
      <c r="EL302" s="2707"/>
      <c r="EM302" s="2707"/>
      <c r="EN302" s="2707"/>
      <c r="EO302" s="2707"/>
      <c r="EP302" s="2770"/>
      <c r="EQ302" s="2707"/>
      <c r="ER302" s="2707"/>
      <c r="ES302" s="2707"/>
      <c r="ET302" s="2707"/>
      <c r="EU302" s="2770"/>
      <c r="EV302" s="2770"/>
      <c r="EW302" s="2770"/>
      <c r="EX302" s="2770"/>
      <c r="EY302" s="2770"/>
      <c r="FA302" s="1319"/>
      <c r="FB302" s="1319"/>
    </row>
    <row r="303" spans="1:158" s="768" customFormat="1" hidden="1">
      <c r="A303" s="3552" t="s">
        <v>454</v>
      </c>
      <c r="B303" s="404"/>
      <c r="C303" s="404"/>
      <c r="D303" s="404"/>
      <c r="E303" s="404"/>
      <c r="F303" s="404"/>
      <c r="G303" s="404"/>
      <c r="H303" s="404"/>
      <c r="I303" s="404"/>
      <c r="J303" s="404"/>
      <c r="K303" s="404"/>
      <c r="L303" s="404"/>
      <c r="M303" s="404"/>
      <c r="N303" s="404"/>
      <c r="O303" s="404"/>
      <c r="P303" s="404"/>
      <c r="Q303" s="404"/>
      <c r="R303" s="404"/>
      <c r="S303" s="404"/>
      <c r="T303" s="404"/>
      <c r="U303" s="404"/>
      <c r="V303" s="404"/>
      <c r="W303" s="404"/>
      <c r="X303" s="404"/>
      <c r="Y303" s="404"/>
      <c r="Z303" s="404"/>
      <c r="AA303" s="404"/>
      <c r="AB303" s="404"/>
      <c r="AC303" s="404"/>
      <c r="AD303" s="404"/>
      <c r="AE303" s="404"/>
      <c r="AF303" s="404"/>
      <c r="AG303" s="404"/>
      <c r="AH303" s="404"/>
      <c r="AI303" s="404"/>
      <c r="AJ303" s="404"/>
      <c r="AK303" s="404"/>
      <c r="AL303" s="404"/>
      <c r="AM303" s="404"/>
      <c r="AN303" s="404"/>
      <c r="AO303" s="404"/>
      <c r="AP303" s="404"/>
      <c r="AQ303" s="404"/>
      <c r="AR303" s="404"/>
      <c r="AS303" s="404"/>
      <c r="AT303" s="404"/>
      <c r="AU303" s="404"/>
      <c r="AV303" s="404"/>
      <c r="AW303" s="404"/>
      <c r="AX303" s="404"/>
      <c r="AY303" s="404"/>
      <c r="AZ303" s="404"/>
      <c r="BA303" s="404"/>
      <c r="BB303" s="404"/>
      <c r="BC303" s="404"/>
      <c r="BD303" s="404"/>
      <c r="BE303" s="404"/>
      <c r="BF303" s="404"/>
      <c r="BG303" s="404"/>
      <c r="BH303" s="404"/>
      <c r="BI303" s="404"/>
      <c r="BJ303" s="404"/>
      <c r="BK303" s="404"/>
      <c r="BL303" s="404"/>
      <c r="BM303" s="404"/>
      <c r="BN303" s="404"/>
      <c r="BO303" s="404"/>
      <c r="BP303" s="404"/>
      <c r="BQ303" s="404"/>
      <c r="BR303" s="404"/>
      <c r="BS303" s="404"/>
      <c r="BT303" s="404"/>
      <c r="BU303" s="404"/>
      <c r="BV303" s="404"/>
      <c r="BW303" s="404"/>
      <c r="BX303" s="404"/>
      <c r="BY303" s="404"/>
      <c r="BZ303" s="404"/>
      <c r="CA303" s="404"/>
      <c r="CB303" s="404"/>
      <c r="CC303" s="404"/>
      <c r="CD303" s="404"/>
      <c r="CE303" s="404"/>
      <c r="CF303" s="404"/>
      <c r="CG303" s="404"/>
      <c r="CH303" s="2773">
        <v>92</v>
      </c>
      <c r="CI303" s="2707"/>
      <c r="CJ303" s="2707"/>
      <c r="CK303" s="2707"/>
      <c r="CL303" s="2771">
        <v>22</v>
      </c>
      <c r="CM303" s="2773">
        <v>151</v>
      </c>
      <c r="CN303" s="2771">
        <v>31</v>
      </c>
      <c r="CO303" s="2771">
        <v>31</v>
      </c>
      <c r="CP303" s="2771">
        <v>29</v>
      </c>
      <c r="CQ303" s="2771">
        <v>27</v>
      </c>
      <c r="CR303" s="2772">
        <f>SUM(CN303:CQ303)</f>
        <v>118</v>
      </c>
      <c r="CS303" s="2803">
        <v>33</v>
      </c>
      <c r="CT303" s="2771">
        <v>33</v>
      </c>
      <c r="CU303" s="2771">
        <v>32</v>
      </c>
      <c r="CV303" s="2771">
        <v>32</v>
      </c>
      <c r="CW303" s="2772">
        <f>SUM(CS303:CV303)</f>
        <v>130</v>
      </c>
      <c r="CX303" s="2771">
        <v>41</v>
      </c>
      <c r="CY303" s="2771">
        <v>38</v>
      </c>
      <c r="CZ303" s="2771">
        <v>36</v>
      </c>
      <c r="DA303" s="2771">
        <v>33</v>
      </c>
      <c r="DB303" s="2772">
        <f>SUM(CX303:DA303)</f>
        <v>148</v>
      </c>
      <c r="DC303" s="2771">
        <v>41</v>
      </c>
      <c r="DD303" s="2771">
        <v>-2</v>
      </c>
      <c r="DE303" s="2771">
        <v>34</v>
      </c>
      <c r="DF303" s="2771">
        <v>36</v>
      </c>
      <c r="DG303" s="2772">
        <f>SUM(DC303:DF303)</f>
        <v>109</v>
      </c>
      <c r="DH303" s="2771">
        <v>34</v>
      </c>
      <c r="DI303" s="2771">
        <v>35</v>
      </c>
      <c r="DJ303" s="2771">
        <v>34</v>
      </c>
      <c r="DK303" s="2771">
        <v>32</v>
      </c>
      <c r="DL303" s="2772">
        <f>SUM(DH303:DK303)</f>
        <v>135</v>
      </c>
      <c r="DM303" s="2771">
        <f>DM315-DM197-DM265-1</f>
        <v>67</v>
      </c>
      <c r="DN303" s="2771">
        <v>67</v>
      </c>
      <c r="DO303" s="2771">
        <v>66</v>
      </c>
      <c r="DP303" s="2707">
        <f>DK303*(1+DP287)</f>
        <v>35.235955056179776</v>
      </c>
      <c r="DQ303" s="2772">
        <f>SUM(DM303:DP303)</f>
        <v>235.23595505617976</v>
      </c>
      <c r="DR303" s="2707"/>
      <c r="DS303" s="2707"/>
      <c r="DT303" s="2707"/>
      <c r="DU303" s="2707"/>
      <c r="DV303" s="2772"/>
      <c r="DW303" s="2707"/>
      <c r="DX303" s="2707"/>
      <c r="DY303" s="2707"/>
      <c r="DZ303" s="2707"/>
      <c r="EA303" s="2772"/>
      <c r="EB303" s="2707"/>
      <c r="EC303" s="2707"/>
      <c r="ED303" s="2707"/>
      <c r="EE303" s="2707"/>
      <c r="EF303" s="2772"/>
      <c r="EG303" s="2707"/>
      <c r="EH303" s="2707"/>
      <c r="EI303" s="2707"/>
      <c r="EJ303" s="2707"/>
      <c r="EK303" s="2772"/>
      <c r="EL303" s="2707"/>
      <c r="EM303" s="2707"/>
      <c r="EN303" s="2707"/>
      <c r="EO303" s="2707"/>
      <c r="EP303" s="2772"/>
      <c r="EQ303" s="2707"/>
      <c r="ER303" s="2707"/>
      <c r="ES303" s="2707"/>
      <c r="ET303" s="2707"/>
      <c r="EU303" s="2772"/>
      <c r="EV303" s="2772"/>
      <c r="EW303" s="2772"/>
      <c r="EX303" s="2772"/>
      <c r="EY303" s="2772"/>
      <c r="FA303" s="1319"/>
      <c r="FB303" s="1319"/>
    </row>
    <row r="304" spans="1:158" hidden="1">
      <c r="A304" s="3556" t="s">
        <v>455</v>
      </c>
      <c r="B304" s="157"/>
      <c r="C304" s="157"/>
      <c r="D304" s="157"/>
      <c r="E304" s="157"/>
      <c r="F304" s="157"/>
      <c r="G304" s="157"/>
      <c r="H304" s="157"/>
      <c r="I304" s="157"/>
      <c r="J304" s="157"/>
      <c r="K304" s="157"/>
      <c r="L304" s="157"/>
      <c r="M304" s="157"/>
      <c r="N304" s="157"/>
      <c r="O304" s="157"/>
      <c r="P304" s="157"/>
      <c r="Q304" s="157"/>
      <c r="R304" s="157"/>
      <c r="S304" s="157"/>
      <c r="T304" s="157"/>
      <c r="U304" s="157"/>
      <c r="V304" s="157"/>
      <c r="W304" s="157"/>
      <c r="X304" s="157"/>
      <c r="Y304" s="157"/>
      <c r="Z304" s="157"/>
      <c r="AA304" s="157"/>
      <c r="AB304" s="157"/>
      <c r="AC304" s="157"/>
      <c r="AD304" s="157"/>
      <c r="AE304" s="157"/>
      <c r="AF304" s="157"/>
      <c r="AG304" s="157"/>
      <c r="AH304" s="157"/>
      <c r="AI304" s="157"/>
      <c r="AJ304" s="157"/>
      <c r="AK304" s="157"/>
      <c r="AL304" s="157"/>
      <c r="AM304" s="157"/>
      <c r="AN304" s="157"/>
      <c r="AO304" s="157"/>
      <c r="AP304" s="157"/>
      <c r="AQ304" s="157"/>
      <c r="AR304" s="157"/>
      <c r="AS304" s="157"/>
      <c r="AT304" s="157"/>
      <c r="AU304" s="157"/>
      <c r="AV304" s="157"/>
      <c r="AW304" s="157"/>
      <c r="AX304" s="157"/>
      <c r="AY304" s="157"/>
      <c r="AZ304" s="157"/>
      <c r="BA304" s="157"/>
      <c r="BB304" s="157"/>
      <c r="BC304" s="157"/>
      <c r="BD304" s="157"/>
      <c r="BE304" s="157"/>
      <c r="BF304" s="157"/>
      <c r="BG304" s="157"/>
      <c r="BH304" s="157"/>
      <c r="BI304" s="157"/>
      <c r="BJ304" s="157"/>
      <c r="BK304" s="157"/>
      <c r="BL304" s="157"/>
      <c r="BM304" s="157"/>
      <c r="BN304" s="157"/>
      <c r="BO304" s="157"/>
      <c r="BP304" s="157"/>
      <c r="BQ304" s="157"/>
      <c r="BR304" s="157"/>
      <c r="BS304" s="157"/>
      <c r="BT304" s="157"/>
      <c r="BU304" s="157"/>
      <c r="BV304" s="157"/>
      <c r="BW304" s="157"/>
      <c r="BX304" s="157"/>
      <c r="BY304" s="157"/>
      <c r="BZ304" s="157"/>
      <c r="CA304" s="157"/>
      <c r="CB304" s="157"/>
      <c r="CC304" s="157"/>
      <c r="CD304" s="157"/>
      <c r="CE304" s="157"/>
      <c r="CF304" s="157"/>
      <c r="CG304" s="157"/>
      <c r="CH304" s="2769">
        <v>-330</v>
      </c>
      <c r="CI304" s="2702"/>
      <c r="CJ304" s="2702"/>
      <c r="CK304" s="2702"/>
      <c r="CL304" s="2709">
        <v>-190</v>
      </c>
      <c r="CM304" s="2769">
        <v>-573</v>
      </c>
      <c r="CN304" s="2709">
        <v>-108</v>
      </c>
      <c r="CO304" s="2709">
        <v>-123</v>
      </c>
      <c r="CP304" s="2709">
        <v>-119</v>
      </c>
      <c r="CQ304" s="2709">
        <v>-151</v>
      </c>
      <c r="CR304" s="2770">
        <f>SUM(CN304:CQ304)</f>
        <v>-501</v>
      </c>
      <c r="CS304" s="2710">
        <v>-129</v>
      </c>
      <c r="CT304" s="2709">
        <v>-167</v>
      </c>
      <c r="CU304" s="2771">
        <v>-146</v>
      </c>
      <c r="CV304" s="2709">
        <v>-156</v>
      </c>
      <c r="CW304" s="2770">
        <f>SUM(CS304:CV304)</f>
        <v>-598</v>
      </c>
      <c r="CX304" s="2771">
        <v>-175</v>
      </c>
      <c r="CY304" s="2771">
        <v>-2899</v>
      </c>
      <c r="CZ304" s="2771">
        <v>-150</v>
      </c>
      <c r="DA304" s="2771">
        <v>-183</v>
      </c>
      <c r="DB304" s="2770">
        <f>SUM(CX304:DA304)</f>
        <v>-3407</v>
      </c>
      <c r="DC304" s="2771">
        <f>DC316-DC199-DC267</f>
        <v>-164</v>
      </c>
      <c r="DD304" s="2771">
        <f>-5420+IS!DD221</f>
        <v>-5182</v>
      </c>
      <c r="DE304" s="2771">
        <f>-453+IS!DE221</f>
        <v>-138</v>
      </c>
      <c r="DF304" s="2771">
        <v>-27</v>
      </c>
      <c r="DG304" s="2770">
        <f>DG20</f>
        <v>-7907</v>
      </c>
      <c r="DH304" s="2771">
        <f>DH316-DH199-DH267</f>
        <v>-1712</v>
      </c>
      <c r="DI304" s="2771">
        <f>DI316-DI199-DI267</f>
        <v>-111</v>
      </c>
      <c r="DJ304" s="2771">
        <f>DJ316-DJ199-DJ267</f>
        <v>-628</v>
      </c>
      <c r="DK304" s="2771">
        <f>DK316-DK199-DK267</f>
        <v>-167</v>
      </c>
      <c r="DL304" s="2770">
        <f>DL20</f>
        <v>-5299</v>
      </c>
      <c r="DM304" s="2707">
        <f>DM20</f>
        <v>-720</v>
      </c>
      <c r="DN304" s="2707">
        <f>DN20</f>
        <v>-614</v>
      </c>
      <c r="DO304" s="2707">
        <f>DO20</f>
        <v>-929</v>
      </c>
      <c r="DP304" s="2804">
        <f>DP20</f>
        <v>-1036</v>
      </c>
      <c r="DQ304" s="2770">
        <f>SUM(DM304:DP304)</f>
        <v>-3299</v>
      </c>
      <c r="DR304" s="2804"/>
      <c r="DS304" s="2804"/>
      <c r="DT304" s="2804"/>
      <c r="DU304" s="2804"/>
      <c r="DV304" s="2770"/>
      <c r="DW304" s="2804"/>
      <c r="DX304" s="2804"/>
      <c r="DY304" s="2804"/>
      <c r="DZ304" s="2804"/>
      <c r="EA304" s="2805"/>
      <c r="EB304" s="2804"/>
      <c r="EC304" s="2804"/>
      <c r="ED304" s="2804"/>
      <c r="EE304" s="2804"/>
      <c r="EF304" s="2805"/>
      <c r="EG304" s="2804"/>
      <c r="EH304" s="2804"/>
      <c r="EI304" s="2804"/>
      <c r="EJ304" s="2804"/>
      <c r="EK304" s="2805"/>
      <c r="EL304" s="2804"/>
      <c r="EM304" s="2804"/>
      <c r="EN304" s="2804"/>
      <c r="EO304" s="2804"/>
      <c r="EP304" s="2805"/>
      <c r="EQ304" s="2804"/>
      <c r="ER304" s="2804"/>
      <c r="ES304" s="2804"/>
      <c r="ET304" s="2804"/>
      <c r="EU304" s="2805"/>
      <c r="EV304" s="2805"/>
      <c r="EW304" s="2805"/>
      <c r="EX304" s="2805"/>
      <c r="EY304" s="2805"/>
      <c r="FA304" s="1319"/>
      <c r="FB304" s="1319"/>
    </row>
    <row r="305" spans="1:158" s="768" customFormat="1" hidden="1">
      <c r="A305" s="3562" t="s">
        <v>456</v>
      </c>
      <c r="B305" s="404"/>
      <c r="C305" s="404"/>
      <c r="D305" s="404"/>
      <c r="E305" s="404"/>
      <c r="F305" s="404"/>
      <c r="G305" s="404"/>
      <c r="H305" s="404"/>
      <c r="I305" s="404"/>
      <c r="J305" s="404"/>
      <c r="K305" s="404"/>
      <c r="L305" s="404"/>
      <c r="M305" s="404"/>
      <c r="N305" s="404"/>
      <c r="O305" s="404"/>
      <c r="P305" s="404"/>
      <c r="Q305" s="404"/>
      <c r="R305" s="404"/>
      <c r="S305" s="404"/>
      <c r="T305" s="404"/>
      <c r="U305" s="404"/>
      <c r="V305" s="404"/>
      <c r="W305" s="404"/>
      <c r="X305" s="404"/>
      <c r="Y305" s="404"/>
      <c r="Z305" s="404"/>
      <c r="AA305" s="404"/>
      <c r="AB305" s="404"/>
      <c r="AC305" s="404"/>
      <c r="AD305" s="404"/>
      <c r="AE305" s="404"/>
      <c r="AF305" s="404"/>
      <c r="AG305" s="404"/>
      <c r="AH305" s="404"/>
      <c r="AI305" s="404"/>
      <c r="AJ305" s="404"/>
      <c r="AK305" s="404"/>
      <c r="AL305" s="404"/>
      <c r="AM305" s="404"/>
      <c r="AN305" s="404"/>
      <c r="AO305" s="404"/>
      <c r="AP305" s="404"/>
      <c r="AQ305" s="404"/>
      <c r="AR305" s="404"/>
      <c r="AS305" s="404"/>
      <c r="AT305" s="404"/>
      <c r="AU305" s="404"/>
      <c r="AV305" s="404"/>
      <c r="AW305" s="404"/>
      <c r="AX305" s="404"/>
      <c r="AY305" s="404"/>
      <c r="AZ305" s="404"/>
      <c r="BA305" s="404"/>
      <c r="BB305" s="404"/>
      <c r="BC305" s="404"/>
      <c r="BD305" s="404"/>
      <c r="BE305" s="404"/>
      <c r="BF305" s="404"/>
      <c r="BG305" s="404"/>
      <c r="BH305" s="404"/>
      <c r="BI305" s="404"/>
      <c r="BJ305" s="404"/>
      <c r="BK305" s="404"/>
      <c r="BL305" s="404"/>
      <c r="BM305" s="404"/>
      <c r="BN305" s="404"/>
      <c r="BO305" s="404"/>
      <c r="BP305" s="404"/>
      <c r="BQ305" s="404"/>
      <c r="BR305" s="404"/>
      <c r="BS305" s="404"/>
      <c r="BT305" s="404"/>
      <c r="BU305" s="404"/>
      <c r="BV305" s="404"/>
      <c r="BW305" s="404"/>
      <c r="BX305" s="404"/>
      <c r="BY305" s="404"/>
      <c r="BZ305" s="404"/>
      <c r="CA305" s="404"/>
      <c r="CB305" s="404"/>
      <c r="CC305" s="404"/>
      <c r="CD305" s="404"/>
      <c r="CE305" s="404"/>
      <c r="CF305" s="404"/>
      <c r="CG305" s="404"/>
      <c r="CH305" s="2773">
        <v>165</v>
      </c>
      <c r="CI305" s="2707"/>
      <c r="CJ305" s="2707"/>
      <c r="CK305" s="2707"/>
      <c r="CL305" s="2771">
        <v>-346</v>
      </c>
      <c r="CM305" s="2773">
        <v>-715</v>
      </c>
      <c r="CN305" s="2771">
        <v>92</v>
      </c>
      <c r="CO305" s="2771">
        <v>223</v>
      </c>
      <c r="CP305" s="2771">
        <v>-228</v>
      </c>
      <c r="CQ305" s="2771">
        <v>122</v>
      </c>
      <c r="CR305" s="2772">
        <f>SUM(CN305:CQ305)</f>
        <v>209</v>
      </c>
      <c r="CS305" s="2803">
        <v>128</v>
      </c>
      <c r="CT305" s="2771">
        <v>-200</v>
      </c>
      <c r="CU305" s="2771">
        <v>-204</v>
      </c>
      <c r="CV305" s="2771">
        <v>-314</v>
      </c>
      <c r="CW305" s="2772">
        <f>SUM(CS305:CV305)</f>
        <v>-590</v>
      </c>
      <c r="CX305" s="2771">
        <v>-68</v>
      </c>
      <c r="CY305" s="2771">
        <v>-155</v>
      </c>
      <c r="CZ305" s="2771">
        <v>-98</v>
      </c>
      <c r="DA305" s="2771">
        <v>393</v>
      </c>
      <c r="DB305" s="2772">
        <f>SUM(CX305:DA305)</f>
        <v>72</v>
      </c>
      <c r="DC305" s="2771">
        <v>-425</v>
      </c>
      <c r="DD305" s="2771">
        <v>168</v>
      </c>
      <c r="DE305" s="2771">
        <v>-416</v>
      </c>
      <c r="DF305" s="2771">
        <v>171</v>
      </c>
      <c r="DG305" s="2772">
        <f>SUM(DC305:DF305)</f>
        <v>-502</v>
      </c>
      <c r="DH305" s="2707">
        <f>DH325-DH207-DH272</f>
        <v>45</v>
      </c>
      <c r="DI305" s="2707">
        <f>DI325-DI207-DI272</f>
        <v>-835</v>
      </c>
      <c r="DJ305" s="2707">
        <f>DJ325-DJ207-DJ272</f>
        <v>-567</v>
      </c>
      <c r="DK305" s="2707">
        <f>DK325-DK207-DK272</f>
        <v>-627</v>
      </c>
      <c r="DL305" s="2772">
        <f>SUM(DH305:DK305)</f>
        <v>-1984</v>
      </c>
      <c r="DM305" s="2707">
        <f>DM325-DM207-DM272</f>
        <v>238</v>
      </c>
      <c r="DN305" s="2707">
        <f>DN325-DN207-DN272</f>
        <v>459</v>
      </c>
      <c r="DO305" s="2707">
        <f>DO325-DO207-DO272</f>
        <v>-179</v>
      </c>
      <c r="DP305" s="2707"/>
      <c r="DQ305" s="2772">
        <f>SUM(DM305:DP305)</f>
        <v>518</v>
      </c>
      <c r="DR305" s="2707"/>
      <c r="DS305" s="2707"/>
      <c r="DT305" s="2707"/>
      <c r="DU305" s="2707"/>
      <c r="DV305" s="2772"/>
      <c r="DW305" s="2707"/>
      <c r="DX305" s="2707"/>
      <c r="DY305" s="2707"/>
      <c r="DZ305" s="2707"/>
      <c r="EA305" s="2772"/>
      <c r="EB305" s="2707"/>
      <c r="EC305" s="2707"/>
      <c r="ED305" s="2707"/>
      <c r="EE305" s="2707"/>
      <c r="EF305" s="2772"/>
      <c r="EG305" s="2707"/>
      <c r="EH305" s="2707"/>
      <c r="EI305" s="2707"/>
      <c r="EJ305" s="2707"/>
      <c r="EK305" s="2772"/>
      <c r="EL305" s="2707"/>
      <c r="EM305" s="2707"/>
      <c r="EN305" s="2707"/>
      <c r="EO305" s="2707"/>
      <c r="EP305" s="2772"/>
      <c r="EQ305" s="2707"/>
      <c r="ER305" s="2707"/>
      <c r="ES305" s="2707"/>
      <c r="ET305" s="2707"/>
      <c r="EU305" s="2772"/>
      <c r="EV305" s="2772"/>
      <c r="EW305" s="2772"/>
      <c r="EX305" s="2772"/>
      <c r="EY305" s="2772"/>
      <c r="FA305" s="1319"/>
      <c r="FB305" s="1319"/>
    </row>
    <row r="306" spans="1:158" s="768" customFormat="1" hidden="1">
      <c r="A306" s="3554" t="s">
        <v>477</v>
      </c>
      <c r="B306" s="2806"/>
      <c r="C306" s="2806"/>
      <c r="D306" s="2806"/>
      <c r="E306" s="2806"/>
      <c r="F306" s="2806"/>
      <c r="G306" s="2806"/>
      <c r="H306" s="2806"/>
      <c r="I306" s="2806"/>
      <c r="J306" s="2806"/>
      <c r="K306" s="2806"/>
      <c r="L306" s="2806"/>
      <c r="M306" s="2806"/>
      <c r="N306" s="2806"/>
      <c r="O306" s="2806"/>
      <c r="P306" s="2806"/>
      <c r="Q306" s="2806"/>
      <c r="R306" s="2806"/>
      <c r="S306" s="2806"/>
      <c r="T306" s="2806"/>
      <c r="U306" s="2806"/>
      <c r="V306" s="2806"/>
      <c r="W306" s="2806"/>
      <c r="X306" s="2806"/>
      <c r="Y306" s="2806"/>
      <c r="Z306" s="2806"/>
      <c r="AA306" s="2806"/>
      <c r="AB306" s="2806"/>
      <c r="AC306" s="2806"/>
      <c r="AD306" s="2806"/>
      <c r="AE306" s="2806"/>
      <c r="AF306" s="2806"/>
      <c r="AG306" s="2806"/>
      <c r="AH306" s="2806"/>
      <c r="AI306" s="2806"/>
      <c r="AJ306" s="2806"/>
      <c r="AK306" s="2806"/>
      <c r="AL306" s="2806"/>
      <c r="AM306" s="2806"/>
      <c r="AN306" s="2806"/>
      <c r="AO306" s="2806"/>
      <c r="AP306" s="2806"/>
      <c r="AQ306" s="2806"/>
      <c r="AR306" s="2806"/>
      <c r="AS306" s="2806"/>
      <c r="AT306" s="2806"/>
      <c r="AU306" s="2806"/>
      <c r="AV306" s="2806"/>
      <c r="AW306" s="2806"/>
      <c r="AX306" s="2806"/>
      <c r="AY306" s="2806"/>
      <c r="AZ306" s="2806"/>
      <c r="BA306" s="2806"/>
      <c r="BB306" s="2806"/>
      <c r="BC306" s="2806"/>
      <c r="BD306" s="2806"/>
      <c r="BE306" s="2806"/>
      <c r="BF306" s="2806"/>
      <c r="BG306" s="2806"/>
      <c r="BH306" s="2806"/>
      <c r="BI306" s="2806"/>
      <c r="BJ306" s="2806"/>
      <c r="BK306" s="2806"/>
      <c r="BL306" s="2806"/>
      <c r="BM306" s="2806"/>
      <c r="BN306" s="2806"/>
      <c r="BO306" s="2806"/>
      <c r="BP306" s="2806"/>
      <c r="BQ306" s="2806"/>
      <c r="BR306" s="2806"/>
      <c r="BS306" s="2806"/>
      <c r="BT306" s="2807"/>
      <c r="BU306" s="2807"/>
      <c r="BV306" s="2807"/>
      <c r="BW306" s="2807"/>
      <c r="BX306" s="2807"/>
      <c r="BY306" s="2807"/>
      <c r="BZ306" s="2807"/>
      <c r="CA306" s="2807"/>
      <c r="CB306" s="2807"/>
      <c r="CC306" s="2807"/>
      <c r="CD306" s="2806"/>
      <c r="CE306" s="2806"/>
      <c r="CF306" s="2806"/>
      <c r="CG306" s="2806"/>
      <c r="CH306" s="2712">
        <v>247</v>
      </c>
      <c r="CI306" s="2808"/>
      <c r="CJ306" s="2808"/>
      <c r="CK306" s="2808"/>
      <c r="CL306" s="2809">
        <v>2</v>
      </c>
      <c r="CM306" s="2712">
        <v>53</v>
      </c>
      <c r="CN306" s="2809">
        <v>0</v>
      </c>
      <c r="CO306" s="2809">
        <v>0</v>
      </c>
      <c r="CP306" s="2809">
        <v>0</v>
      </c>
      <c r="CQ306" s="2809">
        <v>21</v>
      </c>
      <c r="CR306" s="2715">
        <f>SUM(CN306:CQ306)</f>
        <v>21</v>
      </c>
      <c r="CS306" s="2810">
        <v>0</v>
      </c>
      <c r="CT306" s="2809">
        <v>0</v>
      </c>
      <c r="CU306" s="2809">
        <v>4</v>
      </c>
      <c r="CV306" s="2809">
        <v>0</v>
      </c>
      <c r="CW306" s="2715">
        <f>SUM(CS306:CV306)</f>
        <v>4</v>
      </c>
      <c r="CX306" s="2809">
        <v>0</v>
      </c>
      <c r="CY306" s="2809">
        <v>0</v>
      </c>
      <c r="CZ306" s="2809">
        <v>0</v>
      </c>
      <c r="DA306" s="2809">
        <v>0</v>
      </c>
      <c r="DB306" s="2715">
        <f>SUM(CX306:DA306)</f>
        <v>0</v>
      </c>
      <c r="DC306" s="2809">
        <v>0</v>
      </c>
      <c r="DD306" s="2809">
        <v>0</v>
      </c>
      <c r="DE306" s="2809">
        <v>0</v>
      </c>
      <c r="DF306" s="2809">
        <v>0</v>
      </c>
      <c r="DG306" s="2715">
        <f>SUM(DC306:DF306)</f>
        <v>0</v>
      </c>
      <c r="DH306" s="2808">
        <f>DH326-DH208-DH264</f>
        <v>0</v>
      </c>
      <c r="DI306" s="2808">
        <f>DI326-DI208-DI264</f>
        <v>0</v>
      </c>
      <c r="DJ306" s="2808">
        <f>DJ326-DJ208-DJ264</f>
        <v>0</v>
      </c>
      <c r="DK306" s="2808">
        <f>DK326-DK208-DK264</f>
        <v>57</v>
      </c>
      <c r="DL306" s="2715">
        <f>SUM(DH306:DK306)</f>
        <v>57</v>
      </c>
      <c r="DM306" s="2808">
        <f>DM326-DM208-DM264</f>
        <v>3</v>
      </c>
      <c r="DN306" s="2808">
        <f>DN326-DN208-DN264</f>
        <v>0</v>
      </c>
      <c r="DO306" s="2808">
        <f>DO326-DO208-DO264</f>
        <v>0</v>
      </c>
      <c r="DP306" s="2808"/>
      <c r="DQ306" s="2715">
        <f>SUM(DM306:DP306)</f>
        <v>3</v>
      </c>
      <c r="DR306" s="2808"/>
      <c r="DS306" s="2808"/>
      <c r="DT306" s="2808"/>
      <c r="DU306" s="2808"/>
      <c r="DV306" s="2715"/>
      <c r="DW306" s="2808"/>
      <c r="DX306" s="2808"/>
      <c r="DY306" s="2808"/>
      <c r="DZ306" s="2808"/>
      <c r="EA306" s="2811"/>
      <c r="EB306" s="2808"/>
      <c r="EC306" s="2808"/>
      <c r="ED306" s="2808"/>
      <c r="EE306" s="2808"/>
      <c r="EF306" s="2811"/>
      <c r="EG306" s="2808"/>
      <c r="EH306" s="2808"/>
      <c r="EI306" s="2808"/>
      <c r="EJ306" s="2808"/>
      <c r="EK306" s="2811"/>
      <c r="EL306" s="2808"/>
      <c r="EM306" s="2808"/>
      <c r="EN306" s="2808"/>
      <c r="EO306" s="2808"/>
      <c r="EP306" s="2811"/>
      <c r="EQ306" s="2808"/>
      <c r="ER306" s="2808"/>
      <c r="ES306" s="2808"/>
      <c r="ET306" s="2808"/>
      <c r="EU306" s="2811"/>
      <c r="EV306" s="2811"/>
      <c r="EW306" s="2811"/>
      <c r="EX306" s="2811"/>
      <c r="EY306" s="2811"/>
      <c r="FA306" s="1319"/>
      <c r="FB306" s="1319"/>
    </row>
    <row r="307" spans="1:158" s="767" customFormat="1" hidden="1">
      <c r="A307" s="4823" t="s">
        <v>523</v>
      </c>
      <c r="B307" s="2743"/>
      <c r="C307" s="2743"/>
      <c r="D307" s="2743"/>
      <c r="E307" s="2743"/>
      <c r="F307" s="2743"/>
      <c r="G307" s="2743"/>
      <c r="H307" s="2743"/>
      <c r="I307" s="2743"/>
      <c r="J307" s="2743"/>
      <c r="K307" s="2743"/>
      <c r="L307" s="2743"/>
      <c r="M307" s="2743"/>
      <c r="N307" s="2743"/>
      <c r="O307" s="2743"/>
      <c r="P307" s="2743"/>
      <c r="Q307" s="2743"/>
      <c r="R307" s="2743"/>
      <c r="S307" s="2743"/>
      <c r="T307" s="2743"/>
      <c r="U307" s="2743"/>
      <c r="V307" s="2743"/>
      <c r="W307" s="2743"/>
      <c r="X307" s="2743"/>
      <c r="Y307" s="2743"/>
      <c r="Z307" s="2743"/>
      <c r="AA307" s="2743"/>
      <c r="AB307" s="2743"/>
      <c r="AC307" s="2743"/>
      <c r="AD307" s="2743"/>
      <c r="AE307" s="2743"/>
      <c r="AF307" s="2743"/>
      <c r="AG307" s="2743"/>
      <c r="AH307" s="2743"/>
      <c r="AI307" s="2743"/>
      <c r="AJ307" s="2743"/>
      <c r="AK307" s="2743"/>
      <c r="AL307" s="2743"/>
      <c r="AM307" s="2743"/>
      <c r="AN307" s="2743"/>
      <c r="AO307" s="2743"/>
      <c r="AP307" s="2743"/>
      <c r="AQ307" s="2743"/>
      <c r="AR307" s="2743"/>
      <c r="AS307" s="2743"/>
      <c r="AT307" s="2743"/>
      <c r="AU307" s="2743"/>
      <c r="AV307" s="2743"/>
      <c r="AW307" s="2743"/>
      <c r="AX307" s="2743"/>
      <c r="AY307" s="2743"/>
      <c r="AZ307" s="2743"/>
      <c r="BA307" s="2743"/>
      <c r="BB307" s="2743"/>
      <c r="BC307" s="2743"/>
      <c r="BD307" s="2743"/>
      <c r="BE307" s="2743"/>
      <c r="BF307" s="2743"/>
      <c r="BG307" s="2743"/>
      <c r="BH307" s="2743"/>
      <c r="BI307" s="2743"/>
      <c r="BJ307" s="2743"/>
      <c r="BK307" s="2743"/>
      <c r="BL307" s="2743"/>
      <c r="BM307" s="2743"/>
      <c r="BN307" s="2743"/>
      <c r="BO307" s="2743"/>
      <c r="BP307" s="2743"/>
      <c r="BQ307" s="2743"/>
      <c r="BR307" s="2743"/>
      <c r="BS307" s="2743"/>
      <c r="BT307" s="2743"/>
      <c r="BU307" s="2743"/>
      <c r="BV307" s="2743"/>
      <c r="BW307" s="2743"/>
      <c r="BX307" s="2743"/>
      <c r="BY307" s="2743"/>
      <c r="BZ307" s="2743"/>
      <c r="CA307" s="2743"/>
      <c r="CB307" s="2743"/>
      <c r="CC307" s="2743"/>
      <c r="CD307" s="2743"/>
      <c r="CE307" s="2743"/>
      <c r="CF307" s="2743"/>
      <c r="CG307" s="2743"/>
      <c r="CH307" s="4824"/>
      <c r="CI307" s="4825"/>
      <c r="CJ307" s="4825"/>
      <c r="CK307" s="4825"/>
      <c r="CL307" s="4826"/>
      <c r="CM307" s="4824"/>
      <c r="CN307" s="4826"/>
      <c r="CO307" s="4826"/>
      <c r="CP307" s="4826"/>
      <c r="CQ307" s="4826"/>
      <c r="CR307" s="4827"/>
      <c r="CS307" s="4828"/>
      <c r="CT307" s="4826"/>
      <c r="CU307" s="4826"/>
      <c r="CV307" s="4826"/>
      <c r="CW307" s="4827"/>
      <c r="CX307" s="4826"/>
      <c r="CY307" s="4826"/>
      <c r="CZ307" s="4826"/>
      <c r="DA307" s="4826"/>
      <c r="DB307" s="4827"/>
      <c r="DC307" s="4826"/>
      <c r="DD307" s="4826"/>
      <c r="DE307" s="4826"/>
      <c r="DF307" s="4826"/>
      <c r="DG307" s="4836"/>
      <c r="DH307" s="4837"/>
      <c r="DI307" s="4837"/>
      <c r="DJ307" s="4837"/>
      <c r="DK307" s="4837"/>
      <c r="DL307" s="4836"/>
      <c r="DM307" s="4837"/>
      <c r="DN307" s="4837"/>
      <c r="DO307" s="4837"/>
      <c r="DP307" s="4837"/>
      <c r="DQ307" s="4836"/>
      <c r="DR307" s="4837"/>
      <c r="DS307" s="4837"/>
      <c r="DT307" s="4837"/>
      <c r="DU307" s="4837"/>
      <c r="DV307" s="4836"/>
      <c r="DW307" s="4837"/>
      <c r="DX307" s="4837"/>
      <c r="DY307" s="4837"/>
      <c r="DZ307" s="4837"/>
      <c r="EA307" s="4836"/>
      <c r="EB307" s="4837"/>
      <c r="EC307" s="4837"/>
      <c r="ED307" s="4837"/>
      <c r="EE307" s="4837"/>
      <c r="EF307" s="4836"/>
      <c r="EG307" s="4837"/>
      <c r="EH307" s="4837"/>
      <c r="EI307" s="4837"/>
      <c r="EJ307" s="4837"/>
      <c r="EK307" s="4836"/>
      <c r="EL307" s="4837"/>
      <c r="EM307" s="4837"/>
      <c r="EN307" s="4837"/>
      <c r="EO307" s="4837"/>
      <c r="EP307" s="4836"/>
      <c r="EQ307" s="4837"/>
      <c r="ER307" s="4837"/>
      <c r="ES307" s="4837"/>
      <c r="ET307" s="4837"/>
      <c r="EU307" s="4836"/>
      <c r="EV307" s="4836"/>
      <c r="EW307" s="4836"/>
      <c r="EX307" s="4836"/>
      <c r="EY307" s="4836"/>
      <c r="FA307" s="4276"/>
      <c r="FB307" s="4276"/>
    </row>
    <row r="308" spans="1:158" s="767" customFormat="1" hidden="1">
      <c r="A308" s="4823"/>
      <c r="B308" s="2743"/>
      <c r="C308" s="2743"/>
      <c r="D308" s="2743"/>
      <c r="E308" s="2743"/>
      <c r="F308" s="2743"/>
      <c r="G308" s="2743"/>
      <c r="H308" s="2743"/>
      <c r="I308" s="2743"/>
      <c r="J308" s="2743"/>
      <c r="K308" s="2743"/>
      <c r="L308" s="2743"/>
      <c r="M308" s="2743"/>
      <c r="N308" s="2743"/>
      <c r="O308" s="2743"/>
      <c r="P308" s="2743"/>
      <c r="Q308" s="2743"/>
      <c r="R308" s="2743"/>
      <c r="S308" s="2743"/>
      <c r="T308" s="2743"/>
      <c r="U308" s="2743"/>
      <c r="V308" s="2743"/>
      <c r="W308" s="2743"/>
      <c r="X308" s="2743"/>
      <c r="Y308" s="2743"/>
      <c r="Z308" s="2743"/>
      <c r="AA308" s="2743"/>
      <c r="AB308" s="2743"/>
      <c r="AC308" s="2743"/>
      <c r="AD308" s="2743"/>
      <c r="AE308" s="2743"/>
      <c r="AF308" s="2743"/>
      <c r="AG308" s="2743"/>
      <c r="AH308" s="2743"/>
      <c r="AI308" s="2743"/>
      <c r="AJ308" s="2743"/>
      <c r="AK308" s="2743"/>
      <c r="AL308" s="2743"/>
      <c r="AM308" s="2743"/>
      <c r="AN308" s="2743"/>
      <c r="AO308" s="2743"/>
      <c r="AP308" s="2743"/>
      <c r="AQ308" s="2743"/>
      <c r="AR308" s="2743"/>
      <c r="AS308" s="2743"/>
      <c r="AT308" s="2743"/>
      <c r="AU308" s="2743"/>
      <c r="AV308" s="2743"/>
      <c r="AW308" s="2743"/>
      <c r="AX308" s="2743"/>
      <c r="AY308" s="2743"/>
      <c r="AZ308" s="2743"/>
      <c r="BA308" s="2743"/>
      <c r="BB308" s="2743"/>
      <c r="BC308" s="2743"/>
      <c r="BD308" s="2743"/>
      <c r="BE308" s="2743"/>
      <c r="BF308" s="2743"/>
      <c r="BG308" s="2743"/>
      <c r="BH308" s="2743"/>
      <c r="BI308" s="2743"/>
      <c r="BJ308" s="2743"/>
      <c r="BK308" s="2743"/>
      <c r="BL308" s="2743"/>
      <c r="BM308" s="2743"/>
      <c r="BN308" s="2743"/>
      <c r="BO308" s="2743"/>
      <c r="BP308" s="2743"/>
      <c r="BQ308" s="2743"/>
      <c r="BR308" s="2743"/>
      <c r="BS308" s="2743"/>
      <c r="BT308" s="2743"/>
      <c r="BU308" s="2743"/>
      <c r="BV308" s="2743"/>
      <c r="BW308" s="2743"/>
      <c r="BX308" s="2743"/>
      <c r="BY308" s="2743"/>
      <c r="BZ308" s="2743"/>
      <c r="CA308" s="2743"/>
      <c r="CB308" s="2743"/>
      <c r="CC308" s="2743"/>
      <c r="CD308" s="2743"/>
      <c r="CE308" s="2743"/>
      <c r="CF308" s="2743"/>
      <c r="CG308" s="2743"/>
      <c r="CH308" s="4824"/>
      <c r="CI308" s="4825"/>
      <c r="CJ308" s="4825"/>
      <c r="CK308" s="4825"/>
      <c r="CL308" s="4826"/>
      <c r="CM308" s="4824"/>
      <c r="CN308" s="4826"/>
      <c r="CO308" s="4826"/>
      <c r="CP308" s="4826"/>
      <c r="CQ308" s="4826"/>
      <c r="CR308" s="4827"/>
      <c r="CS308" s="4828"/>
      <c r="CT308" s="4826"/>
      <c r="CU308" s="4826"/>
      <c r="CV308" s="4826"/>
      <c r="CW308" s="4827"/>
      <c r="CX308" s="4826"/>
      <c r="CY308" s="4826"/>
      <c r="CZ308" s="4826"/>
      <c r="DA308" s="4826"/>
      <c r="DB308" s="4827"/>
      <c r="DC308" s="4826"/>
      <c r="DD308" s="4826"/>
      <c r="DE308" s="4826"/>
      <c r="DF308" s="4826"/>
      <c r="DG308" s="4836"/>
      <c r="DH308" s="4837"/>
      <c r="DI308" s="4837"/>
      <c r="DJ308" s="4837"/>
      <c r="DK308" s="4837"/>
      <c r="DL308" s="4836"/>
      <c r="DM308" s="4837"/>
      <c r="DN308" s="4837"/>
      <c r="DO308" s="4837"/>
      <c r="DP308" s="4837"/>
      <c r="DQ308" s="4836"/>
      <c r="DR308" s="4837"/>
      <c r="DS308" s="4837"/>
      <c r="DT308" s="4837"/>
      <c r="DU308" s="4837"/>
      <c r="DV308" s="4836"/>
      <c r="DW308" s="4837"/>
      <c r="DX308" s="4837"/>
      <c r="DY308" s="4837"/>
      <c r="DZ308" s="4837"/>
      <c r="EA308" s="4836"/>
      <c r="EB308" s="4837"/>
      <c r="EC308" s="4837"/>
      <c r="ED308" s="4837"/>
      <c r="EE308" s="4837"/>
      <c r="EF308" s="4836"/>
      <c r="EG308" s="4837"/>
      <c r="EH308" s="4837"/>
      <c r="EI308" s="4837"/>
      <c r="EJ308" s="4837"/>
      <c r="EK308" s="4836"/>
      <c r="EL308" s="4837"/>
      <c r="EM308" s="4837"/>
      <c r="EN308" s="4837"/>
      <c r="EO308" s="4837"/>
      <c r="EP308" s="4836"/>
      <c r="EQ308" s="4837"/>
      <c r="ER308" s="4837"/>
      <c r="ES308" s="4837"/>
      <c r="ET308" s="4837"/>
      <c r="EU308" s="4836"/>
      <c r="EV308" s="4836"/>
      <c r="EW308" s="4836"/>
      <c r="EX308" s="4836"/>
      <c r="EY308" s="4836"/>
      <c r="FA308" s="4276"/>
      <c r="FB308" s="4276"/>
    </row>
    <row r="309" spans="1:158" s="767" customFormat="1" hidden="1">
      <c r="A309" s="4829" t="s">
        <v>951</v>
      </c>
      <c r="B309" s="4830"/>
      <c r="C309" s="4830"/>
      <c r="D309" s="4830"/>
      <c r="E309" s="4830"/>
      <c r="F309" s="4830"/>
      <c r="G309" s="4830"/>
      <c r="H309" s="4830"/>
      <c r="I309" s="4830"/>
      <c r="J309" s="4830"/>
      <c r="K309" s="4830"/>
      <c r="L309" s="4830"/>
      <c r="M309" s="4830"/>
      <c r="N309" s="4830"/>
      <c r="O309" s="4830"/>
      <c r="P309" s="4830"/>
      <c r="Q309" s="4830"/>
      <c r="R309" s="4830"/>
      <c r="S309" s="4830"/>
      <c r="T309" s="4830"/>
      <c r="U309" s="4830"/>
      <c r="V309" s="4830"/>
      <c r="W309" s="4830"/>
      <c r="X309" s="4830"/>
      <c r="Y309" s="4830"/>
      <c r="Z309" s="4830"/>
      <c r="AA309" s="4830"/>
      <c r="AB309" s="4830"/>
      <c r="AC309" s="4830"/>
      <c r="AD309" s="4830"/>
      <c r="AE309" s="4830"/>
      <c r="AF309" s="4830"/>
      <c r="AG309" s="4830"/>
      <c r="AH309" s="4830"/>
      <c r="AI309" s="4830"/>
      <c r="AJ309" s="4830"/>
      <c r="AK309" s="4830"/>
      <c r="AL309" s="4830"/>
      <c r="AM309" s="4830"/>
      <c r="AN309" s="4830"/>
      <c r="AO309" s="4830"/>
      <c r="AP309" s="4830"/>
      <c r="AQ309" s="4830"/>
      <c r="AR309" s="4830"/>
      <c r="AS309" s="4830"/>
      <c r="AT309" s="4830"/>
      <c r="AU309" s="4830"/>
      <c r="AV309" s="4830"/>
      <c r="AW309" s="4830"/>
      <c r="AX309" s="4830"/>
      <c r="AY309" s="4830"/>
      <c r="AZ309" s="4830"/>
      <c r="BA309" s="4830"/>
      <c r="BB309" s="4830"/>
      <c r="BC309" s="4830"/>
      <c r="BD309" s="4830"/>
      <c r="BE309" s="4830"/>
      <c r="BF309" s="4830"/>
      <c r="BG309" s="4830"/>
      <c r="BH309" s="4830"/>
      <c r="BI309" s="4830"/>
      <c r="BJ309" s="4830"/>
      <c r="BK309" s="4830"/>
      <c r="BL309" s="4830"/>
      <c r="BM309" s="4830"/>
      <c r="BN309" s="4830"/>
      <c r="BO309" s="4830"/>
      <c r="BP309" s="4830"/>
      <c r="BQ309" s="4830"/>
      <c r="BR309" s="4830"/>
      <c r="BS309" s="4830"/>
      <c r="BT309" s="4830"/>
      <c r="BU309" s="4830"/>
      <c r="BV309" s="4830"/>
      <c r="BW309" s="4830"/>
      <c r="BX309" s="4830"/>
      <c r="BY309" s="4830"/>
      <c r="BZ309" s="4830"/>
      <c r="CA309" s="4830"/>
      <c r="CB309" s="4830"/>
      <c r="CC309" s="4830"/>
      <c r="CD309" s="4830"/>
      <c r="CE309" s="4830"/>
      <c r="CF309" s="4830"/>
      <c r="CG309" s="4830"/>
      <c r="CH309" s="4831"/>
      <c r="CI309" s="4832"/>
      <c r="CJ309" s="4832"/>
      <c r="CK309" s="4832"/>
      <c r="CL309" s="4833"/>
      <c r="CM309" s="4831"/>
      <c r="CN309" s="4833"/>
      <c r="CO309" s="4833"/>
      <c r="CP309" s="4833"/>
      <c r="CQ309" s="4833"/>
      <c r="CR309" s="4834"/>
      <c r="CS309" s="4835"/>
      <c r="CT309" s="4833"/>
      <c r="CU309" s="4833"/>
      <c r="CV309" s="4833"/>
      <c r="CW309" s="4834"/>
      <c r="CX309" s="4833"/>
      <c r="CY309" s="4833"/>
      <c r="CZ309" s="4833"/>
      <c r="DA309" s="4833"/>
      <c r="DB309" s="4834"/>
      <c r="DC309" s="4833"/>
      <c r="DD309" s="4833"/>
      <c r="DE309" s="4833"/>
      <c r="DF309" s="4833"/>
      <c r="DG309" s="4838" t="str">
        <f t="shared" ref="DG309:DQ309" si="603">IF(DG264&gt;DG263,"Err","Ok")</f>
        <v>Ok</v>
      </c>
      <c r="DH309" s="4839" t="str">
        <f t="shared" si="603"/>
        <v>Ok</v>
      </c>
      <c r="DI309" s="4839" t="str">
        <f t="shared" si="603"/>
        <v>Ok</v>
      </c>
      <c r="DJ309" s="4839" t="str">
        <f t="shared" si="603"/>
        <v>Ok</v>
      </c>
      <c r="DK309" s="4839" t="str">
        <f t="shared" si="603"/>
        <v>Ok</v>
      </c>
      <c r="DL309" s="4838" t="str">
        <f t="shared" si="603"/>
        <v>Ok</v>
      </c>
      <c r="DM309" s="4839" t="str">
        <f t="shared" si="603"/>
        <v>Ok</v>
      </c>
      <c r="DN309" s="4839" t="str">
        <f t="shared" si="603"/>
        <v>Ok</v>
      </c>
      <c r="DO309" s="4839" t="str">
        <f t="shared" si="603"/>
        <v>Ok</v>
      </c>
      <c r="DP309" s="4839" t="str">
        <f t="shared" si="603"/>
        <v>Ok</v>
      </c>
      <c r="DQ309" s="4838" t="str">
        <f t="shared" si="603"/>
        <v>Ok</v>
      </c>
      <c r="DR309" s="4839"/>
      <c r="DS309" s="4839"/>
      <c r="DT309" s="4839"/>
      <c r="DU309" s="4839"/>
      <c r="DV309" s="4838"/>
      <c r="DW309" s="4839"/>
      <c r="DX309" s="4839"/>
      <c r="DY309" s="4839"/>
      <c r="DZ309" s="4839"/>
      <c r="EA309" s="4838"/>
      <c r="EB309" s="4839"/>
      <c r="EC309" s="4839"/>
      <c r="ED309" s="4839"/>
      <c r="EE309" s="4839"/>
      <c r="EF309" s="4838"/>
      <c r="EG309" s="4839"/>
      <c r="EH309" s="4839"/>
      <c r="EI309" s="4839"/>
      <c r="EJ309" s="4839"/>
      <c r="EK309" s="4838"/>
      <c r="EL309" s="4839"/>
      <c r="EM309" s="4839"/>
      <c r="EN309" s="4839"/>
      <c r="EO309" s="4839"/>
      <c r="EP309" s="4838"/>
      <c r="EQ309" s="4839"/>
      <c r="ER309" s="4839"/>
      <c r="ES309" s="4839"/>
      <c r="ET309" s="4839"/>
      <c r="EU309" s="4838"/>
      <c r="EV309" s="4838"/>
      <c r="EW309" s="4838"/>
      <c r="EX309" s="4838"/>
      <c r="EY309" s="4838"/>
      <c r="FA309" s="4276"/>
      <c r="FB309" s="4276"/>
    </row>
    <row r="310" spans="1:158" hidden="1">
      <c r="A310" s="2812"/>
      <c r="B310" s="151"/>
      <c r="C310" s="151"/>
      <c r="D310" s="151"/>
      <c r="E310" s="151"/>
      <c r="F310" s="151"/>
      <c r="G310" s="151"/>
      <c r="H310" s="151"/>
      <c r="I310" s="151"/>
      <c r="J310" s="151"/>
      <c r="K310" s="151"/>
      <c r="L310" s="151"/>
      <c r="M310" s="151"/>
      <c r="N310" s="151"/>
      <c r="O310" s="151"/>
      <c r="P310" s="151"/>
      <c r="Q310" s="151"/>
      <c r="R310" s="151"/>
      <c r="S310" s="151"/>
      <c r="T310" s="151"/>
      <c r="U310" s="151"/>
      <c r="V310" s="151"/>
      <c r="W310" s="151"/>
      <c r="X310" s="151"/>
      <c r="Y310" s="151"/>
      <c r="Z310" s="151"/>
      <c r="AA310" s="151"/>
      <c r="AB310" s="151"/>
      <c r="AC310" s="151"/>
      <c r="AD310" s="151"/>
      <c r="AE310" s="151"/>
      <c r="AF310" s="151"/>
      <c r="AG310" s="151"/>
      <c r="AH310" s="151"/>
      <c r="AI310" s="151"/>
      <c r="AJ310" s="151"/>
      <c r="AK310" s="151"/>
      <c r="AL310" s="151"/>
      <c r="AM310" s="151"/>
      <c r="AN310" s="151"/>
      <c r="AO310" s="151"/>
      <c r="AP310" s="151"/>
      <c r="AQ310" s="151"/>
      <c r="AR310" s="151"/>
      <c r="AS310" s="151"/>
      <c r="AT310" s="151"/>
      <c r="AU310" s="151"/>
      <c r="AV310" s="151"/>
      <c r="AW310" s="151"/>
      <c r="AX310" s="151"/>
      <c r="AY310" s="151"/>
      <c r="AZ310" s="151"/>
      <c r="BA310" s="151"/>
      <c r="BB310" s="151"/>
      <c r="BC310" s="151"/>
      <c r="BD310" s="151"/>
      <c r="BE310" s="151"/>
      <c r="BF310" s="151"/>
      <c r="BG310" s="151"/>
      <c r="BH310" s="151"/>
      <c r="BI310" s="151"/>
      <c r="BJ310" s="151"/>
      <c r="BK310" s="151"/>
      <c r="BL310" s="151"/>
      <c r="BM310" s="151"/>
      <c r="BN310" s="151"/>
      <c r="BO310" s="151"/>
      <c r="BP310" s="151"/>
      <c r="BQ310" s="151"/>
      <c r="BR310" s="151"/>
      <c r="BS310" s="151"/>
      <c r="BT310" s="151"/>
      <c r="BU310" s="151"/>
      <c r="BV310" s="151"/>
      <c r="BW310" s="151"/>
      <c r="BX310" s="151"/>
      <c r="BY310" s="151"/>
      <c r="BZ310" s="151"/>
      <c r="CA310" s="151"/>
      <c r="CB310" s="151"/>
      <c r="CC310" s="151"/>
      <c r="CD310" s="151"/>
      <c r="CE310" s="151"/>
      <c r="CF310" s="151"/>
      <c r="CG310" s="151"/>
      <c r="CH310" s="2813"/>
      <c r="CI310" s="151"/>
      <c r="CJ310" s="151"/>
      <c r="CK310" s="151"/>
      <c r="CL310" s="151"/>
      <c r="CM310" s="151"/>
      <c r="CN310" s="151"/>
      <c r="CO310" s="151"/>
      <c r="CP310" s="151"/>
      <c r="CQ310" s="151"/>
      <c r="CR310" s="151"/>
      <c r="CS310" s="151"/>
      <c r="CT310" s="151"/>
      <c r="CU310" s="151"/>
      <c r="CV310" s="151"/>
      <c r="CW310" s="151"/>
      <c r="CX310" s="151"/>
      <c r="CY310" s="151"/>
      <c r="CZ310" s="151"/>
      <c r="DA310" s="151"/>
      <c r="DB310" s="151"/>
      <c r="DC310" s="151"/>
      <c r="DD310" s="151"/>
      <c r="DE310" s="151"/>
      <c r="DF310" s="151"/>
      <c r="DG310" s="151"/>
      <c r="DH310" s="151"/>
      <c r="DI310" s="151"/>
      <c r="DJ310" s="151"/>
      <c r="DK310" s="151"/>
      <c r="DL310" s="151"/>
      <c r="DM310" s="151"/>
      <c r="DN310" s="151"/>
      <c r="DO310" s="151"/>
      <c r="DP310" s="151"/>
      <c r="DQ310" s="151"/>
      <c r="DR310" s="151"/>
      <c r="DS310" s="151"/>
      <c r="DT310" s="151"/>
      <c r="DU310" s="151"/>
      <c r="DV310" s="151"/>
      <c r="DW310" s="151"/>
      <c r="DX310" s="151"/>
      <c r="DY310" s="151"/>
      <c r="DZ310" s="151"/>
      <c r="EA310" s="151"/>
      <c r="EB310" s="151"/>
      <c r="EC310" s="151"/>
      <c r="ED310" s="151"/>
      <c r="EE310" s="151"/>
      <c r="EF310" s="151"/>
      <c r="EG310" s="151"/>
      <c r="EH310" s="151"/>
      <c r="EI310" s="151"/>
      <c r="EJ310" s="151"/>
      <c r="EK310" s="151"/>
      <c r="EL310" s="151"/>
      <c r="EM310" s="151"/>
      <c r="EN310" s="151"/>
      <c r="EO310" s="151"/>
      <c r="EP310" s="151"/>
      <c r="EQ310" s="151"/>
      <c r="ER310" s="151"/>
      <c r="ES310" s="151"/>
      <c r="ET310" s="151"/>
      <c r="EU310" s="151"/>
      <c r="EV310" s="151"/>
      <c r="EW310" s="151"/>
      <c r="EX310" s="151"/>
      <c r="EY310" s="151"/>
      <c r="FA310" s="1319"/>
      <c r="FB310" s="1319"/>
    </row>
    <row r="311" spans="1:158" s="535" customFormat="1" hidden="1">
      <c r="A311" s="1519"/>
      <c r="B311" s="164" t="str">
        <f t="shared" ref="B311:AG311" si="604">B6</f>
        <v>3/99A</v>
      </c>
      <c r="C311" s="164" t="str">
        <f t="shared" si="604"/>
        <v>6/99A</v>
      </c>
      <c r="D311" s="164" t="str">
        <f t="shared" si="604"/>
        <v>9/99A</v>
      </c>
      <c r="E311" s="164" t="str">
        <f t="shared" si="604"/>
        <v>12/99A</v>
      </c>
      <c r="F311" s="512" t="str">
        <f t="shared" si="604"/>
        <v>1999A</v>
      </c>
      <c r="G311" s="164" t="str">
        <f t="shared" si="604"/>
        <v>3/00A</v>
      </c>
      <c r="H311" s="164" t="str">
        <f t="shared" si="604"/>
        <v>6/00A</v>
      </c>
      <c r="I311" s="164" t="str">
        <f t="shared" si="604"/>
        <v>9/00A</v>
      </c>
      <c r="J311" s="164" t="str">
        <f t="shared" si="604"/>
        <v>12/00A</v>
      </c>
      <c r="K311" s="164" t="str">
        <f t="shared" si="604"/>
        <v>2000A</v>
      </c>
      <c r="L311" s="164" t="str">
        <f t="shared" si="604"/>
        <v>3/01A</v>
      </c>
      <c r="M311" s="164" t="str">
        <f t="shared" si="604"/>
        <v>6/01A</v>
      </c>
      <c r="N311" s="164" t="str">
        <f t="shared" si="604"/>
        <v>9/01A</v>
      </c>
      <c r="O311" s="164" t="str">
        <f t="shared" si="604"/>
        <v>12/01A</v>
      </c>
      <c r="P311" s="512" t="str">
        <f t="shared" si="604"/>
        <v>2001A</v>
      </c>
      <c r="Q311" s="164" t="str">
        <f t="shared" si="604"/>
        <v>3/02A</v>
      </c>
      <c r="R311" s="164" t="str">
        <f t="shared" si="604"/>
        <v>6/02A</v>
      </c>
      <c r="S311" s="164" t="str">
        <f t="shared" si="604"/>
        <v>9/02A</v>
      </c>
      <c r="T311" s="164" t="str">
        <f t="shared" si="604"/>
        <v>12/02A</v>
      </c>
      <c r="U311" s="512" t="str">
        <f t="shared" si="604"/>
        <v>2002A</v>
      </c>
      <c r="V311" s="164" t="str">
        <f t="shared" si="604"/>
        <v>3/03A</v>
      </c>
      <c r="W311" s="164" t="str">
        <f t="shared" si="604"/>
        <v>6/03A</v>
      </c>
      <c r="X311" s="164" t="str">
        <f t="shared" si="604"/>
        <v>9/03A</v>
      </c>
      <c r="Y311" s="164" t="str">
        <f t="shared" si="604"/>
        <v>12/03A</v>
      </c>
      <c r="Z311" s="512" t="str">
        <f t="shared" si="604"/>
        <v>2003A</v>
      </c>
      <c r="AA311" s="164" t="str">
        <f t="shared" si="604"/>
        <v>3/04A</v>
      </c>
      <c r="AB311" s="164" t="str">
        <f t="shared" si="604"/>
        <v>6/04A</v>
      </c>
      <c r="AC311" s="164" t="str">
        <f t="shared" si="604"/>
        <v>9/04A</v>
      </c>
      <c r="AD311" s="164" t="str">
        <f t="shared" si="604"/>
        <v>12/04A</v>
      </c>
      <c r="AE311" s="512" t="str">
        <f t="shared" si="604"/>
        <v>2004A</v>
      </c>
      <c r="AF311" s="164" t="str">
        <f t="shared" si="604"/>
        <v>3/05A</v>
      </c>
      <c r="AG311" s="164" t="str">
        <f t="shared" si="604"/>
        <v>6/05A</v>
      </c>
      <c r="AH311" s="164" t="str">
        <f t="shared" ref="AH311:BM311" si="605">AH6</f>
        <v>9/05A</v>
      </c>
      <c r="AI311" s="164" t="str">
        <f t="shared" si="605"/>
        <v>12/05A</v>
      </c>
      <c r="AJ311" s="512" t="str">
        <f t="shared" si="605"/>
        <v>2005A</v>
      </c>
      <c r="AK311" s="164" t="str">
        <f t="shared" si="605"/>
        <v>3/06A</v>
      </c>
      <c r="AL311" s="164" t="str">
        <f t="shared" si="605"/>
        <v>6/06A</v>
      </c>
      <c r="AM311" s="164" t="str">
        <f t="shared" si="605"/>
        <v>9/06A</v>
      </c>
      <c r="AN311" s="164" t="str">
        <f t="shared" si="605"/>
        <v>12/06A</v>
      </c>
      <c r="AO311" s="512" t="str">
        <f t="shared" si="605"/>
        <v>2006A</v>
      </c>
      <c r="AP311" s="164" t="str">
        <f t="shared" si="605"/>
        <v>3/07A</v>
      </c>
      <c r="AQ311" s="164" t="str">
        <f t="shared" si="605"/>
        <v>6/07A</v>
      </c>
      <c r="AR311" s="164" t="str">
        <f t="shared" si="605"/>
        <v>9/07A</v>
      </c>
      <c r="AS311" s="164" t="str">
        <f t="shared" si="605"/>
        <v>12/07A</v>
      </c>
      <c r="AT311" s="512" t="str">
        <f t="shared" si="605"/>
        <v>2007A</v>
      </c>
      <c r="AU311" s="164" t="str">
        <f t="shared" si="605"/>
        <v>3/08A</v>
      </c>
      <c r="AV311" s="164" t="str">
        <f t="shared" si="605"/>
        <v>6/08A</v>
      </c>
      <c r="AW311" s="164" t="str">
        <f t="shared" si="605"/>
        <v>9/08A</v>
      </c>
      <c r="AX311" s="164" t="str">
        <f t="shared" si="605"/>
        <v>12/08A</v>
      </c>
      <c r="AY311" s="164" t="str">
        <f t="shared" si="605"/>
        <v>2008A</v>
      </c>
      <c r="AZ311" s="164" t="str">
        <f t="shared" si="605"/>
        <v>3/09A</v>
      </c>
      <c r="BA311" s="164" t="str">
        <f t="shared" si="605"/>
        <v>6/09A</v>
      </c>
      <c r="BB311" s="164" t="str">
        <f t="shared" si="605"/>
        <v>9/09A</v>
      </c>
      <c r="BC311" s="164" t="str">
        <f t="shared" si="605"/>
        <v>12/09A</v>
      </c>
      <c r="BD311" s="164" t="str">
        <f t="shared" si="605"/>
        <v>2009A</v>
      </c>
      <c r="BE311" s="164" t="str">
        <f t="shared" si="605"/>
        <v>3/10A</v>
      </c>
      <c r="BF311" s="164" t="str">
        <f t="shared" si="605"/>
        <v>6/10A</v>
      </c>
      <c r="BG311" s="164" t="str">
        <f t="shared" si="605"/>
        <v>9/10A</v>
      </c>
      <c r="BH311" s="164" t="str">
        <f t="shared" si="605"/>
        <v>12/10A</v>
      </c>
      <c r="BI311" s="164" t="str">
        <f t="shared" si="605"/>
        <v>2010A</v>
      </c>
      <c r="BJ311" s="164" t="str">
        <f t="shared" si="605"/>
        <v>3/11A</v>
      </c>
      <c r="BK311" s="164" t="str">
        <f t="shared" si="605"/>
        <v>6/11A</v>
      </c>
      <c r="BL311" s="164" t="str">
        <f t="shared" si="605"/>
        <v>9/11A</v>
      </c>
      <c r="BM311" s="164" t="str">
        <f t="shared" si="605"/>
        <v>12/11A</v>
      </c>
      <c r="BN311" s="164" t="str">
        <f t="shared" ref="BN311:BS311" si="606">BN6</f>
        <v>2011A</v>
      </c>
      <c r="BO311" s="164" t="str">
        <f t="shared" si="606"/>
        <v>3/12A</v>
      </c>
      <c r="BP311" s="164" t="str">
        <f t="shared" si="606"/>
        <v>6/12A</v>
      </c>
      <c r="BQ311" s="164" t="str">
        <f t="shared" si="606"/>
        <v>9/12A</v>
      </c>
      <c r="BR311" s="164" t="str">
        <f t="shared" si="606"/>
        <v>12/12A</v>
      </c>
      <c r="BS311" s="164" t="str">
        <f t="shared" si="606"/>
        <v>2012A</v>
      </c>
      <c r="BT311" s="164"/>
      <c r="BU311" s="164"/>
      <c r="BV311" s="164"/>
      <c r="BW311" s="164"/>
      <c r="BX311" s="164"/>
      <c r="BY311" s="164"/>
      <c r="BZ311" s="164"/>
      <c r="CA311" s="164"/>
      <c r="CB311" s="164"/>
      <c r="CC311" s="164"/>
      <c r="CD311" s="164" t="str">
        <f t="shared" ref="CD311:DQ311" si="607">CD6</f>
        <v>3/13A</v>
      </c>
      <c r="CE311" s="164" t="str">
        <f t="shared" si="607"/>
        <v>6/13A</v>
      </c>
      <c r="CF311" s="164" t="str">
        <f t="shared" si="607"/>
        <v>9/13A</v>
      </c>
      <c r="CG311" s="164" t="str">
        <f t="shared" si="607"/>
        <v>12/13A</v>
      </c>
      <c r="CH311" s="164" t="str">
        <f t="shared" si="607"/>
        <v>2013A</v>
      </c>
      <c r="CI311" s="164" t="str">
        <f t="shared" si="607"/>
        <v>3/14A</v>
      </c>
      <c r="CJ311" s="164" t="str">
        <f t="shared" si="607"/>
        <v>6/14A</v>
      </c>
      <c r="CK311" s="164" t="str">
        <f t="shared" si="607"/>
        <v>9/14A</v>
      </c>
      <c r="CL311" s="164" t="str">
        <f t="shared" si="607"/>
        <v>12/14A</v>
      </c>
      <c r="CM311" s="164" t="str">
        <f t="shared" si="607"/>
        <v>2014A</v>
      </c>
      <c r="CN311" s="164" t="str">
        <f t="shared" si="607"/>
        <v>3/15A</v>
      </c>
      <c r="CO311" s="164" t="str">
        <f t="shared" si="607"/>
        <v>6/15A</v>
      </c>
      <c r="CP311" s="164" t="str">
        <f t="shared" si="607"/>
        <v>9/15A</v>
      </c>
      <c r="CQ311" s="164" t="str">
        <f t="shared" si="607"/>
        <v>12/15A</v>
      </c>
      <c r="CR311" s="164" t="str">
        <f t="shared" si="607"/>
        <v>2015A</v>
      </c>
      <c r="CS311" s="164" t="str">
        <f t="shared" si="607"/>
        <v>3/16A</v>
      </c>
      <c r="CT311" s="164" t="str">
        <f t="shared" si="607"/>
        <v>6/16A</v>
      </c>
      <c r="CU311" s="164" t="str">
        <f t="shared" si="607"/>
        <v>9/16A</v>
      </c>
      <c r="CV311" s="164" t="str">
        <f t="shared" si="607"/>
        <v>12/16A</v>
      </c>
      <c r="CW311" s="164" t="str">
        <f t="shared" si="607"/>
        <v>2016A</v>
      </c>
      <c r="CX311" s="164" t="str">
        <f t="shared" si="607"/>
        <v>3/17A</v>
      </c>
      <c r="CY311" s="164" t="str">
        <f t="shared" si="607"/>
        <v>6/17A</v>
      </c>
      <c r="CZ311" s="164" t="str">
        <f t="shared" si="607"/>
        <v>9/17A</v>
      </c>
      <c r="DA311" s="164" t="str">
        <f t="shared" si="607"/>
        <v>12/17A</v>
      </c>
      <c r="DB311" s="164" t="str">
        <f t="shared" si="607"/>
        <v>2017A</v>
      </c>
      <c r="DC311" s="164" t="str">
        <f t="shared" si="607"/>
        <v>3/18A</v>
      </c>
      <c r="DD311" s="164" t="str">
        <f t="shared" si="607"/>
        <v>6/18A</v>
      </c>
      <c r="DE311" s="164" t="str">
        <f t="shared" si="607"/>
        <v>9/18A</v>
      </c>
      <c r="DF311" s="164" t="str">
        <f t="shared" si="607"/>
        <v>12/18A</v>
      </c>
      <c r="DG311" s="164" t="str">
        <f t="shared" si="607"/>
        <v>2018A</v>
      </c>
      <c r="DH311" s="164" t="str">
        <f t="shared" si="607"/>
        <v>3/19A</v>
      </c>
      <c r="DI311" s="164" t="str">
        <f t="shared" si="607"/>
        <v>6/19A</v>
      </c>
      <c r="DJ311" s="164" t="str">
        <f t="shared" si="607"/>
        <v>9/19A</v>
      </c>
      <c r="DK311" s="164" t="str">
        <f t="shared" si="607"/>
        <v>12/19A</v>
      </c>
      <c r="DL311" s="164" t="str">
        <f t="shared" si="607"/>
        <v>2019A</v>
      </c>
      <c r="DM311" s="164" t="str">
        <f t="shared" si="607"/>
        <v>3/20A</v>
      </c>
      <c r="DN311" s="164" t="str">
        <f t="shared" si="607"/>
        <v>6/20A</v>
      </c>
      <c r="DO311" s="164" t="str">
        <f t="shared" si="607"/>
        <v>9/20A</v>
      </c>
      <c r="DP311" s="164" t="str">
        <f t="shared" si="607"/>
        <v>12/20A</v>
      </c>
      <c r="DQ311" s="164" t="str">
        <f t="shared" si="607"/>
        <v>2020A</v>
      </c>
      <c r="DR311" s="164"/>
      <c r="DS311" s="164"/>
      <c r="DT311" s="164"/>
      <c r="DU311" s="164"/>
      <c r="DV311" s="164"/>
      <c r="DW311" s="164"/>
      <c r="DX311" s="164"/>
      <c r="DY311" s="164"/>
      <c r="DZ311" s="164"/>
      <c r="EA311" s="164"/>
      <c r="EB311" s="164"/>
      <c r="EC311" s="164"/>
      <c r="ED311" s="164"/>
      <c r="EE311" s="164"/>
      <c r="EF311" s="164"/>
      <c r="EG311" s="164"/>
      <c r="EH311" s="164"/>
      <c r="EI311" s="164"/>
      <c r="EJ311" s="164"/>
      <c r="EK311" s="164"/>
      <c r="EL311" s="164"/>
      <c r="EM311" s="164"/>
      <c r="EN311" s="164"/>
      <c r="EO311" s="164"/>
      <c r="EP311" s="164"/>
      <c r="EQ311" s="164"/>
      <c r="ER311" s="164"/>
      <c r="ES311" s="164"/>
      <c r="ET311" s="164"/>
      <c r="EU311" s="164"/>
      <c r="EV311" s="164"/>
      <c r="EW311" s="164"/>
      <c r="EX311" s="164"/>
      <c r="EY311" s="164"/>
      <c r="EZ311" s="2586"/>
      <c r="FA311" s="4277"/>
      <c r="FB311" s="4277"/>
    </row>
    <row r="312" spans="1:158" s="535" customFormat="1" hidden="1">
      <c r="A312" s="3551" t="s">
        <v>457</v>
      </c>
      <c r="B312" s="2814"/>
      <c r="C312" s="2814"/>
      <c r="D312" s="2814"/>
      <c r="E312" s="2814"/>
      <c r="F312" s="2814"/>
      <c r="G312" s="2814"/>
      <c r="H312" s="2814"/>
      <c r="I312" s="2814"/>
      <c r="J312" s="2814"/>
      <c r="K312" s="2814"/>
      <c r="L312" s="2814"/>
      <c r="M312" s="2814"/>
      <c r="N312" s="2814"/>
      <c r="O312" s="2814"/>
      <c r="P312" s="2814"/>
      <c r="Q312" s="2814"/>
      <c r="R312" s="2814"/>
      <c r="S312" s="2814"/>
      <c r="T312" s="2814"/>
      <c r="U312" s="2814"/>
      <c r="V312" s="2814"/>
      <c r="W312" s="2814"/>
      <c r="X312" s="2814"/>
      <c r="Y312" s="2814"/>
      <c r="Z312" s="2814"/>
      <c r="AA312" s="2814"/>
      <c r="AB312" s="2814"/>
      <c r="AC312" s="2814"/>
      <c r="AD312" s="2814"/>
      <c r="AE312" s="2814"/>
      <c r="AF312" s="2814"/>
      <c r="AG312" s="2814"/>
      <c r="AH312" s="2814"/>
      <c r="AI312" s="2814"/>
      <c r="AJ312" s="2814"/>
      <c r="AK312" s="2814"/>
      <c r="AL312" s="2814"/>
      <c r="AM312" s="2814"/>
      <c r="AN312" s="2814"/>
      <c r="AO312" s="2814"/>
      <c r="AP312" s="2814"/>
      <c r="AQ312" s="2814"/>
      <c r="AR312" s="2814"/>
      <c r="AS312" s="2814"/>
      <c r="AT312" s="2814"/>
      <c r="AU312" s="2814"/>
      <c r="AV312" s="2814"/>
      <c r="AW312" s="2814"/>
      <c r="AX312" s="2814"/>
      <c r="AY312" s="2814"/>
      <c r="AZ312" s="2814"/>
      <c r="BA312" s="2814"/>
      <c r="BB312" s="2814"/>
      <c r="BC312" s="2814"/>
      <c r="BD312" s="2814"/>
      <c r="BE312" s="2814"/>
      <c r="BF312" s="2814"/>
      <c r="BG312" s="2814"/>
      <c r="BH312" s="2814"/>
      <c r="BI312" s="2814"/>
      <c r="BJ312" s="2814"/>
      <c r="BK312" s="2814"/>
      <c r="BL312" s="2814"/>
      <c r="BM312" s="2814"/>
      <c r="BN312" s="2814"/>
      <c r="BO312" s="2814"/>
      <c r="BP312" s="2814"/>
      <c r="BQ312" s="2814"/>
      <c r="BR312" s="2814"/>
      <c r="BS312" s="2814"/>
      <c r="BT312" s="2814"/>
      <c r="BU312" s="2814"/>
      <c r="BV312" s="2814"/>
      <c r="BW312" s="2814"/>
      <c r="BX312" s="2814"/>
      <c r="BY312" s="2814"/>
      <c r="BZ312" s="2814"/>
      <c r="CA312" s="2814"/>
      <c r="CB312" s="2814"/>
      <c r="CC312" s="2814"/>
      <c r="CD312" s="2814"/>
      <c r="CE312" s="2814"/>
      <c r="CF312" s="2814"/>
      <c r="CG312" s="2814"/>
      <c r="CH312" s="2699"/>
      <c r="CI312" s="2815"/>
      <c r="CJ312" s="2815"/>
      <c r="CK312" s="2815"/>
      <c r="CL312" s="2815"/>
      <c r="CM312" s="2699"/>
      <c r="CN312" s="2815"/>
      <c r="CO312" s="2815"/>
      <c r="CP312" s="2815"/>
      <c r="CQ312" s="2815"/>
      <c r="CR312" s="2699"/>
      <c r="CS312" s="2815"/>
      <c r="CT312" s="2815"/>
      <c r="CU312" s="2815"/>
      <c r="CV312" s="2815"/>
      <c r="CW312" s="2699"/>
      <c r="CX312" s="2815"/>
      <c r="CY312" s="2815"/>
      <c r="CZ312" s="2815"/>
      <c r="DA312" s="2815"/>
      <c r="DB312" s="2699"/>
      <c r="DC312" s="2815"/>
      <c r="DD312" s="2815"/>
      <c r="DE312" s="2815"/>
      <c r="DF312" s="2815"/>
      <c r="DG312" s="2699"/>
      <c r="DH312" s="2815"/>
      <c r="DI312" s="2815"/>
      <c r="DJ312" s="2815"/>
      <c r="DK312" s="2815"/>
      <c r="DL312" s="2699"/>
      <c r="DM312" s="2815"/>
      <c r="DN312" s="2815"/>
      <c r="DO312" s="2815"/>
      <c r="DP312" s="2815"/>
      <c r="DQ312" s="2699"/>
      <c r="DR312" s="2815"/>
      <c r="DS312" s="2815"/>
      <c r="DT312" s="2815"/>
      <c r="DU312" s="2815"/>
      <c r="DV312" s="2699"/>
      <c r="DW312" s="2815"/>
      <c r="DX312" s="2815"/>
      <c r="DY312" s="2815"/>
      <c r="DZ312" s="2815"/>
      <c r="EA312" s="2816"/>
      <c r="EB312" s="2815"/>
      <c r="EC312" s="2815"/>
      <c r="ED312" s="2815"/>
      <c r="EE312" s="2815"/>
      <c r="EF312" s="2816"/>
      <c r="EG312" s="2815"/>
      <c r="EH312" s="2815"/>
      <c r="EI312" s="2815"/>
      <c r="EJ312" s="2815"/>
      <c r="EK312" s="2816"/>
      <c r="EL312" s="2815"/>
      <c r="EM312" s="2815"/>
      <c r="EN312" s="2815"/>
      <c r="EO312" s="2815"/>
      <c r="EP312" s="2816"/>
      <c r="EQ312" s="2815"/>
      <c r="ER312" s="2815"/>
      <c r="ES312" s="2815"/>
      <c r="ET312" s="2815"/>
      <c r="EU312" s="2816"/>
      <c r="EV312" s="2816"/>
      <c r="EW312" s="2816"/>
      <c r="EX312" s="2816"/>
      <c r="EY312" s="2816"/>
      <c r="EZ312" s="2586"/>
      <c r="FA312" s="1319"/>
      <c r="FB312" s="1319"/>
    </row>
    <row r="313" spans="1:158" hidden="1">
      <c r="A313" s="3555" t="s">
        <v>458</v>
      </c>
      <c r="B313" s="3258"/>
      <c r="C313" s="3258"/>
      <c r="D313" s="3258"/>
      <c r="E313" s="3258"/>
      <c r="F313" s="3258"/>
      <c r="G313" s="3258"/>
      <c r="H313" s="3258"/>
      <c r="I313" s="3258"/>
      <c r="J313" s="3258"/>
      <c r="K313" s="3258"/>
      <c r="L313" s="3258"/>
      <c r="M313" s="3258"/>
      <c r="N313" s="3258"/>
      <c r="O313" s="3258"/>
      <c r="P313" s="3258"/>
      <c r="Q313" s="3258"/>
      <c r="R313" s="3258"/>
      <c r="S313" s="3258"/>
      <c r="T313" s="3258"/>
      <c r="U313" s="3258"/>
      <c r="V313" s="3258"/>
      <c r="W313" s="3258"/>
      <c r="X313" s="3258"/>
      <c r="Y313" s="3258"/>
      <c r="Z313" s="3258"/>
      <c r="AA313" s="3258"/>
      <c r="AB313" s="3258"/>
      <c r="AC313" s="3258"/>
      <c r="AD313" s="3258"/>
      <c r="AE313" s="3258"/>
      <c r="AF313" s="3258"/>
      <c r="AG313" s="3258"/>
      <c r="AH313" s="3258"/>
      <c r="AI313" s="3258"/>
      <c r="AJ313" s="3258"/>
      <c r="AK313" s="3258"/>
      <c r="AL313" s="3258"/>
      <c r="AM313" s="3258"/>
      <c r="AN313" s="3258"/>
      <c r="AO313" s="3258"/>
      <c r="AP313" s="3258"/>
      <c r="AQ313" s="3258"/>
      <c r="AR313" s="3258"/>
      <c r="AS313" s="3258"/>
      <c r="AT313" s="3258"/>
      <c r="AU313" s="3258"/>
      <c r="AV313" s="3258"/>
      <c r="AW313" s="3258"/>
      <c r="AX313" s="3258"/>
      <c r="AY313" s="3258"/>
      <c r="AZ313" s="3258"/>
      <c r="BA313" s="3258"/>
      <c r="BB313" s="3258"/>
      <c r="BC313" s="3258"/>
      <c r="BD313" s="3258"/>
      <c r="BE313" s="3258"/>
      <c r="BF313" s="3258"/>
      <c r="BG313" s="3258"/>
      <c r="BH313" s="3258"/>
      <c r="BI313" s="3258"/>
      <c r="BJ313" s="3258"/>
      <c r="BK313" s="3258"/>
      <c r="BL313" s="3258"/>
      <c r="BM313" s="3258"/>
      <c r="BN313" s="3258"/>
      <c r="BO313" s="3258"/>
      <c r="BP313" s="3258"/>
      <c r="BQ313" s="3258"/>
      <c r="BR313" s="3258"/>
      <c r="BS313" s="3258"/>
      <c r="BT313" s="3258"/>
      <c r="BU313" s="3258"/>
      <c r="BV313" s="3258"/>
      <c r="BW313" s="3258"/>
      <c r="BX313" s="3258"/>
      <c r="BY313" s="3258"/>
      <c r="BZ313" s="3258"/>
      <c r="CA313" s="3258"/>
      <c r="CB313" s="3258"/>
      <c r="CC313" s="3258"/>
      <c r="CD313" s="3258"/>
      <c r="CE313" s="3258"/>
      <c r="CF313" s="3258"/>
      <c r="CG313" s="3258"/>
      <c r="CH313" s="3272">
        <f>+IS!CH7</f>
        <v>55519</v>
      </c>
      <c r="CI313" s="3149">
        <f>+IS!CI7</f>
        <v>15420</v>
      </c>
      <c r="CJ313" s="3149">
        <f>+IS!CJ7</f>
        <v>15955</v>
      </c>
      <c r="CK313" s="3149">
        <f>+IS!CK7</f>
        <v>16523</v>
      </c>
      <c r="CL313" s="3149">
        <f>+IS!CL7</f>
        <v>18103</v>
      </c>
      <c r="CM313" s="3272">
        <f>+IS!CM7</f>
        <v>66001</v>
      </c>
      <c r="CN313" s="3273">
        <f>+IS!CN7</f>
        <v>17258</v>
      </c>
      <c r="CO313" s="3273">
        <f>+IS!CO7</f>
        <v>17727</v>
      </c>
      <c r="CP313" s="3273">
        <f>+IS!CP7</f>
        <v>18675</v>
      </c>
      <c r="CQ313" s="3273">
        <f>+IS!CQ7</f>
        <v>21329</v>
      </c>
      <c r="CR313" s="3272">
        <f>+IS!CR7</f>
        <v>74989</v>
      </c>
      <c r="CS313" s="3273">
        <f>+IS!CS7</f>
        <v>20257</v>
      </c>
      <c r="CT313" s="3273">
        <f>+IS!CT7</f>
        <v>21500</v>
      </c>
      <c r="CU313" s="3273">
        <f>+IS!CU7</f>
        <v>22451</v>
      </c>
      <c r="CV313" s="3273">
        <f>+IS!CV7</f>
        <v>26064</v>
      </c>
      <c r="CW313" s="3272">
        <f>+IS!CW7</f>
        <v>90272</v>
      </c>
      <c r="CX313" s="3273">
        <f>+IS!CX7</f>
        <v>24750</v>
      </c>
      <c r="CY313" s="3273">
        <f>+IS!CY7</f>
        <v>26010</v>
      </c>
      <c r="CZ313" s="3273">
        <f>+IS!CZ7</f>
        <v>27772</v>
      </c>
      <c r="DA313" s="3273">
        <f>+IS!DA7</f>
        <v>32323</v>
      </c>
      <c r="DB313" s="3272">
        <f>+IS!DB7</f>
        <v>110855</v>
      </c>
      <c r="DC313" s="3273">
        <f>+IS!DC7</f>
        <v>31146</v>
      </c>
      <c r="DD313" s="3273">
        <f>+IS!DD7</f>
        <v>32657</v>
      </c>
      <c r="DE313" s="3273">
        <f>+IS!DE7</f>
        <v>33740</v>
      </c>
      <c r="DF313" s="3273">
        <f>+IS!DF7</f>
        <v>39276</v>
      </c>
      <c r="DG313" s="3272">
        <f>+IS!DG7</f>
        <v>136819</v>
      </c>
      <c r="DH313" s="3273">
        <f>+IS!DH7</f>
        <v>36339</v>
      </c>
      <c r="DI313" s="3273">
        <f>+IS!DI7</f>
        <v>38944</v>
      </c>
      <c r="DJ313" s="3273">
        <f>+IS!DJ7</f>
        <v>40499</v>
      </c>
      <c r="DK313" s="3273">
        <f>+IS!DK7</f>
        <v>46075</v>
      </c>
      <c r="DL313" s="3272">
        <f>+IS!DL7</f>
        <v>161857</v>
      </c>
      <c r="DM313" s="3273">
        <f>+IS!DM7</f>
        <v>41159</v>
      </c>
      <c r="DN313" s="3273">
        <f>+IS!DN7</f>
        <v>38297</v>
      </c>
      <c r="DO313" s="3273">
        <f>+IS!DO7</f>
        <v>46173</v>
      </c>
      <c r="DP313" s="3273">
        <f>+IS!DP7</f>
        <v>56898</v>
      </c>
      <c r="DQ313" s="3272">
        <f>+IS!DQ7</f>
        <v>182527</v>
      </c>
      <c r="DR313" s="3273"/>
      <c r="DS313" s="3273"/>
      <c r="DT313" s="3273"/>
      <c r="DU313" s="3273"/>
      <c r="DV313" s="3272"/>
      <c r="DW313" s="3273"/>
      <c r="DX313" s="3273"/>
      <c r="DY313" s="3273"/>
      <c r="DZ313" s="3273"/>
      <c r="EA313" s="3272"/>
      <c r="EB313" s="3273"/>
      <c r="EC313" s="3273"/>
      <c r="ED313" s="3273"/>
      <c r="EE313" s="3273"/>
      <c r="EF313" s="3272"/>
      <c r="EG313" s="3273"/>
      <c r="EH313" s="3273"/>
      <c r="EI313" s="3273"/>
      <c r="EJ313" s="3273"/>
      <c r="EK313" s="3272"/>
      <c r="EL313" s="3273"/>
      <c r="EM313" s="3273"/>
      <c r="EN313" s="3273"/>
      <c r="EO313" s="3273"/>
      <c r="EP313" s="3272"/>
      <c r="EQ313" s="3273"/>
      <c r="ER313" s="3273"/>
      <c r="ES313" s="3273"/>
      <c r="ET313" s="3273"/>
      <c r="EU313" s="3272"/>
      <c r="EV313" s="3272"/>
      <c r="EW313" s="3272"/>
      <c r="EX313" s="3272"/>
      <c r="EY313" s="3272"/>
      <c r="FA313" s="1319"/>
      <c r="FB313" s="1319"/>
    </row>
    <row r="314" spans="1:158" hidden="1">
      <c r="A314" s="3553" t="s">
        <v>884</v>
      </c>
      <c r="B314" s="157"/>
      <c r="C314" s="157"/>
      <c r="D314" s="157"/>
      <c r="E314" s="157"/>
      <c r="F314" s="157"/>
      <c r="G314" s="157"/>
      <c r="H314" s="157"/>
      <c r="I314" s="157"/>
      <c r="J314" s="157"/>
      <c r="K314" s="157"/>
      <c r="L314" s="157"/>
      <c r="M314" s="157"/>
      <c r="N314" s="157"/>
      <c r="O314" s="157"/>
      <c r="P314" s="157"/>
      <c r="Q314" s="157"/>
      <c r="R314" s="157"/>
      <c r="S314" s="157"/>
      <c r="T314" s="157"/>
      <c r="U314" s="157"/>
      <c r="V314" s="157"/>
      <c r="W314" s="157"/>
      <c r="X314" s="157"/>
      <c r="Y314" s="157"/>
      <c r="Z314" s="157"/>
      <c r="AA314" s="157"/>
      <c r="AB314" s="157"/>
      <c r="AC314" s="157"/>
      <c r="AD314" s="157"/>
      <c r="AE314" s="157"/>
      <c r="AF314" s="157"/>
      <c r="AG314" s="157"/>
      <c r="AH314" s="157"/>
      <c r="AI314" s="157"/>
      <c r="AJ314" s="157"/>
      <c r="AK314" s="157"/>
      <c r="AL314" s="157"/>
      <c r="AM314" s="157"/>
      <c r="AN314" s="157"/>
      <c r="AO314" s="157"/>
      <c r="AP314" s="157"/>
      <c r="AQ314" s="157"/>
      <c r="AR314" s="157"/>
      <c r="AS314" s="157"/>
      <c r="AT314" s="157"/>
      <c r="AU314" s="157"/>
      <c r="AV314" s="157"/>
      <c r="AW314" s="157"/>
      <c r="AX314" s="157"/>
      <c r="AY314" s="157"/>
      <c r="AZ314" s="157"/>
      <c r="BA314" s="157"/>
      <c r="BB314" s="157"/>
      <c r="BC314" s="157"/>
      <c r="BD314" s="157"/>
      <c r="BE314" s="157"/>
      <c r="BF314" s="157"/>
      <c r="BG314" s="157"/>
      <c r="BH314" s="157"/>
      <c r="BI314" s="157"/>
      <c r="BJ314" s="157"/>
      <c r="BK314" s="157"/>
      <c r="BL314" s="157"/>
      <c r="BM314" s="157"/>
      <c r="BN314" s="157"/>
      <c r="BO314" s="157"/>
      <c r="BP314" s="157"/>
      <c r="BQ314" s="157"/>
      <c r="BR314" s="157"/>
      <c r="BS314" s="157"/>
      <c r="BT314" s="157"/>
      <c r="BU314" s="157"/>
      <c r="BV314" s="157"/>
      <c r="BW314" s="157"/>
      <c r="BX314" s="157"/>
      <c r="BY314" s="157"/>
      <c r="BZ314" s="157"/>
      <c r="CA314" s="157"/>
      <c r="CB314" s="157"/>
      <c r="CC314" s="157"/>
      <c r="CD314" s="157"/>
      <c r="CE314" s="157"/>
      <c r="CF314" s="157"/>
      <c r="CG314" s="157"/>
      <c r="CH314" s="2770">
        <f>CH313-CH316-CH315</f>
        <v>36989</v>
      </c>
      <c r="CI314" s="655">
        <f t="shared" ref="CI314:DQ314" si="608">CI313-CI316-CI315</f>
        <v>10466</v>
      </c>
      <c r="CJ314" s="655">
        <f t="shared" si="608"/>
        <v>10817</v>
      </c>
      <c r="CK314" s="655">
        <f t="shared" si="608"/>
        <v>11544</v>
      </c>
      <c r="CL314" s="655">
        <f t="shared" si="608"/>
        <v>12503</v>
      </c>
      <c r="CM314" s="2770">
        <f t="shared" si="608"/>
        <v>45330</v>
      </c>
      <c r="CN314" s="2702">
        <f t="shared" si="608"/>
        <v>11608</v>
      </c>
      <c r="CO314" s="2702">
        <f t="shared" si="608"/>
        <v>11770</v>
      </c>
      <c r="CP314" s="2702">
        <f t="shared" si="608"/>
        <v>12535</v>
      </c>
      <c r="CQ314" s="2702">
        <f t="shared" si="608"/>
        <v>14513</v>
      </c>
      <c r="CR314" s="2770">
        <f t="shared" si="608"/>
        <v>50426</v>
      </c>
      <c r="CS314" s="2702">
        <f t="shared" si="608"/>
        <v>13421</v>
      </c>
      <c r="CT314" s="2702">
        <f t="shared" si="608"/>
        <v>14029</v>
      </c>
      <c r="CU314" s="2702">
        <f t="shared" si="608"/>
        <v>14824</v>
      </c>
      <c r="CV314" s="2702">
        <f t="shared" si="608"/>
        <v>17579</v>
      </c>
      <c r="CW314" s="2770">
        <f t="shared" si="608"/>
        <v>59853</v>
      </c>
      <c r="CX314" s="2702">
        <f t="shared" si="608"/>
        <v>16173</v>
      </c>
      <c r="CY314" s="2702">
        <f t="shared" si="608"/>
        <v>19875</v>
      </c>
      <c r="CZ314" s="2702">
        <f t="shared" si="608"/>
        <v>18170</v>
      </c>
      <c r="DA314" s="2702">
        <f t="shared" si="608"/>
        <v>22812</v>
      </c>
      <c r="DB314" s="2770">
        <f t="shared" si="608"/>
        <v>77030</v>
      </c>
      <c r="DC314" s="2702">
        <f t="shared" si="608"/>
        <v>21056</v>
      </c>
      <c r="DD314" s="2702">
        <f t="shared" si="608"/>
        <v>27199</v>
      </c>
      <c r="DE314" s="2702">
        <f t="shared" si="608"/>
        <v>22885</v>
      </c>
      <c r="DF314" s="2702">
        <f t="shared" si="608"/>
        <v>28802</v>
      </c>
      <c r="DG314" s="2770">
        <f t="shared" si="608"/>
        <v>99942</v>
      </c>
      <c r="DH314" s="2702">
        <f t="shared" si="608"/>
        <v>26962</v>
      </c>
      <c r="DI314" s="2702">
        <f t="shared" si="608"/>
        <v>27008</v>
      </c>
      <c r="DJ314" s="2702">
        <f t="shared" si="608"/>
        <v>28698</v>
      </c>
      <c r="DK314" s="2702">
        <f t="shared" si="608"/>
        <v>34164</v>
      </c>
      <c r="DL314" s="2770">
        <f t="shared" si="608"/>
        <v>116832</v>
      </c>
      <c r="DM314" s="2702">
        <f t="shared" si="608"/>
        <v>29991</v>
      </c>
      <c r="DN314" s="2702">
        <f t="shared" si="608"/>
        <v>28532</v>
      </c>
      <c r="DO314" s="2702">
        <f t="shared" si="608"/>
        <v>31765</v>
      </c>
      <c r="DP314" s="2702">
        <f t="shared" si="608"/>
        <v>38024</v>
      </c>
      <c r="DQ314" s="2770">
        <f t="shared" si="608"/>
        <v>128312</v>
      </c>
      <c r="DR314" s="2702"/>
      <c r="DS314" s="2702"/>
      <c r="DT314" s="2702"/>
      <c r="DU314" s="2702"/>
      <c r="DV314" s="2770"/>
      <c r="DW314" s="2702"/>
      <c r="DX314" s="2702"/>
      <c r="DY314" s="2702"/>
      <c r="DZ314" s="2702"/>
      <c r="EA314" s="2770"/>
      <c r="EB314" s="2702"/>
      <c r="EC314" s="2702"/>
      <c r="ED314" s="2702"/>
      <c r="EE314" s="2702"/>
      <c r="EF314" s="2770"/>
      <c r="EG314" s="2702"/>
      <c r="EH314" s="2702"/>
      <c r="EI314" s="2702"/>
      <c r="EJ314" s="2702"/>
      <c r="EK314" s="2770"/>
      <c r="EL314" s="2702"/>
      <c r="EM314" s="2702"/>
      <c r="EN314" s="2702"/>
      <c r="EO314" s="2702"/>
      <c r="EP314" s="2770"/>
      <c r="EQ314" s="2702"/>
      <c r="ER314" s="2702"/>
      <c r="ES314" s="2702"/>
      <c r="ET314" s="2702"/>
      <c r="EU314" s="2770"/>
      <c r="EV314" s="2770"/>
      <c r="EW314" s="2770"/>
      <c r="EX314" s="2770"/>
      <c r="EY314" s="2770"/>
      <c r="FA314" s="1319"/>
      <c r="FB314" s="1319"/>
    </row>
    <row r="315" spans="1:158" hidden="1">
      <c r="A315" s="3553" t="s">
        <v>459</v>
      </c>
      <c r="B315" s="157"/>
      <c r="C315" s="157"/>
      <c r="D315" s="157"/>
      <c r="E315" s="157"/>
      <c r="F315" s="157"/>
      <c r="G315" s="157"/>
      <c r="H315" s="157"/>
      <c r="I315" s="157"/>
      <c r="J315" s="157"/>
      <c r="K315" s="157"/>
      <c r="L315" s="157"/>
      <c r="M315" s="157"/>
      <c r="N315" s="157"/>
      <c r="O315" s="157"/>
      <c r="P315" s="157"/>
      <c r="Q315" s="157"/>
      <c r="R315" s="157"/>
      <c r="S315" s="157"/>
      <c r="T315" s="157"/>
      <c r="U315" s="157"/>
      <c r="V315" s="157"/>
      <c r="W315" s="157"/>
      <c r="X315" s="157"/>
      <c r="Y315" s="157"/>
      <c r="Z315" s="157"/>
      <c r="AA315" s="157"/>
      <c r="AB315" s="157"/>
      <c r="AC315" s="157"/>
      <c r="AD315" s="157"/>
      <c r="AE315" s="157"/>
      <c r="AF315" s="157"/>
      <c r="AG315" s="157"/>
      <c r="AH315" s="157"/>
      <c r="AI315" s="157"/>
      <c r="AJ315" s="157"/>
      <c r="AK315" s="157"/>
      <c r="AL315" s="157"/>
      <c r="AM315" s="157"/>
      <c r="AN315" s="157"/>
      <c r="AO315" s="157"/>
      <c r="AP315" s="157"/>
      <c r="AQ315" s="157"/>
      <c r="AR315" s="157"/>
      <c r="AS315" s="157"/>
      <c r="AT315" s="157"/>
      <c r="AU315" s="157"/>
      <c r="AV315" s="157"/>
      <c r="AW315" s="157"/>
      <c r="AX315" s="157"/>
      <c r="AY315" s="157"/>
      <c r="AZ315" s="157"/>
      <c r="BA315" s="157"/>
      <c r="BB315" s="157"/>
      <c r="BC315" s="157"/>
      <c r="BD315" s="157"/>
      <c r="BE315" s="157"/>
      <c r="BF315" s="157"/>
      <c r="BG315" s="157"/>
      <c r="BH315" s="157"/>
      <c r="BI315" s="157"/>
      <c r="BJ315" s="157"/>
      <c r="BK315" s="157"/>
      <c r="BL315" s="157"/>
      <c r="BM315" s="157"/>
      <c r="BN315" s="157"/>
      <c r="BO315" s="157"/>
      <c r="BP315" s="157"/>
      <c r="BQ315" s="157"/>
      <c r="BR315" s="157"/>
      <c r="BS315" s="157"/>
      <c r="BT315" s="157"/>
      <c r="BU315" s="157"/>
      <c r="BV315" s="157"/>
      <c r="BW315" s="157"/>
      <c r="BX315" s="157"/>
      <c r="BY315" s="157"/>
      <c r="BZ315" s="157"/>
      <c r="CA315" s="157"/>
      <c r="CB315" s="157"/>
      <c r="CC315" s="157"/>
      <c r="CD315" s="157"/>
      <c r="CE315" s="157"/>
      <c r="CF315" s="157"/>
      <c r="CG315" s="157"/>
      <c r="CH315" s="2770">
        <f>+IS!CH24</f>
        <v>3127</v>
      </c>
      <c r="CI315" s="655">
        <f>+IS!CI24</f>
        <v>839</v>
      </c>
      <c r="CJ315" s="655">
        <f>+IS!CJ24</f>
        <v>880</v>
      </c>
      <c r="CK315" s="655">
        <f>+IS!CK24</f>
        <v>1255</v>
      </c>
      <c r="CL315" s="655">
        <f>+IS!CL24</f>
        <v>1201</v>
      </c>
      <c r="CM315" s="2770">
        <f>+IS!CM24</f>
        <v>4175</v>
      </c>
      <c r="CN315" s="2702">
        <f>+IS!CN24</f>
        <v>1203</v>
      </c>
      <c r="CO315" s="2702">
        <f>+IS!CO24</f>
        <v>1132</v>
      </c>
      <c r="CP315" s="2702">
        <f>+IS!CP24</f>
        <v>1432</v>
      </c>
      <c r="CQ315" s="2702">
        <f>+IS!CQ24</f>
        <v>1436</v>
      </c>
      <c r="CR315" s="2770">
        <f>SUM(CN315:CQ315)</f>
        <v>5203</v>
      </c>
      <c r="CS315" s="2702">
        <f>+IS!CS24</f>
        <v>1494</v>
      </c>
      <c r="CT315" s="2702">
        <f>+IS!CT24</f>
        <v>1503</v>
      </c>
      <c r="CU315" s="2702">
        <f>+IS!CU24</f>
        <v>1860</v>
      </c>
      <c r="CV315" s="2702">
        <f>+IS!CV24</f>
        <v>1846</v>
      </c>
      <c r="CW315" s="2770">
        <f>SUM(CS315:CV315)</f>
        <v>6703</v>
      </c>
      <c r="CX315" s="2702">
        <f>+IS!CX24</f>
        <v>2009</v>
      </c>
      <c r="CY315" s="2702">
        <f>+IS!CY24</f>
        <v>2003</v>
      </c>
      <c r="CZ315" s="2702">
        <f>+IS!CZ24</f>
        <v>1820</v>
      </c>
      <c r="DA315" s="2702">
        <f>+IS!DA24</f>
        <v>1847</v>
      </c>
      <c r="DB315" s="2770">
        <f>+IS!DB24</f>
        <v>7679</v>
      </c>
      <c r="DC315" s="2702">
        <f>+IS!DC24</f>
        <v>2457</v>
      </c>
      <c r="DD315" s="2702">
        <f>+IS!DD24</f>
        <v>2413</v>
      </c>
      <c r="DE315" s="2702">
        <f>+IS!DE24</f>
        <v>2230</v>
      </c>
      <c r="DF315" s="2702">
        <f>+IS!DF24</f>
        <v>2253</v>
      </c>
      <c r="DG315" s="2770">
        <f>+IS!DG24</f>
        <v>9353</v>
      </c>
      <c r="DH315" s="2702">
        <f>+IS!DH24</f>
        <v>2769</v>
      </c>
      <c r="DI315" s="2702">
        <f>+IS!DI24</f>
        <v>2756</v>
      </c>
      <c r="DJ315" s="2702">
        <f>+IS!DJ24</f>
        <v>2624</v>
      </c>
      <c r="DK315" s="2702">
        <f>+IS!DK24</f>
        <v>2645</v>
      </c>
      <c r="DL315" s="2770">
        <f>+IS!DL24</f>
        <v>10794</v>
      </c>
      <c r="DM315" s="2702">
        <f>+IS!DM24</f>
        <v>3191</v>
      </c>
      <c r="DN315" s="2702">
        <f>+IS!DN24</f>
        <v>3382</v>
      </c>
      <c r="DO315" s="2702">
        <f>+IS!DO24</f>
        <v>3195</v>
      </c>
      <c r="DP315" s="2702">
        <f>+IS!DP24</f>
        <v>3223</v>
      </c>
      <c r="DQ315" s="2770">
        <f>+IS!DQ24</f>
        <v>12991</v>
      </c>
      <c r="DR315" s="2702"/>
      <c r="DS315" s="2702"/>
      <c r="DT315" s="2702"/>
      <c r="DU315" s="2702"/>
      <c r="DV315" s="2770"/>
      <c r="DW315" s="2702"/>
      <c r="DX315" s="2702"/>
      <c r="DY315" s="2702"/>
      <c r="DZ315" s="2702"/>
      <c r="EA315" s="2770"/>
      <c r="EB315" s="2702"/>
      <c r="EC315" s="2702"/>
      <c r="ED315" s="2702"/>
      <c r="EE315" s="2702"/>
      <c r="EF315" s="2770"/>
      <c r="EG315" s="2702"/>
      <c r="EH315" s="2702"/>
      <c r="EI315" s="2702"/>
      <c r="EJ315" s="2702"/>
      <c r="EK315" s="2770"/>
      <c r="EL315" s="2702"/>
      <c r="EM315" s="2702"/>
      <c r="EN315" s="2702"/>
      <c r="EO315" s="2702"/>
      <c r="EP315" s="2770"/>
      <c r="EQ315" s="2702"/>
      <c r="ER315" s="2702"/>
      <c r="ES315" s="2702"/>
      <c r="ET315" s="2702"/>
      <c r="EU315" s="2770"/>
      <c r="EV315" s="2770"/>
      <c r="EW315" s="2770"/>
      <c r="EX315" s="2770"/>
      <c r="EY315" s="2770"/>
      <c r="FA315" s="1319"/>
      <c r="FB315" s="1319"/>
    </row>
    <row r="316" spans="1:158" hidden="1">
      <c r="A316" s="3555" t="s">
        <v>563</v>
      </c>
      <c r="B316" s="3258"/>
      <c r="C316" s="3258"/>
      <c r="D316" s="3258"/>
      <c r="E316" s="3258"/>
      <c r="F316" s="3258"/>
      <c r="G316" s="3258"/>
      <c r="H316" s="3258"/>
      <c r="I316" s="3258"/>
      <c r="J316" s="3258"/>
      <c r="K316" s="3258"/>
      <c r="L316" s="3258"/>
      <c r="M316" s="3258"/>
      <c r="N316" s="3258"/>
      <c r="O316" s="3258"/>
      <c r="P316" s="3258"/>
      <c r="Q316" s="3258"/>
      <c r="R316" s="3258"/>
      <c r="S316" s="3258"/>
      <c r="T316" s="3258"/>
      <c r="U316" s="3258"/>
      <c r="V316" s="3258"/>
      <c r="W316" s="3258"/>
      <c r="X316" s="3258"/>
      <c r="Y316" s="3258"/>
      <c r="Z316" s="3258"/>
      <c r="AA316" s="3258"/>
      <c r="AB316" s="3258"/>
      <c r="AC316" s="3258"/>
      <c r="AD316" s="3258"/>
      <c r="AE316" s="3258"/>
      <c r="AF316" s="3258"/>
      <c r="AG316" s="3258"/>
      <c r="AH316" s="3258"/>
      <c r="AI316" s="3258"/>
      <c r="AJ316" s="3258"/>
      <c r="AK316" s="3258"/>
      <c r="AL316" s="3258"/>
      <c r="AM316" s="3258"/>
      <c r="AN316" s="3258"/>
      <c r="AO316" s="3258"/>
      <c r="AP316" s="3258"/>
      <c r="AQ316" s="3258"/>
      <c r="AR316" s="3258"/>
      <c r="AS316" s="3258"/>
      <c r="AT316" s="3258"/>
      <c r="AU316" s="3258"/>
      <c r="AV316" s="3258"/>
      <c r="AW316" s="3258"/>
      <c r="AX316" s="3258"/>
      <c r="AY316" s="3258"/>
      <c r="AZ316" s="3258"/>
      <c r="BA316" s="3258"/>
      <c r="BB316" s="3258"/>
      <c r="BC316" s="3258"/>
      <c r="BD316" s="3258"/>
      <c r="BE316" s="3258"/>
      <c r="BF316" s="3258"/>
      <c r="BG316" s="3258"/>
      <c r="BH316" s="3258"/>
      <c r="BI316" s="3258"/>
      <c r="BJ316" s="3258"/>
      <c r="BK316" s="3258"/>
      <c r="BL316" s="3258"/>
      <c r="BM316" s="3258"/>
      <c r="BN316" s="3258"/>
      <c r="BO316" s="3258"/>
      <c r="BP316" s="3258"/>
      <c r="BQ316" s="3258"/>
      <c r="BR316" s="3258"/>
      <c r="BS316" s="3258"/>
      <c r="BT316" s="3258"/>
      <c r="BU316" s="3258"/>
      <c r="BV316" s="3258"/>
      <c r="BW316" s="3258"/>
      <c r="BX316" s="3258"/>
      <c r="BY316" s="3258"/>
      <c r="BZ316" s="3258"/>
      <c r="CA316" s="3258"/>
      <c r="CB316" s="3258"/>
      <c r="CC316" s="3258"/>
      <c r="CD316" s="3258"/>
      <c r="CE316" s="3258"/>
      <c r="CF316" s="3258"/>
      <c r="CG316" s="3258"/>
      <c r="CH316" s="3272">
        <f>+IS!CH27</f>
        <v>15403</v>
      </c>
      <c r="CI316" s="3149">
        <f>+IS!CI27</f>
        <v>4115</v>
      </c>
      <c r="CJ316" s="3149">
        <f>+IS!CJ27</f>
        <v>4258</v>
      </c>
      <c r="CK316" s="3149">
        <f>+IS!CK27</f>
        <v>3724</v>
      </c>
      <c r="CL316" s="3149">
        <f>+IS!CL27</f>
        <v>4399</v>
      </c>
      <c r="CM316" s="3272">
        <f>+IS!CM27</f>
        <v>16496</v>
      </c>
      <c r="CN316" s="3273">
        <f>+IS!CN27</f>
        <v>4447</v>
      </c>
      <c r="CO316" s="3273">
        <f>+IS!CO27</f>
        <v>4825</v>
      </c>
      <c r="CP316" s="3273">
        <f>+IS!CP27</f>
        <v>4708</v>
      </c>
      <c r="CQ316" s="3273">
        <f>+IS!CQ27</f>
        <v>5380</v>
      </c>
      <c r="CR316" s="3272">
        <f>SUM(CN316:CQ316)</f>
        <v>19360</v>
      </c>
      <c r="CS316" s="3273">
        <f>+IS!CS27</f>
        <v>5342</v>
      </c>
      <c r="CT316" s="3273">
        <f>+IS!CT27</f>
        <v>5968</v>
      </c>
      <c r="CU316" s="3273">
        <f>+IS!CU27</f>
        <v>5767</v>
      </c>
      <c r="CV316" s="3273">
        <f>+IS!CV27</f>
        <v>6639</v>
      </c>
      <c r="CW316" s="3272">
        <f>SUM(CS316:CV316)</f>
        <v>23716</v>
      </c>
      <c r="CX316" s="3273">
        <f>+IS!CX27</f>
        <v>6568</v>
      </c>
      <c r="CY316" s="3273">
        <f>+IS!CY27</f>
        <v>4132</v>
      </c>
      <c r="CZ316" s="3273">
        <f>+IS!CZ27</f>
        <v>7782</v>
      </c>
      <c r="DA316" s="3273">
        <f>+IS!DA27</f>
        <v>7664</v>
      </c>
      <c r="DB316" s="3272">
        <f>+IS!DB27</f>
        <v>26146</v>
      </c>
      <c r="DC316" s="3273">
        <f>+IS!DC27</f>
        <v>7633</v>
      </c>
      <c r="DD316" s="3273">
        <f>+IS!DD27</f>
        <v>3045</v>
      </c>
      <c r="DE316" s="3273">
        <f>+IS!DE27</f>
        <v>8625</v>
      </c>
      <c r="DF316" s="3273">
        <f>+IS!DF27</f>
        <v>8221</v>
      </c>
      <c r="DG316" s="3272">
        <f>+IS!DG27</f>
        <v>27524</v>
      </c>
      <c r="DH316" s="3273">
        <f>+IS!DH27</f>
        <v>6608</v>
      </c>
      <c r="DI316" s="3273">
        <f>+IS!DI27</f>
        <v>9180</v>
      </c>
      <c r="DJ316" s="3273">
        <f>+IS!DJ27</f>
        <v>9177</v>
      </c>
      <c r="DK316" s="3273">
        <f>+IS!DK27</f>
        <v>9266</v>
      </c>
      <c r="DL316" s="3272">
        <f>+IS!DL27</f>
        <v>34231</v>
      </c>
      <c r="DM316" s="3273">
        <f>+IS!DM27</f>
        <v>7977</v>
      </c>
      <c r="DN316" s="3273">
        <f>+IS!DN27</f>
        <v>6383</v>
      </c>
      <c r="DO316" s="3273">
        <f>+IS!DO27</f>
        <v>11213</v>
      </c>
      <c r="DP316" s="3273">
        <f>+IS!DP27</f>
        <v>15651</v>
      </c>
      <c r="DQ316" s="3272">
        <f>+IS!DQ27</f>
        <v>41224</v>
      </c>
      <c r="DR316" s="3273"/>
      <c r="DS316" s="3273"/>
      <c r="DT316" s="3273"/>
      <c r="DU316" s="3273"/>
      <c r="DV316" s="3272"/>
      <c r="DW316" s="3273"/>
      <c r="DX316" s="3273"/>
      <c r="DY316" s="3273"/>
      <c r="DZ316" s="3273"/>
      <c r="EA316" s="3272"/>
      <c r="EB316" s="3273"/>
      <c r="EC316" s="3273"/>
      <c r="ED316" s="3273"/>
      <c r="EE316" s="3273"/>
      <c r="EF316" s="3272"/>
      <c r="EG316" s="3273"/>
      <c r="EH316" s="3273"/>
      <c r="EI316" s="3273"/>
      <c r="EJ316" s="3273"/>
      <c r="EK316" s="3272"/>
      <c r="EL316" s="3273"/>
      <c r="EM316" s="3273"/>
      <c r="EN316" s="3273"/>
      <c r="EO316" s="3273"/>
      <c r="EP316" s="3272"/>
      <c r="EQ316" s="3273"/>
      <c r="ER316" s="3273"/>
      <c r="ES316" s="3273"/>
      <c r="ET316" s="3273"/>
      <c r="EU316" s="3272"/>
      <c r="EV316" s="3272"/>
      <c r="EW316" s="3272"/>
      <c r="EX316" s="3272"/>
      <c r="EY316" s="3272"/>
      <c r="FA316" s="1319"/>
      <c r="FB316" s="1319"/>
    </row>
    <row r="317" spans="1:158" s="768" customFormat="1" hidden="1">
      <c r="A317" s="3562" t="s">
        <v>674</v>
      </c>
      <c r="B317" s="404"/>
      <c r="C317" s="404"/>
      <c r="D317" s="404"/>
      <c r="E317" s="404"/>
      <c r="F317" s="404"/>
      <c r="G317" s="404"/>
      <c r="H317" s="404"/>
      <c r="I317" s="404"/>
      <c r="J317" s="404"/>
      <c r="K317" s="404"/>
      <c r="L317" s="404"/>
      <c r="M317" s="404"/>
      <c r="N317" s="404"/>
      <c r="O317" s="404"/>
      <c r="P317" s="404"/>
      <c r="Q317" s="404"/>
      <c r="R317" s="404"/>
      <c r="S317" s="404"/>
      <c r="T317" s="404"/>
      <c r="U317" s="404"/>
      <c r="V317" s="404"/>
      <c r="W317" s="404"/>
      <c r="X317" s="404"/>
      <c r="Y317" s="404"/>
      <c r="Z317" s="404"/>
      <c r="AA317" s="404"/>
      <c r="AB317" s="404"/>
      <c r="AC317" s="404"/>
      <c r="AD317" s="404"/>
      <c r="AE317" s="404"/>
      <c r="AF317" s="404"/>
      <c r="AG317" s="404"/>
      <c r="AH317" s="404"/>
      <c r="AI317" s="404"/>
      <c r="AJ317" s="404"/>
      <c r="AK317" s="404"/>
      <c r="AL317" s="404"/>
      <c r="AM317" s="404"/>
      <c r="AN317" s="404"/>
      <c r="AO317" s="404"/>
      <c r="AP317" s="404"/>
      <c r="AQ317" s="404"/>
      <c r="AR317" s="404"/>
      <c r="AS317" s="404"/>
      <c r="AT317" s="404"/>
      <c r="AU317" s="404"/>
      <c r="AV317" s="404"/>
      <c r="AW317" s="404"/>
      <c r="AX317" s="404"/>
      <c r="AY317" s="404"/>
      <c r="AZ317" s="404"/>
      <c r="BA317" s="404"/>
      <c r="BB317" s="404"/>
      <c r="BC317" s="404"/>
      <c r="BD317" s="404"/>
      <c r="BE317" s="404"/>
      <c r="BF317" s="404"/>
      <c r="BG317" s="404"/>
      <c r="BH317" s="404"/>
      <c r="BI317" s="404"/>
      <c r="BJ317" s="404"/>
      <c r="BK317" s="404"/>
      <c r="BL317" s="404"/>
      <c r="BM317" s="404"/>
      <c r="BN317" s="404"/>
      <c r="BO317" s="404"/>
      <c r="BP317" s="404"/>
      <c r="BQ317" s="404"/>
      <c r="BR317" s="404"/>
      <c r="BS317" s="404"/>
      <c r="BT317" s="404"/>
      <c r="BU317" s="404"/>
      <c r="BV317" s="404"/>
      <c r="BW317" s="404"/>
      <c r="BX317" s="404"/>
      <c r="BY317" s="404"/>
      <c r="BZ317" s="404"/>
      <c r="CA317" s="404"/>
      <c r="CB317" s="404"/>
      <c r="CC317" s="404"/>
      <c r="CD317" s="404"/>
      <c r="CE317" s="404"/>
      <c r="CF317" s="404"/>
      <c r="CG317" s="404"/>
      <c r="CH317" s="2705"/>
      <c r="CI317" s="2707">
        <f>IS!CI25</f>
        <v>0</v>
      </c>
      <c r="CJ317" s="2707">
        <f>IS!CJ25</f>
        <v>0</v>
      </c>
      <c r="CK317" s="2707">
        <f>IS!CK25</f>
        <v>378</v>
      </c>
      <c r="CL317" s="2707">
        <f>IS!CL25</f>
        <v>0</v>
      </c>
      <c r="CM317" s="2705">
        <f>SUM(CI317:CL317)</f>
        <v>378</v>
      </c>
      <c r="CN317" s="2707">
        <f>IS!CN25</f>
        <v>0</v>
      </c>
      <c r="CO317" s="2707">
        <f>IS!CO25</f>
        <v>0</v>
      </c>
      <c r="CP317" s="2707">
        <f>IS!CP25</f>
        <v>0</v>
      </c>
      <c r="CQ317" s="2707">
        <f>IS!CQ25</f>
        <v>0</v>
      </c>
      <c r="CR317" s="2705">
        <f>SUM(CN317:CQ317)</f>
        <v>0</v>
      </c>
      <c r="CS317" s="2707">
        <f>IS!CS25</f>
        <v>0</v>
      </c>
      <c r="CT317" s="2707">
        <f>IS!CT25</f>
        <v>0</v>
      </c>
      <c r="CU317" s="2707">
        <f>IS!CU25</f>
        <v>0</v>
      </c>
      <c r="CV317" s="2707">
        <f>IS!CV25</f>
        <v>0</v>
      </c>
      <c r="CW317" s="2705">
        <f>SUM(CS317:CV317)</f>
        <v>0</v>
      </c>
      <c r="CX317" s="2707">
        <f>IS!CX25</f>
        <v>0</v>
      </c>
      <c r="CY317" s="2707">
        <f>IS!CY25</f>
        <v>2736</v>
      </c>
      <c r="CZ317" s="2707">
        <f>IS!CZ25</f>
        <v>0</v>
      </c>
      <c r="DA317" s="2707">
        <f>IS!DA25</f>
        <v>0</v>
      </c>
      <c r="DB317" s="2705">
        <f>SUM(CX317:DA317)</f>
        <v>2736</v>
      </c>
      <c r="DC317" s="2707">
        <f>IS!DC25</f>
        <v>0</v>
      </c>
      <c r="DD317" s="2707">
        <f>IS!DD25</f>
        <v>5071</v>
      </c>
      <c r="DE317" s="2707">
        <f>IS!DE25</f>
        <v>0</v>
      </c>
      <c r="DF317" s="2707">
        <f>IS!DF25</f>
        <v>0</v>
      </c>
      <c r="DG317" s="2705">
        <f>SUM(DC317:DF317)</f>
        <v>5071</v>
      </c>
      <c r="DH317" s="2707">
        <f>IS!DH25</f>
        <v>1697</v>
      </c>
      <c r="DI317" s="2707">
        <f>IS!DI25</f>
        <v>0</v>
      </c>
      <c r="DJ317" s="2707">
        <f>IS!DJ25</f>
        <v>0</v>
      </c>
      <c r="DK317" s="2707">
        <f>IS!DK25</f>
        <v>0</v>
      </c>
      <c r="DL317" s="2705">
        <f>SUM(DH317:DK317)</f>
        <v>1697</v>
      </c>
      <c r="DM317" s="2707">
        <f>IS!DM25</f>
        <v>0</v>
      </c>
      <c r="DN317" s="2707">
        <f>IS!DN25</f>
        <v>0</v>
      </c>
      <c r="DO317" s="2707">
        <f>IS!DO25</f>
        <v>0</v>
      </c>
      <c r="DP317" s="2707">
        <f>IS!DP25</f>
        <v>0</v>
      </c>
      <c r="DQ317" s="2705">
        <f>SUM(DM317:DP317)</f>
        <v>0</v>
      </c>
      <c r="DR317" s="2707"/>
      <c r="DS317" s="2707"/>
      <c r="DT317" s="2707"/>
      <c r="DU317" s="2707"/>
      <c r="DV317" s="2705"/>
      <c r="DW317" s="2707"/>
      <c r="DX317" s="2707"/>
      <c r="DY317" s="2707"/>
      <c r="DZ317" s="2707"/>
      <c r="EA317" s="2705"/>
      <c r="EB317" s="2707"/>
      <c r="EC317" s="2707"/>
      <c r="ED317" s="2707"/>
      <c r="EE317" s="2707"/>
      <c r="EF317" s="2705"/>
      <c r="EG317" s="2707"/>
      <c r="EH317" s="2707"/>
      <c r="EI317" s="2707"/>
      <c r="EJ317" s="2707"/>
      <c r="EK317" s="2705"/>
      <c r="EL317" s="2707"/>
      <c r="EM317" s="2707"/>
      <c r="EN317" s="2707"/>
      <c r="EO317" s="2707"/>
      <c r="EP317" s="2705"/>
      <c r="EQ317" s="2707"/>
      <c r="ER317" s="2707"/>
      <c r="ES317" s="2707"/>
      <c r="ET317" s="2707"/>
      <c r="EU317" s="2705"/>
      <c r="EV317" s="2705"/>
      <c r="EW317" s="2705"/>
      <c r="EX317" s="2705"/>
      <c r="EY317" s="2705"/>
      <c r="FA317" s="1319"/>
      <c r="FB317" s="1319"/>
    </row>
    <row r="318" spans="1:158" hidden="1">
      <c r="A318" s="3555" t="s">
        <v>673</v>
      </c>
      <c r="B318" s="3258"/>
      <c r="C318" s="3258"/>
      <c r="D318" s="3258"/>
      <c r="E318" s="3258"/>
      <c r="F318" s="3258"/>
      <c r="G318" s="3258"/>
      <c r="H318" s="3258"/>
      <c r="I318" s="3258"/>
      <c r="J318" s="3258"/>
      <c r="K318" s="3258"/>
      <c r="L318" s="3258"/>
      <c r="M318" s="3258"/>
      <c r="N318" s="3258"/>
      <c r="O318" s="3258"/>
      <c r="P318" s="3258"/>
      <c r="Q318" s="3258"/>
      <c r="R318" s="3258"/>
      <c r="S318" s="3258"/>
      <c r="T318" s="3258"/>
      <c r="U318" s="3258"/>
      <c r="V318" s="3258"/>
      <c r="W318" s="3258"/>
      <c r="X318" s="3258"/>
      <c r="Y318" s="3258"/>
      <c r="Z318" s="3258"/>
      <c r="AA318" s="3258"/>
      <c r="AB318" s="3258"/>
      <c r="AC318" s="3258"/>
      <c r="AD318" s="3258"/>
      <c r="AE318" s="3258"/>
      <c r="AF318" s="3258"/>
      <c r="AG318" s="3258"/>
      <c r="AH318" s="3258"/>
      <c r="AI318" s="3258"/>
      <c r="AJ318" s="3258"/>
      <c r="AK318" s="3258"/>
      <c r="AL318" s="3258"/>
      <c r="AM318" s="3258"/>
      <c r="AN318" s="3258"/>
      <c r="AO318" s="3258"/>
      <c r="AP318" s="3258"/>
      <c r="AQ318" s="3258"/>
      <c r="AR318" s="3258"/>
      <c r="AS318" s="3258"/>
      <c r="AT318" s="3258"/>
      <c r="AU318" s="3258"/>
      <c r="AV318" s="3258"/>
      <c r="AW318" s="3258"/>
      <c r="AX318" s="3258"/>
      <c r="AY318" s="3258"/>
      <c r="AZ318" s="3258"/>
      <c r="BA318" s="3258"/>
      <c r="BB318" s="3258"/>
      <c r="BC318" s="3258"/>
      <c r="BD318" s="3258"/>
      <c r="BE318" s="3258"/>
      <c r="BF318" s="3258"/>
      <c r="BG318" s="3258"/>
      <c r="BH318" s="3258"/>
      <c r="BI318" s="3258"/>
      <c r="BJ318" s="3258"/>
      <c r="BK318" s="3258"/>
      <c r="BL318" s="3258"/>
      <c r="BM318" s="3258"/>
      <c r="BN318" s="3258"/>
      <c r="BO318" s="3258"/>
      <c r="BP318" s="3258"/>
      <c r="BQ318" s="3258"/>
      <c r="BR318" s="3258"/>
      <c r="BS318" s="3258"/>
      <c r="BT318" s="3258"/>
      <c r="BU318" s="3258"/>
      <c r="BV318" s="3258"/>
      <c r="BW318" s="3258"/>
      <c r="BX318" s="3258"/>
      <c r="BY318" s="3258"/>
      <c r="BZ318" s="3258"/>
      <c r="CA318" s="3258"/>
      <c r="CB318" s="3258"/>
      <c r="CC318" s="3258"/>
      <c r="CD318" s="3258"/>
      <c r="CE318" s="3258"/>
      <c r="CF318" s="3258"/>
      <c r="CG318" s="3258"/>
      <c r="CH318" s="3283">
        <f t="shared" ref="CH318:CX318" si="609">CH316+CH317</f>
        <v>15403</v>
      </c>
      <c r="CI318" s="3149">
        <f t="shared" si="609"/>
        <v>4115</v>
      </c>
      <c r="CJ318" s="3149">
        <f t="shared" si="609"/>
        <v>4258</v>
      </c>
      <c r="CK318" s="3149">
        <f t="shared" si="609"/>
        <v>4102</v>
      </c>
      <c r="CL318" s="3149">
        <f t="shared" si="609"/>
        <v>4399</v>
      </c>
      <c r="CM318" s="3283">
        <f t="shared" si="609"/>
        <v>16874</v>
      </c>
      <c r="CN318" s="3273">
        <f t="shared" si="609"/>
        <v>4447</v>
      </c>
      <c r="CO318" s="3273">
        <f t="shared" si="609"/>
        <v>4825</v>
      </c>
      <c r="CP318" s="3273">
        <f t="shared" si="609"/>
        <v>4708</v>
      </c>
      <c r="CQ318" s="3273">
        <f t="shared" si="609"/>
        <v>5380</v>
      </c>
      <c r="CR318" s="3283">
        <f t="shared" si="609"/>
        <v>19360</v>
      </c>
      <c r="CS318" s="3273">
        <f t="shared" si="609"/>
        <v>5342</v>
      </c>
      <c r="CT318" s="3273">
        <f t="shared" si="609"/>
        <v>5968</v>
      </c>
      <c r="CU318" s="3273">
        <f t="shared" si="609"/>
        <v>5767</v>
      </c>
      <c r="CV318" s="3273">
        <f t="shared" si="609"/>
        <v>6639</v>
      </c>
      <c r="CW318" s="3283">
        <f t="shared" si="609"/>
        <v>23716</v>
      </c>
      <c r="CX318" s="3273">
        <f t="shared" si="609"/>
        <v>6568</v>
      </c>
      <c r="CY318" s="3273">
        <f t="shared" ref="CY318:DQ318" si="610">CY316+CY317</f>
        <v>6868</v>
      </c>
      <c r="CZ318" s="3273">
        <f t="shared" si="610"/>
        <v>7782</v>
      </c>
      <c r="DA318" s="3273">
        <f t="shared" si="610"/>
        <v>7664</v>
      </c>
      <c r="DB318" s="3283">
        <f t="shared" si="610"/>
        <v>28882</v>
      </c>
      <c r="DC318" s="3273">
        <f t="shared" si="610"/>
        <v>7633</v>
      </c>
      <c r="DD318" s="3273">
        <f t="shared" si="610"/>
        <v>8116</v>
      </c>
      <c r="DE318" s="3273">
        <f t="shared" si="610"/>
        <v>8625</v>
      </c>
      <c r="DF318" s="3273">
        <f t="shared" si="610"/>
        <v>8221</v>
      </c>
      <c r="DG318" s="3283">
        <f t="shared" si="610"/>
        <v>32595</v>
      </c>
      <c r="DH318" s="3273">
        <f t="shared" si="610"/>
        <v>8305</v>
      </c>
      <c r="DI318" s="3273">
        <f t="shared" si="610"/>
        <v>9180</v>
      </c>
      <c r="DJ318" s="3273">
        <f t="shared" si="610"/>
        <v>9177</v>
      </c>
      <c r="DK318" s="3273">
        <f t="shared" si="610"/>
        <v>9266</v>
      </c>
      <c r="DL318" s="3283">
        <f t="shared" si="610"/>
        <v>35928</v>
      </c>
      <c r="DM318" s="3273">
        <f t="shared" si="610"/>
        <v>7977</v>
      </c>
      <c r="DN318" s="3273">
        <f t="shared" si="610"/>
        <v>6383</v>
      </c>
      <c r="DO318" s="3273">
        <f t="shared" si="610"/>
        <v>11213</v>
      </c>
      <c r="DP318" s="3273">
        <f t="shared" si="610"/>
        <v>15651</v>
      </c>
      <c r="DQ318" s="3283">
        <f t="shared" si="610"/>
        <v>41224</v>
      </c>
      <c r="DR318" s="3273"/>
      <c r="DS318" s="3273"/>
      <c r="DT318" s="3273"/>
      <c r="DU318" s="3273"/>
      <c r="DV318" s="3283"/>
      <c r="DW318" s="3273"/>
      <c r="DX318" s="3273"/>
      <c r="DY318" s="3273"/>
      <c r="DZ318" s="3273"/>
      <c r="EA318" s="3283"/>
      <c r="EB318" s="3273"/>
      <c r="EC318" s="3273"/>
      <c r="ED318" s="3273"/>
      <c r="EE318" s="3273"/>
      <c r="EF318" s="3283"/>
      <c r="EG318" s="3273"/>
      <c r="EH318" s="3273"/>
      <c r="EI318" s="3273"/>
      <c r="EJ318" s="3273"/>
      <c r="EK318" s="3283"/>
      <c r="EL318" s="3273"/>
      <c r="EM318" s="3273"/>
      <c r="EN318" s="3273"/>
      <c r="EO318" s="3273"/>
      <c r="EP318" s="3283"/>
      <c r="EQ318" s="3273"/>
      <c r="ER318" s="3273"/>
      <c r="ES318" s="3273"/>
      <c r="ET318" s="3273"/>
      <c r="EU318" s="3283"/>
      <c r="EV318" s="3283"/>
      <c r="EW318" s="3283"/>
      <c r="EX318" s="3283"/>
      <c r="EY318" s="3283"/>
      <c r="FA318" s="1319"/>
      <c r="FB318" s="1319"/>
    </row>
    <row r="319" spans="1:158" s="768" customFormat="1" hidden="1">
      <c r="A319" s="3552" t="s">
        <v>479</v>
      </c>
      <c r="B319" s="404"/>
      <c r="C319" s="404"/>
      <c r="D319" s="404"/>
      <c r="E319" s="404"/>
      <c r="F319" s="404"/>
      <c r="G319" s="404"/>
      <c r="H319" s="404"/>
      <c r="I319" s="404"/>
      <c r="J319" s="404"/>
      <c r="K319" s="404"/>
      <c r="L319" s="404"/>
      <c r="M319" s="404"/>
      <c r="N319" s="404"/>
      <c r="O319" s="404"/>
      <c r="P319" s="404"/>
      <c r="Q319" s="404"/>
      <c r="R319" s="404"/>
      <c r="S319" s="404"/>
      <c r="T319" s="404"/>
      <c r="U319" s="404"/>
      <c r="V319" s="404"/>
      <c r="W319" s="404"/>
      <c r="X319" s="404"/>
      <c r="Y319" s="404"/>
      <c r="Z319" s="404"/>
      <c r="AA319" s="404"/>
      <c r="AB319" s="404"/>
      <c r="AC319" s="404"/>
      <c r="AD319" s="404"/>
      <c r="AE319" s="404"/>
      <c r="AF319" s="404"/>
      <c r="AG319" s="404"/>
      <c r="AH319" s="404"/>
      <c r="AI319" s="404"/>
      <c r="AJ319" s="404"/>
      <c r="AK319" s="404"/>
      <c r="AL319" s="404"/>
      <c r="AM319" s="404"/>
      <c r="AN319" s="404"/>
      <c r="AO319" s="404"/>
      <c r="AP319" s="404"/>
      <c r="AQ319" s="404"/>
      <c r="AR319" s="404"/>
      <c r="AS319" s="404"/>
      <c r="AT319" s="404"/>
      <c r="AU319" s="404"/>
      <c r="AV319" s="404"/>
      <c r="AW319" s="404"/>
      <c r="AX319" s="404"/>
      <c r="AY319" s="404"/>
      <c r="AZ319" s="404"/>
      <c r="BA319" s="404"/>
      <c r="BB319" s="404"/>
      <c r="BC319" s="404"/>
      <c r="BD319" s="404"/>
      <c r="BE319" s="404"/>
      <c r="BF319" s="404"/>
      <c r="BG319" s="404"/>
      <c r="BH319" s="404"/>
      <c r="BI319" s="404"/>
      <c r="BJ319" s="404"/>
      <c r="BK319" s="404"/>
      <c r="BL319" s="404"/>
      <c r="BM319" s="404"/>
      <c r="BN319" s="404"/>
      <c r="BO319" s="404"/>
      <c r="BP319" s="404"/>
      <c r="BQ319" s="404"/>
      <c r="BR319" s="404"/>
      <c r="BS319" s="404"/>
      <c r="BT319" s="404"/>
      <c r="BU319" s="404"/>
      <c r="BV319" s="404"/>
      <c r="BW319" s="404"/>
      <c r="BX319" s="404"/>
      <c r="BY319" s="404"/>
      <c r="BZ319" s="404"/>
      <c r="CA319" s="404"/>
      <c r="CB319" s="404"/>
      <c r="CC319" s="404"/>
      <c r="CD319" s="404"/>
      <c r="CE319" s="404"/>
      <c r="CF319" s="404"/>
      <c r="CG319" s="404"/>
      <c r="CH319" s="2772">
        <f>+IS!CH30</f>
        <v>496</v>
      </c>
      <c r="CI319" s="2706">
        <f>+IS!CI30</f>
        <v>357</v>
      </c>
      <c r="CJ319" s="2706">
        <f>+IS!CJ30</f>
        <v>145</v>
      </c>
      <c r="CK319" s="2706">
        <f>+IS!CK30</f>
        <v>133</v>
      </c>
      <c r="CL319" s="2706">
        <f>+IS!CL30</f>
        <v>128</v>
      </c>
      <c r="CM319" s="2772">
        <f>+IS!CM30</f>
        <v>763</v>
      </c>
      <c r="CN319" s="2707">
        <f>+IS!CN30</f>
        <v>157</v>
      </c>
      <c r="CO319" s="2707">
        <f>+IS!CO30</f>
        <v>131</v>
      </c>
      <c r="CP319" s="2707">
        <f>+IS!CP30</f>
        <v>183</v>
      </c>
      <c r="CQ319" s="2707">
        <f>+IS!CQ30</f>
        <v>-180</v>
      </c>
      <c r="CR319" s="2772">
        <f>+IS!CR30</f>
        <v>291</v>
      </c>
      <c r="CS319" s="2707">
        <f>+IS!CS30</f>
        <v>-213</v>
      </c>
      <c r="CT319" s="2707">
        <f>+IS!CT30</f>
        <v>151</v>
      </c>
      <c r="CU319" s="2707">
        <f>+IS!CU30</f>
        <v>278</v>
      </c>
      <c r="CV319" s="2707">
        <f>+IS!CV30</f>
        <v>218</v>
      </c>
      <c r="CW319" s="2772">
        <f>SUM(CS319:CV319)</f>
        <v>434</v>
      </c>
      <c r="CX319" s="2707">
        <f>+IS!CX30</f>
        <v>251</v>
      </c>
      <c r="CY319" s="2707">
        <f>+IS!CY30</f>
        <v>245</v>
      </c>
      <c r="CZ319" s="2707">
        <f>+IS!CZ30</f>
        <v>197</v>
      </c>
      <c r="DA319" s="2707">
        <f>+IS!DA30</f>
        <v>354</v>
      </c>
      <c r="DB319" s="2772">
        <f>+IS!DB30</f>
        <v>1047</v>
      </c>
      <c r="DC319" s="2707">
        <f>+IS!DC30</f>
        <v>2910</v>
      </c>
      <c r="DD319" s="2707">
        <f>+IS!DD30</f>
        <v>1170</v>
      </c>
      <c r="DE319" s="2707">
        <f>+IS!DE30</f>
        <v>1458</v>
      </c>
      <c r="DF319" s="2707">
        <f>+IS!DF30</f>
        <v>1851</v>
      </c>
      <c r="DG319" s="2772">
        <f>+IS!DG30</f>
        <v>7389</v>
      </c>
      <c r="DH319" s="2707">
        <f>+IS!DH30</f>
        <v>1538</v>
      </c>
      <c r="DI319" s="2707">
        <f>+IS!DI30</f>
        <v>2967</v>
      </c>
      <c r="DJ319" s="2707">
        <f>+IS!DJ30</f>
        <v>-549</v>
      </c>
      <c r="DK319" s="2707">
        <f>+IS!DK30</f>
        <v>1438</v>
      </c>
      <c r="DL319" s="2772">
        <f>+IS!DL30</f>
        <v>5394</v>
      </c>
      <c r="DM319" s="2707">
        <f>+IS!DM30</f>
        <v>-220</v>
      </c>
      <c r="DN319" s="2707">
        <f>+IS!DN30</f>
        <v>1894</v>
      </c>
      <c r="DO319" s="2707">
        <f>+IS!DO30</f>
        <v>2146</v>
      </c>
      <c r="DP319" s="2707">
        <f>+IS!DP30</f>
        <v>3038</v>
      </c>
      <c r="DQ319" s="2772">
        <f>+IS!DQ30</f>
        <v>6858</v>
      </c>
      <c r="DR319" s="2707"/>
      <c r="DS319" s="2707"/>
      <c r="DT319" s="2707"/>
      <c r="DU319" s="2707"/>
      <c r="DV319" s="2772"/>
      <c r="DW319" s="2707"/>
      <c r="DX319" s="2707"/>
      <c r="DY319" s="2707"/>
      <c r="DZ319" s="2707"/>
      <c r="EA319" s="2772"/>
      <c r="EB319" s="2707"/>
      <c r="EC319" s="2707"/>
      <c r="ED319" s="2707"/>
      <c r="EE319" s="2707"/>
      <c r="EF319" s="2772"/>
      <c r="EG319" s="2707"/>
      <c r="EH319" s="2707"/>
      <c r="EI319" s="2707"/>
      <c r="EJ319" s="2707"/>
      <c r="EK319" s="2772"/>
      <c r="EL319" s="2707"/>
      <c r="EM319" s="2707"/>
      <c r="EN319" s="2707"/>
      <c r="EO319" s="2707"/>
      <c r="EP319" s="2772"/>
      <c r="EQ319" s="2707"/>
      <c r="ER319" s="2707"/>
      <c r="ES319" s="2707"/>
      <c r="ET319" s="2707"/>
      <c r="EU319" s="2772"/>
      <c r="EV319" s="2772"/>
      <c r="EW319" s="2772"/>
      <c r="EX319" s="2772"/>
      <c r="EY319" s="2772"/>
      <c r="FA319" s="1319"/>
      <c r="FB319" s="1319"/>
    </row>
    <row r="320" spans="1:158" s="768" customFormat="1" hidden="1">
      <c r="A320" s="3552" t="s">
        <v>481</v>
      </c>
      <c r="B320" s="404"/>
      <c r="C320" s="404"/>
      <c r="D320" s="404"/>
      <c r="E320" s="404"/>
      <c r="F320" s="404"/>
      <c r="G320" s="404"/>
      <c r="H320" s="404"/>
      <c r="I320" s="404"/>
      <c r="J320" s="404"/>
      <c r="K320" s="404"/>
      <c r="L320" s="404"/>
      <c r="M320" s="404"/>
      <c r="N320" s="404"/>
      <c r="O320" s="404"/>
      <c r="P320" s="404"/>
      <c r="Q320" s="404"/>
      <c r="R320" s="404"/>
      <c r="S320" s="404"/>
      <c r="T320" s="404"/>
      <c r="U320" s="404"/>
      <c r="V320" s="404"/>
      <c r="W320" s="404"/>
      <c r="X320" s="404"/>
      <c r="Y320" s="404"/>
      <c r="Z320" s="404"/>
      <c r="AA320" s="404"/>
      <c r="AB320" s="404"/>
      <c r="AC320" s="404"/>
      <c r="AD320" s="404"/>
      <c r="AE320" s="404"/>
      <c r="AF320" s="404"/>
      <c r="AG320" s="404"/>
      <c r="AH320" s="404"/>
      <c r="AI320" s="404"/>
      <c r="AJ320" s="404"/>
      <c r="AK320" s="404"/>
      <c r="AL320" s="404"/>
      <c r="AM320" s="404"/>
      <c r="AN320" s="404"/>
      <c r="AO320" s="404"/>
      <c r="AP320" s="404"/>
      <c r="AQ320" s="404"/>
      <c r="AR320" s="404"/>
      <c r="AS320" s="404"/>
      <c r="AT320" s="404"/>
      <c r="AU320" s="404"/>
      <c r="AV320" s="404"/>
      <c r="AW320" s="404"/>
      <c r="AX320" s="404"/>
      <c r="AY320" s="404"/>
      <c r="AZ320" s="404"/>
      <c r="BA320" s="404"/>
      <c r="BB320" s="404"/>
      <c r="BC320" s="404"/>
      <c r="BD320" s="404"/>
      <c r="BE320" s="404"/>
      <c r="BF320" s="404"/>
      <c r="BG320" s="404"/>
      <c r="BH320" s="404"/>
      <c r="BI320" s="404"/>
      <c r="BJ320" s="404"/>
      <c r="BK320" s="404"/>
      <c r="BL320" s="404"/>
      <c r="BM320" s="404"/>
      <c r="BN320" s="404"/>
      <c r="BO320" s="404"/>
      <c r="BP320" s="404"/>
      <c r="BQ320" s="404"/>
      <c r="BR320" s="404"/>
      <c r="BS320" s="404"/>
      <c r="BT320" s="404"/>
      <c r="BU320" s="404"/>
      <c r="BV320" s="404"/>
      <c r="BW320" s="404"/>
      <c r="BX320" s="404"/>
      <c r="BY320" s="404"/>
      <c r="BZ320" s="404"/>
      <c r="CA320" s="404"/>
      <c r="CB320" s="404"/>
      <c r="CC320" s="404"/>
      <c r="CD320" s="404"/>
      <c r="CE320" s="404"/>
      <c r="CF320" s="404"/>
      <c r="CG320" s="404"/>
      <c r="CH320" s="2772">
        <f>+IS!CH33</f>
        <v>2552</v>
      </c>
      <c r="CI320" s="2706">
        <f>+IS!CI33</f>
        <v>903.34400000000005</v>
      </c>
      <c r="CJ320" s="2706">
        <f>+IS!CJ33</f>
        <v>982.74959999999999</v>
      </c>
      <c r="CK320" s="2706">
        <f>+IS!CK33</f>
        <v>933.39400000000001</v>
      </c>
      <c r="CL320" s="2706">
        <f>+IS!CL33</f>
        <v>819.38699999999994</v>
      </c>
      <c r="CM320" s="2772">
        <f>+IS!CM33</f>
        <v>3331</v>
      </c>
      <c r="CN320" s="2707">
        <f>+IS!CN33</f>
        <v>1089.7667999999999</v>
      </c>
      <c r="CO320" s="2707">
        <f>+IS!CO33</f>
        <v>1025</v>
      </c>
      <c r="CP320" s="2707">
        <f>+IS!CP33</f>
        <v>912</v>
      </c>
      <c r="CQ320" s="2707">
        <f>+IS!CQ33</f>
        <v>277</v>
      </c>
      <c r="CR320" s="2772">
        <f>+IS!CR33</f>
        <v>3303.7667999999999</v>
      </c>
      <c r="CS320" s="2707">
        <f>+IS!CS33</f>
        <v>922</v>
      </c>
      <c r="CT320" s="2707">
        <f>+IS!CT33</f>
        <v>1242</v>
      </c>
      <c r="CU320" s="2707">
        <f>+IS!CU33</f>
        <v>984</v>
      </c>
      <c r="CV320" s="2707">
        <f>+IS!CV33</f>
        <v>1524</v>
      </c>
      <c r="CW320" s="2772">
        <f>+IS!CW33</f>
        <v>4672</v>
      </c>
      <c r="CX320" s="2707">
        <f>+IS!CX33</f>
        <v>1393</v>
      </c>
      <c r="CY320" s="2707">
        <f>+IS!CY33</f>
        <v>853</v>
      </c>
      <c r="CZ320" s="2707">
        <f>+IS!CZ33</f>
        <v>1247</v>
      </c>
      <c r="DA320" s="2707">
        <f>+IS!DA33</f>
        <v>11038</v>
      </c>
      <c r="DB320" s="2772">
        <f>+IS!DB33</f>
        <v>14531</v>
      </c>
      <c r="DC320" s="2707">
        <f>+IS!DC33</f>
        <v>1142</v>
      </c>
      <c r="DD320" s="2707">
        <f>+IS!DD33</f>
        <v>1020</v>
      </c>
      <c r="DE320" s="2707">
        <f>+IS!DE33</f>
        <v>891</v>
      </c>
      <c r="DF320" s="2707">
        <f>+IS!DF33</f>
        <v>1124</v>
      </c>
      <c r="DG320" s="2772">
        <f>+IS!DG33</f>
        <v>4177</v>
      </c>
      <c r="DH320" s="2707">
        <f>+IS!DH33</f>
        <v>1489</v>
      </c>
      <c r="DI320" s="2707">
        <f>+IS!DI33</f>
        <v>2200</v>
      </c>
      <c r="DJ320" s="2707">
        <f>+IS!DJ33</f>
        <v>1560</v>
      </c>
      <c r="DK320" s="2707">
        <f>+IS!DK33</f>
        <v>33</v>
      </c>
      <c r="DL320" s="2772">
        <f>+IS!DL33</f>
        <v>5282</v>
      </c>
      <c r="DM320" s="2707">
        <f>+IS!DM33</f>
        <v>921</v>
      </c>
      <c r="DN320" s="2707">
        <f>+IS!DN33</f>
        <v>1318</v>
      </c>
      <c r="DO320" s="2707">
        <f>+IS!DO33</f>
        <v>2112</v>
      </c>
      <c r="DP320" s="2707">
        <f>+IS!DP33</f>
        <v>3462</v>
      </c>
      <c r="DQ320" s="2772">
        <f>+IS!DQ33</f>
        <v>7813</v>
      </c>
      <c r="DR320" s="2707"/>
      <c r="DS320" s="2707"/>
      <c r="DT320" s="2707"/>
      <c r="DU320" s="2707"/>
      <c r="DV320" s="2772"/>
      <c r="DW320" s="2707"/>
      <c r="DX320" s="2707"/>
      <c r="DY320" s="2707"/>
      <c r="DZ320" s="2707"/>
      <c r="EA320" s="2772"/>
      <c r="EB320" s="2707"/>
      <c r="EC320" s="2707"/>
      <c r="ED320" s="2707"/>
      <c r="EE320" s="2707"/>
      <c r="EF320" s="2772"/>
      <c r="EG320" s="2707"/>
      <c r="EH320" s="2707"/>
      <c r="EI320" s="2707"/>
      <c r="EJ320" s="2707"/>
      <c r="EK320" s="2772"/>
      <c r="EL320" s="2707"/>
      <c r="EM320" s="2707"/>
      <c r="EN320" s="2707"/>
      <c r="EO320" s="2707"/>
      <c r="EP320" s="2772"/>
      <c r="EQ320" s="2707"/>
      <c r="ER320" s="2707"/>
      <c r="ES320" s="2707"/>
      <c r="ET320" s="2707"/>
      <c r="EU320" s="2772"/>
      <c r="EV320" s="2772"/>
      <c r="EW320" s="2772"/>
      <c r="EX320" s="2772"/>
      <c r="EY320" s="2772"/>
      <c r="FA320" s="1319"/>
      <c r="FB320" s="1319"/>
    </row>
    <row r="321" spans="1:158" s="768" customFormat="1" hidden="1">
      <c r="A321" s="3552" t="s">
        <v>480</v>
      </c>
      <c r="B321" s="404"/>
      <c r="C321" s="404"/>
      <c r="D321" s="404"/>
      <c r="E321" s="404"/>
      <c r="F321" s="404"/>
      <c r="G321" s="404"/>
      <c r="H321" s="404"/>
      <c r="I321" s="404"/>
      <c r="J321" s="404"/>
      <c r="K321" s="404"/>
      <c r="L321" s="404"/>
      <c r="M321" s="404"/>
      <c r="N321" s="404"/>
      <c r="O321" s="404"/>
      <c r="P321" s="404"/>
      <c r="Q321" s="404"/>
      <c r="R321" s="404"/>
      <c r="S321" s="404"/>
      <c r="T321" s="404"/>
      <c r="U321" s="404"/>
      <c r="V321" s="404"/>
      <c r="W321" s="404"/>
      <c r="X321" s="404"/>
      <c r="Y321" s="404"/>
      <c r="Z321" s="404"/>
      <c r="AA321" s="404"/>
      <c r="AB321" s="404"/>
      <c r="AC321" s="404"/>
      <c r="AD321" s="404"/>
      <c r="AE321" s="404"/>
      <c r="AF321" s="404"/>
      <c r="AG321" s="404"/>
      <c r="AH321" s="404"/>
      <c r="AI321" s="404"/>
      <c r="AJ321" s="404"/>
      <c r="AK321" s="404"/>
      <c r="AL321" s="404"/>
      <c r="AM321" s="404"/>
      <c r="AN321" s="404"/>
      <c r="AO321" s="404"/>
      <c r="AP321" s="404"/>
      <c r="AQ321" s="404"/>
      <c r="AR321" s="404"/>
      <c r="AS321" s="404"/>
      <c r="AT321" s="404"/>
      <c r="AU321" s="404"/>
      <c r="AV321" s="404"/>
      <c r="AW321" s="404"/>
      <c r="AX321" s="404"/>
      <c r="AY321" s="404"/>
      <c r="AZ321" s="404"/>
      <c r="BA321" s="404"/>
      <c r="BB321" s="404"/>
      <c r="BC321" s="404"/>
      <c r="BD321" s="404"/>
      <c r="BE321" s="404"/>
      <c r="BF321" s="404"/>
      <c r="BG321" s="404"/>
      <c r="BH321" s="404"/>
      <c r="BI321" s="404"/>
      <c r="BJ321" s="404"/>
      <c r="BK321" s="404"/>
      <c r="BL321" s="404"/>
      <c r="BM321" s="404"/>
      <c r="BN321" s="404"/>
      <c r="BO321" s="404"/>
      <c r="BP321" s="404"/>
      <c r="BQ321" s="404"/>
      <c r="BR321" s="404"/>
      <c r="BS321" s="404"/>
      <c r="BT321" s="404"/>
      <c r="BU321" s="404"/>
      <c r="BV321" s="404"/>
      <c r="BW321" s="404"/>
      <c r="BX321" s="404"/>
      <c r="BY321" s="404"/>
      <c r="BZ321" s="404"/>
      <c r="CA321" s="404"/>
      <c r="CB321" s="404"/>
      <c r="CC321" s="404"/>
      <c r="CD321" s="404"/>
      <c r="CE321" s="404"/>
      <c r="CF321" s="404"/>
      <c r="CG321" s="404"/>
      <c r="CH321" s="2772">
        <f>-IS!CH49-IS!CH35</f>
        <v>-109</v>
      </c>
      <c r="CI321" s="2706">
        <f>-IS!CI49-IS!CI35</f>
        <v>0</v>
      </c>
      <c r="CJ321" s="2706">
        <f>-IS!CJ49-IS!CJ35</f>
        <v>0</v>
      </c>
      <c r="CK321" s="2706">
        <f>-IS!CK49-IS!CK35</f>
        <v>0</v>
      </c>
      <c r="CL321" s="2706">
        <f>-IS!CL49-IS!CL35</f>
        <v>0</v>
      </c>
      <c r="CM321" s="2772">
        <f>-IS!CM49-IS!CM35</f>
        <v>0</v>
      </c>
      <c r="CN321" s="2707">
        <f>-IS!CN49-IS!CN35</f>
        <v>0</v>
      </c>
      <c r="CO321" s="2707">
        <f>-IS!CO49-IS!CO35</f>
        <v>0</v>
      </c>
      <c r="CP321" s="2707">
        <f>-IS!CP49-IS!CP35</f>
        <v>0</v>
      </c>
      <c r="CQ321" s="2707">
        <f>-IS!CQ49-IS!CQ35</f>
        <v>0</v>
      </c>
      <c r="CR321" s="2772">
        <f>-IS!CR49-IS!CR35</f>
        <v>0</v>
      </c>
      <c r="CS321" s="2707">
        <f>-IS!CS49-IS!CS35</f>
        <v>0</v>
      </c>
      <c r="CT321" s="2707">
        <f>-IS!CT49-IS!CT35</f>
        <v>0</v>
      </c>
      <c r="CU321" s="2707">
        <f>-IS!CU49-IS!CU35</f>
        <v>0</v>
      </c>
      <c r="CV321" s="2707">
        <f>-IS!CV49-IS!CV35</f>
        <v>0</v>
      </c>
      <c r="CW321" s="2772">
        <f>SUM(CS321:CV321)</f>
        <v>0</v>
      </c>
      <c r="CX321" s="2707">
        <f>-IS!CX49-IS!CX35</f>
        <v>0</v>
      </c>
      <c r="CY321" s="2707">
        <f>-IS!CY49-IS!CY35</f>
        <v>0</v>
      </c>
      <c r="CZ321" s="2707">
        <f>-IS!CZ49-IS!CZ35</f>
        <v>0</v>
      </c>
      <c r="DA321" s="2707">
        <f>-IS!DA49-IS!DA35</f>
        <v>0</v>
      </c>
      <c r="DB321" s="2772">
        <f>-IS!DB49-IS!DB35</f>
        <v>0</v>
      </c>
      <c r="DC321" s="2707">
        <f>-IS!DC49-IS!DC35</f>
        <v>0</v>
      </c>
      <c r="DD321" s="2707">
        <f>-IS!DD49-IS!DD35</f>
        <v>0</v>
      </c>
      <c r="DE321" s="2707">
        <f>-IS!DE49-IS!DE35</f>
        <v>0</v>
      </c>
      <c r="DF321" s="2707">
        <f>-IS!DF49-IS!DF35</f>
        <v>0</v>
      </c>
      <c r="DG321" s="2772">
        <f>-IS!DG49-IS!DG35</f>
        <v>0</v>
      </c>
      <c r="DH321" s="2707">
        <f>-IS!DH49-IS!DH35</f>
        <v>0</v>
      </c>
      <c r="DI321" s="2707">
        <f>-IS!DI49-IS!DI35</f>
        <v>0</v>
      </c>
      <c r="DJ321" s="2707">
        <f>-IS!DJ49-IS!DJ35</f>
        <v>0</v>
      </c>
      <c r="DK321" s="2707">
        <f>-IS!DK49-IS!DK35</f>
        <v>0</v>
      </c>
      <c r="DL321" s="2772">
        <f>-IS!DL49-IS!DL35</f>
        <v>0</v>
      </c>
      <c r="DM321" s="2707">
        <f>-IS!DM49-IS!DM35</f>
        <v>0</v>
      </c>
      <c r="DN321" s="2707">
        <f>-IS!DN49-IS!DN35</f>
        <v>0</v>
      </c>
      <c r="DO321" s="2707">
        <f>-IS!DO49-IS!DO35</f>
        <v>0</v>
      </c>
      <c r="DP321" s="2707">
        <f>-IS!DP49-IS!DP35</f>
        <v>0</v>
      </c>
      <c r="DQ321" s="2772">
        <f>-IS!DQ49-IS!DQ35</f>
        <v>0</v>
      </c>
      <c r="DR321" s="2707"/>
      <c r="DS321" s="2707"/>
      <c r="DT321" s="2707"/>
      <c r="DU321" s="2707"/>
      <c r="DV321" s="2772"/>
      <c r="DW321" s="2707"/>
      <c r="DX321" s="2707"/>
      <c r="DY321" s="2707"/>
      <c r="DZ321" s="2707"/>
      <c r="EA321" s="2772"/>
      <c r="EB321" s="2707"/>
      <c r="EC321" s="2707"/>
      <c r="ED321" s="2707"/>
      <c r="EE321" s="2707"/>
      <c r="EF321" s="2772"/>
      <c r="EG321" s="2707"/>
      <c r="EH321" s="2707"/>
      <c r="EI321" s="2707"/>
      <c r="EJ321" s="2707"/>
      <c r="EK321" s="2772"/>
      <c r="EL321" s="2707"/>
      <c r="EM321" s="2707"/>
      <c r="EN321" s="2707"/>
      <c r="EO321" s="2707"/>
      <c r="EP321" s="2772"/>
      <c r="EQ321" s="2707"/>
      <c r="ER321" s="2707"/>
      <c r="ES321" s="2707"/>
      <c r="ET321" s="2707"/>
      <c r="EU321" s="2772"/>
      <c r="EV321" s="2772"/>
      <c r="EW321" s="2772"/>
      <c r="EX321" s="2772"/>
      <c r="EY321" s="2772"/>
      <c r="FA321" s="1319"/>
      <c r="FB321" s="1319"/>
    </row>
    <row r="322" spans="1:158" hidden="1">
      <c r="A322" s="3555" t="s">
        <v>540</v>
      </c>
      <c r="B322" s="3258"/>
      <c r="C322" s="3258"/>
      <c r="D322" s="3258"/>
      <c r="E322" s="3258"/>
      <c r="F322" s="3258"/>
      <c r="G322" s="3258"/>
      <c r="H322" s="3258"/>
      <c r="I322" s="3258"/>
      <c r="J322" s="3258"/>
      <c r="K322" s="3258"/>
      <c r="L322" s="3258"/>
      <c r="M322" s="3258"/>
      <c r="N322" s="3258"/>
      <c r="O322" s="3258"/>
      <c r="P322" s="3258"/>
      <c r="Q322" s="3258"/>
      <c r="R322" s="3258"/>
      <c r="S322" s="3258"/>
      <c r="T322" s="3258"/>
      <c r="U322" s="3258"/>
      <c r="V322" s="3258"/>
      <c r="W322" s="3258"/>
      <c r="X322" s="3258"/>
      <c r="Y322" s="3258"/>
      <c r="Z322" s="3258"/>
      <c r="AA322" s="3258"/>
      <c r="AB322" s="3258"/>
      <c r="AC322" s="3258"/>
      <c r="AD322" s="3258"/>
      <c r="AE322" s="3258"/>
      <c r="AF322" s="3258"/>
      <c r="AG322" s="3258"/>
      <c r="AH322" s="3258"/>
      <c r="AI322" s="3258"/>
      <c r="AJ322" s="3258"/>
      <c r="AK322" s="3258"/>
      <c r="AL322" s="3258"/>
      <c r="AM322" s="3258"/>
      <c r="AN322" s="3258"/>
      <c r="AO322" s="3258"/>
      <c r="AP322" s="3258"/>
      <c r="AQ322" s="3258"/>
      <c r="AR322" s="3258"/>
      <c r="AS322" s="3258"/>
      <c r="AT322" s="3258"/>
      <c r="AU322" s="3258"/>
      <c r="AV322" s="3258"/>
      <c r="AW322" s="3258"/>
      <c r="AX322" s="3258"/>
      <c r="AY322" s="3258"/>
      <c r="AZ322" s="3258"/>
      <c r="BA322" s="3258"/>
      <c r="BB322" s="3258"/>
      <c r="BC322" s="3258"/>
      <c r="BD322" s="3258"/>
      <c r="BE322" s="3258"/>
      <c r="BF322" s="3258"/>
      <c r="BG322" s="3258"/>
      <c r="BH322" s="3258"/>
      <c r="BI322" s="3258"/>
      <c r="BJ322" s="3258"/>
      <c r="BK322" s="3258"/>
      <c r="BL322" s="3258"/>
      <c r="BM322" s="3258"/>
      <c r="BN322" s="3258"/>
      <c r="BO322" s="3258"/>
      <c r="BP322" s="3258"/>
      <c r="BQ322" s="3258"/>
      <c r="BR322" s="3258"/>
      <c r="BS322" s="3258"/>
      <c r="BT322" s="3258"/>
      <c r="BU322" s="3258"/>
      <c r="BV322" s="3258"/>
      <c r="BW322" s="3258"/>
      <c r="BX322" s="3258"/>
      <c r="BY322" s="3258"/>
      <c r="BZ322" s="3258"/>
      <c r="CA322" s="3258"/>
      <c r="CB322" s="3258"/>
      <c r="CC322" s="3258"/>
      <c r="CD322" s="3258"/>
      <c r="CE322" s="3258"/>
      <c r="CF322" s="3258"/>
      <c r="CG322" s="3258"/>
      <c r="CH322" s="3272">
        <f>IS!CH36</f>
        <v>12920</v>
      </c>
      <c r="CI322" s="3149">
        <f>IS!CI36</f>
        <v>3370.6559999999999</v>
      </c>
      <c r="CJ322" s="3149">
        <f>IS!CJ36</f>
        <v>3352.2503999999999</v>
      </c>
      <c r="CK322" s="3149">
        <f>IS!CK36</f>
        <v>2738.6059999999998</v>
      </c>
      <c r="CL322" s="3149">
        <f>IS!CL36</f>
        <v>4674.6130000000003</v>
      </c>
      <c r="CM322" s="3272">
        <f>IS!CM36</f>
        <v>14444</v>
      </c>
      <c r="CN322" s="3149">
        <f>IS!CN36</f>
        <v>3514.2332000000001</v>
      </c>
      <c r="CO322" s="3149">
        <f>IS!CO36</f>
        <v>3931</v>
      </c>
      <c r="CP322" s="3149">
        <f>IS!CP36</f>
        <v>3979</v>
      </c>
      <c r="CQ322" s="3149">
        <f>IS!CQ36</f>
        <v>4923</v>
      </c>
      <c r="CR322" s="3272">
        <f>IS!CR36</f>
        <v>16347.233200000001</v>
      </c>
      <c r="CS322" s="3149">
        <f>IS!CS36</f>
        <v>4207</v>
      </c>
      <c r="CT322" s="3149">
        <f>IS!CT36</f>
        <v>4877</v>
      </c>
      <c r="CU322" s="3149">
        <f>IS!CU36</f>
        <v>5061</v>
      </c>
      <c r="CV322" s="3149">
        <f>IS!CV36</f>
        <v>5333</v>
      </c>
      <c r="CW322" s="3272">
        <f>IS!CW36</f>
        <v>19478</v>
      </c>
      <c r="CX322" s="3149">
        <f>IS!CX36</f>
        <v>5426</v>
      </c>
      <c r="CY322" s="3149">
        <f>IS!CY36</f>
        <v>3524</v>
      </c>
      <c r="CZ322" s="3149">
        <f>IS!CZ36</f>
        <v>6732</v>
      </c>
      <c r="DA322" s="3149">
        <f>IS!DA36</f>
        <v>-3020</v>
      </c>
      <c r="DB322" s="3272">
        <f>IS!DB36</f>
        <v>12662</v>
      </c>
      <c r="DC322" s="3149">
        <f>IS!DC36</f>
        <v>9401</v>
      </c>
      <c r="DD322" s="3149">
        <f>IS!DD36</f>
        <v>3195</v>
      </c>
      <c r="DE322" s="3149">
        <f>IS!DE36</f>
        <v>9192</v>
      </c>
      <c r="DF322" s="3149">
        <f>IS!DF36</f>
        <v>8948</v>
      </c>
      <c r="DG322" s="3272">
        <f>IS!DG36</f>
        <v>30736</v>
      </c>
      <c r="DH322" s="3149">
        <f>IS!DH36</f>
        <v>6657</v>
      </c>
      <c r="DI322" s="3149">
        <f>IS!DI36</f>
        <v>9947</v>
      </c>
      <c r="DJ322" s="3149">
        <f>IS!DJ36</f>
        <v>7068</v>
      </c>
      <c r="DK322" s="3149">
        <f>IS!DK36</f>
        <v>10671</v>
      </c>
      <c r="DL322" s="3272">
        <f>IS!DL36</f>
        <v>34343</v>
      </c>
      <c r="DM322" s="3149">
        <f>IS!DM36</f>
        <v>6836</v>
      </c>
      <c r="DN322" s="3149">
        <f>IS!DN36</f>
        <v>6959</v>
      </c>
      <c r="DO322" s="3149">
        <f>IS!DO36</f>
        <v>11247</v>
      </c>
      <c r="DP322" s="3149">
        <f>IS!DP36</f>
        <v>15227</v>
      </c>
      <c r="DQ322" s="3272">
        <f>IS!DQ36</f>
        <v>40269</v>
      </c>
      <c r="DR322" s="3149"/>
      <c r="DS322" s="3149"/>
      <c r="DT322" s="3149"/>
      <c r="DU322" s="3149"/>
      <c r="DV322" s="3272"/>
      <c r="DW322" s="3149"/>
      <c r="DX322" s="3149"/>
      <c r="DY322" s="3149"/>
      <c r="DZ322" s="3149"/>
      <c r="EA322" s="3272"/>
      <c r="EB322" s="3149"/>
      <c r="EC322" s="3149"/>
      <c r="ED322" s="3149"/>
      <c r="EE322" s="3149"/>
      <c r="EF322" s="3272"/>
      <c r="EG322" s="3149"/>
      <c r="EH322" s="3149"/>
      <c r="EI322" s="3149"/>
      <c r="EJ322" s="3149"/>
      <c r="EK322" s="3272"/>
      <c r="EL322" s="3149"/>
      <c r="EM322" s="3149"/>
      <c r="EN322" s="3149"/>
      <c r="EO322" s="3149"/>
      <c r="EP322" s="3272"/>
      <c r="EQ322" s="3149"/>
      <c r="ER322" s="3149"/>
      <c r="ES322" s="3149"/>
      <c r="ET322" s="3149"/>
      <c r="EU322" s="3272"/>
      <c r="EV322" s="3272"/>
      <c r="EW322" s="3272"/>
      <c r="EX322" s="3272"/>
      <c r="EY322" s="3272"/>
      <c r="FA322" s="1319"/>
      <c r="FB322" s="1319"/>
    </row>
    <row r="323" spans="1:158" s="812" customFormat="1" hidden="1">
      <c r="A323" s="3559" t="s">
        <v>541</v>
      </c>
      <c r="B323" s="3284"/>
      <c r="C323" s="3284"/>
      <c r="D323" s="3284"/>
      <c r="E323" s="3284"/>
      <c r="F323" s="3284"/>
      <c r="G323" s="3284"/>
      <c r="H323" s="3284"/>
      <c r="I323" s="3284"/>
      <c r="J323" s="3284"/>
      <c r="K323" s="3284"/>
      <c r="L323" s="3284"/>
      <c r="M323" s="3284"/>
      <c r="N323" s="3284"/>
      <c r="O323" s="3284"/>
      <c r="P323" s="3284"/>
      <c r="Q323" s="3284"/>
      <c r="R323" s="3284"/>
      <c r="S323" s="3284"/>
      <c r="T323" s="3284"/>
      <c r="U323" s="3284"/>
      <c r="V323" s="3284"/>
      <c r="W323" s="3284"/>
      <c r="X323" s="3284"/>
      <c r="Y323" s="3284"/>
      <c r="Z323" s="3284"/>
      <c r="AA323" s="3284"/>
      <c r="AB323" s="3284"/>
      <c r="AC323" s="3284"/>
      <c r="AD323" s="3284"/>
      <c r="AE323" s="3284"/>
      <c r="AF323" s="3284"/>
      <c r="AG323" s="3284"/>
      <c r="AH323" s="3284"/>
      <c r="AI323" s="3284"/>
      <c r="AJ323" s="3284"/>
      <c r="AK323" s="3284"/>
      <c r="AL323" s="3284"/>
      <c r="AM323" s="3284"/>
      <c r="AN323" s="3284"/>
      <c r="AO323" s="3284"/>
      <c r="AP323" s="3284"/>
      <c r="AQ323" s="3284"/>
      <c r="AR323" s="3284"/>
      <c r="AS323" s="3284"/>
      <c r="AT323" s="3284"/>
      <c r="AU323" s="3284"/>
      <c r="AV323" s="3284"/>
      <c r="AW323" s="3284"/>
      <c r="AX323" s="3284"/>
      <c r="AY323" s="3284"/>
      <c r="AZ323" s="3284"/>
      <c r="BA323" s="3284"/>
      <c r="BB323" s="3284"/>
      <c r="BC323" s="3284"/>
      <c r="BD323" s="3284"/>
      <c r="BE323" s="3284"/>
      <c r="BF323" s="3284"/>
      <c r="BG323" s="3284"/>
      <c r="BH323" s="3284"/>
      <c r="BI323" s="3284"/>
      <c r="BJ323" s="3284"/>
      <c r="BK323" s="3284"/>
      <c r="BL323" s="3284"/>
      <c r="BM323" s="3284"/>
      <c r="BN323" s="3284"/>
      <c r="BO323" s="3284"/>
      <c r="BP323" s="3284"/>
      <c r="BQ323" s="3284"/>
      <c r="BR323" s="3284"/>
      <c r="BS323" s="3284"/>
      <c r="BT323" s="3284"/>
      <c r="BU323" s="3284"/>
      <c r="BV323" s="3284"/>
      <c r="BW323" s="3284"/>
      <c r="BX323" s="3284"/>
      <c r="BY323" s="3284"/>
      <c r="BZ323" s="3284"/>
      <c r="CA323" s="3284"/>
      <c r="CB323" s="3284"/>
      <c r="CC323" s="3284"/>
      <c r="CD323" s="3284"/>
      <c r="CE323" s="3284"/>
      <c r="CF323" s="3284"/>
      <c r="CG323" s="3284"/>
      <c r="CH323" s="3285">
        <f>IS!CH37</f>
        <v>0.95333949216225067</v>
      </c>
      <c r="CI323" s="3286">
        <f>IS!CI37</f>
        <v>0.24595716362235337</v>
      </c>
      <c r="CJ323" s="3286">
        <f>IS!CJ37</f>
        <v>0.24420389793738881</v>
      </c>
      <c r="CK323" s="3286">
        <f>IS!CK37</f>
        <v>0.19896442245519202</v>
      </c>
      <c r="CL323" s="3286">
        <f>IS!CL37</f>
        <v>0.33948250594415907</v>
      </c>
      <c r="CM323" s="3285">
        <f>IS!CM37</f>
        <v>1.0511301614100454</v>
      </c>
      <c r="CN323" s="3286">
        <f>IS!CN37</f>
        <v>0.25483998503258892</v>
      </c>
      <c r="CO323" s="3286">
        <f>IS!CO37</f>
        <v>0.28449306534583529</v>
      </c>
      <c r="CP323" s="3286">
        <f>IS!CP37</f>
        <v>0.28653976054234437</v>
      </c>
      <c r="CQ323" s="3286">
        <f>IS!CQ37</f>
        <v>0.35314371794411964</v>
      </c>
      <c r="CR323" s="3285">
        <f>IS!CR37</f>
        <v>1.1795732036425035</v>
      </c>
      <c r="CS323" s="3286">
        <f>IS!CS37</f>
        <v>0.30079606927389957</v>
      </c>
      <c r="CT323" s="3286">
        <f>IS!CT37</f>
        <v>0.34993334261322789</v>
      </c>
      <c r="CU323" s="3286">
        <f>IS!CU37</f>
        <v>0.36230742798236065</v>
      </c>
      <c r="CV323" s="3286">
        <f>IS!CV37</f>
        <v>0.37823772780307929</v>
      </c>
      <c r="CW323" s="3285">
        <f>IS!CW37</f>
        <v>1.3912861775911471</v>
      </c>
      <c r="CX323" s="3286">
        <f>IS!CX37</f>
        <v>0.38644741865089544</v>
      </c>
      <c r="CY323" s="3286">
        <f>IS!CY37</f>
        <v>0.25046090777153757</v>
      </c>
      <c r="CZ323" s="3286">
        <f>IS!CZ37</f>
        <v>0.47831795781252667</v>
      </c>
      <c r="DA323" s="3286">
        <f>IS!DA37</f>
        <v>-0.21739005246154644</v>
      </c>
      <c r="DB323" s="3285">
        <f>IS!DB37</f>
        <v>0.8998214854232045</v>
      </c>
      <c r="DC323" s="3286">
        <f>IS!DC37</f>
        <v>0.66661088530690615</v>
      </c>
      <c r="DD323" s="3286">
        <f>IS!DD37</f>
        <v>0.22716058511447615</v>
      </c>
      <c r="DE323" s="3286">
        <f>IS!DE37</f>
        <v>0.65297168893201618</v>
      </c>
      <c r="DF323" s="3286">
        <f>IS!DF37</f>
        <v>0.63832306794559557</v>
      </c>
      <c r="DG323" s="3285">
        <f>IS!DG37</f>
        <v>2.1851746394330318</v>
      </c>
      <c r="DH323" s="3286">
        <f>IS!DH37</f>
        <v>0.4749036566939514</v>
      </c>
      <c r="DI323" s="3286">
        <f>IS!DI37</f>
        <v>0.71054669306840168</v>
      </c>
      <c r="DJ323" s="3286">
        <f>IS!DJ37</f>
        <v>0.50615941873305459</v>
      </c>
      <c r="DK323" s="3286">
        <f>IS!DK37</f>
        <v>0.76748360889190648</v>
      </c>
      <c r="DL323" s="3285">
        <f>IS!DL37</f>
        <v>2.4581404653739534</v>
      </c>
      <c r="DM323" s="3286">
        <f>IS!DM37</f>
        <v>0.49374013205887324</v>
      </c>
      <c r="DN323" s="3286">
        <f>IS!DN37</f>
        <v>0.50645974521996318</v>
      </c>
      <c r="DO323" s="3286">
        <f>IS!DO37</f>
        <v>0.81993027640114247</v>
      </c>
      <c r="DP323" s="3286">
        <f>IS!DP37</f>
        <v>1.1147650918270082</v>
      </c>
      <c r="DQ323" s="3285">
        <f>IS!DQ37</f>
        <v>2.9306676477041864</v>
      </c>
      <c r="DR323" s="3286"/>
      <c r="DS323" s="3286"/>
      <c r="DT323" s="3286"/>
      <c r="DU323" s="3286"/>
      <c r="DV323" s="3285"/>
      <c r="DW323" s="3286"/>
      <c r="DX323" s="3286"/>
      <c r="DY323" s="3286"/>
      <c r="DZ323" s="3286"/>
      <c r="EA323" s="3285"/>
      <c r="EB323" s="3286"/>
      <c r="EC323" s="3286"/>
      <c r="ED323" s="3286"/>
      <c r="EE323" s="3286"/>
      <c r="EF323" s="3285"/>
      <c r="EG323" s="3286"/>
      <c r="EH323" s="3286"/>
      <c r="EI323" s="3286"/>
      <c r="EJ323" s="3286"/>
      <c r="EK323" s="3285"/>
      <c r="EL323" s="3286"/>
      <c r="EM323" s="3286"/>
      <c r="EN323" s="3286"/>
      <c r="EO323" s="3286"/>
      <c r="EP323" s="3285"/>
      <c r="EQ323" s="3286"/>
      <c r="ER323" s="3286"/>
      <c r="ES323" s="3286"/>
      <c r="ET323" s="3286"/>
      <c r="EU323" s="3285"/>
      <c r="EV323" s="3285"/>
      <c r="EW323" s="3285"/>
      <c r="EX323" s="3285"/>
      <c r="EY323" s="3285"/>
      <c r="FA323" s="4280"/>
      <c r="FB323" s="4280"/>
    </row>
    <row r="324" spans="1:158" s="768" customFormat="1" hidden="1">
      <c r="A324" s="3562" t="s">
        <v>482</v>
      </c>
      <c r="B324" s="404"/>
      <c r="C324" s="404"/>
      <c r="D324" s="404"/>
      <c r="E324" s="404"/>
      <c r="F324" s="404"/>
      <c r="G324" s="404"/>
      <c r="H324" s="404"/>
      <c r="I324" s="404"/>
      <c r="J324" s="404"/>
      <c r="K324" s="404"/>
      <c r="L324" s="404"/>
      <c r="M324" s="404"/>
      <c r="N324" s="404"/>
      <c r="O324" s="404"/>
      <c r="P324" s="404"/>
      <c r="Q324" s="404"/>
      <c r="R324" s="404"/>
      <c r="S324" s="404"/>
      <c r="T324" s="404"/>
      <c r="U324" s="404"/>
      <c r="V324" s="404"/>
      <c r="W324" s="404"/>
      <c r="X324" s="404"/>
      <c r="Y324" s="404"/>
      <c r="Z324" s="404"/>
      <c r="AA324" s="404"/>
      <c r="AB324" s="404"/>
      <c r="AC324" s="404"/>
      <c r="AD324" s="404"/>
      <c r="AE324" s="404"/>
      <c r="AF324" s="404"/>
      <c r="AG324" s="404"/>
      <c r="AH324" s="404"/>
      <c r="AI324" s="404"/>
      <c r="AJ324" s="404"/>
      <c r="AK324" s="404"/>
      <c r="AL324" s="404"/>
      <c r="AM324" s="404"/>
      <c r="AN324" s="404"/>
      <c r="AO324" s="404"/>
      <c r="AP324" s="404"/>
      <c r="AQ324" s="404"/>
      <c r="AR324" s="404"/>
      <c r="AS324" s="404"/>
      <c r="AT324" s="404"/>
      <c r="AU324" s="404"/>
      <c r="AV324" s="404"/>
      <c r="AW324" s="404"/>
      <c r="AX324" s="404"/>
      <c r="AY324" s="404"/>
      <c r="AZ324" s="404"/>
      <c r="BA324" s="404"/>
      <c r="BB324" s="404"/>
      <c r="BC324" s="404"/>
      <c r="BD324" s="404"/>
      <c r="BE324" s="404"/>
      <c r="BF324" s="404"/>
      <c r="BG324" s="404"/>
      <c r="BH324" s="404"/>
      <c r="BI324" s="404"/>
      <c r="BJ324" s="404"/>
      <c r="BK324" s="404"/>
      <c r="BL324" s="404"/>
      <c r="BM324" s="404"/>
      <c r="BN324" s="404"/>
      <c r="BO324" s="404"/>
      <c r="BP324" s="404"/>
      <c r="BQ324" s="404"/>
      <c r="BR324" s="404"/>
      <c r="BS324" s="404"/>
      <c r="BT324" s="404"/>
      <c r="BU324" s="404"/>
      <c r="BV324" s="404"/>
      <c r="BW324" s="404"/>
      <c r="BX324" s="404"/>
      <c r="BY324" s="404"/>
      <c r="BZ324" s="404"/>
      <c r="CA324" s="404"/>
      <c r="CB324" s="404"/>
      <c r="CC324" s="404"/>
      <c r="CD324" s="404"/>
      <c r="CE324" s="404"/>
      <c r="CF324" s="404"/>
      <c r="CG324" s="404"/>
      <c r="CH324" s="2772">
        <f>+IS!CH52</f>
        <v>13552.36</v>
      </c>
      <c r="CI324" s="2706">
        <f>+IS!CI52</f>
        <v>13704.24</v>
      </c>
      <c r="CJ324" s="2706">
        <f>+IS!CJ52</f>
        <v>13727.26</v>
      </c>
      <c r="CK324" s="2706">
        <f>+IS!CK52</f>
        <v>13764.300000000001</v>
      </c>
      <c r="CL324" s="2706">
        <f>+IS!CL52</f>
        <v>13769.82</v>
      </c>
      <c r="CM324" s="2772">
        <f>+IS!CM52</f>
        <v>13741.400000000001</v>
      </c>
      <c r="CN324" s="2706">
        <f>+IS!CN52</f>
        <v>13789.960000000001</v>
      </c>
      <c r="CO324" s="2706">
        <f>+IS!CO52</f>
        <v>13817.560000000001</v>
      </c>
      <c r="CP324" s="2706">
        <f>+IS!CP52</f>
        <v>13886.38</v>
      </c>
      <c r="CQ324" s="2706">
        <f>+IS!CQ52</f>
        <v>13940.5</v>
      </c>
      <c r="CR324" s="2772">
        <f>+IS!CR52</f>
        <v>13858.6</v>
      </c>
      <c r="CS324" s="2706">
        <f>+IS!CS52</f>
        <v>13986.220000000001</v>
      </c>
      <c r="CT324" s="2706">
        <f>+IS!CT52</f>
        <v>13936.939999999999</v>
      </c>
      <c r="CU324" s="2706">
        <f>+IS!CU52</f>
        <v>13968.800000000001</v>
      </c>
      <c r="CV324" s="2706">
        <f>+IS!CV52</f>
        <v>14004.42</v>
      </c>
      <c r="CW324" s="2772">
        <f>+IS!CW52</f>
        <v>13974.119999999999</v>
      </c>
      <c r="CX324" s="2706">
        <f>+IS!CX52</f>
        <v>14040.72</v>
      </c>
      <c r="CY324" s="2706">
        <f>+IS!CY52</f>
        <v>14070.060000000001</v>
      </c>
      <c r="CZ324" s="2706">
        <f>+IS!CZ52</f>
        <v>14074.32</v>
      </c>
      <c r="DA324" s="2706">
        <f>+IS!DA52</f>
        <v>705.07899999999995</v>
      </c>
      <c r="DB324" s="2772">
        <f>+IS!DB52</f>
        <v>14071.680000000002</v>
      </c>
      <c r="DC324" s="2706">
        <f>+IS!DC52</f>
        <v>14102.68</v>
      </c>
      <c r="DD324" s="2706">
        <f>+IS!DD52</f>
        <v>14064.939999999999</v>
      </c>
      <c r="DE324" s="2706">
        <f>+IS!DE52</f>
        <v>14077.18</v>
      </c>
      <c r="DF324" s="2706">
        <f>+IS!DF52</f>
        <v>14017.98</v>
      </c>
      <c r="DG324" s="2772">
        <f>+IS!DG52</f>
        <v>14065.695</v>
      </c>
      <c r="DH324" s="2706">
        <f>+IS!DH52</f>
        <v>14017.580000000002</v>
      </c>
      <c r="DI324" s="2706">
        <f>+IS!DI52</f>
        <v>13999.079999999998</v>
      </c>
      <c r="DJ324" s="2706">
        <f>+IS!DJ52</f>
        <v>13963.98</v>
      </c>
      <c r="DK324" s="2706">
        <f>+IS!DK52</f>
        <v>13903.88</v>
      </c>
      <c r="DL324" s="2772">
        <f>+IS!DL52</f>
        <v>13971.13</v>
      </c>
      <c r="DM324" s="2706">
        <f>+IS!DM52</f>
        <v>13845.34</v>
      </c>
      <c r="DN324" s="2706">
        <f>+IS!DN52</f>
        <v>13740.48</v>
      </c>
      <c r="DO324" s="2706">
        <f>+IS!DO52</f>
        <v>13717.02</v>
      </c>
      <c r="DP324" s="2706">
        <f>+IS!DP52</f>
        <v>13659.380000000001</v>
      </c>
      <c r="DQ324" s="2772">
        <f>+IS!DQ52</f>
        <v>13740.555</v>
      </c>
      <c r="DR324" s="2706"/>
      <c r="DS324" s="2706"/>
      <c r="DT324" s="2706"/>
      <c r="DU324" s="2706"/>
      <c r="DV324" s="2772"/>
      <c r="DW324" s="2706"/>
      <c r="DX324" s="2706"/>
      <c r="DY324" s="2706"/>
      <c r="DZ324" s="2706"/>
      <c r="EA324" s="2772"/>
      <c r="EB324" s="2706"/>
      <c r="EC324" s="2706"/>
      <c r="ED324" s="2706"/>
      <c r="EE324" s="2706"/>
      <c r="EF324" s="2772"/>
      <c r="EG324" s="2706"/>
      <c r="EH324" s="2706"/>
      <c r="EI324" s="2706"/>
      <c r="EJ324" s="2706"/>
      <c r="EK324" s="2772"/>
      <c r="EL324" s="2706"/>
      <c r="EM324" s="2706"/>
      <c r="EN324" s="2706"/>
      <c r="EO324" s="2706"/>
      <c r="EP324" s="2772"/>
      <c r="EQ324" s="2706"/>
      <c r="ER324" s="2706"/>
      <c r="ES324" s="2706"/>
      <c r="ET324" s="2706"/>
      <c r="EU324" s="2772"/>
      <c r="EV324" s="2772"/>
      <c r="EW324" s="2772"/>
      <c r="EX324" s="2772"/>
      <c r="EY324" s="2772"/>
      <c r="FA324" s="1319"/>
      <c r="FB324" s="1319"/>
    </row>
    <row r="325" spans="1:158" s="627" customFormat="1" hidden="1">
      <c r="A325" s="3558" t="s">
        <v>460</v>
      </c>
      <c r="B325" s="3245"/>
      <c r="C325" s="3245"/>
      <c r="D325" s="3245"/>
      <c r="E325" s="3245"/>
      <c r="F325" s="3245"/>
      <c r="G325" s="3245"/>
      <c r="H325" s="3245"/>
      <c r="I325" s="3245"/>
      <c r="J325" s="3245"/>
      <c r="K325" s="3245"/>
      <c r="L325" s="3245"/>
      <c r="M325" s="3245"/>
      <c r="N325" s="3245"/>
      <c r="O325" s="3245"/>
      <c r="P325" s="3245"/>
      <c r="Q325" s="3245"/>
      <c r="R325" s="3245"/>
      <c r="S325" s="3245"/>
      <c r="T325" s="3245"/>
      <c r="U325" s="3245"/>
      <c r="V325" s="3245"/>
      <c r="W325" s="3245"/>
      <c r="X325" s="3245"/>
      <c r="Y325" s="3245"/>
      <c r="Z325" s="3245"/>
      <c r="AA325" s="3245"/>
      <c r="AB325" s="3245"/>
      <c r="AC325" s="3245"/>
      <c r="AD325" s="3245"/>
      <c r="AE325" s="3245"/>
      <c r="AF325" s="3245"/>
      <c r="AG325" s="3245"/>
      <c r="AH325" s="3245"/>
      <c r="AI325" s="3245"/>
      <c r="AJ325" s="3245"/>
      <c r="AK325" s="3245"/>
      <c r="AL325" s="3245"/>
      <c r="AM325" s="3245"/>
      <c r="AN325" s="3245"/>
      <c r="AO325" s="3245"/>
      <c r="AP325" s="3245"/>
      <c r="AQ325" s="3245"/>
      <c r="AR325" s="3245"/>
      <c r="AS325" s="3245"/>
      <c r="AT325" s="3245"/>
      <c r="AU325" s="3245"/>
      <c r="AV325" s="3245"/>
      <c r="AW325" s="3245"/>
      <c r="AX325" s="3245"/>
      <c r="AY325" s="3245"/>
      <c r="AZ325" s="3245"/>
      <c r="BA325" s="3245"/>
      <c r="BB325" s="3245"/>
      <c r="BC325" s="3245"/>
      <c r="BD325" s="3245"/>
      <c r="BE325" s="3245"/>
      <c r="BF325" s="3245"/>
      <c r="BG325" s="3245"/>
      <c r="BH325" s="3245"/>
      <c r="BI325" s="3245"/>
      <c r="BJ325" s="3245"/>
      <c r="BK325" s="3245"/>
      <c r="BL325" s="3245"/>
      <c r="BM325" s="3245"/>
      <c r="BN325" s="3245"/>
      <c r="BO325" s="3245"/>
      <c r="BP325" s="3245"/>
      <c r="BQ325" s="3245"/>
      <c r="BR325" s="3245"/>
      <c r="BS325" s="3245"/>
      <c r="BT325" s="3245"/>
      <c r="BU325" s="3245"/>
      <c r="BV325" s="3245"/>
      <c r="BW325" s="3245"/>
      <c r="BX325" s="3245"/>
      <c r="BY325" s="3245"/>
      <c r="BZ325" s="3245"/>
      <c r="CA325" s="3245"/>
      <c r="CB325" s="3245"/>
      <c r="CC325" s="3245"/>
      <c r="CD325" s="3245"/>
      <c r="CE325" s="3245"/>
      <c r="CF325" s="3245"/>
      <c r="CG325" s="3245"/>
      <c r="CH325" s="3269">
        <f>+CF!BJ73</f>
        <v>7358</v>
      </c>
      <c r="CI325" s="3247">
        <f>+CF!BK73</f>
        <v>2345</v>
      </c>
      <c r="CJ325" s="3247">
        <f>+CF!BL73</f>
        <v>2646</v>
      </c>
      <c r="CK325" s="3247">
        <f>+CF!BM73</f>
        <v>2417</v>
      </c>
      <c r="CL325" s="3247">
        <f>+CF!BN73</f>
        <v>3551</v>
      </c>
      <c r="CM325" s="3269">
        <f>+CF!BO73</f>
        <v>10959</v>
      </c>
      <c r="CN325" s="3251">
        <f>+CF!BP73</f>
        <v>2927</v>
      </c>
      <c r="CO325" s="3251">
        <f>+CF!BQ73</f>
        <v>2515</v>
      </c>
      <c r="CP325" s="3251">
        <f>+CF!BR73</f>
        <v>2383</v>
      </c>
      <c r="CQ325" s="3251">
        <f>+CF!BS73</f>
        <v>2102</v>
      </c>
      <c r="CR325" s="3269">
        <f>SUM(CN325:CQ325)</f>
        <v>9927</v>
      </c>
      <c r="CS325" s="3251">
        <f>+CF!BU73</f>
        <v>2444</v>
      </c>
      <c r="CT325" s="3251">
        <f>+CF!BV73</f>
        <v>2136</v>
      </c>
      <c r="CU325" s="3251">
        <f>+CF!BW73</f>
        <v>2554</v>
      </c>
      <c r="CV325" s="3251">
        <f>+CF!BX73</f>
        <v>3078</v>
      </c>
      <c r="CW325" s="3269">
        <f>SUM(CS325:CV325)</f>
        <v>10212</v>
      </c>
      <c r="CX325" s="3251">
        <f>+CF!BZ73</f>
        <v>2508</v>
      </c>
      <c r="CY325" s="3251">
        <f>+CF!CA73</f>
        <v>2831</v>
      </c>
      <c r="CZ325" s="3251">
        <f>+CF!CB73</f>
        <v>3538</v>
      </c>
      <c r="DA325" s="3251">
        <f>+CF!CC73</f>
        <v>4307</v>
      </c>
      <c r="DB325" s="3269">
        <f>+CF!CD73</f>
        <v>13184</v>
      </c>
      <c r="DC325" s="3251">
        <f>+CF!CE73</f>
        <v>7299</v>
      </c>
      <c r="DD325" s="3251">
        <f>+CF!CF73</f>
        <v>5477</v>
      </c>
      <c r="DE325" s="3251">
        <f>+CF!CG73</f>
        <v>5282</v>
      </c>
      <c r="DF325" s="3251">
        <f>+CF!CH73</f>
        <v>7081</v>
      </c>
      <c r="DG325" s="3269">
        <f>+CF!CI73</f>
        <v>25139</v>
      </c>
      <c r="DH325" s="3251">
        <f>+CF!CJ73</f>
        <v>4638</v>
      </c>
      <c r="DI325" s="3251">
        <f>+CF!CK73</f>
        <v>6126</v>
      </c>
      <c r="DJ325" s="3251">
        <f>+CF!CL73</f>
        <v>6732</v>
      </c>
      <c r="DK325" s="3251">
        <f>+CF!CM73</f>
        <v>6052</v>
      </c>
      <c r="DL325" s="3269">
        <f>+CF!CN73</f>
        <v>23548</v>
      </c>
      <c r="DM325" s="3251">
        <f>+CF!CO73</f>
        <v>6005</v>
      </c>
      <c r="DN325" s="3251">
        <f>+CF!CP73</f>
        <v>5391</v>
      </c>
      <c r="DO325" s="3251">
        <f>+CF!CQ73</f>
        <v>5406</v>
      </c>
      <c r="DP325" s="3251">
        <f>+CF!CR73</f>
        <v>5479</v>
      </c>
      <c r="DQ325" s="3269">
        <f>+CF!CS73</f>
        <v>22281</v>
      </c>
      <c r="DR325" s="3251"/>
      <c r="DS325" s="3251"/>
      <c r="DT325" s="3251"/>
      <c r="DU325" s="3251"/>
      <c r="DV325" s="3269"/>
      <c r="DW325" s="3251"/>
      <c r="DX325" s="3251"/>
      <c r="DY325" s="3251"/>
      <c r="DZ325" s="3251"/>
      <c r="EA325" s="3269"/>
      <c r="EB325" s="3251"/>
      <c r="EC325" s="3251"/>
      <c r="ED325" s="3251"/>
      <c r="EE325" s="3251"/>
      <c r="EF325" s="3269"/>
      <c r="EG325" s="3251"/>
      <c r="EH325" s="3251"/>
      <c r="EI325" s="3251"/>
      <c r="EJ325" s="3251"/>
      <c r="EK325" s="3269"/>
      <c r="EL325" s="3251"/>
      <c r="EM325" s="3251"/>
      <c r="EN325" s="3251"/>
      <c r="EO325" s="3251"/>
      <c r="EP325" s="3269"/>
      <c r="EQ325" s="3251"/>
      <c r="ER325" s="3251"/>
      <c r="ES325" s="3251"/>
      <c r="ET325" s="3251"/>
      <c r="EU325" s="3269"/>
      <c r="EV325" s="3269"/>
      <c r="EW325" s="3269"/>
      <c r="EX325" s="3269"/>
      <c r="EY325" s="3269"/>
      <c r="EZ325" s="768"/>
      <c r="FA325" s="1319"/>
      <c r="FB325" s="1319"/>
    </row>
    <row r="326" spans="1:158" s="771" customFormat="1" hidden="1">
      <c r="A326" s="3564" t="s">
        <v>461</v>
      </c>
      <c r="B326" s="2817"/>
      <c r="C326" s="2817"/>
      <c r="D326" s="2817"/>
      <c r="E326" s="2817"/>
      <c r="F326" s="2817"/>
      <c r="G326" s="2817"/>
      <c r="H326" s="2817"/>
      <c r="I326" s="2817"/>
      <c r="J326" s="2817"/>
      <c r="K326" s="2817"/>
      <c r="L326" s="2817"/>
      <c r="M326" s="2817"/>
      <c r="N326" s="2817"/>
      <c r="O326" s="2817"/>
      <c r="P326" s="2817"/>
      <c r="Q326" s="2817"/>
      <c r="R326" s="2817"/>
      <c r="S326" s="2817"/>
      <c r="T326" s="2817"/>
      <c r="U326" s="2817"/>
      <c r="V326" s="2817"/>
      <c r="W326" s="2817"/>
      <c r="X326" s="2817"/>
      <c r="Y326" s="2817"/>
      <c r="Z326" s="2817"/>
      <c r="AA326" s="2817"/>
      <c r="AB326" s="2817"/>
      <c r="AC326" s="2817"/>
      <c r="AD326" s="2817"/>
      <c r="AE326" s="2817"/>
      <c r="AF326" s="2817"/>
      <c r="AG326" s="2817"/>
      <c r="AH326" s="2817"/>
      <c r="AI326" s="2817"/>
      <c r="AJ326" s="2817"/>
      <c r="AK326" s="2817"/>
      <c r="AL326" s="2817"/>
      <c r="AM326" s="2817"/>
      <c r="AN326" s="2817"/>
      <c r="AO326" s="2817"/>
      <c r="AP326" s="2817"/>
      <c r="AQ326" s="2817"/>
      <c r="AR326" s="2817"/>
      <c r="AS326" s="2817"/>
      <c r="AT326" s="2817"/>
      <c r="AU326" s="2817"/>
      <c r="AV326" s="2817"/>
      <c r="AW326" s="2817"/>
      <c r="AX326" s="2817"/>
      <c r="AY326" s="2817"/>
      <c r="AZ326" s="2817"/>
      <c r="BA326" s="2817"/>
      <c r="BB326" s="2817"/>
      <c r="BC326" s="2817"/>
      <c r="BD326" s="2817"/>
      <c r="BE326" s="2817"/>
      <c r="BF326" s="2817"/>
      <c r="BG326" s="2817"/>
      <c r="BH326" s="2817"/>
      <c r="BI326" s="2817"/>
      <c r="BJ326" s="2817"/>
      <c r="BK326" s="2817"/>
      <c r="BL326" s="2817"/>
      <c r="BM326" s="2817"/>
      <c r="BN326" s="2817"/>
      <c r="BO326" s="2817"/>
      <c r="BP326" s="2817"/>
      <c r="BQ326" s="2817"/>
      <c r="BR326" s="2817"/>
      <c r="BS326" s="2817"/>
      <c r="BT326" s="2817"/>
      <c r="BU326" s="2817"/>
      <c r="BV326" s="2817"/>
      <c r="BW326" s="2817"/>
      <c r="BX326" s="2817"/>
      <c r="BY326" s="2817"/>
      <c r="BZ326" s="2817"/>
      <c r="CA326" s="2817"/>
      <c r="CB326" s="2817"/>
      <c r="CC326" s="2817"/>
      <c r="CD326" s="2817"/>
      <c r="CE326" s="2817"/>
      <c r="CF326" s="2817"/>
      <c r="CG326" s="2817"/>
      <c r="CH326" s="2818">
        <f>+IS!CH55</f>
        <v>3939</v>
      </c>
      <c r="CI326" s="2819" t="str">
        <f>+IFERROR(CI208+CI264+CI306,"N/A")</f>
        <v>N/A</v>
      </c>
      <c r="CJ326" s="2819" t="str">
        <f>+IFERROR(CJ208+CJ264+CJ306,"N/A")</f>
        <v>N/A</v>
      </c>
      <c r="CK326" s="2819" t="str">
        <f>+IFERROR(CK208+CK264+CK306,"N/A")</f>
        <v>N/A</v>
      </c>
      <c r="CL326" s="2819">
        <f>+IS!CL55</f>
        <v>1267</v>
      </c>
      <c r="CM326" s="2818">
        <f>+IS!CM55</f>
        <v>4979</v>
      </c>
      <c r="CN326" s="2820">
        <f>+IS!CN55</f>
        <v>1177</v>
      </c>
      <c r="CO326" s="2820">
        <f>+IS!CO55</f>
        <v>1234</v>
      </c>
      <c r="CP326" s="2820">
        <f>+IS!CP55</f>
        <v>1248</v>
      </c>
      <c r="CQ326" s="2820">
        <f>+IS!CQ55</f>
        <v>1404</v>
      </c>
      <c r="CR326" s="2818">
        <f>SUM(CN326:CQ326)</f>
        <v>5063</v>
      </c>
      <c r="CS326" s="2820">
        <f>+IS!CS55</f>
        <v>1371</v>
      </c>
      <c r="CT326" s="2820">
        <f>+IS!CT55</f>
        <v>1490</v>
      </c>
      <c r="CU326" s="2820">
        <f>+IS!CU55</f>
        <v>1596</v>
      </c>
      <c r="CV326" s="2820">
        <f>+IS!CV55</f>
        <v>1687</v>
      </c>
      <c r="CW326" s="2818">
        <f>SUM(CS326:CV326)</f>
        <v>6144</v>
      </c>
      <c r="CX326" s="2820">
        <f>+IS!CX55</f>
        <v>1503</v>
      </c>
      <c r="CY326" s="2820">
        <f>+IS!CY55</f>
        <v>1625</v>
      </c>
      <c r="CZ326" s="2820">
        <f>+IS!CZ55</f>
        <v>1761</v>
      </c>
      <c r="DA326" s="2820">
        <f>+IS!DA55</f>
        <v>2026</v>
      </c>
      <c r="DB326" s="2818">
        <f>+IS!DB55</f>
        <v>6915</v>
      </c>
      <c r="DC326" s="2820">
        <f>+IS!DC55</f>
        <v>1986</v>
      </c>
      <c r="DD326" s="2820">
        <f>+IS!DD55</f>
        <v>2114</v>
      </c>
      <c r="DE326" s="2820">
        <f>+IS!DE55</f>
        <v>2355</v>
      </c>
      <c r="DF326" s="2820">
        <f>+IS!DF55</f>
        <v>2580</v>
      </c>
      <c r="DG326" s="2818">
        <f>+IS!DG55</f>
        <v>9035</v>
      </c>
      <c r="DH326" s="2820">
        <f>+IS!DH55</f>
        <v>2613</v>
      </c>
      <c r="DI326" s="2820">
        <f>+IS!DI55</f>
        <v>2835</v>
      </c>
      <c r="DJ326" s="2820">
        <f>+IS!DJ55</f>
        <v>2920</v>
      </c>
      <c r="DK326" s="2820">
        <f>+IS!DK55</f>
        <v>3413</v>
      </c>
      <c r="DL326" s="2818">
        <f>+IS!DL55</f>
        <v>11781</v>
      </c>
      <c r="DM326" s="2820">
        <f>+IS!DM55</f>
        <v>3108</v>
      </c>
      <c r="DN326" s="2820">
        <f>+IS!DN55</f>
        <v>3386</v>
      </c>
      <c r="DO326" s="2820">
        <f>+IS!DO55</f>
        <v>3478</v>
      </c>
      <c r="DP326" s="2820">
        <f>+IS!DP55</f>
        <v>3725</v>
      </c>
      <c r="DQ326" s="2818">
        <f>+IS!DQ55</f>
        <v>13697</v>
      </c>
      <c r="DR326" s="2820"/>
      <c r="DS326" s="2820"/>
      <c r="DT326" s="2820"/>
      <c r="DU326" s="2820"/>
      <c r="DV326" s="2818"/>
      <c r="DW326" s="2820"/>
      <c r="DX326" s="2820"/>
      <c r="DY326" s="2820"/>
      <c r="DZ326" s="2820"/>
      <c r="EA326" s="2818"/>
      <c r="EB326" s="2820"/>
      <c r="EC326" s="2820"/>
      <c r="ED326" s="2820"/>
      <c r="EE326" s="2820"/>
      <c r="EF326" s="2818"/>
      <c r="EG326" s="2820"/>
      <c r="EH326" s="2820"/>
      <c r="EI326" s="2820"/>
      <c r="EJ326" s="2820"/>
      <c r="EK326" s="2818"/>
      <c r="EL326" s="2820"/>
      <c r="EM326" s="2820"/>
      <c r="EN326" s="2820"/>
      <c r="EO326" s="2820"/>
      <c r="EP326" s="2818"/>
      <c r="EQ326" s="2820"/>
      <c r="ER326" s="2820"/>
      <c r="ES326" s="2820"/>
      <c r="ET326" s="2820"/>
      <c r="EU326" s="2818"/>
      <c r="EV326" s="2818"/>
      <c r="EW326" s="2818"/>
      <c r="EX326" s="2818"/>
      <c r="EY326" s="2818"/>
      <c r="EZ326" s="4264"/>
      <c r="FA326" s="4281"/>
      <c r="FB326" s="4281"/>
    </row>
    <row r="327" spans="1:158" s="2586" customFormat="1" hidden="1">
      <c r="A327" s="3569"/>
      <c r="B327" s="2821"/>
      <c r="C327" s="2821"/>
      <c r="D327" s="2821"/>
      <c r="E327" s="2821"/>
      <c r="F327" s="2821"/>
      <c r="G327" s="2821"/>
      <c r="H327" s="2821"/>
      <c r="I327" s="2821"/>
      <c r="J327" s="2821"/>
      <c r="K327" s="2821"/>
      <c r="L327" s="2821"/>
      <c r="M327" s="2821"/>
      <c r="N327" s="2821"/>
      <c r="O327" s="2821"/>
      <c r="P327" s="2821"/>
      <c r="Q327" s="2821"/>
      <c r="R327" s="2821"/>
      <c r="S327" s="2821"/>
      <c r="T327" s="2821"/>
      <c r="U327" s="2821"/>
      <c r="V327" s="2821"/>
      <c r="W327" s="2821"/>
      <c r="X327" s="2821"/>
      <c r="Y327" s="2821"/>
      <c r="Z327" s="2821"/>
      <c r="AA327" s="2821"/>
      <c r="AB327" s="2821"/>
      <c r="AC327" s="2821"/>
      <c r="AD327" s="2821"/>
      <c r="AE327" s="2821"/>
      <c r="AF327" s="2821"/>
      <c r="AG327" s="2821"/>
      <c r="AH327" s="2821"/>
      <c r="AI327" s="2821"/>
      <c r="AJ327" s="2821"/>
      <c r="AK327" s="2821"/>
      <c r="AL327" s="2821"/>
      <c r="AM327" s="2821"/>
      <c r="AN327" s="2821"/>
      <c r="AO327" s="2821"/>
      <c r="AP327" s="2821"/>
      <c r="AQ327" s="2821"/>
      <c r="AR327" s="2821"/>
      <c r="AS327" s="2821"/>
      <c r="AT327" s="2821"/>
      <c r="AU327" s="2821"/>
      <c r="AV327" s="2821"/>
      <c r="AW327" s="2821"/>
      <c r="AX327" s="2821"/>
      <c r="AY327" s="2821"/>
      <c r="AZ327" s="2821"/>
      <c r="BA327" s="2821"/>
      <c r="BB327" s="2821"/>
      <c r="BC327" s="2821"/>
      <c r="BD327" s="2821"/>
      <c r="BE327" s="2821"/>
      <c r="BF327" s="2821"/>
      <c r="BG327" s="2821"/>
      <c r="BH327" s="2821"/>
      <c r="BI327" s="2821"/>
      <c r="BJ327" s="2821"/>
      <c r="BK327" s="2821"/>
      <c r="BL327" s="2821"/>
      <c r="BM327" s="2821"/>
      <c r="BN327" s="2821"/>
      <c r="BO327" s="2821"/>
      <c r="BP327" s="2821"/>
      <c r="BQ327" s="2821"/>
      <c r="BR327" s="2821"/>
      <c r="BS327" s="2821"/>
      <c r="BT327" s="2821"/>
      <c r="BU327" s="2821"/>
      <c r="BV327" s="2821"/>
      <c r="BW327" s="2821"/>
      <c r="BX327" s="2821"/>
      <c r="BY327" s="2821"/>
      <c r="BZ327" s="2821"/>
      <c r="CA327" s="2821"/>
      <c r="CB327" s="2821"/>
      <c r="CC327" s="2821"/>
      <c r="CD327" s="2821"/>
      <c r="CE327" s="2821"/>
      <c r="CF327" s="2821"/>
      <c r="CG327" s="2821"/>
      <c r="CH327" s="2822"/>
      <c r="CI327" s="2823"/>
      <c r="CJ327" s="2823"/>
      <c r="CK327" s="2823"/>
      <c r="CL327" s="2823"/>
      <c r="CM327" s="2822"/>
      <c r="CN327" s="2823"/>
      <c r="CO327" s="2823"/>
      <c r="CP327" s="2823"/>
      <c r="CQ327" s="2823"/>
      <c r="CR327" s="2822"/>
      <c r="CS327" s="2823"/>
      <c r="CT327" s="2823"/>
      <c r="CU327" s="2823"/>
      <c r="CV327" s="2823"/>
      <c r="CW327" s="2822"/>
      <c r="CX327" s="2823"/>
      <c r="CY327" s="2823"/>
      <c r="CZ327" s="2823"/>
      <c r="DA327" s="2823"/>
      <c r="DB327" s="2822"/>
      <c r="DC327" s="2823"/>
      <c r="DD327" s="2823"/>
      <c r="DE327" s="2823"/>
      <c r="DF327" s="2823"/>
      <c r="DG327" s="2822"/>
      <c r="DH327" s="2823"/>
      <c r="DI327" s="2823"/>
      <c r="DJ327" s="2823"/>
      <c r="DK327" s="2823"/>
      <c r="DL327" s="2822"/>
      <c r="DM327" s="2823"/>
      <c r="DN327" s="2823"/>
      <c r="DO327" s="2823"/>
      <c r="DP327" s="2823"/>
      <c r="DQ327" s="2822"/>
      <c r="DR327" s="2823"/>
      <c r="DS327" s="2823"/>
      <c r="DT327" s="2823"/>
      <c r="DU327" s="2823"/>
      <c r="DV327" s="2822"/>
      <c r="DW327" s="2823"/>
      <c r="DX327" s="2823"/>
      <c r="DY327" s="2823"/>
      <c r="DZ327" s="2823"/>
      <c r="EA327" s="2822"/>
      <c r="EB327" s="2823"/>
      <c r="EC327" s="2823"/>
      <c r="ED327" s="2823"/>
      <c r="EE327" s="2823"/>
      <c r="EF327" s="2822"/>
      <c r="EG327" s="2823"/>
      <c r="EH327" s="2823"/>
      <c r="EI327" s="2823"/>
      <c r="EJ327" s="2823"/>
      <c r="EK327" s="2822"/>
      <c r="EL327" s="2823"/>
      <c r="EM327" s="2823"/>
      <c r="EN327" s="2823"/>
      <c r="EO327" s="2823"/>
      <c r="EP327" s="2822"/>
      <c r="EQ327" s="2823"/>
      <c r="ER327" s="2823"/>
      <c r="ES327" s="2823"/>
      <c r="ET327" s="2823"/>
      <c r="EU327" s="2822"/>
      <c r="EV327" s="2822"/>
      <c r="EW327" s="2822"/>
      <c r="EX327" s="2822"/>
      <c r="EY327" s="2822"/>
      <c r="FA327" s="4276"/>
      <c r="FB327" s="4276"/>
    </row>
    <row r="328" spans="1:158" s="535" customFormat="1" hidden="1">
      <c r="A328" s="3557" t="s">
        <v>473</v>
      </c>
      <c r="B328" s="2718"/>
      <c r="C328" s="2718"/>
      <c r="D328" s="2718"/>
      <c r="E328" s="2718"/>
      <c r="F328" s="2718"/>
      <c r="G328" s="2718"/>
      <c r="H328" s="2718"/>
      <c r="I328" s="2718"/>
      <c r="J328" s="2718"/>
      <c r="K328" s="2718"/>
      <c r="L328" s="2718"/>
      <c r="M328" s="2718"/>
      <c r="N328" s="2718"/>
      <c r="O328" s="2718"/>
      <c r="P328" s="2718"/>
      <c r="Q328" s="2718"/>
      <c r="R328" s="2718"/>
      <c r="S328" s="2718"/>
      <c r="T328" s="2718"/>
      <c r="U328" s="2718"/>
      <c r="V328" s="2718"/>
      <c r="W328" s="2718"/>
      <c r="X328" s="2718"/>
      <c r="Y328" s="2718"/>
      <c r="Z328" s="2718"/>
      <c r="AA328" s="2718"/>
      <c r="AB328" s="2718"/>
      <c r="AC328" s="2718"/>
      <c r="AD328" s="2718"/>
      <c r="AE328" s="2718"/>
      <c r="AF328" s="2718"/>
      <c r="AG328" s="2718"/>
      <c r="AH328" s="2718"/>
      <c r="AI328" s="2718"/>
      <c r="AJ328" s="2718"/>
      <c r="AK328" s="2718"/>
      <c r="AL328" s="2718"/>
      <c r="AM328" s="2718"/>
      <c r="AN328" s="2718"/>
      <c r="AO328" s="2718"/>
      <c r="AP328" s="2718"/>
      <c r="AQ328" s="2718"/>
      <c r="AR328" s="2718"/>
      <c r="AS328" s="2718"/>
      <c r="AT328" s="2718"/>
      <c r="AU328" s="2718"/>
      <c r="AV328" s="2718"/>
      <c r="AW328" s="2718"/>
      <c r="AX328" s="2718"/>
      <c r="AY328" s="2718"/>
      <c r="AZ328" s="2718"/>
      <c r="BA328" s="2718"/>
      <c r="BB328" s="2718"/>
      <c r="BC328" s="2718"/>
      <c r="BD328" s="2718"/>
      <c r="BE328" s="2718"/>
      <c r="BF328" s="2718"/>
      <c r="BG328" s="2718"/>
      <c r="BH328" s="2718"/>
      <c r="BI328" s="2718"/>
      <c r="BJ328" s="2718"/>
      <c r="BK328" s="2718"/>
      <c r="BL328" s="2718"/>
      <c r="BM328" s="2718"/>
      <c r="BN328" s="2718"/>
      <c r="BO328" s="2718"/>
      <c r="BP328" s="2718"/>
      <c r="BQ328" s="2718"/>
      <c r="BR328" s="2718"/>
      <c r="BS328" s="2718"/>
      <c r="BT328" s="2718"/>
      <c r="BU328" s="2718"/>
      <c r="BV328" s="2718"/>
      <c r="BW328" s="2718"/>
      <c r="BX328" s="2718"/>
      <c r="BY328" s="2718"/>
      <c r="BZ328" s="2718"/>
      <c r="CA328" s="2718"/>
      <c r="CB328" s="2718"/>
      <c r="CC328" s="2718"/>
      <c r="CD328" s="2718"/>
      <c r="CE328" s="2718"/>
      <c r="CF328" s="2718"/>
      <c r="CG328" s="2718"/>
      <c r="CH328" s="2824"/>
      <c r="CI328" s="2825"/>
      <c r="CJ328" s="2825"/>
      <c r="CK328" s="2825"/>
      <c r="CL328" s="2825"/>
      <c r="CM328" s="2824"/>
      <c r="CN328" s="2825"/>
      <c r="CO328" s="2825"/>
      <c r="CP328" s="2825"/>
      <c r="CQ328" s="2825"/>
      <c r="CR328" s="2824"/>
      <c r="CS328" s="2825"/>
      <c r="CT328" s="2825"/>
      <c r="CU328" s="2825"/>
      <c r="CV328" s="2825"/>
      <c r="CW328" s="2824"/>
      <c r="CX328" s="2825"/>
      <c r="CY328" s="2825"/>
      <c r="CZ328" s="2825"/>
      <c r="DA328" s="2825"/>
      <c r="DB328" s="2824"/>
      <c r="DC328" s="2825"/>
      <c r="DD328" s="2825"/>
      <c r="DE328" s="2825"/>
      <c r="DF328" s="2825"/>
      <c r="DG328" s="2824"/>
      <c r="DH328" s="2825"/>
      <c r="DI328" s="2825"/>
      <c r="DJ328" s="2825"/>
      <c r="DK328" s="2825"/>
      <c r="DL328" s="2824"/>
      <c r="DM328" s="2825"/>
      <c r="DN328" s="2825"/>
      <c r="DO328" s="2825"/>
      <c r="DP328" s="2825"/>
      <c r="DQ328" s="2824"/>
      <c r="DR328" s="2825"/>
      <c r="DS328" s="2825"/>
      <c r="DT328" s="2825"/>
      <c r="DU328" s="2825"/>
      <c r="DV328" s="2824"/>
      <c r="DW328" s="2825"/>
      <c r="DX328" s="2825"/>
      <c r="DY328" s="2825"/>
      <c r="DZ328" s="2825"/>
      <c r="EA328" s="2824"/>
      <c r="EB328" s="2825"/>
      <c r="EC328" s="2825"/>
      <c r="ED328" s="2825"/>
      <c r="EE328" s="2825"/>
      <c r="EF328" s="2824"/>
      <c r="EG328" s="2825"/>
      <c r="EH328" s="2825"/>
      <c r="EI328" s="2825"/>
      <c r="EJ328" s="2825"/>
      <c r="EK328" s="2824"/>
      <c r="EL328" s="2825"/>
      <c r="EM328" s="2825"/>
      <c r="EN328" s="2825"/>
      <c r="EO328" s="2825"/>
      <c r="EP328" s="2824"/>
      <c r="EQ328" s="2825"/>
      <c r="ER328" s="2825"/>
      <c r="ES328" s="2825"/>
      <c r="ET328" s="2825"/>
      <c r="EU328" s="2824"/>
      <c r="EV328" s="2824"/>
      <c r="EW328" s="2824"/>
      <c r="EX328" s="2824"/>
      <c r="EY328" s="2824"/>
      <c r="EZ328" s="2586"/>
      <c r="FA328" s="4276"/>
      <c r="FB328" s="4276"/>
    </row>
    <row r="329" spans="1:158" s="766" customFormat="1" hidden="1">
      <c r="A329" s="3553" t="s">
        <v>884</v>
      </c>
      <c r="B329" s="157"/>
      <c r="C329" s="157"/>
      <c r="D329" s="157"/>
      <c r="E329" s="157"/>
      <c r="F329" s="157"/>
      <c r="G329" s="157"/>
      <c r="H329" s="157"/>
      <c r="I329" s="157"/>
      <c r="J329" s="157"/>
      <c r="K329" s="157"/>
      <c r="L329" s="157"/>
      <c r="M329" s="157"/>
      <c r="N329" s="157"/>
      <c r="O329" s="157"/>
      <c r="P329" s="157"/>
      <c r="Q329" s="157"/>
      <c r="R329" s="157"/>
      <c r="S329" s="157"/>
      <c r="T329" s="157"/>
      <c r="U329" s="157"/>
      <c r="V329" s="157"/>
      <c r="W329" s="157"/>
      <c r="X329" s="157"/>
      <c r="Y329" s="157"/>
      <c r="Z329" s="157"/>
      <c r="AA329" s="157"/>
      <c r="AB329" s="157"/>
      <c r="AC329" s="157"/>
      <c r="AD329" s="157"/>
      <c r="AE329" s="157"/>
      <c r="AF329" s="157"/>
      <c r="AG329" s="157"/>
      <c r="AH329" s="157"/>
      <c r="AI329" s="157"/>
      <c r="AJ329" s="157"/>
      <c r="AK329" s="157"/>
      <c r="AL329" s="157"/>
      <c r="AM329" s="157"/>
      <c r="AN329" s="157"/>
      <c r="AO329" s="157"/>
      <c r="AP329" s="157"/>
      <c r="AQ329" s="157"/>
      <c r="AR329" s="157"/>
      <c r="AS329" s="157"/>
      <c r="AT329" s="157"/>
      <c r="AU329" s="157"/>
      <c r="AV329" s="157"/>
      <c r="AW329" s="157"/>
      <c r="AX329" s="157"/>
      <c r="AY329" s="157"/>
      <c r="AZ329" s="157"/>
      <c r="BA329" s="157"/>
      <c r="BB329" s="157"/>
      <c r="BC329" s="157"/>
      <c r="BD329" s="157"/>
      <c r="BE329" s="157"/>
      <c r="BF329" s="157"/>
      <c r="BG329" s="157"/>
      <c r="BH329" s="157"/>
      <c r="BI329" s="157"/>
      <c r="BJ329" s="157"/>
      <c r="BK329" s="157"/>
      <c r="BL329" s="157"/>
      <c r="BM329" s="157"/>
      <c r="BN329" s="157"/>
      <c r="BO329" s="157"/>
      <c r="BP329" s="157"/>
      <c r="BQ329" s="157"/>
      <c r="BR329" s="157"/>
      <c r="BS329" s="157"/>
      <c r="BT329" s="157"/>
      <c r="BU329" s="157"/>
      <c r="BV329" s="157"/>
      <c r="BW329" s="157"/>
      <c r="BX329" s="157"/>
      <c r="BY329" s="157"/>
      <c r="BZ329" s="157"/>
      <c r="CA329" s="157"/>
      <c r="CB329" s="157"/>
      <c r="CC329" s="157"/>
      <c r="CD329" s="157"/>
      <c r="CE329" s="157"/>
      <c r="CF329" s="157"/>
      <c r="CG329" s="157"/>
      <c r="CH329" s="2796">
        <f>+CH314/CH$313</f>
        <v>0.66624038617410253</v>
      </c>
      <c r="CI329" s="2797">
        <f t="shared" ref="CI329:CL330" si="611">+IFERROR(CI314/CI$313,"N/A")</f>
        <v>0.67872892347600522</v>
      </c>
      <c r="CJ329" s="2797">
        <f t="shared" si="611"/>
        <v>0.67796928862425576</v>
      </c>
      <c r="CK329" s="2797">
        <f t="shared" si="611"/>
        <v>0.69866247049567265</v>
      </c>
      <c r="CL329" s="2797">
        <f t="shared" si="611"/>
        <v>0.69065900679445391</v>
      </c>
      <c r="CM329" s="2796">
        <f t="shared" ref="CM329:DQ329" si="612">+CM314/CM$313</f>
        <v>0.68680777563976303</v>
      </c>
      <c r="CN329" s="2798">
        <f t="shared" si="612"/>
        <v>0.67261559856298525</v>
      </c>
      <c r="CO329" s="2798">
        <f t="shared" si="612"/>
        <v>0.66395893270152873</v>
      </c>
      <c r="CP329" s="2798">
        <f t="shared" si="612"/>
        <v>0.67121820615796524</v>
      </c>
      <c r="CQ329" s="2798">
        <f t="shared" si="612"/>
        <v>0.68043508837732669</v>
      </c>
      <c r="CR329" s="2796">
        <f t="shared" si="612"/>
        <v>0.67244529197615655</v>
      </c>
      <c r="CS329" s="2798">
        <f t="shared" si="612"/>
        <v>0.66253640716789253</v>
      </c>
      <c r="CT329" s="2798">
        <f t="shared" si="612"/>
        <v>0.6525116279069767</v>
      </c>
      <c r="CU329" s="2798">
        <f t="shared" si="612"/>
        <v>0.66028239276646916</v>
      </c>
      <c r="CV329" s="2798">
        <f t="shared" si="612"/>
        <v>0.67445518723143028</v>
      </c>
      <c r="CW329" s="2796">
        <f t="shared" si="612"/>
        <v>0.66302951081176886</v>
      </c>
      <c r="CX329" s="2798">
        <f t="shared" si="612"/>
        <v>0.6534545454545454</v>
      </c>
      <c r="CY329" s="2798">
        <f t="shared" si="612"/>
        <v>0.76412918108419836</v>
      </c>
      <c r="CZ329" s="2798">
        <f t="shared" si="612"/>
        <v>0.65425608526573531</v>
      </c>
      <c r="DA329" s="2798">
        <f t="shared" si="612"/>
        <v>0.70575132258763107</v>
      </c>
      <c r="DB329" s="2796">
        <f t="shared" si="612"/>
        <v>0.69487167922060344</v>
      </c>
      <c r="DC329" s="2798">
        <f t="shared" si="612"/>
        <v>0.67604186733448923</v>
      </c>
      <c r="DD329" s="2798">
        <f t="shared" si="612"/>
        <v>0.83286891018770859</v>
      </c>
      <c r="DE329" s="2798">
        <f t="shared" si="612"/>
        <v>0.6782750444576171</v>
      </c>
      <c r="DF329" s="2798">
        <f t="shared" si="612"/>
        <v>0.73332314899684281</v>
      </c>
      <c r="DG329" s="2796">
        <f t="shared" si="612"/>
        <v>0.73046872144950625</v>
      </c>
      <c r="DH329" s="2798">
        <f t="shared" si="612"/>
        <v>0.74195767632571064</v>
      </c>
      <c r="DI329" s="2798">
        <f t="shared" si="612"/>
        <v>0.69350862777321287</v>
      </c>
      <c r="DJ329" s="2798">
        <f t="shared" si="612"/>
        <v>0.70861008913800339</v>
      </c>
      <c r="DK329" s="2798">
        <f t="shared" si="612"/>
        <v>0.74148670645686376</v>
      </c>
      <c r="DL329" s="2796">
        <f t="shared" si="612"/>
        <v>0.72182234935776646</v>
      </c>
      <c r="DM329" s="2798">
        <f t="shared" si="612"/>
        <v>0.72866201802764885</v>
      </c>
      <c r="DN329" s="2798">
        <f t="shared" si="612"/>
        <v>0.74501919210382017</v>
      </c>
      <c r="DO329" s="2798">
        <f t="shared" si="612"/>
        <v>0.68795616485825051</v>
      </c>
      <c r="DP329" s="2798">
        <f t="shared" si="612"/>
        <v>0.66828359520545533</v>
      </c>
      <c r="DQ329" s="2796">
        <f t="shared" si="612"/>
        <v>0.70297545020736663</v>
      </c>
      <c r="DR329" s="2798"/>
      <c r="DS329" s="2798"/>
      <c r="DT329" s="2798"/>
      <c r="DU329" s="2798"/>
      <c r="DV329" s="2796"/>
      <c r="DW329" s="2798"/>
      <c r="DX329" s="2798"/>
      <c r="DY329" s="2798"/>
      <c r="DZ329" s="2798"/>
      <c r="EA329" s="2796"/>
      <c r="EB329" s="2798"/>
      <c r="EC329" s="2798"/>
      <c r="ED329" s="2798"/>
      <c r="EE329" s="2798"/>
      <c r="EF329" s="2796"/>
      <c r="EG329" s="2798"/>
      <c r="EH329" s="2798"/>
      <c r="EI329" s="2798"/>
      <c r="EJ329" s="2798"/>
      <c r="EK329" s="2796"/>
      <c r="EL329" s="2798"/>
      <c r="EM329" s="2798"/>
      <c r="EN329" s="2798"/>
      <c r="EO329" s="2798"/>
      <c r="EP329" s="2796"/>
      <c r="EQ329" s="2798"/>
      <c r="ER329" s="2798"/>
      <c r="ES329" s="2798"/>
      <c r="ET329" s="2798"/>
      <c r="EU329" s="2796"/>
      <c r="EV329" s="2796"/>
      <c r="EW329" s="2796"/>
      <c r="EX329" s="2796"/>
      <c r="EY329" s="2796"/>
      <c r="EZ329" s="767"/>
      <c r="FA329" s="4276"/>
      <c r="FB329" s="4276"/>
    </row>
    <row r="330" spans="1:158" s="766" customFormat="1" hidden="1">
      <c r="A330" s="3553" t="s">
        <v>468</v>
      </c>
      <c r="B330" s="157"/>
      <c r="C330" s="157"/>
      <c r="D330" s="157"/>
      <c r="E330" s="157"/>
      <c r="F330" s="157"/>
      <c r="G330" s="157"/>
      <c r="H330" s="157"/>
      <c r="I330" s="157"/>
      <c r="J330" s="157"/>
      <c r="K330" s="157"/>
      <c r="L330" s="157"/>
      <c r="M330" s="157"/>
      <c r="N330" s="157"/>
      <c r="O330" s="157"/>
      <c r="P330" s="157"/>
      <c r="Q330" s="157"/>
      <c r="R330" s="157"/>
      <c r="S330" s="157"/>
      <c r="T330" s="157"/>
      <c r="U330" s="157"/>
      <c r="V330" s="157"/>
      <c r="W330" s="157"/>
      <c r="X330" s="157"/>
      <c r="Y330" s="157"/>
      <c r="Z330" s="157"/>
      <c r="AA330" s="157"/>
      <c r="AB330" s="157"/>
      <c r="AC330" s="157"/>
      <c r="AD330" s="157"/>
      <c r="AE330" s="157"/>
      <c r="AF330" s="157"/>
      <c r="AG330" s="157"/>
      <c r="AH330" s="157"/>
      <c r="AI330" s="157"/>
      <c r="AJ330" s="157"/>
      <c r="AK330" s="157"/>
      <c r="AL330" s="157"/>
      <c r="AM330" s="157"/>
      <c r="AN330" s="157"/>
      <c r="AO330" s="157"/>
      <c r="AP330" s="157"/>
      <c r="AQ330" s="157"/>
      <c r="AR330" s="157"/>
      <c r="AS330" s="157"/>
      <c r="AT330" s="157"/>
      <c r="AU330" s="157"/>
      <c r="AV330" s="157"/>
      <c r="AW330" s="157"/>
      <c r="AX330" s="157"/>
      <c r="AY330" s="157"/>
      <c r="AZ330" s="157"/>
      <c r="BA330" s="157"/>
      <c r="BB330" s="157"/>
      <c r="BC330" s="157"/>
      <c r="BD330" s="157"/>
      <c r="BE330" s="157"/>
      <c r="BF330" s="157"/>
      <c r="BG330" s="157"/>
      <c r="BH330" s="157"/>
      <c r="BI330" s="157"/>
      <c r="BJ330" s="157"/>
      <c r="BK330" s="157"/>
      <c r="BL330" s="157"/>
      <c r="BM330" s="157"/>
      <c r="BN330" s="157"/>
      <c r="BO330" s="157"/>
      <c r="BP330" s="157"/>
      <c r="BQ330" s="157"/>
      <c r="BR330" s="157"/>
      <c r="BS330" s="157"/>
      <c r="BT330" s="157"/>
      <c r="BU330" s="157"/>
      <c r="BV330" s="157"/>
      <c r="BW330" s="157"/>
      <c r="BX330" s="157"/>
      <c r="BY330" s="157"/>
      <c r="BZ330" s="157"/>
      <c r="CA330" s="157"/>
      <c r="CB330" s="157"/>
      <c r="CC330" s="157"/>
      <c r="CD330" s="157"/>
      <c r="CE330" s="157"/>
      <c r="CF330" s="157"/>
      <c r="CG330" s="157"/>
      <c r="CH330" s="2796">
        <f>+CH315/CH$313</f>
        <v>5.6323060573857602E-2</v>
      </c>
      <c r="CI330" s="2797">
        <f t="shared" si="611"/>
        <v>5.4409857328145267E-2</v>
      </c>
      <c r="CJ330" s="2797">
        <f t="shared" si="611"/>
        <v>5.5155123785647131E-2</v>
      </c>
      <c r="CK330" s="2797">
        <f t="shared" si="611"/>
        <v>7.5954729770622773E-2</v>
      </c>
      <c r="CL330" s="2797">
        <f t="shared" si="611"/>
        <v>6.6342595149975148E-2</v>
      </c>
      <c r="CM330" s="2796">
        <f t="shared" ref="CM330:DQ330" si="613">+CM315/CM$313</f>
        <v>6.3256617323979941E-2</v>
      </c>
      <c r="CN330" s="2798">
        <f t="shared" si="613"/>
        <v>6.9706802642252874E-2</v>
      </c>
      <c r="CO330" s="2798">
        <f t="shared" si="613"/>
        <v>6.3857392677836064E-2</v>
      </c>
      <c r="CP330" s="2798">
        <f t="shared" si="613"/>
        <v>7.6680053547523427E-2</v>
      </c>
      <c r="CQ330" s="2798">
        <f t="shared" si="613"/>
        <v>6.7326175629424723E-2</v>
      </c>
      <c r="CR330" s="2796">
        <f t="shared" si="613"/>
        <v>6.9383509581405267E-2</v>
      </c>
      <c r="CS330" s="2798">
        <f t="shared" si="613"/>
        <v>7.3752283161376317E-2</v>
      </c>
      <c r="CT330" s="2798">
        <f t="shared" si="613"/>
        <v>6.9906976744186042E-2</v>
      </c>
      <c r="CU330" s="2798">
        <f t="shared" si="613"/>
        <v>8.2847089216515971E-2</v>
      </c>
      <c r="CV330" s="2798">
        <f t="shared" si="613"/>
        <v>7.0825659914057704E-2</v>
      </c>
      <c r="CW330" s="2796">
        <f t="shared" si="613"/>
        <v>7.4253367600141798E-2</v>
      </c>
      <c r="CX330" s="2798">
        <f t="shared" si="613"/>
        <v>8.1171717171717173E-2</v>
      </c>
      <c r="CY330" s="2798">
        <f t="shared" si="613"/>
        <v>7.7008842752787396E-2</v>
      </c>
      <c r="CZ330" s="2798">
        <f t="shared" si="613"/>
        <v>6.5533630995247005E-2</v>
      </c>
      <c r="DA330" s="2798">
        <f t="shared" si="613"/>
        <v>5.7141973207932434E-2</v>
      </c>
      <c r="DB330" s="2796">
        <f t="shared" si="613"/>
        <v>6.9270668891795589E-2</v>
      </c>
      <c r="DC330" s="2798">
        <f t="shared" si="613"/>
        <v>7.888653438643807E-2</v>
      </c>
      <c r="DD330" s="2798">
        <f t="shared" si="613"/>
        <v>7.388921211378878E-2</v>
      </c>
      <c r="DE330" s="2798">
        <f t="shared" si="613"/>
        <v>6.6093657379964435E-2</v>
      </c>
      <c r="DF330" s="2798">
        <f t="shared" si="613"/>
        <v>5.7363275282615339E-2</v>
      </c>
      <c r="DG330" s="2796">
        <f t="shared" si="613"/>
        <v>6.836038854252699E-2</v>
      </c>
      <c r="DH330" s="2798">
        <f t="shared" si="613"/>
        <v>7.6199124907124577E-2</v>
      </c>
      <c r="DI330" s="2798">
        <f t="shared" si="613"/>
        <v>7.0768282662284313E-2</v>
      </c>
      <c r="DJ330" s="2798">
        <f t="shared" si="613"/>
        <v>6.4791723252425992E-2</v>
      </c>
      <c r="DK330" s="2798">
        <f t="shared" si="613"/>
        <v>5.7406402604449271E-2</v>
      </c>
      <c r="DL330" s="2796">
        <f t="shared" si="613"/>
        <v>6.6688496635919359E-2</v>
      </c>
      <c r="DM330" s="2798">
        <f t="shared" si="613"/>
        <v>7.7528608566777624E-2</v>
      </c>
      <c r="DN330" s="2798">
        <f t="shared" si="613"/>
        <v>8.8309789278533571E-2</v>
      </c>
      <c r="DO330" s="2798">
        <f t="shared" si="613"/>
        <v>6.9196283542329928E-2</v>
      </c>
      <c r="DP330" s="2798">
        <f t="shared" si="613"/>
        <v>5.6645224788217513E-2</v>
      </c>
      <c r="DQ330" s="2796">
        <f t="shared" si="613"/>
        <v>7.1173031935001393E-2</v>
      </c>
      <c r="DR330" s="2798"/>
      <c r="DS330" s="2798"/>
      <c r="DT330" s="2798"/>
      <c r="DU330" s="2798"/>
      <c r="DV330" s="2796"/>
      <c r="DW330" s="2798"/>
      <c r="DX330" s="2798"/>
      <c r="DY330" s="2798"/>
      <c r="DZ330" s="2798"/>
      <c r="EA330" s="2796"/>
      <c r="EB330" s="2798"/>
      <c r="EC330" s="2798"/>
      <c r="ED330" s="2798"/>
      <c r="EE330" s="2798"/>
      <c r="EF330" s="2796"/>
      <c r="EG330" s="2798"/>
      <c r="EH330" s="2798"/>
      <c r="EI330" s="2798"/>
      <c r="EJ330" s="2798"/>
      <c r="EK330" s="2796"/>
      <c r="EL330" s="2798"/>
      <c r="EM330" s="2798"/>
      <c r="EN330" s="2798"/>
      <c r="EO330" s="2798"/>
      <c r="EP330" s="2796"/>
      <c r="EQ330" s="2798"/>
      <c r="ER330" s="2798"/>
      <c r="ES330" s="2798"/>
      <c r="ET330" s="2798"/>
      <c r="EU330" s="2796"/>
      <c r="EV330" s="2796"/>
      <c r="EW330" s="2796"/>
      <c r="EX330" s="2796"/>
      <c r="EY330" s="2796"/>
      <c r="EZ330" s="767"/>
      <c r="FA330" s="4276"/>
      <c r="FB330" s="4276"/>
    </row>
    <row r="331" spans="1:158" s="535" customFormat="1" hidden="1">
      <c r="A331" s="3555" t="s">
        <v>883</v>
      </c>
      <c r="B331" s="3258"/>
      <c r="C331" s="3258"/>
      <c r="D331" s="3258"/>
      <c r="E331" s="3258"/>
      <c r="F331" s="3258"/>
      <c r="G331" s="3258"/>
      <c r="H331" s="3258"/>
      <c r="I331" s="3258"/>
      <c r="J331" s="3258"/>
      <c r="K331" s="3258"/>
      <c r="L331" s="3258"/>
      <c r="M331" s="3258"/>
      <c r="N331" s="3258"/>
      <c r="O331" s="3258"/>
      <c r="P331" s="3258"/>
      <c r="Q331" s="3258"/>
      <c r="R331" s="3258"/>
      <c r="S331" s="3258"/>
      <c r="T331" s="3258"/>
      <c r="U331" s="3258"/>
      <c r="V331" s="3258"/>
      <c r="W331" s="3258"/>
      <c r="X331" s="3258"/>
      <c r="Y331" s="3258"/>
      <c r="Z331" s="3258"/>
      <c r="AA331" s="3258"/>
      <c r="AB331" s="3258"/>
      <c r="AC331" s="3258"/>
      <c r="AD331" s="3258"/>
      <c r="AE331" s="3258"/>
      <c r="AF331" s="3258"/>
      <c r="AG331" s="3258"/>
      <c r="AH331" s="3258"/>
      <c r="AI331" s="3258"/>
      <c r="AJ331" s="3258"/>
      <c r="AK331" s="3258"/>
      <c r="AL331" s="3258"/>
      <c r="AM331" s="3258"/>
      <c r="AN331" s="3258"/>
      <c r="AO331" s="3258"/>
      <c r="AP331" s="3258"/>
      <c r="AQ331" s="3258"/>
      <c r="AR331" s="3258"/>
      <c r="AS331" s="3258"/>
      <c r="AT331" s="3258"/>
      <c r="AU331" s="3258"/>
      <c r="AV331" s="3258"/>
      <c r="AW331" s="3258"/>
      <c r="AX331" s="3258"/>
      <c r="AY331" s="3258"/>
      <c r="AZ331" s="3258"/>
      <c r="BA331" s="3258"/>
      <c r="BB331" s="3258"/>
      <c r="BC331" s="3258"/>
      <c r="BD331" s="3258"/>
      <c r="BE331" s="3258"/>
      <c r="BF331" s="3258"/>
      <c r="BG331" s="3258"/>
      <c r="BH331" s="3258"/>
      <c r="BI331" s="3258"/>
      <c r="BJ331" s="3258"/>
      <c r="BK331" s="3258"/>
      <c r="BL331" s="3258"/>
      <c r="BM331" s="3258"/>
      <c r="BN331" s="3258"/>
      <c r="BO331" s="3258"/>
      <c r="BP331" s="3258"/>
      <c r="BQ331" s="3258"/>
      <c r="BR331" s="3258"/>
      <c r="BS331" s="3258"/>
      <c r="BT331" s="3258"/>
      <c r="BU331" s="3258"/>
      <c r="BV331" s="3258"/>
      <c r="BW331" s="3258"/>
      <c r="BX331" s="3258"/>
      <c r="BY331" s="3258"/>
      <c r="BZ331" s="3258"/>
      <c r="CA331" s="3258"/>
      <c r="CB331" s="3258"/>
      <c r="CC331" s="3258"/>
      <c r="CD331" s="3258"/>
      <c r="CE331" s="3258"/>
      <c r="CF331" s="3258"/>
      <c r="CG331" s="3258"/>
      <c r="CH331" s="3289">
        <f>SUM(CH329:CH330)</f>
        <v>0.72256344674796014</v>
      </c>
      <c r="CI331" s="3290">
        <f t="shared" ref="CI331:DQ331" si="614">SUM(CI329:CI330)</f>
        <v>0.73313878080415051</v>
      </c>
      <c r="CJ331" s="3290">
        <f t="shared" si="614"/>
        <v>0.73312441240990289</v>
      </c>
      <c r="CK331" s="3290">
        <f t="shared" si="614"/>
        <v>0.77461720026629544</v>
      </c>
      <c r="CL331" s="3290">
        <f t="shared" si="614"/>
        <v>0.757001601944429</v>
      </c>
      <c r="CM331" s="3289">
        <f t="shared" si="614"/>
        <v>0.75006439296374294</v>
      </c>
      <c r="CN331" s="3290">
        <f t="shared" si="614"/>
        <v>0.74232240120523807</v>
      </c>
      <c r="CO331" s="3290">
        <f t="shared" si="614"/>
        <v>0.7278163253793648</v>
      </c>
      <c r="CP331" s="3290">
        <f t="shared" si="614"/>
        <v>0.74789825970548862</v>
      </c>
      <c r="CQ331" s="3290">
        <f t="shared" si="614"/>
        <v>0.74776126400675147</v>
      </c>
      <c r="CR331" s="3289">
        <f t="shared" si="614"/>
        <v>0.74182880155756181</v>
      </c>
      <c r="CS331" s="3290">
        <f t="shared" si="614"/>
        <v>0.7362886903292688</v>
      </c>
      <c r="CT331" s="3290">
        <f t="shared" si="614"/>
        <v>0.7224186046511627</v>
      </c>
      <c r="CU331" s="3290">
        <f t="shared" si="614"/>
        <v>0.74312948198298512</v>
      </c>
      <c r="CV331" s="3290">
        <f t="shared" si="614"/>
        <v>0.74528084714548792</v>
      </c>
      <c r="CW331" s="3289">
        <f t="shared" si="614"/>
        <v>0.73728287841191065</v>
      </c>
      <c r="CX331" s="3290">
        <f t="shared" si="614"/>
        <v>0.73462626262626252</v>
      </c>
      <c r="CY331" s="3290">
        <f t="shared" si="614"/>
        <v>0.84113802383698577</v>
      </c>
      <c r="CZ331" s="3290">
        <f t="shared" si="614"/>
        <v>0.71978971626098232</v>
      </c>
      <c r="DA331" s="3290">
        <f t="shared" si="614"/>
        <v>0.76289329579556353</v>
      </c>
      <c r="DB331" s="3289">
        <f t="shared" si="614"/>
        <v>0.76414234811239901</v>
      </c>
      <c r="DC331" s="3290">
        <f t="shared" si="614"/>
        <v>0.75492840172092734</v>
      </c>
      <c r="DD331" s="3290">
        <f t="shared" si="614"/>
        <v>0.90675812230149733</v>
      </c>
      <c r="DE331" s="3290">
        <f t="shared" si="614"/>
        <v>0.74436870183758153</v>
      </c>
      <c r="DF331" s="3290">
        <f t="shared" si="614"/>
        <v>0.79068642427945812</v>
      </c>
      <c r="DG331" s="3289">
        <f t="shared" si="614"/>
        <v>0.79882910999203327</v>
      </c>
      <c r="DH331" s="3290">
        <f t="shared" si="614"/>
        <v>0.81815680123283518</v>
      </c>
      <c r="DI331" s="3290">
        <f t="shared" si="614"/>
        <v>0.76427691043549717</v>
      </c>
      <c r="DJ331" s="3290">
        <f t="shared" si="614"/>
        <v>0.77340181239042938</v>
      </c>
      <c r="DK331" s="3290">
        <f t="shared" si="614"/>
        <v>0.79889310906131306</v>
      </c>
      <c r="DL331" s="3289">
        <f t="shared" si="614"/>
        <v>0.78851084599368582</v>
      </c>
      <c r="DM331" s="3290">
        <f t="shared" si="614"/>
        <v>0.80619062659442653</v>
      </c>
      <c r="DN331" s="3290">
        <f t="shared" si="614"/>
        <v>0.83332898138235378</v>
      </c>
      <c r="DO331" s="3290">
        <f t="shared" si="614"/>
        <v>0.75715244840058049</v>
      </c>
      <c r="DP331" s="3290">
        <f t="shared" si="614"/>
        <v>0.72492881999367287</v>
      </c>
      <c r="DQ331" s="3289">
        <f t="shared" si="614"/>
        <v>0.77414848214236798</v>
      </c>
      <c r="DR331" s="3290"/>
      <c r="DS331" s="3290"/>
      <c r="DT331" s="3290"/>
      <c r="DU331" s="3290"/>
      <c r="DV331" s="3289"/>
      <c r="DW331" s="3290"/>
      <c r="DX331" s="3290"/>
      <c r="DY331" s="3290"/>
      <c r="DZ331" s="3290"/>
      <c r="EA331" s="3289"/>
      <c r="EB331" s="3290"/>
      <c r="EC331" s="3290"/>
      <c r="ED331" s="3290"/>
      <c r="EE331" s="3290"/>
      <c r="EF331" s="3289"/>
      <c r="EG331" s="3290"/>
      <c r="EH331" s="3290"/>
      <c r="EI331" s="3290"/>
      <c r="EJ331" s="3290"/>
      <c r="EK331" s="3289"/>
      <c r="EL331" s="3290"/>
      <c r="EM331" s="3290"/>
      <c r="EN331" s="3290"/>
      <c r="EO331" s="3290"/>
      <c r="EP331" s="3289"/>
      <c r="EQ331" s="3290"/>
      <c r="ER331" s="3290"/>
      <c r="ES331" s="3290"/>
      <c r="ET331" s="3290"/>
      <c r="EU331" s="3289"/>
      <c r="EV331" s="3289"/>
      <c r="EW331" s="3289"/>
      <c r="EX331" s="3289"/>
      <c r="EY331" s="3289"/>
      <c r="EZ331" s="2586"/>
      <c r="FA331" s="4276"/>
      <c r="FB331" s="4276"/>
    </row>
    <row r="332" spans="1:158" s="766" customFormat="1" hidden="1">
      <c r="A332" s="3555" t="s">
        <v>563</v>
      </c>
      <c r="B332" s="3258"/>
      <c r="C332" s="3258"/>
      <c r="D332" s="3258"/>
      <c r="E332" s="3258"/>
      <c r="F332" s="3258"/>
      <c r="G332" s="3258"/>
      <c r="H332" s="3258"/>
      <c r="I332" s="3258"/>
      <c r="J332" s="3258"/>
      <c r="K332" s="3258"/>
      <c r="L332" s="3258"/>
      <c r="M332" s="3258"/>
      <c r="N332" s="3258"/>
      <c r="O332" s="3258"/>
      <c r="P332" s="3258"/>
      <c r="Q332" s="3258"/>
      <c r="R332" s="3258"/>
      <c r="S332" s="3258"/>
      <c r="T332" s="3258"/>
      <c r="U332" s="3258"/>
      <c r="V332" s="3258"/>
      <c r="W332" s="3258"/>
      <c r="X332" s="3258"/>
      <c r="Y332" s="3258"/>
      <c r="Z332" s="3258"/>
      <c r="AA332" s="3258"/>
      <c r="AB332" s="3258"/>
      <c r="AC332" s="3258"/>
      <c r="AD332" s="3258"/>
      <c r="AE332" s="3258"/>
      <c r="AF332" s="3258"/>
      <c r="AG332" s="3258"/>
      <c r="AH332" s="3258"/>
      <c r="AI332" s="3258"/>
      <c r="AJ332" s="3258"/>
      <c r="AK332" s="3258"/>
      <c r="AL332" s="3258"/>
      <c r="AM332" s="3258"/>
      <c r="AN332" s="3258"/>
      <c r="AO332" s="3258"/>
      <c r="AP332" s="3258"/>
      <c r="AQ332" s="3258"/>
      <c r="AR332" s="3258"/>
      <c r="AS332" s="3258"/>
      <c r="AT332" s="3258"/>
      <c r="AU332" s="3258"/>
      <c r="AV332" s="3258"/>
      <c r="AW332" s="3258"/>
      <c r="AX332" s="3258"/>
      <c r="AY332" s="3258"/>
      <c r="AZ332" s="3258"/>
      <c r="BA332" s="3258"/>
      <c r="BB332" s="3258"/>
      <c r="BC332" s="3258"/>
      <c r="BD332" s="3258"/>
      <c r="BE332" s="3258"/>
      <c r="BF332" s="3258"/>
      <c r="BG332" s="3258"/>
      <c r="BH332" s="3258"/>
      <c r="BI332" s="3258"/>
      <c r="BJ332" s="3258"/>
      <c r="BK332" s="3258"/>
      <c r="BL332" s="3258"/>
      <c r="BM332" s="3258"/>
      <c r="BN332" s="3258"/>
      <c r="BO332" s="3258"/>
      <c r="BP332" s="3258"/>
      <c r="BQ332" s="3258"/>
      <c r="BR332" s="3258"/>
      <c r="BS332" s="3258"/>
      <c r="BT332" s="3258"/>
      <c r="BU332" s="3258"/>
      <c r="BV332" s="3258"/>
      <c r="BW332" s="3258"/>
      <c r="BX332" s="3258"/>
      <c r="BY332" s="3258"/>
      <c r="BZ332" s="3258"/>
      <c r="CA332" s="3258"/>
      <c r="CB332" s="3258"/>
      <c r="CC332" s="3258"/>
      <c r="CD332" s="3258"/>
      <c r="CE332" s="3258"/>
      <c r="CF332" s="3258"/>
      <c r="CG332" s="3258"/>
      <c r="CH332" s="3289">
        <f>+CH316/CH$313</f>
        <v>0.27743655325203986</v>
      </c>
      <c r="CI332" s="3015">
        <f>+IFERROR(CI316/CI$313,"N/A")</f>
        <v>0.26686121919584954</v>
      </c>
      <c r="CJ332" s="3015">
        <f>+IFERROR(CJ316/CJ$313,"N/A")</f>
        <v>0.26687558759009716</v>
      </c>
      <c r="CK332" s="3015">
        <f>+IFERROR(CK316/CK$313,"N/A")</f>
        <v>0.22538279973370454</v>
      </c>
      <c r="CL332" s="3015">
        <f>+IFERROR(CL316/CL$313,"N/A")</f>
        <v>0.24299839805557091</v>
      </c>
      <c r="CM332" s="3289">
        <f t="shared" ref="CM332:DQ332" si="615">+CM316/CM$313</f>
        <v>0.24993560703625703</v>
      </c>
      <c r="CN332" s="3290">
        <f t="shared" si="615"/>
        <v>0.25767759879476188</v>
      </c>
      <c r="CO332" s="3290">
        <f t="shared" si="615"/>
        <v>0.2721836746206352</v>
      </c>
      <c r="CP332" s="3290">
        <f t="shared" si="615"/>
        <v>0.25210174029451138</v>
      </c>
      <c r="CQ332" s="3290">
        <f t="shared" si="615"/>
        <v>0.25223873599324864</v>
      </c>
      <c r="CR332" s="3289">
        <f t="shared" si="615"/>
        <v>0.25817119844243824</v>
      </c>
      <c r="CS332" s="3290">
        <f t="shared" si="615"/>
        <v>0.26371130967073109</v>
      </c>
      <c r="CT332" s="3290">
        <f t="shared" si="615"/>
        <v>0.27758139534883719</v>
      </c>
      <c r="CU332" s="3290">
        <f t="shared" si="615"/>
        <v>0.25687051801701483</v>
      </c>
      <c r="CV332" s="3290">
        <f t="shared" si="615"/>
        <v>0.25471915285451197</v>
      </c>
      <c r="CW332" s="3289">
        <f t="shared" si="615"/>
        <v>0.26271712158808935</v>
      </c>
      <c r="CX332" s="3290">
        <f t="shared" si="615"/>
        <v>0.26537373737373737</v>
      </c>
      <c r="CY332" s="3290">
        <f t="shared" si="615"/>
        <v>0.15886197616301423</v>
      </c>
      <c r="CZ332" s="3290">
        <f t="shared" si="615"/>
        <v>0.28021028373901774</v>
      </c>
      <c r="DA332" s="3290">
        <f t="shared" si="615"/>
        <v>0.23710670420443647</v>
      </c>
      <c r="DB332" s="3289">
        <f t="shared" si="615"/>
        <v>0.23585765188760091</v>
      </c>
      <c r="DC332" s="3290">
        <f t="shared" si="615"/>
        <v>0.24507159827907277</v>
      </c>
      <c r="DD332" s="3290">
        <f t="shared" si="615"/>
        <v>9.3241877698502618E-2</v>
      </c>
      <c r="DE332" s="3290">
        <f t="shared" si="615"/>
        <v>0.25563129816241847</v>
      </c>
      <c r="DF332" s="3290">
        <f t="shared" si="615"/>
        <v>0.20931357572054179</v>
      </c>
      <c r="DG332" s="3289">
        <f t="shared" si="615"/>
        <v>0.20117089000796673</v>
      </c>
      <c r="DH332" s="3290">
        <f t="shared" si="615"/>
        <v>0.18184319876716476</v>
      </c>
      <c r="DI332" s="3290">
        <f t="shared" si="615"/>
        <v>0.23572308956450289</v>
      </c>
      <c r="DJ332" s="3290">
        <f t="shared" si="615"/>
        <v>0.22659818760957059</v>
      </c>
      <c r="DK332" s="3290">
        <f t="shared" si="615"/>
        <v>0.20110689093868692</v>
      </c>
      <c r="DL332" s="3289">
        <f t="shared" si="615"/>
        <v>0.21148915400631421</v>
      </c>
      <c r="DM332" s="3290">
        <f t="shared" si="615"/>
        <v>0.1938093734055735</v>
      </c>
      <c r="DN332" s="3290">
        <f t="shared" si="615"/>
        <v>0.1666710186176463</v>
      </c>
      <c r="DO332" s="3290">
        <f t="shared" si="615"/>
        <v>0.24284755159941956</v>
      </c>
      <c r="DP332" s="3290">
        <f t="shared" si="615"/>
        <v>0.27507118000632713</v>
      </c>
      <c r="DQ332" s="3289">
        <f t="shared" si="615"/>
        <v>0.22585151785763202</v>
      </c>
      <c r="DR332" s="3290"/>
      <c r="DS332" s="3290"/>
      <c r="DT332" s="3290"/>
      <c r="DU332" s="3290"/>
      <c r="DV332" s="3289"/>
      <c r="DW332" s="3290"/>
      <c r="DX332" s="3290"/>
      <c r="DY332" s="3290"/>
      <c r="DZ332" s="3290"/>
      <c r="EA332" s="3289"/>
      <c r="EB332" s="3290"/>
      <c r="EC332" s="3290"/>
      <c r="ED332" s="3290"/>
      <c r="EE332" s="3290"/>
      <c r="EF332" s="3289"/>
      <c r="EG332" s="3290"/>
      <c r="EH332" s="3290"/>
      <c r="EI332" s="3290"/>
      <c r="EJ332" s="3290"/>
      <c r="EK332" s="3289"/>
      <c r="EL332" s="3290"/>
      <c r="EM332" s="3290"/>
      <c r="EN332" s="3290"/>
      <c r="EO332" s="3290"/>
      <c r="EP332" s="3289"/>
      <c r="EQ332" s="3290"/>
      <c r="ER332" s="3290"/>
      <c r="ES332" s="3290"/>
      <c r="ET332" s="3290"/>
      <c r="EU332" s="3289"/>
      <c r="EV332" s="3289"/>
      <c r="EW332" s="3289"/>
      <c r="EX332" s="3289"/>
      <c r="EY332" s="3289"/>
      <c r="EZ332" s="767"/>
      <c r="FA332" s="4276"/>
      <c r="FB332" s="4276"/>
    </row>
    <row r="333" spans="1:158" s="766" customFormat="1" hidden="1">
      <c r="A333" s="3561" t="s">
        <v>677</v>
      </c>
      <c r="B333" s="2743"/>
      <c r="C333" s="2743"/>
      <c r="D333" s="2743"/>
      <c r="E333" s="2743"/>
      <c r="F333" s="2743"/>
      <c r="G333" s="2743"/>
      <c r="H333" s="2743"/>
      <c r="I333" s="2743"/>
      <c r="J333" s="2743"/>
      <c r="K333" s="2743"/>
      <c r="L333" s="2743"/>
      <c r="M333" s="2743"/>
      <c r="N333" s="2743"/>
      <c r="O333" s="2743"/>
      <c r="P333" s="2743"/>
      <c r="Q333" s="2743"/>
      <c r="R333" s="2743"/>
      <c r="S333" s="2743"/>
      <c r="T333" s="2743"/>
      <c r="U333" s="2743"/>
      <c r="V333" s="2743"/>
      <c r="W333" s="2743"/>
      <c r="X333" s="2743"/>
      <c r="Y333" s="2743"/>
      <c r="Z333" s="2743"/>
      <c r="AA333" s="2743"/>
      <c r="AB333" s="2743"/>
      <c r="AC333" s="2743"/>
      <c r="AD333" s="2743"/>
      <c r="AE333" s="2743"/>
      <c r="AF333" s="2743"/>
      <c r="AG333" s="2743"/>
      <c r="AH333" s="2743"/>
      <c r="AI333" s="2743"/>
      <c r="AJ333" s="2743"/>
      <c r="AK333" s="2743"/>
      <c r="AL333" s="2743"/>
      <c r="AM333" s="2743"/>
      <c r="AN333" s="2743"/>
      <c r="AO333" s="2743"/>
      <c r="AP333" s="2743"/>
      <c r="AQ333" s="2743"/>
      <c r="AR333" s="2743"/>
      <c r="AS333" s="2743"/>
      <c r="AT333" s="2743"/>
      <c r="AU333" s="2743"/>
      <c r="AV333" s="2743"/>
      <c r="AW333" s="2743"/>
      <c r="AX333" s="2743"/>
      <c r="AY333" s="2743"/>
      <c r="AZ333" s="2743"/>
      <c r="BA333" s="2743"/>
      <c r="BB333" s="2743"/>
      <c r="BC333" s="2743"/>
      <c r="BD333" s="2743"/>
      <c r="BE333" s="2743"/>
      <c r="BF333" s="2743"/>
      <c r="BG333" s="2743"/>
      <c r="BH333" s="2743"/>
      <c r="BI333" s="2743"/>
      <c r="BJ333" s="2743"/>
      <c r="BK333" s="2743"/>
      <c r="BL333" s="2743"/>
      <c r="BM333" s="2743"/>
      <c r="BN333" s="2743"/>
      <c r="BO333" s="2743"/>
      <c r="BP333" s="2743"/>
      <c r="BQ333" s="2743"/>
      <c r="BR333" s="2743"/>
      <c r="BS333" s="2743"/>
      <c r="BT333" s="2743"/>
      <c r="BU333" s="2743"/>
      <c r="BV333" s="2743"/>
      <c r="BW333" s="2743"/>
      <c r="BX333" s="2743"/>
      <c r="BY333" s="2743"/>
      <c r="BZ333" s="2743"/>
      <c r="CA333" s="2743"/>
      <c r="CB333" s="2743"/>
      <c r="CC333" s="2743"/>
      <c r="CD333" s="2743"/>
      <c r="CE333" s="2743"/>
      <c r="CF333" s="2743"/>
      <c r="CG333" s="2743"/>
      <c r="CH333" s="2826"/>
      <c r="CI333" s="2745"/>
      <c r="CJ333" s="2745"/>
      <c r="CK333" s="2745"/>
      <c r="CL333" s="2745"/>
      <c r="CM333" s="2827">
        <f t="shared" ref="CM333:DQ333" si="616">(CM332-CH332)*10000</f>
        <v>-275.00946215782835</v>
      </c>
      <c r="CN333" s="2748">
        <f t="shared" si="616"/>
        <v>-91.836204010876671</v>
      </c>
      <c r="CO333" s="2748">
        <f t="shared" si="616"/>
        <v>53.080870305380337</v>
      </c>
      <c r="CP333" s="2748">
        <f t="shared" si="616"/>
        <v>267.1894056080684</v>
      </c>
      <c r="CQ333" s="2748">
        <f t="shared" si="616"/>
        <v>92.403379376777281</v>
      </c>
      <c r="CR333" s="2827">
        <f t="shared" si="616"/>
        <v>82.355914061812143</v>
      </c>
      <c r="CS333" s="2748">
        <f t="shared" si="616"/>
        <v>60.337108759692114</v>
      </c>
      <c r="CT333" s="2748">
        <f t="shared" si="616"/>
        <v>53.977207282019933</v>
      </c>
      <c r="CU333" s="2748">
        <f t="shared" si="616"/>
        <v>47.68777722503448</v>
      </c>
      <c r="CV333" s="2748">
        <f t="shared" si="616"/>
        <v>24.804168612633237</v>
      </c>
      <c r="CW333" s="2827">
        <f t="shared" si="616"/>
        <v>45.459231456511098</v>
      </c>
      <c r="CX333" s="2748">
        <f t="shared" si="616"/>
        <v>16.624277030062864</v>
      </c>
      <c r="CY333" s="2748">
        <f t="shared" si="616"/>
        <v>-1187.1941918582297</v>
      </c>
      <c r="CZ333" s="2748">
        <f t="shared" si="616"/>
        <v>233.39765722002915</v>
      </c>
      <c r="DA333" s="2748">
        <f t="shared" si="616"/>
        <v>-176.12448650075495</v>
      </c>
      <c r="DB333" s="2827">
        <f t="shared" si="616"/>
        <v>-268.59469700488444</v>
      </c>
      <c r="DC333" s="2748">
        <f t="shared" si="616"/>
        <v>-203.02139094664605</v>
      </c>
      <c r="DD333" s="2748">
        <f t="shared" si="616"/>
        <v>-656.20098464511614</v>
      </c>
      <c r="DE333" s="2748">
        <f t="shared" si="616"/>
        <v>-245.78985576599266</v>
      </c>
      <c r="DF333" s="2748">
        <f t="shared" si="616"/>
        <v>-277.93128483894674</v>
      </c>
      <c r="DG333" s="2827">
        <f t="shared" si="616"/>
        <v>-346.86761879634179</v>
      </c>
      <c r="DH333" s="2748">
        <f t="shared" si="616"/>
        <v>-632.28399511908003</v>
      </c>
      <c r="DI333" s="2748">
        <f t="shared" si="616"/>
        <v>1424.8121186600026</v>
      </c>
      <c r="DJ333" s="2748">
        <f t="shared" si="616"/>
        <v>-290.33110552847882</v>
      </c>
      <c r="DK333" s="2748">
        <f t="shared" si="616"/>
        <v>-82.06684781854878</v>
      </c>
      <c r="DL333" s="2827">
        <f t="shared" si="616"/>
        <v>103.18263998347483</v>
      </c>
      <c r="DM333" s="2748">
        <f t="shared" si="616"/>
        <v>119.66174638408738</v>
      </c>
      <c r="DN333" s="2748">
        <f t="shared" si="616"/>
        <v>-690.52070946856588</v>
      </c>
      <c r="DO333" s="2748">
        <f t="shared" si="616"/>
        <v>162.4936398984897</v>
      </c>
      <c r="DP333" s="2748">
        <f t="shared" si="616"/>
        <v>739.6428906764022</v>
      </c>
      <c r="DQ333" s="2827">
        <f t="shared" si="616"/>
        <v>143.62363851317812</v>
      </c>
      <c r="DR333" s="2748"/>
      <c r="DS333" s="2748"/>
      <c r="DT333" s="2748"/>
      <c r="DU333" s="2748"/>
      <c r="DV333" s="2827"/>
      <c r="DW333" s="2748"/>
      <c r="DX333" s="2748"/>
      <c r="DY333" s="2748"/>
      <c r="DZ333" s="2748"/>
      <c r="EA333" s="2827"/>
      <c r="EB333" s="2748"/>
      <c r="EC333" s="2748"/>
      <c r="ED333" s="2748"/>
      <c r="EE333" s="2748"/>
      <c r="EF333" s="2827"/>
      <c r="EG333" s="2748"/>
      <c r="EH333" s="2748"/>
      <c r="EI333" s="2748"/>
      <c r="EJ333" s="2748"/>
      <c r="EK333" s="2827"/>
      <c r="EL333" s="2748"/>
      <c r="EM333" s="2748"/>
      <c r="EN333" s="2748"/>
      <c r="EO333" s="2748"/>
      <c r="EP333" s="2827"/>
      <c r="EQ333" s="2748"/>
      <c r="ER333" s="2748"/>
      <c r="ES333" s="2748"/>
      <c r="ET333" s="2748"/>
      <c r="EU333" s="2827"/>
      <c r="EV333" s="2827"/>
      <c r="EW333" s="2827"/>
      <c r="EX333" s="2827"/>
      <c r="EY333" s="2827"/>
      <c r="EZ333" s="767"/>
      <c r="FA333" s="4276"/>
      <c r="FB333" s="4276"/>
    </row>
    <row r="334" spans="1:158" s="766" customFormat="1" hidden="1">
      <c r="A334" s="3561" t="s">
        <v>678</v>
      </c>
      <c r="B334" s="2743"/>
      <c r="C334" s="2743"/>
      <c r="D334" s="2743"/>
      <c r="E334" s="2743"/>
      <c r="F334" s="2743"/>
      <c r="G334" s="2743"/>
      <c r="H334" s="2743"/>
      <c r="I334" s="2743"/>
      <c r="J334" s="2743"/>
      <c r="K334" s="2743"/>
      <c r="L334" s="2743"/>
      <c r="M334" s="2743"/>
      <c r="N334" s="2743"/>
      <c r="O334" s="2743"/>
      <c r="P334" s="2743"/>
      <c r="Q334" s="2743"/>
      <c r="R334" s="2743"/>
      <c r="S334" s="2743"/>
      <c r="T334" s="2743"/>
      <c r="U334" s="2743"/>
      <c r="V334" s="2743"/>
      <c r="W334" s="2743"/>
      <c r="X334" s="2743"/>
      <c r="Y334" s="2743"/>
      <c r="Z334" s="2743"/>
      <c r="AA334" s="2743"/>
      <c r="AB334" s="2743"/>
      <c r="AC334" s="2743"/>
      <c r="AD334" s="2743"/>
      <c r="AE334" s="2743"/>
      <c r="AF334" s="2743"/>
      <c r="AG334" s="2743"/>
      <c r="AH334" s="2743"/>
      <c r="AI334" s="2743"/>
      <c r="AJ334" s="2743"/>
      <c r="AK334" s="2743"/>
      <c r="AL334" s="2743"/>
      <c r="AM334" s="2743"/>
      <c r="AN334" s="2743"/>
      <c r="AO334" s="2743"/>
      <c r="AP334" s="2743"/>
      <c r="AQ334" s="2743"/>
      <c r="AR334" s="2743"/>
      <c r="AS334" s="2743"/>
      <c r="AT334" s="2743"/>
      <c r="AU334" s="2743"/>
      <c r="AV334" s="2743"/>
      <c r="AW334" s="2743"/>
      <c r="AX334" s="2743"/>
      <c r="AY334" s="2743"/>
      <c r="AZ334" s="2743"/>
      <c r="BA334" s="2743"/>
      <c r="BB334" s="2743"/>
      <c r="BC334" s="2743"/>
      <c r="BD334" s="2743"/>
      <c r="BE334" s="2743"/>
      <c r="BF334" s="2743"/>
      <c r="BG334" s="2743"/>
      <c r="BH334" s="2743"/>
      <c r="BI334" s="2743"/>
      <c r="BJ334" s="2743"/>
      <c r="BK334" s="2743"/>
      <c r="BL334" s="2743"/>
      <c r="BM334" s="2743"/>
      <c r="BN334" s="2743"/>
      <c r="BO334" s="2743"/>
      <c r="BP334" s="2743"/>
      <c r="BQ334" s="2743"/>
      <c r="BR334" s="2743"/>
      <c r="BS334" s="2743"/>
      <c r="BT334" s="2743"/>
      <c r="BU334" s="2743"/>
      <c r="BV334" s="2743"/>
      <c r="BW334" s="2743"/>
      <c r="BX334" s="2743"/>
      <c r="BY334" s="2743"/>
      <c r="BZ334" s="2743"/>
      <c r="CA334" s="2743"/>
      <c r="CB334" s="2743"/>
      <c r="CC334" s="2743"/>
      <c r="CD334" s="2743"/>
      <c r="CE334" s="2743"/>
      <c r="CF334" s="2743"/>
      <c r="CG334" s="2743"/>
      <c r="CH334" s="2826"/>
      <c r="CI334" s="2745"/>
      <c r="CJ334" s="2745"/>
      <c r="CK334" s="2745"/>
      <c r="CL334" s="2745"/>
      <c r="CM334" s="2827"/>
      <c r="CN334" s="2748">
        <f>(CN332-CL332)*10000</f>
        <v>146.79200739190961</v>
      </c>
      <c r="CO334" s="2748">
        <f>(CO332-CN332)*10000</f>
        <v>145.06075825873322</v>
      </c>
      <c r="CP334" s="2748">
        <f>(CP332-CO332)*10000</f>
        <v>-200.81934326123817</v>
      </c>
      <c r="CQ334" s="2748">
        <f>(CQ332-CP332)*10000</f>
        <v>1.3699569873726336</v>
      </c>
      <c r="CR334" s="2827"/>
      <c r="CS334" s="2748">
        <f>(CS332-CQ332)*10000</f>
        <v>114.72573677482445</v>
      </c>
      <c r="CT334" s="2748">
        <f>(CT332-CS332)*10000</f>
        <v>138.70085678106102</v>
      </c>
      <c r="CU334" s="2748">
        <f>(CU332-CT332)*10000</f>
        <v>-207.10877331822363</v>
      </c>
      <c r="CV334" s="2748">
        <f>(CV332-CU332)*10000</f>
        <v>-21.513651625028608</v>
      </c>
      <c r="CW334" s="2827"/>
      <c r="CX334" s="2748">
        <f>(CX332-CV332)*10000</f>
        <v>106.54584519225408</v>
      </c>
      <c r="CY334" s="2748">
        <f>(CY332-CX332)*10000</f>
        <v>-1065.1176121072315</v>
      </c>
      <c r="CZ334" s="2748">
        <f>(CZ332-CY332)*10000</f>
        <v>1213.483075760035</v>
      </c>
      <c r="DA334" s="2748">
        <f>(DA332-CZ332)*10000</f>
        <v>-431.03579534581269</v>
      </c>
      <c r="DB334" s="2827"/>
      <c r="DC334" s="2748">
        <f>(DC332-DA332)*10000</f>
        <v>79.648940746362968</v>
      </c>
      <c r="DD334" s="2748">
        <f>(DD332-DC332)*10000</f>
        <v>-1518.2972058057014</v>
      </c>
      <c r="DE334" s="2748">
        <f>(DE332-DD332)*10000</f>
        <v>1623.8942046391585</v>
      </c>
      <c r="DF334" s="2748">
        <f>(DF332-DE332)*10000</f>
        <v>-463.1772244187668</v>
      </c>
      <c r="DG334" s="2827"/>
      <c r="DH334" s="2748">
        <f>(DH332-DF332)*10000</f>
        <v>-274.70376953377036</v>
      </c>
      <c r="DI334" s="2748">
        <f>(DI332-DH332)*10000</f>
        <v>538.79890797338123</v>
      </c>
      <c r="DJ334" s="2748">
        <f>(DJ332-DI332)*10000</f>
        <v>-91.249019549322909</v>
      </c>
      <c r="DK334" s="2748">
        <f>(DK332-DJ332)*10000</f>
        <v>-254.91296670883679</v>
      </c>
      <c r="DL334" s="2827"/>
      <c r="DM334" s="2748">
        <f>(DM332-DL332)*10000</f>
        <v>-176.79780600740713</v>
      </c>
      <c r="DN334" s="2748">
        <f>(DN332-DM332)*10000</f>
        <v>-271.38354787927199</v>
      </c>
      <c r="DO334" s="2748">
        <f>(DO332-DN332)*10000</f>
        <v>761.76532981773266</v>
      </c>
      <c r="DP334" s="2748">
        <f>(DP332-DO332)*10000</f>
        <v>322.23628406907568</v>
      </c>
      <c r="DQ334" s="2827"/>
      <c r="DR334" s="2748"/>
      <c r="DS334" s="2748"/>
      <c r="DT334" s="2748"/>
      <c r="DU334" s="2748"/>
      <c r="DV334" s="2827"/>
      <c r="DW334" s="2748"/>
      <c r="DX334" s="2748"/>
      <c r="DY334" s="2748"/>
      <c r="DZ334" s="2748"/>
      <c r="EA334" s="2827"/>
      <c r="EB334" s="2748"/>
      <c r="EC334" s="2748"/>
      <c r="ED334" s="2748"/>
      <c r="EE334" s="2748"/>
      <c r="EF334" s="2827"/>
      <c r="EG334" s="2748"/>
      <c r="EH334" s="2748"/>
      <c r="EI334" s="2748"/>
      <c r="EJ334" s="2748"/>
      <c r="EK334" s="2827"/>
      <c r="EL334" s="2748"/>
      <c r="EM334" s="2748"/>
      <c r="EN334" s="2748"/>
      <c r="EO334" s="2748"/>
      <c r="EP334" s="2827"/>
      <c r="EQ334" s="2748"/>
      <c r="ER334" s="2748"/>
      <c r="ES334" s="2748"/>
      <c r="ET334" s="2748"/>
      <c r="EU334" s="2827"/>
      <c r="EV334" s="2827"/>
      <c r="EW334" s="2827"/>
      <c r="EX334" s="2827"/>
      <c r="EY334" s="2827"/>
      <c r="EZ334" s="767"/>
      <c r="FA334" s="4276"/>
      <c r="FB334" s="4276"/>
    </row>
    <row r="335" spans="1:158" s="766" customFormat="1" hidden="1">
      <c r="A335" s="3555" t="str">
        <f>A318</f>
        <v>Alphabet, Inc. Non-GAAP Op Income/(Loss)</v>
      </c>
      <c r="B335" s="3258"/>
      <c r="C335" s="3258"/>
      <c r="D335" s="3258"/>
      <c r="E335" s="3258"/>
      <c r="F335" s="3258"/>
      <c r="G335" s="3258"/>
      <c r="H335" s="3258"/>
      <c r="I335" s="3258"/>
      <c r="J335" s="3258"/>
      <c r="K335" s="3258"/>
      <c r="L335" s="3258"/>
      <c r="M335" s="3258"/>
      <c r="N335" s="3258"/>
      <c r="O335" s="3258"/>
      <c r="P335" s="3258"/>
      <c r="Q335" s="3258"/>
      <c r="R335" s="3258"/>
      <c r="S335" s="3258"/>
      <c r="T335" s="3258"/>
      <c r="U335" s="3258"/>
      <c r="V335" s="3258"/>
      <c r="W335" s="3258"/>
      <c r="X335" s="3258"/>
      <c r="Y335" s="3258"/>
      <c r="Z335" s="3258"/>
      <c r="AA335" s="3258"/>
      <c r="AB335" s="3258"/>
      <c r="AC335" s="3258"/>
      <c r="AD335" s="3258"/>
      <c r="AE335" s="3258"/>
      <c r="AF335" s="3258"/>
      <c r="AG335" s="3258"/>
      <c r="AH335" s="3258"/>
      <c r="AI335" s="3258"/>
      <c r="AJ335" s="3258"/>
      <c r="AK335" s="3258"/>
      <c r="AL335" s="3258"/>
      <c r="AM335" s="3258"/>
      <c r="AN335" s="3258"/>
      <c r="AO335" s="3258"/>
      <c r="AP335" s="3258"/>
      <c r="AQ335" s="3258"/>
      <c r="AR335" s="3258"/>
      <c r="AS335" s="3258"/>
      <c r="AT335" s="3258"/>
      <c r="AU335" s="3258"/>
      <c r="AV335" s="3258"/>
      <c r="AW335" s="3258"/>
      <c r="AX335" s="3258"/>
      <c r="AY335" s="3258"/>
      <c r="AZ335" s="3258"/>
      <c r="BA335" s="3258"/>
      <c r="BB335" s="3258"/>
      <c r="BC335" s="3258"/>
      <c r="BD335" s="3258"/>
      <c r="BE335" s="3258"/>
      <c r="BF335" s="3258"/>
      <c r="BG335" s="3258"/>
      <c r="BH335" s="3258"/>
      <c r="BI335" s="3258"/>
      <c r="BJ335" s="3258"/>
      <c r="BK335" s="3258"/>
      <c r="BL335" s="3258"/>
      <c r="BM335" s="3258"/>
      <c r="BN335" s="3258"/>
      <c r="BO335" s="3258"/>
      <c r="BP335" s="3258"/>
      <c r="BQ335" s="3258"/>
      <c r="BR335" s="3258"/>
      <c r="BS335" s="3258"/>
      <c r="BT335" s="3258"/>
      <c r="BU335" s="3258"/>
      <c r="BV335" s="3258"/>
      <c r="BW335" s="3258"/>
      <c r="BX335" s="3258"/>
      <c r="BY335" s="3258"/>
      <c r="BZ335" s="3258"/>
      <c r="CA335" s="3258"/>
      <c r="CB335" s="3258"/>
      <c r="CC335" s="3258"/>
      <c r="CD335" s="3258"/>
      <c r="CE335" s="3258"/>
      <c r="CF335" s="3258"/>
      <c r="CG335" s="3258"/>
      <c r="CH335" s="3289">
        <f t="shared" ref="CH335:DQ335" si="617">+CH318/CH$313</f>
        <v>0.27743655325203986</v>
      </c>
      <c r="CI335" s="3015">
        <f t="shared" si="617"/>
        <v>0.26686121919584954</v>
      </c>
      <c r="CJ335" s="3015">
        <f t="shared" si="617"/>
        <v>0.26687558759009716</v>
      </c>
      <c r="CK335" s="3015">
        <f t="shared" si="617"/>
        <v>0.24826000121043393</v>
      </c>
      <c r="CL335" s="3015">
        <f t="shared" si="617"/>
        <v>0.24299839805557091</v>
      </c>
      <c r="CM335" s="3289">
        <f t="shared" si="617"/>
        <v>0.25566279298798505</v>
      </c>
      <c r="CN335" s="3290">
        <f t="shared" si="617"/>
        <v>0.25767759879476188</v>
      </c>
      <c r="CO335" s="3290">
        <f t="shared" si="617"/>
        <v>0.2721836746206352</v>
      </c>
      <c r="CP335" s="3290">
        <f t="shared" si="617"/>
        <v>0.25210174029451138</v>
      </c>
      <c r="CQ335" s="3290">
        <f t="shared" si="617"/>
        <v>0.25223873599324864</v>
      </c>
      <c r="CR335" s="3289">
        <f t="shared" si="617"/>
        <v>0.25817119844243824</v>
      </c>
      <c r="CS335" s="3290">
        <f t="shared" si="617"/>
        <v>0.26371130967073109</v>
      </c>
      <c r="CT335" s="3290">
        <f t="shared" si="617"/>
        <v>0.27758139534883719</v>
      </c>
      <c r="CU335" s="3290">
        <f t="shared" si="617"/>
        <v>0.25687051801701483</v>
      </c>
      <c r="CV335" s="3290">
        <f t="shared" si="617"/>
        <v>0.25471915285451197</v>
      </c>
      <c r="CW335" s="3289">
        <f t="shared" si="617"/>
        <v>0.26271712158808935</v>
      </c>
      <c r="CX335" s="3290">
        <f t="shared" si="617"/>
        <v>0.26537373737373737</v>
      </c>
      <c r="CY335" s="3290">
        <f t="shared" si="617"/>
        <v>0.26405228758169935</v>
      </c>
      <c r="CZ335" s="3290">
        <f t="shared" si="617"/>
        <v>0.28021028373901774</v>
      </c>
      <c r="DA335" s="3290">
        <f t="shared" si="617"/>
        <v>0.23710670420443647</v>
      </c>
      <c r="DB335" s="3289">
        <f t="shared" si="617"/>
        <v>0.26053854133778359</v>
      </c>
      <c r="DC335" s="3290">
        <f t="shared" si="617"/>
        <v>0.24507159827907277</v>
      </c>
      <c r="DD335" s="3290">
        <f t="shared" si="617"/>
        <v>0.24852252197078728</v>
      </c>
      <c r="DE335" s="3290">
        <f t="shared" si="617"/>
        <v>0.25563129816241847</v>
      </c>
      <c r="DF335" s="3290">
        <f t="shared" si="617"/>
        <v>0.20931357572054179</v>
      </c>
      <c r="DG335" s="3289">
        <f t="shared" si="617"/>
        <v>0.23823445574079624</v>
      </c>
      <c r="DH335" s="3290">
        <f t="shared" si="617"/>
        <v>0.22854233743361127</v>
      </c>
      <c r="DI335" s="3290">
        <f t="shared" si="617"/>
        <v>0.23572308956450289</v>
      </c>
      <c r="DJ335" s="3290">
        <f t="shared" si="617"/>
        <v>0.22659818760957059</v>
      </c>
      <c r="DK335" s="3290">
        <f t="shared" si="617"/>
        <v>0.20110689093868692</v>
      </c>
      <c r="DL335" s="3289">
        <f t="shared" si="617"/>
        <v>0.22197371754079218</v>
      </c>
      <c r="DM335" s="3290">
        <f t="shared" si="617"/>
        <v>0.1938093734055735</v>
      </c>
      <c r="DN335" s="3290">
        <f t="shared" si="617"/>
        <v>0.1666710186176463</v>
      </c>
      <c r="DO335" s="3290">
        <f t="shared" si="617"/>
        <v>0.24284755159941956</v>
      </c>
      <c r="DP335" s="3290">
        <f t="shared" si="617"/>
        <v>0.27507118000632713</v>
      </c>
      <c r="DQ335" s="3289">
        <f t="shared" si="617"/>
        <v>0.22585151785763202</v>
      </c>
      <c r="DR335" s="3290"/>
      <c r="DS335" s="3290"/>
      <c r="DT335" s="3290"/>
      <c r="DU335" s="3290"/>
      <c r="DV335" s="3289"/>
      <c r="DW335" s="3290"/>
      <c r="DX335" s="3290"/>
      <c r="DY335" s="3290"/>
      <c r="DZ335" s="3290"/>
      <c r="EA335" s="3289"/>
      <c r="EB335" s="3290"/>
      <c r="EC335" s="3290"/>
      <c r="ED335" s="3290"/>
      <c r="EE335" s="3290"/>
      <c r="EF335" s="3289"/>
      <c r="EG335" s="3290"/>
      <c r="EH335" s="3290"/>
      <c r="EI335" s="3290"/>
      <c r="EJ335" s="3290"/>
      <c r="EK335" s="3289"/>
      <c r="EL335" s="3290"/>
      <c r="EM335" s="3290"/>
      <c r="EN335" s="3290"/>
      <c r="EO335" s="3290"/>
      <c r="EP335" s="3289"/>
      <c r="EQ335" s="3290"/>
      <c r="ER335" s="3290"/>
      <c r="ES335" s="3290"/>
      <c r="ET335" s="3290"/>
      <c r="EU335" s="3289"/>
      <c r="EV335" s="3289"/>
      <c r="EW335" s="3289"/>
      <c r="EX335" s="3289"/>
      <c r="EY335" s="3289"/>
      <c r="EZ335" s="767"/>
      <c r="FA335" s="4276"/>
      <c r="FB335" s="4276"/>
    </row>
    <row r="336" spans="1:158" s="766" customFormat="1" hidden="1">
      <c r="A336" s="3561" t="s">
        <v>677</v>
      </c>
      <c r="B336" s="2743"/>
      <c r="C336" s="2743"/>
      <c r="D336" s="2743"/>
      <c r="E336" s="2743"/>
      <c r="F336" s="2743"/>
      <c r="G336" s="2743"/>
      <c r="H336" s="2743"/>
      <c r="I336" s="2743"/>
      <c r="J336" s="2743"/>
      <c r="K336" s="2743"/>
      <c r="L336" s="2743"/>
      <c r="M336" s="2743"/>
      <c r="N336" s="2743"/>
      <c r="O336" s="2743"/>
      <c r="P336" s="2743"/>
      <c r="Q336" s="2743"/>
      <c r="R336" s="2743"/>
      <c r="S336" s="2743"/>
      <c r="T336" s="2743"/>
      <c r="U336" s="2743"/>
      <c r="V336" s="2743"/>
      <c r="W336" s="2743"/>
      <c r="X336" s="2743"/>
      <c r="Y336" s="2743"/>
      <c r="Z336" s="2743"/>
      <c r="AA336" s="2743"/>
      <c r="AB336" s="2743"/>
      <c r="AC336" s="2743"/>
      <c r="AD336" s="2743"/>
      <c r="AE336" s="2743"/>
      <c r="AF336" s="2743"/>
      <c r="AG336" s="2743"/>
      <c r="AH336" s="2743"/>
      <c r="AI336" s="2743"/>
      <c r="AJ336" s="2743"/>
      <c r="AK336" s="2743"/>
      <c r="AL336" s="2743"/>
      <c r="AM336" s="2743"/>
      <c r="AN336" s="2743"/>
      <c r="AO336" s="2743"/>
      <c r="AP336" s="2743"/>
      <c r="AQ336" s="2743"/>
      <c r="AR336" s="2743"/>
      <c r="AS336" s="2743"/>
      <c r="AT336" s="2743"/>
      <c r="AU336" s="2743"/>
      <c r="AV336" s="2743"/>
      <c r="AW336" s="2743"/>
      <c r="AX336" s="2743"/>
      <c r="AY336" s="2743"/>
      <c r="AZ336" s="2743"/>
      <c r="BA336" s="2743"/>
      <c r="BB336" s="2743"/>
      <c r="BC336" s="2743"/>
      <c r="BD336" s="2743"/>
      <c r="BE336" s="2743"/>
      <c r="BF336" s="2743"/>
      <c r="BG336" s="2743"/>
      <c r="BH336" s="2743"/>
      <c r="BI336" s="2743"/>
      <c r="BJ336" s="2743"/>
      <c r="BK336" s="2743"/>
      <c r="BL336" s="2743"/>
      <c r="BM336" s="2743"/>
      <c r="BN336" s="2743"/>
      <c r="BO336" s="2743"/>
      <c r="BP336" s="2743"/>
      <c r="BQ336" s="2743"/>
      <c r="BR336" s="2743"/>
      <c r="BS336" s="2743"/>
      <c r="BT336" s="2743"/>
      <c r="BU336" s="2743"/>
      <c r="BV336" s="2743"/>
      <c r="BW336" s="2743"/>
      <c r="BX336" s="2743"/>
      <c r="BY336" s="2743"/>
      <c r="BZ336" s="2743"/>
      <c r="CA336" s="2743"/>
      <c r="CB336" s="2743"/>
      <c r="CC336" s="2743"/>
      <c r="CD336" s="2743"/>
      <c r="CE336" s="2743"/>
      <c r="CF336" s="2743"/>
      <c r="CG336" s="2743"/>
      <c r="CH336" s="2826"/>
      <c r="CI336" s="2745"/>
      <c r="CJ336" s="2745"/>
      <c r="CK336" s="2745"/>
      <c r="CL336" s="2745"/>
      <c r="CM336" s="2827">
        <f t="shared" ref="CM336:DQ336" si="618">(CM335-CH335)*10000</f>
        <v>-217.73760264054809</v>
      </c>
      <c r="CN336" s="2748">
        <f t="shared" si="618"/>
        <v>-91.836204010876671</v>
      </c>
      <c r="CO336" s="2748">
        <f t="shared" si="618"/>
        <v>53.080870305380337</v>
      </c>
      <c r="CP336" s="2748">
        <f t="shared" si="618"/>
        <v>38.417390840774502</v>
      </c>
      <c r="CQ336" s="2748">
        <f t="shared" si="618"/>
        <v>92.403379376777281</v>
      </c>
      <c r="CR336" s="2827">
        <f t="shared" si="618"/>
        <v>25.084054544531888</v>
      </c>
      <c r="CS336" s="2748">
        <f t="shared" si="618"/>
        <v>60.337108759692114</v>
      </c>
      <c r="CT336" s="2748">
        <f t="shared" si="618"/>
        <v>53.977207282019933</v>
      </c>
      <c r="CU336" s="2748">
        <f t="shared" si="618"/>
        <v>47.68777722503448</v>
      </c>
      <c r="CV336" s="2748">
        <f t="shared" si="618"/>
        <v>24.804168612633237</v>
      </c>
      <c r="CW336" s="2827">
        <f t="shared" si="618"/>
        <v>45.459231456511098</v>
      </c>
      <c r="CX336" s="2748">
        <f t="shared" si="618"/>
        <v>16.624277030062864</v>
      </c>
      <c r="CY336" s="2748">
        <f t="shared" si="618"/>
        <v>-135.29107767137839</v>
      </c>
      <c r="CZ336" s="2748">
        <f t="shared" si="618"/>
        <v>233.39765722002915</v>
      </c>
      <c r="DA336" s="2748">
        <f t="shared" si="618"/>
        <v>-176.12448650075495</v>
      </c>
      <c r="DB336" s="2827">
        <f t="shared" si="618"/>
        <v>-21.785802503057617</v>
      </c>
      <c r="DC336" s="2748">
        <f t="shared" si="618"/>
        <v>-203.02139094664605</v>
      </c>
      <c r="DD336" s="2748">
        <f t="shared" si="618"/>
        <v>-155.29765610912071</v>
      </c>
      <c r="DE336" s="2748">
        <f t="shared" si="618"/>
        <v>-245.78985576599266</v>
      </c>
      <c r="DF336" s="2748">
        <f t="shared" si="618"/>
        <v>-277.93128483894674</v>
      </c>
      <c r="DG336" s="2827">
        <f t="shared" si="618"/>
        <v>-223.04085596987349</v>
      </c>
      <c r="DH336" s="2748">
        <f t="shared" si="618"/>
        <v>-165.29260845461496</v>
      </c>
      <c r="DI336" s="2748">
        <f t="shared" si="618"/>
        <v>-127.99432406284394</v>
      </c>
      <c r="DJ336" s="2748">
        <f t="shared" si="618"/>
        <v>-290.33110552847882</v>
      </c>
      <c r="DK336" s="2748">
        <f t="shared" si="618"/>
        <v>-82.06684781854878</v>
      </c>
      <c r="DL336" s="2827">
        <f t="shared" si="618"/>
        <v>-162.60738200004064</v>
      </c>
      <c r="DM336" s="2748">
        <f t="shared" si="618"/>
        <v>-347.3296402803777</v>
      </c>
      <c r="DN336" s="2748">
        <f t="shared" si="618"/>
        <v>-690.52070946856588</v>
      </c>
      <c r="DO336" s="2748">
        <f t="shared" si="618"/>
        <v>162.4936398984897</v>
      </c>
      <c r="DP336" s="2748">
        <f t="shared" si="618"/>
        <v>739.6428906764022</v>
      </c>
      <c r="DQ336" s="2827">
        <f t="shared" si="618"/>
        <v>38.77800316839847</v>
      </c>
      <c r="DR336" s="2748"/>
      <c r="DS336" s="2748"/>
      <c r="DT336" s="2748"/>
      <c r="DU336" s="2748"/>
      <c r="DV336" s="2827"/>
      <c r="DW336" s="2748"/>
      <c r="DX336" s="2748"/>
      <c r="DY336" s="2748"/>
      <c r="DZ336" s="2748"/>
      <c r="EA336" s="2827"/>
      <c r="EB336" s="2748"/>
      <c r="EC336" s="2748"/>
      <c r="ED336" s="2748"/>
      <c r="EE336" s="2748"/>
      <c r="EF336" s="2827"/>
      <c r="EG336" s="2748"/>
      <c r="EH336" s="2748"/>
      <c r="EI336" s="2748"/>
      <c r="EJ336" s="2748"/>
      <c r="EK336" s="2827"/>
      <c r="EL336" s="2748"/>
      <c r="EM336" s="2748"/>
      <c r="EN336" s="2748"/>
      <c r="EO336" s="2748"/>
      <c r="EP336" s="2827"/>
      <c r="EQ336" s="2748"/>
      <c r="ER336" s="2748"/>
      <c r="ES336" s="2748"/>
      <c r="ET336" s="2748"/>
      <c r="EU336" s="2827"/>
      <c r="EV336" s="2827"/>
      <c r="EW336" s="2827"/>
      <c r="EX336" s="2827"/>
      <c r="EY336" s="2827"/>
      <c r="EZ336" s="767"/>
      <c r="FA336" s="4276"/>
      <c r="FB336" s="4276"/>
    </row>
    <row r="337" spans="1:158" s="766" customFormat="1" hidden="1">
      <c r="A337" s="3561" t="s">
        <v>678</v>
      </c>
      <c r="B337" s="2743"/>
      <c r="C337" s="2743"/>
      <c r="D337" s="2743"/>
      <c r="E337" s="2743"/>
      <c r="F337" s="2743"/>
      <c r="G337" s="2743"/>
      <c r="H337" s="2743"/>
      <c r="I337" s="2743"/>
      <c r="J337" s="2743"/>
      <c r="K337" s="2743"/>
      <c r="L337" s="2743"/>
      <c r="M337" s="2743"/>
      <c r="N337" s="2743"/>
      <c r="O337" s="2743"/>
      <c r="P337" s="2743"/>
      <c r="Q337" s="2743"/>
      <c r="R337" s="2743"/>
      <c r="S337" s="2743"/>
      <c r="T337" s="2743"/>
      <c r="U337" s="2743"/>
      <c r="V337" s="2743"/>
      <c r="W337" s="2743"/>
      <c r="X337" s="2743"/>
      <c r="Y337" s="2743"/>
      <c r="Z337" s="2743"/>
      <c r="AA337" s="2743"/>
      <c r="AB337" s="2743"/>
      <c r="AC337" s="2743"/>
      <c r="AD337" s="2743"/>
      <c r="AE337" s="2743"/>
      <c r="AF337" s="2743"/>
      <c r="AG337" s="2743"/>
      <c r="AH337" s="2743"/>
      <c r="AI337" s="2743"/>
      <c r="AJ337" s="2743"/>
      <c r="AK337" s="2743"/>
      <c r="AL337" s="2743"/>
      <c r="AM337" s="2743"/>
      <c r="AN337" s="2743"/>
      <c r="AO337" s="2743"/>
      <c r="AP337" s="2743"/>
      <c r="AQ337" s="2743"/>
      <c r="AR337" s="2743"/>
      <c r="AS337" s="2743"/>
      <c r="AT337" s="2743"/>
      <c r="AU337" s="2743"/>
      <c r="AV337" s="2743"/>
      <c r="AW337" s="2743"/>
      <c r="AX337" s="2743"/>
      <c r="AY337" s="2743"/>
      <c r="AZ337" s="2743"/>
      <c r="BA337" s="2743"/>
      <c r="BB337" s="2743"/>
      <c r="BC337" s="2743"/>
      <c r="BD337" s="2743"/>
      <c r="BE337" s="2743"/>
      <c r="BF337" s="2743"/>
      <c r="BG337" s="2743"/>
      <c r="BH337" s="2743"/>
      <c r="BI337" s="2743"/>
      <c r="BJ337" s="2743"/>
      <c r="BK337" s="2743"/>
      <c r="BL337" s="2743"/>
      <c r="BM337" s="2743"/>
      <c r="BN337" s="2743"/>
      <c r="BO337" s="2743"/>
      <c r="BP337" s="2743"/>
      <c r="BQ337" s="2743"/>
      <c r="BR337" s="2743"/>
      <c r="BS337" s="2743"/>
      <c r="BT337" s="2743"/>
      <c r="BU337" s="2743"/>
      <c r="BV337" s="2743"/>
      <c r="BW337" s="2743"/>
      <c r="BX337" s="2743"/>
      <c r="BY337" s="2743"/>
      <c r="BZ337" s="2743"/>
      <c r="CA337" s="2743"/>
      <c r="CB337" s="2743"/>
      <c r="CC337" s="2743"/>
      <c r="CD337" s="2743"/>
      <c r="CE337" s="2743"/>
      <c r="CF337" s="2743"/>
      <c r="CG337" s="2743"/>
      <c r="CH337" s="2826"/>
      <c r="CI337" s="2745"/>
      <c r="CJ337" s="2745"/>
      <c r="CK337" s="2745"/>
      <c r="CL337" s="2745"/>
      <c r="CM337" s="2827"/>
      <c r="CN337" s="2748">
        <f>(CN335-CL335)*10000</f>
        <v>146.79200739190961</v>
      </c>
      <c r="CO337" s="2748">
        <f>(CO335-CN335)*10000</f>
        <v>145.06075825873322</v>
      </c>
      <c r="CP337" s="2748">
        <f>(CP335-CO335)*10000</f>
        <v>-200.81934326123817</v>
      </c>
      <c r="CQ337" s="2748">
        <f>(CQ335-CP335)*10000</f>
        <v>1.3699569873726336</v>
      </c>
      <c r="CR337" s="2827"/>
      <c r="CS337" s="2748">
        <f>(CS335-CQ335)*10000</f>
        <v>114.72573677482445</v>
      </c>
      <c r="CT337" s="2748">
        <f>(CT335-CS335)*10000</f>
        <v>138.70085678106102</v>
      </c>
      <c r="CU337" s="2748">
        <f>(CU335-CT335)*10000</f>
        <v>-207.10877331822363</v>
      </c>
      <c r="CV337" s="2748">
        <f>(CV335-CU335)*10000</f>
        <v>-21.513651625028608</v>
      </c>
      <c r="CW337" s="2827"/>
      <c r="CX337" s="2748">
        <f>(CX335-CV335)*10000</f>
        <v>106.54584519225408</v>
      </c>
      <c r="CY337" s="2748">
        <f>(CY335-CX335)*10000</f>
        <v>-13.214497920380207</v>
      </c>
      <c r="CZ337" s="2748">
        <f>(CZ335-CY335)*10000</f>
        <v>161.57996157318388</v>
      </c>
      <c r="DA337" s="2748">
        <f>(DA335-CZ335)*10000</f>
        <v>-431.03579534581269</v>
      </c>
      <c r="DB337" s="2827"/>
      <c r="DC337" s="2748">
        <f>(DC335-DA335)*10000</f>
        <v>79.648940746362968</v>
      </c>
      <c r="DD337" s="2748">
        <f>(DD335-DC335)*10000</f>
        <v>34.509236917145138</v>
      </c>
      <c r="DE337" s="2748">
        <f>(DE335-DD335)*10000</f>
        <v>71.087761916311948</v>
      </c>
      <c r="DF337" s="2748">
        <f>(DF335-DE335)*10000</f>
        <v>-463.1772244187668</v>
      </c>
      <c r="DG337" s="2827"/>
      <c r="DH337" s="2748">
        <f>(DH335-DF335)*10000</f>
        <v>192.28761713069474</v>
      </c>
      <c r="DI337" s="2748">
        <f>(DI335-DH335)*10000</f>
        <v>71.807521308916151</v>
      </c>
      <c r="DJ337" s="2748">
        <f>(DJ335-DI335)*10000</f>
        <v>-91.249019549322909</v>
      </c>
      <c r="DK337" s="2748">
        <f>(DK335-DJ335)*10000</f>
        <v>-254.91296670883679</v>
      </c>
      <c r="DL337" s="2827"/>
      <c r="DM337" s="2748">
        <f>(DM335-DL335)*10000</f>
        <v>-281.64344135218676</v>
      </c>
      <c r="DN337" s="2748">
        <f>(DN335-DM335)*10000</f>
        <v>-271.38354787927199</v>
      </c>
      <c r="DO337" s="2748">
        <f>(DO335-DN335)*10000</f>
        <v>761.76532981773266</v>
      </c>
      <c r="DP337" s="2748">
        <f>(DP335-DO335)*10000</f>
        <v>322.23628406907568</v>
      </c>
      <c r="DQ337" s="2827"/>
      <c r="DR337" s="2748"/>
      <c r="DS337" s="2748"/>
      <c r="DT337" s="2748"/>
      <c r="DU337" s="2748"/>
      <c r="DV337" s="2827"/>
      <c r="DW337" s="2748"/>
      <c r="DX337" s="2748"/>
      <c r="DY337" s="2748"/>
      <c r="DZ337" s="2748"/>
      <c r="EA337" s="2827"/>
      <c r="EB337" s="2748"/>
      <c r="EC337" s="2748"/>
      <c r="ED337" s="2748"/>
      <c r="EE337" s="2748"/>
      <c r="EF337" s="2827"/>
      <c r="EG337" s="2748"/>
      <c r="EH337" s="2748"/>
      <c r="EI337" s="2748"/>
      <c r="EJ337" s="2748"/>
      <c r="EK337" s="2827"/>
      <c r="EL337" s="2748"/>
      <c r="EM337" s="2748"/>
      <c r="EN337" s="2748"/>
      <c r="EO337" s="2748"/>
      <c r="EP337" s="2827"/>
      <c r="EQ337" s="2748"/>
      <c r="ER337" s="2748"/>
      <c r="ES337" s="2748"/>
      <c r="ET337" s="2748"/>
      <c r="EU337" s="2827"/>
      <c r="EV337" s="2827"/>
      <c r="EW337" s="2827"/>
      <c r="EX337" s="2827"/>
      <c r="EY337" s="2827"/>
      <c r="EZ337" s="767"/>
      <c r="FA337" s="4276"/>
      <c r="FB337" s="4276"/>
    </row>
    <row r="338" spans="1:158" s="766" customFormat="1" hidden="1">
      <c r="A338" s="3555" t="s">
        <v>469</v>
      </c>
      <c r="B338" s="3245"/>
      <c r="C338" s="3245"/>
      <c r="D338" s="3245"/>
      <c r="E338" s="3245"/>
      <c r="F338" s="3245"/>
      <c r="G338" s="3245"/>
      <c r="H338" s="3245"/>
      <c r="I338" s="3245"/>
      <c r="J338" s="3245"/>
      <c r="K338" s="3245"/>
      <c r="L338" s="3245"/>
      <c r="M338" s="3245"/>
      <c r="N338" s="3245"/>
      <c r="O338" s="3245"/>
      <c r="P338" s="3245"/>
      <c r="Q338" s="3245"/>
      <c r="R338" s="3245"/>
      <c r="S338" s="3245"/>
      <c r="T338" s="3245"/>
      <c r="U338" s="3245"/>
      <c r="V338" s="3245"/>
      <c r="W338" s="3245"/>
      <c r="X338" s="3245"/>
      <c r="Y338" s="3245"/>
      <c r="Z338" s="3245"/>
      <c r="AA338" s="3245"/>
      <c r="AB338" s="3245"/>
      <c r="AC338" s="3245"/>
      <c r="AD338" s="3245"/>
      <c r="AE338" s="3245"/>
      <c r="AF338" s="3245"/>
      <c r="AG338" s="3245"/>
      <c r="AH338" s="3245"/>
      <c r="AI338" s="3245"/>
      <c r="AJ338" s="3245"/>
      <c r="AK338" s="3245"/>
      <c r="AL338" s="3245"/>
      <c r="AM338" s="3245"/>
      <c r="AN338" s="3245"/>
      <c r="AO338" s="3245"/>
      <c r="AP338" s="3245"/>
      <c r="AQ338" s="3245"/>
      <c r="AR338" s="3245"/>
      <c r="AS338" s="3245"/>
      <c r="AT338" s="3245"/>
      <c r="AU338" s="3245"/>
      <c r="AV338" s="3245"/>
      <c r="AW338" s="3245"/>
      <c r="AX338" s="3245"/>
      <c r="AY338" s="3245"/>
      <c r="AZ338" s="3245"/>
      <c r="BA338" s="3245"/>
      <c r="BB338" s="3245"/>
      <c r="BC338" s="3245"/>
      <c r="BD338" s="3245"/>
      <c r="BE338" s="3245"/>
      <c r="BF338" s="3245"/>
      <c r="BG338" s="3245"/>
      <c r="BH338" s="3245"/>
      <c r="BI338" s="3245"/>
      <c r="BJ338" s="3245"/>
      <c r="BK338" s="3245"/>
      <c r="BL338" s="3245"/>
      <c r="BM338" s="3245"/>
      <c r="BN338" s="3245"/>
      <c r="BO338" s="3245"/>
      <c r="BP338" s="3245"/>
      <c r="BQ338" s="3245"/>
      <c r="BR338" s="3245"/>
      <c r="BS338" s="3245"/>
      <c r="BT338" s="3245"/>
      <c r="BU338" s="3245"/>
      <c r="BV338" s="3245"/>
      <c r="BW338" s="3245"/>
      <c r="BX338" s="3245"/>
      <c r="BY338" s="3245"/>
      <c r="BZ338" s="3245"/>
      <c r="CA338" s="3245"/>
      <c r="CB338" s="3245"/>
      <c r="CC338" s="3245"/>
      <c r="CD338" s="3245"/>
      <c r="CE338" s="3245"/>
      <c r="CF338" s="3245"/>
      <c r="CG338" s="3245"/>
      <c r="CH338" s="3287">
        <f>+CH325/CH$313</f>
        <v>0.13253120553324088</v>
      </c>
      <c r="CI338" s="3291">
        <f t="shared" ref="CI338:CL339" si="619">+IFERROR(CI325/CI$313,"N/A")</f>
        <v>0.1520752269779507</v>
      </c>
      <c r="CJ338" s="3291">
        <f t="shared" si="619"/>
        <v>0.16584142901911628</v>
      </c>
      <c r="CK338" s="3291">
        <f t="shared" si="619"/>
        <v>0.14628094171760575</v>
      </c>
      <c r="CL338" s="3291">
        <f t="shared" si="619"/>
        <v>0.19615533337015964</v>
      </c>
      <c r="CM338" s="3287">
        <f t="shared" ref="CM338:DQ338" si="620">+CM325/CM$313</f>
        <v>0.16604293874335238</v>
      </c>
      <c r="CN338" s="3288">
        <f t="shared" si="620"/>
        <v>0.16960250318692779</v>
      </c>
      <c r="CO338" s="3288">
        <f t="shared" si="620"/>
        <v>0.14187397754837253</v>
      </c>
      <c r="CP338" s="3288">
        <f t="shared" si="620"/>
        <v>0.1276037483266399</v>
      </c>
      <c r="CQ338" s="3288">
        <f t="shared" si="620"/>
        <v>9.8551268226358485E-2</v>
      </c>
      <c r="CR338" s="3287">
        <f t="shared" si="620"/>
        <v>0.13237941564762831</v>
      </c>
      <c r="CS338" s="3288">
        <f t="shared" si="620"/>
        <v>0.12064965197215777</v>
      </c>
      <c r="CT338" s="3288">
        <f t="shared" si="620"/>
        <v>9.9348837209302321E-2</v>
      </c>
      <c r="CU338" s="3288">
        <f t="shared" si="620"/>
        <v>0.1137588526123558</v>
      </c>
      <c r="CV338" s="3288">
        <f t="shared" si="620"/>
        <v>0.11809392265193371</v>
      </c>
      <c r="CW338" s="3287">
        <f t="shared" si="620"/>
        <v>0.11312477844735909</v>
      </c>
      <c r="CX338" s="3288">
        <f t="shared" si="620"/>
        <v>0.10133333333333333</v>
      </c>
      <c r="CY338" s="3288">
        <f t="shared" si="620"/>
        <v>0.10884275278738946</v>
      </c>
      <c r="CZ338" s="3288">
        <f t="shared" si="620"/>
        <v>0.12739449805559555</v>
      </c>
      <c r="DA338" s="3288">
        <f t="shared" si="620"/>
        <v>0.133248770225536</v>
      </c>
      <c r="DB338" s="3287">
        <f t="shared" si="620"/>
        <v>0.11893013395877497</v>
      </c>
      <c r="DC338" s="3288">
        <f t="shared" si="620"/>
        <v>0.2343479098439607</v>
      </c>
      <c r="DD338" s="3288">
        <f t="shared" si="620"/>
        <v>0.167712894632085</v>
      </c>
      <c r="DE338" s="3288">
        <f t="shared" si="620"/>
        <v>0.15655008891523414</v>
      </c>
      <c r="DF338" s="3288">
        <f t="shared" si="620"/>
        <v>0.18028821672268053</v>
      </c>
      <c r="DG338" s="3287">
        <f t="shared" si="620"/>
        <v>0.18373910056351822</v>
      </c>
      <c r="DH338" s="3288">
        <f t="shared" si="620"/>
        <v>0.12763147032114258</v>
      </c>
      <c r="DI338" s="3288">
        <f t="shared" si="620"/>
        <v>0.15730279375513559</v>
      </c>
      <c r="DJ338" s="3288">
        <f t="shared" si="620"/>
        <v>0.16622632657596484</v>
      </c>
      <c r="DK338" s="3288">
        <f t="shared" si="620"/>
        <v>0.13135105805751493</v>
      </c>
      <c r="DL338" s="3287">
        <f t="shared" si="620"/>
        <v>0.14548644791389931</v>
      </c>
      <c r="DM338" s="3288">
        <f t="shared" si="620"/>
        <v>0.14589761656016911</v>
      </c>
      <c r="DN338" s="3288">
        <f t="shared" si="620"/>
        <v>0.14076820638692325</v>
      </c>
      <c r="DO338" s="3288">
        <f t="shared" si="620"/>
        <v>0.11708141121434605</v>
      </c>
      <c r="DP338" s="3288">
        <f t="shared" si="620"/>
        <v>9.6295124608949345E-2</v>
      </c>
      <c r="DQ338" s="3287">
        <f t="shared" si="620"/>
        <v>0.12206961161910293</v>
      </c>
      <c r="DR338" s="3288"/>
      <c r="DS338" s="3288"/>
      <c r="DT338" s="3288"/>
      <c r="DU338" s="3288"/>
      <c r="DV338" s="3287"/>
      <c r="DW338" s="3288"/>
      <c r="DX338" s="3288"/>
      <c r="DY338" s="3288"/>
      <c r="DZ338" s="3288"/>
      <c r="EA338" s="3287"/>
      <c r="EB338" s="3288"/>
      <c r="EC338" s="3288"/>
      <c r="ED338" s="3288"/>
      <c r="EE338" s="3288"/>
      <c r="EF338" s="3287"/>
      <c r="EG338" s="3288"/>
      <c r="EH338" s="3288"/>
      <c r="EI338" s="3288"/>
      <c r="EJ338" s="3288"/>
      <c r="EK338" s="3287"/>
      <c r="EL338" s="3288"/>
      <c r="EM338" s="3288"/>
      <c r="EN338" s="3288"/>
      <c r="EO338" s="3288"/>
      <c r="EP338" s="3287"/>
      <c r="EQ338" s="3288"/>
      <c r="ER338" s="3288"/>
      <c r="ES338" s="3288"/>
      <c r="ET338" s="3288"/>
      <c r="EU338" s="3287"/>
      <c r="EV338" s="3287"/>
      <c r="EW338" s="3287"/>
      <c r="EX338" s="3287"/>
      <c r="EY338" s="3287"/>
      <c r="EZ338" s="767"/>
      <c r="FA338" s="4276"/>
      <c r="FB338" s="4276"/>
    </row>
    <row r="339" spans="1:158" s="766" customFormat="1" hidden="1">
      <c r="A339" s="3563" t="s">
        <v>470</v>
      </c>
      <c r="B339" s="2828"/>
      <c r="C339" s="2828"/>
      <c r="D339" s="2828"/>
      <c r="E339" s="2828"/>
      <c r="F339" s="2828"/>
      <c r="G339" s="2828"/>
      <c r="H339" s="2828"/>
      <c r="I339" s="2828"/>
      <c r="J339" s="2828"/>
      <c r="K339" s="2828"/>
      <c r="L339" s="2828"/>
      <c r="M339" s="2828"/>
      <c r="N339" s="2828"/>
      <c r="O339" s="2828"/>
      <c r="P339" s="2828"/>
      <c r="Q339" s="2828"/>
      <c r="R339" s="2828"/>
      <c r="S339" s="2828"/>
      <c r="T339" s="2828"/>
      <c r="U339" s="2828"/>
      <c r="V339" s="2828"/>
      <c r="W339" s="2828"/>
      <c r="X339" s="2828"/>
      <c r="Y339" s="2828"/>
      <c r="Z339" s="2828"/>
      <c r="AA339" s="2828"/>
      <c r="AB339" s="2828"/>
      <c r="AC339" s="2828"/>
      <c r="AD339" s="2828"/>
      <c r="AE339" s="2828"/>
      <c r="AF339" s="2828"/>
      <c r="AG339" s="2828"/>
      <c r="AH339" s="2828"/>
      <c r="AI339" s="2828"/>
      <c r="AJ339" s="2828"/>
      <c r="AK339" s="2828"/>
      <c r="AL339" s="2828"/>
      <c r="AM339" s="2828"/>
      <c r="AN339" s="2828"/>
      <c r="AO339" s="2828"/>
      <c r="AP339" s="2828"/>
      <c r="AQ339" s="2828"/>
      <c r="AR339" s="2828"/>
      <c r="AS339" s="2828"/>
      <c r="AT339" s="2828"/>
      <c r="AU339" s="2828"/>
      <c r="AV339" s="2828"/>
      <c r="AW339" s="2828"/>
      <c r="AX339" s="2828"/>
      <c r="AY339" s="2828"/>
      <c r="AZ339" s="2828"/>
      <c r="BA339" s="2828"/>
      <c r="BB339" s="2828"/>
      <c r="BC339" s="2828"/>
      <c r="BD339" s="2828"/>
      <c r="BE339" s="2828"/>
      <c r="BF339" s="2828"/>
      <c r="BG339" s="2828"/>
      <c r="BH339" s="2828"/>
      <c r="BI339" s="2828"/>
      <c r="BJ339" s="2828"/>
      <c r="BK339" s="2828"/>
      <c r="BL339" s="2828"/>
      <c r="BM339" s="2828"/>
      <c r="BN339" s="2828"/>
      <c r="BO339" s="2828"/>
      <c r="BP339" s="2828"/>
      <c r="BQ339" s="2828"/>
      <c r="BR339" s="2828"/>
      <c r="BS339" s="2828"/>
      <c r="BT339" s="2774"/>
      <c r="BU339" s="2774"/>
      <c r="BV339" s="2774"/>
      <c r="BW339" s="2774"/>
      <c r="BX339" s="2774"/>
      <c r="BY339" s="2774"/>
      <c r="BZ339" s="2774"/>
      <c r="CA339" s="2774"/>
      <c r="CB339" s="2774"/>
      <c r="CC339" s="2774"/>
      <c r="CD339" s="2828"/>
      <c r="CE339" s="2828"/>
      <c r="CF339" s="2828"/>
      <c r="CG339" s="2828"/>
      <c r="CH339" s="2762">
        <f>+CH326/CH$313</f>
        <v>7.0948684234226123E-2</v>
      </c>
      <c r="CI339" s="2829" t="str">
        <f t="shared" si="619"/>
        <v>N/A</v>
      </c>
      <c r="CJ339" s="2829" t="str">
        <f t="shared" si="619"/>
        <v>N/A</v>
      </c>
      <c r="CK339" s="2829" t="str">
        <f t="shared" si="619"/>
        <v>N/A</v>
      </c>
      <c r="CL339" s="2829">
        <f t="shared" si="619"/>
        <v>6.9988399712754792E-2</v>
      </c>
      <c r="CM339" s="2762">
        <f t="shared" ref="CM339:DQ339" si="621">+CM326/CM$313</f>
        <v>7.543825093559188E-2</v>
      </c>
      <c r="CN339" s="2830">
        <f t="shared" si="621"/>
        <v>6.8200254954224132E-2</v>
      </c>
      <c r="CO339" s="2830">
        <f t="shared" si="621"/>
        <v>6.9611327353754165E-2</v>
      </c>
      <c r="CP339" s="2830">
        <f t="shared" si="621"/>
        <v>6.6827309236947796E-2</v>
      </c>
      <c r="CQ339" s="2830">
        <f t="shared" si="621"/>
        <v>6.5825870880022508E-2</v>
      </c>
      <c r="CR339" s="2762">
        <f t="shared" si="621"/>
        <v>6.7516569096800857E-2</v>
      </c>
      <c r="CS339" s="2830">
        <f t="shared" si="621"/>
        <v>6.7680308041664611E-2</v>
      </c>
      <c r="CT339" s="2830">
        <f t="shared" si="621"/>
        <v>6.9302325581395346E-2</v>
      </c>
      <c r="CU339" s="2830">
        <f t="shared" si="621"/>
        <v>7.1088147521268547E-2</v>
      </c>
      <c r="CV339" s="2830">
        <f t="shared" si="621"/>
        <v>6.4725291589932468E-2</v>
      </c>
      <c r="CW339" s="2762">
        <f t="shared" si="621"/>
        <v>6.8060971286777738E-2</v>
      </c>
      <c r="CX339" s="2830">
        <f t="shared" si="621"/>
        <v>6.0727272727272727E-2</v>
      </c>
      <c r="CY339" s="2830">
        <f t="shared" si="621"/>
        <v>6.2475970780469049E-2</v>
      </c>
      <c r="CZ339" s="2830">
        <f t="shared" si="621"/>
        <v>6.3409189111335154E-2</v>
      </c>
      <c r="DA339" s="2830">
        <f t="shared" si="621"/>
        <v>6.267982551124586E-2</v>
      </c>
      <c r="DB339" s="2762">
        <f t="shared" si="621"/>
        <v>6.237878309503405E-2</v>
      </c>
      <c r="DC339" s="2830">
        <f t="shared" si="621"/>
        <v>6.3764207281833948E-2</v>
      </c>
      <c r="DD339" s="2830">
        <f t="shared" si="621"/>
        <v>6.4733441528615612E-2</v>
      </c>
      <c r="DE339" s="2830">
        <f t="shared" si="621"/>
        <v>6.9798458802608182E-2</v>
      </c>
      <c r="DF339" s="2830">
        <f t="shared" si="621"/>
        <v>6.5688970363580818E-2</v>
      </c>
      <c r="DG339" s="2762">
        <f t="shared" si="621"/>
        <v>6.6036149949933856E-2</v>
      </c>
      <c r="DH339" s="2830">
        <f t="shared" si="621"/>
        <v>7.1906216461652767E-2</v>
      </c>
      <c r="DI339" s="2830">
        <f t="shared" si="621"/>
        <v>7.2796836483155297E-2</v>
      </c>
      <c r="DJ339" s="2830">
        <f t="shared" si="621"/>
        <v>7.2100545692486237E-2</v>
      </c>
      <c r="DK339" s="2830">
        <f t="shared" si="621"/>
        <v>7.4074877916440587E-2</v>
      </c>
      <c r="DL339" s="2762">
        <f t="shared" si="621"/>
        <v>7.2786472009242723E-2</v>
      </c>
      <c r="DM339" s="2830">
        <f t="shared" si="621"/>
        <v>7.5512038679268201E-2</v>
      </c>
      <c r="DN339" s="2830">
        <f t="shared" si="621"/>
        <v>8.8414236102044547E-2</v>
      </c>
      <c r="DO339" s="2830">
        <f t="shared" si="621"/>
        <v>7.5325406622918159E-2</v>
      </c>
      <c r="DP339" s="2830">
        <f t="shared" si="621"/>
        <v>6.5468030510738517E-2</v>
      </c>
      <c r="DQ339" s="2762">
        <f t="shared" si="621"/>
        <v>7.5040952845332465E-2</v>
      </c>
      <c r="DR339" s="2830"/>
      <c r="DS339" s="2830"/>
      <c r="DT339" s="2830"/>
      <c r="DU339" s="2830"/>
      <c r="DV339" s="2762"/>
      <c r="DW339" s="2830"/>
      <c r="DX339" s="2830"/>
      <c r="DY339" s="2830"/>
      <c r="DZ339" s="2830"/>
      <c r="EA339" s="2831"/>
      <c r="EB339" s="2830"/>
      <c r="EC339" s="2830"/>
      <c r="ED339" s="2830"/>
      <c r="EE339" s="2830"/>
      <c r="EF339" s="2831"/>
      <c r="EG339" s="2830"/>
      <c r="EH339" s="2830"/>
      <c r="EI339" s="2830"/>
      <c r="EJ339" s="2830"/>
      <c r="EK339" s="2831"/>
      <c r="EL339" s="2830"/>
      <c r="EM339" s="2830"/>
      <c r="EN339" s="2830"/>
      <c r="EO339" s="2830"/>
      <c r="EP339" s="2831"/>
      <c r="EQ339" s="2830"/>
      <c r="ER339" s="2830"/>
      <c r="ES339" s="2830"/>
      <c r="ET339" s="2830"/>
      <c r="EU339" s="2831"/>
      <c r="EV339" s="2831"/>
      <c r="EW339" s="2831"/>
      <c r="EX339" s="2831"/>
      <c r="EY339" s="2831"/>
      <c r="EZ339" s="767"/>
      <c r="FA339" s="4276"/>
      <c r="FB339" s="4276"/>
    </row>
    <row r="340" spans="1:158" hidden="1">
      <c r="A340" s="2812"/>
      <c r="B340" s="151"/>
      <c r="C340" s="151"/>
      <c r="D340" s="151"/>
      <c r="E340" s="151"/>
      <c r="F340" s="151"/>
      <c r="G340" s="151"/>
      <c r="H340" s="151"/>
      <c r="I340" s="151"/>
      <c r="J340" s="151"/>
      <c r="K340" s="151"/>
      <c r="L340" s="151"/>
      <c r="M340" s="151"/>
      <c r="N340" s="151"/>
      <c r="O340" s="151"/>
      <c r="P340" s="151"/>
      <c r="Q340" s="151"/>
      <c r="R340" s="151"/>
      <c r="S340" s="151"/>
      <c r="T340" s="151"/>
      <c r="U340" s="151"/>
      <c r="V340" s="151"/>
      <c r="W340" s="151"/>
      <c r="X340" s="151"/>
      <c r="Y340" s="151"/>
      <c r="Z340" s="151"/>
      <c r="AA340" s="151"/>
      <c r="AB340" s="151"/>
      <c r="AC340" s="151"/>
      <c r="AD340" s="151"/>
      <c r="AE340" s="151"/>
      <c r="AF340" s="151"/>
      <c r="AG340" s="151"/>
      <c r="AH340" s="151"/>
      <c r="AI340" s="151"/>
      <c r="AJ340" s="151"/>
      <c r="AK340" s="151"/>
      <c r="AL340" s="151"/>
      <c r="AM340" s="151"/>
      <c r="AN340" s="151"/>
      <c r="AO340" s="151"/>
      <c r="AP340" s="151"/>
      <c r="AQ340" s="151"/>
      <c r="AR340" s="151"/>
      <c r="AS340" s="151"/>
      <c r="AT340" s="151"/>
      <c r="AU340" s="151"/>
      <c r="AV340" s="151"/>
      <c r="AW340" s="151"/>
      <c r="AX340" s="151"/>
      <c r="AY340" s="151"/>
      <c r="AZ340" s="151"/>
      <c r="BA340" s="151"/>
      <c r="BB340" s="151"/>
      <c r="BC340" s="151"/>
      <c r="BD340" s="151"/>
      <c r="BE340" s="151"/>
      <c r="BF340" s="151"/>
      <c r="BG340" s="151"/>
      <c r="BH340" s="151"/>
      <c r="BI340" s="151"/>
      <c r="BJ340" s="151"/>
      <c r="BK340" s="151"/>
      <c r="BL340" s="151"/>
      <c r="BM340" s="151"/>
      <c r="BN340" s="151"/>
      <c r="BO340" s="151"/>
      <c r="BP340" s="151"/>
      <c r="BQ340" s="151"/>
      <c r="BR340" s="151"/>
      <c r="BS340" s="151"/>
      <c r="BT340" s="151"/>
      <c r="BU340" s="151"/>
      <c r="BV340" s="151"/>
      <c r="BW340" s="151"/>
      <c r="BX340" s="151"/>
      <c r="BY340" s="151"/>
      <c r="BZ340" s="151"/>
      <c r="CA340" s="151"/>
      <c r="CB340" s="151"/>
      <c r="CC340" s="151"/>
      <c r="CD340" s="151"/>
      <c r="CE340" s="151"/>
      <c r="CF340" s="151"/>
      <c r="CG340" s="151"/>
      <c r="CH340" s="151"/>
      <c r="CI340" s="151"/>
      <c r="CJ340" s="151"/>
      <c r="CK340" s="151"/>
      <c r="CL340" s="151"/>
      <c r="CM340" s="151"/>
      <c r="CN340" s="151"/>
      <c r="CO340" s="151"/>
      <c r="CP340" s="151"/>
      <c r="CQ340" s="151"/>
      <c r="CR340" s="151"/>
      <c r="CS340" s="151"/>
      <c r="CT340" s="151"/>
      <c r="CU340" s="151"/>
      <c r="CV340" s="151"/>
      <c r="CW340" s="151"/>
      <c r="CX340" s="151"/>
      <c r="CY340" s="151"/>
      <c r="CZ340" s="151"/>
      <c r="DA340" s="151"/>
      <c r="DB340" s="151"/>
      <c r="DC340" s="151"/>
      <c r="DD340" s="151"/>
      <c r="DE340" s="151"/>
      <c r="DF340" s="151"/>
      <c r="DG340" s="151"/>
      <c r="DH340" s="151"/>
      <c r="DI340" s="151"/>
      <c r="DJ340" s="151"/>
      <c r="DK340" s="151"/>
      <c r="DL340" s="151"/>
      <c r="DM340" s="151"/>
      <c r="DN340" s="151"/>
      <c r="DO340" s="151"/>
      <c r="DP340" s="151"/>
      <c r="DQ340" s="151"/>
      <c r="DR340" s="151"/>
      <c r="DS340" s="151"/>
      <c r="DT340" s="151"/>
      <c r="DU340" s="151"/>
      <c r="DV340" s="151"/>
      <c r="DW340" s="151"/>
      <c r="DX340" s="151"/>
      <c r="DY340" s="151"/>
      <c r="DZ340" s="151"/>
      <c r="EA340" s="151"/>
      <c r="EB340" s="151"/>
      <c r="EC340" s="151"/>
      <c r="ED340" s="151"/>
      <c r="EE340" s="151"/>
      <c r="EF340" s="151"/>
      <c r="EG340" s="151"/>
      <c r="EH340" s="151"/>
      <c r="EI340" s="151"/>
      <c r="EJ340" s="151"/>
      <c r="EK340" s="151"/>
      <c r="EL340" s="151"/>
      <c r="EM340" s="151"/>
      <c r="EN340" s="151"/>
      <c r="EO340" s="151"/>
      <c r="EP340" s="151"/>
      <c r="EQ340" s="151"/>
      <c r="ER340" s="151"/>
      <c r="ES340" s="151"/>
      <c r="ET340" s="151"/>
      <c r="EU340" s="151"/>
      <c r="EV340" s="151"/>
      <c r="EW340" s="151"/>
      <c r="EX340" s="151"/>
      <c r="EY340" s="151"/>
    </row>
    <row r="341" spans="1:158" s="627" customFormat="1" hidden="1">
      <c r="A341" s="2812"/>
      <c r="B341" s="151"/>
      <c r="C341" s="151"/>
      <c r="D341" s="151"/>
      <c r="E341" s="151"/>
      <c r="F341" s="151"/>
      <c r="G341" s="151"/>
      <c r="H341" s="151"/>
      <c r="I341" s="151"/>
      <c r="J341" s="151"/>
      <c r="K341" s="151"/>
      <c r="L341" s="151"/>
      <c r="M341" s="151"/>
      <c r="N341" s="151"/>
      <c r="O341" s="151"/>
      <c r="P341" s="151"/>
      <c r="Q341" s="151"/>
      <c r="R341" s="151"/>
      <c r="S341" s="151"/>
      <c r="T341" s="151"/>
      <c r="U341" s="151"/>
      <c r="V341" s="151"/>
      <c r="W341" s="151"/>
      <c r="X341" s="151"/>
      <c r="Y341" s="151"/>
      <c r="Z341" s="151"/>
      <c r="AA341" s="151"/>
      <c r="AB341" s="151"/>
      <c r="AC341" s="151"/>
      <c r="AD341" s="151"/>
      <c r="AE341" s="151"/>
      <c r="AF341" s="151"/>
      <c r="AG341" s="151"/>
      <c r="AH341" s="151"/>
      <c r="AI341" s="151"/>
      <c r="AJ341" s="151"/>
      <c r="AK341" s="151"/>
      <c r="AL341" s="151"/>
      <c r="AM341" s="151"/>
      <c r="AN341" s="151"/>
      <c r="AO341" s="151"/>
      <c r="AP341" s="151"/>
      <c r="AQ341" s="151"/>
      <c r="AR341" s="151"/>
      <c r="AS341" s="151"/>
      <c r="AT341" s="151"/>
      <c r="AU341" s="151"/>
      <c r="AV341" s="151"/>
      <c r="AW341" s="151"/>
      <c r="AX341" s="151"/>
      <c r="AY341" s="151"/>
      <c r="AZ341" s="151"/>
      <c r="BA341" s="151"/>
      <c r="BB341" s="151"/>
      <c r="BC341" s="151"/>
      <c r="BD341" s="151"/>
      <c r="BE341" s="151"/>
      <c r="BF341" s="151"/>
      <c r="BG341" s="151"/>
      <c r="BH341" s="151"/>
      <c r="BI341" s="151"/>
      <c r="BJ341" s="151"/>
      <c r="BK341" s="151"/>
      <c r="BL341" s="151"/>
      <c r="BM341" s="151"/>
      <c r="BN341" s="151"/>
      <c r="BO341" s="151"/>
      <c r="BP341" s="151"/>
      <c r="BQ341" s="151"/>
      <c r="BR341" s="151"/>
      <c r="BS341" s="151"/>
      <c r="BT341" s="151"/>
      <c r="BU341" s="151"/>
      <c r="BV341" s="151"/>
      <c r="BW341" s="151"/>
      <c r="BX341" s="151"/>
      <c r="BY341" s="151"/>
      <c r="BZ341" s="151"/>
      <c r="CA341" s="151"/>
      <c r="CB341" s="151"/>
      <c r="CC341" s="151"/>
      <c r="CD341" s="151"/>
      <c r="CE341" s="151"/>
      <c r="CF341" s="151"/>
      <c r="CG341" s="151"/>
      <c r="CH341" s="151"/>
      <c r="CI341" s="151"/>
      <c r="CJ341" s="151"/>
      <c r="CK341" s="151"/>
      <c r="CL341" s="151"/>
      <c r="CM341" s="151"/>
      <c r="CN341" s="151"/>
      <c r="CO341" s="151"/>
      <c r="CP341" s="151"/>
      <c r="CQ341" s="151"/>
      <c r="CR341" s="151"/>
      <c r="CS341" s="151"/>
      <c r="CT341" s="151"/>
      <c r="CU341" s="151"/>
      <c r="CV341" s="151"/>
      <c r="CW341" s="151"/>
      <c r="CX341" s="151"/>
      <c r="CY341" s="151"/>
      <c r="CZ341" s="151"/>
      <c r="DA341" s="151"/>
      <c r="DB341" s="151"/>
      <c r="DC341" s="151"/>
      <c r="DD341" s="151"/>
      <c r="DE341" s="151"/>
      <c r="DF341" s="151"/>
      <c r="DG341" s="151"/>
      <c r="DH341" s="151"/>
      <c r="DI341" s="151"/>
      <c r="DJ341" s="151"/>
      <c r="DK341" s="151"/>
      <c r="DL341" s="151"/>
      <c r="DM341" s="151"/>
      <c r="DN341" s="151"/>
      <c r="DO341" s="151"/>
      <c r="DP341" s="151"/>
      <c r="DQ341" s="151"/>
      <c r="DR341" s="151"/>
      <c r="DS341" s="151"/>
      <c r="DT341" s="151"/>
      <c r="DU341" s="151"/>
      <c r="DV341" s="151"/>
      <c r="DW341" s="151"/>
      <c r="DX341" s="151"/>
      <c r="DY341" s="151"/>
      <c r="DZ341" s="151"/>
      <c r="EA341" s="151"/>
      <c r="EB341" s="151"/>
      <c r="EC341" s="151"/>
      <c r="ED341" s="151"/>
      <c r="EE341" s="151"/>
      <c r="EF341" s="151"/>
      <c r="EG341" s="151"/>
      <c r="EH341" s="151"/>
      <c r="EI341" s="151"/>
      <c r="EJ341" s="151"/>
      <c r="EK341" s="151"/>
      <c r="EL341" s="151"/>
      <c r="EM341" s="151"/>
      <c r="EN341" s="151"/>
      <c r="EO341" s="151"/>
      <c r="EP341" s="151"/>
      <c r="EQ341" s="151"/>
      <c r="ER341" s="151"/>
      <c r="ES341" s="151"/>
      <c r="ET341" s="151"/>
      <c r="EU341" s="151"/>
      <c r="EV341" s="151"/>
      <c r="EW341" s="151"/>
      <c r="EX341" s="151"/>
      <c r="EY341" s="151"/>
      <c r="EZ341" s="768"/>
    </row>
    <row r="342" spans="1:158" hidden="1">
      <c r="A342" s="2812"/>
      <c r="B342" s="151"/>
      <c r="C342" s="151"/>
      <c r="D342" s="151"/>
      <c r="E342" s="151"/>
      <c r="F342" s="151"/>
      <c r="G342" s="151"/>
      <c r="H342" s="151"/>
      <c r="I342" s="151"/>
      <c r="J342" s="151"/>
      <c r="K342" s="151"/>
      <c r="L342" s="151"/>
      <c r="M342" s="151"/>
      <c r="N342" s="151"/>
      <c r="O342" s="151"/>
      <c r="P342" s="151"/>
      <c r="Q342" s="151"/>
      <c r="R342" s="151"/>
      <c r="S342" s="151"/>
      <c r="T342" s="151"/>
      <c r="U342" s="151"/>
      <c r="V342" s="151"/>
      <c r="W342" s="151"/>
      <c r="X342" s="151"/>
      <c r="Y342" s="151"/>
      <c r="Z342" s="151"/>
      <c r="AA342" s="151"/>
      <c r="AB342" s="151"/>
      <c r="AC342" s="151"/>
      <c r="AD342" s="151"/>
      <c r="AE342" s="151"/>
      <c r="AF342" s="151"/>
      <c r="AG342" s="151"/>
      <c r="AH342" s="151"/>
      <c r="AI342" s="151"/>
      <c r="AJ342" s="151"/>
      <c r="AK342" s="151"/>
      <c r="AL342" s="151"/>
      <c r="AM342" s="151"/>
      <c r="AN342" s="151"/>
      <c r="AO342" s="151"/>
      <c r="AP342" s="151"/>
      <c r="AQ342" s="151"/>
      <c r="AR342" s="151"/>
      <c r="AS342" s="151"/>
      <c r="AT342" s="151"/>
      <c r="AU342" s="151"/>
      <c r="AV342" s="151"/>
      <c r="AW342" s="151"/>
      <c r="AX342" s="151"/>
      <c r="AY342" s="151"/>
      <c r="AZ342" s="151"/>
      <c r="BA342" s="151"/>
      <c r="BB342" s="151"/>
      <c r="BC342" s="151"/>
      <c r="BD342" s="151"/>
      <c r="BE342" s="151"/>
      <c r="BF342" s="151"/>
      <c r="BG342" s="151"/>
      <c r="BH342" s="151"/>
      <c r="BI342" s="151"/>
      <c r="BJ342" s="151"/>
      <c r="BK342" s="151"/>
      <c r="BL342" s="151"/>
      <c r="BM342" s="151"/>
      <c r="BN342" s="151"/>
      <c r="BO342" s="151"/>
      <c r="BP342" s="151"/>
      <c r="BQ342" s="151"/>
      <c r="BR342" s="151"/>
      <c r="BS342" s="151"/>
      <c r="BT342" s="151"/>
      <c r="BU342" s="151"/>
      <c r="BV342" s="151"/>
      <c r="BW342" s="151"/>
      <c r="BX342" s="151"/>
      <c r="BY342" s="151"/>
      <c r="BZ342" s="151"/>
      <c r="CA342" s="151"/>
      <c r="CB342" s="151"/>
      <c r="CC342" s="151"/>
      <c r="CD342" s="151"/>
      <c r="CE342" s="151"/>
      <c r="CF342" s="151"/>
      <c r="CG342" s="151"/>
      <c r="CH342" s="151"/>
      <c r="CI342" s="151"/>
      <c r="CJ342" s="151"/>
      <c r="CK342" s="151"/>
      <c r="CL342" s="151"/>
      <c r="CM342" s="151"/>
      <c r="CN342" s="151"/>
      <c r="CO342" s="151"/>
      <c r="CP342" s="151"/>
      <c r="CQ342" s="151"/>
      <c r="CR342" s="151"/>
      <c r="CS342" s="151"/>
      <c r="CT342" s="151"/>
      <c r="CU342" s="151"/>
      <c r="CV342" s="151"/>
      <c r="CW342" s="151"/>
      <c r="CX342" s="151"/>
      <c r="CY342" s="151"/>
      <c r="CZ342" s="151"/>
      <c r="DA342" s="151"/>
      <c r="DB342" s="151"/>
      <c r="DC342" s="151"/>
      <c r="DD342" s="151"/>
      <c r="DE342" s="151"/>
      <c r="DF342" s="151"/>
      <c r="DG342" s="151"/>
      <c r="DH342" s="151"/>
      <c r="DI342" s="151"/>
      <c r="DJ342" s="151"/>
      <c r="DK342" s="151"/>
      <c r="DL342" s="151"/>
      <c r="DM342" s="151"/>
      <c r="DN342" s="151"/>
      <c r="DO342" s="151"/>
      <c r="DP342" s="151"/>
      <c r="DQ342" s="151"/>
      <c r="DR342" s="151"/>
      <c r="DS342" s="151"/>
      <c r="DT342" s="151"/>
      <c r="DU342" s="151"/>
      <c r="DV342" s="151"/>
      <c r="DW342" s="151"/>
      <c r="DX342" s="151"/>
      <c r="DY342" s="151"/>
      <c r="DZ342" s="151"/>
      <c r="EA342" s="151"/>
      <c r="EB342" s="151"/>
      <c r="EC342" s="151"/>
      <c r="ED342" s="151"/>
      <c r="EE342" s="151"/>
      <c r="EF342" s="151"/>
      <c r="EG342" s="151"/>
      <c r="EH342" s="151"/>
      <c r="EI342" s="151"/>
      <c r="EJ342" s="151"/>
      <c r="EK342" s="151"/>
      <c r="EL342" s="151"/>
      <c r="EM342" s="151"/>
      <c r="EN342" s="151"/>
      <c r="EO342" s="151"/>
      <c r="EP342" s="151"/>
      <c r="EQ342" s="151"/>
      <c r="ER342" s="151"/>
      <c r="ES342" s="151"/>
      <c r="ET342" s="151"/>
      <c r="EU342" s="151"/>
      <c r="EV342" s="151"/>
      <c r="EW342" s="151"/>
      <c r="EX342" s="151"/>
      <c r="EY342" s="151"/>
    </row>
    <row r="343" spans="1:158" hidden="1">
      <c r="A343" s="2812"/>
      <c r="B343" s="151"/>
      <c r="C343" s="151"/>
      <c r="D343" s="151"/>
      <c r="E343" s="151"/>
      <c r="F343" s="151"/>
      <c r="G343" s="151"/>
      <c r="H343" s="151"/>
      <c r="I343" s="151"/>
      <c r="J343" s="151"/>
      <c r="K343" s="151"/>
      <c r="L343" s="151"/>
      <c r="M343" s="151"/>
      <c r="N343" s="151"/>
      <c r="O343" s="151"/>
      <c r="P343" s="151"/>
      <c r="Q343" s="151"/>
      <c r="R343" s="151"/>
      <c r="S343" s="151"/>
      <c r="T343" s="151"/>
      <c r="U343" s="151"/>
      <c r="V343" s="151"/>
      <c r="W343" s="151"/>
      <c r="X343" s="151"/>
      <c r="Y343" s="151"/>
      <c r="Z343" s="151"/>
      <c r="AA343" s="151"/>
      <c r="AB343" s="151"/>
      <c r="AC343" s="151"/>
      <c r="AD343" s="151"/>
      <c r="AE343" s="151"/>
      <c r="AF343" s="151"/>
      <c r="AG343" s="151"/>
      <c r="AH343" s="151"/>
      <c r="AI343" s="151"/>
      <c r="AJ343" s="151"/>
      <c r="AK343" s="151"/>
      <c r="AL343" s="151"/>
      <c r="AM343" s="151"/>
      <c r="AN343" s="151"/>
      <c r="AO343" s="151"/>
      <c r="AP343" s="151"/>
      <c r="AQ343" s="151"/>
      <c r="AR343" s="151"/>
      <c r="AS343" s="151"/>
      <c r="AT343" s="151"/>
      <c r="AU343" s="151"/>
      <c r="AV343" s="151"/>
      <c r="AW343" s="151"/>
      <c r="AX343" s="151"/>
      <c r="AY343" s="151"/>
      <c r="AZ343" s="151"/>
      <c r="BA343" s="151"/>
      <c r="BB343" s="151"/>
      <c r="BC343" s="151"/>
      <c r="BD343" s="151"/>
      <c r="BE343" s="151"/>
      <c r="BF343" s="151"/>
      <c r="BG343" s="151"/>
      <c r="BH343" s="151"/>
      <c r="BI343" s="151"/>
      <c r="BJ343" s="151"/>
      <c r="BK343" s="151"/>
      <c r="BL343" s="151"/>
      <c r="BM343" s="151"/>
      <c r="BN343" s="151"/>
      <c r="BO343" s="151"/>
      <c r="BP343" s="151"/>
      <c r="BQ343" s="151"/>
      <c r="BR343" s="151"/>
      <c r="BS343" s="151"/>
      <c r="BT343" s="151"/>
      <c r="BU343" s="151"/>
      <c r="BV343" s="151"/>
      <c r="BW343" s="151"/>
      <c r="BX343" s="151"/>
      <c r="BY343" s="151"/>
      <c r="BZ343" s="151"/>
      <c r="CA343" s="151"/>
      <c r="CB343" s="151"/>
      <c r="CC343" s="151"/>
      <c r="CD343" s="151"/>
      <c r="CE343" s="151"/>
      <c r="CF343" s="151"/>
      <c r="CG343" s="151"/>
      <c r="CH343" s="151"/>
      <c r="CI343" s="151"/>
      <c r="CJ343" s="151"/>
      <c r="CK343" s="151"/>
      <c r="CL343" s="151"/>
      <c r="CM343" s="151"/>
      <c r="CN343" s="151"/>
      <c r="CO343" s="151"/>
      <c r="CP343" s="151"/>
      <c r="CQ343" s="151"/>
      <c r="CR343" s="151"/>
      <c r="CS343" s="151"/>
      <c r="CT343" s="151"/>
      <c r="CU343" s="151"/>
      <c r="CV343" s="151"/>
      <c r="CW343" s="151"/>
      <c r="CX343" s="151"/>
      <c r="CY343" s="151"/>
      <c r="CZ343" s="151"/>
      <c r="DA343" s="151"/>
      <c r="DB343" s="151"/>
      <c r="DC343" s="151"/>
      <c r="DD343" s="151"/>
      <c r="DE343" s="151"/>
      <c r="DF343" s="151"/>
      <c r="DG343" s="151"/>
      <c r="DH343" s="151"/>
      <c r="DI343" s="151"/>
      <c r="DJ343" s="151"/>
      <c r="DK343" s="151"/>
      <c r="DL343" s="151"/>
      <c r="DM343" s="151"/>
      <c r="DN343" s="151"/>
      <c r="DO343" s="151"/>
      <c r="DP343" s="151"/>
      <c r="DQ343" s="151"/>
      <c r="DR343" s="151"/>
      <c r="DS343" s="151"/>
      <c r="DT343" s="151"/>
      <c r="DU343" s="151"/>
      <c r="DV343" s="151"/>
      <c r="DW343" s="151"/>
      <c r="DX343" s="151"/>
      <c r="DY343" s="151"/>
      <c r="DZ343" s="151"/>
      <c r="EA343" s="151"/>
      <c r="EB343" s="151"/>
      <c r="EC343" s="151"/>
      <c r="ED343" s="151"/>
      <c r="EE343" s="151"/>
      <c r="EF343" s="151"/>
      <c r="EG343" s="151"/>
      <c r="EH343" s="151"/>
      <c r="EI343" s="151"/>
      <c r="EJ343" s="151"/>
      <c r="EK343" s="151"/>
      <c r="EL343" s="151"/>
      <c r="EM343" s="151"/>
      <c r="EN343" s="151"/>
      <c r="EO343" s="151"/>
      <c r="EP343" s="151"/>
      <c r="EQ343" s="151"/>
      <c r="ER343" s="151"/>
      <c r="ES343" s="151"/>
      <c r="ET343" s="151"/>
      <c r="EU343" s="151"/>
      <c r="EV343" s="151"/>
      <c r="EW343" s="151"/>
      <c r="EX343" s="151"/>
      <c r="EY343" s="151"/>
    </row>
    <row r="344" spans="1:158" hidden="1">
      <c r="A344" s="2534" t="s">
        <v>651</v>
      </c>
      <c r="B344" s="2535"/>
      <c r="C344" s="2535"/>
      <c r="D344" s="2535"/>
      <c r="E344" s="2535"/>
      <c r="F344" s="2535"/>
      <c r="G344" s="2535"/>
      <c r="H344" s="2535"/>
      <c r="I344" s="2535"/>
      <c r="J344" s="2535"/>
      <c r="K344" s="2535"/>
      <c r="L344" s="2535"/>
      <c r="M344" s="2535"/>
      <c r="N344" s="2535"/>
      <c r="O344" s="2535"/>
      <c r="P344" s="2535"/>
      <c r="Q344" s="2535"/>
      <c r="R344" s="2535"/>
      <c r="S344" s="2535"/>
      <c r="T344" s="2535"/>
      <c r="U344" s="2535"/>
      <c r="V344" s="2535"/>
      <c r="W344" s="2535"/>
      <c r="X344" s="2535"/>
      <c r="Y344" s="2535"/>
      <c r="Z344" s="2535"/>
      <c r="AA344" s="2535"/>
      <c r="AB344" s="2535"/>
      <c r="AC344" s="2535"/>
      <c r="AD344" s="2535"/>
      <c r="AE344" s="2535"/>
      <c r="AF344" s="2535"/>
      <c r="AG344" s="2535"/>
      <c r="AH344" s="2535"/>
      <c r="AI344" s="2535"/>
      <c r="AJ344" s="2535"/>
      <c r="AK344" s="2535"/>
      <c r="AL344" s="2535"/>
      <c r="AM344" s="2535"/>
      <c r="AN344" s="2535"/>
      <c r="AO344" s="2535"/>
      <c r="AP344" s="2535"/>
      <c r="AQ344" s="2535"/>
      <c r="AR344" s="2535"/>
      <c r="AS344" s="2535"/>
      <c r="AT344" s="2535"/>
      <c r="AU344" s="2535"/>
      <c r="AV344" s="2535"/>
      <c r="AW344" s="2535"/>
      <c r="AX344" s="2535"/>
      <c r="AY344" s="2535"/>
      <c r="AZ344" s="2535"/>
      <c r="BA344" s="2535"/>
      <c r="BB344" s="2535"/>
      <c r="BC344" s="2535"/>
      <c r="BD344" s="2535"/>
      <c r="BE344" s="2535"/>
      <c r="BF344" s="2535"/>
      <c r="BG344" s="2535"/>
      <c r="BH344" s="2535"/>
      <c r="BI344" s="2535"/>
      <c r="BJ344" s="2535"/>
      <c r="BK344" s="2535"/>
      <c r="BL344" s="2535"/>
      <c r="BM344" s="2535"/>
      <c r="BN344" s="2535"/>
      <c r="BO344" s="2535"/>
      <c r="BP344" s="2535"/>
      <c r="BQ344" s="2535"/>
      <c r="BR344" s="2535"/>
      <c r="BS344" s="2535"/>
      <c r="BT344" s="2535"/>
      <c r="BU344" s="2535"/>
      <c r="BV344" s="2535"/>
      <c r="BW344" s="2535"/>
      <c r="BX344" s="2535"/>
      <c r="BY344" s="2535"/>
      <c r="BZ344" s="2535"/>
      <c r="CA344" s="2535"/>
      <c r="CB344" s="2535"/>
      <c r="CC344" s="2535"/>
      <c r="CD344" s="2535"/>
      <c r="CE344" s="2535"/>
      <c r="CF344" s="2535"/>
      <c r="CG344" s="2535"/>
      <c r="CH344" s="2535"/>
      <c r="CI344" s="2535"/>
      <c r="CJ344" s="2535"/>
      <c r="CK344" s="2535"/>
      <c r="CL344" s="2535"/>
      <c r="CM344" s="2535"/>
      <c r="CN344" s="2535"/>
      <c r="CO344" s="2535"/>
      <c r="CP344" s="2535"/>
      <c r="CQ344" s="2535"/>
      <c r="CR344" s="2535"/>
      <c r="CS344" s="2535"/>
      <c r="CT344" s="2535"/>
      <c r="CU344" s="2535"/>
      <c r="CV344" s="2535"/>
      <c r="CW344" s="2535"/>
      <c r="CX344" s="2535"/>
      <c r="CY344" s="2535"/>
      <c r="CZ344" s="2535"/>
      <c r="DA344" s="2535"/>
      <c r="DB344" s="2535"/>
      <c r="DC344" s="2535"/>
      <c r="DD344" s="2535"/>
      <c r="DE344" s="2535"/>
      <c r="DF344" s="2535"/>
      <c r="DG344" s="2535"/>
      <c r="DH344" s="2535"/>
      <c r="DI344" s="2535"/>
      <c r="DJ344" s="2535"/>
      <c r="DK344" s="2535"/>
      <c r="DL344" s="2535"/>
      <c r="DM344" s="2535"/>
      <c r="DN344" s="2535"/>
      <c r="DO344" s="2535"/>
      <c r="DP344" s="2535"/>
      <c r="DQ344" s="2535"/>
      <c r="DR344" s="2535"/>
      <c r="DS344" s="2535"/>
      <c r="DT344" s="2535"/>
      <c r="DU344" s="2535"/>
      <c r="DV344" s="2535"/>
      <c r="DW344" s="2535"/>
      <c r="DX344" s="2535"/>
      <c r="DY344" s="2535"/>
      <c r="DZ344" s="2535"/>
      <c r="EA344" s="2535"/>
      <c r="EB344" s="2535"/>
      <c r="EC344" s="2535"/>
      <c r="ED344" s="2535"/>
      <c r="EE344" s="2535"/>
      <c r="EF344" s="2535"/>
      <c r="EG344" s="2535"/>
      <c r="EH344" s="2535"/>
      <c r="EI344" s="2535"/>
      <c r="EJ344" s="2535"/>
      <c r="EK344" s="2535"/>
      <c r="EL344" s="2535"/>
      <c r="EM344" s="2535"/>
      <c r="EN344" s="2535"/>
      <c r="EO344" s="2535"/>
      <c r="EP344" s="2535"/>
      <c r="EQ344" s="2535"/>
      <c r="ER344" s="2535"/>
      <c r="ES344" s="2535"/>
      <c r="ET344" s="2535"/>
      <c r="EU344" s="2535"/>
      <c r="EV344" s="2535"/>
      <c r="EW344" s="2535"/>
      <c r="EX344" s="2535"/>
      <c r="EY344" s="2535"/>
    </row>
    <row r="345" spans="1:158" s="768" customFormat="1" hidden="1">
      <c r="A345" s="2544" t="s">
        <v>483</v>
      </c>
      <c r="B345" s="2545"/>
      <c r="C345" s="2545"/>
      <c r="D345" s="2545"/>
      <c r="E345" s="2545"/>
      <c r="F345" s="2545"/>
      <c r="G345" s="2545"/>
      <c r="H345" s="2545"/>
      <c r="I345" s="2545"/>
      <c r="J345" s="2545"/>
      <c r="K345" s="2545"/>
      <c r="L345" s="2545"/>
      <c r="M345" s="2545"/>
      <c r="N345" s="2545"/>
      <c r="O345" s="2545"/>
      <c r="P345" s="2545"/>
      <c r="Q345" s="2545"/>
      <c r="R345" s="2545"/>
      <c r="S345" s="2545"/>
      <c r="T345" s="2545"/>
      <c r="U345" s="2545"/>
      <c r="V345" s="2545"/>
      <c r="W345" s="2545"/>
      <c r="X345" s="2545"/>
      <c r="Y345" s="2545"/>
      <c r="Z345" s="2545"/>
      <c r="AA345" s="2545"/>
      <c r="AB345" s="2545"/>
      <c r="AC345" s="2545"/>
      <c r="AD345" s="2545"/>
      <c r="AE345" s="2545"/>
      <c r="AF345" s="2545"/>
      <c r="AG345" s="2545"/>
      <c r="AH345" s="2545"/>
      <c r="AI345" s="2545"/>
      <c r="AJ345" s="2545"/>
      <c r="AK345" s="2545"/>
      <c r="AL345" s="2545"/>
      <c r="AM345" s="2545"/>
      <c r="AN345" s="2545"/>
      <c r="AO345" s="2545"/>
      <c r="AP345" s="2545"/>
      <c r="AQ345" s="2545"/>
      <c r="AR345" s="2545"/>
      <c r="AS345" s="2545"/>
      <c r="AT345" s="2545"/>
      <c r="AU345" s="2545"/>
      <c r="AV345" s="2545"/>
      <c r="AW345" s="2545"/>
      <c r="AX345" s="2545"/>
      <c r="AY345" s="2545"/>
      <c r="AZ345" s="2545"/>
      <c r="BA345" s="2545"/>
      <c r="BB345" s="2545"/>
      <c r="BC345" s="2545"/>
      <c r="BD345" s="2545"/>
      <c r="BE345" s="2545"/>
      <c r="BF345" s="2545"/>
      <c r="BG345" s="2545"/>
      <c r="BH345" s="2545"/>
      <c r="BI345" s="2545"/>
      <c r="BJ345" s="2545"/>
      <c r="BK345" s="2545"/>
      <c r="BL345" s="2545"/>
      <c r="BM345" s="2545"/>
      <c r="BN345" s="2545"/>
      <c r="BO345" s="2545"/>
      <c r="BP345" s="2545"/>
      <c r="BQ345" s="2545"/>
      <c r="BR345" s="2545"/>
      <c r="BS345" s="2545"/>
      <c r="BT345" s="2545"/>
      <c r="BU345" s="2545"/>
      <c r="BV345" s="2545"/>
      <c r="BW345" s="2545"/>
      <c r="BX345" s="2545"/>
      <c r="BY345" s="2545"/>
      <c r="BZ345" s="2545"/>
      <c r="CA345" s="2545"/>
      <c r="CB345" s="2545"/>
      <c r="CC345" s="2545"/>
      <c r="CD345" s="2545"/>
      <c r="CE345" s="2545"/>
      <c r="CF345" s="2545"/>
      <c r="CG345" s="2545"/>
      <c r="CH345" s="2546">
        <f>+CH200+CH201-CH202-CH203</f>
        <v>17224</v>
      </c>
      <c r="CI345" s="2547" t="s">
        <v>373</v>
      </c>
      <c r="CJ345" s="2547" t="s">
        <v>373</v>
      </c>
      <c r="CK345" s="2547" t="s">
        <v>373</v>
      </c>
      <c r="CL345" s="2547">
        <f t="shared" ref="CL345:CW345" si="622">+CL200+CL201-CL202-CL203</f>
        <v>5609.6130000000003</v>
      </c>
      <c r="CM345" s="2546">
        <f t="shared" si="622"/>
        <v>20120</v>
      </c>
      <c r="CN345" s="2547">
        <f t="shared" si="622"/>
        <v>5310.2332000000006</v>
      </c>
      <c r="CO345" s="2547">
        <f t="shared" si="622"/>
        <v>5710</v>
      </c>
      <c r="CP345" s="2547">
        <f t="shared" si="622"/>
        <v>6353</v>
      </c>
      <c r="CQ345" s="2547">
        <f t="shared" si="622"/>
        <v>7565</v>
      </c>
      <c r="CR345" s="2546">
        <f t="shared" si="622"/>
        <v>24938.233199999999</v>
      </c>
      <c r="CS345" s="2547">
        <f t="shared" si="622"/>
        <v>6433</v>
      </c>
      <c r="CT345" s="2547">
        <f t="shared" si="622"/>
        <v>7223</v>
      </c>
      <c r="CU345" s="2547">
        <f t="shared" si="622"/>
        <v>7700</v>
      </c>
      <c r="CV345" s="2547">
        <f t="shared" si="622"/>
        <v>8230</v>
      </c>
      <c r="CW345" s="2546">
        <f t="shared" si="622"/>
        <v>29586</v>
      </c>
      <c r="CX345" s="2548"/>
      <c r="CY345" s="2548"/>
      <c r="CZ345" s="2548"/>
      <c r="DA345" s="2548"/>
      <c r="DB345" s="2549"/>
      <c r="DC345" s="2548"/>
      <c r="DD345" s="2548"/>
      <c r="DE345" s="2548"/>
      <c r="DF345" s="2548"/>
      <c r="DG345" s="2549"/>
      <c r="DH345" s="2548"/>
      <c r="DI345" s="2548"/>
      <c r="DJ345" s="2548"/>
      <c r="DK345" s="2548"/>
      <c r="DL345" s="2549"/>
      <c r="DM345" s="2548"/>
      <c r="DN345" s="2548"/>
      <c r="DO345" s="2548"/>
      <c r="DP345" s="2548"/>
      <c r="DQ345" s="2549"/>
      <c r="DR345" s="2548"/>
      <c r="DS345" s="2548"/>
      <c r="DT345" s="2548"/>
      <c r="DU345" s="2548"/>
      <c r="DV345" s="2549"/>
      <c r="DW345" s="2548"/>
      <c r="DX345" s="2548"/>
      <c r="DY345" s="2548"/>
      <c r="DZ345" s="2548"/>
      <c r="EA345" s="2549"/>
      <c r="EB345" s="2548"/>
      <c r="EC345" s="2548"/>
      <c r="ED345" s="2548"/>
      <c r="EE345" s="2548"/>
      <c r="EF345" s="2549"/>
      <c r="EG345" s="2548"/>
      <c r="EH345" s="2548"/>
      <c r="EI345" s="2548"/>
      <c r="EJ345" s="2548"/>
      <c r="EK345" s="2549"/>
      <c r="EL345" s="2548"/>
      <c r="EM345" s="2548"/>
      <c r="EN345" s="2548"/>
      <c r="EO345" s="2548"/>
      <c r="EP345" s="2549"/>
      <c r="EQ345" s="2548"/>
      <c r="ER345" s="2548"/>
      <c r="ES345" s="2548"/>
      <c r="ET345" s="2548"/>
      <c r="EU345" s="2549"/>
      <c r="EV345" s="2549"/>
      <c r="EW345" s="2549"/>
      <c r="EX345" s="2549"/>
      <c r="EY345" s="2549"/>
      <c r="FA345" s="718"/>
      <c r="FB345" s="718"/>
    </row>
    <row r="346" spans="1:158" s="1645" customFormat="1" hidden="1">
      <c r="A346" s="2536" t="s">
        <v>484</v>
      </c>
      <c r="B346" s="1667"/>
      <c r="C346" s="1667"/>
      <c r="D346" s="1667"/>
      <c r="E346" s="1667"/>
      <c r="F346" s="1667"/>
      <c r="G346" s="1667"/>
      <c r="H346" s="1667"/>
      <c r="I346" s="1667"/>
      <c r="J346" s="1667"/>
      <c r="K346" s="1667"/>
      <c r="L346" s="1667"/>
      <c r="M346" s="1667"/>
      <c r="N346" s="1667"/>
      <c r="O346" s="1667"/>
      <c r="P346" s="1667"/>
      <c r="Q346" s="1667"/>
      <c r="R346" s="1667"/>
      <c r="S346" s="1667"/>
      <c r="T346" s="1667"/>
      <c r="U346" s="1667"/>
      <c r="V346" s="1667"/>
      <c r="W346" s="1667"/>
      <c r="X346" s="1667"/>
      <c r="Y346" s="1667"/>
      <c r="Z346" s="1667"/>
      <c r="AA346" s="1667"/>
      <c r="AB346" s="1667"/>
      <c r="AC346" s="1667"/>
      <c r="AD346" s="1667"/>
      <c r="AE346" s="1667"/>
      <c r="AF346" s="1667"/>
      <c r="AG346" s="1667"/>
      <c r="AH346" s="1667"/>
      <c r="AI346" s="1667"/>
      <c r="AJ346" s="1667"/>
      <c r="AK346" s="1667"/>
      <c r="AL346" s="1667"/>
      <c r="AM346" s="1667"/>
      <c r="AN346" s="1667"/>
      <c r="AO346" s="1667"/>
      <c r="AP346" s="1667"/>
      <c r="AQ346" s="1667"/>
      <c r="AR346" s="1667"/>
      <c r="AS346" s="1667"/>
      <c r="AT346" s="1667"/>
      <c r="AU346" s="1667"/>
      <c r="AV346" s="1667"/>
      <c r="AW346" s="1667"/>
      <c r="AX346" s="1667"/>
      <c r="AY346" s="1667"/>
      <c r="AZ346" s="1667"/>
      <c r="BA346" s="1667"/>
      <c r="BB346" s="1667"/>
      <c r="BC346" s="1667"/>
      <c r="BD346" s="1667"/>
      <c r="BE346" s="1667"/>
      <c r="BF346" s="1667"/>
      <c r="BG346" s="1667"/>
      <c r="BH346" s="1667"/>
      <c r="BI346" s="1667"/>
      <c r="BJ346" s="1667"/>
      <c r="BK346" s="1667"/>
      <c r="BL346" s="1667"/>
      <c r="BM346" s="1667"/>
      <c r="BN346" s="1667"/>
      <c r="BO346" s="1667"/>
      <c r="BP346" s="1667"/>
      <c r="BQ346" s="1667"/>
      <c r="BR346" s="1667"/>
      <c r="BS346" s="1667"/>
      <c r="BT346" s="1667"/>
      <c r="BU346" s="1667"/>
      <c r="BV346" s="1667"/>
      <c r="BW346" s="1667"/>
      <c r="BX346" s="1667"/>
      <c r="BY346" s="1667"/>
      <c r="BZ346" s="1667"/>
      <c r="CA346" s="1667"/>
      <c r="CB346" s="1667"/>
      <c r="CC346" s="1667"/>
      <c r="CD346" s="1667"/>
      <c r="CE346" s="1667"/>
      <c r="CF346" s="1667"/>
      <c r="CG346" s="1667"/>
      <c r="CH346" s="2550">
        <f>+CH345/CH206</f>
        <v>1.2709225551859602</v>
      </c>
      <c r="CI346" s="1644" t="s">
        <v>373</v>
      </c>
      <c r="CJ346" s="1644" t="s">
        <v>373</v>
      </c>
      <c r="CK346" s="1644" t="s">
        <v>373</v>
      </c>
      <c r="CL346" s="1668">
        <f t="shared" ref="CL346:CW346" si="623">+CL345/CL206</f>
        <v>0.4073846281215005</v>
      </c>
      <c r="CM346" s="2550">
        <f t="shared" si="623"/>
        <v>1.4641885106321042</v>
      </c>
      <c r="CN346" s="1668">
        <f t="shared" si="623"/>
        <v>0.38507966665603094</v>
      </c>
      <c r="CO346" s="1668">
        <f t="shared" si="623"/>
        <v>0.41324228011313136</v>
      </c>
      <c r="CP346" s="1668">
        <f t="shared" si="623"/>
        <v>0.45749864255479111</v>
      </c>
      <c r="CQ346" s="1668">
        <f t="shared" si="623"/>
        <v>0.5426634625730784</v>
      </c>
      <c r="CR346" s="2550">
        <f t="shared" si="623"/>
        <v>1.7994770900379546</v>
      </c>
      <c r="CS346" s="1668">
        <f t="shared" si="623"/>
        <v>0.45995272489636224</v>
      </c>
      <c r="CT346" s="1668">
        <f t="shared" si="623"/>
        <v>0.51826297594737447</v>
      </c>
      <c r="CU346" s="1668">
        <f t="shared" si="623"/>
        <v>0.5512284519786953</v>
      </c>
      <c r="CV346" s="1668">
        <f t="shared" si="623"/>
        <v>0.58767160653565087</v>
      </c>
      <c r="CW346" s="2550">
        <f t="shared" si="623"/>
        <v>2.1171995088062792</v>
      </c>
      <c r="CX346" s="2542"/>
      <c r="CY346" s="2542"/>
      <c r="CZ346" s="2542"/>
      <c r="DA346" s="2542"/>
      <c r="DB346" s="2551"/>
      <c r="DC346" s="2542"/>
      <c r="DD346" s="2542"/>
      <c r="DE346" s="2542"/>
      <c r="DF346" s="2542"/>
      <c r="DG346" s="2551"/>
      <c r="DH346" s="2542"/>
      <c r="DI346" s="2542"/>
      <c r="DJ346" s="2542"/>
      <c r="DK346" s="2542"/>
      <c r="DL346" s="2551"/>
      <c r="DM346" s="2542"/>
      <c r="DN346" s="2542"/>
      <c r="DO346" s="2542"/>
      <c r="DP346" s="2542"/>
      <c r="DQ346" s="2551"/>
      <c r="DR346" s="2542"/>
      <c r="DS346" s="2542"/>
      <c r="DT346" s="2542"/>
      <c r="DU346" s="2542"/>
      <c r="DV346" s="2551"/>
      <c r="DW346" s="2542"/>
      <c r="DX346" s="2542"/>
      <c r="DY346" s="2542"/>
      <c r="DZ346" s="2542"/>
      <c r="EA346" s="2551"/>
      <c r="EB346" s="2542"/>
      <c r="EC346" s="2542"/>
      <c r="ED346" s="2542"/>
      <c r="EE346" s="2542"/>
      <c r="EF346" s="2551"/>
      <c r="EG346" s="2542"/>
      <c r="EH346" s="2542"/>
      <c r="EI346" s="2542"/>
      <c r="EJ346" s="2542"/>
      <c r="EK346" s="2551"/>
      <c r="EL346" s="2542"/>
      <c r="EM346" s="2542"/>
      <c r="EN346" s="2542"/>
      <c r="EO346" s="2542"/>
      <c r="EP346" s="2551"/>
      <c r="EQ346" s="2542"/>
      <c r="ER346" s="2542"/>
      <c r="ES346" s="2542"/>
      <c r="ET346" s="2542"/>
      <c r="EU346" s="2551"/>
      <c r="EV346" s="2551"/>
      <c r="EW346" s="2551"/>
      <c r="EX346" s="2551"/>
      <c r="EY346" s="2551"/>
      <c r="FA346" s="718"/>
      <c r="FB346" s="718"/>
    </row>
    <row r="347" spans="1:158" s="1645" customFormat="1" hidden="1">
      <c r="A347" s="2556" t="s">
        <v>359</v>
      </c>
      <c r="B347" s="1667"/>
      <c r="C347" s="1667"/>
      <c r="D347" s="1667"/>
      <c r="E347" s="1667"/>
      <c r="F347" s="1667"/>
      <c r="G347" s="1667"/>
      <c r="H347" s="1667"/>
      <c r="I347" s="1667"/>
      <c r="J347" s="1667"/>
      <c r="K347" s="1667"/>
      <c r="L347" s="1667"/>
      <c r="M347" s="1667"/>
      <c r="N347" s="1667"/>
      <c r="O347" s="1667"/>
      <c r="P347" s="1667"/>
      <c r="Q347" s="1667"/>
      <c r="R347" s="1667"/>
      <c r="S347" s="1667"/>
      <c r="T347" s="1667"/>
      <c r="U347" s="1667"/>
      <c r="V347" s="1667"/>
      <c r="W347" s="1667"/>
      <c r="X347" s="1667"/>
      <c r="Y347" s="1667"/>
      <c r="Z347" s="1667"/>
      <c r="AA347" s="1667"/>
      <c r="AB347" s="1667"/>
      <c r="AC347" s="1667"/>
      <c r="AD347" s="1667"/>
      <c r="AE347" s="1667"/>
      <c r="AF347" s="1667"/>
      <c r="AG347" s="1667"/>
      <c r="AH347" s="1667"/>
      <c r="AI347" s="1667"/>
      <c r="AJ347" s="1667"/>
      <c r="AK347" s="1667"/>
      <c r="AL347" s="1667"/>
      <c r="AM347" s="1667"/>
      <c r="AN347" s="1667"/>
      <c r="AO347" s="1667"/>
      <c r="AP347" s="1667"/>
      <c r="AQ347" s="1667"/>
      <c r="AR347" s="1667"/>
      <c r="AS347" s="1667"/>
      <c r="AT347" s="1667"/>
      <c r="AU347" s="1667"/>
      <c r="AV347" s="1667"/>
      <c r="AW347" s="1667"/>
      <c r="AX347" s="1667"/>
      <c r="AY347" s="1667"/>
      <c r="AZ347" s="1667"/>
      <c r="BA347" s="1667"/>
      <c r="BB347" s="1667"/>
      <c r="BC347" s="1667"/>
      <c r="BD347" s="1667"/>
      <c r="BE347" s="1667"/>
      <c r="BF347" s="1667"/>
      <c r="BG347" s="1667"/>
      <c r="BH347" s="1667"/>
      <c r="BI347" s="1667"/>
      <c r="BJ347" s="1667"/>
      <c r="BK347" s="1667"/>
      <c r="BL347" s="1667"/>
      <c r="BM347" s="1667"/>
      <c r="BN347" s="1667"/>
      <c r="BO347" s="1667"/>
      <c r="BP347" s="1667"/>
      <c r="BQ347" s="1667"/>
      <c r="BR347" s="1667"/>
      <c r="BS347" s="1667"/>
      <c r="BT347" s="1667"/>
      <c r="BU347" s="1667"/>
      <c r="BV347" s="1667"/>
      <c r="BW347" s="1667"/>
      <c r="BX347" s="1667"/>
      <c r="BY347" s="1667"/>
      <c r="BZ347" s="1667"/>
      <c r="CA347" s="1667"/>
      <c r="CB347" s="1667"/>
      <c r="CC347" s="1667"/>
      <c r="CD347" s="1667"/>
      <c r="CE347" s="1667"/>
      <c r="CF347" s="1667"/>
      <c r="CG347" s="1667"/>
      <c r="CH347" s="2550"/>
      <c r="CI347" s="1644"/>
      <c r="CJ347" s="1644"/>
      <c r="CK347" s="1644"/>
      <c r="CL347" s="1668"/>
      <c r="CM347" s="2550"/>
      <c r="CN347" s="1668"/>
      <c r="CO347" s="1668"/>
      <c r="CP347" s="1668"/>
      <c r="CQ347" s="1668"/>
      <c r="CR347" s="2550"/>
      <c r="CS347" s="1668"/>
      <c r="CT347" s="1668"/>
      <c r="CU347" s="1668"/>
      <c r="CV347" s="1668"/>
      <c r="CW347" s="2550"/>
      <c r="CX347" s="2542"/>
      <c r="CY347" s="2542"/>
      <c r="CZ347" s="2542"/>
      <c r="DA347" s="2542"/>
      <c r="DB347" s="2551"/>
      <c r="DC347" s="2542"/>
      <c r="DD347" s="2542"/>
      <c r="DE347" s="2542"/>
      <c r="DF347" s="2542"/>
      <c r="DG347" s="2551"/>
      <c r="DH347" s="2542"/>
      <c r="DI347" s="2542"/>
      <c r="DJ347" s="2542"/>
      <c r="DK347" s="2542"/>
      <c r="DL347" s="2551"/>
      <c r="DM347" s="2542"/>
      <c r="DN347" s="2542"/>
      <c r="DO347" s="2542"/>
      <c r="DP347" s="2542"/>
      <c r="DQ347" s="2551"/>
      <c r="DR347" s="2542"/>
      <c r="DS347" s="2542"/>
      <c r="DT347" s="2542"/>
      <c r="DU347" s="2542"/>
      <c r="DV347" s="2551"/>
      <c r="DW347" s="2542"/>
      <c r="DX347" s="2542"/>
      <c r="DY347" s="2542"/>
      <c r="DZ347" s="2542"/>
      <c r="EA347" s="2551"/>
      <c r="EB347" s="2542"/>
      <c r="EC347" s="2542"/>
      <c r="ED347" s="2542"/>
      <c r="EE347" s="2542"/>
      <c r="EF347" s="2551"/>
      <c r="EG347" s="2542"/>
      <c r="EH347" s="2542"/>
      <c r="EI347" s="2542"/>
      <c r="EJ347" s="2542"/>
      <c r="EK347" s="2551"/>
      <c r="EL347" s="2542"/>
      <c r="EM347" s="2542"/>
      <c r="EN347" s="2542"/>
      <c r="EO347" s="2542"/>
      <c r="EP347" s="2551"/>
      <c r="EQ347" s="2542"/>
      <c r="ER347" s="2542"/>
      <c r="ES347" s="2542"/>
      <c r="ET347" s="2542"/>
      <c r="EU347" s="2551"/>
      <c r="EV347" s="2551"/>
      <c r="EW347" s="2551"/>
      <c r="EX347" s="2551"/>
      <c r="EY347" s="2551"/>
      <c r="FA347" s="718"/>
      <c r="FB347" s="718"/>
    </row>
    <row r="348" spans="1:158" s="627" customFormat="1" hidden="1">
      <c r="A348" s="2537" t="s">
        <v>483</v>
      </c>
      <c r="B348" s="767"/>
      <c r="C348" s="767"/>
      <c r="D348" s="767"/>
      <c r="E348" s="767"/>
      <c r="F348" s="767"/>
      <c r="G348" s="767"/>
      <c r="H348" s="767"/>
      <c r="I348" s="767"/>
      <c r="J348" s="767"/>
      <c r="K348" s="767"/>
      <c r="L348" s="767"/>
      <c r="M348" s="767"/>
      <c r="N348" s="767"/>
      <c r="O348" s="767"/>
      <c r="P348" s="767"/>
      <c r="Q348" s="767"/>
      <c r="R348" s="767"/>
      <c r="S348" s="767"/>
      <c r="T348" s="767"/>
      <c r="U348" s="767"/>
      <c r="V348" s="767"/>
      <c r="W348" s="767"/>
      <c r="X348" s="767"/>
      <c r="Y348" s="767"/>
      <c r="Z348" s="767"/>
      <c r="AA348" s="767"/>
      <c r="AB348" s="767"/>
      <c r="AC348" s="767"/>
      <c r="AD348" s="767"/>
      <c r="AE348" s="767"/>
      <c r="AF348" s="767"/>
      <c r="AG348" s="767"/>
      <c r="AH348" s="767"/>
      <c r="AI348" s="767"/>
      <c r="AJ348" s="767"/>
      <c r="AK348" s="767"/>
      <c r="AL348" s="767"/>
      <c r="AM348" s="767"/>
      <c r="AN348" s="767"/>
      <c r="AO348" s="767"/>
      <c r="AP348" s="767"/>
      <c r="AQ348" s="767"/>
      <c r="AR348" s="767"/>
      <c r="AS348" s="767"/>
      <c r="AT348" s="767"/>
      <c r="AU348" s="767"/>
      <c r="AV348" s="767"/>
      <c r="AW348" s="767"/>
      <c r="AX348" s="767"/>
      <c r="AY348" s="767"/>
      <c r="AZ348" s="767"/>
      <c r="BA348" s="767"/>
      <c r="BB348" s="767"/>
      <c r="BC348" s="767"/>
      <c r="BD348" s="767"/>
      <c r="BE348" s="767"/>
      <c r="BF348" s="767"/>
      <c r="BG348" s="767"/>
      <c r="BH348" s="767"/>
      <c r="BI348" s="767"/>
      <c r="BJ348" s="767"/>
      <c r="BK348" s="767"/>
      <c r="BL348" s="767"/>
      <c r="BM348" s="767"/>
      <c r="BN348" s="767"/>
      <c r="BO348" s="767"/>
      <c r="BP348" s="767"/>
      <c r="BQ348" s="767"/>
      <c r="BR348" s="767"/>
      <c r="BS348" s="767"/>
      <c r="BT348" s="767"/>
      <c r="BU348" s="767"/>
      <c r="BV348" s="767"/>
      <c r="BW348" s="767"/>
      <c r="BX348" s="767"/>
      <c r="BY348" s="767"/>
      <c r="BZ348" s="767"/>
      <c r="CA348" s="767"/>
      <c r="CB348" s="767"/>
      <c r="CC348" s="767"/>
      <c r="CD348" s="767"/>
      <c r="CE348" s="767"/>
      <c r="CF348" s="767"/>
      <c r="CG348" s="767"/>
      <c r="CH348" s="2538"/>
      <c r="CI348" s="793"/>
      <c r="CJ348" s="793"/>
      <c r="CK348" s="793"/>
      <c r="CL348" s="793"/>
      <c r="CM348" s="2538">
        <f t="shared" ref="CM348:CW349" si="624">+IFERROR(IF(CM345&lt;0,IF(CH345&gt;0,"N/A",(-1)*(CM345/CH345-1)),IF(CH345&lt;0,"N/A",(CM345/CH345-1))),"N/A")</f>
        <v>0.1681374825824431</v>
      </c>
      <c r="CN348" s="831" t="str">
        <f t="shared" si="624"/>
        <v>N/A</v>
      </c>
      <c r="CO348" s="831" t="str">
        <f t="shared" si="624"/>
        <v>N/A</v>
      </c>
      <c r="CP348" s="831" t="str">
        <f t="shared" si="624"/>
        <v>N/A</v>
      </c>
      <c r="CQ348" s="793">
        <f t="shared" si="624"/>
        <v>0.34857787872354118</v>
      </c>
      <c r="CR348" s="2538">
        <f t="shared" si="624"/>
        <v>0.23947481113320079</v>
      </c>
      <c r="CS348" s="793">
        <f t="shared" si="624"/>
        <v>0.21143455620743734</v>
      </c>
      <c r="CT348" s="793">
        <f t="shared" si="624"/>
        <v>0.26497373029772331</v>
      </c>
      <c r="CU348" s="793">
        <f t="shared" si="624"/>
        <v>0.21202581457579095</v>
      </c>
      <c r="CV348" s="793">
        <f t="shared" si="624"/>
        <v>8.790482485128881E-2</v>
      </c>
      <c r="CW348" s="2538">
        <f t="shared" si="624"/>
        <v>0.18637113394223936</v>
      </c>
      <c r="CX348" s="2543"/>
      <c r="CY348" s="2543"/>
      <c r="CZ348" s="2543"/>
      <c r="DA348" s="2543"/>
      <c r="DB348" s="2552"/>
      <c r="DC348" s="2543"/>
      <c r="DD348" s="2543"/>
      <c r="DE348" s="2543"/>
      <c r="DF348" s="2543"/>
      <c r="DG348" s="2552"/>
      <c r="DH348" s="2543"/>
      <c r="DI348" s="2543"/>
      <c r="DJ348" s="2543"/>
      <c r="DK348" s="2543"/>
      <c r="DL348" s="2552"/>
      <c r="DM348" s="2543"/>
      <c r="DN348" s="2543"/>
      <c r="DO348" s="2543"/>
      <c r="DP348" s="2543"/>
      <c r="DQ348" s="2552"/>
      <c r="DR348" s="2543"/>
      <c r="DS348" s="2543"/>
      <c r="DT348" s="2543"/>
      <c r="DU348" s="2543"/>
      <c r="DV348" s="2552"/>
      <c r="DW348" s="2543"/>
      <c r="DX348" s="2543"/>
      <c r="DY348" s="2543"/>
      <c r="DZ348" s="2543"/>
      <c r="EA348" s="2552"/>
      <c r="EB348" s="2543"/>
      <c r="EC348" s="2543"/>
      <c r="ED348" s="2543"/>
      <c r="EE348" s="2543"/>
      <c r="EF348" s="2552"/>
      <c r="EG348" s="2543"/>
      <c r="EH348" s="2543"/>
      <c r="EI348" s="2543"/>
      <c r="EJ348" s="2543"/>
      <c r="EK348" s="2552"/>
      <c r="EL348" s="2543"/>
      <c r="EM348" s="2543"/>
      <c r="EN348" s="2543"/>
      <c r="EO348" s="2543"/>
      <c r="EP348" s="2552"/>
      <c r="EQ348" s="2543"/>
      <c r="ER348" s="2543"/>
      <c r="ES348" s="2543"/>
      <c r="ET348" s="2543"/>
      <c r="EU348" s="2552"/>
      <c r="EV348" s="2552"/>
      <c r="EW348" s="2552"/>
      <c r="EX348" s="2552"/>
      <c r="EY348" s="2552"/>
      <c r="EZ348" s="768"/>
      <c r="FA348" s="772"/>
      <c r="FB348" s="772"/>
    </row>
    <row r="349" spans="1:158" s="627" customFormat="1" hidden="1">
      <c r="A349" s="2553" t="s">
        <v>484</v>
      </c>
      <c r="B349" s="2533"/>
      <c r="C349" s="2533"/>
      <c r="D349" s="2533"/>
      <c r="E349" s="2533"/>
      <c r="F349" s="2533"/>
      <c r="G349" s="2533"/>
      <c r="H349" s="2533"/>
      <c r="I349" s="2533"/>
      <c r="J349" s="2533"/>
      <c r="K349" s="2533"/>
      <c r="L349" s="2533"/>
      <c r="M349" s="2533"/>
      <c r="N349" s="2533"/>
      <c r="O349" s="2533"/>
      <c r="P349" s="2533"/>
      <c r="Q349" s="2533"/>
      <c r="R349" s="2533"/>
      <c r="S349" s="2533"/>
      <c r="T349" s="2533"/>
      <c r="U349" s="2533"/>
      <c r="V349" s="2533"/>
      <c r="W349" s="2533"/>
      <c r="X349" s="2533"/>
      <c r="Y349" s="2533"/>
      <c r="Z349" s="2533"/>
      <c r="AA349" s="2533"/>
      <c r="AB349" s="2533"/>
      <c r="AC349" s="2533"/>
      <c r="AD349" s="2533"/>
      <c r="AE349" s="2533"/>
      <c r="AF349" s="2533"/>
      <c r="AG349" s="2533"/>
      <c r="AH349" s="2533"/>
      <c r="AI349" s="2533"/>
      <c r="AJ349" s="2533"/>
      <c r="AK349" s="2533"/>
      <c r="AL349" s="2533"/>
      <c r="AM349" s="2533"/>
      <c r="AN349" s="2533"/>
      <c r="AO349" s="2533"/>
      <c r="AP349" s="2533"/>
      <c r="AQ349" s="2533"/>
      <c r="AR349" s="2533"/>
      <c r="AS349" s="2533"/>
      <c r="AT349" s="2533"/>
      <c r="AU349" s="2533"/>
      <c r="AV349" s="2533"/>
      <c r="AW349" s="2533"/>
      <c r="AX349" s="2533"/>
      <c r="AY349" s="2533"/>
      <c r="AZ349" s="2533"/>
      <c r="BA349" s="2533"/>
      <c r="BB349" s="2533"/>
      <c r="BC349" s="2533"/>
      <c r="BD349" s="2533"/>
      <c r="BE349" s="2533"/>
      <c r="BF349" s="2533"/>
      <c r="BG349" s="2533"/>
      <c r="BH349" s="2533"/>
      <c r="BI349" s="2533"/>
      <c r="BJ349" s="2533"/>
      <c r="BK349" s="2533"/>
      <c r="BL349" s="2533"/>
      <c r="BM349" s="2533"/>
      <c r="BN349" s="2533"/>
      <c r="BO349" s="2533"/>
      <c r="BP349" s="2533"/>
      <c r="BQ349" s="2533"/>
      <c r="BR349" s="2533"/>
      <c r="BS349" s="2533"/>
      <c r="BT349" s="2533"/>
      <c r="BU349" s="2533"/>
      <c r="BV349" s="2533"/>
      <c r="BW349" s="2533"/>
      <c r="BX349" s="2533"/>
      <c r="BY349" s="2533"/>
      <c r="BZ349" s="2533"/>
      <c r="CA349" s="2533"/>
      <c r="CB349" s="2533"/>
      <c r="CC349" s="2533"/>
      <c r="CD349" s="2533"/>
      <c r="CE349" s="2533"/>
      <c r="CF349" s="2533"/>
      <c r="CG349" s="2533"/>
      <c r="CH349" s="2539"/>
      <c r="CI349" s="2540"/>
      <c r="CJ349" s="2540"/>
      <c r="CK349" s="2540"/>
      <c r="CL349" s="2540"/>
      <c r="CM349" s="2539">
        <f t="shared" si="624"/>
        <v>0.15206745262134835</v>
      </c>
      <c r="CN349" s="2541" t="str">
        <f t="shared" si="624"/>
        <v>N/A</v>
      </c>
      <c r="CO349" s="2541" t="str">
        <f t="shared" si="624"/>
        <v>N/A</v>
      </c>
      <c r="CP349" s="2541" t="str">
        <f t="shared" si="624"/>
        <v>N/A</v>
      </c>
      <c r="CQ349" s="2540">
        <f t="shared" si="624"/>
        <v>0.33206661497112666</v>
      </c>
      <c r="CR349" s="2539">
        <f t="shared" si="624"/>
        <v>0.22899276764649867</v>
      </c>
      <c r="CS349" s="2540">
        <f t="shared" si="624"/>
        <v>0.19443524216824204</v>
      </c>
      <c r="CT349" s="2540">
        <f t="shared" si="624"/>
        <v>0.25413831277257515</v>
      </c>
      <c r="CU349" s="2540">
        <f t="shared" si="624"/>
        <v>0.20487450826191012</v>
      </c>
      <c r="CV349" s="2540">
        <f t="shared" si="624"/>
        <v>8.2939329928650496E-2</v>
      </c>
      <c r="CW349" s="2539">
        <f t="shared" si="624"/>
        <v>0.17656374761716087</v>
      </c>
      <c r="CX349" s="2554"/>
      <c r="CY349" s="2554"/>
      <c r="CZ349" s="2554"/>
      <c r="DA349" s="2554"/>
      <c r="DB349" s="2555"/>
      <c r="DC349" s="2554"/>
      <c r="DD349" s="2554"/>
      <c r="DE349" s="2554"/>
      <c r="DF349" s="2554"/>
      <c r="DG349" s="2555"/>
      <c r="DH349" s="2554"/>
      <c r="DI349" s="2554"/>
      <c r="DJ349" s="2554"/>
      <c r="DK349" s="2554"/>
      <c r="DL349" s="2555"/>
      <c r="DM349" s="2554"/>
      <c r="DN349" s="2554"/>
      <c r="DO349" s="2554"/>
      <c r="DP349" s="2554"/>
      <c r="DQ349" s="2555"/>
      <c r="DR349" s="2554"/>
      <c r="DS349" s="2554"/>
      <c r="DT349" s="2554"/>
      <c r="DU349" s="2554"/>
      <c r="DV349" s="2555"/>
      <c r="DW349" s="2554"/>
      <c r="DX349" s="2554"/>
      <c r="DY349" s="2554"/>
      <c r="DZ349" s="2554"/>
      <c r="EA349" s="2555"/>
      <c r="EB349" s="2554"/>
      <c r="EC349" s="2554"/>
      <c r="ED349" s="2554"/>
      <c r="EE349" s="2554"/>
      <c r="EF349" s="2555"/>
      <c r="EG349" s="2554"/>
      <c r="EH349" s="2554"/>
      <c r="EI349" s="2554"/>
      <c r="EJ349" s="2554"/>
      <c r="EK349" s="2555"/>
      <c r="EL349" s="2554"/>
      <c r="EM349" s="2554"/>
      <c r="EN349" s="2554"/>
      <c r="EO349" s="2554"/>
      <c r="EP349" s="2555"/>
      <c r="EQ349" s="2554"/>
      <c r="ER349" s="2554"/>
      <c r="ES349" s="2554"/>
      <c r="ET349" s="2554"/>
      <c r="EU349" s="2555"/>
      <c r="EV349" s="2555"/>
      <c r="EW349" s="2555"/>
      <c r="EX349" s="2555"/>
      <c r="EY349" s="2555"/>
      <c r="EZ349" s="768"/>
      <c r="FA349" s="772"/>
      <c r="FB349" s="772"/>
    </row>
    <row r="350" spans="1:158" hidden="1"/>
    <row r="351" spans="1:158" hidden="1"/>
    <row r="352" spans="1:158" s="1665" customFormat="1" hidden="1">
      <c r="A352" s="1523" t="s">
        <v>536</v>
      </c>
      <c r="B352" s="1663"/>
      <c r="C352" s="1663"/>
      <c r="D352" s="1663"/>
      <c r="E352" s="1663"/>
      <c r="F352" s="1663"/>
      <c r="G352" s="1663"/>
      <c r="H352" s="1663"/>
      <c r="I352" s="1663"/>
      <c r="J352" s="1663"/>
      <c r="K352" s="1663"/>
      <c r="L352" s="1663"/>
      <c r="M352" s="1663"/>
      <c r="N352" s="1663"/>
      <c r="O352" s="1663"/>
      <c r="P352" s="1663"/>
      <c r="Q352" s="1663"/>
      <c r="R352" s="1663"/>
      <c r="S352" s="1663"/>
      <c r="T352" s="1663"/>
      <c r="U352" s="1663"/>
      <c r="V352" s="1663"/>
      <c r="W352" s="1663"/>
      <c r="X352" s="1663"/>
      <c r="Y352" s="1663"/>
      <c r="Z352" s="1663"/>
      <c r="AA352" s="1663"/>
      <c r="AB352" s="1663"/>
      <c r="AC352" s="1663"/>
      <c r="AD352" s="1663"/>
      <c r="AE352" s="1663"/>
      <c r="AF352" s="1663"/>
      <c r="AG352" s="1663"/>
      <c r="AH352" s="1663"/>
      <c r="AI352" s="1663"/>
      <c r="AJ352" s="1663"/>
      <c r="AK352" s="1663"/>
      <c r="AL352" s="1663"/>
      <c r="AM352" s="1663"/>
      <c r="AN352" s="1663"/>
      <c r="AO352" s="1663"/>
      <c r="AP352" s="1663"/>
      <c r="AQ352" s="1663"/>
      <c r="AR352" s="1663"/>
      <c r="AS352" s="1663"/>
      <c r="AT352" s="1663"/>
      <c r="AU352" s="1663"/>
      <c r="AV352" s="1663"/>
      <c r="AW352" s="1663"/>
      <c r="AX352" s="1663"/>
      <c r="AY352" s="1663"/>
      <c r="AZ352" s="1663"/>
      <c r="BA352" s="1663"/>
      <c r="BB352" s="1663"/>
      <c r="BC352" s="1663"/>
      <c r="BD352" s="1663"/>
      <c r="BE352" s="1663"/>
      <c r="BF352" s="1663"/>
      <c r="BG352" s="1663"/>
      <c r="BH352" s="1663"/>
      <c r="BI352" s="1663"/>
      <c r="BJ352" s="1663"/>
      <c r="BK352" s="1663"/>
      <c r="BL352" s="1663"/>
      <c r="BM352" s="1663"/>
      <c r="BN352" s="1663"/>
      <c r="BO352" s="1663"/>
      <c r="BP352" s="1663"/>
      <c r="BQ352" s="1663"/>
      <c r="BR352" s="1663"/>
      <c r="BS352" s="1663"/>
      <c r="BT352" s="1663"/>
      <c r="BU352" s="1663"/>
      <c r="BV352" s="1663"/>
      <c r="BW352" s="1663"/>
      <c r="BX352" s="1663"/>
      <c r="BY352" s="1663"/>
      <c r="BZ352" s="1663"/>
      <c r="CA352" s="1663"/>
      <c r="CB352" s="1663"/>
      <c r="CC352" s="1663"/>
      <c r="CD352" s="1663"/>
      <c r="CE352" s="1663"/>
      <c r="CF352" s="1663"/>
      <c r="CG352" s="1663"/>
      <c r="CH352" s="1634"/>
      <c r="CI352" s="1664"/>
      <c r="CJ352" s="1664"/>
      <c r="CK352" s="1664"/>
      <c r="CL352" s="1635"/>
      <c r="CM352" s="1634"/>
      <c r="CN352" s="1635"/>
      <c r="CO352" s="1635"/>
      <c r="CP352" s="1637">
        <f>SUM(CL269,CN269:CP269)</f>
        <v>-2456</v>
      </c>
      <c r="CQ352" s="1637">
        <f>SUM(CN269:CQ269)</f>
        <v>-3005</v>
      </c>
      <c r="CR352" s="1639">
        <f>CR269</f>
        <v>-3005</v>
      </c>
      <c r="CS352" s="1638">
        <f>SUM(CO269:CQ269,CS269)</f>
        <v>-3125</v>
      </c>
      <c r="CT352" s="1637">
        <f>SUM(CP269:CQ269,CS269:CT269)</f>
        <v>-3276</v>
      </c>
      <c r="CU352" s="1637">
        <f>SUM(CQ269,CS269:CU269)</f>
        <v>-3086</v>
      </c>
      <c r="CV352" s="1637">
        <f>SUM(CS269:CV269)</f>
        <v>-2931</v>
      </c>
      <c r="CW352" s="1639">
        <f>CW269</f>
        <v>-2931</v>
      </c>
      <c r="CX352" s="1638"/>
      <c r="CY352" s="1640"/>
      <c r="CZ352" s="1640"/>
      <c r="DA352" s="1640"/>
      <c r="DB352" s="1639"/>
      <c r="DC352" s="1638"/>
      <c r="DD352" s="1640"/>
      <c r="DE352" s="1640"/>
      <c r="DF352" s="1640"/>
      <c r="DG352" s="1639"/>
      <c r="DH352" s="1640"/>
      <c r="DI352" s="1640"/>
      <c r="DJ352" s="1640"/>
      <c r="DK352" s="1640"/>
      <c r="DL352" s="1639"/>
      <c r="DM352" s="1640"/>
      <c r="DN352" s="1640"/>
      <c r="DO352" s="1640"/>
      <c r="DP352" s="1640"/>
      <c r="DQ352" s="1639"/>
      <c r="DR352" s="1640"/>
      <c r="DS352" s="1640"/>
      <c r="DT352" s="1640"/>
      <c r="DU352" s="1640"/>
      <c r="DV352" s="1639"/>
      <c r="DW352" s="1640"/>
      <c r="DX352" s="1640"/>
      <c r="DY352" s="1640"/>
      <c r="DZ352" s="1640"/>
      <c r="EA352" s="1639"/>
      <c r="EB352" s="1640"/>
      <c r="EC352" s="1640"/>
      <c r="ED352" s="1640"/>
      <c r="EE352" s="1640"/>
      <c r="EF352" s="1639"/>
      <c r="EG352" s="1640"/>
      <c r="EH352" s="1640"/>
      <c r="EI352" s="1640"/>
      <c r="EJ352" s="1640"/>
      <c r="EK352" s="1639"/>
      <c r="EL352" s="1640"/>
      <c r="EM352" s="1640"/>
      <c r="EN352" s="1640"/>
      <c r="EO352" s="1640"/>
      <c r="EP352" s="1639"/>
      <c r="EQ352" s="1640"/>
      <c r="ER352" s="1640"/>
      <c r="ES352" s="1640"/>
      <c r="ET352" s="1640"/>
      <c r="EU352" s="1639"/>
      <c r="EV352" s="1639"/>
      <c r="EW352" s="1639"/>
      <c r="EX352" s="1639"/>
      <c r="EY352" s="1639"/>
      <c r="FA352" s="772"/>
      <c r="FB352" s="772"/>
    </row>
    <row r="353" spans="1:158" hidden="1">
      <c r="A353" s="1525" t="s">
        <v>510</v>
      </c>
      <c r="B353" s="535"/>
      <c r="C353" s="535"/>
      <c r="D353" s="535"/>
      <c r="E353" s="535"/>
      <c r="F353" s="535"/>
      <c r="G353" s="535"/>
      <c r="H353" s="535"/>
      <c r="I353" s="535"/>
      <c r="J353" s="535"/>
      <c r="K353" s="535"/>
      <c r="L353" s="535"/>
      <c r="M353" s="535"/>
      <c r="N353" s="535"/>
      <c r="O353" s="535"/>
      <c r="P353" s="535"/>
      <c r="Q353" s="535"/>
      <c r="R353" s="535"/>
      <c r="S353" s="535"/>
      <c r="T353" s="535"/>
      <c r="U353" s="535"/>
      <c r="V353" s="535"/>
      <c r="W353" s="535"/>
      <c r="X353" s="535"/>
      <c r="Y353" s="535"/>
      <c r="Z353" s="535"/>
      <c r="AA353" s="535"/>
      <c r="AB353" s="535"/>
      <c r="AC353" s="535"/>
      <c r="AD353" s="535"/>
      <c r="AE353" s="535"/>
      <c r="AF353" s="535"/>
      <c r="AG353" s="535"/>
      <c r="AH353" s="535"/>
      <c r="AI353" s="535"/>
      <c r="AJ353" s="535"/>
      <c r="AK353" s="535"/>
      <c r="AL353" s="535"/>
      <c r="AM353" s="535"/>
      <c r="AN353" s="535"/>
      <c r="AO353" s="535"/>
      <c r="AP353" s="535"/>
      <c r="AQ353" s="535"/>
      <c r="AR353" s="535"/>
      <c r="AS353" s="535"/>
      <c r="AT353" s="535"/>
      <c r="AU353" s="535"/>
      <c r="AV353" s="535"/>
      <c r="AW353" s="535"/>
      <c r="AX353" s="535"/>
      <c r="AY353" s="535"/>
      <c r="AZ353" s="535"/>
      <c r="BA353" s="535"/>
      <c r="BB353" s="535"/>
      <c r="BC353" s="535"/>
      <c r="BD353" s="535"/>
      <c r="BE353" s="535"/>
      <c r="BF353" s="535"/>
      <c r="BG353" s="535"/>
      <c r="BH353" s="535"/>
      <c r="BI353" s="535"/>
      <c r="BJ353" s="535"/>
      <c r="BK353" s="535"/>
      <c r="BL353" s="535"/>
      <c r="BM353" s="535"/>
      <c r="BN353" s="535"/>
      <c r="BO353" s="535"/>
      <c r="BP353" s="535"/>
      <c r="BQ353" s="535"/>
      <c r="BR353" s="535"/>
      <c r="BS353" s="535"/>
      <c r="BT353" s="535"/>
      <c r="BU353" s="535"/>
      <c r="BV353" s="535"/>
      <c r="BW353" s="535"/>
      <c r="BX353" s="535"/>
      <c r="BY353" s="535"/>
      <c r="BZ353" s="535"/>
      <c r="CA353" s="535"/>
      <c r="CB353" s="535"/>
      <c r="CC353" s="535"/>
      <c r="CD353" s="535"/>
      <c r="CE353" s="535"/>
      <c r="CF353" s="535"/>
      <c r="CG353" s="535"/>
      <c r="CH353" s="1075">
        <f>+CH363-CH345</f>
        <v>-1233</v>
      </c>
      <c r="CI353" s="782" t="s">
        <v>373</v>
      </c>
      <c r="CJ353" s="782" t="s">
        <v>373</v>
      </c>
      <c r="CK353" s="782" t="s">
        <v>373</v>
      </c>
      <c r="CL353" s="780">
        <f t="shared" ref="CL353:CW353" si="625">+CL363-CL345</f>
        <v>-956</v>
      </c>
      <c r="CM353" s="1075">
        <f t="shared" si="625"/>
        <v>-2537</v>
      </c>
      <c r="CN353" s="780">
        <f t="shared" si="625"/>
        <v>-850</v>
      </c>
      <c r="CO353" s="780">
        <f t="shared" si="625"/>
        <v>-881</v>
      </c>
      <c r="CP353" s="780">
        <f t="shared" si="625"/>
        <v>-1251</v>
      </c>
      <c r="CQ353" s="780">
        <f t="shared" si="625"/>
        <v>-1522</v>
      </c>
      <c r="CR353" s="1076">
        <f t="shared" si="625"/>
        <v>-4503.9999999999964</v>
      </c>
      <c r="CS353" s="1168">
        <f t="shared" si="625"/>
        <v>-1185</v>
      </c>
      <c r="CT353" s="784">
        <f t="shared" si="625"/>
        <v>-1359</v>
      </c>
      <c r="CU353" s="784">
        <f t="shared" si="625"/>
        <v>-1374</v>
      </c>
      <c r="CV353" s="784">
        <f t="shared" si="625"/>
        <v>-1673</v>
      </c>
      <c r="CW353" s="1077">
        <f t="shared" si="625"/>
        <v>-5591</v>
      </c>
      <c r="CX353" s="1168"/>
      <c r="CY353" s="769"/>
      <c r="CZ353" s="769"/>
      <c r="DA353" s="769"/>
      <c r="DB353" s="1077"/>
      <c r="DC353" s="1168"/>
      <c r="DD353" s="769"/>
      <c r="DE353" s="769"/>
      <c r="DF353" s="769"/>
      <c r="DG353" s="1077"/>
      <c r="DH353" s="769"/>
      <c r="DI353" s="769"/>
      <c r="DJ353" s="769"/>
      <c r="DK353" s="769"/>
      <c r="DL353" s="1077"/>
      <c r="DM353" s="769"/>
      <c r="DN353" s="769"/>
      <c r="DO353" s="769"/>
      <c r="DP353" s="769"/>
      <c r="DQ353" s="1077"/>
      <c r="DR353" s="769"/>
      <c r="DS353" s="769"/>
      <c r="DT353" s="769"/>
      <c r="DU353" s="769"/>
      <c r="DV353" s="1077"/>
      <c r="DW353" s="769"/>
      <c r="DX353" s="769"/>
      <c r="DY353" s="769"/>
      <c r="DZ353" s="769"/>
      <c r="EA353" s="1077"/>
      <c r="EB353" s="769"/>
      <c r="EC353" s="769"/>
      <c r="ED353" s="769"/>
      <c r="EE353" s="769"/>
      <c r="EF353" s="1077"/>
      <c r="EG353" s="769"/>
      <c r="EH353" s="769"/>
      <c r="EI353" s="769"/>
      <c r="EJ353" s="769"/>
      <c r="EK353" s="1077"/>
      <c r="EL353" s="769"/>
      <c r="EM353" s="769"/>
      <c r="EN353" s="769"/>
      <c r="EO353" s="769"/>
      <c r="EP353" s="1077"/>
      <c r="EQ353" s="769"/>
      <c r="ER353" s="769"/>
      <c r="ES353" s="769"/>
      <c r="ET353" s="769"/>
      <c r="EU353" s="1077"/>
      <c r="EV353" s="1077"/>
      <c r="EW353" s="1077"/>
      <c r="EX353" s="1077"/>
      <c r="EY353" s="1077"/>
      <c r="FA353" s="772"/>
      <c r="FB353" s="772"/>
    </row>
    <row r="354" spans="1:158" s="1166" customFormat="1" hidden="1">
      <c r="A354" s="1523" t="s">
        <v>511</v>
      </c>
      <c r="B354" s="1163"/>
      <c r="C354" s="1163"/>
      <c r="D354" s="1163"/>
      <c r="E354" s="1163"/>
      <c r="F354" s="1163"/>
      <c r="G354" s="1163"/>
      <c r="H354" s="1163"/>
      <c r="I354" s="1163"/>
      <c r="J354" s="1163"/>
      <c r="K354" s="1163"/>
      <c r="L354" s="1163"/>
      <c r="M354" s="1163"/>
      <c r="N354" s="1163"/>
      <c r="O354" s="1163"/>
      <c r="P354" s="1163"/>
      <c r="Q354" s="1163"/>
      <c r="R354" s="1163"/>
      <c r="S354" s="1163"/>
      <c r="T354" s="1163"/>
      <c r="U354" s="1163"/>
      <c r="V354" s="1163"/>
      <c r="W354" s="1163"/>
      <c r="X354" s="1163"/>
      <c r="Y354" s="1163"/>
      <c r="Z354" s="1163"/>
      <c r="AA354" s="1163"/>
      <c r="AB354" s="1163"/>
      <c r="AC354" s="1163"/>
      <c r="AD354" s="1163"/>
      <c r="AE354" s="1163"/>
      <c r="AF354" s="1163"/>
      <c r="AG354" s="1163"/>
      <c r="AH354" s="1163"/>
      <c r="AI354" s="1163"/>
      <c r="AJ354" s="1163"/>
      <c r="AK354" s="1163"/>
      <c r="AL354" s="1163"/>
      <c r="AM354" s="1163"/>
      <c r="AN354" s="1163"/>
      <c r="AO354" s="1163"/>
      <c r="AP354" s="1163"/>
      <c r="AQ354" s="1163"/>
      <c r="AR354" s="1163"/>
      <c r="AS354" s="1163"/>
      <c r="AT354" s="1163"/>
      <c r="AU354" s="1163"/>
      <c r="AV354" s="1163"/>
      <c r="AW354" s="1163"/>
      <c r="AX354" s="1163"/>
      <c r="AY354" s="1163"/>
      <c r="AZ354" s="1163"/>
      <c r="BA354" s="1163"/>
      <c r="BB354" s="1163"/>
      <c r="BC354" s="1163"/>
      <c r="BD354" s="1163"/>
      <c r="BE354" s="1163"/>
      <c r="BF354" s="1163"/>
      <c r="BG354" s="1163"/>
      <c r="BH354" s="1163"/>
      <c r="BI354" s="1163"/>
      <c r="BJ354" s="1163"/>
      <c r="BK354" s="1163"/>
      <c r="BL354" s="1163"/>
      <c r="BM354" s="1163"/>
      <c r="BN354" s="1163"/>
      <c r="BO354" s="1163"/>
      <c r="BP354" s="1163"/>
      <c r="BQ354" s="1163"/>
      <c r="BR354" s="1163"/>
      <c r="BS354" s="1163"/>
      <c r="BT354" s="1163"/>
      <c r="BU354" s="1163"/>
      <c r="BV354" s="1163"/>
      <c r="BW354" s="1163"/>
      <c r="BX354" s="1163"/>
      <c r="BY354" s="1163"/>
      <c r="BZ354" s="1163"/>
      <c r="CA354" s="1163"/>
      <c r="CB354" s="1163"/>
      <c r="CC354" s="1163"/>
      <c r="CD354" s="1163"/>
      <c r="CE354" s="1163"/>
      <c r="CF354" s="1163"/>
      <c r="CG354" s="1163"/>
      <c r="CH354" s="1164" t="e">
        <f>+CH353/#REF!</f>
        <v>#REF!</v>
      </c>
      <c r="CI354" s="782" t="s">
        <v>373</v>
      </c>
      <c r="CJ354" s="782" t="s">
        <v>373</v>
      </c>
      <c r="CK354" s="782" t="s">
        <v>373</v>
      </c>
      <c r="CL354" s="1165" t="e">
        <f>+CL353/#REF!</f>
        <v>#REF!</v>
      </c>
      <c r="CM354" s="1164" t="e">
        <f>+CM353/#REF!</f>
        <v>#REF!</v>
      </c>
      <c r="CN354" s="1165" t="e">
        <f>+CN353/#REF!</f>
        <v>#REF!</v>
      </c>
      <c r="CO354" s="1165" t="e">
        <f>+CO353/#REF!</f>
        <v>#REF!</v>
      </c>
      <c r="CP354" s="1165" t="e">
        <f>+CP353/#REF!</f>
        <v>#REF!</v>
      </c>
      <c r="CQ354" s="1165" t="e">
        <f>+CQ353/#REF!</f>
        <v>#REF!</v>
      </c>
      <c r="CR354" s="1164" t="e">
        <f>+CR353/#REF!</f>
        <v>#REF!</v>
      </c>
      <c r="CS354" s="1165" t="e">
        <f>+CS353/#REF!</f>
        <v>#REF!</v>
      </c>
      <c r="CT354" s="1165" t="e">
        <f>+CT353/#REF!</f>
        <v>#REF!</v>
      </c>
      <c r="CU354" s="1165" t="e">
        <f>+CU353/#REF!</f>
        <v>#REF!</v>
      </c>
      <c r="CV354" s="1165" t="e">
        <f>+CV353/#REF!</f>
        <v>#REF!</v>
      </c>
      <c r="CW354" s="1164" t="e">
        <f>+CW353/#REF!</f>
        <v>#REF!</v>
      </c>
      <c r="CX354" s="1165"/>
      <c r="CY354" s="1165"/>
      <c r="CZ354" s="1165"/>
      <c r="DA354" s="1165"/>
      <c r="DB354" s="1164"/>
      <c r="DC354" s="1165"/>
      <c r="DD354" s="1165"/>
      <c r="DE354" s="1165"/>
      <c r="DF354" s="1165"/>
      <c r="DG354" s="1164"/>
      <c r="DH354" s="1165"/>
      <c r="DI354" s="1165"/>
      <c r="DJ354" s="1165"/>
      <c r="DK354" s="1165"/>
      <c r="DL354" s="1164"/>
      <c r="DM354" s="1165"/>
      <c r="DN354" s="1165"/>
      <c r="DO354" s="1165"/>
      <c r="DP354" s="1165"/>
      <c r="DQ354" s="1164"/>
      <c r="DR354" s="1165"/>
      <c r="DS354" s="1165"/>
      <c r="DT354" s="1165"/>
      <c r="DU354" s="1165"/>
      <c r="DV354" s="1164"/>
      <c r="DW354" s="1165"/>
      <c r="DX354" s="1165"/>
      <c r="DY354" s="1165"/>
      <c r="DZ354" s="1165"/>
      <c r="EA354" s="1164"/>
      <c r="EB354" s="1165"/>
      <c r="EC354" s="1165"/>
      <c r="ED354" s="1165"/>
      <c r="EE354" s="1165"/>
      <c r="EF354" s="1164"/>
      <c r="EG354" s="1165"/>
      <c r="EH354" s="1165"/>
      <c r="EI354" s="1165"/>
      <c r="EJ354" s="1165"/>
      <c r="EK354" s="1164"/>
      <c r="EL354" s="1165"/>
      <c r="EM354" s="1165"/>
      <c r="EN354" s="1165"/>
      <c r="EO354" s="1165"/>
      <c r="EP354" s="1164"/>
      <c r="EQ354" s="1165"/>
      <c r="ER354" s="1165"/>
      <c r="ES354" s="1165"/>
      <c r="ET354" s="1165"/>
      <c r="EU354" s="1164"/>
      <c r="EV354" s="1164"/>
      <c r="EW354" s="1164"/>
      <c r="EX354" s="1164"/>
      <c r="EY354" s="1164"/>
      <c r="FA354" s="1167"/>
      <c r="FB354" s="1167"/>
    </row>
    <row r="355" spans="1:158" hidden="1"/>
    <row r="356" spans="1:158" s="767" customFormat="1" hidden="1">
      <c r="A356" s="1528" t="s">
        <v>447</v>
      </c>
      <c r="B356" s="791"/>
      <c r="C356" s="791"/>
      <c r="D356" s="791"/>
      <c r="E356" s="791"/>
      <c r="F356" s="791"/>
      <c r="G356" s="791"/>
      <c r="H356" s="791"/>
      <c r="I356" s="791"/>
      <c r="J356" s="791"/>
      <c r="K356" s="791"/>
      <c r="L356" s="791"/>
      <c r="M356" s="791"/>
      <c r="N356" s="791"/>
      <c r="O356" s="791"/>
      <c r="P356" s="791"/>
      <c r="Q356" s="791"/>
      <c r="R356" s="791"/>
      <c r="S356" s="791"/>
      <c r="T356" s="791"/>
      <c r="U356" s="791"/>
      <c r="V356" s="791"/>
      <c r="W356" s="791"/>
      <c r="X356" s="791"/>
      <c r="Y356" s="791"/>
      <c r="Z356" s="791"/>
      <c r="AA356" s="791"/>
      <c r="AB356" s="791"/>
      <c r="AC356" s="791"/>
      <c r="AD356" s="791"/>
      <c r="AE356" s="791"/>
      <c r="AF356" s="791"/>
      <c r="AG356" s="791"/>
      <c r="AH356" s="791"/>
      <c r="AI356" s="791"/>
      <c r="AJ356" s="791"/>
      <c r="AK356" s="791"/>
      <c r="AL356" s="791"/>
      <c r="AM356" s="791"/>
      <c r="AN356" s="791"/>
      <c r="AO356" s="791"/>
      <c r="AP356" s="791"/>
      <c r="AQ356" s="791"/>
      <c r="AR356" s="791"/>
      <c r="AS356" s="791"/>
      <c r="AT356" s="791"/>
      <c r="AU356" s="791"/>
      <c r="AV356" s="791"/>
      <c r="AW356" s="791"/>
      <c r="AX356" s="791"/>
      <c r="AY356" s="791"/>
      <c r="AZ356" s="791"/>
      <c r="BA356" s="791"/>
      <c r="BB356" s="791"/>
      <c r="BC356" s="791"/>
      <c r="BD356" s="791"/>
      <c r="BE356" s="791"/>
      <c r="BF356" s="791"/>
      <c r="BG356" s="791"/>
      <c r="BH356" s="791"/>
      <c r="BI356" s="791"/>
      <c r="BJ356" s="791"/>
      <c r="BK356" s="791"/>
      <c r="BL356" s="791"/>
      <c r="BM356" s="791"/>
      <c r="BN356" s="791"/>
      <c r="BO356" s="791"/>
      <c r="BP356" s="791"/>
      <c r="BQ356" s="791"/>
      <c r="BR356" s="791"/>
      <c r="BS356" s="791"/>
      <c r="BT356" s="791"/>
      <c r="BU356" s="791"/>
      <c r="BV356" s="791"/>
      <c r="BW356" s="791"/>
      <c r="BX356" s="791"/>
      <c r="BY356" s="791"/>
      <c r="BZ356" s="791"/>
      <c r="CA356" s="791"/>
      <c r="CB356" s="791"/>
      <c r="CC356" s="791"/>
      <c r="CD356" s="791"/>
      <c r="CE356" s="791"/>
      <c r="CF356" s="791"/>
      <c r="CG356" s="791"/>
      <c r="CH356" s="1087">
        <f>+CH269/CH$261</f>
        <v>-33.583333333333336</v>
      </c>
      <c r="CI356" s="799" t="str">
        <f>+IFERROR(CI269/CI$261,"N/A")</f>
        <v>N/A</v>
      </c>
      <c r="CJ356" s="799" t="str">
        <f>+IFERROR(CJ269/CJ$261,"N/A")</f>
        <v>N/A</v>
      </c>
      <c r="CK356" s="799" t="str">
        <f>+IFERROR(CK269/CK$261,"N/A")</f>
        <v>N/A</v>
      </c>
      <c r="CL356" s="800">
        <f t="shared" ref="CL356:CW356" si="626">+CL269/CL$261</f>
        <v>-5.0283018867924527</v>
      </c>
      <c r="CM356" s="1087">
        <f t="shared" si="626"/>
        <v>-4.8776758409785934</v>
      </c>
      <c r="CN356" s="800">
        <f t="shared" si="626"/>
        <v>-6.45</v>
      </c>
      <c r="CO356" s="800">
        <f t="shared" si="626"/>
        <v>-7.5</v>
      </c>
      <c r="CP356" s="800">
        <f t="shared" si="626"/>
        <v>-6.042553191489362</v>
      </c>
      <c r="CQ356" s="800">
        <f t="shared" si="626"/>
        <v>-7.2133333333333329</v>
      </c>
      <c r="CR356" s="1087">
        <f t="shared" si="626"/>
        <v>-6.7528089887640448</v>
      </c>
      <c r="CS356" s="800">
        <f t="shared" si="626"/>
        <v>-3.8545454545454545</v>
      </c>
      <c r="CT356" s="800">
        <f t="shared" si="626"/>
        <v>-3.8162162162162163</v>
      </c>
      <c r="CU356" s="800">
        <f t="shared" si="626"/>
        <v>-3.3604060913705585</v>
      </c>
      <c r="CV356" s="800">
        <f t="shared" si="626"/>
        <v>-3.5381679389312977</v>
      </c>
      <c r="CW356" s="1087">
        <f t="shared" si="626"/>
        <v>-3.6229913473423978</v>
      </c>
      <c r="CX356" s="800"/>
      <c r="CY356" s="800"/>
      <c r="CZ356" s="800"/>
      <c r="DA356" s="800"/>
      <c r="DB356" s="1087"/>
      <c r="DC356" s="800"/>
      <c r="DD356" s="800"/>
      <c r="DE356" s="800"/>
      <c r="DF356" s="800"/>
      <c r="DG356" s="1087"/>
      <c r="DH356" s="800"/>
      <c r="DI356" s="800"/>
      <c r="DJ356" s="800"/>
      <c r="DK356" s="800"/>
      <c r="DL356" s="1087"/>
      <c r="DM356" s="800"/>
      <c r="DN356" s="800"/>
      <c r="DO356" s="800"/>
      <c r="DP356" s="800"/>
      <c r="DQ356" s="1087"/>
      <c r="DR356" s="800"/>
      <c r="DS356" s="800"/>
      <c r="DT356" s="800"/>
      <c r="DU356" s="800"/>
      <c r="DV356" s="1087"/>
      <c r="DW356" s="800"/>
      <c r="DX356" s="800"/>
      <c r="DY356" s="800"/>
      <c r="DZ356" s="800"/>
      <c r="EA356" s="1087"/>
      <c r="EB356" s="800"/>
      <c r="EC356" s="800"/>
      <c r="ED356" s="800"/>
      <c r="EE356" s="800"/>
      <c r="EF356" s="1087"/>
      <c r="EG356" s="800"/>
      <c r="EH356" s="800"/>
      <c r="EI356" s="800"/>
      <c r="EJ356" s="800"/>
      <c r="EK356" s="1087"/>
      <c r="EL356" s="800"/>
      <c r="EM356" s="800"/>
      <c r="EN356" s="800"/>
      <c r="EO356" s="800"/>
      <c r="EP356" s="1087"/>
      <c r="EQ356" s="800"/>
      <c r="ER356" s="800"/>
      <c r="ES356" s="800"/>
      <c r="ET356" s="800"/>
      <c r="EU356" s="1087"/>
      <c r="EV356" s="1087"/>
      <c r="EW356" s="1087"/>
      <c r="EX356" s="1087"/>
      <c r="EY356" s="1087"/>
      <c r="FA356" s="718"/>
      <c r="FB356" s="718"/>
    </row>
    <row r="357" spans="1:158" hidden="1"/>
    <row r="358" spans="1:158" s="627" customFormat="1" hidden="1">
      <c r="A358" s="1535" t="s">
        <v>546</v>
      </c>
      <c r="B358" s="765"/>
      <c r="C358" s="765"/>
      <c r="D358" s="765"/>
      <c r="E358" s="765"/>
      <c r="F358" s="765"/>
      <c r="G358" s="765"/>
      <c r="H358" s="765"/>
      <c r="I358" s="765"/>
      <c r="J358" s="765"/>
      <c r="K358" s="765"/>
      <c r="L358" s="765"/>
      <c r="M358" s="765"/>
      <c r="N358" s="765"/>
      <c r="O358" s="765"/>
      <c r="P358" s="765"/>
      <c r="Q358" s="765"/>
      <c r="R358" s="765"/>
      <c r="S358" s="765"/>
      <c r="T358" s="765"/>
      <c r="U358" s="765"/>
      <c r="V358" s="765"/>
      <c r="W358" s="765"/>
      <c r="X358" s="765"/>
      <c r="Y358" s="765"/>
      <c r="Z358" s="765"/>
      <c r="AA358" s="765"/>
      <c r="AB358" s="765"/>
      <c r="AC358" s="765"/>
      <c r="AD358" s="765"/>
      <c r="AE358" s="765"/>
      <c r="AF358" s="765"/>
      <c r="AG358" s="765"/>
      <c r="AH358" s="765"/>
      <c r="AI358" s="765"/>
      <c r="AJ358" s="765"/>
      <c r="AK358" s="765"/>
      <c r="AL358" s="765"/>
      <c r="AM358" s="765"/>
      <c r="AN358" s="765"/>
      <c r="AO358" s="765"/>
      <c r="AP358" s="765"/>
      <c r="AQ358" s="765"/>
      <c r="AR358" s="765"/>
      <c r="AS358" s="765"/>
      <c r="AT358" s="765"/>
      <c r="AU358" s="765"/>
      <c r="AV358" s="765"/>
      <c r="AW358" s="765"/>
      <c r="AX358" s="765"/>
      <c r="AY358" s="765"/>
      <c r="AZ358" s="765"/>
      <c r="BA358" s="765"/>
      <c r="BB358" s="765"/>
      <c r="BC358" s="765"/>
      <c r="BD358" s="765"/>
      <c r="BE358" s="765"/>
      <c r="BF358" s="765"/>
      <c r="BG358" s="765"/>
      <c r="BH358" s="765"/>
      <c r="BI358" s="765"/>
      <c r="BJ358" s="765"/>
      <c r="BK358" s="765"/>
      <c r="BL358" s="765"/>
      <c r="BM358" s="765"/>
      <c r="BN358" s="765"/>
      <c r="BO358" s="765"/>
      <c r="BP358" s="765"/>
      <c r="BQ358" s="765"/>
      <c r="BR358" s="765"/>
      <c r="BS358" s="765"/>
      <c r="BT358" s="765"/>
      <c r="BU358" s="765"/>
      <c r="BV358" s="765"/>
      <c r="BW358" s="765"/>
      <c r="BX358" s="765"/>
      <c r="BY358" s="765"/>
      <c r="BZ358" s="765"/>
      <c r="CA358" s="765"/>
      <c r="CB358" s="765"/>
      <c r="CC358" s="765"/>
      <c r="CD358" s="765"/>
      <c r="CE358" s="765"/>
      <c r="CF358" s="765"/>
      <c r="CG358" s="765"/>
      <c r="CH358" s="1078"/>
      <c r="CI358" s="785"/>
      <c r="CJ358" s="785"/>
      <c r="CK358" s="785"/>
      <c r="CL358" s="785"/>
      <c r="CM358" s="1079">
        <f t="shared" ref="CM358:CW358" si="627">+IF(CM269&lt;0,IF(CH269&gt;0,"N/A",(-1)*(CM269/CH269-1)),IF(CH269&lt;0,"N/A",(CM269/CH269-1)))</f>
        <v>-2.9578163771712158</v>
      </c>
      <c r="CN358" s="786" t="str">
        <f t="shared" si="627"/>
        <v>N/A</v>
      </c>
      <c r="CO358" s="786" t="str">
        <f t="shared" si="627"/>
        <v>N/A</v>
      </c>
      <c r="CP358" s="786" t="str">
        <f t="shared" si="627"/>
        <v>N/A</v>
      </c>
      <c r="CQ358" s="786">
        <f t="shared" si="627"/>
        <v>-1.0300187617260788</v>
      </c>
      <c r="CR358" s="1079">
        <f t="shared" si="627"/>
        <v>-0.88401253918495293</v>
      </c>
      <c r="CS358" s="786">
        <f t="shared" si="627"/>
        <v>-0.23255813953488369</v>
      </c>
      <c r="CT358" s="786">
        <f t="shared" si="627"/>
        <v>-0.27207207207207218</v>
      </c>
      <c r="CU358" s="786">
        <f t="shared" si="627"/>
        <v>0.22300469483568075</v>
      </c>
      <c r="CV358" s="786">
        <f t="shared" si="627"/>
        <v>0.14325323475046214</v>
      </c>
      <c r="CW358" s="1079">
        <f t="shared" si="627"/>
        <v>2.4625623960066512E-2</v>
      </c>
      <c r="CX358" s="786"/>
      <c r="CY358" s="786"/>
      <c r="CZ358" s="786"/>
      <c r="DA358" s="786"/>
      <c r="DB358" s="1079"/>
      <c r="DC358" s="2645"/>
      <c r="DD358" s="2645"/>
      <c r="DE358" s="2645"/>
      <c r="DF358" s="2645"/>
      <c r="DG358" s="1079"/>
      <c r="DH358" s="2645"/>
      <c r="DI358" s="2645"/>
      <c r="DJ358" s="2645"/>
      <c r="DK358" s="2645"/>
      <c r="DL358" s="1079"/>
      <c r="DM358" s="2645"/>
      <c r="DN358" s="2645"/>
      <c r="DO358" s="2645"/>
      <c r="DP358" s="2645"/>
      <c r="DQ358" s="1079"/>
      <c r="DR358" s="2645"/>
      <c r="DS358" s="2645"/>
      <c r="DT358" s="2645"/>
      <c r="DU358" s="2645"/>
      <c r="DV358" s="1079"/>
      <c r="DW358" s="2645"/>
      <c r="DX358" s="2645"/>
      <c r="DY358" s="2645"/>
      <c r="DZ358" s="2645"/>
      <c r="EA358" s="1079"/>
      <c r="EB358" s="2645"/>
      <c r="EC358" s="2645"/>
      <c r="ED358" s="2645"/>
      <c r="EE358" s="2645"/>
      <c r="EF358" s="1079"/>
      <c r="EG358" s="2645"/>
      <c r="EH358" s="2645"/>
      <c r="EI358" s="2645"/>
      <c r="EJ358" s="2645"/>
      <c r="EK358" s="1079"/>
      <c r="EL358" s="2645"/>
      <c r="EM358" s="2645"/>
      <c r="EN358" s="2645"/>
      <c r="EO358" s="2645"/>
      <c r="EP358" s="1079"/>
      <c r="EQ358" s="2645"/>
      <c r="ER358" s="2645"/>
      <c r="ES358" s="2645"/>
      <c r="ET358" s="2645"/>
      <c r="EU358" s="1079"/>
      <c r="EV358" s="1079"/>
      <c r="EW358" s="1079"/>
      <c r="EX358" s="1079"/>
      <c r="EY358" s="1079"/>
      <c r="EZ358" s="768"/>
      <c r="FA358" s="772"/>
      <c r="FB358" s="772"/>
    </row>
    <row r="359" spans="1:158" s="768" customFormat="1" hidden="1">
      <c r="A359" s="1523" t="s">
        <v>536</v>
      </c>
      <c r="B359" s="767"/>
      <c r="C359" s="767"/>
      <c r="D359" s="767"/>
      <c r="E359" s="767"/>
      <c r="F359" s="767"/>
      <c r="G359" s="767"/>
      <c r="H359" s="767"/>
      <c r="I359" s="767"/>
      <c r="J359" s="767"/>
      <c r="K359" s="767"/>
      <c r="L359" s="767"/>
      <c r="M359" s="767"/>
      <c r="N359" s="767"/>
      <c r="O359" s="767"/>
      <c r="P359" s="767"/>
      <c r="Q359" s="767"/>
      <c r="R359" s="767"/>
      <c r="S359" s="767"/>
      <c r="T359" s="767"/>
      <c r="U359" s="767"/>
      <c r="V359" s="767"/>
      <c r="W359" s="767"/>
      <c r="X359" s="767"/>
      <c r="Y359" s="767"/>
      <c r="Z359" s="767"/>
      <c r="AA359" s="767"/>
      <c r="AB359" s="767"/>
      <c r="AC359" s="767"/>
      <c r="AD359" s="767"/>
      <c r="AE359" s="767"/>
      <c r="AF359" s="767"/>
      <c r="AG359" s="767"/>
      <c r="AH359" s="767"/>
      <c r="AI359" s="767"/>
      <c r="AJ359" s="767"/>
      <c r="AK359" s="767"/>
      <c r="AL359" s="767"/>
      <c r="AM359" s="767"/>
      <c r="AN359" s="767"/>
      <c r="AO359" s="767"/>
      <c r="AP359" s="767"/>
      <c r="AQ359" s="767"/>
      <c r="AR359" s="767"/>
      <c r="AS359" s="767"/>
      <c r="AT359" s="767"/>
      <c r="AU359" s="767"/>
      <c r="AV359" s="767"/>
      <c r="AW359" s="767"/>
      <c r="AX359" s="767"/>
      <c r="AY359" s="767"/>
      <c r="AZ359" s="767"/>
      <c r="BA359" s="767"/>
      <c r="BB359" s="767"/>
      <c r="BC359" s="767"/>
      <c r="BD359" s="767"/>
      <c r="BE359" s="767"/>
      <c r="BF359" s="767"/>
      <c r="BG359" s="767"/>
      <c r="BH359" s="767"/>
      <c r="BI359" s="767"/>
      <c r="BJ359" s="767"/>
      <c r="BK359" s="767"/>
      <c r="BL359" s="767"/>
      <c r="BM359" s="767"/>
      <c r="BN359" s="767"/>
      <c r="BO359" s="767"/>
      <c r="BP359" s="767"/>
      <c r="BQ359" s="767"/>
      <c r="BR359" s="767"/>
      <c r="BS359" s="767"/>
      <c r="BT359" s="767"/>
      <c r="BU359" s="767"/>
      <c r="BV359" s="767"/>
      <c r="BW359" s="767"/>
      <c r="BX359" s="767"/>
      <c r="BY359" s="767"/>
      <c r="BZ359" s="767"/>
      <c r="CA359" s="767"/>
      <c r="CB359" s="767"/>
      <c r="CC359" s="767"/>
      <c r="CD359" s="767"/>
      <c r="CE359" s="767"/>
      <c r="CF359" s="767"/>
      <c r="CG359" s="767"/>
      <c r="CH359" s="1084"/>
      <c r="CI359" s="793"/>
      <c r="CJ359" s="793"/>
      <c r="CK359" s="793"/>
      <c r="CL359" s="793"/>
      <c r="CM359" s="1085"/>
      <c r="CN359" s="831"/>
      <c r="CO359" s="831"/>
      <c r="CP359" s="831"/>
      <c r="CQ359" s="831"/>
      <c r="CR359" s="1085"/>
      <c r="CS359" s="831"/>
      <c r="CT359" s="831"/>
      <c r="CU359" s="831">
        <f>+IF(CU352&lt;0,IF(CP352&gt;0,"N/A",(-1)*(CU352/CP352-1)),IF(CP352&lt;0,"N/A",(CU352/CP352-1)))</f>
        <v>-0.25651465798045603</v>
      </c>
      <c r="CV359" s="831">
        <f>+IF(CV352&lt;0,IF(CQ352&gt;0,"N/A",(-1)*(CV352/CQ352-1)),IF(CQ352&lt;0,"N/A",(CV352/CQ352-1)))</f>
        <v>2.4625623960066512E-2</v>
      </c>
      <c r="CW359" s="1085">
        <f>+IF(CW352&lt;0,IF(CR352&gt;0,"N/A",(-1)*(CW352/CR352-1)),IF(CR352&lt;0,"N/A",(CW352/CR352-1)))</f>
        <v>2.4625623960066512E-2</v>
      </c>
      <c r="CX359" s="831"/>
      <c r="CY359" s="831"/>
      <c r="CZ359" s="831"/>
      <c r="DA359" s="831"/>
      <c r="DB359" s="1085"/>
      <c r="DC359" s="2653"/>
      <c r="DD359" s="2653"/>
      <c r="DE359" s="2653"/>
      <c r="DF359" s="2653"/>
      <c r="DG359" s="1085"/>
      <c r="DH359" s="2653"/>
      <c r="DI359" s="2653"/>
      <c r="DJ359" s="2653"/>
      <c r="DK359" s="2653"/>
      <c r="DL359" s="1085"/>
      <c r="DM359" s="2653"/>
      <c r="DN359" s="2653"/>
      <c r="DO359" s="2653"/>
      <c r="DP359" s="2653"/>
      <c r="DQ359" s="1085"/>
      <c r="DR359" s="2653"/>
      <c r="DS359" s="2653"/>
      <c r="DT359" s="2653"/>
      <c r="DU359" s="2653"/>
      <c r="DV359" s="1085"/>
      <c r="DW359" s="2653"/>
      <c r="DX359" s="2653"/>
      <c r="DY359" s="2653"/>
      <c r="DZ359" s="2653"/>
      <c r="EA359" s="1085"/>
      <c r="EB359" s="2653"/>
      <c r="EC359" s="2653"/>
      <c r="ED359" s="2653"/>
      <c r="EE359" s="2653"/>
      <c r="EF359" s="1085"/>
      <c r="EG359" s="2653"/>
      <c r="EH359" s="2653"/>
      <c r="EI359" s="2653"/>
      <c r="EJ359" s="2653"/>
      <c r="EK359" s="1085"/>
      <c r="EL359" s="2653"/>
      <c r="EM359" s="2653"/>
      <c r="EN359" s="2653"/>
      <c r="EO359" s="2653"/>
      <c r="EP359" s="1085"/>
      <c r="EQ359" s="2653"/>
      <c r="ER359" s="2653"/>
      <c r="ES359" s="2653"/>
      <c r="ET359" s="2653"/>
      <c r="EU359" s="1085"/>
      <c r="EV359" s="1085"/>
      <c r="EW359" s="1085"/>
      <c r="EX359" s="1085"/>
      <c r="EY359" s="1085"/>
      <c r="FA359" s="772"/>
      <c r="FB359" s="772"/>
    </row>
    <row r="360" spans="1:158" hidden="1"/>
    <row r="361" spans="1:158" s="767" customFormat="1" hidden="1">
      <c r="A361" s="1528" t="s">
        <v>447</v>
      </c>
      <c r="B361" s="791"/>
      <c r="C361" s="791"/>
      <c r="D361" s="791"/>
      <c r="E361" s="791"/>
      <c r="F361" s="791"/>
      <c r="G361" s="791"/>
      <c r="H361" s="791"/>
      <c r="I361" s="791"/>
      <c r="J361" s="791"/>
      <c r="K361" s="791"/>
      <c r="L361" s="791"/>
      <c r="M361" s="791"/>
      <c r="N361" s="791"/>
      <c r="O361" s="791"/>
      <c r="P361" s="791"/>
      <c r="Q361" s="791"/>
      <c r="R361" s="791"/>
      <c r="S361" s="791"/>
      <c r="T361" s="791"/>
      <c r="U361" s="791"/>
      <c r="V361" s="791"/>
      <c r="W361" s="791"/>
      <c r="X361" s="791"/>
      <c r="Y361" s="791"/>
      <c r="Z361" s="791"/>
      <c r="AA361" s="791"/>
      <c r="AB361" s="791"/>
      <c r="AC361" s="791"/>
      <c r="AD361" s="791"/>
      <c r="AE361" s="791"/>
      <c r="AF361" s="791"/>
      <c r="AG361" s="791"/>
      <c r="AH361" s="791"/>
      <c r="AI361" s="791"/>
      <c r="AJ361" s="791"/>
      <c r="AK361" s="791"/>
      <c r="AL361" s="791"/>
      <c r="AM361" s="791"/>
      <c r="AN361" s="791"/>
      <c r="AO361" s="791"/>
      <c r="AP361" s="791"/>
      <c r="AQ361" s="791"/>
      <c r="AR361" s="791"/>
      <c r="AS361" s="791"/>
      <c r="AT361" s="791"/>
      <c r="AU361" s="791"/>
      <c r="AV361" s="791"/>
      <c r="AW361" s="791"/>
      <c r="AX361" s="791"/>
      <c r="AY361" s="791"/>
      <c r="AZ361" s="791"/>
      <c r="BA361" s="791"/>
      <c r="BB361" s="791"/>
      <c r="BC361" s="791"/>
      <c r="BD361" s="791"/>
      <c r="BE361" s="791"/>
      <c r="BF361" s="791"/>
      <c r="BG361" s="791"/>
      <c r="BH361" s="791"/>
      <c r="BI361" s="791"/>
      <c r="BJ361" s="791"/>
      <c r="BK361" s="791"/>
      <c r="BL361" s="791"/>
      <c r="BM361" s="791"/>
      <c r="BN361" s="791"/>
      <c r="BO361" s="791"/>
      <c r="BP361" s="791"/>
      <c r="BQ361" s="791"/>
      <c r="BR361" s="791"/>
      <c r="BS361" s="791"/>
      <c r="BT361" s="791"/>
      <c r="BU361" s="791"/>
      <c r="BV361" s="791"/>
      <c r="BW361" s="791"/>
      <c r="BX361" s="791"/>
      <c r="BY361" s="791"/>
      <c r="BZ361" s="791"/>
      <c r="CA361" s="791"/>
      <c r="CB361" s="791"/>
      <c r="CC361" s="791"/>
      <c r="CD361" s="791"/>
      <c r="CE361" s="791"/>
      <c r="CF361" s="791"/>
      <c r="CG361" s="791"/>
      <c r="CH361" s="1082"/>
      <c r="CI361" s="792"/>
      <c r="CJ361" s="792"/>
      <c r="CK361" s="792"/>
      <c r="CL361" s="792"/>
      <c r="CM361" s="1082"/>
      <c r="CN361" s="830">
        <f>+IF(CN269&lt;0,IF(CL269&gt;0,"N/A",(-1)*(CN269/CL269-1)),IF(CL269&lt;0,"N/A",(CN269/CL269-1)))</f>
        <v>3.1894934333958735E-2</v>
      </c>
      <c r="CO361" s="830">
        <f>+IF(CO269&lt;0,IF(CN269&gt;0,"N/A",(-1)*(CO269/CN269-1)),IF(CN269&lt;0,"N/A",(CO269/CN269-1)))</f>
        <v>-7.5581395348837122E-2</v>
      </c>
      <c r="CP361" s="830">
        <f>+IF(CP269&lt;0,IF(CO269&gt;0,"N/A",(-1)*(CP269/CO269-1)),IF(CO269&lt;0,"N/A",(CP269/CO269-1)))</f>
        <v>-0.53513513513513522</v>
      </c>
      <c r="CQ361" s="830">
        <f>+IF(CQ269&lt;0,IF(CP269&gt;0,"N/A",(-1)*(CQ269/CP269-1)),IF(CP269&lt;0,"N/A",(CQ269/CP269-1)))</f>
        <v>-0.2699530516431925</v>
      </c>
      <c r="CR361" s="1083"/>
      <c r="CS361" s="830">
        <f>+IF(CS269&lt;0,IF(CQ269&gt;0,"N/A",(-1)*(CS269/CQ269-1)),IF(CQ269&lt;0,"N/A",(CS269/CQ269-1)))</f>
        <v>0.4121996303142329</v>
      </c>
      <c r="CT361" s="830">
        <f>+IF(CT269&lt;0,IF(CS269&gt;0,"N/A",(-1)*(CT269/CS269-1)),IF(CS269&lt;0,"N/A",(CT269/CS269-1)))</f>
        <v>-0.11006289308176109</v>
      </c>
      <c r="CU361" s="830">
        <f>+IF(CU269&lt;0,IF(CT269&gt;0,"N/A",(-1)*(CU269/CT269-1)),IF(CT269&lt;0,"N/A",(CU269/CT269-1)))</f>
        <v>6.2322946175637384E-2</v>
      </c>
      <c r="CV361" s="830">
        <f>+IF(CV269&lt;0,IF(CU269&gt;0,"N/A",(-1)*(CV269/CU269-1)),IF(CU269&lt;0,"N/A",(CV269/CU269-1)))</f>
        <v>-0.40030211480362543</v>
      </c>
      <c r="CW361" s="1082"/>
      <c r="CX361" s="830"/>
      <c r="CY361" s="830"/>
      <c r="CZ361" s="830"/>
      <c r="DA361" s="830"/>
      <c r="DB361" s="1082"/>
      <c r="DC361" s="830"/>
      <c r="DD361" s="830"/>
      <c r="DE361" s="830"/>
      <c r="DF361" s="830"/>
      <c r="DG361" s="1082"/>
      <c r="DH361" s="830"/>
      <c r="DI361" s="830"/>
      <c r="DJ361" s="830"/>
      <c r="DK361" s="830"/>
      <c r="DL361" s="1082"/>
      <c r="DM361" s="830"/>
      <c r="DN361" s="830"/>
      <c r="DO361" s="830"/>
      <c r="DP361" s="830"/>
      <c r="DQ361" s="1082"/>
      <c r="DR361" s="830"/>
      <c r="DS361" s="830"/>
      <c r="DT361" s="830"/>
      <c r="DU361" s="830"/>
      <c r="DV361" s="1082"/>
      <c r="DW361" s="830"/>
      <c r="DX361" s="830"/>
      <c r="DY361" s="830"/>
      <c r="DZ361" s="830"/>
      <c r="EA361" s="1082"/>
      <c r="EB361" s="830"/>
      <c r="EC361" s="830"/>
      <c r="ED361" s="830"/>
      <c r="EE361" s="830"/>
      <c r="EF361" s="1082"/>
      <c r="EG361" s="830"/>
      <c r="EH361" s="830"/>
      <c r="EI361" s="830"/>
      <c r="EJ361" s="830"/>
      <c r="EK361" s="1082"/>
      <c r="EL361" s="830"/>
      <c r="EM361" s="830"/>
      <c r="EN361" s="830"/>
      <c r="EO361" s="830"/>
      <c r="EP361" s="1082"/>
      <c r="EQ361" s="830"/>
      <c r="ER361" s="830"/>
      <c r="ES361" s="830"/>
      <c r="ET361" s="830"/>
      <c r="EU361" s="1082"/>
      <c r="EV361" s="1082"/>
      <c r="EW361" s="1082"/>
      <c r="EX361" s="1082"/>
      <c r="EY361" s="1082"/>
      <c r="FA361" s="718"/>
      <c r="FB361" s="718"/>
    </row>
    <row r="362" spans="1:158" hidden="1"/>
    <row r="363" spans="1:158" hidden="1">
      <c r="A363" s="1520" t="s">
        <v>564</v>
      </c>
      <c r="B363" s="764"/>
      <c r="C363" s="764"/>
      <c r="D363" s="764"/>
      <c r="E363" s="764"/>
      <c r="F363" s="764"/>
      <c r="G363" s="764"/>
      <c r="H363" s="764"/>
      <c r="I363" s="764"/>
      <c r="J363" s="764"/>
      <c r="K363" s="764"/>
      <c r="L363" s="764"/>
      <c r="M363" s="764"/>
      <c r="N363" s="764"/>
      <c r="O363" s="764"/>
      <c r="P363" s="764"/>
      <c r="Q363" s="764"/>
      <c r="R363" s="764"/>
      <c r="S363" s="764"/>
      <c r="T363" s="764"/>
      <c r="U363" s="764"/>
      <c r="V363" s="764"/>
      <c r="W363" s="764"/>
      <c r="X363" s="764"/>
      <c r="Y363" s="764"/>
      <c r="Z363" s="764"/>
      <c r="AA363" s="764"/>
      <c r="AB363" s="764"/>
      <c r="AC363" s="764"/>
      <c r="AD363" s="764"/>
      <c r="AE363" s="764"/>
      <c r="AF363" s="764"/>
      <c r="AG363" s="764"/>
      <c r="AH363" s="764"/>
      <c r="AI363" s="764"/>
      <c r="AJ363" s="764"/>
      <c r="AK363" s="764"/>
      <c r="AL363" s="764"/>
      <c r="AM363" s="764"/>
      <c r="AN363" s="764"/>
      <c r="AO363" s="764"/>
      <c r="AP363" s="764"/>
      <c r="AQ363" s="764"/>
      <c r="AR363" s="764"/>
      <c r="AS363" s="764"/>
      <c r="AT363" s="764"/>
      <c r="AU363" s="764"/>
      <c r="AV363" s="764"/>
      <c r="AW363" s="764"/>
      <c r="AX363" s="764"/>
      <c r="AY363" s="764"/>
      <c r="AZ363" s="764"/>
      <c r="BA363" s="764"/>
      <c r="BB363" s="764"/>
      <c r="BC363" s="764"/>
      <c r="BD363" s="764"/>
      <c r="BE363" s="764"/>
      <c r="BF363" s="764"/>
      <c r="BG363" s="764"/>
      <c r="BH363" s="764"/>
      <c r="BI363" s="764"/>
      <c r="BJ363" s="764"/>
      <c r="BK363" s="764"/>
      <c r="BL363" s="764"/>
      <c r="BM363" s="764"/>
      <c r="BN363" s="764"/>
      <c r="BO363" s="764"/>
      <c r="BP363" s="764"/>
      <c r="BQ363" s="764"/>
      <c r="BR363" s="764"/>
      <c r="BS363" s="764"/>
      <c r="BT363" s="764"/>
      <c r="BU363" s="764"/>
      <c r="BV363" s="764"/>
      <c r="BW363" s="764"/>
      <c r="BX363" s="764"/>
      <c r="BY363" s="764"/>
      <c r="BZ363" s="764"/>
      <c r="CA363" s="764"/>
      <c r="CB363" s="764"/>
      <c r="CC363" s="764"/>
      <c r="CD363" s="764"/>
      <c r="CE363" s="764"/>
      <c r="CF363" s="764"/>
      <c r="CG363" s="764"/>
      <c r="CH363" s="1074">
        <f>+IS!CH50</f>
        <v>15991</v>
      </c>
      <c r="CI363" s="781">
        <f>+IS!CI50</f>
        <v>4217.6559999999999</v>
      </c>
      <c r="CJ363" s="781">
        <f>+IS!CJ50</f>
        <v>4105.2503999999999</v>
      </c>
      <c r="CK363" s="781">
        <f>+IS!CK50</f>
        <v>4298.6059999999998</v>
      </c>
      <c r="CL363" s="781">
        <f>+IS!CL50</f>
        <v>4653.6130000000003</v>
      </c>
      <c r="CM363" s="1074">
        <f>+IS!CM50</f>
        <v>17583</v>
      </c>
      <c r="CN363" s="781">
        <f>+IS!CN50</f>
        <v>4460.2332000000006</v>
      </c>
      <c r="CO363" s="781">
        <f>+IS!CO50</f>
        <v>4829</v>
      </c>
      <c r="CP363" s="781">
        <f>+IS!CP50</f>
        <v>5102</v>
      </c>
      <c r="CQ363" s="781">
        <f>+IS!CQ50</f>
        <v>6043</v>
      </c>
      <c r="CR363" s="1074">
        <f>+IS!CR50</f>
        <v>20434.233200000002</v>
      </c>
      <c r="CS363" s="781">
        <f>+IS!CS50</f>
        <v>5248</v>
      </c>
      <c r="CT363" s="781">
        <f>+IS!CT50</f>
        <v>5864</v>
      </c>
      <c r="CU363" s="781">
        <f>+IS!CU50</f>
        <v>6326</v>
      </c>
      <c r="CV363" s="781">
        <f>+IS!CV50</f>
        <v>6557</v>
      </c>
      <c r="CW363" s="1074">
        <f>+IS!CW50</f>
        <v>23995</v>
      </c>
      <c r="CX363" s="781">
        <f>+IS!CX50</f>
        <v>7024.5971550080658</v>
      </c>
      <c r="CY363" s="781">
        <f>+IS!CY50</f>
        <v>8022.7976943624353</v>
      </c>
      <c r="CZ363" s="781">
        <f>+IS!CZ50</f>
        <v>8267.5608472239619</v>
      </c>
      <c r="DA363" s="781">
        <f>+IS!DA50</f>
        <v>8406.9500000000007</v>
      </c>
      <c r="DB363" s="1074">
        <f>+IS!DB50</f>
        <v>31721.905696594462</v>
      </c>
      <c r="DC363" s="781"/>
      <c r="DD363" s="781"/>
      <c r="DE363" s="781"/>
      <c r="DF363" s="781"/>
      <c r="DG363" s="1074">
        <f>+IS!DG50</f>
        <v>38955.877254141378</v>
      </c>
      <c r="DH363" s="781"/>
      <c r="DI363" s="781"/>
      <c r="DJ363" s="781"/>
      <c r="DK363" s="781"/>
      <c r="DL363" s="1074">
        <f>+IS!DL50</f>
        <v>42724.019261574882</v>
      </c>
      <c r="DM363" s="781"/>
      <c r="DN363" s="781"/>
      <c r="DO363" s="781"/>
      <c r="DP363" s="781"/>
      <c r="DQ363" s="1074">
        <f>+IS!DQ50</f>
        <v>47142.197206586716</v>
      </c>
      <c r="DR363" s="781"/>
      <c r="DS363" s="781"/>
      <c r="DT363" s="781"/>
      <c r="DU363" s="781"/>
      <c r="DV363" s="1074">
        <f>+IS!DV50</f>
        <v>80081.897504856039</v>
      </c>
      <c r="DW363" s="781"/>
      <c r="DX363" s="781"/>
      <c r="DY363" s="781"/>
      <c r="DZ363" s="781"/>
      <c r="EA363" s="1074">
        <f>+IS!EA50</f>
        <v>80995.536347998554</v>
      </c>
      <c r="EB363" s="781"/>
      <c r="EC363" s="781"/>
      <c r="ED363" s="781"/>
      <c r="EE363" s="781"/>
      <c r="EF363" s="1074">
        <f>+IS!EF50</f>
        <v>95295.414283751656</v>
      </c>
      <c r="EG363" s="781"/>
      <c r="EH363" s="781"/>
      <c r="EI363" s="781"/>
      <c r="EJ363" s="781"/>
      <c r="EK363" s="1074">
        <f>+IS!EK50</f>
        <v>116751.68647118376</v>
      </c>
      <c r="EL363" s="781"/>
      <c r="EM363" s="781"/>
      <c r="EN363" s="781"/>
      <c r="EO363" s="781"/>
      <c r="EP363" s="1074">
        <f ca="1">+IS!EP50</f>
        <v>133342.4199399052</v>
      </c>
      <c r="EQ363" s="781"/>
      <c r="ER363" s="781"/>
      <c r="ES363" s="781"/>
      <c r="ET363" s="781"/>
      <c r="EU363" s="1074">
        <f ca="1">+IS!EU50</f>
        <v>159400.17987790119</v>
      </c>
      <c r="EV363" s="1074">
        <f ca="1">+IS!EV50</f>
        <v>176607.51704503762</v>
      </c>
      <c r="EW363" s="1074">
        <f ca="1">+IS!EW50</f>
        <v>198832.70127323474</v>
      </c>
      <c r="EX363" s="1074">
        <f ca="1">+IS!EX50</f>
        <v>223334.91206074736</v>
      </c>
      <c r="EY363" s="1074">
        <f ca="1">+IS!EY50</f>
        <v>251499.42455050984</v>
      </c>
      <c r="FA363" s="772"/>
      <c r="FB363" s="772"/>
    </row>
    <row r="364" spans="1:158" s="812" customFormat="1" hidden="1">
      <c r="A364" s="1534" t="s">
        <v>565</v>
      </c>
      <c r="B364" s="810"/>
      <c r="C364" s="810"/>
      <c r="D364" s="810"/>
      <c r="E364" s="810"/>
      <c r="F364" s="810"/>
      <c r="G364" s="810"/>
      <c r="H364" s="810"/>
      <c r="I364" s="810"/>
      <c r="J364" s="810"/>
      <c r="K364" s="810"/>
      <c r="L364" s="810"/>
      <c r="M364" s="810"/>
      <c r="N364" s="810"/>
      <c r="O364" s="810"/>
      <c r="P364" s="810"/>
      <c r="Q364" s="810"/>
      <c r="R364" s="810"/>
      <c r="S364" s="810"/>
      <c r="T364" s="810"/>
      <c r="U364" s="810"/>
      <c r="V364" s="810"/>
      <c r="W364" s="810"/>
      <c r="X364" s="810"/>
      <c r="Y364" s="810"/>
      <c r="Z364" s="810"/>
      <c r="AA364" s="810"/>
      <c r="AB364" s="810"/>
      <c r="AC364" s="810"/>
      <c r="AD364" s="810"/>
      <c r="AE364" s="810"/>
      <c r="AF364" s="810"/>
      <c r="AG364" s="810"/>
      <c r="AH364" s="810"/>
      <c r="AI364" s="810"/>
      <c r="AJ364" s="810"/>
      <c r="AK364" s="810"/>
      <c r="AL364" s="810"/>
      <c r="AM364" s="810"/>
      <c r="AN364" s="810"/>
      <c r="AO364" s="810"/>
      <c r="AP364" s="810"/>
      <c r="AQ364" s="810"/>
      <c r="AR364" s="810"/>
      <c r="AS364" s="810"/>
      <c r="AT364" s="810"/>
      <c r="AU364" s="810"/>
      <c r="AV364" s="810"/>
      <c r="AW364" s="810"/>
      <c r="AX364" s="810"/>
      <c r="AY364" s="810"/>
      <c r="AZ364" s="810"/>
      <c r="BA364" s="810"/>
      <c r="BB364" s="810"/>
      <c r="BC364" s="810"/>
      <c r="BD364" s="810"/>
      <c r="BE364" s="810"/>
      <c r="BF364" s="810"/>
      <c r="BG364" s="810"/>
      <c r="BH364" s="810"/>
      <c r="BI364" s="810"/>
      <c r="BJ364" s="810"/>
      <c r="BK364" s="810"/>
      <c r="BL364" s="810"/>
      <c r="BM364" s="810"/>
      <c r="BN364" s="810"/>
      <c r="BO364" s="810"/>
      <c r="BP364" s="810"/>
      <c r="BQ364" s="810"/>
      <c r="BR364" s="810"/>
      <c r="BS364" s="810"/>
      <c r="BT364" s="810"/>
      <c r="BU364" s="810"/>
      <c r="BV364" s="810"/>
      <c r="BW364" s="810"/>
      <c r="BX364" s="810"/>
      <c r="BY364" s="810"/>
      <c r="BZ364" s="810"/>
      <c r="CA364" s="810"/>
      <c r="CB364" s="810"/>
      <c r="CC364" s="810"/>
      <c r="CD364" s="810"/>
      <c r="CE364" s="810"/>
      <c r="CF364" s="810"/>
      <c r="CG364" s="810"/>
      <c r="CH364" s="1094">
        <f t="shared" ref="CH364:DB364" si="628">+CH363/CH324</f>
        <v>1.1799420912667609</v>
      </c>
      <c r="CI364" s="811">
        <f t="shared" si="628"/>
        <v>0.30776285295645728</v>
      </c>
      <c r="CJ364" s="811">
        <f t="shared" si="628"/>
        <v>0.29905825343149323</v>
      </c>
      <c r="CK364" s="811">
        <f t="shared" si="628"/>
        <v>0.31230109776741277</v>
      </c>
      <c r="CL364" s="811">
        <f t="shared" si="628"/>
        <v>0.33795743154231506</v>
      </c>
      <c r="CM364" s="1094">
        <f t="shared" si="628"/>
        <v>1.2795639454495173</v>
      </c>
      <c r="CN364" s="811">
        <f t="shared" si="628"/>
        <v>0.32344061911709682</v>
      </c>
      <c r="CO364" s="811">
        <f t="shared" si="628"/>
        <v>0.34948283199059743</v>
      </c>
      <c r="CP364" s="811">
        <f t="shared" si="628"/>
        <v>0.36741036900905782</v>
      </c>
      <c r="CQ364" s="811">
        <f t="shared" si="628"/>
        <v>0.43348516911158136</v>
      </c>
      <c r="CR364" s="1094">
        <f t="shared" si="628"/>
        <v>1.4744803371191897</v>
      </c>
      <c r="CS364" s="811">
        <f t="shared" si="628"/>
        <v>0.37522647291405392</v>
      </c>
      <c r="CT364" s="811">
        <f t="shared" si="628"/>
        <v>0.42075233157350184</v>
      </c>
      <c r="CU364" s="811">
        <f t="shared" si="628"/>
        <v>0.45286638795028916</v>
      </c>
      <c r="CV364" s="811">
        <f t="shared" si="628"/>
        <v>0.46820932248532965</v>
      </c>
      <c r="CW364" s="1094">
        <f t="shared" si="628"/>
        <v>1.7171027585279075</v>
      </c>
      <c r="CX364" s="811">
        <f t="shared" si="628"/>
        <v>0.50030177619153904</v>
      </c>
      <c r="CY364" s="811">
        <f t="shared" si="628"/>
        <v>0.57020351685511184</v>
      </c>
      <c r="CZ364" s="811">
        <f t="shared" si="628"/>
        <v>0.58742169051321569</v>
      </c>
      <c r="DA364" s="811">
        <f t="shared" si="628"/>
        <v>11.923415673988307</v>
      </c>
      <c r="DB364" s="1094">
        <f t="shared" si="628"/>
        <v>2.2543083481570401</v>
      </c>
      <c r="DC364" s="811"/>
      <c r="DD364" s="811"/>
      <c r="DE364" s="811"/>
      <c r="DF364" s="811"/>
      <c r="DG364" s="1094">
        <f>+DG363/DG324</f>
        <v>2.7695664703479905</v>
      </c>
      <c r="DH364" s="811"/>
      <c r="DI364" s="811"/>
      <c r="DJ364" s="811"/>
      <c r="DK364" s="811"/>
      <c r="DL364" s="1094">
        <f>+DL363/DL324</f>
        <v>3.0580217392275988</v>
      </c>
      <c r="DM364" s="811"/>
      <c r="DN364" s="811"/>
      <c r="DO364" s="811"/>
      <c r="DP364" s="811"/>
      <c r="DQ364" s="1094">
        <f>+DQ363/DQ324</f>
        <v>3.4308801359615178</v>
      </c>
      <c r="DR364" s="811"/>
      <c r="DS364" s="811"/>
      <c r="DT364" s="811"/>
      <c r="DU364" s="811"/>
      <c r="DV364" s="1094" t="e">
        <f>+DV363/DV324</f>
        <v>#DIV/0!</v>
      </c>
      <c r="DW364" s="811"/>
      <c r="DX364" s="811"/>
      <c r="DY364" s="811"/>
      <c r="DZ364" s="811"/>
      <c r="EA364" s="1094" t="e">
        <f>+EA363/EA324</f>
        <v>#DIV/0!</v>
      </c>
      <c r="EB364" s="811"/>
      <c r="EC364" s="811"/>
      <c r="ED364" s="811"/>
      <c r="EE364" s="811"/>
      <c r="EF364" s="1094" t="e">
        <f>+EF363/EF324</f>
        <v>#DIV/0!</v>
      </c>
      <c r="EG364" s="811"/>
      <c r="EH364" s="811"/>
      <c r="EI364" s="811"/>
      <c r="EJ364" s="811"/>
      <c r="EK364" s="1094" t="e">
        <f>+EK363/EK324</f>
        <v>#DIV/0!</v>
      </c>
      <c r="EL364" s="811"/>
      <c r="EM364" s="811"/>
      <c r="EN364" s="811"/>
      <c r="EO364" s="811"/>
      <c r="EP364" s="1094" t="e">
        <f ca="1">+EP363/EP324</f>
        <v>#DIV/0!</v>
      </c>
      <c r="EQ364" s="811"/>
      <c r="ER364" s="811"/>
      <c r="ES364" s="811"/>
      <c r="ET364" s="811"/>
      <c r="EU364" s="1094" t="e">
        <f ca="1">+EU363/EU324</f>
        <v>#DIV/0!</v>
      </c>
      <c r="EV364" s="1094" t="e">
        <f ca="1">+EV363/EV324</f>
        <v>#DIV/0!</v>
      </c>
      <c r="EW364" s="1094" t="e">
        <f ca="1">+EW363/EW324</f>
        <v>#DIV/0!</v>
      </c>
      <c r="EX364" s="1094" t="e">
        <f ca="1">+EX363/EX324</f>
        <v>#DIV/0!</v>
      </c>
      <c r="EY364" s="1094" t="e">
        <f ca="1">+EY363/EY324</f>
        <v>#DIV/0!</v>
      </c>
      <c r="FA364" s="813"/>
      <c r="FB364" s="813"/>
    </row>
    <row r="365" spans="1:158" hidden="1"/>
    <row r="366" spans="1:158" hidden="1">
      <c r="A366" s="1520" t="s">
        <v>671</v>
      </c>
      <c r="B366" s="764"/>
      <c r="C366" s="764"/>
      <c r="D366" s="764"/>
      <c r="E366" s="764"/>
      <c r="F366" s="764"/>
      <c r="G366" s="764"/>
      <c r="H366" s="764"/>
      <c r="I366" s="764"/>
      <c r="J366" s="764"/>
      <c r="K366" s="764"/>
      <c r="L366" s="764"/>
      <c r="M366" s="764"/>
      <c r="N366" s="764"/>
      <c r="O366" s="764"/>
      <c r="P366" s="764"/>
      <c r="Q366" s="764"/>
      <c r="R366" s="764"/>
      <c r="S366" s="764"/>
      <c r="T366" s="764"/>
      <c r="U366" s="764"/>
      <c r="V366" s="764"/>
      <c r="W366" s="764"/>
      <c r="X366" s="764"/>
      <c r="Y366" s="764"/>
      <c r="Z366" s="764"/>
      <c r="AA366" s="764"/>
      <c r="AB366" s="764"/>
      <c r="AC366" s="764"/>
      <c r="AD366" s="764"/>
      <c r="AE366" s="764"/>
      <c r="AF366" s="764"/>
      <c r="AG366" s="764"/>
      <c r="AH366" s="764"/>
      <c r="AI366" s="764"/>
      <c r="AJ366" s="764"/>
      <c r="AK366" s="764"/>
      <c r="AL366" s="764"/>
      <c r="AM366" s="764"/>
      <c r="AN366" s="764"/>
      <c r="AO366" s="764"/>
      <c r="AP366" s="764"/>
      <c r="AQ366" s="764"/>
      <c r="AR366" s="764"/>
      <c r="AS366" s="764"/>
      <c r="AT366" s="764"/>
      <c r="AU366" s="764"/>
      <c r="AV366" s="764"/>
      <c r="AW366" s="764"/>
      <c r="AX366" s="764"/>
      <c r="AY366" s="764"/>
      <c r="AZ366" s="764"/>
      <c r="BA366" s="764"/>
      <c r="BB366" s="764"/>
      <c r="BC366" s="764"/>
      <c r="BD366" s="764"/>
      <c r="BE366" s="764"/>
      <c r="BF366" s="764"/>
      <c r="BG366" s="764"/>
      <c r="BH366" s="764"/>
      <c r="BI366" s="764"/>
      <c r="BJ366" s="764"/>
      <c r="BK366" s="764"/>
      <c r="BL366" s="764"/>
      <c r="BM366" s="764"/>
      <c r="BN366" s="764"/>
      <c r="BO366" s="764"/>
      <c r="BP366" s="764"/>
      <c r="BQ366" s="764"/>
      <c r="BR366" s="764"/>
      <c r="BS366" s="764"/>
      <c r="BT366" s="764"/>
      <c r="BU366" s="764"/>
      <c r="BV366" s="764"/>
      <c r="BW366" s="764"/>
      <c r="BX366" s="764"/>
      <c r="BY366" s="764"/>
      <c r="BZ366" s="764"/>
      <c r="CA366" s="764"/>
      <c r="CB366" s="764"/>
      <c r="CC366" s="764"/>
      <c r="CD366" s="764"/>
      <c r="CE366" s="764"/>
      <c r="CF366" s="764"/>
      <c r="CG366" s="764"/>
      <c r="CH366" s="1074">
        <f>+IS!CH29</f>
        <v>18626</v>
      </c>
      <c r="CI366" s="781">
        <f>+IS!CI29</f>
        <v>4954</v>
      </c>
      <c r="CJ366" s="781">
        <f>+IS!CJ29</f>
        <v>5138</v>
      </c>
      <c r="CK366" s="781">
        <f>+IS!CK29</f>
        <v>5357</v>
      </c>
      <c r="CL366" s="781">
        <f>+IS!CL29</f>
        <v>5600</v>
      </c>
      <c r="CM366" s="1074">
        <f>+IS!CM29</f>
        <v>21049</v>
      </c>
      <c r="CN366" s="770">
        <f>+IS!CN29</f>
        <v>5650</v>
      </c>
      <c r="CO366" s="770">
        <f>+IS!CO29</f>
        <v>5957</v>
      </c>
      <c r="CP366" s="770">
        <f>+IS!CP29</f>
        <v>6140</v>
      </c>
      <c r="CQ366" s="770">
        <f>+IS!CQ29</f>
        <v>6816</v>
      </c>
      <c r="CR366" s="1074">
        <f>SUM(CN366:CQ366)</f>
        <v>24563</v>
      </c>
      <c r="CS366" s="770">
        <f>+IS!CS29</f>
        <v>6836</v>
      </c>
      <c r="CT366" s="770">
        <f>+IS!CT29</f>
        <v>7471</v>
      </c>
      <c r="CU366" s="770">
        <f>+IS!CU29</f>
        <v>7627</v>
      </c>
      <c r="CV366" s="770">
        <f>+IS!CV29</f>
        <v>8485</v>
      </c>
      <c r="CW366" s="1074">
        <f>SUM(CS366:CV366)</f>
        <v>30419</v>
      </c>
      <c r="CX366" s="770">
        <f>+IS!CX29</f>
        <v>8577</v>
      </c>
      <c r="CY366" s="770">
        <f>+IS!CY29</f>
        <v>8871</v>
      </c>
      <c r="CZ366" s="770">
        <f>+IS!CZ29</f>
        <v>9602</v>
      </c>
      <c r="DA366" s="770">
        <f>+IS!DA29</f>
        <v>9511</v>
      </c>
      <c r="DB366" s="1074">
        <f>+IS!DB29</f>
        <v>36561</v>
      </c>
      <c r="DC366" s="770"/>
      <c r="DD366" s="770"/>
      <c r="DE366" s="770"/>
      <c r="DF366" s="770"/>
      <c r="DG366" s="1074">
        <f>+IS!DG29</f>
        <v>41948</v>
      </c>
      <c r="DH366" s="770"/>
      <c r="DI366" s="770"/>
      <c r="DJ366" s="770"/>
      <c r="DK366" s="770"/>
      <c r="DL366" s="1074">
        <f>+IS!DL29</f>
        <v>46722</v>
      </c>
      <c r="DM366" s="770"/>
      <c r="DN366" s="770"/>
      <c r="DO366" s="770"/>
      <c r="DP366" s="770"/>
      <c r="DQ366" s="1074">
        <f>+IS!DQ29</f>
        <v>54215</v>
      </c>
      <c r="DR366" s="770"/>
      <c r="DS366" s="770"/>
      <c r="DT366" s="770"/>
      <c r="DU366" s="770"/>
      <c r="DV366" s="1074">
        <f>+IS!DV29</f>
        <v>94090</v>
      </c>
      <c r="DW366" s="770"/>
      <c r="DX366" s="770"/>
      <c r="DY366" s="770"/>
      <c r="DZ366" s="770"/>
      <c r="EA366" s="1074">
        <f>+IS!EA29</f>
        <v>94204</v>
      </c>
      <c r="EB366" s="770"/>
      <c r="EC366" s="770"/>
      <c r="ED366" s="770"/>
      <c r="EE366" s="770"/>
      <c r="EF366" s="1074">
        <f>+IS!EF29</f>
        <v>106753</v>
      </c>
      <c r="EG366" s="770"/>
      <c r="EH366" s="770"/>
      <c r="EI366" s="770"/>
      <c r="EJ366" s="770"/>
      <c r="EK366" s="1074">
        <f>+IS!EK29</f>
        <v>135175</v>
      </c>
      <c r="EL366" s="770"/>
      <c r="EM366" s="770"/>
      <c r="EN366" s="770"/>
      <c r="EO366" s="770"/>
      <c r="EP366" s="1074">
        <f>+IS!EP29</f>
        <v>158310.53295349906</v>
      </c>
      <c r="EQ366" s="770"/>
      <c r="ER366" s="770"/>
      <c r="ES366" s="770"/>
      <c r="ET366" s="770"/>
      <c r="EU366" s="1074">
        <f>+IS!EU29</f>
        <v>188232.77208875402</v>
      </c>
      <c r="EV366" s="1074">
        <f>+IS!EV29</f>
        <v>209545.07257208746</v>
      </c>
      <c r="EW366" s="1074">
        <f>+IS!EW29</f>
        <v>236677.50773679529</v>
      </c>
      <c r="EX366" s="1074">
        <f>+IS!EX29</f>
        <v>265934.39616774919</v>
      </c>
      <c r="EY366" s="1074">
        <f>+IS!EY29</f>
        <v>298943.39343796566</v>
      </c>
      <c r="FA366" s="772">
        <f>(DG366/CR366)^(1/3)-1</f>
        <v>0.19529916751781595</v>
      </c>
      <c r="FB366" s="772">
        <f>(DQ366/CR366)^(1/5)-1</f>
        <v>0.17156829632620019</v>
      </c>
    </row>
    <row r="367" spans="1:158" s="766" customFormat="1" hidden="1">
      <c r="A367" s="1520" t="s">
        <v>671</v>
      </c>
      <c r="B367" s="764"/>
      <c r="C367" s="764"/>
      <c r="D367" s="764"/>
      <c r="E367" s="764"/>
      <c r="F367" s="764"/>
      <c r="G367" s="764"/>
      <c r="H367" s="764"/>
      <c r="I367" s="764"/>
      <c r="J367" s="764"/>
      <c r="K367" s="764"/>
      <c r="L367" s="764"/>
      <c r="M367" s="764"/>
      <c r="N367" s="764"/>
      <c r="O367" s="764"/>
      <c r="P367" s="764"/>
      <c r="Q367" s="764"/>
      <c r="R367" s="764"/>
      <c r="S367" s="764"/>
      <c r="T367" s="764"/>
      <c r="U367" s="764"/>
      <c r="V367" s="764"/>
      <c r="W367" s="764"/>
      <c r="X367" s="764"/>
      <c r="Y367" s="764"/>
      <c r="Z367" s="764"/>
      <c r="AA367" s="764"/>
      <c r="AB367" s="764"/>
      <c r="AC367" s="764"/>
      <c r="AD367" s="764"/>
      <c r="AE367" s="764"/>
      <c r="AF367" s="764"/>
      <c r="AG367" s="764"/>
      <c r="AH367" s="764"/>
      <c r="AI367" s="764"/>
      <c r="AJ367" s="764"/>
      <c r="AK367" s="764"/>
      <c r="AL367" s="764"/>
      <c r="AM367" s="764"/>
      <c r="AN367" s="764"/>
      <c r="AO367" s="764"/>
      <c r="AP367" s="764"/>
      <c r="AQ367" s="764"/>
      <c r="AR367" s="764"/>
      <c r="AS367" s="764"/>
      <c r="AT367" s="764"/>
      <c r="AU367" s="764"/>
      <c r="AV367" s="764"/>
      <c r="AW367" s="764"/>
      <c r="AX367" s="764"/>
      <c r="AY367" s="764"/>
      <c r="AZ367" s="764"/>
      <c r="BA367" s="764"/>
      <c r="BB367" s="764"/>
      <c r="BC367" s="764"/>
      <c r="BD367" s="764"/>
      <c r="BE367" s="764"/>
      <c r="BF367" s="764"/>
      <c r="BG367" s="764"/>
      <c r="BH367" s="764"/>
      <c r="BI367" s="764"/>
      <c r="BJ367" s="764"/>
      <c r="BK367" s="764"/>
      <c r="BL367" s="764"/>
      <c r="BM367" s="764"/>
      <c r="BN367" s="764"/>
      <c r="BO367" s="764"/>
      <c r="BP367" s="764"/>
      <c r="BQ367" s="764"/>
      <c r="BR367" s="764"/>
      <c r="BS367" s="764"/>
      <c r="BT367" s="764"/>
      <c r="BU367" s="764"/>
      <c r="BV367" s="764"/>
      <c r="BW367" s="764"/>
      <c r="BX367" s="764"/>
      <c r="BY367" s="764"/>
      <c r="BZ367" s="764"/>
      <c r="CA367" s="764"/>
      <c r="CB367" s="764"/>
      <c r="CC367" s="764"/>
      <c r="CD367" s="764"/>
      <c r="CE367" s="764"/>
      <c r="CF367" s="764"/>
      <c r="CG367" s="764"/>
      <c r="CH367" s="1327">
        <f>+CH366/CH$313</f>
        <v>0.33548875159855185</v>
      </c>
      <c r="CI367" s="804">
        <f>+IFERROR(CI366/CI$313,"N/A")</f>
        <v>0.32127107652399484</v>
      </c>
      <c r="CJ367" s="804">
        <f>+IFERROR(CJ366/CJ$313,"N/A")</f>
        <v>0.32203071137574429</v>
      </c>
      <c r="CK367" s="804">
        <f>+IFERROR(CK366/CK$313,"N/A")</f>
        <v>0.32421473098105669</v>
      </c>
      <c r="CL367" s="804">
        <f>+IFERROR(CL366/CL$313,"N/A")</f>
        <v>0.30934099320554603</v>
      </c>
      <c r="CM367" s="1327">
        <f t="shared" ref="CM367:DB367" si="629">+CM366/CM$313</f>
        <v>0.31891941031196497</v>
      </c>
      <c r="CN367" s="805">
        <f t="shared" si="629"/>
        <v>0.32738440143701469</v>
      </c>
      <c r="CO367" s="805">
        <f t="shared" si="629"/>
        <v>0.33604106729847127</v>
      </c>
      <c r="CP367" s="805">
        <f t="shared" si="629"/>
        <v>0.32878179384203482</v>
      </c>
      <c r="CQ367" s="805">
        <f t="shared" si="629"/>
        <v>0.31956491162267336</v>
      </c>
      <c r="CR367" s="1327">
        <f t="shared" si="629"/>
        <v>0.32755470802384351</v>
      </c>
      <c r="CS367" s="805">
        <f t="shared" si="629"/>
        <v>0.33746359283210742</v>
      </c>
      <c r="CT367" s="805">
        <f t="shared" si="629"/>
        <v>0.34748837209302325</v>
      </c>
      <c r="CU367" s="805">
        <f t="shared" si="629"/>
        <v>0.33971760723353078</v>
      </c>
      <c r="CV367" s="805">
        <f t="shared" si="629"/>
        <v>0.32554481276856967</v>
      </c>
      <c r="CW367" s="1327">
        <f t="shared" si="629"/>
        <v>0.33697048918823114</v>
      </c>
      <c r="CX367" s="805">
        <f t="shared" si="629"/>
        <v>0.34654545454545455</v>
      </c>
      <c r="CY367" s="805">
        <f t="shared" si="629"/>
        <v>0.34106113033448676</v>
      </c>
      <c r="CZ367" s="805">
        <f t="shared" si="629"/>
        <v>0.34574391473426475</v>
      </c>
      <c r="DA367" s="805">
        <f t="shared" si="629"/>
        <v>0.29424867741236888</v>
      </c>
      <c r="DB367" s="1327">
        <f t="shared" si="629"/>
        <v>0.32980921022957915</v>
      </c>
      <c r="DC367" s="805"/>
      <c r="DD367" s="805"/>
      <c r="DE367" s="805"/>
      <c r="DF367" s="805"/>
      <c r="DG367" s="1327">
        <f>+DG366/DG$313</f>
        <v>0.30659484428332323</v>
      </c>
      <c r="DH367" s="805"/>
      <c r="DI367" s="805"/>
      <c r="DJ367" s="805"/>
      <c r="DK367" s="805"/>
      <c r="DL367" s="1327">
        <f>+DL366/DL$313</f>
        <v>0.28866221417671156</v>
      </c>
      <c r="DM367" s="805"/>
      <c r="DN367" s="805"/>
      <c r="DO367" s="805"/>
      <c r="DP367" s="805"/>
      <c r="DQ367" s="1327">
        <f>+DQ366/DQ$313</f>
        <v>0.29702454979263343</v>
      </c>
      <c r="DR367" s="805"/>
      <c r="DS367" s="805"/>
      <c r="DT367" s="805"/>
      <c r="DU367" s="805"/>
      <c r="DV367" s="1327" t="e">
        <f>+DV366/DV$313</f>
        <v>#DIV/0!</v>
      </c>
      <c r="DW367" s="805"/>
      <c r="DX367" s="805"/>
      <c r="DY367" s="805"/>
      <c r="DZ367" s="805"/>
      <c r="EA367" s="1327" t="e">
        <f>+EA366/EA$313</f>
        <v>#DIV/0!</v>
      </c>
      <c r="EB367" s="805"/>
      <c r="EC367" s="805"/>
      <c r="ED367" s="805"/>
      <c r="EE367" s="805"/>
      <c r="EF367" s="1327" t="e">
        <f>+EF366/EF$313</f>
        <v>#DIV/0!</v>
      </c>
      <c r="EG367" s="805"/>
      <c r="EH367" s="805"/>
      <c r="EI367" s="805"/>
      <c r="EJ367" s="805"/>
      <c r="EK367" s="1327" t="e">
        <f>+EK366/EK$313</f>
        <v>#DIV/0!</v>
      </c>
      <c r="EL367" s="805"/>
      <c r="EM367" s="805"/>
      <c r="EN367" s="805"/>
      <c r="EO367" s="805"/>
      <c r="EP367" s="1327" t="e">
        <f>+EP366/EP$313</f>
        <v>#DIV/0!</v>
      </c>
      <c r="EQ367" s="805"/>
      <c r="ER367" s="805"/>
      <c r="ES367" s="805"/>
      <c r="ET367" s="805"/>
      <c r="EU367" s="1327" t="e">
        <f>+EU366/EU$313</f>
        <v>#DIV/0!</v>
      </c>
      <c r="EV367" s="1327" t="e">
        <f>+EV366/EV$313</f>
        <v>#DIV/0!</v>
      </c>
      <c r="EW367" s="1327" t="e">
        <f>+EW366/EW$313</f>
        <v>#DIV/0!</v>
      </c>
      <c r="EX367" s="1327" t="e">
        <f>+EX366/EX$313</f>
        <v>#DIV/0!</v>
      </c>
      <c r="EY367" s="1327" t="e">
        <f>+EY366/EY$313</f>
        <v>#DIV/0!</v>
      </c>
      <c r="EZ367" s="767"/>
      <c r="FA367" s="718"/>
      <c r="FB367" s="718"/>
    </row>
    <row r="368" spans="1:158" s="766" customFormat="1" hidden="1">
      <c r="A368" s="1530" t="s">
        <v>512</v>
      </c>
      <c r="B368" s="1343"/>
      <c r="C368" s="1343"/>
      <c r="D368" s="1343"/>
      <c r="E368" s="1343"/>
      <c r="F368" s="1343"/>
      <c r="G368" s="1343"/>
      <c r="H368" s="1343"/>
      <c r="I368" s="1343"/>
      <c r="J368" s="1343"/>
      <c r="K368" s="1343"/>
      <c r="L368" s="1343"/>
      <c r="M368" s="1343"/>
      <c r="N368" s="1343"/>
      <c r="O368" s="1343"/>
      <c r="P368" s="1343"/>
      <c r="Q368" s="1343"/>
      <c r="R368" s="1343"/>
      <c r="S368" s="1343"/>
      <c r="T368" s="1343"/>
      <c r="U368" s="1343"/>
      <c r="V368" s="1343"/>
      <c r="W368" s="1343"/>
      <c r="X368" s="1343"/>
      <c r="Y368" s="1343"/>
      <c r="Z368" s="1343"/>
      <c r="AA368" s="1343"/>
      <c r="AB368" s="1343"/>
      <c r="AC368" s="1343"/>
      <c r="AD368" s="1343"/>
      <c r="AE368" s="1343"/>
      <c r="AF368" s="1343"/>
      <c r="AG368" s="1343"/>
      <c r="AH368" s="1343"/>
      <c r="AI368" s="1343"/>
      <c r="AJ368" s="1343"/>
      <c r="AK368" s="1343"/>
      <c r="AL368" s="1343"/>
      <c r="AM368" s="1343"/>
      <c r="AN368" s="1343"/>
      <c r="AO368" s="1343"/>
      <c r="AP368" s="1343"/>
      <c r="AQ368" s="1343"/>
      <c r="AR368" s="1343"/>
      <c r="AS368" s="1343"/>
      <c r="AT368" s="1343"/>
      <c r="AU368" s="1343"/>
      <c r="AV368" s="1343"/>
      <c r="AW368" s="1343"/>
      <c r="AX368" s="1343"/>
      <c r="AY368" s="1343"/>
      <c r="AZ368" s="1343"/>
      <c r="BA368" s="1343"/>
      <c r="BB368" s="1343"/>
      <c r="BC368" s="1343"/>
      <c r="BD368" s="1343"/>
      <c r="BE368" s="1343"/>
      <c r="BF368" s="1343"/>
      <c r="BG368" s="1343"/>
      <c r="BH368" s="1343"/>
      <c r="BI368" s="1343"/>
      <c r="BJ368" s="1343"/>
      <c r="BK368" s="1343"/>
      <c r="BL368" s="1343"/>
      <c r="BM368" s="1343"/>
      <c r="BN368" s="1343"/>
      <c r="BO368" s="1343"/>
      <c r="BP368" s="1343"/>
      <c r="BQ368" s="1343"/>
      <c r="BR368" s="1343"/>
      <c r="BS368" s="1343"/>
      <c r="BT368" s="1343"/>
      <c r="BU368" s="1343"/>
      <c r="BV368" s="1343"/>
      <c r="BW368" s="1343"/>
      <c r="BX368" s="1343"/>
      <c r="BY368" s="1343"/>
      <c r="BZ368" s="1343"/>
      <c r="CA368" s="1343"/>
      <c r="CB368" s="1343"/>
      <c r="CC368" s="1343"/>
      <c r="CD368" s="1343"/>
      <c r="CE368" s="1343"/>
      <c r="CF368" s="1343"/>
      <c r="CG368" s="1343"/>
      <c r="CH368" s="1347"/>
      <c r="CI368" s="1344"/>
      <c r="CJ368" s="1344"/>
      <c r="CK368" s="1344"/>
      <c r="CL368" s="1344"/>
      <c r="CM368" s="1346">
        <f t="shared" ref="CM368:CW368" si="630">(CM367-CH367)*10000</f>
        <v>-165.69341286586879</v>
      </c>
      <c r="CN368" s="1345">
        <f t="shared" si="630"/>
        <v>61.133249130198578</v>
      </c>
      <c r="CO368" s="1345">
        <f t="shared" si="630"/>
        <v>140.10355922726981</v>
      </c>
      <c r="CP368" s="1345">
        <f t="shared" si="630"/>
        <v>45.670628609781325</v>
      </c>
      <c r="CQ368" s="1345">
        <f t="shared" si="630"/>
        <v>102.23918417127331</v>
      </c>
      <c r="CR368" s="1346">
        <f t="shared" si="630"/>
        <v>86.352977118785418</v>
      </c>
      <c r="CS368" s="1345">
        <f t="shared" si="630"/>
        <v>100.79191395092724</v>
      </c>
      <c r="CT368" s="1345">
        <f t="shared" si="630"/>
        <v>114.47304794551971</v>
      </c>
      <c r="CU368" s="1345">
        <f t="shared" si="630"/>
        <v>109.35813391495964</v>
      </c>
      <c r="CV368" s="1345">
        <f t="shared" si="630"/>
        <v>59.799011458963051</v>
      </c>
      <c r="CW368" s="1346">
        <f t="shared" si="630"/>
        <v>94.157811643876272</v>
      </c>
      <c r="CX368" s="1345">
        <f>(CX367-CS367)*10000</f>
        <v>90.818617133471278</v>
      </c>
      <c r="CY368" s="1345">
        <f>(CY367-CT367)*10000</f>
        <v>-64.272417585364835</v>
      </c>
      <c r="CZ368" s="1345">
        <f>(CZ367-CU367)*10000</f>
        <v>60.26307500733963</v>
      </c>
      <c r="DA368" s="1345">
        <f>(DA367-CV367)*10000</f>
        <v>-312.96135356200796</v>
      </c>
      <c r="DB368" s="1346">
        <f>(DB367-CW367)*10000</f>
        <v>-71.612789586519838</v>
      </c>
      <c r="DC368" s="1345"/>
      <c r="DD368" s="1345"/>
      <c r="DE368" s="1345"/>
      <c r="DF368" s="1345"/>
      <c r="DG368" s="1346">
        <f>(DG367-DB367)*10000</f>
        <v>-232.14365946255921</v>
      </c>
      <c r="DH368" s="1345"/>
      <c r="DI368" s="1345"/>
      <c r="DJ368" s="1345"/>
      <c r="DK368" s="1345"/>
      <c r="DL368" s="1346">
        <f>(DL367-DG367)*10000</f>
        <v>-179.32630106611668</v>
      </c>
      <c r="DM368" s="1345"/>
      <c r="DN368" s="1345"/>
      <c r="DO368" s="1345"/>
      <c r="DP368" s="1345"/>
      <c r="DQ368" s="1346">
        <f>(DQ367-DL367)*10000</f>
        <v>83.623356159218673</v>
      </c>
      <c r="DR368" s="1345"/>
      <c r="DS368" s="1345"/>
      <c r="DT368" s="1345"/>
      <c r="DU368" s="1345"/>
      <c r="DV368" s="1346" t="e">
        <f>(DV367-DQ367)*10000</f>
        <v>#DIV/0!</v>
      </c>
      <c r="DW368" s="1345"/>
      <c r="DX368" s="1345"/>
      <c r="DY368" s="1345"/>
      <c r="DZ368" s="1345"/>
      <c r="EA368" s="1346" t="e">
        <f>(EA367-DV367)*10000</f>
        <v>#DIV/0!</v>
      </c>
      <c r="EB368" s="1345"/>
      <c r="EC368" s="1345"/>
      <c r="ED368" s="1345"/>
      <c r="EE368" s="1345"/>
      <c r="EF368" s="1346" t="e">
        <f>(EF367-EA367)*10000</f>
        <v>#DIV/0!</v>
      </c>
      <c r="EG368" s="1345"/>
      <c r="EH368" s="1345"/>
      <c r="EI368" s="1345"/>
      <c r="EJ368" s="1345"/>
      <c r="EK368" s="1346" t="e">
        <f>(EK367-EF367)*10000</f>
        <v>#DIV/0!</v>
      </c>
      <c r="EL368" s="1345"/>
      <c r="EM368" s="1345"/>
      <c r="EN368" s="1345"/>
      <c r="EO368" s="1345"/>
      <c r="EP368" s="1346" t="e">
        <f>(EP367-EK367)*10000</f>
        <v>#DIV/0!</v>
      </c>
      <c r="EQ368" s="1345"/>
      <c r="ER368" s="1345"/>
      <c r="ES368" s="1345"/>
      <c r="ET368" s="1345"/>
      <c r="EU368" s="1346" t="e">
        <f>(EU367-EP367)*10000</f>
        <v>#DIV/0!</v>
      </c>
      <c r="EV368" s="1346" t="e">
        <f>(EV367-EU367)*10000</f>
        <v>#DIV/0!</v>
      </c>
      <c r="EW368" s="1346" t="e">
        <f>(EW367-EV367)*10000</f>
        <v>#DIV/0!</v>
      </c>
      <c r="EX368" s="1346" t="e">
        <f>(EX367-EW367)*10000</f>
        <v>#DIV/0!</v>
      </c>
      <c r="EY368" s="1346" t="e">
        <f>(EY367-EX367)*10000</f>
        <v>#DIV/0!</v>
      </c>
      <c r="EZ368" s="767"/>
      <c r="FA368" s="718"/>
      <c r="FB368" s="718"/>
    </row>
    <row r="369" spans="1:158" s="535" customFormat="1" hidden="1">
      <c r="A369" s="1526" t="s">
        <v>466</v>
      </c>
      <c r="B369" s="662"/>
      <c r="C369" s="662"/>
      <c r="D369" s="662"/>
      <c r="E369" s="662"/>
      <c r="F369" s="662"/>
      <c r="G369" s="662"/>
      <c r="H369" s="662"/>
      <c r="I369" s="662"/>
      <c r="J369" s="662"/>
      <c r="K369" s="662"/>
      <c r="L369" s="662"/>
      <c r="M369" s="662"/>
      <c r="N369" s="662"/>
      <c r="O369" s="662"/>
      <c r="P369" s="662"/>
      <c r="Q369" s="662"/>
      <c r="R369" s="662"/>
      <c r="S369" s="662"/>
      <c r="T369" s="662"/>
      <c r="U369" s="662"/>
      <c r="V369" s="662"/>
      <c r="W369" s="662"/>
      <c r="X369" s="662"/>
      <c r="Y369" s="662"/>
      <c r="Z369" s="662"/>
      <c r="AA369" s="662"/>
      <c r="AB369" s="662"/>
      <c r="AC369" s="662"/>
      <c r="AD369" s="662"/>
      <c r="AE369" s="662"/>
      <c r="AF369" s="662"/>
      <c r="AG369" s="662"/>
      <c r="AH369" s="662"/>
      <c r="AI369" s="662"/>
      <c r="AJ369" s="662"/>
      <c r="AK369" s="662"/>
      <c r="AL369" s="662"/>
      <c r="AM369" s="662"/>
      <c r="AN369" s="662"/>
      <c r="AO369" s="662"/>
      <c r="AP369" s="662"/>
      <c r="AQ369" s="662"/>
      <c r="AR369" s="662"/>
      <c r="AS369" s="662"/>
      <c r="AT369" s="662"/>
      <c r="AU369" s="662"/>
      <c r="AV369" s="662"/>
      <c r="AW369" s="662"/>
      <c r="AX369" s="662"/>
      <c r="AY369" s="662"/>
      <c r="AZ369" s="662"/>
      <c r="BA369" s="662"/>
      <c r="BB369" s="662"/>
      <c r="BC369" s="662"/>
      <c r="BD369" s="662"/>
      <c r="BE369" s="662"/>
      <c r="BF369" s="662"/>
      <c r="BG369" s="662"/>
      <c r="BH369" s="662"/>
      <c r="BI369" s="662"/>
      <c r="BJ369" s="662"/>
      <c r="BK369" s="662"/>
      <c r="BL369" s="662"/>
      <c r="BM369" s="662"/>
      <c r="BN369" s="662"/>
      <c r="BO369" s="662"/>
      <c r="BP369" s="662"/>
      <c r="BQ369" s="662"/>
      <c r="BR369" s="662"/>
      <c r="BS369" s="662"/>
      <c r="BT369" s="662"/>
      <c r="BU369" s="662"/>
      <c r="BV369" s="662"/>
      <c r="BW369" s="662"/>
      <c r="BX369" s="662"/>
      <c r="BY369" s="662"/>
      <c r="BZ369" s="662"/>
      <c r="CA369" s="662"/>
      <c r="CB369" s="662"/>
      <c r="CC369" s="662"/>
      <c r="CD369" s="662"/>
      <c r="CE369" s="662"/>
      <c r="CF369" s="662"/>
      <c r="CG369" s="662"/>
      <c r="CH369" s="1338"/>
      <c r="CI369" s="1339"/>
      <c r="CJ369" s="1339"/>
      <c r="CK369" s="1339"/>
      <c r="CL369" s="1339"/>
      <c r="CM369" s="1338"/>
      <c r="CN369" s="1339"/>
      <c r="CO369" s="1339"/>
      <c r="CP369" s="1339"/>
      <c r="CQ369" s="1339"/>
      <c r="CR369" s="1338"/>
      <c r="CS369" s="1339"/>
      <c r="CT369" s="1339"/>
      <c r="CU369" s="1339"/>
      <c r="CV369" s="1339"/>
      <c r="CW369" s="1338"/>
      <c r="CX369" s="1339"/>
      <c r="CY369" s="1339"/>
      <c r="CZ369" s="1339"/>
      <c r="DA369" s="1339"/>
      <c r="DB369" s="1338"/>
      <c r="DC369" s="1339"/>
      <c r="DD369" s="1339"/>
      <c r="DE369" s="1339"/>
      <c r="DF369" s="1339"/>
      <c r="DG369" s="1338"/>
      <c r="DH369" s="1339"/>
      <c r="DI369" s="1339"/>
      <c r="DJ369" s="1339"/>
      <c r="DK369" s="1339"/>
      <c r="DL369" s="1338"/>
      <c r="DM369" s="1339"/>
      <c r="DN369" s="1339"/>
      <c r="DO369" s="1339"/>
      <c r="DP369" s="1339"/>
      <c r="DQ369" s="1338"/>
      <c r="DR369" s="1339"/>
      <c r="DS369" s="1339"/>
      <c r="DT369" s="1339"/>
      <c r="DU369" s="1339"/>
      <c r="DV369" s="1338"/>
      <c r="DW369" s="1339"/>
      <c r="DX369" s="1339"/>
      <c r="DY369" s="1339"/>
      <c r="DZ369" s="1339"/>
      <c r="EA369" s="1338"/>
      <c r="EB369" s="1339"/>
      <c r="EC369" s="1339"/>
      <c r="ED369" s="1339"/>
      <c r="EE369" s="1339"/>
      <c r="EF369" s="1338"/>
      <c r="EG369" s="1339"/>
      <c r="EH369" s="1339"/>
      <c r="EI369" s="1339"/>
      <c r="EJ369" s="1339"/>
      <c r="EK369" s="1338"/>
      <c r="EL369" s="1339"/>
      <c r="EM369" s="1339"/>
      <c r="EN369" s="1339"/>
      <c r="EO369" s="1339"/>
      <c r="EP369" s="1338"/>
      <c r="EQ369" s="1339"/>
      <c r="ER369" s="1339"/>
      <c r="ES369" s="1339"/>
      <c r="ET369" s="1339"/>
      <c r="EU369" s="1338"/>
      <c r="EV369" s="1338"/>
      <c r="EW369" s="1338"/>
      <c r="EX369" s="1338"/>
      <c r="EY369" s="1338"/>
      <c r="EZ369" s="2586"/>
      <c r="FA369" s="718"/>
      <c r="FB369" s="718"/>
    </row>
    <row r="370" spans="1:158" s="766" customFormat="1" hidden="1">
      <c r="A370" s="1520" t="s">
        <v>467</v>
      </c>
      <c r="B370" s="765"/>
      <c r="C370" s="765"/>
      <c r="D370" s="765"/>
      <c r="E370" s="765"/>
      <c r="F370" s="765"/>
      <c r="G370" s="765"/>
      <c r="H370" s="765"/>
      <c r="I370" s="765"/>
      <c r="J370" s="765"/>
      <c r="K370" s="765"/>
      <c r="L370" s="765"/>
      <c r="M370" s="765"/>
      <c r="N370" s="765"/>
      <c r="O370" s="765"/>
      <c r="P370" s="765"/>
      <c r="Q370" s="765"/>
      <c r="R370" s="765"/>
      <c r="S370" s="765"/>
      <c r="T370" s="765"/>
      <c r="U370" s="765"/>
      <c r="V370" s="765"/>
      <c r="W370" s="765"/>
      <c r="X370" s="765"/>
      <c r="Y370" s="765"/>
      <c r="Z370" s="765"/>
      <c r="AA370" s="765"/>
      <c r="AB370" s="765"/>
      <c r="AC370" s="765"/>
      <c r="AD370" s="765"/>
      <c r="AE370" s="765"/>
      <c r="AF370" s="765"/>
      <c r="AG370" s="765"/>
      <c r="AH370" s="765"/>
      <c r="AI370" s="765"/>
      <c r="AJ370" s="765"/>
      <c r="AK370" s="765"/>
      <c r="AL370" s="765"/>
      <c r="AM370" s="765"/>
      <c r="AN370" s="765"/>
      <c r="AO370" s="765"/>
      <c r="AP370" s="765"/>
      <c r="AQ370" s="765"/>
      <c r="AR370" s="765"/>
      <c r="AS370" s="765"/>
      <c r="AT370" s="765"/>
      <c r="AU370" s="765"/>
      <c r="AV370" s="765"/>
      <c r="AW370" s="765"/>
      <c r="AX370" s="765"/>
      <c r="AY370" s="765"/>
      <c r="AZ370" s="765"/>
      <c r="BA370" s="765"/>
      <c r="BB370" s="765"/>
      <c r="BC370" s="765"/>
      <c r="BD370" s="765"/>
      <c r="BE370" s="765"/>
      <c r="BF370" s="765"/>
      <c r="BG370" s="765"/>
      <c r="BH370" s="765"/>
      <c r="BI370" s="765"/>
      <c r="BJ370" s="765"/>
      <c r="BK370" s="765"/>
      <c r="BL370" s="765"/>
      <c r="BM370" s="765"/>
      <c r="BN370" s="765"/>
      <c r="BO370" s="765"/>
      <c r="BP370" s="765"/>
      <c r="BQ370" s="765"/>
      <c r="BR370" s="765"/>
      <c r="BS370" s="765"/>
      <c r="BT370" s="765"/>
      <c r="BU370" s="765"/>
      <c r="BV370" s="765"/>
      <c r="BW370" s="765"/>
      <c r="BX370" s="765"/>
      <c r="BY370" s="765"/>
      <c r="BZ370" s="765"/>
      <c r="CA370" s="765"/>
      <c r="CB370" s="765"/>
      <c r="CC370" s="765"/>
      <c r="CD370" s="765"/>
      <c r="CE370" s="765"/>
      <c r="CF370" s="765"/>
      <c r="CG370" s="765"/>
      <c r="CH370" s="1078"/>
      <c r="CI370" s="785"/>
      <c r="CJ370" s="785"/>
      <c r="CK370" s="785"/>
      <c r="CL370" s="785"/>
      <c r="CM370" s="1078">
        <f t="shared" ref="CM370:DB370" si="631">+IF(CM313&lt;0,IF(CH313&gt;0,"N/A",(-1)*(CM313/CH313-1)),IF(CH313&lt;0,"N/A",(CM313/CH313-1)))</f>
        <v>0.18880023055170292</v>
      </c>
      <c r="CN370" s="785">
        <f t="shared" si="631"/>
        <v>0.11919584954604412</v>
      </c>
      <c r="CO370" s="785">
        <f t="shared" si="631"/>
        <v>0.11106236289564397</v>
      </c>
      <c r="CP370" s="785">
        <f t="shared" si="631"/>
        <v>0.13024269200508387</v>
      </c>
      <c r="CQ370" s="785">
        <f t="shared" si="631"/>
        <v>0.17820250787162339</v>
      </c>
      <c r="CR370" s="1078">
        <f t="shared" si="631"/>
        <v>0.13617975485219924</v>
      </c>
      <c r="CS370" s="785">
        <f t="shared" si="631"/>
        <v>0.17377448139993046</v>
      </c>
      <c r="CT370" s="785">
        <f t="shared" si="631"/>
        <v>0.21283917188469559</v>
      </c>
      <c r="CU370" s="785">
        <f t="shared" si="631"/>
        <v>0.20219544846050863</v>
      </c>
      <c r="CV370" s="785">
        <f t="shared" si="631"/>
        <v>0.22199821838811018</v>
      </c>
      <c r="CW370" s="1078">
        <f t="shared" si="631"/>
        <v>0.20380322447292265</v>
      </c>
      <c r="CX370" s="785">
        <f t="shared" si="631"/>
        <v>0.22179987164930637</v>
      </c>
      <c r="CY370" s="785">
        <f t="shared" si="631"/>
        <v>0.20976744186046514</v>
      </c>
      <c r="CZ370" s="785">
        <f t="shared" si="631"/>
        <v>0.23700503318337707</v>
      </c>
      <c r="DA370" s="785">
        <f t="shared" si="631"/>
        <v>0.24013965623081646</v>
      </c>
      <c r="DB370" s="1078">
        <f t="shared" si="631"/>
        <v>0.22801090038993266</v>
      </c>
      <c r="DC370" s="2644"/>
      <c r="DD370" s="2644"/>
      <c r="DE370" s="2644"/>
      <c r="DF370" s="2644"/>
      <c r="DG370" s="1078">
        <f>+IF(DG313&lt;0,IF(DB313&gt;0,"N/A",(-1)*(DG313/DB313-1)),IF(DB313&lt;0,"N/A",(DG313/DB313-1)))</f>
        <v>0.23421586757475987</v>
      </c>
      <c r="DH370" s="2644"/>
      <c r="DI370" s="2644"/>
      <c r="DJ370" s="2644"/>
      <c r="DK370" s="2644"/>
      <c r="DL370" s="1078">
        <f>+IF(DL313&lt;0,IF(DG313&gt;0,"N/A",(-1)*(DL313/DG313-1)),IF(DG313&lt;0,"N/A",(DL313/DG313-1)))</f>
        <v>0.18300089899794614</v>
      </c>
      <c r="DM370" s="2644"/>
      <c r="DN370" s="2644"/>
      <c r="DO370" s="2644"/>
      <c r="DP370" s="2644"/>
      <c r="DQ370" s="1078">
        <f>+IF(DQ313&lt;0,IF(DL313&gt;0,"N/A",(-1)*(DQ313/DL313-1)),IF(DL313&lt;0,"N/A",(DQ313/DL313-1)))</f>
        <v>0.12770532012826141</v>
      </c>
      <c r="DR370" s="2644"/>
      <c r="DS370" s="2644"/>
      <c r="DT370" s="2644"/>
      <c r="DU370" s="2644"/>
      <c r="DV370" s="1078">
        <f>+IF(DV313&lt;0,IF(DQ313&gt;0,"N/A",(-1)*(DV313/DQ313-1)),IF(DQ313&lt;0,"N/A",(DV313/DQ313-1)))</f>
        <v>-1</v>
      </c>
      <c r="DW370" s="2644"/>
      <c r="DX370" s="2644"/>
      <c r="DY370" s="2644"/>
      <c r="DZ370" s="2644"/>
      <c r="EA370" s="1078" t="e">
        <f>+IF(EA313&lt;0,IF(DV313&gt;0,"N/A",(-1)*(EA313/DV313-1)),IF(DV313&lt;0,"N/A",(EA313/DV313-1)))</f>
        <v>#DIV/0!</v>
      </c>
      <c r="EB370" s="2644"/>
      <c r="EC370" s="2644"/>
      <c r="ED370" s="2644"/>
      <c r="EE370" s="2644"/>
      <c r="EF370" s="1078" t="e">
        <f>+IF(EF313&lt;0,IF(EA313&gt;0,"N/A",(-1)*(EF313/EA313-1)),IF(EA313&lt;0,"N/A",(EF313/EA313-1)))</f>
        <v>#DIV/0!</v>
      </c>
      <c r="EG370" s="2644"/>
      <c r="EH370" s="2644"/>
      <c r="EI370" s="2644"/>
      <c r="EJ370" s="2644"/>
      <c r="EK370" s="1078" t="e">
        <f>+IF(EK313&lt;0,IF(EF313&gt;0,"N/A",(-1)*(EK313/EF313-1)),IF(EF313&lt;0,"N/A",(EK313/EF313-1)))</f>
        <v>#DIV/0!</v>
      </c>
      <c r="EL370" s="2644"/>
      <c r="EM370" s="2644"/>
      <c r="EN370" s="2644"/>
      <c r="EO370" s="2644"/>
      <c r="EP370" s="1078" t="e">
        <f>+IF(EP313&lt;0,IF(EK313&gt;0,"N/A",(-1)*(EP313/EK313-1)),IF(EK313&lt;0,"N/A",(EP313/EK313-1)))</f>
        <v>#DIV/0!</v>
      </c>
      <c r="EQ370" s="2644"/>
      <c r="ER370" s="2644"/>
      <c r="ES370" s="2644"/>
      <c r="ET370" s="2644"/>
      <c r="EU370" s="1078" t="e">
        <f>+IF(EU313&lt;0,IF(EP313&gt;0,"N/A",(-1)*(EU313/EP313-1)),IF(EP313&lt;0,"N/A",(EU313/EP313-1)))</f>
        <v>#DIV/0!</v>
      </c>
      <c r="EV370" s="1078" t="e">
        <f>+IF(EV313&lt;0,IF(EU313&gt;0,"N/A",(-1)*(EV313/EU313-1)),IF(EU313&lt;0,"N/A",(EV313/EU313-1)))</f>
        <v>#DIV/0!</v>
      </c>
      <c r="EW370" s="1078" t="e">
        <f>+IF(EW313&lt;0,IF(EV313&gt;0,"N/A",(-1)*(EW313/EV313-1)),IF(EV313&lt;0,"N/A",(EW313/EV313-1)))</f>
        <v>#DIV/0!</v>
      </c>
      <c r="EX370" s="1078" t="e">
        <f>+IF(EX313&lt;0,IF(EW313&gt;0,"N/A",(-1)*(EX313/EW313-1)),IF(EW313&lt;0,"N/A",(EX313/EW313-1)))</f>
        <v>#DIV/0!</v>
      </c>
      <c r="EY370" s="1078" t="e">
        <f>+IF(EY313&lt;0,IF(EX313&gt;0,"N/A",(-1)*(EY313/EX313-1)),IF(EX313&lt;0,"N/A",(EY313/EX313-1)))</f>
        <v>#DIV/0!</v>
      </c>
      <c r="EZ370" s="767"/>
      <c r="FA370" s="718"/>
      <c r="FB370" s="718"/>
    </row>
    <row r="371" spans="1:158" s="766" customFormat="1" hidden="1">
      <c r="A371" s="1521" t="s">
        <v>440</v>
      </c>
      <c r="CH371" s="1081"/>
      <c r="CI371" s="787"/>
      <c r="CJ371" s="787"/>
      <c r="CK371" s="787"/>
      <c r="CL371" s="787"/>
      <c r="CM371" s="1081" t="e">
        <f>+IF(#REF!&lt;0,IF(#REF!&gt;0,"N/A",(-1)*(#REF!/#REF!-1)),IF(#REF!&lt;0,"N/A",(#REF!/#REF!-1)))</f>
        <v>#REF!</v>
      </c>
      <c r="CN371" s="787" t="e">
        <f>+IF(#REF!&lt;0,IF(#REF!&gt;0,"N/A",(-1)*(#REF!/#REF!-1)),IF(#REF!&lt;0,"N/A",(#REF!/#REF!-1)))</f>
        <v>#REF!</v>
      </c>
      <c r="CO371" s="787" t="e">
        <f>+IF(#REF!&lt;0,IF(#REF!&gt;0,"N/A",(-1)*(#REF!/#REF!-1)),IF(#REF!&lt;0,"N/A",(#REF!/#REF!-1)))</f>
        <v>#REF!</v>
      </c>
      <c r="CP371" s="787" t="e">
        <f>+IF(#REF!&lt;0,IF(#REF!&gt;0,"N/A",(-1)*(#REF!/#REF!-1)),IF(#REF!&lt;0,"N/A",(#REF!/#REF!-1)))</f>
        <v>#REF!</v>
      </c>
      <c r="CQ371" s="787" t="e">
        <f>+IF(#REF!&lt;0,IF(#REF!&gt;0,"N/A",(-1)*(#REF!/#REF!-1)),IF(#REF!&lt;0,"N/A",(#REF!/#REF!-1)))</f>
        <v>#REF!</v>
      </c>
      <c r="CR371" s="1081" t="e">
        <f>+IF(#REF!&lt;0,IF(#REF!&gt;0,"N/A",(-1)*(#REF!/#REF!-1)),IF(#REF!&lt;0,"N/A",(#REF!/#REF!-1)))</f>
        <v>#REF!</v>
      </c>
      <c r="CS371" s="787" t="e">
        <f>+IF(#REF!&lt;0,IF(#REF!&gt;0,"N/A",(-1)*(#REF!/#REF!-1)),IF(#REF!&lt;0,"N/A",(#REF!/#REF!-1)))</f>
        <v>#REF!</v>
      </c>
      <c r="CT371" s="787" t="e">
        <f>+IF(#REF!&lt;0,IF(#REF!&gt;0,"N/A",(-1)*(#REF!/#REF!-1)),IF(#REF!&lt;0,"N/A",(#REF!/#REF!-1)))</f>
        <v>#REF!</v>
      </c>
      <c r="CU371" s="787" t="e">
        <f>+IF(#REF!&lt;0,IF(#REF!&gt;0,"N/A",(-1)*(#REF!/#REF!-1)),IF(#REF!&lt;0,"N/A",(#REF!/#REF!-1)))</f>
        <v>#REF!</v>
      </c>
      <c r="CV371" s="787" t="e">
        <f>+IF(#REF!&lt;0,IF(#REF!&gt;0,"N/A",(-1)*(#REF!/#REF!-1)),IF(#REF!&lt;0,"N/A",(#REF!/#REF!-1)))</f>
        <v>#REF!</v>
      </c>
      <c r="CW371" s="1081" t="e">
        <f>+IF(#REF!&lt;0,IF(#REF!&gt;0,"N/A",(-1)*(#REF!/#REF!-1)),IF(#REF!&lt;0,"N/A",(#REF!/#REF!-1)))</f>
        <v>#REF!</v>
      </c>
      <c r="CX371" s="787" t="e">
        <f>+IF(#REF!&lt;0,IF(#REF!&gt;0,"N/A",(-1)*(#REF!/#REF!-1)),IF(#REF!&lt;0,"N/A",(#REF!/#REF!-1)))</f>
        <v>#REF!</v>
      </c>
      <c r="CY371" s="787" t="e">
        <f>+IF(#REF!&lt;0,IF(#REF!&gt;0,"N/A",(-1)*(#REF!/#REF!-1)),IF(#REF!&lt;0,"N/A",(#REF!/#REF!-1)))</f>
        <v>#REF!</v>
      </c>
      <c r="CZ371" s="787" t="e">
        <f>+IF(#REF!&lt;0,IF(#REF!&gt;0,"N/A",(-1)*(#REF!/#REF!-1)),IF(#REF!&lt;0,"N/A",(#REF!/#REF!-1)))</f>
        <v>#REF!</v>
      </c>
      <c r="DA371" s="787" t="e">
        <f>+IF(#REF!&lt;0,IF(#REF!&gt;0,"N/A",(-1)*(#REF!/#REF!-1)),IF(#REF!&lt;0,"N/A",(#REF!/#REF!-1)))</f>
        <v>#REF!</v>
      </c>
      <c r="DB371" s="1081" t="e">
        <f>+IF(#REF!&lt;0,IF(#REF!&gt;0,"N/A",(-1)*(#REF!/#REF!-1)),IF(#REF!&lt;0,"N/A",(#REF!/#REF!-1)))</f>
        <v>#REF!</v>
      </c>
      <c r="DC371" s="2646"/>
      <c r="DD371" s="2646"/>
      <c r="DE371" s="2646"/>
      <c r="DF371" s="2646"/>
      <c r="DG371" s="1081" t="e">
        <f>+IF(#REF!&lt;0,IF(#REF!&gt;0,"N/A",(-1)*(#REF!/#REF!-1)),IF(#REF!&lt;0,"N/A",(#REF!/#REF!-1)))</f>
        <v>#REF!</v>
      </c>
      <c r="DH371" s="2646"/>
      <c r="DI371" s="2646"/>
      <c r="DJ371" s="2646"/>
      <c r="DK371" s="2646"/>
      <c r="DL371" s="1081" t="e">
        <f>+IF(#REF!&lt;0,IF(#REF!&gt;0,"N/A",(-1)*(#REF!/#REF!-1)),IF(#REF!&lt;0,"N/A",(#REF!/#REF!-1)))</f>
        <v>#REF!</v>
      </c>
      <c r="DM371" s="2646"/>
      <c r="DN371" s="2646"/>
      <c r="DO371" s="2646"/>
      <c r="DP371" s="2646"/>
      <c r="DQ371" s="1081" t="e">
        <f>+IF(#REF!&lt;0,IF(#REF!&gt;0,"N/A",(-1)*(#REF!/#REF!-1)),IF(#REF!&lt;0,"N/A",(#REF!/#REF!-1)))</f>
        <v>#REF!</v>
      </c>
      <c r="DR371" s="2646"/>
      <c r="DS371" s="2646"/>
      <c r="DT371" s="2646"/>
      <c r="DU371" s="2646"/>
      <c r="DV371" s="1081" t="e">
        <f>+IF(#REF!&lt;0,IF(#REF!&gt;0,"N/A",(-1)*(#REF!/#REF!-1)),IF(#REF!&lt;0,"N/A",(#REF!/#REF!-1)))</f>
        <v>#REF!</v>
      </c>
      <c r="DW371" s="2646"/>
      <c r="DX371" s="2646"/>
      <c r="DY371" s="2646"/>
      <c r="DZ371" s="2646"/>
      <c r="EA371" s="1081" t="e">
        <f>+IF(#REF!&lt;0,IF(#REF!&gt;0,"N/A",(-1)*(#REF!/#REF!-1)),IF(#REF!&lt;0,"N/A",(#REF!/#REF!-1)))</f>
        <v>#REF!</v>
      </c>
      <c r="EB371" s="2646"/>
      <c r="EC371" s="2646"/>
      <c r="ED371" s="2646"/>
      <c r="EE371" s="2646"/>
      <c r="EF371" s="1081" t="e">
        <f>+IF(#REF!&lt;0,IF(#REF!&gt;0,"N/A",(-1)*(#REF!/#REF!-1)),IF(#REF!&lt;0,"N/A",(#REF!/#REF!-1)))</f>
        <v>#REF!</v>
      </c>
      <c r="EG371" s="2646"/>
      <c r="EH371" s="2646"/>
      <c r="EI371" s="2646"/>
      <c r="EJ371" s="2646"/>
      <c r="EK371" s="1081" t="e">
        <f>+IF(#REF!&lt;0,IF(#REF!&gt;0,"N/A",(-1)*(#REF!/#REF!-1)),IF(#REF!&lt;0,"N/A",(#REF!/#REF!-1)))</f>
        <v>#REF!</v>
      </c>
      <c r="EL371" s="2646"/>
      <c r="EM371" s="2646"/>
      <c r="EN371" s="2646"/>
      <c r="EO371" s="2646"/>
      <c r="EP371" s="1081" t="e">
        <f>+IF(#REF!&lt;0,IF(#REF!&gt;0,"N/A",(-1)*(#REF!/#REF!-1)),IF(#REF!&lt;0,"N/A",(#REF!/#REF!-1)))</f>
        <v>#REF!</v>
      </c>
      <c r="EQ371" s="2646"/>
      <c r="ER371" s="2646"/>
      <c r="ES371" s="2646"/>
      <c r="ET371" s="2646"/>
      <c r="EU371" s="1081" t="e">
        <f>+IF(#REF!&lt;0,IF(#REF!&gt;0,"N/A",(-1)*(#REF!/#REF!-1)),IF(#REF!&lt;0,"N/A",(#REF!/#REF!-1)))</f>
        <v>#REF!</v>
      </c>
      <c r="EV371" s="1081" t="e">
        <f>+IF(#REF!&lt;0,IF(#REF!&gt;0,"N/A",(-1)*(#REF!/#REF!-1)),IF(#REF!&lt;0,"N/A",(#REF!/#REF!-1)))</f>
        <v>#REF!</v>
      </c>
      <c r="EW371" s="1081" t="e">
        <f>+IF(#REF!&lt;0,IF(#REF!&gt;0,"N/A",(-1)*(#REF!/#REF!-1)),IF(#REF!&lt;0,"N/A",(#REF!/#REF!-1)))</f>
        <v>#REF!</v>
      </c>
      <c r="EX371" s="1081" t="e">
        <f>+IF(#REF!&lt;0,IF(#REF!&gt;0,"N/A",(-1)*(#REF!/#REF!-1)),IF(#REF!&lt;0,"N/A",(#REF!/#REF!-1)))</f>
        <v>#REF!</v>
      </c>
      <c r="EY371" s="1081" t="e">
        <f>+IF(#REF!&lt;0,IF(#REF!&gt;0,"N/A",(-1)*(#REF!/#REF!-1)),IF(#REF!&lt;0,"N/A",(#REF!/#REF!-1)))</f>
        <v>#REF!</v>
      </c>
      <c r="EZ371" s="767"/>
      <c r="FA371" s="718"/>
      <c r="FB371" s="718"/>
    </row>
    <row r="372" spans="1:158" s="766" customFormat="1" hidden="1">
      <c r="A372" s="1522" t="s">
        <v>437</v>
      </c>
      <c r="CH372" s="1081"/>
      <c r="CI372" s="787"/>
      <c r="CJ372" s="787"/>
      <c r="CK372" s="787"/>
      <c r="CL372" s="787"/>
      <c r="CM372" s="1081" t="e">
        <f>+IF(#REF!&lt;0,IF(#REF!&gt;0,"N/A",(-1)*(#REF!/#REF!-1)),IF(#REF!&lt;0,"N/A",(#REF!/#REF!-1)))</f>
        <v>#REF!</v>
      </c>
      <c r="CN372" s="787" t="e">
        <f>+IF(#REF!&lt;0,IF(#REF!&gt;0,"N/A",(-1)*(#REF!/#REF!-1)),IF(#REF!&lt;0,"N/A",(#REF!/#REF!-1)))</f>
        <v>#REF!</v>
      </c>
      <c r="CO372" s="787" t="e">
        <f>+IF(#REF!&lt;0,IF(#REF!&gt;0,"N/A",(-1)*(#REF!/#REF!-1)),IF(#REF!&lt;0,"N/A",(#REF!/#REF!-1)))</f>
        <v>#REF!</v>
      </c>
      <c r="CP372" s="787" t="e">
        <f>+IF(#REF!&lt;0,IF(#REF!&gt;0,"N/A",(-1)*(#REF!/#REF!-1)),IF(#REF!&lt;0,"N/A",(#REF!/#REF!-1)))</f>
        <v>#REF!</v>
      </c>
      <c r="CQ372" s="787" t="e">
        <f>+IF(#REF!&lt;0,IF(#REF!&gt;0,"N/A",(-1)*(#REF!/#REF!-1)),IF(#REF!&lt;0,"N/A",(#REF!/#REF!-1)))</f>
        <v>#REF!</v>
      </c>
      <c r="CR372" s="1081" t="e">
        <f>+IF(#REF!&lt;0,IF(#REF!&gt;0,"N/A",(-1)*(#REF!/#REF!-1)),IF(#REF!&lt;0,"N/A",(#REF!/#REF!-1)))</f>
        <v>#REF!</v>
      </c>
      <c r="CS372" s="787" t="e">
        <f>+IF(#REF!&lt;0,IF(#REF!&gt;0,"N/A",(-1)*(#REF!/#REF!-1)),IF(#REF!&lt;0,"N/A",(#REF!/#REF!-1)))</f>
        <v>#REF!</v>
      </c>
      <c r="CT372" s="787" t="e">
        <f>+IF(#REF!&lt;0,IF(#REF!&gt;0,"N/A",(-1)*(#REF!/#REF!-1)),IF(#REF!&lt;0,"N/A",(#REF!/#REF!-1)))</f>
        <v>#REF!</v>
      </c>
      <c r="CU372" s="787" t="e">
        <f>+IF(#REF!&lt;0,IF(#REF!&gt;0,"N/A",(-1)*(#REF!/#REF!-1)),IF(#REF!&lt;0,"N/A",(#REF!/#REF!-1)))</f>
        <v>#REF!</v>
      </c>
      <c r="CV372" s="787" t="e">
        <f>+IF(#REF!&lt;0,IF(#REF!&gt;0,"N/A",(-1)*(#REF!/#REF!-1)),IF(#REF!&lt;0,"N/A",(#REF!/#REF!-1)))</f>
        <v>#REF!</v>
      </c>
      <c r="CW372" s="1081" t="e">
        <f>+IF(#REF!&lt;0,IF(#REF!&gt;0,"N/A",(-1)*(#REF!/#REF!-1)),IF(#REF!&lt;0,"N/A",(#REF!/#REF!-1)))</f>
        <v>#REF!</v>
      </c>
      <c r="CX372" s="787" t="e">
        <f>+IF(#REF!&lt;0,IF(#REF!&gt;0,"N/A",(-1)*(#REF!/#REF!-1)),IF(#REF!&lt;0,"N/A",(#REF!/#REF!-1)))</f>
        <v>#REF!</v>
      </c>
      <c r="CY372" s="787" t="e">
        <f>+IF(#REF!&lt;0,IF(#REF!&gt;0,"N/A",(-1)*(#REF!/#REF!-1)),IF(#REF!&lt;0,"N/A",(#REF!/#REF!-1)))</f>
        <v>#REF!</v>
      </c>
      <c r="CZ372" s="787" t="e">
        <f>+IF(#REF!&lt;0,IF(#REF!&gt;0,"N/A",(-1)*(#REF!/#REF!-1)),IF(#REF!&lt;0,"N/A",(#REF!/#REF!-1)))</f>
        <v>#REF!</v>
      </c>
      <c r="DA372" s="787" t="e">
        <f>+IF(#REF!&lt;0,IF(#REF!&gt;0,"N/A",(-1)*(#REF!/#REF!-1)),IF(#REF!&lt;0,"N/A",(#REF!/#REF!-1)))</f>
        <v>#REF!</v>
      </c>
      <c r="DB372" s="1081" t="e">
        <f>+IF(#REF!&lt;0,IF(#REF!&gt;0,"N/A",(-1)*(#REF!/#REF!-1)),IF(#REF!&lt;0,"N/A",(#REF!/#REF!-1)))</f>
        <v>#REF!</v>
      </c>
      <c r="DC372" s="2646"/>
      <c r="DD372" s="2646"/>
      <c r="DE372" s="2646"/>
      <c r="DF372" s="2646"/>
      <c r="DG372" s="1081" t="e">
        <f>+IF(#REF!&lt;0,IF(#REF!&gt;0,"N/A",(-1)*(#REF!/#REF!-1)),IF(#REF!&lt;0,"N/A",(#REF!/#REF!-1)))</f>
        <v>#REF!</v>
      </c>
      <c r="DH372" s="2646"/>
      <c r="DI372" s="2646"/>
      <c r="DJ372" s="2646"/>
      <c r="DK372" s="2646"/>
      <c r="DL372" s="1081" t="e">
        <f>+IF(#REF!&lt;0,IF(#REF!&gt;0,"N/A",(-1)*(#REF!/#REF!-1)),IF(#REF!&lt;0,"N/A",(#REF!/#REF!-1)))</f>
        <v>#REF!</v>
      </c>
      <c r="DM372" s="2646"/>
      <c r="DN372" s="2646"/>
      <c r="DO372" s="2646"/>
      <c r="DP372" s="2646"/>
      <c r="DQ372" s="1081" t="e">
        <f>+IF(#REF!&lt;0,IF(#REF!&gt;0,"N/A",(-1)*(#REF!/#REF!-1)),IF(#REF!&lt;0,"N/A",(#REF!/#REF!-1)))</f>
        <v>#REF!</v>
      </c>
      <c r="DR372" s="2646"/>
      <c r="DS372" s="2646"/>
      <c r="DT372" s="2646"/>
      <c r="DU372" s="2646"/>
      <c r="DV372" s="1081" t="e">
        <f>+IF(#REF!&lt;0,IF(#REF!&gt;0,"N/A",(-1)*(#REF!/#REF!-1)),IF(#REF!&lt;0,"N/A",(#REF!/#REF!-1)))</f>
        <v>#REF!</v>
      </c>
      <c r="DW372" s="2646"/>
      <c r="DX372" s="2646"/>
      <c r="DY372" s="2646"/>
      <c r="DZ372" s="2646"/>
      <c r="EA372" s="1081" t="e">
        <f>+IF(#REF!&lt;0,IF(#REF!&gt;0,"N/A",(-1)*(#REF!/#REF!-1)),IF(#REF!&lt;0,"N/A",(#REF!/#REF!-1)))</f>
        <v>#REF!</v>
      </c>
      <c r="EB372" s="2646"/>
      <c r="EC372" s="2646"/>
      <c r="ED372" s="2646"/>
      <c r="EE372" s="2646"/>
      <c r="EF372" s="1081" t="e">
        <f>+IF(#REF!&lt;0,IF(#REF!&gt;0,"N/A",(-1)*(#REF!/#REF!-1)),IF(#REF!&lt;0,"N/A",(#REF!/#REF!-1)))</f>
        <v>#REF!</v>
      </c>
      <c r="EG372" s="2646"/>
      <c r="EH372" s="2646"/>
      <c r="EI372" s="2646"/>
      <c r="EJ372" s="2646"/>
      <c r="EK372" s="1081" t="e">
        <f>+IF(#REF!&lt;0,IF(#REF!&gt;0,"N/A",(-1)*(#REF!/#REF!-1)),IF(#REF!&lt;0,"N/A",(#REF!/#REF!-1)))</f>
        <v>#REF!</v>
      </c>
      <c r="EL372" s="2646"/>
      <c r="EM372" s="2646"/>
      <c r="EN372" s="2646"/>
      <c r="EO372" s="2646"/>
      <c r="EP372" s="1081" t="e">
        <f>+IF(#REF!&lt;0,IF(#REF!&gt;0,"N/A",(-1)*(#REF!/#REF!-1)),IF(#REF!&lt;0,"N/A",(#REF!/#REF!-1)))</f>
        <v>#REF!</v>
      </c>
      <c r="EQ372" s="2646"/>
      <c r="ER372" s="2646"/>
      <c r="ES372" s="2646"/>
      <c r="ET372" s="2646"/>
      <c r="EU372" s="1081" t="e">
        <f>+IF(#REF!&lt;0,IF(#REF!&gt;0,"N/A",(-1)*(#REF!/#REF!-1)),IF(#REF!&lt;0,"N/A",(#REF!/#REF!-1)))</f>
        <v>#REF!</v>
      </c>
      <c r="EV372" s="1081" t="e">
        <f>+IF(#REF!&lt;0,IF(#REF!&gt;0,"N/A",(-1)*(#REF!/#REF!-1)),IF(#REF!&lt;0,"N/A",(#REF!/#REF!-1)))</f>
        <v>#REF!</v>
      </c>
      <c r="EW372" s="1081" t="e">
        <f>+IF(#REF!&lt;0,IF(#REF!&gt;0,"N/A",(-1)*(#REF!/#REF!-1)),IF(#REF!&lt;0,"N/A",(#REF!/#REF!-1)))</f>
        <v>#REF!</v>
      </c>
      <c r="EX372" s="1081" t="e">
        <f>+IF(#REF!&lt;0,IF(#REF!&gt;0,"N/A",(-1)*(#REF!/#REF!-1)),IF(#REF!&lt;0,"N/A",(#REF!/#REF!-1)))</f>
        <v>#REF!</v>
      </c>
      <c r="EY372" s="1081" t="e">
        <f>+IF(#REF!&lt;0,IF(#REF!&gt;0,"N/A",(-1)*(#REF!/#REF!-1)),IF(#REF!&lt;0,"N/A",(#REF!/#REF!-1)))</f>
        <v>#REF!</v>
      </c>
      <c r="EZ372" s="767"/>
      <c r="FA372" s="718"/>
      <c r="FB372" s="718"/>
    </row>
    <row r="373" spans="1:158" s="766" customFormat="1" hidden="1">
      <c r="A373" s="1522" t="s">
        <v>438</v>
      </c>
      <c r="CH373" s="1081"/>
      <c r="CI373" s="787"/>
      <c r="CJ373" s="787"/>
      <c r="CK373" s="787"/>
      <c r="CL373" s="787"/>
      <c r="CM373" s="1081" t="e">
        <f>+IF(#REF!&lt;0,IF(#REF!&gt;0,"N/A",(-1)*(#REF!/#REF!-1)),IF(#REF!&lt;0,"N/A",(#REF!/#REF!-1)))</f>
        <v>#REF!</v>
      </c>
      <c r="CN373" s="787" t="e">
        <f>+IF(#REF!&lt;0,IF(#REF!&gt;0,"N/A",(-1)*(#REF!/#REF!-1)),IF(#REF!&lt;0,"N/A",(#REF!/#REF!-1)))</f>
        <v>#REF!</v>
      </c>
      <c r="CO373" s="787" t="e">
        <f>+IF(#REF!&lt;0,IF(#REF!&gt;0,"N/A",(-1)*(#REF!/#REF!-1)),IF(#REF!&lt;0,"N/A",(#REF!/#REF!-1)))</f>
        <v>#REF!</v>
      </c>
      <c r="CP373" s="787" t="e">
        <f>+IF(#REF!&lt;0,IF(#REF!&gt;0,"N/A",(-1)*(#REF!/#REF!-1)),IF(#REF!&lt;0,"N/A",(#REF!/#REF!-1)))</f>
        <v>#REF!</v>
      </c>
      <c r="CQ373" s="787" t="e">
        <f>+IF(#REF!&lt;0,IF(#REF!&gt;0,"N/A",(-1)*(#REF!/#REF!-1)),IF(#REF!&lt;0,"N/A",(#REF!/#REF!-1)))</f>
        <v>#REF!</v>
      </c>
      <c r="CR373" s="1081" t="e">
        <f>+IF(#REF!&lt;0,IF(#REF!&gt;0,"N/A",(-1)*(#REF!/#REF!-1)),IF(#REF!&lt;0,"N/A",(#REF!/#REF!-1)))</f>
        <v>#REF!</v>
      </c>
      <c r="CS373" s="787" t="e">
        <f>+IF(#REF!&lt;0,IF(#REF!&gt;0,"N/A",(-1)*(#REF!/#REF!-1)),IF(#REF!&lt;0,"N/A",(#REF!/#REF!-1)))</f>
        <v>#REF!</v>
      </c>
      <c r="CT373" s="787" t="e">
        <f>+IF(#REF!&lt;0,IF(#REF!&gt;0,"N/A",(-1)*(#REF!/#REF!-1)),IF(#REF!&lt;0,"N/A",(#REF!/#REF!-1)))</f>
        <v>#REF!</v>
      </c>
      <c r="CU373" s="787" t="e">
        <f>+IF(#REF!&lt;0,IF(#REF!&gt;0,"N/A",(-1)*(#REF!/#REF!-1)),IF(#REF!&lt;0,"N/A",(#REF!/#REF!-1)))</f>
        <v>#REF!</v>
      </c>
      <c r="CV373" s="787" t="e">
        <f>+IF(#REF!&lt;0,IF(#REF!&gt;0,"N/A",(-1)*(#REF!/#REF!-1)),IF(#REF!&lt;0,"N/A",(#REF!/#REF!-1)))</f>
        <v>#REF!</v>
      </c>
      <c r="CW373" s="1081" t="e">
        <f>+IF(#REF!&lt;0,IF(#REF!&gt;0,"N/A",(-1)*(#REF!/#REF!-1)),IF(#REF!&lt;0,"N/A",(#REF!/#REF!-1)))</f>
        <v>#REF!</v>
      </c>
      <c r="CX373" s="787" t="e">
        <f>+IF(#REF!&lt;0,IF(#REF!&gt;0,"N/A",(-1)*(#REF!/#REF!-1)),IF(#REF!&lt;0,"N/A",(#REF!/#REF!-1)))</f>
        <v>#REF!</v>
      </c>
      <c r="CY373" s="787" t="e">
        <f>+IF(#REF!&lt;0,IF(#REF!&gt;0,"N/A",(-1)*(#REF!/#REF!-1)),IF(#REF!&lt;0,"N/A",(#REF!/#REF!-1)))</f>
        <v>#REF!</v>
      </c>
      <c r="CZ373" s="787" t="e">
        <f>+IF(#REF!&lt;0,IF(#REF!&gt;0,"N/A",(-1)*(#REF!/#REF!-1)),IF(#REF!&lt;0,"N/A",(#REF!/#REF!-1)))</f>
        <v>#REF!</v>
      </c>
      <c r="DA373" s="787" t="e">
        <f>+IF(#REF!&lt;0,IF(#REF!&gt;0,"N/A",(-1)*(#REF!/#REF!-1)),IF(#REF!&lt;0,"N/A",(#REF!/#REF!-1)))</f>
        <v>#REF!</v>
      </c>
      <c r="DB373" s="1081" t="e">
        <f>+IF(#REF!&lt;0,IF(#REF!&gt;0,"N/A",(-1)*(#REF!/#REF!-1)),IF(#REF!&lt;0,"N/A",(#REF!/#REF!-1)))</f>
        <v>#REF!</v>
      </c>
      <c r="DC373" s="2646"/>
      <c r="DD373" s="2646"/>
      <c r="DE373" s="2646"/>
      <c r="DF373" s="2646"/>
      <c r="DG373" s="1081" t="e">
        <f>+IF(#REF!&lt;0,IF(#REF!&gt;0,"N/A",(-1)*(#REF!/#REF!-1)),IF(#REF!&lt;0,"N/A",(#REF!/#REF!-1)))</f>
        <v>#REF!</v>
      </c>
      <c r="DH373" s="2646"/>
      <c r="DI373" s="2646"/>
      <c r="DJ373" s="2646"/>
      <c r="DK373" s="2646"/>
      <c r="DL373" s="1081" t="e">
        <f>+IF(#REF!&lt;0,IF(#REF!&gt;0,"N/A",(-1)*(#REF!/#REF!-1)),IF(#REF!&lt;0,"N/A",(#REF!/#REF!-1)))</f>
        <v>#REF!</v>
      </c>
      <c r="DM373" s="2646"/>
      <c r="DN373" s="2646"/>
      <c r="DO373" s="2646"/>
      <c r="DP373" s="2646"/>
      <c r="DQ373" s="1081" t="e">
        <f>+IF(#REF!&lt;0,IF(#REF!&gt;0,"N/A",(-1)*(#REF!/#REF!-1)),IF(#REF!&lt;0,"N/A",(#REF!/#REF!-1)))</f>
        <v>#REF!</v>
      </c>
      <c r="DR373" s="2646"/>
      <c r="DS373" s="2646"/>
      <c r="DT373" s="2646"/>
      <c r="DU373" s="2646"/>
      <c r="DV373" s="1081" t="e">
        <f>+IF(#REF!&lt;0,IF(#REF!&gt;0,"N/A",(-1)*(#REF!/#REF!-1)),IF(#REF!&lt;0,"N/A",(#REF!/#REF!-1)))</f>
        <v>#REF!</v>
      </c>
      <c r="DW373" s="2646"/>
      <c r="DX373" s="2646"/>
      <c r="DY373" s="2646"/>
      <c r="DZ373" s="2646"/>
      <c r="EA373" s="1081" t="e">
        <f>+IF(#REF!&lt;0,IF(#REF!&gt;0,"N/A",(-1)*(#REF!/#REF!-1)),IF(#REF!&lt;0,"N/A",(#REF!/#REF!-1)))</f>
        <v>#REF!</v>
      </c>
      <c r="EB373" s="2646"/>
      <c r="EC373" s="2646"/>
      <c r="ED373" s="2646"/>
      <c r="EE373" s="2646"/>
      <c r="EF373" s="1081" t="e">
        <f>+IF(#REF!&lt;0,IF(#REF!&gt;0,"N/A",(-1)*(#REF!/#REF!-1)),IF(#REF!&lt;0,"N/A",(#REF!/#REF!-1)))</f>
        <v>#REF!</v>
      </c>
      <c r="EG373" s="2646"/>
      <c r="EH373" s="2646"/>
      <c r="EI373" s="2646"/>
      <c r="EJ373" s="2646"/>
      <c r="EK373" s="1081" t="e">
        <f>+IF(#REF!&lt;0,IF(#REF!&gt;0,"N/A",(-1)*(#REF!/#REF!-1)),IF(#REF!&lt;0,"N/A",(#REF!/#REF!-1)))</f>
        <v>#REF!</v>
      </c>
      <c r="EL373" s="2646"/>
      <c r="EM373" s="2646"/>
      <c r="EN373" s="2646"/>
      <c r="EO373" s="2646"/>
      <c r="EP373" s="1081" t="e">
        <f>+IF(#REF!&lt;0,IF(#REF!&gt;0,"N/A",(-1)*(#REF!/#REF!-1)),IF(#REF!&lt;0,"N/A",(#REF!/#REF!-1)))</f>
        <v>#REF!</v>
      </c>
      <c r="EQ373" s="2646"/>
      <c r="ER373" s="2646"/>
      <c r="ES373" s="2646"/>
      <c r="ET373" s="2646"/>
      <c r="EU373" s="1081" t="e">
        <f>+IF(#REF!&lt;0,IF(#REF!&gt;0,"N/A",(-1)*(#REF!/#REF!-1)),IF(#REF!&lt;0,"N/A",(#REF!/#REF!-1)))</f>
        <v>#REF!</v>
      </c>
      <c r="EV373" s="1081" t="e">
        <f>+IF(#REF!&lt;0,IF(#REF!&gt;0,"N/A",(-1)*(#REF!/#REF!-1)),IF(#REF!&lt;0,"N/A",(#REF!/#REF!-1)))</f>
        <v>#REF!</v>
      </c>
      <c r="EW373" s="1081" t="e">
        <f>+IF(#REF!&lt;0,IF(#REF!&gt;0,"N/A",(-1)*(#REF!/#REF!-1)),IF(#REF!&lt;0,"N/A",(#REF!/#REF!-1)))</f>
        <v>#REF!</v>
      </c>
      <c r="EX373" s="1081" t="e">
        <f>+IF(#REF!&lt;0,IF(#REF!&gt;0,"N/A",(-1)*(#REF!/#REF!-1)),IF(#REF!&lt;0,"N/A",(#REF!/#REF!-1)))</f>
        <v>#REF!</v>
      </c>
      <c r="EY373" s="1081" t="e">
        <f>+IF(#REF!&lt;0,IF(#REF!&gt;0,"N/A",(-1)*(#REF!/#REF!-1)),IF(#REF!&lt;0,"N/A",(#REF!/#REF!-1)))</f>
        <v>#REF!</v>
      </c>
      <c r="EZ373" s="767"/>
      <c r="FA373" s="718"/>
      <c r="FB373" s="718"/>
    </row>
    <row r="374" spans="1:158" s="763" customFormat="1" hidden="1">
      <c r="A374" s="1521" t="s">
        <v>474</v>
      </c>
      <c r="CH374" s="1325"/>
      <c r="CI374" s="803"/>
      <c r="CJ374" s="803"/>
      <c r="CK374" s="803"/>
      <c r="CL374" s="803"/>
      <c r="CM374" s="1081" t="e">
        <f>+IF(#REF!&lt;0,IF(#REF!&gt;0,"N/A",(-1)*(#REF!/#REF!-1)),IF(#REF!&lt;0,"N/A",(#REF!/#REF!-1)))</f>
        <v>#REF!</v>
      </c>
      <c r="CN374" s="787" t="e">
        <f>+IF(#REF!&lt;0,IF(#REF!&gt;0,"N/A",(-1)*(#REF!/#REF!-1)),IF(#REF!&lt;0,"N/A",(#REF!/#REF!-1)))</f>
        <v>#REF!</v>
      </c>
      <c r="CO374" s="787" t="e">
        <f>+IF(#REF!&lt;0,IF(#REF!&gt;0,"N/A",(-1)*(#REF!/#REF!-1)),IF(#REF!&lt;0,"N/A",(#REF!/#REF!-1)))</f>
        <v>#REF!</v>
      </c>
      <c r="CP374" s="787" t="e">
        <f>+IF(#REF!&lt;0,IF(#REF!&gt;0,"N/A",(-1)*(#REF!/#REF!-1)),IF(#REF!&lt;0,"N/A",(#REF!/#REF!-1)))</f>
        <v>#REF!</v>
      </c>
      <c r="CQ374" s="787" t="e">
        <f>+IF(#REF!&lt;0,IF(#REF!&gt;0,"N/A",(-1)*(#REF!/#REF!-1)),IF(#REF!&lt;0,"N/A",(#REF!/#REF!-1)))</f>
        <v>#REF!</v>
      </c>
      <c r="CR374" s="1081" t="e">
        <f>+IF(#REF!&lt;0,IF(#REF!&gt;0,"N/A",(-1)*(#REF!/#REF!-1)),IF(#REF!&lt;0,"N/A",(#REF!/#REF!-1)))</f>
        <v>#REF!</v>
      </c>
      <c r="CS374" s="787" t="e">
        <f>+IF(#REF!&lt;0,IF(#REF!&gt;0,"N/A",(-1)*(#REF!/#REF!-1)),IF(#REF!&lt;0,"N/A",(#REF!/#REF!-1)))</f>
        <v>#REF!</v>
      </c>
      <c r="CT374" s="787" t="e">
        <f>+IF(#REF!&lt;0,IF(#REF!&gt;0,"N/A",(-1)*(#REF!/#REF!-1)),IF(#REF!&lt;0,"N/A",(#REF!/#REF!-1)))</f>
        <v>#REF!</v>
      </c>
      <c r="CU374" s="787" t="e">
        <f>+IF(#REF!&lt;0,IF(#REF!&gt;0,"N/A",(-1)*(#REF!/#REF!-1)),IF(#REF!&lt;0,"N/A",(#REF!/#REF!-1)))</f>
        <v>#REF!</v>
      </c>
      <c r="CV374" s="787" t="e">
        <f>+IF(#REF!&lt;0,IF(#REF!&gt;0,"N/A",(-1)*(#REF!/#REF!-1)),IF(#REF!&lt;0,"N/A",(#REF!/#REF!-1)))</f>
        <v>#REF!</v>
      </c>
      <c r="CW374" s="1081" t="e">
        <f>+IF(#REF!&lt;0,IF(#REF!&gt;0,"N/A",(-1)*(#REF!/#REF!-1)),IF(#REF!&lt;0,"N/A",(#REF!/#REF!-1)))</f>
        <v>#REF!</v>
      </c>
      <c r="CX374" s="787" t="e">
        <f>+IF(#REF!&lt;0,IF(#REF!&gt;0,"N/A",(-1)*(#REF!/#REF!-1)),IF(#REF!&lt;0,"N/A",(#REF!/#REF!-1)))</f>
        <v>#REF!</v>
      </c>
      <c r="CY374" s="787" t="e">
        <f>+IF(#REF!&lt;0,IF(#REF!&gt;0,"N/A",(-1)*(#REF!/#REF!-1)),IF(#REF!&lt;0,"N/A",(#REF!/#REF!-1)))</f>
        <v>#REF!</v>
      </c>
      <c r="CZ374" s="787" t="e">
        <f>+IF(#REF!&lt;0,IF(#REF!&gt;0,"N/A",(-1)*(#REF!/#REF!-1)),IF(#REF!&lt;0,"N/A",(#REF!/#REF!-1)))</f>
        <v>#REF!</v>
      </c>
      <c r="DA374" s="787" t="e">
        <f>+IF(#REF!&lt;0,IF(#REF!&gt;0,"N/A",(-1)*(#REF!/#REF!-1)),IF(#REF!&lt;0,"N/A",(#REF!/#REF!-1)))</f>
        <v>#REF!</v>
      </c>
      <c r="DB374" s="1081" t="e">
        <f>+IF(#REF!&lt;0,IF(#REF!&gt;0,"N/A",(-1)*(#REF!/#REF!-1)),IF(#REF!&lt;0,"N/A",(#REF!/#REF!-1)))</f>
        <v>#REF!</v>
      </c>
      <c r="DC374" s="2646"/>
      <c r="DD374" s="2646"/>
      <c r="DE374" s="2646"/>
      <c r="DF374" s="2646"/>
      <c r="DG374" s="1081" t="e">
        <f>+IF(#REF!&lt;0,IF(#REF!&gt;0,"N/A",(-1)*(#REF!/#REF!-1)),IF(#REF!&lt;0,"N/A",(#REF!/#REF!-1)))</f>
        <v>#REF!</v>
      </c>
      <c r="DH374" s="2646"/>
      <c r="DI374" s="2646"/>
      <c r="DJ374" s="2646"/>
      <c r="DK374" s="2646"/>
      <c r="DL374" s="1081" t="e">
        <f>+IF(#REF!&lt;0,IF(#REF!&gt;0,"N/A",(-1)*(#REF!/#REF!-1)),IF(#REF!&lt;0,"N/A",(#REF!/#REF!-1)))</f>
        <v>#REF!</v>
      </c>
      <c r="DM374" s="2646"/>
      <c r="DN374" s="2646"/>
      <c r="DO374" s="2646"/>
      <c r="DP374" s="2646"/>
      <c r="DQ374" s="1081" t="e">
        <f>+IF(#REF!&lt;0,IF(#REF!&gt;0,"N/A",(-1)*(#REF!/#REF!-1)),IF(#REF!&lt;0,"N/A",(#REF!/#REF!-1)))</f>
        <v>#REF!</v>
      </c>
      <c r="DR374" s="2646"/>
      <c r="DS374" s="2646"/>
      <c r="DT374" s="2646"/>
      <c r="DU374" s="2646"/>
      <c r="DV374" s="1081" t="e">
        <f>+IF(#REF!&lt;0,IF(#REF!&gt;0,"N/A",(-1)*(#REF!/#REF!-1)),IF(#REF!&lt;0,"N/A",(#REF!/#REF!-1)))</f>
        <v>#REF!</v>
      </c>
      <c r="DW374" s="2646"/>
      <c r="DX374" s="2646"/>
      <c r="DY374" s="2646"/>
      <c r="DZ374" s="2646"/>
      <c r="EA374" s="1081" t="e">
        <f>+IF(#REF!&lt;0,IF(#REF!&gt;0,"N/A",(-1)*(#REF!/#REF!-1)),IF(#REF!&lt;0,"N/A",(#REF!/#REF!-1)))</f>
        <v>#REF!</v>
      </c>
      <c r="EB374" s="2646"/>
      <c r="EC374" s="2646"/>
      <c r="ED374" s="2646"/>
      <c r="EE374" s="2646"/>
      <c r="EF374" s="1081" t="e">
        <f>+IF(#REF!&lt;0,IF(#REF!&gt;0,"N/A",(-1)*(#REF!/#REF!-1)),IF(#REF!&lt;0,"N/A",(#REF!/#REF!-1)))</f>
        <v>#REF!</v>
      </c>
      <c r="EG374" s="2646"/>
      <c r="EH374" s="2646"/>
      <c r="EI374" s="2646"/>
      <c r="EJ374" s="2646"/>
      <c r="EK374" s="1081" t="e">
        <f>+IF(#REF!&lt;0,IF(#REF!&gt;0,"N/A",(-1)*(#REF!/#REF!-1)),IF(#REF!&lt;0,"N/A",(#REF!/#REF!-1)))</f>
        <v>#REF!</v>
      </c>
      <c r="EL374" s="2646"/>
      <c r="EM374" s="2646"/>
      <c r="EN374" s="2646"/>
      <c r="EO374" s="2646"/>
      <c r="EP374" s="1081" t="e">
        <f>+IF(#REF!&lt;0,IF(#REF!&gt;0,"N/A",(-1)*(#REF!/#REF!-1)),IF(#REF!&lt;0,"N/A",(#REF!/#REF!-1)))</f>
        <v>#REF!</v>
      </c>
      <c r="EQ374" s="2646"/>
      <c r="ER374" s="2646"/>
      <c r="ES374" s="2646"/>
      <c r="ET374" s="2646"/>
      <c r="EU374" s="1081" t="e">
        <f>+IF(#REF!&lt;0,IF(#REF!&gt;0,"N/A",(-1)*(#REF!/#REF!-1)),IF(#REF!&lt;0,"N/A",(#REF!/#REF!-1)))</f>
        <v>#REF!</v>
      </c>
      <c r="EV374" s="1081" t="e">
        <f>+IF(#REF!&lt;0,IF(#REF!&gt;0,"N/A",(-1)*(#REF!/#REF!-1)),IF(#REF!&lt;0,"N/A",(#REF!/#REF!-1)))</f>
        <v>#REF!</v>
      </c>
      <c r="EW374" s="1081" t="e">
        <f>+IF(#REF!&lt;0,IF(#REF!&gt;0,"N/A",(-1)*(#REF!/#REF!-1)),IF(#REF!&lt;0,"N/A",(#REF!/#REF!-1)))</f>
        <v>#REF!</v>
      </c>
      <c r="EX374" s="1081" t="e">
        <f>+IF(#REF!&lt;0,IF(#REF!&gt;0,"N/A",(-1)*(#REF!/#REF!-1)),IF(#REF!&lt;0,"N/A",(#REF!/#REF!-1)))</f>
        <v>#REF!</v>
      </c>
      <c r="EY374" s="1081" t="e">
        <f>+IF(#REF!&lt;0,IF(#REF!&gt;0,"N/A",(-1)*(#REF!/#REF!-1)),IF(#REF!&lt;0,"N/A",(#REF!/#REF!-1)))</f>
        <v>#REF!</v>
      </c>
      <c r="EZ374" s="791"/>
      <c r="FA374" s="1342"/>
      <c r="FB374" s="1342"/>
    </row>
    <row r="375" spans="1:158" s="766" customFormat="1" hidden="1">
      <c r="A375" s="1522" t="s">
        <v>439</v>
      </c>
      <c r="CH375" s="1081"/>
      <c r="CI375" s="787"/>
      <c r="CJ375" s="787"/>
      <c r="CK375" s="787"/>
      <c r="CL375" s="787"/>
      <c r="CM375" s="1081" t="e">
        <f>+IF(#REF!&lt;0,IF(#REF!&gt;0,"N/A",(-1)*(#REF!/#REF!-1)),IF(#REF!&lt;0,"N/A",(#REF!/#REF!-1)))</f>
        <v>#REF!</v>
      </c>
      <c r="CN375" s="788" t="str">
        <f>+IFERROR(IF(#REF!&lt;0,IF(#REF!&gt;0,"N/A",(-1)*(#REF!/#REF!-1)),IF(#REF!&lt;0,"N/A",(#REF!/#REF!-1))),"N/A")</f>
        <v>N/A</v>
      </c>
      <c r="CO375" s="788" t="str">
        <f>+IFERROR(IF(#REF!&lt;0,IF(#REF!&gt;0,"N/A",(-1)*(#REF!/#REF!-1)),IF(#REF!&lt;0,"N/A",(#REF!/#REF!-1))),"N/A")</f>
        <v>N/A</v>
      </c>
      <c r="CP375" s="788" t="str">
        <f>+IFERROR(IF(#REF!&lt;0,IF(#REF!&gt;0,"N/A",(-1)*(#REF!/#REF!-1)),IF(#REF!&lt;0,"N/A",(#REF!/#REF!-1))),"N/A")</f>
        <v>N/A</v>
      </c>
      <c r="CQ375" s="787" t="str">
        <f>+IFERROR(IF(#REF!&lt;0,IF(#REF!&gt;0,"N/A",(-1)*(#REF!/#REF!-1)),IF(#REF!&lt;0,"N/A",(#REF!/#REF!-1))),"N/A")</f>
        <v>N/A</v>
      </c>
      <c r="CR375" s="1081" t="e">
        <f>+IF(#REF!&lt;0,IF(#REF!&gt;0,"N/A",(-1)*(#REF!/#REF!-1)),IF(#REF!&lt;0,"N/A",(#REF!/#REF!-1)))</f>
        <v>#REF!</v>
      </c>
      <c r="CS375" s="793" t="e">
        <f>+IF(#REF!&lt;0,IF(#REF!&gt;0,"N/A",(-1)*(#REF!/#REF!-1)),IF(#REF!&lt;0,"N/A",(#REF!/#REF!-1)))</f>
        <v>#REF!</v>
      </c>
      <c r="CT375" s="793" t="e">
        <f>+IF(#REF!&lt;0,IF(#REF!&gt;0,"N/A",(-1)*(#REF!/#REF!-1)),IF(#REF!&lt;0,"N/A",(#REF!/#REF!-1)))</f>
        <v>#REF!</v>
      </c>
      <c r="CU375" s="793" t="e">
        <f>+IF(#REF!&lt;0,IF(#REF!&gt;0,"N/A",(-1)*(#REF!/#REF!-1)),IF(#REF!&lt;0,"N/A",(#REF!/#REF!-1)))</f>
        <v>#REF!</v>
      </c>
      <c r="CV375" s="793" t="e">
        <f>+IF(#REF!&lt;0,IF(#REF!&gt;0,"N/A",(-1)*(#REF!/#REF!-1)),IF(#REF!&lt;0,"N/A",(#REF!/#REF!-1)))</f>
        <v>#REF!</v>
      </c>
      <c r="CW375" s="1084" t="e">
        <f>+IF(#REF!&lt;0,IF(#REF!&gt;0,"N/A",(-1)*(#REF!/#REF!-1)),IF(#REF!&lt;0,"N/A",(#REF!/#REF!-1)))</f>
        <v>#REF!</v>
      </c>
      <c r="CX375" s="793" t="e">
        <f>+IF(#REF!&lt;0,IF(#REF!&gt;0,"N/A",(-1)*(#REF!/#REF!-1)),IF(#REF!&lt;0,"N/A",(#REF!/#REF!-1)))</f>
        <v>#REF!</v>
      </c>
      <c r="CY375" s="793" t="e">
        <f>+IF(#REF!&lt;0,IF(#REF!&gt;0,"N/A",(-1)*(#REF!/#REF!-1)),IF(#REF!&lt;0,"N/A",(#REF!/#REF!-1)))</f>
        <v>#REF!</v>
      </c>
      <c r="CZ375" s="793" t="e">
        <f>+IF(#REF!&lt;0,IF(#REF!&gt;0,"N/A",(-1)*(#REF!/#REF!-1)),IF(#REF!&lt;0,"N/A",(#REF!/#REF!-1)))</f>
        <v>#REF!</v>
      </c>
      <c r="DA375" s="793" t="e">
        <f>+IF(#REF!&lt;0,IF(#REF!&gt;0,"N/A",(-1)*(#REF!/#REF!-1)),IF(#REF!&lt;0,"N/A",(#REF!/#REF!-1)))</f>
        <v>#REF!</v>
      </c>
      <c r="DB375" s="1084" t="e">
        <f>+IF(#REF!&lt;0,IF(#REF!&gt;0,"N/A",(-1)*(#REF!/#REF!-1)),IF(#REF!&lt;0,"N/A",(#REF!/#REF!-1)))</f>
        <v>#REF!</v>
      </c>
      <c r="DC375" s="2648"/>
      <c r="DD375" s="2648"/>
      <c r="DE375" s="2648"/>
      <c r="DF375" s="2648"/>
      <c r="DG375" s="1084" t="e">
        <f>+IF(#REF!&lt;0,IF(#REF!&gt;0,"N/A",(-1)*(#REF!/#REF!-1)),IF(#REF!&lt;0,"N/A",(#REF!/#REF!-1)))</f>
        <v>#REF!</v>
      </c>
      <c r="DH375" s="2648"/>
      <c r="DI375" s="2648"/>
      <c r="DJ375" s="2648"/>
      <c r="DK375" s="2648"/>
      <c r="DL375" s="1084" t="e">
        <f>+IF(#REF!&lt;0,IF(#REF!&gt;0,"N/A",(-1)*(#REF!/#REF!-1)),IF(#REF!&lt;0,"N/A",(#REF!/#REF!-1)))</f>
        <v>#REF!</v>
      </c>
      <c r="DM375" s="2648"/>
      <c r="DN375" s="2648"/>
      <c r="DO375" s="2648"/>
      <c r="DP375" s="2648"/>
      <c r="DQ375" s="1084" t="e">
        <f>+IF(#REF!&lt;0,IF(#REF!&gt;0,"N/A",(-1)*(#REF!/#REF!-1)),IF(#REF!&lt;0,"N/A",(#REF!/#REF!-1)))</f>
        <v>#REF!</v>
      </c>
      <c r="DR375" s="2648"/>
      <c r="DS375" s="2648"/>
      <c r="DT375" s="2648"/>
      <c r="DU375" s="2648"/>
      <c r="DV375" s="1084" t="e">
        <f>+IF(#REF!&lt;0,IF(#REF!&gt;0,"N/A",(-1)*(#REF!/#REF!-1)),IF(#REF!&lt;0,"N/A",(#REF!/#REF!-1)))</f>
        <v>#REF!</v>
      </c>
      <c r="DW375" s="2648"/>
      <c r="DX375" s="2648"/>
      <c r="DY375" s="2648"/>
      <c r="DZ375" s="2648"/>
      <c r="EA375" s="1084" t="e">
        <f>+IF(#REF!&lt;0,IF(#REF!&gt;0,"N/A",(-1)*(#REF!/#REF!-1)),IF(#REF!&lt;0,"N/A",(#REF!/#REF!-1)))</f>
        <v>#REF!</v>
      </c>
      <c r="EB375" s="2648"/>
      <c r="EC375" s="2648"/>
      <c r="ED375" s="2648"/>
      <c r="EE375" s="2648"/>
      <c r="EF375" s="1084" t="e">
        <f>+IF(#REF!&lt;0,IF(#REF!&gt;0,"N/A",(-1)*(#REF!/#REF!-1)),IF(#REF!&lt;0,"N/A",(#REF!/#REF!-1)))</f>
        <v>#REF!</v>
      </c>
      <c r="EG375" s="2648"/>
      <c r="EH375" s="2648"/>
      <c r="EI375" s="2648"/>
      <c r="EJ375" s="2648"/>
      <c r="EK375" s="1084" t="e">
        <f>+IF(#REF!&lt;0,IF(#REF!&gt;0,"N/A",(-1)*(#REF!/#REF!-1)),IF(#REF!&lt;0,"N/A",(#REF!/#REF!-1)))</f>
        <v>#REF!</v>
      </c>
      <c r="EL375" s="2648"/>
      <c r="EM375" s="2648"/>
      <c r="EN375" s="2648"/>
      <c r="EO375" s="2648"/>
      <c r="EP375" s="1084" t="e">
        <f>+IF(#REF!&lt;0,IF(#REF!&gt;0,"N/A",(-1)*(#REF!/#REF!-1)),IF(#REF!&lt;0,"N/A",(#REF!/#REF!-1)))</f>
        <v>#REF!</v>
      </c>
      <c r="EQ375" s="2648"/>
      <c r="ER375" s="2648"/>
      <c r="ES375" s="2648"/>
      <c r="ET375" s="2648"/>
      <c r="EU375" s="1084" t="e">
        <f>+IF(#REF!&lt;0,IF(#REF!&gt;0,"N/A",(-1)*(#REF!/#REF!-1)),IF(#REF!&lt;0,"N/A",(#REF!/#REF!-1)))</f>
        <v>#REF!</v>
      </c>
      <c r="EV375" s="1084" t="e">
        <f>+IF(#REF!&lt;0,IF(#REF!&gt;0,"N/A",(-1)*(#REF!/#REF!-1)),IF(#REF!&lt;0,"N/A",(#REF!/#REF!-1)))</f>
        <v>#REF!</v>
      </c>
      <c r="EW375" s="1084" t="e">
        <f>+IF(#REF!&lt;0,IF(#REF!&gt;0,"N/A",(-1)*(#REF!/#REF!-1)),IF(#REF!&lt;0,"N/A",(#REF!/#REF!-1)))</f>
        <v>#REF!</v>
      </c>
      <c r="EX375" s="1084" t="e">
        <f>+IF(#REF!&lt;0,IF(#REF!&gt;0,"N/A",(-1)*(#REF!/#REF!-1)),IF(#REF!&lt;0,"N/A",(#REF!/#REF!-1)))</f>
        <v>#REF!</v>
      </c>
      <c r="EY375" s="1084" t="e">
        <f>+IF(#REF!&lt;0,IF(#REF!&gt;0,"N/A",(-1)*(#REF!/#REF!-1)),IF(#REF!&lt;0,"N/A",(#REF!/#REF!-1)))</f>
        <v>#REF!</v>
      </c>
      <c r="EZ375" s="767"/>
      <c r="FA375" s="718"/>
      <c r="FB375" s="718"/>
    </row>
    <row r="376" spans="1:158" s="766" customFormat="1" hidden="1">
      <c r="A376" s="1522" t="s">
        <v>446</v>
      </c>
      <c r="CH376" s="1081"/>
      <c r="CI376" s="787"/>
      <c r="CJ376" s="787"/>
      <c r="CK376" s="787"/>
      <c r="CL376" s="787"/>
      <c r="CM376" s="1081" t="e">
        <f>+IF(#REF!&lt;0,IF(#REF!&gt;0,"N/A",(-1)*(#REF!/#REF!-1)),IF(#REF!&lt;0,"N/A",(#REF!/#REF!-1)))</f>
        <v>#REF!</v>
      </c>
      <c r="CN376" s="788" t="str">
        <f>+IFERROR(IF(#REF!&lt;0,IF(#REF!&gt;0,"N/A",(-1)*(#REF!/#REF!-1)),IF(#REF!&lt;0,"N/A",(#REF!/#REF!-1))),"N/A")</f>
        <v>N/A</v>
      </c>
      <c r="CO376" s="788" t="str">
        <f>+IFERROR(IF(#REF!&lt;0,IF(#REF!&gt;0,"N/A",(-1)*(#REF!/#REF!-1)),IF(#REF!&lt;0,"N/A",(#REF!/#REF!-1))),"N/A")</f>
        <v>N/A</v>
      </c>
      <c r="CP376" s="788" t="str">
        <f>+IFERROR(IF(#REF!&lt;0,IF(#REF!&gt;0,"N/A",(-1)*(#REF!/#REF!-1)),IF(#REF!&lt;0,"N/A",(#REF!/#REF!-1))),"N/A")</f>
        <v>N/A</v>
      </c>
      <c r="CQ376" s="787" t="str">
        <f>+IFERROR(IF(#REF!&lt;0,IF(#REF!&gt;0,"N/A",(-1)*(#REF!/#REF!-1)),IF(#REF!&lt;0,"N/A",(#REF!/#REF!-1))),"N/A")</f>
        <v>N/A</v>
      </c>
      <c r="CR376" s="1081" t="e">
        <f>+IF(#REF!&lt;0,IF(#REF!&gt;0,"N/A",(-1)*(#REF!/#REF!-1)),IF(#REF!&lt;0,"N/A",(#REF!/#REF!-1)))</f>
        <v>#REF!</v>
      </c>
      <c r="CS376" s="793" t="e">
        <f>+IF(#REF!&lt;0,IF(#REF!&gt;0,"N/A",(-1)*(#REF!/#REF!-1)),IF(#REF!&lt;0,"N/A",(#REF!/#REF!-1)))</f>
        <v>#REF!</v>
      </c>
      <c r="CT376" s="793" t="e">
        <f>+IF(#REF!&lt;0,IF(#REF!&gt;0,"N/A",(-1)*(#REF!/#REF!-1)),IF(#REF!&lt;0,"N/A",(#REF!/#REF!-1)))</f>
        <v>#REF!</v>
      </c>
      <c r="CU376" s="793" t="e">
        <f>+IF(#REF!&lt;0,IF(#REF!&gt;0,"N/A",(-1)*(#REF!/#REF!-1)),IF(#REF!&lt;0,"N/A",(#REF!/#REF!-1)))</f>
        <v>#REF!</v>
      </c>
      <c r="CV376" s="793" t="e">
        <f>+IF(#REF!&lt;0,IF(#REF!&gt;0,"N/A",(-1)*(#REF!/#REF!-1)),IF(#REF!&lt;0,"N/A",(#REF!/#REF!-1)))</f>
        <v>#REF!</v>
      </c>
      <c r="CW376" s="1084" t="e">
        <f>+IF(#REF!&lt;0,IF(#REF!&gt;0,"N/A",(-1)*(#REF!/#REF!-1)),IF(#REF!&lt;0,"N/A",(#REF!/#REF!-1)))</f>
        <v>#REF!</v>
      </c>
      <c r="CX376" s="793" t="e">
        <f>+IF(#REF!&lt;0,IF(#REF!&gt;0,"N/A",(-1)*(#REF!/#REF!-1)),IF(#REF!&lt;0,"N/A",(#REF!/#REF!-1)))</f>
        <v>#REF!</v>
      </c>
      <c r="CY376" s="793" t="e">
        <f>+IF(#REF!&lt;0,IF(#REF!&gt;0,"N/A",(-1)*(#REF!/#REF!-1)),IF(#REF!&lt;0,"N/A",(#REF!/#REF!-1)))</f>
        <v>#REF!</v>
      </c>
      <c r="CZ376" s="793" t="e">
        <f>+IF(#REF!&lt;0,IF(#REF!&gt;0,"N/A",(-1)*(#REF!/#REF!-1)),IF(#REF!&lt;0,"N/A",(#REF!/#REF!-1)))</f>
        <v>#REF!</v>
      </c>
      <c r="DA376" s="793" t="e">
        <f>+IF(#REF!&lt;0,IF(#REF!&gt;0,"N/A",(-1)*(#REF!/#REF!-1)),IF(#REF!&lt;0,"N/A",(#REF!/#REF!-1)))</f>
        <v>#REF!</v>
      </c>
      <c r="DB376" s="1084" t="e">
        <f>+IF(#REF!&lt;0,IF(#REF!&gt;0,"N/A",(-1)*(#REF!/#REF!-1)),IF(#REF!&lt;0,"N/A",(#REF!/#REF!-1)))</f>
        <v>#REF!</v>
      </c>
      <c r="DC376" s="2648"/>
      <c r="DD376" s="2648"/>
      <c r="DE376" s="2648"/>
      <c r="DF376" s="2648"/>
      <c r="DG376" s="1084" t="e">
        <f>+IF(#REF!&lt;0,IF(#REF!&gt;0,"N/A",(-1)*(#REF!/#REF!-1)),IF(#REF!&lt;0,"N/A",(#REF!/#REF!-1)))</f>
        <v>#REF!</v>
      </c>
      <c r="DH376" s="2648"/>
      <c r="DI376" s="2648"/>
      <c r="DJ376" s="2648"/>
      <c r="DK376" s="2648"/>
      <c r="DL376" s="1084" t="e">
        <f>+IF(#REF!&lt;0,IF(#REF!&gt;0,"N/A",(-1)*(#REF!/#REF!-1)),IF(#REF!&lt;0,"N/A",(#REF!/#REF!-1)))</f>
        <v>#REF!</v>
      </c>
      <c r="DM376" s="2648"/>
      <c r="DN376" s="2648"/>
      <c r="DO376" s="2648"/>
      <c r="DP376" s="2648"/>
      <c r="DQ376" s="1084" t="e">
        <f>+IF(#REF!&lt;0,IF(#REF!&gt;0,"N/A",(-1)*(#REF!/#REF!-1)),IF(#REF!&lt;0,"N/A",(#REF!/#REF!-1)))</f>
        <v>#REF!</v>
      </c>
      <c r="DR376" s="2648"/>
      <c r="DS376" s="2648"/>
      <c r="DT376" s="2648"/>
      <c r="DU376" s="2648"/>
      <c r="DV376" s="1084" t="e">
        <f>+IF(#REF!&lt;0,IF(#REF!&gt;0,"N/A",(-1)*(#REF!/#REF!-1)),IF(#REF!&lt;0,"N/A",(#REF!/#REF!-1)))</f>
        <v>#REF!</v>
      </c>
      <c r="DW376" s="2648"/>
      <c r="DX376" s="2648"/>
      <c r="DY376" s="2648"/>
      <c r="DZ376" s="2648"/>
      <c r="EA376" s="1084" t="e">
        <f>+IF(#REF!&lt;0,IF(#REF!&gt;0,"N/A",(-1)*(#REF!/#REF!-1)),IF(#REF!&lt;0,"N/A",(#REF!/#REF!-1)))</f>
        <v>#REF!</v>
      </c>
      <c r="EB376" s="2648"/>
      <c r="EC376" s="2648"/>
      <c r="ED376" s="2648"/>
      <c r="EE376" s="2648"/>
      <c r="EF376" s="1084" t="e">
        <f>+IF(#REF!&lt;0,IF(#REF!&gt;0,"N/A",(-1)*(#REF!/#REF!-1)),IF(#REF!&lt;0,"N/A",(#REF!/#REF!-1)))</f>
        <v>#REF!</v>
      </c>
      <c r="EG376" s="2648"/>
      <c r="EH376" s="2648"/>
      <c r="EI376" s="2648"/>
      <c r="EJ376" s="2648"/>
      <c r="EK376" s="1084" t="e">
        <f>+IF(#REF!&lt;0,IF(#REF!&gt;0,"N/A",(-1)*(#REF!/#REF!-1)),IF(#REF!&lt;0,"N/A",(#REF!/#REF!-1)))</f>
        <v>#REF!</v>
      </c>
      <c r="EL376" s="2648"/>
      <c r="EM376" s="2648"/>
      <c r="EN376" s="2648"/>
      <c r="EO376" s="2648"/>
      <c r="EP376" s="1084" t="e">
        <f>+IF(#REF!&lt;0,IF(#REF!&gt;0,"N/A",(-1)*(#REF!/#REF!-1)),IF(#REF!&lt;0,"N/A",(#REF!/#REF!-1)))</f>
        <v>#REF!</v>
      </c>
      <c r="EQ376" s="2648"/>
      <c r="ER376" s="2648"/>
      <c r="ES376" s="2648"/>
      <c r="ET376" s="2648"/>
      <c r="EU376" s="1084" t="e">
        <f>+IF(#REF!&lt;0,IF(#REF!&gt;0,"N/A",(-1)*(#REF!/#REF!-1)),IF(#REF!&lt;0,"N/A",(#REF!/#REF!-1)))</f>
        <v>#REF!</v>
      </c>
      <c r="EV376" s="1084" t="e">
        <f>+IF(#REF!&lt;0,IF(#REF!&gt;0,"N/A",(-1)*(#REF!/#REF!-1)),IF(#REF!&lt;0,"N/A",(#REF!/#REF!-1)))</f>
        <v>#REF!</v>
      </c>
      <c r="EW376" s="1084" t="e">
        <f>+IF(#REF!&lt;0,IF(#REF!&gt;0,"N/A",(-1)*(#REF!/#REF!-1)),IF(#REF!&lt;0,"N/A",(#REF!/#REF!-1)))</f>
        <v>#REF!</v>
      </c>
      <c r="EX376" s="1084" t="e">
        <f>+IF(#REF!&lt;0,IF(#REF!&gt;0,"N/A",(-1)*(#REF!/#REF!-1)),IF(#REF!&lt;0,"N/A",(#REF!/#REF!-1)))</f>
        <v>#REF!</v>
      </c>
      <c r="EY376" s="1084" t="e">
        <f>+IF(#REF!&lt;0,IF(#REF!&gt;0,"N/A",(-1)*(#REF!/#REF!-1)),IF(#REF!&lt;0,"N/A",(#REF!/#REF!-1)))</f>
        <v>#REF!</v>
      </c>
      <c r="EZ376" s="767"/>
      <c r="FA376" s="718"/>
      <c r="FB376" s="718"/>
    </row>
    <row r="377" spans="1:158" s="766" customFormat="1" hidden="1">
      <c r="A377" s="1520" t="s">
        <v>562</v>
      </c>
      <c r="B377" s="764"/>
      <c r="C377" s="764"/>
      <c r="D377" s="764"/>
      <c r="E377" s="764"/>
      <c r="F377" s="764"/>
      <c r="G377" s="764"/>
      <c r="H377" s="764"/>
      <c r="I377" s="764"/>
      <c r="J377" s="764"/>
      <c r="K377" s="764"/>
      <c r="L377" s="764"/>
      <c r="M377" s="764"/>
      <c r="N377" s="764"/>
      <c r="O377" s="764"/>
      <c r="P377" s="764"/>
      <c r="Q377" s="764"/>
      <c r="R377" s="764"/>
      <c r="S377" s="764"/>
      <c r="T377" s="764"/>
      <c r="U377" s="764"/>
      <c r="V377" s="764"/>
      <c r="W377" s="764"/>
      <c r="X377" s="764"/>
      <c r="Y377" s="764"/>
      <c r="Z377" s="764"/>
      <c r="AA377" s="764"/>
      <c r="AB377" s="764"/>
      <c r="AC377" s="764"/>
      <c r="AD377" s="764"/>
      <c r="AE377" s="764"/>
      <c r="AF377" s="764"/>
      <c r="AG377" s="764"/>
      <c r="AH377" s="764"/>
      <c r="AI377" s="764"/>
      <c r="AJ377" s="764"/>
      <c r="AK377" s="764"/>
      <c r="AL377" s="764"/>
      <c r="AM377" s="764"/>
      <c r="AN377" s="764"/>
      <c r="AO377" s="764"/>
      <c r="AP377" s="764"/>
      <c r="AQ377" s="764"/>
      <c r="AR377" s="764"/>
      <c r="AS377" s="764"/>
      <c r="AT377" s="764"/>
      <c r="AU377" s="764"/>
      <c r="AV377" s="764"/>
      <c r="AW377" s="764"/>
      <c r="AX377" s="764"/>
      <c r="AY377" s="764"/>
      <c r="AZ377" s="764"/>
      <c r="BA377" s="764"/>
      <c r="BB377" s="764"/>
      <c r="BC377" s="764"/>
      <c r="BD377" s="764"/>
      <c r="BE377" s="764"/>
      <c r="BF377" s="764"/>
      <c r="BG377" s="764"/>
      <c r="BH377" s="764"/>
      <c r="BI377" s="764"/>
      <c r="BJ377" s="764"/>
      <c r="BK377" s="764"/>
      <c r="BL377" s="764"/>
      <c r="BM377" s="764"/>
      <c r="BN377" s="764"/>
      <c r="BO377" s="764"/>
      <c r="BP377" s="764"/>
      <c r="BQ377" s="764"/>
      <c r="BR377" s="764"/>
      <c r="BS377" s="764"/>
      <c r="BT377" s="764"/>
      <c r="BU377" s="764"/>
      <c r="BV377" s="764"/>
      <c r="BW377" s="764"/>
      <c r="BX377" s="764"/>
      <c r="BY377" s="764"/>
      <c r="BZ377" s="764"/>
      <c r="CA377" s="764"/>
      <c r="CB377" s="764"/>
      <c r="CC377" s="764"/>
      <c r="CD377" s="764"/>
      <c r="CE377" s="764"/>
      <c r="CF377" s="764"/>
      <c r="CG377" s="764"/>
      <c r="CH377" s="1080"/>
      <c r="CI377" s="789"/>
      <c r="CJ377" s="789"/>
      <c r="CK377" s="789"/>
      <c r="CL377" s="789"/>
      <c r="CM377" s="1080">
        <f t="shared" ref="CM377:DB377" si="632">+IF(CM366&lt;0,IF(CH366&gt;0,"N/A",(-1)*(CM366/CH366-1)),IF(CH366&lt;0,"N/A",(CM366/CH366-1)))</f>
        <v>0.13008697519596257</v>
      </c>
      <c r="CN377" s="789">
        <f t="shared" si="632"/>
        <v>0.14049253128784822</v>
      </c>
      <c r="CO377" s="789">
        <f t="shared" si="632"/>
        <v>0.15940054495912803</v>
      </c>
      <c r="CP377" s="789">
        <f t="shared" si="632"/>
        <v>0.14616389770393878</v>
      </c>
      <c r="CQ377" s="789">
        <f t="shared" si="632"/>
        <v>0.21714285714285708</v>
      </c>
      <c r="CR377" s="1080">
        <f t="shared" si="632"/>
        <v>0.16694379780512136</v>
      </c>
      <c r="CS377" s="789">
        <f t="shared" si="632"/>
        <v>0.20991150442477879</v>
      </c>
      <c r="CT377" s="789">
        <f t="shared" si="632"/>
        <v>0.25415477589390623</v>
      </c>
      <c r="CU377" s="789">
        <f t="shared" si="632"/>
        <v>0.24218241042345268</v>
      </c>
      <c r="CV377" s="789">
        <f t="shared" si="632"/>
        <v>0.24486502347417849</v>
      </c>
      <c r="CW377" s="1080">
        <f t="shared" si="632"/>
        <v>0.23840736066441393</v>
      </c>
      <c r="CX377" s="789">
        <f t="shared" si="632"/>
        <v>0.25468110005851385</v>
      </c>
      <c r="CY377" s="789">
        <f t="shared" si="632"/>
        <v>0.18739124615178682</v>
      </c>
      <c r="CZ377" s="789">
        <f t="shared" si="632"/>
        <v>0.25894847253179498</v>
      </c>
      <c r="DA377" s="789">
        <f t="shared" si="632"/>
        <v>0.12091926929876262</v>
      </c>
      <c r="DB377" s="1080">
        <f t="shared" si="632"/>
        <v>0.20191327788553215</v>
      </c>
      <c r="DC377" s="2647"/>
      <c r="DD377" s="2647"/>
      <c r="DE377" s="2647"/>
      <c r="DF377" s="2647"/>
      <c r="DG377" s="1080">
        <f>+IF(DG366&lt;0,IF(DB366&gt;0,"N/A",(-1)*(DG366/DB366-1)),IF(DB366&lt;0,"N/A",(DG366/DB366-1)))</f>
        <v>0.1473427969694483</v>
      </c>
      <c r="DH377" s="2647"/>
      <c r="DI377" s="2647"/>
      <c r="DJ377" s="2647"/>
      <c r="DK377" s="2647"/>
      <c r="DL377" s="1080">
        <f>+IF(DL366&lt;0,IF(DG366&gt;0,"N/A",(-1)*(DL366/DG366-1)),IF(DG366&lt;0,"N/A",(DL366/DG366-1)))</f>
        <v>0.11380757127872609</v>
      </c>
      <c r="DM377" s="2647"/>
      <c r="DN377" s="2647"/>
      <c r="DO377" s="2647"/>
      <c r="DP377" s="2647"/>
      <c r="DQ377" s="1080">
        <f>+IF(DQ366&lt;0,IF(DL366&gt;0,"N/A",(-1)*(DQ366/DL366-1)),IF(DL366&lt;0,"N/A",(DQ366/DL366-1)))</f>
        <v>0.1603741278198707</v>
      </c>
      <c r="DR377" s="2647"/>
      <c r="DS377" s="2647"/>
      <c r="DT377" s="2647"/>
      <c r="DU377" s="2647"/>
      <c r="DV377" s="1080">
        <f>+IF(DV366&lt;0,IF(DQ366&gt;0,"N/A",(-1)*(DV366/DQ366-1)),IF(DQ366&lt;0,"N/A",(DV366/DQ366-1)))</f>
        <v>0.7354975560269299</v>
      </c>
      <c r="DW377" s="2647"/>
      <c r="DX377" s="2647"/>
      <c r="DY377" s="2647"/>
      <c r="DZ377" s="2647"/>
      <c r="EA377" s="1080">
        <f>+IF(EA366&lt;0,IF(DV366&gt;0,"N/A",(-1)*(EA366/DV366-1)),IF(DV366&lt;0,"N/A",(EA366/DV366-1)))</f>
        <v>1.2116059092357467E-3</v>
      </c>
      <c r="EB377" s="2647"/>
      <c r="EC377" s="2647"/>
      <c r="ED377" s="2647"/>
      <c r="EE377" s="2647"/>
      <c r="EF377" s="1080">
        <f>+IF(EF366&lt;0,IF(EA366&gt;0,"N/A",(-1)*(EF366/EA366-1)),IF(EA366&lt;0,"N/A",(EF366/EA366-1)))</f>
        <v>0.133210903995584</v>
      </c>
      <c r="EG377" s="2647"/>
      <c r="EH377" s="2647"/>
      <c r="EI377" s="2647"/>
      <c r="EJ377" s="2647"/>
      <c r="EK377" s="1080">
        <f>+IF(EK366&lt;0,IF(EF366&gt;0,"N/A",(-1)*(EK366/EF366-1)),IF(EF366&lt;0,"N/A",(EK366/EF366-1)))</f>
        <v>0.26624076138375496</v>
      </c>
      <c r="EL377" s="2647"/>
      <c r="EM377" s="2647"/>
      <c r="EN377" s="2647"/>
      <c r="EO377" s="2647"/>
      <c r="EP377" s="1080">
        <f>+IF(EP366&lt;0,IF(EK366&gt;0,"N/A",(-1)*(EP366/EK366-1)),IF(EK366&lt;0,"N/A",(EP366/EK366-1)))</f>
        <v>0.17115245388199796</v>
      </c>
      <c r="EQ377" s="2647"/>
      <c r="ER377" s="2647"/>
      <c r="ES377" s="2647"/>
      <c r="ET377" s="2647"/>
      <c r="EU377" s="1080">
        <f>+IF(EU366&lt;0,IF(EP366&gt;0,"N/A",(-1)*(EU366/EP366-1)),IF(EP366&lt;0,"N/A",(EU366/EP366-1)))</f>
        <v>0.18900978082136888</v>
      </c>
      <c r="EV377" s="1080">
        <f>+IF(EV366&lt;0,IF(EU366&gt;0,"N/A",(-1)*(EV366/EU366-1)),IF(EU366&lt;0,"N/A",(EV366/EU366-1)))</f>
        <v>0.113223113312513</v>
      </c>
      <c r="EW377" s="1080">
        <f>+IF(EW366&lt;0,IF(EV366&gt;0,"N/A",(-1)*(EW366/EV366-1)),IF(EV366&lt;0,"N/A",(EW366/EV366-1)))</f>
        <v>0.12948257304105182</v>
      </c>
      <c r="EX377" s="1080">
        <f>+IF(EX366&lt;0,IF(EW366&gt;0,"N/A",(-1)*(EX366/EW366-1)),IF(EW366&lt;0,"N/A",(EX366/EW366-1)))</f>
        <v>0.12361499286822797</v>
      </c>
      <c r="EY377" s="1080">
        <f>+IF(EY366&lt;0,IF(EX366&gt;0,"N/A",(-1)*(EY366/EX366-1)),IF(EX366&lt;0,"N/A",(EY366/EX366-1)))</f>
        <v>0.12412458766482648</v>
      </c>
      <c r="EZ377" s="767"/>
      <c r="FA377" s="718"/>
      <c r="FB377" s="718"/>
    </row>
    <row r="378" spans="1:158" s="766" customFormat="1" hidden="1">
      <c r="A378" s="1524" t="s">
        <v>468</v>
      </c>
      <c r="CH378" s="1081"/>
      <c r="CI378" s="787"/>
      <c r="CJ378" s="787"/>
      <c r="CK378" s="787"/>
      <c r="CL378" s="787"/>
      <c r="CM378" s="1081">
        <f t="shared" ref="CM378:DB379" si="633">+IF(CM315&lt;0,IF(CH315&gt;0,"N/A",(-1)*(CM315/CH315-1)),IF(CH315&lt;0,"N/A",(CM315/CH315-1)))</f>
        <v>0.33514550687559952</v>
      </c>
      <c r="CN378" s="787">
        <f t="shared" si="633"/>
        <v>0.43384982121573312</v>
      </c>
      <c r="CO378" s="787">
        <f t="shared" si="633"/>
        <v>0.28636363636363638</v>
      </c>
      <c r="CP378" s="787">
        <f t="shared" si="633"/>
        <v>0.1410358565737051</v>
      </c>
      <c r="CQ378" s="787">
        <f t="shared" si="633"/>
        <v>0.19567027477102417</v>
      </c>
      <c r="CR378" s="1081">
        <f t="shared" si="633"/>
        <v>0.24622754491017962</v>
      </c>
      <c r="CS378" s="787">
        <f t="shared" si="633"/>
        <v>0.24189526184538646</v>
      </c>
      <c r="CT378" s="787">
        <f t="shared" si="633"/>
        <v>0.32773851590106018</v>
      </c>
      <c r="CU378" s="787">
        <f t="shared" si="633"/>
        <v>0.2988826815642458</v>
      </c>
      <c r="CV378" s="787">
        <f t="shared" si="633"/>
        <v>0.28551532033426175</v>
      </c>
      <c r="CW378" s="1081">
        <f t="shared" si="633"/>
        <v>0.2882952142994426</v>
      </c>
      <c r="CX378" s="787">
        <f t="shared" si="633"/>
        <v>0.34471218206157972</v>
      </c>
      <c r="CY378" s="787">
        <f t="shared" si="633"/>
        <v>0.33266799733865593</v>
      </c>
      <c r="CZ378" s="787">
        <f t="shared" si="633"/>
        <v>-2.1505376344086002E-2</v>
      </c>
      <c r="DA378" s="787">
        <f t="shared" si="633"/>
        <v>5.4171180931739116E-4</v>
      </c>
      <c r="DB378" s="1081">
        <f t="shared" si="633"/>
        <v>0.14560644487542884</v>
      </c>
      <c r="DC378" s="2646"/>
      <c r="DD378" s="2646"/>
      <c r="DE378" s="2646"/>
      <c r="DF378" s="2646"/>
      <c r="DG378" s="1081">
        <f>+IF(DG315&lt;0,IF(DB315&gt;0,"N/A",(-1)*(DG315/DB315-1)),IF(DB315&lt;0,"N/A",(DG315/DB315-1)))</f>
        <v>0.21799713504362539</v>
      </c>
      <c r="DH378" s="2646"/>
      <c r="DI378" s="2646"/>
      <c r="DJ378" s="2646"/>
      <c r="DK378" s="2646"/>
      <c r="DL378" s="1081">
        <f>+IF(DL315&lt;0,IF(DG315&gt;0,"N/A",(-1)*(DL315/DG315-1)),IF(DG315&lt;0,"N/A",(DL315/DG315-1)))</f>
        <v>0.15406821340746291</v>
      </c>
      <c r="DM378" s="2646"/>
      <c r="DN378" s="2646"/>
      <c r="DO378" s="2646"/>
      <c r="DP378" s="2646"/>
      <c r="DQ378" s="1081">
        <f>+IF(DQ315&lt;0,IF(DL315&gt;0,"N/A",(-1)*(DQ315/DL315-1)),IF(DL315&lt;0,"N/A",(DQ315/DL315-1)))</f>
        <v>0.20353900314989803</v>
      </c>
      <c r="DR378" s="2646"/>
      <c r="DS378" s="2646"/>
      <c r="DT378" s="2646"/>
      <c r="DU378" s="2646"/>
      <c r="DV378" s="1081">
        <f>+IF(DV315&lt;0,IF(DQ315&gt;0,"N/A",(-1)*(DV315/DQ315-1)),IF(DQ315&lt;0,"N/A",(DV315/DQ315-1)))</f>
        <v>-1</v>
      </c>
      <c r="DW378" s="2646"/>
      <c r="DX378" s="2646"/>
      <c r="DY378" s="2646"/>
      <c r="DZ378" s="2646"/>
      <c r="EA378" s="1081" t="e">
        <f>+IF(EA315&lt;0,IF(DV315&gt;0,"N/A",(-1)*(EA315/DV315-1)),IF(DV315&lt;0,"N/A",(EA315/DV315-1)))</f>
        <v>#DIV/0!</v>
      </c>
      <c r="EB378" s="2646"/>
      <c r="EC378" s="2646"/>
      <c r="ED378" s="2646"/>
      <c r="EE378" s="2646"/>
      <c r="EF378" s="1081" t="e">
        <f>+IF(EF315&lt;0,IF(EA315&gt;0,"N/A",(-1)*(EF315/EA315-1)),IF(EA315&lt;0,"N/A",(EF315/EA315-1)))</f>
        <v>#DIV/0!</v>
      </c>
      <c r="EG378" s="2646"/>
      <c r="EH378" s="2646"/>
      <c r="EI378" s="2646"/>
      <c r="EJ378" s="2646"/>
      <c r="EK378" s="1081" t="e">
        <f>+IF(EK315&lt;0,IF(EF315&gt;0,"N/A",(-1)*(EK315/EF315-1)),IF(EF315&lt;0,"N/A",(EK315/EF315-1)))</f>
        <v>#DIV/0!</v>
      </c>
      <c r="EL378" s="2646"/>
      <c r="EM378" s="2646"/>
      <c r="EN378" s="2646"/>
      <c r="EO378" s="2646"/>
      <c r="EP378" s="1081" t="e">
        <f>+IF(EP315&lt;0,IF(EK315&gt;0,"N/A",(-1)*(EP315/EK315-1)),IF(EK315&lt;0,"N/A",(EP315/EK315-1)))</f>
        <v>#DIV/0!</v>
      </c>
      <c r="EQ378" s="2646"/>
      <c r="ER378" s="2646"/>
      <c r="ES378" s="2646"/>
      <c r="ET378" s="2646"/>
      <c r="EU378" s="1081" t="e">
        <f>+IF(EU315&lt;0,IF(EP315&gt;0,"N/A",(-1)*(EU315/EP315-1)),IF(EP315&lt;0,"N/A",(EU315/EP315-1)))</f>
        <v>#DIV/0!</v>
      </c>
      <c r="EV378" s="1081" t="e">
        <f t="shared" ref="EV378:EY379" si="634">+IF(EV315&lt;0,IF(EU315&gt;0,"N/A",(-1)*(EV315/EU315-1)),IF(EU315&lt;0,"N/A",(EV315/EU315-1)))</f>
        <v>#DIV/0!</v>
      </c>
      <c r="EW378" s="1081" t="e">
        <f t="shared" si="634"/>
        <v>#DIV/0!</v>
      </c>
      <c r="EX378" s="1081" t="e">
        <f t="shared" si="634"/>
        <v>#DIV/0!</v>
      </c>
      <c r="EY378" s="1081" t="e">
        <f t="shared" si="634"/>
        <v>#DIV/0!</v>
      </c>
      <c r="EZ378" s="767"/>
      <c r="FA378" s="718"/>
      <c r="FB378" s="718"/>
    </row>
    <row r="379" spans="1:158" s="766" customFormat="1" hidden="1">
      <c r="A379" s="1520" t="s">
        <v>563</v>
      </c>
      <c r="B379" s="764"/>
      <c r="C379" s="764"/>
      <c r="D379" s="764"/>
      <c r="E379" s="764"/>
      <c r="F379" s="764"/>
      <c r="G379" s="764"/>
      <c r="H379" s="764"/>
      <c r="I379" s="764"/>
      <c r="J379" s="764"/>
      <c r="K379" s="764"/>
      <c r="L379" s="764"/>
      <c r="M379" s="764"/>
      <c r="N379" s="764"/>
      <c r="O379" s="764"/>
      <c r="P379" s="764"/>
      <c r="Q379" s="764"/>
      <c r="R379" s="764"/>
      <c r="S379" s="764"/>
      <c r="T379" s="764"/>
      <c r="U379" s="764"/>
      <c r="V379" s="764"/>
      <c r="W379" s="764"/>
      <c r="X379" s="764"/>
      <c r="Y379" s="764"/>
      <c r="Z379" s="764"/>
      <c r="AA379" s="764"/>
      <c r="AB379" s="764"/>
      <c r="AC379" s="764"/>
      <c r="AD379" s="764"/>
      <c r="AE379" s="764"/>
      <c r="AF379" s="764"/>
      <c r="AG379" s="764"/>
      <c r="AH379" s="764"/>
      <c r="AI379" s="764"/>
      <c r="AJ379" s="764"/>
      <c r="AK379" s="764"/>
      <c r="AL379" s="764"/>
      <c r="AM379" s="764"/>
      <c r="AN379" s="764"/>
      <c r="AO379" s="764"/>
      <c r="AP379" s="764"/>
      <c r="AQ379" s="764"/>
      <c r="AR379" s="764"/>
      <c r="AS379" s="764"/>
      <c r="AT379" s="764"/>
      <c r="AU379" s="764"/>
      <c r="AV379" s="764"/>
      <c r="AW379" s="764"/>
      <c r="AX379" s="764"/>
      <c r="AY379" s="764"/>
      <c r="AZ379" s="764"/>
      <c r="BA379" s="764"/>
      <c r="BB379" s="764"/>
      <c r="BC379" s="764"/>
      <c r="BD379" s="764"/>
      <c r="BE379" s="764"/>
      <c r="BF379" s="764"/>
      <c r="BG379" s="764"/>
      <c r="BH379" s="764"/>
      <c r="BI379" s="764"/>
      <c r="BJ379" s="764"/>
      <c r="BK379" s="764"/>
      <c r="BL379" s="764"/>
      <c r="BM379" s="764"/>
      <c r="BN379" s="764"/>
      <c r="BO379" s="764"/>
      <c r="BP379" s="764"/>
      <c r="BQ379" s="764"/>
      <c r="BR379" s="764"/>
      <c r="BS379" s="764"/>
      <c r="BT379" s="764"/>
      <c r="BU379" s="764"/>
      <c r="BV379" s="764"/>
      <c r="BW379" s="764"/>
      <c r="BX379" s="764"/>
      <c r="BY379" s="764"/>
      <c r="BZ379" s="764"/>
      <c r="CA379" s="764"/>
      <c r="CB379" s="764"/>
      <c r="CC379" s="764"/>
      <c r="CD379" s="764"/>
      <c r="CE379" s="764"/>
      <c r="CF379" s="764"/>
      <c r="CG379" s="764"/>
      <c r="CH379" s="1080"/>
      <c r="CI379" s="789"/>
      <c r="CJ379" s="789"/>
      <c r="CK379" s="789"/>
      <c r="CL379" s="789"/>
      <c r="CM379" s="1080">
        <f t="shared" si="633"/>
        <v>7.0960202557943219E-2</v>
      </c>
      <c r="CN379" s="789">
        <f t="shared" si="633"/>
        <v>8.0680437424058393E-2</v>
      </c>
      <c r="CO379" s="789">
        <f t="shared" si="633"/>
        <v>0.13316110850164398</v>
      </c>
      <c r="CP379" s="789">
        <f t="shared" si="633"/>
        <v>0.26423200859291085</v>
      </c>
      <c r="CQ379" s="789">
        <f t="shared" si="633"/>
        <v>0.22300522846101378</v>
      </c>
      <c r="CR379" s="1080">
        <f t="shared" si="633"/>
        <v>0.17361784675072744</v>
      </c>
      <c r="CS379" s="789">
        <f t="shared" si="633"/>
        <v>0.20125927591634807</v>
      </c>
      <c r="CT379" s="789">
        <f t="shared" si="633"/>
        <v>0.23689119170984463</v>
      </c>
      <c r="CU379" s="789">
        <f t="shared" si="633"/>
        <v>0.22493627867459653</v>
      </c>
      <c r="CV379" s="789">
        <f t="shared" si="633"/>
        <v>0.23401486988847586</v>
      </c>
      <c r="CW379" s="1080">
        <f t="shared" si="633"/>
        <v>0.22500000000000009</v>
      </c>
      <c r="CX379" s="789">
        <f t="shared" si="633"/>
        <v>0.229502059153875</v>
      </c>
      <c r="CY379" s="789">
        <f t="shared" si="633"/>
        <v>-0.30764075067024133</v>
      </c>
      <c r="CZ379" s="789">
        <f t="shared" si="633"/>
        <v>0.34940176868389106</v>
      </c>
      <c r="DA379" s="789">
        <f t="shared" si="633"/>
        <v>0.15439072149420086</v>
      </c>
      <c r="DB379" s="1080">
        <f t="shared" si="633"/>
        <v>0.10246247259234265</v>
      </c>
      <c r="DC379" s="2647"/>
      <c r="DD379" s="2647"/>
      <c r="DE379" s="2647"/>
      <c r="DF379" s="2647"/>
      <c r="DG379" s="1080">
        <f>+IF(DG316&lt;0,IF(DB316&gt;0,"N/A",(-1)*(DG316/DB316-1)),IF(DB316&lt;0,"N/A",(DG316/DB316-1)))</f>
        <v>5.2704046508070146E-2</v>
      </c>
      <c r="DH379" s="2647"/>
      <c r="DI379" s="2647"/>
      <c r="DJ379" s="2647"/>
      <c r="DK379" s="2647"/>
      <c r="DL379" s="1080">
        <f>+IF(DL316&lt;0,IF(DG316&gt;0,"N/A",(-1)*(DL316/DG316-1)),IF(DG316&lt;0,"N/A",(DL316/DG316-1)))</f>
        <v>0.24367824444121489</v>
      </c>
      <c r="DM379" s="2647"/>
      <c r="DN379" s="2647"/>
      <c r="DO379" s="2647"/>
      <c r="DP379" s="2647"/>
      <c r="DQ379" s="1080">
        <f>+IF(DQ316&lt;0,IF(DL316&gt;0,"N/A",(-1)*(DQ316/DL316-1)),IF(DL316&lt;0,"N/A",(DQ316/DL316-1)))</f>
        <v>0.20428851041453644</v>
      </c>
      <c r="DR379" s="2647"/>
      <c r="DS379" s="2647"/>
      <c r="DT379" s="2647"/>
      <c r="DU379" s="2647"/>
      <c r="DV379" s="1080">
        <f>+IF(DV316&lt;0,IF(DQ316&gt;0,"N/A",(-1)*(DV316/DQ316-1)),IF(DQ316&lt;0,"N/A",(DV316/DQ316-1)))</f>
        <v>-1</v>
      </c>
      <c r="DW379" s="2647"/>
      <c r="DX379" s="2647"/>
      <c r="DY379" s="2647"/>
      <c r="DZ379" s="2647"/>
      <c r="EA379" s="1080" t="e">
        <f>+IF(EA316&lt;0,IF(DV316&gt;0,"N/A",(-1)*(EA316/DV316-1)),IF(DV316&lt;0,"N/A",(EA316/DV316-1)))</f>
        <v>#DIV/0!</v>
      </c>
      <c r="EB379" s="2647"/>
      <c r="EC379" s="2647"/>
      <c r="ED379" s="2647"/>
      <c r="EE379" s="2647"/>
      <c r="EF379" s="1080" t="e">
        <f>+IF(EF316&lt;0,IF(EA316&gt;0,"N/A",(-1)*(EF316/EA316-1)),IF(EA316&lt;0,"N/A",(EF316/EA316-1)))</f>
        <v>#DIV/0!</v>
      </c>
      <c r="EG379" s="2647"/>
      <c r="EH379" s="2647"/>
      <c r="EI379" s="2647"/>
      <c r="EJ379" s="2647"/>
      <c r="EK379" s="1080" t="e">
        <f>+IF(EK316&lt;0,IF(EF316&gt;0,"N/A",(-1)*(EK316/EF316-1)),IF(EF316&lt;0,"N/A",(EK316/EF316-1)))</f>
        <v>#DIV/0!</v>
      </c>
      <c r="EL379" s="2647"/>
      <c r="EM379" s="2647"/>
      <c r="EN379" s="2647"/>
      <c r="EO379" s="2647"/>
      <c r="EP379" s="1080" t="e">
        <f>+IF(EP316&lt;0,IF(EK316&gt;0,"N/A",(-1)*(EP316/EK316-1)),IF(EK316&lt;0,"N/A",(EP316/EK316-1)))</f>
        <v>#DIV/0!</v>
      </c>
      <c r="EQ379" s="2647"/>
      <c r="ER379" s="2647"/>
      <c r="ES379" s="2647"/>
      <c r="ET379" s="2647"/>
      <c r="EU379" s="1080" t="e">
        <f>+IF(EU316&lt;0,IF(EP316&gt;0,"N/A",(-1)*(EU316/EP316-1)),IF(EP316&lt;0,"N/A",(EU316/EP316-1)))</f>
        <v>#DIV/0!</v>
      </c>
      <c r="EV379" s="1080" t="e">
        <f t="shared" si="634"/>
        <v>#DIV/0!</v>
      </c>
      <c r="EW379" s="1080" t="e">
        <f t="shared" si="634"/>
        <v>#DIV/0!</v>
      </c>
      <c r="EX379" s="1080" t="e">
        <f t="shared" si="634"/>
        <v>#DIV/0!</v>
      </c>
      <c r="EY379" s="1080" t="e">
        <f t="shared" si="634"/>
        <v>#DIV/0!</v>
      </c>
      <c r="EZ379" s="767"/>
      <c r="FA379" s="718"/>
      <c r="FB379" s="718"/>
    </row>
    <row r="380" spans="1:158" s="766" customFormat="1" hidden="1">
      <c r="A380" s="1520" t="s">
        <v>469</v>
      </c>
      <c r="B380" s="765"/>
      <c r="C380" s="765"/>
      <c r="D380" s="765"/>
      <c r="E380" s="765"/>
      <c r="F380" s="765"/>
      <c r="G380" s="765"/>
      <c r="H380" s="765"/>
      <c r="I380" s="765"/>
      <c r="J380" s="765"/>
      <c r="K380" s="765"/>
      <c r="L380" s="765"/>
      <c r="M380" s="765"/>
      <c r="N380" s="765"/>
      <c r="O380" s="765"/>
      <c r="P380" s="765"/>
      <c r="Q380" s="765"/>
      <c r="R380" s="765"/>
      <c r="S380" s="765"/>
      <c r="T380" s="765"/>
      <c r="U380" s="765"/>
      <c r="V380" s="765"/>
      <c r="W380" s="765"/>
      <c r="X380" s="765"/>
      <c r="Y380" s="765"/>
      <c r="Z380" s="765"/>
      <c r="AA380" s="765"/>
      <c r="AB380" s="765"/>
      <c r="AC380" s="765"/>
      <c r="AD380" s="765"/>
      <c r="AE380" s="765"/>
      <c r="AF380" s="765"/>
      <c r="AG380" s="765"/>
      <c r="AH380" s="765"/>
      <c r="AI380" s="765"/>
      <c r="AJ380" s="765"/>
      <c r="AK380" s="765"/>
      <c r="AL380" s="765"/>
      <c r="AM380" s="765"/>
      <c r="AN380" s="765"/>
      <c r="AO380" s="765"/>
      <c r="AP380" s="765"/>
      <c r="AQ380" s="765"/>
      <c r="AR380" s="765"/>
      <c r="AS380" s="765"/>
      <c r="AT380" s="765"/>
      <c r="AU380" s="765"/>
      <c r="AV380" s="765"/>
      <c r="AW380" s="765"/>
      <c r="AX380" s="765"/>
      <c r="AY380" s="765"/>
      <c r="AZ380" s="765"/>
      <c r="BA380" s="765"/>
      <c r="BB380" s="765"/>
      <c r="BC380" s="765"/>
      <c r="BD380" s="765"/>
      <c r="BE380" s="765"/>
      <c r="BF380" s="765"/>
      <c r="BG380" s="765"/>
      <c r="BH380" s="765"/>
      <c r="BI380" s="765"/>
      <c r="BJ380" s="765"/>
      <c r="BK380" s="765"/>
      <c r="BL380" s="765"/>
      <c r="BM380" s="765"/>
      <c r="BN380" s="765"/>
      <c r="BO380" s="765"/>
      <c r="BP380" s="765"/>
      <c r="BQ380" s="765"/>
      <c r="BR380" s="765"/>
      <c r="BS380" s="765"/>
      <c r="BT380" s="765"/>
      <c r="BU380" s="765"/>
      <c r="BV380" s="765"/>
      <c r="BW380" s="765"/>
      <c r="BX380" s="765"/>
      <c r="BY380" s="765"/>
      <c r="BZ380" s="765"/>
      <c r="CA380" s="765"/>
      <c r="CB380" s="765"/>
      <c r="CC380" s="765"/>
      <c r="CD380" s="765"/>
      <c r="CE380" s="765"/>
      <c r="CF380" s="765"/>
      <c r="CG380" s="765"/>
      <c r="CH380" s="1078"/>
      <c r="CI380" s="785"/>
      <c r="CJ380" s="785"/>
      <c r="CK380" s="785"/>
      <c r="CL380" s="785"/>
      <c r="CM380" s="1078">
        <f t="shared" ref="CM380:DB380" si="635">+IF(CM325&lt;0,IF(CH325&gt;0,"N/A",(-1)*(CM325/CH325-1)),IF(CH325&lt;0,"N/A",(CM325/CH325-1)))</f>
        <v>0.48939929328621901</v>
      </c>
      <c r="CN380" s="785">
        <f t="shared" si="635"/>
        <v>0.24818763326226012</v>
      </c>
      <c r="CO380" s="785">
        <f t="shared" si="635"/>
        <v>-4.9508692365835216E-2</v>
      </c>
      <c r="CP380" s="785">
        <f t="shared" si="635"/>
        <v>-1.4067025237898267E-2</v>
      </c>
      <c r="CQ380" s="785">
        <f t="shared" si="635"/>
        <v>-0.4080540692762602</v>
      </c>
      <c r="CR380" s="1078">
        <f t="shared" si="635"/>
        <v>-9.4169176019709866E-2</v>
      </c>
      <c r="CS380" s="785">
        <f t="shared" si="635"/>
        <v>-0.16501537410317735</v>
      </c>
      <c r="CT380" s="785">
        <f t="shared" si="635"/>
        <v>-0.1506958250497018</v>
      </c>
      <c r="CU380" s="785">
        <f t="shared" si="635"/>
        <v>7.175828787242966E-2</v>
      </c>
      <c r="CV380" s="785">
        <f t="shared" si="635"/>
        <v>0.4643196955280684</v>
      </c>
      <c r="CW380" s="1078">
        <f t="shared" si="635"/>
        <v>2.870957993351464E-2</v>
      </c>
      <c r="CX380" s="785">
        <f t="shared" si="635"/>
        <v>2.6186579378068675E-2</v>
      </c>
      <c r="CY380" s="785">
        <f t="shared" si="635"/>
        <v>0.32537453183520593</v>
      </c>
      <c r="CZ380" s="785">
        <f t="shared" si="635"/>
        <v>0.38527799530148776</v>
      </c>
      <c r="DA380" s="785">
        <f t="shared" si="635"/>
        <v>0.39928525016244309</v>
      </c>
      <c r="DB380" s="1078">
        <f t="shared" si="635"/>
        <v>0.29103016059537801</v>
      </c>
      <c r="DC380" s="2644"/>
      <c r="DD380" s="2644"/>
      <c r="DE380" s="2644"/>
      <c r="DF380" s="2644"/>
      <c r="DG380" s="1078">
        <f>+IF(DG325&lt;0,IF(DB325&gt;0,"N/A",(-1)*(DG325/DB325-1)),IF(DB325&lt;0,"N/A",(DG325/DB325-1)))</f>
        <v>0.90678094660194164</v>
      </c>
      <c r="DH380" s="2644"/>
      <c r="DI380" s="2644"/>
      <c r="DJ380" s="2644"/>
      <c r="DK380" s="2644"/>
      <c r="DL380" s="1078">
        <f>+IF(DL325&lt;0,IF(DG325&gt;0,"N/A",(-1)*(DL325/DG325-1)),IF(DG325&lt;0,"N/A",(DL325/DG325-1)))</f>
        <v>-6.3288118063566601E-2</v>
      </c>
      <c r="DM380" s="2644"/>
      <c r="DN380" s="2644"/>
      <c r="DO380" s="2644"/>
      <c r="DP380" s="2644"/>
      <c r="DQ380" s="1078">
        <f>+IF(DQ325&lt;0,IF(DL325&gt;0,"N/A",(-1)*(DQ325/DL325-1)),IF(DL325&lt;0,"N/A",(DQ325/DL325-1)))</f>
        <v>-5.3804994054696742E-2</v>
      </c>
      <c r="DR380" s="2644"/>
      <c r="DS380" s="2644"/>
      <c r="DT380" s="2644"/>
      <c r="DU380" s="2644"/>
      <c r="DV380" s="1078">
        <f>+IF(DV325&lt;0,IF(DQ325&gt;0,"N/A",(-1)*(DV325/DQ325-1)),IF(DQ325&lt;0,"N/A",(DV325/DQ325-1)))</f>
        <v>-1</v>
      </c>
      <c r="DW380" s="2644"/>
      <c r="DX380" s="2644"/>
      <c r="DY380" s="2644"/>
      <c r="DZ380" s="2644"/>
      <c r="EA380" s="1078" t="e">
        <f>+IF(EA325&lt;0,IF(DV325&gt;0,"N/A",(-1)*(EA325/DV325-1)),IF(DV325&lt;0,"N/A",(EA325/DV325-1)))</f>
        <v>#DIV/0!</v>
      </c>
      <c r="EB380" s="2644"/>
      <c r="EC380" s="2644"/>
      <c r="ED380" s="2644"/>
      <c r="EE380" s="2644"/>
      <c r="EF380" s="1078" t="e">
        <f>+IF(EF325&lt;0,IF(EA325&gt;0,"N/A",(-1)*(EF325/EA325-1)),IF(EA325&lt;0,"N/A",(EF325/EA325-1)))</f>
        <v>#DIV/0!</v>
      </c>
      <c r="EG380" s="2644"/>
      <c r="EH380" s="2644"/>
      <c r="EI380" s="2644"/>
      <c r="EJ380" s="2644"/>
      <c r="EK380" s="1078" t="e">
        <f>+IF(EK325&lt;0,IF(EF325&gt;0,"N/A",(-1)*(EK325/EF325-1)),IF(EF325&lt;0,"N/A",(EK325/EF325-1)))</f>
        <v>#DIV/0!</v>
      </c>
      <c r="EL380" s="2644"/>
      <c r="EM380" s="2644"/>
      <c r="EN380" s="2644"/>
      <c r="EO380" s="2644"/>
      <c r="EP380" s="1078" t="e">
        <f>+IF(EP325&lt;0,IF(EK325&gt;0,"N/A",(-1)*(EP325/EK325-1)),IF(EK325&lt;0,"N/A",(EP325/EK325-1)))</f>
        <v>#DIV/0!</v>
      </c>
      <c r="EQ380" s="2644"/>
      <c r="ER380" s="2644"/>
      <c r="ES380" s="2644"/>
      <c r="ET380" s="2644"/>
      <c r="EU380" s="1078" t="e">
        <f>+IF(EU325&lt;0,IF(EP325&gt;0,"N/A",(-1)*(EU325/EP325-1)),IF(EP325&lt;0,"N/A",(EU325/EP325-1)))</f>
        <v>#DIV/0!</v>
      </c>
      <c r="EV380" s="1078" t="e">
        <f t="shared" ref="EV380:EY381" si="636">+IF(EV325&lt;0,IF(EU325&gt;0,"N/A",(-1)*(EV325/EU325-1)),IF(EU325&lt;0,"N/A",(EV325/EU325-1)))</f>
        <v>#DIV/0!</v>
      </c>
      <c r="EW380" s="1078" t="e">
        <f t="shared" si="636"/>
        <v>#DIV/0!</v>
      </c>
      <c r="EX380" s="1078" t="e">
        <f t="shared" si="636"/>
        <v>#DIV/0!</v>
      </c>
      <c r="EY380" s="1078" t="e">
        <f t="shared" si="636"/>
        <v>#DIV/0!</v>
      </c>
      <c r="EZ380" s="767"/>
      <c r="FA380" s="718"/>
      <c r="FB380" s="718"/>
    </row>
    <row r="381" spans="1:158" s="766" customFormat="1" hidden="1">
      <c r="A381" s="1527" t="s">
        <v>470</v>
      </c>
      <c r="CH381" s="1081"/>
      <c r="CI381" s="787"/>
      <c r="CJ381" s="787"/>
      <c r="CK381" s="787"/>
      <c r="CL381" s="787"/>
      <c r="CM381" s="1081">
        <f>+IF(CM326&lt;0,IF(CH326&gt;0,"N/A",(-1)*(CM326/CH326-1)),IF(CH326&lt;0,"N/A",(CM326/CH326-1)))</f>
        <v>0.26402640264026411</v>
      </c>
      <c r="CN381" s="788" t="str">
        <f>+IFERROR(IF(CN326&lt;0,IF(CI326&gt;0,"N/A",(-1)*(CN326/CI326-1)),IF(CI326&lt;0,"N/A",(CN326/CI326-1))),"N/A")</f>
        <v>N/A</v>
      </c>
      <c r="CO381" s="788" t="str">
        <f>+IFERROR(IF(CO326&lt;0,IF(CJ326&gt;0,"N/A",(-1)*(CO326/CJ326-1)),IF(CJ326&lt;0,"N/A",(CO326/CJ326-1))),"N/A")</f>
        <v>N/A</v>
      </c>
      <c r="CP381" s="788" t="str">
        <f>+IFERROR(IF(CP326&lt;0,IF(CK326&gt;0,"N/A",(-1)*(CP326/CK326-1)),IF(CK326&lt;0,"N/A",(CP326/CK326-1))),"N/A")</f>
        <v>N/A</v>
      </c>
      <c r="CQ381" s="787">
        <f>+IFERROR(IF(CQ326&lt;0,IF(CL326&gt;0,"N/A",(-1)*(CQ326/CL326-1)),IF(CL326&lt;0,"N/A",(CQ326/CL326-1))),"N/A")</f>
        <v>0.10812943962115229</v>
      </c>
      <c r="CR381" s="1081">
        <f t="shared" ref="CR381:DB381" si="637">+IF(CR326&lt;0,IF(CM326&gt;0,"N/A",(-1)*(CR326/CM326-1)),IF(CM326&lt;0,"N/A",(CR326/CM326-1)))</f>
        <v>1.687085760192808E-2</v>
      </c>
      <c r="CS381" s="787">
        <f t="shared" si="637"/>
        <v>0.16482582837723014</v>
      </c>
      <c r="CT381" s="787">
        <f t="shared" si="637"/>
        <v>0.20745542949756879</v>
      </c>
      <c r="CU381" s="787">
        <f t="shared" si="637"/>
        <v>0.27884615384615374</v>
      </c>
      <c r="CV381" s="787">
        <f t="shared" si="637"/>
        <v>0.20156695156695159</v>
      </c>
      <c r="CW381" s="1081">
        <f t="shared" si="637"/>
        <v>0.21350977681216676</v>
      </c>
      <c r="CX381" s="787">
        <f t="shared" si="637"/>
        <v>9.6280087527352398E-2</v>
      </c>
      <c r="CY381" s="787">
        <f t="shared" si="637"/>
        <v>9.060402684563762E-2</v>
      </c>
      <c r="CZ381" s="787">
        <f t="shared" si="637"/>
        <v>0.10338345864661647</v>
      </c>
      <c r="DA381" s="787">
        <f t="shared" si="637"/>
        <v>0.20094842916419675</v>
      </c>
      <c r="DB381" s="1081">
        <f t="shared" si="637"/>
        <v>0.12548828125</v>
      </c>
      <c r="DC381" s="2646"/>
      <c r="DD381" s="2646"/>
      <c r="DE381" s="2646"/>
      <c r="DF381" s="2646"/>
      <c r="DG381" s="1081">
        <f>+IF(DG326&lt;0,IF(DB326&gt;0,"N/A",(-1)*(DG326/DB326-1)),IF(DB326&lt;0,"N/A",(DG326/DB326-1)))</f>
        <v>0.30657989877078817</v>
      </c>
      <c r="DH381" s="2646"/>
      <c r="DI381" s="2646"/>
      <c r="DJ381" s="2646"/>
      <c r="DK381" s="2646"/>
      <c r="DL381" s="1081">
        <f>+IF(DL326&lt;0,IF(DG326&gt;0,"N/A",(-1)*(DL326/DG326-1)),IF(DG326&lt;0,"N/A",(DL326/DG326-1)))</f>
        <v>0.30392916436081907</v>
      </c>
      <c r="DM381" s="2646"/>
      <c r="DN381" s="2646"/>
      <c r="DO381" s="2646"/>
      <c r="DP381" s="2646"/>
      <c r="DQ381" s="1081">
        <f>+IF(DQ326&lt;0,IF(DL326&gt;0,"N/A",(-1)*(DQ326/DL326-1)),IF(DL326&lt;0,"N/A",(DQ326/DL326-1)))</f>
        <v>0.16263475087004498</v>
      </c>
      <c r="DR381" s="2646"/>
      <c r="DS381" s="2646"/>
      <c r="DT381" s="2646"/>
      <c r="DU381" s="2646"/>
      <c r="DV381" s="1081">
        <f>+IF(DV326&lt;0,IF(DQ326&gt;0,"N/A",(-1)*(DV326/DQ326-1)),IF(DQ326&lt;0,"N/A",(DV326/DQ326-1)))</f>
        <v>-1</v>
      </c>
      <c r="DW381" s="2646"/>
      <c r="DX381" s="2646"/>
      <c r="DY381" s="2646"/>
      <c r="DZ381" s="2646"/>
      <c r="EA381" s="1081" t="e">
        <f>+IF(EA326&lt;0,IF(DV326&gt;0,"N/A",(-1)*(EA326/DV326-1)),IF(DV326&lt;0,"N/A",(EA326/DV326-1)))</f>
        <v>#DIV/0!</v>
      </c>
      <c r="EB381" s="2646"/>
      <c r="EC381" s="2646"/>
      <c r="ED381" s="2646"/>
      <c r="EE381" s="2646"/>
      <c r="EF381" s="1081" t="e">
        <f>+IF(EF326&lt;0,IF(EA326&gt;0,"N/A",(-1)*(EF326/EA326-1)),IF(EA326&lt;0,"N/A",(EF326/EA326-1)))</f>
        <v>#DIV/0!</v>
      </c>
      <c r="EG381" s="2646"/>
      <c r="EH381" s="2646"/>
      <c r="EI381" s="2646"/>
      <c r="EJ381" s="2646"/>
      <c r="EK381" s="1081" t="e">
        <f>+IF(EK326&lt;0,IF(EF326&gt;0,"N/A",(-1)*(EK326/EF326-1)),IF(EF326&lt;0,"N/A",(EK326/EF326-1)))</f>
        <v>#DIV/0!</v>
      </c>
      <c r="EL381" s="2646"/>
      <c r="EM381" s="2646"/>
      <c r="EN381" s="2646"/>
      <c r="EO381" s="2646"/>
      <c r="EP381" s="1081" t="e">
        <f>+IF(EP326&lt;0,IF(EK326&gt;0,"N/A",(-1)*(EP326/EK326-1)),IF(EK326&lt;0,"N/A",(EP326/EK326-1)))</f>
        <v>#DIV/0!</v>
      </c>
      <c r="EQ381" s="2646"/>
      <c r="ER381" s="2646"/>
      <c r="ES381" s="2646"/>
      <c r="ET381" s="2646"/>
      <c r="EU381" s="1081" t="e">
        <f>+IF(EU326&lt;0,IF(EP326&gt;0,"N/A",(-1)*(EU326/EP326-1)),IF(EP326&lt;0,"N/A",(EU326/EP326-1)))</f>
        <v>#DIV/0!</v>
      </c>
      <c r="EV381" s="1081" t="e">
        <f t="shared" si="636"/>
        <v>#DIV/0!</v>
      </c>
      <c r="EW381" s="1081" t="e">
        <f t="shared" si="636"/>
        <v>#DIV/0!</v>
      </c>
      <c r="EX381" s="1081" t="e">
        <f t="shared" si="636"/>
        <v>#DIV/0!</v>
      </c>
      <c r="EY381" s="1081" t="e">
        <f t="shared" si="636"/>
        <v>#DIV/0!</v>
      </c>
      <c r="EZ381" s="767"/>
      <c r="FA381" s="718"/>
      <c r="FB381" s="718"/>
    </row>
    <row r="382" spans="1:158" s="766" customFormat="1" hidden="1">
      <c r="A382" s="1527"/>
      <c r="CH382" s="1081"/>
      <c r="CI382" s="787"/>
      <c r="CJ382" s="787"/>
      <c r="CK382" s="787"/>
      <c r="CL382" s="787"/>
      <c r="CM382" s="1081"/>
      <c r="CN382" s="788"/>
      <c r="CO382" s="788"/>
      <c r="CP382" s="788"/>
      <c r="CQ382" s="787"/>
      <c r="CR382" s="1081"/>
      <c r="CS382" s="787"/>
      <c r="CT382" s="787"/>
      <c r="CU382" s="787"/>
      <c r="CV382" s="787"/>
      <c r="CW382" s="1081"/>
      <c r="CX382" s="787"/>
      <c r="CY382" s="787"/>
      <c r="CZ382" s="787"/>
      <c r="DA382" s="787"/>
      <c r="DB382" s="1081"/>
      <c r="DC382" s="2646"/>
      <c r="DD382" s="2646"/>
      <c r="DE382" s="2646"/>
      <c r="DF382" s="2646"/>
      <c r="DG382" s="1081"/>
      <c r="DH382" s="2646"/>
      <c r="DI382" s="2646"/>
      <c r="DJ382" s="2646"/>
      <c r="DK382" s="2646"/>
      <c r="DL382" s="1081"/>
      <c r="DM382" s="2646"/>
      <c r="DN382" s="2646"/>
      <c r="DO382" s="2646"/>
      <c r="DP382" s="2646"/>
      <c r="DQ382" s="1081"/>
      <c r="DR382" s="2646"/>
      <c r="DS382" s="2646"/>
      <c r="DT382" s="2646"/>
      <c r="DU382" s="2646"/>
      <c r="DV382" s="1081"/>
      <c r="DW382" s="2646"/>
      <c r="DX382" s="2646"/>
      <c r="DY382" s="2646"/>
      <c r="DZ382" s="2646"/>
      <c r="EA382" s="1081"/>
      <c r="EB382" s="2646"/>
      <c r="EC382" s="2646"/>
      <c r="ED382" s="2646"/>
      <c r="EE382" s="2646"/>
      <c r="EF382" s="1081"/>
      <c r="EG382" s="2646"/>
      <c r="EH382" s="2646"/>
      <c r="EI382" s="2646"/>
      <c r="EJ382" s="2646"/>
      <c r="EK382" s="1081"/>
      <c r="EL382" s="2646"/>
      <c r="EM382" s="2646"/>
      <c r="EN382" s="2646"/>
      <c r="EO382" s="2646"/>
      <c r="EP382" s="1081"/>
      <c r="EQ382" s="2646"/>
      <c r="ER382" s="2646"/>
      <c r="ES382" s="2646"/>
      <c r="ET382" s="2646"/>
      <c r="EU382" s="1081"/>
      <c r="EV382" s="1081"/>
      <c r="EW382" s="1081"/>
      <c r="EX382" s="1081"/>
      <c r="EY382" s="1081"/>
      <c r="EZ382" s="767"/>
      <c r="FA382" s="718"/>
      <c r="FB382" s="718"/>
    </row>
    <row r="383" spans="1:158" s="535" customFormat="1" hidden="1">
      <c r="A383" s="1526" t="s">
        <v>471</v>
      </c>
      <c r="B383" s="662"/>
      <c r="C383" s="662"/>
      <c r="D383" s="662"/>
      <c r="E383" s="662"/>
      <c r="F383" s="662"/>
      <c r="G383" s="662"/>
      <c r="H383" s="662"/>
      <c r="I383" s="662"/>
      <c r="J383" s="662"/>
      <c r="K383" s="662"/>
      <c r="L383" s="662"/>
      <c r="M383" s="662"/>
      <c r="N383" s="662"/>
      <c r="O383" s="662"/>
      <c r="P383" s="662"/>
      <c r="Q383" s="662"/>
      <c r="R383" s="662"/>
      <c r="S383" s="662"/>
      <c r="T383" s="662"/>
      <c r="U383" s="662"/>
      <c r="V383" s="662"/>
      <c r="W383" s="662"/>
      <c r="X383" s="662"/>
      <c r="Y383" s="662"/>
      <c r="Z383" s="662"/>
      <c r="AA383" s="662"/>
      <c r="AB383" s="662"/>
      <c r="AC383" s="662"/>
      <c r="AD383" s="662"/>
      <c r="AE383" s="662"/>
      <c r="AF383" s="662"/>
      <c r="AG383" s="662"/>
      <c r="AH383" s="662"/>
      <c r="AI383" s="662"/>
      <c r="AJ383" s="662"/>
      <c r="AK383" s="662"/>
      <c r="AL383" s="662"/>
      <c r="AM383" s="662"/>
      <c r="AN383" s="662"/>
      <c r="AO383" s="662"/>
      <c r="AP383" s="662"/>
      <c r="AQ383" s="662"/>
      <c r="AR383" s="662"/>
      <c r="AS383" s="662"/>
      <c r="AT383" s="662"/>
      <c r="AU383" s="662"/>
      <c r="AV383" s="662"/>
      <c r="AW383" s="662"/>
      <c r="AX383" s="662"/>
      <c r="AY383" s="662"/>
      <c r="AZ383" s="662"/>
      <c r="BA383" s="662"/>
      <c r="BB383" s="662"/>
      <c r="BC383" s="662"/>
      <c r="BD383" s="662"/>
      <c r="BE383" s="662"/>
      <c r="BF383" s="662"/>
      <c r="BG383" s="662"/>
      <c r="BH383" s="662"/>
      <c r="BI383" s="662"/>
      <c r="BJ383" s="662"/>
      <c r="BK383" s="662"/>
      <c r="BL383" s="662"/>
      <c r="BM383" s="662"/>
      <c r="BN383" s="662"/>
      <c r="BO383" s="662"/>
      <c r="BP383" s="662"/>
      <c r="BQ383" s="662"/>
      <c r="BR383" s="662"/>
      <c r="BS383" s="662"/>
      <c r="BT383" s="662"/>
      <c r="BU383" s="662"/>
      <c r="BV383" s="662"/>
      <c r="BW383" s="662"/>
      <c r="BX383" s="662"/>
      <c r="BY383" s="662"/>
      <c r="BZ383" s="662"/>
      <c r="CA383" s="662"/>
      <c r="CB383" s="662"/>
      <c r="CC383" s="662"/>
      <c r="CD383" s="662"/>
      <c r="CE383" s="662"/>
      <c r="CF383" s="662"/>
      <c r="CG383" s="662"/>
      <c r="CH383" s="1338"/>
      <c r="CI383" s="1339"/>
      <c r="CJ383" s="1339"/>
      <c r="CK383" s="1339"/>
      <c r="CL383" s="1339"/>
      <c r="CM383" s="1338"/>
      <c r="CN383" s="1339"/>
      <c r="CO383" s="1339"/>
      <c r="CP383" s="1339"/>
      <c r="CQ383" s="1339"/>
      <c r="CR383" s="1338"/>
      <c r="CS383" s="1339"/>
      <c r="CT383" s="1339"/>
      <c r="CU383" s="1339"/>
      <c r="CV383" s="1339"/>
      <c r="CW383" s="1338"/>
      <c r="CX383" s="1339"/>
      <c r="CY383" s="1339"/>
      <c r="CZ383" s="1339"/>
      <c r="DA383" s="1339"/>
      <c r="DB383" s="1338"/>
      <c r="DC383" s="1339"/>
      <c r="DD383" s="1339"/>
      <c r="DE383" s="1339"/>
      <c r="DF383" s="1339"/>
      <c r="DG383" s="1338"/>
      <c r="DH383" s="1339"/>
      <c r="DI383" s="1339"/>
      <c r="DJ383" s="1339"/>
      <c r="DK383" s="1339"/>
      <c r="DL383" s="1338"/>
      <c r="DM383" s="1339"/>
      <c r="DN383" s="1339"/>
      <c r="DO383" s="1339"/>
      <c r="DP383" s="1339"/>
      <c r="DQ383" s="1338"/>
      <c r="DR383" s="1339"/>
      <c r="DS383" s="1339"/>
      <c r="DT383" s="1339"/>
      <c r="DU383" s="1339"/>
      <c r="DV383" s="1338"/>
      <c r="DW383" s="1339"/>
      <c r="DX383" s="1339"/>
      <c r="DY383" s="1339"/>
      <c r="DZ383" s="1339"/>
      <c r="EA383" s="1338"/>
      <c r="EB383" s="1339"/>
      <c r="EC383" s="1339"/>
      <c r="ED383" s="1339"/>
      <c r="EE383" s="1339"/>
      <c r="EF383" s="1338"/>
      <c r="EG383" s="1339"/>
      <c r="EH383" s="1339"/>
      <c r="EI383" s="1339"/>
      <c r="EJ383" s="1339"/>
      <c r="EK383" s="1338"/>
      <c r="EL383" s="1339"/>
      <c r="EM383" s="1339"/>
      <c r="EN383" s="1339"/>
      <c r="EO383" s="1339"/>
      <c r="EP383" s="1338"/>
      <c r="EQ383" s="1339"/>
      <c r="ER383" s="1339"/>
      <c r="ES383" s="1339"/>
      <c r="ET383" s="1339"/>
      <c r="EU383" s="1338"/>
      <c r="EV383" s="1338"/>
      <c r="EW383" s="1338"/>
      <c r="EX383" s="1338"/>
      <c r="EY383" s="1338"/>
      <c r="EZ383" s="2586"/>
      <c r="FA383" s="718"/>
      <c r="FB383" s="718"/>
    </row>
    <row r="384" spans="1:158" s="535" customFormat="1" hidden="1">
      <c r="A384" s="1520" t="s">
        <v>467</v>
      </c>
      <c r="B384" s="765"/>
      <c r="C384" s="765"/>
      <c r="D384" s="765"/>
      <c r="E384" s="765"/>
      <c r="F384" s="765"/>
      <c r="G384" s="765"/>
      <c r="H384" s="765"/>
      <c r="I384" s="765"/>
      <c r="J384" s="765"/>
      <c r="K384" s="765"/>
      <c r="L384" s="765"/>
      <c r="M384" s="765"/>
      <c r="N384" s="765"/>
      <c r="O384" s="765"/>
      <c r="P384" s="765"/>
      <c r="Q384" s="765"/>
      <c r="R384" s="765"/>
      <c r="S384" s="765"/>
      <c r="T384" s="765"/>
      <c r="U384" s="765"/>
      <c r="V384" s="765"/>
      <c r="W384" s="765"/>
      <c r="X384" s="765"/>
      <c r="Y384" s="765"/>
      <c r="Z384" s="765"/>
      <c r="AA384" s="765"/>
      <c r="AB384" s="765"/>
      <c r="AC384" s="765"/>
      <c r="AD384" s="765"/>
      <c r="AE384" s="765"/>
      <c r="AF384" s="765"/>
      <c r="AG384" s="765"/>
      <c r="AH384" s="765"/>
      <c r="AI384" s="765"/>
      <c r="AJ384" s="765"/>
      <c r="AK384" s="765"/>
      <c r="AL384" s="765"/>
      <c r="AM384" s="765"/>
      <c r="AN384" s="765"/>
      <c r="AO384" s="765"/>
      <c r="AP384" s="765"/>
      <c r="AQ384" s="765"/>
      <c r="AR384" s="765"/>
      <c r="AS384" s="765"/>
      <c r="AT384" s="765"/>
      <c r="AU384" s="765"/>
      <c r="AV384" s="765"/>
      <c r="AW384" s="765"/>
      <c r="AX384" s="765"/>
      <c r="AY384" s="765"/>
      <c r="AZ384" s="765"/>
      <c r="BA384" s="765"/>
      <c r="BB384" s="765"/>
      <c r="BC384" s="765"/>
      <c r="BD384" s="765"/>
      <c r="BE384" s="765"/>
      <c r="BF384" s="765"/>
      <c r="BG384" s="765"/>
      <c r="BH384" s="765"/>
      <c r="BI384" s="765"/>
      <c r="BJ384" s="765"/>
      <c r="BK384" s="765"/>
      <c r="BL384" s="765"/>
      <c r="BM384" s="765"/>
      <c r="BN384" s="765"/>
      <c r="BO384" s="765"/>
      <c r="BP384" s="765"/>
      <c r="BQ384" s="765"/>
      <c r="BR384" s="765"/>
      <c r="BS384" s="765"/>
      <c r="BT384" s="765"/>
      <c r="BU384" s="765"/>
      <c r="BV384" s="765"/>
      <c r="BW384" s="765"/>
      <c r="BX384" s="765"/>
      <c r="BY384" s="765"/>
      <c r="BZ384" s="765"/>
      <c r="CA384" s="765"/>
      <c r="CB384" s="765"/>
      <c r="CC384" s="765"/>
      <c r="CD384" s="765"/>
      <c r="CE384" s="765"/>
      <c r="CF384" s="765"/>
      <c r="CG384" s="765"/>
      <c r="CH384" s="1078"/>
      <c r="CI384" s="785"/>
      <c r="CJ384" s="785"/>
      <c r="CK384" s="785"/>
      <c r="CL384" s="785"/>
      <c r="CM384" s="1078"/>
      <c r="CN384" s="785">
        <f>+IF(CN313&lt;0,IF(CL313&gt;0,"N/A",(-1)*(CN313/CL313-1)),IF(CL313&lt;0,"N/A",(CN313/CL313-1)))</f>
        <v>-4.6677346296194022E-2</v>
      </c>
      <c r="CO384" s="785">
        <f>+IF(CO313&lt;0,IF(CN313&gt;0,"N/A",(-1)*(CO313/CN313-1)),IF(CN313&lt;0,"N/A",(CO313/CN313-1)))</f>
        <v>2.7175802526364645E-2</v>
      </c>
      <c r="CP384" s="785">
        <f>+IF(CP313&lt;0,IF(CO313&gt;0,"N/A",(-1)*(CP313/CO313-1)),IF(CO313&lt;0,"N/A",(CP313/CO313-1)))</f>
        <v>5.3477745811474131E-2</v>
      </c>
      <c r="CQ384" s="785">
        <f>+IF(CQ313&lt;0,IF(CP313&gt;0,"N/A",(-1)*(CQ313/CP313-1)),IF(CP313&lt;0,"N/A",(CQ313/CP313-1)))</f>
        <v>0.14211512717536823</v>
      </c>
      <c r="CR384" s="1078"/>
      <c r="CS384" s="785">
        <f>+IF(CS313&lt;0,IF(CQ313&gt;0,"N/A",(-1)*(CS313/CQ313-1)),IF(CQ313&lt;0,"N/A",(CS313/CQ313-1)))</f>
        <v>-5.0260209104974418E-2</v>
      </c>
      <c r="CT384" s="785">
        <f>+IF(CT313&lt;0,IF(CS313&gt;0,"N/A",(-1)*(CT313/CS313-1)),IF(CS313&lt;0,"N/A",(CT313/CS313-1)))</f>
        <v>6.1361504665053967E-2</v>
      </c>
      <c r="CU384" s="785">
        <f>+IF(CU313&lt;0,IF(CT313&gt;0,"N/A",(-1)*(CU313/CT313-1)),IF(CT313&lt;0,"N/A",(CU313/CT313-1)))</f>
        <v>4.4232558139534861E-2</v>
      </c>
      <c r="CV384" s="785">
        <f>+IF(CV313&lt;0,IF(CU313&gt;0,"N/A",(-1)*(CV313/CU313-1)),IF(CU313&lt;0,"N/A",(CV313/CU313-1)))</f>
        <v>0.16092824373079151</v>
      </c>
      <c r="CW384" s="1078"/>
      <c r="CX384" s="785">
        <f>+IF(CX313&lt;0,IF(CV313&gt;0,"N/A",(-1)*(CX313/CV313-1)),IF(CV313&lt;0,"N/A",(CX313/CV313-1)))</f>
        <v>-5.0414364640884002E-2</v>
      </c>
      <c r="CY384" s="785">
        <f>+IF(CY313&lt;0,IF(CX313&gt;0,"N/A",(-1)*(CY313/CX313-1)),IF(CX313&lt;0,"N/A",(CY313/CX313-1)))</f>
        <v>5.0909090909091015E-2</v>
      </c>
      <c r="CZ384" s="785">
        <f>+IF(CZ313&lt;0,IF(CY313&gt;0,"N/A",(-1)*(CZ313/CY313-1)),IF(CY313&lt;0,"N/A",(CZ313/CY313-1)))</f>
        <v>6.7743175701653113E-2</v>
      </c>
      <c r="DA384" s="785">
        <f>+IF(DA313&lt;0,IF(CZ313&gt;0,"N/A",(-1)*(DA313/CZ313-1)),IF(CZ313&lt;0,"N/A",(DA313/CZ313-1)))</f>
        <v>0.1638700849776753</v>
      </c>
      <c r="DB384" s="1331"/>
      <c r="DC384" s="2644"/>
      <c r="DD384" s="2644"/>
      <c r="DE384" s="2644"/>
      <c r="DF384" s="2644"/>
      <c r="DG384" s="1331"/>
      <c r="DH384" s="2644"/>
      <c r="DI384" s="2644"/>
      <c r="DJ384" s="2644"/>
      <c r="DK384" s="2644"/>
      <c r="DL384" s="1331"/>
      <c r="DM384" s="2644"/>
      <c r="DN384" s="2644"/>
      <c r="DO384" s="2644"/>
      <c r="DP384" s="2644"/>
      <c r="DQ384" s="1331"/>
      <c r="DR384" s="2644"/>
      <c r="DS384" s="2644"/>
      <c r="DT384" s="2644"/>
      <c r="DU384" s="2644"/>
      <c r="DV384" s="1331"/>
      <c r="DW384" s="2644"/>
      <c r="DX384" s="2644"/>
      <c r="DY384" s="2644"/>
      <c r="DZ384" s="2644"/>
      <c r="EA384" s="1331"/>
      <c r="EB384" s="2644"/>
      <c r="EC384" s="2644"/>
      <c r="ED384" s="2644"/>
      <c r="EE384" s="2644"/>
      <c r="EF384" s="1331"/>
      <c r="EG384" s="2644"/>
      <c r="EH384" s="2644"/>
      <c r="EI384" s="2644"/>
      <c r="EJ384" s="2644"/>
      <c r="EK384" s="1331"/>
      <c r="EL384" s="2644"/>
      <c r="EM384" s="2644"/>
      <c r="EN384" s="2644"/>
      <c r="EO384" s="2644"/>
      <c r="EP384" s="1331"/>
      <c r="EQ384" s="2644"/>
      <c r="ER384" s="2644"/>
      <c r="ES384" s="2644"/>
      <c r="ET384" s="2644"/>
      <c r="EU384" s="1331"/>
      <c r="EV384" s="1331"/>
      <c r="EW384" s="1331"/>
      <c r="EX384" s="1331"/>
      <c r="EY384" s="1331"/>
      <c r="EZ384" s="2586"/>
      <c r="FA384" s="718"/>
      <c r="FB384" s="718"/>
    </row>
    <row r="385" spans="1:158" s="535" customFormat="1" hidden="1">
      <c r="A385" s="1521" t="s">
        <v>440</v>
      </c>
      <c r="B385" s="766"/>
      <c r="C385" s="766"/>
      <c r="D385" s="766"/>
      <c r="E385" s="766"/>
      <c r="F385" s="766"/>
      <c r="G385" s="766"/>
      <c r="H385" s="766"/>
      <c r="I385" s="766"/>
      <c r="J385" s="766"/>
      <c r="K385" s="766"/>
      <c r="L385" s="766"/>
      <c r="M385" s="766"/>
      <c r="N385" s="766"/>
      <c r="O385" s="766"/>
      <c r="P385" s="766"/>
      <c r="Q385" s="766"/>
      <c r="R385" s="766"/>
      <c r="S385" s="766"/>
      <c r="T385" s="766"/>
      <c r="U385" s="766"/>
      <c r="V385" s="766"/>
      <c r="W385" s="766"/>
      <c r="X385" s="766"/>
      <c r="Y385" s="766"/>
      <c r="Z385" s="766"/>
      <c r="AA385" s="766"/>
      <c r="AB385" s="766"/>
      <c r="AC385" s="766"/>
      <c r="AD385" s="766"/>
      <c r="AE385" s="766"/>
      <c r="AF385" s="766"/>
      <c r="AG385" s="766"/>
      <c r="AH385" s="766"/>
      <c r="AI385" s="766"/>
      <c r="AJ385" s="766"/>
      <c r="AK385" s="766"/>
      <c r="AL385" s="766"/>
      <c r="AM385" s="766"/>
      <c r="AN385" s="766"/>
      <c r="AO385" s="766"/>
      <c r="AP385" s="766"/>
      <c r="AQ385" s="766"/>
      <c r="AR385" s="766"/>
      <c r="AS385" s="766"/>
      <c r="AT385" s="766"/>
      <c r="AU385" s="766"/>
      <c r="AV385" s="766"/>
      <c r="AW385" s="766"/>
      <c r="AX385" s="766"/>
      <c r="AY385" s="766"/>
      <c r="AZ385" s="766"/>
      <c r="BA385" s="766"/>
      <c r="BB385" s="766"/>
      <c r="BC385" s="766"/>
      <c r="BD385" s="766"/>
      <c r="BE385" s="766"/>
      <c r="BF385" s="766"/>
      <c r="BG385" s="766"/>
      <c r="BH385" s="766"/>
      <c r="BI385" s="766"/>
      <c r="BJ385" s="766"/>
      <c r="BK385" s="766"/>
      <c r="BL385" s="766"/>
      <c r="BM385" s="766"/>
      <c r="BN385" s="766"/>
      <c r="BO385" s="766"/>
      <c r="BP385" s="766"/>
      <c r="BQ385" s="766"/>
      <c r="BR385" s="766"/>
      <c r="BS385" s="766"/>
      <c r="BT385" s="766"/>
      <c r="BU385" s="766"/>
      <c r="BV385" s="766"/>
      <c r="BW385" s="766"/>
      <c r="BX385" s="766"/>
      <c r="BY385" s="766"/>
      <c r="BZ385" s="766"/>
      <c r="CA385" s="766"/>
      <c r="CB385" s="766"/>
      <c r="CC385" s="766"/>
      <c r="CD385" s="766"/>
      <c r="CE385" s="766"/>
      <c r="CF385" s="766"/>
      <c r="CG385" s="766"/>
      <c r="CH385" s="1081"/>
      <c r="CI385" s="787"/>
      <c r="CJ385" s="787"/>
      <c r="CK385" s="787"/>
      <c r="CL385" s="787"/>
      <c r="CM385" s="1081"/>
      <c r="CN385" s="787" t="e">
        <f>+IF(#REF!&lt;0,IF(#REF!&gt;0,"N/A",(-1)*(#REF!/#REF!-1)),IF(#REF!&lt;0,"N/A",(#REF!/#REF!-1)))</f>
        <v>#REF!</v>
      </c>
      <c r="CO385" s="787" t="e">
        <f>+IF(#REF!&lt;0,IF(#REF!&gt;0,"N/A",(-1)*(#REF!/#REF!-1)),IF(#REF!&lt;0,"N/A",(#REF!/#REF!-1)))</f>
        <v>#REF!</v>
      </c>
      <c r="CP385" s="787" t="e">
        <f>+IF(#REF!&lt;0,IF(#REF!&gt;0,"N/A",(-1)*(#REF!/#REF!-1)),IF(#REF!&lt;0,"N/A",(#REF!/#REF!-1)))</f>
        <v>#REF!</v>
      </c>
      <c r="CQ385" s="787" t="e">
        <f>+IF(#REF!&lt;0,IF(#REF!&gt;0,"N/A",(-1)*(#REF!/#REF!-1)),IF(#REF!&lt;0,"N/A",(#REF!/#REF!-1)))</f>
        <v>#REF!</v>
      </c>
      <c r="CR385" s="1081"/>
      <c r="CS385" s="787" t="e">
        <f>+IF(#REF!&lt;0,IF(#REF!&gt;0,"N/A",(-1)*(#REF!/#REF!-1)),IF(#REF!&lt;0,"N/A",(#REF!/#REF!-1)))</f>
        <v>#REF!</v>
      </c>
      <c r="CT385" s="787" t="e">
        <f>+IF(#REF!&lt;0,IF(#REF!&gt;0,"N/A",(-1)*(#REF!/#REF!-1)),IF(#REF!&lt;0,"N/A",(#REF!/#REF!-1)))</f>
        <v>#REF!</v>
      </c>
      <c r="CU385" s="787" t="e">
        <f>+IF(#REF!&lt;0,IF(#REF!&gt;0,"N/A",(-1)*(#REF!/#REF!-1)),IF(#REF!&lt;0,"N/A",(#REF!/#REF!-1)))</f>
        <v>#REF!</v>
      </c>
      <c r="CV385" s="787" t="e">
        <f>+IF(#REF!&lt;0,IF(#REF!&gt;0,"N/A",(-1)*(#REF!/#REF!-1)),IF(#REF!&lt;0,"N/A",(#REF!/#REF!-1)))</f>
        <v>#REF!</v>
      </c>
      <c r="CW385" s="1081"/>
      <c r="CX385" s="787" t="e">
        <f>+IF(#REF!&lt;0,IF(#REF!&gt;0,"N/A",(-1)*(#REF!/#REF!-1)),IF(#REF!&lt;0,"N/A",(#REF!/#REF!-1)))</f>
        <v>#REF!</v>
      </c>
      <c r="CY385" s="787" t="e">
        <f>+IF(#REF!&lt;0,IF(#REF!&gt;0,"N/A",(-1)*(#REF!/#REF!-1)),IF(#REF!&lt;0,"N/A",(#REF!/#REF!-1)))</f>
        <v>#REF!</v>
      </c>
      <c r="CZ385" s="787" t="e">
        <f>+IF(#REF!&lt;0,IF(#REF!&gt;0,"N/A",(-1)*(#REF!/#REF!-1)),IF(#REF!&lt;0,"N/A",(#REF!/#REF!-1)))</f>
        <v>#REF!</v>
      </c>
      <c r="DA385" s="787" t="e">
        <f>+IF(#REF!&lt;0,IF(#REF!&gt;0,"N/A",(-1)*(#REF!/#REF!-1)),IF(#REF!&lt;0,"N/A",(#REF!/#REF!-1)))</f>
        <v>#REF!</v>
      </c>
      <c r="DB385" s="1326"/>
      <c r="DC385" s="2646"/>
      <c r="DD385" s="2646"/>
      <c r="DE385" s="2646"/>
      <c r="DF385" s="2646"/>
      <c r="DG385" s="1326"/>
      <c r="DH385" s="2646"/>
      <c r="DI385" s="2646"/>
      <c r="DJ385" s="2646"/>
      <c r="DK385" s="2646"/>
      <c r="DL385" s="1326"/>
      <c r="DM385" s="2646"/>
      <c r="DN385" s="2646"/>
      <c r="DO385" s="2646"/>
      <c r="DP385" s="2646"/>
      <c r="DQ385" s="1326"/>
      <c r="DR385" s="2646"/>
      <c r="DS385" s="2646"/>
      <c r="DT385" s="2646"/>
      <c r="DU385" s="2646"/>
      <c r="DV385" s="1326"/>
      <c r="DW385" s="2646"/>
      <c r="DX385" s="2646"/>
      <c r="DY385" s="2646"/>
      <c r="DZ385" s="2646"/>
      <c r="EA385" s="1326"/>
      <c r="EB385" s="2646"/>
      <c r="EC385" s="2646"/>
      <c r="ED385" s="2646"/>
      <c r="EE385" s="2646"/>
      <c r="EF385" s="1326"/>
      <c r="EG385" s="2646"/>
      <c r="EH385" s="2646"/>
      <c r="EI385" s="2646"/>
      <c r="EJ385" s="2646"/>
      <c r="EK385" s="1326"/>
      <c r="EL385" s="2646"/>
      <c r="EM385" s="2646"/>
      <c r="EN385" s="2646"/>
      <c r="EO385" s="2646"/>
      <c r="EP385" s="1326"/>
      <c r="EQ385" s="2646"/>
      <c r="ER385" s="2646"/>
      <c r="ES385" s="2646"/>
      <c r="ET385" s="2646"/>
      <c r="EU385" s="1326"/>
      <c r="EV385" s="1326"/>
      <c r="EW385" s="1326"/>
      <c r="EX385" s="1326"/>
      <c r="EY385" s="1326"/>
      <c r="EZ385" s="2586"/>
      <c r="FA385" s="718"/>
      <c r="FB385" s="718"/>
    </row>
    <row r="386" spans="1:158" s="535" customFormat="1" hidden="1">
      <c r="A386" s="1522" t="s">
        <v>437</v>
      </c>
      <c r="B386" s="766"/>
      <c r="C386" s="766"/>
      <c r="D386" s="766"/>
      <c r="E386" s="766"/>
      <c r="F386" s="766"/>
      <c r="G386" s="766"/>
      <c r="H386" s="766"/>
      <c r="I386" s="766"/>
      <c r="J386" s="766"/>
      <c r="K386" s="766"/>
      <c r="L386" s="766"/>
      <c r="M386" s="766"/>
      <c r="N386" s="766"/>
      <c r="O386" s="766"/>
      <c r="P386" s="766"/>
      <c r="Q386" s="766"/>
      <c r="R386" s="766"/>
      <c r="S386" s="766"/>
      <c r="T386" s="766"/>
      <c r="U386" s="766"/>
      <c r="V386" s="766"/>
      <c r="W386" s="766"/>
      <c r="X386" s="766"/>
      <c r="Y386" s="766"/>
      <c r="Z386" s="766"/>
      <c r="AA386" s="766"/>
      <c r="AB386" s="766"/>
      <c r="AC386" s="766"/>
      <c r="AD386" s="766"/>
      <c r="AE386" s="766"/>
      <c r="AF386" s="766"/>
      <c r="AG386" s="766"/>
      <c r="AH386" s="766"/>
      <c r="AI386" s="766"/>
      <c r="AJ386" s="766"/>
      <c r="AK386" s="766"/>
      <c r="AL386" s="766"/>
      <c r="AM386" s="766"/>
      <c r="AN386" s="766"/>
      <c r="AO386" s="766"/>
      <c r="AP386" s="766"/>
      <c r="AQ386" s="766"/>
      <c r="AR386" s="766"/>
      <c r="AS386" s="766"/>
      <c r="AT386" s="766"/>
      <c r="AU386" s="766"/>
      <c r="AV386" s="766"/>
      <c r="AW386" s="766"/>
      <c r="AX386" s="766"/>
      <c r="AY386" s="766"/>
      <c r="AZ386" s="766"/>
      <c r="BA386" s="766"/>
      <c r="BB386" s="766"/>
      <c r="BC386" s="766"/>
      <c r="BD386" s="766"/>
      <c r="BE386" s="766"/>
      <c r="BF386" s="766"/>
      <c r="BG386" s="766"/>
      <c r="BH386" s="766"/>
      <c r="BI386" s="766"/>
      <c r="BJ386" s="766"/>
      <c r="BK386" s="766"/>
      <c r="BL386" s="766"/>
      <c r="BM386" s="766"/>
      <c r="BN386" s="766"/>
      <c r="BO386" s="766"/>
      <c r="BP386" s="766"/>
      <c r="BQ386" s="766"/>
      <c r="BR386" s="766"/>
      <c r="BS386" s="766"/>
      <c r="BT386" s="766"/>
      <c r="BU386" s="766"/>
      <c r="BV386" s="766"/>
      <c r="BW386" s="766"/>
      <c r="BX386" s="766"/>
      <c r="BY386" s="766"/>
      <c r="BZ386" s="766"/>
      <c r="CA386" s="766"/>
      <c r="CB386" s="766"/>
      <c r="CC386" s="766"/>
      <c r="CD386" s="766"/>
      <c r="CE386" s="766"/>
      <c r="CF386" s="766"/>
      <c r="CG386" s="766"/>
      <c r="CH386" s="1081"/>
      <c r="CI386" s="787"/>
      <c r="CJ386" s="787"/>
      <c r="CK386" s="787"/>
      <c r="CL386" s="787"/>
      <c r="CM386" s="1081"/>
      <c r="CN386" s="787" t="e">
        <f>+IF(#REF!&lt;0,IF(#REF!&gt;0,"N/A",(-1)*(#REF!/#REF!-1)),IF(#REF!&lt;0,"N/A",(#REF!/#REF!-1)))</f>
        <v>#REF!</v>
      </c>
      <c r="CO386" s="787" t="e">
        <f>+IF(#REF!&lt;0,IF(#REF!&gt;0,"N/A",(-1)*(#REF!/#REF!-1)),IF(#REF!&lt;0,"N/A",(#REF!/#REF!-1)))</f>
        <v>#REF!</v>
      </c>
      <c r="CP386" s="787" t="e">
        <f>+IF(#REF!&lt;0,IF(#REF!&gt;0,"N/A",(-1)*(#REF!/#REF!-1)),IF(#REF!&lt;0,"N/A",(#REF!/#REF!-1)))</f>
        <v>#REF!</v>
      </c>
      <c r="CQ386" s="787" t="e">
        <f>+IF(#REF!&lt;0,IF(#REF!&gt;0,"N/A",(-1)*(#REF!/#REF!-1)),IF(#REF!&lt;0,"N/A",(#REF!/#REF!-1)))</f>
        <v>#REF!</v>
      </c>
      <c r="CR386" s="1081"/>
      <c r="CS386" s="787" t="e">
        <f>+IF(#REF!&lt;0,IF(#REF!&gt;0,"N/A",(-1)*(#REF!/#REF!-1)),IF(#REF!&lt;0,"N/A",(#REF!/#REF!-1)))</f>
        <v>#REF!</v>
      </c>
      <c r="CT386" s="787" t="e">
        <f>+IF(#REF!&lt;0,IF(#REF!&gt;0,"N/A",(-1)*(#REF!/#REF!-1)),IF(#REF!&lt;0,"N/A",(#REF!/#REF!-1)))</f>
        <v>#REF!</v>
      </c>
      <c r="CU386" s="787" t="e">
        <f>+IF(#REF!&lt;0,IF(#REF!&gt;0,"N/A",(-1)*(#REF!/#REF!-1)),IF(#REF!&lt;0,"N/A",(#REF!/#REF!-1)))</f>
        <v>#REF!</v>
      </c>
      <c r="CV386" s="787" t="e">
        <f>+IF(#REF!&lt;0,IF(#REF!&gt;0,"N/A",(-1)*(#REF!/#REF!-1)),IF(#REF!&lt;0,"N/A",(#REF!/#REF!-1)))</f>
        <v>#REF!</v>
      </c>
      <c r="CW386" s="1081"/>
      <c r="CX386" s="787" t="e">
        <f>+IF(#REF!&lt;0,IF(#REF!&gt;0,"N/A",(-1)*(#REF!/#REF!-1)),IF(#REF!&lt;0,"N/A",(#REF!/#REF!-1)))</f>
        <v>#REF!</v>
      </c>
      <c r="CY386" s="787" t="e">
        <f>+IF(#REF!&lt;0,IF(#REF!&gt;0,"N/A",(-1)*(#REF!/#REF!-1)),IF(#REF!&lt;0,"N/A",(#REF!/#REF!-1)))</f>
        <v>#REF!</v>
      </c>
      <c r="CZ386" s="787" t="e">
        <f>+IF(#REF!&lt;0,IF(#REF!&gt;0,"N/A",(-1)*(#REF!/#REF!-1)),IF(#REF!&lt;0,"N/A",(#REF!/#REF!-1)))</f>
        <v>#REF!</v>
      </c>
      <c r="DA386" s="787" t="e">
        <f>+IF(#REF!&lt;0,IF(#REF!&gt;0,"N/A",(-1)*(#REF!/#REF!-1)),IF(#REF!&lt;0,"N/A",(#REF!/#REF!-1)))</f>
        <v>#REF!</v>
      </c>
      <c r="DB386" s="1326"/>
      <c r="DC386" s="2646"/>
      <c r="DD386" s="2646"/>
      <c r="DE386" s="2646"/>
      <c r="DF386" s="2646"/>
      <c r="DG386" s="1326"/>
      <c r="DH386" s="2646"/>
      <c r="DI386" s="2646"/>
      <c r="DJ386" s="2646"/>
      <c r="DK386" s="2646"/>
      <c r="DL386" s="1326"/>
      <c r="DM386" s="2646"/>
      <c r="DN386" s="2646"/>
      <c r="DO386" s="2646"/>
      <c r="DP386" s="2646"/>
      <c r="DQ386" s="1326"/>
      <c r="DR386" s="2646"/>
      <c r="DS386" s="2646"/>
      <c r="DT386" s="2646"/>
      <c r="DU386" s="2646"/>
      <c r="DV386" s="1326"/>
      <c r="DW386" s="2646"/>
      <c r="DX386" s="2646"/>
      <c r="DY386" s="2646"/>
      <c r="DZ386" s="2646"/>
      <c r="EA386" s="1326"/>
      <c r="EB386" s="2646"/>
      <c r="EC386" s="2646"/>
      <c r="ED386" s="2646"/>
      <c r="EE386" s="2646"/>
      <c r="EF386" s="1326"/>
      <c r="EG386" s="2646"/>
      <c r="EH386" s="2646"/>
      <c r="EI386" s="2646"/>
      <c r="EJ386" s="2646"/>
      <c r="EK386" s="1326"/>
      <c r="EL386" s="2646"/>
      <c r="EM386" s="2646"/>
      <c r="EN386" s="2646"/>
      <c r="EO386" s="2646"/>
      <c r="EP386" s="1326"/>
      <c r="EQ386" s="2646"/>
      <c r="ER386" s="2646"/>
      <c r="ES386" s="2646"/>
      <c r="ET386" s="2646"/>
      <c r="EU386" s="1326"/>
      <c r="EV386" s="1326"/>
      <c r="EW386" s="1326"/>
      <c r="EX386" s="1326"/>
      <c r="EY386" s="1326"/>
      <c r="EZ386" s="2586"/>
      <c r="FA386" s="718"/>
      <c r="FB386" s="718"/>
    </row>
    <row r="387" spans="1:158" s="535" customFormat="1" hidden="1">
      <c r="A387" s="1522" t="s">
        <v>438</v>
      </c>
      <c r="B387" s="766"/>
      <c r="C387" s="766"/>
      <c r="D387" s="766"/>
      <c r="E387" s="766"/>
      <c r="F387" s="766"/>
      <c r="G387" s="766"/>
      <c r="H387" s="766"/>
      <c r="I387" s="766"/>
      <c r="J387" s="766"/>
      <c r="K387" s="766"/>
      <c r="L387" s="766"/>
      <c r="M387" s="766"/>
      <c r="N387" s="766"/>
      <c r="O387" s="766"/>
      <c r="P387" s="766"/>
      <c r="Q387" s="766"/>
      <c r="R387" s="766"/>
      <c r="S387" s="766"/>
      <c r="T387" s="766"/>
      <c r="U387" s="766"/>
      <c r="V387" s="766"/>
      <c r="W387" s="766"/>
      <c r="X387" s="766"/>
      <c r="Y387" s="766"/>
      <c r="Z387" s="766"/>
      <c r="AA387" s="766"/>
      <c r="AB387" s="766"/>
      <c r="AC387" s="766"/>
      <c r="AD387" s="766"/>
      <c r="AE387" s="766"/>
      <c r="AF387" s="766"/>
      <c r="AG387" s="766"/>
      <c r="AH387" s="766"/>
      <c r="AI387" s="766"/>
      <c r="AJ387" s="766"/>
      <c r="AK387" s="766"/>
      <c r="AL387" s="766"/>
      <c r="AM387" s="766"/>
      <c r="AN387" s="766"/>
      <c r="AO387" s="766"/>
      <c r="AP387" s="766"/>
      <c r="AQ387" s="766"/>
      <c r="AR387" s="766"/>
      <c r="AS387" s="766"/>
      <c r="AT387" s="766"/>
      <c r="AU387" s="766"/>
      <c r="AV387" s="766"/>
      <c r="AW387" s="766"/>
      <c r="AX387" s="766"/>
      <c r="AY387" s="766"/>
      <c r="AZ387" s="766"/>
      <c r="BA387" s="766"/>
      <c r="BB387" s="766"/>
      <c r="BC387" s="766"/>
      <c r="BD387" s="766"/>
      <c r="BE387" s="766"/>
      <c r="BF387" s="766"/>
      <c r="BG387" s="766"/>
      <c r="BH387" s="766"/>
      <c r="BI387" s="766"/>
      <c r="BJ387" s="766"/>
      <c r="BK387" s="766"/>
      <c r="BL387" s="766"/>
      <c r="BM387" s="766"/>
      <c r="BN387" s="766"/>
      <c r="BO387" s="766"/>
      <c r="BP387" s="766"/>
      <c r="BQ387" s="766"/>
      <c r="BR387" s="766"/>
      <c r="BS387" s="766"/>
      <c r="BT387" s="766"/>
      <c r="BU387" s="766"/>
      <c r="BV387" s="766"/>
      <c r="BW387" s="766"/>
      <c r="BX387" s="766"/>
      <c r="BY387" s="766"/>
      <c r="BZ387" s="766"/>
      <c r="CA387" s="766"/>
      <c r="CB387" s="766"/>
      <c r="CC387" s="766"/>
      <c r="CD387" s="766"/>
      <c r="CE387" s="766"/>
      <c r="CF387" s="766"/>
      <c r="CG387" s="766"/>
      <c r="CH387" s="1081"/>
      <c r="CI387" s="787"/>
      <c r="CJ387" s="787"/>
      <c r="CK387" s="787"/>
      <c r="CL387" s="787"/>
      <c r="CM387" s="1081"/>
      <c r="CN387" s="787" t="e">
        <f>+IF(#REF!&lt;0,IF(#REF!&gt;0,"N/A",(-1)*(#REF!/#REF!-1)),IF(#REF!&lt;0,"N/A",(#REF!/#REF!-1)))</f>
        <v>#REF!</v>
      </c>
      <c r="CO387" s="787" t="e">
        <f>+IF(#REF!&lt;0,IF(#REF!&gt;0,"N/A",(-1)*(#REF!/#REF!-1)),IF(#REF!&lt;0,"N/A",(#REF!/#REF!-1)))</f>
        <v>#REF!</v>
      </c>
      <c r="CP387" s="787" t="e">
        <f>+IF(#REF!&lt;0,IF(#REF!&gt;0,"N/A",(-1)*(#REF!/#REF!-1)),IF(#REF!&lt;0,"N/A",(#REF!/#REF!-1)))</f>
        <v>#REF!</v>
      </c>
      <c r="CQ387" s="787" t="e">
        <f>+IF(#REF!&lt;0,IF(#REF!&gt;0,"N/A",(-1)*(#REF!/#REF!-1)),IF(#REF!&lt;0,"N/A",(#REF!/#REF!-1)))</f>
        <v>#REF!</v>
      </c>
      <c r="CR387" s="1081"/>
      <c r="CS387" s="787" t="e">
        <f>+IF(#REF!&lt;0,IF(#REF!&gt;0,"N/A",(-1)*(#REF!/#REF!-1)),IF(#REF!&lt;0,"N/A",(#REF!/#REF!-1)))</f>
        <v>#REF!</v>
      </c>
      <c r="CT387" s="787" t="e">
        <f>+IF(#REF!&lt;0,IF(#REF!&gt;0,"N/A",(-1)*(#REF!/#REF!-1)),IF(#REF!&lt;0,"N/A",(#REF!/#REF!-1)))</f>
        <v>#REF!</v>
      </c>
      <c r="CU387" s="787" t="e">
        <f>+IF(#REF!&lt;0,IF(#REF!&gt;0,"N/A",(-1)*(#REF!/#REF!-1)),IF(#REF!&lt;0,"N/A",(#REF!/#REF!-1)))</f>
        <v>#REF!</v>
      </c>
      <c r="CV387" s="787" t="e">
        <f>+IF(#REF!&lt;0,IF(#REF!&gt;0,"N/A",(-1)*(#REF!/#REF!-1)),IF(#REF!&lt;0,"N/A",(#REF!/#REF!-1)))</f>
        <v>#REF!</v>
      </c>
      <c r="CW387" s="1081"/>
      <c r="CX387" s="787" t="e">
        <f>+IF(#REF!&lt;0,IF(#REF!&gt;0,"N/A",(-1)*(#REF!/#REF!-1)),IF(#REF!&lt;0,"N/A",(#REF!/#REF!-1)))</f>
        <v>#REF!</v>
      </c>
      <c r="CY387" s="787" t="e">
        <f>+IF(#REF!&lt;0,IF(#REF!&gt;0,"N/A",(-1)*(#REF!/#REF!-1)),IF(#REF!&lt;0,"N/A",(#REF!/#REF!-1)))</f>
        <v>#REF!</v>
      </c>
      <c r="CZ387" s="787" t="e">
        <f>+IF(#REF!&lt;0,IF(#REF!&gt;0,"N/A",(-1)*(#REF!/#REF!-1)),IF(#REF!&lt;0,"N/A",(#REF!/#REF!-1)))</f>
        <v>#REF!</v>
      </c>
      <c r="DA387" s="787" t="e">
        <f>+IF(#REF!&lt;0,IF(#REF!&gt;0,"N/A",(-1)*(#REF!/#REF!-1)),IF(#REF!&lt;0,"N/A",(#REF!/#REF!-1)))</f>
        <v>#REF!</v>
      </c>
      <c r="DB387" s="1326"/>
      <c r="DC387" s="2646"/>
      <c r="DD387" s="2646"/>
      <c r="DE387" s="2646"/>
      <c r="DF387" s="2646"/>
      <c r="DG387" s="1326"/>
      <c r="DH387" s="2646"/>
      <c r="DI387" s="2646"/>
      <c r="DJ387" s="2646"/>
      <c r="DK387" s="2646"/>
      <c r="DL387" s="1326"/>
      <c r="DM387" s="2646"/>
      <c r="DN387" s="2646"/>
      <c r="DO387" s="2646"/>
      <c r="DP387" s="2646"/>
      <c r="DQ387" s="1326"/>
      <c r="DR387" s="2646"/>
      <c r="DS387" s="2646"/>
      <c r="DT387" s="2646"/>
      <c r="DU387" s="2646"/>
      <c r="DV387" s="1326"/>
      <c r="DW387" s="2646"/>
      <c r="DX387" s="2646"/>
      <c r="DY387" s="2646"/>
      <c r="DZ387" s="2646"/>
      <c r="EA387" s="1326"/>
      <c r="EB387" s="2646"/>
      <c r="EC387" s="2646"/>
      <c r="ED387" s="2646"/>
      <c r="EE387" s="2646"/>
      <c r="EF387" s="1326"/>
      <c r="EG387" s="2646"/>
      <c r="EH387" s="2646"/>
      <c r="EI387" s="2646"/>
      <c r="EJ387" s="2646"/>
      <c r="EK387" s="1326"/>
      <c r="EL387" s="2646"/>
      <c r="EM387" s="2646"/>
      <c r="EN387" s="2646"/>
      <c r="EO387" s="2646"/>
      <c r="EP387" s="1326"/>
      <c r="EQ387" s="2646"/>
      <c r="ER387" s="2646"/>
      <c r="ES387" s="2646"/>
      <c r="ET387" s="2646"/>
      <c r="EU387" s="1326"/>
      <c r="EV387" s="1326"/>
      <c r="EW387" s="1326"/>
      <c r="EX387" s="1326"/>
      <c r="EY387" s="1326"/>
      <c r="EZ387" s="2586"/>
      <c r="FA387" s="718"/>
      <c r="FB387" s="718"/>
    </row>
    <row r="388" spans="1:158" s="763" customFormat="1" hidden="1">
      <c r="A388" s="1521" t="s">
        <v>474</v>
      </c>
      <c r="CH388" s="1325"/>
      <c r="CI388" s="803"/>
      <c r="CJ388" s="803"/>
      <c r="CK388" s="803"/>
      <c r="CL388" s="803"/>
      <c r="CM388" s="1325"/>
      <c r="CN388" s="787" t="e">
        <f>+IF(#REF!&lt;0,IF(#REF!&gt;0,"N/A",(-1)*(#REF!/#REF!-1)),IF(#REF!&lt;0,"N/A",(#REF!/#REF!-1)))</f>
        <v>#REF!</v>
      </c>
      <c r="CO388" s="787" t="e">
        <f>+IF(#REF!&lt;0,IF(#REF!&gt;0,"N/A",(-1)*(#REF!/#REF!-1)),IF(#REF!&lt;0,"N/A",(#REF!/#REF!-1)))</f>
        <v>#REF!</v>
      </c>
      <c r="CP388" s="787" t="e">
        <f>+IF(#REF!&lt;0,IF(#REF!&gt;0,"N/A",(-1)*(#REF!/#REF!-1)),IF(#REF!&lt;0,"N/A",(#REF!/#REF!-1)))</f>
        <v>#REF!</v>
      </c>
      <c r="CQ388" s="787" t="e">
        <f>+IF(#REF!&lt;0,IF(#REF!&gt;0,"N/A",(-1)*(#REF!/#REF!-1)),IF(#REF!&lt;0,"N/A",(#REF!/#REF!-1)))</f>
        <v>#REF!</v>
      </c>
      <c r="CR388" s="1081"/>
      <c r="CS388" s="787" t="e">
        <f>+IF(#REF!&lt;0,IF(#REF!&gt;0,"N/A",(-1)*(#REF!/#REF!-1)),IF(#REF!&lt;0,"N/A",(#REF!/#REF!-1)))</f>
        <v>#REF!</v>
      </c>
      <c r="CT388" s="787" t="e">
        <f>+IF(#REF!&lt;0,IF(#REF!&gt;0,"N/A",(-1)*(#REF!/#REF!-1)),IF(#REF!&lt;0,"N/A",(#REF!/#REF!-1)))</f>
        <v>#REF!</v>
      </c>
      <c r="CU388" s="787" t="e">
        <f>+IF(#REF!&lt;0,IF(#REF!&gt;0,"N/A",(-1)*(#REF!/#REF!-1)),IF(#REF!&lt;0,"N/A",(#REF!/#REF!-1)))</f>
        <v>#REF!</v>
      </c>
      <c r="CV388" s="787" t="e">
        <f>+IF(#REF!&lt;0,IF(#REF!&gt;0,"N/A",(-1)*(#REF!/#REF!-1)),IF(#REF!&lt;0,"N/A",(#REF!/#REF!-1)))</f>
        <v>#REF!</v>
      </c>
      <c r="CW388" s="1325"/>
      <c r="CX388" s="787" t="e">
        <f>+IF(#REF!&lt;0,IF(#REF!&gt;0,"N/A",(-1)*(#REF!/#REF!-1)),IF(#REF!&lt;0,"N/A",(#REF!/#REF!-1)))</f>
        <v>#REF!</v>
      </c>
      <c r="CY388" s="787" t="e">
        <f>+IF(#REF!&lt;0,IF(#REF!&gt;0,"N/A",(-1)*(#REF!/#REF!-1)),IF(#REF!&lt;0,"N/A",(#REF!/#REF!-1)))</f>
        <v>#REF!</v>
      </c>
      <c r="CZ388" s="787" t="e">
        <f>+IF(#REF!&lt;0,IF(#REF!&gt;0,"N/A",(-1)*(#REF!/#REF!-1)),IF(#REF!&lt;0,"N/A",(#REF!/#REF!-1)))</f>
        <v>#REF!</v>
      </c>
      <c r="DA388" s="787" t="e">
        <f>+IF(#REF!&lt;0,IF(#REF!&gt;0,"N/A",(-1)*(#REF!/#REF!-1)),IF(#REF!&lt;0,"N/A",(#REF!/#REF!-1)))</f>
        <v>#REF!</v>
      </c>
      <c r="DB388" s="1332"/>
      <c r="DC388" s="2646"/>
      <c r="DD388" s="2646"/>
      <c r="DE388" s="2646"/>
      <c r="DF388" s="2646"/>
      <c r="DG388" s="1332"/>
      <c r="DH388" s="2646"/>
      <c r="DI388" s="2646"/>
      <c r="DJ388" s="2646"/>
      <c r="DK388" s="2646"/>
      <c r="DL388" s="1332"/>
      <c r="DM388" s="2646"/>
      <c r="DN388" s="2646"/>
      <c r="DO388" s="2646"/>
      <c r="DP388" s="2646"/>
      <c r="DQ388" s="1332"/>
      <c r="DR388" s="2646"/>
      <c r="DS388" s="2646"/>
      <c r="DT388" s="2646"/>
      <c r="DU388" s="2646"/>
      <c r="DV388" s="1332"/>
      <c r="DW388" s="2646"/>
      <c r="DX388" s="2646"/>
      <c r="DY388" s="2646"/>
      <c r="DZ388" s="2646"/>
      <c r="EA388" s="1332"/>
      <c r="EB388" s="2646"/>
      <c r="EC388" s="2646"/>
      <c r="ED388" s="2646"/>
      <c r="EE388" s="2646"/>
      <c r="EF388" s="1332"/>
      <c r="EG388" s="2646"/>
      <c r="EH388" s="2646"/>
      <c r="EI388" s="2646"/>
      <c r="EJ388" s="2646"/>
      <c r="EK388" s="1332"/>
      <c r="EL388" s="2646"/>
      <c r="EM388" s="2646"/>
      <c r="EN388" s="2646"/>
      <c r="EO388" s="2646"/>
      <c r="EP388" s="1332"/>
      <c r="EQ388" s="2646"/>
      <c r="ER388" s="2646"/>
      <c r="ES388" s="2646"/>
      <c r="ET388" s="2646"/>
      <c r="EU388" s="1332"/>
      <c r="EV388" s="1332"/>
      <c r="EW388" s="1332"/>
      <c r="EX388" s="1332"/>
      <c r="EY388" s="1332"/>
      <c r="EZ388" s="791"/>
      <c r="FA388" s="1342"/>
      <c r="FB388" s="1342"/>
    </row>
    <row r="389" spans="1:158" s="766" customFormat="1" hidden="1">
      <c r="A389" s="1522" t="s">
        <v>439</v>
      </c>
      <c r="CH389" s="1081"/>
      <c r="CI389" s="787"/>
      <c r="CJ389" s="787"/>
      <c r="CK389" s="787"/>
      <c r="CL389" s="787"/>
      <c r="CM389" s="1081"/>
      <c r="CN389" s="787" t="e">
        <f>+IF(#REF!&lt;0,IF(#REF!&gt;0,"N/A",(-1)*(#REF!/#REF!-1)),IF(#REF!&lt;0,"N/A",(#REF!/#REF!-1)))</f>
        <v>#REF!</v>
      </c>
      <c r="CO389" s="787" t="e">
        <f>+IF(#REF!&lt;0,IF(#REF!&gt;0,"N/A",(-1)*(#REF!/#REF!-1)),IF(#REF!&lt;0,"N/A",(#REF!/#REF!-1)))</f>
        <v>#REF!</v>
      </c>
      <c r="CP389" s="787" t="e">
        <f>+IF(#REF!&lt;0,IF(#REF!&gt;0,"N/A",(-1)*(#REF!/#REF!-1)),IF(#REF!&lt;0,"N/A",(#REF!/#REF!-1)))</f>
        <v>#REF!</v>
      </c>
      <c r="CQ389" s="787" t="e">
        <f>+IF(#REF!&lt;0,IF(#REF!&gt;0,"N/A",(-1)*(#REF!/#REF!-1)),IF(#REF!&lt;0,"N/A",(#REF!/#REF!-1)))</f>
        <v>#REF!</v>
      </c>
      <c r="CR389" s="1081"/>
      <c r="CS389" s="787" t="e">
        <f>+IF(#REF!&lt;0,IF(#REF!&gt;0,"N/A",(-1)*(#REF!/#REF!-1)),IF(#REF!&lt;0,"N/A",(#REF!/#REF!-1)))</f>
        <v>#REF!</v>
      </c>
      <c r="CT389" s="787" t="e">
        <f>+IF(#REF!&lt;0,IF(#REF!&gt;0,"N/A",(-1)*(#REF!/#REF!-1)),IF(#REF!&lt;0,"N/A",(#REF!/#REF!-1)))</f>
        <v>#REF!</v>
      </c>
      <c r="CU389" s="787" t="e">
        <f>+IF(#REF!&lt;0,IF(#REF!&gt;0,"N/A",(-1)*(#REF!/#REF!-1)),IF(#REF!&lt;0,"N/A",(#REF!/#REF!-1)))</f>
        <v>#REF!</v>
      </c>
      <c r="CV389" s="787" t="e">
        <f>+IF(#REF!&lt;0,IF(#REF!&gt;0,"N/A",(-1)*(#REF!/#REF!-1)),IF(#REF!&lt;0,"N/A",(#REF!/#REF!-1)))</f>
        <v>#REF!</v>
      </c>
      <c r="CW389" s="1081"/>
      <c r="CX389" s="787" t="e">
        <f>+IF(#REF!&lt;0,IF(#REF!&gt;0,"N/A",(-1)*(#REF!/#REF!-1)),IF(#REF!&lt;0,"N/A",(#REF!/#REF!-1)))</f>
        <v>#REF!</v>
      </c>
      <c r="CY389" s="787" t="e">
        <f>+IF(#REF!&lt;0,IF(#REF!&gt;0,"N/A",(-1)*(#REF!/#REF!-1)),IF(#REF!&lt;0,"N/A",(#REF!/#REF!-1)))</f>
        <v>#REF!</v>
      </c>
      <c r="CZ389" s="787" t="e">
        <f>+IF(#REF!&lt;0,IF(#REF!&gt;0,"N/A",(-1)*(#REF!/#REF!-1)),IF(#REF!&lt;0,"N/A",(#REF!/#REF!-1)))</f>
        <v>#REF!</v>
      </c>
      <c r="DA389" s="787" t="e">
        <f>+IF(#REF!&lt;0,IF(#REF!&gt;0,"N/A",(-1)*(#REF!/#REF!-1)),IF(#REF!&lt;0,"N/A",(#REF!/#REF!-1)))</f>
        <v>#REF!</v>
      </c>
      <c r="DB389" s="1326"/>
      <c r="DC389" s="2646"/>
      <c r="DD389" s="2646"/>
      <c r="DE389" s="2646"/>
      <c r="DF389" s="2646"/>
      <c r="DG389" s="1326"/>
      <c r="DH389" s="2646"/>
      <c r="DI389" s="2646"/>
      <c r="DJ389" s="2646"/>
      <c r="DK389" s="2646"/>
      <c r="DL389" s="1326"/>
      <c r="DM389" s="2646"/>
      <c r="DN389" s="2646"/>
      <c r="DO389" s="2646"/>
      <c r="DP389" s="2646"/>
      <c r="DQ389" s="1326"/>
      <c r="DR389" s="2646"/>
      <c r="DS389" s="2646"/>
      <c r="DT389" s="2646"/>
      <c r="DU389" s="2646"/>
      <c r="DV389" s="1326"/>
      <c r="DW389" s="2646"/>
      <c r="DX389" s="2646"/>
      <c r="DY389" s="2646"/>
      <c r="DZ389" s="2646"/>
      <c r="EA389" s="1326"/>
      <c r="EB389" s="2646"/>
      <c r="EC389" s="2646"/>
      <c r="ED389" s="2646"/>
      <c r="EE389" s="2646"/>
      <c r="EF389" s="1326"/>
      <c r="EG389" s="2646"/>
      <c r="EH389" s="2646"/>
      <c r="EI389" s="2646"/>
      <c r="EJ389" s="2646"/>
      <c r="EK389" s="1326"/>
      <c r="EL389" s="2646"/>
      <c r="EM389" s="2646"/>
      <c r="EN389" s="2646"/>
      <c r="EO389" s="2646"/>
      <c r="EP389" s="1326"/>
      <c r="EQ389" s="2646"/>
      <c r="ER389" s="2646"/>
      <c r="ES389" s="2646"/>
      <c r="ET389" s="2646"/>
      <c r="EU389" s="1326"/>
      <c r="EV389" s="1326"/>
      <c r="EW389" s="1326"/>
      <c r="EX389" s="1326"/>
      <c r="EY389" s="1326"/>
      <c r="EZ389" s="767"/>
      <c r="FA389" s="718"/>
      <c r="FB389" s="718"/>
    </row>
    <row r="390" spans="1:158" s="766" customFormat="1" hidden="1">
      <c r="A390" s="1522" t="s">
        <v>446</v>
      </c>
      <c r="CH390" s="1081"/>
      <c r="CI390" s="787"/>
      <c r="CJ390" s="787"/>
      <c r="CK390" s="787"/>
      <c r="CL390" s="787"/>
      <c r="CM390" s="1081"/>
      <c r="CN390" s="787" t="e">
        <f>+IF(#REF!&lt;0,IF(#REF!&gt;0,"N/A",(-1)*(#REF!/#REF!-1)),IF(#REF!&lt;0,"N/A",(#REF!/#REF!-1)))</f>
        <v>#REF!</v>
      </c>
      <c r="CO390" s="787" t="e">
        <f>+IF(#REF!&lt;0,IF(#REF!&gt;0,"N/A",(-1)*(#REF!/#REF!-1)),IF(#REF!&lt;0,"N/A",(#REF!/#REF!-1)))</f>
        <v>#REF!</v>
      </c>
      <c r="CP390" s="787" t="e">
        <f>+IF(#REF!&lt;0,IF(#REF!&gt;0,"N/A",(-1)*(#REF!/#REF!-1)),IF(#REF!&lt;0,"N/A",(#REF!/#REF!-1)))</f>
        <v>#REF!</v>
      </c>
      <c r="CQ390" s="787" t="e">
        <f>+IF(#REF!&lt;0,IF(#REF!&gt;0,"N/A",(-1)*(#REF!/#REF!-1)),IF(#REF!&lt;0,"N/A",(#REF!/#REF!-1)))</f>
        <v>#REF!</v>
      </c>
      <c r="CR390" s="1081"/>
      <c r="CS390" s="787" t="e">
        <f>+IF(#REF!&lt;0,IF(#REF!&gt;0,"N/A",(-1)*(#REF!/#REF!-1)),IF(#REF!&lt;0,"N/A",(#REF!/#REF!-1)))</f>
        <v>#REF!</v>
      </c>
      <c r="CT390" s="787" t="e">
        <f>+IF(#REF!&lt;0,IF(#REF!&gt;0,"N/A",(-1)*(#REF!/#REF!-1)),IF(#REF!&lt;0,"N/A",(#REF!/#REF!-1)))</f>
        <v>#REF!</v>
      </c>
      <c r="CU390" s="787" t="e">
        <f>+IF(#REF!&lt;0,IF(#REF!&gt;0,"N/A",(-1)*(#REF!/#REF!-1)),IF(#REF!&lt;0,"N/A",(#REF!/#REF!-1)))</f>
        <v>#REF!</v>
      </c>
      <c r="CV390" s="787" t="e">
        <f>+IF(#REF!&lt;0,IF(#REF!&gt;0,"N/A",(-1)*(#REF!/#REF!-1)),IF(#REF!&lt;0,"N/A",(#REF!/#REF!-1)))</f>
        <v>#REF!</v>
      </c>
      <c r="CW390" s="1081"/>
      <c r="CX390" s="787" t="e">
        <f>+IF(#REF!&lt;0,IF(#REF!&gt;0,"N/A",(-1)*(#REF!/#REF!-1)),IF(#REF!&lt;0,"N/A",(#REF!/#REF!-1)))</f>
        <v>#REF!</v>
      </c>
      <c r="CY390" s="787" t="e">
        <f>+IF(#REF!&lt;0,IF(#REF!&gt;0,"N/A",(-1)*(#REF!/#REF!-1)),IF(#REF!&lt;0,"N/A",(#REF!/#REF!-1)))</f>
        <v>#REF!</v>
      </c>
      <c r="CZ390" s="787" t="e">
        <f>+IF(#REF!&lt;0,IF(#REF!&gt;0,"N/A",(-1)*(#REF!/#REF!-1)),IF(#REF!&lt;0,"N/A",(#REF!/#REF!-1)))</f>
        <v>#REF!</v>
      </c>
      <c r="DA390" s="787" t="e">
        <f>+IF(#REF!&lt;0,IF(#REF!&gt;0,"N/A",(-1)*(#REF!/#REF!-1)),IF(#REF!&lt;0,"N/A",(#REF!/#REF!-1)))</f>
        <v>#REF!</v>
      </c>
      <c r="DB390" s="1326"/>
      <c r="DC390" s="2646"/>
      <c r="DD390" s="2646"/>
      <c r="DE390" s="2646"/>
      <c r="DF390" s="2646"/>
      <c r="DG390" s="1326"/>
      <c r="DH390" s="2646"/>
      <c r="DI390" s="2646"/>
      <c r="DJ390" s="2646"/>
      <c r="DK390" s="2646"/>
      <c r="DL390" s="1326"/>
      <c r="DM390" s="2646"/>
      <c r="DN390" s="2646"/>
      <c r="DO390" s="2646"/>
      <c r="DP390" s="2646"/>
      <c r="DQ390" s="1326"/>
      <c r="DR390" s="2646"/>
      <c r="DS390" s="2646"/>
      <c r="DT390" s="2646"/>
      <c r="DU390" s="2646"/>
      <c r="DV390" s="1326"/>
      <c r="DW390" s="2646"/>
      <c r="DX390" s="2646"/>
      <c r="DY390" s="2646"/>
      <c r="DZ390" s="2646"/>
      <c r="EA390" s="1326"/>
      <c r="EB390" s="2646"/>
      <c r="EC390" s="2646"/>
      <c r="ED390" s="2646"/>
      <c r="EE390" s="2646"/>
      <c r="EF390" s="1326"/>
      <c r="EG390" s="2646"/>
      <c r="EH390" s="2646"/>
      <c r="EI390" s="2646"/>
      <c r="EJ390" s="2646"/>
      <c r="EK390" s="1326"/>
      <c r="EL390" s="2646"/>
      <c r="EM390" s="2646"/>
      <c r="EN390" s="2646"/>
      <c r="EO390" s="2646"/>
      <c r="EP390" s="1326"/>
      <c r="EQ390" s="2646"/>
      <c r="ER390" s="2646"/>
      <c r="ES390" s="2646"/>
      <c r="ET390" s="2646"/>
      <c r="EU390" s="1326"/>
      <c r="EV390" s="1326"/>
      <c r="EW390" s="1326"/>
      <c r="EX390" s="1326"/>
      <c r="EY390" s="1326"/>
      <c r="EZ390" s="767"/>
      <c r="FA390" s="718"/>
      <c r="FB390" s="718"/>
    </row>
    <row r="391" spans="1:158" s="535" customFormat="1" hidden="1">
      <c r="A391" s="1520" t="s">
        <v>562</v>
      </c>
      <c r="B391" s="764"/>
      <c r="C391" s="764"/>
      <c r="D391" s="764"/>
      <c r="E391" s="764"/>
      <c r="F391" s="764"/>
      <c r="G391" s="764"/>
      <c r="H391" s="764"/>
      <c r="I391" s="764"/>
      <c r="J391" s="764"/>
      <c r="K391" s="764"/>
      <c r="L391" s="764"/>
      <c r="M391" s="764"/>
      <c r="N391" s="764"/>
      <c r="O391" s="764"/>
      <c r="P391" s="764"/>
      <c r="Q391" s="764"/>
      <c r="R391" s="764"/>
      <c r="S391" s="764"/>
      <c r="T391" s="764"/>
      <c r="U391" s="764"/>
      <c r="V391" s="764"/>
      <c r="W391" s="764"/>
      <c r="X391" s="764"/>
      <c r="Y391" s="764"/>
      <c r="Z391" s="764"/>
      <c r="AA391" s="764"/>
      <c r="AB391" s="764"/>
      <c r="AC391" s="764"/>
      <c r="AD391" s="764"/>
      <c r="AE391" s="764"/>
      <c r="AF391" s="764"/>
      <c r="AG391" s="764"/>
      <c r="AH391" s="764"/>
      <c r="AI391" s="764"/>
      <c r="AJ391" s="764"/>
      <c r="AK391" s="764"/>
      <c r="AL391" s="764"/>
      <c r="AM391" s="764"/>
      <c r="AN391" s="764"/>
      <c r="AO391" s="764"/>
      <c r="AP391" s="764"/>
      <c r="AQ391" s="764"/>
      <c r="AR391" s="764"/>
      <c r="AS391" s="764"/>
      <c r="AT391" s="764"/>
      <c r="AU391" s="764"/>
      <c r="AV391" s="764"/>
      <c r="AW391" s="764"/>
      <c r="AX391" s="764"/>
      <c r="AY391" s="764"/>
      <c r="AZ391" s="764"/>
      <c r="BA391" s="764"/>
      <c r="BB391" s="764"/>
      <c r="BC391" s="764"/>
      <c r="BD391" s="764"/>
      <c r="BE391" s="764"/>
      <c r="BF391" s="764"/>
      <c r="BG391" s="764"/>
      <c r="BH391" s="764"/>
      <c r="BI391" s="764"/>
      <c r="BJ391" s="764"/>
      <c r="BK391" s="764"/>
      <c r="BL391" s="764"/>
      <c r="BM391" s="764"/>
      <c r="BN391" s="764"/>
      <c r="BO391" s="764"/>
      <c r="BP391" s="764"/>
      <c r="BQ391" s="764"/>
      <c r="BR391" s="764"/>
      <c r="BS391" s="764"/>
      <c r="BT391" s="764"/>
      <c r="BU391" s="764"/>
      <c r="BV391" s="764"/>
      <c r="BW391" s="764"/>
      <c r="BX391" s="764"/>
      <c r="BY391" s="764"/>
      <c r="BZ391" s="764"/>
      <c r="CA391" s="764"/>
      <c r="CB391" s="764"/>
      <c r="CC391" s="764"/>
      <c r="CD391" s="764"/>
      <c r="CE391" s="764"/>
      <c r="CF391" s="764"/>
      <c r="CG391" s="764"/>
      <c r="CH391" s="1080"/>
      <c r="CI391" s="789"/>
      <c r="CJ391" s="789"/>
      <c r="CK391" s="789"/>
      <c r="CL391" s="789"/>
      <c r="CM391" s="1080"/>
      <c r="CN391" s="789">
        <f>+IF(CN366&lt;0,IF(CL366&gt;0,"N/A",(-1)*(CN366/CL366-1)),IF(CL366&lt;0,"N/A",(CN366/CL366-1)))</f>
        <v>8.9285714285713969E-3</v>
      </c>
      <c r="CO391" s="789">
        <f>+IF(CO366&lt;0,IF(CN366&gt;0,"N/A",(-1)*(CO366/CN366-1)),IF(CN366&lt;0,"N/A",(CO366/CN366-1)))</f>
        <v>5.4336283185840717E-2</v>
      </c>
      <c r="CP391" s="789">
        <f>+IF(CP366&lt;0,IF(CO366&gt;0,"N/A",(-1)*(CP366/CO366-1)),IF(CO366&lt;0,"N/A",(CP366/CO366-1)))</f>
        <v>3.0720161154943693E-2</v>
      </c>
      <c r="CQ391" s="789">
        <f>+IF(CQ366&lt;0,IF(CP366&gt;0,"N/A",(-1)*(CQ366/CP366-1)),IF(CP366&lt;0,"N/A",(CQ366/CP366-1)))</f>
        <v>0.11009771986970684</v>
      </c>
      <c r="CR391" s="1080"/>
      <c r="CS391" s="789">
        <f>+IF(CS366&lt;0,IF(CQ366&gt;0,"N/A",(-1)*(CS366/CQ366-1)),IF(CQ366&lt;0,"N/A",(CS366/CQ366-1)))</f>
        <v>2.9342723004694982E-3</v>
      </c>
      <c r="CT391" s="789">
        <f>+IF(CT366&lt;0,IF(CS366&gt;0,"N/A",(-1)*(CT366/CS366-1)),IF(CS366&lt;0,"N/A",(CT366/CS366-1)))</f>
        <v>9.2890579286132313E-2</v>
      </c>
      <c r="CU391" s="789">
        <f>+IF(CU366&lt;0,IF(CT366&gt;0,"N/A",(-1)*(CU366/CT366-1)),IF(CT366&lt;0,"N/A",(CU366/CT366-1)))</f>
        <v>2.0880738856913439E-2</v>
      </c>
      <c r="CV391" s="789">
        <f>+IF(CV366&lt;0,IF(CU366&gt;0,"N/A",(-1)*(CV366/CU366-1)),IF(CU366&lt;0,"N/A",(CV366/CU366-1)))</f>
        <v>0.11249508325685076</v>
      </c>
      <c r="CW391" s="1080"/>
      <c r="CX391" s="789">
        <f>+IF(CX366&lt;0,IF(CV366&gt;0,"N/A",(-1)*(CX366/CV366-1)),IF(CV366&lt;0,"N/A",(CX366/CV366-1)))</f>
        <v>1.0842663523865648E-2</v>
      </c>
      <c r="CY391" s="789">
        <f>+IF(CY366&lt;0,IF(CX366&gt;0,"N/A",(-1)*(CY366/CX366-1)),IF(CX366&lt;0,"N/A",(CY366/CX366-1)))</f>
        <v>3.4277719482336488E-2</v>
      </c>
      <c r="CZ391" s="789">
        <f>+IF(CZ366&lt;0,IF(CY366&gt;0,"N/A",(-1)*(CZ366/CY366-1)),IF(CY366&lt;0,"N/A",(CZ366/CY366-1)))</f>
        <v>8.2403336715139108E-2</v>
      </c>
      <c r="DA391" s="789">
        <f>+IF(DA366&lt;0,IF(CZ366&gt;0,"N/A",(-1)*(DA366/CZ366-1)),IF(CZ366&lt;0,"N/A",(DA366/CZ366-1)))</f>
        <v>-9.4771922516142526E-3</v>
      </c>
      <c r="DB391" s="1333"/>
      <c r="DC391" s="2647"/>
      <c r="DD391" s="2647"/>
      <c r="DE391" s="2647"/>
      <c r="DF391" s="2647"/>
      <c r="DG391" s="1333"/>
      <c r="DH391" s="2647"/>
      <c r="DI391" s="2647"/>
      <c r="DJ391" s="2647"/>
      <c r="DK391" s="2647"/>
      <c r="DL391" s="1333"/>
      <c r="DM391" s="2647"/>
      <c r="DN391" s="2647"/>
      <c r="DO391" s="2647"/>
      <c r="DP391" s="2647"/>
      <c r="DQ391" s="1333"/>
      <c r="DR391" s="2647"/>
      <c r="DS391" s="2647"/>
      <c r="DT391" s="2647"/>
      <c r="DU391" s="2647"/>
      <c r="DV391" s="1333"/>
      <c r="DW391" s="2647"/>
      <c r="DX391" s="2647"/>
      <c r="DY391" s="2647"/>
      <c r="DZ391" s="2647"/>
      <c r="EA391" s="1333"/>
      <c r="EB391" s="2647"/>
      <c r="EC391" s="2647"/>
      <c r="ED391" s="2647"/>
      <c r="EE391" s="2647"/>
      <c r="EF391" s="1333"/>
      <c r="EG391" s="2647"/>
      <c r="EH391" s="2647"/>
      <c r="EI391" s="2647"/>
      <c r="EJ391" s="2647"/>
      <c r="EK391" s="1333"/>
      <c r="EL391" s="2647"/>
      <c r="EM391" s="2647"/>
      <c r="EN391" s="2647"/>
      <c r="EO391" s="2647"/>
      <c r="EP391" s="1333"/>
      <c r="EQ391" s="2647"/>
      <c r="ER391" s="2647"/>
      <c r="ES391" s="2647"/>
      <c r="ET391" s="2647"/>
      <c r="EU391" s="1333"/>
      <c r="EV391" s="1333"/>
      <c r="EW391" s="1333"/>
      <c r="EX391" s="1333"/>
      <c r="EY391" s="1333"/>
      <c r="EZ391" s="2586"/>
      <c r="FA391" s="718"/>
      <c r="FB391" s="718"/>
    </row>
    <row r="392" spans="1:158" s="535" customFormat="1" hidden="1">
      <c r="A392" s="1524" t="s">
        <v>468</v>
      </c>
      <c r="B392" s="766"/>
      <c r="C392" s="766"/>
      <c r="D392" s="766"/>
      <c r="E392" s="766"/>
      <c r="F392" s="766"/>
      <c r="G392" s="766"/>
      <c r="H392" s="766"/>
      <c r="I392" s="766"/>
      <c r="J392" s="766"/>
      <c r="K392" s="766"/>
      <c r="L392" s="766"/>
      <c r="M392" s="766"/>
      <c r="N392" s="766"/>
      <c r="O392" s="766"/>
      <c r="P392" s="766"/>
      <c r="Q392" s="766"/>
      <c r="R392" s="766"/>
      <c r="S392" s="766"/>
      <c r="T392" s="766"/>
      <c r="U392" s="766"/>
      <c r="V392" s="766"/>
      <c r="W392" s="766"/>
      <c r="X392" s="766"/>
      <c r="Y392" s="766"/>
      <c r="Z392" s="766"/>
      <c r="AA392" s="766"/>
      <c r="AB392" s="766"/>
      <c r="AC392" s="766"/>
      <c r="AD392" s="766"/>
      <c r="AE392" s="766"/>
      <c r="AF392" s="766"/>
      <c r="AG392" s="766"/>
      <c r="AH392" s="766"/>
      <c r="AI392" s="766"/>
      <c r="AJ392" s="766"/>
      <c r="AK392" s="766"/>
      <c r="AL392" s="766"/>
      <c r="AM392" s="766"/>
      <c r="AN392" s="766"/>
      <c r="AO392" s="766"/>
      <c r="AP392" s="766"/>
      <c r="AQ392" s="766"/>
      <c r="AR392" s="766"/>
      <c r="AS392" s="766"/>
      <c r="AT392" s="766"/>
      <c r="AU392" s="766"/>
      <c r="AV392" s="766"/>
      <c r="AW392" s="766"/>
      <c r="AX392" s="766"/>
      <c r="AY392" s="766"/>
      <c r="AZ392" s="766"/>
      <c r="BA392" s="766"/>
      <c r="BB392" s="766"/>
      <c r="BC392" s="766"/>
      <c r="BD392" s="766"/>
      <c r="BE392" s="766"/>
      <c r="BF392" s="766"/>
      <c r="BG392" s="766"/>
      <c r="BH392" s="766"/>
      <c r="BI392" s="766"/>
      <c r="BJ392" s="766"/>
      <c r="BK392" s="766"/>
      <c r="BL392" s="766"/>
      <c r="BM392" s="766"/>
      <c r="BN392" s="766"/>
      <c r="BO392" s="766"/>
      <c r="BP392" s="766"/>
      <c r="BQ392" s="766"/>
      <c r="BR392" s="766"/>
      <c r="BS392" s="766"/>
      <c r="BT392" s="766"/>
      <c r="BU392" s="766"/>
      <c r="BV392" s="766"/>
      <c r="BW392" s="766"/>
      <c r="BX392" s="766"/>
      <c r="BY392" s="766"/>
      <c r="BZ392" s="766"/>
      <c r="CA392" s="766"/>
      <c r="CB392" s="766"/>
      <c r="CC392" s="766"/>
      <c r="CD392" s="766"/>
      <c r="CE392" s="766"/>
      <c r="CF392" s="766"/>
      <c r="CG392" s="766"/>
      <c r="CH392" s="1081"/>
      <c r="CI392" s="787"/>
      <c r="CJ392" s="787"/>
      <c r="CK392" s="787"/>
      <c r="CL392" s="787"/>
      <c r="CM392" s="1081"/>
      <c r="CN392" s="787">
        <f>+IF(CN315&lt;0,IF(CL315&gt;0,"N/A",(-1)*(CN315/CL315-1)),IF(CL315&lt;0,"N/A",(CN315/CL315-1)))</f>
        <v>1.6652789342215257E-3</v>
      </c>
      <c r="CO392" s="787">
        <f t="shared" ref="CO392:CQ393" si="638">+IF(CO315&lt;0,IF(CN315&gt;0,"N/A",(-1)*(CO315/CN315-1)),IF(CN315&lt;0,"N/A",(CO315/CN315-1)))</f>
        <v>-5.9019118869492959E-2</v>
      </c>
      <c r="CP392" s="787">
        <f t="shared" si="638"/>
        <v>0.26501766784452307</v>
      </c>
      <c r="CQ392" s="787">
        <f t="shared" si="638"/>
        <v>2.7932960893854997E-3</v>
      </c>
      <c r="CR392" s="1081"/>
      <c r="CS392" s="787">
        <f>+IF(CS315&lt;0,IF(CQ315&gt;0,"N/A",(-1)*(CS315/CQ315-1)),IF(CQ315&lt;0,"N/A",(CS315/CQ315-1)))</f>
        <v>4.0389972144846853E-2</v>
      </c>
      <c r="CT392" s="787">
        <f t="shared" ref="CT392:CV393" si="639">+IF(CT315&lt;0,IF(CS315&gt;0,"N/A",(-1)*(CT315/CS315-1)),IF(CS315&lt;0,"N/A",(CT315/CS315-1)))</f>
        <v>6.0240963855422436E-3</v>
      </c>
      <c r="CU392" s="787">
        <f t="shared" si="639"/>
        <v>0.23752495009980046</v>
      </c>
      <c r="CV392" s="787">
        <f t="shared" si="639"/>
        <v>-7.5268817204301453E-3</v>
      </c>
      <c r="CW392" s="1081"/>
      <c r="CX392" s="787">
        <f>+IF(CX315&lt;0,IF(CV315&gt;0,"N/A",(-1)*(CX315/CV315-1)),IF(CV315&lt;0,"N/A",(CX315/CV315-1)))</f>
        <v>8.8299024918743196E-2</v>
      </c>
      <c r="CY392" s="787">
        <f t="shared" ref="CY392:DA393" si="640">+IF(CY315&lt;0,IF(CX315&gt;0,"N/A",(-1)*(CY315/CX315-1)),IF(CX315&lt;0,"N/A",(CY315/CX315-1)))</f>
        <v>-2.9865604778497312E-3</v>
      </c>
      <c r="CZ392" s="787">
        <f t="shared" si="640"/>
        <v>-9.1362955566649973E-2</v>
      </c>
      <c r="DA392" s="787">
        <f t="shared" si="640"/>
        <v>1.4835164835164782E-2</v>
      </c>
      <c r="DB392" s="1326"/>
      <c r="DC392" s="2646"/>
      <c r="DD392" s="2646"/>
      <c r="DE392" s="2646"/>
      <c r="DF392" s="2646"/>
      <c r="DG392" s="1326"/>
      <c r="DH392" s="2646"/>
      <c r="DI392" s="2646"/>
      <c r="DJ392" s="2646"/>
      <c r="DK392" s="2646"/>
      <c r="DL392" s="1326"/>
      <c r="DM392" s="2646"/>
      <c r="DN392" s="2646"/>
      <c r="DO392" s="2646"/>
      <c r="DP392" s="2646"/>
      <c r="DQ392" s="1326"/>
      <c r="DR392" s="2646"/>
      <c r="DS392" s="2646"/>
      <c r="DT392" s="2646"/>
      <c r="DU392" s="2646"/>
      <c r="DV392" s="1326"/>
      <c r="DW392" s="2646"/>
      <c r="DX392" s="2646"/>
      <c r="DY392" s="2646"/>
      <c r="DZ392" s="2646"/>
      <c r="EA392" s="1326"/>
      <c r="EB392" s="2646"/>
      <c r="EC392" s="2646"/>
      <c r="ED392" s="2646"/>
      <c r="EE392" s="2646"/>
      <c r="EF392" s="1326"/>
      <c r="EG392" s="2646"/>
      <c r="EH392" s="2646"/>
      <c r="EI392" s="2646"/>
      <c r="EJ392" s="2646"/>
      <c r="EK392" s="1326"/>
      <c r="EL392" s="2646"/>
      <c r="EM392" s="2646"/>
      <c r="EN392" s="2646"/>
      <c r="EO392" s="2646"/>
      <c r="EP392" s="1326"/>
      <c r="EQ392" s="2646"/>
      <c r="ER392" s="2646"/>
      <c r="ES392" s="2646"/>
      <c r="ET392" s="2646"/>
      <c r="EU392" s="1326"/>
      <c r="EV392" s="1326"/>
      <c r="EW392" s="1326"/>
      <c r="EX392" s="1326"/>
      <c r="EY392" s="1326"/>
      <c r="EZ392" s="2586"/>
      <c r="FA392" s="718"/>
      <c r="FB392" s="718"/>
    </row>
    <row r="393" spans="1:158" s="535" customFormat="1" hidden="1">
      <c r="A393" s="1520" t="s">
        <v>563</v>
      </c>
      <c r="B393" s="764"/>
      <c r="C393" s="764"/>
      <c r="D393" s="764"/>
      <c r="E393" s="764"/>
      <c r="F393" s="764"/>
      <c r="G393" s="764"/>
      <c r="H393" s="764"/>
      <c r="I393" s="764"/>
      <c r="J393" s="764"/>
      <c r="K393" s="764"/>
      <c r="L393" s="764"/>
      <c r="M393" s="764"/>
      <c r="N393" s="764"/>
      <c r="O393" s="764"/>
      <c r="P393" s="764"/>
      <c r="Q393" s="764"/>
      <c r="R393" s="764"/>
      <c r="S393" s="764"/>
      <c r="T393" s="764"/>
      <c r="U393" s="764"/>
      <c r="V393" s="764"/>
      <c r="W393" s="764"/>
      <c r="X393" s="764"/>
      <c r="Y393" s="764"/>
      <c r="Z393" s="764"/>
      <c r="AA393" s="764"/>
      <c r="AB393" s="764"/>
      <c r="AC393" s="764"/>
      <c r="AD393" s="764"/>
      <c r="AE393" s="764"/>
      <c r="AF393" s="764"/>
      <c r="AG393" s="764"/>
      <c r="AH393" s="764"/>
      <c r="AI393" s="764"/>
      <c r="AJ393" s="764"/>
      <c r="AK393" s="764"/>
      <c r="AL393" s="764"/>
      <c r="AM393" s="764"/>
      <c r="AN393" s="764"/>
      <c r="AO393" s="764"/>
      <c r="AP393" s="764"/>
      <c r="AQ393" s="764"/>
      <c r="AR393" s="764"/>
      <c r="AS393" s="764"/>
      <c r="AT393" s="764"/>
      <c r="AU393" s="764"/>
      <c r="AV393" s="764"/>
      <c r="AW393" s="764"/>
      <c r="AX393" s="764"/>
      <c r="AY393" s="764"/>
      <c r="AZ393" s="764"/>
      <c r="BA393" s="764"/>
      <c r="BB393" s="764"/>
      <c r="BC393" s="764"/>
      <c r="BD393" s="764"/>
      <c r="BE393" s="764"/>
      <c r="BF393" s="764"/>
      <c r="BG393" s="764"/>
      <c r="BH393" s="764"/>
      <c r="BI393" s="764"/>
      <c r="BJ393" s="764"/>
      <c r="BK393" s="764"/>
      <c r="BL393" s="764"/>
      <c r="BM393" s="764"/>
      <c r="BN393" s="764"/>
      <c r="BO393" s="764"/>
      <c r="BP393" s="764"/>
      <c r="BQ393" s="764"/>
      <c r="BR393" s="764"/>
      <c r="BS393" s="764"/>
      <c r="BT393" s="764"/>
      <c r="BU393" s="764"/>
      <c r="BV393" s="764"/>
      <c r="BW393" s="764"/>
      <c r="BX393" s="764"/>
      <c r="BY393" s="764"/>
      <c r="BZ393" s="764"/>
      <c r="CA393" s="764"/>
      <c r="CB393" s="764"/>
      <c r="CC393" s="764"/>
      <c r="CD393" s="764"/>
      <c r="CE393" s="764"/>
      <c r="CF393" s="764"/>
      <c r="CG393" s="764"/>
      <c r="CH393" s="1080"/>
      <c r="CI393" s="789"/>
      <c r="CJ393" s="789"/>
      <c r="CK393" s="789"/>
      <c r="CL393" s="789"/>
      <c r="CM393" s="1080"/>
      <c r="CN393" s="789">
        <f>+IF(CN316&lt;0,IF(CL316&gt;0,"N/A",(-1)*(CN316/CL316-1)),IF(CL316&lt;0,"N/A",(CN316/CL316-1)))</f>
        <v>1.0911570811548144E-2</v>
      </c>
      <c r="CO393" s="789">
        <f t="shared" si="638"/>
        <v>8.5001124353496715E-2</v>
      </c>
      <c r="CP393" s="789">
        <f t="shared" si="638"/>
        <v>-2.4248704663212384E-2</v>
      </c>
      <c r="CQ393" s="789">
        <f t="shared" si="638"/>
        <v>0.1427357689039932</v>
      </c>
      <c r="CR393" s="1080"/>
      <c r="CS393" s="789">
        <f>+IF(CS316&lt;0,IF(CQ316&gt;0,"N/A",(-1)*(CS316/CQ316-1)),IF(CQ316&lt;0,"N/A",(CS316/CQ316-1)))</f>
        <v>-7.0631970260223165E-3</v>
      </c>
      <c r="CT393" s="789">
        <f t="shared" si="639"/>
        <v>0.11718457506551849</v>
      </c>
      <c r="CU393" s="789">
        <f t="shared" si="639"/>
        <v>-3.3679624664879393E-2</v>
      </c>
      <c r="CV393" s="789">
        <f t="shared" si="639"/>
        <v>0.15120513265129176</v>
      </c>
      <c r="CW393" s="1080"/>
      <c r="CX393" s="789">
        <f>+IF(CX316&lt;0,IF(CV316&gt;0,"N/A",(-1)*(CX316/CV316-1)),IF(CV316&lt;0,"N/A",(CX316/CV316-1)))</f>
        <v>-1.0694381683988508E-2</v>
      </c>
      <c r="CY393" s="789">
        <f t="shared" si="640"/>
        <v>-0.37088915956151036</v>
      </c>
      <c r="CZ393" s="789">
        <f t="shared" si="640"/>
        <v>0.88334946757018384</v>
      </c>
      <c r="DA393" s="789">
        <f t="shared" si="640"/>
        <v>-1.5163197121562555E-2</v>
      </c>
      <c r="DB393" s="1333"/>
      <c r="DC393" s="2647"/>
      <c r="DD393" s="2647"/>
      <c r="DE393" s="2647"/>
      <c r="DF393" s="2647"/>
      <c r="DG393" s="1333"/>
      <c r="DH393" s="2647"/>
      <c r="DI393" s="2647"/>
      <c r="DJ393" s="2647"/>
      <c r="DK393" s="2647"/>
      <c r="DL393" s="1333"/>
      <c r="DM393" s="2647"/>
      <c r="DN393" s="2647"/>
      <c r="DO393" s="2647"/>
      <c r="DP393" s="2647"/>
      <c r="DQ393" s="1333"/>
      <c r="DR393" s="2647"/>
      <c r="DS393" s="2647"/>
      <c r="DT393" s="2647"/>
      <c r="DU393" s="2647"/>
      <c r="DV393" s="1333"/>
      <c r="DW393" s="2647"/>
      <c r="DX393" s="2647"/>
      <c r="DY393" s="2647"/>
      <c r="DZ393" s="2647"/>
      <c r="EA393" s="1333"/>
      <c r="EB393" s="2647"/>
      <c r="EC393" s="2647"/>
      <c r="ED393" s="2647"/>
      <c r="EE393" s="2647"/>
      <c r="EF393" s="1333"/>
      <c r="EG393" s="2647"/>
      <c r="EH393" s="2647"/>
      <c r="EI393" s="2647"/>
      <c r="EJ393" s="2647"/>
      <c r="EK393" s="1333"/>
      <c r="EL393" s="2647"/>
      <c r="EM393" s="2647"/>
      <c r="EN393" s="2647"/>
      <c r="EO393" s="2647"/>
      <c r="EP393" s="1333"/>
      <c r="EQ393" s="2647"/>
      <c r="ER393" s="2647"/>
      <c r="ES393" s="2647"/>
      <c r="ET393" s="2647"/>
      <c r="EU393" s="1333"/>
      <c r="EV393" s="1333"/>
      <c r="EW393" s="1333"/>
      <c r="EX393" s="1333"/>
      <c r="EY393" s="1333"/>
      <c r="EZ393" s="2586"/>
      <c r="FA393" s="718"/>
      <c r="FB393" s="718"/>
    </row>
    <row r="394" spans="1:158" s="535" customFormat="1" hidden="1">
      <c r="A394" s="1520" t="s">
        <v>469</v>
      </c>
      <c r="B394" s="765"/>
      <c r="C394" s="765"/>
      <c r="D394" s="765"/>
      <c r="E394" s="765"/>
      <c r="F394" s="765"/>
      <c r="G394" s="765"/>
      <c r="H394" s="765"/>
      <c r="I394" s="765"/>
      <c r="J394" s="765"/>
      <c r="K394" s="765"/>
      <c r="L394" s="765"/>
      <c r="M394" s="765"/>
      <c r="N394" s="765"/>
      <c r="O394" s="765"/>
      <c r="P394" s="765"/>
      <c r="Q394" s="765"/>
      <c r="R394" s="765"/>
      <c r="S394" s="765"/>
      <c r="T394" s="765"/>
      <c r="U394" s="765"/>
      <c r="V394" s="765"/>
      <c r="W394" s="765"/>
      <c r="X394" s="765"/>
      <c r="Y394" s="765"/>
      <c r="Z394" s="765"/>
      <c r="AA394" s="765"/>
      <c r="AB394" s="765"/>
      <c r="AC394" s="765"/>
      <c r="AD394" s="765"/>
      <c r="AE394" s="765"/>
      <c r="AF394" s="765"/>
      <c r="AG394" s="765"/>
      <c r="AH394" s="765"/>
      <c r="AI394" s="765"/>
      <c r="AJ394" s="765"/>
      <c r="AK394" s="765"/>
      <c r="AL394" s="765"/>
      <c r="AM394" s="765"/>
      <c r="AN394" s="765"/>
      <c r="AO394" s="765"/>
      <c r="AP394" s="765"/>
      <c r="AQ394" s="765"/>
      <c r="AR394" s="765"/>
      <c r="AS394" s="765"/>
      <c r="AT394" s="765"/>
      <c r="AU394" s="765"/>
      <c r="AV394" s="765"/>
      <c r="AW394" s="765"/>
      <c r="AX394" s="765"/>
      <c r="AY394" s="765"/>
      <c r="AZ394" s="765"/>
      <c r="BA394" s="765"/>
      <c r="BB394" s="765"/>
      <c r="BC394" s="765"/>
      <c r="BD394" s="765"/>
      <c r="BE394" s="765"/>
      <c r="BF394" s="765"/>
      <c r="BG394" s="765"/>
      <c r="BH394" s="765"/>
      <c r="BI394" s="765"/>
      <c r="BJ394" s="765"/>
      <c r="BK394" s="765"/>
      <c r="BL394" s="765"/>
      <c r="BM394" s="765"/>
      <c r="BN394" s="765"/>
      <c r="BO394" s="765"/>
      <c r="BP394" s="765"/>
      <c r="BQ394" s="765"/>
      <c r="BR394" s="765"/>
      <c r="BS394" s="765"/>
      <c r="BT394" s="765"/>
      <c r="BU394" s="765"/>
      <c r="BV394" s="765"/>
      <c r="BW394" s="765"/>
      <c r="BX394" s="765"/>
      <c r="BY394" s="765"/>
      <c r="BZ394" s="765"/>
      <c r="CA394" s="765"/>
      <c r="CB394" s="765"/>
      <c r="CC394" s="765"/>
      <c r="CD394" s="765"/>
      <c r="CE394" s="765"/>
      <c r="CF394" s="765"/>
      <c r="CG394" s="765"/>
      <c r="CH394" s="1078"/>
      <c r="CI394" s="785"/>
      <c r="CJ394" s="785"/>
      <c r="CK394" s="785"/>
      <c r="CL394" s="785"/>
      <c r="CM394" s="1078"/>
      <c r="CN394" s="785">
        <f>+IF(CN325&lt;0,IF(CL325&gt;0,"N/A",(-1)*(CN325/CL325-1)),IF(CL325&lt;0,"N/A",(CN325/CL325-1)))</f>
        <v>-0.17572514784567728</v>
      </c>
      <c r="CO394" s="785">
        <f t="shared" ref="CO394:CQ395" si="641">+IF(CO325&lt;0,IF(CN325&gt;0,"N/A",(-1)*(CO325/CN325-1)),IF(CN325&lt;0,"N/A",(CO325/CN325-1)))</f>
        <v>-0.1407584557567475</v>
      </c>
      <c r="CP394" s="785">
        <f t="shared" si="641"/>
        <v>-5.2485089463220724E-2</v>
      </c>
      <c r="CQ394" s="785">
        <f t="shared" si="641"/>
        <v>-0.1179185900125892</v>
      </c>
      <c r="CR394" s="1078"/>
      <c r="CS394" s="785">
        <f>+IF(CS325&lt;0,IF(CQ325&gt;0,"N/A",(-1)*(CS325/CQ325-1)),IF(CQ325&lt;0,"N/A",(CS325/CQ325-1)))</f>
        <v>0.16270218839200767</v>
      </c>
      <c r="CT394" s="785">
        <f t="shared" ref="CT394:CV395" si="642">+IF(CT325&lt;0,IF(CS325&gt;0,"N/A",(-1)*(CT325/CS325-1)),IF(CS325&lt;0,"N/A",(CT325/CS325-1)))</f>
        <v>-0.1260229132569558</v>
      </c>
      <c r="CU394" s="785">
        <f t="shared" si="642"/>
        <v>0.19569288389513106</v>
      </c>
      <c r="CV394" s="785">
        <f t="shared" si="642"/>
        <v>0.20516836335160527</v>
      </c>
      <c r="CW394" s="1078"/>
      <c r="CX394" s="785">
        <f>+IF(CX325&lt;0,IF(CV325&gt;0,"N/A",(-1)*(CX325/CV325-1)),IF(CV325&lt;0,"N/A",(CX325/CV325-1)))</f>
        <v>-0.18518518518518523</v>
      </c>
      <c r="CY394" s="785">
        <f t="shared" ref="CY394:DA395" si="643">+IF(CY325&lt;0,IF(CX325&gt;0,"N/A",(-1)*(CY325/CX325-1)),IF(CX325&lt;0,"N/A",(CY325/CX325-1)))</f>
        <v>0.1287878787878789</v>
      </c>
      <c r="CZ394" s="785">
        <f t="shared" si="643"/>
        <v>0.24973507594489575</v>
      </c>
      <c r="DA394" s="785">
        <f t="shared" si="643"/>
        <v>0.21735443753533068</v>
      </c>
      <c r="DB394" s="1331"/>
      <c r="DC394" s="2644"/>
      <c r="DD394" s="2644"/>
      <c r="DE394" s="2644"/>
      <c r="DF394" s="2644"/>
      <c r="DG394" s="1331"/>
      <c r="DH394" s="2644"/>
      <c r="DI394" s="2644"/>
      <c r="DJ394" s="2644"/>
      <c r="DK394" s="2644"/>
      <c r="DL394" s="1331"/>
      <c r="DM394" s="2644"/>
      <c r="DN394" s="2644"/>
      <c r="DO394" s="2644"/>
      <c r="DP394" s="2644"/>
      <c r="DQ394" s="1331"/>
      <c r="DR394" s="2644"/>
      <c r="DS394" s="2644"/>
      <c r="DT394" s="2644"/>
      <c r="DU394" s="2644"/>
      <c r="DV394" s="1331"/>
      <c r="DW394" s="2644"/>
      <c r="DX394" s="2644"/>
      <c r="DY394" s="2644"/>
      <c r="DZ394" s="2644"/>
      <c r="EA394" s="1331"/>
      <c r="EB394" s="2644"/>
      <c r="EC394" s="2644"/>
      <c r="ED394" s="2644"/>
      <c r="EE394" s="2644"/>
      <c r="EF394" s="1331"/>
      <c r="EG394" s="2644"/>
      <c r="EH394" s="2644"/>
      <c r="EI394" s="2644"/>
      <c r="EJ394" s="2644"/>
      <c r="EK394" s="1331"/>
      <c r="EL394" s="2644"/>
      <c r="EM394" s="2644"/>
      <c r="EN394" s="2644"/>
      <c r="EO394" s="2644"/>
      <c r="EP394" s="1331"/>
      <c r="EQ394" s="2644"/>
      <c r="ER394" s="2644"/>
      <c r="ES394" s="2644"/>
      <c r="ET394" s="2644"/>
      <c r="EU394" s="1331"/>
      <c r="EV394" s="1331"/>
      <c r="EW394" s="1331"/>
      <c r="EX394" s="1331"/>
      <c r="EY394" s="1331"/>
      <c r="EZ394" s="2586"/>
      <c r="FA394" s="718"/>
      <c r="FB394" s="718"/>
    </row>
    <row r="395" spans="1:158" s="535" customFormat="1" hidden="1">
      <c r="A395" s="1527" t="s">
        <v>470</v>
      </c>
      <c r="B395" s="766"/>
      <c r="C395" s="766"/>
      <c r="D395" s="766"/>
      <c r="E395" s="766"/>
      <c r="F395" s="766"/>
      <c r="G395" s="766"/>
      <c r="H395" s="766"/>
      <c r="I395" s="766"/>
      <c r="J395" s="766"/>
      <c r="K395" s="766"/>
      <c r="L395" s="766"/>
      <c r="M395" s="766"/>
      <c r="N395" s="766"/>
      <c r="O395" s="766"/>
      <c r="P395" s="766"/>
      <c r="Q395" s="766"/>
      <c r="R395" s="766"/>
      <c r="S395" s="766"/>
      <c r="T395" s="766"/>
      <c r="U395" s="766"/>
      <c r="V395" s="766"/>
      <c r="W395" s="766"/>
      <c r="X395" s="766"/>
      <c r="Y395" s="766"/>
      <c r="Z395" s="766"/>
      <c r="AA395" s="766"/>
      <c r="AB395" s="766"/>
      <c r="AC395" s="766"/>
      <c r="AD395" s="766"/>
      <c r="AE395" s="766"/>
      <c r="AF395" s="766"/>
      <c r="AG395" s="766"/>
      <c r="AH395" s="766"/>
      <c r="AI395" s="766"/>
      <c r="AJ395" s="766"/>
      <c r="AK395" s="766"/>
      <c r="AL395" s="766"/>
      <c r="AM395" s="766"/>
      <c r="AN395" s="766"/>
      <c r="AO395" s="766"/>
      <c r="AP395" s="766"/>
      <c r="AQ395" s="766"/>
      <c r="AR395" s="766"/>
      <c r="AS395" s="766"/>
      <c r="AT395" s="766"/>
      <c r="AU395" s="766"/>
      <c r="AV395" s="766"/>
      <c r="AW395" s="766"/>
      <c r="AX395" s="766"/>
      <c r="AY395" s="766"/>
      <c r="AZ395" s="766"/>
      <c r="BA395" s="766"/>
      <c r="BB395" s="766"/>
      <c r="BC395" s="766"/>
      <c r="BD395" s="766"/>
      <c r="BE395" s="766"/>
      <c r="BF395" s="766"/>
      <c r="BG395" s="766"/>
      <c r="BH395" s="766"/>
      <c r="BI395" s="766"/>
      <c r="BJ395" s="766"/>
      <c r="BK395" s="766"/>
      <c r="BL395" s="766"/>
      <c r="BM395" s="766"/>
      <c r="BN395" s="766"/>
      <c r="BO395" s="766"/>
      <c r="BP395" s="766"/>
      <c r="BQ395" s="766"/>
      <c r="BR395" s="766"/>
      <c r="BS395" s="766"/>
      <c r="BT395" s="766"/>
      <c r="BU395" s="766"/>
      <c r="BV395" s="766"/>
      <c r="BW395" s="766"/>
      <c r="BX395" s="766"/>
      <c r="BY395" s="766"/>
      <c r="BZ395" s="766"/>
      <c r="CA395" s="766"/>
      <c r="CB395" s="766"/>
      <c r="CC395" s="766"/>
      <c r="CD395" s="766"/>
      <c r="CE395" s="766"/>
      <c r="CF395" s="766"/>
      <c r="CG395" s="766"/>
      <c r="CH395" s="1081"/>
      <c r="CI395" s="787"/>
      <c r="CJ395" s="787"/>
      <c r="CK395" s="787"/>
      <c r="CL395" s="787"/>
      <c r="CM395" s="1081"/>
      <c r="CN395" s="787">
        <f>+IF(CN326&lt;0,IF(CL326&gt;0,"N/A",(-1)*(CN326/CL326-1)),IF(CL326&lt;0,"N/A",(CN326/CL326-1)))</f>
        <v>-7.1033938437253363E-2</v>
      </c>
      <c r="CO395" s="787">
        <f t="shared" si="641"/>
        <v>4.8428207306711935E-2</v>
      </c>
      <c r="CP395" s="787">
        <f t="shared" si="641"/>
        <v>1.1345218800648205E-2</v>
      </c>
      <c r="CQ395" s="787">
        <f t="shared" si="641"/>
        <v>0.125</v>
      </c>
      <c r="CR395" s="1081"/>
      <c r="CS395" s="787">
        <f>+IF(CS326&lt;0,IF(CQ326&gt;0,"N/A",(-1)*(CS326/CQ326-1)),IF(CQ326&lt;0,"N/A",(CS326/CQ326-1)))</f>
        <v>-2.3504273504273532E-2</v>
      </c>
      <c r="CT395" s="787">
        <f t="shared" si="642"/>
        <v>8.6797957695113004E-2</v>
      </c>
      <c r="CU395" s="787">
        <f t="shared" si="642"/>
        <v>7.1140939597315489E-2</v>
      </c>
      <c r="CV395" s="787">
        <f t="shared" si="642"/>
        <v>5.7017543859649189E-2</v>
      </c>
      <c r="CW395" s="1081"/>
      <c r="CX395" s="787">
        <f>+IF(CX326&lt;0,IF(CV326&gt;0,"N/A",(-1)*(CX326/CV326-1)),IF(CV326&lt;0,"N/A",(CX326/CV326-1)))</f>
        <v>-0.10906935388263184</v>
      </c>
      <c r="CY395" s="787">
        <f t="shared" si="643"/>
        <v>8.1170991350631994E-2</v>
      </c>
      <c r="CZ395" s="787">
        <f t="shared" si="643"/>
        <v>8.3692307692307732E-2</v>
      </c>
      <c r="DA395" s="787">
        <f t="shared" si="643"/>
        <v>0.15048268029528677</v>
      </c>
      <c r="DB395" s="1326"/>
      <c r="DC395" s="2646"/>
      <c r="DD395" s="2646"/>
      <c r="DE395" s="2646"/>
      <c r="DF395" s="2646"/>
      <c r="DG395" s="1326"/>
      <c r="DH395" s="2646"/>
      <c r="DI395" s="2646"/>
      <c r="DJ395" s="2646"/>
      <c r="DK395" s="2646"/>
      <c r="DL395" s="1326"/>
      <c r="DM395" s="2646"/>
      <c r="DN395" s="2646"/>
      <c r="DO395" s="2646"/>
      <c r="DP395" s="2646"/>
      <c r="DQ395" s="1326"/>
      <c r="DR395" s="2646"/>
      <c r="DS395" s="2646"/>
      <c r="DT395" s="2646"/>
      <c r="DU395" s="2646"/>
      <c r="DV395" s="1326"/>
      <c r="DW395" s="2646"/>
      <c r="DX395" s="2646"/>
      <c r="DY395" s="2646"/>
      <c r="DZ395" s="2646"/>
      <c r="EA395" s="1326"/>
      <c r="EB395" s="2646"/>
      <c r="EC395" s="2646"/>
      <c r="ED395" s="2646"/>
      <c r="EE395" s="2646"/>
      <c r="EF395" s="1326"/>
      <c r="EG395" s="2646"/>
      <c r="EH395" s="2646"/>
      <c r="EI395" s="2646"/>
      <c r="EJ395" s="2646"/>
      <c r="EK395" s="1326"/>
      <c r="EL395" s="2646"/>
      <c r="EM395" s="2646"/>
      <c r="EN395" s="2646"/>
      <c r="EO395" s="2646"/>
      <c r="EP395" s="1326"/>
      <c r="EQ395" s="2646"/>
      <c r="ER395" s="2646"/>
      <c r="ES395" s="2646"/>
      <c r="ET395" s="2646"/>
      <c r="EU395" s="1326"/>
      <c r="EV395" s="1326"/>
      <c r="EW395" s="1326"/>
      <c r="EX395" s="1326"/>
      <c r="EY395" s="1326"/>
      <c r="EZ395" s="2586"/>
      <c r="FA395" s="718"/>
      <c r="FB395" s="718"/>
    </row>
    <row r="396" spans="1:158" s="535" customFormat="1" hidden="1">
      <c r="A396" s="1536"/>
      <c r="B396" s="773"/>
      <c r="C396" s="773"/>
      <c r="D396" s="773"/>
      <c r="E396" s="773"/>
      <c r="F396" s="773"/>
      <c r="G396" s="773"/>
      <c r="H396" s="773"/>
      <c r="I396" s="773"/>
      <c r="J396" s="773"/>
      <c r="K396" s="773"/>
      <c r="L396" s="773"/>
      <c r="M396" s="773"/>
      <c r="N396" s="773"/>
      <c r="O396" s="773"/>
      <c r="P396" s="773"/>
      <c r="Q396" s="773"/>
      <c r="R396" s="773"/>
      <c r="S396" s="773"/>
      <c r="T396" s="773"/>
      <c r="U396" s="773"/>
      <c r="V396" s="773"/>
      <c r="W396" s="773"/>
      <c r="X396" s="773"/>
      <c r="Y396" s="773"/>
      <c r="Z396" s="773"/>
      <c r="AA396" s="773"/>
      <c r="AB396" s="773"/>
      <c r="AC396" s="773"/>
      <c r="AD396" s="773"/>
      <c r="AE396" s="773"/>
      <c r="AF396" s="773"/>
      <c r="AG396" s="773"/>
      <c r="AH396" s="773"/>
      <c r="AI396" s="773"/>
      <c r="AJ396" s="773"/>
      <c r="AK396" s="773"/>
      <c r="AL396" s="773"/>
      <c r="AM396" s="773"/>
      <c r="AN396" s="773"/>
      <c r="AO396" s="773"/>
      <c r="AP396" s="773"/>
      <c r="AQ396" s="773"/>
      <c r="AR396" s="773"/>
      <c r="AS396" s="773"/>
      <c r="AT396" s="773"/>
      <c r="AU396" s="773"/>
      <c r="AV396" s="773"/>
      <c r="AW396" s="773"/>
      <c r="AX396" s="773"/>
      <c r="AY396" s="773"/>
      <c r="AZ396" s="773"/>
      <c r="BA396" s="773"/>
      <c r="BB396" s="773"/>
      <c r="BC396" s="773"/>
      <c r="BD396" s="773"/>
      <c r="BE396" s="773"/>
      <c r="BF396" s="773"/>
      <c r="BG396" s="773"/>
      <c r="BH396" s="773"/>
      <c r="BI396" s="773"/>
      <c r="BJ396" s="773"/>
      <c r="BK396" s="773"/>
      <c r="BL396" s="773"/>
      <c r="BM396" s="773"/>
      <c r="BN396" s="773"/>
      <c r="BO396" s="773"/>
      <c r="BP396" s="773"/>
      <c r="BQ396" s="773"/>
      <c r="BR396" s="773"/>
      <c r="BS396" s="773"/>
      <c r="BT396" s="773"/>
      <c r="BU396" s="773"/>
      <c r="BV396" s="773"/>
      <c r="BW396" s="773"/>
      <c r="BX396" s="773"/>
      <c r="BY396" s="773"/>
      <c r="BZ396" s="773"/>
      <c r="CA396" s="773"/>
      <c r="CB396" s="773"/>
      <c r="CC396" s="773"/>
      <c r="CD396" s="773"/>
      <c r="CE396" s="773"/>
      <c r="CF396" s="773"/>
      <c r="CG396" s="773"/>
      <c r="CH396" s="1326"/>
      <c r="CI396" s="775"/>
      <c r="CJ396" s="775"/>
      <c r="CK396" s="775"/>
      <c r="CL396" s="775"/>
      <c r="CM396" s="1326"/>
      <c r="CN396" s="775"/>
      <c r="CO396" s="775"/>
      <c r="CP396" s="775"/>
      <c r="CQ396" s="775"/>
      <c r="CR396" s="1326"/>
      <c r="CS396" s="775"/>
      <c r="CT396" s="775"/>
      <c r="CU396" s="775"/>
      <c r="CV396" s="775"/>
      <c r="CW396" s="1326"/>
      <c r="CX396" s="775"/>
      <c r="CY396" s="775"/>
      <c r="CZ396" s="775"/>
      <c r="DA396" s="775"/>
      <c r="DB396" s="1326"/>
      <c r="DC396" s="775"/>
      <c r="DD396" s="775"/>
      <c r="DE396" s="775"/>
      <c r="DF396" s="775"/>
      <c r="DG396" s="1326"/>
      <c r="DH396" s="775"/>
      <c r="DI396" s="775"/>
      <c r="DJ396" s="775"/>
      <c r="DK396" s="775"/>
      <c r="DL396" s="1326"/>
      <c r="DM396" s="775"/>
      <c r="DN396" s="775"/>
      <c r="DO396" s="775"/>
      <c r="DP396" s="775"/>
      <c r="DQ396" s="1326"/>
      <c r="DR396" s="775"/>
      <c r="DS396" s="775"/>
      <c r="DT396" s="775"/>
      <c r="DU396" s="775"/>
      <c r="DV396" s="1326"/>
      <c r="DW396" s="775"/>
      <c r="DX396" s="775"/>
      <c r="DY396" s="775"/>
      <c r="DZ396" s="775"/>
      <c r="EA396" s="1326"/>
      <c r="EB396" s="775"/>
      <c r="EC396" s="775"/>
      <c r="ED396" s="775"/>
      <c r="EE396" s="775"/>
      <c r="EF396" s="1326"/>
      <c r="EG396" s="775"/>
      <c r="EH396" s="775"/>
      <c r="EI396" s="775"/>
      <c r="EJ396" s="775"/>
      <c r="EK396" s="1326"/>
      <c r="EL396" s="775"/>
      <c r="EM396" s="775"/>
      <c r="EN396" s="775"/>
      <c r="EO396" s="775"/>
      <c r="EP396" s="1326"/>
      <c r="EQ396" s="775"/>
      <c r="ER396" s="775"/>
      <c r="ES396" s="775"/>
      <c r="ET396" s="775"/>
      <c r="EU396" s="1326"/>
      <c r="EV396" s="1326"/>
      <c r="EW396" s="1326"/>
      <c r="EX396" s="1326"/>
      <c r="EY396" s="1326"/>
      <c r="EZ396" s="2586"/>
      <c r="FA396" s="718"/>
      <c r="FB396" s="718"/>
    </row>
    <row r="397" spans="1:158" s="535" customFormat="1" hidden="1" collapsed="1">
      <c r="A397" s="1526" t="s">
        <v>666</v>
      </c>
      <c r="B397" s="790"/>
      <c r="C397" s="790"/>
      <c r="D397" s="790"/>
      <c r="E397" s="790"/>
      <c r="F397" s="790"/>
      <c r="G397" s="790"/>
      <c r="H397" s="790"/>
      <c r="I397" s="790"/>
      <c r="J397" s="790"/>
      <c r="K397" s="790"/>
      <c r="L397" s="790"/>
      <c r="M397" s="790"/>
      <c r="N397" s="790"/>
      <c r="O397" s="790"/>
      <c r="P397" s="790"/>
      <c r="Q397" s="790"/>
      <c r="R397" s="790"/>
      <c r="S397" s="790"/>
      <c r="T397" s="790"/>
      <c r="U397" s="790"/>
      <c r="V397" s="790"/>
      <c r="W397" s="790"/>
      <c r="X397" s="790"/>
      <c r="Y397" s="790"/>
      <c r="Z397" s="790"/>
      <c r="AA397" s="790"/>
      <c r="AB397" s="790"/>
      <c r="AC397" s="790"/>
      <c r="AD397" s="790"/>
      <c r="AE397" s="790"/>
      <c r="AF397" s="790"/>
      <c r="AG397" s="790"/>
      <c r="AH397" s="790"/>
      <c r="AI397" s="790"/>
      <c r="AJ397" s="790"/>
      <c r="AK397" s="790"/>
      <c r="AL397" s="790"/>
      <c r="AM397" s="790"/>
      <c r="AN397" s="790"/>
      <c r="AO397" s="790"/>
      <c r="AP397" s="790"/>
      <c r="AQ397" s="790"/>
      <c r="AR397" s="790"/>
      <c r="AS397" s="790"/>
      <c r="AT397" s="790"/>
      <c r="AU397" s="790"/>
      <c r="AV397" s="790"/>
      <c r="AW397" s="790"/>
      <c r="AX397" s="790"/>
      <c r="AY397" s="790"/>
      <c r="AZ397" s="790"/>
      <c r="BA397" s="790"/>
      <c r="BB397" s="790"/>
      <c r="BC397" s="790"/>
      <c r="BD397" s="790"/>
      <c r="BE397" s="790"/>
      <c r="BF397" s="790"/>
      <c r="BG397" s="790"/>
      <c r="BH397" s="790"/>
      <c r="BI397" s="790"/>
      <c r="BJ397" s="790"/>
      <c r="BK397" s="790"/>
      <c r="BL397" s="790"/>
      <c r="BM397" s="790"/>
      <c r="BN397" s="790"/>
      <c r="BO397" s="790"/>
      <c r="BP397" s="790"/>
      <c r="BQ397" s="790"/>
      <c r="BR397" s="790"/>
      <c r="BS397" s="790"/>
      <c r="BT397" s="790"/>
      <c r="BU397" s="790"/>
      <c r="BV397" s="790"/>
      <c r="BW397" s="790"/>
      <c r="BX397" s="790"/>
      <c r="BY397" s="790"/>
      <c r="BZ397" s="790"/>
      <c r="CA397" s="790"/>
      <c r="CB397" s="790"/>
      <c r="CC397" s="790"/>
      <c r="CD397" s="790"/>
      <c r="CE397" s="790"/>
      <c r="CF397" s="790"/>
      <c r="CG397" s="790"/>
      <c r="CH397" s="1095"/>
      <c r="CI397" s="794"/>
      <c r="CJ397" s="794"/>
      <c r="CK397" s="794"/>
      <c r="CL397" s="794"/>
      <c r="CM397" s="1095"/>
      <c r="CN397" s="794"/>
      <c r="CO397" s="794"/>
      <c r="CP397" s="794"/>
      <c r="CQ397" s="794"/>
      <c r="CR397" s="1095"/>
      <c r="CS397" s="774"/>
      <c r="CT397" s="774"/>
      <c r="CU397" s="774"/>
      <c r="CV397" s="774"/>
      <c r="CW397" s="1095"/>
      <c r="CX397" s="774"/>
      <c r="CY397" s="774"/>
      <c r="CZ397" s="774"/>
      <c r="DA397" s="774"/>
      <c r="DB397" s="1097"/>
      <c r="DC397" s="774"/>
      <c r="DD397" s="774"/>
      <c r="DE397" s="774"/>
      <c r="DF397" s="774"/>
      <c r="DG397" s="1097"/>
      <c r="DH397" s="774"/>
      <c r="DI397" s="774"/>
      <c r="DJ397" s="774"/>
      <c r="DK397" s="774"/>
      <c r="DL397" s="1097"/>
      <c r="DM397" s="774"/>
      <c r="DN397" s="774"/>
      <c r="DO397" s="774"/>
      <c r="DP397" s="774"/>
      <c r="DQ397" s="1097"/>
      <c r="DR397" s="774"/>
      <c r="DS397" s="774"/>
      <c r="DT397" s="774"/>
      <c r="DU397" s="774"/>
      <c r="DV397" s="1097"/>
      <c r="DW397" s="774"/>
      <c r="DX397" s="774"/>
      <c r="DY397" s="774"/>
      <c r="DZ397" s="774"/>
      <c r="EA397" s="1097"/>
      <c r="EB397" s="774"/>
      <c r="EC397" s="774"/>
      <c r="ED397" s="774"/>
      <c r="EE397" s="774"/>
      <c r="EF397" s="1097"/>
      <c r="EG397" s="774"/>
      <c r="EH397" s="774"/>
      <c r="EI397" s="774"/>
      <c r="EJ397" s="774"/>
      <c r="EK397" s="1097"/>
      <c r="EL397" s="774"/>
      <c r="EM397" s="774"/>
      <c r="EN397" s="774"/>
      <c r="EO397" s="774"/>
      <c r="EP397" s="1097"/>
      <c r="EQ397" s="774"/>
      <c r="ER397" s="774"/>
      <c r="ES397" s="774"/>
      <c r="ET397" s="774"/>
      <c r="EU397" s="1097"/>
      <c r="EV397" s="1097"/>
      <c r="EW397" s="1097"/>
      <c r="EX397" s="1097"/>
      <c r="EY397" s="1097"/>
      <c r="EZ397" s="2586"/>
      <c r="FA397" s="718"/>
      <c r="FB397" s="718"/>
    </row>
    <row r="398" spans="1:158" s="627" customFormat="1" hidden="1">
      <c r="A398" s="1520" t="s">
        <v>436</v>
      </c>
      <c r="B398" s="765"/>
      <c r="C398" s="765"/>
      <c r="D398" s="765"/>
      <c r="E398" s="765"/>
      <c r="F398" s="765"/>
      <c r="G398" s="765"/>
      <c r="H398" s="765"/>
      <c r="I398" s="765"/>
      <c r="J398" s="765"/>
      <c r="K398" s="765"/>
      <c r="L398" s="765"/>
      <c r="M398" s="765"/>
      <c r="N398" s="765"/>
      <c r="O398" s="765"/>
      <c r="P398" s="765"/>
      <c r="Q398" s="765"/>
      <c r="R398" s="765"/>
      <c r="S398" s="765"/>
      <c r="T398" s="765"/>
      <c r="U398" s="765"/>
      <c r="V398" s="765"/>
      <c r="W398" s="765"/>
      <c r="X398" s="765"/>
      <c r="Y398" s="765"/>
      <c r="Z398" s="765"/>
      <c r="AA398" s="765"/>
      <c r="AB398" s="765"/>
      <c r="AC398" s="765"/>
      <c r="AD398" s="765"/>
      <c r="AE398" s="765"/>
      <c r="AF398" s="765"/>
      <c r="AG398" s="765"/>
      <c r="AH398" s="765"/>
      <c r="AI398" s="765"/>
      <c r="AJ398" s="765"/>
      <c r="AK398" s="765"/>
      <c r="AL398" s="765"/>
      <c r="AM398" s="765"/>
      <c r="AN398" s="765"/>
      <c r="AO398" s="765"/>
      <c r="AP398" s="765"/>
      <c r="AQ398" s="765"/>
      <c r="AR398" s="765"/>
      <c r="AS398" s="765"/>
      <c r="AT398" s="765"/>
      <c r="AU398" s="765"/>
      <c r="AV398" s="765"/>
      <c r="AW398" s="765"/>
      <c r="AX398" s="765"/>
      <c r="AY398" s="765"/>
      <c r="AZ398" s="765"/>
      <c r="BA398" s="765"/>
      <c r="BB398" s="765"/>
      <c r="BC398" s="765"/>
      <c r="BD398" s="765"/>
      <c r="BE398" s="765"/>
      <c r="BF398" s="765"/>
      <c r="BG398" s="765"/>
      <c r="BH398" s="765"/>
      <c r="BI398" s="765"/>
      <c r="BJ398" s="765"/>
      <c r="BK398" s="765"/>
      <c r="BL398" s="765"/>
      <c r="BM398" s="765"/>
      <c r="BN398" s="765"/>
      <c r="BO398" s="765"/>
      <c r="BP398" s="765"/>
      <c r="BQ398" s="765"/>
      <c r="BR398" s="765"/>
      <c r="BS398" s="765"/>
      <c r="BT398" s="765"/>
      <c r="BU398" s="765"/>
      <c r="BV398" s="765"/>
      <c r="BW398" s="765"/>
      <c r="BX398" s="765"/>
      <c r="BY398" s="765"/>
      <c r="BZ398" s="765"/>
      <c r="CA398" s="765"/>
      <c r="CB398" s="765"/>
      <c r="CC398" s="765"/>
      <c r="CD398" s="765"/>
      <c r="CE398" s="765"/>
      <c r="CF398" s="765"/>
      <c r="CG398" s="765"/>
      <c r="CH398" s="1091">
        <f>+CH193/CH313</f>
        <v>0.99978385777841816</v>
      </c>
      <c r="CI398" s="783" t="str">
        <f>+IFERROR(CI193/CI$313,"N/A")</f>
        <v>N/A</v>
      </c>
      <c r="CJ398" s="783" t="str">
        <f>+IFERROR(CJ193/CJ$313,"N/A")</f>
        <v>N/A</v>
      </c>
      <c r="CK398" s="783" t="str">
        <f>+IFERROR(CK193/CK$313,"N/A")</f>
        <v>N/A</v>
      </c>
      <c r="CL398" s="776">
        <f t="shared" ref="CL398:DB398" si="644">+CL193/CL313</f>
        <v>0.99414461691432354</v>
      </c>
      <c r="CM398" s="1091">
        <f t="shared" si="644"/>
        <v>0.99504552961318771</v>
      </c>
      <c r="CN398" s="776">
        <f t="shared" si="644"/>
        <v>0.99536446865221928</v>
      </c>
      <c r="CO398" s="776">
        <f t="shared" si="644"/>
        <v>0.99582557680374573</v>
      </c>
      <c r="CP398" s="776">
        <f t="shared" si="644"/>
        <v>0.99244979919678711</v>
      </c>
      <c r="CQ398" s="776">
        <f t="shared" si="644"/>
        <v>0.99296732148717703</v>
      </c>
      <c r="CR398" s="1091">
        <f t="shared" si="644"/>
        <v>0.99406579631679315</v>
      </c>
      <c r="CS398" s="776">
        <f t="shared" si="644"/>
        <v>0.99185466752233797</v>
      </c>
      <c r="CT398" s="776">
        <f t="shared" si="644"/>
        <v>0.99139534883720926</v>
      </c>
      <c r="CU398" s="776">
        <f t="shared" si="644"/>
        <v>0.99122533517437972</v>
      </c>
      <c r="CV398" s="776">
        <f t="shared" si="644"/>
        <v>0.98994782074892573</v>
      </c>
      <c r="CW398" s="1091">
        <f t="shared" si="644"/>
        <v>0.9910381956752925</v>
      </c>
      <c r="CX398" s="776">
        <f t="shared" si="644"/>
        <v>0.9946666666666667</v>
      </c>
      <c r="CY398" s="776">
        <f t="shared" si="644"/>
        <v>0.99627066512879658</v>
      </c>
      <c r="CZ398" s="776">
        <f t="shared" si="644"/>
        <v>0.99578712372173417</v>
      </c>
      <c r="DA398" s="776">
        <f t="shared" si="644"/>
        <v>0.99594715837020076</v>
      </c>
      <c r="DB398" s="1091">
        <f t="shared" si="644"/>
        <v>0.99722159577826885</v>
      </c>
      <c r="DC398" s="776"/>
      <c r="DD398" s="776"/>
      <c r="DE398" s="776"/>
      <c r="DF398" s="776"/>
      <c r="DG398" s="1091">
        <f>+DG193/DG313</f>
        <v>0.99665982063894631</v>
      </c>
      <c r="DH398" s="776"/>
      <c r="DI398" s="776"/>
      <c r="DJ398" s="776"/>
      <c r="DK398" s="776"/>
      <c r="DL398" s="1091">
        <f>+DL193/DL313</f>
        <v>0.99311738139221661</v>
      </c>
      <c r="DM398" s="776"/>
      <c r="DN398" s="776"/>
      <c r="DO398" s="776"/>
      <c r="DP398" s="776"/>
      <c r="DQ398" s="1091">
        <f>+DQ193/DQ313</f>
        <v>0.99543629161713065</v>
      </c>
      <c r="DR398" s="776"/>
      <c r="DS398" s="776"/>
      <c r="DT398" s="776"/>
      <c r="DU398" s="776"/>
      <c r="DV398" s="1091" t="e">
        <f>+DV193/DV313</f>
        <v>#DIV/0!</v>
      </c>
      <c r="DW398" s="776"/>
      <c r="DX398" s="776"/>
      <c r="DY398" s="776"/>
      <c r="DZ398" s="776"/>
      <c r="EA398" s="1091" t="e">
        <f>+EA193/EA313</f>
        <v>#DIV/0!</v>
      </c>
      <c r="EB398" s="776"/>
      <c r="EC398" s="776"/>
      <c r="ED398" s="776"/>
      <c r="EE398" s="776"/>
      <c r="EF398" s="1091" t="e">
        <f>+EF193/EF313</f>
        <v>#DIV/0!</v>
      </c>
      <c r="EG398" s="776"/>
      <c r="EH398" s="776"/>
      <c r="EI398" s="776"/>
      <c r="EJ398" s="776"/>
      <c r="EK398" s="1091" t="e">
        <f>+EK193/EK313</f>
        <v>#DIV/0!</v>
      </c>
      <c r="EL398" s="776"/>
      <c r="EM398" s="776"/>
      <c r="EN398" s="776"/>
      <c r="EO398" s="776"/>
      <c r="EP398" s="1091" t="e">
        <f>+EP193/EP313</f>
        <v>#DIV/0!</v>
      </c>
      <c r="EQ398" s="776"/>
      <c r="ER398" s="776"/>
      <c r="ES398" s="776"/>
      <c r="ET398" s="776"/>
      <c r="EU398" s="1091" t="e">
        <f>+EU193/EU313</f>
        <v>#DIV/0!</v>
      </c>
      <c r="EV398" s="1091" t="e">
        <f>+EV193/EV313</f>
        <v>#DIV/0!</v>
      </c>
      <c r="EW398" s="1091" t="e">
        <f>+EW193/EW313</f>
        <v>#DIV/0!</v>
      </c>
      <c r="EX398" s="1091" t="e">
        <f>+EX193/EX313</f>
        <v>#DIV/0!</v>
      </c>
      <c r="EY398" s="1091" t="e">
        <f>+EY193/EY313</f>
        <v>#DIV/0!</v>
      </c>
      <c r="EZ398" s="768"/>
      <c r="FA398" s="772"/>
      <c r="FB398" s="772"/>
    </row>
    <row r="399" spans="1:158" s="627" customFormat="1" hidden="1">
      <c r="A399" s="1521" t="s">
        <v>440</v>
      </c>
      <c r="B399" s="766"/>
      <c r="C399" s="766"/>
      <c r="D399" s="766"/>
      <c r="E399" s="766"/>
      <c r="F399" s="766"/>
      <c r="G399" s="766"/>
      <c r="H399" s="766"/>
      <c r="I399" s="766"/>
      <c r="J399" s="766"/>
      <c r="K399" s="766"/>
      <c r="L399" s="766"/>
      <c r="M399" s="766"/>
      <c r="N399" s="766"/>
      <c r="O399" s="766"/>
      <c r="P399" s="766"/>
      <c r="Q399" s="766"/>
      <c r="R399" s="766"/>
      <c r="S399" s="766"/>
      <c r="T399" s="766"/>
      <c r="U399" s="766"/>
      <c r="V399" s="766"/>
      <c r="W399" s="766"/>
      <c r="X399" s="766"/>
      <c r="Y399" s="766"/>
      <c r="Z399" s="766"/>
      <c r="AA399" s="766"/>
      <c r="AB399" s="766"/>
      <c r="AC399" s="766"/>
      <c r="AD399" s="766"/>
      <c r="AE399" s="766"/>
      <c r="AF399" s="766"/>
      <c r="AG399" s="766"/>
      <c r="AH399" s="766"/>
      <c r="AI399" s="766"/>
      <c r="AJ399" s="766"/>
      <c r="AK399" s="766"/>
      <c r="AL399" s="766"/>
      <c r="AM399" s="766"/>
      <c r="AN399" s="766"/>
      <c r="AO399" s="766"/>
      <c r="AP399" s="766"/>
      <c r="AQ399" s="766"/>
      <c r="AR399" s="766"/>
      <c r="AS399" s="766"/>
      <c r="AT399" s="766"/>
      <c r="AU399" s="766"/>
      <c r="AV399" s="766"/>
      <c r="AW399" s="766"/>
      <c r="AX399" s="766"/>
      <c r="AY399" s="766"/>
      <c r="AZ399" s="766"/>
      <c r="BA399" s="766"/>
      <c r="BB399" s="766"/>
      <c r="BC399" s="766"/>
      <c r="BD399" s="766"/>
      <c r="BE399" s="766"/>
      <c r="BF399" s="766"/>
      <c r="BG399" s="766"/>
      <c r="BH399" s="766"/>
      <c r="BI399" s="766"/>
      <c r="BJ399" s="766"/>
      <c r="BK399" s="766"/>
      <c r="BL399" s="766"/>
      <c r="BM399" s="766"/>
      <c r="BN399" s="766"/>
      <c r="BO399" s="766"/>
      <c r="BP399" s="766"/>
      <c r="BQ399" s="766"/>
      <c r="BR399" s="766"/>
      <c r="BS399" s="766"/>
      <c r="BT399" s="766"/>
      <c r="BU399" s="766"/>
      <c r="BV399" s="766"/>
      <c r="BW399" s="766"/>
      <c r="BX399" s="766"/>
      <c r="BY399" s="766"/>
      <c r="BZ399" s="766"/>
      <c r="CA399" s="766"/>
      <c r="CB399" s="766"/>
      <c r="CC399" s="766"/>
      <c r="CD399" s="766"/>
      <c r="CE399" s="766"/>
      <c r="CF399" s="766"/>
      <c r="CG399" s="766"/>
      <c r="CH399" s="1090" t="e">
        <f>+#REF!/#REF!</f>
        <v>#REF!</v>
      </c>
      <c r="CI399" s="796" t="e">
        <f>+#REF!/#REF!</f>
        <v>#REF!</v>
      </c>
      <c r="CJ399" s="796" t="e">
        <f>+#REF!/#REF!</f>
        <v>#REF!</v>
      </c>
      <c r="CK399" s="796" t="e">
        <f>+#REF!/#REF!</f>
        <v>#REF!</v>
      </c>
      <c r="CL399" s="796" t="e">
        <f>+#REF!/#REF!</f>
        <v>#REF!</v>
      </c>
      <c r="CM399" s="1090" t="e">
        <f>+#REF!/#REF!</f>
        <v>#REF!</v>
      </c>
      <c r="CN399" s="796" t="e">
        <f>+#REF!/#REF!</f>
        <v>#REF!</v>
      </c>
      <c r="CO399" s="796" t="e">
        <f>+#REF!/#REF!</f>
        <v>#REF!</v>
      </c>
      <c r="CP399" s="796" t="e">
        <f>+#REF!/#REF!</f>
        <v>#REF!</v>
      </c>
      <c r="CQ399" s="796" t="e">
        <f>+#REF!/#REF!</f>
        <v>#REF!</v>
      </c>
      <c r="CR399" s="1090" t="e">
        <f>+#REF!/#REF!</f>
        <v>#REF!</v>
      </c>
      <c r="CS399" s="796" t="e">
        <f>+#REF!/#REF!</f>
        <v>#REF!</v>
      </c>
      <c r="CT399" s="796" t="e">
        <f>+#REF!/#REF!</f>
        <v>#REF!</v>
      </c>
      <c r="CU399" s="796" t="e">
        <f>+#REF!/#REF!</f>
        <v>#REF!</v>
      </c>
      <c r="CV399" s="796" t="e">
        <f>+#REF!/#REF!</f>
        <v>#REF!</v>
      </c>
      <c r="CW399" s="1090" t="e">
        <f>+#REF!/#REF!</f>
        <v>#REF!</v>
      </c>
      <c r="CX399" s="796" t="e">
        <f>+#REF!/#REF!</f>
        <v>#REF!</v>
      </c>
      <c r="CY399" s="796" t="e">
        <f>+#REF!/#REF!</f>
        <v>#REF!</v>
      </c>
      <c r="CZ399" s="796" t="e">
        <f>+#REF!/#REF!</f>
        <v>#REF!</v>
      </c>
      <c r="DA399" s="796" t="e">
        <f>+#REF!/#REF!</f>
        <v>#REF!</v>
      </c>
      <c r="DB399" s="1090" t="e">
        <f>+#REF!/#REF!</f>
        <v>#REF!</v>
      </c>
      <c r="DC399" s="2649"/>
      <c r="DD399" s="2649"/>
      <c r="DE399" s="2649"/>
      <c r="DF399" s="2649"/>
      <c r="DG399" s="1090" t="e">
        <f>+#REF!/#REF!</f>
        <v>#REF!</v>
      </c>
      <c r="DH399" s="2649"/>
      <c r="DI399" s="2649"/>
      <c r="DJ399" s="2649"/>
      <c r="DK399" s="2649"/>
      <c r="DL399" s="1090" t="e">
        <f>+#REF!/#REF!</f>
        <v>#REF!</v>
      </c>
      <c r="DM399" s="2649"/>
      <c r="DN399" s="2649"/>
      <c r="DO399" s="2649"/>
      <c r="DP399" s="2649"/>
      <c r="DQ399" s="1090" t="e">
        <f>+#REF!/#REF!</f>
        <v>#REF!</v>
      </c>
      <c r="DR399" s="2649"/>
      <c r="DS399" s="2649"/>
      <c r="DT399" s="2649"/>
      <c r="DU399" s="2649"/>
      <c r="DV399" s="1090" t="e">
        <f>+#REF!/#REF!</f>
        <v>#REF!</v>
      </c>
      <c r="DW399" s="2649"/>
      <c r="DX399" s="2649"/>
      <c r="DY399" s="2649"/>
      <c r="DZ399" s="2649"/>
      <c r="EA399" s="1090" t="e">
        <f>+#REF!/#REF!</f>
        <v>#REF!</v>
      </c>
      <c r="EB399" s="2649"/>
      <c r="EC399" s="2649"/>
      <c r="ED399" s="2649"/>
      <c r="EE399" s="2649"/>
      <c r="EF399" s="1090" t="e">
        <f>+#REF!/#REF!</f>
        <v>#REF!</v>
      </c>
      <c r="EG399" s="2649"/>
      <c r="EH399" s="2649"/>
      <c r="EI399" s="2649"/>
      <c r="EJ399" s="2649"/>
      <c r="EK399" s="1090" t="e">
        <f>+#REF!/#REF!</f>
        <v>#REF!</v>
      </c>
      <c r="EL399" s="2649"/>
      <c r="EM399" s="2649"/>
      <c r="EN399" s="2649"/>
      <c r="EO399" s="2649"/>
      <c r="EP399" s="1090" t="e">
        <f>+#REF!/#REF!</f>
        <v>#REF!</v>
      </c>
      <c r="EQ399" s="2649"/>
      <c r="ER399" s="2649"/>
      <c r="ES399" s="2649"/>
      <c r="ET399" s="2649"/>
      <c r="EU399" s="1090" t="e">
        <f>+#REF!/#REF!</f>
        <v>#REF!</v>
      </c>
      <c r="EV399" s="1090" t="e">
        <f>+#REF!/#REF!</f>
        <v>#REF!</v>
      </c>
      <c r="EW399" s="1090" t="e">
        <f>+#REF!/#REF!</f>
        <v>#REF!</v>
      </c>
      <c r="EX399" s="1090" t="e">
        <f>+#REF!/#REF!</f>
        <v>#REF!</v>
      </c>
      <c r="EY399" s="1090" t="e">
        <f>+#REF!/#REF!</f>
        <v>#REF!</v>
      </c>
      <c r="EZ399" s="768"/>
      <c r="FA399" s="772"/>
      <c r="FB399" s="772"/>
    </row>
    <row r="400" spans="1:158" s="627" customFormat="1" hidden="1">
      <c r="A400" s="1522" t="s">
        <v>437</v>
      </c>
      <c r="B400" s="766"/>
      <c r="C400" s="766"/>
      <c r="D400" s="766"/>
      <c r="E400" s="766"/>
      <c r="F400" s="766"/>
      <c r="G400" s="766"/>
      <c r="H400" s="766"/>
      <c r="I400" s="766"/>
      <c r="J400" s="766"/>
      <c r="K400" s="766"/>
      <c r="L400" s="766"/>
      <c r="M400" s="766"/>
      <c r="N400" s="766"/>
      <c r="O400" s="766"/>
      <c r="P400" s="766"/>
      <c r="Q400" s="766"/>
      <c r="R400" s="766"/>
      <c r="S400" s="766"/>
      <c r="T400" s="766"/>
      <c r="U400" s="766"/>
      <c r="V400" s="766"/>
      <c r="W400" s="766"/>
      <c r="X400" s="766"/>
      <c r="Y400" s="766"/>
      <c r="Z400" s="766"/>
      <c r="AA400" s="766"/>
      <c r="AB400" s="766"/>
      <c r="AC400" s="766"/>
      <c r="AD400" s="766"/>
      <c r="AE400" s="766"/>
      <c r="AF400" s="766"/>
      <c r="AG400" s="766"/>
      <c r="AH400" s="766"/>
      <c r="AI400" s="766"/>
      <c r="AJ400" s="766"/>
      <c r="AK400" s="766"/>
      <c r="AL400" s="766"/>
      <c r="AM400" s="766"/>
      <c r="AN400" s="766"/>
      <c r="AO400" s="766"/>
      <c r="AP400" s="766"/>
      <c r="AQ400" s="766"/>
      <c r="AR400" s="766"/>
      <c r="AS400" s="766"/>
      <c r="AT400" s="766"/>
      <c r="AU400" s="766"/>
      <c r="AV400" s="766"/>
      <c r="AW400" s="766"/>
      <c r="AX400" s="766"/>
      <c r="AY400" s="766"/>
      <c r="AZ400" s="766"/>
      <c r="BA400" s="766"/>
      <c r="BB400" s="766"/>
      <c r="BC400" s="766"/>
      <c r="BD400" s="766"/>
      <c r="BE400" s="766"/>
      <c r="BF400" s="766"/>
      <c r="BG400" s="766"/>
      <c r="BH400" s="766"/>
      <c r="BI400" s="766"/>
      <c r="BJ400" s="766"/>
      <c r="BK400" s="766"/>
      <c r="BL400" s="766"/>
      <c r="BM400" s="766"/>
      <c r="BN400" s="766"/>
      <c r="BO400" s="766"/>
      <c r="BP400" s="766"/>
      <c r="BQ400" s="766"/>
      <c r="BR400" s="766"/>
      <c r="BS400" s="766"/>
      <c r="BT400" s="766"/>
      <c r="BU400" s="766"/>
      <c r="BV400" s="766"/>
      <c r="BW400" s="766"/>
      <c r="BX400" s="766"/>
      <c r="BY400" s="766"/>
      <c r="BZ400" s="766"/>
      <c r="CA400" s="766"/>
      <c r="CB400" s="766"/>
      <c r="CC400" s="766"/>
      <c r="CD400" s="766"/>
      <c r="CE400" s="766"/>
      <c r="CF400" s="766"/>
      <c r="CG400" s="766"/>
      <c r="CH400" s="1090" t="e">
        <f>+#REF!/#REF!</f>
        <v>#REF!</v>
      </c>
      <c r="CI400" s="796" t="e">
        <f>+#REF!/#REF!</f>
        <v>#REF!</v>
      </c>
      <c r="CJ400" s="796" t="e">
        <f>+#REF!/#REF!</f>
        <v>#REF!</v>
      </c>
      <c r="CK400" s="796" t="e">
        <f>+#REF!/#REF!</f>
        <v>#REF!</v>
      </c>
      <c r="CL400" s="796" t="e">
        <f>+#REF!/#REF!</f>
        <v>#REF!</v>
      </c>
      <c r="CM400" s="1090" t="e">
        <f>+#REF!/#REF!</f>
        <v>#REF!</v>
      </c>
      <c r="CN400" s="796" t="e">
        <f>+#REF!/#REF!</f>
        <v>#REF!</v>
      </c>
      <c r="CO400" s="796" t="e">
        <f>+#REF!/#REF!</f>
        <v>#REF!</v>
      </c>
      <c r="CP400" s="796" t="e">
        <f>+#REF!/#REF!</f>
        <v>#REF!</v>
      </c>
      <c r="CQ400" s="796" t="e">
        <f>+#REF!/#REF!</f>
        <v>#REF!</v>
      </c>
      <c r="CR400" s="1090" t="e">
        <f>+#REF!/#REF!</f>
        <v>#REF!</v>
      </c>
      <c r="CS400" s="796" t="e">
        <f>+#REF!/#REF!</f>
        <v>#REF!</v>
      </c>
      <c r="CT400" s="796" t="e">
        <f>+#REF!/#REF!</f>
        <v>#REF!</v>
      </c>
      <c r="CU400" s="796" t="e">
        <f>+#REF!/#REF!</f>
        <v>#REF!</v>
      </c>
      <c r="CV400" s="796" t="e">
        <f>+#REF!/#REF!</f>
        <v>#REF!</v>
      </c>
      <c r="CW400" s="1090" t="e">
        <f>+#REF!/#REF!</f>
        <v>#REF!</v>
      </c>
      <c r="CX400" s="796" t="e">
        <f>+#REF!/#REF!</f>
        <v>#REF!</v>
      </c>
      <c r="CY400" s="796" t="e">
        <f>+#REF!/#REF!</f>
        <v>#REF!</v>
      </c>
      <c r="CZ400" s="796" t="e">
        <f>+#REF!/#REF!</f>
        <v>#REF!</v>
      </c>
      <c r="DA400" s="796" t="e">
        <f>+#REF!/#REF!</f>
        <v>#REF!</v>
      </c>
      <c r="DB400" s="1090" t="e">
        <f>+#REF!/#REF!</f>
        <v>#REF!</v>
      </c>
      <c r="DC400" s="2649"/>
      <c r="DD400" s="2649"/>
      <c r="DE400" s="2649"/>
      <c r="DF400" s="2649"/>
      <c r="DG400" s="1090" t="e">
        <f>+#REF!/#REF!</f>
        <v>#REF!</v>
      </c>
      <c r="DH400" s="2649"/>
      <c r="DI400" s="2649"/>
      <c r="DJ400" s="2649"/>
      <c r="DK400" s="2649"/>
      <c r="DL400" s="1090" t="e">
        <f>+#REF!/#REF!</f>
        <v>#REF!</v>
      </c>
      <c r="DM400" s="2649"/>
      <c r="DN400" s="2649"/>
      <c r="DO400" s="2649"/>
      <c r="DP400" s="2649"/>
      <c r="DQ400" s="1090" t="e">
        <f>+#REF!/#REF!</f>
        <v>#REF!</v>
      </c>
      <c r="DR400" s="2649"/>
      <c r="DS400" s="2649"/>
      <c r="DT400" s="2649"/>
      <c r="DU400" s="2649"/>
      <c r="DV400" s="1090" t="e">
        <f>+#REF!/#REF!</f>
        <v>#REF!</v>
      </c>
      <c r="DW400" s="2649"/>
      <c r="DX400" s="2649"/>
      <c r="DY400" s="2649"/>
      <c r="DZ400" s="2649"/>
      <c r="EA400" s="1090" t="e">
        <f>+#REF!/#REF!</f>
        <v>#REF!</v>
      </c>
      <c r="EB400" s="2649"/>
      <c r="EC400" s="2649"/>
      <c r="ED400" s="2649"/>
      <c r="EE400" s="2649"/>
      <c r="EF400" s="1090" t="e">
        <f>+#REF!/#REF!</f>
        <v>#REF!</v>
      </c>
      <c r="EG400" s="2649"/>
      <c r="EH400" s="2649"/>
      <c r="EI400" s="2649"/>
      <c r="EJ400" s="2649"/>
      <c r="EK400" s="1090" t="e">
        <f>+#REF!/#REF!</f>
        <v>#REF!</v>
      </c>
      <c r="EL400" s="2649"/>
      <c r="EM400" s="2649"/>
      <c r="EN400" s="2649"/>
      <c r="EO400" s="2649"/>
      <c r="EP400" s="1090" t="e">
        <f>+#REF!/#REF!</f>
        <v>#REF!</v>
      </c>
      <c r="EQ400" s="2649"/>
      <c r="ER400" s="2649"/>
      <c r="ES400" s="2649"/>
      <c r="ET400" s="2649"/>
      <c r="EU400" s="1090" t="e">
        <f>+#REF!/#REF!</f>
        <v>#REF!</v>
      </c>
      <c r="EV400" s="1090" t="e">
        <f>+#REF!/#REF!</f>
        <v>#REF!</v>
      </c>
      <c r="EW400" s="1090" t="e">
        <f>+#REF!/#REF!</f>
        <v>#REF!</v>
      </c>
      <c r="EX400" s="1090" t="e">
        <f>+#REF!/#REF!</f>
        <v>#REF!</v>
      </c>
      <c r="EY400" s="1090" t="e">
        <f>+#REF!/#REF!</f>
        <v>#REF!</v>
      </c>
      <c r="EZ400" s="768"/>
      <c r="FA400" s="772"/>
      <c r="FB400" s="772"/>
    </row>
    <row r="401" spans="1:158" s="627" customFormat="1" hidden="1">
      <c r="A401" s="1522" t="s">
        <v>438</v>
      </c>
      <c r="B401" s="766"/>
      <c r="C401" s="766"/>
      <c r="D401" s="766"/>
      <c r="E401" s="766"/>
      <c r="F401" s="766"/>
      <c r="G401" s="766"/>
      <c r="H401" s="766"/>
      <c r="I401" s="766"/>
      <c r="J401" s="766"/>
      <c r="K401" s="766"/>
      <c r="L401" s="766"/>
      <c r="M401" s="766"/>
      <c r="N401" s="766"/>
      <c r="O401" s="766"/>
      <c r="P401" s="766"/>
      <c r="Q401" s="766"/>
      <c r="R401" s="766"/>
      <c r="S401" s="766"/>
      <c r="T401" s="766"/>
      <c r="U401" s="766"/>
      <c r="V401" s="766"/>
      <c r="W401" s="766"/>
      <c r="X401" s="766"/>
      <c r="Y401" s="766"/>
      <c r="Z401" s="766"/>
      <c r="AA401" s="766"/>
      <c r="AB401" s="766"/>
      <c r="AC401" s="766"/>
      <c r="AD401" s="766"/>
      <c r="AE401" s="766"/>
      <c r="AF401" s="766"/>
      <c r="AG401" s="766"/>
      <c r="AH401" s="766"/>
      <c r="AI401" s="766"/>
      <c r="AJ401" s="766"/>
      <c r="AK401" s="766"/>
      <c r="AL401" s="766"/>
      <c r="AM401" s="766"/>
      <c r="AN401" s="766"/>
      <c r="AO401" s="766"/>
      <c r="AP401" s="766"/>
      <c r="AQ401" s="766"/>
      <c r="AR401" s="766"/>
      <c r="AS401" s="766"/>
      <c r="AT401" s="766"/>
      <c r="AU401" s="766"/>
      <c r="AV401" s="766"/>
      <c r="AW401" s="766"/>
      <c r="AX401" s="766"/>
      <c r="AY401" s="766"/>
      <c r="AZ401" s="766"/>
      <c r="BA401" s="766"/>
      <c r="BB401" s="766"/>
      <c r="BC401" s="766"/>
      <c r="BD401" s="766"/>
      <c r="BE401" s="766"/>
      <c r="BF401" s="766"/>
      <c r="BG401" s="766"/>
      <c r="BH401" s="766"/>
      <c r="BI401" s="766"/>
      <c r="BJ401" s="766"/>
      <c r="BK401" s="766"/>
      <c r="BL401" s="766"/>
      <c r="BM401" s="766"/>
      <c r="BN401" s="766"/>
      <c r="BO401" s="766"/>
      <c r="BP401" s="766"/>
      <c r="BQ401" s="766"/>
      <c r="BR401" s="766"/>
      <c r="BS401" s="766"/>
      <c r="BT401" s="766"/>
      <c r="BU401" s="766"/>
      <c r="BV401" s="766"/>
      <c r="BW401" s="766"/>
      <c r="BX401" s="766"/>
      <c r="BY401" s="766"/>
      <c r="BZ401" s="766"/>
      <c r="CA401" s="766"/>
      <c r="CB401" s="766"/>
      <c r="CC401" s="766"/>
      <c r="CD401" s="766"/>
      <c r="CE401" s="766"/>
      <c r="CF401" s="766"/>
      <c r="CG401" s="766"/>
      <c r="CH401" s="1090" t="e">
        <f>+#REF!/#REF!</f>
        <v>#REF!</v>
      </c>
      <c r="CI401" s="796" t="e">
        <f>+#REF!/#REF!</f>
        <v>#REF!</v>
      </c>
      <c r="CJ401" s="796" t="e">
        <f>+#REF!/#REF!</f>
        <v>#REF!</v>
      </c>
      <c r="CK401" s="796" t="e">
        <f>+#REF!/#REF!</f>
        <v>#REF!</v>
      </c>
      <c r="CL401" s="796" t="e">
        <f>+#REF!/#REF!</f>
        <v>#REF!</v>
      </c>
      <c r="CM401" s="1090" t="e">
        <f>+#REF!/#REF!</f>
        <v>#REF!</v>
      </c>
      <c r="CN401" s="796" t="e">
        <f>+#REF!/#REF!</f>
        <v>#REF!</v>
      </c>
      <c r="CO401" s="796" t="e">
        <f>+#REF!/#REF!</f>
        <v>#REF!</v>
      </c>
      <c r="CP401" s="796" t="e">
        <f>+#REF!/#REF!</f>
        <v>#REF!</v>
      </c>
      <c r="CQ401" s="796" t="e">
        <f>+#REF!/#REF!</f>
        <v>#REF!</v>
      </c>
      <c r="CR401" s="1090" t="e">
        <f>+#REF!/#REF!</f>
        <v>#REF!</v>
      </c>
      <c r="CS401" s="796" t="e">
        <f>+#REF!/#REF!</f>
        <v>#REF!</v>
      </c>
      <c r="CT401" s="796" t="e">
        <f>+#REF!/#REF!</f>
        <v>#REF!</v>
      </c>
      <c r="CU401" s="796" t="e">
        <f>+#REF!/#REF!</f>
        <v>#REF!</v>
      </c>
      <c r="CV401" s="796" t="e">
        <f>+#REF!/#REF!</f>
        <v>#REF!</v>
      </c>
      <c r="CW401" s="1090" t="e">
        <f>+#REF!/#REF!</f>
        <v>#REF!</v>
      </c>
      <c r="CX401" s="796" t="e">
        <f>+#REF!/#REF!</f>
        <v>#REF!</v>
      </c>
      <c r="CY401" s="796" t="e">
        <f>+#REF!/#REF!</f>
        <v>#REF!</v>
      </c>
      <c r="CZ401" s="796" t="e">
        <f>+#REF!/#REF!</f>
        <v>#REF!</v>
      </c>
      <c r="DA401" s="796" t="e">
        <f>+#REF!/#REF!</f>
        <v>#REF!</v>
      </c>
      <c r="DB401" s="1090" t="e">
        <f>+#REF!/#REF!</f>
        <v>#REF!</v>
      </c>
      <c r="DC401" s="2649"/>
      <c r="DD401" s="2649"/>
      <c r="DE401" s="2649"/>
      <c r="DF401" s="2649"/>
      <c r="DG401" s="1090" t="e">
        <f>+#REF!/#REF!</f>
        <v>#REF!</v>
      </c>
      <c r="DH401" s="2649"/>
      <c r="DI401" s="2649"/>
      <c r="DJ401" s="2649"/>
      <c r="DK401" s="2649"/>
      <c r="DL401" s="1090" t="e">
        <f>+#REF!/#REF!</f>
        <v>#REF!</v>
      </c>
      <c r="DM401" s="2649"/>
      <c r="DN401" s="2649"/>
      <c r="DO401" s="2649"/>
      <c r="DP401" s="2649"/>
      <c r="DQ401" s="1090" t="e">
        <f>+#REF!/#REF!</f>
        <v>#REF!</v>
      </c>
      <c r="DR401" s="2649"/>
      <c r="DS401" s="2649"/>
      <c r="DT401" s="2649"/>
      <c r="DU401" s="2649"/>
      <c r="DV401" s="1090" t="e">
        <f>+#REF!/#REF!</f>
        <v>#REF!</v>
      </c>
      <c r="DW401" s="2649"/>
      <c r="DX401" s="2649"/>
      <c r="DY401" s="2649"/>
      <c r="DZ401" s="2649"/>
      <c r="EA401" s="1090" t="e">
        <f>+#REF!/#REF!</f>
        <v>#REF!</v>
      </c>
      <c r="EB401" s="2649"/>
      <c r="EC401" s="2649"/>
      <c r="ED401" s="2649"/>
      <c r="EE401" s="2649"/>
      <c r="EF401" s="1090" t="e">
        <f>+#REF!/#REF!</f>
        <v>#REF!</v>
      </c>
      <c r="EG401" s="2649"/>
      <c r="EH401" s="2649"/>
      <c r="EI401" s="2649"/>
      <c r="EJ401" s="2649"/>
      <c r="EK401" s="1090" t="e">
        <f>+#REF!/#REF!</f>
        <v>#REF!</v>
      </c>
      <c r="EL401" s="2649"/>
      <c r="EM401" s="2649"/>
      <c r="EN401" s="2649"/>
      <c r="EO401" s="2649"/>
      <c r="EP401" s="1090" t="e">
        <f>+#REF!/#REF!</f>
        <v>#REF!</v>
      </c>
      <c r="EQ401" s="2649"/>
      <c r="ER401" s="2649"/>
      <c r="ES401" s="2649"/>
      <c r="ET401" s="2649"/>
      <c r="EU401" s="1090" t="e">
        <f>+#REF!/#REF!</f>
        <v>#REF!</v>
      </c>
      <c r="EV401" s="1090" t="e">
        <f>+#REF!/#REF!</f>
        <v>#REF!</v>
      </c>
      <c r="EW401" s="1090" t="e">
        <f>+#REF!/#REF!</f>
        <v>#REF!</v>
      </c>
      <c r="EX401" s="1090" t="e">
        <f>+#REF!/#REF!</f>
        <v>#REF!</v>
      </c>
      <c r="EY401" s="1090" t="e">
        <f>+#REF!/#REF!</f>
        <v>#REF!</v>
      </c>
      <c r="EZ401" s="768"/>
      <c r="FA401" s="772"/>
      <c r="FB401" s="772"/>
    </row>
    <row r="402" spans="1:158" s="627" customFormat="1" hidden="1">
      <c r="A402" s="1521" t="s">
        <v>439</v>
      </c>
      <c r="B402" s="766"/>
      <c r="C402" s="766"/>
      <c r="D402" s="766"/>
      <c r="E402" s="766"/>
      <c r="F402" s="766"/>
      <c r="G402" s="766"/>
      <c r="H402" s="766"/>
      <c r="I402" s="766"/>
      <c r="J402" s="766"/>
      <c r="K402" s="766"/>
      <c r="L402" s="766"/>
      <c r="M402" s="766"/>
      <c r="N402" s="766"/>
      <c r="O402" s="766"/>
      <c r="P402" s="766"/>
      <c r="Q402" s="766"/>
      <c r="R402" s="766"/>
      <c r="S402" s="766"/>
      <c r="T402" s="766"/>
      <c r="U402" s="766"/>
      <c r="V402" s="766"/>
      <c r="W402" s="766"/>
      <c r="X402" s="766"/>
      <c r="Y402" s="766"/>
      <c r="Z402" s="766"/>
      <c r="AA402" s="766"/>
      <c r="AB402" s="766"/>
      <c r="AC402" s="766"/>
      <c r="AD402" s="766"/>
      <c r="AE402" s="766"/>
      <c r="AF402" s="766"/>
      <c r="AG402" s="766"/>
      <c r="AH402" s="766"/>
      <c r="AI402" s="766"/>
      <c r="AJ402" s="766"/>
      <c r="AK402" s="766"/>
      <c r="AL402" s="766"/>
      <c r="AM402" s="766"/>
      <c r="AN402" s="766"/>
      <c r="AO402" s="766"/>
      <c r="AP402" s="766"/>
      <c r="AQ402" s="766"/>
      <c r="AR402" s="766"/>
      <c r="AS402" s="766"/>
      <c r="AT402" s="766"/>
      <c r="AU402" s="766"/>
      <c r="AV402" s="766"/>
      <c r="AW402" s="766"/>
      <c r="AX402" s="766"/>
      <c r="AY402" s="766"/>
      <c r="AZ402" s="766"/>
      <c r="BA402" s="766"/>
      <c r="BB402" s="766"/>
      <c r="BC402" s="766"/>
      <c r="BD402" s="766"/>
      <c r="BE402" s="766"/>
      <c r="BF402" s="766"/>
      <c r="BG402" s="766"/>
      <c r="BH402" s="766"/>
      <c r="BI402" s="766"/>
      <c r="BJ402" s="766"/>
      <c r="BK402" s="766"/>
      <c r="BL402" s="766"/>
      <c r="BM402" s="766"/>
      <c r="BN402" s="766"/>
      <c r="BO402" s="766"/>
      <c r="BP402" s="766"/>
      <c r="BQ402" s="766"/>
      <c r="BR402" s="766"/>
      <c r="BS402" s="766"/>
      <c r="BT402" s="766"/>
      <c r="BU402" s="766"/>
      <c r="BV402" s="766"/>
      <c r="BW402" s="766"/>
      <c r="BX402" s="766"/>
      <c r="BY402" s="766"/>
      <c r="BZ402" s="766"/>
      <c r="CA402" s="766"/>
      <c r="CB402" s="766"/>
      <c r="CC402" s="766"/>
      <c r="CD402" s="766"/>
      <c r="CE402" s="766"/>
      <c r="CF402" s="766"/>
      <c r="CG402" s="766"/>
      <c r="CH402" s="1090" t="e">
        <f>+#REF!/#REF!</f>
        <v>#REF!</v>
      </c>
      <c r="CI402" s="795" t="str">
        <f>+IFERROR(#REF!/#REF!,"N/A")</f>
        <v>N/A</v>
      </c>
      <c r="CJ402" s="795" t="str">
        <f>+IFERROR(#REF!/#REF!,"N/A")</f>
        <v>N/A</v>
      </c>
      <c r="CK402" s="795" t="str">
        <f>+IFERROR(#REF!/#REF!,"N/A")</f>
        <v>N/A</v>
      </c>
      <c r="CL402" s="796" t="e">
        <f>+#REF!/#REF!</f>
        <v>#REF!</v>
      </c>
      <c r="CM402" s="1090" t="e">
        <f>+#REF!/#REF!</f>
        <v>#REF!</v>
      </c>
      <c r="CN402" s="796" t="e">
        <f>+#REF!/#REF!</f>
        <v>#REF!</v>
      </c>
      <c r="CO402" s="796" t="e">
        <f>+#REF!/#REF!</f>
        <v>#REF!</v>
      </c>
      <c r="CP402" s="796" t="e">
        <f>+#REF!/#REF!</f>
        <v>#REF!</v>
      </c>
      <c r="CQ402" s="796" t="e">
        <f>+#REF!/#REF!</f>
        <v>#REF!</v>
      </c>
      <c r="CR402" s="1090" t="e">
        <f>+#REF!/#REF!</f>
        <v>#REF!</v>
      </c>
      <c r="CS402" s="796" t="e">
        <f>+#REF!/#REF!</f>
        <v>#REF!</v>
      </c>
      <c r="CT402" s="796" t="e">
        <f>+#REF!/#REF!</f>
        <v>#REF!</v>
      </c>
      <c r="CU402" s="796" t="e">
        <f>+#REF!/#REF!</f>
        <v>#REF!</v>
      </c>
      <c r="CV402" s="796" t="e">
        <f>+#REF!/#REF!</f>
        <v>#REF!</v>
      </c>
      <c r="CW402" s="1090" t="e">
        <f>+#REF!/#REF!</f>
        <v>#REF!</v>
      </c>
      <c r="CX402" s="796" t="e">
        <f>+#REF!/#REF!</f>
        <v>#REF!</v>
      </c>
      <c r="CY402" s="796" t="e">
        <f>+#REF!/#REF!</f>
        <v>#REF!</v>
      </c>
      <c r="CZ402" s="796" t="e">
        <f>+#REF!/#REF!</f>
        <v>#REF!</v>
      </c>
      <c r="DA402" s="796" t="e">
        <f>+#REF!/#REF!</f>
        <v>#REF!</v>
      </c>
      <c r="DB402" s="1090" t="e">
        <f>+#REF!/#REF!</f>
        <v>#REF!</v>
      </c>
      <c r="DC402" s="2649"/>
      <c r="DD402" s="2649"/>
      <c r="DE402" s="2649"/>
      <c r="DF402" s="2649"/>
      <c r="DG402" s="1090" t="e">
        <f>+#REF!/#REF!</f>
        <v>#REF!</v>
      </c>
      <c r="DH402" s="2649"/>
      <c r="DI402" s="2649"/>
      <c r="DJ402" s="2649"/>
      <c r="DK402" s="2649"/>
      <c r="DL402" s="1090" t="e">
        <f>+#REF!/#REF!</f>
        <v>#REF!</v>
      </c>
      <c r="DM402" s="2649"/>
      <c r="DN402" s="2649"/>
      <c r="DO402" s="2649"/>
      <c r="DP402" s="2649"/>
      <c r="DQ402" s="1090" t="e">
        <f>+#REF!/#REF!</f>
        <v>#REF!</v>
      </c>
      <c r="DR402" s="2649"/>
      <c r="DS402" s="2649"/>
      <c r="DT402" s="2649"/>
      <c r="DU402" s="2649"/>
      <c r="DV402" s="1090" t="e">
        <f>+#REF!/#REF!</f>
        <v>#REF!</v>
      </c>
      <c r="DW402" s="2649"/>
      <c r="DX402" s="2649"/>
      <c r="DY402" s="2649"/>
      <c r="DZ402" s="2649"/>
      <c r="EA402" s="1090" t="e">
        <f>+#REF!/#REF!</f>
        <v>#REF!</v>
      </c>
      <c r="EB402" s="2649"/>
      <c r="EC402" s="2649"/>
      <c r="ED402" s="2649"/>
      <c r="EE402" s="2649"/>
      <c r="EF402" s="1090" t="e">
        <f>+#REF!/#REF!</f>
        <v>#REF!</v>
      </c>
      <c r="EG402" s="2649"/>
      <c r="EH402" s="2649"/>
      <c r="EI402" s="2649"/>
      <c r="EJ402" s="2649"/>
      <c r="EK402" s="1090" t="e">
        <f>+#REF!/#REF!</f>
        <v>#REF!</v>
      </c>
      <c r="EL402" s="2649"/>
      <c r="EM402" s="2649"/>
      <c r="EN402" s="2649"/>
      <c r="EO402" s="2649"/>
      <c r="EP402" s="1090" t="e">
        <f>+#REF!/#REF!</f>
        <v>#REF!</v>
      </c>
      <c r="EQ402" s="2649"/>
      <c r="ER402" s="2649"/>
      <c r="ES402" s="2649"/>
      <c r="ET402" s="2649"/>
      <c r="EU402" s="1090" t="e">
        <f>+#REF!/#REF!</f>
        <v>#REF!</v>
      </c>
      <c r="EV402" s="1090" t="e">
        <f>+#REF!/#REF!</f>
        <v>#REF!</v>
      </c>
      <c r="EW402" s="1090" t="e">
        <f>+#REF!/#REF!</f>
        <v>#REF!</v>
      </c>
      <c r="EX402" s="1090" t="e">
        <f>+#REF!/#REF!</f>
        <v>#REF!</v>
      </c>
      <c r="EY402" s="1090" t="e">
        <f>+#REF!/#REF!</f>
        <v>#REF!</v>
      </c>
      <c r="EZ402" s="768"/>
      <c r="FA402" s="772"/>
      <c r="FB402" s="772"/>
    </row>
    <row r="403" spans="1:158" s="768" customFormat="1" hidden="1">
      <c r="A403" s="1528" t="s">
        <v>441</v>
      </c>
      <c r="B403" s="791"/>
      <c r="C403" s="791"/>
      <c r="D403" s="791"/>
      <c r="E403" s="791"/>
      <c r="F403" s="791"/>
      <c r="G403" s="791"/>
      <c r="H403" s="791"/>
      <c r="I403" s="791"/>
      <c r="J403" s="791"/>
      <c r="K403" s="791"/>
      <c r="L403" s="791"/>
      <c r="M403" s="791"/>
      <c r="N403" s="791"/>
      <c r="O403" s="791"/>
      <c r="P403" s="791"/>
      <c r="Q403" s="791"/>
      <c r="R403" s="791"/>
      <c r="S403" s="791"/>
      <c r="T403" s="791"/>
      <c r="U403" s="791"/>
      <c r="V403" s="791"/>
      <c r="W403" s="791"/>
      <c r="X403" s="791"/>
      <c r="Y403" s="791"/>
      <c r="Z403" s="791"/>
      <c r="AA403" s="791"/>
      <c r="AB403" s="791"/>
      <c r="AC403" s="791"/>
      <c r="AD403" s="791"/>
      <c r="AE403" s="791"/>
      <c r="AF403" s="791"/>
      <c r="AG403" s="791"/>
      <c r="AH403" s="791"/>
      <c r="AI403" s="791"/>
      <c r="AJ403" s="791"/>
      <c r="AK403" s="791"/>
      <c r="AL403" s="791"/>
      <c r="AM403" s="791"/>
      <c r="AN403" s="791"/>
      <c r="AO403" s="791"/>
      <c r="AP403" s="791"/>
      <c r="AQ403" s="791"/>
      <c r="AR403" s="791"/>
      <c r="AS403" s="791"/>
      <c r="AT403" s="791"/>
      <c r="AU403" s="791"/>
      <c r="AV403" s="791"/>
      <c r="AW403" s="791"/>
      <c r="AX403" s="791"/>
      <c r="AY403" s="791"/>
      <c r="AZ403" s="791"/>
      <c r="BA403" s="791"/>
      <c r="BB403" s="791"/>
      <c r="BC403" s="791"/>
      <c r="BD403" s="791"/>
      <c r="BE403" s="791"/>
      <c r="BF403" s="791"/>
      <c r="BG403" s="791"/>
      <c r="BH403" s="791"/>
      <c r="BI403" s="791"/>
      <c r="BJ403" s="791"/>
      <c r="BK403" s="791"/>
      <c r="BL403" s="791"/>
      <c r="BM403" s="791"/>
      <c r="BN403" s="791"/>
      <c r="BO403" s="791"/>
      <c r="BP403" s="791"/>
      <c r="BQ403" s="791"/>
      <c r="BR403" s="791"/>
      <c r="BS403" s="791"/>
      <c r="BT403" s="791"/>
      <c r="BU403" s="791"/>
      <c r="BV403" s="791"/>
      <c r="BW403" s="791"/>
      <c r="BX403" s="791"/>
      <c r="BY403" s="791"/>
      <c r="BZ403" s="791"/>
      <c r="CA403" s="791"/>
      <c r="CB403" s="791"/>
      <c r="CC403" s="791"/>
      <c r="CD403" s="791"/>
      <c r="CE403" s="791"/>
      <c r="CF403" s="791"/>
      <c r="CG403" s="791"/>
      <c r="CH403" s="1087">
        <f>+CH200/CH366</f>
        <v>1.0292601739503919</v>
      </c>
      <c r="CI403" s="795" t="str">
        <f>+IFERROR(CI200/#REF!,"N/A")</f>
        <v>N/A</v>
      </c>
      <c r="CJ403" s="795" t="str">
        <f>+IFERROR(CJ200/#REF!,"N/A")</f>
        <v>N/A</v>
      </c>
      <c r="CK403" s="795" t="str">
        <f>+IFERROR(CK200/#REF!,"N/A")</f>
        <v>N/A</v>
      </c>
      <c r="CL403" s="800">
        <f t="shared" ref="CL403:DB403" si="645">+CL200/CL366</f>
        <v>1.1251785714285714</v>
      </c>
      <c r="CM403" s="1087">
        <f t="shared" si="645"/>
        <v>1.0778659318732482</v>
      </c>
      <c r="CN403" s="800">
        <f t="shared" si="645"/>
        <v>1.1049557522123894</v>
      </c>
      <c r="CO403" s="800">
        <f t="shared" si="645"/>
        <v>1.1086117173073695</v>
      </c>
      <c r="CP403" s="800">
        <f t="shared" si="645"/>
        <v>1.1534201954397394</v>
      </c>
      <c r="CQ403" s="800">
        <f t="shared" si="645"/>
        <v>1.1769366197183098</v>
      </c>
      <c r="CR403" s="1087">
        <f t="shared" si="645"/>
        <v>1.1379310344827587</v>
      </c>
      <c r="CS403" s="800">
        <f t="shared" si="645"/>
        <v>1.1070801638385019</v>
      </c>
      <c r="CT403" s="800">
        <f t="shared" si="645"/>
        <v>1.1128363003613975</v>
      </c>
      <c r="CU403" s="800">
        <f t="shared" si="645"/>
        <v>1.102137144355579</v>
      </c>
      <c r="CV403" s="800">
        <f t="shared" si="645"/>
        <v>1.1238656452563347</v>
      </c>
      <c r="CW403" s="1087">
        <f t="shared" si="645"/>
        <v>1.111936618560768</v>
      </c>
      <c r="CX403" s="800">
        <f t="shared" si="645"/>
        <v>1.0875597528273289</v>
      </c>
      <c r="CY403" s="800">
        <f t="shared" si="645"/>
        <v>1.0763160861233232</v>
      </c>
      <c r="CZ403" s="800">
        <f t="shared" si="645"/>
        <v>1.0697771297646324</v>
      </c>
      <c r="DA403" s="800">
        <f t="shared" si="645"/>
        <v>1.083692566501945</v>
      </c>
      <c r="DB403" s="1087">
        <f t="shared" si="645"/>
        <v>1.0791553841525123</v>
      </c>
      <c r="DC403" s="800"/>
      <c r="DD403" s="800"/>
      <c r="DE403" s="800"/>
      <c r="DF403" s="800"/>
      <c r="DG403" s="1087">
        <f>+DG200/DG366</f>
        <v>1.0762849241918566</v>
      </c>
      <c r="DH403" s="800"/>
      <c r="DI403" s="800"/>
      <c r="DJ403" s="800"/>
      <c r="DK403" s="800"/>
      <c r="DL403" s="1087">
        <f>+DL200/DL366</f>
        <v>1.1099268010787209</v>
      </c>
      <c r="DM403" s="800"/>
      <c r="DN403" s="800"/>
      <c r="DO403" s="800"/>
      <c r="DP403" s="800"/>
      <c r="DQ403" s="1087">
        <f>+DQ200/DQ366</f>
        <v>1.1268162980724892</v>
      </c>
      <c r="DR403" s="800"/>
      <c r="DS403" s="800"/>
      <c r="DT403" s="800"/>
      <c r="DU403" s="800"/>
      <c r="DV403" s="1087">
        <f>+DV200/DV366</f>
        <v>0</v>
      </c>
      <c r="DW403" s="800"/>
      <c r="DX403" s="800"/>
      <c r="DY403" s="800"/>
      <c r="DZ403" s="800"/>
      <c r="EA403" s="1087">
        <f>+EA200/EA366</f>
        <v>0</v>
      </c>
      <c r="EB403" s="800"/>
      <c r="EC403" s="800"/>
      <c r="ED403" s="800"/>
      <c r="EE403" s="800"/>
      <c r="EF403" s="1087">
        <f>+EF200/EF366</f>
        <v>0</v>
      </c>
      <c r="EG403" s="800"/>
      <c r="EH403" s="800"/>
      <c r="EI403" s="800"/>
      <c r="EJ403" s="800"/>
      <c r="EK403" s="1087">
        <f>+EK200/EK366</f>
        <v>0</v>
      </c>
      <c r="EL403" s="800"/>
      <c r="EM403" s="800"/>
      <c r="EN403" s="800"/>
      <c r="EO403" s="800"/>
      <c r="EP403" s="1087">
        <f>+EP200/EP366</f>
        <v>0</v>
      </c>
      <c r="EQ403" s="800"/>
      <c r="ER403" s="800"/>
      <c r="ES403" s="800"/>
      <c r="ET403" s="800"/>
      <c r="EU403" s="1087">
        <f>+EU200/EU366</f>
        <v>0</v>
      </c>
      <c r="EV403" s="1087">
        <f>+EV200/EV366</f>
        <v>0</v>
      </c>
      <c r="EW403" s="1087">
        <f>+EW200/EW366</f>
        <v>0</v>
      </c>
      <c r="EX403" s="1087">
        <f>+EX200/EX366</f>
        <v>0</v>
      </c>
      <c r="EY403" s="1087">
        <f>+EY200/EY366</f>
        <v>0</v>
      </c>
      <c r="FA403" s="772"/>
      <c r="FB403" s="772"/>
    </row>
    <row r="404" spans="1:158" s="768" customFormat="1" hidden="1">
      <c r="A404" s="1523" t="s">
        <v>442</v>
      </c>
      <c r="B404" s="767"/>
      <c r="C404" s="767"/>
      <c r="D404" s="767"/>
      <c r="E404" s="767"/>
      <c r="F404" s="767"/>
      <c r="G404" s="767"/>
      <c r="H404" s="767"/>
      <c r="I404" s="767"/>
      <c r="J404" s="767"/>
      <c r="K404" s="767"/>
      <c r="L404" s="767"/>
      <c r="M404" s="767"/>
      <c r="N404" s="767"/>
      <c r="O404" s="767"/>
      <c r="P404" s="767"/>
      <c r="Q404" s="767"/>
      <c r="R404" s="767"/>
      <c r="S404" s="767"/>
      <c r="T404" s="767"/>
      <c r="U404" s="767"/>
      <c r="V404" s="767"/>
      <c r="W404" s="767"/>
      <c r="X404" s="767"/>
      <c r="Y404" s="767"/>
      <c r="Z404" s="767"/>
      <c r="AA404" s="767"/>
      <c r="AB404" s="767"/>
      <c r="AC404" s="767"/>
      <c r="AD404" s="767"/>
      <c r="AE404" s="767"/>
      <c r="AF404" s="767"/>
      <c r="AG404" s="767"/>
      <c r="AH404" s="767"/>
      <c r="AI404" s="767"/>
      <c r="AJ404" s="767"/>
      <c r="AK404" s="767"/>
      <c r="AL404" s="767"/>
      <c r="AM404" s="767"/>
      <c r="AN404" s="767"/>
      <c r="AO404" s="767"/>
      <c r="AP404" s="767"/>
      <c r="AQ404" s="767"/>
      <c r="AR404" s="767"/>
      <c r="AS404" s="767"/>
      <c r="AT404" s="767"/>
      <c r="AU404" s="767"/>
      <c r="AV404" s="767"/>
      <c r="AW404" s="767"/>
      <c r="AX404" s="767"/>
      <c r="AY404" s="767"/>
      <c r="AZ404" s="767"/>
      <c r="BA404" s="767"/>
      <c r="BB404" s="767"/>
      <c r="BC404" s="767"/>
      <c r="BD404" s="767"/>
      <c r="BE404" s="767"/>
      <c r="BF404" s="767"/>
      <c r="BG404" s="767"/>
      <c r="BH404" s="767"/>
      <c r="BI404" s="767"/>
      <c r="BJ404" s="767"/>
      <c r="BK404" s="767"/>
      <c r="BL404" s="767"/>
      <c r="BM404" s="767"/>
      <c r="BN404" s="767"/>
      <c r="BO404" s="767"/>
      <c r="BP404" s="767"/>
      <c r="BQ404" s="767"/>
      <c r="BR404" s="767"/>
      <c r="BS404" s="767"/>
      <c r="BT404" s="767"/>
      <c r="BU404" s="767"/>
      <c r="BV404" s="767"/>
      <c r="BW404" s="767"/>
      <c r="BX404" s="767"/>
      <c r="BY404" s="767"/>
      <c r="BZ404" s="767"/>
      <c r="CA404" s="767"/>
      <c r="CB404" s="767"/>
      <c r="CC404" s="767"/>
      <c r="CD404" s="767"/>
      <c r="CE404" s="767"/>
      <c r="CF404" s="767"/>
      <c r="CG404" s="767"/>
      <c r="CH404" s="1088">
        <f>+CH197/CH315</f>
        <v>0.93092420850655577</v>
      </c>
      <c r="CI404" s="797" t="str">
        <f>+IFERROR(CI197/CI315,"N/A")</f>
        <v>N/A</v>
      </c>
      <c r="CJ404" s="797" t="str">
        <f>+IFERROR(CJ197/CJ315,"N/A")</f>
        <v>N/A</v>
      </c>
      <c r="CK404" s="797" t="str">
        <f>+IFERROR(CK197/CK315,"N/A")</f>
        <v>N/A</v>
      </c>
      <c r="CL404" s="798">
        <f t="shared" ref="CL404:DB404" si="646">+CL197/CL315</f>
        <v>0.89758534554537883</v>
      </c>
      <c r="CM404" s="1088">
        <f t="shared" si="646"/>
        <v>0.88071856287425154</v>
      </c>
      <c r="CN404" s="798">
        <f t="shared" si="646"/>
        <v>0.87697423108894434</v>
      </c>
      <c r="CO404" s="798">
        <f t="shared" si="646"/>
        <v>0.87985865724381629</v>
      </c>
      <c r="CP404" s="798">
        <f t="shared" si="646"/>
        <v>0.89036312849162014</v>
      </c>
      <c r="CQ404" s="798">
        <f t="shared" si="646"/>
        <v>0.88997214484679665</v>
      </c>
      <c r="CR404" s="1088">
        <f t="shared" si="646"/>
        <v>0.88487411108975589</v>
      </c>
      <c r="CS404" s="798">
        <f t="shared" si="646"/>
        <v>0.88554216867469882</v>
      </c>
      <c r="CT404" s="798">
        <f t="shared" si="646"/>
        <v>0.87890884896872923</v>
      </c>
      <c r="CU404" s="798">
        <f t="shared" si="646"/>
        <v>0.87580645161290327</v>
      </c>
      <c r="CV404" s="798">
        <f t="shared" si="646"/>
        <v>0.89544962080173351</v>
      </c>
      <c r="CW404" s="1088">
        <f t="shared" si="646"/>
        <v>0.88408175443831116</v>
      </c>
      <c r="CX404" s="798">
        <f t="shared" si="646"/>
        <v>0.93678446988551523</v>
      </c>
      <c r="CY404" s="798">
        <f t="shared" si="646"/>
        <v>0.94058911632551179</v>
      </c>
      <c r="CZ404" s="798">
        <f t="shared" si="646"/>
        <v>0.9285714285714286</v>
      </c>
      <c r="DA404" s="798">
        <f t="shared" si="646"/>
        <v>0.92690850027070926</v>
      </c>
      <c r="DB404" s="1088">
        <f t="shared" si="646"/>
        <v>0.93345487693710116</v>
      </c>
      <c r="DC404" s="2650"/>
      <c r="DD404" s="2650"/>
      <c r="DE404" s="2650"/>
      <c r="DF404" s="2650"/>
      <c r="DG404" s="1088">
        <f>+DG197/DG315</f>
        <v>0.93606329519940124</v>
      </c>
      <c r="DH404" s="2650"/>
      <c r="DI404" s="2650"/>
      <c r="DJ404" s="2650"/>
      <c r="DK404" s="2650"/>
      <c r="DL404" s="1088">
        <f>+DL197/DL315</f>
        <v>0.94357976653696496</v>
      </c>
      <c r="DM404" s="2650"/>
      <c r="DN404" s="2650"/>
      <c r="DO404" s="2650"/>
      <c r="DP404" s="2650"/>
      <c r="DQ404" s="1088">
        <f>+DQ197/DQ315</f>
        <v>0.93074787160341776</v>
      </c>
      <c r="DR404" s="2650"/>
      <c r="DS404" s="2650"/>
      <c r="DT404" s="2650"/>
      <c r="DU404" s="2650"/>
      <c r="DV404" s="1088" t="e">
        <f>+DV197/DV315</f>
        <v>#DIV/0!</v>
      </c>
      <c r="DW404" s="2650"/>
      <c r="DX404" s="2650"/>
      <c r="DY404" s="2650"/>
      <c r="DZ404" s="2650"/>
      <c r="EA404" s="1088" t="e">
        <f>+EA197/EA315</f>
        <v>#DIV/0!</v>
      </c>
      <c r="EB404" s="2650"/>
      <c r="EC404" s="2650"/>
      <c r="ED404" s="2650"/>
      <c r="EE404" s="2650"/>
      <c r="EF404" s="1088" t="e">
        <f>+EF197/EF315</f>
        <v>#DIV/0!</v>
      </c>
      <c r="EG404" s="2650"/>
      <c r="EH404" s="2650"/>
      <c r="EI404" s="2650"/>
      <c r="EJ404" s="2650"/>
      <c r="EK404" s="1088" t="e">
        <f>+EK197/EK315</f>
        <v>#DIV/0!</v>
      </c>
      <c r="EL404" s="2650"/>
      <c r="EM404" s="2650"/>
      <c r="EN404" s="2650"/>
      <c r="EO404" s="2650"/>
      <c r="EP404" s="1088" t="e">
        <f>+EP197/EP315</f>
        <v>#DIV/0!</v>
      </c>
      <c r="EQ404" s="2650"/>
      <c r="ER404" s="2650"/>
      <c r="ES404" s="2650"/>
      <c r="ET404" s="2650"/>
      <c r="EU404" s="1088" t="e">
        <f>+EU197/EU315</f>
        <v>#DIV/0!</v>
      </c>
      <c r="EV404" s="1088" t="e">
        <f>+EV197/EV315</f>
        <v>#DIV/0!</v>
      </c>
      <c r="EW404" s="1088" t="e">
        <f>+EW197/EW315</f>
        <v>#DIV/0!</v>
      </c>
      <c r="EX404" s="1088" t="e">
        <f>+EX197/EX315</f>
        <v>#DIV/0!</v>
      </c>
      <c r="EY404" s="1088" t="e">
        <f>+EY197/EY315</f>
        <v>#DIV/0!</v>
      </c>
      <c r="FA404" s="772"/>
      <c r="FB404" s="772"/>
    </row>
    <row r="405" spans="1:158" s="768" customFormat="1" hidden="1">
      <c r="A405" s="1529" t="s">
        <v>443</v>
      </c>
      <c r="B405" s="767"/>
      <c r="C405" s="767"/>
      <c r="D405" s="767"/>
      <c r="E405" s="767"/>
      <c r="F405" s="767"/>
      <c r="G405" s="767"/>
      <c r="H405" s="767"/>
      <c r="I405" s="767"/>
      <c r="J405" s="767"/>
      <c r="K405" s="767"/>
      <c r="L405" s="767"/>
      <c r="M405" s="767"/>
      <c r="N405" s="767"/>
      <c r="O405" s="767"/>
      <c r="P405" s="767"/>
      <c r="Q405" s="767"/>
      <c r="R405" s="767"/>
      <c r="S405" s="767"/>
      <c r="T405" s="767"/>
      <c r="U405" s="767"/>
      <c r="V405" s="767"/>
      <c r="W405" s="767"/>
      <c r="X405" s="767"/>
      <c r="Y405" s="767"/>
      <c r="Z405" s="767"/>
      <c r="AA405" s="767"/>
      <c r="AB405" s="767"/>
      <c r="AC405" s="767"/>
      <c r="AD405" s="767"/>
      <c r="AE405" s="767"/>
      <c r="AF405" s="767"/>
      <c r="AG405" s="767"/>
      <c r="AH405" s="767"/>
      <c r="AI405" s="767"/>
      <c r="AJ405" s="767"/>
      <c r="AK405" s="767"/>
      <c r="AL405" s="767"/>
      <c r="AM405" s="767"/>
      <c r="AN405" s="767"/>
      <c r="AO405" s="767"/>
      <c r="AP405" s="767"/>
      <c r="AQ405" s="767"/>
      <c r="AR405" s="767"/>
      <c r="AS405" s="767"/>
      <c r="AT405" s="767"/>
      <c r="AU405" s="767"/>
      <c r="AV405" s="767"/>
      <c r="AW405" s="767"/>
      <c r="AX405" s="767"/>
      <c r="AY405" s="767"/>
      <c r="AZ405" s="767"/>
      <c r="BA405" s="767"/>
      <c r="BB405" s="767"/>
      <c r="BC405" s="767"/>
      <c r="BD405" s="767"/>
      <c r="BE405" s="767"/>
      <c r="BF405" s="767"/>
      <c r="BG405" s="767"/>
      <c r="BH405" s="767"/>
      <c r="BI405" s="767"/>
      <c r="BJ405" s="767"/>
      <c r="BK405" s="767"/>
      <c r="BL405" s="767"/>
      <c r="BM405" s="767"/>
      <c r="BN405" s="767"/>
      <c r="BO405" s="767"/>
      <c r="BP405" s="767"/>
      <c r="BQ405" s="767"/>
      <c r="BR405" s="767"/>
      <c r="BS405" s="767"/>
      <c r="BT405" s="767"/>
      <c r="BU405" s="767"/>
      <c r="BV405" s="767"/>
      <c r="BW405" s="767"/>
      <c r="BX405" s="767"/>
      <c r="BY405" s="767"/>
      <c r="BZ405" s="767"/>
      <c r="CA405" s="767"/>
      <c r="CB405" s="767"/>
      <c r="CC405" s="767"/>
      <c r="CD405" s="767"/>
      <c r="CE405" s="767"/>
      <c r="CF405" s="767"/>
      <c r="CG405" s="767"/>
      <c r="CH405" s="1089">
        <f>+CH199/CH316</f>
        <v>1.0556385119781861</v>
      </c>
      <c r="CI405" s="801" t="str">
        <f>+IFERROR(CI199/CI316,"N/A")</f>
        <v>N/A</v>
      </c>
      <c r="CJ405" s="801" t="str">
        <f>+IFERROR(CJ199/CJ316,"N/A")</f>
        <v>N/A</v>
      </c>
      <c r="CK405" s="801" t="str">
        <f>+IFERROR(CK199/CK316,"N/A")</f>
        <v>N/A</v>
      </c>
      <c r="CL405" s="802">
        <f t="shared" ref="CL405:DB405" si="647">+CL199/CL316</f>
        <v>1.1873152989315754</v>
      </c>
      <c r="CM405" s="1089">
        <f t="shared" si="647"/>
        <v>1.1524612027158099</v>
      </c>
      <c r="CN405" s="802">
        <f t="shared" si="647"/>
        <v>1.1666291882167754</v>
      </c>
      <c r="CO405" s="802">
        <f t="shared" si="647"/>
        <v>1.1622797927461139</v>
      </c>
      <c r="CP405" s="802">
        <f t="shared" si="647"/>
        <v>1.2334324553950722</v>
      </c>
      <c r="CQ405" s="802">
        <f t="shared" si="647"/>
        <v>1.2535315985130111</v>
      </c>
      <c r="CR405" s="1089">
        <f t="shared" si="647"/>
        <v>1.205940082644628</v>
      </c>
      <c r="CS405" s="802">
        <f t="shared" si="647"/>
        <v>1.1690378135529764</v>
      </c>
      <c r="CT405" s="802">
        <f t="shared" si="647"/>
        <v>1.1712466487935658</v>
      </c>
      <c r="CU405" s="802">
        <f t="shared" si="647"/>
        <v>1.1746141841512052</v>
      </c>
      <c r="CV405" s="802">
        <f t="shared" si="647"/>
        <v>1.1873776171110106</v>
      </c>
      <c r="CW405" s="1089">
        <f t="shared" si="647"/>
        <v>1.1760836566031372</v>
      </c>
      <c r="CX405" s="802">
        <f t="shared" si="647"/>
        <v>1.1336784409257004</v>
      </c>
      <c r="CY405" s="802">
        <f t="shared" si="647"/>
        <v>1.8547918683446274</v>
      </c>
      <c r="CZ405" s="802">
        <f t="shared" si="647"/>
        <v>1.1028013364173734</v>
      </c>
      <c r="DA405" s="802">
        <f t="shared" si="647"/>
        <v>1.1214770354906054</v>
      </c>
      <c r="DB405" s="1089">
        <f t="shared" si="647"/>
        <v>1.2348734031974298</v>
      </c>
      <c r="DC405" s="2651"/>
      <c r="DD405" s="2651"/>
      <c r="DE405" s="2651"/>
      <c r="DF405" s="2651"/>
      <c r="DG405" s="1089">
        <f>+DG199/DG316</f>
        <v>1.4092791745385844</v>
      </c>
      <c r="DH405" s="2651"/>
      <c r="DI405" s="2651"/>
      <c r="DJ405" s="2651"/>
      <c r="DK405" s="2651"/>
      <c r="DL405" s="1089">
        <f>+DL199/DL316</f>
        <v>1.2957260962285648</v>
      </c>
      <c r="DM405" s="2651"/>
      <c r="DN405" s="2651"/>
      <c r="DO405" s="2651"/>
      <c r="DP405" s="2651"/>
      <c r="DQ405" s="1089">
        <f>+DQ199/DQ316</f>
        <v>1.1886037259848632</v>
      </c>
      <c r="DR405" s="2651"/>
      <c r="DS405" s="2651"/>
      <c r="DT405" s="2651"/>
      <c r="DU405" s="2651"/>
      <c r="DV405" s="1089" t="e">
        <f>+DV199/DV316</f>
        <v>#DIV/0!</v>
      </c>
      <c r="DW405" s="2651"/>
      <c r="DX405" s="2651"/>
      <c r="DY405" s="2651"/>
      <c r="DZ405" s="2651"/>
      <c r="EA405" s="1089" t="e">
        <f>+EA199/EA316</f>
        <v>#DIV/0!</v>
      </c>
      <c r="EB405" s="2651"/>
      <c r="EC405" s="2651"/>
      <c r="ED405" s="2651"/>
      <c r="EE405" s="2651"/>
      <c r="EF405" s="1089" t="e">
        <f>+EF199/EF316</f>
        <v>#DIV/0!</v>
      </c>
      <c r="EG405" s="2651"/>
      <c r="EH405" s="2651"/>
      <c r="EI405" s="2651"/>
      <c r="EJ405" s="2651"/>
      <c r="EK405" s="1089" t="e">
        <f>+EK199/EK316</f>
        <v>#DIV/0!</v>
      </c>
      <c r="EL405" s="2651"/>
      <c r="EM405" s="2651"/>
      <c r="EN405" s="2651"/>
      <c r="EO405" s="2651"/>
      <c r="EP405" s="1089" t="e">
        <f>+EP199/EP316</f>
        <v>#DIV/0!</v>
      </c>
      <c r="EQ405" s="2651"/>
      <c r="ER405" s="2651"/>
      <c r="ES405" s="2651"/>
      <c r="ET405" s="2651"/>
      <c r="EU405" s="1089" t="e">
        <f>+EU199/EU316</f>
        <v>#DIV/0!</v>
      </c>
      <c r="EV405" s="1089" t="e">
        <f>+EV199/EV316</f>
        <v>#DIV/0!</v>
      </c>
      <c r="EW405" s="1089" t="e">
        <f>+EW199/EW316</f>
        <v>#DIV/0!</v>
      </c>
      <c r="EX405" s="1089" t="e">
        <f>+EX199/EX316</f>
        <v>#DIV/0!</v>
      </c>
      <c r="EY405" s="1089" t="e">
        <f>+EY199/EY316</f>
        <v>#DIV/0!</v>
      </c>
      <c r="FA405" s="772"/>
      <c r="FB405" s="772"/>
    </row>
    <row r="406" spans="1:158" s="768" customFormat="1" hidden="1">
      <c r="A406" s="1528" t="s">
        <v>444</v>
      </c>
      <c r="B406" s="767"/>
      <c r="C406" s="767"/>
      <c r="D406" s="767"/>
      <c r="E406" s="767"/>
      <c r="F406" s="767"/>
      <c r="G406" s="767"/>
      <c r="H406" s="767"/>
      <c r="I406" s="767"/>
      <c r="J406" s="767"/>
      <c r="K406" s="767"/>
      <c r="L406" s="767"/>
      <c r="M406" s="767"/>
      <c r="N406" s="767"/>
      <c r="O406" s="767"/>
      <c r="P406" s="767"/>
      <c r="Q406" s="767"/>
      <c r="R406" s="767"/>
      <c r="S406" s="767"/>
      <c r="T406" s="767"/>
      <c r="U406" s="767"/>
      <c r="V406" s="767"/>
      <c r="W406" s="767"/>
      <c r="X406" s="767"/>
      <c r="Y406" s="767"/>
      <c r="Z406" s="767"/>
      <c r="AA406" s="767"/>
      <c r="AB406" s="767"/>
      <c r="AC406" s="767"/>
      <c r="AD406" s="767"/>
      <c r="AE406" s="767"/>
      <c r="AF406" s="767"/>
      <c r="AG406" s="767"/>
      <c r="AH406" s="767"/>
      <c r="AI406" s="767"/>
      <c r="AJ406" s="767"/>
      <c r="AK406" s="767"/>
      <c r="AL406" s="767"/>
      <c r="AM406" s="767"/>
      <c r="AN406" s="767"/>
      <c r="AO406" s="767"/>
      <c r="AP406" s="767"/>
      <c r="AQ406" s="767"/>
      <c r="AR406" s="767"/>
      <c r="AS406" s="767"/>
      <c r="AT406" s="767"/>
      <c r="AU406" s="767"/>
      <c r="AV406" s="767"/>
      <c r="AW406" s="767"/>
      <c r="AX406" s="767"/>
      <c r="AY406" s="767"/>
      <c r="AZ406" s="767"/>
      <c r="BA406" s="767"/>
      <c r="BB406" s="767"/>
      <c r="BC406" s="767"/>
      <c r="BD406" s="767"/>
      <c r="BE406" s="767"/>
      <c r="BF406" s="767"/>
      <c r="BG406" s="767"/>
      <c r="BH406" s="767"/>
      <c r="BI406" s="767"/>
      <c r="BJ406" s="767"/>
      <c r="BK406" s="767"/>
      <c r="BL406" s="767"/>
      <c r="BM406" s="767"/>
      <c r="BN406" s="767"/>
      <c r="BO406" s="767"/>
      <c r="BP406" s="767"/>
      <c r="BQ406" s="767"/>
      <c r="BR406" s="767"/>
      <c r="BS406" s="767"/>
      <c r="BT406" s="767"/>
      <c r="BU406" s="767"/>
      <c r="BV406" s="767"/>
      <c r="BW406" s="767"/>
      <c r="BX406" s="767"/>
      <c r="BY406" s="767"/>
      <c r="BZ406" s="767"/>
      <c r="CA406" s="767"/>
      <c r="CB406" s="767"/>
      <c r="CC406" s="767"/>
      <c r="CD406" s="767"/>
      <c r="CE406" s="767"/>
      <c r="CF406" s="767"/>
      <c r="CG406" s="767"/>
      <c r="CH406" s="1088">
        <f>+CH207/CH325</f>
        <v>0.95216091329165531</v>
      </c>
      <c r="CI406" s="797" t="str">
        <f t="shared" ref="CI406:CK407" si="648">+IFERROR(CI207/CI325,"N/A")</f>
        <v>N/A</v>
      </c>
      <c r="CJ406" s="797" t="str">
        <f t="shared" si="648"/>
        <v>N/A</v>
      </c>
      <c r="CK406" s="797" t="str">
        <f t="shared" si="648"/>
        <v>N/A</v>
      </c>
      <c r="CL406" s="798">
        <f t="shared" ref="CL406:DB406" si="649">+CL207/CL325</f>
        <v>1.0574486060264714</v>
      </c>
      <c r="CM406" s="1088">
        <f t="shared" si="649"/>
        <v>1.01952732913587</v>
      </c>
      <c r="CN406" s="798">
        <f t="shared" si="649"/>
        <v>0.91492996241885893</v>
      </c>
      <c r="CO406" s="798">
        <f t="shared" si="649"/>
        <v>0.81908548707753481</v>
      </c>
      <c r="CP406" s="798">
        <f t="shared" si="649"/>
        <v>0.98195551825430127</v>
      </c>
      <c r="CQ406" s="798">
        <f t="shared" si="649"/>
        <v>0.8501427212178877</v>
      </c>
      <c r="CR406" s="1088">
        <f t="shared" si="649"/>
        <v>0.89301903898458745</v>
      </c>
      <c r="CS406" s="798">
        <f t="shared" si="649"/>
        <v>0.83428805237315873</v>
      </c>
      <c r="CT406" s="798">
        <f t="shared" si="649"/>
        <v>0.96254681647940077</v>
      </c>
      <c r="CU406" s="798">
        <f t="shared" si="649"/>
        <v>0.95301487862176981</v>
      </c>
      <c r="CV406" s="798">
        <f t="shared" si="649"/>
        <v>0.93827160493827155</v>
      </c>
      <c r="CW406" s="1088">
        <f t="shared" si="649"/>
        <v>0.92215041128084607</v>
      </c>
      <c r="CX406" s="798">
        <f t="shared" si="649"/>
        <v>0.96052631578947367</v>
      </c>
      <c r="CY406" s="798">
        <f t="shared" si="649"/>
        <v>1.0024726245143059</v>
      </c>
      <c r="CZ406" s="798">
        <f t="shared" si="649"/>
        <v>1.0070661390616167</v>
      </c>
      <c r="DA406" s="798">
        <f t="shared" si="649"/>
        <v>0.88437427443696304</v>
      </c>
      <c r="DB406" s="1088">
        <f t="shared" si="649"/>
        <v>0.95714502427184467</v>
      </c>
      <c r="DC406" s="2650"/>
      <c r="DD406" s="2650"/>
      <c r="DE406" s="2650"/>
      <c r="DF406" s="2650"/>
      <c r="DG406" s="1088">
        <f>+DG207/DG325</f>
        <v>1.0127690043358923</v>
      </c>
      <c r="DH406" s="2650"/>
      <c r="DI406" s="2650"/>
      <c r="DJ406" s="2650"/>
      <c r="DK406" s="2650"/>
      <c r="DL406" s="1088">
        <f>+DL207/DL325</f>
        <v>1.0723203669101411</v>
      </c>
      <c r="DM406" s="2650"/>
      <c r="DN406" s="2650"/>
      <c r="DO406" s="2650"/>
      <c r="DP406" s="2650"/>
      <c r="DQ406" s="1088">
        <f>+DQ207/DQ325</f>
        <v>0.95698577263138995</v>
      </c>
      <c r="DR406" s="2650"/>
      <c r="DS406" s="2650"/>
      <c r="DT406" s="2650"/>
      <c r="DU406" s="2650"/>
      <c r="DV406" s="1088" t="e">
        <f>+DV207/DV325</f>
        <v>#DIV/0!</v>
      </c>
      <c r="DW406" s="2650"/>
      <c r="DX406" s="2650"/>
      <c r="DY406" s="2650"/>
      <c r="DZ406" s="2650"/>
      <c r="EA406" s="1088" t="e">
        <f>+EA207/EA325</f>
        <v>#DIV/0!</v>
      </c>
      <c r="EB406" s="2650"/>
      <c r="EC406" s="2650"/>
      <c r="ED406" s="2650"/>
      <c r="EE406" s="2650"/>
      <c r="EF406" s="1088" t="e">
        <f t="shared" ref="EF406:EV407" si="650">+EF207/EF325</f>
        <v>#DIV/0!</v>
      </c>
      <c r="EG406" s="2650"/>
      <c r="EH406" s="2650"/>
      <c r="EI406" s="2650"/>
      <c r="EJ406" s="2650"/>
      <c r="EK406" s="1088" t="e">
        <f t="shared" si="650"/>
        <v>#DIV/0!</v>
      </c>
      <c r="EL406" s="2650"/>
      <c r="EM406" s="2650"/>
      <c r="EN406" s="2650"/>
      <c r="EO406" s="2650"/>
      <c r="EP406" s="1088" t="e">
        <f t="shared" ref="EP406" si="651">+EP207/EP325</f>
        <v>#DIV/0!</v>
      </c>
      <c r="EQ406" s="2650"/>
      <c r="ER406" s="2650"/>
      <c r="ES406" s="2650"/>
      <c r="ET406" s="2650"/>
      <c r="EU406" s="1088" t="e">
        <f t="shared" si="650"/>
        <v>#DIV/0!</v>
      </c>
      <c r="EV406" s="1088" t="e">
        <f t="shared" si="650"/>
        <v>#DIV/0!</v>
      </c>
      <c r="EW406" s="1088" t="e">
        <f t="shared" ref="EW406:EY407" si="652">+EW207/EW325</f>
        <v>#DIV/0!</v>
      </c>
      <c r="EX406" s="1088" t="e">
        <f t="shared" si="652"/>
        <v>#DIV/0!</v>
      </c>
      <c r="EY406" s="1088" t="e">
        <f t="shared" si="652"/>
        <v>#DIV/0!</v>
      </c>
      <c r="FA406" s="772"/>
      <c r="FB406" s="772"/>
    </row>
    <row r="407" spans="1:158" s="627" customFormat="1" hidden="1">
      <c r="A407" s="1531" t="s">
        <v>445</v>
      </c>
      <c r="B407" s="1475"/>
      <c r="C407" s="1475"/>
      <c r="D407" s="1475"/>
      <c r="E407" s="1475"/>
      <c r="F407" s="1475"/>
      <c r="G407" s="1475"/>
      <c r="H407" s="1475"/>
      <c r="I407" s="1475"/>
      <c r="J407" s="1475"/>
      <c r="K407" s="1475"/>
      <c r="L407" s="1475"/>
      <c r="M407" s="1475"/>
      <c r="N407" s="1475"/>
      <c r="O407" s="1475"/>
      <c r="P407" s="1475"/>
      <c r="Q407" s="1475"/>
      <c r="R407" s="1475"/>
      <c r="S407" s="1475"/>
      <c r="T407" s="1475"/>
      <c r="U407" s="1475"/>
      <c r="V407" s="1475"/>
      <c r="W407" s="1475"/>
      <c r="X407" s="1475"/>
      <c r="Y407" s="1475"/>
      <c r="Z407" s="1475"/>
      <c r="AA407" s="1475"/>
      <c r="AB407" s="1475"/>
      <c r="AC407" s="1475"/>
      <c r="AD407" s="1475"/>
      <c r="AE407" s="1475"/>
      <c r="AF407" s="1475"/>
      <c r="AG407" s="1475"/>
      <c r="AH407" s="1475"/>
      <c r="AI407" s="1475"/>
      <c r="AJ407" s="1475"/>
      <c r="AK407" s="1475"/>
      <c r="AL407" s="1475"/>
      <c r="AM407" s="1475"/>
      <c r="AN407" s="1475"/>
      <c r="AO407" s="1475"/>
      <c r="AP407" s="1475"/>
      <c r="AQ407" s="1475"/>
      <c r="AR407" s="1475"/>
      <c r="AS407" s="1475"/>
      <c r="AT407" s="1475"/>
      <c r="AU407" s="1475"/>
      <c r="AV407" s="1475"/>
      <c r="AW407" s="1475"/>
      <c r="AX407" s="1475"/>
      <c r="AY407" s="1475"/>
      <c r="AZ407" s="1475"/>
      <c r="BA407" s="1475"/>
      <c r="BB407" s="1475"/>
      <c r="BC407" s="1475"/>
      <c r="BD407" s="1475"/>
      <c r="BE407" s="1475"/>
      <c r="BF407" s="1475"/>
      <c r="BG407" s="1475"/>
      <c r="BH407" s="1475"/>
      <c r="BI407" s="1475"/>
      <c r="BJ407" s="1475"/>
      <c r="BK407" s="1475"/>
      <c r="BL407" s="1475"/>
      <c r="BM407" s="1475"/>
      <c r="BN407" s="1475"/>
      <c r="BO407" s="1475"/>
      <c r="BP407" s="1475"/>
      <c r="BQ407" s="1475"/>
      <c r="BR407" s="1475"/>
      <c r="BS407" s="1475"/>
      <c r="BT407" s="1701"/>
      <c r="BU407" s="1701"/>
      <c r="BV407" s="1701"/>
      <c r="BW407" s="1701"/>
      <c r="BX407" s="1701"/>
      <c r="BY407" s="1701"/>
      <c r="BZ407" s="1701"/>
      <c r="CA407" s="1701"/>
      <c r="CB407" s="1701"/>
      <c r="CC407" s="1701"/>
      <c r="CD407" s="1475"/>
      <c r="CE407" s="1475"/>
      <c r="CF407" s="1475"/>
      <c r="CG407" s="1475"/>
      <c r="CH407" s="1476">
        <f>+CH208/CH326</f>
        <v>0.93120081238893115</v>
      </c>
      <c r="CI407" s="1477" t="str">
        <f t="shared" si="648"/>
        <v>N/A</v>
      </c>
      <c r="CJ407" s="1477" t="str">
        <f t="shared" si="648"/>
        <v>N/A</v>
      </c>
      <c r="CK407" s="1477" t="str">
        <f t="shared" si="648"/>
        <v>N/A</v>
      </c>
      <c r="CL407" s="1478">
        <f t="shared" ref="CL407:DB407" si="653">+CL208/CL326</f>
        <v>0.95816890292028412</v>
      </c>
      <c r="CM407" s="1476">
        <f t="shared" si="653"/>
        <v>0.95963044788110063</v>
      </c>
      <c r="CN407" s="1478">
        <f t="shared" si="653"/>
        <v>0.96601529311809686</v>
      </c>
      <c r="CO407" s="1478">
        <f t="shared" si="653"/>
        <v>0.9635332252836305</v>
      </c>
      <c r="CP407" s="1478">
        <f t="shared" si="653"/>
        <v>0.96153846153846156</v>
      </c>
      <c r="CQ407" s="1478">
        <f t="shared" si="653"/>
        <v>0.93518518518518523</v>
      </c>
      <c r="CR407" s="1476">
        <f t="shared" si="653"/>
        <v>0.95575745605372309</v>
      </c>
      <c r="CS407" s="1478">
        <f t="shared" si="653"/>
        <v>0.96061269146608319</v>
      </c>
      <c r="CT407" s="1478">
        <f t="shared" si="653"/>
        <v>0.94563758389261743</v>
      </c>
      <c r="CU407" s="1478">
        <f t="shared" si="653"/>
        <v>0.93233082706766912</v>
      </c>
      <c r="CV407" s="1478">
        <f t="shared" si="653"/>
        <v>0.94013040901007705</v>
      </c>
      <c r="CW407" s="1476">
        <f t="shared" si="653"/>
        <v>0.94401041666666663</v>
      </c>
      <c r="CX407" s="1478">
        <f t="shared" si="653"/>
        <v>0.94211576846307388</v>
      </c>
      <c r="CY407" s="1478">
        <f t="shared" si="653"/>
        <v>0.96246153846153848</v>
      </c>
      <c r="CZ407" s="1478">
        <f t="shared" si="653"/>
        <v>0.96138557637705846</v>
      </c>
      <c r="DA407" s="1478">
        <f t="shared" si="653"/>
        <v>0.95508390918065156</v>
      </c>
      <c r="DB407" s="1476">
        <f t="shared" si="653"/>
        <v>0.95560375994215474</v>
      </c>
      <c r="DC407" s="1478"/>
      <c r="DD407" s="1478"/>
      <c r="DE407" s="1478"/>
      <c r="DF407" s="1478"/>
      <c r="DG407" s="1476">
        <f>+DG208/DG326</f>
        <v>0.96380741560597671</v>
      </c>
      <c r="DH407" s="1478"/>
      <c r="DI407" s="1478"/>
      <c r="DJ407" s="1478"/>
      <c r="DK407" s="1478"/>
      <c r="DL407" s="1476">
        <f>+DL208/DL326</f>
        <v>0.94711824123588828</v>
      </c>
      <c r="DM407" s="1478"/>
      <c r="DN407" s="1478"/>
      <c r="DO407" s="1478"/>
      <c r="DP407" s="1478"/>
      <c r="DQ407" s="1476">
        <f>+DQ208/DQ326</f>
        <v>0.97226078703365704</v>
      </c>
      <c r="DR407" s="1478"/>
      <c r="DS407" s="1478"/>
      <c r="DT407" s="1478"/>
      <c r="DU407" s="1478"/>
      <c r="DV407" s="1476" t="e">
        <f>+DV208/DV326</f>
        <v>#DIV/0!</v>
      </c>
      <c r="DW407" s="1478"/>
      <c r="DX407" s="1478"/>
      <c r="DY407" s="1478"/>
      <c r="DZ407" s="1478"/>
      <c r="EA407" s="1093" t="e">
        <f>+EA208/EA326</f>
        <v>#DIV/0!</v>
      </c>
      <c r="EB407" s="1478"/>
      <c r="EC407" s="1478"/>
      <c r="ED407" s="1478"/>
      <c r="EE407" s="1478"/>
      <c r="EF407" s="1093" t="e">
        <f t="shared" si="650"/>
        <v>#DIV/0!</v>
      </c>
      <c r="EG407" s="1478"/>
      <c r="EH407" s="1478"/>
      <c r="EI407" s="1478"/>
      <c r="EJ407" s="1478"/>
      <c r="EK407" s="1093" t="e">
        <f t="shared" si="650"/>
        <v>#DIV/0!</v>
      </c>
      <c r="EL407" s="1478"/>
      <c r="EM407" s="1478"/>
      <c r="EN407" s="1478"/>
      <c r="EO407" s="1478"/>
      <c r="EP407" s="1093" t="e">
        <f t="shared" ref="EP407" si="654">+EP208/EP326</f>
        <v>#DIV/0!</v>
      </c>
      <c r="EQ407" s="1478"/>
      <c r="ER407" s="1478"/>
      <c r="ES407" s="1478"/>
      <c r="ET407" s="1478"/>
      <c r="EU407" s="1093" t="e">
        <f t="shared" si="650"/>
        <v>#DIV/0!</v>
      </c>
      <c r="EV407" s="1093" t="e">
        <f t="shared" si="650"/>
        <v>#DIV/0!</v>
      </c>
      <c r="EW407" s="1093" t="e">
        <f t="shared" si="652"/>
        <v>#DIV/0!</v>
      </c>
      <c r="EX407" s="1093" t="e">
        <f t="shared" si="652"/>
        <v>#DIV/0!</v>
      </c>
      <c r="EY407" s="1093" t="e">
        <f t="shared" si="652"/>
        <v>#DIV/0!</v>
      </c>
      <c r="EZ407" s="768"/>
      <c r="FA407" s="772"/>
      <c r="FB407" s="772"/>
    </row>
    <row r="408" spans="1:158" hidden="1">
      <c r="A408" s="1527"/>
      <c r="B408" s="766"/>
      <c r="C408" s="766"/>
      <c r="D408" s="766"/>
      <c r="E408" s="766"/>
      <c r="F408" s="766"/>
      <c r="G408" s="766"/>
      <c r="H408" s="766"/>
      <c r="I408" s="766"/>
      <c r="J408" s="766"/>
      <c r="K408" s="766"/>
      <c r="L408" s="766"/>
      <c r="M408" s="766"/>
      <c r="N408" s="766"/>
      <c r="O408" s="766"/>
      <c r="P408" s="766"/>
      <c r="Q408" s="766"/>
      <c r="R408" s="766"/>
      <c r="S408" s="766"/>
      <c r="T408" s="766"/>
      <c r="U408" s="766"/>
      <c r="V408" s="766"/>
      <c r="W408" s="766"/>
      <c r="X408" s="766"/>
      <c r="Y408" s="766"/>
      <c r="Z408" s="766"/>
      <c r="AA408" s="766"/>
      <c r="AB408" s="766"/>
      <c r="AC408" s="766"/>
      <c r="AD408" s="766"/>
      <c r="AE408" s="766"/>
      <c r="AF408" s="766"/>
      <c r="AG408" s="766"/>
      <c r="AH408" s="766"/>
      <c r="AI408" s="766"/>
      <c r="AJ408" s="766"/>
      <c r="AK408" s="766"/>
      <c r="AL408" s="766"/>
      <c r="AM408" s="766"/>
      <c r="AN408" s="766"/>
      <c r="AO408" s="766"/>
      <c r="AP408" s="766"/>
      <c r="AQ408" s="766"/>
      <c r="AR408" s="766"/>
      <c r="AS408" s="766"/>
      <c r="AT408" s="766"/>
      <c r="AU408" s="766"/>
      <c r="AV408" s="766"/>
      <c r="AW408" s="766"/>
      <c r="AX408" s="766"/>
      <c r="AY408" s="766"/>
      <c r="AZ408" s="766"/>
      <c r="BA408" s="766"/>
      <c r="BB408" s="766"/>
      <c r="BC408" s="766"/>
      <c r="BD408" s="766"/>
      <c r="BE408" s="766"/>
      <c r="BF408" s="766"/>
      <c r="BG408" s="766"/>
      <c r="BH408" s="766"/>
      <c r="BI408" s="766"/>
      <c r="BJ408" s="766"/>
      <c r="BK408" s="766"/>
      <c r="BL408" s="766"/>
      <c r="BM408" s="766"/>
      <c r="BN408" s="766"/>
      <c r="BO408" s="766"/>
      <c r="BP408" s="766"/>
      <c r="BQ408" s="766"/>
      <c r="BR408" s="766"/>
      <c r="BS408" s="766"/>
      <c r="BT408" s="766"/>
      <c r="BU408" s="766"/>
      <c r="BV408" s="766"/>
      <c r="BW408" s="766"/>
      <c r="BX408" s="766"/>
      <c r="BY408" s="766"/>
      <c r="BZ408" s="766"/>
      <c r="CA408" s="766"/>
      <c r="CB408" s="766"/>
      <c r="CC408" s="766"/>
      <c r="CD408" s="766"/>
      <c r="CE408" s="766"/>
      <c r="CF408" s="766"/>
      <c r="CG408" s="766"/>
      <c r="CH408" s="766"/>
      <c r="CI408" s="766"/>
      <c r="CJ408" s="766"/>
      <c r="CK408" s="766"/>
      <c r="CL408" s="766"/>
      <c r="CM408" s="766"/>
      <c r="CN408" s="766"/>
      <c r="CO408" s="766"/>
      <c r="CP408" s="766"/>
      <c r="CQ408" s="766"/>
      <c r="CR408" s="766"/>
      <c r="CS408" s="766"/>
      <c r="CT408" s="766"/>
      <c r="CU408" s="766"/>
      <c r="CV408" s="766"/>
      <c r="CW408" s="766"/>
      <c r="CX408" s="766"/>
      <c r="CY408" s="766"/>
      <c r="CZ408" s="766"/>
      <c r="DA408" s="766"/>
      <c r="DB408" s="766"/>
      <c r="DC408" s="766"/>
      <c r="DD408" s="766"/>
      <c r="DE408" s="766"/>
      <c r="DF408" s="766"/>
      <c r="DG408" s="766"/>
      <c r="DH408" s="766"/>
      <c r="DI408" s="766"/>
      <c r="DJ408" s="766"/>
      <c r="DK408" s="766"/>
      <c r="DL408" s="766"/>
      <c r="DM408" s="766"/>
      <c r="DN408" s="766"/>
      <c r="DO408" s="766"/>
      <c r="DP408" s="766"/>
      <c r="DQ408" s="766"/>
      <c r="DR408" s="766"/>
      <c r="DS408" s="766"/>
      <c r="DT408" s="766"/>
      <c r="DU408" s="766"/>
      <c r="DV408" s="766"/>
      <c r="DW408" s="766"/>
      <c r="DX408" s="766"/>
      <c r="DY408" s="766"/>
      <c r="DZ408" s="766"/>
      <c r="EA408" s="766"/>
      <c r="EB408" s="766"/>
      <c r="EC408" s="766"/>
      <c r="ED408" s="766"/>
      <c r="EE408" s="766"/>
      <c r="EF408" s="766"/>
      <c r="EG408" s="766"/>
      <c r="EH408" s="766"/>
      <c r="EI408" s="766"/>
      <c r="EJ408" s="766"/>
      <c r="EK408" s="766"/>
      <c r="EL408" s="766"/>
      <c r="EM408" s="766"/>
      <c r="EN408" s="766"/>
      <c r="EO408" s="766"/>
      <c r="EP408" s="766"/>
      <c r="EQ408" s="766"/>
      <c r="ER408" s="766"/>
      <c r="ES408" s="766"/>
      <c r="ET408" s="766"/>
      <c r="EU408" s="766"/>
      <c r="EV408" s="766"/>
      <c r="EW408" s="766"/>
      <c r="EX408" s="766"/>
      <c r="EY408" s="766"/>
      <c r="FA408" s="772"/>
      <c r="FB408" s="772"/>
    </row>
    <row r="409" spans="1:158" s="766" customFormat="1" hidden="1">
      <c r="A409" s="1532" t="s">
        <v>667</v>
      </c>
      <c r="B409" s="807"/>
      <c r="C409" s="807"/>
      <c r="D409" s="807"/>
      <c r="E409" s="807"/>
      <c r="F409" s="807"/>
      <c r="G409" s="807"/>
      <c r="H409" s="807"/>
      <c r="I409" s="807"/>
      <c r="J409" s="807"/>
      <c r="K409" s="807"/>
      <c r="L409" s="807"/>
      <c r="M409" s="807"/>
      <c r="N409" s="807"/>
      <c r="O409" s="807"/>
      <c r="P409" s="807"/>
      <c r="Q409" s="807"/>
      <c r="R409" s="807"/>
      <c r="S409" s="807"/>
      <c r="T409" s="807"/>
      <c r="U409" s="807"/>
      <c r="V409" s="807"/>
      <c r="W409" s="807"/>
      <c r="X409" s="807"/>
      <c r="Y409" s="807"/>
      <c r="Z409" s="807"/>
      <c r="AA409" s="807"/>
      <c r="AB409" s="807"/>
      <c r="AC409" s="807"/>
      <c r="AD409" s="807"/>
      <c r="AE409" s="807"/>
      <c r="AF409" s="807"/>
      <c r="AG409" s="807"/>
      <c r="AH409" s="807"/>
      <c r="AI409" s="807"/>
      <c r="AJ409" s="807"/>
      <c r="AK409" s="807"/>
      <c r="AL409" s="807"/>
      <c r="AM409" s="807"/>
      <c r="AN409" s="807"/>
      <c r="AO409" s="807"/>
      <c r="AP409" s="807"/>
      <c r="AQ409" s="807"/>
      <c r="AR409" s="807"/>
      <c r="AS409" s="807"/>
      <c r="AT409" s="807"/>
      <c r="AU409" s="807"/>
      <c r="AV409" s="807"/>
      <c r="AW409" s="807"/>
      <c r="AX409" s="807"/>
      <c r="AY409" s="807"/>
      <c r="AZ409" s="807"/>
      <c r="BA409" s="807"/>
      <c r="BB409" s="807"/>
      <c r="BC409" s="807"/>
      <c r="BD409" s="807"/>
      <c r="BE409" s="807"/>
      <c r="BF409" s="807"/>
      <c r="BG409" s="807"/>
      <c r="BH409" s="807"/>
      <c r="BI409" s="807"/>
      <c r="BJ409" s="807"/>
      <c r="BK409" s="807"/>
      <c r="BL409" s="807"/>
      <c r="BM409" s="807"/>
      <c r="BN409" s="807"/>
      <c r="BO409" s="807"/>
      <c r="BP409" s="807"/>
      <c r="BQ409" s="807"/>
      <c r="BR409" s="807"/>
      <c r="BS409" s="807"/>
      <c r="BT409" s="807"/>
      <c r="BU409" s="807"/>
      <c r="BV409" s="807"/>
      <c r="BW409" s="807"/>
      <c r="BX409" s="807"/>
      <c r="BY409" s="807"/>
      <c r="BZ409" s="807"/>
      <c r="CA409" s="807"/>
      <c r="CB409" s="807"/>
      <c r="CC409" s="807"/>
      <c r="CD409" s="807"/>
      <c r="CE409" s="807"/>
      <c r="CF409" s="807"/>
      <c r="CG409" s="807"/>
      <c r="CH409" s="1086"/>
      <c r="CI409" s="808"/>
      <c r="CJ409" s="808"/>
      <c r="CK409" s="808"/>
      <c r="CL409" s="808"/>
      <c r="CM409" s="1086"/>
      <c r="CN409" s="808"/>
      <c r="CO409" s="808"/>
      <c r="CP409" s="808"/>
      <c r="CQ409" s="808"/>
      <c r="CR409" s="1086"/>
      <c r="CS409" s="808"/>
      <c r="CT409" s="808"/>
      <c r="CU409" s="808"/>
      <c r="CV409" s="808"/>
      <c r="CW409" s="1086"/>
      <c r="CX409" s="808"/>
      <c r="CY409" s="808"/>
      <c r="CZ409" s="808"/>
      <c r="DA409" s="808"/>
      <c r="DB409" s="1086"/>
      <c r="DC409" s="2652"/>
      <c r="DD409" s="2652"/>
      <c r="DE409" s="2652"/>
      <c r="DF409" s="2652"/>
      <c r="DG409" s="1086"/>
      <c r="DH409" s="2652"/>
      <c r="DI409" s="2652"/>
      <c r="DJ409" s="2652"/>
      <c r="DK409" s="2652"/>
      <c r="DL409" s="1086"/>
      <c r="DM409" s="2652"/>
      <c r="DN409" s="2652"/>
      <c r="DO409" s="2652"/>
      <c r="DP409" s="2652"/>
      <c r="DQ409" s="1086"/>
      <c r="DR409" s="2652"/>
      <c r="DS409" s="2652"/>
      <c r="DT409" s="2652"/>
      <c r="DU409" s="2652"/>
      <c r="DV409" s="1086"/>
      <c r="DW409" s="2652"/>
      <c r="DX409" s="2652"/>
      <c r="DY409" s="2652"/>
      <c r="DZ409" s="2652"/>
      <c r="EA409" s="1086"/>
      <c r="EB409" s="2652"/>
      <c r="EC409" s="2652"/>
      <c r="ED409" s="2652"/>
      <c r="EE409" s="2652"/>
      <c r="EF409" s="1086"/>
      <c r="EG409" s="2652"/>
      <c r="EH409" s="2652"/>
      <c r="EI409" s="2652"/>
      <c r="EJ409" s="2652"/>
      <c r="EK409" s="1086"/>
      <c r="EL409" s="2652"/>
      <c r="EM409" s="2652"/>
      <c r="EN409" s="2652"/>
      <c r="EO409" s="2652"/>
      <c r="EP409" s="1086"/>
      <c r="EQ409" s="2652"/>
      <c r="ER409" s="2652"/>
      <c r="ES409" s="2652"/>
      <c r="ET409" s="2652"/>
      <c r="EU409" s="1086"/>
      <c r="EV409" s="1086"/>
      <c r="EW409" s="1086"/>
      <c r="EX409" s="1086"/>
      <c r="EY409" s="1086"/>
      <c r="EZ409" s="767"/>
      <c r="FA409" s="718"/>
      <c r="FB409" s="718"/>
    </row>
    <row r="410" spans="1:158" s="766" customFormat="1" hidden="1">
      <c r="A410" s="1520" t="s">
        <v>446</v>
      </c>
      <c r="B410" s="765"/>
      <c r="C410" s="765"/>
      <c r="D410" s="765"/>
      <c r="E410" s="765"/>
      <c r="F410" s="765"/>
      <c r="G410" s="765"/>
      <c r="H410" s="765"/>
      <c r="I410" s="765"/>
      <c r="J410" s="765"/>
      <c r="K410" s="765"/>
      <c r="L410" s="765"/>
      <c r="M410" s="765"/>
      <c r="N410" s="765"/>
      <c r="O410" s="765"/>
      <c r="P410" s="765"/>
      <c r="Q410" s="765"/>
      <c r="R410" s="765"/>
      <c r="S410" s="765"/>
      <c r="T410" s="765"/>
      <c r="U410" s="765"/>
      <c r="V410" s="765"/>
      <c r="W410" s="765"/>
      <c r="X410" s="765"/>
      <c r="Y410" s="765"/>
      <c r="Z410" s="765"/>
      <c r="AA410" s="765"/>
      <c r="AB410" s="765"/>
      <c r="AC410" s="765"/>
      <c r="AD410" s="765"/>
      <c r="AE410" s="765"/>
      <c r="AF410" s="765"/>
      <c r="AG410" s="765"/>
      <c r="AH410" s="765"/>
      <c r="AI410" s="765"/>
      <c r="AJ410" s="765"/>
      <c r="AK410" s="765"/>
      <c r="AL410" s="765"/>
      <c r="AM410" s="765"/>
      <c r="AN410" s="765"/>
      <c r="AO410" s="765"/>
      <c r="AP410" s="765"/>
      <c r="AQ410" s="765"/>
      <c r="AR410" s="765"/>
      <c r="AS410" s="765"/>
      <c r="AT410" s="765"/>
      <c r="AU410" s="765"/>
      <c r="AV410" s="765"/>
      <c r="AW410" s="765"/>
      <c r="AX410" s="765"/>
      <c r="AY410" s="765"/>
      <c r="AZ410" s="765"/>
      <c r="BA410" s="765"/>
      <c r="BB410" s="765"/>
      <c r="BC410" s="765"/>
      <c r="BD410" s="765"/>
      <c r="BE410" s="765"/>
      <c r="BF410" s="765"/>
      <c r="BG410" s="765"/>
      <c r="BH410" s="765"/>
      <c r="BI410" s="765"/>
      <c r="BJ410" s="765"/>
      <c r="BK410" s="765"/>
      <c r="BL410" s="765"/>
      <c r="BM410" s="765"/>
      <c r="BN410" s="765"/>
      <c r="BO410" s="765"/>
      <c r="BP410" s="765"/>
      <c r="BQ410" s="765"/>
      <c r="BR410" s="765"/>
      <c r="BS410" s="765"/>
      <c r="BT410" s="765"/>
      <c r="BU410" s="765"/>
      <c r="BV410" s="765"/>
      <c r="BW410" s="765"/>
      <c r="BX410" s="765"/>
      <c r="BY410" s="765"/>
      <c r="BZ410" s="765"/>
      <c r="CA410" s="765"/>
      <c r="CB410" s="765"/>
      <c r="CC410" s="765"/>
      <c r="CD410" s="765"/>
      <c r="CE410" s="765"/>
      <c r="CF410" s="765"/>
      <c r="CG410" s="765"/>
      <c r="CH410" s="1091">
        <f>+CH261/CH$313</f>
        <v>2.1614222158180082E-4</v>
      </c>
      <c r="CI410" s="783" t="str">
        <f>+IFERROR(CI261/CI$313,"N/A")</f>
        <v>N/A</v>
      </c>
      <c r="CJ410" s="783" t="str">
        <f>+IFERROR(CJ261/CJ$313,"N/A")</f>
        <v>N/A</v>
      </c>
      <c r="CK410" s="783" t="str">
        <f>+IFERROR(CK261/CK$313,"N/A")</f>
        <v>N/A</v>
      </c>
      <c r="CL410" s="776">
        <f t="shared" ref="CL410:DB410" si="655">+CL261/CL$313</f>
        <v>5.8553830856764074E-3</v>
      </c>
      <c r="CM410" s="1091">
        <f t="shared" si="655"/>
        <v>4.9544703868123208E-3</v>
      </c>
      <c r="CN410" s="776">
        <f t="shared" si="655"/>
        <v>4.6355313477807391E-3</v>
      </c>
      <c r="CO410" s="776">
        <f t="shared" si="655"/>
        <v>4.174423196254301E-3</v>
      </c>
      <c r="CP410" s="776">
        <f t="shared" si="655"/>
        <v>7.5502008032128512E-3</v>
      </c>
      <c r="CQ410" s="776">
        <f t="shared" si="655"/>
        <v>7.0326785128229175E-3</v>
      </c>
      <c r="CR410" s="1091">
        <f t="shared" si="655"/>
        <v>5.9342036832068703E-3</v>
      </c>
      <c r="CS410" s="776">
        <f t="shared" si="655"/>
        <v>8.1453324776620435E-3</v>
      </c>
      <c r="CT410" s="776">
        <f t="shared" si="655"/>
        <v>8.6046511627906972E-3</v>
      </c>
      <c r="CU410" s="776">
        <f t="shared" si="655"/>
        <v>8.7746648256202403E-3</v>
      </c>
      <c r="CV410" s="776">
        <f t="shared" si="655"/>
        <v>1.0052179251074279E-2</v>
      </c>
      <c r="CW410" s="1091">
        <f t="shared" si="655"/>
        <v>8.9618043247075511E-3</v>
      </c>
      <c r="CX410" s="776">
        <f t="shared" si="655"/>
        <v>5.3333333333333332E-3</v>
      </c>
      <c r="CY410" s="776">
        <f t="shared" si="655"/>
        <v>3.7293348712033833E-3</v>
      </c>
      <c r="CZ410" s="776">
        <f t="shared" si="655"/>
        <v>4.212876278265879E-3</v>
      </c>
      <c r="DA410" s="776">
        <f t="shared" si="655"/>
        <v>4.0528416297992143E-3</v>
      </c>
      <c r="DB410" s="1091">
        <f t="shared" si="655"/>
        <v>4.3029182265121105E-3</v>
      </c>
      <c r="DC410" s="776"/>
      <c r="DD410" s="776"/>
      <c r="DE410" s="776"/>
      <c r="DF410" s="776"/>
      <c r="DG410" s="1091">
        <f>+DG261/DG$313</f>
        <v>4.3488112031223733E-3</v>
      </c>
      <c r="DH410" s="776"/>
      <c r="DI410" s="776"/>
      <c r="DJ410" s="776"/>
      <c r="DK410" s="776"/>
      <c r="DL410" s="1091">
        <f>+DL261/DL$313</f>
        <v>4.071495208733635E-3</v>
      </c>
      <c r="DM410" s="776"/>
      <c r="DN410" s="776"/>
      <c r="DO410" s="776"/>
      <c r="DP410" s="776"/>
      <c r="DQ410" s="1091">
        <f>+DQ261/DQ$313</f>
        <v>3.5994674760446398E-3</v>
      </c>
      <c r="DR410" s="776"/>
      <c r="DS410" s="776"/>
      <c r="DT410" s="776"/>
      <c r="DU410" s="776"/>
      <c r="DV410" s="1091" t="e">
        <f>+DV261/DV$313</f>
        <v>#DIV/0!</v>
      </c>
      <c r="DW410" s="776"/>
      <c r="DX410" s="776"/>
      <c r="DY410" s="776"/>
      <c r="DZ410" s="776"/>
      <c r="EA410" s="1091" t="e">
        <f>+EA261/EA$313</f>
        <v>#DIV/0!</v>
      </c>
      <c r="EB410" s="776"/>
      <c r="EC410" s="776"/>
      <c r="ED410" s="776"/>
      <c r="EE410" s="776"/>
      <c r="EF410" s="1091" t="e">
        <f>+EF261/EF$313</f>
        <v>#DIV/0!</v>
      </c>
      <c r="EG410" s="776"/>
      <c r="EH410" s="776"/>
      <c r="EI410" s="776"/>
      <c r="EJ410" s="776"/>
      <c r="EK410" s="1091" t="e">
        <f>+EK261/EK$313</f>
        <v>#DIV/0!</v>
      </c>
      <c r="EL410" s="776"/>
      <c r="EM410" s="776"/>
      <c r="EN410" s="776"/>
      <c r="EO410" s="776"/>
      <c r="EP410" s="1091" t="e">
        <f>+EP261/EP$313</f>
        <v>#DIV/0!</v>
      </c>
      <c r="EQ410" s="776"/>
      <c r="ER410" s="776"/>
      <c r="ES410" s="776"/>
      <c r="ET410" s="776"/>
      <c r="EU410" s="1091" t="e">
        <f>+EU261/EU$313</f>
        <v>#DIV/0!</v>
      </c>
      <c r="EV410" s="1091" t="e">
        <f>+EV261/EV$313</f>
        <v>#DIV/0!</v>
      </c>
      <c r="EW410" s="1091" t="e">
        <f>+EW261/EW$313</f>
        <v>#DIV/0!</v>
      </c>
      <c r="EX410" s="1091" t="e">
        <f>+EX261/EX$313</f>
        <v>#DIV/0!</v>
      </c>
      <c r="EY410" s="1091" t="e">
        <f>+EY261/EY$313</f>
        <v>#DIV/0!</v>
      </c>
      <c r="EZ410" s="767"/>
      <c r="FA410" s="718"/>
      <c r="FB410" s="718"/>
    </row>
    <row r="411" spans="1:158" s="767" customFormat="1" hidden="1">
      <c r="A411" s="1528" t="s">
        <v>447</v>
      </c>
      <c r="B411" s="791"/>
      <c r="C411" s="791"/>
      <c r="D411" s="791"/>
      <c r="E411" s="791"/>
      <c r="F411" s="791"/>
      <c r="G411" s="791"/>
      <c r="H411" s="791"/>
      <c r="I411" s="791"/>
      <c r="J411" s="791"/>
      <c r="K411" s="791"/>
      <c r="L411" s="791"/>
      <c r="M411" s="791"/>
      <c r="N411" s="791"/>
      <c r="O411" s="791"/>
      <c r="P411" s="791"/>
      <c r="Q411" s="791"/>
      <c r="R411" s="791"/>
      <c r="S411" s="791"/>
      <c r="T411" s="791"/>
      <c r="U411" s="791"/>
      <c r="V411" s="791"/>
      <c r="W411" s="791"/>
      <c r="X411" s="791"/>
      <c r="Y411" s="791"/>
      <c r="Z411" s="791"/>
      <c r="AA411" s="791"/>
      <c r="AB411" s="791"/>
      <c r="AC411" s="791"/>
      <c r="AD411" s="791"/>
      <c r="AE411" s="791"/>
      <c r="AF411" s="791"/>
      <c r="AG411" s="791"/>
      <c r="AH411" s="791"/>
      <c r="AI411" s="791"/>
      <c r="AJ411" s="791"/>
      <c r="AK411" s="791"/>
      <c r="AL411" s="791"/>
      <c r="AM411" s="791"/>
      <c r="AN411" s="791"/>
      <c r="AO411" s="791"/>
      <c r="AP411" s="791"/>
      <c r="AQ411" s="791"/>
      <c r="AR411" s="791"/>
      <c r="AS411" s="791"/>
      <c r="AT411" s="791"/>
      <c r="AU411" s="791"/>
      <c r="AV411" s="791"/>
      <c r="AW411" s="791"/>
      <c r="AX411" s="791"/>
      <c r="AY411" s="791"/>
      <c r="AZ411" s="791"/>
      <c r="BA411" s="791"/>
      <c r="BB411" s="791"/>
      <c r="BC411" s="791"/>
      <c r="BD411" s="791"/>
      <c r="BE411" s="791"/>
      <c r="BF411" s="791"/>
      <c r="BG411" s="791"/>
      <c r="BH411" s="791"/>
      <c r="BI411" s="791"/>
      <c r="BJ411" s="791"/>
      <c r="BK411" s="791"/>
      <c r="BL411" s="791"/>
      <c r="BM411" s="791"/>
      <c r="BN411" s="791"/>
      <c r="BO411" s="791"/>
      <c r="BP411" s="791"/>
      <c r="BQ411" s="791"/>
      <c r="BR411" s="791"/>
      <c r="BS411" s="791"/>
      <c r="BT411" s="791"/>
      <c r="BU411" s="791"/>
      <c r="BV411" s="791"/>
      <c r="BW411" s="791"/>
      <c r="BX411" s="791"/>
      <c r="BY411" s="791"/>
      <c r="BZ411" s="791"/>
      <c r="CA411" s="791"/>
      <c r="CB411" s="791"/>
      <c r="CC411" s="791"/>
      <c r="CD411" s="791"/>
      <c r="CE411" s="791"/>
      <c r="CF411" s="791"/>
      <c r="CG411" s="791"/>
      <c r="CH411" s="1087">
        <f>+CH269/CH$366</f>
        <v>-2.1636422205519167E-2</v>
      </c>
      <c r="CI411" s="799" t="str">
        <f>IFERROR(CI269/CI$366,"N/A")</f>
        <v>N/A</v>
      </c>
      <c r="CJ411" s="799" t="str">
        <f>IFERROR(CJ269/CJ$366,"N/A")</f>
        <v>N/A</v>
      </c>
      <c r="CK411" s="799" t="str">
        <f>IFERROR(CK269/CK$366,"N/A")</f>
        <v>N/A</v>
      </c>
      <c r="CL411" s="800">
        <f t="shared" ref="CL411:DB411" si="656">+CL269/CL$366</f>
        <v>-9.5178571428571432E-2</v>
      </c>
      <c r="CM411" s="1087">
        <f t="shared" si="656"/>
        <v>-7.5775571286046839E-2</v>
      </c>
      <c r="CN411" s="800">
        <f t="shared" si="656"/>
        <v>-9.1327433628318577E-2</v>
      </c>
      <c r="CO411" s="800">
        <f t="shared" si="656"/>
        <v>-9.3167701863354033E-2</v>
      </c>
      <c r="CP411" s="800">
        <f t="shared" si="656"/>
        <v>-0.13876221498371336</v>
      </c>
      <c r="CQ411" s="800">
        <f t="shared" si="656"/>
        <v>-0.15874413145539906</v>
      </c>
      <c r="CR411" s="1087">
        <f t="shared" si="656"/>
        <v>-0.12233847657045149</v>
      </c>
      <c r="CS411" s="800">
        <f t="shared" si="656"/>
        <v>-9.3036863662960795E-2</v>
      </c>
      <c r="CT411" s="800">
        <f t="shared" si="656"/>
        <v>-9.449872841654397E-2</v>
      </c>
      <c r="CU411" s="800">
        <f t="shared" si="656"/>
        <v>-8.6796905729644686E-2</v>
      </c>
      <c r="CV411" s="800">
        <f t="shared" si="656"/>
        <v>-0.10925162050677667</v>
      </c>
      <c r="CW411" s="1087">
        <f t="shared" si="656"/>
        <v>-9.6354252276537697E-2</v>
      </c>
      <c r="CX411" s="800">
        <f t="shared" si="656"/>
        <v>-7.1936574559869418E-2</v>
      </c>
      <c r="CY411" s="800">
        <f t="shared" si="656"/>
        <v>-6.2225228271897193E-2</v>
      </c>
      <c r="CZ411" s="800">
        <f t="shared" si="656"/>
        <v>-5.7904603207665072E-2</v>
      </c>
      <c r="DA411" s="800">
        <f t="shared" si="656"/>
        <v>-6.7921354221427824E-2</v>
      </c>
      <c r="DB411" s="1087">
        <f t="shared" si="656"/>
        <v>-6.4850523782172265E-2</v>
      </c>
      <c r="DC411" s="800"/>
      <c r="DD411" s="800"/>
      <c r="DE411" s="800"/>
      <c r="DF411" s="800"/>
      <c r="DG411" s="1087">
        <f>+DG269/DG$366</f>
        <v>-6.8394202345761421E-2</v>
      </c>
      <c r="DH411" s="800"/>
      <c r="DI411" s="800"/>
      <c r="DJ411" s="800"/>
      <c r="DK411" s="800"/>
      <c r="DL411" s="1087">
        <f>+DL269/DL$366</f>
        <v>-9.31038911005522E-2</v>
      </c>
      <c r="DM411" s="800"/>
      <c r="DN411" s="800"/>
      <c r="DO411" s="800"/>
      <c r="DP411" s="800"/>
      <c r="DQ411" s="1087">
        <f>+DQ269/DQ$366</f>
        <v>-7.2739676382111595E-2</v>
      </c>
      <c r="DR411" s="800"/>
      <c r="DS411" s="800"/>
      <c r="DT411" s="800"/>
      <c r="DU411" s="800"/>
      <c r="DV411" s="1087">
        <f>+DV269/DV$366</f>
        <v>0</v>
      </c>
      <c r="DW411" s="800"/>
      <c r="DX411" s="800"/>
      <c r="DY411" s="800"/>
      <c r="DZ411" s="800"/>
      <c r="EA411" s="1087">
        <f>+EA269/EA$366</f>
        <v>0</v>
      </c>
      <c r="EB411" s="800"/>
      <c r="EC411" s="800"/>
      <c r="ED411" s="800"/>
      <c r="EE411" s="800"/>
      <c r="EF411" s="1087">
        <f>+EF269/EF$366</f>
        <v>0</v>
      </c>
      <c r="EG411" s="800"/>
      <c r="EH411" s="800"/>
      <c r="EI411" s="800"/>
      <c r="EJ411" s="800"/>
      <c r="EK411" s="1087">
        <f>+EK269/EK$366</f>
        <v>0</v>
      </c>
      <c r="EL411" s="800"/>
      <c r="EM411" s="800"/>
      <c r="EN411" s="800"/>
      <c r="EO411" s="800"/>
      <c r="EP411" s="1087">
        <f>+EP269/EP$366</f>
        <v>0</v>
      </c>
      <c r="EQ411" s="800"/>
      <c r="ER411" s="800"/>
      <c r="ES411" s="800"/>
      <c r="ET411" s="800"/>
      <c r="EU411" s="1087">
        <f>+EU269/EU$366</f>
        <v>0</v>
      </c>
      <c r="EV411" s="1087">
        <f>+EV269/EV$366</f>
        <v>0</v>
      </c>
      <c r="EW411" s="1087">
        <f>+EW269/EW$366</f>
        <v>0</v>
      </c>
      <c r="EX411" s="1087">
        <f>+EX269/EX$366</f>
        <v>0</v>
      </c>
      <c r="EY411" s="1087">
        <f>+EY269/EY$366</f>
        <v>0</v>
      </c>
      <c r="FA411" s="718"/>
      <c r="FB411" s="718"/>
    </row>
    <row r="412" spans="1:158" s="768" customFormat="1" hidden="1">
      <c r="A412" s="1523" t="s">
        <v>448</v>
      </c>
      <c r="B412" s="767"/>
      <c r="C412" s="767"/>
      <c r="D412" s="767"/>
      <c r="E412" s="767"/>
      <c r="F412" s="767"/>
      <c r="G412" s="767"/>
      <c r="H412" s="767"/>
      <c r="I412" s="767"/>
      <c r="J412" s="767"/>
      <c r="K412" s="767"/>
      <c r="L412" s="767"/>
      <c r="M412" s="767"/>
      <c r="N412" s="767"/>
      <c r="O412" s="767"/>
      <c r="P412" s="767"/>
      <c r="Q412" s="767"/>
      <c r="R412" s="767"/>
      <c r="S412" s="767"/>
      <c r="T412" s="767"/>
      <c r="U412" s="767"/>
      <c r="V412" s="767"/>
      <c r="W412" s="767"/>
      <c r="X412" s="767"/>
      <c r="Y412" s="767"/>
      <c r="Z412" s="767"/>
      <c r="AA412" s="767"/>
      <c r="AB412" s="767"/>
      <c r="AC412" s="767"/>
      <c r="AD412" s="767"/>
      <c r="AE412" s="767"/>
      <c r="AF412" s="767"/>
      <c r="AG412" s="767"/>
      <c r="AH412" s="767"/>
      <c r="AI412" s="767"/>
      <c r="AJ412" s="767"/>
      <c r="AK412" s="767"/>
      <c r="AL412" s="767"/>
      <c r="AM412" s="767"/>
      <c r="AN412" s="767"/>
      <c r="AO412" s="767"/>
      <c r="AP412" s="767"/>
      <c r="AQ412" s="767"/>
      <c r="AR412" s="767"/>
      <c r="AS412" s="767"/>
      <c r="AT412" s="767"/>
      <c r="AU412" s="767"/>
      <c r="AV412" s="767"/>
      <c r="AW412" s="767"/>
      <c r="AX412" s="767"/>
      <c r="AY412" s="767"/>
      <c r="AZ412" s="767"/>
      <c r="BA412" s="767"/>
      <c r="BB412" s="767"/>
      <c r="BC412" s="767"/>
      <c r="BD412" s="767"/>
      <c r="BE412" s="767"/>
      <c r="BF412" s="767"/>
      <c r="BG412" s="767"/>
      <c r="BH412" s="767"/>
      <c r="BI412" s="767"/>
      <c r="BJ412" s="767"/>
      <c r="BK412" s="767"/>
      <c r="BL412" s="767"/>
      <c r="BM412" s="767"/>
      <c r="BN412" s="767"/>
      <c r="BO412" s="767"/>
      <c r="BP412" s="767"/>
      <c r="BQ412" s="767"/>
      <c r="BR412" s="767"/>
      <c r="BS412" s="767"/>
      <c r="BT412" s="767"/>
      <c r="BU412" s="767"/>
      <c r="BV412" s="767"/>
      <c r="BW412" s="767"/>
      <c r="BX412" s="767"/>
      <c r="BY412" s="767"/>
      <c r="BZ412" s="767"/>
      <c r="CA412" s="767"/>
      <c r="CB412" s="767"/>
      <c r="CC412" s="767"/>
      <c r="CD412" s="767"/>
      <c r="CE412" s="767"/>
      <c r="CF412" s="767"/>
      <c r="CG412" s="767"/>
      <c r="CH412" s="1088">
        <f>+CH265/CH$315</f>
        <v>3.9654621042532777E-2</v>
      </c>
      <c r="CI412" s="797" t="str">
        <f>+IFERROR(CI265/CI$315,"N/A")</f>
        <v>N/A</v>
      </c>
      <c r="CJ412" s="797" t="str">
        <f>+IFERROR(CJ265/CJ$315,"N/A")</f>
        <v>N/A</v>
      </c>
      <c r="CK412" s="797" t="str">
        <f>+IFERROR(CK265/CK$315,"N/A")</f>
        <v>N/A</v>
      </c>
      <c r="CL412" s="798">
        <f t="shared" ref="CL412:DB412" si="657">+CL265/CL$315</f>
        <v>8.4096586178184843E-2</v>
      </c>
      <c r="CM412" s="1088">
        <f t="shared" si="657"/>
        <v>8.3113772455089815E-2</v>
      </c>
      <c r="CN412" s="798">
        <f t="shared" si="657"/>
        <v>9.7256857855361589E-2</v>
      </c>
      <c r="CO412" s="798">
        <f t="shared" si="657"/>
        <v>9.2756183745583046E-2</v>
      </c>
      <c r="CP412" s="798">
        <f t="shared" si="657"/>
        <v>8.9385474860335198E-2</v>
      </c>
      <c r="CQ412" s="798">
        <f t="shared" si="657"/>
        <v>9.1225626740947072E-2</v>
      </c>
      <c r="CR412" s="1088">
        <f t="shared" si="657"/>
        <v>9.2446665385354607E-2</v>
      </c>
      <c r="CS412" s="798">
        <f t="shared" si="657"/>
        <v>9.2369477911646583E-2</v>
      </c>
      <c r="CT412" s="798">
        <f t="shared" si="657"/>
        <v>9.9135063206919491E-2</v>
      </c>
      <c r="CU412" s="798">
        <f t="shared" si="657"/>
        <v>0.10698924731182796</v>
      </c>
      <c r="CV412" s="798">
        <f t="shared" si="657"/>
        <v>8.7215601300108345E-2</v>
      </c>
      <c r="CW412" s="1088">
        <f t="shared" si="657"/>
        <v>9.6523944502461587E-2</v>
      </c>
      <c r="CX412" s="798">
        <f t="shared" si="657"/>
        <v>4.2807366849178699E-2</v>
      </c>
      <c r="CY412" s="798">
        <f t="shared" si="657"/>
        <v>4.0439340988517224E-2</v>
      </c>
      <c r="CZ412" s="798">
        <f t="shared" si="657"/>
        <v>5.1648351648351645E-2</v>
      </c>
      <c r="DA412" s="798">
        <f t="shared" si="657"/>
        <v>5.5224688684353006E-2</v>
      </c>
      <c r="DB412" s="1088">
        <f t="shared" si="657"/>
        <v>4.7271780179710898E-2</v>
      </c>
      <c r="DC412" s="2650"/>
      <c r="DD412" s="2650"/>
      <c r="DE412" s="2650"/>
      <c r="DF412" s="2650"/>
      <c r="DG412" s="1088">
        <f>+DG265/DG$315</f>
        <v>5.228269004597455E-2</v>
      </c>
      <c r="DH412" s="2650"/>
      <c r="DI412" s="2650"/>
      <c r="DJ412" s="2650"/>
      <c r="DK412" s="2650"/>
      <c r="DL412" s="1088">
        <f>+DL265/DL$315</f>
        <v>4.3913285158421342E-2</v>
      </c>
      <c r="DM412" s="2650"/>
      <c r="DN412" s="2650"/>
      <c r="DO412" s="2650"/>
      <c r="DP412" s="2650"/>
      <c r="DQ412" s="1088">
        <f>+DQ265/DQ$315</f>
        <v>4.0983638283721043E-2</v>
      </c>
      <c r="DR412" s="2650"/>
      <c r="DS412" s="2650"/>
      <c r="DT412" s="2650"/>
      <c r="DU412" s="2650"/>
      <c r="DV412" s="1088" t="e">
        <f>+DV265/DV$315</f>
        <v>#DIV/0!</v>
      </c>
      <c r="DW412" s="2650"/>
      <c r="DX412" s="2650"/>
      <c r="DY412" s="2650"/>
      <c r="DZ412" s="2650"/>
      <c r="EA412" s="1088" t="e">
        <f>+EA265/EA$315</f>
        <v>#DIV/0!</v>
      </c>
      <c r="EB412" s="2650"/>
      <c r="EC412" s="2650"/>
      <c r="ED412" s="2650"/>
      <c r="EE412" s="2650"/>
      <c r="EF412" s="1088" t="e">
        <f>+EF265/EF$315</f>
        <v>#DIV/0!</v>
      </c>
      <c r="EG412" s="2650"/>
      <c r="EH412" s="2650"/>
      <c r="EI412" s="2650"/>
      <c r="EJ412" s="2650"/>
      <c r="EK412" s="1088" t="e">
        <f>+EK265/EK$315</f>
        <v>#DIV/0!</v>
      </c>
      <c r="EL412" s="2650"/>
      <c r="EM412" s="2650"/>
      <c r="EN412" s="2650"/>
      <c r="EO412" s="2650"/>
      <c r="EP412" s="1088" t="e">
        <f>+EP265/EP$315</f>
        <v>#DIV/0!</v>
      </c>
      <c r="EQ412" s="2650"/>
      <c r="ER412" s="2650"/>
      <c r="ES412" s="2650"/>
      <c r="ET412" s="2650"/>
      <c r="EU412" s="1088" t="e">
        <f>+EU265/EU$315</f>
        <v>#DIV/0!</v>
      </c>
      <c r="EV412" s="1088" t="e">
        <f>+EV265/EV$315</f>
        <v>#DIV/0!</v>
      </c>
      <c r="EW412" s="1088" t="e">
        <f>+EW265/EW$315</f>
        <v>#DIV/0!</v>
      </c>
      <c r="EX412" s="1088" t="e">
        <f>+EX265/EX$315</f>
        <v>#DIV/0!</v>
      </c>
      <c r="EY412" s="1088" t="e">
        <f>+EY265/EY$315</f>
        <v>#DIV/0!</v>
      </c>
      <c r="FA412" s="772"/>
      <c r="FB412" s="772"/>
    </row>
    <row r="413" spans="1:158" s="768" customFormat="1" hidden="1">
      <c r="A413" s="1529" t="s">
        <v>449</v>
      </c>
      <c r="B413" s="767"/>
      <c r="C413" s="767"/>
      <c r="D413" s="767"/>
      <c r="E413" s="767"/>
      <c r="F413" s="767"/>
      <c r="G413" s="767"/>
      <c r="H413" s="767"/>
      <c r="I413" s="767"/>
      <c r="J413" s="767"/>
      <c r="K413" s="767"/>
      <c r="L413" s="767"/>
      <c r="M413" s="767"/>
      <c r="N413" s="767"/>
      <c r="O413" s="767"/>
      <c r="P413" s="767"/>
      <c r="Q413" s="767"/>
      <c r="R413" s="767"/>
      <c r="S413" s="767"/>
      <c r="T413" s="767"/>
      <c r="U413" s="767"/>
      <c r="V413" s="767"/>
      <c r="W413" s="767"/>
      <c r="X413" s="767"/>
      <c r="Y413" s="767"/>
      <c r="Z413" s="767"/>
      <c r="AA413" s="767"/>
      <c r="AB413" s="767"/>
      <c r="AC413" s="767"/>
      <c r="AD413" s="767"/>
      <c r="AE413" s="767"/>
      <c r="AF413" s="767"/>
      <c r="AG413" s="767"/>
      <c r="AH413" s="767"/>
      <c r="AI413" s="767"/>
      <c r="AJ413" s="767"/>
      <c r="AK413" s="767"/>
      <c r="AL413" s="767"/>
      <c r="AM413" s="767"/>
      <c r="AN413" s="767"/>
      <c r="AO413" s="767"/>
      <c r="AP413" s="767"/>
      <c r="AQ413" s="767"/>
      <c r="AR413" s="767"/>
      <c r="AS413" s="767"/>
      <c r="AT413" s="767"/>
      <c r="AU413" s="767"/>
      <c r="AV413" s="767"/>
      <c r="AW413" s="767"/>
      <c r="AX413" s="767"/>
      <c r="AY413" s="767"/>
      <c r="AZ413" s="767"/>
      <c r="BA413" s="767"/>
      <c r="BB413" s="767"/>
      <c r="BC413" s="767"/>
      <c r="BD413" s="767"/>
      <c r="BE413" s="767"/>
      <c r="BF413" s="767"/>
      <c r="BG413" s="767"/>
      <c r="BH413" s="767"/>
      <c r="BI413" s="767"/>
      <c r="BJ413" s="767"/>
      <c r="BK413" s="767"/>
      <c r="BL413" s="767"/>
      <c r="BM413" s="767"/>
      <c r="BN413" s="767"/>
      <c r="BO413" s="767"/>
      <c r="BP413" s="767"/>
      <c r="BQ413" s="767"/>
      <c r="BR413" s="767"/>
      <c r="BS413" s="767"/>
      <c r="BT413" s="767"/>
      <c r="BU413" s="767"/>
      <c r="BV413" s="767"/>
      <c r="BW413" s="767"/>
      <c r="BX413" s="767"/>
      <c r="BY413" s="767"/>
      <c r="BZ413" s="767"/>
      <c r="CA413" s="767"/>
      <c r="CB413" s="767"/>
      <c r="CC413" s="767"/>
      <c r="CD413" s="767"/>
      <c r="CE413" s="767"/>
      <c r="CF413" s="767"/>
      <c r="CG413" s="767"/>
      <c r="CH413" s="1089">
        <f>+CH267/CH$316</f>
        <v>-3.4214114133610335E-2</v>
      </c>
      <c r="CI413" s="801" t="str">
        <f>+IFERROR(CI267/CI$316,"N/A")</f>
        <v>N/A</v>
      </c>
      <c r="CJ413" s="801" t="str">
        <f>+IFERROR(CJ267/CJ$316,"N/A")</f>
        <v>N/A</v>
      </c>
      <c r="CK413" s="801" t="str">
        <f>+IFERROR(CK267/CK$316,"N/A")</f>
        <v>N/A</v>
      </c>
      <c r="CL413" s="802">
        <f t="shared" ref="CL413:DB413" si="658">+CL267/CL$316</f>
        <v>-0.14412366446919755</v>
      </c>
      <c r="CM413" s="1089">
        <f t="shared" si="658"/>
        <v>-0.117725509214355</v>
      </c>
      <c r="CN413" s="802">
        <f t="shared" si="658"/>
        <v>-0.14234315268720485</v>
      </c>
      <c r="CO413" s="802">
        <f t="shared" si="658"/>
        <v>-0.13678756476683937</v>
      </c>
      <c r="CP413" s="802">
        <f t="shared" si="658"/>
        <v>-0.20815632965165676</v>
      </c>
      <c r="CQ413" s="802">
        <f t="shared" si="658"/>
        <v>-0.22546468401486988</v>
      </c>
      <c r="CR413" s="1089">
        <f t="shared" si="658"/>
        <v>-0.18006198347107438</v>
      </c>
      <c r="CS413" s="802">
        <f t="shared" si="658"/>
        <v>-0.14488955447397978</v>
      </c>
      <c r="CT413" s="802">
        <f t="shared" si="658"/>
        <v>-0.14326407506702413</v>
      </c>
      <c r="CU413" s="802">
        <f t="shared" si="658"/>
        <v>-0.14929772845500261</v>
      </c>
      <c r="CV413" s="802">
        <f t="shared" si="658"/>
        <v>-0.16388010242506401</v>
      </c>
      <c r="CW413" s="1089">
        <f t="shared" si="658"/>
        <v>-0.15086861190757295</v>
      </c>
      <c r="CX413" s="802">
        <f t="shared" si="658"/>
        <v>-0.1070341047503045</v>
      </c>
      <c r="CY413" s="802">
        <f t="shared" si="658"/>
        <v>-0.15319457889641819</v>
      </c>
      <c r="CZ413" s="802">
        <f t="shared" si="658"/>
        <v>-8.3526085839115902E-2</v>
      </c>
      <c r="DA413" s="802">
        <f t="shared" si="658"/>
        <v>-9.7599164926931103E-2</v>
      </c>
      <c r="DB413" s="1089">
        <f t="shared" si="658"/>
        <v>-0.10456666411688212</v>
      </c>
      <c r="DC413" s="2651"/>
      <c r="DD413" s="2651"/>
      <c r="DE413" s="2651"/>
      <c r="DF413" s="2651"/>
      <c r="DG413" s="1089">
        <f>+DG267/DG$316</f>
        <v>-0.1220026158988519</v>
      </c>
      <c r="DH413" s="2651"/>
      <c r="DI413" s="2651"/>
      <c r="DJ413" s="2651"/>
      <c r="DK413" s="2651"/>
      <c r="DL413" s="1089">
        <f>+DL267/DL$316</f>
        <v>-0.14092489264117319</v>
      </c>
      <c r="DM413" s="2651"/>
      <c r="DN413" s="2651"/>
      <c r="DO413" s="2651"/>
      <c r="DP413" s="2651"/>
      <c r="DQ413" s="1089">
        <f>+DQ267/DQ$316</f>
        <v>-0.1085775276537939</v>
      </c>
      <c r="DR413" s="2651"/>
      <c r="DS413" s="2651"/>
      <c r="DT413" s="2651"/>
      <c r="DU413" s="2651"/>
      <c r="DV413" s="1089" t="e">
        <f>+DV267/DV$316</f>
        <v>#DIV/0!</v>
      </c>
      <c r="DW413" s="2651"/>
      <c r="DX413" s="2651"/>
      <c r="DY413" s="2651"/>
      <c r="DZ413" s="2651"/>
      <c r="EA413" s="1089" t="e">
        <f>+EA267/EA$316</f>
        <v>#DIV/0!</v>
      </c>
      <c r="EB413" s="2651"/>
      <c r="EC413" s="2651"/>
      <c r="ED413" s="2651"/>
      <c r="EE413" s="2651"/>
      <c r="EF413" s="1089" t="e">
        <f>+EF267/EF$316</f>
        <v>#DIV/0!</v>
      </c>
      <c r="EG413" s="2651"/>
      <c r="EH413" s="2651"/>
      <c r="EI413" s="2651"/>
      <c r="EJ413" s="2651"/>
      <c r="EK413" s="1089" t="e">
        <f>+EK267/EK$316</f>
        <v>#DIV/0!</v>
      </c>
      <c r="EL413" s="2651"/>
      <c r="EM413" s="2651"/>
      <c r="EN413" s="2651"/>
      <c r="EO413" s="2651"/>
      <c r="EP413" s="1089" t="e">
        <f>+EP267/EP$316</f>
        <v>#DIV/0!</v>
      </c>
      <c r="EQ413" s="2651"/>
      <c r="ER413" s="2651"/>
      <c r="ES413" s="2651"/>
      <c r="ET413" s="2651"/>
      <c r="EU413" s="1089" t="e">
        <f>+EU267/EU$316</f>
        <v>#DIV/0!</v>
      </c>
      <c r="EV413" s="1089" t="e">
        <f>+EV267/EV$316</f>
        <v>#DIV/0!</v>
      </c>
      <c r="EW413" s="1089" t="e">
        <f>+EW267/EW$316</f>
        <v>#DIV/0!</v>
      </c>
      <c r="EX413" s="1089" t="e">
        <f>+EX267/EX$316</f>
        <v>#DIV/0!</v>
      </c>
      <c r="EY413" s="1089" t="e">
        <f>+EY267/EY$316</f>
        <v>#DIV/0!</v>
      </c>
      <c r="FA413" s="772"/>
      <c r="FB413" s="772"/>
    </row>
    <row r="414" spans="1:158" s="536" customFormat="1" hidden="1">
      <c r="A414" s="1528" t="s">
        <v>450</v>
      </c>
      <c r="B414" s="767"/>
      <c r="C414" s="767"/>
      <c r="D414" s="767"/>
      <c r="E414" s="767"/>
      <c r="F414" s="767"/>
      <c r="G414" s="767"/>
      <c r="H414" s="767"/>
      <c r="I414" s="767"/>
      <c r="J414" s="767"/>
      <c r="K414" s="767"/>
      <c r="L414" s="767"/>
      <c r="M414" s="767"/>
      <c r="N414" s="767"/>
      <c r="O414" s="767"/>
      <c r="P414" s="767"/>
      <c r="Q414" s="767"/>
      <c r="R414" s="767"/>
      <c r="S414" s="767"/>
      <c r="T414" s="767"/>
      <c r="U414" s="767"/>
      <c r="V414" s="767"/>
      <c r="W414" s="767"/>
      <c r="X414" s="767"/>
      <c r="Y414" s="767"/>
      <c r="Z414" s="767"/>
      <c r="AA414" s="767"/>
      <c r="AB414" s="767"/>
      <c r="AC414" s="767"/>
      <c r="AD414" s="767"/>
      <c r="AE414" s="767"/>
      <c r="AF414" s="767"/>
      <c r="AG414" s="767"/>
      <c r="AH414" s="767"/>
      <c r="AI414" s="767"/>
      <c r="AJ414" s="767"/>
      <c r="AK414" s="767"/>
      <c r="AL414" s="767"/>
      <c r="AM414" s="767"/>
      <c r="AN414" s="767"/>
      <c r="AO414" s="767"/>
      <c r="AP414" s="767"/>
      <c r="AQ414" s="767"/>
      <c r="AR414" s="767"/>
      <c r="AS414" s="767"/>
      <c r="AT414" s="767"/>
      <c r="AU414" s="767"/>
      <c r="AV414" s="767"/>
      <c r="AW414" s="767"/>
      <c r="AX414" s="767"/>
      <c r="AY414" s="767"/>
      <c r="AZ414" s="767"/>
      <c r="BA414" s="767"/>
      <c r="BB414" s="767"/>
      <c r="BC414" s="767"/>
      <c r="BD414" s="767"/>
      <c r="BE414" s="767"/>
      <c r="BF414" s="767"/>
      <c r="BG414" s="767"/>
      <c r="BH414" s="767"/>
      <c r="BI414" s="767"/>
      <c r="BJ414" s="767"/>
      <c r="BK414" s="767"/>
      <c r="BL414" s="767"/>
      <c r="BM414" s="767"/>
      <c r="BN414" s="767"/>
      <c r="BO414" s="767"/>
      <c r="BP414" s="767"/>
      <c r="BQ414" s="767"/>
      <c r="BR414" s="767"/>
      <c r="BS414" s="767"/>
      <c r="BT414" s="767"/>
      <c r="BU414" s="767"/>
      <c r="BV414" s="767"/>
      <c r="BW414" s="767"/>
      <c r="BX414" s="767"/>
      <c r="BY414" s="767"/>
      <c r="BZ414" s="767"/>
      <c r="CA414" s="767"/>
      <c r="CB414" s="767"/>
      <c r="CC414" s="767"/>
      <c r="CD414" s="767"/>
      <c r="CE414" s="767"/>
      <c r="CF414" s="767"/>
      <c r="CG414" s="767"/>
      <c r="CH414" s="1088">
        <f>+CH272/CH$325</f>
        <v>2.54145148138081E-2</v>
      </c>
      <c r="CI414" s="797" t="str">
        <f>+IFERROR(CI272/CI$325,"N/A")</f>
        <v>N/A</v>
      </c>
      <c r="CJ414" s="797" t="str">
        <f>+IFERROR(CJ272/CJ$325,"N/A")</f>
        <v>N/A</v>
      </c>
      <c r="CK414" s="797" t="str">
        <f>+IFERROR(CK272/CK$325,"N/A")</f>
        <v>N/A</v>
      </c>
      <c r="CL414" s="798">
        <f t="shared" ref="CL414:CY414" si="659">+CL272/CL$325</f>
        <v>3.9988735567445789E-2</v>
      </c>
      <c r="CM414" s="1088">
        <f t="shared" si="659"/>
        <v>4.5715849986312618E-2</v>
      </c>
      <c r="CN414" s="798">
        <f t="shared" si="659"/>
        <v>5.363853775196447E-2</v>
      </c>
      <c r="CO414" s="798">
        <f t="shared" si="659"/>
        <v>9.2246520874751492E-2</v>
      </c>
      <c r="CP414" s="798">
        <f t="shared" si="659"/>
        <v>0.11372219890893831</v>
      </c>
      <c r="CQ414" s="798">
        <f t="shared" si="659"/>
        <v>9.1817316841103711E-2</v>
      </c>
      <c r="CR414" s="1088">
        <f t="shared" si="659"/>
        <v>8.5927269064168435E-2</v>
      </c>
      <c r="CS414" s="798">
        <f t="shared" si="659"/>
        <v>0.11333878887070377</v>
      </c>
      <c r="CT414" s="798">
        <f t="shared" si="659"/>
        <v>0.13108614232209737</v>
      </c>
      <c r="CU414" s="798">
        <f t="shared" si="659"/>
        <v>0.12685982772122162</v>
      </c>
      <c r="CV414" s="798">
        <f t="shared" si="659"/>
        <v>0.16374269005847952</v>
      </c>
      <c r="CW414" s="1088">
        <f t="shared" si="659"/>
        <v>0.13562475518997258</v>
      </c>
      <c r="CX414" s="798">
        <f t="shared" si="659"/>
        <v>6.658692185007975E-2</v>
      </c>
      <c r="CY414" s="798">
        <f t="shared" si="659"/>
        <v>5.2278346873896153E-2</v>
      </c>
      <c r="CZ414" s="777">
        <v>0.08</v>
      </c>
      <c r="DA414" s="777">
        <v>8.5000000000000006E-2</v>
      </c>
      <c r="DB414" s="1096">
        <f>+DB272/DB$325</f>
        <v>3.7393810679611651E-2</v>
      </c>
      <c r="DC414" s="2650"/>
      <c r="DD414" s="2650"/>
      <c r="DE414" s="777"/>
      <c r="DF414" s="777"/>
      <c r="DG414" s="1092">
        <v>7.8E-2</v>
      </c>
      <c r="DH414" s="777"/>
      <c r="DI414" s="777"/>
      <c r="DJ414" s="777"/>
      <c r="DK414" s="777"/>
      <c r="DL414" s="1092">
        <v>8.5000000000000006E-2</v>
      </c>
      <c r="DM414" s="777"/>
      <c r="DN414" s="777"/>
      <c r="DO414" s="777"/>
      <c r="DP414" s="777"/>
      <c r="DQ414" s="1092">
        <v>0.105</v>
      </c>
      <c r="DR414" s="777"/>
      <c r="DS414" s="777"/>
      <c r="DT414" s="777"/>
      <c r="DU414" s="777"/>
      <c r="DV414" s="1092">
        <v>0.125</v>
      </c>
      <c r="DW414" s="777"/>
      <c r="DX414" s="777"/>
      <c r="DY414" s="777"/>
      <c r="DZ414" s="777"/>
      <c r="EA414" s="1092">
        <v>0.14499999999999999</v>
      </c>
      <c r="EB414" s="777"/>
      <c r="EC414" s="777"/>
      <c r="ED414" s="777"/>
      <c r="EE414" s="777"/>
      <c r="EF414" s="1092">
        <v>0.14499999999999999</v>
      </c>
      <c r="EG414" s="777"/>
      <c r="EH414" s="777"/>
      <c r="EI414" s="777"/>
      <c r="EJ414" s="777"/>
      <c r="EK414" s="1092">
        <v>0.14499999999999999</v>
      </c>
      <c r="EL414" s="777"/>
      <c r="EM414" s="777"/>
      <c r="EN414" s="777"/>
      <c r="EO414" s="777"/>
      <c r="EP414" s="1092">
        <v>0.14499999999999999</v>
      </c>
      <c r="EQ414" s="777"/>
      <c r="ER414" s="777"/>
      <c r="ES414" s="777"/>
      <c r="ET414" s="777"/>
      <c r="EU414" s="1092">
        <v>0.14499999999999999</v>
      </c>
      <c r="EV414" s="1092">
        <v>0.14499999999999999</v>
      </c>
      <c r="EW414" s="1092">
        <v>0.14499999999999999</v>
      </c>
      <c r="EX414" s="1092">
        <v>0.14499999999999999</v>
      </c>
      <c r="EY414" s="1092">
        <v>0.14499999999999999</v>
      </c>
      <c r="FA414" s="772"/>
      <c r="FB414" s="772"/>
    </row>
    <row r="415" spans="1:158" s="627" customFormat="1" hidden="1">
      <c r="A415" s="1531" t="s">
        <v>451</v>
      </c>
      <c r="B415" s="1475"/>
      <c r="C415" s="1475"/>
      <c r="D415" s="1475"/>
      <c r="E415" s="1475"/>
      <c r="F415" s="1475"/>
      <c r="G415" s="1475"/>
      <c r="H415" s="1475"/>
      <c r="I415" s="1475"/>
      <c r="J415" s="1475"/>
      <c r="K415" s="1475"/>
      <c r="L415" s="1475"/>
      <c r="M415" s="1475"/>
      <c r="N415" s="1475"/>
      <c r="O415" s="1475"/>
      <c r="P415" s="1475"/>
      <c r="Q415" s="1475"/>
      <c r="R415" s="1475"/>
      <c r="S415" s="1475"/>
      <c r="T415" s="1475"/>
      <c r="U415" s="1475"/>
      <c r="V415" s="1475"/>
      <c r="W415" s="1475"/>
      <c r="X415" s="1475"/>
      <c r="Y415" s="1475"/>
      <c r="Z415" s="1475"/>
      <c r="AA415" s="1475"/>
      <c r="AB415" s="1475"/>
      <c r="AC415" s="1475"/>
      <c r="AD415" s="1475"/>
      <c r="AE415" s="1475"/>
      <c r="AF415" s="1475"/>
      <c r="AG415" s="1475"/>
      <c r="AH415" s="1475"/>
      <c r="AI415" s="1475"/>
      <c r="AJ415" s="1475"/>
      <c r="AK415" s="1475"/>
      <c r="AL415" s="1475"/>
      <c r="AM415" s="1475"/>
      <c r="AN415" s="1475"/>
      <c r="AO415" s="1475"/>
      <c r="AP415" s="1475"/>
      <c r="AQ415" s="1475"/>
      <c r="AR415" s="1475"/>
      <c r="AS415" s="1475"/>
      <c r="AT415" s="1475"/>
      <c r="AU415" s="1475"/>
      <c r="AV415" s="1475"/>
      <c r="AW415" s="1475"/>
      <c r="AX415" s="1475"/>
      <c r="AY415" s="1475"/>
      <c r="AZ415" s="1475"/>
      <c r="BA415" s="1475"/>
      <c r="BB415" s="1475"/>
      <c r="BC415" s="1475"/>
      <c r="BD415" s="1475"/>
      <c r="BE415" s="1475"/>
      <c r="BF415" s="1475"/>
      <c r="BG415" s="1475"/>
      <c r="BH415" s="1475"/>
      <c r="BI415" s="1475"/>
      <c r="BJ415" s="1475"/>
      <c r="BK415" s="1475"/>
      <c r="BL415" s="1475"/>
      <c r="BM415" s="1475"/>
      <c r="BN415" s="1475"/>
      <c r="BO415" s="1475"/>
      <c r="BP415" s="1475"/>
      <c r="BQ415" s="1475"/>
      <c r="BR415" s="1475"/>
      <c r="BS415" s="1475"/>
      <c r="BT415" s="1701"/>
      <c r="BU415" s="1701"/>
      <c r="BV415" s="1701"/>
      <c r="BW415" s="1701"/>
      <c r="BX415" s="1701"/>
      <c r="BY415" s="1701"/>
      <c r="BZ415" s="1701"/>
      <c r="CA415" s="1701"/>
      <c r="CB415" s="1701"/>
      <c r="CC415" s="1701"/>
      <c r="CD415" s="1475"/>
      <c r="CE415" s="1475"/>
      <c r="CF415" s="1475"/>
      <c r="CG415" s="1475"/>
      <c r="CH415" s="1476">
        <f>+CH264/CH$326</f>
        <v>6.0929169840060931E-3</v>
      </c>
      <c r="CI415" s="1477" t="str">
        <f>+IFERROR(CI264/CI$326,"N/A")</f>
        <v>N/A</v>
      </c>
      <c r="CJ415" s="1477" t="str">
        <f>+IFERROR(CJ264/CJ$326,"N/A")</f>
        <v>N/A</v>
      </c>
      <c r="CK415" s="1477" t="str">
        <f>+IFERROR(CK264/CK$326,"N/A")</f>
        <v>N/A</v>
      </c>
      <c r="CL415" s="1478">
        <f t="shared" ref="CL415:DB415" si="660">+CL264/CL$326</f>
        <v>4.025256511444357E-2</v>
      </c>
      <c r="CM415" s="1476">
        <f t="shared" si="660"/>
        <v>2.9724844346254269E-2</v>
      </c>
      <c r="CN415" s="1478">
        <f t="shared" si="660"/>
        <v>3.3984706881903144E-2</v>
      </c>
      <c r="CO415" s="1478">
        <f t="shared" si="660"/>
        <v>3.6466774716369527E-2</v>
      </c>
      <c r="CP415" s="1478">
        <f t="shared" si="660"/>
        <v>3.8461538461538464E-2</v>
      </c>
      <c r="CQ415" s="1478">
        <f t="shared" si="660"/>
        <v>4.9857549857549859E-2</v>
      </c>
      <c r="CR415" s="1476">
        <f t="shared" si="660"/>
        <v>4.0094805451313449E-2</v>
      </c>
      <c r="CS415" s="1478">
        <f t="shared" si="660"/>
        <v>3.9387308533916851E-2</v>
      </c>
      <c r="CT415" s="1478">
        <f t="shared" si="660"/>
        <v>5.4362416107382551E-2</v>
      </c>
      <c r="CU415" s="1478">
        <f t="shared" si="660"/>
        <v>6.5162907268170422E-2</v>
      </c>
      <c r="CV415" s="1478">
        <f t="shared" si="660"/>
        <v>5.9869590989922943E-2</v>
      </c>
      <c r="CW415" s="1476">
        <f t="shared" si="660"/>
        <v>5.5338541666666664E-2</v>
      </c>
      <c r="CX415" s="1478">
        <f t="shared" si="660"/>
        <v>5.7884231536926151E-2</v>
      </c>
      <c r="CY415" s="1478">
        <f t="shared" si="660"/>
        <v>3.7538461538461541E-2</v>
      </c>
      <c r="CZ415" s="1478">
        <f t="shared" si="660"/>
        <v>3.8614423622941513E-2</v>
      </c>
      <c r="DA415" s="1478">
        <f t="shared" si="660"/>
        <v>4.491609081934847E-2</v>
      </c>
      <c r="DB415" s="1476">
        <f t="shared" si="660"/>
        <v>4.4396240057845267E-2</v>
      </c>
      <c r="DC415" s="1478"/>
      <c r="DD415" s="1478"/>
      <c r="DE415" s="1478"/>
      <c r="DF415" s="1478"/>
      <c r="DG415" s="1476">
        <f>+DG264/DG$326</f>
        <v>3.6192584394023244E-2</v>
      </c>
      <c r="DH415" s="1478"/>
      <c r="DI415" s="1478"/>
      <c r="DJ415" s="1478"/>
      <c r="DK415" s="1478"/>
      <c r="DL415" s="1476">
        <f>+DL264/DL$326</f>
        <v>4.8043459808165691E-2</v>
      </c>
      <c r="DM415" s="1478"/>
      <c r="DN415" s="1478"/>
      <c r="DO415" s="1478"/>
      <c r="DP415" s="1478"/>
      <c r="DQ415" s="1476">
        <f>+DQ264/DQ$326</f>
        <v>2.7520186902241364E-2</v>
      </c>
      <c r="DR415" s="1478"/>
      <c r="DS415" s="1478"/>
      <c r="DT415" s="1478"/>
      <c r="DU415" s="1478"/>
      <c r="DV415" s="1476" t="e">
        <f>+DV264/DV$326</f>
        <v>#DIV/0!</v>
      </c>
      <c r="DW415" s="1478"/>
      <c r="DX415" s="1478"/>
      <c r="DY415" s="1478"/>
      <c r="DZ415" s="1478"/>
      <c r="EA415" s="1093" t="e">
        <f>+EA264/EA$326</f>
        <v>#DIV/0!</v>
      </c>
      <c r="EB415" s="1478"/>
      <c r="EC415" s="1478"/>
      <c r="ED415" s="1478"/>
      <c r="EE415" s="1478"/>
      <c r="EF415" s="1093" t="e">
        <f>+EF264/EF$326</f>
        <v>#DIV/0!</v>
      </c>
      <c r="EG415" s="1478"/>
      <c r="EH415" s="1478"/>
      <c r="EI415" s="1478"/>
      <c r="EJ415" s="1478"/>
      <c r="EK415" s="1093" t="e">
        <f>+EK264/EK$326</f>
        <v>#DIV/0!</v>
      </c>
      <c r="EL415" s="1478"/>
      <c r="EM415" s="1478"/>
      <c r="EN415" s="1478"/>
      <c r="EO415" s="1478"/>
      <c r="EP415" s="1093" t="e">
        <f>+EP264/EP$326</f>
        <v>#DIV/0!</v>
      </c>
      <c r="EQ415" s="1478"/>
      <c r="ER415" s="1478"/>
      <c r="ES415" s="1478"/>
      <c r="ET415" s="1478"/>
      <c r="EU415" s="1093" t="e">
        <f>+EU264/EU$326</f>
        <v>#DIV/0!</v>
      </c>
      <c r="EV415" s="1093" t="e">
        <f>+EV264/EV$326</f>
        <v>#DIV/0!</v>
      </c>
      <c r="EW415" s="1093" t="e">
        <f>+EW264/EW$326</f>
        <v>#DIV/0!</v>
      </c>
      <c r="EX415" s="1093" t="e">
        <f>+EX264/EX$326</f>
        <v>#DIV/0!</v>
      </c>
      <c r="EY415" s="1093" t="e">
        <f>+EY264/EY$326</f>
        <v>#DIV/0!</v>
      </c>
      <c r="EZ415" s="768"/>
      <c r="FA415" s="772"/>
      <c r="FB415" s="772"/>
    </row>
    <row r="416" spans="1:158" s="535" customFormat="1">
      <c r="A416" s="1533"/>
      <c r="EZ416" s="2586"/>
      <c r="FA416"/>
      <c r="FB416"/>
    </row>
  </sheetData>
  <dataConsolidate link="1"/>
  <mergeCells count="2">
    <mergeCell ref="DR1:DU2"/>
    <mergeCell ref="DV1:EA2"/>
  </mergeCells>
  <pageMargins left="0" right="0.7" top="0.75" bottom="0.75" header="0.3" footer="0.3"/>
  <pageSetup orientation="landscape" r:id="rId1"/>
  <legacyDrawing r:id="rId2"/>
  <webPublishItems count="7">
    <webPublishItem id="7276" divId="GOOGL_7276" sourceType="range" sourceRef="A6:EK34" destinationFile="C:\Users\R544600\AppData\Local\Temp\1\ExternalObjectTempData\excel\extobj-20221025130021kUm6.html"/>
    <webPublishItem id="32172" divId="GOOGL_32172" sourceType="range" sourceRef="A6:EK37" destinationFile="C:\Users\R544600\AppData\Local\Temp\1\ExternalObjectTempData\excel\extobj-20221025215119kp15.html"/>
    <webPublishItem id="32348" divId="GOOGL_32348" sourceType="range" sourceRef="A6:EK37" destinationFile="C:\Users\R544600\AppData\Local\Temp\1\ExternalObjectTempData\excel\extobj-20230202235633kp6.html"/>
    <webPublishItem id="8186" divId="GOOGL_8186" sourceType="range" sourceRef="A6:EK37" destinationFile="C:\Users\R544600\AppData\Local\Temp\1\ExternalObjectTempData\excel\extobj-20230425222458kp6.html"/>
    <webPublishItem id="7546" divId="GOOGL_7546" sourceType="range" sourceRef="A6:EK37" destinationFile="C:\Users\R544600\AppData\Local\Temp\1\ExternalObjectTempData\excel\extobj-20230725215953kp8.html"/>
    <webPublishItem id="2092" divId="GOOGL WIP (24 Quarters) C_2092" sourceType="range" sourceRef="A6:EP34" destinationFile="C:\Users\R544600\AppData\Local\Temp\1\ExternalObjectTempData\excel\extobj-20231016135735kCgG9.html"/>
    <webPublishItem id="18530" divId="GOOGL_18530" sourceType="range" sourceRef="A6:EP37" destinationFile="C:\Users\R544600\AppData\Local\Temp\1\ExternalObjectTempData\excel\extobj-20230725224551kp13.html"/>
  </webPublishItem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autoPageBreaks="0"/>
  </sheetPr>
  <dimension ref="A1:EX125"/>
  <sheetViews>
    <sheetView showGridLines="0" zoomScaleNormal="100" zoomScaleSheetLayoutView="85" workbookViewId="0">
      <pane xSplit="1" ySplit="7" topLeftCell="DH8" activePane="bottomRight" state="frozen"/>
      <selection activeCell="L42" sqref="L42"/>
      <selection pane="topRight" activeCell="L42" sqref="L42"/>
      <selection pane="bottomLeft" activeCell="L42" sqref="L42"/>
      <selection pane="bottomRight" activeCell="DH8" sqref="DH8"/>
    </sheetView>
  </sheetViews>
  <sheetFormatPr defaultColWidth="9.140625" defaultRowHeight="11.25" customHeight="1" outlineLevelRow="1" outlineLevelCol="2"/>
  <cols>
    <col min="1" max="1" width="46.5703125" style="526" bestFit="1" customWidth="1"/>
    <col min="2" max="2" width="5.5703125" style="35" hidden="1" customWidth="1" outlineLevel="1"/>
    <col min="3" max="6" width="9.7109375" style="35" hidden="1" customWidth="1" outlineLevel="2"/>
    <col min="7" max="7" width="6.85546875" style="35" hidden="1" customWidth="1" outlineLevel="1" collapsed="1"/>
    <col min="8" max="11" width="9.7109375" style="35" hidden="1" customWidth="1" outlineLevel="2"/>
    <col min="12" max="12" width="6.85546875" style="35" hidden="1" customWidth="1" outlineLevel="1" collapsed="1"/>
    <col min="13" max="16" width="9.7109375" style="35" hidden="1" customWidth="1" outlineLevel="2"/>
    <col min="17" max="17" width="7.85546875" style="35" hidden="1" customWidth="1" outlineLevel="1" collapsed="1"/>
    <col min="18" max="21" width="9.7109375" style="35" hidden="1" customWidth="1" outlineLevel="2"/>
    <col min="22" max="22" width="8.7109375" style="35" hidden="1" customWidth="1" outlineLevel="1" collapsed="1"/>
    <col min="23" max="23" width="10.28515625" style="35" hidden="1" customWidth="1" outlineLevel="2"/>
    <col min="24" max="25" width="9.7109375" style="35" hidden="1" customWidth="1" outlineLevel="2"/>
    <col min="26" max="26" width="10.28515625" style="35" hidden="1" customWidth="1" outlineLevel="2"/>
    <col min="27" max="27" width="8.7109375" style="121" hidden="1" customWidth="1" outlineLevel="1" collapsed="1"/>
    <col min="28" max="31" width="9.7109375" style="32" hidden="1" customWidth="1" outlineLevel="2"/>
    <col min="32" max="32" width="8.7109375" style="121" hidden="1" customWidth="1" outlineLevel="1" collapsed="1"/>
    <col min="33" max="36" width="10" style="32" hidden="1" customWidth="1" outlineLevel="2"/>
    <col min="37" max="37" width="8.7109375" style="121" hidden="1" customWidth="1" outlineLevel="1" collapsed="1"/>
    <col min="38" max="41" width="9.7109375" style="32" hidden="1" customWidth="1" outlineLevel="2"/>
    <col min="42" max="42" width="8.7109375" style="121" hidden="1" customWidth="1" outlineLevel="1" collapsed="1"/>
    <col min="43" max="44" width="9.7109375" style="32" hidden="1" customWidth="1" outlineLevel="2"/>
    <col min="45" max="45" width="10.7109375" style="32" hidden="1" customWidth="1" outlineLevel="2"/>
    <col min="46" max="46" width="9.7109375" style="32" hidden="1" customWidth="1" outlineLevel="2"/>
    <col min="47" max="47" width="8.7109375" style="121" hidden="1" customWidth="1" outlineLevel="1" collapsed="1"/>
    <col min="48" max="51" width="9.7109375" style="32" hidden="1" customWidth="1" outlineLevel="2"/>
    <col min="52" max="52" width="9" style="121" hidden="1" customWidth="1" outlineLevel="1" collapsed="1"/>
    <col min="53" max="56" width="9.7109375" style="32" hidden="1" customWidth="1" outlineLevel="2"/>
    <col min="57" max="57" width="7.5703125" style="32" hidden="1" customWidth="1" outlineLevel="1" collapsed="1"/>
    <col min="58" max="61" width="8.85546875" style="32" hidden="1" customWidth="1" outlineLevel="2"/>
    <col min="62" max="62" width="7.5703125" style="32" hidden="1" customWidth="1" outlineLevel="1" collapsed="1"/>
    <col min="63" max="64" width="8" style="32" hidden="1" customWidth="1" outlineLevel="2"/>
    <col min="65" max="66" width="8.140625" style="32" hidden="1" customWidth="1" outlineLevel="2"/>
    <col min="67" max="67" width="8.140625" style="32" hidden="1" customWidth="1" outlineLevel="1" collapsed="1"/>
    <col min="68" max="69" width="8" style="32" hidden="1" customWidth="1" outlineLevel="2"/>
    <col min="70" max="70" width="8.140625" style="32" hidden="1" customWidth="1" outlineLevel="2"/>
    <col min="71" max="71" width="8" style="32" hidden="1" customWidth="1" outlineLevel="2"/>
    <col min="72" max="72" width="9.42578125" style="32" hidden="1" customWidth="1" outlineLevel="1" collapsed="1"/>
    <col min="73" max="73" width="8" style="32" hidden="1" customWidth="1" outlineLevel="2"/>
    <col min="74" max="76" width="8.140625" style="32" hidden="1" customWidth="1" outlineLevel="2"/>
    <col min="77" max="77" width="8.85546875" style="32" hidden="1" customWidth="1" outlineLevel="1" collapsed="1"/>
    <col min="78" max="81" width="8.140625" style="32" hidden="1" customWidth="1" outlineLevel="2"/>
    <col min="82" max="82" width="9.28515625" style="32" hidden="1" customWidth="1" outlineLevel="1" collapsed="1"/>
    <col min="83" max="83" width="8.7109375" style="32" hidden="1" customWidth="1" outlineLevel="2"/>
    <col min="84" max="86" width="8.140625" style="32" hidden="1" customWidth="1" outlineLevel="2"/>
    <col min="87" max="87" width="8.85546875" style="32" hidden="1" customWidth="1" outlineLevel="1" collapsed="1"/>
    <col min="88" max="91" width="8.140625" style="32" hidden="1" customWidth="1" outlineLevel="2"/>
    <col min="92" max="92" width="9.28515625" style="32" hidden="1" customWidth="1" outlineLevel="1" collapsed="1"/>
    <col min="93" max="93" width="8.7109375" style="32" hidden="1" customWidth="1" outlineLevel="2"/>
    <col min="94" max="96" width="8.140625" style="32" hidden="1" customWidth="1" outlineLevel="2"/>
    <col min="97" max="97" width="9" style="32" hidden="1" customWidth="1" outlineLevel="1" collapsed="1"/>
    <col min="98" max="101" width="8.140625" style="32" hidden="1" customWidth="1" outlineLevel="2"/>
    <col min="102" max="102" width="9" style="32" hidden="1" customWidth="1" outlineLevel="1" collapsed="1"/>
    <col min="103" max="103" width="8.7109375" style="32" hidden="1" customWidth="1" outlineLevel="2"/>
    <col min="104" max="106" width="8.140625" style="32" hidden="1" customWidth="1" outlineLevel="2"/>
    <col min="107" max="107" width="9" style="32" hidden="1" customWidth="1" outlineLevel="1" collapsed="1"/>
    <col min="108" max="111" width="8.140625" style="32" hidden="1" customWidth="1" outlineLevel="2"/>
    <col min="112" max="112" width="9" style="32" customWidth="1" collapsed="1"/>
    <col min="113" max="116" width="8.140625" style="32" bestFit="1" customWidth="1"/>
    <col min="117" max="117" width="9" style="32" customWidth="1"/>
    <col min="118" max="121" width="8.140625" style="32" bestFit="1" customWidth="1"/>
    <col min="122" max="122" width="9" style="32" customWidth="1"/>
    <col min="123" max="126" width="8.140625" style="32" bestFit="1" customWidth="1"/>
    <col min="127" max="131" width="9" style="32" customWidth="1"/>
    <col min="132" max="132" width="3.7109375" style="35" customWidth="1"/>
    <col min="133" max="134" width="9.7109375" style="35" customWidth="1"/>
    <col min="135" max="16384" width="9.140625" style="35"/>
  </cols>
  <sheetData>
    <row r="1" spans="1:154" s="2" customFormat="1" ht="11.25" customHeight="1">
      <c r="A1" s="1515"/>
      <c r="B1" s="20"/>
      <c r="C1" s="20"/>
      <c r="D1" s="20"/>
      <c r="E1" s="20"/>
      <c r="F1" s="20"/>
      <c r="G1" s="20"/>
      <c r="H1" s="22"/>
      <c r="I1" s="22"/>
      <c r="J1" s="20"/>
      <c r="K1" s="20"/>
      <c r="L1" s="20"/>
      <c r="M1" s="20"/>
      <c r="N1" s="20"/>
      <c r="O1" s="20"/>
      <c r="P1" s="20"/>
      <c r="Q1" s="20"/>
      <c r="R1" s="22"/>
      <c r="S1" s="22"/>
      <c r="T1" s="20"/>
      <c r="U1" s="20"/>
      <c r="V1" s="20"/>
      <c r="W1" s="20"/>
      <c r="X1" s="20"/>
      <c r="Y1" s="22"/>
      <c r="Z1" s="20"/>
      <c r="AA1" s="20"/>
      <c r="AB1" s="20"/>
      <c r="AC1" s="20"/>
      <c r="AD1" s="20"/>
      <c r="AE1" s="20"/>
      <c r="AF1" s="20"/>
      <c r="AG1" s="20"/>
      <c r="AH1" s="20"/>
      <c r="AI1" s="20"/>
      <c r="AJ1" s="22"/>
      <c r="AK1" s="22"/>
      <c r="AL1" s="22"/>
      <c r="AM1" s="22"/>
      <c r="AN1" s="22"/>
      <c r="AO1" s="22"/>
      <c r="AP1" s="22"/>
      <c r="AQ1" s="22"/>
      <c r="AR1" s="22"/>
      <c r="AS1" s="22"/>
      <c r="AT1" s="20"/>
      <c r="AU1" s="22"/>
      <c r="AV1" s="22"/>
      <c r="AW1" s="22"/>
      <c r="AX1" s="22"/>
      <c r="AY1" s="20"/>
      <c r="AZ1" s="22"/>
      <c r="BA1" s="22"/>
      <c r="BB1" s="22"/>
      <c r="BC1" s="22"/>
      <c r="BD1" s="20"/>
      <c r="BE1" s="22"/>
      <c r="BF1" s="22"/>
      <c r="BG1" s="22"/>
      <c r="BH1" s="22"/>
      <c r="BI1" s="20"/>
      <c r="BJ1" s="22"/>
      <c r="BK1" s="22"/>
      <c r="BL1" s="22"/>
      <c r="BM1" s="22"/>
      <c r="BN1" s="20"/>
      <c r="BO1" s="20"/>
      <c r="BP1" s="20"/>
      <c r="BQ1" s="20"/>
      <c r="BR1" s="20"/>
      <c r="BS1" s="20"/>
      <c r="BT1" s="22"/>
      <c r="BU1" s="22"/>
      <c r="BV1" s="22"/>
      <c r="BW1" s="22"/>
      <c r="BX1" s="20"/>
      <c r="BY1" s="22"/>
      <c r="BZ1" s="20"/>
      <c r="CA1" s="22"/>
      <c r="CB1" s="22"/>
      <c r="CC1" s="20"/>
      <c r="CD1" s="22"/>
      <c r="CE1" s="20"/>
      <c r="CF1" s="22"/>
      <c r="CG1" s="22"/>
      <c r="CH1" s="20"/>
      <c r="CI1" s="4341"/>
      <c r="CJ1" s="4127"/>
      <c r="CK1" s="4127"/>
      <c r="CL1" s="4127"/>
      <c r="CM1" s="4127"/>
      <c r="CN1" s="4341"/>
      <c r="CO1" s="4746"/>
      <c r="CP1" s="4746"/>
      <c r="CQ1" s="4746"/>
      <c r="CR1" s="4746"/>
      <c r="CS1" s="4746"/>
      <c r="CT1" s="4746"/>
      <c r="CU1" s="4746"/>
      <c r="CV1" s="4746"/>
      <c r="CW1" s="4746"/>
      <c r="CX1" s="4746"/>
      <c r="CY1" s="5221"/>
      <c r="CZ1" s="5221"/>
      <c r="DA1" s="5221"/>
      <c r="DB1" s="5221"/>
      <c r="DC1" s="5221"/>
      <c r="DD1" s="5221"/>
      <c r="DE1" s="5221"/>
      <c r="DG1" s="5221"/>
      <c r="DH1" s="5221"/>
      <c r="DM1" s="5221"/>
      <c r="DN1" s="5753"/>
      <c r="DO1" s="5753"/>
      <c r="DP1" s="5753"/>
      <c r="DQ1" s="5753"/>
      <c r="DR1" s="5753"/>
      <c r="DS1" s="5753"/>
      <c r="DT1" s="5753"/>
      <c r="DU1" s="5753"/>
      <c r="DV1" s="5753"/>
      <c r="DW1" s="5753"/>
      <c r="DX1" s="5753"/>
      <c r="DY1" s="5753"/>
      <c r="DZ1" s="5753"/>
      <c r="EA1" s="5753"/>
      <c r="EB1" s="22"/>
      <c r="EC1" s="22"/>
      <c r="ED1" s="22"/>
      <c r="EE1" s="22"/>
      <c r="EF1" s="20"/>
      <c r="EG1" s="20"/>
      <c r="EH1" s="20"/>
      <c r="EI1" s="20"/>
      <c r="EJ1" s="20"/>
      <c r="EK1" s="20"/>
      <c r="EL1" s="20"/>
      <c r="EM1" s="20"/>
      <c r="EN1" s="20"/>
      <c r="EO1" s="20"/>
      <c r="EP1" s="20"/>
      <c r="EQ1" s="20"/>
      <c r="ER1" s="20"/>
      <c r="ES1" s="20"/>
      <c r="ET1" s="20"/>
      <c r="EU1" s="20"/>
      <c r="EV1" s="20"/>
      <c r="EW1" s="21"/>
      <c r="EX1" s="6"/>
    </row>
    <row r="2" spans="1:154" s="17" customFormat="1" ht="28.5" customHeight="1">
      <c r="A2" s="2914" t="str">
        <f>IS!A2</f>
        <v>Alphabet Inc.</v>
      </c>
      <c r="B2" s="18"/>
      <c r="C2" s="18"/>
      <c r="D2" s="18"/>
      <c r="E2" s="18"/>
      <c r="F2" s="18"/>
      <c r="G2" s="18"/>
      <c r="H2" s="18"/>
      <c r="I2" s="18"/>
      <c r="J2" s="18"/>
      <c r="K2" s="18"/>
      <c r="L2" s="18"/>
      <c r="M2" s="18"/>
      <c r="N2" s="18"/>
      <c r="O2" s="18"/>
      <c r="P2" s="18"/>
      <c r="Q2" s="18"/>
      <c r="R2" s="18"/>
      <c r="S2" s="18"/>
      <c r="T2" s="18"/>
      <c r="U2" s="18"/>
      <c r="V2" s="18"/>
      <c r="W2" s="18"/>
      <c r="X2" s="18"/>
      <c r="Y2" s="23"/>
      <c r="Z2" s="18"/>
      <c r="AA2" s="18"/>
      <c r="AB2" s="18"/>
      <c r="AC2" s="18"/>
      <c r="AD2" s="18"/>
      <c r="AE2" s="18"/>
      <c r="AF2" s="18"/>
      <c r="AG2" s="18"/>
      <c r="AH2" s="18"/>
      <c r="AI2" s="18"/>
      <c r="AJ2" s="23"/>
      <c r="AK2" s="23"/>
      <c r="AL2" s="23"/>
      <c r="AM2" s="23"/>
      <c r="AN2" s="23"/>
      <c r="AO2" s="18"/>
      <c r="AP2" s="18"/>
      <c r="AQ2" s="18"/>
      <c r="AR2" s="18"/>
      <c r="AS2" s="18"/>
      <c r="AT2" s="18"/>
      <c r="AU2" s="18"/>
      <c r="AV2" s="18"/>
      <c r="AW2" s="18"/>
      <c r="AX2" s="18"/>
      <c r="AY2" s="18"/>
      <c r="AZ2" s="18"/>
      <c r="BA2" s="18"/>
      <c r="BB2" s="18"/>
      <c r="BC2" s="18"/>
      <c r="BD2" s="18"/>
      <c r="BE2" s="18"/>
      <c r="BF2" s="18"/>
      <c r="BG2" s="18"/>
      <c r="BH2" s="18"/>
      <c r="BI2" s="18"/>
      <c r="BJ2" s="18"/>
      <c r="BK2" s="474"/>
      <c r="BL2" s="18"/>
      <c r="BM2" s="18"/>
      <c r="BN2" s="18"/>
      <c r="BO2" s="580"/>
      <c r="BP2" s="18"/>
      <c r="BQ2" s="18"/>
      <c r="BR2" s="18"/>
      <c r="BS2" s="18"/>
      <c r="BT2" s="580"/>
      <c r="BU2" s="580"/>
      <c r="BV2" s="580"/>
      <c r="BW2" s="580"/>
      <c r="BX2" s="580"/>
      <c r="BY2" s="580"/>
      <c r="BZ2" s="580"/>
      <c r="CA2" s="580"/>
      <c r="CB2" s="580"/>
      <c r="CC2" s="580"/>
      <c r="CD2" s="580"/>
      <c r="CE2" s="580"/>
      <c r="CF2" s="580"/>
      <c r="CG2" s="580"/>
      <c r="CH2" s="580"/>
      <c r="CI2" s="580"/>
      <c r="CJ2" s="580"/>
      <c r="CK2" s="580"/>
      <c r="CL2" s="580"/>
      <c r="CM2" s="580"/>
      <c r="CN2" s="4342"/>
      <c r="CO2" s="4490"/>
      <c r="CP2" s="4490"/>
      <c r="CQ2" s="4490"/>
      <c r="CR2" s="4490"/>
      <c r="CS2" s="4490"/>
      <c r="CT2" s="4490"/>
      <c r="CU2" s="4490"/>
      <c r="CV2" s="4490"/>
      <c r="CW2" s="4490"/>
      <c r="CX2" s="4847"/>
      <c r="CY2" s="5221"/>
      <c r="CZ2" s="5221"/>
      <c r="DA2" s="5221"/>
      <c r="DB2" s="5221"/>
      <c r="DC2" s="5221"/>
      <c r="DD2" s="5221"/>
      <c r="DE2" s="5221"/>
      <c r="DF2" s="5221"/>
      <c r="DG2" s="5221"/>
      <c r="DH2" s="5221"/>
      <c r="DI2" s="5221"/>
      <c r="DJ2" s="5221"/>
      <c r="DK2" s="5221"/>
      <c r="DL2" s="5221"/>
      <c r="DM2" s="5221"/>
      <c r="DN2" s="5221"/>
      <c r="DO2" s="5221"/>
      <c r="DP2" s="5221"/>
      <c r="DQ2" s="5221"/>
      <c r="DR2" s="5221"/>
      <c r="DS2" s="5221"/>
      <c r="DT2" s="5221"/>
      <c r="DU2" s="5221"/>
      <c r="DV2" s="5221"/>
      <c r="DW2" s="5221"/>
      <c r="DX2" s="5221"/>
      <c r="DY2" s="5221"/>
      <c r="DZ2" s="5221"/>
      <c r="EA2" s="5221"/>
      <c r="EB2" s="580"/>
      <c r="EC2" s="580"/>
      <c r="ED2" s="580"/>
      <c r="EE2" s="658"/>
      <c r="EF2" s="659"/>
      <c r="EG2" s="290"/>
      <c r="EH2" s="150"/>
      <c r="EI2" s="290"/>
      <c r="EJ2" s="290"/>
      <c r="EK2" s="290"/>
      <c r="EL2" s="290"/>
      <c r="EM2" s="150"/>
      <c r="EN2" s="806"/>
      <c r="EO2" s="806"/>
      <c r="EP2" s="806"/>
      <c r="EQ2" s="806"/>
      <c r="ER2" s="806"/>
      <c r="ES2" s="806"/>
      <c r="ET2" s="806"/>
      <c r="EU2" s="806"/>
      <c r="EV2" s="806"/>
      <c r="EW2" s="24"/>
      <c r="EX2" s="594"/>
    </row>
    <row r="3" spans="1:154" s="15" customFormat="1" ht="20.25" customHeight="1">
      <c r="A3" s="1516" t="s">
        <v>141</v>
      </c>
      <c r="B3" s="19"/>
      <c r="C3" s="19"/>
      <c r="D3" s="19"/>
      <c r="E3" s="19"/>
      <c r="F3" s="19"/>
      <c r="G3" s="19"/>
      <c r="H3" s="19"/>
      <c r="I3" s="19"/>
      <c r="J3" s="19"/>
      <c r="K3" s="19"/>
      <c r="L3" s="19"/>
      <c r="M3" s="19"/>
      <c r="N3" s="19"/>
      <c r="O3" s="19"/>
      <c r="P3" s="19"/>
      <c r="Q3" s="19"/>
      <c r="R3" s="19"/>
      <c r="S3" s="19"/>
      <c r="T3" s="19"/>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470"/>
      <c r="BF3" s="470"/>
      <c r="BG3" s="470"/>
      <c r="BH3" s="470"/>
      <c r="BI3" s="470"/>
      <c r="BJ3" s="470"/>
      <c r="BK3" s="473"/>
      <c r="BL3" s="470"/>
      <c r="BM3" s="470"/>
      <c r="BN3" s="470"/>
      <c r="BO3" s="470"/>
      <c r="BP3" s="470"/>
      <c r="BQ3" s="470"/>
      <c r="BR3" s="470"/>
      <c r="BS3" s="470"/>
      <c r="BT3" s="470"/>
      <c r="BU3" s="470"/>
      <c r="BV3" s="470"/>
      <c r="BW3" s="470"/>
      <c r="BX3" s="470"/>
      <c r="BY3" s="529"/>
      <c r="BZ3" s="470"/>
      <c r="CA3" s="470"/>
      <c r="CB3" s="470"/>
      <c r="CC3" s="470"/>
      <c r="CD3" s="529"/>
      <c r="CE3" s="470"/>
      <c r="CF3" s="470"/>
      <c r="CG3" s="470"/>
      <c r="CH3" s="470"/>
      <c r="CI3" s="529"/>
      <c r="CJ3" s="470"/>
      <c r="CK3" s="470"/>
      <c r="CL3" s="470"/>
      <c r="CM3" s="470"/>
      <c r="CN3" s="529"/>
      <c r="CO3" s="470"/>
      <c r="CP3" s="470"/>
      <c r="CQ3" s="470"/>
      <c r="CR3" s="470"/>
      <c r="CS3" s="470"/>
      <c r="CT3" s="470"/>
      <c r="CU3" s="470"/>
      <c r="CV3" s="473"/>
      <c r="CW3" s="470"/>
      <c r="CX3" s="470"/>
      <c r="CY3" s="470"/>
      <c r="CZ3" s="470"/>
      <c r="DA3" s="470"/>
      <c r="DB3" s="470"/>
      <c r="DC3" s="756"/>
      <c r="DD3" s="470"/>
      <c r="DE3" s="470"/>
      <c r="DF3" s="470"/>
      <c r="DG3" s="470"/>
      <c r="DH3" s="756"/>
      <c r="DI3" s="470"/>
      <c r="DJ3" s="470"/>
      <c r="DK3" s="470"/>
      <c r="DL3" s="470"/>
      <c r="DM3" s="756"/>
      <c r="DN3" s="470"/>
      <c r="DO3" s="470"/>
      <c r="DP3" s="470"/>
      <c r="DQ3" s="470"/>
      <c r="DR3" s="756"/>
      <c r="DS3" s="470"/>
      <c r="DT3" s="470"/>
      <c r="DU3" s="470"/>
      <c r="DV3" s="470"/>
      <c r="DW3" s="756"/>
      <c r="DX3" s="756"/>
      <c r="DY3" s="756"/>
      <c r="DZ3" s="756"/>
      <c r="EA3" s="756"/>
      <c r="EB3" s="529"/>
      <c r="EC3" s="529"/>
      <c r="ED3" s="529"/>
      <c r="EE3" s="658"/>
      <c r="EF3" s="659"/>
      <c r="EG3" s="756"/>
      <c r="EH3" s="659"/>
      <c r="EI3" s="756"/>
      <c r="EJ3" s="760"/>
      <c r="EK3" s="760"/>
      <c r="EL3" s="760"/>
      <c r="EM3" s="809"/>
      <c r="EN3" s="809"/>
      <c r="EO3" s="809"/>
      <c r="EP3" s="809"/>
      <c r="EQ3" s="809"/>
      <c r="ER3" s="809"/>
      <c r="ES3" s="809"/>
      <c r="ET3" s="809"/>
      <c r="EU3" s="809"/>
      <c r="EV3" s="809"/>
      <c r="EW3" s="470"/>
      <c r="EX3" s="595"/>
    </row>
    <row r="4" spans="1:154" s="6" customFormat="1" ht="12.75">
      <c r="A4" s="1517"/>
      <c r="B4" s="20"/>
      <c r="C4" s="20"/>
      <c r="D4" s="20"/>
      <c r="E4" s="20"/>
      <c r="F4" s="20"/>
      <c r="G4" s="20"/>
      <c r="H4" s="22"/>
      <c r="I4" s="22"/>
      <c r="J4" s="20"/>
      <c r="K4" s="20"/>
      <c r="L4" s="20"/>
      <c r="M4" s="20"/>
      <c r="N4" s="20"/>
      <c r="O4" s="20"/>
      <c r="P4" s="20"/>
      <c r="Q4" s="20"/>
      <c r="R4" s="22"/>
      <c r="S4" s="22"/>
      <c r="T4" s="20"/>
      <c r="U4" s="20"/>
      <c r="V4" s="20"/>
      <c r="W4" s="20"/>
      <c r="X4" s="20"/>
      <c r="Y4" s="22"/>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42"/>
      <c r="BG4" s="42"/>
      <c r="BH4" s="42"/>
      <c r="BI4" s="470"/>
      <c r="BJ4" s="42"/>
      <c r="BK4" s="42"/>
      <c r="BL4" s="42"/>
      <c r="BM4" s="42"/>
      <c r="BN4" s="470"/>
      <c r="BO4" s="470"/>
      <c r="BP4" s="470"/>
      <c r="BQ4" s="470"/>
      <c r="BR4" s="470"/>
      <c r="BS4" s="470"/>
      <c r="BT4" s="42"/>
      <c r="BU4" s="42"/>
      <c r="BV4" s="42"/>
      <c r="BW4" s="42"/>
      <c r="BX4" s="470"/>
      <c r="BY4" s="42"/>
      <c r="BZ4" s="470"/>
      <c r="CA4" s="470"/>
      <c r="CB4" s="470"/>
      <c r="CC4" s="470"/>
      <c r="CD4" s="510"/>
      <c r="CE4" s="470"/>
      <c r="CF4" s="470"/>
      <c r="CG4" s="470"/>
      <c r="CH4" s="470"/>
      <c r="CI4" s="510"/>
      <c r="CJ4" s="470"/>
      <c r="CK4" s="470"/>
      <c r="CL4" s="470"/>
      <c r="CM4" s="470"/>
      <c r="CN4" s="42"/>
      <c r="CO4" s="470"/>
      <c r="CP4" s="470"/>
      <c r="CQ4" s="470"/>
      <c r="CR4" s="470"/>
      <c r="CS4" s="470"/>
      <c r="CT4" s="470"/>
      <c r="CU4" s="470"/>
      <c r="CV4" s="470"/>
      <c r="CW4" s="470"/>
      <c r="CX4" s="470"/>
      <c r="CY4" s="470"/>
      <c r="CZ4" s="470"/>
      <c r="DA4" s="470"/>
      <c r="DB4" s="470"/>
      <c r="DC4" s="470"/>
      <c r="DD4" s="470"/>
      <c r="DE4" s="470"/>
      <c r="DF4" s="470"/>
      <c r="DG4" s="470"/>
      <c r="DH4" s="470"/>
      <c r="DI4" s="470"/>
      <c r="DJ4" s="470"/>
      <c r="DK4" s="470"/>
      <c r="DL4" s="470"/>
      <c r="DM4" s="470"/>
      <c r="DN4" s="470"/>
      <c r="DO4" s="470"/>
      <c r="DP4" s="470"/>
      <c r="DQ4" s="470"/>
      <c r="DR4" s="470"/>
      <c r="DS4" s="470"/>
      <c r="DT4" s="470"/>
      <c r="DU4" s="470"/>
      <c r="DV4" s="470"/>
      <c r="DW4" s="470"/>
      <c r="DX4" s="470"/>
      <c r="DY4" s="470"/>
      <c r="DZ4" s="470"/>
      <c r="EA4" s="470"/>
      <c r="EB4" s="42"/>
      <c r="EC4" s="510"/>
      <c r="ED4" s="510"/>
      <c r="EE4" s="42"/>
      <c r="EF4" s="470"/>
      <c r="EG4" s="619"/>
      <c r="EH4" s="473"/>
      <c r="EI4" s="661"/>
      <c r="EJ4" s="661"/>
      <c r="EK4" s="661"/>
      <c r="EL4" s="758"/>
      <c r="EM4" s="661"/>
      <c r="EN4" s="661"/>
      <c r="EO4" s="661"/>
      <c r="EP4" s="661"/>
      <c r="EQ4" s="661"/>
      <c r="ER4" s="661"/>
      <c r="ES4" s="661"/>
      <c r="ET4" s="661"/>
      <c r="EU4" s="661"/>
      <c r="EV4" s="661"/>
      <c r="EW4" s="470"/>
    </row>
    <row r="5" spans="1:154" s="30" customFormat="1" ht="11.25" customHeight="1">
      <c r="A5" s="1575"/>
      <c r="B5" s="29"/>
      <c r="C5" s="29"/>
      <c r="D5" s="29"/>
      <c r="E5" s="29"/>
      <c r="F5" s="29"/>
      <c r="G5" s="29"/>
      <c r="H5" s="29"/>
      <c r="I5" s="29"/>
      <c r="J5" s="29"/>
      <c r="K5" s="29"/>
      <c r="M5" s="29"/>
      <c r="N5" s="29"/>
      <c r="O5" s="29"/>
      <c r="P5" s="29"/>
      <c r="R5" s="29"/>
      <c r="S5" s="29"/>
      <c r="T5" s="29"/>
      <c r="U5" s="29"/>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43"/>
      <c r="BK5" s="43"/>
      <c r="BL5" s="43"/>
      <c r="BM5" s="43"/>
      <c r="BN5" s="43"/>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C5" s="4318" t="s">
        <v>853</v>
      </c>
      <c r="ED5" s="4318" t="s">
        <v>854</v>
      </c>
    </row>
    <row r="6" spans="1:154" s="30" customFormat="1" ht="11.25" customHeight="1" thickBot="1">
      <c r="A6" s="2915" t="s">
        <v>690</v>
      </c>
      <c r="B6" s="34" t="s">
        <v>113</v>
      </c>
      <c r="C6" s="34" t="s">
        <v>118</v>
      </c>
      <c r="D6" s="34" t="s">
        <v>120</v>
      </c>
      <c r="E6" s="34" t="s">
        <v>122</v>
      </c>
      <c r="F6" s="34" t="s">
        <v>124</v>
      </c>
      <c r="G6" s="162" t="s">
        <v>129</v>
      </c>
      <c r="H6" s="34" t="s">
        <v>125</v>
      </c>
      <c r="I6" s="34" t="s">
        <v>126</v>
      </c>
      <c r="J6" s="34" t="s">
        <v>127</v>
      </c>
      <c r="K6" s="34" t="s">
        <v>128</v>
      </c>
      <c r="L6" s="162" t="s">
        <v>184</v>
      </c>
      <c r="M6" s="34" t="s">
        <v>130</v>
      </c>
      <c r="N6" s="34" t="s">
        <v>233</v>
      </c>
      <c r="O6" s="34" t="s">
        <v>254</v>
      </c>
      <c r="P6" s="34" t="s">
        <v>255</v>
      </c>
      <c r="Q6" s="162" t="s">
        <v>256</v>
      </c>
      <c r="R6" s="34" t="s">
        <v>258</v>
      </c>
      <c r="S6" s="34" t="s">
        <v>261</v>
      </c>
      <c r="T6" s="34" t="s">
        <v>263</v>
      </c>
      <c r="U6" s="34" t="s">
        <v>265</v>
      </c>
      <c r="V6" s="162" t="s">
        <v>266</v>
      </c>
      <c r="W6" s="34" t="s">
        <v>267</v>
      </c>
      <c r="X6" s="34" t="s">
        <v>269</v>
      </c>
      <c r="Y6" s="34" t="s">
        <v>273</v>
      </c>
      <c r="Z6" s="34" t="s">
        <v>275</v>
      </c>
      <c r="AA6" s="162" t="s">
        <v>276</v>
      </c>
      <c r="AB6" s="34" t="s">
        <v>277</v>
      </c>
      <c r="AC6" s="34" t="s">
        <v>278</v>
      </c>
      <c r="AD6" s="34" t="s">
        <v>281</v>
      </c>
      <c r="AE6" s="34" t="s">
        <v>285</v>
      </c>
      <c r="AF6" s="162" t="s">
        <v>286</v>
      </c>
      <c r="AG6" s="34" t="s">
        <v>300</v>
      </c>
      <c r="AH6" s="34" t="s">
        <v>2</v>
      </c>
      <c r="AI6" s="34" t="s">
        <v>5</v>
      </c>
      <c r="AJ6" s="34" t="s">
        <v>10</v>
      </c>
      <c r="AK6" s="162" t="s">
        <v>11</v>
      </c>
      <c r="AL6" s="34" t="s">
        <v>13</v>
      </c>
      <c r="AM6" s="34" t="s">
        <v>28</v>
      </c>
      <c r="AN6" s="34" t="s">
        <v>32</v>
      </c>
      <c r="AO6" s="34" t="s">
        <v>302</v>
      </c>
      <c r="AP6" s="34" t="s">
        <v>309</v>
      </c>
      <c r="AQ6" s="34" t="s">
        <v>310</v>
      </c>
      <c r="AR6" s="34" t="s">
        <v>313</v>
      </c>
      <c r="AS6" s="34" t="s">
        <v>328</v>
      </c>
      <c r="AT6" s="34" t="s">
        <v>331</v>
      </c>
      <c r="AU6" s="34" t="s">
        <v>335</v>
      </c>
      <c r="AV6" s="34" t="s">
        <v>339</v>
      </c>
      <c r="AW6" s="34" t="s">
        <v>361</v>
      </c>
      <c r="AX6" s="34" t="s">
        <v>365</v>
      </c>
      <c r="AY6" s="34" t="s">
        <v>369</v>
      </c>
      <c r="AZ6" s="34" t="s">
        <v>370</v>
      </c>
      <c r="BA6" s="34" t="s">
        <v>377</v>
      </c>
      <c r="BB6" s="34" t="s">
        <v>381</v>
      </c>
      <c r="BC6" s="34" t="s">
        <v>383</v>
      </c>
      <c r="BD6" s="34" t="s">
        <v>384</v>
      </c>
      <c r="BE6" s="34" t="s">
        <v>385</v>
      </c>
      <c r="BF6" s="34" t="s">
        <v>386</v>
      </c>
      <c r="BG6" s="34" t="s">
        <v>387</v>
      </c>
      <c r="BH6" s="34" t="s">
        <v>388</v>
      </c>
      <c r="BI6" s="34" t="s">
        <v>389</v>
      </c>
      <c r="BJ6" s="34" t="s">
        <v>390</v>
      </c>
      <c r="BK6" s="492" t="s">
        <v>393</v>
      </c>
      <c r="BL6" s="492" t="s">
        <v>394</v>
      </c>
      <c r="BM6" s="492" t="s">
        <v>395</v>
      </c>
      <c r="BN6" s="492" t="s">
        <v>411</v>
      </c>
      <c r="BO6" s="492" t="s">
        <v>410</v>
      </c>
      <c r="BP6" s="492" t="s">
        <v>412</v>
      </c>
      <c r="BQ6" s="492" t="s">
        <v>414</v>
      </c>
      <c r="BR6" s="492" t="s">
        <v>429</v>
      </c>
      <c r="BS6" s="492" t="s">
        <v>475</v>
      </c>
      <c r="BT6" s="34" t="s">
        <v>476</v>
      </c>
      <c r="BU6" s="492" t="str">
        <f>IS!CS6</f>
        <v>3/16A</v>
      </c>
      <c r="BV6" s="492" t="str">
        <f>IS!CT6</f>
        <v>6/16A</v>
      </c>
      <c r="BW6" s="492" t="str">
        <f>IS!CU6</f>
        <v>9/16A</v>
      </c>
      <c r="BX6" s="492" t="str">
        <f>IS!CV6</f>
        <v>12/16A</v>
      </c>
      <c r="BY6" s="34" t="str">
        <f>IS!CW6</f>
        <v>2016A</v>
      </c>
      <c r="BZ6" s="1252" t="str">
        <f>IS!CX6</f>
        <v>3/17A</v>
      </c>
      <c r="CA6" s="1252" t="str">
        <f>IS!CY6</f>
        <v>6/17A</v>
      </c>
      <c r="CB6" s="1252" t="str">
        <f>IS!CZ6</f>
        <v>9/17A</v>
      </c>
      <c r="CC6" s="1252" t="str">
        <f>IS!DA6</f>
        <v>12/17A</v>
      </c>
      <c r="CD6" s="34" t="str">
        <f>IS!DB6</f>
        <v>2017A</v>
      </c>
      <c r="CE6" s="1252" t="str">
        <f>IS!DC6</f>
        <v>3/18A</v>
      </c>
      <c r="CF6" s="1252" t="str">
        <f>IS!DD6</f>
        <v>6/18A</v>
      </c>
      <c r="CG6" s="1252" t="str">
        <f>IS!DE6</f>
        <v>9/18A</v>
      </c>
      <c r="CH6" s="1252" t="str">
        <f>IS!DF6</f>
        <v>12/18A</v>
      </c>
      <c r="CI6" s="34" t="str">
        <f>IS!DG6</f>
        <v>2018A</v>
      </c>
      <c r="CJ6" s="34" t="str">
        <f>IS!DH6</f>
        <v>3/19A</v>
      </c>
      <c r="CK6" s="34" t="str">
        <f>IS!DI6</f>
        <v>6/19A</v>
      </c>
      <c r="CL6" s="34" t="str">
        <f>IS!DJ6</f>
        <v>9/19A</v>
      </c>
      <c r="CM6" s="34" t="str">
        <f>IS!DK6</f>
        <v>12/19A</v>
      </c>
      <c r="CN6" s="34" t="str">
        <f>IS!DL6</f>
        <v>2019A</v>
      </c>
      <c r="CO6" s="34" t="str">
        <f>IS!DM6</f>
        <v>3/20A</v>
      </c>
      <c r="CP6" s="34" t="str">
        <f>IS!DN6</f>
        <v>6/20A</v>
      </c>
      <c r="CQ6" s="34" t="str">
        <f>IS!DO6</f>
        <v>9/20A</v>
      </c>
      <c r="CR6" s="34" t="str">
        <f>IS!DP6</f>
        <v>12/20A</v>
      </c>
      <c r="CS6" s="34" t="str">
        <f>IS!DQ6</f>
        <v>2020A</v>
      </c>
      <c r="CT6" s="34" t="str">
        <f>IS!DR6</f>
        <v>3/21A</v>
      </c>
      <c r="CU6" s="34" t="str">
        <f>IS!DS6</f>
        <v>6/21A</v>
      </c>
      <c r="CV6" s="34" t="str">
        <f>IS!DT6</f>
        <v>9/21A</v>
      </c>
      <c r="CW6" s="34" t="str">
        <f>IS!DU6</f>
        <v>12/21A</v>
      </c>
      <c r="CX6" s="34" t="str">
        <f>IS!DV6</f>
        <v>2021A</v>
      </c>
      <c r="CY6" s="34" t="str">
        <f>IS!DW6</f>
        <v>3/22A</v>
      </c>
      <c r="CZ6" s="34" t="str">
        <f>IS!DX6</f>
        <v>6/22A</v>
      </c>
      <c r="DA6" s="34" t="str">
        <f>IS!DY6</f>
        <v>9/22A</v>
      </c>
      <c r="DB6" s="34" t="str">
        <f>IS!DZ6</f>
        <v>12/22A</v>
      </c>
      <c r="DC6" s="34" t="str">
        <f>IS!EA6</f>
        <v>2022A</v>
      </c>
      <c r="DD6" s="34" t="str">
        <f>IS!EB6</f>
        <v>3/23A</v>
      </c>
      <c r="DE6" s="34" t="str">
        <f>IS!EC6</f>
        <v>6/23A</v>
      </c>
      <c r="DF6" s="34" t="str">
        <f>IS!ED6</f>
        <v>9/23A</v>
      </c>
      <c r="DG6" s="34" t="str">
        <f>IS!EE6</f>
        <v>12/23A</v>
      </c>
      <c r="DH6" s="34" t="str">
        <f>IS!EF6</f>
        <v>2023A</v>
      </c>
      <c r="DI6" s="34" t="str">
        <f>IS!EG6</f>
        <v>3/24A</v>
      </c>
      <c r="DJ6" s="34" t="str">
        <f>IS!EH6</f>
        <v>6/24A</v>
      </c>
      <c r="DK6" s="34" t="str">
        <f>IS!EI6</f>
        <v>9/24A</v>
      </c>
      <c r="DL6" s="34" t="str">
        <f>IS!EJ6</f>
        <v>12/24A</v>
      </c>
      <c r="DM6" s="34" t="str">
        <f>IS!EK6</f>
        <v>2024A</v>
      </c>
      <c r="DN6" s="34" t="str">
        <f>IS!EL6</f>
        <v>3/25A</v>
      </c>
      <c r="DO6" s="34" t="str">
        <f>IS!EM6</f>
        <v>6/25A</v>
      </c>
      <c r="DP6" s="34" t="str">
        <f>IS!EN6</f>
        <v>9/25A</v>
      </c>
      <c r="DQ6" s="34" t="str">
        <f>IS!EO6</f>
        <v>12/25E</v>
      </c>
      <c r="DR6" s="34" t="str">
        <f>IS!EP6</f>
        <v>2025E</v>
      </c>
      <c r="DS6" s="34" t="str">
        <f>IS!EQ6</f>
        <v>3/26E</v>
      </c>
      <c r="DT6" s="34" t="str">
        <f>IS!ER6</f>
        <v>6/26E</v>
      </c>
      <c r="DU6" s="34" t="str">
        <f>IS!ES6</f>
        <v>9/26E</v>
      </c>
      <c r="DV6" s="34" t="str">
        <f>IS!ET6</f>
        <v>12/26E</v>
      </c>
      <c r="DW6" s="34" t="str">
        <f>IS!EU6</f>
        <v>2026E</v>
      </c>
      <c r="DX6" s="34" t="str">
        <f>IS!EV6</f>
        <v>2027E</v>
      </c>
      <c r="DY6" s="34" t="str">
        <f>IS!EW6</f>
        <v>2028E</v>
      </c>
      <c r="DZ6" s="34" t="str">
        <f>IS!EX6</f>
        <v>2029E</v>
      </c>
      <c r="EA6" s="34" t="str">
        <f>IS!EY6</f>
        <v>2030E</v>
      </c>
      <c r="EC6" s="1341" t="s">
        <v>1131</v>
      </c>
      <c r="ED6" s="1341" t="s">
        <v>1132</v>
      </c>
    </row>
    <row r="7" spans="1:154" ht="11.25" hidden="1" customHeight="1">
      <c r="A7" s="1576"/>
      <c r="B7" s="282"/>
      <c r="C7" s="103"/>
      <c r="D7" s="31"/>
      <c r="E7" s="31"/>
      <c r="F7" s="31"/>
      <c r="G7" s="282"/>
      <c r="H7" s="103"/>
      <c r="I7" s="31"/>
      <c r="J7" s="31"/>
      <c r="K7" s="31"/>
      <c r="L7" s="282"/>
      <c r="M7" s="103"/>
      <c r="N7" s="31"/>
      <c r="O7" s="31"/>
      <c r="P7" s="31"/>
      <c r="Q7" s="282"/>
      <c r="R7" s="103"/>
      <c r="S7" s="31"/>
      <c r="T7" s="31"/>
      <c r="U7" s="31"/>
      <c r="V7" s="282"/>
      <c r="W7" s="103"/>
      <c r="X7" s="31"/>
      <c r="Y7" s="31"/>
      <c r="Z7" s="31"/>
      <c r="AA7" s="153"/>
      <c r="AB7" s="104"/>
      <c r="AE7" s="105"/>
      <c r="AF7" s="153"/>
      <c r="AG7" s="104"/>
      <c r="AJ7" s="105"/>
      <c r="AK7" s="153"/>
      <c r="AL7" s="104"/>
      <c r="AO7" s="105"/>
      <c r="AP7" s="153"/>
      <c r="AQ7" s="104"/>
      <c r="AT7" s="105"/>
      <c r="AU7" s="153"/>
      <c r="AV7" s="104"/>
      <c r="AY7" s="105"/>
      <c r="AZ7" s="104"/>
      <c r="BA7" s="477"/>
      <c r="BD7" s="105"/>
      <c r="BE7" s="153"/>
      <c r="BF7" s="477"/>
      <c r="BI7" s="105"/>
      <c r="BJ7" s="153"/>
      <c r="BK7" s="104"/>
      <c r="BO7" s="104"/>
      <c r="BP7" s="635"/>
      <c r="BQ7" s="635"/>
      <c r="BR7" s="635"/>
      <c r="BS7" s="635"/>
      <c r="BT7" s="104"/>
      <c r="BU7" s="635"/>
      <c r="BV7" s="635"/>
      <c r="BW7" s="635"/>
      <c r="BX7" s="635"/>
      <c r="BY7" s="104"/>
      <c r="BZ7" s="1253"/>
      <c r="CD7" s="104"/>
      <c r="CE7" s="1253"/>
      <c r="CI7" s="104"/>
      <c r="CN7" s="104"/>
      <c r="EC7" s="717"/>
      <c r="ED7" s="717"/>
    </row>
    <row r="8" spans="1:154" ht="11.25" customHeight="1">
      <c r="A8" s="6135" t="s">
        <v>85</v>
      </c>
      <c r="B8" s="6136"/>
      <c r="C8" s="6137"/>
      <c r="D8" s="6138"/>
      <c r="E8" s="6138"/>
      <c r="F8" s="6138"/>
      <c r="G8" s="6136"/>
      <c r="H8" s="6137"/>
      <c r="I8" s="6138"/>
      <c r="J8" s="6138"/>
      <c r="K8" s="6138"/>
      <c r="L8" s="6136"/>
      <c r="M8" s="6137"/>
      <c r="N8" s="6138"/>
      <c r="O8" s="6138"/>
      <c r="P8" s="6138"/>
      <c r="Q8" s="6136"/>
      <c r="R8" s="6137"/>
      <c r="S8" s="6138"/>
      <c r="T8" s="6138"/>
      <c r="U8" s="6138"/>
      <c r="V8" s="6136"/>
      <c r="W8" s="6137"/>
      <c r="X8" s="6138"/>
      <c r="Y8" s="6138"/>
      <c r="Z8" s="6138"/>
      <c r="AA8" s="6139"/>
      <c r="AB8" s="6140"/>
      <c r="AC8" s="6141"/>
      <c r="AD8" s="6141"/>
      <c r="AE8" s="6142"/>
      <c r="AF8" s="6139"/>
      <c r="AG8" s="6140"/>
      <c r="AH8" s="6141"/>
      <c r="AI8" s="6141"/>
      <c r="AJ8" s="6142"/>
      <c r="AK8" s="6139"/>
      <c r="AL8" s="6140"/>
      <c r="AM8" s="6141"/>
      <c r="AN8" s="6141"/>
      <c r="AO8" s="6142"/>
      <c r="AP8" s="6139"/>
      <c r="AQ8" s="6140"/>
      <c r="AR8" s="6141"/>
      <c r="AS8" s="6141"/>
      <c r="AT8" s="6142"/>
      <c r="AU8" s="6139"/>
      <c r="AV8" s="6140"/>
      <c r="AW8" s="6141"/>
      <c r="AX8" s="6141"/>
      <c r="AY8" s="6141"/>
      <c r="AZ8" s="6143"/>
      <c r="BA8" s="6141"/>
      <c r="BB8" s="6141"/>
      <c r="BC8" s="6141"/>
      <c r="BD8" s="6141"/>
      <c r="BE8" s="6143"/>
      <c r="BF8" s="6141"/>
      <c r="BG8" s="6141"/>
      <c r="BH8" s="6141"/>
      <c r="BI8" s="6141"/>
      <c r="BJ8" s="6143"/>
      <c r="BK8" s="6144"/>
      <c r="BL8" s="6141"/>
      <c r="BM8" s="6141"/>
      <c r="BN8" s="6145"/>
      <c r="BO8" s="6143"/>
      <c r="BP8" s="6144"/>
      <c r="BQ8" s="6141"/>
      <c r="BR8" s="6141"/>
      <c r="BS8" s="6141"/>
      <c r="BT8" s="6146"/>
      <c r="BU8" s="6141"/>
      <c r="BV8" s="6141"/>
      <c r="BW8" s="6141"/>
      <c r="BX8" s="6141"/>
      <c r="BY8" s="6146"/>
      <c r="BZ8" s="6147"/>
      <c r="CA8" s="6147"/>
      <c r="CB8" s="6147"/>
      <c r="CC8" s="6147"/>
      <c r="CD8" s="6146"/>
      <c r="CE8" s="6147"/>
      <c r="CF8" s="6147"/>
      <c r="CG8" s="6147"/>
      <c r="CH8" s="6147"/>
      <c r="CI8" s="6146"/>
      <c r="CJ8" s="6147"/>
      <c r="CK8" s="6147"/>
      <c r="CL8" s="6147"/>
      <c r="CM8" s="6147"/>
      <c r="CN8" s="6148"/>
      <c r="CO8" s="6147"/>
      <c r="CP8" s="6147"/>
      <c r="CQ8" s="6147"/>
      <c r="CR8" s="6147"/>
      <c r="CS8" s="6146"/>
      <c r="CT8" s="6147"/>
      <c r="CU8" s="6147"/>
      <c r="CV8" s="6147"/>
      <c r="CW8" s="6147"/>
      <c r="CX8" s="6146"/>
      <c r="CY8" s="6147"/>
      <c r="CZ8" s="6147"/>
      <c r="DA8" s="6147"/>
      <c r="DB8" s="6147"/>
      <c r="DC8" s="6149"/>
      <c r="DD8" s="6147"/>
      <c r="DE8" s="6147"/>
      <c r="DF8" s="6147"/>
      <c r="DG8" s="6147"/>
      <c r="DH8" s="6149"/>
      <c r="DI8" s="6147"/>
      <c r="DJ8" s="6147"/>
      <c r="DK8" s="6147"/>
      <c r="DL8" s="6147"/>
      <c r="DM8" s="6149"/>
      <c r="DN8" s="6147"/>
      <c r="DO8" s="6147"/>
      <c r="DP8" s="6147"/>
      <c r="DQ8" s="6147"/>
      <c r="DR8" s="6149"/>
      <c r="DS8" s="6147"/>
      <c r="DT8" s="6147"/>
      <c r="DU8" s="6147"/>
      <c r="DV8" s="6147"/>
      <c r="DW8" s="6149"/>
      <c r="DX8" s="6146"/>
      <c r="DY8" s="6146"/>
      <c r="DZ8" s="6146"/>
      <c r="EA8" s="6146"/>
      <c r="EC8" s="1319"/>
      <c r="ED8" s="1319"/>
    </row>
    <row r="9" spans="1:154" s="45" customFormat="1" ht="11.25" customHeight="1">
      <c r="A9" s="1577" t="s">
        <v>86</v>
      </c>
      <c r="B9" s="875">
        <f>+IS!P36</f>
        <v>6.9850000000000119</v>
      </c>
      <c r="C9" s="877">
        <f>+IS!Q36</f>
        <v>7.9259999999999939</v>
      </c>
      <c r="D9" s="37">
        <f>+IS!R36</f>
        <v>16.593000000000011</v>
      </c>
      <c r="E9" s="37">
        <f>+IS!S36</f>
        <v>30.307000000000006</v>
      </c>
      <c r="F9" s="37">
        <f>+IS!T36</f>
        <v>44.829999999999991</v>
      </c>
      <c r="G9" s="875">
        <f>+IS!U36</f>
        <v>99.65600000000002</v>
      </c>
      <c r="H9" s="877">
        <f>IS!V36</f>
        <v>25.800000000000004</v>
      </c>
      <c r="I9" s="37">
        <f>IS!W36</f>
        <v>32.167999999999992</v>
      </c>
      <c r="J9" s="37">
        <f>IS!X36</f>
        <v>20.426000000000037</v>
      </c>
      <c r="K9" s="37">
        <f>IS!Y36</f>
        <v>27.253999999999955</v>
      </c>
      <c r="L9" s="875">
        <f>IS!Z36</f>
        <v>105.648</v>
      </c>
      <c r="M9" s="877">
        <f>IS!AA36</f>
        <v>63.973000000000042</v>
      </c>
      <c r="N9" s="37">
        <f>IS!AB36</f>
        <v>79.062999999999974</v>
      </c>
      <c r="O9" s="37">
        <f>IS!AC36</f>
        <v>51.982999999999983</v>
      </c>
      <c r="P9" s="37">
        <f>IS!AD36</f>
        <v>204.10000000000002</v>
      </c>
      <c r="Q9" s="875">
        <f>SUM(M9:P9)</f>
        <v>399.11900000000003</v>
      </c>
      <c r="R9" s="877">
        <f>IS!AF36</f>
        <v>369.1930000000001</v>
      </c>
      <c r="S9" s="37">
        <f>IS!AG36</f>
        <v>342.81399999999985</v>
      </c>
      <c r="T9" s="37">
        <f>IS!AH36</f>
        <v>381.18199999999996</v>
      </c>
      <c r="U9" s="37">
        <f>IS!AI36</f>
        <v>372.20799999999997</v>
      </c>
      <c r="V9" s="875">
        <f>IS!AJ36</f>
        <v>1465.3970000000002</v>
      </c>
      <c r="W9" s="877">
        <f>IS!AK36</f>
        <v>592.29100000000028</v>
      </c>
      <c r="X9" s="37">
        <f>1313.368-W9</f>
        <v>721.07699999999966</v>
      </c>
      <c r="Y9" s="37">
        <f>2046.729-X9-W9</f>
        <v>733.36100000000022</v>
      </c>
      <c r="Z9" s="37">
        <f>AA9-Y9-X9-W9</f>
        <v>1030.7169999999996</v>
      </c>
      <c r="AA9" s="878">
        <v>3077.4459999999999</v>
      </c>
      <c r="AB9" s="904">
        <v>1002.162</v>
      </c>
      <c r="AC9" s="43">
        <f>1927.282-AB9</f>
        <v>925.11999999999989</v>
      </c>
      <c r="AD9" s="43">
        <f>2997.271-AC9-AB9</f>
        <v>1069.9890000000003</v>
      </c>
      <c r="AE9" s="43">
        <f>AF9-AD9-AC9-AB9</f>
        <v>1206.4489999999998</v>
      </c>
      <c r="AF9" s="878">
        <v>4203.72</v>
      </c>
      <c r="AG9" s="904">
        <f>IS!AU36</f>
        <v>1307.086</v>
      </c>
      <c r="AH9" s="43">
        <f>IS!AV36</f>
        <v>1247.3910000000003</v>
      </c>
      <c r="AI9" s="43">
        <f>IS!AW36</f>
        <v>1289.9379999999996</v>
      </c>
      <c r="AJ9" s="43">
        <f>IS!AX36</f>
        <v>382.44200000000092</v>
      </c>
      <c r="AK9" s="878">
        <f>IS!AY36</f>
        <v>4226.8570000000009</v>
      </c>
      <c r="AL9" s="904">
        <f>IS!AZ36</f>
        <v>1422.8279999999997</v>
      </c>
      <c r="AM9" s="43">
        <f>IS!BA36</f>
        <v>1484.5449999999996</v>
      </c>
      <c r="AN9" s="43">
        <f>IS!BB36</f>
        <v>1638.9749999999997</v>
      </c>
      <c r="AO9" s="43">
        <f>IS!BC36</f>
        <v>1974.1000000000004</v>
      </c>
      <c r="AP9" s="878">
        <f>IS!BD36</f>
        <v>6520.4479999999985</v>
      </c>
      <c r="AQ9" s="904">
        <f>IS!BE36</f>
        <v>1955</v>
      </c>
      <c r="AR9" s="43">
        <f>IS!BF36</f>
        <v>1840</v>
      </c>
      <c r="AS9" s="43">
        <f>IS!BG36</f>
        <v>2167</v>
      </c>
      <c r="AT9" s="43">
        <f>IS!BH36</f>
        <v>2543</v>
      </c>
      <c r="AU9" s="878">
        <f>IS!BI36</f>
        <v>8505</v>
      </c>
      <c r="AV9" s="43">
        <f>IS!BJ36</f>
        <v>1798</v>
      </c>
      <c r="AW9" s="43">
        <f>IS!BK36</f>
        <v>2505</v>
      </c>
      <c r="AX9" s="43">
        <f>IS!BL36</f>
        <v>2729</v>
      </c>
      <c r="AY9" s="43">
        <f>IS!BM36</f>
        <v>2705</v>
      </c>
      <c r="AZ9" s="505">
        <f>IS!BN36</f>
        <v>9737</v>
      </c>
      <c r="BA9" s="43">
        <f>IS!BT36</f>
        <v>2890</v>
      </c>
      <c r="BB9" s="43">
        <f>IS!BU36</f>
        <v>3018</v>
      </c>
      <c r="BC9" s="43">
        <f>IS!BV36</f>
        <v>2703</v>
      </c>
      <c r="BD9" s="43">
        <f>IS!BW36</f>
        <v>2905</v>
      </c>
      <c r="BE9" s="664">
        <f t="shared" ref="BE9:BE16" si="0">SUM(BA9:BD9)</f>
        <v>11516</v>
      </c>
      <c r="BF9" s="537">
        <f>IS!CD36</f>
        <v>3346</v>
      </c>
      <c r="BG9" s="537">
        <f>IS!CE36</f>
        <v>3228</v>
      </c>
      <c r="BH9" s="537">
        <f>IS!CF36</f>
        <v>2970</v>
      </c>
      <c r="BI9" s="537">
        <f>IS!CG36</f>
        <v>3376</v>
      </c>
      <c r="BJ9" s="664">
        <f>SUM(BF9:BI9)</f>
        <v>12920</v>
      </c>
      <c r="BK9" s="665">
        <f>IS!CI36</f>
        <v>3370.6559999999999</v>
      </c>
      <c r="BL9" s="537">
        <f>IS!CJ36</f>
        <v>3352.2503999999999</v>
      </c>
      <c r="BM9" s="537">
        <f>IS!CK36</f>
        <v>2738.6059999999998</v>
      </c>
      <c r="BN9" s="537">
        <f>IS!CL36</f>
        <v>4674.6130000000003</v>
      </c>
      <c r="BO9" s="664">
        <f>SUM(BK9:BN9)</f>
        <v>14136.125400000001</v>
      </c>
      <c r="BP9" s="665">
        <f>IS!CN36</f>
        <v>3514.2332000000001</v>
      </c>
      <c r="BQ9" s="537">
        <f>IS!CO36</f>
        <v>3931</v>
      </c>
      <c r="BR9" s="537">
        <f>IS!CP36</f>
        <v>3979</v>
      </c>
      <c r="BS9" s="537">
        <f>IS!CQ36</f>
        <v>4923</v>
      </c>
      <c r="BT9" s="897">
        <f>SUM(BP9:BS9)</f>
        <v>16347.233200000001</v>
      </c>
      <c r="BU9" s="537">
        <f>IS!CS36</f>
        <v>4207</v>
      </c>
      <c r="BV9" s="537">
        <f>IS!CT36</f>
        <v>4877</v>
      </c>
      <c r="BW9" s="537">
        <f>IS!CU36</f>
        <v>5061</v>
      </c>
      <c r="BX9" s="537">
        <f>IS!CV36</f>
        <v>5333</v>
      </c>
      <c r="BY9" s="897">
        <f>SUM(BU9:BX9)</f>
        <v>19478</v>
      </c>
      <c r="BZ9" s="537">
        <f>IS!CX36</f>
        <v>5426</v>
      </c>
      <c r="CA9" s="537">
        <f>IS!CY36</f>
        <v>3524</v>
      </c>
      <c r="CB9" s="537">
        <f>IS!CZ36</f>
        <v>6732</v>
      </c>
      <c r="CC9" s="537">
        <f>IS!DA36</f>
        <v>-3020</v>
      </c>
      <c r="CD9" s="897">
        <f>IS!DB36</f>
        <v>12662</v>
      </c>
      <c r="CE9" s="537">
        <f>IS!DC36</f>
        <v>9401</v>
      </c>
      <c r="CF9" s="537">
        <f>IS!DD36</f>
        <v>3195</v>
      </c>
      <c r="CG9" s="537">
        <f>IS!DE36</f>
        <v>9192</v>
      </c>
      <c r="CH9" s="537">
        <f>IS!DF36</f>
        <v>8948</v>
      </c>
      <c r="CI9" s="897">
        <f>IS!DG36</f>
        <v>30736</v>
      </c>
      <c r="CJ9" s="537">
        <f>IS!DH36</f>
        <v>6657</v>
      </c>
      <c r="CK9" s="537">
        <f>IS!DI36</f>
        <v>9947</v>
      </c>
      <c r="CL9" s="537">
        <f>IS!DJ36</f>
        <v>7068</v>
      </c>
      <c r="CM9" s="537">
        <f>IS!DK36</f>
        <v>10671</v>
      </c>
      <c r="CN9" s="897">
        <f>IS!DL36</f>
        <v>34343</v>
      </c>
      <c r="CO9" s="537">
        <f>IS!DM36</f>
        <v>6836</v>
      </c>
      <c r="CP9" s="537">
        <f>IS!DN36</f>
        <v>6959</v>
      </c>
      <c r="CQ9" s="537">
        <f>IS!DO36</f>
        <v>11247</v>
      </c>
      <c r="CR9" s="537">
        <f>IS!DP36</f>
        <v>15227</v>
      </c>
      <c r="CS9" s="897">
        <f>IS!DQ36</f>
        <v>40269</v>
      </c>
      <c r="CT9" s="537">
        <f>IS!DR36</f>
        <v>17930</v>
      </c>
      <c r="CU9" s="537">
        <f>IS!DS36</f>
        <v>18525</v>
      </c>
      <c r="CV9" s="537">
        <f>IS!DT36</f>
        <v>18936</v>
      </c>
      <c r="CW9" s="537">
        <f>IS!DU36</f>
        <v>20642</v>
      </c>
      <c r="CX9" s="897">
        <f>IS!DV36</f>
        <v>76033</v>
      </c>
      <c r="CY9" s="537">
        <f>IS!DW36</f>
        <v>16436</v>
      </c>
      <c r="CZ9" s="537">
        <f>IS!DX36</f>
        <v>16002</v>
      </c>
      <c r="DA9" s="537">
        <f>IS!DY36</f>
        <v>13910</v>
      </c>
      <c r="DB9" s="537">
        <f>IS!DZ36</f>
        <v>13624</v>
      </c>
      <c r="DC9" s="897">
        <f>IS!EA36</f>
        <v>59972</v>
      </c>
      <c r="DD9" s="537">
        <f>IS!EB36</f>
        <v>15051</v>
      </c>
      <c r="DE9" s="537">
        <f>IS!EC36</f>
        <v>18368</v>
      </c>
      <c r="DF9" s="537">
        <f>IS!ED36</f>
        <v>19689</v>
      </c>
      <c r="DG9" s="537">
        <f>IS!EE36</f>
        <v>20687</v>
      </c>
      <c r="DH9" s="897">
        <f>IS!EF36</f>
        <v>73795</v>
      </c>
      <c r="DI9" s="537">
        <f>IS!EG36</f>
        <v>23662</v>
      </c>
      <c r="DJ9" s="537">
        <f>IS!EH36</f>
        <v>23619</v>
      </c>
      <c r="DK9" s="537">
        <f>IS!EI36</f>
        <v>26301</v>
      </c>
      <c r="DL9" s="537">
        <f>IS!EJ36</f>
        <v>26536</v>
      </c>
      <c r="DM9" s="897">
        <f>IS!EK36</f>
        <v>100118</v>
      </c>
      <c r="DN9" s="537">
        <f>IS!EL36</f>
        <v>34540</v>
      </c>
      <c r="DO9" s="537">
        <f>IS!EM36</f>
        <v>28196</v>
      </c>
      <c r="DP9" s="537">
        <f>IS!EN36</f>
        <v>34979</v>
      </c>
      <c r="DQ9" s="537">
        <f ca="1">IS!EO36</f>
        <v>31780.808062477692</v>
      </c>
      <c r="DR9" s="897">
        <f ca="1">IS!EP36</f>
        <v>129495.80806247771</v>
      </c>
      <c r="DS9" s="537">
        <f ca="1">IS!EQ36</f>
        <v>31591.327810553536</v>
      </c>
      <c r="DT9" s="537">
        <f ca="1">IS!ER36</f>
        <v>32998.00399984001</v>
      </c>
      <c r="DU9" s="537">
        <f ca="1">IS!ES36</f>
        <v>33902.076029746226</v>
      </c>
      <c r="DV9" s="537">
        <f ca="1">IS!ET36</f>
        <v>36794.203870945021</v>
      </c>
      <c r="DW9" s="897">
        <f ca="1">IS!EU36</f>
        <v>135285.61171108478</v>
      </c>
      <c r="DX9" s="897">
        <f ca="1">IS!EV36</f>
        <v>150579.13356022601</v>
      </c>
      <c r="DY9" s="897">
        <f ca="1">IS!EW36</f>
        <v>170831.20794115632</v>
      </c>
      <c r="DZ9" s="897">
        <f ca="1">IS!EX36</f>
        <v>193292.87449974922</v>
      </c>
      <c r="EA9" s="897">
        <f ca="1">IS!EY36</f>
        <v>219353.87543318333</v>
      </c>
      <c r="EC9" s="1319">
        <f ca="1">(DX9/DM9)^(1/3)-1</f>
        <v>0.14573507740331104</v>
      </c>
      <c r="ED9" s="1319">
        <f ca="1">(DZ9/DM9)^(1/5)-1</f>
        <v>0.1406193525205941</v>
      </c>
      <c r="EE9" s="514"/>
    </row>
    <row r="10" spans="1:154" s="45" customFormat="1" ht="11.25" customHeight="1">
      <c r="A10" s="1578" t="s">
        <v>87</v>
      </c>
      <c r="B10" s="875"/>
      <c r="C10" s="877"/>
      <c r="D10" s="37"/>
      <c r="E10" s="37"/>
      <c r="F10" s="37"/>
      <c r="G10" s="875"/>
      <c r="H10" s="877"/>
      <c r="I10" s="37"/>
      <c r="J10" s="37"/>
      <c r="K10" s="37"/>
      <c r="L10" s="875"/>
      <c r="M10" s="877"/>
      <c r="N10" s="37"/>
      <c r="O10" s="37"/>
      <c r="P10" s="37"/>
      <c r="Q10" s="875"/>
      <c r="R10" s="877"/>
      <c r="S10" s="37"/>
      <c r="T10" s="37"/>
      <c r="U10" s="37"/>
      <c r="V10" s="875"/>
      <c r="W10" s="877"/>
      <c r="X10" s="37"/>
      <c r="Y10" s="37"/>
      <c r="Z10" s="38"/>
      <c r="AA10" s="878"/>
      <c r="AB10" s="905"/>
      <c r="AC10" s="313"/>
      <c r="AD10" s="313"/>
      <c r="AE10" s="40"/>
      <c r="AF10" s="878"/>
      <c r="AG10" s="906"/>
      <c r="AH10" s="127"/>
      <c r="AI10" s="127"/>
      <c r="AJ10" s="127"/>
      <c r="AK10" s="907"/>
      <c r="AL10" s="127"/>
      <c r="AM10" s="127"/>
      <c r="AN10" s="127"/>
      <c r="AO10" s="127"/>
      <c r="AP10" s="907"/>
      <c r="AQ10" s="124"/>
      <c r="AR10" s="124"/>
      <c r="AS10" s="124"/>
      <c r="AT10" s="40"/>
      <c r="AU10" s="908"/>
      <c r="AV10" s="43"/>
      <c r="AW10" s="43"/>
      <c r="AX10" s="43"/>
      <c r="AY10" s="43"/>
      <c r="AZ10" s="506"/>
      <c r="BA10" s="43"/>
      <c r="BB10" s="43"/>
      <c r="BC10" s="43"/>
      <c r="BD10" s="43"/>
      <c r="BE10" s="664"/>
      <c r="BF10" s="537"/>
      <c r="BG10" s="537"/>
      <c r="BH10" s="537"/>
      <c r="BI10" s="537"/>
      <c r="BJ10" s="664"/>
      <c r="BK10" s="665"/>
      <c r="BL10" s="537"/>
      <c r="BM10" s="537"/>
      <c r="BN10" s="537"/>
      <c r="BO10" s="664"/>
      <c r="BP10" s="665"/>
      <c r="BQ10" s="537"/>
      <c r="BR10" s="537"/>
      <c r="BS10" s="537"/>
      <c r="BT10" s="897"/>
      <c r="BU10" s="537"/>
      <c r="BV10" s="537"/>
      <c r="BW10" s="537"/>
      <c r="BX10" s="537"/>
      <c r="BY10" s="897"/>
      <c r="BZ10" s="537"/>
      <c r="CA10" s="537"/>
      <c r="CB10" s="537"/>
      <c r="CC10" s="537"/>
      <c r="CD10" s="897"/>
      <c r="CE10" s="537"/>
      <c r="CF10" s="537"/>
      <c r="CG10" s="537"/>
      <c r="CH10" s="537"/>
      <c r="CI10" s="897"/>
      <c r="CJ10" s="537"/>
      <c r="CK10" s="537"/>
      <c r="CL10" s="537"/>
      <c r="CM10" s="537"/>
      <c r="CN10" s="897"/>
      <c r="CO10" s="537"/>
      <c r="CP10" s="537"/>
      <c r="CQ10" s="537"/>
      <c r="CR10" s="537"/>
      <c r="CS10" s="897"/>
      <c r="CT10" s="537"/>
      <c r="CU10" s="537"/>
      <c r="CV10" s="537"/>
      <c r="CW10" s="537"/>
      <c r="CX10" s="897"/>
      <c r="CY10" s="537"/>
      <c r="CZ10" s="537"/>
      <c r="DA10" s="537"/>
      <c r="DB10" s="537"/>
      <c r="DC10" s="897"/>
      <c r="DD10" s="537"/>
      <c r="DE10" s="537"/>
      <c r="DF10" s="537"/>
      <c r="DG10" s="537"/>
      <c r="DH10" s="897"/>
      <c r="DI10" s="537"/>
      <c r="DJ10" s="537"/>
      <c r="DK10" s="537"/>
      <c r="DL10" s="537"/>
      <c r="DM10" s="897"/>
      <c r="DN10" s="537"/>
      <c r="DO10" s="537"/>
      <c r="DP10" s="537"/>
      <c r="DQ10" s="537"/>
      <c r="DR10" s="897"/>
      <c r="DS10" s="537"/>
      <c r="DT10" s="537"/>
      <c r="DU10" s="537"/>
      <c r="DV10" s="537"/>
      <c r="DW10" s="897"/>
      <c r="DX10" s="897"/>
      <c r="DY10" s="897"/>
      <c r="DZ10" s="897"/>
      <c r="EA10" s="897"/>
      <c r="EC10" s="4320"/>
      <c r="ED10" s="4320"/>
      <c r="EE10" s="514"/>
    </row>
    <row r="11" spans="1:154" s="45" customFormat="1" ht="11.25" customHeight="1">
      <c r="A11" s="1577" t="s">
        <v>1151</v>
      </c>
      <c r="B11" s="875">
        <v>9.8309999999999995</v>
      </c>
      <c r="C11" s="876"/>
      <c r="D11" s="95">
        <f>-C11</f>
        <v>0</v>
      </c>
      <c r="E11" s="95">
        <f>-D11-C11</f>
        <v>0</v>
      </c>
      <c r="F11" s="95">
        <f t="shared" ref="F11:F18" si="1">G11-E11-D11-C11</f>
        <v>17.815000000000001</v>
      </c>
      <c r="G11" s="875">
        <v>17.815000000000001</v>
      </c>
      <c r="H11" s="877">
        <v>6.9770000000000003</v>
      </c>
      <c r="I11" s="77">
        <f>15.885-H11</f>
        <v>8.9079999999999995</v>
      </c>
      <c r="J11" s="77">
        <f>28.203-I11-H11</f>
        <v>12.318000000000001</v>
      </c>
      <c r="K11" s="77">
        <f t="shared" ref="K11:K18" si="2">L11-J11-I11-H11</f>
        <v>15.648</v>
      </c>
      <c r="L11" s="875">
        <v>43.850999999999999</v>
      </c>
      <c r="M11" s="877">
        <v>21.286000000000001</v>
      </c>
      <c r="N11" s="77">
        <f>49.824-M11</f>
        <v>28.537999999999997</v>
      </c>
      <c r="O11" s="37">
        <f>85.62-N11-M11</f>
        <v>35.796000000000006</v>
      </c>
      <c r="P11" s="77">
        <f t="shared" ref="P11:P17" si="3">Q11-O11-N11-M11</f>
        <v>42.902999999999992</v>
      </c>
      <c r="Q11" s="875">
        <v>128.523</v>
      </c>
      <c r="R11" s="877">
        <v>46.478000000000002</v>
      </c>
      <c r="S11" s="37">
        <f>103.445-R11</f>
        <v>56.966999999999992</v>
      </c>
      <c r="T11" s="37">
        <f>171.107-S11-R11</f>
        <v>67.662000000000006</v>
      </c>
      <c r="U11" s="77">
        <f>V11-T11-S11-R11</f>
        <v>85.705000000000013</v>
      </c>
      <c r="V11" s="875">
        <v>256.81200000000001</v>
      </c>
      <c r="W11" s="877">
        <v>95.867999999999995</v>
      </c>
      <c r="X11" s="37">
        <f>206.079-W11</f>
        <v>110.21100000000001</v>
      </c>
      <c r="Y11" s="37">
        <f>335.629-X11-W11</f>
        <v>129.55000000000001</v>
      </c>
      <c r="Z11" s="37">
        <f t="shared" ref="Z11:Z17" si="4">AA11-Y11-X11-W11</f>
        <v>158.80099999999999</v>
      </c>
      <c r="AA11" s="878">
        <v>494.43</v>
      </c>
      <c r="AB11" s="904">
        <v>170.28899999999999</v>
      </c>
      <c r="AC11" s="43">
        <f>358.426-AB11</f>
        <v>188.137</v>
      </c>
      <c r="AD11" s="43">
        <f>565.841-AC11-AB11</f>
        <v>207.41500000000002</v>
      </c>
      <c r="AE11" s="43">
        <f t="shared" ref="AE11:AE17" si="5">AF11-AD11-AC11-AB11</f>
        <v>241.90199999999999</v>
      </c>
      <c r="AF11" s="878">
        <v>807.74300000000005</v>
      </c>
      <c r="AG11" s="904">
        <v>280.56400000000002</v>
      </c>
      <c r="AH11" s="43">
        <v>308.71600000000001</v>
      </c>
      <c r="AI11" s="43">
        <f>898.762-AH11-AG11</f>
        <v>309.48199999999991</v>
      </c>
      <c r="AJ11" s="43">
        <v>313.47500000000002</v>
      </c>
      <c r="AK11" s="878">
        <f t="shared" ref="AK11:AK18" si="6">SUM(AG11:AJ11)</f>
        <v>1212.2370000000001</v>
      </c>
      <c r="AL11" s="904">
        <v>321.12900000000002</v>
      </c>
      <c r="AM11" s="42">
        <f>310.982</f>
        <v>310.98200000000003</v>
      </c>
      <c r="AN11" s="43">
        <v>311.10199999999998</v>
      </c>
      <c r="AO11" s="43">
        <v>296.81700000000001</v>
      </c>
      <c r="AP11" s="878">
        <f t="shared" ref="AP11:AP18" si="7">SUM(AL11:AO11)</f>
        <v>1240.0300000000002</v>
      </c>
      <c r="AQ11" s="909">
        <v>264</v>
      </c>
      <c r="AR11" s="65">
        <v>266</v>
      </c>
      <c r="AS11" s="65">
        <v>257</v>
      </c>
      <c r="AT11" s="65">
        <v>280</v>
      </c>
      <c r="AU11" s="880">
        <f t="shared" ref="AU11:AU18" si="8">SUM(AQ11:AT11)</f>
        <v>1067</v>
      </c>
      <c r="AV11" s="65">
        <v>301</v>
      </c>
      <c r="AW11" s="65">
        <v>347</v>
      </c>
      <c r="AX11" s="65">
        <v>363</v>
      </c>
      <c r="AY11" s="65">
        <v>385</v>
      </c>
      <c r="AZ11" s="502">
        <f t="shared" ref="AZ11:AZ18" si="9">SUM(AV11:AY11)</f>
        <v>1396</v>
      </c>
      <c r="BA11" s="65">
        <v>378</v>
      </c>
      <c r="BB11" s="65">
        <v>473</v>
      </c>
      <c r="BC11" s="65">
        <v>507</v>
      </c>
      <c r="BD11" s="65">
        <v>630</v>
      </c>
      <c r="BE11" s="666">
        <f t="shared" si="0"/>
        <v>1988</v>
      </c>
      <c r="BF11" s="656">
        <v>584</v>
      </c>
      <c r="BG11" s="656">
        <v>747</v>
      </c>
      <c r="BH11" s="656">
        <v>693</v>
      </c>
      <c r="BI11" s="656">
        <v>757</v>
      </c>
      <c r="BJ11" s="666">
        <f t="shared" ref="BJ11:BJ18" si="10">SUM(BF11:BI11)</f>
        <v>2781</v>
      </c>
      <c r="BK11" s="667">
        <v>816</v>
      </c>
      <c r="BL11" s="656">
        <v>813</v>
      </c>
      <c r="BM11" s="656">
        <v>884</v>
      </c>
      <c r="BN11" s="656">
        <v>1010</v>
      </c>
      <c r="BO11" s="666">
        <f t="shared" ref="BO11:BO18" si="11">SUM(BK11:BN11)</f>
        <v>3523</v>
      </c>
      <c r="BP11" s="667">
        <v>938</v>
      </c>
      <c r="BQ11" s="656">
        <v>1011</v>
      </c>
      <c r="BR11" s="656">
        <v>1030</v>
      </c>
      <c r="BS11" s="656">
        <v>1153</v>
      </c>
      <c r="BT11" s="869">
        <f>SUM(BP11:BS11)</f>
        <v>4132</v>
      </c>
      <c r="BU11" s="821">
        <v>1155</v>
      </c>
      <c r="BV11" s="656">
        <v>1271</v>
      </c>
      <c r="BW11" s="656">
        <v>1377</v>
      </c>
      <c r="BX11" s="656">
        <v>1464</v>
      </c>
      <c r="BY11" s="869">
        <f>SUM(BU11:BX11)</f>
        <v>5267</v>
      </c>
      <c r="BZ11" s="656">
        <v>1287</v>
      </c>
      <c r="CA11" s="656">
        <v>1424</v>
      </c>
      <c r="CB11" s="656">
        <v>1561</v>
      </c>
      <c r="CC11" s="656">
        <v>1831</v>
      </c>
      <c r="CD11" s="869">
        <f t="shared" ref="CD11:CD17" si="12">SUM(BZ11:CC11)</f>
        <v>6103</v>
      </c>
      <c r="CE11" s="656">
        <v>1791</v>
      </c>
      <c r="CF11" s="656">
        <v>1862</v>
      </c>
      <c r="CG11" s="656">
        <v>2138</v>
      </c>
      <c r="CH11" s="656">
        <v>2373</v>
      </c>
      <c r="CI11" s="869">
        <f t="shared" ref="CI11:CI17" si="13">SUM(CE11:CH11)</f>
        <v>8164</v>
      </c>
      <c r="CJ11" s="656">
        <v>2416</v>
      </c>
      <c r="CK11" s="656">
        <v>2626</v>
      </c>
      <c r="CL11" s="656">
        <v>2732</v>
      </c>
      <c r="CM11" s="656">
        <v>3082</v>
      </c>
      <c r="CN11" s="869">
        <f t="shared" ref="CN11:CN17" si="14">SUM(CJ11:CM11)</f>
        <v>10856</v>
      </c>
      <c r="CO11" s="656">
        <v>2899</v>
      </c>
      <c r="CP11" s="656">
        <v>3178</v>
      </c>
      <c r="CQ11" s="656">
        <v>3289</v>
      </c>
      <c r="CR11" s="656">
        <v>3539</v>
      </c>
      <c r="CS11" s="869">
        <f t="shared" ref="CS11:CS17" si="15">SUM(CO11:CR11)</f>
        <v>12905</v>
      </c>
      <c r="CT11" s="656">
        <v>2525</v>
      </c>
      <c r="CU11" s="656">
        <v>2730</v>
      </c>
      <c r="CV11" s="656">
        <v>3085</v>
      </c>
      <c r="CW11" s="656">
        <v>3215</v>
      </c>
      <c r="CX11" s="869">
        <f t="shared" ref="CX11:CX17" si="16">SUM(CT11:CW11)</f>
        <v>11555</v>
      </c>
      <c r="CY11" s="656">
        <v>3591</v>
      </c>
      <c r="CZ11" s="656">
        <v>3698</v>
      </c>
      <c r="DA11" s="656">
        <v>3933</v>
      </c>
      <c r="DB11" s="656">
        <v>4065</v>
      </c>
      <c r="DC11" s="869">
        <f t="shared" ref="DC11:DC17" si="17">SUM(CY11:DB11)</f>
        <v>15287</v>
      </c>
      <c r="DD11" s="656">
        <v>3060</v>
      </c>
      <c r="DE11" s="656">
        <v>3279</v>
      </c>
      <c r="DF11" s="656">
        <v>3671</v>
      </c>
      <c r="DG11" s="656">
        <v>3316</v>
      </c>
      <c r="DH11" s="869">
        <f t="shared" ref="DH11:DH17" si="18">SUM(DD11:DG11)</f>
        <v>13326</v>
      </c>
      <c r="DI11" s="656">
        <v>3413</v>
      </c>
      <c r="DJ11" s="656">
        <v>3708</v>
      </c>
      <c r="DK11" s="656">
        <v>3985</v>
      </c>
      <c r="DL11" s="656">
        <v>4205</v>
      </c>
      <c r="DM11" s="869">
        <f t="shared" ref="DM11:DM17" si="19">SUM(DI11:DL11)</f>
        <v>15311</v>
      </c>
      <c r="DN11" s="656">
        <v>4487</v>
      </c>
      <c r="DO11" s="656">
        <v>4998</v>
      </c>
      <c r="DP11" s="656">
        <v>5611</v>
      </c>
      <c r="DQ11" s="668">
        <f>BS!DQ169</f>
        <v>6431.1984855239371</v>
      </c>
      <c r="DR11" s="869">
        <f t="shared" ref="DR11:DR17" si="20">SUM(DN11:DQ11)</f>
        <v>21527.198485523935</v>
      </c>
      <c r="DS11" s="668">
        <f>BS!DS169</f>
        <v>7543.0175868472752</v>
      </c>
      <c r="DT11" s="668">
        <f>BS!DT169</f>
        <v>8704.7394857421259</v>
      </c>
      <c r="DU11" s="668">
        <f>BS!DU169</f>
        <v>9655.6616607666801</v>
      </c>
      <c r="DV11" s="668">
        <f>BS!DV169</f>
        <v>10952.730531828231</v>
      </c>
      <c r="DW11" s="869">
        <f t="shared" ref="DW11:DW17" si="21">SUM(DS11:DV11)</f>
        <v>36856.149265184315</v>
      </c>
      <c r="DX11" s="1276">
        <f>BS!DX169</f>
        <v>50659.248314131044</v>
      </c>
      <c r="DY11" s="1276">
        <f>BS!DY169</f>
        <v>57068.22852048988</v>
      </c>
      <c r="DZ11" s="1276">
        <f>BS!DZ169</f>
        <v>61724.46939251446</v>
      </c>
      <c r="EA11" s="1276">
        <f>BS!EA169</f>
        <v>66276.088078338158</v>
      </c>
      <c r="EC11" s="4320"/>
      <c r="ED11" s="4320"/>
      <c r="EE11" s="514"/>
    </row>
    <row r="12" spans="1:154" s="45" customFormat="1" ht="11.25" hidden="1" customHeight="1" outlineLevel="1">
      <c r="A12" s="1577" t="s">
        <v>190</v>
      </c>
      <c r="B12" s="875">
        <v>4.157</v>
      </c>
      <c r="C12" s="876"/>
      <c r="D12" s="95">
        <f>-C12</f>
        <v>0</v>
      </c>
      <c r="E12" s="95">
        <f>-D12-C12</f>
        <v>0</v>
      </c>
      <c r="F12" s="95">
        <f t="shared" si="1"/>
        <v>10.952999999999999</v>
      </c>
      <c r="G12" s="875">
        <v>10.952999999999999</v>
      </c>
      <c r="H12" s="877">
        <v>3.5219999999999998</v>
      </c>
      <c r="I12" s="77">
        <f>4.732-H12</f>
        <v>1.2100000000000004</v>
      </c>
      <c r="J12" s="77">
        <f>4.8-I12-H12</f>
        <v>6.7999999999999616E-2</v>
      </c>
      <c r="K12" s="214">
        <f t="shared" si="2"/>
        <v>6.4000000000000057E-2</v>
      </c>
      <c r="L12" s="875">
        <v>4.8639999999999999</v>
      </c>
      <c r="M12" s="910">
        <v>0.03</v>
      </c>
      <c r="N12" s="314">
        <f>0.062-M12</f>
        <v>3.2000000000000001E-2</v>
      </c>
      <c r="O12" s="315">
        <v>0</v>
      </c>
      <c r="P12" s="214">
        <f t="shared" si="3"/>
        <v>-6.2E-2</v>
      </c>
      <c r="Q12" s="911">
        <v>0</v>
      </c>
      <c r="R12" s="912">
        <v>0</v>
      </c>
      <c r="S12" s="317">
        <f>0-R12</f>
        <v>0</v>
      </c>
      <c r="T12" s="317">
        <v>0</v>
      </c>
      <c r="U12" s="214">
        <f t="shared" ref="U12:U17" si="22">V12-T12-S12-R12</f>
        <v>0</v>
      </c>
      <c r="V12" s="913">
        <v>0</v>
      </c>
      <c r="W12" s="912">
        <v>0</v>
      </c>
      <c r="X12" s="317">
        <v>0</v>
      </c>
      <c r="Y12" s="317">
        <v>0</v>
      </c>
      <c r="Z12" s="62">
        <f t="shared" si="4"/>
        <v>0</v>
      </c>
      <c r="AA12" s="914">
        <v>0</v>
      </c>
      <c r="AB12" s="915"/>
      <c r="AC12" s="97">
        <v>0</v>
      </c>
      <c r="AD12" s="73">
        <v>0</v>
      </c>
      <c r="AE12" s="47">
        <f t="shared" si="5"/>
        <v>0</v>
      </c>
      <c r="AF12" s="914">
        <v>0</v>
      </c>
      <c r="AG12" s="915">
        <v>0</v>
      </c>
      <c r="AH12" s="97">
        <v>0</v>
      </c>
      <c r="AI12" s="73">
        <v>0</v>
      </c>
      <c r="AJ12" s="97">
        <v>0</v>
      </c>
      <c r="AK12" s="916">
        <f>SUM(AG12:AJ12)</f>
        <v>0</v>
      </c>
      <c r="AL12" s="915">
        <v>0</v>
      </c>
      <c r="AM12" s="97">
        <v>0</v>
      </c>
      <c r="AN12" s="73">
        <v>0</v>
      </c>
      <c r="AO12" s="97">
        <v>0</v>
      </c>
      <c r="AP12" s="916">
        <f t="shared" si="7"/>
        <v>0</v>
      </c>
      <c r="AQ12" s="917">
        <v>0</v>
      </c>
      <c r="AR12" s="83">
        <v>0</v>
      </c>
      <c r="AS12" s="83">
        <v>0</v>
      </c>
      <c r="AT12" s="83">
        <v>0</v>
      </c>
      <c r="AU12" s="918">
        <f t="shared" si="8"/>
        <v>0</v>
      </c>
      <c r="AV12" s="83">
        <v>0</v>
      </c>
      <c r="AW12" s="83">
        <v>0</v>
      </c>
      <c r="AX12" s="83">
        <v>0</v>
      </c>
      <c r="AY12" s="83">
        <v>0</v>
      </c>
      <c r="AZ12" s="504">
        <f t="shared" si="9"/>
        <v>0</v>
      </c>
      <c r="BA12" s="83">
        <v>0</v>
      </c>
      <c r="BB12" s="83">
        <v>0</v>
      </c>
      <c r="BC12" s="98">
        <v>0</v>
      </c>
      <c r="BD12" s="98">
        <v>0</v>
      </c>
      <c r="BE12" s="509">
        <f>SUM(BA12:BD12)</f>
        <v>0</v>
      </c>
      <c r="BF12" s="83">
        <v>0</v>
      </c>
      <c r="BG12" s="83">
        <v>0</v>
      </c>
      <c r="BH12" s="98">
        <v>0</v>
      </c>
      <c r="BI12" s="98">
        <v>0</v>
      </c>
      <c r="BJ12" s="509">
        <f t="shared" si="10"/>
        <v>0</v>
      </c>
      <c r="BK12" s="571">
        <v>0</v>
      </c>
      <c r="BL12" s="83">
        <v>0</v>
      </c>
      <c r="BM12" s="98">
        <v>0</v>
      </c>
      <c r="BN12" s="98">
        <v>0</v>
      </c>
      <c r="BO12" s="509">
        <f t="shared" si="11"/>
        <v>0</v>
      </c>
      <c r="BP12" s="1379">
        <v>0</v>
      </c>
      <c r="BQ12" s="83">
        <v>0</v>
      </c>
      <c r="BR12" s="98">
        <v>0</v>
      </c>
      <c r="BS12" s="98">
        <v>0</v>
      </c>
      <c r="BT12" s="872">
        <v>0</v>
      </c>
      <c r="BU12" s="98">
        <v>0</v>
      </c>
      <c r="BV12" s="83">
        <v>0</v>
      </c>
      <c r="BW12" s="98">
        <v>0</v>
      </c>
      <c r="BX12" s="98">
        <v>0</v>
      </c>
      <c r="BY12" s="870">
        <f>SUM(BU12:BX12)</f>
        <v>0</v>
      </c>
      <c r="BZ12" s="712"/>
      <c r="CA12" s="712"/>
      <c r="CB12" s="712"/>
      <c r="CC12" s="712"/>
      <c r="CD12" s="870">
        <f t="shared" si="12"/>
        <v>0</v>
      </c>
      <c r="CE12" s="712"/>
      <c r="CF12" s="712"/>
      <c r="CG12" s="712"/>
      <c r="CH12" s="712"/>
      <c r="CI12" s="870">
        <f t="shared" si="13"/>
        <v>0</v>
      </c>
      <c r="CJ12" s="712"/>
      <c r="CK12" s="712"/>
      <c r="CL12" s="712"/>
      <c r="CM12" s="712"/>
      <c r="CN12" s="899">
        <f t="shared" si="14"/>
        <v>0</v>
      </c>
      <c r="CO12" s="5015"/>
      <c r="CP12" s="5015"/>
      <c r="CQ12" s="5015"/>
      <c r="CR12" s="5015"/>
      <c r="CS12" s="899">
        <f t="shared" si="15"/>
        <v>0</v>
      </c>
      <c r="CT12" s="5015"/>
      <c r="CU12" s="5015"/>
      <c r="CV12" s="5015"/>
      <c r="CW12" s="5015"/>
      <c r="CX12" s="899">
        <f t="shared" si="16"/>
        <v>0</v>
      </c>
      <c r="CY12" s="5015"/>
      <c r="CZ12" s="5015"/>
      <c r="DA12" s="5015"/>
      <c r="DB12" s="5015"/>
      <c r="DC12" s="899">
        <f t="shared" si="17"/>
        <v>0</v>
      </c>
      <c r="DD12" s="5015"/>
      <c r="DE12" s="5015"/>
      <c r="DF12" s="5015"/>
      <c r="DG12" s="5015"/>
      <c r="DH12" s="899">
        <f t="shared" si="18"/>
        <v>0</v>
      </c>
      <c r="DI12" s="5015"/>
      <c r="DJ12" s="5015"/>
      <c r="DK12" s="5015"/>
      <c r="DL12" s="5015"/>
      <c r="DM12" s="899">
        <f t="shared" si="19"/>
        <v>0</v>
      </c>
      <c r="DN12" s="5015"/>
      <c r="DO12" s="5015"/>
      <c r="DP12" s="5015"/>
      <c r="DQ12" s="5015"/>
      <c r="DR12" s="899">
        <f t="shared" si="20"/>
        <v>0</v>
      </c>
      <c r="DS12" s="5015"/>
      <c r="DT12" s="5015"/>
      <c r="DU12" s="5015"/>
      <c r="DV12" s="5015"/>
      <c r="DW12" s="899">
        <f t="shared" si="21"/>
        <v>0</v>
      </c>
      <c r="DX12" s="5043"/>
      <c r="DY12" s="5043"/>
      <c r="DZ12" s="5043"/>
      <c r="EA12" s="5043"/>
      <c r="EC12" s="4320"/>
      <c r="ED12" s="4320"/>
      <c r="EE12" s="514"/>
    </row>
    <row r="13" spans="1:154" s="45" customFormat="1" ht="11.25" customHeight="1" collapsed="1">
      <c r="A13" s="1577" t="s">
        <v>146</v>
      </c>
      <c r="B13" s="919">
        <v>0.19400000000000001</v>
      </c>
      <c r="C13" s="876"/>
      <c r="D13" s="95">
        <f>-C13</f>
        <v>0</v>
      </c>
      <c r="E13" s="95">
        <f>-D13-C13</f>
        <v>0</v>
      </c>
      <c r="F13" s="318">
        <f t="shared" si="1"/>
        <v>0.215</v>
      </c>
      <c r="G13" s="875">
        <v>0.215</v>
      </c>
      <c r="H13" s="877">
        <v>0.19500000000000001</v>
      </c>
      <c r="I13" s="77">
        <f>2.114-H13</f>
        <v>1.9189999999999998</v>
      </c>
      <c r="J13" s="77">
        <f>8.975-J12-I12-H12-I13-H13</f>
        <v>2.0609999999999995</v>
      </c>
      <c r="K13" s="77">
        <f t="shared" si="2"/>
        <v>2.1590000000000003</v>
      </c>
      <c r="L13" s="875">
        <v>6.3339999999999996</v>
      </c>
      <c r="M13" s="877">
        <v>2.359</v>
      </c>
      <c r="N13" s="77">
        <f>4.801-M13</f>
        <v>2.4420000000000002</v>
      </c>
      <c r="O13" s="37">
        <f>10.393-N13-M13-N12-M12</f>
        <v>5.53</v>
      </c>
      <c r="P13" s="77">
        <f t="shared" si="3"/>
        <v>9.618999999999998</v>
      </c>
      <c r="Q13" s="920">
        <v>19.95</v>
      </c>
      <c r="R13" s="921">
        <v>9.7149999999999999</v>
      </c>
      <c r="S13" s="319">
        <f>19.677-R13</f>
        <v>9.9619999999999997</v>
      </c>
      <c r="T13" s="319">
        <f>27.98-S13-R13</f>
        <v>8.3030000000000008</v>
      </c>
      <c r="U13" s="77">
        <f t="shared" si="22"/>
        <v>9.02</v>
      </c>
      <c r="V13" s="920">
        <v>37</v>
      </c>
      <c r="W13" s="921">
        <v>15.29</v>
      </c>
      <c r="X13" s="319">
        <f>31.3-W13</f>
        <v>16.010000000000002</v>
      </c>
      <c r="Y13" s="319">
        <f>47.06-X13-W13</f>
        <v>15.760000000000002</v>
      </c>
      <c r="Z13" s="37">
        <f t="shared" si="4"/>
        <v>30.448999999999991</v>
      </c>
      <c r="AA13" s="922">
        <v>77.509</v>
      </c>
      <c r="AB13" s="923">
        <v>34.700000000000003</v>
      </c>
      <c r="AC13" s="320">
        <f>69.921-AB13</f>
        <v>35.221000000000004</v>
      </c>
      <c r="AD13" s="320">
        <f>111.881-AC13-AB13</f>
        <v>41.959999999999994</v>
      </c>
      <c r="AE13" s="43">
        <f t="shared" si="5"/>
        <v>48.033999999999992</v>
      </c>
      <c r="AF13" s="922">
        <v>159.91499999999999</v>
      </c>
      <c r="AG13" s="923">
        <v>55.96</v>
      </c>
      <c r="AH13" s="321">
        <v>82.891000000000005</v>
      </c>
      <c r="AI13" s="320">
        <f>215.615-AH13-AG13</f>
        <v>76.763999999999982</v>
      </c>
      <c r="AJ13" s="322">
        <v>72.034999999999997</v>
      </c>
      <c r="AK13" s="878">
        <f t="shared" si="6"/>
        <v>287.64999999999998</v>
      </c>
      <c r="AL13" s="923">
        <v>82.093000000000004</v>
      </c>
      <c r="AM13" s="321">
        <f>65.975</f>
        <v>65.974999999999994</v>
      </c>
      <c r="AN13" s="320">
        <v>67.521000000000001</v>
      </c>
      <c r="AO13" s="322">
        <v>68.688999999999993</v>
      </c>
      <c r="AP13" s="916">
        <f t="shared" si="7"/>
        <v>284.27800000000002</v>
      </c>
      <c r="AQ13" s="924">
        <v>67</v>
      </c>
      <c r="AR13" s="323">
        <v>76</v>
      </c>
      <c r="AS13" s="323">
        <v>85</v>
      </c>
      <c r="AT13" s="324">
        <v>101</v>
      </c>
      <c r="AU13" s="918">
        <f t="shared" si="8"/>
        <v>329</v>
      </c>
      <c r="AV13" s="323">
        <v>100</v>
      </c>
      <c r="AW13" s="323">
        <v>108</v>
      </c>
      <c r="AX13" s="323">
        <v>129</v>
      </c>
      <c r="AY13" s="323">
        <v>118</v>
      </c>
      <c r="AZ13" s="504">
        <f t="shared" si="9"/>
        <v>455</v>
      </c>
      <c r="BA13" s="323">
        <v>133</v>
      </c>
      <c r="BB13" s="323">
        <v>197</v>
      </c>
      <c r="BC13" s="323">
        <v>321</v>
      </c>
      <c r="BD13" s="323">
        <v>323</v>
      </c>
      <c r="BE13" s="666">
        <f t="shared" si="0"/>
        <v>974</v>
      </c>
      <c r="BF13" s="656">
        <v>315</v>
      </c>
      <c r="BG13" s="656">
        <v>283</v>
      </c>
      <c r="BH13" s="656">
        <v>281</v>
      </c>
      <c r="BI13" s="656">
        <v>279</v>
      </c>
      <c r="BJ13" s="666">
        <f t="shared" si="10"/>
        <v>1158</v>
      </c>
      <c r="BK13" s="667">
        <v>270</v>
      </c>
      <c r="BL13" s="656">
        <v>266</v>
      </c>
      <c r="BM13" s="656">
        <v>663</v>
      </c>
      <c r="BN13" s="656">
        <v>257</v>
      </c>
      <c r="BO13" s="666">
        <f t="shared" si="11"/>
        <v>1456</v>
      </c>
      <c r="BP13" s="667">
        <v>239</v>
      </c>
      <c r="BQ13" s="656">
        <v>223</v>
      </c>
      <c r="BR13" s="656">
        <v>218</v>
      </c>
      <c r="BS13" s="656">
        <v>251</v>
      </c>
      <c r="BT13" s="869">
        <f t="shared" ref="BT13:BT19" si="23">SUM(BP13:BS13)</f>
        <v>931</v>
      </c>
      <c r="BU13" s="821">
        <v>216</v>
      </c>
      <c r="BV13" s="656">
        <v>219</v>
      </c>
      <c r="BW13" s="656">
        <v>219</v>
      </c>
      <c r="BX13" s="656">
        <v>223</v>
      </c>
      <c r="BY13" s="947">
        <f t="shared" ref="BY13:BY18" si="24">SUM(BU13:BX13)</f>
        <v>877</v>
      </c>
      <c r="BZ13" s="656">
        <v>216</v>
      </c>
      <c r="CA13" s="656">
        <v>201</v>
      </c>
      <c r="CB13" s="656">
        <v>200</v>
      </c>
      <c r="CC13" s="656">
        <v>195</v>
      </c>
      <c r="CD13" s="947">
        <f t="shared" si="12"/>
        <v>812</v>
      </c>
      <c r="CE13" s="656">
        <v>195</v>
      </c>
      <c r="CF13" s="656">
        <v>252</v>
      </c>
      <c r="CG13" s="656">
        <v>217</v>
      </c>
      <c r="CH13" s="656">
        <v>207</v>
      </c>
      <c r="CI13" s="947">
        <f t="shared" si="13"/>
        <v>871</v>
      </c>
      <c r="CJ13" s="656">
        <v>197</v>
      </c>
      <c r="CK13" s="656">
        <v>209</v>
      </c>
      <c r="CL13" s="656">
        <v>188</v>
      </c>
      <c r="CM13" s="656">
        <v>331</v>
      </c>
      <c r="CN13" s="869">
        <f t="shared" si="14"/>
        <v>925</v>
      </c>
      <c r="CO13" s="656">
        <v>209</v>
      </c>
      <c r="CP13" s="656">
        <v>208</v>
      </c>
      <c r="CQ13" s="656">
        <v>189</v>
      </c>
      <c r="CR13" s="656">
        <v>186</v>
      </c>
      <c r="CS13" s="869">
        <f t="shared" si="15"/>
        <v>792</v>
      </c>
      <c r="CT13" s="656">
        <v>228</v>
      </c>
      <c r="CU13" s="656">
        <v>215</v>
      </c>
      <c r="CV13" s="656">
        <v>219</v>
      </c>
      <c r="CW13" s="656">
        <v>224</v>
      </c>
      <c r="CX13" s="869">
        <f t="shared" si="16"/>
        <v>886</v>
      </c>
      <c r="CY13" s="656">
        <v>191</v>
      </c>
      <c r="CZ13" s="656">
        <v>201</v>
      </c>
      <c r="DA13" s="656">
        <v>113</v>
      </c>
      <c r="DB13" s="656">
        <v>136</v>
      </c>
      <c r="DC13" s="869">
        <f t="shared" si="17"/>
        <v>641</v>
      </c>
      <c r="DD13" s="656">
        <v>126</v>
      </c>
      <c r="DE13" s="656">
        <v>118</v>
      </c>
      <c r="DF13" s="656">
        <v>129</v>
      </c>
      <c r="DG13" s="656"/>
      <c r="DH13" s="869">
        <f t="shared" si="18"/>
        <v>373</v>
      </c>
      <c r="DI13" s="656"/>
      <c r="DJ13" s="656"/>
      <c r="DK13" s="656"/>
      <c r="DL13" s="656"/>
      <c r="DM13" s="869"/>
      <c r="DN13" s="656"/>
      <c r="DO13" s="656"/>
      <c r="DP13" s="656"/>
      <c r="DQ13" s="668"/>
      <c r="DR13" s="869"/>
      <c r="DS13" s="668"/>
      <c r="DT13" s="668"/>
      <c r="DU13" s="668"/>
      <c r="DV13" s="668"/>
      <c r="DW13" s="869"/>
      <c r="DX13" s="1276"/>
      <c r="DY13" s="1276"/>
      <c r="DZ13" s="1276"/>
      <c r="EA13" s="1276"/>
      <c r="EC13" s="4320"/>
      <c r="ED13" s="4320"/>
      <c r="EE13" s="514"/>
    </row>
    <row r="14" spans="1:154" s="45" customFormat="1" ht="11.25" hidden="1" customHeight="1" outlineLevel="1">
      <c r="A14" s="1577" t="s">
        <v>191</v>
      </c>
      <c r="B14" s="875">
        <v>0</v>
      </c>
      <c r="C14" s="876"/>
      <c r="D14" s="95">
        <f>-C14</f>
        <v>0</v>
      </c>
      <c r="E14" s="95">
        <f>-D14-C14</f>
        <v>0</v>
      </c>
      <c r="F14" s="95">
        <f t="shared" si="1"/>
        <v>0</v>
      </c>
      <c r="G14" s="913">
        <v>0</v>
      </c>
      <c r="H14" s="912">
        <v>0</v>
      </c>
      <c r="I14" s="136">
        <f>0-H14</f>
        <v>0</v>
      </c>
      <c r="J14" s="77">
        <f>11.618-I14-H14</f>
        <v>11.618</v>
      </c>
      <c r="K14" s="214">
        <f t="shared" si="2"/>
        <v>0</v>
      </c>
      <c r="L14" s="875">
        <v>11.618</v>
      </c>
      <c r="M14" s="910">
        <v>0</v>
      </c>
      <c r="N14" s="77">
        <f>0.95-M14</f>
        <v>0.95</v>
      </c>
      <c r="O14" s="315">
        <f>0.95-N14-M14</f>
        <v>0</v>
      </c>
      <c r="P14" s="77">
        <f t="shared" si="3"/>
        <v>10.393000000000001</v>
      </c>
      <c r="Q14" s="875">
        <v>11.343</v>
      </c>
      <c r="R14" s="912">
        <v>0</v>
      </c>
      <c r="S14" s="325">
        <v>0</v>
      </c>
      <c r="T14" s="62">
        <f>20.812-S14-R14</f>
        <v>20.812000000000001</v>
      </c>
      <c r="U14" s="77">
        <f t="shared" si="22"/>
        <v>1.227999999999998</v>
      </c>
      <c r="V14" s="911">
        <v>22.04</v>
      </c>
      <c r="W14" s="925">
        <v>4</v>
      </c>
      <c r="X14" s="317">
        <f>4-W14</f>
        <v>0</v>
      </c>
      <c r="Y14" s="62">
        <f>10.8-X14-W14</f>
        <v>6.8000000000000007</v>
      </c>
      <c r="Z14" s="62">
        <f t="shared" si="4"/>
        <v>0</v>
      </c>
      <c r="AA14" s="916">
        <v>10.8</v>
      </c>
      <c r="AB14" s="915">
        <v>0</v>
      </c>
      <c r="AC14" s="82">
        <f>3.66-AB14</f>
        <v>3.66</v>
      </c>
      <c r="AD14" s="73">
        <f>0-AC14-AB14</f>
        <v>-3.66</v>
      </c>
      <c r="AE14" s="47">
        <v>0</v>
      </c>
      <c r="AF14" s="916">
        <f>SUM(AB14:AE14)</f>
        <v>0</v>
      </c>
      <c r="AG14" s="915">
        <v>0</v>
      </c>
      <c r="AH14" s="82">
        <v>0</v>
      </c>
      <c r="AI14" s="73">
        <v>0</v>
      </c>
      <c r="AJ14" s="97">
        <v>0</v>
      </c>
      <c r="AK14" s="916">
        <f t="shared" si="6"/>
        <v>0</v>
      </c>
      <c r="AL14" s="915">
        <v>0</v>
      </c>
      <c r="AM14" s="82">
        <v>0</v>
      </c>
      <c r="AN14" s="73">
        <v>0</v>
      </c>
      <c r="AO14" s="97">
        <v>0</v>
      </c>
      <c r="AP14" s="916">
        <f t="shared" si="7"/>
        <v>0</v>
      </c>
      <c r="AQ14" s="917">
        <v>0</v>
      </c>
      <c r="AR14" s="98">
        <v>0</v>
      </c>
      <c r="AS14" s="98">
        <v>0</v>
      </c>
      <c r="AT14" s="98">
        <v>0</v>
      </c>
      <c r="AU14" s="916">
        <f t="shared" si="8"/>
        <v>0</v>
      </c>
      <c r="AV14" s="98">
        <v>0</v>
      </c>
      <c r="AW14" s="98">
        <v>0</v>
      </c>
      <c r="AX14" s="98">
        <v>0</v>
      </c>
      <c r="AY14" s="98">
        <v>0</v>
      </c>
      <c r="AZ14" s="507">
        <f t="shared" si="9"/>
        <v>0</v>
      </c>
      <c r="BA14" s="83">
        <v>0</v>
      </c>
      <c r="BB14" s="98">
        <v>0</v>
      </c>
      <c r="BC14" s="98">
        <v>0</v>
      </c>
      <c r="BD14" s="98">
        <v>0</v>
      </c>
      <c r="BE14" s="509">
        <f>SUM(BA14:BD14)</f>
        <v>0</v>
      </c>
      <c r="BF14" s="83">
        <v>0</v>
      </c>
      <c r="BG14" s="98">
        <v>0</v>
      </c>
      <c r="BH14" s="98">
        <v>0</v>
      </c>
      <c r="BI14" s="98">
        <v>0</v>
      </c>
      <c r="BJ14" s="509">
        <f t="shared" si="10"/>
        <v>0</v>
      </c>
      <c r="BK14" s="571">
        <v>0</v>
      </c>
      <c r="BL14" s="98">
        <v>0</v>
      </c>
      <c r="BM14" s="98">
        <v>0</v>
      </c>
      <c r="BN14" s="98">
        <v>0</v>
      </c>
      <c r="BO14" s="509">
        <f t="shared" si="11"/>
        <v>0</v>
      </c>
      <c r="BP14" s="1379">
        <v>0</v>
      </c>
      <c r="BQ14" s="98">
        <v>0</v>
      </c>
      <c r="BR14" s="98">
        <v>0</v>
      </c>
      <c r="BS14" s="98">
        <v>0</v>
      </c>
      <c r="BT14" s="898">
        <f t="shared" si="23"/>
        <v>0</v>
      </c>
      <c r="BU14" s="98">
        <v>0</v>
      </c>
      <c r="BV14" s="83">
        <v>0</v>
      </c>
      <c r="BW14" s="98">
        <v>0</v>
      </c>
      <c r="BX14" s="98">
        <v>0</v>
      </c>
      <c r="BY14" s="870">
        <f t="shared" si="24"/>
        <v>0</v>
      </c>
      <c r="BZ14" s="712"/>
      <c r="CA14" s="712"/>
      <c r="CB14" s="712"/>
      <c r="CC14" s="712"/>
      <c r="CD14" s="870">
        <f t="shared" si="12"/>
        <v>0</v>
      </c>
      <c r="CE14" s="712"/>
      <c r="CF14" s="712"/>
      <c r="CG14" s="712"/>
      <c r="CH14" s="712"/>
      <c r="CI14" s="947">
        <f t="shared" si="13"/>
        <v>0</v>
      </c>
      <c r="CJ14" s="712"/>
      <c r="CK14" s="712"/>
      <c r="CL14" s="712"/>
      <c r="CM14" s="712"/>
      <c r="CN14" s="869">
        <f t="shared" si="14"/>
        <v>0</v>
      </c>
      <c r="CO14" s="5015"/>
      <c r="CP14" s="5015"/>
      <c r="CQ14" s="5015"/>
      <c r="CR14" s="5015"/>
      <c r="CS14" s="869">
        <f t="shared" si="15"/>
        <v>0</v>
      </c>
      <c r="CT14" s="5015"/>
      <c r="CU14" s="5015"/>
      <c r="CV14" s="5015"/>
      <c r="CW14" s="5015"/>
      <c r="CX14" s="869">
        <f t="shared" si="16"/>
        <v>0</v>
      </c>
      <c r="CY14" s="5015"/>
      <c r="CZ14" s="5015"/>
      <c r="DA14" s="5015"/>
      <c r="DB14" s="5015"/>
      <c r="DC14" s="869">
        <f t="shared" si="17"/>
        <v>0</v>
      </c>
      <c r="DD14" s="5015"/>
      <c r="DE14" s="5015"/>
      <c r="DF14" s="5015"/>
      <c r="DG14" s="5015"/>
      <c r="DH14" s="869">
        <f t="shared" si="18"/>
        <v>0</v>
      </c>
      <c r="DI14" s="5015"/>
      <c r="DJ14" s="5015"/>
      <c r="DK14" s="5015"/>
      <c r="DL14" s="5015"/>
      <c r="DM14" s="869">
        <f t="shared" si="19"/>
        <v>0</v>
      </c>
      <c r="DN14" s="5015"/>
      <c r="DO14" s="5015"/>
      <c r="DP14" s="5015"/>
      <c r="DQ14" s="5015"/>
      <c r="DR14" s="869">
        <f t="shared" si="20"/>
        <v>0</v>
      </c>
      <c r="DS14" s="5015"/>
      <c r="DT14" s="5015"/>
      <c r="DU14" s="5015"/>
      <c r="DV14" s="5015"/>
      <c r="DW14" s="869">
        <f t="shared" si="21"/>
        <v>0</v>
      </c>
      <c r="DX14" s="5059"/>
      <c r="DY14" s="5059"/>
      <c r="DZ14" s="5059"/>
      <c r="EA14" s="5059"/>
      <c r="EC14" s="4320"/>
      <c r="ED14" s="4320"/>
      <c r="EE14" s="514"/>
    </row>
    <row r="15" spans="1:154" s="45" customFormat="1" ht="11.25" customHeight="1" collapsed="1">
      <c r="A15" s="1577" t="s">
        <v>192</v>
      </c>
      <c r="B15" s="875">
        <v>12.382999999999999</v>
      </c>
      <c r="C15" s="876"/>
      <c r="D15" s="95">
        <f>-C15</f>
        <v>0</v>
      </c>
      <c r="E15" s="95">
        <f>-D15-C15</f>
        <v>0</v>
      </c>
      <c r="F15" s="95">
        <f t="shared" si="1"/>
        <v>21.635000000000002</v>
      </c>
      <c r="G15" s="875">
        <v>21.635000000000002</v>
      </c>
      <c r="H15" s="877">
        <v>36.417999999999999</v>
      </c>
      <c r="I15" s="77">
        <f>70.583-H15</f>
        <v>34.164999999999999</v>
      </c>
      <c r="J15" s="77">
        <f>144.377-I15-H15</f>
        <v>73.794000000000011</v>
      </c>
      <c r="K15" s="77">
        <f t="shared" si="2"/>
        <v>84.98399999999998</v>
      </c>
      <c r="L15" s="875">
        <v>229.36099999999999</v>
      </c>
      <c r="M15" s="877">
        <v>76.472999999999999</v>
      </c>
      <c r="N15" s="77">
        <f>151.234-M15</f>
        <v>74.76100000000001</v>
      </c>
      <c r="O15" s="37">
        <f>219.215-N15-M15</f>
        <v>67.981000000000009</v>
      </c>
      <c r="P15" s="37">
        <f>IS!AD56</f>
        <v>59.530999999999999</v>
      </c>
      <c r="Q15" s="875">
        <v>278.74599999999998</v>
      </c>
      <c r="R15" s="877">
        <v>48.908000000000001</v>
      </c>
      <c r="S15" s="37">
        <f>96.246-R15</f>
        <v>47.337999999999994</v>
      </c>
      <c r="T15" s="37">
        <f>142.555-S15-R15</f>
        <v>46.309000000000012</v>
      </c>
      <c r="U15" s="77">
        <f t="shared" si="22"/>
        <v>58.153999999999982</v>
      </c>
      <c r="V15" s="875">
        <v>200.709</v>
      </c>
      <c r="W15" s="877">
        <v>114.664</v>
      </c>
      <c r="X15" s="37">
        <f>223.813-W15</f>
        <v>109.14899999999999</v>
      </c>
      <c r="Y15" s="37">
        <f>323.673-X15-W15</f>
        <v>99.86</v>
      </c>
      <c r="Z15" s="37">
        <f t="shared" si="4"/>
        <v>134.42700000000002</v>
      </c>
      <c r="AA15" s="878">
        <v>458.1</v>
      </c>
      <c r="AB15" s="904">
        <v>183.86600000000001</v>
      </c>
      <c r="AC15" s="43">
        <f>425.39-AB15</f>
        <v>241.52399999999997</v>
      </c>
      <c r="AD15" s="43">
        <f>623.346-AC15-AB15</f>
        <v>197.95599999999999</v>
      </c>
      <c r="AE15" s="43">
        <f t="shared" si="5"/>
        <v>245.29999999999993</v>
      </c>
      <c r="AF15" s="878">
        <v>868.64599999999996</v>
      </c>
      <c r="AG15" s="904">
        <f>IS!AU56</f>
        <v>280.779</v>
      </c>
      <c r="AH15" s="43">
        <f>IS!AV56</f>
        <v>272.77600000000001</v>
      </c>
      <c r="AI15" s="43">
        <f>IS!AW56</f>
        <v>280.03900000000004</v>
      </c>
      <c r="AJ15" s="43">
        <f>IS!AX56</f>
        <v>286.17200000000003</v>
      </c>
      <c r="AK15" s="878">
        <f t="shared" si="6"/>
        <v>1119.7660000000001</v>
      </c>
      <c r="AL15" s="904">
        <f>IS!AZ56</f>
        <v>277.483</v>
      </c>
      <c r="AM15" s="43">
        <f>IS!BA56</f>
        <v>293.07000000000005</v>
      </c>
      <c r="AN15" s="43">
        <f>IS!BB56</f>
        <v>317.52699999999999</v>
      </c>
      <c r="AO15" s="43">
        <f>IS!BC56</f>
        <v>275.97399999999999</v>
      </c>
      <c r="AP15" s="878">
        <f t="shared" si="7"/>
        <v>1164.0540000000001</v>
      </c>
      <c r="AQ15" s="904">
        <f>IS!BE56</f>
        <v>291</v>
      </c>
      <c r="AR15" s="43">
        <f>IS!BF56</f>
        <v>309</v>
      </c>
      <c r="AS15" s="43">
        <f>IS!BG56</f>
        <v>380</v>
      </c>
      <c r="AT15" s="43">
        <f>IS!BH56</f>
        <v>396</v>
      </c>
      <c r="AU15" s="878">
        <f t="shared" si="8"/>
        <v>1376</v>
      </c>
      <c r="AV15" s="44">
        <f>IS!BJ56</f>
        <v>432</v>
      </c>
      <c r="AW15" s="44">
        <f>IS!BK56</f>
        <v>435</v>
      </c>
      <c r="AX15" s="44">
        <f>IS!BL56</f>
        <v>571</v>
      </c>
      <c r="AY15" s="44">
        <f>IS!BM56</f>
        <v>536</v>
      </c>
      <c r="AZ15" s="505">
        <f t="shared" si="9"/>
        <v>1974</v>
      </c>
      <c r="BA15" s="44">
        <f>IS!BT56</f>
        <v>556</v>
      </c>
      <c r="BB15" s="44">
        <f>IS!BU56</f>
        <v>552</v>
      </c>
      <c r="BC15" s="44">
        <f>IS!BV56</f>
        <v>688</v>
      </c>
      <c r="BD15" s="44">
        <v>716</v>
      </c>
      <c r="BE15" s="664">
        <f t="shared" si="0"/>
        <v>2512</v>
      </c>
      <c r="BF15" s="652">
        <v>708</v>
      </c>
      <c r="BG15" s="652">
        <v>847</v>
      </c>
      <c r="BH15" s="652">
        <f>IS!CF56</f>
        <v>856</v>
      </c>
      <c r="BI15" s="652">
        <v>902</v>
      </c>
      <c r="BJ15" s="664">
        <f t="shared" si="10"/>
        <v>3313</v>
      </c>
      <c r="BK15" s="671">
        <v>887</v>
      </c>
      <c r="BL15" s="652">
        <v>915</v>
      </c>
      <c r="BM15" s="652">
        <v>1290</v>
      </c>
      <c r="BN15" s="652">
        <v>1187</v>
      </c>
      <c r="BO15" s="664">
        <f t="shared" si="11"/>
        <v>4279</v>
      </c>
      <c r="BP15" s="671">
        <v>1203</v>
      </c>
      <c r="BQ15" s="652">
        <v>1132</v>
      </c>
      <c r="BR15" s="652">
        <v>1432</v>
      </c>
      <c r="BS15" s="652">
        <v>1436</v>
      </c>
      <c r="BT15" s="897">
        <f t="shared" si="23"/>
        <v>5203</v>
      </c>
      <c r="BU15" s="822">
        <v>1494</v>
      </c>
      <c r="BV15" s="226">
        <f>IS!CT56</f>
        <v>1503</v>
      </c>
      <c r="BW15" s="537">
        <f>IS!CU56</f>
        <v>1860</v>
      </c>
      <c r="BX15" s="537">
        <f>IS!CV56</f>
        <v>1846</v>
      </c>
      <c r="BY15" s="903">
        <f t="shared" si="24"/>
        <v>6703</v>
      </c>
      <c r="BZ15" s="537">
        <f>IS!CX56</f>
        <v>2009</v>
      </c>
      <c r="CA15" s="537">
        <f>IS!CY56</f>
        <v>2003</v>
      </c>
      <c r="CB15" s="537">
        <f>IS!CZ56</f>
        <v>1820</v>
      </c>
      <c r="CC15" s="537">
        <f>IS!DA56</f>
        <v>1847</v>
      </c>
      <c r="CD15" s="903">
        <f t="shared" si="12"/>
        <v>7679</v>
      </c>
      <c r="CE15" s="537">
        <f>IS!DC56</f>
        <v>2457</v>
      </c>
      <c r="CF15" s="537">
        <f>IS!DD56</f>
        <v>2413</v>
      </c>
      <c r="CG15" s="537">
        <f>IS!DE56</f>
        <v>2230</v>
      </c>
      <c r="CH15" s="537">
        <f>IS!DF56</f>
        <v>2253</v>
      </c>
      <c r="CI15" s="903">
        <f t="shared" si="13"/>
        <v>9353</v>
      </c>
      <c r="CJ15" s="537">
        <f>IS!DH56</f>
        <v>2769</v>
      </c>
      <c r="CK15" s="537">
        <f>IS!DI56</f>
        <v>2756</v>
      </c>
      <c r="CL15" s="537">
        <f>IS!DJ56</f>
        <v>2624</v>
      </c>
      <c r="CM15" s="537">
        <f>IS!DK56</f>
        <v>2645</v>
      </c>
      <c r="CN15" s="897">
        <f t="shared" si="14"/>
        <v>10794</v>
      </c>
      <c r="CO15" s="537">
        <f>IS!DM56</f>
        <v>3191</v>
      </c>
      <c r="CP15" s="537">
        <f>IS!DN56</f>
        <v>3382</v>
      </c>
      <c r="CQ15" s="537">
        <f>IS!DO56</f>
        <v>3195</v>
      </c>
      <c r="CR15" s="537">
        <f>IS!DP56</f>
        <v>3223</v>
      </c>
      <c r="CS15" s="897">
        <f t="shared" si="15"/>
        <v>12991</v>
      </c>
      <c r="CT15" s="537">
        <f>IS!DR56</f>
        <v>3745</v>
      </c>
      <c r="CU15" s="537">
        <f>IS!DS56</f>
        <v>3803</v>
      </c>
      <c r="CV15" s="537">
        <f>IS!DT56</f>
        <v>3874</v>
      </c>
      <c r="CW15" s="537">
        <f>IS!DU56</f>
        <v>3954</v>
      </c>
      <c r="CX15" s="897">
        <f t="shared" si="16"/>
        <v>15376</v>
      </c>
      <c r="CY15" s="537">
        <f>IS!DW56</f>
        <v>4504</v>
      </c>
      <c r="CZ15" s="537">
        <f>IS!DX56</f>
        <v>4782</v>
      </c>
      <c r="DA15" s="537">
        <f>IS!DY56</f>
        <v>4976</v>
      </c>
      <c r="DB15" s="537">
        <f>IS!DZ56</f>
        <v>5100</v>
      </c>
      <c r="DC15" s="897">
        <f t="shared" si="17"/>
        <v>19362</v>
      </c>
      <c r="DD15" s="537">
        <f>IS!EB56</f>
        <v>5284</v>
      </c>
      <c r="DE15" s="537">
        <f>IS!EC56</f>
        <v>5774</v>
      </c>
      <c r="DF15" s="537">
        <f>IS!ED56</f>
        <v>5743</v>
      </c>
      <c r="DG15" s="537">
        <f>IS!EE56</f>
        <v>5659</v>
      </c>
      <c r="DH15" s="897">
        <f t="shared" si="18"/>
        <v>22460</v>
      </c>
      <c r="DI15" s="537">
        <f>IS!EG56</f>
        <v>5264</v>
      </c>
      <c r="DJ15" s="537">
        <f>IS!EH56</f>
        <v>5865</v>
      </c>
      <c r="DK15" s="537">
        <f>IS!EI56</f>
        <v>5846</v>
      </c>
      <c r="DL15" s="537">
        <f>IS!EJ56</f>
        <v>5810</v>
      </c>
      <c r="DM15" s="897">
        <f t="shared" si="19"/>
        <v>22785</v>
      </c>
      <c r="DN15" s="537">
        <f>IS!EL56</f>
        <v>5516</v>
      </c>
      <c r="DO15" s="537">
        <f>IS!EM56</f>
        <v>5998</v>
      </c>
      <c r="DP15" s="537">
        <f>IS!EN56</f>
        <v>6368</v>
      </c>
      <c r="DQ15" s="537">
        <f>IS!EO56</f>
        <v>6527.1865226213095</v>
      </c>
      <c r="DR15" s="897">
        <f t="shared" si="20"/>
        <v>24409.186522621309</v>
      </c>
      <c r="DS15" s="537">
        <f>IS!EQ56</f>
        <v>6452.4608273030899</v>
      </c>
      <c r="DT15" s="537">
        <f>IS!ER56</f>
        <v>7098.6445316606469</v>
      </c>
      <c r="DU15" s="537">
        <f>IS!ES56</f>
        <v>7478.2178760088218</v>
      </c>
      <c r="DV15" s="537">
        <f>IS!ET56</f>
        <v>7452.3733515532294</v>
      </c>
      <c r="DW15" s="897">
        <f t="shared" si="21"/>
        <v>28481.696586525788</v>
      </c>
      <c r="DX15" s="897">
        <f>IS!EV56</f>
        <v>30856.08760951618</v>
      </c>
      <c r="DY15" s="897">
        <f>IS!EW56</f>
        <v>33307.093372867726</v>
      </c>
      <c r="DZ15" s="897">
        <f>IS!EX56</f>
        <v>35765.580395662582</v>
      </c>
      <c r="EA15" s="897">
        <f>IS!EY56</f>
        <v>38299.931668347344</v>
      </c>
      <c r="EB15" s="37"/>
      <c r="EC15" s="4320"/>
      <c r="ED15" s="4320"/>
      <c r="EE15" s="514"/>
    </row>
    <row r="16" spans="1:154" s="1378" customFormat="1" ht="11.25" customHeight="1">
      <c r="A16" s="1577" t="s">
        <v>521</v>
      </c>
      <c r="B16" s="1369"/>
      <c r="C16" s="1370"/>
      <c r="D16" s="1371"/>
      <c r="E16" s="1371"/>
      <c r="F16" s="1371"/>
      <c r="G16" s="1372">
        <v>0</v>
      </c>
      <c r="H16" s="1373">
        <v>0</v>
      </c>
      <c r="I16" s="416">
        <v>0</v>
      </c>
      <c r="J16" s="1374">
        <v>0</v>
      </c>
      <c r="K16" s="416">
        <v>0</v>
      </c>
      <c r="L16" s="1369">
        <v>0</v>
      </c>
      <c r="M16" s="1373">
        <v>0</v>
      </c>
      <c r="N16" s="1374">
        <v>0</v>
      </c>
      <c r="O16" s="1375">
        <v>0</v>
      </c>
      <c r="P16" s="1374">
        <v>0</v>
      </c>
      <c r="Q16" s="1369">
        <v>0</v>
      </c>
      <c r="R16" s="1373">
        <v>77.376999999999995</v>
      </c>
      <c r="S16" s="1376">
        <f>196.163-R16</f>
        <v>118.78600000000002</v>
      </c>
      <c r="T16" s="1375">
        <f>271.7-S16-R16</f>
        <v>75.536999999999992</v>
      </c>
      <c r="U16" s="1374">
        <f t="shared" si="22"/>
        <v>162.024</v>
      </c>
      <c r="V16" s="1372">
        <v>433.72399999999999</v>
      </c>
      <c r="W16" s="1373">
        <v>0</v>
      </c>
      <c r="X16" s="1375">
        <v>0</v>
      </c>
      <c r="Y16" s="1375">
        <v>-329.06799999999998</v>
      </c>
      <c r="Z16" s="1375">
        <f t="shared" si="4"/>
        <v>-252.66399999999999</v>
      </c>
      <c r="AA16" s="1377">
        <v>-581.73199999999997</v>
      </c>
      <c r="AB16" s="841">
        <v>-74.084000000000003</v>
      </c>
      <c r="AC16" s="677">
        <f>(-179.815)-AB16</f>
        <v>-105.73099999999999</v>
      </c>
      <c r="AD16" s="141">
        <f>-238.577-AC16-AB16</f>
        <v>-58.762</v>
      </c>
      <c r="AE16" s="141">
        <f t="shared" si="5"/>
        <v>-140.62900000000002</v>
      </c>
      <c r="AF16" s="1377">
        <v>-379.20600000000002</v>
      </c>
      <c r="AG16" s="841">
        <v>-51.100999999999999</v>
      </c>
      <c r="AH16" s="677">
        <v>-43.878</v>
      </c>
      <c r="AI16" s="141">
        <f>-114.77-AH16-AG16</f>
        <v>-19.790999999999997</v>
      </c>
      <c r="AJ16" s="733">
        <v>-44.317999999999998</v>
      </c>
      <c r="AK16" s="1377">
        <f>SUM(AG16:AJ16)</f>
        <v>-159.08799999999999</v>
      </c>
      <c r="AL16" s="841">
        <v>-31.844000000000001</v>
      </c>
      <c r="AM16" s="677">
        <v>-4.5149999999999997</v>
      </c>
      <c r="AN16" s="141">
        <v>-28.033999999999999</v>
      </c>
      <c r="AO16" s="733">
        <f>-25.878</f>
        <v>-25.878</v>
      </c>
      <c r="AP16" s="1377">
        <f t="shared" si="7"/>
        <v>-90.271000000000001</v>
      </c>
      <c r="AQ16" s="945">
        <v>-12</v>
      </c>
      <c r="AR16" s="469">
        <v>-19</v>
      </c>
      <c r="AS16" s="469">
        <v>-12</v>
      </c>
      <c r="AT16" s="469">
        <v>-51</v>
      </c>
      <c r="AU16" s="1377">
        <f t="shared" si="8"/>
        <v>-94</v>
      </c>
      <c r="AV16" s="469">
        <v>-24</v>
      </c>
      <c r="AW16" s="469">
        <v>-9</v>
      </c>
      <c r="AX16" s="469">
        <v>-28</v>
      </c>
      <c r="AY16" s="469">
        <v>-25</v>
      </c>
      <c r="AZ16" s="674">
        <f t="shared" si="9"/>
        <v>-86</v>
      </c>
      <c r="BA16" s="528">
        <v>-28</v>
      </c>
      <c r="BB16" s="469">
        <v>-27</v>
      </c>
      <c r="BC16" s="469">
        <v>-58</v>
      </c>
      <c r="BD16" s="469">
        <v>-75</v>
      </c>
      <c r="BE16" s="674">
        <f t="shared" si="0"/>
        <v>-188</v>
      </c>
      <c r="BF16" s="528">
        <v>-94</v>
      </c>
      <c r="BG16" s="469">
        <v>-104</v>
      </c>
      <c r="BH16" s="469">
        <v>-104</v>
      </c>
      <c r="BI16" s="469">
        <v>-179</v>
      </c>
      <c r="BJ16" s="674">
        <f t="shared" si="10"/>
        <v>-481</v>
      </c>
      <c r="BK16" s="675">
        <v>-155</v>
      </c>
      <c r="BL16" s="469">
        <v>-137</v>
      </c>
      <c r="BM16" s="469">
        <v>-175</v>
      </c>
      <c r="BN16" s="469">
        <v>-181</v>
      </c>
      <c r="BO16" s="674">
        <f t="shared" si="11"/>
        <v>-648</v>
      </c>
      <c r="BP16" s="676">
        <v>-105</v>
      </c>
      <c r="BQ16" s="469">
        <v>-111</v>
      </c>
      <c r="BR16" s="469">
        <v>-138</v>
      </c>
      <c r="BS16" s="469">
        <v>-194</v>
      </c>
      <c r="BT16" s="870">
        <f t="shared" si="23"/>
        <v>-548</v>
      </c>
      <c r="BU16" s="469">
        <v>0</v>
      </c>
      <c r="BV16" s="528">
        <v>0</v>
      </c>
      <c r="BW16" s="469">
        <v>0</v>
      </c>
      <c r="BX16" s="469">
        <v>0</v>
      </c>
      <c r="BY16" s="870">
        <f>SUM(BU16:BX16)</f>
        <v>0</v>
      </c>
      <c r="BZ16" s="757"/>
      <c r="CA16" s="757"/>
      <c r="CB16" s="757"/>
      <c r="CC16" s="757"/>
      <c r="CD16" s="870">
        <f t="shared" si="12"/>
        <v>0</v>
      </c>
      <c r="CE16" s="757"/>
      <c r="CF16" s="757"/>
      <c r="CG16" s="757"/>
      <c r="CH16" s="757"/>
      <c r="CI16" s="870">
        <f t="shared" si="13"/>
        <v>0</v>
      </c>
      <c r="CJ16" s="757"/>
      <c r="CK16" s="757"/>
      <c r="CL16" s="757"/>
      <c r="CM16" s="757"/>
      <c r="CN16" s="899">
        <f t="shared" si="14"/>
        <v>0</v>
      </c>
      <c r="CO16" s="5015"/>
      <c r="CP16" s="5015"/>
      <c r="CQ16" s="5015"/>
      <c r="CR16" s="5015"/>
      <c r="CS16" s="899">
        <f t="shared" si="15"/>
        <v>0</v>
      </c>
      <c r="CT16" s="5015"/>
      <c r="CU16" s="5015"/>
      <c r="CV16" s="5015"/>
      <c r="CW16" s="5015"/>
      <c r="CX16" s="899">
        <f t="shared" si="16"/>
        <v>0</v>
      </c>
      <c r="CY16" s="5015"/>
      <c r="CZ16" s="5015"/>
      <c r="DA16" s="5015"/>
      <c r="DB16" s="5015"/>
      <c r="DC16" s="899">
        <f t="shared" si="17"/>
        <v>0</v>
      </c>
      <c r="DD16" s="5015"/>
      <c r="DE16" s="5015"/>
      <c r="DF16" s="5015"/>
      <c r="DG16" s="5015"/>
      <c r="DH16" s="899">
        <f t="shared" si="18"/>
        <v>0</v>
      </c>
      <c r="DI16" s="5015"/>
      <c r="DJ16" s="5015"/>
      <c r="DK16" s="5015"/>
      <c r="DL16" s="5015"/>
      <c r="DM16" s="899">
        <f t="shared" si="19"/>
        <v>0</v>
      </c>
      <c r="DN16" s="5015"/>
      <c r="DO16" s="5015"/>
      <c r="DP16" s="5015"/>
      <c r="DQ16" s="5015"/>
      <c r="DR16" s="899">
        <f t="shared" si="20"/>
        <v>0</v>
      </c>
      <c r="DS16" s="5015"/>
      <c r="DT16" s="5015"/>
      <c r="DU16" s="5015"/>
      <c r="DV16" s="5015"/>
      <c r="DW16" s="899">
        <f t="shared" si="21"/>
        <v>0</v>
      </c>
      <c r="DX16" s="5059"/>
      <c r="DY16" s="5059"/>
      <c r="DZ16" s="5059"/>
      <c r="EA16" s="5059"/>
      <c r="EC16" s="4321"/>
      <c r="ED16" s="4321"/>
    </row>
    <row r="17" spans="1:135" s="45" customFormat="1" ht="11.25" customHeight="1">
      <c r="A17" s="1577" t="s">
        <v>525</v>
      </c>
      <c r="B17" s="875">
        <v>0</v>
      </c>
      <c r="C17" s="876"/>
      <c r="D17" s="95"/>
      <c r="E17" s="95"/>
      <c r="F17" s="95"/>
      <c r="G17" s="913">
        <v>0</v>
      </c>
      <c r="H17" s="912">
        <v>0</v>
      </c>
      <c r="I17" s="317">
        <v>0</v>
      </c>
      <c r="J17" s="327">
        <v>0</v>
      </c>
      <c r="K17" s="136">
        <f t="shared" si="2"/>
        <v>0</v>
      </c>
      <c r="L17" s="913">
        <v>0</v>
      </c>
      <c r="M17" s="910">
        <v>0</v>
      </c>
      <c r="N17" s="315">
        <v>0</v>
      </c>
      <c r="O17" s="37">
        <f>144.971+201-N17-M17</f>
        <v>345.971</v>
      </c>
      <c r="P17" s="77">
        <f t="shared" si="3"/>
        <v>46.59899999999999</v>
      </c>
      <c r="Q17" s="875">
        <f>191.57+201</f>
        <v>392.57</v>
      </c>
      <c r="R17" s="925">
        <v>0</v>
      </c>
      <c r="S17" s="62">
        <v>0</v>
      </c>
      <c r="T17" s="62">
        <v>0</v>
      </c>
      <c r="U17" s="214">
        <f t="shared" si="22"/>
        <v>0</v>
      </c>
      <c r="V17" s="911">
        <v>0</v>
      </c>
      <c r="W17" s="925">
        <v>0</v>
      </c>
      <c r="X17" s="62">
        <v>0</v>
      </c>
      <c r="Y17" s="62">
        <v>0</v>
      </c>
      <c r="Z17" s="37">
        <f t="shared" si="4"/>
        <v>1.6739999999999999</v>
      </c>
      <c r="AA17" s="916">
        <v>1.6739999999999999</v>
      </c>
      <c r="AB17" s="929">
        <v>-6.3860000000000001</v>
      </c>
      <c r="AC17" s="47">
        <f>(-3.695)-AB17</f>
        <v>2.6910000000000003</v>
      </c>
      <c r="AD17" s="47">
        <f>-7.215-AC17-AB17</f>
        <v>-3.5200000000000005</v>
      </c>
      <c r="AE17" s="43">
        <f t="shared" si="5"/>
        <v>-32.525999999999996</v>
      </c>
      <c r="AF17" s="918">
        <f>-39.741</f>
        <v>-39.741</v>
      </c>
      <c r="AG17" s="926">
        <f>-38.214+-44.904</f>
        <v>-83.117999999999995</v>
      </c>
      <c r="AH17" s="47">
        <f>-67.676+20.245</f>
        <v>-47.430999999999997</v>
      </c>
      <c r="AI17" s="47">
        <f>(-124.597+-14.488)-AH17-AG17</f>
        <v>-8.5359999999999872</v>
      </c>
      <c r="AJ17" s="47">
        <f>1094.757+-100.048+-17.422</f>
        <v>977.28700000000003</v>
      </c>
      <c r="AK17" s="916">
        <f>SUM(AG17:AJ17)</f>
        <v>838.202</v>
      </c>
      <c r="AL17" s="926">
        <f>-12.847+-21.409</f>
        <v>-34.256</v>
      </c>
      <c r="AM17" s="47">
        <f>-101.584+-1.678</f>
        <v>-103.262</v>
      </c>
      <c r="AN17" s="47">
        <f>-173.907+-3.251</f>
        <v>-177.15800000000002</v>
      </c>
      <c r="AO17" s="47">
        <f>20.278+6.07</f>
        <v>26.347999999999999</v>
      </c>
      <c r="AP17" s="916">
        <f t="shared" si="7"/>
        <v>-288.32800000000003</v>
      </c>
      <c r="AQ17" s="930">
        <f>-13+2</f>
        <v>-11</v>
      </c>
      <c r="AR17" s="48">
        <f>9</f>
        <v>9</v>
      </c>
      <c r="AS17" s="48">
        <f>27+-9</f>
        <v>18</v>
      </c>
      <c r="AT17" s="48">
        <f>-14+-5</f>
        <v>-19</v>
      </c>
      <c r="AU17" s="916">
        <f t="shared" si="8"/>
        <v>-3</v>
      </c>
      <c r="AV17" s="48">
        <f>289+36</f>
        <v>325</v>
      </c>
      <c r="AW17" s="48">
        <f>175+19</f>
        <v>194</v>
      </c>
      <c r="AX17" s="48">
        <f>62-52</f>
        <v>10</v>
      </c>
      <c r="AY17" s="48">
        <f>-183+3+110</f>
        <v>-70</v>
      </c>
      <c r="AZ17" s="507">
        <f t="shared" si="9"/>
        <v>459</v>
      </c>
      <c r="BA17" s="48">
        <f>354-44-24</f>
        <v>286</v>
      </c>
      <c r="BB17" s="48">
        <f>-163-188+12</f>
        <v>-339</v>
      </c>
      <c r="BC17" s="53">
        <f>-168+32</f>
        <v>-136</v>
      </c>
      <c r="BD17" s="48">
        <f>-289-4</f>
        <v>-293</v>
      </c>
      <c r="BE17" s="669">
        <f>SUM(BA17:BD17)</f>
        <v>-482</v>
      </c>
      <c r="BF17" s="653">
        <f>202+37</f>
        <v>239</v>
      </c>
      <c r="BG17" s="653">
        <f>63-716-65</f>
        <v>-718</v>
      </c>
      <c r="BH17" s="654">
        <f>-140-15+98</f>
        <v>-57</v>
      </c>
      <c r="BI17" s="653">
        <f>-562+5+62</f>
        <v>-495</v>
      </c>
      <c r="BJ17" s="669">
        <f t="shared" si="10"/>
        <v>-1031</v>
      </c>
      <c r="BK17" s="673">
        <f>144-103-117-14</f>
        <v>-90</v>
      </c>
      <c r="BL17" s="653">
        <f>-282+4-23-21</f>
        <v>-322</v>
      </c>
      <c r="BM17" s="654">
        <f>-360-1+55</f>
        <v>-306</v>
      </c>
      <c r="BN17" s="653">
        <f>394-740+42-20</f>
        <v>-324</v>
      </c>
      <c r="BO17" s="669">
        <f t="shared" si="11"/>
        <v>-1042</v>
      </c>
      <c r="BP17" s="673">
        <f>71+77</f>
        <v>148</v>
      </c>
      <c r="BQ17" s="653">
        <f>-221+17+55</f>
        <v>-149</v>
      </c>
      <c r="BR17" s="654">
        <f>-416+41-1</f>
        <v>-376</v>
      </c>
      <c r="BS17" s="653">
        <f>387-0+302+55</f>
        <v>744</v>
      </c>
      <c r="BT17" s="899">
        <f>SUM(BP17:BS17)</f>
        <v>367</v>
      </c>
      <c r="BU17" s="653">
        <f>414+280+64</f>
        <v>758</v>
      </c>
      <c r="BV17" s="653">
        <f>-50+14+27</f>
        <v>-9</v>
      </c>
      <c r="BW17" s="469">
        <f>-245-90+26</f>
        <v>-309</v>
      </c>
      <c r="BX17" s="469">
        <f>-157+71+57-IS!CV31</f>
        <v>-29</v>
      </c>
      <c r="BY17" s="870">
        <f t="shared" si="24"/>
        <v>411</v>
      </c>
      <c r="BZ17" s="469">
        <f>613+19+57</f>
        <v>689</v>
      </c>
      <c r="CA17" s="469">
        <f>-75+16+26</f>
        <v>-33</v>
      </c>
      <c r="CB17" s="469">
        <f>-296+45+96</f>
        <v>-155</v>
      </c>
      <c r="CC17" s="469">
        <f>16+34+38</f>
        <v>88</v>
      </c>
      <c r="CD17" s="870">
        <f t="shared" si="12"/>
        <v>589</v>
      </c>
      <c r="CE17" s="469">
        <f>-18-2992-257</f>
        <v>-3267</v>
      </c>
      <c r="CF17" s="469">
        <f>-139-1068+137</f>
        <v>-1070</v>
      </c>
      <c r="CG17" s="469">
        <f>880-1353+38</f>
        <v>-435</v>
      </c>
      <c r="CH17" s="469">
        <f>55-1237-107</f>
        <v>-1289</v>
      </c>
      <c r="CI17" s="870">
        <f t="shared" si="13"/>
        <v>-6061</v>
      </c>
      <c r="CJ17" s="469">
        <f>-73-1081+22</f>
        <v>-1132</v>
      </c>
      <c r="CK17" s="469">
        <f>693-2797-70</f>
        <v>-2174</v>
      </c>
      <c r="CL17" s="469">
        <f>-239+1479-71</f>
        <v>1169</v>
      </c>
      <c r="CM17" s="469">
        <f>-208-399-473</f>
        <v>-1080</v>
      </c>
      <c r="CN17" s="899">
        <f t="shared" si="14"/>
        <v>-3217</v>
      </c>
      <c r="CO17" s="653">
        <f>175+802+297</f>
        <v>1274</v>
      </c>
      <c r="CP17" s="653">
        <f>-591-1842+372</f>
        <v>-2061</v>
      </c>
      <c r="CQ17" s="653">
        <f>136-2015+206</f>
        <v>-1673</v>
      </c>
      <c r="CR17" s="653">
        <f>1670-3262+392</f>
        <v>-1200</v>
      </c>
      <c r="CS17" s="899">
        <f t="shared" si="15"/>
        <v>-3660</v>
      </c>
      <c r="CT17" s="653">
        <f>1100-4751-255</f>
        <v>-3906</v>
      </c>
      <c r="CU17" s="653">
        <f>379-2883-8</f>
        <v>-2512</v>
      </c>
      <c r="CV17" s="653">
        <f>-1287-2158+64</f>
        <v>-3381</v>
      </c>
      <c r="CW17" s="653">
        <f>1616-2478-14</f>
        <v>-876</v>
      </c>
      <c r="CX17" s="899">
        <f t="shared" si="16"/>
        <v>-10675</v>
      </c>
      <c r="CY17" s="653">
        <f>-2090+1437+140</f>
        <v>-513</v>
      </c>
      <c r="CZ17" s="653">
        <f>-2147+1041+62</f>
        <v>-1044</v>
      </c>
      <c r="DA17" s="653">
        <f>-1920+1378+167</f>
        <v>-375</v>
      </c>
      <c r="DB17" s="653">
        <f>-1924+1663+661</f>
        <v>400</v>
      </c>
      <c r="DC17" s="899">
        <f t="shared" si="17"/>
        <v>-1532</v>
      </c>
      <c r="DD17" s="653">
        <f>-1854-84+553</f>
        <v>-1385</v>
      </c>
      <c r="DE17" s="653">
        <f>-2415+509+97</f>
        <v>-1809</v>
      </c>
      <c r="DF17" s="653">
        <f>-1824+869+262</f>
        <v>-693</v>
      </c>
      <c r="DG17" s="653">
        <f>-1670-471+1665</f>
        <v>-476</v>
      </c>
      <c r="DH17" s="899">
        <f t="shared" si="18"/>
        <v>-4363</v>
      </c>
      <c r="DI17" s="653">
        <f>419-1781+334</f>
        <v>-1028</v>
      </c>
      <c r="DJ17" s="653">
        <f>-3157+1024+851</f>
        <v>-1282</v>
      </c>
      <c r="DK17" s="653">
        <f>-1071-1981+1407</f>
        <v>-1645</v>
      </c>
      <c r="DL17" s="653">
        <f>-1448+67+827</f>
        <v>-554</v>
      </c>
      <c r="DM17" s="899">
        <f t="shared" si="19"/>
        <v>-4509</v>
      </c>
      <c r="DN17" s="653">
        <f>-1152-9960+481</f>
        <v>-10631</v>
      </c>
      <c r="DO17" s="653">
        <f>-444-1451+560</f>
        <v>-1335</v>
      </c>
      <c r="DP17" s="653">
        <f>8726-10855-198</f>
        <v>-2327</v>
      </c>
      <c r="DQ17" s="5015">
        <f>IS!EO25</f>
        <v>0</v>
      </c>
      <c r="DR17" s="899">
        <f t="shared" si="20"/>
        <v>-14293</v>
      </c>
      <c r="DS17" s="5015">
        <f>IS!EQ25</f>
        <v>0</v>
      </c>
      <c r="DT17" s="5015">
        <f>IS!ER25</f>
        <v>0</v>
      </c>
      <c r="DU17" s="5015">
        <f>IS!ES25</f>
        <v>0</v>
      </c>
      <c r="DV17" s="5015">
        <f>IS!ET25</f>
        <v>0</v>
      </c>
      <c r="DW17" s="899">
        <f t="shared" si="21"/>
        <v>0</v>
      </c>
      <c r="DX17" s="5059">
        <f>IS!EV25</f>
        <v>0</v>
      </c>
      <c r="DY17" s="5059">
        <f>IS!EW25</f>
        <v>0</v>
      </c>
      <c r="DZ17" s="5059">
        <f>IS!EX25</f>
        <v>0</v>
      </c>
      <c r="EA17" s="5059">
        <f>IS!EY25</f>
        <v>0</v>
      </c>
      <c r="EC17" s="4320"/>
      <c r="ED17" s="4320"/>
      <c r="EE17" s="514"/>
    </row>
    <row r="18" spans="1:135" s="45" customFormat="1" ht="11.25" customHeight="1">
      <c r="A18" s="1579" t="s">
        <v>97</v>
      </c>
      <c r="B18" s="881">
        <f>B66</f>
        <v>-2.4610000000000016</v>
      </c>
      <c r="C18" s="882">
        <f>C66</f>
        <v>0</v>
      </c>
      <c r="D18" s="883">
        <f>D66</f>
        <v>0</v>
      </c>
      <c r="E18" s="883">
        <f>E66</f>
        <v>0</v>
      </c>
      <c r="F18" s="883">
        <f t="shared" si="1"/>
        <v>4.9909999999999961</v>
      </c>
      <c r="G18" s="881">
        <f>G66</f>
        <v>4.9909999999999961</v>
      </c>
      <c r="H18" s="856">
        <f>H66</f>
        <v>40.286000000000001</v>
      </c>
      <c r="I18" s="884">
        <f>I66</f>
        <v>-14.394</v>
      </c>
      <c r="J18" s="884">
        <f>J66</f>
        <v>11.442999999999998</v>
      </c>
      <c r="K18" s="884">
        <f t="shared" si="2"/>
        <v>-43.566000000000024</v>
      </c>
      <c r="L18" s="881">
        <f>L66</f>
        <v>-6.2310000000000265</v>
      </c>
      <c r="M18" s="856">
        <f>M66</f>
        <v>43.924000000000007</v>
      </c>
      <c r="N18" s="884">
        <f>N66</f>
        <v>-23.22699999999999</v>
      </c>
      <c r="O18" s="854">
        <f>O66</f>
        <v>-268.91800000000001</v>
      </c>
      <c r="P18" s="854">
        <f>P66</f>
        <v>-4.9860000000000309</v>
      </c>
      <c r="Q18" s="881">
        <f>SUM(M18:P18)</f>
        <v>-253.20700000000002</v>
      </c>
      <c r="R18" s="856">
        <f>R66</f>
        <v>-22.048999999999996</v>
      </c>
      <c r="S18" s="854">
        <f>S66</f>
        <v>48.751999999999995</v>
      </c>
      <c r="T18" s="854">
        <f>T66</f>
        <v>46.942000000000007</v>
      </c>
      <c r="U18" s="854">
        <f>U66</f>
        <v>-29.905000000000012</v>
      </c>
      <c r="V18" s="885">
        <f>SUM(R18:U18)</f>
        <v>43.739999999999995</v>
      </c>
      <c r="W18" s="856">
        <f>W66</f>
        <v>2.6909999999999865</v>
      </c>
      <c r="X18" s="854">
        <f>X66</f>
        <v>-115.86100000000002</v>
      </c>
      <c r="Y18" s="854">
        <f>Y66</f>
        <v>348.06100000000015</v>
      </c>
      <c r="Z18" s="855">
        <f>Z66</f>
        <v>-192.61000000000004</v>
      </c>
      <c r="AA18" s="886">
        <f>SUM(W18:Z18)</f>
        <v>42.281000000000091</v>
      </c>
      <c r="AB18" s="887">
        <f>AB66</f>
        <v>-90.957000000000008</v>
      </c>
      <c r="AC18" s="888">
        <f>AC66</f>
        <v>-60.692999999999998</v>
      </c>
      <c r="AD18" s="888">
        <f>AD66</f>
        <v>181.25700000000009</v>
      </c>
      <c r="AE18" s="889">
        <f>AE66</f>
        <v>124.72599999999997</v>
      </c>
      <c r="AF18" s="886">
        <f>SUM(AB18:AE18)</f>
        <v>154.33300000000006</v>
      </c>
      <c r="AG18" s="887">
        <f>AG66</f>
        <v>-10.724999999999984</v>
      </c>
      <c r="AH18" s="888">
        <f>AH66</f>
        <v>-54.311000000000007</v>
      </c>
      <c r="AI18" s="890">
        <f>AI66</f>
        <v>257.06200000000001</v>
      </c>
      <c r="AJ18" s="888">
        <f>AJ66</f>
        <v>135.20600000000002</v>
      </c>
      <c r="AK18" s="886">
        <f t="shared" si="6"/>
        <v>327.23200000000003</v>
      </c>
      <c r="AL18" s="887">
        <f>AL66</f>
        <v>212.07899999999995</v>
      </c>
      <c r="AM18" s="888">
        <f>AM66</f>
        <v>-437.6230000000001</v>
      </c>
      <c r="AN18" s="890">
        <f>AN66</f>
        <v>596.05000000000007</v>
      </c>
      <c r="AO18" s="888">
        <f>AO66</f>
        <v>115.48099999999999</v>
      </c>
      <c r="AP18" s="886">
        <f t="shared" si="7"/>
        <v>485.98699999999991</v>
      </c>
      <c r="AQ18" s="891">
        <f>AQ66</f>
        <v>30</v>
      </c>
      <c r="AR18" s="888">
        <f>AR66</f>
        <v>-396</v>
      </c>
      <c r="AS18" s="890">
        <f>AS66</f>
        <v>-9</v>
      </c>
      <c r="AT18" s="888">
        <f>AT66</f>
        <v>276</v>
      </c>
      <c r="AU18" s="886">
        <f t="shared" si="8"/>
        <v>-99</v>
      </c>
      <c r="AV18" s="890">
        <f>AV66</f>
        <v>240</v>
      </c>
      <c r="AW18" s="890">
        <f>AW66</f>
        <v>-61</v>
      </c>
      <c r="AX18" s="890">
        <f>AX66</f>
        <v>176</v>
      </c>
      <c r="AY18" s="888">
        <f>AY66</f>
        <v>275</v>
      </c>
      <c r="AZ18" s="892">
        <f t="shared" si="9"/>
        <v>630</v>
      </c>
      <c r="BA18" s="890">
        <f>BA66</f>
        <v>-521</v>
      </c>
      <c r="BB18" s="890">
        <f>BB66</f>
        <v>505</v>
      </c>
      <c r="BC18" s="888">
        <f>BC66</f>
        <v>432</v>
      </c>
      <c r="BD18" s="888">
        <f>BD66</f>
        <v>482</v>
      </c>
      <c r="BE18" s="893">
        <f>SUM(BA18:BD18)</f>
        <v>898</v>
      </c>
      <c r="BF18" s="894">
        <f>BF66</f>
        <v>-1465</v>
      </c>
      <c r="BG18" s="894">
        <f>BG66</f>
        <v>422</v>
      </c>
      <c r="BH18" s="895">
        <f>BH66</f>
        <v>414</v>
      </c>
      <c r="BI18" s="895">
        <f>BI66</f>
        <v>598</v>
      </c>
      <c r="BJ18" s="893">
        <f t="shared" si="10"/>
        <v>-31</v>
      </c>
      <c r="BK18" s="896">
        <f>BK66</f>
        <v>-789</v>
      </c>
      <c r="BL18" s="894">
        <f>BL66</f>
        <v>670</v>
      </c>
      <c r="BM18" s="895">
        <f>BM66</f>
        <v>825</v>
      </c>
      <c r="BN18" s="895">
        <f>BN66</f>
        <v>-342</v>
      </c>
      <c r="BO18" s="893">
        <f t="shared" si="11"/>
        <v>364</v>
      </c>
      <c r="BP18" s="896">
        <f>BP66</f>
        <v>608</v>
      </c>
      <c r="BQ18" s="894">
        <f>BQ66</f>
        <v>1019</v>
      </c>
      <c r="BR18" s="895">
        <f>BR66</f>
        <v>-138</v>
      </c>
      <c r="BS18" s="895">
        <f>BS66</f>
        <v>-1898</v>
      </c>
      <c r="BT18" s="900">
        <f t="shared" si="23"/>
        <v>-409</v>
      </c>
      <c r="BU18" s="894">
        <f>BU66</f>
        <v>-172</v>
      </c>
      <c r="BV18" s="894">
        <f>BV66</f>
        <v>1259</v>
      </c>
      <c r="BW18" s="894">
        <f>BW66</f>
        <v>1637</v>
      </c>
      <c r="BX18" s="894">
        <f>BX66</f>
        <v>576</v>
      </c>
      <c r="BY18" s="948">
        <f t="shared" si="24"/>
        <v>3300</v>
      </c>
      <c r="BZ18" s="1261">
        <f>BZ66</f>
        <v>-79</v>
      </c>
      <c r="CA18" s="1261">
        <f>CA66</f>
        <v>284</v>
      </c>
      <c r="CB18" s="1261">
        <f t="shared" ref="CB18:CS18" si="25">CB66</f>
        <v>-286</v>
      </c>
      <c r="CC18" s="1261">
        <f t="shared" si="25"/>
        <v>9327</v>
      </c>
      <c r="CD18" s="900">
        <f>CD66</f>
        <v>9246</v>
      </c>
      <c r="CE18" s="1261">
        <f t="shared" si="25"/>
        <v>1065</v>
      </c>
      <c r="CF18" s="1261">
        <f t="shared" si="25"/>
        <v>3480</v>
      </c>
      <c r="CG18" s="1261">
        <f t="shared" si="25"/>
        <v>-132</v>
      </c>
      <c r="CH18" s="1261">
        <f t="shared" si="25"/>
        <v>495</v>
      </c>
      <c r="CI18" s="900">
        <f>CI66</f>
        <v>4908</v>
      </c>
      <c r="CJ18" s="1261">
        <f t="shared" si="25"/>
        <v>1093</v>
      </c>
      <c r="CK18" s="1261">
        <f t="shared" si="25"/>
        <v>-737</v>
      </c>
      <c r="CL18" s="1261">
        <f t="shared" si="25"/>
        <v>1685</v>
      </c>
      <c r="CM18" s="1261">
        <f t="shared" si="25"/>
        <v>-1222</v>
      </c>
      <c r="CN18" s="900">
        <f>CN66</f>
        <v>819</v>
      </c>
      <c r="CO18" s="1261">
        <f t="shared" si="25"/>
        <v>-2958</v>
      </c>
      <c r="CP18" s="1261">
        <f t="shared" si="25"/>
        <v>2327</v>
      </c>
      <c r="CQ18" s="1261">
        <f t="shared" si="25"/>
        <v>756</v>
      </c>
      <c r="CR18" s="1261">
        <f t="shared" si="25"/>
        <v>1702</v>
      </c>
      <c r="CS18" s="900">
        <f t="shared" si="25"/>
        <v>1827</v>
      </c>
      <c r="CT18" s="1261">
        <f t="shared" ref="CT18:DX18" si="26">CT66</f>
        <v>-1233</v>
      </c>
      <c r="CU18" s="1261">
        <f t="shared" si="26"/>
        <v>-871</v>
      </c>
      <c r="CV18" s="1261">
        <f t="shared" si="26"/>
        <v>2806</v>
      </c>
      <c r="CW18" s="1261">
        <f t="shared" si="26"/>
        <v>-2225</v>
      </c>
      <c r="CX18" s="900">
        <f t="shared" si="26"/>
        <v>-1523</v>
      </c>
      <c r="CY18" s="1261">
        <f t="shared" si="26"/>
        <v>897</v>
      </c>
      <c r="CZ18" s="1261">
        <f t="shared" si="26"/>
        <v>-4217</v>
      </c>
      <c r="DA18" s="1261">
        <f t="shared" si="26"/>
        <v>796</v>
      </c>
      <c r="DB18" s="1261">
        <f t="shared" si="26"/>
        <v>289</v>
      </c>
      <c r="DC18" s="900">
        <f t="shared" si="26"/>
        <v>-2235</v>
      </c>
      <c r="DD18" s="1261">
        <f>DD66</f>
        <v>1373</v>
      </c>
      <c r="DE18" s="1261">
        <f>DE66</f>
        <v>2936</v>
      </c>
      <c r="DF18" s="1261">
        <f>DF66</f>
        <v>2117</v>
      </c>
      <c r="DG18" s="1261">
        <f t="shared" ref="DG18" si="27">DG66</f>
        <v>-10271</v>
      </c>
      <c r="DH18" s="900">
        <f t="shared" si="26"/>
        <v>-3845</v>
      </c>
      <c r="DI18" s="1261">
        <f>DI66</f>
        <v>-2463</v>
      </c>
      <c r="DJ18" s="1261">
        <f>DJ66</f>
        <v>-5270</v>
      </c>
      <c r="DK18" s="1261">
        <f>DK66</f>
        <v>-3789</v>
      </c>
      <c r="DL18" s="1261">
        <f t="shared" ref="DL18" si="28">DL66</f>
        <v>3116</v>
      </c>
      <c r="DM18" s="900">
        <f>DM66</f>
        <v>-8406</v>
      </c>
      <c r="DN18" s="1261">
        <f>DN66</f>
        <v>2238</v>
      </c>
      <c r="DO18" s="1261">
        <f>DO66</f>
        <v>-10110</v>
      </c>
      <c r="DP18" s="1261">
        <f>DP66</f>
        <v>3783</v>
      </c>
      <c r="DQ18" s="1261">
        <f t="shared" ref="DQ18" si="29">DQ66</f>
        <v>2743.4812608634911</v>
      </c>
      <c r="DR18" s="900">
        <f>DR66</f>
        <v>-1345.5187391365089</v>
      </c>
      <c r="DS18" s="1261">
        <f t="shared" ref="DS18:DV18" si="30">DS66</f>
        <v>3807.0082528376352</v>
      </c>
      <c r="DT18" s="1261">
        <f t="shared" si="30"/>
        <v>-11762.153997422527</v>
      </c>
      <c r="DU18" s="1261">
        <f t="shared" si="30"/>
        <v>6086.2781583998376</v>
      </c>
      <c r="DV18" s="1261">
        <f t="shared" si="30"/>
        <v>3707.6692065129873</v>
      </c>
      <c r="DW18" s="900">
        <f>DW66</f>
        <v>1838.8016203279331</v>
      </c>
      <c r="DX18" s="900">
        <f t="shared" si="26"/>
        <v>951.20655616702061</v>
      </c>
      <c r="DY18" s="900">
        <f>DY66</f>
        <v>980.36227329055419</v>
      </c>
      <c r="DZ18" s="900">
        <f>DZ66</f>
        <v>974.23773623181478</v>
      </c>
      <c r="EA18" s="900">
        <f>EA66</f>
        <v>1045.5342861244044</v>
      </c>
      <c r="EC18" s="1319">
        <f>(DX18/DM18)^(1/3)-1</f>
        <v>-1.4836841058419714</v>
      </c>
      <c r="ED18" s="1319">
        <f>(DZ18/DM18)^(1/5)-1</f>
        <v>-1.6498529763770602</v>
      </c>
      <c r="EE18" s="514"/>
    </row>
    <row r="19" spans="1:135" s="45" customFormat="1" ht="11.25" customHeight="1">
      <c r="A19" s="6010" t="s">
        <v>93</v>
      </c>
      <c r="B19" s="6011">
        <f t="shared" ref="B19:Q19" si="31">SUM(B9:B18)</f>
        <v>31.089000000000009</v>
      </c>
      <c r="C19" s="6012">
        <f t="shared" si="31"/>
        <v>7.9259999999999939</v>
      </c>
      <c r="D19" s="4175">
        <f t="shared" si="31"/>
        <v>16.593000000000011</v>
      </c>
      <c r="E19" s="4175">
        <f t="shared" si="31"/>
        <v>30.307000000000006</v>
      </c>
      <c r="F19" s="4175">
        <f t="shared" si="31"/>
        <v>100.43900000000001</v>
      </c>
      <c r="G19" s="6011">
        <f t="shared" si="31"/>
        <v>155.26499999999999</v>
      </c>
      <c r="H19" s="6013">
        <f t="shared" si="31"/>
        <v>113.19800000000001</v>
      </c>
      <c r="I19" s="5860">
        <f t="shared" si="31"/>
        <v>63.975999999999992</v>
      </c>
      <c r="J19" s="5860">
        <f t="shared" si="31"/>
        <v>131.72800000000007</v>
      </c>
      <c r="K19" s="5860">
        <f t="shared" si="31"/>
        <v>86.542999999999893</v>
      </c>
      <c r="L19" s="6011">
        <f t="shared" si="31"/>
        <v>395.44499999999994</v>
      </c>
      <c r="M19" s="6013">
        <f t="shared" si="31"/>
        <v>208.04500000000004</v>
      </c>
      <c r="N19" s="5860">
        <f t="shared" si="31"/>
        <v>162.55899999999997</v>
      </c>
      <c r="O19" s="3674">
        <f t="shared" si="31"/>
        <v>238.34300000000002</v>
      </c>
      <c r="P19" s="5860">
        <f t="shared" si="31"/>
        <v>368.09699999999992</v>
      </c>
      <c r="Q19" s="6011">
        <f t="shared" si="31"/>
        <v>977.04399999999998</v>
      </c>
      <c r="R19" s="6013">
        <f t="shared" ref="R19:AB19" si="32">SUM(R9:R18)</f>
        <v>529.62200000000007</v>
      </c>
      <c r="S19" s="3674">
        <f t="shared" si="32"/>
        <v>624.6189999999998</v>
      </c>
      <c r="T19" s="3674">
        <f t="shared" si="32"/>
        <v>646.74699999999996</v>
      </c>
      <c r="U19" s="5860">
        <f t="shared" si="32"/>
        <v>658.43399999999997</v>
      </c>
      <c r="V19" s="6011">
        <f t="shared" si="32"/>
        <v>2459.422</v>
      </c>
      <c r="W19" s="6013">
        <f t="shared" si="32"/>
        <v>824.80400000000031</v>
      </c>
      <c r="X19" s="3674">
        <f t="shared" si="32"/>
        <v>840.58599999999967</v>
      </c>
      <c r="Y19" s="3674">
        <f>SUM(Y9:Y18)</f>
        <v>1004.3240000000004</v>
      </c>
      <c r="Z19" s="5860">
        <f>SUM(Z9:Z18)</f>
        <v>910.79399999999976</v>
      </c>
      <c r="AA19" s="6014">
        <f>SUM(AA9:AA18)</f>
        <v>3580.5079999999998</v>
      </c>
      <c r="AB19" s="6015">
        <f t="shared" si="32"/>
        <v>1219.5899999999999</v>
      </c>
      <c r="AC19" s="3677">
        <f t="shared" ref="AC19:AL19" si="33">SUM(AC9:AC18)</f>
        <v>1229.9289999999999</v>
      </c>
      <c r="AD19" s="3677">
        <f t="shared" si="33"/>
        <v>1632.6350000000002</v>
      </c>
      <c r="AE19" s="3677">
        <f t="shared" si="33"/>
        <v>1693.2559999999994</v>
      </c>
      <c r="AF19" s="6016">
        <f t="shared" si="33"/>
        <v>5775.41</v>
      </c>
      <c r="AG19" s="6015">
        <f t="shared" si="33"/>
        <v>1779.4450000000002</v>
      </c>
      <c r="AH19" s="3677">
        <f t="shared" si="33"/>
        <v>1766.1540000000007</v>
      </c>
      <c r="AI19" s="3677">
        <f t="shared" si="33"/>
        <v>2184.9579999999996</v>
      </c>
      <c r="AJ19" s="3677">
        <f t="shared" si="33"/>
        <v>2122.2990000000009</v>
      </c>
      <c r="AK19" s="6014">
        <f t="shared" si="33"/>
        <v>7852.8560000000007</v>
      </c>
      <c r="AL19" s="6015">
        <f t="shared" si="33"/>
        <v>2249.5119999999997</v>
      </c>
      <c r="AM19" s="3677">
        <f t="shared" ref="AM19:BI19" si="34">SUM(AM9:AM18)</f>
        <v>1609.1719999999998</v>
      </c>
      <c r="AN19" s="3677">
        <f t="shared" si="34"/>
        <v>2725.9829999999997</v>
      </c>
      <c r="AO19" s="3677">
        <f t="shared" si="34"/>
        <v>2731.5309999999999</v>
      </c>
      <c r="AP19" s="6014">
        <f t="shared" si="34"/>
        <v>9316.1979999999985</v>
      </c>
      <c r="AQ19" s="6015">
        <f t="shared" si="34"/>
        <v>2584</v>
      </c>
      <c r="AR19" s="3677">
        <f t="shared" si="34"/>
        <v>2085</v>
      </c>
      <c r="AS19" s="3677">
        <f t="shared" si="34"/>
        <v>2886</v>
      </c>
      <c r="AT19" s="3677">
        <f t="shared" si="34"/>
        <v>3526</v>
      </c>
      <c r="AU19" s="6014">
        <f t="shared" si="34"/>
        <v>11081</v>
      </c>
      <c r="AV19" s="3677">
        <f t="shared" si="34"/>
        <v>3172</v>
      </c>
      <c r="AW19" s="3677">
        <f t="shared" si="34"/>
        <v>3519</v>
      </c>
      <c r="AX19" s="3677">
        <f t="shared" si="34"/>
        <v>3950</v>
      </c>
      <c r="AY19" s="3677">
        <f t="shared" si="34"/>
        <v>3924</v>
      </c>
      <c r="AZ19" s="6017">
        <f t="shared" si="34"/>
        <v>14565</v>
      </c>
      <c r="BA19" s="3677">
        <f>SUM(BA9:BA18)</f>
        <v>3694</v>
      </c>
      <c r="BB19" s="3677">
        <f>SUM(BB9:BB18)</f>
        <v>4379</v>
      </c>
      <c r="BC19" s="3677">
        <f>SUM(BC9:BC18)</f>
        <v>4457</v>
      </c>
      <c r="BD19" s="3677">
        <f>SUM(BD9:BD18)</f>
        <v>4688</v>
      </c>
      <c r="BE19" s="6018">
        <f t="shared" si="34"/>
        <v>17218</v>
      </c>
      <c r="BF19" s="3679">
        <f t="shared" si="34"/>
        <v>3633</v>
      </c>
      <c r="BG19" s="3679">
        <f t="shared" si="34"/>
        <v>4705</v>
      </c>
      <c r="BH19" s="3679">
        <f t="shared" si="34"/>
        <v>5053</v>
      </c>
      <c r="BI19" s="3679">
        <f t="shared" si="34"/>
        <v>5238</v>
      </c>
      <c r="BJ19" s="6018">
        <f t="shared" ref="BJ19:BR19" si="35">SUM(BJ9:BJ18)</f>
        <v>18629</v>
      </c>
      <c r="BK19" s="6019">
        <f t="shared" si="35"/>
        <v>4309.6559999999999</v>
      </c>
      <c r="BL19" s="3679">
        <f t="shared" si="35"/>
        <v>5557.2503999999999</v>
      </c>
      <c r="BM19" s="3679">
        <f t="shared" si="35"/>
        <v>5919.6059999999998</v>
      </c>
      <c r="BN19" s="3679">
        <f t="shared" si="35"/>
        <v>6281.6130000000003</v>
      </c>
      <c r="BO19" s="6018">
        <f t="shared" si="35"/>
        <v>22068.125400000001</v>
      </c>
      <c r="BP19" s="6019">
        <f t="shared" si="35"/>
        <v>6545.2332000000006</v>
      </c>
      <c r="BQ19" s="3679">
        <f t="shared" si="35"/>
        <v>7056</v>
      </c>
      <c r="BR19" s="3679">
        <f t="shared" si="35"/>
        <v>6007</v>
      </c>
      <c r="BS19" s="3679">
        <f>SUM(BS9:BS18)</f>
        <v>6415</v>
      </c>
      <c r="BT19" s="6020">
        <f t="shared" si="23"/>
        <v>26023.233200000002</v>
      </c>
      <c r="BU19" s="3681">
        <f t="shared" ref="BU19:CH19" si="36">SUM(BU9:BU18)</f>
        <v>7658</v>
      </c>
      <c r="BV19" s="3681">
        <f t="shared" si="36"/>
        <v>9120</v>
      </c>
      <c r="BW19" s="3681">
        <f t="shared" si="36"/>
        <v>9845</v>
      </c>
      <c r="BX19" s="3681">
        <f t="shared" si="36"/>
        <v>9413</v>
      </c>
      <c r="BY19" s="6020">
        <f t="shared" si="36"/>
        <v>36036</v>
      </c>
      <c r="BZ19" s="3681">
        <f>SUM(BZ9:BZ18)</f>
        <v>9548</v>
      </c>
      <c r="CA19" s="3681">
        <f>SUM(CA9:CA18)</f>
        <v>7403</v>
      </c>
      <c r="CB19" s="3681">
        <f>SUM(CB9:CB18)</f>
        <v>9872</v>
      </c>
      <c r="CC19" s="3681">
        <f>SUM(CC9:CC18)</f>
        <v>10268</v>
      </c>
      <c r="CD19" s="6020">
        <f t="shared" si="36"/>
        <v>37091</v>
      </c>
      <c r="CE19" s="3681">
        <f t="shared" si="36"/>
        <v>11642</v>
      </c>
      <c r="CF19" s="3681">
        <f t="shared" si="36"/>
        <v>10132</v>
      </c>
      <c r="CG19" s="3681">
        <f t="shared" si="36"/>
        <v>13210</v>
      </c>
      <c r="CH19" s="3681">
        <f t="shared" si="36"/>
        <v>12987</v>
      </c>
      <c r="CI19" s="6020">
        <f t="shared" ref="CI19:CS19" si="37">SUM(CI9:CI18)</f>
        <v>47971</v>
      </c>
      <c r="CJ19" s="3681">
        <f t="shared" si="37"/>
        <v>12000</v>
      </c>
      <c r="CK19" s="3681">
        <f t="shared" si="37"/>
        <v>12627</v>
      </c>
      <c r="CL19" s="3681">
        <f t="shared" si="37"/>
        <v>15466</v>
      </c>
      <c r="CM19" s="3681">
        <f t="shared" si="37"/>
        <v>14427</v>
      </c>
      <c r="CN19" s="6020">
        <f t="shared" si="37"/>
        <v>54520</v>
      </c>
      <c r="CO19" s="3681">
        <f t="shared" si="37"/>
        <v>11451</v>
      </c>
      <c r="CP19" s="3681">
        <f t="shared" si="37"/>
        <v>13993</v>
      </c>
      <c r="CQ19" s="3681">
        <f t="shared" si="37"/>
        <v>17003</v>
      </c>
      <c r="CR19" s="3681">
        <f t="shared" si="37"/>
        <v>22677</v>
      </c>
      <c r="CS19" s="6020">
        <f t="shared" si="37"/>
        <v>65124</v>
      </c>
      <c r="CT19" s="3681">
        <f t="shared" ref="CT19:DC19" si="38">SUM(CT9:CT18)</f>
        <v>19289</v>
      </c>
      <c r="CU19" s="3681">
        <f t="shared" si="38"/>
        <v>21890</v>
      </c>
      <c r="CV19" s="3681">
        <f t="shared" si="38"/>
        <v>25539</v>
      </c>
      <c r="CW19" s="3681">
        <f t="shared" si="38"/>
        <v>24934</v>
      </c>
      <c r="CX19" s="6020">
        <f t="shared" si="38"/>
        <v>91652</v>
      </c>
      <c r="CY19" s="3681">
        <f t="shared" si="38"/>
        <v>25106</v>
      </c>
      <c r="CZ19" s="3681">
        <f>SUM(CZ9:CZ18)</f>
        <v>19422</v>
      </c>
      <c r="DA19" s="3681">
        <f>SUM(DA9:DA18)</f>
        <v>23353</v>
      </c>
      <c r="DB19" s="3681">
        <f>SUM(DB9:DB18)</f>
        <v>23614</v>
      </c>
      <c r="DC19" s="6020">
        <f t="shared" si="38"/>
        <v>91495</v>
      </c>
      <c r="DD19" s="3681">
        <f>SUM(DD9:DD18)</f>
        <v>23509</v>
      </c>
      <c r="DE19" s="3681">
        <f>SUM(DE9:DE18)</f>
        <v>28666</v>
      </c>
      <c r="DF19" s="3681">
        <f>SUM(DF9:DF18)</f>
        <v>30656</v>
      </c>
      <c r="DG19" s="3681">
        <f>SUM(DG9:DG18)</f>
        <v>18915</v>
      </c>
      <c r="DH19" s="6020">
        <f t="shared" ref="DH19:DX19" si="39">SUM(DH9:DH18)</f>
        <v>101746</v>
      </c>
      <c r="DI19" s="3681">
        <f t="shared" ref="DI19:DN19" si="40">SUM(DI9:DI18)</f>
        <v>28848</v>
      </c>
      <c r="DJ19" s="3681">
        <f t="shared" si="40"/>
        <v>26640</v>
      </c>
      <c r="DK19" s="3681">
        <f t="shared" si="40"/>
        <v>30698</v>
      </c>
      <c r="DL19" s="3681">
        <f t="shared" si="40"/>
        <v>39113</v>
      </c>
      <c r="DM19" s="6020">
        <f t="shared" si="40"/>
        <v>125299</v>
      </c>
      <c r="DN19" s="3681">
        <f t="shared" si="40"/>
        <v>36150</v>
      </c>
      <c r="DO19" s="3681">
        <f t="shared" ref="DO19:DP19" si="41">SUM(DO9:DO18)</f>
        <v>27747</v>
      </c>
      <c r="DP19" s="3681">
        <f t="shared" si="41"/>
        <v>48414</v>
      </c>
      <c r="DQ19" s="3681">
        <f t="shared" ref="DQ19" ca="1" si="42">SUM(DQ9:DQ18)</f>
        <v>47482.674331486429</v>
      </c>
      <c r="DR19" s="6020">
        <f ca="1">SUM(DR9:DR18)</f>
        <v>159793.67433148643</v>
      </c>
      <c r="DS19" s="3681">
        <f t="shared" ref="DS19:DV19" ca="1" si="43">SUM(DS9:DS18)</f>
        <v>49393.814477541535</v>
      </c>
      <c r="DT19" s="3681">
        <f t="shared" ca="1" si="43"/>
        <v>37039.234019820258</v>
      </c>
      <c r="DU19" s="3681">
        <f t="shared" ca="1" si="43"/>
        <v>57122.233724921563</v>
      </c>
      <c r="DV19" s="3681">
        <f t="shared" ca="1" si="43"/>
        <v>58906.976960839471</v>
      </c>
      <c r="DW19" s="6020">
        <f ca="1">SUM(DW9:DW18)</f>
        <v>202462.25918312281</v>
      </c>
      <c r="DX19" s="6020">
        <f t="shared" ca="1" si="39"/>
        <v>233045.67604004024</v>
      </c>
      <c r="DY19" s="6020">
        <f ca="1">SUM(DY9:DY18)</f>
        <v>262186.89210780448</v>
      </c>
      <c r="DZ19" s="6020">
        <f ca="1">SUM(DZ9:DZ18)</f>
        <v>291757.16202415811</v>
      </c>
      <c r="EA19" s="6020">
        <f ca="1">SUM(EA9:EA18)</f>
        <v>324975.42946599319</v>
      </c>
      <c r="EC19" s="1319">
        <f ca="1">(DX19/DM19)^(1/3)-1</f>
        <v>0.22979054050666958</v>
      </c>
      <c r="ED19" s="1319">
        <f ca="1">(DZ19/DM19)^(1/5)-1</f>
        <v>0.18417198991838402</v>
      </c>
      <c r="EE19" s="514"/>
    </row>
    <row r="20" spans="1:135" s="329" customFormat="1" ht="11.25" customHeight="1">
      <c r="A20" s="1581" t="s">
        <v>45</v>
      </c>
      <c r="B20" s="931"/>
      <c r="C20" s="932"/>
      <c r="D20" s="328"/>
      <c r="E20" s="328"/>
      <c r="F20" s="328"/>
      <c r="G20" s="931">
        <f>G19/B19-1</f>
        <v>3.9942101707999598</v>
      </c>
      <c r="H20" s="933"/>
      <c r="I20" s="183"/>
      <c r="J20" s="183"/>
      <c r="K20" s="183"/>
      <c r="L20" s="931">
        <f t="shared" ref="L20:AP20" si="44">L19/G19-1</f>
        <v>1.546903680803787</v>
      </c>
      <c r="M20" s="933">
        <f t="shared" si="44"/>
        <v>0.83788582837152625</v>
      </c>
      <c r="N20" s="268">
        <f t="shared" si="44"/>
        <v>1.5409372264599224</v>
      </c>
      <c r="O20" s="268">
        <f t="shared" si="44"/>
        <v>0.80935716020891468</v>
      </c>
      <c r="P20" s="268">
        <f t="shared" si="44"/>
        <v>3.2533422691609992</v>
      </c>
      <c r="Q20" s="931">
        <f t="shared" si="44"/>
        <v>1.4707456156987702</v>
      </c>
      <c r="R20" s="933">
        <f t="shared" si="44"/>
        <v>1.5457088610637122</v>
      </c>
      <c r="S20" s="268">
        <f t="shared" si="44"/>
        <v>2.8424141388665034</v>
      </c>
      <c r="T20" s="268">
        <f t="shared" si="44"/>
        <v>1.7135137176254385</v>
      </c>
      <c r="U20" s="268">
        <f t="shared" si="44"/>
        <v>0.7887513345667041</v>
      </c>
      <c r="V20" s="931">
        <f t="shared" si="44"/>
        <v>1.5172070039834442</v>
      </c>
      <c r="W20" s="933">
        <f t="shared" si="44"/>
        <v>0.55734467223793605</v>
      </c>
      <c r="X20" s="268">
        <f t="shared" si="44"/>
        <v>0.34575797406098752</v>
      </c>
      <c r="Y20" s="268">
        <f t="shared" si="44"/>
        <v>0.55288544052001853</v>
      </c>
      <c r="Z20" s="268">
        <f t="shared" si="44"/>
        <v>0.38327303875559249</v>
      </c>
      <c r="AA20" s="934">
        <f t="shared" si="44"/>
        <v>0.45583311851321162</v>
      </c>
      <c r="AB20" s="935">
        <f t="shared" si="44"/>
        <v>0.47864219863143176</v>
      </c>
      <c r="AC20" s="181">
        <f t="shared" si="44"/>
        <v>0.4631804479256143</v>
      </c>
      <c r="AD20" s="181">
        <f t="shared" si="44"/>
        <v>0.62560588017412666</v>
      </c>
      <c r="AE20" s="181">
        <f t="shared" si="44"/>
        <v>0.85909876437482002</v>
      </c>
      <c r="AF20" s="934">
        <f t="shared" si="44"/>
        <v>0.61301413095571911</v>
      </c>
      <c r="AG20" s="935">
        <f t="shared" si="44"/>
        <v>0.459051812494363</v>
      </c>
      <c r="AH20" s="181">
        <f t="shared" si="44"/>
        <v>0.43598045090407722</v>
      </c>
      <c r="AI20" s="181">
        <f t="shared" si="44"/>
        <v>0.33830157996122789</v>
      </c>
      <c r="AJ20" s="181">
        <f t="shared" si="44"/>
        <v>0.25338342223503219</v>
      </c>
      <c r="AK20" s="934">
        <f t="shared" si="44"/>
        <v>0.35970537156669402</v>
      </c>
      <c r="AL20" s="935">
        <f t="shared" si="44"/>
        <v>0.26416495030753939</v>
      </c>
      <c r="AM20" s="181">
        <f t="shared" si="44"/>
        <v>-8.8883528842898629E-2</v>
      </c>
      <c r="AN20" s="181">
        <f t="shared" si="44"/>
        <v>0.24761345527007861</v>
      </c>
      <c r="AO20" s="181">
        <f t="shared" si="44"/>
        <v>0.28706228481472151</v>
      </c>
      <c r="AP20" s="934">
        <f t="shared" si="44"/>
        <v>0.18634519721232601</v>
      </c>
      <c r="AQ20" s="935">
        <f t="shared" ref="AQ20:BB20" si="45">AQ19/AL19-1</f>
        <v>0.14869358331940452</v>
      </c>
      <c r="AR20" s="181">
        <f t="shared" si="45"/>
        <v>0.29569741457097209</v>
      </c>
      <c r="AS20" s="181">
        <f t="shared" si="45"/>
        <v>5.8700659541897515E-2</v>
      </c>
      <c r="AT20" s="181">
        <f t="shared" si="45"/>
        <v>0.29085117467090793</v>
      </c>
      <c r="AU20" s="934">
        <f t="shared" si="45"/>
        <v>0.18943371534181663</v>
      </c>
      <c r="AV20" s="181">
        <f t="shared" si="45"/>
        <v>0.22755417956656343</v>
      </c>
      <c r="AW20" s="181">
        <f t="shared" si="45"/>
        <v>0.68776978417266177</v>
      </c>
      <c r="AX20" s="181">
        <f t="shared" si="45"/>
        <v>0.36867636867636877</v>
      </c>
      <c r="AY20" s="181">
        <f t="shared" si="45"/>
        <v>0.11287577992058995</v>
      </c>
      <c r="AZ20" s="503">
        <f t="shared" si="45"/>
        <v>0.31441205667358552</v>
      </c>
      <c r="BA20" s="181">
        <f t="shared" si="45"/>
        <v>0.16456494325346793</v>
      </c>
      <c r="BB20" s="181">
        <f t="shared" si="45"/>
        <v>0.24438761011651033</v>
      </c>
      <c r="BC20" s="181">
        <f t="shared" ref="BC20:BS20" si="46">BC19/AX19-1</f>
        <v>0.12835443037974681</v>
      </c>
      <c r="BD20" s="181">
        <f t="shared" si="46"/>
        <v>0.19469928644240575</v>
      </c>
      <c r="BE20" s="503">
        <f t="shared" si="46"/>
        <v>0.18214898729831797</v>
      </c>
      <c r="BF20" s="181">
        <f t="shared" si="46"/>
        <v>-1.6513264753654555E-2</v>
      </c>
      <c r="BG20" s="181">
        <f t="shared" si="46"/>
        <v>7.4446220598310076E-2</v>
      </c>
      <c r="BH20" s="181">
        <f t="shared" si="46"/>
        <v>0.13372223468700928</v>
      </c>
      <c r="BI20" s="181">
        <f t="shared" si="46"/>
        <v>0.11732081911262804</v>
      </c>
      <c r="BJ20" s="503">
        <f t="shared" si="46"/>
        <v>8.1949123010802705E-2</v>
      </c>
      <c r="BK20" s="551">
        <f t="shared" si="46"/>
        <v>0.18625268373245252</v>
      </c>
      <c r="BL20" s="181">
        <f t="shared" si="46"/>
        <v>0.18113717321997869</v>
      </c>
      <c r="BM20" s="181">
        <f t="shared" si="46"/>
        <v>0.17150326538689886</v>
      </c>
      <c r="BN20" s="181">
        <f t="shared" si="46"/>
        <v>0.19923883161512035</v>
      </c>
      <c r="BO20" s="503">
        <f t="shared" si="46"/>
        <v>0.18461138010628586</v>
      </c>
      <c r="BP20" s="551">
        <f t="shared" si="46"/>
        <v>0.51873680869192351</v>
      </c>
      <c r="BQ20" s="181">
        <f t="shared" si="46"/>
        <v>0.26969265232317041</v>
      </c>
      <c r="BR20" s="181">
        <f t="shared" si="46"/>
        <v>1.4763482569617015E-2</v>
      </c>
      <c r="BS20" s="181">
        <f t="shared" si="46"/>
        <v>2.1234514128775528E-2</v>
      </c>
      <c r="BT20" s="901">
        <f t="shared" ref="BT20:BZ20" si="47">BT19/BO19-1</f>
        <v>0.17922264480153816</v>
      </c>
      <c r="BU20" s="181">
        <f t="shared" si="47"/>
        <v>0.17001178812085715</v>
      </c>
      <c r="BV20" s="181">
        <f t="shared" si="47"/>
        <v>0.29251700680272119</v>
      </c>
      <c r="BW20" s="181">
        <f t="shared" si="47"/>
        <v>0.638921258531713</v>
      </c>
      <c r="BX20" s="181">
        <f t="shared" si="47"/>
        <v>0.46734216679657048</v>
      </c>
      <c r="BY20" s="901">
        <f t="shared" si="47"/>
        <v>0.38476259744696129</v>
      </c>
      <c r="BZ20" s="181">
        <f t="shared" si="47"/>
        <v>0.24680073126142599</v>
      </c>
      <c r="CA20" s="181">
        <f t="shared" ref="CA20:CS20" si="48">CA19/BV19-1</f>
        <v>-0.18826754385964917</v>
      </c>
      <c r="CB20" s="181">
        <f t="shared" si="48"/>
        <v>2.7425088877601755E-3</v>
      </c>
      <c r="CC20" s="181">
        <f t="shared" si="48"/>
        <v>9.0831828322532671E-2</v>
      </c>
      <c r="CD20" s="901">
        <f t="shared" si="48"/>
        <v>2.9276279276279293E-2</v>
      </c>
      <c r="CE20" s="181">
        <f t="shared" si="48"/>
        <v>0.2193129451193967</v>
      </c>
      <c r="CF20" s="181">
        <f t="shared" si="48"/>
        <v>0.36863433743077123</v>
      </c>
      <c r="CG20" s="181">
        <f t="shared" si="48"/>
        <v>0.33812803889789311</v>
      </c>
      <c r="CH20" s="181">
        <f t="shared" si="48"/>
        <v>0.26480327230229839</v>
      </c>
      <c r="CI20" s="901">
        <f t="shared" si="48"/>
        <v>0.29333261438084701</v>
      </c>
      <c r="CJ20" s="181">
        <f t="shared" si="48"/>
        <v>3.0750730115100433E-2</v>
      </c>
      <c r="CK20" s="181">
        <f t="shared" si="48"/>
        <v>0.24624950651401489</v>
      </c>
      <c r="CL20" s="181">
        <f t="shared" si="48"/>
        <v>0.17077971233913702</v>
      </c>
      <c r="CM20" s="181">
        <f t="shared" si="48"/>
        <v>0.11088011088011096</v>
      </c>
      <c r="CN20" s="901">
        <f t="shared" si="48"/>
        <v>0.13651998082174654</v>
      </c>
      <c r="CO20" s="181">
        <f t="shared" si="48"/>
        <v>-4.5749999999999957E-2</v>
      </c>
      <c r="CP20" s="181">
        <f t="shared" si="48"/>
        <v>0.10818088223647737</v>
      </c>
      <c r="CQ20" s="181">
        <f t="shared" si="48"/>
        <v>9.9379283589809964E-2</v>
      </c>
      <c r="CR20" s="181">
        <f t="shared" si="48"/>
        <v>0.57184445830734032</v>
      </c>
      <c r="CS20" s="901">
        <f t="shared" si="48"/>
        <v>0.19449743213499637</v>
      </c>
      <c r="CT20" s="181">
        <f t="shared" ref="CT20:DP20" si="49">CT19/CO19-1</f>
        <v>0.68448170465461522</v>
      </c>
      <c r="CU20" s="181">
        <f t="shared" si="49"/>
        <v>0.56435360537411561</v>
      </c>
      <c r="CV20" s="181">
        <f t="shared" si="49"/>
        <v>0.50202905369640649</v>
      </c>
      <c r="CW20" s="181">
        <f t="shared" si="49"/>
        <v>9.9528156281695201E-2</v>
      </c>
      <c r="CX20" s="901">
        <f t="shared" si="49"/>
        <v>0.40734598611878869</v>
      </c>
      <c r="CY20" s="181">
        <f t="shared" si="49"/>
        <v>0.30157084348592456</v>
      </c>
      <c r="CZ20" s="181">
        <f t="shared" si="49"/>
        <v>-0.11274554591137509</v>
      </c>
      <c r="DA20" s="181">
        <f t="shared" si="49"/>
        <v>-8.5594580837150991E-2</v>
      </c>
      <c r="DB20" s="181">
        <f t="shared" si="49"/>
        <v>-5.2939760968958027E-2</v>
      </c>
      <c r="DC20" s="901">
        <f t="shared" si="49"/>
        <v>-1.7130013529437216E-3</v>
      </c>
      <c r="DD20" s="181">
        <f t="shared" si="49"/>
        <v>-6.3610292360391951E-2</v>
      </c>
      <c r="DE20" s="181">
        <f t="shared" si="49"/>
        <v>0.4759551024611266</v>
      </c>
      <c r="DF20" s="181">
        <f t="shared" si="49"/>
        <v>0.31272213420117323</v>
      </c>
      <c r="DG20" s="181">
        <f t="shared" si="49"/>
        <v>-0.19899212331667659</v>
      </c>
      <c r="DH20" s="901">
        <f t="shared" ref="DH20:DM20" si="50">DH19/DC19-1</f>
        <v>0.11203890923001247</v>
      </c>
      <c r="DI20" s="181">
        <f t="shared" si="49"/>
        <v>0.22710451316517077</v>
      </c>
      <c r="DJ20" s="181">
        <f t="shared" si="49"/>
        <v>-7.0676062234005466E-2</v>
      </c>
      <c r="DK20" s="181">
        <f t="shared" si="49"/>
        <v>1.370041753653517E-3</v>
      </c>
      <c r="DL20" s="181">
        <f t="shared" si="49"/>
        <v>1.0678297647369814</v>
      </c>
      <c r="DM20" s="901">
        <f t="shared" si="50"/>
        <v>0.23148821575295342</v>
      </c>
      <c r="DN20" s="181">
        <f t="shared" si="49"/>
        <v>0.25311980033277881</v>
      </c>
      <c r="DO20" s="181">
        <f t="shared" si="49"/>
        <v>4.155405405405399E-2</v>
      </c>
      <c r="DP20" s="181">
        <f t="shared" si="49"/>
        <v>0.57710600039090498</v>
      </c>
      <c r="DQ20" s="181">
        <f t="shared" ref="DQ20:DR20" ca="1" si="51">DQ19/DL19-1</f>
        <v>0.21398702046599416</v>
      </c>
      <c r="DR20" s="901">
        <f t="shared" ca="1" si="51"/>
        <v>0.27529887973157341</v>
      </c>
      <c r="DS20" s="181">
        <f t="shared" ref="DS20" ca="1" si="52">DS19/DN19-1</f>
        <v>0.3663572469582721</v>
      </c>
      <c r="DT20" s="181">
        <f t="shared" ref="DT20" ca="1" si="53">DT19/DO19-1</f>
        <v>0.33489148447833128</v>
      </c>
      <c r="DU20" s="181">
        <f t="shared" ref="DU20" ca="1" si="54">DU19/DP19-1</f>
        <v>0.17987015584173105</v>
      </c>
      <c r="DV20" s="181">
        <f t="shared" ref="DV20:DW20" ca="1" si="55">DV19/DQ19-1</f>
        <v>0.24059939315122825</v>
      </c>
      <c r="DW20" s="901">
        <f t="shared" ca="1" si="55"/>
        <v>0.26702299092967774</v>
      </c>
      <c r="DX20" s="901">
        <f ca="1">DX19/DW19-1</f>
        <v>0.1510573722742834</v>
      </c>
      <c r="DY20" s="901">
        <f ca="1">DY19/DX19-1</f>
        <v>0.12504508370606882</v>
      </c>
      <c r="DZ20" s="901">
        <f ca="1">DZ19/DY19-1</f>
        <v>0.11278317416492012</v>
      </c>
      <c r="EA20" s="901">
        <f ca="1">EA19/DZ19-1</f>
        <v>0.1138558766179818</v>
      </c>
      <c r="EB20" s="268"/>
      <c r="EC20" s="4322"/>
      <c r="ED20" s="4322"/>
    </row>
    <row r="21" spans="1:135" s="335" customFormat="1" ht="11.25" customHeight="1">
      <c r="A21" s="1582"/>
      <c r="B21" s="936"/>
      <c r="C21" s="937"/>
      <c r="D21" s="330"/>
      <c r="E21" s="330"/>
      <c r="F21" s="330"/>
      <c r="G21" s="936"/>
      <c r="H21" s="937"/>
      <c r="I21" s="330"/>
      <c r="J21" s="330"/>
      <c r="K21" s="330"/>
      <c r="L21" s="937">
        <f t="shared" ref="L21:AA21" si="56">L11/L23</f>
        <v>-0.24802461524538891</v>
      </c>
      <c r="M21" s="937">
        <f t="shared" si="56"/>
        <v>-0.24740518614084639</v>
      </c>
      <c r="N21" s="331"/>
      <c r="O21" s="330">
        <f t="shared" si="56"/>
        <v>-0.4610985160758449</v>
      </c>
      <c r="P21" s="330">
        <f t="shared" si="56"/>
        <v>-0.72618483412322277</v>
      </c>
      <c r="Q21" s="937">
        <f t="shared" si="56"/>
        <v>-0.40289973197072054</v>
      </c>
      <c r="R21" s="937">
        <f t="shared" si="56"/>
        <v>-0.32641107935192537</v>
      </c>
      <c r="S21" s="330">
        <f t="shared" si="56"/>
        <v>-0.36178022773603952</v>
      </c>
      <c r="T21" s="330">
        <f t="shared" si="56"/>
        <v>-0.23129777255137898</v>
      </c>
      <c r="U21" s="330">
        <f t="shared" si="56"/>
        <v>-0.34863381754131911</v>
      </c>
      <c r="V21" s="937">
        <f t="shared" si="56"/>
        <v>-0.30637889711136856</v>
      </c>
      <c r="W21" s="937"/>
      <c r="X21" s="330"/>
      <c r="Y21" s="332"/>
      <c r="Z21" s="333"/>
      <c r="AA21" s="938">
        <f t="shared" si="56"/>
        <v>-0.25984366180750662</v>
      </c>
      <c r="AB21" s="939"/>
      <c r="AC21" s="334"/>
      <c r="AD21" s="334"/>
      <c r="AE21" s="334"/>
      <c r="AF21" s="940"/>
      <c r="AG21" s="939"/>
      <c r="AH21" s="334"/>
      <c r="AI21" s="334"/>
      <c r="AJ21" s="334"/>
      <c r="AK21" s="941"/>
      <c r="AL21" s="939"/>
      <c r="AM21" s="334"/>
      <c r="AN21" s="334"/>
      <c r="AO21" s="334"/>
      <c r="AP21" s="941"/>
      <c r="AQ21" s="939"/>
      <c r="AR21" s="334"/>
      <c r="AS21" s="334"/>
      <c r="AT21" s="334"/>
      <c r="AU21" s="941"/>
      <c r="AV21" s="334"/>
      <c r="AW21" s="334"/>
      <c r="AX21" s="334"/>
      <c r="AY21" s="334"/>
      <c r="AZ21" s="508"/>
      <c r="BA21" s="334"/>
      <c r="BB21" s="334"/>
      <c r="BC21" s="334"/>
      <c r="BD21" s="334"/>
      <c r="BE21" s="508"/>
      <c r="BF21" s="356"/>
      <c r="BG21" s="356"/>
      <c r="BH21" s="334"/>
      <c r="BI21" s="334"/>
      <c r="BJ21" s="508"/>
      <c r="BK21" s="569"/>
      <c r="BL21" s="356"/>
      <c r="BM21" s="356"/>
      <c r="BN21" s="570"/>
      <c r="BO21" s="508"/>
      <c r="BP21" s="569"/>
      <c r="BQ21" s="356"/>
      <c r="BR21" s="356"/>
      <c r="BS21" s="356"/>
      <c r="BT21" s="902"/>
      <c r="BU21" s="356"/>
      <c r="BV21" s="356"/>
      <c r="BW21" s="356"/>
      <c r="BX21" s="356"/>
      <c r="BY21" s="902"/>
      <c r="BZ21" s="356"/>
      <c r="CA21" s="356"/>
      <c r="CB21" s="356"/>
      <c r="CC21" s="356"/>
      <c r="CD21" s="902"/>
      <c r="CE21" s="356"/>
      <c r="CF21" s="356"/>
      <c r="CG21" s="356"/>
      <c r="CH21" s="356"/>
      <c r="CI21" s="902"/>
      <c r="CJ21" s="356"/>
      <c r="CK21" s="356"/>
      <c r="CL21" s="356"/>
      <c r="CM21" s="356"/>
      <c r="CN21" s="902"/>
      <c r="CO21" s="356"/>
      <c r="CP21" s="356"/>
      <c r="CQ21" s="356"/>
      <c r="CR21" s="356"/>
      <c r="CS21" s="902"/>
      <c r="CT21" s="356"/>
      <c r="CU21" s="356"/>
      <c r="CV21" s="356"/>
      <c r="CW21" s="356"/>
      <c r="CX21" s="902"/>
      <c r="CY21" s="356"/>
      <c r="CZ21" s="356"/>
      <c r="DA21" s="356"/>
      <c r="DB21" s="356"/>
      <c r="DC21" s="5130"/>
      <c r="DD21" s="356"/>
      <c r="DE21" s="356"/>
      <c r="DF21" s="356"/>
      <c r="DG21" s="356"/>
      <c r="DH21" s="5130"/>
      <c r="DI21" s="356"/>
      <c r="DJ21" s="356"/>
      <c r="DK21" s="356"/>
      <c r="DL21" s="356"/>
      <c r="DM21" s="5130"/>
      <c r="DN21" s="356"/>
      <c r="DO21" s="356"/>
      <c r="DP21" s="356"/>
      <c r="DQ21" s="356"/>
      <c r="DR21" s="5130"/>
      <c r="DS21" s="356"/>
      <c r="DT21" s="356"/>
      <c r="DU21" s="356"/>
      <c r="DV21" s="356"/>
      <c r="DW21" s="5130"/>
      <c r="DX21" s="902"/>
      <c r="DY21" s="902"/>
      <c r="DZ21" s="902"/>
      <c r="EA21" s="902"/>
      <c r="EC21" s="4323"/>
      <c r="ED21" s="4323"/>
    </row>
    <row r="22" spans="1:135" s="45" customFormat="1" ht="11.25" customHeight="1">
      <c r="A22" s="6150" t="s">
        <v>94</v>
      </c>
      <c r="B22" s="6151"/>
      <c r="C22" s="6152"/>
      <c r="D22" s="6153"/>
      <c r="E22" s="6153"/>
      <c r="F22" s="6153"/>
      <c r="G22" s="6151"/>
      <c r="H22" s="6152"/>
      <c r="I22" s="6153"/>
      <c r="J22" s="6153"/>
      <c r="K22" s="6153"/>
      <c r="L22" s="6151"/>
      <c r="M22" s="6152"/>
      <c r="N22" s="6153"/>
      <c r="O22" s="6153"/>
      <c r="P22" s="6153"/>
      <c r="Q22" s="6151"/>
      <c r="R22" s="6152"/>
      <c r="S22" s="6153"/>
      <c r="T22" s="6153"/>
      <c r="U22" s="6153"/>
      <c r="V22" s="6151"/>
      <c r="W22" s="6152"/>
      <c r="X22" s="6153"/>
      <c r="Y22" s="6153"/>
      <c r="Z22" s="6154"/>
      <c r="AA22" s="6155"/>
      <c r="AB22" s="6156"/>
      <c r="AC22" s="6157"/>
      <c r="AD22" s="6157"/>
      <c r="AE22" s="6158"/>
      <c r="AF22" s="6155"/>
      <c r="AG22" s="6156"/>
      <c r="AH22" s="6157"/>
      <c r="AI22" s="6157"/>
      <c r="AJ22" s="6158"/>
      <c r="AK22" s="6155"/>
      <c r="AL22" s="6156"/>
      <c r="AM22" s="6157"/>
      <c r="AN22" s="6157"/>
      <c r="AO22" s="6158"/>
      <c r="AP22" s="6155"/>
      <c r="AQ22" s="6156"/>
      <c r="AR22" s="6157"/>
      <c r="AS22" s="6157"/>
      <c r="AT22" s="6158"/>
      <c r="AU22" s="6155"/>
      <c r="AV22" s="6159"/>
      <c r="AW22" s="6157"/>
      <c r="AX22" s="6157"/>
      <c r="AY22" s="6157"/>
      <c r="AZ22" s="6160"/>
      <c r="BA22" s="6157"/>
      <c r="BB22" s="6157"/>
      <c r="BC22" s="6157"/>
      <c r="BD22" s="6157"/>
      <c r="BE22" s="6160"/>
      <c r="BF22" s="6157"/>
      <c r="BG22" s="6157"/>
      <c r="BH22" s="6157"/>
      <c r="BI22" s="6157"/>
      <c r="BJ22" s="6160"/>
      <c r="BK22" s="6161"/>
      <c r="BL22" s="6157"/>
      <c r="BM22" s="6157"/>
      <c r="BN22" s="6162"/>
      <c r="BO22" s="6160"/>
      <c r="BP22" s="6161"/>
      <c r="BQ22" s="6157"/>
      <c r="BR22" s="6157"/>
      <c r="BS22" s="6157"/>
      <c r="BT22" s="6163"/>
      <c r="BU22" s="6157"/>
      <c r="BV22" s="6157"/>
      <c r="BW22" s="6157"/>
      <c r="BX22" s="6157"/>
      <c r="BY22" s="6163"/>
      <c r="BZ22" s="6157"/>
      <c r="CA22" s="6157"/>
      <c r="CB22" s="6157"/>
      <c r="CC22" s="6157"/>
      <c r="CD22" s="6163"/>
      <c r="CE22" s="6157"/>
      <c r="CF22" s="6157"/>
      <c r="CG22" s="6157"/>
      <c r="CH22" s="6157"/>
      <c r="CI22" s="6163"/>
      <c r="CJ22" s="6157"/>
      <c r="CK22" s="6157"/>
      <c r="CL22" s="6157"/>
      <c r="CM22" s="6157"/>
      <c r="CN22" s="6163"/>
      <c r="CO22" s="6157"/>
      <c r="CP22" s="6157"/>
      <c r="CQ22" s="6157"/>
      <c r="CR22" s="6157"/>
      <c r="CS22" s="6163"/>
      <c r="CT22" s="6157"/>
      <c r="CU22" s="6157"/>
      <c r="CV22" s="6157"/>
      <c r="CW22" s="6157"/>
      <c r="CX22" s="6163"/>
      <c r="CY22" s="6157"/>
      <c r="CZ22" s="6157"/>
      <c r="DA22" s="6157"/>
      <c r="DB22" s="6157"/>
      <c r="DC22" s="6164"/>
      <c r="DD22" s="6157"/>
      <c r="DE22" s="6157"/>
      <c r="DF22" s="6157"/>
      <c r="DG22" s="6157"/>
      <c r="DH22" s="6164"/>
      <c r="DI22" s="6157"/>
      <c r="DJ22" s="6157"/>
      <c r="DK22" s="6157"/>
      <c r="DL22" s="6157"/>
      <c r="DM22" s="6164"/>
      <c r="DN22" s="6157"/>
      <c r="DO22" s="6157"/>
      <c r="DP22" s="6157"/>
      <c r="DQ22" s="6157"/>
      <c r="DR22" s="6164"/>
      <c r="DS22" s="6157"/>
      <c r="DT22" s="6157"/>
      <c r="DU22" s="6157"/>
      <c r="DV22" s="6157"/>
      <c r="DW22" s="6164"/>
      <c r="DX22" s="6163"/>
      <c r="DY22" s="6163"/>
      <c r="DZ22" s="6163"/>
      <c r="EA22" s="6163"/>
      <c r="EC22" s="4320"/>
      <c r="ED22" s="4320"/>
    </row>
    <row r="23" spans="1:135" s="45" customFormat="1" ht="11.25" customHeight="1">
      <c r="A23" s="1577" t="s">
        <v>789</v>
      </c>
      <c r="B23" s="875">
        <v>-13.06</v>
      </c>
      <c r="C23" s="876"/>
      <c r="D23" s="95">
        <f>-C23</f>
        <v>0</v>
      </c>
      <c r="E23" s="95">
        <f>-D23-C23</f>
        <v>0</v>
      </c>
      <c r="F23" s="95">
        <f>G23-E23-D23-C23</f>
        <v>-37.198</v>
      </c>
      <c r="G23" s="875">
        <v>-37.198</v>
      </c>
      <c r="H23" s="877">
        <v>-29.55</v>
      </c>
      <c r="I23" s="37">
        <f>-60.553-H23</f>
        <v>-31.002999999999997</v>
      </c>
      <c r="J23" s="37">
        <f>-120.31-I23-H23</f>
        <v>-59.757000000000005</v>
      </c>
      <c r="K23" s="37">
        <f>L23-J23-I23-H23</f>
        <v>-56.490999999999985</v>
      </c>
      <c r="L23" s="875">
        <v>-176.80099999999999</v>
      </c>
      <c r="M23" s="942">
        <v>-86.037000000000006</v>
      </c>
      <c r="N23" s="37">
        <f>-182.283-M23</f>
        <v>-96.245999999999981</v>
      </c>
      <c r="O23" s="37">
        <f>-259.915-N23-M23</f>
        <v>-77.632000000000033</v>
      </c>
      <c r="P23" s="37">
        <f>Q23-O23-N23-M23</f>
        <v>-59.079999999999984</v>
      </c>
      <c r="Q23" s="875">
        <v>-318.995</v>
      </c>
      <c r="R23" s="942">
        <v>-142.39099999999999</v>
      </c>
      <c r="S23" s="77">
        <f>-299.854-R23</f>
        <v>-157.46299999999999</v>
      </c>
      <c r="T23" s="77">
        <f>-592.386-S23-R23</f>
        <v>-292.53200000000004</v>
      </c>
      <c r="U23" s="37">
        <f>V23-T23-S23-R23</f>
        <v>-245.83099999999999</v>
      </c>
      <c r="V23" s="943">
        <v>-838.21699999999998</v>
      </c>
      <c r="W23" s="942">
        <v>-344.93799999999999</v>
      </c>
      <c r="X23" s="77">
        <f>-1043.938-W23</f>
        <v>-699.00000000000011</v>
      </c>
      <c r="Y23" s="77">
        <f>-1536.16-X23-W23</f>
        <v>-492.22199999999998</v>
      </c>
      <c r="Z23" s="37">
        <f>AA23-Y23-X23-W23</f>
        <v>-366.63799999999992</v>
      </c>
      <c r="AA23" s="880">
        <v>-1902.798</v>
      </c>
      <c r="AB23" s="879">
        <v>-596.89300000000003</v>
      </c>
      <c r="AC23" s="42">
        <f>(-1171.991)-AB23</f>
        <v>-575.09799999999996</v>
      </c>
      <c r="AD23" s="42">
        <f>-1724.631-AC23-AB23</f>
        <v>-552.6400000000001</v>
      </c>
      <c r="AE23" s="43">
        <f>AF23-AD23-AC23-AB23</f>
        <v>-678.20900000000006</v>
      </c>
      <c r="AF23" s="880">
        <v>-2402.84</v>
      </c>
      <c r="AG23" s="879">
        <v>-841.59699999999998</v>
      </c>
      <c r="AH23" s="42">
        <v>-697.51700000000005</v>
      </c>
      <c r="AI23" s="42">
        <f>-1990.617-AH23-AG23</f>
        <v>-451.50299999999993</v>
      </c>
      <c r="AJ23" s="42">
        <f>-367.844</f>
        <v>-367.84399999999999</v>
      </c>
      <c r="AK23" s="880">
        <f>SUM(AG23:AJ23)</f>
        <v>-2358.4609999999998</v>
      </c>
      <c r="AL23" s="879">
        <v>-262.755</v>
      </c>
      <c r="AM23" s="42">
        <v>-139.43700000000001</v>
      </c>
      <c r="AN23" s="42">
        <v>-186.339</v>
      </c>
      <c r="AO23" s="42">
        <v>-221.357</v>
      </c>
      <c r="AP23" s="880">
        <f t="shared" ref="AP23:AP32" si="57">SUM(AL23:AO23)</f>
        <v>-809.88799999999992</v>
      </c>
      <c r="AQ23" s="944">
        <v>-239</v>
      </c>
      <c r="AR23" s="65">
        <v>-476</v>
      </c>
      <c r="AS23" s="336">
        <v>-757</v>
      </c>
      <c r="AT23" s="65">
        <v>-2545</v>
      </c>
      <c r="AU23" s="880">
        <f t="shared" ref="AU23:AU32" si="58">SUM(AQ23:AT23)</f>
        <v>-4017</v>
      </c>
      <c r="AV23" s="65">
        <v>-890</v>
      </c>
      <c r="AW23" s="65">
        <v>-917</v>
      </c>
      <c r="AX23" s="65">
        <v>-680</v>
      </c>
      <c r="AY23" s="65">
        <v>-951</v>
      </c>
      <c r="AZ23" s="502">
        <f t="shared" ref="AZ23:AZ32" si="59">SUM(AV23:AY23)</f>
        <v>-3438</v>
      </c>
      <c r="BA23" s="65">
        <v>-607</v>
      </c>
      <c r="BB23" s="65">
        <v>-774</v>
      </c>
      <c r="BC23" s="65">
        <v>-872</v>
      </c>
      <c r="BD23" s="65">
        <v>-1020</v>
      </c>
      <c r="BE23" s="666">
        <f t="shared" ref="BE23:BE32" si="60">SUM(BA23:BD23)</f>
        <v>-3273</v>
      </c>
      <c r="BF23" s="656">
        <v>-1203</v>
      </c>
      <c r="BG23" s="656">
        <v>-1611</v>
      </c>
      <c r="BH23" s="656">
        <v>-2289</v>
      </c>
      <c r="BI23" s="656">
        <v>-2255</v>
      </c>
      <c r="BJ23" s="666">
        <f t="shared" ref="BJ23:BJ32" si="61">SUM(BF23:BI23)</f>
        <v>-7358</v>
      </c>
      <c r="BK23" s="667">
        <v>-2345</v>
      </c>
      <c r="BL23" s="656">
        <v>-2646</v>
      </c>
      <c r="BM23" s="656">
        <v>-2417</v>
      </c>
      <c r="BN23" s="656">
        <v>-3551</v>
      </c>
      <c r="BO23" s="666">
        <f t="shared" ref="BO23:BO32" si="62">SUM(BK23:BN23)</f>
        <v>-10959</v>
      </c>
      <c r="BP23" s="667">
        <v>-2927</v>
      </c>
      <c r="BQ23" s="656">
        <v>-2515</v>
      </c>
      <c r="BR23" s="656">
        <v>-2383</v>
      </c>
      <c r="BS23" s="656">
        <v>-2102</v>
      </c>
      <c r="BT23" s="869">
        <f t="shared" ref="BT23:BT32" si="63">SUM(BP23:BS23)</f>
        <v>-9927</v>
      </c>
      <c r="BU23" s="821">
        <v>-2444</v>
      </c>
      <c r="BV23" s="656">
        <v>-2123</v>
      </c>
      <c r="BW23" s="656">
        <f>-2554+197</f>
        <v>-2357</v>
      </c>
      <c r="BX23" s="656">
        <v>-3078</v>
      </c>
      <c r="BY23" s="947">
        <f>SUM(BU23:BX23)</f>
        <v>-10002</v>
      </c>
      <c r="BZ23" s="656">
        <v>-2508</v>
      </c>
      <c r="CA23" s="656">
        <f>-2831</f>
        <v>-2831</v>
      </c>
      <c r="CB23" s="656">
        <f>-3538</f>
        <v>-3538</v>
      </c>
      <c r="CC23" s="656">
        <v>-4307</v>
      </c>
      <c r="CD23" s="947">
        <f t="shared" ref="CD23:CD31" si="64">SUM(BZ23:CC23)</f>
        <v>-13184</v>
      </c>
      <c r="CE23" s="656">
        <v>-7299</v>
      </c>
      <c r="CF23" s="656">
        <f>-5477</f>
        <v>-5477</v>
      </c>
      <c r="CG23" s="656">
        <v>-5282</v>
      </c>
      <c r="CH23" s="656">
        <v>-7081</v>
      </c>
      <c r="CI23" s="947">
        <f t="shared" ref="CI23:CI31" si="65">SUM(CE23:CH23)</f>
        <v>-25139</v>
      </c>
      <c r="CJ23" s="656">
        <v>-4638</v>
      </c>
      <c r="CK23" s="656">
        <v>-6126</v>
      </c>
      <c r="CL23" s="656">
        <v>-6732</v>
      </c>
      <c r="CM23" s="656">
        <v>-6052</v>
      </c>
      <c r="CN23" s="869">
        <f t="shared" ref="CN23:CN31" si="66">SUM(CJ23:CM23)</f>
        <v>-23548</v>
      </c>
      <c r="CO23" s="656">
        <v>-6005</v>
      </c>
      <c r="CP23" s="656">
        <v>-5391</v>
      </c>
      <c r="CQ23" s="656">
        <v>-5406</v>
      </c>
      <c r="CR23" s="656">
        <v>-5479</v>
      </c>
      <c r="CS23" s="869">
        <f t="shared" ref="CS23:CS31" si="67">SUM(CO23:CR23)</f>
        <v>-22281</v>
      </c>
      <c r="CT23" s="656">
        <v>-5942</v>
      </c>
      <c r="CU23" s="656">
        <v>-5496</v>
      </c>
      <c r="CV23" s="656">
        <v>-6819</v>
      </c>
      <c r="CW23" s="656">
        <v>-6383</v>
      </c>
      <c r="CX23" s="869">
        <f t="shared" ref="CX23:CX31" si="68">SUM(CT23:CW23)</f>
        <v>-24640</v>
      </c>
      <c r="CY23" s="656">
        <v>-9786</v>
      </c>
      <c r="CZ23" s="656">
        <v>-6828</v>
      </c>
      <c r="DA23" s="656">
        <v>-7276</v>
      </c>
      <c r="DB23" s="656">
        <v>-7595</v>
      </c>
      <c r="DC23" s="869">
        <f t="shared" ref="DC23:DC31" si="69">SUM(CY23:DB23)</f>
        <v>-31485</v>
      </c>
      <c r="DD23" s="656">
        <v>-6289</v>
      </c>
      <c r="DE23" s="656">
        <v>-6888</v>
      </c>
      <c r="DF23" s="656">
        <v>-8055</v>
      </c>
      <c r="DG23" s="656">
        <v>-11019</v>
      </c>
      <c r="DH23" s="869">
        <f t="shared" ref="DH23:DH31" si="70">SUM(DD23:DG23)</f>
        <v>-32251</v>
      </c>
      <c r="DI23" s="656">
        <v>-12012</v>
      </c>
      <c r="DJ23" s="656">
        <v>-13186</v>
      </c>
      <c r="DK23" s="656">
        <v>-13061</v>
      </c>
      <c r="DL23" s="656">
        <v>-14276</v>
      </c>
      <c r="DM23" s="869">
        <f t="shared" ref="DM23:DM31" si="71">SUM(DI23:DL23)</f>
        <v>-52535</v>
      </c>
      <c r="DN23" s="656">
        <v>-17197</v>
      </c>
      <c r="DO23" s="656">
        <v>-22446</v>
      </c>
      <c r="DP23" s="656">
        <v>-23953</v>
      </c>
      <c r="DQ23" s="226">
        <f t="shared" ref="DQ23" si="72">-DQ73</f>
        <v>-28796.411129211654</v>
      </c>
      <c r="DR23" s="869">
        <f t="shared" ref="DR23:DR31" si="73">SUM(DN23:DQ23)</f>
        <v>-92392.411129211658</v>
      </c>
      <c r="DS23" s="226">
        <f t="shared" ref="DS23:DV23" si="74">-DS73</f>
        <v>-31807.905486705375</v>
      </c>
      <c r="DT23" s="226">
        <f t="shared" si="74"/>
        <v>-34818.957942968504</v>
      </c>
      <c r="DU23" s="226">
        <f t="shared" si="74"/>
        <v>-36465.530740129485</v>
      </c>
      <c r="DV23" s="226">
        <f t="shared" si="74"/>
        <v>-37826.440496520183</v>
      </c>
      <c r="DW23" s="869">
        <f t="shared" ref="DW23:DW31" si="75">SUM(DS23:DV23)</f>
        <v>-140918.83466632356</v>
      </c>
      <c r="DX23" s="869">
        <f>-DX73</f>
        <v>-156583.13115276871</v>
      </c>
      <c r="DY23" s="869">
        <f>-DY73</f>
        <v>-171204.68556146964</v>
      </c>
      <c r="DZ23" s="869">
        <f>-DZ73</f>
        <v>-184596.54397761333</v>
      </c>
      <c r="EA23" s="869">
        <f>-EA73</f>
        <v>-197553.72407966186</v>
      </c>
      <c r="EC23" s="4320"/>
      <c r="ED23" s="4320"/>
    </row>
    <row r="24" spans="1:135" s="45" customFormat="1" ht="11.25" customHeight="1">
      <c r="A24" s="1577" t="s">
        <v>783</v>
      </c>
      <c r="B24" s="875">
        <v>-26.388999999999999</v>
      </c>
      <c r="C24" s="876"/>
      <c r="D24" s="95">
        <f>-C24</f>
        <v>0</v>
      </c>
      <c r="E24" s="95">
        <f>-D24-C24</f>
        <v>0</v>
      </c>
      <c r="F24" s="95">
        <f>G24-E24-D24-C24</f>
        <v>-93.061000000000007</v>
      </c>
      <c r="G24" s="875">
        <v>-93.061000000000007</v>
      </c>
      <c r="H24" s="877">
        <v>-41.802999999999997</v>
      </c>
      <c r="I24" s="37">
        <f>-89.528-H24</f>
        <v>-47.725000000000009</v>
      </c>
      <c r="J24" s="37">
        <f>-105.229-I24-H24</f>
        <v>-15.700999999999993</v>
      </c>
      <c r="K24" s="37">
        <f>L24-J24-I24-H24</f>
        <v>-211.37</v>
      </c>
      <c r="L24" s="875">
        <v>-316.59899999999999</v>
      </c>
      <c r="M24" s="921">
        <v>-190.39099999999999</v>
      </c>
      <c r="N24" s="37">
        <f>-471.081-M24</f>
        <v>-280.69000000000005</v>
      </c>
      <c r="O24" s="214">
        <f>-2877.309-N24-M24</f>
        <v>-2406.2280000000001</v>
      </c>
      <c r="P24" s="37">
        <f>Q24-O24-N24-M24</f>
        <v>-1257.2669999999998</v>
      </c>
      <c r="Q24" s="920">
        <v>-4134.576</v>
      </c>
      <c r="R24" s="925">
        <v>-1160.1600000000001</v>
      </c>
      <c r="S24" s="62">
        <f>-1853.666-R24</f>
        <v>-693.50599999999986</v>
      </c>
      <c r="T24" s="62">
        <f>-4992.995-S24-R24</f>
        <v>-3139.3289999999997</v>
      </c>
      <c r="U24" s="37">
        <f>V24-T24-S24-R24</f>
        <v>-7682.8850000000002</v>
      </c>
      <c r="V24" s="911">
        <v>-12675.88</v>
      </c>
      <c r="W24" s="925">
        <v>-13111.471</v>
      </c>
      <c r="X24" s="62">
        <f>-17576.067-W24</f>
        <v>-4464.5959999999995</v>
      </c>
      <c r="Y24" s="62">
        <f>-23151.347-X24-W24</f>
        <v>-5575.2800000000043</v>
      </c>
      <c r="Z24" s="37">
        <f>AA24-Y24-X24-W24</f>
        <v>-3530.5439999999999</v>
      </c>
      <c r="AA24" s="916">
        <v>-26681.891</v>
      </c>
      <c r="AB24" s="929">
        <v>-5225.16</v>
      </c>
      <c r="AC24" s="47">
        <f>(-7343.87)-AB24</f>
        <v>-2118.71</v>
      </c>
      <c r="AD24" s="337">
        <f>-11756.147-AC24-AB24</f>
        <v>-4412.2770000000019</v>
      </c>
      <c r="AE24" s="43">
        <f>AF24-AD24-AC24-AB24</f>
        <v>-4240.9129999999968</v>
      </c>
      <c r="AF24" s="916">
        <v>-15997.06</v>
      </c>
      <c r="AG24" s="929">
        <v>-2819.5120000000002</v>
      </c>
      <c r="AH24" s="47">
        <v>-2101.7979999999998</v>
      </c>
      <c r="AI24" s="47">
        <f>-7814.293-AH24-AG24</f>
        <v>-2892.9829999999997</v>
      </c>
      <c r="AJ24" s="46">
        <v>-7542.0110000000004</v>
      </c>
      <c r="AK24" s="916">
        <f>SUM(AG24:AJ24)</f>
        <v>-15356.304</v>
      </c>
      <c r="AL24" s="929">
        <v>-5244.8450000000003</v>
      </c>
      <c r="AM24" s="47">
        <f>-5390.722</f>
        <v>-5390.7219999999998</v>
      </c>
      <c r="AN24" s="47">
        <f>-8951.434</f>
        <v>-8951.4339999999993</v>
      </c>
      <c r="AO24" s="338">
        <v>-9552.0640000000003</v>
      </c>
      <c r="AP24" s="916">
        <f t="shared" si="57"/>
        <v>-29139.064999999995</v>
      </c>
      <c r="AQ24" s="945">
        <v>-12487</v>
      </c>
      <c r="AR24" s="339">
        <v>-12934</v>
      </c>
      <c r="AS24" s="48">
        <f>-12168</f>
        <v>-12168</v>
      </c>
      <c r="AT24" s="65">
        <v>-6396</v>
      </c>
      <c r="AU24" s="916">
        <f t="shared" si="58"/>
        <v>-43985</v>
      </c>
      <c r="AV24" s="48">
        <v>-7591</v>
      </c>
      <c r="AW24" s="48">
        <v>-13364</v>
      </c>
      <c r="AX24" s="48">
        <v>-22738</v>
      </c>
      <c r="AY24" s="65">
        <v>-17979</v>
      </c>
      <c r="AZ24" s="507">
        <f t="shared" si="59"/>
        <v>-61672</v>
      </c>
      <c r="BA24" s="48">
        <v>-8688</v>
      </c>
      <c r="BB24" s="48">
        <v>-6854</v>
      </c>
      <c r="BC24" s="48">
        <v>-8704</v>
      </c>
      <c r="BD24" s="65">
        <v>-9164</v>
      </c>
      <c r="BE24" s="669">
        <f t="shared" si="60"/>
        <v>-33410</v>
      </c>
      <c r="BF24" s="653">
        <v>-7834</v>
      </c>
      <c r="BG24" s="653">
        <v>-14948</v>
      </c>
      <c r="BH24" s="653">
        <v>-8964</v>
      </c>
      <c r="BI24" s="656">
        <v>-13698</v>
      </c>
      <c r="BJ24" s="669">
        <f t="shared" si="61"/>
        <v>-45444</v>
      </c>
      <c r="BK24" s="673">
        <v>-12082</v>
      </c>
      <c r="BL24" s="653">
        <v>-12775</v>
      </c>
      <c r="BM24" s="653">
        <v>-18335</v>
      </c>
      <c r="BN24" s="656">
        <v>-13118</v>
      </c>
      <c r="BO24" s="669">
        <f t="shared" si="62"/>
        <v>-56310</v>
      </c>
      <c r="BP24" s="673">
        <v>-12558</v>
      </c>
      <c r="BQ24" s="653">
        <v>-20568</v>
      </c>
      <c r="BR24" s="653">
        <v>-23091</v>
      </c>
      <c r="BS24" s="656">
        <v>-18151</v>
      </c>
      <c r="BT24" s="899">
        <f t="shared" si="63"/>
        <v>-74368</v>
      </c>
      <c r="BU24" s="825">
        <v>-20748</v>
      </c>
      <c r="BV24" s="469">
        <v>-24840</v>
      </c>
      <c r="BW24" s="469">
        <v>-25371</v>
      </c>
      <c r="BX24" s="469">
        <v>-13550</v>
      </c>
      <c r="BY24" s="870">
        <f>SUM(BU24:BX24)</f>
        <v>-84509</v>
      </c>
      <c r="BZ24" s="469">
        <v>-20119</v>
      </c>
      <c r="CA24" s="469">
        <v>-19557</v>
      </c>
      <c r="CB24" s="469">
        <v>-39033</v>
      </c>
      <c r="CC24" s="469">
        <v>-13486</v>
      </c>
      <c r="CD24" s="870">
        <f t="shared" si="64"/>
        <v>-92195</v>
      </c>
      <c r="CE24" s="469">
        <v>-8849</v>
      </c>
      <c r="CF24" s="469">
        <v>-14192</v>
      </c>
      <c r="CG24" s="469">
        <v>-14299</v>
      </c>
      <c r="CH24" s="469">
        <v>-12818</v>
      </c>
      <c r="CI24" s="870">
        <f t="shared" si="65"/>
        <v>-50158</v>
      </c>
      <c r="CJ24" s="469">
        <v>-20883</v>
      </c>
      <c r="CK24" s="469">
        <v>-23841</v>
      </c>
      <c r="CL24" s="469">
        <v>-36244</v>
      </c>
      <c r="CM24" s="469">
        <f>-19347</f>
        <v>-19347</v>
      </c>
      <c r="CN24" s="899">
        <f t="shared" si="66"/>
        <v>-100315</v>
      </c>
      <c r="CO24" s="653">
        <v>-37563</v>
      </c>
      <c r="CP24" s="653">
        <v>-26548</v>
      </c>
      <c r="CQ24" s="653">
        <v>-40821</v>
      </c>
      <c r="CR24" s="653">
        <v>-31644</v>
      </c>
      <c r="CS24" s="899">
        <f t="shared" si="67"/>
        <v>-136576</v>
      </c>
      <c r="CT24" s="653">
        <v>-36426</v>
      </c>
      <c r="CU24" s="653">
        <v>-24183</v>
      </c>
      <c r="CV24" s="653">
        <v>-34497</v>
      </c>
      <c r="CW24" s="653">
        <v>-40090</v>
      </c>
      <c r="CX24" s="899">
        <f t="shared" si="68"/>
        <v>-135196</v>
      </c>
      <c r="CY24" s="653">
        <v>-28462</v>
      </c>
      <c r="CZ24" s="653">
        <v>-21737</v>
      </c>
      <c r="DA24" s="653">
        <v>-17054</v>
      </c>
      <c r="DB24" s="653">
        <v>-11621</v>
      </c>
      <c r="DC24" s="899">
        <f t="shared" si="69"/>
        <v>-78874</v>
      </c>
      <c r="DD24" s="653">
        <v>-14227</v>
      </c>
      <c r="DE24" s="653">
        <v>-21362</v>
      </c>
      <c r="DF24" s="653">
        <v>-13833</v>
      </c>
      <c r="DG24" s="653">
        <v>-28436</v>
      </c>
      <c r="DH24" s="899">
        <f t="shared" si="70"/>
        <v>-77858</v>
      </c>
      <c r="DI24" s="653">
        <v>-20684</v>
      </c>
      <c r="DJ24" s="653">
        <v>-22327</v>
      </c>
      <c r="DK24" s="653">
        <v>-22023</v>
      </c>
      <c r="DL24" s="653">
        <v>-21645</v>
      </c>
      <c r="DM24" s="899">
        <f t="shared" si="71"/>
        <v>-86679</v>
      </c>
      <c r="DN24" s="653">
        <v>-18453</v>
      </c>
      <c r="DO24" s="653">
        <v>-21417</v>
      </c>
      <c r="DP24" s="653">
        <v>-20964</v>
      </c>
      <c r="DQ24" s="670"/>
      <c r="DR24" s="899">
        <f t="shared" si="73"/>
        <v>-60834</v>
      </c>
      <c r="DS24" s="670"/>
      <c r="DT24" s="670"/>
      <c r="DU24" s="670"/>
      <c r="DV24" s="670"/>
      <c r="DW24" s="899">
        <f t="shared" si="75"/>
        <v>0</v>
      </c>
      <c r="DX24" s="5060">
        <v>0</v>
      </c>
      <c r="DY24" s="5060">
        <v>0</v>
      </c>
      <c r="DZ24" s="5060">
        <v>0</v>
      </c>
      <c r="EA24" s="5060">
        <v>0</v>
      </c>
      <c r="EC24" s="4320"/>
      <c r="ED24" s="4320"/>
    </row>
    <row r="25" spans="1:135" s="45" customFormat="1" ht="11.25" customHeight="1">
      <c r="A25" s="1577" t="s">
        <v>784</v>
      </c>
      <c r="B25" s="875">
        <v>11.46</v>
      </c>
      <c r="C25" s="876"/>
      <c r="D25" s="95">
        <f>-C25</f>
        <v>0</v>
      </c>
      <c r="E25" s="95">
        <f>-D25-C25</f>
        <v>0</v>
      </c>
      <c r="F25" s="95">
        <f>G25-E25-D25-C25</f>
        <v>20.443000000000001</v>
      </c>
      <c r="G25" s="875">
        <v>20.443000000000001</v>
      </c>
      <c r="H25" s="877">
        <v>11.869</v>
      </c>
      <c r="I25" s="37">
        <f>97.474-H25</f>
        <v>85.605000000000004</v>
      </c>
      <c r="J25" s="37">
        <f>130.149-I25-H25</f>
        <v>32.674999999999997</v>
      </c>
      <c r="K25" s="37">
        <f>L25-J25-I25-H25</f>
        <v>89.254999999999981</v>
      </c>
      <c r="L25" s="875">
        <v>219.404</v>
      </c>
      <c r="M25" s="921">
        <v>172.58500000000001</v>
      </c>
      <c r="N25" s="37">
        <f>361.908-M25</f>
        <v>189.32300000000001</v>
      </c>
      <c r="O25" s="214">
        <f>1548.334-N25-M25</f>
        <v>1186.4259999999999</v>
      </c>
      <c r="P25" s="37">
        <f>Q25-O25-N25-M25</f>
        <v>1062.7439999999999</v>
      </c>
      <c r="Q25" s="920">
        <v>2611.078</v>
      </c>
      <c r="R25" s="925">
        <v>835.22299999999996</v>
      </c>
      <c r="S25" s="62">
        <f>1361.895-R25</f>
        <v>526.67200000000003</v>
      </c>
      <c r="T25" s="62">
        <f>4627.212-S25-R25</f>
        <v>3265.3170000000009</v>
      </c>
      <c r="U25" s="37">
        <f>V25-T25-S25-R25</f>
        <v>5630.0019999999986</v>
      </c>
      <c r="V25" s="911">
        <v>10257.214</v>
      </c>
      <c r="W25" s="925">
        <v>11755.755999999999</v>
      </c>
      <c r="X25" s="62">
        <f>15856.478-W25</f>
        <v>4100.7219999999998</v>
      </c>
      <c r="Y25" s="62">
        <f>19888.93-X25-W25</f>
        <v>4032.4520000000011</v>
      </c>
      <c r="Z25" s="37">
        <f>AA25-Y25-X25-W25</f>
        <v>3218.2020000000011</v>
      </c>
      <c r="AA25" s="916">
        <v>23107.132000000001</v>
      </c>
      <c r="AB25" s="929">
        <v>5079.3639999999996</v>
      </c>
      <c r="AC25" s="47">
        <f>7017.21-AB25</f>
        <v>1937.8460000000005</v>
      </c>
      <c r="AD25" s="47">
        <f>11519.001-AC25-AB25</f>
        <v>4501.7909999999993</v>
      </c>
      <c r="AE25" s="43">
        <f>AF25-AD25-AC25-AB25</f>
        <v>4140.4719999999998</v>
      </c>
      <c r="AF25" s="916">
        <v>15659.473</v>
      </c>
      <c r="AG25" s="929">
        <v>5379.2280000000001</v>
      </c>
      <c r="AH25" s="47">
        <f>2037.331</f>
        <v>2037.3309999999999</v>
      </c>
      <c r="AI25" s="47">
        <f>9634.903-AH25-AG25</f>
        <v>2218.3440000000001</v>
      </c>
      <c r="AJ25" s="46">
        <v>6127.893</v>
      </c>
      <c r="AK25" s="916">
        <f>SUM(AG25:AJ25)</f>
        <v>15762.796</v>
      </c>
      <c r="AL25" s="929">
        <v>5109.59</v>
      </c>
      <c r="AM25" s="47">
        <v>5325.7190000000001</v>
      </c>
      <c r="AN25" s="47">
        <v>6580.2740000000003</v>
      </c>
      <c r="AO25" s="338">
        <v>5087.2839999999997</v>
      </c>
      <c r="AP25" s="916">
        <f t="shared" si="57"/>
        <v>22102.867000000002</v>
      </c>
      <c r="AQ25" s="930">
        <v>9495</v>
      </c>
      <c r="AR25" s="339">
        <v>11135</v>
      </c>
      <c r="AS25" s="48">
        <v>9739</v>
      </c>
      <c r="AT25" s="49">
        <v>6730</v>
      </c>
      <c r="AU25" s="916">
        <f t="shared" si="58"/>
        <v>37099</v>
      </c>
      <c r="AV25" s="48">
        <v>4645</v>
      </c>
      <c r="AW25" s="48">
        <v>8982</v>
      </c>
      <c r="AX25" s="48">
        <v>19480</v>
      </c>
      <c r="AY25" s="48">
        <v>15639</v>
      </c>
      <c r="AZ25" s="507">
        <f t="shared" si="59"/>
        <v>48746</v>
      </c>
      <c r="BA25" s="48">
        <v>17201</v>
      </c>
      <c r="BB25" s="48">
        <v>5456</v>
      </c>
      <c r="BC25" s="48">
        <v>7143</v>
      </c>
      <c r="BD25" s="48">
        <v>5380</v>
      </c>
      <c r="BE25" s="669">
        <f t="shared" si="60"/>
        <v>35180</v>
      </c>
      <c r="BF25" s="653">
        <v>6319</v>
      </c>
      <c r="BG25" s="653">
        <v>10687</v>
      </c>
      <c r="BH25" s="653">
        <v>6235</v>
      </c>
      <c r="BI25" s="653">
        <v>15073</v>
      </c>
      <c r="BJ25" s="669">
        <f t="shared" si="61"/>
        <v>38314</v>
      </c>
      <c r="BK25" s="673">
        <f>9406-168+779+50</f>
        <v>10067</v>
      </c>
      <c r="BL25" s="653">
        <v>14199</v>
      </c>
      <c r="BM25" s="653">
        <v>13045</v>
      </c>
      <c r="BN25" s="653">
        <v>14665</v>
      </c>
      <c r="BO25" s="669">
        <f t="shared" si="62"/>
        <v>51976</v>
      </c>
      <c r="BP25" s="673">
        <f>10389-1074-1120+50</f>
        <v>8245</v>
      </c>
      <c r="BQ25" s="653">
        <v>17197</v>
      </c>
      <c r="BR25" s="653">
        <v>19274</v>
      </c>
      <c r="BS25" s="653">
        <v>16045</v>
      </c>
      <c r="BT25" s="899">
        <f t="shared" si="63"/>
        <v>60761</v>
      </c>
      <c r="BU25" s="825">
        <v>17443</v>
      </c>
      <c r="BV25" s="469">
        <v>20346</v>
      </c>
      <c r="BW25" s="469">
        <v>16590</v>
      </c>
      <c r="BX25" s="469">
        <v>12516</v>
      </c>
      <c r="BY25" s="870">
        <f>SUM(BU25:BX25)</f>
        <v>66895</v>
      </c>
      <c r="BZ25" s="469">
        <v>19362</v>
      </c>
      <c r="CA25" s="469">
        <v>14876</v>
      </c>
      <c r="CB25" s="469">
        <v>28350</v>
      </c>
      <c r="CC25" s="469">
        <v>11371</v>
      </c>
      <c r="CD25" s="870">
        <f t="shared" si="64"/>
        <v>73959</v>
      </c>
      <c r="CE25" s="469">
        <v>9351</v>
      </c>
      <c r="CF25" s="469">
        <v>16172</v>
      </c>
      <c r="CG25" s="469">
        <v>9403</v>
      </c>
      <c r="CH25" s="469">
        <v>13581</v>
      </c>
      <c r="CI25" s="870">
        <f t="shared" si="65"/>
        <v>48507</v>
      </c>
      <c r="CJ25" s="469">
        <v>21006</v>
      </c>
      <c r="CK25" s="469">
        <v>19686</v>
      </c>
      <c r="CL25" s="469">
        <v>34091</v>
      </c>
      <c r="CM25" s="469">
        <v>23042</v>
      </c>
      <c r="CN25" s="899">
        <f t="shared" si="66"/>
        <v>97825</v>
      </c>
      <c r="CO25" s="653">
        <v>41811</v>
      </c>
      <c r="CP25" s="653">
        <v>24063</v>
      </c>
      <c r="CQ25" s="653">
        <v>31877</v>
      </c>
      <c r="CR25" s="653">
        <v>35155</v>
      </c>
      <c r="CS25" s="899">
        <f t="shared" si="67"/>
        <v>132906</v>
      </c>
      <c r="CT25" s="653">
        <v>39248</v>
      </c>
      <c r="CU25" s="653">
        <v>21419</v>
      </c>
      <c r="CV25" s="653">
        <v>31459</v>
      </c>
      <c r="CW25" s="653">
        <v>36168</v>
      </c>
      <c r="CX25" s="899">
        <f t="shared" si="68"/>
        <v>128294</v>
      </c>
      <c r="CY25" s="653">
        <v>29779</v>
      </c>
      <c r="CZ25" s="653">
        <v>25595</v>
      </c>
      <c r="DA25" s="653">
        <v>28713</v>
      </c>
      <c r="DB25" s="653">
        <v>13735</v>
      </c>
      <c r="DC25" s="899">
        <f t="shared" si="69"/>
        <v>97822</v>
      </c>
      <c r="DD25" s="653">
        <v>18327</v>
      </c>
      <c r="DE25" s="653">
        <v>18722</v>
      </c>
      <c r="DF25" s="653">
        <v>15593</v>
      </c>
      <c r="DG25" s="653">
        <v>34030</v>
      </c>
      <c r="DH25" s="899">
        <f t="shared" si="70"/>
        <v>86672</v>
      </c>
      <c r="DI25" s="653">
        <v>24985</v>
      </c>
      <c r="DJ25" s="653">
        <v>33592</v>
      </c>
      <c r="DK25" s="653">
        <v>23202</v>
      </c>
      <c r="DL25" s="653">
        <v>21649</v>
      </c>
      <c r="DM25" s="899">
        <f t="shared" si="71"/>
        <v>103428</v>
      </c>
      <c r="DN25" s="653">
        <v>20345</v>
      </c>
      <c r="DO25" s="653">
        <v>20585</v>
      </c>
      <c r="DP25" s="653">
        <v>20371</v>
      </c>
      <c r="DQ25" s="5015">
        <v>0</v>
      </c>
      <c r="DR25" s="899">
        <f t="shared" si="73"/>
        <v>61301</v>
      </c>
      <c r="DS25" s="5015">
        <v>0</v>
      </c>
      <c r="DT25" s="5015">
        <v>20000</v>
      </c>
      <c r="DU25" s="5015">
        <v>0</v>
      </c>
      <c r="DV25" s="5015">
        <v>0</v>
      </c>
      <c r="DW25" s="899">
        <f t="shared" si="75"/>
        <v>20000</v>
      </c>
      <c r="DX25" s="5060">
        <v>10000</v>
      </c>
      <c r="DY25" s="5060">
        <v>0</v>
      </c>
      <c r="DZ25" s="5060">
        <v>0</v>
      </c>
      <c r="EA25" s="5060">
        <v>0</v>
      </c>
      <c r="EC25" s="4320"/>
      <c r="ED25" s="4320"/>
    </row>
    <row r="26" spans="1:135" s="45" customFormat="1" ht="11.25" customHeight="1">
      <c r="A26" s="1577" t="s">
        <v>785</v>
      </c>
      <c r="B26" s="3866"/>
      <c r="C26" s="3867"/>
      <c r="D26" s="3868"/>
      <c r="E26" s="3868"/>
      <c r="F26" s="3868"/>
      <c r="G26" s="3866"/>
      <c r="H26" s="3892"/>
      <c r="I26" s="3893"/>
      <c r="J26" s="3893"/>
      <c r="K26" s="3893"/>
      <c r="L26" s="3866"/>
      <c r="M26" s="3894"/>
      <c r="N26" s="3893"/>
      <c r="O26" s="2015"/>
      <c r="P26" s="3893"/>
      <c r="Q26" s="3895"/>
      <c r="R26" s="3872"/>
      <c r="S26" s="2015"/>
      <c r="T26" s="2015"/>
      <c r="U26" s="3893"/>
      <c r="V26" s="3873"/>
      <c r="W26" s="3872"/>
      <c r="X26" s="2015"/>
      <c r="Y26" s="2015"/>
      <c r="Z26" s="3893"/>
      <c r="AA26" s="3875"/>
      <c r="AB26" s="3896"/>
      <c r="AC26" s="2671"/>
      <c r="AD26" s="2671"/>
      <c r="AE26" s="1704"/>
      <c r="AF26" s="3875"/>
      <c r="AG26" s="3896"/>
      <c r="AH26" s="2671"/>
      <c r="AI26" s="2671"/>
      <c r="AJ26" s="3877"/>
      <c r="AK26" s="3875"/>
      <c r="AL26" s="3896"/>
      <c r="AM26" s="2671"/>
      <c r="AN26" s="2671"/>
      <c r="AO26" s="3879"/>
      <c r="AP26" s="3875"/>
      <c r="AQ26" s="3880"/>
      <c r="AR26" s="3881"/>
      <c r="AS26" s="2691"/>
      <c r="AT26" s="3897"/>
      <c r="AU26" s="3875"/>
      <c r="AV26" s="2691"/>
      <c r="AW26" s="2691"/>
      <c r="AX26" s="2691"/>
      <c r="AY26" s="2691"/>
      <c r="AZ26" s="3884"/>
      <c r="BA26" s="2691"/>
      <c r="BB26" s="2691"/>
      <c r="BC26" s="2691"/>
      <c r="BD26" s="2691"/>
      <c r="BE26" s="3885"/>
      <c r="BF26" s="3886"/>
      <c r="BG26" s="3886"/>
      <c r="BH26" s="3886"/>
      <c r="BI26" s="3886"/>
      <c r="BJ26" s="3885"/>
      <c r="BK26" s="3887"/>
      <c r="BL26" s="3886"/>
      <c r="BM26" s="3886"/>
      <c r="BN26" s="3886"/>
      <c r="BO26" s="3885"/>
      <c r="BP26" s="3887"/>
      <c r="BQ26" s="3886"/>
      <c r="BR26" s="3886"/>
      <c r="BS26" s="3886"/>
      <c r="BT26" s="3888"/>
      <c r="BU26" s="3889"/>
      <c r="BV26" s="3890"/>
      <c r="BW26" s="3890"/>
      <c r="BX26" s="3890"/>
      <c r="BY26" s="3891"/>
      <c r="BZ26" s="469">
        <v>-354</v>
      </c>
      <c r="CA26" s="469">
        <f>-340</f>
        <v>-340</v>
      </c>
      <c r="CB26" s="469">
        <v>-177</v>
      </c>
      <c r="CC26" s="469">
        <v>-874</v>
      </c>
      <c r="CD26" s="870">
        <f t="shared" si="64"/>
        <v>-1745</v>
      </c>
      <c r="CE26" s="469">
        <v>-327</v>
      </c>
      <c r="CF26" s="469">
        <f>-405</f>
        <v>-405</v>
      </c>
      <c r="CG26" s="469">
        <v>-386</v>
      </c>
      <c r="CH26" s="469">
        <v>-955</v>
      </c>
      <c r="CI26" s="870">
        <f t="shared" si="65"/>
        <v>-2073</v>
      </c>
      <c r="CJ26" s="469">
        <v>-907</v>
      </c>
      <c r="CK26" s="469">
        <v>-188</v>
      </c>
      <c r="CL26" s="469">
        <v>-404</v>
      </c>
      <c r="CM26" s="469">
        <v>-433</v>
      </c>
      <c r="CN26" s="899">
        <f t="shared" si="66"/>
        <v>-1932</v>
      </c>
      <c r="CO26" s="653">
        <v>-572</v>
      </c>
      <c r="CP26" s="653">
        <v>-739</v>
      </c>
      <c r="CQ26" s="653">
        <v>-553</v>
      </c>
      <c r="CR26" s="653">
        <v>-5311</v>
      </c>
      <c r="CS26" s="899">
        <f t="shared" si="67"/>
        <v>-7175</v>
      </c>
      <c r="CT26" s="653">
        <v>-646</v>
      </c>
      <c r="CU26" s="653">
        <v>-766</v>
      </c>
      <c r="CV26" s="653">
        <v>-656</v>
      </c>
      <c r="CW26" s="653">
        <v>-770</v>
      </c>
      <c r="CX26" s="899">
        <f t="shared" si="68"/>
        <v>-2838</v>
      </c>
      <c r="CY26" s="653">
        <v>-776</v>
      </c>
      <c r="CZ26" s="653">
        <v>-488</v>
      </c>
      <c r="DA26" s="653">
        <v>-364</v>
      </c>
      <c r="DB26" s="653">
        <v>-903</v>
      </c>
      <c r="DC26" s="899">
        <f t="shared" si="69"/>
        <v>-2531</v>
      </c>
      <c r="DD26" s="653">
        <v>-626</v>
      </c>
      <c r="DE26" s="653">
        <v>-887</v>
      </c>
      <c r="DF26" s="653">
        <v>-663</v>
      </c>
      <c r="DG26" s="653">
        <v>-851</v>
      </c>
      <c r="DH26" s="899">
        <f t="shared" si="70"/>
        <v>-3027</v>
      </c>
      <c r="DI26" s="653">
        <v>-1206</v>
      </c>
      <c r="DJ26" s="653">
        <v>-993</v>
      </c>
      <c r="DK26" s="653">
        <v>-1035</v>
      </c>
      <c r="DL26" s="653">
        <v>-1800</v>
      </c>
      <c r="DM26" s="899">
        <f t="shared" si="71"/>
        <v>-5034</v>
      </c>
      <c r="DN26" s="653">
        <v>-958</v>
      </c>
      <c r="DO26" s="653">
        <v>-1354</v>
      </c>
      <c r="DP26" s="653">
        <v>-1000</v>
      </c>
      <c r="DQ26" s="670"/>
      <c r="DR26" s="899">
        <f t="shared" si="73"/>
        <v>-3312</v>
      </c>
      <c r="DS26" s="670"/>
      <c r="DT26" s="670"/>
      <c r="DU26" s="670"/>
      <c r="DV26" s="670"/>
      <c r="DW26" s="899">
        <f t="shared" si="75"/>
        <v>0</v>
      </c>
      <c r="DX26" s="5061"/>
      <c r="DY26" s="5061"/>
      <c r="DZ26" s="5061"/>
      <c r="EA26" s="5061"/>
      <c r="EC26" s="4320"/>
      <c r="ED26" s="4320"/>
    </row>
    <row r="27" spans="1:135" s="45" customFormat="1" ht="11.25" customHeight="1">
      <c r="A27" s="1577" t="s">
        <v>786</v>
      </c>
      <c r="B27" s="3866"/>
      <c r="C27" s="3867"/>
      <c r="D27" s="3868"/>
      <c r="E27" s="3868"/>
      <c r="F27" s="3868"/>
      <c r="G27" s="3866"/>
      <c r="H27" s="3892"/>
      <c r="I27" s="3893"/>
      <c r="J27" s="3893"/>
      <c r="K27" s="3893"/>
      <c r="L27" s="3866"/>
      <c r="M27" s="3894"/>
      <c r="N27" s="3893"/>
      <c r="O27" s="2015"/>
      <c r="P27" s="3893"/>
      <c r="Q27" s="3895"/>
      <c r="R27" s="3872"/>
      <c r="S27" s="2015"/>
      <c r="T27" s="2015"/>
      <c r="U27" s="3893"/>
      <c r="V27" s="3873"/>
      <c r="W27" s="3872"/>
      <c r="X27" s="2015"/>
      <c r="Y27" s="2015"/>
      <c r="Z27" s="3893"/>
      <c r="AA27" s="3875"/>
      <c r="AB27" s="3896"/>
      <c r="AC27" s="2671"/>
      <c r="AD27" s="2671"/>
      <c r="AE27" s="1704"/>
      <c r="AF27" s="3875"/>
      <c r="AG27" s="3896"/>
      <c r="AH27" s="2671"/>
      <c r="AI27" s="2671"/>
      <c r="AJ27" s="3877"/>
      <c r="AK27" s="3875"/>
      <c r="AL27" s="3896"/>
      <c r="AM27" s="2671"/>
      <c r="AN27" s="2671"/>
      <c r="AO27" s="3879"/>
      <c r="AP27" s="3875"/>
      <c r="AQ27" s="3880"/>
      <c r="AR27" s="3881"/>
      <c r="AS27" s="2691"/>
      <c r="AT27" s="3897"/>
      <c r="AU27" s="3875"/>
      <c r="AV27" s="2691"/>
      <c r="AW27" s="2691"/>
      <c r="AX27" s="2691"/>
      <c r="AY27" s="2691"/>
      <c r="AZ27" s="3884"/>
      <c r="BA27" s="2691"/>
      <c r="BB27" s="2691"/>
      <c r="BC27" s="2691"/>
      <c r="BD27" s="2691"/>
      <c r="BE27" s="3885"/>
      <c r="BF27" s="3886"/>
      <c r="BG27" s="3886"/>
      <c r="BH27" s="3886"/>
      <c r="BI27" s="3886"/>
      <c r="BJ27" s="3885"/>
      <c r="BK27" s="3887"/>
      <c r="BL27" s="3886"/>
      <c r="BM27" s="3886"/>
      <c r="BN27" s="3886"/>
      <c r="BO27" s="3885"/>
      <c r="BP27" s="3887"/>
      <c r="BQ27" s="3886"/>
      <c r="BR27" s="3886"/>
      <c r="BS27" s="3886"/>
      <c r="BT27" s="3888"/>
      <c r="BU27" s="3889"/>
      <c r="BV27" s="3890"/>
      <c r="BW27" s="3890"/>
      <c r="BX27" s="3890"/>
      <c r="BY27" s="3891"/>
      <c r="BZ27" s="469">
        <v>78</v>
      </c>
      <c r="CA27" s="469">
        <v>40</v>
      </c>
      <c r="CB27" s="469">
        <v>97</v>
      </c>
      <c r="CC27" s="469">
        <v>318</v>
      </c>
      <c r="CD27" s="870">
        <f t="shared" si="64"/>
        <v>533</v>
      </c>
      <c r="CE27" s="469">
        <v>498</v>
      </c>
      <c r="CF27" s="469">
        <f>693</f>
        <v>693</v>
      </c>
      <c r="CG27" s="469">
        <v>154</v>
      </c>
      <c r="CH27" s="469">
        <v>407</v>
      </c>
      <c r="CI27" s="870">
        <f t="shared" si="65"/>
        <v>1752</v>
      </c>
      <c r="CJ27" s="469">
        <v>99</v>
      </c>
      <c r="CK27" s="469">
        <v>107</v>
      </c>
      <c r="CL27" s="469">
        <v>91</v>
      </c>
      <c r="CM27" s="469">
        <v>108</v>
      </c>
      <c r="CN27" s="899">
        <f t="shared" si="66"/>
        <v>405</v>
      </c>
      <c r="CO27" s="653">
        <v>260</v>
      </c>
      <c r="CP27" s="653">
        <v>213</v>
      </c>
      <c r="CQ27" s="653">
        <v>125</v>
      </c>
      <c r="CR27" s="653">
        <v>425</v>
      </c>
      <c r="CS27" s="899">
        <f t="shared" si="67"/>
        <v>1023</v>
      </c>
      <c r="CT27" s="653">
        <v>19</v>
      </c>
      <c r="CU27" s="653">
        <v>237</v>
      </c>
      <c r="CV27" s="653">
        <v>334</v>
      </c>
      <c r="CW27" s="653">
        <v>344</v>
      </c>
      <c r="CX27" s="899">
        <f t="shared" si="68"/>
        <v>934</v>
      </c>
      <c r="CY27" s="653">
        <v>12</v>
      </c>
      <c r="CZ27" s="653">
        <v>113</v>
      </c>
      <c r="DA27" s="653">
        <v>6</v>
      </c>
      <c r="DB27" s="653">
        <v>19</v>
      </c>
      <c r="DC27" s="899">
        <f t="shared" si="69"/>
        <v>150</v>
      </c>
      <c r="DD27" s="653">
        <v>36</v>
      </c>
      <c r="DE27" s="653">
        <v>145</v>
      </c>
      <c r="DF27" s="653">
        <v>562</v>
      </c>
      <c r="DG27" s="653">
        <v>204</v>
      </c>
      <c r="DH27" s="899">
        <f t="shared" si="70"/>
        <v>947</v>
      </c>
      <c r="DI27" s="653">
        <v>313</v>
      </c>
      <c r="DJ27" s="653">
        <v>292</v>
      </c>
      <c r="DK27" s="653">
        <v>127</v>
      </c>
      <c r="DL27" s="653">
        <v>150</v>
      </c>
      <c r="DM27" s="899">
        <f t="shared" si="71"/>
        <v>882</v>
      </c>
      <c r="DN27" s="653">
        <v>259</v>
      </c>
      <c r="DO27" s="653">
        <v>614</v>
      </c>
      <c r="DP27" s="653">
        <v>323</v>
      </c>
      <c r="DQ27" s="670"/>
      <c r="DR27" s="899">
        <f t="shared" si="73"/>
        <v>1196</v>
      </c>
      <c r="DS27" s="670"/>
      <c r="DT27" s="670"/>
      <c r="DU27" s="670"/>
      <c r="DV27" s="670"/>
      <c r="DW27" s="899">
        <f t="shared" si="75"/>
        <v>0</v>
      </c>
      <c r="DX27" s="5061"/>
      <c r="DY27" s="5061"/>
      <c r="DZ27" s="5061"/>
      <c r="EA27" s="5061"/>
      <c r="EC27" s="4320"/>
      <c r="ED27" s="4320"/>
    </row>
    <row r="28" spans="1:135" s="45" customFormat="1" ht="11.25" customHeight="1">
      <c r="A28" s="1577" t="s">
        <v>142</v>
      </c>
      <c r="B28" s="875">
        <v>0</v>
      </c>
      <c r="C28" s="876"/>
      <c r="D28" s="95">
        <f>-C28</f>
        <v>0</v>
      </c>
      <c r="E28" s="95">
        <f>-D28-C28</f>
        <v>0</v>
      </c>
      <c r="F28" s="95">
        <f>G28-E28-D28-C28</f>
        <v>0</v>
      </c>
      <c r="G28" s="875">
        <v>0</v>
      </c>
      <c r="H28" s="877">
        <v>2.1999999999999999E-2</v>
      </c>
      <c r="I28" s="37">
        <f>-39.452-H28</f>
        <v>-39.473999999999997</v>
      </c>
      <c r="J28" s="37">
        <f>-39.958-I28-H28</f>
        <v>-0.50600000000000178</v>
      </c>
      <c r="K28" s="62">
        <f>L28-J28-I28-H28</f>
        <v>-1.5334955527634975E-15</v>
      </c>
      <c r="L28" s="875">
        <v>-39.957999999999998</v>
      </c>
      <c r="M28" s="921">
        <v>-3</v>
      </c>
      <c r="N28" s="37">
        <f>-3.538-M28</f>
        <v>-0.53799999999999981</v>
      </c>
      <c r="O28" s="214">
        <f>-10.833-N28-M28</f>
        <v>-7.2949999999999999</v>
      </c>
      <c r="P28" s="62">
        <f>Q28-O28-N28-M28</f>
        <v>-14.123999999999999</v>
      </c>
      <c r="Q28" s="920">
        <v>-24.957000000000001</v>
      </c>
      <c r="R28" s="925">
        <v>0</v>
      </c>
      <c r="S28" s="62">
        <f>-19.202-R28</f>
        <v>-19.202000000000002</v>
      </c>
      <c r="T28" s="62">
        <f>-41.748-S28-R28</f>
        <v>-22.545999999999996</v>
      </c>
      <c r="U28" s="62">
        <f>V28-T28-S28-R28</f>
        <v>-44.743000000000009</v>
      </c>
      <c r="V28" s="911">
        <v>-86.491</v>
      </c>
      <c r="W28" s="925">
        <v>-187.964</v>
      </c>
      <c r="X28" s="62">
        <f>-1192.728-W28</f>
        <v>-1004.7640000000001</v>
      </c>
      <c r="Y28" s="62">
        <f>-1014.222-257.812-X28-W28</f>
        <v>-79.305999999999983</v>
      </c>
      <c r="Z28" s="37">
        <f>AA28-Y28-X28-W28</f>
        <v>-149.55899999999991</v>
      </c>
      <c r="AA28" s="916">
        <f>-1019.147-402.446</f>
        <v>-1421.5930000000001</v>
      </c>
      <c r="AB28" s="926">
        <v>-34.441000000000003</v>
      </c>
      <c r="AC28" s="51">
        <f>-207.54-AB28</f>
        <v>-173.09899999999999</v>
      </c>
      <c r="AD28" s="51">
        <f>-823.092-AC28-AB28</f>
        <v>-615.55199999999991</v>
      </c>
      <c r="AE28" s="43">
        <f>AF28-AD28-AC28-AB28</f>
        <v>-83.559000000000054</v>
      </c>
      <c r="AF28" s="916">
        <v>-906.65099999999995</v>
      </c>
      <c r="AG28" s="926">
        <v>-3125.1129999999998</v>
      </c>
      <c r="AH28" s="51">
        <v>-186.095</v>
      </c>
      <c r="AI28" s="51">
        <f>-3287.708-AH28-AG28</f>
        <v>23.499999999999545</v>
      </c>
      <c r="AJ28" s="46">
        <v>-32.591000000000001</v>
      </c>
      <c r="AK28" s="916">
        <f>SUM(AG28:AJ28)</f>
        <v>-3320.299</v>
      </c>
      <c r="AL28" s="926">
        <v>-2.0720000000000001</v>
      </c>
      <c r="AM28" s="51">
        <v>-3.0209999999999999</v>
      </c>
      <c r="AN28" s="51">
        <v>-34.979999999999997</v>
      </c>
      <c r="AO28" s="338">
        <v>-67.950999999999993</v>
      </c>
      <c r="AP28" s="916">
        <f t="shared" si="57"/>
        <v>-108.02399999999999</v>
      </c>
      <c r="AQ28" s="928">
        <v>-190</v>
      </c>
      <c r="AR28" s="339">
        <v>-229</v>
      </c>
      <c r="AS28" s="53">
        <v>-441</v>
      </c>
      <c r="AT28" s="49">
        <v>-208</v>
      </c>
      <c r="AU28" s="916">
        <f t="shared" si="58"/>
        <v>-1068</v>
      </c>
      <c r="AV28" s="53">
        <v>-148</v>
      </c>
      <c r="AW28" s="53">
        <v>-715</v>
      </c>
      <c r="AX28" s="53">
        <v>-488</v>
      </c>
      <c r="AY28" s="48">
        <v>-550</v>
      </c>
      <c r="AZ28" s="507">
        <f t="shared" si="59"/>
        <v>-1901</v>
      </c>
      <c r="BA28" s="53">
        <v>-92</v>
      </c>
      <c r="BB28" s="53">
        <v>-9854</v>
      </c>
      <c r="BC28" s="48">
        <v>-525</v>
      </c>
      <c r="BD28" s="48">
        <v>-97</v>
      </c>
      <c r="BE28" s="669">
        <f t="shared" si="60"/>
        <v>-10568</v>
      </c>
      <c r="BF28" s="654">
        <v>-251</v>
      </c>
      <c r="BG28" s="654">
        <v>-1012</v>
      </c>
      <c r="BH28" s="653">
        <v>-27</v>
      </c>
      <c r="BI28" s="653">
        <v>-120</v>
      </c>
      <c r="BJ28" s="669">
        <f t="shared" si="61"/>
        <v>-1410</v>
      </c>
      <c r="BK28" s="672">
        <v>-2947</v>
      </c>
      <c r="BL28" s="654">
        <v>-543</v>
      </c>
      <c r="BM28" s="653">
        <v>-1142</v>
      </c>
      <c r="BN28" s="653">
        <v>-256</v>
      </c>
      <c r="BO28" s="669">
        <f t="shared" si="62"/>
        <v>-4888</v>
      </c>
      <c r="BP28" s="672">
        <v>-64</v>
      </c>
      <c r="BQ28" s="654">
        <v>-375</v>
      </c>
      <c r="BR28" s="653">
        <v>-102</v>
      </c>
      <c r="BS28" s="653">
        <v>8</v>
      </c>
      <c r="BT28" s="899">
        <f t="shared" si="63"/>
        <v>-533</v>
      </c>
      <c r="BU28" s="825">
        <v>-34</v>
      </c>
      <c r="BV28" s="469">
        <v>-262</v>
      </c>
      <c r="BW28" s="469">
        <v>-252</v>
      </c>
      <c r="BX28" s="469">
        <v>-662</v>
      </c>
      <c r="BY28" s="870">
        <f>SUM(BU28:BX28)</f>
        <v>-1210</v>
      </c>
      <c r="BZ28" s="469">
        <v>-101</v>
      </c>
      <c r="CA28" s="469">
        <v>-42</v>
      </c>
      <c r="CB28" s="469">
        <v>-130</v>
      </c>
      <c r="CC28" s="469">
        <v>-14</v>
      </c>
      <c r="CD28" s="870">
        <f t="shared" si="64"/>
        <v>-287</v>
      </c>
      <c r="CE28" s="469">
        <v>-1250</v>
      </c>
      <c r="CF28" s="469">
        <f>-184</f>
        <v>-184</v>
      </c>
      <c r="CG28" s="469">
        <v>-18</v>
      </c>
      <c r="CH28" s="469">
        <v>-39</v>
      </c>
      <c r="CI28" s="870">
        <f t="shared" si="65"/>
        <v>-1491</v>
      </c>
      <c r="CJ28" s="469">
        <v>-99</v>
      </c>
      <c r="CK28" s="469">
        <v>-148</v>
      </c>
      <c r="CL28" s="469">
        <v>-126</v>
      </c>
      <c r="CM28" s="469">
        <v>-2142</v>
      </c>
      <c r="CN28" s="899">
        <f t="shared" si="66"/>
        <v>-2515</v>
      </c>
      <c r="CO28" s="653">
        <v>-190</v>
      </c>
      <c r="CP28" s="653">
        <v>-165</v>
      </c>
      <c r="CQ28" s="653">
        <v>-13</v>
      </c>
      <c r="CR28" s="653">
        <v>-370</v>
      </c>
      <c r="CS28" s="899">
        <f t="shared" si="67"/>
        <v>-738</v>
      </c>
      <c r="CT28" s="653">
        <v>-1666</v>
      </c>
      <c r="CU28" s="653">
        <v>-308</v>
      </c>
      <c r="CV28" s="653">
        <v>-259</v>
      </c>
      <c r="CW28" s="653">
        <v>-385</v>
      </c>
      <c r="CX28" s="899">
        <f t="shared" si="68"/>
        <v>-2618</v>
      </c>
      <c r="CY28" s="653">
        <v>-173</v>
      </c>
      <c r="CZ28" s="653">
        <v>-1063</v>
      </c>
      <c r="DA28" s="653">
        <v>-5649</v>
      </c>
      <c r="DB28" s="653">
        <v>-84</v>
      </c>
      <c r="DC28" s="899">
        <f t="shared" si="69"/>
        <v>-6969</v>
      </c>
      <c r="DD28" s="653">
        <v>-42</v>
      </c>
      <c r="DE28" s="653">
        <v>-298</v>
      </c>
      <c r="DF28" s="653">
        <v>-126</v>
      </c>
      <c r="DG28" s="653">
        <v>-29</v>
      </c>
      <c r="DH28" s="899">
        <f t="shared" si="70"/>
        <v>-495</v>
      </c>
      <c r="DI28" s="653">
        <v>-61</v>
      </c>
      <c r="DJ28" s="653">
        <v>-26</v>
      </c>
      <c r="DK28" s="653">
        <v>-2753</v>
      </c>
      <c r="DL28" s="653">
        <v>-91</v>
      </c>
      <c r="DM28" s="899">
        <f t="shared" si="71"/>
        <v>-2931</v>
      </c>
      <c r="DN28" s="653">
        <v>-340</v>
      </c>
      <c r="DO28" s="653">
        <v>-13</v>
      </c>
      <c r="DP28" s="653">
        <v>-1072</v>
      </c>
      <c r="DQ28" s="670"/>
      <c r="DR28" s="899">
        <f t="shared" si="73"/>
        <v>-1425</v>
      </c>
      <c r="DS28" s="670"/>
      <c r="DT28" s="670"/>
      <c r="DU28" s="670"/>
      <c r="DV28" s="670"/>
      <c r="DW28" s="899">
        <f t="shared" si="75"/>
        <v>0</v>
      </c>
      <c r="DX28" s="5060">
        <v>0</v>
      </c>
      <c r="DY28" s="5060">
        <v>0</v>
      </c>
      <c r="DZ28" s="5060">
        <v>0</v>
      </c>
      <c r="EA28" s="5060">
        <v>0</v>
      </c>
      <c r="EC28" s="4320"/>
      <c r="ED28" s="4320"/>
    </row>
    <row r="29" spans="1:135" s="45" customFormat="1" ht="11.25" customHeight="1">
      <c r="A29" s="3833" t="s">
        <v>787</v>
      </c>
      <c r="B29" s="3834">
        <v>-1.1020000000000001</v>
      </c>
      <c r="C29" s="3835"/>
      <c r="D29" s="95">
        <f>-C29</f>
        <v>0</v>
      </c>
      <c r="E29" s="95">
        <f>-D29-C29</f>
        <v>0</v>
      </c>
      <c r="F29" s="95">
        <f>G29-E29-D29-C29</f>
        <v>9.9000000000000005E-2</v>
      </c>
      <c r="G29" s="3834">
        <v>9.9000000000000005E-2</v>
      </c>
      <c r="H29" s="3843">
        <v>0</v>
      </c>
      <c r="I29" s="317">
        <f>0-H29</f>
        <v>0</v>
      </c>
      <c r="J29" s="317">
        <f>-I29-H29</f>
        <v>0</v>
      </c>
      <c r="K29" s="317">
        <f>L29-J29-I29-H29</f>
        <v>0</v>
      </c>
      <c r="L29" s="3844">
        <v>0</v>
      </c>
      <c r="M29" s="3843">
        <v>0</v>
      </c>
      <c r="N29" s="317">
        <f>0-M29</f>
        <v>0</v>
      </c>
      <c r="O29" s="62">
        <f>-4.999-N29-M29</f>
        <v>-4.9989999999999997</v>
      </c>
      <c r="P29" s="317">
        <f>Q29-O29-N29-M29</f>
        <v>-28.907</v>
      </c>
      <c r="Q29" s="3834">
        <v>-33.905999999999999</v>
      </c>
      <c r="R29" s="3836">
        <v>-5</v>
      </c>
      <c r="S29" s="62">
        <f>-10-R29</f>
        <v>-5</v>
      </c>
      <c r="T29" s="317">
        <f>-10-S29-R29</f>
        <v>0</v>
      </c>
      <c r="U29" s="317">
        <f>V29-T29-S29-R29</f>
        <v>-4.8190000000000008</v>
      </c>
      <c r="V29" s="3837">
        <v>-14.819000000000001</v>
      </c>
      <c r="W29" s="3843">
        <v>0</v>
      </c>
      <c r="X29" s="317">
        <v>0</v>
      </c>
      <c r="Y29" s="317">
        <v>0</v>
      </c>
      <c r="Z29" s="1660">
        <f>AA29-Y29-X29-W29</f>
        <v>0</v>
      </c>
      <c r="AA29" s="3838">
        <v>0</v>
      </c>
      <c r="AB29" s="3845">
        <v>0</v>
      </c>
      <c r="AC29" s="47">
        <v>-10.288</v>
      </c>
      <c r="AD29" s="337">
        <f>-21.288-AC29-AB29</f>
        <v>-11</v>
      </c>
      <c r="AE29" s="46">
        <f>AF29-AD29-AC29-AB29</f>
        <v>-13.223000000000003</v>
      </c>
      <c r="AF29" s="3838">
        <v>-34.511000000000003</v>
      </c>
      <c r="AG29" s="3845">
        <v>0</v>
      </c>
      <c r="AH29" s="47">
        <v>-10.554</v>
      </c>
      <c r="AI29" s="47">
        <f>-44.869-AH29-AG29</f>
        <v>-34.314999999999998</v>
      </c>
      <c r="AJ29" s="74">
        <v>-2.2850000000000001</v>
      </c>
      <c r="AK29" s="3838">
        <f>SUM(AG29:AJ29)</f>
        <v>-47.153999999999996</v>
      </c>
      <c r="AL29" s="2835">
        <v>-18.75</v>
      </c>
      <c r="AM29" s="47">
        <v>-9.6809999999999992</v>
      </c>
      <c r="AN29" s="47">
        <v>-17.510000000000002</v>
      </c>
      <c r="AO29" s="338">
        <v>-19.154</v>
      </c>
      <c r="AP29" s="3838">
        <f t="shared" si="57"/>
        <v>-65.094999999999999</v>
      </c>
      <c r="AQ29" s="3839">
        <v>-3</v>
      </c>
      <c r="AR29" s="339">
        <f>-227+2870</f>
        <v>2643</v>
      </c>
      <c r="AS29" s="48">
        <f>-35+-9+-875</f>
        <v>-919</v>
      </c>
      <c r="AT29" s="3846">
        <f>-55+-500+125</f>
        <v>-430</v>
      </c>
      <c r="AU29" s="3838">
        <f t="shared" si="58"/>
        <v>1291</v>
      </c>
      <c r="AV29" s="48">
        <f>-131-481+175</f>
        <v>-437</v>
      </c>
      <c r="AW29" s="48">
        <f>-212+57-445</f>
        <v>-600</v>
      </c>
      <c r="AX29" s="48">
        <f>-15+1119-125</f>
        <v>979</v>
      </c>
      <c r="AY29" s="98">
        <f>-70-1048+400</f>
        <v>-718</v>
      </c>
      <c r="AZ29" s="507">
        <f t="shared" si="59"/>
        <v>-776</v>
      </c>
      <c r="BA29" s="48">
        <f>-103+245+195</f>
        <v>337</v>
      </c>
      <c r="BB29" s="48">
        <f>-99-336+75</f>
        <v>-360</v>
      </c>
      <c r="BC29" s="98">
        <f>-44-230-75</f>
        <v>-349</v>
      </c>
      <c r="BD29" s="98">
        <f>-450-13-150</f>
        <v>-613</v>
      </c>
      <c r="BE29" s="669">
        <f t="shared" si="60"/>
        <v>-985</v>
      </c>
      <c r="BF29" s="653">
        <f>-36+564</f>
        <v>528</v>
      </c>
      <c r="BG29" s="653">
        <f>-136+974-70+2313</f>
        <v>3081</v>
      </c>
      <c r="BH29" s="653">
        <f>-299-1318+670+174</f>
        <v>-773</v>
      </c>
      <c r="BI29" s="653">
        <f>-98-519</f>
        <v>-617</v>
      </c>
      <c r="BJ29" s="669">
        <f t="shared" si="61"/>
        <v>2219</v>
      </c>
      <c r="BK29" s="673">
        <v>0</v>
      </c>
      <c r="BL29" s="653">
        <f>-299+934-50+0</f>
        <v>585</v>
      </c>
      <c r="BM29" s="653">
        <f>-69+316-725</f>
        <v>-478</v>
      </c>
      <c r="BN29" s="653">
        <f>-691-626-50+386</f>
        <v>-981</v>
      </c>
      <c r="BO29" s="669">
        <f t="shared" si="62"/>
        <v>-874</v>
      </c>
      <c r="BP29" s="673">
        <v>0</v>
      </c>
      <c r="BQ29" s="653">
        <f>1036+200-78</f>
        <v>1158</v>
      </c>
      <c r="BR29" s="653">
        <f>-322+572+225+10</f>
        <v>485</v>
      </c>
      <c r="BS29" s="653">
        <f>-401-838-50+2</f>
        <v>-1287</v>
      </c>
      <c r="BT29" s="1265">
        <f t="shared" si="63"/>
        <v>356</v>
      </c>
      <c r="BU29" s="825">
        <f>16-363+42-257+100+0</f>
        <v>-462</v>
      </c>
      <c r="BV29" s="469">
        <f>-106-150-38</f>
        <v>-294</v>
      </c>
      <c r="BW29" s="469">
        <f>-90-2065+500</f>
        <v>-1655</v>
      </c>
      <c r="BX29" s="469">
        <f>14-247+305</f>
        <v>72</v>
      </c>
      <c r="BY29" s="1258">
        <f>SUM(BU29:BX29)</f>
        <v>-2339</v>
      </c>
      <c r="BZ29" s="469">
        <v>750</v>
      </c>
      <c r="CA29" s="469">
        <v>669</v>
      </c>
      <c r="CB29" s="469">
        <v>0</v>
      </c>
      <c r="CC29" s="469">
        <v>0</v>
      </c>
      <c r="CD29" s="1258">
        <f t="shared" si="64"/>
        <v>1419</v>
      </c>
      <c r="CE29" s="469">
        <v>0</v>
      </c>
      <c r="CF29" s="469">
        <f>0</f>
        <v>0</v>
      </c>
      <c r="CG29" s="469">
        <v>0</v>
      </c>
      <c r="CH29" s="469">
        <v>0</v>
      </c>
      <c r="CI29" s="1258">
        <f t="shared" si="65"/>
        <v>0</v>
      </c>
      <c r="CJ29" s="469">
        <v>0</v>
      </c>
      <c r="CK29" s="469">
        <v>0</v>
      </c>
      <c r="CL29" s="469">
        <v>0</v>
      </c>
      <c r="CM29" s="469">
        <v>0</v>
      </c>
      <c r="CN29" s="1265">
        <f t="shared" si="66"/>
        <v>0</v>
      </c>
      <c r="CO29" s="653">
        <v>0</v>
      </c>
      <c r="CP29" s="653">
        <v>0</v>
      </c>
      <c r="CQ29" s="653">
        <v>0</v>
      </c>
      <c r="CR29" s="653">
        <v>0</v>
      </c>
      <c r="CS29" s="1265">
        <f t="shared" si="67"/>
        <v>0</v>
      </c>
      <c r="CT29" s="653">
        <v>0</v>
      </c>
      <c r="CU29" s="653">
        <v>0</v>
      </c>
      <c r="CV29" s="653">
        <v>0</v>
      </c>
      <c r="CW29" s="653">
        <v>0</v>
      </c>
      <c r="CX29" s="1265">
        <f t="shared" si="68"/>
        <v>0</v>
      </c>
      <c r="CY29" s="653">
        <v>0</v>
      </c>
      <c r="CZ29" s="653">
        <v>0</v>
      </c>
      <c r="DA29" s="653">
        <v>0</v>
      </c>
      <c r="DB29" s="653">
        <v>0</v>
      </c>
      <c r="DC29" s="1265">
        <f t="shared" si="69"/>
        <v>0</v>
      </c>
      <c r="DD29" s="653">
        <v>0</v>
      </c>
      <c r="DE29" s="653">
        <v>0</v>
      </c>
      <c r="DF29" s="653">
        <v>0</v>
      </c>
      <c r="DG29" s="653">
        <v>0</v>
      </c>
      <c r="DH29" s="1265">
        <f t="shared" si="70"/>
        <v>0</v>
      </c>
      <c r="DI29" s="653">
        <v>0</v>
      </c>
      <c r="DJ29" s="653">
        <v>0</v>
      </c>
      <c r="DK29" s="653">
        <v>0</v>
      </c>
      <c r="DL29" s="653">
        <v>0</v>
      </c>
      <c r="DM29" s="1265">
        <f t="shared" si="71"/>
        <v>0</v>
      </c>
      <c r="DN29" s="653">
        <v>0</v>
      </c>
      <c r="DO29" s="653">
        <v>0</v>
      </c>
      <c r="DP29" s="653">
        <v>0</v>
      </c>
      <c r="DQ29" s="670"/>
      <c r="DR29" s="1265">
        <f t="shared" si="73"/>
        <v>0</v>
      </c>
      <c r="DS29" s="670"/>
      <c r="DT29" s="670"/>
      <c r="DU29" s="670"/>
      <c r="DV29" s="670"/>
      <c r="DW29" s="1265">
        <f t="shared" si="75"/>
        <v>0</v>
      </c>
      <c r="DX29" s="5061">
        <v>0</v>
      </c>
      <c r="DY29" s="5061">
        <v>0</v>
      </c>
      <c r="DZ29" s="5061">
        <v>0</v>
      </c>
      <c r="EA29" s="5061">
        <v>0</v>
      </c>
      <c r="EC29" s="4320"/>
      <c r="ED29" s="4320"/>
    </row>
    <row r="30" spans="1:135" s="45" customFormat="1" ht="11.25" customHeight="1">
      <c r="A30" s="3833" t="s">
        <v>788</v>
      </c>
      <c r="B30" s="3834"/>
      <c r="C30" s="3835"/>
      <c r="D30" s="95"/>
      <c r="E30" s="95"/>
      <c r="F30" s="95"/>
      <c r="G30" s="3834"/>
      <c r="H30" s="3662"/>
      <c r="I30" s="37"/>
      <c r="J30" s="37"/>
      <c r="K30" s="37"/>
      <c r="L30" s="3834"/>
      <c r="M30" s="3840"/>
      <c r="N30" s="37"/>
      <c r="O30" s="37"/>
      <c r="P30" s="37"/>
      <c r="Q30" s="3834"/>
      <c r="R30" s="3840"/>
      <c r="S30" s="77"/>
      <c r="T30" s="77"/>
      <c r="U30" s="37"/>
      <c r="V30" s="3841"/>
      <c r="W30" s="3840"/>
      <c r="X30" s="77"/>
      <c r="Y30" s="77"/>
      <c r="Z30" s="37"/>
      <c r="AA30" s="2878"/>
      <c r="AB30" s="2879"/>
      <c r="AC30" s="42"/>
      <c r="AD30" s="42"/>
      <c r="AE30" s="43"/>
      <c r="AF30" s="2878"/>
      <c r="AG30" s="2879"/>
      <c r="AH30" s="42"/>
      <c r="AI30" s="42"/>
      <c r="AJ30" s="42"/>
      <c r="AK30" s="2878"/>
      <c r="AL30" s="2879"/>
      <c r="AM30" s="42"/>
      <c r="AN30" s="42"/>
      <c r="AO30" s="42"/>
      <c r="AP30" s="2878"/>
      <c r="AQ30" s="3667"/>
      <c r="AR30" s="65"/>
      <c r="AS30" s="336"/>
      <c r="AT30" s="65"/>
      <c r="AU30" s="2878"/>
      <c r="AV30" s="65"/>
      <c r="AW30" s="65"/>
      <c r="AX30" s="65"/>
      <c r="AY30" s="65"/>
      <c r="AZ30" s="502"/>
      <c r="BA30" s="65"/>
      <c r="BB30" s="65"/>
      <c r="BC30" s="65"/>
      <c r="BD30" s="65"/>
      <c r="BE30" s="666"/>
      <c r="BF30" s="656"/>
      <c r="BG30" s="656"/>
      <c r="BH30" s="656"/>
      <c r="BI30" s="656"/>
      <c r="BJ30" s="666"/>
      <c r="BK30" s="667"/>
      <c r="BL30" s="656"/>
      <c r="BM30" s="656"/>
      <c r="BN30" s="656"/>
      <c r="BO30" s="666"/>
      <c r="BP30" s="667"/>
      <c r="BQ30" s="656"/>
      <c r="BR30" s="656"/>
      <c r="BS30" s="656"/>
      <c r="BT30" s="1255"/>
      <c r="BU30" s="821"/>
      <c r="BV30" s="656"/>
      <c r="BW30" s="656"/>
      <c r="BX30" s="656"/>
      <c r="BY30" s="1257"/>
      <c r="BZ30" s="656">
        <v>41</v>
      </c>
      <c r="CA30" s="656">
        <v>13</v>
      </c>
      <c r="CB30" s="656">
        <v>27</v>
      </c>
      <c r="CC30" s="656">
        <v>18</v>
      </c>
      <c r="CD30" s="947">
        <f>SUM(BZ30:CC30)</f>
        <v>99</v>
      </c>
      <c r="CE30" s="656">
        <v>30</v>
      </c>
      <c r="CF30" s="656">
        <v>19</v>
      </c>
      <c r="CG30" s="656">
        <v>20</v>
      </c>
      <c r="CH30" s="469">
        <v>29</v>
      </c>
      <c r="CI30" s="870">
        <f>SUM(CE30:CH30)</f>
        <v>98</v>
      </c>
      <c r="CJ30" s="656">
        <v>34</v>
      </c>
      <c r="CK30" s="656">
        <v>55</v>
      </c>
      <c r="CL30" s="656">
        <v>379</v>
      </c>
      <c r="CM30" s="656">
        <v>121</v>
      </c>
      <c r="CN30" s="899">
        <f>SUM(CJ30:CM30)</f>
        <v>589</v>
      </c>
      <c r="CO30" s="656">
        <v>412</v>
      </c>
      <c r="CP30" s="656">
        <v>119</v>
      </c>
      <c r="CQ30" s="656">
        <v>-406</v>
      </c>
      <c r="CR30" s="656">
        <v>-57</v>
      </c>
      <c r="CS30" s="899">
        <f>SUM(CO30:CR30)</f>
        <v>68</v>
      </c>
      <c r="CT30" s="656">
        <v>30</v>
      </c>
      <c r="CU30" s="656">
        <v>23</v>
      </c>
      <c r="CV30" s="656">
        <v>388</v>
      </c>
      <c r="CW30" s="656">
        <v>100</v>
      </c>
      <c r="CX30" s="899">
        <f>SUM(CT30:CW30)</f>
        <v>541</v>
      </c>
      <c r="CY30" s="656">
        <v>355</v>
      </c>
      <c r="CZ30" s="656">
        <v>221</v>
      </c>
      <c r="DA30" s="656">
        <v>791</v>
      </c>
      <c r="DB30" s="656">
        <v>222</v>
      </c>
      <c r="DC30" s="899">
        <f>SUM(CY30:DB30)</f>
        <v>1589</v>
      </c>
      <c r="DD30" s="656">
        <v>0</v>
      </c>
      <c r="DE30" s="656">
        <v>-232</v>
      </c>
      <c r="DF30" s="656">
        <v>-628</v>
      </c>
      <c r="DG30" s="656">
        <v>-66</v>
      </c>
      <c r="DH30" s="899">
        <f>SUM(DD30:DG30)</f>
        <v>-926</v>
      </c>
      <c r="DI30" s="656">
        <v>0</v>
      </c>
      <c r="DJ30" s="656">
        <v>0</v>
      </c>
      <c r="DK30" s="656">
        <v>-2468</v>
      </c>
      <c r="DL30" s="656">
        <v>0</v>
      </c>
      <c r="DM30" s="899">
        <f>SUM(DI30:DL30)</f>
        <v>-2468</v>
      </c>
      <c r="DN30" s="656">
        <v>0</v>
      </c>
      <c r="DO30" s="656">
        <v>0</v>
      </c>
      <c r="DP30" s="656">
        <v>0</v>
      </c>
      <c r="DQ30" s="226"/>
      <c r="DR30" s="899">
        <f>SUM(DN30:DQ30)</f>
        <v>0</v>
      </c>
      <c r="DS30" s="226"/>
      <c r="DT30" s="226"/>
      <c r="DU30" s="226"/>
      <c r="DV30" s="226"/>
      <c r="DW30" s="899">
        <f>SUM(DS30:DV30)</f>
        <v>0</v>
      </c>
      <c r="DX30" s="1255"/>
      <c r="DY30" s="1255"/>
      <c r="DZ30" s="1255"/>
      <c r="EA30" s="1255"/>
      <c r="EC30" s="4320"/>
      <c r="ED30" s="4320"/>
    </row>
    <row r="31" spans="1:135" s="37" customFormat="1" ht="11.25" customHeight="1">
      <c r="A31" s="3833" t="s">
        <v>398</v>
      </c>
      <c r="B31" s="3866"/>
      <c r="C31" s="3867"/>
      <c r="D31" s="3868"/>
      <c r="E31" s="3868"/>
      <c r="F31" s="3868"/>
      <c r="G31" s="3866"/>
      <c r="H31" s="3869"/>
      <c r="I31" s="3870"/>
      <c r="J31" s="3870"/>
      <c r="K31" s="3870"/>
      <c r="L31" s="3871"/>
      <c r="M31" s="3869"/>
      <c r="N31" s="3870"/>
      <c r="O31" s="2015"/>
      <c r="P31" s="3870"/>
      <c r="Q31" s="3866"/>
      <c r="R31" s="3872"/>
      <c r="S31" s="2015"/>
      <c r="T31" s="3870"/>
      <c r="U31" s="3870"/>
      <c r="V31" s="3873"/>
      <c r="W31" s="3869"/>
      <c r="X31" s="3870"/>
      <c r="Y31" s="3870"/>
      <c r="Z31" s="3874"/>
      <c r="AA31" s="3875"/>
      <c r="AB31" s="3876"/>
      <c r="AC31" s="2671"/>
      <c r="AD31" s="1128"/>
      <c r="AE31" s="3877"/>
      <c r="AF31" s="3875"/>
      <c r="AG31" s="3876"/>
      <c r="AH31" s="2671"/>
      <c r="AI31" s="2671"/>
      <c r="AJ31" s="1119"/>
      <c r="AK31" s="3875"/>
      <c r="AL31" s="3878"/>
      <c r="AM31" s="2671"/>
      <c r="AN31" s="2671"/>
      <c r="AO31" s="3879"/>
      <c r="AP31" s="3875"/>
      <c r="AQ31" s="3880"/>
      <c r="AR31" s="3881"/>
      <c r="AS31" s="2691"/>
      <c r="AT31" s="3882"/>
      <c r="AU31" s="3875"/>
      <c r="AV31" s="2691"/>
      <c r="AW31" s="2691"/>
      <c r="AX31" s="2691"/>
      <c r="AY31" s="3883"/>
      <c r="AZ31" s="3884"/>
      <c r="BA31" s="2691"/>
      <c r="BB31" s="2691"/>
      <c r="BC31" s="3883"/>
      <c r="BD31" s="3883"/>
      <c r="BE31" s="3885"/>
      <c r="BF31" s="3886"/>
      <c r="BG31" s="3886"/>
      <c r="BH31" s="3886"/>
      <c r="BI31" s="3886"/>
      <c r="BJ31" s="3885"/>
      <c r="BK31" s="3887"/>
      <c r="BL31" s="3886"/>
      <c r="BM31" s="3886"/>
      <c r="BN31" s="3886"/>
      <c r="BO31" s="3885"/>
      <c r="BP31" s="3887"/>
      <c r="BQ31" s="3886"/>
      <c r="BR31" s="3886"/>
      <c r="BS31" s="3886"/>
      <c r="BT31" s="3888"/>
      <c r="BU31" s="3889"/>
      <c r="BV31" s="3890"/>
      <c r="BW31" s="3890"/>
      <c r="BX31" s="3890"/>
      <c r="BY31" s="3891"/>
      <c r="BZ31" s="469">
        <v>0</v>
      </c>
      <c r="CA31" s="469">
        <v>0</v>
      </c>
      <c r="CB31" s="469">
        <v>0</v>
      </c>
      <c r="CC31" s="469">
        <v>0</v>
      </c>
      <c r="CD31" s="1258">
        <f t="shared" si="64"/>
        <v>0</v>
      </c>
      <c r="CE31" s="469">
        <v>0</v>
      </c>
      <c r="CF31" s="469">
        <v>0</v>
      </c>
      <c r="CG31" s="469">
        <v>0</v>
      </c>
      <c r="CH31" s="469">
        <v>0</v>
      </c>
      <c r="CI31" s="1258">
        <f t="shared" si="65"/>
        <v>0</v>
      </c>
      <c r="CJ31" s="469">
        <v>0</v>
      </c>
      <c r="CK31" s="469">
        <v>0</v>
      </c>
      <c r="CL31" s="469">
        <v>0</v>
      </c>
      <c r="CM31" s="469">
        <v>0</v>
      </c>
      <c r="CN31" s="1265">
        <f t="shared" si="66"/>
        <v>0</v>
      </c>
      <c r="CO31" s="653">
        <v>0</v>
      </c>
      <c r="CP31" s="653">
        <v>0</v>
      </c>
      <c r="CQ31" s="653">
        <v>0</v>
      </c>
      <c r="CR31" s="653">
        <v>0</v>
      </c>
      <c r="CS31" s="1265">
        <f t="shared" si="67"/>
        <v>0</v>
      </c>
      <c r="CT31" s="653">
        <v>0</v>
      </c>
      <c r="CU31" s="653">
        <v>0</v>
      </c>
      <c r="CV31" s="653">
        <v>0</v>
      </c>
      <c r="CW31" s="653">
        <v>0</v>
      </c>
      <c r="CX31" s="1265">
        <f t="shared" si="68"/>
        <v>0</v>
      </c>
      <c r="CY31" s="653">
        <v>0</v>
      </c>
      <c r="CZ31" s="653">
        <v>0</v>
      </c>
      <c r="DA31" s="653">
        <v>0</v>
      </c>
      <c r="DB31" s="653">
        <v>0</v>
      </c>
      <c r="DC31" s="1265">
        <f t="shared" si="69"/>
        <v>0</v>
      </c>
      <c r="DD31" s="653">
        <v>-125</v>
      </c>
      <c r="DE31" s="653">
        <v>0</v>
      </c>
      <c r="DF31" s="653">
        <v>0</v>
      </c>
      <c r="DG31" s="653">
        <v>0</v>
      </c>
      <c r="DH31" s="1265">
        <f t="shared" si="70"/>
        <v>-125</v>
      </c>
      <c r="DI31" s="653">
        <v>101</v>
      </c>
      <c r="DJ31" s="653">
        <v>-133</v>
      </c>
      <c r="DK31" s="653">
        <v>0</v>
      </c>
      <c r="DL31" s="653">
        <v>-167</v>
      </c>
      <c r="DM31" s="1265">
        <f t="shared" si="71"/>
        <v>-199</v>
      </c>
      <c r="DN31" s="653">
        <v>150</v>
      </c>
      <c r="DO31" s="653">
        <v>-513</v>
      </c>
      <c r="DP31" s="653">
        <v>-1482</v>
      </c>
      <c r="DQ31" s="670"/>
      <c r="DR31" s="1265">
        <f t="shared" si="73"/>
        <v>-1845</v>
      </c>
      <c r="DS31" s="670"/>
      <c r="DT31" s="670"/>
      <c r="DU31" s="670"/>
      <c r="DV31" s="670"/>
      <c r="DW31" s="1265">
        <f t="shared" si="75"/>
        <v>0</v>
      </c>
      <c r="DX31" s="5061"/>
      <c r="DY31" s="5061"/>
      <c r="DZ31" s="5061"/>
      <c r="EA31" s="5061"/>
      <c r="EC31" s="3893"/>
      <c r="ED31" s="3893"/>
    </row>
    <row r="32" spans="1:135" s="45" customFormat="1" ht="11.25" customHeight="1">
      <c r="A32" s="6021" t="s">
        <v>95</v>
      </c>
      <c r="B32" s="6022">
        <f t="shared" ref="B32:AO32" si="76">SUM(B23:B29)</f>
        <v>-29.090999999999998</v>
      </c>
      <c r="C32" s="2848">
        <f t="shared" si="76"/>
        <v>0</v>
      </c>
      <c r="D32" s="6023">
        <f t="shared" si="76"/>
        <v>0</v>
      </c>
      <c r="E32" s="6023">
        <f t="shared" si="76"/>
        <v>0</v>
      </c>
      <c r="F32" s="6023">
        <f t="shared" si="76"/>
        <v>-109.71700000000001</v>
      </c>
      <c r="G32" s="6022">
        <f t="shared" si="76"/>
        <v>-109.71700000000001</v>
      </c>
      <c r="H32" s="2846">
        <f t="shared" si="76"/>
        <v>-59.461999999999996</v>
      </c>
      <c r="I32" s="3687">
        <f t="shared" si="76"/>
        <v>-32.597000000000001</v>
      </c>
      <c r="J32" s="3687">
        <f t="shared" si="76"/>
        <v>-43.289000000000001</v>
      </c>
      <c r="K32" s="3687">
        <f t="shared" si="76"/>
        <v>-178.60599999999999</v>
      </c>
      <c r="L32" s="6022">
        <f t="shared" si="76"/>
        <v>-313.95399999999995</v>
      </c>
      <c r="M32" s="2846">
        <f t="shared" si="76"/>
        <v>-106.84299999999999</v>
      </c>
      <c r="N32" s="3687">
        <f t="shared" si="76"/>
        <v>-188.15100000000004</v>
      </c>
      <c r="O32" s="3687">
        <f t="shared" si="76"/>
        <v>-1309.7280000000003</v>
      </c>
      <c r="P32" s="3687">
        <f t="shared" si="76"/>
        <v>-296.63399999999984</v>
      </c>
      <c r="Q32" s="6022">
        <f t="shared" si="76"/>
        <v>-1901.356</v>
      </c>
      <c r="R32" s="2846">
        <f t="shared" si="76"/>
        <v>-472.3280000000002</v>
      </c>
      <c r="S32" s="3687">
        <f t="shared" si="76"/>
        <v>-348.4989999999998</v>
      </c>
      <c r="T32" s="3687">
        <f t="shared" si="76"/>
        <v>-189.08999999999895</v>
      </c>
      <c r="U32" s="3687">
        <f t="shared" si="76"/>
        <v>-2348.2760000000017</v>
      </c>
      <c r="V32" s="6022">
        <f t="shared" si="76"/>
        <v>-3358.1929999999998</v>
      </c>
      <c r="W32" s="2846">
        <f t="shared" si="76"/>
        <v>-1888.6170000000002</v>
      </c>
      <c r="X32" s="3687">
        <f t="shared" si="76"/>
        <v>-2067.6379999999999</v>
      </c>
      <c r="Y32" s="3687">
        <f t="shared" si="76"/>
        <v>-2114.356000000003</v>
      </c>
      <c r="Z32" s="3687">
        <f t="shared" si="76"/>
        <v>-828.53899999999862</v>
      </c>
      <c r="AA32" s="6024">
        <f t="shared" si="76"/>
        <v>-6899.1499999999969</v>
      </c>
      <c r="AB32" s="2850">
        <f t="shared" si="76"/>
        <v>-777.13000000000034</v>
      </c>
      <c r="AC32" s="3688">
        <f t="shared" si="76"/>
        <v>-939.34899999999948</v>
      </c>
      <c r="AD32" s="3688">
        <f t="shared" si="76"/>
        <v>-1089.6780000000028</v>
      </c>
      <c r="AE32" s="3688">
        <f t="shared" si="76"/>
        <v>-875.43199999999695</v>
      </c>
      <c r="AF32" s="6024">
        <f t="shared" si="76"/>
        <v>-3681.5890000000013</v>
      </c>
      <c r="AG32" s="2850">
        <f t="shared" si="76"/>
        <v>-1406.9940000000001</v>
      </c>
      <c r="AH32" s="3688">
        <f t="shared" si="76"/>
        <v>-958.6329999999997</v>
      </c>
      <c r="AI32" s="3688">
        <f t="shared" si="76"/>
        <v>-1136.9570000000003</v>
      </c>
      <c r="AJ32" s="3688">
        <f t="shared" si="76"/>
        <v>-1816.8380000000004</v>
      </c>
      <c r="AK32" s="6024">
        <f t="shared" si="76"/>
        <v>-5319.4219999999987</v>
      </c>
      <c r="AL32" s="2850">
        <f t="shared" si="76"/>
        <v>-418.83200000000022</v>
      </c>
      <c r="AM32" s="3688">
        <f t="shared" si="76"/>
        <v>-217.1419999999996</v>
      </c>
      <c r="AN32" s="3688">
        <f t="shared" si="76"/>
        <v>-2609.9889999999991</v>
      </c>
      <c r="AO32" s="3688">
        <f t="shared" si="76"/>
        <v>-4773.2420000000011</v>
      </c>
      <c r="AP32" s="6024">
        <f t="shared" si="57"/>
        <v>-8019.2049999999999</v>
      </c>
      <c r="AQ32" s="2850">
        <f>SUM(AQ23:AQ29)</f>
        <v>-3424</v>
      </c>
      <c r="AR32" s="3688">
        <f>SUM(AR23:AR29)</f>
        <v>139</v>
      </c>
      <c r="AS32" s="3688">
        <f>SUM(AS23:AS29)</f>
        <v>-4546</v>
      </c>
      <c r="AT32" s="3688">
        <f>SUM(AT23:AT29)</f>
        <v>-2849</v>
      </c>
      <c r="AU32" s="6024">
        <f t="shared" si="58"/>
        <v>-10680</v>
      </c>
      <c r="AV32" s="3688">
        <f>SUM(AV23:AV29)</f>
        <v>-4421</v>
      </c>
      <c r="AW32" s="3688">
        <f>SUM(AW23:AW29)</f>
        <v>-6614</v>
      </c>
      <c r="AX32" s="3688">
        <f>SUM(AX23:AX29)</f>
        <v>-3447</v>
      </c>
      <c r="AY32" s="3688">
        <f>SUM(AY23:AY29)</f>
        <v>-4559</v>
      </c>
      <c r="AZ32" s="6025">
        <f t="shared" si="59"/>
        <v>-19041</v>
      </c>
      <c r="BA32" s="3688">
        <f>SUM(BA23:BA29)</f>
        <v>8151</v>
      </c>
      <c r="BB32" s="3688">
        <f>SUM(BB23:BB29)</f>
        <v>-12386</v>
      </c>
      <c r="BC32" s="3688">
        <f>SUM(BC23:BC29)</f>
        <v>-3307</v>
      </c>
      <c r="BD32" s="3688">
        <f>SUM(BD23:BD29)</f>
        <v>-5514</v>
      </c>
      <c r="BE32" s="6026">
        <f t="shared" si="60"/>
        <v>-13056</v>
      </c>
      <c r="BF32" s="6027">
        <f>SUM(BF23:BF29)</f>
        <v>-2441</v>
      </c>
      <c r="BG32" s="6027">
        <f>SUM(BG23:BG29)</f>
        <v>-3803</v>
      </c>
      <c r="BH32" s="3693">
        <f>SUM(BH23:BH29)</f>
        <v>-5818</v>
      </c>
      <c r="BI32" s="3693">
        <f>SUM(BI23:BI29)</f>
        <v>-1617</v>
      </c>
      <c r="BJ32" s="6026">
        <f t="shared" si="61"/>
        <v>-13679</v>
      </c>
      <c r="BK32" s="6028">
        <f>SUM(BK23:BK29)</f>
        <v>-7307</v>
      </c>
      <c r="BL32" s="6027">
        <f>SUM(BL23:BL29)</f>
        <v>-1180</v>
      </c>
      <c r="BM32" s="3693">
        <f>SUM(BM23:BM29)</f>
        <v>-9327</v>
      </c>
      <c r="BN32" s="3693">
        <f>SUM(BN23:BN29)</f>
        <v>-3241</v>
      </c>
      <c r="BO32" s="6026">
        <f t="shared" si="62"/>
        <v>-21055</v>
      </c>
      <c r="BP32" s="6028">
        <f>SUM(BP23:BP29)</f>
        <v>-7304</v>
      </c>
      <c r="BQ32" s="6027">
        <f>SUM(BQ23:BQ29)</f>
        <v>-5103</v>
      </c>
      <c r="BR32" s="3693">
        <f>SUM(BR23:BR29)</f>
        <v>-5817</v>
      </c>
      <c r="BS32" s="3693">
        <f>SUM(BS23:BS29)</f>
        <v>-5487</v>
      </c>
      <c r="BT32" s="3694">
        <f t="shared" si="63"/>
        <v>-23711</v>
      </c>
      <c r="BU32" s="3693">
        <f>SUM(BU23:BU29)</f>
        <v>-6245</v>
      </c>
      <c r="BV32" s="3693">
        <f>SUM(BV23:BV29)</f>
        <v>-7173</v>
      </c>
      <c r="BW32" s="3693">
        <f>SUM(BW23:BW29)</f>
        <v>-13045</v>
      </c>
      <c r="BX32" s="3693">
        <f>SUM(BX23:BX29)</f>
        <v>-4702</v>
      </c>
      <c r="BY32" s="3694">
        <f>SUM(BY23:BY29)</f>
        <v>-31165</v>
      </c>
      <c r="BZ32" s="3693">
        <f t="shared" ref="BZ32:CX32" si="77">SUM(BZ23:BZ31)</f>
        <v>-2851</v>
      </c>
      <c r="CA32" s="3693">
        <f t="shared" si="77"/>
        <v>-7172</v>
      </c>
      <c r="CB32" s="3693">
        <f t="shared" si="77"/>
        <v>-14404</v>
      </c>
      <c r="CC32" s="3693">
        <f t="shared" si="77"/>
        <v>-6974</v>
      </c>
      <c r="CD32" s="3694">
        <f t="shared" si="77"/>
        <v>-31401</v>
      </c>
      <c r="CE32" s="3693">
        <f t="shared" si="77"/>
        <v>-7846</v>
      </c>
      <c r="CF32" s="3693">
        <f t="shared" si="77"/>
        <v>-3374</v>
      </c>
      <c r="CG32" s="3693">
        <f t="shared" si="77"/>
        <v>-10408</v>
      </c>
      <c r="CH32" s="3693">
        <f t="shared" si="77"/>
        <v>-6876</v>
      </c>
      <c r="CI32" s="3694">
        <f t="shared" si="77"/>
        <v>-28504</v>
      </c>
      <c r="CJ32" s="3693">
        <f t="shared" si="77"/>
        <v>-5388</v>
      </c>
      <c r="CK32" s="3693">
        <f t="shared" si="77"/>
        <v>-10455</v>
      </c>
      <c r="CL32" s="3693">
        <f t="shared" si="77"/>
        <v>-8945</v>
      </c>
      <c r="CM32" s="3693">
        <f t="shared" si="77"/>
        <v>-4703</v>
      </c>
      <c r="CN32" s="3694">
        <f t="shared" si="77"/>
        <v>-29491</v>
      </c>
      <c r="CO32" s="3693">
        <f t="shared" si="77"/>
        <v>-1847</v>
      </c>
      <c r="CP32" s="3693">
        <f t="shared" si="77"/>
        <v>-8448</v>
      </c>
      <c r="CQ32" s="3693">
        <f t="shared" si="77"/>
        <v>-15197</v>
      </c>
      <c r="CR32" s="3693">
        <f t="shared" si="77"/>
        <v>-7281</v>
      </c>
      <c r="CS32" s="3694">
        <f t="shared" si="77"/>
        <v>-32773</v>
      </c>
      <c r="CT32" s="3693">
        <f t="shared" si="77"/>
        <v>-5383</v>
      </c>
      <c r="CU32" s="3693">
        <f t="shared" si="77"/>
        <v>-9074</v>
      </c>
      <c r="CV32" s="3693">
        <f t="shared" si="77"/>
        <v>-10050</v>
      </c>
      <c r="CW32" s="3693">
        <f t="shared" si="77"/>
        <v>-11016</v>
      </c>
      <c r="CX32" s="3694">
        <f t="shared" si="77"/>
        <v>-35523</v>
      </c>
      <c r="CY32" s="3693">
        <f t="shared" ref="CY32:DH32" si="78">SUM(CY23:CY31)</f>
        <v>-9051</v>
      </c>
      <c r="CZ32" s="3693">
        <f t="shared" si="78"/>
        <v>-4187</v>
      </c>
      <c r="DA32" s="3693">
        <f t="shared" si="78"/>
        <v>-833</v>
      </c>
      <c r="DB32" s="3693">
        <f t="shared" si="78"/>
        <v>-6227</v>
      </c>
      <c r="DC32" s="3694">
        <f t="shared" si="78"/>
        <v>-20298</v>
      </c>
      <c r="DD32" s="3693">
        <f>SUM(DD23:DD31)</f>
        <v>-2946</v>
      </c>
      <c r="DE32" s="3693">
        <f>SUM(DE23:DE31)</f>
        <v>-10800</v>
      </c>
      <c r="DF32" s="3693">
        <f>SUM(DF23:DF31)</f>
        <v>-7150</v>
      </c>
      <c r="DG32" s="3693">
        <f t="shared" ref="DG32" si="79">SUM(DG23:DG31)</f>
        <v>-6167</v>
      </c>
      <c r="DH32" s="3694">
        <f t="shared" si="78"/>
        <v>-27063</v>
      </c>
      <c r="DI32" s="3693">
        <f>SUM(DI23:DI31)</f>
        <v>-8564</v>
      </c>
      <c r="DJ32" s="3693">
        <f>SUM(DJ23:DJ31)</f>
        <v>-2781</v>
      </c>
      <c r="DK32" s="3693">
        <f>SUM(DK23:DK31)</f>
        <v>-18011</v>
      </c>
      <c r="DL32" s="3693">
        <f t="shared" ref="DL32" si="80">SUM(DL23:DL31)</f>
        <v>-16180</v>
      </c>
      <c r="DM32" s="3694">
        <f>SUM(DM23:DM31)</f>
        <v>-45536</v>
      </c>
      <c r="DN32" s="3693">
        <f>SUM(DN23:DN31)</f>
        <v>-16194</v>
      </c>
      <c r="DO32" s="3693">
        <f>SUM(DO23:DO31)</f>
        <v>-24544</v>
      </c>
      <c r="DP32" s="3693">
        <f>SUM(DP23:DP31)</f>
        <v>-27777</v>
      </c>
      <c r="DQ32" s="3693">
        <f t="shared" ref="DQ32" si="81">SUM(DQ23:DQ31)</f>
        <v>-28796.411129211654</v>
      </c>
      <c r="DR32" s="3694">
        <f>SUM(DR23:DR31)</f>
        <v>-97311.411129211658</v>
      </c>
      <c r="DS32" s="3693">
        <f t="shared" ref="DS32:DV32" si="82">SUM(DS23:DS31)</f>
        <v>-31807.905486705375</v>
      </c>
      <c r="DT32" s="3693">
        <f t="shared" si="82"/>
        <v>-14818.957942968504</v>
      </c>
      <c r="DU32" s="3693">
        <f t="shared" si="82"/>
        <v>-36465.530740129485</v>
      </c>
      <c r="DV32" s="3693">
        <f t="shared" si="82"/>
        <v>-37826.440496520183</v>
      </c>
      <c r="DW32" s="3694">
        <f>SUM(DW23:DW31)</f>
        <v>-120918.83466632356</v>
      </c>
      <c r="DX32" s="3694">
        <f>SUM(DX23:DX31)</f>
        <v>-146583.13115276871</v>
      </c>
      <c r="DY32" s="3694">
        <f>SUM(DY23:DY31)</f>
        <v>-171204.68556146964</v>
      </c>
      <c r="DZ32" s="3694">
        <f>SUM(DZ23:DZ31)</f>
        <v>-184596.54397761333</v>
      </c>
      <c r="EA32" s="3694">
        <f>SUM(EA23:EA31)</f>
        <v>-197553.72407966186</v>
      </c>
      <c r="EC32" s="4320"/>
      <c r="ED32" s="4320"/>
    </row>
    <row r="33" spans="1:134" s="45" customFormat="1" ht="11.25" customHeight="1">
      <c r="A33" s="1583"/>
      <c r="B33" s="875"/>
      <c r="C33" s="877"/>
      <c r="D33" s="37"/>
      <c r="E33" s="37"/>
      <c r="F33" s="37"/>
      <c r="G33" s="875"/>
      <c r="H33" s="877"/>
      <c r="I33" s="37"/>
      <c r="J33" s="37"/>
      <c r="K33" s="37"/>
      <c r="L33" s="875"/>
      <c r="M33" s="877"/>
      <c r="N33" s="37"/>
      <c r="O33" s="37"/>
      <c r="P33" s="37"/>
      <c r="Q33" s="875"/>
      <c r="R33" s="877"/>
      <c r="S33" s="37"/>
      <c r="T33" s="37"/>
      <c r="U33" s="37"/>
      <c r="V33" s="875"/>
      <c r="W33" s="877"/>
      <c r="X33" s="37"/>
      <c r="Y33" s="37"/>
      <c r="Z33" s="38"/>
      <c r="AA33" s="878"/>
      <c r="AB33" s="904"/>
      <c r="AC33" s="43"/>
      <c r="AD33" s="43"/>
      <c r="AE33" s="40"/>
      <c r="AF33" s="878"/>
      <c r="AG33" s="904"/>
      <c r="AH33" s="43"/>
      <c r="AI33" s="43"/>
      <c r="AJ33" s="40"/>
      <c r="AK33" s="878"/>
      <c r="AL33" s="904"/>
      <c r="AM33" s="43"/>
      <c r="AN33" s="43"/>
      <c r="AO33" s="40"/>
      <c r="AP33" s="878"/>
      <c r="AQ33" s="904"/>
      <c r="AR33" s="43"/>
      <c r="AS33" s="43"/>
      <c r="AT33" s="40"/>
      <c r="AU33" s="878"/>
      <c r="AV33" s="43"/>
      <c r="AW33" s="43"/>
      <c r="AX33" s="43"/>
      <c r="AY33" s="43"/>
      <c r="AZ33" s="505"/>
      <c r="BA33" s="43"/>
      <c r="BB33" s="43"/>
      <c r="BC33" s="43"/>
      <c r="BD33" s="43"/>
      <c r="BE33" s="505"/>
      <c r="BF33" s="43"/>
      <c r="BG33" s="43"/>
      <c r="BH33" s="43"/>
      <c r="BI33" s="43"/>
      <c r="BJ33" s="505"/>
      <c r="BK33" s="567"/>
      <c r="BL33" s="43"/>
      <c r="BM33" s="43"/>
      <c r="BN33" s="568"/>
      <c r="BO33" s="505"/>
      <c r="BP33" s="567"/>
      <c r="BQ33" s="43"/>
      <c r="BR33" s="43"/>
      <c r="BS33" s="43"/>
      <c r="BT33" s="873"/>
      <c r="BU33" s="43"/>
      <c r="BV33" s="43"/>
      <c r="BW33" s="43"/>
      <c r="BX33" s="43"/>
      <c r="BY33" s="873"/>
      <c r="BZ33" s="43"/>
      <c r="CA33" s="43"/>
      <c r="CB33" s="43"/>
      <c r="CC33" s="43"/>
      <c r="CD33" s="873"/>
      <c r="CE33" s="43"/>
      <c r="CF33" s="43"/>
      <c r="CG33" s="43"/>
      <c r="CH33" s="43"/>
      <c r="CI33" s="873"/>
      <c r="CJ33" s="43"/>
      <c r="CK33" s="43"/>
      <c r="CL33" s="43"/>
      <c r="CM33" s="43"/>
      <c r="CN33" s="873"/>
      <c r="CO33" s="43"/>
      <c r="CP33" s="43"/>
      <c r="CQ33" s="43"/>
      <c r="CR33" s="43"/>
      <c r="CS33" s="873"/>
      <c r="CT33" s="43"/>
      <c r="CU33" s="43"/>
      <c r="CV33" s="43"/>
      <c r="CW33" s="43"/>
      <c r="CX33" s="873"/>
      <c r="CY33" s="43"/>
      <c r="CZ33" s="43"/>
      <c r="DA33" s="43"/>
      <c r="DB33" s="43"/>
      <c r="DC33" s="5129"/>
      <c r="DD33" s="43"/>
      <c r="DE33" s="43"/>
      <c r="DF33" s="43"/>
      <c r="DG33" s="43"/>
      <c r="DH33" s="5129"/>
      <c r="DI33" s="43"/>
      <c r="DJ33" s="43"/>
      <c r="DK33" s="43"/>
      <c r="DL33" s="43"/>
      <c r="DM33" s="5129"/>
      <c r="DN33" s="43"/>
      <c r="DO33" s="43"/>
      <c r="DP33" s="43"/>
      <c r="DQ33" s="43"/>
      <c r="DR33" s="5129"/>
      <c r="DS33" s="43"/>
      <c r="DT33" s="43"/>
      <c r="DU33" s="43"/>
      <c r="DV33" s="43"/>
      <c r="DW33" s="5129"/>
      <c r="DX33" s="873"/>
      <c r="DY33" s="873"/>
      <c r="DZ33" s="873"/>
      <c r="EA33" s="873"/>
      <c r="EC33" s="4320"/>
      <c r="ED33" s="4320"/>
    </row>
    <row r="34" spans="1:134" s="45" customFormat="1" ht="11.25" customHeight="1">
      <c r="A34" s="6150" t="s">
        <v>91</v>
      </c>
      <c r="B34" s="6151"/>
      <c r="C34" s="6152"/>
      <c r="D34" s="6153"/>
      <c r="E34" s="6153"/>
      <c r="F34" s="6153"/>
      <c r="G34" s="6151"/>
      <c r="H34" s="6152"/>
      <c r="I34" s="6153"/>
      <c r="J34" s="6153"/>
      <c r="K34" s="6153"/>
      <c r="L34" s="6151"/>
      <c r="M34" s="6152"/>
      <c r="N34" s="6153"/>
      <c r="O34" s="6153"/>
      <c r="P34" s="6153"/>
      <c r="Q34" s="6151"/>
      <c r="R34" s="6152"/>
      <c r="S34" s="6153"/>
      <c r="T34" s="6153"/>
      <c r="U34" s="6153"/>
      <c r="V34" s="6151"/>
      <c r="W34" s="6152"/>
      <c r="X34" s="6153"/>
      <c r="Y34" s="6153"/>
      <c r="Z34" s="6154"/>
      <c r="AA34" s="6155"/>
      <c r="AB34" s="6156"/>
      <c r="AC34" s="6157"/>
      <c r="AD34" s="6157"/>
      <c r="AE34" s="6158"/>
      <c r="AF34" s="6155"/>
      <c r="AG34" s="6156"/>
      <c r="AH34" s="6157"/>
      <c r="AI34" s="6157"/>
      <c r="AJ34" s="6158"/>
      <c r="AK34" s="6155"/>
      <c r="AL34" s="6156"/>
      <c r="AM34" s="6157"/>
      <c r="AN34" s="6157"/>
      <c r="AO34" s="6158"/>
      <c r="AP34" s="6155"/>
      <c r="AQ34" s="6156"/>
      <c r="AR34" s="6157"/>
      <c r="AS34" s="6157"/>
      <c r="AT34" s="6158"/>
      <c r="AU34" s="6155"/>
      <c r="AV34" s="6157"/>
      <c r="AW34" s="6157"/>
      <c r="AX34" s="6157"/>
      <c r="AY34" s="6157"/>
      <c r="AZ34" s="6160"/>
      <c r="BA34" s="6157"/>
      <c r="BB34" s="6157"/>
      <c r="BC34" s="6157"/>
      <c r="BD34" s="6157"/>
      <c r="BE34" s="6160"/>
      <c r="BF34" s="6157"/>
      <c r="BG34" s="6157"/>
      <c r="BH34" s="6157"/>
      <c r="BI34" s="6157"/>
      <c r="BJ34" s="6160"/>
      <c r="BK34" s="6161"/>
      <c r="BL34" s="6157"/>
      <c r="BM34" s="6157"/>
      <c r="BN34" s="6157"/>
      <c r="BO34" s="6160"/>
      <c r="BP34" s="6161"/>
      <c r="BQ34" s="6157"/>
      <c r="BR34" s="6157"/>
      <c r="BS34" s="6157"/>
      <c r="BT34" s="6163"/>
      <c r="BU34" s="6157"/>
      <c r="BV34" s="6157"/>
      <c r="BW34" s="6157"/>
      <c r="BX34" s="6157"/>
      <c r="BY34" s="6163"/>
      <c r="BZ34" s="6157"/>
      <c r="CA34" s="6157"/>
      <c r="CB34" s="6157"/>
      <c r="CC34" s="6157"/>
      <c r="CD34" s="6163"/>
      <c r="CE34" s="6157"/>
      <c r="CF34" s="6157"/>
      <c r="CG34" s="6157"/>
      <c r="CH34" s="6157"/>
      <c r="CI34" s="6163"/>
      <c r="CJ34" s="6157"/>
      <c r="CK34" s="6157"/>
      <c r="CL34" s="6157"/>
      <c r="CM34" s="6157"/>
      <c r="CN34" s="6163"/>
      <c r="CO34" s="6157"/>
      <c r="CP34" s="6157"/>
      <c r="CQ34" s="6157"/>
      <c r="CR34" s="6157"/>
      <c r="CS34" s="6163"/>
      <c r="CT34" s="6157"/>
      <c r="CU34" s="6157"/>
      <c r="CV34" s="6157"/>
      <c r="CW34" s="6157"/>
      <c r="CX34" s="6163"/>
      <c r="CY34" s="6157"/>
      <c r="CZ34" s="6157"/>
      <c r="DA34" s="6157"/>
      <c r="DB34" s="6157"/>
      <c r="DC34" s="6164"/>
      <c r="DD34" s="6157"/>
      <c r="DE34" s="6157"/>
      <c r="DF34" s="6157"/>
      <c r="DG34" s="6157"/>
      <c r="DH34" s="6164"/>
      <c r="DI34" s="6157"/>
      <c r="DJ34" s="6157"/>
      <c r="DK34" s="6157"/>
      <c r="DL34" s="6157"/>
      <c r="DM34" s="6164"/>
      <c r="DN34" s="6157"/>
      <c r="DO34" s="6157"/>
      <c r="DP34" s="6157"/>
      <c r="DQ34" s="6157"/>
      <c r="DR34" s="6164"/>
      <c r="DS34" s="6157"/>
      <c r="DT34" s="6157"/>
      <c r="DU34" s="6157"/>
      <c r="DV34" s="6157"/>
      <c r="DW34" s="6164"/>
      <c r="DX34" s="6163"/>
      <c r="DY34" s="6163"/>
      <c r="DZ34" s="6163"/>
      <c r="EA34" s="6163"/>
      <c r="EC34" s="4320"/>
      <c r="ED34" s="4320"/>
    </row>
    <row r="35" spans="1:134" s="45" customFormat="1" ht="11.25" hidden="1" customHeight="1" outlineLevel="1">
      <c r="A35" s="1577" t="s">
        <v>231</v>
      </c>
      <c r="B35" s="913">
        <v>0</v>
      </c>
      <c r="C35" s="876">
        <v>0</v>
      </c>
      <c r="D35" s="95">
        <v>0</v>
      </c>
      <c r="E35" s="95">
        <v>0</v>
      </c>
      <c r="F35" s="95">
        <v>0</v>
      </c>
      <c r="G35" s="913">
        <v>0</v>
      </c>
      <c r="H35" s="912">
        <v>0</v>
      </c>
      <c r="I35" s="317">
        <v>0</v>
      </c>
      <c r="J35" s="317">
        <v>0</v>
      </c>
      <c r="K35" s="317">
        <v>0</v>
      </c>
      <c r="L35" s="913">
        <v>0</v>
      </c>
      <c r="M35" s="912">
        <v>0</v>
      </c>
      <c r="N35" s="317">
        <v>0</v>
      </c>
      <c r="O35" s="37">
        <f>1161.446-N35-M35</f>
        <v>1161.4459999999999</v>
      </c>
      <c r="P35" s="214">
        <f t="shared" ref="P35:P44" si="83">Q35-O35-N35-M35</f>
        <v>-0.36599999999998545</v>
      </c>
      <c r="Q35" s="1108">
        <v>1161.08</v>
      </c>
      <c r="R35" s="925">
        <v>-7.0000000000000007E-2</v>
      </c>
      <c r="S35" s="62">
        <f>0-R35</f>
        <v>7.0000000000000007E-2</v>
      </c>
      <c r="T35" s="62">
        <f>4287.621-S35-R35</f>
        <v>4287.6210000000001</v>
      </c>
      <c r="U35" s="214">
        <f t="shared" ref="U35:U44" si="84">V35-T35-S35-R35</f>
        <v>-0.39199999999982538</v>
      </c>
      <c r="V35" s="1107">
        <v>4287.2290000000003</v>
      </c>
      <c r="W35" s="912">
        <v>0</v>
      </c>
      <c r="X35" s="62">
        <v>2063.777</v>
      </c>
      <c r="Y35" s="62">
        <f>2063.751-X35-W35</f>
        <v>-2.5999999999839929E-2</v>
      </c>
      <c r="Z35" s="37">
        <f t="shared" ref="Z35:Z44" si="85">AA35-Y35-X35-W35</f>
        <v>-0.20200000000022555</v>
      </c>
      <c r="AA35" s="1106">
        <v>2063.549</v>
      </c>
      <c r="AB35" s="915">
        <v>0</v>
      </c>
      <c r="AC35" s="97">
        <v>0</v>
      </c>
      <c r="AD35" s="73">
        <v>0</v>
      </c>
      <c r="AE35" s="73">
        <f t="shared" ref="AE35:AE44" si="86">AF35-AD35-AC35-AB35</f>
        <v>0</v>
      </c>
      <c r="AF35" s="1106">
        <v>0</v>
      </c>
      <c r="AG35" s="915">
        <v>0</v>
      </c>
      <c r="AH35" s="73">
        <v>0</v>
      </c>
      <c r="AI35" s="73">
        <v>0</v>
      </c>
      <c r="AJ35" s="73">
        <v>0</v>
      </c>
      <c r="AK35" s="916">
        <f t="shared" ref="AK35:AK44" si="87">SUM(AG35:AJ35)</f>
        <v>0</v>
      </c>
      <c r="AL35" s="915">
        <v>0</v>
      </c>
      <c r="AM35" s="73">
        <v>0</v>
      </c>
      <c r="AN35" s="97">
        <v>0</v>
      </c>
      <c r="AO35" s="97">
        <v>0</v>
      </c>
      <c r="AP35" s="916">
        <f t="shared" ref="AP35:AP44" si="88">SUM(AL35:AO35)</f>
        <v>0</v>
      </c>
      <c r="AQ35" s="930">
        <v>0</v>
      </c>
      <c r="AR35" s="98">
        <v>0</v>
      </c>
      <c r="AS35" s="98">
        <v>0</v>
      </c>
      <c r="AT35" s="48">
        <v>0</v>
      </c>
      <c r="AU35" s="916">
        <f t="shared" ref="AU35:AU44" si="89">SUM(AQ35:AT35)</f>
        <v>0</v>
      </c>
      <c r="AV35" s="98">
        <v>0</v>
      </c>
      <c r="AW35" s="97">
        <v>0</v>
      </c>
      <c r="AX35" s="98">
        <v>0</v>
      </c>
      <c r="AY35" s="48">
        <v>0</v>
      </c>
      <c r="AZ35" s="507">
        <f t="shared" ref="AZ35:AZ44" si="90">SUM(AV35:AY35)</f>
        <v>0</v>
      </c>
      <c r="BA35" s="98">
        <v>0</v>
      </c>
      <c r="BB35" s="98">
        <v>0</v>
      </c>
      <c r="BC35" s="98">
        <v>0</v>
      </c>
      <c r="BD35" s="48">
        <v>0</v>
      </c>
      <c r="BE35" s="674">
        <f t="shared" ref="BE35:BE44" si="91">SUM(BA35:BD35)</f>
        <v>0</v>
      </c>
      <c r="BF35" s="469">
        <v>0</v>
      </c>
      <c r="BG35" s="469">
        <v>0</v>
      </c>
      <c r="BH35" s="469">
        <v>0</v>
      </c>
      <c r="BI35" s="469">
        <v>0</v>
      </c>
      <c r="BJ35" s="674">
        <f t="shared" ref="BJ35:BJ44" si="92">SUM(BF35:BI35)</f>
        <v>0</v>
      </c>
      <c r="BK35" s="675">
        <v>0</v>
      </c>
      <c r="BL35" s="469">
        <v>0</v>
      </c>
      <c r="BM35" s="469">
        <v>0</v>
      </c>
      <c r="BN35" s="469">
        <v>0</v>
      </c>
      <c r="BO35" s="674">
        <f t="shared" ref="BO35:BO44" si="93">SUM(BK35:BN35)</f>
        <v>0</v>
      </c>
      <c r="BP35" s="675">
        <v>0</v>
      </c>
      <c r="BQ35" s="469">
        <v>0</v>
      </c>
      <c r="BR35" s="469">
        <v>0</v>
      </c>
      <c r="BS35" s="469">
        <v>0</v>
      </c>
      <c r="BT35" s="870">
        <f t="shared" ref="BT35:BT44" si="94">SUM(BP35:BS35)</f>
        <v>0</v>
      </c>
      <c r="BU35" s="469">
        <v>0</v>
      </c>
      <c r="BV35" s="469">
        <v>0</v>
      </c>
      <c r="BW35" s="469">
        <v>0</v>
      </c>
      <c r="BX35" s="469">
        <v>0</v>
      </c>
      <c r="BY35" s="870">
        <f>SUM(BU35:BX35)</f>
        <v>0</v>
      </c>
      <c r="BZ35" s="469">
        <v>0</v>
      </c>
      <c r="CA35" s="469">
        <v>0</v>
      </c>
      <c r="CB35" s="469">
        <v>0</v>
      </c>
      <c r="CC35" s="528">
        <v>0</v>
      </c>
      <c r="CD35" s="870">
        <f>SUM(BZ35:CC35)</f>
        <v>0</v>
      </c>
      <c r="CE35" s="528">
        <v>0</v>
      </c>
      <c r="CF35" s="528">
        <v>0</v>
      </c>
      <c r="CG35" s="469">
        <v>0</v>
      </c>
      <c r="CH35" s="469">
        <v>0</v>
      </c>
      <c r="CI35" s="870">
        <f t="shared" ref="CI35:CI45" si="95">SUM(CE35:CH35)</f>
        <v>0</v>
      </c>
      <c r="CJ35" s="469">
        <v>0</v>
      </c>
      <c r="CK35" s="528">
        <v>0</v>
      </c>
      <c r="CL35" s="469">
        <v>0</v>
      </c>
      <c r="CM35" s="469">
        <v>0</v>
      </c>
      <c r="CN35" s="899">
        <f t="shared" ref="CN35:CN45" si="96">SUM(CJ35:CM35)</f>
        <v>0</v>
      </c>
      <c r="CO35" s="653">
        <v>0</v>
      </c>
      <c r="CP35" s="653">
        <v>0</v>
      </c>
      <c r="CQ35" s="653">
        <v>0</v>
      </c>
      <c r="CR35" s="653">
        <v>0</v>
      </c>
      <c r="CS35" s="899">
        <f t="shared" ref="CS35:CS45" si="97">SUM(CO35:CR35)</f>
        <v>0</v>
      </c>
      <c r="CT35" s="654">
        <v>0</v>
      </c>
      <c r="CU35" s="653">
        <v>0</v>
      </c>
      <c r="CV35" s="653">
        <v>0</v>
      </c>
      <c r="CW35" s="653">
        <v>0</v>
      </c>
      <c r="CX35" s="5062">
        <f t="shared" ref="CX35:CX45" si="98">SUM(CT35:CW35)</f>
        <v>0</v>
      </c>
      <c r="CY35" s="654">
        <v>0</v>
      </c>
      <c r="CZ35" s="653">
        <v>0</v>
      </c>
      <c r="DA35" s="653">
        <v>0</v>
      </c>
      <c r="DB35" s="653">
        <v>0</v>
      </c>
      <c r="DC35" s="5062">
        <f t="shared" ref="DC35:DC45" si="99">SUM(CY35:DB35)</f>
        <v>0</v>
      </c>
      <c r="DD35" s="654">
        <v>0</v>
      </c>
      <c r="DE35" s="653">
        <v>0</v>
      </c>
      <c r="DF35" s="653">
        <v>0</v>
      </c>
      <c r="DG35" s="653">
        <v>0</v>
      </c>
      <c r="DH35" s="5062">
        <f t="shared" ref="DH35:DH45" si="100">SUM(DD35:DG35)</f>
        <v>0</v>
      </c>
      <c r="DI35" s="654">
        <v>0</v>
      </c>
      <c r="DJ35" s="653">
        <v>0</v>
      </c>
      <c r="DK35" s="653">
        <v>0</v>
      </c>
      <c r="DL35" s="653">
        <v>0</v>
      </c>
      <c r="DM35" s="5062">
        <f t="shared" ref="DM35:DM45" si="101">SUM(DI35:DL35)</f>
        <v>0</v>
      </c>
      <c r="DN35" s="654">
        <v>0</v>
      </c>
      <c r="DO35" s="653">
        <v>0</v>
      </c>
      <c r="DP35" s="653">
        <v>0</v>
      </c>
      <c r="DQ35" s="670"/>
      <c r="DR35" s="5062">
        <f t="shared" ref="DR35:DR45" si="102">SUM(DN35:DQ35)</f>
        <v>0</v>
      </c>
      <c r="DS35" s="670"/>
      <c r="DT35" s="670"/>
      <c r="DU35" s="670"/>
      <c r="DV35" s="670"/>
      <c r="DW35" s="5062">
        <f t="shared" ref="DW35:DW45" si="103">SUM(DS35:DV35)</f>
        <v>0</v>
      </c>
      <c r="DX35" s="5060"/>
      <c r="DY35" s="5060"/>
      <c r="DZ35" s="5060"/>
      <c r="EA35" s="5060"/>
      <c r="EC35" s="4320"/>
      <c r="ED35" s="4320"/>
    </row>
    <row r="36" spans="1:134" s="45" customFormat="1" ht="11.25" hidden="1" customHeight="1" outlineLevel="1">
      <c r="A36" s="1577" t="s">
        <v>195</v>
      </c>
      <c r="B36" s="875">
        <v>1.042</v>
      </c>
      <c r="C36" s="876"/>
      <c r="D36" s="95">
        <f>-C36</f>
        <v>0</v>
      </c>
      <c r="E36" s="95">
        <f>-D36-C36</f>
        <v>0</v>
      </c>
      <c r="F36" s="340">
        <f>G36-E36-D36-C36</f>
        <v>0</v>
      </c>
      <c r="G36" s="913">
        <v>0</v>
      </c>
      <c r="H36" s="912">
        <v>0</v>
      </c>
      <c r="I36" s="317">
        <f>-H36</f>
        <v>0</v>
      </c>
      <c r="J36" s="317">
        <f>-I36-H36</f>
        <v>0</v>
      </c>
      <c r="K36" s="136">
        <f>L36-J36-I36-H36</f>
        <v>0</v>
      </c>
      <c r="L36" s="913">
        <v>0</v>
      </c>
      <c r="M36" s="912">
        <v>0</v>
      </c>
      <c r="N36" s="317">
        <f>-M36</f>
        <v>0</v>
      </c>
      <c r="O36" s="327">
        <v>0</v>
      </c>
      <c r="P36" s="136">
        <f t="shared" si="83"/>
        <v>0</v>
      </c>
      <c r="Q36" s="913">
        <v>0</v>
      </c>
      <c r="R36" s="925">
        <v>0</v>
      </c>
      <c r="S36" s="317">
        <f>0-R36</f>
        <v>0</v>
      </c>
      <c r="T36" s="317">
        <f>0-S36-R36</f>
        <v>0</v>
      </c>
      <c r="U36" s="136">
        <f t="shared" si="84"/>
        <v>0</v>
      </c>
      <c r="V36" s="913">
        <v>0</v>
      </c>
      <c r="W36" s="912">
        <v>0</v>
      </c>
      <c r="X36" s="317">
        <v>0</v>
      </c>
      <c r="Y36" s="317">
        <v>0</v>
      </c>
      <c r="Z36" s="62">
        <f t="shared" si="85"/>
        <v>0</v>
      </c>
      <c r="AA36" s="914">
        <v>0</v>
      </c>
      <c r="AB36" s="915">
        <v>0</v>
      </c>
      <c r="AC36" s="97">
        <v>0</v>
      </c>
      <c r="AD36" s="73">
        <v>0</v>
      </c>
      <c r="AE36" s="47">
        <f t="shared" si="86"/>
        <v>0</v>
      </c>
      <c r="AF36" s="1111">
        <v>0</v>
      </c>
      <c r="AG36" s="915">
        <v>0</v>
      </c>
      <c r="AH36" s="73">
        <v>0</v>
      </c>
      <c r="AI36" s="73">
        <v>0</v>
      </c>
      <c r="AJ36" s="73">
        <v>0</v>
      </c>
      <c r="AK36" s="914">
        <f t="shared" si="87"/>
        <v>0</v>
      </c>
      <c r="AL36" s="915">
        <v>0</v>
      </c>
      <c r="AM36" s="73">
        <v>0</v>
      </c>
      <c r="AN36" s="97">
        <v>0</v>
      </c>
      <c r="AO36" s="97">
        <v>0</v>
      </c>
      <c r="AP36" s="914">
        <f t="shared" si="88"/>
        <v>0</v>
      </c>
      <c r="AQ36" s="930">
        <v>0</v>
      </c>
      <c r="AR36" s="98">
        <v>0</v>
      </c>
      <c r="AS36" s="98">
        <v>0</v>
      </c>
      <c r="AT36" s="48">
        <v>0</v>
      </c>
      <c r="AU36" s="914">
        <f t="shared" si="89"/>
        <v>0</v>
      </c>
      <c r="AV36" s="98">
        <v>0</v>
      </c>
      <c r="AW36" s="97">
        <v>0</v>
      </c>
      <c r="AX36" s="98">
        <v>0</v>
      </c>
      <c r="AY36" s="48">
        <v>0</v>
      </c>
      <c r="AZ36" s="509">
        <f t="shared" si="90"/>
        <v>0</v>
      </c>
      <c r="BA36" s="98">
        <v>0</v>
      </c>
      <c r="BB36" s="98">
        <v>0</v>
      </c>
      <c r="BC36" s="98">
        <v>0</v>
      </c>
      <c r="BD36" s="48">
        <v>0</v>
      </c>
      <c r="BE36" s="674">
        <f t="shared" si="91"/>
        <v>0</v>
      </c>
      <c r="BF36" s="469">
        <v>0</v>
      </c>
      <c r="BG36" s="469">
        <v>0</v>
      </c>
      <c r="BH36" s="469">
        <v>0</v>
      </c>
      <c r="BI36" s="469">
        <v>0</v>
      </c>
      <c r="BJ36" s="674">
        <f t="shared" si="92"/>
        <v>0</v>
      </c>
      <c r="BK36" s="675">
        <v>0</v>
      </c>
      <c r="BL36" s="469">
        <v>0</v>
      </c>
      <c r="BM36" s="469">
        <v>0</v>
      </c>
      <c r="BN36" s="469">
        <v>0</v>
      </c>
      <c r="BO36" s="674">
        <f t="shared" si="93"/>
        <v>0</v>
      </c>
      <c r="BP36" s="675">
        <v>0</v>
      </c>
      <c r="BQ36" s="469">
        <v>0</v>
      </c>
      <c r="BR36" s="469">
        <v>0</v>
      </c>
      <c r="BS36" s="469">
        <v>0</v>
      </c>
      <c r="BT36" s="870">
        <f t="shared" si="94"/>
        <v>0</v>
      </c>
      <c r="BU36" s="469">
        <v>0</v>
      </c>
      <c r="BV36" s="469">
        <v>0</v>
      </c>
      <c r="BW36" s="469">
        <v>0</v>
      </c>
      <c r="BX36" s="469">
        <v>0</v>
      </c>
      <c r="BY36" s="870">
        <f>SUM(BU36:BX36)</f>
        <v>0</v>
      </c>
      <c r="BZ36" s="469">
        <v>0</v>
      </c>
      <c r="CA36" s="469">
        <v>0</v>
      </c>
      <c r="CB36" s="469">
        <v>0</v>
      </c>
      <c r="CC36" s="528">
        <v>0</v>
      </c>
      <c r="CD36" s="870">
        <f>SUM(BZ36:CC36)</f>
        <v>0</v>
      </c>
      <c r="CE36" s="528">
        <v>0</v>
      </c>
      <c r="CF36" s="528">
        <v>0</v>
      </c>
      <c r="CG36" s="469">
        <v>0</v>
      </c>
      <c r="CH36" s="469">
        <v>0</v>
      </c>
      <c r="CI36" s="870">
        <f t="shared" si="95"/>
        <v>0</v>
      </c>
      <c r="CJ36" s="469">
        <v>0</v>
      </c>
      <c r="CK36" s="528">
        <v>0</v>
      </c>
      <c r="CL36" s="469">
        <v>0</v>
      </c>
      <c r="CM36" s="469">
        <v>0</v>
      </c>
      <c r="CN36" s="899">
        <f t="shared" si="96"/>
        <v>0</v>
      </c>
      <c r="CO36" s="653">
        <v>0</v>
      </c>
      <c r="CP36" s="653">
        <v>0</v>
      </c>
      <c r="CQ36" s="653">
        <v>0</v>
      </c>
      <c r="CR36" s="653">
        <v>0</v>
      </c>
      <c r="CS36" s="899">
        <f t="shared" si="97"/>
        <v>0</v>
      </c>
      <c r="CT36" s="654">
        <v>0</v>
      </c>
      <c r="CU36" s="653">
        <v>0</v>
      </c>
      <c r="CV36" s="653">
        <v>0</v>
      </c>
      <c r="CW36" s="653">
        <v>0</v>
      </c>
      <c r="CX36" s="5062">
        <f t="shared" si="98"/>
        <v>0</v>
      </c>
      <c r="CY36" s="654">
        <v>0</v>
      </c>
      <c r="CZ36" s="653">
        <v>0</v>
      </c>
      <c r="DA36" s="653">
        <v>0</v>
      </c>
      <c r="DB36" s="653">
        <v>0</v>
      </c>
      <c r="DC36" s="5062">
        <f t="shared" si="99"/>
        <v>0</v>
      </c>
      <c r="DD36" s="654">
        <v>0</v>
      </c>
      <c r="DE36" s="653">
        <v>0</v>
      </c>
      <c r="DF36" s="653">
        <v>0</v>
      </c>
      <c r="DG36" s="653">
        <v>0</v>
      </c>
      <c r="DH36" s="5062">
        <f t="shared" si="100"/>
        <v>0</v>
      </c>
      <c r="DI36" s="654">
        <v>0</v>
      </c>
      <c r="DJ36" s="653">
        <v>0</v>
      </c>
      <c r="DK36" s="653">
        <v>0</v>
      </c>
      <c r="DL36" s="653">
        <v>0</v>
      </c>
      <c r="DM36" s="5062">
        <f t="shared" si="101"/>
        <v>0</v>
      </c>
      <c r="DN36" s="654">
        <v>0</v>
      </c>
      <c r="DO36" s="653">
        <v>0</v>
      </c>
      <c r="DP36" s="653">
        <v>0</v>
      </c>
      <c r="DQ36" s="670"/>
      <c r="DR36" s="5062">
        <f t="shared" si="102"/>
        <v>0</v>
      </c>
      <c r="DS36" s="670"/>
      <c r="DT36" s="670"/>
      <c r="DU36" s="670"/>
      <c r="DV36" s="670"/>
      <c r="DW36" s="5062">
        <f t="shared" si="103"/>
        <v>0</v>
      </c>
      <c r="DX36" s="5060"/>
      <c r="DY36" s="5060"/>
      <c r="DZ36" s="5060"/>
      <c r="EA36" s="5060"/>
      <c r="EC36" s="4320"/>
      <c r="ED36" s="4320"/>
    </row>
    <row r="37" spans="1:134" s="45" customFormat="1" ht="11.25" customHeight="1" collapsed="1">
      <c r="A37" s="1577" t="s">
        <v>329</v>
      </c>
      <c r="B37" s="875"/>
      <c r="C37" s="876"/>
      <c r="D37" s="95"/>
      <c r="E37" s="95"/>
      <c r="F37" s="340"/>
      <c r="G37" s="913"/>
      <c r="H37" s="912"/>
      <c r="I37" s="317"/>
      <c r="J37" s="317"/>
      <c r="K37" s="136"/>
      <c r="L37" s="913"/>
      <c r="M37" s="912"/>
      <c r="N37" s="317"/>
      <c r="O37" s="327"/>
      <c r="P37" s="136"/>
      <c r="Q37" s="913"/>
      <c r="R37" s="925"/>
      <c r="S37" s="317"/>
      <c r="T37" s="317"/>
      <c r="U37" s="136"/>
      <c r="V37" s="913"/>
      <c r="W37" s="912"/>
      <c r="X37" s="317"/>
      <c r="Y37" s="317"/>
      <c r="Z37" s="62"/>
      <c r="AA37" s="914">
        <v>0</v>
      </c>
      <c r="AB37" s="915">
        <v>0</v>
      </c>
      <c r="AC37" s="97">
        <v>0</v>
      </c>
      <c r="AD37" s="73">
        <v>0</v>
      </c>
      <c r="AE37" s="47">
        <f>AF37-AD37-AC37-AB37</f>
        <v>0</v>
      </c>
      <c r="AF37" s="1111">
        <v>0</v>
      </c>
      <c r="AG37" s="915">
        <v>0</v>
      </c>
      <c r="AH37" s="73">
        <v>0</v>
      </c>
      <c r="AI37" s="73">
        <v>0</v>
      </c>
      <c r="AJ37" s="73">
        <v>0</v>
      </c>
      <c r="AK37" s="914">
        <f>SUM(AG37:AJ37)</f>
        <v>0</v>
      </c>
      <c r="AL37" s="915">
        <v>0</v>
      </c>
      <c r="AM37" s="73">
        <v>0</v>
      </c>
      <c r="AN37" s="97">
        <v>0</v>
      </c>
      <c r="AO37" s="97">
        <v>0</v>
      </c>
      <c r="AP37" s="914">
        <f>SUM(AL37:AO37)</f>
        <v>0</v>
      </c>
      <c r="AQ37" s="930">
        <v>0</v>
      </c>
      <c r="AR37" s="98">
        <v>0</v>
      </c>
      <c r="AS37" s="48">
        <f>737+1384</f>
        <v>2121</v>
      </c>
      <c r="AT37" s="53">
        <v>2702</v>
      </c>
      <c r="AU37" s="914">
        <f>SUM(AQ37:AT37)</f>
        <v>4823</v>
      </c>
      <c r="AV37" s="48">
        <v>2184</v>
      </c>
      <c r="AW37" s="469">
        <v>5846</v>
      </c>
      <c r="AX37" s="98">
        <v>750</v>
      </c>
      <c r="AY37" s="53">
        <v>2125</v>
      </c>
      <c r="AZ37" s="509">
        <f>SUM(AV37:AY37)</f>
        <v>10905</v>
      </c>
      <c r="BA37" s="48">
        <v>3149</v>
      </c>
      <c r="BB37" s="469">
        <v>4602</v>
      </c>
      <c r="BC37" s="528">
        <v>4374</v>
      </c>
      <c r="BD37" s="53">
        <v>3984</v>
      </c>
      <c r="BE37" s="674">
        <f t="shared" si="91"/>
        <v>16109</v>
      </c>
      <c r="BF37" s="469">
        <v>2922</v>
      </c>
      <c r="BG37" s="469">
        <v>2729</v>
      </c>
      <c r="BH37" s="528">
        <v>2699</v>
      </c>
      <c r="BI37" s="528">
        <v>2418</v>
      </c>
      <c r="BJ37" s="674">
        <f t="shared" si="92"/>
        <v>10768</v>
      </c>
      <c r="BK37" s="676">
        <v>3416</v>
      </c>
      <c r="BL37" s="469">
        <v>2877</v>
      </c>
      <c r="BM37" s="528">
        <v>2874</v>
      </c>
      <c r="BN37" s="528">
        <v>2458</v>
      </c>
      <c r="BO37" s="674">
        <f t="shared" si="93"/>
        <v>11625</v>
      </c>
      <c r="BP37" s="676">
        <v>3305</v>
      </c>
      <c r="BQ37" s="469">
        <v>3393</v>
      </c>
      <c r="BR37" s="528">
        <v>3634</v>
      </c>
      <c r="BS37" s="528">
        <v>3373</v>
      </c>
      <c r="BT37" s="870">
        <f t="shared" si="94"/>
        <v>13705</v>
      </c>
      <c r="BU37" s="825">
        <v>3956</v>
      </c>
      <c r="BV37" s="469">
        <v>1797</v>
      </c>
      <c r="BW37" s="469">
        <v>2976</v>
      </c>
      <c r="BX37" s="469">
        <v>0</v>
      </c>
      <c r="BY37" s="870">
        <f t="shared" ref="BY37:BY46" si="104">SUM(BU37:BX37)</f>
        <v>8729</v>
      </c>
      <c r="BZ37" s="469">
        <v>0</v>
      </c>
      <c r="CA37" s="469">
        <v>0</v>
      </c>
      <c r="CB37" s="469">
        <v>2698</v>
      </c>
      <c r="CC37" s="528">
        <v>1593</v>
      </c>
      <c r="CD37" s="870">
        <f t="shared" ref="CD37:CD46" si="105">SUM(BZ37:CC37)</f>
        <v>4291</v>
      </c>
      <c r="CE37" s="528">
        <v>4691</v>
      </c>
      <c r="CF37" s="528">
        <v>1545</v>
      </c>
      <c r="CG37" s="469">
        <v>530</v>
      </c>
      <c r="CH37" s="469">
        <v>0</v>
      </c>
      <c r="CI37" s="870">
        <f t="shared" si="95"/>
        <v>6766</v>
      </c>
      <c r="CJ37" s="469">
        <v>315</v>
      </c>
      <c r="CK37" s="528">
        <v>2</v>
      </c>
      <c r="CL37" s="469">
        <v>0</v>
      </c>
      <c r="CM37" s="469">
        <v>0</v>
      </c>
      <c r="CN37" s="899">
        <f t="shared" si="96"/>
        <v>317</v>
      </c>
      <c r="CO37" s="653">
        <v>1898</v>
      </c>
      <c r="CP37" s="653">
        <v>0</v>
      </c>
      <c r="CQ37" s="653">
        <v>9863</v>
      </c>
      <c r="CR37" s="653">
        <v>0</v>
      </c>
      <c r="CS37" s="899">
        <f t="shared" si="97"/>
        <v>11761</v>
      </c>
      <c r="CT37" s="654">
        <v>900</v>
      </c>
      <c r="CU37" s="653">
        <v>6699</v>
      </c>
      <c r="CV37" s="653">
        <v>6350</v>
      </c>
      <c r="CW37" s="653">
        <v>6250</v>
      </c>
      <c r="CX37" s="5062">
        <f t="shared" si="98"/>
        <v>20199</v>
      </c>
      <c r="CY37" s="654">
        <v>16422</v>
      </c>
      <c r="CZ37" s="653">
        <v>12806</v>
      </c>
      <c r="DA37" s="653">
        <v>15094</v>
      </c>
      <c r="DB37" s="653">
        <v>8550</v>
      </c>
      <c r="DC37" s="5062">
        <f t="shared" si="99"/>
        <v>52872</v>
      </c>
      <c r="DD37" s="654">
        <v>6927</v>
      </c>
      <c r="DE37" s="653">
        <v>1123</v>
      </c>
      <c r="DF37" s="653">
        <v>1248</v>
      </c>
      <c r="DG37" s="653">
        <v>1492</v>
      </c>
      <c r="DH37" s="5062">
        <f t="shared" si="100"/>
        <v>10790</v>
      </c>
      <c r="DI37" s="654">
        <v>1982</v>
      </c>
      <c r="DJ37" s="653">
        <v>2893</v>
      </c>
      <c r="DK37" s="653">
        <v>3819</v>
      </c>
      <c r="DL37" s="653">
        <v>4895</v>
      </c>
      <c r="DM37" s="5062">
        <f t="shared" si="101"/>
        <v>13589</v>
      </c>
      <c r="DN37" s="654">
        <v>4532</v>
      </c>
      <c r="DO37" s="653">
        <v>26846</v>
      </c>
      <c r="DP37" s="653">
        <v>6624</v>
      </c>
      <c r="DQ37" s="670"/>
      <c r="DR37" s="5062">
        <f t="shared" si="102"/>
        <v>38002</v>
      </c>
      <c r="DS37" s="670"/>
      <c r="DT37" s="670"/>
      <c r="DU37" s="670"/>
      <c r="DV37" s="670"/>
      <c r="DW37" s="5062">
        <f t="shared" si="103"/>
        <v>0</v>
      </c>
      <c r="DX37" s="5060"/>
      <c r="DY37" s="5060"/>
      <c r="DZ37" s="5060"/>
      <c r="EA37" s="5060"/>
      <c r="EC37" s="4320"/>
      <c r="ED37" s="4320"/>
    </row>
    <row r="38" spans="1:134" s="45" customFormat="1" ht="11.25" customHeight="1">
      <c r="A38" s="1577" t="s">
        <v>196</v>
      </c>
      <c r="B38" s="875">
        <v>0.98799999999999999</v>
      </c>
      <c r="C38" s="876"/>
      <c r="D38" s="95">
        <f>-C38</f>
        <v>0</v>
      </c>
      <c r="E38" s="95">
        <f>-D38-C38</f>
        <v>0</v>
      </c>
      <c r="F38" s="340">
        <f>G38-E38-D38-C38</f>
        <v>2.262</v>
      </c>
      <c r="G38" s="875">
        <v>2.262</v>
      </c>
      <c r="H38" s="877">
        <v>5.59</v>
      </c>
      <c r="I38" s="37">
        <f>7.845-H38</f>
        <v>2.2549999999999999</v>
      </c>
      <c r="J38" s="37">
        <f>10.649-I38-H38</f>
        <v>2.8039999999999985</v>
      </c>
      <c r="K38" s="77">
        <f>L38-J38-I38-H38</f>
        <v>4.8270000000000017</v>
      </c>
      <c r="L38" s="1108">
        <v>15.476000000000001</v>
      </c>
      <c r="M38" s="925">
        <v>4.9139999999999997</v>
      </c>
      <c r="N38" s="37">
        <f>8.553-M38</f>
        <v>3.6390000000000011</v>
      </c>
      <c r="O38" s="77">
        <f>10.159-N38-M38</f>
        <v>1.6059999999999999</v>
      </c>
      <c r="P38" s="77">
        <f>Q38-O38-N38-M38</f>
        <v>1.843</v>
      </c>
      <c r="Q38" s="1109">
        <v>12.002000000000001</v>
      </c>
      <c r="R38" s="946">
        <v>4.1669999999999998</v>
      </c>
      <c r="S38" s="37">
        <f>13.072-R38</f>
        <v>8.9049999999999994</v>
      </c>
      <c r="T38" s="62">
        <f>33.546-S38-R38</f>
        <v>20.473999999999997</v>
      </c>
      <c r="U38" s="77">
        <f>V38-T38-S38-R38</f>
        <v>51.47999999999999</v>
      </c>
      <c r="V38" s="1108">
        <v>85.025999999999996</v>
      </c>
      <c r="W38" s="925">
        <v>42.610999999999997</v>
      </c>
      <c r="X38" s="62">
        <f>97.088-W38</f>
        <v>54.476999999999997</v>
      </c>
      <c r="Y38" s="62">
        <f>155.551-X38-W38</f>
        <v>58.462999999999987</v>
      </c>
      <c r="Z38" s="37">
        <f>AA38-Y38-X38-W38</f>
        <v>165.56600000000006</v>
      </c>
      <c r="AA38" s="1106">
        <v>321.11700000000002</v>
      </c>
      <c r="AB38" s="929">
        <v>14.426</v>
      </c>
      <c r="AC38" s="47">
        <f>28.824-AB38</f>
        <v>14.398000000000001</v>
      </c>
      <c r="AD38" s="47">
        <f>19.073-AC38-AB38</f>
        <v>-9.7510000000000012</v>
      </c>
      <c r="AE38" s="43">
        <f>AF38-AD38-AC38-AB38</f>
        <v>4.7879999999999985</v>
      </c>
      <c r="AF38" s="1106">
        <v>23.861000000000001</v>
      </c>
      <c r="AG38" s="929">
        <v>-22.445</v>
      </c>
      <c r="AH38" s="47">
        <v>-0.30099999999999999</v>
      </c>
      <c r="AI38" s="47">
        <f>-38.252-AH38-AG38</f>
        <v>-15.506</v>
      </c>
      <c r="AJ38" s="73">
        <v>-33.268999999999998</v>
      </c>
      <c r="AK38" s="916">
        <f>SUM(AG38:AJ38)</f>
        <v>-71.520999999999987</v>
      </c>
      <c r="AL38" s="929">
        <v>-36.735999999999997</v>
      </c>
      <c r="AM38" s="47">
        <v>46.731000000000002</v>
      </c>
      <c r="AN38" s="47">
        <v>0.46300000000000002</v>
      </c>
      <c r="AO38" s="47">
        <f>132.683</f>
        <v>132.68299999999999</v>
      </c>
      <c r="AP38" s="916">
        <f>SUM(AL38:AO38)</f>
        <v>143.14099999999999</v>
      </c>
      <c r="AQ38" s="930">
        <v>-38</v>
      </c>
      <c r="AR38" s="48">
        <v>39</v>
      </c>
      <c r="AS38" s="48">
        <v>-66</v>
      </c>
      <c r="AT38" s="48">
        <v>359</v>
      </c>
      <c r="AU38" s="916">
        <f>SUM(AQ38:AT38)</f>
        <v>294</v>
      </c>
      <c r="AV38" s="48">
        <v>116</v>
      </c>
      <c r="AW38" s="48">
        <v>-28</v>
      </c>
      <c r="AX38" s="48">
        <v>-108</v>
      </c>
      <c r="AY38" s="48">
        <v>15</v>
      </c>
      <c r="AZ38" s="507">
        <f>SUM(AV38:AY38)</f>
        <v>-5</v>
      </c>
      <c r="BA38" s="48">
        <v>-47</v>
      </c>
      <c r="BB38" s="48">
        <v>-137</v>
      </c>
      <c r="BC38" s="83">
        <v>0</v>
      </c>
      <c r="BD38" s="48">
        <v>-98</v>
      </c>
      <c r="BE38" s="674">
        <f>SUM(BA38:BD38)</f>
        <v>-282</v>
      </c>
      <c r="BF38" s="469">
        <v>-210</v>
      </c>
      <c r="BG38" s="469">
        <v>-58</v>
      </c>
      <c r="BH38" s="528">
        <v>0</v>
      </c>
      <c r="BI38" s="469">
        <v>-144</v>
      </c>
      <c r="BJ38" s="674">
        <f>SUM(BF38:BI38)</f>
        <v>-412</v>
      </c>
      <c r="BK38" s="676">
        <v>-326</v>
      </c>
      <c r="BL38" s="469">
        <v>-595</v>
      </c>
      <c r="BM38" s="528">
        <v>0</v>
      </c>
      <c r="BN38" s="469">
        <v>-521</v>
      </c>
      <c r="BO38" s="674">
        <f>SUM(BK38:BN38)</f>
        <v>-1442</v>
      </c>
      <c r="BP38" s="676">
        <v>-493</v>
      </c>
      <c r="BQ38" s="469">
        <v>-511</v>
      </c>
      <c r="BR38" s="528">
        <v>0</v>
      </c>
      <c r="BS38" s="469">
        <v>-765</v>
      </c>
      <c r="BT38" s="870">
        <f>SUM(BP38:BS38)</f>
        <v>-1769</v>
      </c>
      <c r="BU38" s="825">
        <v>-807</v>
      </c>
      <c r="BV38" s="469">
        <v>-803</v>
      </c>
      <c r="BW38" s="469">
        <v>-815</v>
      </c>
      <c r="BX38" s="469">
        <v>-879</v>
      </c>
      <c r="BY38" s="870">
        <f>SUM(BU38:BX38)</f>
        <v>-3304</v>
      </c>
      <c r="BZ38" s="469">
        <v>-1009</v>
      </c>
      <c r="CA38" s="469">
        <f>-1084</f>
        <v>-1084</v>
      </c>
      <c r="CB38" s="469">
        <v>-1018</v>
      </c>
      <c r="CC38" s="528">
        <v>-1055</v>
      </c>
      <c r="CD38" s="870">
        <f>SUM(BZ38:CC38)</f>
        <v>-4166</v>
      </c>
      <c r="CE38" s="528">
        <v>-1158</v>
      </c>
      <c r="CF38" s="528">
        <v>-1541</v>
      </c>
      <c r="CG38" s="469">
        <v>-1253</v>
      </c>
      <c r="CH38" s="469">
        <v>-1041</v>
      </c>
      <c r="CI38" s="870">
        <f>SUM(CE38:CH38)</f>
        <v>-4993</v>
      </c>
      <c r="CJ38" s="469">
        <v>-1175</v>
      </c>
      <c r="CK38" s="528">
        <v>-1260</v>
      </c>
      <c r="CL38" s="469">
        <v>-1131</v>
      </c>
      <c r="CM38" s="528">
        <v>-1199</v>
      </c>
      <c r="CN38" s="899">
        <f>SUM(CJ38:CM38)</f>
        <v>-4765</v>
      </c>
      <c r="CO38" s="653">
        <v>-1241</v>
      </c>
      <c r="CP38" s="653">
        <v>-1475</v>
      </c>
      <c r="CQ38" s="653">
        <v>-1357</v>
      </c>
      <c r="CR38" s="653">
        <v>-1647</v>
      </c>
      <c r="CS38" s="899">
        <f>SUM(CO38:CR38)</f>
        <v>-5720</v>
      </c>
      <c r="CT38" s="654">
        <v>-2184</v>
      </c>
      <c r="CU38" s="653">
        <v>-2453</v>
      </c>
      <c r="CV38" s="653">
        <v>-2602</v>
      </c>
      <c r="CW38" s="653">
        <v>-2923</v>
      </c>
      <c r="CX38" s="5062">
        <f>SUM(CT38:CW38)</f>
        <v>-10162</v>
      </c>
      <c r="CY38" s="654">
        <v>-2916</v>
      </c>
      <c r="CZ38" s="653">
        <v>-2264</v>
      </c>
      <c r="DA38" s="653">
        <v>-2041</v>
      </c>
      <c r="DB38" s="653">
        <v>-2079</v>
      </c>
      <c r="DC38" s="5062">
        <f>SUM(CY38:DB38)</f>
        <v>-9300</v>
      </c>
      <c r="DD38" s="654">
        <v>-1989</v>
      </c>
      <c r="DE38" s="653">
        <v>-2736</v>
      </c>
      <c r="DF38" s="653">
        <v>-2432</v>
      </c>
      <c r="DG38" s="653">
        <v>-2680</v>
      </c>
      <c r="DH38" s="5062">
        <f>SUM(DD38:DG38)</f>
        <v>-9837</v>
      </c>
      <c r="DI38" s="654">
        <v>-2929</v>
      </c>
      <c r="DJ38" s="653">
        <v>-3209</v>
      </c>
      <c r="DK38" s="653">
        <v>-3003</v>
      </c>
      <c r="DL38" s="653">
        <v>-3049</v>
      </c>
      <c r="DM38" s="5062">
        <f>SUM(DI38:DL38)</f>
        <v>-12190</v>
      </c>
      <c r="DN38" s="654">
        <v>-3110</v>
      </c>
      <c r="DO38" s="653">
        <v>-2621</v>
      </c>
      <c r="DP38" s="653">
        <v>-3270</v>
      </c>
      <c r="DQ38" s="670">
        <f t="shared" ref="DQ38" si="106">DP38</f>
        <v>-3270</v>
      </c>
      <c r="DR38" s="5062">
        <f>SUM(DN38:DQ38)</f>
        <v>-12271</v>
      </c>
      <c r="DS38" s="670">
        <f>DQ38</f>
        <v>-3270</v>
      </c>
      <c r="DT38" s="670">
        <f t="shared" ref="DT38" si="107">DS38</f>
        <v>-3270</v>
      </c>
      <c r="DU38" s="670">
        <f t="shared" ref="DU38" si="108">DT38</f>
        <v>-3270</v>
      </c>
      <c r="DV38" s="670">
        <f t="shared" ref="DV38" si="109">DU38</f>
        <v>-3270</v>
      </c>
      <c r="DW38" s="5062">
        <f>SUM(DS38:DV38)</f>
        <v>-13080</v>
      </c>
      <c r="DX38" s="899">
        <f>DW38</f>
        <v>-13080</v>
      </c>
      <c r="DY38" s="899">
        <f>DX38</f>
        <v>-13080</v>
      </c>
      <c r="DZ38" s="899">
        <f>DY38</f>
        <v>-13080</v>
      </c>
      <c r="EA38" s="899">
        <f>DZ38</f>
        <v>-13080</v>
      </c>
      <c r="EC38" s="4320"/>
      <c r="ED38" s="4320"/>
    </row>
    <row r="39" spans="1:134" s="45" customFormat="1" ht="11.25" customHeight="1">
      <c r="A39" s="1577" t="s">
        <v>311</v>
      </c>
      <c r="B39" s="875"/>
      <c r="C39" s="876"/>
      <c r="D39" s="95"/>
      <c r="E39" s="95"/>
      <c r="F39" s="340"/>
      <c r="G39" s="913"/>
      <c r="H39" s="912"/>
      <c r="I39" s="317"/>
      <c r="J39" s="317"/>
      <c r="K39" s="136"/>
      <c r="L39" s="913"/>
      <c r="M39" s="912"/>
      <c r="N39" s="317"/>
      <c r="O39" s="327"/>
      <c r="P39" s="136"/>
      <c r="Q39" s="913"/>
      <c r="R39" s="925"/>
      <c r="S39" s="317"/>
      <c r="T39" s="317"/>
      <c r="U39" s="136"/>
      <c r="V39" s="913"/>
      <c r="W39" s="912">
        <v>0</v>
      </c>
      <c r="X39" s="317">
        <v>0</v>
      </c>
      <c r="Y39" s="317">
        <v>0</v>
      </c>
      <c r="Z39" s="62">
        <f>AA39-Y39-X39-W39</f>
        <v>0</v>
      </c>
      <c r="AA39" s="914">
        <v>0</v>
      </c>
      <c r="AB39" s="915">
        <v>0</v>
      </c>
      <c r="AC39" s="73">
        <v>0</v>
      </c>
      <c r="AD39" s="73">
        <v>0</v>
      </c>
      <c r="AE39" s="47">
        <f t="shared" si="86"/>
        <v>0</v>
      </c>
      <c r="AF39" s="1111">
        <v>0</v>
      </c>
      <c r="AG39" s="915">
        <v>0</v>
      </c>
      <c r="AH39" s="73">
        <v>0</v>
      </c>
      <c r="AI39" s="73">
        <v>0</v>
      </c>
      <c r="AJ39" s="47">
        <f>AK39-AI39-AH39-AG39</f>
        <v>0</v>
      </c>
      <c r="AK39" s="914">
        <v>0</v>
      </c>
      <c r="AL39" s="915">
        <v>0</v>
      </c>
      <c r="AM39" s="73">
        <v>0</v>
      </c>
      <c r="AN39" s="73">
        <v>0</v>
      </c>
      <c r="AO39" s="47">
        <f>AP39-AN39-AM39-AL39</f>
        <v>0</v>
      </c>
      <c r="AP39" s="914">
        <v>0</v>
      </c>
      <c r="AQ39" s="930">
        <v>-97</v>
      </c>
      <c r="AR39" s="48">
        <v>-704</v>
      </c>
      <c r="AS39" s="98">
        <v>0</v>
      </c>
      <c r="AT39" s="48">
        <v>0</v>
      </c>
      <c r="AU39" s="916">
        <f>SUM(AQ39:AT39)</f>
        <v>-801</v>
      </c>
      <c r="AV39" s="98">
        <v>0</v>
      </c>
      <c r="AW39" s="98">
        <v>0</v>
      </c>
      <c r="AX39" s="98">
        <v>0</v>
      </c>
      <c r="AY39" s="48">
        <v>0</v>
      </c>
      <c r="AZ39" s="507">
        <f>SUM(AV39:AY39)</f>
        <v>0</v>
      </c>
      <c r="BA39" s="98">
        <v>0</v>
      </c>
      <c r="BB39" s="98">
        <v>0</v>
      </c>
      <c r="BC39" s="83">
        <v>0</v>
      </c>
      <c r="BD39" s="48">
        <v>0</v>
      </c>
      <c r="BE39" s="674">
        <f t="shared" si="91"/>
        <v>0</v>
      </c>
      <c r="BF39" s="469">
        <v>0</v>
      </c>
      <c r="BG39" s="469">
        <v>0</v>
      </c>
      <c r="BH39" s="528">
        <v>0</v>
      </c>
      <c r="BI39" s="469">
        <v>0</v>
      </c>
      <c r="BJ39" s="674">
        <f t="shared" si="92"/>
        <v>0</v>
      </c>
      <c r="BK39" s="675">
        <v>0</v>
      </c>
      <c r="BL39" s="469">
        <v>0</v>
      </c>
      <c r="BM39" s="528">
        <v>0</v>
      </c>
      <c r="BN39" s="469">
        <v>0</v>
      </c>
      <c r="BO39" s="674">
        <f t="shared" si="93"/>
        <v>0</v>
      </c>
      <c r="BP39" s="675">
        <v>0</v>
      </c>
      <c r="BQ39" s="469">
        <v>0</v>
      </c>
      <c r="BR39" s="528">
        <v>0</v>
      </c>
      <c r="BS39" s="469">
        <v>-1780</v>
      </c>
      <c r="BT39" s="870">
        <f t="shared" si="94"/>
        <v>-1780</v>
      </c>
      <c r="BU39" s="825">
        <v>-2098</v>
      </c>
      <c r="BV39" s="469">
        <v>-1595</v>
      </c>
      <c r="BW39" s="469">
        <v>0</v>
      </c>
      <c r="BX39" s="469">
        <v>0</v>
      </c>
      <c r="BY39" s="870">
        <f t="shared" si="104"/>
        <v>-3693</v>
      </c>
      <c r="BZ39" s="469">
        <v>-1127</v>
      </c>
      <c r="CA39" s="469">
        <v>-1618</v>
      </c>
      <c r="CB39" s="469">
        <v>0</v>
      </c>
      <c r="CC39" s="528">
        <v>-2101</v>
      </c>
      <c r="CD39" s="870">
        <f t="shared" si="105"/>
        <v>-4846</v>
      </c>
      <c r="CE39" s="528">
        <v>-2173</v>
      </c>
      <c r="CF39" s="528">
        <v>-2052</v>
      </c>
      <c r="CG39" s="469">
        <v>-2200</v>
      </c>
      <c r="CH39" s="469">
        <v>-2650</v>
      </c>
      <c r="CI39" s="870">
        <f t="shared" si="95"/>
        <v>-9075</v>
      </c>
      <c r="CJ39" s="469">
        <v>-3025</v>
      </c>
      <c r="CK39" s="528">
        <v>-3577</v>
      </c>
      <c r="CL39" s="469">
        <v>-5696</v>
      </c>
      <c r="CM39" s="528">
        <v>-6098</v>
      </c>
      <c r="CN39" s="899">
        <f t="shared" si="96"/>
        <v>-18396</v>
      </c>
      <c r="CO39" s="653">
        <v>-8496</v>
      </c>
      <c r="CP39" s="653">
        <v>-6852</v>
      </c>
      <c r="CQ39" s="653">
        <v>-7897</v>
      </c>
      <c r="CR39" s="653">
        <v>-7904</v>
      </c>
      <c r="CS39" s="899">
        <f t="shared" si="97"/>
        <v>-31149</v>
      </c>
      <c r="CT39" s="654">
        <v>-11395</v>
      </c>
      <c r="CU39" s="653">
        <v>-12796</v>
      </c>
      <c r="CV39" s="653">
        <v>-12610</v>
      </c>
      <c r="CW39" s="653">
        <v>-13473</v>
      </c>
      <c r="CX39" s="5062">
        <f t="shared" si="98"/>
        <v>-50274</v>
      </c>
      <c r="CY39" s="654">
        <v>-13300</v>
      </c>
      <c r="CZ39" s="653">
        <v>-15197</v>
      </c>
      <c r="DA39" s="653">
        <v>-15392</v>
      </c>
      <c r="DB39" s="653">
        <v>-15407</v>
      </c>
      <c r="DC39" s="5062">
        <f t="shared" si="99"/>
        <v>-59296</v>
      </c>
      <c r="DD39" s="654">
        <v>-14557</v>
      </c>
      <c r="DE39" s="653">
        <v>-14969</v>
      </c>
      <c r="DF39" s="653">
        <v>-15787</v>
      </c>
      <c r="DG39" s="653">
        <v>-16191</v>
      </c>
      <c r="DH39" s="5062">
        <f t="shared" si="100"/>
        <v>-61504</v>
      </c>
      <c r="DI39" s="654">
        <v>-15696</v>
      </c>
      <c r="DJ39" s="653">
        <v>-15684</v>
      </c>
      <c r="DK39" s="653">
        <v>-15291</v>
      </c>
      <c r="DL39" s="653">
        <v>-15551</v>
      </c>
      <c r="DM39" s="5062">
        <f t="shared" si="101"/>
        <v>-62222</v>
      </c>
      <c r="DN39" s="654">
        <v>-15068</v>
      </c>
      <c r="DO39" s="653">
        <v>-13638</v>
      </c>
      <c r="DP39" s="653">
        <v>-11504</v>
      </c>
      <c r="DQ39" s="5015">
        <f t="shared" ref="DQ39" si="110">-DQ98</f>
        <v>-13000</v>
      </c>
      <c r="DR39" s="5062">
        <f t="shared" si="102"/>
        <v>-53210</v>
      </c>
      <c r="DS39" s="5015">
        <f t="shared" ref="DS39:DV39" si="111">-DS98</f>
        <v>-14000</v>
      </c>
      <c r="DT39" s="5015">
        <f t="shared" si="111"/>
        <v>-14000</v>
      </c>
      <c r="DU39" s="5015">
        <f t="shared" si="111"/>
        <v>-14000</v>
      </c>
      <c r="DV39" s="5015">
        <f t="shared" si="111"/>
        <v>-14000</v>
      </c>
      <c r="DW39" s="5062">
        <f t="shared" si="103"/>
        <v>-56000</v>
      </c>
      <c r="DX39" s="5060">
        <f ca="1">-DX98</f>
        <v>-65757.788603053516</v>
      </c>
      <c r="DY39" s="5060">
        <f ca="1">-DY98</f>
        <v>-68236.654909751131</v>
      </c>
      <c r="DZ39" s="5060">
        <f ca="1">-DZ98</f>
        <v>-71797.614091185009</v>
      </c>
      <c r="EA39" s="5060">
        <f ca="1">-EA98</f>
        <v>-75178.80617793549</v>
      </c>
      <c r="EC39" s="4320"/>
      <c r="ED39" s="4320"/>
    </row>
    <row r="40" spans="1:134" s="45" customFormat="1" ht="11.25" customHeight="1">
      <c r="A40" s="1647" t="s">
        <v>1098</v>
      </c>
      <c r="B40" s="3834"/>
      <c r="C40" s="3835"/>
      <c r="D40" s="95"/>
      <c r="E40" s="95"/>
      <c r="F40" s="340"/>
      <c r="G40" s="3844"/>
      <c r="H40" s="3843"/>
      <c r="I40" s="317"/>
      <c r="J40" s="317"/>
      <c r="K40" s="136"/>
      <c r="L40" s="3844"/>
      <c r="M40" s="3843"/>
      <c r="N40" s="317"/>
      <c r="O40" s="327"/>
      <c r="P40" s="136"/>
      <c r="Q40" s="3844"/>
      <c r="R40" s="3836"/>
      <c r="S40" s="317"/>
      <c r="T40" s="317"/>
      <c r="U40" s="136"/>
      <c r="V40" s="3844"/>
      <c r="W40" s="3843"/>
      <c r="X40" s="317"/>
      <c r="Y40" s="317"/>
      <c r="Z40" s="62"/>
      <c r="AA40" s="5996"/>
      <c r="AB40" s="2835"/>
      <c r="AC40" s="73"/>
      <c r="AD40" s="73"/>
      <c r="AE40" s="47"/>
      <c r="AF40" s="5997"/>
      <c r="AG40" s="2835"/>
      <c r="AH40" s="73"/>
      <c r="AI40" s="73"/>
      <c r="AJ40" s="47"/>
      <c r="AK40" s="5996"/>
      <c r="AL40" s="2835"/>
      <c r="AM40" s="73"/>
      <c r="AN40" s="73"/>
      <c r="AO40" s="47"/>
      <c r="AP40" s="5996"/>
      <c r="AQ40" s="3839"/>
      <c r="AR40" s="48"/>
      <c r="AS40" s="98"/>
      <c r="AT40" s="48"/>
      <c r="AU40" s="3838"/>
      <c r="AV40" s="98"/>
      <c r="AW40" s="98"/>
      <c r="AX40" s="98"/>
      <c r="AY40" s="48"/>
      <c r="AZ40" s="507"/>
      <c r="BA40" s="98"/>
      <c r="BB40" s="98"/>
      <c r="BC40" s="83"/>
      <c r="BD40" s="48"/>
      <c r="BE40" s="674"/>
      <c r="BF40" s="469"/>
      <c r="BG40" s="469"/>
      <c r="BH40" s="528"/>
      <c r="BI40" s="469"/>
      <c r="BJ40" s="674"/>
      <c r="BK40" s="675"/>
      <c r="BL40" s="469"/>
      <c r="BM40" s="528"/>
      <c r="BN40" s="469"/>
      <c r="BO40" s="674"/>
      <c r="BP40" s="675"/>
      <c r="BQ40" s="469"/>
      <c r="BR40" s="528"/>
      <c r="BS40" s="469"/>
      <c r="BT40" s="1258"/>
      <c r="BU40" s="825"/>
      <c r="BV40" s="469"/>
      <c r="BW40" s="469"/>
      <c r="BX40" s="469"/>
      <c r="BY40" s="1258"/>
      <c r="BZ40" s="469"/>
      <c r="CA40" s="469"/>
      <c r="CB40" s="469"/>
      <c r="CC40" s="528"/>
      <c r="CD40" s="1258"/>
      <c r="CE40" s="528"/>
      <c r="CF40" s="528"/>
      <c r="CG40" s="469"/>
      <c r="CH40" s="469"/>
      <c r="CI40" s="1258"/>
      <c r="CJ40" s="469"/>
      <c r="CK40" s="528"/>
      <c r="CL40" s="469"/>
      <c r="CM40" s="528"/>
      <c r="CN40" s="1265"/>
      <c r="CO40" s="653"/>
      <c r="CP40" s="653"/>
      <c r="CQ40" s="653"/>
      <c r="CR40" s="653"/>
      <c r="CS40" s="1265"/>
      <c r="CT40" s="654"/>
      <c r="CU40" s="653"/>
      <c r="CV40" s="653"/>
      <c r="CW40" s="653"/>
      <c r="CX40" s="1267"/>
      <c r="CY40" s="654"/>
      <c r="CZ40" s="653"/>
      <c r="DA40" s="653"/>
      <c r="DB40" s="653"/>
      <c r="DC40" s="1267"/>
      <c r="DD40" s="654"/>
      <c r="DE40" s="653"/>
      <c r="DF40" s="653"/>
      <c r="DG40" s="653"/>
      <c r="DH40" s="1267"/>
      <c r="DI40" s="654"/>
      <c r="DJ40" s="653">
        <v>-2466</v>
      </c>
      <c r="DK40" s="653">
        <v>-2455</v>
      </c>
      <c r="DL40" s="653">
        <v>-2442</v>
      </c>
      <c r="DM40" s="5062">
        <f t="shared" si="101"/>
        <v>-7363</v>
      </c>
      <c r="DN40" s="654">
        <v>-2434</v>
      </c>
      <c r="DO40" s="653">
        <v>-2543</v>
      </c>
      <c r="DP40" s="653">
        <v>-2537</v>
      </c>
      <c r="DQ40" s="5015">
        <f t="shared" ref="DQ40" si="112">-DQ106</f>
        <v>-2563.7805199999998</v>
      </c>
      <c r="DR40" s="5062">
        <f t="shared" si="102"/>
        <v>-10077.78052</v>
      </c>
      <c r="DS40" s="5015">
        <f t="shared" ref="DS40:DV40" si="113">-DS106</f>
        <v>-2564.2356420799997</v>
      </c>
      <c r="DT40" s="5015">
        <f t="shared" si="113"/>
        <v>-2564.69258464832</v>
      </c>
      <c r="DU40" s="5015">
        <f t="shared" si="113"/>
        <v>-2565.1513549869132</v>
      </c>
      <c r="DV40" s="5015">
        <f t="shared" si="113"/>
        <v>-2565.6119604068608</v>
      </c>
      <c r="DW40" s="5062">
        <f t="shared" si="103"/>
        <v>-10259.691542122095</v>
      </c>
      <c r="DX40" s="5061">
        <f t="shared" ref="DX40:DY40" ca="1" si="114">-DX106</f>
        <v>-10178.166649454766</v>
      </c>
      <c r="DY40" s="5061">
        <f t="shared" ca="1" si="114"/>
        <v>-10088.88568220201</v>
      </c>
      <c r="DZ40" s="5061">
        <f t="shared" ref="DZ40:EA40" ca="1" si="115">-DZ106</f>
        <v>-9988.7412195687139</v>
      </c>
      <c r="EA40" s="5061">
        <f t="shared" ca="1" si="115"/>
        <v>-9878.1279744661806</v>
      </c>
      <c r="EC40" s="4320"/>
      <c r="ED40" s="4320"/>
    </row>
    <row r="41" spans="1:134" s="45" customFormat="1" ht="11.25" customHeight="1">
      <c r="A41" s="1577" t="s">
        <v>268</v>
      </c>
      <c r="B41" s="875"/>
      <c r="C41" s="876"/>
      <c r="D41" s="95"/>
      <c r="E41" s="95"/>
      <c r="F41" s="340"/>
      <c r="G41" s="875"/>
      <c r="H41" s="877"/>
      <c r="I41" s="37"/>
      <c r="J41" s="37"/>
      <c r="K41" s="77"/>
      <c r="L41" s="875"/>
      <c r="M41" s="925"/>
      <c r="N41" s="37"/>
      <c r="O41" s="77"/>
      <c r="P41" s="77"/>
      <c r="Q41" s="920"/>
      <c r="R41" s="946"/>
      <c r="S41" s="37"/>
      <c r="T41" s="62"/>
      <c r="U41" s="77"/>
      <c r="V41" s="875"/>
      <c r="W41" s="925">
        <v>77.284999999999997</v>
      </c>
      <c r="X41" s="62">
        <f>258.087-W41</f>
        <v>180.80199999999999</v>
      </c>
      <c r="Y41" s="62">
        <f>329.068-X41-W41</f>
        <v>70.980999999999995</v>
      </c>
      <c r="Z41" s="37">
        <f t="shared" si="85"/>
        <v>252.66399999999996</v>
      </c>
      <c r="AA41" s="1106">
        <v>581.73199999999997</v>
      </c>
      <c r="AB41" s="929">
        <v>74.084000000000003</v>
      </c>
      <c r="AC41" s="47">
        <f>179.815-AB41</f>
        <v>105.73099999999999</v>
      </c>
      <c r="AD41" s="47">
        <f>238.577-AC41-AB41</f>
        <v>58.762</v>
      </c>
      <c r="AE41" s="43">
        <f t="shared" si="86"/>
        <v>140.62900000000002</v>
      </c>
      <c r="AF41" s="1106">
        <v>379.20600000000002</v>
      </c>
      <c r="AG41" s="929">
        <v>51.100999999999999</v>
      </c>
      <c r="AH41" s="47">
        <v>43.878</v>
      </c>
      <c r="AI41" s="47">
        <f>114.77-AH41-AG41</f>
        <v>19.790999999999997</v>
      </c>
      <c r="AJ41" s="47">
        <f>-AJ16</f>
        <v>44.317999999999998</v>
      </c>
      <c r="AK41" s="916">
        <f t="shared" si="87"/>
        <v>159.08799999999999</v>
      </c>
      <c r="AL41" s="929">
        <f>-AL16</f>
        <v>31.844000000000001</v>
      </c>
      <c r="AM41" s="47">
        <f>-AM16</f>
        <v>4.5149999999999997</v>
      </c>
      <c r="AN41" s="47">
        <f>-AN16</f>
        <v>28.033999999999999</v>
      </c>
      <c r="AO41" s="47">
        <f>-AO16</f>
        <v>25.878</v>
      </c>
      <c r="AP41" s="916">
        <f t="shared" si="88"/>
        <v>90.271000000000001</v>
      </c>
      <c r="AQ41" s="930">
        <f>-AQ16</f>
        <v>12</v>
      </c>
      <c r="AR41" s="48">
        <f>-AR16</f>
        <v>19</v>
      </c>
      <c r="AS41" s="48">
        <f>-AS16</f>
        <v>12</v>
      </c>
      <c r="AT41" s="48">
        <f>-AT16</f>
        <v>51</v>
      </c>
      <c r="AU41" s="916">
        <f t="shared" si="89"/>
        <v>94</v>
      </c>
      <c r="AV41" s="48">
        <v>24</v>
      </c>
      <c r="AW41" s="48">
        <v>9</v>
      </c>
      <c r="AX41" s="48">
        <v>28</v>
      </c>
      <c r="AY41" s="48">
        <f>-AY16</f>
        <v>25</v>
      </c>
      <c r="AZ41" s="507">
        <f t="shared" si="90"/>
        <v>86</v>
      </c>
      <c r="BA41" s="48">
        <v>28</v>
      </c>
      <c r="BB41" s="48">
        <v>27</v>
      </c>
      <c r="BC41" s="53">
        <f>58-5</f>
        <v>53</v>
      </c>
      <c r="BD41" s="48">
        <v>75</v>
      </c>
      <c r="BE41" s="674">
        <f t="shared" si="91"/>
        <v>183</v>
      </c>
      <c r="BF41" s="469">
        <v>94</v>
      </c>
      <c r="BG41" s="469">
        <v>104</v>
      </c>
      <c r="BH41" s="528">
        <f>104-369</f>
        <v>-265</v>
      </c>
      <c r="BI41" s="469">
        <v>179</v>
      </c>
      <c r="BJ41" s="674">
        <f t="shared" si="92"/>
        <v>112</v>
      </c>
      <c r="BK41" s="676">
        <v>155</v>
      </c>
      <c r="BL41" s="469">
        <v>137</v>
      </c>
      <c r="BM41" s="528">
        <f>175-627</f>
        <v>-452</v>
      </c>
      <c r="BN41" s="469">
        <v>181</v>
      </c>
      <c r="BO41" s="674">
        <f t="shared" si="93"/>
        <v>21</v>
      </c>
      <c r="BP41" s="676">
        <v>105</v>
      </c>
      <c r="BQ41" s="469">
        <v>111</v>
      </c>
      <c r="BR41" s="528">
        <f>138-606</f>
        <v>-468</v>
      </c>
      <c r="BS41" s="469">
        <v>194</v>
      </c>
      <c r="BT41" s="870">
        <f t="shared" si="94"/>
        <v>-58</v>
      </c>
      <c r="BU41" s="469">
        <v>0</v>
      </c>
      <c r="BV41" s="469">
        <v>0</v>
      </c>
      <c r="BW41" s="469">
        <v>0</v>
      </c>
      <c r="BX41" s="469">
        <f>+BW41</f>
        <v>0</v>
      </c>
      <c r="BY41" s="870">
        <f t="shared" si="104"/>
        <v>0</v>
      </c>
      <c r="BZ41" s="141">
        <v>0</v>
      </c>
      <c r="CA41" s="141">
        <v>0</v>
      </c>
      <c r="CB41" s="469">
        <v>0</v>
      </c>
      <c r="CC41" s="528">
        <v>0</v>
      </c>
      <c r="CD41" s="870">
        <f t="shared" si="105"/>
        <v>0</v>
      </c>
      <c r="CE41" s="528">
        <v>0</v>
      </c>
      <c r="CF41" s="528">
        <v>0</v>
      </c>
      <c r="CG41" s="469">
        <v>0</v>
      </c>
      <c r="CH41" s="469">
        <v>0</v>
      </c>
      <c r="CI41" s="870">
        <f t="shared" si="95"/>
        <v>0</v>
      </c>
      <c r="CJ41" s="469">
        <v>0</v>
      </c>
      <c r="CK41" s="528">
        <v>0</v>
      </c>
      <c r="CL41" s="469">
        <v>0</v>
      </c>
      <c r="CM41" s="528">
        <v>0</v>
      </c>
      <c r="CN41" s="899">
        <f t="shared" si="96"/>
        <v>0</v>
      </c>
      <c r="CO41" s="653">
        <v>0</v>
      </c>
      <c r="CP41" s="653">
        <v>0</v>
      </c>
      <c r="CQ41" s="653">
        <v>0</v>
      </c>
      <c r="CR41" s="653">
        <v>0</v>
      </c>
      <c r="CS41" s="899">
        <f t="shared" si="97"/>
        <v>0</v>
      </c>
      <c r="CT41" s="654">
        <v>0</v>
      </c>
      <c r="CU41" s="653">
        <v>0</v>
      </c>
      <c r="CV41" s="653">
        <v>0</v>
      </c>
      <c r="CW41" s="653">
        <v>0</v>
      </c>
      <c r="CX41" s="5062">
        <f t="shared" si="98"/>
        <v>0</v>
      </c>
      <c r="CY41" s="654">
        <v>0</v>
      </c>
      <c r="CZ41" s="653">
        <v>0</v>
      </c>
      <c r="DA41" s="653">
        <v>0</v>
      </c>
      <c r="DB41" s="653">
        <v>0</v>
      </c>
      <c r="DC41" s="5062">
        <f t="shared" si="99"/>
        <v>0</v>
      </c>
      <c r="DD41" s="654">
        <v>0</v>
      </c>
      <c r="DE41" s="653">
        <v>0</v>
      </c>
      <c r="DF41" s="653">
        <v>0</v>
      </c>
      <c r="DG41" s="653">
        <v>0</v>
      </c>
      <c r="DH41" s="5062">
        <f t="shared" si="100"/>
        <v>0</v>
      </c>
      <c r="DI41" s="654">
        <v>0</v>
      </c>
      <c r="DJ41" s="653">
        <v>0</v>
      </c>
      <c r="DK41" s="653">
        <v>0</v>
      </c>
      <c r="DL41" s="653">
        <v>0</v>
      </c>
      <c r="DM41" s="5062">
        <f t="shared" si="101"/>
        <v>0</v>
      </c>
      <c r="DN41" s="654">
        <v>0</v>
      </c>
      <c r="DO41" s="653">
        <v>0</v>
      </c>
      <c r="DP41" s="653">
        <v>0</v>
      </c>
      <c r="DQ41" s="670"/>
      <c r="DR41" s="5062">
        <f t="shared" si="102"/>
        <v>0</v>
      </c>
      <c r="DS41" s="670"/>
      <c r="DT41" s="670"/>
      <c r="DU41" s="670"/>
      <c r="DV41" s="670"/>
      <c r="DW41" s="5062">
        <f t="shared" si="103"/>
        <v>0</v>
      </c>
      <c r="DX41" s="899"/>
      <c r="DY41" s="899"/>
      <c r="DZ41" s="899"/>
      <c r="EA41" s="899"/>
      <c r="EC41" s="4320"/>
      <c r="ED41" s="4320"/>
    </row>
    <row r="42" spans="1:134" s="45" customFormat="1" ht="11.25" hidden="1" customHeight="1" outlineLevel="1">
      <c r="A42" s="1577" t="s">
        <v>235</v>
      </c>
      <c r="B42" s="875"/>
      <c r="C42" s="876">
        <v>0</v>
      </c>
      <c r="D42" s="95">
        <v>0</v>
      </c>
      <c r="E42" s="95">
        <v>0</v>
      </c>
      <c r="F42" s="340">
        <v>0</v>
      </c>
      <c r="G42" s="913">
        <v>0</v>
      </c>
      <c r="H42" s="912">
        <v>0</v>
      </c>
      <c r="I42" s="317">
        <v>0</v>
      </c>
      <c r="J42" s="317">
        <v>0</v>
      </c>
      <c r="K42" s="136">
        <v>0</v>
      </c>
      <c r="L42" s="1110">
        <v>0</v>
      </c>
      <c r="M42" s="912">
        <v>0</v>
      </c>
      <c r="N42" s="37">
        <f>21.877-M42</f>
        <v>21.876999999999999</v>
      </c>
      <c r="O42" s="214">
        <f>21.944-N42-M42</f>
        <v>6.7000000000000171E-2</v>
      </c>
      <c r="P42" s="214">
        <f t="shared" si="83"/>
        <v>0</v>
      </c>
      <c r="Q42" s="1109">
        <v>21.943999999999999</v>
      </c>
      <c r="R42" s="925">
        <v>0</v>
      </c>
      <c r="S42" s="317">
        <f>0-R42</f>
        <v>0</v>
      </c>
      <c r="T42" s="317">
        <v>0</v>
      </c>
      <c r="U42" s="214">
        <f t="shared" si="84"/>
        <v>0</v>
      </c>
      <c r="V42" s="1110">
        <v>0</v>
      </c>
      <c r="W42" s="912">
        <v>0</v>
      </c>
      <c r="X42" s="317">
        <v>0</v>
      </c>
      <c r="Y42" s="317">
        <v>0</v>
      </c>
      <c r="Z42" s="62">
        <f t="shared" si="85"/>
        <v>0</v>
      </c>
      <c r="AA42" s="1111">
        <v>0</v>
      </c>
      <c r="AB42" s="915">
        <v>0</v>
      </c>
      <c r="AC42" s="97">
        <v>0</v>
      </c>
      <c r="AD42" s="73">
        <v>0</v>
      </c>
      <c r="AE42" s="47">
        <f t="shared" si="86"/>
        <v>0</v>
      </c>
      <c r="AF42" s="1111">
        <v>0</v>
      </c>
      <c r="AG42" s="915">
        <v>0</v>
      </c>
      <c r="AH42" s="73">
        <v>0</v>
      </c>
      <c r="AI42" s="73">
        <v>0</v>
      </c>
      <c r="AJ42" s="73">
        <v>0</v>
      </c>
      <c r="AK42" s="914">
        <f t="shared" si="87"/>
        <v>0</v>
      </c>
      <c r="AL42" s="915">
        <v>0</v>
      </c>
      <c r="AM42" s="73">
        <v>0</v>
      </c>
      <c r="AN42" s="97">
        <v>0</v>
      </c>
      <c r="AO42" s="97">
        <v>0</v>
      </c>
      <c r="AP42" s="914">
        <f t="shared" si="88"/>
        <v>0</v>
      </c>
      <c r="AQ42" s="930">
        <v>0</v>
      </c>
      <c r="AR42" s="98">
        <v>0</v>
      </c>
      <c r="AS42" s="98">
        <v>0</v>
      </c>
      <c r="AT42" s="48">
        <v>0</v>
      </c>
      <c r="AU42" s="914">
        <f t="shared" si="89"/>
        <v>0</v>
      </c>
      <c r="AV42" s="98">
        <v>0</v>
      </c>
      <c r="AW42" s="98">
        <v>0</v>
      </c>
      <c r="AX42" s="98">
        <v>0</v>
      </c>
      <c r="AY42" s="48">
        <v>0</v>
      </c>
      <c r="AZ42" s="509">
        <f t="shared" si="90"/>
        <v>0</v>
      </c>
      <c r="BA42" s="98">
        <v>0</v>
      </c>
      <c r="BB42" s="98">
        <v>0</v>
      </c>
      <c r="BC42" s="83">
        <v>0</v>
      </c>
      <c r="BD42" s="48">
        <v>0</v>
      </c>
      <c r="BE42" s="674">
        <f t="shared" si="91"/>
        <v>0</v>
      </c>
      <c r="BF42" s="469">
        <v>0</v>
      </c>
      <c r="BG42" s="469">
        <v>0</v>
      </c>
      <c r="BH42" s="528">
        <v>0</v>
      </c>
      <c r="BI42" s="469">
        <v>0</v>
      </c>
      <c r="BJ42" s="674">
        <f t="shared" si="92"/>
        <v>0</v>
      </c>
      <c r="BK42" s="675">
        <v>0</v>
      </c>
      <c r="BL42" s="469">
        <v>0</v>
      </c>
      <c r="BM42" s="528">
        <v>0</v>
      </c>
      <c r="BN42" s="469">
        <v>0</v>
      </c>
      <c r="BO42" s="674">
        <f t="shared" si="93"/>
        <v>0</v>
      </c>
      <c r="BP42" s="675">
        <v>0</v>
      </c>
      <c r="BQ42" s="469">
        <v>0</v>
      </c>
      <c r="BR42" s="528">
        <v>0</v>
      </c>
      <c r="BS42" s="469">
        <v>0</v>
      </c>
      <c r="BT42" s="870">
        <f t="shared" si="94"/>
        <v>0</v>
      </c>
      <c r="BU42" s="469">
        <f>+BS42</f>
        <v>0</v>
      </c>
      <c r="BV42" s="469">
        <v>0</v>
      </c>
      <c r="BW42" s="469">
        <v>0</v>
      </c>
      <c r="BX42" s="469">
        <f>+BW42</f>
        <v>0</v>
      </c>
      <c r="BY42" s="870">
        <f t="shared" si="104"/>
        <v>0</v>
      </c>
      <c r="BZ42" s="141">
        <v>0</v>
      </c>
      <c r="CA42" s="141">
        <v>0</v>
      </c>
      <c r="CB42" s="469">
        <v>0</v>
      </c>
      <c r="CC42" s="528">
        <v>0</v>
      </c>
      <c r="CD42" s="870">
        <f t="shared" si="105"/>
        <v>0</v>
      </c>
      <c r="CE42" s="528">
        <v>0</v>
      </c>
      <c r="CF42" s="528">
        <v>0</v>
      </c>
      <c r="CG42" s="469">
        <v>0</v>
      </c>
      <c r="CH42" s="469">
        <v>0</v>
      </c>
      <c r="CI42" s="870">
        <f t="shared" si="95"/>
        <v>0</v>
      </c>
      <c r="CJ42" s="469">
        <v>0</v>
      </c>
      <c r="CK42" s="528">
        <v>0</v>
      </c>
      <c r="CL42" s="469">
        <v>0</v>
      </c>
      <c r="CM42" s="528">
        <v>0</v>
      </c>
      <c r="CN42" s="899">
        <f t="shared" si="96"/>
        <v>0</v>
      </c>
      <c r="CO42" s="653">
        <v>0</v>
      </c>
      <c r="CP42" s="653">
        <v>0</v>
      </c>
      <c r="CQ42" s="653">
        <v>0</v>
      </c>
      <c r="CR42" s="653">
        <v>0</v>
      </c>
      <c r="CS42" s="899">
        <f t="shared" si="97"/>
        <v>0</v>
      </c>
      <c r="CT42" s="654">
        <v>0</v>
      </c>
      <c r="CU42" s="653">
        <v>0</v>
      </c>
      <c r="CV42" s="653">
        <v>0</v>
      </c>
      <c r="CW42" s="653">
        <v>0</v>
      </c>
      <c r="CX42" s="5062">
        <f t="shared" si="98"/>
        <v>0</v>
      </c>
      <c r="CY42" s="654">
        <v>0</v>
      </c>
      <c r="CZ42" s="653">
        <v>0</v>
      </c>
      <c r="DA42" s="653">
        <v>0</v>
      </c>
      <c r="DB42" s="653">
        <v>0</v>
      </c>
      <c r="DC42" s="5062">
        <f t="shared" si="99"/>
        <v>0</v>
      </c>
      <c r="DD42" s="654">
        <v>0</v>
      </c>
      <c r="DE42" s="653">
        <v>0</v>
      </c>
      <c r="DF42" s="653">
        <v>0</v>
      </c>
      <c r="DG42" s="653">
        <v>0</v>
      </c>
      <c r="DH42" s="5062">
        <f t="shared" si="100"/>
        <v>0</v>
      </c>
      <c r="DI42" s="654">
        <v>0</v>
      </c>
      <c r="DJ42" s="653">
        <v>0</v>
      </c>
      <c r="DK42" s="653">
        <v>0</v>
      </c>
      <c r="DL42" s="653">
        <v>0</v>
      </c>
      <c r="DM42" s="5062">
        <f t="shared" si="101"/>
        <v>0</v>
      </c>
      <c r="DN42" s="654">
        <v>0</v>
      </c>
      <c r="DO42" s="653">
        <v>0</v>
      </c>
      <c r="DP42" s="653">
        <v>0</v>
      </c>
      <c r="DQ42" s="670"/>
      <c r="DR42" s="5062">
        <f t="shared" si="102"/>
        <v>0</v>
      </c>
      <c r="DS42" s="670"/>
      <c r="DT42" s="670"/>
      <c r="DU42" s="670"/>
      <c r="DV42" s="670"/>
      <c r="DW42" s="5062">
        <f t="shared" si="103"/>
        <v>0</v>
      </c>
      <c r="DX42" s="5060"/>
      <c r="DY42" s="5060"/>
      <c r="DZ42" s="5060"/>
      <c r="EA42" s="5060"/>
      <c r="EC42" s="4320"/>
      <c r="ED42" s="4320"/>
    </row>
    <row r="43" spans="1:134" s="45" customFormat="1" ht="11.25" hidden="1" customHeight="1" outlineLevel="1">
      <c r="A43" s="1577" t="s">
        <v>332</v>
      </c>
      <c r="B43" s="875">
        <v>3.4000000000000002E-2</v>
      </c>
      <c r="C43" s="876"/>
      <c r="D43" s="95">
        <f>-C43</f>
        <v>0</v>
      </c>
      <c r="E43" s="95">
        <f>-D43-C43</f>
        <v>0</v>
      </c>
      <c r="F43" s="340">
        <f>G43-E43-D43-C43</f>
        <v>0</v>
      </c>
      <c r="G43" s="913">
        <v>0</v>
      </c>
      <c r="H43" s="912">
        <v>0</v>
      </c>
      <c r="I43" s="317">
        <f>-H43</f>
        <v>0</v>
      </c>
      <c r="J43" s="317">
        <f>-I43-H43</f>
        <v>0</v>
      </c>
      <c r="K43" s="136">
        <f>L43-J43-I43-H43</f>
        <v>0</v>
      </c>
      <c r="L43" s="1110">
        <v>0</v>
      </c>
      <c r="M43" s="912">
        <v>0</v>
      </c>
      <c r="N43" s="37">
        <f>4.3-M43</f>
        <v>4.3</v>
      </c>
      <c r="O43" s="136">
        <f>4.3-N43-M43</f>
        <v>0</v>
      </c>
      <c r="P43" s="136">
        <f t="shared" si="83"/>
        <v>0</v>
      </c>
      <c r="Q43" s="1108">
        <v>4.3</v>
      </c>
      <c r="R43" s="925">
        <v>0</v>
      </c>
      <c r="S43" s="317">
        <f>0-R43</f>
        <v>0</v>
      </c>
      <c r="T43" s="317">
        <v>0</v>
      </c>
      <c r="U43" s="136">
        <f t="shared" si="84"/>
        <v>0</v>
      </c>
      <c r="V43" s="1110">
        <v>0</v>
      </c>
      <c r="W43" s="912">
        <v>0</v>
      </c>
      <c r="X43" s="317">
        <v>0</v>
      </c>
      <c r="Y43" s="317">
        <v>0</v>
      </c>
      <c r="Z43" s="62">
        <f t="shared" si="85"/>
        <v>0</v>
      </c>
      <c r="AA43" s="1111">
        <v>0</v>
      </c>
      <c r="AB43" s="915">
        <v>0</v>
      </c>
      <c r="AC43" s="97">
        <v>0</v>
      </c>
      <c r="AD43" s="73">
        <v>0</v>
      </c>
      <c r="AE43" s="47">
        <f t="shared" si="86"/>
        <v>0</v>
      </c>
      <c r="AF43" s="1111">
        <v>0</v>
      </c>
      <c r="AG43" s="915">
        <v>0</v>
      </c>
      <c r="AH43" s="73">
        <v>0</v>
      </c>
      <c r="AI43" s="73">
        <v>0</v>
      </c>
      <c r="AJ43" s="73">
        <v>0</v>
      </c>
      <c r="AK43" s="914">
        <f t="shared" si="87"/>
        <v>0</v>
      </c>
      <c r="AL43" s="915">
        <v>0</v>
      </c>
      <c r="AM43" s="73">
        <v>0</v>
      </c>
      <c r="AN43" s="97">
        <v>0</v>
      </c>
      <c r="AO43" s="97">
        <v>0</v>
      </c>
      <c r="AP43" s="914">
        <f t="shared" si="88"/>
        <v>0</v>
      </c>
      <c r="AQ43" s="930">
        <v>0</v>
      </c>
      <c r="AR43" s="98">
        <v>0</v>
      </c>
      <c r="AS43" s="98">
        <v>0</v>
      </c>
      <c r="AT43" s="48">
        <v>0</v>
      </c>
      <c r="AU43" s="914">
        <f t="shared" si="89"/>
        <v>0</v>
      </c>
      <c r="AV43" s="98">
        <v>0</v>
      </c>
      <c r="AW43" s="98">
        <v>0</v>
      </c>
      <c r="AX43" s="98">
        <v>0</v>
      </c>
      <c r="AY43" s="48">
        <v>0</v>
      </c>
      <c r="AZ43" s="509">
        <f t="shared" si="90"/>
        <v>0</v>
      </c>
      <c r="BA43" s="98">
        <v>0</v>
      </c>
      <c r="BB43" s="98">
        <v>0</v>
      </c>
      <c r="BC43" s="83">
        <v>0</v>
      </c>
      <c r="BD43" s="48">
        <v>0</v>
      </c>
      <c r="BE43" s="674">
        <f t="shared" si="91"/>
        <v>0</v>
      </c>
      <c r="BF43" s="469">
        <v>0</v>
      </c>
      <c r="BG43" s="469">
        <v>0</v>
      </c>
      <c r="BH43" s="528">
        <v>0</v>
      </c>
      <c r="BI43" s="469">
        <v>0</v>
      </c>
      <c r="BJ43" s="674">
        <f t="shared" si="92"/>
        <v>0</v>
      </c>
      <c r="BK43" s="675">
        <v>0</v>
      </c>
      <c r="BL43" s="469">
        <v>0</v>
      </c>
      <c r="BM43" s="528">
        <v>0</v>
      </c>
      <c r="BN43" s="469">
        <v>0</v>
      </c>
      <c r="BO43" s="674">
        <f t="shared" si="93"/>
        <v>0</v>
      </c>
      <c r="BP43" s="675">
        <v>0</v>
      </c>
      <c r="BQ43" s="469">
        <v>0</v>
      </c>
      <c r="BR43" s="528">
        <v>0</v>
      </c>
      <c r="BS43" s="469">
        <v>0</v>
      </c>
      <c r="BT43" s="870">
        <f t="shared" si="94"/>
        <v>0</v>
      </c>
      <c r="BU43" s="469">
        <f>+BS43</f>
        <v>0</v>
      </c>
      <c r="BV43" s="469">
        <v>0</v>
      </c>
      <c r="BW43" s="469">
        <v>0</v>
      </c>
      <c r="BX43" s="469">
        <f>+BW43</f>
        <v>0</v>
      </c>
      <c r="BY43" s="870">
        <f t="shared" si="104"/>
        <v>0</v>
      </c>
      <c r="BZ43" s="141">
        <v>0</v>
      </c>
      <c r="CA43" s="141">
        <v>0</v>
      </c>
      <c r="CB43" s="469">
        <v>0</v>
      </c>
      <c r="CC43" s="528">
        <v>0</v>
      </c>
      <c r="CD43" s="870">
        <f t="shared" si="105"/>
        <v>0</v>
      </c>
      <c r="CE43" s="528">
        <v>0</v>
      </c>
      <c r="CF43" s="528">
        <v>0</v>
      </c>
      <c r="CG43" s="469">
        <v>0</v>
      </c>
      <c r="CH43" s="469">
        <v>0</v>
      </c>
      <c r="CI43" s="870">
        <f t="shared" si="95"/>
        <v>0</v>
      </c>
      <c r="CJ43" s="469">
        <v>0</v>
      </c>
      <c r="CK43" s="528">
        <v>0</v>
      </c>
      <c r="CL43" s="469">
        <v>0</v>
      </c>
      <c r="CM43" s="528">
        <v>0</v>
      </c>
      <c r="CN43" s="899">
        <f t="shared" si="96"/>
        <v>0</v>
      </c>
      <c r="CO43" s="653">
        <v>0</v>
      </c>
      <c r="CP43" s="653">
        <v>0</v>
      </c>
      <c r="CQ43" s="653">
        <v>0</v>
      </c>
      <c r="CR43" s="653">
        <v>0</v>
      </c>
      <c r="CS43" s="899">
        <f t="shared" si="97"/>
        <v>0</v>
      </c>
      <c r="CT43" s="654">
        <v>0</v>
      </c>
      <c r="CU43" s="653">
        <v>0</v>
      </c>
      <c r="CV43" s="653">
        <v>0</v>
      </c>
      <c r="CW43" s="653">
        <v>0</v>
      </c>
      <c r="CX43" s="5062">
        <f t="shared" si="98"/>
        <v>0</v>
      </c>
      <c r="CY43" s="654">
        <v>0</v>
      </c>
      <c r="CZ43" s="653">
        <v>0</v>
      </c>
      <c r="DA43" s="653">
        <v>0</v>
      </c>
      <c r="DB43" s="653">
        <v>0</v>
      </c>
      <c r="DC43" s="5062">
        <f t="shared" si="99"/>
        <v>0</v>
      </c>
      <c r="DD43" s="654">
        <v>0</v>
      </c>
      <c r="DE43" s="653">
        <v>0</v>
      </c>
      <c r="DF43" s="653">
        <v>0</v>
      </c>
      <c r="DG43" s="653">
        <v>0</v>
      </c>
      <c r="DH43" s="5062">
        <f t="shared" si="100"/>
        <v>0</v>
      </c>
      <c r="DI43" s="654">
        <v>0</v>
      </c>
      <c r="DJ43" s="653">
        <v>0</v>
      </c>
      <c r="DK43" s="653">
        <v>0</v>
      </c>
      <c r="DL43" s="653">
        <v>0</v>
      </c>
      <c r="DM43" s="5062">
        <f t="shared" si="101"/>
        <v>0</v>
      </c>
      <c r="DN43" s="654">
        <v>0</v>
      </c>
      <c r="DO43" s="653">
        <v>0</v>
      </c>
      <c r="DP43" s="653">
        <v>0</v>
      </c>
      <c r="DQ43" s="670"/>
      <c r="DR43" s="5062">
        <f t="shared" si="102"/>
        <v>0</v>
      </c>
      <c r="DS43" s="670"/>
      <c r="DT43" s="670"/>
      <c r="DU43" s="670"/>
      <c r="DV43" s="670"/>
      <c r="DW43" s="5062">
        <f t="shared" si="103"/>
        <v>0</v>
      </c>
      <c r="DX43" s="5060"/>
      <c r="DY43" s="5060"/>
      <c r="DZ43" s="5060"/>
      <c r="EA43" s="5060"/>
      <c r="EC43" s="4320"/>
      <c r="ED43" s="4320"/>
    </row>
    <row r="44" spans="1:134" s="45" customFormat="1" ht="11.25" customHeight="1" collapsed="1">
      <c r="A44" s="1647" t="s">
        <v>333</v>
      </c>
      <c r="B44" s="1648">
        <v>-4.5030000000000001</v>
      </c>
      <c r="C44" s="1649"/>
      <c r="D44" s="95">
        <f>-C44</f>
        <v>0</v>
      </c>
      <c r="E44" s="95">
        <f>-D44-C44</f>
        <v>0</v>
      </c>
      <c r="F44" s="1650">
        <f>G44-E44-D44-C44</f>
        <v>-7.7350000000000003</v>
      </c>
      <c r="G44" s="1648">
        <v>-7.7350000000000003</v>
      </c>
      <c r="H44" s="1651">
        <v>-2.2389999999999999</v>
      </c>
      <c r="I44" s="37">
        <f>-3.946-H44</f>
        <v>-1.7070000000000003</v>
      </c>
      <c r="J44" s="37">
        <f>-6.435-I44-H44</f>
        <v>-2.4889999999999999</v>
      </c>
      <c r="K44" s="342">
        <f>L44-J44-I44-H44</f>
        <v>-0.95100000000000007</v>
      </c>
      <c r="L44" s="1652">
        <v>-7.3860000000000001</v>
      </c>
      <c r="M44" s="1653">
        <v>-1.204</v>
      </c>
      <c r="N44" s="37">
        <f>-2.403-M44</f>
        <v>-1.1990000000000001</v>
      </c>
      <c r="O44" s="214">
        <f>-3.521-N44-M44</f>
        <v>-1.1180000000000001</v>
      </c>
      <c r="P44" s="342">
        <f t="shared" si="83"/>
        <v>-1.1870000000000001</v>
      </c>
      <c r="Q44" s="1652">
        <v>-4.7080000000000002</v>
      </c>
      <c r="R44" s="1653">
        <v>-0.59199999999999997</v>
      </c>
      <c r="S44" s="62">
        <f>-1.611-R44</f>
        <v>-1.0190000000000001</v>
      </c>
      <c r="T44" s="62">
        <f>-1.413-S44-R44</f>
        <v>0.19800000000000006</v>
      </c>
      <c r="U44" s="342">
        <f t="shared" si="84"/>
        <v>-1.2000000000000122E-2</v>
      </c>
      <c r="V44" s="1654">
        <v>-1.425</v>
      </c>
      <c r="W44" s="1655">
        <v>0</v>
      </c>
      <c r="X44" s="317">
        <v>0</v>
      </c>
      <c r="Y44" s="317">
        <v>0</v>
      </c>
      <c r="Z44" s="1660">
        <f t="shared" si="85"/>
        <v>0</v>
      </c>
      <c r="AA44" s="1656">
        <v>0</v>
      </c>
      <c r="AB44" s="1657">
        <v>0</v>
      </c>
      <c r="AC44" s="97">
        <v>0</v>
      </c>
      <c r="AD44" s="73">
        <v>0</v>
      </c>
      <c r="AE44" s="46">
        <f t="shared" si="86"/>
        <v>0</v>
      </c>
      <c r="AF44" s="1656">
        <v>0</v>
      </c>
      <c r="AG44" s="1657">
        <v>0</v>
      </c>
      <c r="AH44" s="73">
        <v>0</v>
      </c>
      <c r="AI44" s="73">
        <v>0</v>
      </c>
      <c r="AJ44" s="74">
        <v>0</v>
      </c>
      <c r="AK44" s="1658">
        <f t="shared" si="87"/>
        <v>0</v>
      </c>
      <c r="AL44" s="1657">
        <v>0</v>
      </c>
      <c r="AM44" s="73">
        <v>0</v>
      </c>
      <c r="AN44" s="97">
        <v>0</v>
      </c>
      <c r="AO44" s="1661">
        <v>0</v>
      </c>
      <c r="AP44" s="1658">
        <f t="shared" si="88"/>
        <v>0</v>
      </c>
      <c r="AQ44" s="1659">
        <v>0</v>
      </c>
      <c r="AR44" s="98">
        <v>0</v>
      </c>
      <c r="AS44" s="98">
        <v>0</v>
      </c>
      <c r="AT44" s="49">
        <v>-1360</v>
      </c>
      <c r="AU44" s="1658">
        <f t="shared" si="89"/>
        <v>-1360</v>
      </c>
      <c r="AV44" s="98">
        <v>-2435</v>
      </c>
      <c r="AW44" s="98">
        <v>-4869</v>
      </c>
      <c r="AX44" s="98">
        <v>-750</v>
      </c>
      <c r="AY44" s="48">
        <v>-2125</v>
      </c>
      <c r="AZ44" s="507">
        <f t="shared" si="90"/>
        <v>-10179</v>
      </c>
      <c r="BA44" s="98">
        <v>-1900</v>
      </c>
      <c r="BB44" s="98">
        <v>-3853</v>
      </c>
      <c r="BC44" s="528">
        <v>-4375</v>
      </c>
      <c r="BD44" s="48">
        <v>-4653</v>
      </c>
      <c r="BE44" s="674">
        <f t="shared" si="91"/>
        <v>-14781</v>
      </c>
      <c r="BF44" s="469">
        <v>-3323</v>
      </c>
      <c r="BG44" s="469">
        <v>-2880</v>
      </c>
      <c r="BH44" s="528">
        <v>-2701</v>
      </c>
      <c r="BI44" s="469">
        <v>-2421</v>
      </c>
      <c r="BJ44" s="674">
        <f t="shared" si="92"/>
        <v>-11325</v>
      </c>
      <c r="BK44" s="675">
        <v>-2423</v>
      </c>
      <c r="BL44" s="469">
        <v>-3881</v>
      </c>
      <c r="BM44" s="528">
        <v>-2877</v>
      </c>
      <c r="BN44" s="469">
        <v>-2462</v>
      </c>
      <c r="BO44" s="674">
        <f t="shared" si="93"/>
        <v>-11643</v>
      </c>
      <c r="BP44" s="676">
        <v>-3308</v>
      </c>
      <c r="BQ44" s="469">
        <f>-3396-47</f>
        <v>-3443</v>
      </c>
      <c r="BR44" s="528">
        <v>-3637</v>
      </c>
      <c r="BS44" s="469">
        <v>-3387</v>
      </c>
      <c r="BT44" s="1258">
        <f t="shared" si="94"/>
        <v>-13775</v>
      </c>
      <c r="BU44" s="825">
        <v>-3962</v>
      </c>
      <c r="BV44" s="469">
        <v>-2839</v>
      </c>
      <c r="BW44" s="528">
        <v>-3250</v>
      </c>
      <c r="BX44" s="528">
        <v>-13</v>
      </c>
      <c r="BY44" s="1258">
        <f t="shared" si="104"/>
        <v>-10064</v>
      </c>
      <c r="BZ44" s="528">
        <v>-18</v>
      </c>
      <c r="CA44" s="528">
        <v>-38</v>
      </c>
      <c r="CB44" s="528">
        <v>-2706</v>
      </c>
      <c r="CC44" s="528">
        <v>-1615</v>
      </c>
      <c r="CD44" s="1258">
        <f t="shared" si="105"/>
        <v>-4377</v>
      </c>
      <c r="CE44" s="528">
        <v>-3378</v>
      </c>
      <c r="CF44" s="528">
        <v>-2889</v>
      </c>
      <c r="CG44" s="528">
        <v>-555</v>
      </c>
      <c r="CH44" s="528">
        <v>-5</v>
      </c>
      <c r="CI44" s="1258">
        <f t="shared" si="95"/>
        <v>-6827</v>
      </c>
      <c r="CJ44" s="528">
        <v>-345</v>
      </c>
      <c r="CK44" s="528">
        <v>-48</v>
      </c>
      <c r="CL44" s="528">
        <v>-145</v>
      </c>
      <c r="CM44" s="528">
        <v>-47</v>
      </c>
      <c r="CN44" s="1265">
        <f t="shared" si="96"/>
        <v>-585</v>
      </c>
      <c r="CO44" s="654">
        <v>-1947</v>
      </c>
      <c r="CP44" s="654">
        <v>-35</v>
      </c>
      <c r="CQ44" s="654">
        <v>-61</v>
      </c>
      <c r="CR44" s="654">
        <v>-57</v>
      </c>
      <c r="CS44" s="1265">
        <f t="shared" si="97"/>
        <v>-2100</v>
      </c>
      <c r="CT44" s="654">
        <v>-937</v>
      </c>
      <c r="CU44" s="654">
        <v>-7741</v>
      </c>
      <c r="CV44" s="654">
        <v>-6392</v>
      </c>
      <c r="CW44" s="654">
        <v>-6365</v>
      </c>
      <c r="CX44" s="1267">
        <f t="shared" si="98"/>
        <v>-21435</v>
      </c>
      <c r="CY44" s="654">
        <v>-16420</v>
      </c>
      <c r="CZ44" s="654">
        <v>-13162</v>
      </c>
      <c r="DA44" s="654">
        <v>-15768</v>
      </c>
      <c r="DB44" s="654">
        <v>-8718</v>
      </c>
      <c r="DC44" s="1267">
        <f t="shared" si="99"/>
        <v>-54068</v>
      </c>
      <c r="DD44" s="654">
        <v>-6952</v>
      </c>
      <c r="DE44" s="654">
        <v>-1255</v>
      </c>
      <c r="DF44" s="654">
        <v>-1414</v>
      </c>
      <c r="DG44" s="654">
        <v>-1929</v>
      </c>
      <c r="DH44" s="1267">
        <f t="shared" si="100"/>
        <v>-11550</v>
      </c>
      <c r="DI44" s="654">
        <v>-3079</v>
      </c>
      <c r="DJ44" s="654">
        <v>-2423</v>
      </c>
      <c r="DK44" s="654">
        <v>-3449</v>
      </c>
      <c r="DL44" s="654">
        <v>-3750</v>
      </c>
      <c r="DM44" s="1267">
        <f t="shared" si="101"/>
        <v>-12701</v>
      </c>
      <c r="DN44" s="654">
        <v>-4521</v>
      </c>
      <c r="DO44" s="654">
        <v>-13876</v>
      </c>
      <c r="DP44" s="654">
        <v>-7696</v>
      </c>
      <c r="DQ44" s="5063">
        <f>BS!DQ218-BS!DP218</f>
        <v>0</v>
      </c>
      <c r="DR44" s="1267">
        <f t="shared" si="102"/>
        <v>-26093</v>
      </c>
      <c r="DS44" s="5063">
        <f>BS!DS218-BS!DR218</f>
        <v>0</v>
      </c>
      <c r="DT44" s="5063">
        <f>BS!DT218-BS!DS218</f>
        <v>0</v>
      </c>
      <c r="DU44" s="5063">
        <f>BS!DU218-BS!DT218</f>
        <v>0</v>
      </c>
      <c r="DV44" s="5063">
        <f>BS!DV218-BS!DU218</f>
        <v>0</v>
      </c>
      <c r="DW44" s="1267">
        <f t="shared" si="103"/>
        <v>0</v>
      </c>
      <c r="DX44" s="5064">
        <f>BS!DX218-BS!DW218</f>
        <v>-3000</v>
      </c>
      <c r="DY44" s="5064">
        <f>BS!DY218-BS!DX218</f>
        <v>0</v>
      </c>
      <c r="DZ44" s="5064">
        <f>BS!DZ218-BS!DY218</f>
        <v>0</v>
      </c>
      <c r="EA44" s="5064">
        <f>BS!EA218-BS!DZ218</f>
        <v>0</v>
      </c>
      <c r="EC44" s="4320"/>
      <c r="ED44" s="4320"/>
    </row>
    <row r="45" spans="1:134" s="45" customFormat="1" ht="11.25" customHeight="1">
      <c r="A45" s="3833" t="s">
        <v>398</v>
      </c>
      <c r="B45" s="3834"/>
      <c r="C45" s="3847"/>
      <c r="D45" s="95"/>
      <c r="E45" s="95"/>
      <c r="F45" s="1650"/>
      <c r="G45" s="3834"/>
      <c r="H45" s="3848"/>
      <c r="I45" s="37"/>
      <c r="J45" s="37"/>
      <c r="K45" s="342"/>
      <c r="L45" s="3849"/>
      <c r="M45" s="3836"/>
      <c r="N45" s="37"/>
      <c r="O45" s="2616"/>
      <c r="P45" s="342"/>
      <c r="Q45" s="3849"/>
      <c r="R45" s="3836"/>
      <c r="S45" s="62"/>
      <c r="T45" s="62"/>
      <c r="U45" s="342"/>
      <c r="V45" s="3850"/>
      <c r="W45" s="3843"/>
      <c r="X45" s="317"/>
      <c r="Y45" s="317"/>
      <c r="Z45" s="62"/>
      <c r="AA45" s="3851"/>
      <c r="AB45" s="2835"/>
      <c r="AC45" s="97"/>
      <c r="AD45" s="73"/>
      <c r="AE45" s="47"/>
      <c r="AF45" s="3851"/>
      <c r="AG45" s="2835"/>
      <c r="AH45" s="73"/>
      <c r="AI45" s="73"/>
      <c r="AJ45" s="73"/>
      <c r="AK45" s="3838"/>
      <c r="AL45" s="2835"/>
      <c r="AM45" s="73"/>
      <c r="AN45" s="97"/>
      <c r="AO45" s="97"/>
      <c r="AP45" s="3838"/>
      <c r="AQ45" s="3839"/>
      <c r="AR45" s="98"/>
      <c r="AS45" s="98"/>
      <c r="AT45" s="48"/>
      <c r="AU45" s="3838"/>
      <c r="AV45" s="98"/>
      <c r="AW45" s="98"/>
      <c r="AX45" s="98"/>
      <c r="AY45" s="48"/>
      <c r="AZ45" s="507"/>
      <c r="BA45" s="98"/>
      <c r="BB45" s="98"/>
      <c r="BC45" s="528"/>
      <c r="BD45" s="48"/>
      <c r="BE45" s="674"/>
      <c r="BF45" s="469"/>
      <c r="BG45" s="469"/>
      <c r="BH45" s="528"/>
      <c r="BI45" s="469"/>
      <c r="BJ45" s="674"/>
      <c r="BK45" s="675"/>
      <c r="BL45" s="469"/>
      <c r="BM45" s="528"/>
      <c r="BN45" s="469"/>
      <c r="BO45" s="674"/>
      <c r="BP45" s="676"/>
      <c r="BQ45" s="469"/>
      <c r="BR45" s="528"/>
      <c r="BS45" s="469"/>
      <c r="BT45" s="1258"/>
      <c r="BU45" s="825">
        <v>0</v>
      </c>
      <c r="BV45" s="469">
        <v>0</v>
      </c>
      <c r="BW45" s="528">
        <v>0</v>
      </c>
      <c r="BX45" s="528">
        <v>0</v>
      </c>
      <c r="BY45" s="1260">
        <f t="shared" si="104"/>
        <v>0</v>
      </c>
      <c r="BZ45" s="528">
        <v>480</v>
      </c>
      <c r="CA45" s="528">
        <v>0</v>
      </c>
      <c r="CB45" s="528">
        <v>320</v>
      </c>
      <c r="CC45" s="528">
        <v>0</v>
      </c>
      <c r="CD45" s="1260">
        <f t="shared" si="105"/>
        <v>800</v>
      </c>
      <c r="CE45" s="528">
        <v>0</v>
      </c>
      <c r="CF45" s="528">
        <v>0</v>
      </c>
      <c r="CG45" s="528">
        <v>0</v>
      </c>
      <c r="CH45" s="528">
        <v>950</v>
      </c>
      <c r="CI45" s="1260">
        <f t="shared" si="95"/>
        <v>950</v>
      </c>
      <c r="CJ45" s="528">
        <v>47</v>
      </c>
      <c r="CK45" s="528">
        <v>137</v>
      </c>
      <c r="CL45" s="528">
        <v>18</v>
      </c>
      <c r="CM45" s="528">
        <v>18</v>
      </c>
      <c r="CN45" s="1267">
        <f t="shared" si="96"/>
        <v>220</v>
      </c>
      <c r="CO45" s="654">
        <v>1600</v>
      </c>
      <c r="CP45" s="654">
        <v>864</v>
      </c>
      <c r="CQ45" s="654">
        <v>-2</v>
      </c>
      <c r="CR45" s="654">
        <v>338</v>
      </c>
      <c r="CS45" s="1267">
        <f t="shared" si="97"/>
        <v>2800</v>
      </c>
      <c r="CT45" s="654">
        <v>10</v>
      </c>
      <c r="CU45" s="654">
        <v>300</v>
      </c>
      <c r="CV45" s="654">
        <v>0</v>
      </c>
      <c r="CW45" s="654">
        <v>0</v>
      </c>
      <c r="CX45" s="1267">
        <f t="shared" si="98"/>
        <v>310</v>
      </c>
      <c r="CY45" s="654">
        <v>0</v>
      </c>
      <c r="CZ45" s="654">
        <v>0</v>
      </c>
      <c r="DA45" s="654">
        <v>10</v>
      </c>
      <c r="DB45" s="654">
        <v>25</v>
      </c>
      <c r="DC45" s="1267">
        <f t="shared" si="99"/>
        <v>35</v>
      </c>
      <c r="DD45" s="654">
        <v>3</v>
      </c>
      <c r="DE45" s="654">
        <v>2</v>
      </c>
      <c r="DF45" s="654">
        <v>3</v>
      </c>
      <c r="DG45" s="654">
        <v>0</v>
      </c>
      <c r="DH45" s="1267">
        <f t="shared" si="100"/>
        <v>8</v>
      </c>
      <c r="DI45" s="654">
        <v>8</v>
      </c>
      <c r="DJ45" s="654">
        <v>0</v>
      </c>
      <c r="DK45" s="654">
        <v>285</v>
      </c>
      <c r="DL45" s="654">
        <v>861</v>
      </c>
      <c r="DM45" s="1267">
        <f t="shared" si="101"/>
        <v>1154</v>
      </c>
      <c r="DN45" s="654">
        <v>400</v>
      </c>
      <c r="DO45" s="654">
        <v>0</v>
      </c>
      <c r="DP45" s="654">
        <v>0</v>
      </c>
      <c r="DQ45" s="5022"/>
      <c r="DR45" s="1267">
        <f t="shared" si="102"/>
        <v>400</v>
      </c>
      <c r="DS45" s="5022"/>
      <c r="DT45" s="5022"/>
      <c r="DU45" s="5022"/>
      <c r="DV45" s="5022"/>
      <c r="DW45" s="1267">
        <f t="shared" si="103"/>
        <v>0</v>
      </c>
      <c r="DX45" s="5065"/>
      <c r="DY45" s="5065"/>
      <c r="DZ45" s="5065"/>
      <c r="EA45" s="5065"/>
      <c r="EC45" s="4320"/>
      <c r="ED45" s="4320"/>
    </row>
    <row r="46" spans="1:134" s="45" customFormat="1" ht="11.25" customHeight="1">
      <c r="A46" s="6029" t="s">
        <v>96</v>
      </c>
      <c r="B46" s="6022">
        <f t="shared" ref="B46:N46" si="116">SUM(B36:B44)</f>
        <v>-2.4390000000000001</v>
      </c>
      <c r="C46" s="2848">
        <f t="shared" si="116"/>
        <v>0</v>
      </c>
      <c r="D46" s="6023">
        <f t="shared" si="116"/>
        <v>0</v>
      </c>
      <c r="E46" s="6023">
        <f t="shared" si="116"/>
        <v>0</v>
      </c>
      <c r="F46" s="6023">
        <f t="shared" si="116"/>
        <v>-5.4730000000000008</v>
      </c>
      <c r="G46" s="6022">
        <f t="shared" si="116"/>
        <v>-5.4730000000000008</v>
      </c>
      <c r="H46" s="2846">
        <f t="shared" si="116"/>
        <v>3.351</v>
      </c>
      <c r="I46" s="6030">
        <f t="shared" si="116"/>
        <v>0.5479999999999996</v>
      </c>
      <c r="J46" s="6031">
        <f t="shared" si="116"/>
        <v>0.31499999999999861</v>
      </c>
      <c r="K46" s="6031">
        <f t="shared" si="116"/>
        <v>3.8760000000000017</v>
      </c>
      <c r="L46" s="6022">
        <f t="shared" si="116"/>
        <v>8.09</v>
      </c>
      <c r="M46" s="6032">
        <f t="shared" si="116"/>
        <v>3.71</v>
      </c>
      <c r="N46" s="6033">
        <f t="shared" si="116"/>
        <v>28.616999999999997</v>
      </c>
      <c r="O46" s="6034">
        <f t="shared" ref="O46:BJ46" si="117">SUM(O35:O44)</f>
        <v>1162.001</v>
      </c>
      <c r="P46" s="3687">
        <f t="shared" si="117"/>
        <v>0.29000000000001447</v>
      </c>
      <c r="Q46" s="6035">
        <f t="shared" si="117"/>
        <v>1194.6179999999997</v>
      </c>
      <c r="R46" s="6032">
        <f t="shared" si="117"/>
        <v>3.5049999999999994</v>
      </c>
      <c r="S46" s="6034">
        <f t="shared" si="117"/>
        <v>7.9559999999999995</v>
      </c>
      <c r="T46" s="6036">
        <f t="shared" si="117"/>
        <v>4308.2930000000006</v>
      </c>
      <c r="U46" s="6036">
        <f t="shared" si="117"/>
        <v>51.076000000000164</v>
      </c>
      <c r="V46" s="6037">
        <f t="shared" si="117"/>
        <v>4370.83</v>
      </c>
      <c r="W46" s="6032">
        <f t="shared" si="117"/>
        <v>119.89599999999999</v>
      </c>
      <c r="X46" s="6036">
        <f t="shared" si="117"/>
        <v>2299.056</v>
      </c>
      <c r="Y46" s="6036">
        <f t="shared" si="117"/>
        <v>129.41800000000015</v>
      </c>
      <c r="Z46" s="6036">
        <f t="shared" si="117"/>
        <v>418.02799999999979</v>
      </c>
      <c r="AA46" s="6038">
        <f t="shared" si="117"/>
        <v>2966.3980000000001</v>
      </c>
      <c r="AB46" s="6039">
        <f t="shared" si="117"/>
        <v>88.51</v>
      </c>
      <c r="AC46" s="6040">
        <f t="shared" si="117"/>
        <v>120.12899999999999</v>
      </c>
      <c r="AD46" s="6040">
        <f t="shared" si="117"/>
        <v>49.010999999999996</v>
      </c>
      <c r="AE46" s="6040">
        <f t="shared" si="117"/>
        <v>145.41700000000003</v>
      </c>
      <c r="AF46" s="6038">
        <f t="shared" si="117"/>
        <v>403.06700000000001</v>
      </c>
      <c r="AG46" s="6039">
        <f t="shared" si="117"/>
        <v>28.655999999999999</v>
      </c>
      <c r="AH46" s="6040">
        <f t="shared" si="117"/>
        <v>43.576999999999998</v>
      </c>
      <c r="AI46" s="6040">
        <f t="shared" si="117"/>
        <v>4.2849999999999966</v>
      </c>
      <c r="AJ46" s="6040">
        <f t="shared" si="117"/>
        <v>11.048999999999999</v>
      </c>
      <c r="AK46" s="6038">
        <f t="shared" si="117"/>
        <v>87.567000000000007</v>
      </c>
      <c r="AL46" s="6039">
        <f t="shared" si="117"/>
        <v>-4.8919999999999959</v>
      </c>
      <c r="AM46" s="6040">
        <f t="shared" si="117"/>
        <v>51.246000000000002</v>
      </c>
      <c r="AN46" s="6040">
        <f t="shared" si="117"/>
        <v>28.497</v>
      </c>
      <c r="AO46" s="6040">
        <f t="shared" si="117"/>
        <v>158.56099999999998</v>
      </c>
      <c r="AP46" s="6038">
        <f t="shared" si="117"/>
        <v>233.41199999999998</v>
      </c>
      <c r="AQ46" s="6039">
        <f t="shared" si="117"/>
        <v>-123</v>
      </c>
      <c r="AR46" s="6040">
        <f t="shared" si="117"/>
        <v>-646</v>
      </c>
      <c r="AS46" s="6040">
        <f t="shared" si="117"/>
        <v>2067</v>
      </c>
      <c r="AT46" s="6040">
        <f t="shared" si="117"/>
        <v>1752</v>
      </c>
      <c r="AU46" s="6038">
        <f t="shared" si="117"/>
        <v>3050</v>
      </c>
      <c r="AV46" s="6040">
        <f t="shared" si="117"/>
        <v>-111</v>
      </c>
      <c r="AW46" s="6040">
        <f t="shared" si="117"/>
        <v>958</v>
      </c>
      <c r="AX46" s="6040">
        <f t="shared" si="117"/>
        <v>-80</v>
      </c>
      <c r="AY46" s="6040">
        <f t="shared" si="117"/>
        <v>40</v>
      </c>
      <c r="AZ46" s="6041">
        <f t="shared" si="117"/>
        <v>807</v>
      </c>
      <c r="BA46" s="6040">
        <f t="shared" si="117"/>
        <v>1230</v>
      </c>
      <c r="BB46" s="6040">
        <f t="shared" si="117"/>
        <v>639</v>
      </c>
      <c r="BC46" s="6042">
        <f t="shared" si="117"/>
        <v>52</v>
      </c>
      <c r="BD46" s="6040">
        <f t="shared" si="117"/>
        <v>-692</v>
      </c>
      <c r="BE46" s="6043">
        <f t="shared" si="117"/>
        <v>1229</v>
      </c>
      <c r="BF46" s="6044">
        <f t="shared" si="117"/>
        <v>-517</v>
      </c>
      <c r="BG46" s="6044">
        <f t="shared" si="117"/>
        <v>-105</v>
      </c>
      <c r="BH46" s="6045">
        <f t="shared" si="117"/>
        <v>-267</v>
      </c>
      <c r="BI46" s="6044">
        <f t="shared" si="117"/>
        <v>32</v>
      </c>
      <c r="BJ46" s="6043">
        <f t="shared" si="117"/>
        <v>-857</v>
      </c>
      <c r="BK46" s="6046">
        <f>0+(SUM(BK35:BK44))</f>
        <v>822</v>
      </c>
      <c r="BL46" s="6044">
        <f>SUM(BL35:BL44)</f>
        <v>-1462</v>
      </c>
      <c r="BM46" s="6045">
        <f>SUM(BM35:BM44)</f>
        <v>-455</v>
      </c>
      <c r="BN46" s="6044">
        <f>SUM(BN35:BN44)</f>
        <v>-344</v>
      </c>
      <c r="BO46" s="6043">
        <f>SUM(BO35:BO44)</f>
        <v>-1439</v>
      </c>
      <c r="BP46" s="6046">
        <f>0+(SUM(BP35:BP44))</f>
        <v>-391</v>
      </c>
      <c r="BQ46" s="6044">
        <f>SUM(BQ35:BQ44)</f>
        <v>-450</v>
      </c>
      <c r="BR46" s="6045">
        <f>SUM(BR35:BR44)</f>
        <v>-471</v>
      </c>
      <c r="BS46" s="6044">
        <f>SUM(BS35:BS44)</f>
        <v>-2365</v>
      </c>
      <c r="BT46" s="6047">
        <f>SUM(BT35:BT44)</f>
        <v>-3677</v>
      </c>
      <c r="BU46" s="6044">
        <f>0+(SUM(BU35:BU44))</f>
        <v>-2911</v>
      </c>
      <c r="BV46" s="6044">
        <f>SUM(BV35:BV45)</f>
        <v>-3440</v>
      </c>
      <c r="BW46" s="6044">
        <f>0+(SUM(BW35:BW44))</f>
        <v>-1089</v>
      </c>
      <c r="BX46" s="6044">
        <f>0+(SUM(BX35:BX44))</f>
        <v>-892</v>
      </c>
      <c r="BY46" s="6047">
        <f t="shared" si="104"/>
        <v>-8332</v>
      </c>
      <c r="BZ46" s="6044">
        <f>0+(SUM(BZ35:BZ45))</f>
        <v>-1674</v>
      </c>
      <c r="CA46" s="6044">
        <f>0+(SUM(CA35:CA45))</f>
        <v>-2740</v>
      </c>
      <c r="CB46" s="6044">
        <f>0+(SUM(CB35:CB45))</f>
        <v>-706</v>
      </c>
      <c r="CC46" s="6044">
        <f>0+(SUM(CC35:CC45))</f>
        <v>-3178</v>
      </c>
      <c r="CD46" s="6047">
        <f t="shared" si="105"/>
        <v>-8298</v>
      </c>
      <c r="CE46" s="6044">
        <f t="shared" ref="CE46:CX46" si="118">0+(SUM(CE35:CE45))</f>
        <v>-2018</v>
      </c>
      <c r="CF46" s="6044">
        <f t="shared" si="118"/>
        <v>-4937</v>
      </c>
      <c r="CG46" s="6044">
        <f t="shared" si="118"/>
        <v>-3478</v>
      </c>
      <c r="CH46" s="6044">
        <f t="shared" si="118"/>
        <v>-2746</v>
      </c>
      <c r="CI46" s="6047">
        <f t="shared" si="118"/>
        <v>-13179</v>
      </c>
      <c r="CJ46" s="6044">
        <f t="shared" si="118"/>
        <v>-4183</v>
      </c>
      <c r="CK46" s="6044">
        <f t="shared" si="118"/>
        <v>-4746</v>
      </c>
      <c r="CL46" s="6044">
        <f t="shared" si="118"/>
        <v>-6954</v>
      </c>
      <c r="CM46" s="6044">
        <f t="shared" si="118"/>
        <v>-7326</v>
      </c>
      <c r="CN46" s="6048">
        <f t="shared" si="118"/>
        <v>-23209</v>
      </c>
      <c r="CO46" s="6027">
        <f t="shared" si="118"/>
        <v>-8186</v>
      </c>
      <c r="CP46" s="6027">
        <f t="shared" si="118"/>
        <v>-7498</v>
      </c>
      <c r="CQ46" s="6027">
        <f t="shared" si="118"/>
        <v>546</v>
      </c>
      <c r="CR46" s="6027">
        <f t="shared" si="118"/>
        <v>-9270</v>
      </c>
      <c r="CS46" s="6048">
        <f t="shared" si="118"/>
        <v>-24408</v>
      </c>
      <c r="CT46" s="6027">
        <f t="shared" si="118"/>
        <v>-13606</v>
      </c>
      <c r="CU46" s="6027">
        <f t="shared" si="118"/>
        <v>-15991</v>
      </c>
      <c r="CV46" s="6027">
        <f t="shared" si="118"/>
        <v>-15254</v>
      </c>
      <c r="CW46" s="6027">
        <f t="shared" si="118"/>
        <v>-16511</v>
      </c>
      <c r="CX46" s="6048">
        <f t="shared" si="118"/>
        <v>-61362</v>
      </c>
      <c r="CY46" s="6027">
        <f t="shared" ref="CY46:DH46" si="119">0+(SUM(CY35:CY45))</f>
        <v>-16214</v>
      </c>
      <c r="CZ46" s="6027">
        <f t="shared" si="119"/>
        <v>-17817</v>
      </c>
      <c r="DA46" s="6027">
        <f t="shared" si="119"/>
        <v>-18097</v>
      </c>
      <c r="DB46" s="6027">
        <f t="shared" si="119"/>
        <v>-17629</v>
      </c>
      <c r="DC46" s="6048">
        <f t="shared" si="119"/>
        <v>-69757</v>
      </c>
      <c r="DD46" s="6027">
        <f>0+(SUM(DD35:DD45))</f>
        <v>-16568</v>
      </c>
      <c r="DE46" s="6027">
        <f>0+(SUM(DE35:DE45))</f>
        <v>-17835</v>
      </c>
      <c r="DF46" s="6027">
        <f>0+(SUM(DF35:DF45))</f>
        <v>-18382</v>
      </c>
      <c r="DG46" s="6027">
        <f t="shared" ref="DG46" si="120">0+(SUM(DG35:DG45))</f>
        <v>-19308</v>
      </c>
      <c r="DH46" s="6048">
        <f t="shared" si="119"/>
        <v>-72093</v>
      </c>
      <c r="DI46" s="6027">
        <f>0+(SUM(DI35:DI45))</f>
        <v>-19714</v>
      </c>
      <c r="DJ46" s="6027">
        <f>0+(SUM(DJ35:DJ45))</f>
        <v>-20889</v>
      </c>
      <c r="DK46" s="6027">
        <f>0+(SUM(DK35:DK45))</f>
        <v>-20094</v>
      </c>
      <c r="DL46" s="6027">
        <f t="shared" ref="DL46" si="121">0+(SUM(DL35:DL45))</f>
        <v>-19036</v>
      </c>
      <c r="DM46" s="6048">
        <f>0+(SUM(DM35:DM45))</f>
        <v>-79733</v>
      </c>
      <c r="DN46" s="6027">
        <f>0+(SUM(DN35:DN45))</f>
        <v>-20201</v>
      </c>
      <c r="DO46" s="6027">
        <f>0+(SUM(DO35:DO45))</f>
        <v>-5832</v>
      </c>
      <c r="DP46" s="6027">
        <f>0+(SUM(DP35:DP45))</f>
        <v>-18383</v>
      </c>
      <c r="DQ46" s="6027">
        <f t="shared" ref="DQ46" si="122">0+(SUM(DQ35:DQ45))</f>
        <v>-18833.78052</v>
      </c>
      <c r="DR46" s="6048">
        <f>0+(SUM(DR35:DR45))</f>
        <v>-63249.78052</v>
      </c>
      <c r="DS46" s="6027">
        <f t="shared" ref="DS46:DV46" si="123">0+(SUM(DS35:DS45))</f>
        <v>-19834.235642079999</v>
      </c>
      <c r="DT46" s="6027">
        <f t="shared" si="123"/>
        <v>-19834.692584648321</v>
      </c>
      <c r="DU46" s="6027">
        <f t="shared" si="123"/>
        <v>-19835.151354986912</v>
      </c>
      <c r="DV46" s="6027">
        <f t="shared" si="123"/>
        <v>-19835.611960406859</v>
      </c>
      <c r="DW46" s="6048">
        <f>0+(SUM(DW35:DW45))</f>
        <v>-79339.691542122091</v>
      </c>
      <c r="DX46" s="6048">
        <f ca="1">0+(SUM(DX35:DX45))</f>
        <v>-92015.955252508284</v>
      </c>
      <c r="DY46" s="6048">
        <f ca="1">0+(SUM(DY35:DY45))</f>
        <v>-91405.540591953148</v>
      </c>
      <c r="DZ46" s="6048">
        <f ca="1">0+(SUM(DZ35:DZ45))</f>
        <v>-94866.355310753715</v>
      </c>
      <c r="EA46" s="6048">
        <f ca="1">0+(SUM(EA35:EA45))</f>
        <v>-98136.934152401664</v>
      </c>
      <c r="EC46" s="4320"/>
      <c r="ED46" s="4320"/>
    </row>
    <row r="47" spans="1:134" s="45" customFormat="1" ht="11.25" customHeight="1">
      <c r="A47" s="1580"/>
      <c r="B47" s="875"/>
      <c r="C47" s="877"/>
      <c r="D47" s="37"/>
      <c r="E47" s="37"/>
      <c r="F47" s="37"/>
      <c r="G47" s="875"/>
      <c r="H47" s="877"/>
      <c r="I47" s="37"/>
      <c r="J47" s="37"/>
      <c r="K47" s="37"/>
      <c r="L47" s="875"/>
      <c r="M47" s="877"/>
      <c r="N47" s="37"/>
      <c r="O47" s="37"/>
      <c r="P47" s="37"/>
      <c r="Q47" s="920"/>
      <c r="R47" s="877"/>
      <c r="S47" s="37"/>
      <c r="T47" s="37"/>
      <c r="U47" s="37"/>
      <c r="V47" s="875"/>
      <c r="W47" s="877"/>
      <c r="X47" s="37"/>
      <c r="Y47" s="37"/>
      <c r="Z47" s="38"/>
      <c r="AA47" s="878"/>
      <c r="AB47" s="904"/>
      <c r="AC47" s="43"/>
      <c r="AD47" s="43"/>
      <c r="AE47" s="40"/>
      <c r="AF47" s="878"/>
      <c r="AG47" s="904"/>
      <c r="AH47" s="43"/>
      <c r="AI47" s="43"/>
      <c r="AJ47" s="40"/>
      <c r="AK47" s="878"/>
      <c r="AL47" s="904"/>
      <c r="AM47" s="43"/>
      <c r="AN47" s="43"/>
      <c r="AO47" s="40"/>
      <c r="AP47" s="878"/>
      <c r="AQ47" s="904"/>
      <c r="AR47" s="43"/>
      <c r="AS47" s="43"/>
      <c r="AT47" s="40"/>
      <c r="AU47" s="878"/>
      <c r="AV47" s="43"/>
      <c r="AW47" s="43"/>
      <c r="AX47" s="43"/>
      <c r="AY47" s="43"/>
      <c r="AZ47" s="505"/>
      <c r="BA47" s="43"/>
      <c r="BB47" s="43"/>
      <c r="BC47" s="43"/>
      <c r="BD47" s="43"/>
      <c r="BE47" s="505"/>
      <c r="BF47" s="43"/>
      <c r="BG47" s="43"/>
      <c r="BH47" s="43"/>
      <c r="BI47" s="43"/>
      <c r="BJ47" s="505"/>
      <c r="BK47" s="590"/>
      <c r="BL47" s="43"/>
      <c r="BM47" s="43"/>
      <c r="BN47" s="568"/>
      <c r="BO47" s="505"/>
      <c r="BP47" s="567"/>
      <c r="BQ47" s="43"/>
      <c r="BR47" s="43"/>
      <c r="BS47" s="43"/>
      <c r="BT47" s="873"/>
      <c r="BU47" s="43"/>
      <c r="BV47" s="43"/>
      <c r="BW47" s="43"/>
      <c r="BX47" s="43"/>
      <c r="BY47" s="873"/>
      <c r="BZ47" s="43"/>
      <c r="CA47" s="43"/>
      <c r="CB47" s="43"/>
      <c r="CC47" s="43"/>
      <c r="CD47" s="873"/>
      <c r="CE47" s="43"/>
      <c r="CF47" s="43"/>
      <c r="CG47" s="43"/>
      <c r="CH47" s="43"/>
      <c r="CI47" s="873"/>
      <c r="CJ47" s="43"/>
      <c r="CK47" s="43"/>
      <c r="CL47" s="43"/>
      <c r="CM47" s="43"/>
      <c r="CN47" s="897"/>
      <c r="CO47" s="537"/>
      <c r="CP47" s="537"/>
      <c r="CQ47" s="537"/>
      <c r="CR47" s="537"/>
      <c r="CS47" s="897"/>
      <c r="CT47" s="537"/>
      <c r="CU47" s="537"/>
      <c r="CV47" s="537"/>
      <c r="CW47" s="537"/>
      <c r="CX47" s="897"/>
      <c r="CY47" s="537"/>
      <c r="CZ47" s="537"/>
      <c r="DA47" s="537"/>
      <c r="DB47" s="537"/>
      <c r="DC47" s="897"/>
      <c r="DD47" s="537"/>
      <c r="DE47" s="537"/>
      <c r="DF47" s="537"/>
      <c r="DG47" s="537"/>
      <c r="DH47" s="897"/>
      <c r="DI47" s="537"/>
      <c r="DJ47" s="537"/>
      <c r="DK47" s="537"/>
      <c r="DL47" s="537"/>
      <c r="DM47" s="897"/>
      <c r="DN47" s="537"/>
      <c r="DO47" s="537"/>
      <c r="DP47" s="537"/>
      <c r="DQ47" s="537"/>
      <c r="DR47" s="897"/>
      <c r="DS47" s="537"/>
      <c r="DT47" s="537"/>
      <c r="DU47" s="537"/>
      <c r="DV47" s="537"/>
      <c r="DW47" s="897"/>
      <c r="DX47" s="897"/>
      <c r="DY47" s="897"/>
      <c r="DZ47" s="897"/>
      <c r="EA47" s="897"/>
      <c r="EC47" s="4320"/>
      <c r="ED47" s="4320"/>
    </row>
    <row r="48" spans="1:134" s="45" customFormat="1" ht="11.25" customHeight="1">
      <c r="A48" s="1580" t="s">
        <v>288</v>
      </c>
      <c r="B48" s="875">
        <v>0</v>
      </c>
      <c r="C48" s="912">
        <v>0</v>
      </c>
      <c r="D48" s="317">
        <f>-C48</f>
        <v>0</v>
      </c>
      <c r="E48" s="317">
        <f>-D48-C48</f>
        <v>0</v>
      </c>
      <c r="F48" s="136">
        <f>G48-E48-D48-C48</f>
        <v>0</v>
      </c>
      <c r="G48" s="913">
        <v>0</v>
      </c>
      <c r="H48" s="877">
        <v>-0.189</v>
      </c>
      <c r="I48" s="37">
        <f>-0.689-H48</f>
        <v>-0.49999999999999994</v>
      </c>
      <c r="J48" s="37">
        <f>-0.104-I48-H48</f>
        <v>0.58499999999999996</v>
      </c>
      <c r="K48" s="77">
        <f>L48-J48-I48-H48</f>
        <v>1.766</v>
      </c>
      <c r="L48" s="875">
        <v>1.6619999999999999</v>
      </c>
      <c r="M48" s="921">
        <v>-2.5529999999999999</v>
      </c>
      <c r="N48" s="37">
        <f>-2.234-M48</f>
        <v>0.31899999999999995</v>
      </c>
      <c r="O48" s="62">
        <f>-3.079-N48-M48</f>
        <v>-0.8450000000000002</v>
      </c>
      <c r="P48" s="77">
        <f>Q48-O48-N48-M48</f>
        <v>10.651</v>
      </c>
      <c r="Q48" s="920">
        <v>7.5720000000000001</v>
      </c>
      <c r="R48" s="925">
        <v>-5.0999999999999996</v>
      </c>
      <c r="S48" s="62">
        <f>-18.276-R48</f>
        <v>-13.176</v>
      </c>
      <c r="T48" s="62">
        <f>-19.129-S48-R48</f>
        <v>-0.85300000000000153</v>
      </c>
      <c r="U48" s="77">
        <f>V48-T48-S48-R48</f>
        <v>-2.6289999999999978</v>
      </c>
      <c r="V48" s="911">
        <v>-21.757999999999999</v>
      </c>
      <c r="W48" s="925">
        <v>1.9219999999999999</v>
      </c>
      <c r="X48" s="62">
        <f>10.661-W48</f>
        <v>8.738999999999999</v>
      </c>
      <c r="Y48" s="62">
        <f>13.694-X48-W48</f>
        <v>3.0330000000000021</v>
      </c>
      <c r="Z48" s="37">
        <f>AA48-Y48-X48-W48</f>
        <v>6.0469999999999997</v>
      </c>
      <c r="AA48" s="916">
        <v>19.741</v>
      </c>
      <c r="AB48" s="929">
        <v>5.6959999999999997</v>
      </c>
      <c r="AC48" s="47">
        <f>7.294-AB48</f>
        <v>1.5979999999999999</v>
      </c>
      <c r="AD48" s="47">
        <f>28.078-AC48-AB48</f>
        <v>20.783999999999999</v>
      </c>
      <c r="AE48" s="43">
        <f>AF48-AD48-AC48-AB48</f>
        <v>11.956000000000001</v>
      </c>
      <c r="AF48" s="916">
        <v>40.033999999999999</v>
      </c>
      <c r="AG48" s="929">
        <v>37.048000000000002</v>
      </c>
      <c r="AH48" s="47">
        <v>-7.3109999999999999</v>
      </c>
      <c r="AI48" s="47">
        <f>-15.616-AH48-AG48</f>
        <v>-45.353000000000002</v>
      </c>
      <c r="AJ48" s="46">
        <v>-30.306999999999999</v>
      </c>
      <c r="AK48" s="916">
        <f>SUM(AG48:AJ48)</f>
        <v>-45.923000000000002</v>
      </c>
      <c r="AL48" s="929">
        <f>-56.169</f>
        <v>-56.168999999999997</v>
      </c>
      <c r="AM48" s="47">
        <v>41.783999999999999</v>
      </c>
      <c r="AN48" s="47">
        <v>31.273</v>
      </c>
      <c r="AO48" s="46">
        <v>-6.3769999999999998</v>
      </c>
      <c r="AP48" s="916">
        <f>SUM(AL48:AO48)</f>
        <v>10.511000000000003</v>
      </c>
      <c r="AQ48" s="930">
        <v>-43</v>
      </c>
      <c r="AR48" s="48">
        <v>-57</v>
      </c>
      <c r="AS48" s="48">
        <v>137</v>
      </c>
      <c r="AT48" s="49">
        <v>-56</v>
      </c>
      <c r="AU48" s="916">
        <f>SUM(AQ48:AT48)</f>
        <v>-19</v>
      </c>
      <c r="AV48" s="48">
        <v>145</v>
      </c>
      <c r="AW48" s="48">
        <v>42</v>
      </c>
      <c r="AX48" s="48">
        <v>-113</v>
      </c>
      <c r="AY48" s="48">
        <v>-52</v>
      </c>
      <c r="AZ48" s="507">
        <f>SUM(AV48:AY48)</f>
        <v>22</v>
      </c>
      <c r="BA48" s="48">
        <v>50</v>
      </c>
      <c r="BB48" s="48">
        <v>-176</v>
      </c>
      <c r="BC48" s="48">
        <v>74</v>
      </c>
      <c r="BD48" s="48">
        <v>55</v>
      </c>
      <c r="BE48" s="674">
        <f>SUM(BA48:BD48)</f>
        <v>3</v>
      </c>
      <c r="BF48" s="469">
        <v>-78</v>
      </c>
      <c r="BG48" s="469">
        <v>-8</v>
      </c>
      <c r="BH48" s="469">
        <v>80</v>
      </c>
      <c r="BI48" s="469">
        <v>3</v>
      </c>
      <c r="BJ48" s="674">
        <f>SUM(BF48:BI48)</f>
        <v>-3</v>
      </c>
      <c r="BK48" s="676">
        <f>-5-161</f>
        <v>-166</v>
      </c>
      <c r="BL48" s="469">
        <v>-4</v>
      </c>
      <c r="BM48" s="469">
        <v>-227</v>
      </c>
      <c r="BN48" s="469">
        <v>-197</v>
      </c>
      <c r="BO48" s="674">
        <f>SUM(BK48:BN48)</f>
        <v>-594</v>
      </c>
      <c r="BP48" s="676">
        <f>-293</f>
        <v>-293</v>
      </c>
      <c r="BQ48" s="469">
        <v>45</v>
      </c>
      <c r="BR48" s="469">
        <f>-104+1</f>
        <v>-103</v>
      </c>
      <c r="BS48" s="469">
        <v>-82</v>
      </c>
      <c r="BT48" s="870">
        <f>SUM(BP48:BS48)</f>
        <v>-433</v>
      </c>
      <c r="BU48" s="825">
        <v>60</v>
      </c>
      <c r="BV48" s="469">
        <v>9</v>
      </c>
      <c r="BW48" s="469">
        <v>68</v>
      </c>
      <c r="BX48" s="469">
        <v>-307</v>
      </c>
      <c r="BY48" s="870">
        <f>SUM(BU48:BX48)</f>
        <v>-170</v>
      </c>
      <c r="BZ48" s="469">
        <v>191</v>
      </c>
      <c r="CA48" s="469">
        <v>88</v>
      </c>
      <c r="CB48" s="469">
        <v>108</v>
      </c>
      <c r="CC48" s="469">
        <v>18</v>
      </c>
      <c r="CD48" s="870">
        <f>SUM(BZ48:CC48)</f>
        <v>405</v>
      </c>
      <c r="CE48" s="469">
        <v>165</v>
      </c>
      <c r="CF48" s="469">
        <v>-331</v>
      </c>
      <c r="CG48" s="469">
        <v>-29</v>
      </c>
      <c r="CH48" s="469">
        <v>-107</v>
      </c>
      <c r="CI48" s="870">
        <f>SUM(CE48:CH48)</f>
        <v>-302</v>
      </c>
      <c r="CJ48" s="469">
        <v>18</v>
      </c>
      <c r="CK48" s="469">
        <v>13</v>
      </c>
      <c r="CL48" s="469">
        <v>-122</v>
      </c>
      <c r="CM48" s="469">
        <v>68</v>
      </c>
      <c r="CN48" s="899">
        <f>SUM(CJ48:CM48)</f>
        <v>-23</v>
      </c>
      <c r="CO48" s="653">
        <v>-272</v>
      </c>
      <c r="CP48" s="653">
        <v>51</v>
      </c>
      <c r="CQ48" s="654">
        <v>35</v>
      </c>
      <c r="CR48" s="653">
        <v>210</v>
      </c>
      <c r="CS48" s="899">
        <f>SUM(CO48:CR48)</f>
        <v>24</v>
      </c>
      <c r="CT48" s="653">
        <v>-143</v>
      </c>
      <c r="CU48" s="653">
        <v>183</v>
      </c>
      <c r="CV48" s="653">
        <v>-146</v>
      </c>
      <c r="CW48" s="653">
        <v>-181</v>
      </c>
      <c r="CX48" s="899">
        <f>SUM(CT48:CW48)</f>
        <v>-287</v>
      </c>
      <c r="CY48" s="653">
        <v>100</v>
      </c>
      <c r="CZ48" s="653">
        <v>-368</v>
      </c>
      <c r="DA48" s="653">
        <v>-375</v>
      </c>
      <c r="DB48" s="653">
        <v>137</v>
      </c>
      <c r="DC48" s="899">
        <f>SUM(CY48:DB48)</f>
        <v>-506</v>
      </c>
      <c r="DD48" s="653">
        <v>50</v>
      </c>
      <c r="DE48" s="653">
        <v>-26</v>
      </c>
      <c r="DF48" s="653">
        <v>-351</v>
      </c>
      <c r="DG48" s="653">
        <v>-94</v>
      </c>
      <c r="DH48" s="899">
        <f>SUM(DD48:DG48)</f>
        <v>-421</v>
      </c>
      <c r="DI48" s="653">
        <v>-125</v>
      </c>
      <c r="DJ48" s="653">
        <v>-238</v>
      </c>
      <c r="DK48" s="653">
        <v>141</v>
      </c>
      <c r="DL48" s="653">
        <v>-390</v>
      </c>
      <c r="DM48" s="899">
        <f>SUM(DI48:DL48)</f>
        <v>-612</v>
      </c>
      <c r="DN48" s="653">
        <v>43</v>
      </c>
      <c r="DO48" s="653">
        <v>401</v>
      </c>
      <c r="DP48" s="653">
        <v>-200</v>
      </c>
      <c r="DQ48" s="670"/>
      <c r="DR48" s="899">
        <f>SUM(DN48:DQ48)</f>
        <v>244</v>
      </c>
      <c r="DS48" s="670"/>
      <c r="DT48" s="670"/>
      <c r="DU48" s="670"/>
      <c r="DV48" s="670"/>
      <c r="DW48" s="899">
        <f>SUM(DS48:DV48)</f>
        <v>0</v>
      </c>
      <c r="DX48" s="5060"/>
      <c r="DY48" s="5060"/>
      <c r="DZ48" s="5060"/>
      <c r="EA48" s="5060"/>
      <c r="EC48" s="4320"/>
      <c r="ED48" s="4320"/>
    </row>
    <row r="49" spans="1:135" s="45" customFormat="1" ht="11.25" customHeight="1">
      <c r="A49" s="1583"/>
      <c r="B49" s="875"/>
      <c r="C49" s="877"/>
      <c r="D49" s="37"/>
      <c r="E49" s="37"/>
      <c r="F49" s="37"/>
      <c r="G49" s="875"/>
      <c r="H49" s="877"/>
      <c r="I49" s="37"/>
      <c r="J49" s="37"/>
      <c r="K49" s="37"/>
      <c r="L49" s="875"/>
      <c r="M49" s="877"/>
      <c r="N49" s="37"/>
      <c r="O49" s="37"/>
      <c r="P49" s="37"/>
      <c r="Q49" s="875"/>
      <c r="R49" s="877"/>
      <c r="S49" s="37"/>
      <c r="T49" s="37"/>
      <c r="U49" s="37"/>
      <c r="V49" s="875"/>
      <c r="W49" s="877"/>
      <c r="X49" s="37"/>
      <c r="Y49" s="37"/>
      <c r="Z49" s="38"/>
      <c r="AA49" s="878"/>
      <c r="AB49" s="904"/>
      <c r="AC49" s="43"/>
      <c r="AD49" s="43"/>
      <c r="AE49" s="40"/>
      <c r="AF49" s="878"/>
      <c r="AG49" s="904"/>
      <c r="AH49" s="43"/>
      <c r="AI49" s="43"/>
      <c r="AJ49" s="40"/>
      <c r="AK49" s="878"/>
      <c r="AL49" s="904"/>
      <c r="AM49" s="43"/>
      <c r="AN49" s="43"/>
      <c r="AO49" s="40"/>
      <c r="AP49" s="878"/>
      <c r="AQ49" s="904"/>
      <c r="AR49" s="43"/>
      <c r="AS49" s="43"/>
      <c r="AT49" s="40"/>
      <c r="AU49" s="878"/>
      <c r="AV49" s="43"/>
      <c r="AW49" s="43"/>
      <c r="AX49" s="43"/>
      <c r="AY49" s="43"/>
      <c r="AZ49" s="505"/>
      <c r="BA49" s="43"/>
      <c r="BB49" s="43"/>
      <c r="BC49" s="43"/>
      <c r="BD49" s="43"/>
      <c r="BE49" s="678"/>
      <c r="BF49" s="679"/>
      <c r="BG49" s="679"/>
      <c r="BH49" s="679"/>
      <c r="BI49" s="679"/>
      <c r="BJ49" s="678"/>
      <c r="BK49" s="680"/>
      <c r="BL49" s="679"/>
      <c r="BM49" s="679"/>
      <c r="BN49" s="681"/>
      <c r="BO49" s="678"/>
      <c r="BP49" s="680"/>
      <c r="BQ49" s="679"/>
      <c r="BR49" s="679"/>
      <c r="BS49" s="679"/>
      <c r="BT49" s="903"/>
      <c r="BU49" s="679"/>
      <c r="BV49" s="679"/>
      <c r="BW49" s="679"/>
      <c r="BX49" s="679"/>
      <c r="BY49" s="903"/>
      <c r="BZ49" s="679"/>
      <c r="CA49" s="679"/>
      <c r="CB49" s="679"/>
      <c r="CC49" s="679"/>
      <c r="CD49" s="903"/>
      <c r="CE49" s="679"/>
      <c r="CF49" s="679"/>
      <c r="CG49" s="679"/>
      <c r="CH49" s="679"/>
      <c r="CI49" s="903"/>
      <c r="CJ49" s="679"/>
      <c r="CK49" s="679"/>
      <c r="CL49" s="679"/>
      <c r="CM49" s="679"/>
      <c r="CN49" s="897"/>
      <c r="CO49" s="537"/>
      <c r="CP49" s="537"/>
      <c r="CQ49" s="537"/>
      <c r="CR49" s="537"/>
      <c r="CS49" s="897"/>
      <c r="CT49" s="537"/>
      <c r="CU49" s="537"/>
      <c r="CV49" s="537"/>
      <c r="CW49" s="537"/>
      <c r="CX49" s="897"/>
      <c r="CY49" s="537"/>
      <c r="CZ49" s="537"/>
      <c r="DA49" s="537"/>
      <c r="DB49" s="537"/>
      <c r="DC49" s="897"/>
      <c r="DD49" s="537"/>
      <c r="DE49" s="537"/>
      <c r="DF49" s="537"/>
      <c r="DG49" s="537"/>
      <c r="DH49" s="897"/>
      <c r="DI49" s="537"/>
      <c r="DJ49" s="537"/>
      <c r="DK49" s="537"/>
      <c r="DL49" s="537"/>
      <c r="DM49" s="897"/>
      <c r="DN49" s="537"/>
      <c r="DO49" s="537"/>
      <c r="DP49" s="537"/>
      <c r="DQ49" s="537"/>
      <c r="DR49" s="897"/>
      <c r="DS49" s="537"/>
      <c r="DT49" s="537"/>
      <c r="DU49" s="537"/>
      <c r="DV49" s="537"/>
      <c r="DW49" s="897"/>
      <c r="DX49" s="897"/>
      <c r="DY49" s="897"/>
      <c r="DZ49" s="897"/>
      <c r="EA49" s="897"/>
      <c r="EC49" s="4320"/>
      <c r="ED49" s="4320"/>
    </row>
    <row r="50" spans="1:135" s="45" customFormat="1" ht="11.25" customHeight="1">
      <c r="A50" s="1583" t="s">
        <v>88</v>
      </c>
      <c r="B50" s="875">
        <f t="shared" ref="B50:AG50" si="124">B19+B32+B46+B48</f>
        <v>-0.44099999999998829</v>
      </c>
      <c r="C50" s="877">
        <f t="shared" si="124"/>
        <v>7.9259999999999939</v>
      </c>
      <c r="D50" s="37">
        <f t="shared" si="124"/>
        <v>16.593000000000011</v>
      </c>
      <c r="E50" s="37">
        <f t="shared" si="124"/>
        <v>30.307000000000006</v>
      </c>
      <c r="F50" s="37">
        <f t="shared" si="124"/>
        <v>-14.751000000000007</v>
      </c>
      <c r="G50" s="875">
        <f t="shared" si="124"/>
        <v>40.074999999999974</v>
      </c>
      <c r="H50" s="877">
        <f t="shared" si="124"/>
        <v>56.89800000000001</v>
      </c>
      <c r="I50" s="37">
        <f t="shared" si="124"/>
        <v>31.426999999999989</v>
      </c>
      <c r="J50" s="37">
        <f t="shared" si="124"/>
        <v>89.339000000000055</v>
      </c>
      <c r="K50" s="37">
        <f t="shared" si="124"/>
        <v>-86.421000000000092</v>
      </c>
      <c r="L50" s="875">
        <f t="shared" si="124"/>
        <v>91.242999999999995</v>
      </c>
      <c r="M50" s="877">
        <f t="shared" si="124"/>
        <v>102.35900000000005</v>
      </c>
      <c r="N50" s="37">
        <f t="shared" si="124"/>
        <v>3.3439999999999275</v>
      </c>
      <c r="O50" s="37">
        <f t="shared" si="124"/>
        <v>89.770999999999759</v>
      </c>
      <c r="P50" s="37">
        <f t="shared" si="124"/>
        <v>82.404000000000096</v>
      </c>
      <c r="Q50" s="875">
        <f t="shared" si="124"/>
        <v>277.8779999999997</v>
      </c>
      <c r="R50" s="877">
        <f t="shared" si="124"/>
        <v>55.69899999999987</v>
      </c>
      <c r="S50" s="37">
        <f t="shared" si="124"/>
        <v>270.90000000000003</v>
      </c>
      <c r="T50" s="37">
        <f t="shared" si="124"/>
        <v>4765.0970000000016</v>
      </c>
      <c r="U50" s="37">
        <f t="shared" si="124"/>
        <v>-1641.3950000000013</v>
      </c>
      <c r="V50" s="875">
        <f t="shared" si="124"/>
        <v>3450.3010000000004</v>
      </c>
      <c r="W50" s="877">
        <f t="shared" si="124"/>
        <v>-941.99499999999989</v>
      </c>
      <c r="X50" s="37">
        <f t="shared" si="124"/>
        <v>1080.7429999999999</v>
      </c>
      <c r="Y50" s="37">
        <f t="shared" si="124"/>
        <v>-977.58100000000229</v>
      </c>
      <c r="Z50" s="37">
        <f t="shared" si="124"/>
        <v>506.33000000000095</v>
      </c>
      <c r="AA50" s="878">
        <f t="shared" si="124"/>
        <v>-332.50299999999697</v>
      </c>
      <c r="AB50" s="904">
        <f t="shared" si="124"/>
        <v>536.6659999999996</v>
      </c>
      <c r="AC50" s="43">
        <f t="shared" si="124"/>
        <v>412.30700000000041</v>
      </c>
      <c r="AD50" s="42">
        <f t="shared" si="124"/>
        <v>612.75199999999734</v>
      </c>
      <c r="AE50" s="43">
        <f t="shared" si="124"/>
        <v>975.1970000000025</v>
      </c>
      <c r="AF50" s="878">
        <f t="shared" si="124"/>
        <v>2536.9219999999987</v>
      </c>
      <c r="AG50" s="904">
        <f t="shared" si="124"/>
        <v>438.15500000000003</v>
      </c>
      <c r="AH50" s="43">
        <f t="shared" ref="AH50:BI50" si="125">AH19+AH32+AH46+AH48</f>
        <v>843.78700000000094</v>
      </c>
      <c r="AI50" s="43">
        <f t="shared" si="125"/>
        <v>1006.9329999999994</v>
      </c>
      <c r="AJ50" s="43">
        <f t="shared" si="125"/>
        <v>286.20300000000043</v>
      </c>
      <c r="AK50" s="878">
        <f t="shared" si="125"/>
        <v>2575.0780000000022</v>
      </c>
      <c r="AL50" s="904">
        <f t="shared" si="125"/>
        <v>1769.6189999999992</v>
      </c>
      <c r="AM50" s="43">
        <f t="shared" si="125"/>
        <v>1485.0600000000004</v>
      </c>
      <c r="AN50" s="43">
        <f t="shared" si="125"/>
        <v>175.76400000000061</v>
      </c>
      <c r="AO50" s="43">
        <f t="shared" si="125"/>
        <v>-1889.5270000000012</v>
      </c>
      <c r="AP50" s="878">
        <f t="shared" si="125"/>
        <v>1540.9159999999986</v>
      </c>
      <c r="AQ50" s="904">
        <f t="shared" si="125"/>
        <v>-1006</v>
      </c>
      <c r="AR50" s="43">
        <f t="shared" si="125"/>
        <v>1521</v>
      </c>
      <c r="AS50" s="43">
        <f t="shared" si="125"/>
        <v>544</v>
      </c>
      <c r="AT50" s="43">
        <f t="shared" si="125"/>
        <v>2373</v>
      </c>
      <c r="AU50" s="878">
        <f t="shared" si="125"/>
        <v>3432</v>
      </c>
      <c r="AV50" s="43">
        <f t="shared" si="125"/>
        <v>-1215</v>
      </c>
      <c r="AW50" s="43">
        <f t="shared" si="125"/>
        <v>-2095</v>
      </c>
      <c r="AX50" s="43">
        <f t="shared" si="125"/>
        <v>310</v>
      </c>
      <c r="AY50" s="43">
        <f t="shared" si="125"/>
        <v>-647</v>
      </c>
      <c r="AZ50" s="505">
        <f t="shared" si="125"/>
        <v>-3647</v>
      </c>
      <c r="BA50" s="43">
        <f t="shared" si="125"/>
        <v>13125</v>
      </c>
      <c r="BB50" s="43">
        <f t="shared" si="125"/>
        <v>-7544</v>
      </c>
      <c r="BC50" s="43">
        <f t="shared" si="125"/>
        <v>1276</v>
      </c>
      <c r="BD50" s="43">
        <f t="shared" si="125"/>
        <v>-1463</v>
      </c>
      <c r="BE50" s="678">
        <f t="shared" si="125"/>
        <v>5394</v>
      </c>
      <c r="BF50" s="679">
        <f t="shared" si="125"/>
        <v>597</v>
      </c>
      <c r="BG50" s="679">
        <f t="shared" si="125"/>
        <v>789</v>
      </c>
      <c r="BH50" s="679">
        <f t="shared" si="125"/>
        <v>-952</v>
      </c>
      <c r="BI50" s="679">
        <f t="shared" si="125"/>
        <v>3656</v>
      </c>
      <c r="BJ50" s="678">
        <f>SUM(BF50:BI50)</f>
        <v>4090</v>
      </c>
      <c r="BK50" s="682">
        <f>BK19+BK32+BK46+BK48</f>
        <v>-2341.3440000000001</v>
      </c>
      <c r="BL50" s="682">
        <f>BL19+BL32+BL46+BL48</f>
        <v>2911.2503999999999</v>
      </c>
      <c r="BM50" s="679">
        <f>BM19+BM32+BM46+BM48</f>
        <v>-4089.3940000000002</v>
      </c>
      <c r="BN50" s="679">
        <f>BN19+BN32+BN46+BN48</f>
        <v>2499.6130000000003</v>
      </c>
      <c r="BO50" s="678">
        <f>SUM(BK50:BN50)</f>
        <v>-1019.8746000000001</v>
      </c>
      <c r="BP50" s="679">
        <f t="shared" ref="BP50:BX50" si="126">BP19+BP32+BP46+BP48</f>
        <v>-1442.7667999999994</v>
      </c>
      <c r="BQ50" s="682">
        <f t="shared" si="126"/>
        <v>1548</v>
      </c>
      <c r="BR50" s="679">
        <f t="shared" si="126"/>
        <v>-384</v>
      </c>
      <c r="BS50" s="679">
        <f t="shared" si="126"/>
        <v>-1519</v>
      </c>
      <c r="BT50" s="903">
        <f t="shared" si="126"/>
        <v>-1797.7667999999976</v>
      </c>
      <c r="BU50" s="679">
        <f t="shared" si="126"/>
        <v>-1438</v>
      </c>
      <c r="BV50" s="682">
        <f t="shared" si="126"/>
        <v>-1484</v>
      </c>
      <c r="BW50" s="679">
        <f t="shared" si="126"/>
        <v>-4221</v>
      </c>
      <c r="BX50" s="679">
        <f t="shared" si="126"/>
        <v>3512</v>
      </c>
      <c r="BY50" s="903">
        <f>SUM(BU50:BX50)</f>
        <v>-3631</v>
      </c>
      <c r="BZ50" s="679">
        <f t="shared" ref="BZ50:CX50" si="127">BZ19+BZ32+BZ46+BZ48</f>
        <v>5214</v>
      </c>
      <c r="CA50" s="679">
        <f t="shared" si="127"/>
        <v>-2421</v>
      </c>
      <c r="CB50" s="679">
        <f t="shared" si="127"/>
        <v>-5130</v>
      </c>
      <c r="CC50" s="679">
        <f t="shared" si="127"/>
        <v>134</v>
      </c>
      <c r="CD50" s="903">
        <f t="shared" si="127"/>
        <v>-2203</v>
      </c>
      <c r="CE50" s="679">
        <f t="shared" si="127"/>
        <v>1943</v>
      </c>
      <c r="CF50" s="679">
        <f t="shared" si="127"/>
        <v>1490</v>
      </c>
      <c r="CG50" s="679">
        <f t="shared" si="127"/>
        <v>-705</v>
      </c>
      <c r="CH50" s="679">
        <f t="shared" si="127"/>
        <v>3258</v>
      </c>
      <c r="CI50" s="903">
        <f t="shared" si="127"/>
        <v>5986</v>
      </c>
      <c r="CJ50" s="679">
        <f t="shared" si="127"/>
        <v>2447</v>
      </c>
      <c r="CK50" s="679">
        <f t="shared" si="127"/>
        <v>-2561</v>
      </c>
      <c r="CL50" s="679">
        <f t="shared" si="127"/>
        <v>-555</v>
      </c>
      <c r="CM50" s="679">
        <f t="shared" si="127"/>
        <v>2466</v>
      </c>
      <c r="CN50" s="897">
        <f t="shared" si="127"/>
        <v>1797</v>
      </c>
      <c r="CO50" s="537">
        <f t="shared" si="127"/>
        <v>1146</v>
      </c>
      <c r="CP50" s="537">
        <f t="shared" si="127"/>
        <v>-1902</v>
      </c>
      <c r="CQ50" s="537">
        <f t="shared" si="127"/>
        <v>2387</v>
      </c>
      <c r="CR50" s="537">
        <f t="shared" si="127"/>
        <v>6336</v>
      </c>
      <c r="CS50" s="897">
        <f t="shared" si="127"/>
        <v>7967</v>
      </c>
      <c r="CT50" s="537">
        <f t="shared" si="127"/>
        <v>157</v>
      </c>
      <c r="CU50" s="537">
        <f t="shared" si="127"/>
        <v>-2992</v>
      </c>
      <c r="CV50" s="537">
        <f t="shared" si="127"/>
        <v>89</v>
      </c>
      <c r="CW50" s="537">
        <f t="shared" si="127"/>
        <v>-2774</v>
      </c>
      <c r="CX50" s="897">
        <f t="shared" si="127"/>
        <v>-5520</v>
      </c>
      <c r="CY50" s="537">
        <f t="shared" ref="CY50:DH50" si="128">CY19+CY32+CY46+CY48</f>
        <v>-59</v>
      </c>
      <c r="CZ50" s="537">
        <f t="shared" si="128"/>
        <v>-2950</v>
      </c>
      <c r="DA50" s="537">
        <f t="shared" si="128"/>
        <v>4048</v>
      </c>
      <c r="DB50" s="537">
        <f t="shared" si="128"/>
        <v>-105</v>
      </c>
      <c r="DC50" s="897">
        <f t="shared" si="128"/>
        <v>934</v>
      </c>
      <c r="DD50" s="537">
        <f>DD19+DD32+DD46+DD48</f>
        <v>4045</v>
      </c>
      <c r="DE50" s="537">
        <f>DE19+DE32+DE46+DE48</f>
        <v>5</v>
      </c>
      <c r="DF50" s="537">
        <f>DF19+DF32+DF46+DF48</f>
        <v>4773</v>
      </c>
      <c r="DG50" s="537">
        <f t="shared" ref="DG50" si="129">DG19+DG32+DG46+DG48</f>
        <v>-6654</v>
      </c>
      <c r="DH50" s="897">
        <f t="shared" si="128"/>
        <v>2169</v>
      </c>
      <c r="DI50" s="537">
        <f>DI19+DI32+DI46+DI48</f>
        <v>445</v>
      </c>
      <c r="DJ50" s="537">
        <f>DJ19+DJ32+DJ46+DJ48</f>
        <v>2732</v>
      </c>
      <c r="DK50" s="537">
        <f>DK19+DK32+DK46+DK48</f>
        <v>-7266</v>
      </c>
      <c r="DL50" s="537">
        <f t="shared" ref="DL50" si="130">DL19+DL32+DL46+DL48</f>
        <v>3507</v>
      </c>
      <c r="DM50" s="897">
        <f>DM19+DM32+DM46+DM48</f>
        <v>-582</v>
      </c>
      <c r="DN50" s="537">
        <f>DN19+DN32+DN46+DN48</f>
        <v>-202</v>
      </c>
      <c r="DO50" s="537">
        <f>DO19+DO32+DO46+DO48</f>
        <v>-2228</v>
      </c>
      <c r="DP50" s="537">
        <f>DP19+DP32+DP46+DP48</f>
        <v>2054</v>
      </c>
      <c r="DQ50" s="537">
        <f t="shared" ref="DQ50" ca="1" si="131">DQ19+DQ32+DQ46+DQ48</f>
        <v>-147.51731772522544</v>
      </c>
      <c r="DR50" s="897">
        <f ca="1">DR19+DR32+DR46+DR48</f>
        <v>-523.51731772522908</v>
      </c>
      <c r="DS50" s="537">
        <f t="shared" ref="DS50:DV50" ca="1" si="132">DS19+DS32+DS46+DS48</f>
        <v>-2248.3266512438386</v>
      </c>
      <c r="DT50" s="537">
        <f t="shared" ca="1" si="132"/>
        <v>2385.5834922034337</v>
      </c>
      <c r="DU50" s="537">
        <f t="shared" ca="1" si="132"/>
        <v>821.55162980516616</v>
      </c>
      <c r="DV50" s="537">
        <f t="shared" ca="1" si="132"/>
        <v>1244.9245039124289</v>
      </c>
      <c r="DW50" s="897">
        <f ca="1">DW19+DW32+DW46+DW48</f>
        <v>2203.7329746771575</v>
      </c>
      <c r="DX50" s="897">
        <f ca="1">DX19+DX32+DX46+DX48</f>
        <v>-5553.4103652367485</v>
      </c>
      <c r="DY50" s="897">
        <f ca="1">DY19+DY32+DY46+DY48</f>
        <v>-423.33404561830685</v>
      </c>
      <c r="DZ50" s="897">
        <f ca="1">DZ19+DZ32+DZ46+DZ48</f>
        <v>12294.262735791068</v>
      </c>
      <c r="EA50" s="897">
        <f ca="1">EA19+EA32+EA46+EA48</f>
        <v>29284.77123392967</v>
      </c>
      <c r="EC50" s="4320"/>
      <c r="ED50" s="4320"/>
    </row>
    <row r="51" spans="1:135" s="45" customFormat="1" ht="11.25" customHeight="1">
      <c r="A51" s="1580" t="s">
        <v>89</v>
      </c>
      <c r="B51" s="943">
        <v>18.117999999999999</v>
      </c>
      <c r="C51" s="942">
        <f>B52</f>
        <v>17.67700000000001</v>
      </c>
      <c r="D51" s="37">
        <f>C52</f>
        <v>25.603000000000005</v>
      </c>
      <c r="E51" s="37">
        <f>D52</f>
        <v>42.196000000000012</v>
      </c>
      <c r="F51" s="37">
        <f>E52</f>
        <v>72.503000000000014</v>
      </c>
      <c r="G51" s="943">
        <f>C51</f>
        <v>17.67700000000001</v>
      </c>
      <c r="H51" s="942">
        <f>G52</f>
        <v>57.751999999999981</v>
      </c>
      <c r="I51" s="37">
        <f>H52</f>
        <v>114.64999999999999</v>
      </c>
      <c r="J51" s="37">
        <f>I52</f>
        <v>146.07699999999997</v>
      </c>
      <c r="K51" s="37">
        <f>J52</f>
        <v>235.41600000000003</v>
      </c>
      <c r="L51" s="875">
        <f>+G52</f>
        <v>57.751999999999981</v>
      </c>
      <c r="M51" s="877">
        <f>K52</f>
        <v>148.99499999999995</v>
      </c>
      <c r="N51" s="37">
        <f>M52</f>
        <v>251.35399999999998</v>
      </c>
      <c r="O51" s="37">
        <f>N52</f>
        <v>254.69799999999992</v>
      </c>
      <c r="P51" s="37">
        <f>O52</f>
        <v>344.46899999999971</v>
      </c>
      <c r="Q51" s="875">
        <f>M51</f>
        <v>148.99499999999995</v>
      </c>
      <c r="R51" s="877">
        <f>P52</f>
        <v>426.87299999999982</v>
      </c>
      <c r="S51" s="37">
        <f>R52</f>
        <v>482.57199999999966</v>
      </c>
      <c r="T51" s="37">
        <f>S52</f>
        <v>753.47199999999975</v>
      </c>
      <c r="U51" s="37">
        <f>T52</f>
        <v>5518.5690000000013</v>
      </c>
      <c r="V51" s="875">
        <f>+Q52</f>
        <v>426.87299999999965</v>
      </c>
      <c r="W51" s="877">
        <f>V52</f>
        <v>3877.174</v>
      </c>
      <c r="X51" s="37">
        <f>W52</f>
        <v>2935.1790000000001</v>
      </c>
      <c r="Y51" s="37">
        <f>X52</f>
        <v>4015.922</v>
      </c>
      <c r="Z51" s="37">
        <f>Y52</f>
        <v>3038.3409999999976</v>
      </c>
      <c r="AA51" s="878">
        <f>+V52</f>
        <v>3877.174</v>
      </c>
      <c r="AB51" s="904">
        <f>AA52</f>
        <v>3544.671000000003</v>
      </c>
      <c r="AC51" s="43">
        <f>AB52</f>
        <v>4081.3370000000027</v>
      </c>
      <c r="AD51" s="42">
        <f>AC52</f>
        <v>4493.644000000003</v>
      </c>
      <c r="AE51" s="43">
        <f>AD52</f>
        <v>5106.3960000000006</v>
      </c>
      <c r="AF51" s="878">
        <f>+AA52</f>
        <v>3544.671000000003</v>
      </c>
      <c r="AG51" s="904">
        <f>AF52</f>
        <v>6081.5930000000017</v>
      </c>
      <c r="AH51" s="43">
        <f>AG52</f>
        <v>6519.7480000000014</v>
      </c>
      <c r="AI51" s="42">
        <f>AH52</f>
        <v>7363.5350000000026</v>
      </c>
      <c r="AJ51" s="43">
        <f>AI52</f>
        <v>8370.4680000000026</v>
      </c>
      <c r="AK51" s="878">
        <f>AF52</f>
        <v>6081.5930000000017</v>
      </c>
      <c r="AL51" s="904">
        <f>AK52</f>
        <v>8656.6710000000039</v>
      </c>
      <c r="AM51" s="43">
        <f>AL52</f>
        <v>10426.290000000003</v>
      </c>
      <c r="AN51" s="42">
        <f>AM52</f>
        <v>11911.350000000002</v>
      </c>
      <c r="AO51" s="43">
        <f>AN52</f>
        <v>12087.114000000003</v>
      </c>
      <c r="AP51" s="878">
        <f>AK52</f>
        <v>8656.6710000000039</v>
      </c>
      <c r="AQ51" s="879">
        <f>AP52</f>
        <v>10197.587000000003</v>
      </c>
      <c r="AR51" s="43">
        <f>AQ52</f>
        <v>9191.5870000000032</v>
      </c>
      <c r="AS51" s="42">
        <f>AR52</f>
        <v>10712.587000000003</v>
      </c>
      <c r="AT51" s="43">
        <f>AS52</f>
        <v>11256.587000000003</v>
      </c>
      <c r="AU51" s="878">
        <f>AP52</f>
        <v>10197.587000000003</v>
      </c>
      <c r="AV51" s="42">
        <f>AU52</f>
        <v>13629.587000000003</v>
      </c>
      <c r="AW51" s="42">
        <f>AV52</f>
        <v>12414.587000000003</v>
      </c>
      <c r="AX51" s="42">
        <f>AW52</f>
        <v>10319.587000000003</v>
      </c>
      <c r="AY51" s="43">
        <f>AX52</f>
        <v>10629.587000000003</v>
      </c>
      <c r="AZ51" s="505">
        <f>AU52</f>
        <v>13629.587000000003</v>
      </c>
      <c r="BA51" s="43">
        <f>AZ52</f>
        <v>9982.5870000000032</v>
      </c>
      <c r="BB51" s="43">
        <f>BA52</f>
        <v>23107.587000000003</v>
      </c>
      <c r="BC51" s="43">
        <f>BB52</f>
        <v>15563.587000000003</v>
      </c>
      <c r="BD51" s="43">
        <f>BC52</f>
        <v>16839.587000000003</v>
      </c>
      <c r="BE51" s="678">
        <f>AZ52</f>
        <v>9982.5870000000032</v>
      </c>
      <c r="BF51" s="679">
        <f>BE52</f>
        <v>15376.587000000003</v>
      </c>
      <c r="BG51" s="679">
        <f>BF52</f>
        <v>15973.587000000003</v>
      </c>
      <c r="BH51" s="683">
        <v>16164</v>
      </c>
      <c r="BI51" s="679">
        <f>BH52</f>
        <v>15212</v>
      </c>
      <c r="BJ51" s="678">
        <f>BE52</f>
        <v>15376.587000000003</v>
      </c>
      <c r="BK51" s="684">
        <f>BI52</f>
        <v>18868</v>
      </c>
      <c r="BL51" s="682">
        <f>BK52</f>
        <v>16526.655999999999</v>
      </c>
      <c r="BM51" s="679">
        <f>BL52</f>
        <v>19437.9064</v>
      </c>
      <c r="BN51" s="681">
        <f>BM52+173</f>
        <v>15521.5124</v>
      </c>
      <c r="BO51" s="678">
        <f>BJ52</f>
        <v>19466.587000000003</v>
      </c>
      <c r="BP51" s="727">
        <v>18347</v>
      </c>
      <c r="BQ51" s="682">
        <f>BP52</f>
        <v>16904.233200000002</v>
      </c>
      <c r="BR51" s="682">
        <f>BQ52</f>
        <v>18452.233200000002</v>
      </c>
      <c r="BS51" s="679">
        <f>+BR52</f>
        <v>18068.233200000002</v>
      </c>
      <c r="BT51" s="903">
        <f>BP51</f>
        <v>18347</v>
      </c>
      <c r="BU51" s="682">
        <f>BT52</f>
        <v>16549.233200000002</v>
      </c>
      <c r="BV51" s="682">
        <f>BU52</f>
        <v>15111.233200000002</v>
      </c>
      <c r="BW51" s="682">
        <f>BV52</f>
        <v>13627.233200000002</v>
      </c>
      <c r="BX51" s="682">
        <f>BW52</f>
        <v>9406.2332000000024</v>
      </c>
      <c r="BY51" s="903">
        <f>BT52</f>
        <v>16549.233200000002</v>
      </c>
      <c r="BZ51" s="682">
        <f>BY52</f>
        <v>12918.233200000002</v>
      </c>
      <c r="CA51" s="682">
        <f>BZ52</f>
        <v>18132.233200000002</v>
      </c>
      <c r="CB51" s="682">
        <f>CA52</f>
        <v>15711.233200000002</v>
      </c>
      <c r="CC51" s="682">
        <f>CB52</f>
        <v>10581.233200000002</v>
      </c>
      <c r="CD51" s="903">
        <f>BY52</f>
        <v>12918.233200000002</v>
      </c>
      <c r="CE51" s="682">
        <f>CD52</f>
        <v>10715.233200000002</v>
      </c>
      <c r="CF51" s="682">
        <f>CE52</f>
        <v>12658.233200000002</v>
      </c>
      <c r="CG51" s="682">
        <f>CF52</f>
        <v>14148.233200000002</v>
      </c>
      <c r="CH51" s="682">
        <f>CG52</f>
        <v>13443.233200000002</v>
      </c>
      <c r="CI51" s="903">
        <f>CD52</f>
        <v>10715.233200000002</v>
      </c>
      <c r="CJ51" s="695">
        <f>BS!CH8</f>
        <v>16701</v>
      </c>
      <c r="CK51" s="682">
        <f>CJ52</f>
        <v>19148</v>
      </c>
      <c r="CL51" s="682">
        <f>CK52</f>
        <v>16587</v>
      </c>
      <c r="CM51" s="682">
        <f>CL52</f>
        <v>16032</v>
      </c>
      <c r="CN51" s="897">
        <f>CJ51</f>
        <v>16701</v>
      </c>
      <c r="CO51" s="226">
        <f>CN52</f>
        <v>18498</v>
      </c>
      <c r="CP51" s="226">
        <f>CO52</f>
        <v>19644</v>
      </c>
      <c r="CQ51" s="226">
        <f>CP52</f>
        <v>17742</v>
      </c>
      <c r="CR51" s="226">
        <f>CQ52</f>
        <v>20129</v>
      </c>
      <c r="CS51" s="897">
        <f>CN52</f>
        <v>18498</v>
      </c>
      <c r="CT51" s="226">
        <f>CS52</f>
        <v>26465</v>
      </c>
      <c r="CU51" s="226">
        <f>CT52</f>
        <v>26622</v>
      </c>
      <c r="CV51" s="226">
        <f>CU52</f>
        <v>23630</v>
      </c>
      <c r="CW51" s="226">
        <f>CV52</f>
        <v>23719</v>
      </c>
      <c r="CX51" s="897">
        <f>CS52</f>
        <v>26465</v>
      </c>
      <c r="CY51" s="226">
        <f>CX52</f>
        <v>20945</v>
      </c>
      <c r="CZ51" s="226">
        <f>CY52</f>
        <v>20886</v>
      </c>
      <c r="DA51" s="226">
        <f>CZ52</f>
        <v>17936</v>
      </c>
      <c r="DB51" s="226">
        <f>DA52</f>
        <v>21984</v>
      </c>
      <c r="DC51" s="897">
        <f>CX52</f>
        <v>20945</v>
      </c>
      <c r="DD51" s="226">
        <f>DC52</f>
        <v>21879</v>
      </c>
      <c r="DE51" s="226">
        <f>DD52</f>
        <v>25924</v>
      </c>
      <c r="DF51" s="226">
        <f>DE52</f>
        <v>25929</v>
      </c>
      <c r="DG51" s="226">
        <f>DF52</f>
        <v>30702</v>
      </c>
      <c r="DH51" s="897">
        <f>DC52</f>
        <v>21879</v>
      </c>
      <c r="DI51" s="226">
        <f>DH52</f>
        <v>24048</v>
      </c>
      <c r="DJ51" s="226">
        <f>DI52</f>
        <v>24493</v>
      </c>
      <c r="DK51" s="226">
        <f>DJ52</f>
        <v>27225</v>
      </c>
      <c r="DL51" s="226">
        <f>DK52</f>
        <v>19959</v>
      </c>
      <c r="DM51" s="897">
        <f>DH52</f>
        <v>24048</v>
      </c>
      <c r="DN51" s="226">
        <f>DM52</f>
        <v>23466</v>
      </c>
      <c r="DO51" s="226">
        <f>DN52</f>
        <v>23264</v>
      </c>
      <c r="DP51" s="226">
        <f>DO52</f>
        <v>21036</v>
      </c>
      <c r="DQ51" s="226">
        <f t="shared" ref="DQ51" si="133">DP52</f>
        <v>23090</v>
      </c>
      <c r="DR51" s="897">
        <f>DM52</f>
        <v>23466</v>
      </c>
      <c r="DS51" s="226">
        <f t="shared" ref="DS51" ca="1" si="134">DR52</f>
        <v>22942.482682274771</v>
      </c>
      <c r="DT51" s="226">
        <f t="shared" ref="DT51" ca="1" si="135">DS52</f>
        <v>20694.156031030932</v>
      </c>
      <c r="DU51" s="226">
        <f t="shared" ref="DU51" ca="1" si="136">DT52</f>
        <v>23079.739523234366</v>
      </c>
      <c r="DV51" s="226">
        <f t="shared" ref="DV51" ca="1" si="137">DU52</f>
        <v>23901.291153039532</v>
      </c>
      <c r="DW51" s="897">
        <f ca="1">DR52</f>
        <v>22942.482682274771</v>
      </c>
      <c r="DX51" s="897">
        <f ca="1">DW52</f>
        <v>25146.215656951928</v>
      </c>
      <c r="DY51" s="897">
        <f ca="1">DX52</f>
        <v>19592.80529171518</v>
      </c>
      <c r="DZ51" s="897">
        <f ca="1">DY52</f>
        <v>19169.471246096873</v>
      </c>
      <c r="EA51" s="897">
        <f ca="1">DZ52</f>
        <v>31463.733981887941</v>
      </c>
      <c r="EC51" s="4320"/>
      <c r="ED51" s="4320"/>
    </row>
    <row r="52" spans="1:135" s="45" customFormat="1" ht="11.25" customHeight="1">
      <c r="A52" s="3101" t="s">
        <v>90</v>
      </c>
      <c r="B52" s="3102">
        <f t="shared" ref="B52:H52" si="138">SUM(B50:B51)</f>
        <v>17.67700000000001</v>
      </c>
      <c r="C52" s="3103">
        <f t="shared" si="138"/>
        <v>25.603000000000005</v>
      </c>
      <c r="D52" s="3104">
        <f t="shared" si="138"/>
        <v>42.196000000000012</v>
      </c>
      <c r="E52" s="3104">
        <f t="shared" si="138"/>
        <v>72.503000000000014</v>
      </c>
      <c r="F52" s="3104">
        <f t="shared" si="138"/>
        <v>57.75200000000001</v>
      </c>
      <c r="G52" s="3102">
        <f t="shared" si="138"/>
        <v>57.751999999999981</v>
      </c>
      <c r="H52" s="3103">
        <f t="shared" si="138"/>
        <v>114.64999999999999</v>
      </c>
      <c r="I52" s="3104">
        <f t="shared" ref="I52:AL52" si="139">SUM(I50:I51)</f>
        <v>146.07699999999997</v>
      </c>
      <c r="J52" s="3104">
        <f t="shared" si="139"/>
        <v>235.41600000000003</v>
      </c>
      <c r="K52" s="3104">
        <f t="shared" si="139"/>
        <v>148.99499999999995</v>
      </c>
      <c r="L52" s="3102">
        <f t="shared" si="139"/>
        <v>148.99499999999998</v>
      </c>
      <c r="M52" s="3103">
        <f t="shared" si="139"/>
        <v>251.35399999999998</v>
      </c>
      <c r="N52" s="3104">
        <f t="shared" si="139"/>
        <v>254.69799999999992</v>
      </c>
      <c r="O52" s="3104">
        <f t="shared" si="139"/>
        <v>344.46899999999971</v>
      </c>
      <c r="P52" s="3104">
        <f t="shared" si="139"/>
        <v>426.87299999999982</v>
      </c>
      <c r="Q52" s="3102">
        <f t="shared" si="139"/>
        <v>426.87299999999965</v>
      </c>
      <c r="R52" s="3103">
        <f t="shared" si="139"/>
        <v>482.57199999999966</v>
      </c>
      <c r="S52" s="3104">
        <f t="shared" si="139"/>
        <v>753.47199999999975</v>
      </c>
      <c r="T52" s="3104">
        <f t="shared" si="139"/>
        <v>5518.5690000000013</v>
      </c>
      <c r="U52" s="3104">
        <f t="shared" si="139"/>
        <v>3877.174</v>
      </c>
      <c r="V52" s="3102">
        <f t="shared" si="139"/>
        <v>3877.174</v>
      </c>
      <c r="W52" s="3103">
        <f t="shared" si="139"/>
        <v>2935.1790000000001</v>
      </c>
      <c r="X52" s="3104">
        <f t="shared" si="139"/>
        <v>4015.922</v>
      </c>
      <c r="Y52" s="3104">
        <f t="shared" si="139"/>
        <v>3038.3409999999976</v>
      </c>
      <c r="Z52" s="3104">
        <f t="shared" si="139"/>
        <v>3544.6709999999985</v>
      </c>
      <c r="AA52" s="3105">
        <f t="shared" si="139"/>
        <v>3544.671000000003</v>
      </c>
      <c r="AB52" s="3106">
        <f t="shared" si="139"/>
        <v>4081.3370000000027</v>
      </c>
      <c r="AC52" s="3107">
        <f t="shared" si="139"/>
        <v>4493.644000000003</v>
      </c>
      <c r="AD52" s="3107">
        <f t="shared" si="139"/>
        <v>5106.3960000000006</v>
      </c>
      <c r="AE52" s="3107">
        <f t="shared" si="139"/>
        <v>6081.5930000000035</v>
      </c>
      <c r="AF52" s="3105">
        <f t="shared" si="139"/>
        <v>6081.5930000000017</v>
      </c>
      <c r="AG52" s="3106">
        <f t="shared" si="139"/>
        <v>6519.7480000000014</v>
      </c>
      <c r="AH52" s="3107">
        <f t="shared" si="139"/>
        <v>7363.5350000000026</v>
      </c>
      <c r="AI52" s="3107">
        <f t="shared" si="139"/>
        <v>8370.4680000000026</v>
      </c>
      <c r="AJ52" s="3107">
        <f t="shared" si="139"/>
        <v>8656.6710000000021</v>
      </c>
      <c r="AK52" s="3105">
        <f t="shared" si="139"/>
        <v>8656.6710000000039</v>
      </c>
      <c r="AL52" s="3106">
        <f t="shared" si="139"/>
        <v>10426.290000000003</v>
      </c>
      <c r="AM52" s="3107">
        <f t="shared" ref="AM52:BT52" si="140">SUM(AM50:AM51)</f>
        <v>11911.350000000002</v>
      </c>
      <c r="AN52" s="3107">
        <f t="shared" si="140"/>
        <v>12087.114000000003</v>
      </c>
      <c r="AO52" s="3107">
        <f t="shared" si="140"/>
        <v>10197.587000000001</v>
      </c>
      <c r="AP52" s="3105">
        <f t="shared" si="140"/>
        <v>10197.587000000003</v>
      </c>
      <c r="AQ52" s="3106">
        <f t="shared" si="140"/>
        <v>9191.5870000000032</v>
      </c>
      <c r="AR52" s="3107">
        <f t="shared" si="140"/>
        <v>10712.587000000003</v>
      </c>
      <c r="AS52" s="3107">
        <f t="shared" si="140"/>
        <v>11256.587000000003</v>
      </c>
      <c r="AT52" s="3107">
        <f t="shared" si="140"/>
        <v>13629.587000000003</v>
      </c>
      <c r="AU52" s="3105">
        <f t="shared" si="140"/>
        <v>13629.587000000003</v>
      </c>
      <c r="AV52" s="3107">
        <f t="shared" si="140"/>
        <v>12414.587000000003</v>
      </c>
      <c r="AW52" s="3107">
        <f t="shared" si="140"/>
        <v>10319.587000000003</v>
      </c>
      <c r="AX52" s="3107">
        <f t="shared" si="140"/>
        <v>10629.587000000003</v>
      </c>
      <c r="AY52" s="3107">
        <f>SUM(AY50:AY51)</f>
        <v>9982.5870000000032</v>
      </c>
      <c r="AZ52" s="3108">
        <f t="shared" si="140"/>
        <v>9982.5870000000032</v>
      </c>
      <c r="BA52" s="3107">
        <f>SUM(BA50:BA51)</f>
        <v>23107.587000000003</v>
      </c>
      <c r="BB52" s="3107">
        <f>SUM(BB50:BB51)</f>
        <v>15563.587000000003</v>
      </c>
      <c r="BC52" s="3107">
        <f>SUM(BC50:BC51)</f>
        <v>16839.587000000003</v>
      </c>
      <c r="BD52" s="3107">
        <f>SUM(BD50:BD51)</f>
        <v>15376.587000000003</v>
      </c>
      <c r="BE52" s="3109">
        <f t="shared" si="140"/>
        <v>15376.587000000003</v>
      </c>
      <c r="BF52" s="3110">
        <f t="shared" si="140"/>
        <v>15973.587000000003</v>
      </c>
      <c r="BG52" s="3110">
        <f t="shared" si="140"/>
        <v>16762.587000000003</v>
      </c>
      <c r="BH52" s="3110">
        <f t="shared" si="140"/>
        <v>15212</v>
      </c>
      <c r="BI52" s="3110">
        <f t="shared" si="140"/>
        <v>18868</v>
      </c>
      <c r="BJ52" s="3109">
        <f>SUM(BJ50:BJ51)</f>
        <v>19466.587000000003</v>
      </c>
      <c r="BK52" s="3111">
        <f t="shared" si="140"/>
        <v>16526.655999999999</v>
      </c>
      <c r="BL52" s="3110">
        <f t="shared" si="140"/>
        <v>19437.9064</v>
      </c>
      <c r="BM52" s="3110">
        <f t="shared" si="140"/>
        <v>15348.5124</v>
      </c>
      <c r="BN52" s="3112">
        <f t="shared" si="140"/>
        <v>18021.125400000001</v>
      </c>
      <c r="BO52" s="3109">
        <f>BN52</f>
        <v>18021.125400000001</v>
      </c>
      <c r="BP52" s="3110">
        <f>SUM(BP50:BP51)</f>
        <v>16904.233200000002</v>
      </c>
      <c r="BQ52" s="3110">
        <f>SUM(BQ50:BQ51)</f>
        <v>18452.233200000002</v>
      </c>
      <c r="BR52" s="3110">
        <f t="shared" si="140"/>
        <v>18068.233200000002</v>
      </c>
      <c r="BS52" s="3110">
        <f>SUM(BS50:BS51)</f>
        <v>16549.233200000002</v>
      </c>
      <c r="BT52" s="3113">
        <f t="shared" si="140"/>
        <v>16549.233200000002</v>
      </c>
      <c r="BU52" s="3110">
        <f t="shared" ref="BU52:CR52" si="141">SUM(BU50:BU51)</f>
        <v>15111.233200000002</v>
      </c>
      <c r="BV52" s="3110">
        <f t="shared" si="141"/>
        <v>13627.233200000002</v>
      </c>
      <c r="BW52" s="3110">
        <f t="shared" si="141"/>
        <v>9406.2332000000024</v>
      </c>
      <c r="BX52" s="3110">
        <f t="shared" si="141"/>
        <v>12918.233200000002</v>
      </c>
      <c r="BY52" s="3113">
        <f t="shared" si="141"/>
        <v>12918.233200000002</v>
      </c>
      <c r="BZ52" s="3114">
        <f>SUM(BZ50:BZ51)</f>
        <v>18132.233200000002</v>
      </c>
      <c r="CA52" s="3114">
        <f>SUM(CA50:CA51)</f>
        <v>15711.233200000002</v>
      </c>
      <c r="CB52" s="3114">
        <f>SUM(CB50:CB51)</f>
        <v>10581.233200000002</v>
      </c>
      <c r="CC52" s="3114">
        <f>SUM(CC50:CC51)</f>
        <v>10715.233200000002</v>
      </c>
      <c r="CD52" s="3113">
        <f t="shared" si="141"/>
        <v>10715.233200000002</v>
      </c>
      <c r="CE52" s="3114">
        <f t="shared" si="141"/>
        <v>12658.233200000002</v>
      </c>
      <c r="CF52" s="3114">
        <f t="shared" si="141"/>
        <v>14148.233200000002</v>
      </c>
      <c r="CG52" s="3114">
        <f t="shared" si="141"/>
        <v>13443.233200000002</v>
      </c>
      <c r="CH52" s="3114">
        <f t="shared" si="141"/>
        <v>16701.233200000002</v>
      </c>
      <c r="CI52" s="3113">
        <f t="shared" si="141"/>
        <v>16701.233200000002</v>
      </c>
      <c r="CJ52" s="3114">
        <f>SUM(CJ50:CJ51)</f>
        <v>19148</v>
      </c>
      <c r="CK52" s="3114">
        <f>SUM(CK50:CK51)</f>
        <v>16587</v>
      </c>
      <c r="CL52" s="3114">
        <f>SUM(CL50:CL51)</f>
        <v>16032</v>
      </c>
      <c r="CM52" s="3114">
        <f>SUM(CM50:CM51)</f>
        <v>18498</v>
      </c>
      <c r="CN52" s="5066">
        <f t="shared" si="141"/>
        <v>18498</v>
      </c>
      <c r="CO52" s="5067">
        <f t="shared" si="141"/>
        <v>19644</v>
      </c>
      <c r="CP52" s="5067">
        <f t="shared" si="141"/>
        <v>17742</v>
      </c>
      <c r="CQ52" s="5067">
        <f t="shared" si="141"/>
        <v>20129</v>
      </c>
      <c r="CR52" s="5067">
        <f t="shared" si="141"/>
        <v>26465</v>
      </c>
      <c r="CS52" s="5066">
        <f t="shared" ref="CS52:DX52" si="142">SUM(CS50:CS51)</f>
        <v>26465</v>
      </c>
      <c r="CT52" s="5067">
        <f t="shared" si="142"/>
        <v>26622</v>
      </c>
      <c r="CU52" s="5067">
        <f t="shared" si="142"/>
        <v>23630</v>
      </c>
      <c r="CV52" s="5067">
        <f t="shared" si="142"/>
        <v>23719</v>
      </c>
      <c r="CW52" s="5067">
        <f t="shared" si="142"/>
        <v>20945</v>
      </c>
      <c r="CX52" s="5066">
        <f t="shared" si="142"/>
        <v>20945</v>
      </c>
      <c r="CY52" s="5067">
        <f t="shared" si="142"/>
        <v>20886</v>
      </c>
      <c r="CZ52" s="5067">
        <f t="shared" si="142"/>
        <v>17936</v>
      </c>
      <c r="DA52" s="5067">
        <f t="shared" si="142"/>
        <v>21984</v>
      </c>
      <c r="DB52" s="5067">
        <f t="shared" si="142"/>
        <v>21879</v>
      </c>
      <c r="DC52" s="5066">
        <f t="shared" si="142"/>
        <v>21879</v>
      </c>
      <c r="DD52" s="5067">
        <f>SUM(DD50:DD51)</f>
        <v>25924</v>
      </c>
      <c r="DE52" s="5067">
        <f>SUM(DE50:DE51)</f>
        <v>25929</v>
      </c>
      <c r="DF52" s="5067">
        <f>SUM(DF50:DF51)</f>
        <v>30702</v>
      </c>
      <c r="DG52" s="5067">
        <f t="shared" ref="DG52" si="143">SUM(DG50:DG51)</f>
        <v>24048</v>
      </c>
      <c r="DH52" s="5066">
        <f t="shared" si="142"/>
        <v>24048</v>
      </c>
      <c r="DI52" s="5067">
        <f>SUM(DI50:DI51)</f>
        <v>24493</v>
      </c>
      <c r="DJ52" s="5067">
        <f>SUM(DJ50:DJ51)</f>
        <v>27225</v>
      </c>
      <c r="DK52" s="5067">
        <f>SUM(DK50:DK51)</f>
        <v>19959</v>
      </c>
      <c r="DL52" s="5067">
        <f t="shared" ref="DL52" si="144">SUM(DL50:DL51)</f>
        <v>23466</v>
      </c>
      <c r="DM52" s="5066">
        <f>SUM(DM50:DM51)</f>
        <v>23466</v>
      </c>
      <c r="DN52" s="5067">
        <f>SUM(DN50:DN51)</f>
        <v>23264</v>
      </c>
      <c r="DO52" s="5067">
        <f>SUM(DO50:DO51)</f>
        <v>21036</v>
      </c>
      <c r="DP52" s="5067">
        <f>SUM(DP50:DP51)</f>
        <v>23090</v>
      </c>
      <c r="DQ52" s="5067">
        <f t="shared" ref="DQ52" ca="1" si="145">SUM(DQ50:DQ51)</f>
        <v>22942.482682274775</v>
      </c>
      <c r="DR52" s="5066">
        <f ca="1">SUM(DR50:DR51)</f>
        <v>22942.482682274771</v>
      </c>
      <c r="DS52" s="5067">
        <f t="shared" ref="DS52:DV52" ca="1" si="146">SUM(DS50:DS51)</f>
        <v>20694.156031030932</v>
      </c>
      <c r="DT52" s="5067">
        <f t="shared" ca="1" si="146"/>
        <v>23079.739523234366</v>
      </c>
      <c r="DU52" s="5067">
        <f t="shared" ca="1" si="146"/>
        <v>23901.291153039532</v>
      </c>
      <c r="DV52" s="5067">
        <f t="shared" ca="1" si="146"/>
        <v>25146.215656951961</v>
      </c>
      <c r="DW52" s="5066">
        <f ca="1">SUM(DW50:DW51)</f>
        <v>25146.215656951928</v>
      </c>
      <c r="DX52" s="5066">
        <f t="shared" ca="1" si="142"/>
        <v>19592.80529171518</v>
      </c>
      <c r="DY52" s="5066">
        <f ca="1">SUM(DY50:DY51)</f>
        <v>19169.471246096873</v>
      </c>
      <c r="DZ52" s="5066">
        <f ca="1">SUM(DZ50:DZ51)</f>
        <v>31463.733981887941</v>
      </c>
      <c r="EA52" s="5066">
        <f ca="1">SUM(EA50:EA51)</f>
        <v>60748.505215817611</v>
      </c>
      <c r="EC52" s="1319">
        <f ca="1">(DX52/DM52)^(1/3)-1</f>
        <v>-5.835793276623491E-2</v>
      </c>
      <c r="ED52" s="1319">
        <f ca="1">(DZ52/DM52)^(1/5)-1</f>
        <v>6.0411036328800627E-2</v>
      </c>
    </row>
    <row r="53" spans="1:135" s="4" customFormat="1" ht="11.25" hidden="1" customHeight="1" outlineLevel="1">
      <c r="A53" s="3842" t="s">
        <v>523</v>
      </c>
      <c r="B53" s="2525"/>
      <c r="C53" s="2525"/>
      <c r="D53" s="2525"/>
      <c r="E53" s="2525"/>
      <c r="F53" s="2525"/>
      <c r="G53" s="2525"/>
      <c r="H53" s="2525"/>
      <c r="I53" s="2525"/>
      <c r="J53" s="2525"/>
      <c r="K53" s="2525"/>
      <c r="L53" s="2525"/>
      <c r="M53" s="2525"/>
      <c r="N53" s="2525"/>
      <c r="O53" s="2525"/>
      <c r="P53" s="2525"/>
      <c r="Q53" s="2525"/>
      <c r="R53" s="2525"/>
      <c r="S53" s="2525"/>
      <c r="T53" s="2525"/>
      <c r="U53" s="2525"/>
      <c r="V53" s="2525"/>
      <c r="W53" s="2525"/>
      <c r="X53" s="2525"/>
      <c r="Y53" s="2525"/>
      <c r="Z53" s="2525"/>
      <c r="AA53" s="1114"/>
      <c r="AB53" s="1114"/>
      <c r="AC53" s="1114"/>
      <c r="AD53" s="1114"/>
      <c r="AE53" s="1114"/>
      <c r="AF53" s="1114"/>
      <c r="AG53" s="1114"/>
      <c r="AH53" s="1114"/>
      <c r="AI53" s="1114"/>
      <c r="AJ53" s="1114"/>
      <c r="AK53" s="1114"/>
      <c r="AL53" s="1114"/>
      <c r="AM53" s="1114"/>
      <c r="AN53" s="1114"/>
      <c r="AO53" s="1114"/>
      <c r="AP53" s="1114"/>
      <c r="AQ53" s="1114"/>
      <c r="AR53" s="1114"/>
      <c r="AS53" s="1114"/>
      <c r="AT53" s="1114"/>
      <c r="AU53" s="1114"/>
      <c r="AV53" s="1114"/>
      <c r="AW53" s="1114"/>
      <c r="AX53" s="1114"/>
      <c r="AY53" s="1114"/>
      <c r="AZ53" s="1114"/>
      <c r="BA53" s="1114"/>
      <c r="BB53" s="1114"/>
      <c r="BC53" s="1114"/>
      <c r="BD53" s="1114"/>
      <c r="BE53" s="1114"/>
      <c r="BF53" s="1114"/>
      <c r="BG53" s="1114"/>
      <c r="BH53" s="1114"/>
      <c r="BI53" s="1114"/>
      <c r="BJ53" s="1114"/>
      <c r="BK53" s="1704"/>
      <c r="BL53" s="1114"/>
      <c r="BM53" s="1114"/>
      <c r="BN53" s="1114"/>
      <c r="BO53" s="1114"/>
      <c r="BP53" s="1114"/>
      <c r="BQ53" s="1114"/>
      <c r="BR53" s="1114"/>
      <c r="BS53" s="1114"/>
      <c r="BT53" s="1114" t="str">
        <f>IF(ABS(BT52-BS52)&gt;0.1,"err","ok")</f>
        <v>ok</v>
      </c>
      <c r="BU53" s="1114"/>
      <c r="BV53" s="1114"/>
      <c r="BW53" s="1114"/>
      <c r="BX53" s="1114"/>
      <c r="BY53" s="1114" t="str">
        <f>IF(ABS(BY52-BX52)&gt;0.1,"err","ok")</f>
        <v>ok</v>
      </c>
      <c r="BZ53" s="1114"/>
      <c r="CA53" s="1114"/>
      <c r="CB53" s="1114"/>
      <c r="CC53" s="1114"/>
      <c r="CD53" s="1114" t="str">
        <f>IF(ABS(CD52-CC52)&gt;0.1,"err","ok")</f>
        <v>ok</v>
      </c>
      <c r="CE53" s="1114"/>
      <c r="CF53" s="1114"/>
      <c r="CG53" s="1114"/>
      <c r="CH53" s="1114"/>
      <c r="CI53" s="1114" t="str">
        <f>IF(ABS(CI52-CH52)&gt;0.1,"err","ok")</f>
        <v>ok</v>
      </c>
      <c r="CJ53" s="1114"/>
      <c r="CK53" s="1114"/>
      <c r="CL53" s="1114"/>
      <c r="CM53" s="1114"/>
      <c r="CN53" s="1114" t="str">
        <f>IF(ABS(CN52-CM52)&gt;0.1,"err","ok")</f>
        <v>ok</v>
      </c>
      <c r="CO53" s="1114"/>
      <c r="CP53" s="1114"/>
      <c r="CQ53" s="1114"/>
      <c r="CR53" s="1114"/>
      <c r="CS53" s="1114" t="str">
        <f>IF(ABS(CS52-CR52)&gt;0.1,"err","ok")</f>
        <v>ok</v>
      </c>
      <c r="CT53" s="1114"/>
      <c r="CU53" s="1114"/>
      <c r="CV53" s="1114"/>
      <c r="CW53" s="1114"/>
      <c r="CX53" s="1114" t="str">
        <f>IF(ABS(CX52-CW52)&gt;0.1,"err","ok")</f>
        <v>ok</v>
      </c>
      <c r="CY53" s="1114"/>
      <c r="CZ53" s="1114"/>
      <c r="DA53" s="1114"/>
      <c r="DB53" s="1114"/>
      <c r="DC53" s="1114" t="str">
        <f>IF(ABS(DC52-DB52)&gt;0.1,"err","ok")</f>
        <v>ok</v>
      </c>
      <c r="DD53" s="1114"/>
      <c r="DE53" s="1114"/>
      <c r="DF53" s="1114"/>
      <c r="DG53" s="1114"/>
      <c r="DH53" s="1114" t="str">
        <f>IF(ABS(DH52-DG52)&gt;0.1,"err","ok")</f>
        <v>ok</v>
      </c>
      <c r="DI53" s="1114"/>
      <c r="DJ53" s="1114"/>
      <c r="DK53" s="1114"/>
      <c r="DL53" s="1114"/>
      <c r="DM53" s="1114" t="str">
        <f>IF(ABS(DM52-DL52)&gt;0.1,"err","ok")</f>
        <v>ok</v>
      </c>
      <c r="DN53" s="1114"/>
      <c r="DO53" s="1114"/>
      <c r="DP53" s="1114"/>
      <c r="DQ53" s="1114"/>
      <c r="DR53" s="1114" t="str">
        <f ca="1">IF(ABS(DR52-DQ52)&gt;0.1,"err","ok")</f>
        <v>ok</v>
      </c>
      <c r="DS53" s="1114"/>
      <c r="DT53" s="1114"/>
      <c r="DU53" s="1114"/>
      <c r="DV53" s="1114"/>
      <c r="DW53" s="1114" t="str">
        <f ca="1">IF(ABS(DW52-DV52)&gt;0.1,"err","ok")</f>
        <v>ok</v>
      </c>
      <c r="DX53" s="1114"/>
      <c r="DY53" s="1114"/>
      <c r="DZ53" s="1114"/>
      <c r="EA53" s="1114"/>
      <c r="EC53" s="2525"/>
      <c r="ED53" s="2525"/>
    </row>
    <row r="54" spans="1:135" s="4" customFormat="1" ht="11.25" hidden="1" customHeight="1" outlineLevel="1">
      <c r="A54" s="3842" t="s">
        <v>523</v>
      </c>
      <c r="B54" s="1114"/>
      <c r="C54" s="1114"/>
      <c r="D54" s="1114"/>
      <c r="E54" s="1114"/>
      <c r="F54" s="1114"/>
      <c r="G54" s="1114"/>
      <c r="H54" s="1114"/>
      <c r="I54" s="1114"/>
      <c r="J54" s="1114"/>
      <c r="K54" s="1114"/>
      <c r="L54" s="1114"/>
      <c r="M54" s="1114"/>
      <c r="N54" s="1114"/>
      <c r="O54" s="1114"/>
      <c r="P54" s="1114"/>
      <c r="Q54" s="1114"/>
      <c r="R54" s="1114"/>
      <c r="S54" s="1114"/>
      <c r="T54" s="1114"/>
      <c r="U54" s="1114"/>
      <c r="V54" s="1114"/>
      <c r="W54" s="1114"/>
      <c r="X54" s="1114"/>
      <c r="Y54" s="1114"/>
      <c r="Z54" s="1114"/>
      <c r="AA54" s="1114"/>
      <c r="AB54" s="1114"/>
      <c r="AC54" s="1114"/>
      <c r="AD54" s="1114"/>
      <c r="AE54" s="1114"/>
      <c r="AF54" s="1114"/>
      <c r="AG54" s="1114"/>
      <c r="AH54" s="1114"/>
      <c r="AI54" s="1114"/>
      <c r="AJ54" s="1114"/>
      <c r="AK54" s="1114"/>
      <c r="AL54" s="1114"/>
      <c r="AM54" s="1114"/>
      <c r="AN54" s="1114"/>
      <c r="AO54" s="1114"/>
      <c r="AP54" s="1114"/>
      <c r="AQ54" s="1114"/>
      <c r="AR54" s="1114"/>
      <c r="AS54" s="1114"/>
      <c r="AT54" s="1114"/>
      <c r="AU54" s="1114"/>
      <c r="AV54" s="1114"/>
      <c r="AW54" s="1114"/>
      <c r="AX54" s="1114"/>
      <c r="AY54" s="1114"/>
      <c r="AZ54" s="1114"/>
      <c r="BA54" s="1114"/>
      <c r="BB54" s="1114"/>
      <c r="BC54" s="1114"/>
      <c r="BD54" s="1114"/>
      <c r="BE54" s="1114"/>
      <c r="BF54" s="1114"/>
      <c r="BG54" s="1114"/>
      <c r="BH54" s="1114"/>
      <c r="BI54" s="1114"/>
      <c r="BJ54" s="1114"/>
      <c r="BK54" s="1704"/>
      <c r="BL54" s="1114"/>
      <c r="BM54" s="1114"/>
      <c r="BN54" s="1114"/>
      <c r="BO54" s="1114"/>
      <c r="BP54" s="1114"/>
      <c r="BQ54" s="1114"/>
      <c r="BR54" s="1114" t="str">
        <f>IF(ABS(BR52-BS!BR8)&gt;0.5,"err","ok")</f>
        <v>ok</v>
      </c>
      <c r="BS54" s="1114" t="str">
        <f>IF(ABS(BS52-BS!BS8)&gt;0.5,"err","ok")</f>
        <v>ok</v>
      </c>
      <c r="BT54" s="1114" t="str">
        <f>IF(ABS(BT52-BS!BT8)&gt;0.5,"err","ok")</f>
        <v>ok</v>
      </c>
      <c r="BU54" s="1114" t="str">
        <f>IF(ABS(BU52-BS!BU8)&gt;0.5,"err","ok")</f>
        <v>ok</v>
      </c>
      <c r="BV54" s="1114" t="str">
        <f>IF(ABS(BV52-BS!BV8)&gt;0.5,"err","ok")</f>
        <v>ok</v>
      </c>
      <c r="BW54" s="1114" t="str">
        <f>IF(ABS(BW52-BS!BW8)&gt;0.5,"err","ok")</f>
        <v>ok</v>
      </c>
      <c r="BX54" s="1114" t="str">
        <f>IF(ABS(BX52-BS!BX8)&gt;0.5,"err","ok")</f>
        <v>ok</v>
      </c>
      <c r="BY54" s="1114" t="str">
        <f>IF(ABS(BY52-BS!BY8)&gt;0.5,"err","ok")</f>
        <v>ok</v>
      </c>
      <c r="BZ54" s="1114" t="str">
        <f>IF(ABS(BZ52-BS!BZ8)&gt;0.5,"err","ok")</f>
        <v>ok</v>
      </c>
      <c r="CA54" s="1114" t="str">
        <f>IF(ABS(CA52-BS!CA8)&gt;0.5,"err","ok")</f>
        <v>ok</v>
      </c>
      <c r="CB54" s="1114" t="str">
        <f>IF(ABS(CB52-BS!CB8)&gt;0.5,"err","ok")</f>
        <v>ok</v>
      </c>
      <c r="CC54" s="1114" t="str">
        <f>IF(ABS(CC52-BS!CC8)&gt;0.5,"err","ok")</f>
        <v>ok</v>
      </c>
      <c r="CD54" s="1114" t="str">
        <f>IF(ABS(CD52-BS!CD8)&gt;0.5,"err","ok")</f>
        <v>ok</v>
      </c>
      <c r="CE54" s="1114" t="str">
        <f>IF(ABS(CE52-BS!CE8)&gt;0.5,"err","ok")</f>
        <v>ok</v>
      </c>
      <c r="CF54" s="1114" t="str">
        <f>IF(ABS(CF52-BS!CF8)&gt;0.5,"err","ok")</f>
        <v>ok</v>
      </c>
      <c r="CG54" s="1114" t="str">
        <f>IF(ABS(CG52-BS!CG8)&gt;0.5,"err","ok")</f>
        <v>ok</v>
      </c>
      <c r="CH54" s="1114" t="str">
        <f>IF(ABS(CH52-BS!CH8)&gt;0.5,"err","ok")</f>
        <v>ok</v>
      </c>
      <c r="CI54" s="1114" t="str">
        <f>IF(ABS(CI52-BS!CI8)&gt;0.5,"err","ok")</f>
        <v>ok</v>
      </c>
      <c r="CJ54" s="1114" t="str">
        <f>IF(ABS(CJ52-BS!CJ8)&gt;0.5,"err","ok")</f>
        <v>ok</v>
      </c>
      <c r="CK54" s="1114" t="str">
        <f>IF(ABS(CK52-BS!CK8)&gt;0.5,"err","ok")</f>
        <v>ok</v>
      </c>
      <c r="CL54" s="1114" t="str">
        <f>IF(ABS(CL52-BS!CL8)&gt;0.5,"err","ok")</f>
        <v>ok</v>
      </c>
      <c r="CM54" s="1114" t="str">
        <f>IF(ABS(CM52-BS!CM8)&gt;0.5,"err","ok")</f>
        <v>ok</v>
      </c>
      <c r="CN54" s="1114" t="str">
        <f>IF(ABS(CN52-BS!CN8)&gt;0.5,"err","ok")</f>
        <v>ok</v>
      </c>
      <c r="CO54" s="1114" t="str">
        <f>IF(ABS(CO52-BS!CO8)&gt;0.5,"err","ok")</f>
        <v>ok</v>
      </c>
      <c r="CP54" s="1114" t="str">
        <f>IF(ABS(CP52-BS!CP8)&gt;0.5,"err","ok")</f>
        <v>ok</v>
      </c>
      <c r="CQ54" s="1114" t="str">
        <f>IF(ABS(CQ52-BS!CQ8)&gt;0.5,"err","ok")</f>
        <v>ok</v>
      </c>
      <c r="CR54" s="1114" t="str">
        <f>IF(ABS(CR52-BS!CR8)&gt;0.5,"err","ok")</f>
        <v>ok</v>
      </c>
      <c r="CS54" s="1114" t="str">
        <f>IF(ABS(CS52-BS!CS8)&gt;0.5,"err","ok")</f>
        <v>ok</v>
      </c>
      <c r="CT54" s="1114" t="str">
        <f>IF(ABS(CT52-BS!CT8)&gt;0.5,"err","ok")</f>
        <v>ok</v>
      </c>
      <c r="CU54" s="1114" t="str">
        <f>IF(ABS(CU52-BS!CU8)&gt;0.5,"err","ok")</f>
        <v>ok</v>
      </c>
      <c r="CV54" s="1114" t="str">
        <f>IF(ABS(CV52-BS!CV8)&gt;0.5,"err","ok")</f>
        <v>ok</v>
      </c>
      <c r="CW54" s="1114" t="str">
        <f>IF(ABS(CW52-BS!CW8)&gt;0.5,"err","ok")</f>
        <v>ok</v>
      </c>
      <c r="CX54" s="1114" t="str">
        <f>IF(ABS(CX52-BS!CX8)&gt;0.5,"err","ok")</f>
        <v>ok</v>
      </c>
      <c r="CY54" s="1114" t="str">
        <f>IF(ABS(CY52-BS!CY8)&gt;0.5,"err","ok")</f>
        <v>ok</v>
      </c>
      <c r="CZ54" s="1114" t="str">
        <f>IF(ABS(CZ52-BS!CZ8)&gt;0.5,"err","ok")</f>
        <v>ok</v>
      </c>
      <c r="DA54" s="1114" t="str">
        <f>IF(ABS(DA52-BS!DA8)&gt;0.5,"err","ok")</f>
        <v>ok</v>
      </c>
      <c r="DB54" s="1114" t="str">
        <f>IF(ABS(DB52-BS!DB8)&gt;0.5,"err","ok")</f>
        <v>ok</v>
      </c>
      <c r="DC54" s="1114" t="str">
        <f>IF(ABS(DC52-BS!DC8)&gt;0.5,"err","ok")</f>
        <v>ok</v>
      </c>
      <c r="DD54" s="1114" t="str">
        <f>IF(ABS(DD52-BS!DD8)&gt;0.5,"err","ok")</f>
        <v>ok</v>
      </c>
      <c r="DE54" s="1114" t="str">
        <f>IF(ABS(DE52-BS!DE8)&gt;0.5,"err","ok")</f>
        <v>ok</v>
      </c>
      <c r="DF54" s="1114" t="str">
        <f>IF(ABS(DF52-BS!DF8)&gt;0.5,"err","ok")</f>
        <v>ok</v>
      </c>
      <c r="DG54" s="1114" t="str">
        <f>IF(ABS(DG52-BS!DG8)&gt;0.5,"err","ok")</f>
        <v>ok</v>
      </c>
      <c r="DH54" s="1114" t="str">
        <f>IF(ABS(DH52-BS!DH8)&gt;0.5,"err","ok")</f>
        <v>ok</v>
      </c>
      <c r="DI54" s="1114" t="str">
        <f>IF(ABS(DI52-BS!DI8)&gt;0.5,"err","ok")</f>
        <v>ok</v>
      </c>
      <c r="DJ54" s="1114" t="str">
        <f>IF(ABS(DJ52-BS!DJ8)&gt;0.5,"err","ok")</f>
        <v>ok</v>
      </c>
      <c r="DK54" s="1114" t="str">
        <f>IF(ABS(DK52-BS!DK8)&gt;0.5,"err","ok")</f>
        <v>ok</v>
      </c>
      <c r="DL54" s="1114" t="str">
        <f>IF(ABS(DL52-BS!DL8)&gt;0.5,"err","ok")</f>
        <v>ok</v>
      </c>
      <c r="DM54" s="1114" t="str">
        <f>IF(ABS(DM52-BS!DM8)&gt;0.5,"err","ok")</f>
        <v>ok</v>
      </c>
      <c r="DN54" s="1114" t="str">
        <f>IF(ABS(DN52-BS!DN8)&gt;0.5,"err","ok")</f>
        <v>ok</v>
      </c>
      <c r="DO54" s="1114" t="str">
        <f>IF(ABS(DO52-BS!DO8)&gt;0.5,"err","ok")</f>
        <v>ok</v>
      </c>
      <c r="DP54" s="1114" t="str">
        <f>IF(ABS(DP52-BS!DP8)&gt;0.5,"err","ok")</f>
        <v>ok</v>
      </c>
      <c r="DQ54" s="1114" t="str">
        <f ca="1">IF(ABS(DQ52-BS!DQ8)&gt;0.5,"err","ok")</f>
        <v>ok</v>
      </c>
      <c r="DR54" s="1114" t="str">
        <f ca="1">IF(ABS(DR52-BS!DR8)&gt;0.5,"err","ok")</f>
        <v>ok</v>
      </c>
      <c r="DS54" s="1114" t="str">
        <f ca="1">IF(ABS(DS52-BS!DS8)&gt;0.5,"err","ok")</f>
        <v>ok</v>
      </c>
      <c r="DT54" s="1114" t="str">
        <f ca="1">IF(ABS(DT52-BS!DT8)&gt;0.5,"err","ok")</f>
        <v>ok</v>
      </c>
      <c r="DU54" s="1114" t="str">
        <f ca="1">IF(ABS(DU52-BS!DU8)&gt;0.5,"err","ok")</f>
        <v>ok</v>
      </c>
      <c r="DV54" s="1114" t="str">
        <f ca="1">IF(ABS(DV52-BS!DV8)&gt;0.5,"err","ok")</f>
        <v>ok</v>
      </c>
      <c r="DW54" s="1114" t="str">
        <f ca="1">IF(ABS(DW52-BS!DW8)&gt;0.5,"err","ok")</f>
        <v>ok</v>
      </c>
      <c r="DX54" s="1114" t="str">
        <f ca="1">IF(ABS(DX52-BS!DX8)&gt;0.5,"err","ok")</f>
        <v>ok</v>
      </c>
      <c r="DY54" s="1114" t="str">
        <f ca="1">IF(ABS(DY52-BS!DY8)&gt;0.5,"err","ok")</f>
        <v>ok</v>
      </c>
      <c r="DZ54" s="1114" t="str">
        <f ca="1">IF(ABS(DZ52-BS!DZ8)&gt;0.5,"err","ok")</f>
        <v>ok</v>
      </c>
      <c r="EA54" s="1114" t="str">
        <f ca="1">IF(ABS(EA52-BS!EA8)&gt;0.5,"err","ok")</f>
        <v>ok</v>
      </c>
      <c r="EC54" s="2525"/>
      <c r="ED54" s="2525"/>
    </row>
    <row r="55" spans="1:135" s="29" customFormat="1" ht="11.25" customHeight="1" collapsed="1">
      <c r="A55" s="1584"/>
      <c r="AA55" s="174"/>
      <c r="AB55" s="174"/>
      <c r="AC55" s="174"/>
      <c r="AD55" s="174"/>
      <c r="AE55" s="174"/>
      <c r="AF55" s="174"/>
      <c r="AG55" s="174"/>
      <c r="AH55" s="174"/>
      <c r="AI55" s="174"/>
      <c r="AJ55" s="174"/>
      <c r="AK55" s="174"/>
      <c r="AL55" s="174"/>
      <c r="AM55" s="174"/>
      <c r="AN55" s="174"/>
      <c r="AO55" s="174"/>
      <c r="AP55" s="174"/>
      <c r="AQ55" s="174"/>
      <c r="AR55" s="174"/>
      <c r="AS55" s="174"/>
      <c r="AT55" s="174"/>
      <c r="AU55" s="174"/>
      <c r="AV55" s="174"/>
      <c r="AW55" s="174"/>
      <c r="AX55" s="174"/>
      <c r="AY55" s="174"/>
      <c r="AZ55" s="174"/>
      <c r="BA55" s="174"/>
      <c r="BB55" s="174"/>
      <c r="BC55" s="174"/>
      <c r="BD55" s="174"/>
      <c r="BE55" s="174"/>
      <c r="BF55" s="174"/>
      <c r="BG55" s="174"/>
      <c r="BH55" s="174"/>
      <c r="BI55" s="174"/>
      <c r="BJ55" s="174"/>
      <c r="BK55" s="174"/>
      <c r="BL55" s="174"/>
      <c r="BM55" s="174"/>
      <c r="BN55" s="174"/>
      <c r="BO55" s="174"/>
      <c r="BP55" s="174"/>
      <c r="BQ55" s="174"/>
      <c r="BR55" s="174"/>
      <c r="BS55" s="174"/>
      <c r="BT55" s="174"/>
      <c r="BU55" s="2618"/>
      <c r="BV55" s="2618"/>
      <c r="BW55" s="2618"/>
      <c r="BX55" s="2618"/>
      <c r="BY55" s="2618"/>
      <c r="BZ55" s="2618"/>
      <c r="CA55" s="2618"/>
      <c r="CB55" s="2618"/>
      <c r="CC55" s="2618"/>
      <c r="CD55" s="2618"/>
      <c r="CE55" s="2618"/>
      <c r="CF55" s="2618"/>
      <c r="CG55" s="2618"/>
      <c r="CH55" s="2618"/>
      <c r="CI55" s="2618"/>
      <c r="CJ55" s="2618"/>
      <c r="CK55" s="2618"/>
      <c r="CL55" s="2618"/>
      <c r="CM55" s="174"/>
      <c r="CN55" s="174"/>
      <c r="CO55" s="174"/>
      <c r="CP55" s="174"/>
      <c r="CQ55" s="174"/>
      <c r="CR55" s="174"/>
      <c r="CS55" s="174"/>
      <c r="CT55" s="174"/>
      <c r="CU55" s="174"/>
      <c r="CV55" s="174"/>
      <c r="CW55" s="174"/>
      <c r="CX55" s="174"/>
      <c r="CY55" s="174"/>
      <c r="CZ55" s="174"/>
      <c r="DA55" s="174"/>
      <c r="DB55" s="174"/>
      <c r="DC55" s="174"/>
      <c r="DD55" s="174"/>
      <c r="DE55" s="174"/>
      <c r="DF55" s="174"/>
      <c r="DG55" s="174"/>
      <c r="DH55" s="174"/>
      <c r="DI55" s="174"/>
      <c r="DJ55" s="174"/>
      <c r="DK55" s="174"/>
      <c r="DL55" s="174"/>
      <c r="DM55" s="174"/>
      <c r="DN55" s="174"/>
      <c r="DO55" s="174"/>
      <c r="DP55" s="174"/>
      <c r="DQ55" s="174"/>
      <c r="DR55" s="174"/>
      <c r="DS55" s="174"/>
      <c r="DT55" s="174"/>
      <c r="DU55" s="174"/>
      <c r="DV55" s="174"/>
      <c r="DW55" s="174"/>
      <c r="DX55" s="174"/>
      <c r="DY55" s="174"/>
      <c r="DZ55" s="174"/>
      <c r="EA55" s="174"/>
      <c r="EC55" s="713"/>
      <c r="ED55" s="713"/>
    </row>
    <row r="56" spans="1:135" s="746" customFormat="1" ht="11.25" customHeight="1">
      <c r="A56" s="6132" t="s">
        <v>62</v>
      </c>
      <c r="B56" s="6133" t="s">
        <v>113</v>
      </c>
      <c r="C56" s="6133" t="s">
        <v>118</v>
      </c>
      <c r="D56" s="6133" t="s">
        <v>120</v>
      </c>
      <c r="E56" s="6133" t="s">
        <v>122</v>
      </c>
      <c r="F56" s="6133" t="s">
        <v>124</v>
      </c>
      <c r="G56" s="6134" t="s">
        <v>129</v>
      </c>
      <c r="H56" s="6133" t="s">
        <v>125</v>
      </c>
      <c r="I56" s="6133" t="s">
        <v>126</v>
      </c>
      <c r="J56" s="6133" t="s">
        <v>127</v>
      </c>
      <c r="K56" s="6133" t="s">
        <v>128</v>
      </c>
      <c r="L56" s="6134" t="s">
        <v>184</v>
      </c>
      <c r="M56" s="6133" t="s">
        <v>130</v>
      </c>
      <c r="N56" s="6133" t="s">
        <v>233</v>
      </c>
      <c r="O56" s="6133" t="s">
        <v>254</v>
      </c>
      <c r="P56" s="6133" t="s">
        <v>255</v>
      </c>
      <c r="Q56" s="6134" t="s">
        <v>256</v>
      </c>
      <c r="R56" s="6133" t="s">
        <v>258</v>
      </c>
      <c r="S56" s="6133" t="s">
        <v>261</v>
      </c>
      <c r="T56" s="6133" t="s">
        <v>263</v>
      </c>
      <c r="U56" s="6133" t="s">
        <v>265</v>
      </c>
      <c r="V56" s="6134" t="s">
        <v>266</v>
      </c>
      <c r="W56" s="6133" t="s">
        <v>267</v>
      </c>
      <c r="X56" s="6133" t="s">
        <v>269</v>
      </c>
      <c r="Y56" s="6133" t="s">
        <v>273</v>
      </c>
      <c r="Z56" s="6133" t="s">
        <v>275</v>
      </c>
      <c r="AA56" s="6134" t="s">
        <v>276</v>
      </c>
      <c r="AB56" s="6133" t="s">
        <v>277</v>
      </c>
      <c r="AC56" s="6133" t="str">
        <f>AC6</f>
        <v>6/07A</v>
      </c>
      <c r="AD56" s="6133" t="s">
        <v>270</v>
      </c>
      <c r="AE56" s="6133" t="str">
        <f t="shared" ref="AE56:BJ56" si="147">AE6</f>
        <v>12/07A</v>
      </c>
      <c r="AF56" s="6134" t="str">
        <f t="shared" si="147"/>
        <v>2007A</v>
      </c>
      <c r="AG56" s="6133" t="str">
        <f t="shared" si="147"/>
        <v>3/08A</v>
      </c>
      <c r="AH56" s="6133" t="str">
        <f t="shared" si="147"/>
        <v>6/08A</v>
      </c>
      <c r="AI56" s="6133" t="str">
        <f t="shared" si="147"/>
        <v>9/08A</v>
      </c>
      <c r="AJ56" s="6133" t="str">
        <f t="shared" si="147"/>
        <v>12/08A</v>
      </c>
      <c r="AK56" s="6134" t="str">
        <f t="shared" si="147"/>
        <v>2008A</v>
      </c>
      <c r="AL56" s="6133" t="str">
        <f t="shared" si="147"/>
        <v>3/09A</v>
      </c>
      <c r="AM56" s="6133" t="str">
        <f t="shared" si="147"/>
        <v>6/09A</v>
      </c>
      <c r="AN56" s="6133" t="str">
        <f t="shared" si="147"/>
        <v>9/09A</v>
      </c>
      <c r="AO56" s="6133" t="str">
        <f t="shared" si="147"/>
        <v>12/09A</v>
      </c>
      <c r="AP56" s="6134" t="str">
        <f t="shared" si="147"/>
        <v>2009A</v>
      </c>
      <c r="AQ56" s="6133" t="str">
        <f t="shared" si="147"/>
        <v>3/10A</v>
      </c>
      <c r="AR56" s="6133" t="str">
        <f t="shared" si="147"/>
        <v>6/10A</v>
      </c>
      <c r="AS56" s="6133" t="str">
        <f t="shared" si="147"/>
        <v>9/10A</v>
      </c>
      <c r="AT56" s="6133" t="str">
        <f t="shared" si="147"/>
        <v>12/10A</v>
      </c>
      <c r="AU56" s="6134" t="str">
        <f t="shared" si="147"/>
        <v>2010A</v>
      </c>
      <c r="AV56" s="6133" t="str">
        <f t="shared" si="147"/>
        <v>3/11A</v>
      </c>
      <c r="AW56" s="6133" t="str">
        <f t="shared" si="147"/>
        <v>6/11A</v>
      </c>
      <c r="AX56" s="6133" t="str">
        <f t="shared" si="147"/>
        <v>9/11A</v>
      </c>
      <c r="AY56" s="6133" t="str">
        <f t="shared" si="147"/>
        <v>12/11A</v>
      </c>
      <c r="AZ56" s="6134" t="str">
        <f t="shared" si="147"/>
        <v>2011A</v>
      </c>
      <c r="BA56" s="6133" t="str">
        <f t="shared" si="147"/>
        <v>3/12A</v>
      </c>
      <c r="BB56" s="6133" t="str">
        <f t="shared" si="147"/>
        <v>6/12A</v>
      </c>
      <c r="BC56" s="6133" t="str">
        <f t="shared" si="147"/>
        <v>9/12A</v>
      </c>
      <c r="BD56" s="6133" t="str">
        <f t="shared" si="147"/>
        <v>12/12A</v>
      </c>
      <c r="BE56" s="6134" t="str">
        <f t="shared" si="147"/>
        <v>2012A</v>
      </c>
      <c r="BF56" s="6133" t="str">
        <f t="shared" si="147"/>
        <v>3/13A</v>
      </c>
      <c r="BG56" s="6133" t="str">
        <f t="shared" si="147"/>
        <v>6/13A</v>
      </c>
      <c r="BH56" s="6133" t="str">
        <f t="shared" si="147"/>
        <v>9/13A</v>
      </c>
      <c r="BI56" s="6133" t="str">
        <f t="shared" si="147"/>
        <v>12/13A</v>
      </c>
      <c r="BJ56" s="6134" t="str">
        <f t="shared" si="147"/>
        <v>2013A</v>
      </c>
      <c r="BK56" s="6133" t="str">
        <f t="shared" ref="BK56:CP56" si="148">BK6</f>
        <v>3/14A</v>
      </c>
      <c r="BL56" s="6133" t="str">
        <f t="shared" si="148"/>
        <v>6/14A</v>
      </c>
      <c r="BM56" s="6133" t="str">
        <f t="shared" si="148"/>
        <v>9/14A</v>
      </c>
      <c r="BN56" s="6133" t="str">
        <f t="shared" si="148"/>
        <v>12/14A</v>
      </c>
      <c r="BO56" s="6134" t="str">
        <f t="shared" si="148"/>
        <v>2014A</v>
      </c>
      <c r="BP56" s="6133" t="str">
        <f t="shared" si="148"/>
        <v>3/15A</v>
      </c>
      <c r="BQ56" s="6133" t="str">
        <f t="shared" si="148"/>
        <v>6/15A</v>
      </c>
      <c r="BR56" s="6133" t="str">
        <f t="shared" si="148"/>
        <v>9/15A</v>
      </c>
      <c r="BS56" s="6133" t="str">
        <f t="shared" si="148"/>
        <v>12/15A</v>
      </c>
      <c r="BT56" s="6134" t="str">
        <f t="shared" si="148"/>
        <v>2015A</v>
      </c>
      <c r="BU56" s="6133" t="str">
        <f t="shared" si="148"/>
        <v>3/16A</v>
      </c>
      <c r="BV56" s="6133" t="str">
        <f t="shared" si="148"/>
        <v>6/16A</v>
      </c>
      <c r="BW56" s="6133" t="str">
        <f t="shared" si="148"/>
        <v>9/16A</v>
      </c>
      <c r="BX56" s="6133" t="str">
        <f t="shared" si="148"/>
        <v>12/16A</v>
      </c>
      <c r="BY56" s="6134" t="str">
        <f t="shared" si="148"/>
        <v>2016A</v>
      </c>
      <c r="BZ56" s="6133" t="str">
        <f t="shared" si="148"/>
        <v>3/17A</v>
      </c>
      <c r="CA56" s="6133" t="str">
        <f t="shared" si="148"/>
        <v>6/17A</v>
      </c>
      <c r="CB56" s="6133" t="str">
        <f t="shared" si="148"/>
        <v>9/17A</v>
      </c>
      <c r="CC56" s="6133" t="str">
        <f t="shared" si="148"/>
        <v>12/17A</v>
      </c>
      <c r="CD56" s="6134" t="str">
        <f t="shared" si="148"/>
        <v>2017A</v>
      </c>
      <c r="CE56" s="6133" t="str">
        <f t="shared" si="148"/>
        <v>3/18A</v>
      </c>
      <c r="CF56" s="6133" t="str">
        <f t="shared" si="148"/>
        <v>6/18A</v>
      </c>
      <c r="CG56" s="6133" t="str">
        <f t="shared" si="148"/>
        <v>9/18A</v>
      </c>
      <c r="CH56" s="6133" t="str">
        <f t="shared" si="148"/>
        <v>12/18A</v>
      </c>
      <c r="CI56" s="6134" t="str">
        <f t="shared" si="148"/>
        <v>2018A</v>
      </c>
      <c r="CJ56" s="6134" t="str">
        <f t="shared" si="148"/>
        <v>3/19A</v>
      </c>
      <c r="CK56" s="6134" t="str">
        <f t="shared" si="148"/>
        <v>6/19A</v>
      </c>
      <c r="CL56" s="6134" t="str">
        <f t="shared" si="148"/>
        <v>9/19A</v>
      </c>
      <c r="CM56" s="6134" t="str">
        <f t="shared" si="148"/>
        <v>12/19A</v>
      </c>
      <c r="CN56" s="6134" t="str">
        <f t="shared" si="148"/>
        <v>2019A</v>
      </c>
      <c r="CO56" s="6134" t="str">
        <f t="shared" si="148"/>
        <v>3/20A</v>
      </c>
      <c r="CP56" s="6134" t="str">
        <f t="shared" si="148"/>
        <v>6/20A</v>
      </c>
      <c r="CQ56" s="6134" t="str">
        <f t="shared" ref="CQ56:CX56" si="149">CQ6</f>
        <v>9/20A</v>
      </c>
      <c r="CR56" s="6134" t="str">
        <f t="shared" si="149"/>
        <v>12/20A</v>
      </c>
      <c r="CS56" s="6134" t="str">
        <f t="shared" si="149"/>
        <v>2020A</v>
      </c>
      <c r="CT56" s="6134" t="str">
        <f t="shared" si="149"/>
        <v>3/21A</v>
      </c>
      <c r="CU56" s="6134" t="str">
        <f t="shared" si="149"/>
        <v>6/21A</v>
      </c>
      <c r="CV56" s="6134" t="str">
        <f t="shared" si="149"/>
        <v>9/21A</v>
      </c>
      <c r="CW56" s="6134" t="str">
        <f t="shared" si="149"/>
        <v>12/21A</v>
      </c>
      <c r="CX56" s="6134" t="str">
        <f t="shared" si="149"/>
        <v>2021A</v>
      </c>
      <c r="CY56" s="6134" t="str">
        <f t="shared" ref="CY56:DH56" si="150">CY6</f>
        <v>3/22A</v>
      </c>
      <c r="CZ56" s="6134" t="str">
        <f t="shared" si="150"/>
        <v>6/22A</v>
      </c>
      <c r="DA56" s="6134" t="str">
        <f t="shared" si="150"/>
        <v>9/22A</v>
      </c>
      <c r="DB56" s="6134" t="str">
        <f t="shared" si="150"/>
        <v>12/22A</v>
      </c>
      <c r="DC56" s="6134" t="str">
        <f t="shared" si="150"/>
        <v>2022A</v>
      </c>
      <c r="DD56" s="6134" t="str">
        <f>DD6</f>
        <v>3/23A</v>
      </c>
      <c r="DE56" s="6134" t="str">
        <f>DE6</f>
        <v>6/23A</v>
      </c>
      <c r="DF56" s="6134" t="str">
        <f>DF6</f>
        <v>9/23A</v>
      </c>
      <c r="DG56" s="6134" t="str">
        <f t="shared" ref="DG56" si="151">DG6</f>
        <v>12/23A</v>
      </c>
      <c r="DH56" s="6134" t="str">
        <f t="shared" si="150"/>
        <v>2023A</v>
      </c>
      <c r="DI56" s="6134" t="str">
        <f>DI6</f>
        <v>3/24A</v>
      </c>
      <c r="DJ56" s="6134" t="str">
        <f>DJ6</f>
        <v>6/24A</v>
      </c>
      <c r="DK56" s="6134" t="str">
        <f>DK6</f>
        <v>9/24A</v>
      </c>
      <c r="DL56" s="6134" t="str">
        <f t="shared" ref="DL56" si="152">DL6</f>
        <v>12/24A</v>
      </c>
      <c r="DM56" s="6134" t="str">
        <f t="shared" ref="DM56:DY56" si="153">DM6</f>
        <v>2024A</v>
      </c>
      <c r="DN56" s="6134" t="str">
        <f>DN6</f>
        <v>3/25A</v>
      </c>
      <c r="DO56" s="6134" t="str">
        <f>DO6</f>
        <v>6/25A</v>
      </c>
      <c r="DP56" s="6134" t="str">
        <f>DP6</f>
        <v>9/25A</v>
      </c>
      <c r="DQ56" s="6134" t="str">
        <f t="shared" ref="DQ56:DR56" si="154">DQ6</f>
        <v>12/25E</v>
      </c>
      <c r="DR56" s="6134" t="str">
        <f t="shared" si="154"/>
        <v>2025E</v>
      </c>
      <c r="DS56" s="6134" t="str">
        <f t="shared" ref="DS56:DW56" si="155">DS6</f>
        <v>3/26E</v>
      </c>
      <c r="DT56" s="6134" t="str">
        <f t="shared" si="155"/>
        <v>6/26E</v>
      </c>
      <c r="DU56" s="6134" t="str">
        <f t="shared" si="155"/>
        <v>9/26E</v>
      </c>
      <c r="DV56" s="6134" t="str">
        <f t="shared" si="155"/>
        <v>12/26E</v>
      </c>
      <c r="DW56" s="6134" t="str">
        <f t="shared" si="155"/>
        <v>2026E</v>
      </c>
      <c r="DX56" s="6134" t="str">
        <f t="shared" si="153"/>
        <v>2027E</v>
      </c>
      <c r="DY56" s="6134" t="str">
        <f t="shared" si="153"/>
        <v>2028E</v>
      </c>
      <c r="DZ56" s="6134" t="str">
        <f t="shared" ref="DZ56:EA56" si="156">DZ6</f>
        <v>2029E</v>
      </c>
      <c r="EA56" s="6134" t="str">
        <f t="shared" si="156"/>
        <v>2030E</v>
      </c>
      <c r="EC56" s="4324"/>
      <c r="ED56" s="4324"/>
    </row>
    <row r="57" spans="1:135" s="129" customFormat="1" ht="11.25" customHeight="1">
      <c r="A57" s="1585" t="s">
        <v>144</v>
      </c>
      <c r="B57" s="1717"/>
      <c r="C57" s="4"/>
      <c r="D57" s="4"/>
      <c r="E57" s="4"/>
      <c r="F57" s="4"/>
      <c r="G57" s="1717"/>
      <c r="H57" s="4"/>
      <c r="I57" s="4"/>
      <c r="J57" s="4"/>
      <c r="K57" s="4"/>
      <c r="L57" s="1717"/>
      <c r="M57" s="3865"/>
      <c r="N57" s="4"/>
      <c r="O57" s="4"/>
      <c r="P57" s="4"/>
      <c r="Q57" s="1717"/>
      <c r="R57" s="3865"/>
      <c r="S57" s="4"/>
      <c r="T57" s="4"/>
      <c r="U57" s="4"/>
      <c r="V57" s="1717"/>
      <c r="W57" s="3865"/>
      <c r="X57" s="4"/>
      <c r="Y57" s="4"/>
      <c r="Z57" s="343"/>
      <c r="AA57" s="1717"/>
      <c r="AB57" s="2834"/>
      <c r="AC57" s="174"/>
      <c r="AD57" s="174"/>
      <c r="AE57" s="196"/>
      <c r="AF57" s="1717"/>
      <c r="AG57" s="2834"/>
      <c r="AH57" s="174"/>
      <c r="AI57" s="174"/>
      <c r="AJ57" s="196"/>
      <c r="AK57" s="1717"/>
      <c r="AL57" s="2834"/>
      <c r="AM57" s="174"/>
      <c r="AN57" s="174"/>
      <c r="AO57" s="196"/>
      <c r="AP57" s="1717"/>
      <c r="AQ57" s="2834"/>
      <c r="AR57" s="174"/>
      <c r="AS57" s="174"/>
      <c r="AT57" s="196"/>
      <c r="AU57" s="1717"/>
      <c r="AV57" s="174"/>
      <c r="AW57" s="174"/>
      <c r="AX57" s="174"/>
      <c r="AY57" s="174"/>
      <c r="AZ57" s="1717"/>
      <c r="BA57" s="174"/>
      <c r="BB57" s="174"/>
      <c r="BC57" s="174"/>
      <c r="BD57" s="174"/>
      <c r="BE57" s="1717"/>
      <c r="BF57" s="174"/>
      <c r="BG57" s="174"/>
      <c r="BH57" s="174"/>
      <c r="BI57" s="174"/>
      <c r="BJ57" s="1717"/>
      <c r="BK57" s="554"/>
      <c r="BL57" s="174"/>
      <c r="BM57" s="174"/>
      <c r="BN57" s="555"/>
      <c r="BO57" s="1717"/>
      <c r="BP57" s="554"/>
      <c r="BQ57" s="174"/>
      <c r="BR57" s="174"/>
      <c r="BS57" s="555"/>
      <c r="BT57" s="1717"/>
      <c r="BU57" s="554"/>
      <c r="BV57" s="174"/>
      <c r="BW57" s="174"/>
      <c r="BX57" s="555"/>
      <c r="BY57" s="1717"/>
      <c r="BZ57" s="174"/>
      <c r="CA57" s="174"/>
      <c r="CB57" s="174"/>
      <c r="CC57" s="174"/>
      <c r="CD57" s="1717"/>
      <c r="CE57" s="174"/>
      <c r="CF57" s="174"/>
      <c r="CG57" s="174"/>
      <c r="CH57" s="174"/>
      <c r="CI57" s="1717"/>
      <c r="CJ57" s="174"/>
      <c r="CK57" s="174"/>
      <c r="CL57" s="174"/>
      <c r="CM57" s="174"/>
      <c r="CN57" s="1717"/>
      <c r="CO57" s="174"/>
      <c r="CP57" s="174"/>
      <c r="CQ57" s="174"/>
      <c r="CR57" s="174"/>
      <c r="CS57" s="1717"/>
      <c r="CT57" s="174"/>
      <c r="CU57" s="174"/>
      <c r="CV57" s="174"/>
      <c r="CW57" s="174"/>
      <c r="CX57" s="1717"/>
      <c r="CY57" s="174"/>
      <c r="CZ57" s="174"/>
      <c r="DA57" s="174"/>
      <c r="DB57" s="174"/>
      <c r="DC57" s="5146"/>
      <c r="DD57" s="174"/>
      <c r="DE57" s="174"/>
      <c r="DF57" s="174"/>
      <c r="DG57" s="174"/>
      <c r="DH57" s="5146"/>
      <c r="DI57" s="174"/>
      <c r="DJ57" s="174"/>
      <c r="DK57" s="174"/>
      <c r="DL57" s="174"/>
      <c r="DM57" s="5146"/>
      <c r="DN57" s="174"/>
      <c r="DO57" s="174"/>
      <c r="DP57" s="174"/>
      <c r="DQ57" s="174"/>
      <c r="DR57" s="5146"/>
      <c r="DS57" s="174"/>
      <c r="DT57" s="174"/>
      <c r="DU57" s="174"/>
      <c r="DV57" s="174"/>
      <c r="DW57" s="5146"/>
      <c r="DX57" s="1717"/>
      <c r="DY57" s="1717"/>
      <c r="DZ57" s="1717"/>
      <c r="EA57" s="1717"/>
      <c r="EC57" s="2524"/>
      <c r="ED57" s="2524"/>
    </row>
    <row r="58" spans="1:135" s="84" customFormat="1" ht="11.25" customHeight="1">
      <c r="A58" s="1586" t="s">
        <v>65</v>
      </c>
      <c r="B58" s="1039">
        <v>-11.736000000000001</v>
      </c>
      <c r="C58" s="340"/>
      <c r="D58" s="1462">
        <f t="shared" ref="D58:D65" si="157">-C58</f>
        <v>0</v>
      </c>
      <c r="E58" s="1462">
        <f t="shared" ref="E58:E65" si="158">-D58-C58</f>
        <v>0</v>
      </c>
      <c r="F58" s="1462">
        <f t="shared" ref="F58:F65" si="159">G58-SUM(C58:E58)</f>
        <v>-43.877000000000002</v>
      </c>
      <c r="G58" s="1038">
        <v>-43.877000000000002</v>
      </c>
      <c r="H58" s="511">
        <v>-17.817</v>
      </c>
      <c r="I58" s="511">
        <f>-34.174-H58</f>
        <v>-16.356999999999999</v>
      </c>
      <c r="J58" s="511">
        <f>-54.574-I58-H58</f>
        <v>-20.399999999999999</v>
      </c>
      <c r="K58" s="511">
        <f t="shared" ref="K58:K65" si="160">L58-SUM(H58:J58)</f>
        <v>-35.811000000000007</v>
      </c>
      <c r="L58" s="1038">
        <v>-90.385000000000005</v>
      </c>
      <c r="M58" s="1463">
        <v>-24.815000000000001</v>
      </c>
      <c r="N58" s="511">
        <f>-36.497-M58</f>
        <v>-11.681999999999999</v>
      </c>
      <c r="O58" s="511">
        <f>-78.361-N58-M58</f>
        <v>-41.864000000000004</v>
      </c>
      <c r="P58" s="511">
        <f t="shared" ref="P58:P65" si="161">Q58-SUM(M58:O58)</f>
        <v>-78.566999999999993</v>
      </c>
      <c r="Q58" s="1038">
        <v>-156.928</v>
      </c>
      <c r="R58" s="1463">
        <v>-60.069000000000003</v>
      </c>
      <c r="S58" s="511">
        <f>-104.587-R58</f>
        <v>-44.518000000000001</v>
      </c>
      <c r="T58" s="511">
        <f>-225.083-S58-R58</f>
        <v>-120.496</v>
      </c>
      <c r="U58" s="511">
        <f t="shared" ref="U58:U64" si="162">V58-SUM(R58:T58)</f>
        <v>-147.20700000000002</v>
      </c>
      <c r="V58" s="1038">
        <v>-372.29</v>
      </c>
      <c r="W58" s="1463">
        <v>-155.221</v>
      </c>
      <c r="X58" s="511">
        <f>-193.211-W58</f>
        <v>-37.990000000000009</v>
      </c>
      <c r="Y58" s="511">
        <f>-343.356-X58-W58</f>
        <v>-150.14499999999998</v>
      </c>
      <c r="Z58" s="511">
        <f t="shared" ref="Z58:Z65" si="163">AA58-Y58-X58-W58</f>
        <v>-280.65599999999995</v>
      </c>
      <c r="AA58" s="1038">
        <v>-624.01199999999994</v>
      </c>
      <c r="AB58" s="1426">
        <v>-153.56200000000001</v>
      </c>
      <c r="AC58" s="226">
        <f>-325.034-AB58</f>
        <v>-171.47199999999998</v>
      </c>
      <c r="AD58" s="226">
        <f>-559.425-AC58-AB58</f>
        <v>-234.39099999999996</v>
      </c>
      <c r="AE58" s="226">
        <f t="shared" ref="AE58:AE65" si="164">AF58-AD58-AC58-AB58</f>
        <v>-277.822</v>
      </c>
      <c r="AF58" s="1038">
        <v>-837.24699999999996</v>
      </c>
      <c r="AG58" s="1426">
        <v>-223.49299999999999</v>
      </c>
      <c r="AH58" s="226">
        <v>-72.882999999999996</v>
      </c>
      <c r="AI58" s="226">
        <f>-218.326-AH58-AG58</f>
        <v>78.050000000000011</v>
      </c>
      <c r="AJ58" s="226">
        <v>-116.13800000000001</v>
      </c>
      <c r="AK58" s="1038">
        <f t="shared" ref="AK58:AK65" si="165">SUM(AG58:AJ58)</f>
        <v>-334.46399999999994</v>
      </c>
      <c r="AL58" s="1426">
        <v>97.39</v>
      </c>
      <c r="AM58" s="226">
        <f>-139.118</f>
        <v>-139.11799999999999</v>
      </c>
      <c r="AN58" s="226">
        <v>-84.950999999999993</v>
      </c>
      <c r="AO58" s="226">
        <v>-377.36</v>
      </c>
      <c r="AP58" s="1038">
        <f t="shared" ref="AP58:AP65" si="166">SUM(AL58:AO58)</f>
        <v>-504.03899999999999</v>
      </c>
      <c r="AQ58" s="1464">
        <v>46</v>
      </c>
      <c r="AR58" s="656">
        <v>-243</v>
      </c>
      <c r="AS58" s="656">
        <v>-259</v>
      </c>
      <c r="AT58" s="656">
        <v>-673</v>
      </c>
      <c r="AU58" s="1038">
        <f t="shared" ref="AU58:AU65" si="167">SUM(AQ58:AT58)</f>
        <v>-1129</v>
      </c>
      <c r="AV58" s="656">
        <v>181</v>
      </c>
      <c r="AW58" s="656">
        <v>-205</v>
      </c>
      <c r="AX58" s="656">
        <v>-223</v>
      </c>
      <c r="AY58" s="656">
        <v>-909</v>
      </c>
      <c r="AZ58" s="1038">
        <f t="shared" ref="AZ58:AZ65" si="168">SUM(AV58:AY58)</f>
        <v>-1156</v>
      </c>
      <c r="BA58" s="656">
        <v>301</v>
      </c>
      <c r="BB58" s="656">
        <v>-222</v>
      </c>
      <c r="BC58" s="656">
        <v>-307</v>
      </c>
      <c r="BD58" s="656">
        <v>-559</v>
      </c>
      <c r="BE58" s="1038">
        <f t="shared" ref="BE58:BE65" si="169">SUM(BA58:BD58)</f>
        <v>-787</v>
      </c>
      <c r="BF58" s="656">
        <v>256</v>
      </c>
      <c r="BG58" s="656">
        <v>-194</v>
      </c>
      <c r="BH58" s="656">
        <v>-516</v>
      </c>
      <c r="BI58" s="656">
        <v>-853</v>
      </c>
      <c r="BJ58" s="1038">
        <f t="shared" ref="BJ58:BJ65" si="170">SUM(BF58:BI58)</f>
        <v>-1307</v>
      </c>
      <c r="BK58" s="667">
        <v>267</v>
      </c>
      <c r="BL58" s="656">
        <v>-721</v>
      </c>
      <c r="BM58" s="656">
        <v>-36</v>
      </c>
      <c r="BN58" s="656">
        <v>-1151</v>
      </c>
      <c r="BO58" s="1038">
        <f t="shared" ref="BO58:BO65" si="171">SUM(BK58:BN58)</f>
        <v>-1641</v>
      </c>
      <c r="BP58" s="667">
        <v>698</v>
      </c>
      <c r="BQ58" s="656">
        <v>-767</v>
      </c>
      <c r="BR58" s="656">
        <v>-267</v>
      </c>
      <c r="BS58" s="656">
        <v>-1758</v>
      </c>
      <c r="BT58" s="1038">
        <f>-(BS!BS10-BS!BN10)</f>
        <v>-2173</v>
      </c>
      <c r="BU58" s="821">
        <v>818</v>
      </c>
      <c r="BV58" s="656">
        <v>-835</v>
      </c>
      <c r="BW58" s="656">
        <v>-282</v>
      </c>
      <c r="BX58" s="656">
        <v>-2279</v>
      </c>
      <c r="BY58" s="1038">
        <f t="shared" ref="BY58:BY66" si="172">SUM(BU58:BX58)</f>
        <v>-2578</v>
      </c>
      <c r="BZ58" s="656">
        <v>1267</v>
      </c>
      <c r="CA58" s="656">
        <v>-836</v>
      </c>
      <c r="CB58" s="656">
        <v>-1150</v>
      </c>
      <c r="CC58" s="656">
        <v>-3049</v>
      </c>
      <c r="CD58" s="1038">
        <f t="shared" ref="CD58:CD66" si="173">SUM(BZ58:CC58)</f>
        <v>-3768</v>
      </c>
      <c r="CE58" s="656">
        <v>1700</v>
      </c>
      <c r="CF58" s="656">
        <v>-312</v>
      </c>
      <c r="CG58" s="656">
        <v>-670</v>
      </c>
      <c r="CH58" s="656">
        <v>-2887</v>
      </c>
      <c r="CI58" s="1038">
        <f t="shared" ref="CI58:CI66" si="174">SUM(CE58:CH58)</f>
        <v>-2169</v>
      </c>
      <c r="CJ58" s="656">
        <v>1172</v>
      </c>
      <c r="CK58" s="656">
        <v>-1146</v>
      </c>
      <c r="CL58" s="656">
        <v>-1</v>
      </c>
      <c r="CM58" s="656">
        <v>-4365</v>
      </c>
      <c r="CN58" s="1038">
        <f t="shared" ref="CN58:CN66" si="175">SUM(CJ58:CM58)</f>
        <v>-4340</v>
      </c>
      <c r="CO58" s="656">
        <v>2602</v>
      </c>
      <c r="CP58" s="656">
        <v>-80</v>
      </c>
      <c r="CQ58" s="656">
        <v>-3601</v>
      </c>
      <c r="CR58" s="656">
        <v>-5445</v>
      </c>
      <c r="CS58" s="1038">
        <f t="shared" ref="CS58:CS66" si="176">SUM(CO58:CR58)</f>
        <v>-6524</v>
      </c>
      <c r="CT58" s="656">
        <v>2794</v>
      </c>
      <c r="CU58" s="656">
        <v>-3661</v>
      </c>
      <c r="CV58" s="656">
        <v>-2409</v>
      </c>
      <c r="CW58" s="656">
        <v>-5819</v>
      </c>
      <c r="CX58" s="1038">
        <f t="shared" ref="CX58:CX66" si="177">SUM(CT58:CW58)</f>
        <v>-9095</v>
      </c>
      <c r="CY58" s="656">
        <v>4364</v>
      </c>
      <c r="CZ58" s="656">
        <v>-1969</v>
      </c>
      <c r="DA58" s="656">
        <v>-97</v>
      </c>
      <c r="DB58" s="656">
        <v>-4615</v>
      </c>
      <c r="DC58" s="4026">
        <f t="shared" ref="DC58:DC66" si="178">SUM(CY58:DB58)</f>
        <v>-2317</v>
      </c>
      <c r="DD58" s="656">
        <v>4454</v>
      </c>
      <c r="DE58" s="656">
        <v>-2948</v>
      </c>
      <c r="DF58" s="656">
        <v>-2821</v>
      </c>
      <c r="DG58" s="656">
        <v>-6518</v>
      </c>
      <c r="DH58" s="4026">
        <f t="shared" ref="DH58:DH66" si="179">SUM(DD58:DG58)</f>
        <v>-7833</v>
      </c>
      <c r="DI58" s="656">
        <v>3167</v>
      </c>
      <c r="DJ58" s="656">
        <v>-3057</v>
      </c>
      <c r="DK58" s="656">
        <v>-1431</v>
      </c>
      <c r="DL58" s="656">
        <v>-4570</v>
      </c>
      <c r="DM58" s="4026">
        <f t="shared" ref="DM58:DM66" si="180">SUM(DI58:DL58)</f>
        <v>-5891</v>
      </c>
      <c r="DN58" s="656">
        <v>1638</v>
      </c>
      <c r="DO58" s="656">
        <v>-2839</v>
      </c>
      <c r="DP58" s="656">
        <v>-2381</v>
      </c>
      <c r="DQ58" s="226">
        <f>-(BS!DQ10-BS!DP10)</f>
        <v>-4404.9564900756013</v>
      </c>
      <c r="DR58" s="4026">
        <f t="shared" ref="DR58:DR66" si="181">SUM(DN58:DQ58)</f>
        <v>-7986.9564900756013</v>
      </c>
      <c r="DS58" s="226">
        <f>-(BS!DS10-BS!DR10)</f>
        <v>955.3800961893503</v>
      </c>
      <c r="DT58" s="226">
        <f>-(BS!DT10-BS!DS10)</f>
        <v>-4551.8374405344366</v>
      </c>
      <c r="DU58" s="226">
        <f>-(BS!DU10-BS!DT10)</f>
        <v>-1961.9547551132709</v>
      </c>
      <c r="DV58" s="226">
        <f>-(BS!DV10-BS!DU10)</f>
        <v>-5295.9517970970919</v>
      </c>
      <c r="DW58" s="4026">
        <f t="shared" ref="DW58:DW66" si="182">SUM(DS58:DV58)</f>
        <v>-10854.363896555449</v>
      </c>
      <c r="DX58" s="1038">
        <f>-(BS!DX10-BS!DW10)</f>
        <v>-10290.070499352572</v>
      </c>
      <c r="DY58" s="1038">
        <f>-(BS!DY10-BS!DX10)</f>
        <v>-10462.175396273044</v>
      </c>
      <c r="DZ58" s="1038">
        <f>-(BS!DZ10-BS!DY10)</f>
        <v>-10426.022527361783</v>
      </c>
      <c r="EA58" s="1038">
        <f>-(BS!EA10-BS!DZ10)</f>
        <v>-10846.882879315061</v>
      </c>
      <c r="EC58" s="4320"/>
      <c r="ED58" s="4320"/>
      <c r="EE58" s="514"/>
    </row>
    <row r="59" spans="1:135" s="84" customFormat="1" ht="11.25" customHeight="1">
      <c r="A59" s="1586" t="s">
        <v>284</v>
      </c>
      <c r="B59" s="1039">
        <v>2.3980000000000001</v>
      </c>
      <c r="C59" s="340"/>
      <c r="D59" s="1462">
        <f t="shared" si="157"/>
        <v>0</v>
      </c>
      <c r="E59" s="1462">
        <f t="shared" si="158"/>
        <v>0</v>
      </c>
      <c r="F59" s="1462">
        <f t="shared" si="159"/>
        <v>11.516999999999999</v>
      </c>
      <c r="G59" s="1038">
        <v>11.516999999999999</v>
      </c>
      <c r="H59" s="511">
        <v>34.777000000000001</v>
      </c>
      <c r="I59" s="511">
        <f>16.619-H59</f>
        <v>-18.158000000000001</v>
      </c>
      <c r="J59" s="511">
        <f>8.12-I59-H59</f>
        <v>-8.4990000000000023</v>
      </c>
      <c r="K59" s="511">
        <f t="shared" si="160"/>
        <v>-14.438999999999997</v>
      </c>
      <c r="L59" s="1038">
        <v>-6.319</v>
      </c>
      <c r="M59" s="1465">
        <v>73.06</v>
      </c>
      <c r="N59" s="511">
        <f>87.997-M59</f>
        <v>14.936999999999998</v>
      </c>
      <c r="O59" s="1466">
        <f>-182.415-N59-M59</f>
        <v>-270.41199999999998</v>
      </c>
      <c r="P59" s="511">
        <f t="shared" si="161"/>
        <v>57.18799999999996</v>
      </c>
      <c r="Q59" s="1038">
        <v>-125.227</v>
      </c>
      <c r="R59" s="1465">
        <v>6.0439999999999996</v>
      </c>
      <c r="S59" s="1466">
        <f>37.27-R59</f>
        <v>31.226000000000003</v>
      </c>
      <c r="T59" s="1466">
        <f>127.835-S59-R59</f>
        <v>90.564999999999998</v>
      </c>
      <c r="U59" s="511">
        <f t="shared" si="162"/>
        <v>-40.435000000000002</v>
      </c>
      <c r="V59" s="1038">
        <v>87.4</v>
      </c>
      <c r="W59" s="1465">
        <v>139.24199999999999</v>
      </c>
      <c r="X59" s="1466">
        <f>7.297-W59</f>
        <v>-131.94499999999999</v>
      </c>
      <c r="Y59" s="1466">
        <f>528.493-X59-W59</f>
        <v>521.19600000000014</v>
      </c>
      <c r="Z59" s="511">
        <f t="shared" si="163"/>
        <v>-130.07900000000015</v>
      </c>
      <c r="AA59" s="1038">
        <v>398.41399999999999</v>
      </c>
      <c r="AB59" s="1467">
        <v>337.702</v>
      </c>
      <c r="AC59" s="691">
        <f>333.407-AB59</f>
        <v>-4.2950000000000159</v>
      </c>
      <c r="AD59" s="691">
        <f>431.04-AC59-AB59</f>
        <v>97.633000000000038</v>
      </c>
      <c r="AE59" s="226">
        <f>(744.802-164.212)-AD59-AC59-AB59</f>
        <v>149.55000000000001</v>
      </c>
      <c r="AF59" s="1038">
        <f>SUM(AB59:AE59)</f>
        <v>580.59</v>
      </c>
      <c r="AG59" s="1467">
        <v>438.17500000000001</v>
      </c>
      <c r="AH59" s="691">
        <v>90.183999999999997</v>
      </c>
      <c r="AI59" s="226">
        <f>552.673-AH59-AG59</f>
        <v>24.314000000000021</v>
      </c>
      <c r="AJ59" s="691">
        <v>73.353999999999999</v>
      </c>
      <c r="AK59" s="1038">
        <f t="shared" si="165"/>
        <v>626.02700000000004</v>
      </c>
      <c r="AL59" s="1467">
        <v>324.75299999999999</v>
      </c>
      <c r="AM59" s="691">
        <v>-388.27100000000002</v>
      </c>
      <c r="AN59" s="691">
        <v>160.62100000000001</v>
      </c>
      <c r="AO59" s="691">
        <v>120.373</v>
      </c>
      <c r="AP59" s="1038">
        <f t="shared" si="166"/>
        <v>217.476</v>
      </c>
      <c r="AQ59" s="1468">
        <v>381</v>
      </c>
      <c r="AR59" s="654">
        <v>-545</v>
      </c>
      <c r="AS59" s="654">
        <v>-131</v>
      </c>
      <c r="AT59" s="654">
        <v>397</v>
      </c>
      <c r="AU59" s="1038">
        <f t="shared" si="167"/>
        <v>102</v>
      </c>
      <c r="AV59" s="654">
        <v>73</v>
      </c>
      <c r="AW59" s="654">
        <v>-171</v>
      </c>
      <c r="AX59" s="654">
        <v>366</v>
      </c>
      <c r="AY59" s="654">
        <v>463</v>
      </c>
      <c r="AZ59" s="1038">
        <f t="shared" si="168"/>
        <v>731</v>
      </c>
      <c r="BA59" s="654">
        <v>143</v>
      </c>
      <c r="BB59" s="654">
        <v>1026</v>
      </c>
      <c r="BC59" s="654">
        <v>167</v>
      </c>
      <c r="BD59" s="654">
        <v>156</v>
      </c>
      <c r="BE59" s="1038">
        <f t="shared" si="169"/>
        <v>1492</v>
      </c>
      <c r="BF59" s="654">
        <v>-335</v>
      </c>
      <c r="BG59" s="654">
        <v>179</v>
      </c>
      <c r="BH59" s="654">
        <v>77</v>
      </c>
      <c r="BI59" s="654">
        <v>480</v>
      </c>
      <c r="BJ59" s="1038">
        <f t="shared" si="170"/>
        <v>401</v>
      </c>
      <c r="BK59" s="654">
        <v>201</v>
      </c>
      <c r="BL59" s="654">
        <v>-263</v>
      </c>
      <c r="BM59" s="654">
        <v>413</v>
      </c>
      <c r="BN59" s="654">
        <v>-68</v>
      </c>
      <c r="BO59" s="1038">
        <f t="shared" si="171"/>
        <v>283</v>
      </c>
      <c r="BP59" s="654">
        <v>756</v>
      </c>
      <c r="BQ59" s="654">
        <f>1950-BP59</f>
        <v>1194</v>
      </c>
      <c r="BR59" s="654">
        <v>-857</v>
      </c>
      <c r="BS59" s="654">
        <v>-1272</v>
      </c>
      <c r="BT59" s="1038">
        <f t="shared" ref="BT59:BT66" si="183">SUM(BP59:BS59)</f>
        <v>-179</v>
      </c>
      <c r="BU59" s="823">
        <v>271</v>
      </c>
      <c r="BV59" s="654">
        <v>1409</v>
      </c>
      <c r="BW59" s="654">
        <v>473</v>
      </c>
      <c r="BX59" s="1513">
        <v>972</v>
      </c>
      <c r="BY59" s="1038">
        <f t="shared" si="172"/>
        <v>3125</v>
      </c>
      <c r="BZ59" s="654">
        <v>510</v>
      </c>
      <c r="CA59" s="654">
        <v>-2289</v>
      </c>
      <c r="CB59" s="654">
        <v>914</v>
      </c>
      <c r="CC59" s="654">
        <v>9076</v>
      </c>
      <c r="CD59" s="1038">
        <f t="shared" si="173"/>
        <v>8211</v>
      </c>
      <c r="CE59" s="654">
        <v>782</v>
      </c>
      <c r="CF59" s="654">
        <v>-1438</v>
      </c>
      <c r="CG59" s="654">
        <v>-1235</v>
      </c>
      <c r="CH59" s="654">
        <v>-360</v>
      </c>
      <c r="CI59" s="1038">
        <f t="shared" si="174"/>
        <v>-2251</v>
      </c>
      <c r="CJ59" s="654">
        <v>1068</v>
      </c>
      <c r="CK59" s="654">
        <v>-1043</v>
      </c>
      <c r="CL59" s="654">
        <v>185</v>
      </c>
      <c r="CM59" s="654">
        <v>-3338</v>
      </c>
      <c r="CN59" s="1038">
        <f t="shared" si="175"/>
        <v>-3128</v>
      </c>
      <c r="CO59" s="654">
        <v>-245</v>
      </c>
      <c r="CP59" s="654">
        <v>783</v>
      </c>
      <c r="CQ59" s="654">
        <v>-69</v>
      </c>
      <c r="CR59" s="654">
        <v>740</v>
      </c>
      <c r="CS59" s="1038">
        <f t="shared" si="176"/>
        <v>1209</v>
      </c>
      <c r="CT59" s="654">
        <v>785</v>
      </c>
      <c r="CU59" s="654">
        <v>-1082</v>
      </c>
      <c r="CV59" s="654">
        <v>3041</v>
      </c>
      <c r="CW59" s="654">
        <v>-3369</v>
      </c>
      <c r="CX59" s="1038">
        <f t="shared" si="177"/>
        <v>-625</v>
      </c>
      <c r="CY59" s="654">
        <v>3820</v>
      </c>
      <c r="CZ59" s="654">
        <v>-4073</v>
      </c>
      <c r="DA59" s="654">
        <v>-609</v>
      </c>
      <c r="DB59" s="654">
        <v>1446</v>
      </c>
      <c r="DC59" s="4026">
        <f t="shared" si="178"/>
        <v>584</v>
      </c>
      <c r="DD59" s="654">
        <v>4069</v>
      </c>
      <c r="DE59" s="654">
        <v>4451</v>
      </c>
      <c r="DF59" s="654">
        <v>1872</v>
      </c>
      <c r="DG59" s="654">
        <v>-9869</v>
      </c>
      <c r="DH59" s="4026">
        <f t="shared" si="179"/>
        <v>523</v>
      </c>
      <c r="DI59" s="654">
        <v>3011</v>
      </c>
      <c r="DJ59" s="654">
        <v>-3900</v>
      </c>
      <c r="DK59" s="654">
        <v>-1908</v>
      </c>
      <c r="DL59" s="654">
        <v>379</v>
      </c>
      <c r="DM59" s="4026">
        <f t="shared" si="180"/>
        <v>-2418</v>
      </c>
      <c r="DN59" s="654">
        <v>7197</v>
      </c>
      <c r="DO59" s="654">
        <v>-9631</v>
      </c>
      <c r="DP59" s="654">
        <v>-858</v>
      </c>
      <c r="DQ59" s="691">
        <f>SUM(BS!DQ34,BS!DQ44)-SUM(BS!DP34,BS!DP44)</f>
        <v>-396</v>
      </c>
      <c r="DR59" s="4026">
        <f t="shared" si="181"/>
        <v>-3688</v>
      </c>
      <c r="DS59" s="691">
        <f>SUM(BS!DS34,BS!DS44)-SUM(BS!DR34,BS!DR44)</f>
        <v>0</v>
      </c>
      <c r="DT59" s="691">
        <f>SUM(BS!DT34,BS!DT44)-SUM(BS!DS34,BS!DS44)</f>
        <v>0</v>
      </c>
      <c r="DU59" s="691">
        <f>SUM(BS!DU34,BS!DU44)-SUM(BS!DT34,BS!DT44)</f>
        <v>0</v>
      </c>
      <c r="DV59" s="691">
        <f>SUM(BS!DV34,BS!DV44)-SUM(BS!DU34,BS!DU44)</f>
        <v>0</v>
      </c>
      <c r="DW59" s="4026">
        <f t="shared" si="182"/>
        <v>0</v>
      </c>
      <c r="DX59" s="1038">
        <f>SUM(BS!DX34,BS!DX44)-SUM(BS!DW34,BS!DW44)</f>
        <v>-792</v>
      </c>
      <c r="DY59" s="1038">
        <f>SUM(BS!DY34,BS!DY44)-SUM(BS!DX34,BS!DX44)</f>
        <v>-792</v>
      </c>
      <c r="DZ59" s="1038">
        <f>SUM(BS!DZ34,BS!DZ44)-SUM(BS!DY34,BS!DY44)</f>
        <v>-792</v>
      </c>
      <c r="EA59" s="1038">
        <f>SUM(BS!EA34,BS!EA44)-SUM(BS!DZ34,BS!DZ44)</f>
        <v>-792</v>
      </c>
      <c r="EC59" s="4320"/>
      <c r="ED59" s="4320"/>
      <c r="EE59" s="514"/>
    </row>
    <row r="60" spans="1:135" s="84" customFormat="1" ht="11.25" customHeight="1">
      <c r="A60" s="1586" t="s">
        <v>382</v>
      </c>
      <c r="B60" s="1039"/>
      <c r="C60" s="340"/>
      <c r="D60" s="1462"/>
      <c r="E60" s="1462"/>
      <c r="F60" s="1462"/>
      <c r="G60" s="1038"/>
      <c r="H60" s="511"/>
      <c r="I60" s="511"/>
      <c r="J60" s="511"/>
      <c r="K60" s="511"/>
      <c r="L60" s="1038"/>
      <c r="M60" s="1465"/>
      <c r="N60" s="511"/>
      <c r="O60" s="1466"/>
      <c r="P60" s="511"/>
      <c r="Q60" s="1038"/>
      <c r="R60" s="1465"/>
      <c r="S60" s="1466"/>
      <c r="T60" s="1466"/>
      <c r="U60" s="511"/>
      <c r="V60" s="1038"/>
      <c r="W60" s="1465"/>
      <c r="X60" s="1466"/>
      <c r="Y60" s="1466"/>
      <c r="Z60" s="511"/>
      <c r="AA60" s="1038"/>
      <c r="AB60" s="1467"/>
      <c r="AC60" s="691"/>
      <c r="AD60" s="691"/>
      <c r="AE60" s="226"/>
      <c r="AF60" s="1038"/>
      <c r="AG60" s="1467"/>
      <c r="AH60" s="691"/>
      <c r="AI60" s="226"/>
      <c r="AJ60" s="691"/>
      <c r="AK60" s="1038"/>
      <c r="AL60" s="1467"/>
      <c r="AM60" s="691"/>
      <c r="AN60" s="691"/>
      <c r="AO60" s="691"/>
      <c r="AP60" s="1038"/>
      <c r="AQ60" s="1468"/>
      <c r="AR60" s="654"/>
      <c r="AS60" s="654"/>
      <c r="AT60" s="654"/>
      <c r="AU60" s="1038"/>
      <c r="AV60" s="654"/>
      <c r="AW60" s="654"/>
      <c r="AX60" s="654"/>
      <c r="AY60" s="654"/>
      <c r="AZ60" s="1038"/>
      <c r="BA60" s="654"/>
      <c r="BB60" s="654">
        <v>202</v>
      </c>
      <c r="BC60" s="654">
        <v>18</v>
      </c>
      <c r="BD60" s="654">
        <v>113</v>
      </c>
      <c r="BE60" s="1038">
        <f t="shared" si="169"/>
        <v>333</v>
      </c>
      <c r="BF60" s="654">
        <v>-142</v>
      </c>
      <c r="BG60" s="654">
        <v>-16</v>
      </c>
      <c r="BH60" s="654">
        <v>112</v>
      </c>
      <c r="BI60" s="654">
        <v>-188</v>
      </c>
      <c r="BJ60" s="1038">
        <f t="shared" si="170"/>
        <v>-234</v>
      </c>
      <c r="BK60" s="672">
        <v>26</v>
      </c>
      <c r="BL60" s="654">
        <v>-6</v>
      </c>
      <c r="BM60" s="654">
        <v>26</v>
      </c>
      <c r="BN60" s="654">
        <v>0</v>
      </c>
      <c r="BO60" s="1038">
        <f t="shared" si="171"/>
        <v>46</v>
      </c>
      <c r="BP60" s="672">
        <v>0</v>
      </c>
      <c r="BQ60" s="654">
        <v>0</v>
      </c>
      <c r="BR60" s="654">
        <v>0</v>
      </c>
      <c r="BS60" s="654">
        <v>0</v>
      </c>
      <c r="BT60" s="1038">
        <f t="shared" si="183"/>
        <v>0</v>
      </c>
      <c r="BU60" s="1469">
        <v>0</v>
      </c>
      <c r="BV60" s="654">
        <v>0</v>
      </c>
      <c r="BW60" s="654">
        <v>0</v>
      </c>
      <c r="BX60" s="1513">
        <v>0</v>
      </c>
      <c r="BY60" s="1038">
        <f t="shared" si="172"/>
        <v>0</v>
      </c>
      <c r="BZ60" s="654">
        <v>0</v>
      </c>
      <c r="CA60" s="654">
        <v>0</v>
      </c>
      <c r="CB60" s="654">
        <v>0</v>
      </c>
      <c r="CC60" s="654">
        <v>0</v>
      </c>
      <c r="CD60" s="1038">
        <f t="shared" si="173"/>
        <v>0</v>
      </c>
      <c r="CE60" s="654">
        <v>0</v>
      </c>
      <c r="CF60" s="654">
        <v>0</v>
      </c>
      <c r="CG60" s="654">
        <v>0</v>
      </c>
      <c r="CH60" s="654">
        <v>0</v>
      </c>
      <c r="CI60" s="1038">
        <f t="shared" si="174"/>
        <v>0</v>
      </c>
      <c r="CJ60" s="654">
        <v>0</v>
      </c>
      <c r="CK60" s="654">
        <v>0</v>
      </c>
      <c r="CL60" s="654">
        <v>0</v>
      </c>
      <c r="CM60" s="654">
        <v>0</v>
      </c>
      <c r="CN60" s="1038">
        <f t="shared" si="175"/>
        <v>0</v>
      </c>
      <c r="CO60" s="654">
        <v>0</v>
      </c>
      <c r="CP60" s="654">
        <v>0</v>
      </c>
      <c r="CQ60" s="654">
        <v>0</v>
      </c>
      <c r="CR60" s="654">
        <v>0</v>
      </c>
      <c r="CS60" s="1038">
        <f t="shared" si="176"/>
        <v>0</v>
      </c>
      <c r="CT60" s="654">
        <v>0</v>
      </c>
      <c r="CU60" s="654">
        <v>0</v>
      </c>
      <c r="CV60" s="654">
        <v>0</v>
      </c>
      <c r="CW60" s="654">
        <v>0</v>
      </c>
      <c r="CX60" s="1038">
        <f t="shared" si="177"/>
        <v>0</v>
      </c>
      <c r="CY60" s="654">
        <v>0</v>
      </c>
      <c r="CZ60" s="654">
        <v>0</v>
      </c>
      <c r="DA60" s="654">
        <v>0</v>
      </c>
      <c r="DB60" s="654">
        <v>0</v>
      </c>
      <c r="DC60" s="4026">
        <f t="shared" si="178"/>
        <v>0</v>
      </c>
      <c r="DD60" s="654">
        <v>0</v>
      </c>
      <c r="DE60" s="654">
        <v>0</v>
      </c>
      <c r="DF60" s="654">
        <v>0</v>
      </c>
      <c r="DG60" s="654">
        <v>0</v>
      </c>
      <c r="DH60" s="4026">
        <f t="shared" si="179"/>
        <v>0</v>
      </c>
      <c r="DI60" s="654">
        <v>0</v>
      </c>
      <c r="DJ60" s="654">
        <v>0</v>
      </c>
      <c r="DK60" s="654">
        <v>0</v>
      </c>
      <c r="DL60" s="654">
        <v>0</v>
      </c>
      <c r="DM60" s="4026">
        <f t="shared" si="180"/>
        <v>0</v>
      </c>
      <c r="DN60" s="654">
        <v>0</v>
      </c>
      <c r="DO60" s="654">
        <v>0</v>
      </c>
      <c r="DP60" s="654">
        <v>0</v>
      </c>
      <c r="DQ60" s="691">
        <v>0</v>
      </c>
      <c r="DR60" s="4026">
        <f t="shared" si="181"/>
        <v>0</v>
      </c>
      <c r="DS60" s="691">
        <v>0</v>
      </c>
      <c r="DT60" s="691">
        <v>0</v>
      </c>
      <c r="DU60" s="691">
        <v>0</v>
      </c>
      <c r="DV60" s="691">
        <v>0</v>
      </c>
      <c r="DW60" s="4026">
        <f t="shared" si="182"/>
        <v>0</v>
      </c>
      <c r="DX60" s="1038">
        <v>0</v>
      </c>
      <c r="DY60" s="1038">
        <v>0</v>
      </c>
      <c r="DZ60" s="1038">
        <v>0</v>
      </c>
      <c r="EA60" s="1038">
        <v>0</v>
      </c>
      <c r="EC60" s="4320"/>
      <c r="ED60" s="4320"/>
      <c r="EE60" s="514"/>
    </row>
    <row r="61" spans="1:135" s="84" customFormat="1" ht="11.25" customHeight="1">
      <c r="A61" s="1587" t="s">
        <v>193</v>
      </c>
      <c r="B61" s="1039">
        <v>-2.1999999999999999E-2</v>
      </c>
      <c r="C61" s="340"/>
      <c r="D61" s="1462">
        <f t="shared" si="157"/>
        <v>0</v>
      </c>
      <c r="E61" s="1462">
        <f t="shared" si="158"/>
        <v>0</v>
      </c>
      <c r="F61" s="1462">
        <f t="shared" si="159"/>
        <v>-5.875</v>
      </c>
      <c r="G61" s="1038">
        <v>-5.875</v>
      </c>
      <c r="H61" s="511">
        <v>-3.64</v>
      </c>
      <c r="I61" s="511">
        <f>-13.75-H61</f>
        <v>-10.11</v>
      </c>
      <c r="J61" s="511">
        <f>-29.156-I61-H61</f>
        <v>-15.405999999999999</v>
      </c>
      <c r="K61" s="511">
        <f t="shared" si="160"/>
        <v>-29.756999999999998</v>
      </c>
      <c r="L61" s="1038">
        <v>-58.912999999999997</v>
      </c>
      <c r="M61" s="1463">
        <v>-4.04</v>
      </c>
      <c r="N61" s="511">
        <f>-66.993-M61</f>
        <v>-62.952999999999996</v>
      </c>
      <c r="O61" s="511">
        <f>-54.134-N61-M61</f>
        <v>12.858999999999995</v>
      </c>
      <c r="P61" s="511">
        <f t="shared" si="161"/>
        <v>-45.644999999999996</v>
      </c>
      <c r="Q61" s="1038">
        <v>-99.778999999999996</v>
      </c>
      <c r="R61" s="1463">
        <v>-29.571000000000002</v>
      </c>
      <c r="S61" s="511">
        <f>-22.942-R61</f>
        <v>6.6290000000000013</v>
      </c>
      <c r="T61" s="511">
        <f>-24.645-S61-R61</f>
        <v>-1.7029999999999994</v>
      </c>
      <c r="U61" s="511">
        <f t="shared" si="162"/>
        <v>-27.017999999999997</v>
      </c>
      <c r="V61" s="1038">
        <v>-51.662999999999997</v>
      </c>
      <c r="W61" s="1463">
        <v>-26.524999999999999</v>
      </c>
      <c r="X61" s="511">
        <f>-67.974-W61</f>
        <v>-41.449000000000005</v>
      </c>
      <c r="Y61" s="511">
        <f>-267.759-X61-W61</f>
        <v>-199.785</v>
      </c>
      <c r="Z61" s="511">
        <f t="shared" si="163"/>
        <v>-21.397999999999982</v>
      </c>
      <c r="AA61" s="1038">
        <v>-289.15699999999998</v>
      </c>
      <c r="AB61" s="1426">
        <v>-185.47800000000001</v>
      </c>
      <c r="AC61" s="226">
        <f>-207.524-AB61</f>
        <v>-22.045999999999992</v>
      </c>
      <c r="AD61" s="226">
        <f>-237.262-AC61-AB61</f>
        <v>-29.738</v>
      </c>
      <c r="AE61" s="226">
        <f t="shared" si="164"/>
        <v>-61.427000000000021</v>
      </c>
      <c r="AF61" s="1038">
        <v>-298.68900000000002</v>
      </c>
      <c r="AG61" s="1426">
        <v>-41.584000000000003</v>
      </c>
      <c r="AH61" s="226">
        <v>-141.21899999999999</v>
      </c>
      <c r="AI61" s="226">
        <f>-169.959-AH61-AG61</f>
        <v>12.843999999999994</v>
      </c>
      <c r="AJ61" s="226">
        <v>22.827000000000002</v>
      </c>
      <c r="AK61" s="1038">
        <f t="shared" si="165"/>
        <v>-147.13200000000001</v>
      </c>
      <c r="AL61" s="1426">
        <v>77.456999999999994</v>
      </c>
      <c r="AM61" s="226">
        <v>10.337999999999999</v>
      </c>
      <c r="AN61" s="226">
        <v>225.66300000000001</v>
      </c>
      <c r="AO61" s="226">
        <v>-51.423000000000002</v>
      </c>
      <c r="AP61" s="1038">
        <f t="shared" si="166"/>
        <v>262.03499999999997</v>
      </c>
      <c r="AQ61" s="1464">
        <v>-157</v>
      </c>
      <c r="AR61" s="656">
        <v>-34</v>
      </c>
      <c r="AS61" s="656">
        <v>-164</v>
      </c>
      <c r="AT61" s="656">
        <v>-59</v>
      </c>
      <c r="AU61" s="1038">
        <f t="shared" si="167"/>
        <v>-414</v>
      </c>
      <c r="AV61" s="656">
        <v>-78</v>
      </c>
      <c r="AW61" s="656">
        <v>-70</v>
      </c>
      <c r="AX61" s="656">
        <v>2</v>
      </c>
      <c r="AY61" s="656">
        <v>-116</v>
      </c>
      <c r="AZ61" s="1038">
        <f t="shared" si="168"/>
        <v>-262</v>
      </c>
      <c r="BA61" s="656">
        <v>-308</v>
      </c>
      <c r="BB61" s="656">
        <v>-912</v>
      </c>
      <c r="BC61" s="656">
        <v>-27</v>
      </c>
      <c r="BD61" s="656">
        <v>382</v>
      </c>
      <c r="BE61" s="1038">
        <f t="shared" si="169"/>
        <v>-865</v>
      </c>
      <c r="BF61" s="656">
        <v>-212</v>
      </c>
      <c r="BG61" s="656">
        <v>-136</v>
      </c>
      <c r="BH61" s="656">
        <v>199</v>
      </c>
      <c r="BI61" s="656">
        <v>-547</v>
      </c>
      <c r="BJ61" s="1038">
        <f t="shared" si="170"/>
        <v>-696</v>
      </c>
      <c r="BK61" s="667">
        <v>-334</v>
      </c>
      <c r="BL61" s="656">
        <v>833</v>
      </c>
      <c r="BM61" s="656">
        <v>-39</v>
      </c>
      <c r="BN61" s="656">
        <v>-47</v>
      </c>
      <c r="BO61" s="1038">
        <f t="shared" si="171"/>
        <v>413</v>
      </c>
      <c r="BP61" s="667">
        <v>43</v>
      </c>
      <c r="BQ61" s="656">
        <v>19</v>
      </c>
      <c r="BR61" s="656">
        <v>142</v>
      </c>
      <c r="BS61" s="656">
        <v>-522</v>
      </c>
      <c r="BT61" s="1038">
        <f t="shared" si="183"/>
        <v>-318</v>
      </c>
      <c r="BU61" s="821">
        <v>185</v>
      </c>
      <c r="BV61" s="656">
        <v>-24</v>
      </c>
      <c r="BW61" s="656">
        <v>-47</v>
      </c>
      <c r="BX61" s="656">
        <v>198</v>
      </c>
      <c r="BY61" s="1038">
        <f t="shared" si="172"/>
        <v>312</v>
      </c>
      <c r="BZ61" s="656">
        <v>-128</v>
      </c>
      <c r="CA61" s="656">
        <v>-326</v>
      </c>
      <c r="CB61" s="656">
        <v>-1632</v>
      </c>
      <c r="CC61" s="656">
        <v>-78</v>
      </c>
      <c r="CD61" s="1038">
        <f t="shared" si="173"/>
        <v>-2164</v>
      </c>
      <c r="CE61" s="656">
        <v>-241</v>
      </c>
      <c r="CF61" s="656">
        <v>-515</v>
      </c>
      <c r="CG61" s="656">
        <v>-484</v>
      </c>
      <c r="CH61" s="656">
        <v>33</v>
      </c>
      <c r="CI61" s="1038">
        <f t="shared" si="174"/>
        <v>-1207</v>
      </c>
      <c r="CJ61" s="656">
        <v>-265</v>
      </c>
      <c r="CK61" s="656">
        <v>89</v>
      </c>
      <c r="CL61" s="656">
        <v>-611</v>
      </c>
      <c r="CM61" s="656">
        <v>166</v>
      </c>
      <c r="CN61" s="1038">
        <f t="shared" si="175"/>
        <v>-621</v>
      </c>
      <c r="CO61" s="656">
        <v>-115</v>
      </c>
      <c r="CP61" s="656">
        <v>-244</v>
      </c>
      <c r="CQ61" s="656">
        <v>-233</v>
      </c>
      <c r="CR61" s="656">
        <v>-738</v>
      </c>
      <c r="CS61" s="1038">
        <f t="shared" si="176"/>
        <v>-1330</v>
      </c>
      <c r="CT61" s="656">
        <v>7</v>
      </c>
      <c r="CU61" s="656">
        <v>-199</v>
      </c>
      <c r="CV61" s="656">
        <v>-1255</v>
      </c>
      <c r="CW61" s="656">
        <v>-399</v>
      </c>
      <c r="CX61" s="1038">
        <f t="shared" si="177"/>
        <v>-1846</v>
      </c>
      <c r="CY61" s="656">
        <v>-776</v>
      </c>
      <c r="CZ61" s="656">
        <v>-845</v>
      </c>
      <c r="DA61" s="656">
        <v>-2647</v>
      </c>
      <c r="DB61" s="656">
        <v>-778</v>
      </c>
      <c r="DC61" s="4026">
        <f t="shared" si="178"/>
        <v>-5046</v>
      </c>
      <c r="DD61" s="656">
        <v>-746</v>
      </c>
      <c r="DE61" s="656">
        <v>-513</v>
      </c>
      <c r="DF61" s="656">
        <v>-1624</v>
      </c>
      <c r="DG61" s="656">
        <v>740</v>
      </c>
      <c r="DH61" s="4026">
        <f t="shared" si="179"/>
        <v>-2143</v>
      </c>
      <c r="DI61" s="656">
        <v>-1000</v>
      </c>
      <c r="DJ61" s="656">
        <v>-532</v>
      </c>
      <c r="DK61" s="656">
        <v>-802</v>
      </c>
      <c r="DL61" s="656">
        <v>937</v>
      </c>
      <c r="DM61" s="4026">
        <f t="shared" si="180"/>
        <v>-1397</v>
      </c>
      <c r="DN61" s="656">
        <v>-1288</v>
      </c>
      <c r="DO61" s="656">
        <v>-1479</v>
      </c>
      <c r="DP61" s="656">
        <v>-1293</v>
      </c>
      <c r="DQ61" s="226">
        <f>-((BS!DQ12+BS!DQ15+BS!DQ25)-(BS!DP12+BS!DP15+BS!DP25))</f>
        <v>-858.14048755124531</v>
      </c>
      <c r="DR61" s="4026">
        <f t="shared" si="181"/>
        <v>-4918.1404875512453</v>
      </c>
      <c r="DS61" s="226">
        <f>-((BS!DS12+BS!DS15+BS!DS25)-(BS!DR12+BS!DR15+BS!DR25))</f>
        <v>1902.0443009180235</v>
      </c>
      <c r="DT61" s="226">
        <f>-((BS!DT12+BS!DT15+BS!DT25)-(BS!DS12+BS!DS15+BS!DS25))</f>
        <v>-1639.7073235029457</v>
      </c>
      <c r="DU61" s="226">
        <f>-((BS!DU12+BS!DU15+BS!DU25)-(BS!DT12+BS!DT15+BS!DT25))</f>
        <v>-5526.0857012604756</v>
      </c>
      <c r="DV61" s="226">
        <f>-((BS!DV12+BS!DV15+BS!DV25)-(BS!DU12+BS!DU15+BS!DU25))</f>
        <v>-1079.6460577334728</v>
      </c>
      <c r="DW61" s="4026">
        <f t="shared" si="182"/>
        <v>-6343.3947815788706</v>
      </c>
      <c r="DX61" s="1038">
        <f>-((BS!DX12+BS!DX15+BS!DX25)-(BS!DW12+BS!DW15+BS!DW25))</f>
        <v>-6013.6162864768194</v>
      </c>
      <c r="DY61" s="1038">
        <f>-((BS!DY12+BS!DY15+BS!DY25)-(BS!DX12+BS!DX15+BS!DX25))</f>
        <v>-6114.1960454948421</v>
      </c>
      <c r="DZ61" s="1038">
        <f>-((BS!DZ12+BS!DZ15+BS!DZ25)-(BS!DY12+BS!DY15+BS!DY25))</f>
        <v>-6093.0679607745915</v>
      </c>
      <c r="EA61" s="1038">
        <f>-((BS!EA12+BS!EA15+BS!EA25)-(BS!DZ12+BS!DZ15+BS!DZ25))</f>
        <v>-6339.0228030662765</v>
      </c>
      <c r="EC61" s="4320"/>
      <c r="ED61" s="4320"/>
      <c r="EE61" s="514"/>
    </row>
    <row r="62" spans="1:135" s="84" customFormat="1" ht="11.25" customHeight="1">
      <c r="A62" s="1587" t="s">
        <v>69</v>
      </c>
      <c r="B62" s="1039">
        <v>1.643</v>
      </c>
      <c r="C62" s="340"/>
      <c r="D62" s="1462">
        <f t="shared" si="157"/>
        <v>0</v>
      </c>
      <c r="E62" s="1462">
        <f t="shared" si="158"/>
        <v>0</v>
      </c>
      <c r="F62" s="1462">
        <f t="shared" si="159"/>
        <v>5.6449999999999996</v>
      </c>
      <c r="G62" s="1038">
        <v>5.6449999999999996</v>
      </c>
      <c r="H62" s="511">
        <v>6.3090000000000002</v>
      </c>
      <c r="I62" s="511">
        <f>10.727-H62</f>
        <v>4.4180000000000001</v>
      </c>
      <c r="J62" s="511">
        <f>35.175-I62-H62</f>
        <v>24.447999999999997</v>
      </c>
      <c r="K62" s="511">
        <f t="shared" si="160"/>
        <v>1.5240000000000009</v>
      </c>
      <c r="L62" s="1038">
        <v>36.698999999999998</v>
      </c>
      <c r="M62" s="1463">
        <v>-8.3940000000000001</v>
      </c>
      <c r="N62" s="511">
        <f>15.642-M62</f>
        <v>24.036000000000001</v>
      </c>
      <c r="O62" s="511">
        <f>3.369-N62-M62</f>
        <v>-12.273000000000001</v>
      </c>
      <c r="P62" s="511">
        <f t="shared" si="161"/>
        <v>-16.884999999999998</v>
      </c>
      <c r="Q62" s="1038">
        <v>-13.516</v>
      </c>
      <c r="R62" s="1463">
        <v>42.694000000000003</v>
      </c>
      <c r="S62" s="511">
        <f>72.779-R62</f>
        <v>30.084999999999994</v>
      </c>
      <c r="T62" s="511">
        <f>54.694-S62-R62</f>
        <v>-18.084999999999994</v>
      </c>
      <c r="U62" s="511">
        <f t="shared" si="162"/>
        <v>25.936999999999998</v>
      </c>
      <c r="V62" s="1038">
        <v>80.631</v>
      </c>
      <c r="W62" s="1463">
        <v>30.231999999999999</v>
      </c>
      <c r="X62" s="511">
        <f>63.879-W62</f>
        <v>33.646999999999998</v>
      </c>
      <c r="Y62" s="511">
        <f>91.198-X62-W62</f>
        <v>27.318999999999996</v>
      </c>
      <c r="Z62" s="511">
        <f t="shared" si="163"/>
        <v>4.2040000000000006</v>
      </c>
      <c r="AA62" s="1038">
        <v>95.402000000000001</v>
      </c>
      <c r="AB62" s="1426">
        <v>-29.256</v>
      </c>
      <c r="AC62" s="226">
        <f>-74.662-AB62</f>
        <v>-45.406000000000006</v>
      </c>
      <c r="AD62" s="226">
        <f>20.155-AC62-AB62</f>
        <v>94.817000000000007</v>
      </c>
      <c r="AE62" s="226">
        <f t="shared" si="164"/>
        <v>49.980000000000004</v>
      </c>
      <c r="AF62" s="1038">
        <v>70.135000000000005</v>
      </c>
      <c r="AG62" s="1426">
        <v>53.783999999999999</v>
      </c>
      <c r="AH62" s="226">
        <v>-14.547000000000001</v>
      </c>
      <c r="AI62" s="226">
        <f>-152.165-AH62-AG62</f>
        <v>-191.40199999999999</v>
      </c>
      <c r="AJ62" s="226">
        <v>-59.374000000000002</v>
      </c>
      <c r="AK62" s="1038">
        <f t="shared" si="165"/>
        <v>-211.53899999999999</v>
      </c>
      <c r="AL62" s="1426">
        <v>21.879000000000001</v>
      </c>
      <c r="AM62" s="226">
        <v>19.936</v>
      </c>
      <c r="AN62" s="226">
        <v>-32.5</v>
      </c>
      <c r="AO62" s="226">
        <v>24.327000000000002</v>
      </c>
      <c r="AP62" s="1038">
        <f t="shared" si="166"/>
        <v>33.641999999999996</v>
      </c>
      <c r="AQ62" s="1464">
        <v>120</v>
      </c>
      <c r="AR62" s="656">
        <v>79</v>
      </c>
      <c r="AS62" s="656">
        <v>115</v>
      </c>
      <c r="AT62" s="656">
        <v>-42</v>
      </c>
      <c r="AU62" s="1038">
        <f t="shared" si="167"/>
        <v>272</v>
      </c>
      <c r="AV62" s="656">
        <v>27</v>
      </c>
      <c r="AW62" s="656">
        <v>50</v>
      </c>
      <c r="AX62" s="656">
        <v>-5</v>
      </c>
      <c r="AY62" s="656">
        <v>29</v>
      </c>
      <c r="AZ62" s="1038">
        <f t="shared" si="168"/>
        <v>101</v>
      </c>
      <c r="BA62" s="656">
        <v>169</v>
      </c>
      <c r="BB62" s="656">
        <v>-249</v>
      </c>
      <c r="BC62" s="656">
        <v>-194</v>
      </c>
      <c r="BD62" s="656">
        <v>-225</v>
      </c>
      <c r="BE62" s="1038">
        <f t="shared" si="169"/>
        <v>-499</v>
      </c>
      <c r="BF62" s="656">
        <v>87</v>
      </c>
      <c r="BG62" s="656">
        <v>-159</v>
      </c>
      <c r="BH62" s="656">
        <v>357</v>
      </c>
      <c r="BI62" s="656">
        <v>320</v>
      </c>
      <c r="BJ62" s="1038">
        <f t="shared" si="170"/>
        <v>605</v>
      </c>
      <c r="BK62" s="667">
        <v>177</v>
      </c>
      <c r="BL62" s="656">
        <v>-163</v>
      </c>
      <c r="BM62" s="656">
        <v>-127</v>
      </c>
      <c r="BN62" s="656">
        <v>549</v>
      </c>
      <c r="BO62" s="1038">
        <f t="shared" si="171"/>
        <v>436</v>
      </c>
      <c r="BP62" s="667">
        <v>-24</v>
      </c>
      <c r="BQ62" s="656">
        <v>-374</v>
      </c>
      <c r="BR62" s="656">
        <v>230</v>
      </c>
      <c r="BS62" s="656">
        <v>371</v>
      </c>
      <c r="BT62" s="1038">
        <f t="shared" si="183"/>
        <v>203</v>
      </c>
      <c r="BU62" s="821">
        <v>-269</v>
      </c>
      <c r="BV62" s="656">
        <v>48</v>
      </c>
      <c r="BW62" s="656">
        <v>459</v>
      </c>
      <c r="BX62" s="656">
        <v>-128</v>
      </c>
      <c r="BY62" s="1038">
        <f t="shared" si="172"/>
        <v>110</v>
      </c>
      <c r="BZ62" s="656">
        <v>103</v>
      </c>
      <c r="CA62" s="656">
        <v>16</v>
      </c>
      <c r="CB62" s="656">
        <v>-61</v>
      </c>
      <c r="CC62" s="656">
        <v>673</v>
      </c>
      <c r="CD62" s="1038">
        <f t="shared" si="173"/>
        <v>731</v>
      </c>
      <c r="CE62" s="656">
        <v>122</v>
      </c>
      <c r="CF62" s="656">
        <v>-145</v>
      </c>
      <c r="CG62" s="656">
        <v>316</v>
      </c>
      <c r="CH62" s="656">
        <v>774</v>
      </c>
      <c r="CI62" s="1038">
        <f t="shared" si="174"/>
        <v>1067</v>
      </c>
      <c r="CJ62" s="656">
        <v>-425</v>
      </c>
      <c r="CK62" s="656">
        <v>-18</v>
      </c>
      <c r="CL62" s="656">
        <v>57</v>
      </c>
      <c r="CM62" s="656">
        <v>814</v>
      </c>
      <c r="CN62" s="1038">
        <f t="shared" si="175"/>
        <v>428</v>
      </c>
      <c r="CO62" s="656">
        <v>-835</v>
      </c>
      <c r="CP62" s="656">
        <v>146</v>
      </c>
      <c r="CQ62" s="656">
        <v>420</v>
      </c>
      <c r="CR62" s="656">
        <v>963</v>
      </c>
      <c r="CS62" s="1038">
        <f t="shared" si="176"/>
        <v>694</v>
      </c>
      <c r="CT62" s="656">
        <v>-982</v>
      </c>
      <c r="CU62" s="656">
        <v>-130</v>
      </c>
      <c r="CV62" s="656">
        <v>238</v>
      </c>
      <c r="CW62" s="656">
        <v>1157</v>
      </c>
      <c r="CX62" s="1038">
        <f t="shared" si="177"/>
        <v>283</v>
      </c>
      <c r="CY62" s="656">
        <v>-2373</v>
      </c>
      <c r="CZ62" s="656">
        <v>1201</v>
      </c>
      <c r="DA62" s="656">
        <v>1907</v>
      </c>
      <c r="DB62" s="656">
        <v>-28</v>
      </c>
      <c r="DC62" s="4026">
        <f t="shared" si="178"/>
        <v>707</v>
      </c>
      <c r="DD62" s="656">
        <v>-1105</v>
      </c>
      <c r="DE62" s="656">
        <v>1119</v>
      </c>
      <c r="DF62" s="656">
        <v>223</v>
      </c>
      <c r="DG62" s="656">
        <v>427</v>
      </c>
      <c r="DH62" s="4026">
        <f t="shared" si="179"/>
        <v>664</v>
      </c>
      <c r="DI62" s="656">
        <v>-2124</v>
      </c>
      <c r="DJ62" s="656">
        <v>1561</v>
      </c>
      <c r="DK62" s="656">
        <v>521</v>
      </c>
      <c r="DL62" s="656">
        <v>401</v>
      </c>
      <c r="DM62" s="4026">
        <f t="shared" si="180"/>
        <v>359</v>
      </c>
      <c r="DN62" s="656">
        <v>-880</v>
      </c>
      <c r="DO62" s="656">
        <v>553</v>
      </c>
      <c r="DP62" s="656">
        <v>-444</v>
      </c>
      <c r="DQ62" s="226">
        <f>BS!DQ29-BS!DP29</f>
        <v>-1153.1176254063084</v>
      </c>
      <c r="DR62" s="4026">
        <f t="shared" si="181"/>
        <v>-1924.1176254063084</v>
      </c>
      <c r="DS62" s="226">
        <f>BS!DS29-BS!DR29</f>
        <v>703.1491277367295</v>
      </c>
      <c r="DT62" s="226">
        <f>BS!DT29-BS!DS29</f>
        <v>-217.34095451924804</v>
      </c>
      <c r="DU62" s="226">
        <f>BS!DU29-BS!DT29</f>
        <v>2505.9334660690165</v>
      </c>
      <c r="DV62" s="226">
        <f>BS!DV29-BS!DU29</f>
        <v>-1335.3831287441153</v>
      </c>
      <c r="DW62" s="4026">
        <f t="shared" si="182"/>
        <v>1656.3585105423826</v>
      </c>
      <c r="DX62" s="1038">
        <f>(BS!DX29-BS!DW29)</f>
        <v>1570.248243758675</v>
      </c>
      <c r="DY62" s="1038">
        <f>(BS!DY29-BS!DX29)</f>
        <v>1596.511174819123</v>
      </c>
      <c r="DZ62" s="1038">
        <f>(BS!DZ29-BS!DY29)</f>
        <v>1590.99430504468</v>
      </c>
      <c r="EA62" s="1038">
        <f>(BS!EA29-BS!DZ29)</f>
        <v>1655.2169193177178</v>
      </c>
      <c r="EC62" s="4320"/>
      <c r="ED62" s="4320"/>
      <c r="EE62" s="514"/>
    </row>
    <row r="63" spans="1:135" s="84" customFormat="1" ht="11.25" customHeight="1">
      <c r="A63" s="1587" t="s">
        <v>182</v>
      </c>
      <c r="B63" s="1039">
        <v>4.2069999999999999</v>
      </c>
      <c r="C63" s="340"/>
      <c r="D63" s="1462">
        <f t="shared" si="157"/>
        <v>0</v>
      </c>
      <c r="E63" s="1462">
        <f t="shared" si="158"/>
        <v>0</v>
      </c>
      <c r="F63" s="1462">
        <f t="shared" si="159"/>
        <v>15.393000000000001</v>
      </c>
      <c r="G63" s="1038">
        <v>15.393000000000001</v>
      </c>
      <c r="H63" s="511">
        <v>-1.647</v>
      </c>
      <c r="I63" s="511">
        <f>6.232-H63</f>
        <v>7.8790000000000004</v>
      </c>
      <c r="J63" s="511">
        <f>15.545-I63-H63</f>
        <v>9.3129999999999988</v>
      </c>
      <c r="K63" s="511">
        <f t="shared" si="160"/>
        <v>15.559000000000001</v>
      </c>
      <c r="L63" s="1038">
        <v>31.103999999999999</v>
      </c>
      <c r="M63" s="1463">
        <v>-3.2650000000000001</v>
      </c>
      <c r="N63" s="511">
        <f>11.866-M63</f>
        <v>15.131</v>
      </c>
      <c r="O63" s="511">
        <f>42.148-N63-M63</f>
        <v>30.282000000000004</v>
      </c>
      <c r="P63" s="511">
        <f t="shared" si="161"/>
        <v>44.225999999999992</v>
      </c>
      <c r="Q63" s="1038">
        <v>86.373999999999995</v>
      </c>
      <c r="R63" s="1463">
        <v>-17.766999999999999</v>
      </c>
      <c r="S63" s="511">
        <f>-0.829-R63</f>
        <v>16.937999999999999</v>
      </c>
      <c r="T63" s="511">
        <f>66.555-S63-R63</f>
        <v>67.384</v>
      </c>
      <c r="U63" s="511">
        <f t="shared" si="162"/>
        <v>100.209</v>
      </c>
      <c r="V63" s="1038">
        <v>166.76400000000001</v>
      </c>
      <c r="W63" s="1463">
        <v>-39.295000000000002</v>
      </c>
      <c r="X63" s="511">
        <f>14.782-W63</f>
        <v>54.076999999999998</v>
      </c>
      <c r="Y63" s="511">
        <f>124.64-X63-W63</f>
        <v>109.858</v>
      </c>
      <c r="Z63" s="511">
        <f t="shared" si="163"/>
        <v>166.89300000000003</v>
      </c>
      <c r="AA63" s="1038">
        <v>291.53300000000002</v>
      </c>
      <c r="AB63" s="1426">
        <v>-139.886</v>
      </c>
      <c r="AC63" s="226">
        <f>20.881-AB63</f>
        <v>160.767</v>
      </c>
      <c r="AD63" s="226">
        <f>206.522-AC63-AB63</f>
        <v>185.64099999999999</v>
      </c>
      <c r="AE63" s="226">
        <f t="shared" si="164"/>
        <v>212.38299999999998</v>
      </c>
      <c r="AF63" s="1038">
        <v>418.90499999999997</v>
      </c>
      <c r="AG63" s="1426">
        <v>-234.27699999999999</v>
      </c>
      <c r="AH63" s="226">
        <v>87.025999999999996</v>
      </c>
      <c r="AI63" s="226">
        <f>162.882-AH63-AG63</f>
        <v>310.13299999999998</v>
      </c>
      <c r="AJ63" s="226">
        <v>176.02500000000001</v>
      </c>
      <c r="AK63" s="1038">
        <f t="shared" si="165"/>
        <v>338.90700000000004</v>
      </c>
      <c r="AL63" s="1426">
        <v>-322.339</v>
      </c>
      <c r="AM63" s="226">
        <v>41.171999999999997</v>
      </c>
      <c r="AN63" s="226">
        <v>266.892</v>
      </c>
      <c r="AO63" s="226">
        <v>257.41300000000001</v>
      </c>
      <c r="AP63" s="1038">
        <f t="shared" si="166"/>
        <v>243.13799999999998</v>
      </c>
      <c r="AQ63" s="1464">
        <v>-394</v>
      </c>
      <c r="AR63" s="656">
        <v>319</v>
      </c>
      <c r="AS63" s="656">
        <v>391</v>
      </c>
      <c r="AT63" s="656">
        <v>429</v>
      </c>
      <c r="AU63" s="1038">
        <f t="shared" si="167"/>
        <v>745</v>
      </c>
      <c r="AV63" s="656">
        <v>37</v>
      </c>
      <c r="AW63" s="656">
        <v>260</v>
      </c>
      <c r="AX63" s="656">
        <v>-42</v>
      </c>
      <c r="AY63" s="656">
        <v>540</v>
      </c>
      <c r="AZ63" s="1038">
        <f t="shared" si="168"/>
        <v>795</v>
      </c>
      <c r="BA63" s="656">
        <v>-855</v>
      </c>
      <c r="BB63" s="656">
        <v>612</v>
      </c>
      <c r="BC63" s="656">
        <v>727</v>
      </c>
      <c r="BD63" s="656">
        <v>278</v>
      </c>
      <c r="BE63" s="1038">
        <f t="shared" si="169"/>
        <v>762</v>
      </c>
      <c r="BF63" s="656">
        <v>-1059</v>
      </c>
      <c r="BG63" s="656">
        <v>696</v>
      </c>
      <c r="BH63" s="656">
        <v>93</v>
      </c>
      <c r="BI63" s="656">
        <v>983</v>
      </c>
      <c r="BJ63" s="1038">
        <f t="shared" si="170"/>
        <v>713</v>
      </c>
      <c r="BK63" s="667">
        <v>-1079</v>
      </c>
      <c r="BL63" s="656">
        <v>1011</v>
      </c>
      <c r="BM63" s="656">
        <v>484</v>
      </c>
      <c r="BN63" s="656">
        <v>341</v>
      </c>
      <c r="BO63" s="1038">
        <f t="shared" si="171"/>
        <v>757</v>
      </c>
      <c r="BP63" s="667">
        <v>-601</v>
      </c>
      <c r="BQ63" s="656">
        <v>838</v>
      </c>
      <c r="BR63" s="656">
        <v>583</v>
      </c>
      <c r="BS63" s="656">
        <v>777</v>
      </c>
      <c r="BT63" s="1038">
        <f t="shared" si="183"/>
        <v>1597</v>
      </c>
      <c r="BU63" s="821">
        <v>-1064</v>
      </c>
      <c r="BV63" s="656">
        <v>593</v>
      </c>
      <c r="BW63" s="656">
        <v>809</v>
      </c>
      <c r="BX63" s="656">
        <v>1177</v>
      </c>
      <c r="BY63" s="1038">
        <f t="shared" si="172"/>
        <v>1515</v>
      </c>
      <c r="BZ63" s="656">
        <v>-1868</v>
      </c>
      <c r="CA63" s="656">
        <v>3555</v>
      </c>
      <c r="CB63" s="656">
        <v>1434</v>
      </c>
      <c r="CC63" s="656">
        <v>1770</v>
      </c>
      <c r="CD63" s="1038">
        <f t="shared" si="173"/>
        <v>4891</v>
      </c>
      <c r="CE63" s="656">
        <v>-1142</v>
      </c>
      <c r="CF63" s="656">
        <v>5742</v>
      </c>
      <c r="CG63" s="656">
        <v>1857</v>
      </c>
      <c r="CH63" s="656">
        <v>2157</v>
      </c>
      <c r="CI63" s="1038">
        <f t="shared" si="174"/>
        <v>8614</v>
      </c>
      <c r="CJ63" s="656">
        <v>-229</v>
      </c>
      <c r="CK63" s="656">
        <v>1303</v>
      </c>
      <c r="CL63" s="656">
        <v>1853</v>
      </c>
      <c r="CM63" s="656">
        <v>4243</v>
      </c>
      <c r="CN63" s="1038">
        <f t="shared" si="175"/>
        <v>7170</v>
      </c>
      <c r="CO63" s="656">
        <v>-3531</v>
      </c>
      <c r="CP63" s="656">
        <v>1432</v>
      </c>
      <c r="CQ63" s="656">
        <v>2990</v>
      </c>
      <c r="CR63" s="656">
        <v>4613</v>
      </c>
      <c r="CS63" s="1038">
        <f t="shared" si="176"/>
        <v>5504</v>
      </c>
      <c r="CT63" s="656">
        <v>-3530</v>
      </c>
      <c r="CU63" s="656">
        <v>3731</v>
      </c>
      <c r="CV63" s="656">
        <v>2562</v>
      </c>
      <c r="CW63" s="656">
        <v>4541</v>
      </c>
      <c r="CX63" s="1038">
        <f t="shared" si="177"/>
        <v>7304</v>
      </c>
      <c r="CY63" s="656">
        <v>-3216</v>
      </c>
      <c r="CZ63" s="656">
        <v>1497</v>
      </c>
      <c r="DA63" s="656">
        <v>2210</v>
      </c>
      <c r="DB63" s="656">
        <v>3424</v>
      </c>
      <c r="DC63" s="4026">
        <f t="shared" si="178"/>
        <v>3915</v>
      </c>
      <c r="DD63" s="656">
        <v>-4496</v>
      </c>
      <c r="DE63" s="656">
        <v>459</v>
      </c>
      <c r="DF63" s="656">
        <v>3657</v>
      </c>
      <c r="DG63" s="656">
        <v>4317</v>
      </c>
      <c r="DH63" s="4026">
        <f t="shared" si="179"/>
        <v>3937</v>
      </c>
      <c r="DI63" s="656">
        <v>-5054</v>
      </c>
      <c r="DJ63" s="656">
        <v>-122</v>
      </c>
      <c r="DK63" s="656">
        <v>-1190</v>
      </c>
      <c r="DL63" s="656">
        <v>5205</v>
      </c>
      <c r="DM63" s="4026">
        <f t="shared" si="180"/>
        <v>-1161</v>
      </c>
      <c r="DN63" s="656">
        <v>-5045</v>
      </c>
      <c r="DO63" s="656">
        <v>3485</v>
      </c>
      <c r="DP63" s="656">
        <v>7759</v>
      </c>
      <c r="DQ63" s="226">
        <f>(BS!DQ30+BS!DQ31)-(BS!DP30+BS!DP31)</f>
        <v>7728.8913472794957</v>
      </c>
      <c r="DR63" s="4026">
        <f t="shared" si="181"/>
        <v>13927.891347279496</v>
      </c>
      <c r="DS63" s="226">
        <f>(BS!DS30+BS!DS31)-(BS!DR30+BS!DR31)</f>
        <v>24.322505272051785</v>
      </c>
      <c r="DT63" s="226">
        <f>(BS!DT30+BS!DT31)-(BS!DS30+BS!DS31)</f>
        <v>-5145.1059091812349</v>
      </c>
      <c r="DU63" s="226">
        <f>(BS!DU30+BS!DU31)-(BS!DT30+BS!DT31)</f>
        <v>10185.374776385259</v>
      </c>
      <c r="DV63" s="226">
        <f>(BS!DV30+BS!DV31)-(BS!DU30+BS!DU31)</f>
        <v>9238.4791296759358</v>
      </c>
      <c r="DW63" s="4026">
        <f t="shared" si="182"/>
        <v>14303.070502152012</v>
      </c>
      <c r="DX63" s="1038">
        <f>(BS!DX30+BS!DX31)-(BS!DW30+BS!DW31)</f>
        <v>13559.486785868736</v>
      </c>
      <c r="DY63" s="1038">
        <f>(BS!DY30+BS!DY31)-(BS!DX30+BS!DX31)</f>
        <v>13786.273771995155</v>
      </c>
      <c r="DZ63" s="1038">
        <f>(BS!DZ30+BS!DZ31)-(BS!DY30+BS!DY31)</f>
        <v>13738.634220030537</v>
      </c>
      <c r="EA63" s="1038">
        <f>(BS!EA30+BS!EA31)-(BS!DZ30+BS!DZ31)</f>
        <v>14293.21257606466</v>
      </c>
      <c r="EC63" s="4320"/>
      <c r="ED63" s="4320"/>
      <c r="EE63" s="514"/>
    </row>
    <row r="64" spans="1:135" s="84" customFormat="1" ht="11.25" customHeight="1">
      <c r="A64" s="1587" t="s">
        <v>194</v>
      </c>
      <c r="B64" s="1039">
        <v>0</v>
      </c>
      <c r="C64" s="340"/>
      <c r="D64" s="1462">
        <f t="shared" si="157"/>
        <v>0</v>
      </c>
      <c r="E64" s="1462">
        <f t="shared" si="158"/>
        <v>0</v>
      </c>
      <c r="F64" s="1462">
        <f t="shared" si="159"/>
        <v>13.1</v>
      </c>
      <c r="G64" s="1038">
        <v>13.1</v>
      </c>
      <c r="H64" s="511">
        <v>19.952999999999999</v>
      </c>
      <c r="I64" s="511">
        <f>35.923-H64</f>
        <v>15.970000000000002</v>
      </c>
      <c r="J64" s="511">
        <f>57.991-I64-H64</f>
        <v>22.068000000000001</v>
      </c>
      <c r="K64" s="511">
        <f t="shared" si="160"/>
        <v>16.611999999999995</v>
      </c>
      <c r="L64" s="1038">
        <v>74.602999999999994</v>
      </c>
      <c r="M64" s="1463">
        <v>10.507</v>
      </c>
      <c r="N64" s="511">
        <f>4.763-M64</f>
        <v>-5.7439999999999998</v>
      </c>
      <c r="O64" s="511">
        <f>13.301-N64-M64</f>
        <v>8.538000000000002</v>
      </c>
      <c r="P64" s="511">
        <f t="shared" si="161"/>
        <v>20.570999999999998</v>
      </c>
      <c r="Q64" s="1038">
        <v>33.872</v>
      </c>
      <c r="R64" s="1463">
        <v>32.085000000000001</v>
      </c>
      <c r="S64" s="511">
        <f>31.064-R64</f>
        <v>-1.0210000000000008</v>
      </c>
      <c r="T64" s="511">
        <f>52.577-S64-R64</f>
        <v>21.512999999999998</v>
      </c>
      <c r="U64" s="511">
        <f t="shared" si="162"/>
        <v>40.769999999999996</v>
      </c>
      <c r="V64" s="1038">
        <v>93.346999999999994</v>
      </c>
      <c r="W64" s="1463">
        <v>51.216000000000001</v>
      </c>
      <c r="X64" s="511">
        <f>56.984-W64</f>
        <v>5.7680000000000007</v>
      </c>
      <c r="Y64" s="511">
        <f>90.856-X64-W64</f>
        <v>33.871999999999993</v>
      </c>
      <c r="Z64" s="511">
        <f t="shared" si="163"/>
        <v>48.444000000000024</v>
      </c>
      <c r="AA64" s="1038">
        <v>139.30000000000001</v>
      </c>
      <c r="AB64" s="1426">
        <v>77.864000000000004</v>
      </c>
      <c r="AC64" s="226">
        <f>82.152-AB64</f>
        <v>4.2879999999999967</v>
      </c>
      <c r="AD64" s="226">
        <f>136.446-AC64-AB64</f>
        <v>54.294000000000011</v>
      </c>
      <c r="AE64" s="226">
        <f t="shared" si="164"/>
        <v>13.86399999999999</v>
      </c>
      <c r="AF64" s="1038">
        <v>150.31</v>
      </c>
      <c r="AG64" s="1426">
        <v>-10.124000000000001</v>
      </c>
      <c r="AH64" s="226">
        <v>-6.3259999999999996</v>
      </c>
      <c r="AI64" s="226">
        <f>-4.433-AH64-AG64</f>
        <v>12.016999999999999</v>
      </c>
      <c r="AJ64" s="226">
        <v>18.433</v>
      </c>
      <c r="AK64" s="1038">
        <f>SUM(AG64:AJ64)</f>
        <v>14</v>
      </c>
      <c r="AL64" s="1426">
        <v>4.2640000000000002</v>
      </c>
      <c r="AM64" s="226">
        <v>14.859</v>
      </c>
      <c r="AN64" s="226">
        <v>37.884</v>
      </c>
      <c r="AO64" s="226">
        <v>100.66200000000001</v>
      </c>
      <c r="AP64" s="1038">
        <f>SUM(AL64:AO64)</f>
        <v>157.66900000000001</v>
      </c>
      <c r="AQ64" s="1464">
        <v>23</v>
      </c>
      <c r="AR64" s="656">
        <v>11</v>
      </c>
      <c r="AS64" s="656">
        <v>35</v>
      </c>
      <c r="AT64" s="656">
        <v>145</v>
      </c>
      <c r="AU64" s="1038">
        <f t="shared" si="167"/>
        <v>214</v>
      </c>
      <c r="AV64" s="656">
        <v>-33</v>
      </c>
      <c r="AW64" s="656">
        <v>39</v>
      </c>
      <c r="AX64" s="656">
        <v>64</v>
      </c>
      <c r="AY64" s="656">
        <v>189</v>
      </c>
      <c r="AZ64" s="1038">
        <f t="shared" si="168"/>
        <v>259</v>
      </c>
      <c r="BA64" s="656">
        <v>-11</v>
      </c>
      <c r="BB64" s="656">
        <v>34</v>
      </c>
      <c r="BC64" s="656">
        <v>-80</v>
      </c>
      <c r="BD64" s="656">
        <v>356</v>
      </c>
      <c r="BE64" s="1038">
        <f t="shared" si="169"/>
        <v>299</v>
      </c>
      <c r="BF64" s="656">
        <v>-27</v>
      </c>
      <c r="BG64" s="656">
        <v>35</v>
      </c>
      <c r="BH64" s="656">
        <v>0</v>
      </c>
      <c r="BI64" s="656">
        <v>246</v>
      </c>
      <c r="BJ64" s="1038">
        <f t="shared" si="170"/>
        <v>254</v>
      </c>
      <c r="BK64" s="667">
        <v>-70</v>
      </c>
      <c r="BL64" s="656">
        <v>2</v>
      </c>
      <c r="BM64" s="656">
        <v>104</v>
      </c>
      <c r="BN64" s="656">
        <v>209</v>
      </c>
      <c r="BO64" s="1038">
        <f t="shared" si="171"/>
        <v>245</v>
      </c>
      <c r="BP64" s="667">
        <v>-205</v>
      </c>
      <c r="BQ64" s="656">
        <v>84</v>
      </c>
      <c r="BR64" s="656">
        <v>52</v>
      </c>
      <c r="BS64" s="656">
        <v>408</v>
      </c>
      <c r="BT64" s="1038">
        <f t="shared" si="183"/>
        <v>339</v>
      </c>
      <c r="BU64" s="821">
        <v>-131</v>
      </c>
      <c r="BV64" s="656">
        <v>83</v>
      </c>
      <c r="BW64" s="656">
        <v>186</v>
      </c>
      <c r="BX64" s="656">
        <v>455</v>
      </c>
      <c r="BY64" s="1038">
        <f t="shared" si="172"/>
        <v>593</v>
      </c>
      <c r="BZ64" s="656">
        <v>-74</v>
      </c>
      <c r="CA64" s="656">
        <v>80</v>
      </c>
      <c r="CB64" s="656">
        <v>176</v>
      </c>
      <c r="CC64" s="656">
        <v>773</v>
      </c>
      <c r="CD64" s="1038">
        <f t="shared" si="173"/>
        <v>955</v>
      </c>
      <c r="CE64" s="656">
        <v>-286</v>
      </c>
      <c r="CF64" s="656">
        <v>-17</v>
      </c>
      <c r="CG64" s="656">
        <v>107</v>
      </c>
      <c r="CH64" s="656">
        <v>679</v>
      </c>
      <c r="CI64" s="1038">
        <f t="shared" si="174"/>
        <v>483</v>
      </c>
      <c r="CJ64" s="656">
        <v>-147</v>
      </c>
      <c r="CK64" s="656">
        <v>87</v>
      </c>
      <c r="CL64" s="656">
        <v>261</v>
      </c>
      <c r="CM64" s="656">
        <v>1072</v>
      </c>
      <c r="CN64" s="1038">
        <f t="shared" si="175"/>
        <v>1273</v>
      </c>
      <c r="CO64" s="656">
        <v>-871</v>
      </c>
      <c r="CP64" s="656">
        <v>179</v>
      </c>
      <c r="CQ64" s="656">
        <v>969</v>
      </c>
      <c r="CR64" s="656">
        <v>1362</v>
      </c>
      <c r="CS64" s="1038">
        <f t="shared" si="176"/>
        <v>1639</v>
      </c>
      <c r="CT64" s="656">
        <v>-444</v>
      </c>
      <c r="CU64" s="656">
        <v>473</v>
      </c>
      <c r="CV64" s="656">
        <v>357</v>
      </c>
      <c r="CW64" s="656">
        <v>1296</v>
      </c>
      <c r="CX64" s="1038">
        <f t="shared" si="177"/>
        <v>1682</v>
      </c>
      <c r="CY64" s="656">
        <v>-828</v>
      </c>
      <c r="CZ64" s="656">
        <v>-114</v>
      </c>
      <c r="DA64" s="656">
        <v>-80</v>
      </c>
      <c r="DB64" s="656">
        <v>577</v>
      </c>
      <c r="DC64" s="4026">
        <f t="shared" si="178"/>
        <v>-445</v>
      </c>
      <c r="DD64" s="656">
        <v>-602</v>
      </c>
      <c r="DE64" s="656">
        <v>184</v>
      </c>
      <c r="DF64" s="656">
        <v>103</v>
      </c>
      <c r="DG64" s="656">
        <v>797</v>
      </c>
      <c r="DH64" s="4026">
        <f t="shared" si="179"/>
        <v>482</v>
      </c>
      <c r="DI64" s="656">
        <v>-322</v>
      </c>
      <c r="DJ64" s="656">
        <v>419</v>
      </c>
      <c r="DK64" s="656">
        <v>381</v>
      </c>
      <c r="DL64" s="656">
        <v>581</v>
      </c>
      <c r="DM64" s="4026">
        <f t="shared" si="180"/>
        <v>1059</v>
      </c>
      <c r="DN64" s="656">
        <v>116</v>
      </c>
      <c r="DO64" s="656">
        <v>-335</v>
      </c>
      <c r="DP64" s="656">
        <v>319</v>
      </c>
      <c r="DQ64" s="226">
        <f>BS!DQ32-BS!DP32</f>
        <v>1446.3610912441909</v>
      </c>
      <c r="DR64" s="4026">
        <f t="shared" si="181"/>
        <v>1546.3610912441909</v>
      </c>
      <c r="DS64" s="226">
        <f>BS!DS32-BS!DR32</f>
        <v>312.93006101220999</v>
      </c>
      <c r="DT64" s="226">
        <f>BS!DT32-BS!DS32</f>
        <v>-257.35783592383086</v>
      </c>
      <c r="DU64" s="226">
        <f>BS!DU32-BS!DT32</f>
        <v>255.62108191569314</v>
      </c>
      <c r="DV64" s="226">
        <f>BS!DV32-BS!DU32</f>
        <v>1721.5631873412949</v>
      </c>
      <c r="DW64" s="4026">
        <f t="shared" si="182"/>
        <v>2032.7564943453672</v>
      </c>
      <c r="DX64" s="1038">
        <f>(BS!DX32-BS!DW32)</f>
        <v>1927.0781626796706</v>
      </c>
      <c r="DY64" s="1038">
        <f>(BS!DY32-BS!DX32)</f>
        <v>1959.3091943880081</v>
      </c>
      <c r="DZ64" s="1038">
        <f>(BS!DZ32-BS!DY32)</f>
        <v>1952.5386475582782</v>
      </c>
      <c r="EA64" s="1038">
        <f>(BS!EA32-BS!DZ32)</f>
        <v>2031.3554830539979</v>
      </c>
      <c r="EC64" s="4320"/>
      <c r="ED64" s="4320"/>
      <c r="EE64" s="514"/>
    </row>
    <row r="65" spans="1:135" s="84" customFormat="1" ht="11.25" customHeight="1">
      <c r="A65" s="1587" t="s">
        <v>70</v>
      </c>
      <c r="B65" s="1039">
        <v>1.0489999999999999</v>
      </c>
      <c r="C65" s="340"/>
      <c r="D65" s="1462">
        <f t="shared" si="157"/>
        <v>0</v>
      </c>
      <c r="E65" s="1462">
        <f t="shared" si="158"/>
        <v>0</v>
      </c>
      <c r="F65" s="1462">
        <f t="shared" si="159"/>
        <v>9.0879999999999992</v>
      </c>
      <c r="G65" s="1038">
        <v>9.0879999999999992</v>
      </c>
      <c r="H65" s="511">
        <v>2.351</v>
      </c>
      <c r="I65" s="511">
        <f>4.315-H65</f>
        <v>1.9640000000000004</v>
      </c>
      <c r="J65" s="511">
        <f>4.234-I65-H65</f>
        <v>-8.1000000000000405E-2</v>
      </c>
      <c r="K65" s="1470">
        <f t="shared" si="160"/>
        <v>2.7460000000000004</v>
      </c>
      <c r="L65" s="1038">
        <v>6.98</v>
      </c>
      <c r="M65" s="3852">
        <v>0.871</v>
      </c>
      <c r="N65" s="511">
        <f>3.919-M65</f>
        <v>3.048</v>
      </c>
      <c r="O65" s="511">
        <f>7.871-N65-M65</f>
        <v>3.9520000000000004</v>
      </c>
      <c r="P65" s="1470">
        <f t="shared" si="161"/>
        <v>14.125999999999999</v>
      </c>
      <c r="Q65" s="1038">
        <v>21.997</v>
      </c>
      <c r="R65" s="3852">
        <v>4.5350000000000001</v>
      </c>
      <c r="S65" s="511">
        <f>13.948-R65</f>
        <v>9.4130000000000003</v>
      </c>
      <c r="T65" s="511">
        <f>21.712-S65-R65</f>
        <v>7.7639999999999993</v>
      </c>
      <c r="U65" s="1470">
        <f>V65-SUM(R65:T65)</f>
        <v>17.839000000000002</v>
      </c>
      <c r="V65" s="1038">
        <v>39.551000000000002</v>
      </c>
      <c r="W65" s="3852">
        <v>3.0419999999999998</v>
      </c>
      <c r="X65" s="511">
        <f>5.073-W65</f>
        <v>2.0310000000000006</v>
      </c>
      <c r="Y65" s="511">
        <f>10.819-X65-W65</f>
        <v>5.7460000000000004</v>
      </c>
      <c r="Z65" s="1470">
        <f t="shared" si="163"/>
        <v>19.981999999999999</v>
      </c>
      <c r="AA65" s="1038">
        <v>30.800999999999998</v>
      </c>
      <c r="AB65" s="3853">
        <v>1.659</v>
      </c>
      <c r="AC65" s="226">
        <f>19.13-AB65</f>
        <v>17.471</v>
      </c>
      <c r="AD65" s="226">
        <f>32.131-AC65-AB65</f>
        <v>13.000999999999999</v>
      </c>
      <c r="AE65" s="1471">
        <f t="shared" si="164"/>
        <v>38.198</v>
      </c>
      <c r="AF65" s="1038">
        <v>70.328999999999994</v>
      </c>
      <c r="AG65" s="3853">
        <v>6.7939999999999996</v>
      </c>
      <c r="AH65" s="226">
        <v>3.4540000000000002</v>
      </c>
      <c r="AI65" s="226">
        <f>21.354-AH65-AG65</f>
        <v>11.105999999999998</v>
      </c>
      <c r="AJ65" s="226">
        <v>20.079000000000001</v>
      </c>
      <c r="AK65" s="1038">
        <f t="shared" si="165"/>
        <v>41.433</v>
      </c>
      <c r="AL65" s="3853">
        <v>8.6750000000000007</v>
      </c>
      <c r="AM65" s="226">
        <v>3.4609999999999999</v>
      </c>
      <c r="AN65" s="226">
        <v>22.440999999999999</v>
      </c>
      <c r="AO65" s="226">
        <v>41.488999999999997</v>
      </c>
      <c r="AP65" s="1038">
        <f t="shared" si="166"/>
        <v>76.066000000000003</v>
      </c>
      <c r="AQ65" s="3854">
        <v>11</v>
      </c>
      <c r="AR65" s="656">
        <v>17</v>
      </c>
      <c r="AS65" s="656">
        <v>4</v>
      </c>
      <c r="AT65" s="656">
        <v>79</v>
      </c>
      <c r="AU65" s="1038">
        <f t="shared" si="167"/>
        <v>111</v>
      </c>
      <c r="AV65" s="656">
        <v>33</v>
      </c>
      <c r="AW65" s="656">
        <v>36</v>
      </c>
      <c r="AX65" s="656">
        <v>14</v>
      </c>
      <c r="AY65" s="656">
        <v>79</v>
      </c>
      <c r="AZ65" s="1038">
        <f t="shared" si="168"/>
        <v>162</v>
      </c>
      <c r="BA65" s="656">
        <v>40</v>
      </c>
      <c r="BB65" s="656">
        <v>14</v>
      </c>
      <c r="BC65" s="656">
        <v>128</v>
      </c>
      <c r="BD65" s="656">
        <v>-19</v>
      </c>
      <c r="BE65" s="1038">
        <f t="shared" si="169"/>
        <v>163</v>
      </c>
      <c r="BF65" s="656">
        <v>-33</v>
      </c>
      <c r="BG65" s="656">
        <v>17</v>
      </c>
      <c r="BH65" s="656">
        <v>92</v>
      </c>
      <c r="BI65" s="656">
        <v>157</v>
      </c>
      <c r="BJ65" s="1038">
        <f t="shared" si="170"/>
        <v>233</v>
      </c>
      <c r="BK65" s="667">
        <v>23</v>
      </c>
      <c r="BL65" s="656">
        <v>-23</v>
      </c>
      <c r="BM65" s="656">
        <v>0</v>
      </c>
      <c r="BN65" s="656">
        <v>-175</v>
      </c>
      <c r="BO65" s="1038">
        <f t="shared" si="171"/>
        <v>-175</v>
      </c>
      <c r="BP65" s="667">
        <v>-59</v>
      </c>
      <c r="BQ65" s="656">
        <v>25</v>
      </c>
      <c r="BR65" s="656">
        <v>-21</v>
      </c>
      <c r="BS65" s="656">
        <v>98</v>
      </c>
      <c r="BT65" s="1038">
        <f t="shared" si="183"/>
        <v>43</v>
      </c>
      <c r="BU65" s="821">
        <v>18</v>
      </c>
      <c r="BV65" s="656">
        <v>-15</v>
      </c>
      <c r="BW65" s="656">
        <v>39</v>
      </c>
      <c r="BX65" s="656">
        <v>181</v>
      </c>
      <c r="BY65" s="1038">
        <f t="shared" si="172"/>
        <v>223</v>
      </c>
      <c r="BZ65" s="656">
        <v>111</v>
      </c>
      <c r="CA65" s="656">
        <v>84</v>
      </c>
      <c r="CB65" s="656">
        <v>33</v>
      </c>
      <c r="CC65" s="656">
        <v>162</v>
      </c>
      <c r="CD65" s="1038">
        <f t="shared" si="173"/>
        <v>390</v>
      </c>
      <c r="CE65" s="656">
        <v>130</v>
      </c>
      <c r="CF65" s="656">
        <v>165</v>
      </c>
      <c r="CG65" s="656">
        <v>-23</v>
      </c>
      <c r="CH65" s="656">
        <v>99</v>
      </c>
      <c r="CI65" s="1038">
        <f t="shared" si="174"/>
        <v>371</v>
      </c>
      <c r="CJ65" s="656">
        <v>-81</v>
      </c>
      <c r="CK65" s="656">
        <v>-9</v>
      </c>
      <c r="CL65" s="656">
        <v>-59</v>
      </c>
      <c r="CM65" s="656">
        <v>186</v>
      </c>
      <c r="CN65" s="1038">
        <f t="shared" si="175"/>
        <v>37</v>
      </c>
      <c r="CO65" s="656">
        <v>37</v>
      </c>
      <c r="CP65" s="656">
        <v>111</v>
      </c>
      <c r="CQ65" s="656">
        <v>280</v>
      </c>
      <c r="CR65" s="656">
        <v>207</v>
      </c>
      <c r="CS65" s="1038">
        <f t="shared" si="176"/>
        <v>635</v>
      </c>
      <c r="CT65" s="656">
        <v>137</v>
      </c>
      <c r="CU65" s="656">
        <v>-3</v>
      </c>
      <c r="CV65" s="656">
        <v>272</v>
      </c>
      <c r="CW65" s="656">
        <v>368</v>
      </c>
      <c r="CX65" s="1038">
        <f t="shared" si="177"/>
        <v>774</v>
      </c>
      <c r="CY65" s="656">
        <v>-94</v>
      </c>
      <c r="CZ65" s="656">
        <v>86</v>
      </c>
      <c r="DA65" s="656">
        <f>112</f>
        <v>112</v>
      </c>
      <c r="DB65" s="656">
        <v>263</v>
      </c>
      <c r="DC65" s="4026">
        <f t="shared" si="178"/>
        <v>367</v>
      </c>
      <c r="DD65" s="656">
        <v>-201</v>
      </c>
      <c r="DE65" s="656">
        <v>184</v>
      </c>
      <c r="DF65" s="656">
        <v>707</v>
      </c>
      <c r="DG65" s="656">
        <v>-165</v>
      </c>
      <c r="DH65" s="4026">
        <f t="shared" si="179"/>
        <v>525</v>
      </c>
      <c r="DI65" s="656">
        <v>-141</v>
      </c>
      <c r="DJ65" s="656">
        <v>361</v>
      </c>
      <c r="DK65" s="656">
        <v>640</v>
      </c>
      <c r="DL65" s="656">
        <v>183</v>
      </c>
      <c r="DM65" s="4026">
        <f t="shared" si="180"/>
        <v>1043</v>
      </c>
      <c r="DN65" s="656">
        <v>500</v>
      </c>
      <c r="DO65" s="656">
        <v>136</v>
      </c>
      <c r="DP65" s="656">
        <v>681</v>
      </c>
      <c r="DQ65" s="226">
        <f>((BS!DQ33+BS!DQ42)-(BS!DP33+BS!DP42))</f>
        <v>380.44342537295961</v>
      </c>
      <c r="DR65" s="4026">
        <f t="shared" si="181"/>
        <v>1697.4434253729596</v>
      </c>
      <c r="DS65" s="226">
        <f>((BS!DS33+BS!DS42)-(BS!DR33+BS!DR42))</f>
        <v>-90.817838290729924</v>
      </c>
      <c r="DT65" s="226">
        <f>((BS!DT33+BS!DT42)-(BS!DS33+BS!DS42))</f>
        <v>49.195466239169946</v>
      </c>
      <c r="DU65" s="226">
        <f>((BS!DU33+BS!DU42)-(BS!DT33+BS!DT42))</f>
        <v>627.38929040361563</v>
      </c>
      <c r="DV65" s="226">
        <f>((BS!DV33+BS!DV42)-(BS!DU33+BS!DU42))</f>
        <v>458.60787307043665</v>
      </c>
      <c r="DW65" s="4026">
        <f t="shared" si="182"/>
        <v>1044.3747914224923</v>
      </c>
      <c r="DX65" s="1038">
        <f>((BS!DX33+BS!DX42)-(BS!DW33+BS!DW42))</f>
        <v>990.08014968933094</v>
      </c>
      <c r="DY65" s="1038">
        <f>((BS!DY33+BS!DY42)-(BS!DX33+BS!DX42))</f>
        <v>1006.6395738561541</v>
      </c>
      <c r="DZ65" s="1038">
        <f>((BS!DZ33+BS!DZ42)-(BS!DY33+BS!DY42))</f>
        <v>1003.1610517346944</v>
      </c>
      <c r="EA65" s="1038">
        <f>((BS!EA33+BS!EA42)-(BS!DZ33+BS!DZ42))</f>
        <v>1043.6549900693662</v>
      </c>
      <c r="EC65" s="4320"/>
      <c r="ED65" s="4320"/>
      <c r="EE65" s="514"/>
    </row>
    <row r="66" spans="1:135" s="84" customFormat="1" ht="11.25" customHeight="1">
      <c r="A66" s="3855" t="s">
        <v>97</v>
      </c>
      <c r="B66" s="3856">
        <f t="shared" ref="B66:Q66" si="184">SUM(B58:B65)</f>
        <v>-2.4610000000000016</v>
      </c>
      <c r="C66" s="3857">
        <f t="shared" si="184"/>
        <v>0</v>
      </c>
      <c r="D66" s="3858">
        <f t="shared" si="184"/>
        <v>0</v>
      </c>
      <c r="E66" s="3858">
        <f t="shared" si="184"/>
        <v>0</v>
      </c>
      <c r="F66" s="3858">
        <f t="shared" si="184"/>
        <v>4.9909999999999961</v>
      </c>
      <c r="G66" s="3859">
        <f t="shared" si="184"/>
        <v>4.9909999999999961</v>
      </c>
      <c r="H66" s="3860">
        <f t="shared" si="184"/>
        <v>40.286000000000001</v>
      </c>
      <c r="I66" s="3860">
        <f t="shared" si="184"/>
        <v>-14.394</v>
      </c>
      <c r="J66" s="3860">
        <f t="shared" si="184"/>
        <v>11.442999999999998</v>
      </c>
      <c r="K66" s="3860">
        <f t="shared" si="184"/>
        <v>-43.56600000000001</v>
      </c>
      <c r="L66" s="3859">
        <f t="shared" si="184"/>
        <v>-6.2310000000000265</v>
      </c>
      <c r="M66" s="3861">
        <f t="shared" si="184"/>
        <v>43.924000000000007</v>
      </c>
      <c r="N66" s="3860">
        <f t="shared" si="184"/>
        <v>-23.22699999999999</v>
      </c>
      <c r="O66" s="3860">
        <f t="shared" si="184"/>
        <v>-268.91800000000001</v>
      </c>
      <c r="P66" s="3860">
        <f t="shared" si="184"/>
        <v>-4.9860000000000309</v>
      </c>
      <c r="Q66" s="3859">
        <f t="shared" si="184"/>
        <v>-253.20699999999999</v>
      </c>
      <c r="R66" s="3861">
        <f t="shared" ref="R66:AC66" si="185">SUM(R58:R65)</f>
        <v>-22.048999999999996</v>
      </c>
      <c r="S66" s="3860">
        <f t="shared" si="185"/>
        <v>48.751999999999995</v>
      </c>
      <c r="T66" s="3860">
        <f t="shared" si="185"/>
        <v>46.942000000000007</v>
      </c>
      <c r="U66" s="3860">
        <f t="shared" si="185"/>
        <v>-29.905000000000012</v>
      </c>
      <c r="V66" s="3859">
        <f t="shared" si="185"/>
        <v>43.740000000000009</v>
      </c>
      <c r="W66" s="3861">
        <f t="shared" si="185"/>
        <v>2.6909999999999865</v>
      </c>
      <c r="X66" s="3860">
        <f t="shared" si="185"/>
        <v>-115.86100000000002</v>
      </c>
      <c r="Y66" s="3860">
        <f t="shared" si="185"/>
        <v>348.06100000000015</v>
      </c>
      <c r="Z66" s="3860">
        <f t="shared" si="185"/>
        <v>-192.61000000000004</v>
      </c>
      <c r="AA66" s="3859">
        <f t="shared" si="185"/>
        <v>42.281000000000134</v>
      </c>
      <c r="AB66" s="3862">
        <f t="shared" si="185"/>
        <v>-90.957000000000008</v>
      </c>
      <c r="AC66" s="3669">
        <f t="shared" si="185"/>
        <v>-60.692999999999998</v>
      </c>
      <c r="AD66" s="3669">
        <f t="shared" ref="AD66:AL66" si="186">SUM(AD58:AD65)</f>
        <v>181.25700000000009</v>
      </c>
      <c r="AE66" s="3669">
        <f t="shared" si="186"/>
        <v>124.72599999999997</v>
      </c>
      <c r="AF66" s="3859">
        <f t="shared" si="186"/>
        <v>154.33299999999997</v>
      </c>
      <c r="AG66" s="3862">
        <f t="shared" si="186"/>
        <v>-10.724999999999984</v>
      </c>
      <c r="AH66" s="3669">
        <f t="shared" si="186"/>
        <v>-54.311000000000007</v>
      </c>
      <c r="AI66" s="3669">
        <f t="shared" si="186"/>
        <v>257.06200000000001</v>
      </c>
      <c r="AJ66" s="3669">
        <f t="shared" si="186"/>
        <v>135.20600000000002</v>
      </c>
      <c r="AK66" s="3859">
        <f t="shared" si="186"/>
        <v>327.23200000000014</v>
      </c>
      <c r="AL66" s="3862">
        <f t="shared" si="186"/>
        <v>212.07899999999995</v>
      </c>
      <c r="AM66" s="3669">
        <f t="shared" ref="AM66:BC66" si="187">SUM(AM58:AM65)</f>
        <v>-437.6230000000001</v>
      </c>
      <c r="AN66" s="3669">
        <f t="shared" si="187"/>
        <v>596.05000000000007</v>
      </c>
      <c r="AO66" s="3669">
        <f t="shared" si="187"/>
        <v>115.48099999999999</v>
      </c>
      <c r="AP66" s="3859">
        <f t="shared" si="187"/>
        <v>485.98699999999997</v>
      </c>
      <c r="AQ66" s="3862">
        <f t="shared" si="187"/>
        <v>30</v>
      </c>
      <c r="AR66" s="3669">
        <f t="shared" si="187"/>
        <v>-396</v>
      </c>
      <c r="AS66" s="3669">
        <f t="shared" si="187"/>
        <v>-9</v>
      </c>
      <c r="AT66" s="3669">
        <f t="shared" si="187"/>
        <v>276</v>
      </c>
      <c r="AU66" s="3859">
        <f t="shared" si="187"/>
        <v>-99</v>
      </c>
      <c r="AV66" s="3669">
        <f t="shared" si="187"/>
        <v>240</v>
      </c>
      <c r="AW66" s="3669">
        <f t="shared" si="187"/>
        <v>-61</v>
      </c>
      <c r="AX66" s="3669">
        <f t="shared" si="187"/>
        <v>176</v>
      </c>
      <c r="AY66" s="3669">
        <f>SUM(AY58:AY65)</f>
        <v>275</v>
      </c>
      <c r="AZ66" s="3859">
        <f t="shared" si="187"/>
        <v>630</v>
      </c>
      <c r="BA66" s="3669">
        <f>SUM(BA58:BA65)</f>
        <v>-521</v>
      </c>
      <c r="BB66" s="3669">
        <f>SUM(BB58:BB65)</f>
        <v>505</v>
      </c>
      <c r="BC66" s="3860">
        <f t="shared" si="187"/>
        <v>432</v>
      </c>
      <c r="BD66" s="3669">
        <f t="shared" ref="BD66:BL66" si="188">SUM(BD58:BD65)</f>
        <v>482</v>
      </c>
      <c r="BE66" s="3859">
        <f t="shared" si="188"/>
        <v>898</v>
      </c>
      <c r="BF66" s="3669">
        <f t="shared" si="188"/>
        <v>-1465</v>
      </c>
      <c r="BG66" s="3669">
        <f t="shared" si="188"/>
        <v>422</v>
      </c>
      <c r="BH66" s="3860">
        <f t="shared" si="188"/>
        <v>414</v>
      </c>
      <c r="BI66" s="3669">
        <f t="shared" si="188"/>
        <v>598</v>
      </c>
      <c r="BJ66" s="3859">
        <f t="shared" si="188"/>
        <v>-31</v>
      </c>
      <c r="BK66" s="3863">
        <f t="shared" si="188"/>
        <v>-789</v>
      </c>
      <c r="BL66" s="3669">
        <f t="shared" si="188"/>
        <v>670</v>
      </c>
      <c r="BM66" s="3860">
        <f t="shared" ref="BM66:BR66" si="189">SUM(BM58:BM65)</f>
        <v>825</v>
      </c>
      <c r="BN66" s="3669">
        <f t="shared" si="189"/>
        <v>-342</v>
      </c>
      <c r="BO66" s="3859">
        <f t="shared" si="189"/>
        <v>364</v>
      </c>
      <c r="BP66" s="3863">
        <f t="shared" si="189"/>
        <v>608</v>
      </c>
      <c r="BQ66" s="3669">
        <f t="shared" si="189"/>
        <v>1019</v>
      </c>
      <c r="BR66" s="3860">
        <f t="shared" si="189"/>
        <v>-138</v>
      </c>
      <c r="BS66" s="3669">
        <f>SUM(BS58:BS65)</f>
        <v>-1898</v>
      </c>
      <c r="BT66" s="3859">
        <f t="shared" si="183"/>
        <v>-409</v>
      </c>
      <c r="BU66" s="3863">
        <f>SUM(BU58:BU65)</f>
        <v>-172</v>
      </c>
      <c r="BV66" s="3669">
        <f>SUM(BV58:BV65)</f>
        <v>1259</v>
      </c>
      <c r="BW66" s="3669">
        <f>0+(SUM(BW58:BW65))</f>
        <v>1637</v>
      </c>
      <c r="BX66" s="3864">
        <f>0+(SUM(BX58:BX65))</f>
        <v>576</v>
      </c>
      <c r="BY66" s="3859">
        <f t="shared" si="172"/>
        <v>3300</v>
      </c>
      <c r="BZ66" s="3669">
        <f>0+(SUM(BZ58:BZ65))</f>
        <v>-79</v>
      </c>
      <c r="CA66" s="3669">
        <f t="shared" ref="CA66:CH66" si="190">0+(SUM(CA58:CA65))</f>
        <v>284</v>
      </c>
      <c r="CB66" s="3669">
        <f t="shared" si="190"/>
        <v>-286</v>
      </c>
      <c r="CC66" s="3669">
        <f t="shared" si="190"/>
        <v>9327</v>
      </c>
      <c r="CD66" s="3859">
        <f t="shared" si="173"/>
        <v>9246</v>
      </c>
      <c r="CE66" s="3669">
        <f t="shared" si="190"/>
        <v>1065</v>
      </c>
      <c r="CF66" s="3669">
        <f t="shared" si="190"/>
        <v>3480</v>
      </c>
      <c r="CG66" s="3669">
        <f t="shared" si="190"/>
        <v>-132</v>
      </c>
      <c r="CH66" s="3669">
        <f t="shared" si="190"/>
        <v>495</v>
      </c>
      <c r="CI66" s="3859">
        <f t="shared" si="174"/>
        <v>4908</v>
      </c>
      <c r="CJ66" s="3669">
        <f>0+(SUM(CJ58:CJ65))</f>
        <v>1093</v>
      </c>
      <c r="CK66" s="3669">
        <f>0+(SUM(CK58:CK65))</f>
        <v>-737</v>
      </c>
      <c r="CL66" s="3669">
        <f>0+(SUM(CL58:CL65))</f>
        <v>1685</v>
      </c>
      <c r="CM66" s="3669">
        <f>0+(SUM(CM58:CM65))</f>
        <v>-1222</v>
      </c>
      <c r="CN66" s="3859">
        <f t="shared" si="175"/>
        <v>819</v>
      </c>
      <c r="CO66" s="3669">
        <f>(SUM(CO58:CO65))</f>
        <v>-2958</v>
      </c>
      <c r="CP66" s="3669">
        <f>(SUM(CP58:CP65))</f>
        <v>2327</v>
      </c>
      <c r="CQ66" s="3669">
        <f>(SUM(CQ58:CQ65))</f>
        <v>756</v>
      </c>
      <c r="CR66" s="3669">
        <f>(SUM(CR58:CR65))</f>
        <v>1702</v>
      </c>
      <c r="CS66" s="3859">
        <f t="shared" si="176"/>
        <v>1827</v>
      </c>
      <c r="CT66" s="3669">
        <f>(SUM(CT58:CT65))</f>
        <v>-1233</v>
      </c>
      <c r="CU66" s="3669">
        <f>(SUM(CU58:CU65))</f>
        <v>-871</v>
      </c>
      <c r="CV66" s="3669">
        <f>(SUM(CV58:CV65))</f>
        <v>2806</v>
      </c>
      <c r="CW66" s="3669">
        <f>(SUM(CW58:CW65))</f>
        <v>-2225</v>
      </c>
      <c r="CX66" s="3859">
        <f t="shared" si="177"/>
        <v>-1523</v>
      </c>
      <c r="CY66" s="3669">
        <f>(SUM(CY58:CY65))</f>
        <v>897</v>
      </c>
      <c r="CZ66" s="3669">
        <f>(SUM(CZ58:CZ65))</f>
        <v>-4217</v>
      </c>
      <c r="DA66" s="3669">
        <f>(SUM(DA58:DA65))</f>
        <v>796</v>
      </c>
      <c r="DB66" s="3669">
        <f>(SUM(DB58:DB65))</f>
        <v>289</v>
      </c>
      <c r="DC66" s="5131">
        <f t="shared" si="178"/>
        <v>-2235</v>
      </c>
      <c r="DD66" s="3669">
        <f>(SUM(DD58:DD65))</f>
        <v>1373</v>
      </c>
      <c r="DE66" s="3669">
        <f>(SUM(DE58:DE65))</f>
        <v>2936</v>
      </c>
      <c r="DF66" s="3669">
        <f>(SUM(DF58:DF65))</f>
        <v>2117</v>
      </c>
      <c r="DG66" s="3669">
        <f>(SUM(DG58:DG65))</f>
        <v>-10271</v>
      </c>
      <c r="DH66" s="5131">
        <f t="shared" si="179"/>
        <v>-3845</v>
      </c>
      <c r="DI66" s="3669">
        <f>(SUM(DI58:DI65))</f>
        <v>-2463</v>
      </c>
      <c r="DJ66" s="3669">
        <f>(SUM(DJ58:DJ65))</f>
        <v>-5270</v>
      </c>
      <c r="DK66" s="3669">
        <f>(SUM(DK58:DK65))</f>
        <v>-3789</v>
      </c>
      <c r="DL66" s="3669">
        <f>(SUM(DL58:DL65))</f>
        <v>3116</v>
      </c>
      <c r="DM66" s="5131">
        <f t="shared" si="180"/>
        <v>-8406</v>
      </c>
      <c r="DN66" s="3669">
        <f>(SUM(DN58:DN65))</f>
        <v>2238</v>
      </c>
      <c r="DO66" s="3669">
        <f>(SUM(DO58:DO65))</f>
        <v>-10110</v>
      </c>
      <c r="DP66" s="3669">
        <f>(SUM(DP58:DP65))</f>
        <v>3783</v>
      </c>
      <c r="DQ66" s="3669">
        <f t="shared" ref="DQ66" si="191">(SUM(DQ58:DQ65))</f>
        <v>2743.4812608634911</v>
      </c>
      <c r="DR66" s="5131">
        <f t="shared" si="181"/>
        <v>-1345.5187391365089</v>
      </c>
      <c r="DS66" s="3669">
        <f t="shared" ref="DS66:DV66" si="192">(SUM(DS58:DS65))</f>
        <v>3807.0082528376352</v>
      </c>
      <c r="DT66" s="3669">
        <f t="shared" si="192"/>
        <v>-11762.153997422527</v>
      </c>
      <c r="DU66" s="3669">
        <f t="shared" si="192"/>
        <v>6086.2781583998376</v>
      </c>
      <c r="DV66" s="3669">
        <f t="shared" si="192"/>
        <v>3707.6692065129873</v>
      </c>
      <c r="DW66" s="5131">
        <f t="shared" si="182"/>
        <v>1838.8016203279331</v>
      </c>
      <c r="DX66" s="3859">
        <f>(SUM(DX58:DX65))</f>
        <v>951.20655616702061</v>
      </c>
      <c r="DY66" s="3859">
        <f>(SUM(DY58:DY65))</f>
        <v>980.36227329055419</v>
      </c>
      <c r="DZ66" s="3859">
        <f>(SUM(DZ58:DZ65))</f>
        <v>974.23773623181478</v>
      </c>
      <c r="EA66" s="3859">
        <f>(SUM(EA58:EA65))</f>
        <v>1045.5342861244044</v>
      </c>
      <c r="EC66" s="4320"/>
      <c r="ED66" s="4320"/>
      <c r="EE66" s="514"/>
    </row>
    <row r="67" spans="1:135" s="84" customFormat="1" ht="11.25" customHeight="1">
      <c r="A67" s="1588"/>
      <c r="B67" s="1039"/>
      <c r="C67" s="77"/>
      <c r="D67" s="77"/>
      <c r="E67" s="77"/>
      <c r="F67" s="77"/>
      <c r="G67" s="1039"/>
      <c r="H67" s="77"/>
      <c r="I67" s="77"/>
      <c r="J67" s="77"/>
      <c r="K67" s="77"/>
      <c r="L67" s="1039"/>
      <c r="M67" s="79"/>
      <c r="N67" s="77"/>
      <c r="O67" s="77"/>
      <c r="P67" s="77"/>
      <c r="Q67" s="1039"/>
      <c r="R67" s="79"/>
      <c r="S67" s="77"/>
      <c r="T67" s="77"/>
      <c r="U67" s="77"/>
      <c r="V67" s="1039"/>
      <c r="W67" s="79"/>
      <c r="X67" s="77"/>
      <c r="Y67" s="77"/>
      <c r="Z67" s="78"/>
      <c r="AA67" s="1039"/>
      <c r="AB67" s="144"/>
      <c r="AC67" s="42"/>
      <c r="AD67" s="42"/>
      <c r="AE67" s="63"/>
      <c r="AF67" s="1039"/>
      <c r="AG67" s="144"/>
      <c r="AH67" s="42"/>
      <c r="AI67" s="42"/>
      <c r="AJ67" s="63"/>
      <c r="AK67" s="1039"/>
      <c r="AL67" s="144"/>
      <c r="AM67" s="42"/>
      <c r="AN67" s="42"/>
      <c r="AO67" s="63"/>
      <c r="AP67" s="1039"/>
      <c r="AQ67" s="144"/>
      <c r="AR67" s="42"/>
      <c r="AS67" s="42"/>
      <c r="AT67" s="63"/>
      <c r="AU67" s="1039"/>
      <c r="AV67" s="42"/>
      <c r="AW67" s="42"/>
      <c r="AX67" s="42"/>
      <c r="AY67" s="42"/>
      <c r="AZ67" s="1039"/>
      <c r="BA67" s="42"/>
      <c r="BB67" s="42"/>
      <c r="BC67" s="42"/>
      <c r="BD67" s="42"/>
      <c r="BE67" s="1039"/>
      <c r="BF67" s="42"/>
      <c r="BG67" s="42"/>
      <c r="BH67" s="42"/>
      <c r="BI67" s="42"/>
      <c r="BJ67" s="1039"/>
      <c r="BK67" s="547"/>
      <c r="BL67" s="42"/>
      <c r="BM67" s="42"/>
      <c r="BN67" s="548"/>
      <c r="BO67" s="1039"/>
      <c r="BP67" s="547"/>
      <c r="BQ67" s="42"/>
      <c r="BR67" s="42"/>
      <c r="BS67" s="548"/>
      <c r="BT67" s="1039"/>
      <c r="BU67" s="547"/>
      <c r="BV67" s="42"/>
      <c r="BW67" s="42"/>
      <c r="BX67" s="548"/>
      <c r="BY67" s="1039"/>
      <c r="BZ67" s="42"/>
      <c r="CA67" s="42"/>
      <c r="CB67" s="42"/>
      <c r="CC67" s="42"/>
      <c r="CD67" s="1039"/>
      <c r="CE67" s="2618"/>
      <c r="CF67" s="42"/>
      <c r="CG67" s="42"/>
      <c r="CH67" s="2618"/>
      <c r="CI67" s="1039"/>
      <c r="CJ67" s="42"/>
      <c r="CK67" s="42"/>
      <c r="CL67" s="42"/>
      <c r="CM67" s="42"/>
      <c r="CN67" s="1038"/>
      <c r="CO67" s="226"/>
      <c r="CP67" s="226"/>
      <c r="CQ67" s="226"/>
      <c r="CR67" s="226"/>
      <c r="CS67" s="1038"/>
      <c r="CT67" s="226"/>
      <c r="CU67" s="226"/>
      <c r="CV67" s="226"/>
      <c r="CW67" s="226"/>
      <c r="CX67" s="1038"/>
      <c r="CY67" s="226"/>
      <c r="CZ67" s="226"/>
      <c r="DA67" s="226"/>
      <c r="DB67" s="226"/>
      <c r="DC67" s="1038"/>
      <c r="DD67" s="226"/>
      <c r="DE67" s="226"/>
      <c r="DF67" s="226"/>
      <c r="DG67" s="226"/>
      <c r="DH67" s="1038"/>
      <c r="DI67" s="226"/>
      <c r="DJ67" s="226"/>
      <c r="DK67" s="226"/>
      <c r="DL67" s="226"/>
      <c r="DM67" s="1038"/>
      <c r="DN67" s="226"/>
      <c r="DO67" s="226"/>
      <c r="DP67" s="226"/>
      <c r="DQ67" s="226"/>
      <c r="DR67" s="1038"/>
      <c r="DS67" s="226"/>
      <c r="DT67" s="226"/>
      <c r="DU67" s="226"/>
      <c r="DV67" s="226"/>
      <c r="DW67" s="1038"/>
      <c r="DX67" s="1038"/>
      <c r="DY67" s="1038"/>
      <c r="DZ67" s="1038"/>
      <c r="EA67" s="1038"/>
      <c r="EC67" s="4320"/>
      <c r="ED67" s="4320"/>
    </row>
    <row r="68" spans="1:135" s="84" customFormat="1" ht="11.25" customHeight="1">
      <c r="A68" s="6115" t="s">
        <v>224</v>
      </c>
      <c r="B68" s="6116"/>
      <c r="C68" s="6117"/>
      <c r="D68" s="6117"/>
      <c r="E68" s="6117"/>
      <c r="F68" s="6117"/>
      <c r="G68" s="6116"/>
      <c r="H68" s="6117"/>
      <c r="I68" s="6117"/>
      <c r="J68" s="6117"/>
      <c r="K68" s="6117"/>
      <c r="L68" s="6116"/>
      <c r="M68" s="6118"/>
      <c r="N68" s="6117"/>
      <c r="O68" s="6117"/>
      <c r="P68" s="6117"/>
      <c r="Q68" s="6116"/>
      <c r="R68" s="6118"/>
      <c r="S68" s="6117"/>
      <c r="T68" s="6117"/>
      <c r="U68" s="6117"/>
      <c r="V68" s="6116"/>
      <c r="W68" s="6118"/>
      <c r="X68" s="6117"/>
      <c r="Y68" s="6117"/>
      <c r="Z68" s="6119"/>
      <c r="AA68" s="6116"/>
      <c r="AB68" s="6120"/>
      <c r="AC68" s="3570"/>
      <c r="AD68" s="6121"/>
      <c r="AE68" s="6122"/>
      <c r="AF68" s="6116"/>
      <c r="AG68" s="6120"/>
      <c r="AH68" s="3570"/>
      <c r="AI68" s="6121"/>
      <c r="AJ68" s="6122"/>
      <c r="AK68" s="6116"/>
      <c r="AL68" s="6120"/>
      <c r="AM68" s="6123"/>
      <c r="AN68" s="6121"/>
      <c r="AO68" s="6122"/>
      <c r="AP68" s="6116"/>
      <c r="AQ68" s="6120"/>
      <c r="AR68" s="6121"/>
      <c r="AS68" s="6121"/>
      <c r="AT68" s="6122"/>
      <c r="AU68" s="6116"/>
      <c r="AV68" s="6121"/>
      <c r="AW68" s="6121"/>
      <c r="AX68" s="6121"/>
      <c r="AY68" s="6121"/>
      <c r="AZ68" s="6116"/>
      <c r="BA68" s="6121"/>
      <c r="BB68" s="6121"/>
      <c r="BC68" s="6121"/>
      <c r="BD68" s="6121"/>
      <c r="BE68" s="6116"/>
      <c r="BF68" s="6121"/>
      <c r="BG68" s="6121"/>
      <c r="BH68" s="6121"/>
      <c r="BI68" s="6121"/>
      <c r="BJ68" s="6116"/>
      <c r="BK68" s="6124"/>
      <c r="BL68" s="6121"/>
      <c r="BM68" s="6121"/>
      <c r="BN68" s="6125"/>
      <c r="BO68" s="6116"/>
      <c r="BP68" s="6124"/>
      <c r="BQ68" s="6121"/>
      <c r="BR68" s="6121"/>
      <c r="BS68" s="6125"/>
      <c r="BT68" s="6116"/>
      <c r="BU68" s="6124"/>
      <c r="BV68" s="6121"/>
      <c r="BW68" s="6121"/>
      <c r="BX68" s="6125"/>
      <c r="BY68" s="6116"/>
      <c r="BZ68" s="6121"/>
      <c r="CA68" s="6121"/>
      <c r="CB68" s="6121"/>
      <c r="CC68" s="6121"/>
      <c r="CD68" s="6126"/>
      <c r="CE68" s="6127"/>
      <c r="CF68" s="6121"/>
      <c r="CG68" s="6121"/>
      <c r="CH68" s="6127"/>
      <c r="CI68" s="6128"/>
      <c r="CJ68" s="3571"/>
      <c r="CK68" s="6121"/>
      <c r="CL68" s="6121"/>
      <c r="CM68" s="3571"/>
      <c r="CN68" s="6129"/>
      <c r="CO68" s="6130"/>
      <c r="CP68" s="6130"/>
      <c r="CQ68" s="6130"/>
      <c r="CR68" s="6130"/>
      <c r="CS68" s="6131"/>
      <c r="CT68" s="6130"/>
      <c r="CU68" s="6130"/>
      <c r="CV68" s="6130"/>
      <c r="CW68" s="6130"/>
      <c r="CX68" s="6131"/>
      <c r="CY68" s="6130"/>
      <c r="CZ68" s="6130"/>
      <c r="DA68" s="6130"/>
      <c r="DB68" s="6130"/>
      <c r="DC68" s="6131"/>
      <c r="DD68" s="6130"/>
      <c r="DE68" s="6130"/>
      <c r="DF68" s="6130"/>
      <c r="DG68" s="6130"/>
      <c r="DH68" s="6131"/>
      <c r="DI68" s="6130"/>
      <c r="DJ68" s="6130"/>
      <c r="DK68" s="6130"/>
      <c r="DL68" s="6130"/>
      <c r="DM68" s="6131"/>
      <c r="DN68" s="6130"/>
      <c r="DO68" s="6130"/>
      <c r="DP68" s="6130"/>
      <c r="DQ68" s="6130"/>
      <c r="DR68" s="6131"/>
      <c r="DS68" s="6130"/>
      <c r="DT68" s="6130"/>
      <c r="DU68" s="6130"/>
      <c r="DV68" s="6130"/>
      <c r="DW68" s="6131"/>
      <c r="DX68" s="6131"/>
      <c r="DY68" s="6131"/>
      <c r="DZ68" s="6131"/>
      <c r="EA68" s="6131"/>
      <c r="EC68" s="4320"/>
      <c r="ED68" s="4320"/>
    </row>
    <row r="69" spans="1:135" s="84" customFormat="1" ht="11.25" customHeight="1">
      <c r="A69" s="1587" t="s">
        <v>833</v>
      </c>
      <c r="B69" s="1039"/>
      <c r="C69" s="77"/>
      <c r="D69" s="77"/>
      <c r="E69" s="77"/>
      <c r="F69" s="77"/>
      <c r="G69" s="1038"/>
      <c r="H69" s="511"/>
      <c r="I69" s="511"/>
      <c r="J69" s="511"/>
      <c r="K69" s="511"/>
      <c r="L69" s="1038"/>
      <c r="M69" s="1463"/>
      <c r="N69" s="511"/>
      <c r="O69" s="511"/>
      <c r="P69" s="511"/>
      <c r="Q69" s="1038"/>
      <c r="R69" s="1463"/>
      <c r="S69" s="511"/>
      <c r="T69" s="511"/>
      <c r="U69" s="511"/>
      <c r="V69" s="1038"/>
      <c r="W69" s="1463"/>
      <c r="X69" s="511"/>
      <c r="Y69" s="511"/>
      <c r="Z69" s="1470"/>
      <c r="AA69" s="1038"/>
      <c r="AB69" s="1426"/>
      <c r="AC69" s="226"/>
      <c r="AD69" s="226"/>
      <c r="AE69" s="1471"/>
      <c r="AF69" s="1038"/>
      <c r="AG69" s="1426"/>
      <c r="AH69" s="226"/>
      <c r="AI69" s="226"/>
      <c r="AJ69" s="1471"/>
      <c r="AK69" s="1038"/>
      <c r="AL69" s="1426"/>
      <c r="AM69" s="226"/>
      <c r="AN69" s="226"/>
      <c r="AO69" s="1471"/>
      <c r="AP69" s="1038"/>
      <c r="AQ69" s="1426"/>
      <c r="AR69" s="226"/>
      <c r="AS69" s="226"/>
      <c r="AT69" s="226"/>
      <c r="AU69" s="1038"/>
      <c r="AV69" s="1426"/>
      <c r="AW69" s="226"/>
      <c r="AX69" s="226"/>
      <c r="AY69" s="226"/>
      <c r="AZ69" s="1038"/>
      <c r="BA69" s="1426"/>
      <c r="BB69" s="226"/>
      <c r="BC69" s="226"/>
      <c r="BD69" s="226"/>
      <c r="BE69" s="1038"/>
      <c r="BF69" s="1426"/>
      <c r="BG69" s="226"/>
      <c r="BH69" s="226"/>
      <c r="BI69" s="226"/>
      <c r="BJ69" s="1038"/>
      <c r="BK69" s="226"/>
      <c r="BL69" s="226"/>
      <c r="BM69" s="226"/>
      <c r="BN69" s="226"/>
      <c r="BO69" s="1038"/>
      <c r="BP69" s="226"/>
      <c r="BQ69" s="226"/>
      <c r="BR69" s="226"/>
      <c r="BS69" s="226"/>
      <c r="BT69" s="1038"/>
      <c r="BU69" s="226"/>
      <c r="BV69" s="656"/>
      <c r="BW69" s="656"/>
      <c r="BX69" s="226"/>
      <c r="BY69" s="1038"/>
      <c r="BZ69" s="668">
        <v>0</v>
      </c>
      <c r="CA69" s="668">
        <v>0</v>
      </c>
      <c r="CB69" s="668">
        <v>0</v>
      </c>
      <c r="CC69" s="668">
        <v>0</v>
      </c>
      <c r="CD69" s="1038">
        <f>SUM(BZ69:CC69)</f>
        <v>0</v>
      </c>
      <c r="CE69" s="668">
        <v>2400</v>
      </c>
      <c r="CF69" s="668">
        <v>0</v>
      </c>
      <c r="CG69" s="668">
        <v>0</v>
      </c>
      <c r="CH69" s="668">
        <v>1000</v>
      </c>
      <c r="CI69" s="1038">
        <f>SUM(CE69:CH69)</f>
        <v>3400</v>
      </c>
      <c r="CJ69" s="226"/>
      <c r="CK69" s="226"/>
      <c r="CL69" s="668">
        <v>1000</v>
      </c>
      <c r="CM69" s="226"/>
      <c r="CN69" s="1038">
        <f>SUM(CJ69:CM69)</f>
        <v>1000</v>
      </c>
      <c r="CO69" s="226"/>
      <c r="CP69" s="226"/>
      <c r="CQ69" s="226"/>
      <c r="CR69" s="226"/>
      <c r="CS69" s="1038">
        <f>SUM(CO69:CR69)</f>
        <v>0</v>
      </c>
      <c r="CT69" s="226"/>
      <c r="CU69" s="226"/>
      <c r="CV69" s="226"/>
      <c r="CW69" s="656"/>
      <c r="CX69" s="1038">
        <f>SUM(CT69:CW69)</f>
        <v>0</v>
      </c>
      <c r="CY69" s="668">
        <v>4000</v>
      </c>
      <c r="CZ69" s="226"/>
      <c r="DA69" s="226"/>
      <c r="DB69" s="656"/>
      <c r="DC69" s="1038">
        <f>SUM(CY69:DB69)</f>
        <v>4000</v>
      </c>
      <c r="DD69" s="656"/>
      <c r="DE69" s="226"/>
      <c r="DF69" s="226"/>
      <c r="DG69" s="656"/>
      <c r="DH69" s="1038">
        <f>SUM(DD69:DG69)</f>
        <v>0</v>
      </c>
      <c r="DI69" s="656"/>
      <c r="DJ69" s="226"/>
      <c r="DK69" s="226"/>
      <c r="DL69" s="656"/>
      <c r="DM69" s="1038">
        <f>SUM(DI69:DL69)</f>
        <v>0</v>
      </c>
      <c r="DN69" s="656"/>
      <c r="DO69" s="226"/>
      <c r="DP69" s="226"/>
      <c r="DQ69" s="656"/>
      <c r="DR69" s="1038">
        <f>SUM(DN69:DQ69)</f>
        <v>0</v>
      </c>
      <c r="DS69" s="656"/>
      <c r="DT69" s="656"/>
      <c r="DU69" s="656"/>
      <c r="DV69" s="656"/>
      <c r="DW69" s="1038">
        <f>SUM(DS69:DV69)</f>
        <v>0</v>
      </c>
      <c r="DX69" s="1038"/>
      <c r="DY69" s="1038"/>
      <c r="DZ69" s="1038"/>
      <c r="EA69" s="1038"/>
      <c r="EC69" s="4325"/>
      <c r="ED69" s="4325"/>
    </row>
    <row r="70" spans="1:135" s="84" customFormat="1" ht="11.25" customHeight="1">
      <c r="A70" s="1587" t="s">
        <v>832</v>
      </c>
      <c r="B70" s="4025"/>
      <c r="C70" s="77"/>
      <c r="D70" s="77"/>
      <c r="E70" s="77"/>
      <c r="F70" s="77"/>
      <c r="G70" s="4026"/>
      <c r="H70" s="511"/>
      <c r="I70" s="511"/>
      <c r="J70" s="511"/>
      <c r="K70" s="511"/>
      <c r="L70" s="4026"/>
      <c r="M70" s="3852"/>
      <c r="N70" s="511"/>
      <c r="O70" s="511"/>
      <c r="P70" s="511"/>
      <c r="Q70" s="4026"/>
      <c r="R70" s="3852"/>
      <c r="S70" s="511"/>
      <c r="T70" s="511"/>
      <c r="U70" s="511"/>
      <c r="V70" s="4026"/>
      <c r="W70" s="3852"/>
      <c r="X70" s="511"/>
      <c r="Y70" s="511"/>
      <c r="Z70" s="1470"/>
      <c r="AA70" s="4026"/>
      <c r="AB70" s="3853"/>
      <c r="AC70" s="226"/>
      <c r="AD70" s="226"/>
      <c r="AE70" s="1471"/>
      <c r="AF70" s="4026"/>
      <c r="AG70" s="3853"/>
      <c r="AH70" s="226"/>
      <c r="AI70" s="226"/>
      <c r="AJ70" s="1471"/>
      <c r="AK70" s="4026"/>
      <c r="AL70" s="3853"/>
      <c r="AM70" s="226"/>
      <c r="AN70" s="226"/>
      <c r="AO70" s="1471"/>
      <c r="AP70" s="4026"/>
      <c r="AQ70" s="3853"/>
      <c r="AR70" s="226"/>
      <c r="AS70" s="226"/>
      <c r="AT70" s="226"/>
      <c r="AU70" s="4026"/>
      <c r="AV70" s="3853"/>
      <c r="AW70" s="226"/>
      <c r="AX70" s="226"/>
      <c r="AY70" s="226"/>
      <c r="AZ70" s="4026"/>
      <c r="BA70" s="3853"/>
      <c r="BB70" s="226"/>
      <c r="BC70" s="226"/>
      <c r="BD70" s="226"/>
      <c r="BE70" s="4026"/>
      <c r="BF70" s="3853"/>
      <c r="BG70" s="226"/>
      <c r="BH70" s="226"/>
      <c r="BI70" s="226"/>
      <c r="BJ70" s="4026"/>
      <c r="BK70" s="226"/>
      <c r="BL70" s="226"/>
      <c r="BM70" s="226"/>
      <c r="BN70" s="226"/>
      <c r="BO70" s="4026"/>
      <c r="BP70" s="226">
        <f>BP73-BP69</f>
        <v>2927</v>
      </c>
      <c r="BQ70" s="226">
        <f>BQ73-BQ69</f>
        <v>2515</v>
      </c>
      <c r="BR70" s="226">
        <f>BR73-BR69</f>
        <v>2383</v>
      </c>
      <c r="BS70" s="226">
        <f>BS73-BS69</f>
        <v>2102</v>
      </c>
      <c r="BT70" s="4026">
        <f>SUM(BP70:BS70)</f>
        <v>9927</v>
      </c>
      <c r="BU70" s="226">
        <f>BU73-BU69</f>
        <v>2444</v>
      </c>
      <c r="BV70" s="226">
        <f>BV73-BV69</f>
        <v>2136</v>
      </c>
      <c r="BW70" s="226">
        <f>BW73-BW69</f>
        <v>2554</v>
      </c>
      <c r="BX70" s="226">
        <f>BX73-BX69</f>
        <v>3078</v>
      </c>
      <c r="BY70" s="4026">
        <f>SUM(BU70:BX70)</f>
        <v>10212</v>
      </c>
      <c r="BZ70" s="226">
        <f>BZ73-BZ69</f>
        <v>2508</v>
      </c>
      <c r="CA70" s="226">
        <f>CA73-CA69</f>
        <v>2831</v>
      </c>
      <c r="CB70" s="226">
        <f>CB73-CB69</f>
        <v>3538</v>
      </c>
      <c r="CC70" s="226">
        <f>CC73-CC69</f>
        <v>4307</v>
      </c>
      <c r="CD70" s="4026">
        <f>SUM(BZ70:CC70)</f>
        <v>13184</v>
      </c>
      <c r="CE70" s="226">
        <f>CE73-CE69</f>
        <v>4899</v>
      </c>
      <c r="CF70" s="226">
        <f>CF73-CF69</f>
        <v>5477</v>
      </c>
      <c r="CG70" s="226">
        <f>CG73-CG69</f>
        <v>5282</v>
      </c>
      <c r="CH70" s="226">
        <f>CH73-CH69</f>
        <v>6081</v>
      </c>
      <c r="CI70" s="4026">
        <f>SUM(CE70:CH70)</f>
        <v>21739</v>
      </c>
      <c r="CJ70" s="226">
        <f>CJ73-CJ69</f>
        <v>4638</v>
      </c>
      <c r="CK70" s="226">
        <f>CK73-CK69</f>
        <v>6126</v>
      </c>
      <c r="CL70" s="226">
        <f>CL73-CL69</f>
        <v>5732</v>
      </c>
      <c r="CM70" s="226">
        <f>CM73-CM69</f>
        <v>6052</v>
      </c>
      <c r="CN70" s="4026">
        <f>SUM(CJ70:CM70)</f>
        <v>22548</v>
      </c>
      <c r="CO70" s="226">
        <f>CO73-CO69</f>
        <v>6005</v>
      </c>
      <c r="CP70" s="226">
        <f>CP73-CP69</f>
        <v>5391</v>
      </c>
      <c r="CQ70" s="226">
        <f>CQ73-CQ69</f>
        <v>5406</v>
      </c>
      <c r="CR70" s="226">
        <f>CR73-CR69</f>
        <v>5479</v>
      </c>
      <c r="CS70" s="4026">
        <f>SUM(CO70:CR70)</f>
        <v>22281</v>
      </c>
      <c r="CT70" s="226">
        <f>CT73-CT69</f>
        <v>5942</v>
      </c>
      <c r="CU70" s="226">
        <f>CU73-CU69</f>
        <v>5496</v>
      </c>
      <c r="CV70" s="226">
        <f>CV73-CV69</f>
        <v>6819</v>
      </c>
      <c r="CW70" s="226">
        <f>CW73-CW69</f>
        <v>6383</v>
      </c>
      <c r="CX70" s="4026">
        <f>SUM(CT70:CW70)</f>
        <v>24640</v>
      </c>
      <c r="CY70" s="226">
        <f>CY73-CY69</f>
        <v>5786</v>
      </c>
      <c r="CZ70" s="226">
        <f>CZ73-CZ69</f>
        <v>6828</v>
      </c>
      <c r="DA70" s="226">
        <f>DA73-DA69</f>
        <v>7276</v>
      </c>
      <c r="DB70" s="226">
        <f>DB73-DB69</f>
        <v>7595</v>
      </c>
      <c r="DC70" s="4026">
        <f>SUM(CY70:DB70)</f>
        <v>27485</v>
      </c>
      <c r="DD70" s="226">
        <f>DD73-DD69</f>
        <v>6289</v>
      </c>
      <c r="DE70" s="226">
        <f>DE73-DE69</f>
        <v>6888</v>
      </c>
      <c r="DF70" s="226">
        <f>DF73-DF69</f>
        <v>8055</v>
      </c>
      <c r="DG70" s="226">
        <f>DG73-DG69</f>
        <v>11019</v>
      </c>
      <c r="DH70" s="4026">
        <f>SUM(DD70:DG70)</f>
        <v>32251</v>
      </c>
      <c r="DI70" s="226">
        <f>DI73-DI69</f>
        <v>12012</v>
      </c>
      <c r="DJ70" s="226">
        <f>DJ73-DJ69</f>
        <v>13186</v>
      </c>
      <c r="DK70" s="226">
        <f>DK73-DK69</f>
        <v>13061</v>
      </c>
      <c r="DL70" s="226">
        <f>DL73-DL69</f>
        <v>14276</v>
      </c>
      <c r="DM70" s="4026">
        <f>SUM(DI70:DL70)</f>
        <v>52535</v>
      </c>
      <c r="DN70" s="226">
        <f>DN73-DN69</f>
        <v>17197</v>
      </c>
      <c r="DO70" s="226">
        <f>DO73-DO69</f>
        <v>22446</v>
      </c>
      <c r="DP70" s="226">
        <f>DP73-DP69</f>
        <v>23953</v>
      </c>
      <c r="DQ70" s="226">
        <f t="shared" ref="DQ70" si="193">DQ73-DQ69</f>
        <v>28796.411129211654</v>
      </c>
      <c r="DR70" s="4026">
        <f>SUM(DN70:DQ70)</f>
        <v>92392.411129211658</v>
      </c>
      <c r="DS70" s="226">
        <f t="shared" ref="DS70:DV70" si="194">DS73-DS69</f>
        <v>31807.905486705375</v>
      </c>
      <c r="DT70" s="226">
        <f t="shared" si="194"/>
        <v>34818.957942968504</v>
      </c>
      <c r="DU70" s="226">
        <f t="shared" si="194"/>
        <v>36465.530740129485</v>
      </c>
      <c r="DV70" s="226">
        <f t="shared" si="194"/>
        <v>37826.440496520183</v>
      </c>
      <c r="DW70" s="4026">
        <f>SUM(DS70:DV70)</f>
        <v>140918.83466632356</v>
      </c>
      <c r="DX70" s="4026">
        <f>DX73-DX69</f>
        <v>156583.13115276871</v>
      </c>
      <c r="DY70" s="4026">
        <f>DY73-DY69</f>
        <v>171204.68556146964</v>
      </c>
      <c r="DZ70" s="4026">
        <f>DZ73-DZ69</f>
        <v>184596.54397761333</v>
      </c>
      <c r="EA70" s="4026">
        <f>EA73-EA69</f>
        <v>197553.72407966186</v>
      </c>
      <c r="EC70" s="4325"/>
      <c r="ED70" s="4325"/>
    </row>
    <row r="71" spans="1:135" s="4029" customFormat="1" ht="11.25" customHeight="1">
      <c r="A71" s="4028" t="s">
        <v>836</v>
      </c>
      <c r="B71" s="4030"/>
      <c r="C71" s="254"/>
      <c r="D71" s="254"/>
      <c r="E71" s="254"/>
      <c r="F71" s="254"/>
      <c r="G71" s="4030"/>
      <c r="H71" s="254"/>
      <c r="I71" s="254"/>
      <c r="J71" s="254"/>
      <c r="K71" s="254"/>
      <c r="L71" s="4030"/>
      <c r="M71" s="4031"/>
      <c r="N71" s="254"/>
      <c r="O71" s="254"/>
      <c r="P71" s="254"/>
      <c r="Q71" s="4030"/>
      <c r="R71" s="4031"/>
      <c r="S71" s="254"/>
      <c r="T71" s="254"/>
      <c r="U71" s="254"/>
      <c r="V71" s="4030"/>
      <c r="W71" s="4031"/>
      <c r="X71" s="254"/>
      <c r="Y71" s="254"/>
      <c r="Z71" s="4032"/>
      <c r="AA71" s="4030"/>
      <c r="AB71" s="2663"/>
      <c r="AC71" s="2623"/>
      <c r="AD71" s="2623"/>
      <c r="AE71" s="1316"/>
      <c r="AF71" s="4030"/>
      <c r="AG71" s="2663"/>
      <c r="AH71" s="2623"/>
      <c r="AI71" s="2623"/>
      <c r="AJ71" s="1316"/>
      <c r="AK71" s="4030"/>
      <c r="AL71" s="2663"/>
      <c r="AM71" s="2623"/>
      <c r="AN71" s="2623"/>
      <c r="AO71" s="1316"/>
      <c r="AP71" s="4030"/>
      <c r="AQ71" s="2663"/>
      <c r="AR71" s="2623"/>
      <c r="AS71" s="2623"/>
      <c r="AT71" s="2623"/>
      <c r="AU71" s="4030"/>
      <c r="AV71" s="2663"/>
      <c r="AW71" s="2623"/>
      <c r="AX71" s="2623"/>
      <c r="AY71" s="2623"/>
      <c r="AZ71" s="4030"/>
      <c r="BA71" s="2663"/>
      <c r="BB71" s="2623"/>
      <c r="BC71" s="2623"/>
      <c r="BD71" s="2623"/>
      <c r="BE71" s="4030"/>
      <c r="BF71" s="2663"/>
      <c r="BG71" s="2623"/>
      <c r="BH71" s="2623"/>
      <c r="BI71" s="2623"/>
      <c r="BJ71" s="4030"/>
      <c r="BK71" s="2623"/>
      <c r="BL71" s="2623"/>
      <c r="BM71" s="2623"/>
      <c r="BN71" s="2623"/>
      <c r="BO71" s="4030"/>
      <c r="BP71" s="2623"/>
      <c r="BQ71" s="2623"/>
      <c r="BR71" s="2623"/>
      <c r="BS71" s="2623"/>
      <c r="BT71" s="4030"/>
      <c r="BU71" s="2623"/>
      <c r="BV71" s="2623"/>
      <c r="BW71" s="2623"/>
      <c r="BX71" s="2623"/>
      <c r="BY71" s="4030">
        <f>BY70/BT70-1</f>
        <v>2.870957993351464E-2</v>
      </c>
      <c r="BZ71" s="2623">
        <f t="shared" ref="BZ71:CN71" si="195">BZ70/BU70-1</f>
        <v>2.6186579378068675E-2</v>
      </c>
      <c r="CA71" s="2623">
        <f t="shared" si="195"/>
        <v>0.32537453183520593</v>
      </c>
      <c r="CB71" s="2623">
        <f t="shared" si="195"/>
        <v>0.38527799530148776</v>
      </c>
      <c r="CC71" s="2623">
        <f t="shared" si="195"/>
        <v>0.39928525016244309</v>
      </c>
      <c r="CD71" s="4030">
        <f t="shared" si="195"/>
        <v>0.29103016059537801</v>
      </c>
      <c r="CE71" s="2623">
        <f t="shared" si="195"/>
        <v>0.95334928229665072</v>
      </c>
      <c r="CF71" s="2623">
        <f t="shared" si="195"/>
        <v>0.93465206640762988</v>
      </c>
      <c r="CG71" s="2623">
        <f t="shared" si="195"/>
        <v>0.49293386093838332</v>
      </c>
      <c r="CH71" s="2623">
        <f t="shared" si="195"/>
        <v>0.41188762479684238</v>
      </c>
      <c r="CI71" s="4030">
        <f t="shared" si="195"/>
        <v>0.64889259708737868</v>
      </c>
      <c r="CJ71" s="2623">
        <f t="shared" si="195"/>
        <v>-5.3276178812002417E-2</v>
      </c>
      <c r="CK71" s="2623">
        <f t="shared" si="195"/>
        <v>0.11849552674821973</v>
      </c>
      <c r="CL71" s="2623">
        <f t="shared" si="195"/>
        <v>8.5195001893222155E-2</v>
      </c>
      <c r="CM71" s="2623">
        <f t="shared" si="195"/>
        <v>-4.7689524749219281E-3</v>
      </c>
      <c r="CN71" s="4030">
        <f t="shared" si="195"/>
        <v>3.7214223285339632E-2</v>
      </c>
      <c r="CO71" s="2623">
        <f t="shared" ref="CO71:DB71" si="196">CO70/CJ70-1</f>
        <v>0.29473911168607159</v>
      </c>
      <c r="CP71" s="2623">
        <f t="shared" si="196"/>
        <v>-0.11998041136141036</v>
      </c>
      <c r="CQ71" s="2623">
        <f t="shared" si="196"/>
        <v>-5.6873691556175832E-2</v>
      </c>
      <c r="CR71" s="2623">
        <f t="shared" si="196"/>
        <v>-9.4679444811632485E-2</v>
      </c>
      <c r="CS71" s="4030">
        <f t="shared" si="196"/>
        <v>-1.1841405002660954E-2</v>
      </c>
      <c r="CT71" s="2623">
        <f t="shared" si="196"/>
        <v>-1.0491257285595301E-2</v>
      </c>
      <c r="CU71" s="2623">
        <f t="shared" si="196"/>
        <v>1.9476905954368462E-2</v>
      </c>
      <c r="CV71" s="2623">
        <f t="shared" si="196"/>
        <v>0.26137624861265252</v>
      </c>
      <c r="CW71" s="2623">
        <f t="shared" si="196"/>
        <v>0.16499361197298779</v>
      </c>
      <c r="CX71" s="4030">
        <f t="shared" si="196"/>
        <v>0.10587496072887204</v>
      </c>
      <c r="CY71" s="2623">
        <f>CY70/CT70-1</f>
        <v>-2.6253786603837037E-2</v>
      </c>
      <c r="CZ71" s="2623">
        <f t="shared" si="196"/>
        <v>0.24235807860262004</v>
      </c>
      <c r="DA71" s="2623">
        <f t="shared" si="196"/>
        <v>6.7018624431734786E-2</v>
      </c>
      <c r="DB71" s="2623">
        <f t="shared" si="196"/>
        <v>0.18987936706877639</v>
      </c>
      <c r="DC71" s="4030">
        <f t="shared" ref="DC71:DH71" si="197">DC70/CX70-1</f>
        <v>0.11546266233766245</v>
      </c>
      <c r="DD71" s="2623">
        <f>DD70/CY70-1</f>
        <v>8.6933978568959569E-2</v>
      </c>
      <c r="DE71" s="2623">
        <f>DE70/CZ70-1</f>
        <v>8.7873462214411724E-3</v>
      </c>
      <c r="DF71" s="2623">
        <f>DF70/DA70-1</f>
        <v>0.1070643210555251</v>
      </c>
      <c r="DG71" s="2623">
        <f t="shared" ref="DG71" si="198">DG70/DB70-1</f>
        <v>0.45082290980908502</v>
      </c>
      <c r="DH71" s="4030">
        <f t="shared" si="197"/>
        <v>0.17340367473167184</v>
      </c>
      <c r="DI71" s="2623">
        <f>DI70/DD70-1</f>
        <v>0.91000159007791392</v>
      </c>
      <c r="DJ71" s="2623">
        <f>DJ70/DE70-1</f>
        <v>0.9143437862950059</v>
      </c>
      <c r="DK71" s="2623">
        <f>DK70/DF70-1</f>
        <v>0.62147734326505266</v>
      </c>
      <c r="DL71" s="2623">
        <f t="shared" ref="DL71" si="199">DL70/DG70-1</f>
        <v>0.29558036119430064</v>
      </c>
      <c r="DM71" s="4030">
        <f>DM70/DH70-1</f>
        <v>0.62894173824067479</v>
      </c>
      <c r="DN71" s="2623">
        <f>DN70/DI70-1</f>
        <v>0.43165168165168155</v>
      </c>
      <c r="DO71" s="2623">
        <f>DO70/DJ70-1</f>
        <v>0.7022599726983163</v>
      </c>
      <c r="DP71" s="2623">
        <f>DP70/DK70-1</f>
        <v>0.83393308322486792</v>
      </c>
      <c r="DQ71" s="2623">
        <f t="shared" ref="DQ71" si="200">DQ70/DL70-1</f>
        <v>1.0171204209310489</v>
      </c>
      <c r="DR71" s="4030">
        <f>DR70/DM70-1</f>
        <v>0.75868299475038836</v>
      </c>
      <c r="DS71" s="2623">
        <f t="shared" ref="DS71" si="201">DS70/DN70-1</f>
        <v>0.849619438664033</v>
      </c>
      <c r="DT71" s="2623">
        <f t="shared" ref="DT71" si="202">DT70/DO70-1</f>
        <v>0.55123219918776201</v>
      </c>
      <c r="DU71" s="2623">
        <f t="shared" ref="DU71" si="203">DU70/DP70-1</f>
        <v>0.52237843861434841</v>
      </c>
      <c r="DV71" s="2623">
        <f t="shared" ref="DV71" si="204">DV70/DQ70-1</f>
        <v>0.31358176290754125</v>
      </c>
      <c r="DW71" s="4030">
        <f>DW70/DR70-1</f>
        <v>0.52522088063322903</v>
      </c>
      <c r="DX71" s="4030">
        <f>DX70/DW70-1</f>
        <v>0.11115828855337928</v>
      </c>
      <c r="DY71" s="4030">
        <f>DY70/DX70-1</f>
        <v>9.337886080739799E-2</v>
      </c>
      <c r="DZ71" s="4030">
        <f>DZ70/DY70-1</f>
        <v>7.8221331222476653E-2</v>
      </c>
      <c r="EA71" s="4030">
        <f>EA70/DZ70-1</f>
        <v>7.0191888877507269E-2</v>
      </c>
      <c r="EC71" s="4325"/>
      <c r="ED71" s="4325"/>
    </row>
    <row r="72" spans="1:135" s="4029" customFormat="1" ht="11.25" customHeight="1">
      <c r="A72" s="4027" t="s">
        <v>837</v>
      </c>
      <c r="B72" s="4030"/>
      <c r="C72" s="254"/>
      <c r="D72" s="254"/>
      <c r="E72" s="254"/>
      <c r="F72" s="254"/>
      <c r="G72" s="4030"/>
      <c r="H72" s="254"/>
      <c r="I72" s="254"/>
      <c r="J72" s="254"/>
      <c r="K72" s="254"/>
      <c r="L72" s="4030"/>
      <c r="M72" s="4031"/>
      <c r="N72" s="254"/>
      <c r="O72" s="254"/>
      <c r="P72" s="254"/>
      <c r="Q72" s="4030"/>
      <c r="R72" s="4031"/>
      <c r="S72" s="254"/>
      <c r="T72" s="254"/>
      <c r="U72" s="254"/>
      <c r="V72" s="4030"/>
      <c r="W72" s="4031"/>
      <c r="X72" s="254"/>
      <c r="Y72" s="254"/>
      <c r="Z72" s="4032"/>
      <c r="AA72" s="4030"/>
      <c r="AB72" s="2663"/>
      <c r="AC72" s="2623"/>
      <c r="AD72" s="2623"/>
      <c r="AE72" s="1316"/>
      <c r="AF72" s="4030"/>
      <c r="AG72" s="2663"/>
      <c r="AH72" s="2623"/>
      <c r="AI72" s="2623"/>
      <c r="AJ72" s="1316"/>
      <c r="AK72" s="4030"/>
      <c r="AL72" s="2663"/>
      <c r="AM72" s="2623"/>
      <c r="AN72" s="2623"/>
      <c r="AO72" s="1316"/>
      <c r="AP72" s="4030"/>
      <c r="AQ72" s="2663"/>
      <c r="AR72" s="2623"/>
      <c r="AS72" s="2623"/>
      <c r="AT72" s="2623"/>
      <c r="AU72" s="4030"/>
      <c r="AV72" s="2663"/>
      <c r="AW72" s="2623"/>
      <c r="AX72" s="2623"/>
      <c r="AY72" s="2623"/>
      <c r="AZ72" s="4030"/>
      <c r="BA72" s="2663"/>
      <c r="BB72" s="2623"/>
      <c r="BC72" s="2623"/>
      <c r="BD72" s="2623"/>
      <c r="BE72" s="4030"/>
      <c r="BF72" s="2663"/>
      <c r="BG72" s="2623"/>
      <c r="BH72" s="2623"/>
      <c r="BI72" s="2623"/>
      <c r="BJ72" s="4030"/>
      <c r="BK72" s="2623"/>
      <c r="BL72" s="2623"/>
      <c r="BM72" s="2623"/>
      <c r="BN72" s="2623"/>
      <c r="BO72" s="4030"/>
      <c r="BP72" s="2623"/>
      <c r="BQ72" s="2623"/>
      <c r="BR72" s="2623"/>
      <c r="BS72" s="2623"/>
      <c r="BT72" s="4030">
        <f>BT70/'Revenue Drivers'!CR127</f>
        <v>0.16368762985192759</v>
      </c>
      <c r="BU72" s="2623">
        <f>BU70/'Revenue Drivers'!CS127</f>
        <v>0.14840002428805635</v>
      </c>
      <c r="BV72" s="2623">
        <f>BV70/'Revenue Drivers'!CT127</f>
        <v>0.12188302425106989</v>
      </c>
      <c r="BW72" s="2623">
        <f>BW70/'Revenue Drivers'!CU127</f>
        <v>0.13979966062729213</v>
      </c>
      <c r="BX72" s="2623">
        <f>BX70/'Revenue Drivers'!CV127</f>
        <v>0.145079185520362</v>
      </c>
      <c r="BY72" s="4030">
        <f>BY70/'Revenue Drivers'!CW127</f>
        <v>0.13897848364838933</v>
      </c>
      <c r="BZ72" s="2623">
        <f>BZ70/'Revenue Drivers'!CX127</f>
        <v>0.12464589235127478</v>
      </c>
      <c r="CA72" s="2623">
        <f>CA70/'Revenue Drivers'!CY127</f>
        <v>0.13533151680290645</v>
      </c>
      <c r="CB72" s="2623">
        <f>CB70/'Revenue Drivers'!CZ127</f>
        <v>0.15886843286933094</v>
      </c>
      <c r="CC72" s="2623">
        <f>CC70/'Revenue Drivers'!DA127</f>
        <v>0.16646697329262164</v>
      </c>
      <c r="CD72" s="4030">
        <f>CD70/'Revenue Drivers'!DB127</f>
        <v>0.14783086462666653</v>
      </c>
      <c r="CE72" s="2623">
        <f>CE70/'Revenue Drivers'!DC127</f>
        <v>0.19707941105479121</v>
      </c>
      <c r="CF72" s="2623">
        <f>CF70/'Revenue Drivers'!DD127</f>
        <v>0.20875100049548348</v>
      </c>
      <c r="CG72" s="2623">
        <f>CG70/'Revenue Drivers'!DE127</f>
        <v>0.19449149421901465</v>
      </c>
      <c r="CH72" s="2623">
        <f>CH70/'Revenue Drivers'!DF127</f>
        <v>0.1909861809045226</v>
      </c>
      <c r="CI72" s="4030">
        <f>CI70/'Revenue Drivers'!DG127</f>
        <v>0.1974603289945773</v>
      </c>
      <c r="CJ72" s="2623">
        <f>CJ70/'Revenue Drivers'!DH127</f>
        <v>0.15733233827470403</v>
      </c>
      <c r="CK72" s="2623">
        <f>CK70/'Revenue Drivers'!DI127</f>
        <v>0.19321264114047815</v>
      </c>
      <c r="CL72" s="2623">
        <f>CL70/'Revenue Drivers'!DJ127</f>
        <v>0.17364961071223001</v>
      </c>
      <c r="CM72" s="2623">
        <f>CM70/'Revenue Drivers'!DK127</f>
        <v>0.16106882418693777</v>
      </c>
      <c r="CN72" s="4030">
        <f>CN70/'Revenue Drivers'!DL127</f>
        <v>0.17111893631230649</v>
      </c>
      <c r="CO72" s="2623">
        <f>CO70/'Revenue Drivers'!DM127</f>
        <v>0.17815290592458541</v>
      </c>
      <c r="CP72" s="2623">
        <f>CP70/'Revenue Drivers'!DN127</f>
        <v>0.17058507103755974</v>
      </c>
      <c r="CQ72" s="2623">
        <f>CQ70/'Revenue Drivers'!DO127</f>
        <v>0.14223695635014602</v>
      </c>
      <c r="CR72" s="2623">
        <f>CR70/'Revenue Drivers'!DP127</f>
        <v>0.11800051688490697</v>
      </c>
      <c r="CS72" s="4030">
        <f>CS70/'Revenue Drivers'!DQ127</f>
        <v>0.14878897354907211</v>
      </c>
      <c r="CT72" s="2623">
        <f>CT70/'Revenue Drivers'!DR127</f>
        <v>0.1303013025744485</v>
      </c>
      <c r="CU72" s="2623">
        <f>CU70/'Revenue Drivers'!DS127</f>
        <v>0.10786834409530725</v>
      </c>
      <c r="CV72" s="2623">
        <f>CV70/'Revenue Drivers'!DT127</f>
        <v>0.12717269675494219</v>
      </c>
      <c r="CW72" s="2623">
        <f>CW70/'Revenue Drivers'!DU127</f>
        <v>0.1031212640149924</v>
      </c>
      <c r="CX72" s="4030">
        <f>CX70/'Revenue Drivers'!DV127</f>
        <v>0.11618750324183882</v>
      </c>
      <c r="CY72" s="2623">
        <f>CY70/'Revenue Drivers'!DW127</f>
        <v>0.10328269755984364</v>
      </c>
      <c r="CZ72" s="2623">
        <f>CZ70/'Revenue Drivers'!DX127</f>
        <v>0.11880774651563397</v>
      </c>
      <c r="DA72" s="2623">
        <f>DA70/'Revenue Drivers'!DY127</f>
        <v>0.12705619390214087</v>
      </c>
      <c r="DB72" s="2623">
        <f>DB70/'Revenue Drivers'!DZ127</f>
        <v>0.12032064382237853</v>
      </c>
      <c r="DC72" s="4030">
        <f>DC70/'Revenue Drivers'!EA127</f>
        <v>0.11751702789025188</v>
      </c>
      <c r="DD72" s="2623">
        <f>DD70/'Revenue Drivers'!EB127</f>
        <v>0.10830778768987015</v>
      </c>
      <c r="DE72" s="2623">
        <f>DE70/'Revenue Drivers'!EC127</f>
        <v>0.11097684760017401</v>
      </c>
      <c r="DF72" s="2623">
        <f>DF70/'Revenue Drivers'!ED127</f>
        <v>0.12575916066884202</v>
      </c>
      <c r="DG72" s="2623">
        <f>DG70/'Revenue Drivers'!EE127</f>
        <v>0.1523560643769703</v>
      </c>
      <c r="DH72" s="4030">
        <f>DH70/'Revenue Drivers'!EF127</f>
        <v>0.12573097135371997</v>
      </c>
      <c r="DI72" s="2623">
        <f>DI70/'Revenue Drivers'!EG127</f>
        <v>0.17771070968887312</v>
      </c>
      <c r="DJ72" s="2623">
        <f>DJ70/'Revenue Drivers'!EH127</f>
        <v>0.18479433816831337</v>
      </c>
      <c r="DK72" s="2623">
        <f>DK70/'Revenue Drivers'!EI127</f>
        <v>0.17520020389274168</v>
      </c>
      <c r="DL72" s="2623">
        <f>DL70/'Revenue Drivers'!EJ127</f>
        <v>0.17490596782690729</v>
      </c>
      <c r="DM72" s="4030">
        <f>DM70/'Revenue Drivers'!EK127</f>
        <v>0.17801354034657324</v>
      </c>
      <c r="DN72" s="2623">
        <f>DN70/'Revenue Drivers'!EL127</f>
        <v>0.22483853254190309</v>
      </c>
      <c r="DO72" s="2623">
        <f>DO70/'Revenue Drivers'!EM127</f>
        <v>0.27465952057560294</v>
      </c>
      <c r="DP72" s="2623">
        <f>DP70/'Revenue Drivers'!EN127</f>
        <v>0.2738424602720933</v>
      </c>
      <c r="DQ72" s="2623">
        <f>DQ70/'Revenue Drivers'!EO127</f>
        <v>0.3</v>
      </c>
      <c r="DR72" s="4030">
        <f>DR70/'Revenue Drivers'!EP127</f>
        <v>0.27041651987891541</v>
      </c>
      <c r="DS72" s="2623">
        <f>DS70/'Revenue Drivers'!EQ127</f>
        <v>0.35</v>
      </c>
      <c r="DT72" s="2623">
        <f>DT70/'Revenue Drivers'!ER127</f>
        <v>0.36</v>
      </c>
      <c r="DU72" s="2623">
        <f>DU70/'Revenue Drivers'!ES127</f>
        <v>0.35499999999999998</v>
      </c>
      <c r="DV72" s="2623">
        <f>DV70/'Revenue Drivers'!ET127</f>
        <v>0.33500000000000002</v>
      </c>
      <c r="DW72" s="4030">
        <f>DW70/'Revenue Drivers'!EU127</f>
        <v>0.34947194650903202</v>
      </c>
      <c r="DX72" s="4030">
        <f>DX70/'Revenue Drivers'!EV127</f>
        <v>0.34</v>
      </c>
      <c r="DY72" s="4030">
        <f>DY70/'Revenue Drivers'!EW127</f>
        <v>0.33</v>
      </c>
      <c r="DZ72" s="4030">
        <f>DZ70/'Revenue Drivers'!EX127</f>
        <v>0.32</v>
      </c>
      <c r="EA72" s="4030">
        <f>EA70/'Revenue Drivers'!EY127</f>
        <v>0.31</v>
      </c>
      <c r="EC72" s="4325"/>
      <c r="ED72" s="4325"/>
    </row>
    <row r="73" spans="1:135" s="2950" customFormat="1" ht="11.25" customHeight="1">
      <c r="A73" s="4051" t="s">
        <v>149</v>
      </c>
      <c r="B73" s="4052">
        <f>-B23</f>
        <v>13.06</v>
      </c>
      <c r="C73" s="3902"/>
      <c r="D73" s="3902"/>
      <c r="E73" s="3902"/>
      <c r="F73" s="3902"/>
      <c r="G73" s="4053">
        <f t="shared" ref="G73:P73" si="205">-G23</f>
        <v>37.198</v>
      </c>
      <c r="H73" s="4054">
        <f t="shared" si="205"/>
        <v>29.55</v>
      </c>
      <c r="I73" s="4054">
        <f t="shared" si="205"/>
        <v>31.002999999999997</v>
      </c>
      <c r="J73" s="4054">
        <f t="shared" si="205"/>
        <v>59.757000000000005</v>
      </c>
      <c r="K73" s="4054">
        <f t="shared" si="205"/>
        <v>56.490999999999985</v>
      </c>
      <c r="L73" s="4053">
        <f t="shared" si="205"/>
        <v>176.80099999999999</v>
      </c>
      <c r="M73" s="4055">
        <f t="shared" si="205"/>
        <v>86.037000000000006</v>
      </c>
      <c r="N73" s="4054">
        <f t="shared" si="205"/>
        <v>96.245999999999981</v>
      </c>
      <c r="O73" s="4054">
        <f t="shared" si="205"/>
        <v>77.632000000000033</v>
      </c>
      <c r="P73" s="4054">
        <f t="shared" si="205"/>
        <v>59.079999999999984</v>
      </c>
      <c r="Q73" s="4053">
        <f>SUM(M73:P73)</f>
        <v>318.995</v>
      </c>
      <c r="R73" s="4055">
        <f>-R23</f>
        <v>142.39099999999999</v>
      </c>
      <c r="S73" s="4054">
        <f>-S23</f>
        <v>157.46299999999999</v>
      </c>
      <c r="T73" s="4054">
        <f>-T23</f>
        <v>292.53200000000004</v>
      </c>
      <c r="U73" s="4054">
        <f>-U23</f>
        <v>245.83099999999999</v>
      </c>
      <c r="V73" s="4053">
        <f>SUM(R73:U73)</f>
        <v>838.21699999999998</v>
      </c>
      <c r="W73" s="4055">
        <f>-W23</f>
        <v>344.93799999999999</v>
      </c>
      <c r="X73" s="4054">
        <f>-X23</f>
        <v>699.00000000000011</v>
      </c>
      <c r="Y73" s="4054">
        <f>-Y23</f>
        <v>492.22199999999998</v>
      </c>
      <c r="Z73" s="4056">
        <f>-Z23</f>
        <v>366.63799999999992</v>
      </c>
      <c r="AA73" s="4053">
        <f>SUM(W73:Z73)</f>
        <v>1902.798</v>
      </c>
      <c r="AB73" s="4057">
        <f>-AB23</f>
        <v>596.89300000000003</v>
      </c>
      <c r="AC73" s="3906">
        <f>-AC23</f>
        <v>575.09799999999996</v>
      </c>
      <c r="AD73" s="3906">
        <f>-AD23</f>
        <v>552.6400000000001</v>
      </c>
      <c r="AE73" s="4058">
        <f>-AE23</f>
        <v>678.20900000000006</v>
      </c>
      <c r="AF73" s="4053">
        <f>SUM(AB73:AE73)</f>
        <v>2402.84</v>
      </c>
      <c r="AG73" s="4057">
        <f>-AG23</f>
        <v>841.59699999999998</v>
      </c>
      <c r="AH73" s="3906">
        <f>-AH23</f>
        <v>697.51700000000005</v>
      </c>
      <c r="AI73" s="3906">
        <f>-AI23</f>
        <v>451.50299999999993</v>
      </c>
      <c r="AJ73" s="4058">
        <f>-AJ23</f>
        <v>367.84399999999999</v>
      </c>
      <c r="AK73" s="4053">
        <f>SUM(AG73:AJ73)</f>
        <v>2358.4609999999998</v>
      </c>
      <c r="AL73" s="4057">
        <f>-AL23</f>
        <v>262.755</v>
      </c>
      <c r="AM73" s="3906">
        <f>-AM23</f>
        <v>139.43700000000001</v>
      </c>
      <c r="AN73" s="3906">
        <f>-AN23</f>
        <v>186.339</v>
      </c>
      <c r="AO73" s="4058">
        <f>-AO23</f>
        <v>221.357</v>
      </c>
      <c r="AP73" s="4053">
        <f>SUM(AL73:AO73)</f>
        <v>809.88799999999992</v>
      </c>
      <c r="AQ73" s="4057">
        <f>-AQ23</f>
        <v>239</v>
      </c>
      <c r="AR73" s="3906">
        <f>-AR23</f>
        <v>476</v>
      </c>
      <c r="AS73" s="3906">
        <f>-AS23</f>
        <v>757</v>
      </c>
      <c r="AT73" s="3906">
        <f>-AT23</f>
        <v>2545</v>
      </c>
      <c r="AU73" s="4053">
        <f>SUM(AQ73:AT73)</f>
        <v>4017</v>
      </c>
      <c r="AV73" s="4057">
        <f>-AV23</f>
        <v>890</v>
      </c>
      <c r="AW73" s="3906">
        <f>-AW23</f>
        <v>917</v>
      </c>
      <c r="AX73" s="3906">
        <f>-AX23</f>
        <v>680</v>
      </c>
      <c r="AY73" s="3906">
        <f>-AY23</f>
        <v>951</v>
      </c>
      <c r="AZ73" s="4053">
        <f>SUM(AV73:AY73)</f>
        <v>3438</v>
      </c>
      <c r="BA73" s="4057">
        <f>-BA23</f>
        <v>607</v>
      </c>
      <c r="BB73" s="3906">
        <f>-BB23</f>
        <v>774</v>
      </c>
      <c r="BC73" s="3906">
        <f>-BC23</f>
        <v>872</v>
      </c>
      <c r="BD73" s="3906">
        <f>-BD23</f>
        <v>1020</v>
      </c>
      <c r="BE73" s="4053">
        <f>SUM(BA73:BD73)</f>
        <v>3273</v>
      </c>
      <c r="BF73" s="4057">
        <f>-BF23</f>
        <v>1203</v>
      </c>
      <c r="BG73" s="3906">
        <f>-BG23</f>
        <v>1611</v>
      </c>
      <c r="BH73" s="3906">
        <f>-BH23</f>
        <v>2289</v>
      </c>
      <c r="BI73" s="3906">
        <f>-BI23</f>
        <v>2255</v>
      </c>
      <c r="BJ73" s="4053">
        <f>SUM(BF73:BI73)</f>
        <v>7358</v>
      </c>
      <c r="BK73" s="3906">
        <f>-BK23</f>
        <v>2345</v>
      </c>
      <c r="BL73" s="3906">
        <f>-BL23</f>
        <v>2646</v>
      </c>
      <c r="BM73" s="3906">
        <f>-BM23</f>
        <v>2417</v>
      </c>
      <c r="BN73" s="3906">
        <f>-BN23</f>
        <v>3551</v>
      </c>
      <c r="BO73" s="4053">
        <f>SUM(BK73:BN73)</f>
        <v>10959</v>
      </c>
      <c r="BP73" s="3906">
        <f>-BP23</f>
        <v>2927</v>
      </c>
      <c r="BQ73" s="3906">
        <f>-BQ23</f>
        <v>2515</v>
      </c>
      <c r="BR73" s="3906">
        <f>-BR23</f>
        <v>2383</v>
      </c>
      <c r="BS73" s="3906">
        <f>-BS23</f>
        <v>2102</v>
      </c>
      <c r="BT73" s="4053">
        <f>SUM(BP73:BS73)</f>
        <v>9927</v>
      </c>
      <c r="BU73" s="3906">
        <f>-BU23</f>
        <v>2444</v>
      </c>
      <c r="BV73" s="4059">
        <v>2136</v>
      </c>
      <c r="BW73" s="4059">
        <v>2554</v>
      </c>
      <c r="BX73" s="3906">
        <f>-BX23</f>
        <v>3078</v>
      </c>
      <c r="BY73" s="4053">
        <f>SUM(BU73:BX73)</f>
        <v>10212</v>
      </c>
      <c r="BZ73" s="3906">
        <f>-BZ23</f>
        <v>2508</v>
      </c>
      <c r="CA73" s="4059">
        <v>2831</v>
      </c>
      <c r="CB73" s="4059">
        <v>3538</v>
      </c>
      <c r="CC73" s="3906">
        <f>-CC23</f>
        <v>4307</v>
      </c>
      <c r="CD73" s="4053">
        <f>SUM(BZ73:CC73)</f>
        <v>13184</v>
      </c>
      <c r="CE73" s="4059">
        <f>-CE23</f>
        <v>7299</v>
      </c>
      <c r="CF73" s="3906">
        <f>-CF23</f>
        <v>5477</v>
      </c>
      <c r="CG73" s="3906">
        <f>-CG23</f>
        <v>5282</v>
      </c>
      <c r="CH73" s="3906">
        <f>-CH23</f>
        <v>7081</v>
      </c>
      <c r="CI73" s="4053">
        <f>SUM(CE73:CH73)</f>
        <v>25139</v>
      </c>
      <c r="CJ73" s="3906">
        <f>-CJ23</f>
        <v>4638</v>
      </c>
      <c r="CK73" s="3906">
        <f>-CK23</f>
        <v>6126</v>
      </c>
      <c r="CL73" s="3906">
        <f>-CL23</f>
        <v>6732</v>
      </c>
      <c r="CM73" s="3906">
        <f>-CM23</f>
        <v>6052</v>
      </c>
      <c r="CN73" s="4053">
        <f>SUM(CJ73:CM73)</f>
        <v>23548</v>
      </c>
      <c r="CO73" s="3906">
        <f>-CO23</f>
        <v>6005</v>
      </c>
      <c r="CP73" s="3906">
        <f>-CP23</f>
        <v>5391</v>
      </c>
      <c r="CQ73" s="3906">
        <f>-CQ23</f>
        <v>5406</v>
      </c>
      <c r="CR73" s="3906">
        <f>-CR23</f>
        <v>5479</v>
      </c>
      <c r="CS73" s="4053">
        <f>SUM(CO73:CR73)</f>
        <v>22281</v>
      </c>
      <c r="CT73" s="3906">
        <f>-CT23</f>
        <v>5942</v>
      </c>
      <c r="CU73" s="3906">
        <f>-CU23</f>
        <v>5496</v>
      </c>
      <c r="CV73" s="3906">
        <f>-CV23</f>
        <v>6819</v>
      </c>
      <c r="CW73" s="3906">
        <f>-CW23</f>
        <v>6383</v>
      </c>
      <c r="CX73" s="4053">
        <f>SUM(CT73:CW73)</f>
        <v>24640</v>
      </c>
      <c r="CY73" s="3906">
        <f>-CY23</f>
        <v>9786</v>
      </c>
      <c r="CZ73" s="3906">
        <f>-CZ23</f>
        <v>6828</v>
      </c>
      <c r="DA73" s="3906">
        <f>-DA23</f>
        <v>7276</v>
      </c>
      <c r="DB73" s="3906">
        <f>-DB23</f>
        <v>7595</v>
      </c>
      <c r="DC73" s="4053">
        <f>SUM(CY73:DB73)</f>
        <v>31485</v>
      </c>
      <c r="DD73" s="3906">
        <f>-DD23</f>
        <v>6289</v>
      </c>
      <c r="DE73" s="3906">
        <f>-DE23</f>
        <v>6888</v>
      </c>
      <c r="DF73" s="3906">
        <f>-DF23</f>
        <v>8055</v>
      </c>
      <c r="DG73" s="3906">
        <f>-DG23</f>
        <v>11019</v>
      </c>
      <c r="DH73" s="4053">
        <f>SUM(DD73:DG73)</f>
        <v>32251</v>
      </c>
      <c r="DI73" s="3906">
        <f>-DI23</f>
        <v>12012</v>
      </c>
      <c r="DJ73" s="3906">
        <f>-DJ23</f>
        <v>13186</v>
      </c>
      <c r="DK73" s="3906">
        <f>-DK23</f>
        <v>13061</v>
      </c>
      <c r="DL73" s="3906">
        <f>-DL23</f>
        <v>14276</v>
      </c>
      <c r="DM73" s="4053">
        <f>SUM(DI73:DL73)</f>
        <v>52535</v>
      </c>
      <c r="DN73" s="3906">
        <f>-DN23</f>
        <v>17197</v>
      </c>
      <c r="DO73" s="3906">
        <f>-DO23</f>
        <v>22446</v>
      </c>
      <c r="DP73" s="3906">
        <f>-DP23</f>
        <v>23953</v>
      </c>
      <c r="DQ73" s="3906">
        <f>'Revenue Drivers'!EO127*CF!DQ76</f>
        <v>28796.411129211654</v>
      </c>
      <c r="DR73" s="4053">
        <f>SUM(DN73:DQ73)</f>
        <v>92392.411129211658</v>
      </c>
      <c r="DS73" s="3906">
        <f>'Revenue Drivers'!EQ127*CF!DS76</f>
        <v>31807.905486705375</v>
      </c>
      <c r="DT73" s="3906">
        <f>'Revenue Drivers'!ER127*CF!DT76</f>
        <v>34818.957942968504</v>
      </c>
      <c r="DU73" s="3906">
        <f>'Revenue Drivers'!ES127*CF!DU76</f>
        <v>36465.530740129485</v>
      </c>
      <c r="DV73" s="3906">
        <f>'Revenue Drivers'!ET127*CF!DV76</f>
        <v>37826.440496520183</v>
      </c>
      <c r="DW73" s="4053">
        <f>SUM(DS73:DV73)</f>
        <v>140918.83466632356</v>
      </c>
      <c r="DX73" s="4053">
        <f>'Revenue Drivers'!EV127*CF!DX76</f>
        <v>156583.13115276871</v>
      </c>
      <c r="DY73" s="4053">
        <f>'Revenue Drivers'!EW127*CF!DY76</f>
        <v>171204.68556146964</v>
      </c>
      <c r="DZ73" s="4053">
        <f>'Revenue Drivers'!EX127*CF!DZ76</f>
        <v>184596.54397761333</v>
      </c>
      <c r="EA73" s="4053">
        <f>'Revenue Drivers'!EY127*CF!EA76</f>
        <v>197553.72407966186</v>
      </c>
      <c r="EC73" s="1319">
        <f>(DX73/DM73)^(1/3)-1</f>
        <v>0.43912575517997077</v>
      </c>
      <c r="ED73" s="1319">
        <f>(DZ73/DM73)^(1/5)-1</f>
        <v>0.28574536043270449</v>
      </c>
    </row>
    <row r="74" spans="1:135" s="284" customFormat="1" ht="11.25" customHeight="1">
      <c r="A74" s="4060" t="s">
        <v>359</v>
      </c>
      <c r="B74" s="4061"/>
      <c r="C74" s="4062"/>
      <c r="D74" s="4062"/>
      <c r="E74" s="4062"/>
      <c r="F74" s="4062"/>
      <c r="G74" s="4061"/>
      <c r="H74" s="4063" t="s">
        <v>116</v>
      </c>
      <c r="I74" s="4063" t="s">
        <v>116</v>
      </c>
      <c r="J74" s="4063" t="s">
        <v>116</v>
      </c>
      <c r="K74" s="4063" t="s">
        <v>116</v>
      </c>
      <c r="L74" s="4061">
        <f t="shared" ref="L74:AQ74" si="206">L73/G73-1</f>
        <v>3.7529705898166563</v>
      </c>
      <c r="M74" s="4064">
        <f t="shared" si="206"/>
        <v>1.9115736040609139</v>
      </c>
      <c r="N74" s="4062">
        <f t="shared" si="206"/>
        <v>2.1044092507176724</v>
      </c>
      <c r="O74" s="4062">
        <f t="shared" si="206"/>
        <v>0.29912813561591145</v>
      </c>
      <c r="P74" s="4062">
        <f t="shared" si="206"/>
        <v>4.5830309252801404E-2</v>
      </c>
      <c r="Q74" s="4061">
        <f t="shared" si="206"/>
        <v>0.80426015689956509</v>
      </c>
      <c r="R74" s="4064">
        <f t="shared" si="206"/>
        <v>0.65499726861699004</v>
      </c>
      <c r="S74" s="4062">
        <f t="shared" si="206"/>
        <v>0.63604721235168249</v>
      </c>
      <c r="T74" s="4062">
        <f t="shared" si="206"/>
        <v>2.7681883759274513</v>
      </c>
      <c r="U74" s="4062">
        <f t="shared" si="206"/>
        <v>3.1609851049424522</v>
      </c>
      <c r="V74" s="4061">
        <f t="shared" si="206"/>
        <v>1.6276806846502296</v>
      </c>
      <c r="W74" s="4064">
        <f t="shared" si="206"/>
        <v>1.422470521311038</v>
      </c>
      <c r="X74" s="4062">
        <f t="shared" si="206"/>
        <v>3.439138083232252</v>
      </c>
      <c r="Y74" s="4062">
        <f t="shared" si="206"/>
        <v>0.68262617423051131</v>
      </c>
      <c r="Z74" s="4062">
        <f t="shared" si="206"/>
        <v>0.49142296943835384</v>
      </c>
      <c r="AA74" s="4061">
        <f t="shared" si="206"/>
        <v>1.2700541745156686</v>
      </c>
      <c r="AB74" s="4065">
        <f t="shared" si="206"/>
        <v>0.73043561451623207</v>
      </c>
      <c r="AC74" s="4063">
        <f t="shared" si="206"/>
        <v>-0.17725608011444938</v>
      </c>
      <c r="AD74" s="4063">
        <f t="shared" si="206"/>
        <v>0.12274542787603981</v>
      </c>
      <c r="AE74" s="4063">
        <f t="shared" si="206"/>
        <v>0.84980553025054739</v>
      </c>
      <c r="AF74" s="4061">
        <f t="shared" si="206"/>
        <v>0.26279300272546013</v>
      </c>
      <c r="AG74" s="4065">
        <f t="shared" si="206"/>
        <v>0.40996292467829232</v>
      </c>
      <c r="AH74" s="4063">
        <f t="shared" si="206"/>
        <v>0.21286632886916679</v>
      </c>
      <c r="AI74" s="4063">
        <f t="shared" si="206"/>
        <v>-0.18300702084539688</v>
      </c>
      <c r="AJ74" s="4063">
        <f t="shared" si="206"/>
        <v>-0.45762441961106393</v>
      </c>
      <c r="AK74" s="4061">
        <f t="shared" si="206"/>
        <v>-1.8469394549782914E-2</v>
      </c>
      <c r="AL74" s="4065">
        <f t="shared" si="206"/>
        <v>-0.68778999925142315</v>
      </c>
      <c r="AM74" s="4063">
        <f t="shared" si="206"/>
        <v>-0.80009519481245617</v>
      </c>
      <c r="AN74" s="4063">
        <f t="shared" si="206"/>
        <v>-0.58729177879216743</v>
      </c>
      <c r="AO74" s="4066">
        <f t="shared" si="206"/>
        <v>-0.3982313154489403</v>
      </c>
      <c r="AP74" s="4061">
        <f t="shared" si="206"/>
        <v>-0.65660318317750432</v>
      </c>
      <c r="AQ74" s="4065">
        <f t="shared" si="206"/>
        <v>-9.0407413750451915E-2</v>
      </c>
      <c r="AR74" s="4063">
        <f t="shared" ref="AR74:BR74" si="207">AR73/AM73-1</f>
        <v>2.4137280635699274</v>
      </c>
      <c r="AS74" s="4063">
        <f t="shared" si="207"/>
        <v>3.062488260643236</v>
      </c>
      <c r="AT74" s="4063">
        <f t="shared" si="207"/>
        <v>10.497264599719006</v>
      </c>
      <c r="AU74" s="4061">
        <f t="shared" si="207"/>
        <v>3.9599450788257142</v>
      </c>
      <c r="AV74" s="4065">
        <f t="shared" si="207"/>
        <v>2.7238493723849371</v>
      </c>
      <c r="AW74" s="4063">
        <f t="shared" si="207"/>
        <v>0.92647058823529416</v>
      </c>
      <c r="AX74" s="4063">
        <f t="shared" si="207"/>
        <v>-0.10171730515191546</v>
      </c>
      <c r="AY74" s="4063">
        <f t="shared" si="207"/>
        <v>-0.62632612966601187</v>
      </c>
      <c r="AZ74" s="4061">
        <f t="shared" si="207"/>
        <v>-0.14413741598207619</v>
      </c>
      <c r="BA74" s="4065">
        <f t="shared" si="207"/>
        <v>-0.31797752808988766</v>
      </c>
      <c r="BB74" s="4063">
        <f t="shared" si="207"/>
        <v>-0.15594329334787349</v>
      </c>
      <c r="BC74" s="4063">
        <f t="shared" si="207"/>
        <v>0.2823529411764707</v>
      </c>
      <c r="BD74" s="4063">
        <f t="shared" si="207"/>
        <v>7.2555205047318605E-2</v>
      </c>
      <c r="BE74" s="4061">
        <f t="shared" si="207"/>
        <v>-4.7993019197207665E-2</v>
      </c>
      <c r="BF74" s="4065">
        <f t="shared" si="207"/>
        <v>0.98187808896210882</v>
      </c>
      <c r="BG74" s="4063">
        <f t="shared" si="207"/>
        <v>1.0813953488372094</v>
      </c>
      <c r="BH74" s="4063">
        <f t="shared" si="207"/>
        <v>1.625</v>
      </c>
      <c r="BI74" s="4063">
        <f>BI73/BD73-1</f>
        <v>1.2107843137254903</v>
      </c>
      <c r="BJ74" s="4061">
        <f>BJ73/BE73-1</f>
        <v>1.2480904369080354</v>
      </c>
      <c r="BK74" s="4067">
        <f t="shared" si="207"/>
        <v>0.94929343308395686</v>
      </c>
      <c r="BL74" s="4063">
        <f t="shared" si="207"/>
        <v>0.64245810055865915</v>
      </c>
      <c r="BM74" s="4063">
        <f t="shared" si="207"/>
        <v>5.5919615552643132E-2</v>
      </c>
      <c r="BN74" s="4063">
        <f>BN73/BI73-1</f>
        <v>0.57472283813747227</v>
      </c>
      <c r="BO74" s="4061">
        <f t="shared" si="207"/>
        <v>0.48939929328621901</v>
      </c>
      <c r="BP74" s="4067">
        <f t="shared" si="207"/>
        <v>0.24818763326226012</v>
      </c>
      <c r="BQ74" s="4063">
        <f t="shared" si="207"/>
        <v>-4.9508692365835216E-2</v>
      </c>
      <c r="BR74" s="4063">
        <f t="shared" si="207"/>
        <v>-1.4067025237898267E-2</v>
      </c>
      <c r="BS74" s="4063">
        <f>BS73/BN73-1</f>
        <v>-0.4080540692762602</v>
      </c>
      <c r="BT74" s="4061">
        <f t="shared" ref="BT74:CA74" si="208">BT73/BO73-1</f>
        <v>-9.4169176019709866E-2</v>
      </c>
      <c r="BU74" s="4067">
        <f t="shared" si="208"/>
        <v>-0.16501537410317735</v>
      </c>
      <c r="BV74" s="4063">
        <f t="shared" si="208"/>
        <v>-0.1506958250497018</v>
      </c>
      <c r="BW74" s="4063">
        <f t="shared" si="208"/>
        <v>7.175828787242966E-2</v>
      </c>
      <c r="BX74" s="4068">
        <f t="shared" si="208"/>
        <v>0.4643196955280684</v>
      </c>
      <c r="BY74" s="4061">
        <f t="shared" si="208"/>
        <v>2.870957993351464E-2</v>
      </c>
      <c r="BZ74" s="4063">
        <f t="shared" si="208"/>
        <v>2.6186579378068675E-2</v>
      </c>
      <c r="CA74" s="4063">
        <f t="shared" si="208"/>
        <v>0.32537453183520593</v>
      </c>
      <c r="CB74" s="4063">
        <f t="shared" ref="CB74:DP74" si="209">CB73/BW73-1</f>
        <v>0.38527799530148776</v>
      </c>
      <c r="CC74" s="4063">
        <f t="shared" si="209"/>
        <v>0.39928525016244309</v>
      </c>
      <c r="CD74" s="4061">
        <f t="shared" si="209"/>
        <v>0.29103016059537801</v>
      </c>
      <c r="CE74" s="4063">
        <f t="shared" si="209"/>
        <v>1.910287081339713</v>
      </c>
      <c r="CF74" s="4063">
        <f t="shared" si="209"/>
        <v>0.93465206640762988</v>
      </c>
      <c r="CG74" s="4063">
        <f t="shared" si="209"/>
        <v>0.49293386093838332</v>
      </c>
      <c r="CH74" s="4063">
        <f t="shared" si="209"/>
        <v>0.64406779661016955</v>
      </c>
      <c r="CI74" s="4061">
        <f t="shared" si="209"/>
        <v>0.90678094660194164</v>
      </c>
      <c r="CJ74" s="4063">
        <f t="shared" si="209"/>
        <v>-0.36457048910809697</v>
      </c>
      <c r="CK74" s="4063">
        <f t="shared" si="209"/>
        <v>0.11849552674821973</v>
      </c>
      <c r="CL74" s="4063">
        <f t="shared" si="209"/>
        <v>0.27451722832260517</v>
      </c>
      <c r="CM74" s="4063">
        <f t="shared" si="209"/>
        <v>-0.14531845784493713</v>
      </c>
      <c r="CN74" s="4061">
        <f t="shared" si="209"/>
        <v>-6.3288118063566601E-2</v>
      </c>
      <c r="CO74" s="4063">
        <f t="shared" si="209"/>
        <v>0.29473911168607159</v>
      </c>
      <c r="CP74" s="4063">
        <f t="shared" si="209"/>
        <v>-0.11998041136141036</v>
      </c>
      <c r="CQ74" s="4063">
        <f t="shared" si="209"/>
        <v>-0.19696969696969702</v>
      </c>
      <c r="CR74" s="4063">
        <f t="shared" si="209"/>
        <v>-9.4679444811632485E-2</v>
      </c>
      <c r="CS74" s="4061">
        <f t="shared" si="209"/>
        <v>-5.3804994054696742E-2</v>
      </c>
      <c r="CT74" s="4063">
        <f t="shared" si="209"/>
        <v>-1.0491257285595301E-2</v>
      </c>
      <c r="CU74" s="4063">
        <f t="shared" si="209"/>
        <v>1.9476905954368462E-2</v>
      </c>
      <c r="CV74" s="4063">
        <f t="shared" si="209"/>
        <v>0.26137624861265252</v>
      </c>
      <c r="CW74" s="4063">
        <f t="shared" si="209"/>
        <v>0.16499361197298779</v>
      </c>
      <c r="CX74" s="4061">
        <f t="shared" ref="CX74:DE74" si="210">CX73/CS73-1</f>
        <v>0.10587496072887204</v>
      </c>
      <c r="CY74" s="4063">
        <f t="shared" si="209"/>
        <v>0.64692022887916534</v>
      </c>
      <c r="CZ74" s="4063">
        <f t="shared" si="210"/>
        <v>0.24235807860262004</v>
      </c>
      <c r="DA74" s="4063">
        <f t="shared" si="209"/>
        <v>6.7018624431734786E-2</v>
      </c>
      <c r="DB74" s="4063">
        <f t="shared" si="209"/>
        <v>0.18987936706877639</v>
      </c>
      <c r="DC74" s="4061">
        <f t="shared" si="210"/>
        <v>0.27780032467532467</v>
      </c>
      <c r="DD74" s="4063">
        <f t="shared" si="209"/>
        <v>-0.35734723073778862</v>
      </c>
      <c r="DE74" s="4063">
        <f t="shared" si="210"/>
        <v>8.7873462214411724E-3</v>
      </c>
      <c r="DF74" s="4063">
        <f t="shared" si="209"/>
        <v>0.1070643210555251</v>
      </c>
      <c r="DG74" s="4063">
        <f t="shared" si="209"/>
        <v>0.45082290980908502</v>
      </c>
      <c r="DH74" s="4061">
        <f t="shared" ref="DH74:DM74" si="211">DH73/DC73-1</f>
        <v>2.4329045577259123E-2</v>
      </c>
      <c r="DI74" s="4063">
        <f t="shared" si="209"/>
        <v>0.91000159007791392</v>
      </c>
      <c r="DJ74" s="4063">
        <f t="shared" si="209"/>
        <v>0.9143437862950059</v>
      </c>
      <c r="DK74" s="4063">
        <f t="shared" si="209"/>
        <v>0.62147734326505266</v>
      </c>
      <c r="DL74" s="4063">
        <f t="shared" si="209"/>
        <v>0.29558036119430064</v>
      </c>
      <c r="DM74" s="4061">
        <f t="shared" si="211"/>
        <v>0.62894173824067479</v>
      </c>
      <c r="DN74" s="4063">
        <f t="shared" si="209"/>
        <v>0.43165168165168155</v>
      </c>
      <c r="DO74" s="4063">
        <f t="shared" si="209"/>
        <v>0.7022599726983163</v>
      </c>
      <c r="DP74" s="4063">
        <f t="shared" si="209"/>
        <v>0.83393308322486792</v>
      </c>
      <c r="DQ74" s="4063">
        <f t="shared" ref="DQ74:DR74" si="212">DQ73/DL73-1</f>
        <v>1.0171204209310489</v>
      </c>
      <c r="DR74" s="4061">
        <f t="shared" si="212"/>
        <v>0.75868299475038836</v>
      </c>
      <c r="DS74" s="4063">
        <f t="shared" ref="DS74" si="213">DS73/DN73-1</f>
        <v>0.849619438664033</v>
      </c>
      <c r="DT74" s="4063">
        <f t="shared" ref="DT74" si="214">DT73/DO73-1</f>
        <v>0.55123219918776201</v>
      </c>
      <c r="DU74" s="4063">
        <f t="shared" ref="DU74" si="215">DU73/DP73-1</f>
        <v>0.52237843861434841</v>
      </c>
      <c r="DV74" s="4063">
        <f t="shared" ref="DV74:DW74" si="216">DV73/DQ73-1</f>
        <v>0.31358176290754125</v>
      </c>
      <c r="DW74" s="4061">
        <f t="shared" si="216"/>
        <v>0.52522088063322903</v>
      </c>
      <c r="DX74" s="4061">
        <f>DX73/DW73-1</f>
        <v>0.11115828855337928</v>
      </c>
      <c r="DY74" s="4061">
        <f>DY73/DX73-1</f>
        <v>9.337886080739799E-2</v>
      </c>
      <c r="DZ74" s="4061">
        <f>DZ73/DY73-1</f>
        <v>7.8221331222476653E-2</v>
      </c>
      <c r="EA74" s="4061">
        <f>EA73/DZ73-1</f>
        <v>7.0191888877507269E-2</v>
      </c>
      <c r="EC74" s="4322"/>
      <c r="ED74" s="4322"/>
    </row>
    <row r="75" spans="1:135" s="284" customFormat="1" ht="11.25" customHeight="1">
      <c r="A75" s="4060" t="s">
        <v>364</v>
      </c>
      <c r="B75" s="6235"/>
      <c r="C75" s="4062"/>
      <c r="D75" s="4062"/>
      <c r="E75" s="4062"/>
      <c r="F75" s="4062"/>
      <c r="G75" s="6235"/>
      <c r="H75" s="4063"/>
      <c r="I75" s="4063"/>
      <c r="J75" s="4063"/>
      <c r="K75" s="4063"/>
      <c r="L75" s="6235"/>
      <c r="M75" s="6243"/>
      <c r="N75" s="4062"/>
      <c r="O75" s="4062"/>
      <c r="P75" s="4062"/>
      <c r="Q75" s="6235"/>
      <c r="R75" s="6243"/>
      <c r="S75" s="4062"/>
      <c r="T75" s="4062"/>
      <c r="U75" s="4062"/>
      <c r="V75" s="6235"/>
      <c r="W75" s="6243"/>
      <c r="X75" s="4062"/>
      <c r="Y75" s="4062"/>
      <c r="Z75" s="4062"/>
      <c r="AA75" s="6235"/>
      <c r="AB75" s="6244"/>
      <c r="AC75" s="4063"/>
      <c r="AD75" s="4063"/>
      <c r="AE75" s="4063"/>
      <c r="AF75" s="6235"/>
      <c r="AG75" s="6244"/>
      <c r="AH75" s="4063"/>
      <c r="AI75" s="4063"/>
      <c r="AJ75" s="4063"/>
      <c r="AK75" s="6235"/>
      <c r="AL75" s="6244"/>
      <c r="AM75" s="4063"/>
      <c r="AN75" s="4063"/>
      <c r="AO75" s="4063"/>
      <c r="AP75" s="6235"/>
      <c r="AQ75" s="6244"/>
      <c r="AR75" s="4063"/>
      <c r="AS75" s="4063"/>
      <c r="AT75" s="4063"/>
      <c r="AU75" s="6235"/>
      <c r="AV75" s="6244"/>
      <c r="AW75" s="4063"/>
      <c r="AX75" s="4063"/>
      <c r="AY75" s="4063"/>
      <c r="AZ75" s="6235"/>
      <c r="BA75" s="6244"/>
      <c r="BB75" s="4063"/>
      <c r="BC75" s="4063"/>
      <c r="BD75" s="4063"/>
      <c r="BE75" s="6235"/>
      <c r="BF75" s="6244"/>
      <c r="BG75" s="4063"/>
      <c r="BH75" s="4063"/>
      <c r="BI75" s="4063"/>
      <c r="BJ75" s="6235"/>
      <c r="BK75" s="4063"/>
      <c r="BL75" s="4063"/>
      <c r="BM75" s="4063"/>
      <c r="BN75" s="4063"/>
      <c r="BO75" s="6235"/>
      <c r="BP75" s="4063"/>
      <c r="BQ75" s="4063"/>
      <c r="BR75" s="4063"/>
      <c r="BS75" s="4063"/>
      <c r="BT75" s="6235"/>
      <c r="BU75" s="4063"/>
      <c r="BV75" s="4063"/>
      <c r="BW75" s="4063"/>
      <c r="BX75" s="4063"/>
      <c r="BY75" s="6235"/>
      <c r="BZ75" s="4063"/>
      <c r="CA75" s="4063"/>
      <c r="CB75" s="4063"/>
      <c r="CC75" s="4063"/>
      <c r="CD75" s="6235"/>
      <c r="CE75" s="4063"/>
      <c r="CF75" s="4063"/>
      <c r="CG75" s="4063"/>
      <c r="CH75" s="4063"/>
      <c r="CI75" s="6235"/>
      <c r="CJ75" s="4063"/>
      <c r="CK75" s="4063"/>
      <c r="CL75" s="4063"/>
      <c r="CM75" s="4063"/>
      <c r="CN75" s="6235"/>
      <c r="CO75" s="4063"/>
      <c r="CP75" s="4063"/>
      <c r="CQ75" s="4063"/>
      <c r="CR75" s="4063"/>
      <c r="CS75" s="6235"/>
      <c r="CT75" s="4063"/>
      <c r="CU75" s="4063"/>
      <c r="CV75" s="4063"/>
      <c r="CW75" s="4063"/>
      <c r="CX75" s="6235"/>
      <c r="CY75" s="4063"/>
      <c r="CZ75" s="4063"/>
      <c r="DA75" s="4063"/>
      <c r="DB75" s="4063"/>
      <c r="DC75" s="6235"/>
      <c r="DD75" s="4063"/>
      <c r="DE75" s="4063"/>
      <c r="DF75" s="4063"/>
      <c r="DG75" s="4063"/>
      <c r="DH75" s="6235"/>
      <c r="DI75" s="4063">
        <f>DI73/DG73-1</f>
        <v>9.0117070514565745E-2</v>
      </c>
      <c r="DJ75" s="4063">
        <f>DJ73/DI73-1</f>
        <v>9.7735597735597812E-2</v>
      </c>
      <c r="DK75" s="4063">
        <f t="shared" ref="DK75:DL75" si="217">DK73/DJ73-1</f>
        <v>-9.479751251327162E-3</v>
      </c>
      <c r="DL75" s="4063">
        <f t="shared" si="217"/>
        <v>9.3025036367812675E-2</v>
      </c>
      <c r="DM75" s="6235"/>
      <c r="DN75" s="4063">
        <f>DN73/DL73-1</f>
        <v>0.2046091342112637</v>
      </c>
      <c r="DO75" s="4063">
        <f>DO73/DN73-1</f>
        <v>0.30522765598650925</v>
      </c>
      <c r="DP75" s="4063">
        <f t="shared" ref="DP75:DQ75" si="218">DP73/DO73-1</f>
        <v>6.7138911164572823E-2</v>
      </c>
      <c r="DQ75" s="4063">
        <f t="shared" si="218"/>
        <v>0.20220478141408815</v>
      </c>
      <c r="DR75" s="6235"/>
      <c r="DS75" s="4063">
        <f>DS73/DQ73-1</f>
        <v>0.104578808240406</v>
      </c>
      <c r="DT75" s="4063">
        <f>DT73/DS73-1</f>
        <v>9.4663650755679285E-2</v>
      </c>
      <c r="DU75" s="4063">
        <f t="shared" ref="DU75:DV75" si="219">DU73/DT73-1</f>
        <v>4.7289548408024684E-2</v>
      </c>
      <c r="DV75" s="4063">
        <f t="shared" si="219"/>
        <v>3.7320442861209946E-2</v>
      </c>
      <c r="DW75" s="6235"/>
      <c r="DX75" s="6235"/>
      <c r="DY75" s="6235"/>
      <c r="DZ75" s="6235"/>
      <c r="EA75" s="6235"/>
      <c r="EC75" s="4322"/>
      <c r="ED75" s="4322"/>
    </row>
    <row r="76" spans="1:135" s="234" customFormat="1" ht="11.25" customHeight="1">
      <c r="A76" s="4069" t="s">
        <v>227</v>
      </c>
      <c r="B76" s="4070">
        <f>B73/'Revenue Drivers'!P127</f>
        <v>0.15111193390877745</v>
      </c>
      <c r="C76" s="4071"/>
      <c r="D76" s="4071"/>
      <c r="E76" s="4071"/>
      <c r="F76" s="4071"/>
      <c r="G76" s="4070">
        <f>G73/'Revenue Drivers'!U127</f>
        <v>0.107817789732412</v>
      </c>
      <c r="H76" s="4071">
        <f>H73/'Revenue Drivers'!V127</f>
        <v>0.16555827595287051</v>
      </c>
      <c r="I76" s="4071">
        <f>I73/'Revenue Drivers'!W127</f>
        <v>0.14444185613119639</v>
      </c>
      <c r="J76" s="4071">
        <f>J73/'Revenue Drivers'!X127</f>
        <v>0.23859375935796853</v>
      </c>
      <c r="K76" s="4071">
        <f>K73/'Revenue Drivers'!Y127</f>
        <v>0.19096539088223158</v>
      </c>
      <c r="L76" s="4070">
        <f>L73/'Revenue Drivers'!Z127</f>
        <v>0.18820610154768835</v>
      </c>
      <c r="M76" s="4072">
        <f>M73/'Revenue Drivers'!AA127</f>
        <v>0.22604375481121644</v>
      </c>
      <c r="N76" s="4071">
        <f>N73/'Revenue Drivers'!AB127</f>
        <v>0.22743620887664287</v>
      </c>
      <c r="O76" s="4071">
        <f>O73/'Revenue Drivers'!AC127</f>
        <v>0.15434196112424384</v>
      </c>
      <c r="P76" s="4071">
        <f>P73/'Revenue Drivers'!AD127</f>
        <v>9.0364854984903487E-2</v>
      </c>
      <c r="Q76" s="4070">
        <f>Q73/'Revenue Drivers'!AE127</f>
        <v>0.16270440379887588</v>
      </c>
      <c r="R76" s="4072">
        <f>R73/'Revenue Drivers'!AF127</f>
        <v>0.1791722273547349</v>
      </c>
      <c r="S76" s="4071">
        <f>S73/'Revenue Drivers'!AG127</f>
        <v>0.17688596318784086</v>
      </c>
      <c r="T76" s="4071">
        <f>T73/'Revenue Drivers'!AH127</f>
        <v>0.27898557635452947</v>
      </c>
      <c r="U76" s="4071">
        <f>U73/'Revenue Drivers'!AI127</f>
        <v>0.19053815979469738</v>
      </c>
      <c r="V76" s="4070">
        <f>V73/'Revenue Drivers'!AJ127</f>
        <v>0.20832203557567167</v>
      </c>
      <c r="W76" s="4072">
        <f>W73/'Revenue Drivers'!AK127</f>
        <v>0.22529962071012838</v>
      </c>
      <c r="X76" s="4071">
        <f>X73/'Revenue Drivers'!AL127</f>
        <v>0.41835444856215359</v>
      </c>
      <c r="Y76" s="4071">
        <f>Y73/'Revenue Drivers'!AM127</f>
        <v>0.26400966740666881</v>
      </c>
      <c r="Z76" s="4071">
        <f>Z73/'Revenue Drivers'!AN127</f>
        <v>0.16441903224359836</v>
      </c>
      <c r="AA76" s="4070">
        <f>AA73/'Revenue Drivers'!AO127</f>
        <v>0.26079444529725221</v>
      </c>
      <c r="AB76" s="4073">
        <f>AB73/'Revenue Drivers'!AP127</f>
        <v>0.23509507696706861</v>
      </c>
      <c r="AC76" s="4074">
        <f>AC73/'Revenue Drivers'!AQ127</f>
        <v>0.21112052119894556</v>
      </c>
      <c r="AD76" s="4074">
        <f>AD73/'Revenue Drivers'!AR127</f>
        <v>0.18358723965037904</v>
      </c>
      <c r="AE76" s="4074">
        <f>AE73/'Revenue Drivers'!AS127</f>
        <v>0.20024683593824966</v>
      </c>
      <c r="AF76" s="4070">
        <f>AF73/'Revenue Drivers'!AT127</f>
        <v>0.20607430523978165</v>
      </c>
      <c r="AG76" s="4073">
        <f>AG73/'Revenue Drivers'!AU127</f>
        <v>0.2274796136616915</v>
      </c>
      <c r="AH76" s="4074">
        <f>AH73/'Revenue Drivers'!AV127</f>
        <v>0.17916142680425934</v>
      </c>
      <c r="AI76" s="4074">
        <f>AI73/'Revenue Drivers'!AW127</f>
        <v>0.11158733473630097</v>
      </c>
      <c r="AJ76" s="4074">
        <f>AJ73/'Revenue Drivers'!AX127</f>
        <v>8.7218039407974637E-2</v>
      </c>
      <c r="AK76" s="4070">
        <f>AK73/'Revenue Drivers'!AY127</f>
        <v>0.14873688542775693</v>
      </c>
      <c r="AL76" s="4073">
        <f>AL73/'Revenue Drivers'!AZ127</f>
        <v>6.4510941485822593E-2</v>
      </c>
      <c r="AM76" s="4074">
        <f>AM73/'Revenue Drivers'!BA127</f>
        <v>3.4263552443112161E-2</v>
      </c>
      <c r="AN76" s="4074">
        <f>AN73/'Revenue Drivers'!BB127</f>
        <v>4.248848798406616E-2</v>
      </c>
      <c r="AO76" s="4074">
        <f>AO73/'Revenue Drivers'!BC127</f>
        <v>4.4691906144917533E-2</v>
      </c>
      <c r="AP76" s="4070">
        <f>AP73/'Revenue Drivers'!BD127</f>
        <v>4.6329183018315193E-2</v>
      </c>
      <c r="AQ76" s="4073">
        <f>AQ73/'Revenue Drivers'!BE127</f>
        <v>4.7195892575039491E-2</v>
      </c>
      <c r="AR76" s="4074">
        <f>AR73/'Revenue Drivers'!BF127</f>
        <v>9.3553459119496848E-2</v>
      </c>
      <c r="AS76" s="4074">
        <f>AS73/'Revenue Drivers'!BG127</f>
        <v>0.13811348294106915</v>
      </c>
      <c r="AT76" s="4074">
        <f>AT73/'Revenue Drivers'!BH127</f>
        <v>0.39946633181604146</v>
      </c>
      <c r="AU76" s="4070">
        <f>AU73/'Revenue Drivers'!BI127</f>
        <v>0.1825577167787675</v>
      </c>
      <c r="AV76" s="4073">
        <f>AV73/'Revenue Drivers'!BJ127</f>
        <v>0.13614808015909438</v>
      </c>
      <c r="AW76" s="4074">
        <f>AW73/'Revenue Drivers'!BK127</f>
        <v>0.13259109311740891</v>
      </c>
      <c r="AX76" s="4074">
        <f>AX73/'Revenue Drivers'!BL127</f>
        <v>9.0545938748335553E-2</v>
      </c>
      <c r="AY76" s="4074">
        <f>AY73/'Revenue Drivers'!BM127</f>
        <v>0.1169166461765429</v>
      </c>
      <c r="AZ76" s="4070">
        <f>AZ73/'Revenue Drivers'!BN127</f>
        <v>0.11815651098051345</v>
      </c>
      <c r="BA76" s="4073">
        <f>BA73/'Revenue Drivers'!BT127</f>
        <v>7.4615857406269206E-2</v>
      </c>
      <c r="BB76" s="4074">
        <f>BB73/'Revenue Drivers'!BU127</f>
        <v>9.2539454806312774E-2</v>
      </c>
      <c r="BC76" s="4074">
        <f>BC73/'Revenue Drivers'!BV127</f>
        <v>9.9588853357697585E-2</v>
      </c>
      <c r="BD76" s="4074">
        <f>BD73/'Revenue Drivers'!BW127</f>
        <v>0.10381679389312977</v>
      </c>
      <c r="BE76" s="4070">
        <f>BE73/'Revenue Drivers'!BX127</f>
        <v>9.3301026225769676E-2</v>
      </c>
      <c r="BF76" s="4073">
        <f>BF73/'Revenue Drivers'!CD127</f>
        <v>0.12043247572329563</v>
      </c>
      <c r="BG76" s="4074">
        <f>BG73/'Revenue Drivers'!CE127</f>
        <v>0.15959976223499109</v>
      </c>
      <c r="BH76" s="4074">
        <f>BH73/'Revenue Drivers'!CF127</f>
        <v>0.21229827490261546</v>
      </c>
      <c r="BI76" s="4074">
        <f>BI73/'Revenue Drivers'!CG127</f>
        <v>0.18189884649511978</v>
      </c>
      <c r="BJ76" s="4070">
        <f>BJ73/'Revenue Drivers'!CH127</f>
        <v>0.17007997780962508</v>
      </c>
      <c r="BK76" s="4074">
        <f>BK73/'Revenue Drivers'!CI127</f>
        <v>0.19240236297998031</v>
      </c>
      <c r="BL76" s="4074">
        <f>BL73/'Revenue Drivers'!CJ127</f>
        <v>0.20897172642552519</v>
      </c>
      <c r="BM76" s="4074">
        <f>BM73/'Revenue Drivers'!CK127</f>
        <v>0.18345351043643263</v>
      </c>
      <c r="BN76" s="4074">
        <f>BN73/'Revenue Drivers'!CL127</f>
        <v>0.24518400883794794</v>
      </c>
      <c r="BO76" s="4070">
        <f>BO73/'Revenue Drivers'!CM127</f>
        <v>0.2087110535537442</v>
      </c>
      <c r="BP76" s="4074">
        <f>BP73/'Revenue Drivers'!CN127</f>
        <v>0.21037878243369509</v>
      </c>
      <c r="BQ76" s="4074">
        <f>BQ73/'Revenue Drivers'!CO127</f>
        <v>0.17526132404181186</v>
      </c>
      <c r="BR76" s="4074">
        <f>BR73/'Revenue Drivers'!CP127</f>
        <v>0.15772056390230987</v>
      </c>
      <c r="BS76" s="4074">
        <f>BS73/'Revenue Drivers'!CQ127</f>
        <v>0.12168577052217205</v>
      </c>
      <c r="BT76" s="4070">
        <f>BT73/'Revenue Drivers'!CR127</f>
        <v>0.16368762985192759</v>
      </c>
      <c r="BU76" s="4074">
        <f>BU73/'Revenue Drivers'!CS127</f>
        <v>0.14840002428805635</v>
      </c>
      <c r="BV76" s="4074">
        <f>BV73/'Revenue Drivers'!CT127</f>
        <v>0.12188302425106989</v>
      </c>
      <c r="BW76" s="4074">
        <f>BW73/'Revenue Drivers'!CU127</f>
        <v>0.13979966062729213</v>
      </c>
      <c r="BX76" s="4074">
        <f>BX73/'Revenue Drivers'!CV127</f>
        <v>0.145079185520362</v>
      </c>
      <c r="BY76" s="4070">
        <f>BY73/'Revenue Drivers'!CW127</f>
        <v>0.13897848364838933</v>
      </c>
      <c r="BZ76" s="4074">
        <f>BZ73/'Revenue Drivers'!CX127</f>
        <v>0.12464589235127478</v>
      </c>
      <c r="CA76" s="4074">
        <f>CA73/'Revenue Drivers'!CY127</f>
        <v>0.13533151680290645</v>
      </c>
      <c r="CB76" s="4074">
        <f>CB73/'Revenue Drivers'!CZ127</f>
        <v>0.15886843286933094</v>
      </c>
      <c r="CC76" s="4074">
        <f>CC73/'Revenue Drivers'!DA127</f>
        <v>0.16646697329262164</v>
      </c>
      <c r="CD76" s="4070">
        <f>CD73/'Revenue Drivers'!DB127</f>
        <v>0.14783086462666653</v>
      </c>
      <c r="CE76" s="4074">
        <f>CE73/'Revenue Drivers'!DC127</f>
        <v>0.2936278059377263</v>
      </c>
      <c r="CF76" s="4074">
        <f>CF73/'Revenue Drivers'!DD127</f>
        <v>0.20875100049548348</v>
      </c>
      <c r="CG76" s="4074">
        <f>CG73/'Revenue Drivers'!DE127</f>
        <v>0.19449149421901465</v>
      </c>
      <c r="CH76" s="4074">
        <f>CH73/'Revenue Drivers'!DF127</f>
        <v>0.22239321608040202</v>
      </c>
      <c r="CI76" s="4070">
        <f>CI73/'Revenue Drivers'!DG127</f>
        <v>0.22834330974721373</v>
      </c>
      <c r="CJ76" s="4074">
        <f>CJ73/'Revenue Drivers'!DH127</f>
        <v>0.15733233827470403</v>
      </c>
      <c r="CK76" s="4074">
        <f>CK73/'Revenue Drivers'!DI127</f>
        <v>0.19321264114047815</v>
      </c>
      <c r="CL76" s="4074">
        <f>CL73/'Revenue Drivers'!DJ127</f>
        <v>0.20394437880578023</v>
      </c>
      <c r="CM76" s="4074">
        <f>CM73/'Revenue Drivers'!DK127</f>
        <v>0.16106882418693777</v>
      </c>
      <c r="CN76" s="4070">
        <f>CN73/'Revenue Drivers'!DL127</f>
        <v>0.17870803229919252</v>
      </c>
      <c r="CO76" s="4074">
        <f>CO73/'Revenue Drivers'!DM127</f>
        <v>0.17815290592458541</v>
      </c>
      <c r="CP76" s="4074">
        <f>CP73/'Revenue Drivers'!DN127</f>
        <v>0.17058507103755974</v>
      </c>
      <c r="CQ76" s="4074">
        <f>CQ73/'Revenue Drivers'!DO127</f>
        <v>0.14223695635014602</v>
      </c>
      <c r="CR76" s="4074">
        <f>CR73/'Revenue Drivers'!DP127</f>
        <v>0.11800051688490697</v>
      </c>
      <c r="CS76" s="4070">
        <f>CS73/'Revenue Drivers'!DQ127</f>
        <v>0.14878897354907211</v>
      </c>
      <c r="CT76" s="4074">
        <f>CT73/'Revenue Drivers'!DR127</f>
        <v>0.1303013025744485</v>
      </c>
      <c r="CU76" s="4074">
        <f>CU73/'Revenue Drivers'!DS127</f>
        <v>0.10786834409530725</v>
      </c>
      <c r="CV76" s="4074">
        <f>CV73/'Revenue Drivers'!DT127</f>
        <v>0.12717269675494219</v>
      </c>
      <c r="CW76" s="4074">
        <f>CW73/'Revenue Drivers'!DU127</f>
        <v>0.1031212640149924</v>
      </c>
      <c r="CX76" s="4070">
        <f>CX73/'Revenue Drivers'!DV127</f>
        <v>0.11618750324183882</v>
      </c>
      <c r="CY76" s="4074">
        <f>CY73/'Revenue Drivers'!DW127</f>
        <v>0.17468449331500688</v>
      </c>
      <c r="CZ76" s="4074">
        <f>CZ73/'Revenue Drivers'!DX127</f>
        <v>0.11880774651563397</v>
      </c>
      <c r="DA76" s="4074">
        <f>DA73/'Revenue Drivers'!DY127</f>
        <v>0.12705619390214087</v>
      </c>
      <c r="DB76" s="4074">
        <f>DB73/'Revenue Drivers'!DZ127</f>
        <v>0.12032064382237853</v>
      </c>
      <c r="DC76" s="4070">
        <f>DC73/'Revenue Drivers'!EA127</f>
        <v>0.13461974251863126</v>
      </c>
      <c r="DD76" s="4074">
        <f>DD73/'Revenue Drivers'!EB127</f>
        <v>0.10830778768987015</v>
      </c>
      <c r="DE76" s="4074">
        <f>DE73/'Revenue Drivers'!EC127</f>
        <v>0.11097684760017401</v>
      </c>
      <c r="DF76" s="4074">
        <f>DF73/'Revenue Drivers'!ED127</f>
        <v>0.12575916066884202</v>
      </c>
      <c r="DG76" s="4074">
        <f>DG73/'Revenue Drivers'!EE127</f>
        <v>0.1523560643769703</v>
      </c>
      <c r="DH76" s="4070">
        <f>DH73/'Revenue Drivers'!EF127</f>
        <v>0.12573097135371997</v>
      </c>
      <c r="DI76" s="4074">
        <f>DI73/'Revenue Drivers'!EG127</f>
        <v>0.17771070968887312</v>
      </c>
      <c r="DJ76" s="4074">
        <f>DJ73/'Revenue Drivers'!EH127</f>
        <v>0.18479433816831337</v>
      </c>
      <c r="DK76" s="4074">
        <f>DK73/'Revenue Drivers'!EI127</f>
        <v>0.17520020389274168</v>
      </c>
      <c r="DL76" s="4074">
        <f>DL73/'Revenue Drivers'!EJ127</f>
        <v>0.17490596782690729</v>
      </c>
      <c r="DM76" s="4070">
        <f>DM73/'Revenue Drivers'!EK127</f>
        <v>0.17801354034657324</v>
      </c>
      <c r="DN76" s="4074">
        <f>DN73/'Revenue Drivers'!EL127</f>
        <v>0.22483853254190309</v>
      </c>
      <c r="DO76" s="4074">
        <f>DO73/'Revenue Drivers'!EM127</f>
        <v>0.27465952057560294</v>
      </c>
      <c r="DP76" s="4074">
        <f>DP73/'Revenue Drivers'!EN127</f>
        <v>0.2738424602720933</v>
      </c>
      <c r="DQ76" s="4075">
        <v>0.3</v>
      </c>
      <c r="DR76" s="4070">
        <f>DR73/'Revenue Drivers'!EP127</f>
        <v>0.27041651987891541</v>
      </c>
      <c r="DS76" s="4075">
        <v>0.35</v>
      </c>
      <c r="DT76" s="4075">
        <v>0.36</v>
      </c>
      <c r="DU76" s="4075">
        <v>0.35499999999999998</v>
      </c>
      <c r="DV76" s="4075">
        <v>0.33500000000000002</v>
      </c>
      <c r="DW76" s="4070">
        <f>DW73/'Revenue Drivers'!EU127</f>
        <v>0.34947194650903202</v>
      </c>
      <c r="DX76" s="4076">
        <v>0.34</v>
      </c>
      <c r="DY76" s="4076">
        <v>0.33</v>
      </c>
      <c r="DZ76" s="4076">
        <v>0.32</v>
      </c>
      <c r="EA76" s="4076">
        <v>0.31</v>
      </c>
      <c r="EC76" s="4326"/>
      <c r="ED76" s="4326"/>
    </row>
    <row r="77" spans="1:135" s="234" customFormat="1" ht="11.25" customHeight="1">
      <c r="A77" s="4069" t="s">
        <v>230</v>
      </c>
      <c r="B77" s="4070">
        <f>B73/B19</f>
        <v>0.42008427418057825</v>
      </c>
      <c r="C77" s="4071"/>
      <c r="D77" s="4071"/>
      <c r="E77" s="4071"/>
      <c r="F77" s="4071"/>
      <c r="G77" s="4070">
        <f t="shared" ref="G77:AL77" si="220">G73/G19</f>
        <v>0.2395774965381767</v>
      </c>
      <c r="H77" s="4071">
        <f t="shared" si="220"/>
        <v>0.26104701496492871</v>
      </c>
      <c r="I77" s="4071">
        <f t="shared" si="220"/>
        <v>0.48460360135050645</v>
      </c>
      <c r="J77" s="4071">
        <f t="shared" si="220"/>
        <v>0.45363931738127033</v>
      </c>
      <c r="K77" s="4071">
        <f t="shared" si="220"/>
        <v>0.65275065574338831</v>
      </c>
      <c r="L77" s="4070">
        <f t="shared" si="220"/>
        <v>0.44709378042458497</v>
      </c>
      <c r="M77" s="4072">
        <f t="shared" si="220"/>
        <v>0.41354995313513898</v>
      </c>
      <c r="N77" s="4071">
        <f t="shared" si="220"/>
        <v>0.59206811065520826</v>
      </c>
      <c r="O77" s="4071">
        <f t="shared" si="220"/>
        <v>0.32571546049181233</v>
      </c>
      <c r="P77" s="4071">
        <f t="shared" si="220"/>
        <v>0.16050117224535923</v>
      </c>
      <c r="Q77" s="4070">
        <f t="shared" si="220"/>
        <v>0.32648990219478347</v>
      </c>
      <c r="R77" s="4072">
        <f t="shared" si="220"/>
        <v>0.26885401286200339</v>
      </c>
      <c r="S77" s="4071">
        <f t="shared" si="220"/>
        <v>0.25209447679305313</v>
      </c>
      <c r="T77" s="4071">
        <f t="shared" si="220"/>
        <v>0.45231288278105669</v>
      </c>
      <c r="U77" s="4071">
        <f t="shared" si="220"/>
        <v>0.37335708666320389</v>
      </c>
      <c r="V77" s="4070">
        <f t="shared" si="220"/>
        <v>0.34081869642542029</v>
      </c>
      <c r="W77" s="4072">
        <f t="shared" si="220"/>
        <v>0.4182060222792322</v>
      </c>
      <c r="X77" s="4071">
        <f t="shared" si="220"/>
        <v>0.83156274313395706</v>
      </c>
      <c r="Y77" s="4071">
        <f t="shared" si="220"/>
        <v>0.49010279551220498</v>
      </c>
      <c r="Z77" s="4077">
        <f t="shared" si="220"/>
        <v>0.40254766720026702</v>
      </c>
      <c r="AA77" s="4070">
        <f t="shared" si="220"/>
        <v>0.5314324112667812</v>
      </c>
      <c r="AB77" s="4073">
        <f t="shared" si="220"/>
        <v>0.48942103493797101</v>
      </c>
      <c r="AC77" s="4074">
        <f t="shared" si="220"/>
        <v>0.46758634034972751</v>
      </c>
      <c r="AD77" s="4074">
        <f t="shared" si="220"/>
        <v>0.33849574460917475</v>
      </c>
      <c r="AE77" s="4078">
        <f t="shared" si="220"/>
        <v>0.40053541815295518</v>
      </c>
      <c r="AF77" s="4070">
        <f t="shared" si="220"/>
        <v>0.41604665296489779</v>
      </c>
      <c r="AG77" s="4073">
        <f t="shared" si="220"/>
        <v>0.47295476960512961</v>
      </c>
      <c r="AH77" s="4074">
        <f t="shared" si="220"/>
        <v>0.39493554922164192</v>
      </c>
      <c r="AI77" s="4074">
        <f t="shared" si="220"/>
        <v>0.20664150066042461</v>
      </c>
      <c r="AJ77" s="4078">
        <f t="shared" si="220"/>
        <v>0.17332336301341134</v>
      </c>
      <c r="AK77" s="4070">
        <f t="shared" si="220"/>
        <v>0.30033162457072937</v>
      </c>
      <c r="AL77" s="4073">
        <f t="shared" si="220"/>
        <v>0.11680533377905965</v>
      </c>
      <c r="AM77" s="4074">
        <f t="shared" ref="AM77:BR77" si="221">AM73/AM19</f>
        <v>8.665139587315715E-2</v>
      </c>
      <c r="AN77" s="4074">
        <f t="shared" si="221"/>
        <v>6.8356625848363703E-2</v>
      </c>
      <c r="AO77" s="4074">
        <f t="shared" si="221"/>
        <v>8.1037703763933128E-2</v>
      </c>
      <c r="AP77" s="4070">
        <f t="shared" si="221"/>
        <v>8.6933317647392219E-2</v>
      </c>
      <c r="AQ77" s="4073">
        <f t="shared" si="221"/>
        <v>9.2492260061919504E-2</v>
      </c>
      <c r="AR77" s="4074">
        <f t="shared" si="221"/>
        <v>0.22829736211031176</v>
      </c>
      <c r="AS77" s="4074">
        <f t="shared" si="221"/>
        <v>0.26230076230076232</v>
      </c>
      <c r="AT77" s="4078">
        <f t="shared" si="221"/>
        <v>0.72178105501985257</v>
      </c>
      <c r="AU77" s="4070">
        <f t="shared" si="221"/>
        <v>0.36251240862738021</v>
      </c>
      <c r="AV77" s="4073">
        <f t="shared" si="221"/>
        <v>0.28058007566204285</v>
      </c>
      <c r="AW77" s="4074">
        <f t="shared" si="221"/>
        <v>0.26058539357772093</v>
      </c>
      <c r="AX77" s="4074">
        <f t="shared" si="221"/>
        <v>0.17215189873417722</v>
      </c>
      <c r="AY77" s="4074">
        <f t="shared" si="221"/>
        <v>0.24235474006116209</v>
      </c>
      <c r="AZ77" s="4070">
        <f t="shared" si="221"/>
        <v>0.23604531410916582</v>
      </c>
      <c r="BA77" s="4073">
        <f t="shared" si="221"/>
        <v>0.16432051976177586</v>
      </c>
      <c r="BB77" s="4074">
        <f t="shared" si="221"/>
        <v>0.17675268326101851</v>
      </c>
      <c r="BC77" s="4074">
        <f t="shared" si="221"/>
        <v>0.19564729638770473</v>
      </c>
      <c r="BD77" s="4074">
        <f t="shared" si="221"/>
        <v>0.21757679180887371</v>
      </c>
      <c r="BE77" s="4070">
        <f t="shared" si="221"/>
        <v>0.19009176443257056</v>
      </c>
      <c r="BF77" s="4073">
        <f t="shared" si="221"/>
        <v>0.33113129644921552</v>
      </c>
      <c r="BG77" s="4074">
        <f t="shared" si="221"/>
        <v>0.34240170031880979</v>
      </c>
      <c r="BH77" s="4074">
        <f t="shared" si="221"/>
        <v>0.45299821887987335</v>
      </c>
      <c r="BI77" s="4074">
        <f t="shared" si="221"/>
        <v>0.4305078274150439</v>
      </c>
      <c r="BJ77" s="4070">
        <f t="shared" si="221"/>
        <v>0.39497557571528263</v>
      </c>
      <c r="BK77" s="4079">
        <f t="shared" si="221"/>
        <v>0.54412695584055892</v>
      </c>
      <c r="BL77" s="4074">
        <f t="shared" si="221"/>
        <v>0.47613474462118893</v>
      </c>
      <c r="BM77" s="4074">
        <f t="shared" si="221"/>
        <v>0.40830420132691264</v>
      </c>
      <c r="BN77" s="4074">
        <f t="shared" si="221"/>
        <v>0.56530066401734713</v>
      </c>
      <c r="BO77" s="4070">
        <f t="shared" si="221"/>
        <v>0.49659859192208505</v>
      </c>
      <c r="BP77" s="4079">
        <f t="shared" si="221"/>
        <v>0.44719567822274076</v>
      </c>
      <c r="BQ77" s="4074">
        <f t="shared" si="221"/>
        <v>0.35643424036281179</v>
      </c>
      <c r="BR77" s="4074">
        <f t="shared" si="221"/>
        <v>0.39670384551356752</v>
      </c>
      <c r="BS77" s="4074">
        <f t="shared" ref="BS77:CX77" si="222">BS73/BS19</f>
        <v>0.32766952455183163</v>
      </c>
      <c r="BT77" s="4070">
        <f t="shared" si="222"/>
        <v>0.38146681942657301</v>
      </c>
      <c r="BU77" s="4079">
        <f t="shared" si="222"/>
        <v>0.31914337947244714</v>
      </c>
      <c r="BV77" s="4074">
        <f t="shared" si="222"/>
        <v>0.23421052631578948</v>
      </c>
      <c r="BW77" s="4074">
        <f t="shared" si="222"/>
        <v>0.25942102590147281</v>
      </c>
      <c r="BX77" s="4080">
        <f t="shared" si="222"/>
        <v>0.32699458196111758</v>
      </c>
      <c r="BY77" s="4070">
        <f t="shared" si="222"/>
        <v>0.28338328338328339</v>
      </c>
      <c r="BZ77" s="4074">
        <f t="shared" si="222"/>
        <v>0.26267281105990781</v>
      </c>
      <c r="CA77" s="4074">
        <f t="shared" si="222"/>
        <v>0.38241253545859788</v>
      </c>
      <c r="CB77" s="4074">
        <f t="shared" si="222"/>
        <v>0.35838735818476497</v>
      </c>
      <c r="CC77" s="4074">
        <f t="shared" si="222"/>
        <v>0.41945851188157385</v>
      </c>
      <c r="CD77" s="4070">
        <f t="shared" si="222"/>
        <v>0.35545010919090886</v>
      </c>
      <c r="CE77" s="4074">
        <f t="shared" si="222"/>
        <v>0.6269541315925099</v>
      </c>
      <c r="CF77" s="4074">
        <f t="shared" si="222"/>
        <v>0.54056454796683773</v>
      </c>
      <c r="CG77" s="4074">
        <f t="shared" si="222"/>
        <v>0.39984859954579866</v>
      </c>
      <c r="CH77" s="4074">
        <f t="shared" si="222"/>
        <v>0.5452375452375452</v>
      </c>
      <c r="CI77" s="4070">
        <f t="shared" si="222"/>
        <v>0.52404577765733462</v>
      </c>
      <c r="CJ77" s="4074">
        <f t="shared" si="222"/>
        <v>0.38650000000000001</v>
      </c>
      <c r="CK77" s="4074">
        <f t="shared" si="222"/>
        <v>0.48515086718935613</v>
      </c>
      <c r="CL77" s="4074">
        <f t="shared" si="222"/>
        <v>0.43527738264580368</v>
      </c>
      <c r="CM77" s="4074">
        <f t="shared" si="222"/>
        <v>0.41949123171830593</v>
      </c>
      <c r="CN77" s="4070">
        <f t="shared" si="222"/>
        <v>0.43191489361702129</v>
      </c>
      <c r="CO77" s="4074">
        <f t="shared" si="222"/>
        <v>0.5244083486158414</v>
      </c>
      <c r="CP77" s="4074">
        <f t="shared" si="222"/>
        <v>0.38526406060172946</v>
      </c>
      <c r="CQ77" s="4074">
        <f t="shared" si="222"/>
        <v>0.31794389225430808</v>
      </c>
      <c r="CR77" s="4074">
        <f>CR73/CR19</f>
        <v>0.24161044229836398</v>
      </c>
      <c r="CS77" s="4070">
        <f t="shared" si="222"/>
        <v>0.34213193292795285</v>
      </c>
      <c r="CT77" s="4074">
        <f>CT73/CT19</f>
        <v>0.30805122090310538</v>
      </c>
      <c r="CU77" s="4074">
        <f>CU73/CU19</f>
        <v>0.25107354956601186</v>
      </c>
      <c r="CV77" s="4074">
        <f>CV73/CV19</f>
        <v>0.26700340655468108</v>
      </c>
      <c r="CW77" s="4074">
        <f>CW73/CW19</f>
        <v>0.25599582898852974</v>
      </c>
      <c r="CX77" s="4070">
        <f t="shared" si="222"/>
        <v>0.26884301488238116</v>
      </c>
      <c r="CY77" s="4074">
        <f t="shared" ref="CY77:DH77" si="223">CY73/CY19</f>
        <v>0.38978730184019755</v>
      </c>
      <c r="CZ77" s="4074">
        <f t="shared" si="223"/>
        <v>0.35156008649984555</v>
      </c>
      <c r="DA77" s="4074">
        <f t="shared" si="223"/>
        <v>0.31156596582880142</v>
      </c>
      <c r="DB77" s="4074">
        <f t="shared" si="223"/>
        <v>0.32163123570763108</v>
      </c>
      <c r="DC77" s="4070">
        <f t="shared" si="223"/>
        <v>0.34411716487239741</v>
      </c>
      <c r="DD77" s="4074">
        <f>DD73/DD19</f>
        <v>0.26751456888851077</v>
      </c>
      <c r="DE77" s="4074">
        <f>DE73/DE19</f>
        <v>0.24028465778273914</v>
      </c>
      <c r="DF77" s="4074">
        <f>DF73/DF19</f>
        <v>0.26275443632567852</v>
      </c>
      <c r="DG77" s="4074">
        <f t="shared" ref="DG77" si="224">DG73/DG19</f>
        <v>0.58255352894528156</v>
      </c>
      <c r="DH77" s="4070">
        <f t="shared" si="223"/>
        <v>0.31697560592062585</v>
      </c>
      <c r="DI77" s="4074">
        <f>DI73/DI19</f>
        <v>0.4163893510815308</v>
      </c>
      <c r="DJ77" s="4074">
        <f>DJ73/DJ19</f>
        <v>0.49496996996996995</v>
      </c>
      <c r="DK77" s="4074">
        <f>DK73/DK19</f>
        <v>0.42546745716333312</v>
      </c>
      <c r="DL77" s="4074">
        <f t="shared" ref="DL77" si="225">DL73/DL19</f>
        <v>0.36499373609797253</v>
      </c>
      <c r="DM77" s="4070">
        <f>DM73/DM19</f>
        <v>0.4192770892026273</v>
      </c>
      <c r="DN77" s="4074">
        <f>DN73/DN19</f>
        <v>0.47571230982019364</v>
      </c>
      <c r="DO77" s="4074">
        <f>DO73/DO19</f>
        <v>0.80895231916963994</v>
      </c>
      <c r="DP77" s="4074">
        <f>DP73/DP19</f>
        <v>0.49475358367414385</v>
      </c>
      <c r="DQ77" s="4074">
        <f t="shared" ref="DQ77" ca="1" si="226">DQ73/DQ19</f>
        <v>0.60646144166560456</v>
      </c>
      <c r="DR77" s="4070">
        <f ca="1">DR73/DR19</f>
        <v>0.57819817659081307</v>
      </c>
      <c r="DS77" s="4074">
        <f t="shared" ref="DS77:DV77" ca="1" si="227">DS73/DS19</f>
        <v>0.64396535928942777</v>
      </c>
      <c r="DT77" s="4074">
        <f t="shared" ca="1" si="227"/>
        <v>0.94005610170924025</v>
      </c>
      <c r="DU77" s="4074">
        <f t="shared" ca="1" si="227"/>
        <v>0.63837718454311998</v>
      </c>
      <c r="DV77" s="4074">
        <f t="shared" ca="1" si="227"/>
        <v>0.64213854534865489</v>
      </c>
      <c r="DW77" s="4070">
        <f ca="1">DW73/DW19</f>
        <v>0.69602520111595445</v>
      </c>
      <c r="DX77" s="4070">
        <f ca="1">DX73/DX19</f>
        <v>0.67189889043839501</v>
      </c>
      <c r="DY77" s="4070">
        <f ca="1">DY73/DY19</f>
        <v>0.65298720384188658</v>
      </c>
      <c r="DZ77" s="4070">
        <f ca="1">DZ73/DZ19</f>
        <v>0.63270612689305072</v>
      </c>
      <c r="EA77" s="4070">
        <f ca="1">EA73/EA19</f>
        <v>0.60790357106162307</v>
      </c>
      <c r="EC77" s="4326"/>
      <c r="ED77" s="4326"/>
    </row>
    <row r="78" spans="1:135" s="84" customFormat="1" ht="11.25" customHeight="1">
      <c r="A78" s="1588"/>
      <c r="B78" s="1039"/>
      <c r="C78" s="77"/>
      <c r="D78" s="77"/>
      <c r="E78" s="77"/>
      <c r="F78" s="77"/>
      <c r="G78" s="1039"/>
      <c r="H78" s="77"/>
      <c r="I78" s="77"/>
      <c r="J78" s="77"/>
      <c r="K78" s="77"/>
      <c r="L78" s="1039"/>
      <c r="M78" s="79"/>
      <c r="N78" s="77"/>
      <c r="O78" s="77"/>
      <c r="P78" s="77"/>
      <c r="Q78" s="1039"/>
      <c r="R78" s="79"/>
      <c r="S78" s="77"/>
      <c r="T78" s="77"/>
      <c r="U78" s="77"/>
      <c r="V78" s="1039"/>
      <c r="W78" s="79"/>
      <c r="X78" s="77"/>
      <c r="Y78" s="77"/>
      <c r="Z78" s="78"/>
      <c r="AA78" s="1039"/>
      <c r="AB78" s="144"/>
      <c r="AC78" s="42"/>
      <c r="AD78" s="42"/>
      <c r="AE78" s="63"/>
      <c r="AF78" s="1039"/>
      <c r="AG78" s="144"/>
      <c r="AH78" s="42"/>
      <c r="AI78" s="42"/>
      <c r="AJ78" s="63"/>
      <c r="AK78" s="1039"/>
      <c r="AL78" s="144"/>
      <c r="AM78" s="42"/>
      <c r="AN78" s="42"/>
      <c r="AO78" s="63"/>
      <c r="AP78" s="1039"/>
      <c r="AQ78" s="144"/>
      <c r="AR78" s="42"/>
      <c r="AS78" s="42"/>
      <c r="AT78" s="63"/>
      <c r="AU78" s="1039"/>
      <c r="AV78" s="42"/>
      <c r="AW78" s="42"/>
      <c r="AX78" s="42"/>
      <c r="AY78" s="42"/>
      <c r="AZ78" s="1039"/>
      <c r="BA78" s="42"/>
      <c r="BB78" s="42"/>
      <c r="BC78" s="42"/>
      <c r="BD78" s="42"/>
      <c r="BE78" s="1039"/>
      <c r="BF78" s="42"/>
      <c r="BG78" s="42"/>
      <c r="BH78" s="42"/>
      <c r="BI78" s="42"/>
      <c r="BJ78" s="1039"/>
      <c r="BK78" s="547"/>
      <c r="BL78" s="42"/>
      <c r="BM78" s="42"/>
      <c r="BN78" s="42"/>
      <c r="BO78" s="1039"/>
      <c r="BP78" s="547"/>
      <c r="BQ78" s="42"/>
      <c r="BR78" s="42"/>
      <c r="BS78" s="42"/>
      <c r="BT78" s="1039"/>
      <c r="BU78" s="547"/>
      <c r="BV78" s="42"/>
      <c r="BW78" s="42"/>
      <c r="BX78" s="548"/>
      <c r="BY78" s="1039"/>
      <c r="BZ78" s="42"/>
      <c r="CA78" s="42"/>
      <c r="CB78" s="42"/>
      <c r="CC78" s="42"/>
      <c r="CD78" s="1039"/>
      <c r="CE78" s="42"/>
      <c r="CF78" s="42"/>
      <c r="CG78" s="42"/>
      <c r="CH78" s="42"/>
      <c r="CI78" s="1039"/>
      <c r="CJ78" s="42"/>
      <c r="CK78" s="42"/>
      <c r="CL78" s="42"/>
      <c r="CM78" s="42"/>
      <c r="CN78" s="1039"/>
      <c r="CO78" s="42"/>
      <c r="CP78" s="42"/>
      <c r="CQ78" s="42"/>
      <c r="CR78" s="42"/>
      <c r="CS78" s="1039"/>
      <c r="CT78" s="42"/>
      <c r="CU78" s="42"/>
      <c r="CV78" s="42"/>
      <c r="CW78" s="42"/>
      <c r="CX78" s="1039"/>
      <c r="CY78" s="42"/>
      <c r="CZ78" s="42"/>
      <c r="DA78" s="42"/>
      <c r="DB78" s="42"/>
      <c r="DC78" s="1039"/>
      <c r="DD78" s="42"/>
      <c r="DE78" s="42"/>
      <c r="DF78" s="42"/>
      <c r="DG78" s="42"/>
      <c r="DH78" s="1039"/>
      <c r="DI78" s="42"/>
      <c r="DJ78" s="42"/>
      <c r="DK78" s="42"/>
      <c r="DL78" s="42"/>
      <c r="DM78" s="1039"/>
      <c r="DN78" s="42"/>
      <c r="DO78" s="42"/>
      <c r="DP78" s="42"/>
      <c r="DQ78" s="42"/>
      <c r="DR78" s="1039"/>
      <c r="DS78" s="42"/>
      <c r="DT78" s="42"/>
      <c r="DU78" s="42"/>
      <c r="DV78" s="42"/>
      <c r="DW78" s="1039"/>
      <c r="DX78" s="1039"/>
      <c r="DY78" s="1039"/>
      <c r="DZ78" s="1039"/>
      <c r="EA78" s="1039"/>
      <c r="EC78" s="4320"/>
      <c r="ED78" s="4320"/>
    </row>
    <row r="79" spans="1:135" s="84" customFormat="1" ht="11.25" customHeight="1">
      <c r="A79" s="6115" t="s">
        <v>147</v>
      </c>
      <c r="B79" s="6116"/>
      <c r="C79" s="6117"/>
      <c r="D79" s="6117"/>
      <c r="E79" s="6117"/>
      <c r="F79" s="6117"/>
      <c r="G79" s="6116"/>
      <c r="H79" s="6117"/>
      <c r="I79" s="6117"/>
      <c r="J79" s="6117"/>
      <c r="K79" s="6117"/>
      <c r="L79" s="6116"/>
      <c r="M79" s="6118"/>
      <c r="N79" s="6117"/>
      <c r="O79" s="6117"/>
      <c r="P79" s="6117"/>
      <c r="Q79" s="6116"/>
      <c r="R79" s="6118"/>
      <c r="S79" s="6117"/>
      <c r="T79" s="6117"/>
      <c r="U79" s="6117"/>
      <c r="V79" s="6116"/>
      <c r="W79" s="6118"/>
      <c r="X79" s="6117"/>
      <c r="Y79" s="6117"/>
      <c r="Z79" s="6119"/>
      <c r="AA79" s="6116"/>
      <c r="AB79" s="6120"/>
      <c r="AC79" s="6121"/>
      <c r="AD79" s="6121"/>
      <c r="AE79" s="6122"/>
      <c r="AF79" s="6116"/>
      <c r="AG79" s="6120"/>
      <c r="AH79" s="6121"/>
      <c r="AI79" s="6121"/>
      <c r="AJ79" s="6122"/>
      <c r="AK79" s="6116"/>
      <c r="AL79" s="6120"/>
      <c r="AM79" s="6121"/>
      <c r="AN79" s="6121"/>
      <c r="AO79" s="6122"/>
      <c r="AP79" s="6116"/>
      <c r="AQ79" s="6120"/>
      <c r="AR79" s="6121"/>
      <c r="AS79" s="6121"/>
      <c r="AT79" s="6122"/>
      <c r="AU79" s="6116"/>
      <c r="AV79" s="6121"/>
      <c r="AW79" s="6121"/>
      <c r="AX79" s="6121"/>
      <c r="AY79" s="6121"/>
      <c r="AZ79" s="6116"/>
      <c r="BA79" s="6121"/>
      <c r="BB79" s="6121"/>
      <c r="BC79" s="6121"/>
      <c r="BD79" s="6121"/>
      <c r="BE79" s="6116"/>
      <c r="BF79" s="6121"/>
      <c r="BG79" s="6121"/>
      <c r="BH79" s="6121"/>
      <c r="BI79" s="6121"/>
      <c r="BJ79" s="6116"/>
      <c r="BK79" s="6124"/>
      <c r="BL79" s="6121"/>
      <c r="BM79" s="6121"/>
      <c r="BN79" s="6121"/>
      <c r="BO79" s="6116"/>
      <c r="BP79" s="6124"/>
      <c r="BQ79" s="6121"/>
      <c r="BR79" s="6121"/>
      <c r="BS79" s="6121"/>
      <c r="BT79" s="6116"/>
      <c r="BU79" s="6124"/>
      <c r="BV79" s="6121"/>
      <c r="BW79" s="6121"/>
      <c r="BX79" s="6125"/>
      <c r="BY79" s="6116"/>
      <c r="BZ79" s="6121"/>
      <c r="CA79" s="6121"/>
      <c r="CB79" s="6121"/>
      <c r="CC79" s="6121"/>
      <c r="CD79" s="6116"/>
      <c r="CE79" s="6121"/>
      <c r="CF79" s="6121"/>
      <c r="CG79" s="6121"/>
      <c r="CH79" s="6121"/>
      <c r="CI79" s="6116"/>
      <c r="CJ79" s="6121"/>
      <c r="CK79" s="6121"/>
      <c r="CL79" s="6121"/>
      <c r="CM79" s="6121"/>
      <c r="CN79" s="6116"/>
      <c r="CO79" s="6121"/>
      <c r="CP79" s="6121"/>
      <c r="CQ79" s="6121"/>
      <c r="CR79" s="6121"/>
      <c r="CS79" s="6116"/>
      <c r="CT79" s="6121"/>
      <c r="CU79" s="6121"/>
      <c r="CV79" s="6121"/>
      <c r="CW79" s="6121"/>
      <c r="CX79" s="6116"/>
      <c r="CY79" s="6121"/>
      <c r="CZ79" s="6121"/>
      <c r="DA79" s="6121"/>
      <c r="DB79" s="6121"/>
      <c r="DC79" s="6116"/>
      <c r="DD79" s="6121"/>
      <c r="DE79" s="6121"/>
      <c r="DF79" s="6121"/>
      <c r="DG79" s="6121"/>
      <c r="DH79" s="6116"/>
      <c r="DI79" s="6121"/>
      <c r="DJ79" s="6121"/>
      <c r="DK79" s="6121"/>
      <c r="DL79" s="6121"/>
      <c r="DM79" s="6116"/>
      <c r="DN79" s="6121"/>
      <c r="DO79" s="6121"/>
      <c r="DP79" s="6121"/>
      <c r="DQ79" s="6121"/>
      <c r="DR79" s="6116"/>
      <c r="DS79" s="6121"/>
      <c r="DT79" s="6121"/>
      <c r="DU79" s="6121"/>
      <c r="DV79" s="6121"/>
      <c r="DW79" s="6116"/>
      <c r="DX79" s="6116"/>
      <c r="DY79" s="6116"/>
      <c r="DZ79" s="6116"/>
      <c r="EA79" s="6116"/>
      <c r="EC79" s="4320"/>
      <c r="ED79" s="4320"/>
    </row>
    <row r="80" spans="1:135" s="84" customFormat="1" ht="11.25" customHeight="1">
      <c r="A80" s="1587" t="s">
        <v>148</v>
      </c>
      <c r="B80" s="1039">
        <f>B19</f>
        <v>31.089000000000009</v>
      </c>
      <c r="C80" s="340"/>
      <c r="D80" s="340"/>
      <c r="E80" s="340"/>
      <c r="F80" s="340"/>
      <c r="G80" s="1038">
        <f>G19</f>
        <v>155.26499999999999</v>
      </c>
      <c r="H80" s="511">
        <f>H19</f>
        <v>113.19800000000001</v>
      </c>
      <c r="I80" s="511">
        <f>I19</f>
        <v>63.975999999999992</v>
      </c>
      <c r="J80" s="511">
        <f>J19</f>
        <v>131.72800000000007</v>
      </c>
      <c r="K80" s="511">
        <f>K19</f>
        <v>86.542999999999893</v>
      </c>
      <c r="L80" s="1038">
        <f>SUM(H80:K80)</f>
        <v>395.44499999999994</v>
      </c>
      <c r="M80" s="1463">
        <f>M19</f>
        <v>208.04500000000004</v>
      </c>
      <c r="N80" s="511">
        <f>N19</f>
        <v>162.55899999999997</v>
      </c>
      <c r="O80" s="511">
        <f>O19</f>
        <v>238.34300000000002</v>
      </c>
      <c r="P80" s="511">
        <f>P19</f>
        <v>368.09699999999992</v>
      </c>
      <c r="Q80" s="1038">
        <f>SUM(M80:P80)</f>
        <v>977.0440000000001</v>
      </c>
      <c r="R80" s="1463">
        <f>R19</f>
        <v>529.62200000000007</v>
      </c>
      <c r="S80" s="511">
        <f>S19</f>
        <v>624.6189999999998</v>
      </c>
      <c r="T80" s="511">
        <f>T19</f>
        <v>646.74699999999996</v>
      </c>
      <c r="U80" s="511">
        <f>U19</f>
        <v>658.43399999999997</v>
      </c>
      <c r="V80" s="1038">
        <f>SUM(R80:U80)</f>
        <v>2459.4219999999996</v>
      </c>
      <c r="W80" s="1463">
        <f t="shared" ref="W80:BB80" si="228">W19</f>
        <v>824.80400000000031</v>
      </c>
      <c r="X80" s="511">
        <f t="shared" si="228"/>
        <v>840.58599999999967</v>
      </c>
      <c r="Y80" s="511">
        <f t="shared" si="228"/>
        <v>1004.3240000000004</v>
      </c>
      <c r="Z80" s="1470">
        <f t="shared" si="228"/>
        <v>910.79399999999976</v>
      </c>
      <c r="AA80" s="1038">
        <f t="shared" si="228"/>
        <v>3580.5079999999998</v>
      </c>
      <c r="AB80" s="1426">
        <f t="shared" si="228"/>
        <v>1219.5899999999999</v>
      </c>
      <c r="AC80" s="226">
        <f t="shared" si="228"/>
        <v>1229.9289999999999</v>
      </c>
      <c r="AD80" s="226">
        <f t="shared" si="228"/>
        <v>1632.6350000000002</v>
      </c>
      <c r="AE80" s="1471">
        <f t="shared" si="228"/>
        <v>1693.2559999999994</v>
      </c>
      <c r="AF80" s="1038">
        <f t="shared" si="228"/>
        <v>5775.41</v>
      </c>
      <c r="AG80" s="1426">
        <f t="shared" si="228"/>
        <v>1779.4450000000002</v>
      </c>
      <c r="AH80" s="226">
        <f t="shared" si="228"/>
        <v>1766.1540000000007</v>
      </c>
      <c r="AI80" s="226">
        <f t="shared" si="228"/>
        <v>2184.9579999999996</v>
      </c>
      <c r="AJ80" s="1471">
        <f t="shared" si="228"/>
        <v>2122.2990000000009</v>
      </c>
      <c r="AK80" s="1038">
        <f t="shared" si="228"/>
        <v>7852.8560000000007</v>
      </c>
      <c r="AL80" s="1426">
        <f t="shared" si="228"/>
        <v>2249.5119999999997</v>
      </c>
      <c r="AM80" s="226">
        <f t="shared" si="228"/>
        <v>1609.1719999999998</v>
      </c>
      <c r="AN80" s="226">
        <f t="shared" si="228"/>
        <v>2725.9829999999997</v>
      </c>
      <c r="AO80" s="1471">
        <f t="shared" si="228"/>
        <v>2731.5309999999999</v>
      </c>
      <c r="AP80" s="1038">
        <f t="shared" si="228"/>
        <v>9316.1979999999985</v>
      </c>
      <c r="AQ80" s="1426">
        <f t="shared" si="228"/>
        <v>2584</v>
      </c>
      <c r="AR80" s="226">
        <f t="shared" si="228"/>
        <v>2085</v>
      </c>
      <c r="AS80" s="226">
        <f t="shared" si="228"/>
        <v>2886</v>
      </c>
      <c r="AT80" s="1471">
        <f t="shared" si="228"/>
        <v>3526</v>
      </c>
      <c r="AU80" s="1038">
        <f t="shared" si="228"/>
        <v>11081</v>
      </c>
      <c r="AV80" s="226">
        <f t="shared" si="228"/>
        <v>3172</v>
      </c>
      <c r="AW80" s="226">
        <f t="shared" si="228"/>
        <v>3519</v>
      </c>
      <c r="AX80" s="226">
        <f t="shared" si="228"/>
        <v>3950</v>
      </c>
      <c r="AY80" s="226">
        <f t="shared" si="228"/>
        <v>3924</v>
      </c>
      <c r="AZ80" s="1038">
        <f t="shared" si="228"/>
        <v>14565</v>
      </c>
      <c r="BA80" s="226">
        <f t="shared" si="228"/>
        <v>3694</v>
      </c>
      <c r="BB80" s="226">
        <f t="shared" si="228"/>
        <v>4379</v>
      </c>
      <c r="BC80" s="226">
        <f t="shared" ref="BC80:CH80" si="229">BC19</f>
        <v>4457</v>
      </c>
      <c r="BD80" s="226">
        <f t="shared" si="229"/>
        <v>4688</v>
      </c>
      <c r="BE80" s="1038">
        <f t="shared" si="229"/>
        <v>17218</v>
      </c>
      <c r="BF80" s="226">
        <f t="shared" si="229"/>
        <v>3633</v>
      </c>
      <c r="BG80" s="226">
        <f t="shared" si="229"/>
        <v>4705</v>
      </c>
      <c r="BH80" s="226">
        <f t="shared" si="229"/>
        <v>5053</v>
      </c>
      <c r="BI80" s="226">
        <f t="shared" si="229"/>
        <v>5238</v>
      </c>
      <c r="BJ80" s="1038">
        <f t="shared" si="229"/>
        <v>18629</v>
      </c>
      <c r="BK80" s="686">
        <f t="shared" si="229"/>
        <v>4309.6559999999999</v>
      </c>
      <c r="BL80" s="226">
        <f t="shared" si="229"/>
        <v>5557.2503999999999</v>
      </c>
      <c r="BM80" s="226">
        <f t="shared" si="229"/>
        <v>5919.6059999999998</v>
      </c>
      <c r="BN80" s="226">
        <f t="shared" si="229"/>
        <v>6281.6130000000003</v>
      </c>
      <c r="BO80" s="1038">
        <f t="shared" si="229"/>
        <v>22068.125400000001</v>
      </c>
      <c r="BP80" s="686">
        <f t="shared" si="229"/>
        <v>6545.2332000000006</v>
      </c>
      <c r="BQ80" s="226">
        <f t="shared" si="229"/>
        <v>7056</v>
      </c>
      <c r="BR80" s="226">
        <f t="shared" si="229"/>
        <v>6007</v>
      </c>
      <c r="BS80" s="226">
        <f t="shared" si="229"/>
        <v>6415</v>
      </c>
      <c r="BT80" s="1038">
        <f t="shared" si="229"/>
        <v>26023.233200000002</v>
      </c>
      <c r="BU80" s="226">
        <f t="shared" si="229"/>
        <v>7658</v>
      </c>
      <c r="BV80" s="226">
        <f t="shared" si="229"/>
        <v>9120</v>
      </c>
      <c r="BW80" s="226">
        <f t="shared" si="229"/>
        <v>9845</v>
      </c>
      <c r="BX80" s="226">
        <f t="shared" si="229"/>
        <v>9413</v>
      </c>
      <c r="BY80" s="1038">
        <f t="shared" si="229"/>
        <v>36036</v>
      </c>
      <c r="BZ80" s="226">
        <f t="shared" si="229"/>
        <v>9548</v>
      </c>
      <c r="CA80" s="226">
        <f t="shared" si="229"/>
        <v>7403</v>
      </c>
      <c r="CB80" s="226">
        <f t="shared" si="229"/>
        <v>9872</v>
      </c>
      <c r="CC80" s="226">
        <f t="shared" si="229"/>
        <v>10268</v>
      </c>
      <c r="CD80" s="1038">
        <f t="shared" si="229"/>
        <v>37091</v>
      </c>
      <c r="CE80" s="226">
        <f t="shared" si="229"/>
        <v>11642</v>
      </c>
      <c r="CF80" s="226">
        <f t="shared" si="229"/>
        <v>10132</v>
      </c>
      <c r="CG80" s="226">
        <f t="shared" si="229"/>
        <v>13210</v>
      </c>
      <c r="CH80" s="226">
        <f t="shared" si="229"/>
        <v>12987</v>
      </c>
      <c r="CI80" s="1038">
        <f t="shared" ref="CI80:CX80" si="230">CI19</f>
        <v>47971</v>
      </c>
      <c r="CJ80" s="226">
        <f t="shared" si="230"/>
        <v>12000</v>
      </c>
      <c r="CK80" s="226">
        <f t="shared" si="230"/>
        <v>12627</v>
      </c>
      <c r="CL80" s="226">
        <f t="shared" si="230"/>
        <v>15466</v>
      </c>
      <c r="CM80" s="226">
        <f t="shared" si="230"/>
        <v>14427</v>
      </c>
      <c r="CN80" s="1038">
        <f t="shared" si="230"/>
        <v>54520</v>
      </c>
      <c r="CO80" s="226">
        <f t="shared" si="230"/>
        <v>11451</v>
      </c>
      <c r="CP80" s="226">
        <f t="shared" si="230"/>
        <v>13993</v>
      </c>
      <c r="CQ80" s="226">
        <f t="shared" si="230"/>
        <v>17003</v>
      </c>
      <c r="CR80" s="226">
        <f t="shared" si="230"/>
        <v>22677</v>
      </c>
      <c r="CS80" s="1038">
        <f t="shared" si="230"/>
        <v>65124</v>
      </c>
      <c r="CT80" s="226">
        <f t="shared" si="230"/>
        <v>19289</v>
      </c>
      <c r="CU80" s="226">
        <f t="shared" si="230"/>
        <v>21890</v>
      </c>
      <c r="CV80" s="226">
        <f t="shared" si="230"/>
        <v>25539</v>
      </c>
      <c r="CW80" s="226">
        <f t="shared" si="230"/>
        <v>24934</v>
      </c>
      <c r="CX80" s="1038">
        <f t="shared" si="230"/>
        <v>91652</v>
      </c>
      <c r="CY80" s="226">
        <f t="shared" ref="CY80:DH80" si="231">CY19</f>
        <v>25106</v>
      </c>
      <c r="CZ80" s="226">
        <f t="shared" si="231"/>
        <v>19422</v>
      </c>
      <c r="DA80" s="226">
        <f t="shared" si="231"/>
        <v>23353</v>
      </c>
      <c r="DB80" s="226">
        <f t="shared" si="231"/>
        <v>23614</v>
      </c>
      <c r="DC80" s="1038">
        <f t="shared" si="231"/>
        <v>91495</v>
      </c>
      <c r="DD80" s="226">
        <f>DD19</f>
        <v>23509</v>
      </c>
      <c r="DE80" s="226">
        <f>DE19</f>
        <v>28666</v>
      </c>
      <c r="DF80" s="226">
        <f>DF19</f>
        <v>30656</v>
      </c>
      <c r="DG80" s="226">
        <f t="shared" ref="DG80" si="232">DG19</f>
        <v>18915</v>
      </c>
      <c r="DH80" s="1038">
        <f t="shared" si="231"/>
        <v>101746</v>
      </c>
      <c r="DI80" s="226">
        <f>DI19</f>
        <v>28848</v>
      </c>
      <c r="DJ80" s="226">
        <f>DJ19</f>
        <v>26640</v>
      </c>
      <c r="DK80" s="226">
        <f>DK19</f>
        <v>30698</v>
      </c>
      <c r="DL80" s="226">
        <f t="shared" ref="DL80" si="233">DL19</f>
        <v>39113</v>
      </c>
      <c r="DM80" s="1038">
        <f>DM19</f>
        <v>125299</v>
      </c>
      <c r="DN80" s="226">
        <f>DN19</f>
        <v>36150</v>
      </c>
      <c r="DO80" s="226">
        <f>DO19</f>
        <v>27747</v>
      </c>
      <c r="DP80" s="226">
        <f>DP19</f>
        <v>48414</v>
      </c>
      <c r="DQ80" s="226">
        <f t="shared" ref="DQ80" ca="1" si="234">DQ19</f>
        <v>47482.674331486429</v>
      </c>
      <c r="DR80" s="1038">
        <f ca="1">DR19</f>
        <v>159793.67433148643</v>
      </c>
      <c r="DS80" s="226">
        <f t="shared" ref="DS80:DV80" ca="1" si="235">DS19</f>
        <v>49393.814477541535</v>
      </c>
      <c r="DT80" s="226">
        <f t="shared" ca="1" si="235"/>
        <v>37039.234019820258</v>
      </c>
      <c r="DU80" s="226">
        <f t="shared" ca="1" si="235"/>
        <v>57122.233724921563</v>
      </c>
      <c r="DV80" s="226">
        <f t="shared" ca="1" si="235"/>
        <v>58906.976960839471</v>
      </c>
      <c r="DW80" s="1038">
        <f ca="1">DW19</f>
        <v>202462.25918312281</v>
      </c>
      <c r="DX80" s="1038">
        <f ca="1">DX19</f>
        <v>233045.67604004024</v>
      </c>
      <c r="DY80" s="1038">
        <f ca="1">DY19</f>
        <v>262186.89210780448</v>
      </c>
      <c r="DZ80" s="1038">
        <f ca="1">DZ19</f>
        <v>291757.16202415811</v>
      </c>
      <c r="EA80" s="1038">
        <f ca="1">EA19</f>
        <v>324975.42946599319</v>
      </c>
      <c r="EC80" s="4320"/>
      <c r="ED80" s="4320"/>
    </row>
    <row r="81" spans="1:134" s="84" customFormat="1" ht="11.25" customHeight="1">
      <c r="A81" s="1587" t="s">
        <v>149</v>
      </c>
      <c r="B81" s="1039">
        <f>B23</f>
        <v>-13.06</v>
      </c>
      <c r="C81" s="77"/>
      <c r="D81" s="77"/>
      <c r="E81" s="77"/>
      <c r="F81" s="77"/>
      <c r="G81" s="1038">
        <f t="shared" ref="G81:M81" si="236">G23</f>
        <v>-37.198</v>
      </c>
      <c r="H81" s="511">
        <f t="shared" si="236"/>
        <v>-29.55</v>
      </c>
      <c r="I81" s="511">
        <f t="shared" si="236"/>
        <v>-31.002999999999997</v>
      </c>
      <c r="J81" s="511">
        <f t="shared" si="236"/>
        <v>-59.757000000000005</v>
      </c>
      <c r="K81" s="511">
        <f t="shared" si="236"/>
        <v>-56.490999999999985</v>
      </c>
      <c r="L81" s="1038">
        <f t="shared" si="236"/>
        <v>-176.80099999999999</v>
      </c>
      <c r="M81" s="1463">
        <f t="shared" si="236"/>
        <v>-86.037000000000006</v>
      </c>
      <c r="N81" s="511">
        <f>-N73</f>
        <v>-96.245999999999981</v>
      </c>
      <c r="O81" s="511">
        <f>-O73</f>
        <v>-77.632000000000033</v>
      </c>
      <c r="P81" s="511">
        <f>-P73</f>
        <v>-59.079999999999984</v>
      </c>
      <c r="Q81" s="1038">
        <f>SUM(M81:P81)</f>
        <v>-318.995</v>
      </c>
      <c r="R81" s="1463">
        <f>R23</f>
        <v>-142.39099999999999</v>
      </c>
      <c r="S81" s="511">
        <f>-S73</f>
        <v>-157.46299999999999</v>
      </c>
      <c r="T81" s="511">
        <f>-T73</f>
        <v>-292.53200000000004</v>
      </c>
      <c r="U81" s="511">
        <f>-U73</f>
        <v>-245.83099999999999</v>
      </c>
      <c r="V81" s="1038">
        <f>SUM(R81:U81)</f>
        <v>-838.21699999999998</v>
      </c>
      <c r="W81" s="1463">
        <f t="shared" ref="W81:AF81" si="237">-W73</f>
        <v>-344.93799999999999</v>
      </c>
      <c r="X81" s="511">
        <f t="shared" si="237"/>
        <v>-699.00000000000011</v>
      </c>
      <c r="Y81" s="511">
        <f t="shared" si="237"/>
        <v>-492.22199999999998</v>
      </c>
      <c r="Z81" s="1470">
        <f t="shared" si="237"/>
        <v>-366.63799999999992</v>
      </c>
      <c r="AA81" s="1038">
        <f t="shared" si="237"/>
        <v>-1902.798</v>
      </c>
      <c r="AB81" s="1426">
        <f t="shared" si="237"/>
        <v>-596.89300000000003</v>
      </c>
      <c r="AC81" s="226">
        <f t="shared" si="237"/>
        <v>-575.09799999999996</v>
      </c>
      <c r="AD81" s="226">
        <f t="shared" si="237"/>
        <v>-552.6400000000001</v>
      </c>
      <c r="AE81" s="1471">
        <f t="shared" si="237"/>
        <v>-678.20900000000006</v>
      </c>
      <c r="AF81" s="1038">
        <f t="shared" si="237"/>
        <v>-2402.84</v>
      </c>
      <c r="AG81" s="1426">
        <f t="shared" ref="AG81:AP81" si="238">-AG73</f>
        <v>-841.59699999999998</v>
      </c>
      <c r="AH81" s="226">
        <f t="shared" si="238"/>
        <v>-697.51700000000005</v>
      </c>
      <c r="AI81" s="226">
        <f t="shared" si="238"/>
        <v>-451.50299999999993</v>
      </c>
      <c r="AJ81" s="1471">
        <f t="shared" si="238"/>
        <v>-367.84399999999999</v>
      </c>
      <c r="AK81" s="1038">
        <f t="shared" si="238"/>
        <v>-2358.4609999999998</v>
      </c>
      <c r="AL81" s="1426">
        <f t="shared" si="238"/>
        <v>-262.755</v>
      </c>
      <c r="AM81" s="226">
        <f t="shared" si="238"/>
        <v>-139.43700000000001</v>
      </c>
      <c r="AN81" s="226">
        <f t="shared" si="238"/>
        <v>-186.339</v>
      </c>
      <c r="AO81" s="1471">
        <f t="shared" si="238"/>
        <v>-221.357</v>
      </c>
      <c r="AP81" s="1038">
        <f t="shared" si="238"/>
        <v>-809.88799999999992</v>
      </c>
      <c r="AQ81" s="1426">
        <f t="shared" ref="AQ81:BY81" si="239">-AQ73</f>
        <v>-239</v>
      </c>
      <c r="AR81" s="226">
        <f t="shared" si="239"/>
        <v>-476</v>
      </c>
      <c r="AS81" s="226">
        <f t="shared" si="239"/>
        <v>-757</v>
      </c>
      <c r="AT81" s="1471">
        <f t="shared" si="239"/>
        <v>-2545</v>
      </c>
      <c r="AU81" s="1038">
        <f t="shared" si="239"/>
        <v>-4017</v>
      </c>
      <c r="AV81" s="226">
        <f t="shared" si="239"/>
        <v>-890</v>
      </c>
      <c r="AW81" s="226">
        <f t="shared" si="239"/>
        <v>-917</v>
      </c>
      <c r="AX81" s="226">
        <f t="shared" si="239"/>
        <v>-680</v>
      </c>
      <c r="AY81" s="226">
        <f t="shared" si="239"/>
        <v>-951</v>
      </c>
      <c r="AZ81" s="1038">
        <f t="shared" si="239"/>
        <v>-3438</v>
      </c>
      <c r="BA81" s="226">
        <f t="shared" si="239"/>
        <v>-607</v>
      </c>
      <c r="BB81" s="226">
        <f t="shared" si="239"/>
        <v>-774</v>
      </c>
      <c r="BC81" s="226">
        <f t="shared" si="239"/>
        <v>-872</v>
      </c>
      <c r="BD81" s="226">
        <f t="shared" si="239"/>
        <v>-1020</v>
      </c>
      <c r="BE81" s="1038">
        <f t="shared" si="239"/>
        <v>-3273</v>
      </c>
      <c r="BF81" s="226">
        <f t="shared" si="239"/>
        <v>-1203</v>
      </c>
      <c r="BG81" s="226">
        <f t="shared" si="239"/>
        <v>-1611</v>
      </c>
      <c r="BH81" s="226">
        <f t="shared" si="239"/>
        <v>-2289</v>
      </c>
      <c r="BI81" s="226">
        <f t="shared" si="239"/>
        <v>-2255</v>
      </c>
      <c r="BJ81" s="1038">
        <f t="shared" si="239"/>
        <v>-7358</v>
      </c>
      <c r="BK81" s="686">
        <f t="shared" si="239"/>
        <v>-2345</v>
      </c>
      <c r="BL81" s="226">
        <f t="shared" si="239"/>
        <v>-2646</v>
      </c>
      <c r="BM81" s="226">
        <f t="shared" si="239"/>
        <v>-2417</v>
      </c>
      <c r="BN81" s="226">
        <f>-BN73</f>
        <v>-3551</v>
      </c>
      <c r="BO81" s="1038">
        <f>-BO73</f>
        <v>-10959</v>
      </c>
      <c r="BP81" s="686">
        <f>-BP73</f>
        <v>-2927</v>
      </c>
      <c r="BQ81" s="226">
        <f t="shared" si="239"/>
        <v>-2515</v>
      </c>
      <c r="BR81" s="226">
        <f t="shared" si="239"/>
        <v>-2383</v>
      </c>
      <c r="BS81" s="226">
        <f>-BS73</f>
        <v>-2102</v>
      </c>
      <c r="BT81" s="1038">
        <f>-BT73</f>
        <v>-9927</v>
      </c>
      <c r="BU81" s="226">
        <f t="shared" si="239"/>
        <v>-2444</v>
      </c>
      <c r="BV81" s="226">
        <f t="shared" si="239"/>
        <v>-2136</v>
      </c>
      <c r="BW81" s="226">
        <f t="shared" si="239"/>
        <v>-2554</v>
      </c>
      <c r="BX81" s="226">
        <f t="shared" si="239"/>
        <v>-3078</v>
      </c>
      <c r="BY81" s="1038">
        <f t="shared" si="239"/>
        <v>-10212</v>
      </c>
      <c r="BZ81" s="226">
        <f t="shared" ref="BZ81:CY81" si="240">-BZ73</f>
        <v>-2508</v>
      </c>
      <c r="CA81" s="226">
        <f t="shared" si="240"/>
        <v>-2831</v>
      </c>
      <c r="CB81" s="226">
        <f t="shared" si="240"/>
        <v>-3538</v>
      </c>
      <c r="CC81" s="226">
        <f t="shared" si="240"/>
        <v>-4307</v>
      </c>
      <c r="CD81" s="1038">
        <f t="shared" si="240"/>
        <v>-13184</v>
      </c>
      <c r="CE81" s="226">
        <f t="shared" si="240"/>
        <v>-7299</v>
      </c>
      <c r="CF81" s="226">
        <f t="shared" si="240"/>
        <v>-5477</v>
      </c>
      <c r="CG81" s="226">
        <f t="shared" si="240"/>
        <v>-5282</v>
      </c>
      <c r="CH81" s="226">
        <f t="shared" si="240"/>
        <v>-7081</v>
      </c>
      <c r="CI81" s="1038">
        <f t="shared" si="240"/>
        <v>-25139</v>
      </c>
      <c r="CJ81" s="226">
        <f t="shared" si="240"/>
        <v>-4638</v>
      </c>
      <c r="CK81" s="226">
        <f t="shared" si="240"/>
        <v>-6126</v>
      </c>
      <c r="CL81" s="226">
        <f t="shared" si="240"/>
        <v>-6732</v>
      </c>
      <c r="CM81" s="226">
        <f t="shared" si="240"/>
        <v>-6052</v>
      </c>
      <c r="CN81" s="1038">
        <f t="shared" si="240"/>
        <v>-23548</v>
      </c>
      <c r="CO81" s="226">
        <f t="shared" si="240"/>
        <v>-6005</v>
      </c>
      <c r="CP81" s="226">
        <f t="shared" si="240"/>
        <v>-5391</v>
      </c>
      <c r="CQ81" s="226">
        <f t="shared" si="240"/>
        <v>-5406</v>
      </c>
      <c r="CR81" s="226">
        <f t="shared" si="240"/>
        <v>-5479</v>
      </c>
      <c r="CS81" s="1038">
        <f t="shared" si="240"/>
        <v>-22281</v>
      </c>
      <c r="CT81" s="226">
        <f>-CT73</f>
        <v>-5942</v>
      </c>
      <c r="CU81" s="226">
        <f>-CU73</f>
        <v>-5496</v>
      </c>
      <c r="CV81" s="226">
        <f>-CV73</f>
        <v>-6819</v>
      </c>
      <c r="CW81" s="226">
        <f>-CW73</f>
        <v>-6383</v>
      </c>
      <c r="CX81" s="1038">
        <f t="shared" si="240"/>
        <v>-24640</v>
      </c>
      <c r="CY81" s="226">
        <f t="shared" si="240"/>
        <v>-9786</v>
      </c>
      <c r="CZ81" s="226">
        <f t="shared" ref="CZ81:DH81" si="241">-CZ73</f>
        <v>-6828</v>
      </c>
      <c r="DA81" s="226">
        <f t="shared" si="241"/>
        <v>-7276</v>
      </c>
      <c r="DB81" s="226">
        <f t="shared" si="241"/>
        <v>-7595</v>
      </c>
      <c r="DC81" s="1038">
        <f t="shared" si="241"/>
        <v>-31485</v>
      </c>
      <c r="DD81" s="226">
        <f t="shared" si="241"/>
        <v>-6289</v>
      </c>
      <c r="DE81" s="226">
        <f>-DE73</f>
        <v>-6888</v>
      </c>
      <c r="DF81" s="226">
        <f>-DF73</f>
        <v>-8055</v>
      </c>
      <c r="DG81" s="226">
        <f t="shared" ref="DG81" si="242">-DG73</f>
        <v>-11019</v>
      </c>
      <c r="DH81" s="1038">
        <f t="shared" si="241"/>
        <v>-32251</v>
      </c>
      <c r="DI81" s="226">
        <f t="shared" ref="DI81" si="243">-DI73</f>
        <v>-12012</v>
      </c>
      <c r="DJ81" s="226">
        <f>-DJ73</f>
        <v>-13186</v>
      </c>
      <c r="DK81" s="226">
        <f>-DK73</f>
        <v>-13061</v>
      </c>
      <c r="DL81" s="226">
        <f t="shared" ref="DL81" si="244">-DL73</f>
        <v>-14276</v>
      </c>
      <c r="DM81" s="1038">
        <f>-DM73</f>
        <v>-52535</v>
      </c>
      <c r="DN81" s="226">
        <f t="shared" ref="DN81" si="245">-DN73</f>
        <v>-17197</v>
      </c>
      <c r="DO81" s="226">
        <f>-DO73</f>
        <v>-22446</v>
      </c>
      <c r="DP81" s="226">
        <f>-DP73</f>
        <v>-23953</v>
      </c>
      <c r="DQ81" s="226">
        <f t="shared" ref="DQ81" si="246">-DQ73</f>
        <v>-28796.411129211654</v>
      </c>
      <c r="DR81" s="1038">
        <f>-DR73</f>
        <v>-92392.411129211658</v>
      </c>
      <c r="DS81" s="226">
        <f t="shared" ref="DS81:DV81" si="247">-DS73</f>
        <v>-31807.905486705375</v>
      </c>
      <c r="DT81" s="226">
        <f t="shared" si="247"/>
        <v>-34818.957942968504</v>
      </c>
      <c r="DU81" s="226">
        <f t="shared" si="247"/>
        <v>-36465.530740129485</v>
      </c>
      <c r="DV81" s="226">
        <f t="shared" si="247"/>
        <v>-37826.440496520183</v>
      </c>
      <c r="DW81" s="1038">
        <f>-DW73</f>
        <v>-140918.83466632356</v>
      </c>
      <c r="DX81" s="1038">
        <f>-DX73</f>
        <v>-156583.13115276871</v>
      </c>
      <c r="DY81" s="1038">
        <f>-DY73</f>
        <v>-171204.68556146964</v>
      </c>
      <c r="DZ81" s="1038">
        <f>-DZ73</f>
        <v>-184596.54397761333</v>
      </c>
      <c r="EA81" s="1038">
        <f>-EA73</f>
        <v>-197553.72407966186</v>
      </c>
      <c r="EC81" s="4320"/>
      <c r="ED81" s="4320"/>
    </row>
    <row r="82" spans="1:134" s="84" customFormat="1" ht="11.25" customHeight="1">
      <c r="A82" s="1587" t="s">
        <v>268</v>
      </c>
      <c r="B82" s="1459">
        <v>0</v>
      </c>
      <c r="C82" s="136"/>
      <c r="D82" s="77"/>
      <c r="E82" s="136"/>
      <c r="F82" s="136"/>
      <c r="G82" s="1472">
        <v>0</v>
      </c>
      <c r="H82" s="1466">
        <v>0</v>
      </c>
      <c r="I82" s="1466">
        <v>0</v>
      </c>
      <c r="J82" s="1466">
        <v>0</v>
      </c>
      <c r="K82" s="1466">
        <v>0</v>
      </c>
      <c r="L82" s="1472">
        <f>SUM(H82:K82)</f>
        <v>0</v>
      </c>
      <c r="M82" s="1465">
        <v>0</v>
      </c>
      <c r="N82" s="1466">
        <v>0</v>
      </c>
      <c r="O82" s="1466">
        <v>0</v>
      </c>
      <c r="P82" s="1466">
        <v>0</v>
      </c>
      <c r="Q82" s="1472">
        <f>SUM(M82:P82)</f>
        <v>0</v>
      </c>
      <c r="R82" s="1465">
        <v>0</v>
      </c>
      <c r="S82" s="1466">
        <v>0</v>
      </c>
      <c r="T82" s="1466">
        <v>0</v>
      </c>
      <c r="U82" s="1466">
        <v>0</v>
      </c>
      <c r="V82" s="1472">
        <f>SUM(R82:U82)</f>
        <v>0</v>
      </c>
      <c r="W82" s="1465">
        <v>0</v>
      </c>
      <c r="X82" s="1466">
        <v>0</v>
      </c>
      <c r="Y82" s="1466">
        <v>0</v>
      </c>
      <c r="Z82" s="1466">
        <v>0</v>
      </c>
      <c r="AA82" s="1472">
        <f>SUM(W82:Z82)</f>
        <v>0</v>
      </c>
      <c r="AB82" s="1467">
        <v>0</v>
      </c>
      <c r="AC82" s="691">
        <v>0</v>
      </c>
      <c r="AD82" s="691">
        <v>0</v>
      </c>
      <c r="AE82" s="691">
        <v>0</v>
      </c>
      <c r="AF82" s="1472">
        <f>SUM(AB82:AE82)</f>
        <v>0</v>
      </c>
      <c r="AG82" s="1467">
        <v>0</v>
      </c>
      <c r="AH82" s="691">
        <v>0</v>
      </c>
      <c r="AI82" s="691">
        <v>0</v>
      </c>
      <c r="AJ82" s="691">
        <v>0</v>
      </c>
      <c r="AK82" s="1472">
        <f>SUM(AG82:AJ82)</f>
        <v>0</v>
      </c>
      <c r="AL82" s="1467">
        <v>0</v>
      </c>
      <c r="AM82" s="691">
        <v>0</v>
      </c>
      <c r="AN82" s="691">
        <v>0</v>
      </c>
      <c r="AO82" s="691">
        <v>0</v>
      </c>
      <c r="AP82" s="1472">
        <f>SUM(AL82:AO82)</f>
        <v>0</v>
      </c>
      <c r="AQ82" s="1467">
        <v>0</v>
      </c>
      <c r="AR82" s="691">
        <v>0</v>
      </c>
      <c r="AS82" s="691">
        <v>0</v>
      </c>
      <c r="AT82" s="691">
        <v>0</v>
      </c>
      <c r="AU82" s="1472">
        <f>SUM(AQ82:AT82)</f>
        <v>0</v>
      </c>
      <c r="AV82" s="691">
        <v>0</v>
      </c>
      <c r="AW82" s="691">
        <v>0</v>
      </c>
      <c r="AX82" s="691">
        <v>0</v>
      </c>
      <c r="AY82" s="691">
        <v>0</v>
      </c>
      <c r="AZ82" s="1472">
        <v>0</v>
      </c>
      <c r="BA82" s="691">
        <v>0</v>
      </c>
      <c r="BB82" s="691">
        <v>0</v>
      </c>
      <c r="BC82" s="691">
        <v>0</v>
      </c>
      <c r="BD82" s="691">
        <v>0</v>
      </c>
      <c r="BE82" s="1472">
        <v>0</v>
      </c>
      <c r="BF82" s="691">
        <v>0</v>
      </c>
      <c r="BG82" s="691">
        <v>0</v>
      </c>
      <c r="BH82" s="691">
        <v>0</v>
      </c>
      <c r="BI82" s="691">
        <v>0</v>
      </c>
      <c r="BJ82" s="1472">
        <v>0</v>
      </c>
      <c r="BK82" s="1473"/>
      <c r="BL82" s="691"/>
      <c r="BM82" s="691">
        <v>0</v>
      </c>
      <c r="BN82" s="691">
        <v>0</v>
      </c>
      <c r="BO82" s="1472">
        <v>0</v>
      </c>
      <c r="BP82" s="1473"/>
      <c r="BQ82" s="691">
        <v>0</v>
      </c>
      <c r="BR82" s="691">
        <v>0</v>
      </c>
      <c r="BS82" s="691">
        <v>0</v>
      </c>
      <c r="BT82" s="1472">
        <v>0</v>
      </c>
      <c r="BU82" s="1473">
        <v>0</v>
      </c>
      <c r="BV82" s="691">
        <v>0</v>
      </c>
      <c r="BW82" s="691">
        <v>0</v>
      </c>
      <c r="BX82" s="1474">
        <v>0</v>
      </c>
      <c r="BY82" s="1472">
        <v>0</v>
      </c>
      <c r="BZ82" s="691">
        <v>0</v>
      </c>
      <c r="CA82" s="691">
        <v>0</v>
      </c>
      <c r="CB82" s="691">
        <v>0</v>
      </c>
      <c r="CC82" s="691">
        <v>0</v>
      </c>
      <c r="CD82" s="1472">
        <v>0</v>
      </c>
      <c r="CE82" s="691">
        <v>0</v>
      </c>
      <c r="CF82" s="691">
        <v>0</v>
      </c>
      <c r="CG82" s="691">
        <v>0</v>
      </c>
      <c r="CH82" s="691">
        <v>0</v>
      </c>
      <c r="CI82" s="1472">
        <v>0</v>
      </c>
      <c r="CJ82" s="691">
        <v>0</v>
      </c>
      <c r="CK82" s="691">
        <v>0</v>
      </c>
      <c r="CL82" s="691">
        <v>0</v>
      </c>
      <c r="CM82" s="691">
        <v>0</v>
      </c>
      <c r="CN82" s="1472">
        <v>0</v>
      </c>
      <c r="CO82" s="691">
        <v>0</v>
      </c>
      <c r="CP82" s="691">
        <v>0</v>
      </c>
      <c r="CQ82" s="691">
        <v>0</v>
      </c>
      <c r="CR82" s="691">
        <v>0</v>
      </c>
      <c r="CS82" s="1472">
        <v>0</v>
      </c>
      <c r="CT82" s="691">
        <v>0</v>
      </c>
      <c r="CU82" s="691">
        <v>0</v>
      </c>
      <c r="CV82" s="691">
        <v>0</v>
      </c>
      <c r="CW82" s="691">
        <v>0</v>
      </c>
      <c r="CX82" s="1472">
        <v>0</v>
      </c>
      <c r="CY82" s="691">
        <v>0</v>
      </c>
      <c r="CZ82" s="691">
        <v>0</v>
      </c>
      <c r="DA82" s="691">
        <v>0</v>
      </c>
      <c r="DB82" s="691">
        <v>0</v>
      </c>
      <c r="DC82" s="1472">
        <v>0</v>
      </c>
      <c r="DD82" s="691">
        <v>0</v>
      </c>
      <c r="DE82" s="691">
        <v>0</v>
      </c>
      <c r="DF82" s="691">
        <v>0</v>
      </c>
      <c r="DG82" s="691">
        <v>0</v>
      </c>
      <c r="DH82" s="1472">
        <v>0</v>
      </c>
      <c r="DI82" s="691">
        <v>0</v>
      </c>
      <c r="DJ82" s="691">
        <v>0</v>
      </c>
      <c r="DK82" s="691">
        <v>0</v>
      </c>
      <c r="DL82" s="691">
        <v>0</v>
      </c>
      <c r="DM82" s="1472">
        <v>0</v>
      </c>
      <c r="DN82" s="691">
        <v>0</v>
      </c>
      <c r="DO82" s="691">
        <v>0</v>
      </c>
      <c r="DP82" s="691">
        <v>0</v>
      </c>
      <c r="DQ82" s="691">
        <v>0</v>
      </c>
      <c r="DR82" s="1472">
        <v>0</v>
      </c>
      <c r="DS82" s="691">
        <v>0</v>
      </c>
      <c r="DT82" s="691">
        <v>0</v>
      </c>
      <c r="DU82" s="691">
        <v>0</v>
      </c>
      <c r="DV82" s="691">
        <v>0</v>
      </c>
      <c r="DW82" s="1472">
        <v>0</v>
      </c>
      <c r="DX82" s="1472">
        <v>0</v>
      </c>
      <c r="DY82" s="1472">
        <v>0</v>
      </c>
      <c r="DZ82" s="1472">
        <v>0</v>
      </c>
      <c r="EA82" s="1472">
        <v>0</v>
      </c>
      <c r="EC82" s="4320"/>
      <c r="ED82" s="4320"/>
    </row>
    <row r="83" spans="1:134" s="84" customFormat="1" ht="11.25" customHeight="1">
      <c r="A83" s="3128" t="s">
        <v>107</v>
      </c>
      <c r="B83" s="3117">
        <f>SUM(B80:B82)</f>
        <v>18.029000000000011</v>
      </c>
      <c r="C83" s="3118"/>
      <c r="D83" s="3118"/>
      <c r="E83" s="3118"/>
      <c r="F83" s="3118"/>
      <c r="G83" s="2991">
        <f t="shared" ref="G83:AF83" si="248">SUM(G80:G82)</f>
        <v>118.06699999999998</v>
      </c>
      <c r="H83" s="2992">
        <f t="shared" si="248"/>
        <v>83.64800000000001</v>
      </c>
      <c r="I83" s="2992">
        <f t="shared" si="248"/>
        <v>32.972999999999999</v>
      </c>
      <c r="J83" s="2992">
        <f t="shared" si="248"/>
        <v>71.97100000000006</v>
      </c>
      <c r="K83" s="2992">
        <f t="shared" si="248"/>
        <v>30.051999999999907</v>
      </c>
      <c r="L83" s="2991">
        <f t="shared" si="248"/>
        <v>218.64399999999995</v>
      </c>
      <c r="M83" s="3129">
        <f t="shared" si="248"/>
        <v>122.00800000000004</v>
      </c>
      <c r="N83" s="2992">
        <f t="shared" si="248"/>
        <v>66.312999999999988</v>
      </c>
      <c r="O83" s="2992">
        <f t="shared" si="248"/>
        <v>160.71099999999998</v>
      </c>
      <c r="P83" s="2992">
        <f t="shared" si="248"/>
        <v>309.01699999999994</v>
      </c>
      <c r="Q83" s="2991">
        <f t="shared" si="248"/>
        <v>658.04900000000009</v>
      </c>
      <c r="R83" s="3129">
        <f t="shared" si="248"/>
        <v>387.23100000000011</v>
      </c>
      <c r="S83" s="2992">
        <f t="shared" si="248"/>
        <v>467.15599999999984</v>
      </c>
      <c r="T83" s="2992">
        <f t="shared" si="248"/>
        <v>354.21499999999992</v>
      </c>
      <c r="U83" s="2992">
        <f t="shared" si="248"/>
        <v>412.60299999999995</v>
      </c>
      <c r="V83" s="2991">
        <f t="shared" si="248"/>
        <v>1621.2049999999995</v>
      </c>
      <c r="W83" s="3129">
        <f t="shared" si="248"/>
        <v>479.86600000000033</v>
      </c>
      <c r="X83" s="2992">
        <f t="shared" si="248"/>
        <v>141.58599999999956</v>
      </c>
      <c r="Y83" s="2992">
        <f t="shared" si="248"/>
        <v>512.10200000000043</v>
      </c>
      <c r="Z83" s="3130">
        <f t="shared" si="248"/>
        <v>544.15599999999984</v>
      </c>
      <c r="AA83" s="2991">
        <f t="shared" si="248"/>
        <v>1677.7099999999998</v>
      </c>
      <c r="AB83" s="3131">
        <f t="shared" si="248"/>
        <v>622.69699999999989</v>
      </c>
      <c r="AC83" s="3132">
        <f t="shared" si="248"/>
        <v>654.8309999999999</v>
      </c>
      <c r="AD83" s="3132">
        <f t="shared" si="248"/>
        <v>1079.9950000000001</v>
      </c>
      <c r="AE83" s="3133">
        <f t="shared" si="248"/>
        <v>1015.0469999999993</v>
      </c>
      <c r="AF83" s="2991">
        <f t="shared" si="248"/>
        <v>3372.5699999999997</v>
      </c>
      <c r="AG83" s="3131">
        <f t="shared" ref="AG83:AP83" si="249">SUM(AG80:AG82)</f>
        <v>937.84800000000018</v>
      </c>
      <c r="AH83" s="3132">
        <f t="shared" si="249"/>
        <v>1068.6370000000006</v>
      </c>
      <c r="AI83" s="3132">
        <f t="shared" si="249"/>
        <v>1733.4549999999997</v>
      </c>
      <c r="AJ83" s="3133">
        <f t="shared" si="249"/>
        <v>1754.4550000000008</v>
      </c>
      <c r="AK83" s="2991">
        <f t="shared" si="249"/>
        <v>5494.3950000000004</v>
      </c>
      <c r="AL83" s="3131">
        <f t="shared" si="249"/>
        <v>1986.7569999999996</v>
      </c>
      <c r="AM83" s="3132">
        <f t="shared" si="249"/>
        <v>1469.7349999999997</v>
      </c>
      <c r="AN83" s="3132">
        <f t="shared" si="249"/>
        <v>2539.6439999999998</v>
      </c>
      <c r="AO83" s="3133">
        <f t="shared" si="249"/>
        <v>2510.174</v>
      </c>
      <c r="AP83" s="2991">
        <f t="shared" si="249"/>
        <v>8506.3099999999977</v>
      </c>
      <c r="AQ83" s="3131">
        <f t="shared" ref="AQ83:BD83" si="250">SUM(AQ80:AQ82)</f>
        <v>2345</v>
      </c>
      <c r="AR83" s="3132">
        <f t="shared" si="250"/>
        <v>1609</v>
      </c>
      <c r="AS83" s="3132">
        <f t="shared" si="250"/>
        <v>2129</v>
      </c>
      <c r="AT83" s="3133">
        <f t="shared" si="250"/>
        <v>981</v>
      </c>
      <c r="AU83" s="2991">
        <f t="shared" si="250"/>
        <v>7064</v>
      </c>
      <c r="AV83" s="3132">
        <f t="shared" si="250"/>
        <v>2282</v>
      </c>
      <c r="AW83" s="3132">
        <f t="shared" si="250"/>
        <v>2602</v>
      </c>
      <c r="AX83" s="3132">
        <f t="shared" si="250"/>
        <v>3270</v>
      </c>
      <c r="AY83" s="3132">
        <f t="shared" si="250"/>
        <v>2973</v>
      </c>
      <c r="AZ83" s="2991">
        <f t="shared" si="250"/>
        <v>11127</v>
      </c>
      <c r="BA83" s="3132">
        <f t="shared" si="250"/>
        <v>3087</v>
      </c>
      <c r="BB83" s="3132">
        <f t="shared" si="250"/>
        <v>3605</v>
      </c>
      <c r="BC83" s="3132">
        <f t="shared" si="250"/>
        <v>3585</v>
      </c>
      <c r="BD83" s="3132">
        <f t="shared" si="250"/>
        <v>3668</v>
      </c>
      <c r="BE83" s="2991">
        <f t="shared" ref="BE83:CH83" si="251">SUM(BE80:BE82)</f>
        <v>13945</v>
      </c>
      <c r="BF83" s="3132">
        <f t="shared" si="251"/>
        <v>2430</v>
      </c>
      <c r="BG83" s="3132">
        <f t="shared" si="251"/>
        <v>3094</v>
      </c>
      <c r="BH83" s="3132">
        <f t="shared" si="251"/>
        <v>2764</v>
      </c>
      <c r="BI83" s="3132">
        <f t="shared" si="251"/>
        <v>2983</v>
      </c>
      <c r="BJ83" s="2991">
        <f t="shared" si="251"/>
        <v>11271</v>
      </c>
      <c r="BK83" s="3134">
        <f t="shared" si="251"/>
        <v>1964.6559999999999</v>
      </c>
      <c r="BL83" s="3132">
        <f t="shared" si="251"/>
        <v>2911.2503999999999</v>
      </c>
      <c r="BM83" s="3132">
        <f>SUM(BM80:BM82)</f>
        <v>3502.6059999999998</v>
      </c>
      <c r="BN83" s="3132">
        <f>SUM(BN80:BN82)</f>
        <v>2730.6130000000003</v>
      </c>
      <c r="BO83" s="2991">
        <f t="shared" si="251"/>
        <v>11109.125400000001</v>
      </c>
      <c r="BP83" s="3134">
        <f>SUM(BP80:BP82)</f>
        <v>3618.2332000000006</v>
      </c>
      <c r="BQ83" s="3132">
        <f t="shared" si="251"/>
        <v>4541</v>
      </c>
      <c r="BR83" s="3132">
        <f t="shared" si="251"/>
        <v>3624</v>
      </c>
      <c r="BS83" s="3132">
        <f>SUM(BS80:BS82)</f>
        <v>4313</v>
      </c>
      <c r="BT83" s="2991">
        <f t="shared" si="251"/>
        <v>16096.233200000002</v>
      </c>
      <c r="BU83" s="3134">
        <f t="shared" ref="BU83:BZ83" si="252">SUM(BU80:BU82)</f>
        <v>5214</v>
      </c>
      <c r="BV83" s="3132">
        <f t="shared" si="252"/>
        <v>6984</v>
      </c>
      <c r="BW83" s="3132">
        <f t="shared" si="252"/>
        <v>7291</v>
      </c>
      <c r="BX83" s="3135">
        <f t="shared" si="252"/>
        <v>6335</v>
      </c>
      <c r="BY83" s="2991">
        <f t="shared" si="252"/>
        <v>25824</v>
      </c>
      <c r="BZ83" s="3132">
        <f t="shared" si="252"/>
        <v>7040</v>
      </c>
      <c r="CA83" s="3132">
        <f>SUM(CA80:CA82)</f>
        <v>4572</v>
      </c>
      <c r="CB83" s="3132">
        <f>SUM(CB80:CB82)</f>
        <v>6334</v>
      </c>
      <c r="CC83" s="3132">
        <f>SUM(CC80:CC82)</f>
        <v>5961</v>
      </c>
      <c r="CD83" s="2991">
        <f t="shared" si="251"/>
        <v>23907</v>
      </c>
      <c r="CE83" s="3132">
        <f t="shared" si="251"/>
        <v>4343</v>
      </c>
      <c r="CF83" s="3132">
        <f t="shared" si="251"/>
        <v>4655</v>
      </c>
      <c r="CG83" s="3132">
        <f t="shared" si="251"/>
        <v>7928</v>
      </c>
      <c r="CH83" s="3132">
        <f t="shared" si="251"/>
        <v>5906</v>
      </c>
      <c r="CI83" s="2991">
        <f t="shared" ref="CI83:CR83" si="253">SUM(CI80:CI82)</f>
        <v>22832</v>
      </c>
      <c r="CJ83" s="3132">
        <f t="shared" si="253"/>
        <v>7362</v>
      </c>
      <c r="CK83" s="3132">
        <f t="shared" si="253"/>
        <v>6501</v>
      </c>
      <c r="CL83" s="3132">
        <f t="shared" si="253"/>
        <v>8734</v>
      </c>
      <c r="CM83" s="3132">
        <f t="shared" si="253"/>
        <v>8375</v>
      </c>
      <c r="CN83" s="2991">
        <f t="shared" si="253"/>
        <v>30972</v>
      </c>
      <c r="CO83" s="3132">
        <f t="shared" si="253"/>
        <v>5446</v>
      </c>
      <c r="CP83" s="3132">
        <f t="shared" si="253"/>
        <v>8602</v>
      </c>
      <c r="CQ83" s="3132">
        <f t="shared" si="253"/>
        <v>11597</v>
      </c>
      <c r="CR83" s="3132">
        <f t="shared" si="253"/>
        <v>17198</v>
      </c>
      <c r="CS83" s="2991">
        <f t="shared" ref="CS83:DX83" si="254">SUM(CS80:CS82)</f>
        <v>42843</v>
      </c>
      <c r="CT83" s="3132">
        <f t="shared" si="254"/>
        <v>13347</v>
      </c>
      <c r="CU83" s="3132">
        <f t="shared" si="254"/>
        <v>16394</v>
      </c>
      <c r="CV83" s="3132">
        <f t="shared" si="254"/>
        <v>18720</v>
      </c>
      <c r="CW83" s="3132">
        <f t="shared" si="254"/>
        <v>18551</v>
      </c>
      <c r="CX83" s="2991">
        <f t="shared" si="254"/>
        <v>67012</v>
      </c>
      <c r="CY83" s="3132">
        <f t="shared" si="254"/>
        <v>15320</v>
      </c>
      <c r="CZ83" s="3132">
        <f t="shared" si="254"/>
        <v>12594</v>
      </c>
      <c r="DA83" s="3132">
        <f t="shared" si="254"/>
        <v>16077</v>
      </c>
      <c r="DB83" s="3132">
        <f t="shared" si="254"/>
        <v>16019</v>
      </c>
      <c r="DC83" s="2991">
        <f t="shared" si="254"/>
        <v>60010</v>
      </c>
      <c r="DD83" s="3132">
        <f>SUM(DD80:DD82)</f>
        <v>17220</v>
      </c>
      <c r="DE83" s="3132">
        <f>SUM(DE80:DE82)</f>
        <v>21778</v>
      </c>
      <c r="DF83" s="3132">
        <f>SUM(DF80:DF82)</f>
        <v>22601</v>
      </c>
      <c r="DG83" s="3132">
        <f t="shared" ref="DG83" si="255">SUM(DG80:DG82)</f>
        <v>7896</v>
      </c>
      <c r="DH83" s="2991">
        <f t="shared" si="254"/>
        <v>69495</v>
      </c>
      <c r="DI83" s="3132">
        <f>SUM(DI80:DI82)</f>
        <v>16836</v>
      </c>
      <c r="DJ83" s="3132">
        <f>SUM(DJ80:DJ82)</f>
        <v>13454</v>
      </c>
      <c r="DK83" s="3132">
        <f>SUM(DK80:DK82)</f>
        <v>17637</v>
      </c>
      <c r="DL83" s="3132">
        <f t="shared" ref="DL83" si="256">SUM(DL80:DL82)</f>
        <v>24837</v>
      </c>
      <c r="DM83" s="2991">
        <f>SUM(DM80:DM82)</f>
        <v>72764</v>
      </c>
      <c r="DN83" s="3132">
        <f>SUM(DN80:DN82)</f>
        <v>18953</v>
      </c>
      <c r="DO83" s="3132">
        <f>SUM(DO80:DO82)</f>
        <v>5301</v>
      </c>
      <c r="DP83" s="3132">
        <f>SUM(DP80:DP82)</f>
        <v>24461</v>
      </c>
      <c r="DQ83" s="3132">
        <f t="shared" ref="DQ83" ca="1" si="257">SUM(DQ80:DQ82)</f>
        <v>18686.263202274775</v>
      </c>
      <c r="DR83" s="2991">
        <f ca="1">SUM(DR80:DR82)</f>
        <v>67401.263202274771</v>
      </c>
      <c r="DS83" s="3132">
        <f t="shared" ref="DS83:DV83" ca="1" si="258">SUM(DS80:DS82)</f>
        <v>17585.90899083616</v>
      </c>
      <c r="DT83" s="3132">
        <f t="shared" ca="1" si="258"/>
        <v>2220.2760768517546</v>
      </c>
      <c r="DU83" s="3132">
        <f t="shared" ca="1" si="258"/>
        <v>20656.702984792078</v>
      </c>
      <c r="DV83" s="3132">
        <f t="shared" ca="1" si="258"/>
        <v>21080.536464319288</v>
      </c>
      <c r="DW83" s="2991">
        <f ca="1">SUM(DW80:DW82)</f>
        <v>61543.424516799249</v>
      </c>
      <c r="DX83" s="2991">
        <f t="shared" ca="1" si="254"/>
        <v>76462.544887271535</v>
      </c>
      <c r="DY83" s="2991">
        <f ca="1">SUM(DY80:DY82)</f>
        <v>90982.206546334841</v>
      </c>
      <c r="DZ83" s="2991">
        <f ca="1">SUM(DZ80:DZ82)</f>
        <v>107160.61804654478</v>
      </c>
      <c r="EA83" s="2991">
        <f ca="1">SUM(EA80:EA82)</f>
        <v>127421.70538633133</v>
      </c>
      <c r="EC83" s="1319">
        <f ca="1">(DX83/DM83)^(1/3)-1</f>
        <v>1.666388044953071E-2</v>
      </c>
      <c r="ED83" s="1319">
        <f ca="1">(DZ83/DM83)^(1/5)-1</f>
        <v>8.0497406791745885E-2</v>
      </c>
    </row>
    <row r="84" spans="1:134" s="240" customFormat="1" ht="11.25" customHeight="1">
      <c r="A84" s="1589" t="s">
        <v>215</v>
      </c>
      <c r="B84" s="1460" t="s">
        <v>116</v>
      </c>
      <c r="C84" s="346" t="s">
        <v>116</v>
      </c>
      <c r="D84" s="346" t="s">
        <v>116</v>
      </c>
      <c r="E84" s="346" t="s">
        <v>116</v>
      </c>
      <c r="F84" s="346" t="s">
        <v>116</v>
      </c>
      <c r="G84" s="1030">
        <f t="shared" ref="G84:N84" si="259">G83/B83-1</f>
        <v>5.5487270508624942</v>
      </c>
      <c r="H84" s="223" t="s">
        <v>116</v>
      </c>
      <c r="I84" s="223" t="s">
        <v>116</v>
      </c>
      <c r="J84" s="223" t="s">
        <v>116</v>
      </c>
      <c r="K84" s="223" t="s">
        <v>116</v>
      </c>
      <c r="L84" s="1030">
        <f t="shared" si="259"/>
        <v>0.85186377226490029</v>
      </c>
      <c r="M84" s="261">
        <f t="shared" si="259"/>
        <v>0.4585883703136957</v>
      </c>
      <c r="N84" s="239">
        <f t="shared" si="259"/>
        <v>1.0111303187456402</v>
      </c>
      <c r="O84" s="239">
        <f>O83/J83-1</f>
        <v>1.2329966236400751</v>
      </c>
      <c r="P84" s="239">
        <f>P83/K83-1</f>
        <v>9.2827432450419565</v>
      </c>
      <c r="Q84" s="1030">
        <f t="shared" ref="Q84:V84" si="260">Q83/L83-1</f>
        <v>2.0096824061030727</v>
      </c>
      <c r="R84" s="261">
        <f t="shared" si="260"/>
        <v>2.1738164710510786</v>
      </c>
      <c r="S84" s="239">
        <f t="shared" si="260"/>
        <v>6.0447121982115108</v>
      </c>
      <c r="T84" s="239">
        <f t="shared" si="260"/>
        <v>1.2040495050121023</v>
      </c>
      <c r="U84" s="239">
        <f t="shared" si="260"/>
        <v>0.33521133141542392</v>
      </c>
      <c r="V84" s="1030">
        <f t="shared" si="260"/>
        <v>1.4636539224282679</v>
      </c>
      <c r="W84" s="261">
        <f t="shared" ref="W84:AF84" si="261">W83/R83-1</f>
        <v>0.23922413236543605</v>
      </c>
      <c r="X84" s="239">
        <f t="shared" si="261"/>
        <v>-0.69691923040697412</v>
      </c>
      <c r="Y84" s="239">
        <f t="shared" si="261"/>
        <v>0.44573775814124339</v>
      </c>
      <c r="Z84" s="239">
        <f t="shared" si="261"/>
        <v>0.31883675106579434</v>
      </c>
      <c r="AA84" s="1030">
        <f t="shared" si="261"/>
        <v>3.485370449758074E-2</v>
      </c>
      <c r="AB84" s="235">
        <f t="shared" si="261"/>
        <v>0.2976476766430618</v>
      </c>
      <c r="AC84" s="223">
        <f t="shared" si="261"/>
        <v>3.6249699829079285</v>
      </c>
      <c r="AD84" s="223">
        <f t="shared" si="261"/>
        <v>1.1089450929697584</v>
      </c>
      <c r="AE84" s="223">
        <f t="shared" si="261"/>
        <v>0.86536030109012785</v>
      </c>
      <c r="AF84" s="1030">
        <f t="shared" si="261"/>
        <v>1.0102222672571544</v>
      </c>
      <c r="AG84" s="235">
        <f t="shared" ref="AG84:AP84" si="262">AG83/AB83-1</f>
        <v>0.50610650123575396</v>
      </c>
      <c r="AH84" s="223">
        <f t="shared" si="262"/>
        <v>0.63192793255053714</v>
      </c>
      <c r="AI84" s="223">
        <f t="shared" si="262"/>
        <v>0.60505835675165121</v>
      </c>
      <c r="AJ84" s="223">
        <f t="shared" si="262"/>
        <v>0.72844705713134661</v>
      </c>
      <c r="AK84" s="1030">
        <f t="shared" si="262"/>
        <v>0.62914187103603503</v>
      </c>
      <c r="AL84" s="235">
        <f t="shared" si="262"/>
        <v>1.1184211087510976</v>
      </c>
      <c r="AM84" s="223">
        <f t="shared" si="262"/>
        <v>0.37533605892365585</v>
      </c>
      <c r="AN84" s="223">
        <f t="shared" si="262"/>
        <v>0.46507639367621323</v>
      </c>
      <c r="AO84" s="223">
        <f t="shared" si="262"/>
        <v>0.43074288026766072</v>
      </c>
      <c r="AP84" s="1030">
        <f t="shared" si="262"/>
        <v>0.54817955389082829</v>
      </c>
      <c r="AQ84" s="235">
        <f t="shared" ref="AQ84:BD84" si="263">AQ83/AL83-1</f>
        <v>0.18031545881051403</v>
      </c>
      <c r="AR84" s="223">
        <f t="shared" si="263"/>
        <v>9.4755176953668752E-2</v>
      </c>
      <c r="AS84" s="223">
        <f t="shared" si="263"/>
        <v>-0.16169352869929798</v>
      </c>
      <c r="AT84" s="223">
        <f t="shared" si="263"/>
        <v>-0.60919043859110955</v>
      </c>
      <c r="AU84" s="1030">
        <f t="shared" si="263"/>
        <v>-0.16955765778580822</v>
      </c>
      <c r="AV84" s="223">
        <f t="shared" si="263"/>
        <v>-2.68656716417911E-2</v>
      </c>
      <c r="AW84" s="223">
        <f t="shared" si="263"/>
        <v>0.61715351149782482</v>
      </c>
      <c r="AX84" s="223">
        <f t="shared" si="263"/>
        <v>0.53593236261155464</v>
      </c>
      <c r="AY84" s="223">
        <f t="shared" si="263"/>
        <v>2.0305810397553516</v>
      </c>
      <c r="AZ84" s="1030">
        <f t="shared" si="263"/>
        <v>0.57516987542468856</v>
      </c>
      <c r="BA84" s="223">
        <f t="shared" si="263"/>
        <v>0.35276073619631898</v>
      </c>
      <c r="BB84" s="223">
        <f t="shared" si="263"/>
        <v>0.38547271329746358</v>
      </c>
      <c r="BC84" s="223">
        <f t="shared" si="263"/>
        <v>9.6330275229357776E-2</v>
      </c>
      <c r="BD84" s="223">
        <f t="shared" si="263"/>
        <v>0.23377060208543554</v>
      </c>
      <c r="BE84" s="1030">
        <f t="shared" ref="BE84:BP84" si="264">BE83/AZ83-1</f>
        <v>0.25325784128695972</v>
      </c>
      <c r="BF84" s="223">
        <f t="shared" si="264"/>
        <v>-0.21282798833819239</v>
      </c>
      <c r="BG84" s="223">
        <f t="shared" si="264"/>
        <v>-0.14174757281553396</v>
      </c>
      <c r="BH84" s="223">
        <f t="shared" si="264"/>
        <v>-0.2290097629009763</v>
      </c>
      <c r="BI84" s="223">
        <f t="shared" si="264"/>
        <v>-0.18675027262813526</v>
      </c>
      <c r="BJ84" s="1030">
        <f t="shared" si="264"/>
        <v>-0.1917533166009322</v>
      </c>
      <c r="BK84" s="560">
        <f t="shared" si="264"/>
        <v>-0.19149958847736626</v>
      </c>
      <c r="BL84" s="223">
        <f t="shared" si="264"/>
        <v>-5.9065804783451914E-2</v>
      </c>
      <c r="BM84" s="223">
        <f t="shared" si="264"/>
        <v>0.26722358900144716</v>
      </c>
      <c r="BN84" s="223">
        <f t="shared" si="264"/>
        <v>-8.460844787127042E-2</v>
      </c>
      <c r="BO84" s="1030">
        <f t="shared" si="264"/>
        <v>-1.4362044184189404E-2</v>
      </c>
      <c r="BP84" s="560">
        <f t="shared" si="264"/>
        <v>0.84166245897500658</v>
      </c>
      <c r="BQ84" s="223">
        <f t="shared" ref="BQ84:BZ84" si="265">BQ83/BL83-1</f>
        <v>0.55981086340082609</v>
      </c>
      <c r="BR84" s="223">
        <f t="shared" si="265"/>
        <v>3.4658194498610628E-2</v>
      </c>
      <c r="BS84" s="223">
        <f t="shared" si="265"/>
        <v>0.5794988158336607</v>
      </c>
      <c r="BT84" s="1030">
        <f t="shared" si="265"/>
        <v>0.44891993027641952</v>
      </c>
      <c r="BU84" s="560">
        <f t="shared" si="265"/>
        <v>0.4410348122392993</v>
      </c>
      <c r="BV84" s="223">
        <f t="shared" si="265"/>
        <v>0.53798722748293337</v>
      </c>
      <c r="BW84" s="223">
        <f t="shared" si="265"/>
        <v>1.0118653421633552</v>
      </c>
      <c r="BX84" s="561">
        <f t="shared" si="265"/>
        <v>0.46881520983074432</v>
      </c>
      <c r="BY84" s="1030">
        <f t="shared" si="265"/>
        <v>0.60435051351020408</v>
      </c>
      <c r="BZ84" s="223">
        <f t="shared" si="265"/>
        <v>0.35021097046413496</v>
      </c>
      <c r="CA84" s="223">
        <f t="shared" ref="CA84:CS84" si="266">CA83/BV83-1</f>
        <v>-0.34536082474226804</v>
      </c>
      <c r="CB84" s="223">
        <f t="shared" si="266"/>
        <v>-0.13125771499108485</v>
      </c>
      <c r="CC84" s="223">
        <f t="shared" si="266"/>
        <v>-5.9037095501183856E-2</v>
      </c>
      <c r="CD84" s="1030">
        <f t="shared" si="266"/>
        <v>-7.4233271375464649E-2</v>
      </c>
      <c r="CE84" s="223">
        <f t="shared" si="266"/>
        <v>-0.38309659090909087</v>
      </c>
      <c r="CF84" s="223">
        <f t="shared" si="266"/>
        <v>1.815398075240604E-2</v>
      </c>
      <c r="CG84" s="223">
        <f t="shared" si="266"/>
        <v>0.25165772023997479</v>
      </c>
      <c r="CH84" s="223">
        <f t="shared" si="266"/>
        <v>-9.2266398255326232E-3</v>
      </c>
      <c r="CI84" s="1030">
        <f t="shared" si="266"/>
        <v>-4.4965909566235807E-2</v>
      </c>
      <c r="CJ84" s="223">
        <f t="shared" si="266"/>
        <v>0.69514160718397422</v>
      </c>
      <c r="CK84" s="223">
        <f t="shared" si="266"/>
        <v>0.39656283566057993</v>
      </c>
      <c r="CL84" s="223">
        <f t="shared" si="266"/>
        <v>0.10166498486377407</v>
      </c>
      <c r="CM84" s="223">
        <f t="shared" si="266"/>
        <v>0.41804944124619037</v>
      </c>
      <c r="CN84" s="1030">
        <f t="shared" si="266"/>
        <v>0.35651716888577445</v>
      </c>
      <c r="CO84" s="223">
        <f t="shared" si="266"/>
        <v>-0.26025536538983973</v>
      </c>
      <c r="CP84" s="223">
        <f t="shared" si="266"/>
        <v>0.32318104906937384</v>
      </c>
      <c r="CQ84" s="223">
        <f t="shared" si="266"/>
        <v>0.3277994046256012</v>
      </c>
      <c r="CR84" s="223">
        <f t="shared" si="266"/>
        <v>1.0534925373134327</v>
      </c>
      <c r="CS84" s="1030">
        <f t="shared" si="266"/>
        <v>0.38328167376985656</v>
      </c>
      <c r="CT84" s="223">
        <f t="shared" ref="CT84:DP84" si="267">CT83/CO83-1</f>
        <v>1.4507895703268452</v>
      </c>
      <c r="CU84" s="223">
        <f t="shared" si="267"/>
        <v>0.90583585212741213</v>
      </c>
      <c r="CV84" s="223">
        <f t="shared" si="267"/>
        <v>0.61421057169957738</v>
      </c>
      <c r="CW84" s="223">
        <f t="shared" si="267"/>
        <v>7.8671938597511426E-2</v>
      </c>
      <c r="CX84" s="1030">
        <f t="shared" si="267"/>
        <v>0.56412949606703555</v>
      </c>
      <c r="CY84" s="223">
        <f t="shared" si="267"/>
        <v>0.14782348093204467</v>
      </c>
      <c r="CZ84" s="223">
        <f t="shared" si="267"/>
        <v>-0.23179211906795172</v>
      </c>
      <c r="DA84" s="223">
        <f t="shared" si="267"/>
        <v>-0.14118589743589749</v>
      </c>
      <c r="DB84" s="223">
        <f t="shared" si="267"/>
        <v>-0.13648859899735866</v>
      </c>
      <c r="DC84" s="1030">
        <f t="shared" si="267"/>
        <v>-0.10448874828388943</v>
      </c>
      <c r="DD84" s="223">
        <f t="shared" si="267"/>
        <v>0.12402088772845943</v>
      </c>
      <c r="DE84" s="223">
        <f t="shared" si="267"/>
        <v>0.72923614419564875</v>
      </c>
      <c r="DF84" s="223">
        <f t="shared" si="267"/>
        <v>0.40579710144927539</v>
      </c>
      <c r="DG84" s="223">
        <f t="shared" si="267"/>
        <v>-0.50708533616330609</v>
      </c>
      <c r="DH84" s="1030">
        <f t="shared" ref="DH84:DM84" si="268">DH83/DC83-1</f>
        <v>0.15805699050158317</v>
      </c>
      <c r="DI84" s="223">
        <f t="shared" si="267"/>
        <v>-2.2299651567944223E-2</v>
      </c>
      <c r="DJ84" s="223">
        <f t="shared" si="267"/>
        <v>-0.3822205895858205</v>
      </c>
      <c r="DK84" s="223">
        <f t="shared" si="267"/>
        <v>-0.21963629927879302</v>
      </c>
      <c r="DL84" s="223">
        <f t="shared" si="267"/>
        <v>2.1455167173252279</v>
      </c>
      <c r="DM84" s="1030">
        <f t="shared" si="268"/>
        <v>4.7039355349305811E-2</v>
      </c>
      <c r="DN84" s="223">
        <f t="shared" si="267"/>
        <v>0.1257424566405323</v>
      </c>
      <c r="DO84" s="223">
        <f t="shared" si="267"/>
        <v>-0.60599078341013823</v>
      </c>
      <c r="DP84" s="223">
        <f t="shared" si="267"/>
        <v>0.38691387424165113</v>
      </c>
      <c r="DQ84" s="223">
        <f t="shared" ref="DQ84:DR84" ca="1" si="269">DQ83/DL83-1</f>
        <v>-0.24764411151609389</v>
      </c>
      <c r="DR84" s="1030">
        <f t="shared" ca="1" si="269"/>
        <v>-7.3700412260530368E-2</v>
      </c>
      <c r="DS84" s="223">
        <f t="shared" ref="DS84" ca="1" si="270">DS83/DN83-1</f>
        <v>-7.2130586670386743E-2</v>
      </c>
      <c r="DT84" s="223">
        <f t="shared" ref="DT84" ca="1" si="271">DT83/DO83-1</f>
        <v>-0.58115901210115928</v>
      </c>
      <c r="DU84" s="223">
        <f t="shared" ref="DU84" ca="1" si="272">DU83/DP83-1</f>
        <v>-0.15552499959968613</v>
      </c>
      <c r="DV84" s="223">
        <f t="shared" ref="DV84:DW84" ca="1" si="273">DV83/DQ83-1</f>
        <v>0.1281301261855845</v>
      </c>
      <c r="DW84" s="1030">
        <f t="shared" ca="1" si="273"/>
        <v>-8.6909924342157163E-2</v>
      </c>
      <c r="DX84" s="1030">
        <f ca="1">DX83/DW83-1</f>
        <v>0.24241615554558349</v>
      </c>
      <c r="DY84" s="1030">
        <f ca="1">DY83/DX83-1</f>
        <v>0.1898924719347177</v>
      </c>
      <c r="DZ84" s="1030">
        <f ca="1">DZ83/DY83-1</f>
        <v>0.17781951124663808</v>
      </c>
      <c r="EA84" s="1030">
        <f ca="1">EA83/DZ83-1</f>
        <v>0.18907213964542668</v>
      </c>
      <c r="EC84" s="4327"/>
      <c r="ED84" s="4327"/>
    </row>
    <row r="85" spans="1:134" s="350" customFormat="1" ht="11.25" customHeight="1">
      <c r="A85" s="1587" t="s">
        <v>240</v>
      </c>
      <c r="B85" s="1461" t="e">
        <f>B83/IS!B38</f>
        <v>#DIV/0!</v>
      </c>
      <c r="C85" s="348"/>
      <c r="D85" s="348"/>
      <c r="E85" s="348"/>
      <c r="F85" s="348"/>
      <c r="G85" s="1461" t="e">
        <f>G83/IS!G38</f>
        <v>#DIV/0!</v>
      </c>
      <c r="H85" s="348" t="e">
        <f>H83/IS!H38</f>
        <v>#DIV/0!</v>
      </c>
      <c r="I85" s="348" t="e">
        <f>I83/IS!I38</f>
        <v>#DIV/0!</v>
      </c>
      <c r="J85" s="348" t="e">
        <f>J83/IS!J38</f>
        <v>#DIV/0!</v>
      </c>
      <c r="K85" s="348">
        <f>K83/IS!K38</f>
        <v>2.2416159446234568E-2</v>
      </c>
      <c r="L85" s="1461" t="e">
        <f>L83/IS!L38</f>
        <v>#DIV/0!</v>
      </c>
      <c r="M85" s="347" t="e">
        <f>M83/IS!M38</f>
        <v>#DIV/0!</v>
      </c>
      <c r="N85" s="348" t="e">
        <f>N83/IS!N38</f>
        <v>#DIV/0!</v>
      </c>
      <c r="O85" s="348" t="e">
        <f>O83/IS!O38</f>
        <v>#DIV/0!</v>
      </c>
      <c r="P85" s="348">
        <f>P83/IS!P38</f>
        <v>8.2723958110249698E-2</v>
      </c>
      <c r="Q85" s="1461">
        <f>Q83/IS!Q38</f>
        <v>0.16451225000000003</v>
      </c>
      <c r="R85" s="347">
        <f>R83/IS!R38</f>
        <v>9.0263636363636393E-2</v>
      </c>
      <c r="S85" s="348">
        <f>S83/IS!S38</f>
        <v>0.10155565217391301</v>
      </c>
      <c r="T85" s="348">
        <f>T83/IS!T38</f>
        <v>7.4405537117170101E-2</v>
      </c>
      <c r="U85" s="348">
        <f>U83/IS!U38</f>
        <v>9.3504371512874315E-2</v>
      </c>
      <c r="V85" s="1461">
        <f>V83/IS!V38</f>
        <v>0.32595290465524929</v>
      </c>
      <c r="W85" s="347">
        <f>W83/IS!W38</f>
        <v>9.3228189197275504E-2</v>
      </c>
      <c r="X85" s="348">
        <f>X83/IS!X38</f>
        <v>2.7507275772164309E-2</v>
      </c>
      <c r="Y85" s="348">
        <f>Y83/IS!Y38</f>
        <v>9.7520576170870857E-2</v>
      </c>
      <c r="Z85" s="348">
        <f>Z83/IS!Z38</f>
        <v>0.10601625636110006</v>
      </c>
      <c r="AA85" s="1461">
        <f>AA83/IS!AA38</f>
        <v>0.31752800142325582</v>
      </c>
      <c r="AB85" s="349">
        <f>AB83/IS!AB38</f>
        <v>0.11691644761547125</v>
      </c>
      <c r="AC85" s="119">
        <f>AC83/IS!AC38</f>
        <v>0.11917502320417855</v>
      </c>
      <c r="AD85" s="119">
        <f>AD83/IS!AD38</f>
        <v>0.18884729177741094</v>
      </c>
      <c r="AE85" s="119">
        <f>AE83/IS!AE38</f>
        <v>0.18604881768243381</v>
      </c>
      <c r="AF85" s="1461">
        <f>AF83/IS!AF38</f>
        <v>0.58835115068454902</v>
      </c>
      <c r="AG85" s="349">
        <f>AG83/IS!AG38</f>
        <v>0.16325277296179477</v>
      </c>
      <c r="AH85" s="119">
        <f>AH83/IS!AH38</f>
        <v>0.18445574837834397</v>
      </c>
      <c r="AI85" s="119">
        <f>AI83/IS!AI38</f>
        <v>0.28513399260458194</v>
      </c>
      <c r="AJ85" s="119">
        <f>AJ83/IS!AJ38</f>
        <v>0.30055032355598971</v>
      </c>
      <c r="AK85" s="1461">
        <f>AK83/IS!AK38</f>
        <v>0.90331790098085329</v>
      </c>
      <c r="AL85" s="349">
        <f>AL83/IS!AL38</f>
        <v>0.32040540191847444</v>
      </c>
      <c r="AM85" s="119">
        <f>AM83/IS!AM38</f>
        <v>0.23661591118380801</v>
      </c>
      <c r="AN85" s="119">
        <f>AN83/IS!AN38</f>
        <v>0.40509986952041571</v>
      </c>
      <c r="AO85" s="119">
        <f>AO83/IS!AO38</f>
        <v>0.40545730313666523</v>
      </c>
      <c r="AP85" s="1461">
        <f>AP83/IS!AP38</f>
        <v>1.3507653952424807</v>
      </c>
      <c r="AQ85" s="349">
        <f>AQ83/IS!AQ38</f>
        <v>0.37166884860319077</v>
      </c>
      <c r="AR85" s="119">
        <f>AR83/IS!AR38</f>
        <v>0.25412539169109472</v>
      </c>
      <c r="AS85" s="119">
        <f>AS83/IS!AS38</f>
        <v>0.33482739639852166</v>
      </c>
      <c r="AT85" s="119">
        <f>AT83/IS!AT38</f>
        <v>0.15511843395212044</v>
      </c>
      <c r="AU85" s="1461">
        <f>AU83/IS!AU38</f>
        <v>1.1128194787518273</v>
      </c>
      <c r="AV85" s="119">
        <f>AV83/IS!AV38</f>
        <v>0.35877908201608055</v>
      </c>
      <c r="AW85" s="119">
        <f>AW83/IS!AW38</f>
        <v>0.40940788479935547</v>
      </c>
      <c r="AX85" s="119">
        <f>AX83/IS!AX38</f>
        <v>0.51599424358715418</v>
      </c>
      <c r="AY85" s="119">
        <f>AY83/IS!AY38</f>
        <v>0.46816870135545313</v>
      </c>
      <c r="AZ85" s="1461">
        <f>AZ83/IS!AZ38</f>
        <v>1.7538246206903074</v>
      </c>
      <c r="BA85" s="119">
        <f>BA83/IS!BA38</f>
        <v>0.48456061481276841</v>
      </c>
      <c r="BB85" s="119">
        <f>BB83/IS!BB38</f>
        <v>0.56372870966329525</v>
      </c>
      <c r="BC85" s="119">
        <f>BC83/IS!BC38</f>
        <v>0.55639536507916798</v>
      </c>
      <c r="BD85" s="119">
        <f>BD83/IS!BD38</f>
        <v>0.5741719666955214</v>
      </c>
      <c r="BE85" s="1461">
        <f>BE83/IS!BE38</f>
        <v>2.1612917224619355</v>
      </c>
      <c r="BF85" s="119">
        <f>BF83/IS!BF38</f>
        <v>0.37676054154288874</v>
      </c>
      <c r="BG85" s="119">
        <f>BG83/IS!BG38</f>
        <v>0.4798729437894142</v>
      </c>
      <c r="BH85" s="119">
        <f>BH83/IS!BH38</f>
        <v>0.42453062026934041</v>
      </c>
      <c r="BI85" s="119">
        <f>BI83/IS!BI38</f>
        <v>0.46140508133366642</v>
      </c>
      <c r="BJ85" s="1461">
        <f>BJ83/IS!BJ38</f>
        <v>1.7266524298140529</v>
      </c>
      <c r="BK85" s="572">
        <f>BK83/IS!BK38</f>
        <v>0.30129433559484226</v>
      </c>
      <c r="BL85" s="119">
        <f>BL83/IS!BL38</f>
        <v>0.44454851132577361</v>
      </c>
      <c r="BM85" s="119">
        <f>BM83/IS!BM38</f>
        <v>0.53230770633613156</v>
      </c>
      <c r="BN85" s="119">
        <f>BN83/IS!BN38</f>
        <v>0.41725058447809543</v>
      </c>
      <c r="BO85" s="1461">
        <f>BO83/IS!BO38</f>
        <v>33.650148423679937</v>
      </c>
      <c r="BP85" s="572">
        <f>BP83/IS!BP38</f>
        <v>10.938058544165084</v>
      </c>
      <c r="BQ85" s="119">
        <f>BQ83/IS!BQ38</f>
        <v>13.623790179830429</v>
      </c>
      <c r="BR85" s="119">
        <f>BR83/IS!BR38</f>
        <v>10.818653220967411</v>
      </c>
      <c r="BS85" s="119">
        <f>BS83/IS!BS38</f>
        <v>12.979040339447192</v>
      </c>
      <c r="BT85" s="1461">
        <f>BT83/IS!BT38</f>
        <v>1.2189092676957374</v>
      </c>
      <c r="BU85" s="572">
        <f>BU83/IS!BU38</f>
        <v>0.39405307851133492</v>
      </c>
      <c r="BV85" s="119">
        <f>BV83/IS!BV38</f>
        <v>0.52383038216216538</v>
      </c>
      <c r="BW85" s="119">
        <f>BW83/IS!BW38</f>
        <v>0.54414183660370719</v>
      </c>
      <c r="BX85" s="573">
        <f>BX83/IS!BX38</f>
        <v>0.47659529648967058</v>
      </c>
      <c r="BY85" s="1461">
        <f>BY83/IS!BY38</f>
        <v>76.705785904598955</v>
      </c>
      <c r="BZ85" s="119">
        <f>BZ83/IS!BZ38</f>
        <v>20.807656271705429</v>
      </c>
      <c r="CA85" s="119">
        <f>CA83/IS!CA38</f>
        <v>13.477382935133461</v>
      </c>
      <c r="CB85" s="119">
        <f>CB83/IS!CB38</f>
        <v>18.57461664560136</v>
      </c>
      <c r="CC85" s="119">
        <f>CC83/IS!CC38</f>
        <v>17.593957666476292</v>
      </c>
      <c r="CD85" s="1461">
        <f>CD83/IS!CD38</f>
        <v>1.7752916120868643</v>
      </c>
      <c r="CE85" s="119">
        <f>CE83/IS!CE38</f>
        <v>0.32090785223017287</v>
      </c>
      <c r="CF85" s="119">
        <f>CF83/IS!CF38</f>
        <v>0.343051277138267</v>
      </c>
      <c r="CG85" s="119">
        <f>CG83/IS!CG38</f>
        <v>0.58122655812412216</v>
      </c>
      <c r="CH85" s="119">
        <f>CH83/IS!CH38</f>
        <v>0.43579125702091737</v>
      </c>
      <c r="CI85" s="1461">
        <f>CI83/IS!CI38</f>
        <v>1.6660537176815351</v>
      </c>
      <c r="CJ85" s="119">
        <f>CJ83/IS!CJ38</f>
        <v>0.53630513299813654</v>
      </c>
      <c r="CK85" s="119">
        <f>CK83/IS!CK38</f>
        <v>0.4723087988491968</v>
      </c>
      <c r="CL85" s="119">
        <f>CL83/IS!CL38</f>
        <v>0.63428570598598966</v>
      </c>
      <c r="CM85" s="119">
        <f>CM83/IS!CM38</f>
        <v>0.60947210619005332</v>
      </c>
      <c r="CN85" s="1461">
        <f>CN83/IS!CN38</f>
        <v>2.2459818592657266</v>
      </c>
      <c r="CO85" s="119">
        <f>CO83/IS!CO38</f>
        <v>0.39413615717970463</v>
      </c>
      <c r="CP85" s="119">
        <f>CP83/IS!CP38</f>
        <v>0.61945589851350746</v>
      </c>
      <c r="CQ85" s="119">
        <f>CQ83/IS!CQ38</f>
        <v>0.83189268677594064</v>
      </c>
      <c r="CR85" s="119">
        <f>CR83/IS!CR38</f>
        <v>1.2409622905632602</v>
      </c>
      <c r="CS85" s="1461">
        <f>CS83/IS!CS38</f>
        <v>3.0632293786312523</v>
      </c>
      <c r="CT85" s="119">
        <f>CT83/IS!CT38</f>
        <v>0.95767076560564957</v>
      </c>
      <c r="CU85" s="119">
        <f>CU83/IS!CU38</f>
        <v>1.1736154859400949</v>
      </c>
      <c r="CV85" s="119">
        <f>CV83/IS!CV38</f>
        <v>1.3367208352791475</v>
      </c>
      <c r="CW85" s="119">
        <f>CW83/IS!CW38</f>
        <v>1.327525454196758</v>
      </c>
      <c r="CX85" s="1461">
        <f>CX83/IS!CX38</f>
        <v>4.7726897196155189</v>
      </c>
      <c r="CY85" s="119">
        <f>CY83/IS!CY38</f>
        <v>1.0888368635243915</v>
      </c>
      <c r="CZ85" s="119">
        <f>CZ83/IS!CZ38</f>
        <v>0.89482120628207973</v>
      </c>
      <c r="DA85" s="119">
        <f>DA83/IS!DA38</f>
        <v>1.1572781037828748</v>
      </c>
      <c r="DB85" s="119">
        <f>DB83/IS!DB38</f>
        <v>1.1383857506708508</v>
      </c>
      <c r="DC85" s="1461">
        <f>DC83/IS!DC$38</f>
        <v>4.2552195752863993</v>
      </c>
      <c r="DD85" s="119">
        <f>DD83/IS!DD$38</f>
        <v>1.2243209000536086</v>
      </c>
      <c r="DE85" s="119">
        <f>DE83/IS!DE$38</f>
        <v>1.547042802606772</v>
      </c>
      <c r="DF85" s="119">
        <f>DF83/IS!DF$38</f>
        <v>1.612286506329728</v>
      </c>
      <c r="DG85" s="119">
        <f>DG83/IS!DG$38</f>
        <v>0.56136579102561235</v>
      </c>
      <c r="DH85" s="1461">
        <f>DH83/IS!DH$38</f>
        <v>4.9577031128054907</v>
      </c>
      <c r="DI85" s="119">
        <f>DI83/IS!DI$38</f>
        <v>1.2026504598873642</v>
      </c>
      <c r="DJ85" s="119">
        <f>DJ83/IS!DJ$38</f>
        <v>0.96347889355327065</v>
      </c>
      <c r="DK85" s="119">
        <f>DK83/IS!DK$38</f>
        <v>1.2684948374122906</v>
      </c>
      <c r="DL85" s="119">
        <f>DL83/IS!DL$38</f>
        <v>1.777737377005296</v>
      </c>
      <c r="DM85" s="1461">
        <f>DM83/IS!DM$38</f>
        <v>5.2554866836061809</v>
      </c>
      <c r="DN85" s="119">
        <f>DN83/IS!DN$38</f>
        <v>1.3793550152541978</v>
      </c>
      <c r="DO85" s="119">
        <f>DO83/IS!DO$38</f>
        <v>0.38645420069373665</v>
      </c>
      <c r="DP85" s="119">
        <f>DP83/IS!DP$38</f>
        <v>1.7907840619413178</v>
      </c>
      <c r="DQ85" s="119">
        <f ca="1">DQ83/IS!DQ$38</f>
        <v>1.3599351119568879</v>
      </c>
      <c r="DR85" s="1461">
        <f ca="1">DR83/IS!DR$38</f>
        <v>4.9409272056922795</v>
      </c>
      <c r="DS85" s="119">
        <f ca="1">DS83/IS!DS$38</f>
        <v>1.2938197817899155</v>
      </c>
      <c r="DT85" s="119">
        <f ca="1">DT83/IS!DT$38</f>
        <v>0.16409561866346359</v>
      </c>
      <c r="DU85" s="119">
        <f ca="1">DU83/IS!DU$38</f>
        <v>1.5358303346497344</v>
      </c>
      <c r="DV85" s="119">
        <f ca="1">DV83/IS!DV$38</f>
        <v>1.5553602647527141</v>
      </c>
      <c r="DW85" s="1461">
        <f ca="1">DW83/IS!DW$38</f>
        <v>4.6096421484500247</v>
      </c>
      <c r="DX85" s="1461">
        <f ca="1">DX83/IS!DT$38</f>
        <v>5.6511749771456179</v>
      </c>
      <c r="DY85" s="1461">
        <f ca="1">DY83/IS!DU$38</f>
        <v>6.764546734786447</v>
      </c>
      <c r="DZ85" s="1461">
        <f ca="1">DZ83/IS!DV$38</f>
        <v>7.9065050141417457</v>
      </c>
      <c r="EA85" s="1461">
        <f ca="1">EA83/IS!DW$38</f>
        <v>9.543967830647496</v>
      </c>
      <c r="EB85" s="348"/>
      <c r="EC85" s="4328"/>
      <c r="ED85" s="4328"/>
    </row>
    <row r="86" spans="1:134" s="84" customFormat="1" ht="11.25" customHeight="1">
      <c r="A86" s="1588"/>
      <c r="B86" s="1039"/>
      <c r="C86" s="77"/>
      <c r="D86" s="77"/>
      <c r="E86" s="77"/>
      <c r="F86" s="77"/>
      <c r="G86" s="1039"/>
      <c r="H86" s="77"/>
      <c r="I86" s="77"/>
      <c r="J86" s="77"/>
      <c r="K86" s="77"/>
      <c r="L86" s="1039"/>
      <c r="M86" s="79"/>
      <c r="N86" s="77"/>
      <c r="O86" s="77"/>
      <c r="P86" s="77"/>
      <c r="Q86" s="1039"/>
      <c r="R86" s="79"/>
      <c r="S86" s="77"/>
      <c r="T86" s="77"/>
      <c r="U86" s="77"/>
      <c r="V86" s="1039"/>
      <c r="W86" s="79"/>
      <c r="X86" s="77"/>
      <c r="Y86" s="77"/>
      <c r="Z86" s="78"/>
      <c r="AA86" s="1039"/>
      <c r="AB86" s="144"/>
      <c r="AC86" s="42"/>
      <c r="AD86" s="42"/>
      <c r="AE86" s="63"/>
      <c r="AF86" s="1039"/>
      <c r="AG86" s="144"/>
      <c r="AH86" s="42"/>
      <c r="AI86" s="42"/>
      <c r="AJ86" s="63"/>
      <c r="AK86" s="1039"/>
      <c r="AL86" s="144"/>
      <c r="AM86" s="42"/>
      <c r="AN86" s="42"/>
      <c r="AO86" s="63"/>
      <c r="AP86" s="1039"/>
      <c r="AQ86" s="144"/>
      <c r="AR86" s="42"/>
      <c r="AS86" s="42"/>
      <c r="AT86" s="63"/>
      <c r="AU86" s="1039"/>
      <c r="AV86" s="42"/>
      <c r="AW86" s="42"/>
      <c r="AX86" s="42"/>
      <c r="AY86" s="42"/>
      <c r="AZ86" s="1039"/>
      <c r="BA86" s="42"/>
      <c r="BB86" s="42"/>
      <c r="BC86" s="42"/>
      <c r="BD86" s="42"/>
      <c r="BE86" s="1039"/>
      <c r="BF86" s="42"/>
      <c r="BG86" s="42"/>
      <c r="BH86" s="42"/>
      <c r="BI86" s="42"/>
      <c r="BJ86" s="1039"/>
      <c r="BK86" s="547"/>
      <c r="BL86" s="42"/>
      <c r="BM86" s="42"/>
      <c r="BN86" s="548"/>
      <c r="BO86" s="1039"/>
      <c r="BP86" s="547"/>
      <c r="BQ86" s="42"/>
      <c r="BR86" s="42"/>
      <c r="BS86" s="548"/>
      <c r="BT86" s="1039"/>
      <c r="BU86" s="547"/>
      <c r="BV86" s="42"/>
      <c r="BW86" s="42"/>
      <c r="BX86" s="548"/>
      <c r="BY86" s="1039"/>
      <c r="BZ86" s="42"/>
      <c r="CA86" s="42"/>
      <c r="CB86" s="42"/>
      <c r="CC86" s="42"/>
      <c r="CD86" s="1039"/>
      <c r="CE86" s="42"/>
      <c r="CF86" s="42"/>
      <c r="CG86" s="42"/>
      <c r="CH86" s="42"/>
      <c r="CI86" s="1039"/>
      <c r="CJ86" s="42"/>
      <c r="CK86" s="42"/>
      <c r="CL86" s="42"/>
      <c r="CM86" s="42"/>
      <c r="CN86" s="1039"/>
      <c r="CO86" s="42"/>
      <c r="CP86" s="42"/>
      <c r="CQ86" s="42"/>
      <c r="CR86" s="42"/>
      <c r="CS86" s="1039"/>
      <c r="CT86" s="42"/>
      <c r="CU86" s="42"/>
      <c r="CV86" s="42"/>
      <c r="CW86" s="42"/>
      <c r="CX86" s="1039"/>
      <c r="CY86" s="42"/>
      <c r="CZ86" s="42"/>
      <c r="DA86" s="42"/>
      <c r="DB86" s="42"/>
      <c r="DC86" s="2942"/>
      <c r="DD86" s="42"/>
      <c r="DE86" s="42"/>
      <c r="DF86" s="42"/>
      <c r="DG86" s="42"/>
      <c r="DH86" s="2942"/>
      <c r="DI86" s="42"/>
      <c r="DJ86" s="42"/>
      <c r="DK86" s="42"/>
      <c r="DL86" s="42"/>
      <c r="DM86" s="2942"/>
      <c r="DN86" s="42"/>
      <c r="DO86" s="42"/>
      <c r="DP86" s="42"/>
      <c r="DQ86" s="42"/>
      <c r="DR86" s="2942"/>
      <c r="DS86" s="42"/>
      <c r="DT86" s="42"/>
      <c r="DU86" s="42"/>
      <c r="DV86" s="42"/>
      <c r="DW86" s="2942"/>
      <c r="DX86" s="1039"/>
      <c r="DY86" s="1039"/>
      <c r="DZ86" s="1039"/>
      <c r="EA86" s="1039"/>
      <c r="EB86" s="77"/>
      <c r="EC86" s="4320"/>
      <c r="ED86" s="4320"/>
    </row>
    <row r="87" spans="1:134" s="234" customFormat="1" ht="11.25" customHeight="1">
      <c r="A87" s="1588" t="s">
        <v>239</v>
      </c>
      <c r="B87" s="1028">
        <f>B83/B80</f>
        <v>0.57991572581942186</v>
      </c>
      <c r="C87" s="211"/>
      <c r="D87" s="211"/>
      <c r="E87" s="211"/>
      <c r="F87" s="211"/>
      <c r="G87" s="1028">
        <f t="shared" ref="G87:AF87" si="274">G83/G80</f>
        <v>0.76042250346182327</v>
      </c>
      <c r="H87" s="211">
        <f t="shared" si="274"/>
        <v>0.73895298503507134</v>
      </c>
      <c r="I87" s="211">
        <f t="shared" si="274"/>
        <v>0.5153963986494936</v>
      </c>
      <c r="J87" s="211">
        <f t="shared" si="274"/>
        <v>0.54636068261872972</v>
      </c>
      <c r="K87" s="344">
        <f t="shared" si="274"/>
        <v>0.34724934425661169</v>
      </c>
      <c r="L87" s="1028">
        <f t="shared" si="274"/>
        <v>0.55290621957541497</v>
      </c>
      <c r="M87" s="262">
        <f t="shared" si="274"/>
        <v>0.58645004686486102</v>
      </c>
      <c r="N87" s="211">
        <f t="shared" si="274"/>
        <v>0.40793188934479174</v>
      </c>
      <c r="O87" s="211">
        <f t="shared" si="274"/>
        <v>0.67428453950818767</v>
      </c>
      <c r="P87" s="211">
        <f t="shared" si="274"/>
        <v>0.8394988277546408</v>
      </c>
      <c r="Q87" s="1028">
        <f t="shared" si="274"/>
        <v>0.67351009780521653</v>
      </c>
      <c r="R87" s="262">
        <f t="shared" si="274"/>
        <v>0.73114598713799661</v>
      </c>
      <c r="S87" s="211">
        <f t="shared" si="274"/>
        <v>0.74790552320694692</v>
      </c>
      <c r="T87" s="211">
        <f t="shared" si="274"/>
        <v>0.54768711721894336</v>
      </c>
      <c r="U87" s="344">
        <f t="shared" si="274"/>
        <v>0.626642913336796</v>
      </c>
      <c r="V87" s="1028">
        <f t="shared" si="274"/>
        <v>0.6591813035745796</v>
      </c>
      <c r="W87" s="262">
        <f>W83/W80</f>
        <v>0.5817939777207678</v>
      </c>
      <c r="X87" s="211">
        <f>X83/X80</f>
        <v>0.16843725686604299</v>
      </c>
      <c r="Y87" s="211">
        <f>Y83/Y80</f>
        <v>0.50989720448779496</v>
      </c>
      <c r="Z87" s="344">
        <f>Z83/Z80</f>
        <v>0.59745233279973298</v>
      </c>
      <c r="AA87" s="1028">
        <f t="shared" si="274"/>
        <v>0.46856758873321885</v>
      </c>
      <c r="AB87" s="210">
        <f>AB83/AB80</f>
        <v>0.51057896506202893</v>
      </c>
      <c r="AC87" s="209">
        <f>AC83/AC80</f>
        <v>0.53241365965027243</v>
      </c>
      <c r="AD87" s="209">
        <f>AD83/AD80</f>
        <v>0.66150425539082525</v>
      </c>
      <c r="AE87" s="345">
        <f>AE83/AE80</f>
        <v>0.59946458184704476</v>
      </c>
      <c r="AF87" s="1028">
        <f t="shared" si="274"/>
        <v>0.58395334703510227</v>
      </c>
      <c r="AG87" s="210">
        <f t="shared" ref="AG87:AP87" si="275">AG83/AG80</f>
        <v>0.52704523039487039</v>
      </c>
      <c r="AH87" s="209">
        <f t="shared" si="275"/>
        <v>0.60506445077835802</v>
      </c>
      <c r="AI87" s="209">
        <f t="shared" si="275"/>
        <v>0.79335849933957536</v>
      </c>
      <c r="AJ87" s="345">
        <f t="shared" si="275"/>
        <v>0.82667663698658866</v>
      </c>
      <c r="AK87" s="1028">
        <f t="shared" si="275"/>
        <v>0.69966837542927052</v>
      </c>
      <c r="AL87" s="210">
        <f t="shared" si="275"/>
        <v>0.88319466622094034</v>
      </c>
      <c r="AM87" s="209">
        <f t="shared" si="275"/>
        <v>0.91334860412684282</v>
      </c>
      <c r="AN87" s="209">
        <f t="shared" si="275"/>
        <v>0.93164337415163634</v>
      </c>
      <c r="AO87" s="345">
        <f t="shared" si="275"/>
        <v>0.91896229623606684</v>
      </c>
      <c r="AP87" s="1028">
        <f t="shared" si="275"/>
        <v>0.91306668235260768</v>
      </c>
      <c r="AQ87" s="210">
        <f t="shared" ref="AQ87:BE87" si="276">AQ83/AQ80</f>
        <v>0.90750773993808054</v>
      </c>
      <c r="AR87" s="209">
        <f t="shared" si="276"/>
        <v>0.77170263788968829</v>
      </c>
      <c r="AS87" s="209">
        <f t="shared" si="276"/>
        <v>0.73769923769923773</v>
      </c>
      <c r="AT87" s="345">
        <f t="shared" si="276"/>
        <v>0.27821894498014749</v>
      </c>
      <c r="AU87" s="1028">
        <f t="shared" si="276"/>
        <v>0.63748759137261979</v>
      </c>
      <c r="AV87" s="209">
        <f t="shared" si="276"/>
        <v>0.7194199243379571</v>
      </c>
      <c r="AW87" s="209">
        <f>AW83/AW80</f>
        <v>0.73941460642227907</v>
      </c>
      <c r="AX87" s="209">
        <f>AX83/AX80</f>
        <v>0.82784810126582276</v>
      </c>
      <c r="AY87" s="209">
        <f>AY83/AY80</f>
        <v>0.75764525993883791</v>
      </c>
      <c r="AZ87" s="1028">
        <f t="shared" si="276"/>
        <v>0.76395468589083415</v>
      </c>
      <c r="BA87" s="209">
        <f>BA83/BA80</f>
        <v>0.83567948023822414</v>
      </c>
      <c r="BB87" s="209">
        <f>BB83/BB80</f>
        <v>0.82324731673898155</v>
      </c>
      <c r="BC87" s="209">
        <f>BC83/BC80</f>
        <v>0.80435270361229527</v>
      </c>
      <c r="BD87" s="209">
        <f>BD83/BD80</f>
        <v>0.78242320819112632</v>
      </c>
      <c r="BE87" s="1028">
        <f t="shared" si="276"/>
        <v>0.80990823556742941</v>
      </c>
      <c r="BF87" s="209">
        <f t="shared" ref="BF87:CH87" si="277">BF83/BF80</f>
        <v>0.66886870355078443</v>
      </c>
      <c r="BG87" s="209">
        <f t="shared" si="277"/>
        <v>0.65759829968119021</v>
      </c>
      <c r="BH87" s="209">
        <f t="shared" si="277"/>
        <v>0.54700178112012665</v>
      </c>
      <c r="BI87" s="209">
        <f t="shared" si="277"/>
        <v>0.5694921725849561</v>
      </c>
      <c r="BJ87" s="1028">
        <f t="shared" si="277"/>
        <v>0.60502442428471737</v>
      </c>
      <c r="BK87" s="556">
        <f t="shared" si="277"/>
        <v>0.45587304415944102</v>
      </c>
      <c r="BL87" s="209">
        <f t="shared" si="277"/>
        <v>0.52386525537881101</v>
      </c>
      <c r="BM87" s="209">
        <f>BM83/BM80</f>
        <v>0.5916957986730873</v>
      </c>
      <c r="BN87" s="209">
        <f>BN83/BN80</f>
        <v>0.43469933598265287</v>
      </c>
      <c r="BO87" s="1028">
        <f t="shared" si="277"/>
        <v>0.503401408077915</v>
      </c>
      <c r="BP87" s="556">
        <f>BP83/BP80</f>
        <v>0.55280432177725924</v>
      </c>
      <c r="BQ87" s="209">
        <f>BQ83/BQ80</f>
        <v>0.64356575963718821</v>
      </c>
      <c r="BR87" s="209">
        <f>BR83/BR80</f>
        <v>0.60329615448643248</v>
      </c>
      <c r="BS87" s="209">
        <f>BS83/BS80</f>
        <v>0.67233047544816837</v>
      </c>
      <c r="BT87" s="1028">
        <f t="shared" si="277"/>
        <v>0.61853318057342699</v>
      </c>
      <c r="BU87" s="556">
        <f t="shared" ref="BU87:BZ87" si="278">BU83/BU80</f>
        <v>0.68085662052755291</v>
      </c>
      <c r="BV87" s="209">
        <f t="shared" si="278"/>
        <v>0.76578947368421058</v>
      </c>
      <c r="BW87" s="209">
        <f t="shared" si="278"/>
        <v>0.74057897409852713</v>
      </c>
      <c r="BX87" s="557">
        <f t="shared" si="278"/>
        <v>0.67300541803888236</v>
      </c>
      <c r="BY87" s="1028">
        <f t="shared" si="278"/>
        <v>0.71661671661671666</v>
      </c>
      <c r="BZ87" s="209">
        <f t="shared" si="278"/>
        <v>0.73732718894009219</v>
      </c>
      <c r="CA87" s="209">
        <f>CA83/CA80</f>
        <v>0.61758746454140212</v>
      </c>
      <c r="CB87" s="209">
        <f>CB83/CB80</f>
        <v>0.64161264181523503</v>
      </c>
      <c r="CC87" s="209">
        <f>CC83/CC80</f>
        <v>0.58054148811842621</v>
      </c>
      <c r="CD87" s="1028">
        <f t="shared" si="277"/>
        <v>0.6445498908090912</v>
      </c>
      <c r="CE87" s="209">
        <f t="shared" si="277"/>
        <v>0.3730458684074901</v>
      </c>
      <c r="CF87" s="209">
        <f t="shared" si="277"/>
        <v>0.45943545203316227</v>
      </c>
      <c r="CG87" s="209">
        <f t="shared" si="277"/>
        <v>0.60015140045420134</v>
      </c>
      <c r="CH87" s="209">
        <f t="shared" si="277"/>
        <v>0.45476245476245475</v>
      </c>
      <c r="CI87" s="1028">
        <f t="shared" ref="CI87:CY87" si="279">CI83/CI80</f>
        <v>0.47595422234266538</v>
      </c>
      <c r="CJ87" s="209">
        <f t="shared" si="279"/>
        <v>0.61350000000000005</v>
      </c>
      <c r="CK87" s="209">
        <f t="shared" si="279"/>
        <v>0.51484913281064382</v>
      </c>
      <c r="CL87" s="209">
        <f t="shared" si="279"/>
        <v>0.56472261735419627</v>
      </c>
      <c r="CM87" s="209">
        <f t="shared" si="279"/>
        <v>0.58050876828169407</v>
      </c>
      <c r="CN87" s="1028">
        <f t="shared" si="279"/>
        <v>0.56808510638297871</v>
      </c>
      <c r="CO87" s="209">
        <f t="shared" si="279"/>
        <v>0.4755916513841586</v>
      </c>
      <c r="CP87" s="209">
        <f t="shared" si="279"/>
        <v>0.61473593939827054</v>
      </c>
      <c r="CQ87" s="209">
        <f t="shared" si="279"/>
        <v>0.68205610774569192</v>
      </c>
      <c r="CR87" s="209">
        <f t="shared" si="279"/>
        <v>0.75838955770163596</v>
      </c>
      <c r="CS87" s="1028">
        <f t="shared" si="279"/>
        <v>0.65786806707204715</v>
      </c>
      <c r="CT87" s="209">
        <f t="shared" si="279"/>
        <v>0.69194877909689456</v>
      </c>
      <c r="CU87" s="209">
        <f t="shared" si="279"/>
        <v>0.74892645043398809</v>
      </c>
      <c r="CV87" s="209">
        <f t="shared" si="279"/>
        <v>0.73299659344531898</v>
      </c>
      <c r="CW87" s="209">
        <f t="shared" si="279"/>
        <v>0.74400417101147032</v>
      </c>
      <c r="CX87" s="1028">
        <f t="shared" si="279"/>
        <v>0.73115698511761884</v>
      </c>
      <c r="CY87" s="209">
        <f t="shared" si="279"/>
        <v>0.61021269815980239</v>
      </c>
      <c r="CZ87" s="209">
        <f t="shared" ref="CZ87:DH87" si="280">CZ83/CZ80</f>
        <v>0.64843991350015451</v>
      </c>
      <c r="DA87" s="209">
        <f t="shared" si="280"/>
        <v>0.68843403417119853</v>
      </c>
      <c r="DB87" s="209">
        <f t="shared" si="280"/>
        <v>0.67836876429236892</v>
      </c>
      <c r="DC87" s="1028">
        <f t="shared" si="280"/>
        <v>0.65588283512760259</v>
      </c>
      <c r="DD87" s="209">
        <f t="shared" si="280"/>
        <v>0.73248543111148923</v>
      </c>
      <c r="DE87" s="209">
        <f>DE83/DE80</f>
        <v>0.75971534221726089</v>
      </c>
      <c r="DF87" s="209">
        <f>DF83/DF80</f>
        <v>0.73724556367432148</v>
      </c>
      <c r="DG87" s="209">
        <f t="shared" ref="DG87" si="281">DG83/DG80</f>
        <v>0.41744647105471849</v>
      </c>
      <c r="DH87" s="1028">
        <f t="shared" si="280"/>
        <v>0.6830243940793741</v>
      </c>
      <c r="DI87" s="209">
        <f t="shared" ref="DI87" si="282">DI83/DI80</f>
        <v>0.58361064891846925</v>
      </c>
      <c r="DJ87" s="209">
        <f>DJ83/DJ80</f>
        <v>0.50503003003003</v>
      </c>
      <c r="DK87" s="209">
        <f>DK83/DK80</f>
        <v>0.57453254283666688</v>
      </c>
      <c r="DL87" s="209">
        <f t="shared" ref="DL87" si="283">DL83/DL80</f>
        <v>0.63500626390202741</v>
      </c>
      <c r="DM87" s="1028">
        <f t="shared" ref="DM87:DY87" si="284">DM83/DM80</f>
        <v>0.5807229107973727</v>
      </c>
      <c r="DN87" s="209">
        <f t="shared" si="284"/>
        <v>0.52428769017980636</v>
      </c>
      <c r="DO87" s="209">
        <f>DO83/DO80</f>
        <v>0.19104768083036003</v>
      </c>
      <c r="DP87" s="209">
        <f>DP83/DP80</f>
        <v>0.50524641632585621</v>
      </c>
      <c r="DQ87" s="209">
        <f t="shared" ref="DQ87:DR87" ca="1" si="285">DQ83/DQ80</f>
        <v>0.39353855833439549</v>
      </c>
      <c r="DR87" s="1028">
        <f t="shared" ca="1" si="285"/>
        <v>0.42180182340918698</v>
      </c>
      <c r="DS87" s="209">
        <f t="shared" ref="DS87:DW87" ca="1" si="286">DS83/DS80</f>
        <v>0.35603464071057223</v>
      </c>
      <c r="DT87" s="209">
        <f t="shared" ca="1" si="286"/>
        <v>5.9943898290759766E-2</v>
      </c>
      <c r="DU87" s="209">
        <f t="shared" ca="1" si="286"/>
        <v>0.36162281545688002</v>
      </c>
      <c r="DV87" s="209">
        <f t="shared" ca="1" si="286"/>
        <v>0.35786145465134517</v>
      </c>
      <c r="DW87" s="1028">
        <f t="shared" ca="1" si="286"/>
        <v>0.30397479888404549</v>
      </c>
      <c r="DX87" s="1028">
        <f t="shared" ca="1" si="284"/>
        <v>0.32810110956160493</v>
      </c>
      <c r="DY87" s="1028">
        <f t="shared" ca="1" si="284"/>
        <v>0.34701279615811348</v>
      </c>
      <c r="DZ87" s="1028">
        <f t="shared" ref="DZ87:EA87" ca="1" si="287">DZ83/DZ80</f>
        <v>0.36729387310694933</v>
      </c>
      <c r="EA87" s="1028">
        <f t="shared" ca="1" si="287"/>
        <v>0.39209642893837698</v>
      </c>
      <c r="EB87" s="211"/>
      <c r="EC87" s="4326"/>
      <c r="ED87" s="4326"/>
    </row>
    <row r="88" spans="1:134" s="240" customFormat="1" ht="11.25" customHeight="1">
      <c r="A88" s="1589" t="s">
        <v>241</v>
      </c>
      <c r="B88" s="4304" t="s">
        <v>116</v>
      </c>
      <c r="C88" s="239"/>
      <c r="D88" s="239"/>
      <c r="E88" s="239"/>
      <c r="F88" s="239"/>
      <c r="G88" s="4311">
        <f>(G80/B80)-1</f>
        <v>3.9942101707999598</v>
      </c>
      <c r="H88" s="223" t="s">
        <v>116</v>
      </c>
      <c r="I88" s="223" t="s">
        <v>116</v>
      </c>
      <c r="J88" s="223" t="s">
        <v>116</v>
      </c>
      <c r="K88" s="223" t="s">
        <v>116</v>
      </c>
      <c r="L88" s="4311">
        <f t="shared" ref="L88:X88" si="288">(L80/G80)-1</f>
        <v>1.546903680803787</v>
      </c>
      <c r="M88" s="6103">
        <f t="shared" si="288"/>
        <v>0.83788582837152625</v>
      </c>
      <c r="N88" s="239">
        <f t="shared" si="288"/>
        <v>1.5409372264599224</v>
      </c>
      <c r="O88" s="239">
        <f t="shared" si="288"/>
        <v>0.80935716020891468</v>
      </c>
      <c r="P88" s="239">
        <f t="shared" si="288"/>
        <v>3.2533422691609992</v>
      </c>
      <c r="Q88" s="4311">
        <f t="shared" si="288"/>
        <v>1.4707456156987706</v>
      </c>
      <c r="R88" s="6103">
        <f t="shared" si="288"/>
        <v>1.5457088610637122</v>
      </c>
      <c r="S88" s="239">
        <f t="shared" si="288"/>
        <v>2.8424141388665034</v>
      </c>
      <c r="T88" s="239">
        <f t="shared" si="288"/>
        <v>1.7135137176254385</v>
      </c>
      <c r="U88" s="239">
        <f t="shared" si="288"/>
        <v>0.7887513345667041</v>
      </c>
      <c r="V88" s="4311">
        <f t="shared" si="288"/>
        <v>1.5172070039834433</v>
      </c>
      <c r="W88" s="6103">
        <f t="shared" si="288"/>
        <v>0.55734467223793605</v>
      </c>
      <c r="X88" s="239">
        <f t="shared" si="288"/>
        <v>0.34575797406098752</v>
      </c>
      <c r="Y88" s="239">
        <f t="shared" ref="Y88:AF88" si="289">(Y80/T80)-1</f>
        <v>0.55288544052001853</v>
      </c>
      <c r="Z88" s="351">
        <f t="shared" si="289"/>
        <v>0.38327303875559249</v>
      </c>
      <c r="AA88" s="4311">
        <f t="shared" si="289"/>
        <v>0.45583311851321184</v>
      </c>
      <c r="AB88" s="1488">
        <f t="shared" si="289"/>
        <v>0.47864219863143176</v>
      </c>
      <c r="AC88" s="223">
        <f t="shared" si="289"/>
        <v>0.4631804479256143</v>
      </c>
      <c r="AD88" s="223">
        <f t="shared" si="289"/>
        <v>0.62560588017412666</v>
      </c>
      <c r="AE88" s="352">
        <f t="shared" si="289"/>
        <v>0.85909876437482002</v>
      </c>
      <c r="AF88" s="4311">
        <f t="shared" si="289"/>
        <v>0.61301413095571911</v>
      </c>
      <c r="AG88" s="1488">
        <f t="shared" ref="AG88:AP88" si="290">(AG80/AB80)-1</f>
        <v>0.459051812494363</v>
      </c>
      <c r="AH88" s="223">
        <f t="shared" si="290"/>
        <v>0.43598045090407722</v>
      </c>
      <c r="AI88" s="223">
        <f t="shared" si="290"/>
        <v>0.33830157996122789</v>
      </c>
      <c r="AJ88" s="352">
        <f t="shared" si="290"/>
        <v>0.25338342223503219</v>
      </c>
      <c r="AK88" s="4311">
        <f t="shared" si="290"/>
        <v>0.35970537156669402</v>
      </c>
      <c r="AL88" s="1488">
        <f t="shared" si="290"/>
        <v>0.26416495030753939</v>
      </c>
      <c r="AM88" s="223">
        <f t="shared" si="290"/>
        <v>-8.8883528842898629E-2</v>
      </c>
      <c r="AN88" s="223">
        <f t="shared" si="290"/>
        <v>0.24761345527007861</v>
      </c>
      <c r="AO88" s="352">
        <f t="shared" si="290"/>
        <v>0.28706228481472151</v>
      </c>
      <c r="AP88" s="4311">
        <f t="shared" si="290"/>
        <v>0.18634519721232601</v>
      </c>
      <c r="AQ88" s="1488">
        <f t="shared" ref="AQ88:BD88" si="291">(AQ80/AL80)-1</f>
        <v>0.14869358331940452</v>
      </c>
      <c r="AR88" s="223">
        <f t="shared" si="291"/>
        <v>0.29569741457097209</v>
      </c>
      <c r="AS88" s="223">
        <f t="shared" si="291"/>
        <v>5.8700659541897515E-2</v>
      </c>
      <c r="AT88" s="352">
        <f t="shared" si="291"/>
        <v>0.29085117467090793</v>
      </c>
      <c r="AU88" s="4311">
        <f t="shared" si="291"/>
        <v>0.18943371534181663</v>
      </c>
      <c r="AV88" s="223">
        <f t="shared" si="291"/>
        <v>0.22755417956656343</v>
      </c>
      <c r="AW88" s="223">
        <f t="shared" si="291"/>
        <v>0.68776978417266177</v>
      </c>
      <c r="AX88" s="223">
        <f t="shared" si="291"/>
        <v>0.36867636867636877</v>
      </c>
      <c r="AY88" s="223">
        <f t="shared" si="291"/>
        <v>0.11287577992058995</v>
      </c>
      <c r="AZ88" s="4311">
        <f t="shared" si="291"/>
        <v>0.31441205667358552</v>
      </c>
      <c r="BA88" s="223">
        <f t="shared" si="291"/>
        <v>0.16456494325346793</v>
      </c>
      <c r="BB88" s="223">
        <f t="shared" si="291"/>
        <v>0.24438761011651033</v>
      </c>
      <c r="BC88" s="223">
        <f t="shared" si="291"/>
        <v>0.12835443037974681</v>
      </c>
      <c r="BD88" s="223">
        <f t="shared" si="291"/>
        <v>0.19469928644240575</v>
      </c>
      <c r="BE88" s="4311">
        <f t="shared" ref="BE88:BP88" si="292">(BE80/AZ80)-1</f>
        <v>0.18214898729831797</v>
      </c>
      <c r="BF88" s="223">
        <f t="shared" si="292"/>
        <v>-1.6513264753654555E-2</v>
      </c>
      <c r="BG88" s="223">
        <f t="shared" si="292"/>
        <v>7.4446220598310076E-2</v>
      </c>
      <c r="BH88" s="223">
        <f t="shared" si="292"/>
        <v>0.13372223468700928</v>
      </c>
      <c r="BI88" s="223">
        <f t="shared" si="292"/>
        <v>0.11732081911262804</v>
      </c>
      <c r="BJ88" s="4311">
        <f t="shared" si="292"/>
        <v>8.1949123010802705E-2</v>
      </c>
      <c r="BK88" s="560">
        <f t="shared" si="292"/>
        <v>0.18625268373245252</v>
      </c>
      <c r="BL88" s="223">
        <f t="shared" si="292"/>
        <v>0.18113717321997869</v>
      </c>
      <c r="BM88" s="223">
        <f t="shared" si="292"/>
        <v>0.17150326538689886</v>
      </c>
      <c r="BN88" s="223">
        <f t="shared" si="292"/>
        <v>0.19923883161512035</v>
      </c>
      <c r="BO88" s="4311">
        <f t="shared" si="292"/>
        <v>0.18461138010628586</v>
      </c>
      <c r="BP88" s="560">
        <f t="shared" si="292"/>
        <v>0.51873680869192351</v>
      </c>
      <c r="BQ88" s="223">
        <f t="shared" ref="BQ88:BZ88" si="293">(BQ80/BL80)-1</f>
        <v>0.26969265232317041</v>
      </c>
      <c r="BR88" s="223">
        <f t="shared" si="293"/>
        <v>1.4763482569617015E-2</v>
      </c>
      <c r="BS88" s="223">
        <f t="shared" si="293"/>
        <v>2.1234514128775528E-2</v>
      </c>
      <c r="BT88" s="4311">
        <f t="shared" si="293"/>
        <v>0.17922264480153816</v>
      </c>
      <c r="BU88" s="560">
        <f t="shared" si="293"/>
        <v>0.17001178812085715</v>
      </c>
      <c r="BV88" s="223">
        <f t="shared" si="293"/>
        <v>0.29251700680272119</v>
      </c>
      <c r="BW88" s="223">
        <f t="shared" si="293"/>
        <v>0.638921258531713</v>
      </c>
      <c r="BX88" s="561">
        <f t="shared" si="293"/>
        <v>0.46734216679657048</v>
      </c>
      <c r="BY88" s="4311">
        <f t="shared" si="293"/>
        <v>0.38476259744696129</v>
      </c>
      <c r="BZ88" s="223">
        <f t="shared" si="293"/>
        <v>0.24680073126142599</v>
      </c>
      <c r="CA88" s="223">
        <f t="shared" ref="CA88:CS88" si="294">(CA80/BV80)-1</f>
        <v>-0.18826754385964917</v>
      </c>
      <c r="CB88" s="223">
        <f t="shared" si="294"/>
        <v>2.7425088877601755E-3</v>
      </c>
      <c r="CC88" s="223">
        <f t="shared" si="294"/>
        <v>9.0831828322532671E-2</v>
      </c>
      <c r="CD88" s="4311">
        <f t="shared" si="294"/>
        <v>2.9276279276279293E-2</v>
      </c>
      <c r="CE88" s="223">
        <f t="shared" si="294"/>
        <v>0.2193129451193967</v>
      </c>
      <c r="CF88" s="223">
        <f t="shared" si="294"/>
        <v>0.36863433743077123</v>
      </c>
      <c r="CG88" s="223">
        <f t="shared" si="294"/>
        <v>0.33812803889789311</v>
      </c>
      <c r="CH88" s="223">
        <f t="shared" si="294"/>
        <v>0.26480327230229839</v>
      </c>
      <c r="CI88" s="4311">
        <f t="shared" si="294"/>
        <v>0.29333261438084701</v>
      </c>
      <c r="CJ88" s="223">
        <f t="shared" si="294"/>
        <v>3.0750730115100433E-2</v>
      </c>
      <c r="CK88" s="223">
        <f t="shared" si="294"/>
        <v>0.24624950651401489</v>
      </c>
      <c r="CL88" s="223">
        <f t="shared" si="294"/>
        <v>0.17077971233913702</v>
      </c>
      <c r="CM88" s="223">
        <f t="shared" si="294"/>
        <v>0.11088011088011096</v>
      </c>
      <c r="CN88" s="4311">
        <f t="shared" si="294"/>
        <v>0.13651998082174654</v>
      </c>
      <c r="CO88" s="223">
        <f t="shared" si="294"/>
        <v>-4.5749999999999957E-2</v>
      </c>
      <c r="CP88" s="223">
        <f t="shared" si="294"/>
        <v>0.10818088223647737</v>
      </c>
      <c r="CQ88" s="223">
        <f t="shared" si="294"/>
        <v>9.9379283589809964E-2</v>
      </c>
      <c r="CR88" s="223">
        <f t="shared" si="294"/>
        <v>0.57184445830734032</v>
      </c>
      <c r="CS88" s="4311">
        <f t="shared" si="294"/>
        <v>0.19449743213499637</v>
      </c>
      <c r="CT88" s="223">
        <f t="shared" ref="CT88:DP88" si="295">(CT80/CO80)-1</f>
        <v>0.68448170465461522</v>
      </c>
      <c r="CU88" s="223">
        <f t="shared" si="295"/>
        <v>0.56435360537411561</v>
      </c>
      <c r="CV88" s="223">
        <f t="shared" si="295"/>
        <v>0.50202905369640649</v>
      </c>
      <c r="CW88" s="223">
        <f t="shared" si="295"/>
        <v>9.9528156281695201E-2</v>
      </c>
      <c r="CX88" s="4311">
        <f t="shared" si="295"/>
        <v>0.40734598611878869</v>
      </c>
      <c r="CY88" s="223">
        <f t="shared" si="295"/>
        <v>0.30157084348592456</v>
      </c>
      <c r="CZ88" s="223">
        <f t="shared" si="295"/>
        <v>-0.11274554591137509</v>
      </c>
      <c r="DA88" s="223">
        <f t="shared" si="295"/>
        <v>-8.5594580837150991E-2</v>
      </c>
      <c r="DB88" s="223">
        <f t="shared" si="295"/>
        <v>-5.2939760968958027E-2</v>
      </c>
      <c r="DC88" s="4311">
        <f t="shared" si="295"/>
        <v>-1.7130013529437216E-3</v>
      </c>
      <c r="DD88" s="223">
        <f t="shared" si="295"/>
        <v>-6.3610292360391951E-2</v>
      </c>
      <c r="DE88" s="223">
        <f t="shared" si="295"/>
        <v>0.4759551024611266</v>
      </c>
      <c r="DF88" s="223">
        <f t="shared" si="295"/>
        <v>0.31272213420117323</v>
      </c>
      <c r="DG88" s="223">
        <f t="shared" si="295"/>
        <v>-0.19899212331667659</v>
      </c>
      <c r="DH88" s="4311">
        <f t="shared" ref="DH88:DM88" si="296">(DH80/DC80)-1</f>
        <v>0.11203890923001247</v>
      </c>
      <c r="DI88" s="223">
        <f t="shared" si="295"/>
        <v>0.22710451316517077</v>
      </c>
      <c r="DJ88" s="223">
        <f t="shared" si="295"/>
        <v>-7.0676062234005466E-2</v>
      </c>
      <c r="DK88" s="223">
        <f t="shared" si="295"/>
        <v>1.370041753653517E-3</v>
      </c>
      <c r="DL88" s="223">
        <f t="shared" si="295"/>
        <v>1.0678297647369814</v>
      </c>
      <c r="DM88" s="4311">
        <f t="shared" si="296"/>
        <v>0.23148821575295342</v>
      </c>
      <c r="DN88" s="223">
        <f t="shared" si="295"/>
        <v>0.25311980033277881</v>
      </c>
      <c r="DO88" s="223">
        <f t="shared" si="295"/>
        <v>4.155405405405399E-2</v>
      </c>
      <c r="DP88" s="223">
        <f t="shared" si="295"/>
        <v>0.57710600039090498</v>
      </c>
      <c r="DQ88" s="223">
        <f t="shared" ref="DQ88:DR88" ca="1" si="297">(DQ80/DL80)-1</f>
        <v>0.21398702046599416</v>
      </c>
      <c r="DR88" s="4311">
        <f t="shared" ca="1" si="297"/>
        <v>0.27529887973157341</v>
      </c>
      <c r="DS88" s="223">
        <f t="shared" ref="DS88" ca="1" si="298">(DS80/DN80)-1</f>
        <v>0.3663572469582721</v>
      </c>
      <c r="DT88" s="223">
        <f t="shared" ref="DT88" ca="1" si="299">(DT80/DO80)-1</f>
        <v>0.33489148447833128</v>
      </c>
      <c r="DU88" s="223">
        <f t="shared" ref="DU88" ca="1" si="300">(DU80/DP80)-1</f>
        <v>0.17987015584173105</v>
      </c>
      <c r="DV88" s="223">
        <f t="shared" ref="DV88:DW88" ca="1" si="301">(DV80/DQ80)-1</f>
        <v>0.24059939315122825</v>
      </c>
      <c r="DW88" s="4311">
        <f t="shared" ca="1" si="301"/>
        <v>0.26702299092967774</v>
      </c>
      <c r="DX88" s="4311">
        <f ca="1">(DX80/DW80)-1</f>
        <v>0.1510573722742834</v>
      </c>
      <c r="DY88" s="4311">
        <f ca="1">(DY80/DX80)-1</f>
        <v>0.12504508370606882</v>
      </c>
      <c r="DZ88" s="4311">
        <f ca="1">(DZ80/DY80)-1</f>
        <v>0.11278317416492012</v>
      </c>
      <c r="EA88" s="4311">
        <f ca="1">(EA80/DZ80)-1</f>
        <v>0.1138558766179818</v>
      </c>
      <c r="EB88" s="239"/>
      <c r="EC88" s="4327"/>
      <c r="ED88" s="4327"/>
    </row>
    <row r="89" spans="1:134" s="234" customFormat="1" ht="11.25" customHeight="1">
      <c r="A89" s="6098" t="s">
        <v>249</v>
      </c>
      <c r="B89" s="4303">
        <f>B83/IS!P57</f>
        <v>0.48040182259053016</v>
      </c>
      <c r="C89" s="211"/>
      <c r="D89" s="211"/>
      <c r="E89" s="211"/>
      <c r="F89" s="211"/>
      <c r="G89" s="4310">
        <f>G83/IS!U57</f>
        <v>0.4979964906952809</v>
      </c>
      <c r="H89" s="211">
        <f>H83/IS!V57</f>
        <v>0.63457190975435829</v>
      </c>
      <c r="I89" s="211">
        <f>I83/IS!W57</f>
        <v>0.21838448597883248</v>
      </c>
      <c r="J89" s="211">
        <f>J83/IS!X57</f>
        <v>0.43247904335546705</v>
      </c>
      <c r="K89" s="211">
        <f>K83/IS!Y57</f>
        <v>0.15877594796933486</v>
      </c>
      <c r="L89" s="4310">
        <f>L83/IS!Z57</f>
        <v>0.34243811981982542</v>
      </c>
      <c r="M89" s="2381">
        <f>M83/IS!AA57</f>
        <v>0.4775806255895973</v>
      </c>
      <c r="N89" s="211">
        <f>N83/IS!AB57</f>
        <v>0.23881000140448935</v>
      </c>
      <c r="O89" s="211">
        <f>O83/IS!AC57</f>
        <v>0.50000466680563371</v>
      </c>
      <c r="P89" s="211">
        <f>P83/IS!AD57</f>
        <v>0.72678416873635876</v>
      </c>
      <c r="Q89" s="4310">
        <f>Q83/IS!AE57</f>
        <v>0.51419920219104442</v>
      </c>
      <c r="R89" s="2381">
        <f>R83/IS!AF57</f>
        <v>0.70679229234619101</v>
      </c>
      <c r="S89" s="211">
        <f>S83/IS!AG57</f>
        <v>0.7918368038781961</v>
      </c>
      <c r="T89" s="211">
        <f>T83/IS!AH57</f>
        <v>0.52690414528967333</v>
      </c>
      <c r="U89" s="211">
        <f>U83/IS!AI57</f>
        <v>0.50704088617223775</v>
      </c>
      <c r="V89" s="4310">
        <f>V83/IS!AJ57</f>
        <v>0.61787494664308784</v>
      </c>
      <c r="W89" s="2381">
        <f>W83/IS!AK57</f>
        <v>0.47865929990493983</v>
      </c>
      <c r="X89" s="211">
        <f>X83/IS!AL57</f>
        <v>0.13474858718886232</v>
      </c>
      <c r="Y89" s="211">
        <f>Y83/IS!AM57</f>
        <v>0.4327740786156698</v>
      </c>
      <c r="Z89" s="344">
        <f>Z83/IS!AN57</f>
        <v>0.39309932809399306</v>
      </c>
      <c r="AA89" s="4310">
        <f>AA83/IS!AO57</f>
        <v>0.36307507192964039</v>
      </c>
      <c r="AB89" s="2242">
        <f>AB83/IS!AP57</f>
        <v>0.38675218028166763</v>
      </c>
      <c r="AC89" s="209">
        <f>AC83/IS!AQ57</f>
        <v>0.41625364284153266</v>
      </c>
      <c r="AD89" s="209">
        <f>AD83/IS!AR57</f>
        <v>0.61310820047368519</v>
      </c>
      <c r="AE89" s="345">
        <f>AE83/IS!AS57</f>
        <v>0.51369555205797623</v>
      </c>
      <c r="AF89" s="4310">
        <f>AF83/IS!AT57</f>
        <v>0.48731638234808355</v>
      </c>
      <c r="AG89" s="2242">
        <f>AG83/IS!AU57</f>
        <v>0.43347886656023615</v>
      </c>
      <c r="AH89" s="209">
        <f>AH83/IS!AV57</f>
        <v>0.47657054123624004</v>
      </c>
      <c r="AI89" s="209">
        <f>AI83/IS!AW57</f>
        <v>0.71958944768467581</v>
      </c>
      <c r="AJ89" s="345">
        <f>AJ83/IS!AX57</f>
        <v>0.69294391611628647</v>
      </c>
      <c r="AK89" s="4310">
        <f>AK83/IS!AY57</f>
        <v>0.58784191933813812</v>
      </c>
      <c r="AL89" s="2242">
        <f>AL83/IS!AZ57</f>
        <v>0.7747767808396534</v>
      </c>
      <c r="AM89" s="209">
        <f>AM83/IS!BA57</f>
        <v>0.57774396296111385</v>
      </c>
      <c r="AN89" s="209">
        <f>AN83/IS!BB57</f>
        <v>0.916882681774005</v>
      </c>
      <c r="AO89" s="345">
        <f>AO83/IS!BC57</f>
        <v>0.80390832493451481</v>
      </c>
      <c r="AP89" s="4310">
        <f>AP83/IS!BD57</f>
        <v>0.77326238656474189</v>
      </c>
      <c r="AQ89" s="2242">
        <f>AQ83/IS!BE57</f>
        <v>0.75401929260450162</v>
      </c>
      <c r="AR89" s="209">
        <f>AR83/IS!BF57</f>
        <v>0.53348806366047741</v>
      </c>
      <c r="AS89" s="209">
        <f>AS83/IS!BG57</f>
        <v>0.65126950137656781</v>
      </c>
      <c r="AT89" s="345">
        <f>AT83/IS!BH57</f>
        <v>0.26097366320830007</v>
      </c>
      <c r="AU89" s="4310">
        <f>AU83/IS!BI57</f>
        <v>0.53702295879580353</v>
      </c>
      <c r="AV89" s="209">
        <v>0.74370346981850188</v>
      </c>
      <c r="AW89" s="209">
        <v>0.76482843644178899</v>
      </c>
      <c r="AX89" s="209">
        <f>AX83/IS!BL57</f>
        <v>0.79349672409609318</v>
      </c>
      <c r="AY89" s="209">
        <f>AY83/IS!BM57</f>
        <v>0.65398152221733397</v>
      </c>
      <c r="AZ89" s="4310">
        <v>0.75265098116054296</v>
      </c>
      <c r="BA89" s="209">
        <f>BA83/IS!BT57</f>
        <v>0.69277378815080792</v>
      </c>
      <c r="BB89" s="209">
        <f>BB83/IS!BU57</f>
        <v>0.77393731215113781</v>
      </c>
      <c r="BC89" s="209">
        <f>BC83/IS!BV57</f>
        <v>0.75015693659761451</v>
      </c>
      <c r="BD89" s="209">
        <f>BD83/IS!BW57</f>
        <v>0.68216477589734048</v>
      </c>
      <c r="BE89" s="4310">
        <f>BE83/IS!BX57</f>
        <v>0.72366372599896212</v>
      </c>
      <c r="BF89" s="209">
        <f>BF83/IS!CD57</f>
        <v>0.45831761599396453</v>
      </c>
      <c r="BG89" s="209">
        <f>BG83/IS!CE57</f>
        <v>0.59068346697212681</v>
      </c>
      <c r="BH89" s="209">
        <f>BH83/IS!CF57</f>
        <v>0.49436594526918259</v>
      </c>
      <c r="BI89" s="209">
        <f>BI83/IS!CG57</f>
        <v>0.47065320290312401</v>
      </c>
      <c r="BJ89" s="4310">
        <f>BJ83/IS!CH57</f>
        <v>0.50162446036761765</v>
      </c>
      <c r="BK89" s="556">
        <f>BK83/IS!CI57</f>
        <v>0.32527417218543048</v>
      </c>
      <c r="BL89" s="209">
        <f>BL83/IS!CJ57</f>
        <v>0.46827254302718352</v>
      </c>
      <c r="BM89" s="209">
        <f>BM83/IS!CK57</f>
        <v>0.53671559914189393</v>
      </c>
      <c r="BN89" s="209">
        <f>BN83/IS!CL57</f>
        <v>0.39764278433085776</v>
      </c>
      <c r="BO89" s="4310">
        <f>BO83/IS!CM57</f>
        <v>0.43310430409356726</v>
      </c>
      <c r="BP89" s="556">
        <f>BP83/IS!CN57</f>
        <v>0.52998875054928962</v>
      </c>
      <c r="BQ89" s="209">
        <f>BQ83/IS!CO57</f>
        <v>0.63148379919343622</v>
      </c>
      <c r="BR89" s="209">
        <f>BR83/IS!CP57</f>
        <v>0.49052517596101786</v>
      </c>
      <c r="BS89" s="209">
        <f>BS83/IS!CQ57</f>
        <v>0.52469586374695865</v>
      </c>
      <c r="BT89" s="4310">
        <f>BT83/IS!CR57</f>
        <v>0.54331442651724848</v>
      </c>
      <c r="BU89" s="556">
        <f>BU83/IS!CS57</f>
        <v>0.63531131960521503</v>
      </c>
      <c r="BV89" s="209">
        <f>BV83/IS!CT57</f>
        <v>0.77937730164044194</v>
      </c>
      <c r="BW89" s="209">
        <f>BW83/IS!CU57</f>
        <v>0.79052369077306728</v>
      </c>
      <c r="BX89" s="557">
        <f>BX83/IS!CV57</f>
        <v>0.6227880456154149</v>
      </c>
      <c r="BY89" s="4310">
        <f>BY83/IS!CW57</f>
        <v>0.70628777726116565</v>
      </c>
      <c r="BZ89" s="209">
        <f>BZ83/IS!CX57</f>
        <v>0.69841269841269837</v>
      </c>
      <c r="CA89" s="209">
        <f>CA83/IS!CY57</f>
        <v>0.43559451219512196</v>
      </c>
      <c r="CB89" s="209">
        <f>CB83/IS!CZ57</f>
        <v>0.55742321570007924</v>
      </c>
      <c r="CC89" s="209">
        <f>CC83/IS!DA57</f>
        <v>0.51668544682326423</v>
      </c>
      <c r="CD89" s="4310">
        <f>CD83/IS!DB57</f>
        <v>0.54988959425890149</v>
      </c>
      <c r="CE89" s="209">
        <f>CE83/IS!DC57</f>
        <v>0.35963895329579332</v>
      </c>
      <c r="CF89" s="209">
        <f>CF83/IS!DD57</f>
        <v>0.36818793007988609</v>
      </c>
      <c r="CG89" s="209">
        <f>CG83/IS!DE57</f>
        <v>0.60015140045420134</v>
      </c>
      <c r="CH89" s="209">
        <f>CH83/IS!DF57</f>
        <v>0.4524283744446147</v>
      </c>
      <c r="CI89" s="4310">
        <f>CI83/IS!DG57</f>
        <v>0.44783555302747974</v>
      </c>
      <c r="CJ89" s="209">
        <f>CJ83/IS!DH57</f>
        <v>0.53788266238036098</v>
      </c>
      <c r="CK89" s="209">
        <f>CK83/IS!DI57</f>
        <v>0.44011915239320287</v>
      </c>
      <c r="CL89" s="209">
        <f>CL83/IS!DJ57</f>
        <v>0.59330208545615104</v>
      </c>
      <c r="CM89" s="209">
        <f>CM83/IS!DK57</f>
        <v>0.546528321587053</v>
      </c>
      <c r="CN89" s="4310">
        <f>CN83/IS!DL57</f>
        <v>0.5294087482693195</v>
      </c>
      <c r="CO89" s="209">
        <f>CO83/IS!DM57</f>
        <v>0.38147940599607733</v>
      </c>
      <c r="CP89" s="209">
        <f>CP83/IS!DN57</f>
        <v>0.65409474564671888</v>
      </c>
      <c r="CQ89" s="209">
        <f>CQ83/IS!DO57</f>
        <v>0.64838421111483846</v>
      </c>
      <c r="CR89" s="209">
        <f>CR83/IS!DP57</f>
        <v>0.76100712420903582</v>
      </c>
      <c r="CS89" s="4310">
        <f>CS83/IS!DQ57</f>
        <v>0.6308605253857934</v>
      </c>
      <c r="CT89" s="209">
        <f>CT83/IS!DR57</f>
        <v>0.58194898626553304</v>
      </c>
      <c r="CU89" s="209">
        <f>CU83/IS!DS57</f>
        <v>0.62790608602397646</v>
      </c>
      <c r="CV89" s="209">
        <f>CV83/IS!DT57</f>
        <v>0.66361799425715196</v>
      </c>
      <c r="CW89" s="209">
        <f>CW83/IS!DU57</f>
        <v>0.63361568413142977</v>
      </c>
      <c r="CX89" s="4310">
        <f>CX83/IS!DV57</f>
        <v>0.62903755714299125</v>
      </c>
      <c r="CY89" s="209">
        <f>CY83/IS!DW57</f>
        <v>0.53981677237491188</v>
      </c>
      <c r="CZ89" s="209">
        <f>CZ83/IS!DX57</f>
        <v>0.44764342077201963</v>
      </c>
      <c r="DA89" s="209">
        <f>DA83/IS!DY57</f>
        <v>0.61463470581488699</v>
      </c>
      <c r="DB89" s="209">
        <f>DB83/IS!DZ57</f>
        <v>0.58333636793998767</v>
      </c>
      <c r="DC89" s="4310">
        <f>DC83/IS!EA57</f>
        <v>0.54489158464388188</v>
      </c>
      <c r="DD89" s="209">
        <f>DD83/IS!EB57</f>
        <v>0.66525014487154721</v>
      </c>
      <c r="DE89" s="209">
        <f>DE83/IS!EC57</f>
        <v>0.70231223193266468</v>
      </c>
      <c r="DF89" s="209">
        <f>DF83/IS!ED57</f>
        <v>0.73175548792333101</v>
      </c>
      <c r="DG89" s="209">
        <f>DG83/IS!EE57</f>
        <v>0.24167482859941233</v>
      </c>
      <c r="DH89" s="4310">
        <f>DH83/IS!EF57</f>
        <v>0.57695181483080393</v>
      </c>
      <c r="DI89" s="209">
        <f>DI83/IS!EG57</f>
        <v>0.49301590090485814</v>
      </c>
      <c r="DJ89" s="209">
        <f>DJ83/IS!EH57</f>
        <v>0.36364127790691386</v>
      </c>
      <c r="DK89" s="209">
        <f>DK83/IS!EI57</f>
        <v>0.45987171464330412</v>
      </c>
      <c r="DL89" s="209">
        <f>DL83/IS!EJ57</f>
        <v>0.60597262546661135</v>
      </c>
      <c r="DM89" s="4310">
        <f>DM83/IS!EK57</f>
        <v>0.48352670680329068</v>
      </c>
      <c r="DN89" s="209">
        <f>DN83/IS!EL57</f>
        <v>0.46671920017730062</v>
      </c>
      <c r="DO89" s="209">
        <f>DO83/IS!EM57</f>
        <v>0.12541699197955852</v>
      </c>
      <c r="DP89" s="209">
        <f>DP83/IS!EN57</f>
        <v>0.52419423967083834</v>
      </c>
      <c r="DQ89" s="209">
        <f ca="1">DQ83/IS!EO57</f>
        <v>0.3715130417945095</v>
      </c>
      <c r="DR89" s="4310">
        <f ca="1">DR83/IS!EP57</f>
        <v>0.37478933182121626</v>
      </c>
      <c r="DS89" s="209">
        <f ca="1">DS83/IS!EQ57</f>
        <v>0.34401332639300503</v>
      </c>
      <c r="DT89" s="209">
        <f ca="1">DT83/IS!ER57</f>
        <v>4.0565647607074713E-2</v>
      </c>
      <c r="DU89" s="209">
        <f ca="1">DU83/IS!ES57</f>
        <v>0.36084121526903873</v>
      </c>
      <c r="DV89" s="209">
        <f ca="1">DV83/IS!ET57</f>
        <v>0.34006242356648758</v>
      </c>
      <c r="DW89" s="4310">
        <f ca="1">DW83/IS!EU57</f>
        <v>0.2734182746383419</v>
      </c>
      <c r="DX89" s="4310">
        <f ca="1">DX83/IS!EV57</f>
        <v>0.29385578466510892</v>
      </c>
      <c r="DY89" s="4310">
        <f ca="1">DY83/IS!EW57</f>
        <v>0.30973115629036946</v>
      </c>
      <c r="DZ89" s="4310">
        <f ca="1">DZ83/IS!EX57</f>
        <v>0.32704934708026573</v>
      </c>
      <c r="EA89" s="4310">
        <f ca="1">EA83/IS!EY57</f>
        <v>0.34889076797685309</v>
      </c>
      <c r="EB89" s="211"/>
      <c r="EC89" s="4326"/>
      <c r="ED89" s="4326"/>
    </row>
    <row r="90" spans="1:134" s="234" customFormat="1" ht="11.25" customHeight="1">
      <c r="A90" s="6098"/>
      <c r="B90" s="4303"/>
      <c r="C90" s="211"/>
      <c r="D90" s="211"/>
      <c r="E90" s="211"/>
      <c r="F90" s="211"/>
      <c r="G90" s="4310"/>
      <c r="H90" s="211"/>
      <c r="I90" s="211"/>
      <c r="J90" s="211"/>
      <c r="K90" s="211"/>
      <c r="L90" s="4310"/>
      <c r="M90" s="2381"/>
      <c r="N90" s="211"/>
      <c r="O90" s="211"/>
      <c r="P90" s="211"/>
      <c r="Q90" s="4310"/>
      <c r="R90" s="2381"/>
      <c r="S90" s="211"/>
      <c r="T90" s="211"/>
      <c r="U90" s="211"/>
      <c r="V90" s="4310"/>
      <c r="W90" s="2381"/>
      <c r="X90" s="211"/>
      <c r="Y90" s="211"/>
      <c r="Z90" s="344"/>
      <c r="AA90" s="4310"/>
      <c r="AB90" s="2242"/>
      <c r="AC90" s="209"/>
      <c r="AD90" s="209"/>
      <c r="AE90" s="345"/>
      <c r="AF90" s="4310"/>
      <c r="AG90" s="2242"/>
      <c r="AH90" s="209"/>
      <c r="AI90" s="209"/>
      <c r="AJ90" s="345"/>
      <c r="AK90" s="4310"/>
      <c r="AL90" s="2242"/>
      <c r="AM90" s="209"/>
      <c r="AN90" s="209"/>
      <c r="AO90" s="345"/>
      <c r="AP90" s="4310"/>
      <c r="AQ90" s="2242"/>
      <c r="AR90" s="209"/>
      <c r="AS90" s="209"/>
      <c r="AT90" s="345"/>
      <c r="AU90" s="4310"/>
      <c r="AV90" s="209"/>
      <c r="AW90" s="209"/>
      <c r="AX90" s="209"/>
      <c r="AY90" s="209"/>
      <c r="AZ90" s="4310"/>
      <c r="BA90" s="209"/>
      <c r="BB90" s="209"/>
      <c r="BC90" s="209"/>
      <c r="BD90" s="209"/>
      <c r="BE90" s="4310"/>
      <c r="BF90" s="209"/>
      <c r="BG90" s="209"/>
      <c r="BH90" s="209"/>
      <c r="BI90" s="209"/>
      <c r="BJ90" s="4310"/>
      <c r="BK90" s="556"/>
      <c r="BL90" s="209"/>
      <c r="BM90" s="209"/>
      <c r="BN90" s="209"/>
      <c r="BO90" s="4310"/>
      <c r="BP90" s="556"/>
      <c r="BQ90" s="209"/>
      <c r="BR90" s="209"/>
      <c r="BS90" s="209"/>
      <c r="BT90" s="4310"/>
      <c r="BU90" s="556"/>
      <c r="BV90" s="209"/>
      <c r="BW90" s="209"/>
      <c r="BX90" s="557"/>
      <c r="BY90" s="4310"/>
      <c r="BZ90" s="209"/>
      <c r="CA90" s="209"/>
      <c r="CB90" s="209"/>
      <c r="CC90" s="209"/>
      <c r="CD90" s="4310"/>
      <c r="CE90" s="209"/>
      <c r="CF90" s="209"/>
      <c r="CG90" s="209"/>
      <c r="CH90" s="209"/>
      <c r="CI90" s="4310"/>
      <c r="CJ90" s="209"/>
      <c r="CK90" s="209"/>
      <c r="CL90" s="209"/>
      <c r="CM90" s="209"/>
      <c r="CN90" s="4310"/>
      <c r="CO90" s="209"/>
      <c r="CP90" s="209"/>
      <c r="CQ90" s="209"/>
      <c r="CR90" s="209"/>
      <c r="CS90" s="4310"/>
      <c r="CT90" s="209"/>
      <c r="CU90" s="209"/>
      <c r="CV90" s="209"/>
      <c r="CW90" s="209"/>
      <c r="CX90" s="4310"/>
      <c r="CY90" s="209"/>
      <c r="CZ90" s="209"/>
      <c r="DA90" s="209"/>
      <c r="DB90" s="209"/>
      <c r="DC90" s="4310"/>
      <c r="DD90" s="209"/>
      <c r="DE90" s="209"/>
      <c r="DF90" s="209"/>
      <c r="DG90" s="209"/>
      <c r="DH90" s="4310"/>
      <c r="DI90" s="209"/>
      <c r="DJ90" s="209"/>
      <c r="DK90" s="209"/>
      <c r="DL90" s="209"/>
      <c r="DM90" s="4310"/>
      <c r="DN90" s="209"/>
      <c r="DO90" s="209"/>
      <c r="DP90" s="209"/>
      <c r="DQ90" s="209"/>
      <c r="DR90" s="4310"/>
      <c r="DS90" s="209"/>
      <c r="DT90" s="209"/>
      <c r="DU90" s="209"/>
      <c r="DV90" s="209"/>
      <c r="DW90" s="4310"/>
      <c r="DX90" s="4310"/>
      <c r="DY90" s="4310"/>
      <c r="DZ90" s="4310"/>
      <c r="EA90" s="4310"/>
      <c r="EB90" s="211"/>
      <c r="EC90" s="4326"/>
      <c r="ED90" s="4326"/>
    </row>
    <row r="91" spans="1:134" s="84" customFormat="1" ht="11.25" customHeight="1">
      <c r="A91" s="1587" t="s">
        <v>1135</v>
      </c>
      <c r="B91" s="1039"/>
      <c r="C91" s="340"/>
      <c r="D91" s="340"/>
      <c r="E91" s="340"/>
      <c r="F91" s="340"/>
      <c r="G91" s="1038"/>
      <c r="H91" s="511"/>
      <c r="I91" s="511"/>
      <c r="J91" s="511"/>
      <c r="K91" s="511"/>
      <c r="L91" s="1038"/>
      <c r="M91" s="1463"/>
      <c r="N91" s="511"/>
      <c r="O91" s="511"/>
      <c r="P91" s="511"/>
      <c r="Q91" s="1038"/>
      <c r="R91" s="1463"/>
      <c r="S91" s="511"/>
      <c r="T91" s="511"/>
      <c r="U91" s="511"/>
      <c r="V91" s="1038"/>
      <c r="W91" s="1463"/>
      <c r="X91" s="511"/>
      <c r="Y91" s="511"/>
      <c r="Z91" s="1470"/>
      <c r="AA91" s="1038"/>
      <c r="AB91" s="1426"/>
      <c r="AC91" s="226"/>
      <c r="AD91" s="226"/>
      <c r="AE91" s="1471"/>
      <c r="AF91" s="1038"/>
      <c r="AG91" s="1426"/>
      <c r="AH91" s="226"/>
      <c r="AI91" s="226"/>
      <c r="AJ91" s="1471"/>
      <c r="AK91" s="1038"/>
      <c r="AL91" s="1426"/>
      <c r="AM91" s="226"/>
      <c r="AN91" s="226"/>
      <c r="AO91" s="1471"/>
      <c r="AP91" s="1038"/>
      <c r="AQ91" s="1426"/>
      <c r="AR91" s="226"/>
      <c r="AS91" s="226"/>
      <c r="AT91" s="1471"/>
      <c r="AU91" s="1038"/>
      <c r="AV91" s="226"/>
      <c r="AW91" s="226"/>
      <c r="AX91" s="226"/>
      <c r="AY91" s="226"/>
      <c r="AZ91" s="1038"/>
      <c r="BA91" s="226"/>
      <c r="BB91" s="226"/>
      <c r="BC91" s="226"/>
      <c r="BD91" s="226"/>
      <c r="BE91" s="1038"/>
      <c r="BF91" s="226"/>
      <c r="BG91" s="226"/>
      <c r="BH91" s="226"/>
      <c r="BI91" s="226"/>
      <c r="BJ91" s="1038"/>
      <c r="BK91" s="686"/>
      <c r="BL91" s="226"/>
      <c r="BM91" s="226"/>
      <c r="BN91" s="226"/>
      <c r="BO91" s="1038"/>
      <c r="BP91" s="686"/>
      <c r="BQ91" s="226"/>
      <c r="BR91" s="226"/>
      <c r="BS91" s="226"/>
      <c r="BT91" s="1038"/>
      <c r="BU91" s="226"/>
      <c r="BV91" s="226"/>
      <c r="BW91" s="226"/>
      <c r="BX91" s="226"/>
      <c r="BY91" s="1038"/>
      <c r="BZ91" s="226"/>
      <c r="CA91" s="226"/>
      <c r="CB91" s="226"/>
      <c r="CC91" s="226"/>
      <c r="CD91" s="1038"/>
      <c r="CE91" s="226"/>
      <c r="CF91" s="226"/>
      <c r="CG91" s="226"/>
      <c r="CH91" s="226"/>
      <c r="CI91" s="1038"/>
      <c r="CJ91" s="226">
        <f>SUM(CF80:CH80,CJ80)</f>
        <v>48329</v>
      </c>
      <c r="CK91" s="226">
        <f>SUM(CG80:CH80,CJ80:CK80)</f>
        <v>50824</v>
      </c>
      <c r="CL91" s="226">
        <f>SUM(CH80,CJ80:CL80)</f>
        <v>53080</v>
      </c>
      <c r="CM91" s="226">
        <f>SUM(CJ80:CM80)</f>
        <v>54520</v>
      </c>
      <c r="CN91" s="1038">
        <f>SUM(CJ80:CM80)</f>
        <v>54520</v>
      </c>
      <c r="CO91" s="226">
        <f>SUM(CK80:CM80,CO80)</f>
        <v>53971</v>
      </c>
      <c r="CP91" s="226">
        <f>SUM(CL80:CM80,CO80:CP80)</f>
        <v>55337</v>
      </c>
      <c r="CQ91" s="226">
        <f>SUM(CM80,CO80:CQ80)</f>
        <v>56874</v>
      </c>
      <c r="CR91" s="226">
        <f>SUM(CO80:CR80)</f>
        <v>65124</v>
      </c>
      <c r="CS91" s="1038">
        <f>SUM(CO80:CR80)</f>
        <v>65124</v>
      </c>
      <c r="CT91" s="226">
        <f>SUM(CP80:CR80,CT80)</f>
        <v>72962</v>
      </c>
      <c r="CU91" s="226">
        <f>SUM(CQ80:CR80,CT80:CU80)</f>
        <v>80859</v>
      </c>
      <c r="CV91" s="226">
        <f>SUM(CR80,CT80:CV80)</f>
        <v>89395</v>
      </c>
      <c r="CW91" s="226">
        <f>SUM(CT80:CW80)</f>
        <v>91652</v>
      </c>
      <c r="CX91" s="1038">
        <f>SUM(CT80:CW80)</f>
        <v>91652</v>
      </c>
      <c r="CY91" s="226">
        <f>SUM(CU80:CW80,CY80)</f>
        <v>97469</v>
      </c>
      <c r="CZ91" s="226">
        <f>SUM(CV80:CW80,CY80:CZ80)</f>
        <v>95001</v>
      </c>
      <c r="DA91" s="226">
        <f>SUM(CW80,CY80:DA80)</f>
        <v>92815</v>
      </c>
      <c r="DB91" s="226">
        <f>SUM(CY80:DB80)</f>
        <v>91495</v>
      </c>
      <c r="DC91" s="1038">
        <f>SUM(CY80:DB80)</f>
        <v>91495</v>
      </c>
      <c r="DD91" s="226">
        <f>SUM(CZ80:DB80,DD80)</f>
        <v>89898</v>
      </c>
      <c r="DE91" s="226">
        <f>SUM(DA80:DB80,DD80:DE80)</f>
        <v>99142</v>
      </c>
      <c r="DF91" s="226">
        <f>SUM(DB80,DD80:DF80)</f>
        <v>106445</v>
      </c>
      <c r="DG91" s="226">
        <f>SUM(DD80:DG80)</f>
        <v>101746</v>
      </c>
      <c r="DH91" s="1038">
        <f>SUM(DD80:DG80)</f>
        <v>101746</v>
      </c>
      <c r="DI91" s="226">
        <f>SUM(DE80:DG80,DI80)</f>
        <v>107085</v>
      </c>
      <c r="DJ91" s="226">
        <f>SUM(DF80:DG80,DI80:DJ80)</f>
        <v>105059</v>
      </c>
      <c r="DK91" s="226">
        <f>SUM(DG80,DI80:DK80)</f>
        <v>105101</v>
      </c>
      <c r="DL91" s="226">
        <f>SUM(DI80:DL80)</f>
        <v>125299</v>
      </c>
      <c r="DM91" s="1038">
        <f>SUM(DI80:DL80)</f>
        <v>125299</v>
      </c>
      <c r="DN91" s="226">
        <f>SUM(DJ80:DL80,DN80)</f>
        <v>132601</v>
      </c>
      <c r="DO91" s="226">
        <f>SUM(DK80:DL80,DN80:DO80)</f>
        <v>133708</v>
      </c>
      <c r="DP91" s="226">
        <f>SUM(DL80,DN80:DP80)</f>
        <v>151424</v>
      </c>
      <c r="DQ91" s="226">
        <f ca="1">SUM(DN80:DQ80)</f>
        <v>159793.67433148643</v>
      </c>
      <c r="DR91" s="1038">
        <f ca="1">SUM(DN80:DQ80)</f>
        <v>159793.67433148643</v>
      </c>
      <c r="DS91" s="226">
        <f ca="1">SUM(DO80:DQ80,DS80)</f>
        <v>173037.48880902797</v>
      </c>
      <c r="DT91" s="226">
        <f ca="1">SUM(DP80:DQ80,DS80:DT80)</f>
        <v>182329.72282884823</v>
      </c>
      <c r="DU91" s="226">
        <f ca="1">SUM(DQ80,DS80:DU80)</f>
        <v>191037.95655376979</v>
      </c>
      <c r="DV91" s="226">
        <f ca="1">SUM(DS80:DV80)</f>
        <v>202462.25918312283</v>
      </c>
      <c r="DW91" s="1038">
        <f ca="1">SUM(DS80:DV80)</f>
        <v>202462.25918312283</v>
      </c>
      <c r="DX91" s="1038">
        <f t="shared" ref="DX91:DZ92" ca="1" si="302">DX80</f>
        <v>233045.67604004024</v>
      </c>
      <c r="DY91" s="1038">
        <f t="shared" ca="1" si="302"/>
        <v>262186.89210780448</v>
      </c>
      <c r="DZ91" s="1038">
        <f t="shared" ca="1" si="302"/>
        <v>291757.16202415811</v>
      </c>
      <c r="EA91" s="1038">
        <f t="shared" ref="EA91" ca="1" si="303">EA80</f>
        <v>324975.42946599319</v>
      </c>
      <c r="EC91" s="4320"/>
      <c r="ED91" s="4320"/>
    </row>
    <row r="92" spans="1:134" s="84" customFormat="1" ht="11.25" customHeight="1">
      <c r="A92" s="1587" t="s">
        <v>1135</v>
      </c>
      <c r="B92" s="1039"/>
      <c r="C92" s="77"/>
      <c r="D92" s="77"/>
      <c r="E92" s="77"/>
      <c r="F92" s="77"/>
      <c r="G92" s="1038"/>
      <c r="H92" s="511"/>
      <c r="I92" s="511"/>
      <c r="J92" s="511"/>
      <c r="K92" s="511"/>
      <c r="L92" s="1038"/>
      <c r="M92" s="1463"/>
      <c r="N92" s="511"/>
      <c r="O92" s="511"/>
      <c r="P92" s="511"/>
      <c r="Q92" s="1038"/>
      <c r="R92" s="1463"/>
      <c r="S92" s="511"/>
      <c r="T92" s="511"/>
      <c r="U92" s="511"/>
      <c r="V92" s="1038"/>
      <c r="W92" s="1463"/>
      <c r="X92" s="511"/>
      <c r="Y92" s="511"/>
      <c r="Z92" s="1470"/>
      <c r="AA92" s="1038"/>
      <c r="AB92" s="1426"/>
      <c r="AC92" s="226"/>
      <c r="AD92" s="226"/>
      <c r="AE92" s="1471"/>
      <c r="AF92" s="1038"/>
      <c r="AG92" s="1426"/>
      <c r="AH92" s="226"/>
      <c r="AI92" s="226"/>
      <c r="AJ92" s="1471"/>
      <c r="AK92" s="1038"/>
      <c r="AL92" s="1426"/>
      <c r="AM92" s="226"/>
      <c r="AN92" s="226"/>
      <c r="AO92" s="1471"/>
      <c r="AP92" s="1038"/>
      <c r="AQ92" s="1426"/>
      <c r="AR92" s="226"/>
      <c r="AS92" s="226"/>
      <c r="AT92" s="1471"/>
      <c r="AU92" s="1038"/>
      <c r="AV92" s="226"/>
      <c r="AW92" s="226"/>
      <c r="AX92" s="226"/>
      <c r="AY92" s="226"/>
      <c r="AZ92" s="1038"/>
      <c r="BA92" s="226"/>
      <c r="BB92" s="226"/>
      <c r="BC92" s="226"/>
      <c r="BD92" s="226"/>
      <c r="BE92" s="1038"/>
      <c r="BF92" s="226"/>
      <c r="BG92" s="226"/>
      <c r="BH92" s="226"/>
      <c r="BI92" s="226"/>
      <c r="BJ92" s="1038"/>
      <c r="BK92" s="686"/>
      <c r="BL92" s="226"/>
      <c r="BM92" s="226"/>
      <c r="BN92" s="226"/>
      <c r="BO92" s="1038"/>
      <c r="BP92" s="686"/>
      <c r="BQ92" s="226"/>
      <c r="BR92" s="226"/>
      <c r="BS92" s="226"/>
      <c r="BT92" s="1038"/>
      <c r="BU92" s="226"/>
      <c r="BV92" s="226"/>
      <c r="BW92" s="226"/>
      <c r="BX92" s="226"/>
      <c r="BY92" s="1038"/>
      <c r="BZ92" s="226"/>
      <c r="CA92" s="226"/>
      <c r="CB92" s="226"/>
      <c r="CC92" s="226"/>
      <c r="CD92" s="1038"/>
      <c r="CE92" s="226"/>
      <c r="CF92" s="226"/>
      <c r="CG92" s="226"/>
      <c r="CH92" s="226"/>
      <c r="CI92" s="1038"/>
      <c r="CJ92" s="226">
        <f>SUM(CF81:CH81,CJ81)</f>
        <v>-22478</v>
      </c>
      <c r="CK92" s="226">
        <f>SUM(CG81:CH81,CJ81:CK81)</f>
        <v>-23127</v>
      </c>
      <c r="CL92" s="226">
        <f>SUM(CH81,CJ81:CL81)</f>
        <v>-24577</v>
      </c>
      <c r="CM92" s="226">
        <f>SUM(CJ81:CM81)</f>
        <v>-23548</v>
      </c>
      <c r="CN92" s="1038">
        <f>SUM(CJ81:CM81)</f>
        <v>-23548</v>
      </c>
      <c r="CO92" s="226">
        <f>SUM(CK81:CM81,CO81)</f>
        <v>-24915</v>
      </c>
      <c r="CP92" s="226">
        <f>SUM(CL81:CM81,CO81:CP81)</f>
        <v>-24180</v>
      </c>
      <c r="CQ92" s="226">
        <f>SUM(CM81,CO81:CQ81)</f>
        <v>-22854</v>
      </c>
      <c r="CR92" s="226">
        <f>SUM(CO81:CR81)</f>
        <v>-22281</v>
      </c>
      <c r="CS92" s="1038">
        <f>SUM(CO81:CR81)</f>
        <v>-22281</v>
      </c>
      <c r="CT92" s="226">
        <f>SUM(CP81:CR81,CT81)</f>
        <v>-22218</v>
      </c>
      <c r="CU92" s="226">
        <f>SUM(CQ81:CR81,CT81:CU81)</f>
        <v>-22323</v>
      </c>
      <c r="CV92" s="226">
        <f>SUM(CR81,CT81:CV81)</f>
        <v>-23736</v>
      </c>
      <c r="CW92" s="226">
        <f>SUM(CT81:CW81)</f>
        <v>-24640</v>
      </c>
      <c r="CX92" s="1038">
        <f>SUM(CT81:CW81)</f>
        <v>-24640</v>
      </c>
      <c r="CY92" s="226">
        <f>SUM(CU81:CW81,CY81)</f>
        <v>-28484</v>
      </c>
      <c r="CZ92" s="226">
        <f>SUM(CV81:CW81,CY81:CZ81)</f>
        <v>-29816</v>
      </c>
      <c r="DA92" s="226">
        <f>SUM(CW81,CY81:DA81)</f>
        <v>-30273</v>
      </c>
      <c r="DB92" s="226">
        <f>SUM(CY81:DB81)</f>
        <v>-31485</v>
      </c>
      <c r="DC92" s="1038">
        <f>SUM(CY81:DB81)</f>
        <v>-31485</v>
      </c>
      <c r="DD92" s="226">
        <f>SUM(CZ81:DB81,DD81)</f>
        <v>-27988</v>
      </c>
      <c r="DE92" s="226">
        <f>SUM(DA81:DB81,DD81:DE81)</f>
        <v>-28048</v>
      </c>
      <c r="DF92" s="226">
        <f>SUM(DB81,DD81:DF81)</f>
        <v>-28827</v>
      </c>
      <c r="DG92" s="226">
        <f>SUM(DD81:DG81)</f>
        <v>-32251</v>
      </c>
      <c r="DH92" s="1038">
        <f>SUM(DD81:DG81)</f>
        <v>-32251</v>
      </c>
      <c r="DI92" s="226">
        <f>SUM(DE81:DG81,DI81)</f>
        <v>-37974</v>
      </c>
      <c r="DJ92" s="226">
        <f>SUM(DF81:DG81,DI81:DJ81)</f>
        <v>-44272</v>
      </c>
      <c r="DK92" s="226">
        <f>SUM(DG81,DI81:DK81)</f>
        <v>-49278</v>
      </c>
      <c r="DL92" s="226">
        <f>SUM(DI81:DL81)</f>
        <v>-52535</v>
      </c>
      <c r="DM92" s="1038">
        <f>SUM(DI81:DL81)</f>
        <v>-52535</v>
      </c>
      <c r="DN92" s="226">
        <f>SUM(DJ81:DL81,DN81)</f>
        <v>-57720</v>
      </c>
      <c r="DO92" s="226">
        <f>SUM(DK81:DL81,DN81:DO81)</f>
        <v>-66980</v>
      </c>
      <c r="DP92" s="226">
        <f>SUM(DL81,DN81:DP81)</f>
        <v>-77872</v>
      </c>
      <c r="DQ92" s="226">
        <f>SUM(DN81:DQ81)</f>
        <v>-92392.411129211658</v>
      </c>
      <c r="DR92" s="1038">
        <f>SUM(DN81:DQ81)</f>
        <v>-92392.411129211658</v>
      </c>
      <c r="DS92" s="226">
        <f>SUM(DO81:DQ81,DS81)</f>
        <v>-107003.31661591704</v>
      </c>
      <c r="DT92" s="226">
        <f>SUM(DP81:DQ81,DS81:DT81)</f>
        <v>-119376.27455888555</v>
      </c>
      <c r="DU92" s="226">
        <f>SUM(DQ81,DS81:DU81)</f>
        <v>-131888.80529901502</v>
      </c>
      <c r="DV92" s="226">
        <f>SUM(DS81:DV81)</f>
        <v>-140918.83466632356</v>
      </c>
      <c r="DW92" s="1038">
        <f>SUM(DS81:DV81)</f>
        <v>-140918.83466632356</v>
      </c>
      <c r="DX92" s="1038">
        <f t="shared" si="302"/>
        <v>-156583.13115276871</v>
      </c>
      <c r="DY92" s="1038">
        <f t="shared" si="302"/>
        <v>-171204.68556146964</v>
      </c>
      <c r="DZ92" s="1038">
        <f t="shared" si="302"/>
        <v>-184596.54397761333</v>
      </c>
      <c r="EA92" s="1038">
        <f t="shared" ref="EA92" si="304">EA81</f>
        <v>-197553.72407966186</v>
      </c>
      <c r="EC92" s="4320"/>
      <c r="ED92" s="4320"/>
    </row>
    <row r="93" spans="1:134" s="84" customFormat="1" ht="11.25" customHeight="1">
      <c r="A93" s="6099" t="s">
        <v>1135</v>
      </c>
      <c r="B93" s="6092"/>
      <c r="C93" s="3118"/>
      <c r="D93" s="3118"/>
      <c r="E93" s="3118"/>
      <c r="F93" s="3118"/>
      <c r="G93" s="6100"/>
      <c r="H93" s="2992"/>
      <c r="I93" s="2992"/>
      <c r="J93" s="2992"/>
      <c r="K93" s="2992"/>
      <c r="L93" s="6100"/>
      <c r="M93" s="6101"/>
      <c r="N93" s="2992"/>
      <c r="O93" s="2992"/>
      <c r="P93" s="2992"/>
      <c r="Q93" s="6100"/>
      <c r="R93" s="6101"/>
      <c r="S93" s="2992"/>
      <c r="T93" s="2992"/>
      <c r="U93" s="2992"/>
      <c r="V93" s="6100"/>
      <c r="W93" s="6101"/>
      <c r="X93" s="2992"/>
      <c r="Y93" s="2992"/>
      <c r="Z93" s="3130"/>
      <c r="AA93" s="6100"/>
      <c r="AB93" s="6102"/>
      <c r="AC93" s="3132"/>
      <c r="AD93" s="3132"/>
      <c r="AE93" s="3133"/>
      <c r="AF93" s="6100"/>
      <c r="AG93" s="6102"/>
      <c r="AH93" s="3132"/>
      <c r="AI93" s="3132"/>
      <c r="AJ93" s="3133"/>
      <c r="AK93" s="6100"/>
      <c r="AL93" s="6102"/>
      <c r="AM93" s="3132"/>
      <c r="AN93" s="3132"/>
      <c r="AO93" s="3133"/>
      <c r="AP93" s="6100"/>
      <c r="AQ93" s="6102"/>
      <c r="AR93" s="3132"/>
      <c r="AS93" s="3132"/>
      <c r="AT93" s="3133"/>
      <c r="AU93" s="6100"/>
      <c r="AV93" s="3132"/>
      <c r="AW93" s="3132"/>
      <c r="AX93" s="3132"/>
      <c r="AY93" s="3132"/>
      <c r="AZ93" s="6100"/>
      <c r="BA93" s="3132"/>
      <c r="BB93" s="3132"/>
      <c r="BC93" s="3132"/>
      <c r="BD93" s="3132"/>
      <c r="BE93" s="6100"/>
      <c r="BF93" s="3132"/>
      <c r="BG93" s="3132"/>
      <c r="BH93" s="3132"/>
      <c r="BI93" s="3132"/>
      <c r="BJ93" s="6100"/>
      <c r="BK93" s="3134"/>
      <c r="BL93" s="3132"/>
      <c r="BM93" s="3132"/>
      <c r="BN93" s="3132"/>
      <c r="BO93" s="6100"/>
      <c r="BP93" s="3134"/>
      <c r="BQ93" s="3132"/>
      <c r="BR93" s="3132"/>
      <c r="BS93" s="3132"/>
      <c r="BT93" s="6100"/>
      <c r="BU93" s="3134"/>
      <c r="BV93" s="3132"/>
      <c r="BW93" s="3132"/>
      <c r="BX93" s="3135"/>
      <c r="BY93" s="6100"/>
      <c r="BZ93" s="3132"/>
      <c r="CA93" s="3132"/>
      <c r="CB93" s="3132"/>
      <c r="CC93" s="3132"/>
      <c r="CD93" s="6100"/>
      <c r="CE93" s="3132"/>
      <c r="CF93" s="3132"/>
      <c r="CG93" s="3132"/>
      <c r="CH93" s="3132"/>
      <c r="CI93" s="6100"/>
      <c r="CJ93" s="3132">
        <f>SUM(CF83:CH83,CJ83)</f>
        <v>25851</v>
      </c>
      <c r="CK93" s="3132">
        <f>SUM(CG83:CH83,CJ83:CK83)</f>
        <v>27697</v>
      </c>
      <c r="CL93" s="3132">
        <f>SUM(CH83,CJ83:CL83)</f>
        <v>28503</v>
      </c>
      <c r="CM93" s="3132">
        <f>SUM(CJ83:CM83)</f>
        <v>30972</v>
      </c>
      <c r="CN93" s="6100">
        <f>SUM(CJ83:CM83)</f>
        <v>30972</v>
      </c>
      <c r="CO93" s="3132">
        <f>SUM(CK83:CM83,CO83)</f>
        <v>29056</v>
      </c>
      <c r="CP93" s="3132">
        <f>SUM(CL83:CM83,CO83:CP83)</f>
        <v>31157</v>
      </c>
      <c r="CQ93" s="3132">
        <f>SUM(CM83,CO83:CQ83)</f>
        <v>34020</v>
      </c>
      <c r="CR93" s="3132">
        <f>SUM(CO83:CR83)</f>
        <v>42843</v>
      </c>
      <c r="CS93" s="6100">
        <f>SUM(CO83:CR83)</f>
        <v>42843</v>
      </c>
      <c r="CT93" s="3132">
        <f>SUM(CP83:CR83,CT83)</f>
        <v>50744</v>
      </c>
      <c r="CU93" s="3132">
        <f>SUM(CQ83:CR83,CT83:CU83)</f>
        <v>58536</v>
      </c>
      <c r="CV93" s="3132">
        <f>SUM(CR83,CT83:CV83)</f>
        <v>65659</v>
      </c>
      <c r="CW93" s="3132">
        <f>SUM(CT83:CW83)</f>
        <v>67012</v>
      </c>
      <c r="CX93" s="6100">
        <f>SUM(CT83:CW83)</f>
        <v>67012</v>
      </c>
      <c r="CY93" s="3132">
        <f>SUM(CU83:CW83,CY83)</f>
        <v>68985</v>
      </c>
      <c r="CZ93" s="3132">
        <f>SUM(CV83:CW83,CY83:CZ83)</f>
        <v>65185</v>
      </c>
      <c r="DA93" s="3132">
        <f>SUM(CW83,CY83:DA83)</f>
        <v>62542</v>
      </c>
      <c r="DB93" s="3132">
        <f>SUM(CY83:DB83)</f>
        <v>60010</v>
      </c>
      <c r="DC93" s="6100">
        <f>SUM(CY83:DB83)</f>
        <v>60010</v>
      </c>
      <c r="DD93" s="3132">
        <f>SUM(CZ83:DB83,DD83)</f>
        <v>61910</v>
      </c>
      <c r="DE93" s="3132">
        <f>SUM(DA83:DB83,DD83:DE83)</f>
        <v>71094</v>
      </c>
      <c r="DF93" s="3132">
        <f>SUM(DB83,DD83:DF83)</f>
        <v>77618</v>
      </c>
      <c r="DG93" s="3132">
        <f>SUM(DD83:DG83)</f>
        <v>69495</v>
      </c>
      <c r="DH93" s="6100">
        <f>SUM(DD83:DG83)</f>
        <v>69495</v>
      </c>
      <c r="DI93" s="3132">
        <f>SUM(DE83:DG83,DI83)</f>
        <v>69111</v>
      </c>
      <c r="DJ93" s="3132">
        <f>SUM(DF83:DG83,DI83:DJ83)</f>
        <v>60787</v>
      </c>
      <c r="DK93" s="3132">
        <f>SUM(DG83,DI83:DK83)</f>
        <v>55823</v>
      </c>
      <c r="DL93" s="3132">
        <f>SUM(DI83:DL83)</f>
        <v>72764</v>
      </c>
      <c r="DM93" s="6100">
        <f>SUM(DI83:DL83)</f>
        <v>72764</v>
      </c>
      <c r="DN93" s="3132">
        <f>SUM(DJ83:DL83,DN83)</f>
        <v>74881</v>
      </c>
      <c r="DO93" s="3132">
        <f>SUM(DK83:DL83,DN83:DO83)</f>
        <v>66728</v>
      </c>
      <c r="DP93" s="3132">
        <f>SUM(DL83,DN83:DP83)</f>
        <v>73552</v>
      </c>
      <c r="DQ93" s="3132">
        <f ca="1">SUM(DN83:DQ83)</f>
        <v>67401.263202274771</v>
      </c>
      <c r="DR93" s="6100">
        <f ca="1">SUM(DN83:DQ83)</f>
        <v>67401.263202274771</v>
      </c>
      <c r="DS93" s="3132">
        <f ca="1">SUM(DO83:DQ83,DS83)</f>
        <v>66034.172193110935</v>
      </c>
      <c r="DT93" s="3132">
        <f ca="1">SUM(DP83:DQ83,DS83:DT83)</f>
        <v>62953.44826996269</v>
      </c>
      <c r="DU93" s="3132">
        <f ca="1">SUM(DQ83,DS83:DU83)</f>
        <v>59149.151254754768</v>
      </c>
      <c r="DV93" s="3132">
        <f ca="1">SUM(DS83:DV83)</f>
        <v>61543.424516799278</v>
      </c>
      <c r="DW93" s="6100">
        <f ca="1">SUM(DS83:DV83)</f>
        <v>61543.424516799278</v>
      </c>
      <c r="DX93" s="6100">
        <f t="shared" ref="DX93:DZ93" ca="1" si="305">DX83</f>
        <v>76462.544887271535</v>
      </c>
      <c r="DY93" s="6100">
        <f t="shared" ca="1" si="305"/>
        <v>90982.206546334841</v>
      </c>
      <c r="DZ93" s="6100">
        <f t="shared" ca="1" si="305"/>
        <v>107160.61804654478</v>
      </c>
      <c r="EA93" s="6100">
        <f t="shared" ref="EA93" ca="1" si="306">EA83</f>
        <v>127421.70538633133</v>
      </c>
      <c r="EC93" s="1319"/>
      <c r="ED93" s="1319"/>
    </row>
    <row r="94" spans="1:134" s="240" customFormat="1" ht="11.25" customHeight="1">
      <c r="A94" s="1589" t="s">
        <v>215</v>
      </c>
      <c r="B94" s="1460"/>
      <c r="C94" s="346"/>
      <c r="D94" s="346"/>
      <c r="E94" s="346"/>
      <c r="F94" s="346"/>
      <c r="G94" s="1030"/>
      <c r="H94" s="223"/>
      <c r="I94" s="223"/>
      <c r="J94" s="223"/>
      <c r="K94" s="223"/>
      <c r="L94" s="1030"/>
      <c r="M94" s="261"/>
      <c r="N94" s="239"/>
      <c r="O94" s="239"/>
      <c r="P94" s="239"/>
      <c r="Q94" s="1030"/>
      <c r="R94" s="261"/>
      <c r="S94" s="239"/>
      <c r="T94" s="239"/>
      <c r="U94" s="239"/>
      <c r="V94" s="1030"/>
      <c r="W94" s="261"/>
      <c r="X94" s="239"/>
      <c r="Y94" s="239"/>
      <c r="Z94" s="239"/>
      <c r="AA94" s="1030"/>
      <c r="AB94" s="235"/>
      <c r="AC94" s="223"/>
      <c r="AD94" s="223"/>
      <c r="AE94" s="223"/>
      <c r="AF94" s="1030"/>
      <c r="AG94" s="235"/>
      <c r="AH94" s="223"/>
      <c r="AI94" s="223"/>
      <c r="AJ94" s="223"/>
      <c r="AK94" s="1030"/>
      <c r="AL94" s="235"/>
      <c r="AM94" s="223"/>
      <c r="AN94" s="223"/>
      <c r="AO94" s="223"/>
      <c r="AP94" s="1030"/>
      <c r="AQ94" s="235"/>
      <c r="AR94" s="223"/>
      <c r="AS94" s="223"/>
      <c r="AT94" s="223"/>
      <c r="AU94" s="1030"/>
      <c r="AV94" s="223"/>
      <c r="AW94" s="223"/>
      <c r="AX94" s="223"/>
      <c r="AY94" s="223"/>
      <c r="AZ94" s="1030"/>
      <c r="BA94" s="223"/>
      <c r="BB94" s="223"/>
      <c r="BC94" s="223"/>
      <c r="BD94" s="223"/>
      <c r="BE94" s="1030"/>
      <c r="BF94" s="223"/>
      <c r="BG94" s="223"/>
      <c r="BH94" s="223"/>
      <c r="BI94" s="223"/>
      <c r="BJ94" s="1030"/>
      <c r="BK94" s="560"/>
      <c r="BL94" s="223"/>
      <c r="BM94" s="223"/>
      <c r="BN94" s="223"/>
      <c r="BO94" s="1030"/>
      <c r="BP94" s="560"/>
      <c r="BQ94" s="223"/>
      <c r="BR94" s="223"/>
      <c r="BS94" s="223"/>
      <c r="BT94" s="1030"/>
      <c r="BU94" s="560"/>
      <c r="BV94" s="223"/>
      <c r="BW94" s="223"/>
      <c r="BX94" s="561"/>
      <c r="BY94" s="1030"/>
      <c r="BZ94" s="223"/>
      <c r="CA94" s="223"/>
      <c r="CB94" s="223"/>
      <c r="CC94" s="223"/>
      <c r="CD94" s="1030"/>
      <c r="CE94" s="223"/>
      <c r="CF94" s="223"/>
      <c r="CG94" s="223"/>
      <c r="CH94" s="223"/>
      <c r="CI94" s="1030"/>
      <c r="CJ94" s="223"/>
      <c r="CK94" s="223"/>
      <c r="CL94" s="223"/>
      <c r="CM94" s="223"/>
      <c r="CN94" s="1030"/>
      <c r="CO94" s="223">
        <f t="shared" ref="CO94" si="307">CO93/CJ93-1</f>
        <v>0.12397972999110296</v>
      </c>
      <c r="CP94" s="223">
        <f t="shared" ref="CP94" si="308">CP93/CK93-1</f>
        <v>0.12492327688919369</v>
      </c>
      <c r="CQ94" s="223">
        <f t="shared" ref="CQ94" si="309">CQ93/CL93-1</f>
        <v>0.19355857278181254</v>
      </c>
      <c r="CR94" s="223">
        <f t="shared" ref="CR94" si="310">CR93/CM93-1</f>
        <v>0.38328167376985656</v>
      </c>
      <c r="CS94" s="1030">
        <f t="shared" ref="CS94" si="311">CS93/CN93-1</f>
        <v>0.38328167376985656</v>
      </c>
      <c r="CT94" s="223">
        <f t="shared" ref="CT94" si="312">CT93/CO93-1</f>
        <v>0.74642070484581491</v>
      </c>
      <c r="CU94" s="223">
        <f t="shared" ref="CU94" si="313">CU93/CP93-1</f>
        <v>0.87874313958340022</v>
      </c>
      <c r="CV94" s="223">
        <f t="shared" ref="CV94" si="314">CV93/CQ93-1</f>
        <v>0.93001175778953549</v>
      </c>
      <c r="CW94" s="223">
        <f t="shared" ref="CW94" si="315">CW93/CR93-1</f>
        <v>0.56412949606703555</v>
      </c>
      <c r="CX94" s="1030">
        <f t="shared" ref="CX94" si="316">CX93/CS93-1</f>
        <v>0.56412949606703555</v>
      </c>
      <c r="CY94" s="223">
        <f t="shared" ref="CY94" si="317">CY93/CT93-1</f>
        <v>0.35947107047138571</v>
      </c>
      <c r="CZ94" s="223">
        <f t="shared" ref="CZ94" si="318">CZ93/CU93-1</f>
        <v>0.11358821921552553</v>
      </c>
      <c r="DA94" s="223">
        <f t="shared" ref="DA94" si="319">DA93/CV93-1</f>
        <v>-4.7472547556313693E-2</v>
      </c>
      <c r="DB94" s="223">
        <f t="shared" ref="DB94" si="320">DB93/CW93-1</f>
        <v>-0.10448874828388943</v>
      </c>
      <c r="DC94" s="1030">
        <f t="shared" ref="DC94" si="321">DC93/CX93-1</f>
        <v>-0.10448874828388943</v>
      </c>
      <c r="DD94" s="223">
        <f t="shared" ref="DD94" si="322">DD93/CY93-1</f>
        <v>-0.10255852721606151</v>
      </c>
      <c r="DE94" s="223">
        <f t="shared" ref="DE94" si="323">DE93/CZ93-1</f>
        <v>9.0649689345708273E-2</v>
      </c>
      <c r="DF94" s="223">
        <f t="shared" ref="DF94" si="324">DF93/DA93-1</f>
        <v>0.24105401170413487</v>
      </c>
      <c r="DG94" s="223">
        <f t="shared" ref="DG94" si="325">DG93/DB93-1</f>
        <v>0.15805699050158317</v>
      </c>
      <c r="DH94" s="1030">
        <f t="shared" ref="DH94" si="326">DH93/DC93-1</f>
        <v>0.15805699050158317</v>
      </c>
      <c r="DI94" s="223">
        <f t="shared" ref="DI94" si="327">DI93/DD93-1</f>
        <v>0.11631400419964466</v>
      </c>
      <c r="DJ94" s="223">
        <f t="shared" ref="DJ94" si="328">DJ93/DE93-1</f>
        <v>-0.14497707260809634</v>
      </c>
      <c r="DK94" s="223">
        <f t="shared" ref="DK94" si="329">DK93/DF93-1</f>
        <v>-0.28079826844288691</v>
      </c>
      <c r="DL94" s="223">
        <f t="shared" ref="DL94" si="330">DL93/DG93-1</f>
        <v>4.7039355349305811E-2</v>
      </c>
      <c r="DM94" s="1030">
        <f t="shared" ref="DM94" si="331">DM93/DH93-1</f>
        <v>4.7039355349305811E-2</v>
      </c>
      <c r="DN94" s="223">
        <f t="shared" ref="DN94:DP94" si="332">DN93/DI93-1</f>
        <v>8.3488880207202909E-2</v>
      </c>
      <c r="DO94" s="223">
        <f t="shared" si="332"/>
        <v>9.7734713014295815E-2</v>
      </c>
      <c r="DP94" s="223">
        <f t="shared" si="332"/>
        <v>0.31759310678394215</v>
      </c>
      <c r="DQ94" s="223">
        <f t="shared" ref="DQ94" ca="1" si="333">DQ93/DL93-1</f>
        <v>-7.3700412260530368E-2</v>
      </c>
      <c r="DR94" s="1030">
        <f t="shared" ref="DR94" ca="1" si="334">DR93/DM93-1</f>
        <v>-7.3700412260530368E-2</v>
      </c>
      <c r="DS94" s="223">
        <f t="shared" ref="DS94" ca="1" si="335">DS93/DN93-1</f>
        <v>-0.118145161080769</v>
      </c>
      <c r="DT94" s="223">
        <f t="shared" ref="DT94" ca="1" si="336">DT93/DO93-1</f>
        <v>-5.6566235014346433E-2</v>
      </c>
      <c r="DU94" s="223">
        <f t="shared" ref="DU94" ca="1" si="337">DU93/DP93-1</f>
        <v>-0.19581858746526581</v>
      </c>
      <c r="DV94" s="223">
        <f t="shared" ref="DV94" ca="1" si="338">DV93/DQ93-1</f>
        <v>-8.6909924342156719E-2</v>
      </c>
      <c r="DW94" s="1030">
        <f t="shared" ref="DW94" ca="1" si="339">DW93/DR93-1</f>
        <v>-8.6909924342156719E-2</v>
      </c>
      <c r="DX94" s="1030">
        <f ca="1">DX93/DW93-1</f>
        <v>0.24241615554558305</v>
      </c>
      <c r="DY94" s="1030">
        <f ca="1">DY93/DX93-1</f>
        <v>0.1898924719347177</v>
      </c>
      <c r="DZ94" s="1030">
        <f ca="1">DZ93/DY93-1</f>
        <v>0.17781951124663808</v>
      </c>
      <c r="EA94" s="1030">
        <f ca="1">EA93/DZ93-1</f>
        <v>0.18907213964542668</v>
      </c>
      <c r="EC94" s="4327"/>
      <c r="ED94" s="4327"/>
    </row>
    <row r="95" spans="1:134" s="350" customFormat="1" ht="11.25" customHeight="1">
      <c r="A95" s="1587" t="s">
        <v>240</v>
      </c>
      <c r="B95" s="1461"/>
      <c r="C95" s="348"/>
      <c r="D95" s="348"/>
      <c r="E95" s="348"/>
      <c r="F95" s="348"/>
      <c r="G95" s="1461"/>
      <c r="H95" s="348"/>
      <c r="I95" s="348"/>
      <c r="J95" s="348"/>
      <c r="K95" s="348"/>
      <c r="L95" s="1461"/>
      <c r="M95" s="347"/>
      <c r="N95" s="348"/>
      <c r="O95" s="348"/>
      <c r="P95" s="348"/>
      <c r="Q95" s="1461"/>
      <c r="R95" s="347"/>
      <c r="S95" s="348"/>
      <c r="T95" s="348"/>
      <c r="U95" s="348"/>
      <c r="V95" s="1461"/>
      <c r="W95" s="347"/>
      <c r="X95" s="348"/>
      <c r="Y95" s="348"/>
      <c r="Z95" s="348"/>
      <c r="AA95" s="1461"/>
      <c r="AB95" s="349"/>
      <c r="AC95" s="119"/>
      <c r="AD95" s="119"/>
      <c r="AE95" s="119"/>
      <c r="AF95" s="1461"/>
      <c r="AG95" s="349"/>
      <c r="AH95" s="119"/>
      <c r="AI95" s="119"/>
      <c r="AJ95" s="119"/>
      <c r="AK95" s="1461"/>
      <c r="AL95" s="349"/>
      <c r="AM95" s="119"/>
      <c r="AN95" s="119"/>
      <c r="AO95" s="119"/>
      <c r="AP95" s="1461"/>
      <c r="AQ95" s="349"/>
      <c r="AR95" s="119"/>
      <c r="AS95" s="119"/>
      <c r="AT95" s="119"/>
      <c r="AU95" s="1461"/>
      <c r="AV95" s="119"/>
      <c r="AW95" s="119"/>
      <c r="AX95" s="119"/>
      <c r="AY95" s="119"/>
      <c r="AZ95" s="1461"/>
      <c r="BA95" s="119"/>
      <c r="BB95" s="119"/>
      <c r="BC95" s="119"/>
      <c r="BD95" s="119"/>
      <c r="BE95" s="1461"/>
      <c r="BF95" s="119"/>
      <c r="BG95" s="119"/>
      <c r="BH95" s="119"/>
      <c r="BI95" s="119"/>
      <c r="BJ95" s="1461"/>
      <c r="BK95" s="572"/>
      <c r="BL95" s="119"/>
      <c r="BM95" s="119"/>
      <c r="BN95" s="119"/>
      <c r="BO95" s="1461"/>
      <c r="BP95" s="572"/>
      <c r="BQ95" s="119"/>
      <c r="BR95" s="119"/>
      <c r="BS95" s="119"/>
      <c r="BT95" s="1461"/>
      <c r="BU95" s="572"/>
      <c r="BV95" s="119"/>
      <c r="BW95" s="119"/>
      <c r="BX95" s="573"/>
      <c r="BY95" s="1461"/>
      <c r="BZ95" s="119"/>
      <c r="CA95" s="119"/>
      <c r="CB95" s="119"/>
      <c r="CC95" s="119"/>
      <c r="CD95" s="1461"/>
      <c r="CE95" s="119"/>
      <c r="CF95" s="119"/>
      <c r="CG95" s="119"/>
      <c r="CH95" s="119"/>
      <c r="CI95" s="1461"/>
      <c r="CJ95" s="119">
        <f>CJ93/IS!CJ$38</f>
        <v>1.8831871764649317</v>
      </c>
      <c r="CK95" s="119">
        <f>CK93/IS!CK$38</f>
        <v>2.0122345487965241</v>
      </c>
      <c r="CL95" s="119">
        <f>CL93/IS!CL$38</f>
        <v>2.0699616988457366</v>
      </c>
      <c r="CM95" s="119">
        <f>CM93/IS!CM$38</f>
        <v>2.2539188146768159</v>
      </c>
      <c r="CN95" s="1461">
        <f>CN93/IS!CN$38</f>
        <v>2.2459818592657266</v>
      </c>
      <c r="CO95" s="119">
        <f>CO93/IS!CO$38</f>
        <v>2.1028314695213912</v>
      </c>
      <c r="CP95" s="119">
        <f>CP93/IS!CP$38</f>
        <v>2.2437093036486111</v>
      </c>
      <c r="CQ95" s="119">
        <f>CQ93/IS!CQ$38</f>
        <v>2.4403715792116496</v>
      </c>
      <c r="CR95" s="119">
        <f>CR93/IS!CR$38</f>
        <v>3.0914378075707503</v>
      </c>
      <c r="CS95" s="1461">
        <f>CS93/IS!CS$38</f>
        <v>3.0632293786312523</v>
      </c>
      <c r="CT95" s="119">
        <f>CT93/IS!CT$38</f>
        <v>3.6409714040528267</v>
      </c>
      <c r="CU95" s="119">
        <f>CU93/IS!CU$38</f>
        <v>4.1904816448084299</v>
      </c>
      <c r="CV95" s="119">
        <f>CV93/IS!CV$38</f>
        <v>4.6884483613030739</v>
      </c>
      <c r="CW95" s="119">
        <f>CW93/IS!CW$38</f>
        <v>4.7954361347977548</v>
      </c>
      <c r="CX95" s="1461">
        <f>CX93/IS!CX$38</f>
        <v>4.7726897196155189</v>
      </c>
      <c r="CY95" s="119">
        <f>CY93/IS!CY$38</f>
        <v>4.9029641664641082</v>
      </c>
      <c r="CZ95" s="119">
        <f>CZ93/IS!CZ$38</f>
        <v>4.6314848603698087</v>
      </c>
      <c r="DA95" s="119">
        <f>DA93/IS!DA$38</f>
        <v>4.5019896228642509</v>
      </c>
      <c r="DB95" s="119">
        <f>DB93/IS!DB$38</f>
        <v>4.2645938509119015</v>
      </c>
      <c r="DC95" s="1461">
        <f>DC93/IS!DC$38</f>
        <v>4.2552195752863993</v>
      </c>
      <c r="DD95" s="119">
        <f>DD93/IS!DD$38</f>
        <v>4.4017251406689262</v>
      </c>
      <c r="DE95" s="119">
        <f>DE93/IS!DE$38</f>
        <v>5.0503012677254961</v>
      </c>
      <c r="DF95" s="119">
        <f>DF93/IS!DF$38</f>
        <v>5.5370317263970987</v>
      </c>
      <c r="DG95" s="119">
        <f>DG93/IS!DG$38</f>
        <v>4.9407441296004215</v>
      </c>
      <c r="DH95" s="1461">
        <f>DH93/IS!DH$38</f>
        <v>4.9577031128054907</v>
      </c>
      <c r="DI95" s="119">
        <f>DI93/IS!DI$38</f>
        <v>4.936824419890451</v>
      </c>
      <c r="DJ95" s="119">
        <f>DJ93/IS!DJ$38</f>
        <v>4.3531285493104406</v>
      </c>
      <c r="DK95" s="119">
        <f>DK93/IS!DK$38</f>
        <v>4.0149224533008052</v>
      </c>
      <c r="DL95" s="119">
        <f>DL93/IS!DL$38</f>
        <v>5.2081685590213533</v>
      </c>
      <c r="DM95" s="1461">
        <f>DM93/IS!DM$38</f>
        <v>5.2554866836061809</v>
      </c>
      <c r="DN95" s="119">
        <f>DN93/IS!DN$38</f>
        <v>5.4496640583152844</v>
      </c>
      <c r="DO95" s="119">
        <f>DO93/IS!DO$38</f>
        <v>4.8646134510265346</v>
      </c>
      <c r="DP95" s="119">
        <f>DP93/IS!DP$38</f>
        <v>5.3847246361108629</v>
      </c>
      <c r="DQ95" s="119">
        <f ca="1">DQ93/IS!DQ$38</f>
        <v>4.9052795321786329</v>
      </c>
      <c r="DR95" s="1461">
        <f ca="1">DR93/IS!DR$38</f>
        <v>4.9409272056922795</v>
      </c>
      <c r="DS95" s="119">
        <f ca="1">DS93/IS!DS$38</f>
        <v>4.8582258842627075</v>
      </c>
      <c r="DT95" s="119">
        <f ca="1">DT93/IS!DT$38</f>
        <v>4.6527479841632449</v>
      </c>
      <c r="DU95" s="119">
        <f ca="1">DU93/IS!DU$38</f>
        <v>4.3977521888521345</v>
      </c>
      <c r="DV95" s="119">
        <f ca="1">DV93/IS!DV$38</f>
        <v>4.540785630017341</v>
      </c>
      <c r="DW95" s="1461">
        <f ca="1">DW93/IS!DW$38</f>
        <v>4.6096421484500265</v>
      </c>
      <c r="DX95" s="1461">
        <f ca="1">DX93/IS!DT$38</f>
        <v>5.6511749771456179</v>
      </c>
      <c r="DY95" s="1461">
        <f ca="1">DY93/IS!DU$38</f>
        <v>6.764546734786447</v>
      </c>
      <c r="DZ95" s="1461">
        <f ca="1">DZ93/IS!DV$38</f>
        <v>7.9065050141417457</v>
      </c>
      <c r="EA95" s="1461">
        <f ca="1">EA93/IS!DW$38</f>
        <v>9.543967830647496</v>
      </c>
      <c r="EB95" s="348"/>
      <c r="EC95" s="4328"/>
      <c r="ED95" s="4328"/>
    </row>
    <row r="96" spans="1:134" s="234" customFormat="1" ht="11.25" customHeight="1">
      <c r="A96" s="6104"/>
      <c r="B96" s="6105"/>
      <c r="C96" s="6106"/>
      <c r="D96" s="6106"/>
      <c r="E96" s="6106"/>
      <c r="F96" s="6106"/>
      <c r="G96" s="6107"/>
      <c r="H96" s="6106"/>
      <c r="I96" s="6106"/>
      <c r="J96" s="6106"/>
      <c r="K96" s="6106"/>
      <c r="L96" s="6107"/>
      <c r="M96" s="6108"/>
      <c r="N96" s="6106"/>
      <c r="O96" s="6106"/>
      <c r="P96" s="6106"/>
      <c r="Q96" s="6107"/>
      <c r="R96" s="6108"/>
      <c r="S96" s="6106"/>
      <c r="T96" s="6106"/>
      <c r="U96" s="6106"/>
      <c r="V96" s="6107"/>
      <c r="W96" s="6108"/>
      <c r="X96" s="6106"/>
      <c r="Y96" s="6106"/>
      <c r="Z96" s="6109"/>
      <c r="AA96" s="6107"/>
      <c r="AB96" s="6110"/>
      <c r="AC96" s="6111"/>
      <c r="AD96" s="6111"/>
      <c r="AE96" s="6112"/>
      <c r="AF96" s="6107"/>
      <c r="AG96" s="6110"/>
      <c r="AH96" s="6111"/>
      <c r="AI96" s="6111"/>
      <c r="AJ96" s="6112"/>
      <c r="AK96" s="6107"/>
      <c r="AL96" s="6110"/>
      <c r="AM96" s="6111"/>
      <c r="AN96" s="6111"/>
      <c r="AO96" s="6112"/>
      <c r="AP96" s="6107"/>
      <c r="AQ96" s="6110"/>
      <c r="AR96" s="6111"/>
      <c r="AS96" s="6111"/>
      <c r="AT96" s="6112"/>
      <c r="AU96" s="6107"/>
      <c r="AV96" s="6111"/>
      <c r="AW96" s="6111"/>
      <c r="AX96" s="6111"/>
      <c r="AY96" s="6111"/>
      <c r="AZ96" s="6107"/>
      <c r="BA96" s="6111"/>
      <c r="BB96" s="6111"/>
      <c r="BC96" s="6111"/>
      <c r="BD96" s="6111"/>
      <c r="BE96" s="6107"/>
      <c r="BF96" s="6111"/>
      <c r="BG96" s="6111"/>
      <c r="BH96" s="6111"/>
      <c r="BI96" s="6111"/>
      <c r="BJ96" s="6107"/>
      <c r="BK96" s="6113"/>
      <c r="BL96" s="6111"/>
      <c r="BM96" s="6111"/>
      <c r="BN96" s="6111"/>
      <c r="BO96" s="6107"/>
      <c r="BP96" s="6113"/>
      <c r="BQ96" s="6111"/>
      <c r="BR96" s="6111"/>
      <c r="BS96" s="6111"/>
      <c r="BT96" s="6107"/>
      <c r="BU96" s="6113"/>
      <c r="BV96" s="6111"/>
      <c r="BW96" s="6111"/>
      <c r="BX96" s="6114"/>
      <c r="BY96" s="6107"/>
      <c r="BZ96" s="6111"/>
      <c r="CA96" s="6111"/>
      <c r="CB96" s="6111"/>
      <c r="CC96" s="6111"/>
      <c r="CD96" s="6107"/>
      <c r="CE96" s="6111"/>
      <c r="CF96" s="6111"/>
      <c r="CG96" s="6111"/>
      <c r="CH96" s="6111"/>
      <c r="CI96" s="6107"/>
      <c r="CJ96" s="6111"/>
      <c r="CK96" s="6111"/>
      <c r="CL96" s="6111"/>
      <c r="CM96" s="6111"/>
      <c r="CN96" s="6107"/>
      <c r="CO96" s="6111"/>
      <c r="CP96" s="6111"/>
      <c r="CQ96" s="6111"/>
      <c r="CR96" s="6111"/>
      <c r="CS96" s="6107"/>
      <c r="CT96" s="6111"/>
      <c r="CU96" s="6111"/>
      <c r="CV96" s="6111"/>
      <c r="CW96" s="6111"/>
      <c r="CX96" s="6107"/>
      <c r="CY96" s="6111"/>
      <c r="CZ96" s="6111"/>
      <c r="DA96" s="6111"/>
      <c r="DB96" s="6111"/>
      <c r="DC96" s="6107"/>
      <c r="DD96" s="6111"/>
      <c r="DE96" s="6111"/>
      <c r="DF96" s="6111"/>
      <c r="DG96" s="6111"/>
      <c r="DH96" s="6107"/>
      <c r="DI96" s="6111"/>
      <c r="DJ96" s="6111"/>
      <c r="DK96" s="6111"/>
      <c r="DL96" s="6111"/>
      <c r="DM96" s="6107"/>
      <c r="DN96" s="6111"/>
      <c r="DO96" s="6111"/>
      <c r="DP96" s="6111"/>
      <c r="DQ96" s="6111"/>
      <c r="DR96" s="6107"/>
      <c r="DS96" s="6111"/>
      <c r="DT96" s="6111"/>
      <c r="DU96" s="6111"/>
      <c r="DV96" s="6111"/>
      <c r="DW96" s="6107"/>
      <c r="DX96" s="6107"/>
      <c r="DY96" s="6107"/>
      <c r="DZ96" s="6107"/>
      <c r="EA96" s="6107"/>
      <c r="EB96" s="211"/>
      <c r="EC96" s="4326"/>
      <c r="ED96" s="4326"/>
    </row>
    <row r="97" spans="1:134" s="84" customFormat="1" ht="11.25" customHeight="1">
      <c r="A97" s="3116" t="s">
        <v>928</v>
      </c>
      <c r="B97" s="6092"/>
      <c r="C97" s="3118"/>
      <c r="D97" s="3118"/>
      <c r="E97" s="3118"/>
      <c r="F97" s="3118"/>
      <c r="G97" s="6092"/>
      <c r="H97" s="3118"/>
      <c r="I97" s="3118"/>
      <c r="J97" s="3118"/>
      <c r="K97" s="3118"/>
      <c r="L97" s="6092"/>
      <c r="M97" s="6093"/>
      <c r="N97" s="3118"/>
      <c r="O97" s="3118"/>
      <c r="P97" s="3118"/>
      <c r="Q97" s="6092"/>
      <c r="R97" s="6093"/>
      <c r="S97" s="3118"/>
      <c r="T97" s="3118"/>
      <c r="U97" s="3118"/>
      <c r="V97" s="6092"/>
      <c r="W97" s="6093"/>
      <c r="X97" s="3118"/>
      <c r="Y97" s="3118"/>
      <c r="Z97" s="3120"/>
      <c r="AA97" s="6092"/>
      <c r="AB97" s="6094"/>
      <c r="AC97" s="3122"/>
      <c r="AD97" s="3123"/>
      <c r="AE97" s="3124"/>
      <c r="AF97" s="6092"/>
      <c r="AG97" s="6094"/>
      <c r="AH97" s="3122"/>
      <c r="AI97" s="3123"/>
      <c r="AJ97" s="3124"/>
      <c r="AK97" s="6092"/>
      <c r="AL97" s="6094"/>
      <c r="AM97" s="3125"/>
      <c r="AN97" s="3123"/>
      <c r="AO97" s="3124"/>
      <c r="AP97" s="6092"/>
      <c r="AQ97" s="6094"/>
      <c r="AR97" s="3123"/>
      <c r="AS97" s="3123"/>
      <c r="AT97" s="3124"/>
      <c r="AU97" s="6092"/>
      <c r="AV97" s="3123"/>
      <c r="AW97" s="3123"/>
      <c r="AX97" s="3123"/>
      <c r="AY97" s="3123"/>
      <c r="AZ97" s="6092"/>
      <c r="BA97" s="3123"/>
      <c r="BB97" s="3123"/>
      <c r="BC97" s="3123"/>
      <c r="BD97" s="3123"/>
      <c r="BE97" s="6092"/>
      <c r="BF97" s="3123"/>
      <c r="BG97" s="3123"/>
      <c r="BH97" s="3123"/>
      <c r="BI97" s="3123"/>
      <c r="BJ97" s="6092"/>
      <c r="BK97" s="3126"/>
      <c r="BL97" s="3123"/>
      <c r="BM97" s="3123"/>
      <c r="BN97" s="3127"/>
      <c r="BO97" s="6092"/>
      <c r="BP97" s="3126"/>
      <c r="BQ97" s="3123"/>
      <c r="BR97" s="3123"/>
      <c r="BS97" s="3127"/>
      <c r="BT97" s="6092"/>
      <c r="BU97" s="3126"/>
      <c r="BV97" s="3123"/>
      <c r="BW97" s="3123"/>
      <c r="BX97" s="3127"/>
      <c r="BY97" s="6092"/>
      <c r="BZ97" s="3123"/>
      <c r="CA97" s="3123"/>
      <c r="CB97" s="3123"/>
      <c r="CC97" s="3123"/>
      <c r="CD97" s="6095"/>
      <c r="CE97" s="3520"/>
      <c r="CF97" s="3123"/>
      <c r="CG97" s="3123"/>
      <c r="CH97" s="3520"/>
      <c r="CI97" s="6096"/>
      <c r="CJ97" s="4005"/>
      <c r="CK97" s="3123"/>
      <c r="CL97" s="3123"/>
      <c r="CM97" s="4005"/>
      <c r="CN97" s="6096"/>
      <c r="CO97" s="4005"/>
      <c r="CP97" s="4005"/>
      <c r="CQ97" s="4005"/>
      <c r="CR97" s="4005"/>
      <c r="CS97" s="6097"/>
      <c r="CT97" s="4005"/>
      <c r="CU97" s="4005"/>
      <c r="CV97" s="4005"/>
      <c r="CW97" s="4005"/>
      <c r="CX97" s="6097"/>
      <c r="CY97" s="4005"/>
      <c r="CZ97" s="4005"/>
      <c r="DA97" s="4005"/>
      <c r="DB97" s="4005"/>
      <c r="DC97" s="6097"/>
      <c r="DD97" s="4005"/>
      <c r="DE97" s="4005"/>
      <c r="DF97" s="4005"/>
      <c r="DG97" s="4005"/>
      <c r="DH97" s="6097"/>
      <c r="DI97" s="4005"/>
      <c r="DJ97" s="4005"/>
      <c r="DK97" s="4005"/>
      <c r="DL97" s="4005"/>
      <c r="DM97" s="6097"/>
      <c r="DN97" s="4005"/>
      <c r="DO97" s="4005"/>
      <c r="DP97" s="4005"/>
      <c r="DQ97" s="4005"/>
      <c r="DR97" s="6097"/>
      <c r="DS97" s="4005"/>
      <c r="DT97" s="4005"/>
      <c r="DU97" s="4005"/>
      <c r="DV97" s="4005"/>
      <c r="DW97" s="6097"/>
      <c r="DX97" s="6097"/>
      <c r="DY97" s="6097"/>
      <c r="DZ97" s="6097"/>
      <c r="EA97" s="6097"/>
      <c r="EC97" s="4320"/>
      <c r="ED97" s="4320"/>
    </row>
    <row r="98" spans="1:134" s="84" customFormat="1" ht="11.25" customHeight="1">
      <c r="A98" s="1588" t="s">
        <v>311</v>
      </c>
      <c r="B98" s="1039"/>
      <c r="C98" s="77"/>
      <c r="D98" s="77"/>
      <c r="E98" s="77"/>
      <c r="F98" s="77"/>
      <c r="G98" s="1038"/>
      <c r="H98" s="511"/>
      <c r="I98" s="511"/>
      <c r="J98" s="511"/>
      <c r="K98" s="511"/>
      <c r="L98" s="1038"/>
      <c r="M98" s="1463"/>
      <c r="N98" s="511"/>
      <c r="O98" s="511"/>
      <c r="P98" s="511"/>
      <c r="Q98" s="1038"/>
      <c r="R98" s="1463"/>
      <c r="S98" s="511"/>
      <c r="T98" s="511"/>
      <c r="U98" s="511"/>
      <c r="V98" s="1038"/>
      <c r="W98" s="1463"/>
      <c r="X98" s="511"/>
      <c r="Y98" s="511"/>
      <c r="Z98" s="1470"/>
      <c r="AA98" s="1038"/>
      <c r="AB98" s="1426"/>
      <c r="AC98" s="226"/>
      <c r="AD98" s="226"/>
      <c r="AE98" s="1471"/>
      <c r="AF98" s="1038"/>
      <c r="AG98" s="1426"/>
      <c r="AH98" s="226"/>
      <c r="AI98" s="226"/>
      <c r="AJ98" s="1471"/>
      <c r="AK98" s="1038"/>
      <c r="AL98" s="1426"/>
      <c r="AM98" s="226"/>
      <c r="AN98" s="226"/>
      <c r="AO98" s="1471"/>
      <c r="AP98" s="1038"/>
      <c r="AQ98" s="1426"/>
      <c r="AR98" s="226"/>
      <c r="AS98" s="226"/>
      <c r="AT98" s="1471"/>
      <c r="AU98" s="1038"/>
      <c r="AV98" s="226"/>
      <c r="AW98" s="226"/>
      <c r="AX98" s="226"/>
      <c r="AY98" s="226"/>
      <c r="AZ98" s="1038"/>
      <c r="BA98" s="226"/>
      <c r="BB98" s="226"/>
      <c r="BC98" s="226"/>
      <c r="BD98" s="226"/>
      <c r="BE98" s="1038"/>
      <c r="BF98" s="226"/>
      <c r="BG98" s="226"/>
      <c r="BH98" s="226"/>
      <c r="BI98" s="226"/>
      <c r="BJ98" s="1038"/>
      <c r="BK98" s="686"/>
      <c r="BL98" s="226"/>
      <c r="BM98" s="226"/>
      <c r="BN98" s="226"/>
      <c r="BO98" s="1038"/>
      <c r="BP98" s="686"/>
      <c r="BQ98" s="226"/>
      <c r="BR98" s="226"/>
      <c r="BS98" s="226"/>
      <c r="BT98" s="1038">
        <f t="shared" ref="BT98:DN98" si="340">-BT39</f>
        <v>1780</v>
      </c>
      <c r="BU98" s="226">
        <f t="shared" si="340"/>
        <v>2098</v>
      </c>
      <c r="BV98" s="226">
        <f t="shared" si="340"/>
        <v>1595</v>
      </c>
      <c r="BW98" s="226">
        <f t="shared" si="340"/>
        <v>0</v>
      </c>
      <c r="BX98" s="226">
        <f t="shared" si="340"/>
        <v>0</v>
      </c>
      <c r="BY98" s="1038">
        <f t="shared" si="340"/>
        <v>3693</v>
      </c>
      <c r="BZ98" s="226">
        <f t="shared" si="340"/>
        <v>1127</v>
      </c>
      <c r="CA98" s="226">
        <f t="shared" si="340"/>
        <v>1618</v>
      </c>
      <c r="CB98" s="226">
        <f t="shared" si="340"/>
        <v>0</v>
      </c>
      <c r="CC98" s="226">
        <f t="shared" si="340"/>
        <v>2101</v>
      </c>
      <c r="CD98" s="1038">
        <f t="shared" si="340"/>
        <v>4846</v>
      </c>
      <c r="CE98" s="226">
        <f t="shared" si="340"/>
        <v>2173</v>
      </c>
      <c r="CF98" s="226">
        <f t="shared" si="340"/>
        <v>2052</v>
      </c>
      <c r="CG98" s="226">
        <f t="shared" si="340"/>
        <v>2200</v>
      </c>
      <c r="CH98" s="226">
        <f t="shared" si="340"/>
        <v>2650</v>
      </c>
      <c r="CI98" s="1038">
        <f t="shared" si="340"/>
        <v>9075</v>
      </c>
      <c r="CJ98" s="226">
        <f t="shared" si="340"/>
        <v>3025</v>
      </c>
      <c r="CK98" s="226">
        <f t="shared" si="340"/>
        <v>3577</v>
      </c>
      <c r="CL98" s="226">
        <f t="shared" si="340"/>
        <v>5696</v>
      </c>
      <c r="CM98" s="226">
        <f t="shared" si="340"/>
        <v>6098</v>
      </c>
      <c r="CN98" s="1038">
        <f t="shared" si="340"/>
        <v>18396</v>
      </c>
      <c r="CO98" s="226">
        <f t="shared" si="340"/>
        <v>8496</v>
      </c>
      <c r="CP98" s="226">
        <f t="shared" si="340"/>
        <v>6852</v>
      </c>
      <c r="CQ98" s="226">
        <f t="shared" si="340"/>
        <v>7897</v>
      </c>
      <c r="CR98" s="226">
        <f t="shared" si="340"/>
        <v>7904</v>
      </c>
      <c r="CS98" s="1038">
        <f t="shared" si="340"/>
        <v>31149</v>
      </c>
      <c r="CT98" s="226">
        <f t="shared" si="340"/>
        <v>11395</v>
      </c>
      <c r="CU98" s="226">
        <f t="shared" si="340"/>
        <v>12796</v>
      </c>
      <c r="CV98" s="226">
        <f t="shared" si="340"/>
        <v>12610</v>
      </c>
      <c r="CW98" s="226">
        <f t="shared" si="340"/>
        <v>13473</v>
      </c>
      <c r="CX98" s="1038">
        <f t="shared" si="340"/>
        <v>50274</v>
      </c>
      <c r="CY98" s="226">
        <f t="shared" si="340"/>
        <v>13300</v>
      </c>
      <c r="CZ98" s="226">
        <f t="shared" si="340"/>
        <v>15197</v>
      </c>
      <c r="DA98" s="226">
        <f t="shared" si="340"/>
        <v>15392</v>
      </c>
      <c r="DB98" s="226">
        <f t="shared" si="340"/>
        <v>15407</v>
      </c>
      <c r="DC98" s="1038">
        <f t="shared" si="340"/>
        <v>59296</v>
      </c>
      <c r="DD98" s="226">
        <f t="shared" si="340"/>
        <v>14557</v>
      </c>
      <c r="DE98" s="226">
        <f t="shared" si="340"/>
        <v>14969</v>
      </c>
      <c r="DF98" s="226">
        <f t="shared" si="340"/>
        <v>15787</v>
      </c>
      <c r="DG98" s="226">
        <f t="shared" si="340"/>
        <v>16191</v>
      </c>
      <c r="DH98" s="1038">
        <f t="shared" si="340"/>
        <v>61504</v>
      </c>
      <c r="DI98" s="226">
        <f t="shared" si="340"/>
        <v>15696</v>
      </c>
      <c r="DJ98" s="226">
        <f t="shared" si="340"/>
        <v>15684</v>
      </c>
      <c r="DK98" s="226">
        <f t="shared" si="340"/>
        <v>15291</v>
      </c>
      <c r="DL98" s="226">
        <f t="shared" si="340"/>
        <v>15551</v>
      </c>
      <c r="DM98" s="1038">
        <f t="shared" si="340"/>
        <v>62222</v>
      </c>
      <c r="DN98" s="226">
        <f t="shared" si="340"/>
        <v>15068</v>
      </c>
      <c r="DO98" s="226">
        <f t="shared" ref="DO98:DP98" si="341">-DO39</f>
        <v>13638</v>
      </c>
      <c r="DP98" s="226">
        <f t="shared" si="341"/>
        <v>11504</v>
      </c>
      <c r="DQ98" s="668">
        <v>13000</v>
      </c>
      <c r="DR98" s="1038">
        <f>-DR39</f>
        <v>53210</v>
      </c>
      <c r="DS98" s="668">
        <v>14000</v>
      </c>
      <c r="DT98" s="668">
        <v>14000</v>
      </c>
      <c r="DU98" s="668">
        <v>14000</v>
      </c>
      <c r="DV98" s="668">
        <v>14000</v>
      </c>
      <c r="DW98" s="1038">
        <f>-DW39</f>
        <v>56000</v>
      </c>
      <c r="DX98" s="1038">
        <f ca="1">DX83*DX100</f>
        <v>65757.788603053516</v>
      </c>
      <c r="DY98" s="1038">
        <f ca="1">DY83*DY100</f>
        <v>68236.654909751131</v>
      </c>
      <c r="DZ98" s="1038">
        <f ca="1">DZ83*DZ100</f>
        <v>71797.614091185009</v>
      </c>
      <c r="EA98" s="1038">
        <f ca="1">EA83*EA100</f>
        <v>75178.80617793549</v>
      </c>
      <c r="EC98" s="4320"/>
      <c r="ED98" s="4320"/>
    </row>
    <row r="99" spans="1:134" s="84" customFormat="1" ht="11.25" customHeight="1">
      <c r="A99" s="1587" t="s">
        <v>45</v>
      </c>
      <c r="B99" s="4025"/>
      <c r="C99" s="77"/>
      <c r="D99" s="77"/>
      <c r="E99" s="77"/>
      <c r="F99" s="77"/>
      <c r="G99" s="4026"/>
      <c r="H99" s="511"/>
      <c r="I99" s="511"/>
      <c r="J99" s="511"/>
      <c r="K99" s="511"/>
      <c r="L99" s="4026"/>
      <c r="M99" s="511"/>
      <c r="N99" s="511"/>
      <c r="O99" s="511"/>
      <c r="P99" s="511"/>
      <c r="Q99" s="4026"/>
      <c r="R99" s="511"/>
      <c r="S99" s="511"/>
      <c r="T99" s="511"/>
      <c r="U99" s="511"/>
      <c r="V99" s="4026"/>
      <c r="W99" s="511"/>
      <c r="X99" s="511"/>
      <c r="Y99" s="511"/>
      <c r="Z99" s="511"/>
      <c r="AA99" s="4026"/>
      <c r="AB99" s="226"/>
      <c r="AC99" s="226"/>
      <c r="AD99" s="226"/>
      <c r="AE99" s="226"/>
      <c r="AF99" s="4026"/>
      <c r="AG99" s="226"/>
      <c r="AH99" s="226"/>
      <c r="AI99" s="226"/>
      <c r="AJ99" s="226"/>
      <c r="AK99" s="4026"/>
      <c r="AL99" s="226"/>
      <c r="AM99" s="226"/>
      <c r="AN99" s="226"/>
      <c r="AO99" s="226"/>
      <c r="AP99" s="4026"/>
      <c r="AQ99" s="226"/>
      <c r="AR99" s="226"/>
      <c r="AS99" s="226"/>
      <c r="AT99" s="226"/>
      <c r="AU99" s="4026"/>
      <c r="AV99" s="226"/>
      <c r="AW99" s="226"/>
      <c r="AX99" s="226"/>
      <c r="AY99" s="226"/>
      <c r="AZ99" s="4026"/>
      <c r="BA99" s="226"/>
      <c r="BB99" s="226"/>
      <c r="BC99" s="226"/>
      <c r="BD99" s="226"/>
      <c r="BE99" s="4026"/>
      <c r="BF99" s="226"/>
      <c r="BG99" s="226"/>
      <c r="BH99" s="226"/>
      <c r="BI99" s="226"/>
      <c r="BJ99" s="4026"/>
      <c r="BK99" s="226"/>
      <c r="BL99" s="226"/>
      <c r="BM99" s="226"/>
      <c r="BN99" s="226"/>
      <c r="BO99" s="4026"/>
      <c r="BP99" s="226"/>
      <c r="BQ99" s="226"/>
      <c r="BR99" s="226"/>
      <c r="BS99" s="226"/>
      <c r="BT99" s="4026"/>
      <c r="BU99" s="226"/>
      <c r="BV99" s="226"/>
      <c r="BW99" s="226"/>
      <c r="BX99" s="226"/>
      <c r="BY99" s="4026"/>
      <c r="BZ99" s="226"/>
      <c r="CA99" s="226"/>
      <c r="CB99" s="226"/>
      <c r="CC99" s="226"/>
      <c r="CD99" s="4026"/>
      <c r="CE99" s="226"/>
      <c r="CF99" s="226"/>
      <c r="CG99" s="226"/>
      <c r="CH99" s="226"/>
      <c r="CI99" s="4762">
        <f t="shared" ref="CI99:DP99" si="342">CI98/CD98-1</f>
        <v>0.87267849773008677</v>
      </c>
      <c r="CJ99" s="2618">
        <f t="shared" si="342"/>
        <v>0.39208467556373683</v>
      </c>
      <c r="CK99" s="2618">
        <f t="shared" si="342"/>
        <v>0.74317738791423005</v>
      </c>
      <c r="CL99" s="2618">
        <f t="shared" si="342"/>
        <v>1.5890909090909089</v>
      </c>
      <c r="CM99" s="2618">
        <f t="shared" si="342"/>
        <v>1.3011320754716982</v>
      </c>
      <c r="CN99" s="4762">
        <f t="shared" si="342"/>
        <v>1.0271074380165288</v>
      </c>
      <c r="CO99" s="2618">
        <f t="shared" si="342"/>
        <v>1.808595041322314</v>
      </c>
      <c r="CP99" s="2618">
        <f t="shared" si="342"/>
        <v>0.91557170813530897</v>
      </c>
      <c r="CQ99" s="2618">
        <f t="shared" si="342"/>
        <v>0.3864115168539326</v>
      </c>
      <c r="CR99" s="2618">
        <f t="shared" si="342"/>
        <v>0.2961626762873073</v>
      </c>
      <c r="CS99" s="4762">
        <f t="shared" si="342"/>
        <v>0.69324853228962824</v>
      </c>
      <c r="CT99" s="2618">
        <f t="shared" si="342"/>
        <v>0.34121939736346518</v>
      </c>
      <c r="CU99" s="2618">
        <f t="shared" si="342"/>
        <v>0.86748394629305303</v>
      </c>
      <c r="CV99" s="2618">
        <f t="shared" si="342"/>
        <v>0.59680891477776377</v>
      </c>
      <c r="CW99" s="2618">
        <f t="shared" si="342"/>
        <v>0.70457995951416996</v>
      </c>
      <c r="CX99" s="4762">
        <f t="shared" si="342"/>
        <v>0.61398439757295575</v>
      </c>
      <c r="CY99" s="2618">
        <f t="shared" si="342"/>
        <v>0.16717858709960498</v>
      </c>
      <c r="CZ99" s="2618">
        <f t="shared" si="342"/>
        <v>0.18763676148796504</v>
      </c>
      <c r="DA99" s="2618">
        <f t="shared" si="342"/>
        <v>0.22061855670103103</v>
      </c>
      <c r="DB99" s="2618">
        <f t="shared" si="342"/>
        <v>0.14354635196318566</v>
      </c>
      <c r="DC99" s="4762">
        <f t="shared" ref="DC99:DH99" si="343">DC98/CX98-1</f>
        <v>0.17945657795281855</v>
      </c>
      <c r="DD99" s="2618">
        <f t="shared" si="342"/>
        <v>9.4511278195488657E-2</v>
      </c>
      <c r="DE99" s="2618">
        <f t="shared" si="342"/>
        <v>-1.5002961110745505E-2</v>
      </c>
      <c r="DF99" s="2618">
        <f t="shared" si="342"/>
        <v>2.5662681912681951E-2</v>
      </c>
      <c r="DG99" s="2618">
        <f t="shared" si="342"/>
        <v>5.0885960926851492E-2</v>
      </c>
      <c r="DH99" s="4762">
        <f t="shared" si="343"/>
        <v>3.7236913113869452E-2</v>
      </c>
      <c r="DI99" s="2618">
        <f t="shared" si="342"/>
        <v>7.8244143710929359E-2</v>
      </c>
      <c r="DJ99" s="2618">
        <f t="shared" si="342"/>
        <v>4.776538178903067E-2</v>
      </c>
      <c r="DK99" s="2618">
        <f t="shared" si="342"/>
        <v>-3.141825552669919E-2</v>
      </c>
      <c r="DL99" s="2618">
        <f t="shared" si="342"/>
        <v>-3.9528132913346892E-2</v>
      </c>
      <c r="DM99" s="4762">
        <f>DM98/DH98-1</f>
        <v>1.1674037460978059E-2</v>
      </c>
      <c r="DN99" s="2618">
        <f t="shared" si="342"/>
        <v>-4.0010193679918427E-2</v>
      </c>
      <c r="DO99" s="2618">
        <f t="shared" si="342"/>
        <v>-0.13045141545524097</v>
      </c>
      <c r="DP99" s="2618">
        <f t="shared" si="342"/>
        <v>-0.24766202341246479</v>
      </c>
      <c r="DQ99" s="2618">
        <f t="shared" ref="DQ99" si="344">DQ98/DL98-1</f>
        <v>-0.16404089769146679</v>
      </c>
      <c r="DR99" s="4762">
        <f>DR98/DM98-1</f>
        <v>-0.14483623155796987</v>
      </c>
      <c r="DS99" s="2618">
        <f t="shared" ref="DS99" si="345">DS98/DN98-1</f>
        <v>-7.0878683302362577E-2</v>
      </c>
      <c r="DT99" s="2618">
        <f t="shared" ref="DT99" si="346">DT98/DO98-1</f>
        <v>2.6543481448892736E-2</v>
      </c>
      <c r="DU99" s="2618">
        <f t="shared" ref="DU99" si="347">DU98/DP98-1</f>
        <v>0.21696801112656461</v>
      </c>
      <c r="DV99" s="2618">
        <f t="shared" ref="DV99" si="348">DV98/DQ98-1</f>
        <v>7.6923076923076872E-2</v>
      </c>
      <c r="DW99" s="4762">
        <f>DW98/DR98-1</f>
        <v>5.243375305393716E-2</v>
      </c>
      <c r="DX99" s="4763">
        <f ca="1">DX98/DW98-1</f>
        <v>0.17424622505452714</v>
      </c>
      <c r="DY99" s="4763">
        <f ca="1">DY98/DX98-1</f>
        <v>3.7696923198881738E-2</v>
      </c>
      <c r="DZ99" s="4763">
        <f ca="1">DZ98/DY98-1</f>
        <v>5.2185430046996828E-2</v>
      </c>
      <c r="EA99" s="4763">
        <f ca="1">EA98/DZ98-1</f>
        <v>4.7093376702689094E-2</v>
      </c>
      <c r="EC99" s="4320"/>
      <c r="ED99" s="4320"/>
    </row>
    <row r="100" spans="1:134" s="234" customFormat="1" ht="11.25" customHeight="1">
      <c r="A100" s="1587" t="s">
        <v>865</v>
      </c>
      <c r="B100" s="4303"/>
      <c r="C100" s="211"/>
      <c r="D100" s="211"/>
      <c r="E100" s="211"/>
      <c r="F100" s="211"/>
      <c r="G100" s="4310"/>
      <c r="H100" s="211"/>
      <c r="I100" s="211"/>
      <c r="J100" s="211"/>
      <c r="K100" s="211"/>
      <c r="L100" s="4310"/>
      <c r="M100" s="211"/>
      <c r="N100" s="211"/>
      <c r="O100" s="211"/>
      <c r="P100" s="211"/>
      <c r="Q100" s="4310"/>
      <c r="R100" s="211"/>
      <c r="S100" s="211"/>
      <c r="T100" s="211"/>
      <c r="U100" s="211"/>
      <c r="V100" s="4310"/>
      <c r="W100" s="211"/>
      <c r="X100" s="211"/>
      <c r="Y100" s="211"/>
      <c r="Z100" s="211"/>
      <c r="AA100" s="4310"/>
      <c r="AB100" s="209"/>
      <c r="AC100" s="209"/>
      <c r="AD100" s="209"/>
      <c r="AE100" s="209"/>
      <c r="AF100" s="4310"/>
      <c r="AG100" s="209"/>
      <c r="AH100" s="209"/>
      <c r="AI100" s="209"/>
      <c r="AJ100" s="209"/>
      <c r="AK100" s="4310"/>
      <c r="AL100" s="209"/>
      <c r="AM100" s="209"/>
      <c r="AN100" s="209"/>
      <c r="AO100" s="209"/>
      <c r="AP100" s="4310"/>
      <c r="AQ100" s="209"/>
      <c r="AR100" s="209"/>
      <c r="AS100" s="209"/>
      <c r="AT100" s="209"/>
      <c r="AU100" s="4310"/>
      <c r="AV100" s="209"/>
      <c r="AW100" s="209"/>
      <c r="AX100" s="209"/>
      <c r="AY100" s="209"/>
      <c r="AZ100" s="4310"/>
      <c r="BA100" s="209"/>
      <c r="BB100" s="209"/>
      <c r="BC100" s="209"/>
      <c r="BD100" s="209"/>
      <c r="BE100" s="4310"/>
      <c r="BF100" s="209"/>
      <c r="BG100" s="209"/>
      <c r="BH100" s="209"/>
      <c r="BI100" s="209"/>
      <c r="BJ100" s="4310"/>
      <c r="BK100" s="209"/>
      <c r="BL100" s="209"/>
      <c r="BM100" s="209"/>
      <c r="BN100" s="209"/>
      <c r="BO100" s="4310"/>
      <c r="BP100" s="209"/>
      <c r="BQ100" s="209"/>
      <c r="BR100" s="209"/>
      <c r="BS100" s="209"/>
      <c r="BT100" s="4310">
        <f t="shared" ref="BT100:CY100" si="349">BT98/BT83</f>
        <v>0.11058487895167919</v>
      </c>
      <c r="BU100" s="209">
        <f t="shared" si="349"/>
        <v>0.40237821250479477</v>
      </c>
      <c r="BV100" s="209">
        <f t="shared" si="349"/>
        <v>0.22837915234822451</v>
      </c>
      <c r="BW100" s="209">
        <f t="shared" si="349"/>
        <v>0</v>
      </c>
      <c r="BX100" s="209">
        <f t="shared" si="349"/>
        <v>0</v>
      </c>
      <c r="BY100" s="4310">
        <f t="shared" si="349"/>
        <v>0.14300650557620817</v>
      </c>
      <c r="BZ100" s="209">
        <f t="shared" si="349"/>
        <v>0.16008522727272728</v>
      </c>
      <c r="CA100" s="209">
        <f t="shared" si="349"/>
        <v>0.35389326334208226</v>
      </c>
      <c r="CB100" s="209">
        <f t="shared" si="349"/>
        <v>0</v>
      </c>
      <c r="CC100" s="209">
        <f t="shared" si="349"/>
        <v>0.35245764133534641</v>
      </c>
      <c r="CD100" s="4310">
        <f t="shared" si="349"/>
        <v>0.20270213744928264</v>
      </c>
      <c r="CE100" s="209">
        <f t="shared" si="349"/>
        <v>0.5003453833755469</v>
      </c>
      <c r="CF100" s="209">
        <f t="shared" si="349"/>
        <v>0.44081632653061226</v>
      </c>
      <c r="CG100" s="209">
        <f t="shared" si="349"/>
        <v>0.27749747729566093</v>
      </c>
      <c r="CH100" s="209">
        <f t="shared" si="349"/>
        <v>0.44869624111073486</v>
      </c>
      <c r="CI100" s="4310">
        <f t="shared" si="349"/>
        <v>0.39746846531184304</v>
      </c>
      <c r="CJ100" s="209">
        <f t="shared" si="349"/>
        <v>0.41089377886443901</v>
      </c>
      <c r="CK100" s="209">
        <f t="shared" si="349"/>
        <v>0.55022304260882937</v>
      </c>
      <c r="CL100" s="209">
        <f t="shared" si="349"/>
        <v>0.65216395694985119</v>
      </c>
      <c r="CM100" s="209">
        <f t="shared" si="349"/>
        <v>0.7281194029850746</v>
      </c>
      <c r="CN100" s="4310">
        <f t="shared" si="349"/>
        <v>0.59395583107322747</v>
      </c>
      <c r="CO100" s="209">
        <f t="shared" si="349"/>
        <v>1.5600440690414983</v>
      </c>
      <c r="CP100" s="209">
        <f t="shared" si="349"/>
        <v>0.79655893978144621</v>
      </c>
      <c r="CQ100" s="209">
        <f t="shared" si="349"/>
        <v>0.68095197033715615</v>
      </c>
      <c r="CR100" s="209">
        <f t="shared" si="349"/>
        <v>0.45958832422374696</v>
      </c>
      <c r="CS100" s="4310">
        <f t="shared" si="349"/>
        <v>0.72704992647573696</v>
      </c>
      <c r="CT100" s="209">
        <f t="shared" si="349"/>
        <v>0.85374990634599535</v>
      </c>
      <c r="CU100" s="209">
        <f t="shared" si="349"/>
        <v>0.7805294619982921</v>
      </c>
      <c r="CV100" s="209">
        <f t="shared" si="349"/>
        <v>0.67361111111111116</v>
      </c>
      <c r="CW100" s="209">
        <f t="shared" si="349"/>
        <v>0.72626812570750898</v>
      </c>
      <c r="CX100" s="4310">
        <f t="shared" si="349"/>
        <v>0.75022384050617796</v>
      </c>
      <c r="CY100" s="209">
        <f t="shared" si="349"/>
        <v>0.86814621409921666</v>
      </c>
      <c r="CZ100" s="209">
        <f t="shared" ref="CZ100:DR100" si="350">CZ98/CZ83</f>
        <v>1.2066857233603303</v>
      </c>
      <c r="DA100" s="209">
        <f t="shared" si="350"/>
        <v>0.95739254836101262</v>
      </c>
      <c r="DB100" s="209">
        <f t="shared" si="350"/>
        <v>0.96179536800049936</v>
      </c>
      <c r="DC100" s="4310">
        <f t="shared" si="350"/>
        <v>0.98810198300283281</v>
      </c>
      <c r="DD100" s="209">
        <f t="shared" si="350"/>
        <v>0.8453542392566783</v>
      </c>
      <c r="DE100" s="209">
        <f t="shared" si="350"/>
        <v>0.68734502709156031</v>
      </c>
      <c r="DF100" s="209">
        <f t="shared" si="350"/>
        <v>0.69850891553471084</v>
      </c>
      <c r="DG100" s="209">
        <f t="shared" si="350"/>
        <v>2.0505319148936172</v>
      </c>
      <c r="DH100" s="4310">
        <f t="shared" si="350"/>
        <v>0.88501331031009423</v>
      </c>
      <c r="DI100" s="209">
        <f t="shared" si="350"/>
        <v>0.93228795438346401</v>
      </c>
      <c r="DJ100" s="209">
        <f t="shared" si="350"/>
        <v>1.1657499628363313</v>
      </c>
      <c r="DK100" s="209">
        <f t="shared" si="350"/>
        <v>0.86698418098316044</v>
      </c>
      <c r="DL100" s="209">
        <f t="shared" si="350"/>
        <v>0.62612231751016634</v>
      </c>
      <c r="DM100" s="4310">
        <f t="shared" si="350"/>
        <v>0.85512066406464737</v>
      </c>
      <c r="DN100" s="209">
        <f t="shared" si="350"/>
        <v>0.79501925816493435</v>
      </c>
      <c r="DO100" s="209">
        <f t="shared" ref="DO100:DP100" si="351">DO98/DO83</f>
        <v>2.5727221279003962</v>
      </c>
      <c r="DP100" s="209">
        <f t="shared" si="351"/>
        <v>0.47029966068435469</v>
      </c>
      <c r="DQ100" s="209">
        <f ca="1">DQ98/DQ83</f>
        <v>0.69569821741660165</v>
      </c>
      <c r="DR100" s="4310">
        <f t="shared" ca="1" si="350"/>
        <v>0.7894510795786418</v>
      </c>
      <c r="DS100" s="209">
        <f t="shared" ref="DS100:DW100" ca="1" si="352">DS98/DS83</f>
        <v>0.79609191696006498</v>
      </c>
      <c r="DT100" s="209">
        <f t="shared" ca="1" si="352"/>
        <v>6.3055221582404881</v>
      </c>
      <c r="DU100" s="209">
        <f t="shared" ca="1" si="352"/>
        <v>0.67774610548000369</v>
      </c>
      <c r="DV100" s="209">
        <f t="shared" ca="1" si="352"/>
        <v>0.66411972122703156</v>
      </c>
      <c r="DW100" s="4310">
        <f t="shared" ca="1" si="352"/>
        <v>0.9099266158761431</v>
      </c>
      <c r="DX100" s="4335">
        <v>0.86</v>
      </c>
      <c r="DY100" s="4335">
        <v>0.75</v>
      </c>
      <c r="DZ100" s="4335">
        <v>0.67</v>
      </c>
      <c r="EA100" s="4335">
        <v>0.59</v>
      </c>
      <c r="EB100" s="211"/>
      <c r="EC100" s="4326"/>
      <c r="ED100" s="4326"/>
    </row>
    <row r="101" spans="1:134" s="350" customFormat="1" ht="11.25" customHeight="1">
      <c r="A101" s="1588" t="s">
        <v>866</v>
      </c>
      <c r="B101" s="1461"/>
      <c r="C101" s="348"/>
      <c r="D101" s="348"/>
      <c r="E101" s="348"/>
      <c r="F101" s="348"/>
      <c r="G101" s="1461"/>
      <c r="H101" s="348"/>
      <c r="I101" s="348"/>
      <c r="J101" s="348"/>
      <c r="K101" s="348"/>
      <c r="L101" s="1461"/>
      <c r="M101" s="347"/>
      <c r="N101" s="348"/>
      <c r="O101" s="348"/>
      <c r="P101" s="348"/>
      <c r="Q101" s="1461"/>
      <c r="R101" s="347"/>
      <c r="S101" s="348"/>
      <c r="T101" s="348"/>
      <c r="U101" s="348"/>
      <c r="V101" s="1461"/>
      <c r="W101" s="347"/>
      <c r="X101" s="348"/>
      <c r="Y101" s="348"/>
      <c r="Z101" s="348"/>
      <c r="AA101" s="1461"/>
      <c r="AB101" s="349"/>
      <c r="AC101" s="119"/>
      <c r="AD101" s="119"/>
      <c r="AE101" s="119"/>
      <c r="AF101" s="1461"/>
      <c r="AG101" s="349"/>
      <c r="AH101" s="119"/>
      <c r="AI101" s="119"/>
      <c r="AJ101" s="119"/>
      <c r="AK101" s="1461"/>
      <c r="AL101" s="349"/>
      <c r="AM101" s="119"/>
      <c r="AN101" s="119"/>
      <c r="AO101" s="119"/>
      <c r="AP101" s="1461"/>
      <c r="AQ101" s="349"/>
      <c r="AR101" s="119"/>
      <c r="AS101" s="119"/>
      <c r="AT101" s="119"/>
      <c r="AU101" s="1461"/>
      <c r="AV101" s="119"/>
      <c r="AW101" s="119"/>
      <c r="AX101" s="119"/>
      <c r="AY101" s="119"/>
      <c r="AZ101" s="1461"/>
      <c r="BA101" s="119"/>
      <c r="BB101" s="119"/>
      <c r="BC101" s="119"/>
      <c r="BD101" s="119"/>
      <c r="BE101" s="1461"/>
      <c r="BF101" s="119"/>
      <c r="BG101" s="119"/>
      <c r="BH101" s="119"/>
      <c r="BI101" s="119"/>
      <c r="BJ101" s="1461"/>
      <c r="BK101" s="572"/>
      <c r="BL101" s="119"/>
      <c r="BM101" s="119"/>
      <c r="BN101" s="119"/>
      <c r="BO101" s="1461"/>
      <c r="BP101" s="572"/>
      <c r="BQ101" s="119"/>
      <c r="BR101" s="119"/>
      <c r="BS101" s="119"/>
      <c r="BT101" s="4338"/>
      <c r="BU101" s="4339"/>
      <c r="BV101" s="4336"/>
      <c r="BW101" s="4336"/>
      <c r="BX101" s="4340"/>
      <c r="BY101" s="4338"/>
      <c r="BZ101" s="4336"/>
      <c r="CA101" s="4336"/>
      <c r="CB101" s="4336"/>
      <c r="CC101" s="4336"/>
      <c r="CD101" s="4338"/>
      <c r="CE101" s="4336"/>
      <c r="CF101" s="4336"/>
      <c r="CG101" s="4336"/>
      <c r="CH101" s="4336"/>
      <c r="CI101" s="4338"/>
      <c r="CJ101" s="4336"/>
      <c r="CK101" s="4336"/>
      <c r="CL101" s="4336"/>
      <c r="CM101" s="4337"/>
      <c r="CN101" s="4338"/>
      <c r="CO101" s="4337"/>
      <c r="CP101" s="4337"/>
      <c r="CQ101" s="4336"/>
      <c r="CR101" s="4337"/>
      <c r="CS101" s="4338"/>
      <c r="CT101" s="4893"/>
      <c r="CU101" s="4337"/>
      <c r="CV101" s="4337"/>
      <c r="CW101" s="4337"/>
      <c r="CX101" s="4774"/>
      <c r="CY101" s="4337"/>
      <c r="CZ101" s="4337"/>
      <c r="DA101" s="4337"/>
      <c r="DB101" s="4337"/>
      <c r="DC101" s="4774"/>
      <c r="DD101" s="4337"/>
      <c r="DE101" s="4337"/>
      <c r="DF101" s="4337"/>
      <c r="DG101" s="4337"/>
      <c r="DH101" s="4774"/>
      <c r="DI101" s="4337"/>
      <c r="DJ101" s="4337"/>
      <c r="DK101" s="4337"/>
      <c r="DL101" s="4337"/>
      <c r="DM101" s="4774"/>
      <c r="DN101" s="4337"/>
      <c r="DO101" s="4337"/>
      <c r="DP101" s="4337"/>
      <c r="DQ101" s="4337">
        <v>300</v>
      </c>
      <c r="DR101" s="4774"/>
      <c r="DS101" s="4337">
        <v>300</v>
      </c>
      <c r="DT101" s="4337">
        <v>300</v>
      </c>
      <c r="DU101" s="4337">
        <v>300</v>
      </c>
      <c r="DV101" s="4337">
        <v>300</v>
      </c>
      <c r="DW101" s="4774">
        <f>DW98/DW102</f>
        <v>300</v>
      </c>
      <c r="DX101" s="5149">
        <f>DV101</f>
        <v>300</v>
      </c>
      <c r="DY101" s="5149">
        <f>DX101</f>
        <v>300</v>
      </c>
      <c r="DZ101" s="5149">
        <f>DY101</f>
        <v>300</v>
      </c>
      <c r="EA101" s="5149">
        <f>DZ101</f>
        <v>300</v>
      </c>
      <c r="EB101" s="348"/>
      <c r="EC101" s="4328"/>
      <c r="ED101" s="4328"/>
    </row>
    <row r="102" spans="1:134" s="84" customFormat="1" ht="11.25" customHeight="1">
      <c r="A102" s="1588" t="s">
        <v>867</v>
      </c>
      <c r="B102" s="1039"/>
      <c r="C102" s="77"/>
      <c r="D102" s="77"/>
      <c r="E102" s="77"/>
      <c r="F102" s="77"/>
      <c r="G102" s="1038"/>
      <c r="H102" s="511"/>
      <c r="I102" s="511"/>
      <c r="J102" s="511"/>
      <c r="K102" s="511"/>
      <c r="L102" s="1038"/>
      <c r="M102" s="1463"/>
      <c r="N102" s="511"/>
      <c r="O102" s="511"/>
      <c r="P102" s="511"/>
      <c r="Q102" s="1038"/>
      <c r="R102" s="1463"/>
      <c r="S102" s="511"/>
      <c r="T102" s="511"/>
      <c r="U102" s="511"/>
      <c r="V102" s="1038"/>
      <c r="W102" s="1463"/>
      <c r="X102" s="511"/>
      <c r="Y102" s="511"/>
      <c r="Z102" s="1470"/>
      <c r="AA102" s="1038"/>
      <c r="AB102" s="1426"/>
      <c r="AC102" s="226"/>
      <c r="AD102" s="226"/>
      <c r="AE102" s="1471"/>
      <c r="AF102" s="1038"/>
      <c r="AG102" s="1426"/>
      <c r="AH102" s="226"/>
      <c r="AI102" s="226"/>
      <c r="AJ102" s="1471"/>
      <c r="AK102" s="1038"/>
      <c r="AL102" s="1426"/>
      <c r="AM102" s="226"/>
      <c r="AN102" s="226"/>
      <c r="AO102" s="1471"/>
      <c r="AP102" s="1038"/>
      <c r="AQ102" s="1426"/>
      <c r="AR102" s="226"/>
      <c r="AS102" s="226"/>
      <c r="AT102" s="1471"/>
      <c r="AU102" s="1038"/>
      <c r="AV102" s="226"/>
      <c r="AW102" s="226"/>
      <c r="AX102" s="226"/>
      <c r="AY102" s="226"/>
      <c r="AZ102" s="1038"/>
      <c r="BA102" s="226"/>
      <c r="BB102" s="226"/>
      <c r="BC102" s="226"/>
      <c r="BD102" s="226"/>
      <c r="BE102" s="1038"/>
      <c r="BF102" s="226"/>
      <c r="BG102" s="226"/>
      <c r="BH102" s="226"/>
      <c r="BI102" s="226"/>
      <c r="BJ102" s="1038"/>
      <c r="BK102" s="686"/>
      <c r="BL102" s="226"/>
      <c r="BM102" s="226"/>
      <c r="BN102" s="226"/>
      <c r="BO102" s="1038"/>
      <c r="BP102" s="686"/>
      <c r="BQ102" s="226"/>
      <c r="BR102" s="226"/>
      <c r="BS102" s="226"/>
      <c r="BT102" s="1038"/>
      <c r="BU102" s="226"/>
      <c r="BV102" s="226"/>
      <c r="BW102" s="226"/>
      <c r="BX102" s="226"/>
      <c r="BY102" s="1038"/>
      <c r="BZ102" s="226"/>
      <c r="CA102" s="226"/>
      <c r="CB102" s="226"/>
      <c r="CC102" s="226"/>
      <c r="CD102" s="1038"/>
      <c r="CE102" s="226"/>
      <c r="CF102" s="226"/>
      <c r="CG102" s="226"/>
      <c r="CH102" s="226"/>
      <c r="CI102" s="1038"/>
      <c r="CJ102" s="226"/>
      <c r="CK102" s="226"/>
      <c r="CL102" s="226"/>
      <c r="CM102" s="42"/>
      <c r="CN102" s="1039"/>
      <c r="CO102" s="42"/>
      <c r="CP102" s="42"/>
      <c r="CQ102" s="226"/>
      <c r="CR102" s="42"/>
      <c r="CS102" s="1039"/>
      <c r="CT102" s="42"/>
      <c r="CU102" s="42"/>
      <c r="CV102" s="42"/>
      <c r="CW102" s="42"/>
      <c r="CX102" s="4025"/>
      <c r="CY102" s="42"/>
      <c r="CZ102" s="42"/>
      <c r="DA102" s="42"/>
      <c r="DB102" s="42"/>
      <c r="DC102" s="4025"/>
      <c r="DD102" s="42"/>
      <c r="DE102" s="42"/>
      <c r="DF102" s="42"/>
      <c r="DG102" s="42"/>
      <c r="DH102" s="4025"/>
      <c r="DI102" s="42"/>
      <c r="DJ102" s="42"/>
      <c r="DK102" s="42"/>
      <c r="DL102" s="42"/>
      <c r="DM102" s="4025"/>
      <c r="DN102" s="42"/>
      <c r="DO102" s="42"/>
      <c r="DP102" s="42"/>
      <c r="DQ102" s="42">
        <f t="shared" ref="DQ102" si="353">DQ98/DQ101</f>
        <v>43.333333333333336</v>
      </c>
      <c r="DR102" s="4025"/>
      <c r="DS102" s="42">
        <f t="shared" ref="DS102:DV102" si="354">DS98/DS101</f>
        <v>46.666666666666664</v>
      </c>
      <c r="DT102" s="42">
        <f t="shared" si="354"/>
        <v>46.666666666666664</v>
      </c>
      <c r="DU102" s="42">
        <f t="shared" si="354"/>
        <v>46.666666666666664</v>
      </c>
      <c r="DV102" s="42">
        <f t="shared" si="354"/>
        <v>46.666666666666664</v>
      </c>
      <c r="DW102" s="4025">
        <f>SUM(DS102:DV102)</f>
        <v>186.66666666666666</v>
      </c>
      <c r="DX102" s="1039">
        <f ca="1">DX98/DX101</f>
        <v>219.19262867684506</v>
      </c>
      <c r="DY102" s="1039">
        <f ca="1">DY98/DY101</f>
        <v>227.4555163658371</v>
      </c>
      <c r="DZ102" s="1039">
        <f ca="1">DZ98/DZ101</f>
        <v>239.32538030395003</v>
      </c>
      <c r="EA102" s="1039">
        <f ca="1">EA98/EA101</f>
        <v>250.59602059311831</v>
      </c>
      <c r="EC102" s="4320"/>
      <c r="ED102" s="4320"/>
    </row>
    <row r="103" spans="1:134" s="84" customFormat="1" ht="11.25" customHeight="1">
      <c r="A103" s="1588" t="s">
        <v>927</v>
      </c>
      <c r="B103" s="4675"/>
      <c r="C103" s="520"/>
      <c r="D103" s="520"/>
      <c r="E103" s="520"/>
      <c r="F103" s="520"/>
      <c r="G103" s="4675"/>
      <c r="H103" s="520"/>
      <c r="I103" s="520"/>
      <c r="J103" s="520"/>
      <c r="K103" s="520"/>
      <c r="L103" s="4675"/>
      <c r="M103" s="520"/>
      <c r="N103" s="520"/>
      <c r="O103" s="520"/>
      <c r="P103" s="520"/>
      <c r="Q103" s="4675"/>
      <c r="R103" s="520"/>
      <c r="S103" s="520"/>
      <c r="T103" s="520"/>
      <c r="U103" s="520"/>
      <c r="V103" s="4675"/>
      <c r="W103" s="520"/>
      <c r="X103" s="520"/>
      <c r="Y103" s="520"/>
      <c r="Z103" s="520"/>
      <c r="AA103" s="4675"/>
      <c r="AB103" s="656"/>
      <c r="AC103" s="656"/>
      <c r="AD103" s="656"/>
      <c r="AE103" s="656"/>
      <c r="AF103" s="4675"/>
      <c r="AG103" s="656"/>
      <c r="AH103" s="656"/>
      <c r="AI103" s="656"/>
      <c r="AJ103" s="656"/>
      <c r="AK103" s="4675"/>
      <c r="AL103" s="656"/>
      <c r="AM103" s="656"/>
      <c r="AN103" s="656"/>
      <c r="AO103" s="656"/>
      <c r="AP103" s="4675"/>
      <c r="AQ103" s="656"/>
      <c r="AR103" s="656"/>
      <c r="AS103" s="656"/>
      <c r="AT103" s="656"/>
      <c r="AU103" s="4675"/>
      <c r="AV103" s="656"/>
      <c r="AW103" s="656"/>
      <c r="AX103" s="656"/>
      <c r="AY103" s="656"/>
      <c r="AZ103" s="4675"/>
      <c r="BA103" s="656"/>
      <c r="BB103" s="656"/>
      <c r="BC103" s="656"/>
      <c r="BD103" s="656"/>
      <c r="BE103" s="4675"/>
      <c r="BF103" s="656"/>
      <c r="BG103" s="656"/>
      <c r="BH103" s="656"/>
      <c r="BI103" s="656"/>
      <c r="BJ103" s="4675"/>
      <c r="BK103" s="656"/>
      <c r="BL103" s="656"/>
      <c r="BM103" s="656"/>
      <c r="BN103" s="656"/>
      <c r="BO103" s="4675"/>
      <c r="BP103" s="656"/>
      <c r="BQ103" s="656"/>
      <c r="BR103" s="656"/>
      <c r="BS103" s="656"/>
      <c r="BT103" s="4675"/>
      <c r="BU103" s="656">
        <v>1400</v>
      </c>
      <c r="BV103" s="656"/>
      <c r="BW103" s="656"/>
      <c r="BX103" s="656"/>
      <c r="BY103" s="4675"/>
      <c r="BZ103" s="656"/>
      <c r="CA103" s="656"/>
      <c r="CB103" s="656"/>
      <c r="CC103" s="656"/>
      <c r="CD103" s="4675"/>
      <c r="CE103" s="656"/>
      <c r="CF103" s="656"/>
      <c r="CG103" s="656"/>
      <c r="CH103" s="656"/>
      <c r="CI103" s="4675"/>
      <c r="CJ103" s="656"/>
      <c r="CK103" s="656"/>
      <c r="CL103" s="656"/>
      <c r="CM103" s="656">
        <v>21000</v>
      </c>
      <c r="CN103" s="4675"/>
      <c r="CO103" s="656">
        <v>12300</v>
      </c>
      <c r="CP103" s="226">
        <f>CO103-CP98</f>
        <v>5448</v>
      </c>
      <c r="CQ103" s="226">
        <f>CP103+CQ104-CQ98</f>
        <v>25551</v>
      </c>
      <c r="CR103" s="226">
        <f>CQ103+CR104-CR98</f>
        <v>17647</v>
      </c>
      <c r="CS103" s="4781">
        <f>CR103</f>
        <v>17647</v>
      </c>
      <c r="CT103" s="226">
        <f>IFERROR(IF(CR103+CT104-CT98&lt;=0,"New Auth",CR103+CT104-CT98),"New Auth")</f>
        <v>6252</v>
      </c>
      <c r="CU103" s="226">
        <f>IFERROR(IF(CT103+CU104-CU98&lt;=0,"New Auth",CT103+CU104-CU98),"New Auth")</f>
        <v>43456</v>
      </c>
      <c r="CV103" s="226">
        <f>IFERROR(IF(CU103+CV104-CV98&lt;=0,"New Auth",CU103+CV104-CV98),"New Auth")</f>
        <v>30846</v>
      </c>
      <c r="CW103" s="226">
        <f>CV103+CW104-CW98</f>
        <v>17373</v>
      </c>
      <c r="CX103" s="4781">
        <f>IFERROR(IF(CS103+CX104-CX98&lt;=0,"New Auth",CS103+CX104-CX98),"New Auth")</f>
        <v>17373</v>
      </c>
      <c r="CY103" s="226">
        <f>IFERROR(IF(CX103+CY104-CY98&lt;=0,"New Auth",CX103+CY104-CY98),"New Auth")</f>
        <v>4073</v>
      </c>
      <c r="CZ103" s="226">
        <f>IFERROR(IF(CY103+CZ104-CZ98&lt;=0,"New Auth",CY103+CZ104-CZ98),"New Auth")</f>
        <v>58876</v>
      </c>
      <c r="DA103" s="226">
        <f>IFERROR(IF(CZ103+DA104-DA98&lt;=0,"New Auth",CZ103+DA104-DA98),"New Auth")</f>
        <v>43484</v>
      </c>
      <c r="DB103" s="226">
        <f>IFERROR(IF(DA103+DB104-DB98&lt;=0,"New Auth",DA103+DB104-DB98),"New Auth")</f>
        <v>28077</v>
      </c>
      <c r="DC103" s="4781">
        <f>IFERROR(IF(CX103+DC104-DC98&lt;=0,"New Auth",CX103+DC104-DC98),"New Auth")</f>
        <v>28077</v>
      </c>
      <c r="DD103" s="226">
        <f>IFERROR(IF(DC103+DD104-DD98&lt;=0,"New Auth",DC103+DD104-DD98),"New Auth")</f>
        <v>13520</v>
      </c>
      <c r="DE103" s="226">
        <f>IFERROR(IF(DD103+DE104-DE98&lt;=0,"New Auth",DD103+DE104-DE98),"New Auth")</f>
        <v>68551</v>
      </c>
      <c r="DF103" s="226">
        <f>IFERROR(IF(DE103+DF104-DF98&lt;=0,"New Auth",DE103+DF104-DF98),"New Auth")</f>
        <v>52764</v>
      </c>
      <c r="DG103" s="226">
        <f>IFERROR(IF(DF103+DG104-DG98&lt;=0,"New Auth",DF103+DG104-DG98),"New Auth")</f>
        <v>36573</v>
      </c>
      <c r="DH103" s="4781">
        <f>IFERROR(IF(DC103+DH104-DH98&lt;=0,"New Auth",DC103+DH104-DH98),"New Auth")</f>
        <v>36573</v>
      </c>
      <c r="DI103" s="226">
        <f>IFERROR(IF(DH103+DI104-DI98&lt;=0,"New Auth",DH103+DI104-DI98),"New Auth")</f>
        <v>20877</v>
      </c>
      <c r="DJ103" s="226">
        <f>IFERROR(IF(DI103+DJ104-DJ98&lt;=0,"New Auth",DI103+DJ104-DJ98),"New Auth")</f>
        <v>75193</v>
      </c>
      <c r="DK103" s="226">
        <f>IFERROR(IF(DJ103+DK104-DK98&lt;=0,"New Auth",DJ103+DK104-DK98),"New Auth")</f>
        <v>59902</v>
      </c>
      <c r="DL103" s="226">
        <f>IFERROR(IF(DK103+DL104-DL98&lt;=0,"New Auth",DK103+DL104-DL98),"New Auth")</f>
        <v>44351</v>
      </c>
      <c r="DM103" s="4781">
        <f>IFERROR(IF(DH103+DM104-DM98&lt;=0,"New Auth",DH103+DM104-DM98),"New Auth")</f>
        <v>44351</v>
      </c>
      <c r="DN103" s="226">
        <f>IFERROR(IF(DM103+DN104-DN98&lt;=0,"New Auth",DM103+DN104-DN98),"New Auth")</f>
        <v>29283</v>
      </c>
      <c r="DO103" s="226">
        <f>IFERROR(IF(DN103+DO104-DO98&lt;=0,"New Auth",DN103+DO104-DO98),"New Auth")</f>
        <v>85645</v>
      </c>
      <c r="DP103" s="226">
        <f>IFERROR(IF(DO103+DP104-DP98&lt;=0,"New Auth",DO103+DP104-DP98),"New Auth")</f>
        <v>74141</v>
      </c>
      <c r="DQ103" s="226">
        <f t="shared" ref="DQ103" si="355">IFERROR(IF(DP103+DQ104-DQ98&lt;=0,"New Auth",DP103+DQ104-DQ98),"New Auth")</f>
        <v>61141</v>
      </c>
      <c r="DR103" s="4781">
        <f>IFERROR(IF(DM103+DR104-DR98&lt;=0,"New Auth",DM103+DR104-DR98),"New Auth")</f>
        <v>61141</v>
      </c>
      <c r="DS103" s="226">
        <f t="shared" ref="DS103" si="356">IFERROR(IF(DR103+DS104-DS98&lt;=0,"New Auth",DR103+DS104-DS98),"New Auth")</f>
        <v>47141</v>
      </c>
      <c r="DT103" s="226">
        <f t="shared" ref="DT103" si="357">IFERROR(IF(DS103+DT104-DT98&lt;=0,"New Auth",DS103+DT104-DT98),"New Auth")</f>
        <v>33141</v>
      </c>
      <c r="DU103" s="226">
        <f t="shared" ref="DU103" si="358">IFERROR(IF(DT103+DU104-DU98&lt;=0,"New Auth",DT103+DU104-DU98),"New Auth")</f>
        <v>19141</v>
      </c>
      <c r="DV103" s="226">
        <f t="shared" ref="DV103" si="359">IFERROR(IF(DU103+DV104-DV98&lt;=0,"New Auth",DU103+DV104-DV98),"New Auth")</f>
        <v>5141</v>
      </c>
      <c r="DW103" s="4781">
        <f>IFERROR(IF(DR103+DW104-DW98&lt;=0,"New Auth",DR103+DW104-DW98),"New Auth")</f>
        <v>5141</v>
      </c>
      <c r="DX103" s="840" t="str">
        <f ca="1">IFERROR(IF(DW103+DX104-DX98&lt;=0,"New Auth",DW103+DX104-DX98),"New Auth")</f>
        <v>New Auth</v>
      </c>
      <c r="DY103" s="840" t="str">
        <f ca="1">IFERROR(IF(DX103+DY104-DY98&lt;=0,"New Auth",DX103+DY104-DY98),"New Auth")</f>
        <v>New Auth</v>
      </c>
      <c r="DZ103" s="840" t="str">
        <f ca="1">IFERROR(IF(DY103+DZ104-DZ98&lt;=0,"New Auth",DY103+DZ104-DZ98),"New Auth")</f>
        <v>New Auth</v>
      </c>
      <c r="EA103" s="840" t="str">
        <f ca="1">IFERROR(IF(DZ103+EA104-EA98&lt;=0,"New Auth",DZ103+EA104-EA98),"New Auth")</f>
        <v>New Auth</v>
      </c>
      <c r="EC103" s="4320"/>
      <c r="ED103" s="4320"/>
    </row>
    <row r="104" spans="1:134" s="84" customFormat="1" ht="11.25" customHeight="1">
      <c r="A104" s="4764" t="s">
        <v>923</v>
      </c>
      <c r="B104" s="4765"/>
      <c r="C104" s="4766"/>
      <c r="D104" s="4766"/>
      <c r="E104" s="4766"/>
      <c r="F104" s="4766"/>
      <c r="G104" s="4765"/>
      <c r="H104" s="4766"/>
      <c r="I104" s="4766"/>
      <c r="J104" s="4766"/>
      <c r="K104" s="4766"/>
      <c r="L104" s="4765"/>
      <c r="M104" s="4766"/>
      <c r="N104" s="4766"/>
      <c r="O104" s="4766"/>
      <c r="P104" s="4766"/>
      <c r="Q104" s="4765"/>
      <c r="R104" s="4766"/>
      <c r="S104" s="4766"/>
      <c r="T104" s="4766"/>
      <c r="U104" s="4766"/>
      <c r="V104" s="4765"/>
      <c r="W104" s="4766"/>
      <c r="X104" s="4766"/>
      <c r="Y104" s="4766"/>
      <c r="Z104" s="4766"/>
      <c r="AA104" s="4765"/>
      <c r="AB104" s="4767"/>
      <c r="AC104" s="4767"/>
      <c r="AD104" s="4767"/>
      <c r="AE104" s="4767"/>
      <c r="AF104" s="4765"/>
      <c r="AG104" s="4767"/>
      <c r="AH104" s="4767"/>
      <c r="AI104" s="4767"/>
      <c r="AJ104" s="4767"/>
      <c r="AK104" s="4765"/>
      <c r="AL104" s="4767"/>
      <c r="AM104" s="4767"/>
      <c r="AN104" s="4767"/>
      <c r="AO104" s="4767"/>
      <c r="AP104" s="4765"/>
      <c r="AQ104" s="4767"/>
      <c r="AR104" s="4767"/>
      <c r="AS104" s="4767"/>
      <c r="AT104" s="4767"/>
      <c r="AU104" s="4765"/>
      <c r="AV104" s="4767"/>
      <c r="AW104" s="4767"/>
      <c r="AX104" s="4767"/>
      <c r="AY104" s="4767"/>
      <c r="AZ104" s="4765"/>
      <c r="BA104" s="4767"/>
      <c r="BB104" s="4767"/>
      <c r="BC104" s="4767"/>
      <c r="BD104" s="4767"/>
      <c r="BE104" s="4765"/>
      <c r="BF104" s="4767"/>
      <c r="BG104" s="4767"/>
      <c r="BH104" s="4767"/>
      <c r="BI104" s="4767"/>
      <c r="BJ104" s="4765"/>
      <c r="BK104" s="4767"/>
      <c r="BL104" s="4767"/>
      <c r="BM104" s="4767"/>
      <c r="BN104" s="4767"/>
      <c r="BO104" s="4765"/>
      <c r="BP104" s="4767"/>
      <c r="BQ104" s="4767"/>
      <c r="BR104" s="4767"/>
      <c r="BS104" s="4767">
        <v>5099.0195135900003</v>
      </c>
      <c r="BT104" s="4765"/>
      <c r="BU104" s="4767"/>
      <c r="BV104" s="4767"/>
      <c r="BW104" s="4767"/>
      <c r="BX104" s="4767">
        <v>7019.3409768299998</v>
      </c>
      <c r="BY104" s="4765"/>
      <c r="BZ104" s="4767"/>
      <c r="CA104" s="4767"/>
      <c r="CB104" s="4767"/>
      <c r="CC104" s="4767"/>
      <c r="CD104" s="4765"/>
      <c r="CE104" s="4767">
        <v>8589.8690559999995</v>
      </c>
      <c r="CF104" s="4767"/>
      <c r="CG104" s="4767"/>
      <c r="CH104" s="4767"/>
      <c r="CI104" s="4765"/>
      <c r="CJ104" s="4767">
        <v>12500</v>
      </c>
      <c r="CK104" s="4767"/>
      <c r="CL104" s="4767">
        <v>25000</v>
      </c>
      <c r="CM104" s="4767"/>
      <c r="CN104" s="4765"/>
      <c r="CO104" s="4767"/>
      <c r="CP104" s="4516"/>
      <c r="CQ104" s="4767">
        <v>28000</v>
      </c>
      <c r="CR104" s="4516"/>
      <c r="CS104" s="4768">
        <f>SUM(CO104:CR104)</f>
        <v>28000</v>
      </c>
      <c r="CT104" s="4767"/>
      <c r="CU104" s="4767">
        <v>50000</v>
      </c>
      <c r="CV104" s="4767"/>
      <c r="CW104" s="4767"/>
      <c r="CX104" s="4768">
        <f>SUM(CT104:CW104)</f>
        <v>50000</v>
      </c>
      <c r="CY104" s="4767"/>
      <c r="CZ104" s="4767">
        <v>70000</v>
      </c>
      <c r="DA104" s="4767"/>
      <c r="DB104" s="4767"/>
      <c r="DC104" s="4768">
        <f>SUM(CY104:DB104)</f>
        <v>70000</v>
      </c>
      <c r="DD104" s="4767"/>
      <c r="DE104" s="4767">
        <v>70000</v>
      </c>
      <c r="DF104" s="4767"/>
      <c r="DG104" s="4767"/>
      <c r="DH104" s="4768">
        <f>SUM(DD104:DG104)</f>
        <v>70000</v>
      </c>
      <c r="DI104" s="4767"/>
      <c r="DJ104" s="4767">
        <v>70000</v>
      </c>
      <c r="DK104" s="4767"/>
      <c r="DL104" s="4767"/>
      <c r="DM104" s="4768">
        <f>SUM(DI104:DL104)</f>
        <v>70000</v>
      </c>
      <c r="DN104" s="4767"/>
      <c r="DO104" s="4767">
        <v>70000</v>
      </c>
      <c r="DP104" s="4767"/>
      <c r="DQ104" s="4767"/>
      <c r="DR104" s="4768">
        <f>SUM(DN104:DQ104)</f>
        <v>70000</v>
      </c>
      <c r="DS104" s="4767"/>
      <c r="DT104" s="4767"/>
      <c r="DU104" s="4767"/>
      <c r="DV104" s="4767"/>
      <c r="DW104" s="4768">
        <f>SUM(DS104:DV104)</f>
        <v>0</v>
      </c>
      <c r="DX104" s="4769"/>
      <c r="DY104" s="4769"/>
      <c r="DZ104" s="4769"/>
      <c r="EA104" s="4769"/>
      <c r="EC104" s="4320"/>
      <c r="ED104" s="4320"/>
    </row>
    <row r="105" spans="1:134" s="84" customFormat="1" ht="11.25" customHeight="1">
      <c r="A105" s="5992" t="s">
        <v>1098</v>
      </c>
      <c r="B105" s="5968"/>
      <c r="C105" s="5969"/>
      <c r="D105" s="5969"/>
      <c r="E105" s="5969"/>
      <c r="F105" s="5969"/>
      <c r="G105" s="5968"/>
      <c r="H105" s="5969"/>
      <c r="I105" s="5969"/>
      <c r="J105" s="5969"/>
      <c r="K105" s="5969"/>
      <c r="L105" s="5968"/>
      <c r="M105" s="5970"/>
      <c r="N105" s="5969"/>
      <c r="O105" s="5969"/>
      <c r="P105" s="5969"/>
      <c r="Q105" s="5968"/>
      <c r="R105" s="5970"/>
      <c r="S105" s="5969"/>
      <c r="T105" s="5969"/>
      <c r="U105" s="5969"/>
      <c r="V105" s="5968"/>
      <c r="W105" s="5970"/>
      <c r="X105" s="5969"/>
      <c r="Y105" s="5969"/>
      <c r="Z105" s="5971"/>
      <c r="AA105" s="5968"/>
      <c r="AB105" s="5972"/>
      <c r="AC105" s="5973"/>
      <c r="AD105" s="3991"/>
      <c r="AE105" s="5974"/>
      <c r="AF105" s="5968"/>
      <c r="AG105" s="5972"/>
      <c r="AH105" s="5973"/>
      <c r="AI105" s="3991"/>
      <c r="AJ105" s="5974"/>
      <c r="AK105" s="5968"/>
      <c r="AL105" s="5972"/>
      <c r="AM105" s="5108"/>
      <c r="AN105" s="3991"/>
      <c r="AO105" s="5974"/>
      <c r="AP105" s="5968"/>
      <c r="AQ105" s="5972"/>
      <c r="AR105" s="3991"/>
      <c r="AS105" s="3991"/>
      <c r="AT105" s="5974"/>
      <c r="AU105" s="5968"/>
      <c r="AV105" s="3991"/>
      <c r="AW105" s="3991"/>
      <c r="AX105" s="3991"/>
      <c r="AY105" s="3991"/>
      <c r="AZ105" s="5968"/>
      <c r="BA105" s="3991"/>
      <c r="BB105" s="3991"/>
      <c r="BC105" s="3991"/>
      <c r="BD105" s="3991"/>
      <c r="BE105" s="5968"/>
      <c r="BF105" s="3991"/>
      <c r="BG105" s="3991"/>
      <c r="BH105" s="3991"/>
      <c r="BI105" s="3991"/>
      <c r="BJ105" s="5968"/>
      <c r="BK105" s="5975"/>
      <c r="BL105" s="3991"/>
      <c r="BM105" s="3991"/>
      <c r="BN105" s="5976"/>
      <c r="BO105" s="5968"/>
      <c r="BP105" s="5975"/>
      <c r="BQ105" s="3991"/>
      <c r="BR105" s="3991"/>
      <c r="BS105" s="5976"/>
      <c r="BT105" s="5968"/>
      <c r="BU105" s="5975"/>
      <c r="BV105" s="3991"/>
      <c r="BW105" s="3991"/>
      <c r="BX105" s="5976"/>
      <c r="BY105" s="5968"/>
      <c r="BZ105" s="3991"/>
      <c r="CA105" s="3991"/>
      <c r="CB105" s="3991"/>
      <c r="CC105" s="3991"/>
      <c r="CD105" s="5977"/>
      <c r="CE105" s="5978"/>
      <c r="CF105" s="3991"/>
      <c r="CG105" s="3991"/>
      <c r="CH105" s="5978"/>
      <c r="CI105" s="5979"/>
      <c r="CJ105" s="5980"/>
      <c r="CK105" s="3991"/>
      <c r="CL105" s="3991"/>
      <c r="CM105" s="5980"/>
      <c r="CN105" s="5979"/>
      <c r="CO105" s="5980"/>
      <c r="CP105" s="5980"/>
      <c r="CQ105" s="5980"/>
      <c r="CR105" s="5980"/>
      <c r="CS105" s="5981"/>
      <c r="CT105" s="5980"/>
      <c r="CU105" s="5980"/>
      <c r="CV105" s="5980"/>
      <c r="CW105" s="5980"/>
      <c r="CX105" s="5981"/>
      <c r="CY105" s="5980"/>
      <c r="CZ105" s="5980"/>
      <c r="DA105" s="5980"/>
      <c r="DB105" s="5980"/>
      <c r="DC105" s="5981"/>
      <c r="DD105" s="5980"/>
      <c r="DE105" s="5980"/>
      <c r="DF105" s="5980"/>
      <c r="DG105" s="5980"/>
      <c r="DH105" s="5981"/>
      <c r="DI105" s="5980"/>
      <c r="DJ105" s="5980"/>
      <c r="DK105" s="5980"/>
      <c r="DL105" s="5980"/>
      <c r="DM105" s="5981"/>
      <c r="DN105" s="5980"/>
      <c r="DO105" s="5980"/>
      <c r="DP105" s="5980"/>
      <c r="DQ105" s="5980"/>
      <c r="DR105" s="5981"/>
      <c r="DS105" s="5980"/>
      <c r="DT105" s="5980"/>
      <c r="DU105" s="5980"/>
      <c r="DV105" s="5980"/>
      <c r="DW105" s="5981"/>
      <c r="DX105" s="5981"/>
      <c r="DY105" s="5981"/>
      <c r="DZ105" s="5981"/>
      <c r="EA105" s="5981"/>
      <c r="EC105" s="4320"/>
      <c r="ED105" s="4320"/>
    </row>
    <row r="106" spans="1:134" s="84" customFormat="1" ht="11.25" customHeight="1">
      <c r="A106" s="5993" t="s">
        <v>1100</v>
      </c>
      <c r="B106" s="4025"/>
      <c r="C106" s="77"/>
      <c r="D106" s="77"/>
      <c r="E106" s="77"/>
      <c r="F106" s="77"/>
      <c r="G106" s="4026"/>
      <c r="H106" s="511"/>
      <c r="I106" s="511"/>
      <c r="J106" s="511"/>
      <c r="K106" s="511"/>
      <c r="L106" s="4026"/>
      <c r="M106" s="3852"/>
      <c r="N106" s="511"/>
      <c r="O106" s="511"/>
      <c r="P106" s="511"/>
      <c r="Q106" s="4026"/>
      <c r="R106" s="3852"/>
      <c r="S106" s="511"/>
      <c r="T106" s="511"/>
      <c r="U106" s="511"/>
      <c r="V106" s="4026"/>
      <c r="W106" s="3852"/>
      <c r="X106" s="511"/>
      <c r="Y106" s="511"/>
      <c r="Z106" s="1470"/>
      <c r="AA106" s="4026"/>
      <c r="AB106" s="3853"/>
      <c r="AC106" s="226"/>
      <c r="AD106" s="226"/>
      <c r="AE106" s="1471"/>
      <c r="AF106" s="4026"/>
      <c r="AG106" s="3853"/>
      <c r="AH106" s="226"/>
      <c r="AI106" s="226"/>
      <c r="AJ106" s="1471"/>
      <c r="AK106" s="4026"/>
      <c r="AL106" s="3853"/>
      <c r="AM106" s="226"/>
      <c r="AN106" s="226"/>
      <c r="AO106" s="1471"/>
      <c r="AP106" s="4026"/>
      <c r="AQ106" s="3853"/>
      <c r="AR106" s="226"/>
      <c r="AS106" s="226"/>
      <c r="AT106" s="1471"/>
      <c r="AU106" s="4026"/>
      <c r="AV106" s="226"/>
      <c r="AW106" s="226"/>
      <c r="AX106" s="226"/>
      <c r="AY106" s="226"/>
      <c r="AZ106" s="4026"/>
      <c r="BA106" s="226"/>
      <c r="BB106" s="226"/>
      <c r="BC106" s="226"/>
      <c r="BD106" s="226"/>
      <c r="BE106" s="4026"/>
      <c r="BF106" s="226"/>
      <c r="BG106" s="226"/>
      <c r="BH106" s="226"/>
      <c r="BI106" s="226"/>
      <c r="BJ106" s="4026"/>
      <c r="BK106" s="686"/>
      <c r="BL106" s="226"/>
      <c r="BM106" s="226"/>
      <c r="BN106" s="226"/>
      <c r="BO106" s="4026"/>
      <c r="BP106" s="686"/>
      <c r="BQ106" s="226"/>
      <c r="BR106" s="226"/>
      <c r="BS106" s="226"/>
      <c r="BT106" s="4026"/>
      <c r="BU106" s="226"/>
      <c r="BV106" s="226"/>
      <c r="BW106" s="226"/>
      <c r="BX106" s="226"/>
      <c r="BY106" s="4026"/>
      <c r="BZ106" s="226"/>
      <c r="CA106" s="226"/>
      <c r="CB106" s="226"/>
      <c r="CC106" s="226"/>
      <c r="CD106" s="4026"/>
      <c r="CE106" s="226"/>
      <c r="CF106" s="226"/>
      <c r="CG106" s="226"/>
      <c r="CH106" s="226"/>
      <c r="CI106" s="4026"/>
      <c r="CJ106" s="226"/>
      <c r="CK106" s="226"/>
      <c r="CL106" s="226"/>
      <c r="CM106" s="226"/>
      <c r="CN106" s="4026"/>
      <c r="CO106" s="226"/>
      <c r="CP106" s="226"/>
      <c r="CQ106" s="226"/>
      <c r="CR106" s="226"/>
      <c r="CS106" s="4026"/>
      <c r="CT106" s="226"/>
      <c r="CU106" s="226"/>
      <c r="CV106" s="226"/>
      <c r="CW106" s="226"/>
      <c r="CX106" s="4026"/>
      <c r="CY106" s="226"/>
      <c r="CZ106" s="226"/>
      <c r="DA106" s="226"/>
      <c r="DB106" s="226"/>
      <c r="DC106" s="4026"/>
      <c r="DD106" s="226"/>
      <c r="DE106" s="226"/>
      <c r="DF106" s="226"/>
      <c r="DG106" s="226"/>
      <c r="DH106" s="4026"/>
      <c r="DI106" s="226"/>
      <c r="DJ106" s="226">
        <f>-DJ40</f>
        <v>2466</v>
      </c>
      <c r="DK106" s="226">
        <f t="shared" ref="DK106:DL106" si="360">-DK40</f>
        <v>2455</v>
      </c>
      <c r="DL106" s="226">
        <f t="shared" si="360"/>
        <v>2442</v>
      </c>
      <c r="DM106" s="4026">
        <f>SUM(DI106:DL106)</f>
        <v>7363</v>
      </c>
      <c r="DN106" s="226">
        <f t="shared" ref="DN106:DP106" si="361">-DN40</f>
        <v>2434</v>
      </c>
      <c r="DO106" s="226">
        <f t="shared" si="361"/>
        <v>2543</v>
      </c>
      <c r="DP106" s="226">
        <f t="shared" si="361"/>
        <v>2537</v>
      </c>
      <c r="DQ106" s="668">
        <f>DQ107*IS!EO38</f>
        <v>2563.7805199999998</v>
      </c>
      <c r="DR106" s="4026">
        <f>SUM(DN106:DQ106)</f>
        <v>10077.78052</v>
      </c>
      <c r="DS106" s="668">
        <f>DS107*IS!EQ38</f>
        <v>2564.2356420799997</v>
      </c>
      <c r="DT106" s="668">
        <f>DT107*IS!ER38</f>
        <v>2564.69258464832</v>
      </c>
      <c r="DU106" s="668">
        <f>DU107*IS!ES38</f>
        <v>2565.1513549869132</v>
      </c>
      <c r="DV106" s="668">
        <f>DV107*IS!ET38</f>
        <v>2565.6119604068608</v>
      </c>
      <c r="DW106" s="4026">
        <f>SUM(DS106:DV106)</f>
        <v>10259.691542122095</v>
      </c>
      <c r="DX106" s="4026">
        <f ca="1">DX107*IS!EV38</f>
        <v>10178.166649454766</v>
      </c>
      <c r="DY106" s="4026">
        <f ca="1">DY107*IS!EW38</f>
        <v>10088.88568220201</v>
      </c>
      <c r="DZ106" s="4026">
        <f ca="1">DZ107*IS!EX38</f>
        <v>9988.7412195687139</v>
      </c>
      <c r="EA106" s="4026">
        <f ca="1">EA107*IS!EY38</f>
        <v>9878.1279744661806</v>
      </c>
      <c r="EC106" s="4320"/>
      <c r="ED106" s="4320"/>
    </row>
    <row r="107" spans="1:134" s="84" customFormat="1" ht="11.25" customHeight="1">
      <c r="A107" s="5993" t="s">
        <v>1099</v>
      </c>
      <c r="B107" s="4025"/>
      <c r="C107" s="77"/>
      <c r="D107" s="77"/>
      <c r="E107" s="77"/>
      <c r="F107" s="77"/>
      <c r="G107" s="4026"/>
      <c r="H107" s="511"/>
      <c r="I107" s="511"/>
      <c r="J107" s="511"/>
      <c r="K107" s="511"/>
      <c r="L107" s="4026"/>
      <c r="M107" s="3852"/>
      <c r="N107" s="511"/>
      <c r="O107" s="511"/>
      <c r="P107" s="511"/>
      <c r="Q107" s="4026"/>
      <c r="R107" s="3852"/>
      <c r="S107" s="511"/>
      <c r="T107" s="511"/>
      <c r="U107" s="511"/>
      <c r="V107" s="4026"/>
      <c r="W107" s="3852"/>
      <c r="X107" s="511"/>
      <c r="Y107" s="511"/>
      <c r="Z107" s="1470"/>
      <c r="AA107" s="4026"/>
      <c r="AB107" s="3853"/>
      <c r="AC107" s="226"/>
      <c r="AD107" s="226"/>
      <c r="AE107" s="1471"/>
      <c r="AF107" s="4026"/>
      <c r="AG107" s="3853"/>
      <c r="AH107" s="226"/>
      <c r="AI107" s="226"/>
      <c r="AJ107" s="1471"/>
      <c r="AK107" s="4026"/>
      <c r="AL107" s="3853"/>
      <c r="AM107" s="226"/>
      <c r="AN107" s="226"/>
      <c r="AO107" s="1471"/>
      <c r="AP107" s="4026"/>
      <c r="AQ107" s="3853"/>
      <c r="AR107" s="226"/>
      <c r="AS107" s="226"/>
      <c r="AT107" s="1471"/>
      <c r="AU107" s="4026"/>
      <c r="AV107" s="226"/>
      <c r="AW107" s="226"/>
      <c r="AX107" s="226"/>
      <c r="AY107" s="226"/>
      <c r="AZ107" s="4026"/>
      <c r="BA107" s="226"/>
      <c r="BB107" s="226"/>
      <c r="BC107" s="226"/>
      <c r="BD107" s="226"/>
      <c r="BE107" s="4026"/>
      <c r="BF107" s="226"/>
      <c r="BG107" s="226"/>
      <c r="BH107" s="226"/>
      <c r="BI107" s="226"/>
      <c r="BJ107" s="4026"/>
      <c r="BK107" s="686"/>
      <c r="BL107" s="226"/>
      <c r="BM107" s="226"/>
      <c r="BN107" s="226"/>
      <c r="BO107" s="4026"/>
      <c r="BP107" s="686"/>
      <c r="BQ107" s="226"/>
      <c r="BR107" s="226"/>
      <c r="BS107" s="226"/>
      <c r="BT107" s="4026"/>
      <c r="BU107" s="226"/>
      <c r="BV107" s="226"/>
      <c r="BW107" s="226"/>
      <c r="BX107" s="226"/>
      <c r="BY107" s="4026"/>
      <c r="BZ107" s="226"/>
      <c r="CA107" s="226"/>
      <c r="CB107" s="226"/>
      <c r="CC107" s="226"/>
      <c r="CD107" s="4026"/>
      <c r="CE107" s="226"/>
      <c r="CF107" s="226"/>
      <c r="CG107" s="226"/>
      <c r="CH107" s="226"/>
      <c r="CI107" s="4026"/>
      <c r="CJ107" s="226"/>
      <c r="CK107" s="226"/>
      <c r="CL107" s="226"/>
      <c r="CM107" s="226"/>
      <c r="CN107" s="4026"/>
      <c r="CO107" s="226"/>
      <c r="CP107" s="226"/>
      <c r="CQ107" s="226"/>
      <c r="CR107" s="226"/>
      <c r="CS107" s="4026"/>
      <c r="CT107" s="226"/>
      <c r="CU107" s="226"/>
      <c r="CV107" s="226"/>
      <c r="CW107" s="226"/>
      <c r="CX107" s="4026"/>
      <c r="CY107" s="226"/>
      <c r="CZ107" s="226"/>
      <c r="DA107" s="226"/>
      <c r="DB107" s="226"/>
      <c r="DC107" s="4026"/>
      <c r="DD107" s="226"/>
      <c r="DE107" s="226"/>
      <c r="DF107" s="226"/>
      <c r="DG107" s="226"/>
      <c r="DH107" s="4026"/>
      <c r="DI107" s="226"/>
      <c r="DJ107" s="3818">
        <v>0.2</v>
      </c>
      <c r="DK107" s="3818">
        <v>0.2</v>
      </c>
      <c r="DL107" s="3818">
        <v>0.2</v>
      </c>
      <c r="DM107" s="5995">
        <f>DM106/IS!EK38</f>
        <v>0.59153628311474427</v>
      </c>
      <c r="DN107" s="3818">
        <v>0.2</v>
      </c>
      <c r="DO107" s="3818">
        <v>0.21</v>
      </c>
      <c r="DP107" s="3818">
        <v>0.21</v>
      </c>
      <c r="DQ107" s="3818">
        <v>0.21</v>
      </c>
      <c r="DR107" s="5995">
        <f>DR106/IS!EP38</f>
        <v>0.82435025543989915</v>
      </c>
      <c r="DS107" s="3819">
        <v>0.21</v>
      </c>
      <c r="DT107" s="3819">
        <v>0.21</v>
      </c>
      <c r="DU107" s="3819">
        <v>0.21</v>
      </c>
      <c r="DV107" s="3819">
        <v>0.21</v>
      </c>
      <c r="DW107" s="5995">
        <f>DW106/IS!EU38</f>
        <v>0.84</v>
      </c>
      <c r="DX107" s="5995">
        <f t="shared" ref="DX107:EA107" si="362">DW107</f>
        <v>0.84</v>
      </c>
      <c r="DY107" s="5995">
        <f t="shared" si="362"/>
        <v>0.84</v>
      </c>
      <c r="DZ107" s="5995">
        <f t="shared" si="362"/>
        <v>0.84</v>
      </c>
      <c r="EA107" s="5995">
        <f t="shared" si="362"/>
        <v>0.84</v>
      </c>
      <c r="EC107" s="4320"/>
      <c r="ED107" s="4320"/>
    </row>
    <row r="108" spans="1:134" s="84" customFormat="1" ht="11.25" customHeight="1">
      <c r="A108" s="6082" t="s">
        <v>1134</v>
      </c>
      <c r="B108" s="6083"/>
      <c r="C108" s="194"/>
      <c r="D108" s="194"/>
      <c r="E108" s="194"/>
      <c r="F108" s="194"/>
      <c r="G108" s="6084"/>
      <c r="H108" s="6085"/>
      <c r="I108" s="6085"/>
      <c r="J108" s="6085"/>
      <c r="K108" s="6085"/>
      <c r="L108" s="6084"/>
      <c r="M108" s="6086"/>
      <c r="N108" s="6085"/>
      <c r="O108" s="6085"/>
      <c r="P108" s="6085"/>
      <c r="Q108" s="6084"/>
      <c r="R108" s="6086"/>
      <c r="S108" s="6085"/>
      <c r="T108" s="6085"/>
      <c r="U108" s="6085"/>
      <c r="V108" s="6084"/>
      <c r="W108" s="6086"/>
      <c r="X108" s="6085"/>
      <c r="Y108" s="6085"/>
      <c r="Z108" s="6087"/>
      <c r="AA108" s="6084"/>
      <c r="AB108" s="6088"/>
      <c r="AC108" s="6089"/>
      <c r="AD108" s="6089"/>
      <c r="AE108" s="6090"/>
      <c r="AF108" s="6084"/>
      <c r="AG108" s="6088"/>
      <c r="AH108" s="6089"/>
      <c r="AI108" s="6089"/>
      <c r="AJ108" s="6090"/>
      <c r="AK108" s="6084"/>
      <c r="AL108" s="6088"/>
      <c r="AM108" s="6089"/>
      <c r="AN108" s="6089"/>
      <c r="AO108" s="6090"/>
      <c r="AP108" s="6084"/>
      <c r="AQ108" s="6088"/>
      <c r="AR108" s="6089"/>
      <c r="AS108" s="6089"/>
      <c r="AT108" s="6090"/>
      <c r="AU108" s="6084"/>
      <c r="AV108" s="6089"/>
      <c r="AW108" s="6089"/>
      <c r="AX108" s="6089"/>
      <c r="AY108" s="6089"/>
      <c r="AZ108" s="6084"/>
      <c r="BA108" s="6089"/>
      <c r="BB108" s="6089"/>
      <c r="BC108" s="6089"/>
      <c r="BD108" s="6089"/>
      <c r="BE108" s="6084"/>
      <c r="BF108" s="6089"/>
      <c r="BG108" s="6089"/>
      <c r="BH108" s="6089"/>
      <c r="BI108" s="6089"/>
      <c r="BJ108" s="6084"/>
      <c r="BK108" s="6091"/>
      <c r="BL108" s="6089"/>
      <c r="BM108" s="6089"/>
      <c r="BN108" s="6089"/>
      <c r="BO108" s="6084"/>
      <c r="BP108" s="6091"/>
      <c r="BQ108" s="6089"/>
      <c r="BR108" s="6089"/>
      <c r="BS108" s="6089"/>
      <c r="BT108" s="6084"/>
      <c r="BU108" s="6089"/>
      <c r="BV108" s="6089"/>
      <c r="BW108" s="6089"/>
      <c r="BX108" s="6089"/>
      <c r="BY108" s="6084"/>
      <c r="BZ108" s="6089"/>
      <c r="CA108" s="6089"/>
      <c r="CB108" s="6089"/>
      <c r="CC108" s="6089"/>
      <c r="CD108" s="6084"/>
      <c r="CE108" s="6089"/>
      <c r="CF108" s="6089"/>
      <c r="CG108" s="6089"/>
      <c r="CH108" s="6089"/>
      <c r="CI108" s="6084"/>
      <c r="CJ108" s="6089"/>
      <c r="CK108" s="6089"/>
      <c r="CL108" s="6089"/>
      <c r="CM108" s="6089"/>
      <c r="CN108" s="6084"/>
      <c r="CO108" s="6089"/>
      <c r="CP108" s="6089"/>
      <c r="CQ108" s="6089"/>
      <c r="CR108" s="6089"/>
      <c r="CS108" s="6084"/>
      <c r="CT108" s="6089"/>
      <c r="CU108" s="6089"/>
      <c r="CV108" s="6089"/>
      <c r="CW108" s="6089"/>
      <c r="CX108" s="6084"/>
      <c r="CY108" s="6089"/>
      <c r="CZ108" s="6089"/>
      <c r="DA108" s="6089"/>
      <c r="DB108" s="6089"/>
      <c r="DC108" s="6084"/>
      <c r="DD108" s="6089"/>
      <c r="DE108" s="6089"/>
      <c r="DF108" s="6089"/>
      <c r="DG108" s="6089"/>
      <c r="DH108" s="4030"/>
      <c r="DI108" s="2623"/>
      <c r="DJ108" s="2623"/>
      <c r="DK108" s="2623">
        <f>DK107/DJ107-1</f>
        <v>0</v>
      </c>
      <c r="DL108" s="2623">
        <f>DL107/DK107-1</f>
        <v>0</v>
      </c>
      <c r="DM108" s="4939" t="s">
        <v>116</v>
      </c>
      <c r="DN108" s="2623">
        <f>DN107/DL107-1</f>
        <v>0</v>
      </c>
      <c r="DO108" s="2623">
        <f t="shared" ref="DO108:DQ108" si="363">DO107/DN107-1</f>
        <v>4.9999999999999822E-2</v>
      </c>
      <c r="DP108" s="2623">
        <f t="shared" si="363"/>
        <v>0</v>
      </c>
      <c r="DQ108" s="2623">
        <f t="shared" si="363"/>
        <v>0</v>
      </c>
      <c r="DR108" s="4030">
        <f>DR107/DM107-1</f>
        <v>0.39357513473099059</v>
      </c>
      <c r="DS108" s="2623">
        <f t="shared" ref="DS108" si="364">DS107/DR107-1</f>
        <v>-0.74525391529364249</v>
      </c>
      <c r="DT108" s="2623">
        <f t="shared" ref="DT108" si="365">DT107/DS107-1</f>
        <v>0</v>
      </c>
      <c r="DU108" s="2623">
        <f t="shared" ref="DU108" si="366">DU107/DT107-1</f>
        <v>0</v>
      </c>
      <c r="DV108" s="2623">
        <f t="shared" ref="DV108" si="367">DV107/DU107-1</f>
        <v>0</v>
      </c>
      <c r="DW108" s="4030">
        <f>DW107/DR107-1</f>
        <v>1.8984338825430047E-2</v>
      </c>
      <c r="DX108" s="4030">
        <f t="shared" ref="DX108" si="368">DX107/DW107-1</f>
        <v>0</v>
      </c>
      <c r="DY108" s="4030">
        <f t="shared" ref="DY108" si="369">DY107/DX107-1</f>
        <v>0</v>
      </c>
      <c r="DZ108" s="4030">
        <f t="shared" ref="DZ108:EA108" si="370">DZ107/DY107-1</f>
        <v>0</v>
      </c>
      <c r="EA108" s="4030">
        <f t="shared" si="370"/>
        <v>0</v>
      </c>
      <c r="EC108" s="4320"/>
      <c r="ED108" s="4320"/>
    </row>
    <row r="109" spans="1:134" s="84" customFormat="1" ht="11.25" customHeight="1">
      <c r="A109" s="5994"/>
      <c r="B109" s="5982"/>
      <c r="C109" s="5983"/>
      <c r="D109" s="5983"/>
      <c r="E109" s="5983"/>
      <c r="F109" s="5983"/>
      <c r="G109" s="5984"/>
      <c r="H109" s="5985"/>
      <c r="I109" s="5985"/>
      <c r="J109" s="5985"/>
      <c r="K109" s="5985"/>
      <c r="L109" s="5984"/>
      <c r="M109" s="5986"/>
      <c r="N109" s="5985"/>
      <c r="O109" s="5985"/>
      <c r="P109" s="5985"/>
      <c r="Q109" s="5984"/>
      <c r="R109" s="5986"/>
      <c r="S109" s="5985"/>
      <c r="T109" s="5985"/>
      <c r="U109" s="5985"/>
      <c r="V109" s="5984"/>
      <c r="W109" s="5986"/>
      <c r="X109" s="5985"/>
      <c r="Y109" s="5985"/>
      <c r="Z109" s="5987"/>
      <c r="AA109" s="5984"/>
      <c r="AB109" s="5988"/>
      <c r="AC109" s="4516"/>
      <c r="AD109" s="4516"/>
      <c r="AE109" s="5989"/>
      <c r="AF109" s="5984"/>
      <c r="AG109" s="5988"/>
      <c r="AH109" s="4516"/>
      <c r="AI109" s="4516"/>
      <c r="AJ109" s="5989"/>
      <c r="AK109" s="5984"/>
      <c r="AL109" s="5988"/>
      <c r="AM109" s="4516"/>
      <c r="AN109" s="4516"/>
      <c r="AO109" s="5989"/>
      <c r="AP109" s="5984"/>
      <c r="AQ109" s="5988"/>
      <c r="AR109" s="4516"/>
      <c r="AS109" s="4516"/>
      <c r="AT109" s="5989"/>
      <c r="AU109" s="5984"/>
      <c r="AV109" s="4516"/>
      <c r="AW109" s="4516"/>
      <c r="AX109" s="4516"/>
      <c r="AY109" s="4516"/>
      <c r="AZ109" s="5984"/>
      <c r="BA109" s="4516"/>
      <c r="BB109" s="4516"/>
      <c r="BC109" s="4516"/>
      <c r="BD109" s="4516"/>
      <c r="BE109" s="5984"/>
      <c r="BF109" s="4516"/>
      <c r="BG109" s="4516"/>
      <c r="BH109" s="4516"/>
      <c r="BI109" s="4516"/>
      <c r="BJ109" s="5984"/>
      <c r="BK109" s="5990"/>
      <c r="BL109" s="4516"/>
      <c r="BM109" s="4516"/>
      <c r="BN109" s="4516"/>
      <c r="BO109" s="5984"/>
      <c r="BP109" s="5990"/>
      <c r="BQ109" s="4516"/>
      <c r="BR109" s="4516"/>
      <c r="BS109" s="4516"/>
      <c r="BT109" s="5984"/>
      <c r="BU109" s="4516"/>
      <c r="BV109" s="4516"/>
      <c r="BW109" s="4516"/>
      <c r="BX109" s="4516"/>
      <c r="BY109" s="5984"/>
      <c r="BZ109" s="4516"/>
      <c r="CA109" s="4516"/>
      <c r="CB109" s="4516"/>
      <c r="CC109" s="4516"/>
      <c r="CD109" s="5984"/>
      <c r="CE109" s="4516"/>
      <c r="CF109" s="4516"/>
      <c r="CG109" s="4516"/>
      <c r="CH109" s="4516"/>
      <c r="CI109" s="5984"/>
      <c r="CJ109" s="4516"/>
      <c r="CK109" s="4516"/>
      <c r="CL109" s="4516"/>
      <c r="CM109" s="4516"/>
      <c r="CN109" s="5984"/>
      <c r="CO109" s="4516"/>
      <c r="CP109" s="4516"/>
      <c r="CQ109" s="4516"/>
      <c r="CR109" s="4516"/>
      <c r="CS109" s="5984"/>
      <c r="CT109" s="4516"/>
      <c r="CU109" s="4516"/>
      <c r="CV109" s="4516"/>
      <c r="CW109" s="4516"/>
      <c r="CX109" s="5984"/>
      <c r="CY109" s="4516"/>
      <c r="CZ109" s="4516"/>
      <c r="DA109" s="4516"/>
      <c r="DB109" s="4516"/>
      <c r="DC109" s="5984"/>
      <c r="DD109" s="4516"/>
      <c r="DE109" s="4516"/>
      <c r="DF109" s="4516"/>
      <c r="DG109" s="4516"/>
      <c r="DH109" s="5984"/>
      <c r="DI109" s="4516"/>
      <c r="DJ109" s="5991"/>
      <c r="DK109" s="5991"/>
      <c r="DL109" s="5991"/>
      <c r="DM109" s="5984"/>
      <c r="DN109" s="5991"/>
      <c r="DO109" s="5991"/>
      <c r="DP109" s="5991"/>
      <c r="DQ109" s="5991"/>
      <c r="DR109" s="5984"/>
      <c r="DS109" s="5991"/>
      <c r="DT109" s="5991"/>
      <c r="DU109" s="5991"/>
      <c r="DV109" s="5991"/>
      <c r="DW109" s="5984"/>
      <c r="DX109" s="5984"/>
      <c r="DY109" s="5984"/>
      <c r="DZ109" s="5984"/>
      <c r="EA109" s="5984"/>
      <c r="EC109" s="4320"/>
      <c r="ED109" s="4320"/>
    </row>
    <row r="110" spans="1:134" s="31" customFormat="1" ht="11.25" customHeight="1">
      <c r="A110" s="1595"/>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c r="BR110" s="32"/>
      <c r="BS110" s="32"/>
      <c r="BT110" s="32"/>
      <c r="BU110" s="32"/>
      <c r="BV110" s="32"/>
      <c r="BW110" s="32"/>
      <c r="BX110" s="32"/>
      <c r="BY110" s="32"/>
      <c r="BZ110" s="32"/>
      <c r="CA110" s="32"/>
      <c r="CB110" s="32"/>
      <c r="CC110" s="32"/>
      <c r="CD110" s="32"/>
      <c r="CE110" s="32"/>
      <c r="CF110" s="32"/>
      <c r="CG110" s="32"/>
      <c r="CH110" s="32"/>
      <c r="CI110" s="32"/>
      <c r="CJ110" s="32"/>
      <c r="CK110" s="32"/>
      <c r="CL110" s="32"/>
      <c r="CM110" s="32"/>
      <c r="CN110" s="32"/>
      <c r="CO110" s="32"/>
      <c r="CP110" s="32"/>
      <c r="CQ110" s="32"/>
      <c r="CR110" s="32"/>
      <c r="CS110" s="32"/>
      <c r="CT110" s="32"/>
      <c r="CU110" s="32"/>
      <c r="CV110" s="32"/>
      <c r="CW110" s="32"/>
      <c r="CX110" s="32"/>
      <c r="CY110" s="32"/>
      <c r="CZ110" s="5234"/>
      <c r="DA110" s="32"/>
      <c r="DB110" s="32"/>
      <c r="DC110" s="32"/>
      <c r="DD110" s="32"/>
      <c r="DE110" s="5234"/>
      <c r="DF110" s="32"/>
      <c r="DG110" s="32"/>
      <c r="DH110" s="32"/>
      <c r="DI110" s="32"/>
      <c r="DJ110" s="32"/>
      <c r="DK110" s="32"/>
      <c r="DL110" s="32"/>
      <c r="DM110" s="32"/>
      <c r="DN110" s="32"/>
      <c r="DO110" s="32"/>
      <c r="DP110" s="32"/>
      <c r="DQ110" s="32"/>
      <c r="DR110" s="32"/>
      <c r="DS110" s="32"/>
      <c r="DT110" s="32"/>
      <c r="DU110" s="32"/>
      <c r="DV110" s="32"/>
      <c r="DW110" s="32"/>
      <c r="DX110" s="32"/>
      <c r="DY110" s="32"/>
      <c r="DZ110" s="32"/>
      <c r="EA110" s="32"/>
      <c r="EC110" s="4320"/>
      <c r="ED110" s="4320"/>
    </row>
    <row r="111" spans="1:134" ht="11.25" hidden="1" customHeight="1" outlineLevel="1">
      <c r="A111" s="1591" t="s">
        <v>250</v>
      </c>
      <c r="B111" s="1454"/>
      <c r="C111" s="1452"/>
      <c r="D111" s="949"/>
      <c r="E111" s="949"/>
      <c r="F111" s="949"/>
      <c r="G111" s="1454"/>
      <c r="H111" s="1452"/>
      <c r="I111" s="949"/>
      <c r="J111" s="949"/>
      <c r="K111" s="1452"/>
      <c r="L111" s="1454"/>
      <c r="M111" s="1452"/>
      <c r="N111" s="949"/>
      <c r="O111" s="949"/>
      <c r="P111" s="1452"/>
      <c r="Q111" s="1454"/>
      <c r="R111" s="1452"/>
      <c r="S111" s="949"/>
      <c r="T111" s="949"/>
      <c r="U111" s="1452"/>
      <c r="V111" s="1454"/>
      <c r="W111" s="1452"/>
      <c r="X111" s="949"/>
      <c r="Y111" s="949"/>
      <c r="Z111" s="1452"/>
      <c r="AA111" s="1444"/>
      <c r="AB111" s="1451"/>
      <c r="AC111" s="950"/>
      <c r="AD111" s="950"/>
      <c r="AE111" s="1451"/>
      <c r="AF111" s="1444"/>
      <c r="AG111" s="1451"/>
      <c r="AH111" s="950"/>
      <c r="AI111" s="950"/>
      <c r="AJ111" s="1451"/>
      <c r="AK111" s="1444"/>
      <c r="AL111" s="1451"/>
      <c r="AM111" s="950"/>
      <c r="AN111" s="950"/>
      <c r="AO111" s="1451"/>
      <c r="AP111" s="1444"/>
      <c r="AQ111" s="1451"/>
      <c r="AR111" s="1451"/>
      <c r="AS111" s="1451"/>
      <c r="AT111" s="1451"/>
      <c r="AU111" s="1444"/>
      <c r="AV111" s="1451"/>
      <c r="AW111" s="950"/>
      <c r="AX111" s="950"/>
      <c r="AY111" s="950"/>
      <c r="AZ111" s="1444"/>
      <c r="BA111" s="950"/>
      <c r="BB111" s="950"/>
      <c r="BC111" s="950"/>
      <c r="BD111" s="1451"/>
      <c r="BE111" s="1444"/>
      <c r="BF111" s="950"/>
      <c r="BG111" s="950"/>
      <c r="BH111" s="950"/>
      <c r="BI111" s="1451"/>
      <c r="BJ111" s="1444"/>
      <c r="BK111" s="1451"/>
      <c r="BL111" s="950"/>
      <c r="BM111" s="950"/>
      <c r="BN111" s="1451"/>
      <c r="BO111" s="1444"/>
      <c r="BP111" s="1451"/>
      <c r="BQ111" s="950"/>
      <c r="BR111" s="950"/>
      <c r="BS111" s="1451"/>
      <c r="BT111" s="1444"/>
      <c r="BU111" s="1451"/>
      <c r="BV111" s="950"/>
      <c r="BW111" s="950"/>
      <c r="BX111" s="1451"/>
      <c r="BY111" s="1444"/>
      <c r="BZ111" s="998"/>
      <c r="CA111" s="998"/>
      <c r="CB111" s="998"/>
      <c r="CC111" s="740"/>
      <c r="CD111" s="1444"/>
      <c r="CE111" s="998"/>
      <c r="CF111" s="998"/>
      <c r="CG111" s="998"/>
      <c r="CH111" s="740"/>
      <c r="CI111" s="1444"/>
      <c r="CJ111" s="740"/>
      <c r="CK111" s="740"/>
      <c r="CL111" s="740"/>
      <c r="CM111" s="740"/>
      <c r="CN111" s="1444"/>
      <c r="CO111" s="740"/>
      <c r="CP111" s="740"/>
      <c r="CQ111" s="740"/>
      <c r="CR111" s="740"/>
      <c r="CS111" s="1444"/>
      <c r="CT111" s="740"/>
      <c r="CU111" s="740"/>
      <c r="CV111" s="740"/>
      <c r="CW111" s="740"/>
      <c r="CX111" s="4775"/>
      <c r="CY111" s="740"/>
      <c r="CZ111" s="740"/>
      <c r="DA111" s="740"/>
      <c r="DB111" s="740"/>
      <c r="DC111" s="5147"/>
      <c r="DD111" s="740"/>
      <c r="DE111" s="740"/>
      <c r="DF111" s="740"/>
      <c r="DG111" s="740"/>
      <c r="DH111" s="5147"/>
      <c r="DI111" s="740"/>
      <c r="DJ111" s="740"/>
      <c r="DK111" s="740"/>
      <c r="DL111" s="740"/>
      <c r="DM111" s="5147"/>
      <c r="DN111" s="740"/>
      <c r="DO111" s="740"/>
      <c r="DP111" s="740"/>
      <c r="DQ111" s="740"/>
      <c r="DR111" s="5147"/>
      <c r="DS111" s="740"/>
      <c r="DT111" s="740"/>
      <c r="DU111" s="740"/>
      <c r="DV111" s="740"/>
      <c r="DW111" s="5147"/>
      <c r="DX111" s="951"/>
      <c r="DY111" s="951"/>
      <c r="DZ111" s="951"/>
      <c r="EA111" s="951"/>
      <c r="EC111" s="2524"/>
      <c r="ED111" s="2524"/>
    </row>
    <row r="112" spans="1:134" s="84" customFormat="1" ht="11.25" hidden="1" customHeight="1" outlineLevel="1">
      <c r="A112" s="4023" t="s">
        <v>248</v>
      </c>
      <c r="B112" s="1455">
        <f>B83</f>
        <v>18.029000000000011</v>
      </c>
      <c r="C112" s="133"/>
      <c r="D112" s="133"/>
      <c r="E112" s="133"/>
      <c r="F112" s="133"/>
      <c r="G112" s="1455">
        <f>G83</f>
        <v>118.06699999999998</v>
      </c>
      <c r="H112" s="133">
        <f>H83</f>
        <v>83.64800000000001</v>
      </c>
      <c r="I112" s="133">
        <f>I83</f>
        <v>32.972999999999999</v>
      </c>
      <c r="J112" s="133">
        <f>J83</f>
        <v>71.97100000000006</v>
      </c>
      <c r="K112" s="133">
        <f>K83</f>
        <v>30.051999999999907</v>
      </c>
      <c r="L112" s="1039">
        <f>SUM(H112:K112)</f>
        <v>218.64399999999998</v>
      </c>
      <c r="M112" s="133">
        <f>M83</f>
        <v>122.00800000000004</v>
      </c>
      <c r="N112" s="133">
        <f>N83</f>
        <v>66.312999999999988</v>
      </c>
      <c r="O112" s="133">
        <f>O83</f>
        <v>160.71099999999998</v>
      </c>
      <c r="P112" s="133">
        <f>P83</f>
        <v>309.01699999999994</v>
      </c>
      <c r="Q112" s="1039">
        <f>SUM(M112:P112)</f>
        <v>658.04899999999998</v>
      </c>
      <c r="R112" s="133">
        <f t="shared" ref="R112:AA112" si="371">R83</f>
        <v>387.23100000000011</v>
      </c>
      <c r="S112" s="133">
        <f t="shared" si="371"/>
        <v>467.15599999999984</v>
      </c>
      <c r="T112" s="133">
        <f t="shared" si="371"/>
        <v>354.21499999999992</v>
      </c>
      <c r="U112" s="133">
        <f t="shared" si="371"/>
        <v>412.60299999999995</v>
      </c>
      <c r="V112" s="1455">
        <f t="shared" si="371"/>
        <v>1621.2049999999995</v>
      </c>
      <c r="W112" s="133">
        <f t="shared" si="371"/>
        <v>479.86600000000033</v>
      </c>
      <c r="X112" s="133">
        <f t="shared" si="371"/>
        <v>141.58599999999956</v>
      </c>
      <c r="Y112" s="133">
        <f t="shared" si="371"/>
        <v>512.10200000000043</v>
      </c>
      <c r="Z112" s="133">
        <f t="shared" si="371"/>
        <v>544.15599999999984</v>
      </c>
      <c r="AA112" s="1418">
        <f t="shared" si="371"/>
        <v>1677.7099999999998</v>
      </c>
      <c r="AB112" s="135"/>
      <c r="AC112" s="135"/>
      <c r="AD112" s="135"/>
      <c r="AE112" s="135"/>
      <c r="AF112" s="1418">
        <f>AF83</f>
        <v>3372.5699999999997</v>
      </c>
      <c r="AG112" s="135"/>
      <c r="AH112" s="135"/>
      <c r="AI112" s="135"/>
      <c r="AJ112" s="135"/>
      <c r="AK112" s="1418">
        <f>AK83</f>
        <v>5494.3950000000004</v>
      </c>
      <c r="AL112" s="135"/>
      <c r="AM112" s="135"/>
      <c r="AN112" s="135"/>
      <c r="AO112" s="135"/>
      <c r="AP112" s="1418">
        <f>AP83</f>
        <v>8506.3099999999977</v>
      </c>
      <c r="AQ112" s="135"/>
      <c r="AR112" s="135"/>
      <c r="AS112" s="135"/>
      <c r="AT112" s="135"/>
      <c r="AU112" s="1418">
        <f>AU83</f>
        <v>7064</v>
      </c>
      <c r="AV112" s="135"/>
      <c r="AW112" s="135"/>
      <c r="AX112" s="135"/>
      <c r="AY112" s="135"/>
      <c r="AZ112" s="1418">
        <f>AZ83</f>
        <v>11127</v>
      </c>
      <c r="BA112" s="135"/>
      <c r="BB112" s="135"/>
      <c r="BC112" s="135"/>
      <c r="BD112" s="135"/>
      <c r="BE112" s="1418">
        <f>BE83</f>
        <v>13945</v>
      </c>
      <c r="BF112" s="135"/>
      <c r="BG112" s="135"/>
      <c r="BH112" s="135"/>
      <c r="BI112" s="135"/>
      <c r="BJ112" s="1418">
        <f>BJ83</f>
        <v>11271</v>
      </c>
      <c r="BK112" s="135"/>
      <c r="BL112" s="135"/>
      <c r="BM112" s="135"/>
      <c r="BN112" s="135"/>
      <c r="BO112" s="1418">
        <f>BO83</f>
        <v>11109.125400000001</v>
      </c>
      <c r="BP112" s="135"/>
      <c r="BQ112" s="135"/>
      <c r="BR112" s="135"/>
      <c r="BS112" s="135"/>
      <c r="BT112" s="1418">
        <f>BT83</f>
        <v>16096.233200000002</v>
      </c>
      <c r="BU112" s="135"/>
      <c r="BV112" s="135"/>
      <c r="BW112" s="135"/>
      <c r="BX112" s="135"/>
      <c r="BY112" s="1418">
        <f>BY83</f>
        <v>25824</v>
      </c>
      <c r="BZ112" s="135"/>
      <c r="CA112" s="135"/>
      <c r="CB112" s="135"/>
      <c r="CC112" s="135"/>
      <c r="CD112" s="1418"/>
      <c r="CE112" s="135"/>
      <c r="CF112" s="135"/>
      <c r="CG112" s="135"/>
      <c r="CH112" s="135"/>
      <c r="CI112" s="1418"/>
      <c r="CJ112" s="135"/>
      <c r="CK112" s="135"/>
      <c r="CL112" s="135"/>
      <c r="CM112" s="135"/>
      <c r="CN112" s="1418"/>
      <c r="CO112" s="135"/>
      <c r="CP112" s="135"/>
      <c r="CQ112" s="135"/>
      <c r="CR112" s="135"/>
      <c r="CS112" s="1418"/>
      <c r="CT112" s="135"/>
      <c r="CU112" s="135"/>
      <c r="CV112" s="135"/>
      <c r="CW112" s="135"/>
      <c r="CX112" s="4776"/>
      <c r="CY112" s="135"/>
      <c r="CZ112" s="135"/>
      <c r="DA112" s="135"/>
      <c r="DB112" s="135"/>
      <c r="DC112" s="4776"/>
      <c r="DD112" s="135"/>
      <c r="DE112" s="135"/>
      <c r="DF112" s="135"/>
      <c r="DG112" s="135"/>
      <c r="DH112" s="4776"/>
      <c r="DI112" s="135"/>
      <c r="DJ112" s="135"/>
      <c r="DK112" s="135"/>
      <c r="DL112" s="135"/>
      <c r="DM112" s="4776"/>
      <c r="DN112" s="135"/>
      <c r="DO112" s="135"/>
      <c r="DP112" s="135"/>
      <c r="DQ112" s="135"/>
      <c r="DR112" s="4776"/>
      <c r="DS112" s="135"/>
      <c r="DT112" s="135"/>
      <c r="DU112" s="135"/>
      <c r="DV112" s="135"/>
      <c r="DW112" s="4776"/>
      <c r="DX112" s="747"/>
      <c r="DY112" s="747"/>
      <c r="DZ112" s="747"/>
      <c r="EA112" s="747"/>
      <c r="EC112" s="4320"/>
      <c r="ED112" s="4320"/>
    </row>
    <row r="113" spans="1:134" s="77" customFormat="1" ht="11.25" hidden="1" customHeight="1" outlineLevel="1">
      <c r="A113" s="1617" t="s">
        <v>262</v>
      </c>
      <c r="B113" s="1001" t="s">
        <v>116</v>
      </c>
      <c r="G113" s="1033">
        <f>-G16</f>
        <v>0</v>
      </c>
      <c r="H113" s="214">
        <f>-H16</f>
        <v>0</v>
      </c>
      <c r="I113" s="214">
        <f>-I16</f>
        <v>0</v>
      </c>
      <c r="J113" s="214">
        <f>-J16</f>
        <v>0</v>
      </c>
      <c r="K113" s="214">
        <f>-K16</f>
        <v>0</v>
      </c>
      <c r="L113" s="1033">
        <f>SUM(H113:K113)</f>
        <v>0</v>
      </c>
      <c r="M113" s="214">
        <f>-M16</f>
        <v>0</v>
      </c>
      <c r="N113" s="214">
        <f>-N16</f>
        <v>0</v>
      </c>
      <c r="O113" s="214">
        <f>-O16</f>
        <v>0</v>
      </c>
      <c r="P113" s="214">
        <f>-P16</f>
        <v>0</v>
      </c>
      <c r="Q113" s="1033">
        <f>SUM(M113:P113)</f>
        <v>0</v>
      </c>
      <c r="R113" s="77">
        <f>-R16</f>
        <v>-77.376999999999995</v>
      </c>
      <c r="S113" s="77">
        <f>-S16</f>
        <v>-118.78600000000002</v>
      </c>
      <c r="T113" s="214">
        <f>-T16</f>
        <v>-75.536999999999992</v>
      </c>
      <c r="U113" s="214">
        <f>-U16</f>
        <v>-162.024</v>
      </c>
      <c r="V113" s="1039">
        <f>SUM(R113:U113)</f>
        <v>-433.72399999999999</v>
      </c>
      <c r="W113" s="214">
        <f>-W16</f>
        <v>0</v>
      </c>
      <c r="X113" s="214">
        <f>-X16</f>
        <v>0</v>
      </c>
      <c r="Y113" s="214">
        <f>-Y16</f>
        <v>329.06799999999998</v>
      </c>
      <c r="Z113" s="214">
        <f>-Z16</f>
        <v>252.66399999999999</v>
      </c>
      <c r="AA113" s="1006">
        <f>SUM(W113:Z113)</f>
        <v>581.73199999999997</v>
      </c>
      <c r="AB113" s="51"/>
      <c r="AC113" s="51"/>
      <c r="AD113" s="51"/>
      <c r="AE113" s="51"/>
      <c r="AF113" s="1006">
        <f>-AF16</f>
        <v>379.20600000000002</v>
      </c>
      <c r="AG113" s="51"/>
      <c r="AH113" s="51"/>
      <c r="AI113" s="51"/>
      <c r="AJ113" s="51"/>
      <c r="AK113" s="1006">
        <f>-AK16</f>
        <v>159.08799999999999</v>
      </c>
      <c r="AL113" s="51"/>
      <c r="AM113" s="51"/>
      <c r="AN113" s="51"/>
      <c r="AO113" s="51"/>
      <c r="AP113" s="1006">
        <f>-AP16</f>
        <v>90.271000000000001</v>
      </c>
      <c r="AQ113" s="51"/>
      <c r="AR113" s="51"/>
      <c r="AS113" s="51"/>
      <c r="AT113" s="51"/>
      <c r="AU113" s="1006">
        <f>-AU16</f>
        <v>94</v>
      </c>
      <c r="AV113" s="51"/>
      <c r="AW113" s="51"/>
      <c r="AX113" s="51"/>
      <c r="AY113" s="51"/>
      <c r="AZ113" s="1006">
        <f>-AZ16</f>
        <v>86</v>
      </c>
      <c r="BA113" s="51"/>
      <c r="BB113" s="51"/>
      <c r="BC113" s="51"/>
      <c r="BD113" s="51"/>
      <c r="BE113" s="1006">
        <f>-BE16</f>
        <v>188</v>
      </c>
      <c r="BF113" s="51"/>
      <c r="BG113" s="51"/>
      <c r="BH113" s="51"/>
      <c r="BI113" s="51"/>
      <c r="BJ113" s="1006">
        <f>-BJ16</f>
        <v>481</v>
      </c>
      <c r="BK113" s="51"/>
      <c r="BL113" s="51"/>
      <c r="BM113" s="51"/>
      <c r="BN113" s="51"/>
      <c r="BO113" s="1006">
        <f>-BO16</f>
        <v>648</v>
      </c>
      <c r="BP113" s="51"/>
      <c r="BQ113" s="51"/>
      <c r="BR113" s="51"/>
      <c r="BS113" s="51"/>
      <c r="BT113" s="1006">
        <f>-BT16</f>
        <v>548</v>
      </c>
      <c r="BU113" s="51"/>
      <c r="BV113" s="51"/>
      <c r="BW113" s="51"/>
      <c r="BX113" s="51"/>
      <c r="BY113" s="1006">
        <f>-BY16</f>
        <v>0</v>
      </c>
      <c r="BZ113" s="51"/>
      <c r="CA113" s="51"/>
      <c r="CB113" s="51"/>
      <c r="CC113" s="51"/>
      <c r="CD113" s="1006"/>
      <c r="CE113" s="2606"/>
      <c r="CF113" s="2606"/>
      <c r="CG113" s="2606"/>
      <c r="CH113" s="2606"/>
      <c r="CI113" s="1006"/>
      <c r="CJ113" s="2606"/>
      <c r="CK113" s="2606"/>
      <c r="CL113" s="2606"/>
      <c r="CM113" s="2606"/>
      <c r="CN113" s="1006"/>
      <c r="CO113" s="2606"/>
      <c r="CP113" s="2606"/>
      <c r="CQ113" s="2606"/>
      <c r="CR113" s="2606"/>
      <c r="CS113" s="1006"/>
      <c r="CT113" s="2606"/>
      <c r="CU113" s="2606"/>
      <c r="CV113" s="2606"/>
      <c r="CW113" s="2606"/>
      <c r="CX113" s="4777"/>
      <c r="CY113" s="2606"/>
      <c r="CZ113" s="2606"/>
      <c r="DA113" s="2606"/>
      <c r="DB113" s="2606"/>
      <c r="DC113" s="5148"/>
      <c r="DD113" s="2606"/>
      <c r="DE113" s="2606"/>
      <c r="DF113" s="2606"/>
      <c r="DG113" s="2606"/>
      <c r="DH113" s="5148"/>
      <c r="DI113" s="2606"/>
      <c r="DJ113" s="2606"/>
      <c r="DK113" s="2606"/>
      <c r="DL113" s="2606"/>
      <c r="DM113" s="5148"/>
      <c r="DN113" s="2606"/>
      <c r="DO113" s="2606"/>
      <c r="DP113" s="2606"/>
      <c r="DQ113" s="2606"/>
      <c r="DR113" s="5148"/>
      <c r="DS113" s="2606"/>
      <c r="DT113" s="2606"/>
      <c r="DU113" s="2606"/>
      <c r="DV113" s="2606"/>
      <c r="DW113" s="5148"/>
      <c r="DX113" s="952"/>
      <c r="DY113" s="952"/>
      <c r="DZ113" s="952"/>
      <c r="EA113" s="952"/>
      <c r="EC113" s="3893"/>
      <c r="ED113" s="3893"/>
    </row>
    <row r="114" spans="1:134" s="168" customFormat="1" ht="11.25" hidden="1" customHeight="1" outlineLevel="1">
      <c r="A114" s="1593" t="s">
        <v>251</v>
      </c>
      <c r="B114" s="1456">
        <f>B112</f>
        <v>18.029000000000011</v>
      </c>
      <c r="C114" s="1448"/>
      <c r="D114" s="1448"/>
      <c r="E114" s="1448"/>
      <c r="F114" s="1448"/>
      <c r="G114" s="1456">
        <f t="shared" ref="G114:AK114" si="372">SUM(G112:G113)</f>
        <v>118.06699999999998</v>
      </c>
      <c r="H114" s="1448">
        <f t="shared" si="372"/>
        <v>83.64800000000001</v>
      </c>
      <c r="I114" s="1448">
        <f t="shared" si="372"/>
        <v>32.972999999999999</v>
      </c>
      <c r="J114" s="1448">
        <f t="shared" si="372"/>
        <v>71.97100000000006</v>
      </c>
      <c r="K114" s="1448">
        <f t="shared" si="372"/>
        <v>30.051999999999907</v>
      </c>
      <c r="L114" s="1456">
        <f t="shared" si="372"/>
        <v>218.64399999999998</v>
      </c>
      <c r="M114" s="1448">
        <f t="shared" si="372"/>
        <v>122.00800000000004</v>
      </c>
      <c r="N114" s="1448">
        <f t="shared" si="372"/>
        <v>66.312999999999988</v>
      </c>
      <c r="O114" s="1448">
        <f t="shared" si="372"/>
        <v>160.71099999999998</v>
      </c>
      <c r="P114" s="1448">
        <f t="shared" si="372"/>
        <v>309.01699999999994</v>
      </c>
      <c r="Q114" s="1456">
        <f t="shared" si="372"/>
        <v>658.04899999999998</v>
      </c>
      <c r="R114" s="1448">
        <f t="shared" si="372"/>
        <v>309.8540000000001</v>
      </c>
      <c r="S114" s="1448">
        <f t="shared" si="372"/>
        <v>348.36999999999983</v>
      </c>
      <c r="T114" s="1448">
        <f t="shared" si="372"/>
        <v>278.67799999999994</v>
      </c>
      <c r="U114" s="1448">
        <f t="shared" si="372"/>
        <v>250.57899999999995</v>
      </c>
      <c r="V114" s="1456">
        <f t="shared" si="372"/>
        <v>1187.4809999999995</v>
      </c>
      <c r="W114" s="1448">
        <f t="shared" si="372"/>
        <v>479.86600000000033</v>
      </c>
      <c r="X114" s="1448">
        <f t="shared" si="372"/>
        <v>141.58599999999956</v>
      </c>
      <c r="Y114" s="1448">
        <f t="shared" si="372"/>
        <v>841.17000000000041</v>
      </c>
      <c r="Z114" s="1448">
        <f t="shared" si="372"/>
        <v>796.81999999999982</v>
      </c>
      <c r="AA114" s="1450">
        <f t="shared" si="372"/>
        <v>2259.442</v>
      </c>
      <c r="AB114" s="1449"/>
      <c r="AC114" s="1449"/>
      <c r="AD114" s="1449"/>
      <c r="AE114" s="1449"/>
      <c r="AF114" s="1450">
        <f t="shared" si="372"/>
        <v>3751.7759999999998</v>
      </c>
      <c r="AG114" s="1449"/>
      <c r="AH114" s="1449"/>
      <c r="AI114" s="1449"/>
      <c r="AJ114" s="1449"/>
      <c r="AK114" s="1450">
        <f t="shared" si="372"/>
        <v>5653.4830000000002</v>
      </c>
      <c r="AL114" s="1449"/>
      <c r="AM114" s="1449"/>
      <c r="AN114" s="1449"/>
      <c r="AO114" s="1449"/>
      <c r="AP114" s="1450">
        <f>SUM(AP112:AP113)</f>
        <v>8596.5809999999983</v>
      </c>
      <c r="AQ114" s="1449"/>
      <c r="AR114" s="1449"/>
      <c r="AS114" s="1449"/>
      <c r="AT114" s="1449"/>
      <c r="AU114" s="1450">
        <f>SUM(AU112:AU113)</f>
        <v>7158</v>
      </c>
      <c r="AV114" s="1449"/>
      <c r="AW114" s="1449"/>
      <c r="AX114" s="1449"/>
      <c r="AY114" s="1449"/>
      <c r="AZ114" s="1450">
        <f>SUM(AZ112:AZ113)</f>
        <v>11213</v>
      </c>
      <c r="BA114" s="1449"/>
      <c r="BB114" s="1449"/>
      <c r="BC114" s="1449"/>
      <c r="BD114" s="1449"/>
      <c r="BE114" s="1450">
        <f>SUM(BE112:BE113)</f>
        <v>14133</v>
      </c>
      <c r="BF114" s="1449"/>
      <c r="BG114" s="1449"/>
      <c r="BH114" s="1449"/>
      <c r="BI114" s="1449"/>
      <c r="BJ114" s="1450">
        <f>SUM(BJ112:BJ113)</f>
        <v>11752</v>
      </c>
      <c r="BK114" s="1449"/>
      <c r="BL114" s="1449"/>
      <c r="BM114" s="1449"/>
      <c r="BN114" s="1449"/>
      <c r="BO114" s="1450">
        <f>SUM(BO112:BO113)</f>
        <v>11757.125400000001</v>
      </c>
      <c r="BP114" s="1449"/>
      <c r="BQ114" s="1449"/>
      <c r="BR114" s="1449"/>
      <c r="BS114" s="1449"/>
      <c r="BT114" s="1450">
        <f>SUM(BT112:BT113)</f>
        <v>16644.233200000002</v>
      </c>
      <c r="BU114" s="1449"/>
      <c r="BV114" s="1449"/>
      <c r="BW114" s="1449"/>
      <c r="BX114" s="1449"/>
      <c r="BY114" s="1450">
        <f>SUM(BY112:BY113)</f>
        <v>25824</v>
      </c>
      <c r="BZ114" s="1449"/>
      <c r="CA114" s="1449"/>
      <c r="CB114" s="1449"/>
      <c r="CC114" s="1449"/>
      <c r="CD114" s="1450"/>
      <c r="CE114" s="1449"/>
      <c r="CF114" s="1449"/>
      <c r="CG114" s="1449"/>
      <c r="CH114" s="1449"/>
      <c r="CI114" s="1450"/>
      <c r="CJ114" s="1449"/>
      <c r="CK114" s="1449"/>
      <c r="CL114" s="1449"/>
      <c r="CM114" s="1449"/>
      <c r="CN114" s="1450"/>
      <c r="CO114" s="1449"/>
      <c r="CP114" s="1449"/>
      <c r="CQ114" s="1449"/>
      <c r="CR114" s="1449"/>
      <c r="CS114" s="1450"/>
      <c r="CT114" s="1449"/>
      <c r="CU114" s="1449"/>
      <c r="CV114" s="1449"/>
      <c r="CW114" s="1449"/>
      <c r="CX114" s="4778"/>
      <c r="CY114" s="1449"/>
      <c r="CZ114" s="1449"/>
      <c r="DA114" s="1449"/>
      <c r="DB114" s="1449"/>
      <c r="DC114" s="4778"/>
      <c r="DD114" s="1449"/>
      <c r="DE114" s="1449"/>
      <c r="DF114" s="1449"/>
      <c r="DG114" s="1449"/>
      <c r="DH114" s="4778"/>
      <c r="DI114" s="1449"/>
      <c r="DJ114" s="1449"/>
      <c r="DK114" s="1449"/>
      <c r="DL114" s="1449"/>
      <c r="DM114" s="4778"/>
      <c r="DN114" s="1449"/>
      <c r="DO114" s="1449"/>
      <c r="DP114" s="1449"/>
      <c r="DQ114" s="1449"/>
      <c r="DR114" s="4778"/>
      <c r="DS114" s="1449"/>
      <c r="DT114" s="1449"/>
      <c r="DU114" s="1449"/>
      <c r="DV114" s="1449"/>
      <c r="DW114" s="4778"/>
      <c r="DX114" s="748"/>
      <c r="DY114" s="748"/>
      <c r="DZ114" s="748"/>
      <c r="EA114" s="748"/>
      <c r="EC114" s="4329"/>
      <c r="ED114" s="4329"/>
    </row>
    <row r="115" spans="1:134" s="77" customFormat="1" ht="11.25" hidden="1" customHeight="1" outlineLevel="1">
      <c r="A115" s="1594" t="s">
        <v>215</v>
      </c>
      <c r="B115" s="1039"/>
      <c r="G115" s="1030">
        <f>(G114/B114)-1</f>
        <v>5.5487270508624942</v>
      </c>
      <c r="H115" s="223" t="s">
        <v>116</v>
      </c>
      <c r="I115" s="223" t="s">
        <v>116</v>
      </c>
      <c r="J115" s="223" t="s">
        <v>116</v>
      </c>
      <c r="K115" s="223" t="s">
        <v>116</v>
      </c>
      <c r="L115" s="1030">
        <f>(L114/G114)-1</f>
        <v>0.85186377226490051</v>
      </c>
      <c r="M115" s="239">
        <f t="shared" ref="M115:V115" si="373">M114/H114-1</f>
        <v>0.4585883703136957</v>
      </c>
      <c r="N115" s="239">
        <f t="shared" si="373"/>
        <v>1.0111303187456402</v>
      </c>
      <c r="O115" s="239">
        <f t="shared" si="373"/>
        <v>1.2329966236400751</v>
      </c>
      <c r="P115" s="239">
        <f t="shared" si="373"/>
        <v>9.2827432450419565</v>
      </c>
      <c r="Q115" s="1030">
        <f t="shared" si="373"/>
        <v>2.0096824061030718</v>
      </c>
      <c r="R115" s="239">
        <f t="shared" si="373"/>
        <v>1.5396203527637531</v>
      </c>
      <c r="S115" s="239">
        <f t="shared" si="373"/>
        <v>4.2534193898632227</v>
      </c>
      <c r="T115" s="239">
        <f t="shared" si="373"/>
        <v>0.73403189576320216</v>
      </c>
      <c r="U115" s="239">
        <f t="shared" si="373"/>
        <v>-0.18910933702676547</v>
      </c>
      <c r="V115" s="1030">
        <f t="shared" si="373"/>
        <v>0.80454798958740081</v>
      </c>
      <c r="W115" s="239">
        <f>W114/R114-1</f>
        <v>0.54868421901928066</v>
      </c>
      <c r="X115" s="239">
        <f>X114/S114-1</f>
        <v>-0.59357579584924181</v>
      </c>
      <c r="Y115" s="239">
        <f>Y114/T114-1</f>
        <v>2.0184298724693037</v>
      </c>
      <c r="Z115" s="239">
        <f>Z114/U114-1</f>
        <v>2.1799153161278477</v>
      </c>
      <c r="AA115" s="1020">
        <f>AA114/V114-1</f>
        <v>0.90271844349509656</v>
      </c>
      <c r="AB115" s="223"/>
      <c r="AC115" s="223"/>
      <c r="AD115" s="223"/>
      <c r="AE115" s="223"/>
      <c r="AF115" s="1020">
        <f>AF114/AA114-1</f>
        <v>0.66048785496596052</v>
      </c>
      <c r="AG115" s="223"/>
      <c r="AH115" s="223"/>
      <c r="AI115" s="223"/>
      <c r="AJ115" s="223"/>
      <c r="AK115" s="1020">
        <f>AK114/AF114-1</f>
        <v>0.50688180744266198</v>
      </c>
      <c r="AL115" s="223"/>
      <c r="AM115" s="223"/>
      <c r="AN115" s="223"/>
      <c r="AO115" s="223"/>
      <c r="AP115" s="1020">
        <f>AP114/AK114-1</f>
        <v>0.52058138319333369</v>
      </c>
      <c r="AQ115" s="223"/>
      <c r="AR115" s="223"/>
      <c r="AS115" s="223"/>
      <c r="AT115" s="223"/>
      <c r="AU115" s="1020">
        <f>AU114/AP114-1</f>
        <v>-0.16734338919158653</v>
      </c>
      <c r="AV115" s="223"/>
      <c r="AW115" s="223"/>
      <c r="AX115" s="223"/>
      <c r="AY115" s="223"/>
      <c r="AZ115" s="1020">
        <f>AZ114/AU114-1</f>
        <v>0.56649902207320491</v>
      </c>
      <c r="BA115" s="223"/>
      <c r="BB115" s="223"/>
      <c r="BC115" s="223"/>
      <c r="BD115" s="223"/>
      <c r="BE115" s="1020">
        <f>BE114/AZ114-1</f>
        <v>0.26041202176045664</v>
      </c>
      <c r="BF115" s="223"/>
      <c r="BG115" s="223"/>
      <c r="BH115" s="223"/>
      <c r="BI115" s="223"/>
      <c r="BJ115" s="1020">
        <f>BJ114/BE114-1</f>
        <v>-0.16847095450364391</v>
      </c>
      <c r="BK115" s="223"/>
      <c r="BL115" s="223"/>
      <c r="BM115" s="223"/>
      <c r="BN115" s="223"/>
      <c r="BO115" s="1020">
        <f>BO114/BJ114-1</f>
        <v>4.3613002042208748E-4</v>
      </c>
      <c r="BP115" s="223"/>
      <c r="BQ115" s="223"/>
      <c r="BR115" s="223"/>
      <c r="BS115" s="223"/>
      <c r="BT115" s="1020">
        <f>BT114/BO114-1</f>
        <v>0.41567199751054806</v>
      </c>
      <c r="BU115" s="223"/>
      <c r="BV115" s="223"/>
      <c r="BW115" s="223"/>
      <c r="BX115" s="223"/>
      <c r="BY115" s="1020">
        <f>BY114/BT114-1</f>
        <v>0.55152836959770535</v>
      </c>
      <c r="BZ115" s="223"/>
      <c r="CA115" s="223"/>
      <c r="CB115" s="223"/>
      <c r="CC115" s="223"/>
      <c r="CD115" s="1020"/>
      <c r="CE115" s="223"/>
      <c r="CF115" s="223"/>
      <c r="CG115" s="223"/>
      <c r="CH115" s="223"/>
      <c r="CI115" s="1020"/>
      <c r="CJ115" s="223"/>
      <c r="CK115" s="223"/>
      <c r="CL115" s="223"/>
      <c r="CM115" s="223"/>
      <c r="CN115" s="1020"/>
      <c r="CO115" s="223"/>
      <c r="CP115" s="223"/>
      <c r="CQ115" s="223"/>
      <c r="CR115" s="223"/>
      <c r="CS115" s="1020"/>
      <c r="CT115" s="223"/>
      <c r="CU115" s="223"/>
      <c r="CV115" s="223"/>
      <c r="CW115" s="223"/>
      <c r="CX115" s="4304"/>
      <c r="CY115" s="223"/>
      <c r="CZ115" s="223"/>
      <c r="DA115" s="223"/>
      <c r="DB115" s="223"/>
      <c r="DC115" s="4304"/>
      <c r="DD115" s="223"/>
      <c r="DE115" s="223"/>
      <c r="DF115" s="223"/>
      <c r="DG115" s="223"/>
      <c r="DH115" s="4304"/>
      <c r="DI115" s="223"/>
      <c r="DJ115" s="223"/>
      <c r="DK115" s="223"/>
      <c r="DL115" s="223"/>
      <c r="DM115" s="4304"/>
      <c r="DN115" s="223"/>
      <c r="DO115" s="223"/>
      <c r="DP115" s="223"/>
      <c r="DQ115" s="223"/>
      <c r="DR115" s="4304"/>
      <c r="DS115" s="223"/>
      <c r="DT115" s="223"/>
      <c r="DU115" s="223"/>
      <c r="DV115" s="223"/>
      <c r="DW115" s="4304"/>
      <c r="DX115" s="954"/>
      <c r="DY115" s="954"/>
      <c r="DZ115" s="954"/>
      <c r="EA115" s="954"/>
      <c r="EC115" s="3893"/>
      <c r="ED115" s="3893"/>
    </row>
    <row r="116" spans="1:134" s="354" customFormat="1" ht="11.25" hidden="1" customHeight="1" outlineLevel="1">
      <c r="A116" s="4023" t="s">
        <v>252</v>
      </c>
      <c r="B116" s="1457">
        <f>B114/IS!P38</f>
        <v>4.8263695549749458E-3</v>
      </c>
      <c r="C116" s="354">
        <f>C114/IS!Q38</f>
        <v>0</v>
      </c>
      <c r="D116" s="354">
        <f>D114/IS!R38</f>
        <v>0</v>
      </c>
      <c r="E116" s="354">
        <f>E114/IS!S38</f>
        <v>0</v>
      </c>
      <c r="F116" s="354">
        <f>F114/IS!T38</f>
        <v>0</v>
      </c>
      <c r="G116" s="1457">
        <f>G114/IS!U38</f>
        <v>2.675642356311159E-2</v>
      </c>
      <c r="H116" s="354">
        <f>H114/IS!V38</f>
        <v>1.6817927756577547E-2</v>
      </c>
      <c r="I116" s="354">
        <f>I114/IS!W38</f>
        <v>6.405982258384138E-3</v>
      </c>
      <c r="J116" s="354">
        <f>J114/IS!X38</f>
        <v>1.3982499290879361E-2</v>
      </c>
      <c r="K116" s="354">
        <f>K114/IS!Y38</f>
        <v>5.7228605923956549E-3</v>
      </c>
      <c r="L116" s="1457">
        <f>L114/IS!Z38</f>
        <v>4.2597744683172407E-2</v>
      </c>
      <c r="M116" s="354">
        <f>M114/IS!AA38</f>
        <v>2.3091569101721162E-2</v>
      </c>
      <c r="N116" s="354">
        <f>N114/IS!AB38</f>
        <v>1.2450807360120162E-2</v>
      </c>
      <c r="O116" s="354">
        <f>O114/IS!AC38</f>
        <v>2.9248366607822082E-2</v>
      </c>
      <c r="P116" s="354">
        <f>P114/IS!AD38</f>
        <v>5.4034531236885522E-2</v>
      </c>
      <c r="Q116" s="1457">
        <f>Q114/IS!AE38</f>
        <v>0.12061435423887561</v>
      </c>
      <c r="R116" s="354">
        <f>R114/IS!AF38</f>
        <v>5.4054610414078975E-2</v>
      </c>
      <c r="S116" s="354">
        <f>S114/IS!AG38</f>
        <v>6.0641349682145088E-2</v>
      </c>
      <c r="T116" s="354">
        <f>T114/IS!AH38</f>
        <v>4.8102170378323136E-2</v>
      </c>
      <c r="U116" s="354">
        <f>U114/IS!AI38</f>
        <v>4.1217447659652857E-2</v>
      </c>
      <c r="V116" s="1457">
        <f>V114/IS!AJ38</f>
        <v>0.20342374057276472</v>
      </c>
      <c r="W116" s="354">
        <f>W114/IS!AK38</f>
        <v>7.889340825915836E-2</v>
      </c>
      <c r="X116" s="354">
        <f>X114/IS!AL38</f>
        <v>2.2833652649030048E-2</v>
      </c>
      <c r="Y116" s="354">
        <f>Y114/IS!AM38</f>
        <v>0.13542183183395914</v>
      </c>
      <c r="Z116" s="354">
        <f>Z114/IS!AN38</f>
        <v>0.12710115198478905</v>
      </c>
      <c r="AA116" s="1445">
        <f>AA114/IS!AO38</f>
        <v>0.36495767222260811</v>
      </c>
      <c r="AB116" s="355"/>
      <c r="AC116" s="355"/>
      <c r="AD116" s="355"/>
      <c r="AE116" s="355"/>
      <c r="AF116" s="1445">
        <f>AF114/IS!AT38</f>
        <v>0.59324120046804341</v>
      </c>
      <c r="AG116" s="355"/>
      <c r="AH116" s="355"/>
      <c r="AI116" s="355"/>
      <c r="AJ116" s="355"/>
      <c r="AK116" s="1445">
        <f>AK114/IS!AY38</f>
        <v>0.89027372830310503</v>
      </c>
      <c r="AL116" s="355"/>
      <c r="AM116" s="355"/>
      <c r="AN116" s="355"/>
      <c r="AO116" s="355"/>
      <c r="AP116" s="1445">
        <f>AP114/IS!BD38</f>
        <v>1.34566952552545</v>
      </c>
      <c r="AQ116" s="355"/>
      <c r="AR116" s="355"/>
      <c r="AS116" s="355"/>
      <c r="AT116" s="355"/>
      <c r="AU116" s="1445">
        <f>AU114/IS!BI38</f>
        <v>1.1071865813564814</v>
      </c>
      <c r="AV116" s="355"/>
      <c r="AW116" s="355"/>
      <c r="AX116" s="355"/>
      <c r="AY116" s="355"/>
      <c r="AZ116" s="1445">
        <f>AZ114/IS!BN38</f>
        <v>1.7133994468468741</v>
      </c>
      <c r="BA116" s="355"/>
      <c r="BB116" s="355"/>
      <c r="BC116" s="355"/>
      <c r="BD116" s="355"/>
      <c r="BE116" s="1445">
        <f>BE114/IS!BX38</f>
        <v>1.0632551421134198</v>
      </c>
      <c r="BF116" s="355"/>
      <c r="BG116" s="355"/>
      <c r="BH116" s="355"/>
      <c r="BI116" s="355"/>
      <c r="BJ116" s="1445">
        <f>BJ114/IS!CH38</f>
        <v>0.86715524085841866</v>
      </c>
      <c r="BK116" s="355"/>
      <c r="BL116" s="355"/>
      <c r="BM116" s="355"/>
      <c r="BN116" s="355"/>
      <c r="BO116" s="1445">
        <f>BO114/IS!CM38</f>
        <v>0.85559880361535212</v>
      </c>
      <c r="BP116" s="355"/>
      <c r="BQ116" s="355"/>
      <c r="BR116" s="355"/>
      <c r="BS116" s="355"/>
      <c r="BT116" s="1445">
        <f>BT114/IS!CR38</f>
        <v>1.2010039397918983</v>
      </c>
      <c r="BU116" s="355"/>
      <c r="BV116" s="355"/>
      <c r="BW116" s="355"/>
      <c r="BX116" s="355"/>
      <c r="BY116" s="1445">
        <f>BY114/IS!CW38</f>
        <v>1.8479875655855253</v>
      </c>
      <c r="BZ116" s="355"/>
      <c r="CA116" s="355"/>
      <c r="CB116" s="355"/>
      <c r="CC116" s="355"/>
      <c r="CD116" s="1445"/>
      <c r="CE116" s="355"/>
      <c r="CF116" s="355"/>
      <c r="CG116" s="355"/>
      <c r="CH116" s="355"/>
      <c r="CI116" s="1445"/>
      <c r="CJ116" s="355"/>
      <c r="CK116" s="355"/>
      <c r="CL116" s="355"/>
      <c r="CM116" s="355"/>
      <c r="CN116" s="1445"/>
      <c r="CO116" s="355"/>
      <c r="CP116" s="355"/>
      <c r="CQ116" s="355"/>
      <c r="CR116" s="355"/>
      <c r="CS116" s="1445"/>
      <c r="CT116" s="355"/>
      <c r="CU116" s="355"/>
      <c r="CV116" s="355"/>
      <c r="CW116" s="355"/>
      <c r="CX116" s="4779"/>
      <c r="CY116" s="355"/>
      <c r="CZ116" s="355"/>
      <c r="DA116" s="355"/>
      <c r="DB116" s="355"/>
      <c r="DC116" s="4779"/>
      <c r="DD116" s="355"/>
      <c r="DE116" s="355"/>
      <c r="DF116" s="355"/>
      <c r="DG116" s="355"/>
      <c r="DH116" s="4779"/>
      <c r="DI116" s="355"/>
      <c r="DJ116" s="355"/>
      <c r="DK116" s="355"/>
      <c r="DL116" s="355"/>
      <c r="DM116" s="4779"/>
      <c r="DN116" s="355"/>
      <c r="DO116" s="355"/>
      <c r="DP116" s="355"/>
      <c r="DQ116" s="355"/>
      <c r="DR116" s="4779"/>
      <c r="DS116" s="355"/>
      <c r="DT116" s="355"/>
      <c r="DU116" s="355"/>
      <c r="DV116" s="355"/>
      <c r="DW116" s="4779"/>
      <c r="DX116" s="749"/>
      <c r="DY116" s="749"/>
      <c r="DZ116" s="749"/>
      <c r="EA116" s="749"/>
      <c r="EC116" s="4330"/>
      <c r="ED116" s="4330"/>
    </row>
    <row r="117" spans="1:134" s="234" customFormat="1" ht="11.25" hidden="1" customHeight="1" outlineLevel="1">
      <c r="A117" s="4024" t="s">
        <v>253</v>
      </c>
      <c r="B117" s="1446">
        <f>B114/IS!P57</f>
        <v>0.48040182259053016</v>
      </c>
      <c r="C117" s="1453"/>
      <c r="D117" s="955"/>
      <c r="E117" s="955"/>
      <c r="F117" s="955"/>
      <c r="G117" s="1458">
        <f>G114/IS!U57</f>
        <v>0.4979964906952809</v>
      </c>
      <c r="H117" s="1453">
        <f>H114/IS!V57</f>
        <v>0.63457190975435829</v>
      </c>
      <c r="I117" s="955">
        <f>I114/IS!W57</f>
        <v>0.21838448597883248</v>
      </c>
      <c r="J117" s="955">
        <f>J114/IS!X57</f>
        <v>0.43247904335546705</v>
      </c>
      <c r="K117" s="1453">
        <f>K114/IS!Y57</f>
        <v>0.15877594796933486</v>
      </c>
      <c r="L117" s="1458">
        <f>L114/IS!Z57</f>
        <v>0.34243811981982547</v>
      </c>
      <c r="M117" s="1453">
        <f>M114/IS!AA57</f>
        <v>0.4775806255895973</v>
      </c>
      <c r="N117" s="955">
        <f>N114/IS!AB57</f>
        <v>0.23881000140448935</v>
      </c>
      <c r="O117" s="955">
        <f>O114/IS!AC57</f>
        <v>0.50000466680563371</v>
      </c>
      <c r="P117" s="1453">
        <f>P114/IS!AD57</f>
        <v>0.72678416873635876</v>
      </c>
      <c r="Q117" s="1458">
        <f>Q114/IS!AE57</f>
        <v>0.51419920219104431</v>
      </c>
      <c r="R117" s="1453">
        <f>R114/IS!AF57</f>
        <v>0.56556014098209262</v>
      </c>
      <c r="S117" s="955">
        <f>S114/IS!AG57</f>
        <v>0.59049265634402037</v>
      </c>
      <c r="T117" s="955">
        <f>T114/IS!AH57</f>
        <v>0.41454086755511649</v>
      </c>
      <c r="U117" s="1453">
        <f>U114/IS!AI57</f>
        <v>0.30793231803005106</v>
      </c>
      <c r="V117" s="1458">
        <f>V114/IS!AJ57</f>
        <v>0.45257370876272929</v>
      </c>
      <c r="W117" s="1453">
        <f>W114/IS!AK57</f>
        <v>0.47865929990493983</v>
      </c>
      <c r="X117" s="955">
        <f>X114/IS!AL57</f>
        <v>0.13474858718886232</v>
      </c>
      <c r="Y117" s="955">
        <f>Y114/IS!AM57</f>
        <v>0.71086731102230183</v>
      </c>
      <c r="Z117" s="1453">
        <f>Z114/IS!AN57</f>
        <v>0.57562428166161095</v>
      </c>
      <c r="AA117" s="1446">
        <f>AA114/IS!AO57</f>
        <v>0.48896833580943705</v>
      </c>
      <c r="AB117" s="1262"/>
      <c r="AC117" s="956"/>
      <c r="AD117" s="956"/>
      <c r="AE117" s="1262"/>
      <c r="AF117" s="1446">
        <f>AF114/IS!AT57</f>
        <v>0.54210940253289441</v>
      </c>
      <c r="AG117" s="1262"/>
      <c r="AH117" s="956"/>
      <c r="AI117" s="956"/>
      <c r="AJ117" s="1262"/>
      <c r="AK117" s="1446">
        <f>AK114/IS!AY57</f>
        <v>0.6048626459629376</v>
      </c>
      <c r="AL117" s="1262"/>
      <c r="AM117" s="956"/>
      <c r="AN117" s="956"/>
      <c r="AO117" s="1262"/>
      <c r="AP117" s="1446">
        <f>AP114/IS!BD57</f>
        <v>0.78146843229991803</v>
      </c>
      <c r="AQ117" s="1262"/>
      <c r="AR117" s="1262"/>
      <c r="AS117" s="1262"/>
      <c r="AT117" s="1262"/>
      <c r="AU117" s="1446">
        <f>AU114/IS!BI57</f>
        <v>0.54416907404591763</v>
      </c>
      <c r="AV117" s="1262"/>
      <c r="AW117" s="956"/>
      <c r="AX117" s="956"/>
      <c r="AY117" s="956"/>
      <c r="AZ117" s="1446">
        <f>AZ114/IS!BN57</f>
        <v>0.6978900852679405</v>
      </c>
      <c r="BA117" s="956"/>
      <c r="BB117" s="956"/>
      <c r="BC117" s="956"/>
      <c r="BD117" s="1262"/>
      <c r="BE117" s="1446">
        <f>BE114/IS!BX57</f>
        <v>0.73341982355993773</v>
      </c>
      <c r="BF117" s="956"/>
      <c r="BG117" s="956"/>
      <c r="BH117" s="956"/>
      <c r="BI117" s="1262"/>
      <c r="BJ117" s="1446">
        <f>BJ114/IS!CH57</f>
        <v>0.52303173260937297</v>
      </c>
      <c r="BK117" s="1262"/>
      <c r="BL117" s="956"/>
      <c r="BM117" s="956"/>
      <c r="BN117" s="1262"/>
      <c r="BO117" s="1446">
        <f>BO114/IS!CM57</f>
        <v>0.45836746198830414</v>
      </c>
      <c r="BP117" s="1262"/>
      <c r="BQ117" s="956"/>
      <c r="BR117" s="956"/>
      <c r="BS117" s="1262"/>
      <c r="BT117" s="1446">
        <f>BT114/IS!CR57</f>
        <v>0.5618116924323231</v>
      </c>
      <c r="BU117" s="1262"/>
      <c r="BV117" s="956"/>
      <c r="BW117" s="956"/>
      <c r="BX117" s="1262"/>
      <c r="BY117" s="1446">
        <f>BY114/IS!CW57</f>
        <v>0.70628777726116565</v>
      </c>
      <c r="BZ117" s="1262"/>
      <c r="CA117" s="1262"/>
      <c r="CB117" s="1262"/>
      <c r="CC117" s="1443"/>
      <c r="CD117" s="1442"/>
      <c r="CE117" s="1262"/>
      <c r="CF117" s="1262"/>
      <c r="CG117" s="1262"/>
      <c r="CH117" s="1443"/>
      <c r="CI117" s="1442"/>
      <c r="CJ117" s="1443"/>
      <c r="CK117" s="1443"/>
      <c r="CL117" s="1443"/>
      <c r="CM117" s="1443"/>
      <c r="CN117" s="1446"/>
      <c r="CO117" s="1443"/>
      <c r="CP117" s="1443"/>
      <c r="CQ117" s="1443"/>
      <c r="CR117" s="1443"/>
      <c r="CS117" s="1446"/>
      <c r="CT117" s="1443"/>
      <c r="CU117" s="1443"/>
      <c r="CV117" s="1443"/>
      <c r="CW117" s="1443"/>
      <c r="CX117" s="4780"/>
      <c r="CY117" s="1443"/>
      <c r="CZ117" s="1443"/>
      <c r="DA117" s="1443"/>
      <c r="DB117" s="1443"/>
      <c r="DC117" s="5128"/>
      <c r="DD117" s="1443"/>
      <c r="DE117" s="1443"/>
      <c r="DF117" s="1443"/>
      <c r="DG117" s="1443"/>
      <c r="DH117" s="5128"/>
      <c r="DI117" s="1443"/>
      <c r="DJ117" s="1443"/>
      <c r="DK117" s="1443"/>
      <c r="DL117" s="1443"/>
      <c r="DM117" s="5128"/>
      <c r="DN117" s="1443"/>
      <c r="DO117" s="1443"/>
      <c r="DP117" s="1443"/>
      <c r="DQ117" s="1443"/>
      <c r="DR117" s="5128"/>
      <c r="DS117" s="1443"/>
      <c r="DT117" s="1443"/>
      <c r="DU117" s="1443"/>
      <c r="DV117" s="1443"/>
      <c r="DW117" s="5128"/>
      <c r="DX117" s="957"/>
      <c r="DY117" s="957"/>
      <c r="DZ117" s="957"/>
      <c r="EA117" s="957"/>
      <c r="EC117" s="4326"/>
      <c r="ED117" s="4326"/>
    </row>
    <row r="118" spans="1:134" ht="11.25" customHeight="1" collapsed="1"/>
    <row r="119" spans="1:134" s="31" customFormat="1" ht="11.25" customHeight="1">
      <c r="A119" s="1595"/>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c r="BO119" s="32"/>
      <c r="BP119" s="32"/>
      <c r="BQ119" s="32"/>
      <c r="BR119" s="32"/>
      <c r="BS119" s="32"/>
      <c r="BT119" s="32"/>
      <c r="BU119" s="32"/>
      <c r="BV119" s="32"/>
      <c r="BW119" s="32"/>
      <c r="BX119" s="32"/>
      <c r="BY119" s="32"/>
      <c r="BZ119" s="32"/>
      <c r="CA119" s="32"/>
      <c r="CB119" s="32"/>
      <c r="CC119" s="32"/>
      <c r="CD119" s="32"/>
      <c r="CE119" s="32"/>
      <c r="CF119" s="32"/>
      <c r="CG119" s="32"/>
      <c r="CH119" s="32"/>
      <c r="CI119" s="32"/>
      <c r="CJ119" s="32"/>
      <c r="CK119" s="32"/>
      <c r="CL119" s="32"/>
      <c r="CM119" s="32"/>
      <c r="CN119" s="32"/>
      <c r="CO119" s="32"/>
      <c r="CP119" s="32"/>
      <c r="CQ119" s="32"/>
      <c r="CR119" s="32"/>
      <c r="CS119" s="32"/>
      <c r="CT119" s="32"/>
      <c r="CU119" s="32"/>
      <c r="CV119" s="32"/>
      <c r="CW119" s="32"/>
      <c r="CX119" s="32"/>
      <c r="CY119" s="32"/>
      <c r="CZ119" s="5234"/>
      <c r="DA119" s="32"/>
      <c r="DB119" s="32"/>
      <c r="DC119" s="32"/>
      <c r="DD119" s="32"/>
      <c r="DE119" s="5234"/>
      <c r="DF119" s="32"/>
      <c r="DG119" s="32"/>
      <c r="DH119" s="32"/>
      <c r="DI119" s="32"/>
      <c r="DJ119" s="32"/>
      <c r="DK119" s="32"/>
      <c r="DL119" s="32"/>
      <c r="DM119" s="32"/>
      <c r="DN119" s="32"/>
      <c r="DO119" s="32"/>
      <c r="DP119" s="32"/>
      <c r="DQ119" s="32"/>
      <c r="DR119" s="32"/>
      <c r="DS119" s="32"/>
      <c r="DT119" s="32"/>
      <c r="DU119" s="32"/>
      <c r="DV119" s="32"/>
      <c r="DW119" s="32"/>
      <c r="DX119" s="32"/>
      <c r="DY119" s="32"/>
      <c r="DZ119" s="32"/>
      <c r="EA119" s="32"/>
    </row>
    <row r="120" spans="1:134" ht="11.25" customHeight="1">
      <c r="A120" s="1569" t="s">
        <v>337</v>
      </c>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F120" s="32"/>
      <c r="AK120" s="32"/>
      <c r="AP120" s="32"/>
      <c r="AU120" s="32"/>
      <c r="AZ120" s="32"/>
      <c r="CI120" s="2287"/>
      <c r="DH120" s="124"/>
    </row>
    <row r="125" spans="1:134" ht="11.25" customHeight="1">
      <c r="AT125" s="356"/>
      <c r="AY125" s="356"/>
      <c r="BA125" s="356"/>
      <c r="BB125" s="356"/>
      <c r="BC125" s="356"/>
      <c r="BD125" s="356"/>
      <c r="BF125" s="356"/>
      <c r="BG125" s="356"/>
      <c r="BH125" s="356"/>
      <c r="BI125" s="356"/>
    </row>
  </sheetData>
  <phoneticPr fontId="0" type="noConversion"/>
  <pageMargins left="0.25" right="0.25" top="0.75" bottom="0.75" header="0.3" footer="0.3"/>
  <pageSetup scale="74" fitToHeight="2" orientation="landscape" r:id="rId1"/>
  <headerFooter alignWithMargins="0">
    <oddFooter>&amp;C&amp;12Page 24</oddFooter>
  </headerFooter>
  <rowBreaks count="1" manualBreakCount="1">
    <brk id="55" max="71" man="1"/>
  </row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autoPageBreaks="0"/>
  </sheetPr>
  <dimension ref="A1:FK271"/>
  <sheetViews>
    <sheetView showGridLines="0" zoomScaleNormal="100" zoomScaleSheetLayoutView="85" workbookViewId="0">
      <pane xSplit="1" ySplit="6" topLeftCell="DH7" activePane="bottomRight" state="frozen"/>
      <selection activeCell="L42" sqref="L42"/>
      <selection pane="topRight" activeCell="L42" sqref="L42"/>
      <selection pane="bottomLeft" activeCell="L42" sqref="L42"/>
      <selection pane="bottomRight" activeCell="DH7" sqref="DH7"/>
    </sheetView>
  </sheetViews>
  <sheetFormatPr defaultColWidth="8.85546875" defaultRowHeight="11.25" customHeight="1" outlineLevelRow="1" outlineLevelCol="2"/>
  <cols>
    <col min="1" max="1" width="46.85546875" style="1595" bestFit="1" customWidth="1"/>
    <col min="2" max="4" width="10.7109375" style="35" hidden="1" customWidth="1" outlineLevel="2"/>
    <col min="5" max="5" width="5.7109375" style="35" hidden="1" customWidth="1" outlineLevel="2" collapsed="1"/>
    <col min="6" max="8" width="10.7109375" style="35" hidden="1" customWidth="1" outlineLevel="2"/>
    <col min="9" max="9" width="5.7109375" style="35" hidden="1" customWidth="1" outlineLevel="1" collapsed="1"/>
    <col min="10" max="12" width="10.7109375" style="35" hidden="1" customWidth="1" outlineLevel="2"/>
    <col min="13" max="13" width="5.7109375" style="35" hidden="1" customWidth="1" outlineLevel="1" collapsed="1"/>
    <col min="14" max="16" width="10.7109375" style="35" hidden="1" customWidth="1" outlineLevel="2"/>
    <col min="17" max="17" width="8.7109375" style="35" hidden="1" customWidth="1" outlineLevel="1" collapsed="1"/>
    <col min="18" max="20" width="8.7109375" style="35" hidden="1" customWidth="1" outlineLevel="2"/>
    <col min="21" max="21" width="8.7109375" style="121" hidden="1" customWidth="1" outlineLevel="1" collapsed="1"/>
    <col min="22" max="24" width="8.7109375" style="121" hidden="1" customWidth="1" outlineLevel="2"/>
    <col min="25" max="25" width="8.7109375" style="121" hidden="1" customWidth="1" outlineLevel="1" collapsed="1"/>
    <col min="26" max="28" width="8.7109375" style="121" hidden="1" customWidth="1" outlineLevel="2"/>
    <col min="29" max="29" width="8.7109375" style="121" hidden="1" customWidth="1" outlineLevel="1" collapsed="1"/>
    <col min="30" max="32" width="8.7109375" style="121" hidden="1" customWidth="1" outlineLevel="2"/>
    <col min="33" max="33" width="8.7109375" style="121" hidden="1" customWidth="1" outlineLevel="1" collapsed="1"/>
    <col min="34" max="36" width="8.7109375" style="32" hidden="1" customWidth="1" outlineLevel="2"/>
    <col min="37" max="37" width="8.7109375" style="32" hidden="1" customWidth="1" outlineLevel="1" collapsed="1"/>
    <col min="38" max="40" width="8.7109375" style="32" hidden="1" customWidth="1" outlineLevel="2"/>
    <col min="41" max="41" width="8.7109375" style="32" hidden="1" customWidth="1" outlineLevel="1" collapsed="1"/>
    <col min="42" max="44" width="8.7109375" style="32" hidden="1" customWidth="1" outlineLevel="2"/>
    <col min="45" max="45" width="8.7109375" style="32" hidden="1" customWidth="1" outlineLevel="1" collapsed="1"/>
    <col min="46" max="48" width="8.7109375" style="32" hidden="1" customWidth="1" outlineLevel="2"/>
    <col min="49" max="49" width="8.7109375" style="32" hidden="1" customWidth="1" outlineLevel="1" collapsed="1"/>
    <col min="50" max="52" width="8.7109375" style="32" hidden="1" customWidth="1" outlineLevel="2"/>
    <col min="53" max="53" width="8.7109375" style="32" hidden="1" customWidth="1" outlineLevel="1" collapsed="1"/>
    <col min="54" max="56" width="8.7109375" style="32" hidden="1" customWidth="1" outlineLevel="2"/>
    <col min="57" max="57" width="8.7109375" style="121" hidden="1" customWidth="1" outlineLevel="1" collapsed="1"/>
    <col min="58" max="60" width="8.7109375" style="32" hidden="1" customWidth="1" outlineLevel="2"/>
    <col min="61" max="62" width="8.7109375" style="121" hidden="1" customWidth="1" outlineLevel="1" collapsed="1"/>
    <col min="63" max="65" width="8.7109375" style="32" hidden="1" customWidth="1" outlineLevel="2"/>
    <col min="66" max="66" width="8.7109375" style="32" hidden="1" customWidth="1" outlineLevel="2" collapsed="1"/>
    <col min="67" max="67" width="8.7109375" style="121" hidden="1" customWidth="1" outlineLevel="1" collapsed="1"/>
    <col min="68" max="70" width="8.7109375" style="32" hidden="1" customWidth="1" outlineLevel="2"/>
    <col min="71" max="71" width="8.7109375" style="121" hidden="1" customWidth="1" outlineLevel="2" collapsed="1"/>
    <col min="72" max="72" width="8.7109375" style="121" hidden="1" customWidth="1" outlineLevel="1" collapsed="1"/>
    <col min="73" max="76" width="8.7109375" style="121" hidden="1" customWidth="1" outlineLevel="2"/>
    <col min="77" max="77" width="8.7109375" style="121" hidden="1" customWidth="1" outlineLevel="1" collapsed="1"/>
    <col min="78" max="78" width="8.7109375" style="121" hidden="1" customWidth="1" outlineLevel="2"/>
    <col min="79" max="80" width="8.7109375" style="32" hidden="1" customWidth="1" outlineLevel="2"/>
    <col min="81" max="81" width="8.7109375" style="121" hidden="1" customWidth="1" outlineLevel="2"/>
    <col min="82" max="82" width="8.7109375" style="121" hidden="1" customWidth="1" outlineLevel="1" collapsed="1"/>
    <col min="83" max="83" width="8.7109375" style="121" hidden="1" customWidth="1" outlineLevel="2"/>
    <col min="84" max="85" width="8.7109375" style="32" hidden="1" customWidth="1" outlineLevel="2"/>
    <col min="86" max="86" width="8.7109375" style="121" hidden="1" customWidth="1" outlineLevel="2"/>
    <col min="87" max="87" width="8.7109375" style="121" hidden="1" customWidth="1" outlineLevel="1" collapsed="1"/>
    <col min="88" max="91" width="8.7109375" style="32" hidden="1" customWidth="1" outlineLevel="2"/>
    <col min="92" max="92" width="8.7109375" style="4367" hidden="1" customWidth="1" outlineLevel="1" collapsed="1"/>
    <col min="93" max="96" width="8.7109375" style="32" hidden="1" customWidth="1" outlineLevel="2"/>
    <col min="97" max="97" width="8.7109375" style="4367" hidden="1" customWidth="1" outlineLevel="1" collapsed="1"/>
    <col min="98" max="101" width="8.7109375" style="32" hidden="1" customWidth="1" outlineLevel="2"/>
    <col min="102" max="102" width="8.7109375" style="4367" hidden="1" customWidth="1" outlineLevel="1" collapsed="1"/>
    <col min="103" max="106" width="8.7109375" style="32" hidden="1" customWidth="1" outlineLevel="2"/>
    <col min="107" max="107" width="8.7109375" style="121" hidden="1" customWidth="1" outlineLevel="1" collapsed="1"/>
    <col min="108" max="111" width="8.7109375" style="32" hidden="1" customWidth="1" outlineLevel="2"/>
    <col min="112" max="112" width="8.7109375" style="121" customWidth="1" collapsed="1"/>
    <col min="113" max="116" width="8.7109375" style="32" customWidth="1"/>
    <col min="117" max="117" width="8.7109375" style="121" customWidth="1"/>
    <col min="118" max="121" width="8.7109375" style="32" customWidth="1"/>
    <col min="122" max="122" width="8.7109375" style="121" customWidth="1"/>
    <col min="123" max="126" width="8.7109375" style="32" customWidth="1"/>
    <col min="127" max="131" width="8.7109375" style="121" customWidth="1"/>
    <col min="132" max="132" width="3.7109375" style="35" customWidth="1"/>
    <col min="133" max="134" width="9.7109375" style="35" customWidth="1"/>
    <col min="135" max="16384" width="8.85546875" style="35"/>
  </cols>
  <sheetData>
    <row r="1" spans="1:157" s="2" customFormat="1" ht="11.25" customHeight="1">
      <c r="A1" s="1515"/>
      <c r="B1" s="20"/>
      <c r="C1" s="20"/>
      <c r="D1" s="20"/>
      <c r="E1" s="20"/>
      <c r="F1" s="20"/>
      <c r="G1" s="20"/>
      <c r="H1" s="22"/>
      <c r="I1" s="22"/>
      <c r="J1" s="20"/>
      <c r="K1" s="20"/>
      <c r="L1" s="20"/>
      <c r="M1" s="20"/>
      <c r="N1" s="20"/>
      <c r="O1" s="20"/>
      <c r="P1" s="20"/>
      <c r="Q1" s="20"/>
      <c r="R1" s="22"/>
      <c r="S1" s="22"/>
      <c r="T1" s="20"/>
      <c r="U1" s="20"/>
      <c r="V1" s="20"/>
      <c r="W1" s="20"/>
      <c r="X1" s="20"/>
      <c r="Y1" s="22"/>
      <c r="Z1" s="20"/>
      <c r="AA1" s="20"/>
      <c r="AB1" s="20"/>
      <c r="AC1" s="20"/>
      <c r="AD1" s="20"/>
      <c r="AE1" s="20"/>
      <c r="AF1" s="20"/>
      <c r="AG1" s="20"/>
      <c r="AH1" s="20"/>
      <c r="AI1" s="20"/>
      <c r="AJ1" s="22"/>
      <c r="AK1" s="22"/>
      <c r="AL1" s="22"/>
      <c r="AM1" s="22"/>
      <c r="AN1" s="22"/>
      <c r="AO1" s="22"/>
      <c r="AP1" s="22"/>
      <c r="AQ1" s="22"/>
      <c r="AR1" s="22"/>
      <c r="AS1" s="22"/>
      <c r="AT1" s="20"/>
      <c r="AU1" s="22"/>
      <c r="AV1" s="22"/>
      <c r="AW1" s="22"/>
      <c r="AX1" s="22"/>
      <c r="AY1" s="20"/>
      <c r="AZ1" s="22"/>
      <c r="BA1" s="22"/>
      <c r="BB1" s="22"/>
      <c r="BC1" s="22"/>
      <c r="BD1" s="20"/>
      <c r="BE1" s="22"/>
      <c r="BF1" s="22"/>
      <c r="BG1" s="22"/>
      <c r="BH1" s="22"/>
      <c r="BI1" s="20"/>
      <c r="BJ1" s="22"/>
      <c r="BK1" s="22"/>
      <c r="BL1" s="22"/>
      <c r="BM1" s="22"/>
      <c r="BN1" s="22"/>
      <c r="BO1" s="22"/>
      <c r="BP1" s="20"/>
      <c r="BQ1" s="20"/>
      <c r="BR1" s="20"/>
      <c r="BS1" s="20"/>
      <c r="BT1" s="22"/>
      <c r="BU1" s="20"/>
      <c r="BV1" s="20"/>
      <c r="BW1" s="22"/>
      <c r="BX1" s="22"/>
      <c r="BY1" s="22"/>
      <c r="BZ1" s="22"/>
      <c r="CA1" s="22"/>
      <c r="CB1" s="22"/>
      <c r="CC1" s="22"/>
      <c r="CD1" s="22"/>
      <c r="CE1" s="22"/>
      <c r="CF1" s="22"/>
      <c r="CG1" s="22"/>
      <c r="CH1" s="22"/>
      <c r="CI1" s="20"/>
      <c r="CJ1" s="22"/>
      <c r="CK1" s="22"/>
      <c r="CL1" s="22"/>
      <c r="CM1" s="22"/>
      <c r="CN1" s="4345"/>
      <c r="CO1" s="4489"/>
      <c r="CP1" s="4489"/>
      <c r="CQ1" s="4489"/>
      <c r="CR1" s="4489"/>
      <c r="CS1" s="4345"/>
      <c r="CT1" s="4895"/>
      <c r="CU1" s="4895"/>
      <c r="CV1" s="4895"/>
      <c r="CW1" s="4895"/>
      <c r="CX1" s="4345"/>
      <c r="CY1" s="4895"/>
      <c r="CZ1" s="4895"/>
      <c r="DA1" s="4895"/>
      <c r="DB1" s="4895"/>
      <c r="DC1" s="4895"/>
      <c r="DD1" s="4895"/>
      <c r="DE1" s="4895"/>
      <c r="DF1" s="4895"/>
      <c r="DG1" s="4895"/>
      <c r="DH1" s="4895"/>
      <c r="DI1" s="4895"/>
      <c r="DJ1" s="4895"/>
      <c r="DK1" s="4895"/>
      <c r="DL1" s="4489"/>
      <c r="DM1" s="4489"/>
      <c r="DN1" s="4489"/>
      <c r="DO1" s="4489"/>
      <c r="DP1" s="4489"/>
      <c r="DQ1" s="4489"/>
      <c r="DR1" s="4489"/>
      <c r="DS1" s="4489"/>
      <c r="DT1" s="4489"/>
      <c r="DU1" s="4489"/>
      <c r="DV1" s="4489"/>
      <c r="DW1" s="4489"/>
      <c r="DX1" s="4489"/>
      <c r="DY1" s="4489"/>
      <c r="DZ1" s="4489"/>
      <c r="EA1" s="4489"/>
      <c r="EB1" s="22"/>
      <c r="EC1" s="22"/>
      <c r="ED1" s="22"/>
      <c r="EE1" s="22"/>
      <c r="EF1" s="20"/>
      <c r="EG1" s="20"/>
      <c r="EH1" s="20"/>
      <c r="EI1" s="20"/>
      <c r="EJ1" s="20"/>
      <c r="EK1" s="20"/>
      <c r="EL1" s="20"/>
      <c r="EM1" s="20"/>
      <c r="EN1" s="20"/>
      <c r="EO1" s="20"/>
      <c r="EP1" s="20"/>
      <c r="EQ1" s="20"/>
      <c r="ER1" s="20"/>
      <c r="ES1" s="20"/>
      <c r="ET1" s="20"/>
      <c r="EU1" s="20"/>
      <c r="EV1" s="20"/>
      <c r="EW1" s="20"/>
      <c r="EX1" s="20"/>
      <c r="EY1" s="20"/>
      <c r="EZ1" s="21"/>
      <c r="FA1" s="6"/>
    </row>
    <row r="2" spans="1:157" s="17" customFormat="1" ht="28.5" customHeight="1">
      <c r="A2" s="2914" t="str">
        <f>IS!A2</f>
        <v>Alphabet Inc.</v>
      </c>
      <c r="B2" s="18"/>
      <c r="C2" s="18"/>
      <c r="D2" s="18"/>
      <c r="E2" s="18"/>
      <c r="F2" s="18"/>
      <c r="G2" s="18"/>
      <c r="H2" s="18"/>
      <c r="I2" s="18"/>
      <c r="J2" s="18"/>
      <c r="K2" s="18"/>
      <c r="L2" s="18"/>
      <c r="M2" s="18"/>
      <c r="N2" s="18"/>
      <c r="O2" s="18"/>
      <c r="P2" s="18"/>
      <c r="Q2" s="18"/>
      <c r="R2" s="18"/>
      <c r="S2" s="18"/>
      <c r="T2" s="18"/>
      <c r="U2" s="18"/>
      <c r="V2" s="18"/>
      <c r="W2" s="18"/>
      <c r="X2" s="18"/>
      <c r="Y2" s="23"/>
      <c r="Z2" s="18"/>
      <c r="AA2" s="18"/>
      <c r="AB2" s="18"/>
      <c r="AC2" s="18"/>
      <c r="AD2" s="18"/>
      <c r="AE2" s="18"/>
      <c r="AF2" s="18"/>
      <c r="AG2" s="18"/>
      <c r="AH2" s="18"/>
      <c r="AI2" s="18"/>
      <c r="AJ2" s="23"/>
      <c r="AK2" s="23"/>
      <c r="AL2" s="23"/>
      <c r="AM2" s="23"/>
      <c r="AN2" s="23"/>
      <c r="AO2" s="18"/>
      <c r="AP2" s="18"/>
      <c r="AQ2" s="18"/>
      <c r="AR2" s="18"/>
      <c r="AS2" s="18"/>
      <c r="AT2" s="18"/>
      <c r="AU2" s="18"/>
      <c r="AV2" s="18"/>
      <c r="AW2" s="18"/>
      <c r="AX2" s="18"/>
      <c r="AY2" s="18"/>
      <c r="AZ2" s="18"/>
      <c r="BA2" s="18"/>
      <c r="BB2" s="18"/>
      <c r="BC2" s="18"/>
      <c r="BD2" s="18"/>
      <c r="BE2" s="18"/>
      <c r="BF2" s="18"/>
      <c r="BG2" s="18"/>
      <c r="BH2" s="18"/>
      <c r="BI2" s="18"/>
      <c r="BJ2" s="580"/>
      <c r="BK2" s="18"/>
      <c r="BL2" s="474"/>
      <c r="BM2" s="18"/>
      <c r="BN2" s="18"/>
      <c r="BO2" s="580"/>
      <c r="BP2" s="18"/>
      <c r="BQ2" s="580"/>
      <c r="BR2" s="18"/>
      <c r="BS2" s="18"/>
      <c r="BT2" s="580"/>
      <c r="BU2" s="18"/>
      <c r="BV2" s="18"/>
      <c r="BW2" s="580"/>
      <c r="BX2" s="580"/>
      <c r="BY2" s="580"/>
      <c r="BZ2" s="580"/>
      <c r="CA2" s="580"/>
      <c r="CB2" s="580"/>
      <c r="CC2" s="580"/>
      <c r="CD2" s="580"/>
      <c r="CE2" s="580"/>
      <c r="CF2" s="580"/>
      <c r="CG2" s="580"/>
      <c r="CH2" s="580"/>
      <c r="CI2" s="580"/>
      <c r="CJ2" s="580"/>
      <c r="CK2" s="580"/>
      <c r="CL2" s="580"/>
      <c r="CM2" s="4334"/>
      <c r="CN2" s="4346"/>
      <c r="CO2" s="580"/>
      <c r="CP2" s="580"/>
      <c r="CQ2" s="580"/>
      <c r="CR2" s="580"/>
      <c r="CS2" s="4346"/>
      <c r="CT2" s="4895"/>
      <c r="CU2" s="4895"/>
      <c r="CV2" s="4895"/>
      <c r="CW2" s="4895"/>
      <c r="CX2" s="4346"/>
      <c r="CY2" s="4895"/>
      <c r="CZ2" s="4895"/>
      <c r="DA2" s="4895"/>
      <c r="DB2" s="4895"/>
      <c r="DC2" s="4895"/>
      <c r="DD2" s="4895"/>
      <c r="DE2" s="4895"/>
      <c r="DF2" s="4895"/>
      <c r="DG2" s="4895"/>
      <c r="DH2" s="4895"/>
      <c r="DI2" s="4895"/>
      <c r="DJ2" s="4895"/>
      <c r="DK2" s="4895"/>
      <c r="DL2" s="4895"/>
      <c r="DM2" s="4895"/>
      <c r="DN2" s="4895"/>
      <c r="DO2" s="4895"/>
      <c r="DP2" s="4895"/>
      <c r="DQ2" s="4895"/>
      <c r="DR2" s="4895"/>
      <c r="DS2" s="4895"/>
      <c r="DT2" s="4895"/>
      <c r="DU2" s="4895"/>
      <c r="DV2" s="4895"/>
      <c r="DW2" s="4895"/>
      <c r="DX2" s="4895"/>
      <c r="DY2" s="4895"/>
      <c r="DZ2" s="4895"/>
      <c r="EA2" s="4895"/>
      <c r="EB2" s="580"/>
      <c r="EC2" s="580"/>
      <c r="ED2" s="580"/>
      <c r="EE2" s="580"/>
      <c r="EF2" s="659"/>
      <c r="EG2" s="659"/>
      <c r="EH2" s="659"/>
      <c r="EI2" s="659"/>
      <c r="EJ2" s="290"/>
      <c r="EK2" s="150"/>
      <c r="EL2" s="290"/>
      <c r="EM2" s="290"/>
      <c r="EN2" s="290"/>
      <c r="EO2" s="290"/>
      <c r="EP2" s="150"/>
      <c r="EQ2" s="806"/>
      <c r="ER2" s="806"/>
      <c r="ES2" s="806"/>
      <c r="ET2" s="806"/>
      <c r="EU2" s="806"/>
      <c r="EV2" s="806"/>
      <c r="EW2" s="806"/>
      <c r="EX2" s="806"/>
      <c r="EY2" s="806"/>
      <c r="EZ2" s="24"/>
      <c r="FA2" s="594"/>
    </row>
    <row r="3" spans="1:157" s="15" customFormat="1" ht="20.25" customHeight="1">
      <c r="A3" s="1516" t="s">
        <v>131</v>
      </c>
      <c r="B3" s="19"/>
      <c r="C3" s="19"/>
      <c r="D3" s="19"/>
      <c r="E3" s="19"/>
      <c r="F3" s="19"/>
      <c r="G3" s="19"/>
      <c r="H3" s="19"/>
      <c r="I3" s="19"/>
      <c r="J3" s="19"/>
      <c r="K3" s="19"/>
      <c r="L3" s="19"/>
      <c r="M3" s="19"/>
      <c r="N3" s="19"/>
      <c r="O3" s="19"/>
      <c r="P3" s="19"/>
      <c r="Q3" s="19"/>
      <c r="R3" s="19"/>
      <c r="S3" s="19"/>
      <c r="T3" s="19"/>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470"/>
      <c r="BF3" s="470"/>
      <c r="BG3" s="470"/>
      <c r="BH3" s="470"/>
      <c r="BI3" s="470"/>
      <c r="BJ3" s="470"/>
      <c r="BK3" s="470"/>
      <c r="BL3" s="473"/>
      <c r="BM3" s="470"/>
      <c r="BN3" s="470"/>
      <c r="BO3" s="470"/>
      <c r="BP3" s="470"/>
      <c r="BQ3" s="470"/>
      <c r="BR3" s="470"/>
      <c r="BS3" s="470"/>
      <c r="BT3" s="470"/>
      <c r="BU3" s="470"/>
      <c r="BV3" s="470"/>
      <c r="BW3" s="659"/>
      <c r="BX3" s="659"/>
      <c r="BY3" s="470"/>
      <c r="BZ3" s="659"/>
      <c r="CA3" s="659"/>
      <c r="CB3" s="659"/>
      <c r="CC3" s="470"/>
      <c r="CD3" s="470"/>
      <c r="CE3" s="470"/>
      <c r="CF3" s="3898"/>
      <c r="CG3" s="470"/>
      <c r="CH3" s="470"/>
      <c r="CI3" s="470"/>
      <c r="CJ3" s="470"/>
      <c r="CK3" s="470"/>
      <c r="CL3" s="470"/>
      <c r="CM3" s="470"/>
      <c r="CN3" s="4347"/>
      <c r="CO3" s="470"/>
      <c r="CP3" s="470"/>
      <c r="CQ3" s="470"/>
      <c r="CR3" s="470"/>
      <c r="CS3" s="4347"/>
      <c r="CT3" s="470"/>
      <c r="CU3" s="470"/>
      <c r="CV3" s="470"/>
      <c r="CW3" s="470"/>
      <c r="CX3" s="4347"/>
      <c r="CY3" s="470"/>
      <c r="CZ3" s="470"/>
      <c r="DA3" s="470"/>
      <c r="DB3" s="470"/>
      <c r="DC3" s="529"/>
      <c r="DD3" s="470"/>
      <c r="DE3" s="470"/>
      <c r="DF3" s="470"/>
      <c r="DG3" s="470"/>
      <c r="DH3" s="529"/>
      <c r="DI3" s="470"/>
      <c r="DJ3" s="470"/>
      <c r="DK3" s="470"/>
      <c r="DL3" s="470"/>
      <c r="DM3" s="529"/>
      <c r="DN3" s="470"/>
      <c r="DO3" s="470"/>
      <c r="DP3" s="470"/>
      <c r="DQ3" s="470"/>
      <c r="DR3" s="529"/>
      <c r="DS3" s="470"/>
      <c r="DT3" s="470"/>
      <c r="DU3" s="470"/>
      <c r="DV3" s="470"/>
      <c r="DW3" s="529"/>
      <c r="DX3" s="4674"/>
      <c r="DY3" s="4674"/>
      <c r="DZ3" s="4674"/>
      <c r="EA3" s="4674"/>
      <c r="EB3" s="529"/>
      <c r="EC3" s="529"/>
      <c r="ED3" s="529"/>
      <c r="EE3" s="529"/>
      <c r="EF3" s="659"/>
      <c r="EG3" s="659"/>
      <c r="EH3" s="659"/>
      <c r="EI3" s="659"/>
      <c r="EJ3" s="756"/>
      <c r="EK3" s="659"/>
      <c r="EL3" s="756"/>
      <c r="EM3" s="760"/>
      <c r="EN3" s="760"/>
      <c r="EO3" s="760"/>
      <c r="EP3" s="809"/>
      <c r="EQ3" s="809"/>
      <c r="ER3" s="809"/>
      <c r="ES3" s="809"/>
      <c r="ET3" s="809"/>
      <c r="EU3" s="809"/>
      <c r="EV3" s="809"/>
      <c r="EW3" s="809"/>
      <c r="EX3" s="809"/>
      <c r="EY3" s="809"/>
      <c r="EZ3" s="470"/>
      <c r="FA3" s="595"/>
    </row>
    <row r="4" spans="1:157" s="6" customFormat="1" ht="12.75">
      <c r="A4" s="1517"/>
      <c r="B4" s="20"/>
      <c r="C4" s="20"/>
      <c r="D4" s="20"/>
      <c r="E4" s="20"/>
      <c r="F4" s="20"/>
      <c r="G4" s="20"/>
      <c r="H4" s="22"/>
      <c r="I4" s="22"/>
      <c r="J4" s="20"/>
      <c r="K4" s="20"/>
      <c r="L4" s="20"/>
      <c r="M4" s="20"/>
      <c r="N4" s="20"/>
      <c r="O4" s="20"/>
      <c r="P4" s="20"/>
      <c r="Q4" s="20"/>
      <c r="R4" s="22"/>
      <c r="S4" s="22"/>
      <c r="T4" s="20"/>
      <c r="U4" s="20"/>
      <c r="V4" s="20"/>
      <c r="W4" s="20"/>
      <c r="X4" s="20"/>
      <c r="Y4" s="22"/>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42"/>
      <c r="BG4" s="42"/>
      <c r="BH4" s="42"/>
      <c r="BI4" s="470"/>
      <c r="BJ4" s="42"/>
      <c r="BK4" s="42"/>
      <c r="BL4" s="42"/>
      <c r="BM4" s="42"/>
      <c r="BN4" s="42"/>
      <c r="BO4" s="42"/>
      <c r="BP4" s="470"/>
      <c r="BQ4" s="470"/>
      <c r="BR4" s="470"/>
      <c r="BS4" s="470"/>
      <c r="BT4" s="42"/>
      <c r="BU4" s="470"/>
      <c r="BV4" s="470"/>
      <c r="BW4" s="42"/>
      <c r="BX4" s="42"/>
      <c r="BY4" s="42"/>
      <c r="BZ4" s="42"/>
      <c r="CA4" s="42"/>
      <c r="CB4" s="42"/>
      <c r="CC4" s="42"/>
      <c r="CD4" s="42"/>
      <c r="CE4" s="42"/>
      <c r="CF4" s="42"/>
      <c r="CG4" s="42"/>
      <c r="CH4" s="42"/>
      <c r="CI4" s="470"/>
      <c r="CJ4" s="42"/>
      <c r="CK4" s="42"/>
      <c r="CL4" s="42"/>
      <c r="CM4" s="42"/>
      <c r="CN4" s="4348"/>
      <c r="CO4" s="42"/>
      <c r="CP4" s="42"/>
      <c r="CQ4" s="42"/>
      <c r="CR4" s="42"/>
      <c r="CS4" s="4348"/>
      <c r="CT4" s="42"/>
      <c r="CU4" s="42"/>
      <c r="CV4" s="42"/>
      <c r="CW4" s="42"/>
      <c r="CX4" s="4348"/>
      <c r="CY4" s="42"/>
      <c r="CZ4" s="42"/>
      <c r="DA4" s="42"/>
      <c r="DB4" s="42"/>
      <c r="DC4" s="510"/>
      <c r="DD4" s="42"/>
      <c r="DE4" s="42"/>
      <c r="DF4" s="42"/>
      <c r="DG4" s="42"/>
      <c r="DH4" s="510"/>
      <c r="DI4" s="42"/>
      <c r="DJ4" s="42"/>
      <c r="DK4" s="42"/>
      <c r="DL4" s="42"/>
      <c r="DM4" s="510"/>
      <c r="DN4" s="42"/>
      <c r="DO4" s="42"/>
      <c r="DP4" s="42"/>
      <c r="DQ4" s="42"/>
      <c r="DR4" s="510"/>
      <c r="DS4" s="42"/>
      <c r="DT4" s="42"/>
      <c r="DU4" s="42"/>
      <c r="DV4" s="42"/>
      <c r="DW4" s="510"/>
      <c r="DX4" s="522"/>
      <c r="DY4" s="522"/>
      <c r="DZ4" s="522"/>
      <c r="EA4" s="522"/>
      <c r="EB4" s="510"/>
      <c r="EC4" s="42"/>
      <c r="ED4" s="42"/>
      <c r="EE4" s="42"/>
      <c r="EF4" s="473"/>
      <c r="EG4" s="470"/>
      <c r="EH4" s="470"/>
      <c r="EI4" s="470"/>
      <c r="EJ4" s="619"/>
      <c r="EK4" s="473"/>
      <c r="EL4" s="661"/>
      <c r="EM4" s="661"/>
      <c r="EN4" s="661"/>
      <c r="EO4" s="758"/>
      <c r="EP4" s="661"/>
      <c r="EQ4" s="661"/>
      <c r="ER4" s="661"/>
      <c r="ES4" s="661"/>
      <c r="ET4" s="661"/>
      <c r="EU4" s="661"/>
      <c r="EV4" s="661"/>
      <c r="EW4" s="661"/>
      <c r="EX4" s="661"/>
      <c r="EY4" s="661"/>
      <c r="EZ4" s="470"/>
    </row>
    <row r="5" spans="1:157" s="31" customFormat="1" ht="11.25" customHeight="1">
      <c r="A5" s="1596"/>
      <c r="B5" s="29"/>
      <c r="C5" s="29"/>
      <c r="D5" s="29"/>
      <c r="E5" s="29"/>
      <c r="F5" s="4"/>
      <c r="G5" s="4"/>
      <c r="H5" s="4"/>
      <c r="I5" s="4"/>
      <c r="J5" s="4"/>
      <c r="K5" s="4"/>
      <c r="L5" s="4"/>
      <c r="M5" s="4"/>
      <c r="N5" s="29"/>
      <c r="O5" s="29"/>
      <c r="P5" s="29"/>
      <c r="Q5" s="29"/>
      <c r="R5" s="30"/>
      <c r="S5" s="30"/>
      <c r="U5" s="32"/>
      <c r="V5" s="32"/>
      <c r="W5" s="32"/>
      <c r="X5" s="32"/>
      <c r="Y5" s="32"/>
      <c r="Z5" s="32"/>
      <c r="AA5" s="32"/>
      <c r="AB5" s="32"/>
      <c r="AC5" s="32"/>
      <c r="AD5" s="32"/>
      <c r="AE5" s="32"/>
      <c r="AF5" s="32"/>
      <c r="AG5" s="32"/>
      <c r="AH5" s="32"/>
      <c r="AI5" s="32"/>
      <c r="AJ5" s="32"/>
      <c r="AK5" s="32"/>
      <c r="AL5" s="32"/>
      <c r="AM5" s="32"/>
      <c r="AN5" s="32"/>
      <c r="AO5" s="32"/>
      <c r="AP5" s="32"/>
      <c r="AQ5" s="32"/>
      <c r="AR5" s="32"/>
      <c r="AS5" s="33"/>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4349"/>
      <c r="CO5" s="32"/>
      <c r="CP5" s="32"/>
      <c r="CQ5" s="32"/>
      <c r="CR5" s="32"/>
      <c r="CS5" s="4349"/>
      <c r="CT5" s="32"/>
      <c r="CU5" s="32"/>
      <c r="CV5" s="32"/>
      <c r="CW5" s="32"/>
      <c r="CX5" s="4349"/>
      <c r="CY5" s="32"/>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C5" s="751" t="s">
        <v>853</v>
      </c>
      <c r="ED5" s="751" t="s">
        <v>854</v>
      </c>
    </row>
    <row r="6" spans="1:157" s="30" customFormat="1" ht="12" thickBot="1">
      <c r="A6" s="2915" t="s">
        <v>690</v>
      </c>
      <c r="B6" s="34" t="s">
        <v>37</v>
      </c>
      <c r="C6" s="34" t="s">
        <v>38</v>
      </c>
      <c r="D6" s="34" t="s">
        <v>39</v>
      </c>
      <c r="E6" s="34" t="s">
        <v>40</v>
      </c>
      <c r="F6" s="34" t="s">
        <v>42</v>
      </c>
      <c r="G6" s="34" t="s">
        <v>43</v>
      </c>
      <c r="H6" s="34" t="s">
        <v>44</v>
      </c>
      <c r="I6" s="34" t="s">
        <v>109</v>
      </c>
      <c r="J6" s="34" t="s">
        <v>111</v>
      </c>
      <c r="K6" s="34" t="s">
        <v>112</v>
      </c>
      <c r="L6" s="34" t="s">
        <v>114</v>
      </c>
      <c r="M6" s="34" t="s">
        <v>115</v>
      </c>
      <c r="N6" s="34" t="s">
        <v>118</v>
      </c>
      <c r="O6" s="34" t="s">
        <v>120</v>
      </c>
      <c r="P6" s="34" t="s">
        <v>122</v>
      </c>
      <c r="Q6" s="34" t="s">
        <v>124</v>
      </c>
      <c r="R6" s="34" t="s">
        <v>125</v>
      </c>
      <c r="S6" s="34" t="s">
        <v>126</v>
      </c>
      <c r="T6" s="34" t="s">
        <v>127</v>
      </c>
      <c r="U6" s="34" t="s">
        <v>128</v>
      </c>
      <c r="V6" s="34" t="s">
        <v>130</v>
      </c>
      <c r="W6" s="34" t="s">
        <v>233</v>
      </c>
      <c r="X6" s="34" t="s">
        <v>254</v>
      </c>
      <c r="Y6" s="34" t="s">
        <v>255</v>
      </c>
      <c r="Z6" s="34" t="s">
        <v>258</v>
      </c>
      <c r="AA6" s="34" t="s">
        <v>261</v>
      </c>
      <c r="AB6" s="34" t="s">
        <v>263</v>
      </c>
      <c r="AC6" s="34" t="s">
        <v>265</v>
      </c>
      <c r="AD6" s="34" t="s">
        <v>267</v>
      </c>
      <c r="AE6" s="34" t="s">
        <v>269</v>
      </c>
      <c r="AF6" s="34" t="s">
        <v>273</v>
      </c>
      <c r="AG6" s="34" t="s">
        <v>275</v>
      </c>
      <c r="AH6" s="34" t="s">
        <v>277</v>
      </c>
      <c r="AI6" s="34" t="s">
        <v>278</v>
      </c>
      <c r="AJ6" s="34" t="s">
        <v>281</v>
      </c>
      <c r="AK6" s="34" t="s">
        <v>285</v>
      </c>
      <c r="AL6" s="34" t="s">
        <v>300</v>
      </c>
      <c r="AM6" s="34" t="s">
        <v>2</v>
      </c>
      <c r="AN6" s="34" t="s">
        <v>5</v>
      </c>
      <c r="AO6" s="34" t="s">
        <v>10</v>
      </c>
      <c r="AP6" s="34" t="s">
        <v>13</v>
      </c>
      <c r="AQ6" s="34" t="s">
        <v>28</v>
      </c>
      <c r="AR6" s="34" t="s">
        <v>32</v>
      </c>
      <c r="AS6" s="34" t="s">
        <v>302</v>
      </c>
      <c r="AT6" s="34" t="s">
        <v>310</v>
      </c>
      <c r="AU6" s="34" t="s">
        <v>313</v>
      </c>
      <c r="AV6" s="34" t="s">
        <v>328</v>
      </c>
      <c r="AW6" s="34" t="s">
        <v>331</v>
      </c>
      <c r="AX6" s="34" t="s">
        <v>339</v>
      </c>
      <c r="AY6" s="34" t="s">
        <v>361</v>
      </c>
      <c r="AZ6" s="34" t="s">
        <v>365</v>
      </c>
      <c r="BA6" s="34" t="s">
        <v>369</v>
      </c>
      <c r="BB6" s="34" t="s">
        <v>377</v>
      </c>
      <c r="BC6" s="34" t="s">
        <v>381</v>
      </c>
      <c r="BD6" s="34" t="s">
        <v>383</v>
      </c>
      <c r="BE6" s="34" t="s">
        <v>384</v>
      </c>
      <c r="BF6" s="34" t="s">
        <v>386</v>
      </c>
      <c r="BG6" s="34" t="s">
        <v>387</v>
      </c>
      <c r="BH6" s="34" t="s">
        <v>388</v>
      </c>
      <c r="BI6" s="34" t="s">
        <v>389</v>
      </c>
      <c r="BJ6" s="34" t="str">
        <f>IS!CH6</f>
        <v>2013A</v>
      </c>
      <c r="BK6" s="492" t="s">
        <v>393</v>
      </c>
      <c r="BL6" s="492" t="s">
        <v>394</v>
      </c>
      <c r="BM6" s="492" t="s">
        <v>395</v>
      </c>
      <c r="BN6" s="492" t="s">
        <v>411</v>
      </c>
      <c r="BO6" s="34" t="str">
        <f>IS!CM6</f>
        <v>2014A</v>
      </c>
      <c r="BP6" s="492" t="s">
        <v>412</v>
      </c>
      <c r="BQ6" s="164" t="s">
        <v>414</v>
      </c>
      <c r="BR6" s="164" t="s">
        <v>429</v>
      </c>
      <c r="BS6" s="492" t="s">
        <v>475</v>
      </c>
      <c r="BT6" s="34" t="str">
        <f>IS!CR6</f>
        <v>2015A</v>
      </c>
      <c r="BU6" s="492" t="str">
        <f>IS!CS6</f>
        <v>3/16A</v>
      </c>
      <c r="BV6" s="164" t="str">
        <f>IS!CT6</f>
        <v>6/16A</v>
      </c>
      <c r="BW6" s="164" t="str">
        <f>IS!CU6</f>
        <v>9/16A</v>
      </c>
      <c r="BX6" s="34" t="str">
        <f>IS!CV6</f>
        <v>12/16A</v>
      </c>
      <c r="BY6" s="34" t="str">
        <f>IS!CW6</f>
        <v>2016A</v>
      </c>
      <c r="BZ6" s="34" t="str">
        <f>IS!CX6</f>
        <v>3/17A</v>
      </c>
      <c r="CA6" s="34" t="str">
        <f>IS!CY6</f>
        <v>6/17A</v>
      </c>
      <c r="CB6" s="34" t="str">
        <f>IS!CZ6</f>
        <v>9/17A</v>
      </c>
      <c r="CC6" s="34" t="str">
        <f>IS!DA6</f>
        <v>12/17A</v>
      </c>
      <c r="CD6" s="34" t="str">
        <f>IS!DB6</f>
        <v>2017A</v>
      </c>
      <c r="CE6" s="34" t="str">
        <f>IS!DC6</f>
        <v>3/18A</v>
      </c>
      <c r="CF6" s="34" t="str">
        <f>IS!DD6</f>
        <v>6/18A</v>
      </c>
      <c r="CG6" s="34" t="str">
        <f>IS!DE6</f>
        <v>9/18A</v>
      </c>
      <c r="CH6" s="34" t="str">
        <f>IS!DF6</f>
        <v>12/18A</v>
      </c>
      <c r="CI6" s="34" t="str">
        <f>IS!DG6</f>
        <v>2018A</v>
      </c>
      <c r="CJ6" s="34" t="str">
        <f>IS!DH6</f>
        <v>3/19A</v>
      </c>
      <c r="CK6" s="34" t="str">
        <f>IS!DI6</f>
        <v>6/19A</v>
      </c>
      <c r="CL6" s="34" t="str">
        <f>IS!DJ6</f>
        <v>9/19A</v>
      </c>
      <c r="CM6" s="34" t="str">
        <f>IS!DK6</f>
        <v>12/19A</v>
      </c>
      <c r="CN6" s="4350" t="str">
        <f>IS!DL6</f>
        <v>2019A</v>
      </c>
      <c r="CO6" s="34" t="str">
        <f>IS!DM6</f>
        <v>3/20A</v>
      </c>
      <c r="CP6" s="34" t="str">
        <f>IS!DN6</f>
        <v>6/20A</v>
      </c>
      <c r="CQ6" s="34" t="str">
        <f>IS!DO6</f>
        <v>9/20A</v>
      </c>
      <c r="CR6" s="34" t="str">
        <f>IS!DP6</f>
        <v>12/20A</v>
      </c>
      <c r="CS6" s="4350" t="str">
        <f>IS!DQ6</f>
        <v>2020A</v>
      </c>
      <c r="CT6" s="34" t="str">
        <f>IS!DR6</f>
        <v>3/21A</v>
      </c>
      <c r="CU6" s="34" t="str">
        <f>IS!DS6</f>
        <v>6/21A</v>
      </c>
      <c r="CV6" s="34" t="str">
        <f>IS!DT6</f>
        <v>9/21A</v>
      </c>
      <c r="CW6" s="34" t="str">
        <f>IS!DU6</f>
        <v>12/21A</v>
      </c>
      <c r="CX6" s="34" t="str">
        <f>IS!DV6</f>
        <v>2021A</v>
      </c>
      <c r="CY6" s="34" t="str">
        <f>IS!DW6</f>
        <v>3/22A</v>
      </c>
      <c r="CZ6" s="34" t="str">
        <f>IS!DX6</f>
        <v>6/22A</v>
      </c>
      <c r="DA6" s="34" t="str">
        <f>IS!DY6</f>
        <v>9/22A</v>
      </c>
      <c r="DB6" s="34" t="str">
        <f>IS!DZ6</f>
        <v>12/22A</v>
      </c>
      <c r="DC6" s="34" t="str">
        <f>IS!EA6</f>
        <v>2022A</v>
      </c>
      <c r="DD6" s="34" t="str">
        <f>IS!EB6</f>
        <v>3/23A</v>
      </c>
      <c r="DE6" s="34" t="str">
        <f>IS!EC6</f>
        <v>6/23A</v>
      </c>
      <c r="DF6" s="34" t="str">
        <f>IS!ED6</f>
        <v>9/23A</v>
      </c>
      <c r="DG6" s="34" t="str">
        <f>IS!EE6</f>
        <v>12/23A</v>
      </c>
      <c r="DH6" s="34" t="str">
        <f>IS!EF6</f>
        <v>2023A</v>
      </c>
      <c r="DI6" s="34" t="str">
        <f>IS!EG6</f>
        <v>3/24A</v>
      </c>
      <c r="DJ6" s="34" t="str">
        <f>IS!EH6</f>
        <v>6/24A</v>
      </c>
      <c r="DK6" s="34" t="str">
        <f>IS!EI6</f>
        <v>9/24A</v>
      </c>
      <c r="DL6" s="34" t="str">
        <f>IS!EJ6</f>
        <v>12/24A</v>
      </c>
      <c r="DM6" s="34" t="str">
        <f>IS!EK6</f>
        <v>2024A</v>
      </c>
      <c r="DN6" s="34" t="str">
        <f>IS!EL6</f>
        <v>3/25A</v>
      </c>
      <c r="DO6" s="34" t="str">
        <f>IS!EM6</f>
        <v>6/25A</v>
      </c>
      <c r="DP6" s="34" t="str">
        <f>IS!EN6</f>
        <v>9/25A</v>
      </c>
      <c r="DQ6" s="34" t="str">
        <f>IS!EO6</f>
        <v>12/25E</v>
      </c>
      <c r="DR6" s="34" t="str">
        <f>IS!EP6</f>
        <v>2025E</v>
      </c>
      <c r="DS6" s="34" t="str">
        <f>IS!EQ6</f>
        <v>3/26E</v>
      </c>
      <c r="DT6" s="34" t="str">
        <f>IS!ER6</f>
        <v>6/26E</v>
      </c>
      <c r="DU6" s="34" t="str">
        <f>IS!ES6</f>
        <v>9/26E</v>
      </c>
      <c r="DV6" s="34" t="str">
        <f>IS!ET6</f>
        <v>12/26E</v>
      </c>
      <c r="DW6" s="34" t="str">
        <f>IS!EU6</f>
        <v>2026E</v>
      </c>
      <c r="DX6" s="34" t="str">
        <f>IS!EV6</f>
        <v>2027E</v>
      </c>
      <c r="DY6" s="34" t="str">
        <f>IS!EW6</f>
        <v>2028E</v>
      </c>
      <c r="DZ6" s="34" t="str">
        <f>IS!EX6</f>
        <v>2029E</v>
      </c>
      <c r="EA6" s="34" t="str">
        <f>IS!EY6</f>
        <v>2030E</v>
      </c>
      <c r="EC6" s="752" t="s">
        <v>1131</v>
      </c>
      <c r="ED6" s="752" t="s">
        <v>1132</v>
      </c>
    </row>
    <row r="7" spans="1:157" ht="11.25" customHeight="1">
      <c r="A7" s="3136" t="s">
        <v>64</v>
      </c>
      <c r="B7" s="3137"/>
      <c r="C7" s="3137"/>
      <c r="D7" s="3137"/>
      <c r="E7" s="3138"/>
      <c r="F7" s="3137"/>
      <c r="G7" s="3137"/>
      <c r="H7" s="3137"/>
      <c r="I7" s="3138"/>
      <c r="J7" s="3139"/>
      <c r="K7" s="3137"/>
      <c r="L7" s="3137"/>
      <c r="M7" s="3138"/>
      <c r="N7" s="3139"/>
      <c r="O7" s="3137"/>
      <c r="P7" s="3137"/>
      <c r="Q7" s="3138"/>
      <c r="R7" s="3137"/>
      <c r="S7" s="3137"/>
      <c r="T7" s="3137"/>
      <c r="U7" s="3138"/>
      <c r="V7" s="3140"/>
      <c r="W7" s="3141"/>
      <c r="X7" s="3141"/>
      <c r="Y7" s="3138"/>
      <c r="Z7" s="3141"/>
      <c r="AA7" s="3141"/>
      <c r="AB7" s="3141"/>
      <c r="AC7" s="3138"/>
      <c r="AD7" s="3140"/>
      <c r="AE7" s="3141"/>
      <c r="AF7" s="3141"/>
      <c r="AG7" s="3138"/>
      <c r="AH7" s="3141"/>
      <c r="AI7" s="3141"/>
      <c r="AJ7" s="3141"/>
      <c r="AK7" s="3138"/>
      <c r="AL7" s="3141"/>
      <c r="AM7" s="3141"/>
      <c r="AN7" s="3141"/>
      <c r="AO7" s="3138"/>
      <c r="AP7" s="3141"/>
      <c r="AQ7" s="3141"/>
      <c r="AR7" s="3141"/>
      <c r="AS7" s="3138"/>
      <c r="AT7" s="3141"/>
      <c r="AU7" s="3123"/>
      <c r="AV7" s="3141"/>
      <c r="AW7" s="3138"/>
      <c r="AX7" s="3141"/>
      <c r="AY7" s="3123"/>
      <c r="AZ7" s="3141"/>
      <c r="BA7" s="3138"/>
      <c r="BB7" s="3141"/>
      <c r="BC7" s="3142"/>
      <c r="BD7" s="3123"/>
      <c r="BE7" s="3138"/>
      <c r="BF7" s="3141"/>
      <c r="BG7" s="3142"/>
      <c r="BH7" s="3123"/>
      <c r="BI7" s="3142"/>
      <c r="BJ7" s="3143"/>
      <c r="BK7" s="3142"/>
      <c r="BL7" s="3142"/>
      <c r="BM7" s="3142"/>
      <c r="BN7" s="3138"/>
      <c r="BO7" s="3143"/>
      <c r="BP7" s="3142"/>
      <c r="BQ7" s="3144"/>
      <c r="BR7" s="3144"/>
      <c r="BS7" s="3138"/>
      <c r="BT7" s="3143"/>
      <c r="BU7" s="3142"/>
      <c r="BV7" s="3123"/>
      <c r="BW7" s="3123"/>
      <c r="BX7" s="3142"/>
      <c r="BY7" s="3143"/>
      <c r="BZ7" s="3142"/>
      <c r="CA7" s="3142"/>
      <c r="CB7" s="3142"/>
      <c r="CC7" s="3138"/>
      <c r="CD7" s="3143"/>
      <c r="CE7" s="3142"/>
      <c r="CF7" s="3142"/>
      <c r="CG7" s="3142"/>
      <c r="CH7" s="3138"/>
      <c r="CI7" s="3143"/>
      <c r="CJ7" s="3142"/>
      <c r="CK7" s="3142"/>
      <c r="CL7" s="3142"/>
      <c r="CM7" s="3138"/>
      <c r="CN7" s="4351"/>
      <c r="CO7" s="3142"/>
      <c r="CP7" s="3142"/>
      <c r="CQ7" s="3142"/>
      <c r="CR7" s="3138"/>
      <c r="CS7" s="4351"/>
      <c r="CT7" s="3142"/>
      <c r="CU7" s="3142"/>
      <c r="CV7" s="3142"/>
      <c r="CW7" s="3142"/>
      <c r="CX7" s="4351"/>
      <c r="CY7" s="3142"/>
      <c r="CZ7" s="3142"/>
      <c r="DA7" s="3142"/>
      <c r="DB7" s="3142"/>
      <c r="DC7" s="3145"/>
      <c r="DD7" s="3142"/>
      <c r="DE7" s="3142"/>
      <c r="DF7" s="3142"/>
      <c r="DG7" s="3142"/>
      <c r="DH7" s="3145"/>
      <c r="DI7" s="3142"/>
      <c r="DJ7" s="3142"/>
      <c r="DK7" s="3142"/>
      <c r="DL7" s="3142"/>
      <c r="DM7" s="3145"/>
      <c r="DN7" s="3142"/>
      <c r="DO7" s="3142"/>
      <c r="DP7" s="3142"/>
      <c r="DQ7" s="3142"/>
      <c r="DR7" s="3145"/>
      <c r="DS7" s="3142"/>
      <c r="DT7" s="3142"/>
      <c r="DU7" s="3142"/>
      <c r="DV7" s="3142"/>
      <c r="DW7" s="3145"/>
      <c r="DX7" s="3145"/>
      <c r="DY7" s="3145"/>
      <c r="DZ7" s="3145"/>
      <c r="EA7" s="3145"/>
      <c r="EC7" s="753"/>
      <c r="ED7" s="753"/>
    </row>
    <row r="8" spans="1:157" s="45" customFormat="1" ht="11.25" customHeight="1">
      <c r="A8" s="1597" t="s">
        <v>132</v>
      </c>
      <c r="B8" s="36"/>
      <c r="C8" s="36"/>
      <c r="D8" s="36"/>
      <c r="E8" s="1385"/>
      <c r="F8" s="36"/>
      <c r="G8" s="36"/>
      <c r="H8" s="37"/>
      <c r="I8" s="1385"/>
      <c r="J8" s="39"/>
      <c r="K8" s="37"/>
      <c r="L8" s="37"/>
      <c r="M8" s="1385"/>
      <c r="N8" s="39"/>
      <c r="O8" s="37"/>
      <c r="P8" s="37"/>
      <c r="Q8" s="1385">
        <v>57.752000000000002</v>
      </c>
      <c r="R8" s="37"/>
      <c r="S8" s="37"/>
      <c r="T8" s="37"/>
      <c r="U8" s="1385">
        <v>148.995</v>
      </c>
      <c r="V8" s="41">
        <v>251.35400000000001</v>
      </c>
      <c r="W8" s="42">
        <v>254.69800000000001</v>
      </c>
      <c r="X8" s="43">
        <v>344.46899999999999</v>
      </c>
      <c r="Y8" s="1385">
        <v>426.87299999999999</v>
      </c>
      <c r="Z8" s="43">
        <v>482.572</v>
      </c>
      <c r="AA8" s="43">
        <v>753.47199999999998</v>
      </c>
      <c r="AB8" s="43">
        <v>5518.5690000000004</v>
      </c>
      <c r="AC8" s="1385">
        <v>3877.174</v>
      </c>
      <c r="AD8" s="41">
        <v>2935.1790000000001</v>
      </c>
      <c r="AE8" s="43">
        <v>4015.922</v>
      </c>
      <c r="AF8" s="43">
        <v>3038.3409999999999</v>
      </c>
      <c r="AG8" s="1385">
        <v>3544.6709999999998</v>
      </c>
      <c r="AH8" s="41">
        <v>4081.34</v>
      </c>
      <c r="AI8" s="43">
        <v>4493.652</v>
      </c>
      <c r="AJ8" s="43">
        <v>5106.4040000000005</v>
      </c>
      <c r="AK8" s="1385">
        <v>6081.5929999999998</v>
      </c>
      <c r="AL8" s="41">
        <v>6519.7489999999998</v>
      </c>
      <c r="AM8" s="43">
        <f>CF!AH52</f>
        <v>7363.5350000000026</v>
      </c>
      <c r="AN8" s="43">
        <v>8370.4689999999991</v>
      </c>
      <c r="AO8" s="1385">
        <v>8656.6720000000005</v>
      </c>
      <c r="AP8" s="41">
        <v>10426.290999999999</v>
      </c>
      <c r="AQ8" s="43">
        <v>11911.351000000001</v>
      </c>
      <c r="AR8" s="43">
        <f>CF!AN52</f>
        <v>12087.114000000003</v>
      </c>
      <c r="AS8" s="1385">
        <f>CF!AO52</f>
        <v>10197.587000000001</v>
      </c>
      <c r="AT8" s="44">
        <v>9192</v>
      </c>
      <c r="AU8" s="44">
        <v>10713</v>
      </c>
      <c r="AV8" s="44">
        <v>11257</v>
      </c>
      <c r="AW8" s="1385">
        <v>13630</v>
      </c>
      <c r="AX8" s="44">
        <v>12415</v>
      </c>
      <c r="AY8" s="44">
        <v>10320</v>
      </c>
      <c r="AZ8" s="44">
        <v>10630</v>
      </c>
      <c r="BA8" s="1385">
        <v>9983</v>
      </c>
      <c r="BB8" s="44">
        <v>23108</v>
      </c>
      <c r="BC8" s="44">
        <v>15437</v>
      </c>
      <c r="BD8" s="44">
        <v>16260</v>
      </c>
      <c r="BE8" s="1385">
        <v>14778</v>
      </c>
      <c r="BF8" s="652">
        <v>15375</v>
      </c>
      <c r="BG8" s="652">
        <v>16164</v>
      </c>
      <c r="BH8" s="652">
        <v>15242</v>
      </c>
      <c r="BI8" s="652">
        <v>18898</v>
      </c>
      <c r="BJ8" s="1255">
        <f>BI8</f>
        <v>18898</v>
      </c>
      <c r="BK8" s="652">
        <v>16639</v>
      </c>
      <c r="BL8" s="652">
        <v>19620</v>
      </c>
      <c r="BM8" s="652">
        <v>15605</v>
      </c>
      <c r="BN8" s="1385">
        <v>18347</v>
      </c>
      <c r="BO8" s="1255">
        <f>BN8</f>
        <v>18347</v>
      </c>
      <c r="BP8" s="652">
        <v>16976</v>
      </c>
      <c r="BQ8" s="652">
        <v>18453</v>
      </c>
      <c r="BR8" s="652">
        <v>18068</v>
      </c>
      <c r="BS8" s="1385">
        <v>16549</v>
      </c>
      <c r="BT8" s="1255">
        <f>BS8</f>
        <v>16549</v>
      </c>
      <c r="BU8" s="821">
        <v>15111</v>
      </c>
      <c r="BV8" s="656">
        <v>13627</v>
      </c>
      <c r="BW8" s="656">
        <v>9406</v>
      </c>
      <c r="BX8" s="656">
        <v>12918</v>
      </c>
      <c r="BY8" s="1255">
        <f>BX8</f>
        <v>12918</v>
      </c>
      <c r="BZ8" s="656">
        <v>18132</v>
      </c>
      <c r="CA8" s="656">
        <v>15711</v>
      </c>
      <c r="CB8" s="656">
        <v>10581</v>
      </c>
      <c r="CC8" s="1390">
        <v>10715</v>
      </c>
      <c r="CD8" s="687">
        <f>CC8</f>
        <v>10715</v>
      </c>
      <c r="CE8" s="656">
        <v>12658</v>
      </c>
      <c r="CF8" s="656">
        <v>14148</v>
      </c>
      <c r="CG8" s="656">
        <v>13443</v>
      </c>
      <c r="CH8" s="656">
        <v>16701</v>
      </c>
      <c r="CI8" s="687">
        <f>CH8</f>
        <v>16701</v>
      </c>
      <c r="CJ8" s="656">
        <v>19148</v>
      </c>
      <c r="CK8" s="656">
        <v>16587</v>
      </c>
      <c r="CL8" s="656">
        <v>16032</v>
      </c>
      <c r="CM8" s="656">
        <v>18498</v>
      </c>
      <c r="CN8" s="4352">
        <f>CM8</f>
        <v>18498</v>
      </c>
      <c r="CO8" s="656">
        <v>19644</v>
      </c>
      <c r="CP8" s="226">
        <f>CF!CP52</f>
        <v>17742</v>
      </c>
      <c r="CQ8" s="226">
        <f>CF!CQ52</f>
        <v>20129</v>
      </c>
      <c r="CR8" s="226">
        <f>CF!CR52</f>
        <v>26465</v>
      </c>
      <c r="CS8" s="4352">
        <f>CR8</f>
        <v>26465</v>
      </c>
      <c r="CT8" s="226">
        <f>CF!CT52</f>
        <v>26622</v>
      </c>
      <c r="CU8" s="226">
        <f>CF!CU52</f>
        <v>23630</v>
      </c>
      <c r="CV8" s="226">
        <f>CF!CV52</f>
        <v>23719</v>
      </c>
      <c r="CW8" s="226">
        <f>CF!CW52</f>
        <v>20945</v>
      </c>
      <c r="CX8" s="4352">
        <f>CW8</f>
        <v>20945</v>
      </c>
      <c r="CY8" s="226">
        <f>CF!CY52</f>
        <v>20886</v>
      </c>
      <c r="CZ8" s="226">
        <f>CF!CZ52</f>
        <v>17936</v>
      </c>
      <c r="DA8" s="226">
        <f>CF!DA52</f>
        <v>21984</v>
      </c>
      <c r="DB8" s="226">
        <f>CF!DB52</f>
        <v>21879</v>
      </c>
      <c r="DC8" s="4506">
        <f t="shared" ref="DC8:DC15" si="0">DB8</f>
        <v>21879</v>
      </c>
      <c r="DD8" s="226">
        <f>CF!DD52</f>
        <v>25924</v>
      </c>
      <c r="DE8" s="226">
        <f>CF!DE52</f>
        <v>25929</v>
      </c>
      <c r="DF8" s="226">
        <f>CF!DF52</f>
        <v>30702</v>
      </c>
      <c r="DG8" s="226">
        <f>CF!DG52</f>
        <v>24048</v>
      </c>
      <c r="DH8" s="4506">
        <f t="shared" ref="DH8:DH15" si="1">DG8</f>
        <v>24048</v>
      </c>
      <c r="DI8" s="226">
        <f>CF!DI52</f>
        <v>24493</v>
      </c>
      <c r="DJ8" s="226">
        <f>CF!DJ52</f>
        <v>27225</v>
      </c>
      <c r="DK8" s="226">
        <f>CF!DK52</f>
        <v>19959</v>
      </c>
      <c r="DL8" s="226">
        <f>CF!DL52</f>
        <v>23466</v>
      </c>
      <c r="DM8" s="4506">
        <f t="shared" ref="DM8:DM15" si="2">DL8</f>
        <v>23466</v>
      </c>
      <c r="DN8" s="226">
        <f>CF!DN52</f>
        <v>23264</v>
      </c>
      <c r="DO8" s="226">
        <f>CF!DO52</f>
        <v>21036</v>
      </c>
      <c r="DP8" s="226">
        <f>CF!DP52</f>
        <v>23090</v>
      </c>
      <c r="DQ8" s="226">
        <f ca="1">CF!DQ52</f>
        <v>22942.482682274775</v>
      </c>
      <c r="DR8" s="4506">
        <f t="shared" ref="DR8:DR15" ca="1" si="3">DQ8</f>
        <v>22942.482682274775</v>
      </c>
      <c r="DS8" s="226">
        <f ca="1">CF!DS52</f>
        <v>20694.156031030932</v>
      </c>
      <c r="DT8" s="226">
        <f ca="1">CF!DT52</f>
        <v>23079.739523234366</v>
      </c>
      <c r="DU8" s="226">
        <f ca="1">CF!DU52</f>
        <v>23901.291153039532</v>
      </c>
      <c r="DV8" s="226">
        <f ca="1">CF!DV52</f>
        <v>25146.215656951961</v>
      </c>
      <c r="DW8" s="4506">
        <f t="shared" ref="DW8:DW15" ca="1" si="4">DV8</f>
        <v>25146.215656951961</v>
      </c>
      <c r="DX8" s="4506">
        <f ca="1">CF!DX52</f>
        <v>19592.80529171518</v>
      </c>
      <c r="DY8" s="4506">
        <f ca="1">CF!DY52</f>
        <v>19169.471246096873</v>
      </c>
      <c r="DZ8" s="4506">
        <f ca="1">CF!DZ52</f>
        <v>31463.733981887941</v>
      </c>
      <c r="EA8" s="4506">
        <f ca="1">CF!EA52</f>
        <v>60748.505215817611</v>
      </c>
      <c r="EC8" s="6197">
        <f ca="1">(DX8/DM8)^(1/3)-1</f>
        <v>-5.835793276623491E-2</v>
      </c>
      <c r="ED8" s="6197">
        <f ca="1">(DZ8/DM8)^(1/5)-1</f>
        <v>6.0411036328800627E-2</v>
      </c>
    </row>
    <row r="9" spans="1:157" s="45" customFormat="1" ht="11.25" customHeight="1">
      <c r="A9" s="1597" t="s">
        <v>771</v>
      </c>
      <c r="B9" s="36"/>
      <c r="C9" s="36"/>
      <c r="D9" s="36"/>
      <c r="E9" s="1386"/>
      <c r="F9" s="36"/>
      <c r="G9" s="36"/>
      <c r="H9" s="37"/>
      <c r="I9" s="1386"/>
      <c r="J9" s="39"/>
      <c r="K9" s="37"/>
      <c r="L9" s="37"/>
      <c r="M9" s="1386"/>
      <c r="N9" s="39"/>
      <c r="O9" s="37"/>
      <c r="P9" s="37"/>
      <c r="Q9" s="1386">
        <v>88.578999999999994</v>
      </c>
      <c r="R9" s="37"/>
      <c r="S9" s="37"/>
      <c r="T9" s="37"/>
      <c r="U9" s="1386">
        <v>185.72300000000001</v>
      </c>
      <c r="V9" s="41">
        <v>203.53399999999999</v>
      </c>
      <c r="W9" s="42">
        <v>293.98899999999998</v>
      </c>
      <c r="X9" s="43">
        <v>1513.8869999999999</v>
      </c>
      <c r="Y9" s="1386">
        <v>1705.424</v>
      </c>
      <c r="Z9" s="41">
        <v>2024.7260000000001</v>
      </c>
      <c r="AA9" s="43">
        <v>2194.4949999999999</v>
      </c>
      <c r="AB9" s="43">
        <v>2111.578</v>
      </c>
      <c r="AC9" s="1386">
        <v>4157.0730000000003</v>
      </c>
      <c r="AD9" s="41">
        <v>5493.8490000000002</v>
      </c>
      <c r="AE9" s="43">
        <v>5805.71</v>
      </c>
      <c r="AF9" s="43">
        <v>7390.3739999999998</v>
      </c>
      <c r="AG9" s="1386">
        <v>7699.2430000000004</v>
      </c>
      <c r="AH9" s="47">
        <v>7854.5789999999997</v>
      </c>
      <c r="AI9" s="47">
        <v>8009.8829999999998</v>
      </c>
      <c r="AJ9" s="47">
        <v>7980.9409999999998</v>
      </c>
      <c r="AK9" s="1386">
        <v>8137.02</v>
      </c>
      <c r="AL9" s="47">
        <v>5614.7592999999997</v>
      </c>
      <c r="AM9" s="47">
        <v>5370.1329999999998</v>
      </c>
      <c r="AN9" s="47">
        <v>6042.14</v>
      </c>
      <c r="AO9" s="1386">
        <v>7189.0990000000002</v>
      </c>
      <c r="AP9" s="47">
        <v>7358.6419999999998</v>
      </c>
      <c r="AQ9" s="47">
        <v>7432.6549999999997</v>
      </c>
      <c r="AR9" s="47">
        <v>9907.2759999999998</v>
      </c>
      <c r="AS9" s="1386">
        <v>14287.187</v>
      </c>
      <c r="AT9" s="48">
        <v>17322</v>
      </c>
      <c r="AU9" s="48">
        <v>19346</v>
      </c>
      <c r="AV9" s="48">
        <v>22123</v>
      </c>
      <c r="AW9" s="1386">
        <v>21345</v>
      </c>
      <c r="AX9" s="48">
        <v>24260</v>
      </c>
      <c r="AY9" s="48">
        <v>28798</v>
      </c>
      <c r="AZ9" s="48">
        <v>31930</v>
      </c>
      <c r="BA9" s="1386">
        <v>34643</v>
      </c>
      <c r="BB9" s="48">
        <v>26208</v>
      </c>
      <c r="BC9" s="48">
        <v>27685</v>
      </c>
      <c r="BD9" s="48">
        <v>29464</v>
      </c>
      <c r="BE9" s="1386">
        <v>33310</v>
      </c>
      <c r="BF9" s="653">
        <v>34723</v>
      </c>
      <c r="BG9" s="653">
        <v>38268</v>
      </c>
      <c r="BH9" s="653">
        <v>41281</v>
      </c>
      <c r="BI9" s="653">
        <v>39819</v>
      </c>
      <c r="BJ9" s="1265">
        <f t="shared" ref="BJ9:BJ15" si="5">BI9</f>
        <v>39819</v>
      </c>
      <c r="BK9" s="654">
        <v>42740</v>
      </c>
      <c r="BL9" s="653">
        <v>41584</v>
      </c>
      <c r="BM9" s="653">
        <v>46552</v>
      </c>
      <c r="BN9" s="1386">
        <v>46048</v>
      </c>
      <c r="BO9" s="1265">
        <f t="shared" ref="BO9:BO15" si="6">BN9</f>
        <v>46048</v>
      </c>
      <c r="BP9" s="654">
        <v>48460</v>
      </c>
      <c r="BQ9" s="653">
        <v>51327</v>
      </c>
      <c r="BR9" s="653">
        <v>54699</v>
      </c>
      <c r="BS9" s="1386">
        <v>56517</v>
      </c>
      <c r="BT9" s="1265">
        <f t="shared" ref="BT9:BT15" si="7">BS9</f>
        <v>56517</v>
      </c>
      <c r="BU9" s="826">
        <v>60153</v>
      </c>
      <c r="BV9" s="653">
        <v>64833</v>
      </c>
      <c r="BW9" s="653">
        <v>73650</v>
      </c>
      <c r="BX9" s="653">
        <v>73415</v>
      </c>
      <c r="BY9" s="1265">
        <f t="shared" ref="BY9:BY15" si="8">BX9</f>
        <v>73415</v>
      </c>
      <c r="BZ9" s="653">
        <v>74307</v>
      </c>
      <c r="CA9" s="653">
        <v>79002</v>
      </c>
      <c r="CB9" s="653">
        <v>89562</v>
      </c>
      <c r="CC9" s="1386">
        <v>91156</v>
      </c>
      <c r="CD9" s="688">
        <f t="shared" ref="CD9:CD15" si="9">CC9</f>
        <v>91156</v>
      </c>
      <c r="CE9" s="653">
        <v>90227</v>
      </c>
      <c r="CF9" s="653">
        <v>88106</v>
      </c>
      <c r="CG9" s="653">
        <v>92973</v>
      </c>
      <c r="CH9" s="653">
        <v>92439</v>
      </c>
      <c r="CI9" s="688">
        <f t="shared" ref="CI9:CI15" si="10">CH9</f>
        <v>92439</v>
      </c>
      <c r="CJ9" s="653">
        <v>94340</v>
      </c>
      <c r="CK9" s="653">
        <v>104469</v>
      </c>
      <c r="CL9" s="653">
        <v>105145</v>
      </c>
      <c r="CM9" s="653">
        <v>101177</v>
      </c>
      <c r="CN9" s="4353">
        <f t="shared" ref="CN9:CN15" si="11">CM9</f>
        <v>101177</v>
      </c>
      <c r="CO9" s="653">
        <v>97585</v>
      </c>
      <c r="CP9" s="653">
        <v>103338</v>
      </c>
      <c r="CQ9" s="653">
        <v>112467</v>
      </c>
      <c r="CR9" s="653">
        <v>110229</v>
      </c>
      <c r="CS9" s="4353">
        <f t="shared" ref="CS9:CS15" si="12">CR9</f>
        <v>110229</v>
      </c>
      <c r="CT9" s="653">
        <v>108482</v>
      </c>
      <c r="CU9" s="653">
        <v>112233</v>
      </c>
      <c r="CV9" s="653">
        <v>118284</v>
      </c>
      <c r="CW9" s="653">
        <v>118704</v>
      </c>
      <c r="CX9" s="4353">
        <f t="shared" ref="CX9:CX15" si="13">CW9</f>
        <v>118704</v>
      </c>
      <c r="CY9" s="653">
        <v>113084</v>
      </c>
      <c r="CZ9" s="653">
        <v>107061</v>
      </c>
      <c r="DA9" s="653">
        <v>94275</v>
      </c>
      <c r="DB9" s="653">
        <v>91883</v>
      </c>
      <c r="DC9" s="688">
        <f t="shared" si="0"/>
        <v>91883</v>
      </c>
      <c r="DD9" s="653">
        <v>89178</v>
      </c>
      <c r="DE9" s="653">
        <v>92403</v>
      </c>
      <c r="DF9" s="653">
        <v>89233</v>
      </c>
      <c r="DG9" s="653">
        <v>86868</v>
      </c>
      <c r="DH9" s="688">
        <f t="shared" si="1"/>
        <v>86868</v>
      </c>
      <c r="DI9" s="653">
        <v>83597</v>
      </c>
      <c r="DJ9" s="653">
        <v>73500</v>
      </c>
      <c r="DK9" s="653">
        <v>73271</v>
      </c>
      <c r="DL9" s="653">
        <v>72191</v>
      </c>
      <c r="DM9" s="688">
        <f t="shared" si="2"/>
        <v>72191</v>
      </c>
      <c r="DN9" s="653">
        <v>72064</v>
      </c>
      <c r="DO9" s="653">
        <v>74112</v>
      </c>
      <c r="DP9" s="653">
        <v>75406</v>
      </c>
      <c r="DQ9" s="670">
        <f>DP9-CF!DQ25</f>
        <v>75406</v>
      </c>
      <c r="DR9" s="688">
        <f t="shared" si="3"/>
        <v>75406</v>
      </c>
      <c r="DS9" s="670">
        <f>DR9-CF!DS25</f>
        <v>75406</v>
      </c>
      <c r="DT9" s="670">
        <f>DS9-CF!DT25</f>
        <v>55406</v>
      </c>
      <c r="DU9" s="670">
        <f>DT9-CF!DU25</f>
        <v>55406</v>
      </c>
      <c r="DV9" s="670">
        <f>DU9-CF!DV25</f>
        <v>55406</v>
      </c>
      <c r="DW9" s="688">
        <f t="shared" si="4"/>
        <v>55406</v>
      </c>
      <c r="DX9" s="688">
        <f>DW9-CF!DX25</f>
        <v>45406</v>
      </c>
      <c r="DY9" s="688">
        <f>DX9-CF!DY25</f>
        <v>45406</v>
      </c>
      <c r="DZ9" s="688">
        <f>DY9-CF!DZ25</f>
        <v>45406</v>
      </c>
      <c r="EA9" s="688">
        <f>DZ9-CF!EA25</f>
        <v>45406</v>
      </c>
      <c r="EC9" s="6197">
        <f>(DX9/DM9)^(1/3)-1</f>
        <v>-0.14320538352538459</v>
      </c>
      <c r="ED9" s="6197">
        <f>(DZ9/DM9)^(1/5)-1</f>
        <v>-8.8564295884116406E-2</v>
      </c>
    </row>
    <row r="10" spans="1:157" s="45" customFormat="1" ht="11.25" customHeight="1">
      <c r="A10" s="1597" t="s">
        <v>65</v>
      </c>
      <c r="B10" s="36"/>
      <c r="C10" s="36"/>
      <c r="D10" s="36"/>
      <c r="E10" s="1385"/>
      <c r="F10" s="36"/>
      <c r="G10" s="36"/>
      <c r="H10" s="37"/>
      <c r="I10" s="1385"/>
      <c r="J10" s="39"/>
      <c r="K10" s="37"/>
      <c r="L10" s="37"/>
      <c r="M10" s="1385"/>
      <c r="N10" s="39"/>
      <c r="O10" s="37"/>
      <c r="P10" s="37"/>
      <c r="Q10" s="1385">
        <v>61.994</v>
      </c>
      <c r="R10" s="37"/>
      <c r="S10" s="37"/>
      <c r="T10" s="37"/>
      <c r="U10" s="1385">
        <v>154.69</v>
      </c>
      <c r="V10" s="41">
        <v>179.505</v>
      </c>
      <c r="W10" s="43">
        <v>191.18700000000001</v>
      </c>
      <c r="X10" s="43">
        <v>233.05699999999999</v>
      </c>
      <c r="Y10" s="1385">
        <v>311.83600000000001</v>
      </c>
      <c r="Z10" s="43">
        <v>371.90499999999997</v>
      </c>
      <c r="AA10" s="43">
        <v>419.238</v>
      </c>
      <c r="AB10" s="43">
        <v>541.81500000000005</v>
      </c>
      <c r="AC10" s="1385">
        <v>687.976</v>
      </c>
      <c r="AD10" s="41">
        <v>844.37800000000004</v>
      </c>
      <c r="AE10" s="43">
        <v>885.08799999999997</v>
      </c>
      <c r="AF10" s="43">
        <v>1031.0550000000001</v>
      </c>
      <c r="AG10" s="1385">
        <v>1322.34</v>
      </c>
      <c r="AH10" s="41">
        <v>1477.09</v>
      </c>
      <c r="AI10" s="43">
        <v>1648.68</v>
      </c>
      <c r="AJ10" s="43">
        <v>1887.86</v>
      </c>
      <c r="AK10" s="1385">
        <v>2162.5210000000002</v>
      </c>
      <c r="AL10" s="41">
        <v>2560.9090000000001</v>
      </c>
      <c r="AM10" s="43">
        <v>2641.9009999999998</v>
      </c>
      <c r="AN10" s="43">
        <v>2541.4920000000002</v>
      </c>
      <c r="AO10" s="1385">
        <v>2642.192</v>
      </c>
      <c r="AP10" s="43">
        <v>2543.105</v>
      </c>
      <c r="AQ10" s="43">
        <v>2701.9119999999998</v>
      </c>
      <c r="AR10" s="43">
        <v>2807.3409999999999</v>
      </c>
      <c r="AS10" s="1385">
        <v>3178.471</v>
      </c>
      <c r="AT10" s="44">
        <v>3084</v>
      </c>
      <c r="AU10" s="44">
        <v>3308</v>
      </c>
      <c r="AV10" s="44">
        <v>3616</v>
      </c>
      <c r="AW10" s="1385">
        <v>4252</v>
      </c>
      <c r="AX10" s="44">
        <v>4216</v>
      </c>
      <c r="AY10" s="44">
        <v>4476</v>
      </c>
      <c r="AZ10" s="44">
        <v>4583</v>
      </c>
      <c r="BA10" s="1385">
        <v>5427</v>
      </c>
      <c r="BB10" s="44">
        <v>5163</v>
      </c>
      <c r="BC10" s="44">
        <v>6866</v>
      </c>
      <c r="BD10" s="44">
        <v>7259</v>
      </c>
      <c r="BE10" s="1385">
        <v>7885</v>
      </c>
      <c r="BF10" s="652">
        <v>7612</v>
      </c>
      <c r="BG10" s="652">
        <v>7321</v>
      </c>
      <c r="BH10" s="652">
        <v>7921</v>
      </c>
      <c r="BI10" s="652">
        <v>8882</v>
      </c>
      <c r="BJ10" s="1254">
        <f t="shared" si="5"/>
        <v>8882</v>
      </c>
      <c r="BK10" s="652">
        <v>7827</v>
      </c>
      <c r="BL10" s="652">
        <v>8321</v>
      </c>
      <c r="BM10" s="652">
        <v>8237</v>
      </c>
      <c r="BN10" s="1385">
        <v>9383</v>
      </c>
      <c r="BO10" s="1254">
        <f t="shared" si="6"/>
        <v>9383</v>
      </c>
      <c r="BP10" s="652">
        <v>8584</v>
      </c>
      <c r="BQ10" s="652">
        <v>9394</v>
      </c>
      <c r="BR10" s="652">
        <v>9749</v>
      </c>
      <c r="BS10" s="1385">
        <v>11556</v>
      </c>
      <c r="BT10" s="1254">
        <f t="shared" si="7"/>
        <v>11556</v>
      </c>
      <c r="BU10" s="822">
        <v>10818</v>
      </c>
      <c r="BV10" s="652">
        <v>11686</v>
      </c>
      <c r="BW10" s="652">
        <v>11979</v>
      </c>
      <c r="BX10" s="652">
        <v>14137</v>
      </c>
      <c r="BY10" s="1254">
        <f t="shared" si="8"/>
        <v>14137</v>
      </c>
      <c r="BZ10" s="652">
        <v>12913</v>
      </c>
      <c r="CA10" s="652">
        <v>14003</v>
      </c>
      <c r="CB10" s="652">
        <v>15295</v>
      </c>
      <c r="CC10" s="1385">
        <v>18336</v>
      </c>
      <c r="CD10" s="687">
        <f t="shared" si="9"/>
        <v>18336</v>
      </c>
      <c r="CE10" s="652">
        <v>16777</v>
      </c>
      <c r="CF10" s="652">
        <v>17043</v>
      </c>
      <c r="CG10" s="652">
        <v>17897</v>
      </c>
      <c r="CH10" s="652">
        <v>20838</v>
      </c>
      <c r="CI10" s="687">
        <f t="shared" si="10"/>
        <v>20838</v>
      </c>
      <c r="CJ10" s="652">
        <v>19149</v>
      </c>
      <c r="CK10" s="652">
        <v>20965</v>
      </c>
      <c r="CL10" s="652">
        <v>20889</v>
      </c>
      <c r="CM10" s="652">
        <v>25326</v>
      </c>
      <c r="CN10" s="4352">
        <f t="shared" si="11"/>
        <v>25326</v>
      </c>
      <c r="CO10" s="652">
        <v>21825</v>
      </c>
      <c r="CP10" s="652">
        <v>21201</v>
      </c>
      <c r="CQ10" s="652">
        <v>24925</v>
      </c>
      <c r="CR10" s="652">
        <v>30930</v>
      </c>
      <c r="CS10" s="4352">
        <f t="shared" si="12"/>
        <v>30930</v>
      </c>
      <c r="CT10" s="652">
        <v>28006</v>
      </c>
      <c r="CU10" s="652">
        <v>31967</v>
      </c>
      <c r="CV10" s="652">
        <v>34047</v>
      </c>
      <c r="CW10" s="652">
        <v>39304</v>
      </c>
      <c r="CX10" s="4352">
        <f t="shared" si="13"/>
        <v>39304</v>
      </c>
      <c r="CY10" s="652">
        <v>34703</v>
      </c>
      <c r="CZ10" s="652">
        <v>35707</v>
      </c>
      <c r="DA10" s="652">
        <v>34697</v>
      </c>
      <c r="DB10" s="652">
        <v>40258</v>
      </c>
      <c r="DC10" s="687">
        <f t="shared" si="0"/>
        <v>40258</v>
      </c>
      <c r="DD10" s="652">
        <v>36036</v>
      </c>
      <c r="DE10" s="652">
        <v>38804</v>
      </c>
      <c r="DF10" s="652">
        <v>41020</v>
      </c>
      <c r="DG10" s="652">
        <v>47964</v>
      </c>
      <c r="DH10" s="687">
        <f t="shared" si="1"/>
        <v>47964</v>
      </c>
      <c r="DI10" s="652">
        <v>44552</v>
      </c>
      <c r="DJ10" s="652">
        <v>47087</v>
      </c>
      <c r="DK10" s="652">
        <v>49104</v>
      </c>
      <c r="DL10" s="652">
        <v>52340</v>
      </c>
      <c r="DM10" s="687">
        <f t="shared" si="2"/>
        <v>52340</v>
      </c>
      <c r="DN10" s="652">
        <v>51000</v>
      </c>
      <c r="DO10" s="652">
        <v>55048</v>
      </c>
      <c r="DP10" s="652">
        <v>57148</v>
      </c>
      <c r="DQ10" s="537">
        <f t="shared" ref="DQ10" si="14">DQ81</f>
        <v>61552.956490075601</v>
      </c>
      <c r="DR10" s="687">
        <f t="shared" si="3"/>
        <v>61552.956490075601</v>
      </c>
      <c r="DS10" s="537">
        <f t="shared" ref="DS10:DV10" si="15">DS81</f>
        <v>60597.576393886251</v>
      </c>
      <c r="DT10" s="537">
        <f t="shared" si="15"/>
        <v>65149.413834420688</v>
      </c>
      <c r="DU10" s="537">
        <f t="shared" si="15"/>
        <v>67111.368589533959</v>
      </c>
      <c r="DV10" s="537">
        <f t="shared" si="15"/>
        <v>72407.32038663105</v>
      </c>
      <c r="DW10" s="687">
        <f t="shared" si="4"/>
        <v>72407.32038663105</v>
      </c>
      <c r="DX10" s="687">
        <f>DX81</f>
        <v>82697.390885983623</v>
      </c>
      <c r="DY10" s="687">
        <f>DY81</f>
        <v>93159.566282256666</v>
      </c>
      <c r="DZ10" s="687">
        <f>DZ81</f>
        <v>103585.58880961845</v>
      </c>
      <c r="EA10" s="687">
        <f>EA81</f>
        <v>114432.47168893351</v>
      </c>
      <c r="EC10" s="755"/>
      <c r="ED10" s="755"/>
    </row>
    <row r="11" spans="1:157" s="45" customFormat="1" ht="11.25" customHeight="1">
      <c r="A11" s="1597" t="s">
        <v>234</v>
      </c>
      <c r="B11" s="36"/>
      <c r="C11" s="36"/>
      <c r="D11" s="36"/>
      <c r="E11" s="1387"/>
      <c r="F11" s="36"/>
      <c r="G11" s="36"/>
      <c r="H11" s="37"/>
      <c r="I11" s="1387"/>
      <c r="J11" s="39"/>
      <c r="K11" s="37"/>
      <c r="L11" s="37"/>
      <c r="M11" s="1387"/>
      <c r="N11" s="39"/>
      <c r="O11" s="37"/>
      <c r="P11" s="37"/>
      <c r="Q11" s="1387">
        <v>0</v>
      </c>
      <c r="R11" s="37"/>
      <c r="S11" s="37"/>
      <c r="T11" s="37"/>
      <c r="U11" s="1387">
        <v>0</v>
      </c>
      <c r="V11" s="41">
        <v>0</v>
      </c>
      <c r="W11" s="43">
        <v>45.046999999999997</v>
      </c>
      <c r="X11" s="43">
        <v>115.07</v>
      </c>
      <c r="Y11" s="1387">
        <v>70.509</v>
      </c>
      <c r="Z11" s="41">
        <v>70.027000000000001</v>
      </c>
      <c r="AA11" s="43">
        <v>72.766000000000005</v>
      </c>
      <c r="AB11" s="47">
        <v>0</v>
      </c>
      <c r="AC11" s="1387">
        <v>0</v>
      </c>
      <c r="AD11" s="50">
        <v>0</v>
      </c>
      <c r="AE11" s="47">
        <v>0</v>
      </c>
      <c r="AF11" s="47">
        <v>0</v>
      </c>
      <c r="AG11" s="1387">
        <v>0</v>
      </c>
      <c r="AH11" s="47">
        <v>0</v>
      </c>
      <c r="AI11" s="47">
        <v>0</v>
      </c>
      <c r="AJ11" s="47">
        <f>AI11</f>
        <v>0</v>
      </c>
      <c r="AK11" s="1387">
        <v>145.25299999999999</v>
      </c>
      <c r="AL11" s="47">
        <v>0</v>
      </c>
      <c r="AM11" s="47">
        <v>0</v>
      </c>
      <c r="AN11" s="47">
        <v>0</v>
      </c>
      <c r="AO11" s="1387">
        <v>0</v>
      </c>
      <c r="AP11" s="47">
        <f>AO11</f>
        <v>0</v>
      </c>
      <c r="AQ11" s="47">
        <f>145.843</f>
        <v>145.84299999999999</v>
      </c>
      <c r="AR11" s="51">
        <v>72.263000000000005</v>
      </c>
      <c r="AS11" s="1387">
        <v>23.244</v>
      </c>
      <c r="AT11" s="53">
        <v>0</v>
      </c>
      <c r="AU11" s="53">
        <v>309</v>
      </c>
      <c r="AV11" s="53">
        <v>228</v>
      </c>
      <c r="AW11" s="1387">
        <v>0</v>
      </c>
      <c r="AX11" s="53">
        <v>27</v>
      </c>
      <c r="AY11" s="53">
        <v>347</v>
      </c>
      <c r="AZ11" s="53">
        <v>133</v>
      </c>
      <c r="BA11" s="1387">
        <v>0</v>
      </c>
      <c r="BB11" s="53">
        <v>0</v>
      </c>
      <c r="BC11" s="53">
        <v>0</v>
      </c>
      <c r="BD11" s="53">
        <v>0</v>
      </c>
      <c r="BE11" s="1387">
        <v>0</v>
      </c>
      <c r="BF11" s="654">
        <v>358</v>
      </c>
      <c r="BG11" s="654">
        <v>72</v>
      </c>
      <c r="BH11" s="654">
        <v>571</v>
      </c>
      <c r="BI11" s="654">
        <v>408</v>
      </c>
      <c r="BJ11" s="1260">
        <f>BI11</f>
        <v>408</v>
      </c>
      <c r="BK11" s="653">
        <v>544</v>
      </c>
      <c r="BL11" s="654">
        <v>1118</v>
      </c>
      <c r="BM11" s="654">
        <v>957</v>
      </c>
      <c r="BN11" s="1387">
        <v>1298</v>
      </c>
      <c r="BO11" s="1260">
        <f>BN11</f>
        <v>1298</v>
      </c>
      <c r="BP11" s="653">
        <v>901</v>
      </c>
      <c r="BQ11" s="83">
        <v>0</v>
      </c>
      <c r="BR11" s="528">
        <v>287</v>
      </c>
      <c r="BS11" s="1387">
        <v>1903</v>
      </c>
      <c r="BT11" s="1260">
        <f>BS11</f>
        <v>1903</v>
      </c>
      <c r="BU11" s="827">
        <v>1804</v>
      </c>
      <c r="BV11" s="528">
        <v>576</v>
      </c>
      <c r="BW11" s="528">
        <v>416</v>
      </c>
      <c r="BX11" s="528">
        <v>95</v>
      </c>
      <c r="BY11" s="1260">
        <f>BX11</f>
        <v>95</v>
      </c>
      <c r="BZ11" s="528">
        <v>56</v>
      </c>
      <c r="CA11" s="528">
        <v>874</v>
      </c>
      <c r="CB11" s="528">
        <v>282</v>
      </c>
      <c r="CC11" s="1395">
        <v>369</v>
      </c>
      <c r="CD11" s="701">
        <f>CC11</f>
        <v>369</v>
      </c>
      <c r="CE11" s="528">
        <v>37</v>
      </c>
      <c r="CF11" s="528">
        <v>201</v>
      </c>
      <c r="CG11" s="528">
        <v>170</v>
      </c>
      <c r="CH11" s="528">
        <v>355</v>
      </c>
      <c r="CI11" s="701">
        <f>CH11</f>
        <v>355</v>
      </c>
      <c r="CJ11" s="528">
        <v>111</v>
      </c>
      <c r="CK11" s="528">
        <v>352</v>
      </c>
      <c r="CL11" s="528">
        <v>192</v>
      </c>
      <c r="CM11" s="528">
        <v>2166</v>
      </c>
      <c r="CN11" s="4353">
        <f>CM11</f>
        <v>2166</v>
      </c>
      <c r="CO11" s="654">
        <v>1910</v>
      </c>
      <c r="CP11" s="654">
        <v>394</v>
      </c>
      <c r="CQ11" s="654">
        <v>588</v>
      </c>
      <c r="CR11" s="654">
        <v>454</v>
      </c>
      <c r="CS11" s="4353">
        <f>CR11</f>
        <v>454</v>
      </c>
      <c r="CT11" s="654">
        <v>493</v>
      </c>
      <c r="CU11" s="654">
        <v>884</v>
      </c>
      <c r="CV11" s="654">
        <v>753</v>
      </c>
      <c r="CW11" s="654">
        <v>966</v>
      </c>
      <c r="CX11" s="4353">
        <f>CW11</f>
        <v>966</v>
      </c>
      <c r="CY11" s="654">
        <v>919</v>
      </c>
      <c r="CZ11" s="654">
        <v>1366</v>
      </c>
      <c r="DA11" s="654">
        <v>1479</v>
      </c>
      <c r="DB11" s="654">
        <v>0</v>
      </c>
      <c r="DC11" s="688">
        <f t="shared" si="0"/>
        <v>0</v>
      </c>
      <c r="DD11" s="654">
        <v>0</v>
      </c>
      <c r="DE11" s="654">
        <v>0</v>
      </c>
      <c r="DF11" s="654">
        <v>0</v>
      </c>
      <c r="DG11" s="654">
        <v>0</v>
      </c>
      <c r="DH11" s="688">
        <f t="shared" si="1"/>
        <v>0</v>
      </c>
      <c r="DI11" s="654">
        <v>0</v>
      </c>
      <c r="DJ11" s="654">
        <v>0</v>
      </c>
      <c r="DK11" s="654">
        <v>0</v>
      </c>
      <c r="DL11" s="654">
        <v>0</v>
      </c>
      <c r="DM11" s="688">
        <f t="shared" si="2"/>
        <v>0</v>
      </c>
      <c r="DN11" s="654">
        <v>0</v>
      </c>
      <c r="DO11" s="654">
        <v>0</v>
      </c>
      <c r="DP11" s="654">
        <v>0</v>
      </c>
      <c r="DQ11" s="691">
        <f t="shared" ref="DQ11:DQ13" si="16">DP11</f>
        <v>0</v>
      </c>
      <c r="DR11" s="688">
        <f t="shared" si="3"/>
        <v>0</v>
      </c>
      <c r="DS11" s="691">
        <f t="shared" ref="DS11:DS13" si="17">DR11</f>
        <v>0</v>
      </c>
      <c r="DT11" s="691">
        <f t="shared" ref="DT11:DT13" si="18">DS11</f>
        <v>0</v>
      </c>
      <c r="DU11" s="691">
        <f t="shared" ref="DU11:DU13" si="19">DT11</f>
        <v>0</v>
      </c>
      <c r="DV11" s="691">
        <f t="shared" ref="DV11:DV13" si="20">DU11</f>
        <v>0</v>
      </c>
      <c r="DW11" s="688">
        <f t="shared" si="4"/>
        <v>0</v>
      </c>
      <c r="DX11" s="688">
        <f t="shared" ref="DX11:EA12" si="21">DW11</f>
        <v>0</v>
      </c>
      <c r="DY11" s="688">
        <f t="shared" si="21"/>
        <v>0</v>
      </c>
      <c r="DZ11" s="688">
        <f t="shared" si="21"/>
        <v>0</v>
      </c>
      <c r="EA11" s="688">
        <f t="shared" si="21"/>
        <v>0</v>
      </c>
      <c r="EC11" s="755"/>
      <c r="ED11" s="755"/>
    </row>
    <row r="12" spans="1:157" s="45" customFormat="1" ht="11.25" customHeight="1">
      <c r="A12" s="1597" t="s">
        <v>382</v>
      </c>
      <c r="B12" s="36"/>
      <c r="C12" s="36"/>
      <c r="D12" s="36"/>
      <c r="E12" s="1385"/>
      <c r="F12" s="36"/>
      <c r="G12" s="36"/>
      <c r="H12" s="37"/>
      <c r="I12" s="1385"/>
      <c r="J12" s="39"/>
      <c r="K12" s="37"/>
      <c r="L12" s="37"/>
      <c r="M12" s="1385"/>
      <c r="N12" s="39"/>
      <c r="O12" s="37"/>
      <c r="P12" s="37"/>
      <c r="Q12" s="1385"/>
      <c r="R12" s="37"/>
      <c r="S12" s="37"/>
      <c r="T12" s="37"/>
      <c r="U12" s="1385"/>
      <c r="V12" s="41"/>
      <c r="W12" s="43"/>
      <c r="X12" s="43"/>
      <c r="Y12" s="1385"/>
      <c r="Z12" s="43"/>
      <c r="AA12" s="43"/>
      <c r="AB12" s="43"/>
      <c r="AC12" s="1385"/>
      <c r="AD12" s="41"/>
      <c r="AE12" s="43"/>
      <c r="AF12" s="43"/>
      <c r="AG12" s="1385"/>
      <c r="AH12" s="43"/>
      <c r="AI12" s="43"/>
      <c r="AJ12" s="43"/>
      <c r="AK12" s="1385"/>
      <c r="AL12" s="43"/>
      <c r="AM12" s="43"/>
      <c r="AN12" s="43"/>
      <c r="AO12" s="1385"/>
      <c r="AP12" s="43"/>
      <c r="AQ12" s="43"/>
      <c r="AR12" s="43"/>
      <c r="AS12" s="1385"/>
      <c r="AT12" s="44"/>
      <c r="AU12" s="44"/>
      <c r="AV12" s="44"/>
      <c r="AW12" s="1385"/>
      <c r="AX12" s="44"/>
      <c r="AY12" s="44"/>
      <c r="AZ12" s="44"/>
      <c r="BA12" s="1385"/>
      <c r="BB12" s="44"/>
      <c r="BC12" s="44">
        <v>634</v>
      </c>
      <c r="BD12" s="65">
        <v>618</v>
      </c>
      <c r="BE12" s="1385">
        <v>505</v>
      </c>
      <c r="BF12" s="652">
        <v>648</v>
      </c>
      <c r="BG12" s="652">
        <v>342</v>
      </c>
      <c r="BH12" s="652">
        <v>235</v>
      </c>
      <c r="BI12" s="652">
        <v>426</v>
      </c>
      <c r="BJ12" s="1258">
        <f t="shared" si="5"/>
        <v>426</v>
      </c>
      <c r="BK12" s="652">
        <v>337</v>
      </c>
      <c r="BL12" s="652">
        <v>293</v>
      </c>
      <c r="BM12" s="652">
        <v>279</v>
      </c>
      <c r="BN12" s="1385">
        <v>0</v>
      </c>
      <c r="BO12" s="1258">
        <f t="shared" si="6"/>
        <v>0</v>
      </c>
      <c r="BP12" s="98">
        <v>0</v>
      </c>
      <c r="BQ12" s="98">
        <v>0</v>
      </c>
      <c r="BR12" s="98">
        <v>0</v>
      </c>
      <c r="BS12" s="1385">
        <v>491</v>
      </c>
      <c r="BT12" s="1258">
        <f t="shared" si="7"/>
        <v>491</v>
      </c>
      <c r="BU12" s="824">
        <v>0</v>
      </c>
      <c r="BV12" s="98">
        <v>0</v>
      </c>
      <c r="BW12" s="469">
        <v>559</v>
      </c>
      <c r="BX12" s="469">
        <v>268</v>
      </c>
      <c r="BY12" s="1258">
        <f t="shared" si="8"/>
        <v>268</v>
      </c>
      <c r="BZ12" s="469">
        <v>280</v>
      </c>
      <c r="CA12" s="469">
        <v>398</v>
      </c>
      <c r="CB12" s="469">
        <v>765</v>
      </c>
      <c r="CC12" s="1392">
        <v>749</v>
      </c>
      <c r="CD12" s="701">
        <f t="shared" si="9"/>
        <v>749</v>
      </c>
      <c r="CE12" s="469">
        <v>636</v>
      </c>
      <c r="CF12" s="469">
        <v>698</v>
      </c>
      <c r="CG12" s="469">
        <v>1212</v>
      </c>
      <c r="CH12" s="469">
        <v>1107</v>
      </c>
      <c r="CI12" s="701">
        <f t="shared" si="10"/>
        <v>1107</v>
      </c>
      <c r="CJ12" s="469">
        <v>1053</v>
      </c>
      <c r="CK12" s="469">
        <v>964</v>
      </c>
      <c r="CL12" s="469">
        <v>1401</v>
      </c>
      <c r="CM12" s="469">
        <v>999</v>
      </c>
      <c r="CN12" s="4353">
        <f t="shared" si="11"/>
        <v>999</v>
      </c>
      <c r="CO12" s="653">
        <v>889</v>
      </c>
      <c r="CP12" s="653">
        <v>815</v>
      </c>
      <c r="CQ12" s="653">
        <v>835</v>
      </c>
      <c r="CR12" s="653">
        <v>728</v>
      </c>
      <c r="CS12" s="4353">
        <f t="shared" si="12"/>
        <v>728</v>
      </c>
      <c r="CT12" s="653">
        <v>888</v>
      </c>
      <c r="CU12" s="653">
        <v>907</v>
      </c>
      <c r="CV12" s="653">
        <v>1278</v>
      </c>
      <c r="CW12" s="653">
        <v>1170</v>
      </c>
      <c r="CX12" s="4353">
        <f t="shared" si="13"/>
        <v>1170</v>
      </c>
      <c r="CY12" s="653">
        <v>1369</v>
      </c>
      <c r="CZ12" s="653">
        <v>1980</v>
      </c>
      <c r="DA12" s="653">
        <v>3156</v>
      </c>
      <c r="DB12" s="653">
        <v>2670</v>
      </c>
      <c r="DC12" s="688">
        <f t="shared" si="0"/>
        <v>2670</v>
      </c>
      <c r="DD12" s="653">
        <v>2315</v>
      </c>
      <c r="DE12" s="653">
        <v>2231</v>
      </c>
      <c r="DF12" s="653">
        <v>2957</v>
      </c>
      <c r="DG12" s="653">
        <v>0</v>
      </c>
      <c r="DH12" s="688">
        <f t="shared" si="1"/>
        <v>0</v>
      </c>
      <c r="DI12" s="653">
        <v>0</v>
      </c>
      <c r="DJ12" s="653">
        <v>0</v>
      </c>
      <c r="DK12" s="653">
        <v>0</v>
      </c>
      <c r="DL12" s="653">
        <v>0</v>
      </c>
      <c r="DM12" s="688">
        <f t="shared" ref="DM12" si="22">DL12</f>
        <v>0</v>
      </c>
      <c r="DN12" s="653">
        <v>0</v>
      </c>
      <c r="DO12" s="653">
        <v>0</v>
      </c>
      <c r="DP12" s="653">
        <v>0</v>
      </c>
      <c r="DQ12" s="691">
        <f t="shared" si="16"/>
        <v>0</v>
      </c>
      <c r="DR12" s="688">
        <f t="shared" si="3"/>
        <v>0</v>
      </c>
      <c r="DS12" s="691">
        <f t="shared" si="17"/>
        <v>0</v>
      </c>
      <c r="DT12" s="691">
        <f t="shared" si="18"/>
        <v>0</v>
      </c>
      <c r="DU12" s="691">
        <f t="shared" si="19"/>
        <v>0</v>
      </c>
      <c r="DV12" s="691">
        <f t="shared" si="20"/>
        <v>0</v>
      </c>
      <c r="DW12" s="688">
        <f t="shared" si="4"/>
        <v>0</v>
      </c>
      <c r="DX12" s="688">
        <f t="shared" si="21"/>
        <v>0</v>
      </c>
      <c r="DY12" s="688">
        <f t="shared" si="21"/>
        <v>0</v>
      </c>
      <c r="DZ12" s="688">
        <f t="shared" si="21"/>
        <v>0</v>
      </c>
      <c r="EA12" s="688">
        <f t="shared" si="21"/>
        <v>0</v>
      </c>
      <c r="EC12" s="755"/>
      <c r="ED12" s="755"/>
    </row>
    <row r="13" spans="1:157" s="45" customFormat="1" ht="11.25" customHeight="1">
      <c r="A13" s="1597" t="s">
        <v>612</v>
      </c>
      <c r="B13" s="36"/>
      <c r="C13" s="36"/>
      <c r="D13" s="36"/>
      <c r="E13" s="1385"/>
      <c r="F13" s="36"/>
      <c r="G13" s="36"/>
      <c r="H13" s="37"/>
      <c r="I13" s="1385"/>
      <c r="J13" s="39"/>
      <c r="K13" s="37"/>
      <c r="L13" s="37"/>
      <c r="M13" s="1385"/>
      <c r="N13" s="39"/>
      <c r="O13" s="37"/>
      <c r="P13" s="37"/>
      <c r="Q13" s="1385"/>
      <c r="R13" s="37"/>
      <c r="S13" s="37"/>
      <c r="T13" s="37"/>
      <c r="U13" s="1385"/>
      <c r="V13" s="41"/>
      <c r="W13" s="43"/>
      <c r="X13" s="43"/>
      <c r="Y13" s="1385"/>
      <c r="Z13" s="43"/>
      <c r="AA13" s="43"/>
      <c r="AB13" s="43"/>
      <c r="AC13" s="1385"/>
      <c r="AD13" s="41"/>
      <c r="AE13" s="43"/>
      <c r="AF13" s="43"/>
      <c r="AG13" s="1385"/>
      <c r="AH13" s="43"/>
      <c r="AI13" s="43"/>
      <c r="AJ13" s="43"/>
      <c r="AK13" s="1385"/>
      <c r="AL13" s="43"/>
      <c r="AM13" s="43"/>
      <c r="AN13" s="43"/>
      <c r="AO13" s="1385"/>
      <c r="AP13" s="43"/>
      <c r="AQ13" s="43"/>
      <c r="AR13" s="43"/>
      <c r="AS13" s="1385"/>
      <c r="AT13" s="44"/>
      <c r="AU13" s="44"/>
      <c r="AV13" s="44"/>
      <c r="AW13" s="1385"/>
      <c r="AX13" s="44"/>
      <c r="AY13" s="44"/>
      <c r="AZ13" s="44"/>
      <c r="BA13" s="1385"/>
      <c r="BB13" s="44"/>
      <c r="BC13" s="44">
        <v>475</v>
      </c>
      <c r="BD13" s="65">
        <v>550</v>
      </c>
      <c r="BE13" s="1385">
        <v>700</v>
      </c>
      <c r="BF13" s="652">
        <v>700</v>
      </c>
      <c r="BG13" s="652">
        <v>770</v>
      </c>
      <c r="BH13" s="652">
        <v>100</v>
      </c>
      <c r="BI13" s="652">
        <v>100</v>
      </c>
      <c r="BJ13" s="1258">
        <f t="shared" si="5"/>
        <v>100</v>
      </c>
      <c r="BK13" s="652">
        <v>50</v>
      </c>
      <c r="BL13" s="652">
        <v>100</v>
      </c>
      <c r="BM13" s="652">
        <v>825</v>
      </c>
      <c r="BN13" s="1385">
        <v>875</v>
      </c>
      <c r="BO13" s="1258">
        <f t="shared" si="6"/>
        <v>875</v>
      </c>
      <c r="BP13" s="652">
        <v>825</v>
      </c>
      <c r="BQ13" s="652">
        <v>625</v>
      </c>
      <c r="BR13" s="652">
        <v>400</v>
      </c>
      <c r="BS13" s="1385">
        <v>450</v>
      </c>
      <c r="BT13" s="1258">
        <f t="shared" si="7"/>
        <v>450</v>
      </c>
      <c r="BU13" s="825">
        <v>350</v>
      </c>
      <c r="BV13" s="469">
        <v>500</v>
      </c>
      <c r="BW13" s="469">
        <v>0</v>
      </c>
      <c r="BX13" s="469">
        <v>0</v>
      </c>
      <c r="BY13" s="1258">
        <f t="shared" si="8"/>
        <v>0</v>
      </c>
      <c r="BZ13" s="469">
        <v>0</v>
      </c>
      <c r="CA13" s="469">
        <v>0</v>
      </c>
      <c r="CB13" s="469">
        <v>0</v>
      </c>
      <c r="CC13" s="1392">
        <v>0</v>
      </c>
      <c r="CD13" s="701">
        <f t="shared" si="9"/>
        <v>0</v>
      </c>
      <c r="CE13" s="469">
        <v>0</v>
      </c>
      <c r="CF13" s="469">
        <v>0</v>
      </c>
      <c r="CG13" s="469">
        <v>0</v>
      </c>
      <c r="CH13" s="469">
        <v>0</v>
      </c>
      <c r="CI13" s="701">
        <f t="shared" si="10"/>
        <v>0</v>
      </c>
      <c r="CJ13" s="469">
        <v>0</v>
      </c>
      <c r="CK13" s="469">
        <v>0</v>
      </c>
      <c r="CL13" s="469">
        <v>0</v>
      </c>
      <c r="CM13" s="469">
        <v>0</v>
      </c>
      <c r="CN13" s="4353">
        <f t="shared" si="11"/>
        <v>0</v>
      </c>
      <c r="CO13" s="653">
        <v>0</v>
      </c>
      <c r="CP13" s="653">
        <f>CO13</f>
        <v>0</v>
      </c>
      <c r="CQ13" s="653">
        <v>0</v>
      </c>
      <c r="CR13" s="653">
        <v>0</v>
      </c>
      <c r="CS13" s="4353">
        <f t="shared" si="12"/>
        <v>0</v>
      </c>
      <c r="CT13" s="653">
        <v>0</v>
      </c>
      <c r="CU13" s="653">
        <v>0</v>
      </c>
      <c r="CV13" s="653">
        <v>0</v>
      </c>
      <c r="CW13" s="653">
        <f>CV13</f>
        <v>0</v>
      </c>
      <c r="CX13" s="4353">
        <f t="shared" si="13"/>
        <v>0</v>
      </c>
      <c r="CY13" s="653">
        <f>CX13</f>
        <v>0</v>
      </c>
      <c r="CZ13" s="653">
        <f>CY13</f>
        <v>0</v>
      </c>
      <c r="DA13" s="653">
        <f>CZ13</f>
        <v>0</v>
      </c>
      <c r="DB13" s="653">
        <f>DA13</f>
        <v>0</v>
      </c>
      <c r="DC13" s="688">
        <f t="shared" si="0"/>
        <v>0</v>
      </c>
      <c r="DD13" s="653">
        <f>DC13</f>
        <v>0</v>
      </c>
      <c r="DE13" s="653">
        <f>DD13</f>
        <v>0</v>
      </c>
      <c r="DF13" s="653">
        <f>DE13</f>
        <v>0</v>
      </c>
      <c r="DG13" s="653">
        <f>DF13</f>
        <v>0</v>
      </c>
      <c r="DH13" s="688">
        <f t="shared" si="1"/>
        <v>0</v>
      </c>
      <c r="DI13" s="653">
        <f>DH13</f>
        <v>0</v>
      </c>
      <c r="DJ13" s="653">
        <f>DI13</f>
        <v>0</v>
      </c>
      <c r="DK13" s="653">
        <f>DJ13</f>
        <v>0</v>
      </c>
      <c r="DL13" s="653">
        <f>DK13</f>
        <v>0</v>
      </c>
      <c r="DM13" s="688">
        <f t="shared" si="2"/>
        <v>0</v>
      </c>
      <c r="DN13" s="653">
        <f>DM13</f>
        <v>0</v>
      </c>
      <c r="DO13" s="653">
        <f>DN13</f>
        <v>0</v>
      </c>
      <c r="DP13" s="653">
        <f>DO13</f>
        <v>0</v>
      </c>
      <c r="DQ13" s="670">
        <f t="shared" si="16"/>
        <v>0</v>
      </c>
      <c r="DR13" s="688">
        <f t="shared" si="3"/>
        <v>0</v>
      </c>
      <c r="DS13" s="670">
        <f t="shared" si="17"/>
        <v>0</v>
      </c>
      <c r="DT13" s="670">
        <f t="shared" si="18"/>
        <v>0</v>
      </c>
      <c r="DU13" s="670">
        <f t="shared" si="19"/>
        <v>0</v>
      </c>
      <c r="DV13" s="670">
        <f t="shared" si="20"/>
        <v>0</v>
      </c>
      <c r="DW13" s="688">
        <f t="shared" si="4"/>
        <v>0</v>
      </c>
      <c r="DX13" s="688">
        <f t="shared" ref="DX13:EA14" si="23">DW13</f>
        <v>0</v>
      </c>
      <c r="DY13" s="688">
        <f t="shared" si="23"/>
        <v>0</v>
      </c>
      <c r="DZ13" s="688">
        <f t="shared" si="23"/>
        <v>0</v>
      </c>
      <c r="EA13" s="688">
        <f t="shared" si="23"/>
        <v>0</v>
      </c>
      <c r="EC13" s="755"/>
      <c r="ED13" s="755"/>
    </row>
    <row r="14" spans="1:157" s="45" customFormat="1" ht="11.25" customHeight="1">
      <c r="A14" s="1597" t="s">
        <v>197</v>
      </c>
      <c r="B14" s="36"/>
      <c r="C14" s="36"/>
      <c r="D14" s="36"/>
      <c r="E14" s="1388"/>
      <c r="F14" s="36"/>
      <c r="G14" s="36"/>
      <c r="H14" s="37"/>
      <c r="I14" s="1388"/>
      <c r="J14" s="39"/>
      <c r="K14" s="37"/>
      <c r="L14" s="37"/>
      <c r="M14" s="1388"/>
      <c r="N14" s="39"/>
      <c r="O14" s="37"/>
      <c r="P14" s="37"/>
      <c r="Q14" s="1388">
        <v>12.646000000000001</v>
      </c>
      <c r="R14" s="37"/>
      <c r="S14" s="37"/>
      <c r="T14" s="37"/>
      <c r="U14" s="1388">
        <v>22.105</v>
      </c>
      <c r="V14" s="41">
        <v>15.714</v>
      </c>
      <c r="W14" s="43">
        <v>30.334</v>
      </c>
      <c r="X14" s="43">
        <v>48.454999999999998</v>
      </c>
      <c r="Y14" s="1388">
        <f>19.463+11.59</f>
        <v>31.053000000000001</v>
      </c>
      <c r="Z14" s="41">
        <f>24.966+0.363</f>
        <v>25.329000000000001</v>
      </c>
      <c r="AA14" s="43">
        <v>32.405999999999999</v>
      </c>
      <c r="AB14" s="43">
        <v>18.274999999999999</v>
      </c>
      <c r="AC14" s="1388">
        <v>49.341000000000001</v>
      </c>
      <c r="AD14" s="41">
        <v>26.317</v>
      </c>
      <c r="AE14" s="43">
        <v>55.512999999999998</v>
      </c>
      <c r="AF14" s="43">
        <v>51.531999999999996</v>
      </c>
      <c r="AG14" s="1388">
        <v>29.713000000000001</v>
      </c>
      <c r="AH14" s="47">
        <v>51.259</v>
      </c>
      <c r="AI14" s="47">
        <f>78.068</f>
        <v>78.067999999999998</v>
      </c>
      <c r="AJ14" s="47">
        <v>87.962999999999994</v>
      </c>
      <c r="AK14" s="1388">
        <v>68.537999999999997</v>
      </c>
      <c r="AL14" s="47">
        <v>71.721999999999994</v>
      </c>
      <c r="AM14" s="47">
        <v>94.402000000000001</v>
      </c>
      <c r="AN14" s="47">
        <v>111.401</v>
      </c>
      <c r="AO14" s="1388">
        <v>286.10500000000002</v>
      </c>
      <c r="AP14" s="47">
        <v>434.90300000000002</v>
      </c>
      <c r="AQ14" s="47">
        <v>575.976</v>
      </c>
      <c r="AR14" s="47">
        <v>663.44600000000003</v>
      </c>
      <c r="AS14" s="1388">
        <v>644.40599999999995</v>
      </c>
      <c r="AT14" s="48">
        <v>399</v>
      </c>
      <c r="AU14" s="48">
        <v>66</v>
      </c>
      <c r="AV14" s="48">
        <v>138</v>
      </c>
      <c r="AW14" s="1388">
        <v>259</v>
      </c>
      <c r="AX14" s="53">
        <v>320</v>
      </c>
      <c r="AY14" s="53">
        <v>153</v>
      </c>
      <c r="AZ14" s="53">
        <v>215</v>
      </c>
      <c r="BA14" s="1388">
        <v>215</v>
      </c>
      <c r="BB14" s="53">
        <v>51</v>
      </c>
      <c r="BC14" s="53">
        <v>146</v>
      </c>
      <c r="BD14" s="53">
        <v>230</v>
      </c>
      <c r="BE14" s="1388">
        <v>1144</v>
      </c>
      <c r="BF14" s="654">
        <v>1017</v>
      </c>
      <c r="BG14" s="654">
        <v>1148</v>
      </c>
      <c r="BH14" s="654">
        <v>1154</v>
      </c>
      <c r="BI14" s="98">
        <v>1526</v>
      </c>
      <c r="BJ14" s="1266">
        <f t="shared" si="5"/>
        <v>1526</v>
      </c>
      <c r="BK14" s="653">
        <v>1166</v>
      </c>
      <c r="BL14" s="654">
        <v>1158</v>
      </c>
      <c r="BM14" s="654">
        <v>1372</v>
      </c>
      <c r="BN14" s="1388">
        <v>1322</v>
      </c>
      <c r="BO14" s="1266">
        <f t="shared" si="6"/>
        <v>1322</v>
      </c>
      <c r="BP14" s="653">
        <v>847</v>
      </c>
      <c r="BQ14" s="654">
        <v>1316</v>
      </c>
      <c r="BR14" s="654">
        <v>2212</v>
      </c>
      <c r="BS14" s="1388">
        <v>0</v>
      </c>
      <c r="BT14" s="1266">
        <f t="shared" si="7"/>
        <v>0</v>
      </c>
      <c r="BU14" s="98">
        <v>0</v>
      </c>
      <c r="BV14" s="98">
        <v>0</v>
      </c>
      <c r="BW14" s="73">
        <f>+BV14</f>
        <v>0</v>
      </c>
      <c r="BX14" s="98">
        <v>0</v>
      </c>
      <c r="BY14" s="1266">
        <f t="shared" si="8"/>
        <v>0</v>
      </c>
      <c r="BZ14" s="98">
        <v>0</v>
      </c>
      <c r="CA14" s="98">
        <v>0</v>
      </c>
      <c r="CB14" s="98">
        <v>0</v>
      </c>
      <c r="CC14" s="1388">
        <v>0</v>
      </c>
      <c r="CD14" s="660">
        <f t="shared" si="9"/>
        <v>0</v>
      </c>
      <c r="CE14" s="98">
        <v>0</v>
      </c>
      <c r="CF14" s="98">
        <v>0</v>
      </c>
      <c r="CG14" s="98">
        <v>0</v>
      </c>
      <c r="CH14" s="98">
        <v>0</v>
      </c>
      <c r="CI14" s="660">
        <f t="shared" si="10"/>
        <v>0</v>
      </c>
      <c r="CJ14" s="98">
        <v>0</v>
      </c>
      <c r="CK14" s="98">
        <v>0</v>
      </c>
      <c r="CL14" s="98">
        <v>0</v>
      </c>
      <c r="CM14" s="98">
        <v>0</v>
      </c>
      <c r="CN14" s="4353">
        <f t="shared" si="11"/>
        <v>0</v>
      </c>
      <c r="CO14" s="653">
        <v>0</v>
      </c>
      <c r="CP14" s="653">
        <f>+CO14</f>
        <v>0</v>
      </c>
      <c r="CQ14" s="653">
        <v>0</v>
      </c>
      <c r="CR14" s="653">
        <v>0</v>
      </c>
      <c r="CS14" s="4353">
        <f t="shared" si="12"/>
        <v>0</v>
      </c>
      <c r="CT14" s="653">
        <v>0</v>
      </c>
      <c r="CU14" s="653">
        <v>0</v>
      </c>
      <c r="CV14" s="653">
        <v>0</v>
      </c>
      <c r="CW14" s="653">
        <f>+CV14</f>
        <v>0</v>
      </c>
      <c r="CX14" s="4353">
        <f t="shared" si="13"/>
        <v>0</v>
      </c>
      <c r="CY14" s="653">
        <f>+CX14</f>
        <v>0</v>
      </c>
      <c r="CZ14" s="653">
        <f>+CY14</f>
        <v>0</v>
      </c>
      <c r="DA14" s="653">
        <f>+CZ14</f>
        <v>0</v>
      </c>
      <c r="DB14" s="653">
        <f>+DA14</f>
        <v>0</v>
      </c>
      <c r="DC14" s="688">
        <f t="shared" si="0"/>
        <v>0</v>
      </c>
      <c r="DD14" s="653">
        <f>+DC14</f>
        <v>0</v>
      </c>
      <c r="DE14" s="653">
        <f>+DD14</f>
        <v>0</v>
      </c>
      <c r="DF14" s="653">
        <f>+DE14</f>
        <v>0</v>
      </c>
      <c r="DG14" s="653">
        <f>+DF14</f>
        <v>0</v>
      </c>
      <c r="DH14" s="688">
        <f t="shared" si="1"/>
        <v>0</v>
      </c>
      <c r="DI14" s="653">
        <f>+DH14</f>
        <v>0</v>
      </c>
      <c r="DJ14" s="653">
        <f>+DI14</f>
        <v>0</v>
      </c>
      <c r="DK14" s="653">
        <f>+DJ14</f>
        <v>0</v>
      </c>
      <c r="DL14" s="653">
        <f>+DK14</f>
        <v>0</v>
      </c>
      <c r="DM14" s="688">
        <f t="shared" si="2"/>
        <v>0</v>
      </c>
      <c r="DN14" s="653">
        <f>+DM14</f>
        <v>0</v>
      </c>
      <c r="DO14" s="653">
        <f>+DN14</f>
        <v>0</v>
      </c>
      <c r="DP14" s="653">
        <f>+DO14</f>
        <v>0</v>
      </c>
      <c r="DQ14" s="670">
        <f t="shared" ref="DQ14" si="24">+DP14</f>
        <v>0</v>
      </c>
      <c r="DR14" s="688">
        <f t="shared" si="3"/>
        <v>0</v>
      </c>
      <c r="DS14" s="670">
        <f t="shared" ref="DS14" si="25">+DR14</f>
        <v>0</v>
      </c>
      <c r="DT14" s="670">
        <f t="shared" ref="DT14" si="26">+DS14</f>
        <v>0</v>
      </c>
      <c r="DU14" s="670">
        <f t="shared" ref="DU14" si="27">+DT14</f>
        <v>0</v>
      </c>
      <c r="DV14" s="670">
        <f t="shared" ref="DV14" si="28">+DU14</f>
        <v>0</v>
      </c>
      <c r="DW14" s="688">
        <f t="shared" si="4"/>
        <v>0</v>
      </c>
      <c r="DX14" s="688">
        <f t="shared" si="23"/>
        <v>0</v>
      </c>
      <c r="DY14" s="688">
        <f t="shared" si="23"/>
        <v>0</v>
      </c>
      <c r="DZ14" s="688">
        <f t="shared" si="23"/>
        <v>0</v>
      </c>
      <c r="EA14" s="688">
        <f t="shared" si="23"/>
        <v>0</v>
      </c>
      <c r="EC14" s="755"/>
      <c r="ED14" s="755"/>
    </row>
    <row r="15" spans="1:157" s="45" customFormat="1" ht="11.25" customHeight="1">
      <c r="A15" s="1598" t="s">
        <v>193</v>
      </c>
      <c r="B15" s="853"/>
      <c r="C15" s="853"/>
      <c r="D15" s="853"/>
      <c r="E15" s="1389"/>
      <c r="F15" s="853"/>
      <c r="G15" s="853"/>
      <c r="H15" s="854"/>
      <c r="I15" s="1389"/>
      <c r="J15" s="856"/>
      <c r="K15" s="854"/>
      <c r="L15" s="854"/>
      <c r="M15" s="1389"/>
      <c r="N15" s="856"/>
      <c r="O15" s="854"/>
      <c r="P15" s="854"/>
      <c r="Q15" s="1389">
        <v>10.824999999999999</v>
      </c>
      <c r="R15" s="854"/>
      <c r="S15" s="854"/>
      <c r="T15" s="857"/>
      <c r="U15" s="1389">
        <v>48.720999999999997</v>
      </c>
      <c r="V15" s="858">
        <v>53.279000000000003</v>
      </c>
      <c r="W15" s="859">
        <v>66.634</v>
      </c>
      <c r="X15" s="859">
        <v>105.273</v>
      </c>
      <c r="Y15" s="1389">
        <v>159.36000000000001</v>
      </c>
      <c r="Z15" s="859">
        <v>184.27799999999999</v>
      </c>
      <c r="AA15" s="859">
        <v>176.833</v>
      </c>
      <c r="AB15" s="859">
        <v>192.44800000000001</v>
      </c>
      <c r="AC15" s="1389">
        <v>229.50700000000001</v>
      </c>
      <c r="AD15" s="858">
        <v>256.23399999999998</v>
      </c>
      <c r="AE15" s="859">
        <v>295.87400000000002</v>
      </c>
      <c r="AF15" s="859">
        <v>346.94099999999997</v>
      </c>
      <c r="AG15" s="1389">
        <v>443.88</v>
      </c>
      <c r="AH15" s="858">
        <v>616.50599999999997</v>
      </c>
      <c r="AI15" s="859">
        <v>627.24</v>
      </c>
      <c r="AJ15" s="859">
        <v>670.59299999999996</v>
      </c>
      <c r="AK15" s="1389">
        <v>694.21299999999997</v>
      </c>
      <c r="AL15" s="858">
        <v>697.79200000000003</v>
      </c>
      <c r="AM15" s="859">
        <v>846.86500000000001</v>
      </c>
      <c r="AN15" s="859">
        <v>897.34900000000005</v>
      </c>
      <c r="AO15" s="1389">
        <v>1404.114</v>
      </c>
      <c r="AP15" s="858">
        <v>1317.8610000000001</v>
      </c>
      <c r="AQ15" s="859">
        <v>1067.116</v>
      </c>
      <c r="AR15" s="859">
        <v>816.10299999999995</v>
      </c>
      <c r="AS15" s="1389">
        <v>836.06200000000001</v>
      </c>
      <c r="AT15" s="860">
        <v>1135</v>
      </c>
      <c r="AU15" s="860">
        <v>1419</v>
      </c>
      <c r="AV15" s="860">
        <f>1210+875</f>
        <v>2085</v>
      </c>
      <c r="AW15" s="1389">
        <f>1326+750</f>
        <v>2076</v>
      </c>
      <c r="AX15" s="860">
        <f>575+1497</f>
        <v>2072</v>
      </c>
      <c r="AY15" s="860">
        <f>1328+1020</f>
        <v>2348</v>
      </c>
      <c r="AZ15" s="860">
        <f>1145+1406</f>
        <v>2551</v>
      </c>
      <c r="BA15" s="1389">
        <f>1745+745</f>
        <v>2490</v>
      </c>
      <c r="BB15" s="860">
        <f>1779+550</f>
        <v>2329</v>
      </c>
      <c r="BC15" s="861">
        <v>2614</v>
      </c>
      <c r="BD15" s="861">
        <v>2440</v>
      </c>
      <c r="BE15" s="1389">
        <v>2132</v>
      </c>
      <c r="BF15" s="862">
        <f>2375</f>
        <v>2375</v>
      </c>
      <c r="BG15" s="863">
        <v>2776</v>
      </c>
      <c r="BH15" s="863">
        <v>2354</v>
      </c>
      <c r="BI15" s="2693">
        <v>2827</v>
      </c>
      <c r="BJ15" s="865">
        <f t="shared" si="5"/>
        <v>2827</v>
      </c>
      <c r="BK15" s="2693">
        <f>2138+3873</f>
        <v>6011</v>
      </c>
      <c r="BL15" s="863">
        <f>2043+3668</f>
        <v>5711</v>
      </c>
      <c r="BM15" s="863">
        <f>2700+3588</f>
        <v>6288</v>
      </c>
      <c r="BN15" s="1389">
        <v>3412</v>
      </c>
      <c r="BO15" s="865">
        <f t="shared" si="6"/>
        <v>3412</v>
      </c>
      <c r="BP15" s="864">
        <v>3720</v>
      </c>
      <c r="BQ15" s="863">
        <v>3049</v>
      </c>
      <c r="BR15" s="863">
        <v>2688</v>
      </c>
      <c r="BS15" s="1389">
        <v>2648</v>
      </c>
      <c r="BT15" s="865">
        <f t="shared" si="7"/>
        <v>2648</v>
      </c>
      <c r="BU15" s="1384">
        <v>2719</v>
      </c>
      <c r="BV15" s="862">
        <v>3016</v>
      </c>
      <c r="BW15" s="862">
        <v>2536</v>
      </c>
      <c r="BX15" s="862">
        <v>4575</v>
      </c>
      <c r="BY15" s="865">
        <f t="shared" si="8"/>
        <v>4575</v>
      </c>
      <c r="BZ15" s="1646">
        <v>3106</v>
      </c>
      <c r="CA15" s="1646">
        <v>2398</v>
      </c>
      <c r="CB15" s="1646">
        <v>2860</v>
      </c>
      <c r="CC15" s="1389">
        <v>2983</v>
      </c>
      <c r="CD15" s="865">
        <f t="shared" si="9"/>
        <v>2983</v>
      </c>
      <c r="CE15" s="1646">
        <v>3426</v>
      </c>
      <c r="CF15" s="1646">
        <v>3961</v>
      </c>
      <c r="CG15" s="1646">
        <v>4007</v>
      </c>
      <c r="CH15" s="1646">
        <v>4236</v>
      </c>
      <c r="CI15" s="865">
        <f t="shared" si="10"/>
        <v>4236</v>
      </c>
      <c r="CJ15" s="4203">
        <v>4406</v>
      </c>
      <c r="CK15" s="4203">
        <v>4100</v>
      </c>
      <c r="CL15" s="4203">
        <v>4699</v>
      </c>
      <c r="CM15" s="4203">
        <v>4412</v>
      </c>
      <c r="CN15" s="4354">
        <f t="shared" si="11"/>
        <v>4412</v>
      </c>
      <c r="CO15" s="4203">
        <v>5165</v>
      </c>
      <c r="CP15" s="4203">
        <v>5579</v>
      </c>
      <c r="CQ15" s="4203">
        <v>5425</v>
      </c>
      <c r="CR15" s="4203">
        <v>5490</v>
      </c>
      <c r="CS15" s="4354">
        <f t="shared" si="12"/>
        <v>5490</v>
      </c>
      <c r="CT15" s="5016">
        <v>7646</v>
      </c>
      <c r="CU15" s="5016">
        <v>6076</v>
      </c>
      <c r="CV15" s="5016">
        <v>6029</v>
      </c>
      <c r="CW15" s="5016">
        <v>7054</v>
      </c>
      <c r="CX15" s="4354">
        <f t="shared" si="13"/>
        <v>7054</v>
      </c>
      <c r="CY15" s="5222">
        <v>6892</v>
      </c>
      <c r="CZ15" s="5222">
        <v>8321</v>
      </c>
      <c r="DA15" s="5222">
        <v>10518</v>
      </c>
      <c r="DB15" s="5016">
        <v>8105</v>
      </c>
      <c r="DC15" s="865">
        <f t="shared" si="0"/>
        <v>8105</v>
      </c>
      <c r="DD15" s="5222">
        <v>8532</v>
      </c>
      <c r="DE15" s="5222">
        <v>9421</v>
      </c>
      <c r="DF15" s="5222">
        <v>12398</v>
      </c>
      <c r="DG15" s="5016">
        <v>12650</v>
      </c>
      <c r="DH15" s="865">
        <f t="shared" si="1"/>
        <v>12650</v>
      </c>
      <c r="DI15" s="5222">
        <v>12829</v>
      </c>
      <c r="DJ15" s="5222">
        <v>14183</v>
      </c>
      <c r="DK15" s="5222">
        <v>15207</v>
      </c>
      <c r="DL15" s="5016">
        <v>15714</v>
      </c>
      <c r="DM15" s="865">
        <f t="shared" si="2"/>
        <v>15714</v>
      </c>
      <c r="DN15" s="5222">
        <v>15724</v>
      </c>
      <c r="DO15" s="5222">
        <v>16020</v>
      </c>
      <c r="DP15" s="5222">
        <v>18303</v>
      </c>
      <c r="DQ15" s="4771">
        <f t="shared" ref="DQ15" si="29">DQ84</f>
        <v>18479.999203000531</v>
      </c>
      <c r="DR15" s="865">
        <f t="shared" si="3"/>
        <v>18479.999203000531</v>
      </c>
      <c r="DS15" s="4771">
        <f t="shared" ref="DS15:DV15" si="30">DS84</f>
        <v>18683.064533675832</v>
      </c>
      <c r="DT15" s="4771">
        <f t="shared" si="30"/>
        <v>18959.700799800532</v>
      </c>
      <c r="DU15" s="4771">
        <f t="shared" si="30"/>
        <v>21494.004677228248</v>
      </c>
      <c r="DV15" s="4771">
        <f t="shared" si="30"/>
        <v>21738.796953678262</v>
      </c>
      <c r="DW15" s="865">
        <f t="shared" si="4"/>
        <v>21738.796953678262</v>
      </c>
      <c r="DX15" s="865">
        <f>DX84</f>
        <v>24828.177309559545</v>
      </c>
      <c r="DY15" s="865">
        <f>DY84</f>
        <v>27969.228593033651</v>
      </c>
      <c r="DZ15" s="865">
        <f>DZ84</f>
        <v>31099.425727060458</v>
      </c>
      <c r="EA15" s="865">
        <f>EA84</f>
        <v>34355.977457392073</v>
      </c>
      <c r="EC15" s="755"/>
      <c r="ED15" s="755"/>
    </row>
    <row r="16" spans="1:157" s="61" customFormat="1" ht="11.25" customHeight="1">
      <c r="A16" s="1599" t="s">
        <v>66</v>
      </c>
      <c r="B16" s="56"/>
      <c r="C16" s="56"/>
      <c r="D16" s="56"/>
      <c r="E16" s="852"/>
      <c r="F16" s="55"/>
      <c r="G16" s="55"/>
      <c r="H16" s="55"/>
      <c r="I16" s="852"/>
      <c r="J16" s="57"/>
      <c r="K16" s="55"/>
      <c r="L16" s="55"/>
      <c r="M16" s="852"/>
      <c r="N16" s="57">
        <f t="shared" ref="N16:AS16" si="31">SUM(N8:N15)</f>
        <v>0</v>
      </c>
      <c r="O16" s="55">
        <f t="shared" si="31"/>
        <v>0</v>
      </c>
      <c r="P16" s="55">
        <f t="shared" si="31"/>
        <v>0</v>
      </c>
      <c r="Q16" s="852">
        <f t="shared" si="31"/>
        <v>231.79599999999999</v>
      </c>
      <c r="R16" s="55">
        <f t="shared" si="31"/>
        <v>0</v>
      </c>
      <c r="S16" s="55">
        <f t="shared" si="31"/>
        <v>0</v>
      </c>
      <c r="T16" s="55">
        <f t="shared" si="31"/>
        <v>0</v>
      </c>
      <c r="U16" s="852">
        <f t="shared" si="31"/>
        <v>560.23400000000004</v>
      </c>
      <c r="V16" s="58">
        <f t="shared" si="31"/>
        <v>703.38600000000008</v>
      </c>
      <c r="W16" s="59">
        <f t="shared" si="31"/>
        <v>881.88900000000001</v>
      </c>
      <c r="X16" s="59">
        <f t="shared" si="31"/>
        <v>2360.2110000000002</v>
      </c>
      <c r="Y16" s="852">
        <f t="shared" si="31"/>
        <v>2705.0549999999998</v>
      </c>
      <c r="Z16" s="58">
        <f t="shared" si="31"/>
        <v>3158.8370000000004</v>
      </c>
      <c r="AA16" s="59">
        <f t="shared" si="31"/>
        <v>3649.2099999999996</v>
      </c>
      <c r="AB16" s="59">
        <f t="shared" si="31"/>
        <v>8382.6850000000013</v>
      </c>
      <c r="AC16" s="852">
        <f t="shared" si="31"/>
        <v>9001.0709999999999</v>
      </c>
      <c r="AD16" s="58">
        <f t="shared" si="31"/>
        <v>9555.9570000000003</v>
      </c>
      <c r="AE16" s="59">
        <f t="shared" si="31"/>
        <v>11058.107</v>
      </c>
      <c r="AF16" s="59">
        <f t="shared" si="31"/>
        <v>11858.243</v>
      </c>
      <c r="AG16" s="852">
        <f t="shared" si="31"/>
        <v>13039.847</v>
      </c>
      <c r="AH16" s="58">
        <f t="shared" si="31"/>
        <v>14080.773999999999</v>
      </c>
      <c r="AI16" s="59">
        <f t="shared" si="31"/>
        <v>14857.522999999999</v>
      </c>
      <c r="AJ16" s="59">
        <f t="shared" si="31"/>
        <v>15733.761000000002</v>
      </c>
      <c r="AK16" s="852">
        <f t="shared" si="31"/>
        <v>17289.138000000003</v>
      </c>
      <c r="AL16" s="58">
        <f t="shared" si="31"/>
        <v>15464.931299999998</v>
      </c>
      <c r="AM16" s="59">
        <f t="shared" si="31"/>
        <v>16316.836000000001</v>
      </c>
      <c r="AN16" s="60">
        <f t="shared" si="31"/>
        <v>17962.851000000002</v>
      </c>
      <c r="AO16" s="852">
        <f t="shared" si="31"/>
        <v>20178.182000000001</v>
      </c>
      <c r="AP16" s="58">
        <f t="shared" si="31"/>
        <v>22080.801999999996</v>
      </c>
      <c r="AQ16" s="59">
        <f t="shared" si="31"/>
        <v>23834.853000000003</v>
      </c>
      <c r="AR16" s="59">
        <f t="shared" si="31"/>
        <v>26353.543000000001</v>
      </c>
      <c r="AS16" s="852">
        <f t="shared" si="31"/>
        <v>29166.957000000002</v>
      </c>
      <c r="AT16" s="59">
        <f t="shared" ref="AT16:BY16" si="32">SUM(AT8:AT15)</f>
        <v>31132</v>
      </c>
      <c r="AU16" s="59">
        <f t="shared" si="32"/>
        <v>35161</v>
      </c>
      <c r="AV16" s="59">
        <f t="shared" si="32"/>
        <v>39447</v>
      </c>
      <c r="AW16" s="852">
        <f t="shared" si="32"/>
        <v>41562</v>
      </c>
      <c r="AX16" s="59">
        <f t="shared" si="32"/>
        <v>43310</v>
      </c>
      <c r="AY16" s="59">
        <f t="shared" si="32"/>
        <v>46442</v>
      </c>
      <c r="AZ16" s="59">
        <f t="shared" si="32"/>
        <v>50042</v>
      </c>
      <c r="BA16" s="852">
        <f t="shared" si="32"/>
        <v>52758</v>
      </c>
      <c r="BB16" s="59">
        <f t="shared" si="32"/>
        <v>56859</v>
      </c>
      <c r="BC16" s="59">
        <f t="shared" si="32"/>
        <v>53857</v>
      </c>
      <c r="BD16" s="167">
        <f t="shared" si="32"/>
        <v>56821</v>
      </c>
      <c r="BE16" s="852">
        <f t="shared" si="32"/>
        <v>60454</v>
      </c>
      <c r="BF16" s="655">
        <f t="shared" si="32"/>
        <v>62808</v>
      </c>
      <c r="BG16" s="655">
        <f t="shared" si="32"/>
        <v>66861</v>
      </c>
      <c r="BH16" s="655">
        <f t="shared" si="32"/>
        <v>68858</v>
      </c>
      <c r="BI16" s="655">
        <f t="shared" si="32"/>
        <v>72886</v>
      </c>
      <c r="BJ16" s="1273">
        <f t="shared" si="32"/>
        <v>72886</v>
      </c>
      <c r="BK16" s="655">
        <f t="shared" si="32"/>
        <v>75314</v>
      </c>
      <c r="BL16" s="655">
        <f t="shared" si="32"/>
        <v>77905</v>
      </c>
      <c r="BM16" s="655">
        <f t="shared" si="32"/>
        <v>80115</v>
      </c>
      <c r="BN16" s="852">
        <f t="shared" si="32"/>
        <v>80685</v>
      </c>
      <c r="BO16" s="1273">
        <f t="shared" si="32"/>
        <v>80685</v>
      </c>
      <c r="BP16" s="689">
        <f t="shared" si="32"/>
        <v>80313</v>
      </c>
      <c r="BQ16" s="655">
        <f t="shared" si="32"/>
        <v>84164</v>
      </c>
      <c r="BR16" s="655">
        <f t="shared" si="32"/>
        <v>88103</v>
      </c>
      <c r="BS16" s="852">
        <f t="shared" si="32"/>
        <v>90114</v>
      </c>
      <c r="BT16" s="1273">
        <f t="shared" si="32"/>
        <v>90114</v>
      </c>
      <c r="BU16" s="655">
        <f t="shared" si="32"/>
        <v>90955</v>
      </c>
      <c r="BV16" s="655">
        <f t="shared" si="32"/>
        <v>94238</v>
      </c>
      <c r="BW16" s="655">
        <f t="shared" si="32"/>
        <v>98546</v>
      </c>
      <c r="BX16" s="655">
        <f t="shared" si="32"/>
        <v>105408</v>
      </c>
      <c r="BY16" s="1273">
        <f t="shared" si="32"/>
        <v>105408</v>
      </c>
      <c r="BZ16" s="655">
        <f t="shared" ref="BZ16:CX16" si="33">SUM(BZ8:BZ15)</f>
        <v>108794</v>
      </c>
      <c r="CA16" s="655">
        <f t="shared" si="33"/>
        <v>112386</v>
      </c>
      <c r="CB16" s="655">
        <f t="shared" si="33"/>
        <v>119345</v>
      </c>
      <c r="CC16" s="852">
        <f t="shared" si="33"/>
        <v>124308</v>
      </c>
      <c r="CD16" s="690">
        <f t="shared" si="33"/>
        <v>124308</v>
      </c>
      <c r="CE16" s="655">
        <f t="shared" si="33"/>
        <v>123761</v>
      </c>
      <c r="CF16" s="655">
        <f t="shared" si="33"/>
        <v>124157</v>
      </c>
      <c r="CG16" s="655">
        <f t="shared" si="33"/>
        <v>129702</v>
      </c>
      <c r="CH16" s="655">
        <f t="shared" si="33"/>
        <v>135676</v>
      </c>
      <c r="CI16" s="690">
        <f t="shared" si="33"/>
        <v>135676</v>
      </c>
      <c r="CJ16" s="655">
        <f t="shared" si="33"/>
        <v>138207</v>
      </c>
      <c r="CK16" s="655">
        <f t="shared" si="33"/>
        <v>147437</v>
      </c>
      <c r="CL16" s="655">
        <f t="shared" si="33"/>
        <v>148358</v>
      </c>
      <c r="CM16" s="655">
        <f t="shared" si="33"/>
        <v>152578</v>
      </c>
      <c r="CN16" s="4355">
        <f t="shared" si="33"/>
        <v>152578</v>
      </c>
      <c r="CO16" s="655">
        <f t="shared" si="33"/>
        <v>147018</v>
      </c>
      <c r="CP16" s="655">
        <f t="shared" si="33"/>
        <v>149069</v>
      </c>
      <c r="CQ16" s="655">
        <f t="shared" si="33"/>
        <v>164369</v>
      </c>
      <c r="CR16" s="655">
        <f t="shared" si="33"/>
        <v>174296</v>
      </c>
      <c r="CS16" s="4355">
        <f t="shared" si="33"/>
        <v>174296</v>
      </c>
      <c r="CT16" s="655">
        <f t="shared" si="33"/>
        <v>172137</v>
      </c>
      <c r="CU16" s="655">
        <f t="shared" si="33"/>
        <v>175697</v>
      </c>
      <c r="CV16" s="655">
        <f t="shared" si="33"/>
        <v>184110</v>
      </c>
      <c r="CW16" s="655">
        <f t="shared" si="33"/>
        <v>188143</v>
      </c>
      <c r="CX16" s="4355">
        <f t="shared" si="33"/>
        <v>188143</v>
      </c>
      <c r="CY16" s="655">
        <f t="shared" ref="CY16:DH16" si="34">SUM(CY8:CY15)</f>
        <v>177853</v>
      </c>
      <c r="CZ16" s="655">
        <f t="shared" si="34"/>
        <v>172371</v>
      </c>
      <c r="DA16" s="655">
        <f t="shared" si="34"/>
        <v>166109</v>
      </c>
      <c r="DB16" s="655">
        <f t="shared" si="34"/>
        <v>164795</v>
      </c>
      <c r="DC16" s="690">
        <f t="shared" si="34"/>
        <v>164795</v>
      </c>
      <c r="DD16" s="655">
        <f>SUM(DD8:DD15)</f>
        <v>161985</v>
      </c>
      <c r="DE16" s="655">
        <f>SUM(DE8:DE15)</f>
        <v>168788</v>
      </c>
      <c r="DF16" s="655">
        <f>SUM(DF8:DF15)</f>
        <v>176310</v>
      </c>
      <c r="DG16" s="655">
        <f t="shared" ref="DG16:DI16" si="35">SUM(DG8:DG15)</f>
        <v>171530</v>
      </c>
      <c r="DH16" s="690">
        <f t="shared" si="34"/>
        <v>171530</v>
      </c>
      <c r="DI16" s="655">
        <f t="shared" si="35"/>
        <v>165471</v>
      </c>
      <c r="DJ16" s="655">
        <f t="shared" ref="DJ16:DL16" si="36">SUM(DJ8:DJ15)</f>
        <v>161995</v>
      </c>
      <c r="DK16" s="655">
        <f t="shared" si="36"/>
        <v>157541</v>
      </c>
      <c r="DL16" s="655">
        <f t="shared" si="36"/>
        <v>163711</v>
      </c>
      <c r="DM16" s="690">
        <f>SUM(DM8:DM15)</f>
        <v>163711</v>
      </c>
      <c r="DN16" s="655">
        <f t="shared" ref="DN16:DP16" si="37">SUM(DN8:DN15)</f>
        <v>162052</v>
      </c>
      <c r="DO16" s="655">
        <f t="shared" si="37"/>
        <v>166216</v>
      </c>
      <c r="DP16" s="655">
        <f t="shared" si="37"/>
        <v>173947</v>
      </c>
      <c r="DQ16" s="655">
        <f t="shared" ref="DQ16" ca="1" si="38">SUM(DQ8:DQ15)</f>
        <v>178381.4383753509</v>
      </c>
      <c r="DR16" s="690">
        <f ca="1">SUM(DR8:DR15)</f>
        <v>178381.4383753509</v>
      </c>
      <c r="DS16" s="655">
        <f t="shared" ref="DS16:DV16" ca="1" si="39">SUM(DS8:DS15)</f>
        <v>175380.79695859301</v>
      </c>
      <c r="DT16" s="655">
        <f t="shared" ca="1" si="39"/>
        <v>162594.85415745559</v>
      </c>
      <c r="DU16" s="655">
        <f t="shared" ca="1" si="39"/>
        <v>167912.66441980176</v>
      </c>
      <c r="DV16" s="655">
        <f t="shared" ca="1" si="39"/>
        <v>174698.33299726126</v>
      </c>
      <c r="DW16" s="690">
        <f ca="1">SUM(DW8:DW15)</f>
        <v>174698.33299726126</v>
      </c>
      <c r="DX16" s="690">
        <f ca="1">SUM(DX8:DX15)</f>
        <v>172524.37348725833</v>
      </c>
      <c r="DY16" s="690">
        <f ca="1">SUM(DY8:DY15)</f>
        <v>185704.26612138719</v>
      </c>
      <c r="DZ16" s="690">
        <f ca="1">SUM(DZ8:DZ15)</f>
        <v>211554.74851856683</v>
      </c>
      <c r="EA16" s="690">
        <f ca="1">SUM(EA8:EA15)</f>
        <v>254942.95436214318</v>
      </c>
      <c r="EC16" s="6197">
        <f ca="1">(DX16/DM16)^(1/3)-1</f>
        <v>1.7632259464983591E-2</v>
      </c>
      <c r="ED16" s="6197">
        <f ca="1">(DZ16/DM16)^(1/5)-1</f>
        <v>5.2613615539474079E-2</v>
      </c>
    </row>
    <row r="17" spans="1:134" s="45" customFormat="1" ht="11.25" customHeight="1">
      <c r="A17" s="1595"/>
      <c r="B17" s="37"/>
      <c r="C17" s="37"/>
      <c r="D17" s="37"/>
      <c r="E17" s="484"/>
      <c r="F17" s="37"/>
      <c r="G17" s="37"/>
      <c r="H17" s="37"/>
      <c r="I17" s="484"/>
      <c r="J17" s="39"/>
      <c r="K17" s="37"/>
      <c r="L17" s="37"/>
      <c r="M17" s="484"/>
      <c r="N17" s="39"/>
      <c r="O17" s="37"/>
      <c r="P17" s="37"/>
      <c r="Q17" s="484"/>
      <c r="R17" s="37"/>
      <c r="S17" s="37"/>
      <c r="T17" s="37"/>
      <c r="U17" s="484"/>
      <c r="V17" s="41"/>
      <c r="W17" s="43"/>
      <c r="X17" s="43"/>
      <c r="Y17" s="484"/>
      <c r="Z17" s="43"/>
      <c r="AA17" s="43"/>
      <c r="AB17" s="43"/>
      <c r="AC17" s="484"/>
      <c r="AD17" s="41"/>
      <c r="AE17" s="43"/>
      <c r="AF17" s="43"/>
      <c r="AG17" s="484"/>
      <c r="AH17" s="43"/>
      <c r="AI17" s="43"/>
      <c r="AJ17" s="43"/>
      <c r="AK17" s="484"/>
      <c r="AL17" s="43"/>
      <c r="AM17" s="43"/>
      <c r="AN17" s="43"/>
      <c r="AO17" s="484"/>
      <c r="AP17" s="43"/>
      <c r="AQ17" s="43"/>
      <c r="AR17" s="43"/>
      <c r="AS17" s="484"/>
      <c r="AT17" s="43"/>
      <c r="AU17" s="43"/>
      <c r="AV17" s="43"/>
      <c r="AW17" s="484"/>
      <c r="AX17" s="43"/>
      <c r="AY17" s="43"/>
      <c r="AZ17" s="43"/>
      <c r="BA17" s="484"/>
      <c r="BB17" s="43"/>
      <c r="BC17" s="43"/>
      <c r="BD17" s="42"/>
      <c r="BE17" s="484"/>
      <c r="BF17" s="537"/>
      <c r="BG17" s="537"/>
      <c r="BH17" s="537"/>
      <c r="BI17" s="43"/>
      <c r="BJ17" s="1009"/>
      <c r="BK17" s="43"/>
      <c r="BL17" s="43"/>
      <c r="BM17" s="43"/>
      <c r="BN17" s="484"/>
      <c r="BO17" s="1009"/>
      <c r="BP17" s="43"/>
      <c r="BQ17" s="43"/>
      <c r="BR17" s="43"/>
      <c r="BS17" s="484"/>
      <c r="BT17" s="1009"/>
      <c r="BU17" s="43"/>
      <c r="BV17" s="43"/>
      <c r="BW17" s="43"/>
      <c r="BX17" s="43"/>
      <c r="BY17" s="1009"/>
      <c r="BZ17" s="43"/>
      <c r="CA17" s="43"/>
      <c r="CB17" s="43"/>
      <c r="CC17" s="484"/>
      <c r="CD17" s="490"/>
      <c r="CE17" s="43"/>
      <c r="CF17" s="43"/>
      <c r="CG17" s="43"/>
      <c r="CH17" s="484"/>
      <c r="CI17" s="490"/>
      <c r="CJ17" s="43"/>
      <c r="CK17" s="43"/>
      <c r="CL17" s="43"/>
      <c r="CM17" s="484"/>
      <c r="CN17" s="4352"/>
      <c r="CO17" s="537"/>
      <c r="CP17" s="537"/>
      <c r="CQ17" s="537"/>
      <c r="CR17" s="851"/>
      <c r="CS17" s="4352"/>
      <c r="CT17" s="537"/>
      <c r="CU17" s="537"/>
      <c r="CV17" s="537"/>
      <c r="CW17" s="851"/>
      <c r="CX17" s="4352"/>
      <c r="CY17" s="537"/>
      <c r="CZ17" s="537"/>
      <c r="DA17" s="537"/>
      <c r="DB17" s="851"/>
      <c r="DC17" s="687"/>
      <c r="DD17" s="537"/>
      <c r="DE17" s="537"/>
      <c r="DF17" s="537"/>
      <c r="DG17" s="851"/>
      <c r="DH17" s="687"/>
      <c r="DI17" s="537"/>
      <c r="DJ17" s="537"/>
      <c r="DK17" s="537"/>
      <c r="DL17" s="851"/>
      <c r="DM17" s="687"/>
      <c r="DN17" s="537"/>
      <c r="DO17" s="537"/>
      <c r="DP17" s="537"/>
      <c r="DQ17" s="537"/>
      <c r="DR17" s="687"/>
      <c r="DS17" s="537"/>
      <c r="DT17" s="537"/>
      <c r="DU17" s="537"/>
      <c r="DV17" s="537"/>
      <c r="DW17" s="687"/>
      <c r="DX17" s="687"/>
      <c r="DY17" s="687"/>
      <c r="DZ17" s="687"/>
      <c r="EA17" s="687"/>
      <c r="EC17" s="755"/>
      <c r="ED17" s="755"/>
    </row>
    <row r="18" spans="1:134" s="45" customFormat="1" ht="11.25" customHeight="1">
      <c r="A18" s="1595" t="s">
        <v>772</v>
      </c>
      <c r="B18" s="37"/>
      <c r="C18" s="37"/>
      <c r="D18" s="37"/>
      <c r="E18" s="1385"/>
      <c r="F18" s="37"/>
      <c r="G18" s="37"/>
      <c r="H18" s="37"/>
      <c r="I18" s="1385"/>
      <c r="J18" s="39"/>
      <c r="K18" s="37"/>
      <c r="L18" s="37"/>
      <c r="M18" s="1385"/>
      <c r="N18" s="39"/>
      <c r="O18" s="37"/>
      <c r="P18" s="37"/>
      <c r="Q18" s="1385">
        <v>0</v>
      </c>
      <c r="R18" s="62"/>
      <c r="S18" s="62"/>
      <c r="T18" s="62"/>
      <c r="U18" s="1385">
        <v>0</v>
      </c>
      <c r="V18" s="50">
        <v>0</v>
      </c>
      <c r="W18" s="47">
        <v>0</v>
      </c>
      <c r="X18" s="47">
        <v>0</v>
      </c>
      <c r="Y18" s="1385">
        <v>0</v>
      </c>
      <c r="Z18" s="47">
        <v>0</v>
      </c>
      <c r="AA18" s="47">
        <v>0</v>
      </c>
      <c r="AB18" s="47">
        <v>0</v>
      </c>
      <c r="AC18" s="1385">
        <v>14.369</v>
      </c>
      <c r="AD18" s="50">
        <v>0</v>
      </c>
      <c r="AE18" s="43">
        <v>1018.591</v>
      </c>
      <c r="AF18" s="43">
        <v>1028.5909999999999</v>
      </c>
      <c r="AG18" s="1385">
        <v>1031.8499999999999</v>
      </c>
      <c r="AH18" s="47">
        <v>1030.952</v>
      </c>
      <c r="AI18" s="47">
        <v>1038.8040000000001</v>
      </c>
      <c r="AJ18" s="47">
        <v>1048.1379999999999</v>
      </c>
      <c r="AK18" s="1385">
        <v>1059.694</v>
      </c>
      <c r="AL18" s="47">
        <v>1056.9659999999999</v>
      </c>
      <c r="AM18" s="47">
        <v>1067.52</v>
      </c>
      <c r="AN18" s="47">
        <v>1100.896</v>
      </c>
      <c r="AO18" s="1385">
        <v>85.16</v>
      </c>
      <c r="AP18" s="47">
        <v>100.999</v>
      </c>
      <c r="AQ18" s="47">
        <v>93.924999999999997</v>
      </c>
      <c r="AR18" s="47">
        <v>110.372</v>
      </c>
      <c r="AS18" s="1385">
        <v>128.977</v>
      </c>
      <c r="AT18" s="48">
        <v>154</v>
      </c>
      <c r="AU18" s="44">
        <v>377</v>
      </c>
      <c r="AV18" s="48">
        <v>485</v>
      </c>
      <c r="AW18" s="1385">
        <v>523</v>
      </c>
      <c r="AX18" s="48">
        <v>666</v>
      </c>
      <c r="AY18" s="48">
        <v>893</v>
      </c>
      <c r="AZ18" s="48">
        <v>891</v>
      </c>
      <c r="BA18" s="1385">
        <v>790</v>
      </c>
      <c r="BB18" s="48">
        <v>880</v>
      </c>
      <c r="BC18" s="48">
        <v>1040</v>
      </c>
      <c r="BD18" s="53">
        <v>1063</v>
      </c>
      <c r="BE18" s="1385">
        <v>1469</v>
      </c>
      <c r="BF18" s="653">
        <v>1470</v>
      </c>
      <c r="BG18" s="653">
        <v>1564</v>
      </c>
      <c r="BH18" s="653">
        <v>1843</v>
      </c>
      <c r="BI18" s="652">
        <v>1976</v>
      </c>
      <c r="BJ18" s="1254">
        <f>BI18</f>
        <v>1976</v>
      </c>
      <c r="BK18" s="652">
        <v>2123</v>
      </c>
      <c r="BL18" s="653">
        <v>2415</v>
      </c>
      <c r="BM18" s="653">
        <v>2470</v>
      </c>
      <c r="BN18" s="1385">
        <v>3079</v>
      </c>
      <c r="BO18" s="1254">
        <f>BN18</f>
        <v>3079</v>
      </c>
      <c r="BP18" s="652">
        <v>4090</v>
      </c>
      <c r="BQ18" s="653">
        <v>4409</v>
      </c>
      <c r="BR18" s="653">
        <v>4813</v>
      </c>
      <c r="BS18" s="1385">
        <v>5183</v>
      </c>
      <c r="BT18" s="1254">
        <f>BS18</f>
        <v>5183</v>
      </c>
      <c r="BU18" s="822">
        <v>5577</v>
      </c>
      <c r="BV18" s="652">
        <v>5820</v>
      </c>
      <c r="BW18" s="652">
        <v>5705</v>
      </c>
      <c r="BX18" s="652">
        <v>5878</v>
      </c>
      <c r="BY18" s="1254">
        <f>BX18</f>
        <v>5878</v>
      </c>
      <c r="BZ18" s="652">
        <v>6131</v>
      </c>
      <c r="CA18" s="652">
        <v>6642</v>
      </c>
      <c r="CB18" s="652">
        <v>7269</v>
      </c>
      <c r="CC18" s="1385">
        <v>7813</v>
      </c>
      <c r="CD18" s="687">
        <f>CC18</f>
        <v>7813</v>
      </c>
      <c r="CE18" s="652">
        <v>10976</v>
      </c>
      <c r="CF18" s="652">
        <v>11487</v>
      </c>
      <c r="CG18" s="652">
        <v>12673</v>
      </c>
      <c r="CH18" s="652">
        <v>13859</v>
      </c>
      <c r="CI18" s="687">
        <f t="shared" ref="CI18:CI25" si="40">CH18</f>
        <v>13859</v>
      </c>
      <c r="CJ18" s="652">
        <v>14474</v>
      </c>
      <c r="CK18" s="652">
        <v>12112</v>
      </c>
      <c r="CL18" s="652">
        <v>12488</v>
      </c>
      <c r="CM18" s="652">
        <v>13078</v>
      </c>
      <c r="CN18" s="4352">
        <f t="shared" ref="CN18:CN25" si="41">CM18</f>
        <v>13078</v>
      </c>
      <c r="CO18" s="652">
        <v>12367</v>
      </c>
      <c r="CP18" s="652">
        <v>12961</v>
      </c>
      <c r="CQ18" s="652">
        <v>14656</v>
      </c>
      <c r="CR18" s="652">
        <v>20703</v>
      </c>
      <c r="CS18" s="4352">
        <f>CR18</f>
        <v>20703</v>
      </c>
      <c r="CT18" s="652">
        <v>25294</v>
      </c>
      <c r="CU18" s="652">
        <v>25532</v>
      </c>
      <c r="CV18" s="652">
        <v>26101</v>
      </c>
      <c r="CW18" s="652">
        <v>29549</v>
      </c>
      <c r="CX18" s="4352">
        <f>CW18</f>
        <v>29549</v>
      </c>
      <c r="CY18" s="652">
        <v>30544</v>
      </c>
      <c r="CZ18" s="652">
        <v>30665</v>
      </c>
      <c r="DA18" s="652">
        <v>30419</v>
      </c>
      <c r="DB18" s="652">
        <v>30492</v>
      </c>
      <c r="DC18" s="687">
        <f>DB18</f>
        <v>30492</v>
      </c>
      <c r="DD18" s="652">
        <v>31213</v>
      </c>
      <c r="DE18" s="652">
        <v>31224</v>
      </c>
      <c r="DF18" s="652">
        <v>30907</v>
      </c>
      <c r="DG18" s="652">
        <v>31008</v>
      </c>
      <c r="DH18" s="687">
        <f>DG18</f>
        <v>31008</v>
      </c>
      <c r="DI18" s="652">
        <v>33994</v>
      </c>
      <c r="DJ18" s="652">
        <v>34172</v>
      </c>
      <c r="DK18" s="652">
        <v>36177</v>
      </c>
      <c r="DL18" s="652">
        <v>37982</v>
      </c>
      <c r="DM18" s="687">
        <f t="shared" ref="DM18:EA25" si="42">DL18</f>
        <v>37982</v>
      </c>
      <c r="DN18" s="652">
        <v>51029</v>
      </c>
      <c r="DO18" s="652">
        <v>52574</v>
      </c>
      <c r="DP18" s="652">
        <v>63800</v>
      </c>
      <c r="DQ18" s="537">
        <f t="shared" ref="DQ18" si="43">+DP18</f>
        <v>63800</v>
      </c>
      <c r="DR18" s="687">
        <f t="shared" si="42"/>
        <v>63800</v>
      </c>
      <c r="DS18" s="537">
        <f t="shared" ref="DS18" si="44">+DR18</f>
        <v>63800</v>
      </c>
      <c r="DT18" s="537">
        <f t="shared" ref="DT18" si="45">+DS18</f>
        <v>63800</v>
      </c>
      <c r="DU18" s="537">
        <f t="shared" ref="DU18" si="46">+DT18</f>
        <v>63800</v>
      </c>
      <c r="DV18" s="537">
        <f t="shared" ref="DV18" si="47">+DU18</f>
        <v>63800</v>
      </c>
      <c r="DW18" s="687">
        <f t="shared" si="42"/>
        <v>63800</v>
      </c>
      <c r="DX18" s="687">
        <f t="shared" si="42"/>
        <v>63800</v>
      </c>
      <c r="DY18" s="687">
        <f t="shared" si="42"/>
        <v>63800</v>
      </c>
      <c r="DZ18" s="687">
        <f t="shared" si="42"/>
        <v>63800</v>
      </c>
      <c r="EA18" s="687">
        <f t="shared" si="42"/>
        <v>63800</v>
      </c>
      <c r="EC18" s="755"/>
      <c r="ED18" s="755"/>
    </row>
    <row r="19" spans="1:134" s="45" customFormat="1" ht="11.25" customHeight="1">
      <c r="A19" s="1595" t="s">
        <v>855</v>
      </c>
      <c r="B19" s="37"/>
      <c r="C19" s="37"/>
      <c r="D19" s="37"/>
      <c r="E19" s="1385"/>
      <c r="F19" s="37"/>
      <c r="G19" s="37"/>
      <c r="H19" s="37"/>
      <c r="I19" s="1385"/>
      <c r="J19" s="3662"/>
      <c r="K19" s="37"/>
      <c r="L19" s="37"/>
      <c r="M19" s="1385"/>
      <c r="N19" s="3662"/>
      <c r="O19" s="37"/>
      <c r="P19" s="37"/>
      <c r="Q19" s="1385"/>
      <c r="R19" s="62"/>
      <c r="S19" s="62"/>
      <c r="T19" s="62"/>
      <c r="U19" s="1385"/>
      <c r="V19" s="4204"/>
      <c r="W19" s="47"/>
      <c r="X19" s="47"/>
      <c r="Y19" s="1385"/>
      <c r="Z19" s="47"/>
      <c r="AA19" s="47"/>
      <c r="AB19" s="47"/>
      <c r="AC19" s="1385"/>
      <c r="AD19" s="4204"/>
      <c r="AE19" s="43"/>
      <c r="AF19" s="43"/>
      <c r="AG19" s="1385"/>
      <c r="AH19" s="47"/>
      <c r="AI19" s="47"/>
      <c r="AJ19" s="47"/>
      <c r="AK19" s="1385"/>
      <c r="AL19" s="47"/>
      <c r="AM19" s="47"/>
      <c r="AN19" s="47"/>
      <c r="AO19" s="1385"/>
      <c r="AP19" s="47"/>
      <c r="AQ19" s="47"/>
      <c r="AR19" s="47"/>
      <c r="AS19" s="1385"/>
      <c r="AT19" s="48"/>
      <c r="AU19" s="44"/>
      <c r="AV19" s="48"/>
      <c r="AW19" s="1385"/>
      <c r="AX19" s="48"/>
      <c r="AY19" s="48"/>
      <c r="AZ19" s="48"/>
      <c r="BA19" s="1385"/>
      <c r="BB19" s="48"/>
      <c r="BC19" s="48"/>
      <c r="BD19" s="2607"/>
      <c r="BE19" s="1385"/>
      <c r="BF19" s="653"/>
      <c r="BG19" s="653"/>
      <c r="BH19" s="653"/>
      <c r="BI19" s="652"/>
      <c r="BJ19" s="4205"/>
      <c r="BK19" s="652"/>
      <c r="BL19" s="653"/>
      <c r="BM19" s="653"/>
      <c r="BN19" s="1385"/>
      <c r="BO19" s="4205"/>
      <c r="BP19" s="652"/>
      <c r="BQ19" s="653"/>
      <c r="BR19" s="653"/>
      <c r="BS19" s="1385">
        <v>251</v>
      </c>
      <c r="BT19" s="4205">
        <f>BS19</f>
        <v>251</v>
      </c>
      <c r="BU19" s="822">
        <v>233</v>
      </c>
      <c r="BV19" s="652">
        <v>253</v>
      </c>
      <c r="BW19" s="652">
        <v>273</v>
      </c>
      <c r="BX19" s="652">
        <v>383</v>
      </c>
      <c r="BY19" s="4205">
        <f>BX19</f>
        <v>383</v>
      </c>
      <c r="BZ19" s="652">
        <v>365</v>
      </c>
      <c r="CA19" s="652">
        <v>376</v>
      </c>
      <c r="CB19" s="652">
        <v>505</v>
      </c>
      <c r="CC19" s="1385">
        <v>680</v>
      </c>
      <c r="CD19" s="4205">
        <f>CC19</f>
        <v>680</v>
      </c>
      <c r="CE19" s="652">
        <v>678</v>
      </c>
      <c r="CF19" s="652">
        <v>685</v>
      </c>
      <c r="CG19" s="652">
        <v>682</v>
      </c>
      <c r="CH19" s="652">
        <v>737</v>
      </c>
      <c r="CI19" s="4205">
        <f t="shared" si="40"/>
        <v>737</v>
      </c>
      <c r="CJ19" s="652">
        <v>750</v>
      </c>
      <c r="CK19" s="652">
        <v>585</v>
      </c>
      <c r="CL19" s="652">
        <v>564</v>
      </c>
      <c r="CM19" s="652">
        <v>721</v>
      </c>
      <c r="CN19" s="4356">
        <f t="shared" si="41"/>
        <v>721</v>
      </c>
      <c r="CO19" s="652">
        <v>730</v>
      </c>
      <c r="CP19" s="652">
        <v>895</v>
      </c>
      <c r="CQ19" s="652">
        <v>972</v>
      </c>
      <c r="CR19" s="652">
        <v>1084</v>
      </c>
      <c r="CS19" s="4356">
        <f>CR19</f>
        <v>1084</v>
      </c>
      <c r="CT19" s="652">
        <v>1129</v>
      </c>
      <c r="CU19" s="652">
        <v>1153</v>
      </c>
      <c r="CV19" s="652">
        <v>1195</v>
      </c>
      <c r="CW19" s="652">
        <v>1284</v>
      </c>
      <c r="CX19" s="4356">
        <f>CW19</f>
        <v>1284</v>
      </c>
      <c r="CY19" s="652">
        <v>1388</v>
      </c>
      <c r="CZ19" s="652">
        <v>1490</v>
      </c>
      <c r="DA19" s="652">
        <v>2991</v>
      </c>
      <c r="DB19" s="652">
        <v>5261</v>
      </c>
      <c r="DC19" s="4205">
        <f>DB19</f>
        <v>5261</v>
      </c>
      <c r="DD19" s="652">
        <v>6885</v>
      </c>
      <c r="DE19" s="652">
        <v>9357</v>
      </c>
      <c r="DF19" s="652">
        <v>10983</v>
      </c>
      <c r="DG19" s="652">
        <v>12169</v>
      </c>
      <c r="DH19" s="4205">
        <f>DG19</f>
        <v>12169</v>
      </c>
      <c r="DI19" s="652">
        <v>11687</v>
      </c>
      <c r="DJ19" s="652">
        <v>14958</v>
      </c>
      <c r="DK19" s="652">
        <v>15915</v>
      </c>
      <c r="DL19" s="652">
        <v>17180</v>
      </c>
      <c r="DM19" s="4205">
        <f t="shared" si="42"/>
        <v>17180</v>
      </c>
      <c r="DN19" s="652">
        <v>18386</v>
      </c>
      <c r="DO19" s="652">
        <v>19289</v>
      </c>
      <c r="DP19" s="652">
        <v>10331</v>
      </c>
      <c r="DQ19" s="537">
        <f t="shared" ref="DQ19" si="48">DP19</f>
        <v>10331</v>
      </c>
      <c r="DR19" s="4205">
        <f t="shared" si="42"/>
        <v>10331</v>
      </c>
      <c r="DS19" s="537">
        <f t="shared" ref="DS19" si="49">DR19</f>
        <v>10331</v>
      </c>
      <c r="DT19" s="537">
        <f t="shared" ref="DT19" si="50">DS19</f>
        <v>10331</v>
      </c>
      <c r="DU19" s="537">
        <f t="shared" ref="DU19" si="51">DT19</f>
        <v>10331</v>
      </c>
      <c r="DV19" s="537">
        <f t="shared" ref="DV19" si="52">DU19</f>
        <v>10331</v>
      </c>
      <c r="DW19" s="4205">
        <f t="shared" si="42"/>
        <v>10331</v>
      </c>
      <c r="DX19" s="4205">
        <f t="shared" si="42"/>
        <v>10331</v>
      </c>
      <c r="DY19" s="4205">
        <f t="shared" si="42"/>
        <v>10331</v>
      </c>
      <c r="DZ19" s="4205">
        <f t="shared" si="42"/>
        <v>10331</v>
      </c>
      <c r="EA19" s="4205">
        <f t="shared" si="42"/>
        <v>10331</v>
      </c>
      <c r="EC19" s="755"/>
      <c r="ED19" s="755"/>
    </row>
    <row r="20" spans="1:134" s="45" customFormat="1" ht="11.25" customHeight="1">
      <c r="A20" s="1595" t="s">
        <v>133</v>
      </c>
      <c r="B20" s="36"/>
      <c r="C20" s="36"/>
      <c r="D20" s="36"/>
      <c r="E20" s="1390"/>
      <c r="F20" s="36"/>
      <c r="G20" s="36"/>
      <c r="H20" s="37"/>
      <c r="I20" s="1390"/>
      <c r="J20" s="39"/>
      <c r="K20" s="37"/>
      <c r="L20" s="37"/>
      <c r="M20" s="1390"/>
      <c r="N20" s="39"/>
      <c r="O20" s="37"/>
      <c r="P20" s="37"/>
      <c r="Q20" s="1390">
        <v>53.872999999999998</v>
      </c>
      <c r="R20" s="37"/>
      <c r="S20" s="37"/>
      <c r="T20" s="37"/>
      <c r="U20" s="1390">
        <v>188.255</v>
      </c>
      <c r="V20" s="41">
        <v>253.006</v>
      </c>
      <c r="W20" s="43">
        <v>320.71800000000002</v>
      </c>
      <c r="X20" s="43">
        <v>362.60899999999998</v>
      </c>
      <c r="Y20" s="1390">
        <v>378.916</v>
      </c>
      <c r="Z20" s="43">
        <v>474.82900000000001</v>
      </c>
      <c r="AA20" s="43">
        <v>576.59699999999998</v>
      </c>
      <c r="AB20" s="43">
        <v>803.07799999999997</v>
      </c>
      <c r="AC20" s="1390">
        <v>961.74900000000002</v>
      </c>
      <c r="AD20" s="41">
        <v>1209.681</v>
      </c>
      <c r="AE20" s="43">
        <v>1799.7660000000001</v>
      </c>
      <c r="AF20" s="43">
        <v>2174.3139999999999</v>
      </c>
      <c r="AG20" s="1390">
        <v>2395.239</v>
      </c>
      <c r="AH20" s="41">
        <v>2826.7170000000001</v>
      </c>
      <c r="AI20" s="43">
        <v>3219.28</v>
      </c>
      <c r="AJ20" s="43">
        <v>3588.8139999999999</v>
      </c>
      <c r="AK20" s="1390">
        <v>4039.261</v>
      </c>
      <c r="AL20" s="41">
        <v>4741.7240000000002</v>
      </c>
      <c r="AM20" s="43">
        <v>5137.71</v>
      </c>
      <c r="AN20" s="43">
        <v>5213.1670000000004</v>
      </c>
      <c r="AO20" s="1390">
        <v>5233.8429999999998</v>
      </c>
      <c r="AP20" s="41">
        <v>5122.1049999999996</v>
      </c>
      <c r="AQ20" s="42">
        <v>5005.8999999999996</v>
      </c>
      <c r="AR20" s="42">
        <v>4917.491</v>
      </c>
      <c r="AS20" s="1390">
        <v>4844.6099999999997</v>
      </c>
      <c r="AT20" s="64">
        <v>4773</v>
      </c>
      <c r="AU20" s="65">
        <v>4920</v>
      </c>
      <c r="AV20" s="65">
        <v>5506</v>
      </c>
      <c r="AW20" s="1390">
        <v>7759</v>
      </c>
      <c r="AX20" s="64">
        <v>8249</v>
      </c>
      <c r="AY20" s="65">
        <v>9003</v>
      </c>
      <c r="AZ20" s="65">
        <v>9204</v>
      </c>
      <c r="BA20" s="1390">
        <v>9603</v>
      </c>
      <c r="BB20" s="65">
        <v>9875</v>
      </c>
      <c r="BC20" s="65">
        <v>10909</v>
      </c>
      <c r="BD20" s="65">
        <v>11401</v>
      </c>
      <c r="BE20" s="1390">
        <v>11854</v>
      </c>
      <c r="BF20" s="656">
        <v>12300</v>
      </c>
      <c r="BG20" s="656">
        <v>12912</v>
      </c>
      <c r="BH20" s="656">
        <v>14867</v>
      </c>
      <c r="BI20" s="656">
        <v>16524</v>
      </c>
      <c r="BJ20" s="1255">
        <f t="shared" ref="BJ20:BJ25" si="53">BI20</f>
        <v>16524</v>
      </c>
      <c r="BK20" s="652">
        <v>17877</v>
      </c>
      <c r="BL20" s="656">
        <v>19486</v>
      </c>
      <c r="BM20" s="656">
        <v>20981</v>
      </c>
      <c r="BN20" s="1390">
        <v>23883</v>
      </c>
      <c r="BO20" s="1255">
        <f t="shared" ref="BO20:BO25" si="54">BN20</f>
        <v>23883</v>
      </c>
      <c r="BP20" s="652">
        <v>25448</v>
      </c>
      <c r="BQ20" s="656">
        <v>27008</v>
      </c>
      <c r="BR20" s="656">
        <v>28338</v>
      </c>
      <c r="BS20" s="1390">
        <v>29016</v>
      </c>
      <c r="BT20" s="1255">
        <f t="shared" ref="BT20:BT25" si="55">BS20</f>
        <v>29016</v>
      </c>
      <c r="BU20" s="821">
        <v>30162</v>
      </c>
      <c r="BV20" s="656">
        <v>31413</v>
      </c>
      <c r="BW20" s="656">
        <v>32753</v>
      </c>
      <c r="BX20" s="656">
        <v>34234</v>
      </c>
      <c r="BY20" s="1255">
        <f t="shared" ref="BY20:BY25" si="56">BX20</f>
        <v>34234</v>
      </c>
      <c r="BZ20" s="656">
        <v>35936</v>
      </c>
      <c r="CA20" s="656">
        <v>37676</v>
      </c>
      <c r="CB20" s="656">
        <v>40120</v>
      </c>
      <c r="CC20" s="1390">
        <v>42383</v>
      </c>
      <c r="CD20" s="687">
        <f t="shared" ref="CD20:CD25" si="57">CC20</f>
        <v>42383</v>
      </c>
      <c r="CE20" s="656">
        <v>48845</v>
      </c>
      <c r="CF20" s="656">
        <v>51672</v>
      </c>
      <c r="CG20" s="656">
        <v>55300</v>
      </c>
      <c r="CH20" s="656">
        <v>59719</v>
      </c>
      <c r="CI20" s="687">
        <f t="shared" si="40"/>
        <v>59719</v>
      </c>
      <c r="CJ20" s="656">
        <v>60528</v>
      </c>
      <c r="CK20" s="656">
        <v>64891</v>
      </c>
      <c r="CL20" s="656">
        <v>69252</v>
      </c>
      <c r="CM20" s="656">
        <v>73646</v>
      </c>
      <c r="CN20" s="4352">
        <f t="shared" si="41"/>
        <v>73646</v>
      </c>
      <c r="CO20" s="656">
        <v>76747</v>
      </c>
      <c r="CP20" s="656">
        <v>78748</v>
      </c>
      <c r="CQ20" s="656">
        <v>81636</v>
      </c>
      <c r="CR20" s="656">
        <v>84749</v>
      </c>
      <c r="CS20" s="4352">
        <f t="shared" ref="CS20:CS25" si="58">CR20</f>
        <v>84749</v>
      </c>
      <c r="CT20" s="656">
        <v>87606</v>
      </c>
      <c r="CU20" s="656">
        <v>91697</v>
      </c>
      <c r="CV20" s="656">
        <v>94631</v>
      </c>
      <c r="CW20" s="656">
        <v>97599</v>
      </c>
      <c r="CX20" s="4352">
        <f t="shared" ref="CX20:CX25" si="59">CW20</f>
        <v>97599</v>
      </c>
      <c r="CY20" s="656">
        <v>104218</v>
      </c>
      <c r="CZ20" s="656">
        <v>106223</v>
      </c>
      <c r="DA20" s="656">
        <v>108363</v>
      </c>
      <c r="DB20" s="656">
        <v>112668</v>
      </c>
      <c r="DC20" s="687">
        <f t="shared" ref="DC20:DC25" si="60">DB20</f>
        <v>112668</v>
      </c>
      <c r="DD20" s="656">
        <v>117560</v>
      </c>
      <c r="DE20" s="656">
        <v>121208</v>
      </c>
      <c r="DF20" s="656">
        <v>125705</v>
      </c>
      <c r="DG20" s="656">
        <v>134345</v>
      </c>
      <c r="DH20" s="687">
        <f t="shared" ref="DH20:DH25" si="61">DG20</f>
        <v>134345</v>
      </c>
      <c r="DI20" s="656">
        <v>143182</v>
      </c>
      <c r="DJ20" s="656">
        <v>151155</v>
      </c>
      <c r="DK20" s="656">
        <v>161270</v>
      </c>
      <c r="DL20" s="656">
        <v>171036</v>
      </c>
      <c r="DM20" s="687">
        <f t="shared" ref="DM20:DM25" si="62">DL20</f>
        <v>171036</v>
      </c>
      <c r="DN20" s="656">
        <v>185062</v>
      </c>
      <c r="DO20" s="656">
        <v>203231</v>
      </c>
      <c r="DP20" s="656">
        <v>223787</v>
      </c>
      <c r="DQ20" s="226">
        <f t="shared" ref="DQ20" si="63">DQ171</f>
        <v>246152.21264368773</v>
      </c>
      <c r="DR20" s="687">
        <f t="shared" si="42"/>
        <v>246152.21264368773</v>
      </c>
      <c r="DS20" s="226">
        <f t="shared" ref="DS20:DV20" si="64">DS171</f>
        <v>270417.10054354579</v>
      </c>
      <c r="DT20" s="226">
        <f t="shared" si="64"/>
        <v>296531.3190007722</v>
      </c>
      <c r="DU20" s="226">
        <f t="shared" si="64"/>
        <v>323341.18808013498</v>
      </c>
      <c r="DV20" s="226">
        <f t="shared" si="64"/>
        <v>350214.89804482693</v>
      </c>
      <c r="DW20" s="687">
        <f t="shared" si="42"/>
        <v>350214.89804482693</v>
      </c>
      <c r="DX20" s="687">
        <f>DX171</f>
        <v>456138.78088346461</v>
      </c>
      <c r="DY20" s="687">
        <f>DY171</f>
        <v>570275.23792444437</v>
      </c>
      <c r="DZ20" s="687">
        <f>DZ171</f>
        <v>693147.31250954326</v>
      </c>
      <c r="EA20" s="687">
        <f>EA171</f>
        <v>824424.94851086696</v>
      </c>
      <c r="EC20" s="755"/>
      <c r="ED20" s="755"/>
    </row>
    <row r="21" spans="1:134" s="45" customFormat="1" ht="11.25" customHeight="1">
      <c r="A21" s="1595" t="s">
        <v>849</v>
      </c>
      <c r="B21" s="67"/>
      <c r="C21" s="67"/>
      <c r="D21" s="67"/>
      <c r="E21" s="1385"/>
      <c r="F21" s="67"/>
      <c r="G21" s="67"/>
      <c r="H21" s="67"/>
      <c r="I21" s="1385"/>
      <c r="J21" s="3848"/>
      <c r="K21" s="69"/>
      <c r="L21" s="69"/>
      <c r="M21" s="1385"/>
      <c r="N21" s="3662"/>
      <c r="O21" s="37"/>
      <c r="P21" s="37"/>
      <c r="Q21" s="1385"/>
      <c r="R21" s="37"/>
      <c r="S21" s="37"/>
      <c r="T21" s="37"/>
      <c r="U21" s="1385"/>
      <c r="V21" s="3666"/>
      <c r="W21" s="43"/>
      <c r="X21" s="43"/>
      <c r="Y21" s="1385"/>
      <c r="Z21" s="43"/>
      <c r="AA21" s="43"/>
      <c r="AB21" s="43"/>
      <c r="AC21" s="1385"/>
      <c r="AD21" s="3666"/>
      <c r="AE21" s="43"/>
      <c r="AF21" s="43"/>
      <c r="AG21" s="1385"/>
      <c r="AH21" s="4204"/>
      <c r="AI21" s="47"/>
      <c r="AJ21" s="47"/>
      <c r="AK21" s="1385"/>
      <c r="AL21" s="4204"/>
      <c r="AM21" s="47"/>
      <c r="AN21" s="47"/>
      <c r="AO21" s="1385"/>
      <c r="AP21" s="4204"/>
      <c r="AQ21" s="47"/>
      <c r="AR21" s="47"/>
      <c r="AS21" s="1385"/>
      <c r="AT21" s="48"/>
      <c r="AU21" s="44"/>
      <c r="AV21" s="48"/>
      <c r="AW21" s="1385"/>
      <c r="AX21" s="48"/>
      <c r="AY21" s="48"/>
      <c r="AZ21" s="48"/>
      <c r="BA21" s="1385"/>
      <c r="BB21" s="48"/>
      <c r="BC21" s="48"/>
      <c r="BD21" s="2607"/>
      <c r="BE21" s="1385"/>
      <c r="BF21" s="653"/>
      <c r="BG21" s="653"/>
      <c r="BH21" s="653"/>
      <c r="BI21" s="652"/>
      <c r="BJ21" s="4205"/>
      <c r="BK21" s="652"/>
      <c r="BL21" s="653"/>
      <c r="BM21" s="653"/>
      <c r="BN21" s="1385"/>
      <c r="BO21" s="4205"/>
      <c r="BP21" s="652"/>
      <c r="BQ21" s="653"/>
      <c r="BR21" s="653"/>
      <c r="BS21" s="1385"/>
      <c r="BT21" s="4205"/>
      <c r="BU21" s="822"/>
      <c r="BV21" s="652"/>
      <c r="BW21" s="652"/>
      <c r="BX21" s="652"/>
      <c r="BY21" s="4205"/>
      <c r="BZ21" s="652"/>
      <c r="CA21" s="652"/>
      <c r="CB21" s="652"/>
      <c r="CC21" s="1385"/>
      <c r="CD21" s="4205"/>
      <c r="CE21" s="652"/>
      <c r="CF21" s="652"/>
      <c r="CG21" s="652"/>
      <c r="CH21" s="652">
        <v>0</v>
      </c>
      <c r="CI21" s="4205">
        <f t="shared" si="40"/>
        <v>0</v>
      </c>
      <c r="CJ21" s="652">
        <v>8837</v>
      </c>
      <c r="CK21" s="652">
        <v>9713</v>
      </c>
      <c r="CL21" s="652">
        <v>10341</v>
      </c>
      <c r="CM21" s="652">
        <v>10941</v>
      </c>
      <c r="CN21" s="4356">
        <f t="shared" si="41"/>
        <v>10941</v>
      </c>
      <c r="CO21" s="652">
        <v>11219</v>
      </c>
      <c r="CP21" s="652">
        <v>11567</v>
      </c>
      <c r="CQ21" s="652">
        <v>11946</v>
      </c>
      <c r="CR21" s="652">
        <v>12211</v>
      </c>
      <c r="CS21" s="4356">
        <f t="shared" si="58"/>
        <v>12211</v>
      </c>
      <c r="CT21" s="652">
        <v>12598</v>
      </c>
      <c r="CU21" s="652">
        <v>12978</v>
      </c>
      <c r="CV21" s="652">
        <v>12918</v>
      </c>
      <c r="CW21" s="652">
        <v>12959</v>
      </c>
      <c r="CX21" s="4356">
        <f t="shared" si="59"/>
        <v>12959</v>
      </c>
      <c r="CY21" s="652">
        <v>12992</v>
      </c>
      <c r="CZ21" s="652">
        <v>13398</v>
      </c>
      <c r="DA21" s="652">
        <v>13677</v>
      </c>
      <c r="DB21" s="652">
        <v>14381</v>
      </c>
      <c r="DC21" s="4205">
        <f t="shared" si="60"/>
        <v>14381</v>
      </c>
      <c r="DD21" s="652">
        <v>14447</v>
      </c>
      <c r="DE21" s="652">
        <v>14469</v>
      </c>
      <c r="DF21" s="652">
        <v>14199</v>
      </c>
      <c r="DG21" s="652">
        <v>14091</v>
      </c>
      <c r="DH21" s="4205">
        <f t="shared" si="61"/>
        <v>14091</v>
      </c>
      <c r="DI21" s="652">
        <v>13768</v>
      </c>
      <c r="DJ21" s="652">
        <v>13606</v>
      </c>
      <c r="DK21" s="652">
        <v>13561</v>
      </c>
      <c r="DL21" s="652">
        <v>13588</v>
      </c>
      <c r="DM21" s="4205">
        <f t="shared" si="62"/>
        <v>13588</v>
      </c>
      <c r="DN21" s="652">
        <v>13722</v>
      </c>
      <c r="DO21" s="652">
        <v>14255</v>
      </c>
      <c r="DP21" s="652">
        <v>14524</v>
      </c>
      <c r="DQ21" s="537">
        <f t="shared" ref="DQ21" si="65">+DP21</f>
        <v>14524</v>
      </c>
      <c r="DR21" s="4205">
        <f t="shared" si="42"/>
        <v>14524</v>
      </c>
      <c r="DS21" s="537">
        <f t="shared" ref="DS21" si="66">+DR21</f>
        <v>14524</v>
      </c>
      <c r="DT21" s="537">
        <f t="shared" ref="DT21" si="67">+DS21</f>
        <v>14524</v>
      </c>
      <c r="DU21" s="537">
        <f t="shared" ref="DU21" si="68">+DT21</f>
        <v>14524</v>
      </c>
      <c r="DV21" s="537">
        <f t="shared" ref="DV21" si="69">+DU21</f>
        <v>14524</v>
      </c>
      <c r="DW21" s="4205">
        <f t="shared" si="42"/>
        <v>14524</v>
      </c>
      <c r="DX21" s="4205">
        <f t="shared" ref="DX21:EA24" si="70">DW21</f>
        <v>14524</v>
      </c>
      <c r="DY21" s="4205">
        <f t="shared" si="70"/>
        <v>14524</v>
      </c>
      <c r="DZ21" s="4205">
        <f t="shared" si="70"/>
        <v>14524</v>
      </c>
      <c r="EA21" s="4205">
        <f t="shared" si="70"/>
        <v>14524</v>
      </c>
      <c r="EC21" s="755"/>
      <c r="ED21" s="755"/>
    </row>
    <row r="22" spans="1:134" s="45" customFormat="1" ht="11.25" customHeight="1">
      <c r="A22" s="1595" t="s">
        <v>135</v>
      </c>
      <c r="B22" s="67"/>
      <c r="C22" s="67"/>
      <c r="D22" s="67"/>
      <c r="E22" s="1385"/>
      <c r="F22" s="67"/>
      <c r="G22" s="67"/>
      <c r="H22" s="67"/>
      <c r="I22" s="1385"/>
      <c r="J22" s="68"/>
      <c r="K22" s="69"/>
      <c r="L22" s="69"/>
      <c r="M22" s="1385"/>
      <c r="N22" s="39"/>
      <c r="O22" s="37"/>
      <c r="P22" s="37"/>
      <c r="Q22" s="1385">
        <v>9.6000000000000002E-2</v>
      </c>
      <c r="R22" s="37"/>
      <c r="S22" s="37"/>
      <c r="T22" s="37"/>
      <c r="U22" s="1385">
        <v>18.114000000000001</v>
      </c>
      <c r="V22" s="41">
        <v>18.754999999999999</v>
      </c>
      <c r="W22" s="43">
        <v>16.312999999999999</v>
      </c>
      <c r="X22" s="43">
        <v>43.66</v>
      </c>
      <c r="Y22" s="1385">
        <v>71.069000000000003</v>
      </c>
      <c r="Z22" s="41">
        <v>61.765999999999998</v>
      </c>
      <c r="AA22" s="43">
        <v>61.933999999999997</v>
      </c>
      <c r="AB22" s="43">
        <v>57.206000000000003</v>
      </c>
      <c r="AC22" s="1385">
        <v>82.783000000000001</v>
      </c>
      <c r="AD22" s="41">
        <v>160.57300000000001</v>
      </c>
      <c r="AE22" s="43">
        <v>146.601</v>
      </c>
      <c r="AF22" s="43">
        <v>177.40600000000001</v>
      </c>
      <c r="AG22" s="1385">
        <v>346.84100000000001</v>
      </c>
      <c r="AH22" s="50">
        <v>326.52600000000001</v>
      </c>
      <c r="AI22" s="47">
        <v>339.57900000000001</v>
      </c>
      <c r="AJ22" s="47">
        <v>485.25200000000001</v>
      </c>
      <c r="AK22" s="1385">
        <v>446.596</v>
      </c>
      <c r="AL22" s="50">
        <v>1256.972</v>
      </c>
      <c r="AM22" s="47">
        <v>1138.991</v>
      </c>
      <c r="AN22" s="47">
        <v>1047.7170000000001</v>
      </c>
      <c r="AO22" s="1385">
        <v>996.69</v>
      </c>
      <c r="AP22" s="50">
        <v>910.34400000000005</v>
      </c>
      <c r="AQ22" s="47">
        <v>856.38599999999997</v>
      </c>
      <c r="AR22" s="47">
        <v>823.24800000000005</v>
      </c>
      <c r="AS22" s="1385">
        <v>774.93799999999999</v>
      </c>
      <c r="AT22" s="48">
        <v>790</v>
      </c>
      <c r="AU22" s="44">
        <v>904</v>
      </c>
      <c r="AV22" s="48">
        <v>993</v>
      </c>
      <c r="AW22" s="1385">
        <v>1044</v>
      </c>
      <c r="AX22" s="48">
        <v>1016</v>
      </c>
      <c r="AY22" s="48">
        <v>1381</v>
      </c>
      <c r="AZ22" s="48">
        <v>1474</v>
      </c>
      <c r="BA22" s="1385">
        <v>1578</v>
      </c>
      <c r="BB22" s="48">
        <v>1541</v>
      </c>
      <c r="BC22" s="48">
        <v>7862</v>
      </c>
      <c r="BD22" s="53">
        <v>7754</v>
      </c>
      <c r="BE22" s="1385">
        <v>7473</v>
      </c>
      <c r="BF22" s="653">
        <v>7324</v>
      </c>
      <c r="BG22" s="653">
        <v>6558</v>
      </c>
      <c r="BH22" s="653">
        <v>6290</v>
      </c>
      <c r="BI22" s="652">
        <v>6066</v>
      </c>
      <c r="BJ22" s="1254">
        <f>BI22</f>
        <v>6066</v>
      </c>
      <c r="BK22" s="652">
        <v>5317</v>
      </c>
      <c r="BL22" s="653">
        <v>5234</v>
      </c>
      <c r="BM22" s="653">
        <v>4744</v>
      </c>
      <c r="BN22" s="1385">
        <v>4607</v>
      </c>
      <c r="BO22" s="1254">
        <f>BN22</f>
        <v>4607</v>
      </c>
      <c r="BP22" s="652">
        <v>4380</v>
      </c>
      <c r="BQ22" s="653">
        <v>4213</v>
      </c>
      <c r="BR22" s="653">
        <v>4023</v>
      </c>
      <c r="BS22" s="1385">
        <v>3847</v>
      </c>
      <c r="BT22" s="1254">
        <f>BS22</f>
        <v>3847</v>
      </c>
      <c r="BU22" s="822">
        <v>3657</v>
      </c>
      <c r="BV22" s="652">
        <v>3452</v>
      </c>
      <c r="BW22" s="652">
        <v>3367</v>
      </c>
      <c r="BX22" s="652">
        <v>3307</v>
      </c>
      <c r="BY22" s="1254">
        <f>BX22</f>
        <v>3307</v>
      </c>
      <c r="BZ22" s="652">
        <v>3137</v>
      </c>
      <c r="CA22" s="652">
        <v>2933</v>
      </c>
      <c r="CB22" s="652">
        <v>2883</v>
      </c>
      <c r="CC22" s="1385">
        <v>2692</v>
      </c>
      <c r="CD22" s="687">
        <f>CC22</f>
        <v>2692</v>
      </c>
      <c r="CE22" s="652">
        <v>2809</v>
      </c>
      <c r="CF22" s="652">
        <v>2662</v>
      </c>
      <c r="CG22" s="652">
        <v>2448</v>
      </c>
      <c r="CH22" s="652">
        <v>2220</v>
      </c>
      <c r="CI22" s="687">
        <f>CH22</f>
        <v>2220</v>
      </c>
      <c r="CJ22" s="652">
        <v>2063</v>
      </c>
      <c r="CK22" s="652">
        <v>1902</v>
      </c>
      <c r="CL22" s="652">
        <v>1747</v>
      </c>
      <c r="CM22" s="652">
        <v>1979</v>
      </c>
      <c r="CN22" s="4352">
        <f>CM22</f>
        <v>1979</v>
      </c>
      <c r="CO22" s="652">
        <v>1840</v>
      </c>
      <c r="CP22" s="652">
        <v>1697</v>
      </c>
      <c r="CQ22" s="652">
        <v>1520</v>
      </c>
      <c r="CR22" s="652">
        <v>1445</v>
      </c>
      <c r="CS22" s="4352">
        <f>CR22</f>
        <v>1445</v>
      </c>
      <c r="CT22" s="652">
        <v>1823</v>
      </c>
      <c r="CU22" s="652">
        <v>1626</v>
      </c>
      <c r="CV22" s="652">
        <v>1549</v>
      </c>
      <c r="CW22" s="652">
        <v>1417</v>
      </c>
      <c r="CX22" s="4352">
        <f t="shared" si="59"/>
        <v>1417</v>
      </c>
      <c r="CY22" s="652">
        <v>1313</v>
      </c>
      <c r="CZ22" s="652">
        <v>1377</v>
      </c>
      <c r="DA22" s="652">
        <v>2192</v>
      </c>
      <c r="DB22" s="652">
        <v>2084</v>
      </c>
      <c r="DC22" s="687">
        <f t="shared" si="60"/>
        <v>2084</v>
      </c>
      <c r="DD22" s="652">
        <v>1968</v>
      </c>
      <c r="DE22" s="652">
        <v>1966</v>
      </c>
      <c r="DF22" s="652">
        <v>1833</v>
      </c>
      <c r="DG22" s="652">
        <v>0</v>
      </c>
      <c r="DH22" s="687">
        <f t="shared" si="61"/>
        <v>0</v>
      </c>
      <c r="DI22" s="652">
        <v>0</v>
      </c>
      <c r="DJ22" s="652">
        <v>0</v>
      </c>
      <c r="DK22" s="652">
        <v>0</v>
      </c>
      <c r="DL22" s="652">
        <v>0</v>
      </c>
      <c r="DM22" s="687">
        <f t="shared" si="62"/>
        <v>0</v>
      </c>
      <c r="DN22" s="652">
        <v>0</v>
      </c>
      <c r="DO22" s="652">
        <v>0</v>
      </c>
      <c r="DP22" s="652">
        <v>0</v>
      </c>
      <c r="DQ22" s="537">
        <f t="shared" ref="DQ22" si="71">DP22</f>
        <v>0</v>
      </c>
      <c r="DR22" s="687">
        <f t="shared" si="42"/>
        <v>0</v>
      </c>
      <c r="DS22" s="537">
        <f t="shared" ref="DS22" si="72">DR22</f>
        <v>0</v>
      </c>
      <c r="DT22" s="537">
        <f t="shared" ref="DT22" si="73">DS22</f>
        <v>0</v>
      </c>
      <c r="DU22" s="537">
        <f t="shared" ref="DU22" si="74">DT22</f>
        <v>0</v>
      </c>
      <c r="DV22" s="537">
        <f t="shared" ref="DV22" si="75">DU22</f>
        <v>0</v>
      </c>
      <c r="DW22" s="687">
        <f t="shared" si="42"/>
        <v>0</v>
      </c>
      <c r="DX22" s="687">
        <f t="shared" si="70"/>
        <v>0</v>
      </c>
      <c r="DY22" s="687">
        <f t="shared" si="70"/>
        <v>0</v>
      </c>
      <c r="DZ22" s="687">
        <f t="shared" si="70"/>
        <v>0</v>
      </c>
      <c r="EA22" s="687">
        <f t="shared" si="70"/>
        <v>0</v>
      </c>
      <c r="EC22" s="755"/>
      <c r="ED22" s="755"/>
    </row>
    <row r="23" spans="1:134" s="45" customFormat="1" ht="11.25" customHeight="1">
      <c r="A23" s="1595" t="s">
        <v>134</v>
      </c>
      <c r="B23" s="67"/>
      <c r="C23" s="67"/>
      <c r="D23" s="67"/>
      <c r="E23" s="1385"/>
      <c r="F23" s="67"/>
      <c r="G23" s="67"/>
      <c r="H23" s="67"/>
      <c r="I23" s="1385"/>
      <c r="J23" s="68"/>
      <c r="K23" s="69"/>
      <c r="L23" s="69"/>
      <c r="M23" s="1385"/>
      <c r="N23" s="39"/>
      <c r="O23" s="37"/>
      <c r="P23" s="37"/>
      <c r="Q23" s="1385">
        <v>0</v>
      </c>
      <c r="R23" s="37"/>
      <c r="S23" s="37"/>
      <c r="T23" s="37"/>
      <c r="U23" s="1385">
        <v>87.441999999999993</v>
      </c>
      <c r="V23" s="41">
        <v>87.441999999999993</v>
      </c>
      <c r="W23" s="43">
        <v>87.441999999999993</v>
      </c>
      <c r="X23" s="43">
        <v>101.815</v>
      </c>
      <c r="Y23" s="1385">
        <v>122.818</v>
      </c>
      <c r="Z23" s="41">
        <v>124.485</v>
      </c>
      <c r="AA23" s="43">
        <v>154.66999999999999</v>
      </c>
      <c r="AB23" s="43">
        <v>171.39699999999999</v>
      </c>
      <c r="AC23" s="1385">
        <v>194.9</v>
      </c>
      <c r="AD23" s="41">
        <v>318.80599999999998</v>
      </c>
      <c r="AE23" s="43">
        <v>318.59699999999998</v>
      </c>
      <c r="AF23" s="43">
        <v>337.14499999999998</v>
      </c>
      <c r="AG23" s="1385">
        <v>1545.1189999999999</v>
      </c>
      <c r="AH23" s="50">
        <v>1620.566</v>
      </c>
      <c r="AI23" s="47">
        <v>1723.124</v>
      </c>
      <c r="AJ23" s="47">
        <v>2277.3969999999999</v>
      </c>
      <c r="AK23" s="1385">
        <v>2299.3679999999999</v>
      </c>
      <c r="AL23" s="50">
        <v>4738.3990000000003</v>
      </c>
      <c r="AM23" s="47">
        <v>4853.8050000000003</v>
      </c>
      <c r="AN23" s="47">
        <v>4821.6459999999997</v>
      </c>
      <c r="AO23" s="1385">
        <v>4839.8540000000003</v>
      </c>
      <c r="AP23" s="50">
        <v>4830.3149999999996</v>
      </c>
      <c r="AQ23" s="47">
        <v>4836.9129999999996</v>
      </c>
      <c r="AR23" s="47">
        <v>4849.2169999999996</v>
      </c>
      <c r="AS23" s="1385">
        <v>4902.5649999999996</v>
      </c>
      <c r="AT23" s="48">
        <v>5122</v>
      </c>
      <c r="AU23" s="44">
        <v>5788</v>
      </c>
      <c r="AV23" s="48">
        <v>6099</v>
      </c>
      <c r="AW23" s="1385">
        <v>6256</v>
      </c>
      <c r="AX23" s="48">
        <v>6308</v>
      </c>
      <c r="AY23" s="48">
        <v>6677</v>
      </c>
      <c r="AZ23" s="48">
        <v>6989</v>
      </c>
      <c r="BA23" s="1385">
        <v>7346</v>
      </c>
      <c r="BB23" s="48">
        <v>7325</v>
      </c>
      <c r="BC23" s="48">
        <v>10120</v>
      </c>
      <c r="BD23" s="53">
        <v>10485</v>
      </c>
      <c r="BE23" s="1385">
        <v>10537</v>
      </c>
      <c r="BF23" s="653">
        <v>10595</v>
      </c>
      <c r="BG23" s="653">
        <v>11396</v>
      </c>
      <c r="BH23" s="653">
        <v>11426</v>
      </c>
      <c r="BI23" s="652">
        <v>11492</v>
      </c>
      <c r="BJ23" s="1254">
        <f>BI23</f>
        <v>11492</v>
      </c>
      <c r="BK23" s="652">
        <v>14177</v>
      </c>
      <c r="BL23" s="653">
        <v>14586</v>
      </c>
      <c r="BM23" s="653">
        <v>15461</v>
      </c>
      <c r="BN23" s="1385">
        <v>15599</v>
      </c>
      <c r="BO23" s="1254">
        <f>BN23</f>
        <v>15599</v>
      </c>
      <c r="BP23" s="652">
        <v>15573</v>
      </c>
      <c r="BQ23" s="653">
        <v>15610</v>
      </c>
      <c r="BR23" s="653">
        <v>15675</v>
      </c>
      <c r="BS23" s="1385">
        <v>15869</v>
      </c>
      <c r="BT23" s="1254">
        <f>BS23</f>
        <v>15869</v>
      </c>
      <c r="BU23" s="822">
        <v>15866</v>
      </c>
      <c r="BV23" s="652">
        <v>15841</v>
      </c>
      <c r="BW23" s="652">
        <v>16028</v>
      </c>
      <c r="BX23" s="652">
        <v>16468</v>
      </c>
      <c r="BY23" s="1254">
        <f>BX23</f>
        <v>16468</v>
      </c>
      <c r="BZ23" s="652">
        <v>16547</v>
      </c>
      <c r="CA23" s="652">
        <v>16604</v>
      </c>
      <c r="CB23" s="652">
        <v>16731</v>
      </c>
      <c r="CC23" s="1385">
        <v>16747</v>
      </c>
      <c r="CD23" s="687">
        <f>CC23</f>
        <v>16747</v>
      </c>
      <c r="CE23" s="652">
        <v>17862</v>
      </c>
      <c r="CF23" s="652">
        <v>17895</v>
      </c>
      <c r="CG23" s="652">
        <v>17895</v>
      </c>
      <c r="CH23" s="652">
        <v>17888</v>
      </c>
      <c r="CI23" s="687">
        <f>CH23</f>
        <v>17888</v>
      </c>
      <c r="CJ23" s="652">
        <v>17943</v>
      </c>
      <c r="CK23" s="652">
        <v>18000</v>
      </c>
      <c r="CL23" s="652">
        <v>18069</v>
      </c>
      <c r="CM23" s="652">
        <v>20624</v>
      </c>
      <c r="CN23" s="4352">
        <f>CM23</f>
        <v>20624</v>
      </c>
      <c r="CO23" s="652">
        <v>20734</v>
      </c>
      <c r="CP23" s="652">
        <v>20824</v>
      </c>
      <c r="CQ23" s="652">
        <v>20870</v>
      </c>
      <c r="CR23" s="652">
        <v>21175</v>
      </c>
      <c r="CS23" s="4352">
        <f>CR23</f>
        <v>21175</v>
      </c>
      <c r="CT23" s="652">
        <v>22341</v>
      </c>
      <c r="CU23" s="652">
        <v>22406</v>
      </c>
      <c r="CV23" s="652">
        <v>22623</v>
      </c>
      <c r="CW23" s="652">
        <v>22956</v>
      </c>
      <c r="CX23" s="4352">
        <f t="shared" si="59"/>
        <v>22956</v>
      </c>
      <c r="CY23" s="652">
        <v>23010</v>
      </c>
      <c r="CZ23" s="652">
        <v>23949</v>
      </c>
      <c r="DA23" s="652">
        <v>28834</v>
      </c>
      <c r="DB23" s="652">
        <v>28960</v>
      </c>
      <c r="DC23" s="687">
        <f t="shared" si="60"/>
        <v>28960</v>
      </c>
      <c r="DD23" s="652">
        <v>28994</v>
      </c>
      <c r="DE23" s="652">
        <v>29210</v>
      </c>
      <c r="DF23" s="652">
        <v>29146</v>
      </c>
      <c r="DG23" s="652">
        <v>29198</v>
      </c>
      <c r="DH23" s="687">
        <f t="shared" si="61"/>
        <v>29198</v>
      </c>
      <c r="DI23" s="652">
        <v>29183</v>
      </c>
      <c r="DJ23" s="652">
        <v>29185</v>
      </c>
      <c r="DK23" s="652">
        <v>31935</v>
      </c>
      <c r="DL23" s="652">
        <v>31885</v>
      </c>
      <c r="DM23" s="687">
        <f t="shared" si="62"/>
        <v>31885</v>
      </c>
      <c r="DN23" s="652">
        <v>32173</v>
      </c>
      <c r="DO23" s="652">
        <v>32335</v>
      </c>
      <c r="DP23" s="652">
        <v>33269</v>
      </c>
      <c r="DQ23" s="537">
        <f>DP23-CF!DQ28-CF!DQ13</f>
        <v>33269</v>
      </c>
      <c r="DR23" s="687">
        <f t="shared" si="42"/>
        <v>33269</v>
      </c>
      <c r="DS23" s="537">
        <f>DR23-CF!DS28-CF!DS13</f>
        <v>33269</v>
      </c>
      <c r="DT23" s="537">
        <f>DS23-CF!DT28-CF!DT13</f>
        <v>33269</v>
      </c>
      <c r="DU23" s="537">
        <f>DT23-CF!DU28-CF!DU13</f>
        <v>33269</v>
      </c>
      <c r="DV23" s="537">
        <f>DU23-CF!DV28-CF!DV13</f>
        <v>33269</v>
      </c>
      <c r="DW23" s="687">
        <f t="shared" si="42"/>
        <v>33269</v>
      </c>
      <c r="DX23" s="687">
        <f>DW23-CF!DX28-CF!DX13</f>
        <v>33269</v>
      </c>
      <c r="DY23" s="687">
        <f>DX23-CF!DY28-CF!DY13</f>
        <v>33269</v>
      </c>
      <c r="DZ23" s="687">
        <f>DY23-CF!DZ28-CF!DZ13</f>
        <v>33269</v>
      </c>
      <c r="EA23" s="687">
        <f>DZ23-CF!EA28-CF!EA13</f>
        <v>33269</v>
      </c>
      <c r="EC23" s="755"/>
      <c r="ED23" s="755"/>
    </row>
    <row r="24" spans="1:134" s="326" customFormat="1" ht="11.25" customHeight="1">
      <c r="A24" s="1600" t="s">
        <v>264</v>
      </c>
      <c r="B24" s="317"/>
      <c r="C24" s="317"/>
      <c r="D24" s="317"/>
      <c r="E24" s="1388"/>
      <c r="F24" s="317"/>
      <c r="G24" s="317"/>
      <c r="H24" s="317"/>
      <c r="I24" s="1388"/>
      <c r="J24" s="316"/>
      <c r="K24" s="317"/>
      <c r="L24" s="317"/>
      <c r="M24" s="1388"/>
      <c r="N24" s="316"/>
      <c r="O24" s="317"/>
      <c r="P24" s="317"/>
      <c r="Q24" s="1388">
        <v>0</v>
      </c>
      <c r="R24" s="317"/>
      <c r="S24" s="317"/>
      <c r="T24" s="317"/>
      <c r="U24" s="1388">
        <v>0</v>
      </c>
      <c r="V24" s="75">
        <v>0</v>
      </c>
      <c r="W24" s="73">
        <v>0</v>
      </c>
      <c r="X24" s="73">
        <v>0</v>
      </c>
      <c r="Y24" s="1388">
        <v>0</v>
      </c>
      <c r="Z24" s="73">
        <v>0</v>
      </c>
      <c r="AA24" s="73">
        <v>0</v>
      </c>
      <c r="AB24" s="73">
        <v>0</v>
      </c>
      <c r="AC24" s="1388">
        <v>0</v>
      </c>
      <c r="AD24" s="75">
        <v>0</v>
      </c>
      <c r="AE24" s="73">
        <v>0</v>
      </c>
      <c r="AF24" s="73">
        <v>0</v>
      </c>
      <c r="AG24" s="1388">
        <f>AF24</f>
        <v>0</v>
      </c>
      <c r="AH24" s="75">
        <f>AG24</f>
        <v>0</v>
      </c>
      <c r="AI24" s="73">
        <v>0</v>
      </c>
      <c r="AJ24" s="73">
        <f>AI24</f>
        <v>0</v>
      </c>
      <c r="AK24" s="1388">
        <f>AJ24</f>
        <v>0</v>
      </c>
      <c r="AL24" s="75">
        <v>0</v>
      </c>
      <c r="AM24" s="73">
        <v>0</v>
      </c>
      <c r="AN24" s="73">
        <v>0</v>
      </c>
      <c r="AO24" s="1388">
        <v>0</v>
      </c>
      <c r="AP24" s="75">
        <v>0</v>
      </c>
      <c r="AQ24" s="97">
        <v>0</v>
      </c>
      <c r="AR24" s="97">
        <v>0</v>
      </c>
      <c r="AS24" s="1388">
        <v>0</v>
      </c>
      <c r="AT24" s="98">
        <v>0</v>
      </c>
      <c r="AU24" s="98">
        <v>0</v>
      </c>
      <c r="AV24" s="98">
        <v>0</v>
      </c>
      <c r="AW24" s="1388">
        <v>0</v>
      </c>
      <c r="AX24" s="98">
        <v>0</v>
      </c>
      <c r="AY24" s="98">
        <v>0</v>
      </c>
      <c r="AZ24" s="98">
        <v>0</v>
      </c>
      <c r="BA24" s="1388">
        <v>0</v>
      </c>
      <c r="BB24" s="98">
        <v>0</v>
      </c>
      <c r="BC24" s="98">
        <v>0</v>
      </c>
      <c r="BD24" s="83">
        <v>0</v>
      </c>
      <c r="BE24" s="1388">
        <v>0</v>
      </c>
      <c r="BF24" s="98">
        <v>0</v>
      </c>
      <c r="BG24" s="98">
        <v>0</v>
      </c>
      <c r="BH24" s="98">
        <v>0</v>
      </c>
      <c r="BI24" s="98">
        <v>0</v>
      </c>
      <c r="BJ24" s="1266">
        <f t="shared" si="53"/>
        <v>0</v>
      </c>
      <c r="BK24" s="98">
        <v>0</v>
      </c>
      <c r="BL24" s="98">
        <v>0</v>
      </c>
      <c r="BM24" s="98">
        <v>0</v>
      </c>
      <c r="BN24" s="1388">
        <v>0</v>
      </c>
      <c r="BO24" s="1266">
        <f t="shared" si="54"/>
        <v>0</v>
      </c>
      <c r="BP24" s="98">
        <v>0</v>
      </c>
      <c r="BQ24" s="98">
        <v>0</v>
      </c>
      <c r="BR24" s="98">
        <v>0</v>
      </c>
      <c r="BS24" s="1388">
        <v>0</v>
      </c>
      <c r="BT24" s="1266">
        <f t="shared" si="55"/>
        <v>0</v>
      </c>
      <c r="BU24" s="824">
        <v>0</v>
      </c>
      <c r="BV24" s="98">
        <v>0</v>
      </c>
      <c r="BW24" s="98">
        <v>0</v>
      </c>
      <c r="BX24" s="98">
        <v>0</v>
      </c>
      <c r="BY24" s="1266">
        <f t="shared" si="56"/>
        <v>0</v>
      </c>
      <c r="BZ24" s="98">
        <v>0</v>
      </c>
      <c r="CA24" s="98">
        <v>0</v>
      </c>
      <c r="CB24" s="98">
        <v>0</v>
      </c>
      <c r="CC24" s="1388">
        <v>0</v>
      </c>
      <c r="CD24" s="660">
        <f t="shared" si="57"/>
        <v>0</v>
      </c>
      <c r="CE24" s="98">
        <v>0</v>
      </c>
      <c r="CF24" s="98">
        <v>0</v>
      </c>
      <c r="CG24" s="98">
        <v>0</v>
      </c>
      <c r="CH24" s="98">
        <v>0</v>
      </c>
      <c r="CI24" s="687">
        <f t="shared" si="40"/>
        <v>0</v>
      </c>
      <c r="CJ24" s="98">
        <v>0</v>
      </c>
      <c r="CK24" s="98">
        <v>0</v>
      </c>
      <c r="CL24" s="98">
        <v>0</v>
      </c>
      <c r="CM24" s="98">
        <v>0</v>
      </c>
      <c r="CN24" s="4353">
        <f t="shared" si="41"/>
        <v>0</v>
      </c>
      <c r="CO24" s="653">
        <v>0</v>
      </c>
      <c r="CP24" s="670">
        <f>CO24</f>
        <v>0</v>
      </c>
      <c r="CQ24" s="653">
        <v>0</v>
      </c>
      <c r="CR24" s="653">
        <v>0</v>
      </c>
      <c r="CS24" s="4353">
        <f t="shared" si="58"/>
        <v>0</v>
      </c>
      <c r="CT24" s="653">
        <v>0</v>
      </c>
      <c r="CU24" s="653">
        <v>0</v>
      </c>
      <c r="CV24" s="653">
        <v>0</v>
      </c>
      <c r="CW24" s="653">
        <f>CV24</f>
        <v>0</v>
      </c>
      <c r="CX24" s="4353">
        <f t="shared" si="59"/>
        <v>0</v>
      </c>
      <c r="CY24" s="653">
        <v>0</v>
      </c>
      <c r="CZ24" s="653">
        <f>CY24</f>
        <v>0</v>
      </c>
      <c r="DA24" s="653">
        <f>CZ24</f>
        <v>0</v>
      </c>
      <c r="DB24" s="653">
        <f>DA24</f>
        <v>0</v>
      </c>
      <c r="DC24" s="688">
        <f t="shared" si="60"/>
        <v>0</v>
      </c>
      <c r="DD24" s="653">
        <f>DC24</f>
        <v>0</v>
      </c>
      <c r="DE24" s="653">
        <f>DD24</f>
        <v>0</v>
      </c>
      <c r="DF24" s="653">
        <f>DE24</f>
        <v>0</v>
      </c>
      <c r="DG24" s="653">
        <f>DF24</f>
        <v>0</v>
      </c>
      <c r="DH24" s="688">
        <f t="shared" si="61"/>
        <v>0</v>
      </c>
      <c r="DI24" s="653">
        <f>DH24</f>
        <v>0</v>
      </c>
      <c r="DJ24" s="653">
        <f>DI24</f>
        <v>0</v>
      </c>
      <c r="DK24" s="653">
        <f>DJ24</f>
        <v>0</v>
      </c>
      <c r="DL24" s="653">
        <f>DK24</f>
        <v>0</v>
      </c>
      <c r="DM24" s="688">
        <f t="shared" si="62"/>
        <v>0</v>
      </c>
      <c r="DN24" s="653">
        <f>DM24</f>
        <v>0</v>
      </c>
      <c r="DO24" s="653">
        <f>DN24</f>
        <v>0</v>
      </c>
      <c r="DP24" s="653">
        <f>DO24</f>
        <v>0</v>
      </c>
      <c r="DQ24" s="670">
        <f t="shared" ref="DQ24" si="76">DP24</f>
        <v>0</v>
      </c>
      <c r="DR24" s="688">
        <f t="shared" si="42"/>
        <v>0</v>
      </c>
      <c r="DS24" s="670">
        <f t="shared" ref="DS24" si="77">DR24</f>
        <v>0</v>
      </c>
      <c r="DT24" s="670">
        <f t="shared" ref="DT24" si="78">DS24</f>
        <v>0</v>
      </c>
      <c r="DU24" s="670">
        <f t="shared" ref="DU24" si="79">DT24</f>
        <v>0</v>
      </c>
      <c r="DV24" s="670">
        <f t="shared" ref="DV24" si="80">DU24</f>
        <v>0</v>
      </c>
      <c r="DW24" s="688">
        <f t="shared" si="42"/>
        <v>0</v>
      </c>
      <c r="DX24" s="5017">
        <f t="shared" si="70"/>
        <v>0</v>
      </c>
      <c r="DY24" s="5017">
        <f t="shared" si="70"/>
        <v>0</v>
      </c>
      <c r="DZ24" s="5017">
        <f t="shared" si="70"/>
        <v>0</v>
      </c>
      <c r="EA24" s="5017">
        <f t="shared" si="70"/>
        <v>0</v>
      </c>
      <c r="EC24" s="755"/>
      <c r="ED24" s="755"/>
    </row>
    <row r="25" spans="1:134" s="45" customFormat="1" ht="11.25" customHeight="1">
      <c r="A25" s="1595" t="s">
        <v>198</v>
      </c>
      <c r="B25" s="36"/>
      <c r="C25" s="36"/>
      <c r="D25" s="36"/>
      <c r="E25" s="1385"/>
      <c r="F25" s="36"/>
      <c r="G25" s="36"/>
      <c r="H25" s="37"/>
      <c r="I25" s="1385"/>
      <c r="J25" s="39"/>
      <c r="K25" s="37"/>
      <c r="L25" s="37"/>
      <c r="M25" s="1385"/>
      <c r="N25" s="39"/>
      <c r="O25" s="37"/>
      <c r="P25" s="37"/>
      <c r="Q25" s="1385">
        <v>1.127</v>
      </c>
      <c r="R25" s="37"/>
      <c r="S25" s="37"/>
      <c r="T25" s="37"/>
      <c r="U25" s="1385">
        <v>17.413</v>
      </c>
      <c r="V25" s="41">
        <v>16.864999999999998</v>
      </c>
      <c r="W25" s="43">
        <v>21.66</v>
      </c>
      <c r="X25" s="43">
        <v>20.222999999999999</v>
      </c>
      <c r="Y25" s="1385">
        <v>35.493000000000002</v>
      </c>
      <c r="Z25" s="43">
        <v>45.281999999999996</v>
      </c>
      <c r="AA25" s="43">
        <v>55.307000000000002</v>
      </c>
      <c r="AB25" s="43">
        <v>36.634999999999998</v>
      </c>
      <c r="AC25" s="1385">
        <v>16.940999999999999</v>
      </c>
      <c r="AD25" s="41">
        <v>49.853000000000002</v>
      </c>
      <c r="AE25" s="43">
        <f>34.768+19.576</f>
        <v>54.344000000000001</v>
      </c>
      <c r="AF25" s="43">
        <f>49.643+67.89</f>
        <v>117.533</v>
      </c>
      <c r="AG25" s="1385">
        <v>114.455</v>
      </c>
      <c r="AH25" s="41">
        <v>129.90299999999999</v>
      </c>
      <c r="AI25" s="43">
        <f>147.154+98.421</f>
        <v>245.57499999999999</v>
      </c>
      <c r="AJ25" s="43">
        <f>170.069+37.219</f>
        <v>207.28799999999998</v>
      </c>
      <c r="AK25" s="1385">
        <f>168.53+33.219</f>
        <v>201.749</v>
      </c>
      <c r="AL25" s="41">
        <f>190.402+155.588</f>
        <v>345.99</v>
      </c>
      <c r="AM25" s="42">
        <f>444.844+220.079</f>
        <v>664.923</v>
      </c>
      <c r="AN25" s="42">
        <f>456.378+204.319</f>
        <v>660.697</v>
      </c>
      <c r="AO25" s="1385">
        <v>433.846</v>
      </c>
      <c r="AP25" s="41">
        <f>416.168+52.296</f>
        <v>468.464</v>
      </c>
      <c r="AQ25" s="43">
        <f>406.136+124.647</f>
        <v>530.78300000000002</v>
      </c>
      <c r="AR25" s="43">
        <f>415.137+233.836</f>
        <v>648.97299999999996</v>
      </c>
      <c r="AS25" s="1385">
        <f>416.119+262.611</f>
        <v>678.73</v>
      </c>
      <c r="AT25" s="44">
        <f>454+446</f>
        <v>900</v>
      </c>
      <c r="AU25" s="44">
        <f>452+443</f>
        <v>895</v>
      </c>
      <c r="AV25" s="44">
        <f>406+406</f>
        <v>812</v>
      </c>
      <c r="AW25" s="1385">
        <f>442+265</f>
        <v>707</v>
      </c>
      <c r="AX25" s="44">
        <f>390+21</f>
        <v>411</v>
      </c>
      <c r="AY25" s="44">
        <v>465</v>
      </c>
      <c r="AZ25" s="44">
        <v>488</v>
      </c>
      <c r="BA25" s="1385">
        <v>499</v>
      </c>
      <c r="BB25" s="44">
        <v>664</v>
      </c>
      <c r="BC25" s="44">
        <v>2263</v>
      </c>
      <c r="BD25" s="65">
        <v>2206</v>
      </c>
      <c r="BE25" s="1385">
        <v>2011</v>
      </c>
      <c r="BF25" s="652">
        <v>2195</v>
      </c>
      <c r="BG25" s="652">
        <v>1891</v>
      </c>
      <c r="BH25" s="652">
        <v>1784</v>
      </c>
      <c r="BI25" s="652">
        <v>1976</v>
      </c>
      <c r="BJ25" s="1254">
        <f t="shared" si="53"/>
        <v>1976</v>
      </c>
      <c r="BK25" s="652">
        <v>1718</v>
      </c>
      <c r="BL25" s="652">
        <v>1982</v>
      </c>
      <c r="BM25" s="652">
        <v>2010</v>
      </c>
      <c r="BN25" s="1385">
        <v>3280</v>
      </c>
      <c r="BO25" s="1254">
        <f t="shared" si="54"/>
        <v>3280</v>
      </c>
      <c r="BP25" s="652">
        <v>3596</v>
      </c>
      <c r="BQ25" s="652">
        <v>3403</v>
      </c>
      <c r="BR25" s="652">
        <v>3329</v>
      </c>
      <c r="BS25" s="1385">
        <v>3181</v>
      </c>
      <c r="BT25" s="1254">
        <f t="shared" si="55"/>
        <v>3181</v>
      </c>
      <c r="BU25" s="822">
        <f>3297</f>
        <v>3297</v>
      </c>
      <c r="BV25" s="652">
        <f>3275</f>
        <v>3275</v>
      </c>
      <c r="BW25" s="652">
        <f>3276</f>
        <v>3276</v>
      </c>
      <c r="BX25" s="652">
        <f>1819</f>
        <v>1819</v>
      </c>
      <c r="BY25" s="1254">
        <f t="shared" si="56"/>
        <v>1819</v>
      </c>
      <c r="BZ25" s="652">
        <v>1846</v>
      </c>
      <c r="CA25" s="652">
        <v>2004</v>
      </c>
      <c r="CB25" s="652">
        <v>2683</v>
      </c>
      <c r="CC25" s="1385">
        <v>2672</v>
      </c>
      <c r="CD25" s="687">
        <f t="shared" si="57"/>
        <v>2672</v>
      </c>
      <c r="CE25" s="652">
        <v>2004</v>
      </c>
      <c r="CF25" s="652">
        <v>3052</v>
      </c>
      <c r="CG25" s="652">
        <v>2838</v>
      </c>
      <c r="CH25" s="652">
        <v>2693</v>
      </c>
      <c r="CI25" s="687">
        <f t="shared" si="40"/>
        <v>2693</v>
      </c>
      <c r="CJ25" s="652">
        <v>2547</v>
      </c>
      <c r="CK25" s="652">
        <v>2461</v>
      </c>
      <c r="CL25" s="652">
        <v>2225</v>
      </c>
      <c r="CM25" s="652">
        <v>2342</v>
      </c>
      <c r="CN25" s="4352">
        <f t="shared" si="41"/>
        <v>2342</v>
      </c>
      <c r="CO25" s="652">
        <v>2748</v>
      </c>
      <c r="CP25" s="652">
        <v>2731</v>
      </c>
      <c r="CQ25" s="652">
        <v>3274</v>
      </c>
      <c r="CR25" s="652">
        <v>3953</v>
      </c>
      <c r="CS25" s="4352">
        <f t="shared" si="58"/>
        <v>3953</v>
      </c>
      <c r="CT25" s="652">
        <v>4167</v>
      </c>
      <c r="CU25" s="652">
        <v>4298</v>
      </c>
      <c r="CV25" s="652">
        <v>4276</v>
      </c>
      <c r="CW25" s="652">
        <v>5361</v>
      </c>
      <c r="CX25" s="4352">
        <f t="shared" si="59"/>
        <v>5361</v>
      </c>
      <c r="CY25" s="652">
        <v>5778</v>
      </c>
      <c r="CZ25" s="652">
        <v>5712</v>
      </c>
      <c r="DA25" s="652">
        <v>5670</v>
      </c>
      <c r="DB25" s="652">
        <v>6623</v>
      </c>
      <c r="DC25" s="687">
        <f t="shared" si="60"/>
        <v>6623</v>
      </c>
      <c r="DD25" s="652">
        <v>6439</v>
      </c>
      <c r="DE25" s="652">
        <v>6822</v>
      </c>
      <c r="DF25" s="652">
        <v>7628</v>
      </c>
      <c r="DG25" s="652">
        <v>10051</v>
      </c>
      <c r="DH25" s="687">
        <f t="shared" si="61"/>
        <v>10051</v>
      </c>
      <c r="DI25" s="652">
        <v>10065</v>
      </c>
      <c r="DJ25" s="652">
        <v>9699</v>
      </c>
      <c r="DK25" s="652">
        <v>13867</v>
      </c>
      <c r="DL25" s="652">
        <v>14874</v>
      </c>
      <c r="DM25" s="687">
        <f t="shared" si="62"/>
        <v>14874</v>
      </c>
      <c r="DN25" s="652">
        <v>12950</v>
      </c>
      <c r="DO25" s="652">
        <v>14153</v>
      </c>
      <c r="DP25" s="652">
        <v>16811</v>
      </c>
      <c r="DQ25" s="537">
        <f t="shared" ref="DQ25" si="81">DQ86</f>
        <v>17492.141284550715</v>
      </c>
      <c r="DR25" s="687">
        <f t="shared" si="42"/>
        <v>17492.141284550715</v>
      </c>
      <c r="DS25" s="537">
        <f t="shared" ref="DS25:DV25" si="82">DS86</f>
        <v>15387.03165295739</v>
      </c>
      <c r="DT25" s="537">
        <f t="shared" si="82"/>
        <v>16750.102710335635</v>
      </c>
      <c r="DU25" s="537">
        <f t="shared" si="82"/>
        <v>19741.884534168395</v>
      </c>
      <c r="DV25" s="537">
        <f t="shared" si="82"/>
        <v>20576.738315451854</v>
      </c>
      <c r="DW25" s="687">
        <f t="shared" si="42"/>
        <v>20576.738315451854</v>
      </c>
      <c r="DX25" s="687">
        <f>DX86</f>
        <v>23500.97424604739</v>
      </c>
      <c r="DY25" s="687">
        <f>DY86</f>
        <v>26474.119008068126</v>
      </c>
      <c r="DZ25" s="687">
        <f>DZ86</f>
        <v>29436.989834815911</v>
      </c>
      <c r="EA25" s="687">
        <f>EA86</f>
        <v>32519.460907550572</v>
      </c>
      <c r="EC25" s="755"/>
      <c r="ED25" s="755"/>
    </row>
    <row r="26" spans="1:134" s="61" customFormat="1" ht="11.25" customHeight="1">
      <c r="A26" s="3136" t="s">
        <v>67</v>
      </c>
      <c r="B26" s="3096"/>
      <c r="C26" s="3096"/>
      <c r="D26" s="3096"/>
      <c r="E26" s="3146">
        <v>25.808</v>
      </c>
      <c r="F26" s="3096"/>
      <c r="G26" s="3096"/>
      <c r="H26" s="3096"/>
      <c r="I26" s="3146">
        <v>46.872</v>
      </c>
      <c r="J26" s="3147"/>
      <c r="K26" s="3096"/>
      <c r="L26" s="3096"/>
      <c r="M26" s="3146">
        <v>84.456999999999994</v>
      </c>
      <c r="N26" s="3147">
        <f t="shared" ref="N26:U26" si="83">N16+SUM(N20:N25)</f>
        <v>0</v>
      </c>
      <c r="O26" s="3096">
        <f t="shared" si="83"/>
        <v>0</v>
      </c>
      <c r="P26" s="3096">
        <f t="shared" si="83"/>
        <v>0</v>
      </c>
      <c r="Q26" s="3146">
        <f t="shared" si="83"/>
        <v>286.892</v>
      </c>
      <c r="R26" s="3096">
        <f t="shared" si="83"/>
        <v>0</v>
      </c>
      <c r="S26" s="3096">
        <f t="shared" si="83"/>
        <v>0</v>
      </c>
      <c r="T26" s="3096">
        <f t="shared" si="83"/>
        <v>0</v>
      </c>
      <c r="U26" s="3146">
        <f t="shared" si="83"/>
        <v>871.45800000000008</v>
      </c>
      <c r="V26" s="3148">
        <f t="shared" ref="V26:BA26" si="84">V16+SUM(V18:V25)</f>
        <v>1079.4540000000002</v>
      </c>
      <c r="W26" s="3055">
        <f t="shared" si="84"/>
        <v>1328.0219999999999</v>
      </c>
      <c r="X26" s="3055">
        <f t="shared" si="84"/>
        <v>2888.518</v>
      </c>
      <c r="Y26" s="3146">
        <f t="shared" si="84"/>
        <v>3313.3509999999997</v>
      </c>
      <c r="Z26" s="3148">
        <f t="shared" si="84"/>
        <v>3865.1990000000005</v>
      </c>
      <c r="AA26" s="3055">
        <f t="shared" si="84"/>
        <v>4497.7179999999998</v>
      </c>
      <c r="AB26" s="3055">
        <f t="shared" si="84"/>
        <v>9451.001000000002</v>
      </c>
      <c r="AC26" s="3146">
        <f t="shared" si="84"/>
        <v>10271.813</v>
      </c>
      <c r="AD26" s="3148">
        <f t="shared" si="84"/>
        <v>11294.87</v>
      </c>
      <c r="AE26" s="3055">
        <f t="shared" si="84"/>
        <v>14396.006000000001</v>
      </c>
      <c r="AF26" s="3055">
        <f t="shared" si="84"/>
        <v>15693.232</v>
      </c>
      <c r="AG26" s="3146">
        <f t="shared" si="84"/>
        <v>18473.350999999999</v>
      </c>
      <c r="AH26" s="3148">
        <f t="shared" si="84"/>
        <v>20015.437999999998</v>
      </c>
      <c r="AI26" s="3055">
        <f t="shared" si="84"/>
        <v>21423.884999999998</v>
      </c>
      <c r="AJ26" s="3055">
        <f t="shared" si="84"/>
        <v>23340.65</v>
      </c>
      <c r="AK26" s="3146">
        <f t="shared" si="84"/>
        <v>25335.806000000004</v>
      </c>
      <c r="AL26" s="3148">
        <f t="shared" si="84"/>
        <v>27604.9823</v>
      </c>
      <c r="AM26" s="3055">
        <f t="shared" si="84"/>
        <v>29179.785000000003</v>
      </c>
      <c r="AN26" s="3055">
        <f t="shared" si="84"/>
        <v>30806.974000000002</v>
      </c>
      <c r="AO26" s="3146">
        <f t="shared" si="84"/>
        <v>31767.574999999997</v>
      </c>
      <c r="AP26" s="3148">
        <f t="shared" si="84"/>
        <v>33513.028999999995</v>
      </c>
      <c r="AQ26" s="3055">
        <f t="shared" si="84"/>
        <v>35158.76</v>
      </c>
      <c r="AR26" s="3055">
        <f t="shared" si="84"/>
        <v>37702.844000000005</v>
      </c>
      <c r="AS26" s="3146">
        <f t="shared" si="84"/>
        <v>40496.777000000002</v>
      </c>
      <c r="AT26" s="3055">
        <f t="shared" si="84"/>
        <v>42871</v>
      </c>
      <c r="AU26" s="3055">
        <f t="shared" si="84"/>
        <v>48045</v>
      </c>
      <c r="AV26" s="3055">
        <f t="shared" si="84"/>
        <v>53342</v>
      </c>
      <c r="AW26" s="3146">
        <f t="shared" si="84"/>
        <v>57851</v>
      </c>
      <c r="AX26" s="3055">
        <f t="shared" si="84"/>
        <v>59960</v>
      </c>
      <c r="AY26" s="3055">
        <f t="shared" si="84"/>
        <v>64861</v>
      </c>
      <c r="AZ26" s="3055">
        <f t="shared" si="84"/>
        <v>69088</v>
      </c>
      <c r="BA26" s="3146">
        <f t="shared" si="84"/>
        <v>72574</v>
      </c>
      <c r="BB26" s="3055">
        <f t="shared" ref="BB26:CG26" si="85">BB16+SUM(BB18:BB25)</f>
        <v>77144</v>
      </c>
      <c r="BC26" s="3055">
        <f t="shared" si="85"/>
        <v>86051</v>
      </c>
      <c r="BD26" s="3055">
        <f t="shared" si="85"/>
        <v>89730</v>
      </c>
      <c r="BE26" s="3146">
        <f t="shared" si="85"/>
        <v>93798</v>
      </c>
      <c r="BF26" s="3149">
        <f t="shared" si="85"/>
        <v>96692</v>
      </c>
      <c r="BG26" s="3149">
        <f t="shared" si="85"/>
        <v>101182</v>
      </c>
      <c r="BH26" s="3149">
        <f t="shared" si="85"/>
        <v>105068</v>
      </c>
      <c r="BI26" s="3149">
        <f t="shared" si="85"/>
        <v>110920</v>
      </c>
      <c r="BJ26" s="3150">
        <f t="shared" si="85"/>
        <v>110920</v>
      </c>
      <c r="BK26" s="3149">
        <f t="shared" si="85"/>
        <v>116526</v>
      </c>
      <c r="BL26" s="3149">
        <f t="shared" si="85"/>
        <v>121608</v>
      </c>
      <c r="BM26" s="3149">
        <f t="shared" si="85"/>
        <v>125781</v>
      </c>
      <c r="BN26" s="3146">
        <f t="shared" si="85"/>
        <v>131133</v>
      </c>
      <c r="BO26" s="3150">
        <f t="shared" si="85"/>
        <v>131133</v>
      </c>
      <c r="BP26" s="3149">
        <f t="shared" si="85"/>
        <v>133400</v>
      </c>
      <c r="BQ26" s="3149">
        <f t="shared" si="85"/>
        <v>138807</v>
      </c>
      <c r="BR26" s="3149">
        <f t="shared" si="85"/>
        <v>144281</v>
      </c>
      <c r="BS26" s="3146">
        <f t="shared" si="85"/>
        <v>147461</v>
      </c>
      <c r="BT26" s="3150">
        <f t="shared" si="85"/>
        <v>147461</v>
      </c>
      <c r="BU26" s="3149">
        <f t="shared" si="85"/>
        <v>149747</v>
      </c>
      <c r="BV26" s="3149">
        <f t="shared" si="85"/>
        <v>154292</v>
      </c>
      <c r="BW26" s="3149">
        <f t="shared" si="85"/>
        <v>159948</v>
      </c>
      <c r="BX26" s="3149">
        <f t="shared" si="85"/>
        <v>167497</v>
      </c>
      <c r="BY26" s="3150">
        <f t="shared" si="85"/>
        <v>167497</v>
      </c>
      <c r="BZ26" s="3149">
        <f t="shared" si="85"/>
        <v>172756</v>
      </c>
      <c r="CA26" s="3149">
        <f t="shared" si="85"/>
        <v>178621</v>
      </c>
      <c r="CB26" s="3149">
        <f t="shared" si="85"/>
        <v>189536</v>
      </c>
      <c r="CC26" s="3146">
        <f t="shared" si="85"/>
        <v>197295</v>
      </c>
      <c r="CD26" s="3151">
        <f t="shared" si="85"/>
        <v>197295</v>
      </c>
      <c r="CE26" s="3149">
        <f t="shared" si="85"/>
        <v>206935</v>
      </c>
      <c r="CF26" s="3149">
        <f t="shared" si="85"/>
        <v>211610</v>
      </c>
      <c r="CG26" s="3149">
        <f t="shared" si="85"/>
        <v>221538</v>
      </c>
      <c r="CH26" s="3149">
        <f t="shared" ref="CH26:CX26" si="86">CH16+SUM(CH18:CH25)</f>
        <v>232792</v>
      </c>
      <c r="CI26" s="3151">
        <f t="shared" si="86"/>
        <v>232792</v>
      </c>
      <c r="CJ26" s="3149">
        <f t="shared" si="86"/>
        <v>245349</v>
      </c>
      <c r="CK26" s="3149">
        <f t="shared" si="86"/>
        <v>257101</v>
      </c>
      <c r="CL26" s="3149">
        <f t="shared" si="86"/>
        <v>263044</v>
      </c>
      <c r="CM26" s="3149">
        <f t="shared" si="86"/>
        <v>275909</v>
      </c>
      <c r="CN26" s="4357">
        <f t="shared" si="86"/>
        <v>275909</v>
      </c>
      <c r="CO26" s="3149">
        <f t="shared" si="86"/>
        <v>273403</v>
      </c>
      <c r="CP26" s="3149">
        <f t="shared" si="86"/>
        <v>278492</v>
      </c>
      <c r="CQ26" s="3149">
        <f t="shared" si="86"/>
        <v>299243</v>
      </c>
      <c r="CR26" s="3149">
        <f t="shared" si="86"/>
        <v>319616</v>
      </c>
      <c r="CS26" s="4357">
        <f t="shared" si="86"/>
        <v>319616</v>
      </c>
      <c r="CT26" s="3149">
        <f t="shared" si="86"/>
        <v>327095</v>
      </c>
      <c r="CU26" s="3149">
        <f t="shared" si="86"/>
        <v>335387</v>
      </c>
      <c r="CV26" s="3149">
        <f t="shared" si="86"/>
        <v>347403</v>
      </c>
      <c r="CW26" s="3149">
        <f t="shared" si="86"/>
        <v>359268</v>
      </c>
      <c r="CX26" s="4357">
        <f t="shared" si="86"/>
        <v>359268</v>
      </c>
      <c r="CY26" s="3149">
        <f t="shared" ref="CY26:DH26" si="87">CY16+SUM(CY18:CY25)</f>
        <v>357096</v>
      </c>
      <c r="CZ26" s="3149">
        <f t="shared" si="87"/>
        <v>355185</v>
      </c>
      <c r="DA26" s="3149">
        <f t="shared" si="87"/>
        <v>358255</v>
      </c>
      <c r="DB26" s="3149">
        <f t="shared" si="87"/>
        <v>365264</v>
      </c>
      <c r="DC26" s="3151">
        <f t="shared" si="87"/>
        <v>365264</v>
      </c>
      <c r="DD26" s="3149">
        <f>DD16+SUM(DD18:DD25)</f>
        <v>369491</v>
      </c>
      <c r="DE26" s="3149">
        <f>DE16+SUM(DE18:DE25)</f>
        <v>383044</v>
      </c>
      <c r="DF26" s="3149">
        <f>DF16+SUM(DF18:DF25)</f>
        <v>396711</v>
      </c>
      <c r="DG26" s="3149">
        <f t="shared" ref="DG26:DI26" si="88">DG16+SUM(DG18:DG25)</f>
        <v>402392</v>
      </c>
      <c r="DH26" s="3151">
        <f t="shared" si="87"/>
        <v>402392</v>
      </c>
      <c r="DI26" s="3149">
        <f t="shared" si="88"/>
        <v>407350</v>
      </c>
      <c r="DJ26" s="3149">
        <f t="shared" ref="DJ26:DL26" si="89">DJ16+SUM(DJ18:DJ25)</f>
        <v>414770</v>
      </c>
      <c r="DK26" s="3149">
        <f t="shared" si="89"/>
        <v>430266</v>
      </c>
      <c r="DL26" s="3149">
        <f t="shared" si="89"/>
        <v>450256</v>
      </c>
      <c r="DM26" s="3151">
        <f>DM16+SUM(DM18:DM25)</f>
        <v>450256</v>
      </c>
      <c r="DN26" s="3149">
        <f t="shared" ref="DN26:DP26" si="90">DN16+SUM(DN18:DN25)</f>
        <v>475374</v>
      </c>
      <c r="DO26" s="3149">
        <f t="shared" si="90"/>
        <v>502053</v>
      </c>
      <c r="DP26" s="3149">
        <f t="shared" si="90"/>
        <v>536469</v>
      </c>
      <c r="DQ26" s="3149">
        <f t="shared" ref="DQ26" ca="1" si="91">DQ16+SUM(DQ18:DQ25)</f>
        <v>563949.79230358941</v>
      </c>
      <c r="DR26" s="3151">
        <f ca="1">DR16+SUM(DR18:DR25)</f>
        <v>563949.79230358941</v>
      </c>
      <c r="DS26" s="3149">
        <f t="shared" ref="DS26:DV26" ca="1" si="92">DS16+SUM(DS18:DS25)</f>
        <v>583108.92915509618</v>
      </c>
      <c r="DT26" s="3149">
        <f t="shared" ca="1" si="92"/>
        <v>597800.27586856345</v>
      </c>
      <c r="DU26" s="3149">
        <f t="shared" ca="1" si="92"/>
        <v>632919.73703410511</v>
      </c>
      <c r="DV26" s="3149">
        <f t="shared" ca="1" si="92"/>
        <v>667413.96935754002</v>
      </c>
      <c r="DW26" s="3151">
        <f ca="1">DW16+SUM(DW18:DW25)</f>
        <v>667413.96935754002</v>
      </c>
      <c r="DX26" s="3151">
        <f ca="1">DX16+SUM(DX18:DX25)</f>
        <v>774088.12861677038</v>
      </c>
      <c r="DY26" s="3151">
        <f ca="1">DY16+SUM(DY18:DY25)</f>
        <v>904377.62305389973</v>
      </c>
      <c r="DZ26" s="3151">
        <f ca="1">DZ16+SUM(DZ18:DZ25)</f>
        <v>1056063.0508629261</v>
      </c>
      <c r="EA26" s="3151">
        <f ca="1">EA16+SUM(EA18:EA25)</f>
        <v>1233811.3637805607</v>
      </c>
      <c r="EC26" s="6197">
        <f ca="1">(DX26/DM26)^(1/3)-1</f>
        <v>0.19796362902968845</v>
      </c>
      <c r="ED26" s="6197">
        <f ca="1">(DZ26/DM26)^(1/5)-1</f>
        <v>0.18589453536166811</v>
      </c>
    </row>
    <row r="27" spans="1:134" s="45" customFormat="1" ht="11.25" customHeight="1">
      <c r="A27" s="1595"/>
      <c r="B27" s="37"/>
      <c r="C27" s="37"/>
      <c r="D27" s="37"/>
      <c r="E27" s="484"/>
      <c r="F27" s="37"/>
      <c r="G27" s="37"/>
      <c r="H27" s="37"/>
      <c r="I27" s="484"/>
      <c r="J27" s="39"/>
      <c r="K27" s="37"/>
      <c r="L27" s="37"/>
      <c r="M27" s="484"/>
      <c r="N27" s="39"/>
      <c r="O27" s="37"/>
      <c r="P27" s="37"/>
      <c r="Q27" s="484"/>
      <c r="R27" s="37"/>
      <c r="S27" s="37"/>
      <c r="T27" s="37"/>
      <c r="U27" s="484"/>
      <c r="V27" s="41"/>
      <c r="W27" s="43"/>
      <c r="X27" s="43"/>
      <c r="Y27" s="484"/>
      <c r="Z27" s="43"/>
      <c r="AA27" s="43"/>
      <c r="AB27" s="43"/>
      <c r="AC27" s="484"/>
      <c r="AD27" s="41"/>
      <c r="AE27" s="43"/>
      <c r="AF27" s="43"/>
      <c r="AG27" s="484"/>
      <c r="AH27" s="71"/>
      <c r="AI27" s="71"/>
      <c r="AJ27" s="71"/>
      <c r="AK27" s="484"/>
      <c r="AL27" s="43"/>
      <c r="AM27" s="43"/>
      <c r="AN27" s="43"/>
      <c r="AO27" s="484"/>
      <c r="AP27" s="43"/>
      <c r="AQ27" s="43"/>
      <c r="AR27" s="43"/>
      <c r="AS27" s="484"/>
      <c r="AT27" s="43"/>
      <c r="AU27" s="43"/>
      <c r="AV27" s="43"/>
      <c r="AW27" s="484"/>
      <c r="AX27" s="43"/>
      <c r="AY27" s="43"/>
      <c r="AZ27" s="43"/>
      <c r="BA27" s="484"/>
      <c r="BB27" s="43"/>
      <c r="BC27" s="43"/>
      <c r="BD27" s="43"/>
      <c r="BE27" s="484"/>
      <c r="BF27" s="43"/>
      <c r="BG27" s="43"/>
      <c r="BH27" s="43"/>
      <c r="BI27" s="43"/>
      <c r="BJ27" s="1009"/>
      <c r="BK27" s="43"/>
      <c r="BL27" s="43"/>
      <c r="BM27" s="43"/>
      <c r="BN27" s="484"/>
      <c r="BO27" s="1009"/>
      <c r="BP27" s="43"/>
      <c r="BQ27" s="43"/>
      <c r="BR27" s="43"/>
      <c r="BS27" s="484"/>
      <c r="BT27" s="1009"/>
      <c r="BU27" s="43"/>
      <c r="BV27" s="43"/>
      <c r="BW27" s="43"/>
      <c r="BX27" s="43"/>
      <c r="BY27" s="1009"/>
      <c r="BZ27" s="43"/>
      <c r="CA27" s="43"/>
      <c r="CB27" s="43"/>
      <c r="CC27" s="484"/>
      <c r="CD27" s="490"/>
      <c r="CE27" s="43"/>
      <c r="CF27" s="43"/>
      <c r="CG27" s="43"/>
      <c r="CH27" s="484"/>
      <c r="CI27" s="490"/>
      <c r="CJ27" s="43"/>
      <c r="CK27" s="43"/>
      <c r="CL27" s="43"/>
      <c r="CM27" s="484"/>
      <c r="CN27" s="4352"/>
      <c r="CO27" s="537"/>
      <c r="CP27" s="537"/>
      <c r="CQ27" s="537"/>
      <c r="CR27" s="851"/>
      <c r="CS27" s="4352"/>
      <c r="CT27" s="537"/>
      <c r="CU27" s="537"/>
      <c r="CV27" s="537"/>
      <c r="CW27" s="851"/>
      <c r="CX27" s="4352"/>
      <c r="CY27" s="537"/>
      <c r="CZ27" s="537"/>
      <c r="DA27" s="537"/>
      <c r="DB27" s="851"/>
      <c r="DC27" s="687"/>
      <c r="DD27" s="537"/>
      <c r="DE27" s="537"/>
      <c r="DF27" s="537"/>
      <c r="DG27" s="851"/>
      <c r="DH27" s="687"/>
      <c r="DI27" s="537"/>
      <c r="DJ27" s="537"/>
      <c r="DK27" s="537"/>
      <c r="DL27" s="851"/>
      <c r="DM27" s="687"/>
      <c r="DN27" s="537"/>
      <c r="DO27" s="537"/>
      <c r="DP27" s="537"/>
      <c r="DQ27" s="537"/>
      <c r="DR27" s="687"/>
      <c r="DS27" s="537"/>
      <c r="DT27" s="537"/>
      <c r="DU27" s="537"/>
      <c r="DV27" s="537"/>
      <c r="DW27" s="687"/>
      <c r="DX27" s="687"/>
      <c r="DY27" s="687"/>
      <c r="DZ27" s="687"/>
      <c r="EA27" s="687"/>
      <c r="EC27" s="755"/>
      <c r="ED27" s="755"/>
    </row>
    <row r="28" spans="1:134" s="45" customFormat="1" ht="11.25" customHeight="1">
      <c r="A28" s="3136" t="s">
        <v>68</v>
      </c>
      <c r="B28" s="3118" t="s">
        <v>186</v>
      </c>
      <c r="C28" s="3118"/>
      <c r="D28" s="3118"/>
      <c r="E28" s="3152"/>
      <c r="F28" s="3118"/>
      <c r="G28" s="3118"/>
      <c r="H28" s="3118"/>
      <c r="I28" s="3152"/>
      <c r="J28" s="3153"/>
      <c r="K28" s="3118"/>
      <c r="L28" s="3118"/>
      <c r="M28" s="3152"/>
      <c r="N28" s="3119"/>
      <c r="O28" s="3118"/>
      <c r="P28" s="3118"/>
      <c r="Q28" s="3152"/>
      <c r="R28" s="3118"/>
      <c r="S28" s="3118"/>
      <c r="T28" s="3118"/>
      <c r="U28" s="3152"/>
      <c r="V28" s="3121"/>
      <c r="W28" s="3123"/>
      <c r="X28" s="3123"/>
      <c r="Y28" s="3152"/>
      <c r="Z28" s="3123"/>
      <c r="AA28" s="3123"/>
      <c r="AB28" s="3123"/>
      <c r="AC28" s="3152"/>
      <c r="AD28" s="3121"/>
      <c r="AE28" s="3123"/>
      <c r="AF28" s="3123"/>
      <c r="AG28" s="3152"/>
      <c r="AH28" s="3123"/>
      <c r="AI28" s="3123"/>
      <c r="AJ28" s="3123"/>
      <c r="AK28" s="3152"/>
      <c r="AL28" s="3123"/>
      <c r="AM28" s="3123"/>
      <c r="AN28" s="3123"/>
      <c r="AO28" s="3152"/>
      <c r="AP28" s="3123"/>
      <c r="AQ28" s="3123"/>
      <c r="AR28" s="3123"/>
      <c r="AS28" s="3152"/>
      <c r="AT28" s="3123"/>
      <c r="AU28" s="3123"/>
      <c r="AV28" s="3123"/>
      <c r="AW28" s="3152"/>
      <c r="AX28" s="3123"/>
      <c r="AY28" s="3123"/>
      <c r="AZ28" s="3123"/>
      <c r="BA28" s="3152"/>
      <c r="BB28" s="3123"/>
      <c r="BC28" s="3123"/>
      <c r="BD28" s="3123"/>
      <c r="BE28" s="3152"/>
      <c r="BF28" s="3123"/>
      <c r="BG28" s="3123"/>
      <c r="BH28" s="3123"/>
      <c r="BI28" s="3123"/>
      <c r="BJ28" s="3154"/>
      <c r="BK28" s="3123"/>
      <c r="BL28" s="3123"/>
      <c r="BM28" s="3123"/>
      <c r="BN28" s="3152"/>
      <c r="BO28" s="3154"/>
      <c r="BP28" s="3123"/>
      <c r="BQ28" s="3123"/>
      <c r="BR28" s="3123"/>
      <c r="BS28" s="3152"/>
      <c r="BT28" s="3154"/>
      <c r="BU28" s="3123"/>
      <c r="BV28" s="3123"/>
      <c r="BW28" s="3123"/>
      <c r="BX28" s="3123"/>
      <c r="BY28" s="3154"/>
      <c r="BZ28" s="3123"/>
      <c r="CA28" s="3123"/>
      <c r="CB28" s="3123"/>
      <c r="CC28" s="3152"/>
      <c r="CD28" s="3145"/>
      <c r="CE28" s="3123"/>
      <c r="CF28" s="3123"/>
      <c r="CG28" s="3123"/>
      <c r="CH28" s="3152"/>
      <c r="CI28" s="3145"/>
      <c r="CJ28" s="3123"/>
      <c r="CK28" s="3123"/>
      <c r="CL28" s="3123"/>
      <c r="CM28" s="3152"/>
      <c r="CN28" s="5018"/>
      <c r="CO28" s="3132"/>
      <c r="CP28" s="3132"/>
      <c r="CQ28" s="3132"/>
      <c r="CR28" s="5019"/>
      <c r="CS28" s="5018"/>
      <c r="CT28" s="3132"/>
      <c r="CU28" s="3132"/>
      <c r="CV28" s="3132"/>
      <c r="CW28" s="5019"/>
      <c r="CX28" s="5018"/>
      <c r="CY28" s="3132"/>
      <c r="CZ28" s="3132"/>
      <c r="DA28" s="3132"/>
      <c r="DB28" s="5019"/>
      <c r="DC28" s="5020"/>
      <c r="DD28" s="3132"/>
      <c r="DE28" s="3132"/>
      <c r="DF28" s="3132"/>
      <c r="DG28" s="5019"/>
      <c r="DH28" s="5020"/>
      <c r="DI28" s="3132"/>
      <c r="DJ28" s="3132"/>
      <c r="DK28" s="3132"/>
      <c r="DL28" s="5019"/>
      <c r="DM28" s="5020"/>
      <c r="DN28" s="3132"/>
      <c r="DO28" s="3132"/>
      <c r="DP28" s="3132"/>
      <c r="DQ28" s="3132"/>
      <c r="DR28" s="5020"/>
      <c r="DS28" s="3132"/>
      <c r="DT28" s="3132"/>
      <c r="DU28" s="3132"/>
      <c r="DV28" s="3132"/>
      <c r="DW28" s="5020"/>
      <c r="DX28" s="5020"/>
      <c r="DY28" s="5020"/>
      <c r="DZ28" s="5020"/>
      <c r="EA28" s="5020"/>
      <c r="EC28" s="755"/>
      <c r="ED28" s="755"/>
    </row>
    <row r="29" spans="1:134" s="45" customFormat="1" ht="11.25" customHeight="1">
      <c r="A29" s="1601" t="s">
        <v>69</v>
      </c>
      <c r="B29" s="36"/>
      <c r="C29" s="36"/>
      <c r="D29" s="36"/>
      <c r="E29" s="1385"/>
      <c r="F29" s="36"/>
      <c r="G29" s="36"/>
      <c r="H29" s="37"/>
      <c r="I29" s="1385"/>
      <c r="J29" s="39"/>
      <c r="K29" s="72"/>
      <c r="L29" s="37"/>
      <c r="M29" s="1385"/>
      <c r="N29" s="39"/>
      <c r="O29" s="37"/>
      <c r="P29" s="37"/>
      <c r="Q29" s="1385">
        <v>9.3940000000000001</v>
      </c>
      <c r="R29" s="37"/>
      <c r="S29" s="37"/>
      <c r="T29" s="37"/>
      <c r="U29" s="1385">
        <v>46.174999999999997</v>
      </c>
      <c r="V29" s="41">
        <v>37.780999999999999</v>
      </c>
      <c r="W29" s="43">
        <v>61.83</v>
      </c>
      <c r="X29" s="43">
        <v>49.557000000000002</v>
      </c>
      <c r="Y29" s="1385">
        <v>32.671999999999997</v>
      </c>
      <c r="Z29" s="43">
        <v>75.444000000000003</v>
      </c>
      <c r="AA29" s="43">
        <v>105.572</v>
      </c>
      <c r="AB29" s="43">
        <v>87.346000000000004</v>
      </c>
      <c r="AC29" s="1385">
        <v>115.575</v>
      </c>
      <c r="AD29" s="41">
        <v>145.911</v>
      </c>
      <c r="AE29" s="43">
        <v>179.441</v>
      </c>
      <c r="AF29" s="43">
        <v>207.34800000000001</v>
      </c>
      <c r="AG29" s="1385">
        <v>211.16900000000001</v>
      </c>
      <c r="AH29" s="41">
        <v>181.828</v>
      </c>
      <c r="AI29" s="43">
        <v>136.483</v>
      </c>
      <c r="AJ29" s="43">
        <v>231.88300000000001</v>
      </c>
      <c r="AK29" s="1385">
        <v>282.10599999999999</v>
      </c>
      <c r="AL29" s="43">
        <v>358.12200000000001</v>
      </c>
      <c r="AM29" s="43">
        <v>439.28100000000001</v>
      </c>
      <c r="AN29" s="43">
        <v>240.70599999999999</v>
      </c>
      <c r="AO29" s="1385">
        <v>178.00399999999999</v>
      </c>
      <c r="AP29" s="43">
        <v>196.22</v>
      </c>
      <c r="AQ29" s="43">
        <v>221.91399999999999</v>
      </c>
      <c r="AR29" s="43">
        <v>192.74299999999999</v>
      </c>
      <c r="AS29" s="1385">
        <v>215.86699999999999</v>
      </c>
      <c r="AT29" s="44">
        <v>329</v>
      </c>
      <c r="AU29" s="65">
        <v>397</v>
      </c>
      <c r="AV29" s="44">
        <v>528</v>
      </c>
      <c r="AW29" s="1385">
        <v>483</v>
      </c>
      <c r="AX29" s="44">
        <v>516</v>
      </c>
      <c r="AY29" s="65">
        <v>567</v>
      </c>
      <c r="AZ29" s="44">
        <v>563</v>
      </c>
      <c r="BA29" s="1385">
        <v>588</v>
      </c>
      <c r="BB29" s="44">
        <v>760</v>
      </c>
      <c r="BC29" s="65">
        <v>2419</v>
      </c>
      <c r="BD29" s="65">
        <v>2233</v>
      </c>
      <c r="BE29" s="1385">
        <v>2012</v>
      </c>
      <c r="BF29" s="652">
        <v>2094</v>
      </c>
      <c r="BG29" s="656">
        <v>1758</v>
      </c>
      <c r="BH29" s="656">
        <v>2124</v>
      </c>
      <c r="BI29" s="652">
        <v>2453</v>
      </c>
      <c r="BJ29" s="1254">
        <f>BI29</f>
        <v>2453</v>
      </c>
      <c r="BK29" s="652">
        <v>1623</v>
      </c>
      <c r="BL29" s="656">
        <v>1345</v>
      </c>
      <c r="BM29" s="656">
        <v>1368</v>
      </c>
      <c r="BN29" s="1385">
        <v>1715</v>
      </c>
      <c r="BO29" s="1254">
        <f>BN29</f>
        <v>1715</v>
      </c>
      <c r="BP29" s="652">
        <v>1688</v>
      </c>
      <c r="BQ29" s="656">
        <v>1315</v>
      </c>
      <c r="BR29" s="656">
        <v>1549</v>
      </c>
      <c r="BS29" s="1385">
        <v>1931</v>
      </c>
      <c r="BT29" s="1254">
        <f>BS29</f>
        <v>1931</v>
      </c>
      <c r="BU29" s="822">
        <v>1667</v>
      </c>
      <c r="BV29" s="652">
        <v>1716</v>
      </c>
      <c r="BW29" s="652">
        <v>2175</v>
      </c>
      <c r="BX29" s="652">
        <v>2041</v>
      </c>
      <c r="BY29" s="1254">
        <f>BX29</f>
        <v>2041</v>
      </c>
      <c r="BZ29" s="652">
        <v>2306</v>
      </c>
      <c r="CA29" s="652">
        <v>2488</v>
      </c>
      <c r="CB29" s="652">
        <v>2674</v>
      </c>
      <c r="CC29" s="1385">
        <v>3137</v>
      </c>
      <c r="CD29" s="687">
        <f>CC29</f>
        <v>3137</v>
      </c>
      <c r="CE29" s="652">
        <v>3526</v>
      </c>
      <c r="CF29" s="652">
        <v>3369</v>
      </c>
      <c r="CG29" s="652">
        <v>3789</v>
      </c>
      <c r="CH29" s="652">
        <v>4378</v>
      </c>
      <c r="CI29" s="687">
        <f>CH29</f>
        <v>4378</v>
      </c>
      <c r="CJ29" s="652">
        <v>3710</v>
      </c>
      <c r="CK29" s="652">
        <v>3925</v>
      </c>
      <c r="CL29" s="652">
        <v>4142</v>
      </c>
      <c r="CM29" s="652">
        <v>5561</v>
      </c>
      <c r="CN29" s="4352">
        <f>CM29</f>
        <v>5561</v>
      </c>
      <c r="CO29" s="652">
        <v>4099</v>
      </c>
      <c r="CP29" s="652">
        <v>4064</v>
      </c>
      <c r="CQ29" s="652">
        <v>4391</v>
      </c>
      <c r="CR29" s="652">
        <v>5589</v>
      </c>
      <c r="CS29" s="4352">
        <f>CR29</f>
        <v>5589</v>
      </c>
      <c r="CT29" s="652">
        <v>4801</v>
      </c>
      <c r="CU29" s="652">
        <v>4708</v>
      </c>
      <c r="CV29" s="652">
        <v>4616</v>
      </c>
      <c r="CW29" s="652">
        <v>6037</v>
      </c>
      <c r="CX29" s="4352">
        <f>CW29</f>
        <v>6037</v>
      </c>
      <c r="CY29" s="652">
        <v>3436</v>
      </c>
      <c r="CZ29" s="652">
        <v>4409</v>
      </c>
      <c r="DA29" s="652">
        <v>6303</v>
      </c>
      <c r="DB29" s="652">
        <v>5128</v>
      </c>
      <c r="DC29" s="687">
        <f>DB29</f>
        <v>5128</v>
      </c>
      <c r="DD29" s="652">
        <v>4184</v>
      </c>
      <c r="DE29" s="652">
        <v>5313</v>
      </c>
      <c r="DF29" s="652">
        <v>5803</v>
      </c>
      <c r="DG29" s="652">
        <v>7493</v>
      </c>
      <c r="DH29" s="687">
        <f>DG29</f>
        <v>7493</v>
      </c>
      <c r="DI29" s="652">
        <v>6198</v>
      </c>
      <c r="DJ29" s="652">
        <v>6092</v>
      </c>
      <c r="DK29" s="652">
        <v>7049</v>
      </c>
      <c r="DL29" s="652">
        <v>7987</v>
      </c>
      <c r="DM29" s="687">
        <f>DL29</f>
        <v>7987</v>
      </c>
      <c r="DN29" s="652">
        <v>8497</v>
      </c>
      <c r="DO29" s="652">
        <v>8347</v>
      </c>
      <c r="DP29" s="652">
        <v>10546</v>
      </c>
      <c r="DQ29" s="537">
        <f t="shared" ref="DQ29" si="93">DQ90</f>
        <v>9392.8823745936916</v>
      </c>
      <c r="DR29" s="687">
        <f>DQ29</f>
        <v>9392.8823745936916</v>
      </c>
      <c r="DS29" s="537">
        <f t="shared" ref="DS29:DV29" si="94">DS90</f>
        <v>10096.031502330421</v>
      </c>
      <c r="DT29" s="537">
        <f t="shared" si="94"/>
        <v>9878.690547811173</v>
      </c>
      <c r="DU29" s="537">
        <f t="shared" si="94"/>
        <v>12384.62401388019</v>
      </c>
      <c r="DV29" s="537">
        <f t="shared" si="94"/>
        <v>11049.240885136074</v>
      </c>
      <c r="DW29" s="687">
        <f>DV29</f>
        <v>11049.240885136074</v>
      </c>
      <c r="DX29" s="687">
        <f>DX90</f>
        <v>12619.489128894749</v>
      </c>
      <c r="DY29" s="687">
        <f>DY90</f>
        <v>14216.000303713872</v>
      </c>
      <c r="DZ29" s="687">
        <f>DZ90</f>
        <v>15806.994608758552</v>
      </c>
      <c r="EA29" s="687">
        <f>EA90</f>
        <v>17462.21152807627</v>
      </c>
      <c r="EC29" s="755"/>
      <c r="ED29" s="755"/>
    </row>
    <row r="30" spans="1:134" s="45" customFormat="1" ht="11.25" customHeight="1">
      <c r="A30" s="1601" t="s">
        <v>199</v>
      </c>
      <c r="B30" s="36"/>
      <c r="C30" s="36"/>
      <c r="D30" s="36"/>
      <c r="E30" s="1385"/>
      <c r="F30" s="36"/>
      <c r="G30" s="36"/>
      <c r="H30" s="37"/>
      <c r="I30" s="1385"/>
      <c r="J30" s="39"/>
      <c r="K30" s="72"/>
      <c r="L30" s="37"/>
      <c r="M30" s="1385"/>
      <c r="N30" s="39"/>
      <c r="O30" s="37"/>
      <c r="P30" s="37"/>
      <c r="Q30" s="1385">
        <v>14.528</v>
      </c>
      <c r="R30" s="37"/>
      <c r="S30" s="37"/>
      <c r="T30" s="37"/>
      <c r="U30" s="1385">
        <v>33.521999999999998</v>
      </c>
      <c r="V30" s="41">
        <v>23.861999999999998</v>
      </c>
      <c r="W30" s="43">
        <v>33.930999999999997</v>
      </c>
      <c r="X30" s="43">
        <v>53.841000000000001</v>
      </c>
      <c r="Y30" s="1385">
        <v>82.631</v>
      </c>
      <c r="Z30" s="43">
        <v>48.597999999999999</v>
      </c>
      <c r="AA30" s="43">
        <v>69.667000000000002</v>
      </c>
      <c r="AB30" s="43">
        <v>117.416</v>
      </c>
      <c r="AC30" s="1385">
        <v>198.78800000000001</v>
      </c>
      <c r="AD30" s="41">
        <v>118.395</v>
      </c>
      <c r="AE30" s="43">
        <v>150.52600000000001</v>
      </c>
      <c r="AF30" s="43">
        <v>212.59399999999999</v>
      </c>
      <c r="AG30" s="1385">
        <v>351.67099999999999</v>
      </c>
      <c r="AH30" s="41">
        <v>180.708</v>
      </c>
      <c r="AI30" s="43">
        <v>330.95100000000002</v>
      </c>
      <c r="AJ30" s="43">
        <v>496.07299999999998</v>
      </c>
      <c r="AK30" s="1385">
        <v>588.39</v>
      </c>
      <c r="AL30" s="43">
        <v>458.18799999999999</v>
      </c>
      <c r="AM30" s="43">
        <v>493.28399999999999</v>
      </c>
      <c r="AN30" s="43">
        <v>622.65800000000002</v>
      </c>
      <c r="AO30" s="1385">
        <v>811.64300000000003</v>
      </c>
      <c r="AP30" s="43">
        <v>464.899</v>
      </c>
      <c r="AQ30" s="43">
        <v>589.86199999999997</v>
      </c>
      <c r="AR30" s="43">
        <v>831.20500000000004</v>
      </c>
      <c r="AS30" s="1385">
        <v>982.48199999999997</v>
      </c>
      <c r="AT30" s="44">
        <v>578</v>
      </c>
      <c r="AU30" s="65">
        <v>748</v>
      </c>
      <c r="AV30" s="44">
        <v>1104</v>
      </c>
      <c r="AW30" s="1385">
        <v>1410</v>
      </c>
      <c r="AX30" s="44">
        <v>945</v>
      </c>
      <c r="AY30" s="65">
        <v>1180</v>
      </c>
      <c r="AZ30" s="44">
        <v>1446</v>
      </c>
      <c r="BA30" s="1385">
        <v>1818</v>
      </c>
      <c r="BB30" s="44">
        <v>1017</v>
      </c>
      <c r="BC30" s="65">
        <v>1626</v>
      </c>
      <c r="BD30" s="65">
        <v>1926</v>
      </c>
      <c r="BE30" s="1385">
        <v>2239</v>
      </c>
      <c r="BF30" s="652">
        <v>1445</v>
      </c>
      <c r="BG30" s="656">
        <v>1803</v>
      </c>
      <c r="BH30" s="656">
        <v>1999</v>
      </c>
      <c r="BI30" s="652">
        <v>2502</v>
      </c>
      <c r="BJ30" s="1254">
        <f t="shared" ref="BJ30:BJ37" si="95">BI30</f>
        <v>2502</v>
      </c>
      <c r="BK30" s="652">
        <v>1531</v>
      </c>
      <c r="BL30" s="656">
        <v>2102</v>
      </c>
      <c r="BM30" s="656">
        <v>2428</v>
      </c>
      <c r="BN30" s="1385">
        <v>3069</v>
      </c>
      <c r="BO30" s="1254">
        <f t="shared" ref="BO30:BO37" si="96">BN30</f>
        <v>3069</v>
      </c>
      <c r="BP30" s="652">
        <v>1911</v>
      </c>
      <c r="BQ30" s="656">
        <v>2466</v>
      </c>
      <c r="BR30" s="656">
        <v>2988</v>
      </c>
      <c r="BS30" s="1385">
        <v>3539</v>
      </c>
      <c r="BT30" s="1254">
        <f t="shared" ref="BT30:BT37" si="97">BS30</f>
        <v>3539</v>
      </c>
      <c r="BU30" s="822">
        <v>2618</v>
      </c>
      <c r="BV30" s="652">
        <v>3409</v>
      </c>
      <c r="BW30" s="652">
        <v>3672</v>
      </c>
      <c r="BX30" s="652">
        <v>3976</v>
      </c>
      <c r="BY30" s="1254">
        <f t="shared" ref="BY30:BY37" si="98">BX30</f>
        <v>3976</v>
      </c>
      <c r="BZ30" s="652">
        <v>2673</v>
      </c>
      <c r="CA30" s="652">
        <v>3271</v>
      </c>
      <c r="CB30" s="652">
        <v>4022</v>
      </c>
      <c r="CC30" s="1385">
        <v>4581</v>
      </c>
      <c r="CD30" s="687">
        <f t="shared" ref="CD30:CD37" si="99">CC30</f>
        <v>4581</v>
      </c>
      <c r="CE30" s="652">
        <v>3812</v>
      </c>
      <c r="CF30" s="652">
        <v>4642</v>
      </c>
      <c r="CG30" s="652">
        <v>5946</v>
      </c>
      <c r="CH30" s="652">
        <v>6839</v>
      </c>
      <c r="CI30" s="687">
        <f t="shared" ref="CI30:CI37" si="100">CH30</f>
        <v>6839</v>
      </c>
      <c r="CJ30" s="652">
        <v>5072</v>
      </c>
      <c r="CK30" s="652">
        <v>6432</v>
      </c>
      <c r="CL30" s="652">
        <v>7399</v>
      </c>
      <c r="CM30" s="652">
        <v>8495</v>
      </c>
      <c r="CN30" s="4352">
        <f t="shared" ref="CN30:CN37" si="101">CM30</f>
        <v>8495</v>
      </c>
      <c r="CO30" s="652">
        <v>5656</v>
      </c>
      <c r="CP30" s="652">
        <v>7127</v>
      </c>
      <c r="CQ30" s="652">
        <v>8747</v>
      </c>
      <c r="CR30" s="652">
        <v>11086</v>
      </c>
      <c r="CS30" s="4352">
        <f t="shared" ref="CS30:CS37" si="102">CR30</f>
        <v>11086</v>
      </c>
      <c r="CT30" s="652">
        <v>8375</v>
      </c>
      <c r="CU30" s="652">
        <v>10088</v>
      </c>
      <c r="CV30" s="652">
        <v>12170</v>
      </c>
      <c r="CW30" s="652">
        <v>13889</v>
      </c>
      <c r="CX30" s="4352">
        <f t="shared" ref="CX30:CX37" si="103">CW30</f>
        <v>13889</v>
      </c>
      <c r="CY30" s="652">
        <v>9803</v>
      </c>
      <c r="CZ30" s="652">
        <v>10852</v>
      </c>
      <c r="DA30" s="652">
        <v>12366</v>
      </c>
      <c r="DB30" s="652">
        <v>14028</v>
      </c>
      <c r="DC30" s="687">
        <f t="shared" ref="DC30:DC37" si="104">DB30</f>
        <v>14028</v>
      </c>
      <c r="DD30" s="652">
        <v>9954</v>
      </c>
      <c r="DE30" s="652">
        <v>11260</v>
      </c>
      <c r="DF30" s="652">
        <v>12562</v>
      </c>
      <c r="DG30" s="652">
        <v>15140</v>
      </c>
      <c r="DH30" s="687">
        <f t="shared" ref="DH30:DH37" si="105">DG30</f>
        <v>15140</v>
      </c>
      <c r="DI30" s="652">
        <v>9703</v>
      </c>
      <c r="DJ30" s="652">
        <v>11373</v>
      </c>
      <c r="DK30" s="652">
        <v>12908</v>
      </c>
      <c r="DL30" s="652">
        <v>15069</v>
      </c>
      <c r="DM30" s="687">
        <f t="shared" ref="DM30:DM37" si="106">DL30</f>
        <v>15069</v>
      </c>
      <c r="DN30" s="652">
        <v>9984</v>
      </c>
      <c r="DO30" s="652">
        <v>12168</v>
      </c>
      <c r="DP30" s="652">
        <v>13944</v>
      </c>
      <c r="DQ30" s="537">
        <f t="shared" ref="DQ30" si="107">DQ93</f>
        <v>16797.906492040132</v>
      </c>
      <c r="DR30" s="687">
        <f t="shared" ref="DR30:DR37" si="108">DQ30</f>
        <v>16797.906492040132</v>
      </c>
      <c r="DS30" s="537">
        <f t="shared" ref="DS30:DV30" si="109">DS93</f>
        <v>11862.866719932555</v>
      </c>
      <c r="DT30" s="537">
        <f t="shared" si="109"/>
        <v>14400.851394005795</v>
      </c>
      <c r="DU30" s="537">
        <f t="shared" si="109"/>
        <v>16375.042409401229</v>
      </c>
      <c r="DV30" s="537">
        <f t="shared" si="109"/>
        <v>19760.080856391138</v>
      </c>
      <c r="DW30" s="687">
        <f t="shared" ref="DW30:DW37" si="110">DV30</f>
        <v>19760.080856391138</v>
      </c>
      <c r="DX30" s="687">
        <f>DX93</f>
        <v>22568.258593109516</v>
      </c>
      <c r="DY30" s="687">
        <f>DY93</f>
        <v>25423.404048848159</v>
      </c>
      <c r="DZ30" s="687">
        <f>DZ93</f>
        <v>28268.683325185841</v>
      </c>
      <c r="EA30" s="687">
        <f>EA93</f>
        <v>31228.816107211071</v>
      </c>
      <c r="EC30" s="755"/>
      <c r="ED30" s="755"/>
    </row>
    <row r="31" spans="1:134" s="45" customFormat="1" ht="11.25" customHeight="1">
      <c r="A31" s="1601" t="s">
        <v>200</v>
      </c>
      <c r="B31" s="36"/>
      <c r="C31" s="36"/>
      <c r="D31" s="36"/>
      <c r="E31" s="1385"/>
      <c r="F31" s="36"/>
      <c r="G31" s="36"/>
      <c r="H31" s="37"/>
      <c r="I31" s="1385"/>
      <c r="J31" s="39"/>
      <c r="K31" s="72"/>
      <c r="L31" s="37"/>
      <c r="M31" s="1385"/>
      <c r="N31" s="39"/>
      <c r="O31" s="37"/>
      <c r="P31" s="37"/>
      <c r="Q31" s="1385">
        <v>10.81</v>
      </c>
      <c r="R31" s="37"/>
      <c r="S31" s="37"/>
      <c r="T31" s="37"/>
      <c r="U31" s="1385">
        <v>26.411000000000001</v>
      </c>
      <c r="V31" s="41">
        <v>34.956000000000003</v>
      </c>
      <c r="W31" s="43">
        <v>41.054000000000002</v>
      </c>
      <c r="X31" s="43">
        <v>44.185000000000002</v>
      </c>
      <c r="Y31" s="1385">
        <v>64.111000000000004</v>
      </c>
      <c r="Z31" s="43">
        <v>71.953000000000003</v>
      </c>
      <c r="AA31" s="43">
        <v>71.361000000000004</v>
      </c>
      <c r="AB31" s="43">
        <v>98.62</v>
      </c>
      <c r="AC31" s="1385">
        <v>114.377</v>
      </c>
      <c r="AD31" s="41">
        <v>156.78399999999999</v>
      </c>
      <c r="AE31" s="43">
        <v>183.16300000000001</v>
      </c>
      <c r="AF31" s="43">
        <v>212.12299999999999</v>
      </c>
      <c r="AG31" s="1385">
        <v>266.24700000000001</v>
      </c>
      <c r="AH31" s="41">
        <v>300.06799999999998</v>
      </c>
      <c r="AI31" s="43">
        <v>276.72300000000001</v>
      </c>
      <c r="AJ31" s="43">
        <v>400.88900000000001</v>
      </c>
      <c r="AK31" s="1385">
        <v>465.03199999999998</v>
      </c>
      <c r="AL31" s="43">
        <v>746.90499999999997</v>
      </c>
      <c r="AM31" s="43">
        <v>555.11699999999996</v>
      </c>
      <c r="AN31" s="43">
        <v>544.62699999999995</v>
      </c>
      <c r="AO31" s="1385">
        <v>480.26299999999998</v>
      </c>
      <c r="AP31" s="43">
        <v>465.16399999999999</v>
      </c>
      <c r="AQ31" s="43">
        <v>411.226</v>
      </c>
      <c r="AR31" s="43">
        <v>446.322</v>
      </c>
      <c r="AS31" s="1385">
        <v>570.08000000000004</v>
      </c>
      <c r="AT31" s="44">
        <v>576</v>
      </c>
      <c r="AU31" s="65">
        <v>3623</v>
      </c>
      <c r="AV31" s="44">
        <v>841</v>
      </c>
      <c r="AW31" s="1385">
        <v>961</v>
      </c>
      <c r="AX31" s="44">
        <v>1464</v>
      </c>
      <c r="AY31" s="65">
        <v>1493</v>
      </c>
      <c r="AZ31" s="44">
        <v>1155</v>
      </c>
      <c r="BA31" s="1385">
        <v>1370</v>
      </c>
      <c r="BB31" s="44">
        <v>1248</v>
      </c>
      <c r="BC31" s="65">
        <v>2750</v>
      </c>
      <c r="BD31" s="65">
        <v>3313</v>
      </c>
      <c r="BE31" s="1385">
        <v>3258</v>
      </c>
      <c r="BF31" s="652">
        <v>3007</v>
      </c>
      <c r="BG31" s="656">
        <v>3300</v>
      </c>
      <c r="BH31" s="656">
        <v>3071</v>
      </c>
      <c r="BI31" s="652">
        <v>3755</v>
      </c>
      <c r="BJ31" s="1254">
        <f t="shared" si="95"/>
        <v>3755</v>
      </c>
      <c r="BK31" s="652">
        <v>3305</v>
      </c>
      <c r="BL31" s="656">
        <v>3683</v>
      </c>
      <c r="BM31" s="656">
        <v>3933</v>
      </c>
      <c r="BN31" s="1385">
        <v>4434</v>
      </c>
      <c r="BO31" s="1254">
        <f t="shared" si="96"/>
        <v>4434</v>
      </c>
      <c r="BP31" s="652">
        <v>4494</v>
      </c>
      <c r="BQ31" s="656">
        <v>4396</v>
      </c>
      <c r="BR31" s="656">
        <v>4598</v>
      </c>
      <c r="BS31" s="1385">
        <v>4768</v>
      </c>
      <c r="BT31" s="1254">
        <f t="shared" si="97"/>
        <v>4768</v>
      </c>
      <c r="BU31" s="822">
        <v>4517</v>
      </c>
      <c r="BV31" s="652">
        <v>4502</v>
      </c>
      <c r="BW31" s="652">
        <v>4840</v>
      </c>
      <c r="BX31" s="652">
        <v>6144</v>
      </c>
      <c r="BY31" s="1254">
        <f t="shared" si="98"/>
        <v>6144</v>
      </c>
      <c r="BZ31" s="652">
        <v>5438</v>
      </c>
      <c r="CA31" s="652">
        <v>8560</v>
      </c>
      <c r="CB31" s="652">
        <v>9307</v>
      </c>
      <c r="CC31" s="1385">
        <v>10177</v>
      </c>
      <c r="CD31" s="687">
        <f t="shared" si="99"/>
        <v>10177</v>
      </c>
      <c r="CE31" s="652">
        <v>10065</v>
      </c>
      <c r="CF31" s="652">
        <v>15261</v>
      </c>
      <c r="CG31" s="652">
        <v>15936</v>
      </c>
      <c r="CH31" s="652">
        <v>16958</v>
      </c>
      <c r="CI31" s="687">
        <f t="shared" si="100"/>
        <v>16958</v>
      </c>
      <c r="CJ31" s="652">
        <v>19382</v>
      </c>
      <c r="CK31" s="652">
        <v>19823</v>
      </c>
      <c r="CL31" s="652">
        <v>21038</v>
      </c>
      <c r="CM31" s="652">
        <v>23067</v>
      </c>
      <c r="CN31" s="4352">
        <f t="shared" si="101"/>
        <v>23067</v>
      </c>
      <c r="CO31" s="652">
        <v>22601</v>
      </c>
      <c r="CP31" s="652">
        <v>24426</v>
      </c>
      <c r="CQ31" s="652">
        <v>25631</v>
      </c>
      <c r="CR31" s="652">
        <v>28631</v>
      </c>
      <c r="CS31" s="4352">
        <f t="shared" si="102"/>
        <v>28631</v>
      </c>
      <c r="CT31" s="652">
        <v>30732</v>
      </c>
      <c r="CU31" s="652">
        <v>28981</v>
      </c>
      <c r="CV31" s="652">
        <v>30113</v>
      </c>
      <c r="CW31" s="652">
        <v>31236</v>
      </c>
      <c r="CX31" s="4352">
        <f t="shared" si="103"/>
        <v>31236</v>
      </c>
      <c r="CY31" s="652">
        <v>33051</v>
      </c>
      <c r="CZ31" s="652">
        <v>32976</v>
      </c>
      <c r="DA31" s="652">
        <v>35038</v>
      </c>
      <c r="DB31" s="652">
        <v>37866</v>
      </c>
      <c r="DC31" s="687">
        <f t="shared" si="104"/>
        <v>37866</v>
      </c>
      <c r="DD31" s="652">
        <v>43185</v>
      </c>
      <c r="DE31" s="652">
        <v>49300</v>
      </c>
      <c r="DF31" s="652">
        <v>55602</v>
      </c>
      <c r="DG31" s="652">
        <v>46168</v>
      </c>
      <c r="DH31" s="687">
        <f t="shared" si="105"/>
        <v>46168</v>
      </c>
      <c r="DI31" s="652">
        <v>48603</v>
      </c>
      <c r="DJ31" s="652">
        <v>47298</v>
      </c>
      <c r="DK31" s="652">
        <v>46585</v>
      </c>
      <c r="DL31" s="652">
        <v>51228</v>
      </c>
      <c r="DM31" s="687">
        <f t="shared" si="106"/>
        <v>51228</v>
      </c>
      <c r="DN31" s="652">
        <v>58300</v>
      </c>
      <c r="DO31" s="652">
        <v>52039</v>
      </c>
      <c r="DP31" s="652">
        <v>59437</v>
      </c>
      <c r="DQ31" s="537">
        <f t="shared" ref="DQ31" si="111">DQ95</f>
        <v>64311.984855239367</v>
      </c>
      <c r="DR31" s="687">
        <f t="shared" si="108"/>
        <v>64311.984855239367</v>
      </c>
      <c r="DS31" s="537">
        <f t="shared" ref="DS31:DV31" si="112">DS95</f>
        <v>69271.34713261899</v>
      </c>
      <c r="DT31" s="537">
        <f t="shared" si="112"/>
        <v>61588.256549364523</v>
      </c>
      <c r="DU31" s="537">
        <f t="shared" si="112"/>
        <v>69799.440310354345</v>
      </c>
      <c r="DV31" s="537">
        <f t="shared" si="112"/>
        <v>75652.880993040366</v>
      </c>
      <c r="DW31" s="687">
        <f t="shared" si="110"/>
        <v>75652.880993040366</v>
      </c>
      <c r="DX31" s="687">
        <f>DX95</f>
        <v>86404.190042190734</v>
      </c>
      <c r="DY31" s="687">
        <f>DY95</f>
        <v>97335.318358447243</v>
      </c>
      <c r="DZ31" s="687">
        <f>DZ95</f>
        <v>108228.67330214009</v>
      </c>
      <c r="EA31" s="687">
        <f>EA95</f>
        <v>119561.75309617953</v>
      </c>
      <c r="EC31" s="755"/>
      <c r="ED31" s="755"/>
    </row>
    <row r="32" spans="1:134" s="45" customFormat="1" ht="11.25" customHeight="1">
      <c r="A32" s="1601" t="s">
        <v>194</v>
      </c>
      <c r="B32" s="36"/>
      <c r="C32" s="36"/>
      <c r="D32" s="36"/>
      <c r="E32" s="1385"/>
      <c r="F32" s="36"/>
      <c r="G32" s="36"/>
      <c r="H32" s="37"/>
      <c r="I32" s="1385"/>
      <c r="J32" s="39"/>
      <c r="K32" s="72"/>
      <c r="L32" s="37"/>
      <c r="M32" s="1385"/>
      <c r="N32" s="39"/>
      <c r="O32" s="37"/>
      <c r="P32" s="37"/>
      <c r="Q32" s="1385">
        <v>13.1</v>
      </c>
      <c r="R32" s="37"/>
      <c r="S32" s="37"/>
      <c r="T32" s="37"/>
      <c r="U32" s="1385">
        <v>88.671999999999997</v>
      </c>
      <c r="V32" s="41">
        <v>99.179000000000002</v>
      </c>
      <c r="W32" s="43">
        <v>93.435000000000002</v>
      </c>
      <c r="X32" s="43">
        <v>101.973</v>
      </c>
      <c r="Y32" s="1385">
        <v>122.544</v>
      </c>
      <c r="Z32" s="43">
        <v>154.62899999999999</v>
      </c>
      <c r="AA32" s="43">
        <v>153.56200000000001</v>
      </c>
      <c r="AB32" s="43">
        <v>174.71199999999999</v>
      </c>
      <c r="AC32" s="1385">
        <v>215.77099999999999</v>
      </c>
      <c r="AD32" s="41">
        <v>267.202</v>
      </c>
      <c r="AE32" s="43">
        <v>272.73099999999999</v>
      </c>
      <c r="AF32" s="43">
        <v>307.01</v>
      </c>
      <c r="AG32" s="1385">
        <v>370.36399999999998</v>
      </c>
      <c r="AH32" s="41">
        <v>448.12099999999998</v>
      </c>
      <c r="AI32" s="43">
        <v>452.47199999999998</v>
      </c>
      <c r="AJ32" s="43">
        <v>507.69299999999998</v>
      </c>
      <c r="AK32" s="1385">
        <v>522.00099999999998</v>
      </c>
      <c r="AL32" s="43">
        <v>525.76400000000001</v>
      </c>
      <c r="AM32" s="43">
        <v>517.28700000000003</v>
      </c>
      <c r="AN32" s="43">
        <v>515.94899999999996</v>
      </c>
      <c r="AO32" s="1385">
        <v>532.54700000000003</v>
      </c>
      <c r="AP32" s="43">
        <v>522.83500000000004</v>
      </c>
      <c r="AQ32" s="43">
        <v>550.19899999999996</v>
      </c>
      <c r="AR32" s="43">
        <v>599.28300000000002</v>
      </c>
      <c r="AS32" s="1385">
        <v>693.95799999999997</v>
      </c>
      <c r="AT32" s="44">
        <v>696</v>
      </c>
      <c r="AU32" s="65">
        <v>677</v>
      </c>
      <c r="AV32" s="44">
        <v>752</v>
      </c>
      <c r="AW32" s="1385">
        <v>885</v>
      </c>
      <c r="AX32" s="44">
        <v>871</v>
      </c>
      <c r="AY32" s="65">
        <v>916</v>
      </c>
      <c r="AZ32" s="44">
        <v>962</v>
      </c>
      <c r="BA32" s="1385">
        <v>1168</v>
      </c>
      <c r="BB32" s="44">
        <v>1164</v>
      </c>
      <c r="BC32" s="65">
        <v>1175</v>
      </c>
      <c r="BD32" s="65">
        <v>1108</v>
      </c>
      <c r="BE32" s="1385">
        <v>1471</v>
      </c>
      <c r="BF32" s="652">
        <v>1437</v>
      </c>
      <c r="BG32" s="656">
        <v>1458</v>
      </c>
      <c r="BH32" s="656">
        <v>1472</v>
      </c>
      <c r="BI32" s="652">
        <v>1729</v>
      </c>
      <c r="BJ32" s="1254">
        <f t="shared" si="95"/>
        <v>1729</v>
      </c>
      <c r="BK32" s="652">
        <v>1674</v>
      </c>
      <c r="BL32" s="656">
        <v>1686</v>
      </c>
      <c r="BM32" s="656">
        <v>1761</v>
      </c>
      <c r="BN32" s="1385">
        <v>1952</v>
      </c>
      <c r="BO32" s="1254">
        <f t="shared" si="96"/>
        <v>1952</v>
      </c>
      <c r="BP32" s="652">
        <v>1755</v>
      </c>
      <c r="BQ32" s="656">
        <v>1823</v>
      </c>
      <c r="BR32" s="656">
        <v>1899</v>
      </c>
      <c r="BS32" s="1385">
        <v>2329</v>
      </c>
      <c r="BT32" s="1254">
        <f t="shared" si="97"/>
        <v>2329</v>
      </c>
      <c r="BU32" s="822">
        <v>2227</v>
      </c>
      <c r="BV32" s="652">
        <v>2345</v>
      </c>
      <c r="BW32" s="652">
        <v>2542</v>
      </c>
      <c r="BX32" s="652">
        <v>2942</v>
      </c>
      <c r="BY32" s="1254">
        <f t="shared" si="98"/>
        <v>2942</v>
      </c>
      <c r="BZ32" s="652">
        <v>2888</v>
      </c>
      <c r="CA32" s="652">
        <v>3007</v>
      </c>
      <c r="CB32" s="652">
        <v>3200</v>
      </c>
      <c r="CC32" s="1385">
        <v>3975</v>
      </c>
      <c r="CD32" s="687">
        <f t="shared" si="99"/>
        <v>3975</v>
      </c>
      <c r="CE32" s="652">
        <v>3723</v>
      </c>
      <c r="CF32" s="652">
        <v>3728</v>
      </c>
      <c r="CG32" s="652">
        <v>3878</v>
      </c>
      <c r="CH32" s="652">
        <v>4592</v>
      </c>
      <c r="CI32" s="687">
        <f t="shared" si="100"/>
        <v>4592</v>
      </c>
      <c r="CJ32" s="652">
        <v>4318</v>
      </c>
      <c r="CK32" s="652">
        <v>4567</v>
      </c>
      <c r="CL32" s="652">
        <v>4835</v>
      </c>
      <c r="CM32" s="652">
        <v>5916</v>
      </c>
      <c r="CN32" s="4352">
        <f t="shared" si="101"/>
        <v>5916</v>
      </c>
      <c r="CO32" s="652">
        <v>4982</v>
      </c>
      <c r="CP32" s="652">
        <v>5005</v>
      </c>
      <c r="CQ32" s="652">
        <v>6030</v>
      </c>
      <c r="CR32" s="652">
        <v>7500</v>
      </c>
      <c r="CS32" s="4352">
        <f t="shared" si="102"/>
        <v>7500</v>
      </c>
      <c r="CT32" s="652">
        <v>6962</v>
      </c>
      <c r="CU32" s="652">
        <v>7438</v>
      </c>
      <c r="CV32" s="652">
        <v>7745</v>
      </c>
      <c r="CW32" s="652">
        <v>8996</v>
      </c>
      <c r="CX32" s="4352">
        <f t="shared" si="103"/>
        <v>8996</v>
      </c>
      <c r="CY32" s="652">
        <v>8116</v>
      </c>
      <c r="CZ32" s="652">
        <v>7889</v>
      </c>
      <c r="DA32" s="652">
        <v>7662</v>
      </c>
      <c r="DB32" s="652">
        <v>8370</v>
      </c>
      <c r="DC32" s="687">
        <f t="shared" si="104"/>
        <v>8370</v>
      </c>
      <c r="DD32" s="652">
        <v>7816</v>
      </c>
      <c r="DE32" s="652">
        <v>7990</v>
      </c>
      <c r="DF32" s="652">
        <v>8025</v>
      </c>
      <c r="DG32" s="652">
        <v>8876</v>
      </c>
      <c r="DH32" s="687">
        <f t="shared" si="105"/>
        <v>8876</v>
      </c>
      <c r="DI32" s="652">
        <v>8520</v>
      </c>
      <c r="DJ32" s="652">
        <v>8899</v>
      </c>
      <c r="DK32" s="652">
        <v>9365</v>
      </c>
      <c r="DL32" s="652">
        <v>9802</v>
      </c>
      <c r="DM32" s="687">
        <f t="shared" si="106"/>
        <v>9802</v>
      </c>
      <c r="DN32" s="652">
        <v>9965</v>
      </c>
      <c r="DO32" s="652">
        <v>9787</v>
      </c>
      <c r="DP32" s="652">
        <v>10081</v>
      </c>
      <c r="DQ32" s="537">
        <f t="shared" ref="DQ32" si="113">DQ97</f>
        <v>11527.361091244191</v>
      </c>
      <c r="DR32" s="687">
        <f t="shared" si="108"/>
        <v>11527.361091244191</v>
      </c>
      <c r="DS32" s="537">
        <f t="shared" ref="DS32:DV32" si="114">DS97</f>
        <v>11840.291152256401</v>
      </c>
      <c r="DT32" s="537">
        <f t="shared" si="114"/>
        <v>11582.93331633257</v>
      </c>
      <c r="DU32" s="537">
        <f t="shared" si="114"/>
        <v>11838.554398248263</v>
      </c>
      <c r="DV32" s="537">
        <f t="shared" si="114"/>
        <v>13560.117585589558</v>
      </c>
      <c r="DW32" s="687">
        <f t="shared" si="110"/>
        <v>13560.117585589558</v>
      </c>
      <c r="DX32" s="687">
        <f>DX97</f>
        <v>15487.195748269229</v>
      </c>
      <c r="DY32" s="687">
        <f>DY97</f>
        <v>17446.504942657237</v>
      </c>
      <c r="DZ32" s="687">
        <f>DZ97</f>
        <v>19399.043590215515</v>
      </c>
      <c r="EA32" s="687">
        <f>EA97</f>
        <v>21430.399073269513</v>
      </c>
      <c r="EC32" s="755"/>
      <c r="ED32" s="755"/>
    </row>
    <row r="33" spans="1:134" s="45" customFormat="1" ht="11.25" customHeight="1">
      <c r="A33" s="1601" t="s">
        <v>70</v>
      </c>
      <c r="B33" s="36"/>
      <c r="C33" s="36"/>
      <c r="D33" s="36"/>
      <c r="E33" s="1385"/>
      <c r="F33" s="36"/>
      <c r="G33" s="36"/>
      <c r="H33" s="37"/>
      <c r="I33" s="1385"/>
      <c r="J33" s="39"/>
      <c r="K33" s="72"/>
      <c r="L33" s="37"/>
      <c r="M33" s="1385"/>
      <c r="N33" s="39"/>
      <c r="O33" s="37"/>
      <c r="P33" s="37"/>
      <c r="Q33" s="1385">
        <v>11.345000000000001</v>
      </c>
      <c r="R33" s="37"/>
      <c r="S33" s="37"/>
      <c r="T33" s="37"/>
      <c r="U33" s="1385">
        <v>15.346</v>
      </c>
      <c r="V33" s="41">
        <v>15.68</v>
      </c>
      <c r="W33" s="43">
        <v>18.256</v>
      </c>
      <c r="X33" s="43">
        <v>21.888000000000002</v>
      </c>
      <c r="Y33" s="1385">
        <v>36.508000000000003</v>
      </c>
      <c r="Z33" s="43">
        <v>41.393999999999998</v>
      </c>
      <c r="AA33" s="43">
        <v>47.917000000000002</v>
      </c>
      <c r="AB33" s="43">
        <v>55.654000000000003</v>
      </c>
      <c r="AC33" s="1385">
        <v>73.099000000000004</v>
      </c>
      <c r="AD33" s="41">
        <v>80.171999999999997</v>
      </c>
      <c r="AE33" s="43">
        <v>83.286000000000001</v>
      </c>
      <c r="AF33" s="43">
        <v>88.358999999999995</v>
      </c>
      <c r="AG33" s="1385">
        <v>105.136</v>
      </c>
      <c r="AH33" s="41">
        <v>105.771</v>
      </c>
      <c r="AI33" s="43">
        <v>122.56</v>
      </c>
      <c r="AJ33" s="43">
        <v>146.12899999999999</v>
      </c>
      <c r="AK33" s="1385">
        <v>178.07300000000001</v>
      </c>
      <c r="AL33" s="43">
        <v>194.066</v>
      </c>
      <c r="AM33" s="43">
        <v>197.43299999999999</v>
      </c>
      <c r="AN33" s="43">
        <v>200.37799999999999</v>
      </c>
      <c r="AO33" s="1385">
        <v>218.084</v>
      </c>
      <c r="AP33" s="43">
        <v>216.93700000000001</v>
      </c>
      <c r="AQ33" s="43">
        <v>227.761</v>
      </c>
      <c r="AR33" s="43">
        <v>252.221</v>
      </c>
      <c r="AS33" s="1385">
        <v>285.08</v>
      </c>
      <c r="AT33" s="44">
        <v>293</v>
      </c>
      <c r="AU33" s="44">
        <v>302</v>
      </c>
      <c r="AV33" s="44">
        <v>322</v>
      </c>
      <c r="AW33" s="1385">
        <v>394</v>
      </c>
      <c r="AX33" s="44">
        <v>440</v>
      </c>
      <c r="AY33" s="44">
        <v>489</v>
      </c>
      <c r="AZ33" s="44">
        <v>489</v>
      </c>
      <c r="BA33" s="1385">
        <v>547</v>
      </c>
      <c r="BB33" s="44">
        <v>594</v>
      </c>
      <c r="BC33" s="44">
        <v>767</v>
      </c>
      <c r="BD33" s="44">
        <v>905</v>
      </c>
      <c r="BE33" s="1385">
        <v>895</v>
      </c>
      <c r="BF33" s="652">
        <v>882</v>
      </c>
      <c r="BG33" s="652">
        <v>799</v>
      </c>
      <c r="BH33" s="652">
        <v>907</v>
      </c>
      <c r="BI33" s="652">
        <v>1062</v>
      </c>
      <c r="BJ33" s="1254">
        <f t="shared" si="95"/>
        <v>1062</v>
      </c>
      <c r="BK33" s="652">
        <v>947</v>
      </c>
      <c r="BL33" s="652">
        <v>882</v>
      </c>
      <c r="BM33" s="652">
        <v>820</v>
      </c>
      <c r="BN33" s="1385">
        <v>752</v>
      </c>
      <c r="BO33" s="1254">
        <f t="shared" si="96"/>
        <v>752</v>
      </c>
      <c r="BP33" s="652">
        <v>699</v>
      </c>
      <c r="BQ33" s="652">
        <v>712</v>
      </c>
      <c r="BR33" s="652">
        <v>705</v>
      </c>
      <c r="BS33" s="1385">
        <v>788</v>
      </c>
      <c r="BT33" s="1254">
        <f t="shared" si="97"/>
        <v>788</v>
      </c>
      <c r="BU33" s="822">
        <v>933</v>
      </c>
      <c r="BV33" s="652">
        <v>900</v>
      </c>
      <c r="BW33" s="652">
        <v>923</v>
      </c>
      <c r="BX33" s="652">
        <v>1099</v>
      </c>
      <c r="BY33" s="1254">
        <f t="shared" si="98"/>
        <v>1099</v>
      </c>
      <c r="BZ33" s="652">
        <v>1148</v>
      </c>
      <c r="CA33" s="652">
        <v>1226</v>
      </c>
      <c r="CB33" s="652">
        <v>1269</v>
      </c>
      <c r="CC33" s="1385">
        <v>1432</v>
      </c>
      <c r="CD33" s="687">
        <f t="shared" si="99"/>
        <v>1432</v>
      </c>
      <c r="CE33" s="652">
        <v>1596</v>
      </c>
      <c r="CF33" s="652">
        <v>1714</v>
      </c>
      <c r="CG33" s="652">
        <v>1752</v>
      </c>
      <c r="CH33" s="652">
        <v>1784</v>
      </c>
      <c r="CI33" s="687">
        <f t="shared" si="100"/>
        <v>1784</v>
      </c>
      <c r="CJ33" s="652">
        <v>1667</v>
      </c>
      <c r="CK33" s="652">
        <v>1717</v>
      </c>
      <c r="CL33" s="652">
        <v>1679</v>
      </c>
      <c r="CM33" s="652">
        <v>1908</v>
      </c>
      <c r="CN33" s="4352">
        <f t="shared" si="101"/>
        <v>1908</v>
      </c>
      <c r="CO33" s="652">
        <v>1938</v>
      </c>
      <c r="CP33" s="652">
        <v>2061</v>
      </c>
      <c r="CQ33" s="652">
        <v>2302</v>
      </c>
      <c r="CR33" s="652">
        <v>2543</v>
      </c>
      <c r="CS33" s="4352">
        <f t="shared" si="102"/>
        <v>2543</v>
      </c>
      <c r="CT33" s="652">
        <v>2690</v>
      </c>
      <c r="CU33" s="652">
        <v>2715</v>
      </c>
      <c r="CV33" s="652">
        <v>2968</v>
      </c>
      <c r="CW33" s="652">
        <v>3288</v>
      </c>
      <c r="CX33" s="4352">
        <f t="shared" si="103"/>
        <v>3288</v>
      </c>
      <c r="CY33" s="652">
        <v>3198</v>
      </c>
      <c r="CZ33" s="652">
        <v>3272</v>
      </c>
      <c r="DA33" s="652">
        <v>3585</v>
      </c>
      <c r="DB33" s="652">
        <v>3908</v>
      </c>
      <c r="DC33" s="687">
        <f t="shared" si="104"/>
        <v>3908</v>
      </c>
      <c r="DD33" s="652">
        <v>3715</v>
      </c>
      <c r="DE33" s="652">
        <v>3846</v>
      </c>
      <c r="DF33" s="652">
        <v>4303</v>
      </c>
      <c r="DG33" s="652">
        <v>4137</v>
      </c>
      <c r="DH33" s="687">
        <f t="shared" si="105"/>
        <v>4137</v>
      </c>
      <c r="DI33" s="652">
        <v>3973</v>
      </c>
      <c r="DJ33" s="652">
        <v>4251</v>
      </c>
      <c r="DK33" s="652">
        <v>4896</v>
      </c>
      <c r="DL33" s="652">
        <v>5036</v>
      </c>
      <c r="DM33" s="687">
        <f t="shared" si="106"/>
        <v>5036</v>
      </c>
      <c r="DN33" s="652">
        <v>4908</v>
      </c>
      <c r="DO33" s="652">
        <v>4969</v>
      </c>
      <c r="DP33" s="652">
        <v>5542</v>
      </c>
      <c r="DQ33" s="537">
        <f t="shared" ref="DQ33" si="115">DQ99</f>
        <v>5922.4434253729596</v>
      </c>
      <c r="DR33" s="687">
        <f t="shared" si="108"/>
        <v>5922.4434253729596</v>
      </c>
      <c r="DS33" s="537">
        <f t="shared" ref="DS33:DV33" si="116">DS99</f>
        <v>5831.6255870822297</v>
      </c>
      <c r="DT33" s="537">
        <f t="shared" si="116"/>
        <v>5880.8210533213996</v>
      </c>
      <c r="DU33" s="537">
        <f t="shared" si="116"/>
        <v>6508.2103437250153</v>
      </c>
      <c r="DV33" s="537">
        <f t="shared" si="116"/>
        <v>6966.8182167954519</v>
      </c>
      <c r="DW33" s="687">
        <f t="shared" si="110"/>
        <v>6966.8182167954519</v>
      </c>
      <c r="DX33" s="687">
        <f>DX99</f>
        <v>7956.8983664847829</v>
      </c>
      <c r="DY33" s="687">
        <f>DY99</f>
        <v>8963.537940340937</v>
      </c>
      <c r="DZ33" s="687">
        <f>DZ99</f>
        <v>9966.6989920756314</v>
      </c>
      <c r="EA33" s="687">
        <f>EA99</f>
        <v>11010.353982144998</v>
      </c>
      <c r="EC33" s="755"/>
      <c r="ED33" s="755"/>
    </row>
    <row r="34" spans="1:134" s="45" customFormat="1" ht="11.25" customHeight="1">
      <c r="A34" s="1601" t="s">
        <v>201</v>
      </c>
      <c r="B34" s="36"/>
      <c r="C34" s="36"/>
      <c r="D34" s="36"/>
      <c r="E34" s="1386"/>
      <c r="F34" s="36"/>
      <c r="G34" s="36"/>
      <c r="H34" s="37"/>
      <c r="I34" s="1386"/>
      <c r="J34" s="39"/>
      <c r="K34" s="72"/>
      <c r="L34" s="37"/>
      <c r="M34" s="1386"/>
      <c r="N34" s="39"/>
      <c r="O34" s="37"/>
      <c r="P34" s="37"/>
      <c r="Q34" s="1386">
        <v>25.981000000000002</v>
      </c>
      <c r="R34" s="37"/>
      <c r="S34" s="37"/>
      <c r="T34" s="37"/>
      <c r="U34" s="1386">
        <v>20.704999999999998</v>
      </c>
      <c r="V34" s="41">
        <v>83.784999999999997</v>
      </c>
      <c r="W34" s="73">
        <v>0</v>
      </c>
      <c r="X34" s="73">
        <v>0</v>
      </c>
      <c r="Y34" s="1386">
        <v>0</v>
      </c>
      <c r="Z34" s="75">
        <v>0</v>
      </c>
      <c r="AA34" s="73">
        <f>Z34</f>
        <v>0</v>
      </c>
      <c r="AB34" s="47">
        <v>26.09</v>
      </c>
      <c r="AC34" s="1386">
        <v>27.774000000000001</v>
      </c>
      <c r="AD34" s="50">
        <v>211.56</v>
      </c>
      <c r="AE34" s="47">
        <v>108.283</v>
      </c>
      <c r="AF34" s="47">
        <v>188.613</v>
      </c>
      <c r="AG34" s="1386">
        <v>0</v>
      </c>
      <c r="AH34" s="47">
        <v>37.856999999999999</v>
      </c>
      <c r="AI34" s="47">
        <v>0</v>
      </c>
      <c r="AJ34" s="47">
        <f>AI34</f>
        <v>0</v>
      </c>
      <c r="AK34" s="1386">
        <f>AJ34</f>
        <v>0</v>
      </c>
      <c r="AL34" s="47">
        <v>177.43</v>
      </c>
      <c r="AM34" s="47">
        <v>143.113</v>
      </c>
      <c r="AN34" s="47">
        <v>99.959000000000003</v>
      </c>
      <c r="AO34" s="1386">
        <v>81.549000000000007</v>
      </c>
      <c r="AP34" s="47">
        <v>317.79899999999998</v>
      </c>
      <c r="AQ34" s="47">
        <v>0</v>
      </c>
      <c r="AR34" s="47">
        <f>AQ34</f>
        <v>0</v>
      </c>
      <c r="AS34" s="1386">
        <f>AR34</f>
        <v>0</v>
      </c>
      <c r="AT34" s="48">
        <v>450</v>
      </c>
      <c r="AU34" s="48">
        <v>0</v>
      </c>
      <c r="AV34" s="48">
        <f>AU34</f>
        <v>0</v>
      </c>
      <c r="AW34" s="1386">
        <v>37</v>
      </c>
      <c r="AX34" s="48">
        <v>0</v>
      </c>
      <c r="AY34" s="48">
        <v>0</v>
      </c>
      <c r="AZ34" s="48">
        <v>0</v>
      </c>
      <c r="BA34" s="1386">
        <v>197</v>
      </c>
      <c r="BB34" s="48">
        <v>239</v>
      </c>
      <c r="BC34" s="48">
        <v>157</v>
      </c>
      <c r="BD34" s="48">
        <v>45</v>
      </c>
      <c r="BE34" s="1386">
        <v>240</v>
      </c>
      <c r="BF34" s="653">
        <v>0</v>
      </c>
      <c r="BG34" s="653">
        <v>0</v>
      </c>
      <c r="BH34" s="653">
        <v>0</v>
      </c>
      <c r="BI34" s="653">
        <v>24</v>
      </c>
      <c r="BJ34" s="1267">
        <f t="shared" si="95"/>
        <v>24</v>
      </c>
      <c r="BK34" s="653">
        <v>0</v>
      </c>
      <c r="BL34" s="653">
        <v>0</v>
      </c>
      <c r="BM34" s="653">
        <v>0</v>
      </c>
      <c r="BN34" s="1386">
        <v>96</v>
      </c>
      <c r="BO34" s="1267">
        <f t="shared" si="96"/>
        <v>96</v>
      </c>
      <c r="BP34" s="653">
        <v>123</v>
      </c>
      <c r="BQ34" s="653">
        <v>948</v>
      </c>
      <c r="BR34" s="653">
        <v>215</v>
      </c>
      <c r="BS34" s="1386">
        <v>302</v>
      </c>
      <c r="BT34" s="1267">
        <f t="shared" si="97"/>
        <v>302</v>
      </c>
      <c r="BU34" s="823">
        <v>330</v>
      </c>
      <c r="BV34" s="654">
        <v>185</v>
      </c>
      <c r="BW34" s="654">
        <v>171</v>
      </c>
      <c r="BX34" s="654">
        <v>554</v>
      </c>
      <c r="BY34" s="1267">
        <f t="shared" si="98"/>
        <v>554</v>
      </c>
      <c r="BZ34" s="654">
        <v>803</v>
      </c>
      <c r="CA34" s="654">
        <v>133</v>
      </c>
      <c r="CB34" s="654">
        <v>221</v>
      </c>
      <c r="CC34" s="1387">
        <v>881</v>
      </c>
      <c r="CD34" s="692">
        <f t="shared" si="99"/>
        <v>881</v>
      </c>
      <c r="CE34" s="654">
        <v>1343</v>
      </c>
      <c r="CF34" s="654">
        <v>1189</v>
      </c>
      <c r="CG34" s="654">
        <v>0</v>
      </c>
      <c r="CH34" s="654">
        <v>69</v>
      </c>
      <c r="CI34" s="692">
        <f t="shared" si="100"/>
        <v>69</v>
      </c>
      <c r="CJ34" s="654">
        <v>761</v>
      </c>
      <c r="CK34" s="654">
        <v>536</v>
      </c>
      <c r="CL34" s="654">
        <v>131</v>
      </c>
      <c r="CM34" s="654">
        <v>274</v>
      </c>
      <c r="CN34" s="4358">
        <f t="shared" si="101"/>
        <v>274</v>
      </c>
      <c r="CO34" s="654">
        <v>913</v>
      </c>
      <c r="CP34" s="654">
        <v>975</v>
      </c>
      <c r="CQ34" s="654">
        <v>1099</v>
      </c>
      <c r="CR34" s="654">
        <v>1485</v>
      </c>
      <c r="CS34" s="4358">
        <f t="shared" si="102"/>
        <v>1485</v>
      </c>
      <c r="CT34" s="654">
        <v>1893</v>
      </c>
      <c r="CU34" s="654">
        <v>1811</v>
      </c>
      <c r="CV34" s="654">
        <v>4170</v>
      </c>
      <c r="CW34" s="654">
        <v>808</v>
      </c>
      <c r="CX34" s="4358">
        <f t="shared" si="103"/>
        <v>808</v>
      </c>
      <c r="CY34" s="654">
        <v>4344</v>
      </c>
      <c r="CZ34" s="654">
        <v>1956</v>
      </c>
      <c r="DA34" s="654">
        <v>1025</v>
      </c>
      <c r="DB34" s="654">
        <v>0</v>
      </c>
      <c r="DC34" s="692">
        <f t="shared" si="104"/>
        <v>0</v>
      </c>
      <c r="DD34" s="654">
        <v>0</v>
      </c>
      <c r="DE34" s="654">
        <v>0</v>
      </c>
      <c r="DF34" s="654">
        <v>0</v>
      </c>
      <c r="DG34" s="654">
        <v>0</v>
      </c>
      <c r="DH34" s="692">
        <f t="shared" si="105"/>
        <v>0</v>
      </c>
      <c r="DI34" s="654">
        <v>0</v>
      </c>
      <c r="DJ34" s="654">
        <v>0</v>
      </c>
      <c r="DK34" s="654">
        <v>0</v>
      </c>
      <c r="DL34" s="654">
        <v>0</v>
      </c>
      <c r="DM34" s="692">
        <f t="shared" si="106"/>
        <v>0</v>
      </c>
      <c r="DN34" s="654">
        <v>0</v>
      </c>
      <c r="DO34" s="654">
        <v>0</v>
      </c>
      <c r="DP34" s="654">
        <v>0</v>
      </c>
      <c r="DQ34" s="691">
        <f t="shared" ref="DQ34" si="117">+DP34</f>
        <v>0</v>
      </c>
      <c r="DR34" s="692">
        <f t="shared" si="108"/>
        <v>0</v>
      </c>
      <c r="DS34" s="691">
        <f t="shared" ref="DS34" si="118">+DR34</f>
        <v>0</v>
      </c>
      <c r="DT34" s="691">
        <f t="shared" ref="DT34" si="119">+DS34</f>
        <v>0</v>
      </c>
      <c r="DU34" s="691">
        <f t="shared" ref="DU34" si="120">+DT34</f>
        <v>0</v>
      </c>
      <c r="DV34" s="691">
        <f t="shared" ref="DV34" si="121">+DU34</f>
        <v>0</v>
      </c>
      <c r="DW34" s="692">
        <f t="shared" si="110"/>
        <v>0</v>
      </c>
      <c r="DX34" s="692">
        <f t="shared" ref="DX34:EA37" si="122">DW34</f>
        <v>0</v>
      </c>
      <c r="DY34" s="692">
        <f t="shared" si="122"/>
        <v>0</v>
      </c>
      <c r="DZ34" s="692">
        <f t="shared" si="122"/>
        <v>0</v>
      </c>
      <c r="EA34" s="692">
        <f t="shared" si="122"/>
        <v>0</v>
      </c>
      <c r="EC34" s="755"/>
      <c r="ED34" s="755"/>
    </row>
    <row r="35" spans="1:134" s="84" customFormat="1" ht="11.25" customHeight="1">
      <c r="A35" s="1587" t="s">
        <v>330</v>
      </c>
      <c r="B35" s="76"/>
      <c r="C35" s="76"/>
      <c r="D35" s="76"/>
      <c r="E35" s="1387"/>
      <c r="F35" s="76"/>
      <c r="G35" s="76"/>
      <c r="H35" s="77"/>
      <c r="I35" s="1387"/>
      <c r="J35" s="79"/>
      <c r="K35" s="80"/>
      <c r="L35" s="77"/>
      <c r="M35" s="1387"/>
      <c r="N35" s="79"/>
      <c r="O35" s="77"/>
      <c r="P35" s="77"/>
      <c r="Q35" s="1387"/>
      <c r="R35" s="77"/>
      <c r="S35" s="77"/>
      <c r="T35" s="77"/>
      <c r="U35" s="1387">
        <v>0</v>
      </c>
      <c r="V35" s="82">
        <v>0</v>
      </c>
      <c r="W35" s="82">
        <v>0</v>
      </c>
      <c r="X35" s="82">
        <v>0</v>
      </c>
      <c r="Y35" s="1387">
        <v>0</v>
      </c>
      <c r="Z35" s="82">
        <v>0</v>
      </c>
      <c r="AA35" s="82">
        <v>0</v>
      </c>
      <c r="AB35" s="82">
        <v>0</v>
      </c>
      <c r="AC35" s="1387">
        <v>0</v>
      </c>
      <c r="AD35" s="82">
        <v>0</v>
      </c>
      <c r="AE35" s="82">
        <v>0</v>
      </c>
      <c r="AF35" s="82">
        <v>0</v>
      </c>
      <c r="AG35" s="1387">
        <v>0</v>
      </c>
      <c r="AH35" s="82">
        <v>0</v>
      </c>
      <c r="AI35" s="82">
        <v>0</v>
      </c>
      <c r="AJ35" s="82">
        <v>0</v>
      </c>
      <c r="AK35" s="1387">
        <v>0</v>
      </c>
      <c r="AL35" s="82">
        <v>0</v>
      </c>
      <c r="AM35" s="82">
        <v>0</v>
      </c>
      <c r="AN35" s="82">
        <v>0</v>
      </c>
      <c r="AO35" s="1387">
        <v>0</v>
      </c>
      <c r="AP35" s="82">
        <v>0</v>
      </c>
      <c r="AQ35" s="82">
        <v>0</v>
      </c>
      <c r="AR35" s="82">
        <v>0</v>
      </c>
      <c r="AS35" s="1387">
        <v>0</v>
      </c>
      <c r="AT35" s="83">
        <v>0</v>
      </c>
      <c r="AU35" s="83">
        <v>0</v>
      </c>
      <c r="AV35" s="53">
        <v>2122</v>
      </c>
      <c r="AW35" s="1387">
        <v>3465</v>
      </c>
      <c r="AX35" s="53">
        <v>3216</v>
      </c>
      <c r="AY35" s="53">
        <v>1217</v>
      </c>
      <c r="AZ35" s="53">
        <v>1218</v>
      </c>
      <c r="BA35" s="1387">
        <v>1218</v>
      </c>
      <c r="BB35" s="53">
        <v>2468</v>
      </c>
      <c r="BC35" s="53">
        <v>3218</v>
      </c>
      <c r="BD35" s="53">
        <v>3218</v>
      </c>
      <c r="BE35" s="1387">
        <v>2549</v>
      </c>
      <c r="BF35" s="654">
        <v>2150</v>
      </c>
      <c r="BG35" s="654">
        <v>3000</v>
      </c>
      <c r="BH35" s="654">
        <v>3009</v>
      </c>
      <c r="BI35" s="654">
        <v>3009</v>
      </c>
      <c r="BJ35" s="1267">
        <f t="shared" si="95"/>
        <v>3009</v>
      </c>
      <c r="BK35" s="654">
        <v>3009</v>
      </c>
      <c r="BL35" s="654">
        <f>2009+2304</f>
        <v>4313</v>
      </c>
      <c r="BM35" s="654">
        <f>2009+2199</f>
        <v>4208</v>
      </c>
      <c r="BN35" s="1387">
        <v>2009</v>
      </c>
      <c r="BO35" s="1267">
        <f t="shared" si="96"/>
        <v>2009</v>
      </c>
      <c r="BP35" s="654">
        <v>2009</v>
      </c>
      <c r="BQ35" s="654">
        <v>3008</v>
      </c>
      <c r="BR35" s="654">
        <v>3237</v>
      </c>
      <c r="BS35" s="1387">
        <v>3225</v>
      </c>
      <c r="BT35" s="1267">
        <f t="shared" si="97"/>
        <v>3225</v>
      </c>
      <c r="BU35" s="469">
        <v>3221</v>
      </c>
      <c r="BV35" s="469">
        <v>2219</v>
      </c>
      <c r="BW35" s="469">
        <v>0</v>
      </c>
      <c r="BX35" s="469">
        <v>0</v>
      </c>
      <c r="BY35" s="1267">
        <f t="shared" si="98"/>
        <v>0</v>
      </c>
      <c r="BZ35" s="469">
        <v>0</v>
      </c>
      <c r="CA35" s="469">
        <v>0</v>
      </c>
      <c r="CB35" s="83">
        <v>0</v>
      </c>
      <c r="CC35" s="83">
        <v>0</v>
      </c>
      <c r="CD35" s="3518">
        <f t="shared" si="99"/>
        <v>0</v>
      </c>
      <c r="CE35" s="528">
        <v>1329</v>
      </c>
      <c r="CF35" s="528">
        <v>0</v>
      </c>
      <c r="CG35" s="528">
        <v>0</v>
      </c>
      <c r="CH35" s="528">
        <v>0</v>
      </c>
      <c r="CI35" s="4292">
        <f t="shared" si="100"/>
        <v>0</v>
      </c>
      <c r="CJ35" s="528">
        <v>0</v>
      </c>
      <c r="CK35" s="528">
        <v>0</v>
      </c>
      <c r="CL35" s="528">
        <v>0</v>
      </c>
      <c r="CM35" s="528">
        <v>0</v>
      </c>
      <c r="CN35" s="5021">
        <f t="shared" si="101"/>
        <v>0</v>
      </c>
      <c r="CO35" s="654">
        <v>0</v>
      </c>
      <c r="CP35" s="654">
        <v>0</v>
      </c>
      <c r="CQ35" s="654">
        <v>0</v>
      </c>
      <c r="CR35" s="654">
        <v>0</v>
      </c>
      <c r="CS35" s="5021">
        <f t="shared" si="102"/>
        <v>0</v>
      </c>
      <c r="CT35" s="654">
        <v>0</v>
      </c>
      <c r="CU35" s="654">
        <v>0</v>
      </c>
      <c r="CV35" s="654">
        <v>0</v>
      </c>
      <c r="CW35" s="654">
        <v>0</v>
      </c>
      <c r="CX35" s="5021">
        <f t="shared" si="103"/>
        <v>0</v>
      </c>
      <c r="CY35" s="654">
        <v>0</v>
      </c>
      <c r="CZ35" s="654">
        <v>0</v>
      </c>
      <c r="DA35" s="654">
        <v>0</v>
      </c>
      <c r="DB35" s="654">
        <v>0</v>
      </c>
      <c r="DC35" s="5175">
        <f t="shared" si="104"/>
        <v>0</v>
      </c>
      <c r="DD35" s="654">
        <v>0</v>
      </c>
      <c r="DE35" s="654">
        <v>0</v>
      </c>
      <c r="DF35" s="654">
        <v>0</v>
      </c>
      <c r="DG35" s="654">
        <v>0</v>
      </c>
      <c r="DH35" s="5175">
        <f t="shared" si="105"/>
        <v>0</v>
      </c>
      <c r="DI35" s="654">
        <v>0</v>
      </c>
      <c r="DJ35" s="654">
        <v>0</v>
      </c>
      <c r="DK35" s="654">
        <v>0</v>
      </c>
      <c r="DL35" s="654">
        <v>0</v>
      </c>
      <c r="DM35" s="5175">
        <f t="shared" si="106"/>
        <v>0</v>
      </c>
      <c r="DN35" s="654">
        <v>0</v>
      </c>
      <c r="DO35" s="654">
        <v>0</v>
      </c>
      <c r="DP35" s="654">
        <v>0</v>
      </c>
      <c r="DQ35" s="5022">
        <f t="shared" ref="DQ35:DQ37" si="123">DP35</f>
        <v>0</v>
      </c>
      <c r="DR35" s="5175">
        <f t="shared" si="108"/>
        <v>0</v>
      </c>
      <c r="DS35" s="5022">
        <f t="shared" ref="DS35:DS37" si="124">DR35</f>
        <v>0</v>
      </c>
      <c r="DT35" s="5022">
        <f t="shared" ref="DT35:DT37" si="125">DS35</f>
        <v>0</v>
      </c>
      <c r="DU35" s="5022">
        <f t="shared" ref="DU35:DU37" si="126">DT35</f>
        <v>0</v>
      </c>
      <c r="DV35" s="5022">
        <f t="shared" ref="DV35:DV37" si="127">DU35</f>
        <v>0</v>
      </c>
      <c r="DW35" s="5175">
        <f t="shared" si="110"/>
        <v>0</v>
      </c>
      <c r="DX35" s="5023">
        <f t="shared" si="122"/>
        <v>0</v>
      </c>
      <c r="DY35" s="5023">
        <f t="shared" si="122"/>
        <v>0</v>
      </c>
      <c r="DZ35" s="5023">
        <f t="shared" si="122"/>
        <v>0</v>
      </c>
      <c r="EA35" s="5023">
        <f t="shared" si="122"/>
        <v>0</v>
      </c>
      <c r="EC35" s="755"/>
      <c r="ED35" s="755"/>
    </row>
    <row r="36" spans="1:134" s="84" customFormat="1" ht="11.25" customHeight="1">
      <c r="A36" s="1587" t="s">
        <v>334</v>
      </c>
      <c r="B36" s="76"/>
      <c r="C36" s="76"/>
      <c r="D36" s="76"/>
      <c r="E36" s="1387"/>
      <c r="F36" s="76"/>
      <c r="G36" s="76"/>
      <c r="H36" s="77"/>
      <c r="I36" s="1387"/>
      <c r="J36" s="79"/>
      <c r="K36" s="80"/>
      <c r="L36" s="77"/>
      <c r="M36" s="1387"/>
      <c r="N36" s="79"/>
      <c r="O36" s="77"/>
      <c r="P36" s="77"/>
      <c r="Q36" s="1387"/>
      <c r="R36" s="77"/>
      <c r="S36" s="77"/>
      <c r="T36" s="77"/>
      <c r="U36" s="1387">
        <v>0</v>
      </c>
      <c r="V36" s="82">
        <v>0</v>
      </c>
      <c r="W36" s="82">
        <v>0</v>
      </c>
      <c r="X36" s="82">
        <v>0</v>
      </c>
      <c r="Y36" s="1387">
        <v>0</v>
      </c>
      <c r="Z36" s="82">
        <v>0</v>
      </c>
      <c r="AA36" s="82">
        <v>0</v>
      </c>
      <c r="AB36" s="82">
        <v>0</v>
      </c>
      <c r="AC36" s="1387">
        <v>0</v>
      </c>
      <c r="AD36" s="82">
        <v>0</v>
      </c>
      <c r="AE36" s="82">
        <v>0</v>
      </c>
      <c r="AF36" s="82">
        <v>0</v>
      </c>
      <c r="AG36" s="1387">
        <v>0</v>
      </c>
      <c r="AH36" s="82">
        <v>0</v>
      </c>
      <c r="AI36" s="82">
        <v>0</v>
      </c>
      <c r="AJ36" s="82">
        <v>0</v>
      </c>
      <c r="AK36" s="1387">
        <v>0</v>
      </c>
      <c r="AL36" s="82">
        <v>0</v>
      </c>
      <c r="AM36" s="82">
        <v>0</v>
      </c>
      <c r="AN36" s="82">
        <v>0</v>
      </c>
      <c r="AO36" s="1387">
        <v>0</v>
      </c>
      <c r="AP36" s="82">
        <v>0</v>
      </c>
      <c r="AQ36" s="82">
        <v>0</v>
      </c>
      <c r="AR36" s="82">
        <v>0</v>
      </c>
      <c r="AS36" s="1387">
        <v>0</v>
      </c>
      <c r="AT36" s="83">
        <v>0</v>
      </c>
      <c r="AU36" s="83">
        <v>0</v>
      </c>
      <c r="AV36" s="53">
        <v>2861</v>
      </c>
      <c r="AW36" s="1387">
        <v>2361</v>
      </c>
      <c r="AX36" s="53">
        <v>1880</v>
      </c>
      <c r="AY36" s="53">
        <v>1936</v>
      </c>
      <c r="AZ36" s="53">
        <v>3055</v>
      </c>
      <c r="BA36" s="1387">
        <v>2007</v>
      </c>
      <c r="BB36" s="53">
        <v>2252</v>
      </c>
      <c r="BC36" s="53">
        <v>1916</v>
      </c>
      <c r="BD36" s="53">
        <v>1686</v>
      </c>
      <c r="BE36" s="1387">
        <v>1673</v>
      </c>
      <c r="BF36" s="654">
        <v>2237</v>
      </c>
      <c r="BG36" s="654">
        <v>3211</v>
      </c>
      <c r="BH36" s="654">
        <v>1893</v>
      </c>
      <c r="BI36" s="654">
        <v>1374</v>
      </c>
      <c r="BJ36" s="1267">
        <f t="shared" si="95"/>
        <v>1374</v>
      </c>
      <c r="BK36" s="654">
        <v>2153</v>
      </c>
      <c r="BL36" s="654">
        <v>3086</v>
      </c>
      <c r="BM36" s="654">
        <v>3402</v>
      </c>
      <c r="BN36" s="1387">
        <v>2778</v>
      </c>
      <c r="BO36" s="1267">
        <f t="shared" si="96"/>
        <v>2778</v>
      </c>
      <c r="BP36" s="654">
        <v>1657</v>
      </c>
      <c r="BQ36" s="654">
        <v>2694</v>
      </c>
      <c r="BR36" s="654">
        <v>3266</v>
      </c>
      <c r="BS36" s="1387">
        <v>2428</v>
      </c>
      <c r="BT36" s="1267">
        <f t="shared" si="97"/>
        <v>2428</v>
      </c>
      <c r="BU36" s="469">
        <v>2171</v>
      </c>
      <c r="BV36" s="469">
        <v>2065</v>
      </c>
      <c r="BW36" s="469">
        <v>0</v>
      </c>
      <c r="BX36" s="469">
        <v>0</v>
      </c>
      <c r="BY36" s="1267">
        <f t="shared" si="98"/>
        <v>0</v>
      </c>
      <c r="BZ36" s="469">
        <v>0</v>
      </c>
      <c r="CA36" s="469">
        <v>0</v>
      </c>
      <c r="CB36" s="83">
        <v>0</v>
      </c>
      <c r="CC36" s="83">
        <v>0</v>
      </c>
      <c r="CD36" s="3518">
        <f t="shared" si="99"/>
        <v>0</v>
      </c>
      <c r="CE36" s="83">
        <v>0</v>
      </c>
      <c r="CF36" s="83">
        <v>0</v>
      </c>
      <c r="CG36" s="83">
        <v>0</v>
      </c>
      <c r="CH36" s="83">
        <v>0</v>
      </c>
      <c r="CI36" s="3518">
        <f t="shared" si="100"/>
        <v>0</v>
      </c>
      <c r="CJ36" s="83">
        <v>0</v>
      </c>
      <c r="CK36" s="83">
        <v>0</v>
      </c>
      <c r="CL36" s="83">
        <v>0</v>
      </c>
      <c r="CM36" s="83">
        <v>0</v>
      </c>
      <c r="CN36" s="5021">
        <f t="shared" si="101"/>
        <v>0</v>
      </c>
      <c r="CO36" s="654">
        <v>0</v>
      </c>
      <c r="CP36" s="654">
        <v>0</v>
      </c>
      <c r="CQ36" s="654">
        <v>0</v>
      </c>
      <c r="CR36" s="654">
        <v>0</v>
      </c>
      <c r="CS36" s="5021">
        <f t="shared" si="102"/>
        <v>0</v>
      </c>
      <c r="CT36" s="654">
        <v>0</v>
      </c>
      <c r="CU36" s="654">
        <v>0</v>
      </c>
      <c r="CV36" s="654">
        <v>0</v>
      </c>
      <c r="CW36" s="654">
        <v>0</v>
      </c>
      <c r="CX36" s="5021">
        <f t="shared" si="103"/>
        <v>0</v>
      </c>
      <c r="CY36" s="654">
        <v>0</v>
      </c>
      <c r="CZ36" s="654">
        <v>0</v>
      </c>
      <c r="DA36" s="654">
        <v>0</v>
      </c>
      <c r="DB36" s="654">
        <v>0</v>
      </c>
      <c r="DC36" s="5175">
        <f t="shared" si="104"/>
        <v>0</v>
      </c>
      <c r="DD36" s="654">
        <v>0</v>
      </c>
      <c r="DE36" s="654">
        <v>0</v>
      </c>
      <c r="DF36" s="654">
        <v>0</v>
      </c>
      <c r="DG36" s="654">
        <v>0</v>
      </c>
      <c r="DH36" s="5175">
        <f t="shared" si="105"/>
        <v>0</v>
      </c>
      <c r="DI36" s="654">
        <v>0</v>
      </c>
      <c r="DJ36" s="654">
        <v>0</v>
      </c>
      <c r="DK36" s="654">
        <v>0</v>
      </c>
      <c r="DL36" s="654">
        <v>0</v>
      </c>
      <c r="DM36" s="5175">
        <f t="shared" si="106"/>
        <v>0</v>
      </c>
      <c r="DN36" s="654">
        <v>0</v>
      </c>
      <c r="DO36" s="654">
        <v>0</v>
      </c>
      <c r="DP36" s="654">
        <v>0</v>
      </c>
      <c r="DQ36" s="5022">
        <f t="shared" si="123"/>
        <v>0</v>
      </c>
      <c r="DR36" s="5175">
        <f t="shared" si="108"/>
        <v>0</v>
      </c>
      <c r="DS36" s="5022">
        <f t="shared" si="124"/>
        <v>0</v>
      </c>
      <c r="DT36" s="5022">
        <f t="shared" si="125"/>
        <v>0</v>
      </c>
      <c r="DU36" s="5022">
        <f t="shared" si="126"/>
        <v>0</v>
      </c>
      <c r="DV36" s="5022">
        <f t="shared" si="127"/>
        <v>0</v>
      </c>
      <c r="DW36" s="5175">
        <f t="shared" si="110"/>
        <v>0</v>
      </c>
      <c r="DX36" s="5023">
        <f t="shared" si="122"/>
        <v>0</v>
      </c>
      <c r="DY36" s="5023">
        <f t="shared" si="122"/>
        <v>0</v>
      </c>
      <c r="DZ36" s="5023">
        <f t="shared" si="122"/>
        <v>0</v>
      </c>
      <c r="EA36" s="5023">
        <f t="shared" si="122"/>
        <v>0</v>
      </c>
      <c r="EC36" s="755"/>
      <c r="ED36" s="755"/>
    </row>
    <row r="37" spans="1:134" s="45" customFormat="1" ht="11.25" customHeight="1">
      <c r="A37" s="1602" t="s">
        <v>202</v>
      </c>
      <c r="B37" s="85"/>
      <c r="C37" s="85"/>
      <c r="D37" s="85"/>
      <c r="E37" s="1391"/>
      <c r="F37" s="85"/>
      <c r="G37" s="85"/>
      <c r="H37" s="86"/>
      <c r="I37" s="1391"/>
      <c r="J37" s="87"/>
      <c r="K37" s="88"/>
      <c r="L37" s="86"/>
      <c r="M37" s="1391"/>
      <c r="N37" s="87"/>
      <c r="O37" s="86"/>
      <c r="P37" s="86"/>
      <c r="Q37" s="1391">
        <v>4.3499999999999996</v>
      </c>
      <c r="R37" s="86"/>
      <c r="S37" s="86"/>
      <c r="T37" s="86"/>
      <c r="U37" s="1391">
        <v>4.6210000000000004</v>
      </c>
      <c r="V37" s="89">
        <v>4.3879999999999999</v>
      </c>
      <c r="W37" s="90">
        <v>3.7509999999999999</v>
      </c>
      <c r="X37" s="90">
        <v>3.0259999999999998</v>
      </c>
      <c r="Y37" s="1391">
        <v>1.9019999999999999</v>
      </c>
      <c r="Z37" s="89">
        <v>1.31</v>
      </c>
      <c r="AA37" s="90">
        <v>0.29099999999999998</v>
      </c>
      <c r="AB37" s="90">
        <v>0.01</v>
      </c>
      <c r="AC37" s="1391">
        <v>0</v>
      </c>
      <c r="AD37" s="91">
        <v>0</v>
      </c>
      <c r="AE37" s="92">
        <v>0</v>
      </c>
      <c r="AF37" s="92">
        <v>0</v>
      </c>
      <c r="AG37" s="1391">
        <v>0</v>
      </c>
      <c r="AH37" s="92">
        <f>AG37</f>
        <v>0</v>
      </c>
      <c r="AI37" s="92">
        <v>0</v>
      </c>
      <c r="AJ37" s="92">
        <f t="shared" ref="AJ37:AO37" si="128">AI37</f>
        <v>0</v>
      </c>
      <c r="AK37" s="1391">
        <f t="shared" si="128"/>
        <v>0</v>
      </c>
      <c r="AL37" s="93">
        <f>AK37</f>
        <v>0</v>
      </c>
      <c r="AM37" s="93">
        <f t="shared" si="128"/>
        <v>0</v>
      </c>
      <c r="AN37" s="92">
        <f t="shared" si="128"/>
        <v>0</v>
      </c>
      <c r="AO37" s="1391">
        <f t="shared" si="128"/>
        <v>0</v>
      </c>
      <c r="AP37" s="92">
        <v>0</v>
      </c>
      <c r="AQ37" s="92">
        <v>0</v>
      </c>
      <c r="AR37" s="92">
        <v>0</v>
      </c>
      <c r="AS37" s="1391">
        <v>0</v>
      </c>
      <c r="AT37" s="94">
        <v>0</v>
      </c>
      <c r="AU37" s="94">
        <v>0</v>
      </c>
      <c r="AV37" s="94">
        <v>0</v>
      </c>
      <c r="AW37" s="1391">
        <v>0</v>
      </c>
      <c r="AX37" s="94">
        <f>AT37</f>
        <v>0</v>
      </c>
      <c r="AY37" s="94">
        <v>0</v>
      </c>
      <c r="AZ37" s="94">
        <v>0</v>
      </c>
      <c r="BA37" s="1391">
        <v>0</v>
      </c>
      <c r="BB37" s="94">
        <v>0</v>
      </c>
      <c r="BC37" s="94">
        <v>0</v>
      </c>
      <c r="BD37" s="94">
        <v>0</v>
      </c>
      <c r="BE37" s="1391">
        <v>0</v>
      </c>
      <c r="BF37" s="657">
        <v>0</v>
      </c>
      <c r="BG37" s="657">
        <v>0</v>
      </c>
      <c r="BH37" s="657">
        <v>0</v>
      </c>
      <c r="BI37" s="2696">
        <v>0</v>
      </c>
      <c r="BJ37" s="1268">
        <f t="shared" si="95"/>
        <v>0</v>
      </c>
      <c r="BK37" s="653">
        <v>2028</v>
      </c>
      <c r="BL37" s="341">
        <v>0</v>
      </c>
      <c r="BM37" s="341">
        <v>0</v>
      </c>
      <c r="BN37" s="1391">
        <v>0</v>
      </c>
      <c r="BO37" s="1268">
        <f t="shared" si="96"/>
        <v>0</v>
      </c>
      <c r="BP37" s="98">
        <v>0</v>
      </c>
      <c r="BQ37" s="341">
        <v>0</v>
      </c>
      <c r="BR37" s="341">
        <v>0</v>
      </c>
      <c r="BS37" s="1391">
        <v>0</v>
      </c>
      <c r="BT37" s="1268">
        <f t="shared" si="97"/>
        <v>0</v>
      </c>
      <c r="BU37" s="2567">
        <v>0</v>
      </c>
      <c r="BV37" s="2567">
        <v>0</v>
      </c>
      <c r="BW37" s="2567">
        <f>BV37</f>
        <v>0</v>
      </c>
      <c r="BX37" s="2567">
        <v>0</v>
      </c>
      <c r="BY37" s="1268">
        <f t="shared" si="98"/>
        <v>0</v>
      </c>
      <c r="BZ37" s="2567">
        <v>0</v>
      </c>
      <c r="CA37" s="2567">
        <v>0</v>
      </c>
      <c r="CB37" s="2841">
        <v>0</v>
      </c>
      <c r="CC37" s="2841">
        <v>0</v>
      </c>
      <c r="CD37" s="3519">
        <f t="shared" si="99"/>
        <v>0</v>
      </c>
      <c r="CE37" s="2841">
        <v>0</v>
      </c>
      <c r="CF37" s="2841">
        <v>0</v>
      </c>
      <c r="CG37" s="2841">
        <v>0</v>
      </c>
      <c r="CH37" s="2841">
        <v>0</v>
      </c>
      <c r="CI37" s="3519">
        <f t="shared" si="100"/>
        <v>0</v>
      </c>
      <c r="CJ37" s="4261">
        <v>0</v>
      </c>
      <c r="CK37" s="4261">
        <v>0</v>
      </c>
      <c r="CL37" s="4261">
        <v>0</v>
      </c>
      <c r="CM37" s="4261">
        <v>0</v>
      </c>
      <c r="CN37" s="5024">
        <f t="shared" si="101"/>
        <v>0</v>
      </c>
      <c r="CO37" s="5025">
        <v>0</v>
      </c>
      <c r="CP37" s="5025">
        <v>0</v>
      </c>
      <c r="CQ37" s="5025">
        <v>0</v>
      </c>
      <c r="CR37" s="5025">
        <v>0</v>
      </c>
      <c r="CS37" s="5024">
        <f t="shared" si="102"/>
        <v>0</v>
      </c>
      <c r="CT37" s="5026">
        <v>0</v>
      </c>
      <c r="CU37" s="5026">
        <v>0</v>
      </c>
      <c r="CV37" s="5026">
        <v>0</v>
      </c>
      <c r="CW37" s="5026">
        <v>0</v>
      </c>
      <c r="CX37" s="5024">
        <f t="shared" si="103"/>
        <v>0</v>
      </c>
      <c r="CY37" s="5223">
        <v>0</v>
      </c>
      <c r="CZ37" s="5223">
        <v>0</v>
      </c>
      <c r="DA37" s="5223">
        <v>0</v>
      </c>
      <c r="DB37" s="5026">
        <v>0</v>
      </c>
      <c r="DC37" s="5176">
        <f t="shared" si="104"/>
        <v>0</v>
      </c>
      <c r="DD37" s="5223">
        <v>0</v>
      </c>
      <c r="DE37" s="5223">
        <v>0</v>
      </c>
      <c r="DF37" s="5223">
        <v>0</v>
      </c>
      <c r="DG37" s="5026">
        <v>0</v>
      </c>
      <c r="DH37" s="5176">
        <f t="shared" si="105"/>
        <v>0</v>
      </c>
      <c r="DI37" s="5223">
        <v>0</v>
      </c>
      <c r="DJ37" s="5223">
        <v>0</v>
      </c>
      <c r="DK37" s="5223">
        <v>0</v>
      </c>
      <c r="DL37" s="5026">
        <v>0</v>
      </c>
      <c r="DM37" s="5176">
        <f t="shared" si="106"/>
        <v>0</v>
      </c>
      <c r="DN37" s="5223">
        <v>0</v>
      </c>
      <c r="DO37" s="5223">
        <v>0</v>
      </c>
      <c r="DP37" s="5223">
        <v>0</v>
      </c>
      <c r="DQ37" s="5027">
        <f t="shared" si="123"/>
        <v>0</v>
      </c>
      <c r="DR37" s="5176">
        <f t="shared" si="108"/>
        <v>0</v>
      </c>
      <c r="DS37" s="5027">
        <f t="shared" si="124"/>
        <v>0</v>
      </c>
      <c r="DT37" s="5027">
        <f t="shared" si="125"/>
        <v>0</v>
      </c>
      <c r="DU37" s="5027">
        <f t="shared" si="126"/>
        <v>0</v>
      </c>
      <c r="DV37" s="5027">
        <f t="shared" si="127"/>
        <v>0</v>
      </c>
      <c r="DW37" s="5176">
        <f t="shared" si="110"/>
        <v>0</v>
      </c>
      <c r="DX37" s="5028">
        <f t="shared" si="122"/>
        <v>0</v>
      </c>
      <c r="DY37" s="5028">
        <f t="shared" si="122"/>
        <v>0</v>
      </c>
      <c r="DZ37" s="5028">
        <f t="shared" si="122"/>
        <v>0</v>
      </c>
      <c r="EA37" s="5028">
        <f t="shared" si="122"/>
        <v>0</v>
      </c>
      <c r="EC37" s="755"/>
      <c r="ED37" s="755"/>
    </row>
    <row r="38" spans="1:134" s="45" customFormat="1" ht="11.25" customHeight="1">
      <c r="A38" s="4172" t="s">
        <v>71</v>
      </c>
      <c r="B38" s="3674"/>
      <c r="C38" s="3674"/>
      <c r="D38" s="3674"/>
      <c r="E38" s="4173"/>
      <c r="F38" s="3674"/>
      <c r="G38" s="3674"/>
      <c r="H38" s="3674"/>
      <c r="I38" s="4173"/>
      <c r="J38" s="4174"/>
      <c r="K38" s="3674"/>
      <c r="L38" s="3674"/>
      <c r="M38" s="4173"/>
      <c r="N38" s="4174">
        <f t="shared" ref="N38:Y38" si="129">SUM(N29:N37)</f>
        <v>0</v>
      </c>
      <c r="O38" s="3674">
        <f t="shared" si="129"/>
        <v>0</v>
      </c>
      <c r="P38" s="3674">
        <f t="shared" si="129"/>
        <v>0</v>
      </c>
      <c r="Q38" s="4173">
        <f t="shared" si="129"/>
        <v>89.507999999999996</v>
      </c>
      <c r="R38" s="4175">
        <f t="shared" si="129"/>
        <v>0</v>
      </c>
      <c r="S38" s="4175">
        <f t="shared" si="129"/>
        <v>0</v>
      </c>
      <c r="T38" s="4175">
        <f t="shared" si="129"/>
        <v>0</v>
      </c>
      <c r="U38" s="4173">
        <f t="shared" si="129"/>
        <v>235.45200000000003</v>
      </c>
      <c r="V38" s="4176">
        <f t="shared" si="129"/>
        <v>299.63100000000003</v>
      </c>
      <c r="W38" s="531">
        <f t="shared" si="129"/>
        <v>252.25700000000001</v>
      </c>
      <c r="X38" s="531">
        <f t="shared" si="129"/>
        <v>274.46999999999997</v>
      </c>
      <c r="Y38" s="4173">
        <f t="shared" si="129"/>
        <v>340.36799999999994</v>
      </c>
      <c r="Z38" s="4176">
        <f t="shared" ref="Z38:AI38" si="130">SUM(Z29:Z37)</f>
        <v>393.32800000000003</v>
      </c>
      <c r="AA38" s="531">
        <f t="shared" si="130"/>
        <v>448.37000000000006</v>
      </c>
      <c r="AB38" s="531">
        <f t="shared" si="130"/>
        <v>559.84800000000007</v>
      </c>
      <c r="AC38" s="4173">
        <f t="shared" si="130"/>
        <v>745.38400000000001</v>
      </c>
      <c r="AD38" s="4177">
        <f t="shared" si="130"/>
        <v>980.02399999999989</v>
      </c>
      <c r="AE38" s="4178">
        <f>SUM(AE29:AE37)</f>
        <v>977.43</v>
      </c>
      <c r="AF38" s="4178">
        <f t="shared" si="130"/>
        <v>1216.047</v>
      </c>
      <c r="AG38" s="4173">
        <f t="shared" si="130"/>
        <v>1304.587</v>
      </c>
      <c r="AH38" s="4177">
        <f t="shared" si="130"/>
        <v>1254.3529999999998</v>
      </c>
      <c r="AI38" s="4178">
        <f t="shared" si="130"/>
        <v>1319.1889999999999</v>
      </c>
      <c r="AJ38" s="4178">
        <f t="shared" ref="AJ38:AP38" si="131">SUM(AJ29:AJ37)</f>
        <v>1782.6669999999999</v>
      </c>
      <c r="AK38" s="4173">
        <f>SUM(AK29:AK37)</f>
        <v>2035.6020000000001</v>
      </c>
      <c r="AL38" s="4177">
        <f t="shared" si="131"/>
        <v>2460.4749999999995</v>
      </c>
      <c r="AM38" s="4178">
        <f t="shared" si="131"/>
        <v>2345.5149999999999</v>
      </c>
      <c r="AN38" s="4178">
        <f t="shared" si="131"/>
        <v>2224.277</v>
      </c>
      <c r="AO38" s="4173">
        <f t="shared" si="131"/>
        <v>2302.09</v>
      </c>
      <c r="AP38" s="4177">
        <f t="shared" si="131"/>
        <v>2183.8539999999998</v>
      </c>
      <c r="AQ38" s="4178">
        <f t="shared" ref="AQ38:CK38" si="132">SUM(AQ29:AQ37)</f>
        <v>2000.962</v>
      </c>
      <c r="AR38" s="4178">
        <f t="shared" si="132"/>
        <v>2321.7739999999999</v>
      </c>
      <c r="AS38" s="4173">
        <f t="shared" si="132"/>
        <v>2747.4670000000001</v>
      </c>
      <c r="AT38" s="4178">
        <f t="shared" si="132"/>
        <v>2922</v>
      </c>
      <c r="AU38" s="4178">
        <f t="shared" si="132"/>
        <v>5747</v>
      </c>
      <c r="AV38" s="4178">
        <f t="shared" si="132"/>
        <v>8530</v>
      </c>
      <c r="AW38" s="4173">
        <f t="shared" si="132"/>
        <v>9996</v>
      </c>
      <c r="AX38" s="4178">
        <f t="shared" si="132"/>
        <v>9332</v>
      </c>
      <c r="AY38" s="4178">
        <f t="shared" si="132"/>
        <v>7798</v>
      </c>
      <c r="AZ38" s="4178">
        <f t="shared" si="132"/>
        <v>8888</v>
      </c>
      <c r="BA38" s="4173">
        <f t="shared" si="132"/>
        <v>8913</v>
      </c>
      <c r="BB38" s="4178">
        <f t="shared" si="132"/>
        <v>9742</v>
      </c>
      <c r="BC38" s="4178">
        <f t="shared" si="132"/>
        <v>14028</v>
      </c>
      <c r="BD38" s="4178">
        <f t="shared" si="132"/>
        <v>14434</v>
      </c>
      <c r="BE38" s="4173">
        <f t="shared" si="132"/>
        <v>14337</v>
      </c>
      <c r="BF38" s="4179">
        <f t="shared" si="132"/>
        <v>13252</v>
      </c>
      <c r="BG38" s="4179">
        <f t="shared" si="132"/>
        <v>15329</v>
      </c>
      <c r="BH38" s="4179">
        <f t="shared" si="132"/>
        <v>14475</v>
      </c>
      <c r="BI38" s="4180">
        <f t="shared" si="132"/>
        <v>15908</v>
      </c>
      <c r="BJ38" s="3680">
        <f t="shared" si="132"/>
        <v>15908</v>
      </c>
      <c r="BK38" s="4180">
        <f t="shared" si="132"/>
        <v>16270</v>
      </c>
      <c r="BL38" s="4179">
        <f t="shared" si="132"/>
        <v>17097</v>
      </c>
      <c r="BM38" s="4179">
        <f t="shared" ref="BM38:BT38" si="133">SUM(BM29:BM37)</f>
        <v>17920</v>
      </c>
      <c r="BN38" s="4173">
        <f t="shared" si="133"/>
        <v>16805</v>
      </c>
      <c r="BO38" s="3680">
        <f>SUM(BO29:BO37)</f>
        <v>16805</v>
      </c>
      <c r="BP38" s="4181">
        <f t="shared" si="133"/>
        <v>14336</v>
      </c>
      <c r="BQ38" s="4179">
        <f t="shared" si="133"/>
        <v>17362</v>
      </c>
      <c r="BR38" s="4179">
        <f t="shared" si="133"/>
        <v>18457</v>
      </c>
      <c r="BS38" s="4173">
        <f t="shared" si="133"/>
        <v>19310</v>
      </c>
      <c r="BT38" s="3680">
        <f t="shared" si="133"/>
        <v>19310</v>
      </c>
      <c r="BU38" s="3679">
        <f t="shared" si="132"/>
        <v>17684</v>
      </c>
      <c r="BV38" s="3679">
        <f t="shared" si="132"/>
        <v>17341</v>
      </c>
      <c r="BW38" s="3679">
        <f t="shared" si="132"/>
        <v>14323</v>
      </c>
      <c r="BX38" s="3679">
        <f t="shared" si="132"/>
        <v>16756</v>
      </c>
      <c r="BY38" s="3680">
        <f t="shared" si="132"/>
        <v>16756</v>
      </c>
      <c r="BZ38" s="3679">
        <f t="shared" ref="BZ38:CH38" si="134">SUM(BZ29:BZ37)</f>
        <v>15256</v>
      </c>
      <c r="CA38" s="3679">
        <f t="shared" si="134"/>
        <v>18685</v>
      </c>
      <c r="CB38" s="3679">
        <f t="shared" si="134"/>
        <v>20693</v>
      </c>
      <c r="CC38" s="4182">
        <f t="shared" si="134"/>
        <v>24183</v>
      </c>
      <c r="CD38" s="4183">
        <f t="shared" si="134"/>
        <v>24183</v>
      </c>
      <c r="CE38" s="3679">
        <f t="shared" si="134"/>
        <v>25394</v>
      </c>
      <c r="CF38" s="3679">
        <f t="shared" si="134"/>
        <v>29903</v>
      </c>
      <c r="CG38" s="3679">
        <f t="shared" si="134"/>
        <v>31301</v>
      </c>
      <c r="CH38" s="3679">
        <f t="shared" si="134"/>
        <v>34620</v>
      </c>
      <c r="CI38" s="4183">
        <f t="shared" si="132"/>
        <v>34620</v>
      </c>
      <c r="CJ38" s="3679">
        <f t="shared" si="132"/>
        <v>34910</v>
      </c>
      <c r="CK38" s="3679">
        <f t="shared" si="132"/>
        <v>37000</v>
      </c>
      <c r="CL38" s="3679">
        <f t="shared" ref="CL38:CS38" si="135">SUM(CL29:CL37)</f>
        <v>39224</v>
      </c>
      <c r="CM38" s="3679">
        <f t="shared" si="135"/>
        <v>45221</v>
      </c>
      <c r="CN38" s="4359">
        <f t="shared" si="135"/>
        <v>45221</v>
      </c>
      <c r="CO38" s="3679">
        <f t="shared" si="135"/>
        <v>40189</v>
      </c>
      <c r="CP38" s="3679">
        <f t="shared" si="135"/>
        <v>43658</v>
      </c>
      <c r="CQ38" s="3679">
        <f t="shared" si="135"/>
        <v>48200</v>
      </c>
      <c r="CR38" s="3679">
        <f t="shared" si="135"/>
        <v>56834</v>
      </c>
      <c r="CS38" s="4359">
        <f t="shared" si="135"/>
        <v>56834</v>
      </c>
      <c r="CT38" s="3679">
        <f t="shared" ref="CT38:CY38" si="136">SUM(CT29:CT37)</f>
        <v>55453</v>
      </c>
      <c r="CU38" s="3679">
        <f t="shared" si="136"/>
        <v>55741</v>
      </c>
      <c r="CV38" s="3679">
        <f t="shared" si="136"/>
        <v>61782</v>
      </c>
      <c r="CW38" s="3679">
        <f t="shared" si="136"/>
        <v>64254</v>
      </c>
      <c r="CX38" s="4359">
        <f t="shared" si="136"/>
        <v>64254</v>
      </c>
      <c r="CY38" s="3679">
        <f t="shared" si="136"/>
        <v>61948</v>
      </c>
      <c r="CZ38" s="3679">
        <f t="shared" ref="CZ38:DX38" si="137">SUM(CZ29:CZ37)</f>
        <v>61354</v>
      </c>
      <c r="DA38" s="3679">
        <f t="shared" si="137"/>
        <v>65979</v>
      </c>
      <c r="DB38" s="3679">
        <f t="shared" si="137"/>
        <v>69300</v>
      </c>
      <c r="DC38" s="4183">
        <f t="shared" si="137"/>
        <v>69300</v>
      </c>
      <c r="DD38" s="3679">
        <f>SUM(DD29:DD37)</f>
        <v>68854</v>
      </c>
      <c r="DE38" s="3679">
        <f>SUM(DE29:DE37)</f>
        <v>77709</v>
      </c>
      <c r="DF38" s="3679">
        <f>SUM(DF29:DF37)</f>
        <v>86295</v>
      </c>
      <c r="DG38" s="3679">
        <f t="shared" ref="DG38:DI38" si="138">SUM(DG29:DG37)</f>
        <v>81814</v>
      </c>
      <c r="DH38" s="4183">
        <f t="shared" si="137"/>
        <v>81814</v>
      </c>
      <c r="DI38" s="3679">
        <f t="shared" si="138"/>
        <v>76997</v>
      </c>
      <c r="DJ38" s="3679">
        <f t="shared" ref="DJ38:DL38" si="139">SUM(DJ29:DJ37)</f>
        <v>77913</v>
      </c>
      <c r="DK38" s="3679">
        <f t="shared" si="139"/>
        <v>80803</v>
      </c>
      <c r="DL38" s="3679">
        <f t="shared" si="139"/>
        <v>89122</v>
      </c>
      <c r="DM38" s="4183">
        <f>SUM(DM29:DM37)</f>
        <v>89122</v>
      </c>
      <c r="DN38" s="3679">
        <f t="shared" ref="DN38:DP38" si="140">SUM(DN29:DN37)</f>
        <v>91654</v>
      </c>
      <c r="DO38" s="3679">
        <f t="shared" si="140"/>
        <v>87310</v>
      </c>
      <c r="DP38" s="3679">
        <f t="shared" si="140"/>
        <v>99550</v>
      </c>
      <c r="DQ38" s="3679">
        <f t="shared" ref="DQ38" si="141">SUM(DQ29:DQ37)</f>
        <v>107952.57823849034</v>
      </c>
      <c r="DR38" s="4183">
        <f>SUM(DR29:DR37)</f>
        <v>107952.57823849034</v>
      </c>
      <c r="DS38" s="3679">
        <f t="shared" ref="DS38:DV38" si="142">SUM(DS29:DS37)</f>
        <v>108902.16209422061</v>
      </c>
      <c r="DT38" s="3679">
        <f t="shared" si="142"/>
        <v>103331.55286083545</v>
      </c>
      <c r="DU38" s="3679">
        <f t="shared" si="142"/>
        <v>116905.87147560905</v>
      </c>
      <c r="DV38" s="3679">
        <f t="shared" si="142"/>
        <v>126989.13853695258</v>
      </c>
      <c r="DW38" s="4183">
        <f>SUM(DW29:DW37)</f>
        <v>126989.13853695258</v>
      </c>
      <c r="DX38" s="4183">
        <f t="shared" si="137"/>
        <v>145036.03187894903</v>
      </c>
      <c r="DY38" s="4183">
        <f>SUM(DY29:DY37)</f>
        <v>163384.76559400745</v>
      </c>
      <c r="DZ38" s="4183">
        <f>SUM(DZ29:DZ37)</f>
        <v>181670.09381837561</v>
      </c>
      <c r="EA38" s="4183">
        <f>SUM(EA29:EA37)</f>
        <v>200693.53378688137</v>
      </c>
      <c r="EC38" s="6197">
        <f>(DX38/DM38)^(1/3)-1</f>
        <v>0.1762428460442762</v>
      </c>
      <c r="ED38" s="6197">
        <f>(DZ38/DM38)^(1/5)-1</f>
        <v>0.15308070056974143</v>
      </c>
    </row>
    <row r="39" spans="1:134" s="45" customFormat="1" ht="11.25" customHeight="1">
      <c r="A39" s="1595"/>
      <c r="B39" s="37"/>
      <c r="C39" s="37"/>
      <c r="D39" s="37"/>
      <c r="E39" s="479"/>
      <c r="F39" s="37"/>
      <c r="G39" s="37"/>
      <c r="H39" s="37"/>
      <c r="I39" s="479"/>
      <c r="J39" s="39"/>
      <c r="K39" s="37"/>
      <c r="L39" s="37"/>
      <c r="M39" s="479"/>
      <c r="N39" s="39"/>
      <c r="O39" s="37"/>
      <c r="P39" s="37"/>
      <c r="Q39" s="479"/>
      <c r="R39" s="37"/>
      <c r="S39" s="37"/>
      <c r="T39" s="37"/>
      <c r="U39" s="479"/>
      <c r="V39" s="41"/>
      <c r="W39" s="43"/>
      <c r="X39" s="43"/>
      <c r="Y39" s="479"/>
      <c r="Z39" s="43"/>
      <c r="AA39" s="43"/>
      <c r="AB39" s="43"/>
      <c r="AC39" s="479"/>
      <c r="AD39" s="41"/>
      <c r="AE39" s="43"/>
      <c r="AF39" s="43"/>
      <c r="AG39" s="479"/>
      <c r="AH39" s="43"/>
      <c r="AI39" s="43"/>
      <c r="AJ39" s="43"/>
      <c r="AK39" s="479"/>
      <c r="AL39" s="43"/>
      <c r="AM39" s="43"/>
      <c r="AN39" s="43"/>
      <c r="AO39" s="479"/>
      <c r="AP39" s="43"/>
      <c r="AQ39" s="43"/>
      <c r="AR39" s="43"/>
      <c r="AS39" s="479"/>
      <c r="AT39" s="43"/>
      <c r="AU39" s="43"/>
      <c r="AV39" s="43"/>
      <c r="AW39" s="479"/>
      <c r="AX39" s="43"/>
      <c r="AY39" s="43"/>
      <c r="AZ39" s="43"/>
      <c r="BA39" s="479"/>
      <c r="BB39" s="43"/>
      <c r="BC39" s="43"/>
      <c r="BD39" s="43"/>
      <c r="BE39" s="479"/>
      <c r="BF39" s="537"/>
      <c r="BG39" s="537"/>
      <c r="BH39" s="537"/>
      <c r="BI39" s="42"/>
      <c r="BJ39" s="1001"/>
      <c r="BK39" s="43"/>
      <c r="BL39" s="43"/>
      <c r="BM39" s="43"/>
      <c r="BN39" s="479"/>
      <c r="BO39" s="1001"/>
      <c r="BP39" s="42"/>
      <c r="BQ39" s="42"/>
      <c r="BR39" s="42"/>
      <c r="BS39" s="479"/>
      <c r="BT39" s="1001"/>
      <c r="BU39" s="42"/>
      <c r="BV39" s="42"/>
      <c r="BW39" s="42"/>
      <c r="BX39" s="42"/>
      <c r="BY39" s="1001"/>
      <c r="BZ39" s="42"/>
      <c r="CA39" s="42"/>
      <c r="CB39" s="42"/>
      <c r="CC39" s="479"/>
      <c r="CD39" s="584"/>
      <c r="CE39" s="42"/>
      <c r="CF39" s="42"/>
      <c r="CG39" s="42"/>
      <c r="CH39" s="479"/>
      <c r="CI39" s="584"/>
      <c r="CJ39" s="42"/>
      <c r="CK39" s="42"/>
      <c r="CL39" s="42"/>
      <c r="CM39" s="479"/>
      <c r="CN39" s="5029"/>
      <c r="CO39" s="226"/>
      <c r="CP39" s="226"/>
      <c r="CQ39" s="226"/>
      <c r="CR39" s="840"/>
      <c r="CS39" s="5029"/>
      <c r="CT39" s="226"/>
      <c r="CU39" s="226"/>
      <c r="CV39" s="226"/>
      <c r="CW39" s="840"/>
      <c r="CX39" s="5029"/>
      <c r="CY39" s="226"/>
      <c r="CZ39" s="226"/>
      <c r="DA39" s="226"/>
      <c r="DB39" s="840"/>
      <c r="DC39" s="4506"/>
      <c r="DD39" s="226"/>
      <c r="DE39" s="226"/>
      <c r="DF39" s="226"/>
      <c r="DG39" s="840"/>
      <c r="DH39" s="4506"/>
      <c r="DI39" s="226"/>
      <c r="DJ39" s="226"/>
      <c r="DK39" s="226"/>
      <c r="DL39" s="840"/>
      <c r="DM39" s="4506"/>
      <c r="DN39" s="226"/>
      <c r="DO39" s="226"/>
      <c r="DP39" s="226"/>
      <c r="DQ39" s="226"/>
      <c r="DR39" s="4506"/>
      <c r="DS39" s="226"/>
      <c r="DT39" s="226"/>
      <c r="DU39" s="226"/>
      <c r="DV39" s="226"/>
      <c r="DW39" s="4506"/>
      <c r="DX39" s="4506"/>
      <c r="DY39" s="4506"/>
      <c r="DZ39" s="4506"/>
      <c r="EA39" s="4506"/>
      <c r="EC39" s="755"/>
      <c r="ED39" s="755"/>
    </row>
    <row r="40" spans="1:134" s="45" customFormat="1" ht="11.25" customHeight="1">
      <c r="A40" s="1603" t="s">
        <v>203</v>
      </c>
      <c r="B40" s="37"/>
      <c r="C40" s="37"/>
      <c r="D40" s="37"/>
      <c r="E40" s="1392"/>
      <c r="F40" s="37"/>
      <c r="G40" s="37"/>
      <c r="H40" s="37"/>
      <c r="I40" s="1392"/>
      <c r="J40" s="39"/>
      <c r="K40" s="37"/>
      <c r="L40" s="37"/>
      <c r="M40" s="1392"/>
      <c r="N40" s="39"/>
      <c r="O40" s="37"/>
      <c r="P40" s="37"/>
      <c r="Q40" s="1392">
        <v>6.5119999999999996</v>
      </c>
      <c r="R40" s="37"/>
      <c r="S40" s="37"/>
      <c r="T40" s="37"/>
      <c r="U40" s="1392">
        <v>1.988</v>
      </c>
      <c r="V40" s="41">
        <v>1.0169999999999999</v>
      </c>
      <c r="W40" s="43">
        <v>0.45600000000000002</v>
      </c>
      <c r="X40" s="43">
        <v>6.3E-2</v>
      </c>
      <c r="Y40" s="1392">
        <v>0</v>
      </c>
      <c r="Z40" s="50">
        <v>0</v>
      </c>
      <c r="AA40" s="47">
        <v>0</v>
      </c>
      <c r="AB40" s="47">
        <v>0</v>
      </c>
      <c r="AC40" s="1392">
        <v>0</v>
      </c>
      <c r="AD40" s="75">
        <v>0</v>
      </c>
      <c r="AE40" s="73">
        <v>0</v>
      </c>
      <c r="AF40" s="73">
        <v>0</v>
      </c>
      <c r="AG40" s="1392">
        <v>0</v>
      </c>
      <c r="AH40" s="75">
        <f>AG40</f>
        <v>0</v>
      </c>
      <c r="AI40" s="73">
        <v>0</v>
      </c>
      <c r="AJ40" s="73">
        <f>AI40</f>
        <v>0</v>
      </c>
      <c r="AK40" s="1392">
        <f>AJ40</f>
        <v>0</v>
      </c>
      <c r="AL40" s="96">
        <v>0</v>
      </c>
      <c r="AM40" s="97">
        <v>0</v>
      </c>
      <c r="AN40" s="97">
        <v>0</v>
      </c>
      <c r="AO40" s="1392">
        <f t="shared" ref="AO40:AU40" si="143">AN40</f>
        <v>0</v>
      </c>
      <c r="AP40" s="96">
        <f>AO40</f>
        <v>0</v>
      </c>
      <c r="AQ40" s="97">
        <f t="shared" si="143"/>
        <v>0</v>
      </c>
      <c r="AR40" s="97">
        <f t="shared" si="143"/>
        <v>0</v>
      </c>
      <c r="AS40" s="1392">
        <f t="shared" si="143"/>
        <v>0</v>
      </c>
      <c r="AT40" s="98">
        <f>AS40</f>
        <v>0</v>
      </c>
      <c r="AU40" s="48">
        <f t="shared" si="143"/>
        <v>0</v>
      </c>
      <c r="AV40" s="98">
        <f>AU40</f>
        <v>0</v>
      </c>
      <c r="AW40" s="1392">
        <f>AV40</f>
        <v>0</v>
      </c>
      <c r="AX40" s="98">
        <f>AT40</f>
        <v>0</v>
      </c>
      <c r="AY40" s="48">
        <v>0</v>
      </c>
      <c r="AZ40" s="98">
        <v>0</v>
      </c>
      <c r="BA40" s="1392">
        <f t="shared" ref="BA40:BI40" si="144">AZ40</f>
        <v>0</v>
      </c>
      <c r="BB40" s="98">
        <f t="shared" si="144"/>
        <v>0</v>
      </c>
      <c r="BC40" s="48">
        <f t="shared" si="144"/>
        <v>0</v>
      </c>
      <c r="BD40" s="48">
        <f t="shared" si="144"/>
        <v>0</v>
      </c>
      <c r="BE40" s="1392">
        <f t="shared" si="144"/>
        <v>0</v>
      </c>
      <c r="BF40" s="653">
        <f t="shared" si="144"/>
        <v>0</v>
      </c>
      <c r="BG40" s="653">
        <f t="shared" si="144"/>
        <v>0</v>
      </c>
      <c r="BH40" s="653">
        <f t="shared" si="144"/>
        <v>0</v>
      </c>
      <c r="BI40" s="469">
        <f t="shared" si="144"/>
        <v>0</v>
      </c>
      <c r="BJ40" s="1256">
        <f>BI40</f>
        <v>0</v>
      </c>
      <c r="BK40" s="469">
        <v>0</v>
      </c>
      <c r="BL40" s="469">
        <v>0</v>
      </c>
      <c r="BM40" s="469">
        <v>0</v>
      </c>
      <c r="BN40" s="1392">
        <v>0</v>
      </c>
      <c r="BO40" s="1256">
        <f>BN40</f>
        <v>0</v>
      </c>
      <c r="BP40" s="469">
        <v>0</v>
      </c>
      <c r="BQ40" s="469">
        <v>0</v>
      </c>
      <c r="BR40" s="469">
        <v>0</v>
      </c>
      <c r="BS40" s="1392">
        <v>0</v>
      </c>
      <c r="BT40" s="1256">
        <f>BS40</f>
        <v>0</v>
      </c>
      <c r="BU40" s="827">
        <v>0</v>
      </c>
      <c r="BV40" s="528">
        <v>0</v>
      </c>
      <c r="BW40" s="528">
        <f>BV40</f>
        <v>0</v>
      </c>
      <c r="BX40" s="528">
        <f>BW40</f>
        <v>0</v>
      </c>
      <c r="BY40" s="1256">
        <f>BX40</f>
        <v>0</v>
      </c>
      <c r="BZ40" s="528">
        <v>0</v>
      </c>
      <c r="CA40" s="528">
        <v>0</v>
      </c>
      <c r="CB40" s="528">
        <v>0</v>
      </c>
      <c r="CC40" s="1395">
        <v>0</v>
      </c>
      <c r="CD40" s="694">
        <f>CC40</f>
        <v>0</v>
      </c>
      <c r="CE40" s="528">
        <v>0</v>
      </c>
      <c r="CF40" s="528">
        <v>0</v>
      </c>
      <c r="CG40" s="528">
        <v>0</v>
      </c>
      <c r="CH40" s="528">
        <v>0</v>
      </c>
      <c r="CI40" s="693">
        <f>CH40</f>
        <v>0</v>
      </c>
      <c r="CJ40" s="528">
        <v>0</v>
      </c>
      <c r="CK40" s="528">
        <v>0</v>
      </c>
      <c r="CL40" s="528">
        <v>0</v>
      </c>
      <c r="CM40" s="528">
        <v>0</v>
      </c>
      <c r="CN40" s="4358">
        <f>CM40</f>
        <v>0</v>
      </c>
      <c r="CO40" s="654">
        <v>0</v>
      </c>
      <c r="CP40" s="654">
        <v>0</v>
      </c>
      <c r="CQ40" s="654">
        <v>0</v>
      </c>
      <c r="CR40" s="654">
        <v>0</v>
      </c>
      <c r="CS40" s="4358">
        <f>CR40</f>
        <v>0</v>
      </c>
      <c r="CT40" s="654">
        <v>0</v>
      </c>
      <c r="CU40" s="654">
        <v>0</v>
      </c>
      <c r="CV40" s="654">
        <v>0</v>
      </c>
      <c r="CW40" s="654">
        <v>0</v>
      </c>
      <c r="CX40" s="4358">
        <f>CW40</f>
        <v>0</v>
      </c>
      <c r="CY40" s="654">
        <v>0</v>
      </c>
      <c r="CZ40" s="654">
        <v>0</v>
      </c>
      <c r="DA40" s="654">
        <v>0</v>
      </c>
      <c r="DB40" s="654">
        <v>0</v>
      </c>
      <c r="DC40" s="692">
        <f>DB40</f>
        <v>0</v>
      </c>
      <c r="DD40" s="654">
        <v>0</v>
      </c>
      <c r="DE40" s="654">
        <v>0</v>
      </c>
      <c r="DF40" s="654">
        <v>0</v>
      </c>
      <c r="DG40" s="654">
        <v>0</v>
      </c>
      <c r="DH40" s="692">
        <f t="shared" ref="DH40:EA49" si="145">DG40</f>
        <v>0</v>
      </c>
      <c r="DI40" s="654">
        <v>0</v>
      </c>
      <c r="DJ40" s="654">
        <v>0</v>
      </c>
      <c r="DK40" s="654">
        <v>0</v>
      </c>
      <c r="DL40" s="654">
        <v>0</v>
      </c>
      <c r="DM40" s="692">
        <f t="shared" si="145"/>
        <v>0</v>
      </c>
      <c r="DN40" s="654">
        <v>0</v>
      </c>
      <c r="DO40" s="654">
        <v>0</v>
      </c>
      <c r="DP40" s="654">
        <v>0</v>
      </c>
      <c r="DQ40" s="5022">
        <f t="shared" ref="DQ40" si="146">DP40</f>
        <v>0</v>
      </c>
      <c r="DR40" s="692">
        <f t="shared" si="145"/>
        <v>0</v>
      </c>
      <c r="DS40" s="5022">
        <f t="shared" ref="DS40" si="147">DR40</f>
        <v>0</v>
      </c>
      <c r="DT40" s="5022">
        <f t="shared" ref="DT40" si="148">DS40</f>
        <v>0</v>
      </c>
      <c r="DU40" s="5022">
        <f t="shared" ref="DU40" si="149">DT40</f>
        <v>0</v>
      </c>
      <c r="DV40" s="5022">
        <f t="shared" ref="DV40" si="150">DU40</f>
        <v>0</v>
      </c>
      <c r="DW40" s="692">
        <f t="shared" si="145"/>
        <v>0</v>
      </c>
      <c r="DX40" s="5030">
        <f t="shared" si="145"/>
        <v>0</v>
      </c>
      <c r="DY40" s="5030">
        <f t="shared" si="145"/>
        <v>0</v>
      </c>
      <c r="DZ40" s="5030">
        <f t="shared" si="145"/>
        <v>0</v>
      </c>
      <c r="EA40" s="5030">
        <f t="shared" si="145"/>
        <v>0</v>
      </c>
      <c r="EC40" s="755"/>
      <c r="ED40" s="755"/>
    </row>
    <row r="41" spans="1:134" s="45" customFormat="1" ht="11.25" customHeight="1">
      <c r="A41" s="1603" t="s">
        <v>360</v>
      </c>
      <c r="B41" s="37"/>
      <c r="C41" s="37"/>
      <c r="D41" s="37"/>
      <c r="E41" s="1392"/>
      <c r="F41" s="37"/>
      <c r="G41" s="37"/>
      <c r="H41" s="37"/>
      <c r="I41" s="1392"/>
      <c r="J41" s="39"/>
      <c r="K41" s="37"/>
      <c r="L41" s="37"/>
      <c r="M41" s="1392"/>
      <c r="N41" s="39"/>
      <c r="O41" s="37"/>
      <c r="P41" s="37"/>
      <c r="Q41" s="1392"/>
      <c r="R41" s="37"/>
      <c r="S41" s="37"/>
      <c r="T41" s="37"/>
      <c r="U41" s="1392"/>
      <c r="V41" s="41"/>
      <c r="W41" s="43"/>
      <c r="X41" s="43"/>
      <c r="Y41" s="1392"/>
      <c r="Z41" s="47"/>
      <c r="AA41" s="47"/>
      <c r="AB41" s="47"/>
      <c r="AC41" s="1392"/>
      <c r="AD41" s="75"/>
      <c r="AE41" s="73"/>
      <c r="AF41" s="73"/>
      <c r="AG41" s="1392"/>
      <c r="AH41" s="75"/>
      <c r="AI41" s="73"/>
      <c r="AJ41" s="73"/>
      <c r="AK41" s="1392"/>
      <c r="AL41" s="96"/>
      <c r="AM41" s="97"/>
      <c r="AN41" s="97"/>
      <c r="AO41" s="1392"/>
      <c r="AP41" s="96"/>
      <c r="AQ41" s="97"/>
      <c r="AR41" s="97"/>
      <c r="AS41" s="1392"/>
      <c r="AT41" s="98">
        <f>AS41</f>
        <v>0</v>
      </c>
      <c r="AU41" s="48">
        <f>AT41</f>
        <v>0</v>
      </c>
      <c r="AV41" s="98">
        <f>AU41</f>
        <v>0</v>
      </c>
      <c r="AW41" s="1392">
        <f>AV41</f>
        <v>0</v>
      </c>
      <c r="AX41" s="98">
        <f>AT41</f>
        <v>0</v>
      </c>
      <c r="AY41" s="48">
        <v>2985</v>
      </c>
      <c r="AZ41" s="48">
        <v>2986</v>
      </c>
      <c r="BA41" s="1392">
        <v>2986</v>
      </c>
      <c r="BB41" s="98">
        <v>2987</v>
      </c>
      <c r="BC41" s="48">
        <v>2987</v>
      </c>
      <c r="BD41" s="48">
        <v>2988</v>
      </c>
      <c r="BE41" s="1392">
        <v>2988</v>
      </c>
      <c r="BF41" s="653">
        <v>2989</v>
      </c>
      <c r="BG41" s="653">
        <v>1989</v>
      </c>
      <c r="BH41" s="653">
        <v>2238</v>
      </c>
      <c r="BI41" s="469">
        <v>2236</v>
      </c>
      <c r="BJ41" s="1260">
        <f t="shared" ref="BJ41:BJ49" si="151">BI41</f>
        <v>2236</v>
      </c>
      <c r="BK41" s="528">
        <v>3234</v>
      </c>
      <c r="BL41" s="469">
        <v>3232</v>
      </c>
      <c r="BM41" s="469">
        <v>3230</v>
      </c>
      <c r="BN41" s="1392">
        <v>3228</v>
      </c>
      <c r="BO41" s="1260">
        <f t="shared" ref="BO41:BO49" si="152">BN41</f>
        <v>3228</v>
      </c>
      <c r="BP41" s="528">
        <v>3226</v>
      </c>
      <c r="BQ41" s="469">
        <v>2225</v>
      </c>
      <c r="BR41" s="469">
        <v>1994</v>
      </c>
      <c r="BS41" s="1392">
        <v>1995</v>
      </c>
      <c r="BT41" s="1260">
        <f t="shared" ref="BT41:BT49" si="153">BS41</f>
        <v>1995</v>
      </c>
      <c r="BU41" s="827">
        <v>1987</v>
      </c>
      <c r="BV41" s="528">
        <v>1984</v>
      </c>
      <c r="BW41" s="528">
        <v>3938</v>
      </c>
      <c r="BX41" s="528">
        <v>3935</v>
      </c>
      <c r="BY41" s="1260">
        <f t="shared" ref="BY41:BY49" si="154">BX41</f>
        <v>3935</v>
      </c>
      <c r="BZ41" s="528">
        <v>3937</v>
      </c>
      <c r="CA41" s="528">
        <v>3955</v>
      </c>
      <c r="CB41" s="528">
        <v>3964</v>
      </c>
      <c r="CC41" s="1395">
        <v>3969</v>
      </c>
      <c r="CD41" s="694">
        <f t="shared" ref="CD41:CD49" si="155">CC41</f>
        <v>3969</v>
      </c>
      <c r="CE41" s="528">
        <v>3973</v>
      </c>
      <c r="CF41" s="528">
        <v>3981</v>
      </c>
      <c r="CG41" s="528">
        <v>3986</v>
      </c>
      <c r="CH41" s="528">
        <v>4012</v>
      </c>
      <c r="CI41" s="694">
        <f t="shared" ref="CI41:CI49" si="156">CH41</f>
        <v>4012</v>
      </c>
      <c r="CJ41" s="528">
        <v>4066</v>
      </c>
      <c r="CK41" s="528">
        <v>4074</v>
      </c>
      <c r="CL41" s="528">
        <v>4082</v>
      </c>
      <c r="CM41" s="528">
        <v>4554</v>
      </c>
      <c r="CN41" s="4358">
        <f t="shared" ref="CN41:CN49" si="157">CM41</f>
        <v>4554</v>
      </c>
      <c r="CO41" s="654">
        <v>5016</v>
      </c>
      <c r="CP41" s="654">
        <v>4018</v>
      </c>
      <c r="CQ41" s="654">
        <v>13902</v>
      </c>
      <c r="CR41" s="654">
        <v>13932</v>
      </c>
      <c r="CS41" s="4358">
        <f t="shared" ref="CS41:CS49" si="158">CR41</f>
        <v>13932</v>
      </c>
      <c r="CT41" s="654">
        <v>13887</v>
      </c>
      <c r="CU41" s="654">
        <v>14328</v>
      </c>
      <c r="CV41" s="654">
        <v>14288</v>
      </c>
      <c r="CW41" s="654">
        <v>14817</v>
      </c>
      <c r="CX41" s="4358">
        <f t="shared" ref="CX41:CX49" si="159">CW41</f>
        <v>14817</v>
      </c>
      <c r="CY41" s="654">
        <v>14791</v>
      </c>
      <c r="CZ41" s="654">
        <v>14734</v>
      </c>
      <c r="DA41" s="654">
        <v>14653</v>
      </c>
      <c r="DB41" s="654">
        <v>14701</v>
      </c>
      <c r="DC41" s="692">
        <f t="shared" ref="DC41:DC49" si="160">DB41</f>
        <v>14701</v>
      </c>
      <c r="DD41" s="654">
        <v>13697</v>
      </c>
      <c r="DE41" s="654">
        <v>13705</v>
      </c>
      <c r="DF41" s="654">
        <v>13781</v>
      </c>
      <c r="DG41" s="654">
        <v>13253</v>
      </c>
      <c r="DH41" s="692">
        <f t="shared" ref="DH41:DH49" si="161">DG41</f>
        <v>13253</v>
      </c>
      <c r="DI41" s="654">
        <v>13228</v>
      </c>
      <c r="DJ41" s="654">
        <v>13238</v>
      </c>
      <c r="DK41" s="654">
        <v>12297</v>
      </c>
      <c r="DL41" s="654">
        <v>10883</v>
      </c>
      <c r="DM41" s="692">
        <f t="shared" ref="DM41:DM49" si="162">DL41</f>
        <v>10883</v>
      </c>
      <c r="DN41" s="654">
        <v>10886</v>
      </c>
      <c r="DO41" s="654">
        <v>23607</v>
      </c>
      <c r="DP41" s="654">
        <v>21607</v>
      </c>
      <c r="DQ41" s="691">
        <f>+DP41+CF!DQ37+CF!DQ44</f>
        <v>21607</v>
      </c>
      <c r="DR41" s="692">
        <f t="shared" si="145"/>
        <v>21607</v>
      </c>
      <c r="DS41" s="691">
        <f>+DR41+CF!DS37+CF!DS44</f>
        <v>21607</v>
      </c>
      <c r="DT41" s="691">
        <f>+DS41+CF!DT37+CF!DT44</f>
        <v>21607</v>
      </c>
      <c r="DU41" s="691">
        <f>+DT41+CF!DU37+CF!DU44</f>
        <v>21607</v>
      </c>
      <c r="DV41" s="691">
        <f>+DU41+CF!DV37+CF!DV44</f>
        <v>21607</v>
      </c>
      <c r="DW41" s="692">
        <f t="shared" si="145"/>
        <v>21607</v>
      </c>
      <c r="DX41" s="692">
        <f>+DW41+CF!DX37+CF!DX44</f>
        <v>18607</v>
      </c>
      <c r="DY41" s="692">
        <f>+DX41+CF!DY37+CF!DY44</f>
        <v>18607</v>
      </c>
      <c r="DZ41" s="692">
        <f>+DY41+CF!DZ37+CF!DZ44</f>
        <v>18607</v>
      </c>
      <c r="EA41" s="692">
        <f>+DZ41+CF!EA37+CF!EA44</f>
        <v>18607</v>
      </c>
      <c r="EC41" s="755"/>
      <c r="ED41" s="755"/>
    </row>
    <row r="42" spans="1:134" s="45" customFormat="1" ht="11.25" customHeight="1">
      <c r="A42" s="1603" t="s">
        <v>204</v>
      </c>
      <c r="B42" s="37"/>
      <c r="C42" s="37"/>
      <c r="D42" s="37"/>
      <c r="E42" s="1393"/>
      <c r="F42" s="37"/>
      <c r="G42" s="37"/>
      <c r="H42" s="37"/>
      <c r="I42" s="1393"/>
      <c r="J42" s="39"/>
      <c r="K42" s="37"/>
      <c r="L42" s="37"/>
      <c r="M42" s="1393"/>
      <c r="N42" s="39"/>
      <c r="O42" s="37"/>
      <c r="P42" s="37"/>
      <c r="Q42" s="1393">
        <v>1.901</v>
      </c>
      <c r="R42" s="37"/>
      <c r="S42" s="37"/>
      <c r="T42" s="99"/>
      <c r="U42" s="1393">
        <v>5.0140000000000002</v>
      </c>
      <c r="V42" s="41">
        <v>5.5510000000000002</v>
      </c>
      <c r="W42" s="43">
        <v>6.0229999999999997</v>
      </c>
      <c r="X42" s="43">
        <v>6.3440000000000003</v>
      </c>
      <c r="Y42" s="1393">
        <v>7.4429999999999996</v>
      </c>
      <c r="Z42" s="43">
        <v>7.0910000000000002</v>
      </c>
      <c r="AA42" s="43">
        <v>10.029999999999999</v>
      </c>
      <c r="AB42" s="43">
        <v>9.968</v>
      </c>
      <c r="AC42" s="1393">
        <v>10.468</v>
      </c>
      <c r="AD42" s="41">
        <v>17.123000000000001</v>
      </c>
      <c r="AE42" s="43">
        <v>15.904</v>
      </c>
      <c r="AF42" s="43">
        <v>16.794</v>
      </c>
      <c r="AG42" s="1393">
        <v>20.006</v>
      </c>
      <c r="AH42" s="41">
        <v>20.978999999999999</v>
      </c>
      <c r="AI42" s="43">
        <v>21.672999999999998</v>
      </c>
      <c r="AJ42" s="43">
        <v>23.675999999999998</v>
      </c>
      <c r="AK42" s="1393">
        <v>30.248999999999999</v>
      </c>
      <c r="AL42" s="41">
        <v>31.748000000000001</v>
      </c>
      <c r="AM42" s="43">
        <v>30.933</v>
      </c>
      <c r="AN42" s="42">
        <v>29.992000000000001</v>
      </c>
      <c r="AO42" s="1393">
        <v>29.818000000000001</v>
      </c>
      <c r="AP42" s="41">
        <v>30.146000000000001</v>
      </c>
      <c r="AQ42" s="43">
        <v>31.675000000000001</v>
      </c>
      <c r="AR42" s="43">
        <v>35.845999999999997</v>
      </c>
      <c r="AS42" s="1393">
        <v>41.618000000000002</v>
      </c>
      <c r="AT42" s="44">
        <v>36</v>
      </c>
      <c r="AU42" s="44">
        <v>31</v>
      </c>
      <c r="AV42" s="44">
        <v>33</v>
      </c>
      <c r="AW42" s="1393">
        <v>35</v>
      </c>
      <c r="AX42" s="44">
        <v>32</v>
      </c>
      <c r="AY42" s="44">
        <v>28</v>
      </c>
      <c r="AZ42" s="44">
        <v>31</v>
      </c>
      <c r="BA42" s="1393">
        <v>44</v>
      </c>
      <c r="BB42" s="44">
        <v>42</v>
      </c>
      <c r="BC42" s="44">
        <v>97</v>
      </c>
      <c r="BD42" s="44">
        <v>100</v>
      </c>
      <c r="BE42" s="1393">
        <v>100</v>
      </c>
      <c r="BF42" s="652">
        <v>79</v>
      </c>
      <c r="BG42" s="652">
        <v>132</v>
      </c>
      <c r="BH42" s="652">
        <v>125</v>
      </c>
      <c r="BI42" s="683">
        <v>139</v>
      </c>
      <c r="BJ42" s="1257">
        <f t="shared" si="151"/>
        <v>139</v>
      </c>
      <c r="BK42" s="683">
        <v>103</v>
      </c>
      <c r="BL42" s="695">
        <v>93</v>
      </c>
      <c r="BM42" s="695">
        <v>154</v>
      </c>
      <c r="BN42" s="1393">
        <v>104</v>
      </c>
      <c r="BO42" s="1257">
        <f t="shared" si="152"/>
        <v>104</v>
      </c>
      <c r="BP42" s="683">
        <v>93</v>
      </c>
      <c r="BQ42" s="695">
        <v>108</v>
      </c>
      <c r="BR42" s="695">
        <v>133</v>
      </c>
      <c r="BS42" s="1393">
        <v>151</v>
      </c>
      <c r="BT42" s="1257">
        <f t="shared" si="153"/>
        <v>151</v>
      </c>
      <c r="BU42" s="828">
        <v>131</v>
      </c>
      <c r="BV42" s="695">
        <v>151</v>
      </c>
      <c r="BW42" s="695">
        <v>169</v>
      </c>
      <c r="BX42" s="695">
        <v>202</v>
      </c>
      <c r="BY42" s="1257">
        <f t="shared" si="154"/>
        <v>202</v>
      </c>
      <c r="BZ42" s="695">
        <v>323</v>
      </c>
      <c r="CA42" s="695">
        <v>345</v>
      </c>
      <c r="CB42" s="695">
        <v>346</v>
      </c>
      <c r="CC42" s="1394">
        <v>340</v>
      </c>
      <c r="CD42" s="696">
        <f t="shared" si="155"/>
        <v>340</v>
      </c>
      <c r="CE42" s="695">
        <v>315</v>
      </c>
      <c r="CF42" s="695">
        <v>358</v>
      </c>
      <c r="CG42" s="695">
        <v>317</v>
      </c>
      <c r="CH42" s="695">
        <v>396</v>
      </c>
      <c r="CI42" s="696">
        <f t="shared" si="156"/>
        <v>396</v>
      </c>
      <c r="CJ42" s="695">
        <v>391</v>
      </c>
      <c r="CK42" s="695">
        <v>387</v>
      </c>
      <c r="CL42" s="695">
        <v>364</v>
      </c>
      <c r="CM42" s="695">
        <v>358</v>
      </c>
      <c r="CN42" s="5029">
        <f t="shared" si="157"/>
        <v>358</v>
      </c>
      <c r="CO42" s="656">
        <v>350</v>
      </c>
      <c r="CP42" s="656">
        <v>397</v>
      </c>
      <c r="CQ42" s="656">
        <v>454</v>
      </c>
      <c r="CR42" s="656">
        <v>481</v>
      </c>
      <c r="CS42" s="5029">
        <f t="shared" si="158"/>
        <v>481</v>
      </c>
      <c r="CT42" s="656">
        <v>530</v>
      </c>
      <c r="CU42" s="656">
        <v>510</v>
      </c>
      <c r="CV42" s="656">
        <v>510</v>
      </c>
      <c r="CW42" s="656">
        <v>535</v>
      </c>
      <c r="CX42" s="5029">
        <f t="shared" si="159"/>
        <v>535</v>
      </c>
      <c r="CY42" s="656">
        <v>499</v>
      </c>
      <c r="CZ42" s="656">
        <v>472</v>
      </c>
      <c r="DA42" s="656">
        <v>594</v>
      </c>
      <c r="DB42" s="656">
        <v>599</v>
      </c>
      <c r="DC42" s="4506">
        <f t="shared" si="160"/>
        <v>599</v>
      </c>
      <c r="DD42" s="656">
        <v>610</v>
      </c>
      <c r="DE42" s="656">
        <v>667</v>
      </c>
      <c r="DF42" s="656">
        <v>884</v>
      </c>
      <c r="DG42" s="656">
        <v>911</v>
      </c>
      <c r="DH42" s="4506">
        <f t="shared" si="161"/>
        <v>911</v>
      </c>
      <c r="DI42" s="656">
        <v>921</v>
      </c>
      <c r="DJ42" s="656">
        <v>985</v>
      </c>
      <c r="DK42" s="656">
        <v>1015</v>
      </c>
      <c r="DL42" s="656">
        <v>0</v>
      </c>
      <c r="DM42" s="4506">
        <f t="shared" si="162"/>
        <v>0</v>
      </c>
      <c r="DN42" s="656">
        <v>0</v>
      </c>
      <c r="DO42" s="656">
        <v>0</v>
      </c>
      <c r="DP42" s="656">
        <v>0</v>
      </c>
      <c r="DQ42" s="226">
        <f t="shared" ref="DQ42" si="163">DQ101</f>
        <v>0</v>
      </c>
      <c r="DR42" s="4506">
        <f t="shared" si="145"/>
        <v>0</v>
      </c>
      <c r="DS42" s="226">
        <f t="shared" ref="DS42:DV42" si="164">DS101</f>
        <v>0</v>
      </c>
      <c r="DT42" s="226">
        <f t="shared" si="164"/>
        <v>0</v>
      </c>
      <c r="DU42" s="226">
        <f t="shared" si="164"/>
        <v>0</v>
      </c>
      <c r="DV42" s="226">
        <f t="shared" si="164"/>
        <v>0</v>
      </c>
      <c r="DW42" s="4506">
        <f t="shared" si="145"/>
        <v>0</v>
      </c>
      <c r="DX42" s="4506">
        <f>DX101</f>
        <v>0</v>
      </c>
      <c r="DY42" s="4506">
        <f>DY101</f>
        <v>0</v>
      </c>
      <c r="DZ42" s="4506">
        <f>DZ101</f>
        <v>0</v>
      </c>
      <c r="EA42" s="4506">
        <f>EA101</f>
        <v>0</v>
      </c>
      <c r="EC42" s="755"/>
      <c r="ED42" s="755"/>
    </row>
    <row r="43" spans="1:134" s="45" customFormat="1" ht="11.25" customHeight="1">
      <c r="A43" s="1603" t="s">
        <v>205</v>
      </c>
      <c r="B43" s="37"/>
      <c r="C43" s="37"/>
      <c r="D43" s="37"/>
      <c r="E43" s="1392"/>
      <c r="F43" s="37"/>
      <c r="G43" s="37"/>
      <c r="H43" s="37"/>
      <c r="I43" s="1392"/>
      <c r="J43" s="39"/>
      <c r="K43" s="37"/>
      <c r="L43" s="37"/>
      <c r="M43" s="1392"/>
      <c r="N43" s="39"/>
      <c r="O43" s="37"/>
      <c r="P43" s="37"/>
      <c r="Q43" s="1392">
        <v>0.56699999999999995</v>
      </c>
      <c r="R43" s="37"/>
      <c r="S43" s="37"/>
      <c r="T43" s="37"/>
      <c r="U43" s="1392">
        <v>6.3410000000000002</v>
      </c>
      <c r="V43" s="41">
        <v>7.9930000000000003</v>
      </c>
      <c r="W43" s="43">
        <v>8.5760000000000005</v>
      </c>
      <c r="X43" s="43">
        <v>7.2060000000000004</v>
      </c>
      <c r="Y43" s="1392">
        <v>5.9820000000000002</v>
      </c>
      <c r="Z43" s="41">
        <v>4.7960000000000003</v>
      </c>
      <c r="AA43" s="43">
        <v>3.7789999999999999</v>
      </c>
      <c r="AB43" s="43">
        <v>2.9079999999999999</v>
      </c>
      <c r="AC43" s="1392">
        <v>2.0830000000000002</v>
      </c>
      <c r="AD43" s="41">
        <v>1.3680000000000001</v>
      </c>
      <c r="AE43" s="43">
        <v>0.84</v>
      </c>
      <c r="AF43" s="43">
        <v>0</v>
      </c>
      <c r="AG43" s="1392">
        <v>0</v>
      </c>
      <c r="AH43" s="100">
        <f>AG43</f>
        <v>0</v>
      </c>
      <c r="AI43" s="47">
        <v>0</v>
      </c>
      <c r="AJ43" s="47">
        <f t="shared" ref="AJ43:AO43" si="165">AI43</f>
        <v>0</v>
      </c>
      <c r="AK43" s="1392">
        <f t="shared" si="165"/>
        <v>0</v>
      </c>
      <c r="AL43" s="100">
        <f>AK43</f>
        <v>0</v>
      </c>
      <c r="AM43" s="70">
        <f t="shared" si="165"/>
        <v>0</v>
      </c>
      <c r="AN43" s="101">
        <f t="shared" si="165"/>
        <v>0</v>
      </c>
      <c r="AO43" s="1392">
        <f t="shared" si="165"/>
        <v>0</v>
      </c>
      <c r="AP43" s="100">
        <f>AO43</f>
        <v>0</v>
      </c>
      <c r="AQ43" s="70">
        <f>AP43</f>
        <v>0</v>
      </c>
      <c r="AR43" s="101">
        <f>AQ43</f>
        <v>0</v>
      </c>
      <c r="AS43" s="1392">
        <f>AR43</f>
        <v>0</v>
      </c>
      <c r="AT43" s="53">
        <v>0</v>
      </c>
      <c r="AU43" s="48">
        <v>0</v>
      </c>
      <c r="AV43" s="53">
        <v>0</v>
      </c>
      <c r="AW43" s="1392">
        <v>0</v>
      </c>
      <c r="AX43" s="53">
        <v>0</v>
      </c>
      <c r="AY43" s="48">
        <v>0</v>
      </c>
      <c r="AZ43" s="53">
        <v>0</v>
      </c>
      <c r="BA43" s="1392">
        <v>0</v>
      </c>
      <c r="BB43" s="53">
        <v>0</v>
      </c>
      <c r="BC43" s="48">
        <v>0</v>
      </c>
      <c r="BD43" s="48">
        <v>0</v>
      </c>
      <c r="BE43" s="1392">
        <v>0</v>
      </c>
      <c r="BF43" s="654">
        <v>0</v>
      </c>
      <c r="BG43" s="653">
        <v>0</v>
      </c>
      <c r="BH43" s="653">
        <v>0</v>
      </c>
      <c r="BI43" s="469">
        <v>0</v>
      </c>
      <c r="BJ43" s="1256">
        <f t="shared" si="151"/>
        <v>0</v>
      </c>
      <c r="BK43" s="469">
        <v>0</v>
      </c>
      <c r="BL43" s="528">
        <v>0</v>
      </c>
      <c r="BM43" s="528">
        <v>0</v>
      </c>
      <c r="BN43" s="1392">
        <v>0</v>
      </c>
      <c r="BO43" s="1256">
        <f t="shared" si="152"/>
        <v>0</v>
      </c>
      <c r="BP43" s="469">
        <v>0</v>
      </c>
      <c r="BQ43" s="528">
        <v>0</v>
      </c>
      <c r="BR43" s="528">
        <v>0</v>
      </c>
      <c r="BS43" s="1392">
        <v>0</v>
      </c>
      <c r="BT43" s="1256">
        <f t="shared" si="153"/>
        <v>0</v>
      </c>
      <c r="BU43" s="827">
        <v>0</v>
      </c>
      <c r="BV43" s="528">
        <v>0</v>
      </c>
      <c r="BW43" s="528">
        <f>BV43</f>
        <v>0</v>
      </c>
      <c r="BX43" s="528">
        <v>0</v>
      </c>
      <c r="BY43" s="1256">
        <f t="shared" si="154"/>
        <v>0</v>
      </c>
      <c r="BZ43" s="528">
        <v>0</v>
      </c>
      <c r="CA43" s="528">
        <v>0</v>
      </c>
      <c r="CB43" s="528">
        <v>0</v>
      </c>
      <c r="CC43" s="1395">
        <v>0</v>
      </c>
      <c r="CD43" s="694">
        <f t="shared" si="155"/>
        <v>0</v>
      </c>
      <c r="CE43" s="528">
        <v>0</v>
      </c>
      <c r="CF43" s="528">
        <v>0</v>
      </c>
      <c r="CG43" s="528">
        <v>0</v>
      </c>
      <c r="CH43" s="528">
        <v>0</v>
      </c>
      <c r="CI43" s="693">
        <f t="shared" si="156"/>
        <v>0</v>
      </c>
      <c r="CJ43" s="528">
        <v>0</v>
      </c>
      <c r="CK43" s="528">
        <v>0</v>
      </c>
      <c r="CL43" s="528">
        <v>0</v>
      </c>
      <c r="CM43" s="528">
        <v>0</v>
      </c>
      <c r="CN43" s="4358">
        <f t="shared" si="157"/>
        <v>0</v>
      </c>
      <c r="CO43" s="654">
        <v>0</v>
      </c>
      <c r="CP43" s="654">
        <v>0</v>
      </c>
      <c r="CQ43" s="654">
        <v>0</v>
      </c>
      <c r="CR43" s="654">
        <v>0</v>
      </c>
      <c r="CS43" s="4358">
        <f t="shared" si="158"/>
        <v>0</v>
      </c>
      <c r="CT43" s="654">
        <v>0</v>
      </c>
      <c r="CU43" s="654">
        <v>0</v>
      </c>
      <c r="CV43" s="654">
        <v>0</v>
      </c>
      <c r="CW43" s="654">
        <v>0</v>
      </c>
      <c r="CX43" s="4358">
        <f t="shared" si="159"/>
        <v>0</v>
      </c>
      <c r="CY43" s="654">
        <v>0</v>
      </c>
      <c r="CZ43" s="654">
        <v>0</v>
      </c>
      <c r="DA43" s="654">
        <v>0</v>
      </c>
      <c r="DB43" s="654">
        <v>0</v>
      </c>
      <c r="DC43" s="692">
        <f t="shared" si="160"/>
        <v>0</v>
      </c>
      <c r="DD43" s="654">
        <v>0</v>
      </c>
      <c r="DE43" s="654">
        <v>0</v>
      </c>
      <c r="DF43" s="654">
        <v>0</v>
      </c>
      <c r="DG43" s="654">
        <v>0</v>
      </c>
      <c r="DH43" s="692">
        <f t="shared" si="161"/>
        <v>0</v>
      </c>
      <c r="DI43" s="654">
        <v>0</v>
      </c>
      <c r="DJ43" s="654">
        <v>0</v>
      </c>
      <c r="DK43" s="654">
        <v>0</v>
      </c>
      <c r="DL43" s="654">
        <v>0</v>
      </c>
      <c r="DM43" s="692">
        <f t="shared" si="162"/>
        <v>0</v>
      </c>
      <c r="DN43" s="654">
        <v>0</v>
      </c>
      <c r="DO43" s="654">
        <v>0</v>
      </c>
      <c r="DP43" s="654">
        <v>0</v>
      </c>
      <c r="DQ43" s="5022">
        <f t="shared" ref="DQ43" si="166">DP43</f>
        <v>0</v>
      </c>
      <c r="DR43" s="692">
        <f t="shared" si="145"/>
        <v>0</v>
      </c>
      <c r="DS43" s="5022">
        <f t="shared" ref="DS43:DS49" si="167">DR43</f>
        <v>0</v>
      </c>
      <c r="DT43" s="5022">
        <f t="shared" ref="DT43:DT49" si="168">DS43</f>
        <v>0</v>
      </c>
      <c r="DU43" s="5022">
        <f t="shared" ref="DU43:DU49" si="169">DT43</f>
        <v>0</v>
      </c>
      <c r="DV43" s="5022">
        <f t="shared" ref="DV43:DV49" si="170">DU43</f>
        <v>0</v>
      </c>
      <c r="DW43" s="692">
        <f t="shared" si="145"/>
        <v>0</v>
      </c>
      <c r="DX43" s="5030">
        <f>DW43</f>
        <v>0</v>
      </c>
      <c r="DY43" s="5030">
        <f>DX43</f>
        <v>0</v>
      </c>
      <c r="DZ43" s="5030">
        <f>DY43</f>
        <v>0</v>
      </c>
      <c r="EA43" s="5030">
        <f>DZ43</f>
        <v>0</v>
      </c>
      <c r="EC43" s="755"/>
      <c r="ED43" s="755"/>
    </row>
    <row r="44" spans="1:134" s="45" customFormat="1" ht="11.25" customHeight="1">
      <c r="A44" s="1603" t="s">
        <v>856</v>
      </c>
      <c r="B44" s="37"/>
      <c r="C44" s="37"/>
      <c r="D44" s="37"/>
      <c r="E44" s="1392"/>
      <c r="F44" s="37"/>
      <c r="G44" s="37"/>
      <c r="H44" s="37"/>
      <c r="I44" s="1392"/>
      <c r="J44" s="39"/>
      <c r="K44" s="37"/>
      <c r="L44" s="37"/>
      <c r="M44" s="1392"/>
      <c r="N44" s="39"/>
      <c r="O44" s="37"/>
      <c r="P44" s="37"/>
      <c r="Q44" s="1392">
        <v>0.57999999999999996</v>
      </c>
      <c r="R44" s="37"/>
      <c r="S44" s="37"/>
      <c r="T44" s="37"/>
      <c r="U44" s="1392">
        <v>18.510000000000002</v>
      </c>
      <c r="V44" s="41">
        <v>22.099</v>
      </c>
      <c r="W44" s="43">
        <v>42.198999999999998</v>
      </c>
      <c r="X44" s="47">
        <v>0</v>
      </c>
      <c r="Y44" s="1392">
        <v>0</v>
      </c>
      <c r="Z44" s="50">
        <v>0</v>
      </c>
      <c r="AA44" s="47">
        <v>44.18</v>
      </c>
      <c r="AB44" s="47">
        <v>37.051000000000002</v>
      </c>
      <c r="AC44" s="1392">
        <v>35.418999999999997</v>
      </c>
      <c r="AD44" s="50">
        <v>0</v>
      </c>
      <c r="AE44" s="47">
        <v>0</v>
      </c>
      <c r="AF44" s="47">
        <v>0</v>
      </c>
      <c r="AG44" s="1392">
        <v>40.420999999999999</v>
      </c>
      <c r="AH44" s="50">
        <f>18.821+267.209</f>
        <v>286.03000000000003</v>
      </c>
      <c r="AI44" s="47">
        <v>340.762</v>
      </c>
      <c r="AJ44" s="47">
        <v>406.55500000000001</v>
      </c>
      <c r="AK44" s="1392">
        <v>478.37200000000001</v>
      </c>
      <c r="AL44" s="50">
        <v>633.02200000000005</v>
      </c>
      <c r="AM44" s="47">
        <f>22.197+711.827</f>
        <v>734.024</v>
      </c>
      <c r="AN44" s="51">
        <f>20.42+783.348</f>
        <v>803.76799999999992</v>
      </c>
      <c r="AO44" s="1392">
        <f>890.115+12.515</f>
        <v>902.63</v>
      </c>
      <c r="AP44" s="50">
        <v>1160.1579999999999</v>
      </c>
      <c r="AQ44" s="47">
        <v>1232.9839999999999</v>
      </c>
      <c r="AR44" s="51">
        <f>1318.315</f>
        <v>1318.3150000000001</v>
      </c>
      <c r="AS44" s="1392">
        <v>1392.4680000000001</v>
      </c>
      <c r="AT44" s="53">
        <v>1300</v>
      </c>
      <c r="AU44" s="53">
        <v>1318</v>
      </c>
      <c r="AV44" s="53">
        <v>1098</v>
      </c>
      <c r="AW44" s="1392">
        <v>1200</v>
      </c>
      <c r="AX44" s="53">
        <v>1322</v>
      </c>
      <c r="AY44" s="53">
        <f>1469+129</f>
        <v>1598</v>
      </c>
      <c r="AZ44" s="467">
        <f>1594+263</f>
        <v>1857</v>
      </c>
      <c r="BA44" s="1392">
        <f>1693+287</f>
        <v>1980</v>
      </c>
      <c r="BB44" s="53">
        <f>1787+384</f>
        <v>2171</v>
      </c>
      <c r="BC44" s="53">
        <f>1898+1509</f>
        <v>3407</v>
      </c>
      <c r="BD44" s="53">
        <f>2034+1461</f>
        <v>3495</v>
      </c>
      <c r="BE44" s="1392">
        <f>2046+1872</f>
        <v>3918</v>
      </c>
      <c r="BF44" s="654">
        <f>2184+1978</f>
        <v>4162</v>
      </c>
      <c r="BG44" s="654">
        <f>2271+1905</f>
        <v>4176</v>
      </c>
      <c r="BH44" s="654">
        <f>2434+2097</f>
        <v>4531</v>
      </c>
      <c r="BI44" s="469">
        <f>2638+1947</f>
        <v>4585</v>
      </c>
      <c r="BJ44" s="1260">
        <f t="shared" si="151"/>
        <v>4585</v>
      </c>
      <c r="BK44" s="528">
        <f>1848+2826</f>
        <v>4674</v>
      </c>
      <c r="BL44" s="528">
        <f>3002+1625</f>
        <v>4627</v>
      </c>
      <c r="BM44" s="528">
        <f>3117+1554</f>
        <v>4671</v>
      </c>
      <c r="BN44" s="1392">
        <f>3407+1971</f>
        <v>5378</v>
      </c>
      <c r="BO44" s="1260">
        <f t="shared" si="152"/>
        <v>5378</v>
      </c>
      <c r="BP44" s="528">
        <f>3717</f>
        <v>3717</v>
      </c>
      <c r="BQ44" s="528">
        <f>3615</f>
        <v>3615</v>
      </c>
      <c r="BR44" s="528">
        <f>3596</f>
        <v>3596</v>
      </c>
      <c r="BS44" s="1392">
        <f>3663</f>
        <v>3663</v>
      </c>
      <c r="BT44" s="1260">
        <f t="shared" si="153"/>
        <v>3663</v>
      </c>
      <c r="BU44" s="827">
        <f>599</f>
        <v>599</v>
      </c>
      <c r="BV44" s="528">
        <f>4135</f>
        <v>4135</v>
      </c>
      <c r="BW44" s="528">
        <f>4461</f>
        <v>4461</v>
      </c>
      <c r="BX44" s="528">
        <f>4677</f>
        <v>4677</v>
      </c>
      <c r="BY44" s="1260">
        <f t="shared" si="154"/>
        <v>4677</v>
      </c>
      <c r="BZ44" s="528">
        <f>4924</f>
        <v>4924</v>
      </c>
      <c r="CA44" s="528">
        <f>4128</f>
        <v>4128</v>
      </c>
      <c r="CB44" s="528">
        <f>4358</f>
        <v>4358</v>
      </c>
      <c r="CC44" s="1395">
        <f>12812</f>
        <v>12812</v>
      </c>
      <c r="CD44" s="694">
        <f t="shared" si="155"/>
        <v>12812</v>
      </c>
      <c r="CE44" s="528">
        <f>12885</f>
        <v>12885</v>
      </c>
      <c r="CF44" s="528">
        <f>11652</f>
        <v>11652</v>
      </c>
      <c r="CG44" s="528">
        <f>11562</f>
        <v>11562</v>
      </c>
      <c r="CH44" s="528">
        <f>11327</f>
        <v>11327</v>
      </c>
      <c r="CI44" s="694">
        <f t="shared" si="156"/>
        <v>11327</v>
      </c>
      <c r="CJ44" s="528">
        <f>11605</f>
        <v>11605</v>
      </c>
      <c r="CK44" s="528">
        <f>10969</f>
        <v>10969</v>
      </c>
      <c r="CL44" s="528">
        <v>11355</v>
      </c>
      <c r="CM44" s="528">
        <v>9885</v>
      </c>
      <c r="CN44" s="4358">
        <f t="shared" si="157"/>
        <v>9885</v>
      </c>
      <c r="CO44" s="654">
        <v>9207</v>
      </c>
      <c r="CP44" s="654">
        <v>8599</v>
      </c>
      <c r="CQ44" s="654">
        <v>8616</v>
      </c>
      <c r="CR44" s="654">
        <v>8849</v>
      </c>
      <c r="CS44" s="4358">
        <f t="shared" si="158"/>
        <v>8849</v>
      </c>
      <c r="CT44" s="654">
        <v>9278</v>
      </c>
      <c r="CU44" s="654">
        <v>8651</v>
      </c>
      <c r="CV44" s="654">
        <v>8984</v>
      </c>
      <c r="CW44" s="654">
        <v>9176</v>
      </c>
      <c r="CX44" s="4358">
        <f t="shared" si="159"/>
        <v>9176</v>
      </c>
      <c r="CY44" s="654">
        <v>9406</v>
      </c>
      <c r="CZ44" s="654">
        <v>8163</v>
      </c>
      <c r="DA44" s="654">
        <v>8572</v>
      </c>
      <c r="DB44" s="654">
        <v>9258</v>
      </c>
      <c r="DC44" s="692">
        <f t="shared" si="160"/>
        <v>9258</v>
      </c>
      <c r="DD44" s="654">
        <v>9722</v>
      </c>
      <c r="DE44" s="654">
        <v>8753</v>
      </c>
      <c r="DF44" s="654">
        <v>8038</v>
      </c>
      <c r="DG44" s="654">
        <v>8474</v>
      </c>
      <c r="DH44" s="692">
        <f t="shared" si="161"/>
        <v>8474</v>
      </c>
      <c r="DI44" s="654">
        <v>9234</v>
      </c>
      <c r="DJ44" s="654">
        <v>7703</v>
      </c>
      <c r="DK44" s="654">
        <v>8219</v>
      </c>
      <c r="DL44" s="654">
        <v>8782</v>
      </c>
      <c r="DM44" s="692">
        <f t="shared" si="162"/>
        <v>8782</v>
      </c>
      <c r="DN44" s="654">
        <v>9773</v>
      </c>
      <c r="DO44" s="654">
        <v>10027</v>
      </c>
      <c r="DP44" s="654">
        <v>10072</v>
      </c>
      <c r="DQ44" s="5031">
        <f>DP44-9900*4%</f>
        <v>9676</v>
      </c>
      <c r="DR44" s="692">
        <f t="shared" si="145"/>
        <v>9676</v>
      </c>
      <c r="DS44" s="691">
        <f t="shared" si="167"/>
        <v>9676</v>
      </c>
      <c r="DT44" s="691">
        <f t="shared" si="168"/>
        <v>9676</v>
      </c>
      <c r="DU44" s="691">
        <f t="shared" si="169"/>
        <v>9676</v>
      </c>
      <c r="DV44" s="691">
        <f t="shared" si="170"/>
        <v>9676</v>
      </c>
      <c r="DW44" s="692">
        <f t="shared" si="145"/>
        <v>9676</v>
      </c>
      <c r="DX44" s="5032">
        <f>DW44-9900*8%</f>
        <v>8884</v>
      </c>
      <c r="DY44" s="5032">
        <f t="shared" ref="DY44:EA44" si="171">DX44-9900*8%</f>
        <v>8092</v>
      </c>
      <c r="DZ44" s="5032">
        <f t="shared" si="171"/>
        <v>7300</v>
      </c>
      <c r="EA44" s="5032">
        <f t="shared" si="171"/>
        <v>6508</v>
      </c>
      <c r="EC44" s="755"/>
      <c r="ED44" s="755"/>
    </row>
    <row r="45" spans="1:134" s="84" customFormat="1" ht="11.25" customHeight="1">
      <c r="A45" s="1588" t="s">
        <v>197</v>
      </c>
      <c r="B45" s="77"/>
      <c r="C45" s="77"/>
      <c r="D45" s="77"/>
      <c r="E45" s="1395"/>
      <c r="F45" s="77"/>
      <c r="G45" s="77"/>
      <c r="H45" s="77"/>
      <c r="I45" s="1395"/>
      <c r="J45" s="3840"/>
      <c r="K45" s="77"/>
      <c r="L45" s="77"/>
      <c r="M45" s="1395"/>
      <c r="N45" s="3840"/>
      <c r="O45" s="77"/>
      <c r="P45" s="77"/>
      <c r="Q45" s="1395"/>
      <c r="R45" s="77"/>
      <c r="S45" s="77"/>
      <c r="T45" s="77"/>
      <c r="U45" s="1395"/>
      <c r="V45" s="2879"/>
      <c r="W45" s="42"/>
      <c r="X45" s="2606"/>
      <c r="Y45" s="1395"/>
      <c r="Z45" s="2655"/>
      <c r="AA45" s="2606"/>
      <c r="AB45" s="2606"/>
      <c r="AC45" s="1395"/>
      <c r="AD45" s="2655"/>
      <c r="AE45" s="2606"/>
      <c r="AF45" s="2606"/>
      <c r="AG45" s="1395"/>
      <c r="AH45" s="2655"/>
      <c r="AI45" s="2606"/>
      <c r="AJ45" s="2606"/>
      <c r="AK45" s="1395"/>
      <c r="AL45" s="2655"/>
      <c r="AM45" s="2606"/>
      <c r="AN45" s="2606"/>
      <c r="AO45" s="1395"/>
      <c r="AP45" s="2606"/>
      <c r="AQ45" s="2606"/>
      <c r="AR45" s="2606"/>
      <c r="AS45" s="1395"/>
      <c r="AT45" s="2607"/>
      <c r="AU45" s="2607"/>
      <c r="AV45" s="2607"/>
      <c r="AW45" s="1395"/>
      <c r="AX45" s="2607"/>
      <c r="AY45" s="2607"/>
      <c r="AZ45" s="2607"/>
      <c r="BA45" s="1395"/>
      <c r="BB45" s="2607"/>
      <c r="BC45" s="2607"/>
      <c r="BD45" s="2607"/>
      <c r="BE45" s="1395"/>
      <c r="BF45" s="654"/>
      <c r="BG45" s="654"/>
      <c r="BH45" s="654"/>
      <c r="BI45" s="528"/>
      <c r="BJ45" s="4293"/>
      <c r="BK45" s="528"/>
      <c r="BL45" s="528"/>
      <c r="BM45" s="528"/>
      <c r="BN45" s="1395"/>
      <c r="BO45" s="4293"/>
      <c r="BP45" s="528">
        <v>1845</v>
      </c>
      <c r="BQ45" s="528">
        <v>1754</v>
      </c>
      <c r="BR45" s="528">
        <v>1976</v>
      </c>
      <c r="BS45" s="1395">
        <v>189</v>
      </c>
      <c r="BT45" s="4293">
        <f>BS45</f>
        <v>189</v>
      </c>
      <c r="BU45" s="827">
        <v>3812</v>
      </c>
      <c r="BV45" s="528">
        <v>651</v>
      </c>
      <c r="BW45" s="528">
        <v>393</v>
      </c>
      <c r="BX45" s="528">
        <v>226</v>
      </c>
      <c r="BY45" s="4293">
        <f>BX45</f>
        <v>226</v>
      </c>
      <c r="BZ45" s="528">
        <v>604</v>
      </c>
      <c r="CA45" s="528">
        <v>369</v>
      </c>
      <c r="CB45" s="528">
        <v>151</v>
      </c>
      <c r="CC45" s="1395">
        <v>430</v>
      </c>
      <c r="CD45" s="4293">
        <f>CC45</f>
        <v>430</v>
      </c>
      <c r="CE45" s="528">
        <v>394</v>
      </c>
      <c r="CF45" s="528">
        <v>479</v>
      </c>
      <c r="CG45" s="528">
        <v>1318</v>
      </c>
      <c r="CH45" s="528">
        <v>1264</v>
      </c>
      <c r="CI45" s="4293">
        <f>CH45</f>
        <v>1264</v>
      </c>
      <c r="CJ45" s="528">
        <v>1282</v>
      </c>
      <c r="CK45" s="528">
        <v>1892</v>
      </c>
      <c r="CL45" s="528">
        <v>1747</v>
      </c>
      <c r="CM45" s="528">
        <v>1701</v>
      </c>
      <c r="CN45" s="5033">
        <f>CM45</f>
        <v>1701</v>
      </c>
      <c r="CO45" s="654">
        <v>2079</v>
      </c>
      <c r="CP45" s="654">
        <v>1797</v>
      </c>
      <c r="CQ45" s="654">
        <v>1973</v>
      </c>
      <c r="CR45" s="654">
        <v>3561</v>
      </c>
      <c r="CS45" s="5033">
        <f>CR45</f>
        <v>3561</v>
      </c>
      <c r="CT45" s="654">
        <v>4406</v>
      </c>
      <c r="CU45" s="654">
        <v>4703</v>
      </c>
      <c r="CV45" s="654">
        <v>3551</v>
      </c>
      <c r="CW45" s="654">
        <v>5257</v>
      </c>
      <c r="CX45" s="5033">
        <f t="shared" si="159"/>
        <v>5257</v>
      </c>
      <c r="CY45" s="654">
        <v>2843</v>
      </c>
      <c r="CZ45" s="654">
        <v>924</v>
      </c>
      <c r="DA45" s="654">
        <v>476</v>
      </c>
      <c r="DB45" s="654">
        <v>514</v>
      </c>
      <c r="DC45" s="5034">
        <f t="shared" si="160"/>
        <v>514</v>
      </c>
      <c r="DD45" s="654">
        <v>542</v>
      </c>
      <c r="DE45" s="654">
        <v>558</v>
      </c>
      <c r="DF45" s="654">
        <v>528</v>
      </c>
      <c r="DG45" s="654">
        <v>485</v>
      </c>
      <c r="DH45" s="5034">
        <f t="shared" si="161"/>
        <v>485</v>
      </c>
      <c r="DI45" s="654">
        <v>486</v>
      </c>
      <c r="DJ45" s="654">
        <v>717</v>
      </c>
      <c r="DK45" s="654">
        <v>706</v>
      </c>
      <c r="DL45" s="654">
        <v>0</v>
      </c>
      <c r="DM45" s="5034">
        <f t="shared" si="162"/>
        <v>0</v>
      </c>
      <c r="DN45" s="654">
        <v>0</v>
      </c>
      <c r="DO45" s="654">
        <v>0</v>
      </c>
      <c r="DP45" s="654">
        <v>0</v>
      </c>
      <c r="DQ45" s="691">
        <f t="shared" ref="DQ45:DQ49" si="172">DP45</f>
        <v>0</v>
      </c>
      <c r="DR45" s="5034">
        <f t="shared" si="145"/>
        <v>0</v>
      </c>
      <c r="DS45" s="691">
        <f t="shared" si="167"/>
        <v>0</v>
      </c>
      <c r="DT45" s="691">
        <f t="shared" si="168"/>
        <v>0</v>
      </c>
      <c r="DU45" s="691">
        <f t="shared" si="169"/>
        <v>0</v>
      </c>
      <c r="DV45" s="691">
        <f t="shared" si="170"/>
        <v>0</v>
      </c>
      <c r="DW45" s="5034">
        <f t="shared" si="145"/>
        <v>0</v>
      </c>
      <c r="DX45" s="5034">
        <f>DW45</f>
        <v>0</v>
      </c>
      <c r="DY45" s="5034">
        <f>DX45</f>
        <v>0</v>
      </c>
      <c r="DZ45" s="5034">
        <f>DY45</f>
        <v>0</v>
      </c>
      <c r="EA45" s="5034">
        <f>DZ45</f>
        <v>0</v>
      </c>
      <c r="EC45" s="755"/>
      <c r="ED45" s="755"/>
    </row>
    <row r="46" spans="1:134" s="45" customFormat="1" ht="11.25" customHeight="1">
      <c r="A46" s="1603" t="s">
        <v>850</v>
      </c>
      <c r="B46" s="36"/>
      <c r="C46" s="36"/>
      <c r="D46" s="36"/>
      <c r="E46" s="1394"/>
      <c r="F46" s="36"/>
      <c r="G46" s="36"/>
      <c r="H46" s="37"/>
      <c r="I46" s="1394"/>
      <c r="J46" s="3662"/>
      <c r="K46" s="37"/>
      <c r="L46" s="37"/>
      <c r="M46" s="1394"/>
      <c r="N46" s="3662"/>
      <c r="O46" s="37"/>
      <c r="P46" s="37"/>
      <c r="Q46" s="1394"/>
      <c r="R46" s="37"/>
      <c r="S46" s="37"/>
      <c r="T46" s="37"/>
      <c r="U46" s="1394"/>
      <c r="V46" s="3666"/>
      <c r="W46" s="43"/>
      <c r="X46" s="43"/>
      <c r="Y46" s="1394"/>
      <c r="Z46" s="3666"/>
      <c r="AA46" s="43"/>
      <c r="AB46" s="43"/>
      <c r="AC46" s="1394"/>
      <c r="AD46" s="3666"/>
      <c r="AE46" s="43"/>
      <c r="AF46" s="43"/>
      <c r="AG46" s="1394"/>
      <c r="AH46" s="3666"/>
      <c r="AI46" s="43"/>
      <c r="AJ46" s="43"/>
      <c r="AK46" s="1394"/>
      <c r="AL46" s="3666"/>
      <c r="AM46" s="43"/>
      <c r="AN46" s="42"/>
      <c r="AO46" s="1394"/>
      <c r="AP46" s="42"/>
      <c r="AQ46" s="42"/>
      <c r="AR46" s="42"/>
      <c r="AS46" s="1394"/>
      <c r="AT46" s="65"/>
      <c r="AU46" s="65"/>
      <c r="AV46" s="65"/>
      <c r="AW46" s="1394"/>
      <c r="AX46" s="65"/>
      <c r="AY46" s="65"/>
      <c r="AZ46" s="494"/>
      <c r="BA46" s="1394"/>
      <c r="BB46" s="65"/>
      <c r="BC46" s="65"/>
      <c r="BD46" s="65"/>
      <c r="BE46" s="1394"/>
      <c r="BF46" s="656"/>
      <c r="BG46" s="656"/>
      <c r="BH46" s="656"/>
      <c r="BI46" s="695"/>
      <c r="BJ46" s="4206"/>
      <c r="BK46" s="697"/>
      <c r="BL46" s="695"/>
      <c r="BM46" s="695"/>
      <c r="BN46" s="1394"/>
      <c r="BO46" s="4206"/>
      <c r="BP46" s="697"/>
      <c r="BQ46" s="695"/>
      <c r="BR46" s="695"/>
      <c r="BS46" s="1394"/>
      <c r="BT46" s="4206"/>
      <c r="BU46" s="828"/>
      <c r="BV46" s="695"/>
      <c r="BW46" s="695"/>
      <c r="BX46" s="695"/>
      <c r="BY46" s="4206"/>
      <c r="BZ46" s="695"/>
      <c r="CA46" s="695"/>
      <c r="CB46" s="695"/>
      <c r="CC46" s="1394"/>
      <c r="CD46" s="4206"/>
      <c r="CE46" s="695"/>
      <c r="CF46" s="695"/>
      <c r="CG46" s="695"/>
      <c r="CH46" s="695">
        <v>0</v>
      </c>
      <c r="CI46" s="4206">
        <f t="shared" si="156"/>
        <v>0</v>
      </c>
      <c r="CJ46" s="695">
        <v>8206</v>
      </c>
      <c r="CK46" s="695">
        <v>9088</v>
      </c>
      <c r="CL46" s="695">
        <v>9666</v>
      </c>
      <c r="CM46" s="695">
        <v>10214</v>
      </c>
      <c r="CN46" s="5035">
        <f>CM46</f>
        <v>10214</v>
      </c>
      <c r="CO46" s="656">
        <v>10476</v>
      </c>
      <c r="CP46" s="656">
        <v>10709</v>
      </c>
      <c r="CQ46" s="656">
        <v>10984</v>
      </c>
      <c r="CR46" s="656">
        <v>11146</v>
      </c>
      <c r="CS46" s="5035">
        <f t="shared" si="158"/>
        <v>11146</v>
      </c>
      <c r="CT46" s="656">
        <v>11382</v>
      </c>
      <c r="CU46" s="656">
        <v>11619</v>
      </c>
      <c r="CV46" s="656">
        <v>11471</v>
      </c>
      <c r="CW46" s="656">
        <v>11389</v>
      </c>
      <c r="CX46" s="5035">
        <f t="shared" si="159"/>
        <v>11389</v>
      </c>
      <c r="CY46" s="656">
        <v>11363</v>
      </c>
      <c r="CZ46" s="656">
        <v>11697</v>
      </c>
      <c r="DA46" s="656">
        <v>11984</v>
      </c>
      <c r="DB46" s="656">
        <v>12501</v>
      </c>
      <c r="DC46" s="4781">
        <f t="shared" si="160"/>
        <v>12501</v>
      </c>
      <c r="DD46" s="656">
        <v>12799</v>
      </c>
      <c r="DE46" s="656">
        <v>12746</v>
      </c>
      <c r="DF46" s="656">
        <v>12550</v>
      </c>
      <c r="DG46" s="656">
        <v>12460</v>
      </c>
      <c r="DH46" s="4781">
        <f t="shared" si="161"/>
        <v>12460</v>
      </c>
      <c r="DI46" s="656">
        <v>11957</v>
      </c>
      <c r="DJ46" s="656">
        <v>11708</v>
      </c>
      <c r="DK46" s="656">
        <v>11654</v>
      </c>
      <c r="DL46" s="656">
        <v>11691</v>
      </c>
      <c r="DM46" s="4781">
        <f t="shared" si="162"/>
        <v>11691</v>
      </c>
      <c r="DN46" s="656">
        <v>11678</v>
      </c>
      <c r="DO46" s="656">
        <v>11952</v>
      </c>
      <c r="DP46" s="656">
        <v>12106</v>
      </c>
      <c r="DQ46" s="226">
        <f t="shared" si="172"/>
        <v>12106</v>
      </c>
      <c r="DR46" s="4781">
        <f t="shared" si="145"/>
        <v>12106</v>
      </c>
      <c r="DS46" s="226">
        <f t="shared" si="167"/>
        <v>12106</v>
      </c>
      <c r="DT46" s="226">
        <f t="shared" si="168"/>
        <v>12106</v>
      </c>
      <c r="DU46" s="226">
        <f t="shared" si="169"/>
        <v>12106</v>
      </c>
      <c r="DV46" s="226">
        <f t="shared" si="170"/>
        <v>12106</v>
      </c>
      <c r="DW46" s="4781">
        <f t="shared" si="145"/>
        <v>12106</v>
      </c>
      <c r="DX46" s="4781">
        <f t="shared" ref="DX46:EA47" si="173">DW46</f>
        <v>12106</v>
      </c>
      <c r="DY46" s="4781">
        <f t="shared" si="173"/>
        <v>12106</v>
      </c>
      <c r="DZ46" s="4781">
        <f t="shared" si="173"/>
        <v>12106</v>
      </c>
      <c r="EA46" s="4781">
        <f t="shared" si="173"/>
        <v>12106</v>
      </c>
      <c r="EC46" s="755"/>
      <c r="ED46" s="755"/>
    </row>
    <row r="47" spans="1:134" s="45" customFormat="1" ht="11.25" customHeight="1">
      <c r="A47" s="1603" t="s">
        <v>206</v>
      </c>
      <c r="B47" s="36"/>
      <c r="C47" s="36"/>
      <c r="D47" s="36"/>
      <c r="E47" s="1394"/>
      <c r="F47" s="36"/>
      <c r="G47" s="36"/>
      <c r="H47" s="37"/>
      <c r="I47" s="1394"/>
      <c r="J47" s="39"/>
      <c r="K47" s="37"/>
      <c r="L47" s="37"/>
      <c r="M47" s="1394"/>
      <c r="N47" s="39"/>
      <c r="O47" s="37"/>
      <c r="P47" s="37"/>
      <c r="Q47" s="1394">
        <v>0</v>
      </c>
      <c r="R47" s="37"/>
      <c r="S47" s="37"/>
      <c r="T47" s="37"/>
      <c r="U47" s="1394">
        <v>1.512</v>
      </c>
      <c r="V47" s="41">
        <v>1.512</v>
      </c>
      <c r="W47" s="43">
        <v>1.512</v>
      </c>
      <c r="X47" s="43">
        <v>11.412000000000001</v>
      </c>
      <c r="Y47" s="1394">
        <v>30.501999999999999</v>
      </c>
      <c r="Z47" s="41">
        <v>33.122</v>
      </c>
      <c r="AA47" s="43">
        <v>37.502000000000002</v>
      </c>
      <c r="AB47" s="43">
        <v>48.158000000000001</v>
      </c>
      <c r="AC47" s="1394">
        <v>59.502000000000002</v>
      </c>
      <c r="AD47" s="41">
        <v>53.087000000000003</v>
      </c>
      <c r="AE47" s="43">
        <v>44.823999999999998</v>
      </c>
      <c r="AF47" s="43">
        <v>63.304000000000002</v>
      </c>
      <c r="AG47" s="1394">
        <v>68.497</v>
      </c>
      <c r="AH47" s="41">
        <v>76.866</v>
      </c>
      <c r="AI47" s="43">
        <v>82.647000000000006</v>
      </c>
      <c r="AJ47" s="43">
        <v>90.980999999999995</v>
      </c>
      <c r="AK47" s="1394">
        <v>101.904</v>
      </c>
      <c r="AL47" s="41">
        <v>142.202</v>
      </c>
      <c r="AM47" s="43">
        <v>156.29</v>
      </c>
      <c r="AN47" s="42">
        <v>274.07499999999999</v>
      </c>
      <c r="AO47" s="1394">
        <v>294.17500000000001</v>
      </c>
      <c r="AP47" s="42">
        <v>290.77600000000001</v>
      </c>
      <c r="AQ47" s="42">
        <v>298.28300000000002</v>
      </c>
      <c r="AR47" s="42">
        <v>305.15699999999998</v>
      </c>
      <c r="AS47" s="1394">
        <v>311.00099999999998</v>
      </c>
      <c r="AT47" s="65">
        <v>330</v>
      </c>
      <c r="AU47" s="65">
        <v>336</v>
      </c>
      <c r="AV47" s="65">
        <v>391</v>
      </c>
      <c r="AW47" s="1394">
        <v>379</v>
      </c>
      <c r="AX47" s="65">
        <v>423</v>
      </c>
      <c r="AY47" s="65">
        <v>461</v>
      </c>
      <c r="AZ47" s="494">
        <v>496</v>
      </c>
      <c r="BA47" s="1394">
        <v>506</v>
      </c>
      <c r="BB47" s="65">
        <v>490</v>
      </c>
      <c r="BC47" s="65">
        <v>811</v>
      </c>
      <c r="BD47" s="65">
        <v>685</v>
      </c>
      <c r="BE47" s="1394">
        <v>740</v>
      </c>
      <c r="BF47" s="656">
        <v>737</v>
      </c>
      <c r="BG47" s="656">
        <v>704</v>
      </c>
      <c r="BH47" s="656">
        <v>710</v>
      </c>
      <c r="BI47" s="695">
        <v>743</v>
      </c>
      <c r="BJ47" s="1257">
        <f>BI47</f>
        <v>743</v>
      </c>
      <c r="BK47" s="697">
        <v>534</v>
      </c>
      <c r="BL47" s="695">
        <v>810</v>
      </c>
      <c r="BM47" s="695">
        <v>991</v>
      </c>
      <c r="BN47" s="1394">
        <v>1118</v>
      </c>
      <c r="BO47" s="1257">
        <f>BN47</f>
        <v>1118</v>
      </c>
      <c r="BP47" s="697">
        <v>1735</v>
      </c>
      <c r="BQ47" s="695">
        <v>1960</v>
      </c>
      <c r="BR47" s="695">
        <v>1884</v>
      </c>
      <c r="BS47" s="1394">
        <v>1822</v>
      </c>
      <c r="BT47" s="1257">
        <f>BS47</f>
        <v>1822</v>
      </c>
      <c r="BU47" s="828">
        <v>1965</v>
      </c>
      <c r="BV47" s="695">
        <v>2151</v>
      </c>
      <c r="BW47" s="695">
        <v>2561</v>
      </c>
      <c r="BX47" s="695">
        <v>2665</v>
      </c>
      <c r="BY47" s="1257">
        <f>BX47</f>
        <v>2665</v>
      </c>
      <c r="BZ47" s="695">
        <v>2763</v>
      </c>
      <c r="CA47" s="695">
        <v>2853</v>
      </c>
      <c r="CB47" s="695">
        <v>2924</v>
      </c>
      <c r="CC47" s="1394">
        <v>3059</v>
      </c>
      <c r="CD47" s="696">
        <f>CC47</f>
        <v>3059</v>
      </c>
      <c r="CE47" s="695">
        <v>3149</v>
      </c>
      <c r="CF47" s="695">
        <v>3237</v>
      </c>
      <c r="CG47" s="695">
        <v>3214</v>
      </c>
      <c r="CH47" s="695">
        <v>3545</v>
      </c>
      <c r="CI47" s="696">
        <f>CH47</f>
        <v>3545</v>
      </c>
      <c r="CJ47" s="695">
        <v>1417</v>
      </c>
      <c r="CK47" s="695">
        <v>1499</v>
      </c>
      <c r="CL47" s="695">
        <v>1637</v>
      </c>
      <c r="CM47" s="695">
        <v>2534</v>
      </c>
      <c r="CN47" s="5029">
        <f>CM47</f>
        <v>2534</v>
      </c>
      <c r="CO47" s="656">
        <v>2427</v>
      </c>
      <c r="CP47" s="656">
        <v>1992</v>
      </c>
      <c r="CQ47" s="656">
        <v>2194</v>
      </c>
      <c r="CR47" s="656">
        <v>2269</v>
      </c>
      <c r="CS47" s="5029">
        <f>CR47</f>
        <v>2269</v>
      </c>
      <c r="CT47" s="656">
        <v>2146</v>
      </c>
      <c r="CU47" s="656">
        <v>2270</v>
      </c>
      <c r="CV47" s="656">
        <v>2250</v>
      </c>
      <c r="CW47" s="656">
        <v>2205</v>
      </c>
      <c r="CX47" s="5029">
        <f t="shared" si="159"/>
        <v>2205</v>
      </c>
      <c r="CY47" s="656">
        <v>2242</v>
      </c>
      <c r="CZ47" s="656">
        <v>2422</v>
      </c>
      <c r="DA47" s="656">
        <v>2371</v>
      </c>
      <c r="DB47" s="656">
        <v>2247</v>
      </c>
      <c r="DC47" s="4506">
        <f t="shared" si="160"/>
        <v>2247</v>
      </c>
      <c r="DD47" s="656">
        <v>2373</v>
      </c>
      <c r="DE47" s="656">
        <v>1765</v>
      </c>
      <c r="DF47" s="656">
        <v>1433</v>
      </c>
      <c r="DG47" s="656">
        <v>1616</v>
      </c>
      <c r="DH47" s="4506">
        <f t="shared" si="161"/>
        <v>1616</v>
      </c>
      <c r="DI47" s="656">
        <v>1683</v>
      </c>
      <c r="DJ47" s="656">
        <v>1753</v>
      </c>
      <c r="DK47" s="656">
        <v>1453</v>
      </c>
      <c r="DL47" s="656">
        <v>4694</v>
      </c>
      <c r="DM47" s="4506">
        <f t="shared" si="162"/>
        <v>4694</v>
      </c>
      <c r="DN47" s="656">
        <v>6116</v>
      </c>
      <c r="DO47" s="656">
        <v>6241</v>
      </c>
      <c r="DP47" s="656">
        <v>6267</v>
      </c>
      <c r="DQ47" s="226">
        <f t="shared" si="172"/>
        <v>6267</v>
      </c>
      <c r="DR47" s="4506">
        <f t="shared" si="145"/>
        <v>6267</v>
      </c>
      <c r="DS47" s="226">
        <f t="shared" si="167"/>
        <v>6267</v>
      </c>
      <c r="DT47" s="226">
        <f t="shared" si="168"/>
        <v>6267</v>
      </c>
      <c r="DU47" s="226">
        <f t="shared" si="169"/>
        <v>6267</v>
      </c>
      <c r="DV47" s="226">
        <f t="shared" si="170"/>
        <v>6267</v>
      </c>
      <c r="DW47" s="4506">
        <f t="shared" si="145"/>
        <v>6267</v>
      </c>
      <c r="DX47" s="4506">
        <f t="shared" si="173"/>
        <v>6267</v>
      </c>
      <c r="DY47" s="4506">
        <f t="shared" si="173"/>
        <v>6267</v>
      </c>
      <c r="DZ47" s="4506">
        <f t="shared" si="173"/>
        <v>6267</v>
      </c>
      <c r="EA47" s="4506">
        <f t="shared" si="173"/>
        <v>6267</v>
      </c>
      <c r="EC47" s="755"/>
      <c r="ED47" s="755"/>
    </row>
    <row r="48" spans="1:134" s="45" customFormat="1" ht="11.25" customHeight="1">
      <c r="A48" s="1603" t="s">
        <v>213</v>
      </c>
      <c r="B48" s="37"/>
      <c r="C48" s="37"/>
      <c r="D48" s="37"/>
      <c r="E48" s="1395"/>
      <c r="F48" s="37"/>
      <c r="G48" s="37"/>
      <c r="H48" s="37"/>
      <c r="I48" s="1395"/>
      <c r="J48" s="39"/>
      <c r="K48" s="37"/>
      <c r="L48" s="37"/>
      <c r="M48" s="1395"/>
      <c r="N48" s="39"/>
      <c r="O48" s="37"/>
      <c r="P48" s="37"/>
      <c r="Q48" s="1395">
        <v>0</v>
      </c>
      <c r="R48" s="37"/>
      <c r="S48" s="37"/>
      <c r="T48" s="37"/>
      <c r="U48" s="1395">
        <v>0</v>
      </c>
      <c r="V48" s="75">
        <v>0</v>
      </c>
      <c r="W48" s="73">
        <f>V48</f>
        <v>0</v>
      </c>
      <c r="X48" s="73">
        <f>W48</f>
        <v>0</v>
      </c>
      <c r="Y48" s="1395">
        <f>X48</f>
        <v>0</v>
      </c>
      <c r="Z48" s="75">
        <v>0</v>
      </c>
      <c r="AA48" s="73">
        <v>0</v>
      </c>
      <c r="AB48" s="73">
        <v>0</v>
      </c>
      <c r="AC48" s="1395">
        <v>0</v>
      </c>
      <c r="AD48" s="75">
        <v>0</v>
      </c>
      <c r="AE48" s="73">
        <v>0</v>
      </c>
      <c r="AF48" s="73">
        <v>0</v>
      </c>
      <c r="AG48" s="1395">
        <v>0</v>
      </c>
      <c r="AH48" s="75">
        <f>AG48</f>
        <v>0</v>
      </c>
      <c r="AI48" s="73">
        <v>0</v>
      </c>
      <c r="AJ48" s="73">
        <f t="shared" ref="AJ48:AO49" si="174">AI48</f>
        <v>0</v>
      </c>
      <c r="AK48" s="1395">
        <f t="shared" si="174"/>
        <v>0</v>
      </c>
      <c r="AL48" s="75">
        <f>AK48</f>
        <v>0</v>
      </c>
      <c r="AM48" s="73">
        <f t="shared" si="174"/>
        <v>0</v>
      </c>
      <c r="AN48" s="82">
        <f t="shared" si="174"/>
        <v>0</v>
      </c>
      <c r="AO48" s="1395">
        <f t="shared" si="174"/>
        <v>0</v>
      </c>
      <c r="AP48" s="75">
        <f>AO48</f>
        <v>0</v>
      </c>
      <c r="AQ48" s="73">
        <f t="shared" ref="AQ48:AS49" si="175">AP48</f>
        <v>0</v>
      </c>
      <c r="AR48" s="82">
        <f t="shared" si="175"/>
        <v>0</v>
      </c>
      <c r="AS48" s="1395">
        <f t="shared" si="175"/>
        <v>0</v>
      </c>
      <c r="AT48" s="83">
        <v>0</v>
      </c>
      <c r="AU48" s="98">
        <v>0</v>
      </c>
      <c r="AV48" s="83">
        <v>0</v>
      </c>
      <c r="AW48" s="1395">
        <v>0</v>
      </c>
      <c r="AX48" s="83">
        <v>0</v>
      </c>
      <c r="AY48" s="83">
        <v>0</v>
      </c>
      <c r="AZ48" s="83">
        <v>0</v>
      </c>
      <c r="BA48" s="1395">
        <v>0</v>
      </c>
      <c r="BB48" s="83">
        <v>0</v>
      </c>
      <c r="BC48" s="83">
        <v>0</v>
      </c>
      <c r="BD48" s="83">
        <v>0</v>
      </c>
      <c r="BE48" s="1395">
        <v>0</v>
      </c>
      <c r="BF48" s="654">
        <v>0</v>
      </c>
      <c r="BG48" s="654">
        <v>0</v>
      </c>
      <c r="BH48" s="654">
        <v>0</v>
      </c>
      <c r="BI48" s="528">
        <v>0</v>
      </c>
      <c r="BJ48" s="1256">
        <f t="shared" si="151"/>
        <v>0</v>
      </c>
      <c r="BK48" s="528">
        <v>0</v>
      </c>
      <c r="BL48" s="528">
        <v>0</v>
      </c>
      <c r="BM48" s="528">
        <v>0</v>
      </c>
      <c r="BN48" s="1395">
        <v>0</v>
      </c>
      <c r="BO48" s="1256">
        <f t="shared" si="152"/>
        <v>0</v>
      </c>
      <c r="BP48" s="528">
        <v>0</v>
      </c>
      <c r="BQ48" s="528">
        <v>0</v>
      </c>
      <c r="BR48" s="528">
        <v>0</v>
      </c>
      <c r="BS48" s="1395">
        <v>0</v>
      </c>
      <c r="BT48" s="1256">
        <f t="shared" si="153"/>
        <v>0</v>
      </c>
      <c r="BU48" s="528">
        <v>0</v>
      </c>
      <c r="BV48" s="528">
        <v>0</v>
      </c>
      <c r="BW48" s="528">
        <v>0</v>
      </c>
      <c r="BX48" s="528">
        <v>0</v>
      </c>
      <c r="BY48" s="1256">
        <f t="shared" si="154"/>
        <v>0</v>
      </c>
      <c r="BZ48" s="528">
        <v>0</v>
      </c>
      <c r="CA48" s="528">
        <v>0</v>
      </c>
      <c r="CB48" s="528">
        <v>0</v>
      </c>
      <c r="CC48" s="1395">
        <v>0</v>
      </c>
      <c r="CD48" s="694">
        <f t="shared" si="155"/>
        <v>0</v>
      </c>
      <c r="CE48" s="528">
        <v>0</v>
      </c>
      <c r="CF48" s="528">
        <v>0</v>
      </c>
      <c r="CG48" s="528">
        <v>0</v>
      </c>
      <c r="CH48" s="528">
        <v>0</v>
      </c>
      <c r="CI48" s="693">
        <f t="shared" si="156"/>
        <v>0</v>
      </c>
      <c r="CJ48" s="528">
        <v>0</v>
      </c>
      <c r="CK48" s="528">
        <v>0</v>
      </c>
      <c r="CL48" s="528">
        <v>0</v>
      </c>
      <c r="CM48" s="528">
        <v>0</v>
      </c>
      <c r="CN48" s="4358">
        <f t="shared" si="157"/>
        <v>0</v>
      </c>
      <c r="CO48" s="654">
        <v>0</v>
      </c>
      <c r="CP48" s="654">
        <v>0</v>
      </c>
      <c r="CQ48" s="654">
        <v>0</v>
      </c>
      <c r="CR48" s="654">
        <v>0</v>
      </c>
      <c r="CS48" s="4358">
        <f t="shared" si="158"/>
        <v>0</v>
      </c>
      <c r="CT48" s="654">
        <v>0</v>
      </c>
      <c r="CU48" s="654">
        <v>0</v>
      </c>
      <c r="CV48" s="654">
        <v>0</v>
      </c>
      <c r="CW48" s="654">
        <v>0</v>
      </c>
      <c r="CX48" s="4358">
        <f t="shared" si="159"/>
        <v>0</v>
      </c>
      <c r="CY48" s="654">
        <v>0</v>
      </c>
      <c r="CZ48" s="654">
        <v>0</v>
      </c>
      <c r="DA48" s="654">
        <v>0</v>
      </c>
      <c r="DB48" s="654">
        <v>0</v>
      </c>
      <c r="DC48" s="692">
        <f t="shared" si="160"/>
        <v>0</v>
      </c>
      <c r="DD48" s="654">
        <v>0</v>
      </c>
      <c r="DE48" s="654">
        <v>0</v>
      </c>
      <c r="DF48" s="654">
        <v>0</v>
      </c>
      <c r="DG48" s="654">
        <v>0</v>
      </c>
      <c r="DH48" s="692">
        <f t="shared" si="161"/>
        <v>0</v>
      </c>
      <c r="DI48" s="654">
        <v>0</v>
      </c>
      <c r="DJ48" s="654">
        <v>0</v>
      </c>
      <c r="DK48" s="654">
        <v>0</v>
      </c>
      <c r="DL48" s="654">
        <v>0</v>
      </c>
      <c r="DM48" s="692">
        <f t="shared" si="162"/>
        <v>0</v>
      </c>
      <c r="DN48" s="654">
        <v>0</v>
      </c>
      <c r="DO48" s="654">
        <v>0</v>
      </c>
      <c r="DP48" s="654">
        <v>0</v>
      </c>
      <c r="DQ48" s="5022">
        <f t="shared" si="172"/>
        <v>0</v>
      </c>
      <c r="DR48" s="692">
        <f t="shared" si="145"/>
        <v>0</v>
      </c>
      <c r="DS48" s="5022">
        <f t="shared" si="167"/>
        <v>0</v>
      </c>
      <c r="DT48" s="5022">
        <f t="shared" si="168"/>
        <v>0</v>
      </c>
      <c r="DU48" s="5022">
        <f t="shared" si="169"/>
        <v>0</v>
      </c>
      <c r="DV48" s="5022">
        <f t="shared" si="170"/>
        <v>0</v>
      </c>
      <c r="DW48" s="692">
        <f t="shared" si="145"/>
        <v>0</v>
      </c>
      <c r="DX48" s="5030">
        <f t="shared" ref="DX48:EA49" si="176">DW48</f>
        <v>0</v>
      </c>
      <c r="DY48" s="5030">
        <f t="shared" si="176"/>
        <v>0</v>
      </c>
      <c r="DZ48" s="5030">
        <f t="shared" si="176"/>
        <v>0</v>
      </c>
      <c r="EA48" s="5030">
        <f t="shared" si="176"/>
        <v>0</v>
      </c>
      <c r="EC48" s="755"/>
      <c r="ED48" s="755"/>
    </row>
    <row r="49" spans="1:134" s="45" customFormat="1" ht="11.25" customHeight="1">
      <c r="A49" s="1603" t="s">
        <v>214</v>
      </c>
      <c r="B49" s="37"/>
      <c r="C49" s="37"/>
      <c r="D49" s="37"/>
      <c r="E49" s="1392"/>
      <c r="F49" s="37"/>
      <c r="G49" s="37"/>
      <c r="H49" s="37"/>
      <c r="I49" s="1392"/>
      <c r="J49" s="39"/>
      <c r="K49" s="37"/>
      <c r="L49" s="37"/>
      <c r="M49" s="1392"/>
      <c r="N49" s="39"/>
      <c r="O49" s="37"/>
      <c r="P49" s="37"/>
      <c r="Q49" s="1392">
        <v>13.871</v>
      </c>
      <c r="R49" s="37"/>
      <c r="S49" s="37"/>
      <c r="T49" s="37"/>
      <c r="U49" s="1392">
        <v>13.871</v>
      </c>
      <c r="V49" s="41">
        <v>13.871</v>
      </c>
      <c r="W49" s="73">
        <v>0</v>
      </c>
      <c r="X49" s="73">
        <f>W49</f>
        <v>0</v>
      </c>
      <c r="Y49" s="1392">
        <f>X49</f>
        <v>0</v>
      </c>
      <c r="Z49" s="75">
        <v>0</v>
      </c>
      <c r="AA49" s="73">
        <v>0</v>
      </c>
      <c r="AB49" s="73">
        <v>0</v>
      </c>
      <c r="AC49" s="1392">
        <v>0</v>
      </c>
      <c r="AD49" s="75">
        <v>0</v>
      </c>
      <c r="AE49" s="73">
        <v>0</v>
      </c>
      <c r="AF49" s="73">
        <v>0</v>
      </c>
      <c r="AG49" s="1392">
        <v>0</v>
      </c>
      <c r="AH49" s="75">
        <f>AG49</f>
        <v>0</v>
      </c>
      <c r="AI49" s="73">
        <v>0</v>
      </c>
      <c r="AJ49" s="73">
        <f t="shared" si="174"/>
        <v>0</v>
      </c>
      <c r="AK49" s="1392">
        <f t="shared" si="174"/>
        <v>0</v>
      </c>
      <c r="AL49" s="75">
        <f>AK49</f>
        <v>0</v>
      </c>
      <c r="AM49" s="73">
        <f t="shared" si="174"/>
        <v>0</v>
      </c>
      <c r="AN49" s="82">
        <f t="shared" si="174"/>
        <v>0</v>
      </c>
      <c r="AO49" s="1392">
        <f t="shared" si="174"/>
        <v>0</v>
      </c>
      <c r="AP49" s="75">
        <f>AO49</f>
        <v>0</v>
      </c>
      <c r="AQ49" s="73">
        <f t="shared" si="175"/>
        <v>0</v>
      </c>
      <c r="AR49" s="82">
        <f t="shared" si="175"/>
        <v>0</v>
      </c>
      <c r="AS49" s="1392">
        <f t="shared" si="175"/>
        <v>0</v>
      </c>
      <c r="AT49" s="83">
        <v>0</v>
      </c>
      <c r="AU49" s="98">
        <v>0</v>
      </c>
      <c r="AV49" s="83">
        <v>0</v>
      </c>
      <c r="AW49" s="1392">
        <v>0</v>
      </c>
      <c r="AX49" s="83">
        <v>0</v>
      </c>
      <c r="AY49" s="98">
        <v>0</v>
      </c>
      <c r="AZ49" s="83">
        <v>0</v>
      </c>
      <c r="BA49" s="1392">
        <v>0</v>
      </c>
      <c r="BB49" s="83">
        <v>0</v>
      </c>
      <c r="BC49" s="98">
        <v>0</v>
      </c>
      <c r="BD49" s="98">
        <v>0</v>
      </c>
      <c r="BE49" s="1392">
        <v>0</v>
      </c>
      <c r="BF49" s="654">
        <v>0</v>
      </c>
      <c r="BG49" s="653">
        <v>0</v>
      </c>
      <c r="BH49" s="653">
        <v>0</v>
      </c>
      <c r="BI49" s="469">
        <v>0</v>
      </c>
      <c r="BJ49" s="1256">
        <f t="shared" si="151"/>
        <v>0</v>
      </c>
      <c r="BK49" s="469">
        <v>0</v>
      </c>
      <c r="BL49" s="528">
        <v>0</v>
      </c>
      <c r="BM49" s="528">
        <v>0</v>
      </c>
      <c r="BN49" s="1392">
        <v>0</v>
      </c>
      <c r="BO49" s="1256">
        <f t="shared" si="152"/>
        <v>0</v>
      </c>
      <c r="BP49" s="469">
        <v>0</v>
      </c>
      <c r="BQ49" s="528">
        <v>0</v>
      </c>
      <c r="BR49" s="528">
        <v>0</v>
      </c>
      <c r="BS49" s="1392">
        <v>0</v>
      </c>
      <c r="BT49" s="1256">
        <f t="shared" si="153"/>
        <v>0</v>
      </c>
      <c r="BU49" s="469">
        <v>0</v>
      </c>
      <c r="BV49" s="469">
        <v>0</v>
      </c>
      <c r="BW49" s="469">
        <v>0</v>
      </c>
      <c r="BX49" s="469">
        <v>0</v>
      </c>
      <c r="BY49" s="1256">
        <f t="shared" si="154"/>
        <v>0</v>
      </c>
      <c r="BZ49" s="469">
        <v>0</v>
      </c>
      <c r="CA49" s="469">
        <v>0</v>
      </c>
      <c r="CB49" s="528">
        <v>0</v>
      </c>
      <c r="CC49" s="1395">
        <v>0</v>
      </c>
      <c r="CD49" s="694">
        <f t="shared" si="155"/>
        <v>0</v>
      </c>
      <c r="CE49" s="528">
        <v>0</v>
      </c>
      <c r="CF49" s="528">
        <v>0</v>
      </c>
      <c r="CG49" s="528">
        <v>0</v>
      </c>
      <c r="CH49" s="528">
        <v>0</v>
      </c>
      <c r="CI49" s="693">
        <f t="shared" si="156"/>
        <v>0</v>
      </c>
      <c r="CJ49" s="528">
        <v>0</v>
      </c>
      <c r="CK49" s="528">
        <v>0</v>
      </c>
      <c r="CL49" s="528">
        <v>0</v>
      </c>
      <c r="CM49" s="528">
        <v>0</v>
      </c>
      <c r="CN49" s="4358">
        <f t="shared" si="157"/>
        <v>0</v>
      </c>
      <c r="CO49" s="654">
        <v>0</v>
      </c>
      <c r="CP49" s="654">
        <v>0</v>
      </c>
      <c r="CQ49" s="654">
        <v>0</v>
      </c>
      <c r="CR49" s="654">
        <v>0</v>
      </c>
      <c r="CS49" s="4358">
        <f t="shared" si="158"/>
        <v>0</v>
      </c>
      <c r="CT49" s="654">
        <v>0</v>
      </c>
      <c r="CU49" s="654">
        <v>0</v>
      </c>
      <c r="CV49" s="654">
        <v>0</v>
      </c>
      <c r="CW49" s="654">
        <v>0</v>
      </c>
      <c r="CX49" s="4358">
        <f t="shared" si="159"/>
        <v>0</v>
      </c>
      <c r="CY49" s="654">
        <v>0</v>
      </c>
      <c r="CZ49" s="654">
        <v>0</v>
      </c>
      <c r="DA49" s="654">
        <v>0</v>
      </c>
      <c r="DB49" s="654">
        <v>0</v>
      </c>
      <c r="DC49" s="692">
        <f t="shared" si="160"/>
        <v>0</v>
      </c>
      <c r="DD49" s="654">
        <v>0</v>
      </c>
      <c r="DE49" s="654">
        <v>0</v>
      </c>
      <c r="DF49" s="654">
        <v>0</v>
      </c>
      <c r="DG49" s="654">
        <v>0</v>
      </c>
      <c r="DH49" s="692">
        <f t="shared" si="161"/>
        <v>0</v>
      </c>
      <c r="DI49" s="654">
        <v>0</v>
      </c>
      <c r="DJ49" s="654">
        <v>0</v>
      </c>
      <c r="DK49" s="654">
        <v>0</v>
      </c>
      <c r="DL49" s="654">
        <v>0</v>
      </c>
      <c r="DM49" s="692">
        <f t="shared" si="162"/>
        <v>0</v>
      </c>
      <c r="DN49" s="654">
        <v>0</v>
      </c>
      <c r="DO49" s="654">
        <v>0</v>
      </c>
      <c r="DP49" s="654">
        <v>0</v>
      </c>
      <c r="DQ49" s="5022">
        <f t="shared" si="172"/>
        <v>0</v>
      </c>
      <c r="DR49" s="692">
        <f t="shared" si="145"/>
        <v>0</v>
      </c>
      <c r="DS49" s="5022">
        <f t="shared" si="167"/>
        <v>0</v>
      </c>
      <c r="DT49" s="5022">
        <f t="shared" si="168"/>
        <v>0</v>
      </c>
      <c r="DU49" s="5022">
        <f t="shared" si="169"/>
        <v>0</v>
      </c>
      <c r="DV49" s="5022">
        <f t="shared" si="170"/>
        <v>0</v>
      </c>
      <c r="DW49" s="692">
        <f t="shared" si="145"/>
        <v>0</v>
      </c>
      <c r="DX49" s="5030">
        <f t="shared" si="176"/>
        <v>0</v>
      </c>
      <c r="DY49" s="5030">
        <f t="shared" si="176"/>
        <v>0</v>
      </c>
      <c r="DZ49" s="5030">
        <f t="shared" si="176"/>
        <v>0</v>
      </c>
      <c r="EA49" s="5030">
        <f t="shared" si="176"/>
        <v>0</v>
      </c>
      <c r="EC49" s="755"/>
      <c r="ED49" s="755"/>
    </row>
    <row r="50" spans="1:134" s="61" customFormat="1" ht="11.25" customHeight="1">
      <c r="A50" s="3116" t="s">
        <v>72</v>
      </c>
      <c r="B50" s="3096"/>
      <c r="C50" s="3096"/>
      <c r="D50" s="3096"/>
      <c r="E50" s="3155"/>
      <c r="F50" s="3096"/>
      <c r="G50" s="3096"/>
      <c r="H50" s="3096"/>
      <c r="I50" s="3155"/>
      <c r="J50" s="3147"/>
      <c r="K50" s="3096"/>
      <c r="L50" s="3096"/>
      <c r="M50" s="3155"/>
      <c r="N50" s="3147">
        <f>N38+SUM(N47:N47)</f>
        <v>0</v>
      </c>
      <c r="O50" s="3096">
        <f>O38+SUM(O47:O47)</f>
        <v>0</v>
      </c>
      <c r="P50" s="3096">
        <f>P38+SUM(P47:P47)</f>
        <v>0</v>
      </c>
      <c r="Q50" s="3155">
        <f t="shared" ref="Q50:AV50" si="177">Q38+SUM(Q40:Q49)</f>
        <v>112.93899999999999</v>
      </c>
      <c r="R50" s="3096">
        <f t="shared" si="177"/>
        <v>0</v>
      </c>
      <c r="S50" s="3096">
        <f t="shared" si="177"/>
        <v>0</v>
      </c>
      <c r="T50" s="3096">
        <f t="shared" si="177"/>
        <v>0</v>
      </c>
      <c r="U50" s="3155">
        <f t="shared" si="177"/>
        <v>282.68800000000005</v>
      </c>
      <c r="V50" s="3148">
        <f t="shared" si="177"/>
        <v>351.67400000000004</v>
      </c>
      <c r="W50" s="3055">
        <f t="shared" si="177"/>
        <v>311.02300000000002</v>
      </c>
      <c r="X50" s="3055">
        <f t="shared" si="177"/>
        <v>299.49499999999995</v>
      </c>
      <c r="Y50" s="3155">
        <f t="shared" si="177"/>
        <v>384.29499999999996</v>
      </c>
      <c r="Z50" s="3148">
        <f t="shared" si="177"/>
        <v>438.33700000000005</v>
      </c>
      <c r="AA50" s="3055">
        <f t="shared" si="177"/>
        <v>543.8610000000001</v>
      </c>
      <c r="AB50" s="3055">
        <f t="shared" si="177"/>
        <v>657.93300000000011</v>
      </c>
      <c r="AC50" s="3155">
        <f t="shared" si="177"/>
        <v>852.85599999999999</v>
      </c>
      <c r="AD50" s="3148">
        <f t="shared" si="177"/>
        <v>1051.6019999999999</v>
      </c>
      <c r="AE50" s="3055">
        <f t="shared" si="177"/>
        <v>1038.998</v>
      </c>
      <c r="AF50" s="3055">
        <f t="shared" si="177"/>
        <v>1296.145</v>
      </c>
      <c r="AG50" s="3155">
        <f t="shared" si="177"/>
        <v>1433.511</v>
      </c>
      <c r="AH50" s="3148">
        <f t="shared" si="177"/>
        <v>1638.2279999999998</v>
      </c>
      <c r="AI50" s="3055">
        <f t="shared" si="177"/>
        <v>1764.2709999999997</v>
      </c>
      <c r="AJ50" s="3055">
        <f t="shared" si="177"/>
        <v>2303.8789999999999</v>
      </c>
      <c r="AK50" s="3155">
        <f t="shared" si="177"/>
        <v>2646.1270000000004</v>
      </c>
      <c r="AL50" s="3148">
        <f t="shared" si="177"/>
        <v>3267.4469999999997</v>
      </c>
      <c r="AM50" s="3055">
        <f t="shared" si="177"/>
        <v>3266.7619999999997</v>
      </c>
      <c r="AN50" s="3055">
        <f t="shared" si="177"/>
        <v>3332.1120000000001</v>
      </c>
      <c r="AO50" s="3155">
        <f t="shared" si="177"/>
        <v>3528.7130000000002</v>
      </c>
      <c r="AP50" s="3148">
        <f t="shared" si="177"/>
        <v>3664.9339999999997</v>
      </c>
      <c r="AQ50" s="3055">
        <f t="shared" si="177"/>
        <v>3563.904</v>
      </c>
      <c r="AR50" s="3055">
        <f t="shared" si="177"/>
        <v>3981.0919999999996</v>
      </c>
      <c r="AS50" s="3155">
        <f t="shared" si="177"/>
        <v>4492.5540000000001</v>
      </c>
      <c r="AT50" s="3055">
        <f t="shared" si="177"/>
        <v>4588</v>
      </c>
      <c r="AU50" s="3055">
        <f t="shared" si="177"/>
        <v>7432</v>
      </c>
      <c r="AV50" s="3055">
        <f t="shared" si="177"/>
        <v>10052</v>
      </c>
      <c r="AW50" s="3155">
        <f t="shared" ref="AW50:CB50" si="178">AW38+SUM(AW40:AW49)</f>
        <v>11610</v>
      </c>
      <c r="AX50" s="3055">
        <f t="shared" si="178"/>
        <v>11109</v>
      </c>
      <c r="AY50" s="3055">
        <f t="shared" si="178"/>
        <v>12870</v>
      </c>
      <c r="AZ50" s="3055">
        <f t="shared" si="178"/>
        <v>14258</v>
      </c>
      <c r="BA50" s="3155">
        <f t="shared" si="178"/>
        <v>14429</v>
      </c>
      <c r="BB50" s="3055">
        <f t="shared" si="178"/>
        <v>15432</v>
      </c>
      <c r="BC50" s="3055">
        <f t="shared" si="178"/>
        <v>21330</v>
      </c>
      <c r="BD50" s="3055">
        <f t="shared" si="178"/>
        <v>21702</v>
      </c>
      <c r="BE50" s="3155">
        <f t="shared" si="178"/>
        <v>22083</v>
      </c>
      <c r="BF50" s="3149">
        <f t="shared" si="178"/>
        <v>21219</v>
      </c>
      <c r="BG50" s="3149">
        <f t="shared" si="178"/>
        <v>22330</v>
      </c>
      <c r="BH50" s="3149">
        <f t="shared" si="178"/>
        <v>22079</v>
      </c>
      <c r="BI50" s="3156">
        <f t="shared" si="178"/>
        <v>23611</v>
      </c>
      <c r="BJ50" s="3157">
        <f t="shared" si="178"/>
        <v>23611</v>
      </c>
      <c r="BK50" s="3156">
        <f t="shared" si="178"/>
        <v>24815</v>
      </c>
      <c r="BL50" s="3156">
        <f t="shared" si="178"/>
        <v>25859</v>
      </c>
      <c r="BM50" s="3156">
        <f t="shared" si="178"/>
        <v>26966</v>
      </c>
      <c r="BN50" s="3155">
        <f t="shared" si="178"/>
        <v>26633</v>
      </c>
      <c r="BO50" s="3157">
        <f t="shared" si="178"/>
        <v>26633</v>
      </c>
      <c r="BP50" s="3156">
        <f t="shared" si="178"/>
        <v>24952</v>
      </c>
      <c r="BQ50" s="3156">
        <f t="shared" si="178"/>
        <v>27024</v>
      </c>
      <c r="BR50" s="3156">
        <f t="shared" si="178"/>
        <v>28040</v>
      </c>
      <c r="BS50" s="3155">
        <f t="shared" si="178"/>
        <v>27130</v>
      </c>
      <c r="BT50" s="3157">
        <f t="shared" si="178"/>
        <v>27130</v>
      </c>
      <c r="BU50" s="3156">
        <f t="shared" si="178"/>
        <v>26178</v>
      </c>
      <c r="BV50" s="3156">
        <f t="shared" si="178"/>
        <v>26413</v>
      </c>
      <c r="BW50" s="3156">
        <f t="shared" si="178"/>
        <v>25845</v>
      </c>
      <c r="BX50" s="3156">
        <f t="shared" si="178"/>
        <v>28461</v>
      </c>
      <c r="BY50" s="3157">
        <f t="shared" si="178"/>
        <v>28461</v>
      </c>
      <c r="BZ50" s="3156">
        <f t="shared" si="178"/>
        <v>27807</v>
      </c>
      <c r="CA50" s="3156">
        <f t="shared" si="178"/>
        <v>30335</v>
      </c>
      <c r="CB50" s="3156">
        <f t="shared" si="178"/>
        <v>32436</v>
      </c>
      <c r="CC50" s="3155">
        <f t="shared" ref="CC50:CX50" si="179">CC38+SUM(CC40:CC49)</f>
        <v>44793</v>
      </c>
      <c r="CD50" s="3158">
        <f t="shared" si="179"/>
        <v>44793</v>
      </c>
      <c r="CE50" s="3156">
        <f t="shared" si="179"/>
        <v>46110</v>
      </c>
      <c r="CF50" s="3156">
        <f t="shared" si="179"/>
        <v>49610</v>
      </c>
      <c r="CG50" s="3156">
        <f t="shared" si="179"/>
        <v>51698</v>
      </c>
      <c r="CH50" s="3156">
        <f t="shared" si="179"/>
        <v>55164</v>
      </c>
      <c r="CI50" s="3158">
        <f t="shared" si="179"/>
        <v>55164</v>
      </c>
      <c r="CJ50" s="3156">
        <f t="shared" si="179"/>
        <v>61877</v>
      </c>
      <c r="CK50" s="3156">
        <f t="shared" si="179"/>
        <v>64909</v>
      </c>
      <c r="CL50" s="3156">
        <f t="shared" si="179"/>
        <v>68075</v>
      </c>
      <c r="CM50" s="3156">
        <f t="shared" si="179"/>
        <v>74467</v>
      </c>
      <c r="CN50" s="4357">
        <f t="shared" si="179"/>
        <v>74467</v>
      </c>
      <c r="CO50" s="3149">
        <f t="shared" si="179"/>
        <v>69744</v>
      </c>
      <c r="CP50" s="3149">
        <f t="shared" si="179"/>
        <v>71170</v>
      </c>
      <c r="CQ50" s="3149">
        <f t="shared" si="179"/>
        <v>86323</v>
      </c>
      <c r="CR50" s="3149">
        <f t="shared" si="179"/>
        <v>97072</v>
      </c>
      <c r="CS50" s="4357">
        <f t="shared" si="179"/>
        <v>97072</v>
      </c>
      <c r="CT50" s="3149">
        <f t="shared" si="179"/>
        <v>97082</v>
      </c>
      <c r="CU50" s="3149">
        <f t="shared" si="179"/>
        <v>97822</v>
      </c>
      <c r="CV50" s="3149">
        <f t="shared" si="179"/>
        <v>102836</v>
      </c>
      <c r="CW50" s="3149">
        <f t="shared" si="179"/>
        <v>107633</v>
      </c>
      <c r="CX50" s="4357">
        <f t="shared" si="179"/>
        <v>107633</v>
      </c>
      <c r="CY50" s="3149">
        <f t="shared" ref="CY50:DH50" si="180">CY38+SUM(CY40:CY49)</f>
        <v>103092</v>
      </c>
      <c r="CZ50" s="3149">
        <f t="shared" si="180"/>
        <v>99766</v>
      </c>
      <c r="DA50" s="3149">
        <f t="shared" si="180"/>
        <v>104629</v>
      </c>
      <c r="DB50" s="3149">
        <f t="shared" si="180"/>
        <v>109120</v>
      </c>
      <c r="DC50" s="3151">
        <f t="shared" si="180"/>
        <v>109120</v>
      </c>
      <c r="DD50" s="3149">
        <f>DD38+SUM(DD40:DD49)</f>
        <v>108597</v>
      </c>
      <c r="DE50" s="3149">
        <f>DE38+SUM(DE40:DE49)</f>
        <v>115903</v>
      </c>
      <c r="DF50" s="3149">
        <f>DF38+SUM(DF40:DF49)</f>
        <v>123509</v>
      </c>
      <c r="DG50" s="3149">
        <f t="shared" ref="DG50:DI50" si="181">DG38+SUM(DG40:DG49)</f>
        <v>119013</v>
      </c>
      <c r="DH50" s="3151">
        <f t="shared" si="180"/>
        <v>119013</v>
      </c>
      <c r="DI50" s="3149">
        <f t="shared" si="181"/>
        <v>114506</v>
      </c>
      <c r="DJ50" s="3149">
        <f t="shared" ref="DJ50:DL50" si="182">DJ38+SUM(DJ40:DJ49)</f>
        <v>114017</v>
      </c>
      <c r="DK50" s="3149">
        <f t="shared" si="182"/>
        <v>116147</v>
      </c>
      <c r="DL50" s="3149">
        <f t="shared" si="182"/>
        <v>125172</v>
      </c>
      <c r="DM50" s="3151">
        <f>DM38+SUM(DM40:DM49)</f>
        <v>125172</v>
      </c>
      <c r="DN50" s="3149">
        <f t="shared" ref="DN50:DP50" si="183">DN38+SUM(DN40:DN49)</f>
        <v>130107</v>
      </c>
      <c r="DO50" s="3149">
        <f t="shared" si="183"/>
        <v>139137</v>
      </c>
      <c r="DP50" s="3149">
        <f t="shared" si="183"/>
        <v>149602</v>
      </c>
      <c r="DQ50" s="3149">
        <f t="shared" ref="DQ50" si="184">DQ38+SUM(DQ40:DQ49)</f>
        <v>157608.57823849033</v>
      </c>
      <c r="DR50" s="3151">
        <f>DR38+SUM(DR40:DR49)</f>
        <v>157608.57823849033</v>
      </c>
      <c r="DS50" s="3149">
        <f t="shared" ref="DS50:DV50" si="185">DS38+SUM(DS40:DS49)</f>
        <v>158558.16209422061</v>
      </c>
      <c r="DT50" s="3149">
        <f t="shared" si="185"/>
        <v>152987.55286083545</v>
      </c>
      <c r="DU50" s="3149">
        <f t="shared" si="185"/>
        <v>166561.87147560905</v>
      </c>
      <c r="DV50" s="3149">
        <f t="shared" si="185"/>
        <v>176645.13853695258</v>
      </c>
      <c r="DW50" s="3151">
        <f>DW38+SUM(DW40:DW49)</f>
        <v>176645.13853695258</v>
      </c>
      <c r="DX50" s="3151">
        <f>DX38+SUM(DX40:DX49)</f>
        <v>190900.03187894903</v>
      </c>
      <c r="DY50" s="3151">
        <f>DY38+SUM(DY40:DY49)</f>
        <v>208456.76559400745</v>
      </c>
      <c r="DZ50" s="3151">
        <f>DZ38+SUM(DZ40:DZ49)</f>
        <v>225950.09381837561</v>
      </c>
      <c r="EA50" s="3151">
        <f>EA38+SUM(EA40:EA49)</f>
        <v>244181.53378688137</v>
      </c>
      <c r="EC50" s="6197">
        <f>(DX50/DM50)^(1/3)-1</f>
        <v>0.1510643492300916</v>
      </c>
      <c r="ED50" s="6197">
        <f>(DZ50/DM50)^(1/5)-1</f>
        <v>0.12538485660865151</v>
      </c>
    </row>
    <row r="51" spans="1:134" s="45" customFormat="1" ht="11.25" customHeight="1">
      <c r="A51" s="1603"/>
      <c r="B51" s="37"/>
      <c r="C51" s="37"/>
      <c r="D51" s="37"/>
      <c r="E51" s="484"/>
      <c r="F51" s="37"/>
      <c r="G51" s="37"/>
      <c r="H51" s="37"/>
      <c r="I51" s="484"/>
      <c r="J51" s="39"/>
      <c r="K51" s="37"/>
      <c r="L51" s="37"/>
      <c r="M51" s="484"/>
      <c r="N51" s="39"/>
      <c r="O51" s="37"/>
      <c r="P51" s="37"/>
      <c r="Q51" s="484"/>
      <c r="R51" s="37"/>
      <c r="S51" s="37"/>
      <c r="T51" s="37"/>
      <c r="U51" s="484"/>
      <c r="V51" s="41"/>
      <c r="W51" s="43"/>
      <c r="X51" s="43"/>
      <c r="Y51" s="484"/>
      <c r="Z51" s="43"/>
      <c r="AA51" s="43"/>
      <c r="AB51" s="43"/>
      <c r="AC51" s="484"/>
      <c r="AD51" s="41"/>
      <c r="AE51" s="43"/>
      <c r="AF51" s="43"/>
      <c r="AG51" s="484"/>
      <c r="AH51" s="43"/>
      <c r="AI51" s="43"/>
      <c r="AJ51" s="43"/>
      <c r="AK51" s="484"/>
      <c r="AL51" s="43"/>
      <c r="AM51" s="43"/>
      <c r="AN51" s="43"/>
      <c r="AO51" s="484"/>
      <c r="AP51" s="43"/>
      <c r="AQ51" s="43"/>
      <c r="AR51" s="43"/>
      <c r="AS51" s="484"/>
      <c r="AT51" s="43"/>
      <c r="AU51" s="43"/>
      <c r="AV51" s="43"/>
      <c r="AW51" s="484"/>
      <c r="AX51" s="43"/>
      <c r="AY51" s="43"/>
      <c r="AZ51" s="43"/>
      <c r="BA51" s="484"/>
      <c r="BB51" s="43"/>
      <c r="BC51" s="43"/>
      <c r="BD51" s="43"/>
      <c r="BE51" s="484"/>
      <c r="BF51" s="478"/>
      <c r="BG51" s="43"/>
      <c r="BH51" s="43"/>
      <c r="BI51" s="43"/>
      <c r="BJ51" s="1009"/>
      <c r="BK51" s="43"/>
      <c r="BL51" s="43"/>
      <c r="BM51" s="43"/>
      <c r="BN51" s="484"/>
      <c r="BO51" s="1009"/>
      <c r="BP51" s="43"/>
      <c r="BQ51" s="43"/>
      <c r="BR51" s="43"/>
      <c r="BS51" s="484"/>
      <c r="BT51" s="1009"/>
      <c r="BU51" s="43"/>
      <c r="BV51" s="43"/>
      <c r="BW51" s="43"/>
      <c r="BX51" s="43"/>
      <c r="BY51" s="1009"/>
      <c r="BZ51" s="43"/>
      <c r="CA51" s="43"/>
      <c r="CB51" s="43"/>
      <c r="CC51" s="484"/>
      <c r="CD51" s="490"/>
      <c r="CE51" s="43"/>
      <c r="CF51" s="43"/>
      <c r="CG51" s="43"/>
      <c r="CH51" s="484"/>
      <c r="CI51" s="490"/>
      <c r="CJ51" s="43"/>
      <c r="CK51" s="43"/>
      <c r="CL51" s="43"/>
      <c r="CM51" s="484"/>
      <c r="CN51" s="4352"/>
      <c r="CO51" s="537"/>
      <c r="CP51" s="537"/>
      <c r="CQ51" s="537"/>
      <c r="CR51" s="851"/>
      <c r="CS51" s="4352"/>
      <c r="CT51" s="537"/>
      <c r="CU51" s="537"/>
      <c r="CV51" s="537"/>
      <c r="CW51" s="851"/>
      <c r="CX51" s="4352"/>
      <c r="CY51" s="537"/>
      <c r="CZ51" s="537"/>
      <c r="DA51" s="537"/>
      <c r="DB51" s="851"/>
      <c r="DC51" s="687"/>
      <c r="DD51" s="537"/>
      <c r="DE51" s="537"/>
      <c r="DF51" s="537"/>
      <c r="DG51" s="851"/>
      <c r="DH51" s="687"/>
      <c r="DI51" s="537"/>
      <c r="DJ51" s="537"/>
      <c r="DK51" s="537"/>
      <c r="DL51" s="851"/>
      <c r="DM51" s="687"/>
      <c r="DN51" s="537"/>
      <c r="DO51" s="537"/>
      <c r="DP51" s="537"/>
      <c r="DQ51" s="537"/>
      <c r="DR51" s="687"/>
      <c r="DS51" s="537"/>
      <c r="DT51" s="537"/>
      <c r="DU51" s="537"/>
      <c r="DV51" s="537"/>
      <c r="DW51" s="687"/>
      <c r="DX51" s="687"/>
      <c r="DY51" s="687"/>
      <c r="DZ51" s="687"/>
      <c r="EA51" s="687"/>
      <c r="EC51" s="755"/>
      <c r="ED51" s="755"/>
    </row>
    <row r="52" spans="1:134" s="45" customFormat="1" ht="11.25" customHeight="1">
      <c r="A52" s="3159" t="s">
        <v>137</v>
      </c>
      <c r="B52" s="3118"/>
      <c r="C52" s="3118"/>
      <c r="D52" s="3118"/>
      <c r="E52" s="3152"/>
      <c r="F52" s="3118"/>
      <c r="G52" s="3118"/>
      <c r="H52" s="3118"/>
      <c r="I52" s="3152"/>
      <c r="J52" s="3119"/>
      <c r="K52" s="3118"/>
      <c r="L52" s="3118"/>
      <c r="M52" s="3152"/>
      <c r="N52" s="3119"/>
      <c r="O52" s="3118"/>
      <c r="P52" s="3118"/>
      <c r="Q52" s="3152"/>
      <c r="R52" s="3118"/>
      <c r="S52" s="3118"/>
      <c r="T52" s="3118"/>
      <c r="U52" s="3152"/>
      <c r="V52" s="3121"/>
      <c r="W52" s="3123"/>
      <c r="X52" s="3123"/>
      <c r="Y52" s="3152"/>
      <c r="Z52" s="3123"/>
      <c r="AA52" s="3123"/>
      <c r="AB52" s="3123"/>
      <c r="AC52" s="3152"/>
      <c r="AD52" s="3121"/>
      <c r="AE52" s="3123"/>
      <c r="AF52" s="3123"/>
      <c r="AG52" s="3152"/>
      <c r="AH52" s="3123"/>
      <c r="AI52" s="3123"/>
      <c r="AJ52" s="3123"/>
      <c r="AK52" s="3152"/>
      <c r="AL52" s="3123"/>
      <c r="AM52" s="3123"/>
      <c r="AN52" s="3123"/>
      <c r="AO52" s="3152"/>
      <c r="AP52" s="3123"/>
      <c r="AQ52" s="3123"/>
      <c r="AR52" s="3123"/>
      <c r="AS52" s="3152"/>
      <c r="AT52" s="3123"/>
      <c r="AU52" s="3123"/>
      <c r="AV52" s="3123"/>
      <c r="AW52" s="3152"/>
      <c r="AX52" s="3123"/>
      <c r="AY52" s="3123"/>
      <c r="AZ52" s="3123"/>
      <c r="BA52" s="3152"/>
      <c r="BB52" s="3123"/>
      <c r="BC52" s="3123"/>
      <c r="BD52" s="3123"/>
      <c r="BE52" s="3152"/>
      <c r="BF52" s="3160"/>
      <c r="BG52" s="3123"/>
      <c r="BH52" s="3123"/>
      <c r="BI52" s="3123"/>
      <c r="BJ52" s="3154"/>
      <c r="BK52" s="3123"/>
      <c r="BL52" s="3123"/>
      <c r="BM52" s="3123"/>
      <c r="BN52" s="3152"/>
      <c r="BO52" s="3154"/>
      <c r="BP52" s="3123"/>
      <c r="BQ52" s="3123"/>
      <c r="BR52" s="3123"/>
      <c r="BS52" s="3152"/>
      <c r="BT52" s="3154"/>
      <c r="BU52" s="3123"/>
      <c r="BV52" s="3123"/>
      <c r="BW52" s="3123"/>
      <c r="BX52" s="3123"/>
      <c r="BY52" s="3154"/>
      <c r="BZ52" s="3123"/>
      <c r="CA52" s="3123"/>
      <c r="CB52" s="3123"/>
      <c r="CC52" s="3152"/>
      <c r="CD52" s="3145"/>
      <c r="CE52" s="3123"/>
      <c r="CF52" s="3123"/>
      <c r="CG52" s="3123"/>
      <c r="CH52" s="3152"/>
      <c r="CI52" s="3145"/>
      <c r="CJ52" s="3123"/>
      <c r="CK52" s="3123"/>
      <c r="CL52" s="3123"/>
      <c r="CM52" s="3152"/>
      <c r="CN52" s="5018"/>
      <c r="CO52" s="3132"/>
      <c r="CP52" s="3132"/>
      <c r="CQ52" s="3132"/>
      <c r="CR52" s="5019"/>
      <c r="CS52" s="5018"/>
      <c r="CT52" s="3132"/>
      <c r="CU52" s="3132"/>
      <c r="CV52" s="3132"/>
      <c r="CW52" s="5019"/>
      <c r="CX52" s="5018"/>
      <c r="CY52" s="3132"/>
      <c r="CZ52" s="3132"/>
      <c r="DA52" s="3132"/>
      <c r="DB52" s="5019"/>
      <c r="DC52" s="5020"/>
      <c r="DD52" s="3132"/>
      <c r="DE52" s="3132"/>
      <c r="DF52" s="3132"/>
      <c r="DG52" s="5019"/>
      <c r="DH52" s="5020"/>
      <c r="DI52" s="3132"/>
      <c r="DJ52" s="3132"/>
      <c r="DK52" s="3132"/>
      <c r="DL52" s="5019"/>
      <c r="DM52" s="5020"/>
      <c r="DN52" s="3132"/>
      <c r="DO52" s="3132"/>
      <c r="DP52" s="3132"/>
      <c r="DQ52" s="3132"/>
      <c r="DR52" s="5020"/>
      <c r="DS52" s="3132"/>
      <c r="DT52" s="3132"/>
      <c r="DU52" s="3132"/>
      <c r="DV52" s="3132"/>
      <c r="DW52" s="5020"/>
      <c r="DX52" s="5020"/>
      <c r="DY52" s="5020"/>
      <c r="DZ52" s="5020"/>
      <c r="EA52" s="5020"/>
      <c r="EC52" s="755"/>
      <c r="ED52" s="755"/>
    </row>
    <row r="53" spans="1:134" s="45" customFormat="1" ht="11.25" customHeight="1">
      <c r="A53" s="1601" t="s">
        <v>208</v>
      </c>
      <c r="B53" s="36"/>
      <c r="C53" s="36"/>
      <c r="D53" s="36"/>
      <c r="E53" s="1392"/>
      <c r="F53" s="36"/>
      <c r="G53" s="36"/>
      <c r="H53" s="37"/>
      <c r="I53" s="1392"/>
      <c r="J53" s="39"/>
      <c r="K53" s="37"/>
      <c r="L53" s="37"/>
      <c r="M53" s="1392"/>
      <c r="N53" s="39"/>
      <c r="O53" s="37"/>
      <c r="P53" s="37"/>
      <c r="Q53" s="1392">
        <v>44.345999999999997</v>
      </c>
      <c r="R53" s="37"/>
      <c r="S53" s="37"/>
      <c r="T53" s="37"/>
      <c r="U53" s="1392">
        <v>44.345999999999997</v>
      </c>
      <c r="V53" s="75">
        <v>0</v>
      </c>
      <c r="W53" s="73">
        <v>0</v>
      </c>
      <c r="X53" s="73">
        <v>0</v>
      </c>
      <c r="Y53" s="1392">
        <v>0</v>
      </c>
      <c r="Z53" s="75">
        <v>0</v>
      </c>
      <c r="AA53" s="73">
        <v>0</v>
      </c>
      <c r="AB53" s="97">
        <v>0</v>
      </c>
      <c r="AC53" s="1392">
        <v>0</v>
      </c>
      <c r="AD53" s="75">
        <v>0</v>
      </c>
      <c r="AE53" s="73">
        <v>0</v>
      </c>
      <c r="AF53" s="73">
        <v>0</v>
      </c>
      <c r="AG53" s="1392">
        <v>0</v>
      </c>
      <c r="AH53" s="73">
        <f>AG53</f>
        <v>0</v>
      </c>
      <c r="AI53" s="73">
        <v>0</v>
      </c>
      <c r="AJ53" s="73">
        <f>AI53</f>
        <v>0</v>
      </c>
      <c r="AK53" s="1392">
        <f>AJ53</f>
        <v>0</v>
      </c>
      <c r="AL53" s="73">
        <v>0</v>
      </c>
      <c r="AM53" s="73">
        <v>0</v>
      </c>
      <c r="AN53" s="73">
        <v>0</v>
      </c>
      <c r="AO53" s="1392">
        <f>AN53</f>
        <v>0</v>
      </c>
      <c r="AP53" s="73">
        <f>AO53</f>
        <v>0</v>
      </c>
      <c r="AQ53" s="73">
        <f>AP53</f>
        <v>0</v>
      </c>
      <c r="AR53" s="73">
        <f>AQ53</f>
        <v>0</v>
      </c>
      <c r="AS53" s="1392">
        <f>AR53</f>
        <v>0</v>
      </c>
      <c r="AT53" s="98">
        <v>0</v>
      </c>
      <c r="AU53" s="98">
        <v>0</v>
      </c>
      <c r="AV53" s="98">
        <v>0</v>
      </c>
      <c r="AW53" s="1392">
        <v>0</v>
      </c>
      <c r="AX53" s="98">
        <v>0</v>
      </c>
      <c r="AY53" s="98">
        <v>0</v>
      </c>
      <c r="AZ53" s="98">
        <v>0</v>
      </c>
      <c r="BA53" s="1392">
        <v>0</v>
      </c>
      <c r="BB53" s="98">
        <v>0</v>
      </c>
      <c r="BC53" s="98">
        <v>0</v>
      </c>
      <c r="BD53" s="98">
        <v>0</v>
      </c>
      <c r="BE53" s="1392">
        <v>0</v>
      </c>
      <c r="BF53" s="98">
        <v>0</v>
      </c>
      <c r="BG53" s="98">
        <v>0</v>
      </c>
      <c r="BH53" s="98">
        <v>0</v>
      </c>
      <c r="BI53" s="469">
        <v>0</v>
      </c>
      <c r="BJ53" s="1269">
        <f>+BI53</f>
        <v>0</v>
      </c>
      <c r="BK53" s="469">
        <v>0</v>
      </c>
      <c r="BL53" s="469">
        <v>0</v>
      </c>
      <c r="BM53" s="469">
        <v>0</v>
      </c>
      <c r="BN53" s="1392">
        <v>0</v>
      </c>
      <c r="BO53" s="1269">
        <f>+BN53</f>
        <v>0</v>
      </c>
      <c r="BP53" s="469">
        <v>0</v>
      </c>
      <c r="BQ53" s="469">
        <v>0</v>
      </c>
      <c r="BR53" s="469">
        <v>0</v>
      </c>
      <c r="BS53" s="1392">
        <v>0</v>
      </c>
      <c r="BT53" s="1269">
        <f>+BS53</f>
        <v>0</v>
      </c>
      <c r="BU53" s="469">
        <v>0</v>
      </c>
      <c r="BV53" s="469">
        <v>0</v>
      </c>
      <c r="BW53" s="469">
        <v>0</v>
      </c>
      <c r="BX53" s="469">
        <v>0</v>
      </c>
      <c r="BY53" s="1269">
        <f>+BX53</f>
        <v>0</v>
      </c>
      <c r="BZ53" s="469">
        <v>0</v>
      </c>
      <c r="CA53" s="469">
        <v>0</v>
      </c>
      <c r="CB53" s="469">
        <v>0</v>
      </c>
      <c r="CC53" s="1392">
        <v>0</v>
      </c>
      <c r="CD53" s="701">
        <f>+CC53</f>
        <v>0</v>
      </c>
      <c r="CE53" s="469">
        <v>0</v>
      </c>
      <c r="CF53" s="469">
        <v>0</v>
      </c>
      <c r="CG53" s="469">
        <v>0</v>
      </c>
      <c r="CH53" s="469">
        <v>0</v>
      </c>
      <c r="CI53" s="700">
        <f>+CH53</f>
        <v>0</v>
      </c>
      <c r="CJ53" s="469">
        <v>0</v>
      </c>
      <c r="CK53" s="469">
        <v>0</v>
      </c>
      <c r="CL53" s="469">
        <v>0</v>
      </c>
      <c r="CM53" s="469">
        <v>0</v>
      </c>
      <c r="CN53" s="4353">
        <f>+CM53</f>
        <v>0</v>
      </c>
      <c r="CO53" s="653">
        <v>0</v>
      </c>
      <c r="CP53" s="653">
        <v>0</v>
      </c>
      <c r="CQ53" s="653">
        <v>0</v>
      </c>
      <c r="CR53" s="654">
        <v>0</v>
      </c>
      <c r="CS53" s="4353">
        <f>+CR53</f>
        <v>0</v>
      </c>
      <c r="CT53" s="653">
        <v>0</v>
      </c>
      <c r="CU53" s="653">
        <v>0</v>
      </c>
      <c r="CV53" s="653">
        <v>0</v>
      </c>
      <c r="CW53" s="653">
        <v>0</v>
      </c>
      <c r="CX53" s="4353">
        <f>+CW53</f>
        <v>0</v>
      </c>
      <c r="CY53" s="653">
        <v>0</v>
      </c>
      <c r="CZ53" s="653">
        <v>0</v>
      </c>
      <c r="DA53" s="653">
        <v>0</v>
      </c>
      <c r="DB53" s="653">
        <v>0</v>
      </c>
      <c r="DC53" s="688">
        <f t="shared" ref="DC53:DH54" si="186">+DB53</f>
        <v>0</v>
      </c>
      <c r="DD53" s="653">
        <v>0</v>
      </c>
      <c r="DE53" s="653">
        <v>0</v>
      </c>
      <c r="DF53" s="653">
        <v>0</v>
      </c>
      <c r="DG53" s="653">
        <v>0</v>
      </c>
      <c r="DH53" s="688">
        <f t="shared" si="186"/>
        <v>0</v>
      </c>
      <c r="DI53" s="653">
        <v>0</v>
      </c>
      <c r="DJ53" s="653">
        <v>0</v>
      </c>
      <c r="DK53" s="653">
        <v>0</v>
      </c>
      <c r="DL53" s="653">
        <v>0</v>
      </c>
      <c r="DM53" s="688">
        <f t="shared" ref="DM53:DM54" si="187">+DL53</f>
        <v>0</v>
      </c>
      <c r="DN53" s="653">
        <v>0</v>
      </c>
      <c r="DO53" s="653">
        <v>0</v>
      </c>
      <c r="DP53" s="653">
        <v>0</v>
      </c>
      <c r="DQ53" s="5036">
        <f t="shared" ref="DQ53:DR54" si="188">+DP53</f>
        <v>0</v>
      </c>
      <c r="DR53" s="688">
        <f t="shared" si="188"/>
        <v>0</v>
      </c>
      <c r="DS53" s="5036">
        <f t="shared" ref="DS53:DS54" si="189">+DR53</f>
        <v>0</v>
      </c>
      <c r="DT53" s="5036">
        <f t="shared" ref="DT53:DT54" si="190">+DS53</f>
        <v>0</v>
      </c>
      <c r="DU53" s="5036">
        <f t="shared" ref="DU53:DU54" si="191">+DT53</f>
        <v>0</v>
      </c>
      <c r="DV53" s="5036">
        <f t="shared" ref="DV53:DW54" si="192">+DU53</f>
        <v>0</v>
      </c>
      <c r="DW53" s="688">
        <f t="shared" si="192"/>
        <v>0</v>
      </c>
      <c r="DX53" s="5017">
        <f t="shared" ref="DX53:EA57" si="193">DW53</f>
        <v>0</v>
      </c>
      <c r="DY53" s="5017">
        <f t="shared" si="193"/>
        <v>0</v>
      </c>
      <c r="DZ53" s="5017">
        <f t="shared" si="193"/>
        <v>0</v>
      </c>
      <c r="EA53" s="5017">
        <f t="shared" si="193"/>
        <v>0</v>
      </c>
      <c r="EC53" s="755"/>
      <c r="ED53" s="755"/>
    </row>
    <row r="54" spans="1:134" s="45" customFormat="1" ht="11.25" customHeight="1">
      <c r="A54" s="1601" t="s">
        <v>207</v>
      </c>
      <c r="B54" s="36"/>
      <c r="C54" s="36"/>
      <c r="D54" s="36"/>
      <c r="E54" s="1392"/>
      <c r="F54" s="36"/>
      <c r="G54" s="36"/>
      <c r="H54" s="37"/>
      <c r="I54" s="1392"/>
      <c r="J54" s="39"/>
      <c r="K54" s="37"/>
      <c r="L54" s="37"/>
      <c r="M54" s="1392"/>
      <c r="N54" s="39"/>
      <c r="O54" s="37"/>
      <c r="P54" s="37"/>
      <c r="Q54" s="1392">
        <v>0.14499999999999999</v>
      </c>
      <c r="R54" s="37"/>
      <c r="S54" s="37"/>
      <c r="T54" s="37"/>
      <c r="U54" s="1392">
        <v>0.161</v>
      </c>
      <c r="V54" s="50">
        <v>0.23499999999999999</v>
      </c>
      <c r="W54" s="47">
        <v>0.24399999999999999</v>
      </c>
      <c r="X54" s="47">
        <v>0.27300000000000002</v>
      </c>
      <c r="Y54" s="1392">
        <v>0.26700000000000002</v>
      </c>
      <c r="Z54" s="50">
        <v>0.27100000000000002</v>
      </c>
      <c r="AA54" s="47">
        <v>0.27300000000000002</v>
      </c>
      <c r="AB54" s="47">
        <v>0.28999999999999998</v>
      </c>
      <c r="AC54" s="1392">
        <v>0.29299999999999998</v>
      </c>
      <c r="AD54" s="50">
        <v>0.29499999999999998</v>
      </c>
      <c r="AE54" s="47">
        <v>0.30299999999999999</v>
      </c>
      <c r="AF54" s="47">
        <v>0.30399999999999999</v>
      </c>
      <c r="AG54" s="1392">
        <v>0.309</v>
      </c>
      <c r="AH54" s="47">
        <v>0.31</v>
      </c>
      <c r="AI54" s="47">
        <v>0.311</v>
      </c>
      <c r="AJ54" s="47">
        <v>0.312</v>
      </c>
      <c r="AK54" s="1392">
        <v>0.313</v>
      </c>
      <c r="AL54" s="47">
        <f>0.314</f>
        <v>0.314</v>
      </c>
      <c r="AM54" s="47">
        <v>0.314</v>
      </c>
      <c r="AN54" s="47">
        <v>0.315</v>
      </c>
      <c r="AO54" s="1392">
        <v>0.315</v>
      </c>
      <c r="AP54" s="47">
        <v>0.316</v>
      </c>
      <c r="AQ54" s="47">
        <v>0.316</v>
      </c>
      <c r="AR54" s="47">
        <v>0.317</v>
      </c>
      <c r="AS54" s="1392">
        <v>0.318</v>
      </c>
      <c r="AT54" s="48">
        <v>0</v>
      </c>
      <c r="AU54" s="48">
        <v>0</v>
      </c>
      <c r="AV54" s="48">
        <v>0</v>
      </c>
      <c r="AW54" s="1392">
        <v>0</v>
      </c>
      <c r="AX54" s="48">
        <v>0</v>
      </c>
      <c r="AY54" s="48">
        <v>0</v>
      </c>
      <c r="AZ54" s="48">
        <v>0</v>
      </c>
      <c r="BA54" s="1392">
        <v>0</v>
      </c>
      <c r="BB54" s="48">
        <v>0</v>
      </c>
      <c r="BC54" s="48">
        <v>0</v>
      </c>
      <c r="BD54" s="48">
        <v>0</v>
      </c>
      <c r="BE54" s="1392">
        <v>0</v>
      </c>
      <c r="BF54" s="48">
        <v>0</v>
      </c>
      <c r="BG54" s="48">
        <v>0</v>
      </c>
      <c r="BH54" s="48">
        <v>0</v>
      </c>
      <c r="BI54" s="469">
        <v>0</v>
      </c>
      <c r="BJ54" s="1258">
        <f>+BI54</f>
        <v>0</v>
      </c>
      <c r="BK54" s="469">
        <v>0</v>
      </c>
      <c r="BL54" s="469">
        <v>0</v>
      </c>
      <c r="BM54" s="469">
        <v>0</v>
      </c>
      <c r="BN54" s="1392">
        <v>0</v>
      </c>
      <c r="BO54" s="1258">
        <f>+BN54</f>
        <v>0</v>
      </c>
      <c r="BP54" s="469">
        <v>0</v>
      </c>
      <c r="BQ54" s="469">
        <v>0</v>
      </c>
      <c r="BR54" s="469">
        <v>0</v>
      </c>
      <c r="BS54" s="1392">
        <v>0</v>
      </c>
      <c r="BT54" s="1258">
        <f>+BS54</f>
        <v>0</v>
      </c>
      <c r="BU54" s="469">
        <v>0</v>
      </c>
      <c r="BV54" s="469">
        <v>0</v>
      </c>
      <c r="BW54" s="469">
        <v>0</v>
      </c>
      <c r="BX54" s="469">
        <v>0</v>
      </c>
      <c r="BY54" s="1258">
        <f>+BX54</f>
        <v>0</v>
      </c>
      <c r="BZ54" s="469">
        <v>0</v>
      </c>
      <c r="CA54" s="469">
        <v>0</v>
      </c>
      <c r="CB54" s="469">
        <v>0</v>
      </c>
      <c r="CC54" s="1392">
        <v>0</v>
      </c>
      <c r="CD54" s="701">
        <f>+CC54</f>
        <v>0</v>
      </c>
      <c r="CE54" s="469">
        <v>0</v>
      </c>
      <c r="CF54" s="469">
        <v>0</v>
      </c>
      <c r="CG54" s="469">
        <v>0</v>
      </c>
      <c r="CH54" s="469">
        <v>0</v>
      </c>
      <c r="CI54" s="701">
        <f>+CH54</f>
        <v>0</v>
      </c>
      <c r="CJ54" s="469">
        <v>0</v>
      </c>
      <c r="CK54" s="469">
        <v>0</v>
      </c>
      <c r="CL54" s="469">
        <v>0</v>
      </c>
      <c r="CM54" s="469">
        <v>0</v>
      </c>
      <c r="CN54" s="4353">
        <f>+CM54</f>
        <v>0</v>
      </c>
      <c r="CO54" s="653">
        <v>0</v>
      </c>
      <c r="CP54" s="653">
        <v>0</v>
      </c>
      <c r="CQ54" s="653">
        <v>0</v>
      </c>
      <c r="CR54" s="653">
        <v>0</v>
      </c>
      <c r="CS54" s="4353">
        <f>+CR54</f>
        <v>0</v>
      </c>
      <c r="CT54" s="653">
        <v>0</v>
      </c>
      <c r="CU54" s="653">
        <v>0</v>
      </c>
      <c r="CV54" s="653">
        <v>0</v>
      </c>
      <c r="CW54" s="653">
        <v>0</v>
      </c>
      <c r="CX54" s="4353">
        <f>+CW54</f>
        <v>0</v>
      </c>
      <c r="CY54" s="653">
        <v>0</v>
      </c>
      <c r="CZ54" s="653">
        <v>0</v>
      </c>
      <c r="DA54" s="653">
        <v>0</v>
      </c>
      <c r="DB54" s="653">
        <v>0</v>
      </c>
      <c r="DC54" s="688">
        <f t="shared" si="186"/>
        <v>0</v>
      </c>
      <c r="DD54" s="653">
        <v>0</v>
      </c>
      <c r="DE54" s="653">
        <v>0</v>
      </c>
      <c r="DF54" s="653">
        <v>0</v>
      </c>
      <c r="DG54" s="653">
        <v>0</v>
      </c>
      <c r="DH54" s="688">
        <f t="shared" si="186"/>
        <v>0</v>
      </c>
      <c r="DI54" s="653">
        <v>0</v>
      </c>
      <c r="DJ54" s="653">
        <v>0</v>
      </c>
      <c r="DK54" s="653">
        <v>0</v>
      </c>
      <c r="DL54" s="653">
        <v>0</v>
      </c>
      <c r="DM54" s="688">
        <f t="shared" si="187"/>
        <v>0</v>
      </c>
      <c r="DN54" s="653">
        <v>0</v>
      </c>
      <c r="DO54" s="653">
        <v>0</v>
      </c>
      <c r="DP54" s="653">
        <v>0</v>
      </c>
      <c r="DQ54" s="670">
        <f t="shared" si="188"/>
        <v>0</v>
      </c>
      <c r="DR54" s="688">
        <f t="shared" si="188"/>
        <v>0</v>
      </c>
      <c r="DS54" s="670">
        <f t="shared" si="189"/>
        <v>0</v>
      </c>
      <c r="DT54" s="670">
        <f t="shared" si="190"/>
        <v>0</v>
      </c>
      <c r="DU54" s="670">
        <f t="shared" si="191"/>
        <v>0</v>
      </c>
      <c r="DV54" s="670">
        <f t="shared" si="192"/>
        <v>0</v>
      </c>
      <c r="DW54" s="688">
        <f t="shared" si="192"/>
        <v>0</v>
      </c>
      <c r="DX54" s="688">
        <f t="shared" si="193"/>
        <v>0</v>
      </c>
      <c r="DY54" s="688">
        <f t="shared" si="193"/>
        <v>0</v>
      </c>
      <c r="DZ54" s="688">
        <f t="shared" si="193"/>
        <v>0</v>
      </c>
      <c r="EA54" s="688">
        <f t="shared" si="193"/>
        <v>0</v>
      </c>
      <c r="EC54" s="755"/>
      <c r="ED54" s="755"/>
    </row>
    <row r="55" spans="1:134" s="45" customFormat="1" ht="11.25" customHeight="1">
      <c r="A55" s="1601" t="s">
        <v>136</v>
      </c>
      <c r="B55" s="36"/>
      <c r="C55" s="36"/>
      <c r="D55" s="36"/>
      <c r="E55" s="1393"/>
      <c r="F55" s="36"/>
      <c r="G55" s="36"/>
      <c r="H55" s="37"/>
      <c r="I55" s="1393"/>
      <c r="J55" s="39"/>
      <c r="K55" s="37"/>
      <c r="L55" s="37"/>
      <c r="M55" s="1393"/>
      <c r="N55" s="39"/>
      <c r="O55" s="37"/>
      <c r="P55" s="37"/>
      <c r="Q55" s="1393">
        <v>83.41</v>
      </c>
      <c r="R55" s="37"/>
      <c r="S55" s="37"/>
      <c r="T55" s="37"/>
      <c r="U55" s="1393">
        <v>725.21900000000005</v>
      </c>
      <c r="V55" s="41">
        <v>845.98699999999997</v>
      </c>
      <c r="W55" s="43">
        <v>1036.663</v>
      </c>
      <c r="X55" s="43">
        <v>2497.299</v>
      </c>
      <c r="Y55" s="1393">
        <v>2582.3519999999999</v>
      </c>
      <c r="Z55" s="41">
        <v>2673.1309999999999</v>
      </c>
      <c r="AA55" s="43">
        <v>2875.8560000000002</v>
      </c>
      <c r="AB55" s="43">
        <v>7234.4870000000001</v>
      </c>
      <c r="AC55" s="1393">
        <v>7477.7920000000004</v>
      </c>
      <c r="AD55" s="41">
        <v>7605.1769999999997</v>
      </c>
      <c r="AE55" s="43">
        <v>10014.393</v>
      </c>
      <c r="AF55" s="43">
        <v>10289.724</v>
      </c>
      <c r="AG55" s="1393">
        <v>11882.906000000001</v>
      </c>
      <c r="AH55" s="47">
        <v>12211.59</v>
      </c>
      <c r="AI55" s="47">
        <v>12576.56</v>
      </c>
      <c r="AJ55" s="47">
        <v>12831.437</v>
      </c>
      <c r="AK55" s="1393">
        <v>13241.221</v>
      </c>
      <c r="AL55" s="47">
        <v>13561.948</v>
      </c>
      <c r="AM55" s="47">
        <v>13904.271000000001</v>
      </c>
      <c r="AN55" s="47">
        <v>14194.197</v>
      </c>
      <c r="AO55" s="1393">
        <v>14450.338</v>
      </c>
      <c r="AP55" s="47">
        <v>14694.501</v>
      </c>
      <c r="AQ55" s="47">
        <v>15044.102999999999</v>
      </c>
      <c r="AR55" s="47">
        <v>15380.673000000001</v>
      </c>
      <c r="AS55" s="1393">
        <v>15816.737999999999</v>
      </c>
      <c r="AT55" s="48">
        <v>16171</v>
      </c>
      <c r="AU55" s="44">
        <v>17109</v>
      </c>
      <c r="AV55" s="48">
        <v>17435</v>
      </c>
      <c r="AW55" s="1393">
        <v>18235</v>
      </c>
      <c r="AX55" s="48">
        <v>18804</v>
      </c>
      <c r="AY55" s="44">
        <v>19216</v>
      </c>
      <c r="AZ55" s="48">
        <v>19697</v>
      </c>
      <c r="BA55" s="1393">
        <v>20264</v>
      </c>
      <c r="BB55" s="48">
        <v>20795</v>
      </c>
      <c r="BC55" s="44">
        <v>21357</v>
      </c>
      <c r="BD55" s="44">
        <v>22204</v>
      </c>
      <c r="BE55" s="1393">
        <v>22835</v>
      </c>
      <c r="BF55" s="48">
        <v>23429</v>
      </c>
      <c r="BG55" s="44">
        <v>24334</v>
      </c>
      <c r="BH55" s="44">
        <v>25004</v>
      </c>
      <c r="BI55" s="683">
        <v>25922</v>
      </c>
      <c r="BJ55" s="1259">
        <f>BI55</f>
        <v>25922</v>
      </c>
      <c r="BK55" s="695">
        <v>26652</v>
      </c>
      <c r="BL55" s="683">
        <v>27111</v>
      </c>
      <c r="BM55" s="683">
        <v>27948</v>
      </c>
      <c r="BN55" s="1393">
        <v>28767</v>
      </c>
      <c r="BO55" s="1259">
        <f>BN55</f>
        <v>28767</v>
      </c>
      <c r="BP55" s="695">
        <v>29527</v>
      </c>
      <c r="BQ55" s="683">
        <v>30722</v>
      </c>
      <c r="BR55" s="683">
        <v>31864</v>
      </c>
      <c r="BS55" s="1393">
        <v>32982</v>
      </c>
      <c r="BT55" s="1259">
        <f>BS55</f>
        <v>32982</v>
      </c>
      <c r="BU55" s="829">
        <v>33695</v>
      </c>
      <c r="BV55" s="683">
        <v>34293</v>
      </c>
      <c r="BW55" s="683">
        <v>35337</v>
      </c>
      <c r="BX55" s="683">
        <v>36307</v>
      </c>
      <c r="BY55" s="1259">
        <f>BX55</f>
        <v>36307</v>
      </c>
      <c r="BZ55" s="683">
        <v>37698</v>
      </c>
      <c r="CA55" s="683">
        <v>38509</v>
      </c>
      <c r="CB55" s="683">
        <v>39609</v>
      </c>
      <c r="CC55" s="1393">
        <v>40247</v>
      </c>
      <c r="CD55" s="702">
        <f>CC55</f>
        <v>40247</v>
      </c>
      <c r="CE55" s="683">
        <v>41487</v>
      </c>
      <c r="CF55" s="683">
        <v>42243</v>
      </c>
      <c r="CG55" s="683">
        <v>43111</v>
      </c>
      <c r="CH55" s="683">
        <v>45049</v>
      </c>
      <c r="CI55" s="702">
        <f>CH55</f>
        <v>45049</v>
      </c>
      <c r="CJ55" s="683">
        <v>46532</v>
      </c>
      <c r="CK55" s="683">
        <v>47937</v>
      </c>
      <c r="CL55" s="683">
        <v>49040</v>
      </c>
      <c r="CM55" s="683">
        <v>50552</v>
      </c>
      <c r="CN55" s="4352">
        <f>CM55</f>
        <v>50552</v>
      </c>
      <c r="CO55" s="652">
        <v>53688</v>
      </c>
      <c r="CP55" s="652">
        <v>55937</v>
      </c>
      <c r="CQ55" s="652">
        <v>57307</v>
      </c>
      <c r="CR55" s="652">
        <v>58510</v>
      </c>
      <c r="CS55" s="4352">
        <f>CR55</f>
        <v>58510</v>
      </c>
      <c r="CT55" s="652">
        <v>59436</v>
      </c>
      <c r="CU55" s="652">
        <v>60436</v>
      </c>
      <c r="CV55" s="652">
        <v>61193</v>
      </c>
      <c r="CW55" s="652">
        <v>61774</v>
      </c>
      <c r="CX55" s="4352">
        <f>CW55</f>
        <v>61774</v>
      </c>
      <c r="CY55" s="652">
        <v>62832</v>
      </c>
      <c r="CZ55" s="652">
        <v>64402</v>
      </c>
      <c r="DA55" s="652">
        <v>66258</v>
      </c>
      <c r="DB55" s="652">
        <v>68184</v>
      </c>
      <c r="DC55" s="687">
        <f>DB55</f>
        <v>68184</v>
      </c>
      <c r="DD55" s="652">
        <v>70269</v>
      </c>
      <c r="DE55" s="652">
        <v>72248</v>
      </c>
      <c r="DF55" s="652">
        <v>74591</v>
      </c>
      <c r="DG55" s="652">
        <v>76534</v>
      </c>
      <c r="DH55" s="687">
        <f>DG55</f>
        <v>76534</v>
      </c>
      <c r="DI55" s="652">
        <v>77913</v>
      </c>
      <c r="DJ55" s="652">
        <v>79732</v>
      </c>
      <c r="DK55" s="652">
        <v>82030</v>
      </c>
      <c r="DL55" s="652">
        <v>84800</v>
      </c>
      <c r="DM55" s="687">
        <f>DL55</f>
        <v>84800</v>
      </c>
      <c r="DN55" s="652">
        <v>86725</v>
      </c>
      <c r="DO55" s="652">
        <v>89283</v>
      </c>
      <c r="DP55" s="652">
        <v>91695</v>
      </c>
      <c r="DQ55" s="537">
        <f>DP55+CF!DQ15+CF!DQ38</f>
        <v>94952.186522621312</v>
      </c>
      <c r="DR55" s="687">
        <f>DQ55</f>
        <v>94952.186522621312</v>
      </c>
      <c r="DS55" s="537">
        <f>DR55+CF!DS15+CF!DS38</f>
        <v>98134.647349924402</v>
      </c>
      <c r="DT55" s="537">
        <f>DS55+CF!DT15+CF!DT38</f>
        <v>101963.29188158504</v>
      </c>
      <c r="DU55" s="537">
        <f>DT55+CF!DU15+CF!DU38</f>
        <v>106171.50975759387</v>
      </c>
      <c r="DV55" s="537">
        <f>DU55+CF!DV15+CF!DV38</f>
        <v>110353.88310914711</v>
      </c>
      <c r="DW55" s="687">
        <f>DV55</f>
        <v>110353.88310914711</v>
      </c>
      <c r="DX55" s="687">
        <f>DW55+CF!DX15+CF!DX38</f>
        <v>128129.9707186633</v>
      </c>
      <c r="DY55" s="687">
        <f>DX55+CF!DY15+CF!DY38</f>
        <v>148357.06409153104</v>
      </c>
      <c r="DZ55" s="687">
        <f>DY55+CF!DZ15+CF!DZ38</f>
        <v>171042.64448719361</v>
      </c>
      <c r="EA55" s="687">
        <f>DZ55+CF!EA15+CF!EA38</f>
        <v>196262.57615554094</v>
      </c>
      <c r="EC55" s="755"/>
      <c r="ED55" s="755"/>
    </row>
    <row r="56" spans="1:134" s="45" customFormat="1" ht="11.25" customHeight="1">
      <c r="A56" s="1601" t="s">
        <v>209</v>
      </c>
      <c r="B56" s="67"/>
      <c r="C56" s="67"/>
      <c r="D56" s="67"/>
      <c r="E56" s="1392"/>
      <c r="F56" s="67"/>
      <c r="G56" s="67"/>
      <c r="H56" s="69"/>
      <c r="I56" s="1392"/>
      <c r="J56" s="68"/>
      <c r="K56" s="69"/>
      <c r="L56" s="37"/>
      <c r="M56" s="1392"/>
      <c r="N56" s="39"/>
      <c r="O56" s="37"/>
      <c r="P56" s="37"/>
      <c r="Q56" s="1392">
        <v>-4.3</v>
      </c>
      <c r="R56" s="37"/>
      <c r="S56" s="37"/>
      <c r="T56" s="37"/>
      <c r="U56" s="1392">
        <v>-4.3</v>
      </c>
      <c r="V56" s="41">
        <v>-4.3</v>
      </c>
      <c r="W56" s="73">
        <v>0</v>
      </c>
      <c r="X56" s="73">
        <v>0</v>
      </c>
      <c r="Y56" s="1392">
        <v>0</v>
      </c>
      <c r="Z56" s="75">
        <v>0</v>
      </c>
      <c r="AA56" s="73">
        <v>0</v>
      </c>
      <c r="AB56" s="73">
        <v>0</v>
      </c>
      <c r="AC56" s="1392">
        <v>0</v>
      </c>
      <c r="AD56" s="75">
        <v>0</v>
      </c>
      <c r="AE56" s="73">
        <v>0</v>
      </c>
      <c r="AF56" s="73">
        <v>0</v>
      </c>
      <c r="AG56" s="1392">
        <v>0</v>
      </c>
      <c r="AH56" s="73">
        <f>AG56</f>
        <v>0</v>
      </c>
      <c r="AI56" s="73">
        <v>0</v>
      </c>
      <c r="AJ56" s="73">
        <f t="shared" ref="AJ56:AL57" si="194">AI56</f>
        <v>0</v>
      </c>
      <c r="AK56" s="1392">
        <f t="shared" si="194"/>
        <v>0</v>
      </c>
      <c r="AL56" s="97">
        <f t="shared" si="194"/>
        <v>0</v>
      </c>
      <c r="AM56" s="73">
        <v>0</v>
      </c>
      <c r="AN56" s="73">
        <f>AM56</f>
        <v>0</v>
      </c>
      <c r="AO56" s="1392">
        <f>AN56</f>
        <v>0</v>
      </c>
      <c r="AP56" s="73">
        <v>0</v>
      </c>
      <c r="AQ56" s="73">
        <f t="shared" ref="AQ56:AS57" si="195">AP56</f>
        <v>0</v>
      </c>
      <c r="AR56" s="73">
        <f t="shared" si="195"/>
        <v>0</v>
      </c>
      <c r="AS56" s="1392">
        <f t="shared" si="195"/>
        <v>0</v>
      </c>
      <c r="AT56" s="98">
        <v>0</v>
      </c>
      <c r="AU56" s="98">
        <v>0</v>
      </c>
      <c r="AV56" s="98">
        <v>0</v>
      </c>
      <c r="AW56" s="1392">
        <v>0</v>
      </c>
      <c r="AX56" s="98">
        <v>0</v>
      </c>
      <c r="AY56" s="98">
        <v>0</v>
      </c>
      <c r="AZ56" s="98">
        <v>0</v>
      </c>
      <c r="BA56" s="1392">
        <v>0</v>
      </c>
      <c r="BB56" s="98">
        <v>0</v>
      </c>
      <c r="BC56" s="98">
        <v>0</v>
      </c>
      <c r="BD56" s="98">
        <v>0</v>
      </c>
      <c r="BE56" s="1392">
        <v>0</v>
      </c>
      <c r="BF56" s="98">
        <v>0</v>
      </c>
      <c r="BG56" s="98">
        <v>0</v>
      </c>
      <c r="BH56" s="98">
        <v>0</v>
      </c>
      <c r="BI56" s="469">
        <v>0</v>
      </c>
      <c r="BJ56" s="1269">
        <f>BI56</f>
        <v>0</v>
      </c>
      <c r="BK56" s="469">
        <v>0</v>
      </c>
      <c r="BL56" s="469">
        <v>0</v>
      </c>
      <c r="BM56" s="469">
        <v>0</v>
      </c>
      <c r="BN56" s="1392">
        <v>0</v>
      </c>
      <c r="BO56" s="1269">
        <f>BN56</f>
        <v>0</v>
      </c>
      <c r="BP56" s="469">
        <v>0</v>
      </c>
      <c r="BQ56" s="469">
        <v>0</v>
      </c>
      <c r="BR56" s="469">
        <v>0</v>
      </c>
      <c r="BS56" s="1392">
        <v>0</v>
      </c>
      <c r="BT56" s="1269">
        <f>BS56</f>
        <v>0</v>
      </c>
      <c r="BU56" s="825">
        <v>0</v>
      </c>
      <c r="BV56" s="469">
        <v>0</v>
      </c>
      <c r="BW56" s="469">
        <v>0</v>
      </c>
      <c r="BX56" s="469">
        <v>0</v>
      </c>
      <c r="BY56" s="1269">
        <f>BX56</f>
        <v>0</v>
      </c>
      <c r="BZ56" s="469">
        <v>0</v>
      </c>
      <c r="CA56" s="469">
        <v>0</v>
      </c>
      <c r="CB56" s="469">
        <v>0</v>
      </c>
      <c r="CC56" s="1392">
        <v>0</v>
      </c>
      <c r="CD56" s="701">
        <f>CC56</f>
        <v>0</v>
      </c>
      <c r="CE56" s="469">
        <v>0</v>
      </c>
      <c r="CF56" s="469">
        <v>0</v>
      </c>
      <c r="CG56" s="469">
        <v>0</v>
      </c>
      <c r="CH56" s="469">
        <v>0</v>
      </c>
      <c r="CI56" s="700">
        <f>CH56</f>
        <v>0</v>
      </c>
      <c r="CJ56" s="469">
        <v>0</v>
      </c>
      <c r="CK56" s="469">
        <v>0</v>
      </c>
      <c r="CL56" s="469">
        <v>0</v>
      </c>
      <c r="CM56" s="469">
        <v>0</v>
      </c>
      <c r="CN56" s="4353">
        <f>CM56</f>
        <v>0</v>
      </c>
      <c r="CO56" s="653">
        <v>0</v>
      </c>
      <c r="CP56" s="653">
        <v>0</v>
      </c>
      <c r="CQ56" s="653">
        <v>0</v>
      </c>
      <c r="CR56" s="653">
        <v>0</v>
      </c>
      <c r="CS56" s="4353">
        <f>CR56</f>
        <v>0</v>
      </c>
      <c r="CT56" s="653">
        <v>0</v>
      </c>
      <c r="CU56" s="653">
        <v>0</v>
      </c>
      <c r="CV56" s="653">
        <v>0</v>
      </c>
      <c r="CW56" s="653">
        <v>0</v>
      </c>
      <c r="CX56" s="4353">
        <f>CW56</f>
        <v>0</v>
      </c>
      <c r="CY56" s="653">
        <v>0</v>
      </c>
      <c r="CZ56" s="653">
        <v>0</v>
      </c>
      <c r="DA56" s="653">
        <v>0</v>
      </c>
      <c r="DB56" s="653">
        <v>0</v>
      </c>
      <c r="DC56" s="688">
        <f>DB56</f>
        <v>0</v>
      </c>
      <c r="DD56" s="653">
        <v>0</v>
      </c>
      <c r="DE56" s="653">
        <v>0</v>
      </c>
      <c r="DF56" s="653">
        <v>0</v>
      </c>
      <c r="DG56" s="653">
        <v>0</v>
      </c>
      <c r="DH56" s="688">
        <f>DG56</f>
        <v>0</v>
      </c>
      <c r="DI56" s="653">
        <v>0</v>
      </c>
      <c r="DJ56" s="653">
        <v>0</v>
      </c>
      <c r="DK56" s="653">
        <v>0</v>
      </c>
      <c r="DL56" s="653">
        <v>0</v>
      </c>
      <c r="DM56" s="688">
        <f>DL56</f>
        <v>0</v>
      </c>
      <c r="DN56" s="653">
        <v>0</v>
      </c>
      <c r="DO56" s="653">
        <v>0</v>
      </c>
      <c r="DP56" s="653">
        <v>0</v>
      </c>
      <c r="DQ56" s="5036">
        <f t="shared" ref="DQ56:DQ58" si="196">DP56</f>
        <v>0</v>
      </c>
      <c r="DR56" s="688">
        <f>DQ56</f>
        <v>0</v>
      </c>
      <c r="DS56" s="5036">
        <f t="shared" ref="DS56:DS58" si="197">DR56</f>
        <v>0</v>
      </c>
      <c r="DT56" s="5036">
        <f t="shared" ref="DT56:DT58" si="198">DS56</f>
        <v>0</v>
      </c>
      <c r="DU56" s="5036">
        <f t="shared" ref="DU56:DU58" si="199">DT56</f>
        <v>0</v>
      </c>
      <c r="DV56" s="5036">
        <f t="shared" ref="DV56:DV58" si="200">DU56</f>
        <v>0</v>
      </c>
      <c r="DW56" s="688">
        <f>DV56</f>
        <v>0</v>
      </c>
      <c r="DX56" s="5017">
        <f t="shared" si="193"/>
        <v>0</v>
      </c>
      <c r="DY56" s="5017">
        <f t="shared" si="193"/>
        <v>0</v>
      </c>
      <c r="DZ56" s="5017">
        <f t="shared" si="193"/>
        <v>0</v>
      </c>
      <c r="EA56" s="5017">
        <f t="shared" si="193"/>
        <v>0</v>
      </c>
      <c r="EC56" s="755"/>
      <c r="ED56" s="755"/>
    </row>
    <row r="57" spans="1:134" s="45" customFormat="1" ht="11.25" customHeight="1">
      <c r="A57" s="1601" t="s">
        <v>210</v>
      </c>
      <c r="B57" s="67"/>
      <c r="C57" s="67"/>
      <c r="D57" s="67"/>
      <c r="E57" s="1392">
        <v>0</v>
      </c>
      <c r="F57" s="67"/>
      <c r="G57" s="67"/>
      <c r="H57" s="69"/>
      <c r="I57" s="1392">
        <v>-8.4570000000000007</v>
      </c>
      <c r="J57" s="68"/>
      <c r="K57" s="69"/>
      <c r="L57" s="37"/>
      <c r="M57" s="1392">
        <v>-15.833</v>
      </c>
      <c r="N57" s="39"/>
      <c r="O57" s="37"/>
      <c r="P57" s="37"/>
      <c r="Q57" s="1392">
        <v>-35.401000000000003</v>
      </c>
      <c r="R57" s="37"/>
      <c r="S57" s="37"/>
      <c r="T57" s="37"/>
      <c r="U57" s="1392">
        <v>-369.66800000000001</v>
      </c>
      <c r="V57" s="41">
        <v>-368.57900000000001</v>
      </c>
      <c r="W57" s="43">
        <v>-352.815</v>
      </c>
      <c r="X57" s="43">
        <v>-292.69</v>
      </c>
      <c r="Y57" s="1392">
        <v>-249.47</v>
      </c>
      <c r="Z57" s="41">
        <v>-200.90600000000001</v>
      </c>
      <c r="AA57" s="43">
        <v>-214.054</v>
      </c>
      <c r="AB57" s="43">
        <v>-142.767</v>
      </c>
      <c r="AC57" s="1392">
        <v>-119.015</v>
      </c>
      <c r="AD57" s="50">
        <v>0</v>
      </c>
      <c r="AE57" s="47">
        <v>0</v>
      </c>
      <c r="AF57" s="47">
        <v>0</v>
      </c>
      <c r="AG57" s="1392">
        <v>0</v>
      </c>
      <c r="AH57" s="73">
        <f>AG57</f>
        <v>0</v>
      </c>
      <c r="AI57" s="73">
        <v>0</v>
      </c>
      <c r="AJ57" s="73">
        <f t="shared" si="194"/>
        <v>0</v>
      </c>
      <c r="AK57" s="1392">
        <f t="shared" si="194"/>
        <v>0</v>
      </c>
      <c r="AL57" s="97">
        <f t="shared" si="194"/>
        <v>0</v>
      </c>
      <c r="AM57" s="73">
        <v>0</v>
      </c>
      <c r="AN57" s="73">
        <f>AM57</f>
        <v>0</v>
      </c>
      <c r="AO57" s="1392">
        <f>AN57</f>
        <v>0</v>
      </c>
      <c r="AP57" s="73">
        <f>AO57</f>
        <v>0</v>
      </c>
      <c r="AQ57" s="73">
        <f t="shared" si="195"/>
        <v>0</v>
      </c>
      <c r="AR57" s="73">
        <f t="shared" si="195"/>
        <v>0</v>
      </c>
      <c r="AS57" s="1392">
        <f t="shared" si="195"/>
        <v>0</v>
      </c>
      <c r="AT57" s="98">
        <v>0</v>
      </c>
      <c r="AU57" s="98">
        <v>0</v>
      </c>
      <c r="AV57" s="98">
        <v>0</v>
      </c>
      <c r="AW57" s="1392">
        <v>0</v>
      </c>
      <c r="AX57" s="98">
        <v>0</v>
      </c>
      <c r="AY57" s="98">
        <v>0</v>
      </c>
      <c r="AZ57" s="98">
        <v>0</v>
      </c>
      <c r="BA57" s="1392">
        <v>0</v>
      </c>
      <c r="BB57" s="98">
        <v>0</v>
      </c>
      <c r="BC57" s="98">
        <v>0</v>
      </c>
      <c r="BD57" s="98">
        <v>0</v>
      </c>
      <c r="BE57" s="1392">
        <v>0</v>
      </c>
      <c r="BF57" s="98">
        <v>0</v>
      </c>
      <c r="BG57" s="98">
        <v>0</v>
      </c>
      <c r="BH57" s="98">
        <v>0</v>
      </c>
      <c r="BI57" s="469">
        <v>0</v>
      </c>
      <c r="BJ57" s="1269">
        <f>BI57</f>
        <v>0</v>
      </c>
      <c r="BK57" s="469">
        <v>0</v>
      </c>
      <c r="BL57" s="469">
        <v>0</v>
      </c>
      <c r="BM57" s="469">
        <v>0</v>
      </c>
      <c r="BN57" s="1392">
        <v>0</v>
      </c>
      <c r="BO57" s="1269">
        <f>BN57</f>
        <v>0</v>
      </c>
      <c r="BP57" s="469">
        <v>0</v>
      </c>
      <c r="BQ57" s="469">
        <v>0</v>
      </c>
      <c r="BR57" s="469">
        <v>0</v>
      </c>
      <c r="BS57" s="1392">
        <v>0</v>
      </c>
      <c r="BT57" s="1269">
        <f>BS57</f>
        <v>0</v>
      </c>
      <c r="BU57" s="825">
        <v>0</v>
      </c>
      <c r="BV57" s="469">
        <v>0</v>
      </c>
      <c r="BW57" s="469">
        <v>0</v>
      </c>
      <c r="BX57" s="469">
        <v>0</v>
      </c>
      <c r="BY57" s="1269">
        <f>BX57</f>
        <v>0</v>
      </c>
      <c r="BZ57" s="469">
        <v>0</v>
      </c>
      <c r="CA57" s="469">
        <v>0</v>
      </c>
      <c r="CB57" s="469">
        <v>0</v>
      </c>
      <c r="CC57" s="1392">
        <v>0</v>
      </c>
      <c r="CD57" s="701">
        <f>CC57</f>
        <v>0</v>
      </c>
      <c r="CE57" s="469">
        <v>0</v>
      </c>
      <c r="CF57" s="469">
        <v>0</v>
      </c>
      <c r="CG57" s="469">
        <v>0</v>
      </c>
      <c r="CH57" s="469">
        <v>0</v>
      </c>
      <c r="CI57" s="700">
        <f>CH57</f>
        <v>0</v>
      </c>
      <c r="CJ57" s="469">
        <v>0</v>
      </c>
      <c r="CK57" s="469">
        <v>0</v>
      </c>
      <c r="CL57" s="469">
        <v>0</v>
      </c>
      <c r="CM57" s="469">
        <v>0</v>
      </c>
      <c r="CN57" s="4353">
        <f>CM57</f>
        <v>0</v>
      </c>
      <c r="CO57" s="653">
        <v>0</v>
      </c>
      <c r="CP57" s="653">
        <v>0</v>
      </c>
      <c r="CQ57" s="653">
        <v>0</v>
      </c>
      <c r="CR57" s="653">
        <v>0</v>
      </c>
      <c r="CS57" s="4353">
        <f>CR57</f>
        <v>0</v>
      </c>
      <c r="CT57" s="653">
        <v>0</v>
      </c>
      <c r="CU57" s="653">
        <v>0</v>
      </c>
      <c r="CV57" s="653">
        <v>0</v>
      </c>
      <c r="CW57" s="653">
        <v>0</v>
      </c>
      <c r="CX57" s="4353">
        <f>CW57</f>
        <v>0</v>
      </c>
      <c r="CY57" s="653">
        <v>0</v>
      </c>
      <c r="CZ57" s="653">
        <v>0</v>
      </c>
      <c r="DA57" s="653">
        <v>0</v>
      </c>
      <c r="DB57" s="653">
        <v>0</v>
      </c>
      <c r="DC57" s="688">
        <f>DB57</f>
        <v>0</v>
      </c>
      <c r="DD57" s="653">
        <v>0</v>
      </c>
      <c r="DE57" s="653">
        <v>0</v>
      </c>
      <c r="DF57" s="653">
        <v>0</v>
      </c>
      <c r="DG57" s="653">
        <v>0</v>
      </c>
      <c r="DH57" s="688">
        <f>DG57</f>
        <v>0</v>
      </c>
      <c r="DI57" s="653">
        <v>0</v>
      </c>
      <c r="DJ57" s="653">
        <v>0</v>
      </c>
      <c r="DK57" s="653">
        <v>0</v>
      </c>
      <c r="DL57" s="653">
        <v>0</v>
      </c>
      <c r="DM57" s="688">
        <f>DL57</f>
        <v>0</v>
      </c>
      <c r="DN57" s="653">
        <v>0</v>
      </c>
      <c r="DO57" s="653">
        <v>0</v>
      </c>
      <c r="DP57" s="653">
        <v>0</v>
      </c>
      <c r="DQ57" s="5036">
        <f t="shared" si="196"/>
        <v>0</v>
      </c>
      <c r="DR57" s="688">
        <f>DQ57</f>
        <v>0</v>
      </c>
      <c r="DS57" s="5036">
        <f t="shared" si="197"/>
        <v>0</v>
      </c>
      <c r="DT57" s="5036">
        <f t="shared" si="198"/>
        <v>0</v>
      </c>
      <c r="DU57" s="5036">
        <f t="shared" si="199"/>
        <v>0</v>
      </c>
      <c r="DV57" s="5036">
        <f t="shared" si="200"/>
        <v>0</v>
      </c>
      <c r="DW57" s="688">
        <f>DV57</f>
        <v>0</v>
      </c>
      <c r="DX57" s="5017">
        <f t="shared" si="193"/>
        <v>0</v>
      </c>
      <c r="DY57" s="5017">
        <f t="shared" si="193"/>
        <v>0</v>
      </c>
      <c r="DZ57" s="5017">
        <f t="shared" si="193"/>
        <v>0</v>
      </c>
      <c r="EA57" s="5017">
        <f t="shared" si="193"/>
        <v>0</v>
      </c>
      <c r="EC57" s="755"/>
      <c r="ED57" s="755"/>
    </row>
    <row r="58" spans="1:134" s="45" customFormat="1" ht="11.25" customHeight="1">
      <c r="A58" s="1601" t="s">
        <v>211</v>
      </c>
      <c r="B58" s="36"/>
      <c r="C58" s="36"/>
      <c r="D58" s="36"/>
      <c r="E58" s="1392"/>
      <c r="F58" s="36"/>
      <c r="G58" s="36"/>
      <c r="H58" s="37"/>
      <c r="I58" s="1392"/>
      <c r="J58" s="39"/>
      <c r="K58" s="37"/>
      <c r="L58" s="37"/>
      <c r="M58" s="1392"/>
      <c r="N58" s="39"/>
      <c r="O58" s="37"/>
      <c r="P58" s="37"/>
      <c r="Q58" s="1392">
        <v>4.9000000000000002E-2</v>
      </c>
      <c r="R58" s="37"/>
      <c r="S58" s="37"/>
      <c r="T58" s="37"/>
      <c r="U58" s="1392">
        <v>1.66</v>
      </c>
      <c r="V58" s="41">
        <v>-0.88800000000000001</v>
      </c>
      <c r="W58" s="43">
        <v>-1.4810000000000001</v>
      </c>
      <c r="X58" s="43">
        <v>-2.23</v>
      </c>
      <c r="Y58" s="1392">
        <v>5.4359999999999999</v>
      </c>
      <c r="Z58" s="41">
        <v>-5.298</v>
      </c>
      <c r="AA58" s="43">
        <v>-10.696</v>
      </c>
      <c r="AB58" s="43">
        <v>17.398</v>
      </c>
      <c r="AC58" s="1392">
        <v>4.0190000000000001</v>
      </c>
      <c r="AD58" s="41">
        <v>-10.363</v>
      </c>
      <c r="AE58" s="43">
        <v>-26.923999999999999</v>
      </c>
      <c r="AF58" s="43">
        <v>4.4619999999999997</v>
      </c>
      <c r="AG58" s="1392">
        <v>23.311</v>
      </c>
      <c r="AH58" s="47">
        <v>36.942</v>
      </c>
      <c r="AI58" s="47">
        <v>29.248000000000001</v>
      </c>
      <c r="AJ58" s="47">
        <v>81.543999999999997</v>
      </c>
      <c r="AK58" s="1392">
        <v>113.373</v>
      </c>
      <c r="AL58" s="47">
        <v>133.41499999999999</v>
      </c>
      <c r="AM58" s="47">
        <v>119.181</v>
      </c>
      <c r="AN58" s="47">
        <v>101.16200000000001</v>
      </c>
      <c r="AO58" s="1392">
        <v>226.57900000000001</v>
      </c>
      <c r="AP58" s="47">
        <v>168.82</v>
      </c>
      <c r="AQ58" s="47">
        <v>81.433999999999997</v>
      </c>
      <c r="AR58" s="47">
        <v>232.785</v>
      </c>
      <c r="AS58" s="1392">
        <v>105.09</v>
      </c>
      <c r="AT58" s="48">
        <v>163</v>
      </c>
      <c r="AU58" s="48">
        <v>346</v>
      </c>
      <c r="AV58" s="48">
        <v>531</v>
      </c>
      <c r="AW58" s="1392">
        <v>138</v>
      </c>
      <c r="AX58" s="48">
        <v>381</v>
      </c>
      <c r="AY58" s="44">
        <v>603</v>
      </c>
      <c r="AZ58" s="48">
        <v>232</v>
      </c>
      <c r="BA58" s="1392">
        <v>276</v>
      </c>
      <c r="BB58" s="48">
        <v>422</v>
      </c>
      <c r="BC58" s="44">
        <v>84</v>
      </c>
      <c r="BD58" s="44">
        <v>368</v>
      </c>
      <c r="BE58" s="1392">
        <v>538</v>
      </c>
      <c r="BF58" s="48">
        <v>356</v>
      </c>
      <c r="BG58" s="44">
        <v>-398</v>
      </c>
      <c r="BH58" s="44">
        <v>99</v>
      </c>
      <c r="BI58" s="469">
        <v>125</v>
      </c>
      <c r="BJ58" s="1259">
        <f>BI58</f>
        <v>125</v>
      </c>
      <c r="BK58" s="683">
        <v>345</v>
      </c>
      <c r="BL58" s="683">
        <v>502</v>
      </c>
      <c r="BM58" s="683">
        <v>-82</v>
      </c>
      <c r="BN58" s="1392">
        <v>27</v>
      </c>
      <c r="BO58" s="1259">
        <f>BN58</f>
        <v>27</v>
      </c>
      <c r="BP58" s="683">
        <v>-371</v>
      </c>
      <c r="BQ58" s="683">
        <v>-929</v>
      </c>
      <c r="BR58" s="683">
        <v>-1592</v>
      </c>
      <c r="BS58" s="1392">
        <v>-1874</v>
      </c>
      <c r="BT58" s="1259">
        <f>BS58</f>
        <v>-1874</v>
      </c>
      <c r="BU58" s="829">
        <v>-1294</v>
      </c>
      <c r="BV58" s="683">
        <v>-1151</v>
      </c>
      <c r="BW58" s="683">
        <v>-1032</v>
      </c>
      <c r="BX58" s="683">
        <v>-2402</v>
      </c>
      <c r="BY58" s="1259">
        <f>BX58</f>
        <v>-2402</v>
      </c>
      <c r="BZ58" s="683">
        <v>-2169</v>
      </c>
      <c r="CA58" s="683">
        <v>-1728</v>
      </c>
      <c r="CB58" s="683">
        <v>-746</v>
      </c>
      <c r="CC58" s="1393">
        <v>-992</v>
      </c>
      <c r="CD58" s="702">
        <f>CC58</f>
        <v>-992</v>
      </c>
      <c r="CE58" s="683">
        <v>-670</v>
      </c>
      <c r="CF58" s="683">
        <v>-1525</v>
      </c>
      <c r="CG58" s="683">
        <v>-1676</v>
      </c>
      <c r="CH58" s="683">
        <v>-2306</v>
      </c>
      <c r="CI58" s="702">
        <f>CH58</f>
        <v>-2306</v>
      </c>
      <c r="CJ58" s="683">
        <v>-1780</v>
      </c>
      <c r="CK58" s="683">
        <v>-1091</v>
      </c>
      <c r="CL58" s="683">
        <v>-1196</v>
      </c>
      <c r="CM58" s="683">
        <v>-1232</v>
      </c>
      <c r="CN58" s="4352">
        <f>CM58</f>
        <v>-1232</v>
      </c>
      <c r="CO58" s="652">
        <v>-1097</v>
      </c>
      <c r="CP58" s="652">
        <v>-296</v>
      </c>
      <c r="CQ58" s="652">
        <v>46</v>
      </c>
      <c r="CR58" s="652">
        <v>633</v>
      </c>
      <c r="CS58" s="4352">
        <f>CR58</f>
        <v>633</v>
      </c>
      <c r="CT58" s="652">
        <v>-3</v>
      </c>
      <c r="CU58" s="652">
        <v>190</v>
      </c>
      <c r="CV58" s="652">
        <v>-408</v>
      </c>
      <c r="CW58" s="652">
        <v>-1623</v>
      </c>
      <c r="CX58" s="4352">
        <f>CW58</f>
        <v>-1623</v>
      </c>
      <c r="CY58" s="652">
        <v>-4049</v>
      </c>
      <c r="CZ58" s="652">
        <v>-5828</v>
      </c>
      <c r="DA58" s="652">
        <v>-8852</v>
      </c>
      <c r="DB58" s="652">
        <v>-7603</v>
      </c>
      <c r="DC58" s="687">
        <f>DB58</f>
        <v>-7603</v>
      </c>
      <c r="DD58" s="652">
        <v>-6000</v>
      </c>
      <c r="DE58" s="652">
        <v>-5991</v>
      </c>
      <c r="DF58" s="652">
        <v>-7036</v>
      </c>
      <c r="DG58" s="652">
        <v>-4402</v>
      </c>
      <c r="DH58" s="687">
        <f>DG58</f>
        <v>-4402</v>
      </c>
      <c r="DI58" s="652">
        <v>-4839</v>
      </c>
      <c r="DJ58" s="652">
        <v>-5012</v>
      </c>
      <c r="DK58" s="652">
        <v>-3228</v>
      </c>
      <c r="DL58" s="652">
        <v>-4800</v>
      </c>
      <c r="DM58" s="687">
        <f>DL58</f>
        <v>-4800</v>
      </c>
      <c r="DN58" s="652">
        <v>-4086</v>
      </c>
      <c r="DO58" s="652">
        <v>-2127</v>
      </c>
      <c r="DP58" s="652">
        <v>-2054</v>
      </c>
      <c r="DQ58" s="537">
        <f t="shared" si="196"/>
        <v>-2054</v>
      </c>
      <c r="DR58" s="687">
        <f>DQ58</f>
        <v>-2054</v>
      </c>
      <c r="DS58" s="537">
        <f t="shared" si="197"/>
        <v>-2054</v>
      </c>
      <c r="DT58" s="537">
        <f t="shared" si="198"/>
        <v>-2054</v>
      </c>
      <c r="DU58" s="537">
        <f t="shared" si="199"/>
        <v>-2054</v>
      </c>
      <c r="DV58" s="537">
        <f t="shared" si="200"/>
        <v>-2054</v>
      </c>
      <c r="DW58" s="687">
        <f>DV58</f>
        <v>-2054</v>
      </c>
      <c r="DX58" s="687">
        <f>+DW58</f>
        <v>-2054</v>
      </c>
      <c r="DY58" s="687">
        <f>+DX58</f>
        <v>-2054</v>
      </c>
      <c r="DZ58" s="687">
        <f>+DY58</f>
        <v>-2054</v>
      </c>
      <c r="EA58" s="687">
        <f>+DZ58</f>
        <v>-2054</v>
      </c>
      <c r="EC58" s="755"/>
      <c r="ED58" s="755"/>
    </row>
    <row r="59" spans="1:134" s="45" customFormat="1" ht="11.25" customHeight="1">
      <c r="A59" s="1601" t="s">
        <v>212</v>
      </c>
      <c r="B59" s="36"/>
      <c r="C59" s="36"/>
      <c r="D59" s="36"/>
      <c r="E59" s="1394"/>
      <c r="F59" s="36"/>
      <c r="G59" s="36"/>
      <c r="H59" s="37"/>
      <c r="I59" s="1394"/>
      <c r="J59" s="68"/>
      <c r="K59" s="37"/>
      <c r="L59" s="37"/>
      <c r="M59" s="1394"/>
      <c r="N59" s="39"/>
      <c r="O59" s="37"/>
      <c r="P59" s="37"/>
      <c r="Q59" s="1394">
        <v>85.703999999999994</v>
      </c>
      <c r="R59" s="37"/>
      <c r="S59" s="37"/>
      <c r="T59" s="69"/>
      <c r="U59" s="1394">
        <v>191.352</v>
      </c>
      <c r="V59" s="41">
        <v>255.32499999999999</v>
      </c>
      <c r="W59" s="43">
        <v>334.38799999999998</v>
      </c>
      <c r="X59" s="43">
        <v>386.37099999999998</v>
      </c>
      <c r="Y59" s="1394">
        <v>590.471</v>
      </c>
      <c r="Z59" s="43">
        <v>959.66399999999999</v>
      </c>
      <c r="AA59" s="43">
        <v>1302.4780000000001</v>
      </c>
      <c r="AB59" s="43">
        <v>1683.66</v>
      </c>
      <c r="AC59" s="1394">
        <v>2055.8679999999999</v>
      </c>
      <c r="AD59" s="41">
        <v>2648.1590000000001</v>
      </c>
      <c r="AE59" s="43">
        <v>3369.2359999999999</v>
      </c>
      <c r="AF59" s="43">
        <v>4102.5969999999998</v>
      </c>
      <c r="AG59" s="1394">
        <v>5133.3140000000003</v>
      </c>
      <c r="AH59" s="41">
        <v>6128.3680000000004</v>
      </c>
      <c r="AI59" s="43">
        <v>7053.4889999999996</v>
      </c>
      <c r="AJ59" s="43">
        <v>8123.4780000000001</v>
      </c>
      <c r="AK59" s="1394">
        <v>9334.7720000000008</v>
      </c>
      <c r="AL59" s="41">
        <v>10641.858</v>
      </c>
      <c r="AM59" s="43">
        <v>11889.249</v>
      </c>
      <c r="AN59" s="42">
        <v>13179.188</v>
      </c>
      <c r="AO59" s="1394">
        <v>13561.63</v>
      </c>
      <c r="AP59" s="41">
        <v>14984.458000000001</v>
      </c>
      <c r="AQ59" s="43">
        <v>16469.003000000001</v>
      </c>
      <c r="AR59" s="42">
        <v>18107.977999999999</v>
      </c>
      <c r="AS59" s="1394">
        <v>20082.078000000001</v>
      </c>
      <c r="AT59" s="65">
        <v>21949</v>
      </c>
      <c r="AU59" s="65">
        <v>23158</v>
      </c>
      <c r="AV59" s="65">
        <v>25324</v>
      </c>
      <c r="AW59" s="1394">
        <v>27868</v>
      </c>
      <c r="AX59" s="65">
        <v>29666</v>
      </c>
      <c r="AY59" s="65">
        <v>32172</v>
      </c>
      <c r="AZ59" s="65">
        <v>34901</v>
      </c>
      <c r="BA59" s="1394">
        <v>37605</v>
      </c>
      <c r="BB59" s="65">
        <v>40495</v>
      </c>
      <c r="BC59" s="65">
        <v>43280</v>
      </c>
      <c r="BD59" s="65">
        <v>45456</v>
      </c>
      <c r="BE59" s="1394">
        <v>48342</v>
      </c>
      <c r="BF59" s="65">
        <v>51688</v>
      </c>
      <c r="BG59" s="65">
        <v>54916</v>
      </c>
      <c r="BH59" s="65">
        <v>57886</v>
      </c>
      <c r="BI59" s="695">
        <v>61262</v>
      </c>
      <c r="BJ59" s="1259">
        <f>BI59</f>
        <v>61262</v>
      </c>
      <c r="BK59" s="683">
        <v>64714</v>
      </c>
      <c r="BL59" s="695">
        <v>68136</v>
      </c>
      <c r="BM59" s="695">
        <v>70949</v>
      </c>
      <c r="BN59" s="1394">
        <v>75706</v>
      </c>
      <c r="BO59" s="1259">
        <f>BN59</f>
        <v>75706</v>
      </c>
      <c r="BP59" s="683">
        <v>79292</v>
      </c>
      <c r="BQ59" s="695">
        <v>81990</v>
      </c>
      <c r="BR59" s="695">
        <v>85969</v>
      </c>
      <c r="BS59" s="1394">
        <v>89223</v>
      </c>
      <c r="BT59" s="1259">
        <f>BS59</f>
        <v>89223</v>
      </c>
      <c r="BU59" s="829">
        <v>91168</v>
      </c>
      <c r="BV59" s="683">
        <v>94737</v>
      </c>
      <c r="BW59" s="683">
        <v>99798</v>
      </c>
      <c r="BX59" s="683">
        <v>105131</v>
      </c>
      <c r="BY59" s="1259">
        <f>BX59</f>
        <v>105131</v>
      </c>
      <c r="BZ59" s="683">
        <v>109420</v>
      </c>
      <c r="CA59" s="683">
        <v>111505</v>
      </c>
      <c r="CB59" s="683">
        <v>118237</v>
      </c>
      <c r="CC59" s="1393">
        <v>113247</v>
      </c>
      <c r="CD59" s="1251">
        <f>CC59</f>
        <v>113247</v>
      </c>
      <c r="CE59" s="683">
        <v>120008</v>
      </c>
      <c r="CF59" s="683">
        <v>121282</v>
      </c>
      <c r="CG59" s="683">
        <v>128405</v>
      </c>
      <c r="CH59" s="4170">
        <v>134885</v>
      </c>
      <c r="CI59" s="1251">
        <f>CH59</f>
        <v>134885</v>
      </c>
      <c r="CJ59" s="683">
        <v>138720</v>
      </c>
      <c r="CK59" s="683">
        <v>145346</v>
      </c>
      <c r="CL59" s="683">
        <v>147125</v>
      </c>
      <c r="CM59" s="1393">
        <v>152122</v>
      </c>
      <c r="CN59" s="4389">
        <f>CM59</f>
        <v>152122</v>
      </c>
      <c r="CO59" s="652">
        <v>151068</v>
      </c>
      <c r="CP59" s="652">
        <v>151681</v>
      </c>
      <c r="CQ59" s="652">
        <v>155567</v>
      </c>
      <c r="CR59" s="1385">
        <v>163401</v>
      </c>
      <c r="CS59" s="4389">
        <f>CR59</f>
        <v>163401</v>
      </c>
      <c r="CT59" s="652">
        <v>170580</v>
      </c>
      <c r="CU59" s="652">
        <v>176939</v>
      </c>
      <c r="CV59" s="652">
        <v>183782</v>
      </c>
      <c r="CW59" s="1385">
        <v>191484</v>
      </c>
      <c r="CX59" s="4389">
        <f>CW59</f>
        <v>191484</v>
      </c>
      <c r="CY59" s="652">
        <v>195221</v>
      </c>
      <c r="CZ59" s="652">
        <v>196845</v>
      </c>
      <c r="DA59" s="652">
        <v>196220</v>
      </c>
      <c r="DB59" s="1385">
        <v>195563</v>
      </c>
      <c r="DC59" s="5037">
        <f>DB59</f>
        <v>195563</v>
      </c>
      <c r="DD59" s="652">
        <v>196625</v>
      </c>
      <c r="DE59" s="652">
        <v>200884</v>
      </c>
      <c r="DF59" s="652">
        <v>205647</v>
      </c>
      <c r="DG59" s="1385">
        <v>211247</v>
      </c>
      <c r="DH59" s="5037">
        <f>DG59</f>
        <v>211247</v>
      </c>
      <c r="DI59" s="652">
        <v>219770</v>
      </c>
      <c r="DJ59" s="652">
        <v>226033</v>
      </c>
      <c r="DK59" s="652">
        <v>235317</v>
      </c>
      <c r="DL59" s="1385">
        <v>245084</v>
      </c>
      <c r="DM59" s="1254">
        <f>DL59</f>
        <v>245084</v>
      </c>
      <c r="DN59" s="652">
        <v>262628</v>
      </c>
      <c r="DO59" s="652">
        <v>275760</v>
      </c>
      <c r="DP59" s="652">
        <v>297226</v>
      </c>
      <c r="DQ59" s="537">
        <f t="shared" ref="DQ59" ca="1" si="201">(DQ198)</f>
        <v>313443.02754247771</v>
      </c>
      <c r="DR59" s="1254">
        <f ca="1">DQ59</f>
        <v>313443.02754247771</v>
      </c>
      <c r="DS59" s="537">
        <f t="shared" ref="DS59:DV59" ca="1" si="202">(DS198)</f>
        <v>328470.11971095123</v>
      </c>
      <c r="DT59" s="537">
        <f t="shared" ca="1" si="202"/>
        <v>344903.43112614291</v>
      </c>
      <c r="DU59" s="537">
        <f t="shared" ca="1" si="202"/>
        <v>362240.35580090224</v>
      </c>
      <c r="DV59" s="537">
        <f t="shared" ca="1" si="202"/>
        <v>382468.94771144039</v>
      </c>
      <c r="DW59" s="1254">
        <f ca="1">DV59</f>
        <v>382468.94771144039</v>
      </c>
      <c r="DX59" s="5037">
        <f ca="1">((DX198))</f>
        <v>457112.12601915805</v>
      </c>
      <c r="DY59" s="5037">
        <f ca="1">((DY198))</f>
        <v>549617.79336836119</v>
      </c>
      <c r="DZ59" s="5037">
        <f ca="1">((DZ198))</f>
        <v>661124.31255735666</v>
      </c>
      <c r="EA59" s="5037">
        <f ca="1">((EA198))</f>
        <v>795421.25383813831</v>
      </c>
      <c r="EC59" s="755"/>
      <c r="ED59" s="755"/>
    </row>
    <row r="60" spans="1:134" s="61" customFormat="1" ht="11.25" customHeight="1">
      <c r="A60" s="3116" t="s">
        <v>73</v>
      </c>
      <c r="B60" s="3096"/>
      <c r="C60" s="3096"/>
      <c r="D60" s="3096"/>
      <c r="E60" s="3155">
        <v>20.009</v>
      </c>
      <c r="F60" s="3096"/>
      <c r="G60" s="3096"/>
      <c r="H60" s="3096"/>
      <c r="I60" s="3155">
        <v>27.234000000000002</v>
      </c>
      <c r="J60" s="3147"/>
      <c r="K60" s="3096"/>
      <c r="L60" s="3096"/>
      <c r="M60" s="3155">
        <v>50.152000000000001</v>
      </c>
      <c r="N60" s="3147">
        <f>SUM(N54:N59)</f>
        <v>0</v>
      </c>
      <c r="O60" s="3096">
        <f>SUM(O54:O59)</f>
        <v>0</v>
      </c>
      <c r="P60" s="3096">
        <f>SUM(P54:P59)</f>
        <v>0</v>
      </c>
      <c r="Q60" s="3155">
        <f t="shared" ref="Q60:AC60" si="203">SUM(Q53:Q59)</f>
        <v>173.95299999999997</v>
      </c>
      <c r="R60" s="3096">
        <f t="shared" si="203"/>
        <v>0</v>
      </c>
      <c r="S60" s="3096">
        <f t="shared" si="203"/>
        <v>0</v>
      </c>
      <c r="T60" s="3096">
        <f t="shared" si="203"/>
        <v>0</v>
      </c>
      <c r="U60" s="3155">
        <f t="shared" si="203"/>
        <v>588.7700000000001</v>
      </c>
      <c r="V60" s="3148">
        <f t="shared" si="203"/>
        <v>727.78</v>
      </c>
      <c r="W60" s="3055">
        <f t="shared" si="203"/>
        <v>1016.9989999999998</v>
      </c>
      <c r="X60" s="3055">
        <f t="shared" si="203"/>
        <v>2589.0230000000001</v>
      </c>
      <c r="Y60" s="3155">
        <f t="shared" si="203"/>
        <v>2929.056</v>
      </c>
      <c r="Z60" s="3148">
        <f t="shared" si="203"/>
        <v>3426.8620000000001</v>
      </c>
      <c r="AA60" s="3055">
        <f t="shared" si="203"/>
        <v>3953.8570000000004</v>
      </c>
      <c r="AB60" s="3055">
        <f t="shared" si="203"/>
        <v>8793.0680000000011</v>
      </c>
      <c r="AC60" s="3155">
        <f t="shared" si="203"/>
        <v>9418.9570000000003</v>
      </c>
      <c r="AD60" s="3148">
        <f t="shared" ref="AD60:AK60" si="204">SUM(AD53:AD59)</f>
        <v>10243.268</v>
      </c>
      <c r="AE60" s="3055">
        <f t="shared" si="204"/>
        <v>13357.007999999998</v>
      </c>
      <c r="AF60" s="3055">
        <f t="shared" si="204"/>
        <v>14397.087</v>
      </c>
      <c r="AG60" s="3155">
        <f>SUM(AG53:AG59)</f>
        <v>17039.84</v>
      </c>
      <c r="AH60" s="3148">
        <f t="shared" si="204"/>
        <v>18377.21</v>
      </c>
      <c r="AI60" s="3055">
        <f t="shared" si="204"/>
        <v>19659.608</v>
      </c>
      <c r="AJ60" s="3055">
        <f t="shared" si="204"/>
        <v>21036.771000000001</v>
      </c>
      <c r="AK60" s="3155">
        <f t="shared" si="204"/>
        <v>22689.679</v>
      </c>
      <c r="AL60" s="3148">
        <f t="shared" ref="AL60:AS60" si="205">SUM(AL53:AL59)</f>
        <v>24337.535000000003</v>
      </c>
      <c r="AM60" s="3055">
        <f t="shared" si="205"/>
        <v>25913.014999999999</v>
      </c>
      <c r="AN60" s="3055">
        <f t="shared" si="205"/>
        <v>27474.862000000001</v>
      </c>
      <c r="AO60" s="3155">
        <f t="shared" si="205"/>
        <v>28238.862000000001</v>
      </c>
      <c r="AP60" s="3148">
        <f t="shared" si="205"/>
        <v>29848.095000000001</v>
      </c>
      <c r="AQ60" s="3055">
        <f t="shared" si="205"/>
        <v>31594.856</v>
      </c>
      <c r="AR60" s="3055">
        <f t="shared" si="205"/>
        <v>33721.752999999997</v>
      </c>
      <c r="AS60" s="3155">
        <f t="shared" si="205"/>
        <v>36004.224000000002</v>
      </c>
      <c r="AT60" s="3055">
        <f t="shared" ref="AT60:CK60" si="206">SUM(AT53:AT59)</f>
        <v>38283</v>
      </c>
      <c r="AU60" s="3055">
        <f t="shared" si="206"/>
        <v>40613</v>
      </c>
      <c r="AV60" s="3055">
        <f t="shared" si="206"/>
        <v>43290</v>
      </c>
      <c r="AW60" s="3155">
        <f t="shared" si="206"/>
        <v>46241</v>
      </c>
      <c r="AX60" s="3055">
        <f t="shared" si="206"/>
        <v>48851</v>
      </c>
      <c r="AY60" s="3055">
        <f t="shared" si="206"/>
        <v>51991</v>
      </c>
      <c r="AZ60" s="3055">
        <f t="shared" si="206"/>
        <v>54830</v>
      </c>
      <c r="BA60" s="3155">
        <f t="shared" si="206"/>
        <v>58145</v>
      </c>
      <c r="BB60" s="3055">
        <f t="shared" si="206"/>
        <v>61712</v>
      </c>
      <c r="BC60" s="3055">
        <f t="shared" si="206"/>
        <v>64721</v>
      </c>
      <c r="BD60" s="3055">
        <f t="shared" si="206"/>
        <v>68028</v>
      </c>
      <c r="BE60" s="3155">
        <f t="shared" si="206"/>
        <v>71715</v>
      </c>
      <c r="BF60" s="3055">
        <f t="shared" si="206"/>
        <v>75473</v>
      </c>
      <c r="BG60" s="3055">
        <f t="shared" si="206"/>
        <v>78852</v>
      </c>
      <c r="BH60" s="3055">
        <f t="shared" si="206"/>
        <v>82989</v>
      </c>
      <c r="BI60" s="3156">
        <f t="shared" si="206"/>
        <v>87309</v>
      </c>
      <c r="BJ60" s="3157">
        <f t="shared" si="206"/>
        <v>87309</v>
      </c>
      <c r="BK60" s="3156">
        <f t="shared" si="206"/>
        <v>91711</v>
      </c>
      <c r="BL60" s="3156">
        <f t="shared" si="206"/>
        <v>95749</v>
      </c>
      <c r="BM60" s="3156">
        <f t="shared" ref="BM60:BY60" si="207">SUM(BM53:BM59)</f>
        <v>98815</v>
      </c>
      <c r="BN60" s="3155">
        <f t="shared" si="207"/>
        <v>104500</v>
      </c>
      <c r="BO60" s="3157">
        <f t="shared" si="207"/>
        <v>104500</v>
      </c>
      <c r="BP60" s="3156">
        <f t="shared" si="207"/>
        <v>108448</v>
      </c>
      <c r="BQ60" s="3156">
        <f t="shared" si="207"/>
        <v>111783</v>
      </c>
      <c r="BR60" s="3156">
        <f t="shared" si="207"/>
        <v>116241</v>
      </c>
      <c r="BS60" s="3155">
        <f t="shared" si="207"/>
        <v>120331</v>
      </c>
      <c r="BT60" s="3157">
        <f>SUM(BT53:BT59)</f>
        <v>120331</v>
      </c>
      <c r="BU60" s="3156">
        <f t="shared" si="207"/>
        <v>123569</v>
      </c>
      <c r="BV60" s="3156">
        <f t="shared" si="207"/>
        <v>127879</v>
      </c>
      <c r="BW60" s="3156">
        <f t="shared" si="207"/>
        <v>134103</v>
      </c>
      <c r="BX60" s="3156">
        <f t="shared" si="207"/>
        <v>139036</v>
      </c>
      <c r="BY60" s="3157">
        <f t="shared" si="207"/>
        <v>139036</v>
      </c>
      <c r="BZ60" s="3156">
        <f t="shared" ref="BZ60:CH60" si="208">SUM(BZ53:BZ59)</f>
        <v>144949</v>
      </c>
      <c r="CA60" s="3156">
        <f t="shared" si="208"/>
        <v>148286</v>
      </c>
      <c r="CB60" s="3156">
        <f t="shared" si="208"/>
        <v>157100</v>
      </c>
      <c r="CC60" s="3155">
        <f t="shared" si="208"/>
        <v>152502</v>
      </c>
      <c r="CD60" s="3158">
        <f t="shared" si="208"/>
        <v>152502</v>
      </c>
      <c r="CE60" s="3156">
        <f t="shared" si="208"/>
        <v>160825</v>
      </c>
      <c r="CF60" s="3156">
        <f t="shared" si="208"/>
        <v>162000</v>
      </c>
      <c r="CG60" s="3156">
        <f t="shared" si="208"/>
        <v>169840</v>
      </c>
      <c r="CH60" s="3156">
        <f t="shared" si="208"/>
        <v>177628</v>
      </c>
      <c r="CI60" s="3158">
        <f t="shared" si="206"/>
        <v>177628</v>
      </c>
      <c r="CJ60" s="3156">
        <f t="shared" si="206"/>
        <v>183472</v>
      </c>
      <c r="CK60" s="3156">
        <f t="shared" si="206"/>
        <v>192192</v>
      </c>
      <c r="CL60" s="3156">
        <f t="shared" ref="CL60:CS60" si="209">SUM(CL53:CL59)</f>
        <v>194969</v>
      </c>
      <c r="CM60" s="3156">
        <f t="shared" si="209"/>
        <v>201442</v>
      </c>
      <c r="CN60" s="4357">
        <f t="shared" si="209"/>
        <v>201442</v>
      </c>
      <c r="CO60" s="3149">
        <f t="shared" si="209"/>
        <v>203659</v>
      </c>
      <c r="CP60" s="3149">
        <f t="shared" si="209"/>
        <v>207322</v>
      </c>
      <c r="CQ60" s="3149">
        <f t="shared" si="209"/>
        <v>212920</v>
      </c>
      <c r="CR60" s="3149">
        <f t="shared" si="209"/>
        <v>222544</v>
      </c>
      <c r="CS60" s="4357">
        <f t="shared" si="209"/>
        <v>222544</v>
      </c>
      <c r="CT60" s="3149">
        <f t="shared" ref="CT60:CY60" si="210">SUM(CT53:CT59)</f>
        <v>230013</v>
      </c>
      <c r="CU60" s="3149">
        <f t="shared" si="210"/>
        <v>237565</v>
      </c>
      <c r="CV60" s="3149">
        <f t="shared" si="210"/>
        <v>244567</v>
      </c>
      <c r="CW60" s="3149">
        <f t="shared" si="210"/>
        <v>251635</v>
      </c>
      <c r="CX60" s="4357">
        <f t="shared" si="210"/>
        <v>251635</v>
      </c>
      <c r="CY60" s="3149">
        <f t="shared" si="210"/>
        <v>254004</v>
      </c>
      <c r="CZ60" s="3149">
        <f t="shared" ref="CZ60:DX60" si="211">SUM(CZ53:CZ59)</f>
        <v>255419</v>
      </c>
      <c r="DA60" s="3149">
        <f t="shared" si="211"/>
        <v>253626</v>
      </c>
      <c r="DB60" s="3149">
        <f t="shared" si="211"/>
        <v>256144</v>
      </c>
      <c r="DC60" s="3151">
        <f t="shared" si="211"/>
        <v>256144</v>
      </c>
      <c r="DD60" s="3149">
        <f>SUM(DD53:DD59)</f>
        <v>260894</v>
      </c>
      <c r="DE60" s="3149">
        <f>SUM(DE53:DE59)</f>
        <v>267141</v>
      </c>
      <c r="DF60" s="3149">
        <f>SUM(DF53:DF59)</f>
        <v>273202</v>
      </c>
      <c r="DG60" s="3149">
        <f t="shared" ref="DG60:DI60" si="212">SUM(DG53:DG59)</f>
        <v>283379</v>
      </c>
      <c r="DH60" s="3151">
        <f t="shared" si="211"/>
        <v>283379</v>
      </c>
      <c r="DI60" s="3149">
        <f t="shared" si="212"/>
        <v>292844</v>
      </c>
      <c r="DJ60" s="3149">
        <f t="shared" ref="DJ60:DL60" si="213">SUM(DJ53:DJ59)</f>
        <v>300753</v>
      </c>
      <c r="DK60" s="3149">
        <f t="shared" si="213"/>
        <v>314119</v>
      </c>
      <c r="DL60" s="3149">
        <f t="shared" si="213"/>
        <v>325084</v>
      </c>
      <c r="DM60" s="3151">
        <f>SUM(DM53:DM59)</f>
        <v>325084</v>
      </c>
      <c r="DN60" s="3149">
        <f t="shared" ref="DN60:DP60" si="214">SUM(DN53:DN59)</f>
        <v>345267</v>
      </c>
      <c r="DO60" s="3149">
        <f t="shared" si="214"/>
        <v>362916</v>
      </c>
      <c r="DP60" s="3149">
        <f t="shared" si="214"/>
        <v>386867</v>
      </c>
      <c r="DQ60" s="3149">
        <f t="shared" ref="DQ60" ca="1" si="215">SUM(DQ53:DQ59)</f>
        <v>406341.21406509902</v>
      </c>
      <c r="DR60" s="3151">
        <f ca="1">SUM(DR53:DR59)</f>
        <v>406341.21406509902</v>
      </c>
      <c r="DS60" s="3149">
        <f t="shared" ref="DS60:DV60" ca="1" si="216">SUM(DS53:DS59)</f>
        <v>424550.76706087566</v>
      </c>
      <c r="DT60" s="3149">
        <f t="shared" ca="1" si="216"/>
        <v>444812.72300772794</v>
      </c>
      <c r="DU60" s="3149">
        <f t="shared" ca="1" si="216"/>
        <v>466357.86555849609</v>
      </c>
      <c r="DV60" s="3149">
        <f t="shared" ca="1" si="216"/>
        <v>490768.83082058746</v>
      </c>
      <c r="DW60" s="3151">
        <f ca="1">SUM(DW53:DW59)</f>
        <v>490768.83082058746</v>
      </c>
      <c r="DX60" s="3151">
        <f t="shared" ca="1" si="211"/>
        <v>583188.09673782135</v>
      </c>
      <c r="DY60" s="3151">
        <f ca="1">SUM(DY53:DY59)</f>
        <v>695920.85745989229</v>
      </c>
      <c r="DZ60" s="3151">
        <f ca="1">SUM(DZ53:DZ59)</f>
        <v>830112.95704455022</v>
      </c>
      <c r="EA60" s="3151">
        <f ca="1">SUM(EA53:EA59)</f>
        <v>989629.82999367919</v>
      </c>
      <c r="EC60" s="755"/>
      <c r="ED60" s="755"/>
    </row>
    <row r="61" spans="1:134" s="45" customFormat="1" ht="11.25" customHeight="1">
      <c r="A61" s="1603"/>
      <c r="B61" s="37"/>
      <c r="C61" s="37"/>
      <c r="D61" s="37"/>
      <c r="E61" s="703"/>
      <c r="F61" s="37"/>
      <c r="G61" s="37"/>
      <c r="H61" s="37"/>
      <c r="I61" s="703"/>
      <c r="J61" s="39"/>
      <c r="K61" s="37"/>
      <c r="L61" s="37"/>
      <c r="M61" s="703"/>
      <c r="N61" s="39"/>
      <c r="O61" s="37"/>
      <c r="P61" s="37"/>
      <c r="Q61" s="703"/>
      <c r="R61" s="95"/>
      <c r="S61" s="95"/>
      <c r="T61" s="95"/>
      <c r="U61" s="703"/>
      <c r="V61" s="41"/>
      <c r="W61" s="43"/>
      <c r="X61" s="43"/>
      <c r="Y61" s="703"/>
      <c r="Z61" s="43"/>
      <c r="AA61" s="43"/>
      <c r="AB61" s="43"/>
      <c r="AC61" s="703"/>
      <c r="AD61" s="41"/>
      <c r="AE61" s="43"/>
      <c r="AF61" s="43"/>
      <c r="AG61" s="703"/>
      <c r="AH61" s="43"/>
      <c r="AI61" s="43"/>
      <c r="AJ61" s="43"/>
      <c r="AK61" s="703"/>
      <c r="AL61" s="43"/>
      <c r="AM61" s="43"/>
      <c r="AN61" s="43"/>
      <c r="AO61" s="703"/>
      <c r="AP61" s="43"/>
      <c r="AQ61" s="43"/>
      <c r="AR61" s="43"/>
      <c r="AS61" s="703"/>
      <c r="AT61" s="43"/>
      <c r="AU61" s="43"/>
      <c r="AV61" s="43"/>
      <c r="AW61" s="703"/>
      <c r="AX61" s="43"/>
      <c r="AY61" s="43"/>
      <c r="AZ61" s="43"/>
      <c r="BA61" s="703"/>
      <c r="BB61" s="43"/>
      <c r="BC61" s="43"/>
      <c r="BD61" s="43"/>
      <c r="BE61" s="703"/>
      <c r="BF61" s="478"/>
      <c r="BG61" s="43"/>
      <c r="BH61" s="43"/>
      <c r="BI61" s="679"/>
      <c r="BJ61" s="1259"/>
      <c r="BK61" s="679"/>
      <c r="BL61" s="679"/>
      <c r="BM61" s="679"/>
      <c r="BN61" s="703"/>
      <c r="BO61" s="1259"/>
      <c r="BP61" s="679"/>
      <c r="BQ61" s="679"/>
      <c r="BR61" s="679"/>
      <c r="BS61" s="703"/>
      <c r="BT61" s="1259"/>
      <c r="BU61" s="679"/>
      <c r="BV61" s="679"/>
      <c r="BW61" s="679"/>
      <c r="BX61" s="679"/>
      <c r="BY61" s="1259"/>
      <c r="BZ61" s="679"/>
      <c r="CA61" s="679"/>
      <c r="CB61" s="679"/>
      <c r="CC61" s="703"/>
      <c r="CD61" s="702"/>
      <c r="CE61" s="679"/>
      <c r="CF61" s="679"/>
      <c r="CG61" s="679"/>
      <c r="CH61" s="679"/>
      <c r="CI61" s="702"/>
      <c r="CJ61" s="679"/>
      <c r="CK61" s="679"/>
      <c r="CL61" s="679"/>
      <c r="CM61" s="679"/>
      <c r="CN61" s="4352"/>
      <c r="CO61" s="537"/>
      <c r="CP61" s="537"/>
      <c r="CQ61" s="537"/>
      <c r="CR61" s="537"/>
      <c r="CS61" s="4352"/>
      <c r="CT61" s="537"/>
      <c r="CU61" s="537"/>
      <c r="CV61" s="537"/>
      <c r="CW61" s="537"/>
      <c r="CX61" s="4352"/>
      <c r="CY61" s="537"/>
      <c r="CZ61" s="537"/>
      <c r="DA61" s="537"/>
      <c r="DB61" s="537"/>
      <c r="DC61" s="687"/>
      <c r="DD61" s="537"/>
      <c r="DE61" s="537"/>
      <c r="DF61" s="537"/>
      <c r="DG61" s="537"/>
      <c r="DH61" s="687"/>
      <c r="DI61" s="537"/>
      <c r="DJ61" s="537"/>
      <c r="DK61" s="537"/>
      <c r="DL61" s="537"/>
      <c r="DM61" s="687"/>
      <c r="DN61" s="537"/>
      <c r="DO61" s="537"/>
      <c r="DP61" s="537"/>
      <c r="DQ61" s="537"/>
      <c r="DR61" s="687"/>
      <c r="DS61" s="537"/>
      <c r="DT61" s="537"/>
      <c r="DU61" s="537"/>
      <c r="DV61" s="537"/>
      <c r="DW61" s="687"/>
      <c r="DX61" s="687"/>
      <c r="DY61" s="687"/>
      <c r="DZ61" s="687"/>
      <c r="EA61" s="687"/>
      <c r="EC61" s="755"/>
      <c r="ED61" s="755"/>
    </row>
    <row r="62" spans="1:134" s="61" customFormat="1" ht="11.25" customHeight="1">
      <c r="A62" s="3116" t="s">
        <v>74</v>
      </c>
      <c r="B62" s="3096"/>
      <c r="C62" s="3096"/>
      <c r="D62" s="3096"/>
      <c r="E62" s="3155"/>
      <c r="F62" s="3096"/>
      <c r="G62" s="3096"/>
      <c r="H62" s="3096"/>
      <c r="I62" s="3155"/>
      <c r="J62" s="3147"/>
      <c r="K62" s="3096"/>
      <c r="L62" s="3096"/>
      <c r="M62" s="3155"/>
      <c r="N62" s="3147">
        <f>+N50+N60</f>
        <v>0</v>
      </c>
      <c r="O62" s="3096">
        <f>+O50+O60</f>
        <v>0</v>
      </c>
      <c r="P62" s="3096">
        <f>+P50+P60</f>
        <v>0</v>
      </c>
      <c r="Q62" s="3155">
        <f>+Q50+Q60</f>
        <v>286.89199999999994</v>
      </c>
      <c r="R62" s="3096">
        <f t="shared" ref="R62:AU62" si="217">R50+R60</f>
        <v>0</v>
      </c>
      <c r="S62" s="3096">
        <f t="shared" si="217"/>
        <v>0</v>
      </c>
      <c r="T62" s="3096">
        <f t="shared" si="217"/>
        <v>0</v>
      </c>
      <c r="U62" s="3155">
        <f t="shared" si="217"/>
        <v>871.45800000000008</v>
      </c>
      <c r="V62" s="3055">
        <f t="shared" si="217"/>
        <v>1079.454</v>
      </c>
      <c r="W62" s="3055">
        <f t="shared" si="217"/>
        <v>1328.0219999999999</v>
      </c>
      <c r="X62" s="3055">
        <f t="shared" si="217"/>
        <v>2888.518</v>
      </c>
      <c r="Y62" s="3155">
        <f t="shared" si="217"/>
        <v>3313.3510000000001</v>
      </c>
      <c r="Z62" s="3055">
        <f t="shared" si="217"/>
        <v>3865.1990000000001</v>
      </c>
      <c r="AA62" s="3055">
        <f t="shared" si="217"/>
        <v>4497.7180000000008</v>
      </c>
      <c r="AB62" s="3055">
        <f t="shared" si="217"/>
        <v>9451.001000000002</v>
      </c>
      <c r="AC62" s="3155">
        <f>AC50+AC60</f>
        <v>10271.813</v>
      </c>
      <c r="AD62" s="3148">
        <f>AD50+AD60</f>
        <v>11294.869999999999</v>
      </c>
      <c r="AE62" s="3055">
        <f t="shared" si="217"/>
        <v>14396.005999999998</v>
      </c>
      <c r="AF62" s="3055">
        <f t="shared" si="217"/>
        <v>15693.232</v>
      </c>
      <c r="AG62" s="3155">
        <f t="shared" si="217"/>
        <v>18473.350999999999</v>
      </c>
      <c r="AH62" s="3148">
        <f t="shared" si="217"/>
        <v>20015.437999999998</v>
      </c>
      <c r="AI62" s="3055">
        <f t="shared" si="217"/>
        <v>21423.879000000001</v>
      </c>
      <c r="AJ62" s="3055">
        <f t="shared" si="217"/>
        <v>23340.65</v>
      </c>
      <c r="AK62" s="3155">
        <f t="shared" si="217"/>
        <v>25335.806</v>
      </c>
      <c r="AL62" s="3148">
        <f t="shared" si="217"/>
        <v>27604.982000000004</v>
      </c>
      <c r="AM62" s="3055">
        <f t="shared" si="217"/>
        <v>29179.776999999998</v>
      </c>
      <c r="AN62" s="3055">
        <f t="shared" si="217"/>
        <v>30806.974000000002</v>
      </c>
      <c r="AO62" s="3155">
        <f t="shared" si="217"/>
        <v>31767.575000000001</v>
      </c>
      <c r="AP62" s="3148">
        <f t="shared" si="217"/>
        <v>33513.029000000002</v>
      </c>
      <c r="AQ62" s="3055">
        <f t="shared" si="217"/>
        <v>35158.76</v>
      </c>
      <c r="AR62" s="3055">
        <f t="shared" si="217"/>
        <v>37702.844999999994</v>
      </c>
      <c r="AS62" s="3155">
        <f t="shared" si="217"/>
        <v>40496.778000000006</v>
      </c>
      <c r="AT62" s="3055">
        <f t="shared" si="217"/>
        <v>42871</v>
      </c>
      <c r="AU62" s="3055">
        <f t="shared" si="217"/>
        <v>48045</v>
      </c>
      <c r="AV62" s="3055">
        <f t="shared" ref="AV62:BJ62" si="218">AV50+AV60</f>
        <v>53342</v>
      </c>
      <c r="AW62" s="3155">
        <f t="shared" si="218"/>
        <v>57851</v>
      </c>
      <c r="AX62" s="3055">
        <f>AX50+AX60</f>
        <v>59960</v>
      </c>
      <c r="AY62" s="3055">
        <f>AY50+AY60</f>
        <v>64861</v>
      </c>
      <c r="AZ62" s="3055">
        <f>AZ50+AZ60</f>
        <v>69088</v>
      </c>
      <c r="BA62" s="3155">
        <f t="shared" si="218"/>
        <v>72574</v>
      </c>
      <c r="BB62" s="3055">
        <f>BB50+BB60</f>
        <v>77144</v>
      </c>
      <c r="BC62" s="3055">
        <f>BC50+BC60</f>
        <v>86051</v>
      </c>
      <c r="BD62" s="3055">
        <f>BD50+BD60</f>
        <v>89730</v>
      </c>
      <c r="BE62" s="3155">
        <f>BE50+BE60</f>
        <v>93798</v>
      </c>
      <c r="BF62" s="3161">
        <f t="shared" si="218"/>
        <v>96692</v>
      </c>
      <c r="BG62" s="3055">
        <f t="shared" si="218"/>
        <v>101182</v>
      </c>
      <c r="BH62" s="3055">
        <f t="shared" si="218"/>
        <v>105068</v>
      </c>
      <c r="BI62" s="3156">
        <f t="shared" si="218"/>
        <v>110920</v>
      </c>
      <c r="BJ62" s="3157">
        <f t="shared" si="218"/>
        <v>110920</v>
      </c>
      <c r="BK62" s="3156">
        <f t="shared" ref="BK62:BT62" si="219">BK50+BK60</f>
        <v>116526</v>
      </c>
      <c r="BL62" s="3156">
        <f t="shared" si="219"/>
        <v>121608</v>
      </c>
      <c r="BM62" s="3156">
        <f t="shared" si="219"/>
        <v>125781</v>
      </c>
      <c r="BN62" s="3155">
        <f t="shared" si="219"/>
        <v>131133</v>
      </c>
      <c r="BO62" s="3157">
        <f t="shared" si="219"/>
        <v>131133</v>
      </c>
      <c r="BP62" s="3156">
        <f t="shared" si="219"/>
        <v>133400</v>
      </c>
      <c r="BQ62" s="3156">
        <f t="shared" si="219"/>
        <v>138807</v>
      </c>
      <c r="BR62" s="3156">
        <f t="shared" si="219"/>
        <v>144281</v>
      </c>
      <c r="BS62" s="3155">
        <f t="shared" si="219"/>
        <v>147461</v>
      </c>
      <c r="BT62" s="3157">
        <f t="shared" si="219"/>
        <v>147461</v>
      </c>
      <c r="BU62" s="3156">
        <f t="shared" ref="BU62:BZ62" si="220">BU50+BU60</f>
        <v>149747</v>
      </c>
      <c r="BV62" s="3156">
        <f t="shared" si="220"/>
        <v>154292</v>
      </c>
      <c r="BW62" s="3156">
        <f t="shared" si="220"/>
        <v>159948</v>
      </c>
      <c r="BX62" s="3156">
        <f t="shared" si="220"/>
        <v>167497</v>
      </c>
      <c r="BY62" s="3157">
        <f t="shared" si="220"/>
        <v>167497</v>
      </c>
      <c r="BZ62" s="3156">
        <f t="shared" si="220"/>
        <v>172756</v>
      </c>
      <c r="CA62" s="3156">
        <f t="shared" ref="CA62:CS62" si="221">CA50+CA60</f>
        <v>178621</v>
      </c>
      <c r="CB62" s="3156">
        <f t="shared" si="221"/>
        <v>189536</v>
      </c>
      <c r="CC62" s="3155">
        <f t="shared" si="221"/>
        <v>197295</v>
      </c>
      <c r="CD62" s="3158">
        <f t="shared" si="221"/>
        <v>197295</v>
      </c>
      <c r="CE62" s="3156">
        <f t="shared" si="221"/>
        <v>206935</v>
      </c>
      <c r="CF62" s="3156">
        <f t="shared" si="221"/>
        <v>211610</v>
      </c>
      <c r="CG62" s="3156">
        <f t="shared" si="221"/>
        <v>221538</v>
      </c>
      <c r="CH62" s="3156">
        <f t="shared" si="221"/>
        <v>232792</v>
      </c>
      <c r="CI62" s="3158">
        <f t="shared" si="221"/>
        <v>232792</v>
      </c>
      <c r="CJ62" s="3156">
        <f t="shared" si="221"/>
        <v>245349</v>
      </c>
      <c r="CK62" s="3156">
        <f t="shared" si="221"/>
        <v>257101</v>
      </c>
      <c r="CL62" s="3156">
        <f t="shared" si="221"/>
        <v>263044</v>
      </c>
      <c r="CM62" s="3156">
        <f t="shared" si="221"/>
        <v>275909</v>
      </c>
      <c r="CN62" s="4357">
        <f t="shared" si="221"/>
        <v>275909</v>
      </c>
      <c r="CO62" s="3149">
        <f t="shared" si="221"/>
        <v>273403</v>
      </c>
      <c r="CP62" s="3149">
        <f t="shared" si="221"/>
        <v>278492</v>
      </c>
      <c r="CQ62" s="3149">
        <f t="shared" si="221"/>
        <v>299243</v>
      </c>
      <c r="CR62" s="3149">
        <f t="shared" si="221"/>
        <v>319616</v>
      </c>
      <c r="CS62" s="4357">
        <f t="shared" si="221"/>
        <v>319616</v>
      </c>
      <c r="CT62" s="3149">
        <f t="shared" ref="CT62:CY62" si="222">CT50+CT60</f>
        <v>327095</v>
      </c>
      <c r="CU62" s="3149">
        <f t="shared" si="222"/>
        <v>335387</v>
      </c>
      <c r="CV62" s="3149">
        <f t="shared" si="222"/>
        <v>347403</v>
      </c>
      <c r="CW62" s="3149">
        <f t="shared" si="222"/>
        <v>359268</v>
      </c>
      <c r="CX62" s="4357">
        <f t="shared" si="222"/>
        <v>359268</v>
      </c>
      <c r="CY62" s="3149">
        <f t="shared" si="222"/>
        <v>357096</v>
      </c>
      <c r="CZ62" s="3149">
        <f t="shared" ref="CZ62:DH62" si="223">CZ50+CZ60</f>
        <v>355185</v>
      </c>
      <c r="DA62" s="3149">
        <f t="shared" si="223"/>
        <v>358255</v>
      </c>
      <c r="DB62" s="3149">
        <f>DB50+DB60</f>
        <v>365264</v>
      </c>
      <c r="DC62" s="3151">
        <f t="shared" si="223"/>
        <v>365264</v>
      </c>
      <c r="DD62" s="3149">
        <f>DD50+DD60</f>
        <v>369491</v>
      </c>
      <c r="DE62" s="3149">
        <f>DE50+DE60</f>
        <v>383044</v>
      </c>
      <c r="DF62" s="3149">
        <f>DF50+DF60</f>
        <v>396711</v>
      </c>
      <c r="DG62" s="3149">
        <f>DG50+DG60</f>
        <v>402392</v>
      </c>
      <c r="DH62" s="3151">
        <f t="shared" si="223"/>
        <v>402392</v>
      </c>
      <c r="DI62" s="3149">
        <f t="shared" ref="DI62:DN62" si="224">DI50+DI60</f>
        <v>407350</v>
      </c>
      <c r="DJ62" s="3149">
        <f t="shared" si="224"/>
        <v>414770</v>
      </c>
      <c r="DK62" s="3149">
        <f t="shared" si="224"/>
        <v>430266</v>
      </c>
      <c r="DL62" s="3149">
        <f t="shared" si="224"/>
        <v>450256</v>
      </c>
      <c r="DM62" s="3151">
        <f t="shared" si="224"/>
        <v>450256</v>
      </c>
      <c r="DN62" s="3149">
        <f t="shared" si="224"/>
        <v>475374</v>
      </c>
      <c r="DO62" s="3149">
        <f t="shared" ref="DO62:DP62" si="225">DO50+DO60</f>
        <v>502053</v>
      </c>
      <c r="DP62" s="3149">
        <f t="shared" si="225"/>
        <v>536469</v>
      </c>
      <c r="DQ62" s="3149">
        <f t="shared" ref="DQ62" ca="1" si="226">DQ50+DQ60</f>
        <v>563949.79230358941</v>
      </c>
      <c r="DR62" s="3151">
        <f ca="1">DR50+DR60</f>
        <v>563949.79230358941</v>
      </c>
      <c r="DS62" s="3149">
        <f t="shared" ref="DS62:DV62" ca="1" si="227">DS50+DS60</f>
        <v>583108.9291550963</v>
      </c>
      <c r="DT62" s="3149">
        <f t="shared" ca="1" si="227"/>
        <v>597800.27586856345</v>
      </c>
      <c r="DU62" s="3149">
        <f t="shared" ca="1" si="227"/>
        <v>632919.73703410511</v>
      </c>
      <c r="DV62" s="3149">
        <f t="shared" ca="1" si="227"/>
        <v>667413.96935754002</v>
      </c>
      <c r="DW62" s="3151">
        <f ca="1">DW50+DW60</f>
        <v>667413.96935754002</v>
      </c>
      <c r="DX62" s="3151">
        <f ca="1">DX50+DX60</f>
        <v>774088.12861677038</v>
      </c>
      <c r="DY62" s="3151">
        <f ca="1">DY50+DY60</f>
        <v>904377.62305389973</v>
      </c>
      <c r="DZ62" s="3151">
        <f ca="1">DZ50+DZ60</f>
        <v>1056063.0508629258</v>
      </c>
      <c r="EA62" s="3151">
        <f ca="1">EA50+EA60</f>
        <v>1233811.3637805604</v>
      </c>
      <c r="EC62" s="754"/>
      <c r="ED62" s="754"/>
    </row>
    <row r="63" spans="1:134" s="601" customFormat="1" ht="11.25" customHeight="1">
      <c r="A63" s="1604" t="s">
        <v>75</v>
      </c>
      <c r="B63" s="1356"/>
      <c r="C63" s="1114"/>
      <c r="D63" s="1114"/>
      <c r="E63" s="1396"/>
      <c r="F63" s="1356"/>
      <c r="G63" s="1114"/>
      <c r="H63" s="1114"/>
      <c r="I63" s="1396"/>
      <c r="J63" s="1356"/>
      <c r="K63" s="1114"/>
      <c r="L63" s="1114"/>
      <c r="M63" s="1396"/>
      <c r="N63" s="1356" t="str">
        <f t="shared" ref="N63:BI63" si="228">+IF(ABS(N62-N26)&gt;0.01,N62-N26,"ok")</f>
        <v>ok</v>
      </c>
      <c r="O63" s="1114" t="str">
        <f t="shared" si="228"/>
        <v>ok</v>
      </c>
      <c r="P63" s="1114" t="str">
        <f t="shared" si="228"/>
        <v>ok</v>
      </c>
      <c r="Q63" s="1396" t="str">
        <f t="shared" si="228"/>
        <v>ok</v>
      </c>
      <c r="R63" s="1356" t="str">
        <f t="shared" si="228"/>
        <v>ok</v>
      </c>
      <c r="S63" s="1114" t="str">
        <f t="shared" si="228"/>
        <v>ok</v>
      </c>
      <c r="T63" s="1114" t="str">
        <f t="shared" si="228"/>
        <v>ok</v>
      </c>
      <c r="U63" s="1396" t="str">
        <f t="shared" si="228"/>
        <v>ok</v>
      </c>
      <c r="V63" s="1356" t="str">
        <f t="shared" si="228"/>
        <v>ok</v>
      </c>
      <c r="W63" s="1114" t="str">
        <f t="shared" si="228"/>
        <v>ok</v>
      </c>
      <c r="X63" s="1114" t="str">
        <f t="shared" si="228"/>
        <v>ok</v>
      </c>
      <c r="Y63" s="1396" t="str">
        <f t="shared" si="228"/>
        <v>ok</v>
      </c>
      <c r="Z63" s="1356" t="str">
        <f t="shared" si="228"/>
        <v>ok</v>
      </c>
      <c r="AA63" s="1114" t="str">
        <f t="shared" si="228"/>
        <v>ok</v>
      </c>
      <c r="AB63" s="1114" t="str">
        <f t="shared" si="228"/>
        <v>ok</v>
      </c>
      <c r="AC63" s="1396" t="str">
        <f t="shared" si="228"/>
        <v>ok</v>
      </c>
      <c r="AD63" s="1356" t="str">
        <f t="shared" si="228"/>
        <v>ok</v>
      </c>
      <c r="AE63" s="1114" t="str">
        <f t="shared" si="228"/>
        <v>ok</v>
      </c>
      <c r="AF63" s="1114" t="str">
        <f t="shared" si="228"/>
        <v>ok</v>
      </c>
      <c r="AG63" s="1396" t="str">
        <f t="shared" si="228"/>
        <v>ok</v>
      </c>
      <c r="AH63" s="1356" t="str">
        <f t="shared" si="228"/>
        <v>ok</v>
      </c>
      <c r="AI63" s="1114" t="str">
        <f t="shared" si="228"/>
        <v>ok</v>
      </c>
      <c r="AJ63" s="1114" t="str">
        <f t="shared" si="228"/>
        <v>ok</v>
      </c>
      <c r="AK63" s="1396" t="str">
        <f t="shared" si="228"/>
        <v>ok</v>
      </c>
      <c r="AL63" s="1356" t="str">
        <f t="shared" si="228"/>
        <v>ok</v>
      </c>
      <c r="AM63" s="1114" t="str">
        <f t="shared" si="228"/>
        <v>ok</v>
      </c>
      <c r="AN63" s="1114" t="str">
        <f t="shared" si="228"/>
        <v>ok</v>
      </c>
      <c r="AO63" s="1396" t="str">
        <f t="shared" si="228"/>
        <v>ok</v>
      </c>
      <c r="AP63" s="1356" t="str">
        <f t="shared" si="228"/>
        <v>ok</v>
      </c>
      <c r="AQ63" s="1114" t="str">
        <f t="shared" si="228"/>
        <v>ok</v>
      </c>
      <c r="AR63" s="1114" t="str">
        <f t="shared" si="228"/>
        <v>ok</v>
      </c>
      <c r="AS63" s="1396" t="str">
        <f t="shared" si="228"/>
        <v>ok</v>
      </c>
      <c r="AT63" s="1356" t="str">
        <f t="shared" si="228"/>
        <v>ok</v>
      </c>
      <c r="AU63" s="1114" t="str">
        <f t="shared" si="228"/>
        <v>ok</v>
      </c>
      <c r="AV63" s="1114" t="str">
        <f t="shared" si="228"/>
        <v>ok</v>
      </c>
      <c r="AW63" s="1396" t="str">
        <f t="shared" si="228"/>
        <v>ok</v>
      </c>
      <c r="AX63" s="1356" t="str">
        <f t="shared" si="228"/>
        <v>ok</v>
      </c>
      <c r="AY63" s="1114" t="str">
        <f t="shared" si="228"/>
        <v>ok</v>
      </c>
      <c r="AZ63" s="1114" t="str">
        <f t="shared" si="228"/>
        <v>ok</v>
      </c>
      <c r="BA63" s="1396" t="str">
        <f t="shared" si="228"/>
        <v>ok</v>
      </c>
      <c r="BB63" s="1356" t="str">
        <f t="shared" si="228"/>
        <v>ok</v>
      </c>
      <c r="BC63" s="1114" t="str">
        <f t="shared" si="228"/>
        <v>ok</v>
      </c>
      <c r="BD63" s="1114" t="str">
        <f t="shared" si="228"/>
        <v>ok</v>
      </c>
      <c r="BE63" s="1396" t="str">
        <f t="shared" si="228"/>
        <v>ok</v>
      </c>
      <c r="BF63" s="1356" t="str">
        <f t="shared" si="228"/>
        <v>ok</v>
      </c>
      <c r="BG63" s="1114" t="str">
        <f t="shared" si="228"/>
        <v>ok</v>
      </c>
      <c r="BH63" s="1114" t="str">
        <f t="shared" si="228"/>
        <v>ok</v>
      </c>
      <c r="BI63" s="1114" t="str">
        <f t="shared" si="228"/>
        <v>ok</v>
      </c>
      <c r="BJ63" s="1358" t="str">
        <f t="shared" ref="BJ63:CX63" si="229">+IF(ABS(BJ62-BJ26)&gt;0.0001,BJ62-BJ26,"ok")</f>
        <v>ok</v>
      </c>
      <c r="BK63" s="1114" t="str">
        <f t="shared" si="229"/>
        <v>ok</v>
      </c>
      <c r="BL63" s="1114" t="str">
        <f t="shared" si="229"/>
        <v>ok</v>
      </c>
      <c r="BM63" s="1114" t="str">
        <f t="shared" si="229"/>
        <v>ok</v>
      </c>
      <c r="BN63" s="1396" t="str">
        <f t="shared" si="229"/>
        <v>ok</v>
      </c>
      <c r="BO63" s="1358" t="str">
        <f t="shared" si="229"/>
        <v>ok</v>
      </c>
      <c r="BP63" s="1356" t="str">
        <f t="shared" si="229"/>
        <v>ok</v>
      </c>
      <c r="BQ63" s="1114" t="str">
        <f t="shared" si="229"/>
        <v>ok</v>
      </c>
      <c r="BR63" s="1114" t="str">
        <f t="shared" si="229"/>
        <v>ok</v>
      </c>
      <c r="BS63" s="1396" t="str">
        <f t="shared" si="229"/>
        <v>ok</v>
      </c>
      <c r="BT63" s="1358" t="str">
        <f t="shared" si="229"/>
        <v>ok</v>
      </c>
      <c r="BU63" s="1114" t="str">
        <f t="shared" si="229"/>
        <v>ok</v>
      </c>
      <c r="BV63" s="1114" t="str">
        <f t="shared" si="229"/>
        <v>ok</v>
      </c>
      <c r="BW63" s="1114" t="str">
        <f t="shared" si="229"/>
        <v>ok</v>
      </c>
      <c r="BX63" s="1357" t="str">
        <f t="shared" si="229"/>
        <v>ok</v>
      </c>
      <c r="BY63" s="1358" t="str">
        <f t="shared" si="229"/>
        <v>ok</v>
      </c>
      <c r="BZ63" s="1359" t="str">
        <f t="shared" si="229"/>
        <v>ok</v>
      </c>
      <c r="CA63" s="1360" t="str">
        <f t="shared" si="229"/>
        <v>ok</v>
      </c>
      <c r="CB63" s="1360" t="str">
        <f t="shared" si="229"/>
        <v>ok</v>
      </c>
      <c r="CC63" s="1360" t="str">
        <f t="shared" si="229"/>
        <v>ok</v>
      </c>
      <c r="CD63" s="1358" t="str">
        <f t="shared" si="229"/>
        <v>ok</v>
      </c>
      <c r="CE63" s="1360" t="str">
        <f t="shared" si="229"/>
        <v>ok</v>
      </c>
      <c r="CF63" s="1360" t="str">
        <f t="shared" si="229"/>
        <v>ok</v>
      </c>
      <c r="CG63" s="1360" t="str">
        <f t="shared" si="229"/>
        <v>ok</v>
      </c>
      <c r="CH63" s="1360" t="str">
        <f t="shared" si="229"/>
        <v>ok</v>
      </c>
      <c r="CI63" s="1361" t="str">
        <f t="shared" si="229"/>
        <v>ok</v>
      </c>
      <c r="CJ63" s="1360" t="str">
        <f t="shared" si="229"/>
        <v>ok</v>
      </c>
      <c r="CK63" s="1360" t="str">
        <f t="shared" si="229"/>
        <v>ok</v>
      </c>
      <c r="CL63" s="1360" t="str">
        <f t="shared" si="229"/>
        <v>ok</v>
      </c>
      <c r="CM63" s="4333" t="str">
        <f t="shared" si="229"/>
        <v>ok</v>
      </c>
      <c r="CN63" s="4361" t="str">
        <f t="shared" si="229"/>
        <v>ok</v>
      </c>
      <c r="CO63" s="4333" t="str">
        <f t="shared" si="229"/>
        <v>ok</v>
      </c>
      <c r="CP63" s="4333" t="str">
        <f t="shared" si="229"/>
        <v>ok</v>
      </c>
      <c r="CQ63" s="1359" t="str">
        <f t="shared" si="229"/>
        <v>ok</v>
      </c>
      <c r="CR63" s="1359" t="str">
        <f t="shared" si="229"/>
        <v>ok</v>
      </c>
      <c r="CS63" s="4361" t="str">
        <f t="shared" si="229"/>
        <v>ok</v>
      </c>
      <c r="CT63" s="1359" t="str">
        <f t="shared" si="229"/>
        <v>ok</v>
      </c>
      <c r="CU63" s="1359" t="str">
        <f t="shared" si="229"/>
        <v>ok</v>
      </c>
      <c r="CV63" s="1359" t="str">
        <f t="shared" si="229"/>
        <v>ok</v>
      </c>
      <c r="CW63" s="1359" t="str">
        <f t="shared" si="229"/>
        <v>ok</v>
      </c>
      <c r="CX63" s="4361" t="str">
        <f t="shared" si="229"/>
        <v>ok</v>
      </c>
      <c r="CY63" s="1359" t="str">
        <f t="shared" ref="CY63:DH63" si="230">+IF(ABS(CY62-CY26)&gt;0.0001,CY62-CY26,"ok")</f>
        <v>ok</v>
      </c>
      <c r="CZ63" s="1359" t="str">
        <f t="shared" si="230"/>
        <v>ok</v>
      </c>
      <c r="DA63" s="1359" t="str">
        <f t="shared" si="230"/>
        <v>ok</v>
      </c>
      <c r="DB63" s="1359" t="str">
        <f t="shared" si="230"/>
        <v>ok</v>
      </c>
      <c r="DC63" s="4742" t="str">
        <f t="shared" si="230"/>
        <v>ok</v>
      </c>
      <c r="DD63" s="1359" t="str">
        <f>+IF(ABS(DD62-DD26)&gt;0.0001,DD62-DD26,"ok")</f>
        <v>ok</v>
      </c>
      <c r="DE63" s="1359" t="str">
        <f>+IF(ABS(DE62-DE26)&gt;0.0001,DE62-DE26,"ok")</f>
        <v>ok</v>
      </c>
      <c r="DF63" s="1359" t="str">
        <f>+IF(ABS(DF62-DF26)&gt;0.0001,DF62-DF26,"ok")</f>
        <v>ok</v>
      </c>
      <c r="DG63" s="1359" t="str">
        <f t="shared" ref="DG63" si="231">+IF(ABS(DG62-DG26)&gt;0.0001,DG62-DG26,"ok")</f>
        <v>ok</v>
      </c>
      <c r="DH63" s="4742" t="str">
        <f t="shared" si="230"/>
        <v>ok</v>
      </c>
      <c r="DI63" s="1359" t="str">
        <f>+IF(ABS(DI62-DI26)&gt;0.0001,DI62-DI26,"ok")</f>
        <v>ok</v>
      </c>
      <c r="DJ63" s="1359" t="str">
        <f t="shared" ref="DJ63:DL63" si="232">+IF(ABS(DJ62-DJ26)&gt;0.0001,DJ62-DJ26,"ok")</f>
        <v>ok</v>
      </c>
      <c r="DK63" s="1359" t="str">
        <f t="shared" si="232"/>
        <v>ok</v>
      </c>
      <c r="DL63" s="1359" t="str">
        <f t="shared" si="232"/>
        <v>ok</v>
      </c>
      <c r="DM63" s="4742" t="str">
        <f>+IF(ABS(DM62-DM26)&gt;0.0001,DM62-DM26,"ok")</f>
        <v>ok</v>
      </c>
      <c r="DN63" s="1359" t="str">
        <f>+IF(ABS(DN62-DN26)&gt;0.0001,DN62-DN26,"ok")</f>
        <v>ok</v>
      </c>
      <c r="DO63" s="1359" t="str">
        <f t="shared" ref="DO63:DP63" si="233">+IF(ABS(DO62-DO26)&gt;0.0001,DO62-DO26,"ok")</f>
        <v>ok</v>
      </c>
      <c r="DP63" s="1359" t="str">
        <f t="shared" si="233"/>
        <v>ok</v>
      </c>
      <c r="DQ63" s="1359" t="str">
        <f t="shared" ref="DQ63" ca="1" si="234">+IF(ABS(DQ62-DQ26)&gt;0.0001,DQ62-DQ26,"ok")</f>
        <v>ok</v>
      </c>
      <c r="DR63" s="4742" t="str">
        <f ca="1">+IF(ABS(DR62-DR26)&gt;0.0001,DR62-DR26,"ok")</f>
        <v>ok</v>
      </c>
      <c r="DS63" s="1359" t="str">
        <f t="shared" ref="DS63:DV63" ca="1" si="235">+IF(ABS(DS62-DS26)&gt;0.0001,DS62-DS26,"ok")</f>
        <v>ok</v>
      </c>
      <c r="DT63" s="1359" t="str">
        <f t="shared" ca="1" si="235"/>
        <v>ok</v>
      </c>
      <c r="DU63" s="1359" t="str">
        <f t="shared" ca="1" si="235"/>
        <v>ok</v>
      </c>
      <c r="DV63" s="1359" t="str">
        <f t="shared" ca="1" si="235"/>
        <v>ok</v>
      </c>
      <c r="DW63" s="4742" t="str">
        <f ca="1">+IF(ABS(DW62-DW26)&gt;0.0001,DW62-DW26,"ok")</f>
        <v>ok</v>
      </c>
      <c r="DX63" s="4742" t="str">
        <f ca="1">+IF(ABS(DX62-DX26)&gt;0.0001,DX62-DX26,"ok")</f>
        <v>ok</v>
      </c>
      <c r="DY63" s="4742" t="str">
        <f ca="1">+IF(ABS(DY62-DY26)&gt;0.0001,DY62-DY26,"ok")</f>
        <v>ok</v>
      </c>
      <c r="DZ63" s="4742" t="str">
        <f ca="1">+IF(ABS(DZ62-DZ26)&gt;0.0001,DZ62-DZ26,"ok")</f>
        <v>ok</v>
      </c>
      <c r="EA63" s="4742" t="str">
        <f ca="1">+IF(ABS(EA62-EA26)&gt;0.0001,EA62-EA26,"ok")</f>
        <v>ok</v>
      </c>
      <c r="EC63" s="755"/>
      <c r="ED63" s="755"/>
    </row>
    <row r="64" spans="1:134" s="466" customFormat="1" ht="11.25" customHeight="1">
      <c r="A64" s="1605"/>
      <c r="B64" s="462"/>
      <c r="C64" s="462"/>
      <c r="D64" s="462"/>
      <c r="E64" s="705"/>
      <c r="F64" s="462"/>
      <c r="G64" s="462"/>
      <c r="H64" s="462"/>
      <c r="I64" s="705"/>
      <c r="J64" s="463"/>
      <c r="K64" s="462"/>
      <c r="L64" s="462"/>
      <c r="M64" s="705"/>
      <c r="N64" s="463"/>
      <c r="O64" s="462"/>
      <c r="P64" s="462"/>
      <c r="Q64" s="705"/>
      <c r="R64" s="462"/>
      <c r="S64" s="462"/>
      <c r="T64" s="462"/>
      <c r="U64" s="705"/>
      <c r="V64" s="464"/>
      <c r="W64" s="461"/>
      <c r="X64" s="461"/>
      <c r="Y64" s="705"/>
      <c r="Z64" s="461"/>
      <c r="AA64" s="461"/>
      <c r="AB64" s="461"/>
      <c r="AC64" s="705"/>
      <c r="AD64" s="464"/>
      <c r="AE64" s="461"/>
      <c r="AF64" s="461"/>
      <c r="AG64" s="705"/>
      <c r="AH64" s="465"/>
      <c r="AI64" s="465"/>
      <c r="AJ64" s="465"/>
      <c r="AK64" s="705"/>
      <c r="AL64" s="465"/>
      <c r="AM64" s="465"/>
      <c r="AN64" s="465"/>
      <c r="AO64" s="705"/>
      <c r="AP64" s="465"/>
      <c r="AQ64" s="465"/>
      <c r="AR64" s="465"/>
      <c r="AS64" s="705"/>
      <c r="AT64" s="465"/>
      <c r="AU64" s="465"/>
      <c r="AV64" s="465"/>
      <c r="AW64" s="705"/>
      <c r="AX64" s="465"/>
      <c r="AY64" s="465"/>
      <c r="AZ64" s="465"/>
      <c r="BA64" s="705"/>
      <c r="BB64" s="465"/>
      <c r="BC64" s="465"/>
      <c r="BD64" s="465"/>
      <c r="BE64" s="705"/>
      <c r="BF64" s="530"/>
      <c r="BG64" s="531"/>
      <c r="BH64" s="531"/>
      <c r="BI64" s="698"/>
      <c r="BJ64" s="1270"/>
      <c r="BK64" s="704"/>
      <c r="BL64" s="704"/>
      <c r="BM64" s="704"/>
      <c r="BN64" s="705"/>
      <c r="BO64" s="1270"/>
      <c r="BP64" s="698"/>
      <c r="BQ64" s="698"/>
      <c r="BR64" s="698"/>
      <c r="BS64" s="705"/>
      <c r="BT64" s="1270"/>
      <c r="BU64" s="698"/>
      <c r="BV64" s="698"/>
      <c r="BW64" s="698"/>
      <c r="BX64" s="698"/>
      <c r="BY64" s="1270"/>
      <c r="BZ64" s="698"/>
      <c r="CA64" s="698"/>
      <c r="CB64" s="698"/>
      <c r="CC64" s="705"/>
      <c r="CD64" s="699"/>
      <c r="CE64" s="698"/>
      <c r="CF64" s="698"/>
      <c r="CG64" s="698"/>
      <c r="CH64" s="705"/>
      <c r="CI64" s="699"/>
      <c r="CJ64" s="698"/>
      <c r="CK64" s="698"/>
      <c r="CL64" s="698"/>
      <c r="CM64" s="705"/>
      <c r="CN64" s="4360"/>
      <c r="CO64" s="698"/>
      <c r="CP64" s="698"/>
      <c r="CQ64" s="698"/>
      <c r="CR64" s="698"/>
      <c r="CS64" s="4360"/>
      <c r="CT64" s="698"/>
      <c r="CU64" s="698"/>
      <c r="CV64" s="698"/>
      <c r="CW64" s="698"/>
      <c r="CX64" s="4360"/>
      <c r="CY64" s="698"/>
      <c r="CZ64" s="698"/>
      <c r="DA64" s="698"/>
      <c r="DB64" s="698"/>
      <c r="DC64" s="4360"/>
      <c r="DD64" s="698"/>
      <c r="DE64" s="698"/>
      <c r="DF64" s="698"/>
      <c r="DG64" s="698"/>
      <c r="DH64" s="4360"/>
      <c r="DI64" s="698"/>
      <c r="DJ64" s="698"/>
      <c r="DK64" s="698"/>
      <c r="DL64" s="698"/>
      <c r="DM64" s="4360"/>
      <c r="DN64" s="698"/>
      <c r="DO64" s="698"/>
      <c r="DP64" s="698"/>
      <c r="DQ64" s="698"/>
      <c r="DR64" s="4360"/>
      <c r="DS64" s="698"/>
      <c r="DT64" s="698"/>
      <c r="DU64" s="698"/>
      <c r="DV64" s="698"/>
      <c r="DW64" s="4360"/>
      <c r="DX64" s="699"/>
      <c r="DY64" s="699"/>
      <c r="DZ64" s="699"/>
      <c r="EA64" s="699"/>
      <c r="EC64" s="755"/>
      <c r="ED64" s="755"/>
    </row>
    <row r="65" spans="1:167" ht="11.25" customHeight="1">
      <c r="A65" s="3116" t="s">
        <v>76</v>
      </c>
      <c r="B65" s="2992"/>
      <c r="C65" s="2992"/>
      <c r="D65" s="2992"/>
      <c r="E65" s="3162"/>
      <c r="F65" s="3137"/>
      <c r="G65" s="3137"/>
      <c r="H65" s="3137"/>
      <c r="I65" s="3162"/>
      <c r="J65" s="3139"/>
      <c r="K65" s="3137"/>
      <c r="L65" s="3137"/>
      <c r="M65" s="3162"/>
      <c r="N65" s="3139"/>
      <c r="O65" s="3137"/>
      <c r="P65" s="3137"/>
      <c r="Q65" s="3162"/>
      <c r="R65" s="3137"/>
      <c r="S65" s="3137"/>
      <c r="T65" s="3137"/>
      <c r="U65" s="3162"/>
      <c r="V65" s="3140"/>
      <c r="W65" s="3141"/>
      <c r="X65" s="3141"/>
      <c r="Y65" s="3162"/>
      <c r="Z65" s="3141"/>
      <c r="AA65" s="3141"/>
      <c r="AB65" s="3141"/>
      <c r="AC65" s="3162"/>
      <c r="AD65" s="3140"/>
      <c r="AE65" s="3141"/>
      <c r="AF65" s="3141"/>
      <c r="AG65" s="3162"/>
      <c r="AH65" s="3141"/>
      <c r="AI65" s="3141"/>
      <c r="AJ65" s="3141"/>
      <c r="AK65" s="3162"/>
      <c r="AL65" s="3141"/>
      <c r="AM65" s="3141"/>
      <c r="AN65" s="3141"/>
      <c r="AO65" s="3162"/>
      <c r="AP65" s="3141"/>
      <c r="AQ65" s="3163"/>
      <c r="AR65" s="3141"/>
      <c r="AS65" s="3162"/>
      <c r="AT65" s="3141"/>
      <c r="AU65" s="3141"/>
      <c r="AV65" s="3141"/>
      <c r="AW65" s="3162"/>
      <c r="AX65" s="3141"/>
      <c r="AY65" s="3141"/>
      <c r="AZ65" s="3141"/>
      <c r="BA65" s="3162"/>
      <c r="BB65" s="3141"/>
      <c r="BC65" s="3141"/>
      <c r="BD65" s="3141"/>
      <c r="BE65" s="3162"/>
      <c r="BF65" s="3164"/>
      <c r="BG65" s="3141"/>
      <c r="BH65" s="3141"/>
      <c r="BI65" s="3165"/>
      <c r="BJ65" s="3166"/>
      <c r="BK65" s="3165"/>
      <c r="BL65" s="3165"/>
      <c r="BM65" s="3165"/>
      <c r="BN65" s="3162"/>
      <c r="BO65" s="3166"/>
      <c r="BP65" s="3165"/>
      <c r="BQ65" s="3165"/>
      <c r="BR65" s="3165"/>
      <c r="BS65" s="3162"/>
      <c r="BT65" s="3166"/>
      <c r="BU65" s="3165"/>
      <c r="BV65" s="3165"/>
      <c r="BW65" s="3165"/>
      <c r="BX65" s="3165"/>
      <c r="BY65" s="3166"/>
      <c r="BZ65" s="3165"/>
      <c r="CA65" s="3165"/>
      <c r="CB65" s="3165"/>
      <c r="CC65" s="3162"/>
      <c r="CD65" s="3167"/>
      <c r="CE65" s="3165"/>
      <c r="CF65" s="3165"/>
      <c r="CG65" s="3165"/>
      <c r="CH65" s="3162"/>
      <c r="CI65" s="3167"/>
      <c r="CJ65" s="3165"/>
      <c r="CK65" s="3165"/>
      <c r="CL65" s="3165"/>
      <c r="CM65" s="3162"/>
      <c r="CN65" s="4362"/>
      <c r="CO65" s="3165"/>
      <c r="CP65" s="3165"/>
      <c r="CQ65" s="3165"/>
      <c r="CR65" s="3162"/>
      <c r="CS65" s="4362"/>
      <c r="CT65" s="3165"/>
      <c r="CU65" s="3165"/>
      <c r="CV65" s="3165"/>
      <c r="CW65" s="3162"/>
      <c r="CX65" s="4362"/>
      <c r="CY65" s="3165"/>
      <c r="CZ65" s="3165"/>
      <c r="DA65" s="3165"/>
      <c r="DB65" s="3162"/>
      <c r="DC65" s="4362"/>
      <c r="DD65" s="3165"/>
      <c r="DE65" s="3165"/>
      <c r="DF65" s="3165"/>
      <c r="DG65" s="3165"/>
      <c r="DH65" s="4362"/>
      <c r="DI65" s="3165"/>
      <c r="DJ65" s="3165"/>
      <c r="DK65" s="3165"/>
      <c r="DL65" s="3165"/>
      <c r="DM65" s="4362"/>
      <c r="DN65" s="3165"/>
      <c r="DO65" s="3165"/>
      <c r="DP65" s="3165"/>
      <c r="DQ65" s="3165"/>
      <c r="DR65" s="4362"/>
      <c r="DS65" s="3165"/>
      <c r="DT65" s="3165"/>
      <c r="DU65" s="3165"/>
      <c r="DV65" s="3165"/>
      <c r="DW65" s="4362"/>
      <c r="DX65" s="3167"/>
      <c r="DY65" s="3167"/>
      <c r="DZ65" s="3167"/>
      <c r="EA65" s="3167"/>
      <c r="EB65" s="106"/>
      <c r="EC65" s="755"/>
      <c r="ED65" s="755"/>
    </row>
    <row r="66" spans="1:167" s="106" customFormat="1" ht="11.25" customHeight="1">
      <c r="A66" s="1603" t="s">
        <v>838</v>
      </c>
      <c r="B66" s="107"/>
      <c r="C66" s="107"/>
      <c r="D66" s="107"/>
      <c r="E66" s="703"/>
      <c r="F66" s="107"/>
      <c r="G66" s="107"/>
      <c r="H66" s="107"/>
      <c r="I66" s="703"/>
      <c r="J66" s="108"/>
      <c r="K66" s="107"/>
      <c r="L66" s="107"/>
      <c r="M66" s="703"/>
      <c r="N66" s="108"/>
      <c r="O66" s="107"/>
      <c r="P66" s="107"/>
      <c r="Q66" s="703">
        <f t="shared" ref="Q66:BI66" si="236">Q8+Q9</f>
        <v>146.33099999999999</v>
      </c>
      <c r="R66" s="109">
        <f t="shared" si="236"/>
        <v>0</v>
      </c>
      <c r="S66" s="110">
        <f t="shared" si="236"/>
        <v>0</v>
      </c>
      <c r="T66" s="110">
        <f t="shared" si="236"/>
        <v>0</v>
      </c>
      <c r="U66" s="703">
        <f t="shared" si="236"/>
        <v>334.71800000000002</v>
      </c>
      <c r="V66" s="111">
        <f t="shared" si="236"/>
        <v>454.88800000000003</v>
      </c>
      <c r="W66" s="112">
        <f t="shared" si="236"/>
        <v>548.68700000000001</v>
      </c>
      <c r="X66" s="112">
        <f t="shared" si="236"/>
        <v>1858.356</v>
      </c>
      <c r="Y66" s="703">
        <f t="shared" si="236"/>
        <v>2132.297</v>
      </c>
      <c r="Z66" s="111">
        <f t="shared" si="236"/>
        <v>2507.2980000000002</v>
      </c>
      <c r="AA66" s="112">
        <f t="shared" si="236"/>
        <v>2947.9669999999996</v>
      </c>
      <c r="AB66" s="112">
        <f t="shared" si="236"/>
        <v>7630.1470000000008</v>
      </c>
      <c r="AC66" s="703">
        <f t="shared" si="236"/>
        <v>8034.2470000000003</v>
      </c>
      <c r="AD66" s="111">
        <f t="shared" si="236"/>
        <v>8429.0280000000002</v>
      </c>
      <c r="AE66" s="112">
        <f t="shared" si="236"/>
        <v>9821.6319999999996</v>
      </c>
      <c r="AF66" s="112">
        <f t="shared" si="236"/>
        <v>10428.715</v>
      </c>
      <c r="AG66" s="703">
        <f t="shared" si="236"/>
        <v>11243.914000000001</v>
      </c>
      <c r="AH66" s="111">
        <f t="shared" si="236"/>
        <v>11935.919</v>
      </c>
      <c r="AI66" s="112">
        <f t="shared" si="236"/>
        <v>12503.535</v>
      </c>
      <c r="AJ66" s="112">
        <f t="shared" si="236"/>
        <v>13087.345000000001</v>
      </c>
      <c r="AK66" s="703">
        <f t="shared" si="236"/>
        <v>14218.613000000001</v>
      </c>
      <c r="AL66" s="111">
        <f t="shared" si="236"/>
        <v>12134.5083</v>
      </c>
      <c r="AM66" s="112">
        <f t="shared" si="236"/>
        <v>12733.668000000001</v>
      </c>
      <c r="AN66" s="112">
        <f t="shared" si="236"/>
        <v>14412.609</v>
      </c>
      <c r="AO66" s="703">
        <f t="shared" si="236"/>
        <v>15845.771000000001</v>
      </c>
      <c r="AP66" s="111">
        <f t="shared" si="236"/>
        <v>17784.932999999997</v>
      </c>
      <c r="AQ66" s="112">
        <f t="shared" si="236"/>
        <v>19344.006000000001</v>
      </c>
      <c r="AR66" s="112">
        <f t="shared" si="236"/>
        <v>21994.390000000003</v>
      </c>
      <c r="AS66" s="703">
        <f t="shared" si="236"/>
        <v>24484.774000000001</v>
      </c>
      <c r="AT66" s="112">
        <f t="shared" si="236"/>
        <v>26514</v>
      </c>
      <c r="AU66" s="113">
        <f t="shared" si="236"/>
        <v>30059</v>
      </c>
      <c r="AV66" s="112">
        <f t="shared" si="236"/>
        <v>33380</v>
      </c>
      <c r="AW66" s="703">
        <f t="shared" si="236"/>
        <v>34975</v>
      </c>
      <c r="AX66" s="112">
        <f t="shared" si="236"/>
        <v>36675</v>
      </c>
      <c r="AY66" s="113">
        <f t="shared" si="236"/>
        <v>39118</v>
      </c>
      <c r="AZ66" s="112">
        <f t="shared" si="236"/>
        <v>42560</v>
      </c>
      <c r="BA66" s="703">
        <f t="shared" si="236"/>
        <v>44626</v>
      </c>
      <c r="BB66" s="113">
        <f t="shared" si="236"/>
        <v>49316</v>
      </c>
      <c r="BC66" s="113">
        <f t="shared" si="236"/>
        <v>43122</v>
      </c>
      <c r="BD66" s="113">
        <f t="shared" si="236"/>
        <v>45724</v>
      </c>
      <c r="BE66" s="703">
        <f t="shared" si="236"/>
        <v>48088</v>
      </c>
      <c r="BF66" s="482">
        <f t="shared" si="236"/>
        <v>50098</v>
      </c>
      <c r="BG66" s="113">
        <f t="shared" si="236"/>
        <v>54432</v>
      </c>
      <c r="BH66" s="113">
        <f t="shared" si="236"/>
        <v>56523</v>
      </c>
      <c r="BI66" s="679">
        <f t="shared" si="236"/>
        <v>58717</v>
      </c>
      <c r="BJ66" s="1259">
        <f>BI66</f>
        <v>58717</v>
      </c>
      <c r="BK66" s="679">
        <f>BK8+BK9</f>
        <v>59379</v>
      </c>
      <c r="BL66" s="679">
        <f>BL8+BL9</f>
        <v>61204</v>
      </c>
      <c r="BM66" s="679">
        <f>BM8+BM9</f>
        <v>62157</v>
      </c>
      <c r="BN66" s="703">
        <f>BN8+BN9</f>
        <v>64395</v>
      </c>
      <c r="BO66" s="1259">
        <f>BN66</f>
        <v>64395</v>
      </c>
      <c r="BP66" s="679">
        <f>BP8+BP9</f>
        <v>65436</v>
      </c>
      <c r="BQ66" s="679">
        <f>BQ8+BQ9</f>
        <v>69780</v>
      </c>
      <c r="BR66" s="679">
        <f>BR8+BR9</f>
        <v>72767</v>
      </c>
      <c r="BS66" s="703">
        <f>BS8+BS9</f>
        <v>73066</v>
      </c>
      <c r="BT66" s="1259">
        <f>BS66</f>
        <v>73066</v>
      </c>
      <c r="BU66" s="679">
        <f>BU8+BU9</f>
        <v>75264</v>
      </c>
      <c r="BV66" s="679">
        <f>BV8+BV9</f>
        <v>78460</v>
      </c>
      <c r="BW66" s="679">
        <f>BW8+BW9</f>
        <v>83056</v>
      </c>
      <c r="BX66" s="679">
        <f>BX8+BX9</f>
        <v>86333</v>
      </c>
      <c r="BY66" s="1259">
        <f>BX66</f>
        <v>86333</v>
      </c>
      <c r="BZ66" s="679">
        <f t="shared" ref="BZ66:CX66" si="237">BZ8+BZ9</f>
        <v>92439</v>
      </c>
      <c r="CA66" s="679">
        <f t="shared" si="237"/>
        <v>94713</v>
      </c>
      <c r="CB66" s="679">
        <f t="shared" si="237"/>
        <v>100143</v>
      </c>
      <c r="CC66" s="703">
        <f t="shared" si="237"/>
        <v>101871</v>
      </c>
      <c r="CD66" s="702">
        <f t="shared" si="237"/>
        <v>101871</v>
      </c>
      <c r="CE66" s="679">
        <f t="shared" si="237"/>
        <v>102885</v>
      </c>
      <c r="CF66" s="679">
        <f t="shared" si="237"/>
        <v>102254</v>
      </c>
      <c r="CG66" s="679">
        <f t="shared" si="237"/>
        <v>106416</v>
      </c>
      <c r="CH66" s="679">
        <f t="shared" si="237"/>
        <v>109140</v>
      </c>
      <c r="CI66" s="702">
        <f t="shared" si="237"/>
        <v>109140</v>
      </c>
      <c r="CJ66" s="679">
        <f t="shared" si="237"/>
        <v>113488</v>
      </c>
      <c r="CK66" s="679">
        <f t="shared" si="237"/>
        <v>121056</v>
      </c>
      <c r="CL66" s="679">
        <f t="shared" si="237"/>
        <v>121177</v>
      </c>
      <c r="CM66" s="679">
        <f t="shared" si="237"/>
        <v>119675</v>
      </c>
      <c r="CN66" s="4352">
        <f t="shared" si="237"/>
        <v>119675</v>
      </c>
      <c r="CO66" s="537">
        <f t="shared" si="237"/>
        <v>117229</v>
      </c>
      <c r="CP66" s="537">
        <f t="shared" si="237"/>
        <v>121080</v>
      </c>
      <c r="CQ66" s="537">
        <f t="shared" si="237"/>
        <v>132596</v>
      </c>
      <c r="CR66" s="537">
        <f t="shared" si="237"/>
        <v>136694</v>
      </c>
      <c r="CS66" s="4352">
        <f t="shared" si="237"/>
        <v>136694</v>
      </c>
      <c r="CT66" s="537">
        <f t="shared" si="237"/>
        <v>135104</v>
      </c>
      <c r="CU66" s="537">
        <f t="shared" si="237"/>
        <v>135863</v>
      </c>
      <c r="CV66" s="537">
        <f t="shared" si="237"/>
        <v>142003</v>
      </c>
      <c r="CW66" s="537">
        <f t="shared" si="237"/>
        <v>139649</v>
      </c>
      <c r="CX66" s="4352">
        <f t="shared" si="237"/>
        <v>139649</v>
      </c>
      <c r="CY66" s="537">
        <f t="shared" ref="CY66:DH66" si="238">CY8+CY9</f>
        <v>133970</v>
      </c>
      <c r="CZ66" s="537">
        <f t="shared" si="238"/>
        <v>124997</v>
      </c>
      <c r="DA66" s="537">
        <f t="shared" si="238"/>
        <v>116259</v>
      </c>
      <c r="DB66" s="537">
        <f t="shared" si="238"/>
        <v>113762</v>
      </c>
      <c r="DC66" s="4352">
        <f t="shared" si="238"/>
        <v>113762</v>
      </c>
      <c r="DD66" s="537">
        <f t="shared" si="238"/>
        <v>115102</v>
      </c>
      <c r="DE66" s="537">
        <f>DE8+DE9</f>
        <v>118332</v>
      </c>
      <c r="DF66" s="537">
        <f t="shared" si="238"/>
        <v>119935</v>
      </c>
      <c r="DG66" s="537">
        <f t="shared" ref="DG66" si="239">DG8+DG9</f>
        <v>110916</v>
      </c>
      <c r="DH66" s="4352">
        <f t="shared" si="238"/>
        <v>110916</v>
      </c>
      <c r="DI66" s="537">
        <f t="shared" ref="DI66" si="240">DI8+DI9</f>
        <v>108090</v>
      </c>
      <c r="DJ66" s="537">
        <f>DJ8+DJ9</f>
        <v>100725</v>
      </c>
      <c r="DK66" s="537">
        <f t="shared" ref="DK66:DL66" si="241">DK8+DK9</f>
        <v>93230</v>
      </c>
      <c r="DL66" s="537">
        <f t="shared" si="241"/>
        <v>95657</v>
      </c>
      <c r="DM66" s="4352">
        <f>DM8+DM9</f>
        <v>95657</v>
      </c>
      <c r="DN66" s="537">
        <f t="shared" ref="DN66" si="242">DN8+DN9</f>
        <v>95328</v>
      </c>
      <c r="DO66" s="537">
        <f>DO8+DO9</f>
        <v>95148</v>
      </c>
      <c r="DP66" s="537">
        <f t="shared" ref="DP66" si="243">DP8+DP9</f>
        <v>98496</v>
      </c>
      <c r="DQ66" s="537">
        <f t="shared" ref="DQ66" ca="1" si="244">DQ8+DQ9</f>
        <v>98348.482682274771</v>
      </c>
      <c r="DR66" s="4352">
        <f ca="1">DR8+DR9</f>
        <v>98348.482682274771</v>
      </c>
      <c r="DS66" s="537">
        <f t="shared" ref="DS66:DV66" ca="1" si="245">DS8+DS9</f>
        <v>96100.156031030929</v>
      </c>
      <c r="DT66" s="537">
        <f t="shared" ca="1" si="245"/>
        <v>78485.73952323437</v>
      </c>
      <c r="DU66" s="537">
        <f t="shared" ca="1" si="245"/>
        <v>79307.291153039536</v>
      </c>
      <c r="DV66" s="537">
        <f t="shared" ca="1" si="245"/>
        <v>80552.215656951957</v>
      </c>
      <c r="DW66" s="4352">
        <f ca="1">DW8+DW9</f>
        <v>80552.215656951957</v>
      </c>
      <c r="DX66" s="687">
        <f ca="1">DX8+DX9</f>
        <v>64998.80529171518</v>
      </c>
      <c r="DY66" s="687">
        <f ca="1">DY8+DY9</f>
        <v>64575.471246096873</v>
      </c>
      <c r="DZ66" s="687">
        <f ca="1">DZ8+DZ9</f>
        <v>76869.733981887941</v>
      </c>
      <c r="EA66" s="687">
        <f ca="1">EA8+EA9</f>
        <v>106154.50521581761</v>
      </c>
      <c r="EC66" s="6197">
        <f ca="1">(DX66/DM66)^(1/3)-1</f>
        <v>-0.12085021829757603</v>
      </c>
      <c r="ED66" s="6197">
        <f ca="1">(DZ66/DM66)^(1/5)-1</f>
        <v>-4.2788903923688393E-2</v>
      </c>
    </row>
    <row r="67" spans="1:167" s="106" customFormat="1" ht="11.25" customHeight="1">
      <c r="A67" s="1601" t="s">
        <v>886</v>
      </c>
      <c r="B67" s="107"/>
      <c r="C67" s="107"/>
      <c r="D67" s="107"/>
      <c r="E67" s="703"/>
      <c r="F67" s="107"/>
      <c r="G67" s="107"/>
      <c r="H67" s="107"/>
      <c r="I67" s="703"/>
      <c r="J67" s="4568"/>
      <c r="K67" s="107"/>
      <c r="L67" s="107"/>
      <c r="M67" s="703"/>
      <c r="N67" s="4568"/>
      <c r="O67" s="107"/>
      <c r="P67" s="107"/>
      <c r="Q67" s="703"/>
      <c r="R67" s="110"/>
      <c r="S67" s="110"/>
      <c r="T67" s="110"/>
      <c r="U67" s="703"/>
      <c r="V67" s="4569"/>
      <c r="W67" s="112"/>
      <c r="X67" s="112"/>
      <c r="Y67" s="703"/>
      <c r="Z67" s="112"/>
      <c r="AA67" s="112"/>
      <c r="AB67" s="112"/>
      <c r="AC67" s="703"/>
      <c r="AD67" s="4569"/>
      <c r="AE67" s="112"/>
      <c r="AF67" s="112"/>
      <c r="AG67" s="703"/>
      <c r="AH67" s="4569"/>
      <c r="AI67" s="112"/>
      <c r="AJ67" s="112"/>
      <c r="AK67" s="703"/>
      <c r="AL67" s="4569"/>
      <c r="AM67" s="112"/>
      <c r="AN67" s="112"/>
      <c r="AO67" s="703"/>
      <c r="AP67" s="4569"/>
      <c r="AQ67" s="112"/>
      <c r="AR67" s="112"/>
      <c r="AS67" s="703"/>
      <c r="AT67" s="112"/>
      <c r="AU67" s="113"/>
      <c r="AV67" s="112"/>
      <c r="AW67" s="703"/>
      <c r="AX67" s="112"/>
      <c r="AY67" s="113"/>
      <c r="AZ67" s="112"/>
      <c r="BA67" s="703"/>
      <c r="BB67" s="113"/>
      <c r="BC67" s="113"/>
      <c r="BD67" s="113"/>
      <c r="BE67" s="703"/>
      <c r="BF67" s="679">
        <f>BF66-BE66</f>
        <v>2010</v>
      </c>
      <c r="BG67" s="679">
        <f>BG66-BF66</f>
        <v>4334</v>
      </c>
      <c r="BH67" s="679">
        <f>BH66-BG66</f>
        <v>2091</v>
      </c>
      <c r="BI67" s="679">
        <f>BI66-BH66</f>
        <v>2194</v>
      </c>
      <c r="BJ67" s="4570">
        <f>BJ66-BE66</f>
        <v>10629</v>
      </c>
      <c r="BK67" s="679">
        <f>BK66-BJ66</f>
        <v>662</v>
      </c>
      <c r="BL67" s="679">
        <f>BL66-BK66</f>
        <v>1825</v>
      </c>
      <c r="BM67" s="679">
        <f>BM66-BL66</f>
        <v>953</v>
      </c>
      <c r="BN67" s="679">
        <f>BN66-BM66</f>
        <v>2238</v>
      </c>
      <c r="BO67" s="4570">
        <f>BO66-BJ66</f>
        <v>5678</v>
      </c>
      <c r="BP67" s="679">
        <f>BP66-BO66</f>
        <v>1041</v>
      </c>
      <c r="BQ67" s="679">
        <f>BQ66-BP66</f>
        <v>4344</v>
      </c>
      <c r="BR67" s="679">
        <f>BR66-BQ66</f>
        <v>2987</v>
      </c>
      <c r="BS67" s="679">
        <f>BS66-BR66</f>
        <v>299</v>
      </c>
      <c r="BT67" s="4570">
        <f>BT66-BO66</f>
        <v>8671</v>
      </c>
      <c r="BU67" s="679">
        <f>BU66-BT66</f>
        <v>2198</v>
      </c>
      <c r="BV67" s="679">
        <f>BV66-BU66</f>
        <v>3196</v>
      </c>
      <c r="BW67" s="679">
        <f>BW66-BV66</f>
        <v>4596</v>
      </c>
      <c r="BX67" s="679">
        <f>BX66-BW66</f>
        <v>3277</v>
      </c>
      <c r="BY67" s="4570">
        <f>BY66-BT66</f>
        <v>13267</v>
      </c>
      <c r="BZ67" s="679">
        <f>BZ66-BY66</f>
        <v>6106</v>
      </c>
      <c r="CA67" s="679">
        <f>CA66-BZ66</f>
        <v>2274</v>
      </c>
      <c r="CB67" s="679">
        <f>CB66-CA66</f>
        <v>5430</v>
      </c>
      <c r="CC67" s="679">
        <f>CC66-CB66</f>
        <v>1728</v>
      </c>
      <c r="CD67" s="4570">
        <f>CD66-BY66</f>
        <v>15538</v>
      </c>
      <c r="CE67" s="679">
        <f>CE66-CD66</f>
        <v>1014</v>
      </c>
      <c r="CF67" s="679">
        <f>CF66-CE66</f>
        <v>-631</v>
      </c>
      <c r="CG67" s="679">
        <f>CG66-CF66</f>
        <v>4162</v>
      </c>
      <c r="CH67" s="679">
        <f>CH66-CG66</f>
        <v>2724</v>
      </c>
      <c r="CI67" s="4570">
        <f>CI66-CD66</f>
        <v>7269</v>
      </c>
      <c r="CJ67" s="679">
        <f>CJ66-CI66</f>
        <v>4348</v>
      </c>
      <c r="CK67" s="679">
        <f>CK66-CJ66</f>
        <v>7568</v>
      </c>
      <c r="CL67" s="679">
        <f>CL66-CK66</f>
        <v>121</v>
      </c>
      <c r="CM67" s="679">
        <f>CM66-CL66</f>
        <v>-1502</v>
      </c>
      <c r="CN67" s="4356">
        <f>CN66-CI66</f>
        <v>10535</v>
      </c>
      <c r="CO67" s="537">
        <f>CO66-CN66</f>
        <v>-2446</v>
      </c>
      <c r="CP67" s="537">
        <f>CP66-CO66</f>
        <v>3851</v>
      </c>
      <c r="CQ67" s="537">
        <f>CQ66-CP66</f>
        <v>11516</v>
      </c>
      <c r="CR67" s="537">
        <f>CR66-CQ66</f>
        <v>4098</v>
      </c>
      <c r="CS67" s="4356">
        <f>CS66-CN66</f>
        <v>17019</v>
      </c>
      <c r="CT67" s="537">
        <f>CT66-CS66</f>
        <v>-1590</v>
      </c>
      <c r="CU67" s="537">
        <f>CU66-CT66</f>
        <v>759</v>
      </c>
      <c r="CV67" s="537">
        <f>CV66-CU66</f>
        <v>6140</v>
      </c>
      <c r="CW67" s="537">
        <f>CW66-CV66</f>
        <v>-2354</v>
      </c>
      <c r="CX67" s="4356">
        <f>CX66-CS66</f>
        <v>2955</v>
      </c>
      <c r="CY67" s="537">
        <f>CY66-CX66</f>
        <v>-5679</v>
      </c>
      <c r="CZ67" s="537">
        <f>CZ66-CY66</f>
        <v>-8973</v>
      </c>
      <c r="DA67" s="537">
        <f>DA66-CZ66</f>
        <v>-8738</v>
      </c>
      <c r="DB67" s="537">
        <f>DB66-DA66</f>
        <v>-2497</v>
      </c>
      <c r="DC67" s="4356">
        <f>DC66-CX66</f>
        <v>-25887</v>
      </c>
      <c r="DD67" s="537">
        <f>DD66-DC66</f>
        <v>1340</v>
      </c>
      <c r="DE67" s="537">
        <f>DE66-DD66</f>
        <v>3230</v>
      </c>
      <c r="DF67" s="537">
        <f>DF66-DE66</f>
        <v>1603</v>
      </c>
      <c r="DG67" s="537">
        <f>DG66-DF66</f>
        <v>-9019</v>
      </c>
      <c r="DH67" s="4356">
        <f>DH66-DC66</f>
        <v>-2846</v>
      </c>
      <c r="DI67" s="537">
        <f>DI66-DH66</f>
        <v>-2826</v>
      </c>
      <c r="DJ67" s="537">
        <f>DJ66-DI66</f>
        <v>-7365</v>
      </c>
      <c r="DK67" s="537">
        <f>DK66-DJ66</f>
        <v>-7495</v>
      </c>
      <c r="DL67" s="537">
        <f>DL66-DK66</f>
        <v>2427</v>
      </c>
      <c r="DM67" s="4356">
        <f>DM66-DH66</f>
        <v>-15259</v>
      </c>
      <c r="DN67" s="537">
        <f>DN66-DM66</f>
        <v>-329</v>
      </c>
      <c r="DO67" s="537">
        <f>DO66-DN66</f>
        <v>-180</v>
      </c>
      <c r="DP67" s="537">
        <f>DP66-DO66</f>
        <v>3348</v>
      </c>
      <c r="DQ67" s="537">
        <f t="shared" ref="DQ67" ca="1" si="246">DQ66-DP66</f>
        <v>-147.51731772522908</v>
      </c>
      <c r="DR67" s="4356">
        <f ca="1">DR66-DM66</f>
        <v>2691.4826822747709</v>
      </c>
      <c r="DS67" s="537">
        <f t="shared" ref="DS67" ca="1" si="247">DS66-DR66</f>
        <v>-2248.3266512438422</v>
      </c>
      <c r="DT67" s="537">
        <f t="shared" ref="DT67" ca="1" si="248">DT66-DS66</f>
        <v>-17614.416507796559</v>
      </c>
      <c r="DU67" s="537">
        <f t="shared" ref="DU67" ca="1" si="249">DU66-DT66</f>
        <v>821.55162980516616</v>
      </c>
      <c r="DV67" s="537">
        <f t="shared" ref="DV67" ca="1" si="250">DV66-DU66</f>
        <v>1244.9245039124216</v>
      </c>
      <c r="DW67" s="4356">
        <f ca="1">DW66-DR66</f>
        <v>-17796.267025322813</v>
      </c>
      <c r="DX67" s="4205">
        <f ca="1">DX66-DW66</f>
        <v>-15553.410365236778</v>
      </c>
      <c r="DY67" s="4205">
        <f ca="1">DY66-DX66</f>
        <v>-423.33404561830685</v>
      </c>
      <c r="DZ67" s="4205">
        <f ca="1">DZ66-DY66</f>
        <v>12294.262735791068</v>
      </c>
      <c r="EA67" s="4205">
        <f ca="1">EA66-DZ66</f>
        <v>29284.77123392967</v>
      </c>
      <c r="EC67" s="754"/>
      <c r="ED67" s="754"/>
    </row>
    <row r="68" spans="1:167" s="106" customFormat="1" ht="11.25" hidden="1" customHeight="1" outlineLevel="1">
      <c r="A68" s="1601" t="s">
        <v>630</v>
      </c>
      <c r="B68" s="107"/>
      <c r="C68" s="107"/>
      <c r="D68" s="107"/>
      <c r="E68" s="703"/>
      <c r="F68" s="107"/>
      <c r="G68" s="107"/>
      <c r="H68" s="107"/>
      <c r="I68" s="703"/>
      <c r="J68" s="2283"/>
      <c r="K68" s="107"/>
      <c r="L68" s="107"/>
      <c r="M68" s="703"/>
      <c r="N68" s="2283"/>
      <c r="O68" s="107"/>
      <c r="P68" s="107"/>
      <c r="Q68" s="703"/>
      <c r="R68" s="110"/>
      <c r="S68" s="110"/>
      <c r="T68" s="110"/>
      <c r="U68" s="703"/>
      <c r="V68" s="2284"/>
      <c r="W68" s="112"/>
      <c r="X68" s="112"/>
      <c r="Y68" s="703"/>
      <c r="Z68" s="112"/>
      <c r="AA68" s="112"/>
      <c r="AB68" s="112"/>
      <c r="AC68" s="703"/>
      <c r="AD68" s="2284"/>
      <c r="AE68" s="112"/>
      <c r="AF68" s="112"/>
      <c r="AG68" s="703"/>
      <c r="AH68" s="2284"/>
      <c r="AI68" s="112"/>
      <c r="AJ68" s="112"/>
      <c r="AK68" s="703"/>
      <c r="AL68" s="2284"/>
      <c r="AM68" s="112"/>
      <c r="AN68" s="112"/>
      <c r="AO68" s="703"/>
      <c r="AP68" s="2284"/>
      <c r="AQ68" s="112"/>
      <c r="AR68" s="112"/>
      <c r="AS68" s="703"/>
      <c r="AT68" s="112"/>
      <c r="AU68" s="113"/>
      <c r="AV68" s="112"/>
      <c r="AW68" s="703"/>
      <c r="AX68" s="112"/>
      <c r="AY68" s="113"/>
      <c r="AZ68" s="112"/>
      <c r="BA68" s="703"/>
      <c r="BB68" s="113"/>
      <c r="BC68" s="113"/>
      <c r="BD68" s="113"/>
      <c r="BE68" s="703"/>
      <c r="BF68" s="2285"/>
      <c r="BG68" s="113"/>
      <c r="BH68" s="113"/>
      <c r="BI68" s="679"/>
      <c r="BJ68" s="1259"/>
      <c r="BK68" s="679"/>
      <c r="BL68" s="679"/>
      <c r="BM68" s="679"/>
      <c r="BN68" s="703"/>
      <c r="BO68" s="1259"/>
      <c r="BP68" s="679"/>
      <c r="BQ68" s="679"/>
      <c r="BR68" s="679"/>
      <c r="BS68" s="703"/>
      <c r="BT68" s="1259"/>
      <c r="BU68" s="679"/>
      <c r="BV68" s="679"/>
      <c r="BW68" s="679"/>
      <c r="BX68" s="679"/>
      <c r="BY68" s="1259"/>
      <c r="BZ68" s="683">
        <v>55700</v>
      </c>
      <c r="CA68" s="683">
        <v>57900</v>
      </c>
      <c r="CB68" s="683">
        <v>60500</v>
      </c>
      <c r="CC68" s="703"/>
      <c r="CD68" s="1259"/>
      <c r="CE68" s="683"/>
      <c r="CF68" s="683"/>
      <c r="CG68" s="679"/>
      <c r="CH68" s="703"/>
      <c r="CI68" s="1259"/>
      <c r="CJ68" s="679"/>
      <c r="CK68" s="679"/>
      <c r="CL68" s="679"/>
      <c r="CM68" s="703"/>
      <c r="CN68" s="4363"/>
      <c r="CO68" s="679"/>
      <c r="CP68" s="679"/>
      <c r="CQ68" s="679"/>
      <c r="CR68" s="703"/>
      <c r="CS68" s="4363"/>
      <c r="CT68" s="679"/>
      <c r="CU68" s="679"/>
      <c r="CV68" s="679"/>
      <c r="CW68" s="703"/>
      <c r="CX68" s="4363"/>
      <c r="CY68" s="679"/>
      <c r="CZ68" s="679"/>
      <c r="DA68" s="679"/>
      <c r="DB68" s="703"/>
      <c r="DC68" s="4363"/>
      <c r="DD68" s="679"/>
      <c r="DE68" s="679"/>
      <c r="DF68" s="679"/>
      <c r="DG68" s="703"/>
      <c r="DH68" s="4363"/>
      <c r="DI68" s="679"/>
      <c r="DJ68" s="679"/>
      <c r="DK68" s="679"/>
      <c r="DL68" s="703"/>
      <c r="DM68" s="4363"/>
      <c r="DN68" s="679"/>
      <c r="DO68" s="679"/>
      <c r="DP68" s="679"/>
      <c r="DQ68" s="679"/>
      <c r="DR68" s="4363"/>
      <c r="DS68" s="679"/>
      <c r="DT68" s="679"/>
      <c r="DU68" s="679"/>
      <c r="DV68" s="679"/>
      <c r="DW68" s="4363"/>
      <c r="DX68" s="1259"/>
      <c r="DY68" s="1259"/>
      <c r="DZ68" s="1259"/>
      <c r="EA68" s="1259"/>
      <c r="EC68" s="754"/>
      <c r="ED68" s="754"/>
    </row>
    <row r="69" spans="1:167" s="106" customFormat="1" ht="11.25" hidden="1" customHeight="1" outlineLevel="1">
      <c r="A69" s="2286" t="s">
        <v>633</v>
      </c>
      <c r="B69" s="107"/>
      <c r="C69" s="107"/>
      <c r="D69" s="107"/>
      <c r="E69" s="703"/>
      <c r="F69" s="107"/>
      <c r="G69" s="107"/>
      <c r="H69" s="107"/>
      <c r="I69" s="703"/>
      <c r="J69" s="2283"/>
      <c r="K69" s="107"/>
      <c r="L69" s="107"/>
      <c r="M69" s="703"/>
      <c r="N69" s="2283"/>
      <c r="O69" s="107"/>
      <c r="P69" s="107"/>
      <c r="Q69" s="703"/>
      <c r="R69" s="110"/>
      <c r="S69" s="110"/>
      <c r="T69" s="110"/>
      <c r="U69" s="703"/>
      <c r="V69" s="2284"/>
      <c r="W69" s="112"/>
      <c r="X69" s="112"/>
      <c r="Y69" s="703"/>
      <c r="Z69" s="112"/>
      <c r="AA69" s="112"/>
      <c r="AB69" s="112"/>
      <c r="AC69" s="703"/>
      <c r="AD69" s="2284"/>
      <c r="AE69" s="112"/>
      <c r="AF69" s="112"/>
      <c r="AG69" s="703"/>
      <c r="AH69" s="2284"/>
      <c r="AI69" s="112"/>
      <c r="AJ69" s="112"/>
      <c r="AK69" s="703"/>
      <c r="AL69" s="2284"/>
      <c r="AM69" s="112"/>
      <c r="AN69" s="112"/>
      <c r="AO69" s="703"/>
      <c r="AP69" s="2284"/>
      <c r="AQ69" s="112"/>
      <c r="AR69" s="112"/>
      <c r="AS69" s="703"/>
      <c r="AT69" s="112"/>
      <c r="AU69" s="113"/>
      <c r="AV69" s="112"/>
      <c r="AW69" s="703"/>
      <c r="AX69" s="112"/>
      <c r="AY69" s="113"/>
      <c r="AZ69" s="112"/>
      <c r="BA69" s="703"/>
      <c r="BB69" s="113"/>
      <c r="BC69" s="113"/>
      <c r="BD69" s="113"/>
      <c r="BE69" s="703"/>
      <c r="BF69" s="2285"/>
      <c r="BG69" s="113"/>
      <c r="BH69" s="113"/>
      <c r="BI69" s="679"/>
      <c r="BJ69" s="1259"/>
      <c r="BK69" s="679"/>
      <c r="BL69" s="679"/>
      <c r="BM69" s="679"/>
      <c r="BN69" s="703"/>
      <c r="BO69" s="1259"/>
      <c r="BP69" s="679"/>
      <c r="BQ69" s="679"/>
      <c r="BR69" s="679"/>
      <c r="BS69" s="703"/>
      <c r="BT69" s="1259"/>
      <c r="BU69" s="679"/>
      <c r="BV69" s="679"/>
      <c r="BW69" s="679"/>
      <c r="BX69" s="679"/>
      <c r="BY69" s="1259"/>
      <c r="BZ69" s="2287">
        <f>BZ68/BZ66</f>
        <v>0.60255952574129967</v>
      </c>
      <c r="CA69" s="2287">
        <f>CA68/CA66</f>
        <v>0.61132051566310852</v>
      </c>
      <c r="CB69" s="2287">
        <f>CB68/CB66</f>
        <v>0.604136085397881</v>
      </c>
      <c r="CC69" s="703"/>
      <c r="CD69" s="1259"/>
      <c r="CE69" s="2287"/>
      <c r="CF69" s="2287"/>
      <c r="CG69" s="679"/>
      <c r="CH69" s="703"/>
      <c r="CI69" s="1259"/>
      <c r="CJ69" s="679"/>
      <c r="CK69" s="679"/>
      <c r="CL69" s="679"/>
      <c r="CM69" s="703"/>
      <c r="CN69" s="4363"/>
      <c r="CO69" s="679"/>
      <c r="CP69" s="679"/>
      <c r="CQ69" s="679"/>
      <c r="CR69" s="703"/>
      <c r="CS69" s="4363"/>
      <c r="CT69" s="679"/>
      <c r="CU69" s="679"/>
      <c r="CV69" s="679"/>
      <c r="CW69" s="703"/>
      <c r="CX69" s="4363"/>
      <c r="CY69" s="679"/>
      <c r="CZ69" s="679"/>
      <c r="DA69" s="679"/>
      <c r="DB69" s="703"/>
      <c r="DC69" s="4363"/>
      <c r="DD69" s="679"/>
      <c r="DE69" s="679"/>
      <c r="DF69" s="679"/>
      <c r="DG69" s="703"/>
      <c r="DH69" s="4363"/>
      <c r="DI69" s="679"/>
      <c r="DJ69" s="679"/>
      <c r="DK69" s="679"/>
      <c r="DL69" s="703"/>
      <c r="DM69" s="4363"/>
      <c r="DN69" s="679"/>
      <c r="DO69" s="679"/>
      <c r="DP69" s="679"/>
      <c r="DQ69" s="679"/>
      <c r="DR69" s="4363"/>
      <c r="DS69" s="679"/>
      <c r="DT69" s="679"/>
      <c r="DU69" s="679"/>
      <c r="DV69" s="679"/>
      <c r="DW69" s="4363"/>
      <c r="DX69" s="1259"/>
      <c r="DY69" s="1259"/>
      <c r="DZ69" s="1259"/>
      <c r="EA69" s="1259"/>
      <c r="EC69" s="754"/>
      <c r="ED69" s="754"/>
    </row>
    <row r="70" spans="1:167" ht="11.25" customHeight="1" collapsed="1">
      <c r="A70" s="1601" t="s">
        <v>631</v>
      </c>
      <c r="B70" s="114"/>
      <c r="C70" s="114"/>
      <c r="D70" s="114"/>
      <c r="E70" s="735"/>
      <c r="F70" s="114"/>
      <c r="G70" s="114"/>
      <c r="H70" s="114"/>
      <c r="I70" s="735"/>
      <c r="J70" s="115"/>
      <c r="K70" s="114"/>
      <c r="L70" s="114"/>
      <c r="M70" s="735"/>
      <c r="N70" s="115"/>
      <c r="O70" s="114"/>
      <c r="P70" s="114"/>
      <c r="Q70" s="735">
        <f>Q66/IS!U38</f>
        <v>3.3161630399804201E-2</v>
      </c>
      <c r="R70" s="116"/>
      <c r="S70" s="116"/>
      <c r="T70" s="116"/>
      <c r="U70" s="1437">
        <f>U66/IS!Y38</f>
        <v>6.3740997330144239E-2</v>
      </c>
      <c r="V70" s="1438">
        <f>V66/IS!AA38</f>
        <v>8.6093351956787537E-2</v>
      </c>
      <c r="W70" s="368">
        <f>W66/IS!AB38</f>
        <v>0.10302046564025535</v>
      </c>
      <c r="X70" s="368">
        <f>X66/IS!AC38</f>
        <v>0.33820881940779296</v>
      </c>
      <c r="Y70" s="1437">
        <f>Y66/IS!AD38</f>
        <v>0.37285220182972884</v>
      </c>
      <c r="Z70" s="368">
        <f>Z66/IS!AF38</f>
        <v>0.43740283030717486</v>
      </c>
      <c r="AA70" s="368">
        <f>AA66/IS!AG38</f>
        <v>0.51315755575515765</v>
      </c>
      <c r="AB70" s="368">
        <f>AB66/IS!AH38</f>
        <v>1.3170276484173535</v>
      </c>
      <c r="AC70" s="1437">
        <f>AC66/IS!AI38</f>
        <v>1.3215439250983645</v>
      </c>
      <c r="AD70" s="1438">
        <f>AD66/IS!AK38</f>
        <v>1.3857925904979238</v>
      </c>
      <c r="AE70" s="368">
        <f>AE66/IS!AL38</f>
        <v>1.5839400331572258</v>
      </c>
      <c r="AF70" s="368">
        <f>AF66/IS!AM38</f>
        <v>1.6789420556775521</v>
      </c>
      <c r="AG70" s="1437">
        <f>AG66/IS!AN38</f>
        <v>1.7935222788307243</v>
      </c>
      <c r="AH70" s="1438">
        <f>AH66/IS!AP38</f>
        <v>1.8953725346968591</v>
      </c>
      <c r="AI70" s="368">
        <f>AI66/IS!AQ38</f>
        <v>1.9817375082813207</v>
      </c>
      <c r="AJ70" s="368">
        <f>AJ66/IS!AR38</f>
        <v>2.067014713686445</v>
      </c>
      <c r="AK70" s="1437">
        <f>AK66/IS!AS38</f>
        <v>2.23615837068491</v>
      </c>
      <c r="AL70" s="1438">
        <f>AL66/IS!AU38</f>
        <v>1.9115964328023389</v>
      </c>
      <c r="AM70" s="368">
        <f>AM66/IS!AV38</f>
        <v>2.0020042575536987</v>
      </c>
      <c r="AN70" s="368">
        <f>AN66/IS!AW38</f>
        <v>2.2677308859070537</v>
      </c>
      <c r="AO70" s="1437">
        <f>AO66/IS!AX38</f>
        <v>2.500405694556656</v>
      </c>
      <c r="AP70" s="1438">
        <f>AP66/IS!AZ38</f>
        <v>2.8032401701022311</v>
      </c>
      <c r="AQ70" s="368">
        <f>AQ66/IS!BA38</f>
        <v>3.0363924328804281</v>
      </c>
      <c r="AR70" s="368">
        <f>AR66/IS!BB38</f>
        <v>3.4393534242805233</v>
      </c>
      <c r="AS70" s="1437">
        <f>AS66/IS!BC38</f>
        <v>3.8000599075623209</v>
      </c>
      <c r="AT70" s="368">
        <f>AT66/IS!BE38</f>
        <v>4.109321529534296</v>
      </c>
      <c r="AU70" s="367">
        <f>AU66/IS!BF38</f>
        <v>4.6605123943364992</v>
      </c>
      <c r="AV70" s="368">
        <f>AV66/IS!BG38</f>
        <v>5.1771683463770675</v>
      </c>
      <c r="AW70" s="1437">
        <f>AW66/IS!BH38</f>
        <v>5.3719097119826991</v>
      </c>
      <c r="AX70" s="368">
        <f>AX66/IS!BK38</f>
        <v>5.6243789029432332</v>
      </c>
      <c r="AY70" s="367">
        <f>AY66/IS!BL38</f>
        <v>5.9733263294842693</v>
      </c>
      <c r="AZ70" s="368">
        <f>AZ66/IS!BM38</f>
        <v>6.4680457869557015</v>
      </c>
      <c r="BA70" s="1437">
        <f>BA66/IS!BN38</f>
        <v>6.819063918218907</v>
      </c>
      <c r="BB70" s="367">
        <f>BB66/IS!BT38</f>
        <v>3.7345215305207544</v>
      </c>
      <c r="BC70" s="367">
        <f>BC66/IS!BU38</f>
        <v>3.2589867379297628</v>
      </c>
      <c r="BD70" s="367">
        <f>BD66/IS!BV38</f>
        <v>3.4294989109368341</v>
      </c>
      <c r="BE70" s="1437">
        <f>BE66/IS!BW38</f>
        <v>3.5889031187215843</v>
      </c>
      <c r="BF70" s="1439">
        <f>BF66/IS!CD38</f>
        <v>3.7201890317617319</v>
      </c>
      <c r="BG70" s="367">
        <f>BG66/IS!CE38</f>
        <v>4.0220253770648791</v>
      </c>
      <c r="BH70" s="367">
        <f>BH66/IS!CF38</f>
        <v>4.1654752605126237</v>
      </c>
      <c r="BI70" s="368">
        <f>BI66/IS!CG38</f>
        <v>4.3047275243912813</v>
      </c>
      <c r="BJ70" s="1440">
        <f>BJ66/IS!CH38</f>
        <v>4.3326033251773124</v>
      </c>
      <c r="BK70" s="368">
        <f>BK66/IS!CI38</f>
        <v>4.3328925938249769</v>
      </c>
      <c r="BL70" s="368">
        <f>BL66/IS!CJ38</f>
        <v>4.4585736702007539</v>
      </c>
      <c r="BM70" s="368">
        <f>BM66/IS!CK38</f>
        <v>4.515812645757503</v>
      </c>
      <c r="BN70" s="1437">
        <f>BN66/IS!CL38</f>
        <v>4.6765317193688807</v>
      </c>
      <c r="BO70" s="1440">
        <f>BO66/IS!CM38</f>
        <v>4.6862037346995207</v>
      </c>
      <c r="BP70" s="368">
        <f>BP66/IS!CN38</f>
        <v>4.7451914291266979</v>
      </c>
      <c r="BQ70" s="368">
        <f>BQ66/IS!CO38</f>
        <v>5.0500956753580226</v>
      </c>
      <c r="BR70" s="368">
        <f>BR66/IS!CP38</f>
        <v>5.2401705844143693</v>
      </c>
      <c r="BS70" s="1437">
        <f>BS66/IS!CQ38</f>
        <v>5.2412754205372831</v>
      </c>
      <c r="BT70" s="1440">
        <f>BT66/IS!CR38</f>
        <v>5.2722497221941609</v>
      </c>
      <c r="BU70" s="368">
        <f>BU66/IS!CS38</f>
        <v>5.3812967334991155</v>
      </c>
      <c r="BV70" s="368">
        <f>BV66/IS!CT38</f>
        <v>5.6296432358896578</v>
      </c>
      <c r="BW70" s="368">
        <f>BW66/IS!CU38</f>
        <v>5.9458221178626651</v>
      </c>
      <c r="BX70" s="368">
        <f>BX66/IS!CV38</f>
        <v>6.1646965743672357</v>
      </c>
      <c r="BY70" s="1440">
        <f>BY66/IS!CW38</f>
        <v>6.178063448718059</v>
      </c>
      <c r="BZ70" s="368">
        <f>BZ66/IS!CX38</f>
        <v>6.5836367365776116</v>
      </c>
      <c r="CA70" s="368">
        <f>CA66/IS!CY38</f>
        <v>6.7315277973228254</v>
      </c>
      <c r="CB70" s="368">
        <f>CB66/IS!CZ38</f>
        <v>7.1152993537165559</v>
      </c>
      <c r="CC70" s="1437">
        <f>CC66/IS!DA38</f>
        <v>7.3330271636788735</v>
      </c>
      <c r="CD70" s="1440">
        <f>CD66/IS!DB38</f>
        <v>7.2394340974212019</v>
      </c>
      <c r="CE70" s="368">
        <f>CE66/IS!DC38</f>
        <v>7.2954218630785066</v>
      </c>
      <c r="CF70" s="368">
        <f>CF66/IS!DD38</f>
        <v>7.2701341065088094</v>
      </c>
      <c r="CG70" s="368">
        <f>CG66/IS!DE38</f>
        <v>7.5594685867481983</v>
      </c>
      <c r="CH70" s="1437">
        <f>CH66/IS!DF38</f>
        <v>7.7857152029036998</v>
      </c>
      <c r="CI70" s="1440">
        <f>CI66/IS!DG38</f>
        <v>7.7593037528540183</v>
      </c>
      <c r="CJ70" s="368">
        <f>CJ66/IS!DH38</f>
        <v>8.0961193016198223</v>
      </c>
      <c r="CK70" s="368">
        <f>CK66/IS!DI38</f>
        <v>8.6474254022407191</v>
      </c>
      <c r="CL70" s="368">
        <f>CL66/IS!DJ38</f>
        <v>8.677826808689213</v>
      </c>
      <c r="CM70" s="1437">
        <f>CM66/IS!DK38</f>
        <v>8.6073096142947154</v>
      </c>
      <c r="CN70" s="4364">
        <f>CN66/IS!DL38</f>
        <v>8.5658783505700686</v>
      </c>
      <c r="CO70" s="368">
        <f>CO66/IS!DM38</f>
        <v>8.4670365624823951</v>
      </c>
      <c r="CP70" s="368">
        <f>CP66/IS!DN38</f>
        <v>8.8119192342625592</v>
      </c>
      <c r="CQ70" s="368">
        <f>CQ66/IS!DO38</f>
        <v>9.6665310687015111</v>
      </c>
      <c r="CR70" s="1437">
        <f>CR66/IS!DP38</f>
        <v>10.007335618454132</v>
      </c>
      <c r="CS70" s="4364">
        <f>CS66/IS!DQ38</f>
        <v>9.948215337735629</v>
      </c>
      <c r="CT70" s="368">
        <f>CT66/IS!DR38</f>
        <v>9.9039542804194873</v>
      </c>
      <c r="CU70" s="368">
        <f>CU66/IS!DS38</f>
        <v>9.995629859390359</v>
      </c>
      <c r="CV70" s="368">
        <f>CV66/IS!DT38</f>
        <v>10.495122827296793</v>
      </c>
      <c r="CW70" s="1437">
        <f>CW66/IS!DU38</f>
        <v>10.382933353953126</v>
      </c>
      <c r="CX70" s="4364">
        <f>CX66/IS!DV38</f>
        <v>10.303556836899762</v>
      </c>
      <c r="CY70" s="368">
        <f>CY66/IS!DW38</f>
        <v>10.034439316246997</v>
      </c>
      <c r="CZ70" s="368">
        <f>CZ66/IS!DX38</f>
        <v>9.4415741370194119</v>
      </c>
      <c r="DA70" s="368">
        <f>DA66/IS!DY38</f>
        <v>8.8767656715278314</v>
      </c>
      <c r="DB70" s="1437">
        <f>DB66/IS!DZ38</f>
        <v>8.7867459643160579</v>
      </c>
      <c r="DC70" s="4364">
        <f>DC66/IS!EA38</f>
        <v>8.6455110211988355</v>
      </c>
      <c r="DD70" s="368">
        <f>DD66/IS!EB38</f>
        <v>8.9762146143648138</v>
      </c>
      <c r="DE70" s="368">
        <f>DE66/IS!EC38</f>
        <v>9.270761516765905</v>
      </c>
      <c r="DF70" s="368">
        <f>DF66/IS!ED38</f>
        <v>9.4466761184625074</v>
      </c>
      <c r="DG70" s="1437">
        <f>DG66/IS!EE38</f>
        <v>8.8014600857006826</v>
      </c>
      <c r="DH70" s="4364">
        <f>DH66/IS!EF38</f>
        <v>8.7189545052569528</v>
      </c>
      <c r="DI70" s="368">
        <f>DI66/IS!EG38</f>
        <v>8.6285623054202922</v>
      </c>
      <c r="DJ70" s="368">
        <f>DJ66/IS!EH38</f>
        <v>8.0612244897959187</v>
      </c>
      <c r="DK70" s="368">
        <f>DK66/IS!EI38</f>
        <v>7.5070456558499075</v>
      </c>
      <c r="DL70" s="1437">
        <f>DL66/IS!EJ38</f>
        <v>7.7467606090055066</v>
      </c>
      <c r="DM70" s="4364">
        <f>DM66/IS!EK38</f>
        <v>7.6849906605876797</v>
      </c>
      <c r="DN70" s="368">
        <f>DN66/IS!EL38</f>
        <v>7.755918965096412</v>
      </c>
      <c r="DO70" s="368">
        <f>DO66/IS!EM38</f>
        <v>7.8002951303492374</v>
      </c>
      <c r="DP70" s="368">
        <f>DP66/IS!EN38</f>
        <v>8.0714578382364994</v>
      </c>
      <c r="DQ70" s="368">
        <f ca="1">DQ66/IS!EO38</f>
        <v>8.0557525116376585</v>
      </c>
      <c r="DR70" s="4364">
        <f ca="1">DR66/IS!EP38</f>
        <v>8.0447869112017241</v>
      </c>
      <c r="DS70" s="368">
        <f ca="1">DS66/IS!EQ38</f>
        <v>7.8701943126203844</v>
      </c>
      <c r="DT70" s="368">
        <f ca="1">DT66/IS!ER38</f>
        <v>6.4265032770542714</v>
      </c>
      <c r="DU70" s="368">
        <f ca="1">DU66/IS!ES38</f>
        <v>6.4926114826558718</v>
      </c>
      <c r="DV70" s="368">
        <f ca="1">DV66/IS!ET38</f>
        <v>6.5933451936657388</v>
      </c>
      <c r="DW70" s="4364">
        <f ca="1">DW66/IS!EU38</f>
        <v>6.5951165172987434</v>
      </c>
      <c r="DX70" s="1440">
        <f ca="1">DX66/IS!EV38</f>
        <v>5.3643252587110624</v>
      </c>
      <c r="DY70" s="1440">
        <f ca="1">DY66/IS!EW38</f>
        <v>5.3765497553821184</v>
      </c>
      <c r="DZ70" s="1440">
        <f ca="1">DZ66/IS!EX38</f>
        <v>6.4643357081157671</v>
      </c>
      <c r="EA70" s="1440">
        <f ca="1">EA66/IS!EY38</f>
        <v>9.0269922207710191</v>
      </c>
      <c r="EC70" s="6197">
        <f ca="1">(DX70/DM70)^(1/3)-1</f>
        <v>-0.11293130533088169</v>
      </c>
      <c r="ED70" s="6197">
        <f ca="1">(DZ70/DM70)^(1/5)-1</f>
        <v>-3.4002257143444181E-2</v>
      </c>
    </row>
    <row r="71" spans="1:167" ht="11.25" customHeight="1">
      <c r="A71" s="1601" t="s">
        <v>632</v>
      </c>
      <c r="B71" s="114"/>
      <c r="C71" s="114"/>
      <c r="D71" s="114"/>
      <c r="E71" s="703"/>
      <c r="F71" s="114"/>
      <c r="G71" s="114"/>
      <c r="H71" s="114"/>
      <c r="I71" s="703"/>
      <c r="J71" s="115"/>
      <c r="K71" s="114"/>
      <c r="L71" s="114"/>
      <c r="M71" s="703"/>
      <c r="N71" s="115"/>
      <c r="O71" s="114"/>
      <c r="P71" s="114"/>
      <c r="Q71" s="703"/>
      <c r="R71" s="116"/>
      <c r="S71" s="116"/>
      <c r="T71" s="116"/>
      <c r="U71" s="1437"/>
      <c r="V71" s="1438"/>
      <c r="W71" s="368"/>
      <c r="X71" s="368"/>
      <c r="Y71" s="1437"/>
      <c r="Z71" s="368"/>
      <c r="AA71" s="368"/>
      <c r="AB71" s="368"/>
      <c r="AC71" s="1437"/>
      <c r="AD71" s="1438"/>
      <c r="AE71" s="368"/>
      <c r="AF71" s="368"/>
      <c r="AG71" s="1437"/>
      <c r="AH71" s="1438"/>
      <c r="AI71" s="368"/>
      <c r="AJ71" s="368"/>
      <c r="AK71" s="1437"/>
      <c r="AL71" s="1438"/>
      <c r="AM71" s="368"/>
      <c r="AN71" s="368"/>
      <c r="AO71" s="1437"/>
      <c r="AP71" s="1438"/>
      <c r="AQ71" s="368"/>
      <c r="AR71" s="368"/>
      <c r="AS71" s="1437"/>
      <c r="AT71" s="368"/>
      <c r="AU71" s="367"/>
      <c r="AV71" s="368">
        <f>(AV8+AV9-AV36)/IS!BG38</f>
        <v>4.7334332163895061</v>
      </c>
      <c r="AW71" s="1437">
        <f>(AW8+AW9-AW36)/IS!BH38</f>
        <v>5.0092770077656539</v>
      </c>
      <c r="AX71" s="368">
        <f>(AX8+AX9-AX36)/IS!BJ38</f>
        <v>5.3303940462585366</v>
      </c>
      <c r="AY71" s="368">
        <f>(AY8+AY9-AY36)/IS!BK38</f>
        <v>5.7021310530125504</v>
      </c>
      <c r="AZ71" s="368">
        <f>(AZ8+AZ9-AZ36)/IS!BL38</f>
        <v>6.0324213059531697</v>
      </c>
      <c r="BA71" s="1437">
        <f>(BA8+BA9-BA36)/IS!BM38</f>
        <v>6.4770122977975806</v>
      </c>
      <c r="BB71" s="368">
        <f>(BB8+BB9-BB36)/IS!BT38</f>
        <v>3.5639857513267255</v>
      </c>
      <c r="BC71" s="368">
        <f>(BC8+BC9-BC36)/IS!BU38</f>
        <v>3.1141831900916888</v>
      </c>
      <c r="BD71" s="368">
        <f>(BD8+BD9-BD36)/IS!BV38</f>
        <v>3.3030415764114314</v>
      </c>
      <c r="BE71" s="1437">
        <f>(BE8+BE9-BE36)/IS!BW38</f>
        <v>3.4640438000220914</v>
      </c>
      <c r="BF71" s="1441">
        <f>(BF8+BF9-BF36)/IS!CD38</f>
        <v>3.5540733611950226</v>
      </c>
      <c r="BG71" s="368">
        <f>(BG8+BG9-BG36)/IS!CE38</f>
        <v>3.7847619385405675</v>
      </c>
      <c r="BH71" s="368">
        <f>(BH8+BH9-BH36)/IS!CF38</f>
        <v>4.0259701976505964</v>
      </c>
      <c r="BI71" s="368">
        <f>(BI8+BI9-BI36)/IS!CG38</f>
        <v>4.2039952727688616</v>
      </c>
      <c r="BJ71" s="1440">
        <f>(BJ8+BJ9-BJ36)/IS!CH38</f>
        <v>4.2312187692770848</v>
      </c>
      <c r="BK71" s="368">
        <f>(BK8+BK9-BK36)/IS!CI38</f>
        <v>4.1757879313263633</v>
      </c>
      <c r="BL71" s="368">
        <f>(BL8+BL9-BL36)/IS!CJ38</f>
        <v>4.2337655147494839</v>
      </c>
      <c r="BM71" s="368">
        <f>(BM8+BM9-BM36)/IS!CK38</f>
        <v>4.2686515115189287</v>
      </c>
      <c r="BN71" s="1437">
        <f>(BN8+BN9-BN36)/IS!CL38</f>
        <v>4.4747861627820846</v>
      </c>
      <c r="BO71" s="1440">
        <f>(BO8+BO9-BO36)/IS!CM38</f>
        <v>4.4840409274164204</v>
      </c>
      <c r="BP71" s="368">
        <f>(BP8+BP9-BP36)/IS!CN38</f>
        <v>4.6250315446890342</v>
      </c>
      <c r="BQ71" s="368">
        <f>(BQ8+BQ9-BQ36)/IS!CO38</f>
        <v>4.8551263754237359</v>
      </c>
      <c r="BR71" s="368">
        <f>(BR8+BR9-BR36)/IS!CP38</f>
        <v>5.0049760988825023</v>
      </c>
      <c r="BS71" s="1437">
        <f>(BS8+BS9-BS36)/IS!CQ38</f>
        <v>5.0671066317563929</v>
      </c>
      <c r="BT71" s="1440">
        <f>(BT8+BT9-BT36)/IS!CR38</f>
        <v>5.097051650238841</v>
      </c>
      <c r="BU71" s="368">
        <f>(BU8+BU9-BU36)/IS!CS38</f>
        <v>5.2260725199517806</v>
      </c>
      <c r="BV71" s="368">
        <f>(BV8+BV9-BV36)/IS!CT38</f>
        <v>5.4814758476394392</v>
      </c>
      <c r="BW71" s="368">
        <f>(BW8+BW9-BW36)/IS!CU38</f>
        <v>5.9458221178626651</v>
      </c>
      <c r="BX71" s="368">
        <f>(BX8+BX9-BX36)/IS!CV38</f>
        <v>6.1646965743672357</v>
      </c>
      <c r="BY71" s="1440">
        <f>(BY8+BY9-BY36)/IS!CW38</f>
        <v>6.178063448718059</v>
      </c>
      <c r="BZ71" s="368">
        <f>(BZ66-BZ36)/IS!CX38</f>
        <v>6.5836367365776116</v>
      </c>
      <c r="CA71" s="368">
        <f>(CA66-CA36)/IS!CY38</f>
        <v>6.7315277973228254</v>
      </c>
      <c r="CB71" s="368">
        <f>(CB66-CB36)/IS!CZ38</f>
        <v>7.1152993537165559</v>
      </c>
      <c r="CC71" s="1437">
        <f>(CC66-CC36)/IS!DA38</f>
        <v>7.3330271636788735</v>
      </c>
      <c r="CD71" s="1440">
        <f>(CD66-CD36)/IS!DB38</f>
        <v>7.2394340974212019</v>
      </c>
      <c r="CE71" s="368">
        <f>(CE66-CE36)/IS!DC38</f>
        <v>7.2954218630785066</v>
      </c>
      <c r="CF71" s="368">
        <f>(CF66-CF36)/IS!DD38</f>
        <v>7.2701341065088094</v>
      </c>
      <c r="CG71" s="368">
        <f>(CG66-CG36)/IS!DE38</f>
        <v>7.5594685867481983</v>
      </c>
      <c r="CH71" s="1437">
        <f>(CH66-CH36)/IS!DF38</f>
        <v>7.7857152029036998</v>
      </c>
      <c r="CI71" s="1440">
        <f>(CI66-CI36)/IS!DG38</f>
        <v>7.7593037528540183</v>
      </c>
      <c r="CJ71" s="368">
        <f>(CJ66-CJ36)/IS!DH38</f>
        <v>8.0961193016198223</v>
      </c>
      <c r="CK71" s="368">
        <f>(CK66-CK36)/IS!DI38</f>
        <v>8.6474254022407191</v>
      </c>
      <c r="CL71" s="368">
        <f>(CL66-CL36)/IS!DJ38</f>
        <v>8.677826808689213</v>
      </c>
      <c r="CM71" s="1437">
        <f>(CM66-CM36)/IS!DK38</f>
        <v>8.6073096142947154</v>
      </c>
      <c r="CN71" s="4364">
        <f>(CN66-CN36)/IS!DL38</f>
        <v>8.5658783505700686</v>
      </c>
      <c r="CO71" s="368">
        <f>(CO66-CO36)/IS!DM38</f>
        <v>8.4670365624823951</v>
      </c>
      <c r="CP71" s="368">
        <f>(CP66-CP36)/IS!DN38</f>
        <v>8.8119192342625592</v>
      </c>
      <c r="CQ71" s="368">
        <f>(CQ66-CQ36)/IS!DO38</f>
        <v>9.6665310687015111</v>
      </c>
      <c r="CR71" s="1437">
        <f>(CR66-CR36)/IS!DP38</f>
        <v>10.007335618454132</v>
      </c>
      <c r="CS71" s="4364">
        <f>(CS66-CS36)/IS!DQ38</f>
        <v>9.948215337735629</v>
      </c>
      <c r="CT71" s="368">
        <f>(CT66-CT36)/IS!DR38</f>
        <v>9.9039542804194873</v>
      </c>
      <c r="CU71" s="368">
        <f>(CU66-CU36)/IS!DS38</f>
        <v>9.995629859390359</v>
      </c>
      <c r="CV71" s="368">
        <f>(CV66-CV36)/IS!DT38</f>
        <v>10.495122827296793</v>
      </c>
      <c r="CW71" s="1437">
        <f>(CW66-CW36)/IS!DU38</f>
        <v>10.382933353953126</v>
      </c>
      <c r="CX71" s="4364">
        <f>(CX66-CX36)/IS!DV38</f>
        <v>10.303556836899762</v>
      </c>
      <c r="CY71" s="368">
        <f>(CY66-CY36)/IS!DW38</f>
        <v>10.034439316246997</v>
      </c>
      <c r="CZ71" s="368">
        <f>(CZ66-CZ36)/IS!DX38</f>
        <v>9.4415741370194119</v>
      </c>
      <c r="DA71" s="368">
        <f>(DA66-DA36)/IS!DY38</f>
        <v>8.8767656715278314</v>
      </c>
      <c r="DB71" s="1437">
        <f>(DB66-DB36)/IS!DZ38</f>
        <v>8.7867459643160579</v>
      </c>
      <c r="DC71" s="4364">
        <f>(DC66-DC36)/IS!EA38</f>
        <v>8.6455110211988355</v>
      </c>
      <c r="DD71" s="368">
        <f>(DD66-DD36)/IS!EB38</f>
        <v>8.9762146143648138</v>
      </c>
      <c r="DE71" s="368">
        <f>(DE66-DE36)/IS!EC38</f>
        <v>9.270761516765905</v>
      </c>
      <c r="DF71" s="368">
        <f>(DF66-DF36)/IS!ED38</f>
        <v>9.4466761184625074</v>
      </c>
      <c r="DG71" s="1437">
        <f>(DG66-DG36)/IS!EE38</f>
        <v>8.8014600857006826</v>
      </c>
      <c r="DH71" s="4364">
        <f>(DH66-DH36)/IS!EF38</f>
        <v>8.7189545052569528</v>
      </c>
      <c r="DI71" s="368">
        <f>(DI66-DI36)/IS!EG38</f>
        <v>8.6285623054202922</v>
      </c>
      <c r="DJ71" s="368">
        <f>(DJ66-DJ36)/IS!EH38</f>
        <v>8.0612244897959187</v>
      </c>
      <c r="DK71" s="368">
        <f>(DK66-DK36)/IS!EI38</f>
        <v>7.5070456558499075</v>
      </c>
      <c r="DL71" s="1437">
        <f>(DL66-DL36)/IS!EJ38</f>
        <v>7.7467606090055066</v>
      </c>
      <c r="DM71" s="4364">
        <f>(DM66-DM36)/IS!EK38</f>
        <v>7.6849906605876797</v>
      </c>
      <c r="DN71" s="368">
        <f>(DN66-DN36)/IS!EL38</f>
        <v>7.755918965096412</v>
      </c>
      <c r="DO71" s="368">
        <f>(DO66-DO36)/IS!EM38</f>
        <v>7.8002951303492374</v>
      </c>
      <c r="DP71" s="368">
        <f>(DP66-DP36)/IS!EN38</f>
        <v>8.0714578382364994</v>
      </c>
      <c r="DQ71" s="368">
        <f ca="1">(DQ66-DQ36)/IS!EO38</f>
        <v>8.0557525116376585</v>
      </c>
      <c r="DR71" s="4364">
        <f ca="1">(DR66-DR36)/IS!EP38</f>
        <v>8.0447869112017241</v>
      </c>
      <c r="DS71" s="368">
        <f ca="1">(DS66-DS36)/IS!EQ38</f>
        <v>7.8701943126203844</v>
      </c>
      <c r="DT71" s="368">
        <f ca="1">(DT66-DT36)/IS!ER38</f>
        <v>6.4265032770542714</v>
      </c>
      <c r="DU71" s="368">
        <f ca="1">(DU66-DU36)/IS!ES38</f>
        <v>6.4926114826558718</v>
      </c>
      <c r="DV71" s="368">
        <f ca="1">(DV66-DV36)/IS!ET38</f>
        <v>6.5933451936657388</v>
      </c>
      <c r="DW71" s="4364">
        <f ca="1">(DW66-DW36)/IS!EU38</f>
        <v>6.5951165172987434</v>
      </c>
      <c r="DX71" s="1440">
        <f ca="1">(DX66-DX36)/IS!EV38</f>
        <v>5.3643252587110624</v>
      </c>
      <c r="DY71" s="1440">
        <f ca="1">(DY66-DY36)/IS!EW38</f>
        <v>5.3765497553821184</v>
      </c>
      <c r="DZ71" s="1440">
        <f ca="1">(DZ66-DZ36)/IS!EX38</f>
        <v>6.4643357081157671</v>
      </c>
      <c r="EA71" s="1440">
        <f ca="1">(EA66-EA36)/IS!EY38</f>
        <v>9.0269922207710191</v>
      </c>
      <c r="EC71" s="750"/>
      <c r="ED71" s="750"/>
    </row>
    <row r="72" spans="1:167" s="106" customFormat="1" ht="11.25" customHeight="1">
      <c r="A72" s="1603" t="s">
        <v>763</v>
      </c>
      <c r="B72" s="107"/>
      <c r="C72" s="107"/>
      <c r="D72" s="107"/>
      <c r="E72" s="703"/>
      <c r="F72" s="107"/>
      <c r="G72" s="107"/>
      <c r="H72" s="107"/>
      <c r="I72" s="703"/>
      <c r="J72" s="108"/>
      <c r="K72" s="107"/>
      <c r="L72" s="107"/>
      <c r="M72" s="703"/>
      <c r="N72" s="108"/>
      <c r="O72" s="107"/>
      <c r="P72" s="107"/>
      <c r="Q72" s="703"/>
      <c r="R72" s="109"/>
      <c r="S72" s="110"/>
      <c r="T72" s="110"/>
      <c r="U72" s="703"/>
      <c r="V72" s="111"/>
      <c r="W72" s="112"/>
      <c r="X72" s="112"/>
      <c r="Y72" s="703"/>
      <c r="Z72" s="111"/>
      <c r="AA72" s="112"/>
      <c r="AB72" s="112"/>
      <c r="AC72" s="703"/>
      <c r="AD72" s="111"/>
      <c r="AE72" s="112"/>
      <c r="AF72" s="112"/>
      <c r="AG72" s="703"/>
      <c r="AH72" s="111"/>
      <c r="AI72" s="112"/>
      <c r="AJ72" s="112"/>
      <c r="AK72" s="703"/>
      <c r="AL72" s="111"/>
      <c r="AM72" s="112"/>
      <c r="AN72" s="112"/>
      <c r="AO72" s="703"/>
      <c r="AP72" s="111"/>
      <c r="AQ72" s="112"/>
      <c r="AR72" s="112"/>
      <c r="AS72" s="703"/>
      <c r="AT72" s="112"/>
      <c r="AU72" s="113"/>
      <c r="AV72" s="112"/>
      <c r="AW72" s="703"/>
      <c r="AX72" s="112"/>
      <c r="AY72" s="113"/>
      <c r="AZ72" s="112"/>
      <c r="BA72" s="703"/>
      <c r="BB72" s="113"/>
      <c r="BC72" s="113"/>
      <c r="BD72" s="113"/>
      <c r="BE72" s="703"/>
      <c r="BF72" s="482"/>
      <c r="BG72" s="113"/>
      <c r="BH72" s="113"/>
      <c r="BI72" s="679"/>
      <c r="BJ72" s="1259">
        <f t="shared" ref="BJ72:CX72" si="251">BJ35+BJ41</f>
        <v>5245</v>
      </c>
      <c r="BK72" s="679">
        <f t="shared" si="251"/>
        <v>6243</v>
      </c>
      <c r="BL72" s="679">
        <f t="shared" si="251"/>
        <v>7545</v>
      </c>
      <c r="BM72" s="679">
        <f t="shared" si="251"/>
        <v>7438</v>
      </c>
      <c r="BN72" s="703">
        <f t="shared" si="251"/>
        <v>5237</v>
      </c>
      <c r="BO72" s="1259">
        <f t="shared" si="251"/>
        <v>5237</v>
      </c>
      <c r="BP72" s="679">
        <f t="shared" si="251"/>
        <v>5235</v>
      </c>
      <c r="BQ72" s="679">
        <f t="shared" si="251"/>
        <v>5233</v>
      </c>
      <c r="BR72" s="679">
        <f t="shared" si="251"/>
        <v>5231</v>
      </c>
      <c r="BS72" s="703">
        <f t="shared" si="251"/>
        <v>5220</v>
      </c>
      <c r="BT72" s="1259">
        <f t="shared" si="251"/>
        <v>5220</v>
      </c>
      <c r="BU72" s="679">
        <f t="shared" si="251"/>
        <v>5208</v>
      </c>
      <c r="BV72" s="679">
        <f t="shared" si="251"/>
        <v>4203</v>
      </c>
      <c r="BW72" s="679">
        <f t="shared" si="251"/>
        <v>3938</v>
      </c>
      <c r="BX72" s="679">
        <f t="shared" si="251"/>
        <v>3935</v>
      </c>
      <c r="BY72" s="1259">
        <f t="shared" si="251"/>
        <v>3935</v>
      </c>
      <c r="BZ72" s="679">
        <f t="shared" si="251"/>
        <v>3937</v>
      </c>
      <c r="CA72" s="679">
        <f t="shared" si="251"/>
        <v>3955</v>
      </c>
      <c r="CB72" s="679">
        <f t="shared" si="251"/>
        <v>3964</v>
      </c>
      <c r="CC72" s="703">
        <f t="shared" si="251"/>
        <v>3969</v>
      </c>
      <c r="CD72" s="702">
        <f t="shared" si="251"/>
        <v>3969</v>
      </c>
      <c r="CE72" s="679">
        <f t="shared" si="251"/>
        <v>5302</v>
      </c>
      <c r="CF72" s="679">
        <f t="shared" si="251"/>
        <v>3981</v>
      </c>
      <c r="CG72" s="679">
        <f t="shared" si="251"/>
        <v>3986</v>
      </c>
      <c r="CH72" s="679">
        <f t="shared" si="251"/>
        <v>4012</v>
      </c>
      <c r="CI72" s="702">
        <f t="shared" si="251"/>
        <v>4012</v>
      </c>
      <c r="CJ72" s="679">
        <f t="shared" si="251"/>
        <v>4066</v>
      </c>
      <c r="CK72" s="679">
        <f t="shared" si="251"/>
        <v>4074</v>
      </c>
      <c r="CL72" s="679">
        <f t="shared" si="251"/>
        <v>4082</v>
      </c>
      <c r="CM72" s="679">
        <f t="shared" si="251"/>
        <v>4554</v>
      </c>
      <c r="CN72" s="4352">
        <f t="shared" si="251"/>
        <v>4554</v>
      </c>
      <c r="CO72" s="537">
        <f t="shared" si="251"/>
        <v>5016</v>
      </c>
      <c r="CP72" s="537">
        <f t="shared" si="251"/>
        <v>4018</v>
      </c>
      <c r="CQ72" s="537">
        <f t="shared" si="251"/>
        <v>13902</v>
      </c>
      <c r="CR72" s="537">
        <f t="shared" si="251"/>
        <v>13932</v>
      </c>
      <c r="CS72" s="4352">
        <f t="shared" si="251"/>
        <v>13932</v>
      </c>
      <c r="CT72" s="537">
        <f t="shared" si="251"/>
        <v>13887</v>
      </c>
      <c r="CU72" s="537">
        <f t="shared" si="251"/>
        <v>14328</v>
      </c>
      <c r="CV72" s="537">
        <f t="shared" si="251"/>
        <v>14288</v>
      </c>
      <c r="CW72" s="537">
        <f t="shared" si="251"/>
        <v>14817</v>
      </c>
      <c r="CX72" s="4352">
        <f t="shared" si="251"/>
        <v>14817</v>
      </c>
      <c r="CY72" s="537">
        <f t="shared" ref="CY72:DH72" si="252">CY35+CY41</f>
        <v>14791</v>
      </c>
      <c r="CZ72" s="537">
        <f t="shared" si="252"/>
        <v>14734</v>
      </c>
      <c r="DA72" s="537">
        <f t="shared" si="252"/>
        <v>14653</v>
      </c>
      <c r="DB72" s="537">
        <f t="shared" si="252"/>
        <v>14701</v>
      </c>
      <c r="DC72" s="4352">
        <f t="shared" si="252"/>
        <v>14701</v>
      </c>
      <c r="DD72" s="537">
        <f t="shared" si="252"/>
        <v>13697</v>
      </c>
      <c r="DE72" s="537">
        <f>DE35+DE41</f>
        <v>13705</v>
      </c>
      <c r="DF72" s="537">
        <f t="shared" si="252"/>
        <v>13781</v>
      </c>
      <c r="DG72" s="537">
        <f t="shared" ref="DG72" si="253">DG35+DG41</f>
        <v>13253</v>
      </c>
      <c r="DH72" s="4352">
        <f t="shared" si="252"/>
        <v>13253</v>
      </c>
      <c r="DI72" s="537">
        <f t="shared" ref="DI72" si="254">DI35+DI41</f>
        <v>13228</v>
      </c>
      <c r="DJ72" s="537">
        <f>DJ35+DJ41</f>
        <v>13238</v>
      </c>
      <c r="DK72" s="537">
        <f t="shared" ref="DK72:DL72" si="255">DK35+DK41</f>
        <v>12297</v>
      </c>
      <c r="DL72" s="537">
        <f t="shared" si="255"/>
        <v>10883</v>
      </c>
      <c r="DM72" s="4352">
        <f>DM35+DM41</f>
        <v>10883</v>
      </c>
      <c r="DN72" s="537">
        <f t="shared" ref="DN72" si="256">DN35+DN41</f>
        <v>10886</v>
      </c>
      <c r="DO72" s="537">
        <f>DO35+DO41</f>
        <v>23607</v>
      </c>
      <c r="DP72" s="537">
        <f t="shared" ref="DP72" si="257">DP35+DP41</f>
        <v>21607</v>
      </c>
      <c r="DQ72" s="537">
        <f t="shared" ref="DQ72" si="258">DQ35+DQ41</f>
        <v>21607</v>
      </c>
      <c r="DR72" s="4352">
        <f>DR35+DR41</f>
        <v>21607</v>
      </c>
      <c r="DS72" s="537">
        <f t="shared" ref="DS72:DV72" si="259">DS35+DS41</f>
        <v>21607</v>
      </c>
      <c r="DT72" s="537">
        <f t="shared" si="259"/>
        <v>21607</v>
      </c>
      <c r="DU72" s="537">
        <f t="shared" si="259"/>
        <v>21607</v>
      </c>
      <c r="DV72" s="537">
        <f t="shared" si="259"/>
        <v>21607</v>
      </c>
      <c r="DW72" s="4352">
        <f>DW35+DW41</f>
        <v>21607</v>
      </c>
      <c r="DX72" s="687">
        <f>DX35+DX41</f>
        <v>18607</v>
      </c>
      <c r="DY72" s="687">
        <f>DY35+DY41</f>
        <v>18607</v>
      </c>
      <c r="DZ72" s="687">
        <f>DZ35+DZ41</f>
        <v>18607</v>
      </c>
      <c r="EA72" s="687">
        <f>EA35+EA41</f>
        <v>18607</v>
      </c>
      <c r="EC72" s="754"/>
      <c r="ED72" s="754"/>
    </row>
    <row r="73" spans="1:167" s="106" customFormat="1" ht="11.25" customHeight="1">
      <c r="A73" s="1603" t="s">
        <v>58</v>
      </c>
      <c r="B73" s="107"/>
      <c r="C73" s="107"/>
      <c r="D73" s="107"/>
      <c r="E73" s="703"/>
      <c r="F73" s="107"/>
      <c r="G73" s="107"/>
      <c r="H73" s="107"/>
      <c r="I73" s="703"/>
      <c r="J73" s="108"/>
      <c r="K73" s="107"/>
      <c r="L73" s="107"/>
      <c r="M73" s="703"/>
      <c r="N73" s="108"/>
      <c r="O73" s="107"/>
      <c r="P73" s="107"/>
      <c r="Q73" s="703">
        <f t="shared" ref="Q73:AE73" si="260">+Q82</f>
        <v>41.469914449714466</v>
      </c>
      <c r="R73" s="110">
        <f t="shared" si="260"/>
        <v>0</v>
      </c>
      <c r="S73" s="110">
        <f t="shared" si="260"/>
        <v>0</v>
      </c>
      <c r="T73" s="110">
        <f t="shared" si="260"/>
        <v>0</v>
      </c>
      <c r="U73" s="703">
        <f t="shared" si="260"/>
        <v>47.716551337135215</v>
      </c>
      <c r="V73" s="111">
        <f t="shared" si="260"/>
        <v>43.034491659682459</v>
      </c>
      <c r="W73" s="112">
        <f t="shared" si="260"/>
        <v>41.225710575691558</v>
      </c>
      <c r="X73" s="112">
        <f t="shared" si="260"/>
        <v>42.280319869101987</v>
      </c>
      <c r="Y73" s="703">
        <f t="shared" si="260"/>
        <v>43.523003458281146</v>
      </c>
      <c r="Z73" s="111">
        <f t="shared" si="260"/>
        <v>42.702839970353921</v>
      </c>
      <c r="AA73" s="112">
        <f t="shared" si="260"/>
        <v>42.975221164377793</v>
      </c>
      <c r="AB73" s="112">
        <f t="shared" si="260"/>
        <v>47.149978494767225</v>
      </c>
      <c r="AC73" s="703">
        <f t="shared" si="260"/>
        <v>48.659235500933221</v>
      </c>
      <c r="AD73" s="111">
        <f t="shared" si="260"/>
        <v>50.325627898804647</v>
      </c>
      <c r="AE73" s="112">
        <f t="shared" si="260"/>
        <v>48.337762264548445</v>
      </c>
      <c r="AF73" s="112">
        <f t="shared" ref="AF73:AK73" si="261">+AF82</f>
        <v>50.463052232637807</v>
      </c>
      <c r="AG73" s="703">
        <f t="shared" si="261"/>
        <v>54.112115898613375</v>
      </c>
      <c r="AH73" s="111">
        <f t="shared" si="261"/>
        <v>53.086924301844185</v>
      </c>
      <c r="AI73" s="112">
        <f t="shared" si="261"/>
        <v>55.22689928900558</v>
      </c>
      <c r="AJ73" s="112">
        <f t="shared" si="261"/>
        <v>57.227244354336925</v>
      </c>
      <c r="AK73" s="703">
        <f t="shared" si="261"/>
        <v>58.263332388506782</v>
      </c>
      <c r="AL73" s="111">
        <f t="shared" ref="AL73:AU73" si="262">+AL82</f>
        <v>63.163374313686759</v>
      </c>
      <c r="AM73" s="112">
        <f t="shared" si="262"/>
        <v>61.921166334294995</v>
      </c>
      <c r="AN73" s="112">
        <f t="shared" si="262"/>
        <v>57.316001369190992</v>
      </c>
      <c r="AO73" s="703">
        <f t="shared" si="262"/>
        <v>57.166274414217625</v>
      </c>
      <c r="AP73" s="111">
        <f t="shared" si="262"/>
        <v>56.97437319391215</v>
      </c>
      <c r="AQ73" s="112">
        <f t="shared" si="262"/>
        <v>60.584068039089402</v>
      </c>
      <c r="AR73" s="112">
        <f t="shared" si="262"/>
        <v>62.948067203123301</v>
      </c>
      <c r="AS73" s="703">
        <f t="shared" si="262"/>
        <v>58.558257783913753</v>
      </c>
      <c r="AT73" s="112">
        <f t="shared" si="262"/>
        <v>55.571682464454973</v>
      </c>
      <c r="AU73" s="113">
        <f t="shared" si="262"/>
        <v>59.326847484276726</v>
      </c>
      <c r="AV73" s="112">
        <f t="shared" ref="AV73:BE73" si="263">+AV82</f>
        <v>60.200693304141581</v>
      </c>
      <c r="AW73" s="703">
        <f t="shared" si="263"/>
        <v>60.900172657353636</v>
      </c>
      <c r="AX73" s="112">
        <f t="shared" si="263"/>
        <v>58.851154964050785</v>
      </c>
      <c r="AY73" s="113">
        <f t="shared" si="263"/>
        <v>59.056535569693466</v>
      </c>
      <c r="AZ73" s="112">
        <f t="shared" si="263"/>
        <v>55.68558588548602</v>
      </c>
      <c r="BA73" s="703">
        <f t="shared" si="263"/>
        <v>60.881946151954757</v>
      </c>
      <c r="BB73" s="113">
        <f t="shared" si="263"/>
        <v>57.91318377381684</v>
      </c>
      <c r="BC73" s="113">
        <f t="shared" si="263"/>
        <v>74.907042085126733</v>
      </c>
      <c r="BD73" s="113">
        <f t="shared" si="263"/>
        <v>75.649126313385111</v>
      </c>
      <c r="BE73" s="703">
        <f t="shared" si="263"/>
        <v>73.2321882951654</v>
      </c>
      <c r="BF73" s="482">
        <f t="shared" ref="BF73:BM73" si="264">+BF82</f>
        <v>69.535989588547409</v>
      </c>
      <c r="BG73" s="113">
        <f t="shared" si="264"/>
        <v>66.182014067763021</v>
      </c>
      <c r="BH73" s="113">
        <f t="shared" si="264"/>
        <v>67.036843813763682</v>
      </c>
      <c r="BI73" s="679">
        <f t="shared" si="264"/>
        <v>65.377309026377347</v>
      </c>
      <c r="BJ73" s="1259">
        <f>+BJ82</f>
        <v>74.938859480825684</v>
      </c>
      <c r="BK73" s="679">
        <f t="shared" si="264"/>
        <v>58.599749753856251</v>
      </c>
      <c r="BL73" s="679">
        <f t="shared" si="264"/>
        <v>59.966138840625497</v>
      </c>
      <c r="BM73" s="679">
        <f t="shared" si="264"/>
        <v>57.049430740037948</v>
      </c>
      <c r="BN73" s="703">
        <f t="shared" ref="BN73:DB73" si="265">+BN82</f>
        <v>59.117499827383831</v>
      </c>
      <c r="BO73" s="1259">
        <f t="shared" si="265"/>
        <v>65.229220630809081</v>
      </c>
      <c r="BP73" s="679">
        <f t="shared" si="265"/>
        <v>56.299144684827141</v>
      </c>
      <c r="BQ73" s="679">
        <f t="shared" si="265"/>
        <v>59.735365853658536</v>
      </c>
      <c r="BR73" s="679">
        <f t="shared" si="265"/>
        <v>58.87856575550996</v>
      </c>
      <c r="BS73" s="703">
        <f t="shared" si="265"/>
        <v>61.044633553317126</v>
      </c>
      <c r="BT73" s="1259">
        <f t="shared" si="265"/>
        <v>69.550176433730172</v>
      </c>
      <c r="BU73" s="679">
        <f t="shared" si="265"/>
        <v>59.93943165948145</v>
      </c>
      <c r="BV73" s="679">
        <f t="shared" si="265"/>
        <v>60.847218259629102</v>
      </c>
      <c r="BW73" s="679">
        <f t="shared" si="265"/>
        <v>59.832708413158905</v>
      </c>
      <c r="BX73" s="679">
        <f t="shared" si="265"/>
        <v>60.803226338612369</v>
      </c>
      <c r="BY73" s="1259">
        <f t="shared" si="265"/>
        <v>70.224213720927068</v>
      </c>
      <c r="BZ73" s="679">
        <f t="shared" si="265"/>
        <v>58.561266835644354</v>
      </c>
      <c r="CA73" s="679">
        <f t="shared" si="265"/>
        <v>61.081970935513169</v>
      </c>
      <c r="CB73" s="679">
        <f t="shared" si="265"/>
        <v>62.670352492141895</v>
      </c>
      <c r="CC73" s="703">
        <f t="shared" si="265"/>
        <v>64.66818691299811</v>
      </c>
      <c r="CD73" s="702">
        <f t="shared" si="265"/>
        <v>75.043898500835354</v>
      </c>
      <c r="CE73" s="679">
        <f t="shared" si="265"/>
        <v>61.585857671574544</v>
      </c>
      <c r="CF73" s="679">
        <f t="shared" si="265"/>
        <v>59.274069062773947</v>
      </c>
      <c r="CG73" s="679">
        <f t="shared" si="265"/>
        <v>60.133340083953165</v>
      </c>
      <c r="CH73" s="703">
        <f t="shared" si="265"/>
        <v>59.719456658291456</v>
      </c>
      <c r="CI73" s="702">
        <f t="shared" si="265"/>
        <v>69.085863769721968</v>
      </c>
      <c r="CJ73" s="679">
        <f t="shared" si="265"/>
        <v>59.274271515315988</v>
      </c>
      <c r="CK73" s="679">
        <f t="shared" si="265"/>
        <v>60.337357282533276</v>
      </c>
      <c r="CL73" s="679">
        <f t="shared" si="265"/>
        <v>57.74550122693811</v>
      </c>
      <c r="CM73" s="703">
        <f t="shared" si="265"/>
        <v>61.505229680097941</v>
      </c>
      <c r="CN73" s="4352">
        <f t="shared" si="265"/>
        <v>70.153527411814707</v>
      </c>
      <c r="CO73" s="537">
        <f t="shared" si="265"/>
        <v>59.083610229329217</v>
      </c>
      <c r="CP73" s="537">
        <f t="shared" si="265"/>
        <v>61.215430497104705</v>
      </c>
      <c r="CQ73" s="537">
        <f t="shared" si="265"/>
        <v>59.84177256821112</v>
      </c>
      <c r="CR73" s="851">
        <f t="shared" si="265"/>
        <v>60.784857425913167</v>
      </c>
      <c r="CS73" s="4352">
        <f t="shared" si="265"/>
        <v>75.389151179640592</v>
      </c>
      <c r="CT73" s="537">
        <f>+CT82</f>
        <v>56.040250427612825</v>
      </c>
      <c r="CU73" s="537">
        <f>+CU82</f>
        <v>57.25086357480717</v>
      </c>
      <c r="CV73" s="537">
        <f>+CV82</f>
        <v>57.940856956359568</v>
      </c>
      <c r="CW73" s="851">
        <f>+CW82</f>
        <v>57.941936734627937</v>
      </c>
      <c r="CX73" s="4352">
        <f t="shared" si="265"/>
        <v>67.646967289256906</v>
      </c>
      <c r="CY73" s="537">
        <f t="shared" si="265"/>
        <v>56.526101818960747</v>
      </c>
      <c r="CZ73" s="537">
        <f t="shared" si="265"/>
        <v>56.694050042630195</v>
      </c>
      <c r="DA73" s="537">
        <f>+DA82</f>
        <v>55.287627038731536</v>
      </c>
      <c r="DB73" s="851">
        <f t="shared" si="265"/>
        <v>58.196576525196839</v>
      </c>
      <c r="DC73" s="4352">
        <f t="shared" ref="DC73:DH73" si="266">+DC82</f>
        <v>62.827549052723391</v>
      </c>
      <c r="DD73" s="537">
        <f t="shared" si="266"/>
        <v>56.630127785623259</v>
      </c>
      <c r="DE73" s="537">
        <f t="shared" si="266"/>
        <v>57.049075998517729</v>
      </c>
      <c r="DF73" s="537">
        <f t="shared" si="266"/>
        <v>58.438978314155904</v>
      </c>
      <c r="DG73" s="851">
        <f t="shared" si="266"/>
        <v>60.515389082462256</v>
      </c>
      <c r="DH73" s="4352">
        <f t="shared" si="266"/>
        <v>68.250736819124555</v>
      </c>
      <c r="DI73" s="537">
        <f t="shared" ref="DI73:DL73" si="267">+DI82</f>
        <v>60.144837483171337</v>
      </c>
      <c r="DJ73" s="537">
        <f t="shared" si="267"/>
        <v>60.215664634573614</v>
      </c>
      <c r="DK73" s="537">
        <f t="shared" si="267"/>
        <v>60.104629170076059</v>
      </c>
      <c r="DL73" s="851">
        <f t="shared" si="267"/>
        <v>58.51465921760331</v>
      </c>
      <c r="DM73" s="4352">
        <f>+DM82</f>
        <v>64.733767509945181</v>
      </c>
      <c r="DN73" s="537">
        <f t="shared" ref="DN73:DP73" si="268">+DN82</f>
        <v>60.844468268702769</v>
      </c>
      <c r="DO73" s="537">
        <f t="shared" si="268"/>
        <v>61.465315761780651</v>
      </c>
      <c r="DP73" s="537">
        <f t="shared" si="268"/>
        <v>59.617640333828739</v>
      </c>
      <c r="DQ73" s="537">
        <f t="shared" ref="DQ73" si="269">+DQ82</f>
        <v>58.514659217603317</v>
      </c>
      <c r="DR73" s="4352">
        <f>+DR82</f>
        <v>65.756501738488581</v>
      </c>
      <c r="DS73" s="537">
        <f t="shared" ref="DS73:DV73" si="270">+DS82</f>
        <v>60.844468268702769</v>
      </c>
      <c r="DT73" s="537">
        <f t="shared" si="270"/>
        <v>61.465315761780644</v>
      </c>
      <c r="DU73" s="537">
        <f t="shared" si="270"/>
        <v>59.617640333828746</v>
      </c>
      <c r="DV73" s="537">
        <f t="shared" si="270"/>
        <v>58.514659217603317</v>
      </c>
      <c r="DW73" s="4352">
        <f>+DW82</f>
        <v>65.541837957869348</v>
      </c>
      <c r="DX73" s="687">
        <f>+DX82</f>
        <v>65.541837957869348</v>
      </c>
      <c r="DY73" s="687">
        <f>+DY82</f>
        <v>65.541837957869333</v>
      </c>
      <c r="DZ73" s="687">
        <f>+DZ82</f>
        <v>65.541837957869348</v>
      </c>
      <c r="EA73" s="687">
        <f>+EA82</f>
        <v>65.541837957869348</v>
      </c>
      <c r="EB73" s="120"/>
      <c r="EC73" s="750"/>
      <c r="ED73" s="750"/>
      <c r="EE73" s="120"/>
      <c r="EF73" s="120"/>
      <c r="EG73" s="120"/>
      <c r="EH73" s="120"/>
      <c r="EI73" s="120"/>
      <c r="EJ73" s="120"/>
      <c r="EK73" s="120"/>
      <c r="EL73" s="120"/>
      <c r="EM73" s="120"/>
      <c r="EN73" s="120"/>
      <c r="EO73" s="120"/>
      <c r="EP73" s="120"/>
      <c r="EQ73" s="120"/>
      <c r="ER73" s="120"/>
      <c r="ES73" s="120"/>
      <c r="ET73" s="120"/>
      <c r="EU73" s="120"/>
      <c r="EV73" s="120"/>
      <c r="EW73" s="120"/>
      <c r="EX73" s="120"/>
      <c r="EY73" s="120"/>
      <c r="EZ73" s="120"/>
      <c r="FA73" s="120"/>
      <c r="FB73" s="120"/>
      <c r="FC73" s="120"/>
      <c r="FD73" s="120"/>
      <c r="FE73" s="120"/>
      <c r="FF73" s="120"/>
      <c r="FG73" s="120"/>
      <c r="FH73" s="120"/>
      <c r="FI73" s="120"/>
      <c r="FJ73" s="120"/>
      <c r="FK73" s="120"/>
    </row>
    <row r="74" spans="1:167" ht="11.25" customHeight="1">
      <c r="A74" s="1595" t="s">
        <v>257</v>
      </c>
      <c r="E74" s="575"/>
      <c r="I74" s="575"/>
      <c r="M74" s="575"/>
      <c r="Q74" s="575"/>
      <c r="U74" s="575">
        <f>(IS!Z27*(1-IS!Z34))/((U60+Q60)/2)</f>
        <v>0.27368005088680641</v>
      </c>
      <c r="Y74" s="575">
        <f>(IS!AE27*(1-IS!AE34))/((Y60+U60)/2)</f>
        <v>0.29355095884450683</v>
      </c>
      <c r="AB74" s="122"/>
      <c r="AC74" s="575">
        <f>(IS!AJ27*(1-IS!AJ34))/((AC60+Y60)/2)</f>
        <v>0.23353731472130576</v>
      </c>
      <c r="AD74" s="122"/>
      <c r="AE74" s="122"/>
      <c r="AF74" s="122"/>
      <c r="AG74" s="575">
        <f>(IS!AO27*(1-IS!AO34))/((AG60+AC60)/2)</f>
        <v>0.20588332827249045</v>
      </c>
      <c r="AH74" s="124"/>
      <c r="AI74" s="124"/>
      <c r="AJ74" s="124"/>
      <c r="AK74" s="575">
        <f>(IS!AT27*(1-IS!AT34))/((AK60+AG60)/2)</f>
        <v>0.18962771766850281</v>
      </c>
      <c r="AL74" s="124"/>
      <c r="AM74" s="124"/>
      <c r="AN74" s="124"/>
      <c r="AO74" s="575">
        <f>(IS!AY27*(1-IS!AY34))/((AO60+AK60)/2)</f>
        <v>0.18806423293622021</v>
      </c>
      <c r="AP74" s="126"/>
      <c r="AQ74" s="124"/>
      <c r="AR74" s="124"/>
      <c r="AS74" s="575">
        <f>(IS!BD27*(1-IS!BD34))/((AS60+AO60)/2)</f>
        <v>0.20132173070316556</v>
      </c>
      <c r="AT74" s="124"/>
      <c r="AU74" s="127"/>
      <c r="AV74" s="124"/>
      <c r="AW74" s="575">
        <f>(IS!BI27*(1-IS!BI34))/((AW60+AS60)/2)</f>
        <v>0.19888946269417923</v>
      </c>
      <c r="AX74" s="124"/>
      <c r="AY74" s="127"/>
      <c r="AZ74" s="124"/>
      <c r="BA74" s="575">
        <f>(IS!BN27*(1-IS!BN34))/((BA60+AW60)/2)</f>
        <v>0.18528621999168399</v>
      </c>
      <c r="BB74" s="127">
        <f>(IS!BT27*(1-IS!BT34))/((BB60+AX60)/2)</f>
        <v>4.9977364857059912E-2</v>
      </c>
      <c r="BC74" s="127">
        <f>(IS!BU27*(1-IS!BU34))/((BC60+AY60)/2)</f>
        <v>4.8157120271593419E-2</v>
      </c>
      <c r="BD74" s="127">
        <f>(IS!BV27*(1-IS!BV34))/((BD60+AZ60)/2)</f>
        <v>4.3168546801269782E-2</v>
      </c>
      <c r="BE74" s="575">
        <f>(IS!BW27*(1-IS!BW34))/((BE60+BA60)/2)</f>
        <v>4.8250592989700233E-2</v>
      </c>
      <c r="BF74" s="481">
        <f>(IS!CD27*(1-IS!CD34))/((BF60+BB60)/2)</f>
        <v>4.965877427557943E-2</v>
      </c>
      <c r="BG74" s="127">
        <f>(IS!CE27*(1-IS!CE34))/((BG60+BC60)/2)</f>
        <v>3.6178272954688798E-2</v>
      </c>
      <c r="BH74" s="127">
        <f>(IS!CF27*(1-IS!CF34))/((BH60+BD60)/2)</f>
        <v>4.3058103924174369E-2</v>
      </c>
      <c r="BI74" s="124">
        <f>(IS!CG27*(1-IS!CG34))/((BI60+BE60)/2)</f>
        <v>4.7618644841216959E-2</v>
      </c>
      <c r="BJ74" s="488">
        <f>(IS!CH27*(1-IS!CH34))/((BJ60+BB60)/2)</f>
        <v>0.17126962642848995</v>
      </c>
      <c r="BK74" s="124">
        <f>(IS!CI27*(1-IS!CI34))/((BK60+BE60)/2)</f>
        <v>4.0186628810593171E-2</v>
      </c>
      <c r="BL74" s="124">
        <f>(IS!CJ27*(1-IS!CJ34))/((BL60+BF60)/2)</f>
        <v>3.8635390311992618E-2</v>
      </c>
      <c r="BM74" s="124">
        <f>(IS!CK27*(1-IS!CK34))/((BM60+BG60)/2)</f>
        <v>3.1776210551199717E-2</v>
      </c>
      <c r="BN74" s="575">
        <f>(IS!CL27*(1-IS!CL34))/((BN60+BH60)/2)</f>
        <v>3.8431918672562126E-2</v>
      </c>
      <c r="BO74" s="488">
        <f>(IS!CM27*(1-IS!CM34))/((BO60+BG60)/2)</f>
        <v>0.14520986490155158</v>
      </c>
      <c r="BP74" s="124">
        <f>(IS!CN27*(1-IS!CN34))/((BP60+BI60)/2)</f>
        <v>3.4679680420112685E-2</v>
      </c>
      <c r="BQ74" s="124">
        <f>(IS!CO27*(1-IS!CO34))/((BQ60+BK60)/2)</f>
        <v>3.7613820772254794E-2</v>
      </c>
      <c r="BR74" s="124">
        <f>(IS!CP27*(1-IS!CP34))/((BR60+BL60)/2)</f>
        <v>3.6134941112449331E-2</v>
      </c>
      <c r="BS74" s="575">
        <f>(IS!CQ27*(1-IS!CQ34))/((BS60+BN60)/2)</f>
        <v>4.5308801174762721E-2</v>
      </c>
      <c r="BT74" s="488">
        <f>(IS!CR27*(1-IS!CR34))/((BT60+BM60)/2)</f>
        <v>0.14698106944599476</v>
      </c>
      <c r="BU74" s="124">
        <f>(IS!CS27*(1-IS!CS34))/((BU60+BN60)/2)</f>
        <v>3.8424430017643327E-2</v>
      </c>
      <c r="BV74" s="124">
        <f>(IS!CT27*(1-IS!CT34))/((BV60+BP60)/2)</f>
        <v>4.0254809020333099E-2</v>
      </c>
      <c r="BW74" s="124">
        <f>(IS!CU27*(1-IS!CU34))/((BW60+BQ60)/2)</f>
        <v>3.9272285575096239E-2</v>
      </c>
      <c r="BX74" s="575">
        <f>(IS!CV27*(1-IS!CV34))/((BX60+BR60)/2)</f>
        <v>4.0453715057811285E-2</v>
      </c>
      <c r="BY74" s="488">
        <f>(IS!CW27*(1-IS!CW34))/((BY60+BS60)/2)</f>
        <v>0.14749725739751121</v>
      </c>
      <c r="BZ74" s="124">
        <f>(IS!CX27*(1-IS!CX34))/((BZ60+BU60)/2)</f>
        <v>3.8926811762003966E-2</v>
      </c>
      <c r="CA74" s="124">
        <f>(IS!CY27*(1-IS!CY34))/((CA60+BV60)/2)</f>
        <v>2.409245323033676E-2</v>
      </c>
      <c r="CB74" s="124">
        <f>(IS!CZ27*(1-IS!CZ34))/((CB60+BW60)/2)</f>
        <v>4.5094234564954851E-2</v>
      </c>
      <c r="CC74" s="575">
        <f>(IS!DA27*(1-IS!DA34))/((CC60+BX60)/2)</f>
        <v>-1.9803010267900451E-2</v>
      </c>
      <c r="CD74" s="488">
        <f>(IS!DB27*(1-IS!DB34))/((CD60+BY60)/2)</f>
        <v>8.3518996757881228E-2</v>
      </c>
      <c r="CE74" s="124">
        <f>(IS!DC27*(1-IS!DC34))/((CE60+BZ60)/2)</f>
        <v>4.451788770803039E-2</v>
      </c>
      <c r="CF74" s="124">
        <f>(IS!DD27*(1-IS!DD34))/((CF60+CA60)/2)</f>
        <v>1.4877446437144216E-2</v>
      </c>
      <c r="CG74" s="124">
        <f>(IS!DE27*(1-IS!DE34))/((CG60+CB60)/2)</f>
        <v>4.809958060157947E-2</v>
      </c>
      <c r="CH74" s="575">
        <f>(IS!DF27*(1-IS!DF34))/((CH60+CC60)/2)</f>
        <v>4.4246600618280035E-2</v>
      </c>
      <c r="CI74" s="488">
        <f>(IS!DG27*(1-IS!DG34))/((CI60+CD60)/2)</f>
        <v>0.14679684849627936</v>
      </c>
      <c r="CJ74" s="124">
        <f>(IS!DH27*(1-IS!DH34))/((CJ60+CE60)/2)</f>
        <v>3.1369019388355304E-2</v>
      </c>
      <c r="CK74" s="124">
        <f>(IS!DI27*(1-IS!DI34))/((CK60+CF60)/2)</f>
        <v>4.2447978786495054E-2</v>
      </c>
      <c r="CL74" s="124">
        <f>(IS!DJ27*(1-IS!DJ34))/((CL60+CG60)/2)</f>
        <v>4.1214647308096E-2</v>
      </c>
      <c r="CM74" s="575">
        <f>(IS!DK27*(1-IS!DK34))/((CM60+CH60)/2)</f>
        <v>4.8737348225732058E-2</v>
      </c>
      <c r="CN74" s="4365">
        <f>(IS!DL27*(1-IS!DL34))/((CN60+CI60)/2)</f>
        <v>0.15653055371526478</v>
      </c>
      <c r="CO74" s="124">
        <f>(IS!DM27*(1-IS!DM34))/((CO60+CJ60)/2)</f>
        <v>3.6317830796101291E-2</v>
      </c>
      <c r="CP74" s="124">
        <f>(IS!DN27*(1-IS!DN34))/((CP60+CK60)/2)</f>
        <v>2.6865610788026868E-2</v>
      </c>
      <c r="CQ74" s="124">
        <f>(IS!DO27*(1-IS!DO34))/((CQ60+CL60)/2)</f>
        <v>4.6288442683669419E-2</v>
      </c>
      <c r="CR74" s="575">
        <f>(IS!DP27*(1-IS!DP34))/((CR60+CM60)/2)</f>
        <v>6.0151831377713939E-2</v>
      </c>
      <c r="CS74" s="4365">
        <f>(IS!DQ27*(1-IS!DQ34))/((CS60+CN60)/2)</f>
        <v>0.16286093712912741</v>
      </c>
      <c r="CT74" s="124">
        <f>(IS!DR27*(1-IS!DR34))/((CT60+CO60)/2)</f>
        <v>6.3861426080946457E-2</v>
      </c>
      <c r="CU74" s="124">
        <f>(IS!DS27*(1-IS!DS34))/((CU60+CP60)/2)</f>
        <v>7.3339815294885549E-2</v>
      </c>
      <c r="CV74" s="124">
        <f>(IS!DT27*(1-IS!DT34))/((CV60+CQ60)/2)</f>
        <v>7.5485715683335397E-2</v>
      </c>
      <c r="CW74" s="575">
        <f>(IS!DU27*(1-IS!DU34))/((CW60+CR60)/2)</f>
        <v>7.8083735399990542E-2</v>
      </c>
      <c r="CX74" s="4365">
        <f>(IS!DV27*(1-IS!DV34))/((CX60+CS60)/2)</f>
        <v>0.27820935612082276</v>
      </c>
      <c r="CY74" s="124">
        <f>(IS!DW27*(1-IS!DW34))/((CY60+CT60)/2)</f>
        <v>7.2075811014478991E-2</v>
      </c>
      <c r="CZ74" s="124">
        <f>(IS!DX27*(1-IS!DX34))/((CZ60+CU60)/2)</f>
        <v>6.6417807428651082E-2</v>
      </c>
      <c r="DA74" s="124">
        <f>(IS!DY27*(1-IS!DY34))/((DA60+CV60)/2)</f>
        <v>5.8944708552115463E-2</v>
      </c>
      <c r="DB74" s="575">
        <f>(IS!DZ27*(1-IS!DZ34))/((DB60+CW60)/2)</f>
        <v>5.6831300059004226E-2</v>
      </c>
      <c r="DC74" s="4365">
        <f>(IS!EA27*(1-IS!EA34))/((DC60+CX60)/2)</f>
        <v>0.24785011789716019</v>
      </c>
      <c r="DD74" s="124">
        <f>(IS!EB27*(1-IS!EB34))/((DD60+CY60)/2)</f>
        <v>5.5925122237167689E-2</v>
      </c>
      <c r="DE74" s="124">
        <f>(IS!EC27*(1-IS!EC34))/((DE60+CZ60)/2)</f>
        <v>7.0091436665905366E-2</v>
      </c>
      <c r="DF74" s="124">
        <f>(IS!ED27*(1-IS!ED34))/((DF60+DA60)/2)</f>
        <v>7.5260287027863429E-2</v>
      </c>
      <c r="DG74" s="575">
        <f>(IS!EE27*(1-IS!EE34))/((DG60+DB60)/2)</f>
        <v>7.4440203872151084E-2</v>
      </c>
      <c r="DH74" s="4365">
        <f>(IS!EF27*(1-IS!EF34))/((DH60+DC60)/2)</f>
        <v>0.26901191566686455</v>
      </c>
      <c r="DI74" s="124">
        <f>(IS!EG27*(1-IS!EG34))/((DI60+DD60)/2)</f>
        <v>7.6881809785117605E-2</v>
      </c>
      <c r="DJ74" s="124">
        <f>(IS!EH27*(1-IS!EH34))/((DJ60+DE60)/2)</f>
        <v>8.2800601379788952E-2</v>
      </c>
      <c r="DK74" s="124">
        <f>(IS!EI27*(1-IS!EI34))/((DK60+DF60)/2)</f>
        <v>8.0565669552109392E-2</v>
      </c>
      <c r="DL74" s="575">
        <f>(IS!EJ27*(1-IS!EJ34))/((DL60+DG60)/2)</f>
        <v>8.378477102596707E-2</v>
      </c>
      <c r="DM74" s="4365">
        <f>(IS!EK27*(1-IS!EK34))/((DM60+DH60)/2)</f>
        <v>0.30869135406841436</v>
      </c>
      <c r="DN74" s="124">
        <f>(IS!EL27*(1-IS!EL34))/((DN60+DI60)/2)</f>
        <v>7.928676398251272E-2</v>
      </c>
      <c r="DO74" s="124">
        <f>(IS!EM27*(1-IS!EM34))/((DO60+DJ60)/2)</f>
        <v>7.8304275885563726E-2</v>
      </c>
      <c r="DP74" s="124">
        <f>(IS!EN27*(1-IS!EN34))/((DP60+DK60)/2)</f>
        <v>7.0851307336082692E-2</v>
      </c>
      <c r="DQ74" s="124">
        <f ca="1">(IS!EO27*(1-IS!EO34))/((DQ60+DL60)/2)</f>
        <v>8.4743202563072176E-2</v>
      </c>
      <c r="DR74" s="4365">
        <f ca="1">(IS!EP27*(1-IS!EP34))/((DR60+DM60)/2)</f>
        <v>0.29233872143876277</v>
      </c>
      <c r="DS74" s="124">
        <f ca="1">(IS!EQ27*(1-IS!EQ34))/((DS60+DN60)/2)</f>
        <v>8.005330134147054E-2</v>
      </c>
      <c r="DT74" s="124">
        <f ca="1">(IS!ER27*(1-IS!ER34))/((DT60+DO60)/2)</f>
        <v>8.0005844670519508E-2</v>
      </c>
      <c r="DU74" s="124">
        <f ca="1">(IS!ES27*(1-IS!ES34))/((DU60+DP60)/2)</f>
        <v>7.8040457819863393E-2</v>
      </c>
      <c r="DV74" s="124">
        <f ca="1">(IS!ET27*(1-IS!ET34))/((DV60+DQ60)/2)</f>
        <v>8.0649251651201917E-2</v>
      </c>
      <c r="DW74" s="4365">
        <f ca="1">(IS!EU27*(1-IS!EU34))/((DW60+DR60)/2)</f>
        <v>0.29560117718611661</v>
      </c>
      <c r="DX74" s="488">
        <f ca="1">(IS!EV27*(1-IS!EV34))/((DX60+DW60)/2)</f>
        <v>0.27619703120890388</v>
      </c>
      <c r="DY74" s="488">
        <f ca="1">(IS!EW27*(1-IS!EW34))/((DY60+DX60)/2)</f>
        <v>0.26392973541168507</v>
      </c>
      <c r="DZ74" s="488">
        <f ca="1">(IS!EX27*(1-IS!EX34))/((DZ60+DY60)/2)</f>
        <v>0.25037468406670849</v>
      </c>
      <c r="EA74" s="488">
        <f ca="1">(IS!EY27*(1-IS!EY34))/((EA60+DZ60)/2)</f>
        <v>0.2377633529416357</v>
      </c>
      <c r="EB74" s="129"/>
      <c r="EC74" s="750"/>
      <c r="ED74" s="750"/>
      <c r="EE74" s="129"/>
      <c r="EF74" s="129"/>
      <c r="EG74" s="129"/>
      <c r="EH74" s="129"/>
      <c r="EI74" s="129"/>
      <c r="EJ74" s="129"/>
      <c r="EK74" s="129"/>
      <c r="EL74" s="129"/>
      <c r="EM74" s="129"/>
      <c r="EN74" s="129"/>
      <c r="EO74" s="129"/>
      <c r="EP74" s="129"/>
      <c r="EQ74" s="129"/>
      <c r="ER74" s="129"/>
      <c r="ES74" s="129"/>
      <c r="ET74" s="129"/>
      <c r="EU74" s="129"/>
      <c r="EV74" s="129"/>
      <c r="EW74" s="129"/>
      <c r="EX74" s="129"/>
      <c r="EY74" s="129"/>
      <c r="EZ74" s="129"/>
      <c r="FA74" s="129"/>
      <c r="FB74" s="129"/>
      <c r="FC74" s="129"/>
      <c r="FD74" s="129"/>
      <c r="FE74" s="129"/>
      <c r="FF74" s="129"/>
      <c r="FG74" s="129"/>
      <c r="FH74" s="129"/>
      <c r="FI74" s="129"/>
      <c r="FJ74" s="129"/>
      <c r="FK74" s="129"/>
    </row>
    <row r="75" spans="1:167" ht="11.25" customHeight="1">
      <c r="A75" s="1595" t="s">
        <v>274</v>
      </c>
      <c r="E75" s="575"/>
      <c r="I75" s="575"/>
      <c r="M75" s="575"/>
      <c r="Q75" s="575"/>
      <c r="U75" s="575">
        <f>(IS!Z36+(-IS!Z31*(1-0.4)))/((U60+Q60)/2)</f>
        <v>0.27702848871739805</v>
      </c>
      <c r="Y75" s="575">
        <f>(IS!AE36-66+(-IS!AE31*(1-0.4)))/((Y60+U60)/2)</f>
        <v>0.25795420239659383</v>
      </c>
      <c r="AC75" s="575">
        <f>(IS!AJ36+(-IS!AJ31*(1-0.4)))/((AC60+Y60)/2)</f>
        <v>0.24609578885283001</v>
      </c>
      <c r="AD75" s="122"/>
      <c r="AE75" s="122"/>
      <c r="AF75" s="122"/>
      <c r="AG75" s="575">
        <f>(IS!AO36+(-IS!AO31*(1-0.4)))/((AG60+AC60)/2)</f>
        <v>0.23262168722183399</v>
      </c>
      <c r="AH75" s="124"/>
      <c r="AI75" s="124"/>
      <c r="AJ75" s="124"/>
      <c r="AK75" s="575">
        <f>(IS!AT36+(-IS!AT31*(1-0.4)))/((AK60+AG60)/2)</f>
        <v>0.21161670746630484</v>
      </c>
      <c r="AL75" s="128"/>
      <c r="AM75" s="124"/>
      <c r="AN75" s="124"/>
      <c r="AO75" s="575">
        <f>(IS!AY36+(-IS!AY31*(1-0.4)))/((AO60+AK60)/2)</f>
        <v>0.19178680967907566</v>
      </c>
      <c r="AP75" s="126"/>
      <c r="AQ75" s="124"/>
      <c r="AR75" s="124"/>
      <c r="AS75" s="575">
        <f>(IS!BD36+(-IS!BD31*(1-0.4)))/((AS60+AO60)/2)</f>
        <v>0.20299298822600143</v>
      </c>
      <c r="AT75" s="124"/>
      <c r="AU75" s="127"/>
      <c r="AV75" s="124"/>
      <c r="AW75" s="575">
        <f>(IS!BI36+(-IS!BI31*(1-0.4)))/((AW60+AS60)/2)</f>
        <v>0.20682052005840484</v>
      </c>
      <c r="AX75" s="124"/>
      <c r="AY75" s="127"/>
      <c r="AZ75" s="124"/>
      <c r="BA75" s="575">
        <f>(IS!BN36+(-IS!BN31*(1-0.4)))/((BA60+AW60)/2)</f>
        <v>0.18655758435039183</v>
      </c>
      <c r="BB75" s="127">
        <f>(IS!BT36+(-IS!BT31*(1-0.4)))/((BB60+AX60)/2)</f>
        <v>5.2277886815661659E-2</v>
      </c>
      <c r="BC75" s="127">
        <f>(IS!BU36+(-IS!BU31*(1-0.4)))/((BC60+AY60)/2)</f>
        <v>5.1717047090273492E-2</v>
      </c>
      <c r="BD75" s="127">
        <f>(IS!BV36+(-IS!BV31*(1-0.4)))/((BD60+AZ60)/2)</f>
        <v>4.4002018590567973E-2</v>
      </c>
      <c r="BE75" s="575">
        <f>(IS!BW36+(-IS!BW31*(1-0.4)))/((BE60+BA60)/2)</f>
        <v>4.4740489758201142E-2</v>
      </c>
      <c r="BF75" s="481">
        <f>(IS!BX36+(-IS!BX31*(1-0.4)))/((BF60+BB60)/2)</f>
        <v>0.15653314866785728</v>
      </c>
      <c r="BG75" s="127">
        <f>(IS!CD36+(-IS!CD31*(1-0.4)))/((BG60+BC60)/2)</f>
        <v>4.6610435109665463E-2</v>
      </c>
      <c r="BH75" s="127">
        <f>(IS!CE36+(-IS!CE31*(1-0.4)))/((BH60+BD60)/2)</f>
        <v>4.2750153956177116E-2</v>
      </c>
      <c r="BI75" s="124">
        <f>(IS!CF36+(-IS!CF31*(1-0.4)))/((BI60+BE60)/2)</f>
        <v>3.7352852399637794E-2</v>
      </c>
      <c r="BJ75" s="488">
        <f>(IS!CH36+(-IS!CH31*(1-0.4)))/((BJ60+BB60)/2)</f>
        <v>0.17339838009408071</v>
      </c>
      <c r="BK75" s="124">
        <f>(IS!CI36+(-IS!CI31*(1-0.4)))/((BK60+BE60)/2)</f>
        <v>4.1249935750737335E-2</v>
      </c>
      <c r="BL75" s="124">
        <f>(IS!CJ36+(-IS!CJ31*(1-0.4)))/((BL60+BF60)/2)</f>
        <v>3.9156771910151732E-2</v>
      </c>
      <c r="BM75" s="124">
        <f>(IS!CK36+(-IS!CK31*(1-0.4)))/((BM60+BG60)/2)</f>
        <v>3.3381618420978573E-2</v>
      </c>
      <c r="BN75" s="575">
        <f>(IS!CL36+(-IS!CL31*(1-0.4)))/((BN60+BH60)/2)</f>
        <v>4.9865464107227628E-2</v>
      </c>
      <c r="BO75" s="488">
        <f>(IS!CM36+(-IS!CM31*(1-0.4)))/((BO60+BG60)/2)</f>
        <v>0.16002879706793488</v>
      </c>
      <c r="BP75" s="124">
        <f>(IS!CN36+(-IS!CN31*(1-0.4)))/((BP60+BI60)/2)</f>
        <v>3.5904036126422047E-2</v>
      </c>
      <c r="BQ75" s="124">
        <f>(IS!CO36+(-IS!CO31*(1-0.4)))/((BQ60+BK60)/2)</f>
        <v>3.8635045750734669E-2</v>
      </c>
      <c r="BR75" s="124">
        <f>(IS!CP36+(-IS!CP31*(1-0.4)))/((BR60+BL60)/2)</f>
        <v>3.753950658049908E-2</v>
      </c>
      <c r="BS75" s="575">
        <f>(IS!CQ36+(-IS!CQ31*(1-0.4)))/((BS60+BM60)/2)</f>
        <v>4.4928951475272191E-2</v>
      </c>
      <c r="BT75" s="488">
        <f>(IS!CR36+(-IS!CR31*(1-0.4)))/((BT60+BM60)/2)</f>
        <v>0.14919034068611794</v>
      </c>
      <c r="BU75" s="124">
        <f>(IS!CS36+(-IS!CS31*(1-0.4)))/((BU60+BN60)/2)</f>
        <v>3.6892343983618993E-2</v>
      </c>
      <c r="BV75" s="124">
        <f>(IS!CT36+(-IS!CT31*(1-0.4)))/((BV60+BP60)/2)</f>
        <v>4.1273320441591523E-2</v>
      </c>
      <c r="BW75" s="124">
        <f>(IS!CU36+(-IS!CU31*(1-0.4)))/((BW60+BQ60)/2)</f>
        <v>4.1165418120592469E-2</v>
      </c>
      <c r="BX75" s="575">
        <f>(IS!CV36+(-IS!CV31*(1-0.4)))/((BX60+BR60)/2)</f>
        <v>4.1782064189096552E-2</v>
      </c>
      <c r="BY75" s="488">
        <f>(IS!CW36+(-IS!CW31*(1-0.4)))/((BY60+BS60)/2)</f>
        <v>0.15019643979380568</v>
      </c>
      <c r="BZ75" s="124">
        <f>(IS!CX36+(-IS!CX31*(1-0.4)))/((BZ60+BU60)/2)</f>
        <v>4.0414422869230367E-2</v>
      </c>
      <c r="CA75" s="124">
        <f>(IS!CY36+(-IS!CY31*(1-0.4)))/((CA60+BV60)/2)</f>
        <v>2.5520974779570185E-2</v>
      </c>
      <c r="CB75" s="124">
        <f>(IS!CZ36+(-IS!CZ31*(1-0.4)))/((CB60+BW60)/2)</f>
        <v>4.6235787406036337E-2</v>
      </c>
      <c r="CC75" s="575">
        <f>(IS!DA36+(-IS!DA31*(1-0.4)))/((CC60+BX60)/2)</f>
        <v>-2.0717710898750762E-2</v>
      </c>
      <c r="CD75" s="488">
        <f>(IS!DB36+(-IS!DB31*(1-0.4)))/((CD60+BY60)/2)</f>
        <v>8.6863462052974225E-2</v>
      </c>
      <c r="CE75" s="124">
        <f>(IS!DC36+(-IS!DC31*(1-0.4)))/((CE60+BZ60)/2)</f>
        <v>6.1489858522961405E-2</v>
      </c>
      <c r="CF75" s="124">
        <f>(IS!DD36+(-IS!DD31*(1-0.4)))/((CF60+CA60)/2)</f>
        <v>2.05939036888548E-2</v>
      </c>
      <c r="CG75" s="124">
        <f>(IS!DE36+(-IS!DE31*(1-0.4)))/((CG60+CB60)/2)</f>
        <v>5.6230501009359515E-2</v>
      </c>
      <c r="CH75" s="575">
        <f>(IS!DF36+(-IS!DF31*(1-0.4)))/((CH60+CC60)/2)</f>
        <v>5.4208947990185684E-2</v>
      </c>
      <c r="CI75" s="488">
        <f>(IS!DG36+(-IS!DG31*(1-0.4)))/((CI60+CD60)/2)</f>
        <v>0.18620543422288188</v>
      </c>
      <c r="CJ75" s="124">
        <f>(IS!DH36+(-IS!DH31*(1-0.4)))/((CJ60+CE60)/2)</f>
        <v>3.8670101685463421E-2</v>
      </c>
      <c r="CK75" s="124">
        <f>(IS!DI36+(-IS!DI31*(1-0.4)))/((CK60+CF60)/2)</f>
        <v>5.6167276505398205E-2</v>
      </c>
      <c r="CL75" s="124">
        <f>(IS!DJ36+(-IS!DJ31*(1-0.4)))/((CL60+CG60)/2)</f>
        <v>3.8749044020295553E-2</v>
      </c>
      <c r="CM75" s="575">
        <f>(IS!DK36+(-IS!DK31*(1-0.4)))/((CM60+CH60)/2)</f>
        <v>5.6300947054633711E-2</v>
      </c>
      <c r="CN75" s="4365">
        <f>(IS!DL36+(-IS!DL31*(1-0.4)))/((CN60+CI60)/2)</f>
        <v>0.18119608515577598</v>
      </c>
      <c r="CO75" s="124">
        <f>(IS!DM36+(-IS!DM31*(1-0.4)))/((CO60+CJ60)/2)</f>
        <v>3.5316210791695835E-2</v>
      </c>
      <c r="CP75" s="124">
        <f>(IS!DN36+(-IS!DN31*(1-0.4)))/((CP60+CK60)/2)</f>
        <v>3.4837327352733573E-2</v>
      </c>
      <c r="CQ75" s="124">
        <f>(IS!DO36+(-IS!DO31*(1-0.4)))/((CQ60+CL60)/2)</f>
        <v>5.5147356266042967E-2</v>
      </c>
      <c r="CR75" s="575">
        <f>(IS!DP36+(-IS!DP31*(1-0.4)))/((CR60+CM60)/2)</f>
        <v>7.1827843372186811E-2</v>
      </c>
      <c r="CS75" s="4365">
        <f>(IS!DQ36+(-IS!DQ31*(1-0.4)))/((CS60+CN60)/2)</f>
        <v>0.18995438528630662</v>
      </c>
      <c r="CT75" s="124">
        <f>(IS!DR36+(-IS!DR31*(1-0.4)))/((CT60+CO60)/2)</f>
        <v>8.2689221347008804E-2</v>
      </c>
      <c r="CU75" s="124">
        <f>(IS!DS36+(-IS!DS31*(1-0.4)))/((CU60+CP60)/2)</f>
        <v>8.3279574363827213E-2</v>
      </c>
      <c r="CV75" s="124">
        <f>(IS!DT36+(-IS!DT31*(1-0.4)))/((CV60+CQ60)/2)</f>
        <v>8.2782680163589348E-2</v>
      </c>
      <c r="CW75" s="575">
        <f>(IS!DU36+(-IS!DU31*(1-0.4)))/((CW60+CR60)/2)</f>
        <v>8.7064167750996985E-2</v>
      </c>
      <c r="CX75" s="4365">
        <f>(IS!DV36+(-IS!DV31*(1-0.4)))/((CX60+CS60)/2)</f>
        <v>0.3206932403164206</v>
      </c>
      <c r="CY75" s="124">
        <f>(IS!DW36+(-IS!DW31*(1-0.4)))/((CY60+CT60)/2)</f>
        <v>6.7914969928742172E-2</v>
      </c>
      <c r="CZ75" s="124">
        <f>(IS!DX36+(-IS!DX31*(1-0.4)))/((CZ60+CU60)/2)</f>
        <v>6.4918942602599672E-2</v>
      </c>
      <c r="DA75" s="124">
        <f>(IS!DY36+(-IS!DY31*(1-0.4)))/((DA60+CV60)/2)</f>
        <v>5.5841812309687211E-2</v>
      </c>
      <c r="DB75" s="575">
        <f>(IS!DZ36+(-IS!DZ31*(1-0.4)))/((DB60+CW60)/2)</f>
        <v>5.366113998412695E-2</v>
      </c>
      <c r="DC75" s="4365">
        <f>(IS!EA36+(-IS!EA31*(1-0.4)))/((DC60+CX60)/2)</f>
        <v>0.23621299817440264</v>
      </c>
      <c r="DD75" s="124">
        <f>(IS!EB36+(-IS!EB31*(1-0.4)))/((DD60+CY60)/2)</f>
        <v>5.8462064331187925E-2</v>
      </c>
      <c r="DE75" s="124">
        <f>(IS!EC36+(-IS!EC31*(1-0.4)))/((DE60+CZ60)/2)</f>
        <v>7.0300061236987135E-2</v>
      </c>
      <c r="DF75" s="124">
        <f>(IS!ED36+(-IS!ED31*(1-0.4)))/((DF60+DA60)/2)</f>
        <v>7.474545772054636E-2</v>
      </c>
      <c r="DG75" s="575">
        <f>(IS!EE36+(-IS!EE31*(1-0.4)))/((DG60+DB60)/2)</f>
        <v>7.6686258046459552E-2</v>
      </c>
      <c r="DH75" s="4365">
        <f>(IS!EF36+(-IS!EF31*(1-0.4)))/((DH60+DC60)/2)</f>
        <v>0.27355645635125841</v>
      </c>
      <c r="DI75" s="124">
        <f>(IS!EG36+(-IS!EG31*(1-0.4)))/((DI60+DD60)/2)</f>
        <v>8.5462800096796673E-2</v>
      </c>
      <c r="DJ75" s="124">
        <f>(IS!EH36+(-IS!EH31*(1-0.4)))/((DJ60+DE60)/2)</f>
        <v>8.3181016175553887E-2</v>
      </c>
      <c r="DK75" s="124">
        <f>(IS!EI36+(-IS!EI31*(1-0.4)))/((DK60+DF60)/2)</f>
        <v>8.9562607160309268E-2</v>
      </c>
      <c r="DL75" s="575">
        <f>(IS!EJ36+(-IS!EJ31*(1-0.4)))/((DL60+DG60)/2)</f>
        <v>8.7223052182301961E-2</v>
      </c>
      <c r="DM75" s="4365">
        <f>(IS!EK36+(-IS!EK31*(1-0.4)))/((DM60+DH60)/2)</f>
        <v>0.32908492381623861</v>
      </c>
      <c r="DN75" s="124">
        <f>(IS!EL36+(-IS!EL31*(1-0.4)))/((DN60+DI60)/2)</f>
        <v>0.10825702738238331</v>
      </c>
      <c r="DO75" s="124">
        <f>(IS!EM36+(-IS!EM31*(1-0.4)))/((DO60+DJ60)/2)</f>
        <v>8.4970067910358923E-2</v>
      </c>
      <c r="DP75" s="124">
        <f>(IS!EN36+(-IS!EN31*(1-0.4)))/((DP60+DK60)/2)</f>
        <v>9.9799425380820733E-2</v>
      </c>
      <c r="DQ75" s="124">
        <f ca="1">(IS!EO36+(-IS!EO31*(1-0.4)))/((DQ60+DL60)/2)</f>
        <v>8.6901045934271295E-2</v>
      </c>
      <c r="DR75" s="4365">
        <f ca="1">(IS!EP36+(-IS!EP31*(1-0.4)))/((DR60+DM60)/2)</f>
        <v>0.35409172550333273</v>
      </c>
      <c r="DS75" s="124">
        <f ca="1">(IS!EQ36+(-IS!EQ31*(1-0.4)))/((DS60+DN60)/2)</f>
        <v>8.207482124287048E-2</v>
      </c>
      <c r="DT75" s="124">
        <f ca="1">(IS!ER36+(-IS!ER31*(1-0.4)))/((DT60+DO60)/2)</f>
        <v>8.1705659486679669E-2</v>
      </c>
      <c r="DU75" s="124">
        <f ca="1">(IS!ES36+(-IS!ES31*(1-0.4)))/((DU60+DP60)/2)</f>
        <v>7.9468091937416566E-2</v>
      </c>
      <c r="DV75" s="124">
        <f ca="1">(IS!ET36+(-IS!ET31*(1-0.4)))/((DV60+DQ60)/2)</f>
        <v>8.2028295370683291E-2</v>
      </c>
      <c r="DW75" s="4365">
        <f ca="1">(IS!EU36+(-IS!EU31*(1-0.4)))/((DW60+DR60)/2)</f>
        <v>0.30160315890415307</v>
      </c>
      <c r="DX75" s="488">
        <f ca="1">(IS!EV36+(-IS!EV31*(1-0.4)))/((DX60+DW60)/2)</f>
        <v>0.28041931607547926</v>
      </c>
      <c r="DY75" s="488">
        <f ca="1">(IS!EW36+(-IS!EW31*(1-0.4)))/((DY60+DX60)/2)</f>
        <v>0.26710970536252021</v>
      </c>
      <c r="DZ75" s="488">
        <f ca="1">(IS!EX36+(-IS!EX31*(1-0.4)))/((DZ60+DY60)/2)</f>
        <v>0.25332711852458956</v>
      </c>
      <c r="EA75" s="488">
        <f ca="1">(IS!EY36+(-IS!EY31*(1-0.4)))/((EA60+DZ60)/2)</f>
        <v>0.24108228590942629</v>
      </c>
      <c r="EB75" s="129"/>
      <c r="EC75" s="750"/>
      <c r="ED75" s="750"/>
      <c r="EE75" s="129"/>
      <c r="EF75" s="129"/>
      <c r="EG75" s="129"/>
      <c r="EH75" s="129"/>
      <c r="EI75" s="129"/>
      <c r="EJ75" s="129"/>
      <c r="EK75" s="129"/>
      <c r="EL75" s="129"/>
      <c r="EM75" s="129"/>
      <c r="EN75" s="129"/>
      <c r="EO75" s="129"/>
      <c r="EP75" s="129"/>
      <c r="EQ75" s="129"/>
      <c r="ER75" s="129"/>
      <c r="ES75" s="129"/>
      <c r="ET75" s="129"/>
      <c r="EU75" s="129"/>
      <c r="EV75" s="129"/>
      <c r="EW75" s="129"/>
      <c r="EX75" s="129"/>
      <c r="EY75" s="129"/>
      <c r="EZ75" s="129"/>
      <c r="FA75" s="129"/>
      <c r="FB75" s="129"/>
      <c r="FC75" s="129"/>
      <c r="FD75" s="129"/>
      <c r="FE75" s="129"/>
      <c r="FF75" s="129"/>
      <c r="FG75" s="129"/>
      <c r="FH75" s="129"/>
      <c r="FI75" s="129"/>
      <c r="FJ75" s="129"/>
      <c r="FK75" s="129"/>
    </row>
    <row r="76" spans="1:167" ht="11.25" customHeight="1">
      <c r="A76" s="1606" t="s">
        <v>287</v>
      </c>
      <c r="B76" s="845"/>
      <c r="C76" s="845"/>
      <c r="D76" s="845"/>
      <c r="E76" s="1263"/>
      <c r="F76" s="845"/>
      <c r="G76" s="845"/>
      <c r="H76" s="845"/>
      <c r="I76" s="1263"/>
      <c r="J76" s="845"/>
      <c r="K76" s="845"/>
      <c r="L76" s="845"/>
      <c r="M76" s="1263"/>
      <c r="N76" s="845"/>
      <c r="O76" s="845"/>
      <c r="P76" s="845"/>
      <c r="Q76" s="1263"/>
      <c r="R76" s="845"/>
      <c r="S76" s="845"/>
      <c r="T76" s="845"/>
      <c r="U76" s="1263"/>
      <c r="V76" s="834"/>
      <c r="W76" s="834"/>
      <c r="X76" s="834"/>
      <c r="Y76" s="1263"/>
      <c r="Z76" s="834"/>
      <c r="AA76" s="834"/>
      <c r="AB76" s="834"/>
      <c r="AC76" s="1263"/>
      <c r="AD76" s="846"/>
      <c r="AE76" s="846"/>
      <c r="AF76" s="846"/>
      <c r="AG76" s="1263">
        <f>AG60/IS!AN52</f>
        <v>2.7180332994107683</v>
      </c>
      <c r="AH76" s="847">
        <f>AH60/IS!AP52</f>
        <v>2.9182218058246261</v>
      </c>
      <c r="AI76" s="847">
        <f>AI60/IS!AQ52</f>
        <v>3.1159334197654922</v>
      </c>
      <c r="AJ76" s="847">
        <f>AJ60/IS!AR52</f>
        <v>3.3225467186394417</v>
      </c>
      <c r="AK76" s="1263">
        <f>AK60/IS!AS52</f>
        <v>3.568401195250452</v>
      </c>
      <c r="AL76" s="847">
        <f>AL60/IS!AU52</f>
        <v>3.8339868364672083</v>
      </c>
      <c r="AM76" s="847">
        <f>AM60/IS!AV52</f>
        <v>4.0740787615990035</v>
      </c>
      <c r="AN76" s="847">
        <f>AN60/IS!AW52</f>
        <v>4.3229919817733249</v>
      </c>
      <c r="AO76" s="1263">
        <f>AO60/IS!AX52</f>
        <v>4.4559908983033738</v>
      </c>
      <c r="AP76" s="848">
        <f>AP60/IS!AZ52</f>
        <v>4.7046215414490211</v>
      </c>
      <c r="AQ76" s="847">
        <f>AQ60/IS!BA52</f>
        <v>4.9593854383805906</v>
      </c>
      <c r="AR76" s="847">
        <f>AR60/IS!BB52</f>
        <v>5.2732095163035657</v>
      </c>
      <c r="AS76" s="1263">
        <f>AS60/IS!BC52</f>
        <v>5.5878893603548514</v>
      </c>
      <c r="AT76" s="848">
        <f>AT60/IS!BE52</f>
        <v>5.933361850915043</v>
      </c>
      <c r="AU76" s="847">
        <f>AU60/IS!BF52</f>
        <v>6.2968624994573412</v>
      </c>
      <c r="AV76" s="847">
        <f>AV60/IS!BG52</f>
        <v>6.7141886673056694</v>
      </c>
      <c r="AW76" s="1263">
        <f>AW60/IS!BH52</f>
        <v>7.1022866902585271</v>
      </c>
      <c r="AX76" s="848">
        <f>AX60/IS!BK52</f>
        <v>7.4916573629905896</v>
      </c>
      <c r="AY76" s="847">
        <f>AY60/IS!BL52</f>
        <v>7.9390359731125484</v>
      </c>
      <c r="AZ76" s="847">
        <f>AZ60/IS!BM52</f>
        <v>8.3327760925465491</v>
      </c>
      <c r="BA76" s="1263">
        <f>BA60/IS!BN52</f>
        <v>8.8848310743700605</v>
      </c>
      <c r="BB76" s="847">
        <f>BB60/IS!BT52</f>
        <v>4.6732255797610671</v>
      </c>
      <c r="BC76" s="847">
        <f>BC60/IS!BU52</f>
        <v>4.8913519935427896</v>
      </c>
      <c r="BD76" s="847">
        <f>BD60/IS!BV52</f>
        <v>5.1023959389644595</v>
      </c>
      <c r="BE76" s="1263">
        <f>BE60/IS!BW52</f>
        <v>5.3522331383945767</v>
      </c>
      <c r="BF76" s="849">
        <f>BF60/IS!BX52</f>
        <v>5.6779916040986436</v>
      </c>
      <c r="BG76" s="847">
        <f>BG60/IS!CD52</f>
        <v>5.8554103064488823</v>
      </c>
      <c r="BH76" s="847">
        <f>BH60/IS!CE52</f>
        <v>6.1321256616923367</v>
      </c>
      <c r="BI76" s="2694">
        <f>BI60/IS!CF52</f>
        <v>6.4342564888646514</v>
      </c>
      <c r="BJ76" s="1271"/>
      <c r="BK76" s="2694">
        <f>BK60/IS!CI52</f>
        <v>6.6921624256434509</v>
      </c>
      <c r="BL76" s="847">
        <f>BL60/IS!CJ52</f>
        <v>6.9750991822111619</v>
      </c>
      <c r="BM76" s="847">
        <f>BM60/IS!CK52</f>
        <v>7.1790792121648028</v>
      </c>
      <c r="BN76" s="1263">
        <f>BN60/IS!CL52</f>
        <v>7.5890607139381636</v>
      </c>
      <c r="BO76" s="1271"/>
      <c r="BP76" s="847">
        <f>BP60/IS!CN52</f>
        <v>7.8642722676497971</v>
      </c>
      <c r="BQ76" s="847">
        <f>BQ60/IS!CO52</f>
        <v>8.0899232570728827</v>
      </c>
      <c r="BR76" s="847">
        <f>BR60/IS!CP52</f>
        <v>8.3708641128933543</v>
      </c>
      <c r="BS76" s="1263">
        <f>BS60/IS!CQ52</f>
        <v>8.6317563932427106</v>
      </c>
      <c r="BT76" s="1271"/>
      <c r="BU76" s="1264">
        <f>BU60/IS!CS52</f>
        <v>8.8350533596640108</v>
      </c>
      <c r="BV76" s="847">
        <f>BV60/IS!CT52</f>
        <v>9.1755435554720055</v>
      </c>
      <c r="BW76" s="847">
        <f>BW60/IS!CU52</f>
        <v>9.6001804020388288</v>
      </c>
      <c r="BX76" s="847">
        <f>BX60/IS!CV52</f>
        <v>9.9280084430486948</v>
      </c>
      <c r="BY76" s="1271"/>
      <c r="BZ76" s="1264">
        <f>BZ60/IS!CX52</f>
        <v>10.323473440108485</v>
      </c>
      <c r="CA76" s="1264">
        <f>CA60/IS!CY52</f>
        <v>10.539116393249211</v>
      </c>
      <c r="CB76" s="1264">
        <f>CB60/IS!CZ52</f>
        <v>11.162173376759943</v>
      </c>
      <c r="CC76" s="1263">
        <f>CC60/IS!DA52</f>
        <v>216.29065679165032</v>
      </c>
      <c r="CD76" s="850">
        <f>CD60/IS!DB52</f>
        <v>10.837511938872968</v>
      </c>
      <c r="CE76" s="1264">
        <f>CE60/IS!DC52</f>
        <v>11.403860826452844</v>
      </c>
      <c r="CF76" s="1264">
        <f>CF60/IS!DD52</f>
        <v>11.518001498762171</v>
      </c>
      <c r="CG76" s="1264">
        <f>CG60/IS!DE52</f>
        <v>12.064916410815234</v>
      </c>
      <c r="CH76" s="1263">
        <f>CH60/IS!DF52</f>
        <v>12.671440535654924</v>
      </c>
      <c r="CI76" s="850">
        <f>CI60/IS!DG52</f>
        <v>12.628455259409506</v>
      </c>
      <c r="CJ76" s="3988">
        <f>CJ60/IS!DH52</f>
        <v>13.088707180554701</v>
      </c>
      <c r="CK76" s="3988">
        <f>CK60/IS!DI52</f>
        <v>13.728902185000731</v>
      </c>
      <c r="CL76" s="3988">
        <f>CL60/IS!DJ52</f>
        <v>13.962280094929955</v>
      </c>
      <c r="CM76" s="3989">
        <f>CM60/IS!DK52</f>
        <v>14.488186031525014</v>
      </c>
      <c r="CN76" s="4366">
        <f>CN60/IS!DL52</f>
        <v>14.418447183585007</v>
      </c>
      <c r="CO76" s="3988">
        <f>CO60/IS!DM52</f>
        <v>14.70957015140112</v>
      </c>
      <c r="CP76" s="3988">
        <f>CP60/IS!DN52</f>
        <v>15.08841030298796</v>
      </c>
      <c r="CQ76" s="3988">
        <f>CQ60/IS!DO52</f>
        <v>15.522321903737108</v>
      </c>
      <c r="CR76" s="3989">
        <f>CR60/IS!DP52</f>
        <v>16.292393944673915</v>
      </c>
      <c r="CS76" s="4366">
        <f>CS60/IS!DQ52</f>
        <v>16.196143459998524</v>
      </c>
      <c r="CT76" s="4772">
        <f>CT60/IS!DR52</f>
        <v>16.861367804817974</v>
      </c>
      <c r="CU76" s="4772">
        <f>CU60/IS!DS52</f>
        <v>17.477987439892175</v>
      </c>
      <c r="CV76" s="4772">
        <f>CV60/IS!DT52</f>
        <v>18.075397734579514</v>
      </c>
      <c r="CW76" s="4773">
        <f>CW60/IS!DU52</f>
        <v>18.709116674820407</v>
      </c>
      <c r="CX76" s="4366">
        <f>CX60/IS!DV52</f>
        <v>18.566087294955725</v>
      </c>
      <c r="CY76" s="5224">
        <f>CY60/IS!DW52</f>
        <v>19.025063253594105</v>
      </c>
      <c r="CZ76" s="5224">
        <f>CZ60/IS!DX52</f>
        <v>19.29292242616512</v>
      </c>
      <c r="DA76" s="5224">
        <f>DA60/IS!DY52</f>
        <v>19.365198136977934</v>
      </c>
      <c r="DB76" s="5132">
        <f>DB60/IS!DZ52</f>
        <v>19.784042635359544</v>
      </c>
      <c r="DC76" s="4366">
        <f>DC60/IS!EA52</f>
        <v>19.466041165010765</v>
      </c>
      <c r="DD76" s="4772">
        <f>DD60/IS!EB52</f>
        <v>20.345784917725961</v>
      </c>
      <c r="DE76" s="5224">
        <f>DE60/IS!EC52</f>
        <v>20.929254152303354</v>
      </c>
      <c r="DF76" s="4772">
        <f>DF60/IS!ED52</f>
        <v>21.518746061751735</v>
      </c>
      <c r="DG76" s="5132">
        <f>DG60/IS!EE52</f>
        <v>22.486827487700364</v>
      </c>
      <c r="DH76" s="4366">
        <f>DH60/IS!EF52</f>
        <v>22.276034194752874</v>
      </c>
      <c r="DI76" s="4772">
        <f>DI60/IS!EG52</f>
        <v>23.377025624650756</v>
      </c>
      <c r="DJ76" s="5224">
        <f>DJ60/IS!EH52</f>
        <v>24.069867947178871</v>
      </c>
      <c r="DK76" s="4772">
        <f>DK60/IS!EI52</f>
        <v>25.293421370480715</v>
      </c>
      <c r="DL76" s="5132">
        <f>DL60/IS!EJ52</f>
        <v>26.326854551344347</v>
      </c>
      <c r="DM76" s="4366">
        <f>DM60/IS!EK52</f>
        <v>26.116933459197814</v>
      </c>
      <c r="DN76" s="4772">
        <f>DN60/IS!EL52</f>
        <v>28.091042226019038</v>
      </c>
      <c r="DO76" s="5224">
        <f>DO60/IS!EM52</f>
        <v>29.752090506640432</v>
      </c>
      <c r="DP76" s="4772">
        <f>DP60/IS!EN52</f>
        <v>31.70261411128411</v>
      </c>
      <c r="DQ76" s="4772">
        <f ca="1">DQ60/IS!EO52</f>
        <v>33.283525749571886</v>
      </c>
      <c r="DR76" s="4366">
        <f ca="1">DR60/IS!EP52</f>
        <v>33.238219759356603</v>
      </c>
      <c r="DS76" s="4772">
        <f ca="1">DS60/IS!EQ52</f>
        <v>34.768903301907379</v>
      </c>
      <c r="DT76" s="4772">
        <f ca="1">DT60/IS!ER52</f>
        <v>36.421781070666476</v>
      </c>
      <c r="DU76" s="4772">
        <f ca="1">DU60/IS!ES52</f>
        <v>38.179092854263104</v>
      </c>
      <c r="DV76" s="4772">
        <f ca="1">DV60/IS!ET52</f>
        <v>40.17032040027582</v>
      </c>
      <c r="DW76" s="4366">
        <f ca="1">DW60/IS!EU52</f>
        <v>40.181112287516719</v>
      </c>
      <c r="DX76" s="850">
        <f ca="1">DX60/IS!EV52</f>
        <v>48.130279070053561</v>
      </c>
      <c r="DY76" s="850">
        <f ca="1">DY60/IS!EW52</f>
        <v>57.942327694084831</v>
      </c>
      <c r="DZ76" s="850">
        <f ca="1">DZ60/IS!EX52</f>
        <v>69.808083780503566</v>
      </c>
      <c r="EA76" s="850">
        <f ca="1">EA60/IS!EY52</f>
        <v>84.15451382523861</v>
      </c>
      <c r="EB76" s="129"/>
      <c r="EC76" s="750"/>
      <c r="ED76" s="750"/>
      <c r="EE76" s="129"/>
      <c r="EF76" s="129"/>
      <c r="EG76" s="129"/>
      <c r="EH76" s="129"/>
      <c r="EI76" s="129"/>
      <c r="EJ76" s="129"/>
      <c r="EK76" s="129"/>
      <c r="EL76" s="129"/>
      <c r="EM76" s="129"/>
      <c r="EN76" s="129"/>
      <c r="EO76" s="129"/>
      <c r="EP76" s="129"/>
      <c r="EQ76" s="129"/>
      <c r="ER76" s="129"/>
      <c r="ES76" s="129"/>
      <c r="ET76" s="129"/>
      <c r="EU76" s="129"/>
      <c r="EV76" s="129"/>
      <c r="EW76" s="129"/>
      <c r="EX76" s="129"/>
      <c r="EY76" s="129"/>
      <c r="EZ76" s="129"/>
      <c r="FA76" s="129"/>
      <c r="FB76" s="129"/>
      <c r="FC76" s="129"/>
      <c r="FD76" s="129"/>
      <c r="FE76" s="129"/>
      <c r="FF76" s="129"/>
      <c r="FG76" s="129"/>
      <c r="FH76" s="129"/>
      <c r="FI76" s="129"/>
      <c r="FJ76" s="129"/>
      <c r="FK76" s="129"/>
    </row>
    <row r="77" spans="1:167" ht="11.25" customHeight="1">
      <c r="A77" s="1596"/>
      <c r="AW77" s="112"/>
      <c r="BE77" s="32"/>
      <c r="BI77" s="32"/>
      <c r="BV77" s="32"/>
      <c r="BW77" s="32"/>
      <c r="DC77" s="4367"/>
      <c r="DH77" s="4367"/>
      <c r="DM77" s="4367"/>
      <c r="DR77" s="4367"/>
      <c r="DW77" s="4367"/>
      <c r="EB77" s="129"/>
      <c r="EC77" s="3683"/>
      <c r="ED77" s="3683"/>
      <c r="EE77" s="129"/>
      <c r="EF77" s="129"/>
      <c r="EG77" s="129"/>
      <c r="EH77" s="129"/>
      <c r="EI77" s="129"/>
      <c r="EJ77" s="129"/>
      <c r="EK77" s="129"/>
      <c r="EL77" s="129"/>
      <c r="EM77" s="129"/>
      <c r="EN77" s="129"/>
      <c r="EO77" s="129"/>
      <c r="EP77" s="129"/>
      <c r="EQ77" s="129"/>
      <c r="ER77" s="129"/>
      <c r="ES77" s="129"/>
      <c r="ET77" s="129"/>
      <c r="EU77" s="129"/>
      <c r="EV77" s="129"/>
      <c r="EW77" s="129"/>
      <c r="EX77" s="129"/>
      <c r="EY77" s="129"/>
      <c r="EZ77" s="129"/>
      <c r="FA77" s="129"/>
      <c r="FB77" s="129"/>
      <c r="FC77" s="129"/>
      <c r="FD77" s="129"/>
      <c r="FE77" s="129"/>
      <c r="FF77" s="129"/>
      <c r="FG77" s="129"/>
      <c r="FH77" s="129"/>
      <c r="FI77" s="129"/>
      <c r="FJ77" s="129"/>
      <c r="FK77" s="129"/>
    </row>
    <row r="78" spans="1:167" s="30" customFormat="1">
      <c r="A78" s="2697" t="s">
        <v>63</v>
      </c>
      <c r="B78" s="1018" t="s">
        <v>37</v>
      </c>
      <c r="C78" s="1018" t="s">
        <v>38</v>
      </c>
      <c r="D78" s="1018" t="s">
        <v>39</v>
      </c>
      <c r="E78" s="1018" t="s">
        <v>40</v>
      </c>
      <c r="F78" s="1018" t="s">
        <v>42</v>
      </c>
      <c r="G78" s="1018" t="s">
        <v>43</v>
      </c>
      <c r="H78" s="1018" t="s">
        <v>44</v>
      </c>
      <c r="I78" s="1018" t="s">
        <v>109</v>
      </c>
      <c r="J78" s="1018" t="s">
        <v>111</v>
      </c>
      <c r="K78" s="1018" t="s">
        <v>112</v>
      </c>
      <c r="L78" s="1018" t="s">
        <v>114</v>
      </c>
      <c r="M78" s="1018" t="s">
        <v>115</v>
      </c>
      <c r="N78" s="1018" t="s">
        <v>118</v>
      </c>
      <c r="O78" s="1018" t="s">
        <v>120</v>
      </c>
      <c r="P78" s="1018" t="s">
        <v>122</v>
      </c>
      <c r="Q78" s="1018" t="s">
        <v>124</v>
      </c>
      <c r="R78" s="1018" t="s">
        <v>125</v>
      </c>
      <c r="S78" s="1018" t="s">
        <v>126</v>
      </c>
      <c r="T78" s="1018" t="s">
        <v>127</v>
      </c>
      <c r="U78" s="1018" t="s">
        <v>128</v>
      </c>
      <c r="V78" s="1018" t="s">
        <v>130</v>
      </c>
      <c r="W78" s="1018" t="s">
        <v>233</v>
      </c>
      <c r="X78" s="1018" t="s">
        <v>254</v>
      </c>
      <c r="Y78" s="1018" t="s">
        <v>255</v>
      </c>
      <c r="Z78" s="1018" t="s">
        <v>258</v>
      </c>
      <c r="AA78" s="1018" t="s">
        <v>261</v>
      </c>
      <c r="AB78" s="1018" t="s">
        <v>263</v>
      </c>
      <c r="AC78" s="1018" t="s">
        <v>265</v>
      </c>
      <c r="AD78" s="1018" t="s">
        <v>267</v>
      </c>
      <c r="AE78" s="1018" t="s">
        <v>269</v>
      </c>
      <c r="AF78" s="1018" t="s">
        <v>273</v>
      </c>
      <c r="AG78" s="1018" t="s">
        <v>275</v>
      </c>
      <c r="AH78" s="1018" t="s">
        <v>277</v>
      </c>
      <c r="AI78" s="1018" t="str">
        <f t="shared" ref="AI78:BN78" si="271">AI6</f>
        <v>6/07A</v>
      </c>
      <c r="AJ78" s="1018" t="str">
        <f t="shared" si="271"/>
        <v>9/07A</v>
      </c>
      <c r="AK78" s="1018" t="str">
        <f t="shared" si="271"/>
        <v>12/07A</v>
      </c>
      <c r="AL78" s="1018" t="str">
        <f t="shared" si="271"/>
        <v>3/08A</v>
      </c>
      <c r="AM78" s="1018" t="str">
        <f t="shared" si="271"/>
        <v>6/08A</v>
      </c>
      <c r="AN78" s="1018" t="str">
        <f t="shared" si="271"/>
        <v>9/08A</v>
      </c>
      <c r="AO78" s="1018" t="str">
        <f t="shared" si="271"/>
        <v>12/08A</v>
      </c>
      <c r="AP78" s="1018" t="str">
        <f t="shared" si="271"/>
        <v>3/09A</v>
      </c>
      <c r="AQ78" s="1018" t="str">
        <f t="shared" si="271"/>
        <v>6/09A</v>
      </c>
      <c r="AR78" s="1018" t="str">
        <f t="shared" si="271"/>
        <v>9/09A</v>
      </c>
      <c r="AS78" s="1018" t="str">
        <f t="shared" si="271"/>
        <v>12/09A</v>
      </c>
      <c r="AT78" s="1018" t="str">
        <f t="shared" si="271"/>
        <v>3/10A</v>
      </c>
      <c r="AU78" s="1018" t="str">
        <f t="shared" si="271"/>
        <v>6/10A</v>
      </c>
      <c r="AV78" s="1018" t="str">
        <f t="shared" si="271"/>
        <v>9/10A</v>
      </c>
      <c r="AW78" s="1018" t="str">
        <f t="shared" si="271"/>
        <v>12/10A</v>
      </c>
      <c r="AX78" s="1018" t="str">
        <f t="shared" si="271"/>
        <v>3/11A</v>
      </c>
      <c r="AY78" s="1018" t="str">
        <f t="shared" si="271"/>
        <v>6/11A</v>
      </c>
      <c r="AZ78" s="1018" t="str">
        <f t="shared" si="271"/>
        <v>9/11A</v>
      </c>
      <c r="BA78" s="1018" t="str">
        <f t="shared" si="271"/>
        <v>12/11A</v>
      </c>
      <c r="BB78" s="1018" t="str">
        <f t="shared" si="271"/>
        <v>3/12A</v>
      </c>
      <c r="BC78" s="1018" t="str">
        <f t="shared" si="271"/>
        <v>6/12A</v>
      </c>
      <c r="BD78" s="1018" t="str">
        <f t="shared" si="271"/>
        <v>9/12A</v>
      </c>
      <c r="BE78" s="1018" t="str">
        <f t="shared" si="271"/>
        <v>12/12A</v>
      </c>
      <c r="BF78" s="1018" t="str">
        <f t="shared" si="271"/>
        <v>3/13A</v>
      </c>
      <c r="BG78" s="1018" t="str">
        <f t="shared" si="271"/>
        <v>6/13A</v>
      </c>
      <c r="BH78" s="1018" t="str">
        <f t="shared" si="271"/>
        <v>9/13A</v>
      </c>
      <c r="BI78" s="1018" t="str">
        <f t="shared" si="271"/>
        <v>12/13A</v>
      </c>
      <c r="BJ78" s="1018" t="str">
        <f t="shared" si="271"/>
        <v>2013A</v>
      </c>
      <c r="BK78" s="1018" t="str">
        <f t="shared" si="271"/>
        <v>3/14A</v>
      </c>
      <c r="BL78" s="1018" t="str">
        <f t="shared" si="271"/>
        <v>6/14A</v>
      </c>
      <c r="BM78" s="1018" t="str">
        <f t="shared" si="271"/>
        <v>9/14A</v>
      </c>
      <c r="BN78" s="1018" t="str">
        <f t="shared" si="271"/>
        <v>12/14A</v>
      </c>
      <c r="BO78" s="1018" t="str">
        <f t="shared" ref="BO78:CT78" si="272">BO6</f>
        <v>2014A</v>
      </c>
      <c r="BP78" s="1018" t="str">
        <f t="shared" si="272"/>
        <v>3/15A</v>
      </c>
      <c r="BQ78" s="1018" t="str">
        <f t="shared" si="272"/>
        <v>6/15A</v>
      </c>
      <c r="BR78" s="1018" t="str">
        <f t="shared" si="272"/>
        <v>9/15A</v>
      </c>
      <c r="BS78" s="1018" t="str">
        <f t="shared" si="272"/>
        <v>12/15A</v>
      </c>
      <c r="BT78" s="1018" t="str">
        <f t="shared" si="272"/>
        <v>2015A</v>
      </c>
      <c r="BU78" s="1018" t="str">
        <f t="shared" si="272"/>
        <v>3/16A</v>
      </c>
      <c r="BV78" s="1018" t="str">
        <f t="shared" si="272"/>
        <v>6/16A</v>
      </c>
      <c r="BW78" s="1018" t="str">
        <f t="shared" si="272"/>
        <v>9/16A</v>
      </c>
      <c r="BX78" s="1018" t="str">
        <f t="shared" si="272"/>
        <v>12/16A</v>
      </c>
      <c r="BY78" s="1018" t="str">
        <f t="shared" si="272"/>
        <v>2016A</v>
      </c>
      <c r="BZ78" s="1018" t="str">
        <f t="shared" si="272"/>
        <v>3/17A</v>
      </c>
      <c r="CA78" s="1018" t="str">
        <f t="shared" si="272"/>
        <v>6/17A</v>
      </c>
      <c r="CB78" s="1018" t="str">
        <f t="shared" si="272"/>
        <v>9/17A</v>
      </c>
      <c r="CC78" s="1018" t="str">
        <f t="shared" si="272"/>
        <v>12/17A</v>
      </c>
      <c r="CD78" s="1018" t="str">
        <f t="shared" si="272"/>
        <v>2017A</v>
      </c>
      <c r="CE78" s="1018" t="str">
        <f t="shared" si="272"/>
        <v>3/18A</v>
      </c>
      <c r="CF78" s="1018" t="str">
        <f t="shared" si="272"/>
        <v>6/18A</v>
      </c>
      <c r="CG78" s="1018" t="str">
        <f t="shared" si="272"/>
        <v>9/18A</v>
      </c>
      <c r="CH78" s="1018" t="str">
        <f t="shared" si="272"/>
        <v>12/18A</v>
      </c>
      <c r="CI78" s="1018" t="str">
        <f t="shared" si="272"/>
        <v>2018A</v>
      </c>
      <c r="CJ78" s="1018" t="str">
        <f t="shared" si="272"/>
        <v>3/19A</v>
      </c>
      <c r="CK78" s="1018" t="str">
        <f t="shared" si="272"/>
        <v>6/19A</v>
      </c>
      <c r="CL78" s="1018" t="str">
        <f t="shared" si="272"/>
        <v>9/19A</v>
      </c>
      <c r="CM78" s="1018" t="str">
        <f t="shared" si="272"/>
        <v>12/19A</v>
      </c>
      <c r="CN78" s="4368" t="str">
        <f t="shared" si="272"/>
        <v>2019A</v>
      </c>
      <c r="CO78" s="2897" t="str">
        <f t="shared" si="272"/>
        <v>3/20A</v>
      </c>
      <c r="CP78" s="2897" t="str">
        <f t="shared" si="272"/>
        <v>6/20A</v>
      </c>
      <c r="CQ78" s="2897" t="str">
        <f t="shared" si="272"/>
        <v>9/20A</v>
      </c>
      <c r="CR78" s="2897" t="str">
        <f t="shared" si="272"/>
        <v>12/20A</v>
      </c>
      <c r="CS78" s="4368" t="str">
        <f t="shared" si="272"/>
        <v>2020A</v>
      </c>
      <c r="CT78" s="4770" t="str">
        <f t="shared" si="272"/>
        <v>3/21A</v>
      </c>
      <c r="CU78" s="4770" t="str">
        <f t="shared" ref="CU78:DX78" si="273">CU6</f>
        <v>6/21A</v>
      </c>
      <c r="CV78" s="4770" t="str">
        <f t="shared" si="273"/>
        <v>9/21A</v>
      </c>
      <c r="CW78" s="4770" t="str">
        <f t="shared" si="273"/>
        <v>12/21A</v>
      </c>
      <c r="CX78" s="4368" t="str">
        <f t="shared" si="273"/>
        <v>2021A</v>
      </c>
      <c r="CY78" s="5196" t="str">
        <f t="shared" si="273"/>
        <v>3/22A</v>
      </c>
      <c r="CZ78" s="5196" t="str">
        <f t="shared" si="273"/>
        <v>6/22A</v>
      </c>
      <c r="DA78" s="5196" t="str">
        <f t="shared" si="273"/>
        <v>9/22A</v>
      </c>
      <c r="DB78" s="4770" t="str">
        <f t="shared" si="273"/>
        <v>12/22A</v>
      </c>
      <c r="DC78" s="4368" t="str">
        <f t="shared" si="273"/>
        <v>2022A</v>
      </c>
      <c r="DD78" s="4770" t="str">
        <f t="shared" si="273"/>
        <v>3/23A</v>
      </c>
      <c r="DE78" s="5196" t="str">
        <f>DE6</f>
        <v>6/23A</v>
      </c>
      <c r="DF78" s="4770" t="str">
        <f t="shared" si="273"/>
        <v>9/23A</v>
      </c>
      <c r="DG78" s="4770" t="str">
        <f t="shared" ref="DG78" si="274">DG6</f>
        <v>12/23A</v>
      </c>
      <c r="DH78" s="4368" t="str">
        <f t="shared" si="273"/>
        <v>2023A</v>
      </c>
      <c r="DI78" s="4770" t="str">
        <f t="shared" ref="DI78" si="275">DI6</f>
        <v>3/24A</v>
      </c>
      <c r="DJ78" s="5196" t="str">
        <f>DJ6</f>
        <v>6/24A</v>
      </c>
      <c r="DK78" s="4770" t="str">
        <f t="shared" ref="DK78:DL78" si="276">DK6</f>
        <v>9/24A</v>
      </c>
      <c r="DL78" s="4770" t="str">
        <f t="shared" si="276"/>
        <v>12/24A</v>
      </c>
      <c r="DM78" s="4368" t="str">
        <f>DM6</f>
        <v>2024A</v>
      </c>
      <c r="DN78" s="4770" t="str">
        <f t="shared" ref="DN78" si="277">DN6</f>
        <v>3/25A</v>
      </c>
      <c r="DO78" s="5196" t="str">
        <f>DO6</f>
        <v>6/25A</v>
      </c>
      <c r="DP78" s="4770" t="str">
        <f t="shared" ref="DP78" si="278">DP6</f>
        <v>9/25A</v>
      </c>
      <c r="DQ78" s="4770" t="str">
        <f t="shared" ref="DQ78" si="279">DQ6</f>
        <v>12/25E</v>
      </c>
      <c r="DR78" s="4368" t="str">
        <f>DR6</f>
        <v>2025E</v>
      </c>
      <c r="DS78" s="4770" t="str">
        <f t="shared" ref="DS78:DV78" si="280">DS6</f>
        <v>3/26E</v>
      </c>
      <c r="DT78" s="4770" t="str">
        <f t="shared" si="280"/>
        <v>6/26E</v>
      </c>
      <c r="DU78" s="4770" t="str">
        <f t="shared" si="280"/>
        <v>9/26E</v>
      </c>
      <c r="DV78" s="4770" t="str">
        <f t="shared" si="280"/>
        <v>12/26E</v>
      </c>
      <c r="DW78" s="4368" t="str">
        <f>DW6</f>
        <v>2026E</v>
      </c>
      <c r="DX78" s="1018" t="str">
        <f t="shared" si="273"/>
        <v>2027E</v>
      </c>
      <c r="DY78" s="1018" t="str">
        <f>DY6</f>
        <v>2028E</v>
      </c>
      <c r="DZ78" s="1018" t="str">
        <f>DZ6</f>
        <v>2029E</v>
      </c>
      <c r="EA78" s="1018" t="str">
        <f>EA6</f>
        <v>2030E</v>
      </c>
      <c r="EC78" s="3683"/>
      <c r="ED78" s="3683"/>
    </row>
    <row r="79" spans="1:167" s="31" customFormat="1" ht="11.25" customHeight="1">
      <c r="A79" s="3116" t="s">
        <v>138</v>
      </c>
      <c r="B79" s="2992"/>
      <c r="C79" s="2992"/>
      <c r="D79" s="2992"/>
      <c r="E79" s="3162"/>
      <c r="F79" s="3137"/>
      <c r="G79" s="3137"/>
      <c r="H79" s="3137"/>
      <c r="I79" s="3162"/>
      <c r="J79" s="4520"/>
      <c r="K79" s="3137"/>
      <c r="L79" s="3137"/>
      <c r="M79" s="3162"/>
      <c r="N79" s="4520"/>
      <c r="O79" s="3137"/>
      <c r="P79" s="3137"/>
      <c r="Q79" s="3162"/>
      <c r="R79" s="3137"/>
      <c r="S79" s="3137"/>
      <c r="T79" s="3137"/>
      <c r="U79" s="3162"/>
      <c r="V79" s="4521"/>
      <c r="W79" s="3141"/>
      <c r="X79" s="3141"/>
      <c r="Y79" s="3162"/>
      <c r="Z79" s="3141"/>
      <c r="AA79" s="3141"/>
      <c r="AB79" s="3141"/>
      <c r="AC79" s="3162"/>
      <c r="AD79" s="4521"/>
      <c r="AE79" s="3141"/>
      <c r="AF79" s="3141"/>
      <c r="AG79" s="3162"/>
      <c r="AH79" s="3141"/>
      <c r="AI79" s="3141"/>
      <c r="AJ79" s="3141"/>
      <c r="AK79" s="3162"/>
      <c r="AL79" s="3141"/>
      <c r="AM79" s="3141"/>
      <c r="AN79" s="3141"/>
      <c r="AO79" s="3162"/>
      <c r="AP79" s="3141"/>
      <c r="AQ79" s="3163"/>
      <c r="AR79" s="3141"/>
      <c r="AS79" s="3162"/>
      <c r="AT79" s="3141"/>
      <c r="AU79" s="3141"/>
      <c r="AV79" s="3141"/>
      <c r="AW79" s="3162"/>
      <c r="AX79" s="3141"/>
      <c r="AY79" s="3141"/>
      <c r="AZ79" s="3141"/>
      <c r="BA79" s="3162"/>
      <c r="BB79" s="3141"/>
      <c r="BC79" s="3141"/>
      <c r="BD79" s="3141"/>
      <c r="BE79" s="3162"/>
      <c r="BF79" s="4522"/>
      <c r="BG79" s="3141"/>
      <c r="BH79" s="3141"/>
      <c r="BI79" s="3165"/>
      <c r="BJ79" s="3166"/>
      <c r="BK79" s="3165"/>
      <c r="BL79" s="3165"/>
      <c r="BM79" s="3165"/>
      <c r="BN79" s="3162"/>
      <c r="BO79" s="3166"/>
      <c r="BP79" s="3165"/>
      <c r="BQ79" s="3165"/>
      <c r="BR79" s="3165"/>
      <c r="BS79" s="3162"/>
      <c r="BT79" s="3166"/>
      <c r="BU79" s="3165"/>
      <c r="BV79" s="3165"/>
      <c r="BW79" s="3165"/>
      <c r="BX79" s="3165"/>
      <c r="BY79" s="3166"/>
      <c r="BZ79" s="3165"/>
      <c r="CA79" s="3165"/>
      <c r="CB79" s="3165"/>
      <c r="CC79" s="3162"/>
      <c r="CD79" s="3166"/>
      <c r="CE79" s="3165"/>
      <c r="CF79" s="3165"/>
      <c r="CG79" s="3165"/>
      <c r="CH79" s="3162"/>
      <c r="CI79" s="3166"/>
      <c r="CJ79" s="3165"/>
      <c r="CK79" s="3165"/>
      <c r="CL79" s="3165"/>
      <c r="CM79" s="3162"/>
      <c r="CN79" s="4523"/>
      <c r="CO79" s="3165"/>
      <c r="CP79" s="3165"/>
      <c r="CQ79" s="3165"/>
      <c r="CR79" s="3162"/>
      <c r="CS79" s="4523"/>
      <c r="CT79" s="3165"/>
      <c r="CU79" s="3165"/>
      <c r="CV79" s="3165"/>
      <c r="CW79" s="3162"/>
      <c r="CX79" s="4523"/>
      <c r="CY79" s="3165"/>
      <c r="CZ79" s="3165"/>
      <c r="DA79" s="3165"/>
      <c r="DB79" s="3162"/>
      <c r="DC79" s="4523"/>
      <c r="DD79" s="3165"/>
      <c r="DE79" s="3165"/>
      <c r="DF79" s="3165"/>
      <c r="DG79" s="3162"/>
      <c r="DH79" s="4523"/>
      <c r="DI79" s="3165"/>
      <c r="DJ79" s="3165"/>
      <c r="DK79" s="3165"/>
      <c r="DL79" s="3162"/>
      <c r="DM79" s="4523"/>
      <c r="DN79" s="3165"/>
      <c r="DO79" s="3165"/>
      <c r="DP79" s="3165"/>
      <c r="DQ79" s="3165"/>
      <c r="DR79" s="4523"/>
      <c r="DS79" s="3165"/>
      <c r="DT79" s="3165"/>
      <c r="DU79" s="3165"/>
      <c r="DV79" s="3165"/>
      <c r="DW79" s="4523"/>
      <c r="DX79" s="3166"/>
      <c r="DY79" s="3166"/>
      <c r="DZ79" s="3166"/>
      <c r="EA79" s="3166"/>
      <c r="EB79" s="107"/>
      <c r="EC79" s="3683"/>
      <c r="ED79" s="3683"/>
    </row>
    <row r="80" spans="1:167" s="45" customFormat="1" ht="11.25" customHeight="1">
      <c r="A80" s="4507" t="s">
        <v>228</v>
      </c>
      <c r="B80" s="4508"/>
      <c r="C80" s="4508"/>
      <c r="D80" s="4508"/>
      <c r="E80" s="4509"/>
      <c r="F80" s="4508"/>
      <c r="G80" s="4508"/>
      <c r="H80" s="4508"/>
      <c r="I80" s="4509"/>
      <c r="J80" s="4510"/>
      <c r="K80" s="4508"/>
      <c r="L80" s="4508"/>
      <c r="M80" s="4509"/>
      <c r="N80" s="4508"/>
      <c r="O80" s="4508"/>
      <c r="P80" s="4508"/>
      <c r="Q80" s="4509">
        <f>+IS!T9</f>
        <v>136.411</v>
      </c>
      <c r="R80" s="4511">
        <f>+IS!V9</f>
        <v>178.48699999999999</v>
      </c>
      <c r="S80" s="4512">
        <f>+IS!W9</f>
        <v>214.64000000000001</v>
      </c>
      <c r="T80" s="4512">
        <f>+IS!X9</f>
        <v>250.45500000000001</v>
      </c>
      <c r="U80" s="4509">
        <f>+IS!Y9</f>
        <v>295.81899999999996</v>
      </c>
      <c r="V80" s="4513">
        <f>IS!AA9</f>
        <v>380.62100000000004</v>
      </c>
      <c r="W80" s="4513">
        <f>IS!AB9</f>
        <v>423.178</v>
      </c>
      <c r="X80" s="4513">
        <f>IS!AC9</f>
        <v>502.98699999999997</v>
      </c>
      <c r="Y80" s="4509">
        <f>IS!AD9</f>
        <v>653.79299999999989</v>
      </c>
      <c r="Z80" s="4514">
        <f>IS!AF9</f>
        <v>794.70900000000006</v>
      </c>
      <c r="AA80" s="4513">
        <f>IS!AG9</f>
        <v>890.17499999999995</v>
      </c>
      <c r="AB80" s="4513">
        <f>IS!AH9</f>
        <v>1048.5819999999999</v>
      </c>
      <c r="AC80" s="4509">
        <f>IS!AI9</f>
        <v>1290.152</v>
      </c>
      <c r="AD80" s="4514">
        <f>IS!AK9</f>
        <v>1531.0190000000002</v>
      </c>
      <c r="AE80" s="4513">
        <f>IS!AL9</f>
        <v>1670.8319999999999</v>
      </c>
      <c r="AF80" s="4513">
        <f>IS!AM9</f>
        <v>1864.4089999999997</v>
      </c>
      <c r="AG80" s="4509">
        <f>IS!AN9</f>
        <v>2229.88</v>
      </c>
      <c r="AH80" s="4514">
        <f>IS!AP9</f>
        <v>2538.9390000000003</v>
      </c>
      <c r="AI80" s="4513">
        <f>IS!AQ9</f>
        <v>2724.0720000000001</v>
      </c>
      <c r="AJ80" s="4513">
        <f>IS!AR9</f>
        <v>3010.2309999999998</v>
      </c>
      <c r="AK80" s="4509">
        <f>IS!AS9</f>
        <v>3386.8649999999998</v>
      </c>
      <c r="AL80" s="4514">
        <f>IS!AU9</f>
        <v>3699.6589999999997</v>
      </c>
      <c r="AM80" s="4513">
        <f>IS!AV9</f>
        <v>3893.2320000000004</v>
      </c>
      <c r="AN80" s="4513">
        <f>IS!AW9</f>
        <v>4046.1849999999995</v>
      </c>
      <c r="AO80" s="4509">
        <f>IS!AX9</f>
        <v>4217.5220000000008</v>
      </c>
      <c r="AP80" s="4513">
        <f>IS!AZ9</f>
        <v>4073.0299999999997</v>
      </c>
      <c r="AQ80" s="4513">
        <f>IS!BA9</f>
        <v>4069.5429999999997</v>
      </c>
      <c r="AR80" s="4513">
        <f>IS!BA9</f>
        <v>4069.5429999999997</v>
      </c>
      <c r="AS80" s="4509">
        <f>IS!BC9</f>
        <v>4952.9390000000003</v>
      </c>
      <c r="AT80" s="4513">
        <f>IS!BE9</f>
        <v>5064</v>
      </c>
      <c r="AU80" s="4513">
        <f>IS!BF9</f>
        <v>5088</v>
      </c>
      <c r="AV80" s="4513">
        <f>IS!BG9</f>
        <v>5481</v>
      </c>
      <c r="AW80" s="4509">
        <f>IS!BH9</f>
        <v>6371</v>
      </c>
      <c r="AX80" s="4515">
        <f>+IS!BJ9</f>
        <v>6537</v>
      </c>
      <c r="AY80" s="4513">
        <f>+IS!BK9</f>
        <v>6916</v>
      </c>
      <c r="AZ80" s="4513">
        <f>+IS!BL9</f>
        <v>7510</v>
      </c>
      <c r="BA80" s="4509">
        <f>+IS!BM9</f>
        <v>8134</v>
      </c>
      <c r="BB80" s="4515">
        <f>+IS!BT9</f>
        <v>8135</v>
      </c>
      <c r="BC80" s="4513">
        <f>+IS!BU9</f>
        <v>8364</v>
      </c>
      <c r="BD80" s="4513">
        <f>+IS!BV9</f>
        <v>8756</v>
      </c>
      <c r="BE80" s="4509">
        <f>+IS!BW9</f>
        <v>9825</v>
      </c>
      <c r="BF80" s="4515">
        <f>+IS!CD9</f>
        <v>9989</v>
      </c>
      <c r="BG80" s="4513">
        <f>+IS!CE9</f>
        <v>10094</v>
      </c>
      <c r="BH80" s="4513">
        <f>+IS!CF9</f>
        <v>10782</v>
      </c>
      <c r="BI80" s="4516">
        <f>+IS!CG9</f>
        <v>12397</v>
      </c>
      <c r="BJ80" s="4517">
        <f>+IS!CH9</f>
        <v>43261</v>
      </c>
      <c r="BK80" s="4513">
        <f>+IS!CI9</f>
        <v>12188</v>
      </c>
      <c r="BL80" s="4516">
        <f>+IS!CJ9</f>
        <v>12662</v>
      </c>
      <c r="BM80" s="4516">
        <f>+IS!CK9</f>
        <v>13175</v>
      </c>
      <c r="BN80" s="4509">
        <f>+IS!CL9</f>
        <v>14483</v>
      </c>
      <c r="BO80" s="4517">
        <f>+IS!CM9</f>
        <v>52504</v>
      </c>
      <c r="BP80" s="4516">
        <f>+IS!CN9</f>
        <v>13913</v>
      </c>
      <c r="BQ80" s="4516">
        <f>+IS!CO9</f>
        <v>14350</v>
      </c>
      <c r="BR80" s="4516">
        <f>+IS!CP9</f>
        <v>15109</v>
      </c>
      <c r="BS80" s="4509">
        <f>+IS!CQ9</f>
        <v>17274</v>
      </c>
      <c r="BT80" s="4517">
        <f>+IS!CR9</f>
        <v>60646</v>
      </c>
      <c r="BU80" s="4518">
        <f>+IS!CS9</f>
        <v>16469</v>
      </c>
      <c r="BV80" s="4516">
        <f>+IS!CT9</f>
        <v>17525</v>
      </c>
      <c r="BW80" s="4516">
        <f>+IS!CU9</f>
        <v>18269</v>
      </c>
      <c r="BX80" s="4516">
        <f>+IS!CV9</f>
        <v>21216</v>
      </c>
      <c r="BY80" s="4517">
        <f>+IS!CW9</f>
        <v>73479</v>
      </c>
      <c r="BZ80" s="4516">
        <f>+IS!CX9</f>
        <v>20121</v>
      </c>
      <c r="CA80" s="4516">
        <f>+IS!CY9</f>
        <v>20919</v>
      </c>
      <c r="CB80" s="4516">
        <f>+IS!CZ9</f>
        <v>22270</v>
      </c>
      <c r="CC80" s="4516">
        <f>+IS!DA9</f>
        <v>25873</v>
      </c>
      <c r="CD80" s="4517">
        <f>+IS!DB9</f>
        <v>89183</v>
      </c>
      <c r="CE80" s="4516">
        <f>+IS!DC9</f>
        <v>24858</v>
      </c>
      <c r="CF80" s="4516">
        <f>+IS!DD9</f>
        <v>26237</v>
      </c>
      <c r="CG80" s="4516">
        <f>+IS!DE9</f>
        <v>27158</v>
      </c>
      <c r="CH80" s="4516">
        <f>+IS!DF9</f>
        <v>31840</v>
      </c>
      <c r="CI80" s="4517">
        <f>+IS!DG9</f>
        <v>110093</v>
      </c>
      <c r="CJ80" s="4516">
        <f>+IS!DH9</f>
        <v>29479</v>
      </c>
      <c r="CK80" s="4516">
        <f>+IS!DI9</f>
        <v>31706</v>
      </c>
      <c r="CL80" s="4516">
        <f>+IS!DJ9</f>
        <v>33009</v>
      </c>
      <c r="CM80" s="4516">
        <f>+IS!DK9</f>
        <v>37574</v>
      </c>
      <c r="CN80" s="4519">
        <f>+IS!DL9</f>
        <v>131768</v>
      </c>
      <c r="CO80" s="4516">
        <f>+IS!DM9</f>
        <v>33707</v>
      </c>
      <c r="CP80" s="4516">
        <f>+IS!DN9</f>
        <v>31603</v>
      </c>
      <c r="CQ80" s="4516">
        <f>+IS!DO9</f>
        <v>38007</v>
      </c>
      <c r="CR80" s="4516">
        <f>+IS!DP9</f>
        <v>46432</v>
      </c>
      <c r="CS80" s="4519">
        <f>+IS!DQ9</f>
        <v>149749</v>
      </c>
      <c r="CT80" s="4516">
        <f>+IS!DR9</f>
        <v>45602</v>
      </c>
      <c r="CU80" s="4516">
        <f>+IS!DS9</f>
        <v>50951</v>
      </c>
      <c r="CV80" s="4516">
        <f>+IS!DT9</f>
        <v>53620</v>
      </c>
      <c r="CW80" s="4516">
        <f>+IS!DU9</f>
        <v>61898</v>
      </c>
      <c r="CX80" s="4519">
        <f>+IS!DV9</f>
        <v>212071</v>
      </c>
      <c r="CY80" s="4516">
        <f>+IS!DW9</f>
        <v>56021</v>
      </c>
      <c r="CZ80" s="4516">
        <f>+IS!DX9</f>
        <v>57471</v>
      </c>
      <c r="DA80" s="5225">
        <f>+IS!DY9</f>
        <v>57266</v>
      </c>
      <c r="DB80" s="4516">
        <f>+IS!DZ9</f>
        <v>63123</v>
      </c>
      <c r="DC80" s="4519">
        <f>+IS!EA9</f>
        <v>233881</v>
      </c>
      <c r="DD80" s="4516">
        <f>+IS!EB9</f>
        <v>58066</v>
      </c>
      <c r="DE80" s="4516">
        <f>+IS!EC9</f>
        <v>62067</v>
      </c>
      <c r="DF80" s="5225">
        <f>+IS!ED9</f>
        <v>64051</v>
      </c>
      <c r="DG80" s="4516">
        <f>+IS!EE9</f>
        <v>72324</v>
      </c>
      <c r="DH80" s="4519">
        <f>+IS!EF9</f>
        <v>256508</v>
      </c>
      <c r="DI80" s="4516">
        <f>+IS!EG9</f>
        <v>67593</v>
      </c>
      <c r="DJ80" s="4516">
        <f>+IS!EH9</f>
        <v>71355</v>
      </c>
      <c r="DK80" s="5225">
        <f>+IS!EI9</f>
        <v>74549</v>
      </c>
      <c r="DL80" s="4516">
        <f>+IS!EJ9</f>
        <v>81621</v>
      </c>
      <c r="DM80" s="4519">
        <f>+IS!EK9</f>
        <v>295118</v>
      </c>
      <c r="DN80" s="4516">
        <f>+IS!EL9</f>
        <v>76486</v>
      </c>
      <c r="DO80" s="4516">
        <f>+IS!EM9</f>
        <v>81723</v>
      </c>
      <c r="DP80" s="5225">
        <f>+IS!EN9</f>
        <v>87470</v>
      </c>
      <c r="DQ80" s="4516">
        <f>+IS!EO9</f>
        <v>95988.037097372187</v>
      </c>
      <c r="DR80" s="4519">
        <f>+IS!EP9</f>
        <v>341667.03709737217</v>
      </c>
      <c r="DS80" s="4516">
        <f>+IS!EQ9</f>
        <v>90879.729962015364</v>
      </c>
      <c r="DT80" s="4516">
        <f>+IS!ER9</f>
        <v>96719.327619356962</v>
      </c>
      <c r="DU80" s="4516">
        <f>+IS!ES9</f>
        <v>102719.8049017732</v>
      </c>
      <c r="DV80" s="4516">
        <f>+IS!ET9</f>
        <v>112914.74775080651</v>
      </c>
      <c r="DW80" s="4519">
        <f>+IS!EU9</f>
        <v>403233.61023395206</v>
      </c>
      <c r="DX80" s="4517">
        <f>+IS!EV9</f>
        <v>460538.62103755493</v>
      </c>
      <c r="DY80" s="4517">
        <f>+IS!EW9</f>
        <v>518802.07745899889</v>
      </c>
      <c r="DZ80" s="4517">
        <f>+IS!EX9</f>
        <v>576864.19993004168</v>
      </c>
      <c r="EA80" s="4517">
        <f>+IS!EY9</f>
        <v>637270.07767632848</v>
      </c>
      <c r="EC80" s="3683"/>
      <c r="ED80" s="3683"/>
      <c r="EE80" s="226"/>
    </row>
    <row r="81" spans="1:136" s="45" customFormat="1" ht="11.25" customHeight="1">
      <c r="A81" s="1588" t="s">
        <v>77</v>
      </c>
      <c r="B81" s="133"/>
      <c r="C81" s="133"/>
      <c r="D81" s="133"/>
      <c r="E81" s="706"/>
      <c r="F81" s="133"/>
      <c r="G81" s="133"/>
      <c r="H81" s="133"/>
      <c r="I81" s="706"/>
      <c r="J81" s="835"/>
      <c r="K81" s="133"/>
      <c r="L81" s="133"/>
      <c r="M81" s="706"/>
      <c r="N81" s="133"/>
      <c r="O81" s="133"/>
      <c r="P81" s="133"/>
      <c r="Q81" s="706">
        <f t="shared" ref="Q81:BI81" si="281">+Q10</f>
        <v>61.994</v>
      </c>
      <c r="R81" s="1414">
        <f t="shared" si="281"/>
        <v>0</v>
      </c>
      <c r="S81" s="1415">
        <f t="shared" si="281"/>
        <v>0</v>
      </c>
      <c r="T81" s="1415">
        <f t="shared" si="281"/>
        <v>0</v>
      </c>
      <c r="U81" s="706">
        <f t="shared" si="281"/>
        <v>154.69</v>
      </c>
      <c r="V81" s="1416">
        <f t="shared" si="281"/>
        <v>179.505</v>
      </c>
      <c r="W81" s="140">
        <f t="shared" si="281"/>
        <v>191.18700000000001</v>
      </c>
      <c r="X81" s="140">
        <f t="shared" si="281"/>
        <v>233.05699999999999</v>
      </c>
      <c r="Y81" s="706">
        <f t="shared" si="281"/>
        <v>311.83600000000001</v>
      </c>
      <c r="Z81" s="1416">
        <f t="shared" si="281"/>
        <v>371.90499999999997</v>
      </c>
      <c r="AA81" s="140">
        <f t="shared" si="281"/>
        <v>419.238</v>
      </c>
      <c r="AB81" s="140">
        <f t="shared" si="281"/>
        <v>541.81500000000005</v>
      </c>
      <c r="AC81" s="706">
        <f t="shared" si="281"/>
        <v>687.976</v>
      </c>
      <c r="AD81" s="1416">
        <f t="shared" si="281"/>
        <v>844.37800000000004</v>
      </c>
      <c r="AE81" s="140">
        <f t="shared" si="281"/>
        <v>885.08799999999997</v>
      </c>
      <c r="AF81" s="140">
        <f t="shared" si="281"/>
        <v>1031.0550000000001</v>
      </c>
      <c r="AG81" s="706">
        <f t="shared" si="281"/>
        <v>1322.34</v>
      </c>
      <c r="AH81" s="1416">
        <f t="shared" si="281"/>
        <v>1477.09</v>
      </c>
      <c r="AI81" s="140">
        <f t="shared" si="281"/>
        <v>1648.68</v>
      </c>
      <c r="AJ81" s="140">
        <f t="shared" si="281"/>
        <v>1887.86</v>
      </c>
      <c r="AK81" s="706">
        <f t="shared" si="281"/>
        <v>2162.5210000000002</v>
      </c>
      <c r="AL81" s="1416">
        <f t="shared" si="281"/>
        <v>2560.9090000000001</v>
      </c>
      <c r="AM81" s="140">
        <f t="shared" si="281"/>
        <v>2641.9009999999998</v>
      </c>
      <c r="AN81" s="140">
        <f t="shared" si="281"/>
        <v>2541.4920000000002</v>
      </c>
      <c r="AO81" s="706">
        <f t="shared" si="281"/>
        <v>2642.192</v>
      </c>
      <c r="AP81" s="1416">
        <f t="shared" si="281"/>
        <v>2543.105</v>
      </c>
      <c r="AQ81" s="140">
        <f t="shared" si="281"/>
        <v>2701.9119999999998</v>
      </c>
      <c r="AR81" s="140">
        <f t="shared" si="281"/>
        <v>2807.3409999999999</v>
      </c>
      <c r="AS81" s="706">
        <f t="shared" si="281"/>
        <v>3178.471</v>
      </c>
      <c r="AT81" s="1416">
        <f t="shared" si="281"/>
        <v>3084</v>
      </c>
      <c r="AU81" s="140">
        <f t="shared" si="281"/>
        <v>3308</v>
      </c>
      <c r="AV81" s="140">
        <f t="shared" si="281"/>
        <v>3616</v>
      </c>
      <c r="AW81" s="706">
        <f t="shared" si="281"/>
        <v>4252</v>
      </c>
      <c r="AX81" s="837">
        <f t="shared" si="281"/>
        <v>4216</v>
      </c>
      <c r="AY81" s="140">
        <f t="shared" si="281"/>
        <v>4476</v>
      </c>
      <c r="AZ81" s="140">
        <f t="shared" si="281"/>
        <v>4583</v>
      </c>
      <c r="BA81" s="706">
        <f t="shared" si="281"/>
        <v>5427</v>
      </c>
      <c r="BB81" s="837">
        <f t="shared" si="281"/>
        <v>5163</v>
      </c>
      <c r="BC81" s="140">
        <f t="shared" si="281"/>
        <v>6866</v>
      </c>
      <c r="BD81" s="140">
        <f t="shared" si="281"/>
        <v>7259</v>
      </c>
      <c r="BE81" s="706">
        <f t="shared" si="281"/>
        <v>7885</v>
      </c>
      <c r="BF81" s="837">
        <f t="shared" si="281"/>
        <v>7612</v>
      </c>
      <c r="BG81" s="140">
        <f t="shared" si="281"/>
        <v>7321</v>
      </c>
      <c r="BH81" s="140">
        <f t="shared" si="281"/>
        <v>7921</v>
      </c>
      <c r="BI81" s="140">
        <f t="shared" si="281"/>
        <v>8882</v>
      </c>
      <c r="BJ81" s="866">
        <f>BI81</f>
        <v>8882</v>
      </c>
      <c r="BK81" s="140">
        <f>+BK10</f>
        <v>7827</v>
      </c>
      <c r="BL81" s="140">
        <f>+BL10</f>
        <v>8321</v>
      </c>
      <c r="BM81" s="140">
        <f>+BM10</f>
        <v>8237</v>
      </c>
      <c r="BN81" s="706">
        <f>+BN10</f>
        <v>9383</v>
      </c>
      <c r="BO81" s="866">
        <f>BN81</f>
        <v>9383</v>
      </c>
      <c r="BP81" s="140">
        <f>+BP10</f>
        <v>8584</v>
      </c>
      <c r="BQ81" s="140">
        <f>+BQ10</f>
        <v>9394</v>
      </c>
      <c r="BR81" s="140">
        <f>+BR10</f>
        <v>9749</v>
      </c>
      <c r="BS81" s="706">
        <f>+BS10</f>
        <v>11556</v>
      </c>
      <c r="BT81" s="866">
        <f>BS81</f>
        <v>11556</v>
      </c>
      <c r="BU81" s="140">
        <f>+BU10</f>
        <v>10818</v>
      </c>
      <c r="BV81" s="140">
        <f>+BV10</f>
        <v>11686</v>
      </c>
      <c r="BW81" s="140">
        <f>+BW10</f>
        <v>11979</v>
      </c>
      <c r="BX81" s="140">
        <f>+BX10</f>
        <v>14137</v>
      </c>
      <c r="BY81" s="866">
        <f>BX81</f>
        <v>14137</v>
      </c>
      <c r="BZ81" s="140">
        <f>+BZ10</f>
        <v>12913</v>
      </c>
      <c r="CA81" s="140">
        <f>+CA10</f>
        <v>14003</v>
      </c>
      <c r="CB81" s="140">
        <f>+CB10</f>
        <v>15295</v>
      </c>
      <c r="CC81" s="140">
        <f>+CC10</f>
        <v>18336</v>
      </c>
      <c r="CD81" s="866">
        <f>CC81</f>
        <v>18336</v>
      </c>
      <c r="CE81" s="140">
        <f>+CE10</f>
        <v>16777</v>
      </c>
      <c r="CF81" s="140">
        <f>+CF10</f>
        <v>17043</v>
      </c>
      <c r="CG81" s="140">
        <f>+CG10</f>
        <v>17897</v>
      </c>
      <c r="CH81" s="140">
        <f>+CH10</f>
        <v>20838</v>
      </c>
      <c r="CI81" s="866">
        <f>CH81</f>
        <v>20838</v>
      </c>
      <c r="CJ81" s="140">
        <f>+CJ10</f>
        <v>19149</v>
      </c>
      <c r="CK81" s="140">
        <f>+CK10</f>
        <v>20965</v>
      </c>
      <c r="CL81" s="140">
        <f>+CL10</f>
        <v>20889</v>
      </c>
      <c r="CM81" s="140">
        <f>+CM10</f>
        <v>25326</v>
      </c>
      <c r="CN81" s="4369">
        <f>CM81</f>
        <v>25326</v>
      </c>
      <c r="CO81" s="140">
        <f>+CO10</f>
        <v>21825</v>
      </c>
      <c r="CP81" s="140">
        <f>+CP10</f>
        <v>21201</v>
      </c>
      <c r="CQ81" s="140">
        <f>+CQ10</f>
        <v>24925</v>
      </c>
      <c r="CR81" s="140">
        <f>+CR10</f>
        <v>30930</v>
      </c>
      <c r="CS81" s="4369">
        <f>CR81</f>
        <v>30930</v>
      </c>
      <c r="CT81" s="140">
        <f>+CT10</f>
        <v>28006</v>
      </c>
      <c r="CU81" s="140">
        <f>+CU10</f>
        <v>31967</v>
      </c>
      <c r="CV81" s="140">
        <f>+CV10</f>
        <v>34047</v>
      </c>
      <c r="CW81" s="140">
        <f>+CW10</f>
        <v>39304</v>
      </c>
      <c r="CX81" s="4369">
        <f>CW81</f>
        <v>39304</v>
      </c>
      <c r="CY81" s="140">
        <f>+CY10</f>
        <v>34703</v>
      </c>
      <c r="CZ81" s="140">
        <f>+CZ10</f>
        <v>35707</v>
      </c>
      <c r="DA81" s="140">
        <f>+DA10</f>
        <v>34697</v>
      </c>
      <c r="DB81" s="140">
        <f>+DB10</f>
        <v>40258</v>
      </c>
      <c r="DC81" s="4369">
        <f>DB81</f>
        <v>40258</v>
      </c>
      <c r="DD81" s="140">
        <f>+DD10</f>
        <v>36036</v>
      </c>
      <c r="DE81" s="140">
        <f>+DE10</f>
        <v>38804</v>
      </c>
      <c r="DF81" s="140">
        <f>+DF10</f>
        <v>41020</v>
      </c>
      <c r="DG81" s="140">
        <f>+DG10</f>
        <v>47964</v>
      </c>
      <c r="DH81" s="4369">
        <f>DG81</f>
        <v>47964</v>
      </c>
      <c r="DI81" s="140">
        <f>+DI10</f>
        <v>44552</v>
      </c>
      <c r="DJ81" s="140">
        <f>+DJ10</f>
        <v>47087</v>
      </c>
      <c r="DK81" s="140">
        <f>+DK10</f>
        <v>49104</v>
      </c>
      <c r="DL81" s="140">
        <f>+DL10</f>
        <v>52340</v>
      </c>
      <c r="DM81" s="4369">
        <f>DL81</f>
        <v>52340</v>
      </c>
      <c r="DN81" s="140">
        <f>+DN10</f>
        <v>51000</v>
      </c>
      <c r="DO81" s="140">
        <f>+DO10</f>
        <v>55048</v>
      </c>
      <c r="DP81" s="140">
        <f>+DP10</f>
        <v>57148</v>
      </c>
      <c r="DQ81" s="140">
        <f t="shared" ref="DQ81" si="282">DQ80*DQ83</f>
        <v>61552.956490075601</v>
      </c>
      <c r="DR81" s="4369">
        <f>DQ81</f>
        <v>61552.956490075601</v>
      </c>
      <c r="DS81" s="140">
        <f t="shared" ref="DS81:DV81" si="283">DS80*DS83</f>
        <v>60597.576393886251</v>
      </c>
      <c r="DT81" s="140">
        <f t="shared" si="283"/>
        <v>65149.413834420688</v>
      </c>
      <c r="DU81" s="140">
        <f t="shared" si="283"/>
        <v>67111.368589533959</v>
      </c>
      <c r="DV81" s="140">
        <f t="shared" si="283"/>
        <v>72407.32038663105</v>
      </c>
      <c r="DW81" s="4369">
        <f>DV81</f>
        <v>72407.32038663105</v>
      </c>
      <c r="DX81" s="866">
        <f>DX80*DX83</f>
        <v>82697.390885983623</v>
      </c>
      <c r="DY81" s="866">
        <f>DY80*DY83</f>
        <v>93159.566282256666</v>
      </c>
      <c r="DZ81" s="866">
        <f>DZ80*DZ83</f>
        <v>103585.58880961845</v>
      </c>
      <c r="EA81" s="866">
        <f>EA80*EA83</f>
        <v>114432.47168893351</v>
      </c>
      <c r="EC81" s="3683"/>
      <c r="ED81" s="3683"/>
      <c r="EE81" s="140"/>
    </row>
    <row r="82" spans="1:136" s="45" customFormat="1" ht="11.25" customHeight="1">
      <c r="A82" s="1588" t="s">
        <v>60</v>
      </c>
      <c r="B82" s="133"/>
      <c r="C82" s="133"/>
      <c r="D82" s="133"/>
      <c r="E82" s="706"/>
      <c r="F82" s="133"/>
      <c r="G82" s="133"/>
      <c r="H82" s="133"/>
      <c r="I82" s="706"/>
      <c r="J82" s="134"/>
      <c r="K82" s="133"/>
      <c r="L82" s="133"/>
      <c r="M82" s="706"/>
      <c r="N82" s="133"/>
      <c r="O82" s="133"/>
      <c r="P82" s="133"/>
      <c r="Q82" s="706">
        <f t="shared" ref="Q82:AW82" si="284">((Q81*365)/Q80)/4</f>
        <v>41.469914449714466</v>
      </c>
      <c r="R82" s="1417">
        <f t="shared" si="284"/>
        <v>0</v>
      </c>
      <c r="S82" s="1415">
        <f t="shared" si="284"/>
        <v>0</v>
      </c>
      <c r="T82" s="1415">
        <f t="shared" si="284"/>
        <v>0</v>
      </c>
      <c r="U82" s="706">
        <f t="shared" si="284"/>
        <v>47.716551337135215</v>
      </c>
      <c r="V82" s="140">
        <f t="shared" si="284"/>
        <v>43.034491659682459</v>
      </c>
      <c r="W82" s="140">
        <f t="shared" si="284"/>
        <v>41.225710575691558</v>
      </c>
      <c r="X82" s="140">
        <f t="shared" si="284"/>
        <v>42.280319869101987</v>
      </c>
      <c r="Y82" s="706">
        <f t="shared" si="284"/>
        <v>43.523003458281146</v>
      </c>
      <c r="Z82" s="140">
        <f t="shared" si="284"/>
        <v>42.702839970353921</v>
      </c>
      <c r="AA82" s="140">
        <f t="shared" si="284"/>
        <v>42.975221164377793</v>
      </c>
      <c r="AB82" s="140">
        <f t="shared" si="284"/>
        <v>47.149978494767225</v>
      </c>
      <c r="AC82" s="706">
        <f t="shared" si="284"/>
        <v>48.659235500933221</v>
      </c>
      <c r="AD82" s="140">
        <f t="shared" si="284"/>
        <v>50.325627898804647</v>
      </c>
      <c r="AE82" s="140">
        <f t="shared" si="284"/>
        <v>48.337762264548445</v>
      </c>
      <c r="AF82" s="140">
        <f t="shared" si="284"/>
        <v>50.463052232637807</v>
      </c>
      <c r="AG82" s="706">
        <f t="shared" si="284"/>
        <v>54.112115898613375</v>
      </c>
      <c r="AH82" s="140">
        <f t="shared" si="284"/>
        <v>53.086924301844185</v>
      </c>
      <c r="AI82" s="140">
        <f t="shared" si="284"/>
        <v>55.22689928900558</v>
      </c>
      <c r="AJ82" s="140">
        <f>((AJ81*365)/AJ80)/4</f>
        <v>57.227244354336925</v>
      </c>
      <c r="AK82" s="706">
        <f t="shared" si="284"/>
        <v>58.263332388506782</v>
      </c>
      <c r="AL82" s="140">
        <f t="shared" si="284"/>
        <v>63.163374313686759</v>
      </c>
      <c r="AM82" s="140">
        <f t="shared" si="284"/>
        <v>61.921166334294995</v>
      </c>
      <c r="AN82" s="140">
        <f t="shared" si="284"/>
        <v>57.316001369190992</v>
      </c>
      <c r="AO82" s="706">
        <f t="shared" si="284"/>
        <v>57.166274414217625</v>
      </c>
      <c r="AP82" s="140">
        <f t="shared" si="284"/>
        <v>56.97437319391215</v>
      </c>
      <c r="AQ82" s="140">
        <f t="shared" si="284"/>
        <v>60.584068039089402</v>
      </c>
      <c r="AR82" s="140">
        <f t="shared" si="284"/>
        <v>62.948067203123301</v>
      </c>
      <c r="AS82" s="706">
        <f t="shared" si="284"/>
        <v>58.558257783913753</v>
      </c>
      <c r="AT82" s="140">
        <f t="shared" si="284"/>
        <v>55.571682464454973</v>
      </c>
      <c r="AU82" s="140">
        <f t="shared" si="284"/>
        <v>59.326847484276726</v>
      </c>
      <c r="AV82" s="140">
        <f t="shared" si="284"/>
        <v>60.200693304141581</v>
      </c>
      <c r="AW82" s="706">
        <f t="shared" si="284"/>
        <v>60.900172657353636</v>
      </c>
      <c r="AX82" s="707">
        <f t="shared" ref="AX82:BU82" si="285">((AX81*365)/AX80)/4</f>
        <v>58.851154964050785</v>
      </c>
      <c r="AY82" s="140">
        <f t="shared" si="285"/>
        <v>59.056535569693466</v>
      </c>
      <c r="AZ82" s="140">
        <f t="shared" si="285"/>
        <v>55.68558588548602</v>
      </c>
      <c r="BA82" s="706">
        <f t="shared" si="285"/>
        <v>60.881946151954757</v>
      </c>
      <c r="BB82" s="707">
        <f t="shared" si="285"/>
        <v>57.91318377381684</v>
      </c>
      <c r="BC82" s="140">
        <f t="shared" si="285"/>
        <v>74.907042085126733</v>
      </c>
      <c r="BD82" s="140">
        <f t="shared" si="285"/>
        <v>75.649126313385111</v>
      </c>
      <c r="BE82" s="706">
        <f t="shared" si="285"/>
        <v>73.2321882951654</v>
      </c>
      <c r="BF82" s="707">
        <f t="shared" si="285"/>
        <v>69.535989588547409</v>
      </c>
      <c r="BG82" s="140">
        <f t="shared" si="285"/>
        <v>66.182014067763021</v>
      </c>
      <c r="BH82" s="140">
        <f t="shared" si="285"/>
        <v>67.036843813763682</v>
      </c>
      <c r="BI82" s="140">
        <f t="shared" si="285"/>
        <v>65.377309026377347</v>
      </c>
      <c r="BJ82" s="1413">
        <f>((BJ81*365)/BJ80)</f>
        <v>74.938859480825684</v>
      </c>
      <c r="BK82" s="135">
        <f t="shared" si="285"/>
        <v>58.599749753856251</v>
      </c>
      <c r="BL82" s="135">
        <f t="shared" si="285"/>
        <v>59.966138840625497</v>
      </c>
      <c r="BM82" s="135">
        <f t="shared" si="285"/>
        <v>57.049430740037948</v>
      </c>
      <c r="BN82" s="836">
        <f>((BN81*365)/BN80)/4</f>
        <v>59.117499827383831</v>
      </c>
      <c r="BO82" s="1413">
        <f>((BO81*365)/BO80)</f>
        <v>65.229220630809081</v>
      </c>
      <c r="BP82" s="4020">
        <f t="shared" si="285"/>
        <v>56.299144684827141</v>
      </c>
      <c r="BQ82" s="135">
        <f>((BQ81*365)/BQ80)/4</f>
        <v>59.735365853658536</v>
      </c>
      <c r="BR82" s="135">
        <f t="shared" si="285"/>
        <v>58.87856575550996</v>
      </c>
      <c r="BS82" s="836">
        <f>((BS81*365)/BS80)/4</f>
        <v>61.044633553317126</v>
      </c>
      <c r="BT82" s="1413">
        <f>((BT81*365)/BT80)</f>
        <v>69.550176433730172</v>
      </c>
      <c r="BU82" s="4020">
        <f t="shared" si="285"/>
        <v>59.93943165948145</v>
      </c>
      <c r="BV82" s="135">
        <f>((BV81*365)/BV80)/4</f>
        <v>60.847218259629102</v>
      </c>
      <c r="BW82" s="135">
        <f>((BW81*365)/BW80)/4</f>
        <v>59.832708413158905</v>
      </c>
      <c r="BX82" s="135">
        <f>((BX81*365)/BX80)/4</f>
        <v>60.803226338612369</v>
      </c>
      <c r="BY82" s="1413">
        <f>((BY81*365)/BY80)</f>
        <v>70.224213720927068</v>
      </c>
      <c r="BZ82" s="4020">
        <f>((BZ81*365)/BZ80)/4</f>
        <v>58.561266835644354</v>
      </c>
      <c r="CA82" s="135">
        <f>((CA81*365)/CA80)/4</f>
        <v>61.081970935513169</v>
      </c>
      <c r="CB82" s="135">
        <f>((CB81*365)/CB80)/4</f>
        <v>62.670352492141895</v>
      </c>
      <c r="CC82" s="135">
        <f>((CC81*365)/CC80)/4</f>
        <v>64.66818691299811</v>
      </c>
      <c r="CD82" s="1413">
        <f>((CD81*365)/CD80)</f>
        <v>75.043898500835354</v>
      </c>
      <c r="CE82" s="135">
        <f>((CE81*365)/CE80)/4</f>
        <v>61.585857671574544</v>
      </c>
      <c r="CF82" s="135">
        <f>((CF81*365)/CF80)/4</f>
        <v>59.274069062773947</v>
      </c>
      <c r="CG82" s="135">
        <f>((CG81*365)/CG80)/4</f>
        <v>60.133340083953165</v>
      </c>
      <c r="CH82" s="135">
        <f>((CH81*365)/CH80)/4</f>
        <v>59.719456658291456</v>
      </c>
      <c r="CI82" s="1413">
        <f>((CI81*365)/CI80)</f>
        <v>69.085863769721968</v>
      </c>
      <c r="CJ82" s="135">
        <f>((CJ81*365)/CJ80)/4</f>
        <v>59.274271515315988</v>
      </c>
      <c r="CK82" s="135">
        <f>((CK81*365)/CK80)/4</f>
        <v>60.337357282533276</v>
      </c>
      <c r="CL82" s="135">
        <f>((CL81*365)/CL80)/4</f>
        <v>57.74550122693811</v>
      </c>
      <c r="CM82" s="135">
        <f>((CM81*365)/CM80)/4</f>
        <v>61.505229680097941</v>
      </c>
      <c r="CN82" s="4370">
        <f>((CN81*365)/CN80)</f>
        <v>70.153527411814707</v>
      </c>
      <c r="CO82" s="135">
        <f>((CO81*365)/CO80)/4</f>
        <v>59.083610229329217</v>
      </c>
      <c r="CP82" s="135">
        <f>((CP81*365)/CP80)/4</f>
        <v>61.215430497104705</v>
      </c>
      <c r="CQ82" s="135">
        <f>((CQ81*365)/CQ80)/4</f>
        <v>59.84177256821112</v>
      </c>
      <c r="CR82" s="135">
        <f>((CR81*365)/CR80)/4</f>
        <v>60.784857425913167</v>
      </c>
      <c r="CS82" s="4370">
        <f>((CS81*365)/CS80)</f>
        <v>75.389151179640592</v>
      </c>
      <c r="CT82" s="135">
        <f>((CT81*365)/CT80)/4</f>
        <v>56.040250427612825</v>
      </c>
      <c r="CU82" s="135">
        <f>((CU81*365)/CU80)/4</f>
        <v>57.25086357480717</v>
      </c>
      <c r="CV82" s="135">
        <f>((CV81*365)/CV80)/4</f>
        <v>57.940856956359568</v>
      </c>
      <c r="CW82" s="135">
        <f>((CW81*365)/CW80)/4</f>
        <v>57.941936734627937</v>
      </c>
      <c r="CX82" s="4370">
        <f>((CX81*365)/CX80)</f>
        <v>67.646967289256906</v>
      </c>
      <c r="CY82" s="135">
        <f>((CY81*365)/CY80)/4</f>
        <v>56.526101818960747</v>
      </c>
      <c r="CZ82" s="135">
        <f>((CZ81*365)/CZ80)/4</f>
        <v>56.694050042630195</v>
      </c>
      <c r="DA82" s="135">
        <f>((DA81*365)/DA80)/4</f>
        <v>55.287627038731536</v>
      </c>
      <c r="DB82" s="135">
        <f>((DB81*365)/DB80)/4</f>
        <v>58.196576525196839</v>
      </c>
      <c r="DC82" s="4370">
        <f>((DC81*365)/DC80)</f>
        <v>62.827549052723391</v>
      </c>
      <c r="DD82" s="135">
        <f>((DD81*365)/DD80)/4</f>
        <v>56.630127785623259</v>
      </c>
      <c r="DE82" s="135">
        <f>((DE81*365)/DE80)/4</f>
        <v>57.049075998517729</v>
      </c>
      <c r="DF82" s="135">
        <f>((DF81*365)/DF80)/4</f>
        <v>58.438978314155904</v>
      </c>
      <c r="DG82" s="135">
        <f>((DG81*365)/DG80)/4</f>
        <v>60.515389082462256</v>
      </c>
      <c r="DH82" s="4370">
        <f>((DH81*365)/DH80)</f>
        <v>68.250736819124555</v>
      </c>
      <c r="DI82" s="135">
        <f>((DI81*365)/DI80)/4</f>
        <v>60.144837483171337</v>
      </c>
      <c r="DJ82" s="135">
        <f>((DJ81*365)/DJ80)/4</f>
        <v>60.215664634573614</v>
      </c>
      <c r="DK82" s="135">
        <f>((DK81*365)/DK80)/4</f>
        <v>60.104629170076059</v>
      </c>
      <c r="DL82" s="135">
        <f>((DL81*365)/DL80)/4</f>
        <v>58.51465921760331</v>
      </c>
      <c r="DM82" s="4370">
        <f>((DM81*365)/DM80)</f>
        <v>64.733767509945181</v>
      </c>
      <c r="DN82" s="135">
        <f>((DN81*365)/DN80)/4</f>
        <v>60.844468268702769</v>
      </c>
      <c r="DO82" s="135">
        <f>((DO81*365)/DO80)/4</f>
        <v>61.465315761780651</v>
      </c>
      <c r="DP82" s="135">
        <f>((DP81*365)/DP80)/4</f>
        <v>59.617640333828739</v>
      </c>
      <c r="DQ82" s="135">
        <f t="shared" ref="DQ82" si="286">((DQ81*365)/DQ80)/4</f>
        <v>58.514659217603317</v>
      </c>
      <c r="DR82" s="4370">
        <f>((DR81*365)/DR80)</f>
        <v>65.756501738488581</v>
      </c>
      <c r="DS82" s="135">
        <f t="shared" ref="DS82:DV82" si="287">((DS81*365)/DS80)/4</f>
        <v>60.844468268702769</v>
      </c>
      <c r="DT82" s="135">
        <f t="shared" si="287"/>
        <v>61.465315761780644</v>
      </c>
      <c r="DU82" s="135">
        <f t="shared" si="287"/>
        <v>59.617640333828746</v>
      </c>
      <c r="DV82" s="135">
        <f t="shared" si="287"/>
        <v>58.514659217603317</v>
      </c>
      <c r="DW82" s="4370">
        <f>((DW81*365)/DW80)</f>
        <v>65.541837957869348</v>
      </c>
      <c r="DX82" s="1413">
        <f>((DX81*365)/DX80)</f>
        <v>65.541837957869348</v>
      </c>
      <c r="DY82" s="1413">
        <f>((DY81*365)/DY80)</f>
        <v>65.541837957869333</v>
      </c>
      <c r="DZ82" s="1413">
        <f>((DZ81*365)/DZ80)</f>
        <v>65.541837957869348</v>
      </c>
      <c r="EA82" s="1413">
        <f>((EA81*365)/EA80)</f>
        <v>65.541837957869348</v>
      </c>
      <c r="EC82" s="3683"/>
      <c r="ED82" s="3683"/>
      <c r="EE82" s="135"/>
    </row>
    <row r="83" spans="1:136" ht="11.25" customHeight="1">
      <c r="A83" s="1607" t="s">
        <v>59</v>
      </c>
      <c r="B83" s="1404"/>
      <c r="C83" s="1404"/>
      <c r="D83" s="1404"/>
      <c r="E83" s="1400"/>
      <c r="F83" s="1397"/>
      <c r="G83" s="1397"/>
      <c r="H83" s="1397"/>
      <c r="I83" s="1400"/>
      <c r="J83" s="838"/>
      <c r="K83" s="1397"/>
      <c r="L83" s="1397"/>
      <c r="M83" s="1400"/>
      <c r="N83" s="1397"/>
      <c r="O83" s="1397"/>
      <c r="P83" s="1397"/>
      <c r="Q83" s="1400">
        <f t="shared" ref="Q83:X83" si="288">Q81/Q80</f>
        <v>0.45446481588728183</v>
      </c>
      <c r="R83" s="838">
        <f t="shared" si="288"/>
        <v>0</v>
      </c>
      <c r="S83" s="1397">
        <f t="shared" si="288"/>
        <v>0</v>
      </c>
      <c r="T83" s="1397">
        <f t="shared" si="288"/>
        <v>0</v>
      </c>
      <c r="U83" s="1400">
        <f t="shared" si="288"/>
        <v>0.52292111054394752</v>
      </c>
      <c r="V83" s="839">
        <f t="shared" si="288"/>
        <v>0.47161086750336945</v>
      </c>
      <c r="W83" s="1405">
        <f t="shared" si="288"/>
        <v>0.45178860904867457</v>
      </c>
      <c r="X83" s="1405">
        <f t="shared" si="288"/>
        <v>0.46334597116824094</v>
      </c>
      <c r="Y83" s="1400">
        <f t="shared" ref="Y83:AD83" si="289">Y81/Y80</f>
        <v>0.4769644214606153</v>
      </c>
      <c r="Z83" s="839">
        <f t="shared" si="289"/>
        <v>0.46797632844223475</v>
      </c>
      <c r="AA83" s="1405">
        <f t="shared" si="289"/>
        <v>0.47096132782879774</v>
      </c>
      <c r="AB83" s="1405">
        <f t="shared" si="289"/>
        <v>0.51671209309333954</v>
      </c>
      <c r="AC83" s="1400">
        <f t="shared" si="289"/>
        <v>0.53325189590063804</v>
      </c>
      <c r="AD83" s="839">
        <f t="shared" si="289"/>
        <v>0.55151373039785911</v>
      </c>
      <c r="AE83" s="1405">
        <f t="shared" ref="AE83:AJ83" si="290">AE81/AE80</f>
        <v>0.52972890152929797</v>
      </c>
      <c r="AF83" s="1405">
        <f t="shared" si="290"/>
        <v>0.5530197504946609</v>
      </c>
      <c r="AG83" s="1400">
        <f t="shared" si="290"/>
        <v>0.59300948929987263</v>
      </c>
      <c r="AH83" s="839">
        <f t="shared" si="290"/>
        <v>0.58177451289692261</v>
      </c>
      <c r="AI83" s="1405">
        <f t="shared" si="290"/>
        <v>0.60522629357814328</v>
      </c>
      <c r="AJ83" s="1405">
        <f t="shared" si="290"/>
        <v>0.62714788333519922</v>
      </c>
      <c r="AK83" s="1400">
        <f t="shared" ref="AK83:AP83" si="291">AK81/AK80</f>
        <v>0.63850227275075933</v>
      </c>
      <c r="AL83" s="839">
        <f t="shared" si="291"/>
        <v>0.69220136234177265</v>
      </c>
      <c r="AM83" s="1405">
        <f t="shared" si="291"/>
        <v>0.67858812421145198</v>
      </c>
      <c r="AN83" s="1405">
        <f t="shared" si="291"/>
        <v>0.62812056295003826</v>
      </c>
      <c r="AO83" s="1400">
        <f t="shared" si="291"/>
        <v>0.62647971960786442</v>
      </c>
      <c r="AP83" s="839">
        <f t="shared" si="291"/>
        <v>0.62437669253602357</v>
      </c>
      <c r="AQ83" s="1405">
        <f t="shared" ref="AQ83:AV83" si="292">AQ81/AQ80</f>
        <v>0.66393499220919894</v>
      </c>
      <c r="AR83" s="1405">
        <f t="shared" si="292"/>
        <v>0.68984183236299512</v>
      </c>
      <c r="AS83" s="1400">
        <f t="shared" si="292"/>
        <v>0.64173433187850681</v>
      </c>
      <c r="AT83" s="839">
        <f t="shared" si="292"/>
        <v>0.60900473933649291</v>
      </c>
      <c r="AU83" s="1405">
        <f t="shared" si="292"/>
        <v>0.65015723270440251</v>
      </c>
      <c r="AV83" s="1405">
        <f t="shared" si="292"/>
        <v>0.65973362525086665</v>
      </c>
      <c r="AW83" s="1400">
        <f>AW81/AW80</f>
        <v>0.66739915240935488</v>
      </c>
      <c r="AX83" s="1406">
        <f>AX81/AX80</f>
        <v>0.64494416398959764</v>
      </c>
      <c r="AY83" s="1405">
        <f>AY81/AY80</f>
        <v>0.64719491035280508</v>
      </c>
      <c r="AZ83" s="1405">
        <f>AZ81/AZ80</f>
        <v>0.61025299600532623</v>
      </c>
      <c r="BA83" s="1400">
        <f>BA81/BA80</f>
        <v>0.66719940988443571</v>
      </c>
      <c r="BB83" s="1406">
        <f t="shared" ref="BB83:BG83" si="293">BB81/BB80</f>
        <v>0.63466502765826671</v>
      </c>
      <c r="BC83" s="1405">
        <f t="shared" si="293"/>
        <v>0.82089909134385464</v>
      </c>
      <c r="BD83" s="1405">
        <f t="shared" si="293"/>
        <v>0.82903152124257651</v>
      </c>
      <c r="BE83" s="1400">
        <f t="shared" si="293"/>
        <v>0.80254452926208653</v>
      </c>
      <c r="BF83" s="1406">
        <f t="shared" si="293"/>
        <v>0.76203824206627291</v>
      </c>
      <c r="BG83" s="1405">
        <f t="shared" si="293"/>
        <v>0.72528234594808794</v>
      </c>
      <c r="BH83" s="1405">
        <f t="shared" ref="BH83:BO83" si="294">BH81/BH80</f>
        <v>0.73465034316453348</v>
      </c>
      <c r="BI83" s="2568">
        <f t="shared" si="294"/>
        <v>0.71646366056303945</v>
      </c>
      <c r="BJ83" s="1328">
        <f>BJ81/BJ80</f>
        <v>0.20531194378308407</v>
      </c>
      <c r="BK83" s="2568">
        <f t="shared" si="294"/>
        <v>0.64218903839842467</v>
      </c>
      <c r="BL83" s="1405">
        <f t="shared" si="294"/>
        <v>0.65716316537671771</v>
      </c>
      <c r="BM83" s="1405">
        <f t="shared" si="294"/>
        <v>0.62519924098671731</v>
      </c>
      <c r="BN83" s="1400">
        <f t="shared" si="294"/>
        <v>0.64786301180694605</v>
      </c>
      <c r="BO83" s="1328">
        <f t="shared" si="294"/>
        <v>0.17871019350906597</v>
      </c>
      <c r="BP83" s="1406">
        <f t="shared" ref="BP83:BV83" si="295">BP81/BP80</f>
        <v>0.61697692805290016</v>
      </c>
      <c r="BQ83" s="1405">
        <f t="shared" si="295"/>
        <v>0.65463414634146344</v>
      </c>
      <c r="BR83" s="1405">
        <f t="shared" si="295"/>
        <v>0.64524455622476673</v>
      </c>
      <c r="BS83" s="1400">
        <f t="shared" si="295"/>
        <v>0.66898228551580408</v>
      </c>
      <c r="BT83" s="1328">
        <f t="shared" si="295"/>
        <v>0.19054842858556212</v>
      </c>
      <c r="BU83" s="1406">
        <f t="shared" si="295"/>
        <v>0.65687048393952274</v>
      </c>
      <c r="BV83" s="1405">
        <f t="shared" si="295"/>
        <v>0.66681883024251065</v>
      </c>
      <c r="BW83" s="1405">
        <f t="shared" ref="BW83:CO83" si="296">BW81/BW80</f>
        <v>0.65570091411680986</v>
      </c>
      <c r="BX83" s="1405">
        <f t="shared" si="296"/>
        <v>0.66633672699849167</v>
      </c>
      <c r="BY83" s="1328">
        <f t="shared" si="296"/>
        <v>0.1923951060847317</v>
      </c>
      <c r="BZ83" s="1406">
        <f t="shared" si="296"/>
        <v>0.64176730778788327</v>
      </c>
      <c r="CA83" s="2568">
        <f t="shared" si="296"/>
        <v>0.66939146230699365</v>
      </c>
      <c r="CB83" s="2568">
        <f t="shared" si="296"/>
        <v>0.68679838347552757</v>
      </c>
      <c r="CC83" s="1405">
        <f t="shared" si="296"/>
        <v>0.70869245932052716</v>
      </c>
      <c r="CD83" s="1328">
        <f t="shared" si="296"/>
        <v>0.20559972192009687</v>
      </c>
      <c r="CE83" s="1405">
        <f t="shared" si="296"/>
        <v>0.674913508729584</v>
      </c>
      <c r="CF83" s="1405">
        <f t="shared" si="296"/>
        <v>0.64957883904409808</v>
      </c>
      <c r="CG83" s="1405">
        <f t="shared" si="296"/>
        <v>0.65899550776934979</v>
      </c>
      <c r="CH83" s="1405">
        <f t="shared" si="296"/>
        <v>0.65445979899497486</v>
      </c>
      <c r="CI83" s="1328">
        <f t="shared" si="296"/>
        <v>0.18927633909512867</v>
      </c>
      <c r="CJ83" s="1405">
        <f t="shared" si="296"/>
        <v>0.64958105770209307</v>
      </c>
      <c r="CK83" s="1405">
        <f t="shared" si="296"/>
        <v>0.66123131268529611</v>
      </c>
      <c r="CL83" s="1405">
        <f t="shared" si="296"/>
        <v>0.63282741070617099</v>
      </c>
      <c r="CM83" s="1405">
        <f t="shared" si="296"/>
        <v>0.67402991430244319</v>
      </c>
      <c r="CN83" s="4371">
        <f t="shared" si="296"/>
        <v>0.19220144496387589</v>
      </c>
      <c r="CO83" s="1405">
        <f t="shared" si="296"/>
        <v>0.64749161895155305</v>
      </c>
      <c r="CP83" s="1405">
        <f t="shared" ref="CP83:CU83" si="297">CP81/CP80</f>
        <v>0.67085403284498302</v>
      </c>
      <c r="CQ83" s="1405">
        <f t="shared" si="297"/>
        <v>0.65580024732286157</v>
      </c>
      <c r="CR83" s="1405">
        <f t="shared" si="297"/>
        <v>0.66613542384562374</v>
      </c>
      <c r="CS83" s="4371">
        <f t="shared" si="297"/>
        <v>0.2065456196702482</v>
      </c>
      <c r="CT83" s="1405">
        <f t="shared" si="297"/>
        <v>0.6141397307135652</v>
      </c>
      <c r="CU83" s="1405">
        <f t="shared" si="297"/>
        <v>0.62740672410747578</v>
      </c>
      <c r="CV83" s="1405">
        <f t="shared" ref="CV83:DC83" si="298">CV81/CV80</f>
        <v>0.6349682954121596</v>
      </c>
      <c r="CW83" s="1405">
        <f t="shared" si="298"/>
        <v>0.63498012859866226</v>
      </c>
      <c r="CX83" s="4371">
        <f t="shared" si="298"/>
        <v>0.18533415695686822</v>
      </c>
      <c r="CY83" s="1405">
        <f t="shared" si="298"/>
        <v>0.61946412952285745</v>
      </c>
      <c r="CZ83" s="1405">
        <f t="shared" si="298"/>
        <v>0.62130465800142676</v>
      </c>
      <c r="DA83" s="5275">
        <f t="shared" si="298"/>
        <v>0.60589180316418123</v>
      </c>
      <c r="DB83" s="1405">
        <f t="shared" si="298"/>
        <v>0.6377707016459927</v>
      </c>
      <c r="DC83" s="4371">
        <f t="shared" si="298"/>
        <v>0.17213027137732437</v>
      </c>
      <c r="DD83" s="1405">
        <f>DD81/DD80</f>
        <v>0.62060414011641929</v>
      </c>
      <c r="DE83" s="1405">
        <f>DE81/DE80</f>
        <v>0.62519535340841348</v>
      </c>
      <c r="DF83" s="5275">
        <f>DF81/DF80</f>
        <v>0.64042715960718799</v>
      </c>
      <c r="DG83" s="1405">
        <f t="shared" ref="DG83" si="299">DG81/DG80</f>
        <v>0.66318234610917537</v>
      </c>
      <c r="DH83" s="4371">
        <f>DH81/DH80</f>
        <v>0.18698832005239602</v>
      </c>
      <c r="DI83" s="1405">
        <f>DI81/DI80</f>
        <v>0.65912150666489133</v>
      </c>
      <c r="DJ83" s="1405">
        <f>DJ81/DJ80</f>
        <v>0.65989769462546422</v>
      </c>
      <c r="DK83" s="5275">
        <f>DK81/DK80</f>
        <v>0.65868086761727185</v>
      </c>
      <c r="DL83" s="1405">
        <f t="shared" ref="DL83" si="300">DL81/DL80</f>
        <v>0.64125653937099525</v>
      </c>
      <c r="DM83" s="4371">
        <f>DM81/DM80</f>
        <v>0.17735278769847992</v>
      </c>
      <c r="DN83" s="1405">
        <f>DN81/DN80</f>
        <v>0.66678869335564683</v>
      </c>
      <c r="DO83" s="1405">
        <f>DO81/DO80</f>
        <v>0.67359250149896599</v>
      </c>
      <c r="DP83" s="5275">
        <f>DP81/DP80</f>
        <v>0.65334400365839718</v>
      </c>
      <c r="DQ83" s="4524">
        <f t="shared" ref="DQ83" si="301">DL83</f>
        <v>0.64125653937099525</v>
      </c>
      <c r="DR83" s="4371">
        <f>DR81/DR80</f>
        <v>0.18015479928353034</v>
      </c>
      <c r="DS83" s="4524">
        <f>DN83</f>
        <v>0.66678869335564683</v>
      </c>
      <c r="DT83" s="4524">
        <f t="shared" ref="DT83:DV83" si="302">DO83</f>
        <v>0.67359250149896599</v>
      </c>
      <c r="DU83" s="4524">
        <f t="shared" si="302"/>
        <v>0.65334400365839718</v>
      </c>
      <c r="DV83" s="4524">
        <f t="shared" si="302"/>
        <v>0.64125653937099525</v>
      </c>
      <c r="DW83" s="4371">
        <f>DW81/DW80</f>
        <v>0.17956667933662834</v>
      </c>
      <c r="DX83" s="1407">
        <f>DW83</f>
        <v>0.17956667933662834</v>
      </c>
      <c r="DY83" s="1407">
        <f>DX83</f>
        <v>0.17956667933662834</v>
      </c>
      <c r="DZ83" s="1407">
        <f>DY83</f>
        <v>0.17956667933662834</v>
      </c>
      <c r="EA83" s="1407">
        <f>DZ83</f>
        <v>0.17956667933662834</v>
      </c>
      <c r="EC83" s="3683"/>
      <c r="ED83" s="3683"/>
      <c r="EE83" s="3970"/>
    </row>
    <row r="84" spans="1:136" s="45" customFormat="1" ht="11.25" customHeight="1">
      <c r="A84" s="1588" t="s">
        <v>314</v>
      </c>
      <c r="B84" s="133"/>
      <c r="C84" s="133"/>
      <c r="D84" s="133"/>
      <c r="E84" s="706"/>
      <c r="F84" s="133"/>
      <c r="G84" s="133"/>
      <c r="H84" s="133"/>
      <c r="I84" s="706"/>
      <c r="J84" s="1402"/>
      <c r="K84" s="133"/>
      <c r="L84" s="133"/>
      <c r="M84" s="706"/>
      <c r="N84" s="133"/>
      <c r="O84" s="133"/>
      <c r="P84" s="133"/>
      <c r="Q84" s="706">
        <f>+Q15</f>
        <v>10.824999999999999</v>
      </c>
      <c r="R84" s="1419"/>
      <c r="S84" s="1415"/>
      <c r="T84" s="1415"/>
      <c r="U84" s="706">
        <f t="shared" ref="U84:AZ84" si="303">+U15</f>
        <v>48.720999999999997</v>
      </c>
      <c r="V84" s="1420">
        <f t="shared" si="303"/>
        <v>53.279000000000003</v>
      </c>
      <c r="W84" s="140">
        <f t="shared" si="303"/>
        <v>66.634</v>
      </c>
      <c r="X84" s="140">
        <f t="shared" si="303"/>
        <v>105.273</v>
      </c>
      <c r="Y84" s="706">
        <f t="shared" si="303"/>
        <v>159.36000000000001</v>
      </c>
      <c r="Z84" s="1420">
        <f t="shared" si="303"/>
        <v>184.27799999999999</v>
      </c>
      <c r="AA84" s="140">
        <f t="shared" si="303"/>
        <v>176.833</v>
      </c>
      <c r="AB84" s="140">
        <f t="shared" si="303"/>
        <v>192.44800000000001</v>
      </c>
      <c r="AC84" s="706">
        <f t="shared" si="303"/>
        <v>229.50700000000001</v>
      </c>
      <c r="AD84" s="1420">
        <f t="shared" si="303"/>
        <v>256.23399999999998</v>
      </c>
      <c r="AE84" s="140">
        <f t="shared" si="303"/>
        <v>295.87400000000002</v>
      </c>
      <c r="AF84" s="140">
        <f t="shared" si="303"/>
        <v>346.94099999999997</v>
      </c>
      <c r="AG84" s="706">
        <f t="shared" si="303"/>
        <v>443.88</v>
      </c>
      <c r="AH84" s="1420">
        <f t="shared" si="303"/>
        <v>616.50599999999997</v>
      </c>
      <c r="AI84" s="140">
        <f t="shared" si="303"/>
        <v>627.24</v>
      </c>
      <c r="AJ84" s="140">
        <f t="shared" si="303"/>
        <v>670.59299999999996</v>
      </c>
      <c r="AK84" s="706">
        <f t="shared" si="303"/>
        <v>694.21299999999997</v>
      </c>
      <c r="AL84" s="1420">
        <f t="shared" si="303"/>
        <v>697.79200000000003</v>
      </c>
      <c r="AM84" s="140">
        <f t="shared" si="303"/>
        <v>846.86500000000001</v>
      </c>
      <c r="AN84" s="140">
        <f t="shared" si="303"/>
        <v>897.34900000000005</v>
      </c>
      <c r="AO84" s="706">
        <f t="shared" si="303"/>
        <v>1404.114</v>
      </c>
      <c r="AP84" s="1420">
        <f t="shared" si="303"/>
        <v>1317.8610000000001</v>
      </c>
      <c r="AQ84" s="140">
        <f t="shared" si="303"/>
        <v>1067.116</v>
      </c>
      <c r="AR84" s="140">
        <f t="shared" si="303"/>
        <v>816.10299999999995</v>
      </c>
      <c r="AS84" s="706">
        <f t="shared" si="303"/>
        <v>836.06200000000001</v>
      </c>
      <c r="AT84" s="1420">
        <f t="shared" si="303"/>
        <v>1135</v>
      </c>
      <c r="AU84" s="140">
        <f t="shared" si="303"/>
        <v>1419</v>
      </c>
      <c r="AV84" s="140">
        <f t="shared" si="303"/>
        <v>2085</v>
      </c>
      <c r="AW84" s="706">
        <f t="shared" si="303"/>
        <v>2076</v>
      </c>
      <c r="AX84" s="1403">
        <f t="shared" si="303"/>
        <v>2072</v>
      </c>
      <c r="AY84" s="140">
        <f t="shared" si="303"/>
        <v>2348</v>
      </c>
      <c r="AZ84" s="140">
        <f t="shared" si="303"/>
        <v>2551</v>
      </c>
      <c r="BA84" s="706">
        <f t="shared" ref="BA84:CF84" si="304">+BA15</f>
        <v>2490</v>
      </c>
      <c r="BB84" s="1403">
        <f t="shared" si="304"/>
        <v>2329</v>
      </c>
      <c r="BC84" s="140">
        <f t="shared" si="304"/>
        <v>2614</v>
      </c>
      <c r="BD84" s="140">
        <f t="shared" si="304"/>
        <v>2440</v>
      </c>
      <c r="BE84" s="706">
        <f t="shared" si="304"/>
        <v>2132</v>
      </c>
      <c r="BF84" s="1403">
        <f t="shared" si="304"/>
        <v>2375</v>
      </c>
      <c r="BG84" s="140">
        <f t="shared" si="304"/>
        <v>2776</v>
      </c>
      <c r="BH84" s="140">
        <f t="shared" si="304"/>
        <v>2354</v>
      </c>
      <c r="BI84" s="140">
        <f t="shared" si="304"/>
        <v>2827</v>
      </c>
      <c r="BJ84" s="1272">
        <f t="shared" si="304"/>
        <v>2827</v>
      </c>
      <c r="BK84" s="140">
        <f t="shared" si="304"/>
        <v>6011</v>
      </c>
      <c r="BL84" s="140">
        <f t="shared" si="304"/>
        <v>5711</v>
      </c>
      <c r="BM84" s="140">
        <f t="shared" si="304"/>
        <v>6288</v>
      </c>
      <c r="BN84" s="706">
        <f t="shared" si="304"/>
        <v>3412</v>
      </c>
      <c r="BO84" s="1272">
        <f t="shared" si="304"/>
        <v>3412</v>
      </c>
      <c r="BP84" s="1403">
        <f t="shared" si="304"/>
        <v>3720</v>
      </c>
      <c r="BQ84" s="140">
        <f t="shared" si="304"/>
        <v>3049</v>
      </c>
      <c r="BR84" s="140">
        <f t="shared" si="304"/>
        <v>2688</v>
      </c>
      <c r="BS84" s="706">
        <f t="shared" si="304"/>
        <v>2648</v>
      </c>
      <c r="BT84" s="1272">
        <f t="shared" si="304"/>
        <v>2648</v>
      </c>
      <c r="BU84" s="1403">
        <f t="shared" si="304"/>
        <v>2719</v>
      </c>
      <c r="BV84" s="140">
        <f t="shared" si="304"/>
        <v>3016</v>
      </c>
      <c r="BW84" s="140">
        <f t="shared" si="304"/>
        <v>2536</v>
      </c>
      <c r="BX84" s="140">
        <f t="shared" si="304"/>
        <v>4575</v>
      </c>
      <c r="BY84" s="1272">
        <f t="shared" si="304"/>
        <v>4575</v>
      </c>
      <c r="BZ84" s="1403">
        <f t="shared" si="304"/>
        <v>3106</v>
      </c>
      <c r="CA84" s="140">
        <f t="shared" si="304"/>
        <v>2398</v>
      </c>
      <c r="CB84" s="140">
        <f t="shared" si="304"/>
        <v>2860</v>
      </c>
      <c r="CC84" s="140">
        <f t="shared" si="304"/>
        <v>2983</v>
      </c>
      <c r="CD84" s="1272">
        <f t="shared" si="304"/>
        <v>2983</v>
      </c>
      <c r="CE84" s="140">
        <f t="shared" si="304"/>
        <v>3426</v>
      </c>
      <c r="CF84" s="140">
        <f t="shared" si="304"/>
        <v>3961</v>
      </c>
      <c r="CG84" s="140">
        <f t="shared" ref="CG84:CQ84" si="305">+CG15</f>
        <v>4007</v>
      </c>
      <c r="CH84" s="140">
        <f t="shared" si="305"/>
        <v>4236</v>
      </c>
      <c r="CI84" s="1272">
        <f t="shared" si="305"/>
        <v>4236</v>
      </c>
      <c r="CJ84" s="140">
        <f t="shared" si="305"/>
        <v>4406</v>
      </c>
      <c r="CK84" s="140">
        <f t="shared" si="305"/>
        <v>4100</v>
      </c>
      <c r="CL84" s="140">
        <f t="shared" si="305"/>
        <v>4699</v>
      </c>
      <c r="CM84" s="140">
        <f t="shared" si="305"/>
        <v>4412</v>
      </c>
      <c r="CN84" s="4372">
        <f t="shared" si="305"/>
        <v>4412</v>
      </c>
      <c r="CO84" s="140">
        <f t="shared" si="305"/>
        <v>5165</v>
      </c>
      <c r="CP84" s="140">
        <f t="shared" si="305"/>
        <v>5579</v>
      </c>
      <c r="CQ84" s="140">
        <f t="shared" si="305"/>
        <v>5425</v>
      </c>
      <c r="CR84" s="140">
        <f t="shared" ref="CR84:CY84" si="306">+CR15</f>
        <v>5490</v>
      </c>
      <c r="CS84" s="4372">
        <f t="shared" si="306"/>
        <v>5490</v>
      </c>
      <c r="CT84" s="140">
        <f t="shared" si="306"/>
        <v>7646</v>
      </c>
      <c r="CU84" s="140">
        <f t="shared" si="306"/>
        <v>6076</v>
      </c>
      <c r="CV84" s="140">
        <f t="shared" si="306"/>
        <v>6029</v>
      </c>
      <c r="CW84" s="140">
        <f t="shared" si="306"/>
        <v>7054</v>
      </c>
      <c r="CX84" s="4372">
        <f t="shared" si="306"/>
        <v>7054</v>
      </c>
      <c r="CY84" s="140">
        <f t="shared" si="306"/>
        <v>6892</v>
      </c>
      <c r="CZ84" s="140">
        <f t="shared" ref="CZ84:DF84" si="307">+CZ15</f>
        <v>8321</v>
      </c>
      <c r="DA84" s="140">
        <f t="shared" si="307"/>
        <v>10518</v>
      </c>
      <c r="DB84" s="140">
        <f t="shared" si="307"/>
        <v>8105</v>
      </c>
      <c r="DC84" s="4372">
        <f t="shared" si="307"/>
        <v>8105</v>
      </c>
      <c r="DD84" s="140">
        <f t="shared" si="307"/>
        <v>8532</v>
      </c>
      <c r="DE84" s="140">
        <f t="shared" si="307"/>
        <v>9421</v>
      </c>
      <c r="DF84" s="140">
        <f t="shared" si="307"/>
        <v>12398</v>
      </c>
      <c r="DG84" s="140">
        <f t="shared" ref="DG84" si="308">+DG15</f>
        <v>12650</v>
      </c>
      <c r="DH84" s="4372">
        <f>+DH15</f>
        <v>12650</v>
      </c>
      <c r="DI84" s="140">
        <f t="shared" ref="DI84:DL84" si="309">+DI15</f>
        <v>12829</v>
      </c>
      <c r="DJ84" s="140">
        <f t="shared" si="309"/>
        <v>14183</v>
      </c>
      <c r="DK84" s="140">
        <f t="shared" si="309"/>
        <v>15207</v>
      </c>
      <c r="DL84" s="140">
        <f t="shared" si="309"/>
        <v>15714</v>
      </c>
      <c r="DM84" s="4372">
        <f>+DM15</f>
        <v>15714</v>
      </c>
      <c r="DN84" s="140">
        <f t="shared" ref="DN84:DP84" si="310">+DN15</f>
        <v>15724</v>
      </c>
      <c r="DO84" s="140">
        <f t="shared" si="310"/>
        <v>16020</v>
      </c>
      <c r="DP84" s="140">
        <f t="shared" si="310"/>
        <v>18303</v>
      </c>
      <c r="DQ84" s="140">
        <f t="shared" ref="DQ84" si="311">DQ88*DQ85</f>
        <v>18479.999203000531</v>
      </c>
      <c r="DR84" s="4372">
        <f>+DR15</f>
        <v>18479.999203000531</v>
      </c>
      <c r="DS84" s="140">
        <f t="shared" ref="DS84:DV84" si="312">DS88*DS85</f>
        <v>18683.064533675832</v>
      </c>
      <c r="DT84" s="140">
        <f t="shared" si="312"/>
        <v>18959.700799800532</v>
      </c>
      <c r="DU84" s="140">
        <f t="shared" si="312"/>
        <v>21494.004677228248</v>
      </c>
      <c r="DV84" s="140">
        <f t="shared" si="312"/>
        <v>21738.796953678262</v>
      </c>
      <c r="DW84" s="4372">
        <f>+DW15</f>
        <v>21738.796953678262</v>
      </c>
      <c r="DX84" s="1272">
        <f>DX88*DX85</f>
        <v>24828.177309559545</v>
      </c>
      <c r="DY84" s="1272">
        <f>DY88*DY85</f>
        <v>27969.228593033651</v>
      </c>
      <c r="DZ84" s="1272">
        <f>DZ88*DZ85</f>
        <v>31099.425727060458</v>
      </c>
      <c r="EA84" s="1272">
        <f>EA88*EA85</f>
        <v>34355.977457392073</v>
      </c>
      <c r="EC84" s="3683"/>
      <c r="ED84" s="3683"/>
      <c r="EE84" s="140"/>
    </row>
    <row r="85" spans="1:136" s="129" customFormat="1" ht="11.25" customHeight="1">
      <c r="A85" s="1588" t="s">
        <v>223</v>
      </c>
      <c r="B85" s="136"/>
      <c r="C85" s="136"/>
      <c r="D85" s="136"/>
      <c r="E85" s="1367"/>
      <c r="F85" s="136"/>
      <c r="G85" s="136"/>
      <c r="H85" s="136"/>
      <c r="I85" s="1367"/>
      <c r="J85" s="137"/>
      <c r="K85" s="136"/>
      <c r="L85" s="136"/>
      <c r="M85" s="1367"/>
      <c r="N85" s="137"/>
      <c r="O85" s="136"/>
      <c r="P85" s="136"/>
      <c r="Q85" s="1367">
        <f>Q84/Q88</f>
        <v>0.90570615796519405</v>
      </c>
      <c r="R85" s="138"/>
      <c r="S85" s="138"/>
      <c r="T85" s="138"/>
      <c r="U85" s="1367">
        <f t="shared" ref="U85:AW85" si="313">U84/U88</f>
        <v>0.7367012429310188</v>
      </c>
      <c r="V85" s="127">
        <f t="shared" si="313"/>
        <v>0.75956603558394165</v>
      </c>
      <c r="W85" s="127">
        <f t="shared" si="313"/>
        <v>0.7546832174326682</v>
      </c>
      <c r="X85" s="127">
        <f t="shared" si="313"/>
        <v>0.83885542168674698</v>
      </c>
      <c r="Y85" s="1367">
        <f t="shared" si="313"/>
        <v>0.81784730027251318</v>
      </c>
      <c r="Z85" s="127">
        <f t="shared" si="313"/>
        <v>0.80274438055410346</v>
      </c>
      <c r="AA85" s="127">
        <f t="shared" si="313"/>
        <v>0.76175152924959078</v>
      </c>
      <c r="AB85" s="127">
        <f t="shared" si="313"/>
        <v>0.84007979640566965</v>
      </c>
      <c r="AC85" s="1367">
        <f t="shared" si="313"/>
        <v>0.9312593325975459</v>
      </c>
      <c r="AD85" s="127">
        <f t="shared" si="313"/>
        <v>0.83712800608977178</v>
      </c>
      <c r="AE85" s="127">
        <f t="shared" si="313"/>
        <v>0.84482807851109887</v>
      </c>
      <c r="AF85" s="127">
        <f t="shared" si="313"/>
        <v>0.74695461963425291</v>
      </c>
      <c r="AG85" s="1367">
        <f t="shared" si="313"/>
        <v>0.79500658206990416</v>
      </c>
      <c r="AH85" s="127">
        <f t="shared" si="313"/>
        <v>0.82596270945286021</v>
      </c>
      <c r="AI85" s="127">
        <f t="shared" si="313"/>
        <v>0.71864026168202877</v>
      </c>
      <c r="AJ85" s="127">
        <f t="shared" si="313"/>
        <v>0.76387688080730753</v>
      </c>
      <c r="AK85" s="1367">
        <f t="shared" si="313"/>
        <v>0.77482415548873718</v>
      </c>
      <c r="AL85" s="127">
        <f t="shared" si="313"/>
        <v>0.66852273750649072</v>
      </c>
      <c r="AM85" s="127">
        <f t="shared" si="313"/>
        <v>0.56017444244827974</v>
      </c>
      <c r="AN85" s="127">
        <f t="shared" si="313"/>
        <v>0.57594512613876614</v>
      </c>
      <c r="AO85" s="1367">
        <f t="shared" si="313"/>
        <v>0.76395242551524511</v>
      </c>
      <c r="AP85" s="127">
        <f t="shared" si="313"/>
        <v>0.7377498495514534</v>
      </c>
      <c r="AQ85" s="127">
        <f t="shared" si="313"/>
        <v>0.66782443696378813</v>
      </c>
      <c r="AR85" s="127">
        <f t="shared" si="313"/>
        <v>0.55703799666365428</v>
      </c>
      <c r="AS85" s="1367">
        <f t="shared" si="313"/>
        <v>0.55193188239705526</v>
      </c>
      <c r="AT85" s="127">
        <f t="shared" si="313"/>
        <v>0.55773955773955775</v>
      </c>
      <c r="AU85" s="127">
        <f t="shared" si="313"/>
        <v>0.61322385479688846</v>
      </c>
      <c r="AV85" s="127">
        <f t="shared" si="313"/>
        <v>0.71971004487400758</v>
      </c>
      <c r="AW85" s="1367">
        <f t="shared" si="313"/>
        <v>0.74595759971254039</v>
      </c>
      <c r="AX85" s="518">
        <f>AX84/AX88</f>
        <v>0.8344744260974627</v>
      </c>
      <c r="AY85" s="468">
        <f>AY84/AY88</f>
        <v>0.83469605403483826</v>
      </c>
      <c r="AZ85" s="468">
        <f>AZ84/AZ88</f>
        <v>0.83942086212569922</v>
      </c>
      <c r="BA85" s="1367">
        <f>BA84/BA88</f>
        <v>0.83305453328872536</v>
      </c>
      <c r="BB85" s="518">
        <f t="shared" ref="BB85:BG85" si="314">BB84/BB88</f>
        <v>0.77814901436685602</v>
      </c>
      <c r="BC85" s="468">
        <f t="shared" si="314"/>
        <v>0.53598523682591759</v>
      </c>
      <c r="BD85" s="468">
        <f t="shared" si="314"/>
        <v>0.52518295307791651</v>
      </c>
      <c r="BE85" s="1367">
        <f t="shared" si="314"/>
        <v>0.51460294472604395</v>
      </c>
      <c r="BF85" s="518">
        <f t="shared" si="314"/>
        <v>0.51969365426695846</v>
      </c>
      <c r="BG85" s="468">
        <f t="shared" si="314"/>
        <v>0.59481465609599316</v>
      </c>
      <c r="BH85" s="468">
        <f t="shared" ref="BH85:BO85" si="315">BH84/BH88</f>
        <v>0.56887385210246499</v>
      </c>
      <c r="BI85" s="127">
        <f t="shared" si="315"/>
        <v>0.5885904642931501</v>
      </c>
      <c r="BJ85" s="995">
        <f>BJ84/BJ88</f>
        <v>0.5885904642931501</v>
      </c>
      <c r="BK85" s="468">
        <f t="shared" si="315"/>
        <v>0.77772027429162893</v>
      </c>
      <c r="BL85" s="468">
        <f t="shared" si="315"/>
        <v>0.74236318731314177</v>
      </c>
      <c r="BM85" s="468">
        <f t="shared" si="315"/>
        <v>0.75777295733911787</v>
      </c>
      <c r="BN85" s="1367">
        <f t="shared" si="315"/>
        <v>0.50986252241482366</v>
      </c>
      <c r="BO85" s="995">
        <f t="shared" si="315"/>
        <v>0.50986252241482366</v>
      </c>
      <c r="BP85" s="518">
        <f t="shared" ref="BP85:BV85" si="316">BP84/BP88</f>
        <v>0.50847457627118642</v>
      </c>
      <c r="BQ85" s="468">
        <f t="shared" si="316"/>
        <v>0.47256664600123993</v>
      </c>
      <c r="BR85" s="468">
        <f t="shared" si="316"/>
        <v>0.4467342529499751</v>
      </c>
      <c r="BS85" s="1367">
        <f t="shared" si="316"/>
        <v>0.45428032252530454</v>
      </c>
      <c r="BT85" s="995">
        <f t="shared" si="316"/>
        <v>0.45428032252530454</v>
      </c>
      <c r="BU85" s="518">
        <f t="shared" si="316"/>
        <v>0.45196143617021278</v>
      </c>
      <c r="BV85" s="127">
        <f t="shared" si="316"/>
        <v>0.4794150373549515</v>
      </c>
      <c r="BW85" s="127">
        <f t="shared" ref="BW85:CO85" si="317">BW84/BW88</f>
        <v>0.43633860977288369</v>
      </c>
      <c r="BX85" s="127">
        <f t="shared" si="317"/>
        <v>0.71551454488583044</v>
      </c>
      <c r="BY85" s="995">
        <f t="shared" si="317"/>
        <v>0.71551454488583044</v>
      </c>
      <c r="BZ85" s="518">
        <f t="shared" si="317"/>
        <v>0.62722132471728598</v>
      </c>
      <c r="CA85" s="468">
        <f t="shared" si="317"/>
        <v>0.54475238527941849</v>
      </c>
      <c r="CB85" s="468">
        <f t="shared" si="317"/>
        <v>0.51596608334836735</v>
      </c>
      <c r="CC85" s="127">
        <f t="shared" si="317"/>
        <v>0.52749778956675508</v>
      </c>
      <c r="CD85" s="995">
        <f t="shared" si="317"/>
        <v>0.52749778956675508</v>
      </c>
      <c r="CE85" s="127">
        <f t="shared" si="317"/>
        <v>0.63093922651933698</v>
      </c>
      <c r="CF85" s="127">
        <f t="shared" si="317"/>
        <v>0.56480821331812348</v>
      </c>
      <c r="CG85" s="127">
        <f t="shared" si="317"/>
        <v>0.58539079620160706</v>
      </c>
      <c r="CH85" s="127">
        <f t="shared" si="317"/>
        <v>0.61134362822918165</v>
      </c>
      <c r="CI85" s="995">
        <f t="shared" si="317"/>
        <v>0.61134362822918165</v>
      </c>
      <c r="CJ85" s="127">
        <f t="shared" si="317"/>
        <v>0.63368330217172442</v>
      </c>
      <c r="CK85" s="127">
        <f t="shared" si="317"/>
        <v>0.62490474013107755</v>
      </c>
      <c r="CL85" s="127">
        <f t="shared" si="317"/>
        <v>0.67865395725014444</v>
      </c>
      <c r="CM85" s="127">
        <f t="shared" si="317"/>
        <v>0.65324252294936336</v>
      </c>
      <c r="CN85" s="4373">
        <f t="shared" si="317"/>
        <v>0.65324252294936336</v>
      </c>
      <c r="CO85" s="127">
        <f t="shared" si="317"/>
        <v>0.65272336661190444</v>
      </c>
      <c r="CP85" s="127">
        <f t="shared" ref="CP85:CU85" si="318">CP84/CP88</f>
        <v>0.67135980746089052</v>
      </c>
      <c r="CQ85" s="127">
        <f t="shared" si="318"/>
        <v>0.62363490056328319</v>
      </c>
      <c r="CR85" s="127">
        <f t="shared" si="318"/>
        <v>0.58138303505241973</v>
      </c>
      <c r="CS85" s="4373">
        <f t="shared" si="318"/>
        <v>0.58138303505241973</v>
      </c>
      <c r="CT85" s="127">
        <f t="shared" si="318"/>
        <v>0.64725302632692794</v>
      </c>
      <c r="CU85" s="127">
        <f t="shared" si="318"/>
        <v>0.5856950067476383</v>
      </c>
      <c r="CV85" s="127">
        <f t="shared" ref="CV85:DC85" si="319">CV84/CV88</f>
        <v>0.58505579815623487</v>
      </c>
      <c r="CW85" s="127">
        <f t="shared" si="319"/>
        <v>0.56818364881192107</v>
      </c>
      <c r="CX85" s="4373">
        <f t="shared" si="319"/>
        <v>0.56818364881192107</v>
      </c>
      <c r="CY85" s="127">
        <f t="shared" si="319"/>
        <v>0.54396211523283344</v>
      </c>
      <c r="CZ85" s="127">
        <f t="shared" si="319"/>
        <v>0.59295945271859185</v>
      </c>
      <c r="DA85" s="127">
        <f t="shared" si="319"/>
        <v>0.64974054855448482</v>
      </c>
      <c r="DB85" s="127">
        <f t="shared" si="319"/>
        <v>0.55031233025529602</v>
      </c>
      <c r="DC85" s="4373">
        <f t="shared" si="319"/>
        <v>0.55031233025529602</v>
      </c>
      <c r="DD85" s="127">
        <f>DD84/DD88</f>
        <v>0.56990181016632158</v>
      </c>
      <c r="DE85" s="127">
        <f>DE84/DE88</f>
        <v>0.58000369389891027</v>
      </c>
      <c r="DF85" s="127">
        <f>DF84/DF88</f>
        <v>0.61909517627084787</v>
      </c>
      <c r="DG85" s="127">
        <f t="shared" ref="DG85" si="320">DG84/DG88</f>
        <v>0.55724417426545081</v>
      </c>
      <c r="DH85" s="4373">
        <f>DH84/DH88</f>
        <v>0.55724417426545081</v>
      </c>
      <c r="DI85" s="127">
        <f>DI84/DI88</f>
        <v>0.56036516117760116</v>
      </c>
      <c r="DJ85" s="127">
        <f>DJ84/DJ88</f>
        <v>0.59387823465371414</v>
      </c>
      <c r="DK85" s="127">
        <f>DK84/DK88</f>
        <v>0.52304464469973166</v>
      </c>
      <c r="DL85" s="127">
        <f t="shared" ref="DL85" si="321">DL84/DL88</f>
        <v>0.51373087485288349</v>
      </c>
      <c r="DM85" s="4373">
        <f>DM84/DM88</f>
        <v>0.51373087485288349</v>
      </c>
      <c r="DN85" s="127">
        <f>DN84/DN88</f>
        <v>0.54837134686475553</v>
      </c>
      <c r="DO85" s="127">
        <f>DO84/DO88</f>
        <v>0.5309382560567395</v>
      </c>
      <c r="DP85" s="127">
        <f>DP84/DP88</f>
        <v>0.52124508742951525</v>
      </c>
      <c r="DQ85" s="3970">
        <f t="shared" ref="DQ85" si="322">DL85</f>
        <v>0.51373087485288349</v>
      </c>
      <c r="DR85" s="4373">
        <f>DR84/DR88</f>
        <v>0.51373087485288349</v>
      </c>
      <c r="DS85" s="3970">
        <f>DN85</f>
        <v>0.54837134686475553</v>
      </c>
      <c r="DT85" s="3970">
        <f t="shared" ref="DT85" si="323">DO85</f>
        <v>0.5309382560567395</v>
      </c>
      <c r="DU85" s="3970">
        <f t="shared" ref="DU85" si="324">DP85</f>
        <v>0.52124508742951525</v>
      </c>
      <c r="DV85" s="3970">
        <f t="shared" ref="DV85" si="325">DQ85</f>
        <v>0.51373087485288349</v>
      </c>
      <c r="DW85" s="4373">
        <f>DW84/DW88</f>
        <v>0.51373087485288349</v>
      </c>
      <c r="DX85" s="867">
        <f>DW85</f>
        <v>0.51373087485288349</v>
      </c>
      <c r="DY85" s="867">
        <f>DX85</f>
        <v>0.51373087485288349</v>
      </c>
      <c r="DZ85" s="867">
        <f>DY85</f>
        <v>0.51373087485288349</v>
      </c>
      <c r="EA85" s="867">
        <f>DZ85</f>
        <v>0.51373087485288349</v>
      </c>
      <c r="EC85" s="3683"/>
      <c r="ED85" s="3683"/>
      <c r="EE85" s="139"/>
    </row>
    <row r="86" spans="1:136" s="45" customFormat="1" ht="11.25" customHeight="1">
      <c r="A86" s="1588" t="s">
        <v>198</v>
      </c>
      <c r="B86" s="133"/>
      <c r="C86" s="133"/>
      <c r="D86" s="133"/>
      <c r="E86" s="706"/>
      <c r="F86" s="133"/>
      <c r="G86" s="133"/>
      <c r="H86" s="133"/>
      <c r="I86" s="706"/>
      <c r="J86" s="134"/>
      <c r="K86" s="133"/>
      <c r="L86" s="133"/>
      <c r="M86" s="706"/>
      <c r="N86" s="133"/>
      <c r="O86" s="133"/>
      <c r="P86" s="133"/>
      <c r="Q86" s="706">
        <f>+Q25</f>
        <v>1.127</v>
      </c>
      <c r="R86" s="1417"/>
      <c r="S86" s="1415"/>
      <c r="T86" s="1415"/>
      <c r="U86" s="706">
        <f t="shared" ref="U86:AZ86" si="326">+U25</f>
        <v>17.413</v>
      </c>
      <c r="V86" s="140">
        <f t="shared" si="326"/>
        <v>16.864999999999998</v>
      </c>
      <c r="W86" s="140">
        <f t="shared" si="326"/>
        <v>21.66</v>
      </c>
      <c r="X86" s="140">
        <f t="shared" si="326"/>
        <v>20.222999999999999</v>
      </c>
      <c r="Y86" s="706">
        <f t="shared" si="326"/>
        <v>35.493000000000002</v>
      </c>
      <c r="Z86" s="140">
        <f t="shared" si="326"/>
        <v>45.281999999999996</v>
      </c>
      <c r="AA86" s="140">
        <f t="shared" si="326"/>
        <v>55.307000000000002</v>
      </c>
      <c r="AB86" s="140">
        <f t="shared" si="326"/>
        <v>36.634999999999998</v>
      </c>
      <c r="AC86" s="706">
        <f t="shared" si="326"/>
        <v>16.940999999999999</v>
      </c>
      <c r="AD86" s="140">
        <f t="shared" si="326"/>
        <v>49.853000000000002</v>
      </c>
      <c r="AE86" s="140">
        <f t="shared" si="326"/>
        <v>54.344000000000001</v>
      </c>
      <c r="AF86" s="140">
        <f t="shared" si="326"/>
        <v>117.533</v>
      </c>
      <c r="AG86" s="706">
        <f t="shared" si="326"/>
        <v>114.455</v>
      </c>
      <c r="AH86" s="140">
        <f t="shared" si="326"/>
        <v>129.90299999999999</v>
      </c>
      <c r="AI86" s="140">
        <f t="shared" si="326"/>
        <v>245.57499999999999</v>
      </c>
      <c r="AJ86" s="140">
        <f t="shared" si="326"/>
        <v>207.28799999999998</v>
      </c>
      <c r="AK86" s="706">
        <f t="shared" si="326"/>
        <v>201.749</v>
      </c>
      <c r="AL86" s="140">
        <f t="shared" si="326"/>
        <v>345.99</v>
      </c>
      <c r="AM86" s="140">
        <f t="shared" si="326"/>
        <v>664.923</v>
      </c>
      <c r="AN86" s="140">
        <f t="shared" si="326"/>
        <v>660.697</v>
      </c>
      <c r="AO86" s="706">
        <f t="shared" si="326"/>
        <v>433.846</v>
      </c>
      <c r="AP86" s="140">
        <f t="shared" si="326"/>
        <v>468.464</v>
      </c>
      <c r="AQ86" s="140">
        <f t="shared" si="326"/>
        <v>530.78300000000002</v>
      </c>
      <c r="AR86" s="140">
        <f t="shared" si="326"/>
        <v>648.97299999999996</v>
      </c>
      <c r="AS86" s="706">
        <f t="shared" si="326"/>
        <v>678.73</v>
      </c>
      <c r="AT86" s="140">
        <f t="shared" si="326"/>
        <v>900</v>
      </c>
      <c r="AU86" s="140">
        <f t="shared" si="326"/>
        <v>895</v>
      </c>
      <c r="AV86" s="140">
        <f t="shared" si="326"/>
        <v>812</v>
      </c>
      <c r="AW86" s="706">
        <f t="shared" si="326"/>
        <v>707</v>
      </c>
      <c r="AX86" s="707">
        <f t="shared" si="326"/>
        <v>411</v>
      </c>
      <c r="AY86" s="140">
        <f t="shared" si="326"/>
        <v>465</v>
      </c>
      <c r="AZ86" s="140">
        <f t="shared" si="326"/>
        <v>488</v>
      </c>
      <c r="BA86" s="706">
        <f t="shared" ref="BA86:CF86" si="327">+BA25</f>
        <v>499</v>
      </c>
      <c r="BB86" s="707">
        <f t="shared" si="327"/>
        <v>664</v>
      </c>
      <c r="BC86" s="140">
        <f t="shared" si="327"/>
        <v>2263</v>
      </c>
      <c r="BD86" s="140">
        <f t="shared" si="327"/>
        <v>2206</v>
      </c>
      <c r="BE86" s="706">
        <f t="shared" si="327"/>
        <v>2011</v>
      </c>
      <c r="BF86" s="707">
        <f t="shared" si="327"/>
        <v>2195</v>
      </c>
      <c r="BG86" s="140">
        <f t="shared" si="327"/>
        <v>1891</v>
      </c>
      <c r="BH86" s="140">
        <f t="shared" si="327"/>
        <v>1784</v>
      </c>
      <c r="BI86" s="140">
        <f t="shared" si="327"/>
        <v>1976</v>
      </c>
      <c r="BJ86" s="1272">
        <f t="shared" si="327"/>
        <v>1976</v>
      </c>
      <c r="BK86" s="140">
        <f t="shared" si="327"/>
        <v>1718</v>
      </c>
      <c r="BL86" s="140">
        <f t="shared" si="327"/>
        <v>1982</v>
      </c>
      <c r="BM86" s="140">
        <f t="shared" si="327"/>
        <v>2010</v>
      </c>
      <c r="BN86" s="706">
        <f t="shared" si="327"/>
        <v>3280</v>
      </c>
      <c r="BO86" s="1272">
        <f t="shared" si="327"/>
        <v>3280</v>
      </c>
      <c r="BP86" s="707">
        <f t="shared" si="327"/>
        <v>3596</v>
      </c>
      <c r="BQ86" s="140">
        <f t="shared" si="327"/>
        <v>3403</v>
      </c>
      <c r="BR86" s="140">
        <f t="shared" si="327"/>
        <v>3329</v>
      </c>
      <c r="BS86" s="706">
        <f t="shared" si="327"/>
        <v>3181</v>
      </c>
      <c r="BT86" s="1272">
        <f t="shared" si="327"/>
        <v>3181</v>
      </c>
      <c r="BU86" s="707">
        <f t="shared" si="327"/>
        <v>3297</v>
      </c>
      <c r="BV86" s="140">
        <f t="shared" si="327"/>
        <v>3275</v>
      </c>
      <c r="BW86" s="140">
        <f t="shared" si="327"/>
        <v>3276</v>
      </c>
      <c r="BX86" s="140">
        <f t="shared" si="327"/>
        <v>1819</v>
      </c>
      <c r="BY86" s="1272">
        <f t="shared" si="327"/>
        <v>1819</v>
      </c>
      <c r="BZ86" s="707">
        <f t="shared" si="327"/>
        <v>1846</v>
      </c>
      <c r="CA86" s="140">
        <f t="shared" si="327"/>
        <v>2004</v>
      </c>
      <c r="CB86" s="140">
        <f t="shared" si="327"/>
        <v>2683</v>
      </c>
      <c r="CC86" s="140">
        <f t="shared" si="327"/>
        <v>2672</v>
      </c>
      <c r="CD86" s="1272">
        <f t="shared" si="327"/>
        <v>2672</v>
      </c>
      <c r="CE86" s="140">
        <f t="shared" si="327"/>
        <v>2004</v>
      </c>
      <c r="CF86" s="140">
        <f t="shared" si="327"/>
        <v>3052</v>
      </c>
      <c r="CG86" s="140">
        <f t="shared" ref="CG86:CQ86" si="328">+CG25</f>
        <v>2838</v>
      </c>
      <c r="CH86" s="140">
        <f t="shared" si="328"/>
        <v>2693</v>
      </c>
      <c r="CI86" s="1272">
        <f t="shared" si="328"/>
        <v>2693</v>
      </c>
      <c r="CJ86" s="140">
        <f t="shared" si="328"/>
        <v>2547</v>
      </c>
      <c r="CK86" s="140">
        <f t="shared" si="328"/>
        <v>2461</v>
      </c>
      <c r="CL86" s="140">
        <f t="shared" si="328"/>
        <v>2225</v>
      </c>
      <c r="CM86" s="140">
        <f t="shared" si="328"/>
        <v>2342</v>
      </c>
      <c r="CN86" s="4372">
        <f t="shared" si="328"/>
        <v>2342</v>
      </c>
      <c r="CO86" s="140">
        <f t="shared" si="328"/>
        <v>2748</v>
      </c>
      <c r="CP86" s="140">
        <f t="shared" si="328"/>
        <v>2731</v>
      </c>
      <c r="CQ86" s="140">
        <f t="shared" si="328"/>
        <v>3274</v>
      </c>
      <c r="CR86" s="140">
        <f t="shared" ref="CR86:CY86" si="329">+CR25</f>
        <v>3953</v>
      </c>
      <c r="CS86" s="4372">
        <f t="shared" si="329"/>
        <v>3953</v>
      </c>
      <c r="CT86" s="140">
        <f t="shared" si="329"/>
        <v>4167</v>
      </c>
      <c r="CU86" s="140">
        <f t="shared" si="329"/>
        <v>4298</v>
      </c>
      <c r="CV86" s="140">
        <f t="shared" si="329"/>
        <v>4276</v>
      </c>
      <c r="CW86" s="140">
        <f t="shared" si="329"/>
        <v>5361</v>
      </c>
      <c r="CX86" s="4372">
        <f t="shared" si="329"/>
        <v>5361</v>
      </c>
      <c r="CY86" s="140">
        <f t="shared" si="329"/>
        <v>5778</v>
      </c>
      <c r="CZ86" s="140">
        <f t="shared" ref="CZ86:DF86" si="330">+CZ25</f>
        <v>5712</v>
      </c>
      <c r="DA86" s="140">
        <f t="shared" si="330"/>
        <v>5670</v>
      </c>
      <c r="DB86" s="140">
        <f t="shared" si="330"/>
        <v>6623</v>
      </c>
      <c r="DC86" s="4372">
        <f t="shared" si="330"/>
        <v>6623</v>
      </c>
      <c r="DD86" s="140">
        <f t="shared" si="330"/>
        <v>6439</v>
      </c>
      <c r="DE86" s="140">
        <f t="shared" si="330"/>
        <v>6822</v>
      </c>
      <c r="DF86" s="140">
        <f t="shared" si="330"/>
        <v>7628</v>
      </c>
      <c r="DG86" s="140">
        <f t="shared" ref="DG86" si="331">+DG25</f>
        <v>10051</v>
      </c>
      <c r="DH86" s="4372">
        <f>+DH25</f>
        <v>10051</v>
      </c>
      <c r="DI86" s="140">
        <f t="shared" ref="DI86:DL86" si="332">+DI25</f>
        <v>10065</v>
      </c>
      <c r="DJ86" s="140">
        <f t="shared" si="332"/>
        <v>9699</v>
      </c>
      <c r="DK86" s="140">
        <f t="shared" si="332"/>
        <v>13867</v>
      </c>
      <c r="DL86" s="140">
        <f t="shared" si="332"/>
        <v>14874</v>
      </c>
      <c r="DM86" s="4372">
        <f>+DM25</f>
        <v>14874</v>
      </c>
      <c r="DN86" s="140">
        <f t="shared" ref="DN86:DP86" si="333">+DN25</f>
        <v>12950</v>
      </c>
      <c r="DO86" s="140">
        <f t="shared" si="333"/>
        <v>14153</v>
      </c>
      <c r="DP86" s="140">
        <f t="shared" si="333"/>
        <v>16811</v>
      </c>
      <c r="DQ86" s="140">
        <f t="shared" ref="DQ86" si="334">DQ88*DQ87</f>
        <v>17492.141284550715</v>
      </c>
      <c r="DR86" s="4372">
        <f>+DR25</f>
        <v>17492.141284550715</v>
      </c>
      <c r="DS86" s="140">
        <f t="shared" ref="DS86:DV86" si="335">DS88*DS87</f>
        <v>15387.03165295739</v>
      </c>
      <c r="DT86" s="140">
        <f t="shared" si="335"/>
        <v>16750.102710335635</v>
      </c>
      <c r="DU86" s="140">
        <f t="shared" si="335"/>
        <v>19741.884534168395</v>
      </c>
      <c r="DV86" s="140">
        <f t="shared" si="335"/>
        <v>20576.738315451854</v>
      </c>
      <c r="DW86" s="4372">
        <f>+DW25</f>
        <v>20576.738315451854</v>
      </c>
      <c r="DX86" s="866">
        <f>DX88*DX87</f>
        <v>23500.97424604739</v>
      </c>
      <c r="DY86" s="866">
        <f>DY88*DY87</f>
        <v>26474.119008068126</v>
      </c>
      <c r="DZ86" s="866">
        <f>DZ88*DZ87</f>
        <v>29436.989834815911</v>
      </c>
      <c r="EA86" s="866">
        <f>EA88*EA87</f>
        <v>32519.460907550572</v>
      </c>
      <c r="EC86" s="3683"/>
      <c r="ED86" s="3683"/>
      <c r="EE86" s="140"/>
    </row>
    <row r="87" spans="1:136" s="129" customFormat="1" ht="11.25" customHeight="1">
      <c r="A87" s="1588" t="s">
        <v>223</v>
      </c>
      <c r="B87" s="136"/>
      <c r="C87" s="136"/>
      <c r="D87" s="136"/>
      <c r="E87" s="1399"/>
      <c r="F87" s="136"/>
      <c r="G87" s="136"/>
      <c r="H87" s="136"/>
      <c r="I87" s="1399"/>
      <c r="J87" s="137"/>
      <c r="K87" s="136"/>
      <c r="L87" s="136"/>
      <c r="M87" s="1399"/>
      <c r="N87" s="137"/>
      <c r="O87" s="136"/>
      <c r="P87" s="136"/>
      <c r="Q87" s="1399">
        <f>Q86/Q88</f>
        <v>9.4293842034805897E-2</v>
      </c>
      <c r="R87" s="138"/>
      <c r="S87" s="138"/>
      <c r="T87" s="138"/>
      <c r="U87" s="1399">
        <f t="shared" ref="U87:AW87" si="336">U86/U88</f>
        <v>0.26329875706898115</v>
      </c>
      <c r="V87" s="127">
        <f t="shared" si="336"/>
        <v>0.24043396441605835</v>
      </c>
      <c r="W87" s="127">
        <f t="shared" si="336"/>
        <v>0.24531678256733189</v>
      </c>
      <c r="X87" s="127">
        <f t="shared" si="336"/>
        <v>0.16114457831325302</v>
      </c>
      <c r="Y87" s="1399">
        <f t="shared" si="336"/>
        <v>0.18215269972748688</v>
      </c>
      <c r="Z87" s="127">
        <f t="shared" si="336"/>
        <v>0.19725561944589648</v>
      </c>
      <c r="AA87" s="127">
        <f t="shared" si="336"/>
        <v>0.23824847075040925</v>
      </c>
      <c r="AB87" s="127">
        <f t="shared" si="336"/>
        <v>0.15992020359433043</v>
      </c>
      <c r="AC87" s="1399">
        <f t="shared" si="336"/>
        <v>6.8740667402454061E-2</v>
      </c>
      <c r="AD87" s="127">
        <f t="shared" si="336"/>
        <v>0.16287199391022814</v>
      </c>
      <c r="AE87" s="127">
        <f t="shared" si="336"/>
        <v>0.15517192148890119</v>
      </c>
      <c r="AF87" s="127">
        <f t="shared" si="336"/>
        <v>0.25304538036574709</v>
      </c>
      <c r="AG87" s="1399">
        <f t="shared" si="336"/>
        <v>0.20499341793009571</v>
      </c>
      <c r="AH87" s="127">
        <f t="shared" si="336"/>
        <v>0.17403729054713971</v>
      </c>
      <c r="AI87" s="127">
        <f t="shared" si="336"/>
        <v>0.28135973831797112</v>
      </c>
      <c r="AJ87" s="127">
        <f t="shared" si="336"/>
        <v>0.23612311919269238</v>
      </c>
      <c r="AK87" s="1399">
        <f t="shared" si="336"/>
        <v>0.22517584451126274</v>
      </c>
      <c r="AL87" s="127">
        <f t="shared" si="336"/>
        <v>0.33147726249350912</v>
      </c>
      <c r="AM87" s="127">
        <f t="shared" si="336"/>
        <v>0.4398255575517202</v>
      </c>
      <c r="AN87" s="127">
        <f t="shared" si="336"/>
        <v>0.42405487386123386</v>
      </c>
      <c r="AO87" s="1399">
        <f t="shared" si="336"/>
        <v>0.23604757448475483</v>
      </c>
      <c r="AP87" s="127">
        <f t="shared" si="336"/>
        <v>0.2622501504485466</v>
      </c>
      <c r="AQ87" s="127">
        <f t="shared" si="336"/>
        <v>0.33217556303621198</v>
      </c>
      <c r="AR87" s="127">
        <f t="shared" si="336"/>
        <v>0.44296200333634567</v>
      </c>
      <c r="AS87" s="1399">
        <f t="shared" si="336"/>
        <v>0.44806811760294485</v>
      </c>
      <c r="AT87" s="127">
        <f t="shared" si="336"/>
        <v>0.44226044226044225</v>
      </c>
      <c r="AU87" s="127">
        <f t="shared" si="336"/>
        <v>0.38677614520311149</v>
      </c>
      <c r="AV87" s="127">
        <f t="shared" si="336"/>
        <v>0.28028995512599242</v>
      </c>
      <c r="AW87" s="1399">
        <f t="shared" si="336"/>
        <v>0.25404240028745956</v>
      </c>
      <c r="AX87" s="519">
        <f>AX86/AX88</f>
        <v>0.16552557390253725</v>
      </c>
      <c r="AY87" s="127">
        <f>AY86/AY88</f>
        <v>0.16530394596516174</v>
      </c>
      <c r="AZ87" s="127">
        <f>AZ86/AZ88</f>
        <v>0.16057913787430075</v>
      </c>
      <c r="BA87" s="1399">
        <f>BA86/BA88</f>
        <v>0.16694546671127466</v>
      </c>
      <c r="BB87" s="519">
        <f t="shared" ref="BB87:BG87" si="337">BB86/BB88</f>
        <v>0.22185098563314401</v>
      </c>
      <c r="BC87" s="127">
        <f t="shared" si="337"/>
        <v>0.46401476317408241</v>
      </c>
      <c r="BD87" s="127">
        <f t="shared" si="337"/>
        <v>0.47481704692208349</v>
      </c>
      <c r="BE87" s="1399">
        <f t="shared" si="337"/>
        <v>0.48539705527395605</v>
      </c>
      <c r="BF87" s="519">
        <f t="shared" si="337"/>
        <v>0.4803063457330416</v>
      </c>
      <c r="BG87" s="127">
        <f t="shared" si="337"/>
        <v>0.40518534390400684</v>
      </c>
      <c r="BH87" s="127">
        <f t="shared" ref="BH87:BO87" si="338">BH86/BH88</f>
        <v>0.43112614789753506</v>
      </c>
      <c r="BI87" s="468">
        <f t="shared" si="338"/>
        <v>0.4114095357068499</v>
      </c>
      <c r="BJ87" s="995">
        <f>BJ86/BJ88</f>
        <v>0.4114095357068499</v>
      </c>
      <c r="BK87" s="127">
        <f t="shared" si="338"/>
        <v>0.22227972570837107</v>
      </c>
      <c r="BL87" s="127">
        <f t="shared" si="338"/>
        <v>0.25763681268685817</v>
      </c>
      <c r="BM87" s="127">
        <f t="shared" si="338"/>
        <v>0.24222704266088213</v>
      </c>
      <c r="BN87" s="1399">
        <f t="shared" si="338"/>
        <v>0.49013747758517634</v>
      </c>
      <c r="BO87" s="995">
        <f t="shared" si="338"/>
        <v>0.49013747758517634</v>
      </c>
      <c r="BP87" s="519">
        <f t="shared" ref="BP87:BV87" si="339">BP86/BP88</f>
        <v>0.49152542372881358</v>
      </c>
      <c r="BQ87" s="127">
        <f t="shared" si="339"/>
        <v>0.52743335399876012</v>
      </c>
      <c r="BR87" s="127">
        <f t="shared" si="339"/>
        <v>0.55326574705002496</v>
      </c>
      <c r="BS87" s="1399">
        <f t="shared" si="339"/>
        <v>0.54571967747469552</v>
      </c>
      <c r="BT87" s="995">
        <f t="shared" si="339"/>
        <v>0.54571967747469552</v>
      </c>
      <c r="BU87" s="519">
        <f t="shared" si="339"/>
        <v>0.54803856382978722</v>
      </c>
      <c r="BV87" s="127">
        <f t="shared" si="339"/>
        <v>0.5205849626450485</v>
      </c>
      <c r="BW87" s="127">
        <f t="shared" ref="BW87:CO87" si="340">BW86/BW88</f>
        <v>0.56366139022711637</v>
      </c>
      <c r="BX87" s="127">
        <f t="shared" si="340"/>
        <v>0.28448545511416956</v>
      </c>
      <c r="BY87" s="995">
        <f t="shared" si="340"/>
        <v>0.28448545511416956</v>
      </c>
      <c r="BZ87" s="519">
        <f t="shared" si="340"/>
        <v>0.37277867528271408</v>
      </c>
      <c r="CA87" s="127">
        <f t="shared" si="340"/>
        <v>0.45524761472058156</v>
      </c>
      <c r="CB87" s="127">
        <f t="shared" si="340"/>
        <v>0.4840339166516327</v>
      </c>
      <c r="CC87" s="127">
        <f t="shared" si="340"/>
        <v>0.47250221043324492</v>
      </c>
      <c r="CD87" s="995">
        <f t="shared" si="340"/>
        <v>0.47250221043324492</v>
      </c>
      <c r="CE87" s="127">
        <f t="shared" si="340"/>
        <v>0.36906077348066296</v>
      </c>
      <c r="CF87" s="127">
        <f t="shared" si="340"/>
        <v>0.43519178668187652</v>
      </c>
      <c r="CG87" s="127">
        <f t="shared" si="340"/>
        <v>0.414609203798393</v>
      </c>
      <c r="CH87" s="127">
        <f t="shared" si="340"/>
        <v>0.3886563717708183</v>
      </c>
      <c r="CI87" s="995">
        <f t="shared" si="340"/>
        <v>0.3886563717708183</v>
      </c>
      <c r="CJ87" s="127">
        <f t="shared" si="340"/>
        <v>0.36631669782827558</v>
      </c>
      <c r="CK87" s="127">
        <f t="shared" si="340"/>
        <v>0.37509525986892239</v>
      </c>
      <c r="CL87" s="127">
        <f t="shared" si="340"/>
        <v>0.32134604274985556</v>
      </c>
      <c r="CM87" s="127">
        <f t="shared" si="340"/>
        <v>0.34675747705063664</v>
      </c>
      <c r="CN87" s="4373">
        <f t="shared" si="340"/>
        <v>0.34675747705063664</v>
      </c>
      <c r="CO87" s="127">
        <f t="shared" si="340"/>
        <v>0.34727663338809556</v>
      </c>
      <c r="CP87" s="127">
        <f t="shared" ref="CP87:CU87" si="341">CP86/CP88</f>
        <v>0.32864019253910953</v>
      </c>
      <c r="CQ87" s="127">
        <f t="shared" si="341"/>
        <v>0.37636509943671687</v>
      </c>
      <c r="CR87" s="127">
        <f t="shared" si="341"/>
        <v>0.41861696494758022</v>
      </c>
      <c r="CS87" s="4373">
        <f t="shared" si="341"/>
        <v>0.41861696494758022</v>
      </c>
      <c r="CT87" s="127">
        <f t="shared" si="341"/>
        <v>0.35274697367307206</v>
      </c>
      <c r="CU87" s="127">
        <f t="shared" si="341"/>
        <v>0.4143049932523617</v>
      </c>
      <c r="CV87" s="127">
        <f t="shared" ref="CV87:DC87" si="342">CV86/CV88</f>
        <v>0.41494420184376518</v>
      </c>
      <c r="CW87" s="127">
        <f t="shared" si="342"/>
        <v>0.43181635118807893</v>
      </c>
      <c r="CX87" s="4373">
        <f t="shared" si="342"/>
        <v>0.43181635118807893</v>
      </c>
      <c r="CY87" s="127">
        <f t="shared" si="342"/>
        <v>0.45603788476716656</v>
      </c>
      <c r="CZ87" s="127">
        <f t="shared" si="342"/>
        <v>0.40704054728140809</v>
      </c>
      <c r="DA87" s="127">
        <f t="shared" si="342"/>
        <v>0.35025945144551518</v>
      </c>
      <c r="DB87" s="127">
        <f t="shared" si="342"/>
        <v>0.44968766974470398</v>
      </c>
      <c r="DC87" s="4373">
        <f t="shared" si="342"/>
        <v>0.44968766974470398</v>
      </c>
      <c r="DD87" s="127">
        <f>DD86/DD88</f>
        <v>0.43009818983367842</v>
      </c>
      <c r="DE87" s="127">
        <f>DE86/DE88</f>
        <v>0.41999630610108968</v>
      </c>
      <c r="DF87" s="127">
        <f>DF86/DF88</f>
        <v>0.38090482372915208</v>
      </c>
      <c r="DG87" s="127">
        <f t="shared" ref="DG87" si="343">DG86/DG88</f>
        <v>0.44275582573454914</v>
      </c>
      <c r="DH87" s="4373">
        <f>DH86/DH88</f>
        <v>0.44275582573454914</v>
      </c>
      <c r="DI87" s="127">
        <f>DI86/DI88</f>
        <v>0.4396348388223989</v>
      </c>
      <c r="DJ87" s="127">
        <f>DJ86/DJ88</f>
        <v>0.40612176534628591</v>
      </c>
      <c r="DK87" s="127">
        <f>DK86/DK88</f>
        <v>0.47695535530026828</v>
      </c>
      <c r="DL87" s="127">
        <f t="shared" ref="DL87" si="344">DL86/DL88</f>
        <v>0.48626912514711651</v>
      </c>
      <c r="DM87" s="4373">
        <f>DM86/DM88</f>
        <v>0.48626912514711651</v>
      </c>
      <c r="DN87" s="127">
        <f>DN86/DN88</f>
        <v>0.45162865313524447</v>
      </c>
      <c r="DO87" s="127">
        <f>DO86/DO88</f>
        <v>0.46906174394326056</v>
      </c>
      <c r="DP87" s="127">
        <f>DP86/DP88</f>
        <v>0.47875491257048469</v>
      </c>
      <c r="DQ87" s="127">
        <f t="shared" ref="DQ87" si="345">1-DQ85</f>
        <v>0.48626912514711651</v>
      </c>
      <c r="DR87" s="4373">
        <f>DR86/DR88</f>
        <v>0.48626912514711657</v>
      </c>
      <c r="DS87" s="127">
        <f t="shared" ref="DS87:DV87" si="346">1-DS85</f>
        <v>0.45162865313524447</v>
      </c>
      <c r="DT87" s="127">
        <f t="shared" si="346"/>
        <v>0.4690617439432605</v>
      </c>
      <c r="DU87" s="127">
        <f t="shared" si="346"/>
        <v>0.47875491257048475</v>
      </c>
      <c r="DV87" s="127">
        <f t="shared" si="346"/>
        <v>0.48626912514711651</v>
      </c>
      <c r="DW87" s="4373">
        <f>DW86/DW88</f>
        <v>0.48626912514711651</v>
      </c>
      <c r="DX87" s="868">
        <f>1-DX85</f>
        <v>0.48626912514711651</v>
      </c>
      <c r="DY87" s="868">
        <f>1-DY85</f>
        <v>0.48626912514711651</v>
      </c>
      <c r="DZ87" s="868">
        <f>1-DZ85</f>
        <v>0.48626912514711651</v>
      </c>
      <c r="EA87" s="868">
        <f>1-EA85</f>
        <v>0.48626912514711651</v>
      </c>
      <c r="EC87" s="3683"/>
      <c r="ED87" s="3683"/>
      <c r="EE87" s="127"/>
    </row>
    <row r="88" spans="1:136" s="37" customFormat="1" ht="11.25" customHeight="1">
      <c r="A88" s="1588" t="s">
        <v>222</v>
      </c>
      <c r="B88" s="133"/>
      <c r="C88" s="133"/>
      <c r="D88" s="133"/>
      <c r="E88" s="706"/>
      <c r="F88" s="133"/>
      <c r="G88" s="133"/>
      <c r="H88" s="133"/>
      <c r="I88" s="706"/>
      <c r="J88" s="134"/>
      <c r="K88" s="133"/>
      <c r="L88" s="133"/>
      <c r="M88" s="706"/>
      <c r="N88" s="133"/>
      <c r="O88" s="133"/>
      <c r="P88" s="133"/>
      <c r="Q88" s="706">
        <f>Q84+Q86</f>
        <v>11.952</v>
      </c>
      <c r="R88" s="1417"/>
      <c r="S88" s="1415"/>
      <c r="T88" s="1415"/>
      <c r="U88" s="706">
        <f t="shared" ref="U88:Z88" si="347">U84+U86</f>
        <v>66.134</v>
      </c>
      <c r="V88" s="1421">
        <f t="shared" si="347"/>
        <v>70.144000000000005</v>
      </c>
      <c r="W88" s="140">
        <f t="shared" si="347"/>
        <v>88.293999999999997</v>
      </c>
      <c r="X88" s="140">
        <f t="shared" si="347"/>
        <v>125.496</v>
      </c>
      <c r="Y88" s="706">
        <f t="shared" si="347"/>
        <v>194.85300000000001</v>
      </c>
      <c r="Z88" s="1421">
        <f t="shared" si="347"/>
        <v>229.56</v>
      </c>
      <c r="AA88" s="140">
        <f t="shared" ref="AA88:AH88" si="348">AA84+AA86</f>
        <v>232.14</v>
      </c>
      <c r="AB88" s="140">
        <f t="shared" si="348"/>
        <v>229.083</v>
      </c>
      <c r="AC88" s="706">
        <f t="shared" si="348"/>
        <v>246.44800000000001</v>
      </c>
      <c r="AD88" s="1421">
        <f t="shared" si="348"/>
        <v>306.08699999999999</v>
      </c>
      <c r="AE88" s="140">
        <f t="shared" si="348"/>
        <v>350.21800000000002</v>
      </c>
      <c r="AF88" s="140">
        <f t="shared" si="348"/>
        <v>464.47399999999999</v>
      </c>
      <c r="AG88" s="706">
        <f>AG84+AG86</f>
        <v>558.33500000000004</v>
      </c>
      <c r="AH88" s="1421">
        <f t="shared" si="348"/>
        <v>746.40899999999999</v>
      </c>
      <c r="AI88" s="140">
        <f t="shared" ref="AI88:AN88" si="349">AI84+AI86</f>
        <v>872.81500000000005</v>
      </c>
      <c r="AJ88" s="140">
        <f t="shared" si="349"/>
        <v>877.88099999999997</v>
      </c>
      <c r="AK88" s="706">
        <f t="shared" si="349"/>
        <v>895.96199999999999</v>
      </c>
      <c r="AL88" s="1421">
        <f t="shared" si="349"/>
        <v>1043.7820000000002</v>
      </c>
      <c r="AM88" s="140">
        <f t="shared" si="349"/>
        <v>1511.788</v>
      </c>
      <c r="AN88" s="140">
        <f t="shared" si="349"/>
        <v>1558.046</v>
      </c>
      <c r="AO88" s="706">
        <f t="shared" ref="AO88:AT88" si="350">AO84+AO86</f>
        <v>1837.96</v>
      </c>
      <c r="AP88" s="1421">
        <f t="shared" si="350"/>
        <v>1786.325</v>
      </c>
      <c r="AQ88" s="140">
        <f t="shared" si="350"/>
        <v>1597.8989999999999</v>
      </c>
      <c r="AR88" s="140">
        <f t="shared" si="350"/>
        <v>1465.076</v>
      </c>
      <c r="AS88" s="706">
        <f t="shared" si="350"/>
        <v>1514.7919999999999</v>
      </c>
      <c r="AT88" s="1421">
        <f t="shared" si="350"/>
        <v>2035</v>
      </c>
      <c r="AU88" s="140">
        <f t="shared" ref="AU88:AZ88" si="351">AU84+AU86</f>
        <v>2314</v>
      </c>
      <c r="AV88" s="140">
        <f t="shared" si="351"/>
        <v>2897</v>
      </c>
      <c r="AW88" s="706">
        <f t="shared" si="351"/>
        <v>2783</v>
      </c>
      <c r="AX88" s="707">
        <f t="shared" si="351"/>
        <v>2483</v>
      </c>
      <c r="AY88" s="140">
        <f t="shared" si="351"/>
        <v>2813</v>
      </c>
      <c r="AZ88" s="140">
        <f t="shared" si="351"/>
        <v>3039</v>
      </c>
      <c r="BA88" s="706">
        <f t="shared" ref="BA88:BL88" si="352">BA84+BA86</f>
        <v>2989</v>
      </c>
      <c r="BB88" s="707">
        <f t="shared" si="352"/>
        <v>2993</v>
      </c>
      <c r="BC88" s="140">
        <f t="shared" si="352"/>
        <v>4877</v>
      </c>
      <c r="BD88" s="140">
        <f t="shared" si="352"/>
        <v>4646</v>
      </c>
      <c r="BE88" s="706">
        <f t="shared" si="352"/>
        <v>4143</v>
      </c>
      <c r="BF88" s="707">
        <f t="shared" si="352"/>
        <v>4570</v>
      </c>
      <c r="BG88" s="140">
        <f t="shared" si="352"/>
        <v>4667</v>
      </c>
      <c r="BH88" s="140">
        <f t="shared" si="352"/>
        <v>4138</v>
      </c>
      <c r="BI88" s="140">
        <f t="shared" si="352"/>
        <v>4803</v>
      </c>
      <c r="BJ88" s="1272">
        <f t="shared" si="352"/>
        <v>4803</v>
      </c>
      <c r="BK88" s="140">
        <f t="shared" si="352"/>
        <v>7729</v>
      </c>
      <c r="BL88" s="140">
        <f t="shared" si="352"/>
        <v>7693</v>
      </c>
      <c r="BM88" s="140">
        <f t="shared" ref="BM88:BT88" si="353">BM84+BM86</f>
        <v>8298</v>
      </c>
      <c r="BN88" s="706">
        <f t="shared" si="353"/>
        <v>6692</v>
      </c>
      <c r="BO88" s="1272">
        <f>BO84+BO86</f>
        <v>6692</v>
      </c>
      <c r="BP88" s="707">
        <f t="shared" si="353"/>
        <v>7316</v>
      </c>
      <c r="BQ88" s="140">
        <f t="shared" si="353"/>
        <v>6452</v>
      </c>
      <c r="BR88" s="140">
        <f t="shared" si="353"/>
        <v>6017</v>
      </c>
      <c r="BS88" s="706">
        <f t="shared" si="353"/>
        <v>5829</v>
      </c>
      <c r="BT88" s="1272">
        <f t="shared" si="353"/>
        <v>5829</v>
      </c>
      <c r="BU88" s="707">
        <f t="shared" ref="BU88:CO88" si="354">BU84+BU86</f>
        <v>6016</v>
      </c>
      <c r="BV88" s="140">
        <f t="shared" si="354"/>
        <v>6291</v>
      </c>
      <c r="BW88" s="140">
        <f t="shared" si="354"/>
        <v>5812</v>
      </c>
      <c r="BX88" s="140">
        <f t="shared" si="354"/>
        <v>6394</v>
      </c>
      <c r="BY88" s="1272">
        <f t="shared" si="354"/>
        <v>6394</v>
      </c>
      <c r="BZ88" s="707">
        <f t="shared" si="354"/>
        <v>4952</v>
      </c>
      <c r="CA88" s="140">
        <f t="shared" si="354"/>
        <v>4402</v>
      </c>
      <c r="CB88" s="140">
        <f t="shared" si="354"/>
        <v>5543</v>
      </c>
      <c r="CC88" s="140">
        <f t="shared" si="354"/>
        <v>5655</v>
      </c>
      <c r="CD88" s="1272">
        <f t="shared" si="354"/>
        <v>5655</v>
      </c>
      <c r="CE88" s="140">
        <f t="shared" si="354"/>
        <v>5430</v>
      </c>
      <c r="CF88" s="140">
        <f t="shared" si="354"/>
        <v>7013</v>
      </c>
      <c r="CG88" s="140">
        <f t="shared" si="354"/>
        <v>6845</v>
      </c>
      <c r="CH88" s="140">
        <f t="shared" si="354"/>
        <v>6929</v>
      </c>
      <c r="CI88" s="1272">
        <f t="shared" si="354"/>
        <v>6929</v>
      </c>
      <c r="CJ88" s="140">
        <f t="shared" si="354"/>
        <v>6953</v>
      </c>
      <c r="CK88" s="140">
        <f t="shared" si="354"/>
        <v>6561</v>
      </c>
      <c r="CL88" s="140">
        <f t="shared" si="354"/>
        <v>6924</v>
      </c>
      <c r="CM88" s="140">
        <f t="shared" si="354"/>
        <v>6754</v>
      </c>
      <c r="CN88" s="4372">
        <f t="shared" si="354"/>
        <v>6754</v>
      </c>
      <c r="CO88" s="140">
        <f t="shared" si="354"/>
        <v>7913</v>
      </c>
      <c r="CP88" s="140">
        <f t="shared" ref="CP88:CU88" si="355">CP84+CP86</f>
        <v>8310</v>
      </c>
      <c r="CQ88" s="140">
        <f t="shared" si="355"/>
        <v>8699</v>
      </c>
      <c r="CR88" s="140">
        <f t="shared" si="355"/>
        <v>9443</v>
      </c>
      <c r="CS88" s="4372">
        <f t="shared" si="355"/>
        <v>9443</v>
      </c>
      <c r="CT88" s="140">
        <f t="shared" si="355"/>
        <v>11813</v>
      </c>
      <c r="CU88" s="140">
        <f t="shared" si="355"/>
        <v>10374</v>
      </c>
      <c r="CV88" s="140">
        <f t="shared" ref="CV88:DC88" si="356">CV84+CV86</f>
        <v>10305</v>
      </c>
      <c r="CW88" s="140">
        <f t="shared" si="356"/>
        <v>12415</v>
      </c>
      <c r="CX88" s="4372">
        <f t="shared" si="356"/>
        <v>12415</v>
      </c>
      <c r="CY88" s="140">
        <f t="shared" si="356"/>
        <v>12670</v>
      </c>
      <c r="CZ88" s="140">
        <f t="shared" si="356"/>
        <v>14033</v>
      </c>
      <c r="DA88" s="140">
        <f t="shared" si="356"/>
        <v>16188</v>
      </c>
      <c r="DB88" s="140">
        <f t="shared" si="356"/>
        <v>14728</v>
      </c>
      <c r="DC88" s="4372">
        <f t="shared" si="356"/>
        <v>14728</v>
      </c>
      <c r="DD88" s="140">
        <f>DD84+DD86</f>
        <v>14971</v>
      </c>
      <c r="DE88" s="140">
        <f>DE84+DE86</f>
        <v>16243</v>
      </c>
      <c r="DF88" s="140">
        <f>DF84+DF86</f>
        <v>20026</v>
      </c>
      <c r="DG88" s="140">
        <f t="shared" ref="DG88" si="357">DG84+DG86</f>
        <v>22701</v>
      </c>
      <c r="DH88" s="4372">
        <f>DH84+DH86</f>
        <v>22701</v>
      </c>
      <c r="DI88" s="140">
        <f>DI84+DI86</f>
        <v>22894</v>
      </c>
      <c r="DJ88" s="140">
        <f>DJ84+DJ86</f>
        <v>23882</v>
      </c>
      <c r="DK88" s="140">
        <f>DK84+DK86</f>
        <v>29074</v>
      </c>
      <c r="DL88" s="140">
        <f t="shared" ref="DL88" si="358">DL84+DL86</f>
        <v>30588</v>
      </c>
      <c r="DM88" s="4372">
        <f>DM84+DM86</f>
        <v>30588</v>
      </c>
      <c r="DN88" s="140">
        <f>DN84+DN86</f>
        <v>28674</v>
      </c>
      <c r="DO88" s="140">
        <f>DO84+DO86</f>
        <v>30173</v>
      </c>
      <c r="DP88" s="140">
        <f>DP84+DP86</f>
        <v>35114</v>
      </c>
      <c r="DQ88" s="140">
        <f t="shared" ref="DQ88" si="359">DQ80*DQ89</f>
        <v>35972.140487551245</v>
      </c>
      <c r="DR88" s="4372">
        <f>DR84+DR86</f>
        <v>35972.140487551245</v>
      </c>
      <c r="DS88" s="140">
        <f t="shared" ref="DS88:DV88" si="360">DS80*DS89</f>
        <v>34070.096186633222</v>
      </c>
      <c r="DT88" s="140">
        <f t="shared" si="360"/>
        <v>35709.803510136167</v>
      </c>
      <c r="DU88" s="140">
        <f t="shared" si="360"/>
        <v>41235.889211396643</v>
      </c>
      <c r="DV88" s="140">
        <f t="shared" si="360"/>
        <v>42315.535269130116</v>
      </c>
      <c r="DW88" s="4372">
        <f>DW84+DW86</f>
        <v>42315.535269130116</v>
      </c>
      <c r="DX88" s="866">
        <f>DX80*DX89</f>
        <v>48329.151555606935</v>
      </c>
      <c r="DY88" s="866">
        <f>DY80*DY89</f>
        <v>54443.347601101777</v>
      </c>
      <c r="DZ88" s="866">
        <f>DZ80*DZ89</f>
        <v>60536.415561876369</v>
      </c>
      <c r="EA88" s="866">
        <f>EA80*EA89</f>
        <v>66875.438364942645</v>
      </c>
      <c r="EC88" s="3683"/>
      <c r="ED88" s="3683"/>
      <c r="EE88" s="140"/>
    </row>
    <row r="89" spans="1:136" ht="11.25" customHeight="1">
      <c r="A89" s="1590" t="s">
        <v>59</v>
      </c>
      <c r="B89" s="1397"/>
      <c r="C89" s="1397"/>
      <c r="D89" s="1397"/>
      <c r="E89" s="1400"/>
      <c r="F89" s="1397"/>
      <c r="G89" s="1397"/>
      <c r="H89" s="1397"/>
      <c r="I89" s="1400"/>
      <c r="J89" s="838"/>
      <c r="K89" s="1397"/>
      <c r="L89" s="1397"/>
      <c r="M89" s="1400"/>
      <c r="N89" s="838"/>
      <c r="O89" s="1397"/>
      <c r="P89" s="1397"/>
      <c r="Q89" s="1400">
        <f>Q88/Q80</f>
        <v>8.7617567498222276E-2</v>
      </c>
      <c r="R89" s="838"/>
      <c r="S89" s="1397"/>
      <c r="T89" s="1397"/>
      <c r="U89" s="1400">
        <f t="shared" ref="U89:AW89" si="361">U88/U80</f>
        <v>0.22356238105057488</v>
      </c>
      <c r="V89" s="1405">
        <f t="shared" si="361"/>
        <v>0.18428830779174032</v>
      </c>
      <c r="W89" s="1405">
        <f t="shared" si="361"/>
        <v>0.20864506188885054</v>
      </c>
      <c r="X89" s="1405">
        <f t="shared" si="361"/>
        <v>0.24950147816941592</v>
      </c>
      <c r="Y89" s="1400">
        <f t="shared" si="361"/>
        <v>0.29803469905612334</v>
      </c>
      <c r="Z89" s="1405">
        <f t="shared" si="361"/>
        <v>0.28886045080652162</v>
      </c>
      <c r="AA89" s="1405">
        <f t="shared" si="361"/>
        <v>0.26078018367174993</v>
      </c>
      <c r="AB89" s="1405">
        <f t="shared" si="361"/>
        <v>0.21846932333379748</v>
      </c>
      <c r="AC89" s="1400">
        <f t="shared" si="361"/>
        <v>0.19102245316830885</v>
      </c>
      <c r="AD89" s="1405">
        <f t="shared" si="361"/>
        <v>0.19992371094022995</v>
      </c>
      <c r="AE89" s="1405">
        <f t="shared" si="361"/>
        <v>0.20960695030978582</v>
      </c>
      <c r="AF89" s="1405">
        <f t="shared" si="361"/>
        <v>0.24912666694915123</v>
      </c>
      <c r="AG89" s="1400">
        <f t="shared" si="361"/>
        <v>0.25038791325093729</v>
      </c>
      <c r="AH89" s="1405">
        <f t="shared" si="361"/>
        <v>0.29398461325774267</v>
      </c>
      <c r="AI89" s="1405">
        <f t="shared" si="361"/>
        <v>0.32040819772751972</v>
      </c>
      <c r="AJ89" s="1405">
        <f t="shared" si="361"/>
        <v>0.29163243618180801</v>
      </c>
      <c r="AK89" s="1400">
        <f t="shared" si="361"/>
        <v>0.26454021639480763</v>
      </c>
      <c r="AL89" s="1405">
        <f t="shared" si="361"/>
        <v>0.28212924488446106</v>
      </c>
      <c r="AM89" s="1405">
        <f t="shared" si="361"/>
        <v>0.38831181907474299</v>
      </c>
      <c r="AN89" s="1405">
        <f t="shared" si="361"/>
        <v>0.38506543818436384</v>
      </c>
      <c r="AO89" s="1400">
        <f t="shared" si="361"/>
        <v>0.43579144341155768</v>
      </c>
      <c r="AP89" s="1405">
        <f t="shared" si="361"/>
        <v>0.43857398546045578</v>
      </c>
      <c r="AQ89" s="1405">
        <f t="shared" si="361"/>
        <v>0.39264826541948322</v>
      </c>
      <c r="AR89" s="1405">
        <f t="shared" si="361"/>
        <v>0.36000995689196552</v>
      </c>
      <c r="AS89" s="1400">
        <f t="shared" si="361"/>
        <v>0.30583699900200667</v>
      </c>
      <c r="AT89" s="1405">
        <f t="shared" si="361"/>
        <v>0.40185624012638232</v>
      </c>
      <c r="AU89" s="1405">
        <f t="shared" si="361"/>
        <v>0.45479559748427673</v>
      </c>
      <c r="AV89" s="1405">
        <f t="shared" si="361"/>
        <v>0.52855318372559756</v>
      </c>
      <c r="AW89" s="1400">
        <f t="shared" si="361"/>
        <v>0.43682310469314078</v>
      </c>
      <c r="AX89" s="1406">
        <f>AX88/AX80</f>
        <v>0.37983784610677679</v>
      </c>
      <c r="AY89" s="1405">
        <f>AY88/AY80</f>
        <v>0.40673799884326201</v>
      </c>
      <c r="AZ89" s="1405">
        <f>AZ88/AZ80</f>
        <v>0.40466045272969375</v>
      </c>
      <c r="BA89" s="1400">
        <f>BA88/BA80</f>
        <v>0.36746987951807231</v>
      </c>
      <c r="BB89" s="1406">
        <f t="shared" ref="BB89:BG89" si="362">BB88/BB80</f>
        <v>0.36791641057160418</v>
      </c>
      <c r="BC89" s="1405">
        <f t="shared" si="362"/>
        <v>0.58309421329507416</v>
      </c>
      <c r="BD89" s="1405">
        <f t="shared" si="362"/>
        <v>0.53060758337140246</v>
      </c>
      <c r="BE89" s="1400">
        <f t="shared" si="362"/>
        <v>0.4216793893129771</v>
      </c>
      <c r="BF89" s="1406">
        <f t="shared" si="362"/>
        <v>0.45750325357893684</v>
      </c>
      <c r="BG89" s="1405">
        <f t="shared" si="362"/>
        <v>0.46235387358827024</v>
      </c>
      <c r="BH89" s="1405">
        <f t="shared" ref="BH89:BO89" si="363">BH88/BH80</f>
        <v>0.38378779447226857</v>
      </c>
      <c r="BI89" s="2568">
        <f t="shared" si="363"/>
        <v>0.38743244333306442</v>
      </c>
      <c r="BJ89" s="1328">
        <f>BJ88/BJ80</f>
        <v>0.11102378585793209</v>
      </c>
      <c r="BK89" s="2568">
        <f t="shared" si="363"/>
        <v>0.63414834263209718</v>
      </c>
      <c r="BL89" s="1405">
        <f t="shared" si="363"/>
        <v>0.60756594534828623</v>
      </c>
      <c r="BM89" s="1405">
        <f t="shared" si="363"/>
        <v>0.62982922201138525</v>
      </c>
      <c r="BN89" s="1400">
        <f t="shared" si="363"/>
        <v>0.46205896568390525</v>
      </c>
      <c r="BO89" s="1328">
        <f t="shared" si="363"/>
        <v>0.12745695566052109</v>
      </c>
      <c r="BP89" s="1406">
        <f t="shared" ref="BP89:BV89" si="364">BP88/BP80</f>
        <v>0.52583914324732262</v>
      </c>
      <c r="BQ89" s="1405">
        <f t="shared" si="364"/>
        <v>0.44961672473867598</v>
      </c>
      <c r="BR89" s="1405">
        <f t="shared" si="364"/>
        <v>0.39823945992454829</v>
      </c>
      <c r="BS89" s="1400">
        <f t="shared" si="364"/>
        <v>0.33744355679055227</v>
      </c>
      <c r="BT89" s="1328">
        <f t="shared" si="364"/>
        <v>9.6115160109487854E-2</v>
      </c>
      <c r="BU89" s="1406">
        <f t="shared" si="364"/>
        <v>0.36529236747829252</v>
      </c>
      <c r="BV89" s="1405">
        <f t="shared" si="364"/>
        <v>0.35897289586305275</v>
      </c>
      <c r="BW89" s="1405">
        <f t="shared" ref="BW89:CO89" si="365">BW88/BW80</f>
        <v>0.31813454485740872</v>
      </c>
      <c r="BX89" s="1405">
        <f t="shared" si="365"/>
        <v>0.30137631975867268</v>
      </c>
      <c r="BY89" s="1328">
        <f t="shared" si="365"/>
        <v>8.7018059581649182E-2</v>
      </c>
      <c r="BZ89" s="1406">
        <f t="shared" si="365"/>
        <v>0.24611102827891257</v>
      </c>
      <c r="CA89" s="2568">
        <f t="shared" si="365"/>
        <v>0.21043070892490082</v>
      </c>
      <c r="CB89" s="2568">
        <f t="shared" si="365"/>
        <v>0.24889986528962729</v>
      </c>
      <c r="CC89" s="1405">
        <f t="shared" si="365"/>
        <v>0.21856761875314035</v>
      </c>
      <c r="CD89" s="1328">
        <f t="shared" si="365"/>
        <v>6.3408945651076992E-2</v>
      </c>
      <c r="CE89" s="1405">
        <f t="shared" si="365"/>
        <v>0.21844074342264061</v>
      </c>
      <c r="CF89" s="1405">
        <f t="shared" si="365"/>
        <v>0.26729427907154019</v>
      </c>
      <c r="CG89" s="1405">
        <f t="shared" si="365"/>
        <v>0.25204359673024523</v>
      </c>
      <c r="CH89" s="1405">
        <f t="shared" si="365"/>
        <v>0.21761934673366834</v>
      </c>
      <c r="CI89" s="1328">
        <f t="shared" si="365"/>
        <v>6.2937698127946376E-2</v>
      </c>
      <c r="CJ89" s="1405">
        <f t="shared" si="365"/>
        <v>0.23586281759896877</v>
      </c>
      <c r="CK89" s="1405">
        <f t="shared" si="365"/>
        <v>0.20693244180912129</v>
      </c>
      <c r="CL89" s="1405">
        <f t="shared" si="365"/>
        <v>0.20976097427974189</v>
      </c>
      <c r="CM89" s="1405">
        <f t="shared" si="365"/>
        <v>0.17975195613988396</v>
      </c>
      <c r="CN89" s="4371">
        <f t="shared" si="365"/>
        <v>5.1256754295428329E-2</v>
      </c>
      <c r="CO89" s="1405">
        <f t="shared" si="365"/>
        <v>0.23475835879787582</v>
      </c>
      <c r="CP89" s="1405">
        <f t="shared" ref="CP89:CU89" si="366">CP88/CP80</f>
        <v>0.26294971996329464</v>
      </c>
      <c r="CQ89" s="1405">
        <f t="shared" si="366"/>
        <v>0.22887889073065487</v>
      </c>
      <c r="CR89" s="1405">
        <f t="shared" si="366"/>
        <v>0.20337267401791867</v>
      </c>
      <c r="CS89" s="4371">
        <f t="shared" si="366"/>
        <v>6.3058851812032135E-2</v>
      </c>
      <c r="CT89" s="1405">
        <f t="shared" si="366"/>
        <v>0.25904565589228545</v>
      </c>
      <c r="CU89" s="1405">
        <f t="shared" si="366"/>
        <v>0.20360738748994131</v>
      </c>
      <c r="CV89" s="1405">
        <f t="shared" ref="CV89:DC89" si="367">CV88/CV80</f>
        <v>0.19218575158522938</v>
      </c>
      <c r="CW89" s="1405">
        <f t="shared" si="367"/>
        <v>0.20057190862386506</v>
      </c>
      <c r="CX89" s="4371">
        <f t="shared" si="367"/>
        <v>5.8541714803061237E-2</v>
      </c>
      <c r="CY89" s="1405">
        <f t="shared" si="367"/>
        <v>0.22616518805447958</v>
      </c>
      <c r="CZ89" s="1405">
        <f t="shared" si="367"/>
        <v>0.24417532320648674</v>
      </c>
      <c r="DA89" s="5275">
        <f t="shared" si="367"/>
        <v>0.28268082282680823</v>
      </c>
      <c r="DB89" s="1405">
        <f t="shared" si="367"/>
        <v>0.23332224387307321</v>
      </c>
      <c r="DC89" s="4371">
        <f t="shared" si="367"/>
        <v>6.2972195261692912E-2</v>
      </c>
      <c r="DD89" s="1405">
        <f>DD88/DD80</f>
        <v>0.25782729996900078</v>
      </c>
      <c r="DE89" s="1405">
        <f>DE88/DE80</f>
        <v>0.26170106497816875</v>
      </c>
      <c r="DF89" s="5275">
        <f>DF88/DF80</f>
        <v>0.31265710137234393</v>
      </c>
      <c r="DG89" s="1405">
        <f t="shared" ref="DG89" si="368">DG88/DG80</f>
        <v>0.31387921022067361</v>
      </c>
      <c r="DH89" s="4371">
        <f>DH88/DH80</f>
        <v>8.8500163737583237E-2</v>
      </c>
      <c r="DI89" s="1405">
        <f>DI88/DI80</f>
        <v>0.33870371192283227</v>
      </c>
      <c r="DJ89" s="1405">
        <f>DJ88/DJ80</f>
        <v>0.33469273351552098</v>
      </c>
      <c r="DK89" s="5275">
        <f>DK88/DK80</f>
        <v>0.38999852446042199</v>
      </c>
      <c r="DL89" s="1405">
        <f t="shared" ref="DL89" si="369">DL88/DL80</f>
        <v>0.37475649648987391</v>
      </c>
      <c r="DM89" s="4371">
        <f>DM88/DM80</f>
        <v>0.10364667692245136</v>
      </c>
      <c r="DN89" s="1405">
        <f>DN88/DN80</f>
        <v>0.37489213712313363</v>
      </c>
      <c r="DO89" s="1405">
        <f>DO88/DO80</f>
        <v>0.3692106261395201</v>
      </c>
      <c r="DP89" s="5275">
        <f>DP88/DP80</f>
        <v>0.40144049388361724</v>
      </c>
      <c r="DQ89" s="4524">
        <f t="shared" ref="DQ89" si="370">DL89</f>
        <v>0.37475649648987391</v>
      </c>
      <c r="DR89" s="4371">
        <f>DR88/DR80</f>
        <v>0.10528419947429547</v>
      </c>
      <c r="DS89" s="4524">
        <f>DN89</f>
        <v>0.37489213712313363</v>
      </c>
      <c r="DT89" s="4524">
        <f t="shared" ref="DT89" si="371">DO89</f>
        <v>0.3692106261395201</v>
      </c>
      <c r="DU89" s="4524">
        <f t="shared" ref="DU89" si="372">DP89</f>
        <v>0.40144049388361724</v>
      </c>
      <c r="DV89" s="4524">
        <f t="shared" ref="DV89" si="373">DQ89</f>
        <v>0.37475649648987391</v>
      </c>
      <c r="DW89" s="4371">
        <f>DW88/DW80</f>
        <v>0.10494049651411516</v>
      </c>
      <c r="DX89" s="1407">
        <f>DW89</f>
        <v>0.10494049651411516</v>
      </c>
      <c r="DY89" s="1407">
        <f>DX89</f>
        <v>0.10494049651411516</v>
      </c>
      <c r="DZ89" s="1407">
        <f>DY89</f>
        <v>0.10494049651411516</v>
      </c>
      <c r="EA89" s="1407">
        <f>DZ89</f>
        <v>0.10494049651411516</v>
      </c>
      <c r="EC89" s="3683"/>
      <c r="ED89" s="3683"/>
      <c r="EE89" s="3970"/>
    </row>
    <row r="90" spans="1:136" s="45" customFormat="1" ht="11.25" customHeight="1">
      <c r="A90" s="1588" t="s">
        <v>69</v>
      </c>
      <c r="B90" s="133"/>
      <c r="C90" s="133"/>
      <c r="D90" s="133"/>
      <c r="E90" s="840"/>
      <c r="F90" s="133"/>
      <c r="G90" s="133"/>
      <c r="H90" s="133"/>
      <c r="I90" s="840"/>
      <c r="J90" s="835"/>
      <c r="K90" s="133"/>
      <c r="L90" s="133"/>
      <c r="M90" s="840"/>
      <c r="N90" s="133"/>
      <c r="O90" s="133"/>
      <c r="P90" s="133"/>
      <c r="Q90" s="840">
        <f t="shared" ref="Q90:AV90" si="374">+Q29</f>
        <v>9.3940000000000001</v>
      </c>
      <c r="R90" s="1414">
        <f t="shared" si="374"/>
        <v>0</v>
      </c>
      <c r="S90" s="1415">
        <f t="shared" si="374"/>
        <v>0</v>
      </c>
      <c r="T90" s="1415">
        <f t="shared" si="374"/>
        <v>0</v>
      </c>
      <c r="U90" s="840">
        <f t="shared" si="374"/>
        <v>46.174999999999997</v>
      </c>
      <c r="V90" s="140">
        <f t="shared" si="374"/>
        <v>37.780999999999999</v>
      </c>
      <c r="W90" s="140">
        <f t="shared" si="374"/>
        <v>61.83</v>
      </c>
      <c r="X90" s="140">
        <f t="shared" si="374"/>
        <v>49.557000000000002</v>
      </c>
      <c r="Y90" s="840">
        <f t="shared" si="374"/>
        <v>32.671999999999997</v>
      </c>
      <c r="Z90" s="140">
        <f t="shared" si="374"/>
        <v>75.444000000000003</v>
      </c>
      <c r="AA90" s="140">
        <f t="shared" si="374"/>
        <v>105.572</v>
      </c>
      <c r="AB90" s="140">
        <f t="shared" si="374"/>
        <v>87.346000000000004</v>
      </c>
      <c r="AC90" s="840">
        <f t="shared" si="374"/>
        <v>115.575</v>
      </c>
      <c r="AD90" s="140">
        <f t="shared" si="374"/>
        <v>145.911</v>
      </c>
      <c r="AE90" s="140">
        <f t="shared" si="374"/>
        <v>179.441</v>
      </c>
      <c r="AF90" s="140">
        <f t="shared" si="374"/>
        <v>207.34800000000001</v>
      </c>
      <c r="AG90" s="840">
        <f t="shared" si="374"/>
        <v>211.16900000000001</v>
      </c>
      <c r="AH90" s="140">
        <f t="shared" si="374"/>
        <v>181.828</v>
      </c>
      <c r="AI90" s="140">
        <f t="shared" si="374"/>
        <v>136.483</v>
      </c>
      <c r="AJ90" s="140">
        <f t="shared" si="374"/>
        <v>231.88300000000001</v>
      </c>
      <c r="AK90" s="840">
        <f t="shared" si="374"/>
        <v>282.10599999999999</v>
      </c>
      <c r="AL90" s="140">
        <f t="shared" si="374"/>
        <v>358.12200000000001</v>
      </c>
      <c r="AM90" s="140">
        <f t="shared" si="374"/>
        <v>439.28100000000001</v>
      </c>
      <c r="AN90" s="140">
        <f t="shared" si="374"/>
        <v>240.70599999999999</v>
      </c>
      <c r="AO90" s="840">
        <f t="shared" si="374"/>
        <v>178.00399999999999</v>
      </c>
      <c r="AP90" s="140">
        <f t="shared" si="374"/>
        <v>196.22</v>
      </c>
      <c r="AQ90" s="140">
        <f t="shared" si="374"/>
        <v>221.91399999999999</v>
      </c>
      <c r="AR90" s="140">
        <f t="shared" si="374"/>
        <v>192.74299999999999</v>
      </c>
      <c r="AS90" s="840">
        <f t="shared" si="374"/>
        <v>215.86699999999999</v>
      </c>
      <c r="AT90" s="140">
        <f t="shared" si="374"/>
        <v>329</v>
      </c>
      <c r="AU90" s="140">
        <f t="shared" si="374"/>
        <v>397</v>
      </c>
      <c r="AV90" s="140">
        <f t="shared" si="374"/>
        <v>528</v>
      </c>
      <c r="AW90" s="840">
        <f t="shared" ref="AW90:CB90" si="375">+AW29</f>
        <v>483</v>
      </c>
      <c r="AX90" s="837">
        <f t="shared" si="375"/>
        <v>516</v>
      </c>
      <c r="AY90" s="140">
        <f t="shared" si="375"/>
        <v>567</v>
      </c>
      <c r="AZ90" s="140">
        <f t="shared" si="375"/>
        <v>563</v>
      </c>
      <c r="BA90" s="840">
        <f t="shared" si="375"/>
        <v>588</v>
      </c>
      <c r="BB90" s="837">
        <f t="shared" si="375"/>
        <v>760</v>
      </c>
      <c r="BC90" s="226">
        <f t="shared" si="375"/>
        <v>2419</v>
      </c>
      <c r="BD90" s="226">
        <f t="shared" si="375"/>
        <v>2233</v>
      </c>
      <c r="BE90" s="840">
        <f t="shared" si="375"/>
        <v>2012</v>
      </c>
      <c r="BF90" s="837">
        <f t="shared" si="375"/>
        <v>2094</v>
      </c>
      <c r="BG90" s="226">
        <f t="shared" si="375"/>
        <v>1758</v>
      </c>
      <c r="BH90" s="226">
        <f t="shared" si="375"/>
        <v>2124</v>
      </c>
      <c r="BI90" s="226">
        <f t="shared" si="375"/>
        <v>2453</v>
      </c>
      <c r="BJ90" s="1329">
        <f t="shared" si="375"/>
        <v>2453</v>
      </c>
      <c r="BK90" s="140">
        <f t="shared" si="375"/>
        <v>1623</v>
      </c>
      <c r="BL90" s="226">
        <f t="shared" si="375"/>
        <v>1345</v>
      </c>
      <c r="BM90" s="226">
        <f t="shared" si="375"/>
        <v>1368</v>
      </c>
      <c r="BN90" s="840">
        <f t="shared" si="375"/>
        <v>1715</v>
      </c>
      <c r="BO90" s="1329">
        <f t="shared" si="375"/>
        <v>1715</v>
      </c>
      <c r="BP90" s="837">
        <f t="shared" si="375"/>
        <v>1688</v>
      </c>
      <c r="BQ90" s="226">
        <f t="shared" si="375"/>
        <v>1315</v>
      </c>
      <c r="BR90" s="226">
        <f t="shared" si="375"/>
        <v>1549</v>
      </c>
      <c r="BS90" s="840">
        <f t="shared" si="375"/>
        <v>1931</v>
      </c>
      <c r="BT90" s="1329">
        <f t="shared" si="375"/>
        <v>1931</v>
      </c>
      <c r="BU90" s="837">
        <f t="shared" si="375"/>
        <v>1667</v>
      </c>
      <c r="BV90" s="226">
        <f t="shared" si="375"/>
        <v>1716</v>
      </c>
      <c r="BW90" s="226">
        <f t="shared" si="375"/>
        <v>2175</v>
      </c>
      <c r="BX90" s="226">
        <f t="shared" si="375"/>
        <v>2041</v>
      </c>
      <c r="BY90" s="1329">
        <f t="shared" si="375"/>
        <v>2041</v>
      </c>
      <c r="BZ90" s="837">
        <f t="shared" si="375"/>
        <v>2306</v>
      </c>
      <c r="CA90" s="140">
        <f t="shared" si="375"/>
        <v>2488</v>
      </c>
      <c r="CB90" s="140">
        <f t="shared" si="375"/>
        <v>2674</v>
      </c>
      <c r="CC90" s="226">
        <f t="shared" ref="CC90:CQ90" si="376">+CC29</f>
        <v>3137</v>
      </c>
      <c r="CD90" s="1329">
        <f t="shared" si="376"/>
        <v>3137</v>
      </c>
      <c r="CE90" s="226">
        <f t="shared" si="376"/>
        <v>3526</v>
      </c>
      <c r="CF90" s="226">
        <f t="shared" si="376"/>
        <v>3369</v>
      </c>
      <c r="CG90" s="226">
        <f t="shared" si="376"/>
        <v>3789</v>
      </c>
      <c r="CH90" s="226">
        <f t="shared" si="376"/>
        <v>4378</v>
      </c>
      <c r="CI90" s="1329">
        <f t="shared" si="376"/>
        <v>4378</v>
      </c>
      <c r="CJ90" s="226">
        <f t="shared" si="376"/>
        <v>3710</v>
      </c>
      <c r="CK90" s="226">
        <f t="shared" si="376"/>
        <v>3925</v>
      </c>
      <c r="CL90" s="226">
        <f t="shared" si="376"/>
        <v>4142</v>
      </c>
      <c r="CM90" s="226">
        <f t="shared" si="376"/>
        <v>5561</v>
      </c>
      <c r="CN90" s="4374">
        <f t="shared" si="376"/>
        <v>5561</v>
      </c>
      <c r="CO90" s="226">
        <f t="shared" si="376"/>
        <v>4099</v>
      </c>
      <c r="CP90" s="226">
        <f t="shared" si="376"/>
        <v>4064</v>
      </c>
      <c r="CQ90" s="226">
        <f t="shared" si="376"/>
        <v>4391</v>
      </c>
      <c r="CR90" s="226">
        <f t="shared" ref="CR90:CY90" si="377">+CR29</f>
        <v>5589</v>
      </c>
      <c r="CS90" s="4374">
        <f t="shared" si="377"/>
        <v>5589</v>
      </c>
      <c r="CT90" s="226">
        <f t="shared" si="377"/>
        <v>4801</v>
      </c>
      <c r="CU90" s="226">
        <f t="shared" si="377"/>
        <v>4708</v>
      </c>
      <c r="CV90" s="226">
        <f t="shared" si="377"/>
        <v>4616</v>
      </c>
      <c r="CW90" s="226">
        <f t="shared" si="377"/>
        <v>6037</v>
      </c>
      <c r="CX90" s="4374">
        <f t="shared" si="377"/>
        <v>6037</v>
      </c>
      <c r="CY90" s="226">
        <f t="shared" si="377"/>
        <v>3436</v>
      </c>
      <c r="CZ90" s="226">
        <f t="shared" ref="CZ90:DF90" si="378">+CZ29</f>
        <v>4409</v>
      </c>
      <c r="DA90" s="226">
        <f t="shared" si="378"/>
        <v>6303</v>
      </c>
      <c r="DB90" s="226">
        <f t="shared" si="378"/>
        <v>5128</v>
      </c>
      <c r="DC90" s="4374">
        <f t="shared" si="378"/>
        <v>5128</v>
      </c>
      <c r="DD90" s="226">
        <f t="shared" si="378"/>
        <v>4184</v>
      </c>
      <c r="DE90" s="226">
        <f t="shared" si="378"/>
        <v>5313</v>
      </c>
      <c r="DF90" s="226">
        <f t="shared" si="378"/>
        <v>5803</v>
      </c>
      <c r="DG90" s="226">
        <f t="shared" ref="DG90" si="379">+DG29</f>
        <v>7493</v>
      </c>
      <c r="DH90" s="4374">
        <f>+DH29</f>
        <v>7493</v>
      </c>
      <c r="DI90" s="226">
        <f t="shared" ref="DI90:DL90" si="380">+DI29</f>
        <v>6198</v>
      </c>
      <c r="DJ90" s="226">
        <f t="shared" si="380"/>
        <v>6092</v>
      </c>
      <c r="DK90" s="226">
        <f t="shared" si="380"/>
        <v>7049</v>
      </c>
      <c r="DL90" s="226">
        <f t="shared" si="380"/>
        <v>7987</v>
      </c>
      <c r="DM90" s="4374">
        <f>+DM29</f>
        <v>7987</v>
      </c>
      <c r="DN90" s="226">
        <f t="shared" ref="DN90:DP90" si="381">+DN29</f>
        <v>8497</v>
      </c>
      <c r="DO90" s="226">
        <f t="shared" si="381"/>
        <v>8347</v>
      </c>
      <c r="DP90" s="226">
        <f t="shared" si="381"/>
        <v>10546</v>
      </c>
      <c r="DQ90" s="226">
        <f t="shared" ref="DQ90" si="382">DQ80*DQ92</f>
        <v>9392.8823745936916</v>
      </c>
      <c r="DR90" s="4374">
        <f>+DR29</f>
        <v>9392.8823745936916</v>
      </c>
      <c r="DS90" s="226">
        <f t="shared" ref="DS90:DV90" si="383">DS80*DS92</f>
        <v>10096.031502330421</v>
      </c>
      <c r="DT90" s="226">
        <f t="shared" si="383"/>
        <v>9878.690547811173</v>
      </c>
      <c r="DU90" s="226">
        <f t="shared" si="383"/>
        <v>12384.62401388019</v>
      </c>
      <c r="DV90" s="226">
        <f t="shared" si="383"/>
        <v>11049.240885136074</v>
      </c>
      <c r="DW90" s="4374">
        <f>+DW29</f>
        <v>11049.240885136074</v>
      </c>
      <c r="DX90" s="869">
        <f>+DX80*DX92</f>
        <v>12619.489128894749</v>
      </c>
      <c r="DY90" s="869">
        <f>+DY80*DY92</f>
        <v>14216.000303713872</v>
      </c>
      <c r="DZ90" s="869">
        <f>+DZ80*DZ92</f>
        <v>15806.994608758552</v>
      </c>
      <c r="EA90" s="869">
        <f>+EA80*EA92</f>
        <v>17462.21152807627</v>
      </c>
      <c r="EC90" s="3683"/>
      <c r="ED90" s="3683"/>
      <c r="EE90" s="226"/>
    </row>
    <row r="91" spans="1:136" s="45" customFormat="1" ht="11.25" customHeight="1">
      <c r="A91" s="1588" t="s">
        <v>60</v>
      </c>
      <c r="B91" s="133"/>
      <c r="C91" s="133"/>
      <c r="D91" s="133"/>
      <c r="E91" s="706"/>
      <c r="F91" s="133"/>
      <c r="G91" s="133"/>
      <c r="H91" s="133"/>
      <c r="I91" s="706"/>
      <c r="J91" s="134"/>
      <c r="K91" s="133"/>
      <c r="L91" s="133"/>
      <c r="M91" s="706"/>
      <c r="N91" s="133"/>
      <c r="O91" s="133"/>
      <c r="P91" s="133"/>
      <c r="Q91" s="836">
        <f t="shared" ref="Q91:AW91" si="384">((Q90*365)/Q80)/4</f>
        <v>6.2839690347552617</v>
      </c>
      <c r="R91" s="134">
        <f t="shared" si="384"/>
        <v>0</v>
      </c>
      <c r="S91" s="133">
        <f t="shared" si="384"/>
        <v>0</v>
      </c>
      <c r="T91" s="133">
        <f t="shared" si="384"/>
        <v>0</v>
      </c>
      <c r="U91" s="836">
        <f t="shared" si="384"/>
        <v>14.243401370432597</v>
      </c>
      <c r="V91" s="135">
        <f t="shared" si="384"/>
        <v>9.0576091440041395</v>
      </c>
      <c r="W91" s="135">
        <f t="shared" si="384"/>
        <v>13.332421581462174</v>
      </c>
      <c r="X91" s="135">
        <f t="shared" si="384"/>
        <v>8.9904435899933794</v>
      </c>
      <c r="Y91" s="836">
        <f t="shared" si="384"/>
        <v>4.5600365865036796</v>
      </c>
      <c r="Z91" s="135">
        <f t="shared" si="384"/>
        <v>8.6626236773460477</v>
      </c>
      <c r="AA91" s="135">
        <f t="shared" si="384"/>
        <v>10.82196759064229</v>
      </c>
      <c r="AB91" s="135">
        <f t="shared" si="384"/>
        <v>7.6010483681772154</v>
      </c>
      <c r="AC91" s="836">
        <f t="shared" si="384"/>
        <v>8.1744001869547152</v>
      </c>
      <c r="AD91" s="135">
        <f t="shared" si="384"/>
        <v>8.6964164063280709</v>
      </c>
      <c r="AE91" s="135">
        <f t="shared" si="384"/>
        <v>9.7999028328401678</v>
      </c>
      <c r="AF91" s="135">
        <f t="shared" si="384"/>
        <v>10.148258777982731</v>
      </c>
      <c r="AG91" s="836">
        <f t="shared" si="384"/>
        <v>8.6413489739358162</v>
      </c>
      <c r="AH91" s="135">
        <f t="shared" si="384"/>
        <v>6.5349364439240167</v>
      </c>
      <c r="AI91" s="135">
        <f t="shared" si="384"/>
        <v>4.5718592423401434</v>
      </c>
      <c r="AJ91" s="135">
        <f>((AJ90*365)/AJ80)/4</f>
        <v>7.0291362191140818</v>
      </c>
      <c r="AK91" s="836">
        <f t="shared" si="384"/>
        <v>7.6005900737112349</v>
      </c>
      <c r="AL91" s="135">
        <f t="shared" si="384"/>
        <v>8.8328768948705818</v>
      </c>
      <c r="AM91" s="135">
        <f t="shared" si="384"/>
        <v>10.295916413406649</v>
      </c>
      <c r="AN91" s="135">
        <f t="shared" si="384"/>
        <v>5.428427642334694</v>
      </c>
      <c r="AO91" s="836">
        <f t="shared" si="384"/>
        <v>3.8512816293548666</v>
      </c>
      <c r="AP91" s="135">
        <f t="shared" si="384"/>
        <v>4.3960086225733672</v>
      </c>
      <c r="AQ91" s="135">
        <f t="shared" si="384"/>
        <v>4.9759033139593321</v>
      </c>
      <c r="AR91" s="135">
        <f t="shared" si="384"/>
        <v>4.3218117488867911</v>
      </c>
      <c r="AS91" s="836">
        <f t="shared" si="384"/>
        <v>3.9770051175675691</v>
      </c>
      <c r="AT91" s="135">
        <f t="shared" si="384"/>
        <v>5.9283669036334912</v>
      </c>
      <c r="AU91" s="135">
        <f t="shared" si="384"/>
        <v>7.1199390723270444</v>
      </c>
      <c r="AV91" s="135">
        <f t="shared" si="384"/>
        <v>8.7903667214012042</v>
      </c>
      <c r="AW91" s="836">
        <f t="shared" si="384"/>
        <v>6.9178700361010828</v>
      </c>
      <c r="AX91" s="517">
        <f>((AX90*365)/AX80)/4</f>
        <v>7.2028453418999545</v>
      </c>
      <c r="AY91" s="135">
        <f>((AY90*365)/AY80)/4</f>
        <v>7.4810222672064777</v>
      </c>
      <c r="AZ91" s="135">
        <f>((AZ90*365)/AZ80)/4</f>
        <v>6.8407123834886816</v>
      </c>
      <c r="BA91" s="836">
        <f>((BA90*365)/BA80)/4</f>
        <v>6.596385542168675</v>
      </c>
      <c r="BB91" s="517">
        <f t="shared" ref="BB91:BG91" si="385">((BB90*365)/BB80)/4</f>
        <v>8.5248924400737547</v>
      </c>
      <c r="BC91" s="135">
        <f t="shared" si="385"/>
        <v>26.390931372549019</v>
      </c>
      <c r="BD91" s="135">
        <f t="shared" si="385"/>
        <v>23.271042713567841</v>
      </c>
      <c r="BE91" s="836">
        <f t="shared" si="385"/>
        <v>18.686513994910943</v>
      </c>
      <c r="BF91" s="517">
        <f t="shared" si="385"/>
        <v>19.12879167083792</v>
      </c>
      <c r="BG91" s="135">
        <f t="shared" si="385"/>
        <v>15.892361799088567</v>
      </c>
      <c r="BH91" s="135">
        <f>((BH90*365)/BH80)/4</f>
        <v>17.975792988313856</v>
      </c>
      <c r="BI91" s="135">
        <f>((BI90*365)/BI80)/4</f>
        <v>18.055678793256433</v>
      </c>
      <c r="BJ91" s="1418">
        <f>((BJ90*365)/BJ80)</f>
        <v>20.696354684357736</v>
      </c>
      <c r="BK91" s="135">
        <f>((BK90*365)/BK80)/4</f>
        <v>12.151193797177552</v>
      </c>
      <c r="BL91" s="135">
        <f>((BL90*365)/BL80)/4</f>
        <v>9.692880271679039</v>
      </c>
      <c r="BM91" s="135">
        <f t="shared" ref="BM91:BS91" si="386">((BM90*365)/BM80)/4</f>
        <v>9.474762808349146</v>
      </c>
      <c r="BN91" s="836">
        <f t="shared" si="386"/>
        <v>10.805340744320928</v>
      </c>
      <c r="BO91" s="1418">
        <f>((BO90*365)/BO80)</f>
        <v>11.92242495809843</v>
      </c>
      <c r="BP91" s="517">
        <f t="shared" si="386"/>
        <v>11.070940846690146</v>
      </c>
      <c r="BQ91" s="135">
        <f t="shared" si="386"/>
        <v>8.3619337979094084</v>
      </c>
      <c r="BR91" s="135">
        <f t="shared" si="386"/>
        <v>9.3551029187901253</v>
      </c>
      <c r="BS91" s="836">
        <f t="shared" si="386"/>
        <v>10.200518119717495</v>
      </c>
      <c r="BT91" s="1418">
        <f>((BT90*365)/BT80)</f>
        <v>11.621788741219536</v>
      </c>
      <c r="BU91" s="517">
        <f>((BU90*365)/BU80)/4</f>
        <v>9.236368328374521</v>
      </c>
      <c r="BV91" s="135">
        <f>((BV90*365)/BV80)/4</f>
        <v>8.9349500713266767</v>
      </c>
      <c r="BW91" s="135">
        <f>((BW90*365)/BW80)/4</f>
        <v>10.863689857135038</v>
      </c>
      <c r="BX91" s="135">
        <f>((BX90*365)/BX80)/4</f>
        <v>8.7783394607843146</v>
      </c>
      <c r="BY91" s="1418">
        <f>((BY90*365)/BY80)</f>
        <v>10.138474938417779</v>
      </c>
      <c r="BZ91" s="517">
        <f>((BZ90*365)/BZ80)/4</f>
        <v>10.457854977386809</v>
      </c>
      <c r="CA91" s="135">
        <f>((CA90*365)/CA80)/4</f>
        <v>10.852813231990057</v>
      </c>
      <c r="CB91" s="135">
        <f>((CB90*365)/CB80)/4</f>
        <v>10.95655590480467</v>
      </c>
      <c r="CC91" s="135">
        <f>((CC90*365)/CC80)/4</f>
        <v>11.063705407181232</v>
      </c>
      <c r="CD91" s="1418">
        <f>((CD90*365)/CD80)</f>
        <v>12.838825785183275</v>
      </c>
      <c r="CE91" s="135">
        <f>((CE90*365)/CE80)/4</f>
        <v>12.943418617748813</v>
      </c>
      <c r="CF91" s="135">
        <f>((CF90*365)/CF80)/4</f>
        <v>11.717088462857797</v>
      </c>
      <c r="CG91" s="135">
        <f>((CG90*365)/CG80)/4</f>
        <v>12.730917225127035</v>
      </c>
      <c r="CH91" s="135">
        <f>((CH90*365)/CH80)/4</f>
        <v>12.546875</v>
      </c>
      <c r="CI91" s="1418">
        <f>((CI90*365)/CI80)</f>
        <v>14.514728456850118</v>
      </c>
      <c r="CJ91" s="135">
        <f>((CJ90*365)/CJ80)/4</f>
        <v>11.484022524508973</v>
      </c>
      <c r="CK91" s="135">
        <f>((CK90*365)/CK80)/4</f>
        <v>11.296166340755693</v>
      </c>
      <c r="CL91" s="135">
        <f>((CL90*365)/CL80)/4</f>
        <v>11.450134811718016</v>
      </c>
      <c r="CM91" s="135">
        <f>((CM90*365)/CM80)/4</f>
        <v>13.505116569968596</v>
      </c>
      <c r="CN91" s="4375">
        <f>((CN90*365)/CN80)</f>
        <v>15.404081415821747</v>
      </c>
      <c r="CO91" s="135">
        <f>((CO90*365)/CO80)/4</f>
        <v>11.096619396564511</v>
      </c>
      <c r="CP91" s="135">
        <f>((CP90*365)/CP80)/4</f>
        <v>11.734329019396892</v>
      </c>
      <c r="CQ91" s="135">
        <f>((CQ90*365)/CQ80)/4</f>
        <v>10.54223564080301</v>
      </c>
      <c r="CR91" s="135">
        <f>((CR90*365)/CR80)/4</f>
        <v>10.983723509648518</v>
      </c>
      <c r="CS91" s="4375">
        <f>((CS90*365)/CS80)</f>
        <v>13.622695310152322</v>
      </c>
      <c r="CT91" s="135">
        <f>((CT90*365)/CT80)/4</f>
        <v>9.6068429016271217</v>
      </c>
      <c r="CU91" s="135">
        <f>((CU90*365)/CU80)/4</f>
        <v>8.431728523483347</v>
      </c>
      <c r="CV91" s="135">
        <f>((CV90*365)/CV80)/4</f>
        <v>7.8554643789630738</v>
      </c>
      <c r="CW91" s="135">
        <f>((CW90*365)/CW80)/4</f>
        <v>8.8997423180070445</v>
      </c>
      <c r="CX91" s="4375">
        <f>((CX90*365)/CX80)</f>
        <v>10.390411701741398</v>
      </c>
      <c r="CY91" s="135">
        <f>((CY90*365)/CY80)/4</f>
        <v>5.5967405080237764</v>
      </c>
      <c r="CZ91" s="135">
        <f>((CZ90*365)/CZ80)/4</f>
        <v>7.0004219519409787</v>
      </c>
      <c r="DA91" s="135">
        <f>((DA90*365)/DA80)/4</f>
        <v>10.043459469842489</v>
      </c>
      <c r="DB91" s="135">
        <f>((DB90*365)/DB80)/4</f>
        <v>7.4129873421732171</v>
      </c>
      <c r="DC91" s="4375">
        <f>((DC90*365)/DC80)</f>
        <v>8.0028732560575673</v>
      </c>
      <c r="DD91" s="135">
        <f>((DD90*365)/DD80)/4</f>
        <v>6.5751041917817652</v>
      </c>
      <c r="DE91" s="135">
        <f>((DE90*365)/DE80)/4</f>
        <v>7.8110952680168202</v>
      </c>
      <c r="DF91" s="135">
        <f>((DF90*365)/DF80)/4</f>
        <v>8.2672206522927034</v>
      </c>
      <c r="DG91" s="135">
        <f>((DG90*365)/DG80)/4</f>
        <v>9.4537947292738238</v>
      </c>
      <c r="DH91" s="4375">
        <f>((DH90*365)/DH80)</f>
        <v>10.662221061331421</v>
      </c>
      <c r="DI91" s="135">
        <f>((DI90*365)/DI80)/4</f>
        <v>8.367249567262883</v>
      </c>
      <c r="DJ91" s="135">
        <f>((DJ90*365)/DJ80)/4</f>
        <v>7.7905542708990261</v>
      </c>
      <c r="DK91" s="135">
        <f>((DK90*365)/DK80)/4</f>
        <v>8.628167379844129</v>
      </c>
      <c r="DL91" s="135">
        <f>((DL90*365)/DL80)/4</f>
        <v>8.9292430869506614</v>
      </c>
      <c r="DM91" s="4375">
        <f>((DM90*365)/DM80)</f>
        <v>9.8782690313705022</v>
      </c>
      <c r="DN91" s="135">
        <f>((DN90*365)/DN80)/4</f>
        <v>10.137165625081714</v>
      </c>
      <c r="DO91" s="135">
        <f>((DO90*365)/DO80)/4</f>
        <v>9.3200659545048516</v>
      </c>
      <c r="DP91" s="135">
        <f>((DP90*365)/DP80)/4</f>
        <v>11.001743454898822</v>
      </c>
      <c r="DQ91" s="135">
        <f t="shared" ref="DQ91" si="387">((DQ90*365)/DQ80)/4</f>
        <v>8.9292430869506632</v>
      </c>
      <c r="DR91" s="4375">
        <f>((DR90*365)/DR80)</f>
        <v>10.034336633269168</v>
      </c>
      <c r="DS91" s="135">
        <f t="shared" ref="DS91:DV91" si="388">((DS90*365)/DS80)/4</f>
        <v>10.137165625081714</v>
      </c>
      <c r="DT91" s="135">
        <f t="shared" si="388"/>
        <v>9.3200659545048516</v>
      </c>
      <c r="DU91" s="135">
        <f t="shared" si="388"/>
        <v>11.001743454898822</v>
      </c>
      <c r="DV91" s="135">
        <f t="shared" si="388"/>
        <v>8.9292430869506614</v>
      </c>
      <c r="DW91" s="4375">
        <f>((DW90*365)/DW80)</f>
        <v>10.001579284858662</v>
      </c>
      <c r="DX91" s="1413">
        <f>((DX90*365)/DX80)</f>
        <v>10.001579284858662</v>
      </c>
      <c r="DY91" s="1413">
        <f>((DY90*365)/DY80)</f>
        <v>10.001579284858664</v>
      </c>
      <c r="DZ91" s="1413">
        <f>((DZ90*365)/DZ80)</f>
        <v>10.001579284858664</v>
      </c>
      <c r="EA91" s="1413">
        <f>((EA90*365)/EA80)</f>
        <v>10.001579284858664</v>
      </c>
      <c r="EC91" s="3683"/>
      <c r="ED91" s="3683"/>
      <c r="EE91" s="135"/>
    </row>
    <row r="92" spans="1:136" ht="11.25" customHeight="1">
      <c r="A92" s="1590" t="s">
        <v>59</v>
      </c>
      <c r="B92" s="1397"/>
      <c r="C92" s="1397"/>
      <c r="D92" s="1397"/>
      <c r="E92" s="1400"/>
      <c r="F92" s="1397"/>
      <c r="G92" s="1397"/>
      <c r="H92" s="1397"/>
      <c r="I92" s="1400"/>
      <c r="J92" s="838"/>
      <c r="K92" s="1397"/>
      <c r="L92" s="1397"/>
      <c r="M92" s="1400"/>
      <c r="N92" s="1397"/>
      <c r="O92" s="1397"/>
      <c r="P92" s="1397"/>
      <c r="Q92" s="1400">
        <f t="shared" ref="Q92:W92" si="389">Q90/Q80</f>
        <v>6.8865414079509718E-2</v>
      </c>
      <c r="R92" s="838">
        <f t="shared" si="389"/>
        <v>0</v>
      </c>
      <c r="S92" s="1397">
        <f t="shared" si="389"/>
        <v>0</v>
      </c>
      <c r="T92" s="1397">
        <f t="shared" si="389"/>
        <v>0</v>
      </c>
      <c r="U92" s="1400">
        <f t="shared" si="389"/>
        <v>0.15609206981295998</v>
      </c>
      <c r="V92" s="839">
        <f t="shared" si="389"/>
        <v>9.9261470071278238E-2</v>
      </c>
      <c r="W92" s="1405">
        <f t="shared" si="389"/>
        <v>0.14610872965985944</v>
      </c>
      <c r="X92" s="1405">
        <f t="shared" ref="X92:AC92" si="390">X90/X80</f>
        <v>9.8525409205406908E-2</v>
      </c>
      <c r="Y92" s="1400">
        <f t="shared" si="390"/>
        <v>4.9973003687711556E-2</v>
      </c>
      <c r="Z92" s="839">
        <f t="shared" si="390"/>
        <v>9.4932862217490921E-2</v>
      </c>
      <c r="AA92" s="1405">
        <f t="shared" si="390"/>
        <v>0.11859690510292921</v>
      </c>
      <c r="AB92" s="1405">
        <f t="shared" si="390"/>
        <v>8.329916019920236E-2</v>
      </c>
      <c r="AC92" s="1400">
        <f t="shared" si="390"/>
        <v>8.9582467802243451E-2</v>
      </c>
      <c r="AD92" s="839">
        <f t="shared" ref="AD92:AJ92" si="391">AD90/AD80</f>
        <v>9.5303193494006261E-2</v>
      </c>
      <c r="AE92" s="1405">
        <f t="shared" si="391"/>
        <v>0.10739619542838538</v>
      </c>
      <c r="AF92" s="1405">
        <f t="shared" si="391"/>
        <v>0.111213794827208</v>
      </c>
      <c r="AG92" s="1400">
        <f t="shared" si="391"/>
        <v>9.4699714782858269E-2</v>
      </c>
      <c r="AH92" s="839">
        <f t="shared" si="391"/>
        <v>7.1615741851222103E-2</v>
      </c>
      <c r="AI92" s="1405">
        <f t="shared" si="391"/>
        <v>5.0102567039344043E-2</v>
      </c>
      <c r="AJ92" s="1405">
        <f t="shared" si="391"/>
        <v>7.7031629798510484E-2</v>
      </c>
      <c r="AK92" s="1400">
        <f t="shared" ref="AK92:AP92" si="392">AK90/AK80</f>
        <v>8.3294137794095724E-2</v>
      </c>
      <c r="AL92" s="839">
        <f t="shared" si="392"/>
        <v>9.6798650902691311E-2</v>
      </c>
      <c r="AM92" s="1405">
        <f t="shared" si="392"/>
        <v>0.11283196069486739</v>
      </c>
      <c r="AN92" s="1405">
        <f t="shared" si="392"/>
        <v>5.9489617998188422E-2</v>
      </c>
      <c r="AO92" s="1400">
        <f t="shared" si="392"/>
        <v>4.2205826075121827E-2</v>
      </c>
      <c r="AP92" s="839">
        <f t="shared" si="392"/>
        <v>4.8175436959708134E-2</v>
      </c>
      <c r="AQ92" s="1405">
        <f t="shared" ref="AQ92:AV92" si="393">AQ90/AQ80</f>
        <v>5.4530447276266651E-2</v>
      </c>
      <c r="AR92" s="1405">
        <f t="shared" si="393"/>
        <v>4.7362320535745663E-2</v>
      </c>
      <c r="AS92" s="1400">
        <f t="shared" si="393"/>
        <v>4.358361772676788E-2</v>
      </c>
      <c r="AT92" s="839">
        <f t="shared" si="393"/>
        <v>6.4968404423380727E-2</v>
      </c>
      <c r="AU92" s="1405">
        <f t="shared" si="393"/>
        <v>7.8026729559748431E-2</v>
      </c>
      <c r="AV92" s="1405">
        <f t="shared" si="393"/>
        <v>9.63327859879584E-2</v>
      </c>
      <c r="AW92" s="1400">
        <f>AW90/AW80</f>
        <v>7.5812274368231042E-2</v>
      </c>
      <c r="AX92" s="1406">
        <f>AX90/AX80</f>
        <v>7.8935291418081685E-2</v>
      </c>
      <c r="AY92" s="1405">
        <f>AY90/AY80</f>
        <v>8.1983805668016191E-2</v>
      </c>
      <c r="AZ92" s="1405">
        <f>AZ90/AZ80</f>
        <v>7.4966711051930757E-2</v>
      </c>
      <c r="BA92" s="1400">
        <f>BA90/BA80</f>
        <v>7.2289156626506021E-2</v>
      </c>
      <c r="BB92" s="1406">
        <f t="shared" ref="BB92:BG92" si="394">BB90/BB80</f>
        <v>9.3423478795328821E-2</v>
      </c>
      <c r="BC92" s="1405">
        <f t="shared" si="394"/>
        <v>0.28921568627450983</v>
      </c>
      <c r="BD92" s="1405">
        <f t="shared" si="394"/>
        <v>0.25502512562814073</v>
      </c>
      <c r="BE92" s="1400">
        <f t="shared" si="394"/>
        <v>0.20478371501272263</v>
      </c>
      <c r="BF92" s="1406">
        <f t="shared" si="394"/>
        <v>0.20963059365301831</v>
      </c>
      <c r="BG92" s="1405">
        <f t="shared" si="394"/>
        <v>0.17416286903110759</v>
      </c>
      <c r="BH92" s="1405">
        <f t="shared" ref="BH92:BO92" si="395">BH90/BH80</f>
        <v>0.19699499165275458</v>
      </c>
      <c r="BI92" s="2568">
        <f t="shared" si="395"/>
        <v>0.19787045252883761</v>
      </c>
      <c r="BJ92" s="1328">
        <f>BJ90/BJ80</f>
        <v>5.6702341600980095E-2</v>
      </c>
      <c r="BK92" s="2568">
        <f t="shared" si="395"/>
        <v>0.13316376764030194</v>
      </c>
      <c r="BL92" s="1405">
        <f t="shared" si="395"/>
        <v>0.10622334544305796</v>
      </c>
      <c r="BM92" s="1405">
        <f t="shared" si="395"/>
        <v>0.10383301707779886</v>
      </c>
      <c r="BN92" s="1400">
        <f t="shared" si="395"/>
        <v>0.11841469308844853</v>
      </c>
      <c r="BO92" s="1328">
        <f t="shared" si="395"/>
        <v>3.266417796739296E-2</v>
      </c>
      <c r="BP92" s="1406">
        <f t="shared" ref="BP92:BV92" si="396">BP90/BP80</f>
        <v>0.12132537914180982</v>
      </c>
      <c r="BQ92" s="1405">
        <f t="shared" si="396"/>
        <v>9.1637630662020908E-2</v>
      </c>
      <c r="BR92" s="1405">
        <f t="shared" si="396"/>
        <v>0.10252167582235754</v>
      </c>
      <c r="BS92" s="1400">
        <f t="shared" si="396"/>
        <v>0.11178649994210953</v>
      </c>
      <c r="BT92" s="1328">
        <f t="shared" si="396"/>
        <v>3.1840517099231608E-2</v>
      </c>
      <c r="BU92" s="1406">
        <f t="shared" si="396"/>
        <v>0.10122047483150161</v>
      </c>
      <c r="BV92" s="1405">
        <f t="shared" si="396"/>
        <v>9.7917261055634808E-2</v>
      </c>
      <c r="BW92" s="1405">
        <f t="shared" ref="BW92:CO92" si="397">BW90/BW80</f>
        <v>0.11905413542065794</v>
      </c>
      <c r="BX92" s="1405">
        <f t="shared" si="397"/>
        <v>9.6200980392156868E-2</v>
      </c>
      <c r="BY92" s="1328">
        <f t="shared" si="397"/>
        <v>2.7776643666898027E-2</v>
      </c>
      <c r="BZ92" s="1406">
        <f t="shared" si="397"/>
        <v>0.11460662988917052</v>
      </c>
      <c r="CA92" s="2568">
        <f t="shared" si="397"/>
        <v>0.11893493952865816</v>
      </c>
      <c r="CB92" s="2568">
        <f t="shared" si="397"/>
        <v>0.12007184553210597</v>
      </c>
      <c r="CC92" s="1405">
        <f t="shared" si="397"/>
        <v>0.12124608665404089</v>
      </c>
      <c r="CD92" s="1328">
        <f t="shared" si="397"/>
        <v>3.5174865164885681E-2</v>
      </c>
      <c r="CE92" s="1405">
        <f t="shared" si="397"/>
        <v>0.14184568348217877</v>
      </c>
      <c r="CF92" s="1405">
        <f t="shared" si="397"/>
        <v>0.12840644890803066</v>
      </c>
      <c r="CG92" s="1405">
        <f t="shared" si="397"/>
        <v>0.13951690109728257</v>
      </c>
      <c r="CH92" s="1405">
        <f t="shared" si="397"/>
        <v>0.13750000000000001</v>
      </c>
      <c r="CI92" s="1328">
        <f t="shared" si="397"/>
        <v>3.9766379333835936E-2</v>
      </c>
      <c r="CJ92" s="1405">
        <f t="shared" si="397"/>
        <v>0.12585230163845448</v>
      </c>
      <c r="CK92" s="1405">
        <f t="shared" si="397"/>
        <v>0.12379360373430896</v>
      </c>
      <c r="CL92" s="1405">
        <f t="shared" si="397"/>
        <v>0.1254809294434851</v>
      </c>
      <c r="CM92" s="1405">
        <f t="shared" si="397"/>
        <v>0.14800127747910791</v>
      </c>
      <c r="CN92" s="4371">
        <f t="shared" si="397"/>
        <v>4.2202962783073283E-2</v>
      </c>
      <c r="CO92" s="1405">
        <f t="shared" si="397"/>
        <v>0.12160678790755629</v>
      </c>
      <c r="CP92" s="1405">
        <f t="shared" ref="CP92:CU92" si="398">CP90/CP80</f>
        <v>0.12859538651393854</v>
      </c>
      <c r="CQ92" s="1405">
        <f t="shared" si="398"/>
        <v>0.11553134948825217</v>
      </c>
      <c r="CR92" s="1405">
        <f t="shared" si="398"/>
        <v>0.12036957270847691</v>
      </c>
      <c r="CS92" s="4371">
        <f t="shared" si="398"/>
        <v>3.7322452904526911E-2</v>
      </c>
      <c r="CT92" s="1405">
        <f t="shared" si="398"/>
        <v>0.10528047015481777</v>
      </c>
      <c r="CU92" s="1405">
        <f t="shared" si="398"/>
        <v>9.240250436694078E-2</v>
      </c>
      <c r="CV92" s="1405">
        <f t="shared" ref="CV92:DC92" si="399">CV90/CV80</f>
        <v>8.6087280865348753E-2</v>
      </c>
      <c r="CW92" s="1405">
        <f t="shared" si="399"/>
        <v>9.7531422663090894E-2</v>
      </c>
      <c r="CX92" s="4371">
        <f t="shared" si="399"/>
        <v>2.8466881374633966E-2</v>
      </c>
      <c r="CY92" s="1405">
        <f t="shared" si="399"/>
        <v>6.1334142553685224E-2</v>
      </c>
      <c r="CZ92" s="1405">
        <f t="shared" si="399"/>
        <v>7.6716952897983332E-2</v>
      </c>
      <c r="DA92" s="5275">
        <f t="shared" si="399"/>
        <v>0.11006530925854784</v>
      </c>
      <c r="DB92" s="1405">
        <f t="shared" si="399"/>
        <v>8.1238217448473621E-2</v>
      </c>
      <c r="DC92" s="4371">
        <f t="shared" si="399"/>
        <v>2.1925680153582379E-2</v>
      </c>
      <c r="DD92" s="1405">
        <f>DD90/DD80</f>
        <v>7.2055936348293326E-2</v>
      </c>
      <c r="DE92" s="1405">
        <f>DE90/DE80</f>
        <v>8.5601044033061041E-2</v>
      </c>
      <c r="DF92" s="5275">
        <f>DF90/DF80</f>
        <v>9.0599678381289905E-2</v>
      </c>
      <c r="DG92" s="1405">
        <f t="shared" ref="DG92" si="400">DG90/DG80</f>
        <v>0.10360322990985012</v>
      </c>
      <c r="DH92" s="4371">
        <f>DH90/DH80</f>
        <v>2.9211564551592933E-2</v>
      </c>
      <c r="DI92" s="1405">
        <f>DI90/DI80</f>
        <v>9.1695885668634319E-2</v>
      </c>
      <c r="DJ92" s="1405">
        <f>DJ90/DJ80</f>
        <v>8.5375937215331793E-2</v>
      </c>
      <c r="DK92" s="5275">
        <f>DK90/DK80</f>
        <v>9.4555258957195937E-2</v>
      </c>
      <c r="DL92" s="1405">
        <f t="shared" ref="DL92" si="401">DL90/DL80</f>
        <v>9.7854718761103146E-2</v>
      </c>
      <c r="DM92" s="4371">
        <f>DM90/DM80</f>
        <v>2.7063750770878088E-2</v>
      </c>
      <c r="DN92" s="1405">
        <f>DN90/DN80</f>
        <v>0.11109222602829276</v>
      </c>
      <c r="DO92" s="1405">
        <f>DO90/DO80</f>
        <v>0.10213770909046413</v>
      </c>
      <c r="DP92" s="5275">
        <f>DP90/DP80</f>
        <v>0.12056705156053504</v>
      </c>
      <c r="DQ92" s="4524">
        <f t="shared" ref="DQ92" si="402">DL92</f>
        <v>9.7854718761103146E-2</v>
      </c>
      <c r="DR92" s="4371">
        <f>DR90/DR80</f>
        <v>2.7491333241833338E-2</v>
      </c>
      <c r="DS92" s="4524">
        <f>DN92</f>
        <v>0.11109222602829276</v>
      </c>
      <c r="DT92" s="4524">
        <f t="shared" ref="DT92" si="403">DO92</f>
        <v>0.10213770909046413</v>
      </c>
      <c r="DU92" s="4524">
        <f t="shared" ref="DU92" si="404">DP92</f>
        <v>0.12056705156053504</v>
      </c>
      <c r="DV92" s="4524">
        <f t="shared" ref="DV92" si="405">DQ92</f>
        <v>9.7854718761103146E-2</v>
      </c>
      <c r="DW92" s="4371">
        <f>DW90/DW80</f>
        <v>2.7401587081804558E-2</v>
      </c>
      <c r="DX92" s="1407">
        <f>DW92</f>
        <v>2.7401587081804558E-2</v>
      </c>
      <c r="DY92" s="1407">
        <f>DX92</f>
        <v>2.7401587081804558E-2</v>
      </c>
      <c r="DZ92" s="1407">
        <f>DY92</f>
        <v>2.7401587081804558E-2</v>
      </c>
      <c r="EA92" s="1407">
        <f>DZ92</f>
        <v>2.7401587081804558E-2</v>
      </c>
      <c r="EC92" s="3683"/>
      <c r="ED92" s="3683"/>
      <c r="EE92" s="3970"/>
    </row>
    <row r="93" spans="1:136" s="45" customFormat="1" ht="11.25" customHeight="1">
      <c r="A93" s="1588" t="s">
        <v>218</v>
      </c>
      <c r="B93" s="133"/>
      <c r="C93" s="133"/>
      <c r="D93" s="133"/>
      <c r="E93" s="840"/>
      <c r="F93" s="133"/>
      <c r="G93" s="133"/>
      <c r="H93" s="133"/>
      <c r="I93" s="840"/>
      <c r="J93" s="835"/>
      <c r="K93" s="133"/>
      <c r="L93" s="133"/>
      <c r="M93" s="840"/>
      <c r="N93" s="133"/>
      <c r="O93" s="133"/>
      <c r="P93" s="133"/>
      <c r="Q93" s="840">
        <f t="shared" ref="Q93:AV93" si="406">+Q30</f>
        <v>14.528</v>
      </c>
      <c r="R93" s="1414">
        <f t="shared" si="406"/>
        <v>0</v>
      </c>
      <c r="S93" s="1415">
        <f t="shared" si="406"/>
        <v>0</v>
      </c>
      <c r="T93" s="1415">
        <f t="shared" si="406"/>
        <v>0</v>
      </c>
      <c r="U93" s="840">
        <f t="shared" si="406"/>
        <v>33.521999999999998</v>
      </c>
      <c r="V93" s="1416">
        <f t="shared" si="406"/>
        <v>23.861999999999998</v>
      </c>
      <c r="W93" s="140">
        <f t="shared" si="406"/>
        <v>33.930999999999997</v>
      </c>
      <c r="X93" s="140">
        <f t="shared" si="406"/>
        <v>53.841000000000001</v>
      </c>
      <c r="Y93" s="840">
        <f t="shared" si="406"/>
        <v>82.631</v>
      </c>
      <c r="Z93" s="1416">
        <f t="shared" si="406"/>
        <v>48.597999999999999</v>
      </c>
      <c r="AA93" s="140">
        <f t="shared" si="406"/>
        <v>69.667000000000002</v>
      </c>
      <c r="AB93" s="140">
        <f t="shared" si="406"/>
        <v>117.416</v>
      </c>
      <c r="AC93" s="840">
        <f t="shared" si="406"/>
        <v>198.78800000000001</v>
      </c>
      <c r="AD93" s="1416">
        <f t="shared" si="406"/>
        <v>118.395</v>
      </c>
      <c r="AE93" s="140">
        <f t="shared" si="406"/>
        <v>150.52600000000001</v>
      </c>
      <c r="AF93" s="140">
        <f t="shared" si="406"/>
        <v>212.59399999999999</v>
      </c>
      <c r="AG93" s="840">
        <f t="shared" si="406"/>
        <v>351.67099999999999</v>
      </c>
      <c r="AH93" s="1416">
        <f t="shared" si="406"/>
        <v>180.708</v>
      </c>
      <c r="AI93" s="140">
        <f t="shared" si="406"/>
        <v>330.95100000000002</v>
      </c>
      <c r="AJ93" s="140">
        <f t="shared" si="406"/>
        <v>496.07299999999998</v>
      </c>
      <c r="AK93" s="840">
        <f t="shared" si="406"/>
        <v>588.39</v>
      </c>
      <c r="AL93" s="1416">
        <f t="shared" si="406"/>
        <v>458.18799999999999</v>
      </c>
      <c r="AM93" s="140">
        <f t="shared" si="406"/>
        <v>493.28399999999999</v>
      </c>
      <c r="AN93" s="140">
        <f t="shared" si="406"/>
        <v>622.65800000000002</v>
      </c>
      <c r="AO93" s="840">
        <f t="shared" si="406"/>
        <v>811.64300000000003</v>
      </c>
      <c r="AP93" s="1416">
        <f t="shared" si="406"/>
        <v>464.899</v>
      </c>
      <c r="AQ93" s="140">
        <f t="shared" si="406"/>
        <v>589.86199999999997</v>
      </c>
      <c r="AR93" s="140">
        <f t="shared" si="406"/>
        <v>831.20500000000004</v>
      </c>
      <c r="AS93" s="840">
        <f t="shared" si="406"/>
        <v>982.48199999999997</v>
      </c>
      <c r="AT93" s="1416">
        <f t="shared" si="406"/>
        <v>578</v>
      </c>
      <c r="AU93" s="140">
        <f t="shared" si="406"/>
        <v>748</v>
      </c>
      <c r="AV93" s="140">
        <f t="shared" si="406"/>
        <v>1104</v>
      </c>
      <c r="AW93" s="840">
        <f t="shared" ref="AW93:CB93" si="407">+AW30</f>
        <v>1410</v>
      </c>
      <c r="AX93" s="837">
        <f t="shared" si="407"/>
        <v>945</v>
      </c>
      <c r="AY93" s="140">
        <f t="shared" si="407"/>
        <v>1180</v>
      </c>
      <c r="AZ93" s="140">
        <f t="shared" si="407"/>
        <v>1446</v>
      </c>
      <c r="BA93" s="840">
        <f t="shared" si="407"/>
        <v>1818</v>
      </c>
      <c r="BB93" s="837">
        <f t="shared" si="407"/>
        <v>1017</v>
      </c>
      <c r="BC93" s="226">
        <f t="shared" si="407"/>
        <v>1626</v>
      </c>
      <c r="BD93" s="226">
        <f t="shared" si="407"/>
        <v>1926</v>
      </c>
      <c r="BE93" s="840">
        <f t="shared" si="407"/>
        <v>2239</v>
      </c>
      <c r="BF93" s="837">
        <f t="shared" si="407"/>
        <v>1445</v>
      </c>
      <c r="BG93" s="226">
        <f t="shared" si="407"/>
        <v>1803</v>
      </c>
      <c r="BH93" s="226">
        <f t="shared" si="407"/>
        <v>1999</v>
      </c>
      <c r="BI93" s="226">
        <f t="shared" si="407"/>
        <v>2502</v>
      </c>
      <c r="BJ93" s="869">
        <f t="shared" si="407"/>
        <v>2502</v>
      </c>
      <c r="BK93" s="140">
        <f t="shared" si="407"/>
        <v>1531</v>
      </c>
      <c r="BL93" s="226">
        <f t="shared" si="407"/>
        <v>2102</v>
      </c>
      <c r="BM93" s="226">
        <f t="shared" si="407"/>
        <v>2428</v>
      </c>
      <c r="BN93" s="840">
        <f t="shared" si="407"/>
        <v>3069</v>
      </c>
      <c r="BO93" s="869">
        <f t="shared" si="407"/>
        <v>3069</v>
      </c>
      <c r="BP93" s="837">
        <f t="shared" si="407"/>
        <v>1911</v>
      </c>
      <c r="BQ93" s="226">
        <f t="shared" si="407"/>
        <v>2466</v>
      </c>
      <c r="BR93" s="226">
        <f t="shared" si="407"/>
        <v>2988</v>
      </c>
      <c r="BS93" s="840">
        <f t="shared" si="407"/>
        <v>3539</v>
      </c>
      <c r="BT93" s="869">
        <f t="shared" si="407"/>
        <v>3539</v>
      </c>
      <c r="BU93" s="837">
        <f t="shared" si="407"/>
        <v>2618</v>
      </c>
      <c r="BV93" s="226">
        <f t="shared" si="407"/>
        <v>3409</v>
      </c>
      <c r="BW93" s="226">
        <f t="shared" si="407"/>
        <v>3672</v>
      </c>
      <c r="BX93" s="226">
        <f t="shared" si="407"/>
        <v>3976</v>
      </c>
      <c r="BY93" s="869">
        <f t="shared" si="407"/>
        <v>3976</v>
      </c>
      <c r="BZ93" s="837">
        <f t="shared" si="407"/>
        <v>2673</v>
      </c>
      <c r="CA93" s="140">
        <f t="shared" si="407"/>
        <v>3271</v>
      </c>
      <c r="CB93" s="140">
        <f t="shared" si="407"/>
        <v>4022</v>
      </c>
      <c r="CC93" s="226">
        <f t="shared" ref="CC93:CQ93" si="408">+CC30</f>
        <v>4581</v>
      </c>
      <c r="CD93" s="869">
        <f t="shared" si="408"/>
        <v>4581</v>
      </c>
      <c r="CE93" s="226">
        <f t="shared" si="408"/>
        <v>3812</v>
      </c>
      <c r="CF93" s="226">
        <f t="shared" si="408"/>
        <v>4642</v>
      </c>
      <c r="CG93" s="226">
        <f t="shared" si="408"/>
        <v>5946</v>
      </c>
      <c r="CH93" s="226">
        <f t="shared" si="408"/>
        <v>6839</v>
      </c>
      <c r="CI93" s="869">
        <f t="shared" si="408"/>
        <v>6839</v>
      </c>
      <c r="CJ93" s="226">
        <f t="shared" si="408"/>
        <v>5072</v>
      </c>
      <c r="CK93" s="226">
        <f t="shared" si="408"/>
        <v>6432</v>
      </c>
      <c r="CL93" s="226">
        <f t="shared" si="408"/>
        <v>7399</v>
      </c>
      <c r="CM93" s="226">
        <f t="shared" si="408"/>
        <v>8495</v>
      </c>
      <c r="CN93" s="4376">
        <f t="shared" si="408"/>
        <v>8495</v>
      </c>
      <c r="CO93" s="226">
        <f t="shared" si="408"/>
        <v>5656</v>
      </c>
      <c r="CP93" s="226">
        <f t="shared" si="408"/>
        <v>7127</v>
      </c>
      <c r="CQ93" s="226">
        <f t="shared" si="408"/>
        <v>8747</v>
      </c>
      <c r="CR93" s="226">
        <f t="shared" ref="CR93:CY93" si="409">+CR30</f>
        <v>11086</v>
      </c>
      <c r="CS93" s="4376">
        <f t="shared" si="409"/>
        <v>11086</v>
      </c>
      <c r="CT93" s="226">
        <f t="shared" si="409"/>
        <v>8375</v>
      </c>
      <c r="CU93" s="226">
        <f t="shared" si="409"/>
        <v>10088</v>
      </c>
      <c r="CV93" s="226">
        <f t="shared" si="409"/>
        <v>12170</v>
      </c>
      <c r="CW93" s="226">
        <f t="shared" si="409"/>
        <v>13889</v>
      </c>
      <c r="CX93" s="4376">
        <f t="shared" si="409"/>
        <v>13889</v>
      </c>
      <c r="CY93" s="226">
        <f t="shared" si="409"/>
        <v>9803</v>
      </c>
      <c r="CZ93" s="226">
        <f t="shared" ref="CZ93:DF93" si="410">+CZ30</f>
        <v>10852</v>
      </c>
      <c r="DA93" s="226">
        <f t="shared" si="410"/>
        <v>12366</v>
      </c>
      <c r="DB93" s="226">
        <f t="shared" si="410"/>
        <v>14028</v>
      </c>
      <c r="DC93" s="4376">
        <f t="shared" si="410"/>
        <v>14028</v>
      </c>
      <c r="DD93" s="226">
        <f t="shared" si="410"/>
        <v>9954</v>
      </c>
      <c r="DE93" s="226">
        <f t="shared" si="410"/>
        <v>11260</v>
      </c>
      <c r="DF93" s="226">
        <f t="shared" si="410"/>
        <v>12562</v>
      </c>
      <c r="DG93" s="226">
        <f t="shared" ref="DG93" si="411">+DG30</f>
        <v>15140</v>
      </c>
      <c r="DH93" s="4376">
        <f>+DH30</f>
        <v>15140</v>
      </c>
      <c r="DI93" s="226">
        <f t="shared" ref="DI93:DL93" si="412">+DI30</f>
        <v>9703</v>
      </c>
      <c r="DJ93" s="226">
        <f t="shared" si="412"/>
        <v>11373</v>
      </c>
      <c r="DK93" s="226">
        <f t="shared" si="412"/>
        <v>12908</v>
      </c>
      <c r="DL93" s="226">
        <f t="shared" si="412"/>
        <v>15069</v>
      </c>
      <c r="DM93" s="4376">
        <f>+DM30</f>
        <v>15069</v>
      </c>
      <c r="DN93" s="226">
        <f t="shared" ref="DN93:DP93" si="413">+DN30</f>
        <v>9984</v>
      </c>
      <c r="DO93" s="226">
        <f t="shared" si="413"/>
        <v>12168</v>
      </c>
      <c r="DP93" s="226">
        <f t="shared" si="413"/>
        <v>13944</v>
      </c>
      <c r="DQ93" s="226">
        <f t="shared" ref="DQ93" si="414">DQ80*DQ94</f>
        <v>16797.906492040132</v>
      </c>
      <c r="DR93" s="4376">
        <f>+DR30</f>
        <v>16797.906492040132</v>
      </c>
      <c r="DS93" s="226">
        <f t="shared" ref="DS93:DV93" si="415">DS80*DS94</f>
        <v>11862.866719932555</v>
      </c>
      <c r="DT93" s="226">
        <f t="shared" si="415"/>
        <v>14400.851394005795</v>
      </c>
      <c r="DU93" s="226">
        <f t="shared" si="415"/>
        <v>16375.042409401229</v>
      </c>
      <c r="DV93" s="226">
        <f t="shared" si="415"/>
        <v>19760.080856391138</v>
      </c>
      <c r="DW93" s="4376">
        <f>+DW30</f>
        <v>19760.080856391138</v>
      </c>
      <c r="DX93" s="869">
        <f>DX80*DX94</f>
        <v>22568.258593109516</v>
      </c>
      <c r="DY93" s="869">
        <f>DY80*DY94</f>
        <v>25423.404048848159</v>
      </c>
      <c r="DZ93" s="869">
        <f>DZ80*DZ94</f>
        <v>28268.683325185841</v>
      </c>
      <c r="EA93" s="869">
        <f>EA80*EA94</f>
        <v>31228.816107211071</v>
      </c>
      <c r="EC93" s="3683"/>
      <c r="ED93" s="3683"/>
      <c r="EE93" s="226"/>
    </row>
    <row r="94" spans="1:136" ht="11.25" customHeight="1">
      <c r="A94" s="1590" t="s">
        <v>59</v>
      </c>
      <c r="B94" s="1397"/>
      <c r="C94" s="1397"/>
      <c r="D94" s="1397"/>
      <c r="E94" s="1400"/>
      <c r="F94" s="1397"/>
      <c r="G94" s="1397"/>
      <c r="H94" s="1397"/>
      <c r="I94" s="1400"/>
      <c r="J94" s="838"/>
      <c r="K94" s="1397"/>
      <c r="L94" s="1397"/>
      <c r="M94" s="1400"/>
      <c r="N94" s="1397"/>
      <c r="O94" s="1397"/>
      <c r="P94" s="1397"/>
      <c r="Q94" s="1400">
        <f t="shared" ref="Q94:AW94" si="416">Q93/Q80</f>
        <v>0.10650167508485386</v>
      </c>
      <c r="R94" s="838">
        <f t="shared" si="416"/>
        <v>0</v>
      </c>
      <c r="S94" s="1397">
        <f t="shared" si="416"/>
        <v>0</v>
      </c>
      <c r="T94" s="1397">
        <f t="shared" si="416"/>
        <v>0</v>
      </c>
      <c r="U94" s="1400">
        <f t="shared" si="416"/>
        <v>0.11331929321646007</v>
      </c>
      <c r="V94" s="839">
        <f t="shared" si="416"/>
        <v>6.2692284450936747E-2</v>
      </c>
      <c r="W94" s="1405">
        <f t="shared" si="416"/>
        <v>8.0181389391698055E-2</v>
      </c>
      <c r="X94" s="1405">
        <f t="shared" si="416"/>
        <v>0.10704252793809781</v>
      </c>
      <c r="Y94" s="1400">
        <f t="shared" si="416"/>
        <v>0.1263870980570303</v>
      </c>
      <c r="Z94" s="839">
        <f t="shared" si="416"/>
        <v>6.1151943667430465E-2</v>
      </c>
      <c r="AA94" s="1405">
        <f t="shared" si="416"/>
        <v>7.8262139466958744E-2</v>
      </c>
      <c r="AB94" s="1405">
        <f t="shared" si="416"/>
        <v>0.11197598280344313</v>
      </c>
      <c r="AC94" s="1400">
        <f t="shared" si="416"/>
        <v>0.1540810695173902</v>
      </c>
      <c r="AD94" s="839">
        <f t="shared" si="416"/>
        <v>7.7330849584492406E-2</v>
      </c>
      <c r="AE94" s="1405">
        <f t="shared" si="416"/>
        <v>9.0090445957463128E-2</v>
      </c>
      <c r="AF94" s="1405">
        <f t="shared" si="416"/>
        <v>0.11402755511263893</v>
      </c>
      <c r="AG94" s="1400">
        <f t="shared" si="416"/>
        <v>0.15770848655533032</v>
      </c>
      <c r="AH94" s="839">
        <f t="shared" si="416"/>
        <v>7.1174612702392601E-2</v>
      </c>
      <c r="AI94" s="1405">
        <f t="shared" si="416"/>
        <v>0.12149128216875325</v>
      </c>
      <c r="AJ94" s="1405">
        <f t="shared" si="416"/>
        <v>0.16479565853916195</v>
      </c>
      <c r="AK94" s="1400">
        <f t="shared" si="416"/>
        <v>0.1737270307496756</v>
      </c>
      <c r="AL94" s="839">
        <f t="shared" si="416"/>
        <v>0.12384600851051408</v>
      </c>
      <c r="AM94" s="1405">
        <f t="shared" si="416"/>
        <v>0.12670295528239775</v>
      </c>
      <c r="AN94" s="1405">
        <f t="shared" si="416"/>
        <v>0.15388767443900861</v>
      </c>
      <c r="AO94" s="1400">
        <f t="shared" si="416"/>
        <v>0.1924454691641205</v>
      </c>
      <c r="AP94" s="839">
        <f t="shared" si="416"/>
        <v>0.11414082390750867</v>
      </c>
      <c r="AQ94" s="1405">
        <f t="shared" si="416"/>
        <v>0.14494551353800661</v>
      </c>
      <c r="AR94" s="1405">
        <f t="shared" si="416"/>
        <v>0.20425020696427096</v>
      </c>
      <c r="AS94" s="1400">
        <f t="shared" si="416"/>
        <v>0.19836343633547676</v>
      </c>
      <c r="AT94" s="839">
        <f t="shared" si="416"/>
        <v>0.1141390205371248</v>
      </c>
      <c r="AU94" s="1405">
        <f t="shared" si="416"/>
        <v>0.1470125786163522</v>
      </c>
      <c r="AV94" s="1405">
        <f t="shared" si="416"/>
        <v>0.20142309797482211</v>
      </c>
      <c r="AW94" s="1400">
        <f t="shared" si="416"/>
        <v>0.22131533511222728</v>
      </c>
      <c r="AX94" s="1406">
        <f>AX93/AX80</f>
        <v>0.1445617255621845</v>
      </c>
      <c r="AY94" s="1405">
        <f>AY93/AY80</f>
        <v>0.17061885482938113</v>
      </c>
      <c r="AZ94" s="1405">
        <f>AZ93/AZ80</f>
        <v>0.19254327563249002</v>
      </c>
      <c r="BA94" s="1400">
        <f>BA93/BA80</f>
        <v>0.22350626997787065</v>
      </c>
      <c r="BB94" s="1406">
        <f t="shared" ref="BB94:BG94" si="417">BB93/BB80</f>
        <v>0.12501536570374924</v>
      </c>
      <c r="BC94" s="1405">
        <f t="shared" si="417"/>
        <v>0.19440459110473457</v>
      </c>
      <c r="BD94" s="1405">
        <f t="shared" si="417"/>
        <v>0.21996345363179534</v>
      </c>
      <c r="BE94" s="1400">
        <f t="shared" si="417"/>
        <v>0.22788804071246818</v>
      </c>
      <c r="BF94" s="1406">
        <f t="shared" si="417"/>
        <v>0.1446591250375413</v>
      </c>
      <c r="BG94" s="1405">
        <f t="shared" si="417"/>
        <v>0.17862096294828611</v>
      </c>
      <c r="BH94" s="1405">
        <f t="shared" ref="BH94:BO94" si="418">BH93/BH80</f>
        <v>0.18540159525134484</v>
      </c>
      <c r="BI94" s="2568">
        <f t="shared" si="418"/>
        <v>0.20182302169879809</v>
      </c>
      <c r="BJ94" s="1328">
        <f>BJ93/BJ80</f>
        <v>5.7835001502508032E-2</v>
      </c>
      <c r="BK94" s="2568">
        <f t="shared" si="418"/>
        <v>0.125615359369872</v>
      </c>
      <c r="BL94" s="1405">
        <f t="shared" si="418"/>
        <v>0.16600852945822145</v>
      </c>
      <c r="BM94" s="1405">
        <f t="shared" si="418"/>
        <v>0.18428842504743834</v>
      </c>
      <c r="BN94" s="1400">
        <f t="shared" si="418"/>
        <v>0.21190361113029069</v>
      </c>
      <c r="BO94" s="1328">
        <f t="shared" si="418"/>
        <v>5.8452689318909033E-2</v>
      </c>
      <c r="BP94" s="1406">
        <f t="shared" ref="BP94:BV94" si="419">BP93/BP80</f>
        <v>0.13735355422985696</v>
      </c>
      <c r="BQ94" s="1405">
        <f t="shared" si="419"/>
        <v>0.17184668989547039</v>
      </c>
      <c r="BR94" s="1405">
        <f t="shared" si="419"/>
        <v>0.19776292276126811</v>
      </c>
      <c r="BS94" s="1400">
        <f t="shared" si="419"/>
        <v>0.2048743776774343</v>
      </c>
      <c r="BT94" s="1328">
        <f t="shared" si="419"/>
        <v>5.8355044025986874E-2</v>
      </c>
      <c r="BU94" s="1406">
        <f t="shared" si="419"/>
        <v>0.15896532879956282</v>
      </c>
      <c r="BV94" s="1405">
        <f t="shared" si="419"/>
        <v>0.19452211126961483</v>
      </c>
      <c r="BW94" s="1405">
        <f t="shared" ref="BW94:CO94" si="420">BW93/BW80</f>
        <v>0.20099622311018667</v>
      </c>
      <c r="BX94" s="1405">
        <f t="shared" si="420"/>
        <v>0.18740573152337858</v>
      </c>
      <c r="BY94" s="1328">
        <f t="shared" si="420"/>
        <v>5.4110698294750882E-2</v>
      </c>
      <c r="BZ94" s="1406">
        <f t="shared" si="420"/>
        <v>0.13284628000596391</v>
      </c>
      <c r="CA94" s="2568">
        <f t="shared" si="420"/>
        <v>0.15636502700893923</v>
      </c>
      <c r="CB94" s="2568">
        <f t="shared" si="420"/>
        <v>0.18060170633138753</v>
      </c>
      <c r="CC94" s="1405">
        <f t="shared" si="420"/>
        <v>0.17705716383875081</v>
      </c>
      <c r="CD94" s="1328">
        <f t="shared" si="420"/>
        <v>5.1366291782066087E-2</v>
      </c>
      <c r="CE94" s="1405">
        <f t="shared" si="420"/>
        <v>0.15335103387239521</v>
      </c>
      <c r="CF94" s="1405">
        <f t="shared" si="420"/>
        <v>0.17692571559248391</v>
      </c>
      <c r="CG94" s="1405">
        <f t="shared" si="420"/>
        <v>0.21894101185654319</v>
      </c>
      <c r="CH94" s="1405">
        <f t="shared" si="420"/>
        <v>0.21479271356783919</v>
      </c>
      <c r="CI94" s="1328">
        <f t="shared" si="420"/>
        <v>6.2120207460964819E-2</v>
      </c>
      <c r="CJ94" s="1405">
        <f t="shared" si="420"/>
        <v>0.17205468299467416</v>
      </c>
      <c r="CK94" s="1405">
        <f t="shared" si="420"/>
        <v>0.20286381126600644</v>
      </c>
      <c r="CL94" s="1405">
        <f t="shared" si="420"/>
        <v>0.22415098912417825</v>
      </c>
      <c r="CM94" s="1405">
        <f t="shared" si="420"/>
        <v>0.22608718794911375</v>
      </c>
      <c r="CN94" s="4371">
        <f t="shared" si="420"/>
        <v>6.4469370408596932E-2</v>
      </c>
      <c r="CO94" s="1405">
        <f t="shared" si="420"/>
        <v>0.16779897350698669</v>
      </c>
      <c r="CP94" s="1405">
        <f t="shared" ref="CP94:CU94" si="421">CP93/CP80</f>
        <v>0.22551656488308072</v>
      </c>
      <c r="CQ94" s="1405">
        <f t="shared" si="421"/>
        <v>0.2301418159812666</v>
      </c>
      <c r="CR94" s="1405">
        <f t="shared" si="421"/>
        <v>0.23875775327360441</v>
      </c>
      <c r="CS94" s="4371">
        <f t="shared" si="421"/>
        <v>7.4030544444370253E-2</v>
      </c>
      <c r="CT94" s="1405">
        <f t="shared" si="421"/>
        <v>0.18365422569185563</v>
      </c>
      <c r="CU94" s="1405">
        <f t="shared" si="421"/>
        <v>0.19799415124335146</v>
      </c>
      <c r="CV94" s="1405">
        <f t="shared" ref="CV94:DC94" si="422">CV93/CV80</f>
        <v>0.22696754942185751</v>
      </c>
      <c r="CW94" s="1405">
        <f t="shared" si="422"/>
        <v>0.22438527900739927</v>
      </c>
      <c r="CX94" s="4371">
        <f t="shared" si="422"/>
        <v>6.5492217229135521E-2</v>
      </c>
      <c r="CY94" s="1405">
        <f t="shared" si="422"/>
        <v>0.17498795094696631</v>
      </c>
      <c r="CZ94" s="1405">
        <f t="shared" si="422"/>
        <v>0.18882566859807556</v>
      </c>
      <c r="DA94" s="5275">
        <f t="shared" si="422"/>
        <v>0.21593965005413335</v>
      </c>
      <c r="DB94" s="1405">
        <f t="shared" si="422"/>
        <v>0.22223278361294616</v>
      </c>
      <c r="DC94" s="4371">
        <f t="shared" si="422"/>
        <v>5.9979220201726517E-2</v>
      </c>
      <c r="DD94" s="1405">
        <f>DD93/DD80</f>
        <v>0.17142561912306686</v>
      </c>
      <c r="DE94" s="1405">
        <f>DE93/DE80</f>
        <v>0.18141685597821708</v>
      </c>
      <c r="DF94" s="5275">
        <f>DF93/DF80</f>
        <v>0.19612496292017298</v>
      </c>
      <c r="DG94" s="1405">
        <f t="shared" ref="DG94" si="423">DG93/DG80</f>
        <v>0.20933576682705601</v>
      </c>
      <c r="DH94" s="4371">
        <f>DH93/DH80</f>
        <v>5.9023500241707862E-2</v>
      </c>
      <c r="DI94" s="1405">
        <f>DI93/DI80</f>
        <v>0.14355036764161969</v>
      </c>
      <c r="DJ94" s="1405">
        <f>DJ93/DJ80</f>
        <v>0.15938616775278536</v>
      </c>
      <c r="DK94" s="5275">
        <f>DK93/DK80</f>
        <v>0.17314786247971134</v>
      </c>
      <c r="DL94" s="1405">
        <f t="shared" ref="DL94" si="424">DL93/DL80</f>
        <v>0.18462160473407579</v>
      </c>
      <c r="DM94" s="4371">
        <f>DM93/DM80</f>
        <v>5.106093155957956E-2</v>
      </c>
      <c r="DN94" s="1405">
        <f>DN93/DN80</f>
        <v>0.13053369244044663</v>
      </c>
      <c r="DO94" s="1405">
        <f>DO93/DO80</f>
        <v>0.14889321243713521</v>
      </c>
      <c r="DP94" s="5275">
        <f>DP93/DP80</f>
        <v>0.15941465645364125</v>
      </c>
      <c r="DQ94" s="4524">
        <v>0.17499999999999999</v>
      </c>
      <c r="DR94" s="4371">
        <f>DR93/DR80</f>
        <v>4.916455106335843E-2</v>
      </c>
      <c r="DS94" s="4524">
        <f>DN94</f>
        <v>0.13053369244044663</v>
      </c>
      <c r="DT94" s="4524">
        <f t="shared" ref="DT94" si="425">DO94</f>
        <v>0.14889321243713521</v>
      </c>
      <c r="DU94" s="4524">
        <f t="shared" ref="DU94" si="426">DP94</f>
        <v>0.15941465645364125</v>
      </c>
      <c r="DV94" s="4524">
        <f t="shared" ref="DV94" si="427">DQ94</f>
        <v>0.17499999999999999</v>
      </c>
      <c r="DW94" s="4371">
        <f>DW93/DW80</f>
        <v>4.9004052129797762E-2</v>
      </c>
      <c r="DX94" s="1407">
        <f>DW94</f>
        <v>4.9004052129797762E-2</v>
      </c>
      <c r="DY94" s="1407">
        <f>DX94</f>
        <v>4.9004052129797762E-2</v>
      </c>
      <c r="DZ94" s="1407">
        <f>DY94</f>
        <v>4.9004052129797762E-2</v>
      </c>
      <c r="EA94" s="1407">
        <f>DZ94</f>
        <v>4.9004052129797762E-2</v>
      </c>
      <c r="EC94" s="3683"/>
      <c r="ED94" s="3683"/>
      <c r="EE94" s="3970"/>
    </row>
    <row r="95" spans="1:136" s="45" customFormat="1" ht="11.25" customHeight="1">
      <c r="A95" s="1588" t="s">
        <v>78</v>
      </c>
      <c r="B95" s="133"/>
      <c r="C95" s="133"/>
      <c r="D95" s="133"/>
      <c r="E95" s="706"/>
      <c r="F95" s="133"/>
      <c r="G95" s="133"/>
      <c r="H95" s="133"/>
      <c r="I95" s="706"/>
      <c r="J95" s="835"/>
      <c r="K95" s="133"/>
      <c r="L95" s="133"/>
      <c r="M95" s="706"/>
      <c r="N95" s="133"/>
      <c r="O95" s="133"/>
      <c r="P95" s="133"/>
      <c r="Q95" s="706">
        <f t="shared" ref="Q95:AV95" si="428">+Q31</f>
        <v>10.81</v>
      </c>
      <c r="R95" s="1414">
        <f t="shared" si="428"/>
        <v>0</v>
      </c>
      <c r="S95" s="1415">
        <f t="shared" si="428"/>
        <v>0</v>
      </c>
      <c r="T95" s="1415">
        <f t="shared" si="428"/>
        <v>0</v>
      </c>
      <c r="U95" s="706">
        <f t="shared" si="428"/>
        <v>26.411000000000001</v>
      </c>
      <c r="V95" s="1416">
        <f t="shared" si="428"/>
        <v>34.956000000000003</v>
      </c>
      <c r="W95" s="140">
        <f t="shared" si="428"/>
        <v>41.054000000000002</v>
      </c>
      <c r="X95" s="140">
        <f t="shared" si="428"/>
        <v>44.185000000000002</v>
      </c>
      <c r="Y95" s="706">
        <f t="shared" si="428"/>
        <v>64.111000000000004</v>
      </c>
      <c r="Z95" s="1416">
        <f t="shared" si="428"/>
        <v>71.953000000000003</v>
      </c>
      <c r="AA95" s="140">
        <f t="shared" si="428"/>
        <v>71.361000000000004</v>
      </c>
      <c r="AB95" s="140">
        <f t="shared" si="428"/>
        <v>98.62</v>
      </c>
      <c r="AC95" s="706">
        <f t="shared" si="428"/>
        <v>114.377</v>
      </c>
      <c r="AD95" s="1416">
        <f t="shared" si="428"/>
        <v>156.78399999999999</v>
      </c>
      <c r="AE95" s="140">
        <f t="shared" si="428"/>
        <v>183.16300000000001</v>
      </c>
      <c r="AF95" s="140">
        <f t="shared" si="428"/>
        <v>212.12299999999999</v>
      </c>
      <c r="AG95" s="706">
        <f t="shared" si="428"/>
        <v>266.24700000000001</v>
      </c>
      <c r="AH95" s="1416">
        <f t="shared" si="428"/>
        <v>300.06799999999998</v>
      </c>
      <c r="AI95" s="140">
        <f t="shared" si="428"/>
        <v>276.72300000000001</v>
      </c>
      <c r="AJ95" s="140">
        <f t="shared" si="428"/>
        <v>400.88900000000001</v>
      </c>
      <c r="AK95" s="706">
        <f t="shared" si="428"/>
        <v>465.03199999999998</v>
      </c>
      <c r="AL95" s="1416">
        <f t="shared" si="428"/>
        <v>746.90499999999997</v>
      </c>
      <c r="AM95" s="140">
        <f t="shared" si="428"/>
        <v>555.11699999999996</v>
      </c>
      <c r="AN95" s="140">
        <f t="shared" si="428"/>
        <v>544.62699999999995</v>
      </c>
      <c r="AO95" s="706">
        <f t="shared" si="428"/>
        <v>480.26299999999998</v>
      </c>
      <c r="AP95" s="1416">
        <f t="shared" si="428"/>
        <v>465.16399999999999</v>
      </c>
      <c r="AQ95" s="140">
        <f t="shared" si="428"/>
        <v>411.226</v>
      </c>
      <c r="AR95" s="140">
        <f t="shared" si="428"/>
        <v>446.322</v>
      </c>
      <c r="AS95" s="706">
        <f t="shared" si="428"/>
        <v>570.08000000000004</v>
      </c>
      <c r="AT95" s="1416">
        <f t="shared" si="428"/>
        <v>576</v>
      </c>
      <c r="AU95" s="140">
        <f t="shared" si="428"/>
        <v>3623</v>
      </c>
      <c r="AV95" s="140">
        <f t="shared" si="428"/>
        <v>841</v>
      </c>
      <c r="AW95" s="706">
        <f t="shared" ref="AW95:CB95" si="429">+AW31</f>
        <v>961</v>
      </c>
      <c r="AX95" s="837">
        <f t="shared" si="429"/>
        <v>1464</v>
      </c>
      <c r="AY95" s="140">
        <f t="shared" si="429"/>
        <v>1493</v>
      </c>
      <c r="AZ95" s="140">
        <f t="shared" si="429"/>
        <v>1155</v>
      </c>
      <c r="BA95" s="706">
        <f t="shared" si="429"/>
        <v>1370</v>
      </c>
      <c r="BB95" s="837">
        <f t="shared" si="429"/>
        <v>1248</v>
      </c>
      <c r="BC95" s="140">
        <f t="shared" si="429"/>
        <v>2750</v>
      </c>
      <c r="BD95" s="140">
        <f t="shared" si="429"/>
        <v>3313</v>
      </c>
      <c r="BE95" s="706">
        <f t="shared" si="429"/>
        <v>3258</v>
      </c>
      <c r="BF95" s="837">
        <f t="shared" si="429"/>
        <v>3007</v>
      </c>
      <c r="BG95" s="140">
        <f t="shared" si="429"/>
        <v>3300</v>
      </c>
      <c r="BH95" s="140">
        <f t="shared" si="429"/>
        <v>3071</v>
      </c>
      <c r="BI95" s="140">
        <f t="shared" si="429"/>
        <v>3755</v>
      </c>
      <c r="BJ95" s="866">
        <f t="shared" si="429"/>
        <v>3755</v>
      </c>
      <c r="BK95" s="140">
        <f t="shared" si="429"/>
        <v>3305</v>
      </c>
      <c r="BL95" s="140">
        <f t="shared" si="429"/>
        <v>3683</v>
      </c>
      <c r="BM95" s="140">
        <f t="shared" si="429"/>
        <v>3933</v>
      </c>
      <c r="BN95" s="706">
        <f t="shared" si="429"/>
        <v>4434</v>
      </c>
      <c r="BO95" s="866">
        <f t="shared" si="429"/>
        <v>4434</v>
      </c>
      <c r="BP95" s="837">
        <f t="shared" si="429"/>
        <v>4494</v>
      </c>
      <c r="BQ95" s="140">
        <f t="shared" si="429"/>
        <v>4396</v>
      </c>
      <c r="BR95" s="140">
        <f t="shared" si="429"/>
        <v>4598</v>
      </c>
      <c r="BS95" s="706">
        <f t="shared" si="429"/>
        <v>4768</v>
      </c>
      <c r="BT95" s="866">
        <f t="shared" si="429"/>
        <v>4768</v>
      </c>
      <c r="BU95" s="837">
        <f t="shared" si="429"/>
        <v>4517</v>
      </c>
      <c r="BV95" s="140">
        <f t="shared" si="429"/>
        <v>4502</v>
      </c>
      <c r="BW95" s="140">
        <f t="shared" si="429"/>
        <v>4840</v>
      </c>
      <c r="BX95" s="140">
        <f t="shared" si="429"/>
        <v>6144</v>
      </c>
      <c r="BY95" s="866">
        <f t="shared" si="429"/>
        <v>6144</v>
      </c>
      <c r="BZ95" s="837">
        <f t="shared" si="429"/>
        <v>5438</v>
      </c>
      <c r="CA95" s="140">
        <f t="shared" si="429"/>
        <v>8560</v>
      </c>
      <c r="CB95" s="140">
        <f t="shared" si="429"/>
        <v>9307</v>
      </c>
      <c r="CC95" s="140">
        <f t="shared" ref="CC95:CQ95" si="430">+CC31</f>
        <v>10177</v>
      </c>
      <c r="CD95" s="866">
        <f t="shared" si="430"/>
        <v>10177</v>
      </c>
      <c r="CE95" s="140">
        <f t="shared" si="430"/>
        <v>10065</v>
      </c>
      <c r="CF95" s="140">
        <f t="shared" si="430"/>
        <v>15261</v>
      </c>
      <c r="CG95" s="140">
        <f t="shared" si="430"/>
        <v>15936</v>
      </c>
      <c r="CH95" s="140">
        <f t="shared" si="430"/>
        <v>16958</v>
      </c>
      <c r="CI95" s="866">
        <f t="shared" si="430"/>
        <v>16958</v>
      </c>
      <c r="CJ95" s="140">
        <f t="shared" si="430"/>
        <v>19382</v>
      </c>
      <c r="CK95" s="140">
        <f t="shared" si="430"/>
        <v>19823</v>
      </c>
      <c r="CL95" s="140">
        <f t="shared" si="430"/>
        <v>21038</v>
      </c>
      <c r="CM95" s="140">
        <f t="shared" si="430"/>
        <v>23067</v>
      </c>
      <c r="CN95" s="4369">
        <f t="shared" si="430"/>
        <v>23067</v>
      </c>
      <c r="CO95" s="140">
        <f t="shared" si="430"/>
        <v>22601</v>
      </c>
      <c r="CP95" s="140">
        <f t="shared" si="430"/>
        <v>24426</v>
      </c>
      <c r="CQ95" s="140">
        <f t="shared" si="430"/>
        <v>25631</v>
      </c>
      <c r="CR95" s="140">
        <f t="shared" ref="CR95:CY95" si="431">+CR31</f>
        <v>28631</v>
      </c>
      <c r="CS95" s="4369">
        <f t="shared" si="431"/>
        <v>28631</v>
      </c>
      <c r="CT95" s="140">
        <f t="shared" si="431"/>
        <v>30732</v>
      </c>
      <c r="CU95" s="140">
        <f t="shared" si="431"/>
        <v>28981</v>
      </c>
      <c r="CV95" s="140">
        <f t="shared" si="431"/>
        <v>30113</v>
      </c>
      <c r="CW95" s="140">
        <f t="shared" si="431"/>
        <v>31236</v>
      </c>
      <c r="CX95" s="4369">
        <f t="shared" si="431"/>
        <v>31236</v>
      </c>
      <c r="CY95" s="140">
        <f t="shared" si="431"/>
        <v>33051</v>
      </c>
      <c r="CZ95" s="140">
        <f t="shared" ref="CZ95:DF95" si="432">+CZ31</f>
        <v>32976</v>
      </c>
      <c r="DA95" s="140">
        <f t="shared" si="432"/>
        <v>35038</v>
      </c>
      <c r="DB95" s="140">
        <f t="shared" si="432"/>
        <v>37866</v>
      </c>
      <c r="DC95" s="4369">
        <f t="shared" si="432"/>
        <v>37866</v>
      </c>
      <c r="DD95" s="140">
        <f t="shared" si="432"/>
        <v>43185</v>
      </c>
      <c r="DE95" s="140">
        <f t="shared" si="432"/>
        <v>49300</v>
      </c>
      <c r="DF95" s="140">
        <f t="shared" si="432"/>
        <v>55602</v>
      </c>
      <c r="DG95" s="140">
        <f t="shared" ref="DG95" si="433">+DG31</f>
        <v>46168</v>
      </c>
      <c r="DH95" s="4369">
        <f>+DH31</f>
        <v>46168</v>
      </c>
      <c r="DI95" s="140">
        <f t="shared" ref="DI95:DL95" si="434">+DI31</f>
        <v>48603</v>
      </c>
      <c r="DJ95" s="140">
        <f t="shared" si="434"/>
        <v>47298</v>
      </c>
      <c r="DK95" s="140">
        <f t="shared" si="434"/>
        <v>46585</v>
      </c>
      <c r="DL95" s="140">
        <f t="shared" si="434"/>
        <v>51228</v>
      </c>
      <c r="DM95" s="4369">
        <f>+DM31</f>
        <v>51228</v>
      </c>
      <c r="DN95" s="140">
        <f t="shared" ref="DN95:DP95" si="435">+DN31</f>
        <v>58300</v>
      </c>
      <c r="DO95" s="140">
        <f t="shared" si="435"/>
        <v>52039</v>
      </c>
      <c r="DP95" s="140">
        <f t="shared" si="435"/>
        <v>59437</v>
      </c>
      <c r="DQ95" s="140">
        <f t="shared" ref="DQ95" si="436">DQ80*DQ96</f>
        <v>64311.984855239367</v>
      </c>
      <c r="DR95" s="4369">
        <f>+DR31</f>
        <v>64311.984855239367</v>
      </c>
      <c r="DS95" s="140">
        <f t="shared" ref="DS95:DV95" si="437">DS80*DS96</f>
        <v>69271.34713261899</v>
      </c>
      <c r="DT95" s="140">
        <f t="shared" si="437"/>
        <v>61588.256549364523</v>
      </c>
      <c r="DU95" s="140">
        <f t="shared" si="437"/>
        <v>69799.440310354345</v>
      </c>
      <c r="DV95" s="140">
        <f t="shared" si="437"/>
        <v>75652.880993040366</v>
      </c>
      <c r="DW95" s="4369">
        <f>+DW31</f>
        <v>75652.880993040366</v>
      </c>
      <c r="DX95" s="866">
        <f>+DX80*DX96</f>
        <v>86404.190042190734</v>
      </c>
      <c r="DY95" s="866">
        <f>+DY80*DY96</f>
        <v>97335.318358447243</v>
      </c>
      <c r="DZ95" s="866">
        <f>+DZ80*DZ96</f>
        <v>108228.67330214009</v>
      </c>
      <c r="EA95" s="866">
        <f>+EA80*EA96</f>
        <v>119561.75309617953</v>
      </c>
      <c r="EC95" s="3683"/>
      <c r="ED95" s="3683"/>
      <c r="EE95" s="140"/>
    </row>
    <row r="96" spans="1:136" ht="11.25" customHeight="1">
      <c r="A96" s="1590" t="s">
        <v>59</v>
      </c>
      <c r="B96" s="1397"/>
      <c r="C96" s="1397"/>
      <c r="D96" s="1397"/>
      <c r="E96" s="1400"/>
      <c r="F96" s="1397"/>
      <c r="G96" s="1397"/>
      <c r="H96" s="1397"/>
      <c r="I96" s="1400"/>
      <c r="J96" s="838"/>
      <c r="K96" s="1397"/>
      <c r="L96" s="1397"/>
      <c r="M96" s="1400"/>
      <c r="N96" s="1397"/>
      <c r="O96" s="1397"/>
      <c r="P96" s="1397"/>
      <c r="Q96" s="1400">
        <f t="shared" ref="Q96:AW96" si="438">Q95/Q80</f>
        <v>7.9245808622471797E-2</v>
      </c>
      <c r="R96" s="838">
        <f t="shared" si="438"/>
        <v>0</v>
      </c>
      <c r="S96" s="1397">
        <f t="shared" si="438"/>
        <v>0</v>
      </c>
      <c r="T96" s="1397">
        <f t="shared" si="438"/>
        <v>0</v>
      </c>
      <c r="U96" s="1400">
        <f t="shared" si="438"/>
        <v>8.9280945442990492E-2</v>
      </c>
      <c r="V96" s="839">
        <f t="shared" si="438"/>
        <v>9.1839388788322235E-2</v>
      </c>
      <c r="W96" s="1405">
        <f t="shared" si="438"/>
        <v>9.7013549853725858E-2</v>
      </c>
      <c r="X96" s="1405">
        <f t="shared" si="438"/>
        <v>8.7845212699334194E-2</v>
      </c>
      <c r="Y96" s="1400">
        <f t="shared" si="438"/>
        <v>9.8060089355499397E-2</v>
      </c>
      <c r="Z96" s="839">
        <f t="shared" si="438"/>
        <v>9.0540059317309851E-2</v>
      </c>
      <c r="AA96" s="1405">
        <f t="shared" si="438"/>
        <v>8.0165136068750531E-2</v>
      </c>
      <c r="AB96" s="1405">
        <f t="shared" si="438"/>
        <v>9.4050822920858854E-2</v>
      </c>
      <c r="AC96" s="1400">
        <f t="shared" si="438"/>
        <v>8.8653895044924935E-2</v>
      </c>
      <c r="AD96" s="839">
        <f t="shared" si="438"/>
        <v>0.10240499954605395</v>
      </c>
      <c r="AE96" s="1405">
        <f t="shared" si="438"/>
        <v>0.10962382812874066</v>
      </c>
      <c r="AF96" s="1405">
        <f t="shared" si="438"/>
        <v>0.11377492814076741</v>
      </c>
      <c r="AG96" s="1400">
        <f t="shared" si="438"/>
        <v>0.11939969863849176</v>
      </c>
      <c r="AH96" s="839">
        <f t="shared" si="438"/>
        <v>0.11818637627764982</v>
      </c>
      <c r="AI96" s="1405">
        <f t="shared" si="438"/>
        <v>0.10158431935719761</v>
      </c>
      <c r="AJ96" s="1405">
        <f t="shared" si="438"/>
        <v>0.13317549384083816</v>
      </c>
      <c r="AK96" s="1400">
        <f t="shared" si="438"/>
        <v>0.1373045574594795</v>
      </c>
      <c r="AL96" s="839">
        <f t="shared" si="438"/>
        <v>0.20188482235795246</v>
      </c>
      <c r="AM96" s="1405">
        <f t="shared" si="438"/>
        <v>0.14258513235275985</v>
      </c>
      <c r="AN96" s="1405">
        <f t="shared" si="438"/>
        <v>0.13460259478990705</v>
      </c>
      <c r="AO96" s="1400">
        <f t="shared" si="438"/>
        <v>0.11387326491717172</v>
      </c>
      <c r="AP96" s="839">
        <f t="shared" si="438"/>
        <v>0.11420588603570316</v>
      </c>
      <c r="AQ96" s="1405">
        <f t="shared" si="438"/>
        <v>0.10104967560239565</v>
      </c>
      <c r="AR96" s="1405">
        <f t="shared" si="438"/>
        <v>0.10967373977864346</v>
      </c>
      <c r="AS96" s="1400">
        <f t="shared" si="438"/>
        <v>0.11509933798902026</v>
      </c>
      <c r="AT96" s="839">
        <f t="shared" si="438"/>
        <v>0.11374407582938388</v>
      </c>
      <c r="AU96" s="1405">
        <f t="shared" si="438"/>
        <v>0.7120676100628931</v>
      </c>
      <c r="AV96" s="1405">
        <f t="shared" si="438"/>
        <v>0.15343915343915343</v>
      </c>
      <c r="AW96" s="1400">
        <f t="shared" si="438"/>
        <v>0.15083974258358185</v>
      </c>
      <c r="AX96" s="1406">
        <f>AX95/AX80</f>
        <v>0.223955943093162</v>
      </c>
      <c r="AY96" s="1405">
        <f>AY95/AY80</f>
        <v>0.21587622903412376</v>
      </c>
      <c r="AZ96" s="1405">
        <f>AZ95/AZ80</f>
        <v>0.15379494007989347</v>
      </c>
      <c r="BA96" s="1400">
        <f>BA95/BA80</f>
        <v>0.16842881731005654</v>
      </c>
      <c r="BB96" s="1406">
        <f t="shared" ref="BB96:BG96" si="439">BB95/BB80</f>
        <v>0.15341118623232944</v>
      </c>
      <c r="BC96" s="1405">
        <f t="shared" si="439"/>
        <v>0.32879005260640842</v>
      </c>
      <c r="BD96" s="1405">
        <f t="shared" si="439"/>
        <v>0.37836911831886705</v>
      </c>
      <c r="BE96" s="1400">
        <f t="shared" si="439"/>
        <v>0.33160305343511448</v>
      </c>
      <c r="BF96" s="1406">
        <f t="shared" si="439"/>
        <v>0.30103113424767242</v>
      </c>
      <c r="BG96" s="1405">
        <f t="shared" si="439"/>
        <v>0.32692688725975827</v>
      </c>
      <c r="BH96" s="1405">
        <f t="shared" ref="BH96:BO96" si="440">BH95/BH80</f>
        <v>0.28482656278983493</v>
      </c>
      <c r="BI96" s="2568">
        <f t="shared" si="440"/>
        <v>0.30289586190207307</v>
      </c>
      <c r="BJ96" s="1328">
        <f>BJ95/BJ80</f>
        <v>8.6798733270150946E-2</v>
      </c>
      <c r="BK96" s="2568">
        <f t="shared" si="440"/>
        <v>0.27116836232359698</v>
      </c>
      <c r="BL96" s="1405">
        <f t="shared" si="440"/>
        <v>0.29087032064444795</v>
      </c>
      <c r="BM96" s="1405">
        <f t="shared" si="440"/>
        <v>0.29851992409867173</v>
      </c>
      <c r="BN96" s="1400">
        <f t="shared" si="440"/>
        <v>0.30615204032313748</v>
      </c>
      <c r="BO96" s="1328">
        <f t="shared" si="440"/>
        <v>8.4450708517446293E-2</v>
      </c>
      <c r="BP96" s="1406">
        <f t="shared" ref="BP96:BV96" si="441">BP95/BP80</f>
        <v>0.3230072593976856</v>
      </c>
      <c r="BQ96" s="1405">
        <f t="shared" si="441"/>
        <v>0.30634146341463414</v>
      </c>
      <c r="BR96" s="1405">
        <f t="shared" si="441"/>
        <v>0.30432192732808261</v>
      </c>
      <c r="BS96" s="1400">
        <f t="shared" si="441"/>
        <v>0.27602176681718188</v>
      </c>
      <c r="BT96" s="1328">
        <f t="shared" si="441"/>
        <v>7.8620189295254425E-2</v>
      </c>
      <c r="BU96" s="1406">
        <f t="shared" si="441"/>
        <v>0.27427287631307307</v>
      </c>
      <c r="BV96" s="1405">
        <f t="shared" si="441"/>
        <v>0.25689015691868761</v>
      </c>
      <c r="BW96" s="1405">
        <f t="shared" ref="BW96:CO96" si="442">BW95/BW80</f>
        <v>0.26492966226941816</v>
      </c>
      <c r="BX96" s="1405">
        <f t="shared" si="442"/>
        <v>0.2895927601809955</v>
      </c>
      <c r="BY96" s="1328">
        <f t="shared" si="442"/>
        <v>8.3615726942391708E-2</v>
      </c>
      <c r="BZ96" s="1406">
        <f t="shared" si="442"/>
        <v>0.27026489737090603</v>
      </c>
      <c r="CA96" s="2568">
        <f t="shared" si="442"/>
        <v>0.40919738037191072</v>
      </c>
      <c r="CB96" s="2568">
        <f t="shared" si="442"/>
        <v>0.4179164795689268</v>
      </c>
      <c r="CC96" s="1405">
        <f t="shared" si="442"/>
        <v>0.39334441309473195</v>
      </c>
      <c r="CD96" s="1328">
        <f t="shared" si="442"/>
        <v>0.11411367637329985</v>
      </c>
      <c r="CE96" s="1405">
        <f t="shared" si="442"/>
        <v>0.40489983104030897</v>
      </c>
      <c r="CF96" s="1405">
        <f t="shared" si="442"/>
        <v>0.58165948850859472</v>
      </c>
      <c r="CG96" s="1405">
        <f t="shared" si="442"/>
        <v>0.58678842330068492</v>
      </c>
      <c r="CH96" s="1405">
        <f t="shared" si="442"/>
        <v>0.53260050251256286</v>
      </c>
      <c r="CI96" s="1328">
        <f t="shared" si="442"/>
        <v>0.15403340811859065</v>
      </c>
      <c r="CJ96" s="1405">
        <f t="shared" si="442"/>
        <v>0.65748498931442723</v>
      </c>
      <c r="CK96" s="1405">
        <f t="shared" si="442"/>
        <v>0.62521289345865139</v>
      </c>
      <c r="CL96" s="1405">
        <f t="shared" si="442"/>
        <v>0.63734133115211</v>
      </c>
      <c r="CM96" s="1405">
        <f t="shared" si="442"/>
        <v>0.61390855378719322</v>
      </c>
      <c r="CN96" s="4371">
        <f t="shared" si="442"/>
        <v>0.17505767712950032</v>
      </c>
      <c r="CO96" s="1405">
        <f t="shared" si="442"/>
        <v>0.6705135431809417</v>
      </c>
      <c r="CP96" s="1405">
        <f t="shared" ref="CP96:CU96" si="443">CP95/CP80</f>
        <v>0.77290130683795844</v>
      </c>
      <c r="CQ96" s="1405">
        <f t="shared" si="443"/>
        <v>0.67437577288394246</v>
      </c>
      <c r="CR96" s="1405">
        <f t="shared" si="443"/>
        <v>0.61662215713301172</v>
      </c>
      <c r="CS96" s="4371">
        <f t="shared" si="443"/>
        <v>0.19119326339407944</v>
      </c>
      <c r="CT96" s="1405">
        <f t="shared" si="443"/>
        <v>0.67391781062234113</v>
      </c>
      <c r="CU96" s="1405">
        <f t="shared" si="443"/>
        <v>0.56880139742105162</v>
      </c>
      <c r="CV96" s="1405">
        <f t="shared" ref="CV96:DC96" si="444">CV95/CV80</f>
        <v>0.56160014919806045</v>
      </c>
      <c r="CW96" s="1405">
        <f t="shared" si="444"/>
        <v>0.50463666031212639</v>
      </c>
      <c r="CX96" s="4371">
        <f t="shared" si="444"/>
        <v>0.14729029428823365</v>
      </c>
      <c r="CY96" s="1405">
        <f t="shared" si="444"/>
        <v>0.58997518787597503</v>
      </c>
      <c r="CZ96" s="1405">
        <f t="shared" si="444"/>
        <v>0.57378503941118131</v>
      </c>
      <c r="DA96" s="5275">
        <f t="shared" si="444"/>
        <v>0.61184647085530686</v>
      </c>
      <c r="DB96" s="1405">
        <f t="shared" si="444"/>
        <v>0.59987643172853</v>
      </c>
      <c r="DC96" s="4371">
        <f t="shared" si="444"/>
        <v>0.16190284802955349</v>
      </c>
      <c r="DD96" s="1405">
        <f>DD95/DD80</f>
        <v>0.74372266042090041</v>
      </c>
      <c r="DE96" s="1405">
        <f>DE95/DE80</f>
        <v>0.79430293070391678</v>
      </c>
      <c r="DF96" s="5275">
        <f>DF95/DF80</f>
        <v>0.86808949118671064</v>
      </c>
      <c r="DG96" s="1405">
        <f t="shared" ref="DG96" si="445">DG95/DG80</f>
        <v>0.63834964880261047</v>
      </c>
      <c r="DH96" s="4371">
        <f>DH95/DH80</f>
        <v>0.17998658911223042</v>
      </c>
      <c r="DI96" s="1405">
        <f>DI95/DI80</f>
        <v>0.7190537481691891</v>
      </c>
      <c r="DJ96" s="1405">
        <f>DJ95/DJ80</f>
        <v>0.66285474038259407</v>
      </c>
      <c r="DK96" s="5275">
        <f>DK95/DK80</f>
        <v>0.62489101128117075</v>
      </c>
      <c r="DL96" s="1405">
        <f t="shared" ref="DL96" si="446">DL95/DL80</f>
        <v>0.62763259455287246</v>
      </c>
      <c r="DM96" s="4371">
        <f>DM95/DM80</f>
        <v>0.17358480336678889</v>
      </c>
      <c r="DN96" s="1405">
        <f>DN95/DN80</f>
        <v>0.76223099652223936</v>
      </c>
      <c r="DO96" s="1405">
        <f>DO95/DO80</f>
        <v>0.63677300148061133</v>
      </c>
      <c r="DP96" s="5275">
        <f>DP95/DP80</f>
        <v>0.67951297587744375</v>
      </c>
      <c r="DQ96" s="4524">
        <v>0.67</v>
      </c>
      <c r="DR96" s="4371">
        <f>DR95/DR80</f>
        <v>0.18822999549971514</v>
      </c>
      <c r="DS96" s="4524">
        <f>DN96</f>
        <v>0.76223099652223936</v>
      </c>
      <c r="DT96" s="4524">
        <f t="shared" ref="DT96" si="447">DO96</f>
        <v>0.63677300148061133</v>
      </c>
      <c r="DU96" s="4524">
        <f t="shared" ref="DU96" si="448">DP96</f>
        <v>0.67951297587744375</v>
      </c>
      <c r="DV96" s="4524">
        <f t="shared" ref="DV96" si="449">DQ96</f>
        <v>0.67</v>
      </c>
      <c r="DW96" s="4371">
        <f>DW95/DW80</f>
        <v>0.18761551386836858</v>
      </c>
      <c r="DX96" s="1407">
        <f>DW96</f>
        <v>0.18761551386836858</v>
      </c>
      <c r="DY96" s="1407">
        <f>DX96</f>
        <v>0.18761551386836858</v>
      </c>
      <c r="DZ96" s="1407">
        <f>DY96</f>
        <v>0.18761551386836858</v>
      </c>
      <c r="EA96" s="1407">
        <f>DZ96</f>
        <v>0.18761551386836858</v>
      </c>
      <c r="EC96" s="3683"/>
      <c r="ED96" s="3683"/>
      <c r="EE96" s="3970"/>
      <c r="EF96" s="45"/>
    </row>
    <row r="97" spans="1:135" s="45" customFormat="1" ht="11.25" customHeight="1">
      <c r="A97" s="1588" t="s">
        <v>194</v>
      </c>
      <c r="B97" s="133"/>
      <c r="C97" s="133"/>
      <c r="D97" s="133"/>
      <c r="E97" s="706"/>
      <c r="F97" s="133"/>
      <c r="G97" s="133"/>
      <c r="H97" s="133"/>
      <c r="I97" s="706"/>
      <c r="J97" s="835"/>
      <c r="K97" s="133"/>
      <c r="L97" s="133"/>
      <c r="M97" s="706"/>
      <c r="N97" s="133"/>
      <c r="O97" s="133"/>
      <c r="P97" s="133"/>
      <c r="Q97" s="706">
        <f t="shared" ref="Q97:AV97" si="450">+Q32</f>
        <v>13.1</v>
      </c>
      <c r="R97" s="1414">
        <f t="shared" si="450"/>
        <v>0</v>
      </c>
      <c r="S97" s="1415">
        <f t="shared" si="450"/>
        <v>0</v>
      </c>
      <c r="T97" s="1415">
        <f t="shared" si="450"/>
        <v>0</v>
      </c>
      <c r="U97" s="706">
        <f t="shared" si="450"/>
        <v>88.671999999999997</v>
      </c>
      <c r="V97" s="1416">
        <f t="shared" si="450"/>
        <v>99.179000000000002</v>
      </c>
      <c r="W97" s="140">
        <f t="shared" si="450"/>
        <v>93.435000000000002</v>
      </c>
      <c r="X97" s="140">
        <f t="shared" si="450"/>
        <v>101.973</v>
      </c>
      <c r="Y97" s="706">
        <f t="shared" si="450"/>
        <v>122.544</v>
      </c>
      <c r="Z97" s="1416">
        <f t="shared" si="450"/>
        <v>154.62899999999999</v>
      </c>
      <c r="AA97" s="140">
        <f t="shared" si="450"/>
        <v>153.56200000000001</v>
      </c>
      <c r="AB97" s="140">
        <f t="shared" si="450"/>
        <v>174.71199999999999</v>
      </c>
      <c r="AC97" s="706">
        <f t="shared" si="450"/>
        <v>215.77099999999999</v>
      </c>
      <c r="AD97" s="1416">
        <f t="shared" si="450"/>
        <v>267.202</v>
      </c>
      <c r="AE97" s="140">
        <f t="shared" si="450"/>
        <v>272.73099999999999</v>
      </c>
      <c r="AF97" s="140">
        <f t="shared" si="450"/>
        <v>307.01</v>
      </c>
      <c r="AG97" s="706">
        <f t="shared" si="450"/>
        <v>370.36399999999998</v>
      </c>
      <c r="AH97" s="1416">
        <f t="shared" si="450"/>
        <v>448.12099999999998</v>
      </c>
      <c r="AI97" s="140">
        <f t="shared" si="450"/>
        <v>452.47199999999998</v>
      </c>
      <c r="AJ97" s="140">
        <f t="shared" si="450"/>
        <v>507.69299999999998</v>
      </c>
      <c r="AK97" s="706">
        <f t="shared" si="450"/>
        <v>522.00099999999998</v>
      </c>
      <c r="AL97" s="1416">
        <f t="shared" si="450"/>
        <v>525.76400000000001</v>
      </c>
      <c r="AM97" s="140">
        <f t="shared" si="450"/>
        <v>517.28700000000003</v>
      </c>
      <c r="AN97" s="140">
        <f t="shared" si="450"/>
        <v>515.94899999999996</v>
      </c>
      <c r="AO97" s="706">
        <f t="shared" si="450"/>
        <v>532.54700000000003</v>
      </c>
      <c r="AP97" s="1416">
        <f t="shared" si="450"/>
        <v>522.83500000000004</v>
      </c>
      <c r="AQ97" s="140">
        <f t="shared" si="450"/>
        <v>550.19899999999996</v>
      </c>
      <c r="AR97" s="140">
        <f t="shared" si="450"/>
        <v>599.28300000000002</v>
      </c>
      <c r="AS97" s="706">
        <f t="shared" si="450"/>
        <v>693.95799999999997</v>
      </c>
      <c r="AT97" s="1416">
        <f t="shared" si="450"/>
        <v>696</v>
      </c>
      <c r="AU97" s="140">
        <f t="shared" si="450"/>
        <v>677</v>
      </c>
      <c r="AV97" s="140">
        <f t="shared" si="450"/>
        <v>752</v>
      </c>
      <c r="AW97" s="706">
        <f t="shared" ref="AW97:CB97" si="451">+AW32</f>
        <v>885</v>
      </c>
      <c r="AX97" s="837">
        <f t="shared" si="451"/>
        <v>871</v>
      </c>
      <c r="AY97" s="140">
        <f t="shared" si="451"/>
        <v>916</v>
      </c>
      <c r="AZ97" s="140">
        <f t="shared" si="451"/>
        <v>962</v>
      </c>
      <c r="BA97" s="706">
        <f t="shared" si="451"/>
        <v>1168</v>
      </c>
      <c r="BB97" s="837">
        <f t="shared" si="451"/>
        <v>1164</v>
      </c>
      <c r="BC97" s="140">
        <f t="shared" si="451"/>
        <v>1175</v>
      </c>
      <c r="BD97" s="140">
        <f t="shared" si="451"/>
        <v>1108</v>
      </c>
      <c r="BE97" s="706">
        <f t="shared" si="451"/>
        <v>1471</v>
      </c>
      <c r="BF97" s="837">
        <f t="shared" si="451"/>
        <v>1437</v>
      </c>
      <c r="BG97" s="140">
        <f t="shared" si="451"/>
        <v>1458</v>
      </c>
      <c r="BH97" s="140">
        <f t="shared" si="451"/>
        <v>1472</v>
      </c>
      <c r="BI97" s="140">
        <f t="shared" si="451"/>
        <v>1729</v>
      </c>
      <c r="BJ97" s="866">
        <f t="shared" si="451"/>
        <v>1729</v>
      </c>
      <c r="BK97" s="140">
        <f t="shared" si="451"/>
        <v>1674</v>
      </c>
      <c r="BL97" s="140">
        <f t="shared" si="451"/>
        <v>1686</v>
      </c>
      <c r="BM97" s="140">
        <f t="shared" si="451"/>
        <v>1761</v>
      </c>
      <c r="BN97" s="706">
        <f t="shared" si="451"/>
        <v>1952</v>
      </c>
      <c r="BO97" s="866">
        <f t="shared" si="451"/>
        <v>1952</v>
      </c>
      <c r="BP97" s="837">
        <f t="shared" si="451"/>
        <v>1755</v>
      </c>
      <c r="BQ97" s="140">
        <f t="shared" si="451"/>
        <v>1823</v>
      </c>
      <c r="BR97" s="140">
        <f t="shared" si="451"/>
        <v>1899</v>
      </c>
      <c r="BS97" s="706">
        <f t="shared" si="451"/>
        <v>2329</v>
      </c>
      <c r="BT97" s="866">
        <f t="shared" si="451"/>
        <v>2329</v>
      </c>
      <c r="BU97" s="837">
        <f t="shared" si="451"/>
        <v>2227</v>
      </c>
      <c r="BV97" s="140">
        <f t="shared" si="451"/>
        <v>2345</v>
      </c>
      <c r="BW97" s="140">
        <f t="shared" si="451"/>
        <v>2542</v>
      </c>
      <c r="BX97" s="140">
        <f t="shared" si="451"/>
        <v>2942</v>
      </c>
      <c r="BY97" s="866">
        <f t="shared" si="451"/>
        <v>2942</v>
      </c>
      <c r="BZ97" s="837">
        <f t="shared" si="451"/>
        <v>2888</v>
      </c>
      <c r="CA97" s="140">
        <f t="shared" si="451"/>
        <v>3007</v>
      </c>
      <c r="CB97" s="140">
        <f t="shared" si="451"/>
        <v>3200</v>
      </c>
      <c r="CC97" s="140">
        <f t="shared" ref="CC97:CQ97" si="452">+CC32</f>
        <v>3975</v>
      </c>
      <c r="CD97" s="866">
        <f t="shared" si="452"/>
        <v>3975</v>
      </c>
      <c r="CE97" s="140">
        <f t="shared" si="452"/>
        <v>3723</v>
      </c>
      <c r="CF97" s="140">
        <f t="shared" si="452"/>
        <v>3728</v>
      </c>
      <c r="CG97" s="140">
        <f t="shared" si="452"/>
        <v>3878</v>
      </c>
      <c r="CH97" s="140">
        <f t="shared" si="452"/>
        <v>4592</v>
      </c>
      <c r="CI97" s="866">
        <f t="shared" si="452"/>
        <v>4592</v>
      </c>
      <c r="CJ97" s="140">
        <f t="shared" si="452"/>
        <v>4318</v>
      </c>
      <c r="CK97" s="140">
        <f t="shared" si="452"/>
        <v>4567</v>
      </c>
      <c r="CL97" s="140">
        <f t="shared" si="452"/>
        <v>4835</v>
      </c>
      <c r="CM97" s="140">
        <f t="shared" si="452"/>
        <v>5916</v>
      </c>
      <c r="CN97" s="4369">
        <f t="shared" si="452"/>
        <v>5916</v>
      </c>
      <c r="CO97" s="140">
        <f t="shared" si="452"/>
        <v>4982</v>
      </c>
      <c r="CP97" s="140">
        <f t="shared" si="452"/>
        <v>5005</v>
      </c>
      <c r="CQ97" s="140">
        <f t="shared" si="452"/>
        <v>6030</v>
      </c>
      <c r="CR97" s="140">
        <f t="shared" ref="CR97:CY97" si="453">+CR32</f>
        <v>7500</v>
      </c>
      <c r="CS97" s="4369">
        <f t="shared" si="453"/>
        <v>7500</v>
      </c>
      <c r="CT97" s="140">
        <f t="shared" si="453"/>
        <v>6962</v>
      </c>
      <c r="CU97" s="140">
        <f t="shared" si="453"/>
        <v>7438</v>
      </c>
      <c r="CV97" s="140">
        <f t="shared" si="453"/>
        <v>7745</v>
      </c>
      <c r="CW97" s="140">
        <f t="shared" si="453"/>
        <v>8996</v>
      </c>
      <c r="CX97" s="4369">
        <f t="shared" si="453"/>
        <v>8996</v>
      </c>
      <c r="CY97" s="140">
        <f t="shared" si="453"/>
        <v>8116</v>
      </c>
      <c r="CZ97" s="140">
        <f t="shared" ref="CZ97:DF97" si="454">+CZ32</f>
        <v>7889</v>
      </c>
      <c r="DA97" s="140">
        <f t="shared" si="454"/>
        <v>7662</v>
      </c>
      <c r="DB97" s="140">
        <f t="shared" si="454"/>
        <v>8370</v>
      </c>
      <c r="DC97" s="4369">
        <f t="shared" si="454"/>
        <v>8370</v>
      </c>
      <c r="DD97" s="140">
        <f t="shared" si="454"/>
        <v>7816</v>
      </c>
      <c r="DE97" s="140">
        <f t="shared" si="454"/>
        <v>7990</v>
      </c>
      <c r="DF97" s="140">
        <f t="shared" si="454"/>
        <v>8025</v>
      </c>
      <c r="DG97" s="140">
        <f t="shared" ref="DG97" si="455">+DG32</f>
        <v>8876</v>
      </c>
      <c r="DH97" s="4369">
        <f>+DH32</f>
        <v>8876</v>
      </c>
      <c r="DI97" s="140">
        <f t="shared" ref="DI97:DL97" si="456">+DI32</f>
        <v>8520</v>
      </c>
      <c r="DJ97" s="140">
        <f t="shared" si="456"/>
        <v>8899</v>
      </c>
      <c r="DK97" s="140">
        <f t="shared" si="456"/>
        <v>9365</v>
      </c>
      <c r="DL97" s="140">
        <f t="shared" si="456"/>
        <v>9802</v>
      </c>
      <c r="DM97" s="4369">
        <f>+DM32</f>
        <v>9802</v>
      </c>
      <c r="DN97" s="140">
        <f t="shared" ref="DN97:DP97" si="457">+DN32</f>
        <v>9965</v>
      </c>
      <c r="DO97" s="140">
        <f t="shared" si="457"/>
        <v>9787</v>
      </c>
      <c r="DP97" s="140">
        <f t="shared" si="457"/>
        <v>10081</v>
      </c>
      <c r="DQ97" s="140">
        <f t="shared" ref="DQ97" si="458">DQ80*DQ98</f>
        <v>11527.361091244191</v>
      </c>
      <c r="DR97" s="4369">
        <f>+DR32</f>
        <v>11527.361091244191</v>
      </c>
      <c r="DS97" s="140">
        <f t="shared" ref="DS97:DV97" si="459">DS80*DS98</f>
        <v>11840.291152256401</v>
      </c>
      <c r="DT97" s="140">
        <f t="shared" si="459"/>
        <v>11582.93331633257</v>
      </c>
      <c r="DU97" s="140">
        <f t="shared" si="459"/>
        <v>11838.554398248263</v>
      </c>
      <c r="DV97" s="140">
        <f t="shared" si="459"/>
        <v>13560.117585589558</v>
      </c>
      <c r="DW97" s="4369">
        <f>+DW32</f>
        <v>13560.117585589558</v>
      </c>
      <c r="DX97" s="866">
        <f>DX80*DX98</f>
        <v>15487.195748269229</v>
      </c>
      <c r="DY97" s="866">
        <f>DY80*DY98</f>
        <v>17446.504942657237</v>
      </c>
      <c r="DZ97" s="866">
        <f>DZ80*DZ98</f>
        <v>19399.043590215515</v>
      </c>
      <c r="EA97" s="866">
        <f>EA80*EA98</f>
        <v>21430.399073269513</v>
      </c>
      <c r="EC97" s="3683"/>
      <c r="ED97" s="3683"/>
      <c r="EE97" s="140"/>
    </row>
    <row r="98" spans="1:135" ht="11.25" customHeight="1">
      <c r="A98" s="1590" t="s">
        <v>59</v>
      </c>
      <c r="B98" s="1397"/>
      <c r="C98" s="1397"/>
      <c r="D98" s="1397"/>
      <c r="E98" s="1400"/>
      <c r="F98" s="1397"/>
      <c r="G98" s="1397"/>
      <c r="H98" s="1397"/>
      <c r="I98" s="1400"/>
      <c r="J98" s="838"/>
      <c r="K98" s="1397"/>
      <c r="L98" s="1397"/>
      <c r="M98" s="1400"/>
      <c r="N98" s="1397"/>
      <c r="O98" s="1397"/>
      <c r="P98" s="1397"/>
      <c r="Q98" s="1400">
        <f t="shared" ref="Q98:AW98" si="460">Q97/Q80</f>
        <v>9.6033311096612436E-2</v>
      </c>
      <c r="R98" s="838">
        <f t="shared" si="460"/>
        <v>0</v>
      </c>
      <c r="S98" s="1397">
        <f t="shared" si="460"/>
        <v>0</v>
      </c>
      <c r="T98" s="1397">
        <f t="shared" si="460"/>
        <v>0</v>
      </c>
      <c r="U98" s="1400">
        <f t="shared" si="460"/>
        <v>0.29975086116848482</v>
      </c>
      <c r="V98" s="1405">
        <f t="shared" si="460"/>
        <v>0.26057153966806873</v>
      </c>
      <c r="W98" s="1405">
        <f t="shared" si="460"/>
        <v>0.22079361403475606</v>
      </c>
      <c r="X98" s="1405">
        <f t="shared" si="460"/>
        <v>0.2027348619348015</v>
      </c>
      <c r="Y98" s="1400">
        <f t="shared" si="460"/>
        <v>0.18743547269548622</v>
      </c>
      <c r="Z98" s="1405">
        <f t="shared" si="460"/>
        <v>0.19457310789232282</v>
      </c>
      <c r="AA98" s="1405">
        <f t="shared" si="460"/>
        <v>0.17250765298958073</v>
      </c>
      <c r="AB98" s="1405">
        <f t="shared" si="460"/>
        <v>0.16661739377559409</v>
      </c>
      <c r="AC98" s="1400">
        <f t="shared" si="460"/>
        <v>0.16724463474071272</v>
      </c>
      <c r="AD98" s="1405">
        <f t="shared" si="460"/>
        <v>0.17452559373854926</v>
      </c>
      <c r="AE98" s="1405">
        <f t="shared" si="460"/>
        <v>0.16323065394964906</v>
      </c>
      <c r="AF98" s="1405">
        <f t="shared" si="460"/>
        <v>0.16466880389442448</v>
      </c>
      <c r="AG98" s="1400">
        <f t="shared" si="460"/>
        <v>0.16609144886720359</v>
      </c>
      <c r="AH98" s="1405">
        <f t="shared" si="460"/>
        <v>0.17649931723448256</v>
      </c>
      <c r="AI98" s="1405">
        <f t="shared" si="460"/>
        <v>0.16610133652854989</v>
      </c>
      <c r="AJ98" s="1405">
        <f t="shared" si="460"/>
        <v>0.16865582740992302</v>
      </c>
      <c r="AK98" s="1400">
        <f t="shared" si="460"/>
        <v>0.15412512751467802</v>
      </c>
      <c r="AL98" s="1405">
        <f t="shared" si="460"/>
        <v>0.14211147567924504</v>
      </c>
      <c r="AM98" s="1405">
        <f t="shared" si="460"/>
        <v>0.13286826985907851</v>
      </c>
      <c r="AN98" s="1405">
        <f t="shared" si="460"/>
        <v>0.12751493073104667</v>
      </c>
      <c r="AO98" s="1400">
        <f t="shared" si="460"/>
        <v>0.12627011785593528</v>
      </c>
      <c r="AP98" s="1405">
        <f t="shared" si="460"/>
        <v>0.12836512375307818</v>
      </c>
      <c r="AQ98" s="1405">
        <f t="shared" si="460"/>
        <v>0.13519921032902221</v>
      </c>
      <c r="AR98" s="1405">
        <f t="shared" si="460"/>
        <v>0.14726051549277155</v>
      </c>
      <c r="AS98" s="1400">
        <f t="shared" si="460"/>
        <v>0.14011034660430907</v>
      </c>
      <c r="AT98" s="1405">
        <f t="shared" si="460"/>
        <v>0.13744075829383887</v>
      </c>
      <c r="AU98" s="1405">
        <f t="shared" si="460"/>
        <v>0.13305817610062892</v>
      </c>
      <c r="AV98" s="1405">
        <f t="shared" si="460"/>
        <v>0.1372012406495165</v>
      </c>
      <c r="AW98" s="1400">
        <f t="shared" si="460"/>
        <v>0.13891068905980222</v>
      </c>
      <c r="AX98" s="1406">
        <f>AX97/AX80</f>
        <v>0.13324154811075417</v>
      </c>
      <c r="AY98" s="1405">
        <f>AY97/AY80</f>
        <v>0.1324465008675535</v>
      </c>
      <c r="AZ98" s="1405">
        <f>AZ97/AZ80</f>
        <v>0.12809587217043941</v>
      </c>
      <c r="BA98" s="1400">
        <f>BA97/BA80</f>
        <v>0.14359478731251538</v>
      </c>
      <c r="BB98" s="1406">
        <f t="shared" ref="BB98:BG98" si="461">BB97/BB80</f>
        <v>0.14308543331284573</v>
      </c>
      <c r="BC98" s="1405">
        <f t="shared" si="461"/>
        <v>0.14048302247728359</v>
      </c>
      <c r="BD98" s="1405">
        <f t="shared" si="461"/>
        <v>0.12654179990863407</v>
      </c>
      <c r="BE98" s="1400">
        <f t="shared" si="461"/>
        <v>0.14972010178117048</v>
      </c>
      <c r="BF98" s="1406">
        <f t="shared" si="461"/>
        <v>0.14385824406847533</v>
      </c>
      <c r="BG98" s="1405">
        <f t="shared" si="461"/>
        <v>0.14444224291658411</v>
      </c>
      <c r="BH98" s="1405">
        <f t="shared" ref="BH98:BO98" si="462">BH97/BH80</f>
        <v>0.1365238360230013</v>
      </c>
      <c r="BI98" s="2568">
        <f t="shared" si="462"/>
        <v>0.13946922642574816</v>
      </c>
      <c r="BJ98" s="1328">
        <f>BJ97/BJ80</f>
        <v>3.9966713668199996E-2</v>
      </c>
      <c r="BK98" s="2568">
        <f t="shared" si="462"/>
        <v>0.13734821135543157</v>
      </c>
      <c r="BL98" s="1405">
        <f t="shared" si="462"/>
        <v>0.13315432001263625</v>
      </c>
      <c r="BM98" s="1405">
        <f t="shared" si="462"/>
        <v>0.13366223908918407</v>
      </c>
      <c r="BN98" s="1400">
        <f t="shared" si="462"/>
        <v>0.13477870606918457</v>
      </c>
      <c r="BO98" s="1328">
        <f t="shared" si="462"/>
        <v>3.7178119762303827E-2</v>
      </c>
      <c r="BP98" s="1406">
        <f t="shared" ref="BP98:BV98" si="463">BP97/BP80</f>
        <v>0.12614101919068496</v>
      </c>
      <c r="BQ98" s="1405">
        <f t="shared" si="463"/>
        <v>0.12703832752613239</v>
      </c>
      <c r="BR98" s="1405">
        <f t="shared" si="463"/>
        <v>0.12568667681514328</v>
      </c>
      <c r="BS98" s="1400">
        <f t="shared" si="463"/>
        <v>0.13482690749102696</v>
      </c>
      <c r="BT98" s="1328">
        <f t="shared" si="463"/>
        <v>3.8403192296276756E-2</v>
      </c>
      <c r="BU98" s="1406">
        <f t="shared" si="463"/>
        <v>0.13522375371910864</v>
      </c>
      <c r="BV98" s="1405">
        <f t="shared" si="463"/>
        <v>0.13380884450784594</v>
      </c>
      <c r="BW98" s="1405">
        <f t="shared" ref="BW98:CO98" si="464">BW97/BW80</f>
        <v>0.13914281022497127</v>
      </c>
      <c r="BX98" s="1405">
        <f t="shared" si="464"/>
        <v>0.13866892911010559</v>
      </c>
      <c r="BY98" s="1328">
        <f t="shared" si="464"/>
        <v>4.0038650498781962E-2</v>
      </c>
      <c r="BZ98" s="1406">
        <f t="shared" si="464"/>
        <v>0.14353163361661944</v>
      </c>
      <c r="CA98" s="2568">
        <f t="shared" si="464"/>
        <v>0.14374492088531957</v>
      </c>
      <c r="CB98" s="2568">
        <f t="shared" si="464"/>
        <v>0.14369106421194433</v>
      </c>
      <c r="CC98" s="1405">
        <f t="shared" si="464"/>
        <v>0.15363506357979362</v>
      </c>
      <c r="CD98" s="1328">
        <f t="shared" si="464"/>
        <v>4.4571274794523622E-2</v>
      </c>
      <c r="CE98" s="1405">
        <f t="shared" si="464"/>
        <v>0.14977069756215303</v>
      </c>
      <c r="CF98" s="1405">
        <f t="shared" si="464"/>
        <v>0.14208941571063766</v>
      </c>
      <c r="CG98" s="1405">
        <f t="shared" si="464"/>
        <v>0.14279402017821635</v>
      </c>
      <c r="CH98" s="1405">
        <f t="shared" si="464"/>
        <v>0.1442211055276382</v>
      </c>
      <c r="CI98" s="1328">
        <f t="shared" si="464"/>
        <v>4.1710190475325405E-2</v>
      </c>
      <c r="CJ98" s="1405">
        <f t="shared" si="464"/>
        <v>0.14647715322772142</v>
      </c>
      <c r="CK98" s="1405">
        <f t="shared" si="464"/>
        <v>0.14404213713492714</v>
      </c>
      <c r="CL98" s="1405">
        <f t="shared" si="464"/>
        <v>0.14647520373231543</v>
      </c>
      <c r="CM98" s="1405">
        <f t="shared" si="464"/>
        <v>0.15744930004790547</v>
      </c>
      <c r="CN98" s="4371">
        <f t="shared" si="464"/>
        <v>4.4897091858417823E-2</v>
      </c>
      <c r="CO98" s="1405">
        <f t="shared" si="464"/>
        <v>0.14780312694692496</v>
      </c>
      <c r="CP98" s="1405">
        <f t="shared" ref="CP98:CU98" si="465">CP97/CP80</f>
        <v>0.15837104072398189</v>
      </c>
      <c r="CQ98" s="1405">
        <f t="shared" si="465"/>
        <v>0.15865498460809851</v>
      </c>
      <c r="CR98" s="1405">
        <f t="shared" si="465"/>
        <v>0.16152653342522399</v>
      </c>
      <c r="CS98" s="4371">
        <f t="shared" si="465"/>
        <v>5.0083806903551943E-2</v>
      </c>
      <c r="CT98" s="1405">
        <f t="shared" si="465"/>
        <v>0.15266874259900881</v>
      </c>
      <c r="CU98" s="1405">
        <f t="shared" si="465"/>
        <v>0.1459833958116622</v>
      </c>
      <c r="CV98" s="1405">
        <f t="shared" ref="CV98:DC98" si="466">CV97/CV80</f>
        <v>0.14444237224916076</v>
      </c>
      <c r="CW98" s="1405">
        <f t="shared" si="466"/>
        <v>0.14533587514943941</v>
      </c>
      <c r="CX98" s="4371">
        <f t="shared" si="466"/>
        <v>4.2419755647872648E-2</v>
      </c>
      <c r="CY98" s="1405">
        <f t="shared" si="466"/>
        <v>0.14487424358722623</v>
      </c>
      <c r="CZ98" s="1405">
        <f t="shared" si="466"/>
        <v>0.13726923143846462</v>
      </c>
      <c r="DA98" s="5275">
        <f t="shared" si="466"/>
        <v>0.13379666818007194</v>
      </c>
      <c r="DB98" s="1405">
        <f t="shared" si="466"/>
        <v>0.13259826053894777</v>
      </c>
      <c r="DC98" s="4371">
        <f t="shared" si="466"/>
        <v>3.5787430359883875E-2</v>
      </c>
      <c r="DD98" s="1405">
        <f>DD97/DD80</f>
        <v>0.13460544897185961</v>
      </c>
      <c r="DE98" s="1405">
        <f>DE97/DE80</f>
        <v>0.12873185428649686</v>
      </c>
      <c r="DF98" s="5275">
        <f>DF97/DF80</f>
        <v>0.12529078390657444</v>
      </c>
      <c r="DG98" s="1405">
        <f t="shared" ref="DG98" si="467">DG97/DG80</f>
        <v>0.1227255129694154</v>
      </c>
      <c r="DH98" s="4371">
        <f>DH97/DH80</f>
        <v>3.4603209256631372E-2</v>
      </c>
      <c r="DI98" s="1405">
        <f>DI97/DI80</f>
        <v>0.12604855532377612</v>
      </c>
      <c r="DJ98" s="1405">
        <f>DJ97/DJ80</f>
        <v>0.12471445588956626</v>
      </c>
      <c r="DK98" s="5275">
        <f>DK97/DK80</f>
        <v>0.12562207407208681</v>
      </c>
      <c r="DL98" s="1405">
        <f t="shared" ref="DL98" si="468">DL97/DL80</f>
        <v>0.12009164308204996</v>
      </c>
      <c r="DM98" s="4371">
        <f>DM97/DM80</f>
        <v>3.3213833110823467E-2</v>
      </c>
      <c r="DN98" s="1405">
        <f>DN97/DN80</f>
        <v>0.13028528096645137</v>
      </c>
      <c r="DO98" s="1405">
        <f>DO97/DO80</f>
        <v>0.11975820760373457</v>
      </c>
      <c r="DP98" s="5275">
        <f>DP97/DP80</f>
        <v>0.11525094318051904</v>
      </c>
      <c r="DQ98" s="4524">
        <f t="shared" ref="DQ98" si="469">DL98</f>
        <v>0.12009164308204996</v>
      </c>
      <c r="DR98" s="4371">
        <f>DR97/DR80</f>
        <v>3.3738581249086054E-2</v>
      </c>
      <c r="DS98" s="4524">
        <f>DN98</f>
        <v>0.13028528096645137</v>
      </c>
      <c r="DT98" s="4524">
        <f t="shared" ref="DT98" si="470">DO98</f>
        <v>0.11975820760373457</v>
      </c>
      <c r="DU98" s="4524">
        <f t="shared" ref="DU98" si="471">DP98</f>
        <v>0.11525094318051904</v>
      </c>
      <c r="DV98" s="4524">
        <f t="shared" ref="DV98" si="472">DQ98</f>
        <v>0.12009164308204996</v>
      </c>
      <c r="DW98" s="4371">
        <f>DW97/DW80</f>
        <v>3.3628440788261958E-2</v>
      </c>
      <c r="DX98" s="1407">
        <f>DW98</f>
        <v>3.3628440788261958E-2</v>
      </c>
      <c r="DY98" s="1407">
        <f>DX98</f>
        <v>3.3628440788261958E-2</v>
      </c>
      <c r="DZ98" s="1407">
        <f>DY98</f>
        <v>3.3628440788261958E-2</v>
      </c>
      <c r="EA98" s="1407">
        <f>DZ98</f>
        <v>3.3628440788261958E-2</v>
      </c>
      <c r="EC98" s="3683"/>
      <c r="ED98" s="3683"/>
      <c r="EE98" s="3970"/>
    </row>
    <row r="99" spans="1:135" s="45" customFormat="1" ht="11.25" customHeight="1">
      <c r="A99" s="1588" t="s">
        <v>220</v>
      </c>
      <c r="B99" s="133"/>
      <c r="C99" s="133"/>
      <c r="D99" s="133"/>
      <c r="E99" s="706"/>
      <c r="F99" s="133"/>
      <c r="G99" s="133"/>
      <c r="H99" s="133"/>
      <c r="I99" s="706"/>
      <c r="J99" s="835"/>
      <c r="K99" s="133"/>
      <c r="L99" s="133"/>
      <c r="M99" s="706"/>
      <c r="N99" s="133"/>
      <c r="O99" s="133"/>
      <c r="P99" s="133"/>
      <c r="Q99" s="706">
        <f>+Q33</f>
        <v>11.345000000000001</v>
      </c>
      <c r="R99" s="1414"/>
      <c r="S99" s="1415"/>
      <c r="T99" s="1415"/>
      <c r="U99" s="706">
        <f t="shared" ref="U99:AZ99" si="473">+U33</f>
        <v>15.346</v>
      </c>
      <c r="V99" s="1416">
        <f t="shared" si="473"/>
        <v>15.68</v>
      </c>
      <c r="W99" s="140">
        <f t="shared" si="473"/>
        <v>18.256</v>
      </c>
      <c r="X99" s="140">
        <f t="shared" si="473"/>
        <v>21.888000000000002</v>
      </c>
      <c r="Y99" s="706">
        <f t="shared" si="473"/>
        <v>36.508000000000003</v>
      </c>
      <c r="Z99" s="1416">
        <f t="shared" si="473"/>
        <v>41.393999999999998</v>
      </c>
      <c r="AA99" s="140">
        <f t="shared" si="473"/>
        <v>47.917000000000002</v>
      </c>
      <c r="AB99" s="140">
        <f t="shared" si="473"/>
        <v>55.654000000000003</v>
      </c>
      <c r="AC99" s="706">
        <f t="shared" si="473"/>
        <v>73.099000000000004</v>
      </c>
      <c r="AD99" s="1416">
        <f t="shared" si="473"/>
        <v>80.171999999999997</v>
      </c>
      <c r="AE99" s="140">
        <f t="shared" si="473"/>
        <v>83.286000000000001</v>
      </c>
      <c r="AF99" s="140">
        <f t="shared" si="473"/>
        <v>88.358999999999995</v>
      </c>
      <c r="AG99" s="706">
        <f t="shared" si="473"/>
        <v>105.136</v>
      </c>
      <c r="AH99" s="1416">
        <f t="shared" si="473"/>
        <v>105.771</v>
      </c>
      <c r="AI99" s="140">
        <f t="shared" si="473"/>
        <v>122.56</v>
      </c>
      <c r="AJ99" s="140">
        <f t="shared" si="473"/>
        <v>146.12899999999999</v>
      </c>
      <c r="AK99" s="706">
        <f t="shared" si="473"/>
        <v>178.07300000000001</v>
      </c>
      <c r="AL99" s="1416">
        <f t="shared" si="473"/>
        <v>194.066</v>
      </c>
      <c r="AM99" s="140">
        <f t="shared" si="473"/>
        <v>197.43299999999999</v>
      </c>
      <c r="AN99" s="140">
        <f t="shared" si="473"/>
        <v>200.37799999999999</v>
      </c>
      <c r="AO99" s="706">
        <f t="shared" si="473"/>
        <v>218.084</v>
      </c>
      <c r="AP99" s="1416">
        <f t="shared" si="473"/>
        <v>216.93700000000001</v>
      </c>
      <c r="AQ99" s="140">
        <f t="shared" si="473"/>
        <v>227.761</v>
      </c>
      <c r="AR99" s="140">
        <f t="shared" si="473"/>
        <v>252.221</v>
      </c>
      <c r="AS99" s="706">
        <f t="shared" si="473"/>
        <v>285.08</v>
      </c>
      <c r="AT99" s="1416">
        <f t="shared" si="473"/>
        <v>293</v>
      </c>
      <c r="AU99" s="140">
        <f t="shared" si="473"/>
        <v>302</v>
      </c>
      <c r="AV99" s="140">
        <f t="shared" si="473"/>
        <v>322</v>
      </c>
      <c r="AW99" s="706">
        <f t="shared" si="473"/>
        <v>394</v>
      </c>
      <c r="AX99" s="837">
        <f t="shared" si="473"/>
        <v>440</v>
      </c>
      <c r="AY99" s="140">
        <f t="shared" si="473"/>
        <v>489</v>
      </c>
      <c r="AZ99" s="140">
        <f t="shared" si="473"/>
        <v>489</v>
      </c>
      <c r="BA99" s="706">
        <f t="shared" ref="BA99:CF99" si="474">+BA33</f>
        <v>547</v>
      </c>
      <c r="BB99" s="837">
        <f t="shared" si="474"/>
        <v>594</v>
      </c>
      <c r="BC99" s="140">
        <f t="shared" si="474"/>
        <v>767</v>
      </c>
      <c r="BD99" s="140">
        <f t="shared" si="474"/>
        <v>905</v>
      </c>
      <c r="BE99" s="706">
        <f t="shared" si="474"/>
        <v>895</v>
      </c>
      <c r="BF99" s="837">
        <f t="shared" si="474"/>
        <v>882</v>
      </c>
      <c r="BG99" s="140">
        <f t="shared" si="474"/>
        <v>799</v>
      </c>
      <c r="BH99" s="140">
        <f t="shared" si="474"/>
        <v>907</v>
      </c>
      <c r="BI99" s="140">
        <f t="shared" si="474"/>
        <v>1062</v>
      </c>
      <c r="BJ99" s="866">
        <f t="shared" si="474"/>
        <v>1062</v>
      </c>
      <c r="BK99" s="140">
        <f t="shared" si="474"/>
        <v>947</v>
      </c>
      <c r="BL99" s="140">
        <f t="shared" si="474"/>
        <v>882</v>
      </c>
      <c r="BM99" s="140">
        <f t="shared" si="474"/>
        <v>820</v>
      </c>
      <c r="BN99" s="706">
        <f t="shared" si="474"/>
        <v>752</v>
      </c>
      <c r="BO99" s="866">
        <f t="shared" si="474"/>
        <v>752</v>
      </c>
      <c r="BP99" s="837">
        <f t="shared" si="474"/>
        <v>699</v>
      </c>
      <c r="BQ99" s="140">
        <f t="shared" si="474"/>
        <v>712</v>
      </c>
      <c r="BR99" s="140">
        <f t="shared" si="474"/>
        <v>705</v>
      </c>
      <c r="BS99" s="706">
        <f t="shared" si="474"/>
        <v>788</v>
      </c>
      <c r="BT99" s="866">
        <f t="shared" si="474"/>
        <v>788</v>
      </c>
      <c r="BU99" s="837">
        <f t="shared" si="474"/>
        <v>933</v>
      </c>
      <c r="BV99" s="140">
        <f t="shared" si="474"/>
        <v>900</v>
      </c>
      <c r="BW99" s="140">
        <f t="shared" si="474"/>
        <v>923</v>
      </c>
      <c r="BX99" s="140">
        <f t="shared" si="474"/>
        <v>1099</v>
      </c>
      <c r="BY99" s="866">
        <f t="shared" si="474"/>
        <v>1099</v>
      </c>
      <c r="BZ99" s="837">
        <f t="shared" si="474"/>
        <v>1148</v>
      </c>
      <c r="CA99" s="140">
        <f t="shared" si="474"/>
        <v>1226</v>
      </c>
      <c r="CB99" s="140">
        <f t="shared" si="474"/>
        <v>1269</v>
      </c>
      <c r="CC99" s="140">
        <f t="shared" si="474"/>
        <v>1432</v>
      </c>
      <c r="CD99" s="866">
        <f t="shared" si="474"/>
        <v>1432</v>
      </c>
      <c r="CE99" s="140">
        <f t="shared" si="474"/>
        <v>1596</v>
      </c>
      <c r="CF99" s="140">
        <f t="shared" si="474"/>
        <v>1714</v>
      </c>
      <c r="CG99" s="140">
        <f t="shared" ref="CG99:CQ99" si="475">+CG33</f>
        <v>1752</v>
      </c>
      <c r="CH99" s="140">
        <f t="shared" si="475"/>
        <v>1784</v>
      </c>
      <c r="CI99" s="866">
        <f t="shared" si="475"/>
        <v>1784</v>
      </c>
      <c r="CJ99" s="140">
        <f t="shared" si="475"/>
        <v>1667</v>
      </c>
      <c r="CK99" s="140">
        <f t="shared" si="475"/>
        <v>1717</v>
      </c>
      <c r="CL99" s="140">
        <f t="shared" si="475"/>
        <v>1679</v>
      </c>
      <c r="CM99" s="140">
        <f t="shared" si="475"/>
        <v>1908</v>
      </c>
      <c r="CN99" s="4369">
        <f t="shared" si="475"/>
        <v>1908</v>
      </c>
      <c r="CO99" s="140">
        <f t="shared" si="475"/>
        <v>1938</v>
      </c>
      <c r="CP99" s="140">
        <f t="shared" si="475"/>
        <v>2061</v>
      </c>
      <c r="CQ99" s="140">
        <f t="shared" si="475"/>
        <v>2302</v>
      </c>
      <c r="CR99" s="140">
        <f t="shared" ref="CR99:CY99" si="476">+CR33</f>
        <v>2543</v>
      </c>
      <c r="CS99" s="4369">
        <f t="shared" si="476"/>
        <v>2543</v>
      </c>
      <c r="CT99" s="140">
        <f t="shared" si="476"/>
        <v>2690</v>
      </c>
      <c r="CU99" s="140">
        <f t="shared" si="476"/>
        <v>2715</v>
      </c>
      <c r="CV99" s="140">
        <f t="shared" si="476"/>
        <v>2968</v>
      </c>
      <c r="CW99" s="140">
        <f t="shared" si="476"/>
        <v>3288</v>
      </c>
      <c r="CX99" s="4369">
        <f t="shared" si="476"/>
        <v>3288</v>
      </c>
      <c r="CY99" s="140">
        <f t="shared" si="476"/>
        <v>3198</v>
      </c>
      <c r="CZ99" s="140">
        <f t="shared" ref="CZ99:DF99" si="477">+CZ33</f>
        <v>3272</v>
      </c>
      <c r="DA99" s="140">
        <f t="shared" si="477"/>
        <v>3585</v>
      </c>
      <c r="DB99" s="140">
        <f t="shared" si="477"/>
        <v>3908</v>
      </c>
      <c r="DC99" s="4369">
        <f t="shared" si="477"/>
        <v>3908</v>
      </c>
      <c r="DD99" s="140">
        <f t="shared" si="477"/>
        <v>3715</v>
      </c>
      <c r="DE99" s="140">
        <f t="shared" si="477"/>
        <v>3846</v>
      </c>
      <c r="DF99" s="140">
        <f t="shared" si="477"/>
        <v>4303</v>
      </c>
      <c r="DG99" s="140">
        <f t="shared" ref="DG99" si="478">+DG33</f>
        <v>4137</v>
      </c>
      <c r="DH99" s="4369">
        <f>+DH33</f>
        <v>4137</v>
      </c>
      <c r="DI99" s="140">
        <f t="shared" ref="DI99:DL99" si="479">+DI33</f>
        <v>3973</v>
      </c>
      <c r="DJ99" s="140">
        <f t="shared" si="479"/>
        <v>4251</v>
      </c>
      <c r="DK99" s="140">
        <f t="shared" si="479"/>
        <v>4896</v>
      </c>
      <c r="DL99" s="140">
        <f t="shared" si="479"/>
        <v>5036</v>
      </c>
      <c r="DM99" s="4369">
        <f>+DM33</f>
        <v>5036</v>
      </c>
      <c r="DN99" s="140">
        <f t="shared" ref="DN99:DP99" si="480">+DN33</f>
        <v>4908</v>
      </c>
      <c r="DO99" s="140">
        <f t="shared" si="480"/>
        <v>4969</v>
      </c>
      <c r="DP99" s="140">
        <f t="shared" si="480"/>
        <v>5542</v>
      </c>
      <c r="DQ99" s="140">
        <f t="shared" ref="DQ99" si="481">DQ100*DQ103</f>
        <v>5922.4434253729596</v>
      </c>
      <c r="DR99" s="4369">
        <f>+DR33</f>
        <v>5922.4434253729596</v>
      </c>
      <c r="DS99" s="140">
        <f t="shared" ref="DS99:DV99" si="482">DS100*DS103</f>
        <v>5831.6255870822297</v>
      </c>
      <c r="DT99" s="140">
        <f t="shared" si="482"/>
        <v>5880.8210533213996</v>
      </c>
      <c r="DU99" s="140">
        <f t="shared" si="482"/>
        <v>6508.2103437250153</v>
      </c>
      <c r="DV99" s="140">
        <f t="shared" si="482"/>
        <v>6966.8182167954519</v>
      </c>
      <c r="DW99" s="4369">
        <f>+DW33</f>
        <v>6966.8182167954519</v>
      </c>
      <c r="DX99" s="866">
        <f>DX103*DX100</f>
        <v>7956.8983664847829</v>
      </c>
      <c r="DY99" s="866">
        <f>DY103*DY100</f>
        <v>8963.537940340937</v>
      </c>
      <c r="DZ99" s="866">
        <f>DZ103*DZ100</f>
        <v>9966.6989920756314</v>
      </c>
      <c r="EA99" s="866">
        <f>EA103*EA100</f>
        <v>11010.353982144998</v>
      </c>
      <c r="EC99" s="3683"/>
      <c r="ED99" s="3683"/>
      <c r="EE99" s="140"/>
    </row>
    <row r="100" spans="1:135" s="129" customFormat="1" ht="11.25" customHeight="1">
      <c r="A100" s="1588" t="s">
        <v>221</v>
      </c>
      <c r="B100" s="136"/>
      <c r="C100" s="136"/>
      <c r="D100" s="136"/>
      <c r="E100" s="1367"/>
      <c r="F100" s="136"/>
      <c r="G100" s="136"/>
      <c r="H100" s="136"/>
      <c r="I100" s="1367"/>
      <c r="J100" s="137"/>
      <c r="K100" s="136"/>
      <c r="L100" s="136"/>
      <c r="M100" s="1367"/>
      <c r="N100" s="137"/>
      <c r="O100" s="136"/>
      <c r="P100" s="136"/>
      <c r="Q100" s="1367">
        <f>Q99/Q103</f>
        <v>0.85648497659670841</v>
      </c>
      <c r="R100" s="138"/>
      <c r="S100" s="138"/>
      <c r="T100" s="138"/>
      <c r="U100" s="1367">
        <f t="shared" ref="U100:AW100" si="483">U99/U103</f>
        <v>0.75373280943025545</v>
      </c>
      <c r="V100" s="127">
        <f t="shared" si="483"/>
        <v>0.73854269699967023</v>
      </c>
      <c r="W100" s="127">
        <f t="shared" si="483"/>
        <v>0.75192553235306236</v>
      </c>
      <c r="X100" s="127">
        <f t="shared" si="483"/>
        <v>0.7752904505525644</v>
      </c>
      <c r="Y100" s="1367">
        <f t="shared" si="483"/>
        <v>0.83065231735341638</v>
      </c>
      <c r="Z100" s="127">
        <f t="shared" si="483"/>
        <v>0.85374858203568116</v>
      </c>
      <c r="AA100" s="127">
        <f t="shared" si="483"/>
        <v>0.82691079779798782</v>
      </c>
      <c r="AB100" s="127">
        <f t="shared" si="483"/>
        <v>0.84809972265398803</v>
      </c>
      <c r="AC100" s="1367">
        <f t="shared" si="483"/>
        <v>0.87473524238036537</v>
      </c>
      <c r="AD100" s="127">
        <f t="shared" si="483"/>
        <v>0.8240094557788169</v>
      </c>
      <c r="AE100" s="127">
        <f t="shared" si="483"/>
        <v>0.83966125617501763</v>
      </c>
      <c r="AF100" s="127">
        <f t="shared" si="483"/>
        <v>0.84028986334198741</v>
      </c>
      <c r="AG100" s="1367">
        <f t="shared" si="483"/>
        <v>0.84013360822106087</v>
      </c>
      <c r="AH100" s="127">
        <f t="shared" si="483"/>
        <v>0.83448520710059171</v>
      </c>
      <c r="AI100" s="127">
        <f t="shared" si="483"/>
        <v>0.84973619074691642</v>
      </c>
      <c r="AJ100" s="127">
        <f t="shared" si="483"/>
        <v>0.86056947675274587</v>
      </c>
      <c r="AK100" s="1367">
        <f t="shared" si="483"/>
        <v>0.85479690095141181</v>
      </c>
      <c r="AL100" s="127">
        <f t="shared" si="483"/>
        <v>0.85940641412844199</v>
      </c>
      <c r="AM100" s="127">
        <f t="shared" si="483"/>
        <v>0.86454638606447543</v>
      </c>
      <c r="AN100" s="127">
        <f t="shared" si="483"/>
        <v>0.869809436992664</v>
      </c>
      <c r="AO100" s="1367">
        <f t="shared" si="483"/>
        <v>0.87971859847843092</v>
      </c>
      <c r="AP100" s="127">
        <f t="shared" si="483"/>
        <v>0.87799241550410179</v>
      </c>
      <c r="AQ100" s="127">
        <f t="shared" si="483"/>
        <v>0.87790823170261645</v>
      </c>
      <c r="AR100" s="127">
        <f t="shared" si="483"/>
        <v>0.87556367095154941</v>
      </c>
      <c r="AS100" s="1367">
        <f t="shared" si="483"/>
        <v>0.87261017820739639</v>
      </c>
      <c r="AT100" s="127">
        <f t="shared" si="483"/>
        <v>0.89057750759878418</v>
      </c>
      <c r="AU100" s="127">
        <f t="shared" si="483"/>
        <v>0.9069069069069069</v>
      </c>
      <c r="AV100" s="127">
        <f t="shared" si="483"/>
        <v>0.90704225352112677</v>
      </c>
      <c r="AW100" s="1367">
        <f t="shared" si="483"/>
        <v>0.9184149184149184</v>
      </c>
      <c r="AX100" s="519">
        <f>AX99/AX103</f>
        <v>0.93220338983050843</v>
      </c>
      <c r="AY100" s="127">
        <f>AY99/AY103</f>
        <v>0.9458413926499033</v>
      </c>
      <c r="AZ100" s="127">
        <f>AZ99/AZ103</f>
        <v>0.94038461538461537</v>
      </c>
      <c r="BA100" s="1367">
        <f>BA99/BA103</f>
        <v>0.9255499153976311</v>
      </c>
      <c r="BB100" s="519">
        <f t="shared" ref="BB100:BG100" si="484">BB99/BB103</f>
        <v>0.93396226415094341</v>
      </c>
      <c r="BC100" s="127">
        <f t="shared" si="484"/>
        <v>0.88773148148148151</v>
      </c>
      <c r="BD100" s="127">
        <f t="shared" si="484"/>
        <v>0.90049751243781095</v>
      </c>
      <c r="BE100" s="1367">
        <f t="shared" si="484"/>
        <v>0.89949748743718594</v>
      </c>
      <c r="BF100" s="519">
        <f t="shared" si="484"/>
        <v>0.91779396462018725</v>
      </c>
      <c r="BG100" s="127">
        <f t="shared" si="484"/>
        <v>0.85821697099892591</v>
      </c>
      <c r="BH100" s="127">
        <f t="shared" ref="BH100:BO100" si="485">BH99/BH103</f>
        <v>0.87887596899224807</v>
      </c>
      <c r="BI100" s="127">
        <f t="shared" si="485"/>
        <v>0.88426311407160696</v>
      </c>
      <c r="BJ100" s="868">
        <f>BJ99/BJ103</f>
        <v>0.88426311407160696</v>
      </c>
      <c r="BK100" s="127">
        <f t="shared" si="485"/>
        <v>0.90190476190476188</v>
      </c>
      <c r="BL100" s="127">
        <f t="shared" si="485"/>
        <v>0.9046153846153846</v>
      </c>
      <c r="BM100" s="127">
        <f t="shared" si="485"/>
        <v>0.84188911704312119</v>
      </c>
      <c r="BN100" s="1367">
        <f t="shared" si="485"/>
        <v>0.87850467289719625</v>
      </c>
      <c r="BO100" s="868">
        <f t="shared" si="485"/>
        <v>0.87850467289719625</v>
      </c>
      <c r="BP100" s="519">
        <f t="shared" ref="BP100:BV100" si="486">BP99/BP103</f>
        <v>0.88257575757575757</v>
      </c>
      <c r="BQ100" s="127">
        <f t="shared" si="486"/>
        <v>0.86829268292682926</v>
      </c>
      <c r="BR100" s="127">
        <f t="shared" si="486"/>
        <v>0.8412887828162291</v>
      </c>
      <c r="BS100" s="1367">
        <f t="shared" si="486"/>
        <v>0.8391906283280085</v>
      </c>
      <c r="BT100" s="868">
        <f t="shared" si="486"/>
        <v>0.8391906283280085</v>
      </c>
      <c r="BU100" s="519">
        <f t="shared" si="486"/>
        <v>0.87687969924812026</v>
      </c>
      <c r="BV100" s="127">
        <f t="shared" si="486"/>
        <v>0.85632730732635587</v>
      </c>
      <c r="BW100" s="127">
        <f t="shared" ref="BW100:CO100" si="487">BW99/BW103</f>
        <v>0.84523809523809523</v>
      </c>
      <c r="BX100" s="127">
        <f t="shared" si="487"/>
        <v>0.84473481936971562</v>
      </c>
      <c r="BY100" s="868">
        <f t="shared" si="487"/>
        <v>0.84473481936971562</v>
      </c>
      <c r="BZ100" s="519">
        <f t="shared" si="487"/>
        <v>0.78042148198504424</v>
      </c>
      <c r="CA100" s="127">
        <f t="shared" si="487"/>
        <v>0.78039465308720557</v>
      </c>
      <c r="CB100" s="127">
        <f t="shared" si="487"/>
        <v>0.78575851393188856</v>
      </c>
      <c r="CC100" s="127">
        <f t="shared" si="487"/>
        <v>0.80812641083521441</v>
      </c>
      <c r="CD100" s="868">
        <f t="shared" si="487"/>
        <v>0.80812641083521441</v>
      </c>
      <c r="CE100" s="127">
        <f t="shared" si="487"/>
        <v>0.8351648351648352</v>
      </c>
      <c r="CF100" s="127">
        <f t="shared" si="487"/>
        <v>0.82722007722007718</v>
      </c>
      <c r="CG100" s="127">
        <f t="shared" si="487"/>
        <v>0.84678588690188494</v>
      </c>
      <c r="CH100" s="127">
        <f t="shared" si="487"/>
        <v>0.81834862385321105</v>
      </c>
      <c r="CI100" s="868">
        <f t="shared" si="487"/>
        <v>0.81834862385321105</v>
      </c>
      <c r="CJ100" s="127">
        <f t="shared" si="487"/>
        <v>0.81000971817298351</v>
      </c>
      <c r="CK100" s="127">
        <f t="shared" si="487"/>
        <v>0.81606463878326996</v>
      </c>
      <c r="CL100" s="127">
        <f t="shared" si="487"/>
        <v>0.82183064121390115</v>
      </c>
      <c r="CM100" s="127">
        <f t="shared" si="487"/>
        <v>0.84201235657546336</v>
      </c>
      <c r="CN100" s="4377">
        <f t="shared" si="487"/>
        <v>0.84201235657546336</v>
      </c>
      <c r="CO100" s="127">
        <f t="shared" si="487"/>
        <v>0.84702797202797198</v>
      </c>
      <c r="CP100" s="127">
        <f t="shared" ref="CP100:CU100" si="488">CP99/CP103</f>
        <v>0.83848657445077301</v>
      </c>
      <c r="CQ100" s="127">
        <f t="shared" si="488"/>
        <v>0.83526850507982586</v>
      </c>
      <c r="CR100" s="127">
        <f t="shared" si="488"/>
        <v>0.84093915343915349</v>
      </c>
      <c r="CS100" s="4377">
        <f t="shared" si="488"/>
        <v>0.84093915343915349</v>
      </c>
      <c r="CT100" s="127">
        <f t="shared" si="488"/>
        <v>0.8354037267080745</v>
      </c>
      <c r="CU100" s="127">
        <f t="shared" si="488"/>
        <v>0.8418604651162791</v>
      </c>
      <c r="CV100" s="127">
        <f t="shared" ref="CV100:DC100" si="489">CV99/CV103</f>
        <v>0.85336400230017251</v>
      </c>
      <c r="CW100" s="127">
        <f t="shared" si="489"/>
        <v>0.8600575464295056</v>
      </c>
      <c r="CX100" s="4377">
        <f t="shared" si="489"/>
        <v>0.8600575464295056</v>
      </c>
      <c r="CY100" s="127">
        <f t="shared" si="489"/>
        <v>0.86502569651068428</v>
      </c>
      <c r="CZ100" s="127">
        <f t="shared" si="489"/>
        <v>0.87393162393162394</v>
      </c>
      <c r="DA100" s="127">
        <f t="shared" si="489"/>
        <v>0.85786073223259152</v>
      </c>
      <c r="DB100" s="127">
        <f t="shared" si="489"/>
        <v>0.86709562902152204</v>
      </c>
      <c r="DC100" s="4377">
        <f t="shared" si="489"/>
        <v>0.86709562902152204</v>
      </c>
      <c r="DD100" s="127">
        <f>DD99/DD103</f>
        <v>0.85895953757225429</v>
      </c>
      <c r="DE100" s="127">
        <f>DE99/DE103</f>
        <v>0.85220474185685802</v>
      </c>
      <c r="DF100" s="127">
        <f>DF99/DF103</f>
        <v>0.82957393483709274</v>
      </c>
      <c r="DG100" s="127">
        <f t="shared" ref="DG100" si="490">DG99/DG103</f>
        <v>0.81953248811410462</v>
      </c>
      <c r="DH100" s="4377">
        <f>DH99/DH103</f>
        <v>0.81953248811410462</v>
      </c>
      <c r="DI100" s="127">
        <f>DI99/DI103</f>
        <v>0.81181038005721295</v>
      </c>
      <c r="DJ100" s="127">
        <f>DJ99/DJ103</f>
        <v>0.81187929717341478</v>
      </c>
      <c r="DK100" s="127">
        <f>DK99/DK103</f>
        <v>0.82828624598206735</v>
      </c>
      <c r="DL100" s="127">
        <f t="shared" ref="DL100" si="491">DL99/DL103</f>
        <v>1</v>
      </c>
      <c r="DM100" s="4377">
        <f>DM99/DM103</f>
        <v>1</v>
      </c>
      <c r="DN100" s="127">
        <f>DN99/DN103</f>
        <v>1</v>
      </c>
      <c r="DO100" s="127">
        <f>DO99/DO103</f>
        <v>1</v>
      </c>
      <c r="DP100" s="127">
        <f>DP99/DP103</f>
        <v>1</v>
      </c>
      <c r="DQ100" s="3970">
        <f t="shared" ref="DQ100" si="492">DL100</f>
        <v>1</v>
      </c>
      <c r="DR100" s="4377">
        <f>DR99/DR103</f>
        <v>1</v>
      </c>
      <c r="DS100" s="3970">
        <f>DN100</f>
        <v>1</v>
      </c>
      <c r="DT100" s="3970">
        <f t="shared" ref="DT100" si="493">DO100</f>
        <v>1</v>
      </c>
      <c r="DU100" s="3970">
        <f t="shared" ref="DU100" si="494">DP100</f>
        <v>1</v>
      </c>
      <c r="DV100" s="3970">
        <f t="shared" ref="DV100" si="495">DQ100</f>
        <v>1</v>
      </c>
      <c r="DW100" s="4377">
        <f>DW99/DW103</f>
        <v>1</v>
      </c>
      <c r="DX100" s="867">
        <f>DW100</f>
        <v>1</v>
      </c>
      <c r="DY100" s="867">
        <f>DX100</f>
        <v>1</v>
      </c>
      <c r="DZ100" s="867">
        <f>DY100</f>
        <v>1</v>
      </c>
      <c r="EA100" s="867">
        <f>DZ100</f>
        <v>1</v>
      </c>
      <c r="EC100" s="3683"/>
      <c r="ED100" s="3683"/>
      <c r="EE100" s="139"/>
    </row>
    <row r="101" spans="1:135" s="45" customFormat="1" ht="11.25" customHeight="1">
      <c r="A101" s="1588" t="s">
        <v>204</v>
      </c>
      <c r="B101" s="133"/>
      <c r="C101" s="133"/>
      <c r="D101" s="133"/>
      <c r="E101" s="706"/>
      <c r="F101" s="133"/>
      <c r="G101" s="133"/>
      <c r="H101" s="133"/>
      <c r="I101" s="706"/>
      <c r="J101" s="134"/>
      <c r="K101" s="133"/>
      <c r="L101" s="133"/>
      <c r="M101" s="706"/>
      <c r="N101" s="133"/>
      <c r="O101" s="133"/>
      <c r="P101" s="133"/>
      <c r="Q101" s="706">
        <f>Q42</f>
        <v>1.901</v>
      </c>
      <c r="R101" s="134"/>
      <c r="S101" s="133"/>
      <c r="T101" s="133"/>
      <c r="U101" s="706">
        <f>U42</f>
        <v>5.0140000000000002</v>
      </c>
      <c r="V101" s="140">
        <f>+V42</f>
        <v>5.5510000000000002</v>
      </c>
      <c r="W101" s="140">
        <f>+W42</f>
        <v>6.0229999999999997</v>
      </c>
      <c r="X101" s="140">
        <f>+X42</f>
        <v>6.3440000000000003</v>
      </c>
      <c r="Y101" s="706">
        <f>Y42</f>
        <v>7.4429999999999996</v>
      </c>
      <c r="Z101" s="140">
        <f t="shared" ref="Z101:BE101" si="496">+Z42</f>
        <v>7.0910000000000002</v>
      </c>
      <c r="AA101" s="140">
        <f t="shared" si="496"/>
        <v>10.029999999999999</v>
      </c>
      <c r="AB101" s="140">
        <f t="shared" si="496"/>
        <v>9.968</v>
      </c>
      <c r="AC101" s="706">
        <f t="shared" si="496"/>
        <v>10.468</v>
      </c>
      <c r="AD101" s="140">
        <f t="shared" si="496"/>
        <v>17.123000000000001</v>
      </c>
      <c r="AE101" s="140">
        <f t="shared" si="496"/>
        <v>15.904</v>
      </c>
      <c r="AF101" s="140">
        <f t="shared" si="496"/>
        <v>16.794</v>
      </c>
      <c r="AG101" s="706">
        <f t="shared" si="496"/>
        <v>20.006</v>
      </c>
      <c r="AH101" s="140">
        <f t="shared" si="496"/>
        <v>20.978999999999999</v>
      </c>
      <c r="AI101" s="140">
        <f t="shared" si="496"/>
        <v>21.672999999999998</v>
      </c>
      <c r="AJ101" s="140">
        <f t="shared" si="496"/>
        <v>23.675999999999998</v>
      </c>
      <c r="AK101" s="706">
        <f t="shared" si="496"/>
        <v>30.248999999999999</v>
      </c>
      <c r="AL101" s="140">
        <f t="shared" si="496"/>
        <v>31.748000000000001</v>
      </c>
      <c r="AM101" s="140">
        <f t="shared" si="496"/>
        <v>30.933</v>
      </c>
      <c r="AN101" s="140">
        <f t="shared" si="496"/>
        <v>29.992000000000001</v>
      </c>
      <c r="AO101" s="706">
        <f t="shared" si="496"/>
        <v>29.818000000000001</v>
      </c>
      <c r="AP101" s="140">
        <f t="shared" si="496"/>
        <v>30.146000000000001</v>
      </c>
      <c r="AQ101" s="140">
        <f t="shared" si="496"/>
        <v>31.675000000000001</v>
      </c>
      <c r="AR101" s="140">
        <f t="shared" si="496"/>
        <v>35.845999999999997</v>
      </c>
      <c r="AS101" s="706">
        <f t="shared" si="496"/>
        <v>41.618000000000002</v>
      </c>
      <c r="AT101" s="140">
        <f t="shared" si="496"/>
        <v>36</v>
      </c>
      <c r="AU101" s="140">
        <f t="shared" si="496"/>
        <v>31</v>
      </c>
      <c r="AV101" s="140">
        <f t="shared" si="496"/>
        <v>33</v>
      </c>
      <c r="AW101" s="706">
        <f t="shared" si="496"/>
        <v>35</v>
      </c>
      <c r="AX101" s="707">
        <f t="shared" si="496"/>
        <v>32</v>
      </c>
      <c r="AY101" s="140">
        <f t="shared" si="496"/>
        <v>28</v>
      </c>
      <c r="AZ101" s="140">
        <f t="shared" si="496"/>
        <v>31</v>
      </c>
      <c r="BA101" s="706">
        <f t="shared" si="496"/>
        <v>44</v>
      </c>
      <c r="BB101" s="707">
        <f t="shared" si="496"/>
        <v>42</v>
      </c>
      <c r="BC101" s="140">
        <f t="shared" si="496"/>
        <v>97</v>
      </c>
      <c r="BD101" s="140">
        <f t="shared" si="496"/>
        <v>100</v>
      </c>
      <c r="BE101" s="706">
        <f t="shared" si="496"/>
        <v>100</v>
      </c>
      <c r="BF101" s="707">
        <f t="shared" ref="BF101:CK101" si="497">+BF42</f>
        <v>79</v>
      </c>
      <c r="BG101" s="140">
        <f t="shared" si="497"/>
        <v>132</v>
      </c>
      <c r="BH101" s="140">
        <f t="shared" si="497"/>
        <v>125</v>
      </c>
      <c r="BI101" s="140">
        <f t="shared" si="497"/>
        <v>139</v>
      </c>
      <c r="BJ101" s="866">
        <f t="shared" si="497"/>
        <v>139</v>
      </c>
      <c r="BK101" s="140">
        <f t="shared" si="497"/>
        <v>103</v>
      </c>
      <c r="BL101" s="140">
        <f t="shared" si="497"/>
        <v>93</v>
      </c>
      <c r="BM101" s="140">
        <f t="shared" si="497"/>
        <v>154</v>
      </c>
      <c r="BN101" s="706">
        <f t="shared" si="497"/>
        <v>104</v>
      </c>
      <c r="BO101" s="866">
        <f t="shared" si="497"/>
        <v>104</v>
      </c>
      <c r="BP101" s="707">
        <f t="shared" si="497"/>
        <v>93</v>
      </c>
      <c r="BQ101" s="140">
        <f t="shared" si="497"/>
        <v>108</v>
      </c>
      <c r="BR101" s="140">
        <f t="shared" si="497"/>
        <v>133</v>
      </c>
      <c r="BS101" s="706">
        <f t="shared" si="497"/>
        <v>151</v>
      </c>
      <c r="BT101" s="866">
        <f t="shared" si="497"/>
        <v>151</v>
      </c>
      <c r="BU101" s="707">
        <f t="shared" si="497"/>
        <v>131</v>
      </c>
      <c r="BV101" s="140">
        <f t="shared" si="497"/>
        <v>151</v>
      </c>
      <c r="BW101" s="140">
        <f t="shared" si="497"/>
        <v>169</v>
      </c>
      <c r="BX101" s="140">
        <f t="shared" si="497"/>
        <v>202</v>
      </c>
      <c r="BY101" s="866">
        <f t="shared" si="497"/>
        <v>202</v>
      </c>
      <c r="BZ101" s="707">
        <f t="shared" si="497"/>
        <v>323</v>
      </c>
      <c r="CA101" s="140">
        <f t="shared" si="497"/>
        <v>345</v>
      </c>
      <c r="CB101" s="140">
        <f t="shared" si="497"/>
        <v>346</v>
      </c>
      <c r="CC101" s="140">
        <f t="shared" si="497"/>
        <v>340</v>
      </c>
      <c r="CD101" s="866">
        <f t="shared" si="497"/>
        <v>340</v>
      </c>
      <c r="CE101" s="140">
        <f t="shared" si="497"/>
        <v>315</v>
      </c>
      <c r="CF101" s="140">
        <f t="shared" si="497"/>
        <v>358</v>
      </c>
      <c r="CG101" s="140">
        <f t="shared" si="497"/>
        <v>317</v>
      </c>
      <c r="CH101" s="140">
        <f t="shared" si="497"/>
        <v>396</v>
      </c>
      <c r="CI101" s="866">
        <f t="shared" si="497"/>
        <v>396</v>
      </c>
      <c r="CJ101" s="140">
        <f t="shared" si="497"/>
        <v>391</v>
      </c>
      <c r="CK101" s="140">
        <f t="shared" si="497"/>
        <v>387</v>
      </c>
      <c r="CL101" s="140">
        <f t="shared" ref="CL101:CQ101" si="498">+CL42</f>
        <v>364</v>
      </c>
      <c r="CM101" s="140">
        <f t="shared" si="498"/>
        <v>358</v>
      </c>
      <c r="CN101" s="4369">
        <f t="shared" si="498"/>
        <v>358</v>
      </c>
      <c r="CO101" s="140">
        <f t="shared" si="498"/>
        <v>350</v>
      </c>
      <c r="CP101" s="140">
        <f t="shared" si="498"/>
        <v>397</v>
      </c>
      <c r="CQ101" s="140">
        <f t="shared" si="498"/>
        <v>454</v>
      </c>
      <c r="CR101" s="140">
        <f t="shared" ref="CR101:CY101" si="499">+CR42</f>
        <v>481</v>
      </c>
      <c r="CS101" s="4369">
        <f t="shared" si="499"/>
        <v>481</v>
      </c>
      <c r="CT101" s="140">
        <f t="shared" si="499"/>
        <v>530</v>
      </c>
      <c r="CU101" s="140">
        <f t="shared" si="499"/>
        <v>510</v>
      </c>
      <c r="CV101" s="140">
        <f t="shared" si="499"/>
        <v>510</v>
      </c>
      <c r="CW101" s="140">
        <f t="shared" si="499"/>
        <v>535</v>
      </c>
      <c r="CX101" s="4369">
        <f t="shared" si="499"/>
        <v>535</v>
      </c>
      <c r="CY101" s="140">
        <f t="shared" si="499"/>
        <v>499</v>
      </c>
      <c r="CZ101" s="140">
        <f t="shared" ref="CZ101:DF101" si="500">+CZ42</f>
        <v>472</v>
      </c>
      <c r="DA101" s="140">
        <f t="shared" si="500"/>
        <v>594</v>
      </c>
      <c r="DB101" s="140">
        <f t="shared" si="500"/>
        <v>599</v>
      </c>
      <c r="DC101" s="4369">
        <f t="shared" si="500"/>
        <v>599</v>
      </c>
      <c r="DD101" s="140">
        <f t="shared" si="500"/>
        <v>610</v>
      </c>
      <c r="DE101" s="140">
        <f t="shared" si="500"/>
        <v>667</v>
      </c>
      <c r="DF101" s="140">
        <f t="shared" si="500"/>
        <v>884</v>
      </c>
      <c r="DG101" s="140">
        <f t="shared" ref="DG101" si="501">+DG42</f>
        <v>911</v>
      </c>
      <c r="DH101" s="4369">
        <f>+DH42</f>
        <v>911</v>
      </c>
      <c r="DI101" s="140">
        <f t="shared" ref="DI101:DL101" si="502">+DI42</f>
        <v>921</v>
      </c>
      <c r="DJ101" s="140">
        <f t="shared" si="502"/>
        <v>985</v>
      </c>
      <c r="DK101" s="140">
        <f t="shared" si="502"/>
        <v>1015</v>
      </c>
      <c r="DL101" s="140">
        <f t="shared" si="502"/>
        <v>0</v>
      </c>
      <c r="DM101" s="4369">
        <f>+DM42</f>
        <v>0</v>
      </c>
      <c r="DN101" s="140">
        <f>+DN42</f>
        <v>0</v>
      </c>
      <c r="DO101" s="140">
        <f t="shared" ref="DO101:DP101" si="503">+DO42</f>
        <v>0</v>
      </c>
      <c r="DP101" s="140">
        <f t="shared" si="503"/>
        <v>0</v>
      </c>
      <c r="DQ101" s="140">
        <f t="shared" ref="DQ101" si="504">DQ103*DQ102</f>
        <v>0</v>
      </c>
      <c r="DR101" s="4369">
        <f>+DR42</f>
        <v>0</v>
      </c>
      <c r="DS101" s="140">
        <f t="shared" ref="DS101:DV101" si="505">DS103*DS102</f>
        <v>0</v>
      </c>
      <c r="DT101" s="140">
        <f t="shared" si="505"/>
        <v>0</v>
      </c>
      <c r="DU101" s="140">
        <f t="shared" si="505"/>
        <v>0</v>
      </c>
      <c r="DV101" s="140">
        <f t="shared" si="505"/>
        <v>0</v>
      </c>
      <c r="DW101" s="4369">
        <f>+DW42</f>
        <v>0</v>
      </c>
      <c r="DX101" s="866">
        <f>DX103*DX102</f>
        <v>0</v>
      </c>
      <c r="DY101" s="866">
        <f>DY103*DY102</f>
        <v>0</v>
      </c>
      <c r="DZ101" s="866">
        <f>DZ103*DZ102</f>
        <v>0</v>
      </c>
      <c r="EA101" s="866">
        <f>EA103*EA102</f>
        <v>0</v>
      </c>
      <c r="EC101" s="3683"/>
      <c r="ED101" s="3683"/>
      <c r="EE101" s="140"/>
    </row>
    <row r="102" spans="1:135" s="129" customFormat="1" ht="11.25" customHeight="1">
      <c r="A102" s="1588" t="s">
        <v>221</v>
      </c>
      <c r="B102" s="136"/>
      <c r="C102" s="136"/>
      <c r="D102" s="136"/>
      <c r="E102" s="1367"/>
      <c r="F102" s="136"/>
      <c r="G102" s="136"/>
      <c r="H102" s="136"/>
      <c r="I102" s="1367"/>
      <c r="J102" s="137"/>
      <c r="K102" s="136"/>
      <c r="L102" s="136"/>
      <c r="M102" s="1367"/>
      <c r="N102" s="137"/>
      <c r="O102" s="136"/>
      <c r="P102" s="136"/>
      <c r="Q102" s="1367">
        <f>Q101/Q103</f>
        <v>0.14351502340329156</v>
      </c>
      <c r="R102" s="138"/>
      <c r="S102" s="138"/>
      <c r="T102" s="138"/>
      <c r="U102" s="1367">
        <f t="shared" ref="U102:AW102" si="506">U101/U103</f>
        <v>0.24626719056974461</v>
      </c>
      <c r="V102" s="127">
        <f t="shared" si="506"/>
        <v>0.26145730300032971</v>
      </c>
      <c r="W102" s="127">
        <f t="shared" si="506"/>
        <v>0.24807446764693766</v>
      </c>
      <c r="X102" s="127">
        <f t="shared" si="506"/>
        <v>0.22470954944743551</v>
      </c>
      <c r="Y102" s="1367">
        <f t="shared" si="506"/>
        <v>0.16934768264658367</v>
      </c>
      <c r="Z102" s="127">
        <f t="shared" si="506"/>
        <v>0.14625141796431887</v>
      </c>
      <c r="AA102" s="127">
        <f t="shared" si="506"/>
        <v>0.17308920220201215</v>
      </c>
      <c r="AB102" s="127">
        <f t="shared" si="506"/>
        <v>0.151900277346012</v>
      </c>
      <c r="AC102" s="1367">
        <f t="shared" si="506"/>
        <v>0.12526475761963454</v>
      </c>
      <c r="AD102" s="127">
        <f t="shared" si="506"/>
        <v>0.17599054422118302</v>
      </c>
      <c r="AE102" s="127">
        <f t="shared" si="506"/>
        <v>0.16033874382498237</v>
      </c>
      <c r="AF102" s="127">
        <f t="shared" si="506"/>
        <v>0.15971013665801262</v>
      </c>
      <c r="AG102" s="1367">
        <f t="shared" si="506"/>
        <v>0.15986639177893913</v>
      </c>
      <c r="AH102" s="127">
        <f t="shared" si="506"/>
        <v>0.16551479289940826</v>
      </c>
      <c r="AI102" s="127">
        <f t="shared" si="506"/>
        <v>0.15026380925308352</v>
      </c>
      <c r="AJ102" s="127">
        <f t="shared" si="506"/>
        <v>0.13943052324725422</v>
      </c>
      <c r="AK102" s="1367">
        <f t="shared" si="506"/>
        <v>0.14520309904858825</v>
      </c>
      <c r="AL102" s="127">
        <f t="shared" si="506"/>
        <v>0.14059358587155801</v>
      </c>
      <c r="AM102" s="127">
        <f t="shared" si="506"/>
        <v>0.13545361393552455</v>
      </c>
      <c r="AN102" s="127">
        <f t="shared" si="506"/>
        <v>0.13019056300733603</v>
      </c>
      <c r="AO102" s="1367">
        <f t="shared" si="506"/>
        <v>0.12028140152156901</v>
      </c>
      <c r="AP102" s="127">
        <f t="shared" si="506"/>
        <v>0.12200758449589813</v>
      </c>
      <c r="AQ102" s="127">
        <f t="shared" si="506"/>
        <v>0.12209176829738357</v>
      </c>
      <c r="AR102" s="127">
        <f t="shared" si="506"/>
        <v>0.12443632904845052</v>
      </c>
      <c r="AS102" s="1367">
        <f t="shared" si="506"/>
        <v>0.12738982179260358</v>
      </c>
      <c r="AT102" s="127">
        <f t="shared" si="506"/>
        <v>0.10942249240121581</v>
      </c>
      <c r="AU102" s="127">
        <f t="shared" si="506"/>
        <v>9.3093093093093091E-2</v>
      </c>
      <c r="AV102" s="127">
        <f t="shared" si="506"/>
        <v>9.295774647887324E-2</v>
      </c>
      <c r="AW102" s="1367">
        <f t="shared" si="506"/>
        <v>8.1585081585081584E-2</v>
      </c>
      <c r="AX102" s="519">
        <f>AX101/AX103</f>
        <v>6.7796610169491525E-2</v>
      </c>
      <c r="AY102" s="127">
        <f>AY101/AY103</f>
        <v>5.4158607350096713E-2</v>
      </c>
      <c r="AZ102" s="127">
        <f>AZ101/AZ103</f>
        <v>5.9615384615384619E-2</v>
      </c>
      <c r="BA102" s="1367">
        <f>BA101/BA103</f>
        <v>7.4450084602368863E-2</v>
      </c>
      <c r="BB102" s="519">
        <f t="shared" ref="BB102:BG102" si="507">BB101/BB103</f>
        <v>6.6037735849056603E-2</v>
      </c>
      <c r="BC102" s="127">
        <f t="shared" si="507"/>
        <v>0.11226851851851852</v>
      </c>
      <c r="BD102" s="127">
        <f t="shared" si="507"/>
        <v>9.950248756218906E-2</v>
      </c>
      <c r="BE102" s="1367">
        <f t="shared" si="507"/>
        <v>0.10050251256281408</v>
      </c>
      <c r="BF102" s="519">
        <f t="shared" si="507"/>
        <v>8.2206035379812692E-2</v>
      </c>
      <c r="BG102" s="127">
        <f t="shared" si="507"/>
        <v>0.14178302900107412</v>
      </c>
      <c r="BH102" s="127">
        <f t="shared" ref="BH102:BP102" si="508">BH101/BH103</f>
        <v>0.12112403100775193</v>
      </c>
      <c r="BI102" s="127">
        <f t="shared" si="508"/>
        <v>0.115736885928393</v>
      </c>
      <c r="BJ102" s="868">
        <f>BJ101/BJ103</f>
        <v>0.115736885928393</v>
      </c>
      <c r="BK102" s="127">
        <f t="shared" si="508"/>
        <v>9.8095238095238096E-2</v>
      </c>
      <c r="BL102" s="127">
        <f t="shared" si="508"/>
        <v>9.5384615384615387E-2</v>
      </c>
      <c r="BM102" s="127">
        <f t="shared" si="508"/>
        <v>0.15811088295687886</v>
      </c>
      <c r="BN102" s="1367">
        <f t="shared" si="508"/>
        <v>0.12149532710280374</v>
      </c>
      <c r="BO102" s="868">
        <f t="shared" si="508"/>
        <v>0.12149532710280374</v>
      </c>
      <c r="BP102" s="127">
        <f t="shared" si="508"/>
        <v>0.11742424242424243</v>
      </c>
      <c r="BQ102" s="127">
        <f t="shared" ref="BQ102:CO102" si="509">BQ101/BQ103</f>
        <v>0.13170731707317074</v>
      </c>
      <c r="BR102" s="127">
        <f t="shared" si="509"/>
        <v>0.15871121718377088</v>
      </c>
      <c r="BS102" s="1367">
        <f t="shared" si="509"/>
        <v>0.16080937167199147</v>
      </c>
      <c r="BT102" s="868">
        <f t="shared" si="509"/>
        <v>0.16080937167199147</v>
      </c>
      <c r="BU102" s="127">
        <f t="shared" si="509"/>
        <v>0.1231203007518797</v>
      </c>
      <c r="BV102" s="127">
        <f t="shared" si="509"/>
        <v>0.14367269267364416</v>
      </c>
      <c r="BW102" s="127">
        <f t="shared" si="509"/>
        <v>0.15476190476190477</v>
      </c>
      <c r="BX102" s="127">
        <f t="shared" si="509"/>
        <v>0.15526518063028438</v>
      </c>
      <c r="BY102" s="868">
        <f t="shared" si="509"/>
        <v>0.15526518063028438</v>
      </c>
      <c r="BZ102" s="127">
        <f t="shared" si="509"/>
        <v>0.21957851801495581</v>
      </c>
      <c r="CA102" s="127">
        <f t="shared" si="509"/>
        <v>0.2196053469127944</v>
      </c>
      <c r="CB102" s="127">
        <f t="shared" si="509"/>
        <v>0.21424148606811144</v>
      </c>
      <c r="CC102" s="127">
        <f t="shared" si="509"/>
        <v>0.19187358916478556</v>
      </c>
      <c r="CD102" s="868">
        <f t="shared" si="509"/>
        <v>0.19187358916478556</v>
      </c>
      <c r="CE102" s="127">
        <f t="shared" si="509"/>
        <v>0.16483516483516483</v>
      </c>
      <c r="CF102" s="127">
        <f t="shared" si="509"/>
        <v>0.17277992277992277</v>
      </c>
      <c r="CG102" s="127">
        <f t="shared" si="509"/>
        <v>0.15321411309811503</v>
      </c>
      <c r="CH102" s="127">
        <f t="shared" si="509"/>
        <v>0.181651376146789</v>
      </c>
      <c r="CI102" s="868">
        <f t="shared" si="509"/>
        <v>0.181651376146789</v>
      </c>
      <c r="CJ102" s="127">
        <f t="shared" si="509"/>
        <v>0.18999028182701652</v>
      </c>
      <c r="CK102" s="127">
        <f t="shared" si="509"/>
        <v>0.18393536121673004</v>
      </c>
      <c r="CL102" s="127">
        <f t="shared" si="509"/>
        <v>0.17816935878609888</v>
      </c>
      <c r="CM102" s="127">
        <f t="shared" si="509"/>
        <v>0.15798764342453664</v>
      </c>
      <c r="CN102" s="4377">
        <f t="shared" si="509"/>
        <v>0.15798764342453664</v>
      </c>
      <c r="CO102" s="127">
        <f t="shared" si="509"/>
        <v>0.15297202797202797</v>
      </c>
      <c r="CP102" s="127">
        <f t="shared" ref="CP102:CU102" si="510">CP101/CP103</f>
        <v>0.16151342554922701</v>
      </c>
      <c r="CQ102" s="127">
        <f t="shared" si="510"/>
        <v>0.16473149492017417</v>
      </c>
      <c r="CR102" s="127">
        <f t="shared" si="510"/>
        <v>0.15906084656084657</v>
      </c>
      <c r="CS102" s="4377">
        <f t="shared" si="510"/>
        <v>0.15906084656084657</v>
      </c>
      <c r="CT102" s="127">
        <f t="shared" si="510"/>
        <v>0.16459627329192547</v>
      </c>
      <c r="CU102" s="127">
        <f t="shared" si="510"/>
        <v>0.15813953488372093</v>
      </c>
      <c r="CV102" s="127">
        <f t="shared" ref="CV102:DC102" si="511">CV101/CV103</f>
        <v>0.14663599769982749</v>
      </c>
      <c r="CW102" s="127">
        <f t="shared" si="511"/>
        <v>0.13994245357049437</v>
      </c>
      <c r="CX102" s="4377">
        <f t="shared" si="511"/>
        <v>0.13994245357049437</v>
      </c>
      <c r="CY102" s="127">
        <f t="shared" si="511"/>
        <v>0.13497430348931566</v>
      </c>
      <c r="CZ102" s="127">
        <f t="shared" si="511"/>
        <v>0.12606837606837606</v>
      </c>
      <c r="DA102" s="127">
        <f t="shared" si="511"/>
        <v>0.14213926776740848</v>
      </c>
      <c r="DB102" s="127">
        <f t="shared" si="511"/>
        <v>0.13290437097847793</v>
      </c>
      <c r="DC102" s="4377">
        <f t="shared" si="511"/>
        <v>0.13290437097847793</v>
      </c>
      <c r="DD102" s="127">
        <f>DD101/DD103</f>
        <v>0.14104046242774568</v>
      </c>
      <c r="DE102" s="127">
        <f>DE101/DE103</f>
        <v>0.14779525814314204</v>
      </c>
      <c r="DF102" s="127">
        <f>DF101/DF103</f>
        <v>0.17042606516290726</v>
      </c>
      <c r="DG102" s="127">
        <f t="shared" ref="DG102" si="512">DG101/DG103</f>
        <v>0.18046751188589541</v>
      </c>
      <c r="DH102" s="4377">
        <f>DH101/DH103</f>
        <v>0.18046751188589541</v>
      </c>
      <c r="DI102" s="127">
        <f>DI101/DI103</f>
        <v>0.18818961994278707</v>
      </c>
      <c r="DJ102" s="127">
        <f>DJ101/DJ103</f>
        <v>0.18812070282658519</v>
      </c>
      <c r="DK102" s="127">
        <f>DK101/DK103</f>
        <v>0.17171375401793268</v>
      </c>
      <c r="DL102" s="127">
        <f t="shared" ref="DL102" si="513">DL101/DL103</f>
        <v>0</v>
      </c>
      <c r="DM102" s="4377">
        <f>DM101/DM103</f>
        <v>0</v>
      </c>
      <c r="DN102" s="127">
        <f>DN101/DN103</f>
        <v>0</v>
      </c>
      <c r="DO102" s="127">
        <f>DO101/DO103</f>
        <v>0</v>
      </c>
      <c r="DP102" s="127">
        <f>DP101/DP103</f>
        <v>0</v>
      </c>
      <c r="DQ102" s="127">
        <f t="shared" ref="DQ102" si="514">1-DQ100</f>
        <v>0</v>
      </c>
      <c r="DR102" s="4377">
        <f>DR101/DR103</f>
        <v>0</v>
      </c>
      <c r="DS102" s="127">
        <v>0</v>
      </c>
      <c r="DT102" s="127">
        <v>0</v>
      </c>
      <c r="DU102" s="127">
        <v>0</v>
      </c>
      <c r="DV102" s="127">
        <v>0</v>
      </c>
      <c r="DW102" s="4377">
        <f>DW101/DW103</f>
        <v>0</v>
      </c>
      <c r="DX102" s="868">
        <f>1-DX100</f>
        <v>0</v>
      </c>
      <c r="DY102" s="868">
        <f>1-DY100</f>
        <v>0</v>
      </c>
      <c r="DZ102" s="868">
        <f>1-DZ100</f>
        <v>0</v>
      </c>
      <c r="EA102" s="868">
        <f>1-EA100</f>
        <v>0</v>
      </c>
      <c r="EC102" s="3683"/>
      <c r="ED102" s="3683"/>
      <c r="EE102" s="127"/>
    </row>
    <row r="103" spans="1:135" s="37" customFormat="1" ht="11.25" customHeight="1">
      <c r="A103" s="1588" t="s">
        <v>219</v>
      </c>
      <c r="B103" s="133"/>
      <c r="C103" s="133"/>
      <c r="D103" s="133"/>
      <c r="E103" s="706"/>
      <c r="F103" s="133"/>
      <c r="G103" s="133"/>
      <c r="H103" s="133"/>
      <c r="I103" s="706"/>
      <c r="J103" s="134"/>
      <c r="K103" s="133"/>
      <c r="L103" s="133"/>
      <c r="M103" s="706"/>
      <c r="N103" s="133"/>
      <c r="O103" s="133"/>
      <c r="P103" s="133"/>
      <c r="Q103" s="706">
        <f t="shared" ref="Q103:W103" si="515">Q99+Q101</f>
        <v>13.246</v>
      </c>
      <c r="R103" s="1417">
        <f t="shared" si="515"/>
        <v>0</v>
      </c>
      <c r="S103" s="1415">
        <f t="shared" si="515"/>
        <v>0</v>
      </c>
      <c r="T103" s="1415">
        <f t="shared" si="515"/>
        <v>0</v>
      </c>
      <c r="U103" s="706">
        <f t="shared" si="515"/>
        <v>20.36</v>
      </c>
      <c r="V103" s="1421">
        <f t="shared" si="515"/>
        <v>21.231000000000002</v>
      </c>
      <c r="W103" s="140">
        <f t="shared" si="515"/>
        <v>24.279</v>
      </c>
      <c r="X103" s="140">
        <f t="shared" ref="X103:AC103" si="516">X99+X101</f>
        <v>28.232000000000003</v>
      </c>
      <c r="Y103" s="706">
        <f t="shared" si="516"/>
        <v>43.951000000000001</v>
      </c>
      <c r="Z103" s="1421">
        <f t="shared" si="516"/>
        <v>48.484999999999999</v>
      </c>
      <c r="AA103" s="140">
        <f t="shared" si="516"/>
        <v>57.947000000000003</v>
      </c>
      <c r="AB103" s="140">
        <f t="shared" si="516"/>
        <v>65.622</v>
      </c>
      <c r="AC103" s="706">
        <f t="shared" si="516"/>
        <v>83.567000000000007</v>
      </c>
      <c r="AD103" s="1421">
        <f t="shared" ref="AD103:AJ103" si="517">AD99+AD101</f>
        <v>97.295000000000002</v>
      </c>
      <c r="AE103" s="140">
        <f t="shared" si="517"/>
        <v>99.19</v>
      </c>
      <c r="AF103" s="140">
        <f t="shared" si="517"/>
        <v>105.15299999999999</v>
      </c>
      <c r="AG103" s="706">
        <f t="shared" si="517"/>
        <v>125.142</v>
      </c>
      <c r="AH103" s="1421">
        <f t="shared" si="517"/>
        <v>126.75</v>
      </c>
      <c r="AI103" s="140">
        <f t="shared" si="517"/>
        <v>144.233</v>
      </c>
      <c r="AJ103" s="140">
        <f t="shared" si="517"/>
        <v>169.80499999999998</v>
      </c>
      <c r="AK103" s="706">
        <f t="shared" ref="AK103:AP103" si="518">AK99+AK101</f>
        <v>208.322</v>
      </c>
      <c r="AL103" s="1421">
        <f t="shared" si="518"/>
        <v>225.81399999999999</v>
      </c>
      <c r="AM103" s="140">
        <f t="shared" si="518"/>
        <v>228.36599999999999</v>
      </c>
      <c r="AN103" s="140">
        <f t="shared" si="518"/>
        <v>230.36999999999998</v>
      </c>
      <c r="AO103" s="706">
        <f t="shared" si="518"/>
        <v>247.90200000000002</v>
      </c>
      <c r="AP103" s="1421">
        <f t="shared" si="518"/>
        <v>247.08300000000003</v>
      </c>
      <c r="AQ103" s="140">
        <f t="shared" ref="AQ103:AV103" si="519">AQ99+AQ101</f>
        <v>259.43599999999998</v>
      </c>
      <c r="AR103" s="140">
        <f t="shared" si="519"/>
        <v>288.06700000000001</v>
      </c>
      <c r="AS103" s="706">
        <f t="shared" si="519"/>
        <v>326.69799999999998</v>
      </c>
      <c r="AT103" s="1421">
        <f t="shared" si="519"/>
        <v>329</v>
      </c>
      <c r="AU103" s="140">
        <f t="shared" si="519"/>
        <v>333</v>
      </c>
      <c r="AV103" s="140">
        <f t="shared" si="519"/>
        <v>355</v>
      </c>
      <c r="AW103" s="706">
        <f>AW99+AW101</f>
        <v>429</v>
      </c>
      <c r="AX103" s="707">
        <f>AX99+AX101</f>
        <v>472</v>
      </c>
      <c r="AY103" s="140">
        <f>AY99+AY101</f>
        <v>517</v>
      </c>
      <c r="AZ103" s="140">
        <f>AZ99+AZ101</f>
        <v>520</v>
      </c>
      <c r="BA103" s="706">
        <f>BA99+BA101</f>
        <v>591</v>
      </c>
      <c r="BB103" s="707">
        <f t="shared" ref="BB103:BG103" si="520">BB99+BB101</f>
        <v>636</v>
      </c>
      <c r="BC103" s="140">
        <f t="shared" si="520"/>
        <v>864</v>
      </c>
      <c r="BD103" s="140">
        <f t="shared" si="520"/>
        <v>1005</v>
      </c>
      <c r="BE103" s="706">
        <f t="shared" si="520"/>
        <v>995</v>
      </c>
      <c r="BF103" s="707">
        <f t="shared" si="520"/>
        <v>961</v>
      </c>
      <c r="BG103" s="140">
        <f t="shared" si="520"/>
        <v>931</v>
      </c>
      <c r="BH103" s="140">
        <f t="shared" ref="BH103:BO103" si="521">BH99+BH101</f>
        <v>1032</v>
      </c>
      <c r="BI103" s="140">
        <f t="shared" si="521"/>
        <v>1201</v>
      </c>
      <c r="BJ103" s="866">
        <f>BJ99+BJ101</f>
        <v>1201</v>
      </c>
      <c r="BK103" s="140">
        <f t="shared" si="521"/>
        <v>1050</v>
      </c>
      <c r="BL103" s="140">
        <f t="shared" si="521"/>
        <v>975</v>
      </c>
      <c r="BM103" s="140">
        <f t="shared" si="521"/>
        <v>974</v>
      </c>
      <c r="BN103" s="706">
        <f t="shared" si="521"/>
        <v>856</v>
      </c>
      <c r="BO103" s="866">
        <f t="shared" si="521"/>
        <v>856</v>
      </c>
      <c r="BP103" s="707">
        <f t="shared" ref="BP103:BV103" si="522">BP99+BP101</f>
        <v>792</v>
      </c>
      <c r="BQ103" s="140">
        <f t="shared" si="522"/>
        <v>820</v>
      </c>
      <c r="BR103" s="140">
        <f t="shared" si="522"/>
        <v>838</v>
      </c>
      <c r="BS103" s="706">
        <f t="shared" si="522"/>
        <v>939</v>
      </c>
      <c r="BT103" s="866">
        <f t="shared" si="522"/>
        <v>939</v>
      </c>
      <c r="BU103" s="707">
        <f t="shared" si="522"/>
        <v>1064</v>
      </c>
      <c r="BV103" s="140">
        <f t="shared" si="522"/>
        <v>1051</v>
      </c>
      <c r="BW103" s="140">
        <f t="shared" ref="BW103:CO103" si="523">BW99+BW101</f>
        <v>1092</v>
      </c>
      <c r="BX103" s="140">
        <f t="shared" si="523"/>
        <v>1301</v>
      </c>
      <c r="BY103" s="866">
        <f t="shared" si="523"/>
        <v>1301</v>
      </c>
      <c r="BZ103" s="707">
        <f t="shared" si="523"/>
        <v>1471</v>
      </c>
      <c r="CA103" s="140">
        <f t="shared" si="523"/>
        <v>1571</v>
      </c>
      <c r="CB103" s="140">
        <f t="shared" si="523"/>
        <v>1615</v>
      </c>
      <c r="CC103" s="140">
        <f t="shared" si="523"/>
        <v>1772</v>
      </c>
      <c r="CD103" s="866">
        <f t="shared" si="523"/>
        <v>1772</v>
      </c>
      <c r="CE103" s="140">
        <f t="shared" si="523"/>
        <v>1911</v>
      </c>
      <c r="CF103" s="140">
        <f t="shared" si="523"/>
        <v>2072</v>
      </c>
      <c r="CG103" s="140">
        <f t="shared" si="523"/>
        <v>2069</v>
      </c>
      <c r="CH103" s="140">
        <f t="shared" si="523"/>
        <v>2180</v>
      </c>
      <c r="CI103" s="866">
        <f t="shared" si="523"/>
        <v>2180</v>
      </c>
      <c r="CJ103" s="140">
        <f t="shared" si="523"/>
        <v>2058</v>
      </c>
      <c r="CK103" s="140">
        <f t="shared" si="523"/>
        <v>2104</v>
      </c>
      <c r="CL103" s="140">
        <f t="shared" si="523"/>
        <v>2043</v>
      </c>
      <c r="CM103" s="140">
        <f t="shared" si="523"/>
        <v>2266</v>
      </c>
      <c r="CN103" s="4369">
        <f t="shared" si="523"/>
        <v>2266</v>
      </c>
      <c r="CO103" s="140">
        <f t="shared" si="523"/>
        <v>2288</v>
      </c>
      <c r="CP103" s="140">
        <f t="shared" ref="CP103:CU103" si="524">CP99+CP101</f>
        <v>2458</v>
      </c>
      <c r="CQ103" s="140">
        <f t="shared" si="524"/>
        <v>2756</v>
      </c>
      <c r="CR103" s="140">
        <f t="shared" si="524"/>
        <v>3024</v>
      </c>
      <c r="CS103" s="4369">
        <f t="shared" si="524"/>
        <v>3024</v>
      </c>
      <c r="CT103" s="140">
        <f t="shared" si="524"/>
        <v>3220</v>
      </c>
      <c r="CU103" s="140">
        <f t="shared" si="524"/>
        <v>3225</v>
      </c>
      <c r="CV103" s="140">
        <f t="shared" ref="CV103:DC103" si="525">CV99+CV101</f>
        <v>3478</v>
      </c>
      <c r="CW103" s="140">
        <f t="shared" si="525"/>
        <v>3823</v>
      </c>
      <c r="CX103" s="4369">
        <f t="shared" si="525"/>
        <v>3823</v>
      </c>
      <c r="CY103" s="140">
        <f t="shared" si="525"/>
        <v>3697</v>
      </c>
      <c r="CZ103" s="140">
        <f t="shared" si="525"/>
        <v>3744</v>
      </c>
      <c r="DA103" s="140">
        <f t="shared" si="525"/>
        <v>4179</v>
      </c>
      <c r="DB103" s="140">
        <f t="shared" si="525"/>
        <v>4507</v>
      </c>
      <c r="DC103" s="4369">
        <f t="shared" si="525"/>
        <v>4507</v>
      </c>
      <c r="DD103" s="140">
        <f>DD99+DD101</f>
        <v>4325</v>
      </c>
      <c r="DE103" s="140">
        <f>DE99+DE101</f>
        <v>4513</v>
      </c>
      <c r="DF103" s="140">
        <f>DF99+DF101</f>
        <v>5187</v>
      </c>
      <c r="DG103" s="140">
        <f t="shared" ref="DG103" si="526">DG99+DG101</f>
        <v>5048</v>
      </c>
      <c r="DH103" s="4369">
        <f>DH99+DH101</f>
        <v>5048</v>
      </c>
      <c r="DI103" s="140">
        <f>DI99+DI101</f>
        <v>4894</v>
      </c>
      <c r="DJ103" s="140">
        <f>DJ99+DJ101</f>
        <v>5236</v>
      </c>
      <c r="DK103" s="140">
        <f>DK99+DK101</f>
        <v>5911</v>
      </c>
      <c r="DL103" s="140">
        <f t="shared" ref="DL103" si="527">DL99+DL101</f>
        <v>5036</v>
      </c>
      <c r="DM103" s="4369">
        <f>DM99+DM101</f>
        <v>5036</v>
      </c>
      <c r="DN103" s="140">
        <f>DN99+DN101</f>
        <v>4908</v>
      </c>
      <c r="DO103" s="140">
        <f>DO99+DO101</f>
        <v>4969</v>
      </c>
      <c r="DP103" s="140">
        <f>DP99+DP101</f>
        <v>5542</v>
      </c>
      <c r="DQ103" s="140">
        <f t="shared" ref="DQ103" si="528">DQ80*DQ104</f>
        <v>5922.4434253729596</v>
      </c>
      <c r="DR103" s="4369">
        <f>DR99+DR101</f>
        <v>5922.4434253729596</v>
      </c>
      <c r="DS103" s="140">
        <f t="shared" ref="DS103:DV103" si="529">DS80*DS104</f>
        <v>5831.6255870822297</v>
      </c>
      <c r="DT103" s="140">
        <f t="shared" si="529"/>
        <v>5880.8210533213996</v>
      </c>
      <c r="DU103" s="140">
        <f t="shared" si="529"/>
        <v>6508.2103437250153</v>
      </c>
      <c r="DV103" s="140">
        <f t="shared" si="529"/>
        <v>6966.8182167954519</v>
      </c>
      <c r="DW103" s="4369">
        <f>DW99+DW101</f>
        <v>6966.8182167954519</v>
      </c>
      <c r="DX103" s="866">
        <f>+DX80*DX104</f>
        <v>7956.8983664847829</v>
      </c>
      <c r="DY103" s="866">
        <f>+DY80*DY104</f>
        <v>8963.537940340937</v>
      </c>
      <c r="DZ103" s="866">
        <f>+DZ80*DZ104</f>
        <v>9966.6989920756314</v>
      </c>
      <c r="EA103" s="866">
        <f>+EA80*EA104</f>
        <v>11010.353982144998</v>
      </c>
      <c r="EC103" s="3683"/>
      <c r="ED103" s="3683"/>
      <c r="EE103" s="140"/>
    </row>
    <row r="104" spans="1:135" ht="11.25" customHeight="1">
      <c r="A104" s="1590" t="s">
        <v>59</v>
      </c>
      <c r="B104" s="1398"/>
      <c r="C104" s="1398"/>
      <c r="D104" s="1398"/>
      <c r="E104" s="1401"/>
      <c r="F104" s="1398"/>
      <c r="G104" s="1398"/>
      <c r="H104" s="1398"/>
      <c r="I104" s="1401"/>
      <c r="J104" s="842"/>
      <c r="K104" s="1398"/>
      <c r="L104" s="1398"/>
      <c r="M104" s="1401"/>
      <c r="N104" s="1398"/>
      <c r="O104" s="1398"/>
      <c r="P104" s="1398"/>
      <c r="Q104" s="1401">
        <f t="shared" ref="Q104:AW104" si="530">+Q103/Q80</f>
        <v>9.7103606014177751E-2</v>
      </c>
      <c r="R104" s="842">
        <f t="shared" si="530"/>
        <v>0</v>
      </c>
      <c r="S104" s="1398">
        <f t="shared" si="530"/>
        <v>0</v>
      </c>
      <c r="T104" s="1398">
        <f t="shared" si="530"/>
        <v>0</v>
      </c>
      <c r="U104" s="1401">
        <f t="shared" si="530"/>
        <v>6.8825869873131884E-2</v>
      </c>
      <c r="V104" s="843">
        <f t="shared" si="530"/>
        <v>5.577989653750056E-2</v>
      </c>
      <c r="W104" s="1408">
        <f t="shared" si="530"/>
        <v>5.7373020336595949E-2</v>
      </c>
      <c r="X104" s="1408">
        <f t="shared" si="530"/>
        <v>5.61286872225326E-2</v>
      </c>
      <c r="Y104" s="1401">
        <f t="shared" si="530"/>
        <v>6.7224641438498128E-2</v>
      </c>
      <c r="Z104" s="843">
        <f t="shared" si="530"/>
        <v>6.1009753255594178E-2</v>
      </c>
      <c r="AA104" s="1408">
        <f t="shared" si="530"/>
        <v>6.5096188951610651E-2</v>
      </c>
      <c r="AB104" s="1408">
        <f t="shared" si="530"/>
        <v>6.2581657896092061E-2</v>
      </c>
      <c r="AC104" s="1401">
        <f t="shared" si="530"/>
        <v>6.4772987989012154E-2</v>
      </c>
      <c r="AD104" s="843">
        <f t="shared" si="530"/>
        <v>6.3549178684261909E-2</v>
      </c>
      <c r="AE104" s="1408">
        <f t="shared" si="530"/>
        <v>5.9365633408984271E-2</v>
      </c>
      <c r="AF104" s="1408">
        <f t="shared" si="530"/>
        <v>5.6400178287060412E-2</v>
      </c>
      <c r="AG104" s="1401">
        <f t="shared" si="530"/>
        <v>5.6120508726927004E-2</v>
      </c>
      <c r="AH104" s="843">
        <f t="shared" si="530"/>
        <v>4.9922428226908948E-2</v>
      </c>
      <c r="AI104" s="1408">
        <f t="shared" si="530"/>
        <v>5.2947572604542026E-2</v>
      </c>
      <c r="AJ104" s="1408">
        <f t="shared" si="530"/>
        <v>5.6409292177244864E-2</v>
      </c>
      <c r="AK104" s="1401">
        <f t="shared" si="530"/>
        <v>6.1508799435466138E-2</v>
      </c>
      <c r="AL104" s="843">
        <f t="shared" si="530"/>
        <v>6.1036436060728845E-2</v>
      </c>
      <c r="AM104" s="1408">
        <f t="shared" si="530"/>
        <v>5.8657177378589297E-2</v>
      </c>
      <c r="AN104" s="1408">
        <f t="shared" si="530"/>
        <v>5.693511295207708E-2</v>
      </c>
      <c r="AO104" s="1401">
        <f t="shared" si="530"/>
        <v>5.8779065052891238E-2</v>
      </c>
      <c r="AP104" s="843">
        <f t="shared" si="530"/>
        <v>6.0663191776147006E-2</v>
      </c>
      <c r="AQ104" s="1408">
        <f t="shared" si="530"/>
        <v>6.3750647185691373E-2</v>
      </c>
      <c r="AR104" s="1408">
        <f t="shared" si="530"/>
        <v>7.0786080894095493E-2</v>
      </c>
      <c r="AS104" s="1401">
        <f t="shared" si="530"/>
        <v>6.5960432785463333E-2</v>
      </c>
      <c r="AT104" s="843">
        <f t="shared" si="530"/>
        <v>6.4968404423380727E-2</v>
      </c>
      <c r="AU104" s="1408">
        <f t="shared" si="530"/>
        <v>6.5448113207547176E-2</v>
      </c>
      <c r="AV104" s="1408">
        <f t="shared" si="530"/>
        <v>6.4769202700237186E-2</v>
      </c>
      <c r="AW104" s="1401">
        <f t="shared" si="530"/>
        <v>6.7336367917124468E-2</v>
      </c>
      <c r="AX104" s="1409">
        <f>+AX103/AX80</f>
        <v>7.2204375095609605E-2</v>
      </c>
      <c r="AY104" s="1410">
        <f>+AY103/AY80</f>
        <v>7.4754193175245801E-2</v>
      </c>
      <c r="AZ104" s="1410">
        <f>+AZ103/AZ80</f>
        <v>6.92410119840213E-2</v>
      </c>
      <c r="BA104" s="1401">
        <f>+BA103/BA80</f>
        <v>7.2657978854192284E-2</v>
      </c>
      <c r="BB104" s="1409">
        <f t="shared" ref="BB104:BG104" si="531">+BB103/BB80</f>
        <v>7.8180700676090967E-2</v>
      </c>
      <c r="BC104" s="1410">
        <f t="shared" si="531"/>
        <v>0.10329985652797705</v>
      </c>
      <c r="BD104" s="1410">
        <f t="shared" si="531"/>
        <v>0.11477843764275925</v>
      </c>
      <c r="BE104" s="1401">
        <f t="shared" si="531"/>
        <v>0.10127226463104326</v>
      </c>
      <c r="BF104" s="1409">
        <f t="shared" si="531"/>
        <v>9.6205826409049955E-2</v>
      </c>
      <c r="BG104" s="1410">
        <f t="shared" si="531"/>
        <v>9.2233009708737865E-2</v>
      </c>
      <c r="BH104" s="1410">
        <f t="shared" ref="BH104:BO104" si="532">+BH103/BH80</f>
        <v>9.5715080690038951E-2</v>
      </c>
      <c r="BI104" s="2569">
        <f t="shared" si="532"/>
        <v>9.687827700250061E-2</v>
      </c>
      <c r="BJ104" s="1411">
        <f>+BJ103/BJ80</f>
        <v>2.7761725341531634E-2</v>
      </c>
      <c r="BK104" s="2569">
        <f t="shared" si="532"/>
        <v>8.6150311782080741E-2</v>
      </c>
      <c r="BL104" s="1410">
        <f t="shared" si="532"/>
        <v>7.7002053388090352E-2</v>
      </c>
      <c r="BM104" s="1410">
        <f t="shared" si="532"/>
        <v>7.3927893738140418E-2</v>
      </c>
      <c r="BN104" s="1401">
        <f t="shared" si="532"/>
        <v>5.9103776841814538E-2</v>
      </c>
      <c r="BO104" s="1411">
        <f t="shared" si="532"/>
        <v>1.6303519731829957E-2</v>
      </c>
      <c r="BP104" s="1409">
        <f t="shared" ref="BP104:BV104" si="533">+BP103/BP80</f>
        <v>5.6925177891180907E-2</v>
      </c>
      <c r="BQ104" s="1410">
        <f t="shared" si="533"/>
        <v>5.7142857142857141E-2</v>
      </c>
      <c r="BR104" s="1410">
        <f t="shared" si="533"/>
        <v>5.5463630948441325E-2</v>
      </c>
      <c r="BS104" s="1401">
        <f t="shared" si="533"/>
        <v>5.4359152483501219E-2</v>
      </c>
      <c r="BT104" s="1411">
        <f t="shared" si="533"/>
        <v>1.5483296507601491E-2</v>
      </c>
      <c r="BU104" s="1409">
        <f t="shared" si="533"/>
        <v>6.4606229886453342E-2</v>
      </c>
      <c r="BV104" s="1410">
        <f t="shared" si="533"/>
        <v>5.9971469329529244E-2</v>
      </c>
      <c r="BW104" s="1410">
        <f t="shared" ref="BW104:CO104" si="534">+BW103/BW80</f>
        <v>5.9773386611199297E-2</v>
      </c>
      <c r="BX104" s="1410">
        <f t="shared" si="534"/>
        <v>6.1321644042232275E-2</v>
      </c>
      <c r="BY104" s="1411">
        <f t="shared" si="534"/>
        <v>1.7705739054695899E-2</v>
      </c>
      <c r="BZ104" s="1409">
        <f t="shared" si="534"/>
        <v>7.3107698424531589E-2</v>
      </c>
      <c r="CA104" s="2569">
        <f t="shared" si="534"/>
        <v>7.5099192121994354E-2</v>
      </c>
      <c r="CB104" s="2569">
        <f t="shared" si="534"/>
        <v>7.2519083969465645E-2</v>
      </c>
      <c r="CC104" s="1410">
        <f t="shared" si="534"/>
        <v>6.848838557569667E-2</v>
      </c>
      <c r="CD104" s="1411">
        <f t="shared" si="534"/>
        <v>1.9869257593936065E-2</v>
      </c>
      <c r="CE104" s="1410">
        <f t="shared" si="534"/>
        <v>7.687665942553705E-2</v>
      </c>
      <c r="CF104" s="1410">
        <f t="shared" si="534"/>
        <v>7.8972443495826508E-2</v>
      </c>
      <c r="CG104" s="1410">
        <f t="shared" si="534"/>
        <v>7.6183813241033946E-2</v>
      </c>
      <c r="CH104" s="1410">
        <f t="shared" si="534"/>
        <v>6.846733668341709E-2</v>
      </c>
      <c r="CI104" s="1411">
        <f t="shared" si="534"/>
        <v>1.9801440600219815E-2</v>
      </c>
      <c r="CJ104" s="1410">
        <f t="shared" si="534"/>
        <v>6.9812408833406836E-2</v>
      </c>
      <c r="CK104" s="1410">
        <f t="shared" si="534"/>
        <v>6.6359679555920009E-2</v>
      </c>
      <c r="CL104" s="1410">
        <f t="shared" si="534"/>
        <v>6.1892211215123151E-2</v>
      </c>
      <c r="CM104" s="1410">
        <f t="shared" si="534"/>
        <v>6.0307659551817744E-2</v>
      </c>
      <c r="CN104" s="4378">
        <f t="shared" si="534"/>
        <v>1.7196891506283771E-2</v>
      </c>
      <c r="CO104" s="1410">
        <f t="shared" si="534"/>
        <v>6.7879075562939442E-2</v>
      </c>
      <c r="CP104" s="1410">
        <f t="shared" ref="CP104:CU104" si="535">+CP103/CP80</f>
        <v>7.777742619371579E-2</v>
      </c>
      <c r="CQ104" s="1410">
        <f t="shared" si="535"/>
        <v>7.2512958139290137E-2</v>
      </c>
      <c r="CR104" s="1410">
        <f t="shared" si="535"/>
        <v>6.5127498277050305E-2</v>
      </c>
      <c r="CS104" s="4378">
        <f t="shared" si="535"/>
        <v>2.0193790943512143E-2</v>
      </c>
      <c r="CT104" s="1410">
        <f t="shared" si="535"/>
        <v>7.0610938116749261E-2</v>
      </c>
      <c r="CU104" s="1410">
        <f t="shared" si="535"/>
        <v>6.3296108025357692E-2</v>
      </c>
      <c r="CV104" s="1410">
        <f t="shared" ref="CV104:DC104" si="536">+CV103/CV80</f>
        <v>6.4863856769861991E-2</v>
      </c>
      <c r="CW104" s="1410">
        <f t="shared" si="536"/>
        <v>6.176290025525865E-2</v>
      </c>
      <c r="CX104" s="4378">
        <f t="shared" si="536"/>
        <v>1.802698152977069E-2</v>
      </c>
      <c r="CY104" s="1410">
        <f t="shared" si="536"/>
        <v>6.5993109726709631E-2</v>
      </c>
      <c r="CZ104" s="1410">
        <f t="shared" si="536"/>
        <v>6.5145899671138485E-2</v>
      </c>
      <c r="DA104" s="5211">
        <f t="shared" si="536"/>
        <v>7.2975238361331338E-2</v>
      </c>
      <c r="DB104" s="1410">
        <f t="shared" si="536"/>
        <v>7.1400281989132328E-2</v>
      </c>
      <c r="DC104" s="4378">
        <f t="shared" si="536"/>
        <v>1.9270483707526476E-2</v>
      </c>
      <c r="DD104" s="1410">
        <f>+DD103/DD80</f>
        <v>7.4484207625805113E-2</v>
      </c>
      <c r="DE104" s="1410">
        <f>+DE103/DE80</f>
        <v>7.2711746983098915E-2</v>
      </c>
      <c r="DF104" s="5211">
        <f>+DF103/DF80</f>
        <v>8.0982342196062512E-2</v>
      </c>
      <c r="DG104" s="1410">
        <f t="shared" ref="DG104" si="537">+DG103/DG80</f>
        <v>6.9797024500857258E-2</v>
      </c>
      <c r="DH104" s="4378">
        <f>+DH103/DH80</f>
        <v>1.9679698099084628E-2</v>
      </c>
      <c r="DI104" s="1410">
        <f>+DI103/DI80</f>
        <v>7.2403947154291132E-2</v>
      </c>
      <c r="DJ104" s="1410">
        <f>+DJ103/DJ80</f>
        <v>7.3379580968397445E-2</v>
      </c>
      <c r="DK104" s="5211">
        <f>+DK103/DK80</f>
        <v>7.9290131323022442E-2</v>
      </c>
      <c r="DL104" s="1410">
        <f t="shared" ref="DL104" si="538">+DL103/DL80</f>
        <v>6.1699807647541689E-2</v>
      </c>
      <c r="DM104" s="4378">
        <f>+DM103/DM80</f>
        <v>1.7064360696399408E-2</v>
      </c>
      <c r="DN104" s="1410">
        <f>+DN103/DN80</f>
        <v>6.4168606019402247E-2</v>
      </c>
      <c r="DO104" s="1410">
        <f>+DO103/DO80</f>
        <v>6.0802956328083892E-2</v>
      </c>
      <c r="DP104" s="5211">
        <f>+DP103/DP80</f>
        <v>6.3358865896878933E-2</v>
      </c>
      <c r="DQ104" s="4524">
        <f t="shared" ref="DQ104" si="539">DL104</f>
        <v>6.1699807647541689E-2</v>
      </c>
      <c r="DR104" s="4378">
        <f>+DR103/DR80</f>
        <v>1.7333961963925462E-2</v>
      </c>
      <c r="DS104" s="4524">
        <f>DN104</f>
        <v>6.4168606019402247E-2</v>
      </c>
      <c r="DT104" s="4524">
        <f t="shared" ref="DT104" si="540">DO104</f>
        <v>6.0802956328083892E-2</v>
      </c>
      <c r="DU104" s="4524">
        <f t="shared" ref="DU104" si="541">DP104</f>
        <v>6.3358865896878933E-2</v>
      </c>
      <c r="DV104" s="4524">
        <f t="shared" ref="DV104" si="542">DQ104</f>
        <v>6.1699807647541689E-2</v>
      </c>
      <c r="DW104" s="4378">
        <f>+DW103/DW80</f>
        <v>1.72773748020493E-2</v>
      </c>
      <c r="DX104" s="1412">
        <f>DW104</f>
        <v>1.72773748020493E-2</v>
      </c>
      <c r="DY104" s="1412">
        <f>DX104</f>
        <v>1.72773748020493E-2</v>
      </c>
      <c r="DZ104" s="1412">
        <f>DY104</f>
        <v>1.72773748020493E-2</v>
      </c>
      <c r="EA104" s="1412">
        <f>DZ104</f>
        <v>1.72773748020493E-2</v>
      </c>
      <c r="EC104" s="3683"/>
      <c r="ED104" s="3683"/>
      <c r="EE104" s="139"/>
    </row>
    <row r="105" spans="1:135" s="37" customFormat="1" ht="11.25" customHeight="1">
      <c r="A105" s="4010" t="s">
        <v>831</v>
      </c>
      <c r="B105" s="4011"/>
      <c r="C105" s="4011"/>
      <c r="D105" s="4011"/>
      <c r="E105" s="4012"/>
      <c r="F105" s="4011"/>
      <c r="G105" s="4011"/>
      <c r="H105" s="4011"/>
      <c r="I105" s="4012"/>
      <c r="J105" s="4013"/>
      <c r="K105" s="4011"/>
      <c r="L105" s="4011"/>
      <c r="M105" s="4012"/>
      <c r="N105" s="4011"/>
      <c r="O105" s="4011"/>
      <c r="P105" s="4011"/>
      <c r="Q105" s="4012"/>
      <c r="R105" s="4014"/>
      <c r="S105" s="4015"/>
      <c r="T105" s="4015"/>
      <c r="U105" s="4012"/>
      <c r="V105" s="4016"/>
      <c r="W105" s="4017"/>
      <c r="X105" s="4017"/>
      <c r="Y105" s="4012"/>
      <c r="Z105" s="4016"/>
      <c r="AA105" s="4017"/>
      <c r="AB105" s="4017"/>
      <c r="AC105" s="4012"/>
      <c r="AD105" s="4018">
        <f>CF!AD18</f>
        <v>181.25700000000009</v>
      </c>
      <c r="AE105" s="4017">
        <f>CF!AE18</f>
        <v>124.72599999999997</v>
      </c>
      <c r="AF105" s="4017">
        <f>CF!AF18</f>
        <v>154.33300000000006</v>
      </c>
      <c r="AG105" s="4012">
        <f>CF!AG18</f>
        <v>-10.724999999999984</v>
      </c>
      <c r="AH105" s="4018">
        <f>CF!AH18</f>
        <v>-54.311000000000007</v>
      </c>
      <c r="AI105" s="4017">
        <f>CF!AI18</f>
        <v>257.06200000000001</v>
      </c>
      <c r="AJ105" s="4017">
        <f>CF!AJ18</f>
        <v>135.20600000000002</v>
      </c>
      <c r="AK105" s="4012">
        <f>CF!AK18</f>
        <v>327.23200000000003</v>
      </c>
      <c r="AL105" s="4018">
        <f>CF!AL18</f>
        <v>212.07899999999995</v>
      </c>
      <c r="AM105" s="4017">
        <f>CF!AM18</f>
        <v>-437.6230000000001</v>
      </c>
      <c r="AN105" s="4017">
        <f>CF!AN18</f>
        <v>596.05000000000007</v>
      </c>
      <c r="AO105" s="4012">
        <f>CF!AO18</f>
        <v>115.48099999999999</v>
      </c>
      <c r="AP105" s="4018">
        <f>CF!AP18</f>
        <v>485.98699999999991</v>
      </c>
      <c r="AQ105" s="4017">
        <f>CF!AQ18</f>
        <v>30</v>
      </c>
      <c r="AR105" s="4017">
        <f>CF!AR18</f>
        <v>-396</v>
      </c>
      <c r="AS105" s="4012">
        <f>CF!AS18</f>
        <v>-9</v>
      </c>
      <c r="AT105" s="4018">
        <f>CF!AT18</f>
        <v>276</v>
      </c>
      <c r="AU105" s="4017">
        <f>CF!AU18</f>
        <v>-99</v>
      </c>
      <c r="AV105" s="4017">
        <f>CF!AV18</f>
        <v>240</v>
      </c>
      <c r="AW105" s="4012">
        <f>CF!AW18</f>
        <v>-61</v>
      </c>
      <c r="AX105" s="4018">
        <f>CF!AX18</f>
        <v>176</v>
      </c>
      <c r="AY105" s="4017">
        <f>CF!AY18</f>
        <v>275</v>
      </c>
      <c r="AZ105" s="4017">
        <f>CF!AZ18</f>
        <v>630</v>
      </c>
      <c r="BA105" s="4012">
        <f>CF!BA18</f>
        <v>-521</v>
      </c>
      <c r="BB105" s="4018">
        <f>CF!BB18</f>
        <v>505</v>
      </c>
      <c r="BC105" s="4017">
        <f>CF!BC18</f>
        <v>432</v>
      </c>
      <c r="BD105" s="4017">
        <f>CF!BD18</f>
        <v>482</v>
      </c>
      <c r="BE105" s="4012">
        <f>CF!BE18</f>
        <v>898</v>
      </c>
      <c r="BF105" s="4018">
        <f>CF!BF18</f>
        <v>-1465</v>
      </c>
      <c r="BG105" s="4017">
        <f>CF!BG18</f>
        <v>422</v>
      </c>
      <c r="BH105" s="4017">
        <f>CF!BH18</f>
        <v>414</v>
      </c>
      <c r="BI105" s="4012">
        <f>CF!BI18</f>
        <v>598</v>
      </c>
      <c r="BJ105" s="4019">
        <f>CF!BJ18</f>
        <v>-31</v>
      </c>
      <c r="BK105" s="4017">
        <f>CF!BK18</f>
        <v>-789</v>
      </c>
      <c r="BL105" s="4017">
        <f>CF!BL18</f>
        <v>670</v>
      </c>
      <c r="BM105" s="4017">
        <f>CF!BM18</f>
        <v>825</v>
      </c>
      <c r="BN105" s="4012">
        <f>CF!BN18</f>
        <v>-342</v>
      </c>
      <c r="BO105" s="4019">
        <f>CF!BO18</f>
        <v>364</v>
      </c>
      <c r="BP105" s="4018">
        <f>CF!BP18</f>
        <v>608</v>
      </c>
      <c r="BQ105" s="4017">
        <f>CF!BQ18</f>
        <v>1019</v>
      </c>
      <c r="BR105" s="4017">
        <f>CF!BR18</f>
        <v>-138</v>
      </c>
      <c r="BS105" s="4012">
        <f>CF!BS18</f>
        <v>-1898</v>
      </c>
      <c r="BT105" s="4019">
        <f>CF!BT18</f>
        <v>-409</v>
      </c>
      <c r="BU105" s="4018">
        <f>CF!BU18</f>
        <v>-172</v>
      </c>
      <c r="BV105" s="4017">
        <f>CF!BV18</f>
        <v>1259</v>
      </c>
      <c r="BW105" s="4017">
        <f>CF!BW18</f>
        <v>1637</v>
      </c>
      <c r="BX105" s="4017">
        <f>CF!BX18</f>
        <v>576</v>
      </c>
      <c r="BY105" s="4019">
        <f>CF!BY18</f>
        <v>3300</v>
      </c>
      <c r="BZ105" s="4018">
        <f>CF!BZ18</f>
        <v>-79</v>
      </c>
      <c r="CA105" s="4017">
        <f>CF!CA18</f>
        <v>284</v>
      </c>
      <c r="CB105" s="4017">
        <f>CF!CB18</f>
        <v>-286</v>
      </c>
      <c r="CC105" s="4017">
        <f>CF!CC18</f>
        <v>9327</v>
      </c>
      <c r="CD105" s="4019">
        <f>CF!CD18</f>
        <v>9246</v>
      </c>
      <c r="CE105" s="4017">
        <f>CF!CE18</f>
        <v>1065</v>
      </c>
      <c r="CF105" s="4017">
        <f>CF!CF18</f>
        <v>3480</v>
      </c>
      <c r="CG105" s="4017">
        <f>CF!CG18</f>
        <v>-132</v>
      </c>
      <c r="CH105" s="4017">
        <f>CF!CH18</f>
        <v>495</v>
      </c>
      <c r="CI105" s="4019">
        <f>CF!CI18</f>
        <v>4908</v>
      </c>
      <c r="CJ105" s="4017">
        <f>CF!CJ18</f>
        <v>1093</v>
      </c>
      <c r="CK105" s="4017">
        <f>CF!CK18</f>
        <v>-737</v>
      </c>
      <c r="CL105" s="4017">
        <f>CF!CL18</f>
        <v>1685</v>
      </c>
      <c r="CM105" s="4017">
        <f>CF!CM18</f>
        <v>-1222</v>
      </c>
      <c r="CN105" s="4379">
        <f>CF!CN18</f>
        <v>819</v>
      </c>
      <c r="CO105" s="4017">
        <f>CF!CO18</f>
        <v>-2958</v>
      </c>
      <c r="CP105" s="4017">
        <f>CF!CP18</f>
        <v>2327</v>
      </c>
      <c r="CQ105" s="4017">
        <f>CF!CQ18</f>
        <v>756</v>
      </c>
      <c r="CR105" s="4017">
        <f>CF!CR18</f>
        <v>1702</v>
      </c>
      <c r="CS105" s="4379">
        <f>CF!CS18</f>
        <v>1827</v>
      </c>
      <c r="CT105" s="4017">
        <f>CF!CT18</f>
        <v>-1233</v>
      </c>
      <c r="CU105" s="4017">
        <f>CF!CU18</f>
        <v>-871</v>
      </c>
      <c r="CV105" s="4017">
        <f>CF!CV18</f>
        <v>2806</v>
      </c>
      <c r="CW105" s="4017">
        <f>CF!CW18</f>
        <v>-2225</v>
      </c>
      <c r="CX105" s="4379">
        <f>CF!CX18</f>
        <v>-1523</v>
      </c>
      <c r="CY105" s="4017">
        <f>CF!CY18</f>
        <v>897</v>
      </c>
      <c r="CZ105" s="4017">
        <f>CF!CZ18</f>
        <v>-4217</v>
      </c>
      <c r="DA105" s="4017">
        <f>CF!DA18</f>
        <v>796</v>
      </c>
      <c r="DB105" s="4017">
        <f>CF!DB18</f>
        <v>289</v>
      </c>
      <c r="DC105" s="4379">
        <f>CF!DC18</f>
        <v>-2235</v>
      </c>
      <c r="DD105" s="4017">
        <f>CF!DD18</f>
        <v>1373</v>
      </c>
      <c r="DE105" s="4017">
        <f>CF!DE18</f>
        <v>2936</v>
      </c>
      <c r="DF105" s="4017">
        <f>CF!DF18</f>
        <v>2117</v>
      </c>
      <c r="DG105" s="4017">
        <f>CF!DG18</f>
        <v>-10271</v>
      </c>
      <c r="DH105" s="4379">
        <f>CF!DH18</f>
        <v>-3845</v>
      </c>
      <c r="DI105" s="4017">
        <f>CF!DI18</f>
        <v>-2463</v>
      </c>
      <c r="DJ105" s="4017">
        <f>CF!DJ18</f>
        <v>-5270</v>
      </c>
      <c r="DK105" s="4017">
        <f>CF!DK18</f>
        <v>-3789</v>
      </c>
      <c r="DL105" s="4017">
        <f>CF!DL18</f>
        <v>3116</v>
      </c>
      <c r="DM105" s="4379">
        <f>CF!DM18</f>
        <v>-8406</v>
      </c>
      <c r="DN105" s="4017">
        <f>CF!DN18</f>
        <v>2238</v>
      </c>
      <c r="DO105" s="4017">
        <f>CF!DO18</f>
        <v>-10110</v>
      </c>
      <c r="DP105" s="4017">
        <f>CF!DP18</f>
        <v>3783</v>
      </c>
      <c r="DQ105" s="4017">
        <f>CF!DQ18</f>
        <v>2743.4812608634911</v>
      </c>
      <c r="DR105" s="4379">
        <f>CF!DR18</f>
        <v>-1345.5187391365089</v>
      </c>
      <c r="DS105" s="4017">
        <f>CF!DS18</f>
        <v>3807.0082528376352</v>
      </c>
      <c r="DT105" s="4017">
        <f>CF!DT18</f>
        <v>-11762.153997422527</v>
      </c>
      <c r="DU105" s="4017">
        <f>CF!DU18</f>
        <v>6086.2781583998376</v>
      </c>
      <c r="DV105" s="4017">
        <f>CF!DV18</f>
        <v>3707.6692065129873</v>
      </c>
      <c r="DW105" s="4379">
        <f>CF!DW18</f>
        <v>1838.8016203279331</v>
      </c>
      <c r="DX105" s="4019">
        <f>CF!DX18</f>
        <v>951.20655616702061</v>
      </c>
      <c r="DY105" s="4019">
        <f>CF!DY18</f>
        <v>980.36227329055419</v>
      </c>
      <c r="DZ105" s="4019">
        <f>CF!DZ18</f>
        <v>974.23773623181478</v>
      </c>
      <c r="EA105" s="4019">
        <f>CF!EA18</f>
        <v>1045.5342861244044</v>
      </c>
      <c r="EC105" s="3683"/>
      <c r="ED105" s="3683"/>
      <c r="EE105" s="140"/>
    </row>
    <row r="106" spans="1:135" s="45" customFormat="1" ht="11.25" customHeight="1">
      <c r="A106" s="1588"/>
      <c r="B106" s="133"/>
      <c r="C106" s="133"/>
      <c r="D106" s="133"/>
      <c r="E106" s="485"/>
      <c r="F106" s="133"/>
      <c r="G106" s="133"/>
      <c r="H106" s="133"/>
      <c r="I106" s="485"/>
      <c r="J106" s="4006"/>
      <c r="K106" s="133"/>
      <c r="L106" s="133"/>
      <c r="M106" s="485"/>
      <c r="N106" s="133"/>
      <c r="O106" s="133"/>
      <c r="P106" s="133"/>
      <c r="Q106" s="485"/>
      <c r="R106" s="4006"/>
      <c r="S106" s="133"/>
      <c r="T106" s="133"/>
      <c r="U106" s="485"/>
      <c r="V106" s="135"/>
      <c r="W106" s="135"/>
      <c r="X106" s="135"/>
      <c r="Y106" s="485"/>
      <c r="Z106" s="135"/>
      <c r="AA106" s="135"/>
      <c r="AB106" s="135"/>
      <c r="AC106" s="485"/>
      <c r="AD106" s="4007"/>
      <c r="AE106" s="135"/>
      <c r="AF106" s="135"/>
      <c r="AG106" s="485"/>
      <c r="AH106" s="140"/>
      <c r="AI106" s="140"/>
      <c r="AJ106" s="140"/>
      <c r="AK106" s="485"/>
      <c r="AL106" s="4008"/>
      <c r="AM106" s="141"/>
      <c r="AN106" s="141"/>
      <c r="AO106" s="485"/>
      <c r="AP106" s="141"/>
      <c r="AQ106" s="141"/>
      <c r="AR106" s="141"/>
      <c r="AS106" s="485"/>
      <c r="AT106" s="4008"/>
      <c r="AU106" s="141"/>
      <c r="AV106" s="141"/>
      <c r="AW106" s="485"/>
      <c r="AX106" s="4008"/>
      <c r="AY106" s="141"/>
      <c r="AZ106" s="141"/>
      <c r="BA106" s="485"/>
      <c r="BB106" s="4009"/>
      <c r="BC106" s="141"/>
      <c r="BD106" s="141"/>
      <c r="BE106" s="485"/>
      <c r="BF106" s="4009"/>
      <c r="BG106" s="141"/>
      <c r="BH106" s="141"/>
      <c r="BI106" s="141"/>
      <c r="BJ106" s="1258"/>
      <c r="BK106" s="141"/>
      <c r="BL106" s="141"/>
      <c r="BM106" s="141"/>
      <c r="BN106" s="485"/>
      <c r="BO106" s="1258"/>
      <c r="BP106" s="4009"/>
      <c r="BQ106" s="141"/>
      <c r="BR106" s="141"/>
      <c r="BS106" s="485"/>
      <c r="BT106" s="1258"/>
      <c r="BU106" s="4009"/>
      <c r="BV106" s="141"/>
      <c r="BW106" s="141"/>
      <c r="BX106" s="141"/>
      <c r="BY106" s="1258"/>
      <c r="BZ106" s="141"/>
      <c r="CA106" s="141"/>
      <c r="CB106" s="141"/>
      <c r="CC106" s="141"/>
      <c r="CD106" s="1258"/>
      <c r="CE106" s="141"/>
      <c r="CF106" s="141"/>
      <c r="CG106" s="141"/>
      <c r="CH106" s="141"/>
      <c r="CI106" s="1258"/>
      <c r="CJ106" s="141"/>
      <c r="CK106" s="141"/>
      <c r="CL106" s="141"/>
      <c r="CM106" s="141"/>
      <c r="CN106" s="4380"/>
      <c r="CO106" s="141"/>
      <c r="CP106" s="141"/>
      <c r="CQ106" s="141"/>
      <c r="CR106" s="141"/>
      <c r="CS106" s="4380"/>
      <c r="CT106" s="141"/>
      <c r="CU106" s="141"/>
      <c r="CV106" s="141"/>
      <c r="CW106" s="141"/>
      <c r="CX106" s="4380"/>
      <c r="CY106" s="141"/>
      <c r="CZ106" s="141"/>
      <c r="DA106" s="141"/>
      <c r="DB106" s="141"/>
      <c r="DC106" s="4380"/>
      <c r="DD106" s="141"/>
      <c r="DE106" s="141"/>
      <c r="DF106" s="141"/>
      <c r="DG106" s="141"/>
      <c r="DH106" s="4380"/>
      <c r="DI106" s="141"/>
      <c r="DJ106" s="141"/>
      <c r="DK106" s="141"/>
      <c r="DL106" s="141"/>
      <c r="DM106" s="4380"/>
      <c r="DN106" s="141"/>
      <c r="DO106" s="141"/>
      <c r="DP106" s="141"/>
      <c r="DQ106" s="141"/>
      <c r="DR106" s="4380"/>
      <c r="DS106" s="141"/>
      <c r="DT106" s="141"/>
      <c r="DU106" s="141"/>
      <c r="DV106" s="141"/>
      <c r="DW106" s="4380"/>
      <c r="DX106" s="1258"/>
      <c r="DY106" s="1258"/>
      <c r="DZ106" s="1258"/>
      <c r="EA106" s="1258"/>
      <c r="EC106" s="3683"/>
      <c r="ED106" s="3683"/>
    </row>
    <row r="107" spans="1:135" ht="11.25" customHeight="1">
      <c r="B107" s="31"/>
      <c r="C107" s="31"/>
      <c r="D107" s="31"/>
      <c r="E107" s="485"/>
      <c r="F107" s="31"/>
      <c r="G107" s="31"/>
      <c r="H107" s="31"/>
      <c r="I107" s="485"/>
      <c r="J107" s="103"/>
      <c r="K107" s="31"/>
      <c r="L107" s="31"/>
      <c r="M107" s="485"/>
      <c r="N107" s="31"/>
      <c r="O107" s="31"/>
      <c r="P107" s="31"/>
      <c r="Q107" s="485"/>
      <c r="R107" s="103"/>
      <c r="S107" s="31"/>
      <c r="T107" s="31"/>
      <c r="U107" s="485"/>
      <c r="V107" s="32"/>
      <c r="W107" s="32"/>
      <c r="X107" s="32"/>
      <c r="Y107" s="485"/>
      <c r="Z107" s="32"/>
      <c r="AA107" s="32"/>
      <c r="AB107" s="32"/>
      <c r="AC107" s="485"/>
      <c r="AD107" s="104"/>
      <c r="AE107" s="32"/>
      <c r="AF107" s="32"/>
      <c r="AG107" s="485"/>
      <c r="AH107" s="141"/>
      <c r="AI107" s="141"/>
      <c r="AJ107" s="141"/>
      <c r="AK107" s="485"/>
      <c r="AL107" s="142"/>
      <c r="AM107" s="141"/>
      <c r="AN107" s="141"/>
      <c r="AO107" s="485"/>
      <c r="AP107" s="141"/>
      <c r="AQ107" s="141"/>
      <c r="AR107" s="141"/>
      <c r="AS107" s="485"/>
      <c r="AT107" s="142"/>
      <c r="AU107" s="141"/>
      <c r="AV107" s="141"/>
      <c r="AW107" s="485"/>
      <c r="AX107" s="142"/>
      <c r="AY107" s="141"/>
      <c r="AZ107" s="141"/>
      <c r="BA107" s="485"/>
      <c r="BB107" s="483"/>
      <c r="BC107" s="141"/>
      <c r="BD107" s="141"/>
      <c r="BE107" s="485"/>
      <c r="BF107" s="483"/>
      <c r="BG107" s="141"/>
      <c r="BH107" s="141"/>
      <c r="BI107" s="141"/>
      <c r="BJ107" s="1258"/>
      <c r="BK107" s="141"/>
      <c r="BL107" s="141"/>
      <c r="BM107" s="141"/>
      <c r="BN107" s="485"/>
      <c r="BO107" s="1258"/>
      <c r="BP107" s="634"/>
      <c r="BQ107" s="141"/>
      <c r="BR107" s="141"/>
      <c r="BS107" s="485"/>
      <c r="BT107" s="1258"/>
      <c r="BU107" s="634"/>
      <c r="BV107" s="141"/>
      <c r="BW107" s="141"/>
      <c r="BX107" s="141"/>
      <c r="BY107" s="1258"/>
      <c r="BZ107" s="141"/>
      <c r="CA107" s="141"/>
      <c r="CB107" s="141"/>
      <c r="CC107" s="141"/>
      <c r="CD107" s="870"/>
      <c r="CE107" s="141"/>
      <c r="CF107" s="141"/>
      <c r="CG107" s="141"/>
      <c r="CH107" s="141"/>
      <c r="CI107" s="870"/>
      <c r="CJ107" s="141"/>
      <c r="CK107" s="141"/>
      <c r="CL107" s="141"/>
      <c r="CM107" s="141"/>
      <c r="CN107" s="4381"/>
      <c r="CO107" s="141"/>
      <c r="CP107" s="141"/>
      <c r="CQ107" s="141"/>
      <c r="CR107" s="141"/>
      <c r="CS107" s="4381"/>
      <c r="CT107" s="141"/>
      <c r="CU107" s="141"/>
      <c r="CV107" s="141"/>
      <c r="CW107" s="141"/>
      <c r="CX107" s="4381"/>
      <c r="CY107" s="141"/>
      <c r="CZ107" s="141"/>
      <c r="DA107" s="141"/>
      <c r="DB107" s="141"/>
      <c r="DC107" s="4381"/>
      <c r="DD107" s="141"/>
      <c r="DE107" s="141"/>
      <c r="DF107" s="141"/>
      <c r="DG107" s="141"/>
      <c r="DH107" s="4381"/>
      <c r="DI107" s="141"/>
      <c r="DJ107" s="141"/>
      <c r="DK107" s="141"/>
      <c r="DL107" s="141"/>
      <c r="DM107" s="4381"/>
      <c r="DN107" s="141"/>
      <c r="DO107" s="141"/>
      <c r="DP107" s="141"/>
      <c r="DQ107" s="141"/>
      <c r="DR107" s="4381"/>
      <c r="DS107" s="141"/>
      <c r="DT107" s="141"/>
      <c r="DU107" s="141"/>
      <c r="DV107" s="141"/>
      <c r="DW107" s="4381"/>
      <c r="DX107" s="870"/>
      <c r="DY107" s="870"/>
      <c r="DZ107" s="870"/>
      <c r="EA107" s="870"/>
      <c r="EC107" s="3683"/>
      <c r="ED107" s="3683"/>
    </row>
    <row r="108" spans="1:135" ht="11.25" hidden="1" customHeight="1" outlineLevel="1">
      <c r="A108" s="3116" t="s">
        <v>1127</v>
      </c>
      <c r="B108" s="2992"/>
      <c r="C108" s="2992"/>
      <c r="D108" s="2992"/>
      <c r="E108" s="3168"/>
      <c r="F108" s="3137"/>
      <c r="G108" s="3137"/>
      <c r="H108" s="3137"/>
      <c r="I108" s="3168"/>
      <c r="J108" s="3139"/>
      <c r="K108" s="3137"/>
      <c r="L108" s="3137"/>
      <c r="M108" s="3168"/>
      <c r="N108" s="3137"/>
      <c r="O108" s="3137"/>
      <c r="P108" s="3137"/>
      <c r="Q108" s="3168"/>
      <c r="R108" s="3139"/>
      <c r="S108" s="3137"/>
      <c r="T108" s="3137"/>
      <c r="U108" s="3168"/>
      <c r="V108" s="3140"/>
      <c r="W108" s="3141"/>
      <c r="X108" s="3141"/>
      <c r="Y108" s="3168"/>
      <c r="Z108" s="3141"/>
      <c r="AA108" s="3141"/>
      <c r="AB108" s="3141"/>
      <c r="AC108" s="3168"/>
      <c r="AD108" s="3140"/>
      <c r="AE108" s="3141"/>
      <c r="AF108" s="3141"/>
      <c r="AG108" s="3168"/>
      <c r="AH108" s="3122"/>
      <c r="AI108" s="3122"/>
      <c r="AJ108" s="3122"/>
      <c r="AK108" s="3168"/>
      <c r="AL108" s="3169"/>
      <c r="AM108" s="3122"/>
      <c r="AN108" s="3122"/>
      <c r="AO108" s="3168"/>
      <c r="AP108" s="3122"/>
      <c r="AQ108" s="3122"/>
      <c r="AR108" s="3122"/>
      <c r="AS108" s="3168"/>
      <c r="AT108" s="3169"/>
      <c r="AU108" s="3122"/>
      <c r="AV108" s="3122"/>
      <c r="AW108" s="3168"/>
      <c r="AX108" s="3169"/>
      <c r="AY108" s="3122"/>
      <c r="AZ108" s="3122"/>
      <c r="BA108" s="3168"/>
      <c r="BB108" s="3170"/>
      <c r="BC108" s="3122"/>
      <c r="BD108" s="3122"/>
      <c r="BE108" s="3168"/>
      <c r="BF108" s="3170"/>
      <c r="BG108" s="3122"/>
      <c r="BH108" s="3122"/>
      <c r="BI108" s="3122"/>
      <c r="BJ108" s="3171"/>
      <c r="BK108" s="3122"/>
      <c r="BL108" s="3122"/>
      <c r="BM108" s="3122"/>
      <c r="BN108" s="3168"/>
      <c r="BO108" s="3171"/>
      <c r="BP108" s="3172"/>
      <c r="BQ108" s="3122"/>
      <c r="BR108" s="3122"/>
      <c r="BS108" s="3168"/>
      <c r="BT108" s="3171"/>
      <c r="BU108" s="3172"/>
      <c r="BV108" s="3122"/>
      <c r="BW108" s="3122"/>
      <c r="BX108" s="3173"/>
      <c r="BY108" s="3171"/>
      <c r="BZ108" s="3173"/>
      <c r="CA108" s="3173"/>
      <c r="CB108" s="3173"/>
      <c r="CC108" s="3173"/>
      <c r="CD108" s="3174"/>
      <c r="CE108" s="3173"/>
      <c r="CF108" s="3173"/>
      <c r="CG108" s="3173"/>
      <c r="CH108" s="3173"/>
      <c r="CI108" s="3174"/>
      <c r="CJ108" s="3173"/>
      <c r="CK108" s="3173"/>
      <c r="CL108" s="3173"/>
      <c r="CM108" s="3173"/>
      <c r="CN108" s="4382"/>
      <c r="CO108" s="3173"/>
      <c r="CP108" s="3173"/>
      <c r="CQ108" s="3173"/>
      <c r="CR108" s="3173"/>
      <c r="CS108" s="4382"/>
      <c r="CT108" s="3173"/>
      <c r="CU108" s="3173"/>
      <c r="CV108" s="3173"/>
      <c r="CW108" s="3173"/>
      <c r="CX108" s="4382"/>
      <c r="CY108" s="3173"/>
      <c r="CZ108" s="3173"/>
      <c r="DA108" s="3173"/>
      <c r="DB108" s="3173"/>
      <c r="DC108" s="4382"/>
      <c r="DD108" s="3173"/>
      <c r="DE108" s="3173"/>
      <c r="DF108" s="3333"/>
      <c r="DG108" s="3333"/>
      <c r="DH108" s="5825"/>
      <c r="DI108" s="3333"/>
      <c r="DJ108" s="3333"/>
      <c r="DK108" s="3333"/>
      <c r="DL108" s="3333"/>
      <c r="DM108" s="5825"/>
      <c r="DN108" s="3333"/>
      <c r="DO108" s="3333"/>
      <c r="DP108" s="3333"/>
      <c r="DQ108" s="3333"/>
      <c r="DR108" s="5825"/>
      <c r="DS108" s="3333"/>
      <c r="DT108" s="3333"/>
      <c r="DU108" s="3333"/>
      <c r="DV108" s="3333"/>
      <c r="DW108" s="5825"/>
      <c r="DX108" s="5826"/>
      <c r="DY108" s="5826"/>
      <c r="DZ108" s="5826"/>
      <c r="EA108" s="5826"/>
      <c r="EC108" s="3683"/>
      <c r="ED108" s="3683"/>
    </row>
    <row r="109" spans="1:135" ht="11.25" hidden="1" customHeight="1" outlineLevel="1">
      <c r="A109" s="1601" t="s">
        <v>578</v>
      </c>
      <c r="B109" s="36"/>
      <c r="C109" s="36"/>
      <c r="D109" s="36"/>
      <c r="E109" s="479"/>
      <c r="F109" s="36"/>
      <c r="G109" s="36"/>
      <c r="H109" s="36"/>
      <c r="I109" s="479"/>
      <c r="J109" s="143"/>
      <c r="K109" s="37"/>
      <c r="L109" s="37"/>
      <c r="M109" s="479"/>
      <c r="N109" s="37"/>
      <c r="O109" s="37"/>
      <c r="P109" s="37"/>
      <c r="Q109" s="479"/>
      <c r="R109" s="143"/>
      <c r="S109" s="76"/>
      <c r="T109" s="36"/>
      <c r="U109" s="479"/>
      <c r="V109" s="41"/>
      <c r="W109" s="43"/>
      <c r="X109" s="43"/>
      <c r="Y109" s="479"/>
      <c r="Z109" s="144"/>
      <c r="AA109" s="42"/>
      <c r="AB109" s="42"/>
      <c r="AC109" s="479"/>
      <c r="AD109" s="144"/>
      <c r="AE109" s="42"/>
      <c r="AF109" s="42"/>
      <c r="AG109" s="479"/>
      <c r="AH109" s="144"/>
      <c r="AI109" s="42"/>
      <c r="AJ109" s="42"/>
      <c r="AK109" s="479"/>
      <c r="AL109" s="144"/>
      <c r="AM109" s="42"/>
      <c r="AN109" s="42"/>
      <c r="AO109" s="479"/>
      <c r="AP109" s="42"/>
      <c r="AQ109" s="42"/>
      <c r="AR109" s="42"/>
      <c r="AS109" s="479"/>
      <c r="AT109" s="144"/>
      <c r="AU109" s="42"/>
      <c r="AV109" s="42"/>
      <c r="AW109" s="479"/>
      <c r="AX109" s="144"/>
      <c r="AY109" s="42"/>
      <c r="AZ109" s="42"/>
      <c r="BA109" s="479"/>
      <c r="BB109" s="42"/>
      <c r="BC109" s="42"/>
      <c r="BD109" s="42"/>
      <c r="BE109" s="479"/>
      <c r="BF109" s="65">
        <v>6394</v>
      </c>
      <c r="BG109" s="65">
        <v>6336</v>
      </c>
      <c r="BH109" s="65">
        <v>6462</v>
      </c>
      <c r="BI109" s="1875">
        <v>7488</v>
      </c>
      <c r="BJ109" s="1001">
        <f>BI109</f>
        <v>7488</v>
      </c>
      <c r="BK109" s="65">
        <v>8776</v>
      </c>
      <c r="BL109" s="65">
        <v>10274</v>
      </c>
      <c r="BM109" s="65">
        <v>11616</v>
      </c>
      <c r="BN109" s="1875">
        <v>13326</v>
      </c>
      <c r="BO109" s="1001">
        <f>BN109</f>
        <v>13326</v>
      </c>
      <c r="BP109" s="65">
        <v>13479</v>
      </c>
      <c r="BQ109" s="65">
        <v>14546</v>
      </c>
      <c r="BR109" s="65">
        <v>15353</v>
      </c>
      <c r="BS109" s="1875">
        <v>16518</v>
      </c>
      <c r="BT109" s="1001">
        <f>BS109</f>
        <v>16518</v>
      </c>
      <c r="BU109" s="65">
        <v>18028</v>
      </c>
      <c r="BV109" s="65">
        <v>18770</v>
      </c>
      <c r="BW109" s="65">
        <v>19209</v>
      </c>
      <c r="BX109" s="65">
        <v>19804</v>
      </c>
      <c r="BY109" s="1001">
        <f>BX109</f>
        <v>19804</v>
      </c>
      <c r="BZ109" s="65">
        <v>20744</v>
      </c>
      <c r="CA109" s="65">
        <v>21508</v>
      </c>
      <c r="CB109" s="65">
        <v>22367</v>
      </c>
      <c r="CC109" s="65">
        <v>23183</v>
      </c>
      <c r="CD109" s="1001">
        <f>CC109</f>
        <v>23183</v>
      </c>
      <c r="CE109" s="65">
        <v>26879</v>
      </c>
      <c r="CF109" s="65">
        <v>27253</v>
      </c>
      <c r="CG109" s="65">
        <v>28159</v>
      </c>
      <c r="CH109" s="65">
        <v>30179</v>
      </c>
      <c r="CI109" s="1001">
        <f>CH109</f>
        <v>30179</v>
      </c>
      <c r="CJ109" s="65">
        <v>30824</v>
      </c>
      <c r="CK109" s="65">
        <v>32829</v>
      </c>
      <c r="CL109" s="65">
        <v>34960</v>
      </c>
      <c r="CM109" s="65">
        <v>39865</v>
      </c>
      <c r="CN109" s="4376">
        <f>CM109</f>
        <v>39865</v>
      </c>
      <c r="CO109" s="656">
        <v>41372</v>
      </c>
      <c r="CP109" s="656">
        <v>44494</v>
      </c>
      <c r="CQ109" s="656">
        <v>46787</v>
      </c>
      <c r="CR109" s="656">
        <v>49732</v>
      </c>
      <c r="CS109" s="4376">
        <f>CR109</f>
        <v>49732</v>
      </c>
      <c r="CT109" s="656">
        <v>52522</v>
      </c>
      <c r="CU109" s="656">
        <v>55910</v>
      </c>
      <c r="CV109" s="656">
        <v>57268</v>
      </c>
      <c r="CW109" s="656">
        <v>58881</v>
      </c>
      <c r="CX109" s="4376">
        <f>CW109</f>
        <v>58881</v>
      </c>
      <c r="CY109" s="656">
        <v>62869</v>
      </c>
      <c r="CZ109" s="656">
        <v>65015</v>
      </c>
      <c r="DA109" s="656">
        <v>64679</v>
      </c>
      <c r="DB109" s="656">
        <v>66897</v>
      </c>
      <c r="DC109" s="4376">
        <f>DB109</f>
        <v>66897</v>
      </c>
      <c r="DD109" s="656">
        <v>67948</v>
      </c>
      <c r="DE109" s="656">
        <v>68890</v>
      </c>
      <c r="DF109" s="656">
        <v>71357</v>
      </c>
      <c r="DG109" s="656">
        <v>74083</v>
      </c>
      <c r="DH109" s="4376">
        <f>DG109</f>
        <v>74083</v>
      </c>
      <c r="DI109" s="656">
        <v>77421</v>
      </c>
      <c r="DJ109" s="656">
        <v>78641</v>
      </c>
      <c r="DK109" s="656">
        <v>80300</v>
      </c>
      <c r="DL109" s="65"/>
      <c r="DM109" s="1001"/>
      <c r="DN109" s="65"/>
      <c r="DO109" s="65"/>
      <c r="DP109" s="65"/>
      <c r="DQ109" s="65"/>
      <c r="DR109" s="1001"/>
      <c r="DS109" s="65"/>
      <c r="DT109" s="65"/>
      <c r="DU109" s="65"/>
      <c r="DV109" s="65"/>
      <c r="DW109" s="1001"/>
      <c r="DX109" s="871"/>
      <c r="DY109" s="871"/>
      <c r="DZ109" s="871"/>
      <c r="EA109" s="871"/>
      <c r="EC109" s="3683"/>
      <c r="ED109" s="3683"/>
    </row>
    <row r="110" spans="1:135" ht="11.25" hidden="1" customHeight="1" outlineLevel="1">
      <c r="A110" s="1601" t="s">
        <v>579</v>
      </c>
      <c r="B110" s="36"/>
      <c r="C110" s="36"/>
      <c r="D110" s="36"/>
      <c r="E110" s="479"/>
      <c r="F110" s="36"/>
      <c r="G110" s="36"/>
      <c r="H110" s="36"/>
      <c r="I110" s="479"/>
      <c r="J110" s="143"/>
      <c r="K110" s="37"/>
      <c r="L110" s="37"/>
      <c r="M110" s="479"/>
      <c r="N110" s="37"/>
      <c r="O110" s="37"/>
      <c r="P110" s="37"/>
      <c r="Q110" s="479"/>
      <c r="R110" s="143"/>
      <c r="S110" s="76"/>
      <c r="T110" s="36"/>
      <c r="U110" s="479"/>
      <c r="V110" s="41"/>
      <c r="W110" s="43"/>
      <c r="X110" s="43"/>
      <c r="Y110" s="479"/>
      <c r="Z110" s="144"/>
      <c r="AA110" s="42"/>
      <c r="AB110" s="42"/>
      <c r="AC110" s="479"/>
      <c r="AD110" s="144"/>
      <c r="AE110" s="42"/>
      <c r="AF110" s="42"/>
      <c r="AG110" s="479"/>
      <c r="AH110" s="144"/>
      <c r="AI110" s="42"/>
      <c r="AJ110" s="42"/>
      <c r="AK110" s="479"/>
      <c r="AL110" s="144"/>
      <c r="AM110" s="42"/>
      <c r="AN110" s="42"/>
      <c r="AO110" s="479"/>
      <c r="AP110" s="42"/>
      <c r="AQ110" s="42"/>
      <c r="AR110" s="42"/>
      <c r="AS110" s="479"/>
      <c r="AT110" s="144"/>
      <c r="AU110" s="42"/>
      <c r="AV110" s="42"/>
      <c r="AW110" s="479"/>
      <c r="AX110" s="144"/>
      <c r="AY110" s="42"/>
      <c r="AZ110" s="42"/>
      <c r="BA110" s="479"/>
      <c r="BB110" s="42"/>
      <c r="BC110" s="42"/>
      <c r="BD110" s="42"/>
      <c r="BE110" s="479"/>
      <c r="BF110" s="65">
        <v>7785</v>
      </c>
      <c r="BG110" s="65">
        <v>7833</v>
      </c>
      <c r="BH110" s="65">
        <v>8371</v>
      </c>
      <c r="BI110" s="1875">
        <v>9094</v>
      </c>
      <c r="BJ110" s="1001">
        <f>BI110</f>
        <v>9094</v>
      </c>
      <c r="BK110" s="65">
        <v>9408</v>
      </c>
      <c r="BL110" s="65">
        <v>9701</v>
      </c>
      <c r="BM110" s="65">
        <v>10177</v>
      </c>
      <c r="BN110" s="1875">
        <v>10918</v>
      </c>
      <c r="BO110" s="1001">
        <f>BN110</f>
        <v>10918</v>
      </c>
      <c r="BP110" s="65">
        <v>11855</v>
      </c>
      <c r="BQ110" s="65">
        <v>12992</v>
      </c>
      <c r="BR110" s="65">
        <v>13354</v>
      </c>
      <c r="BS110" s="1875">
        <v>13645</v>
      </c>
      <c r="BT110" s="1001">
        <f>BS110</f>
        <v>13645</v>
      </c>
      <c r="BU110" s="65">
        <v>13858</v>
      </c>
      <c r="BV110" s="65">
        <v>14511</v>
      </c>
      <c r="BW110" s="65">
        <v>15710</v>
      </c>
      <c r="BX110" s="65">
        <v>16084</v>
      </c>
      <c r="BY110" s="1001">
        <f>BX110</f>
        <v>16084</v>
      </c>
      <c r="BZ110" s="65">
        <v>17330</v>
      </c>
      <c r="CA110" s="65">
        <v>18529</v>
      </c>
      <c r="CB110" s="65">
        <v>19454</v>
      </c>
      <c r="CC110" s="65">
        <v>21429</v>
      </c>
      <c r="CD110" s="1001">
        <f>CC110</f>
        <v>21429</v>
      </c>
      <c r="CE110" s="65">
        <v>23795</v>
      </c>
      <c r="CF110" s="65">
        <v>26148</v>
      </c>
      <c r="CG110" s="65">
        <v>28595</v>
      </c>
      <c r="CH110" s="65">
        <v>30119</v>
      </c>
      <c r="CI110" s="1001">
        <f>CH110</f>
        <v>30119</v>
      </c>
      <c r="CJ110" s="65">
        <v>31551</v>
      </c>
      <c r="CK110" s="65">
        <v>33022</v>
      </c>
      <c r="CL110" s="65">
        <v>34738</v>
      </c>
      <c r="CM110" s="65">
        <v>36840</v>
      </c>
      <c r="CN110" s="4376">
        <f>CM110</f>
        <v>36840</v>
      </c>
      <c r="CO110" s="656">
        <v>38534</v>
      </c>
      <c r="CP110" s="656">
        <v>40731</v>
      </c>
      <c r="CQ110" s="656">
        <v>42883</v>
      </c>
      <c r="CR110" s="656">
        <v>45906</v>
      </c>
      <c r="CS110" s="4376">
        <f>CR110</f>
        <v>45906</v>
      </c>
      <c r="CT110" s="656">
        <v>47893</v>
      </c>
      <c r="CU110" s="656">
        <v>51188</v>
      </c>
      <c r="CV110" s="656">
        <v>53549</v>
      </c>
      <c r="CW110" s="656">
        <v>55606</v>
      </c>
      <c r="CX110" s="4376">
        <f>CW110</f>
        <v>55606</v>
      </c>
      <c r="CY110" s="656">
        <v>57628</v>
      </c>
      <c r="CZ110" s="656">
        <v>59643</v>
      </c>
      <c r="DA110" s="656">
        <v>61938</v>
      </c>
      <c r="DB110" s="656">
        <v>66267</v>
      </c>
      <c r="DC110" s="4376">
        <f>DB110</f>
        <v>66267</v>
      </c>
      <c r="DD110" s="656">
        <v>68577</v>
      </c>
      <c r="DE110" s="656">
        <v>71592</v>
      </c>
      <c r="DF110" s="656">
        <v>74928</v>
      </c>
      <c r="DG110" s="656">
        <v>80594</v>
      </c>
      <c r="DH110" s="4376">
        <f>DG110</f>
        <v>80594</v>
      </c>
      <c r="DI110" s="656">
        <v>85976</v>
      </c>
      <c r="DJ110" s="656">
        <v>91994</v>
      </c>
      <c r="DK110" s="656">
        <v>98738</v>
      </c>
      <c r="DL110" s="65"/>
      <c r="DM110" s="1001"/>
      <c r="DN110" s="65"/>
      <c r="DO110" s="65"/>
      <c r="DP110" s="65"/>
      <c r="DQ110" s="65"/>
      <c r="DR110" s="1001"/>
      <c r="DS110" s="65"/>
      <c r="DT110" s="65"/>
      <c r="DU110" s="65"/>
      <c r="DV110" s="65"/>
      <c r="DW110" s="1001"/>
      <c r="DX110" s="871"/>
      <c r="DY110" s="871"/>
      <c r="DZ110" s="871"/>
      <c r="EA110" s="871"/>
      <c r="EC110" s="3683"/>
      <c r="ED110" s="3683"/>
    </row>
    <row r="111" spans="1:135" ht="11.25" hidden="1" customHeight="1" outlineLevel="1">
      <c r="A111" s="1601" t="s">
        <v>580</v>
      </c>
      <c r="B111" s="36"/>
      <c r="C111" s="36"/>
      <c r="D111" s="36"/>
      <c r="E111" s="479"/>
      <c r="F111" s="36"/>
      <c r="G111" s="36"/>
      <c r="H111" s="36"/>
      <c r="I111" s="479"/>
      <c r="J111" s="143"/>
      <c r="K111" s="37"/>
      <c r="L111" s="37"/>
      <c r="M111" s="479"/>
      <c r="N111" s="37"/>
      <c r="O111" s="37"/>
      <c r="P111" s="37"/>
      <c r="Q111" s="479"/>
      <c r="R111" s="143"/>
      <c r="S111" s="76"/>
      <c r="T111" s="36"/>
      <c r="U111" s="479"/>
      <c r="V111" s="41"/>
      <c r="W111" s="43"/>
      <c r="X111" s="43"/>
      <c r="Y111" s="479"/>
      <c r="Z111" s="144"/>
      <c r="AA111" s="42"/>
      <c r="AB111" s="42"/>
      <c r="AC111" s="479"/>
      <c r="AD111" s="144"/>
      <c r="AE111" s="42"/>
      <c r="AF111" s="42"/>
      <c r="AG111" s="479"/>
      <c r="AH111" s="144"/>
      <c r="AI111" s="42"/>
      <c r="AJ111" s="42"/>
      <c r="AK111" s="479"/>
      <c r="AL111" s="144"/>
      <c r="AM111" s="42"/>
      <c r="AN111" s="42"/>
      <c r="AO111" s="479"/>
      <c r="AP111" s="42"/>
      <c r="AQ111" s="42"/>
      <c r="AR111" s="42"/>
      <c r="AS111" s="479"/>
      <c r="AT111" s="144"/>
      <c r="AU111" s="42"/>
      <c r="AV111" s="42"/>
      <c r="AW111" s="479"/>
      <c r="AX111" s="144"/>
      <c r="AY111" s="42"/>
      <c r="AZ111" s="42"/>
      <c r="BA111" s="479"/>
      <c r="BB111" s="42"/>
      <c r="BC111" s="42"/>
      <c r="BD111" s="42"/>
      <c r="BE111" s="479"/>
      <c r="BF111" s="65">
        <v>2554</v>
      </c>
      <c r="BG111" s="65">
        <v>3524</v>
      </c>
      <c r="BH111" s="65">
        <v>5257</v>
      </c>
      <c r="BI111" s="1875">
        <v>5602</v>
      </c>
      <c r="BJ111" s="1001">
        <f>BI111</f>
        <v>5602</v>
      </c>
      <c r="BK111" s="65">
        <v>5878</v>
      </c>
      <c r="BL111" s="65">
        <v>5890</v>
      </c>
      <c r="BM111" s="65">
        <v>5743</v>
      </c>
      <c r="BN111" s="1875">
        <v>6555</v>
      </c>
      <c r="BO111" s="1001">
        <f>BN111</f>
        <v>6555</v>
      </c>
      <c r="BP111" s="65">
        <v>7415</v>
      </c>
      <c r="BQ111" s="65">
        <v>7260</v>
      </c>
      <c r="BR111" s="65">
        <v>7799</v>
      </c>
      <c r="BS111" s="1875">
        <v>7324</v>
      </c>
      <c r="BT111" s="1001">
        <f>BS111</f>
        <v>7324</v>
      </c>
      <c r="BU111" s="65">
        <v>7198</v>
      </c>
      <c r="BV111" s="65">
        <v>7601</v>
      </c>
      <c r="BW111" s="65">
        <v>7790</v>
      </c>
      <c r="BX111" s="65">
        <v>8166</v>
      </c>
      <c r="BY111" s="1001">
        <f>BX111</f>
        <v>8166</v>
      </c>
      <c r="BZ111" s="65">
        <v>8614</v>
      </c>
      <c r="CA111" s="65">
        <v>9221</v>
      </c>
      <c r="CB111" s="65">
        <v>10280</v>
      </c>
      <c r="CC111" s="65">
        <v>10491</v>
      </c>
      <c r="CD111" s="1001">
        <f>CC111</f>
        <v>10491</v>
      </c>
      <c r="CE111" s="65">
        <v>12357</v>
      </c>
      <c r="CF111" s="65">
        <v>13669</v>
      </c>
      <c r="CG111" s="65">
        <v>15120</v>
      </c>
      <c r="CH111" s="65">
        <v>16838</v>
      </c>
      <c r="CI111" s="1001">
        <f>CH111</f>
        <v>16838</v>
      </c>
      <c r="CJ111" s="65">
        <v>17203</v>
      </c>
      <c r="CK111" s="65">
        <v>19787</v>
      </c>
      <c r="CL111" s="65">
        <v>21716</v>
      </c>
      <c r="CM111" s="65">
        <v>21036</v>
      </c>
      <c r="CN111" s="4376">
        <f>CM111</f>
        <v>21036</v>
      </c>
      <c r="CO111" s="656">
        <v>22834</v>
      </c>
      <c r="CP111" s="656">
        <v>21948</v>
      </c>
      <c r="CQ111" s="656">
        <v>23115</v>
      </c>
      <c r="CR111" s="656">
        <v>23111</v>
      </c>
      <c r="CS111" s="4376">
        <f>CR111</f>
        <v>23111</v>
      </c>
      <c r="CT111" s="656">
        <v>22556</v>
      </c>
      <c r="CU111" s="656">
        <v>21825</v>
      </c>
      <c r="CV111" s="656">
        <v>22494</v>
      </c>
      <c r="CW111" s="656">
        <v>23172</v>
      </c>
      <c r="CX111" s="4376">
        <f>CW111</f>
        <v>23172</v>
      </c>
      <c r="CY111" s="656">
        <v>25555</v>
      </c>
      <c r="CZ111" s="656">
        <v>25341</v>
      </c>
      <c r="DA111" s="656">
        <v>26899</v>
      </c>
      <c r="DB111" s="656">
        <v>27657</v>
      </c>
      <c r="DC111" s="4376">
        <f>DB111</f>
        <v>27657</v>
      </c>
      <c r="DD111" s="656">
        <v>30573</v>
      </c>
      <c r="DE111" s="656">
        <v>32019</v>
      </c>
      <c r="DF111" s="656">
        <v>32305</v>
      </c>
      <c r="DG111" s="656">
        <v>35229</v>
      </c>
      <c r="DH111" s="4376">
        <f>DG111</f>
        <v>35229</v>
      </c>
      <c r="DI111" s="656">
        <v>37679</v>
      </c>
      <c r="DJ111" s="656">
        <v>40742</v>
      </c>
      <c r="DK111" s="656">
        <v>46009</v>
      </c>
      <c r="DL111" s="65"/>
      <c r="DM111" s="1001"/>
      <c r="DN111" s="65"/>
      <c r="DO111" s="65"/>
      <c r="DP111" s="65"/>
      <c r="DQ111" s="65"/>
      <c r="DR111" s="1001"/>
      <c r="DS111" s="65"/>
      <c r="DT111" s="65"/>
      <c r="DU111" s="65"/>
      <c r="DV111" s="65"/>
      <c r="DW111" s="1001"/>
      <c r="DX111" s="871"/>
      <c r="DY111" s="871"/>
      <c r="DZ111" s="871"/>
      <c r="EA111" s="871"/>
      <c r="EC111" s="3683"/>
      <c r="ED111" s="3683"/>
    </row>
    <row r="112" spans="1:135" ht="11.25" hidden="1" customHeight="1" outlineLevel="1">
      <c r="A112" s="1601" t="s">
        <v>581</v>
      </c>
      <c r="B112" s="36"/>
      <c r="C112" s="36"/>
      <c r="D112" s="36"/>
      <c r="E112" s="479"/>
      <c r="F112" s="36"/>
      <c r="G112" s="36"/>
      <c r="H112" s="36"/>
      <c r="I112" s="479"/>
      <c r="J112" s="143"/>
      <c r="K112" s="37"/>
      <c r="L112" s="37"/>
      <c r="M112" s="479"/>
      <c r="N112" s="37"/>
      <c r="O112" s="37"/>
      <c r="P112" s="37"/>
      <c r="Q112" s="479"/>
      <c r="R112" s="143"/>
      <c r="S112" s="76"/>
      <c r="T112" s="36"/>
      <c r="U112" s="479"/>
      <c r="V112" s="41"/>
      <c r="W112" s="43"/>
      <c r="X112" s="43"/>
      <c r="Y112" s="479"/>
      <c r="Z112" s="144"/>
      <c r="AA112" s="42"/>
      <c r="AB112" s="42"/>
      <c r="AC112" s="479"/>
      <c r="AD112" s="144"/>
      <c r="AE112" s="42"/>
      <c r="AF112" s="42"/>
      <c r="AG112" s="479"/>
      <c r="AH112" s="144"/>
      <c r="AI112" s="42"/>
      <c r="AJ112" s="42"/>
      <c r="AK112" s="479"/>
      <c r="AL112" s="144"/>
      <c r="AM112" s="42"/>
      <c r="AN112" s="42"/>
      <c r="AO112" s="479"/>
      <c r="AP112" s="42"/>
      <c r="AQ112" s="42"/>
      <c r="AR112" s="42"/>
      <c r="AS112" s="479"/>
      <c r="AT112" s="144"/>
      <c r="AU112" s="42"/>
      <c r="AV112" s="42"/>
      <c r="AW112" s="479"/>
      <c r="AX112" s="144"/>
      <c r="AY112" s="42"/>
      <c r="AZ112" s="42"/>
      <c r="BA112" s="479"/>
      <c r="BB112" s="42"/>
      <c r="BC112" s="42"/>
      <c r="BD112" s="42"/>
      <c r="BE112" s="479"/>
      <c r="BF112" s="65">
        <v>1451</v>
      </c>
      <c r="BG112" s="65">
        <v>1485</v>
      </c>
      <c r="BH112" s="65">
        <v>1553</v>
      </c>
      <c r="BI112" s="1875">
        <v>1576</v>
      </c>
      <c r="BJ112" s="1001">
        <f>BI112</f>
        <v>1576</v>
      </c>
      <c r="BK112" s="65">
        <v>1578</v>
      </c>
      <c r="BL112" s="65">
        <v>1629</v>
      </c>
      <c r="BM112" s="65">
        <v>1677</v>
      </c>
      <c r="BN112" s="1875">
        <v>1868</v>
      </c>
      <c r="BO112" s="1001">
        <f>BN112</f>
        <v>1868</v>
      </c>
      <c r="BP112" s="65">
        <v>2016</v>
      </c>
      <c r="BQ112" s="65">
        <v>2234</v>
      </c>
      <c r="BR112" s="65">
        <v>2321</v>
      </c>
      <c r="BS112" s="1875">
        <v>2576</v>
      </c>
      <c r="BT112" s="1001">
        <f>BS112</f>
        <v>2576</v>
      </c>
      <c r="BU112" s="65">
        <v>2827</v>
      </c>
      <c r="BV112" s="65">
        <v>2938</v>
      </c>
      <c r="BW112" s="65">
        <v>3300</v>
      </c>
      <c r="BX112" s="65">
        <v>3415</v>
      </c>
      <c r="BY112" s="1001">
        <f>BX112</f>
        <v>3415</v>
      </c>
      <c r="BZ112" s="65">
        <v>3586</v>
      </c>
      <c r="CA112" s="65">
        <v>4035</v>
      </c>
      <c r="CB112" s="65">
        <v>4208</v>
      </c>
      <c r="CC112" s="65">
        <v>4496</v>
      </c>
      <c r="CD112" s="1001">
        <f>CC112</f>
        <v>4496</v>
      </c>
      <c r="CE112" s="65">
        <v>4720</v>
      </c>
      <c r="CF112" s="65">
        <v>4758</v>
      </c>
      <c r="CG112" s="65">
        <v>5204</v>
      </c>
      <c r="CH112" s="65">
        <v>5310</v>
      </c>
      <c r="CI112" s="1001">
        <f>CH112</f>
        <v>5310</v>
      </c>
      <c r="CJ112" s="65">
        <v>5604</v>
      </c>
      <c r="CK112" s="65">
        <v>5682</v>
      </c>
      <c r="CL112" s="65">
        <v>5846</v>
      </c>
      <c r="CM112" s="65">
        <v>6310</v>
      </c>
      <c r="CN112" s="4376">
        <f>CM112</f>
        <v>6310</v>
      </c>
      <c r="CO112" s="656">
        <v>6761</v>
      </c>
      <c r="CP112" s="656">
        <v>6922</v>
      </c>
      <c r="CQ112" s="656">
        <v>7303</v>
      </c>
      <c r="CR112" s="656">
        <v>7516</v>
      </c>
      <c r="CS112" s="4376">
        <f>CR112</f>
        <v>7516</v>
      </c>
      <c r="CT112" s="656">
        <v>7789</v>
      </c>
      <c r="CU112" s="656">
        <v>7951</v>
      </c>
      <c r="CV112" s="656">
        <v>8391</v>
      </c>
      <c r="CW112" s="656">
        <v>9146</v>
      </c>
      <c r="CX112" s="4376">
        <f>CW112</f>
        <v>9146</v>
      </c>
      <c r="CY112" s="656">
        <v>9912</v>
      </c>
      <c r="CZ112" s="656">
        <v>9992</v>
      </c>
      <c r="DA112" s="656">
        <v>10062</v>
      </c>
      <c r="DB112" s="656">
        <v>10575</v>
      </c>
      <c r="DC112" s="4376">
        <f>DB112</f>
        <v>10575</v>
      </c>
      <c r="DD112" s="656">
        <v>11011</v>
      </c>
      <c r="DE112" s="656">
        <v>11286</v>
      </c>
      <c r="DF112" s="656">
        <v>11441</v>
      </c>
      <c r="DG112" s="656">
        <v>11425</v>
      </c>
      <c r="DH112" s="4376">
        <f>DG112</f>
        <v>11425</v>
      </c>
      <c r="DI112" s="656">
        <v>11576</v>
      </c>
      <c r="DJ112" s="656">
        <v>12010</v>
      </c>
      <c r="DK112" s="656">
        <v>12468</v>
      </c>
      <c r="DL112" s="65"/>
      <c r="DM112" s="1001"/>
      <c r="DN112" s="65"/>
      <c r="DO112" s="65"/>
      <c r="DP112" s="65"/>
      <c r="DQ112" s="65"/>
      <c r="DR112" s="1001"/>
      <c r="DS112" s="65"/>
      <c r="DT112" s="65"/>
      <c r="DU112" s="65"/>
      <c r="DV112" s="65"/>
      <c r="DW112" s="1001"/>
      <c r="DX112" s="871"/>
      <c r="DY112" s="871"/>
      <c r="DZ112" s="871"/>
      <c r="EA112" s="871"/>
      <c r="EC112" s="3683"/>
      <c r="ED112" s="3683"/>
    </row>
    <row r="113" spans="1:134" ht="11.25" hidden="1" customHeight="1" outlineLevel="1">
      <c r="A113" s="1601" t="s">
        <v>582</v>
      </c>
      <c r="B113" s="36"/>
      <c r="C113" s="36"/>
      <c r="D113" s="36"/>
      <c r="E113" s="479"/>
      <c r="F113" s="36"/>
      <c r="G113" s="36"/>
      <c r="H113" s="36"/>
      <c r="I113" s="479"/>
      <c r="J113" s="143"/>
      <c r="K113" s="37"/>
      <c r="L113" s="37"/>
      <c r="M113" s="479"/>
      <c r="N113" s="37"/>
      <c r="O113" s="37"/>
      <c r="P113" s="37"/>
      <c r="Q113" s="479"/>
      <c r="R113" s="143"/>
      <c r="S113" s="76"/>
      <c r="T113" s="36"/>
      <c r="U113" s="479"/>
      <c r="V113" s="41"/>
      <c r="W113" s="43"/>
      <c r="X113" s="43"/>
      <c r="Y113" s="479"/>
      <c r="Z113" s="144"/>
      <c r="AA113" s="42"/>
      <c r="AB113" s="42"/>
      <c r="AC113" s="479"/>
      <c r="AD113" s="144"/>
      <c r="AE113" s="42"/>
      <c r="AF113" s="42"/>
      <c r="AG113" s="479"/>
      <c r="AH113" s="144"/>
      <c r="AI113" s="42"/>
      <c r="AJ113" s="42"/>
      <c r="AK113" s="479"/>
      <c r="AL113" s="144"/>
      <c r="AM113" s="42"/>
      <c r="AN113" s="42"/>
      <c r="AO113" s="479"/>
      <c r="AP113" s="42"/>
      <c r="AQ113" s="42"/>
      <c r="AR113" s="42"/>
      <c r="AS113" s="479"/>
      <c r="AT113" s="144"/>
      <c r="AU113" s="42"/>
      <c r="AV113" s="42"/>
      <c r="AW113" s="479"/>
      <c r="AX113" s="144"/>
      <c r="AY113" s="42"/>
      <c r="AZ113" s="42"/>
      <c r="BA113" s="479"/>
      <c r="BB113" s="42"/>
      <c r="BC113" s="42"/>
      <c r="BD113" s="42"/>
      <c r="BE113" s="479"/>
      <c r="BF113" s="65">
        <v>76</v>
      </c>
      <c r="BG113" s="65">
        <v>77</v>
      </c>
      <c r="BH113" s="65">
        <v>79</v>
      </c>
      <c r="BI113" s="1875">
        <v>77</v>
      </c>
      <c r="BJ113" s="1001">
        <f>BI113</f>
        <v>77</v>
      </c>
      <c r="BK113" s="65">
        <v>79</v>
      </c>
      <c r="BL113" s="65">
        <v>80</v>
      </c>
      <c r="BM113" s="65">
        <v>79</v>
      </c>
      <c r="BN113" s="1875">
        <v>79</v>
      </c>
      <c r="BO113" s="1001">
        <f>BN113</f>
        <v>79</v>
      </c>
      <c r="BP113" s="65">
        <v>78</v>
      </c>
      <c r="BQ113" s="65">
        <v>80</v>
      </c>
      <c r="BR113" s="65">
        <v>81</v>
      </c>
      <c r="BS113" s="1875">
        <v>83</v>
      </c>
      <c r="BT113" s="1001">
        <f>BS113</f>
        <v>83</v>
      </c>
      <c r="BU113" s="65">
        <v>84</v>
      </c>
      <c r="BV113" s="65">
        <v>84</v>
      </c>
      <c r="BW113" s="65">
        <v>85</v>
      </c>
      <c r="BX113" s="65">
        <v>58</v>
      </c>
      <c r="BY113" s="1001">
        <f>BX113</f>
        <v>58</v>
      </c>
      <c r="BZ113" s="65">
        <v>47</v>
      </c>
      <c r="CA113" s="65">
        <v>48</v>
      </c>
      <c r="CB113" s="65">
        <v>49</v>
      </c>
      <c r="CC113" s="65">
        <v>48</v>
      </c>
      <c r="CD113" s="1001">
        <f>CC113</f>
        <v>48</v>
      </c>
      <c r="CE113" s="65">
        <v>50</v>
      </c>
      <c r="CF113" s="65">
        <v>48</v>
      </c>
      <c r="CG113" s="65">
        <v>50</v>
      </c>
      <c r="CH113" s="65">
        <v>61</v>
      </c>
      <c r="CI113" s="1001">
        <f>CH113</f>
        <v>61</v>
      </c>
      <c r="CJ113" s="65">
        <v>76</v>
      </c>
      <c r="CK113" s="65">
        <v>110</v>
      </c>
      <c r="CL113" s="65">
        <v>145</v>
      </c>
      <c r="CM113" s="65">
        <v>156</v>
      </c>
      <c r="CN113" s="4376">
        <f>CM113</f>
        <v>156</v>
      </c>
      <c r="CO113" s="656">
        <v>183</v>
      </c>
      <c r="CP113" s="656">
        <v>197</v>
      </c>
      <c r="CQ113" s="656">
        <v>199</v>
      </c>
      <c r="CR113" s="656">
        <v>197</v>
      </c>
      <c r="CS113" s="4376">
        <f>CR113</f>
        <v>197</v>
      </c>
      <c r="CT113" s="656">
        <v>198</v>
      </c>
      <c r="CU113" s="656">
        <v>201</v>
      </c>
      <c r="CV113" s="656">
        <v>202</v>
      </c>
      <c r="CW113" s="656">
        <v>208</v>
      </c>
      <c r="CX113" s="4376">
        <f>CW113</f>
        <v>208</v>
      </c>
      <c r="CY113" s="656">
        <v>213</v>
      </c>
      <c r="CZ113" s="656">
        <v>267</v>
      </c>
      <c r="DA113" s="656">
        <v>297</v>
      </c>
      <c r="DB113" s="656">
        <v>314</v>
      </c>
      <c r="DC113" s="4376">
        <f>DB113</f>
        <v>314</v>
      </c>
      <c r="DD113" s="656">
        <v>326</v>
      </c>
      <c r="DE113" s="656">
        <v>338</v>
      </c>
      <c r="DF113" s="656">
        <v>424</v>
      </c>
      <c r="DG113" s="656">
        <v>472</v>
      </c>
      <c r="DH113" s="4376">
        <f>DG113</f>
        <v>472</v>
      </c>
      <c r="DI113" s="656">
        <v>534</v>
      </c>
      <c r="DJ113" s="656">
        <v>584</v>
      </c>
      <c r="DK113" s="656">
        <v>625</v>
      </c>
      <c r="DL113" s="65"/>
      <c r="DM113" s="1001"/>
      <c r="DN113" s="65"/>
      <c r="DO113" s="65"/>
      <c r="DP113" s="65"/>
      <c r="DQ113" s="65"/>
      <c r="DR113" s="1001"/>
      <c r="DS113" s="65"/>
      <c r="DT113" s="65"/>
      <c r="DU113" s="65"/>
      <c r="DV113" s="65"/>
      <c r="DW113" s="1001"/>
      <c r="DX113" s="871"/>
      <c r="DY113" s="871"/>
      <c r="DZ113" s="871"/>
      <c r="EA113" s="871"/>
      <c r="EC113" s="3683"/>
      <c r="ED113" s="3683"/>
    </row>
    <row r="114" spans="1:134" ht="11.25" hidden="1" customHeight="1" outlineLevel="1">
      <c r="A114" s="1860" t="s">
        <v>583</v>
      </c>
      <c r="B114" s="1861"/>
      <c r="C114" s="1861"/>
      <c r="D114" s="1861"/>
      <c r="E114" s="1862"/>
      <c r="F114" s="1861"/>
      <c r="G114" s="1861"/>
      <c r="H114" s="1861"/>
      <c r="I114" s="1862"/>
      <c r="J114" s="1863"/>
      <c r="K114" s="1864"/>
      <c r="L114" s="1864"/>
      <c r="M114" s="1862"/>
      <c r="N114" s="1864"/>
      <c r="O114" s="1864"/>
      <c r="P114" s="1864"/>
      <c r="Q114" s="1862"/>
      <c r="R114" s="1863"/>
      <c r="S114" s="1865"/>
      <c r="T114" s="1861"/>
      <c r="U114" s="1862"/>
      <c r="V114" s="1866"/>
      <c r="W114" s="1867"/>
      <c r="X114" s="1867"/>
      <c r="Y114" s="1862"/>
      <c r="Z114" s="1868"/>
      <c r="AA114" s="1869"/>
      <c r="AB114" s="1869"/>
      <c r="AC114" s="1862"/>
      <c r="AD114" s="1868"/>
      <c r="AE114" s="1869"/>
      <c r="AF114" s="1869"/>
      <c r="AG114" s="1862"/>
      <c r="AH114" s="1868"/>
      <c r="AI114" s="1869"/>
      <c r="AJ114" s="1869"/>
      <c r="AK114" s="1862"/>
      <c r="AL114" s="1868"/>
      <c r="AM114" s="1869"/>
      <c r="AN114" s="1869"/>
      <c r="AO114" s="1862"/>
      <c r="AP114" s="1869"/>
      <c r="AQ114" s="1869"/>
      <c r="AR114" s="1869"/>
      <c r="AS114" s="1862"/>
      <c r="AT114" s="1868"/>
      <c r="AU114" s="1869"/>
      <c r="AV114" s="1869"/>
      <c r="AW114" s="1862"/>
      <c r="AX114" s="1868"/>
      <c r="AY114" s="1869"/>
      <c r="AZ114" s="1869"/>
      <c r="BA114" s="1862"/>
      <c r="BB114" s="1869"/>
      <c r="BC114" s="1869"/>
      <c r="BD114" s="1869"/>
      <c r="BE114" s="1862"/>
      <c r="BF114" s="1869">
        <f t="shared" ref="BF114:CW114" si="543">SUM(BF109:BF113)</f>
        <v>18260</v>
      </c>
      <c r="BG114" s="1869">
        <f t="shared" si="543"/>
        <v>19255</v>
      </c>
      <c r="BH114" s="1869">
        <f t="shared" si="543"/>
        <v>21722</v>
      </c>
      <c r="BI114" s="1862">
        <f t="shared" si="543"/>
        <v>23837</v>
      </c>
      <c r="BJ114" s="1870">
        <f t="shared" si="543"/>
        <v>23837</v>
      </c>
      <c r="BK114" s="1869">
        <f t="shared" si="543"/>
        <v>25719</v>
      </c>
      <c r="BL114" s="1869">
        <f t="shared" si="543"/>
        <v>27574</v>
      </c>
      <c r="BM114" s="1869">
        <f t="shared" si="543"/>
        <v>29292</v>
      </c>
      <c r="BN114" s="1862">
        <f t="shared" si="543"/>
        <v>32746</v>
      </c>
      <c r="BO114" s="1870">
        <f t="shared" si="543"/>
        <v>32746</v>
      </c>
      <c r="BP114" s="1869">
        <f t="shared" si="543"/>
        <v>34843</v>
      </c>
      <c r="BQ114" s="1869">
        <f t="shared" si="543"/>
        <v>37112</v>
      </c>
      <c r="BR114" s="1869">
        <f t="shared" si="543"/>
        <v>38908</v>
      </c>
      <c r="BS114" s="1862">
        <f t="shared" si="543"/>
        <v>40146</v>
      </c>
      <c r="BT114" s="1870">
        <f t="shared" si="543"/>
        <v>40146</v>
      </c>
      <c r="BU114" s="1869">
        <f t="shared" si="543"/>
        <v>41995</v>
      </c>
      <c r="BV114" s="1869">
        <f t="shared" si="543"/>
        <v>43904</v>
      </c>
      <c r="BW114" s="1869">
        <f t="shared" si="543"/>
        <v>46094</v>
      </c>
      <c r="BX114" s="1869">
        <f t="shared" si="543"/>
        <v>47527</v>
      </c>
      <c r="BY114" s="1870">
        <f t="shared" si="543"/>
        <v>47527</v>
      </c>
      <c r="BZ114" s="1869">
        <f t="shared" si="543"/>
        <v>50321</v>
      </c>
      <c r="CA114" s="1869">
        <f t="shared" si="543"/>
        <v>53341</v>
      </c>
      <c r="CB114" s="1869">
        <f t="shared" si="543"/>
        <v>56358</v>
      </c>
      <c r="CC114" s="1869">
        <f t="shared" si="543"/>
        <v>59647</v>
      </c>
      <c r="CD114" s="1870">
        <f t="shared" si="543"/>
        <v>59647</v>
      </c>
      <c r="CE114" s="1869">
        <f t="shared" si="543"/>
        <v>67801</v>
      </c>
      <c r="CF114" s="1869">
        <f t="shared" si="543"/>
        <v>71876</v>
      </c>
      <c r="CG114" s="1869">
        <f t="shared" si="543"/>
        <v>77128</v>
      </c>
      <c r="CH114" s="1869">
        <f t="shared" si="543"/>
        <v>82507</v>
      </c>
      <c r="CI114" s="1870">
        <f t="shared" si="543"/>
        <v>82507</v>
      </c>
      <c r="CJ114" s="1869">
        <f t="shared" si="543"/>
        <v>85258</v>
      </c>
      <c r="CK114" s="1869">
        <f t="shared" si="543"/>
        <v>91430</v>
      </c>
      <c r="CL114" s="1869">
        <f t="shared" si="543"/>
        <v>97405</v>
      </c>
      <c r="CM114" s="1869">
        <f t="shared" si="543"/>
        <v>104207</v>
      </c>
      <c r="CN114" s="5941">
        <f t="shared" si="543"/>
        <v>104207</v>
      </c>
      <c r="CO114" s="5942">
        <f t="shared" si="543"/>
        <v>109684</v>
      </c>
      <c r="CP114" s="5942">
        <f t="shared" si="543"/>
        <v>114292</v>
      </c>
      <c r="CQ114" s="5942">
        <f t="shared" si="543"/>
        <v>120287</v>
      </c>
      <c r="CR114" s="5942">
        <f t="shared" si="543"/>
        <v>126462</v>
      </c>
      <c r="CS114" s="5941">
        <f t="shared" si="543"/>
        <v>126462</v>
      </c>
      <c r="CT114" s="5942">
        <f t="shared" si="543"/>
        <v>130958</v>
      </c>
      <c r="CU114" s="5942">
        <f t="shared" si="543"/>
        <v>137075</v>
      </c>
      <c r="CV114" s="5942">
        <f t="shared" si="543"/>
        <v>141904</v>
      </c>
      <c r="CW114" s="5942">
        <f t="shared" si="543"/>
        <v>147013</v>
      </c>
      <c r="CX114" s="5941">
        <f t="shared" ref="CX114:DC114" si="544">SUM(CX109:CX113)</f>
        <v>147013</v>
      </c>
      <c r="CY114" s="5942">
        <f t="shared" si="544"/>
        <v>156177</v>
      </c>
      <c r="CZ114" s="5942">
        <f t="shared" si="544"/>
        <v>160258</v>
      </c>
      <c r="DA114" s="5942">
        <f t="shared" si="544"/>
        <v>163875</v>
      </c>
      <c r="DB114" s="5942">
        <f t="shared" si="544"/>
        <v>171710</v>
      </c>
      <c r="DC114" s="5941">
        <f t="shared" si="544"/>
        <v>171710</v>
      </c>
      <c r="DD114" s="5942">
        <f>SUM(DD109:DD113)</f>
        <v>178435</v>
      </c>
      <c r="DE114" s="5942">
        <f>SUM(DE109:DE113)</f>
        <v>184125</v>
      </c>
      <c r="DF114" s="3993">
        <f>SUM(DF109:DF113)</f>
        <v>190455</v>
      </c>
      <c r="DG114" s="5942">
        <f t="shared" ref="DG114:DH114" si="545">SUM(DG109:DG113)</f>
        <v>201803</v>
      </c>
      <c r="DH114" s="5941">
        <f t="shared" si="545"/>
        <v>201803</v>
      </c>
      <c r="DI114" s="3993">
        <f t="shared" ref="DI114:DK114" si="546">SUM(DI109:DI113)</f>
        <v>213186</v>
      </c>
      <c r="DJ114" s="5942">
        <f t="shared" si="546"/>
        <v>223971</v>
      </c>
      <c r="DK114" s="3993">
        <f t="shared" si="546"/>
        <v>238140</v>
      </c>
      <c r="DL114" s="2695"/>
      <c r="DM114" s="1870"/>
      <c r="DN114" s="2695"/>
      <c r="DO114" s="2695"/>
      <c r="DP114" s="2695"/>
      <c r="DQ114" s="2695"/>
      <c r="DR114" s="1870"/>
      <c r="DS114" s="2695"/>
      <c r="DT114" s="2695"/>
      <c r="DU114" s="2695"/>
      <c r="DV114" s="2695"/>
      <c r="DW114" s="1870"/>
      <c r="DX114" s="1870"/>
      <c r="DY114" s="1870"/>
      <c r="DZ114" s="1870"/>
      <c r="EA114" s="1870"/>
      <c r="EC114" s="3683"/>
      <c r="ED114" s="3683"/>
    </row>
    <row r="115" spans="1:134" ht="11.25" hidden="1" customHeight="1" outlineLevel="1">
      <c r="A115" s="1601" t="s">
        <v>584</v>
      </c>
      <c r="B115" s="36"/>
      <c r="C115" s="36"/>
      <c r="D115" s="36"/>
      <c r="E115" s="479"/>
      <c r="F115" s="36"/>
      <c r="G115" s="36"/>
      <c r="H115" s="36"/>
      <c r="I115" s="479"/>
      <c r="J115" s="143"/>
      <c r="K115" s="37"/>
      <c r="L115" s="37"/>
      <c r="M115" s="479"/>
      <c r="N115" s="37"/>
      <c r="O115" s="37"/>
      <c r="P115" s="37"/>
      <c r="Q115" s="479"/>
      <c r="R115" s="143"/>
      <c r="S115" s="76"/>
      <c r="T115" s="36"/>
      <c r="U115" s="479"/>
      <c r="V115" s="41"/>
      <c r="W115" s="43"/>
      <c r="X115" s="43"/>
      <c r="Y115" s="479"/>
      <c r="Z115" s="144"/>
      <c r="AA115" s="42"/>
      <c r="AB115" s="42"/>
      <c r="AC115" s="479"/>
      <c r="AD115" s="144"/>
      <c r="AE115" s="42"/>
      <c r="AF115" s="42"/>
      <c r="AG115" s="479"/>
      <c r="AH115" s="144"/>
      <c r="AI115" s="42"/>
      <c r="AJ115" s="42"/>
      <c r="AK115" s="479"/>
      <c r="AL115" s="144"/>
      <c r="AM115" s="42"/>
      <c r="AN115" s="42"/>
      <c r="AO115" s="479"/>
      <c r="AP115" s="42"/>
      <c r="AQ115" s="42"/>
      <c r="AR115" s="42"/>
      <c r="AS115" s="479"/>
      <c r="AT115" s="144"/>
      <c r="AU115" s="42"/>
      <c r="AV115" s="42"/>
      <c r="AW115" s="479"/>
      <c r="AX115" s="144"/>
      <c r="AY115" s="42"/>
      <c r="AZ115" s="42"/>
      <c r="BA115" s="479"/>
      <c r="BB115" s="42"/>
      <c r="BC115" s="42"/>
      <c r="BD115" s="42"/>
      <c r="BE115" s="479"/>
      <c r="BF115" s="65">
        <v>-5960</v>
      </c>
      <c r="BG115" s="65">
        <v>-6343</v>
      </c>
      <c r="BH115" s="65">
        <v>-6855</v>
      </c>
      <c r="BI115" s="1875">
        <v>-7313</v>
      </c>
      <c r="BJ115" s="1001">
        <f>BI115</f>
        <v>-7313</v>
      </c>
      <c r="BK115" s="65">
        <v>-7842</v>
      </c>
      <c r="BL115" s="65">
        <v>-8088</v>
      </c>
      <c r="BM115" s="65">
        <v>-8311</v>
      </c>
      <c r="BN115" s="1875">
        <v>-8863</v>
      </c>
      <c r="BO115" s="1001">
        <f>BN115</f>
        <v>-8863</v>
      </c>
      <c r="BP115" s="65">
        <v>-9395</v>
      </c>
      <c r="BQ115" s="65">
        <v>-10104</v>
      </c>
      <c r="BR115" s="65">
        <v>-10570</v>
      </c>
      <c r="BS115" s="1875">
        <v>-11130</v>
      </c>
      <c r="BT115" s="1001">
        <f>BS115</f>
        <v>-11130</v>
      </c>
      <c r="BU115" s="65">
        <v>-11833</v>
      </c>
      <c r="BV115" s="65">
        <v>-12491</v>
      </c>
      <c r="BW115" s="65">
        <v>-13341</v>
      </c>
      <c r="BX115" s="65">
        <v>-13293</v>
      </c>
      <c r="BY115" s="1001">
        <f>BX115</f>
        <v>-13293</v>
      </c>
      <c r="BZ115" s="65">
        <v>-14385</v>
      </c>
      <c r="CA115" s="65">
        <v>-15665</v>
      </c>
      <c r="CB115" s="65">
        <v>-16238</v>
      </c>
      <c r="CC115" s="65">
        <v>-17264</v>
      </c>
      <c r="CD115" s="1001">
        <f>CC115</f>
        <v>-17264</v>
      </c>
      <c r="CE115" s="65">
        <v>-18956</v>
      </c>
      <c r="CF115" s="65">
        <v>-20204</v>
      </c>
      <c r="CG115" s="65">
        <v>-21828</v>
      </c>
      <c r="CH115" s="65">
        <v>-22788</v>
      </c>
      <c r="CI115" s="1001">
        <f>CH115</f>
        <v>-22788</v>
      </c>
      <c r="CJ115" s="65">
        <v>-24730</v>
      </c>
      <c r="CK115" s="65">
        <v>-26539</v>
      </c>
      <c r="CL115" s="65">
        <v>-28153</v>
      </c>
      <c r="CM115" s="65">
        <v>-30561</v>
      </c>
      <c r="CN115" s="4376">
        <f>CM115</f>
        <v>-30561</v>
      </c>
      <c r="CO115" s="656">
        <v>-32937</v>
      </c>
      <c r="CP115" s="656">
        <v>-35544</v>
      </c>
      <c r="CQ115" s="656">
        <v>-38651</v>
      </c>
      <c r="CR115" s="656">
        <v>-41713</v>
      </c>
      <c r="CS115" s="4376">
        <f>CR115</f>
        <v>-41713</v>
      </c>
      <c r="CT115" s="656">
        <v>-43352</v>
      </c>
      <c r="CU115" s="656">
        <v>-45378</v>
      </c>
      <c r="CV115" s="656">
        <v>-47273</v>
      </c>
      <c r="CW115" s="656">
        <v>-49414</v>
      </c>
      <c r="CX115" s="4376">
        <f>CW115</f>
        <v>-49414</v>
      </c>
      <c r="CY115" s="656">
        <v>-51959</v>
      </c>
      <c r="CZ115" s="656">
        <v>-54035</v>
      </c>
      <c r="DA115" s="656">
        <v>-55512</v>
      </c>
      <c r="DB115" s="656">
        <v>-59042</v>
      </c>
      <c r="DC115" s="4376">
        <f>DB115</f>
        <v>-59042</v>
      </c>
      <c r="DD115" s="656">
        <v>-60875</v>
      </c>
      <c r="DE115" s="656">
        <v>-62917</v>
      </c>
      <c r="DF115" s="656">
        <v>-64750</v>
      </c>
      <c r="DG115" s="656">
        <v>-67458</v>
      </c>
      <c r="DH115" s="4376">
        <f>DG115</f>
        <v>-67458</v>
      </c>
      <c r="DI115" s="656">
        <v>-70004</v>
      </c>
      <c r="DJ115" s="656">
        <v>-72816</v>
      </c>
      <c r="DK115" s="656">
        <v>-76870</v>
      </c>
      <c r="DL115" s="65"/>
      <c r="DM115" s="1001"/>
      <c r="DN115" s="65"/>
      <c r="DO115" s="65"/>
      <c r="DP115" s="65"/>
      <c r="DQ115" s="65"/>
      <c r="DR115" s="1001"/>
      <c r="DS115" s="65"/>
      <c r="DT115" s="65"/>
      <c r="DU115" s="65"/>
      <c r="DV115" s="65"/>
      <c r="DW115" s="1001"/>
      <c r="DX115" s="871"/>
      <c r="DY115" s="871"/>
      <c r="DZ115" s="871"/>
      <c r="EA115" s="871"/>
      <c r="EC115" s="3683"/>
      <c r="ED115" s="3683"/>
    </row>
    <row r="116" spans="1:134" ht="11.25" hidden="1" customHeight="1" outlineLevel="1">
      <c r="A116" s="1860" t="s">
        <v>585</v>
      </c>
      <c r="B116" s="1861"/>
      <c r="C116" s="1861"/>
      <c r="D116" s="1861"/>
      <c r="E116" s="1862"/>
      <c r="F116" s="1861"/>
      <c r="G116" s="1861"/>
      <c r="H116" s="1861"/>
      <c r="I116" s="1862"/>
      <c r="J116" s="1871"/>
      <c r="K116" s="1864"/>
      <c r="L116" s="1864"/>
      <c r="M116" s="1862"/>
      <c r="N116" s="1864"/>
      <c r="O116" s="1864"/>
      <c r="P116" s="1864"/>
      <c r="Q116" s="1862"/>
      <c r="R116" s="1871"/>
      <c r="S116" s="1865"/>
      <c r="T116" s="1861"/>
      <c r="U116" s="1862"/>
      <c r="V116" s="1872"/>
      <c r="W116" s="1867"/>
      <c r="X116" s="1867"/>
      <c r="Y116" s="1862"/>
      <c r="Z116" s="1873"/>
      <c r="AA116" s="1869"/>
      <c r="AB116" s="1869"/>
      <c r="AC116" s="1862"/>
      <c r="AD116" s="1873"/>
      <c r="AE116" s="1869"/>
      <c r="AF116" s="1869"/>
      <c r="AG116" s="1862"/>
      <c r="AH116" s="1873"/>
      <c r="AI116" s="1869"/>
      <c r="AJ116" s="1869"/>
      <c r="AK116" s="1862"/>
      <c r="AL116" s="1873"/>
      <c r="AM116" s="1869"/>
      <c r="AN116" s="1869"/>
      <c r="AO116" s="1862"/>
      <c r="AP116" s="1869"/>
      <c r="AQ116" s="1869"/>
      <c r="AR116" s="1869"/>
      <c r="AS116" s="1862"/>
      <c r="AT116" s="1873"/>
      <c r="AU116" s="1869"/>
      <c r="AV116" s="1869"/>
      <c r="AW116" s="1862"/>
      <c r="AX116" s="1873"/>
      <c r="AY116" s="1869"/>
      <c r="AZ116" s="1869"/>
      <c r="BA116" s="1862"/>
      <c r="BB116" s="1869"/>
      <c r="BC116" s="1869"/>
      <c r="BD116" s="1869"/>
      <c r="BE116" s="1862"/>
      <c r="BF116" s="1869">
        <f t="shared" ref="BF116:DB116" si="547">SUM(BF114,BF115)</f>
        <v>12300</v>
      </c>
      <c r="BG116" s="1869">
        <f t="shared" si="547"/>
        <v>12912</v>
      </c>
      <c r="BH116" s="1869">
        <f t="shared" si="547"/>
        <v>14867</v>
      </c>
      <c r="BI116" s="1862">
        <f t="shared" si="547"/>
        <v>16524</v>
      </c>
      <c r="BJ116" s="1874">
        <f t="shared" si="547"/>
        <v>16524</v>
      </c>
      <c r="BK116" s="1869">
        <f t="shared" si="547"/>
        <v>17877</v>
      </c>
      <c r="BL116" s="1869">
        <f t="shared" si="547"/>
        <v>19486</v>
      </c>
      <c r="BM116" s="1869">
        <f t="shared" si="547"/>
        <v>20981</v>
      </c>
      <c r="BN116" s="1862">
        <f t="shared" si="547"/>
        <v>23883</v>
      </c>
      <c r="BO116" s="1874">
        <f t="shared" si="547"/>
        <v>23883</v>
      </c>
      <c r="BP116" s="1869">
        <f t="shared" si="547"/>
        <v>25448</v>
      </c>
      <c r="BQ116" s="1869">
        <f t="shared" si="547"/>
        <v>27008</v>
      </c>
      <c r="BR116" s="1869">
        <f t="shared" si="547"/>
        <v>28338</v>
      </c>
      <c r="BS116" s="1862">
        <f t="shared" si="547"/>
        <v>29016</v>
      </c>
      <c r="BT116" s="1874">
        <f t="shared" si="547"/>
        <v>29016</v>
      </c>
      <c r="BU116" s="1869">
        <f t="shared" si="547"/>
        <v>30162</v>
      </c>
      <c r="BV116" s="1869">
        <f t="shared" si="547"/>
        <v>31413</v>
      </c>
      <c r="BW116" s="1869">
        <f t="shared" si="547"/>
        <v>32753</v>
      </c>
      <c r="BX116" s="1869">
        <f t="shared" si="547"/>
        <v>34234</v>
      </c>
      <c r="BY116" s="1874">
        <f t="shared" si="547"/>
        <v>34234</v>
      </c>
      <c r="BZ116" s="1869">
        <f t="shared" si="547"/>
        <v>35936</v>
      </c>
      <c r="CA116" s="1869">
        <f t="shared" si="547"/>
        <v>37676</v>
      </c>
      <c r="CB116" s="1869">
        <f t="shared" si="547"/>
        <v>40120</v>
      </c>
      <c r="CC116" s="1869">
        <f t="shared" si="547"/>
        <v>42383</v>
      </c>
      <c r="CD116" s="1874">
        <f t="shared" si="547"/>
        <v>42383</v>
      </c>
      <c r="CE116" s="1869">
        <f t="shared" si="547"/>
        <v>48845</v>
      </c>
      <c r="CF116" s="1869">
        <f t="shared" si="547"/>
        <v>51672</v>
      </c>
      <c r="CG116" s="1869">
        <f t="shared" si="547"/>
        <v>55300</v>
      </c>
      <c r="CH116" s="1869">
        <f t="shared" si="547"/>
        <v>59719</v>
      </c>
      <c r="CI116" s="1874">
        <f t="shared" si="547"/>
        <v>59719</v>
      </c>
      <c r="CJ116" s="1869">
        <f t="shared" si="547"/>
        <v>60528</v>
      </c>
      <c r="CK116" s="1869">
        <f t="shared" si="547"/>
        <v>64891</v>
      </c>
      <c r="CL116" s="1869">
        <f t="shared" si="547"/>
        <v>69252</v>
      </c>
      <c r="CM116" s="1869">
        <f t="shared" si="547"/>
        <v>73646</v>
      </c>
      <c r="CN116" s="3692">
        <f t="shared" si="547"/>
        <v>73646</v>
      </c>
      <c r="CO116" s="5942">
        <f t="shared" si="547"/>
        <v>76747</v>
      </c>
      <c r="CP116" s="5942">
        <f t="shared" si="547"/>
        <v>78748</v>
      </c>
      <c r="CQ116" s="5942">
        <f t="shared" si="547"/>
        <v>81636</v>
      </c>
      <c r="CR116" s="5942">
        <f t="shared" si="547"/>
        <v>84749</v>
      </c>
      <c r="CS116" s="3692">
        <f t="shared" si="547"/>
        <v>84749</v>
      </c>
      <c r="CT116" s="5942">
        <f t="shared" si="547"/>
        <v>87606</v>
      </c>
      <c r="CU116" s="5942">
        <f t="shared" si="547"/>
        <v>91697</v>
      </c>
      <c r="CV116" s="5942">
        <f t="shared" si="547"/>
        <v>94631</v>
      </c>
      <c r="CW116" s="5942">
        <f t="shared" si="547"/>
        <v>97599</v>
      </c>
      <c r="CX116" s="3692">
        <f t="shared" si="547"/>
        <v>97599</v>
      </c>
      <c r="CY116" s="5942">
        <f t="shared" si="547"/>
        <v>104218</v>
      </c>
      <c r="CZ116" s="5942">
        <f t="shared" si="547"/>
        <v>106223</v>
      </c>
      <c r="DA116" s="5942">
        <f t="shared" si="547"/>
        <v>108363</v>
      </c>
      <c r="DB116" s="5942">
        <f t="shared" si="547"/>
        <v>112668</v>
      </c>
      <c r="DC116" s="3692">
        <f>SUM(DC114,DC115)</f>
        <v>112668</v>
      </c>
      <c r="DD116" s="5942">
        <f>SUM(DD114,DD115)</f>
        <v>117560</v>
      </c>
      <c r="DE116" s="5942">
        <f>SUM(DE114,DE115)</f>
        <v>121208</v>
      </c>
      <c r="DF116" s="3993">
        <f>SUM(DF114,DF115)</f>
        <v>125705</v>
      </c>
      <c r="DG116" s="5942">
        <f t="shared" ref="DG116:DI116" si="548">SUM(DG114,DG115)</f>
        <v>134345</v>
      </c>
      <c r="DH116" s="3692">
        <f>SUM(DH114,DH115)</f>
        <v>134345</v>
      </c>
      <c r="DI116" s="3993">
        <f t="shared" si="548"/>
        <v>143182</v>
      </c>
      <c r="DJ116" s="5942">
        <f t="shared" ref="DJ116:DK116" si="549">SUM(DJ114,DJ115)</f>
        <v>151155</v>
      </c>
      <c r="DK116" s="3993">
        <f t="shared" si="549"/>
        <v>161270</v>
      </c>
      <c r="DL116" s="1869"/>
      <c r="DM116" s="1874"/>
      <c r="DN116" s="1869"/>
      <c r="DO116" s="1869"/>
      <c r="DP116" s="1869"/>
      <c r="DQ116" s="1869"/>
      <c r="DR116" s="1874"/>
      <c r="DS116" s="1869"/>
      <c r="DT116" s="1869"/>
      <c r="DU116" s="1869"/>
      <c r="DV116" s="1869"/>
      <c r="DW116" s="1874"/>
      <c r="DX116" s="1874"/>
      <c r="DY116" s="1874"/>
      <c r="DZ116" s="1874"/>
      <c r="EA116" s="1874"/>
      <c r="EC116" s="3683"/>
      <c r="ED116" s="3683"/>
    </row>
    <row r="117" spans="1:134" s="287" customFormat="1" ht="11.25" hidden="1" customHeight="1" outlineLevel="1">
      <c r="A117" s="1609"/>
      <c r="B117" s="1348"/>
      <c r="C117" s="1348"/>
      <c r="D117" s="1348"/>
      <c r="E117" s="1353"/>
      <c r="F117" s="1348"/>
      <c r="G117" s="1348"/>
      <c r="H117" s="1348"/>
      <c r="I117" s="1353"/>
      <c r="J117" s="1349"/>
      <c r="K117" s="1348"/>
      <c r="L117" s="1348"/>
      <c r="M117" s="1353"/>
      <c r="N117" s="1348"/>
      <c r="O117" s="1348"/>
      <c r="P117" s="1348"/>
      <c r="Q117" s="1353"/>
      <c r="R117" s="1349"/>
      <c r="S117" s="1348"/>
      <c r="T117" s="1348"/>
      <c r="U117" s="1353"/>
      <c r="V117" s="1350"/>
      <c r="W117" s="1351"/>
      <c r="X117" s="1351"/>
      <c r="Y117" s="1353"/>
      <c r="Z117" s="1351"/>
      <c r="AA117" s="1351"/>
      <c r="AB117" s="1351"/>
      <c r="AC117" s="1353"/>
      <c r="AD117" s="1350"/>
      <c r="AE117" s="1351"/>
      <c r="AF117" s="1351"/>
      <c r="AG117" s="1353"/>
      <c r="AH117" s="1351"/>
      <c r="AI117" s="1351"/>
      <c r="AJ117" s="1351"/>
      <c r="AK117" s="1353"/>
      <c r="AL117" s="1350"/>
      <c r="AM117" s="1351"/>
      <c r="AN117" s="1351"/>
      <c r="AO117" s="1353"/>
      <c r="AP117" s="1351"/>
      <c r="AQ117" s="1351"/>
      <c r="AR117" s="1351"/>
      <c r="AS117" s="1353"/>
      <c r="AT117" s="1351"/>
      <c r="AU117" s="1351"/>
      <c r="AV117" s="1351"/>
      <c r="AW117" s="1353"/>
      <c r="AX117" s="1351"/>
      <c r="AY117" s="1351"/>
      <c r="AZ117" s="1351"/>
      <c r="BA117" s="1353"/>
      <c r="BB117" s="1351"/>
      <c r="BC117" s="1351"/>
      <c r="BD117" s="1351"/>
      <c r="BE117" s="1353"/>
      <c r="BF117" s="1351"/>
      <c r="BG117" s="1351"/>
      <c r="BH117" s="1351"/>
      <c r="BI117" s="1351"/>
      <c r="BJ117" s="1352"/>
      <c r="BK117" s="1351"/>
      <c r="BL117" s="1351"/>
      <c r="BM117" s="1351"/>
      <c r="BN117" s="1353"/>
      <c r="BO117" s="1352"/>
      <c r="BP117" s="1351"/>
      <c r="BQ117" s="1351"/>
      <c r="BR117" s="1351"/>
      <c r="BS117" s="1353"/>
      <c r="BT117" s="1352"/>
      <c r="BU117" s="1351"/>
      <c r="BV117" s="1351"/>
      <c r="BW117" s="1354"/>
      <c r="BX117" s="1354"/>
      <c r="BY117" s="1352"/>
      <c r="BZ117" s="1351"/>
      <c r="CA117" s="1351"/>
      <c r="CB117" s="1354"/>
      <c r="CC117" s="1354"/>
      <c r="CD117" s="1352"/>
      <c r="CE117" s="1351"/>
      <c r="CF117" s="1351"/>
      <c r="CG117" s="1354"/>
      <c r="CH117" s="1354"/>
      <c r="CI117" s="1352"/>
      <c r="CJ117" s="1354"/>
      <c r="CK117" s="1354"/>
      <c r="CL117" s="1354"/>
      <c r="CM117" s="1354"/>
      <c r="CN117" s="5943"/>
      <c r="CO117" s="5944"/>
      <c r="CP117" s="5944"/>
      <c r="CQ117" s="5944"/>
      <c r="CR117" s="5944"/>
      <c r="CS117" s="5943"/>
      <c r="CT117" s="5944"/>
      <c r="CU117" s="5944"/>
      <c r="CV117" s="5944"/>
      <c r="CW117" s="5944"/>
      <c r="CX117" s="5943"/>
      <c r="CY117" s="5944"/>
      <c r="CZ117" s="5944"/>
      <c r="DA117" s="5944"/>
      <c r="DB117" s="5944"/>
      <c r="DC117" s="5943"/>
      <c r="DD117" s="5944"/>
      <c r="DE117" s="5944"/>
      <c r="DF117" s="5944"/>
      <c r="DG117" s="5944"/>
      <c r="DH117" s="5943"/>
      <c r="DI117" s="5944"/>
      <c r="DJ117" s="5944"/>
      <c r="DK117" s="5944"/>
      <c r="DL117" s="1354"/>
      <c r="DM117" s="1352"/>
      <c r="DN117" s="1354"/>
      <c r="DO117" s="1354"/>
      <c r="DP117" s="1354"/>
      <c r="DQ117" s="1354"/>
      <c r="DR117" s="1352"/>
      <c r="DS117" s="1354"/>
      <c r="DT117" s="1354"/>
      <c r="DU117" s="1354"/>
      <c r="DV117" s="1354"/>
      <c r="DW117" s="1352"/>
      <c r="DX117" s="1355"/>
      <c r="DY117" s="1355"/>
      <c r="DZ117" s="1355"/>
      <c r="EA117" s="1355"/>
      <c r="EC117" s="3683"/>
      <c r="ED117" s="3683"/>
    </row>
    <row r="118" spans="1:134" s="287" customFormat="1" ht="11.25" hidden="1" customHeight="1" outlineLevel="1">
      <c r="A118" s="1859" t="s">
        <v>1013</v>
      </c>
      <c r="B118" s="1348"/>
      <c r="C118" s="1348"/>
      <c r="D118" s="1348"/>
      <c r="E118" s="1353"/>
      <c r="F118" s="1348"/>
      <c r="G118" s="1348"/>
      <c r="H118" s="1348"/>
      <c r="I118" s="1353"/>
      <c r="J118" s="1349"/>
      <c r="K118" s="1348"/>
      <c r="L118" s="1348"/>
      <c r="M118" s="1353"/>
      <c r="N118" s="1348"/>
      <c r="O118" s="1348"/>
      <c r="P118" s="1348"/>
      <c r="Q118" s="1353"/>
      <c r="R118" s="1349"/>
      <c r="S118" s="1348"/>
      <c r="T118" s="1348"/>
      <c r="U118" s="1353"/>
      <c r="V118" s="1350"/>
      <c r="W118" s="1351"/>
      <c r="X118" s="1351"/>
      <c r="Y118" s="1353"/>
      <c r="Z118" s="1351"/>
      <c r="AA118" s="1351"/>
      <c r="AB118" s="1351"/>
      <c r="AC118" s="1353"/>
      <c r="AD118" s="1350"/>
      <c r="AE118" s="1351"/>
      <c r="AF118" s="1351"/>
      <c r="AG118" s="1353"/>
      <c r="AH118" s="1351"/>
      <c r="AI118" s="1351"/>
      <c r="AJ118" s="1351"/>
      <c r="AK118" s="1353"/>
      <c r="AL118" s="1350"/>
      <c r="AM118" s="1351"/>
      <c r="AN118" s="1351"/>
      <c r="AO118" s="1353"/>
      <c r="AP118" s="1351"/>
      <c r="AQ118" s="1351"/>
      <c r="AR118" s="1351"/>
      <c r="AS118" s="1353"/>
      <c r="AT118" s="1351"/>
      <c r="AU118" s="1351"/>
      <c r="AV118" s="1351"/>
      <c r="AW118" s="1353"/>
      <c r="AX118" s="1351"/>
      <c r="AY118" s="1351"/>
      <c r="AZ118" s="1351"/>
      <c r="BA118" s="1353"/>
      <c r="BB118" s="1351"/>
      <c r="BC118" s="1351"/>
      <c r="BD118" s="1351"/>
      <c r="BE118" s="1353"/>
      <c r="BF118" s="1351"/>
      <c r="BG118" s="1351"/>
      <c r="BH118" s="1351"/>
      <c r="BI118" s="1351"/>
      <c r="BJ118" s="1352"/>
      <c r="BK118" s="1351"/>
      <c r="BL118" s="1351"/>
      <c r="BM118" s="1351"/>
      <c r="BN118" s="1353"/>
      <c r="BO118" s="1352"/>
      <c r="BP118" s="1351"/>
      <c r="BQ118" s="1351"/>
      <c r="BR118" s="1351"/>
      <c r="BS118" s="1353"/>
      <c r="BT118" s="1352"/>
      <c r="BU118" s="1351"/>
      <c r="BV118" s="1351"/>
      <c r="BW118" s="1354"/>
      <c r="BX118" s="1354"/>
      <c r="BY118" s="1352"/>
      <c r="BZ118" s="1351"/>
      <c r="CA118" s="1351"/>
      <c r="CB118" s="1354"/>
      <c r="CC118" s="1354"/>
      <c r="CD118" s="1352"/>
      <c r="CE118" s="1351"/>
      <c r="CF118" s="1351"/>
      <c r="CG118" s="1354"/>
      <c r="CH118" s="1354"/>
      <c r="CI118" s="1352"/>
      <c r="CJ118" s="1354"/>
      <c r="CK118" s="1354"/>
      <c r="CL118" s="1354"/>
      <c r="CM118" s="1354"/>
      <c r="CN118" s="5943"/>
      <c r="CO118" s="5944"/>
      <c r="CP118" s="5944"/>
      <c r="CQ118" s="5944"/>
      <c r="CR118" s="5944"/>
      <c r="CS118" s="5943"/>
      <c r="CT118" s="5944"/>
      <c r="CU118" s="5944"/>
      <c r="CV118" s="5944"/>
      <c r="CW118" s="5944"/>
      <c r="CX118" s="5943"/>
      <c r="CY118" s="5944"/>
      <c r="CZ118" s="5944"/>
      <c r="DA118" s="5944"/>
      <c r="DB118" s="5944"/>
      <c r="DC118" s="5943"/>
      <c r="DD118" s="5944"/>
      <c r="DE118" s="5944"/>
      <c r="DF118" s="5944"/>
      <c r="DG118" s="5944"/>
      <c r="DH118" s="5943"/>
      <c r="DI118" s="5944"/>
      <c r="DJ118" s="5944"/>
      <c r="DK118" s="5944"/>
      <c r="DL118" s="1354"/>
      <c r="DM118" s="1352"/>
      <c r="DN118" s="1354"/>
      <c r="DO118" s="1354"/>
      <c r="DP118" s="1354"/>
      <c r="DQ118" s="1354"/>
      <c r="DR118" s="1352"/>
      <c r="DS118" s="1354"/>
      <c r="DT118" s="1354"/>
      <c r="DU118" s="1354"/>
      <c r="DV118" s="1354"/>
      <c r="DW118" s="1352"/>
      <c r="DX118" s="1355"/>
      <c r="DY118" s="1355"/>
      <c r="DZ118" s="1355"/>
      <c r="EA118" s="1355"/>
      <c r="EC118" s="3683"/>
      <c r="ED118" s="3683"/>
    </row>
    <row r="119" spans="1:134" ht="11.25" hidden="1" customHeight="1" outlineLevel="1">
      <c r="A119" s="1601" t="s">
        <v>578</v>
      </c>
      <c r="B119" s="36"/>
      <c r="C119" s="36"/>
      <c r="D119" s="36"/>
      <c r="E119" s="479"/>
      <c r="F119" s="36"/>
      <c r="G119" s="36"/>
      <c r="H119" s="36"/>
      <c r="I119" s="479"/>
      <c r="J119" s="143"/>
      <c r="K119" s="37"/>
      <c r="L119" s="37"/>
      <c r="M119" s="479"/>
      <c r="N119" s="37"/>
      <c r="O119" s="37"/>
      <c r="P119" s="37"/>
      <c r="Q119" s="479"/>
      <c r="R119" s="143"/>
      <c r="S119" s="76"/>
      <c r="T119" s="36"/>
      <c r="U119" s="479"/>
      <c r="V119" s="41"/>
      <c r="W119" s="43"/>
      <c r="X119" s="43"/>
      <c r="Y119" s="479"/>
      <c r="Z119" s="144"/>
      <c r="AA119" s="42"/>
      <c r="AB119" s="42"/>
      <c r="AC119" s="479"/>
      <c r="AD119" s="144"/>
      <c r="AE119" s="42"/>
      <c r="AF119" s="42"/>
      <c r="AG119" s="479"/>
      <c r="AH119" s="144"/>
      <c r="AI119" s="42"/>
      <c r="AJ119" s="42"/>
      <c r="AK119" s="479"/>
      <c r="AL119" s="144"/>
      <c r="AM119" s="42"/>
      <c r="AN119" s="42"/>
      <c r="AO119" s="479"/>
      <c r="AP119" s="42"/>
      <c r="AQ119" s="42"/>
      <c r="AR119" s="42"/>
      <c r="AS119" s="479"/>
      <c r="AT119" s="144"/>
      <c r="AU119" s="42"/>
      <c r="AV119" s="42"/>
      <c r="AW119" s="479"/>
      <c r="AX119" s="144"/>
      <c r="AY119" s="42"/>
      <c r="AZ119" s="42"/>
      <c r="BA119" s="479"/>
      <c r="BB119" s="42"/>
      <c r="BC119" s="42"/>
      <c r="BD119" s="42"/>
      <c r="BE119" s="479"/>
      <c r="BF119" s="42"/>
      <c r="BG119" s="42"/>
      <c r="BH119" s="42"/>
      <c r="BI119" s="479"/>
      <c r="BJ119" s="1001"/>
      <c r="BK119" s="42">
        <f t="shared" ref="BK119:BP119" si="550">BK109-BF109</f>
        <v>2382</v>
      </c>
      <c r="BL119" s="42">
        <f t="shared" si="550"/>
        <v>3938</v>
      </c>
      <c r="BM119" s="42">
        <f t="shared" si="550"/>
        <v>5154</v>
      </c>
      <c r="BN119" s="479">
        <f t="shared" si="550"/>
        <v>5838</v>
      </c>
      <c r="BO119" s="1001">
        <f t="shared" si="550"/>
        <v>5838</v>
      </c>
      <c r="BP119" s="42">
        <f t="shared" si="550"/>
        <v>4703</v>
      </c>
      <c r="BQ119" s="42">
        <f t="shared" ref="BQ119:BQ126" si="551">BQ109-BL109</f>
        <v>4272</v>
      </c>
      <c r="BR119" s="42">
        <f t="shared" ref="BR119:BR126" si="552">BR109-BM109</f>
        <v>3737</v>
      </c>
      <c r="BS119" s="479">
        <f t="shared" ref="BS119:BS126" si="553">BS109-BN109</f>
        <v>3192</v>
      </c>
      <c r="BT119" s="1001">
        <f t="shared" ref="BT119:BT126" si="554">BT109-BO109</f>
        <v>3192</v>
      </c>
      <c r="BU119" s="42">
        <f>BU109-BP109</f>
        <v>4549</v>
      </c>
      <c r="BV119" s="42">
        <f t="shared" ref="BV119:BV126" si="555">BV109-BQ109</f>
        <v>4224</v>
      </c>
      <c r="BW119" s="42">
        <f t="shared" ref="BW119:BW126" si="556">BW109-BR109</f>
        <v>3856</v>
      </c>
      <c r="BX119" s="479">
        <f t="shared" ref="BX119:BX126" si="557">BX109-BS109</f>
        <v>3286</v>
      </c>
      <c r="BY119" s="1001">
        <f t="shared" ref="BY119:BY126" si="558">BY109-BT109</f>
        <v>3286</v>
      </c>
      <c r="BZ119" s="42">
        <f>BZ109-BU109</f>
        <v>2716</v>
      </c>
      <c r="CA119" s="42">
        <f t="shared" ref="CA119:CA126" si="559">CA109-BV109</f>
        <v>2738</v>
      </c>
      <c r="CB119" s="42">
        <f t="shared" ref="CB119:CB126" si="560">CB109-BW109</f>
        <v>3158</v>
      </c>
      <c r="CC119" s="479">
        <f t="shared" ref="CC119:CC126" si="561">CC109-BX109</f>
        <v>3379</v>
      </c>
      <c r="CD119" s="1001">
        <f t="shared" ref="CD119:CD126" si="562">CD109-BY109</f>
        <v>3379</v>
      </c>
      <c r="CE119" s="42">
        <f>CE109-BZ109</f>
        <v>6135</v>
      </c>
      <c r="CF119" s="42">
        <f t="shared" ref="CF119:CF126" si="563">CF109-CA109</f>
        <v>5745</v>
      </c>
      <c r="CG119" s="42">
        <f t="shared" ref="CG119:CG126" si="564">CG109-CB109</f>
        <v>5792</v>
      </c>
      <c r="CH119" s="479">
        <f t="shared" ref="CH119:CH126" si="565">CH109-CC109</f>
        <v>6996</v>
      </c>
      <c r="CI119" s="1001">
        <f t="shared" ref="CI119:CI126" si="566">CI109-CD109</f>
        <v>6996</v>
      </c>
      <c r="CJ119" s="42">
        <f>CJ109-CE109</f>
        <v>3945</v>
      </c>
      <c r="CK119" s="42">
        <f t="shared" ref="CK119:CK126" si="567">CK109-CF109</f>
        <v>5576</v>
      </c>
      <c r="CL119" s="42">
        <f t="shared" ref="CL119:CL126" si="568">CL109-CG109</f>
        <v>6801</v>
      </c>
      <c r="CM119" s="479">
        <f t="shared" ref="CM119:CM126" si="569">CM109-CH109</f>
        <v>9686</v>
      </c>
      <c r="CN119" s="1255">
        <f t="shared" ref="CN119:CN126" si="570">CN109-CI109</f>
        <v>9686</v>
      </c>
      <c r="CO119" s="226">
        <f>CO109-CJ109</f>
        <v>10548</v>
      </c>
      <c r="CP119" s="226">
        <f t="shared" ref="CP119:CP126" si="571">CP109-CK109</f>
        <v>11665</v>
      </c>
      <c r="CQ119" s="226">
        <f t="shared" ref="CQ119:CQ126" si="572">CQ109-CL109</f>
        <v>11827</v>
      </c>
      <c r="CR119" s="840">
        <f t="shared" ref="CR119:CR126" si="573">CR109-CM109</f>
        <v>9867</v>
      </c>
      <c r="CS119" s="1255">
        <f t="shared" ref="CS119:CS126" si="574">CS109-CN109</f>
        <v>9867</v>
      </c>
      <c r="CT119" s="226">
        <f>CT109-CO109</f>
        <v>11150</v>
      </c>
      <c r="CU119" s="226">
        <f t="shared" ref="CU119:CU126" si="575">CU109-CP109</f>
        <v>11416</v>
      </c>
      <c r="CV119" s="226">
        <f t="shared" ref="CV119:CV126" si="576">CV109-CQ109</f>
        <v>10481</v>
      </c>
      <c r="CW119" s="840">
        <f t="shared" ref="CW119:CW126" si="577">CW109-CR109</f>
        <v>9149</v>
      </c>
      <c r="CX119" s="1255">
        <f t="shared" ref="CX119:CX126" si="578">CX109-CS109</f>
        <v>9149</v>
      </c>
      <c r="CY119" s="226">
        <f>CY109-CT109</f>
        <v>10347</v>
      </c>
      <c r="CZ119" s="226">
        <f t="shared" ref="CZ119:CZ126" si="579">CZ109-CU109</f>
        <v>9105</v>
      </c>
      <c r="DA119" s="226">
        <f t="shared" ref="DA119:DA126" si="580">DA109-CV109</f>
        <v>7411</v>
      </c>
      <c r="DB119" s="840">
        <f t="shared" ref="DB119:DF126" si="581">DB109-CW109</f>
        <v>8016</v>
      </c>
      <c r="DC119" s="1255">
        <f t="shared" ref="DC119:DC126" si="582">DC109-CX109</f>
        <v>8016</v>
      </c>
      <c r="DD119" s="226">
        <f t="shared" si="581"/>
        <v>5079</v>
      </c>
      <c r="DE119" s="226">
        <f t="shared" si="581"/>
        <v>3875</v>
      </c>
      <c r="DF119" s="226">
        <f t="shared" si="581"/>
        <v>6678</v>
      </c>
      <c r="DG119" s="840">
        <f t="shared" ref="DG119:DK126" si="583">DG109-DB109</f>
        <v>7186</v>
      </c>
      <c r="DH119" s="1255">
        <f t="shared" ref="DH119:DH126" si="584">DH109-DC109</f>
        <v>7186</v>
      </c>
      <c r="DI119" s="226">
        <f t="shared" si="583"/>
        <v>9473</v>
      </c>
      <c r="DJ119" s="226">
        <f t="shared" si="583"/>
        <v>9751</v>
      </c>
      <c r="DK119" s="226">
        <f t="shared" si="583"/>
        <v>8943</v>
      </c>
      <c r="DL119" s="479"/>
      <c r="DM119" s="1001"/>
      <c r="DN119" s="42"/>
      <c r="DO119" s="42"/>
      <c r="DP119" s="42"/>
      <c r="DQ119" s="42"/>
      <c r="DR119" s="1001"/>
      <c r="DS119" s="42"/>
      <c r="DT119" s="42"/>
      <c r="DU119" s="42"/>
      <c r="DV119" s="42"/>
      <c r="DW119" s="1001"/>
      <c r="DX119" s="871"/>
      <c r="DY119" s="871"/>
      <c r="DZ119" s="871"/>
      <c r="EA119" s="871"/>
      <c r="EC119" s="3683"/>
      <c r="ED119" s="3683"/>
    </row>
    <row r="120" spans="1:134" ht="11.25" hidden="1" customHeight="1" outlineLevel="1">
      <c r="A120" s="1601" t="s">
        <v>579</v>
      </c>
      <c r="B120" s="36"/>
      <c r="C120" s="36"/>
      <c r="D120" s="36"/>
      <c r="E120" s="479"/>
      <c r="F120" s="36"/>
      <c r="G120" s="36"/>
      <c r="H120" s="36"/>
      <c r="I120" s="479"/>
      <c r="J120" s="143"/>
      <c r="K120" s="37"/>
      <c r="L120" s="37"/>
      <c r="M120" s="479"/>
      <c r="N120" s="37"/>
      <c r="O120" s="37"/>
      <c r="P120" s="37"/>
      <c r="Q120" s="479"/>
      <c r="R120" s="143"/>
      <c r="S120" s="76"/>
      <c r="T120" s="36"/>
      <c r="U120" s="479"/>
      <c r="V120" s="41"/>
      <c r="W120" s="43"/>
      <c r="X120" s="43"/>
      <c r="Y120" s="479"/>
      <c r="Z120" s="144"/>
      <c r="AA120" s="42"/>
      <c r="AB120" s="42"/>
      <c r="AC120" s="479"/>
      <c r="AD120" s="144"/>
      <c r="AE120" s="42"/>
      <c r="AF120" s="42"/>
      <c r="AG120" s="479"/>
      <c r="AH120" s="144"/>
      <c r="AI120" s="42"/>
      <c r="AJ120" s="42"/>
      <c r="AK120" s="479"/>
      <c r="AL120" s="144"/>
      <c r="AM120" s="42"/>
      <c r="AN120" s="42"/>
      <c r="AO120" s="479"/>
      <c r="AP120" s="42"/>
      <c r="AQ120" s="42"/>
      <c r="AR120" s="42"/>
      <c r="AS120" s="479"/>
      <c r="AT120" s="144"/>
      <c r="AU120" s="42"/>
      <c r="AV120" s="42"/>
      <c r="AW120" s="479"/>
      <c r="AX120" s="144"/>
      <c r="AY120" s="42"/>
      <c r="AZ120" s="42"/>
      <c r="BA120" s="479"/>
      <c r="BB120" s="42"/>
      <c r="BC120" s="42"/>
      <c r="BD120" s="42"/>
      <c r="BE120" s="479"/>
      <c r="BF120" s="42"/>
      <c r="BG120" s="42"/>
      <c r="BH120" s="42"/>
      <c r="BI120" s="479"/>
      <c r="BJ120" s="1001"/>
      <c r="BK120" s="42">
        <f t="shared" ref="BK120:BO126" si="585">BK110-BF110</f>
        <v>1623</v>
      </c>
      <c r="BL120" s="42">
        <f t="shared" si="585"/>
        <v>1868</v>
      </c>
      <c r="BM120" s="42">
        <f t="shared" si="585"/>
        <v>1806</v>
      </c>
      <c r="BN120" s="479">
        <f t="shared" si="585"/>
        <v>1824</v>
      </c>
      <c r="BO120" s="1001">
        <f t="shared" si="585"/>
        <v>1824</v>
      </c>
      <c r="BP120" s="42">
        <f t="shared" ref="BP120:BP126" si="586">BP110-BK110</f>
        <v>2447</v>
      </c>
      <c r="BQ120" s="42">
        <f t="shared" si="551"/>
        <v>3291</v>
      </c>
      <c r="BR120" s="42">
        <f t="shared" si="552"/>
        <v>3177</v>
      </c>
      <c r="BS120" s="479">
        <f t="shared" si="553"/>
        <v>2727</v>
      </c>
      <c r="BT120" s="1001">
        <f t="shared" si="554"/>
        <v>2727</v>
      </c>
      <c r="BU120" s="42">
        <f t="shared" ref="BU120:BU126" si="587">BU110-BP110</f>
        <v>2003</v>
      </c>
      <c r="BV120" s="42">
        <f t="shared" si="555"/>
        <v>1519</v>
      </c>
      <c r="BW120" s="42">
        <f t="shared" si="556"/>
        <v>2356</v>
      </c>
      <c r="BX120" s="479">
        <f t="shared" si="557"/>
        <v>2439</v>
      </c>
      <c r="BY120" s="1001">
        <f t="shared" si="558"/>
        <v>2439</v>
      </c>
      <c r="BZ120" s="42">
        <f t="shared" ref="BZ120:BZ126" si="588">BZ110-BU110</f>
        <v>3472</v>
      </c>
      <c r="CA120" s="42">
        <f t="shared" si="559"/>
        <v>4018</v>
      </c>
      <c r="CB120" s="42">
        <f t="shared" si="560"/>
        <v>3744</v>
      </c>
      <c r="CC120" s="479">
        <f t="shared" si="561"/>
        <v>5345</v>
      </c>
      <c r="CD120" s="1001">
        <f t="shared" si="562"/>
        <v>5345</v>
      </c>
      <c r="CE120" s="42">
        <f t="shared" ref="CE120:CE126" si="589">CE110-BZ110</f>
        <v>6465</v>
      </c>
      <c r="CF120" s="42">
        <f t="shared" si="563"/>
        <v>7619</v>
      </c>
      <c r="CG120" s="42">
        <f t="shared" si="564"/>
        <v>9141</v>
      </c>
      <c r="CH120" s="479">
        <f t="shared" si="565"/>
        <v>8690</v>
      </c>
      <c r="CI120" s="1001">
        <f t="shared" si="566"/>
        <v>8690</v>
      </c>
      <c r="CJ120" s="42">
        <f t="shared" ref="CJ120:CJ126" si="590">CJ110-CE110</f>
        <v>7756</v>
      </c>
      <c r="CK120" s="42">
        <f t="shared" si="567"/>
        <v>6874</v>
      </c>
      <c r="CL120" s="42">
        <f t="shared" si="568"/>
        <v>6143</v>
      </c>
      <c r="CM120" s="479">
        <f t="shared" si="569"/>
        <v>6721</v>
      </c>
      <c r="CN120" s="1255">
        <f t="shared" si="570"/>
        <v>6721</v>
      </c>
      <c r="CO120" s="226">
        <f t="shared" ref="CO120:CO126" si="591">CO110-CJ110</f>
        <v>6983</v>
      </c>
      <c r="CP120" s="226">
        <f t="shared" si="571"/>
        <v>7709</v>
      </c>
      <c r="CQ120" s="226">
        <f t="shared" si="572"/>
        <v>8145</v>
      </c>
      <c r="CR120" s="840">
        <f t="shared" si="573"/>
        <v>9066</v>
      </c>
      <c r="CS120" s="1255">
        <f t="shared" si="574"/>
        <v>9066</v>
      </c>
      <c r="CT120" s="226">
        <f t="shared" ref="CT120:CT126" si="592">CT110-CO110</f>
        <v>9359</v>
      </c>
      <c r="CU120" s="226">
        <f t="shared" si="575"/>
        <v>10457</v>
      </c>
      <c r="CV120" s="226">
        <f t="shared" si="576"/>
        <v>10666</v>
      </c>
      <c r="CW120" s="840">
        <f t="shared" si="577"/>
        <v>9700</v>
      </c>
      <c r="CX120" s="1255">
        <f t="shared" si="578"/>
        <v>9700</v>
      </c>
      <c r="CY120" s="226">
        <f t="shared" ref="CY120:CY126" si="593">CY110-CT110</f>
        <v>9735</v>
      </c>
      <c r="CZ120" s="226">
        <f t="shared" si="579"/>
        <v>8455</v>
      </c>
      <c r="DA120" s="226">
        <f t="shared" si="580"/>
        <v>8389</v>
      </c>
      <c r="DB120" s="840">
        <f t="shared" si="581"/>
        <v>10661</v>
      </c>
      <c r="DC120" s="1255">
        <f t="shared" si="582"/>
        <v>10661</v>
      </c>
      <c r="DD120" s="226">
        <f t="shared" si="581"/>
        <v>10949</v>
      </c>
      <c r="DE120" s="226">
        <f t="shared" si="581"/>
        <v>11949</v>
      </c>
      <c r="DF120" s="226">
        <f t="shared" si="581"/>
        <v>12990</v>
      </c>
      <c r="DG120" s="840">
        <f t="shared" si="583"/>
        <v>14327</v>
      </c>
      <c r="DH120" s="1255">
        <f t="shared" si="584"/>
        <v>14327</v>
      </c>
      <c r="DI120" s="226">
        <f t="shared" si="583"/>
        <v>17399</v>
      </c>
      <c r="DJ120" s="226">
        <f t="shared" si="583"/>
        <v>20402</v>
      </c>
      <c r="DK120" s="226">
        <f t="shared" si="583"/>
        <v>23810</v>
      </c>
      <c r="DL120" s="479"/>
      <c r="DM120" s="1001"/>
      <c r="DN120" s="42"/>
      <c r="DO120" s="42"/>
      <c r="DP120" s="42"/>
      <c r="DQ120" s="42"/>
      <c r="DR120" s="1001"/>
      <c r="DS120" s="42"/>
      <c r="DT120" s="42"/>
      <c r="DU120" s="42"/>
      <c r="DV120" s="42"/>
      <c r="DW120" s="1001"/>
      <c r="DX120" s="871"/>
      <c r="DY120" s="871"/>
      <c r="DZ120" s="871"/>
      <c r="EA120" s="871"/>
      <c r="EC120" s="3683"/>
      <c r="ED120" s="3683"/>
    </row>
    <row r="121" spans="1:134" ht="11.25" hidden="1" customHeight="1" outlineLevel="1">
      <c r="A121" s="1601" t="s">
        <v>580</v>
      </c>
      <c r="B121" s="36"/>
      <c r="C121" s="36"/>
      <c r="D121" s="36"/>
      <c r="E121" s="479"/>
      <c r="F121" s="36"/>
      <c r="G121" s="36"/>
      <c r="H121" s="36"/>
      <c r="I121" s="479"/>
      <c r="J121" s="143"/>
      <c r="K121" s="37"/>
      <c r="L121" s="37"/>
      <c r="M121" s="479"/>
      <c r="N121" s="37"/>
      <c r="O121" s="37"/>
      <c r="P121" s="37"/>
      <c r="Q121" s="479"/>
      <c r="R121" s="143"/>
      <c r="S121" s="76"/>
      <c r="T121" s="36"/>
      <c r="U121" s="479"/>
      <c r="V121" s="41"/>
      <c r="W121" s="43"/>
      <c r="X121" s="43"/>
      <c r="Y121" s="479"/>
      <c r="Z121" s="144"/>
      <c r="AA121" s="42"/>
      <c r="AB121" s="42"/>
      <c r="AC121" s="479"/>
      <c r="AD121" s="144"/>
      <c r="AE121" s="42"/>
      <c r="AF121" s="42"/>
      <c r="AG121" s="479"/>
      <c r="AH121" s="144"/>
      <c r="AI121" s="42"/>
      <c r="AJ121" s="42"/>
      <c r="AK121" s="479"/>
      <c r="AL121" s="144"/>
      <c r="AM121" s="42"/>
      <c r="AN121" s="42"/>
      <c r="AO121" s="479"/>
      <c r="AP121" s="42"/>
      <c r="AQ121" s="42"/>
      <c r="AR121" s="42"/>
      <c r="AS121" s="479"/>
      <c r="AT121" s="144"/>
      <c r="AU121" s="42"/>
      <c r="AV121" s="42"/>
      <c r="AW121" s="479"/>
      <c r="AX121" s="144"/>
      <c r="AY121" s="42"/>
      <c r="AZ121" s="42"/>
      <c r="BA121" s="479"/>
      <c r="BB121" s="42"/>
      <c r="BC121" s="42"/>
      <c r="BD121" s="42"/>
      <c r="BE121" s="479"/>
      <c r="BF121" s="42"/>
      <c r="BG121" s="42"/>
      <c r="BH121" s="42"/>
      <c r="BI121" s="479"/>
      <c r="BJ121" s="1001"/>
      <c r="BK121" s="42">
        <f t="shared" si="585"/>
        <v>3324</v>
      </c>
      <c r="BL121" s="42">
        <f t="shared" si="585"/>
        <v>2366</v>
      </c>
      <c r="BM121" s="42">
        <f t="shared" si="585"/>
        <v>486</v>
      </c>
      <c r="BN121" s="479">
        <f t="shared" si="585"/>
        <v>953</v>
      </c>
      <c r="BO121" s="1001">
        <f t="shared" si="585"/>
        <v>953</v>
      </c>
      <c r="BP121" s="42">
        <f t="shared" si="586"/>
        <v>1537</v>
      </c>
      <c r="BQ121" s="42">
        <f t="shared" si="551"/>
        <v>1370</v>
      </c>
      <c r="BR121" s="42">
        <f t="shared" si="552"/>
        <v>2056</v>
      </c>
      <c r="BS121" s="479">
        <f t="shared" si="553"/>
        <v>769</v>
      </c>
      <c r="BT121" s="1001">
        <f t="shared" si="554"/>
        <v>769</v>
      </c>
      <c r="BU121" s="42">
        <f t="shared" si="587"/>
        <v>-217</v>
      </c>
      <c r="BV121" s="42">
        <f t="shared" si="555"/>
        <v>341</v>
      </c>
      <c r="BW121" s="42">
        <f t="shared" si="556"/>
        <v>-9</v>
      </c>
      <c r="BX121" s="479">
        <f t="shared" si="557"/>
        <v>842</v>
      </c>
      <c r="BY121" s="1001">
        <f t="shared" si="558"/>
        <v>842</v>
      </c>
      <c r="BZ121" s="42">
        <f t="shared" si="588"/>
        <v>1416</v>
      </c>
      <c r="CA121" s="42">
        <f t="shared" si="559"/>
        <v>1620</v>
      </c>
      <c r="CB121" s="42">
        <f t="shared" si="560"/>
        <v>2490</v>
      </c>
      <c r="CC121" s="479">
        <f t="shared" si="561"/>
        <v>2325</v>
      </c>
      <c r="CD121" s="1001">
        <f t="shared" si="562"/>
        <v>2325</v>
      </c>
      <c r="CE121" s="42">
        <f t="shared" si="589"/>
        <v>3743</v>
      </c>
      <c r="CF121" s="42">
        <f t="shared" si="563"/>
        <v>4448</v>
      </c>
      <c r="CG121" s="42">
        <f t="shared" si="564"/>
        <v>4840</v>
      </c>
      <c r="CH121" s="479">
        <f t="shared" si="565"/>
        <v>6347</v>
      </c>
      <c r="CI121" s="1001">
        <f t="shared" si="566"/>
        <v>6347</v>
      </c>
      <c r="CJ121" s="42">
        <f t="shared" si="590"/>
        <v>4846</v>
      </c>
      <c r="CK121" s="42">
        <f t="shared" si="567"/>
        <v>6118</v>
      </c>
      <c r="CL121" s="42">
        <f t="shared" si="568"/>
        <v>6596</v>
      </c>
      <c r="CM121" s="479">
        <f t="shared" si="569"/>
        <v>4198</v>
      </c>
      <c r="CN121" s="1255">
        <f t="shared" si="570"/>
        <v>4198</v>
      </c>
      <c r="CO121" s="226">
        <f t="shared" si="591"/>
        <v>5631</v>
      </c>
      <c r="CP121" s="226">
        <f t="shared" si="571"/>
        <v>2161</v>
      </c>
      <c r="CQ121" s="226">
        <f t="shared" si="572"/>
        <v>1399</v>
      </c>
      <c r="CR121" s="840">
        <f t="shared" si="573"/>
        <v>2075</v>
      </c>
      <c r="CS121" s="1255">
        <f t="shared" si="574"/>
        <v>2075</v>
      </c>
      <c r="CT121" s="226">
        <f t="shared" si="592"/>
        <v>-278</v>
      </c>
      <c r="CU121" s="226">
        <f t="shared" si="575"/>
        <v>-123</v>
      </c>
      <c r="CV121" s="226">
        <f t="shared" si="576"/>
        <v>-621</v>
      </c>
      <c r="CW121" s="840">
        <f t="shared" si="577"/>
        <v>61</v>
      </c>
      <c r="CX121" s="1255">
        <f t="shared" si="578"/>
        <v>61</v>
      </c>
      <c r="CY121" s="226">
        <f t="shared" si="593"/>
        <v>2999</v>
      </c>
      <c r="CZ121" s="226">
        <f t="shared" si="579"/>
        <v>3516</v>
      </c>
      <c r="DA121" s="226">
        <f t="shared" si="580"/>
        <v>4405</v>
      </c>
      <c r="DB121" s="840">
        <f t="shared" si="581"/>
        <v>4485</v>
      </c>
      <c r="DC121" s="1255">
        <f t="shared" si="582"/>
        <v>4485</v>
      </c>
      <c r="DD121" s="226">
        <f t="shared" si="581"/>
        <v>5018</v>
      </c>
      <c r="DE121" s="226">
        <f t="shared" si="581"/>
        <v>6678</v>
      </c>
      <c r="DF121" s="226">
        <f t="shared" si="581"/>
        <v>5406</v>
      </c>
      <c r="DG121" s="840">
        <f t="shared" si="583"/>
        <v>7572</v>
      </c>
      <c r="DH121" s="1255">
        <f t="shared" si="584"/>
        <v>7572</v>
      </c>
      <c r="DI121" s="226">
        <f t="shared" si="583"/>
        <v>7106</v>
      </c>
      <c r="DJ121" s="226">
        <f t="shared" si="583"/>
        <v>8723</v>
      </c>
      <c r="DK121" s="226">
        <f t="shared" si="583"/>
        <v>13704</v>
      </c>
      <c r="DL121" s="479"/>
      <c r="DM121" s="1001"/>
      <c r="DN121" s="42"/>
      <c r="DO121" s="42"/>
      <c r="DP121" s="42"/>
      <c r="DQ121" s="42"/>
      <c r="DR121" s="1001"/>
      <c r="DS121" s="42"/>
      <c r="DT121" s="42"/>
      <c r="DU121" s="42"/>
      <c r="DV121" s="42"/>
      <c r="DW121" s="1001"/>
      <c r="DX121" s="871"/>
      <c r="DY121" s="871"/>
      <c r="DZ121" s="871"/>
      <c r="EA121" s="871"/>
      <c r="EC121" s="3683"/>
      <c r="ED121" s="3683"/>
    </row>
    <row r="122" spans="1:134" ht="11.25" hidden="1" customHeight="1" outlineLevel="1">
      <c r="A122" s="1601" t="s">
        <v>581</v>
      </c>
      <c r="B122" s="36"/>
      <c r="C122" s="36"/>
      <c r="D122" s="36"/>
      <c r="E122" s="479"/>
      <c r="F122" s="36"/>
      <c r="G122" s="36"/>
      <c r="H122" s="36"/>
      <c r="I122" s="479"/>
      <c r="J122" s="143"/>
      <c r="K122" s="37"/>
      <c r="L122" s="37"/>
      <c r="M122" s="479"/>
      <c r="N122" s="37"/>
      <c r="O122" s="37"/>
      <c r="P122" s="37"/>
      <c r="Q122" s="479"/>
      <c r="R122" s="143"/>
      <c r="S122" s="76"/>
      <c r="T122" s="36"/>
      <c r="U122" s="479"/>
      <c r="V122" s="41"/>
      <c r="W122" s="43"/>
      <c r="X122" s="43"/>
      <c r="Y122" s="479"/>
      <c r="Z122" s="144"/>
      <c r="AA122" s="42"/>
      <c r="AB122" s="42"/>
      <c r="AC122" s="479"/>
      <c r="AD122" s="144"/>
      <c r="AE122" s="42"/>
      <c r="AF122" s="42"/>
      <c r="AG122" s="479"/>
      <c r="AH122" s="144"/>
      <c r="AI122" s="42"/>
      <c r="AJ122" s="42"/>
      <c r="AK122" s="479"/>
      <c r="AL122" s="144"/>
      <c r="AM122" s="42"/>
      <c r="AN122" s="42"/>
      <c r="AO122" s="479"/>
      <c r="AP122" s="42"/>
      <c r="AQ122" s="42"/>
      <c r="AR122" s="42"/>
      <c r="AS122" s="479"/>
      <c r="AT122" s="144"/>
      <c r="AU122" s="42"/>
      <c r="AV122" s="42"/>
      <c r="AW122" s="479"/>
      <c r="AX122" s="144"/>
      <c r="AY122" s="42"/>
      <c r="AZ122" s="42"/>
      <c r="BA122" s="479"/>
      <c r="BB122" s="42"/>
      <c r="BC122" s="42"/>
      <c r="BD122" s="42"/>
      <c r="BE122" s="479"/>
      <c r="BF122" s="42"/>
      <c r="BG122" s="42"/>
      <c r="BH122" s="42"/>
      <c r="BI122" s="479"/>
      <c r="BJ122" s="1001"/>
      <c r="BK122" s="42">
        <f t="shared" si="585"/>
        <v>127</v>
      </c>
      <c r="BL122" s="42">
        <f t="shared" si="585"/>
        <v>144</v>
      </c>
      <c r="BM122" s="42">
        <f t="shared" si="585"/>
        <v>124</v>
      </c>
      <c r="BN122" s="479">
        <f t="shared" si="585"/>
        <v>292</v>
      </c>
      <c r="BO122" s="1001">
        <f t="shared" si="585"/>
        <v>292</v>
      </c>
      <c r="BP122" s="42">
        <f t="shared" si="586"/>
        <v>438</v>
      </c>
      <c r="BQ122" s="42">
        <f t="shared" si="551"/>
        <v>605</v>
      </c>
      <c r="BR122" s="42">
        <f t="shared" si="552"/>
        <v>644</v>
      </c>
      <c r="BS122" s="479">
        <f t="shared" si="553"/>
        <v>708</v>
      </c>
      <c r="BT122" s="1001">
        <f t="shared" si="554"/>
        <v>708</v>
      </c>
      <c r="BU122" s="42">
        <f t="shared" si="587"/>
        <v>811</v>
      </c>
      <c r="BV122" s="42">
        <f t="shared" si="555"/>
        <v>704</v>
      </c>
      <c r="BW122" s="42">
        <f t="shared" si="556"/>
        <v>979</v>
      </c>
      <c r="BX122" s="479">
        <f t="shared" si="557"/>
        <v>839</v>
      </c>
      <c r="BY122" s="1001">
        <f t="shared" si="558"/>
        <v>839</v>
      </c>
      <c r="BZ122" s="42">
        <f t="shared" si="588"/>
        <v>759</v>
      </c>
      <c r="CA122" s="42">
        <f t="shared" si="559"/>
        <v>1097</v>
      </c>
      <c r="CB122" s="42">
        <f t="shared" si="560"/>
        <v>908</v>
      </c>
      <c r="CC122" s="479">
        <f t="shared" si="561"/>
        <v>1081</v>
      </c>
      <c r="CD122" s="1001">
        <f t="shared" si="562"/>
        <v>1081</v>
      </c>
      <c r="CE122" s="42">
        <f t="shared" si="589"/>
        <v>1134</v>
      </c>
      <c r="CF122" s="42">
        <f t="shared" si="563"/>
        <v>723</v>
      </c>
      <c r="CG122" s="42">
        <f t="shared" si="564"/>
        <v>996</v>
      </c>
      <c r="CH122" s="479">
        <f t="shared" si="565"/>
        <v>814</v>
      </c>
      <c r="CI122" s="1001">
        <f t="shared" si="566"/>
        <v>814</v>
      </c>
      <c r="CJ122" s="42">
        <f t="shared" si="590"/>
        <v>884</v>
      </c>
      <c r="CK122" s="42">
        <f t="shared" si="567"/>
        <v>924</v>
      </c>
      <c r="CL122" s="42">
        <f t="shared" si="568"/>
        <v>642</v>
      </c>
      <c r="CM122" s="479">
        <f t="shared" si="569"/>
        <v>1000</v>
      </c>
      <c r="CN122" s="1255">
        <f t="shared" si="570"/>
        <v>1000</v>
      </c>
      <c r="CO122" s="226">
        <f t="shared" si="591"/>
        <v>1157</v>
      </c>
      <c r="CP122" s="226">
        <f t="shared" si="571"/>
        <v>1240</v>
      </c>
      <c r="CQ122" s="226">
        <f t="shared" si="572"/>
        <v>1457</v>
      </c>
      <c r="CR122" s="840">
        <f t="shared" si="573"/>
        <v>1206</v>
      </c>
      <c r="CS122" s="1255">
        <f t="shared" si="574"/>
        <v>1206</v>
      </c>
      <c r="CT122" s="226">
        <f t="shared" si="592"/>
        <v>1028</v>
      </c>
      <c r="CU122" s="226">
        <f t="shared" si="575"/>
        <v>1029</v>
      </c>
      <c r="CV122" s="226">
        <f t="shared" si="576"/>
        <v>1088</v>
      </c>
      <c r="CW122" s="840">
        <f t="shared" si="577"/>
        <v>1630</v>
      </c>
      <c r="CX122" s="1255">
        <f t="shared" si="578"/>
        <v>1630</v>
      </c>
      <c r="CY122" s="226">
        <f t="shared" si="593"/>
        <v>2123</v>
      </c>
      <c r="CZ122" s="226">
        <f t="shared" si="579"/>
        <v>2041</v>
      </c>
      <c r="DA122" s="226">
        <f t="shared" si="580"/>
        <v>1671</v>
      </c>
      <c r="DB122" s="840">
        <f t="shared" si="581"/>
        <v>1429</v>
      </c>
      <c r="DC122" s="1255">
        <f t="shared" si="582"/>
        <v>1429</v>
      </c>
      <c r="DD122" s="226">
        <f t="shared" si="581"/>
        <v>1099</v>
      </c>
      <c r="DE122" s="226">
        <f t="shared" si="581"/>
        <v>1294</v>
      </c>
      <c r="DF122" s="226">
        <f t="shared" si="581"/>
        <v>1379</v>
      </c>
      <c r="DG122" s="840">
        <f t="shared" si="583"/>
        <v>850</v>
      </c>
      <c r="DH122" s="1255">
        <f t="shared" si="584"/>
        <v>850</v>
      </c>
      <c r="DI122" s="226">
        <f t="shared" si="583"/>
        <v>565</v>
      </c>
      <c r="DJ122" s="226">
        <f t="shared" si="583"/>
        <v>724</v>
      </c>
      <c r="DK122" s="226">
        <f t="shared" si="583"/>
        <v>1027</v>
      </c>
      <c r="DL122" s="479"/>
      <c r="DM122" s="1001"/>
      <c r="DN122" s="42"/>
      <c r="DO122" s="42"/>
      <c r="DP122" s="42"/>
      <c r="DQ122" s="42"/>
      <c r="DR122" s="1001"/>
      <c r="DS122" s="42"/>
      <c r="DT122" s="42"/>
      <c r="DU122" s="42"/>
      <c r="DV122" s="42"/>
      <c r="DW122" s="1001"/>
      <c r="DX122" s="871"/>
      <c r="DY122" s="871"/>
      <c r="DZ122" s="871"/>
      <c r="EA122" s="871"/>
      <c r="EC122" s="3683"/>
      <c r="ED122" s="3683"/>
    </row>
    <row r="123" spans="1:134" ht="11.25" hidden="1" customHeight="1" outlineLevel="1">
      <c r="A123" s="1601" t="s">
        <v>582</v>
      </c>
      <c r="B123" s="36"/>
      <c r="C123" s="36"/>
      <c r="D123" s="36"/>
      <c r="E123" s="479"/>
      <c r="F123" s="36"/>
      <c r="G123" s="36"/>
      <c r="H123" s="36"/>
      <c r="I123" s="479"/>
      <c r="J123" s="143"/>
      <c r="K123" s="37"/>
      <c r="L123" s="37"/>
      <c r="M123" s="479"/>
      <c r="N123" s="37"/>
      <c r="O123" s="37"/>
      <c r="P123" s="37"/>
      <c r="Q123" s="479"/>
      <c r="R123" s="143"/>
      <c r="S123" s="76"/>
      <c r="T123" s="36"/>
      <c r="U123" s="479"/>
      <c r="V123" s="41"/>
      <c r="W123" s="43"/>
      <c r="X123" s="43"/>
      <c r="Y123" s="479"/>
      <c r="Z123" s="144"/>
      <c r="AA123" s="42"/>
      <c r="AB123" s="42"/>
      <c r="AC123" s="479"/>
      <c r="AD123" s="144"/>
      <c r="AE123" s="42"/>
      <c r="AF123" s="42"/>
      <c r="AG123" s="479"/>
      <c r="AH123" s="144"/>
      <c r="AI123" s="42"/>
      <c r="AJ123" s="42"/>
      <c r="AK123" s="479"/>
      <c r="AL123" s="144"/>
      <c r="AM123" s="42"/>
      <c r="AN123" s="42"/>
      <c r="AO123" s="479"/>
      <c r="AP123" s="42"/>
      <c r="AQ123" s="42"/>
      <c r="AR123" s="42"/>
      <c r="AS123" s="479"/>
      <c r="AT123" s="144"/>
      <c r="AU123" s="42"/>
      <c r="AV123" s="42"/>
      <c r="AW123" s="479"/>
      <c r="AX123" s="144"/>
      <c r="AY123" s="42"/>
      <c r="AZ123" s="42"/>
      <c r="BA123" s="479"/>
      <c r="BB123" s="42"/>
      <c r="BC123" s="42"/>
      <c r="BD123" s="42"/>
      <c r="BE123" s="479"/>
      <c r="BF123" s="42"/>
      <c r="BG123" s="42"/>
      <c r="BH123" s="42"/>
      <c r="BI123" s="479"/>
      <c r="BJ123" s="1001"/>
      <c r="BK123" s="42">
        <f t="shared" si="585"/>
        <v>3</v>
      </c>
      <c r="BL123" s="42">
        <f t="shared" si="585"/>
        <v>3</v>
      </c>
      <c r="BM123" s="42">
        <f t="shared" si="585"/>
        <v>0</v>
      </c>
      <c r="BN123" s="479">
        <f t="shared" si="585"/>
        <v>2</v>
      </c>
      <c r="BO123" s="1001">
        <f t="shared" si="585"/>
        <v>2</v>
      </c>
      <c r="BP123" s="42">
        <f t="shared" si="586"/>
        <v>-1</v>
      </c>
      <c r="BQ123" s="42">
        <f t="shared" si="551"/>
        <v>0</v>
      </c>
      <c r="BR123" s="42">
        <f t="shared" si="552"/>
        <v>2</v>
      </c>
      <c r="BS123" s="479">
        <f t="shared" si="553"/>
        <v>4</v>
      </c>
      <c r="BT123" s="1001">
        <f t="shared" si="554"/>
        <v>4</v>
      </c>
      <c r="BU123" s="42">
        <f t="shared" si="587"/>
        <v>6</v>
      </c>
      <c r="BV123" s="42">
        <f t="shared" si="555"/>
        <v>4</v>
      </c>
      <c r="BW123" s="42">
        <f t="shared" si="556"/>
        <v>4</v>
      </c>
      <c r="BX123" s="479">
        <f t="shared" si="557"/>
        <v>-25</v>
      </c>
      <c r="BY123" s="1001">
        <f t="shared" si="558"/>
        <v>-25</v>
      </c>
      <c r="BZ123" s="42">
        <f t="shared" si="588"/>
        <v>-37</v>
      </c>
      <c r="CA123" s="42">
        <f t="shared" si="559"/>
        <v>-36</v>
      </c>
      <c r="CB123" s="42">
        <f t="shared" si="560"/>
        <v>-36</v>
      </c>
      <c r="CC123" s="479">
        <f t="shared" si="561"/>
        <v>-10</v>
      </c>
      <c r="CD123" s="1001">
        <f t="shared" si="562"/>
        <v>-10</v>
      </c>
      <c r="CE123" s="42">
        <f t="shared" si="589"/>
        <v>3</v>
      </c>
      <c r="CF123" s="42">
        <f t="shared" si="563"/>
        <v>0</v>
      </c>
      <c r="CG123" s="42">
        <f t="shared" si="564"/>
        <v>1</v>
      </c>
      <c r="CH123" s="479">
        <f t="shared" si="565"/>
        <v>13</v>
      </c>
      <c r="CI123" s="1001">
        <f t="shared" si="566"/>
        <v>13</v>
      </c>
      <c r="CJ123" s="42">
        <f t="shared" si="590"/>
        <v>26</v>
      </c>
      <c r="CK123" s="42">
        <f t="shared" si="567"/>
        <v>62</v>
      </c>
      <c r="CL123" s="42">
        <f t="shared" si="568"/>
        <v>95</v>
      </c>
      <c r="CM123" s="479">
        <f t="shared" si="569"/>
        <v>95</v>
      </c>
      <c r="CN123" s="1255">
        <f t="shared" si="570"/>
        <v>95</v>
      </c>
      <c r="CO123" s="226">
        <f t="shared" si="591"/>
        <v>107</v>
      </c>
      <c r="CP123" s="226">
        <f t="shared" si="571"/>
        <v>87</v>
      </c>
      <c r="CQ123" s="226">
        <f t="shared" si="572"/>
        <v>54</v>
      </c>
      <c r="CR123" s="840">
        <f t="shared" si="573"/>
        <v>41</v>
      </c>
      <c r="CS123" s="1255">
        <f t="shared" si="574"/>
        <v>41</v>
      </c>
      <c r="CT123" s="226">
        <f t="shared" si="592"/>
        <v>15</v>
      </c>
      <c r="CU123" s="226">
        <f t="shared" si="575"/>
        <v>4</v>
      </c>
      <c r="CV123" s="226">
        <f t="shared" si="576"/>
        <v>3</v>
      </c>
      <c r="CW123" s="840">
        <f t="shared" si="577"/>
        <v>11</v>
      </c>
      <c r="CX123" s="1255">
        <f t="shared" si="578"/>
        <v>11</v>
      </c>
      <c r="CY123" s="226">
        <f t="shared" si="593"/>
        <v>15</v>
      </c>
      <c r="CZ123" s="226">
        <f t="shared" si="579"/>
        <v>66</v>
      </c>
      <c r="DA123" s="226">
        <f t="shared" si="580"/>
        <v>95</v>
      </c>
      <c r="DB123" s="840">
        <f t="shared" si="581"/>
        <v>106</v>
      </c>
      <c r="DC123" s="1255">
        <f t="shared" si="582"/>
        <v>106</v>
      </c>
      <c r="DD123" s="226">
        <f t="shared" si="581"/>
        <v>113</v>
      </c>
      <c r="DE123" s="226">
        <f t="shared" si="581"/>
        <v>71</v>
      </c>
      <c r="DF123" s="226">
        <f t="shared" si="581"/>
        <v>127</v>
      </c>
      <c r="DG123" s="840">
        <f t="shared" si="583"/>
        <v>158</v>
      </c>
      <c r="DH123" s="1255">
        <f t="shared" si="584"/>
        <v>158</v>
      </c>
      <c r="DI123" s="226">
        <f t="shared" si="583"/>
        <v>208</v>
      </c>
      <c r="DJ123" s="226">
        <f t="shared" si="583"/>
        <v>246</v>
      </c>
      <c r="DK123" s="226">
        <f t="shared" si="583"/>
        <v>201</v>
      </c>
      <c r="DL123" s="479"/>
      <c r="DM123" s="1001"/>
      <c r="DN123" s="42"/>
      <c r="DO123" s="42"/>
      <c r="DP123" s="42"/>
      <c r="DQ123" s="42"/>
      <c r="DR123" s="1001"/>
      <c r="DS123" s="42"/>
      <c r="DT123" s="42"/>
      <c r="DU123" s="42"/>
      <c r="DV123" s="42"/>
      <c r="DW123" s="1001"/>
      <c r="DX123" s="871"/>
      <c r="DY123" s="871"/>
      <c r="DZ123" s="871"/>
      <c r="EA123" s="871"/>
      <c r="EC123" s="3683"/>
      <c r="ED123" s="3683"/>
    </row>
    <row r="124" spans="1:134" ht="11.25" hidden="1" customHeight="1" outlineLevel="1">
      <c r="A124" s="1860" t="s">
        <v>583</v>
      </c>
      <c r="B124" s="1861"/>
      <c r="C124" s="1861"/>
      <c r="D124" s="1861"/>
      <c r="E124" s="1862"/>
      <c r="F124" s="1861"/>
      <c r="G124" s="1861"/>
      <c r="H124" s="1861"/>
      <c r="I124" s="1862"/>
      <c r="J124" s="1863"/>
      <c r="K124" s="1864"/>
      <c r="L124" s="1864"/>
      <c r="M124" s="1862"/>
      <c r="N124" s="1864"/>
      <c r="O124" s="1864"/>
      <c r="P124" s="1864"/>
      <c r="Q124" s="1862"/>
      <c r="R124" s="1863"/>
      <c r="S124" s="1865"/>
      <c r="T124" s="1861"/>
      <c r="U124" s="1862"/>
      <c r="V124" s="1866"/>
      <c r="W124" s="1867"/>
      <c r="X124" s="1867"/>
      <c r="Y124" s="1862"/>
      <c r="Z124" s="1868"/>
      <c r="AA124" s="1869"/>
      <c r="AB124" s="1869"/>
      <c r="AC124" s="1862"/>
      <c r="AD124" s="1868"/>
      <c r="AE124" s="1869"/>
      <c r="AF124" s="1869"/>
      <c r="AG124" s="1862"/>
      <c r="AH124" s="1868"/>
      <c r="AI124" s="1869"/>
      <c r="AJ124" s="1869"/>
      <c r="AK124" s="1862"/>
      <c r="AL124" s="1868"/>
      <c r="AM124" s="1869"/>
      <c r="AN124" s="1869"/>
      <c r="AO124" s="1862"/>
      <c r="AP124" s="1869"/>
      <c r="AQ124" s="1869"/>
      <c r="AR124" s="1869"/>
      <c r="AS124" s="1862"/>
      <c r="AT124" s="1868"/>
      <c r="AU124" s="1869"/>
      <c r="AV124" s="1869"/>
      <c r="AW124" s="1862"/>
      <c r="AX124" s="1868"/>
      <c r="AY124" s="1869"/>
      <c r="AZ124" s="1869"/>
      <c r="BA124" s="1862"/>
      <c r="BB124" s="1869"/>
      <c r="BC124" s="1869"/>
      <c r="BD124" s="1869"/>
      <c r="BE124" s="1862"/>
      <c r="BF124" s="1869"/>
      <c r="BG124" s="1869"/>
      <c r="BH124" s="1869"/>
      <c r="BI124" s="1862"/>
      <c r="BJ124" s="1870"/>
      <c r="BK124" s="1869">
        <f t="shared" si="585"/>
        <v>7459</v>
      </c>
      <c r="BL124" s="1869">
        <f t="shared" si="585"/>
        <v>8319</v>
      </c>
      <c r="BM124" s="1869">
        <f t="shared" si="585"/>
        <v>7570</v>
      </c>
      <c r="BN124" s="1862">
        <f t="shared" si="585"/>
        <v>8909</v>
      </c>
      <c r="BO124" s="1870">
        <f t="shared" si="585"/>
        <v>8909</v>
      </c>
      <c r="BP124" s="1869">
        <f t="shared" si="586"/>
        <v>9124</v>
      </c>
      <c r="BQ124" s="1869">
        <f t="shared" si="551"/>
        <v>9538</v>
      </c>
      <c r="BR124" s="1869">
        <f t="shared" si="552"/>
        <v>9616</v>
      </c>
      <c r="BS124" s="1862">
        <f t="shared" si="553"/>
        <v>7400</v>
      </c>
      <c r="BT124" s="1870">
        <f t="shared" si="554"/>
        <v>7400</v>
      </c>
      <c r="BU124" s="1869">
        <f t="shared" si="587"/>
        <v>7152</v>
      </c>
      <c r="BV124" s="1869">
        <f t="shared" si="555"/>
        <v>6792</v>
      </c>
      <c r="BW124" s="1869">
        <f t="shared" si="556"/>
        <v>7186</v>
      </c>
      <c r="BX124" s="1862">
        <f t="shared" si="557"/>
        <v>7381</v>
      </c>
      <c r="BY124" s="1870">
        <f t="shared" si="558"/>
        <v>7381</v>
      </c>
      <c r="BZ124" s="1869">
        <f t="shared" si="588"/>
        <v>8326</v>
      </c>
      <c r="CA124" s="1869">
        <f t="shared" si="559"/>
        <v>9437</v>
      </c>
      <c r="CB124" s="1869">
        <f t="shared" si="560"/>
        <v>10264</v>
      </c>
      <c r="CC124" s="1862">
        <f t="shared" si="561"/>
        <v>12120</v>
      </c>
      <c r="CD124" s="1870">
        <f t="shared" si="562"/>
        <v>12120</v>
      </c>
      <c r="CE124" s="1869">
        <f t="shared" si="589"/>
        <v>17480</v>
      </c>
      <c r="CF124" s="1869">
        <f t="shared" si="563"/>
        <v>18535</v>
      </c>
      <c r="CG124" s="1869">
        <f t="shared" si="564"/>
        <v>20770</v>
      </c>
      <c r="CH124" s="1862">
        <f t="shared" si="565"/>
        <v>22860</v>
      </c>
      <c r="CI124" s="1870">
        <f t="shared" si="566"/>
        <v>22860</v>
      </c>
      <c r="CJ124" s="1869">
        <f t="shared" si="590"/>
        <v>17457</v>
      </c>
      <c r="CK124" s="1869">
        <f t="shared" si="567"/>
        <v>19554</v>
      </c>
      <c r="CL124" s="1869">
        <f t="shared" si="568"/>
        <v>20277</v>
      </c>
      <c r="CM124" s="1862">
        <f t="shared" si="569"/>
        <v>21700</v>
      </c>
      <c r="CN124" s="5941">
        <f t="shared" si="570"/>
        <v>21700</v>
      </c>
      <c r="CO124" s="5942">
        <f t="shared" si="591"/>
        <v>24426</v>
      </c>
      <c r="CP124" s="5942">
        <f t="shared" si="571"/>
        <v>22862</v>
      </c>
      <c r="CQ124" s="5942">
        <f t="shared" si="572"/>
        <v>22882</v>
      </c>
      <c r="CR124" s="5945">
        <f t="shared" si="573"/>
        <v>22255</v>
      </c>
      <c r="CS124" s="5941">
        <f t="shared" si="574"/>
        <v>22255</v>
      </c>
      <c r="CT124" s="5942">
        <f t="shared" si="592"/>
        <v>21274</v>
      </c>
      <c r="CU124" s="5942">
        <f t="shared" si="575"/>
        <v>22783</v>
      </c>
      <c r="CV124" s="5942">
        <f t="shared" si="576"/>
        <v>21617</v>
      </c>
      <c r="CW124" s="5945">
        <f t="shared" si="577"/>
        <v>20551</v>
      </c>
      <c r="CX124" s="5941">
        <f t="shared" si="578"/>
        <v>20551</v>
      </c>
      <c r="CY124" s="5942">
        <f t="shared" si="593"/>
        <v>25219</v>
      </c>
      <c r="CZ124" s="5942">
        <f t="shared" si="579"/>
        <v>23183</v>
      </c>
      <c r="DA124" s="5942">
        <f t="shared" si="580"/>
        <v>21971</v>
      </c>
      <c r="DB124" s="5945">
        <f t="shared" si="581"/>
        <v>24697</v>
      </c>
      <c r="DC124" s="5941">
        <f t="shared" si="582"/>
        <v>24697</v>
      </c>
      <c r="DD124" s="5942">
        <f t="shared" si="581"/>
        <v>22258</v>
      </c>
      <c r="DE124" s="5942">
        <f t="shared" si="581"/>
        <v>23867</v>
      </c>
      <c r="DF124" s="3993">
        <f t="shared" si="581"/>
        <v>26580</v>
      </c>
      <c r="DG124" s="5945">
        <f t="shared" si="583"/>
        <v>30093</v>
      </c>
      <c r="DH124" s="5941">
        <f t="shared" si="584"/>
        <v>30093</v>
      </c>
      <c r="DI124" s="3993">
        <f t="shared" si="583"/>
        <v>34751</v>
      </c>
      <c r="DJ124" s="5942">
        <f t="shared" si="583"/>
        <v>39846</v>
      </c>
      <c r="DK124" s="3993">
        <f t="shared" si="583"/>
        <v>47685</v>
      </c>
      <c r="DL124" s="1862"/>
      <c r="DM124" s="1870"/>
      <c r="DN124" s="1869"/>
      <c r="DO124" s="1869"/>
      <c r="DP124" s="1869"/>
      <c r="DQ124" s="1869"/>
      <c r="DR124" s="1870"/>
      <c r="DS124" s="1869"/>
      <c r="DT124" s="1869"/>
      <c r="DU124" s="1869"/>
      <c r="DV124" s="1869"/>
      <c r="DW124" s="1870"/>
      <c r="DX124" s="1870"/>
      <c r="DY124" s="1870"/>
      <c r="DZ124" s="1870"/>
      <c r="EA124" s="1870"/>
      <c r="EC124" s="3683"/>
      <c r="ED124" s="3683"/>
    </row>
    <row r="125" spans="1:134" ht="11.25" hidden="1" customHeight="1" outlineLevel="1">
      <c r="A125" s="1601" t="s">
        <v>584</v>
      </c>
      <c r="B125" s="36"/>
      <c r="C125" s="36"/>
      <c r="D125" s="36"/>
      <c r="E125" s="479"/>
      <c r="F125" s="36"/>
      <c r="G125" s="36"/>
      <c r="H125" s="36"/>
      <c r="I125" s="479"/>
      <c r="J125" s="143"/>
      <c r="K125" s="37"/>
      <c r="L125" s="37"/>
      <c r="M125" s="479"/>
      <c r="N125" s="37"/>
      <c r="O125" s="37"/>
      <c r="P125" s="37"/>
      <c r="Q125" s="479"/>
      <c r="R125" s="143"/>
      <c r="S125" s="76"/>
      <c r="T125" s="36"/>
      <c r="U125" s="479"/>
      <c r="V125" s="41"/>
      <c r="W125" s="43"/>
      <c r="X125" s="43"/>
      <c r="Y125" s="479"/>
      <c r="Z125" s="144"/>
      <c r="AA125" s="42"/>
      <c r="AB125" s="42"/>
      <c r="AC125" s="479"/>
      <c r="AD125" s="144"/>
      <c r="AE125" s="42"/>
      <c r="AF125" s="42"/>
      <c r="AG125" s="479"/>
      <c r="AH125" s="144"/>
      <c r="AI125" s="42"/>
      <c r="AJ125" s="42"/>
      <c r="AK125" s="479"/>
      <c r="AL125" s="144"/>
      <c r="AM125" s="42"/>
      <c r="AN125" s="42"/>
      <c r="AO125" s="479"/>
      <c r="AP125" s="42"/>
      <c r="AQ125" s="42"/>
      <c r="AR125" s="42"/>
      <c r="AS125" s="479"/>
      <c r="AT125" s="144"/>
      <c r="AU125" s="42"/>
      <c r="AV125" s="42"/>
      <c r="AW125" s="479"/>
      <c r="AX125" s="144"/>
      <c r="AY125" s="42"/>
      <c r="AZ125" s="42"/>
      <c r="BA125" s="479"/>
      <c r="BB125" s="42"/>
      <c r="BC125" s="42"/>
      <c r="BD125" s="42"/>
      <c r="BE125" s="479"/>
      <c r="BF125" s="42"/>
      <c r="BG125" s="42"/>
      <c r="BH125" s="42"/>
      <c r="BI125" s="479"/>
      <c r="BJ125" s="1001"/>
      <c r="BK125" s="42">
        <f t="shared" si="585"/>
        <v>-1882</v>
      </c>
      <c r="BL125" s="42">
        <f t="shared" si="585"/>
        <v>-1745</v>
      </c>
      <c r="BM125" s="42">
        <f t="shared" si="585"/>
        <v>-1456</v>
      </c>
      <c r="BN125" s="479">
        <f t="shared" si="585"/>
        <v>-1550</v>
      </c>
      <c r="BO125" s="1001">
        <f t="shared" si="585"/>
        <v>-1550</v>
      </c>
      <c r="BP125" s="42">
        <f t="shared" si="586"/>
        <v>-1553</v>
      </c>
      <c r="BQ125" s="42">
        <f t="shared" si="551"/>
        <v>-2016</v>
      </c>
      <c r="BR125" s="42">
        <f t="shared" si="552"/>
        <v>-2259</v>
      </c>
      <c r="BS125" s="479">
        <f t="shared" si="553"/>
        <v>-2267</v>
      </c>
      <c r="BT125" s="1001">
        <f t="shared" si="554"/>
        <v>-2267</v>
      </c>
      <c r="BU125" s="42">
        <f t="shared" si="587"/>
        <v>-2438</v>
      </c>
      <c r="BV125" s="42">
        <f t="shared" si="555"/>
        <v>-2387</v>
      </c>
      <c r="BW125" s="42">
        <f t="shared" si="556"/>
        <v>-2771</v>
      </c>
      <c r="BX125" s="479">
        <f t="shared" si="557"/>
        <v>-2163</v>
      </c>
      <c r="BY125" s="1001">
        <f t="shared" si="558"/>
        <v>-2163</v>
      </c>
      <c r="BZ125" s="42">
        <f t="shared" si="588"/>
        <v>-2552</v>
      </c>
      <c r="CA125" s="42">
        <f t="shared" si="559"/>
        <v>-3174</v>
      </c>
      <c r="CB125" s="42">
        <f t="shared" si="560"/>
        <v>-2897</v>
      </c>
      <c r="CC125" s="479">
        <f t="shared" si="561"/>
        <v>-3971</v>
      </c>
      <c r="CD125" s="1001">
        <f t="shared" si="562"/>
        <v>-3971</v>
      </c>
      <c r="CE125" s="42">
        <f t="shared" si="589"/>
        <v>-4571</v>
      </c>
      <c r="CF125" s="42">
        <f t="shared" si="563"/>
        <v>-4539</v>
      </c>
      <c r="CG125" s="42">
        <f t="shared" si="564"/>
        <v>-5590</v>
      </c>
      <c r="CH125" s="479">
        <f t="shared" si="565"/>
        <v>-5524</v>
      </c>
      <c r="CI125" s="1001">
        <f t="shared" si="566"/>
        <v>-5524</v>
      </c>
      <c r="CJ125" s="42">
        <f t="shared" si="590"/>
        <v>-5774</v>
      </c>
      <c r="CK125" s="42">
        <f t="shared" si="567"/>
        <v>-6335</v>
      </c>
      <c r="CL125" s="42">
        <f t="shared" si="568"/>
        <v>-6325</v>
      </c>
      <c r="CM125" s="479">
        <f t="shared" si="569"/>
        <v>-7773</v>
      </c>
      <c r="CN125" s="1255">
        <f t="shared" si="570"/>
        <v>-7773</v>
      </c>
      <c r="CO125" s="226">
        <f t="shared" si="591"/>
        <v>-8207</v>
      </c>
      <c r="CP125" s="226">
        <f t="shared" si="571"/>
        <v>-9005</v>
      </c>
      <c r="CQ125" s="226">
        <f t="shared" si="572"/>
        <v>-10498</v>
      </c>
      <c r="CR125" s="840">
        <f t="shared" si="573"/>
        <v>-11152</v>
      </c>
      <c r="CS125" s="1255">
        <f t="shared" si="574"/>
        <v>-11152</v>
      </c>
      <c r="CT125" s="226">
        <f t="shared" si="592"/>
        <v>-10415</v>
      </c>
      <c r="CU125" s="226">
        <f t="shared" si="575"/>
        <v>-9834</v>
      </c>
      <c r="CV125" s="226">
        <f t="shared" si="576"/>
        <v>-8622</v>
      </c>
      <c r="CW125" s="840">
        <f t="shared" si="577"/>
        <v>-7701</v>
      </c>
      <c r="CX125" s="1255">
        <f t="shared" si="578"/>
        <v>-7701</v>
      </c>
      <c r="CY125" s="226">
        <f t="shared" si="593"/>
        <v>-8607</v>
      </c>
      <c r="CZ125" s="226">
        <f t="shared" si="579"/>
        <v>-8657</v>
      </c>
      <c r="DA125" s="226">
        <f t="shared" si="580"/>
        <v>-8239</v>
      </c>
      <c r="DB125" s="840">
        <f t="shared" si="581"/>
        <v>-9628</v>
      </c>
      <c r="DC125" s="1255">
        <f t="shared" si="582"/>
        <v>-9628</v>
      </c>
      <c r="DD125" s="226">
        <f t="shared" si="581"/>
        <v>-8916</v>
      </c>
      <c r="DE125" s="226">
        <f t="shared" si="581"/>
        <v>-8882</v>
      </c>
      <c r="DF125" s="226">
        <f t="shared" si="581"/>
        <v>-9238</v>
      </c>
      <c r="DG125" s="840">
        <f t="shared" si="583"/>
        <v>-8416</v>
      </c>
      <c r="DH125" s="1255">
        <f t="shared" si="584"/>
        <v>-8416</v>
      </c>
      <c r="DI125" s="226">
        <f t="shared" si="583"/>
        <v>-9129</v>
      </c>
      <c r="DJ125" s="226">
        <f t="shared" si="583"/>
        <v>-9899</v>
      </c>
      <c r="DK125" s="226">
        <f t="shared" si="583"/>
        <v>-12120</v>
      </c>
      <c r="DL125" s="479"/>
      <c r="DM125" s="1001"/>
      <c r="DN125" s="42"/>
      <c r="DO125" s="42"/>
      <c r="DP125" s="42"/>
      <c r="DQ125" s="42"/>
      <c r="DR125" s="1001"/>
      <c r="DS125" s="42"/>
      <c r="DT125" s="42"/>
      <c r="DU125" s="42"/>
      <c r="DV125" s="42"/>
      <c r="DW125" s="1001"/>
      <c r="DX125" s="871"/>
      <c r="DY125" s="871"/>
      <c r="DZ125" s="871"/>
      <c r="EA125" s="871"/>
      <c r="EC125" s="3683"/>
      <c r="ED125" s="3683"/>
    </row>
    <row r="126" spans="1:134" ht="11.25" hidden="1" customHeight="1" outlineLevel="1">
      <c r="A126" s="1860" t="s">
        <v>585</v>
      </c>
      <c r="B126" s="1861"/>
      <c r="C126" s="1861"/>
      <c r="D126" s="1861"/>
      <c r="E126" s="1862"/>
      <c r="F126" s="1861"/>
      <c r="G126" s="1861"/>
      <c r="H126" s="1861"/>
      <c r="I126" s="1862"/>
      <c r="J126" s="1871"/>
      <c r="K126" s="1864"/>
      <c r="L126" s="1864"/>
      <c r="M126" s="1862"/>
      <c r="N126" s="1864"/>
      <c r="O126" s="1864"/>
      <c r="P126" s="1864"/>
      <c r="Q126" s="1862"/>
      <c r="R126" s="1871"/>
      <c r="S126" s="1865"/>
      <c r="T126" s="1861"/>
      <c r="U126" s="1862"/>
      <c r="V126" s="1872"/>
      <c r="W126" s="1867"/>
      <c r="X126" s="1867"/>
      <c r="Y126" s="1862"/>
      <c r="Z126" s="1873"/>
      <c r="AA126" s="1869"/>
      <c r="AB126" s="1869"/>
      <c r="AC126" s="1862"/>
      <c r="AD126" s="1873"/>
      <c r="AE126" s="1869"/>
      <c r="AF126" s="1869"/>
      <c r="AG126" s="1862"/>
      <c r="AH126" s="1873"/>
      <c r="AI126" s="1869"/>
      <c r="AJ126" s="1869"/>
      <c r="AK126" s="1862"/>
      <c r="AL126" s="1873"/>
      <c r="AM126" s="1869"/>
      <c r="AN126" s="1869"/>
      <c r="AO126" s="1862"/>
      <c r="AP126" s="1869"/>
      <c r="AQ126" s="1869"/>
      <c r="AR126" s="1869"/>
      <c r="AS126" s="1862"/>
      <c r="AT126" s="1873"/>
      <c r="AU126" s="1869"/>
      <c r="AV126" s="1869"/>
      <c r="AW126" s="1862"/>
      <c r="AX126" s="1873"/>
      <c r="AY126" s="1869"/>
      <c r="AZ126" s="1869"/>
      <c r="BA126" s="1862"/>
      <c r="BB126" s="1869"/>
      <c r="BC126" s="1869"/>
      <c r="BD126" s="1869"/>
      <c r="BE126" s="1862"/>
      <c r="BF126" s="1869"/>
      <c r="BG126" s="1869"/>
      <c r="BH126" s="1869"/>
      <c r="BI126" s="1862"/>
      <c r="BJ126" s="1874"/>
      <c r="BK126" s="1869">
        <f t="shared" si="585"/>
        <v>5577</v>
      </c>
      <c r="BL126" s="1869">
        <f t="shared" si="585"/>
        <v>6574</v>
      </c>
      <c r="BM126" s="1869">
        <f t="shared" si="585"/>
        <v>6114</v>
      </c>
      <c r="BN126" s="1862">
        <f t="shared" si="585"/>
        <v>7359</v>
      </c>
      <c r="BO126" s="1874">
        <f t="shared" si="585"/>
        <v>7359</v>
      </c>
      <c r="BP126" s="1869">
        <f t="shared" si="586"/>
        <v>7571</v>
      </c>
      <c r="BQ126" s="1869">
        <f t="shared" si="551"/>
        <v>7522</v>
      </c>
      <c r="BR126" s="1869">
        <f t="shared" si="552"/>
        <v>7357</v>
      </c>
      <c r="BS126" s="1862">
        <f t="shared" si="553"/>
        <v>5133</v>
      </c>
      <c r="BT126" s="1874">
        <f t="shared" si="554"/>
        <v>5133</v>
      </c>
      <c r="BU126" s="1869">
        <f t="shared" si="587"/>
        <v>4714</v>
      </c>
      <c r="BV126" s="1869">
        <f t="shared" si="555"/>
        <v>4405</v>
      </c>
      <c r="BW126" s="1869">
        <f t="shared" si="556"/>
        <v>4415</v>
      </c>
      <c r="BX126" s="1862">
        <f t="shared" si="557"/>
        <v>5218</v>
      </c>
      <c r="BY126" s="1874">
        <f t="shared" si="558"/>
        <v>5218</v>
      </c>
      <c r="BZ126" s="1869">
        <f t="shared" si="588"/>
        <v>5774</v>
      </c>
      <c r="CA126" s="1869">
        <f t="shared" si="559"/>
        <v>6263</v>
      </c>
      <c r="CB126" s="1869">
        <f t="shared" si="560"/>
        <v>7367</v>
      </c>
      <c r="CC126" s="1862">
        <f t="shared" si="561"/>
        <v>8149</v>
      </c>
      <c r="CD126" s="1874">
        <f t="shared" si="562"/>
        <v>8149</v>
      </c>
      <c r="CE126" s="1869">
        <f t="shared" si="589"/>
        <v>12909</v>
      </c>
      <c r="CF126" s="1869">
        <f t="shared" si="563"/>
        <v>13996</v>
      </c>
      <c r="CG126" s="1869">
        <f t="shared" si="564"/>
        <v>15180</v>
      </c>
      <c r="CH126" s="1862">
        <f t="shared" si="565"/>
        <v>17336</v>
      </c>
      <c r="CI126" s="1874">
        <f t="shared" si="566"/>
        <v>17336</v>
      </c>
      <c r="CJ126" s="1869">
        <f t="shared" si="590"/>
        <v>11683</v>
      </c>
      <c r="CK126" s="1869">
        <f t="shared" si="567"/>
        <v>13219</v>
      </c>
      <c r="CL126" s="1869">
        <f t="shared" si="568"/>
        <v>13952</v>
      </c>
      <c r="CM126" s="1862">
        <f t="shared" si="569"/>
        <v>13927</v>
      </c>
      <c r="CN126" s="3692">
        <f t="shared" si="570"/>
        <v>13927</v>
      </c>
      <c r="CO126" s="5942">
        <f t="shared" si="591"/>
        <v>16219</v>
      </c>
      <c r="CP126" s="5942">
        <f t="shared" si="571"/>
        <v>13857</v>
      </c>
      <c r="CQ126" s="5942">
        <f t="shared" si="572"/>
        <v>12384</v>
      </c>
      <c r="CR126" s="5945">
        <f t="shared" si="573"/>
        <v>11103</v>
      </c>
      <c r="CS126" s="3692">
        <f t="shared" si="574"/>
        <v>11103</v>
      </c>
      <c r="CT126" s="5942">
        <f t="shared" si="592"/>
        <v>10859</v>
      </c>
      <c r="CU126" s="5942">
        <f t="shared" si="575"/>
        <v>12949</v>
      </c>
      <c r="CV126" s="5942">
        <f t="shared" si="576"/>
        <v>12995</v>
      </c>
      <c r="CW126" s="5945">
        <f t="shared" si="577"/>
        <v>12850</v>
      </c>
      <c r="CX126" s="3692">
        <f t="shared" si="578"/>
        <v>12850</v>
      </c>
      <c r="CY126" s="5942">
        <f t="shared" si="593"/>
        <v>16612</v>
      </c>
      <c r="CZ126" s="5942">
        <f t="shared" si="579"/>
        <v>14526</v>
      </c>
      <c r="DA126" s="5942">
        <f t="shared" si="580"/>
        <v>13732</v>
      </c>
      <c r="DB126" s="5945">
        <f t="shared" si="581"/>
        <v>15069</v>
      </c>
      <c r="DC126" s="3692">
        <f t="shared" si="582"/>
        <v>15069</v>
      </c>
      <c r="DD126" s="5942">
        <f t="shared" si="581"/>
        <v>13342</v>
      </c>
      <c r="DE126" s="5942">
        <f t="shared" si="581"/>
        <v>14985</v>
      </c>
      <c r="DF126" s="3993">
        <f t="shared" si="581"/>
        <v>17342</v>
      </c>
      <c r="DG126" s="5945">
        <f t="shared" si="583"/>
        <v>21677</v>
      </c>
      <c r="DH126" s="3692">
        <f t="shared" si="584"/>
        <v>21677</v>
      </c>
      <c r="DI126" s="3993">
        <f t="shared" si="583"/>
        <v>25622</v>
      </c>
      <c r="DJ126" s="5942">
        <f t="shared" si="583"/>
        <v>29947</v>
      </c>
      <c r="DK126" s="3993">
        <f t="shared" si="583"/>
        <v>35565</v>
      </c>
      <c r="DL126" s="1862"/>
      <c r="DM126" s="1874"/>
      <c r="DN126" s="1869"/>
      <c r="DO126" s="1869"/>
      <c r="DP126" s="1869"/>
      <c r="DQ126" s="1869"/>
      <c r="DR126" s="1874"/>
      <c r="DS126" s="1869"/>
      <c r="DT126" s="1869"/>
      <c r="DU126" s="1869"/>
      <c r="DV126" s="1869"/>
      <c r="DW126" s="1874"/>
      <c r="DX126" s="1874"/>
      <c r="DY126" s="1874"/>
      <c r="DZ126" s="1874"/>
      <c r="EA126" s="1874"/>
      <c r="EC126" s="3683"/>
      <c r="ED126" s="3683"/>
    </row>
    <row r="127" spans="1:134" s="287" customFormat="1" ht="11.25" hidden="1" customHeight="1" outlineLevel="1">
      <c r="A127" s="1609"/>
      <c r="B127" s="1348"/>
      <c r="C127" s="1348"/>
      <c r="D127" s="1348"/>
      <c r="E127" s="1353"/>
      <c r="F127" s="1348"/>
      <c r="G127" s="1348"/>
      <c r="H127" s="1348"/>
      <c r="I127" s="1353"/>
      <c r="J127" s="1349"/>
      <c r="K127" s="1348"/>
      <c r="L127" s="1348"/>
      <c r="M127" s="1353"/>
      <c r="N127" s="1348"/>
      <c r="O127" s="1348"/>
      <c r="P127" s="1348"/>
      <c r="Q127" s="1353"/>
      <c r="R127" s="1349"/>
      <c r="S127" s="1348"/>
      <c r="T127" s="1348"/>
      <c r="U127" s="1353"/>
      <c r="V127" s="1350"/>
      <c r="W127" s="1351"/>
      <c r="X127" s="1351"/>
      <c r="Y127" s="1353"/>
      <c r="Z127" s="1351"/>
      <c r="AA127" s="1351"/>
      <c r="AB127" s="1351"/>
      <c r="AC127" s="1353"/>
      <c r="AD127" s="1350"/>
      <c r="AE127" s="1351"/>
      <c r="AF127" s="1351"/>
      <c r="AG127" s="1353"/>
      <c r="AH127" s="1351"/>
      <c r="AI127" s="1351"/>
      <c r="AJ127" s="1351"/>
      <c r="AK127" s="1353"/>
      <c r="AL127" s="1350"/>
      <c r="AM127" s="1351"/>
      <c r="AN127" s="1351"/>
      <c r="AO127" s="1353"/>
      <c r="AP127" s="1351"/>
      <c r="AQ127" s="1351"/>
      <c r="AR127" s="1351"/>
      <c r="AS127" s="1353"/>
      <c r="AT127" s="1351"/>
      <c r="AU127" s="1351"/>
      <c r="AV127" s="1351"/>
      <c r="AW127" s="1353"/>
      <c r="AX127" s="1351"/>
      <c r="AY127" s="1351"/>
      <c r="AZ127" s="1351"/>
      <c r="BA127" s="1353"/>
      <c r="BB127" s="1351"/>
      <c r="BC127" s="1351"/>
      <c r="BD127" s="1351"/>
      <c r="BE127" s="1353"/>
      <c r="BF127" s="1351"/>
      <c r="BG127" s="1351"/>
      <c r="BH127" s="1351"/>
      <c r="BI127" s="1351"/>
      <c r="BJ127" s="1352"/>
      <c r="BK127" s="1351"/>
      <c r="BL127" s="1351"/>
      <c r="BM127" s="1351"/>
      <c r="BN127" s="1353"/>
      <c r="BO127" s="1352"/>
      <c r="BP127" s="1351"/>
      <c r="BQ127" s="1351"/>
      <c r="BR127" s="1351"/>
      <c r="BS127" s="1353"/>
      <c r="BT127" s="1352"/>
      <c r="BU127" s="1351"/>
      <c r="BV127" s="1351"/>
      <c r="BW127" s="1354"/>
      <c r="BX127" s="1354"/>
      <c r="BY127" s="1352"/>
      <c r="BZ127" s="1351"/>
      <c r="CA127" s="1351"/>
      <c r="CB127" s="1354"/>
      <c r="CC127" s="1354"/>
      <c r="CD127" s="1352"/>
      <c r="CE127" s="1351"/>
      <c r="CF127" s="1351"/>
      <c r="CG127" s="1354"/>
      <c r="CH127" s="1354"/>
      <c r="CI127" s="1352"/>
      <c r="CJ127" s="1354"/>
      <c r="CK127" s="1354"/>
      <c r="CL127" s="1354"/>
      <c r="CM127" s="1354"/>
      <c r="CN127" s="5943"/>
      <c r="CO127" s="5944"/>
      <c r="CP127" s="5944"/>
      <c r="CQ127" s="5944"/>
      <c r="CR127" s="5944"/>
      <c r="CS127" s="5943"/>
      <c r="CT127" s="5944"/>
      <c r="CU127" s="5944"/>
      <c r="CV127" s="5944"/>
      <c r="CW127" s="5944"/>
      <c r="CX127" s="5943"/>
      <c r="CY127" s="5944"/>
      <c r="CZ127" s="5944"/>
      <c r="DA127" s="5944"/>
      <c r="DB127" s="5944"/>
      <c r="DC127" s="5943"/>
      <c r="DD127" s="5944"/>
      <c r="DE127" s="5944"/>
      <c r="DF127" s="5944"/>
      <c r="DG127" s="5944"/>
      <c r="DH127" s="5943"/>
      <c r="DI127" s="5944"/>
      <c r="DJ127" s="5944"/>
      <c r="DK127" s="5944"/>
      <c r="DL127" s="1354"/>
      <c r="DM127" s="1352"/>
      <c r="DN127" s="1354"/>
      <c r="DO127" s="1354"/>
      <c r="DP127" s="1354"/>
      <c r="DQ127" s="1354"/>
      <c r="DR127" s="1352"/>
      <c r="DS127" s="1354"/>
      <c r="DT127" s="1354"/>
      <c r="DU127" s="1354"/>
      <c r="DV127" s="1354"/>
      <c r="DW127" s="1352"/>
      <c r="DX127" s="1355"/>
      <c r="DY127" s="1355"/>
      <c r="DZ127" s="1355"/>
      <c r="EA127" s="1355"/>
      <c r="EC127" s="3683"/>
      <c r="ED127" s="3683"/>
    </row>
    <row r="128" spans="1:134" s="287" customFormat="1" ht="11.25" hidden="1" customHeight="1" outlineLevel="1">
      <c r="A128" s="1859" t="s">
        <v>1016</v>
      </c>
      <c r="B128" s="1348"/>
      <c r="C128" s="1348"/>
      <c r="D128" s="1348"/>
      <c r="E128" s="1353"/>
      <c r="F128" s="1348"/>
      <c r="G128" s="1348"/>
      <c r="H128" s="1348"/>
      <c r="I128" s="1353"/>
      <c r="J128" s="1349"/>
      <c r="K128" s="1348"/>
      <c r="L128" s="1348"/>
      <c r="M128" s="1353"/>
      <c r="N128" s="1348"/>
      <c r="O128" s="1348"/>
      <c r="P128" s="1348"/>
      <c r="Q128" s="1353"/>
      <c r="R128" s="1349"/>
      <c r="S128" s="1348"/>
      <c r="T128" s="1348"/>
      <c r="U128" s="1353"/>
      <c r="V128" s="1350"/>
      <c r="W128" s="1351"/>
      <c r="X128" s="1351"/>
      <c r="Y128" s="1353"/>
      <c r="Z128" s="1351"/>
      <c r="AA128" s="1351"/>
      <c r="AB128" s="1351"/>
      <c r="AC128" s="1353"/>
      <c r="AD128" s="1350"/>
      <c r="AE128" s="1351"/>
      <c r="AF128" s="1351"/>
      <c r="AG128" s="1353"/>
      <c r="AH128" s="1351"/>
      <c r="AI128" s="1351"/>
      <c r="AJ128" s="1351"/>
      <c r="AK128" s="1353"/>
      <c r="AL128" s="1350"/>
      <c r="AM128" s="1351"/>
      <c r="AN128" s="1351"/>
      <c r="AO128" s="1353"/>
      <c r="AP128" s="1351"/>
      <c r="AQ128" s="1351"/>
      <c r="AR128" s="1351"/>
      <c r="AS128" s="1353"/>
      <c r="AT128" s="1351"/>
      <c r="AU128" s="1351"/>
      <c r="AV128" s="1351"/>
      <c r="AW128" s="1353"/>
      <c r="AX128" s="1351"/>
      <c r="AY128" s="1351"/>
      <c r="AZ128" s="1351"/>
      <c r="BA128" s="1353"/>
      <c r="BB128" s="1351"/>
      <c r="BC128" s="1351"/>
      <c r="BD128" s="1351"/>
      <c r="BE128" s="1353"/>
      <c r="BF128" s="1351"/>
      <c r="BG128" s="1351"/>
      <c r="BH128" s="1351"/>
      <c r="BI128" s="1351"/>
      <c r="BJ128" s="1352"/>
      <c r="BK128" s="1351"/>
      <c r="BL128" s="1351"/>
      <c r="BM128" s="1351"/>
      <c r="BN128" s="1353"/>
      <c r="BO128" s="1352"/>
      <c r="BP128" s="1351"/>
      <c r="BQ128" s="1351"/>
      <c r="BR128" s="1351"/>
      <c r="BS128" s="1353"/>
      <c r="BT128" s="1352"/>
      <c r="BU128" s="1351"/>
      <c r="BV128" s="1351"/>
      <c r="BW128" s="1354"/>
      <c r="BX128" s="1354"/>
      <c r="BY128" s="1352"/>
      <c r="BZ128" s="1351"/>
      <c r="CA128" s="1351"/>
      <c r="CB128" s="1354"/>
      <c r="CC128" s="1354"/>
      <c r="CD128" s="1352"/>
      <c r="CE128" s="1351"/>
      <c r="CF128" s="1351"/>
      <c r="CG128" s="1354"/>
      <c r="CH128" s="1354"/>
      <c r="CI128" s="1352"/>
      <c r="CJ128" s="1354"/>
      <c r="CK128" s="1354"/>
      <c r="CL128" s="1354"/>
      <c r="CM128" s="1354"/>
      <c r="CN128" s="5943"/>
      <c r="CO128" s="5944"/>
      <c r="CP128" s="5944"/>
      <c r="CQ128" s="5944"/>
      <c r="CR128" s="5944"/>
      <c r="CS128" s="5943"/>
      <c r="CT128" s="5944"/>
      <c r="CU128" s="5944"/>
      <c r="CV128" s="5944"/>
      <c r="CW128" s="5944"/>
      <c r="CX128" s="5943"/>
      <c r="CY128" s="5944"/>
      <c r="CZ128" s="5944"/>
      <c r="DA128" s="5944"/>
      <c r="DB128" s="5944"/>
      <c r="DC128" s="5943"/>
      <c r="DD128" s="5944"/>
      <c r="DE128" s="5944"/>
      <c r="DF128" s="5944"/>
      <c r="DG128" s="5944"/>
      <c r="DH128" s="5943"/>
      <c r="DI128" s="5944"/>
      <c r="DJ128" s="5944"/>
      <c r="DK128" s="5944"/>
      <c r="DL128" s="1354"/>
      <c r="DM128" s="1352"/>
      <c r="DN128" s="1354"/>
      <c r="DO128" s="1354"/>
      <c r="DP128" s="1354"/>
      <c r="DQ128" s="1354"/>
      <c r="DR128" s="1352"/>
      <c r="DS128" s="1354"/>
      <c r="DT128" s="1354"/>
      <c r="DU128" s="1354"/>
      <c r="DV128" s="1354"/>
      <c r="DW128" s="1352"/>
      <c r="DX128" s="1355"/>
      <c r="DY128" s="1355"/>
      <c r="DZ128" s="1355"/>
      <c r="EA128" s="1355"/>
      <c r="EC128" s="3683"/>
      <c r="ED128" s="3683"/>
    </row>
    <row r="129" spans="1:134" ht="11.25" hidden="1" customHeight="1" outlineLevel="1">
      <c r="A129" s="1601" t="s">
        <v>578</v>
      </c>
      <c r="B129" s="36"/>
      <c r="C129" s="36"/>
      <c r="D129" s="36"/>
      <c r="E129" s="479"/>
      <c r="F129" s="36"/>
      <c r="G129" s="36"/>
      <c r="H129" s="36"/>
      <c r="I129" s="479"/>
      <c r="J129" s="143"/>
      <c r="K129" s="37"/>
      <c r="L129" s="37"/>
      <c r="M129" s="479"/>
      <c r="N129" s="37"/>
      <c r="O129" s="37"/>
      <c r="P129" s="37"/>
      <c r="Q129" s="479"/>
      <c r="R129" s="143"/>
      <c r="S129" s="76"/>
      <c r="T129" s="36"/>
      <c r="U129" s="479"/>
      <c r="V129" s="41"/>
      <c r="W129" s="43"/>
      <c r="X129" s="43"/>
      <c r="Y129" s="479"/>
      <c r="Z129" s="144"/>
      <c r="AA129" s="42"/>
      <c r="AB129" s="42"/>
      <c r="AC129" s="479"/>
      <c r="AD129" s="144"/>
      <c r="AE129" s="42"/>
      <c r="AF129" s="42"/>
      <c r="AG129" s="479"/>
      <c r="AH129" s="144"/>
      <c r="AI129" s="42"/>
      <c r="AJ129" s="42"/>
      <c r="AK129" s="479"/>
      <c r="AL129" s="144"/>
      <c r="AM129" s="42"/>
      <c r="AN129" s="42"/>
      <c r="AO129" s="479"/>
      <c r="AP129" s="42"/>
      <c r="AQ129" s="42"/>
      <c r="AR129" s="42"/>
      <c r="AS129" s="479"/>
      <c r="AT129" s="144"/>
      <c r="AU129" s="42"/>
      <c r="AV129" s="42"/>
      <c r="AW129" s="479"/>
      <c r="AX129" s="144"/>
      <c r="AY129" s="42"/>
      <c r="AZ129" s="42"/>
      <c r="BA129" s="479"/>
      <c r="BB129" s="42"/>
      <c r="BC129" s="42"/>
      <c r="BD129" s="42"/>
      <c r="BE129" s="479"/>
      <c r="BF129" s="42"/>
      <c r="BG129" s="42">
        <f t="shared" ref="BG129:BI136" si="594">BG109-BF109</f>
        <v>-58</v>
      </c>
      <c r="BH129" s="42">
        <f t="shared" si="594"/>
        <v>126</v>
      </c>
      <c r="BI129" s="479">
        <f t="shared" si="594"/>
        <v>1026</v>
      </c>
      <c r="BJ129" s="1001"/>
      <c r="BK129" s="42">
        <f t="shared" ref="BK129:BK136" si="595">BK109-BI109</f>
        <v>1288</v>
      </c>
      <c r="BL129" s="42">
        <f t="shared" ref="BL129:BN136" si="596">BL109-BK109</f>
        <v>1498</v>
      </c>
      <c r="BM129" s="42">
        <f t="shared" si="596"/>
        <v>1342</v>
      </c>
      <c r="BN129" s="479">
        <f t="shared" si="596"/>
        <v>1710</v>
      </c>
      <c r="BO129" s="1001">
        <f>BO109-BJ109</f>
        <v>5838</v>
      </c>
      <c r="BP129" s="42">
        <f t="shared" ref="BP129:BP136" si="597">BP109-BN109</f>
        <v>153</v>
      </c>
      <c r="BQ129" s="42">
        <f t="shared" ref="BQ129:BS136" si="598">BQ109-BP109</f>
        <v>1067</v>
      </c>
      <c r="BR129" s="42">
        <f t="shared" si="598"/>
        <v>807</v>
      </c>
      <c r="BS129" s="479">
        <f t="shared" si="598"/>
        <v>1165</v>
      </c>
      <c r="BT129" s="1001">
        <f>BT109-BO109</f>
        <v>3192</v>
      </c>
      <c r="BU129" s="42">
        <f t="shared" ref="BU129:BU136" si="599">BU109-BS109</f>
        <v>1510</v>
      </c>
      <c r="BV129" s="42">
        <f t="shared" ref="BV129:BX136" si="600">BV109-BU109</f>
        <v>742</v>
      </c>
      <c r="BW129" s="42">
        <f t="shared" si="600"/>
        <v>439</v>
      </c>
      <c r="BX129" s="479">
        <f t="shared" si="600"/>
        <v>595</v>
      </c>
      <c r="BY129" s="1001">
        <f>BY109-BT109</f>
        <v>3286</v>
      </c>
      <c r="BZ129" s="42">
        <f t="shared" ref="BZ129:BZ136" si="601">BZ109-BX109</f>
        <v>940</v>
      </c>
      <c r="CA129" s="42">
        <f t="shared" ref="CA129:CC136" si="602">CA109-BZ109</f>
        <v>764</v>
      </c>
      <c r="CB129" s="42">
        <f t="shared" si="602"/>
        <v>859</v>
      </c>
      <c r="CC129" s="479">
        <f t="shared" si="602"/>
        <v>816</v>
      </c>
      <c r="CD129" s="1001">
        <f>CD109-BY109</f>
        <v>3379</v>
      </c>
      <c r="CE129" s="42">
        <f t="shared" ref="CE129:CE136" si="603">CE109-CC109</f>
        <v>3696</v>
      </c>
      <c r="CF129" s="42">
        <f t="shared" ref="CF129:CH136" si="604">CF109-CE109</f>
        <v>374</v>
      </c>
      <c r="CG129" s="42">
        <f t="shared" si="604"/>
        <v>906</v>
      </c>
      <c r="CH129" s="479">
        <f t="shared" si="604"/>
        <v>2020</v>
      </c>
      <c r="CI129" s="1001">
        <f>CI109-CD109</f>
        <v>6996</v>
      </c>
      <c r="CJ129" s="42">
        <f t="shared" ref="CJ129:CJ136" si="605">CJ109-CH109</f>
        <v>645</v>
      </c>
      <c r="CK129" s="42">
        <f t="shared" ref="CK129:CM136" si="606">CK109-CJ109</f>
        <v>2005</v>
      </c>
      <c r="CL129" s="42">
        <f t="shared" si="606"/>
        <v>2131</v>
      </c>
      <c r="CM129" s="479">
        <f t="shared" si="606"/>
        <v>4905</v>
      </c>
      <c r="CN129" s="1255">
        <f>CN109-CI109</f>
        <v>9686</v>
      </c>
      <c r="CO129" s="226">
        <f t="shared" ref="CO129:CO136" si="607">CO109-CM109</f>
        <v>1507</v>
      </c>
      <c r="CP129" s="226">
        <f t="shared" ref="CP129:CR136" si="608">CP109-CO109</f>
        <v>3122</v>
      </c>
      <c r="CQ129" s="226">
        <f t="shared" si="608"/>
        <v>2293</v>
      </c>
      <c r="CR129" s="840">
        <f t="shared" si="608"/>
        <v>2945</v>
      </c>
      <c r="CS129" s="1255">
        <f>CS109-CN109</f>
        <v>9867</v>
      </c>
      <c r="CT129" s="226">
        <f t="shared" ref="CT129:CT136" si="609">CT109-CR109</f>
        <v>2790</v>
      </c>
      <c r="CU129" s="226">
        <f t="shared" ref="CU129:CW136" si="610">CU109-CT109</f>
        <v>3388</v>
      </c>
      <c r="CV129" s="226">
        <f t="shared" si="610"/>
        <v>1358</v>
      </c>
      <c r="CW129" s="840">
        <f t="shared" si="610"/>
        <v>1613</v>
      </c>
      <c r="CX129" s="1255">
        <f>CX109-CS109</f>
        <v>9149</v>
      </c>
      <c r="CY129" s="226">
        <f t="shared" ref="CY129:CY136" si="611">CY109-CW109</f>
        <v>3988</v>
      </c>
      <c r="CZ129" s="226">
        <f t="shared" ref="CZ129:DF136" si="612">CZ109-CY109</f>
        <v>2146</v>
      </c>
      <c r="DA129" s="226">
        <f t="shared" si="612"/>
        <v>-336</v>
      </c>
      <c r="DB129" s="840">
        <f t="shared" si="612"/>
        <v>2218</v>
      </c>
      <c r="DC129" s="1255">
        <f>DC109-CX109</f>
        <v>8016</v>
      </c>
      <c r="DD129" s="226">
        <f t="shared" si="612"/>
        <v>1051</v>
      </c>
      <c r="DE129" s="226">
        <f t="shared" si="612"/>
        <v>942</v>
      </c>
      <c r="DF129" s="226">
        <f t="shared" si="612"/>
        <v>2467</v>
      </c>
      <c r="DG129" s="840">
        <f t="shared" ref="DG129:DK136" si="613">DG109-DF109</f>
        <v>2726</v>
      </c>
      <c r="DH129" s="1255">
        <f>DH109-DC109</f>
        <v>7186</v>
      </c>
      <c r="DI129" s="226">
        <f t="shared" si="613"/>
        <v>3338</v>
      </c>
      <c r="DJ129" s="226">
        <f t="shared" si="613"/>
        <v>1220</v>
      </c>
      <c r="DK129" s="226">
        <f t="shared" si="613"/>
        <v>1659</v>
      </c>
      <c r="DL129" s="479"/>
      <c r="DM129" s="1001"/>
      <c r="DN129" s="42"/>
      <c r="DO129" s="42"/>
      <c r="DP129" s="42"/>
      <c r="DQ129" s="42"/>
      <c r="DR129" s="1001"/>
      <c r="DS129" s="42"/>
      <c r="DT129" s="42"/>
      <c r="DU129" s="42"/>
      <c r="DV129" s="42"/>
      <c r="DW129" s="1001"/>
      <c r="DX129" s="871"/>
      <c r="DY129" s="871"/>
      <c r="DZ129" s="871"/>
      <c r="EA129" s="871"/>
      <c r="EC129" s="3683"/>
      <c r="ED129" s="3683"/>
    </row>
    <row r="130" spans="1:134" ht="11.25" hidden="1" customHeight="1" outlineLevel="1">
      <c r="A130" s="1601" t="s">
        <v>579</v>
      </c>
      <c r="B130" s="36"/>
      <c r="C130" s="36"/>
      <c r="D130" s="36"/>
      <c r="E130" s="479"/>
      <c r="F130" s="36"/>
      <c r="G130" s="36"/>
      <c r="H130" s="36"/>
      <c r="I130" s="479"/>
      <c r="J130" s="143"/>
      <c r="K130" s="37"/>
      <c r="L130" s="37"/>
      <c r="M130" s="479"/>
      <c r="N130" s="37"/>
      <c r="O130" s="37"/>
      <c r="P130" s="37"/>
      <c r="Q130" s="479"/>
      <c r="R130" s="143"/>
      <c r="S130" s="76"/>
      <c r="T130" s="36"/>
      <c r="U130" s="479"/>
      <c r="V130" s="41"/>
      <c r="W130" s="43"/>
      <c r="X130" s="43"/>
      <c r="Y130" s="479"/>
      <c r="Z130" s="144"/>
      <c r="AA130" s="42"/>
      <c r="AB130" s="42"/>
      <c r="AC130" s="479"/>
      <c r="AD130" s="144"/>
      <c r="AE130" s="42"/>
      <c r="AF130" s="42"/>
      <c r="AG130" s="479"/>
      <c r="AH130" s="144"/>
      <c r="AI130" s="42"/>
      <c r="AJ130" s="42"/>
      <c r="AK130" s="479"/>
      <c r="AL130" s="144"/>
      <c r="AM130" s="42"/>
      <c r="AN130" s="42"/>
      <c r="AO130" s="479"/>
      <c r="AP130" s="42"/>
      <c r="AQ130" s="42"/>
      <c r="AR130" s="42"/>
      <c r="AS130" s="479"/>
      <c r="AT130" s="144"/>
      <c r="AU130" s="42"/>
      <c r="AV130" s="42"/>
      <c r="AW130" s="479"/>
      <c r="AX130" s="144"/>
      <c r="AY130" s="42"/>
      <c r="AZ130" s="42"/>
      <c r="BA130" s="479"/>
      <c r="BB130" s="42"/>
      <c r="BC130" s="42"/>
      <c r="BD130" s="42"/>
      <c r="BE130" s="479"/>
      <c r="BF130" s="42"/>
      <c r="BG130" s="42">
        <f t="shared" si="594"/>
        <v>48</v>
      </c>
      <c r="BH130" s="42">
        <f t="shared" si="594"/>
        <v>538</v>
      </c>
      <c r="BI130" s="479">
        <f t="shared" si="594"/>
        <v>723</v>
      </c>
      <c r="BJ130" s="1001"/>
      <c r="BK130" s="42">
        <f t="shared" si="595"/>
        <v>314</v>
      </c>
      <c r="BL130" s="42">
        <f t="shared" si="596"/>
        <v>293</v>
      </c>
      <c r="BM130" s="42">
        <f t="shared" si="596"/>
        <v>476</v>
      </c>
      <c r="BN130" s="479">
        <f t="shared" si="596"/>
        <v>741</v>
      </c>
      <c r="BO130" s="1001">
        <f t="shared" ref="BO130:BO136" si="614">BO110-BJ110</f>
        <v>1824</v>
      </c>
      <c r="BP130" s="42">
        <f t="shared" si="597"/>
        <v>937</v>
      </c>
      <c r="BQ130" s="42">
        <f t="shared" si="598"/>
        <v>1137</v>
      </c>
      <c r="BR130" s="42">
        <f t="shared" si="598"/>
        <v>362</v>
      </c>
      <c r="BS130" s="479">
        <f t="shared" si="598"/>
        <v>291</v>
      </c>
      <c r="BT130" s="1001">
        <f t="shared" ref="BT130:BT136" si="615">BT110-BO110</f>
        <v>2727</v>
      </c>
      <c r="BU130" s="42">
        <f t="shared" si="599"/>
        <v>213</v>
      </c>
      <c r="BV130" s="42">
        <f t="shared" si="600"/>
        <v>653</v>
      </c>
      <c r="BW130" s="42">
        <f t="shared" si="600"/>
        <v>1199</v>
      </c>
      <c r="BX130" s="479">
        <f t="shared" si="600"/>
        <v>374</v>
      </c>
      <c r="BY130" s="1001">
        <f t="shared" ref="BY130:BY136" si="616">BY110-BT110</f>
        <v>2439</v>
      </c>
      <c r="BZ130" s="42">
        <f t="shared" si="601"/>
        <v>1246</v>
      </c>
      <c r="CA130" s="42">
        <f t="shared" si="602"/>
        <v>1199</v>
      </c>
      <c r="CB130" s="42">
        <f t="shared" si="602"/>
        <v>925</v>
      </c>
      <c r="CC130" s="479">
        <f t="shared" si="602"/>
        <v>1975</v>
      </c>
      <c r="CD130" s="1001">
        <f t="shared" ref="CD130:CD136" si="617">CD110-BY110</f>
        <v>5345</v>
      </c>
      <c r="CE130" s="42">
        <f t="shared" si="603"/>
        <v>2366</v>
      </c>
      <c r="CF130" s="42">
        <f t="shared" si="604"/>
        <v>2353</v>
      </c>
      <c r="CG130" s="42">
        <f t="shared" si="604"/>
        <v>2447</v>
      </c>
      <c r="CH130" s="479">
        <f t="shared" si="604"/>
        <v>1524</v>
      </c>
      <c r="CI130" s="1001">
        <f t="shared" ref="CI130:CI136" si="618">CI110-CD110</f>
        <v>8690</v>
      </c>
      <c r="CJ130" s="42">
        <f t="shared" si="605"/>
        <v>1432</v>
      </c>
      <c r="CK130" s="42">
        <f t="shared" si="606"/>
        <v>1471</v>
      </c>
      <c r="CL130" s="42">
        <f t="shared" si="606"/>
        <v>1716</v>
      </c>
      <c r="CM130" s="479">
        <f t="shared" si="606"/>
        <v>2102</v>
      </c>
      <c r="CN130" s="1255">
        <f t="shared" ref="CN130:CN136" si="619">CN110-CI110</f>
        <v>6721</v>
      </c>
      <c r="CO130" s="226">
        <f t="shared" si="607"/>
        <v>1694</v>
      </c>
      <c r="CP130" s="226">
        <f t="shared" si="608"/>
        <v>2197</v>
      </c>
      <c r="CQ130" s="226">
        <f t="shared" si="608"/>
        <v>2152</v>
      </c>
      <c r="CR130" s="840">
        <f t="shared" si="608"/>
        <v>3023</v>
      </c>
      <c r="CS130" s="1255">
        <f t="shared" ref="CS130:CS136" si="620">CS110-CN110</f>
        <v>9066</v>
      </c>
      <c r="CT130" s="226">
        <f t="shared" si="609"/>
        <v>1987</v>
      </c>
      <c r="CU130" s="226">
        <f t="shared" si="610"/>
        <v>3295</v>
      </c>
      <c r="CV130" s="226">
        <f t="shared" si="610"/>
        <v>2361</v>
      </c>
      <c r="CW130" s="840">
        <f t="shared" si="610"/>
        <v>2057</v>
      </c>
      <c r="CX130" s="1255">
        <f t="shared" ref="CX130:CX136" si="621">CX110-CS110</f>
        <v>9700</v>
      </c>
      <c r="CY130" s="226">
        <f t="shared" si="611"/>
        <v>2022</v>
      </c>
      <c r="CZ130" s="226">
        <f t="shared" si="612"/>
        <v>2015</v>
      </c>
      <c r="DA130" s="226">
        <f t="shared" si="612"/>
        <v>2295</v>
      </c>
      <c r="DB130" s="840">
        <f t="shared" si="612"/>
        <v>4329</v>
      </c>
      <c r="DC130" s="1255">
        <f t="shared" ref="DC130:DC136" si="622">DC110-CX110</f>
        <v>10661</v>
      </c>
      <c r="DD130" s="226">
        <f t="shared" si="612"/>
        <v>2310</v>
      </c>
      <c r="DE130" s="226">
        <f t="shared" si="612"/>
        <v>3015</v>
      </c>
      <c r="DF130" s="226">
        <f t="shared" si="612"/>
        <v>3336</v>
      </c>
      <c r="DG130" s="840">
        <f t="shared" si="613"/>
        <v>5666</v>
      </c>
      <c r="DH130" s="1255">
        <f t="shared" ref="DH130:DH136" si="623">DH110-DC110</f>
        <v>14327</v>
      </c>
      <c r="DI130" s="226">
        <f t="shared" si="613"/>
        <v>5382</v>
      </c>
      <c r="DJ130" s="226">
        <f t="shared" si="613"/>
        <v>6018</v>
      </c>
      <c r="DK130" s="226">
        <f t="shared" si="613"/>
        <v>6744</v>
      </c>
      <c r="DL130" s="479"/>
      <c r="DM130" s="1001"/>
      <c r="DN130" s="42"/>
      <c r="DO130" s="42"/>
      <c r="DP130" s="42"/>
      <c r="DQ130" s="42"/>
      <c r="DR130" s="1001"/>
      <c r="DS130" s="42"/>
      <c r="DT130" s="42"/>
      <c r="DU130" s="42"/>
      <c r="DV130" s="42"/>
      <c r="DW130" s="1001"/>
      <c r="DX130" s="871"/>
      <c r="DY130" s="871"/>
      <c r="DZ130" s="871"/>
      <c r="EA130" s="871"/>
      <c r="EC130" s="3683"/>
      <c r="ED130" s="3683"/>
    </row>
    <row r="131" spans="1:134" ht="11.25" hidden="1" customHeight="1" outlineLevel="1">
      <c r="A131" s="1601" t="s">
        <v>580</v>
      </c>
      <c r="B131" s="36"/>
      <c r="C131" s="36"/>
      <c r="D131" s="36"/>
      <c r="E131" s="479"/>
      <c r="F131" s="36"/>
      <c r="G131" s="36"/>
      <c r="H131" s="36"/>
      <c r="I131" s="479"/>
      <c r="J131" s="143"/>
      <c r="K131" s="37"/>
      <c r="L131" s="37"/>
      <c r="M131" s="479"/>
      <c r="N131" s="37"/>
      <c r="O131" s="37"/>
      <c r="P131" s="37"/>
      <c r="Q131" s="479"/>
      <c r="R131" s="143"/>
      <c r="S131" s="76"/>
      <c r="T131" s="36"/>
      <c r="U131" s="479"/>
      <c r="V131" s="41"/>
      <c r="W131" s="43"/>
      <c r="X131" s="43"/>
      <c r="Y131" s="479"/>
      <c r="Z131" s="144"/>
      <c r="AA131" s="42"/>
      <c r="AB131" s="42"/>
      <c r="AC131" s="479"/>
      <c r="AD131" s="144"/>
      <c r="AE131" s="42"/>
      <c r="AF131" s="42"/>
      <c r="AG131" s="479"/>
      <c r="AH131" s="144"/>
      <c r="AI131" s="42"/>
      <c r="AJ131" s="42"/>
      <c r="AK131" s="479"/>
      <c r="AL131" s="144"/>
      <c r="AM131" s="42"/>
      <c r="AN131" s="42"/>
      <c r="AO131" s="479"/>
      <c r="AP131" s="42"/>
      <c r="AQ131" s="42"/>
      <c r="AR131" s="42"/>
      <c r="AS131" s="479"/>
      <c r="AT131" s="144"/>
      <c r="AU131" s="42"/>
      <c r="AV131" s="42"/>
      <c r="AW131" s="479"/>
      <c r="AX131" s="144"/>
      <c r="AY131" s="42"/>
      <c r="AZ131" s="42"/>
      <c r="BA131" s="479"/>
      <c r="BB131" s="42"/>
      <c r="BC131" s="42"/>
      <c r="BD131" s="42"/>
      <c r="BE131" s="479"/>
      <c r="BF131" s="42"/>
      <c r="BG131" s="42">
        <f t="shared" si="594"/>
        <v>970</v>
      </c>
      <c r="BH131" s="42">
        <f t="shared" si="594"/>
        <v>1733</v>
      </c>
      <c r="BI131" s="479">
        <f t="shared" si="594"/>
        <v>345</v>
      </c>
      <c r="BJ131" s="1001"/>
      <c r="BK131" s="42">
        <f t="shared" si="595"/>
        <v>276</v>
      </c>
      <c r="BL131" s="42">
        <f t="shared" si="596"/>
        <v>12</v>
      </c>
      <c r="BM131" s="42">
        <f t="shared" si="596"/>
        <v>-147</v>
      </c>
      <c r="BN131" s="479">
        <f t="shared" si="596"/>
        <v>812</v>
      </c>
      <c r="BO131" s="1001">
        <f t="shared" si="614"/>
        <v>953</v>
      </c>
      <c r="BP131" s="42">
        <f t="shared" si="597"/>
        <v>860</v>
      </c>
      <c r="BQ131" s="42">
        <f t="shared" si="598"/>
        <v>-155</v>
      </c>
      <c r="BR131" s="42">
        <f t="shared" si="598"/>
        <v>539</v>
      </c>
      <c r="BS131" s="479">
        <f t="shared" si="598"/>
        <v>-475</v>
      </c>
      <c r="BT131" s="1001">
        <f t="shared" si="615"/>
        <v>769</v>
      </c>
      <c r="BU131" s="42">
        <f t="shared" si="599"/>
        <v>-126</v>
      </c>
      <c r="BV131" s="42">
        <f t="shared" si="600"/>
        <v>403</v>
      </c>
      <c r="BW131" s="42">
        <f t="shared" si="600"/>
        <v>189</v>
      </c>
      <c r="BX131" s="479">
        <f t="shared" si="600"/>
        <v>376</v>
      </c>
      <c r="BY131" s="1001">
        <f t="shared" si="616"/>
        <v>842</v>
      </c>
      <c r="BZ131" s="42">
        <f t="shared" si="601"/>
        <v>448</v>
      </c>
      <c r="CA131" s="42">
        <f t="shared" si="602"/>
        <v>607</v>
      </c>
      <c r="CB131" s="42">
        <f t="shared" si="602"/>
        <v>1059</v>
      </c>
      <c r="CC131" s="479">
        <f t="shared" si="602"/>
        <v>211</v>
      </c>
      <c r="CD131" s="1001">
        <f t="shared" si="617"/>
        <v>2325</v>
      </c>
      <c r="CE131" s="42">
        <f t="shared" si="603"/>
        <v>1866</v>
      </c>
      <c r="CF131" s="42">
        <f t="shared" si="604"/>
        <v>1312</v>
      </c>
      <c r="CG131" s="42">
        <f t="shared" si="604"/>
        <v>1451</v>
      </c>
      <c r="CH131" s="479">
        <f t="shared" si="604"/>
        <v>1718</v>
      </c>
      <c r="CI131" s="1001">
        <f t="shared" si="618"/>
        <v>6347</v>
      </c>
      <c r="CJ131" s="42">
        <f t="shared" si="605"/>
        <v>365</v>
      </c>
      <c r="CK131" s="42">
        <f t="shared" si="606"/>
        <v>2584</v>
      </c>
      <c r="CL131" s="42">
        <f t="shared" si="606"/>
        <v>1929</v>
      </c>
      <c r="CM131" s="479">
        <f t="shared" si="606"/>
        <v>-680</v>
      </c>
      <c r="CN131" s="1255">
        <f t="shared" si="619"/>
        <v>4198</v>
      </c>
      <c r="CO131" s="226">
        <f t="shared" si="607"/>
        <v>1798</v>
      </c>
      <c r="CP131" s="226">
        <f t="shared" si="608"/>
        <v>-886</v>
      </c>
      <c r="CQ131" s="226">
        <f t="shared" si="608"/>
        <v>1167</v>
      </c>
      <c r="CR131" s="840">
        <f t="shared" si="608"/>
        <v>-4</v>
      </c>
      <c r="CS131" s="1255">
        <f t="shared" si="620"/>
        <v>2075</v>
      </c>
      <c r="CT131" s="226">
        <f t="shared" si="609"/>
        <v>-555</v>
      </c>
      <c r="CU131" s="226">
        <f t="shared" si="610"/>
        <v>-731</v>
      </c>
      <c r="CV131" s="226">
        <f t="shared" si="610"/>
        <v>669</v>
      </c>
      <c r="CW131" s="840">
        <f t="shared" si="610"/>
        <v>678</v>
      </c>
      <c r="CX131" s="1255">
        <f t="shared" si="621"/>
        <v>61</v>
      </c>
      <c r="CY131" s="226">
        <f t="shared" si="611"/>
        <v>2383</v>
      </c>
      <c r="CZ131" s="226">
        <f t="shared" si="612"/>
        <v>-214</v>
      </c>
      <c r="DA131" s="226">
        <f t="shared" si="612"/>
        <v>1558</v>
      </c>
      <c r="DB131" s="840">
        <f t="shared" si="612"/>
        <v>758</v>
      </c>
      <c r="DC131" s="1255">
        <f t="shared" si="622"/>
        <v>4485</v>
      </c>
      <c r="DD131" s="226">
        <f t="shared" si="612"/>
        <v>2916</v>
      </c>
      <c r="DE131" s="226">
        <f t="shared" si="612"/>
        <v>1446</v>
      </c>
      <c r="DF131" s="226">
        <f t="shared" si="612"/>
        <v>286</v>
      </c>
      <c r="DG131" s="840">
        <f t="shared" si="613"/>
        <v>2924</v>
      </c>
      <c r="DH131" s="1255">
        <f t="shared" si="623"/>
        <v>7572</v>
      </c>
      <c r="DI131" s="226">
        <f t="shared" si="613"/>
        <v>2450</v>
      </c>
      <c r="DJ131" s="226">
        <f t="shared" si="613"/>
        <v>3063</v>
      </c>
      <c r="DK131" s="226">
        <f t="shared" si="613"/>
        <v>5267</v>
      </c>
      <c r="DL131" s="479"/>
      <c r="DM131" s="1001"/>
      <c r="DN131" s="42"/>
      <c r="DO131" s="42"/>
      <c r="DP131" s="42"/>
      <c r="DQ131" s="42"/>
      <c r="DR131" s="1001"/>
      <c r="DS131" s="42"/>
      <c r="DT131" s="42"/>
      <c r="DU131" s="42"/>
      <c r="DV131" s="42"/>
      <c r="DW131" s="1001"/>
      <c r="DX131" s="871"/>
      <c r="DY131" s="871"/>
      <c r="DZ131" s="871"/>
      <c r="EA131" s="871"/>
      <c r="EC131" s="3683"/>
      <c r="ED131" s="3683"/>
    </row>
    <row r="132" spans="1:134" ht="11.25" hidden="1" customHeight="1" outlineLevel="1">
      <c r="A132" s="1601" t="s">
        <v>581</v>
      </c>
      <c r="B132" s="36"/>
      <c r="C132" s="36"/>
      <c r="D132" s="36"/>
      <c r="E132" s="479"/>
      <c r="F132" s="36"/>
      <c r="G132" s="36"/>
      <c r="H132" s="36"/>
      <c r="I132" s="479"/>
      <c r="J132" s="143"/>
      <c r="K132" s="37"/>
      <c r="L132" s="37"/>
      <c r="M132" s="479"/>
      <c r="N132" s="37"/>
      <c r="O132" s="37"/>
      <c r="P132" s="37"/>
      <c r="Q132" s="479"/>
      <c r="R132" s="143"/>
      <c r="S132" s="76"/>
      <c r="T132" s="36"/>
      <c r="U132" s="479"/>
      <c r="V132" s="41"/>
      <c r="W132" s="43"/>
      <c r="X132" s="43"/>
      <c r="Y132" s="479"/>
      <c r="Z132" s="144"/>
      <c r="AA132" s="42"/>
      <c r="AB132" s="42"/>
      <c r="AC132" s="479"/>
      <c r="AD132" s="144"/>
      <c r="AE132" s="42"/>
      <c r="AF132" s="42"/>
      <c r="AG132" s="479"/>
      <c r="AH132" s="144"/>
      <c r="AI132" s="42"/>
      <c r="AJ132" s="42"/>
      <c r="AK132" s="479"/>
      <c r="AL132" s="144"/>
      <c r="AM132" s="42"/>
      <c r="AN132" s="42"/>
      <c r="AO132" s="479"/>
      <c r="AP132" s="42"/>
      <c r="AQ132" s="42"/>
      <c r="AR132" s="42"/>
      <c r="AS132" s="479"/>
      <c r="AT132" s="144"/>
      <c r="AU132" s="42"/>
      <c r="AV132" s="42"/>
      <c r="AW132" s="479"/>
      <c r="AX132" s="144"/>
      <c r="AY132" s="42"/>
      <c r="AZ132" s="42"/>
      <c r="BA132" s="479"/>
      <c r="BB132" s="42"/>
      <c r="BC132" s="42"/>
      <c r="BD132" s="42"/>
      <c r="BE132" s="479"/>
      <c r="BF132" s="42"/>
      <c r="BG132" s="42">
        <f t="shared" si="594"/>
        <v>34</v>
      </c>
      <c r="BH132" s="42">
        <f t="shared" si="594"/>
        <v>68</v>
      </c>
      <c r="BI132" s="479">
        <f t="shared" si="594"/>
        <v>23</v>
      </c>
      <c r="BJ132" s="1001"/>
      <c r="BK132" s="42">
        <f t="shared" si="595"/>
        <v>2</v>
      </c>
      <c r="BL132" s="42">
        <f t="shared" si="596"/>
        <v>51</v>
      </c>
      <c r="BM132" s="42">
        <f t="shared" si="596"/>
        <v>48</v>
      </c>
      <c r="BN132" s="479">
        <f t="shared" si="596"/>
        <v>191</v>
      </c>
      <c r="BO132" s="1001">
        <f t="shared" si="614"/>
        <v>292</v>
      </c>
      <c r="BP132" s="42">
        <f t="shared" si="597"/>
        <v>148</v>
      </c>
      <c r="BQ132" s="42">
        <f t="shared" si="598"/>
        <v>218</v>
      </c>
      <c r="BR132" s="42">
        <f t="shared" si="598"/>
        <v>87</v>
      </c>
      <c r="BS132" s="479">
        <f t="shared" si="598"/>
        <v>255</v>
      </c>
      <c r="BT132" s="1001">
        <f t="shared" si="615"/>
        <v>708</v>
      </c>
      <c r="BU132" s="42">
        <f t="shared" si="599"/>
        <v>251</v>
      </c>
      <c r="BV132" s="42">
        <f t="shared" si="600"/>
        <v>111</v>
      </c>
      <c r="BW132" s="42">
        <f t="shared" si="600"/>
        <v>362</v>
      </c>
      <c r="BX132" s="479">
        <f t="shared" si="600"/>
        <v>115</v>
      </c>
      <c r="BY132" s="1001">
        <f t="shared" si="616"/>
        <v>839</v>
      </c>
      <c r="BZ132" s="42">
        <f t="shared" si="601"/>
        <v>171</v>
      </c>
      <c r="CA132" s="42">
        <f t="shared" si="602"/>
        <v>449</v>
      </c>
      <c r="CB132" s="42">
        <f t="shared" si="602"/>
        <v>173</v>
      </c>
      <c r="CC132" s="479">
        <f t="shared" si="602"/>
        <v>288</v>
      </c>
      <c r="CD132" s="1001">
        <f t="shared" si="617"/>
        <v>1081</v>
      </c>
      <c r="CE132" s="42">
        <f t="shared" si="603"/>
        <v>224</v>
      </c>
      <c r="CF132" s="42">
        <f t="shared" si="604"/>
        <v>38</v>
      </c>
      <c r="CG132" s="42">
        <f t="shared" si="604"/>
        <v>446</v>
      </c>
      <c r="CH132" s="479">
        <f t="shared" si="604"/>
        <v>106</v>
      </c>
      <c r="CI132" s="1001">
        <f t="shared" si="618"/>
        <v>814</v>
      </c>
      <c r="CJ132" s="42">
        <f t="shared" si="605"/>
        <v>294</v>
      </c>
      <c r="CK132" s="42">
        <f t="shared" si="606"/>
        <v>78</v>
      </c>
      <c r="CL132" s="42">
        <f t="shared" si="606"/>
        <v>164</v>
      </c>
      <c r="CM132" s="479">
        <f t="shared" si="606"/>
        <v>464</v>
      </c>
      <c r="CN132" s="1255">
        <f t="shared" si="619"/>
        <v>1000</v>
      </c>
      <c r="CO132" s="226">
        <f t="shared" si="607"/>
        <v>451</v>
      </c>
      <c r="CP132" s="226">
        <f t="shared" si="608"/>
        <v>161</v>
      </c>
      <c r="CQ132" s="226">
        <f t="shared" si="608"/>
        <v>381</v>
      </c>
      <c r="CR132" s="840">
        <f t="shared" si="608"/>
        <v>213</v>
      </c>
      <c r="CS132" s="1255">
        <f t="shared" si="620"/>
        <v>1206</v>
      </c>
      <c r="CT132" s="226">
        <f t="shared" si="609"/>
        <v>273</v>
      </c>
      <c r="CU132" s="226">
        <f t="shared" si="610"/>
        <v>162</v>
      </c>
      <c r="CV132" s="226">
        <f t="shared" si="610"/>
        <v>440</v>
      </c>
      <c r="CW132" s="840">
        <f t="shared" si="610"/>
        <v>755</v>
      </c>
      <c r="CX132" s="1255">
        <f t="shared" si="621"/>
        <v>1630</v>
      </c>
      <c r="CY132" s="226">
        <f t="shared" si="611"/>
        <v>766</v>
      </c>
      <c r="CZ132" s="226">
        <f t="shared" si="612"/>
        <v>80</v>
      </c>
      <c r="DA132" s="226">
        <f t="shared" si="612"/>
        <v>70</v>
      </c>
      <c r="DB132" s="840">
        <f t="shared" si="612"/>
        <v>513</v>
      </c>
      <c r="DC132" s="1255">
        <f t="shared" si="622"/>
        <v>1429</v>
      </c>
      <c r="DD132" s="226">
        <f t="shared" si="612"/>
        <v>436</v>
      </c>
      <c r="DE132" s="226">
        <f t="shared" si="612"/>
        <v>275</v>
      </c>
      <c r="DF132" s="226">
        <f t="shared" si="612"/>
        <v>155</v>
      </c>
      <c r="DG132" s="840">
        <f t="shared" si="613"/>
        <v>-16</v>
      </c>
      <c r="DH132" s="1255">
        <f t="shared" si="623"/>
        <v>850</v>
      </c>
      <c r="DI132" s="226">
        <f t="shared" si="613"/>
        <v>151</v>
      </c>
      <c r="DJ132" s="226">
        <f t="shared" si="613"/>
        <v>434</v>
      </c>
      <c r="DK132" s="226">
        <f t="shared" si="613"/>
        <v>458</v>
      </c>
      <c r="DL132" s="479"/>
      <c r="DM132" s="1001"/>
      <c r="DN132" s="42"/>
      <c r="DO132" s="42"/>
      <c r="DP132" s="42"/>
      <c r="DQ132" s="42"/>
      <c r="DR132" s="1001"/>
      <c r="DS132" s="42"/>
      <c r="DT132" s="42"/>
      <c r="DU132" s="42"/>
      <c r="DV132" s="42"/>
      <c r="DW132" s="1001"/>
      <c r="DX132" s="871"/>
      <c r="DY132" s="871"/>
      <c r="DZ132" s="871"/>
      <c r="EA132" s="871"/>
      <c r="EC132" s="3683"/>
      <c r="ED132" s="3683"/>
    </row>
    <row r="133" spans="1:134" ht="11.25" hidden="1" customHeight="1" outlineLevel="1">
      <c r="A133" s="1601" t="s">
        <v>582</v>
      </c>
      <c r="B133" s="36"/>
      <c r="C133" s="36"/>
      <c r="D133" s="36"/>
      <c r="E133" s="479"/>
      <c r="F133" s="36"/>
      <c r="G133" s="36"/>
      <c r="H133" s="36"/>
      <c r="I133" s="479"/>
      <c r="J133" s="143"/>
      <c r="K133" s="37"/>
      <c r="L133" s="37"/>
      <c r="M133" s="479"/>
      <c r="N133" s="37"/>
      <c r="O133" s="37"/>
      <c r="P133" s="37"/>
      <c r="Q133" s="479"/>
      <c r="R133" s="143"/>
      <c r="S133" s="76"/>
      <c r="T133" s="36"/>
      <c r="U133" s="479"/>
      <c r="V133" s="41"/>
      <c r="W133" s="43"/>
      <c r="X133" s="43"/>
      <c r="Y133" s="479"/>
      <c r="Z133" s="144"/>
      <c r="AA133" s="42"/>
      <c r="AB133" s="42"/>
      <c r="AC133" s="479"/>
      <c r="AD133" s="144"/>
      <c r="AE133" s="42"/>
      <c r="AF133" s="42"/>
      <c r="AG133" s="479"/>
      <c r="AH133" s="144"/>
      <c r="AI133" s="42"/>
      <c r="AJ133" s="42"/>
      <c r="AK133" s="479"/>
      <c r="AL133" s="144"/>
      <c r="AM133" s="42"/>
      <c r="AN133" s="42"/>
      <c r="AO133" s="479"/>
      <c r="AP133" s="42"/>
      <c r="AQ133" s="42"/>
      <c r="AR133" s="42"/>
      <c r="AS133" s="479"/>
      <c r="AT133" s="144"/>
      <c r="AU133" s="42"/>
      <c r="AV133" s="42"/>
      <c r="AW133" s="479"/>
      <c r="AX133" s="144"/>
      <c r="AY133" s="42"/>
      <c r="AZ133" s="42"/>
      <c r="BA133" s="479"/>
      <c r="BB133" s="42"/>
      <c r="BC133" s="42"/>
      <c r="BD133" s="42"/>
      <c r="BE133" s="479"/>
      <c r="BF133" s="42"/>
      <c r="BG133" s="42">
        <f t="shared" si="594"/>
        <v>1</v>
      </c>
      <c r="BH133" s="42">
        <f t="shared" si="594"/>
        <v>2</v>
      </c>
      <c r="BI133" s="479">
        <f t="shared" si="594"/>
        <v>-2</v>
      </c>
      <c r="BJ133" s="1001"/>
      <c r="BK133" s="42">
        <f t="shared" si="595"/>
        <v>2</v>
      </c>
      <c r="BL133" s="42">
        <f t="shared" si="596"/>
        <v>1</v>
      </c>
      <c r="BM133" s="42">
        <f t="shared" si="596"/>
        <v>-1</v>
      </c>
      <c r="BN133" s="479">
        <f t="shared" si="596"/>
        <v>0</v>
      </c>
      <c r="BO133" s="1001">
        <f t="shared" si="614"/>
        <v>2</v>
      </c>
      <c r="BP133" s="42">
        <f t="shared" si="597"/>
        <v>-1</v>
      </c>
      <c r="BQ133" s="42">
        <f t="shared" si="598"/>
        <v>2</v>
      </c>
      <c r="BR133" s="42">
        <f t="shared" si="598"/>
        <v>1</v>
      </c>
      <c r="BS133" s="479">
        <f t="shared" si="598"/>
        <v>2</v>
      </c>
      <c r="BT133" s="1001">
        <f t="shared" si="615"/>
        <v>4</v>
      </c>
      <c r="BU133" s="42">
        <f t="shared" si="599"/>
        <v>1</v>
      </c>
      <c r="BV133" s="42">
        <f t="shared" si="600"/>
        <v>0</v>
      </c>
      <c r="BW133" s="42">
        <f t="shared" si="600"/>
        <v>1</v>
      </c>
      <c r="BX133" s="479">
        <f t="shared" si="600"/>
        <v>-27</v>
      </c>
      <c r="BY133" s="1001">
        <f t="shared" si="616"/>
        <v>-25</v>
      </c>
      <c r="BZ133" s="42">
        <f t="shared" si="601"/>
        <v>-11</v>
      </c>
      <c r="CA133" s="42">
        <f t="shared" si="602"/>
        <v>1</v>
      </c>
      <c r="CB133" s="42">
        <f t="shared" si="602"/>
        <v>1</v>
      </c>
      <c r="CC133" s="479">
        <f t="shared" si="602"/>
        <v>-1</v>
      </c>
      <c r="CD133" s="1001">
        <f t="shared" si="617"/>
        <v>-10</v>
      </c>
      <c r="CE133" s="42">
        <f t="shared" si="603"/>
        <v>2</v>
      </c>
      <c r="CF133" s="42">
        <f t="shared" si="604"/>
        <v>-2</v>
      </c>
      <c r="CG133" s="42">
        <f t="shared" si="604"/>
        <v>2</v>
      </c>
      <c r="CH133" s="479">
        <f t="shared" si="604"/>
        <v>11</v>
      </c>
      <c r="CI133" s="1001">
        <f t="shared" si="618"/>
        <v>13</v>
      </c>
      <c r="CJ133" s="42">
        <f t="shared" si="605"/>
        <v>15</v>
      </c>
      <c r="CK133" s="42">
        <f t="shared" si="606"/>
        <v>34</v>
      </c>
      <c r="CL133" s="42">
        <f t="shared" si="606"/>
        <v>35</v>
      </c>
      <c r="CM133" s="479">
        <f t="shared" si="606"/>
        <v>11</v>
      </c>
      <c r="CN133" s="1255">
        <f t="shared" si="619"/>
        <v>95</v>
      </c>
      <c r="CO133" s="226">
        <f t="shared" si="607"/>
        <v>27</v>
      </c>
      <c r="CP133" s="226">
        <f t="shared" si="608"/>
        <v>14</v>
      </c>
      <c r="CQ133" s="226">
        <f t="shared" si="608"/>
        <v>2</v>
      </c>
      <c r="CR133" s="840">
        <f t="shared" si="608"/>
        <v>-2</v>
      </c>
      <c r="CS133" s="1255">
        <f t="shared" si="620"/>
        <v>41</v>
      </c>
      <c r="CT133" s="226">
        <f t="shared" si="609"/>
        <v>1</v>
      </c>
      <c r="CU133" s="226">
        <f t="shared" si="610"/>
        <v>3</v>
      </c>
      <c r="CV133" s="226">
        <f t="shared" si="610"/>
        <v>1</v>
      </c>
      <c r="CW133" s="840">
        <f t="shared" si="610"/>
        <v>6</v>
      </c>
      <c r="CX133" s="1255">
        <f t="shared" si="621"/>
        <v>11</v>
      </c>
      <c r="CY133" s="226">
        <f t="shared" si="611"/>
        <v>5</v>
      </c>
      <c r="CZ133" s="226">
        <f t="shared" si="612"/>
        <v>54</v>
      </c>
      <c r="DA133" s="226">
        <f t="shared" si="612"/>
        <v>30</v>
      </c>
      <c r="DB133" s="840">
        <f t="shared" si="612"/>
        <v>17</v>
      </c>
      <c r="DC133" s="1255">
        <f t="shared" si="622"/>
        <v>106</v>
      </c>
      <c r="DD133" s="226">
        <f t="shared" si="612"/>
        <v>12</v>
      </c>
      <c r="DE133" s="226">
        <f t="shared" si="612"/>
        <v>12</v>
      </c>
      <c r="DF133" s="226">
        <f t="shared" si="612"/>
        <v>86</v>
      </c>
      <c r="DG133" s="840">
        <f t="shared" si="613"/>
        <v>48</v>
      </c>
      <c r="DH133" s="1255">
        <f t="shared" si="623"/>
        <v>158</v>
      </c>
      <c r="DI133" s="226">
        <f t="shared" si="613"/>
        <v>62</v>
      </c>
      <c r="DJ133" s="226">
        <f t="shared" si="613"/>
        <v>50</v>
      </c>
      <c r="DK133" s="226">
        <f t="shared" si="613"/>
        <v>41</v>
      </c>
      <c r="DL133" s="479"/>
      <c r="DM133" s="1001"/>
      <c r="DN133" s="42"/>
      <c r="DO133" s="42"/>
      <c r="DP133" s="42"/>
      <c r="DQ133" s="42"/>
      <c r="DR133" s="1001"/>
      <c r="DS133" s="42"/>
      <c r="DT133" s="42"/>
      <c r="DU133" s="42"/>
      <c r="DV133" s="42"/>
      <c r="DW133" s="1001"/>
      <c r="DX133" s="871"/>
      <c r="DY133" s="871"/>
      <c r="DZ133" s="871"/>
      <c r="EA133" s="871"/>
      <c r="EC133" s="3683"/>
      <c r="ED133" s="3683"/>
    </row>
    <row r="134" spans="1:134" ht="11.25" hidden="1" customHeight="1" outlineLevel="1">
      <c r="A134" s="1860" t="s">
        <v>583</v>
      </c>
      <c r="B134" s="1861"/>
      <c r="C134" s="1861"/>
      <c r="D134" s="1861"/>
      <c r="E134" s="1862"/>
      <c r="F134" s="1861"/>
      <c r="G134" s="1861"/>
      <c r="H134" s="1861"/>
      <c r="I134" s="1862"/>
      <c r="J134" s="1863"/>
      <c r="K134" s="1864"/>
      <c r="L134" s="1864"/>
      <c r="M134" s="1862"/>
      <c r="N134" s="1864"/>
      <c r="O134" s="1864"/>
      <c r="P134" s="1864"/>
      <c r="Q134" s="1862"/>
      <c r="R134" s="1863"/>
      <c r="S134" s="1865"/>
      <c r="T134" s="1861"/>
      <c r="U134" s="1862"/>
      <c r="V134" s="1866"/>
      <c r="W134" s="1867"/>
      <c r="X134" s="1867"/>
      <c r="Y134" s="1862"/>
      <c r="Z134" s="1868"/>
      <c r="AA134" s="1869"/>
      <c r="AB134" s="1869"/>
      <c r="AC134" s="1862"/>
      <c r="AD134" s="1868"/>
      <c r="AE134" s="1869"/>
      <c r="AF134" s="1869"/>
      <c r="AG134" s="1862"/>
      <c r="AH134" s="1868"/>
      <c r="AI134" s="1869"/>
      <c r="AJ134" s="1869"/>
      <c r="AK134" s="1862"/>
      <c r="AL134" s="1868"/>
      <c r="AM134" s="1869"/>
      <c r="AN134" s="1869"/>
      <c r="AO134" s="1862"/>
      <c r="AP134" s="1869"/>
      <c r="AQ134" s="1869"/>
      <c r="AR134" s="1869"/>
      <c r="AS134" s="1862"/>
      <c r="AT134" s="1868"/>
      <c r="AU134" s="1869"/>
      <c r="AV134" s="1869"/>
      <c r="AW134" s="1862"/>
      <c r="AX134" s="1868"/>
      <c r="AY134" s="1869"/>
      <c r="AZ134" s="1869"/>
      <c r="BA134" s="1862"/>
      <c r="BB134" s="1869"/>
      <c r="BC134" s="1869"/>
      <c r="BD134" s="1869"/>
      <c r="BE134" s="1862"/>
      <c r="BF134" s="1869"/>
      <c r="BG134" s="1869">
        <f t="shared" si="594"/>
        <v>995</v>
      </c>
      <c r="BH134" s="1869">
        <f t="shared" si="594"/>
        <v>2467</v>
      </c>
      <c r="BI134" s="1862">
        <f t="shared" si="594"/>
        <v>2115</v>
      </c>
      <c r="BJ134" s="1870"/>
      <c r="BK134" s="1869">
        <f t="shared" si="595"/>
        <v>1882</v>
      </c>
      <c r="BL134" s="1869">
        <f t="shared" si="596"/>
        <v>1855</v>
      </c>
      <c r="BM134" s="1869">
        <f t="shared" si="596"/>
        <v>1718</v>
      </c>
      <c r="BN134" s="1862">
        <f t="shared" si="596"/>
        <v>3454</v>
      </c>
      <c r="BO134" s="1870">
        <f t="shared" si="614"/>
        <v>8909</v>
      </c>
      <c r="BP134" s="1869">
        <f t="shared" si="597"/>
        <v>2097</v>
      </c>
      <c r="BQ134" s="1869">
        <f t="shared" si="598"/>
        <v>2269</v>
      </c>
      <c r="BR134" s="1869">
        <f t="shared" si="598"/>
        <v>1796</v>
      </c>
      <c r="BS134" s="1862">
        <f t="shared" si="598"/>
        <v>1238</v>
      </c>
      <c r="BT134" s="1870">
        <f t="shared" si="615"/>
        <v>7400</v>
      </c>
      <c r="BU134" s="1869">
        <f t="shared" si="599"/>
        <v>1849</v>
      </c>
      <c r="BV134" s="1869">
        <f t="shared" si="600"/>
        <v>1909</v>
      </c>
      <c r="BW134" s="1869">
        <f t="shared" si="600"/>
        <v>2190</v>
      </c>
      <c r="BX134" s="1862">
        <f t="shared" si="600"/>
        <v>1433</v>
      </c>
      <c r="BY134" s="1870">
        <f t="shared" si="616"/>
        <v>7381</v>
      </c>
      <c r="BZ134" s="1869">
        <f t="shared" si="601"/>
        <v>2794</v>
      </c>
      <c r="CA134" s="1869">
        <f t="shared" si="602"/>
        <v>3020</v>
      </c>
      <c r="CB134" s="1869">
        <f t="shared" si="602"/>
        <v>3017</v>
      </c>
      <c r="CC134" s="1862">
        <f t="shared" si="602"/>
        <v>3289</v>
      </c>
      <c r="CD134" s="1870">
        <f t="shared" si="617"/>
        <v>12120</v>
      </c>
      <c r="CE134" s="1869">
        <f t="shared" si="603"/>
        <v>8154</v>
      </c>
      <c r="CF134" s="1869">
        <f t="shared" si="604"/>
        <v>4075</v>
      </c>
      <c r="CG134" s="1869">
        <f t="shared" si="604"/>
        <v>5252</v>
      </c>
      <c r="CH134" s="1862">
        <f t="shared" si="604"/>
        <v>5379</v>
      </c>
      <c r="CI134" s="1870">
        <f t="shared" si="618"/>
        <v>22860</v>
      </c>
      <c r="CJ134" s="1869">
        <f t="shared" si="605"/>
        <v>2751</v>
      </c>
      <c r="CK134" s="1869">
        <f t="shared" si="606"/>
        <v>6172</v>
      </c>
      <c r="CL134" s="1869">
        <f t="shared" si="606"/>
        <v>5975</v>
      </c>
      <c r="CM134" s="1862">
        <f t="shared" si="606"/>
        <v>6802</v>
      </c>
      <c r="CN134" s="5941">
        <f t="shared" si="619"/>
        <v>21700</v>
      </c>
      <c r="CO134" s="5942">
        <f t="shared" si="607"/>
        <v>5477</v>
      </c>
      <c r="CP134" s="5942">
        <f t="shared" si="608"/>
        <v>4608</v>
      </c>
      <c r="CQ134" s="5942">
        <f t="shared" si="608"/>
        <v>5995</v>
      </c>
      <c r="CR134" s="5945">
        <f t="shared" si="608"/>
        <v>6175</v>
      </c>
      <c r="CS134" s="5941">
        <f t="shared" si="620"/>
        <v>22255</v>
      </c>
      <c r="CT134" s="5942">
        <f t="shared" si="609"/>
        <v>4496</v>
      </c>
      <c r="CU134" s="5942">
        <f t="shared" si="610"/>
        <v>6117</v>
      </c>
      <c r="CV134" s="5942">
        <f t="shared" si="610"/>
        <v>4829</v>
      </c>
      <c r="CW134" s="5945">
        <f t="shared" si="610"/>
        <v>5109</v>
      </c>
      <c r="CX134" s="5941">
        <f t="shared" si="621"/>
        <v>20551</v>
      </c>
      <c r="CY134" s="5942">
        <f t="shared" si="611"/>
        <v>9164</v>
      </c>
      <c r="CZ134" s="5942">
        <f t="shared" si="612"/>
        <v>4081</v>
      </c>
      <c r="DA134" s="5942">
        <f t="shared" si="612"/>
        <v>3617</v>
      </c>
      <c r="DB134" s="5945">
        <f t="shared" si="612"/>
        <v>7835</v>
      </c>
      <c r="DC134" s="5941">
        <f t="shared" si="622"/>
        <v>24697</v>
      </c>
      <c r="DD134" s="5942">
        <f t="shared" si="612"/>
        <v>6725</v>
      </c>
      <c r="DE134" s="5942">
        <f t="shared" si="612"/>
        <v>5690</v>
      </c>
      <c r="DF134" s="3993">
        <f t="shared" si="612"/>
        <v>6330</v>
      </c>
      <c r="DG134" s="5945">
        <f t="shared" si="613"/>
        <v>11348</v>
      </c>
      <c r="DH134" s="5941">
        <f t="shared" si="623"/>
        <v>30093</v>
      </c>
      <c r="DI134" s="3993">
        <f t="shared" si="613"/>
        <v>11383</v>
      </c>
      <c r="DJ134" s="5942">
        <f t="shared" si="613"/>
        <v>10785</v>
      </c>
      <c r="DK134" s="3993">
        <f t="shared" si="613"/>
        <v>14169</v>
      </c>
      <c r="DL134" s="1862"/>
      <c r="DM134" s="1870"/>
      <c r="DN134" s="1869"/>
      <c r="DO134" s="1869"/>
      <c r="DP134" s="1869"/>
      <c r="DQ134" s="1869"/>
      <c r="DR134" s="1870"/>
      <c r="DS134" s="1869"/>
      <c r="DT134" s="1869"/>
      <c r="DU134" s="1869"/>
      <c r="DV134" s="1869"/>
      <c r="DW134" s="1870"/>
      <c r="DX134" s="1870"/>
      <c r="DY134" s="1870"/>
      <c r="DZ134" s="1870"/>
      <c r="EA134" s="1870"/>
      <c r="EC134" s="3683"/>
      <c r="ED134" s="3683"/>
    </row>
    <row r="135" spans="1:134" ht="11.25" hidden="1" customHeight="1" outlineLevel="1">
      <c r="A135" s="1601" t="s">
        <v>584</v>
      </c>
      <c r="B135" s="36"/>
      <c r="C135" s="36"/>
      <c r="D135" s="36"/>
      <c r="E135" s="479"/>
      <c r="F135" s="36"/>
      <c r="G135" s="36"/>
      <c r="H135" s="36"/>
      <c r="I135" s="479"/>
      <c r="J135" s="143"/>
      <c r="K135" s="37"/>
      <c r="L135" s="37"/>
      <c r="M135" s="479"/>
      <c r="N135" s="37"/>
      <c r="O135" s="37"/>
      <c r="P135" s="37"/>
      <c r="Q135" s="479"/>
      <c r="R135" s="143"/>
      <c r="S135" s="76"/>
      <c r="T135" s="36"/>
      <c r="U135" s="479"/>
      <c r="V135" s="41"/>
      <c r="W135" s="43"/>
      <c r="X135" s="43"/>
      <c r="Y135" s="479"/>
      <c r="Z135" s="144"/>
      <c r="AA135" s="42"/>
      <c r="AB135" s="42"/>
      <c r="AC135" s="479"/>
      <c r="AD135" s="144"/>
      <c r="AE135" s="42"/>
      <c r="AF135" s="42"/>
      <c r="AG135" s="479"/>
      <c r="AH135" s="144"/>
      <c r="AI135" s="42"/>
      <c r="AJ135" s="42"/>
      <c r="AK135" s="479"/>
      <c r="AL135" s="144"/>
      <c r="AM135" s="42"/>
      <c r="AN135" s="42"/>
      <c r="AO135" s="479"/>
      <c r="AP135" s="42"/>
      <c r="AQ135" s="42"/>
      <c r="AR135" s="42"/>
      <c r="AS135" s="479"/>
      <c r="AT135" s="144"/>
      <c r="AU135" s="42"/>
      <c r="AV135" s="42"/>
      <c r="AW135" s="479"/>
      <c r="AX135" s="144"/>
      <c r="AY135" s="42"/>
      <c r="AZ135" s="42"/>
      <c r="BA135" s="479"/>
      <c r="BB135" s="42"/>
      <c r="BC135" s="42"/>
      <c r="BD135" s="42"/>
      <c r="BE135" s="479"/>
      <c r="BF135" s="42"/>
      <c r="BG135" s="42">
        <f t="shared" si="594"/>
        <v>-383</v>
      </c>
      <c r="BH135" s="42">
        <f t="shared" si="594"/>
        <v>-512</v>
      </c>
      <c r="BI135" s="479">
        <f t="shared" si="594"/>
        <v>-458</v>
      </c>
      <c r="BJ135" s="1001"/>
      <c r="BK135" s="42">
        <f t="shared" si="595"/>
        <v>-529</v>
      </c>
      <c r="BL135" s="42">
        <f t="shared" si="596"/>
        <v>-246</v>
      </c>
      <c r="BM135" s="42">
        <f t="shared" si="596"/>
        <v>-223</v>
      </c>
      <c r="BN135" s="479">
        <f t="shared" si="596"/>
        <v>-552</v>
      </c>
      <c r="BO135" s="1001">
        <f t="shared" si="614"/>
        <v>-1550</v>
      </c>
      <c r="BP135" s="42">
        <f t="shared" si="597"/>
        <v>-532</v>
      </c>
      <c r="BQ135" s="42">
        <f t="shared" si="598"/>
        <v>-709</v>
      </c>
      <c r="BR135" s="42">
        <f t="shared" si="598"/>
        <v>-466</v>
      </c>
      <c r="BS135" s="479">
        <f t="shared" si="598"/>
        <v>-560</v>
      </c>
      <c r="BT135" s="1001">
        <f t="shared" si="615"/>
        <v>-2267</v>
      </c>
      <c r="BU135" s="42">
        <f t="shared" si="599"/>
        <v>-703</v>
      </c>
      <c r="BV135" s="42">
        <f t="shared" si="600"/>
        <v>-658</v>
      </c>
      <c r="BW135" s="42">
        <f t="shared" si="600"/>
        <v>-850</v>
      </c>
      <c r="BX135" s="479">
        <f t="shared" si="600"/>
        <v>48</v>
      </c>
      <c r="BY135" s="1001">
        <f t="shared" si="616"/>
        <v>-2163</v>
      </c>
      <c r="BZ135" s="42">
        <f t="shared" si="601"/>
        <v>-1092</v>
      </c>
      <c r="CA135" s="42">
        <f t="shared" si="602"/>
        <v>-1280</v>
      </c>
      <c r="CB135" s="42">
        <f t="shared" si="602"/>
        <v>-573</v>
      </c>
      <c r="CC135" s="479">
        <f t="shared" si="602"/>
        <v>-1026</v>
      </c>
      <c r="CD135" s="1001">
        <f t="shared" si="617"/>
        <v>-3971</v>
      </c>
      <c r="CE135" s="42">
        <f t="shared" si="603"/>
        <v>-1692</v>
      </c>
      <c r="CF135" s="42">
        <f t="shared" si="604"/>
        <v>-1248</v>
      </c>
      <c r="CG135" s="42">
        <f t="shared" si="604"/>
        <v>-1624</v>
      </c>
      <c r="CH135" s="479">
        <f t="shared" si="604"/>
        <v>-960</v>
      </c>
      <c r="CI135" s="1001">
        <f t="shared" si="618"/>
        <v>-5524</v>
      </c>
      <c r="CJ135" s="42">
        <f t="shared" si="605"/>
        <v>-1942</v>
      </c>
      <c r="CK135" s="42">
        <f t="shared" si="606"/>
        <v>-1809</v>
      </c>
      <c r="CL135" s="42">
        <f t="shared" si="606"/>
        <v>-1614</v>
      </c>
      <c r="CM135" s="479">
        <f t="shared" si="606"/>
        <v>-2408</v>
      </c>
      <c r="CN135" s="1255">
        <f t="shared" si="619"/>
        <v>-7773</v>
      </c>
      <c r="CO135" s="226">
        <f t="shared" si="607"/>
        <v>-2376</v>
      </c>
      <c r="CP135" s="226">
        <f t="shared" si="608"/>
        <v>-2607</v>
      </c>
      <c r="CQ135" s="226">
        <f t="shared" si="608"/>
        <v>-3107</v>
      </c>
      <c r="CR135" s="840">
        <f t="shared" si="608"/>
        <v>-3062</v>
      </c>
      <c r="CS135" s="1255">
        <f t="shared" si="620"/>
        <v>-11152</v>
      </c>
      <c r="CT135" s="226">
        <f t="shared" si="609"/>
        <v>-1639</v>
      </c>
      <c r="CU135" s="226">
        <f t="shared" si="610"/>
        <v>-2026</v>
      </c>
      <c r="CV135" s="226">
        <f t="shared" si="610"/>
        <v>-1895</v>
      </c>
      <c r="CW135" s="840">
        <f t="shared" si="610"/>
        <v>-2141</v>
      </c>
      <c r="CX135" s="1255">
        <f t="shared" si="621"/>
        <v>-7701</v>
      </c>
      <c r="CY135" s="226">
        <f t="shared" si="611"/>
        <v>-2545</v>
      </c>
      <c r="CZ135" s="226">
        <f t="shared" si="612"/>
        <v>-2076</v>
      </c>
      <c r="DA135" s="226">
        <f t="shared" si="612"/>
        <v>-1477</v>
      </c>
      <c r="DB135" s="840">
        <f t="shared" si="612"/>
        <v>-3530</v>
      </c>
      <c r="DC135" s="1255">
        <f t="shared" si="622"/>
        <v>-9628</v>
      </c>
      <c r="DD135" s="226">
        <f t="shared" si="612"/>
        <v>-1833</v>
      </c>
      <c r="DE135" s="226">
        <f t="shared" si="612"/>
        <v>-2042</v>
      </c>
      <c r="DF135" s="226">
        <f t="shared" si="612"/>
        <v>-1833</v>
      </c>
      <c r="DG135" s="840">
        <f t="shared" si="613"/>
        <v>-2708</v>
      </c>
      <c r="DH135" s="1255">
        <f t="shared" si="623"/>
        <v>-8416</v>
      </c>
      <c r="DI135" s="226">
        <f t="shared" si="613"/>
        <v>-2546</v>
      </c>
      <c r="DJ135" s="226">
        <f t="shared" si="613"/>
        <v>-2812</v>
      </c>
      <c r="DK135" s="226">
        <f t="shared" si="613"/>
        <v>-4054</v>
      </c>
      <c r="DL135" s="479"/>
      <c r="DM135" s="1001"/>
      <c r="DN135" s="42"/>
      <c r="DO135" s="42"/>
      <c r="DP135" s="42"/>
      <c r="DQ135" s="42"/>
      <c r="DR135" s="1001"/>
      <c r="DS135" s="42"/>
      <c r="DT135" s="42"/>
      <c r="DU135" s="42"/>
      <c r="DV135" s="42"/>
      <c r="DW135" s="1001"/>
      <c r="DX135" s="871"/>
      <c r="DY135" s="871"/>
      <c r="DZ135" s="871"/>
      <c r="EA135" s="871"/>
      <c r="EC135" s="3683"/>
      <c r="ED135" s="3683"/>
    </row>
    <row r="136" spans="1:134" ht="11.25" hidden="1" customHeight="1" outlineLevel="1">
      <c r="A136" s="1860" t="s">
        <v>585</v>
      </c>
      <c r="B136" s="1861"/>
      <c r="C136" s="1861"/>
      <c r="D136" s="1861"/>
      <c r="E136" s="1862"/>
      <c r="F136" s="1861"/>
      <c r="G136" s="1861"/>
      <c r="H136" s="1861"/>
      <c r="I136" s="1862"/>
      <c r="J136" s="1871"/>
      <c r="K136" s="1864"/>
      <c r="L136" s="1864"/>
      <c r="M136" s="1862"/>
      <c r="N136" s="1864"/>
      <c r="O136" s="1864"/>
      <c r="P136" s="1864"/>
      <c r="Q136" s="1862"/>
      <c r="R136" s="1871"/>
      <c r="S136" s="1865"/>
      <c r="T136" s="1861"/>
      <c r="U136" s="1862"/>
      <c r="V136" s="1872"/>
      <c r="W136" s="1867"/>
      <c r="X136" s="1867"/>
      <c r="Y136" s="1862"/>
      <c r="Z136" s="1873"/>
      <c r="AA136" s="1869"/>
      <c r="AB136" s="1869"/>
      <c r="AC136" s="1862"/>
      <c r="AD136" s="1873"/>
      <c r="AE136" s="1869"/>
      <c r="AF136" s="1869"/>
      <c r="AG136" s="1862"/>
      <c r="AH136" s="1873"/>
      <c r="AI136" s="1869"/>
      <c r="AJ136" s="1869"/>
      <c r="AK136" s="1862"/>
      <c r="AL136" s="1873"/>
      <c r="AM136" s="1869"/>
      <c r="AN136" s="1869"/>
      <c r="AO136" s="1862"/>
      <c r="AP136" s="1869"/>
      <c r="AQ136" s="1869"/>
      <c r="AR136" s="1869"/>
      <c r="AS136" s="1862"/>
      <c r="AT136" s="1873"/>
      <c r="AU136" s="1869"/>
      <c r="AV136" s="1869"/>
      <c r="AW136" s="1862"/>
      <c r="AX136" s="1873"/>
      <c r="AY136" s="1869"/>
      <c r="AZ136" s="1869"/>
      <c r="BA136" s="1862"/>
      <c r="BB136" s="1869"/>
      <c r="BC136" s="1869"/>
      <c r="BD136" s="1869"/>
      <c r="BE136" s="1862"/>
      <c r="BF136" s="1869"/>
      <c r="BG136" s="1869">
        <f t="shared" si="594"/>
        <v>612</v>
      </c>
      <c r="BH136" s="1869">
        <f t="shared" si="594"/>
        <v>1955</v>
      </c>
      <c r="BI136" s="1862">
        <f t="shared" si="594"/>
        <v>1657</v>
      </c>
      <c r="BJ136" s="1874"/>
      <c r="BK136" s="1869">
        <f t="shared" si="595"/>
        <v>1353</v>
      </c>
      <c r="BL136" s="1869">
        <f t="shared" si="596"/>
        <v>1609</v>
      </c>
      <c r="BM136" s="1869">
        <f t="shared" si="596"/>
        <v>1495</v>
      </c>
      <c r="BN136" s="1862">
        <f t="shared" si="596"/>
        <v>2902</v>
      </c>
      <c r="BO136" s="1874">
        <f t="shared" si="614"/>
        <v>7359</v>
      </c>
      <c r="BP136" s="1869">
        <f t="shared" si="597"/>
        <v>1565</v>
      </c>
      <c r="BQ136" s="1869">
        <f t="shared" si="598"/>
        <v>1560</v>
      </c>
      <c r="BR136" s="1869">
        <f t="shared" si="598"/>
        <v>1330</v>
      </c>
      <c r="BS136" s="1862">
        <f t="shared" si="598"/>
        <v>678</v>
      </c>
      <c r="BT136" s="1874">
        <f t="shared" si="615"/>
        <v>5133</v>
      </c>
      <c r="BU136" s="1869">
        <f t="shared" si="599"/>
        <v>1146</v>
      </c>
      <c r="BV136" s="1869">
        <f t="shared" si="600"/>
        <v>1251</v>
      </c>
      <c r="BW136" s="1869">
        <f t="shared" si="600"/>
        <v>1340</v>
      </c>
      <c r="BX136" s="1862">
        <f t="shared" si="600"/>
        <v>1481</v>
      </c>
      <c r="BY136" s="1874">
        <f t="shared" si="616"/>
        <v>5218</v>
      </c>
      <c r="BZ136" s="1869">
        <f t="shared" si="601"/>
        <v>1702</v>
      </c>
      <c r="CA136" s="1869">
        <f t="shared" si="602"/>
        <v>1740</v>
      </c>
      <c r="CB136" s="1869">
        <f t="shared" si="602"/>
        <v>2444</v>
      </c>
      <c r="CC136" s="1862">
        <f t="shared" si="602"/>
        <v>2263</v>
      </c>
      <c r="CD136" s="1874">
        <f t="shared" si="617"/>
        <v>8149</v>
      </c>
      <c r="CE136" s="1869">
        <f t="shared" si="603"/>
        <v>6462</v>
      </c>
      <c r="CF136" s="1869">
        <f t="shared" si="604"/>
        <v>2827</v>
      </c>
      <c r="CG136" s="1869">
        <f t="shared" si="604"/>
        <v>3628</v>
      </c>
      <c r="CH136" s="1862">
        <f t="shared" si="604"/>
        <v>4419</v>
      </c>
      <c r="CI136" s="1874">
        <f t="shared" si="618"/>
        <v>17336</v>
      </c>
      <c r="CJ136" s="1869">
        <f t="shared" si="605"/>
        <v>809</v>
      </c>
      <c r="CK136" s="1869">
        <f t="shared" si="606"/>
        <v>4363</v>
      </c>
      <c r="CL136" s="1869">
        <f t="shared" si="606"/>
        <v>4361</v>
      </c>
      <c r="CM136" s="1862">
        <f t="shared" si="606"/>
        <v>4394</v>
      </c>
      <c r="CN136" s="3692">
        <f t="shared" si="619"/>
        <v>13927</v>
      </c>
      <c r="CO136" s="5942">
        <f t="shared" si="607"/>
        <v>3101</v>
      </c>
      <c r="CP136" s="5942">
        <f t="shared" si="608"/>
        <v>2001</v>
      </c>
      <c r="CQ136" s="5942">
        <f t="shared" si="608"/>
        <v>2888</v>
      </c>
      <c r="CR136" s="5945">
        <f t="shared" si="608"/>
        <v>3113</v>
      </c>
      <c r="CS136" s="3692">
        <f t="shared" si="620"/>
        <v>11103</v>
      </c>
      <c r="CT136" s="5942">
        <f t="shared" si="609"/>
        <v>2857</v>
      </c>
      <c r="CU136" s="5942">
        <f t="shared" si="610"/>
        <v>4091</v>
      </c>
      <c r="CV136" s="5942">
        <f t="shared" si="610"/>
        <v>2934</v>
      </c>
      <c r="CW136" s="5945">
        <f t="shared" si="610"/>
        <v>2968</v>
      </c>
      <c r="CX136" s="3692">
        <f t="shared" si="621"/>
        <v>12850</v>
      </c>
      <c r="CY136" s="5942">
        <f t="shared" si="611"/>
        <v>6619</v>
      </c>
      <c r="CZ136" s="5942">
        <f t="shared" si="612"/>
        <v>2005</v>
      </c>
      <c r="DA136" s="5942">
        <f t="shared" si="612"/>
        <v>2140</v>
      </c>
      <c r="DB136" s="5945">
        <f t="shared" si="612"/>
        <v>4305</v>
      </c>
      <c r="DC136" s="3692">
        <f t="shared" si="622"/>
        <v>15069</v>
      </c>
      <c r="DD136" s="5942">
        <f t="shared" si="612"/>
        <v>4892</v>
      </c>
      <c r="DE136" s="5942">
        <f t="shared" si="612"/>
        <v>3648</v>
      </c>
      <c r="DF136" s="3993">
        <f t="shared" si="612"/>
        <v>4497</v>
      </c>
      <c r="DG136" s="5945">
        <f t="shared" si="613"/>
        <v>8640</v>
      </c>
      <c r="DH136" s="3692">
        <f t="shared" si="623"/>
        <v>21677</v>
      </c>
      <c r="DI136" s="3993">
        <f t="shared" si="613"/>
        <v>8837</v>
      </c>
      <c r="DJ136" s="5942">
        <f t="shared" si="613"/>
        <v>7973</v>
      </c>
      <c r="DK136" s="3993">
        <f t="shared" si="613"/>
        <v>10115</v>
      </c>
      <c r="DL136" s="1862"/>
      <c r="DM136" s="1874"/>
      <c r="DN136" s="1869"/>
      <c r="DO136" s="1869"/>
      <c r="DP136" s="1869"/>
      <c r="DQ136" s="1869"/>
      <c r="DR136" s="1874"/>
      <c r="DS136" s="1869"/>
      <c r="DT136" s="1869"/>
      <c r="DU136" s="1869"/>
      <c r="DV136" s="1869"/>
      <c r="DW136" s="1874"/>
      <c r="DX136" s="1874"/>
      <c r="DY136" s="1874"/>
      <c r="DZ136" s="1874"/>
      <c r="EA136" s="1874"/>
      <c r="EC136" s="3683"/>
      <c r="ED136" s="3683"/>
    </row>
    <row r="137" spans="1:134" s="287" customFormat="1" ht="11.25" hidden="1" customHeight="1" outlineLevel="1">
      <c r="A137" s="1609"/>
      <c r="B137" s="1348"/>
      <c r="C137" s="1348"/>
      <c r="D137" s="1348"/>
      <c r="E137" s="1353"/>
      <c r="F137" s="1348"/>
      <c r="G137" s="1348"/>
      <c r="H137" s="1348"/>
      <c r="I137" s="1353"/>
      <c r="J137" s="1349"/>
      <c r="K137" s="1348"/>
      <c r="L137" s="1348"/>
      <c r="M137" s="1353"/>
      <c r="N137" s="1348"/>
      <c r="O137" s="1348"/>
      <c r="P137" s="1348"/>
      <c r="Q137" s="1353"/>
      <c r="R137" s="1349"/>
      <c r="S137" s="1348"/>
      <c r="T137" s="1348"/>
      <c r="U137" s="1353"/>
      <c r="V137" s="1350"/>
      <c r="W137" s="1351"/>
      <c r="X137" s="1351"/>
      <c r="Y137" s="1353"/>
      <c r="Z137" s="1351"/>
      <c r="AA137" s="1351"/>
      <c r="AB137" s="1351"/>
      <c r="AC137" s="1353"/>
      <c r="AD137" s="1350"/>
      <c r="AE137" s="1351"/>
      <c r="AF137" s="1351"/>
      <c r="AG137" s="1353"/>
      <c r="AH137" s="1351"/>
      <c r="AI137" s="1351"/>
      <c r="AJ137" s="1351"/>
      <c r="AK137" s="1353"/>
      <c r="AL137" s="1350"/>
      <c r="AM137" s="1351"/>
      <c r="AN137" s="1351"/>
      <c r="AO137" s="1353"/>
      <c r="AP137" s="1351"/>
      <c r="AQ137" s="1351"/>
      <c r="AR137" s="1351"/>
      <c r="AS137" s="1353"/>
      <c r="AT137" s="1351"/>
      <c r="AU137" s="1351"/>
      <c r="AV137" s="1351"/>
      <c r="AW137" s="1353"/>
      <c r="AX137" s="1351"/>
      <c r="AY137" s="1351"/>
      <c r="AZ137" s="1351"/>
      <c r="BA137" s="1353"/>
      <c r="BB137" s="1351"/>
      <c r="BC137" s="1351"/>
      <c r="BD137" s="1351"/>
      <c r="BE137" s="1353"/>
      <c r="BF137" s="1351"/>
      <c r="BG137" s="1351"/>
      <c r="BH137" s="1351"/>
      <c r="BI137" s="1351"/>
      <c r="BJ137" s="1352"/>
      <c r="BK137" s="1351"/>
      <c r="BL137" s="1351"/>
      <c r="BM137" s="1351"/>
      <c r="BN137" s="1353"/>
      <c r="BO137" s="1352"/>
      <c r="BP137" s="1351"/>
      <c r="BQ137" s="1351"/>
      <c r="BR137" s="1351"/>
      <c r="BS137" s="1353"/>
      <c r="BT137" s="1352"/>
      <c r="BU137" s="1351"/>
      <c r="BV137" s="1351"/>
      <c r="BW137" s="1354"/>
      <c r="BX137" s="1354"/>
      <c r="BY137" s="1352"/>
      <c r="BZ137" s="1354"/>
      <c r="CA137" s="1354"/>
      <c r="CB137" s="1354"/>
      <c r="CC137" s="1354"/>
      <c r="CD137" s="1352"/>
      <c r="CE137" s="1354"/>
      <c r="CF137" s="1354"/>
      <c r="CG137" s="1354"/>
      <c r="CH137" s="1354"/>
      <c r="CI137" s="1355"/>
      <c r="CJ137" s="1354"/>
      <c r="CK137" s="1354"/>
      <c r="CL137" s="1354"/>
      <c r="CM137" s="1354"/>
      <c r="CN137" s="4383"/>
      <c r="CO137" s="1354"/>
      <c r="CP137" s="1354"/>
      <c r="CQ137" s="1354"/>
      <c r="CR137" s="1354"/>
      <c r="CS137" s="4383"/>
      <c r="CT137" s="1354"/>
      <c r="CU137" s="1354"/>
      <c r="CV137" s="1354"/>
      <c r="CW137" s="1354"/>
      <c r="CX137" s="4383"/>
      <c r="CY137" s="1354"/>
      <c r="CZ137" s="1354"/>
      <c r="DA137" s="1354"/>
      <c r="DB137" s="1354"/>
      <c r="DC137" s="4383"/>
      <c r="DD137" s="1354"/>
      <c r="DE137" s="1354"/>
      <c r="DF137" s="1354"/>
      <c r="DG137" s="1354"/>
      <c r="DH137" s="4383"/>
      <c r="DI137" s="1354"/>
      <c r="DJ137" s="1354"/>
      <c r="DK137" s="1354"/>
      <c r="DL137" s="1354"/>
      <c r="DM137" s="4383"/>
      <c r="DN137" s="1354"/>
      <c r="DO137" s="1354"/>
      <c r="DP137" s="1354"/>
      <c r="DQ137" s="1354"/>
      <c r="DR137" s="4383"/>
      <c r="DS137" s="1354"/>
      <c r="DT137" s="1354"/>
      <c r="DU137" s="1354"/>
      <c r="DV137" s="1354"/>
      <c r="DW137" s="4383"/>
      <c r="DX137" s="1355"/>
      <c r="DY137" s="1355"/>
      <c r="DZ137" s="1355"/>
      <c r="EA137" s="1355"/>
      <c r="EC137" s="3683"/>
      <c r="ED137" s="3683"/>
    </row>
    <row r="138" spans="1:134" s="287" customFormat="1" ht="11.25" hidden="1" customHeight="1" outlineLevel="1">
      <c r="A138" s="1609"/>
      <c r="B138" s="1348"/>
      <c r="C138" s="1348"/>
      <c r="D138" s="1348"/>
      <c r="E138" s="5320"/>
      <c r="F138" s="1348"/>
      <c r="G138" s="1348"/>
      <c r="H138" s="1348"/>
      <c r="I138" s="5320"/>
      <c r="J138" s="1349"/>
      <c r="K138" s="1348"/>
      <c r="L138" s="1348"/>
      <c r="M138" s="5320"/>
      <c r="N138" s="1348"/>
      <c r="O138" s="1348"/>
      <c r="P138" s="1348"/>
      <c r="Q138" s="5320"/>
      <c r="R138" s="1349"/>
      <c r="S138" s="1348"/>
      <c r="T138" s="1348"/>
      <c r="U138" s="5320"/>
      <c r="V138" s="1350"/>
      <c r="W138" s="1351"/>
      <c r="X138" s="1351"/>
      <c r="Y138" s="5320"/>
      <c r="Z138" s="1351"/>
      <c r="AA138" s="1351"/>
      <c r="AB138" s="1351"/>
      <c r="AC138" s="5320"/>
      <c r="AD138" s="1350"/>
      <c r="AE138" s="1351"/>
      <c r="AF138" s="1351"/>
      <c r="AG138" s="5320"/>
      <c r="AH138" s="1351"/>
      <c r="AI138" s="1351"/>
      <c r="AJ138" s="1351"/>
      <c r="AK138" s="5320"/>
      <c r="AL138" s="1350"/>
      <c r="AM138" s="1351"/>
      <c r="AN138" s="1351"/>
      <c r="AO138" s="5320"/>
      <c r="AP138" s="1351"/>
      <c r="AQ138" s="1351"/>
      <c r="AR138" s="1351"/>
      <c r="AS138" s="5320"/>
      <c r="AT138" s="1351"/>
      <c r="AU138" s="1351"/>
      <c r="AV138" s="1351"/>
      <c r="AW138" s="5320"/>
      <c r="AX138" s="1351"/>
      <c r="AY138" s="1351"/>
      <c r="AZ138" s="1351"/>
      <c r="BA138" s="5320"/>
      <c r="BB138" s="1351"/>
      <c r="BC138" s="1351"/>
      <c r="BD138" s="1351"/>
      <c r="BE138" s="5320"/>
      <c r="BF138" s="1351"/>
      <c r="BG138" s="1351"/>
      <c r="BH138" s="1351"/>
      <c r="BI138" s="1351"/>
      <c r="BJ138" s="1352"/>
      <c r="BK138" s="1351"/>
      <c r="BL138" s="1351"/>
      <c r="BM138" s="1351"/>
      <c r="BN138" s="5320"/>
      <c r="BO138" s="1352"/>
      <c r="BP138" s="1351"/>
      <c r="BQ138" s="1351"/>
      <c r="BR138" s="1351"/>
      <c r="BS138" s="5320"/>
      <c r="BT138" s="1352"/>
      <c r="BU138" s="1351"/>
      <c r="BV138" s="1351"/>
      <c r="BW138" s="1354"/>
      <c r="BX138" s="1354"/>
      <c r="BY138" s="1352"/>
      <c r="BZ138" s="1354"/>
      <c r="CA138" s="1354"/>
      <c r="CB138" s="1354"/>
      <c r="CC138" s="1354"/>
      <c r="CD138" s="1352"/>
      <c r="CE138" s="1354"/>
      <c r="CF138" s="1354"/>
      <c r="CG138" s="1354"/>
      <c r="CH138" s="1354"/>
      <c r="CI138" s="1355"/>
      <c r="CJ138" s="1354"/>
      <c r="CK138" s="1354"/>
      <c r="CL138" s="1354"/>
      <c r="CM138" s="1354"/>
      <c r="CN138" s="4383"/>
      <c r="CO138" s="1354"/>
      <c r="CP138" s="1354"/>
      <c r="CQ138" s="1354"/>
      <c r="CR138" s="1354"/>
      <c r="CS138" s="4383"/>
      <c r="CT138" s="1354"/>
      <c r="CU138" s="1354"/>
      <c r="CV138" s="1354"/>
      <c r="CW138" s="1354"/>
      <c r="CX138" s="4383"/>
      <c r="CY138" s="1354"/>
      <c r="CZ138" s="1354"/>
      <c r="DA138" s="1354"/>
      <c r="DB138" s="1354"/>
      <c r="DC138" s="4383"/>
      <c r="DD138" s="1354"/>
      <c r="DE138" s="1354"/>
      <c r="DF138" s="1354"/>
      <c r="DG138" s="1354"/>
      <c r="DH138" s="4383"/>
      <c r="DI138" s="1354"/>
      <c r="DJ138" s="1354"/>
      <c r="DK138" s="1354"/>
      <c r="DL138" s="1354"/>
      <c r="DM138" s="4383"/>
      <c r="DN138" s="1354"/>
      <c r="DO138" s="1354"/>
      <c r="DP138" s="1354"/>
      <c r="DQ138" s="1354"/>
      <c r="DR138" s="4383"/>
      <c r="DS138" s="1354"/>
      <c r="DT138" s="1354"/>
      <c r="DU138" s="1354"/>
      <c r="DV138" s="1354"/>
      <c r="DW138" s="4383"/>
      <c r="DX138" s="1355"/>
      <c r="DY138" s="1355"/>
      <c r="DZ138" s="1355"/>
      <c r="EA138" s="1355"/>
      <c r="EC138" s="3683"/>
      <c r="ED138" s="3683"/>
    </row>
    <row r="139" spans="1:134" ht="11.25" customHeight="1" collapsed="1">
      <c r="A139" s="3116" t="s">
        <v>61</v>
      </c>
      <c r="B139" s="2992"/>
      <c r="C139" s="2992"/>
      <c r="D139" s="2992"/>
      <c r="E139" s="3168"/>
      <c r="F139" s="3137"/>
      <c r="G139" s="3137"/>
      <c r="H139" s="3137"/>
      <c r="I139" s="3168"/>
      <c r="J139" s="3139"/>
      <c r="K139" s="3137"/>
      <c r="L139" s="3137"/>
      <c r="M139" s="3168"/>
      <c r="N139" s="3137"/>
      <c r="O139" s="3137"/>
      <c r="P139" s="3137"/>
      <c r="Q139" s="3168"/>
      <c r="R139" s="3139"/>
      <c r="S139" s="3137"/>
      <c r="T139" s="3137"/>
      <c r="U139" s="3168"/>
      <c r="V139" s="3140"/>
      <c r="W139" s="3141"/>
      <c r="X139" s="3141"/>
      <c r="Y139" s="3168"/>
      <c r="Z139" s="3141"/>
      <c r="AA139" s="3141"/>
      <c r="AB139" s="3141"/>
      <c r="AC139" s="3168"/>
      <c r="AD139" s="3140"/>
      <c r="AE139" s="3141"/>
      <c r="AF139" s="3141"/>
      <c r="AG139" s="3168"/>
      <c r="AH139" s="3122"/>
      <c r="AI139" s="3122"/>
      <c r="AJ139" s="3122"/>
      <c r="AK139" s="3168"/>
      <c r="AL139" s="3169"/>
      <c r="AM139" s="3122"/>
      <c r="AN139" s="3122"/>
      <c r="AO139" s="3168"/>
      <c r="AP139" s="3122"/>
      <c r="AQ139" s="3122"/>
      <c r="AR139" s="3122"/>
      <c r="AS139" s="3168"/>
      <c r="AT139" s="3169"/>
      <c r="AU139" s="3122"/>
      <c r="AV139" s="3122"/>
      <c r="AW139" s="3168"/>
      <c r="AX139" s="3169"/>
      <c r="AY139" s="3122"/>
      <c r="AZ139" s="3122"/>
      <c r="BA139" s="3168"/>
      <c r="BB139" s="3170"/>
      <c r="BC139" s="3122"/>
      <c r="BD139" s="3122"/>
      <c r="BE139" s="3168"/>
      <c r="BF139" s="3170"/>
      <c r="BG139" s="3122"/>
      <c r="BH139" s="3122"/>
      <c r="BI139" s="3122"/>
      <c r="BJ139" s="3171"/>
      <c r="BK139" s="3122"/>
      <c r="BL139" s="3122"/>
      <c r="BM139" s="3122"/>
      <c r="BN139" s="3168"/>
      <c r="BO139" s="3171"/>
      <c r="BP139" s="3172"/>
      <c r="BQ139" s="3122"/>
      <c r="BR139" s="3122"/>
      <c r="BS139" s="3168"/>
      <c r="BT139" s="3171"/>
      <c r="BU139" s="3172"/>
      <c r="BV139" s="3122"/>
      <c r="BW139" s="3122"/>
      <c r="BX139" s="3173"/>
      <c r="BY139" s="3171"/>
      <c r="BZ139" s="3173"/>
      <c r="CA139" s="3173"/>
      <c r="CB139" s="3173"/>
      <c r="CC139" s="3173"/>
      <c r="CD139" s="3174"/>
      <c r="CE139" s="3173"/>
      <c r="CF139" s="3173"/>
      <c r="CG139" s="3173"/>
      <c r="CH139" s="3173"/>
      <c r="CI139" s="3174"/>
      <c r="CJ139" s="3173"/>
      <c r="CK139" s="3173"/>
      <c r="CL139" s="3173"/>
      <c r="CM139" s="3173"/>
      <c r="CN139" s="4382"/>
      <c r="CO139" s="3173"/>
      <c r="CP139" s="3173"/>
      <c r="CQ139" s="3173"/>
      <c r="CR139" s="3173"/>
      <c r="CS139" s="4382"/>
      <c r="CT139" s="3173"/>
      <c r="CU139" s="3173"/>
      <c r="CV139" s="3173"/>
      <c r="CW139" s="3173"/>
      <c r="CX139" s="4382"/>
      <c r="CY139" s="3173"/>
      <c r="CZ139" s="3173"/>
      <c r="DA139" s="3173"/>
      <c r="DB139" s="3173"/>
      <c r="DC139" s="4382"/>
      <c r="DD139" s="3173"/>
      <c r="DE139" s="3173"/>
      <c r="DF139" s="3333"/>
      <c r="DG139" s="3333"/>
      <c r="DH139" s="5825"/>
      <c r="DI139" s="3333"/>
      <c r="DJ139" s="3333"/>
      <c r="DK139" s="3333"/>
      <c r="DL139" s="3333"/>
      <c r="DM139" s="5825"/>
      <c r="DN139" s="3333"/>
      <c r="DO139" s="3333"/>
      <c r="DP139" s="3333"/>
      <c r="DQ139" s="3333"/>
      <c r="DR139" s="5825"/>
      <c r="DS139" s="3333"/>
      <c r="DT139" s="3333"/>
      <c r="DU139" s="3333"/>
      <c r="DV139" s="3333"/>
      <c r="DW139" s="5825"/>
      <c r="DX139" s="5826"/>
      <c r="DY139" s="5826"/>
      <c r="DZ139" s="5826"/>
      <c r="EA139" s="5826"/>
      <c r="EC139" s="3683"/>
      <c r="ED139" s="3683"/>
    </row>
    <row r="140" spans="1:134" ht="11.25" customHeight="1">
      <c r="A140" s="1601" t="s">
        <v>1123</v>
      </c>
      <c r="B140" s="36"/>
      <c r="C140" s="36"/>
      <c r="D140" s="36"/>
      <c r="E140" s="479"/>
      <c r="F140" s="36"/>
      <c r="G140" s="36"/>
      <c r="H140" s="36"/>
      <c r="I140" s="479"/>
      <c r="J140" s="143"/>
      <c r="K140" s="37"/>
      <c r="L140" s="37"/>
      <c r="M140" s="479"/>
      <c r="N140" s="37"/>
      <c r="O140" s="37"/>
      <c r="P140" s="37"/>
      <c r="Q140" s="479"/>
      <c r="R140" s="143"/>
      <c r="S140" s="76"/>
      <c r="T140" s="36"/>
      <c r="U140" s="479"/>
      <c r="V140" s="41"/>
      <c r="W140" s="43"/>
      <c r="X140" s="43"/>
      <c r="Y140" s="479"/>
      <c r="Z140" s="144"/>
      <c r="AA140" s="42"/>
      <c r="AB140" s="42"/>
      <c r="AC140" s="479"/>
      <c r="AD140" s="144"/>
      <c r="AE140" s="42"/>
      <c r="AF140" s="42"/>
      <c r="AG140" s="479"/>
      <c r="AH140" s="144"/>
      <c r="AI140" s="42"/>
      <c r="AJ140" s="42"/>
      <c r="AK140" s="479"/>
      <c r="AL140" s="144"/>
      <c r="AM140" s="42"/>
      <c r="AN140" s="42"/>
      <c r="AO140" s="479"/>
      <c r="AP140" s="42"/>
      <c r="AQ140" s="42"/>
      <c r="AR140" s="42"/>
      <c r="AS140" s="479"/>
      <c r="AT140" s="144"/>
      <c r="AU140" s="42"/>
      <c r="AV140" s="42"/>
      <c r="AW140" s="479"/>
      <c r="AX140" s="144"/>
      <c r="AY140" s="42"/>
      <c r="AZ140" s="42"/>
      <c r="BA140" s="479"/>
      <c r="BB140" s="42"/>
      <c r="BC140" s="42"/>
      <c r="BD140" s="42"/>
      <c r="BE140" s="479"/>
      <c r="BF140" s="65"/>
      <c r="BG140" s="65"/>
      <c r="BH140" s="65"/>
      <c r="BI140" s="1875"/>
      <c r="BJ140" s="1001"/>
      <c r="BK140" s="65"/>
      <c r="BL140" s="65"/>
      <c r="BM140" s="65"/>
      <c r="BN140" s="1875"/>
      <c r="BO140" s="1001"/>
      <c r="BP140" s="65"/>
      <c r="BQ140" s="65"/>
      <c r="BR140" s="65"/>
      <c r="BS140" s="1875"/>
      <c r="BT140" s="1001"/>
      <c r="BU140" s="65"/>
      <c r="BV140" s="65"/>
      <c r="BW140" s="65"/>
      <c r="BX140" s="65"/>
      <c r="BY140" s="1001"/>
      <c r="BZ140" s="65"/>
      <c r="CA140" s="65"/>
      <c r="CB140" s="65"/>
      <c r="CC140" s="65"/>
      <c r="CD140" s="1001"/>
      <c r="CE140" s="65"/>
      <c r="CF140" s="65"/>
      <c r="CG140" s="65"/>
      <c r="CH140" s="65"/>
      <c r="CI140" s="1001"/>
      <c r="CJ140" s="65"/>
      <c r="CK140" s="65"/>
      <c r="CL140" s="65"/>
      <c r="CM140" s="65"/>
      <c r="CN140" s="4376"/>
      <c r="CO140" s="656"/>
      <c r="CP140" s="656"/>
      <c r="CQ140" s="656"/>
      <c r="CR140" s="656"/>
      <c r="CS140" s="4376"/>
      <c r="CT140" s="656"/>
      <c r="CU140" s="656"/>
      <c r="CV140" s="656"/>
      <c r="CW140" s="656"/>
      <c r="CX140" s="4376"/>
      <c r="CY140" s="656"/>
      <c r="CZ140" s="656"/>
      <c r="DA140" s="656"/>
      <c r="DB140" s="656"/>
      <c r="DC140" s="4376"/>
      <c r="DD140" s="656"/>
      <c r="DE140" s="656"/>
      <c r="DF140" s="656"/>
      <c r="DG140" s="656">
        <v>112504</v>
      </c>
      <c r="DH140" s="4376">
        <f>DG140</f>
        <v>112504</v>
      </c>
      <c r="DI140" s="656"/>
      <c r="DJ140" s="656"/>
      <c r="DK140" s="656"/>
      <c r="DL140" s="656">
        <v>139596</v>
      </c>
      <c r="DM140" s="1255">
        <f>DL140</f>
        <v>139596</v>
      </c>
      <c r="DN140" s="656">
        <v>150992</v>
      </c>
      <c r="DO140" s="656">
        <v>167467</v>
      </c>
      <c r="DP140" s="656">
        <v>184107</v>
      </c>
      <c r="DQ140" s="656"/>
      <c r="DR140" s="1255"/>
      <c r="DS140" s="656"/>
      <c r="DT140" s="656"/>
      <c r="DU140" s="656"/>
      <c r="DV140" s="656"/>
      <c r="DW140" s="1255"/>
      <c r="DX140" s="869"/>
      <c r="DY140" s="869"/>
      <c r="DZ140" s="869"/>
      <c r="EA140" s="869"/>
      <c r="EC140" s="3683"/>
      <c r="ED140" s="3683"/>
    </row>
    <row r="141" spans="1:134" ht="11.25" customHeight="1">
      <c r="A141" s="1601" t="s">
        <v>1122</v>
      </c>
      <c r="B141" s="36"/>
      <c r="C141" s="36"/>
      <c r="D141" s="36"/>
      <c r="E141" s="479"/>
      <c r="F141" s="36"/>
      <c r="G141" s="36"/>
      <c r="H141" s="36"/>
      <c r="I141" s="479"/>
      <c r="J141" s="143"/>
      <c r="K141" s="37"/>
      <c r="L141" s="37"/>
      <c r="M141" s="479"/>
      <c r="N141" s="37"/>
      <c r="O141" s="37"/>
      <c r="P141" s="37"/>
      <c r="Q141" s="479"/>
      <c r="R141" s="143"/>
      <c r="S141" s="76"/>
      <c r="T141" s="36"/>
      <c r="U141" s="479"/>
      <c r="V141" s="41"/>
      <c r="W141" s="43"/>
      <c r="X141" s="43"/>
      <c r="Y141" s="479"/>
      <c r="Z141" s="144"/>
      <c r="AA141" s="42"/>
      <c r="AB141" s="42"/>
      <c r="AC141" s="479"/>
      <c r="AD141" s="144"/>
      <c r="AE141" s="42"/>
      <c r="AF141" s="42"/>
      <c r="AG141" s="479"/>
      <c r="AH141" s="144"/>
      <c r="AI141" s="42"/>
      <c r="AJ141" s="42"/>
      <c r="AK141" s="479"/>
      <c r="AL141" s="144"/>
      <c r="AM141" s="42"/>
      <c r="AN141" s="42"/>
      <c r="AO141" s="479"/>
      <c r="AP141" s="42"/>
      <c r="AQ141" s="42"/>
      <c r="AR141" s="42"/>
      <c r="AS141" s="479"/>
      <c r="AT141" s="144"/>
      <c r="AU141" s="42"/>
      <c r="AV141" s="42"/>
      <c r="AW141" s="479"/>
      <c r="AX141" s="144"/>
      <c r="AY141" s="42"/>
      <c r="AZ141" s="42"/>
      <c r="BA141" s="479"/>
      <c r="BB141" s="42"/>
      <c r="BC141" s="42"/>
      <c r="BD141" s="42"/>
      <c r="BE141" s="479"/>
      <c r="BF141" s="65"/>
      <c r="BG141" s="65"/>
      <c r="BH141" s="65"/>
      <c r="BI141" s="1875"/>
      <c r="BJ141" s="1001"/>
      <c r="BK141" s="65"/>
      <c r="BL141" s="65"/>
      <c r="BM141" s="65"/>
      <c r="BN141" s="1875"/>
      <c r="BO141" s="1001"/>
      <c r="BP141" s="65"/>
      <c r="BQ141" s="65"/>
      <c r="BR141" s="65"/>
      <c r="BS141" s="1875"/>
      <c r="BT141" s="1001"/>
      <c r="BU141" s="65"/>
      <c r="BV141" s="65"/>
      <c r="BW141" s="65"/>
      <c r="BX141" s="65"/>
      <c r="BY141" s="1001"/>
      <c r="BZ141" s="65"/>
      <c r="CA141" s="65"/>
      <c r="CB141" s="65"/>
      <c r="CC141" s="65"/>
      <c r="CD141" s="1001"/>
      <c r="CE141" s="65"/>
      <c r="CF141" s="65"/>
      <c r="CG141" s="65"/>
      <c r="CH141" s="65"/>
      <c r="CI141" s="1001"/>
      <c r="CJ141" s="65"/>
      <c r="CK141" s="65"/>
      <c r="CL141" s="65"/>
      <c r="CM141" s="65"/>
      <c r="CN141" s="4376"/>
      <c r="CO141" s="656"/>
      <c r="CP141" s="656"/>
      <c r="CQ141" s="656"/>
      <c r="CR141" s="656"/>
      <c r="CS141" s="4376"/>
      <c r="CT141" s="656"/>
      <c r="CU141" s="656"/>
      <c r="CV141" s="656"/>
      <c r="CW141" s="656"/>
      <c r="CX141" s="4376"/>
      <c r="CY141" s="656"/>
      <c r="CZ141" s="656"/>
      <c r="DA141" s="656"/>
      <c r="DB141" s="656"/>
      <c r="DC141" s="4376"/>
      <c r="DD141" s="656"/>
      <c r="DE141" s="656"/>
      <c r="DF141" s="656"/>
      <c r="DG141" s="656">
        <v>40435</v>
      </c>
      <c r="DH141" s="4376">
        <f t="shared" ref="DH141:DH146" si="624">DG141</f>
        <v>40435</v>
      </c>
      <c r="DI141" s="656"/>
      <c r="DJ141" s="656"/>
      <c r="DK141" s="656"/>
      <c r="DL141" s="656">
        <v>43714</v>
      </c>
      <c r="DM141" s="1255">
        <f t="shared" ref="DM141:DM146" si="625">DL141</f>
        <v>43714</v>
      </c>
      <c r="DN141" s="656">
        <v>44871</v>
      </c>
      <c r="DO141" s="656">
        <v>45493</v>
      </c>
      <c r="DP141" s="656">
        <v>45715</v>
      </c>
      <c r="DQ141" s="656"/>
      <c r="DR141" s="1255"/>
      <c r="DS141" s="656"/>
      <c r="DT141" s="656"/>
      <c r="DU141" s="656"/>
      <c r="DV141" s="656"/>
      <c r="DW141" s="1255"/>
      <c r="DX141" s="869"/>
      <c r="DY141" s="869"/>
      <c r="DZ141" s="869"/>
      <c r="EA141" s="869"/>
      <c r="EC141" s="3683"/>
      <c r="ED141" s="3683"/>
    </row>
    <row r="142" spans="1:134" ht="11.25" customHeight="1">
      <c r="A142" s="1601" t="s">
        <v>1124</v>
      </c>
      <c r="B142" s="36"/>
      <c r="C142" s="36"/>
      <c r="D142" s="36"/>
      <c r="E142" s="479"/>
      <c r="F142" s="36"/>
      <c r="G142" s="36"/>
      <c r="H142" s="36"/>
      <c r="I142" s="479"/>
      <c r="J142" s="143"/>
      <c r="K142" s="37"/>
      <c r="L142" s="37"/>
      <c r="M142" s="479"/>
      <c r="N142" s="37"/>
      <c r="O142" s="37"/>
      <c r="P142" s="37"/>
      <c r="Q142" s="479"/>
      <c r="R142" s="143"/>
      <c r="S142" s="76"/>
      <c r="T142" s="36"/>
      <c r="U142" s="479"/>
      <c r="V142" s="41"/>
      <c r="W142" s="43"/>
      <c r="X142" s="43"/>
      <c r="Y142" s="479"/>
      <c r="Z142" s="144"/>
      <c r="AA142" s="42"/>
      <c r="AB142" s="42"/>
      <c r="AC142" s="479"/>
      <c r="AD142" s="144"/>
      <c r="AE142" s="42"/>
      <c r="AF142" s="42"/>
      <c r="AG142" s="479"/>
      <c r="AH142" s="144"/>
      <c r="AI142" s="42"/>
      <c r="AJ142" s="42"/>
      <c r="AK142" s="479"/>
      <c r="AL142" s="144"/>
      <c r="AM142" s="42"/>
      <c r="AN142" s="42"/>
      <c r="AO142" s="479"/>
      <c r="AP142" s="42"/>
      <c r="AQ142" s="42"/>
      <c r="AR142" s="42"/>
      <c r="AS142" s="479"/>
      <c r="AT142" s="144"/>
      <c r="AU142" s="42"/>
      <c r="AV142" s="42"/>
      <c r="AW142" s="479"/>
      <c r="AX142" s="144"/>
      <c r="AY142" s="42"/>
      <c r="AZ142" s="42"/>
      <c r="BA142" s="479"/>
      <c r="BB142" s="42"/>
      <c r="BC142" s="42"/>
      <c r="BD142" s="42"/>
      <c r="BE142" s="479"/>
      <c r="BF142" s="65"/>
      <c r="BG142" s="65"/>
      <c r="BH142" s="65"/>
      <c r="BI142" s="1875"/>
      <c r="BJ142" s="1001"/>
      <c r="BK142" s="65"/>
      <c r="BL142" s="65"/>
      <c r="BM142" s="65"/>
      <c r="BN142" s="1875"/>
      <c r="BO142" s="1001"/>
      <c r="BP142" s="65"/>
      <c r="BQ142" s="65"/>
      <c r="BR142" s="65"/>
      <c r="BS142" s="1875"/>
      <c r="BT142" s="1001"/>
      <c r="BU142" s="65"/>
      <c r="BV142" s="65"/>
      <c r="BW142" s="65"/>
      <c r="BX142" s="65"/>
      <c r="BY142" s="1001"/>
      <c r="BZ142" s="65"/>
      <c r="CA142" s="65"/>
      <c r="CB142" s="65"/>
      <c r="CC142" s="65"/>
      <c r="CD142" s="1001"/>
      <c r="CE142" s="65"/>
      <c r="CF142" s="65"/>
      <c r="CG142" s="65"/>
      <c r="CH142" s="65"/>
      <c r="CI142" s="1001"/>
      <c r="CJ142" s="65"/>
      <c r="CK142" s="65"/>
      <c r="CL142" s="65"/>
      <c r="CM142" s="65"/>
      <c r="CN142" s="4376"/>
      <c r="CO142" s="656"/>
      <c r="CP142" s="656"/>
      <c r="CQ142" s="656"/>
      <c r="CR142" s="656"/>
      <c r="CS142" s="4376"/>
      <c r="CT142" s="656"/>
      <c r="CU142" s="656"/>
      <c r="CV142" s="656"/>
      <c r="CW142" s="656"/>
      <c r="CX142" s="4376"/>
      <c r="CY142" s="656"/>
      <c r="CZ142" s="656"/>
      <c r="DA142" s="656"/>
      <c r="DB142" s="656"/>
      <c r="DC142" s="4376"/>
      <c r="DD142" s="656"/>
      <c r="DE142" s="656"/>
      <c r="DF142" s="656"/>
      <c r="DG142" s="656">
        <v>13728</v>
      </c>
      <c r="DH142" s="4376">
        <f t="shared" si="624"/>
        <v>13728</v>
      </c>
      <c r="DI142" s="656"/>
      <c r="DJ142" s="656"/>
      <c r="DK142" s="656"/>
      <c r="DL142" s="656">
        <v>16519</v>
      </c>
      <c r="DM142" s="1255">
        <f t="shared" si="625"/>
        <v>16519</v>
      </c>
      <c r="DN142" s="656">
        <v>17336</v>
      </c>
      <c r="DO142" s="656">
        <v>17920</v>
      </c>
      <c r="DP142" s="656">
        <v>18059</v>
      </c>
      <c r="DQ142" s="656"/>
      <c r="DR142" s="1255"/>
      <c r="DS142" s="656"/>
      <c r="DT142" s="656"/>
      <c r="DU142" s="656"/>
      <c r="DV142" s="656"/>
      <c r="DW142" s="1255"/>
      <c r="DX142" s="869"/>
      <c r="DY142" s="869"/>
      <c r="DZ142" s="869"/>
      <c r="EA142" s="869"/>
      <c r="EC142" s="3683"/>
      <c r="ED142" s="3683"/>
    </row>
    <row r="143" spans="1:134" ht="11.25" customHeight="1">
      <c r="A143" s="1860" t="s">
        <v>1125</v>
      </c>
      <c r="B143" s="1861"/>
      <c r="C143" s="1861"/>
      <c r="D143" s="1861"/>
      <c r="E143" s="1862"/>
      <c r="F143" s="1861"/>
      <c r="G143" s="1861"/>
      <c r="H143" s="1861"/>
      <c r="I143" s="1862"/>
      <c r="J143" s="1871"/>
      <c r="K143" s="1864"/>
      <c r="L143" s="1864"/>
      <c r="M143" s="1862"/>
      <c r="N143" s="1864"/>
      <c r="O143" s="1864"/>
      <c r="P143" s="1864"/>
      <c r="Q143" s="1862"/>
      <c r="R143" s="1871"/>
      <c r="S143" s="1865"/>
      <c r="T143" s="1861"/>
      <c r="U143" s="1862"/>
      <c r="V143" s="1872"/>
      <c r="W143" s="1867"/>
      <c r="X143" s="1867"/>
      <c r="Y143" s="1862"/>
      <c r="Z143" s="1873"/>
      <c r="AA143" s="1869"/>
      <c r="AB143" s="1869"/>
      <c r="AC143" s="1862"/>
      <c r="AD143" s="1873"/>
      <c r="AE143" s="1869"/>
      <c r="AF143" s="1869"/>
      <c r="AG143" s="1862"/>
      <c r="AH143" s="1873"/>
      <c r="AI143" s="1869"/>
      <c r="AJ143" s="1869"/>
      <c r="AK143" s="1862"/>
      <c r="AL143" s="1873"/>
      <c r="AM143" s="1869"/>
      <c r="AN143" s="1869"/>
      <c r="AO143" s="1862"/>
      <c r="AP143" s="1869"/>
      <c r="AQ143" s="1869"/>
      <c r="AR143" s="1869"/>
      <c r="AS143" s="1862"/>
      <c r="AT143" s="1873"/>
      <c r="AU143" s="1869"/>
      <c r="AV143" s="1869"/>
      <c r="AW143" s="1862"/>
      <c r="AX143" s="1873"/>
      <c r="AY143" s="1869"/>
      <c r="AZ143" s="1869"/>
      <c r="BA143" s="1862"/>
      <c r="BB143" s="1869"/>
      <c r="BC143" s="1869"/>
      <c r="BD143" s="1869"/>
      <c r="BE143" s="1862"/>
      <c r="BF143" s="1869"/>
      <c r="BG143" s="1869"/>
      <c r="BH143" s="1869"/>
      <c r="BI143" s="1862"/>
      <c r="BJ143" s="1874"/>
      <c r="BK143" s="1869"/>
      <c r="BL143" s="1869"/>
      <c r="BM143" s="1869"/>
      <c r="BN143" s="1862"/>
      <c r="BO143" s="1874"/>
      <c r="BP143" s="1869"/>
      <c r="BQ143" s="1869"/>
      <c r="BR143" s="1869"/>
      <c r="BS143" s="1862"/>
      <c r="BT143" s="1874"/>
      <c r="BU143" s="1869"/>
      <c r="BV143" s="1869"/>
      <c r="BW143" s="1869"/>
      <c r="BX143" s="1869"/>
      <c r="BY143" s="1874"/>
      <c r="BZ143" s="1869"/>
      <c r="CA143" s="1869"/>
      <c r="CB143" s="1869"/>
      <c r="CC143" s="1869"/>
      <c r="CD143" s="1874"/>
      <c r="CE143" s="1869"/>
      <c r="CF143" s="1869"/>
      <c r="CG143" s="1869"/>
      <c r="CH143" s="1869"/>
      <c r="CI143" s="1874"/>
      <c r="CJ143" s="1869"/>
      <c r="CK143" s="1869"/>
      <c r="CL143" s="1869"/>
      <c r="CM143" s="1869"/>
      <c r="CN143" s="3692"/>
      <c r="CO143" s="5942"/>
      <c r="CP143" s="5942"/>
      <c r="CQ143" s="5942"/>
      <c r="CR143" s="5942"/>
      <c r="CS143" s="3692"/>
      <c r="CT143" s="5942"/>
      <c r="CU143" s="5942"/>
      <c r="CV143" s="5942"/>
      <c r="CW143" s="5942"/>
      <c r="CX143" s="3692"/>
      <c r="CY143" s="5942"/>
      <c r="CZ143" s="5942"/>
      <c r="DA143" s="5942"/>
      <c r="DB143" s="5942"/>
      <c r="DC143" s="3692"/>
      <c r="DD143" s="5942"/>
      <c r="DE143" s="5942"/>
      <c r="DF143" s="3993"/>
      <c r="DG143" s="5942">
        <f>SUM(DG140:DG142)</f>
        <v>166667</v>
      </c>
      <c r="DH143" s="3692">
        <f t="shared" si="624"/>
        <v>166667</v>
      </c>
      <c r="DI143" s="3993"/>
      <c r="DJ143" s="5942"/>
      <c r="DK143" s="3993"/>
      <c r="DL143" s="5942">
        <f>SUM(DL140:DL142)</f>
        <v>199829</v>
      </c>
      <c r="DM143" s="3692">
        <f t="shared" si="625"/>
        <v>199829</v>
      </c>
      <c r="DN143" s="5942">
        <f>SUM(DN140:DN142)</f>
        <v>213199</v>
      </c>
      <c r="DO143" s="5942">
        <f>SUM(DO140:DO142)</f>
        <v>230880</v>
      </c>
      <c r="DP143" s="5942">
        <f>SUM(DP140:DP142)</f>
        <v>247881</v>
      </c>
      <c r="DQ143" s="5942"/>
      <c r="DR143" s="3692"/>
      <c r="DS143" s="5942"/>
      <c r="DT143" s="5942"/>
      <c r="DU143" s="5942"/>
      <c r="DV143" s="5942"/>
      <c r="DW143" s="3692"/>
      <c r="DX143" s="3692"/>
      <c r="DY143" s="3692"/>
      <c r="DZ143" s="3692"/>
      <c r="EA143" s="3692"/>
      <c r="EC143" s="3683"/>
      <c r="ED143" s="3683"/>
    </row>
    <row r="144" spans="1:134" ht="11.25" customHeight="1">
      <c r="A144" s="1601" t="s">
        <v>1126</v>
      </c>
      <c r="B144" s="36"/>
      <c r="C144" s="36"/>
      <c r="D144" s="36"/>
      <c r="E144" s="479"/>
      <c r="F144" s="36"/>
      <c r="G144" s="36"/>
      <c r="H144" s="36"/>
      <c r="I144" s="479"/>
      <c r="J144" s="143"/>
      <c r="K144" s="37"/>
      <c r="L144" s="37"/>
      <c r="M144" s="479"/>
      <c r="N144" s="37"/>
      <c r="O144" s="37"/>
      <c r="P144" s="37"/>
      <c r="Q144" s="479"/>
      <c r="R144" s="143"/>
      <c r="S144" s="76"/>
      <c r="T144" s="36"/>
      <c r="U144" s="479"/>
      <c r="V144" s="41"/>
      <c r="W144" s="43"/>
      <c r="X144" s="43"/>
      <c r="Y144" s="479"/>
      <c r="Z144" s="144"/>
      <c r="AA144" s="42"/>
      <c r="AB144" s="42"/>
      <c r="AC144" s="479"/>
      <c r="AD144" s="144"/>
      <c r="AE144" s="42"/>
      <c r="AF144" s="42"/>
      <c r="AG144" s="479"/>
      <c r="AH144" s="144"/>
      <c r="AI144" s="42"/>
      <c r="AJ144" s="42"/>
      <c r="AK144" s="479"/>
      <c r="AL144" s="144"/>
      <c r="AM144" s="42"/>
      <c r="AN144" s="42"/>
      <c r="AO144" s="479"/>
      <c r="AP144" s="42"/>
      <c r="AQ144" s="42"/>
      <c r="AR144" s="42"/>
      <c r="AS144" s="479"/>
      <c r="AT144" s="144"/>
      <c r="AU144" s="42"/>
      <c r="AV144" s="42"/>
      <c r="AW144" s="479"/>
      <c r="AX144" s="144"/>
      <c r="AY144" s="42"/>
      <c r="AZ144" s="42"/>
      <c r="BA144" s="479"/>
      <c r="BB144" s="42"/>
      <c r="BC144" s="42"/>
      <c r="BD144" s="42"/>
      <c r="BE144" s="479"/>
      <c r="BF144" s="65"/>
      <c r="BG144" s="65"/>
      <c r="BH144" s="65"/>
      <c r="BI144" s="1875"/>
      <c r="BJ144" s="1001"/>
      <c r="BK144" s="65"/>
      <c r="BL144" s="65"/>
      <c r="BM144" s="65"/>
      <c r="BN144" s="1875"/>
      <c r="BO144" s="1001"/>
      <c r="BP144" s="65"/>
      <c r="BQ144" s="65"/>
      <c r="BR144" s="65"/>
      <c r="BS144" s="1875"/>
      <c r="BT144" s="1001"/>
      <c r="BU144" s="65"/>
      <c r="BV144" s="65"/>
      <c r="BW144" s="65"/>
      <c r="BX144" s="65"/>
      <c r="BY144" s="1001"/>
      <c r="BZ144" s="65"/>
      <c r="CA144" s="65"/>
      <c r="CB144" s="65"/>
      <c r="CC144" s="65"/>
      <c r="CD144" s="1001"/>
      <c r="CE144" s="65"/>
      <c r="CF144" s="65"/>
      <c r="CG144" s="65"/>
      <c r="CH144" s="65"/>
      <c r="CI144" s="1001"/>
      <c r="CJ144" s="65"/>
      <c r="CK144" s="65"/>
      <c r="CL144" s="65"/>
      <c r="CM144" s="65"/>
      <c r="CN144" s="4376"/>
      <c r="CO144" s="656"/>
      <c r="CP144" s="656"/>
      <c r="CQ144" s="656"/>
      <c r="CR144" s="656"/>
      <c r="CS144" s="4376"/>
      <c r="CT144" s="656"/>
      <c r="CU144" s="656"/>
      <c r="CV144" s="656"/>
      <c r="CW144" s="656"/>
      <c r="CX144" s="4376"/>
      <c r="CY144" s="656"/>
      <c r="CZ144" s="656"/>
      <c r="DA144" s="656"/>
      <c r="DB144" s="656"/>
      <c r="DC144" s="4376"/>
      <c r="DD144" s="656"/>
      <c r="DE144" s="656"/>
      <c r="DF144" s="656"/>
      <c r="DG144" s="656">
        <v>-67458</v>
      </c>
      <c r="DH144" s="4376">
        <f t="shared" si="624"/>
        <v>-67458</v>
      </c>
      <c r="DI144" s="656"/>
      <c r="DJ144" s="656"/>
      <c r="DK144" s="656"/>
      <c r="DL144" s="656">
        <v>-79390</v>
      </c>
      <c r="DM144" s="1255">
        <f t="shared" si="625"/>
        <v>-79390</v>
      </c>
      <c r="DN144" s="656">
        <v>-83778</v>
      </c>
      <c r="DO144" s="656">
        <v>-89349</v>
      </c>
      <c r="DP144" s="656">
        <v>-93950</v>
      </c>
      <c r="DQ144" s="656"/>
      <c r="DR144" s="1255"/>
      <c r="DS144" s="656"/>
      <c r="DT144" s="656"/>
      <c r="DU144" s="656"/>
      <c r="DV144" s="656"/>
      <c r="DW144" s="1255"/>
      <c r="DX144" s="869"/>
      <c r="DY144" s="869"/>
      <c r="DZ144" s="869"/>
      <c r="EA144" s="869"/>
      <c r="EC144" s="3683"/>
      <c r="ED144" s="3683"/>
    </row>
    <row r="145" spans="1:134" ht="11.25" customHeight="1">
      <c r="A145" s="1601" t="s">
        <v>1129</v>
      </c>
      <c r="B145" s="36"/>
      <c r="C145" s="36"/>
      <c r="D145" s="36"/>
      <c r="E145" s="479"/>
      <c r="F145" s="36"/>
      <c r="G145" s="36"/>
      <c r="H145" s="36"/>
      <c r="I145" s="479"/>
      <c r="J145" s="143"/>
      <c r="K145" s="37"/>
      <c r="L145" s="37"/>
      <c r="M145" s="479"/>
      <c r="N145" s="37"/>
      <c r="O145" s="37"/>
      <c r="P145" s="37"/>
      <c r="Q145" s="479"/>
      <c r="R145" s="143"/>
      <c r="S145" s="76"/>
      <c r="T145" s="36"/>
      <c r="U145" s="479"/>
      <c r="V145" s="41"/>
      <c r="W145" s="43"/>
      <c r="X145" s="43"/>
      <c r="Y145" s="479"/>
      <c r="Z145" s="144"/>
      <c r="AA145" s="42"/>
      <c r="AB145" s="42"/>
      <c r="AC145" s="479"/>
      <c r="AD145" s="144"/>
      <c r="AE145" s="42"/>
      <c r="AF145" s="42"/>
      <c r="AG145" s="479"/>
      <c r="AH145" s="144"/>
      <c r="AI145" s="42"/>
      <c r="AJ145" s="42"/>
      <c r="AK145" s="479"/>
      <c r="AL145" s="144"/>
      <c r="AM145" s="42"/>
      <c r="AN145" s="42"/>
      <c r="AO145" s="479"/>
      <c r="AP145" s="42"/>
      <c r="AQ145" s="42"/>
      <c r="AR145" s="42"/>
      <c r="AS145" s="479"/>
      <c r="AT145" s="144"/>
      <c r="AU145" s="42"/>
      <c r="AV145" s="42"/>
      <c r="AW145" s="479"/>
      <c r="AX145" s="144"/>
      <c r="AY145" s="42"/>
      <c r="AZ145" s="42"/>
      <c r="BA145" s="479"/>
      <c r="BB145" s="42"/>
      <c r="BC145" s="42"/>
      <c r="BD145" s="42"/>
      <c r="BE145" s="479"/>
      <c r="BF145" s="65"/>
      <c r="BG145" s="65"/>
      <c r="BH145" s="65"/>
      <c r="BI145" s="1875"/>
      <c r="BJ145" s="1001"/>
      <c r="BK145" s="65"/>
      <c r="BL145" s="65"/>
      <c r="BM145" s="65"/>
      <c r="BN145" s="1875"/>
      <c r="BO145" s="1001"/>
      <c r="BP145" s="65"/>
      <c r="BQ145" s="65"/>
      <c r="BR145" s="65"/>
      <c r="BS145" s="1875"/>
      <c r="BT145" s="1001"/>
      <c r="BU145" s="65"/>
      <c r="BV145" s="65"/>
      <c r="BW145" s="65"/>
      <c r="BX145" s="65"/>
      <c r="BY145" s="1001"/>
      <c r="BZ145" s="65"/>
      <c r="CA145" s="65"/>
      <c r="CB145" s="65"/>
      <c r="CC145" s="65"/>
      <c r="CD145" s="1001"/>
      <c r="CE145" s="65"/>
      <c r="CF145" s="65"/>
      <c r="CG145" s="65"/>
      <c r="CH145" s="65"/>
      <c r="CI145" s="1001"/>
      <c r="CJ145" s="65"/>
      <c r="CK145" s="65"/>
      <c r="CL145" s="65"/>
      <c r="CM145" s="65"/>
      <c r="CN145" s="4376"/>
      <c r="CO145" s="656"/>
      <c r="CP145" s="656"/>
      <c r="CQ145" s="656"/>
      <c r="CR145" s="656"/>
      <c r="CS145" s="4376"/>
      <c r="CT145" s="656"/>
      <c r="CU145" s="656"/>
      <c r="CV145" s="656"/>
      <c r="CW145" s="656"/>
      <c r="CX145" s="4376"/>
      <c r="CY145" s="656"/>
      <c r="CZ145" s="656"/>
      <c r="DA145" s="656"/>
      <c r="DB145" s="656"/>
      <c r="DC145" s="4376"/>
      <c r="DD145" s="656"/>
      <c r="DE145" s="656"/>
      <c r="DF145" s="656"/>
      <c r="DG145" s="656">
        <v>35136</v>
      </c>
      <c r="DH145" s="4376">
        <f t="shared" si="624"/>
        <v>35136</v>
      </c>
      <c r="DI145" s="656"/>
      <c r="DJ145" s="656"/>
      <c r="DK145" s="656"/>
      <c r="DL145" s="656">
        <v>50597</v>
      </c>
      <c r="DM145" s="1255">
        <f t="shared" si="625"/>
        <v>50597</v>
      </c>
      <c r="DN145" s="656">
        <v>55641</v>
      </c>
      <c r="DO145" s="656">
        <v>61700</v>
      </c>
      <c r="DP145" s="656">
        <v>69856</v>
      </c>
      <c r="DQ145" s="656"/>
      <c r="DR145" s="1255"/>
      <c r="DS145" s="656"/>
      <c r="DT145" s="656"/>
      <c r="DU145" s="656"/>
      <c r="DV145" s="656"/>
      <c r="DW145" s="1255"/>
      <c r="DX145" s="869"/>
      <c r="DY145" s="869"/>
      <c r="DZ145" s="869"/>
      <c r="EA145" s="869"/>
      <c r="EC145" s="3683"/>
      <c r="ED145" s="3683"/>
    </row>
    <row r="146" spans="1:134" ht="11.25" customHeight="1">
      <c r="A146" s="1860" t="s">
        <v>133</v>
      </c>
      <c r="B146" s="1861"/>
      <c r="C146" s="1861"/>
      <c r="D146" s="1861"/>
      <c r="E146" s="1862"/>
      <c r="F146" s="1861"/>
      <c r="G146" s="1861"/>
      <c r="H146" s="1861"/>
      <c r="I146" s="1862"/>
      <c r="J146" s="1871"/>
      <c r="K146" s="1864"/>
      <c r="L146" s="1864"/>
      <c r="M146" s="1862"/>
      <c r="N146" s="1864"/>
      <c r="O146" s="1864"/>
      <c r="P146" s="1864"/>
      <c r="Q146" s="1862"/>
      <c r="R146" s="1871"/>
      <c r="S146" s="1865"/>
      <c r="T146" s="1861"/>
      <c r="U146" s="1862"/>
      <c r="V146" s="1872"/>
      <c r="W146" s="1867"/>
      <c r="X146" s="1867"/>
      <c r="Y146" s="1862"/>
      <c r="Z146" s="1873"/>
      <c r="AA146" s="1869"/>
      <c r="AB146" s="1869"/>
      <c r="AC146" s="1862"/>
      <c r="AD146" s="1873"/>
      <c r="AE146" s="1869"/>
      <c r="AF146" s="1869"/>
      <c r="AG146" s="1862"/>
      <c r="AH146" s="1873"/>
      <c r="AI146" s="1869"/>
      <c r="AJ146" s="1869"/>
      <c r="AK146" s="1862"/>
      <c r="AL146" s="1873"/>
      <c r="AM146" s="1869"/>
      <c r="AN146" s="1869"/>
      <c r="AO146" s="1862"/>
      <c r="AP146" s="1869"/>
      <c r="AQ146" s="1869"/>
      <c r="AR146" s="1869"/>
      <c r="AS146" s="1862"/>
      <c r="AT146" s="1873"/>
      <c r="AU146" s="1869"/>
      <c r="AV146" s="1869"/>
      <c r="AW146" s="1862"/>
      <c r="AX146" s="1873"/>
      <c r="AY146" s="1869"/>
      <c r="AZ146" s="1869"/>
      <c r="BA146" s="1862"/>
      <c r="BB146" s="1869"/>
      <c r="BC146" s="1869"/>
      <c r="BD146" s="1869"/>
      <c r="BE146" s="1862"/>
      <c r="BF146" s="1869"/>
      <c r="BG146" s="1869"/>
      <c r="BH146" s="1869"/>
      <c r="BI146" s="1862"/>
      <c r="BJ146" s="1874"/>
      <c r="BK146" s="1869"/>
      <c r="BL146" s="1869"/>
      <c r="BM146" s="1869"/>
      <c r="BN146" s="1862"/>
      <c r="BO146" s="1874"/>
      <c r="BP146" s="1869"/>
      <c r="BQ146" s="1869"/>
      <c r="BR146" s="1869"/>
      <c r="BS146" s="1862"/>
      <c r="BT146" s="1874"/>
      <c r="BU146" s="1869"/>
      <c r="BV146" s="1869"/>
      <c r="BW146" s="1869"/>
      <c r="BX146" s="1869"/>
      <c r="BY146" s="1874"/>
      <c r="BZ146" s="1869"/>
      <c r="CA146" s="1869"/>
      <c r="CB146" s="1869"/>
      <c r="CC146" s="1869"/>
      <c r="CD146" s="1874"/>
      <c r="CE146" s="1869"/>
      <c r="CF146" s="1869"/>
      <c r="CG146" s="1869"/>
      <c r="CH146" s="1869"/>
      <c r="CI146" s="1874"/>
      <c r="CJ146" s="1869"/>
      <c r="CK146" s="1869"/>
      <c r="CL146" s="1869"/>
      <c r="CM146" s="1869"/>
      <c r="CN146" s="3692"/>
      <c r="CO146" s="5942"/>
      <c r="CP146" s="5942"/>
      <c r="CQ146" s="5942"/>
      <c r="CR146" s="5942"/>
      <c r="CS146" s="3692"/>
      <c r="CT146" s="5942"/>
      <c r="CU146" s="5942"/>
      <c r="CV146" s="5942"/>
      <c r="CW146" s="5942"/>
      <c r="CX146" s="3692"/>
      <c r="CY146" s="5942"/>
      <c r="CZ146" s="5942"/>
      <c r="DA146" s="5942"/>
      <c r="DB146" s="5942"/>
      <c r="DC146" s="3692"/>
      <c r="DD146" s="5942"/>
      <c r="DE146" s="5942"/>
      <c r="DF146" s="3993"/>
      <c r="DG146" s="5942">
        <f>SUM(DG143:DG145)</f>
        <v>134345</v>
      </c>
      <c r="DH146" s="3692">
        <f t="shared" si="624"/>
        <v>134345</v>
      </c>
      <c r="DI146" s="3993"/>
      <c r="DJ146" s="5942"/>
      <c r="DK146" s="3993"/>
      <c r="DL146" s="5942">
        <f>SUM(DL143:DL145)</f>
        <v>171036</v>
      </c>
      <c r="DM146" s="3692">
        <f t="shared" si="625"/>
        <v>171036</v>
      </c>
      <c r="DN146" s="5942">
        <f>SUM(DN143:DN145)</f>
        <v>185062</v>
      </c>
      <c r="DO146" s="5942">
        <f>SUM(DO143:DO145)</f>
        <v>203231</v>
      </c>
      <c r="DP146" s="5942">
        <f>SUM(DP143:DP145)</f>
        <v>223787</v>
      </c>
      <c r="DQ146" s="5942"/>
      <c r="DR146" s="3692"/>
      <c r="DS146" s="5942"/>
      <c r="DT146" s="5942"/>
      <c r="DU146" s="5942"/>
      <c r="DV146" s="5942"/>
      <c r="DW146" s="3692"/>
      <c r="DX146" s="3692"/>
      <c r="DY146" s="3692"/>
      <c r="DZ146" s="3692"/>
      <c r="EA146" s="3692"/>
      <c r="EC146" s="3683"/>
      <c r="ED146" s="3683"/>
    </row>
    <row r="147" spans="1:134" s="287" customFormat="1" ht="11.25" customHeight="1">
      <c r="A147" s="1609"/>
      <c r="B147" s="1348"/>
      <c r="C147" s="1348"/>
      <c r="D147" s="1348"/>
      <c r="E147" s="5320"/>
      <c r="F147" s="1348"/>
      <c r="G147" s="1348"/>
      <c r="H147" s="1348"/>
      <c r="I147" s="5320"/>
      <c r="J147" s="1349"/>
      <c r="K147" s="1348"/>
      <c r="L147" s="1348"/>
      <c r="M147" s="5320"/>
      <c r="N147" s="1348"/>
      <c r="O147" s="1348"/>
      <c r="P147" s="1348"/>
      <c r="Q147" s="5320"/>
      <c r="R147" s="1349"/>
      <c r="S147" s="1348"/>
      <c r="T147" s="1348"/>
      <c r="U147" s="5320"/>
      <c r="V147" s="1350"/>
      <c r="W147" s="1351"/>
      <c r="X147" s="1351"/>
      <c r="Y147" s="5320"/>
      <c r="Z147" s="1351"/>
      <c r="AA147" s="1351"/>
      <c r="AB147" s="1351"/>
      <c r="AC147" s="5320"/>
      <c r="AD147" s="1350"/>
      <c r="AE147" s="1351"/>
      <c r="AF147" s="1351"/>
      <c r="AG147" s="5320"/>
      <c r="AH147" s="1351"/>
      <c r="AI147" s="1351"/>
      <c r="AJ147" s="1351"/>
      <c r="AK147" s="5320"/>
      <c r="AL147" s="1350"/>
      <c r="AM147" s="1351"/>
      <c r="AN147" s="1351"/>
      <c r="AO147" s="5320"/>
      <c r="AP147" s="1351"/>
      <c r="AQ147" s="1351"/>
      <c r="AR147" s="1351"/>
      <c r="AS147" s="5320"/>
      <c r="AT147" s="1351"/>
      <c r="AU147" s="1351"/>
      <c r="AV147" s="1351"/>
      <c r="AW147" s="5320"/>
      <c r="AX147" s="1351"/>
      <c r="AY147" s="1351"/>
      <c r="AZ147" s="1351"/>
      <c r="BA147" s="5320"/>
      <c r="BB147" s="1351"/>
      <c r="BC147" s="1351"/>
      <c r="BD147" s="1351"/>
      <c r="BE147" s="5320"/>
      <c r="BF147" s="1351"/>
      <c r="BG147" s="1351"/>
      <c r="BH147" s="1351"/>
      <c r="BI147" s="1351"/>
      <c r="BJ147" s="1352"/>
      <c r="BK147" s="1351"/>
      <c r="BL147" s="1351"/>
      <c r="BM147" s="1351"/>
      <c r="BN147" s="5320"/>
      <c r="BO147" s="1352"/>
      <c r="BP147" s="1351"/>
      <c r="BQ147" s="1351"/>
      <c r="BR147" s="1351"/>
      <c r="BS147" s="5320"/>
      <c r="BT147" s="1352"/>
      <c r="BU147" s="1351"/>
      <c r="BV147" s="1351"/>
      <c r="BW147" s="1354"/>
      <c r="BX147" s="1354"/>
      <c r="BY147" s="1352"/>
      <c r="BZ147" s="1354"/>
      <c r="CA147" s="1354"/>
      <c r="CB147" s="1354"/>
      <c r="CC147" s="1354"/>
      <c r="CD147" s="1352"/>
      <c r="CE147" s="1354"/>
      <c r="CF147" s="1354"/>
      <c r="CG147" s="1354"/>
      <c r="CH147" s="1354"/>
      <c r="CI147" s="1355"/>
      <c r="CJ147" s="1354"/>
      <c r="CK147" s="1354"/>
      <c r="CL147" s="1354"/>
      <c r="CM147" s="1354"/>
      <c r="CN147" s="4383"/>
      <c r="CO147" s="1354"/>
      <c r="CP147" s="1354"/>
      <c r="CQ147" s="1354"/>
      <c r="CR147" s="1354"/>
      <c r="CS147" s="4383"/>
      <c r="CT147" s="1354"/>
      <c r="CU147" s="1354"/>
      <c r="CV147" s="1354"/>
      <c r="CW147" s="1354"/>
      <c r="CX147" s="4383"/>
      <c r="CY147" s="1354"/>
      <c r="CZ147" s="1354"/>
      <c r="DA147" s="1354"/>
      <c r="DB147" s="1354"/>
      <c r="DC147" s="4383"/>
      <c r="DD147" s="1354"/>
      <c r="DE147" s="1354"/>
      <c r="DF147" s="1354"/>
      <c r="DG147" s="1354"/>
      <c r="DH147" s="4383"/>
      <c r="DI147" s="1354"/>
      <c r="DJ147" s="1354"/>
      <c r="DK147" s="1354"/>
      <c r="DL147" s="1354"/>
      <c r="DM147" s="4383"/>
      <c r="DN147" s="1354"/>
      <c r="DO147" s="1354"/>
      <c r="DP147" s="1354"/>
      <c r="DQ147" s="1354"/>
      <c r="DR147" s="4383"/>
      <c r="DS147" s="1354"/>
      <c r="DT147" s="1354"/>
      <c r="DU147" s="1354"/>
      <c r="DV147" s="1354"/>
      <c r="DW147" s="4383"/>
      <c r="DX147" s="1355"/>
      <c r="DY147" s="1355"/>
      <c r="DZ147" s="1355"/>
      <c r="EA147" s="1355"/>
      <c r="EC147" s="3683"/>
      <c r="ED147" s="3683"/>
    </row>
    <row r="148" spans="1:134" s="287" customFormat="1" ht="11.25" hidden="1" customHeight="1" outlineLevel="1">
      <c r="A148" s="1859" t="s">
        <v>1013</v>
      </c>
      <c r="B148" s="1348"/>
      <c r="C148" s="1348"/>
      <c r="D148" s="1348"/>
      <c r="E148" s="1353"/>
      <c r="F148" s="1348"/>
      <c r="G148" s="1348"/>
      <c r="H148" s="1348"/>
      <c r="I148" s="1353"/>
      <c r="J148" s="1349"/>
      <c r="K148" s="1348"/>
      <c r="L148" s="1348"/>
      <c r="M148" s="1353"/>
      <c r="N148" s="1348"/>
      <c r="O148" s="1348"/>
      <c r="P148" s="1348"/>
      <c r="Q148" s="1353"/>
      <c r="R148" s="1349"/>
      <c r="S148" s="1348"/>
      <c r="T148" s="1348"/>
      <c r="U148" s="1353"/>
      <c r="V148" s="1350"/>
      <c r="W148" s="1351"/>
      <c r="X148" s="1351"/>
      <c r="Y148" s="1353"/>
      <c r="Z148" s="1351"/>
      <c r="AA148" s="1351"/>
      <c r="AB148" s="1351"/>
      <c r="AC148" s="1353"/>
      <c r="AD148" s="1350"/>
      <c r="AE148" s="1351"/>
      <c r="AF148" s="1351"/>
      <c r="AG148" s="1353"/>
      <c r="AH148" s="1351"/>
      <c r="AI148" s="1351"/>
      <c r="AJ148" s="1351"/>
      <c r="AK148" s="1353"/>
      <c r="AL148" s="1350"/>
      <c r="AM148" s="1351"/>
      <c r="AN148" s="1351"/>
      <c r="AO148" s="1353"/>
      <c r="AP148" s="1351"/>
      <c r="AQ148" s="1351"/>
      <c r="AR148" s="1351"/>
      <c r="AS148" s="1353"/>
      <c r="AT148" s="1351"/>
      <c r="AU148" s="1351"/>
      <c r="AV148" s="1351"/>
      <c r="AW148" s="1353"/>
      <c r="AX148" s="1351"/>
      <c r="AY148" s="1351"/>
      <c r="AZ148" s="1351"/>
      <c r="BA148" s="1353"/>
      <c r="BB148" s="1351"/>
      <c r="BC148" s="1351"/>
      <c r="BD148" s="1351"/>
      <c r="BE148" s="1353"/>
      <c r="BF148" s="1351"/>
      <c r="BG148" s="1351"/>
      <c r="BH148" s="1351"/>
      <c r="BI148" s="1351"/>
      <c r="BJ148" s="1352"/>
      <c r="BK148" s="1351"/>
      <c r="BL148" s="1351"/>
      <c r="BM148" s="1351"/>
      <c r="BN148" s="1353"/>
      <c r="BO148" s="1352"/>
      <c r="BP148" s="1351"/>
      <c r="BQ148" s="1351"/>
      <c r="BR148" s="1351"/>
      <c r="BS148" s="1353"/>
      <c r="BT148" s="1352"/>
      <c r="BU148" s="1351"/>
      <c r="BV148" s="1351"/>
      <c r="BW148" s="1351"/>
      <c r="BX148" s="1351"/>
      <c r="BY148" s="1352"/>
      <c r="BZ148" s="1351"/>
      <c r="CA148" s="1351"/>
      <c r="CB148" s="1351"/>
      <c r="CC148" s="1351"/>
      <c r="CD148" s="1352"/>
      <c r="CE148" s="1351"/>
      <c r="CF148" s="1351"/>
      <c r="CG148" s="1351"/>
      <c r="CH148" s="1351"/>
      <c r="CI148" s="1352"/>
      <c r="CJ148" s="1351"/>
      <c r="CK148" s="1351"/>
      <c r="CL148" s="1351"/>
      <c r="CM148" s="1351"/>
      <c r="CN148" s="6066"/>
      <c r="CO148" s="6067"/>
      <c r="CP148" s="6067"/>
      <c r="CQ148" s="6067"/>
      <c r="CR148" s="6067"/>
      <c r="CS148" s="6066"/>
      <c r="CT148" s="6067"/>
      <c r="CU148" s="6067"/>
      <c r="CV148" s="6067"/>
      <c r="CW148" s="6067"/>
      <c r="CX148" s="6066"/>
      <c r="CY148" s="6067"/>
      <c r="CZ148" s="6067"/>
      <c r="DA148" s="6067"/>
      <c r="DB148" s="6067"/>
      <c r="DC148" s="6066"/>
      <c r="DD148" s="6067"/>
      <c r="DE148" s="6067"/>
      <c r="DF148" s="6067"/>
      <c r="DG148" s="6067"/>
      <c r="DH148" s="6066"/>
      <c r="DI148" s="6067"/>
      <c r="DJ148" s="6067"/>
      <c r="DK148" s="6067"/>
      <c r="DL148" s="1351"/>
      <c r="DM148" s="6080"/>
      <c r="DN148" s="1351"/>
      <c r="DO148" s="1351"/>
      <c r="DP148" s="1351"/>
      <c r="DQ148" s="1351"/>
      <c r="DR148" s="1352"/>
      <c r="DS148" s="1351"/>
      <c r="DT148" s="1351"/>
      <c r="DU148" s="1351"/>
      <c r="DV148" s="1351"/>
      <c r="DW148" s="1352"/>
      <c r="DX148" s="1352"/>
      <c r="DY148" s="1352"/>
      <c r="DZ148" s="1352"/>
      <c r="EA148" s="1352"/>
      <c r="EC148" s="3683"/>
      <c r="ED148" s="3683"/>
    </row>
    <row r="149" spans="1:134" ht="11.25" hidden="1" customHeight="1" outlineLevel="1">
      <c r="A149" s="1601" t="str">
        <f>A140</f>
        <v>Technical infrastructure</v>
      </c>
      <c r="B149" s="36"/>
      <c r="C149" s="36"/>
      <c r="D149" s="36"/>
      <c r="E149" s="479"/>
      <c r="F149" s="36"/>
      <c r="G149" s="36"/>
      <c r="H149" s="36"/>
      <c r="I149" s="479"/>
      <c r="J149" s="143"/>
      <c r="K149" s="37"/>
      <c r="L149" s="37"/>
      <c r="M149" s="479"/>
      <c r="N149" s="37"/>
      <c r="O149" s="37"/>
      <c r="P149" s="37"/>
      <c r="Q149" s="479"/>
      <c r="R149" s="143"/>
      <c r="S149" s="76"/>
      <c r="T149" s="36"/>
      <c r="U149" s="479"/>
      <c r="V149" s="41"/>
      <c r="W149" s="43"/>
      <c r="X149" s="43"/>
      <c r="Y149" s="479"/>
      <c r="Z149" s="144"/>
      <c r="AA149" s="42"/>
      <c r="AB149" s="42"/>
      <c r="AC149" s="479"/>
      <c r="AD149" s="144"/>
      <c r="AE149" s="42"/>
      <c r="AF149" s="42"/>
      <c r="AG149" s="479"/>
      <c r="AH149" s="144"/>
      <c r="AI149" s="42"/>
      <c r="AJ149" s="42"/>
      <c r="AK149" s="479"/>
      <c r="AL149" s="144"/>
      <c r="AM149" s="42"/>
      <c r="AN149" s="42"/>
      <c r="AO149" s="479"/>
      <c r="AP149" s="42"/>
      <c r="AQ149" s="42"/>
      <c r="AR149" s="42"/>
      <c r="AS149" s="479"/>
      <c r="AT149" s="144"/>
      <c r="AU149" s="42"/>
      <c r="AV149" s="42"/>
      <c r="AW149" s="479"/>
      <c r="AX149" s="144"/>
      <c r="AY149" s="42"/>
      <c r="AZ149" s="42"/>
      <c r="BA149" s="479"/>
      <c r="BB149" s="42"/>
      <c r="BC149" s="42"/>
      <c r="BD149" s="42"/>
      <c r="BE149" s="479"/>
      <c r="BF149" s="42"/>
      <c r="BG149" s="42"/>
      <c r="BH149" s="42"/>
      <c r="BI149" s="479"/>
      <c r="BJ149" s="1001"/>
      <c r="BK149" s="42"/>
      <c r="BL149" s="42"/>
      <c r="BM149" s="42"/>
      <c r="BN149" s="479"/>
      <c r="BO149" s="1001"/>
      <c r="BP149" s="42"/>
      <c r="BQ149" s="42"/>
      <c r="BR149" s="42"/>
      <c r="BS149" s="479"/>
      <c r="BT149" s="1001"/>
      <c r="BU149" s="42"/>
      <c r="BV149" s="42"/>
      <c r="BW149" s="42"/>
      <c r="BX149" s="42"/>
      <c r="BY149" s="1001"/>
      <c r="BZ149" s="42"/>
      <c r="CA149" s="42"/>
      <c r="CB149" s="42"/>
      <c r="CC149" s="42"/>
      <c r="CD149" s="1001"/>
      <c r="CE149" s="42"/>
      <c r="CF149" s="42"/>
      <c r="CG149" s="42"/>
      <c r="CH149" s="42"/>
      <c r="CI149" s="1001"/>
      <c r="CJ149" s="42"/>
      <c r="CK149" s="42"/>
      <c r="CL149" s="42"/>
      <c r="CM149" s="42"/>
      <c r="CN149" s="869"/>
      <c r="CO149" s="226"/>
      <c r="CP149" s="226"/>
      <c r="CQ149" s="226"/>
      <c r="CR149" s="226"/>
      <c r="CS149" s="869"/>
      <c r="CT149" s="226"/>
      <c r="CU149" s="226"/>
      <c r="CV149" s="226"/>
      <c r="CW149" s="226"/>
      <c r="CX149" s="869"/>
      <c r="CY149" s="226"/>
      <c r="CZ149" s="226"/>
      <c r="DA149" s="226"/>
      <c r="DB149" s="226"/>
      <c r="DC149" s="869"/>
      <c r="DD149" s="226"/>
      <c r="DE149" s="226"/>
      <c r="DF149" s="226"/>
      <c r="DG149" s="226"/>
      <c r="DH149" s="869"/>
      <c r="DI149" s="226"/>
      <c r="DJ149" s="226"/>
      <c r="DK149" s="226"/>
      <c r="DL149" s="42">
        <f>DL140-DG140</f>
        <v>27092</v>
      </c>
      <c r="DM149" s="1001">
        <f t="shared" ref="DM149:DM155" si="626">DM140-DH140</f>
        <v>27092</v>
      </c>
      <c r="DN149" s="42"/>
      <c r="DO149" s="42"/>
      <c r="DP149" s="42"/>
      <c r="DQ149" s="42"/>
      <c r="DR149" s="1001"/>
      <c r="DS149" s="42"/>
      <c r="DT149" s="42"/>
      <c r="DU149" s="42"/>
      <c r="DV149" s="42"/>
      <c r="DW149" s="1001"/>
      <c r="DX149" s="871"/>
      <c r="DY149" s="871"/>
      <c r="DZ149" s="871"/>
      <c r="EA149" s="871"/>
      <c r="EC149" s="3683"/>
      <c r="ED149" s="3683"/>
    </row>
    <row r="150" spans="1:134" ht="11.25" hidden="1" customHeight="1" outlineLevel="1">
      <c r="A150" s="1601" t="str">
        <f t="shared" ref="A150:A155" si="627">A141</f>
        <v>Office space</v>
      </c>
      <c r="B150" s="36"/>
      <c r="C150" s="36"/>
      <c r="D150" s="36"/>
      <c r="E150" s="479"/>
      <c r="F150" s="36"/>
      <c r="G150" s="36"/>
      <c r="H150" s="36"/>
      <c r="I150" s="479"/>
      <c r="J150" s="143"/>
      <c r="K150" s="37"/>
      <c r="L150" s="37"/>
      <c r="M150" s="479"/>
      <c r="N150" s="37"/>
      <c r="O150" s="37"/>
      <c r="P150" s="37"/>
      <c r="Q150" s="479"/>
      <c r="R150" s="143"/>
      <c r="S150" s="76"/>
      <c r="T150" s="36"/>
      <c r="U150" s="479"/>
      <c r="V150" s="41"/>
      <c r="W150" s="43"/>
      <c r="X150" s="43"/>
      <c r="Y150" s="479"/>
      <c r="Z150" s="144"/>
      <c r="AA150" s="42"/>
      <c r="AB150" s="42"/>
      <c r="AC150" s="479"/>
      <c r="AD150" s="144"/>
      <c r="AE150" s="42"/>
      <c r="AF150" s="42"/>
      <c r="AG150" s="479"/>
      <c r="AH150" s="144"/>
      <c r="AI150" s="42"/>
      <c r="AJ150" s="42"/>
      <c r="AK150" s="479"/>
      <c r="AL150" s="144"/>
      <c r="AM150" s="42"/>
      <c r="AN150" s="42"/>
      <c r="AO150" s="479"/>
      <c r="AP150" s="42"/>
      <c r="AQ150" s="42"/>
      <c r="AR150" s="42"/>
      <c r="AS150" s="479"/>
      <c r="AT150" s="144"/>
      <c r="AU150" s="42"/>
      <c r="AV150" s="42"/>
      <c r="AW150" s="479"/>
      <c r="AX150" s="144"/>
      <c r="AY150" s="42"/>
      <c r="AZ150" s="42"/>
      <c r="BA150" s="479"/>
      <c r="BB150" s="42"/>
      <c r="BC150" s="42"/>
      <c r="BD150" s="42"/>
      <c r="BE150" s="479"/>
      <c r="BF150" s="42"/>
      <c r="BG150" s="42"/>
      <c r="BH150" s="42"/>
      <c r="BI150" s="479"/>
      <c r="BJ150" s="1001"/>
      <c r="BK150" s="42"/>
      <c r="BL150" s="42"/>
      <c r="BM150" s="42"/>
      <c r="BN150" s="479"/>
      <c r="BO150" s="1001"/>
      <c r="BP150" s="42"/>
      <c r="BQ150" s="42"/>
      <c r="BR150" s="42"/>
      <c r="BS150" s="479"/>
      <c r="BT150" s="1001"/>
      <c r="BU150" s="42"/>
      <c r="BV150" s="42"/>
      <c r="BW150" s="42"/>
      <c r="BX150" s="42"/>
      <c r="BY150" s="1001"/>
      <c r="BZ150" s="42"/>
      <c r="CA150" s="42"/>
      <c r="CB150" s="42"/>
      <c r="CC150" s="42"/>
      <c r="CD150" s="1001"/>
      <c r="CE150" s="42"/>
      <c r="CF150" s="42"/>
      <c r="CG150" s="42"/>
      <c r="CH150" s="42"/>
      <c r="CI150" s="1001"/>
      <c r="CJ150" s="42"/>
      <c r="CK150" s="42"/>
      <c r="CL150" s="42"/>
      <c r="CM150" s="42"/>
      <c r="CN150" s="869"/>
      <c r="CO150" s="226"/>
      <c r="CP150" s="226"/>
      <c r="CQ150" s="226"/>
      <c r="CR150" s="226"/>
      <c r="CS150" s="869"/>
      <c r="CT150" s="226"/>
      <c r="CU150" s="226"/>
      <c r="CV150" s="226"/>
      <c r="CW150" s="226"/>
      <c r="CX150" s="869"/>
      <c r="CY150" s="226"/>
      <c r="CZ150" s="226"/>
      <c r="DA150" s="226"/>
      <c r="DB150" s="226"/>
      <c r="DC150" s="869"/>
      <c r="DD150" s="226"/>
      <c r="DE150" s="226"/>
      <c r="DF150" s="226"/>
      <c r="DG150" s="226"/>
      <c r="DH150" s="869"/>
      <c r="DI150" s="226"/>
      <c r="DJ150" s="226"/>
      <c r="DK150" s="226"/>
      <c r="DL150" s="42">
        <f t="shared" ref="DL150:DL155" si="628">DL141-DG141</f>
        <v>3279</v>
      </c>
      <c r="DM150" s="1001">
        <f t="shared" si="626"/>
        <v>3279</v>
      </c>
      <c r="DN150" s="42"/>
      <c r="DO150" s="42"/>
      <c r="DP150" s="42"/>
      <c r="DQ150" s="42"/>
      <c r="DR150" s="1001"/>
      <c r="DS150" s="42"/>
      <c r="DT150" s="42"/>
      <c r="DU150" s="42"/>
      <c r="DV150" s="42"/>
      <c r="DW150" s="1001"/>
      <c r="DX150" s="871"/>
      <c r="DY150" s="871"/>
      <c r="DZ150" s="871"/>
      <c r="EA150" s="871"/>
      <c r="EC150" s="3683"/>
      <c r="ED150" s="3683"/>
    </row>
    <row r="151" spans="1:134" ht="11.25" hidden="1" customHeight="1" outlineLevel="1">
      <c r="A151" s="1601" t="str">
        <f t="shared" si="627"/>
        <v>Corporate and other assets</v>
      </c>
      <c r="B151" s="36"/>
      <c r="C151" s="36"/>
      <c r="D151" s="36"/>
      <c r="E151" s="479"/>
      <c r="F151" s="36"/>
      <c r="G151" s="36"/>
      <c r="H151" s="36"/>
      <c r="I151" s="479"/>
      <c r="J151" s="143"/>
      <c r="K151" s="37"/>
      <c r="L151" s="37"/>
      <c r="M151" s="479"/>
      <c r="N151" s="37"/>
      <c r="O151" s="37"/>
      <c r="P151" s="37"/>
      <c r="Q151" s="479"/>
      <c r="R151" s="143"/>
      <c r="S151" s="76"/>
      <c r="T151" s="36"/>
      <c r="U151" s="479"/>
      <c r="V151" s="41"/>
      <c r="W151" s="43"/>
      <c r="X151" s="43"/>
      <c r="Y151" s="479"/>
      <c r="Z151" s="144"/>
      <c r="AA151" s="42"/>
      <c r="AB151" s="42"/>
      <c r="AC151" s="479"/>
      <c r="AD151" s="144"/>
      <c r="AE151" s="42"/>
      <c r="AF151" s="42"/>
      <c r="AG151" s="479"/>
      <c r="AH151" s="144"/>
      <c r="AI151" s="42"/>
      <c r="AJ151" s="42"/>
      <c r="AK151" s="479"/>
      <c r="AL151" s="144"/>
      <c r="AM151" s="42"/>
      <c r="AN151" s="42"/>
      <c r="AO151" s="479"/>
      <c r="AP151" s="42"/>
      <c r="AQ151" s="42"/>
      <c r="AR151" s="42"/>
      <c r="AS151" s="479"/>
      <c r="AT151" s="144"/>
      <c r="AU151" s="42"/>
      <c r="AV151" s="42"/>
      <c r="AW151" s="479"/>
      <c r="AX151" s="144"/>
      <c r="AY151" s="42"/>
      <c r="AZ151" s="42"/>
      <c r="BA151" s="479"/>
      <c r="BB151" s="42"/>
      <c r="BC151" s="42"/>
      <c r="BD151" s="42"/>
      <c r="BE151" s="479"/>
      <c r="BF151" s="42"/>
      <c r="BG151" s="42"/>
      <c r="BH151" s="42"/>
      <c r="BI151" s="479"/>
      <c r="BJ151" s="1001"/>
      <c r="BK151" s="42"/>
      <c r="BL151" s="42"/>
      <c r="BM151" s="42"/>
      <c r="BN151" s="479"/>
      <c r="BO151" s="1001"/>
      <c r="BP151" s="42"/>
      <c r="BQ151" s="42"/>
      <c r="BR151" s="42"/>
      <c r="BS151" s="479"/>
      <c r="BT151" s="1001"/>
      <c r="BU151" s="42"/>
      <c r="BV151" s="42"/>
      <c r="BW151" s="42"/>
      <c r="BX151" s="42"/>
      <c r="BY151" s="1001"/>
      <c r="BZ151" s="42"/>
      <c r="CA151" s="42"/>
      <c r="CB151" s="42"/>
      <c r="CC151" s="42"/>
      <c r="CD151" s="1001"/>
      <c r="CE151" s="42"/>
      <c r="CF151" s="42"/>
      <c r="CG151" s="42"/>
      <c r="CH151" s="42"/>
      <c r="CI151" s="1001"/>
      <c r="CJ151" s="42"/>
      <c r="CK151" s="42"/>
      <c r="CL151" s="42"/>
      <c r="CM151" s="42"/>
      <c r="CN151" s="869"/>
      <c r="CO151" s="226"/>
      <c r="CP151" s="226"/>
      <c r="CQ151" s="226"/>
      <c r="CR151" s="226"/>
      <c r="CS151" s="869"/>
      <c r="CT151" s="226"/>
      <c r="CU151" s="226"/>
      <c r="CV151" s="226"/>
      <c r="CW151" s="226"/>
      <c r="CX151" s="869"/>
      <c r="CY151" s="226"/>
      <c r="CZ151" s="226"/>
      <c r="DA151" s="226"/>
      <c r="DB151" s="226"/>
      <c r="DC151" s="869"/>
      <c r="DD151" s="226"/>
      <c r="DE151" s="226"/>
      <c r="DF151" s="226"/>
      <c r="DG151" s="226"/>
      <c r="DH151" s="869"/>
      <c r="DI151" s="226"/>
      <c r="DJ151" s="226"/>
      <c r="DK151" s="226"/>
      <c r="DL151" s="42">
        <f t="shared" si="628"/>
        <v>2791</v>
      </c>
      <c r="DM151" s="1001">
        <f t="shared" si="626"/>
        <v>2791</v>
      </c>
      <c r="DN151" s="42"/>
      <c r="DO151" s="42"/>
      <c r="DP151" s="42"/>
      <c r="DQ151" s="42"/>
      <c r="DR151" s="1001"/>
      <c r="DS151" s="42"/>
      <c r="DT151" s="42"/>
      <c r="DU151" s="42"/>
      <c r="DV151" s="42"/>
      <c r="DW151" s="1001"/>
      <c r="DX151" s="871"/>
      <c r="DY151" s="871"/>
      <c r="DZ151" s="871"/>
      <c r="EA151" s="871"/>
      <c r="EC151" s="3683"/>
      <c r="ED151" s="3683"/>
    </row>
    <row r="152" spans="1:134" ht="11.25" hidden="1" customHeight="1" outlineLevel="1">
      <c r="A152" s="1860" t="str">
        <f t="shared" si="627"/>
        <v>Property and equipment, in service</v>
      </c>
      <c r="B152" s="1861"/>
      <c r="C152" s="1861"/>
      <c r="D152" s="1861"/>
      <c r="E152" s="1862"/>
      <c r="F152" s="1861"/>
      <c r="G152" s="1861"/>
      <c r="H152" s="1861"/>
      <c r="I152" s="1862"/>
      <c r="J152" s="1871"/>
      <c r="K152" s="1864"/>
      <c r="L152" s="1864"/>
      <c r="M152" s="1862"/>
      <c r="N152" s="1864"/>
      <c r="O152" s="1864"/>
      <c r="P152" s="1864"/>
      <c r="Q152" s="1862"/>
      <c r="R152" s="1871"/>
      <c r="S152" s="1865"/>
      <c r="T152" s="1861"/>
      <c r="U152" s="1862"/>
      <c r="V152" s="1872"/>
      <c r="W152" s="1867"/>
      <c r="X152" s="1867"/>
      <c r="Y152" s="1862"/>
      <c r="Z152" s="1873"/>
      <c r="AA152" s="1869"/>
      <c r="AB152" s="1869"/>
      <c r="AC152" s="1862"/>
      <c r="AD152" s="1873"/>
      <c r="AE152" s="1869"/>
      <c r="AF152" s="1869"/>
      <c r="AG152" s="1862"/>
      <c r="AH152" s="1873"/>
      <c r="AI152" s="1869"/>
      <c r="AJ152" s="1869"/>
      <c r="AK152" s="1862"/>
      <c r="AL152" s="1873"/>
      <c r="AM152" s="1869"/>
      <c r="AN152" s="1869"/>
      <c r="AO152" s="1862"/>
      <c r="AP152" s="1869"/>
      <c r="AQ152" s="1869"/>
      <c r="AR152" s="1869"/>
      <c r="AS152" s="1862"/>
      <c r="AT152" s="1873"/>
      <c r="AU152" s="1869"/>
      <c r="AV152" s="1869"/>
      <c r="AW152" s="1862"/>
      <c r="AX152" s="1873"/>
      <c r="AY152" s="1869"/>
      <c r="AZ152" s="1869"/>
      <c r="BA152" s="1862"/>
      <c r="BB152" s="1869"/>
      <c r="BC152" s="1869"/>
      <c r="BD152" s="1869"/>
      <c r="BE152" s="1862"/>
      <c r="BF152" s="1869"/>
      <c r="BG152" s="1869"/>
      <c r="BH152" s="1869"/>
      <c r="BI152" s="1862"/>
      <c r="BJ152" s="1874"/>
      <c r="BK152" s="1869"/>
      <c r="BL152" s="1869"/>
      <c r="BM152" s="1869"/>
      <c r="BN152" s="1862"/>
      <c r="BO152" s="1874"/>
      <c r="BP152" s="1869"/>
      <c r="BQ152" s="1869"/>
      <c r="BR152" s="1869"/>
      <c r="BS152" s="1862"/>
      <c r="BT152" s="1874"/>
      <c r="BU152" s="1869"/>
      <c r="BV152" s="1869"/>
      <c r="BW152" s="1869"/>
      <c r="BX152" s="1869"/>
      <c r="BY152" s="1874"/>
      <c r="BZ152" s="1869"/>
      <c r="CA152" s="1869"/>
      <c r="CB152" s="1869"/>
      <c r="CC152" s="1869"/>
      <c r="CD152" s="1874"/>
      <c r="CE152" s="1869"/>
      <c r="CF152" s="1869"/>
      <c r="CG152" s="1869"/>
      <c r="CH152" s="1869"/>
      <c r="CI152" s="1874"/>
      <c r="CJ152" s="1869"/>
      <c r="CK152" s="1869"/>
      <c r="CL152" s="1869"/>
      <c r="CM152" s="1869"/>
      <c r="CN152" s="3692"/>
      <c r="CO152" s="5942"/>
      <c r="CP152" s="5942"/>
      <c r="CQ152" s="5942"/>
      <c r="CR152" s="5942"/>
      <c r="CS152" s="3692"/>
      <c r="CT152" s="5942"/>
      <c r="CU152" s="5942"/>
      <c r="CV152" s="5942"/>
      <c r="CW152" s="5942"/>
      <c r="CX152" s="3692"/>
      <c r="CY152" s="5942"/>
      <c r="CZ152" s="5942"/>
      <c r="DA152" s="5942"/>
      <c r="DB152" s="5942"/>
      <c r="DC152" s="3692"/>
      <c r="DD152" s="5942"/>
      <c r="DE152" s="5942"/>
      <c r="DF152" s="3993"/>
      <c r="DG152" s="5942"/>
      <c r="DH152" s="3692"/>
      <c r="DI152" s="3993"/>
      <c r="DJ152" s="5942"/>
      <c r="DK152" s="3993"/>
      <c r="DL152" s="5942">
        <f t="shared" si="628"/>
        <v>33162</v>
      </c>
      <c r="DM152" s="1874">
        <f t="shared" si="626"/>
        <v>33162</v>
      </c>
      <c r="DN152" s="1869"/>
      <c r="DO152" s="1869"/>
      <c r="DP152" s="1869"/>
      <c r="DQ152" s="1869"/>
      <c r="DR152" s="1874"/>
      <c r="DS152" s="1869"/>
      <c r="DT152" s="1869"/>
      <c r="DU152" s="1869"/>
      <c r="DV152" s="1869"/>
      <c r="DW152" s="1874"/>
      <c r="DX152" s="1874"/>
      <c r="DY152" s="1874"/>
      <c r="DZ152" s="1874"/>
      <c r="EA152" s="1874"/>
      <c r="EC152" s="3683"/>
      <c r="ED152" s="3683"/>
    </row>
    <row r="153" spans="1:134" ht="11.25" hidden="1" customHeight="1" outlineLevel="1">
      <c r="A153" s="1601" t="str">
        <f t="shared" si="627"/>
        <v>Less: accumulated depreciation</v>
      </c>
      <c r="B153" s="36"/>
      <c r="C153" s="36"/>
      <c r="D153" s="36"/>
      <c r="E153" s="479"/>
      <c r="F153" s="36"/>
      <c r="G153" s="36"/>
      <c r="H153" s="36"/>
      <c r="I153" s="479"/>
      <c r="J153" s="143"/>
      <c r="K153" s="37"/>
      <c r="L153" s="37"/>
      <c r="M153" s="479"/>
      <c r="N153" s="37"/>
      <c r="O153" s="37"/>
      <c r="P153" s="37"/>
      <c r="Q153" s="479"/>
      <c r="R153" s="143"/>
      <c r="S153" s="76"/>
      <c r="T153" s="36"/>
      <c r="U153" s="479"/>
      <c r="V153" s="41"/>
      <c r="W153" s="43"/>
      <c r="X153" s="43"/>
      <c r="Y153" s="479"/>
      <c r="Z153" s="144"/>
      <c r="AA153" s="42"/>
      <c r="AB153" s="42"/>
      <c r="AC153" s="479"/>
      <c r="AD153" s="144"/>
      <c r="AE153" s="42"/>
      <c r="AF153" s="42"/>
      <c r="AG153" s="479"/>
      <c r="AH153" s="144"/>
      <c r="AI153" s="42"/>
      <c r="AJ153" s="42"/>
      <c r="AK153" s="479"/>
      <c r="AL153" s="144"/>
      <c r="AM153" s="42"/>
      <c r="AN153" s="42"/>
      <c r="AO153" s="479"/>
      <c r="AP153" s="42"/>
      <c r="AQ153" s="42"/>
      <c r="AR153" s="42"/>
      <c r="AS153" s="479"/>
      <c r="AT153" s="144"/>
      <c r="AU153" s="42"/>
      <c r="AV153" s="42"/>
      <c r="AW153" s="479"/>
      <c r="AX153" s="144"/>
      <c r="AY153" s="42"/>
      <c r="AZ153" s="42"/>
      <c r="BA153" s="479"/>
      <c r="BB153" s="42"/>
      <c r="BC153" s="42"/>
      <c r="BD153" s="42"/>
      <c r="BE153" s="479"/>
      <c r="BF153" s="42"/>
      <c r="BG153" s="42"/>
      <c r="BH153" s="42"/>
      <c r="BI153" s="479"/>
      <c r="BJ153" s="1001"/>
      <c r="BK153" s="42"/>
      <c r="BL153" s="42"/>
      <c r="BM153" s="42"/>
      <c r="BN153" s="479"/>
      <c r="BO153" s="1001"/>
      <c r="BP153" s="42"/>
      <c r="BQ153" s="42"/>
      <c r="BR153" s="42"/>
      <c r="BS153" s="479"/>
      <c r="BT153" s="1001"/>
      <c r="BU153" s="42"/>
      <c r="BV153" s="42"/>
      <c r="BW153" s="42"/>
      <c r="BX153" s="42"/>
      <c r="BY153" s="1001"/>
      <c r="BZ153" s="42"/>
      <c r="CA153" s="42"/>
      <c r="CB153" s="42"/>
      <c r="CC153" s="42"/>
      <c r="CD153" s="1001"/>
      <c r="CE153" s="42"/>
      <c r="CF153" s="42"/>
      <c r="CG153" s="42"/>
      <c r="CH153" s="42"/>
      <c r="CI153" s="1001"/>
      <c r="CJ153" s="42"/>
      <c r="CK153" s="42"/>
      <c r="CL153" s="42"/>
      <c r="CM153" s="42"/>
      <c r="CN153" s="869"/>
      <c r="CO153" s="226"/>
      <c r="CP153" s="226"/>
      <c r="CQ153" s="226"/>
      <c r="CR153" s="226"/>
      <c r="CS153" s="869"/>
      <c r="CT153" s="226"/>
      <c r="CU153" s="226"/>
      <c r="CV153" s="226"/>
      <c r="CW153" s="226"/>
      <c r="CX153" s="869"/>
      <c r="CY153" s="226"/>
      <c r="CZ153" s="226"/>
      <c r="DA153" s="226"/>
      <c r="DB153" s="226"/>
      <c r="DC153" s="869"/>
      <c r="DD153" s="226"/>
      <c r="DE153" s="226"/>
      <c r="DF153" s="226"/>
      <c r="DG153" s="226"/>
      <c r="DH153" s="869"/>
      <c r="DI153" s="226"/>
      <c r="DJ153" s="226"/>
      <c r="DK153" s="226"/>
      <c r="DL153" s="42">
        <f t="shared" si="628"/>
        <v>-11932</v>
      </c>
      <c r="DM153" s="1001">
        <f t="shared" si="626"/>
        <v>-11932</v>
      </c>
      <c r="DN153" s="42"/>
      <c r="DO153" s="42"/>
      <c r="DP153" s="42"/>
      <c r="DQ153" s="42"/>
      <c r="DR153" s="1001"/>
      <c r="DS153" s="42"/>
      <c r="DT153" s="42"/>
      <c r="DU153" s="42"/>
      <c r="DV153" s="42"/>
      <c r="DW153" s="1001"/>
      <c r="DX153" s="871"/>
      <c r="DY153" s="871"/>
      <c r="DZ153" s="871"/>
      <c r="EA153" s="871"/>
      <c r="EC153" s="3683"/>
      <c r="ED153" s="3683"/>
    </row>
    <row r="154" spans="1:134" ht="11.25" hidden="1" customHeight="1" outlineLevel="1">
      <c r="A154" s="1601" t="str">
        <f t="shared" si="627"/>
        <v>Add: assets not yet in service</v>
      </c>
      <c r="B154" s="36"/>
      <c r="C154" s="36"/>
      <c r="D154" s="36"/>
      <c r="E154" s="479"/>
      <c r="F154" s="36"/>
      <c r="G154" s="36"/>
      <c r="H154" s="36"/>
      <c r="I154" s="479"/>
      <c r="J154" s="143"/>
      <c r="K154" s="37"/>
      <c r="L154" s="37"/>
      <c r="M154" s="479"/>
      <c r="N154" s="37"/>
      <c r="O154" s="37"/>
      <c r="P154" s="37"/>
      <c r="Q154" s="479"/>
      <c r="R154" s="143"/>
      <c r="S154" s="76"/>
      <c r="T154" s="36"/>
      <c r="U154" s="479"/>
      <c r="V154" s="41"/>
      <c r="W154" s="43"/>
      <c r="X154" s="43"/>
      <c r="Y154" s="479"/>
      <c r="Z154" s="144"/>
      <c r="AA154" s="42"/>
      <c r="AB154" s="42"/>
      <c r="AC154" s="479"/>
      <c r="AD154" s="144"/>
      <c r="AE154" s="42"/>
      <c r="AF154" s="42"/>
      <c r="AG154" s="479"/>
      <c r="AH154" s="144"/>
      <c r="AI154" s="42"/>
      <c r="AJ154" s="42"/>
      <c r="AK154" s="479"/>
      <c r="AL154" s="144"/>
      <c r="AM154" s="42"/>
      <c r="AN154" s="42"/>
      <c r="AO154" s="479"/>
      <c r="AP154" s="42"/>
      <c r="AQ154" s="42"/>
      <c r="AR154" s="42"/>
      <c r="AS154" s="479"/>
      <c r="AT154" s="144"/>
      <c r="AU154" s="42"/>
      <c r="AV154" s="42"/>
      <c r="AW154" s="479"/>
      <c r="AX154" s="144"/>
      <c r="AY154" s="42"/>
      <c r="AZ154" s="42"/>
      <c r="BA154" s="479"/>
      <c r="BB154" s="42"/>
      <c r="BC154" s="42"/>
      <c r="BD154" s="42"/>
      <c r="BE154" s="479"/>
      <c r="BF154" s="42"/>
      <c r="BG154" s="42"/>
      <c r="BH154" s="42"/>
      <c r="BI154" s="479"/>
      <c r="BJ154" s="1001"/>
      <c r="BK154" s="42"/>
      <c r="BL154" s="42"/>
      <c r="BM154" s="42"/>
      <c r="BN154" s="479"/>
      <c r="BO154" s="1001"/>
      <c r="BP154" s="42"/>
      <c r="BQ154" s="42"/>
      <c r="BR154" s="42"/>
      <c r="BS154" s="479"/>
      <c r="BT154" s="1001"/>
      <c r="BU154" s="42"/>
      <c r="BV154" s="42"/>
      <c r="BW154" s="42"/>
      <c r="BX154" s="42"/>
      <c r="BY154" s="1001"/>
      <c r="BZ154" s="42"/>
      <c r="CA154" s="42"/>
      <c r="CB154" s="42"/>
      <c r="CC154" s="42"/>
      <c r="CD154" s="1001"/>
      <c r="CE154" s="42"/>
      <c r="CF154" s="42"/>
      <c r="CG154" s="42"/>
      <c r="CH154" s="42"/>
      <c r="CI154" s="1001"/>
      <c r="CJ154" s="42"/>
      <c r="CK154" s="42"/>
      <c r="CL154" s="42"/>
      <c r="CM154" s="42"/>
      <c r="CN154" s="869"/>
      <c r="CO154" s="226"/>
      <c r="CP154" s="226"/>
      <c r="CQ154" s="226"/>
      <c r="CR154" s="226"/>
      <c r="CS154" s="869"/>
      <c r="CT154" s="226"/>
      <c r="CU154" s="226"/>
      <c r="CV154" s="226"/>
      <c r="CW154" s="226"/>
      <c r="CX154" s="869"/>
      <c r="CY154" s="226"/>
      <c r="CZ154" s="226"/>
      <c r="DA154" s="226"/>
      <c r="DB154" s="226"/>
      <c r="DC154" s="869"/>
      <c r="DD154" s="226"/>
      <c r="DE154" s="226"/>
      <c r="DF154" s="226"/>
      <c r="DG154" s="226"/>
      <c r="DH154" s="869"/>
      <c r="DI154" s="226"/>
      <c r="DJ154" s="226"/>
      <c r="DK154" s="226"/>
      <c r="DL154" s="42">
        <f t="shared" si="628"/>
        <v>15461</v>
      </c>
      <c r="DM154" s="1001">
        <f t="shared" si="626"/>
        <v>15461</v>
      </c>
      <c r="DN154" s="42"/>
      <c r="DO154" s="42"/>
      <c r="DP154" s="42"/>
      <c r="DQ154" s="42"/>
      <c r="DR154" s="1001"/>
      <c r="DS154" s="42"/>
      <c r="DT154" s="42"/>
      <c r="DU154" s="42"/>
      <c r="DV154" s="42"/>
      <c r="DW154" s="1001"/>
      <c r="DX154" s="871"/>
      <c r="DY154" s="871"/>
      <c r="DZ154" s="871"/>
      <c r="EA154" s="871"/>
      <c r="EC154" s="3683"/>
      <c r="ED154" s="3683"/>
    </row>
    <row r="155" spans="1:134" ht="11.25" hidden="1" customHeight="1" outlineLevel="1">
      <c r="A155" s="1860" t="str">
        <f t="shared" si="627"/>
        <v>Property and equipment, net</v>
      </c>
      <c r="B155" s="1861"/>
      <c r="C155" s="1861"/>
      <c r="D155" s="1861"/>
      <c r="E155" s="1862"/>
      <c r="F155" s="1861"/>
      <c r="G155" s="1861"/>
      <c r="H155" s="1861"/>
      <c r="I155" s="1862"/>
      <c r="J155" s="1871"/>
      <c r="K155" s="1864"/>
      <c r="L155" s="1864"/>
      <c r="M155" s="1862"/>
      <c r="N155" s="1864"/>
      <c r="O155" s="1864"/>
      <c r="P155" s="1864"/>
      <c r="Q155" s="1862"/>
      <c r="R155" s="1871"/>
      <c r="S155" s="1865"/>
      <c r="T155" s="1861"/>
      <c r="U155" s="1862"/>
      <c r="V155" s="1872"/>
      <c r="W155" s="1867"/>
      <c r="X155" s="1867"/>
      <c r="Y155" s="1862"/>
      <c r="Z155" s="1873"/>
      <c r="AA155" s="1869"/>
      <c r="AB155" s="1869"/>
      <c r="AC155" s="1862"/>
      <c r="AD155" s="1873"/>
      <c r="AE155" s="1869"/>
      <c r="AF155" s="1869"/>
      <c r="AG155" s="1862"/>
      <c r="AH155" s="1873"/>
      <c r="AI155" s="1869"/>
      <c r="AJ155" s="1869"/>
      <c r="AK155" s="1862"/>
      <c r="AL155" s="1873"/>
      <c r="AM155" s="1869"/>
      <c r="AN155" s="1869"/>
      <c r="AO155" s="1862"/>
      <c r="AP155" s="1869"/>
      <c r="AQ155" s="1869"/>
      <c r="AR155" s="1869"/>
      <c r="AS155" s="1862"/>
      <c r="AT155" s="1873"/>
      <c r="AU155" s="1869"/>
      <c r="AV155" s="1869"/>
      <c r="AW155" s="1862"/>
      <c r="AX155" s="1873"/>
      <c r="AY155" s="1869"/>
      <c r="AZ155" s="1869"/>
      <c r="BA155" s="1862"/>
      <c r="BB155" s="1869"/>
      <c r="BC155" s="1869"/>
      <c r="BD155" s="1869"/>
      <c r="BE155" s="1862"/>
      <c r="BF155" s="1869"/>
      <c r="BG155" s="1869"/>
      <c r="BH155" s="1869"/>
      <c r="BI155" s="1862"/>
      <c r="BJ155" s="1874"/>
      <c r="BK155" s="1869"/>
      <c r="BL155" s="1869"/>
      <c r="BM155" s="1869"/>
      <c r="BN155" s="1862"/>
      <c r="BO155" s="1874"/>
      <c r="BP155" s="1869"/>
      <c r="BQ155" s="1869"/>
      <c r="BR155" s="1869"/>
      <c r="BS155" s="1862"/>
      <c r="BT155" s="1874"/>
      <c r="BU155" s="1869"/>
      <c r="BV155" s="1869"/>
      <c r="BW155" s="1869"/>
      <c r="BX155" s="1869"/>
      <c r="BY155" s="1874"/>
      <c r="BZ155" s="1869"/>
      <c r="CA155" s="1869"/>
      <c r="CB155" s="1869"/>
      <c r="CC155" s="1869"/>
      <c r="CD155" s="1874"/>
      <c r="CE155" s="1869"/>
      <c r="CF155" s="1869"/>
      <c r="CG155" s="1869"/>
      <c r="CH155" s="1869"/>
      <c r="CI155" s="1874"/>
      <c r="CJ155" s="1869"/>
      <c r="CK155" s="1869"/>
      <c r="CL155" s="1869"/>
      <c r="CM155" s="1869"/>
      <c r="CN155" s="3692"/>
      <c r="CO155" s="5942"/>
      <c r="CP155" s="5942"/>
      <c r="CQ155" s="5942"/>
      <c r="CR155" s="5942"/>
      <c r="CS155" s="3692"/>
      <c r="CT155" s="5942"/>
      <c r="CU155" s="5942"/>
      <c r="CV155" s="5942"/>
      <c r="CW155" s="5942"/>
      <c r="CX155" s="3692"/>
      <c r="CY155" s="5942"/>
      <c r="CZ155" s="5942"/>
      <c r="DA155" s="5942"/>
      <c r="DB155" s="5942"/>
      <c r="DC155" s="3692"/>
      <c r="DD155" s="5942"/>
      <c r="DE155" s="5942"/>
      <c r="DF155" s="3993"/>
      <c r="DG155" s="5942"/>
      <c r="DH155" s="3692"/>
      <c r="DI155" s="3993"/>
      <c r="DJ155" s="5942"/>
      <c r="DK155" s="3993"/>
      <c r="DL155" s="5942">
        <f t="shared" si="628"/>
        <v>36691</v>
      </c>
      <c r="DM155" s="1874">
        <f t="shared" si="626"/>
        <v>36691</v>
      </c>
      <c r="DN155" s="1869"/>
      <c r="DO155" s="1869"/>
      <c r="DP155" s="1869"/>
      <c r="DQ155" s="1869"/>
      <c r="DR155" s="1874"/>
      <c r="DS155" s="1869"/>
      <c r="DT155" s="1869"/>
      <c r="DU155" s="1869"/>
      <c r="DV155" s="1869"/>
      <c r="DW155" s="1874"/>
      <c r="DX155" s="1874"/>
      <c r="DY155" s="1874"/>
      <c r="DZ155" s="1874"/>
      <c r="EA155" s="1874"/>
      <c r="EC155" s="3683"/>
      <c r="ED155" s="3683"/>
    </row>
    <row r="156" spans="1:134" s="287" customFormat="1" ht="11.25" hidden="1" customHeight="1" outlineLevel="1">
      <c r="A156" s="1609"/>
      <c r="B156" s="1348"/>
      <c r="C156" s="1348"/>
      <c r="D156" s="1348"/>
      <c r="E156" s="5320"/>
      <c r="F156" s="1348"/>
      <c r="G156" s="1348"/>
      <c r="H156" s="1348"/>
      <c r="I156" s="5320"/>
      <c r="J156" s="1349"/>
      <c r="K156" s="1348"/>
      <c r="L156" s="1348"/>
      <c r="M156" s="5320"/>
      <c r="N156" s="1348"/>
      <c r="O156" s="1348"/>
      <c r="P156" s="1348"/>
      <c r="Q156" s="5320"/>
      <c r="R156" s="1349"/>
      <c r="S156" s="1348"/>
      <c r="T156" s="1348"/>
      <c r="U156" s="5320"/>
      <c r="V156" s="1350"/>
      <c r="W156" s="1351"/>
      <c r="X156" s="1351"/>
      <c r="Y156" s="5320"/>
      <c r="Z156" s="1351"/>
      <c r="AA156" s="1351"/>
      <c r="AB156" s="1351"/>
      <c r="AC156" s="5320"/>
      <c r="AD156" s="1350"/>
      <c r="AE156" s="1351"/>
      <c r="AF156" s="1351"/>
      <c r="AG156" s="5320"/>
      <c r="AH156" s="1351"/>
      <c r="AI156" s="1351"/>
      <c r="AJ156" s="1351"/>
      <c r="AK156" s="5320"/>
      <c r="AL156" s="1350"/>
      <c r="AM156" s="1351"/>
      <c r="AN156" s="1351"/>
      <c r="AO156" s="5320"/>
      <c r="AP156" s="1351"/>
      <c r="AQ156" s="1351"/>
      <c r="AR156" s="1351"/>
      <c r="AS156" s="5320"/>
      <c r="AT156" s="1351"/>
      <c r="AU156" s="1351"/>
      <c r="AV156" s="1351"/>
      <c r="AW156" s="5320"/>
      <c r="AX156" s="1351"/>
      <c r="AY156" s="1351"/>
      <c r="AZ156" s="1351"/>
      <c r="BA156" s="5320"/>
      <c r="BB156" s="1351"/>
      <c r="BC156" s="1351"/>
      <c r="BD156" s="1351"/>
      <c r="BE156" s="5320"/>
      <c r="BF156" s="1351"/>
      <c r="BG156" s="1351"/>
      <c r="BH156" s="1351"/>
      <c r="BI156" s="1351"/>
      <c r="BJ156" s="1352"/>
      <c r="BK156" s="1351"/>
      <c r="BL156" s="1351"/>
      <c r="BM156" s="1351"/>
      <c r="BN156" s="5320"/>
      <c r="BO156" s="1352"/>
      <c r="BP156" s="1351"/>
      <c r="BQ156" s="1351"/>
      <c r="BR156" s="1351"/>
      <c r="BS156" s="5320"/>
      <c r="BT156" s="1352"/>
      <c r="BU156" s="1351"/>
      <c r="BV156" s="1351"/>
      <c r="BW156" s="1351"/>
      <c r="BX156" s="1351"/>
      <c r="BY156" s="1352"/>
      <c r="BZ156" s="1351"/>
      <c r="CA156" s="1351"/>
      <c r="CB156" s="1351"/>
      <c r="CC156" s="1351"/>
      <c r="CD156" s="1352"/>
      <c r="CE156" s="1351"/>
      <c r="CF156" s="1351"/>
      <c r="CG156" s="1351"/>
      <c r="CH156" s="1351"/>
      <c r="CI156" s="1352"/>
      <c r="CJ156" s="1351"/>
      <c r="CK156" s="1351"/>
      <c r="CL156" s="1351"/>
      <c r="CM156" s="1351"/>
      <c r="CN156" s="1352"/>
      <c r="CO156" s="1351"/>
      <c r="CP156" s="1351"/>
      <c r="CQ156" s="1351"/>
      <c r="CR156" s="1351"/>
      <c r="CS156" s="1352"/>
      <c r="CT156" s="1351"/>
      <c r="CU156" s="1351"/>
      <c r="CV156" s="1351"/>
      <c r="CW156" s="1351"/>
      <c r="CX156" s="1352"/>
      <c r="CY156" s="1351"/>
      <c r="CZ156" s="1351"/>
      <c r="DA156" s="1351"/>
      <c r="DB156" s="1351"/>
      <c r="DC156" s="1352"/>
      <c r="DD156" s="1351"/>
      <c r="DE156" s="1351"/>
      <c r="DF156" s="1351"/>
      <c r="DG156" s="1351"/>
      <c r="DH156" s="1352"/>
      <c r="DI156" s="1351"/>
      <c r="DJ156" s="1351"/>
      <c r="DK156" s="1351"/>
      <c r="DL156" s="1351"/>
      <c r="DM156" s="1352"/>
      <c r="DN156" s="1351"/>
      <c r="DO156" s="1351"/>
      <c r="DP156" s="1351"/>
      <c r="DQ156" s="1351"/>
      <c r="DR156" s="1352"/>
      <c r="DS156" s="1351"/>
      <c r="DT156" s="1351"/>
      <c r="DU156" s="1351"/>
      <c r="DV156" s="1351"/>
      <c r="DW156" s="1352"/>
      <c r="DX156" s="1352"/>
      <c r="DY156" s="1352"/>
      <c r="DZ156" s="1352"/>
      <c r="EA156" s="1352"/>
      <c r="EC156" s="3683"/>
      <c r="ED156" s="3683"/>
    </row>
    <row r="157" spans="1:134" s="287" customFormat="1" ht="11.25" hidden="1" customHeight="1" outlineLevel="1">
      <c r="A157" s="1859" t="s">
        <v>1209</v>
      </c>
      <c r="B157" s="1348"/>
      <c r="C157" s="1348"/>
      <c r="D157" s="1348"/>
      <c r="E157" s="5320"/>
      <c r="F157" s="1348"/>
      <c r="G157" s="1348"/>
      <c r="H157" s="1348"/>
      <c r="I157" s="5320"/>
      <c r="J157" s="1349"/>
      <c r="K157" s="1348"/>
      <c r="L157" s="1348"/>
      <c r="M157" s="5320"/>
      <c r="N157" s="1348"/>
      <c r="O157" s="1348"/>
      <c r="P157" s="1348"/>
      <c r="Q157" s="5320"/>
      <c r="R157" s="1349"/>
      <c r="S157" s="1348"/>
      <c r="T157" s="1348"/>
      <c r="U157" s="5320"/>
      <c r="V157" s="1350"/>
      <c r="W157" s="1351"/>
      <c r="X157" s="1351"/>
      <c r="Y157" s="5320"/>
      <c r="Z157" s="1351"/>
      <c r="AA157" s="1351"/>
      <c r="AB157" s="1351"/>
      <c r="AC157" s="5320"/>
      <c r="AD157" s="1350"/>
      <c r="AE157" s="1351"/>
      <c r="AF157" s="1351"/>
      <c r="AG157" s="5320"/>
      <c r="AH157" s="1351"/>
      <c r="AI157" s="1351"/>
      <c r="AJ157" s="1351"/>
      <c r="AK157" s="5320"/>
      <c r="AL157" s="1350"/>
      <c r="AM157" s="1351"/>
      <c r="AN157" s="1351"/>
      <c r="AO157" s="5320"/>
      <c r="AP157" s="1351"/>
      <c r="AQ157" s="1351"/>
      <c r="AR157" s="1351"/>
      <c r="AS157" s="5320"/>
      <c r="AT157" s="1351"/>
      <c r="AU157" s="1351"/>
      <c r="AV157" s="1351"/>
      <c r="AW157" s="5320"/>
      <c r="AX157" s="1351"/>
      <c r="AY157" s="1351"/>
      <c r="AZ157" s="1351"/>
      <c r="BA157" s="5320"/>
      <c r="BB157" s="1351"/>
      <c r="BC157" s="1351"/>
      <c r="BD157" s="1351"/>
      <c r="BE157" s="5320"/>
      <c r="BF157" s="1351"/>
      <c r="BG157" s="1351"/>
      <c r="BH157" s="1351"/>
      <c r="BI157" s="1351"/>
      <c r="BJ157" s="1352"/>
      <c r="BK157" s="1351"/>
      <c r="BL157" s="1351"/>
      <c r="BM157" s="1351"/>
      <c r="BN157" s="5320"/>
      <c r="BO157" s="1352"/>
      <c r="BP157" s="1351"/>
      <c r="BQ157" s="1351"/>
      <c r="BR157" s="1351"/>
      <c r="BS157" s="5320"/>
      <c r="BT157" s="1352"/>
      <c r="BU157" s="1351"/>
      <c r="BV157" s="1351"/>
      <c r="BW157" s="1351"/>
      <c r="BX157" s="1351"/>
      <c r="BY157" s="1352"/>
      <c r="BZ157" s="1351"/>
      <c r="CA157" s="1351"/>
      <c r="CB157" s="1351"/>
      <c r="CC157" s="1351"/>
      <c r="CD157" s="1352"/>
      <c r="CE157" s="1351"/>
      <c r="CF157" s="1351"/>
      <c r="CG157" s="1351"/>
      <c r="CH157" s="1351"/>
      <c r="CI157" s="1352"/>
      <c r="CJ157" s="1351"/>
      <c r="CK157" s="1351"/>
      <c r="CL157" s="1351"/>
      <c r="CM157" s="1351"/>
      <c r="CN157" s="1352"/>
      <c r="CO157" s="1351"/>
      <c r="CP157" s="1351"/>
      <c r="CQ157" s="1351"/>
      <c r="CR157" s="1351"/>
      <c r="CS157" s="1352"/>
      <c r="CT157" s="1351"/>
      <c r="CU157" s="1351"/>
      <c r="CV157" s="1351"/>
      <c r="CW157" s="1351"/>
      <c r="CX157" s="1352"/>
      <c r="CY157" s="1351"/>
      <c r="CZ157" s="1351"/>
      <c r="DA157" s="1351"/>
      <c r="DB157" s="1351"/>
      <c r="DC157" s="1352"/>
      <c r="DD157" s="1351"/>
      <c r="DE157" s="1351"/>
      <c r="DF157" s="1351"/>
      <c r="DG157" s="1351"/>
      <c r="DH157" s="1352"/>
      <c r="DI157" s="1351"/>
      <c r="DJ157" s="1351"/>
      <c r="DK157" s="1351"/>
      <c r="DL157" s="1351"/>
      <c r="DM157" s="1352"/>
      <c r="DN157" s="1351"/>
      <c r="DO157" s="1351"/>
      <c r="DP157" s="1351"/>
      <c r="DQ157" s="1351"/>
      <c r="DR157" s="1352"/>
      <c r="DS157" s="1351"/>
      <c r="DT157" s="1351"/>
      <c r="DU157" s="1351"/>
      <c r="DV157" s="1351"/>
      <c r="DW157" s="1352"/>
      <c r="DX157" s="1352"/>
      <c r="DY157" s="1352"/>
      <c r="DZ157" s="1352"/>
      <c r="EA157" s="1352"/>
      <c r="EC157" s="3683"/>
      <c r="ED157" s="3683"/>
    </row>
    <row r="158" spans="1:134" s="287" customFormat="1" ht="11.25" hidden="1" customHeight="1" outlineLevel="1">
      <c r="A158" s="1601" t="str">
        <f>A140</f>
        <v>Technical infrastructure</v>
      </c>
      <c r="B158" s="36"/>
      <c r="C158" s="36"/>
      <c r="D158" s="36"/>
      <c r="E158" s="479"/>
      <c r="F158" s="36"/>
      <c r="G158" s="36"/>
      <c r="H158" s="36"/>
      <c r="I158" s="479"/>
      <c r="J158" s="143"/>
      <c r="K158" s="37"/>
      <c r="L158" s="37"/>
      <c r="M158" s="479"/>
      <c r="N158" s="37"/>
      <c r="O158" s="37"/>
      <c r="P158" s="37"/>
      <c r="Q158" s="479"/>
      <c r="R158" s="143"/>
      <c r="S158" s="76"/>
      <c r="T158" s="36"/>
      <c r="U158" s="479"/>
      <c r="V158" s="41"/>
      <c r="W158" s="43"/>
      <c r="X158" s="43"/>
      <c r="Y158" s="479"/>
      <c r="Z158" s="144"/>
      <c r="AA158" s="42"/>
      <c r="AB158" s="42"/>
      <c r="AC158" s="479"/>
      <c r="AD158" s="144"/>
      <c r="AE158" s="42"/>
      <c r="AF158" s="42"/>
      <c r="AG158" s="479"/>
      <c r="AH158" s="144"/>
      <c r="AI158" s="42"/>
      <c r="AJ158" s="42"/>
      <c r="AK158" s="479"/>
      <c r="AL158" s="144"/>
      <c r="AM158" s="42"/>
      <c r="AN158" s="42"/>
      <c r="AO158" s="479"/>
      <c r="AP158" s="42"/>
      <c r="AQ158" s="42"/>
      <c r="AR158" s="42"/>
      <c r="AS158" s="479"/>
      <c r="AT158" s="144"/>
      <c r="AU158" s="42"/>
      <c r="AV158" s="42"/>
      <c r="AW158" s="479"/>
      <c r="AX158" s="144"/>
      <c r="AY158" s="42"/>
      <c r="AZ158" s="42"/>
      <c r="BA158" s="479"/>
      <c r="BB158" s="42"/>
      <c r="BC158" s="42"/>
      <c r="BD158" s="42"/>
      <c r="BE158" s="479"/>
      <c r="BF158" s="42"/>
      <c r="BG158" s="42"/>
      <c r="BH158" s="42"/>
      <c r="BI158" s="479"/>
      <c r="BJ158" s="1001"/>
      <c r="BK158" s="42"/>
      <c r="BL158" s="42"/>
      <c r="BM158" s="42"/>
      <c r="BN158" s="479"/>
      <c r="BO158" s="1001"/>
      <c r="BP158" s="42"/>
      <c r="BQ158" s="42"/>
      <c r="BR158" s="42"/>
      <c r="BS158" s="479"/>
      <c r="BT158" s="1001"/>
      <c r="BU158" s="42"/>
      <c r="BV158" s="42"/>
      <c r="BW158" s="42"/>
      <c r="BX158" s="42"/>
      <c r="BY158" s="1001"/>
      <c r="BZ158" s="42"/>
      <c r="CA158" s="42"/>
      <c r="CB158" s="42"/>
      <c r="CC158" s="42"/>
      <c r="CD158" s="1001"/>
      <c r="CE158" s="42"/>
      <c r="CF158" s="42"/>
      <c r="CG158" s="42"/>
      <c r="CH158" s="42"/>
      <c r="CI158" s="1001"/>
      <c r="CJ158" s="42"/>
      <c r="CK158" s="42"/>
      <c r="CL158" s="42"/>
      <c r="CM158" s="42"/>
      <c r="CN158" s="869"/>
      <c r="CO158" s="226"/>
      <c r="CP158" s="226"/>
      <c r="CQ158" s="226"/>
      <c r="CR158" s="226"/>
      <c r="CS158" s="869"/>
      <c r="CT158" s="226"/>
      <c r="CU158" s="226"/>
      <c r="CV158" s="226"/>
      <c r="CW158" s="226"/>
      <c r="CX158" s="869"/>
      <c r="CY158" s="226"/>
      <c r="CZ158" s="226"/>
      <c r="DA158" s="226"/>
      <c r="DB158" s="226"/>
      <c r="DC158" s="869"/>
      <c r="DD158" s="226"/>
      <c r="DE158" s="226"/>
      <c r="DF158" s="226"/>
      <c r="DG158" s="226"/>
      <c r="DH158" s="869"/>
      <c r="DI158" s="226"/>
      <c r="DJ158" s="226"/>
      <c r="DK158" s="226"/>
      <c r="DL158" s="42"/>
      <c r="DM158" s="1001">
        <f>DM140-DH140</f>
        <v>27092</v>
      </c>
      <c r="DN158" s="42">
        <f>DN140-DL140</f>
        <v>11396</v>
      </c>
      <c r="DO158" s="42">
        <f>DO140-DN140</f>
        <v>16475</v>
      </c>
      <c r="DP158" s="42">
        <f>DP140-DO140</f>
        <v>16640</v>
      </c>
      <c r="DQ158" s="42"/>
      <c r="DR158" s="1001"/>
      <c r="DS158" s="42"/>
      <c r="DT158" s="42"/>
      <c r="DU158" s="42"/>
      <c r="DV158" s="42"/>
      <c r="DW158" s="1001"/>
      <c r="DX158" s="871"/>
      <c r="DY158" s="871"/>
      <c r="DZ158" s="871"/>
      <c r="EA158" s="871"/>
      <c r="EC158" s="3683"/>
      <c r="ED158" s="3683"/>
    </row>
    <row r="159" spans="1:134" s="287" customFormat="1" ht="11.25" hidden="1" customHeight="1" outlineLevel="1">
      <c r="A159" s="1601" t="str">
        <f t="shared" ref="A159:A164" si="629">A141</f>
        <v>Office space</v>
      </c>
      <c r="B159" s="36"/>
      <c r="C159" s="36"/>
      <c r="D159" s="36"/>
      <c r="E159" s="479"/>
      <c r="F159" s="36"/>
      <c r="G159" s="36"/>
      <c r="H159" s="36"/>
      <c r="I159" s="479"/>
      <c r="J159" s="143"/>
      <c r="K159" s="37"/>
      <c r="L159" s="37"/>
      <c r="M159" s="479"/>
      <c r="N159" s="37"/>
      <c r="O159" s="37"/>
      <c r="P159" s="37"/>
      <c r="Q159" s="479"/>
      <c r="R159" s="143"/>
      <c r="S159" s="76"/>
      <c r="T159" s="36"/>
      <c r="U159" s="479"/>
      <c r="V159" s="41"/>
      <c r="W159" s="43"/>
      <c r="X159" s="43"/>
      <c r="Y159" s="479"/>
      <c r="Z159" s="144"/>
      <c r="AA159" s="42"/>
      <c r="AB159" s="42"/>
      <c r="AC159" s="479"/>
      <c r="AD159" s="144"/>
      <c r="AE159" s="42"/>
      <c r="AF159" s="42"/>
      <c r="AG159" s="479"/>
      <c r="AH159" s="144"/>
      <c r="AI159" s="42"/>
      <c r="AJ159" s="42"/>
      <c r="AK159" s="479"/>
      <c r="AL159" s="144"/>
      <c r="AM159" s="42"/>
      <c r="AN159" s="42"/>
      <c r="AO159" s="479"/>
      <c r="AP159" s="42"/>
      <c r="AQ159" s="42"/>
      <c r="AR159" s="42"/>
      <c r="AS159" s="479"/>
      <c r="AT159" s="144"/>
      <c r="AU159" s="42"/>
      <c r="AV159" s="42"/>
      <c r="AW159" s="479"/>
      <c r="AX159" s="144"/>
      <c r="AY159" s="42"/>
      <c r="AZ159" s="42"/>
      <c r="BA159" s="479"/>
      <c r="BB159" s="42"/>
      <c r="BC159" s="42"/>
      <c r="BD159" s="42"/>
      <c r="BE159" s="479"/>
      <c r="BF159" s="42"/>
      <c r="BG159" s="42"/>
      <c r="BH159" s="42"/>
      <c r="BI159" s="479"/>
      <c r="BJ159" s="1001"/>
      <c r="BK159" s="42"/>
      <c r="BL159" s="42"/>
      <c r="BM159" s="42"/>
      <c r="BN159" s="479"/>
      <c r="BO159" s="1001"/>
      <c r="BP159" s="42"/>
      <c r="BQ159" s="42"/>
      <c r="BR159" s="42"/>
      <c r="BS159" s="479"/>
      <c r="BT159" s="1001"/>
      <c r="BU159" s="42"/>
      <c r="BV159" s="42"/>
      <c r="BW159" s="42"/>
      <c r="BX159" s="42"/>
      <c r="BY159" s="1001"/>
      <c r="BZ159" s="42"/>
      <c r="CA159" s="42"/>
      <c r="CB159" s="42"/>
      <c r="CC159" s="42"/>
      <c r="CD159" s="1001"/>
      <c r="CE159" s="42"/>
      <c r="CF159" s="42"/>
      <c r="CG159" s="42"/>
      <c r="CH159" s="42"/>
      <c r="CI159" s="1001"/>
      <c r="CJ159" s="42"/>
      <c r="CK159" s="42"/>
      <c r="CL159" s="42"/>
      <c r="CM159" s="42"/>
      <c r="CN159" s="869"/>
      <c r="CO159" s="226"/>
      <c r="CP159" s="226"/>
      <c r="CQ159" s="226"/>
      <c r="CR159" s="226"/>
      <c r="CS159" s="869"/>
      <c r="CT159" s="226"/>
      <c r="CU159" s="226"/>
      <c r="CV159" s="226"/>
      <c r="CW159" s="226"/>
      <c r="CX159" s="869"/>
      <c r="CY159" s="226"/>
      <c r="CZ159" s="226"/>
      <c r="DA159" s="226"/>
      <c r="DB159" s="226"/>
      <c r="DC159" s="869"/>
      <c r="DD159" s="226"/>
      <c r="DE159" s="226"/>
      <c r="DF159" s="226"/>
      <c r="DG159" s="226"/>
      <c r="DH159" s="869"/>
      <c r="DI159" s="226"/>
      <c r="DJ159" s="226"/>
      <c r="DK159" s="226"/>
      <c r="DL159" s="42"/>
      <c r="DM159" s="1001">
        <f t="shared" ref="DM159:DM164" si="630">DM141-DH141</f>
        <v>3279</v>
      </c>
      <c r="DN159" s="42">
        <f t="shared" ref="DN159:DN164" si="631">DN141-DL141</f>
        <v>1157</v>
      </c>
      <c r="DO159" s="42">
        <f t="shared" ref="DO159:DP164" si="632">DO141-DN141</f>
        <v>622</v>
      </c>
      <c r="DP159" s="42">
        <f t="shared" si="632"/>
        <v>222</v>
      </c>
      <c r="DQ159" s="42"/>
      <c r="DR159" s="1001"/>
      <c r="DS159" s="42"/>
      <c r="DT159" s="42"/>
      <c r="DU159" s="42"/>
      <c r="DV159" s="42"/>
      <c r="DW159" s="1001"/>
      <c r="DX159" s="871"/>
      <c r="DY159" s="871"/>
      <c r="DZ159" s="871"/>
      <c r="EA159" s="871"/>
      <c r="EC159" s="3683"/>
      <c r="ED159" s="3683"/>
    </row>
    <row r="160" spans="1:134" s="287" customFormat="1" ht="11.25" hidden="1" customHeight="1" outlineLevel="1">
      <c r="A160" s="1601" t="str">
        <f t="shared" si="629"/>
        <v>Corporate and other assets</v>
      </c>
      <c r="B160" s="36"/>
      <c r="C160" s="36"/>
      <c r="D160" s="36"/>
      <c r="E160" s="479"/>
      <c r="F160" s="36"/>
      <c r="G160" s="36"/>
      <c r="H160" s="36"/>
      <c r="I160" s="479"/>
      <c r="J160" s="143"/>
      <c r="K160" s="37"/>
      <c r="L160" s="37"/>
      <c r="M160" s="479"/>
      <c r="N160" s="37"/>
      <c r="O160" s="37"/>
      <c r="P160" s="37"/>
      <c r="Q160" s="479"/>
      <c r="R160" s="143"/>
      <c r="S160" s="76"/>
      <c r="T160" s="36"/>
      <c r="U160" s="479"/>
      <c r="V160" s="41"/>
      <c r="W160" s="43"/>
      <c r="X160" s="43"/>
      <c r="Y160" s="479"/>
      <c r="Z160" s="144"/>
      <c r="AA160" s="42"/>
      <c r="AB160" s="42"/>
      <c r="AC160" s="479"/>
      <c r="AD160" s="144"/>
      <c r="AE160" s="42"/>
      <c r="AF160" s="42"/>
      <c r="AG160" s="479"/>
      <c r="AH160" s="144"/>
      <c r="AI160" s="42"/>
      <c r="AJ160" s="42"/>
      <c r="AK160" s="479"/>
      <c r="AL160" s="144"/>
      <c r="AM160" s="42"/>
      <c r="AN160" s="42"/>
      <c r="AO160" s="479"/>
      <c r="AP160" s="42"/>
      <c r="AQ160" s="42"/>
      <c r="AR160" s="42"/>
      <c r="AS160" s="479"/>
      <c r="AT160" s="144"/>
      <c r="AU160" s="42"/>
      <c r="AV160" s="42"/>
      <c r="AW160" s="479"/>
      <c r="AX160" s="144"/>
      <c r="AY160" s="42"/>
      <c r="AZ160" s="42"/>
      <c r="BA160" s="479"/>
      <c r="BB160" s="42"/>
      <c r="BC160" s="42"/>
      <c r="BD160" s="42"/>
      <c r="BE160" s="479"/>
      <c r="BF160" s="42"/>
      <c r="BG160" s="42"/>
      <c r="BH160" s="42"/>
      <c r="BI160" s="479"/>
      <c r="BJ160" s="1001"/>
      <c r="BK160" s="42"/>
      <c r="BL160" s="42"/>
      <c r="BM160" s="42"/>
      <c r="BN160" s="479"/>
      <c r="BO160" s="1001"/>
      <c r="BP160" s="42"/>
      <c r="BQ160" s="42"/>
      <c r="BR160" s="42"/>
      <c r="BS160" s="479"/>
      <c r="BT160" s="1001"/>
      <c r="BU160" s="42"/>
      <c r="BV160" s="42"/>
      <c r="BW160" s="42"/>
      <c r="BX160" s="42"/>
      <c r="BY160" s="1001"/>
      <c r="BZ160" s="42"/>
      <c r="CA160" s="42"/>
      <c r="CB160" s="42"/>
      <c r="CC160" s="42"/>
      <c r="CD160" s="1001"/>
      <c r="CE160" s="42"/>
      <c r="CF160" s="42"/>
      <c r="CG160" s="42"/>
      <c r="CH160" s="42"/>
      <c r="CI160" s="1001"/>
      <c r="CJ160" s="42"/>
      <c r="CK160" s="42"/>
      <c r="CL160" s="42"/>
      <c r="CM160" s="42"/>
      <c r="CN160" s="869"/>
      <c r="CO160" s="226"/>
      <c r="CP160" s="226"/>
      <c r="CQ160" s="226"/>
      <c r="CR160" s="226"/>
      <c r="CS160" s="869"/>
      <c r="CT160" s="226"/>
      <c r="CU160" s="226"/>
      <c r="CV160" s="226"/>
      <c r="CW160" s="226"/>
      <c r="CX160" s="869"/>
      <c r="CY160" s="226"/>
      <c r="CZ160" s="226"/>
      <c r="DA160" s="226"/>
      <c r="DB160" s="226"/>
      <c r="DC160" s="869"/>
      <c r="DD160" s="226"/>
      <c r="DE160" s="226"/>
      <c r="DF160" s="226"/>
      <c r="DG160" s="226"/>
      <c r="DH160" s="869"/>
      <c r="DI160" s="226"/>
      <c r="DJ160" s="226"/>
      <c r="DK160" s="226"/>
      <c r="DL160" s="42"/>
      <c r="DM160" s="1001">
        <f t="shared" si="630"/>
        <v>2791</v>
      </c>
      <c r="DN160" s="42">
        <f t="shared" si="631"/>
        <v>817</v>
      </c>
      <c r="DO160" s="42">
        <f t="shared" si="632"/>
        <v>584</v>
      </c>
      <c r="DP160" s="42">
        <f t="shared" si="632"/>
        <v>139</v>
      </c>
      <c r="DQ160" s="42"/>
      <c r="DR160" s="1001"/>
      <c r="DS160" s="42"/>
      <c r="DT160" s="42"/>
      <c r="DU160" s="42"/>
      <c r="DV160" s="42"/>
      <c r="DW160" s="1001"/>
      <c r="DX160" s="871"/>
      <c r="DY160" s="871"/>
      <c r="DZ160" s="871"/>
      <c r="EA160" s="871"/>
      <c r="EC160" s="3683"/>
      <c r="ED160" s="3683"/>
    </row>
    <row r="161" spans="1:135" s="287" customFormat="1" ht="11.25" hidden="1" customHeight="1" outlineLevel="1">
      <c r="A161" s="1860" t="str">
        <f t="shared" si="629"/>
        <v>Property and equipment, in service</v>
      </c>
      <c r="B161" s="1861"/>
      <c r="C161" s="1861"/>
      <c r="D161" s="1861"/>
      <c r="E161" s="1862"/>
      <c r="F161" s="1861"/>
      <c r="G161" s="1861"/>
      <c r="H161" s="1861"/>
      <c r="I161" s="1862"/>
      <c r="J161" s="1871"/>
      <c r="K161" s="1864"/>
      <c r="L161" s="1864"/>
      <c r="M161" s="1862"/>
      <c r="N161" s="1864"/>
      <c r="O161" s="1864"/>
      <c r="P161" s="1864"/>
      <c r="Q161" s="1862"/>
      <c r="R161" s="1871"/>
      <c r="S161" s="1865"/>
      <c r="T161" s="1861"/>
      <c r="U161" s="1862"/>
      <c r="V161" s="1872"/>
      <c r="W161" s="1867"/>
      <c r="X161" s="1867"/>
      <c r="Y161" s="1862"/>
      <c r="Z161" s="1873"/>
      <c r="AA161" s="1869"/>
      <c r="AB161" s="1869"/>
      <c r="AC161" s="1862"/>
      <c r="AD161" s="1873"/>
      <c r="AE161" s="1869"/>
      <c r="AF161" s="1869"/>
      <c r="AG161" s="1862"/>
      <c r="AH161" s="1873"/>
      <c r="AI161" s="1869"/>
      <c r="AJ161" s="1869"/>
      <c r="AK161" s="1862"/>
      <c r="AL161" s="1873"/>
      <c r="AM161" s="1869"/>
      <c r="AN161" s="1869"/>
      <c r="AO161" s="1862"/>
      <c r="AP161" s="1869"/>
      <c r="AQ161" s="1869"/>
      <c r="AR161" s="1869"/>
      <c r="AS161" s="1862"/>
      <c r="AT161" s="1873"/>
      <c r="AU161" s="1869"/>
      <c r="AV161" s="1869"/>
      <c r="AW161" s="1862"/>
      <c r="AX161" s="1873"/>
      <c r="AY161" s="1869"/>
      <c r="AZ161" s="1869"/>
      <c r="BA161" s="1862"/>
      <c r="BB161" s="1869"/>
      <c r="BC161" s="1869"/>
      <c r="BD161" s="1869"/>
      <c r="BE161" s="1862"/>
      <c r="BF161" s="1869"/>
      <c r="BG161" s="1869"/>
      <c r="BH161" s="1869"/>
      <c r="BI161" s="1862"/>
      <c r="BJ161" s="1874"/>
      <c r="BK161" s="1869"/>
      <c r="BL161" s="1869"/>
      <c r="BM161" s="1869"/>
      <c r="BN161" s="1862"/>
      <c r="BO161" s="1874"/>
      <c r="BP161" s="1869"/>
      <c r="BQ161" s="1869"/>
      <c r="BR161" s="1869"/>
      <c r="BS161" s="1862"/>
      <c r="BT161" s="1874"/>
      <c r="BU161" s="1869"/>
      <c r="BV161" s="1869"/>
      <c r="BW161" s="1869"/>
      <c r="BX161" s="1869"/>
      <c r="BY161" s="1874"/>
      <c r="BZ161" s="1869"/>
      <c r="CA161" s="1869"/>
      <c r="CB161" s="1869"/>
      <c r="CC161" s="1869"/>
      <c r="CD161" s="1874"/>
      <c r="CE161" s="1869"/>
      <c r="CF161" s="1869"/>
      <c r="CG161" s="1869"/>
      <c r="CH161" s="1869"/>
      <c r="CI161" s="1874"/>
      <c r="CJ161" s="1869"/>
      <c r="CK161" s="1869"/>
      <c r="CL161" s="1869"/>
      <c r="CM161" s="1869"/>
      <c r="CN161" s="3692"/>
      <c r="CO161" s="5942"/>
      <c r="CP161" s="5942"/>
      <c r="CQ161" s="5942"/>
      <c r="CR161" s="5942"/>
      <c r="CS161" s="3692"/>
      <c r="CT161" s="5942"/>
      <c r="CU161" s="5942"/>
      <c r="CV161" s="5942"/>
      <c r="CW161" s="5942"/>
      <c r="CX161" s="3692"/>
      <c r="CY161" s="5942"/>
      <c r="CZ161" s="5942"/>
      <c r="DA161" s="5942"/>
      <c r="DB161" s="5942"/>
      <c r="DC161" s="3692"/>
      <c r="DD161" s="5942"/>
      <c r="DE161" s="5942"/>
      <c r="DF161" s="3993"/>
      <c r="DG161" s="5942"/>
      <c r="DH161" s="3692"/>
      <c r="DI161" s="3993"/>
      <c r="DJ161" s="5942"/>
      <c r="DK161" s="3993"/>
      <c r="DL161" s="5942"/>
      <c r="DM161" s="1874">
        <f t="shared" si="630"/>
        <v>33162</v>
      </c>
      <c r="DN161" s="1869">
        <f t="shared" si="631"/>
        <v>13370</v>
      </c>
      <c r="DO161" s="1869">
        <f t="shared" si="632"/>
        <v>17681</v>
      </c>
      <c r="DP161" s="1869">
        <f t="shared" si="632"/>
        <v>17001</v>
      </c>
      <c r="DQ161" s="1869"/>
      <c r="DR161" s="1874"/>
      <c r="DS161" s="1869"/>
      <c r="DT161" s="1869"/>
      <c r="DU161" s="1869"/>
      <c r="DV161" s="1869"/>
      <c r="DW161" s="1874"/>
      <c r="DX161" s="1874"/>
      <c r="DY161" s="1874"/>
      <c r="DZ161" s="1874"/>
      <c r="EA161" s="1874"/>
      <c r="EC161" s="3683"/>
      <c r="ED161" s="3683"/>
    </row>
    <row r="162" spans="1:135" s="287" customFormat="1" ht="11.25" hidden="1" customHeight="1" outlineLevel="1">
      <c r="A162" s="1601" t="str">
        <f t="shared" si="629"/>
        <v>Less: accumulated depreciation</v>
      </c>
      <c r="B162" s="36"/>
      <c r="C162" s="36"/>
      <c r="D162" s="36"/>
      <c r="E162" s="479"/>
      <c r="F162" s="36"/>
      <c r="G162" s="36"/>
      <c r="H162" s="36"/>
      <c r="I162" s="479"/>
      <c r="J162" s="143"/>
      <c r="K162" s="37"/>
      <c r="L162" s="37"/>
      <c r="M162" s="479"/>
      <c r="N162" s="37"/>
      <c r="O162" s="37"/>
      <c r="P162" s="37"/>
      <c r="Q162" s="479"/>
      <c r="R162" s="143"/>
      <c r="S162" s="76"/>
      <c r="T162" s="36"/>
      <c r="U162" s="479"/>
      <c r="V162" s="41"/>
      <c r="W162" s="43"/>
      <c r="X162" s="43"/>
      <c r="Y162" s="479"/>
      <c r="Z162" s="144"/>
      <c r="AA162" s="42"/>
      <c r="AB162" s="42"/>
      <c r="AC162" s="479"/>
      <c r="AD162" s="144"/>
      <c r="AE162" s="42"/>
      <c r="AF162" s="42"/>
      <c r="AG162" s="479"/>
      <c r="AH162" s="144"/>
      <c r="AI162" s="42"/>
      <c r="AJ162" s="42"/>
      <c r="AK162" s="479"/>
      <c r="AL162" s="144"/>
      <c r="AM162" s="42"/>
      <c r="AN162" s="42"/>
      <c r="AO162" s="479"/>
      <c r="AP162" s="42"/>
      <c r="AQ162" s="42"/>
      <c r="AR162" s="42"/>
      <c r="AS162" s="479"/>
      <c r="AT162" s="144"/>
      <c r="AU162" s="42"/>
      <c r="AV162" s="42"/>
      <c r="AW162" s="479"/>
      <c r="AX162" s="144"/>
      <c r="AY162" s="42"/>
      <c r="AZ162" s="42"/>
      <c r="BA162" s="479"/>
      <c r="BB162" s="42"/>
      <c r="BC162" s="42"/>
      <c r="BD162" s="42"/>
      <c r="BE162" s="479"/>
      <c r="BF162" s="42"/>
      <c r="BG162" s="42"/>
      <c r="BH162" s="42"/>
      <c r="BI162" s="479"/>
      <c r="BJ162" s="1001"/>
      <c r="BK162" s="42"/>
      <c r="BL162" s="42"/>
      <c r="BM162" s="42"/>
      <c r="BN162" s="479"/>
      <c r="BO162" s="1001"/>
      <c r="BP162" s="42"/>
      <c r="BQ162" s="42"/>
      <c r="BR162" s="42"/>
      <c r="BS162" s="479"/>
      <c r="BT162" s="1001"/>
      <c r="BU162" s="42"/>
      <c r="BV162" s="42"/>
      <c r="BW162" s="42"/>
      <c r="BX162" s="42"/>
      <c r="BY162" s="1001"/>
      <c r="BZ162" s="42"/>
      <c r="CA162" s="42"/>
      <c r="CB162" s="42"/>
      <c r="CC162" s="42"/>
      <c r="CD162" s="1001"/>
      <c r="CE162" s="42"/>
      <c r="CF162" s="42"/>
      <c r="CG162" s="42"/>
      <c r="CH162" s="42"/>
      <c r="CI162" s="1001"/>
      <c r="CJ162" s="42"/>
      <c r="CK162" s="42"/>
      <c r="CL162" s="42"/>
      <c r="CM162" s="42"/>
      <c r="CN162" s="869"/>
      <c r="CO162" s="226"/>
      <c r="CP162" s="226"/>
      <c r="CQ162" s="226"/>
      <c r="CR162" s="226"/>
      <c r="CS162" s="869"/>
      <c r="CT162" s="226"/>
      <c r="CU162" s="226"/>
      <c r="CV162" s="226"/>
      <c r="CW162" s="226"/>
      <c r="CX162" s="869"/>
      <c r="CY162" s="226"/>
      <c r="CZ162" s="226"/>
      <c r="DA162" s="226"/>
      <c r="DB162" s="226"/>
      <c r="DC162" s="869"/>
      <c r="DD162" s="226"/>
      <c r="DE162" s="226"/>
      <c r="DF162" s="226"/>
      <c r="DG162" s="226"/>
      <c r="DH162" s="869"/>
      <c r="DI162" s="226"/>
      <c r="DJ162" s="226"/>
      <c r="DK162" s="226"/>
      <c r="DL162" s="42"/>
      <c r="DM162" s="1001">
        <f t="shared" si="630"/>
        <v>-11932</v>
      </c>
      <c r="DN162" s="42">
        <f t="shared" si="631"/>
        <v>-4388</v>
      </c>
      <c r="DO162" s="42">
        <f t="shared" si="632"/>
        <v>-5571</v>
      </c>
      <c r="DP162" s="42">
        <f t="shared" si="632"/>
        <v>-4601</v>
      </c>
      <c r="DQ162" s="42"/>
      <c r="DR162" s="1001"/>
      <c r="DS162" s="42"/>
      <c r="DT162" s="42"/>
      <c r="DU162" s="42"/>
      <c r="DV162" s="42"/>
      <c r="DW162" s="1001"/>
      <c r="DX162" s="871"/>
      <c r="DY162" s="871"/>
      <c r="DZ162" s="871"/>
      <c r="EA162" s="871"/>
      <c r="EC162" s="3683"/>
      <c r="ED162" s="3683"/>
    </row>
    <row r="163" spans="1:135" s="287" customFormat="1" ht="11.25" hidden="1" customHeight="1" outlineLevel="1">
      <c r="A163" s="1601" t="str">
        <f t="shared" si="629"/>
        <v>Add: assets not yet in service</v>
      </c>
      <c r="B163" s="36"/>
      <c r="C163" s="36"/>
      <c r="D163" s="36"/>
      <c r="E163" s="479"/>
      <c r="F163" s="36"/>
      <c r="G163" s="36"/>
      <c r="H163" s="36"/>
      <c r="I163" s="479"/>
      <c r="J163" s="143"/>
      <c r="K163" s="37"/>
      <c r="L163" s="37"/>
      <c r="M163" s="479"/>
      <c r="N163" s="37"/>
      <c r="O163" s="37"/>
      <c r="P163" s="37"/>
      <c r="Q163" s="479"/>
      <c r="R163" s="143"/>
      <c r="S163" s="76"/>
      <c r="T163" s="36"/>
      <c r="U163" s="479"/>
      <c r="V163" s="41"/>
      <c r="W163" s="43"/>
      <c r="X163" s="43"/>
      <c r="Y163" s="479"/>
      <c r="Z163" s="144"/>
      <c r="AA163" s="42"/>
      <c r="AB163" s="42"/>
      <c r="AC163" s="479"/>
      <c r="AD163" s="144"/>
      <c r="AE163" s="42"/>
      <c r="AF163" s="42"/>
      <c r="AG163" s="479"/>
      <c r="AH163" s="144"/>
      <c r="AI163" s="42"/>
      <c r="AJ163" s="42"/>
      <c r="AK163" s="479"/>
      <c r="AL163" s="144"/>
      <c r="AM163" s="42"/>
      <c r="AN163" s="42"/>
      <c r="AO163" s="479"/>
      <c r="AP163" s="42"/>
      <c r="AQ163" s="42"/>
      <c r="AR163" s="42"/>
      <c r="AS163" s="479"/>
      <c r="AT163" s="144"/>
      <c r="AU163" s="42"/>
      <c r="AV163" s="42"/>
      <c r="AW163" s="479"/>
      <c r="AX163" s="144"/>
      <c r="AY163" s="42"/>
      <c r="AZ163" s="42"/>
      <c r="BA163" s="479"/>
      <c r="BB163" s="42"/>
      <c r="BC163" s="42"/>
      <c r="BD163" s="42"/>
      <c r="BE163" s="479"/>
      <c r="BF163" s="42"/>
      <c r="BG163" s="42"/>
      <c r="BH163" s="42"/>
      <c r="BI163" s="479"/>
      <c r="BJ163" s="1001"/>
      <c r="BK163" s="42"/>
      <c r="BL163" s="42"/>
      <c r="BM163" s="42"/>
      <c r="BN163" s="479"/>
      <c r="BO163" s="1001"/>
      <c r="BP163" s="42"/>
      <c r="BQ163" s="42"/>
      <c r="BR163" s="42"/>
      <c r="BS163" s="479"/>
      <c r="BT163" s="1001"/>
      <c r="BU163" s="42"/>
      <c r="BV163" s="42"/>
      <c r="BW163" s="42"/>
      <c r="BX163" s="42"/>
      <c r="BY163" s="1001"/>
      <c r="BZ163" s="42"/>
      <c r="CA163" s="42"/>
      <c r="CB163" s="42"/>
      <c r="CC163" s="42"/>
      <c r="CD163" s="1001"/>
      <c r="CE163" s="42"/>
      <c r="CF163" s="42"/>
      <c r="CG163" s="42"/>
      <c r="CH163" s="42"/>
      <c r="CI163" s="1001"/>
      <c r="CJ163" s="42"/>
      <c r="CK163" s="42"/>
      <c r="CL163" s="42"/>
      <c r="CM163" s="42"/>
      <c r="CN163" s="869"/>
      <c r="CO163" s="226"/>
      <c r="CP163" s="226"/>
      <c r="CQ163" s="226"/>
      <c r="CR163" s="226"/>
      <c r="CS163" s="869"/>
      <c r="CT163" s="226"/>
      <c r="CU163" s="226"/>
      <c r="CV163" s="226"/>
      <c r="CW163" s="226"/>
      <c r="CX163" s="869"/>
      <c r="CY163" s="226"/>
      <c r="CZ163" s="226"/>
      <c r="DA163" s="226"/>
      <c r="DB163" s="226"/>
      <c r="DC163" s="869"/>
      <c r="DD163" s="226"/>
      <c r="DE163" s="226"/>
      <c r="DF163" s="226"/>
      <c r="DG163" s="226"/>
      <c r="DH163" s="869"/>
      <c r="DI163" s="226"/>
      <c r="DJ163" s="226"/>
      <c r="DK163" s="226"/>
      <c r="DL163" s="42"/>
      <c r="DM163" s="1001">
        <f t="shared" si="630"/>
        <v>15461</v>
      </c>
      <c r="DN163" s="42">
        <f t="shared" si="631"/>
        <v>5044</v>
      </c>
      <c r="DO163" s="42">
        <f t="shared" si="632"/>
        <v>6059</v>
      </c>
      <c r="DP163" s="42">
        <f t="shared" si="632"/>
        <v>8156</v>
      </c>
      <c r="DQ163" s="42"/>
      <c r="DR163" s="1001"/>
      <c r="DS163" s="42"/>
      <c r="DT163" s="42"/>
      <c r="DU163" s="42"/>
      <c r="DV163" s="42"/>
      <c r="DW163" s="1001"/>
      <c r="DX163" s="871"/>
      <c r="DY163" s="871"/>
      <c r="DZ163" s="871"/>
      <c r="EA163" s="871"/>
      <c r="EC163" s="3683"/>
      <c r="ED163" s="3683"/>
    </row>
    <row r="164" spans="1:135" s="287" customFormat="1" ht="11.25" hidden="1" customHeight="1" outlineLevel="1">
      <c r="A164" s="1860" t="str">
        <f t="shared" si="629"/>
        <v>Property and equipment, net</v>
      </c>
      <c r="B164" s="1861"/>
      <c r="C164" s="1861"/>
      <c r="D164" s="1861"/>
      <c r="E164" s="1862"/>
      <c r="F164" s="1861"/>
      <c r="G164" s="1861"/>
      <c r="H164" s="1861"/>
      <c r="I164" s="1862"/>
      <c r="J164" s="1871"/>
      <c r="K164" s="1864"/>
      <c r="L164" s="1864"/>
      <c r="M164" s="1862"/>
      <c r="N164" s="1864"/>
      <c r="O164" s="1864"/>
      <c r="P164" s="1864"/>
      <c r="Q164" s="1862"/>
      <c r="R164" s="1871"/>
      <c r="S164" s="1865"/>
      <c r="T164" s="1861"/>
      <c r="U164" s="1862"/>
      <c r="V164" s="1872"/>
      <c r="W164" s="1867"/>
      <c r="X164" s="1867"/>
      <c r="Y164" s="1862"/>
      <c r="Z164" s="1873"/>
      <c r="AA164" s="1869"/>
      <c r="AB164" s="1869"/>
      <c r="AC164" s="1862"/>
      <c r="AD164" s="1873"/>
      <c r="AE164" s="1869"/>
      <c r="AF164" s="1869"/>
      <c r="AG164" s="1862"/>
      <c r="AH164" s="1873"/>
      <c r="AI164" s="1869"/>
      <c r="AJ164" s="1869"/>
      <c r="AK164" s="1862"/>
      <c r="AL164" s="1873"/>
      <c r="AM164" s="1869"/>
      <c r="AN164" s="1869"/>
      <c r="AO164" s="1862"/>
      <c r="AP164" s="1869"/>
      <c r="AQ164" s="1869"/>
      <c r="AR164" s="1869"/>
      <c r="AS164" s="1862"/>
      <c r="AT164" s="1873"/>
      <c r="AU164" s="1869"/>
      <c r="AV164" s="1869"/>
      <c r="AW164" s="1862"/>
      <c r="AX164" s="1873"/>
      <c r="AY164" s="1869"/>
      <c r="AZ164" s="1869"/>
      <c r="BA164" s="1862"/>
      <c r="BB164" s="1869"/>
      <c r="BC164" s="1869"/>
      <c r="BD164" s="1869"/>
      <c r="BE164" s="1862"/>
      <c r="BF164" s="1869"/>
      <c r="BG164" s="1869"/>
      <c r="BH164" s="1869"/>
      <c r="BI164" s="1862"/>
      <c r="BJ164" s="1874"/>
      <c r="BK164" s="1869"/>
      <c r="BL164" s="1869"/>
      <c r="BM164" s="1869"/>
      <c r="BN164" s="1862"/>
      <c r="BO164" s="1874"/>
      <c r="BP164" s="1869"/>
      <c r="BQ164" s="1869"/>
      <c r="BR164" s="1869"/>
      <c r="BS164" s="1862"/>
      <c r="BT164" s="1874"/>
      <c r="BU164" s="1869"/>
      <c r="BV164" s="1869"/>
      <c r="BW164" s="1869"/>
      <c r="BX164" s="1869"/>
      <c r="BY164" s="1874"/>
      <c r="BZ164" s="1869"/>
      <c r="CA164" s="1869"/>
      <c r="CB164" s="1869"/>
      <c r="CC164" s="1869"/>
      <c r="CD164" s="1874"/>
      <c r="CE164" s="1869"/>
      <c r="CF164" s="1869"/>
      <c r="CG164" s="1869"/>
      <c r="CH164" s="1869"/>
      <c r="CI164" s="1874"/>
      <c r="CJ164" s="1869"/>
      <c r="CK164" s="1869"/>
      <c r="CL164" s="1869"/>
      <c r="CM164" s="1869"/>
      <c r="CN164" s="3692"/>
      <c r="CO164" s="5942"/>
      <c r="CP164" s="5942"/>
      <c r="CQ164" s="5942"/>
      <c r="CR164" s="5942"/>
      <c r="CS164" s="3692"/>
      <c r="CT164" s="5942"/>
      <c r="CU164" s="5942"/>
      <c r="CV164" s="5942"/>
      <c r="CW164" s="5942"/>
      <c r="CX164" s="3692"/>
      <c r="CY164" s="5942"/>
      <c r="CZ164" s="5942"/>
      <c r="DA164" s="5942"/>
      <c r="DB164" s="5942"/>
      <c r="DC164" s="3692"/>
      <c r="DD164" s="5942"/>
      <c r="DE164" s="5942"/>
      <c r="DF164" s="3993"/>
      <c r="DG164" s="5942"/>
      <c r="DH164" s="3692"/>
      <c r="DI164" s="3993"/>
      <c r="DJ164" s="5942"/>
      <c r="DK164" s="3993"/>
      <c r="DL164" s="5942"/>
      <c r="DM164" s="1874">
        <f t="shared" si="630"/>
        <v>36691</v>
      </c>
      <c r="DN164" s="1869">
        <f t="shared" si="631"/>
        <v>14026</v>
      </c>
      <c r="DO164" s="1869">
        <f t="shared" si="632"/>
        <v>18169</v>
      </c>
      <c r="DP164" s="1869">
        <f t="shared" si="632"/>
        <v>20556</v>
      </c>
      <c r="DQ164" s="1869"/>
      <c r="DR164" s="1874"/>
      <c r="DS164" s="1869"/>
      <c r="DT164" s="1869"/>
      <c r="DU164" s="1869"/>
      <c r="DV164" s="1869"/>
      <c r="DW164" s="1874"/>
      <c r="DX164" s="1874"/>
      <c r="DY164" s="1874"/>
      <c r="DZ164" s="1874"/>
      <c r="EA164" s="1874"/>
      <c r="EC164" s="3683"/>
      <c r="ED164" s="3683"/>
    </row>
    <row r="165" spans="1:135" s="287" customFormat="1" ht="11.25" hidden="1" customHeight="1" outlineLevel="1">
      <c r="A165" s="1609"/>
      <c r="B165" s="1348"/>
      <c r="C165" s="1348"/>
      <c r="D165" s="1348"/>
      <c r="E165" s="5320"/>
      <c r="F165" s="1348"/>
      <c r="G165" s="1348"/>
      <c r="H165" s="1348"/>
      <c r="I165" s="5320"/>
      <c r="J165" s="1349"/>
      <c r="K165" s="1348"/>
      <c r="L165" s="1348"/>
      <c r="M165" s="5320"/>
      <c r="N165" s="1348"/>
      <c r="O165" s="1348"/>
      <c r="P165" s="1348"/>
      <c r="Q165" s="5320"/>
      <c r="R165" s="1349"/>
      <c r="S165" s="1348"/>
      <c r="T165" s="1348"/>
      <c r="U165" s="5320"/>
      <c r="V165" s="1350"/>
      <c r="W165" s="1351"/>
      <c r="X165" s="1351"/>
      <c r="Y165" s="5320"/>
      <c r="Z165" s="1351"/>
      <c r="AA165" s="1351"/>
      <c r="AB165" s="1351"/>
      <c r="AC165" s="5320"/>
      <c r="AD165" s="1350"/>
      <c r="AE165" s="1351"/>
      <c r="AF165" s="1351"/>
      <c r="AG165" s="5320"/>
      <c r="AH165" s="1351"/>
      <c r="AI165" s="1351"/>
      <c r="AJ165" s="1351"/>
      <c r="AK165" s="5320"/>
      <c r="AL165" s="1350"/>
      <c r="AM165" s="1351"/>
      <c r="AN165" s="1351"/>
      <c r="AO165" s="5320"/>
      <c r="AP165" s="1351"/>
      <c r="AQ165" s="1351"/>
      <c r="AR165" s="1351"/>
      <c r="AS165" s="5320"/>
      <c r="AT165" s="1351"/>
      <c r="AU165" s="1351"/>
      <c r="AV165" s="1351"/>
      <c r="AW165" s="5320"/>
      <c r="AX165" s="1351"/>
      <c r="AY165" s="1351"/>
      <c r="AZ165" s="1351"/>
      <c r="BA165" s="5320"/>
      <c r="BB165" s="1351"/>
      <c r="BC165" s="1351"/>
      <c r="BD165" s="1351"/>
      <c r="BE165" s="5320"/>
      <c r="BF165" s="1351"/>
      <c r="BG165" s="1351"/>
      <c r="BH165" s="1351"/>
      <c r="BI165" s="1351"/>
      <c r="BJ165" s="1352"/>
      <c r="BK165" s="1351"/>
      <c r="BL165" s="1351"/>
      <c r="BM165" s="1351"/>
      <c r="BN165" s="5320"/>
      <c r="BO165" s="1352"/>
      <c r="BP165" s="1351"/>
      <c r="BQ165" s="1351"/>
      <c r="BR165" s="1351"/>
      <c r="BS165" s="5320"/>
      <c r="BT165" s="1352"/>
      <c r="BU165" s="1351"/>
      <c r="BV165" s="1351"/>
      <c r="BW165" s="1354"/>
      <c r="BX165" s="1354"/>
      <c r="BY165" s="1352"/>
      <c r="BZ165" s="1354"/>
      <c r="CA165" s="1354"/>
      <c r="CB165" s="1354"/>
      <c r="CC165" s="1354"/>
      <c r="CD165" s="1352"/>
      <c r="CE165" s="1354"/>
      <c r="CF165" s="1354"/>
      <c r="CG165" s="1354"/>
      <c r="CH165" s="1354"/>
      <c r="CI165" s="1355"/>
      <c r="CJ165" s="1354"/>
      <c r="CK165" s="1354"/>
      <c r="CL165" s="1354"/>
      <c r="CM165" s="1354"/>
      <c r="CN165" s="4383"/>
      <c r="CO165" s="1354"/>
      <c r="CP165" s="1354"/>
      <c r="CQ165" s="1354"/>
      <c r="CR165" s="1354"/>
      <c r="CS165" s="4383"/>
      <c r="CT165" s="1354"/>
      <c r="CU165" s="1354"/>
      <c r="CV165" s="1354"/>
      <c r="CW165" s="1354"/>
      <c r="CX165" s="4383"/>
      <c r="CY165" s="1354"/>
      <c r="CZ165" s="1354"/>
      <c r="DA165" s="1354"/>
      <c r="DB165" s="1354"/>
      <c r="DC165" s="4383"/>
      <c r="DD165" s="1354"/>
      <c r="DE165" s="1354"/>
      <c r="DF165" s="1354"/>
      <c r="DG165" s="1354"/>
      <c r="DH165" s="4383"/>
      <c r="DI165" s="1354"/>
      <c r="DJ165" s="1354"/>
      <c r="DK165" s="1354"/>
      <c r="DL165" s="1354"/>
      <c r="DM165" s="4383"/>
      <c r="DN165" s="1354"/>
      <c r="DO165" s="1354"/>
      <c r="DP165" s="1354"/>
      <c r="DQ165" s="1354"/>
      <c r="DR165" s="4383"/>
      <c r="DS165" s="1354"/>
      <c r="DT165" s="1354"/>
      <c r="DU165" s="1354"/>
      <c r="DV165" s="1354"/>
      <c r="DW165" s="4383"/>
      <c r="DX165" s="1355"/>
      <c r="DY165" s="1355"/>
      <c r="DZ165" s="1355"/>
      <c r="EA165" s="1355"/>
      <c r="EC165" s="3683"/>
      <c r="ED165" s="3683"/>
    </row>
    <row r="166" spans="1:135" s="287" customFormat="1" ht="11.25" customHeight="1" collapsed="1">
      <c r="A166" s="6068" t="s">
        <v>1128</v>
      </c>
      <c r="B166" s="6069"/>
      <c r="C166" s="6069"/>
      <c r="D166" s="6069"/>
      <c r="E166" s="6070"/>
      <c r="F166" s="6069"/>
      <c r="G166" s="6069"/>
      <c r="H166" s="6069"/>
      <c r="I166" s="6070"/>
      <c r="J166" s="6071"/>
      <c r="K166" s="6069"/>
      <c r="L166" s="6069"/>
      <c r="M166" s="6070"/>
      <c r="N166" s="6069"/>
      <c r="O166" s="6069"/>
      <c r="P166" s="6069"/>
      <c r="Q166" s="6070"/>
      <c r="R166" s="6071"/>
      <c r="S166" s="6069"/>
      <c r="T166" s="6069"/>
      <c r="U166" s="6070"/>
      <c r="V166" s="6072"/>
      <c r="W166" s="6073"/>
      <c r="X166" s="6073"/>
      <c r="Y166" s="6070"/>
      <c r="Z166" s="6073"/>
      <c r="AA166" s="6073"/>
      <c r="AB166" s="6073"/>
      <c r="AC166" s="6070"/>
      <c r="AD166" s="6072"/>
      <c r="AE166" s="6073"/>
      <c r="AF166" s="6073"/>
      <c r="AG166" s="6070"/>
      <c r="AH166" s="6073"/>
      <c r="AI166" s="6073"/>
      <c r="AJ166" s="6073"/>
      <c r="AK166" s="6070"/>
      <c r="AL166" s="6072"/>
      <c r="AM166" s="6073"/>
      <c r="AN166" s="6073"/>
      <c r="AO166" s="6070"/>
      <c r="AP166" s="6073"/>
      <c r="AQ166" s="6073"/>
      <c r="AR166" s="6073"/>
      <c r="AS166" s="6070"/>
      <c r="AT166" s="6073"/>
      <c r="AU166" s="6073"/>
      <c r="AV166" s="6073"/>
      <c r="AW166" s="6070"/>
      <c r="AX166" s="6073"/>
      <c r="AY166" s="6073"/>
      <c r="AZ166" s="6073"/>
      <c r="BA166" s="6070"/>
      <c r="BB166" s="6073"/>
      <c r="BC166" s="6073"/>
      <c r="BD166" s="6073"/>
      <c r="BE166" s="6070"/>
      <c r="BF166" s="6073"/>
      <c r="BG166" s="6073"/>
      <c r="BH166" s="6073"/>
      <c r="BI166" s="6073"/>
      <c r="BJ166" s="6074"/>
      <c r="BK166" s="6073"/>
      <c r="BL166" s="6073"/>
      <c r="BM166" s="6073"/>
      <c r="BN166" s="6070"/>
      <c r="BO166" s="6074"/>
      <c r="BP166" s="6073"/>
      <c r="BQ166" s="6073"/>
      <c r="BR166" s="6073"/>
      <c r="BS166" s="6070"/>
      <c r="BT166" s="6074"/>
      <c r="BU166" s="6073"/>
      <c r="BV166" s="6073"/>
      <c r="BW166" s="6075"/>
      <c r="BX166" s="6075"/>
      <c r="BY166" s="6074"/>
      <c r="BZ166" s="6075"/>
      <c r="CA166" s="6075"/>
      <c r="CB166" s="6075"/>
      <c r="CC166" s="6075"/>
      <c r="CD166" s="6074"/>
      <c r="CE166" s="6075"/>
      <c r="CF166" s="6075"/>
      <c r="CG166" s="6075"/>
      <c r="CH166" s="6075"/>
      <c r="CI166" s="6076"/>
      <c r="CJ166" s="6075"/>
      <c r="CK166" s="6075"/>
      <c r="CL166" s="6075"/>
      <c r="CM166" s="6075"/>
      <c r="CN166" s="6077"/>
      <c r="CO166" s="6075"/>
      <c r="CP166" s="6078"/>
      <c r="CQ166" s="6078"/>
      <c r="CR166" s="6078"/>
      <c r="CS166" s="6077"/>
      <c r="CT166" s="6078"/>
      <c r="CU166" s="6078"/>
      <c r="CV166" s="6078"/>
      <c r="CW166" s="6078"/>
      <c r="CX166" s="6077"/>
      <c r="CY166" s="6078"/>
      <c r="CZ166" s="6078"/>
      <c r="DA166" s="6078"/>
      <c r="DB166" s="6078"/>
      <c r="DC166" s="6229"/>
      <c r="DD166" s="6078"/>
      <c r="DE166" s="6078"/>
      <c r="DF166" s="6078"/>
      <c r="DG166" s="6078"/>
      <c r="DH166" s="6229"/>
      <c r="DI166" s="6078"/>
      <c r="DJ166" s="6078"/>
      <c r="DK166" s="6078"/>
      <c r="DL166" s="6078"/>
      <c r="DM166" s="6229"/>
      <c r="DN166" s="6079"/>
      <c r="DO166" s="6079"/>
      <c r="DP166" s="6079"/>
      <c r="DQ166" s="6079"/>
      <c r="DR166" s="6229"/>
      <c r="DS166" s="6079"/>
      <c r="DT166" s="6079"/>
      <c r="DU166" s="6079"/>
      <c r="DV166" s="6079"/>
      <c r="DW166" s="6229"/>
      <c r="DX166" s="6229"/>
      <c r="DY166" s="6229"/>
      <c r="DZ166" s="6229"/>
      <c r="EA166" s="6229"/>
      <c r="EC166" s="3683"/>
      <c r="ED166" s="3683"/>
    </row>
    <row r="167" spans="1:135" ht="11.25" customHeight="1">
      <c r="A167" s="1601" t="s">
        <v>139</v>
      </c>
      <c r="B167" s="36"/>
      <c r="C167" s="36"/>
      <c r="D167" s="36"/>
      <c r="E167" s="479"/>
      <c r="F167" s="36"/>
      <c r="G167" s="36"/>
      <c r="H167" s="36"/>
      <c r="I167" s="479"/>
      <c r="J167" s="143"/>
      <c r="K167" s="37"/>
      <c r="L167" s="37"/>
      <c r="M167" s="479"/>
      <c r="N167" s="37"/>
      <c r="O167" s="37"/>
      <c r="P167" s="37"/>
      <c r="Q167" s="479">
        <f t="shared" ref="Q167:Y167" si="633">P171</f>
        <v>0</v>
      </c>
      <c r="R167" s="143">
        <f t="shared" si="633"/>
        <v>53.872999999999998</v>
      </c>
      <c r="S167" s="76">
        <f t="shared" si="633"/>
        <v>0</v>
      </c>
      <c r="T167" s="36">
        <f t="shared" si="633"/>
        <v>0</v>
      </c>
      <c r="U167" s="479">
        <f t="shared" si="633"/>
        <v>0</v>
      </c>
      <c r="V167" s="41">
        <f t="shared" si="633"/>
        <v>188.255</v>
      </c>
      <c r="W167" s="43">
        <f t="shared" si="633"/>
        <v>253.006</v>
      </c>
      <c r="X167" s="43">
        <f>W171</f>
        <v>320.71800000000002</v>
      </c>
      <c r="Y167" s="479">
        <f t="shared" si="633"/>
        <v>362.60899999999998</v>
      </c>
      <c r="Z167" s="144">
        <f>Y171</f>
        <v>378.916</v>
      </c>
      <c r="AA167" s="42">
        <f t="shared" ref="AA167:AG167" si="634">Z171</f>
        <v>474.82900000000001</v>
      </c>
      <c r="AB167" s="42">
        <f t="shared" si="634"/>
        <v>576.59699999999998</v>
      </c>
      <c r="AC167" s="479">
        <f t="shared" si="634"/>
        <v>803.07799999999997</v>
      </c>
      <c r="AD167" s="144">
        <f>AC171</f>
        <v>961.74900000000002</v>
      </c>
      <c r="AE167" s="42">
        <f t="shared" si="634"/>
        <v>1209.681</v>
      </c>
      <c r="AF167" s="42">
        <f t="shared" si="634"/>
        <v>1799.7660000000001</v>
      </c>
      <c r="AG167" s="479">
        <f t="shared" si="634"/>
        <v>2174.3139999999999</v>
      </c>
      <c r="AH167" s="144">
        <f>AG171</f>
        <v>2395.239</v>
      </c>
      <c r="AI167" s="42">
        <f t="shared" ref="AI167:AV167" si="635">AH171</f>
        <v>2826.7170000000001</v>
      </c>
      <c r="AJ167" s="42">
        <f t="shared" si="635"/>
        <v>3219.28</v>
      </c>
      <c r="AK167" s="479">
        <f t="shared" si="635"/>
        <v>3588.8139999999999</v>
      </c>
      <c r="AL167" s="144">
        <f>AK171</f>
        <v>4039.261</v>
      </c>
      <c r="AM167" s="42">
        <f t="shared" si="635"/>
        <v>4741.7240000000002</v>
      </c>
      <c r="AN167" s="42">
        <f t="shared" si="635"/>
        <v>5137.71</v>
      </c>
      <c r="AO167" s="479">
        <f t="shared" si="635"/>
        <v>5213.1670000000004</v>
      </c>
      <c r="AP167" s="42">
        <f>AO171</f>
        <v>5233.8429999999998</v>
      </c>
      <c r="AQ167" s="42">
        <f t="shared" si="635"/>
        <v>5122.1049999999996</v>
      </c>
      <c r="AR167" s="42">
        <f t="shared" si="635"/>
        <v>5005.8999999999996</v>
      </c>
      <c r="AS167" s="479">
        <f t="shared" si="635"/>
        <v>4917.491</v>
      </c>
      <c r="AT167" s="144">
        <f>AS171</f>
        <v>4844.6099999999997</v>
      </c>
      <c r="AU167" s="42">
        <f t="shared" si="635"/>
        <v>4773</v>
      </c>
      <c r="AV167" s="42">
        <f t="shared" si="635"/>
        <v>4920</v>
      </c>
      <c r="AW167" s="479">
        <f>AV171</f>
        <v>5506</v>
      </c>
      <c r="AX167" s="144">
        <f>AW171</f>
        <v>7759</v>
      </c>
      <c r="AY167" s="42">
        <f t="shared" ref="AY167:BE167" si="636">AX171</f>
        <v>8249</v>
      </c>
      <c r="AZ167" s="42">
        <f t="shared" si="636"/>
        <v>9003</v>
      </c>
      <c r="BA167" s="479">
        <f t="shared" si="636"/>
        <v>9204</v>
      </c>
      <c r="BB167" s="42">
        <f>BA171</f>
        <v>9603</v>
      </c>
      <c r="BC167" s="42">
        <f t="shared" si="636"/>
        <v>9875</v>
      </c>
      <c r="BD167" s="42">
        <f t="shared" si="636"/>
        <v>10909</v>
      </c>
      <c r="BE167" s="479">
        <f t="shared" si="636"/>
        <v>11401</v>
      </c>
      <c r="BF167" s="42">
        <f>BE171</f>
        <v>11854</v>
      </c>
      <c r="BG167" s="42">
        <f>BF171</f>
        <v>12300</v>
      </c>
      <c r="BH167" s="42">
        <f>BG171</f>
        <v>12912</v>
      </c>
      <c r="BI167" s="42">
        <f>BH171</f>
        <v>14867</v>
      </c>
      <c r="BJ167" s="1001">
        <f>BF167</f>
        <v>11854</v>
      </c>
      <c r="BK167" s="42">
        <f>BI171</f>
        <v>16524</v>
      </c>
      <c r="BL167" s="42">
        <f>BK171</f>
        <v>17877</v>
      </c>
      <c r="BM167" s="42">
        <f>BL171</f>
        <v>19486</v>
      </c>
      <c r="BN167" s="479">
        <f>BM171</f>
        <v>20981</v>
      </c>
      <c r="BO167" s="1001">
        <f>BK167</f>
        <v>16524</v>
      </c>
      <c r="BP167" s="42">
        <f>BN171</f>
        <v>23883</v>
      </c>
      <c r="BQ167" s="42">
        <f t="shared" ref="BQ167:BX167" si="637">BP171</f>
        <v>25448</v>
      </c>
      <c r="BR167" s="42">
        <f t="shared" si="637"/>
        <v>27008</v>
      </c>
      <c r="BS167" s="479">
        <f t="shared" si="637"/>
        <v>28338</v>
      </c>
      <c r="BT167" s="1001">
        <f>BP167</f>
        <v>23883</v>
      </c>
      <c r="BU167" s="731">
        <f>BS171</f>
        <v>29016</v>
      </c>
      <c r="BV167" s="42">
        <f t="shared" si="637"/>
        <v>30162</v>
      </c>
      <c r="BW167" s="42">
        <f t="shared" si="637"/>
        <v>31413</v>
      </c>
      <c r="BX167" s="42">
        <f t="shared" si="637"/>
        <v>32753</v>
      </c>
      <c r="BY167" s="1001">
        <f>BU167</f>
        <v>29016</v>
      </c>
      <c r="BZ167" s="42">
        <f>BY171</f>
        <v>34234</v>
      </c>
      <c r="CA167" s="42">
        <f>BZ171</f>
        <v>35936</v>
      </c>
      <c r="CB167" s="42">
        <f>CA171</f>
        <v>37676</v>
      </c>
      <c r="CC167" s="42">
        <f>CB171</f>
        <v>40120</v>
      </c>
      <c r="CD167" s="1001">
        <f>BZ167</f>
        <v>34234</v>
      </c>
      <c r="CE167" s="42">
        <f>CD171</f>
        <v>42383</v>
      </c>
      <c r="CF167" s="42">
        <f>CE171</f>
        <v>48845</v>
      </c>
      <c r="CG167" s="42">
        <f>CF171</f>
        <v>51672</v>
      </c>
      <c r="CH167" s="42">
        <f>CG171</f>
        <v>55300</v>
      </c>
      <c r="CI167" s="1001">
        <f>CE167</f>
        <v>42383</v>
      </c>
      <c r="CJ167" s="42">
        <f>CI171</f>
        <v>59719</v>
      </c>
      <c r="CK167" s="42">
        <f>CJ171</f>
        <v>60528</v>
      </c>
      <c r="CL167" s="42">
        <f>CK171</f>
        <v>64891</v>
      </c>
      <c r="CM167" s="42">
        <f>CL171</f>
        <v>69252</v>
      </c>
      <c r="CN167" s="5038">
        <f>CJ167</f>
        <v>59719</v>
      </c>
      <c r="CO167" s="226">
        <f>CN171</f>
        <v>73646</v>
      </c>
      <c r="CP167" s="226">
        <f>CO171</f>
        <v>76747</v>
      </c>
      <c r="CQ167" s="226">
        <f>CP171</f>
        <v>78748</v>
      </c>
      <c r="CR167" s="226">
        <f>CQ171</f>
        <v>81636</v>
      </c>
      <c r="CS167" s="5038">
        <f>CO167</f>
        <v>73646</v>
      </c>
      <c r="CT167" s="226">
        <f>CS171</f>
        <v>84749</v>
      </c>
      <c r="CU167" s="226">
        <f>CT171</f>
        <v>87606</v>
      </c>
      <c r="CV167" s="226">
        <f>CU171</f>
        <v>91697</v>
      </c>
      <c r="CW167" s="226">
        <f>CV171</f>
        <v>94631</v>
      </c>
      <c r="CX167" s="5038">
        <f>CT167</f>
        <v>84749</v>
      </c>
      <c r="CY167" s="226">
        <f>CX171</f>
        <v>97599</v>
      </c>
      <c r="CZ167" s="226">
        <f>CY171</f>
        <v>104218</v>
      </c>
      <c r="DA167" s="226">
        <f>CZ171</f>
        <v>106223</v>
      </c>
      <c r="DB167" s="226">
        <f>DA171</f>
        <v>108363</v>
      </c>
      <c r="DC167" s="5038">
        <f>CY167</f>
        <v>97599</v>
      </c>
      <c r="DD167" s="226">
        <f>DC171</f>
        <v>112668</v>
      </c>
      <c r="DE167" s="226">
        <f>DD171</f>
        <v>117560</v>
      </c>
      <c r="DF167" s="226">
        <f>DE171</f>
        <v>121208</v>
      </c>
      <c r="DG167" s="226">
        <f>DF171</f>
        <v>125705</v>
      </c>
      <c r="DH167" s="5038">
        <f>DD167</f>
        <v>112668</v>
      </c>
      <c r="DI167" s="226">
        <f>DH171</f>
        <v>134345</v>
      </c>
      <c r="DJ167" s="226">
        <f>DI171</f>
        <v>143182</v>
      </c>
      <c r="DK167" s="226">
        <f>DJ171</f>
        <v>151155</v>
      </c>
      <c r="DL167" s="226">
        <f>DK171</f>
        <v>161270</v>
      </c>
      <c r="DM167" s="5038">
        <f>DI167</f>
        <v>134345</v>
      </c>
      <c r="DN167" s="226">
        <f>DM171</f>
        <v>171036</v>
      </c>
      <c r="DO167" s="226">
        <f>DN171</f>
        <v>185062</v>
      </c>
      <c r="DP167" s="226">
        <f>DO171</f>
        <v>203231</v>
      </c>
      <c r="DQ167" s="226">
        <f t="shared" ref="DQ167" si="638">DP171</f>
        <v>223787</v>
      </c>
      <c r="DR167" s="5038">
        <f>DN167</f>
        <v>171036</v>
      </c>
      <c r="DS167" s="226">
        <f t="shared" ref="DS167" si="639">DR171</f>
        <v>246152.21264368773</v>
      </c>
      <c r="DT167" s="226">
        <f t="shared" ref="DT167" si="640">DS171</f>
        <v>270417.10054354579</v>
      </c>
      <c r="DU167" s="226">
        <f t="shared" ref="DU167" si="641">DT171</f>
        <v>296531.3190007722</v>
      </c>
      <c r="DV167" s="226">
        <f t="shared" ref="DV167" si="642">DU171</f>
        <v>323341.18808013498</v>
      </c>
      <c r="DW167" s="5038">
        <f>DS167</f>
        <v>246152.21264368773</v>
      </c>
      <c r="DX167" s="869">
        <f>DW171</f>
        <v>350214.89804482699</v>
      </c>
      <c r="DY167" s="869">
        <f>DX171</f>
        <v>456138.78088346461</v>
      </c>
      <c r="DZ167" s="869">
        <f>DY171</f>
        <v>570275.23792444437</v>
      </c>
      <c r="EA167" s="869">
        <f>DZ171</f>
        <v>693147.31250954326</v>
      </c>
      <c r="EC167" s="3683"/>
      <c r="ED167" s="3683"/>
    </row>
    <row r="168" spans="1:135" ht="11.25" customHeight="1">
      <c r="A168" s="1608" t="s">
        <v>79</v>
      </c>
      <c r="B168" s="36"/>
      <c r="C168" s="36"/>
      <c r="D168" s="36"/>
      <c r="E168" s="486"/>
      <c r="F168" s="36"/>
      <c r="G168" s="36"/>
      <c r="H168" s="36"/>
      <c r="I168" s="486"/>
      <c r="J168" s="143"/>
      <c r="K168" s="36"/>
      <c r="L168" s="36"/>
      <c r="M168" s="486"/>
      <c r="N168" s="36"/>
      <c r="O168" s="36"/>
      <c r="P168" s="36"/>
      <c r="Q168" s="486">
        <f>-CF!F23</f>
        <v>37.198</v>
      </c>
      <c r="R168" s="143">
        <f>-CF!H23</f>
        <v>29.55</v>
      </c>
      <c r="S168" s="76">
        <f>-CF!I23</f>
        <v>31.002999999999997</v>
      </c>
      <c r="T168" s="36">
        <f>-CF!J23</f>
        <v>59.757000000000005</v>
      </c>
      <c r="U168" s="486">
        <f>-CF!K23</f>
        <v>56.490999999999985</v>
      </c>
      <c r="V168" s="146">
        <f>-CF!M23</f>
        <v>86.037000000000006</v>
      </c>
      <c r="W168" s="147">
        <f>-CF!N23</f>
        <v>96.245999999999981</v>
      </c>
      <c r="X168" s="147">
        <f>-CF!O23</f>
        <v>77.632000000000033</v>
      </c>
      <c r="Y168" s="486">
        <f>-CF!P23</f>
        <v>59.079999999999984</v>
      </c>
      <c r="Z168" s="149">
        <f>-CF!R23</f>
        <v>142.39099999999999</v>
      </c>
      <c r="AA168" s="150">
        <f>-CF!S23</f>
        <v>157.46299999999999</v>
      </c>
      <c r="AB168" s="150">
        <f>-CF!T23</f>
        <v>292.53200000000004</v>
      </c>
      <c r="AC168" s="486">
        <f>-CF!U23</f>
        <v>245.83099999999999</v>
      </c>
      <c r="AD168" s="149">
        <f>CF!W73</f>
        <v>344.93799999999999</v>
      </c>
      <c r="AE168" s="150">
        <f>CF!X73</f>
        <v>699.00000000000011</v>
      </c>
      <c r="AF168" s="150">
        <f>CF!Y73</f>
        <v>492.22199999999998</v>
      </c>
      <c r="AG168" s="486">
        <f>CF!Z73</f>
        <v>366.63799999999992</v>
      </c>
      <c r="AH168" s="149">
        <f>CF!AB73</f>
        <v>596.89300000000003</v>
      </c>
      <c r="AI168" s="150">
        <f>CF!AC73</f>
        <v>575.09799999999996</v>
      </c>
      <c r="AJ168" s="150">
        <f>CF!AD73</f>
        <v>552.6400000000001</v>
      </c>
      <c r="AK168" s="486">
        <f>CF!AE73</f>
        <v>678.20900000000006</v>
      </c>
      <c r="AL168" s="149">
        <f>CF!AG73</f>
        <v>841.59699999999998</v>
      </c>
      <c r="AM168" s="150">
        <f>CF!AH73</f>
        <v>697.51700000000005</v>
      </c>
      <c r="AN168" s="150">
        <f>CF!AI73</f>
        <v>451.50299999999993</v>
      </c>
      <c r="AO168" s="486">
        <f>CF!AJ73</f>
        <v>367.84399999999999</v>
      </c>
      <c r="AP168" s="149">
        <f>CF!AL73</f>
        <v>262.755</v>
      </c>
      <c r="AQ168" s="150">
        <f>CF!AM73</f>
        <v>139.43700000000001</v>
      </c>
      <c r="AR168" s="150">
        <f>CF!AN73</f>
        <v>186.339</v>
      </c>
      <c r="AS168" s="486">
        <f>CF!AO73</f>
        <v>221.357</v>
      </c>
      <c r="AT168" s="149">
        <f>CF!AQ73</f>
        <v>239</v>
      </c>
      <c r="AU168" s="150">
        <f>CF!AR73</f>
        <v>476</v>
      </c>
      <c r="AV168" s="150">
        <f>CF!AS73</f>
        <v>757</v>
      </c>
      <c r="AW168" s="486">
        <f>CF!AT73</f>
        <v>2545</v>
      </c>
      <c r="AX168" s="149">
        <f>CF!AV73</f>
        <v>890</v>
      </c>
      <c r="AY168" s="150">
        <f>CF!AW73</f>
        <v>917</v>
      </c>
      <c r="AZ168" s="150">
        <f>CF!AX73</f>
        <v>680</v>
      </c>
      <c r="BA168" s="486">
        <f>CF!AY73</f>
        <v>951</v>
      </c>
      <c r="BB168" s="150">
        <f>CF!BA73</f>
        <v>607</v>
      </c>
      <c r="BC168" s="150">
        <f>CF!BB73</f>
        <v>774</v>
      </c>
      <c r="BD168" s="150">
        <f>CF!BC73</f>
        <v>872</v>
      </c>
      <c r="BE168" s="486">
        <f>CF!BD73</f>
        <v>1020</v>
      </c>
      <c r="BF168" s="150">
        <f>CF!BF73</f>
        <v>1203</v>
      </c>
      <c r="BG168" s="150">
        <f>CF!BG73</f>
        <v>1611</v>
      </c>
      <c r="BH168" s="150">
        <f>CF!BH73</f>
        <v>2289</v>
      </c>
      <c r="BI168" s="150">
        <f>CF!BI73</f>
        <v>2255</v>
      </c>
      <c r="BJ168" s="999">
        <f>SUM(BF168:BI168)</f>
        <v>7358</v>
      </c>
      <c r="BK168" s="150">
        <f>CF!BK73</f>
        <v>2345</v>
      </c>
      <c r="BL168" s="150">
        <f>CF!BL73</f>
        <v>2646</v>
      </c>
      <c r="BM168" s="150">
        <f>CF!BM73</f>
        <v>2417</v>
      </c>
      <c r="BN168" s="486">
        <f>CF!BN73</f>
        <v>3551</v>
      </c>
      <c r="BO168" s="999">
        <f>SUM(BK168:BN168)</f>
        <v>10959</v>
      </c>
      <c r="BP168" s="150">
        <f>CF!BP73</f>
        <v>2927</v>
      </c>
      <c r="BQ168" s="150">
        <f>CF!BQ73</f>
        <v>2515</v>
      </c>
      <c r="BR168" s="150">
        <f>CF!BR73</f>
        <v>2383</v>
      </c>
      <c r="BS168" s="486">
        <f>CF!BS73</f>
        <v>2102</v>
      </c>
      <c r="BT168" s="999">
        <f>SUM(BP168:BS168)</f>
        <v>9927</v>
      </c>
      <c r="BU168" s="730">
        <f>CF!BU73</f>
        <v>2444</v>
      </c>
      <c r="BV168" s="150">
        <f>CF!BV73</f>
        <v>2136</v>
      </c>
      <c r="BW168" s="150">
        <f>CF!BW73</f>
        <v>2554</v>
      </c>
      <c r="BX168" s="150">
        <f>CF!BX73</f>
        <v>3078</v>
      </c>
      <c r="BY168" s="999">
        <f>SUM(BU168:BX168)</f>
        <v>10212</v>
      </c>
      <c r="BZ168" s="150">
        <f>CF!BZ73</f>
        <v>2508</v>
      </c>
      <c r="CA168" s="150">
        <f>CF!CA73</f>
        <v>2831</v>
      </c>
      <c r="CB168" s="150">
        <f>CF!CB73</f>
        <v>3538</v>
      </c>
      <c r="CC168" s="150">
        <f>CF!CC73</f>
        <v>4307</v>
      </c>
      <c r="CD168" s="999">
        <f>SUM(BZ168:CC168)</f>
        <v>13184</v>
      </c>
      <c r="CE168" s="150">
        <f>CF!CE73</f>
        <v>7299</v>
      </c>
      <c r="CF168" s="150">
        <f>CF!CF73</f>
        <v>5477</v>
      </c>
      <c r="CG168" s="150">
        <f>CF!CG73</f>
        <v>5282</v>
      </c>
      <c r="CH168" s="150">
        <f>CF!CH73</f>
        <v>7081</v>
      </c>
      <c r="CI168" s="999">
        <f>SUM(CE168:CH168)</f>
        <v>25139</v>
      </c>
      <c r="CJ168" s="150">
        <f>CF!CJ73</f>
        <v>4638</v>
      </c>
      <c r="CK168" s="150">
        <f>CF!CK73</f>
        <v>6126</v>
      </c>
      <c r="CL168" s="150">
        <f>CF!CL73</f>
        <v>6732</v>
      </c>
      <c r="CM168" s="150">
        <f>CF!CM73</f>
        <v>6052</v>
      </c>
      <c r="CN168" s="5039">
        <f>SUM(CJ168:CM168)</f>
        <v>23548</v>
      </c>
      <c r="CO168" s="5040">
        <f>CF!CO73</f>
        <v>6005</v>
      </c>
      <c r="CP168" s="5040">
        <f>CF!CP73</f>
        <v>5391</v>
      </c>
      <c r="CQ168" s="5040">
        <f>CF!CQ73</f>
        <v>5406</v>
      </c>
      <c r="CR168" s="5040">
        <f>CF!CR73</f>
        <v>5479</v>
      </c>
      <c r="CS168" s="5039">
        <f>SUM(CO168:CR168)</f>
        <v>22281</v>
      </c>
      <c r="CT168" s="5040">
        <f>CF!CT73</f>
        <v>5942</v>
      </c>
      <c r="CU168" s="5040">
        <f>CF!CU73</f>
        <v>5496</v>
      </c>
      <c r="CV168" s="5040">
        <f>CF!CV73</f>
        <v>6819</v>
      </c>
      <c r="CW168" s="5040">
        <f>CF!CW73</f>
        <v>6383</v>
      </c>
      <c r="CX168" s="5039">
        <f>SUM(CT168:CW168)</f>
        <v>24640</v>
      </c>
      <c r="CY168" s="5040">
        <f>CF!CY73</f>
        <v>9786</v>
      </c>
      <c r="CZ168" s="5040">
        <f>CF!CZ73</f>
        <v>6828</v>
      </c>
      <c r="DA168" s="5040">
        <f>CF!DA73</f>
        <v>7276</v>
      </c>
      <c r="DB168" s="5040">
        <f>CF!DB73</f>
        <v>7595</v>
      </c>
      <c r="DC168" s="5039">
        <f>SUM(CY168:DB168)</f>
        <v>31485</v>
      </c>
      <c r="DD168" s="5040">
        <f>CF!DD73</f>
        <v>6289</v>
      </c>
      <c r="DE168" s="5040">
        <f>CF!DE73</f>
        <v>6888</v>
      </c>
      <c r="DF168" s="5040">
        <f>CF!DF73</f>
        <v>8055</v>
      </c>
      <c r="DG168" s="5040">
        <f>CF!DG73</f>
        <v>11019</v>
      </c>
      <c r="DH168" s="5039">
        <f>SUM(DD168:DG168)</f>
        <v>32251</v>
      </c>
      <c r="DI168" s="5040">
        <f>CF!DI73</f>
        <v>12012</v>
      </c>
      <c r="DJ168" s="5040">
        <f>CF!DJ73</f>
        <v>13186</v>
      </c>
      <c r="DK168" s="5040">
        <f>CF!DK73</f>
        <v>13061</v>
      </c>
      <c r="DL168" s="5040">
        <f>CF!DL73</f>
        <v>14276</v>
      </c>
      <c r="DM168" s="5039">
        <f>SUM(DI168:DL168)</f>
        <v>52535</v>
      </c>
      <c r="DN168" s="5040">
        <f>CF!DN73</f>
        <v>17197</v>
      </c>
      <c r="DO168" s="5040">
        <f>CF!DO73</f>
        <v>22446</v>
      </c>
      <c r="DP168" s="5040">
        <f>CF!DP73</f>
        <v>23953</v>
      </c>
      <c r="DQ168" s="5040">
        <f>CF!DQ73</f>
        <v>28796.411129211654</v>
      </c>
      <c r="DR168" s="5039">
        <f>SUM(DN168:DQ168)</f>
        <v>92392.411129211658</v>
      </c>
      <c r="DS168" s="5040">
        <f>CF!DS73</f>
        <v>31807.905486705375</v>
      </c>
      <c r="DT168" s="5040">
        <f>CF!DT73</f>
        <v>34818.957942968504</v>
      </c>
      <c r="DU168" s="5040">
        <f>CF!DU73</f>
        <v>36465.530740129485</v>
      </c>
      <c r="DV168" s="5040">
        <f>CF!DV73</f>
        <v>37826.440496520183</v>
      </c>
      <c r="DW168" s="5039">
        <f>SUM(DS168:DV168)</f>
        <v>140918.83466632356</v>
      </c>
      <c r="DX168" s="5041">
        <f>CF!DX73</f>
        <v>156583.13115276871</v>
      </c>
      <c r="DY168" s="5041">
        <f>CF!DY73</f>
        <v>171204.68556146964</v>
      </c>
      <c r="DZ168" s="5041">
        <f>CF!DZ73</f>
        <v>184596.54397761333</v>
      </c>
      <c r="EA168" s="5041">
        <f>CF!EA73</f>
        <v>197553.72407966186</v>
      </c>
      <c r="EC168" s="6197">
        <f>(DX168/DM168)^(1/3)-1</f>
        <v>0.43912575517997077</v>
      </c>
      <c r="ED168" s="6197">
        <f>(DZ168/DM168)^(1/5)-1</f>
        <v>0.28574536043270449</v>
      </c>
      <c r="EE168" s="4184"/>
    </row>
    <row r="169" spans="1:135" ht="11.25" customHeight="1">
      <c r="A169" s="1608" t="s">
        <v>1152</v>
      </c>
      <c r="B169" s="36"/>
      <c r="C169" s="36"/>
      <c r="D169" s="36"/>
      <c r="E169" s="486"/>
      <c r="F169" s="36"/>
      <c r="G169" s="36"/>
      <c r="H169" s="36"/>
      <c r="I169" s="486"/>
      <c r="J169" s="143"/>
      <c r="K169" s="36"/>
      <c r="L169" s="36"/>
      <c r="M169" s="486"/>
      <c r="N169" s="36"/>
      <c r="O169" s="36"/>
      <c r="P169" s="36"/>
      <c r="Q169" s="486">
        <f>CF!G11</f>
        <v>17.815000000000001</v>
      </c>
      <c r="R169" s="143">
        <f>CF!H11</f>
        <v>6.9770000000000003</v>
      </c>
      <c r="S169" s="76">
        <f>CF!I11</f>
        <v>8.9079999999999995</v>
      </c>
      <c r="T169" s="36">
        <f>CF!J11</f>
        <v>12.318000000000001</v>
      </c>
      <c r="U169" s="486">
        <f>CF!K11</f>
        <v>15.648</v>
      </c>
      <c r="V169" s="146">
        <f>CF!M11</f>
        <v>21.286000000000001</v>
      </c>
      <c r="W169" s="150">
        <f>CF!N11</f>
        <v>28.537999999999997</v>
      </c>
      <c r="X169" s="147">
        <f>CF!O11</f>
        <v>35.796000000000006</v>
      </c>
      <c r="Y169" s="486">
        <f>CF!P11</f>
        <v>42.902999999999992</v>
      </c>
      <c r="Z169" s="149">
        <f>CF!R11</f>
        <v>46.478000000000002</v>
      </c>
      <c r="AA169" s="150">
        <f>CF!S11</f>
        <v>56.966999999999992</v>
      </c>
      <c r="AB169" s="150">
        <f>CF!T11</f>
        <v>67.662000000000006</v>
      </c>
      <c r="AC169" s="486">
        <f>CF!U11</f>
        <v>85.705000000000013</v>
      </c>
      <c r="AD169" s="149">
        <f>CF!W11</f>
        <v>95.867999999999995</v>
      </c>
      <c r="AE169" s="150">
        <f>CF!X11</f>
        <v>110.21100000000001</v>
      </c>
      <c r="AF169" s="150">
        <f>CF!Y11</f>
        <v>129.55000000000001</v>
      </c>
      <c r="AG169" s="486">
        <f>CF!Z11</f>
        <v>158.80099999999999</v>
      </c>
      <c r="AH169" s="149">
        <f>CF!AB11</f>
        <v>170.28899999999999</v>
      </c>
      <c r="AI169" s="150">
        <f>CF!AC11</f>
        <v>188.137</v>
      </c>
      <c r="AJ169" s="150">
        <f>CF!AD11</f>
        <v>207.41500000000002</v>
      </c>
      <c r="AK169" s="486">
        <f>CF!AE11</f>
        <v>241.90199999999999</v>
      </c>
      <c r="AL169" s="149">
        <f>CF!AG11</f>
        <v>280.56400000000002</v>
      </c>
      <c r="AM169" s="150">
        <f>CF!AH11</f>
        <v>308.71600000000001</v>
      </c>
      <c r="AN169" s="150">
        <f>CF!AI11</f>
        <v>309.48199999999991</v>
      </c>
      <c r="AO169" s="486">
        <f>CF!AJ11</f>
        <v>313.47500000000002</v>
      </c>
      <c r="AP169" s="149">
        <f>CF!AL11</f>
        <v>321.12900000000002</v>
      </c>
      <c r="AQ169" s="150">
        <f>CF!AM11</f>
        <v>310.98200000000003</v>
      </c>
      <c r="AR169" s="150">
        <f>CF!AN11</f>
        <v>311.10199999999998</v>
      </c>
      <c r="AS169" s="486">
        <f>CF!AO11</f>
        <v>296.81700000000001</v>
      </c>
      <c r="AT169" s="149">
        <f>CF!AQ11</f>
        <v>264</v>
      </c>
      <c r="AU169" s="150">
        <f>CF!AR11</f>
        <v>266</v>
      </c>
      <c r="AV169" s="150">
        <f>CF!AS11</f>
        <v>257</v>
      </c>
      <c r="AW169" s="486">
        <f>CF!AT11</f>
        <v>280</v>
      </c>
      <c r="AX169" s="149">
        <f>CF!AV11</f>
        <v>301</v>
      </c>
      <c r="AY169" s="150">
        <f>CF!AW11</f>
        <v>347</v>
      </c>
      <c r="AZ169" s="150">
        <f>CF!AX11</f>
        <v>363</v>
      </c>
      <c r="BA169" s="486">
        <f>CF!AY11</f>
        <v>385</v>
      </c>
      <c r="BB169" s="150">
        <f>CF!BA11</f>
        <v>378</v>
      </c>
      <c r="BC169" s="150">
        <f>CF!BB11</f>
        <v>473</v>
      </c>
      <c r="BD169" s="150">
        <f>CF!BC11</f>
        <v>507</v>
      </c>
      <c r="BE169" s="486">
        <f>CF!BD11</f>
        <v>630</v>
      </c>
      <c r="BF169" s="150">
        <f>CF!BF11</f>
        <v>584</v>
      </c>
      <c r="BG169" s="150">
        <f>CF!BG11</f>
        <v>747</v>
      </c>
      <c r="BH169" s="150">
        <f>CF!BH11</f>
        <v>693</v>
      </c>
      <c r="BI169" s="150">
        <f>CF!BI11</f>
        <v>757</v>
      </c>
      <c r="BJ169" s="999">
        <f>SUM(BF169:BI169)</f>
        <v>2781</v>
      </c>
      <c r="BK169" s="150">
        <f>CF!BK11</f>
        <v>816</v>
      </c>
      <c r="BL169" s="150">
        <f>CF!BL11</f>
        <v>813</v>
      </c>
      <c r="BM169" s="150">
        <f>CF!BM11</f>
        <v>884</v>
      </c>
      <c r="BN169" s="486">
        <f>CF!BN11</f>
        <v>1010</v>
      </c>
      <c r="BO169" s="999">
        <f>SUM(BK169:BN169)</f>
        <v>3523</v>
      </c>
      <c r="BP169" s="150">
        <f>CF!BP11</f>
        <v>938</v>
      </c>
      <c r="BQ169" s="150">
        <f>CF!BQ11</f>
        <v>1011</v>
      </c>
      <c r="BR169" s="150">
        <f>CF!BR11</f>
        <v>1030</v>
      </c>
      <c r="BS169" s="486">
        <f>CF!BS11</f>
        <v>1153</v>
      </c>
      <c r="BT169" s="999">
        <f>SUM(BP169:BS169)</f>
        <v>4132</v>
      </c>
      <c r="BU169" s="730">
        <f>CF!BU11</f>
        <v>1155</v>
      </c>
      <c r="BV169" s="150">
        <f>CF!BV11</f>
        <v>1271</v>
      </c>
      <c r="BW169" s="150">
        <f>CF!BW11</f>
        <v>1377</v>
      </c>
      <c r="BX169" s="150">
        <f>CF!BX11</f>
        <v>1464</v>
      </c>
      <c r="BY169" s="999">
        <f>SUM(BU169:BX169)</f>
        <v>5267</v>
      </c>
      <c r="BZ169" s="150">
        <f>CF!BZ11</f>
        <v>1287</v>
      </c>
      <c r="CA169" s="150">
        <f>CF!CA11</f>
        <v>1424</v>
      </c>
      <c r="CB169" s="150">
        <f>CF!CB11</f>
        <v>1561</v>
      </c>
      <c r="CC169" s="150">
        <f>CF!CC11</f>
        <v>1831</v>
      </c>
      <c r="CD169" s="999">
        <f>SUM(BZ169:CC169)</f>
        <v>6103</v>
      </c>
      <c r="CE169" s="150">
        <f>CF!CE11</f>
        <v>1791</v>
      </c>
      <c r="CF169" s="150">
        <f>CF!CF11</f>
        <v>1862</v>
      </c>
      <c r="CG169" s="150">
        <f>CF!CG11</f>
        <v>2138</v>
      </c>
      <c r="CH169" s="150">
        <f>CF!CH11</f>
        <v>2373</v>
      </c>
      <c r="CI169" s="999">
        <f>SUM(CE169:CH169)</f>
        <v>8164</v>
      </c>
      <c r="CJ169" s="150">
        <f>CF!CJ11</f>
        <v>2416</v>
      </c>
      <c r="CK169" s="150">
        <f>CF!CK11</f>
        <v>2626</v>
      </c>
      <c r="CL169" s="150">
        <f>CF!CL11</f>
        <v>2732</v>
      </c>
      <c r="CM169" s="150">
        <f>CF!CM11</f>
        <v>3082</v>
      </c>
      <c r="CN169" s="5039">
        <f>SUM(CJ169:CM169)</f>
        <v>10856</v>
      </c>
      <c r="CO169" s="5040">
        <f>CF!CO11</f>
        <v>2899</v>
      </c>
      <c r="CP169" s="5040">
        <f>CF!CP11</f>
        <v>3178</v>
      </c>
      <c r="CQ169" s="5040">
        <f>CF!CQ11</f>
        <v>3289</v>
      </c>
      <c r="CR169" s="5040">
        <f>CF!CR11</f>
        <v>3539</v>
      </c>
      <c r="CS169" s="5039">
        <f>SUM(CO169:CR169)</f>
        <v>12905</v>
      </c>
      <c r="CT169" s="5040">
        <f>CF!CT11</f>
        <v>2525</v>
      </c>
      <c r="CU169" s="5040">
        <f>CF!CU11</f>
        <v>2730</v>
      </c>
      <c r="CV169" s="5040">
        <f>CF!CV11</f>
        <v>3085</v>
      </c>
      <c r="CW169" s="5040">
        <f>CF!CW11</f>
        <v>3215</v>
      </c>
      <c r="CX169" s="5039">
        <f>SUM(CT169:CW169)</f>
        <v>11555</v>
      </c>
      <c r="CY169" s="5040">
        <f>CF!CY11</f>
        <v>3591</v>
      </c>
      <c r="CZ169" s="5040">
        <f>CF!CZ11</f>
        <v>3698</v>
      </c>
      <c r="DA169" s="5040">
        <f>CF!DA11</f>
        <v>3933</v>
      </c>
      <c r="DB169" s="5040">
        <f>CF!DB11</f>
        <v>4065</v>
      </c>
      <c r="DC169" s="5039">
        <f>SUM(CY169:DB169)</f>
        <v>15287</v>
      </c>
      <c r="DD169" s="5040">
        <f>CF!DD11</f>
        <v>3060</v>
      </c>
      <c r="DE169" s="5040">
        <f>CF!DE11</f>
        <v>3279</v>
      </c>
      <c r="DF169" s="5040">
        <f>CF!DF11</f>
        <v>3671</v>
      </c>
      <c r="DG169" s="5040">
        <f>CF!DG11</f>
        <v>3316</v>
      </c>
      <c r="DH169" s="5039">
        <f>SUM(DD169:DG169)</f>
        <v>13326</v>
      </c>
      <c r="DI169" s="5040">
        <f>CF!DI11</f>
        <v>3413</v>
      </c>
      <c r="DJ169" s="5040">
        <f>CF!DJ11</f>
        <v>3708</v>
      </c>
      <c r="DK169" s="5040">
        <f>CF!DK11</f>
        <v>3985</v>
      </c>
      <c r="DL169" s="5040">
        <f>CF!DL11</f>
        <v>4205</v>
      </c>
      <c r="DM169" s="5039">
        <f>SUM(DI169:DL169)</f>
        <v>15311</v>
      </c>
      <c r="DN169" s="5040">
        <f>CF!DN11</f>
        <v>4487</v>
      </c>
      <c r="DO169" s="5040">
        <f>CF!DO11</f>
        <v>4998</v>
      </c>
      <c r="DP169" s="5040">
        <f>CF!DP11</f>
        <v>5611</v>
      </c>
      <c r="DQ169" s="5040">
        <f t="shared" ref="DQ169" si="643">DQ80*DQ172</f>
        <v>6431.1984855239371</v>
      </c>
      <c r="DR169" s="5039">
        <f>SUM(DN169:DQ169)</f>
        <v>21527.198485523935</v>
      </c>
      <c r="DS169" s="5040">
        <f t="shared" ref="DS169:DV169" si="644">DS80*DS172</f>
        <v>7543.0175868472752</v>
      </c>
      <c r="DT169" s="5040">
        <f t="shared" si="644"/>
        <v>8704.7394857421259</v>
      </c>
      <c r="DU169" s="5040">
        <f t="shared" si="644"/>
        <v>9655.6616607666801</v>
      </c>
      <c r="DV169" s="5040">
        <f t="shared" si="644"/>
        <v>10952.730531828231</v>
      </c>
      <c r="DW169" s="5039">
        <f>SUM(DS169:DV169)</f>
        <v>36856.149265184315</v>
      </c>
      <c r="DX169" s="5041">
        <f>DX80*DX172</f>
        <v>50659.248314131044</v>
      </c>
      <c r="DY169" s="5041">
        <f>DY80*DY172</f>
        <v>57068.22852048988</v>
      </c>
      <c r="DZ169" s="5041">
        <f>DZ80*DZ172</f>
        <v>61724.46939251446</v>
      </c>
      <c r="EA169" s="5041">
        <f>EA80*EA172</f>
        <v>66276.088078338158</v>
      </c>
      <c r="EC169" s="6197">
        <f>(DX169/DM169)^(1/3)-1</f>
        <v>0.49011022554086403</v>
      </c>
      <c r="ED169" s="6197">
        <f>(DZ169/DM169)^(1/5)-1</f>
        <v>0.32157179620303</v>
      </c>
      <c r="EE169" s="4184"/>
    </row>
    <row r="170" spans="1:135" ht="11.25" customHeight="1">
      <c r="A170" s="1608" t="s">
        <v>80</v>
      </c>
      <c r="B170" s="36"/>
      <c r="C170" s="36"/>
      <c r="D170" s="36"/>
      <c r="E170" s="532"/>
      <c r="F170" s="36"/>
      <c r="G170" s="36"/>
      <c r="H170" s="36"/>
      <c r="I170" s="532"/>
      <c r="J170" s="143"/>
      <c r="K170" s="36"/>
      <c r="L170" s="36"/>
      <c r="M170" s="532"/>
      <c r="N170" s="36"/>
      <c r="O170" s="36"/>
      <c r="P170" s="36"/>
      <c r="Q170" s="1422">
        <f t="shared" ref="Q170:AH170" si="645">Q167+Q168-Q169-Q171</f>
        <v>-34.489999999999995</v>
      </c>
      <c r="R170" s="143">
        <f t="shared" si="645"/>
        <v>76.445999999999998</v>
      </c>
      <c r="S170" s="36">
        <f t="shared" si="645"/>
        <v>22.094999999999999</v>
      </c>
      <c r="T170" s="36">
        <f t="shared" si="645"/>
        <v>47.439000000000007</v>
      </c>
      <c r="U170" s="1422">
        <f t="shared" si="645"/>
        <v>-147.41200000000001</v>
      </c>
      <c r="V170" s="1423">
        <f t="shared" si="645"/>
        <v>0</v>
      </c>
      <c r="W170" s="1424">
        <f t="shared" si="645"/>
        <v>-4.0000000000759428E-3</v>
      </c>
      <c r="X170" s="1424">
        <f t="shared" si="645"/>
        <v>-5.4999999999949978E-2</v>
      </c>
      <c r="Y170" s="1422">
        <f t="shared" si="645"/>
        <v>-0.1300000000000523</v>
      </c>
      <c r="Z170" s="1424">
        <f t="shared" si="645"/>
        <v>0</v>
      </c>
      <c r="AA170" s="1424">
        <f t="shared" si="645"/>
        <v>-1.2719999999999345</v>
      </c>
      <c r="AB170" s="1424">
        <f t="shared" si="645"/>
        <v>-1.61099999999999</v>
      </c>
      <c r="AC170" s="1422">
        <f t="shared" si="645"/>
        <v>1.4549999999998136</v>
      </c>
      <c r="AD170" s="1423">
        <f t="shared" si="645"/>
        <v>1.13799999999992</v>
      </c>
      <c r="AE170" s="1424">
        <f t="shared" si="645"/>
        <v>-1.2960000000000491</v>
      </c>
      <c r="AF170" s="1424">
        <f t="shared" si="645"/>
        <v>-11.875999999999749</v>
      </c>
      <c r="AG170" s="1422">
        <f t="shared" si="645"/>
        <v>-13.088000000000193</v>
      </c>
      <c r="AH170" s="1423">
        <f t="shared" si="645"/>
        <v>-4.874000000000251</v>
      </c>
      <c r="AI170" s="1424">
        <f t="shared" ref="AI170:BG170" si="646">AI167+AI168-AI169-AI171</f>
        <v>-5.6020000000003165</v>
      </c>
      <c r="AJ170" s="1424">
        <f t="shared" si="646"/>
        <v>-24.308999999999742</v>
      </c>
      <c r="AK170" s="1422">
        <f t="shared" si="646"/>
        <v>-14.139999999999873</v>
      </c>
      <c r="AL170" s="1423">
        <f t="shared" si="646"/>
        <v>-141.43000000000029</v>
      </c>
      <c r="AM170" s="1424">
        <f t="shared" si="646"/>
        <v>-7.1850000000004002</v>
      </c>
      <c r="AN170" s="1424">
        <f t="shared" si="646"/>
        <v>66.563999999999396</v>
      </c>
      <c r="AO170" s="1422">
        <f t="shared" si="646"/>
        <v>33.693000000000211</v>
      </c>
      <c r="AP170" s="1423">
        <f t="shared" si="646"/>
        <v>53.364000000000487</v>
      </c>
      <c r="AQ170" s="1424">
        <f t="shared" si="646"/>
        <v>-55.340000000000146</v>
      </c>
      <c r="AR170" s="1424">
        <f t="shared" si="646"/>
        <v>-36.354000000000269</v>
      </c>
      <c r="AS170" s="1422">
        <f t="shared" si="646"/>
        <v>-2.5789999999997235</v>
      </c>
      <c r="AT170" s="1423">
        <f t="shared" si="646"/>
        <v>46.609999999999673</v>
      </c>
      <c r="AU170" s="1424">
        <f t="shared" si="646"/>
        <v>63</v>
      </c>
      <c r="AV170" s="1424">
        <f t="shared" si="646"/>
        <v>-86</v>
      </c>
      <c r="AW170" s="1422">
        <f t="shared" si="646"/>
        <v>12</v>
      </c>
      <c r="AX170" s="1423">
        <f t="shared" si="646"/>
        <v>99</v>
      </c>
      <c r="AY170" s="1424">
        <f t="shared" si="646"/>
        <v>-184</v>
      </c>
      <c r="AZ170" s="501">
        <f t="shared" si="646"/>
        <v>116</v>
      </c>
      <c r="BA170" s="1422">
        <f t="shared" si="646"/>
        <v>167</v>
      </c>
      <c r="BB170" s="1424">
        <f t="shared" si="646"/>
        <v>-43</v>
      </c>
      <c r="BC170" s="1424">
        <f t="shared" si="646"/>
        <v>-733</v>
      </c>
      <c r="BD170" s="501">
        <f t="shared" si="646"/>
        <v>-127</v>
      </c>
      <c r="BE170" s="1422">
        <f t="shared" si="646"/>
        <v>-63</v>
      </c>
      <c r="BF170" s="1424">
        <f t="shared" si="646"/>
        <v>173</v>
      </c>
      <c r="BG170" s="1424">
        <f t="shared" si="646"/>
        <v>252</v>
      </c>
      <c r="BH170" s="1424">
        <f t="shared" ref="BH170:CH170" si="647">BH167+BH168-BH169-BH171</f>
        <v>-359</v>
      </c>
      <c r="BI170" s="501">
        <f t="shared" si="647"/>
        <v>-159</v>
      </c>
      <c r="BJ170" s="1010">
        <f t="shared" si="647"/>
        <v>-93</v>
      </c>
      <c r="BK170" s="501">
        <f t="shared" si="647"/>
        <v>176</v>
      </c>
      <c r="BL170" s="501">
        <f t="shared" si="647"/>
        <v>224</v>
      </c>
      <c r="BM170" s="501">
        <f t="shared" si="647"/>
        <v>38</v>
      </c>
      <c r="BN170" s="1422">
        <f t="shared" si="647"/>
        <v>-361</v>
      </c>
      <c r="BO170" s="1010">
        <f t="shared" si="647"/>
        <v>77</v>
      </c>
      <c r="BP170" s="1274">
        <f t="shared" si="647"/>
        <v>424</v>
      </c>
      <c r="BQ170" s="501">
        <f t="shared" si="647"/>
        <v>-56</v>
      </c>
      <c r="BR170" s="501">
        <f t="shared" si="647"/>
        <v>23</v>
      </c>
      <c r="BS170" s="1422">
        <f t="shared" si="647"/>
        <v>271</v>
      </c>
      <c r="BT170" s="1010">
        <f t="shared" si="647"/>
        <v>662</v>
      </c>
      <c r="BU170" s="1274">
        <f t="shared" si="647"/>
        <v>143</v>
      </c>
      <c r="BV170" s="501">
        <f t="shared" si="647"/>
        <v>-386</v>
      </c>
      <c r="BW170" s="501">
        <f t="shared" si="647"/>
        <v>-163</v>
      </c>
      <c r="BX170" s="501">
        <f t="shared" si="647"/>
        <v>133</v>
      </c>
      <c r="BY170" s="1010">
        <f t="shared" si="647"/>
        <v>-273</v>
      </c>
      <c r="BZ170" s="1274">
        <f t="shared" si="647"/>
        <v>-481</v>
      </c>
      <c r="CA170" s="501">
        <f t="shared" si="647"/>
        <v>-333</v>
      </c>
      <c r="CB170" s="501">
        <f t="shared" si="647"/>
        <v>-467</v>
      </c>
      <c r="CC170" s="501">
        <f t="shared" si="647"/>
        <v>213</v>
      </c>
      <c r="CD170" s="1010">
        <f t="shared" si="647"/>
        <v>-1068</v>
      </c>
      <c r="CE170" s="1274">
        <f t="shared" si="647"/>
        <v>-954</v>
      </c>
      <c r="CF170" s="501">
        <f t="shared" si="647"/>
        <v>788</v>
      </c>
      <c r="CG170" s="501">
        <f t="shared" si="647"/>
        <v>-484</v>
      </c>
      <c r="CH170" s="501">
        <f t="shared" si="647"/>
        <v>289</v>
      </c>
      <c r="CI170" s="999">
        <f>SUM(CE170:CH170)</f>
        <v>-361</v>
      </c>
      <c r="CJ170" s="1274">
        <f>CJ167+CJ168-CJ169-CJ171</f>
        <v>1413</v>
      </c>
      <c r="CK170" s="501">
        <f>CK167+CK168-CK169-CK171</f>
        <v>-863</v>
      </c>
      <c r="CL170" s="501">
        <f>CL167+CL168-CL169-CL171</f>
        <v>-361</v>
      </c>
      <c r="CM170" s="501">
        <f>CM167+CM168-CM169-CM171</f>
        <v>-1424</v>
      </c>
      <c r="CN170" s="5039">
        <f>SUM(CJ170:CM170)</f>
        <v>-1235</v>
      </c>
      <c r="CO170" s="5042">
        <f>CO167+CO168-CO169-CO171</f>
        <v>5</v>
      </c>
      <c r="CP170" s="691">
        <f>CP167+CP168-CP169-CP171</f>
        <v>212</v>
      </c>
      <c r="CQ170" s="691">
        <f>CQ167+CQ168-CQ169-CQ171</f>
        <v>-771</v>
      </c>
      <c r="CR170" s="691">
        <f>CR167+CR168-CR169-CR171</f>
        <v>-1173</v>
      </c>
      <c r="CS170" s="5039">
        <f>SUM(CO170:CR170)</f>
        <v>-1727</v>
      </c>
      <c r="CT170" s="5042">
        <f>CT167+CT168-CT169-CT171</f>
        <v>560</v>
      </c>
      <c r="CU170" s="691">
        <f>CU167+CU168-CU169-CU171</f>
        <v>-1325</v>
      </c>
      <c r="CV170" s="691">
        <f>CV167+CV168-CV169-CV171</f>
        <v>800</v>
      </c>
      <c r="CW170" s="691">
        <f>CW167+CW168-CW169-CW171</f>
        <v>200</v>
      </c>
      <c r="CX170" s="5039">
        <f>SUM(CT170:CW170)</f>
        <v>235</v>
      </c>
      <c r="CY170" s="5042">
        <f>CY167+CY168-CY169-CY171</f>
        <v>-424</v>
      </c>
      <c r="CZ170" s="691">
        <f>CZ167+CZ168-CZ169-CZ171</f>
        <v>1125</v>
      </c>
      <c r="DA170" s="691">
        <f>DA167+DA168-DA169-DA171</f>
        <v>1203</v>
      </c>
      <c r="DB170" s="691">
        <f>DB167+DB168-DB169-DB171</f>
        <v>-775</v>
      </c>
      <c r="DC170" s="5039">
        <f>SUM(CY170:DB170)</f>
        <v>1129</v>
      </c>
      <c r="DD170" s="5042">
        <f>DD167+DD168-DD169-DD171</f>
        <v>-1663</v>
      </c>
      <c r="DE170" s="691">
        <f>DE167+DE168-DE169-DE171</f>
        <v>-39</v>
      </c>
      <c r="DF170" s="691">
        <f>DF167+DF168-DF169-DF171</f>
        <v>-113</v>
      </c>
      <c r="DG170" s="691">
        <f>DG167+DG168-DG169-DG171</f>
        <v>-937</v>
      </c>
      <c r="DH170" s="5039">
        <f>SUM(DD170:DG170)</f>
        <v>-2752</v>
      </c>
      <c r="DI170" s="5042">
        <f>DI167+DI168-DI169-DI171</f>
        <v>-238</v>
      </c>
      <c r="DJ170" s="691">
        <f>DJ167+DJ168-DJ169-DJ171</f>
        <v>1505</v>
      </c>
      <c r="DK170" s="691">
        <f>DK167+DK168-DK169-DK171</f>
        <v>-1039</v>
      </c>
      <c r="DL170" s="691">
        <f>DL167+DL168-DL169-DL171</f>
        <v>305</v>
      </c>
      <c r="DM170" s="5039">
        <f>SUM(DI170:DL170)</f>
        <v>533</v>
      </c>
      <c r="DN170" s="5042">
        <f>DN167+DN168-DN169-DN171</f>
        <v>-1316</v>
      </c>
      <c r="DO170" s="691">
        <f>DO167+DO168-DO169-DO171</f>
        <v>-721</v>
      </c>
      <c r="DP170" s="691">
        <f>DP167+DP168-DP169-DP171</f>
        <v>-2214</v>
      </c>
      <c r="DQ170" s="5014">
        <v>0</v>
      </c>
      <c r="DR170" s="5039">
        <f>SUM(DN170:DQ170)</f>
        <v>-4251</v>
      </c>
      <c r="DS170" s="5014">
        <v>0</v>
      </c>
      <c r="DT170" s="5014">
        <v>0</v>
      </c>
      <c r="DU170" s="5014">
        <v>0</v>
      </c>
      <c r="DV170" s="5014">
        <v>0</v>
      </c>
      <c r="DW170" s="5039">
        <f>SUM(DS170:DV170)</f>
        <v>0</v>
      </c>
      <c r="DX170" s="5043">
        <v>0</v>
      </c>
      <c r="DY170" s="5043">
        <v>0</v>
      </c>
      <c r="DZ170" s="5043">
        <v>0</v>
      </c>
      <c r="EA170" s="5043">
        <v>0</v>
      </c>
      <c r="EC170" s="3683"/>
      <c r="ED170" s="3683"/>
    </row>
    <row r="171" spans="1:135" s="151" customFormat="1" ht="11.25" customHeight="1">
      <c r="A171" s="3175" t="s">
        <v>140</v>
      </c>
      <c r="B171" s="3176"/>
      <c r="C171" s="3176"/>
      <c r="D171" s="3176"/>
      <c r="E171" s="3177"/>
      <c r="F171" s="3176"/>
      <c r="G171" s="3176"/>
      <c r="H171" s="3176"/>
      <c r="I171" s="3177"/>
      <c r="J171" s="3178"/>
      <c r="K171" s="3176"/>
      <c r="L171" s="3176"/>
      <c r="M171" s="3177"/>
      <c r="N171" s="3176"/>
      <c r="O171" s="3176"/>
      <c r="P171" s="3176"/>
      <c r="Q171" s="3177">
        <f t="shared" ref="Q171:AV171" si="648">Q20</f>
        <v>53.872999999999998</v>
      </c>
      <c r="R171" s="3178">
        <f t="shared" si="648"/>
        <v>0</v>
      </c>
      <c r="S171" s="3176">
        <f t="shared" si="648"/>
        <v>0</v>
      </c>
      <c r="T171" s="3176">
        <f t="shared" si="648"/>
        <v>0</v>
      </c>
      <c r="U171" s="3177">
        <f t="shared" si="648"/>
        <v>188.255</v>
      </c>
      <c r="V171" s="3179">
        <f t="shared" si="648"/>
        <v>253.006</v>
      </c>
      <c r="W171" s="3180">
        <f t="shared" si="648"/>
        <v>320.71800000000002</v>
      </c>
      <c r="X171" s="3180">
        <f t="shared" si="648"/>
        <v>362.60899999999998</v>
      </c>
      <c r="Y171" s="3177">
        <f t="shared" si="648"/>
        <v>378.916</v>
      </c>
      <c r="Z171" s="3180">
        <f t="shared" si="648"/>
        <v>474.82900000000001</v>
      </c>
      <c r="AA171" s="3180">
        <f t="shared" si="648"/>
        <v>576.59699999999998</v>
      </c>
      <c r="AB171" s="3180">
        <f t="shared" si="648"/>
        <v>803.07799999999997</v>
      </c>
      <c r="AC171" s="3177">
        <f t="shared" si="648"/>
        <v>961.74900000000002</v>
      </c>
      <c r="AD171" s="3179">
        <f t="shared" si="648"/>
        <v>1209.681</v>
      </c>
      <c r="AE171" s="3180">
        <f t="shared" si="648"/>
        <v>1799.7660000000001</v>
      </c>
      <c r="AF171" s="3180">
        <f t="shared" si="648"/>
        <v>2174.3139999999999</v>
      </c>
      <c r="AG171" s="3177">
        <f t="shared" si="648"/>
        <v>2395.239</v>
      </c>
      <c r="AH171" s="3179">
        <f t="shared" si="648"/>
        <v>2826.7170000000001</v>
      </c>
      <c r="AI171" s="3180">
        <f t="shared" si="648"/>
        <v>3219.28</v>
      </c>
      <c r="AJ171" s="3180">
        <f t="shared" si="648"/>
        <v>3588.8139999999999</v>
      </c>
      <c r="AK171" s="3177">
        <f t="shared" si="648"/>
        <v>4039.261</v>
      </c>
      <c r="AL171" s="3179">
        <f t="shared" si="648"/>
        <v>4741.7240000000002</v>
      </c>
      <c r="AM171" s="3180">
        <f t="shared" si="648"/>
        <v>5137.71</v>
      </c>
      <c r="AN171" s="3180">
        <f t="shared" si="648"/>
        <v>5213.1670000000004</v>
      </c>
      <c r="AO171" s="3177">
        <f t="shared" si="648"/>
        <v>5233.8429999999998</v>
      </c>
      <c r="AP171" s="3180">
        <f t="shared" si="648"/>
        <v>5122.1049999999996</v>
      </c>
      <c r="AQ171" s="3180">
        <f t="shared" si="648"/>
        <v>5005.8999999999996</v>
      </c>
      <c r="AR171" s="3180">
        <f t="shared" si="648"/>
        <v>4917.491</v>
      </c>
      <c r="AS171" s="3177">
        <f t="shared" si="648"/>
        <v>4844.6099999999997</v>
      </c>
      <c r="AT171" s="3180">
        <f t="shared" si="648"/>
        <v>4773</v>
      </c>
      <c r="AU171" s="3180">
        <f t="shared" si="648"/>
        <v>4920</v>
      </c>
      <c r="AV171" s="3180">
        <f t="shared" si="648"/>
        <v>5506</v>
      </c>
      <c r="AW171" s="3177">
        <f t="shared" ref="AW171:CB171" si="649">AW20</f>
        <v>7759</v>
      </c>
      <c r="AX171" s="3180">
        <f t="shared" si="649"/>
        <v>8249</v>
      </c>
      <c r="AY171" s="3180">
        <f t="shared" si="649"/>
        <v>9003</v>
      </c>
      <c r="AZ171" s="3180">
        <f t="shared" si="649"/>
        <v>9204</v>
      </c>
      <c r="BA171" s="3177">
        <f t="shared" si="649"/>
        <v>9603</v>
      </c>
      <c r="BB171" s="3180">
        <f t="shared" si="649"/>
        <v>9875</v>
      </c>
      <c r="BC171" s="3180">
        <f t="shared" si="649"/>
        <v>10909</v>
      </c>
      <c r="BD171" s="3180">
        <f t="shared" si="649"/>
        <v>11401</v>
      </c>
      <c r="BE171" s="3177">
        <f t="shared" si="649"/>
        <v>11854</v>
      </c>
      <c r="BF171" s="3180">
        <f t="shared" si="649"/>
        <v>12300</v>
      </c>
      <c r="BG171" s="3180">
        <f t="shared" si="649"/>
        <v>12912</v>
      </c>
      <c r="BH171" s="3180">
        <f t="shared" si="649"/>
        <v>14867</v>
      </c>
      <c r="BI171" s="3180">
        <f t="shared" si="649"/>
        <v>16524</v>
      </c>
      <c r="BJ171" s="3181">
        <f t="shared" si="649"/>
        <v>16524</v>
      </c>
      <c r="BK171" s="3180">
        <f t="shared" si="649"/>
        <v>17877</v>
      </c>
      <c r="BL171" s="3180">
        <f t="shared" si="649"/>
        <v>19486</v>
      </c>
      <c r="BM171" s="3180">
        <f t="shared" si="649"/>
        <v>20981</v>
      </c>
      <c r="BN171" s="3177">
        <f t="shared" si="649"/>
        <v>23883</v>
      </c>
      <c r="BO171" s="3181">
        <f t="shared" si="649"/>
        <v>23883</v>
      </c>
      <c r="BP171" s="3180">
        <f t="shared" si="649"/>
        <v>25448</v>
      </c>
      <c r="BQ171" s="3180">
        <f t="shared" si="649"/>
        <v>27008</v>
      </c>
      <c r="BR171" s="3180">
        <f t="shared" si="649"/>
        <v>28338</v>
      </c>
      <c r="BS171" s="3177">
        <f t="shared" si="649"/>
        <v>29016</v>
      </c>
      <c r="BT171" s="3181">
        <f t="shared" si="649"/>
        <v>29016</v>
      </c>
      <c r="BU171" s="3180">
        <f t="shared" si="649"/>
        <v>30162</v>
      </c>
      <c r="BV171" s="3180">
        <f t="shared" si="649"/>
        <v>31413</v>
      </c>
      <c r="BW171" s="3180">
        <f t="shared" si="649"/>
        <v>32753</v>
      </c>
      <c r="BX171" s="3180">
        <f t="shared" si="649"/>
        <v>34234</v>
      </c>
      <c r="BY171" s="3181">
        <f t="shared" si="649"/>
        <v>34234</v>
      </c>
      <c r="BZ171" s="3180">
        <f t="shared" si="649"/>
        <v>35936</v>
      </c>
      <c r="CA171" s="3180">
        <f t="shared" si="649"/>
        <v>37676</v>
      </c>
      <c r="CB171" s="3180">
        <f t="shared" si="649"/>
        <v>40120</v>
      </c>
      <c r="CC171" s="3180">
        <f t="shared" ref="CC171:CH171" si="650">CC20</f>
        <v>42383</v>
      </c>
      <c r="CD171" s="3181">
        <f t="shared" si="650"/>
        <v>42383</v>
      </c>
      <c r="CE171" s="3180">
        <f t="shared" si="650"/>
        <v>48845</v>
      </c>
      <c r="CF171" s="3180">
        <f t="shared" si="650"/>
        <v>51672</v>
      </c>
      <c r="CG171" s="3180">
        <f t="shared" si="650"/>
        <v>55300</v>
      </c>
      <c r="CH171" s="3180">
        <f t="shared" si="650"/>
        <v>59719</v>
      </c>
      <c r="CI171" s="3181">
        <f>CI167+CI168-CI170-CI169</f>
        <v>59719</v>
      </c>
      <c r="CJ171" s="3180">
        <f>CJ20</f>
        <v>60528</v>
      </c>
      <c r="CK171" s="3180">
        <f>CK20</f>
        <v>64891</v>
      </c>
      <c r="CL171" s="3180">
        <f>CL20</f>
        <v>69252</v>
      </c>
      <c r="CM171" s="3180">
        <f>CM20</f>
        <v>73646</v>
      </c>
      <c r="CN171" s="5044">
        <f>CN167+CN168-CN170-CN169</f>
        <v>73646</v>
      </c>
      <c r="CO171" s="5045">
        <f>CO20</f>
        <v>76747</v>
      </c>
      <c r="CP171" s="5045">
        <f>CP20</f>
        <v>78748</v>
      </c>
      <c r="CQ171" s="5045">
        <f>CQ20</f>
        <v>81636</v>
      </c>
      <c r="CR171" s="5045">
        <f>CR20</f>
        <v>84749</v>
      </c>
      <c r="CS171" s="5044">
        <f>CS167+CS168-CS170-CS169</f>
        <v>84749</v>
      </c>
      <c r="CT171" s="5045">
        <f>CT20</f>
        <v>87606</v>
      </c>
      <c r="CU171" s="5045">
        <f>CU20</f>
        <v>91697</v>
      </c>
      <c r="CV171" s="5045">
        <f>CV20</f>
        <v>94631</v>
      </c>
      <c r="CW171" s="5045">
        <f>CW20</f>
        <v>97599</v>
      </c>
      <c r="CX171" s="5044">
        <f>CX167+CX168-CX170-CX169</f>
        <v>97599</v>
      </c>
      <c r="CY171" s="5045">
        <f>CY20</f>
        <v>104218</v>
      </c>
      <c r="CZ171" s="5045">
        <f>CZ20</f>
        <v>106223</v>
      </c>
      <c r="DA171" s="5045">
        <f>DA20</f>
        <v>108363</v>
      </c>
      <c r="DB171" s="5045">
        <f>DB20</f>
        <v>112668</v>
      </c>
      <c r="DC171" s="5044">
        <f>DC167+DC168-DC170-DC169</f>
        <v>112668</v>
      </c>
      <c r="DD171" s="5045">
        <f>DD20</f>
        <v>117560</v>
      </c>
      <c r="DE171" s="5045">
        <f>DE20</f>
        <v>121208</v>
      </c>
      <c r="DF171" s="5045">
        <f>DF20</f>
        <v>125705</v>
      </c>
      <c r="DG171" s="5045">
        <f>DG20</f>
        <v>134345</v>
      </c>
      <c r="DH171" s="5044">
        <f>DH167+DH168-DH170-DH169</f>
        <v>134345</v>
      </c>
      <c r="DI171" s="5045">
        <f>DI20</f>
        <v>143182</v>
      </c>
      <c r="DJ171" s="5045">
        <f>DJ20</f>
        <v>151155</v>
      </c>
      <c r="DK171" s="5045">
        <f>DK20</f>
        <v>161270</v>
      </c>
      <c r="DL171" s="5045">
        <f>DL20</f>
        <v>171036</v>
      </c>
      <c r="DM171" s="5044">
        <f>DM167+DM168-DM170-DM169</f>
        <v>171036</v>
      </c>
      <c r="DN171" s="5045">
        <f>DN20</f>
        <v>185062</v>
      </c>
      <c r="DO171" s="5045">
        <f>DO20</f>
        <v>203231</v>
      </c>
      <c r="DP171" s="5045">
        <f>DP20</f>
        <v>223787</v>
      </c>
      <c r="DQ171" s="5046">
        <f t="shared" ref="DQ171" si="651">DQ167+DQ168-DQ169</f>
        <v>246152.21264368773</v>
      </c>
      <c r="DR171" s="5044">
        <f>DR167+DR168-DR170-DR169</f>
        <v>246152.21264368773</v>
      </c>
      <c r="DS171" s="5046">
        <f t="shared" ref="DS171:DV171" si="652">DS167+DS168-DS169</f>
        <v>270417.10054354579</v>
      </c>
      <c r="DT171" s="5046">
        <f t="shared" si="652"/>
        <v>296531.3190007722</v>
      </c>
      <c r="DU171" s="5046">
        <f t="shared" si="652"/>
        <v>323341.18808013498</v>
      </c>
      <c r="DV171" s="5046">
        <f t="shared" si="652"/>
        <v>350214.89804482693</v>
      </c>
      <c r="DW171" s="5044">
        <f>DW167+DW168-DW170-DW169</f>
        <v>350214.89804482699</v>
      </c>
      <c r="DX171" s="5047">
        <f>DX167+DX168-DX169</f>
        <v>456138.78088346461</v>
      </c>
      <c r="DY171" s="5047">
        <f>DY167+DY168-DY169</f>
        <v>570275.23792444437</v>
      </c>
      <c r="DZ171" s="5047">
        <f>DZ167+DZ168-DZ169</f>
        <v>693147.31250954326</v>
      </c>
      <c r="EA171" s="5047">
        <f>EA167+EA168-EA169</f>
        <v>824424.94851086696</v>
      </c>
      <c r="EC171" s="3683"/>
      <c r="ED171" s="3683"/>
    </row>
    <row r="172" spans="1:135" s="287" customFormat="1" ht="11.25" customHeight="1">
      <c r="A172" s="1609" t="s">
        <v>520</v>
      </c>
      <c r="B172" s="1348"/>
      <c r="C172" s="1348"/>
      <c r="D172" s="1348"/>
      <c r="E172" s="1855"/>
      <c r="F172" s="1348"/>
      <c r="G172" s="1348"/>
      <c r="H172" s="1348"/>
      <c r="I172" s="1855"/>
      <c r="J172" s="5150"/>
      <c r="K172" s="1348"/>
      <c r="L172" s="1348"/>
      <c r="M172" s="1855"/>
      <c r="N172" s="1348"/>
      <c r="O172" s="1348"/>
      <c r="P172" s="1348"/>
      <c r="Q172" s="1855">
        <f t="shared" ref="Q172:AV172" si="653">Q169/Q80</f>
        <v>0.13059797230428632</v>
      </c>
      <c r="R172" s="5151">
        <f t="shared" si="653"/>
        <v>3.9089681601461174E-2</v>
      </c>
      <c r="S172" s="1856">
        <f t="shared" si="653"/>
        <v>4.1502049944092428E-2</v>
      </c>
      <c r="T172" s="1856">
        <f t="shared" si="653"/>
        <v>4.9182487872072828E-2</v>
      </c>
      <c r="U172" s="1855">
        <f t="shared" si="653"/>
        <v>5.2897210794438494E-2</v>
      </c>
      <c r="V172" s="5152">
        <f t="shared" si="653"/>
        <v>5.5924397235044832E-2</v>
      </c>
      <c r="W172" s="189">
        <f t="shared" si="653"/>
        <v>6.7437343151108983E-2</v>
      </c>
      <c r="X172" s="189">
        <f t="shared" si="653"/>
        <v>7.1166849242624577E-2</v>
      </c>
      <c r="Y172" s="1855">
        <f t="shared" si="653"/>
        <v>6.5621687598368283E-2</v>
      </c>
      <c r="Z172" s="189">
        <f t="shared" si="653"/>
        <v>5.8484300542714376E-2</v>
      </c>
      <c r="AA172" s="189">
        <f t="shared" si="653"/>
        <v>6.3995281826607117E-2</v>
      </c>
      <c r="AB172" s="189">
        <f t="shared" si="653"/>
        <v>6.4527142369409374E-2</v>
      </c>
      <c r="AC172" s="1855">
        <f t="shared" si="653"/>
        <v>6.6430157066764237E-2</v>
      </c>
      <c r="AD172" s="5152">
        <f t="shared" si="653"/>
        <v>6.2617119709161007E-2</v>
      </c>
      <c r="AE172" s="189">
        <f t="shared" si="653"/>
        <v>6.5961748398402728E-2</v>
      </c>
      <c r="AF172" s="189">
        <f t="shared" si="653"/>
        <v>6.9485826339606829E-2</v>
      </c>
      <c r="AG172" s="1855">
        <f t="shared" si="653"/>
        <v>7.1215042961953107E-2</v>
      </c>
      <c r="AH172" s="189">
        <f t="shared" si="653"/>
        <v>6.7070930022343961E-2</v>
      </c>
      <c r="AI172" s="189">
        <f t="shared" si="653"/>
        <v>6.9064620905761667E-2</v>
      </c>
      <c r="AJ172" s="189">
        <f t="shared" si="653"/>
        <v>6.8903349942246964E-2</v>
      </c>
      <c r="AK172" s="1855">
        <f t="shared" si="653"/>
        <v>7.142357312736114E-2</v>
      </c>
      <c r="AL172" s="5152">
        <f t="shared" si="653"/>
        <v>7.5835097234637036E-2</v>
      </c>
      <c r="AM172" s="189">
        <f t="shared" si="653"/>
        <v>7.9295557007648135E-2</v>
      </c>
      <c r="AN172" s="189">
        <f t="shared" si="653"/>
        <v>7.6487357844488069E-2</v>
      </c>
      <c r="AO172" s="1855">
        <f t="shared" si="653"/>
        <v>7.4326820346165348E-2</v>
      </c>
      <c r="AP172" s="189">
        <f t="shared" si="653"/>
        <v>7.8842777981011691E-2</v>
      </c>
      <c r="AQ172" s="189">
        <f t="shared" si="653"/>
        <v>7.6416934284758764E-2</v>
      </c>
      <c r="AR172" s="189">
        <f t="shared" si="653"/>
        <v>7.6446421625229175E-2</v>
      </c>
      <c r="AS172" s="1855">
        <f t="shared" si="653"/>
        <v>5.9927449136765058E-2</v>
      </c>
      <c r="AT172" s="189">
        <f t="shared" si="653"/>
        <v>5.2132701421800945E-2</v>
      </c>
      <c r="AU172" s="189">
        <f t="shared" si="653"/>
        <v>5.227987421383648E-2</v>
      </c>
      <c r="AV172" s="189">
        <f t="shared" si="653"/>
        <v>4.688925378580551E-2</v>
      </c>
      <c r="AW172" s="1855">
        <f t="shared" ref="AW172:CB172" si="654">AW169/AW80</f>
        <v>4.3949144561293361E-2</v>
      </c>
      <c r="AX172" s="189">
        <f t="shared" si="654"/>
        <v>4.6045586660547651E-2</v>
      </c>
      <c r="AY172" s="189">
        <f t="shared" si="654"/>
        <v>5.0173510699826486E-2</v>
      </c>
      <c r="AZ172" s="189">
        <f t="shared" si="654"/>
        <v>4.8335552596537948E-2</v>
      </c>
      <c r="BA172" s="1855">
        <f t="shared" si="654"/>
        <v>4.7332185886402756E-2</v>
      </c>
      <c r="BB172" s="189">
        <f t="shared" si="654"/>
        <v>4.6465888137676707E-2</v>
      </c>
      <c r="BC172" s="189">
        <f t="shared" si="654"/>
        <v>5.6551889048302245E-2</v>
      </c>
      <c r="BD172" s="189">
        <f t="shared" si="654"/>
        <v>5.7903152124257652E-2</v>
      </c>
      <c r="BE172" s="1855">
        <f t="shared" si="654"/>
        <v>6.4122137404580157E-2</v>
      </c>
      <c r="BF172" s="189">
        <f t="shared" si="654"/>
        <v>5.8464310741815996E-2</v>
      </c>
      <c r="BG172" s="189">
        <f t="shared" si="654"/>
        <v>7.400435902516346E-2</v>
      </c>
      <c r="BH172" s="189">
        <f t="shared" si="654"/>
        <v>6.42737896494157E-2</v>
      </c>
      <c r="BI172" s="189">
        <f t="shared" si="654"/>
        <v>6.1063160442042429E-2</v>
      </c>
      <c r="BJ172" s="2314">
        <f t="shared" si="654"/>
        <v>6.4284228288758932E-2</v>
      </c>
      <c r="BK172" s="189">
        <f t="shared" si="654"/>
        <v>6.6951099442074169E-2</v>
      </c>
      <c r="BL172" s="189">
        <f t="shared" si="654"/>
        <v>6.4207866055915344E-2</v>
      </c>
      <c r="BM172" s="189">
        <f t="shared" si="654"/>
        <v>6.7096774193548384E-2</v>
      </c>
      <c r="BN172" s="1855">
        <f t="shared" si="654"/>
        <v>6.9736932955879308E-2</v>
      </c>
      <c r="BO172" s="2314">
        <f t="shared" si="654"/>
        <v>6.709964955051044E-2</v>
      </c>
      <c r="BP172" s="189">
        <f t="shared" si="654"/>
        <v>6.7418960684252141E-2</v>
      </c>
      <c r="BQ172" s="189">
        <f t="shared" si="654"/>
        <v>7.0452961672473863E-2</v>
      </c>
      <c r="BR172" s="189">
        <f t="shared" si="654"/>
        <v>6.8171288635912375E-2</v>
      </c>
      <c r="BS172" s="1855">
        <f t="shared" si="654"/>
        <v>6.6747713326386474E-2</v>
      </c>
      <c r="BT172" s="2314">
        <f t="shared" si="654"/>
        <v>6.8133100286910928E-2</v>
      </c>
      <c r="BU172" s="189">
        <f t="shared" si="654"/>
        <v>7.0131762705689479E-2</v>
      </c>
      <c r="BV172" s="189">
        <f t="shared" si="654"/>
        <v>7.2524964336661918E-2</v>
      </c>
      <c r="BW172" s="189">
        <f t="shared" si="654"/>
        <v>7.5373583666319993E-2</v>
      </c>
      <c r="BX172" s="189">
        <f t="shared" si="654"/>
        <v>6.9004524886877833E-2</v>
      </c>
      <c r="BY172" s="2314">
        <f t="shared" si="654"/>
        <v>7.1680344043876479E-2</v>
      </c>
      <c r="BZ172" s="189">
        <f t="shared" si="654"/>
        <v>6.3963023706575223E-2</v>
      </c>
      <c r="CA172" s="189">
        <f t="shared" si="654"/>
        <v>6.8072087575887952E-2</v>
      </c>
      <c r="CB172" s="189">
        <f t="shared" si="654"/>
        <v>7.0094297260889088E-2</v>
      </c>
      <c r="CC172" s="189">
        <f t="shared" ref="CC172:DC172" si="655">CC169/CC80</f>
        <v>7.0768755072855877E-2</v>
      </c>
      <c r="CD172" s="2314">
        <f t="shared" si="655"/>
        <v>6.8432324546157899E-2</v>
      </c>
      <c r="CE172" s="189">
        <f t="shared" si="655"/>
        <v>7.2049239681390292E-2</v>
      </c>
      <c r="CF172" s="189">
        <f t="shared" si="655"/>
        <v>7.0968479628006245E-2</v>
      </c>
      <c r="CG172" s="189">
        <f t="shared" si="655"/>
        <v>7.8724501067825317E-2</v>
      </c>
      <c r="CH172" s="189">
        <f t="shared" si="655"/>
        <v>7.4528894472361815E-2</v>
      </c>
      <c r="CI172" s="2314">
        <f t="shared" si="655"/>
        <v>7.4155486724859887E-2</v>
      </c>
      <c r="CJ172" s="189">
        <f t="shared" si="655"/>
        <v>8.1956647104718616E-2</v>
      </c>
      <c r="CK172" s="189">
        <f t="shared" si="655"/>
        <v>8.2823440358291811E-2</v>
      </c>
      <c r="CL172" s="189">
        <f t="shared" si="655"/>
        <v>8.2765306431579269E-2</v>
      </c>
      <c r="CM172" s="189">
        <f t="shared" si="655"/>
        <v>8.2024804386011604E-2</v>
      </c>
      <c r="CN172" s="5153">
        <f t="shared" si="655"/>
        <v>8.2387226033634867E-2</v>
      </c>
      <c r="CO172" s="189">
        <f t="shared" si="655"/>
        <v>8.6005874150769865E-2</v>
      </c>
      <c r="CP172" s="189">
        <f t="shared" si="655"/>
        <v>0.10056007341075214</v>
      </c>
      <c r="CQ172" s="189">
        <f t="shared" si="655"/>
        <v>8.6536690609624545E-2</v>
      </c>
      <c r="CR172" s="189">
        <f t="shared" si="655"/>
        <v>7.6218986905582362E-2</v>
      </c>
      <c r="CS172" s="5153">
        <f t="shared" si="655"/>
        <v>8.6177537078711716E-2</v>
      </c>
      <c r="CT172" s="189">
        <f t="shared" si="655"/>
        <v>5.5370378492171399E-2</v>
      </c>
      <c r="CU172" s="189">
        <f t="shared" si="655"/>
        <v>5.3580891444721397E-2</v>
      </c>
      <c r="CV172" s="189">
        <f t="shared" si="655"/>
        <v>5.7534502051473334E-2</v>
      </c>
      <c r="CW172" s="189">
        <f t="shared" si="655"/>
        <v>5.1940288862321882E-2</v>
      </c>
      <c r="CX172" s="5153">
        <f t="shared" si="655"/>
        <v>5.4486469154198358E-2</v>
      </c>
      <c r="CY172" s="189">
        <f t="shared" si="655"/>
        <v>6.4100962139197804E-2</v>
      </c>
      <c r="CZ172" s="189">
        <f t="shared" si="655"/>
        <v>6.4345495989281548E-2</v>
      </c>
      <c r="DA172" s="189">
        <f t="shared" si="655"/>
        <v>6.8679495686794961E-2</v>
      </c>
      <c r="DB172" s="189">
        <f t="shared" si="655"/>
        <v>6.4398079939166394E-2</v>
      </c>
      <c r="DC172" s="5153">
        <f t="shared" si="655"/>
        <v>6.5362299631008938E-2</v>
      </c>
      <c r="DD172" s="189">
        <f>DD169/DD80</f>
        <v>5.2698653256639E-2</v>
      </c>
      <c r="DE172" s="189">
        <f>DE169/DE80</f>
        <v>5.2830006283532314E-2</v>
      </c>
      <c r="DF172" s="189">
        <f>DF169/DF80</f>
        <v>5.7313703142808071E-2</v>
      </c>
      <c r="DG172" s="189">
        <f t="shared" ref="DG172" si="656">DG169/DG80</f>
        <v>4.5849234002544106E-2</v>
      </c>
      <c r="DH172" s="5153">
        <f>DH169/DH80</f>
        <v>5.1951596051585135E-2</v>
      </c>
      <c r="DI172" s="189">
        <f>DI169/DI80</f>
        <v>5.0493394286390603E-2</v>
      </c>
      <c r="DJ172" s="189">
        <f>DJ169/DJ80</f>
        <v>5.1965524490224929E-2</v>
      </c>
      <c r="DK172" s="189">
        <f>DK169/DK80</f>
        <v>5.3454774711934432E-2</v>
      </c>
      <c r="DL172" s="189">
        <f t="shared" ref="DL172" si="657">DL169/DL80</f>
        <v>5.1518604280761077E-2</v>
      </c>
      <c r="DM172" s="5153">
        <f>DM169/DM80</f>
        <v>5.1880942538238939E-2</v>
      </c>
      <c r="DN172" s="189">
        <f>DN169/DN80</f>
        <v>5.8664330727191905E-2</v>
      </c>
      <c r="DO172" s="189">
        <f>DO169/DO80</f>
        <v>6.1157813589809477E-2</v>
      </c>
      <c r="DP172" s="189">
        <f>DP169/DP80</f>
        <v>6.4147707785526462E-2</v>
      </c>
      <c r="DQ172" s="1858">
        <v>6.7000000000000004E-2</v>
      </c>
      <c r="DR172" s="5153">
        <f>DR169/DR80</f>
        <v>6.3006366281066997E-2</v>
      </c>
      <c r="DS172" s="1858">
        <v>8.3000000000000004E-2</v>
      </c>
      <c r="DT172" s="1858">
        <v>0.09</v>
      </c>
      <c r="DU172" s="1858">
        <v>9.4E-2</v>
      </c>
      <c r="DV172" s="1858">
        <v>9.7000000000000003E-2</v>
      </c>
      <c r="DW172" s="5153">
        <f>DW169/DW80</f>
        <v>9.1401481250039524E-2</v>
      </c>
      <c r="DX172" s="5154">
        <v>0.11</v>
      </c>
      <c r="DY172" s="5154">
        <v>0.11</v>
      </c>
      <c r="DZ172" s="5154">
        <v>0.107</v>
      </c>
      <c r="EA172" s="5154">
        <v>0.104</v>
      </c>
      <c r="EC172" s="3683"/>
      <c r="ED172" s="3683"/>
    </row>
    <row r="173" spans="1:135" s="287" customFormat="1" ht="11.25" customHeight="1">
      <c r="A173" s="1609"/>
      <c r="B173" s="1348"/>
      <c r="C173" s="1348"/>
      <c r="D173" s="1348"/>
      <c r="E173" s="5322"/>
      <c r="F173" s="1348"/>
      <c r="G173" s="1348"/>
      <c r="H173" s="1348"/>
      <c r="I173" s="5322"/>
      <c r="J173" s="1349"/>
      <c r="K173" s="1348"/>
      <c r="L173" s="1348"/>
      <c r="M173" s="5322"/>
      <c r="N173" s="1348"/>
      <c r="O173" s="1348"/>
      <c r="P173" s="1348"/>
      <c r="Q173" s="5322"/>
      <c r="R173" s="5324"/>
      <c r="S173" s="1856"/>
      <c r="T173" s="1856"/>
      <c r="U173" s="5322"/>
      <c r="V173" s="1857"/>
      <c r="W173" s="189"/>
      <c r="X173" s="189"/>
      <c r="Y173" s="5322"/>
      <c r="Z173" s="189"/>
      <c r="AA173" s="189"/>
      <c r="AB173" s="189"/>
      <c r="AC173" s="5322"/>
      <c r="AD173" s="1857"/>
      <c r="AE173" s="189"/>
      <c r="AF173" s="189"/>
      <c r="AG173" s="5322"/>
      <c r="AH173" s="189"/>
      <c r="AI173" s="189"/>
      <c r="AJ173" s="189"/>
      <c r="AK173" s="5322"/>
      <c r="AL173" s="1857"/>
      <c r="AM173" s="189"/>
      <c r="AN173" s="189"/>
      <c r="AO173" s="5322"/>
      <c r="AP173" s="189"/>
      <c r="AQ173" s="189"/>
      <c r="AR173" s="189"/>
      <c r="AS173" s="5322"/>
      <c r="AT173" s="189"/>
      <c r="AU173" s="189"/>
      <c r="AV173" s="189"/>
      <c r="AW173" s="5322"/>
      <c r="AX173" s="189"/>
      <c r="AY173" s="189"/>
      <c r="AZ173" s="189"/>
      <c r="BA173" s="5322"/>
      <c r="BB173" s="189"/>
      <c r="BC173" s="189"/>
      <c r="BD173" s="189"/>
      <c r="BE173" s="5322"/>
      <c r="BF173" s="189"/>
      <c r="BG173" s="189"/>
      <c r="BH173" s="189"/>
      <c r="BI173" s="189"/>
      <c r="BJ173" s="5323"/>
      <c r="BK173" s="189"/>
      <c r="BL173" s="189"/>
      <c r="BM173" s="189"/>
      <c r="BN173" s="5322"/>
      <c r="BO173" s="5323"/>
      <c r="BP173" s="189"/>
      <c r="BQ173" s="189"/>
      <c r="BR173" s="189"/>
      <c r="BS173" s="5322"/>
      <c r="BT173" s="5323"/>
      <c r="BU173" s="189"/>
      <c r="BV173" s="189"/>
      <c r="BW173" s="189"/>
      <c r="BX173" s="189"/>
      <c r="BY173" s="5323"/>
      <c r="BZ173" s="189"/>
      <c r="CA173" s="189"/>
      <c r="CB173" s="189"/>
      <c r="CC173" s="189"/>
      <c r="CD173" s="5323"/>
      <c r="CE173" s="189"/>
      <c r="CF173" s="189"/>
      <c r="CG173" s="189"/>
      <c r="CH173" s="189"/>
      <c r="CI173" s="5323"/>
      <c r="CJ173" s="189"/>
      <c r="CK173" s="189"/>
      <c r="CL173" s="189"/>
      <c r="CM173" s="189"/>
      <c r="CN173" s="5325"/>
      <c r="CO173" s="189"/>
      <c r="CP173" s="189"/>
      <c r="CQ173" s="189"/>
      <c r="CR173" s="189"/>
      <c r="CS173" s="5325"/>
      <c r="CT173" s="189"/>
      <c r="CU173" s="189"/>
      <c r="CV173" s="189"/>
      <c r="CW173" s="189"/>
      <c r="CX173" s="5325"/>
      <c r="CY173" s="189"/>
      <c r="CZ173" s="189"/>
      <c r="DA173" s="189"/>
      <c r="DB173" s="189"/>
      <c r="DC173" s="5325"/>
      <c r="DD173" s="189"/>
      <c r="DE173" s="189"/>
      <c r="DF173" s="189"/>
      <c r="DG173" s="189"/>
      <c r="DH173" s="5325"/>
      <c r="DI173" s="189"/>
      <c r="DJ173" s="189"/>
      <c r="DK173" s="189"/>
      <c r="DL173" s="189"/>
      <c r="DM173" s="5325"/>
      <c r="DN173" s="189"/>
      <c r="DO173" s="189"/>
      <c r="DP173" s="189"/>
      <c r="DQ173" s="1858"/>
      <c r="DR173" s="5325"/>
      <c r="DS173" s="1858"/>
      <c r="DT173" s="1858"/>
      <c r="DU173" s="1858"/>
      <c r="DV173" s="1858"/>
      <c r="DW173" s="5325"/>
      <c r="DX173" s="5326"/>
      <c r="DY173" s="5326"/>
      <c r="DZ173" s="5326"/>
      <c r="EA173" s="5326"/>
      <c r="EC173" s="3683"/>
      <c r="ED173" s="3683"/>
    </row>
    <row r="174" spans="1:135" s="5156" customFormat="1" ht="11.25" customHeight="1">
      <c r="A174" s="5155" t="s">
        <v>1037</v>
      </c>
      <c r="B174" s="5157"/>
      <c r="C174" s="5157"/>
      <c r="D174" s="5157"/>
      <c r="E174" s="5158"/>
      <c r="F174" s="5157"/>
      <c r="G174" s="5157"/>
      <c r="H174" s="5157"/>
      <c r="I174" s="5158"/>
      <c r="J174" s="5159"/>
      <c r="K174" s="5157"/>
      <c r="L174" s="5157"/>
      <c r="M174" s="5158"/>
      <c r="N174" s="5157"/>
      <c r="O174" s="5157"/>
      <c r="P174" s="5157"/>
      <c r="Q174" s="5158"/>
      <c r="R174" s="5160"/>
      <c r="S174" s="267"/>
      <c r="T174" s="267"/>
      <c r="U174" s="5158"/>
      <c r="V174" s="5161"/>
      <c r="W174" s="2617"/>
      <c r="X174" s="2617"/>
      <c r="Y174" s="5158"/>
      <c r="Z174" s="2617"/>
      <c r="AA174" s="2617"/>
      <c r="AB174" s="2617"/>
      <c r="AC174" s="5158"/>
      <c r="AD174" s="5161"/>
      <c r="AE174" s="2617"/>
      <c r="AF174" s="2617"/>
      <c r="AG174" s="5158"/>
      <c r="AH174" s="2617"/>
      <c r="AI174" s="2617"/>
      <c r="AJ174" s="2617"/>
      <c r="AK174" s="5158"/>
      <c r="AL174" s="5161"/>
      <c r="AM174" s="2617"/>
      <c r="AN174" s="2617"/>
      <c r="AO174" s="5158"/>
      <c r="AP174" s="2617"/>
      <c r="AQ174" s="2617"/>
      <c r="AR174" s="2617"/>
      <c r="AS174" s="5158"/>
      <c r="AT174" s="2617"/>
      <c r="AU174" s="2617"/>
      <c r="AV174" s="2617"/>
      <c r="AW174" s="5158"/>
      <c r="AX174" s="2617"/>
      <c r="AY174" s="2617"/>
      <c r="AZ174" s="2617"/>
      <c r="BA174" s="5158"/>
      <c r="BB174" s="2617"/>
      <c r="BC174" s="2617"/>
      <c r="BD174" s="2617"/>
      <c r="BE174" s="5158"/>
      <c r="BF174" s="2617"/>
      <c r="BG174" s="2617"/>
      <c r="BH174" s="2617"/>
      <c r="BI174" s="2617"/>
      <c r="BJ174" s="5162"/>
      <c r="BK174" s="2617"/>
      <c r="BL174" s="2617"/>
      <c r="BM174" s="2617"/>
      <c r="BN174" s="5158"/>
      <c r="BO174" s="5162"/>
      <c r="BP174" s="2617"/>
      <c r="BQ174" s="2617"/>
      <c r="BR174" s="2617"/>
      <c r="BS174" s="5158"/>
      <c r="BT174" s="5164">
        <f t="shared" ref="BT174" si="658">BT168/BO168-1</f>
        <v>-9.4169176019709866E-2</v>
      </c>
      <c r="BU174" s="2617"/>
      <c r="BV174" s="2617"/>
      <c r="BW174" s="2617"/>
      <c r="BX174" s="2617"/>
      <c r="BY174" s="5164">
        <f t="shared" ref="BY174" si="659">BY168/BT168-1</f>
        <v>2.870957993351464E-2</v>
      </c>
      <c r="BZ174" s="2617"/>
      <c r="CA174" s="5163"/>
      <c r="CB174" s="5163"/>
      <c r="CC174" s="5163"/>
      <c r="CD174" s="5164">
        <f t="shared" ref="CD174" si="660">CD168/BY168-1</f>
        <v>0.29103016059537801</v>
      </c>
      <c r="CE174" s="2617"/>
      <c r="CF174" s="5163"/>
      <c r="CG174" s="5163"/>
      <c r="CH174" s="5163"/>
      <c r="CI174" s="5164">
        <f t="shared" ref="CI174" si="661">CI168/CD168-1</f>
        <v>0.90678094660194164</v>
      </c>
      <c r="CJ174" s="5163"/>
      <c r="CK174" s="5163"/>
      <c r="CL174" s="5163"/>
      <c r="CM174" s="5163"/>
      <c r="CN174" s="5162">
        <f t="shared" ref="CN174:DK174" si="662">CN168/CI168-1</f>
        <v>-6.3288118063566601E-2</v>
      </c>
      <c r="CO174" s="2617">
        <f t="shared" si="662"/>
        <v>0.29473911168607159</v>
      </c>
      <c r="CP174" s="2617">
        <f t="shared" si="662"/>
        <v>-0.11998041136141036</v>
      </c>
      <c r="CQ174" s="2617">
        <f t="shared" si="662"/>
        <v>-0.19696969696969702</v>
      </c>
      <c r="CR174" s="2617">
        <f t="shared" si="662"/>
        <v>-9.4679444811632485E-2</v>
      </c>
      <c r="CS174" s="5162">
        <f t="shared" si="662"/>
        <v>-5.3804994054696742E-2</v>
      </c>
      <c r="CT174" s="2617">
        <f t="shared" si="662"/>
        <v>-1.0491257285595301E-2</v>
      </c>
      <c r="CU174" s="2617">
        <f t="shared" si="662"/>
        <v>1.9476905954368462E-2</v>
      </c>
      <c r="CV174" s="2617">
        <f t="shared" si="662"/>
        <v>0.26137624861265252</v>
      </c>
      <c r="CW174" s="2617">
        <f t="shared" si="662"/>
        <v>0.16499361197298779</v>
      </c>
      <c r="CX174" s="5162">
        <f t="shared" si="662"/>
        <v>0.10587496072887204</v>
      </c>
      <c r="CY174" s="2617">
        <f t="shared" si="662"/>
        <v>0.64692022887916534</v>
      </c>
      <c r="CZ174" s="2617">
        <f t="shared" si="662"/>
        <v>0.24235807860262004</v>
      </c>
      <c r="DA174" s="2617">
        <f t="shared" si="662"/>
        <v>6.7018624431734786E-2</v>
      </c>
      <c r="DB174" s="2617">
        <f t="shared" si="662"/>
        <v>0.18987936706877639</v>
      </c>
      <c r="DC174" s="5164">
        <f t="shared" si="662"/>
        <v>0.27780032467532467</v>
      </c>
      <c r="DD174" s="2617">
        <f t="shared" si="662"/>
        <v>-0.35734723073778862</v>
      </c>
      <c r="DE174" s="2617">
        <f t="shared" si="662"/>
        <v>8.7873462214411724E-3</v>
      </c>
      <c r="DF174" s="2617">
        <f t="shared" si="662"/>
        <v>0.1070643210555251</v>
      </c>
      <c r="DG174" s="2617">
        <f t="shared" si="662"/>
        <v>0.45082290980908502</v>
      </c>
      <c r="DH174" s="5164">
        <f t="shared" si="662"/>
        <v>2.4329045577259123E-2</v>
      </c>
      <c r="DI174" s="2617">
        <f t="shared" si="662"/>
        <v>0.91000159007791392</v>
      </c>
      <c r="DJ174" s="2617">
        <f t="shared" si="662"/>
        <v>0.9143437862950059</v>
      </c>
      <c r="DK174" s="2617">
        <f t="shared" si="662"/>
        <v>0.62147734326505266</v>
      </c>
      <c r="DL174" s="2617">
        <f t="shared" ref="DL174" si="663">DL168/DG168-1</f>
        <v>0.29558036119430064</v>
      </c>
      <c r="DM174" s="5164">
        <f t="shared" ref="DM174:DP174" si="664">DM168/DH168-1</f>
        <v>0.62894173824067479</v>
      </c>
      <c r="DN174" s="2617">
        <f t="shared" si="664"/>
        <v>0.43165168165168155</v>
      </c>
      <c r="DO174" s="2617">
        <f t="shared" si="664"/>
        <v>0.7022599726983163</v>
      </c>
      <c r="DP174" s="2617">
        <f t="shared" si="664"/>
        <v>0.83393308322486792</v>
      </c>
      <c r="DQ174" s="2617">
        <f t="shared" ref="DQ174" si="665">DQ168/DL168-1</f>
        <v>1.0171204209310489</v>
      </c>
      <c r="DR174" s="5164">
        <f>DR168/DM168-1</f>
        <v>0.75868299475038836</v>
      </c>
      <c r="DS174" s="2617">
        <f t="shared" ref="DS174" si="666">DS168/DN168-1</f>
        <v>0.849619438664033</v>
      </c>
      <c r="DT174" s="2617">
        <f t="shared" ref="DT174" si="667">DT168/DO168-1</f>
        <v>0.55123219918776201</v>
      </c>
      <c r="DU174" s="2617">
        <f t="shared" ref="DU174" si="668">DU168/DP168-1</f>
        <v>0.52237843861434841</v>
      </c>
      <c r="DV174" s="2617">
        <f t="shared" ref="DV174" si="669">DV168/DQ168-1</f>
        <v>0.31358176290754125</v>
      </c>
      <c r="DW174" s="5164">
        <f>DW168/DR168-1</f>
        <v>0.52522088063322903</v>
      </c>
      <c r="DX174" s="5164">
        <f>DX168/DW168-1</f>
        <v>0.11115828855337928</v>
      </c>
      <c r="DY174" s="5164">
        <f>DY168/DX168-1</f>
        <v>9.337886080739799E-2</v>
      </c>
      <c r="DZ174" s="5164">
        <f>DZ168/DY168-1</f>
        <v>7.8221331222476653E-2</v>
      </c>
      <c r="EA174" s="5164">
        <f>EA168/DZ168-1</f>
        <v>7.0191888877507269E-2</v>
      </c>
      <c r="EC174" s="3683"/>
      <c r="ED174" s="3683"/>
    </row>
    <row r="175" spans="1:135" s="5156" customFormat="1" ht="11.25" customHeight="1">
      <c r="A175" s="5155" t="s">
        <v>1038</v>
      </c>
      <c r="B175" s="5157"/>
      <c r="C175" s="5157"/>
      <c r="D175" s="5157"/>
      <c r="E175" s="5739"/>
      <c r="F175" s="5157"/>
      <c r="G175" s="5157"/>
      <c r="H175" s="5157"/>
      <c r="I175" s="5739"/>
      <c r="J175" s="5740"/>
      <c r="K175" s="5157"/>
      <c r="L175" s="5157"/>
      <c r="M175" s="5739"/>
      <c r="N175" s="5157"/>
      <c r="O175" s="5157"/>
      <c r="P175" s="5157"/>
      <c r="Q175" s="5739"/>
      <c r="R175" s="5741"/>
      <c r="S175" s="267"/>
      <c r="T175" s="267"/>
      <c r="U175" s="5739"/>
      <c r="V175" s="5742"/>
      <c r="W175" s="2617"/>
      <c r="X175" s="2617"/>
      <c r="Y175" s="5739"/>
      <c r="Z175" s="2617"/>
      <c r="AA175" s="2617"/>
      <c r="AB175" s="2617"/>
      <c r="AC175" s="5739"/>
      <c r="AD175" s="5742"/>
      <c r="AE175" s="2617"/>
      <c r="AF175" s="2617"/>
      <c r="AG175" s="5739"/>
      <c r="AH175" s="2617"/>
      <c r="AI175" s="2617"/>
      <c r="AJ175" s="2617"/>
      <c r="AK175" s="5739"/>
      <c r="AL175" s="5742"/>
      <c r="AM175" s="2617"/>
      <c r="AN175" s="2617"/>
      <c r="AO175" s="5739"/>
      <c r="AP175" s="2617"/>
      <c r="AQ175" s="2617"/>
      <c r="AR175" s="2617"/>
      <c r="AS175" s="5739"/>
      <c r="AT175" s="2617"/>
      <c r="AU175" s="2617"/>
      <c r="AV175" s="2617"/>
      <c r="AW175" s="5739"/>
      <c r="AX175" s="2617"/>
      <c r="AY175" s="2617"/>
      <c r="AZ175" s="2617"/>
      <c r="BA175" s="5739"/>
      <c r="BB175" s="2617"/>
      <c r="BC175" s="2617"/>
      <c r="BD175" s="2617"/>
      <c r="BE175" s="5739"/>
      <c r="BF175" s="2617"/>
      <c r="BG175" s="2617"/>
      <c r="BH175" s="2617"/>
      <c r="BI175" s="2617"/>
      <c r="BJ175" s="5743"/>
      <c r="BK175" s="2617"/>
      <c r="BL175" s="2617"/>
      <c r="BM175" s="2617"/>
      <c r="BN175" s="5739"/>
      <c r="BO175" s="5743"/>
      <c r="BP175" s="2617"/>
      <c r="BQ175" s="2617"/>
      <c r="BR175" s="2617"/>
      <c r="BS175" s="5739"/>
      <c r="BT175" s="5745"/>
      <c r="BU175" s="2617"/>
      <c r="BV175" s="2617"/>
      <c r="BW175" s="2617"/>
      <c r="BX175" s="2617"/>
      <c r="BY175" s="5745"/>
      <c r="BZ175" s="2617"/>
      <c r="CA175" s="5163"/>
      <c r="CB175" s="5163"/>
      <c r="CC175" s="5163"/>
      <c r="CD175" s="5745"/>
      <c r="CE175" s="2617"/>
      <c r="CF175" s="5163"/>
      <c r="CG175" s="5163"/>
      <c r="CH175" s="5163"/>
      <c r="CI175" s="5745"/>
      <c r="CJ175" s="5163"/>
      <c r="CK175" s="5163"/>
      <c r="CL175" s="5163"/>
      <c r="CM175" s="5163"/>
      <c r="CN175" s="5743"/>
      <c r="CO175" s="2617">
        <f>CO168/CM168-1</f>
        <v>-7.7660277594183702E-3</v>
      </c>
      <c r="CP175" s="2617">
        <f>CP168/CO168-1</f>
        <v>-0.10224812656119897</v>
      </c>
      <c r="CQ175" s="2617">
        <f>CQ168/CP168-1</f>
        <v>2.7824151363382565E-3</v>
      </c>
      <c r="CR175" s="2617">
        <f>CR168/CQ168-1</f>
        <v>1.3503514613392609E-2</v>
      </c>
      <c r="CS175" s="5743"/>
      <c r="CT175" s="2617">
        <f>CT168/CR168-1</f>
        <v>8.4504471618908505E-2</v>
      </c>
      <c r="CU175" s="2617">
        <f>CU168/CT168-1</f>
        <v>-7.5058902726354737E-2</v>
      </c>
      <c r="CV175" s="2617">
        <f>CV168/CU168-1</f>
        <v>0.24072052401746724</v>
      </c>
      <c r="CW175" s="2617">
        <f>CW168/CV168-1</f>
        <v>-6.3938993987388226E-2</v>
      </c>
      <c r="CX175" s="5743"/>
      <c r="CY175" s="2617">
        <f>CY168/CW168-1</f>
        <v>0.53313488955036825</v>
      </c>
      <c r="CZ175" s="2617">
        <f>CZ168/CY168-1</f>
        <v>-0.30226854690374005</v>
      </c>
      <c r="DA175" s="2617">
        <f>DA168/CZ168-1</f>
        <v>6.5612185120093702E-2</v>
      </c>
      <c r="DB175" s="2617">
        <f>DB168/DA168-1</f>
        <v>4.3842770753161009E-2</v>
      </c>
      <c r="DC175" s="5745"/>
      <c r="DD175" s="2617">
        <f>DD168/DB168-1</f>
        <v>-0.17195523370638577</v>
      </c>
      <c r="DE175" s="2617">
        <f>DE168/DD168-1</f>
        <v>9.5245667037684889E-2</v>
      </c>
      <c r="DF175" s="2617">
        <f>DF168/DE168-1</f>
        <v>0.16942508710801385</v>
      </c>
      <c r="DG175" s="2617">
        <f>DG168/DF168-1</f>
        <v>0.36797020484171328</v>
      </c>
      <c r="DH175" s="5745"/>
      <c r="DI175" s="2617">
        <f>DI168/DG168-1</f>
        <v>9.0117070514565745E-2</v>
      </c>
      <c r="DJ175" s="2617">
        <f>DJ168/DI168-1</f>
        <v>9.7735597735597812E-2</v>
      </c>
      <c r="DK175" s="2617">
        <f>DK168/DJ168-1</f>
        <v>-9.479751251327162E-3</v>
      </c>
      <c r="DL175" s="2617">
        <f>DL168/DK168-1</f>
        <v>9.3025036367812675E-2</v>
      </c>
      <c r="DM175" s="5745"/>
      <c r="DN175" s="2617">
        <f>DN168/DL168-1</f>
        <v>0.2046091342112637</v>
      </c>
      <c r="DO175" s="2617">
        <f>DO168/DN168-1</f>
        <v>0.30522765598650925</v>
      </c>
      <c r="DP175" s="2617">
        <f>DP168/DO168-1</f>
        <v>6.7138911164572823E-2</v>
      </c>
      <c r="DQ175" s="2617">
        <f>DQ168/DP168-1</f>
        <v>0.20220478141408815</v>
      </c>
      <c r="DR175" s="5745"/>
      <c r="DS175" s="2617">
        <f t="shared" ref="DS175:DV175" si="670">DS168/DR168-1</f>
        <v>-0.65573032354116489</v>
      </c>
      <c r="DT175" s="2617">
        <f t="shared" si="670"/>
        <v>9.4663650755679285E-2</v>
      </c>
      <c r="DU175" s="2617">
        <f t="shared" si="670"/>
        <v>4.7289548408024684E-2</v>
      </c>
      <c r="DV175" s="2617">
        <f t="shared" si="670"/>
        <v>3.7320442861209946E-2</v>
      </c>
      <c r="DW175" s="5745"/>
      <c r="DX175" s="5745"/>
      <c r="DY175" s="5745"/>
      <c r="DZ175" s="5745"/>
      <c r="EA175" s="5745"/>
      <c r="EC175" s="3683"/>
      <c r="ED175" s="3683"/>
    </row>
    <row r="176" spans="1:135" s="5156" customFormat="1" ht="11.25" customHeight="1">
      <c r="A176" s="5155" t="s">
        <v>1002</v>
      </c>
      <c r="B176" s="5157"/>
      <c r="C176" s="5157"/>
      <c r="D176" s="5157"/>
      <c r="E176" s="5158"/>
      <c r="F176" s="5157"/>
      <c r="G176" s="5157"/>
      <c r="H176" s="5157"/>
      <c r="I176" s="5158"/>
      <c r="J176" s="5159"/>
      <c r="K176" s="5157"/>
      <c r="L176" s="5157"/>
      <c r="M176" s="5158"/>
      <c r="N176" s="5157"/>
      <c r="O176" s="5157"/>
      <c r="P176" s="5157"/>
      <c r="Q176" s="5158"/>
      <c r="R176" s="5160"/>
      <c r="S176" s="267"/>
      <c r="T176" s="267"/>
      <c r="U176" s="5158"/>
      <c r="V176" s="5161"/>
      <c r="W176" s="2617"/>
      <c r="X176" s="2617"/>
      <c r="Y176" s="5158"/>
      <c r="Z176" s="2617"/>
      <c r="AA176" s="2617"/>
      <c r="AB176" s="2617"/>
      <c r="AC176" s="5158"/>
      <c r="AD176" s="5161"/>
      <c r="AE176" s="2617"/>
      <c r="AF176" s="2617"/>
      <c r="AG176" s="5158"/>
      <c r="AH176" s="2617"/>
      <c r="AI176" s="2617"/>
      <c r="AJ176" s="2617"/>
      <c r="AK176" s="5158"/>
      <c r="AL176" s="5161"/>
      <c r="AM176" s="2617"/>
      <c r="AN176" s="2617"/>
      <c r="AO176" s="5158"/>
      <c r="AP176" s="2617"/>
      <c r="AQ176" s="2617"/>
      <c r="AR176" s="2617"/>
      <c r="AS176" s="5158"/>
      <c r="AT176" s="2617"/>
      <c r="AU176" s="2617"/>
      <c r="AV176" s="2617"/>
      <c r="AW176" s="5158"/>
      <c r="AX176" s="2617"/>
      <c r="AY176" s="2617"/>
      <c r="AZ176" s="2617"/>
      <c r="BA176" s="5158"/>
      <c r="BB176" s="2617"/>
      <c r="BC176" s="2617"/>
      <c r="BD176" s="2617"/>
      <c r="BE176" s="5158"/>
      <c r="BF176" s="2617"/>
      <c r="BG176" s="2617"/>
      <c r="BH176" s="2617"/>
      <c r="BI176" s="2617"/>
      <c r="BJ176" s="5162"/>
      <c r="BK176" s="2617"/>
      <c r="BL176" s="2617"/>
      <c r="BM176" s="2617"/>
      <c r="BN176" s="5158"/>
      <c r="BO176" s="5162"/>
      <c r="BP176" s="2617"/>
      <c r="BQ176" s="2617"/>
      <c r="BR176" s="2617"/>
      <c r="BS176" s="5158"/>
      <c r="BT176" s="5164">
        <f t="shared" ref="BT176" si="671">BT169/BO169-1</f>
        <v>0.172864036332671</v>
      </c>
      <c r="BU176" s="2617"/>
      <c r="BV176" s="2617"/>
      <c r="BW176" s="2617"/>
      <c r="BX176" s="2617"/>
      <c r="BY176" s="5164">
        <f t="shared" ref="BY176" si="672">BY169/BT169-1</f>
        <v>0.27468538238141327</v>
      </c>
      <c r="BZ176" s="2617"/>
      <c r="CA176" s="5163"/>
      <c r="CB176" s="5163"/>
      <c r="CC176" s="5163"/>
      <c r="CD176" s="5164">
        <f t="shared" ref="CD176" si="673">CD169/BY169-1</f>
        <v>0.1587241313840897</v>
      </c>
      <c r="CE176" s="2617"/>
      <c r="CF176" s="5163"/>
      <c r="CG176" s="5163"/>
      <c r="CH176" s="5163"/>
      <c r="CI176" s="5164">
        <f t="shared" ref="CI176" si="674">CI169/CD169-1</f>
        <v>0.33770276912993613</v>
      </c>
      <c r="CJ176" s="5163"/>
      <c r="CK176" s="5163"/>
      <c r="CL176" s="5163"/>
      <c r="CM176" s="5163"/>
      <c r="CN176" s="5162">
        <f t="shared" ref="CN176:DP176" si="675">CN169/CI169-1</f>
        <v>0.32974032337089665</v>
      </c>
      <c r="CO176" s="2617">
        <f t="shared" si="675"/>
        <v>0.19991721854304645</v>
      </c>
      <c r="CP176" s="2617">
        <f t="shared" si="675"/>
        <v>0.21020563594821029</v>
      </c>
      <c r="CQ176" s="2617">
        <f t="shared" si="675"/>
        <v>0.20387994143484622</v>
      </c>
      <c r="CR176" s="2617">
        <f t="shared" si="675"/>
        <v>0.14828033744321867</v>
      </c>
      <c r="CS176" s="5162">
        <f t="shared" si="675"/>
        <v>0.1887435519528371</v>
      </c>
      <c r="CT176" s="2617">
        <f t="shared" si="675"/>
        <v>-0.12901000344946534</v>
      </c>
      <c r="CU176" s="2617">
        <f t="shared" si="675"/>
        <v>-0.1409691629955947</v>
      </c>
      <c r="CV176" s="2617">
        <f t="shared" si="675"/>
        <v>-6.2024931590148991E-2</v>
      </c>
      <c r="CW176" s="2617">
        <f t="shared" si="675"/>
        <v>-9.1551285673919236E-2</v>
      </c>
      <c r="CX176" s="5162">
        <f t="shared" si="675"/>
        <v>-0.10461061604029442</v>
      </c>
      <c r="CY176" s="2617">
        <f t="shared" si="675"/>
        <v>0.42217821782178211</v>
      </c>
      <c r="CZ176" s="2617">
        <f t="shared" si="675"/>
        <v>0.35457875457875465</v>
      </c>
      <c r="DA176" s="2617">
        <f t="shared" si="675"/>
        <v>0.27487844408427886</v>
      </c>
      <c r="DB176" s="2617">
        <f t="shared" si="675"/>
        <v>0.26438569206842932</v>
      </c>
      <c r="DC176" s="5164">
        <f t="shared" si="675"/>
        <v>0.32297706620510591</v>
      </c>
      <c r="DD176" s="2617">
        <f t="shared" si="675"/>
        <v>-0.14786967418546371</v>
      </c>
      <c r="DE176" s="2617">
        <f t="shared" si="675"/>
        <v>-0.11330448891292588</v>
      </c>
      <c r="DF176" s="2617">
        <f t="shared" si="675"/>
        <v>-6.6615814899567805E-2</v>
      </c>
      <c r="DG176" s="2617">
        <f t="shared" si="675"/>
        <v>-0.18425584255842553</v>
      </c>
      <c r="DH176" s="5164">
        <f t="shared" si="675"/>
        <v>-0.12827892980964217</v>
      </c>
      <c r="DI176" s="2617">
        <f t="shared" si="675"/>
        <v>0.11535947712418304</v>
      </c>
      <c r="DJ176" s="2617">
        <f t="shared" si="675"/>
        <v>0.13083257090576406</v>
      </c>
      <c r="DK176" s="2617">
        <f t="shared" si="675"/>
        <v>8.5535276491419232E-2</v>
      </c>
      <c r="DL176" s="2617">
        <f t="shared" ref="DL176" si="676">DL169/DG169-1</f>
        <v>0.26809408926417366</v>
      </c>
      <c r="DM176" s="5164">
        <f t="shared" si="675"/>
        <v>0.14895692630947011</v>
      </c>
      <c r="DN176" s="2617">
        <f t="shared" si="675"/>
        <v>0.31467916788748895</v>
      </c>
      <c r="DO176" s="2617">
        <f t="shared" si="675"/>
        <v>0.34789644012944976</v>
      </c>
      <c r="DP176" s="2617">
        <f t="shared" si="675"/>
        <v>0.40803011292346292</v>
      </c>
      <c r="DQ176" s="2617">
        <f t="shared" ref="DQ176:DR176" si="677">DQ169/DL169-1</f>
        <v>0.52941700012459858</v>
      </c>
      <c r="DR176" s="5164">
        <f t="shared" si="677"/>
        <v>0.40599559045940414</v>
      </c>
      <c r="DS176" s="2617">
        <f t="shared" ref="DS176" si="678">DS169/DN169-1</f>
        <v>0.68108259122961345</v>
      </c>
      <c r="DT176" s="2617">
        <f t="shared" ref="DT176" si="679">DT169/DO169-1</f>
        <v>0.74164455497041337</v>
      </c>
      <c r="DU176" s="2617">
        <f t="shared" ref="DU176" si="680">DU169/DP169-1</f>
        <v>0.72084506518743185</v>
      </c>
      <c r="DV176" s="2617">
        <f t="shared" ref="DV176:DW176" si="681">DV169/DQ169-1</f>
        <v>0.70306212076673802</v>
      </c>
      <c r="DW176" s="5164">
        <f t="shared" si="681"/>
        <v>0.71207364906159998</v>
      </c>
      <c r="DX176" s="5164">
        <f>DX169/DW169-1</f>
        <v>0.37451278346068695</v>
      </c>
      <c r="DY176" s="5164">
        <f>DY169/DX169-1</f>
        <v>0.12651155355913746</v>
      </c>
      <c r="DZ176" s="5164">
        <f>DZ169/DY169-1</f>
        <v>8.1590772882546903E-2</v>
      </c>
      <c r="EA176" s="5164">
        <f>EA169/DZ169-1</f>
        <v>7.3740912325698904E-2</v>
      </c>
      <c r="EC176" s="3683"/>
      <c r="ED176" s="3683"/>
    </row>
    <row r="177" spans="1:134" s="5156" customFormat="1" ht="11.25" customHeight="1">
      <c r="A177" s="5155" t="s">
        <v>1003</v>
      </c>
      <c r="B177" s="5157"/>
      <c r="C177" s="5157"/>
      <c r="D177" s="5157"/>
      <c r="E177" s="5739"/>
      <c r="F177" s="5157"/>
      <c r="G177" s="5157"/>
      <c r="H177" s="5157"/>
      <c r="I177" s="5739"/>
      <c r="J177" s="5740"/>
      <c r="K177" s="5157"/>
      <c r="L177" s="5157"/>
      <c r="M177" s="5739"/>
      <c r="N177" s="5157"/>
      <c r="O177" s="5157"/>
      <c r="P177" s="5157"/>
      <c r="Q177" s="5739"/>
      <c r="R177" s="5741"/>
      <c r="S177" s="267"/>
      <c r="T177" s="267"/>
      <c r="U177" s="5739"/>
      <c r="V177" s="5742"/>
      <c r="W177" s="2617"/>
      <c r="X177" s="2617"/>
      <c r="Y177" s="5739"/>
      <c r="Z177" s="2617"/>
      <c r="AA177" s="2617"/>
      <c r="AB177" s="2617"/>
      <c r="AC177" s="5739"/>
      <c r="AD177" s="5742"/>
      <c r="AE177" s="2617"/>
      <c r="AF177" s="2617"/>
      <c r="AG177" s="5739"/>
      <c r="AH177" s="2617"/>
      <c r="AI177" s="2617"/>
      <c r="AJ177" s="2617"/>
      <c r="AK177" s="5739"/>
      <c r="AL177" s="5742"/>
      <c r="AM177" s="2617"/>
      <c r="AN177" s="2617"/>
      <c r="AO177" s="5739"/>
      <c r="AP177" s="2617"/>
      <c r="AQ177" s="2617"/>
      <c r="AR177" s="2617"/>
      <c r="AS177" s="5739"/>
      <c r="AT177" s="2617"/>
      <c r="AU177" s="2617"/>
      <c r="AV177" s="2617"/>
      <c r="AW177" s="5739"/>
      <c r="AX177" s="2617"/>
      <c r="AY177" s="2617"/>
      <c r="AZ177" s="2617"/>
      <c r="BA177" s="5739"/>
      <c r="BB177" s="2617"/>
      <c r="BC177" s="2617"/>
      <c r="BD177" s="2617"/>
      <c r="BE177" s="5739"/>
      <c r="BF177" s="2617"/>
      <c r="BG177" s="2617"/>
      <c r="BH177" s="2617"/>
      <c r="BI177" s="2617"/>
      <c r="BJ177" s="5743"/>
      <c r="BK177" s="2617"/>
      <c r="BL177" s="2617"/>
      <c r="BM177" s="2617"/>
      <c r="BN177" s="5739"/>
      <c r="BO177" s="5743"/>
      <c r="BP177" s="2617"/>
      <c r="BQ177" s="2617"/>
      <c r="BR177" s="2617"/>
      <c r="BS177" s="5739"/>
      <c r="BT177" s="5743"/>
      <c r="BU177" s="2617"/>
      <c r="BV177" s="2617"/>
      <c r="BW177" s="2617"/>
      <c r="BX177" s="2617"/>
      <c r="BY177" s="5743"/>
      <c r="BZ177" s="2617"/>
      <c r="CA177" s="5163"/>
      <c r="CB177" s="5163"/>
      <c r="CC177" s="5163"/>
      <c r="CD177" s="5743"/>
      <c r="CE177" s="2617"/>
      <c r="CF177" s="5163"/>
      <c r="CG177" s="5163"/>
      <c r="CH177" s="5163"/>
      <c r="CI177" s="5744"/>
      <c r="CJ177" s="5163"/>
      <c r="CK177" s="5163"/>
      <c r="CL177" s="5163"/>
      <c r="CM177" s="5163"/>
      <c r="CN177" s="5743"/>
      <c r="CO177" s="2617">
        <f>CO169/CM169-1</f>
        <v>-5.937702790395849E-2</v>
      </c>
      <c r="CP177" s="2617">
        <f>CP169/CO169-1</f>
        <v>9.6240082787167891E-2</v>
      </c>
      <c r="CQ177" s="2617">
        <f>CQ169/CP169-1</f>
        <v>3.4927627438640751E-2</v>
      </c>
      <c r="CR177" s="2617">
        <f>CR169/CQ169-1</f>
        <v>7.6010945576163058E-2</v>
      </c>
      <c r="CS177" s="5743"/>
      <c r="CT177" s="2617">
        <f>CT169/CR169-1</f>
        <v>-0.2865216162757841</v>
      </c>
      <c r="CU177" s="2617">
        <f>CU169/CT169-1</f>
        <v>8.118811881188126E-2</v>
      </c>
      <c r="CV177" s="2617">
        <f>CV169/CU169-1</f>
        <v>0.13003663003663002</v>
      </c>
      <c r="CW177" s="2617">
        <f>CW169/CV169-1</f>
        <v>4.2139384116693712E-2</v>
      </c>
      <c r="CX177" s="5743"/>
      <c r="CY177" s="2617">
        <f>CY169/CW169-1</f>
        <v>0.11695178849144638</v>
      </c>
      <c r="CZ177" s="2617">
        <f>CZ169/CY169-1</f>
        <v>2.9796714007240377E-2</v>
      </c>
      <c r="DA177" s="2617">
        <f>DA169/CZ169-1</f>
        <v>6.3547863710113672E-2</v>
      </c>
      <c r="DB177" s="2617">
        <f>DB169/DA169-1</f>
        <v>3.3562166285278305E-2</v>
      </c>
      <c r="DC177" s="5745"/>
      <c r="DD177" s="2617">
        <f>DD169/DB169-1</f>
        <v>-0.24723247232472323</v>
      </c>
      <c r="DE177" s="2617">
        <f>DE169/DD169-1</f>
        <v>7.156862745098036E-2</v>
      </c>
      <c r="DF177" s="2617">
        <f>DF169/DE169-1</f>
        <v>0.11954864287892653</v>
      </c>
      <c r="DG177" s="2617">
        <f>DG169/DF169-1</f>
        <v>-9.6703895396349715E-2</v>
      </c>
      <c r="DH177" s="5745"/>
      <c r="DI177" s="2617">
        <f>DI169/DG169-1</f>
        <v>2.9252110977080914E-2</v>
      </c>
      <c r="DJ177" s="2617">
        <f>DJ169/DI169-1</f>
        <v>8.6434222092001134E-2</v>
      </c>
      <c r="DK177" s="2617">
        <f>DK169/DJ169-1</f>
        <v>7.4703344120819803E-2</v>
      </c>
      <c r="DL177" s="2617">
        <f>DL169/DK169-1</f>
        <v>5.520702634880803E-2</v>
      </c>
      <c r="DM177" s="5745"/>
      <c r="DN177" s="2617">
        <f>DN169/DL169-1</f>
        <v>6.7063020214030988E-2</v>
      </c>
      <c r="DO177" s="2617">
        <f>DO169/DN169-1</f>
        <v>0.1138845553822152</v>
      </c>
      <c r="DP177" s="2617">
        <f>DP169/DO169-1</f>
        <v>0.12264905962384964</v>
      </c>
      <c r="DQ177" s="2617">
        <f>DQ169/DP169-1</f>
        <v>0.14617688211084245</v>
      </c>
      <c r="DR177" s="5745"/>
      <c r="DS177" s="2617">
        <f t="shared" ref="DS177:DV177" si="682">DS169/DR169-1</f>
        <v>-0.64960523814003879</v>
      </c>
      <c r="DT177" s="2617">
        <f t="shared" si="682"/>
        <v>0.15401288483279418</v>
      </c>
      <c r="DU177" s="2617">
        <f t="shared" si="682"/>
        <v>0.10924188789131617</v>
      </c>
      <c r="DV177" s="2617">
        <f t="shared" si="682"/>
        <v>0.13433246903543217</v>
      </c>
      <c r="DW177" s="5745"/>
      <c r="DX177" s="5745"/>
      <c r="DY177" s="5745"/>
      <c r="DZ177" s="5745"/>
      <c r="EA177" s="5745"/>
      <c r="EC177" s="3683"/>
      <c r="ED177" s="3683"/>
    </row>
    <row r="178" spans="1:134" s="287" customFormat="1" ht="11.25" hidden="1" customHeight="1" outlineLevel="1">
      <c r="A178" s="5321" t="s">
        <v>1210</v>
      </c>
      <c r="B178" s="1348"/>
      <c r="C178" s="1348"/>
      <c r="D178" s="1348"/>
      <c r="E178" s="5320"/>
      <c r="F178" s="1348"/>
      <c r="G178" s="1348"/>
      <c r="H178" s="1348"/>
      <c r="I178" s="5320"/>
      <c r="J178" s="1349"/>
      <c r="K178" s="1348"/>
      <c r="L178" s="1348"/>
      <c r="M178" s="5320"/>
      <c r="N178" s="1348"/>
      <c r="O178" s="1348"/>
      <c r="P178" s="1348"/>
      <c r="Q178" s="5320"/>
      <c r="R178" s="1349"/>
      <c r="S178" s="1348"/>
      <c r="T178" s="1348"/>
      <c r="U178" s="5320"/>
      <c r="V178" s="1350"/>
      <c r="W178" s="1351"/>
      <c r="X178" s="1351"/>
      <c r="Y178" s="5320"/>
      <c r="Z178" s="1351"/>
      <c r="AA178" s="1351"/>
      <c r="AB178" s="1351"/>
      <c r="AC178" s="5320"/>
      <c r="AD178" s="1350"/>
      <c r="AE178" s="1351"/>
      <c r="AF178" s="1351"/>
      <c r="AG178" s="5320"/>
      <c r="AH178" s="1351"/>
      <c r="AI178" s="1351"/>
      <c r="AJ178" s="1351"/>
      <c r="AK178" s="5320"/>
      <c r="AL178" s="1350"/>
      <c r="AM178" s="1351"/>
      <c r="AN178" s="1351"/>
      <c r="AO178" s="5320"/>
      <c r="AP178" s="1351"/>
      <c r="AQ178" s="1351"/>
      <c r="AR178" s="1351"/>
      <c r="AS178" s="5320"/>
      <c r="AT178" s="1351"/>
      <c r="AU178" s="1351"/>
      <c r="AV178" s="1351"/>
      <c r="AW178" s="5320"/>
      <c r="AX178" s="1351"/>
      <c r="AY178" s="1351"/>
      <c r="AZ178" s="1351"/>
      <c r="BA178" s="5320"/>
      <c r="BB178" s="1351"/>
      <c r="BC178" s="1351"/>
      <c r="BD178" s="1351"/>
      <c r="BE178" s="5320"/>
      <c r="BF178" s="1351"/>
      <c r="BG178" s="1351"/>
      <c r="BH178" s="1351"/>
      <c r="BI178" s="1351"/>
      <c r="BJ178" s="1352"/>
      <c r="BK178" s="189"/>
      <c r="BL178" s="189"/>
      <c r="BM178" s="189"/>
      <c r="BN178" s="5322"/>
      <c r="BO178" s="5323"/>
      <c r="BP178" s="189"/>
      <c r="BQ178" s="189"/>
      <c r="BR178" s="189"/>
      <c r="BS178" s="5322"/>
      <c r="BT178" s="5323"/>
      <c r="BU178" s="189"/>
      <c r="BV178" s="189"/>
      <c r="BW178" s="189"/>
      <c r="BX178" s="189"/>
      <c r="BY178" s="5323"/>
      <c r="BZ178" s="189"/>
      <c r="CA178" s="189"/>
      <c r="CB178" s="189"/>
      <c r="CC178" s="189"/>
      <c r="CD178" s="5323"/>
      <c r="CE178" s="189"/>
      <c r="CF178" s="189"/>
      <c r="CG178" s="189"/>
      <c r="CH178" s="189"/>
      <c r="CI178" s="5323"/>
      <c r="CJ178" s="189"/>
      <c r="CK178" s="189"/>
      <c r="CL178" s="189"/>
      <c r="CM178" s="189"/>
      <c r="CN178" s="5323"/>
      <c r="CO178" s="189"/>
      <c r="CP178" s="189"/>
      <c r="CQ178" s="189"/>
      <c r="CR178" s="189"/>
      <c r="CS178" s="5323"/>
      <c r="CT178" s="189"/>
      <c r="CU178" s="189"/>
      <c r="CV178" s="189"/>
      <c r="CW178" s="189"/>
      <c r="CX178" s="5323"/>
      <c r="CY178" s="189"/>
      <c r="CZ178" s="189"/>
      <c r="DA178" s="189"/>
      <c r="DB178" s="189"/>
      <c r="DC178" s="6080">
        <f>DC169/DC168</f>
        <v>0.48553279339367955</v>
      </c>
      <c r="DD178" s="189"/>
      <c r="DE178" s="189"/>
      <c r="DF178" s="1351"/>
      <c r="DG178" s="1351"/>
      <c r="DH178" s="6080">
        <f>DH169/DH168</f>
        <v>0.41319649003131687</v>
      </c>
      <c r="DI178" s="1351"/>
      <c r="DJ178" s="1351"/>
      <c r="DK178" s="1351"/>
      <c r="DL178" s="1351"/>
      <c r="DM178" s="6080">
        <f>DM169/DM168</f>
        <v>0.29144379937184733</v>
      </c>
      <c r="DN178" s="1351"/>
      <c r="DO178" s="1351"/>
      <c r="DP178" s="1351"/>
      <c r="DQ178" s="1351"/>
      <c r="DR178" s="6080">
        <f>DR169/DR168</f>
        <v>0.23299747481876998</v>
      </c>
      <c r="DS178" s="1351"/>
      <c r="DT178" s="1351"/>
      <c r="DU178" s="1351"/>
      <c r="DV178" s="1351"/>
      <c r="DW178" s="5323">
        <f>DW169/DW168</f>
        <v>0.26154168356880481</v>
      </c>
      <c r="DX178" s="5323">
        <f>DX169/DX168</f>
        <v>0.32352941176470584</v>
      </c>
      <c r="DY178" s="5323">
        <f>DY169/DY168</f>
        <v>0.33333333333333331</v>
      </c>
      <c r="DZ178" s="5323">
        <f>DZ169/DZ168</f>
        <v>0.33437500000000003</v>
      </c>
      <c r="EA178" s="5323">
        <f>EA169/EA168</f>
        <v>0.33548387096774185</v>
      </c>
      <c r="EC178" s="3683"/>
      <c r="ED178" s="3683"/>
    </row>
    <row r="179" spans="1:134" ht="11.25" customHeight="1" collapsed="1">
      <c r="B179" s="152"/>
      <c r="C179" s="31"/>
      <c r="D179" s="152"/>
      <c r="E179" s="630"/>
      <c r="F179" s="31"/>
      <c r="G179" s="31"/>
      <c r="H179" s="31"/>
      <c r="I179" s="630"/>
      <c r="J179" s="1283"/>
      <c r="K179" s="37"/>
      <c r="L179" s="31"/>
      <c r="M179" s="630"/>
      <c r="N179" s="37"/>
      <c r="O179" s="37"/>
      <c r="P179" s="37"/>
      <c r="Q179" s="630"/>
      <c r="R179" s="5327"/>
      <c r="S179" s="31"/>
      <c r="T179" s="31"/>
      <c r="U179" s="630"/>
      <c r="V179" s="1253"/>
      <c r="W179" s="32"/>
      <c r="X179" s="32"/>
      <c r="Y179" s="630"/>
      <c r="Z179" s="32"/>
      <c r="AA179" s="32"/>
      <c r="AB179" s="32"/>
      <c r="AC179" s="630"/>
      <c r="AD179" s="1253"/>
      <c r="AE179" s="32"/>
      <c r="AF179" s="32"/>
      <c r="AG179" s="630"/>
      <c r="AK179" s="630"/>
      <c r="AL179" s="1253"/>
      <c r="AO179" s="630"/>
      <c r="AS179" s="630"/>
      <c r="AT179" s="1253"/>
      <c r="AW179" s="630"/>
      <c r="AX179" s="1253"/>
      <c r="BA179" s="630"/>
      <c r="BB179" s="5328"/>
      <c r="BE179" s="630"/>
      <c r="BF179" s="5328"/>
      <c r="BI179" s="32"/>
      <c r="BJ179" s="4236"/>
      <c r="BN179" s="630"/>
      <c r="BO179" s="4236"/>
      <c r="BP179" s="5328"/>
      <c r="BS179" s="630"/>
      <c r="BT179" s="4236"/>
      <c r="BU179" s="5328"/>
      <c r="BV179" s="32"/>
      <c r="BW179" s="32"/>
      <c r="BX179" s="32"/>
      <c r="BY179" s="4236"/>
      <c r="BZ179" s="32"/>
      <c r="CC179" s="32"/>
      <c r="CD179" s="4236"/>
      <c r="CE179" s="32"/>
      <c r="CH179" s="32"/>
      <c r="CI179" s="4236"/>
      <c r="CK179" s="43"/>
      <c r="CL179" s="43"/>
      <c r="CN179" s="5329"/>
      <c r="CS179" s="5329"/>
      <c r="CX179" s="5329"/>
      <c r="DC179" s="5329"/>
      <c r="DH179" s="5329"/>
      <c r="DM179" s="5329"/>
      <c r="DR179" s="5329"/>
      <c r="DW179" s="5329"/>
      <c r="DX179" s="4236"/>
      <c r="DY179" s="4236"/>
      <c r="DZ179" s="4236"/>
      <c r="EA179" s="4236"/>
      <c r="EC179" s="3683"/>
      <c r="ED179" s="3683"/>
    </row>
    <row r="180" spans="1:134" s="287" customFormat="1" ht="11.25" hidden="1" customHeight="1" outlineLevel="1">
      <c r="A180" s="5321" t="s">
        <v>1014</v>
      </c>
      <c r="B180" s="1348"/>
      <c r="C180" s="1348"/>
      <c r="D180" s="1348"/>
      <c r="E180" s="5320"/>
      <c r="F180" s="1348"/>
      <c r="G180" s="1348"/>
      <c r="H180" s="1348"/>
      <c r="I180" s="5320"/>
      <c r="J180" s="1349"/>
      <c r="K180" s="1348"/>
      <c r="L180" s="1348"/>
      <c r="M180" s="5320"/>
      <c r="N180" s="1348"/>
      <c r="O180" s="1348"/>
      <c r="P180" s="1348"/>
      <c r="Q180" s="5320"/>
      <c r="R180" s="1349"/>
      <c r="S180" s="1348"/>
      <c r="T180" s="1348"/>
      <c r="U180" s="5320"/>
      <c r="V180" s="1350"/>
      <c r="W180" s="1351"/>
      <c r="X180" s="1351"/>
      <c r="Y180" s="5320"/>
      <c r="Z180" s="1351"/>
      <c r="AA180" s="1351"/>
      <c r="AB180" s="1351"/>
      <c r="AC180" s="5320"/>
      <c r="AD180" s="1350"/>
      <c r="AE180" s="1351"/>
      <c r="AF180" s="1351"/>
      <c r="AG180" s="5320"/>
      <c r="AH180" s="1351"/>
      <c r="AI180" s="1351"/>
      <c r="AJ180" s="1351"/>
      <c r="AK180" s="5320"/>
      <c r="AL180" s="1350"/>
      <c r="AM180" s="1351"/>
      <c r="AN180" s="1351"/>
      <c r="AO180" s="5320"/>
      <c r="AP180" s="1351"/>
      <c r="AQ180" s="1351"/>
      <c r="AR180" s="1351"/>
      <c r="AS180" s="5320"/>
      <c r="AT180" s="1351"/>
      <c r="AU180" s="1351"/>
      <c r="AV180" s="1351"/>
      <c r="AW180" s="5320"/>
      <c r="AX180" s="1351"/>
      <c r="AY180" s="1351"/>
      <c r="AZ180" s="1351"/>
      <c r="BA180" s="5320"/>
      <c r="BB180" s="1351"/>
      <c r="BC180" s="1351"/>
      <c r="BD180" s="1351"/>
      <c r="BE180" s="5320"/>
      <c r="BF180" s="1351"/>
      <c r="BG180" s="1351"/>
      <c r="BH180" s="1351"/>
      <c r="BI180" s="1351"/>
      <c r="BJ180" s="1352"/>
      <c r="BK180" s="1351">
        <f t="shared" ref="BK180:DC180" si="683">BK134</f>
        <v>1882</v>
      </c>
      <c r="BL180" s="1351">
        <f t="shared" si="683"/>
        <v>1855</v>
      </c>
      <c r="BM180" s="1351">
        <f t="shared" si="683"/>
        <v>1718</v>
      </c>
      <c r="BN180" s="5320">
        <f t="shared" si="683"/>
        <v>3454</v>
      </c>
      <c r="BO180" s="1352">
        <f t="shared" si="683"/>
        <v>8909</v>
      </c>
      <c r="BP180" s="1351">
        <f t="shared" si="683"/>
        <v>2097</v>
      </c>
      <c r="BQ180" s="1351">
        <f t="shared" si="683"/>
        <v>2269</v>
      </c>
      <c r="BR180" s="1351">
        <f t="shared" si="683"/>
        <v>1796</v>
      </c>
      <c r="BS180" s="5320">
        <f t="shared" si="683"/>
        <v>1238</v>
      </c>
      <c r="BT180" s="1352">
        <f t="shared" si="683"/>
        <v>7400</v>
      </c>
      <c r="BU180" s="1351">
        <f t="shared" si="683"/>
        <v>1849</v>
      </c>
      <c r="BV180" s="1351">
        <f t="shared" si="683"/>
        <v>1909</v>
      </c>
      <c r="BW180" s="1351">
        <f t="shared" si="683"/>
        <v>2190</v>
      </c>
      <c r="BX180" s="1351">
        <f t="shared" si="683"/>
        <v>1433</v>
      </c>
      <c r="BY180" s="1352">
        <f t="shared" si="683"/>
        <v>7381</v>
      </c>
      <c r="BZ180" s="1351">
        <f t="shared" si="683"/>
        <v>2794</v>
      </c>
      <c r="CA180" s="1351">
        <f t="shared" si="683"/>
        <v>3020</v>
      </c>
      <c r="CB180" s="1351">
        <f t="shared" si="683"/>
        <v>3017</v>
      </c>
      <c r="CC180" s="1351">
        <f t="shared" si="683"/>
        <v>3289</v>
      </c>
      <c r="CD180" s="1352">
        <f t="shared" si="683"/>
        <v>12120</v>
      </c>
      <c r="CE180" s="1351">
        <f t="shared" si="683"/>
        <v>8154</v>
      </c>
      <c r="CF180" s="1351">
        <f t="shared" si="683"/>
        <v>4075</v>
      </c>
      <c r="CG180" s="1351">
        <f t="shared" si="683"/>
        <v>5252</v>
      </c>
      <c r="CH180" s="1351">
        <f t="shared" si="683"/>
        <v>5379</v>
      </c>
      <c r="CI180" s="1352">
        <f t="shared" si="683"/>
        <v>22860</v>
      </c>
      <c r="CJ180" s="1351">
        <f t="shared" si="683"/>
        <v>2751</v>
      </c>
      <c r="CK180" s="1351">
        <f t="shared" si="683"/>
        <v>6172</v>
      </c>
      <c r="CL180" s="1351">
        <f t="shared" si="683"/>
        <v>5975</v>
      </c>
      <c r="CM180" s="1351">
        <f t="shared" si="683"/>
        <v>6802</v>
      </c>
      <c r="CN180" s="1352">
        <f t="shared" si="683"/>
        <v>21700</v>
      </c>
      <c r="CO180" s="1351">
        <f t="shared" si="683"/>
        <v>5477</v>
      </c>
      <c r="CP180" s="1351">
        <f t="shared" si="683"/>
        <v>4608</v>
      </c>
      <c r="CQ180" s="1351">
        <f t="shared" si="683"/>
        <v>5995</v>
      </c>
      <c r="CR180" s="1351">
        <f t="shared" si="683"/>
        <v>6175</v>
      </c>
      <c r="CS180" s="1352">
        <f t="shared" si="683"/>
        <v>22255</v>
      </c>
      <c r="CT180" s="1351">
        <f t="shared" si="683"/>
        <v>4496</v>
      </c>
      <c r="CU180" s="1351">
        <f t="shared" si="683"/>
        <v>6117</v>
      </c>
      <c r="CV180" s="1351">
        <f t="shared" si="683"/>
        <v>4829</v>
      </c>
      <c r="CW180" s="1351">
        <f t="shared" si="683"/>
        <v>5109</v>
      </c>
      <c r="CX180" s="1352">
        <f t="shared" si="683"/>
        <v>20551</v>
      </c>
      <c r="CY180" s="1351">
        <f t="shared" si="683"/>
        <v>9164</v>
      </c>
      <c r="CZ180" s="1351">
        <f t="shared" si="683"/>
        <v>4081</v>
      </c>
      <c r="DA180" s="1351">
        <f t="shared" si="683"/>
        <v>3617</v>
      </c>
      <c r="DB180" s="1351">
        <f t="shared" si="683"/>
        <v>7835</v>
      </c>
      <c r="DC180" s="1352">
        <f t="shared" si="683"/>
        <v>24697</v>
      </c>
      <c r="DD180" s="1351">
        <f>DD134</f>
        <v>6725</v>
      </c>
      <c r="DE180" s="1351">
        <f>DE134</f>
        <v>5690</v>
      </c>
      <c r="DF180" s="1351">
        <f>DF134</f>
        <v>6330</v>
      </c>
      <c r="DG180" s="1351">
        <f t="shared" ref="DG180:DH180" si="684">DG134</f>
        <v>11348</v>
      </c>
      <c r="DH180" s="1352">
        <f t="shared" si="684"/>
        <v>30093</v>
      </c>
      <c r="DI180" s="1351">
        <f>DI134</f>
        <v>11383</v>
      </c>
      <c r="DJ180" s="1351">
        <f>DJ134</f>
        <v>10785</v>
      </c>
      <c r="DK180" s="1351">
        <f>DK134</f>
        <v>14169</v>
      </c>
      <c r="DL180" s="1351"/>
      <c r="DM180" s="1352"/>
      <c r="DN180" s="1351"/>
      <c r="DO180" s="1351"/>
      <c r="DP180" s="1351"/>
      <c r="DQ180" s="1351"/>
      <c r="DR180" s="1352"/>
      <c r="DS180" s="1351"/>
      <c r="DT180" s="1351"/>
      <c r="DU180" s="1351"/>
      <c r="DV180" s="1351"/>
      <c r="DW180" s="1352"/>
      <c r="DX180" s="1352"/>
      <c r="DY180" s="1352"/>
      <c r="DZ180" s="1352"/>
      <c r="EA180" s="1352"/>
      <c r="EC180" s="3683"/>
      <c r="ED180" s="3683"/>
    </row>
    <row r="181" spans="1:134" s="287" customFormat="1" ht="11.25" hidden="1" customHeight="1" outlineLevel="1">
      <c r="A181" s="5321" t="s">
        <v>419</v>
      </c>
      <c r="B181" s="1348"/>
      <c r="C181" s="1348"/>
      <c r="D181" s="1348"/>
      <c r="E181" s="5320"/>
      <c r="F181" s="1348"/>
      <c r="G181" s="1348"/>
      <c r="H181" s="1348"/>
      <c r="I181" s="5320"/>
      <c r="J181" s="1349"/>
      <c r="K181" s="1348"/>
      <c r="L181" s="1348"/>
      <c r="M181" s="5320"/>
      <c r="N181" s="1348"/>
      <c r="O181" s="1348"/>
      <c r="P181" s="1348"/>
      <c r="Q181" s="5320"/>
      <c r="R181" s="1349"/>
      <c r="S181" s="1348"/>
      <c r="T181" s="1348"/>
      <c r="U181" s="5320"/>
      <c r="V181" s="1350"/>
      <c r="W181" s="1351"/>
      <c r="X181" s="1351"/>
      <c r="Y181" s="5320"/>
      <c r="Z181" s="1351"/>
      <c r="AA181" s="1351"/>
      <c r="AB181" s="1351"/>
      <c r="AC181" s="5320"/>
      <c r="AD181" s="1350"/>
      <c r="AE181" s="1351"/>
      <c r="AF181" s="1351"/>
      <c r="AG181" s="5320"/>
      <c r="AH181" s="1351"/>
      <c r="AI181" s="1351"/>
      <c r="AJ181" s="1351"/>
      <c r="AK181" s="5320"/>
      <c r="AL181" s="1350"/>
      <c r="AM181" s="1351"/>
      <c r="AN181" s="1351"/>
      <c r="AO181" s="5320"/>
      <c r="AP181" s="1351"/>
      <c r="AQ181" s="1351"/>
      <c r="AR181" s="1351"/>
      <c r="AS181" s="5320"/>
      <c r="AT181" s="1351"/>
      <c r="AU181" s="1351"/>
      <c r="AV181" s="1351"/>
      <c r="AW181" s="5320"/>
      <c r="AX181" s="1351"/>
      <c r="AY181" s="1351"/>
      <c r="AZ181" s="1351"/>
      <c r="BA181" s="5320"/>
      <c r="BB181" s="1351"/>
      <c r="BC181" s="1351"/>
      <c r="BD181" s="1351"/>
      <c r="BE181" s="5320"/>
      <c r="BF181" s="1351"/>
      <c r="BG181" s="1351"/>
      <c r="BH181" s="1351"/>
      <c r="BI181" s="1351"/>
      <c r="BJ181" s="1352"/>
      <c r="BK181" s="1351">
        <f>BK182-BK180</f>
        <v>463</v>
      </c>
      <c r="BL181" s="1351">
        <f t="shared" ref="BL181:DC181" si="685">BL182-BL180</f>
        <v>791</v>
      </c>
      <c r="BM181" s="1351">
        <f t="shared" si="685"/>
        <v>699</v>
      </c>
      <c r="BN181" s="5320">
        <f t="shared" si="685"/>
        <v>97</v>
      </c>
      <c r="BO181" s="1352">
        <f t="shared" si="685"/>
        <v>2050</v>
      </c>
      <c r="BP181" s="1351">
        <f t="shared" si="685"/>
        <v>830</v>
      </c>
      <c r="BQ181" s="1351">
        <f t="shared" si="685"/>
        <v>246</v>
      </c>
      <c r="BR181" s="1351">
        <f t="shared" si="685"/>
        <v>587</v>
      </c>
      <c r="BS181" s="5320">
        <f t="shared" si="685"/>
        <v>864</v>
      </c>
      <c r="BT181" s="1352">
        <f t="shared" si="685"/>
        <v>2527</v>
      </c>
      <c r="BU181" s="1351">
        <f t="shared" si="685"/>
        <v>595</v>
      </c>
      <c r="BV181" s="1351">
        <f t="shared" si="685"/>
        <v>227</v>
      </c>
      <c r="BW181" s="1351">
        <f t="shared" si="685"/>
        <v>364</v>
      </c>
      <c r="BX181" s="1351">
        <f t="shared" si="685"/>
        <v>1645</v>
      </c>
      <c r="BY181" s="1352">
        <f t="shared" si="685"/>
        <v>2831</v>
      </c>
      <c r="BZ181" s="1351">
        <f t="shared" si="685"/>
        <v>-286</v>
      </c>
      <c r="CA181" s="1351">
        <f t="shared" si="685"/>
        <v>-189</v>
      </c>
      <c r="CB181" s="1351">
        <f t="shared" si="685"/>
        <v>521</v>
      </c>
      <c r="CC181" s="1351">
        <f t="shared" si="685"/>
        <v>1018</v>
      </c>
      <c r="CD181" s="1352">
        <f t="shared" si="685"/>
        <v>1064</v>
      </c>
      <c r="CE181" s="1351">
        <f t="shared" si="685"/>
        <v>-855</v>
      </c>
      <c r="CF181" s="1351">
        <f t="shared" si="685"/>
        <v>1402</v>
      </c>
      <c r="CG181" s="1351">
        <f t="shared" si="685"/>
        <v>30</v>
      </c>
      <c r="CH181" s="1351">
        <f t="shared" si="685"/>
        <v>1702</v>
      </c>
      <c r="CI181" s="1352">
        <f t="shared" si="685"/>
        <v>2279</v>
      </c>
      <c r="CJ181" s="1351">
        <f t="shared" si="685"/>
        <v>1887</v>
      </c>
      <c r="CK181" s="1351">
        <f t="shared" si="685"/>
        <v>-46</v>
      </c>
      <c r="CL181" s="1351">
        <f t="shared" si="685"/>
        <v>757</v>
      </c>
      <c r="CM181" s="1351">
        <f t="shared" si="685"/>
        <v>-750</v>
      </c>
      <c r="CN181" s="1352">
        <f t="shared" si="685"/>
        <v>1848</v>
      </c>
      <c r="CO181" s="1351">
        <f t="shared" si="685"/>
        <v>528</v>
      </c>
      <c r="CP181" s="1351">
        <f t="shared" si="685"/>
        <v>783</v>
      </c>
      <c r="CQ181" s="1351">
        <f t="shared" si="685"/>
        <v>-589</v>
      </c>
      <c r="CR181" s="1351">
        <f t="shared" si="685"/>
        <v>-696</v>
      </c>
      <c r="CS181" s="1352">
        <f t="shared" si="685"/>
        <v>26</v>
      </c>
      <c r="CT181" s="1351">
        <f t="shared" si="685"/>
        <v>1446</v>
      </c>
      <c r="CU181" s="1351">
        <f t="shared" si="685"/>
        <v>-621</v>
      </c>
      <c r="CV181" s="1351">
        <f t="shared" si="685"/>
        <v>1990</v>
      </c>
      <c r="CW181" s="1351">
        <f t="shared" si="685"/>
        <v>1274</v>
      </c>
      <c r="CX181" s="1352">
        <f t="shared" si="685"/>
        <v>4089</v>
      </c>
      <c r="CY181" s="1351">
        <f t="shared" si="685"/>
        <v>622</v>
      </c>
      <c r="CZ181" s="1351">
        <f t="shared" si="685"/>
        <v>2747</v>
      </c>
      <c r="DA181" s="1351">
        <f t="shared" si="685"/>
        <v>3659</v>
      </c>
      <c r="DB181" s="1351">
        <f t="shared" si="685"/>
        <v>-240</v>
      </c>
      <c r="DC181" s="1352">
        <f t="shared" si="685"/>
        <v>6788</v>
      </c>
      <c r="DD181" s="1351">
        <f>DD182-DD180</f>
        <v>-436</v>
      </c>
      <c r="DE181" s="1351">
        <f>DE182-DE180</f>
        <v>1198</v>
      </c>
      <c r="DF181" s="1351">
        <f>DF182-DF180</f>
        <v>1725</v>
      </c>
      <c r="DG181" s="1351">
        <f t="shared" ref="DG181:DH181" si="686">DG182-DG180</f>
        <v>-329</v>
      </c>
      <c r="DH181" s="1352">
        <f t="shared" si="686"/>
        <v>2158</v>
      </c>
      <c r="DI181" s="1351">
        <f>DI182-DI180</f>
        <v>629</v>
      </c>
      <c r="DJ181" s="1351">
        <f>DJ182-DJ180</f>
        <v>2401</v>
      </c>
      <c r="DK181" s="1351">
        <f>DK182-DK180</f>
        <v>-1108</v>
      </c>
      <c r="DL181" s="1351"/>
      <c r="DM181" s="1352"/>
      <c r="DN181" s="1351"/>
      <c r="DO181" s="1351"/>
      <c r="DP181" s="1351"/>
      <c r="DQ181" s="1351"/>
      <c r="DR181" s="1352"/>
      <c r="DS181" s="1351"/>
      <c r="DT181" s="1351"/>
      <c r="DU181" s="1351"/>
      <c r="DV181" s="1351"/>
      <c r="DW181" s="1352"/>
      <c r="DX181" s="1352"/>
      <c r="DY181" s="1352"/>
      <c r="DZ181" s="1352"/>
      <c r="EA181" s="1352"/>
      <c r="EC181" s="3683"/>
      <c r="ED181" s="3683"/>
    </row>
    <row r="182" spans="1:134" s="287" customFormat="1" ht="11.25" hidden="1" customHeight="1" outlineLevel="1">
      <c r="A182" s="5746" t="s">
        <v>1015</v>
      </c>
      <c r="B182" s="5747"/>
      <c r="C182" s="5747"/>
      <c r="D182" s="5747"/>
      <c r="E182" s="5748"/>
      <c r="F182" s="5747"/>
      <c r="G182" s="5747"/>
      <c r="H182" s="5747"/>
      <c r="I182" s="5748"/>
      <c r="J182" s="5749"/>
      <c r="K182" s="5747"/>
      <c r="L182" s="5747"/>
      <c r="M182" s="5748"/>
      <c r="N182" s="5747"/>
      <c r="O182" s="5747"/>
      <c r="P182" s="5747"/>
      <c r="Q182" s="5748"/>
      <c r="R182" s="5749"/>
      <c r="S182" s="5747"/>
      <c r="T182" s="5747"/>
      <c r="U182" s="5748"/>
      <c r="V182" s="5750"/>
      <c r="W182" s="5751"/>
      <c r="X182" s="5751"/>
      <c r="Y182" s="5748"/>
      <c r="Z182" s="5751"/>
      <c r="AA182" s="5751"/>
      <c r="AB182" s="5751"/>
      <c r="AC182" s="5748"/>
      <c r="AD182" s="5750"/>
      <c r="AE182" s="5751"/>
      <c r="AF182" s="5751"/>
      <c r="AG182" s="5748"/>
      <c r="AH182" s="5751"/>
      <c r="AI182" s="5751"/>
      <c r="AJ182" s="5751"/>
      <c r="AK182" s="5748"/>
      <c r="AL182" s="5750"/>
      <c r="AM182" s="5751"/>
      <c r="AN182" s="5751"/>
      <c r="AO182" s="5748"/>
      <c r="AP182" s="5751"/>
      <c r="AQ182" s="5751"/>
      <c r="AR182" s="5751"/>
      <c r="AS182" s="5748"/>
      <c r="AT182" s="5751"/>
      <c r="AU182" s="5751"/>
      <c r="AV182" s="5751"/>
      <c r="AW182" s="5748"/>
      <c r="AX182" s="5751"/>
      <c r="AY182" s="5751"/>
      <c r="AZ182" s="5751"/>
      <c r="BA182" s="5748"/>
      <c r="BB182" s="5751"/>
      <c r="BC182" s="5751"/>
      <c r="BD182" s="5751"/>
      <c r="BE182" s="5748"/>
      <c r="BF182" s="5751"/>
      <c r="BG182" s="5751"/>
      <c r="BH182" s="5751"/>
      <c r="BI182" s="5751"/>
      <c r="BJ182" s="5752"/>
      <c r="BK182" s="5751">
        <f t="shared" ref="BK182:DC182" si="687">BK168</f>
        <v>2345</v>
      </c>
      <c r="BL182" s="5751">
        <f t="shared" si="687"/>
        <v>2646</v>
      </c>
      <c r="BM182" s="5751">
        <f t="shared" si="687"/>
        <v>2417</v>
      </c>
      <c r="BN182" s="5748">
        <f t="shared" si="687"/>
        <v>3551</v>
      </c>
      <c r="BO182" s="5752">
        <f t="shared" si="687"/>
        <v>10959</v>
      </c>
      <c r="BP182" s="5751">
        <f t="shared" si="687"/>
        <v>2927</v>
      </c>
      <c r="BQ182" s="5751">
        <f t="shared" si="687"/>
        <v>2515</v>
      </c>
      <c r="BR182" s="5751">
        <f t="shared" si="687"/>
        <v>2383</v>
      </c>
      <c r="BS182" s="5748">
        <f t="shared" si="687"/>
        <v>2102</v>
      </c>
      <c r="BT182" s="5752">
        <f t="shared" si="687"/>
        <v>9927</v>
      </c>
      <c r="BU182" s="5751">
        <f t="shared" si="687"/>
        <v>2444</v>
      </c>
      <c r="BV182" s="5751">
        <f t="shared" si="687"/>
        <v>2136</v>
      </c>
      <c r="BW182" s="5751">
        <f t="shared" si="687"/>
        <v>2554</v>
      </c>
      <c r="BX182" s="5751">
        <f t="shared" si="687"/>
        <v>3078</v>
      </c>
      <c r="BY182" s="5752">
        <f t="shared" si="687"/>
        <v>10212</v>
      </c>
      <c r="BZ182" s="5751">
        <f t="shared" si="687"/>
        <v>2508</v>
      </c>
      <c r="CA182" s="5751">
        <f t="shared" si="687"/>
        <v>2831</v>
      </c>
      <c r="CB182" s="5751">
        <f t="shared" si="687"/>
        <v>3538</v>
      </c>
      <c r="CC182" s="5751">
        <f t="shared" si="687"/>
        <v>4307</v>
      </c>
      <c r="CD182" s="5752">
        <f t="shared" si="687"/>
        <v>13184</v>
      </c>
      <c r="CE182" s="5751">
        <f t="shared" si="687"/>
        <v>7299</v>
      </c>
      <c r="CF182" s="5751">
        <f t="shared" si="687"/>
        <v>5477</v>
      </c>
      <c r="CG182" s="5751">
        <f t="shared" si="687"/>
        <v>5282</v>
      </c>
      <c r="CH182" s="5751">
        <f t="shared" si="687"/>
        <v>7081</v>
      </c>
      <c r="CI182" s="5752">
        <f t="shared" si="687"/>
        <v>25139</v>
      </c>
      <c r="CJ182" s="5751">
        <f t="shared" si="687"/>
        <v>4638</v>
      </c>
      <c r="CK182" s="5751">
        <f t="shared" si="687"/>
        <v>6126</v>
      </c>
      <c r="CL182" s="5751">
        <f t="shared" si="687"/>
        <v>6732</v>
      </c>
      <c r="CM182" s="5751">
        <f t="shared" si="687"/>
        <v>6052</v>
      </c>
      <c r="CN182" s="5752">
        <f t="shared" si="687"/>
        <v>23548</v>
      </c>
      <c r="CO182" s="5751">
        <f t="shared" si="687"/>
        <v>6005</v>
      </c>
      <c r="CP182" s="5751">
        <f t="shared" si="687"/>
        <v>5391</v>
      </c>
      <c r="CQ182" s="5751">
        <f t="shared" si="687"/>
        <v>5406</v>
      </c>
      <c r="CR182" s="5751">
        <f t="shared" si="687"/>
        <v>5479</v>
      </c>
      <c r="CS182" s="5752">
        <f t="shared" si="687"/>
        <v>22281</v>
      </c>
      <c r="CT182" s="5751">
        <f t="shared" si="687"/>
        <v>5942</v>
      </c>
      <c r="CU182" s="5751">
        <f t="shared" si="687"/>
        <v>5496</v>
      </c>
      <c r="CV182" s="5751">
        <f t="shared" si="687"/>
        <v>6819</v>
      </c>
      <c r="CW182" s="5751">
        <f t="shared" si="687"/>
        <v>6383</v>
      </c>
      <c r="CX182" s="5752">
        <f t="shared" si="687"/>
        <v>24640</v>
      </c>
      <c r="CY182" s="5751">
        <f t="shared" si="687"/>
        <v>9786</v>
      </c>
      <c r="CZ182" s="5751">
        <f t="shared" si="687"/>
        <v>6828</v>
      </c>
      <c r="DA182" s="5751">
        <f t="shared" si="687"/>
        <v>7276</v>
      </c>
      <c r="DB182" s="5751">
        <f t="shared" si="687"/>
        <v>7595</v>
      </c>
      <c r="DC182" s="5752">
        <f t="shared" si="687"/>
        <v>31485</v>
      </c>
      <c r="DD182" s="5751">
        <f>DD168</f>
        <v>6289</v>
      </c>
      <c r="DE182" s="5751">
        <f>DE168</f>
        <v>6888</v>
      </c>
      <c r="DF182" s="5751">
        <f>DF168</f>
        <v>8055</v>
      </c>
      <c r="DG182" s="5751">
        <f t="shared" ref="DG182:DH182" si="688">DG168</f>
        <v>11019</v>
      </c>
      <c r="DH182" s="5752">
        <f t="shared" si="688"/>
        <v>32251</v>
      </c>
      <c r="DI182" s="5751">
        <f>DI168</f>
        <v>12012</v>
      </c>
      <c r="DJ182" s="5751">
        <f>DJ168</f>
        <v>13186</v>
      </c>
      <c r="DK182" s="5751">
        <f>DK168</f>
        <v>13061</v>
      </c>
      <c r="DL182" s="5751"/>
      <c r="DM182" s="5752"/>
      <c r="DN182" s="5751"/>
      <c r="DO182" s="5751"/>
      <c r="DP182" s="5751"/>
      <c r="DQ182" s="5751"/>
      <c r="DR182" s="5752"/>
      <c r="DS182" s="5751"/>
      <c r="DT182" s="5751"/>
      <c r="DU182" s="5751"/>
      <c r="DV182" s="5751"/>
      <c r="DW182" s="5752"/>
      <c r="DX182" s="5752"/>
      <c r="DY182" s="5752"/>
      <c r="DZ182" s="5752"/>
      <c r="EA182" s="5752"/>
      <c r="EC182" s="3683"/>
      <c r="ED182" s="3683"/>
    </row>
    <row r="183" spans="1:134" ht="11.25" customHeight="1" collapsed="1">
      <c r="A183" s="3116" t="s">
        <v>1040</v>
      </c>
      <c r="B183" s="2992"/>
      <c r="C183" s="2992"/>
      <c r="D183" s="2992"/>
      <c r="E183" s="3182"/>
      <c r="F183" s="3137"/>
      <c r="G183" s="3137"/>
      <c r="H183" s="3137"/>
      <c r="I183" s="3182"/>
      <c r="J183" s="3139"/>
      <c r="K183" s="3137"/>
      <c r="L183" s="3137"/>
      <c r="M183" s="3182"/>
      <c r="N183" s="3137"/>
      <c r="O183" s="3137"/>
      <c r="P183" s="3137"/>
      <c r="Q183" s="3182"/>
      <c r="R183" s="3139"/>
      <c r="S183" s="3137"/>
      <c r="T183" s="3137"/>
      <c r="U183" s="3182"/>
      <c r="V183" s="3140"/>
      <c r="W183" s="3141"/>
      <c r="X183" s="3141"/>
      <c r="Y183" s="3182"/>
      <c r="Z183" s="3141"/>
      <c r="AA183" s="3141"/>
      <c r="AB183" s="3141"/>
      <c r="AC183" s="3182"/>
      <c r="AD183" s="3140"/>
      <c r="AE183" s="3141"/>
      <c r="AF183" s="3141"/>
      <c r="AG183" s="3182"/>
      <c r="AH183" s="3141"/>
      <c r="AI183" s="3141"/>
      <c r="AJ183" s="3141"/>
      <c r="AK183" s="3182"/>
      <c r="AL183" s="3140"/>
      <c r="AM183" s="3141"/>
      <c r="AN183" s="3141"/>
      <c r="AO183" s="3182"/>
      <c r="AP183" s="3141"/>
      <c r="AQ183" s="3141"/>
      <c r="AR183" s="3141"/>
      <c r="AS183" s="3182"/>
      <c r="AT183" s="3140"/>
      <c r="AU183" s="3141"/>
      <c r="AV183" s="3141"/>
      <c r="AW183" s="3182"/>
      <c r="AX183" s="3140"/>
      <c r="AY183" s="3141"/>
      <c r="AZ183" s="3141"/>
      <c r="BA183" s="3182"/>
      <c r="BB183" s="3164"/>
      <c r="BC183" s="3141"/>
      <c r="BD183" s="3141"/>
      <c r="BE183" s="3182"/>
      <c r="BF183" s="3164"/>
      <c r="BG183" s="3141"/>
      <c r="BH183" s="3141"/>
      <c r="BI183" s="3141"/>
      <c r="BJ183" s="3183"/>
      <c r="BK183" s="3141"/>
      <c r="BL183" s="3141"/>
      <c r="BM183" s="3141"/>
      <c r="BN183" s="3182"/>
      <c r="BO183" s="3183"/>
      <c r="BP183" s="3184"/>
      <c r="BQ183" s="3141"/>
      <c r="BR183" s="3141"/>
      <c r="BS183" s="3182"/>
      <c r="BT183" s="3183"/>
      <c r="BU183" s="3184"/>
      <c r="BV183" s="3141"/>
      <c r="BW183" s="3141"/>
      <c r="BX183" s="3141"/>
      <c r="BY183" s="3183"/>
      <c r="BZ183" s="3141"/>
      <c r="CA183" s="3141"/>
      <c r="CB183" s="3141"/>
      <c r="CC183" s="3141"/>
      <c r="CD183" s="3185"/>
      <c r="CE183" s="3141"/>
      <c r="CF183" s="3141"/>
      <c r="CG183" s="3141"/>
      <c r="CH183" s="3141"/>
      <c r="CI183" s="3185"/>
      <c r="CJ183" s="3141"/>
      <c r="CK183" s="3141"/>
      <c r="CL183" s="3141"/>
      <c r="CM183" s="3141"/>
      <c r="CN183" s="4384"/>
      <c r="CO183" s="3141"/>
      <c r="CP183" s="3141"/>
      <c r="CQ183" s="3141"/>
      <c r="CR183" s="3141"/>
      <c r="CS183" s="4384"/>
      <c r="CT183" s="3141"/>
      <c r="CU183" s="3141"/>
      <c r="CV183" s="3141"/>
      <c r="CW183" s="3141"/>
      <c r="CX183" s="4384"/>
      <c r="CY183" s="3141"/>
      <c r="CZ183" s="3141"/>
      <c r="DA183" s="3141"/>
      <c r="DB183" s="3141"/>
      <c r="DC183" s="4384"/>
      <c r="DD183" s="3141"/>
      <c r="DE183" s="3141"/>
      <c r="DF183" s="3141"/>
      <c r="DG183" s="3141"/>
      <c r="DH183" s="4384"/>
      <c r="DI183" s="3141"/>
      <c r="DJ183" s="3141"/>
      <c r="DK183" s="3141"/>
      <c r="DL183" s="3141"/>
      <c r="DM183" s="4384"/>
      <c r="DN183" s="3141"/>
      <c r="DO183" s="3141"/>
      <c r="DP183" s="3141"/>
      <c r="DQ183" s="3141"/>
      <c r="DR183" s="4384"/>
      <c r="DS183" s="3141"/>
      <c r="DT183" s="3141"/>
      <c r="DU183" s="3141"/>
      <c r="DV183" s="3141"/>
      <c r="DW183" s="4384"/>
      <c r="DX183" s="3185"/>
      <c r="DY183" s="3185"/>
      <c r="DZ183" s="3185"/>
      <c r="EA183" s="3185"/>
      <c r="EC183" s="3683"/>
      <c r="ED183" s="3683"/>
    </row>
    <row r="184" spans="1:134" ht="11.25" customHeight="1">
      <c r="A184" s="1597" t="s">
        <v>1017</v>
      </c>
      <c r="B184" s="152"/>
      <c r="C184" s="152"/>
      <c r="D184" s="152"/>
      <c r="E184" s="5037"/>
      <c r="F184" s="152"/>
      <c r="G184" s="152"/>
      <c r="H184" s="152"/>
      <c r="I184" s="5037"/>
      <c r="J184" s="5331"/>
      <c r="K184" s="152"/>
      <c r="L184" s="152"/>
      <c r="M184" s="5037"/>
      <c r="N184" s="152"/>
      <c r="O184" s="152"/>
      <c r="P184" s="152"/>
      <c r="Q184" s="5037"/>
      <c r="R184" s="5331"/>
      <c r="S184" s="152"/>
      <c r="T184" s="152"/>
      <c r="U184" s="5037"/>
      <c r="V184" s="5332"/>
      <c r="W184" s="537"/>
      <c r="X184" s="537"/>
      <c r="Y184" s="5037"/>
      <c r="Z184" s="537"/>
      <c r="AA184" s="537"/>
      <c r="AB184" s="537"/>
      <c r="AC184" s="5037"/>
      <c r="AD184" s="5332"/>
      <c r="AE184" s="537"/>
      <c r="AF184" s="537"/>
      <c r="AG184" s="5037"/>
      <c r="AH184" s="537"/>
      <c r="AI184" s="537"/>
      <c r="AJ184" s="537"/>
      <c r="AK184" s="5037"/>
      <c r="AL184" s="5332"/>
      <c r="AM184" s="537"/>
      <c r="AN184" s="537"/>
      <c r="AO184" s="5037"/>
      <c r="AP184" s="537"/>
      <c r="AQ184" s="537"/>
      <c r="AR184" s="537"/>
      <c r="AS184" s="5037"/>
      <c r="AT184" s="5332"/>
      <c r="AU184" s="537"/>
      <c r="AV184" s="537"/>
      <c r="AW184" s="5037"/>
      <c r="AX184" s="5332"/>
      <c r="AY184" s="537"/>
      <c r="AZ184" s="537"/>
      <c r="BA184" s="5037"/>
      <c r="BB184" s="5333"/>
      <c r="BC184" s="537"/>
      <c r="BD184" s="537"/>
      <c r="BE184" s="5037"/>
      <c r="BF184" s="5333"/>
      <c r="BG184" s="537"/>
      <c r="BH184" s="537"/>
      <c r="BI184" s="537"/>
      <c r="BJ184" s="4205"/>
      <c r="BK184" s="537"/>
      <c r="BL184" s="537"/>
      <c r="BM184" s="537"/>
      <c r="BN184" s="5037"/>
      <c r="BO184" s="4205"/>
      <c r="BP184" s="5333"/>
      <c r="BQ184" s="537"/>
      <c r="BR184" s="537"/>
      <c r="BS184" s="5037"/>
      <c r="BT184" s="4205"/>
      <c r="BU184" s="5333"/>
      <c r="BV184" s="537"/>
      <c r="BW184" s="537"/>
      <c r="BX184" s="537"/>
      <c r="BY184" s="4205"/>
      <c r="BZ184" s="652"/>
      <c r="CA184" s="652">
        <v>2755</v>
      </c>
      <c r="CB184" s="652">
        <v>2844</v>
      </c>
      <c r="CC184" s="652">
        <v>2874</v>
      </c>
      <c r="CD184" s="4356">
        <f t="shared" ref="CD184:CD190" si="689">CC184</f>
        <v>2874</v>
      </c>
      <c r="CE184" s="652">
        <v>3028</v>
      </c>
      <c r="CF184" s="652">
        <v>7914</v>
      </c>
      <c r="CG184" s="652">
        <v>7993</v>
      </c>
      <c r="CH184" s="652">
        <v>7754</v>
      </c>
      <c r="CI184" s="4356">
        <f t="shared" ref="CI184:CI190" si="690">CH184</f>
        <v>7754</v>
      </c>
      <c r="CJ184" s="652">
        <v>9388</v>
      </c>
      <c r="CK184" s="652">
        <v>9521</v>
      </c>
      <c r="CL184" s="652">
        <v>9191</v>
      </c>
      <c r="CM184" s="652">
        <v>9405</v>
      </c>
      <c r="CN184" s="4356">
        <f t="shared" ref="CN184:CN190" si="691">CM184</f>
        <v>9405</v>
      </c>
      <c r="CO184" s="652">
        <v>9357</v>
      </c>
      <c r="CP184" s="652">
        <v>9510</v>
      </c>
      <c r="CQ184" s="652">
        <v>9921</v>
      </c>
      <c r="CR184" s="652">
        <v>10409</v>
      </c>
      <c r="CS184" s="4356">
        <f t="shared" ref="CS184:CS190" si="692">CR184</f>
        <v>10409</v>
      </c>
      <c r="CT184" s="652">
        <v>10099</v>
      </c>
      <c r="CU184" s="652">
        <v>10254</v>
      </c>
      <c r="CV184" s="652">
        <v>10073</v>
      </c>
      <c r="CW184" s="652">
        <v>9799</v>
      </c>
      <c r="CX184" s="4356">
        <f t="shared" ref="CX184:CX190" si="693">CW184</f>
        <v>9799</v>
      </c>
      <c r="CY184" s="652">
        <v>9670</v>
      </c>
      <c r="CZ184" s="652">
        <v>9191</v>
      </c>
      <c r="DA184" s="652">
        <v>8264</v>
      </c>
      <c r="DB184" s="652">
        <v>9106</v>
      </c>
      <c r="DC184" s="4356">
        <f t="shared" ref="DC184:DC190" si="694">DB184</f>
        <v>9106</v>
      </c>
      <c r="DD184" s="652">
        <v>9354</v>
      </c>
      <c r="DE184" s="652">
        <v>9446</v>
      </c>
      <c r="DF184" s="652">
        <v>9143</v>
      </c>
      <c r="DG184" s="652">
        <v>9525</v>
      </c>
      <c r="DH184" s="4356">
        <f t="shared" ref="DH184:DH190" si="695">DG184</f>
        <v>9525</v>
      </c>
      <c r="DI184" s="652">
        <v>9475</v>
      </c>
      <c r="DJ184" s="652">
        <v>9376</v>
      </c>
      <c r="DK184" s="652">
        <v>6851</v>
      </c>
      <c r="DL184" s="652">
        <v>6322</v>
      </c>
      <c r="DM184" s="4356">
        <f t="shared" ref="DM184:DM190" si="696">DL184</f>
        <v>6322</v>
      </c>
      <c r="DN184" s="652">
        <v>6534</v>
      </c>
      <c r="DO184" s="652">
        <v>7099</v>
      </c>
      <c r="DP184" s="652">
        <v>10564</v>
      </c>
      <c r="DQ184" s="537"/>
      <c r="DR184" s="4356"/>
      <c r="DS184" s="537"/>
      <c r="DT184" s="537"/>
      <c r="DU184" s="537"/>
      <c r="DV184" s="537"/>
      <c r="DW184" s="4356"/>
      <c r="DX184" s="4205"/>
      <c r="DY184" s="4205"/>
      <c r="DZ184" s="4205"/>
      <c r="EA184" s="4205"/>
      <c r="EC184" s="3683"/>
      <c r="ED184" s="3683"/>
    </row>
    <row r="185" spans="1:134" ht="11.25" customHeight="1">
      <c r="A185" s="1597" t="s">
        <v>1041</v>
      </c>
      <c r="B185" s="152"/>
      <c r="C185" s="152"/>
      <c r="D185" s="152"/>
      <c r="E185" s="5037"/>
      <c r="F185" s="152"/>
      <c r="G185" s="152"/>
      <c r="H185" s="152"/>
      <c r="I185" s="5037"/>
      <c r="J185" s="5331"/>
      <c r="K185" s="152"/>
      <c r="L185" s="152"/>
      <c r="M185" s="5037"/>
      <c r="N185" s="152"/>
      <c r="O185" s="152"/>
      <c r="P185" s="152"/>
      <c r="Q185" s="5037"/>
      <c r="R185" s="5331"/>
      <c r="S185" s="152"/>
      <c r="T185" s="152"/>
      <c r="U185" s="5037"/>
      <c r="V185" s="5332"/>
      <c r="W185" s="537"/>
      <c r="X185" s="537"/>
      <c r="Y185" s="5037"/>
      <c r="Z185" s="537"/>
      <c r="AA185" s="537"/>
      <c r="AB185" s="537"/>
      <c r="AC185" s="5037"/>
      <c r="AD185" s="5332"/>
      <c r="AE185" s="537"/>
      <c r="AF185" s="537"/>
      <c r="AG185" s="5037"/>
      <c r="AH185" s="537"/>
      <c r="AI185" s="537"/>
      <c r="AJ185" s="537"/>
      <c r="AK185" s="5037"/>
      <c r="AL185" s="5332"/>
      <c r="AM185" s="537"/>
      <c r="AN185" s="537"/>
      <c r="AO185" s="5037"/>
      <c r="AP185" s="537"/>
      <c r="AQ185" s="537"/>
      <c r="AR185" s="537"/>
      <c r="AS185" s="5037"/>
      <c r="AT185" s="5332"/>
      <c r="AU185" s="537"/>
      <c r="AV185" s="537"/>
      <c r="AW185" s="5037"/>
      <c r="AX185" s="5332"/>
      <c r="AY185" s="537"/>
      <c r="AZ185" s="537"/>
      <c r="BA185" s="5037"/>
      <c r="BB185" s="5333"/>
      <c r="BC185" s="537"/>
      <c r="BD185" s="537"/>
      <c r="BE185" s="5037"/>
      <c r="BF185" s="5333"/>
      <c r="BG185" s="537"/>
      <c r="BH185" s="537"/>
      <c r="BI185" s="537"/>
      <c r="BJ185" s="4205"/>
      <c r="BK185" s="537"/>
      <c r="BL185" s="537"/>
      <c r="BM185" s="537"/>
      <c r="BN185" s="5037"/>
      <c r="BO185" s="4205"/>
      <c r="BP185" s="5333"/>
      <c r="BQ185" s="537"/>
      <c r="BR185" s="537"/>
      <c r="BS185" s="5037"/>
      <c r="BT185" s="4205"/>
      <c r="BU185" s="5333"/>
      <c r="BV185" s="537"/>
      <c r="BW185" s="537"/>
      <c r="BX185" s="537"/>
      <c r="BY185" s="4205"/>
      <c r="BZ185" s="652"/>
      <c r="CA185" s="652"/>
      <c r="CB185" s="652"/>
      <c r="CC185" s="652"/>
      <c r="CD185" s="4356"/>
      <c r="CE185" s="652"/>
      <c r="CF185" s="652"/>
      <c r="CG185" s="652"/>
      <c r="CH185" s="652"/>
      <c r="CI185" s="4356"/>
      <c r="CJ185" s="652"/>
      <c r="CK185" s="652"/>
      <c r="CL185" s="652"/>
      <c r="CM185" s="652"/>
      <c r="CN185" s="4356"/>
      <c r="CO185" s="652"/>
      <c r="CP185" s="652"/>
      <c r="CQ185" s="652"/>
      <c r="CR185" s="652"/>
      <c r="CS185" s="4356"/>
      <c r="CT185" s="652"/>
      <c r="CU185" s="652"/>
      <c r="CV185" s="652"/>
      <c r="CW185" s="652"/>
      <c r="CX185" s="4356"/>
      <c r="CY185" s="652"/>
      <c r="CZ185" s="652"/>
      <c r="DA185" s="652"/>
      <c r="DB185" s="652">
        <v>1632</v>
      </c>
      <c r="DC185" s="4356">
        <f t="shared" si="694"/>
        <v>1632</v>
      </c>
      <c r="DD185" s="652">
        <v>5217</v>
      </c>
      <c r="DE185" s="652">
        <v>10870</v>
      </c>
      <c r="DF185" s="652">
        <v>13528</v>
      </c>
      <c r="DG185" s="652">
        <v>2748</v>
      </c>
      <c r="DH185" s="4356">
        <f t="shared" si="695"/>
        <v>2748</v>
      </c>
      <c r="DI185" s="652">
        <v>4926</v>
      </c>
      <c r="DJ185" s="652">
        <v>3297</v>
      </c>
      <c r="DK185" s="652">
        <v>2639</v>
      </c>
      <c r="DL185" s="652">
        <v>2905</v>
      </c>
      <c r="DM185" s="4356">
        <f t="shared" si="696"/>
        <v>2905</v>
      </c>
      <c r="DN185" s="652">
        <v>9160</v>
      </c>
      <c r="DO185" s="652">
        <v>786</v>
      </c>
      <c r="DP185" s="652">
        <v>551</v>
      </c>
      <c r="DQ185" s="537"/>
      <c r="DR185" s="4356"/>
      <c r="DS185" s="537"/>
      <c r="DT185" s="537"/>
      <c r="DU185" s="537"/>
      <c r="DV185" s="537"/>
      <c r="DW185" s="4356"/>
      <c r="DX185" s="4205"/>
      <c r="DY185" s="4205"/>
      <c r="DZ185" s="4205"/>
      <c r="EA185" s="4205"/>
      <c r="EC185" s="3683"/>
      <c r="ED185" s="3683"/>
    </row>
    <row r="186" spans="1:134" ht="11.25" customHeight="1">
      <c r="A186" s="1597" t="s">
        <v>1018</v>
      </c>
      <c r="B186" s="152"/>
      <c r="C186" s="152"/>
      <c r="D186" s="152"/>
      <c r="E186" s="5037"/>
      <c r="F186" s="152"/>
      <c r="G186" s="152"/>
      <c r="H186" s="152"/>
      <c r="I186" s="5037"/>
      <c r="J186" s="5331"/>
      <c r="K186" s="152"/>
      <c r="L186" s="152"/>
      <c r="M186" s="5037"/>
      <c r="N186" s="152"/>
      <c r="O186" s="152"/>
      <c r="P186" s="152"/>
      <c r="Q186" s="5037"/>
      <c r="R186" s="5331"/>
      <c r="S186" s="152"/>
      <c r="T186" s="152"/>
      <c r="U186" s="5037"/>
      <c r="V186" s="5332"/>
      <c r="W186" s="537"/>
      <c r="X186" s="537"/>
      <c r="Y186" s="5037"/>
      <c r="Z186" s="537"/>
      <c r="AA186" s="537"/>
      <c r="AB186" s="537"/>
      <c r="AC186" s="5037"/>
      <c r="AD186" s="5332"/>
      <c r="AE186" s="537"/>
      <c r="AF186" s="537"/>
      <c r="AG186" s="5037"/>
      <c r="AH186" s="537"/>
      <c r="AI186" s="537"/>
      <c r="AJ186" s="537"/>
      <c r="AK186" s="5037"/>
      <c r="AL186" s="5332"/>
      <c r="AM186" s="537"/>
      <c r="AN186" s="537"/>
      <c r="AO186" s="5037"/>
      <c r="AP186" s="537"/>
      <c r="AQ186" s="537"/>
      <c r="AR186" s="537"/>
      <c r="AS186" s="5037"/>
      <c r="AT186" s="5332"/>
      <c r="AU186" s="537"/>
      <c r="AV186" s="537"/>
      <c r="AW186" s="5037"/>
      <c r="AX186" s="5332"/>
      <c r="AY186" s="537"/>
      <c r="AZ186" s="537"/>
      <c r="BA186" s="5037"/>
      <c r="BB186" s="5333"/>
      <c r="BC186" s="537"/>
      <c r="BD186" s="537"/>
      <c r="BE186" s="5037"/>
      <c r="BF186" s="5333"/>
      <c r="BG186" s="537"/>
      <c r="BH186" s="537"/>
      <c r="BI186" s="537"/>
      <c r="BJ186" s="4205"/>
      <c r="BK186" s="537"/>
      <c r="BL186" s="537"/>
      <c r="BM186" s="537"/>
      <c r="BN186" s="5037"/>
      <c r="BO186" s="4205"/>
      <c r="BP186" s="5333"/>
      <c r="BQ186" s="537"/>
      <c r="BR186" s="537"/>
      <c r="BS186" s="5037"/>
      <c r="BT186" s="4205"/>
      <c r="BU186" s="5333"/>
      <c r="BV186" s="537"/>
      <c r="BW186" s="537"/>
      <c r="BX186" s="537"/>
      <c r="BY186" s="4205"/>
      <c r="BZ186" s="652">
        <v>1173</v>
      </c>
      <c r="CA186" s="652">
        <v>1131</v>
      </c>
      <c r="CB186" s="652">
        <v>1262</v>
      </c>
      <c r="CC186" s="652">
        <v>1489</v>
      </c>
      <c r="CD186" s="4356">
        <f t="shared" si="689"/>
        <v>1489</v>
      </c>
      <c r="CE186" s="652">
        <v>1457</v>
      </c>
      <c r="CF186" s="652">
        <v>1445</v>
      </c>
      <c r="CG186" s="652">
        <v>1499</v>
      </c>
      <c r="CH186" s="652">
        <v>1810</v>
      </c>
      <c r="CI186" s="4356">
        <f t="shared" si="690"/>
        <v>1810</v>
      </c>
      <c r="CJ186" s="652">
        <v>1808</v>
      </c>
      <c r="CK186" s="652">
        <v>1765</v>
      </c>
      <c r="CL186" s="652">
        <v>1825</v>
      </c>
      <c r="CM186" s="652">
        <v>2245</v>
      </c>
      <c r="CN186" s="4356">
        <f t="shared" si="691"/>
        <v>2245</v>
      </c>
      <c r="CO186" s="652">
        <v>2146</v>
      </c>
      <c r="CP186" s="652">
        <v>2407</v>
      </c>
      <c r="CQ186" s="652">
        <v>2559</v>
      </c>
      <c r="CR186" s="652">
        <v>3118</v>
      </c>
      <c r="CS186" s="4356">
        <f t="shared" si="692"/>
        <v>3118</v>
      </c>
      <c r="CT186" s="652">
        <v>2991</v>
      </c>
      <c r="CU186" s="652">
        <v>2865</v>
      </c>
      <c r="CV186" s="652">
        <v>3039</v>
      </c>
      <c r="CW186" s="652">
        <v>3505</v>
      </c>
      <c r="CX186" s="4356">
        <f t="shared" si="693"/>
        <v>3505</v>
      </c>
      <c r="CY186" s="652">
        <v>3171</v>
      </c>
      <c r="CZ186" s="652">
        <v>2948</v>
      </c>
      <c r="DA186" s="652">
        <v>2943</v>
      </c>
      <c r="DB186" s="652">
        <v>3619</v>
      </c>
      <c r="DC186" s="4356">
        <f t="shared" si="694"/>
        <v>3619</v>
      </c>
      <c r="DD186" s="652">
        <v>3486</v>
      </c>
      <c r="DE186" s="652">
        <v>3498</v>
      </c>
      <c r="DF186" s="652">
        <v>3595</v>
      </c>
      <c r="DG186" s="652">
        <v>4140</v>
      </c>
      <c r="DH186" s="4356">
        <f t="shared" si="695"/>
        <v>4140</v>
      </c>
      <c r="DI186" s="652">
        <v>4355</v>
      </c>
      <c r="DJ186" s="652">
        <v>3871</v>
      </c>
      <c r="DK186" s="652">
        <v>3872</v>
      </c>
      <c r="DL186" s="652">
        <v>4304</v>
      </c>
      <c r="DM186" s="4356">
        <f t="shared" si="696"/>
        <v>4304</v>
      </c>
      <c r="DN186" s="652">
        <v>4163</v>
      </c>
      <c r="DO186" s="652">
        <v>4247</v>
      </c>
      <c r="DP186" s="652">
        <v>4363</v>
      </c>
      <c r="DQ186" s="537"/>
      <c r="DR186" s="4356"/>
      <c r="DS186" s="537"/>
      <c r="DT186" s="537"/>
      <c r="DU186" s="537"/>
      <c r="DV186" s="537"/>
      <c r="DW186" s="4356"/>
      <c r="DX186" s="4205"/>
      <c r="DY186" s="4205"/>
      <c r="DZ186" s="4205"/>
      <c r="EA186" s="4205"/>
      <c r="EC186" s="3683"/>
      <c r="ED186" s="3683"/>
    </row>
    <row r="187" spans="1:134" ht="11.25" customHeight="1">
      <c r="A187" s="1597" t="s">
        <v>1019</v>
      </c>
      <c r="B187" s="152"/>
      <c r="C187" s="152"/>
      <c r="D187" s="152"/>
      <c r="E187" s="5037"/>
      <c r="F187" s="152"/>
      <c r="G187" s="152"/>
      <c r="H187" s="152"/>
      <c r="I187" s="5037"/>
      <c r="J187" s="5331"/>
      <c r="K187" s="152"/>
      <c r="L187" s="152"/>
      <c r="M187" s="5037"/>
      <c r="N187" s="152"/>
      <c r="O187" s="152"/>
      <c r="P187" s="152"/>
      <c r="Q187" s="5037"/>
      <c r="R187" s="5331"/>
      <c r="S187" s="152"/>
      <c r="T187" s="152"/>
      <c r="U187" s="5037"/>
      <c r="V187" s="5332"/>
      <c r="W187" s="537"/>
      <c r="X187" s="537"/>
      <c r="Y187" s="5037"/>
      <c r="Z187" s="537"/>
      <c r="AA187" s="537"/>
      <c r="AB187" s="537"/>
      <c r="AC187" s="5037"/>
      <c r="AD187" s="5332"/>
      <c r="AE187" s="537"/>
      <c r="AF187" s="537"/>
      <c r="AG187" s="5037"/>
      <c r="AH187" s="537"/>
      <c r="AI187" s="537"/>
      <c r="AJ187" s="537"/>
      <c r="AK187" s="5037"/>
      <c r="AL187" s="5332"/>
      <c r="AM187" s="537"/>
      <c r="AN187" s="537"/>
      <c r="AO187" s="5037"/>
      <c r="AP187" s="537"/>
      <c r="AQ187" s="537"/>
      <c r="AR187" s="537"/>
      <c r="AS187" s="5037"/>
      <c r="AT187" s="5332"/>
      <c r="AU187" s="537"/>
      <c r="AV187" s="537"/>
      <c r="AW187" s="5037"/>
      <c r="AX187" s="5332"/>
      <c r="AY187" s="537"/>
      <c r="AZ187" s="537"/>
      <c r="BA187" s="5037"/>
      <c r="BB187" s="5333"/>
      <c r="BC187" s="537"/>
      <c r="BD187" s="537"/>
      <c r="BE187" s="5037"/>
      <c r="BF187" s="5333"/>
      <c r="BG187" s="537"/>
      <c r="BH187" s="537"/>
      <c r="BI187" s="537"/>
      <c r="BJ187" s="4205"/>
      <c r="BK187" s="537"/>
      <c r="BL187" s="537"/>
      <c r="BM187" s="537"/>
      <c r="BN187" s="5037"/>
      <c r="BO187" s="4205"/>
      <c r="BP187" s="5333"/>
      <c r="BQ187" s="537"/>
      <c r="BR187" s="537"/>
      <c r="BS187" s="5037"/>
      <c r="BT187" s="4205"/>
      <c r="BU187" s="5333"/>
      <c r="BV187" s="537"/>
      <c r="BW187" s="537"/>
      <c r="BX187" s="537"/>
      <c r="BY187" s="4205"/>
      <c r="BZ187" s="652"/>
      <c r="CA187" s="652"/>
      <c r="CB187" s="652"/>
      <c r="CC187" s="652"/>
      <c r="CD187" s="4356">
        <f t="shared" si="689"/>
        <v>0</v>
      </c>
      <c r="CE187" s="652"/>
      <c r="CF187" s="652"/>
      <c r="CG187" s="652"/>
      <c r="CH187" s="652">
        <v>1603</v>
      </c>
      <c r="CI187" s="4356">
        <f t="shared" si="690"/>
        <v>1603</v>
      </c>
      <c r="CJ187" s="652"/>
      <c r="CK187" s="652"/>
      <c r="CL187" s="652"/>
      <c r="CM187" s="652">
        <v>2411</v>
      </c>
      <c r="CN187" s="4356">
        <f t="shared" si="691"/>
        <v>2411</v>
      </c>
      <c r="CO187" s="652">
        <v>2536</v>
      </c>
      <c r="CP187" s="652">
        <v>1976</v>
      </c>
      <c r="CQ187" s="652">
        <v>2157</v>
      </c>
      <c r="CR187" s="652">
        <v>2197</v>
      </c>
      <c r="CS187" s="4356">
        <f t="shared" si="692"/>
        <v>2197</v>
      </c>
      <c r="CT187" s="652">
        <v>2107</v>
      </c>
      <c r="CU187" s="652">
        <v>2387</v>
      </c>
      <c r="CV187" s="652">
        <v>2309</v>
      </c>
      <c r="CW187" s="652">
        <v>2415</v>
      </c>
      <c r="CX187" s="4356">
        <f t="shared" si="693"/>
        <v>2415</v>
      </c>
      <c r="CY187" s="652">
        <v>3175</v>
      </c>
      <c r="CZ187" s="652">
        <v>2797</v>
      </c>
      <c r="DA187" s="652">
        <v>3255</v>
      </c>
      <c r="DB187" s="652">
        <v>3019</v>
      </c>
      <c r="DC187" s="4356">
        <f t="shared" si="694"/>
        <v>3019</v>
      </c>
      <c r="DD187" s="652">
        <v>3807</v>
      </c>
      <c r="DE187" s="652">
        <v>3380</v>
      </c>
      <c r="DF187" s="652">
        <v>4090</v>
      </c>
      <c r="DG187" s="652">
        <v>4679</v>
      </c>
      <c r="DH187" s="4356">
        <f t="shared" si="695"/>
        <v>4679</v>
      </c>
      <c r="DI187" s="652">
        <v>5666</v>
      </c>
      <c r="DJ187" s="652">
        <v>5364</v>
      </c>
      <c r="DK187" s="652">
        <v>5548</v>
      </c>
      <c r="DL187" s="652">
        <v>7104</v>
      </c>
      <c r="DM187" s="4356">
        <f t="shared" si="696"/>
        <v>7104</v>
      </c>
      <c r="DN187" s="652">
        <v>7552</v>
      </c>
      <c r="DO187" s="652">
        <v>6818</v>
      </c>
      <c r="DP187" s="652">
        <v>8899</v>
      </c>
      <c r="DQ187" s="537"/>
      <c r="DR187" s="4356"/>
      <c r="DS187" s="537"/>
      <c r="DT187" s="537"/>
      <c r="DU187" s="537"/>
      <c r="DV187" s="537"/>
      <c r="DW187" s="4356"/>
      <c r="DX187" s="4205"/>
      <c r="DY187" s="4205"/>
      <c r="DZ187" s="4205"/>
      <c r="EA187" s="4205"/>
      <c r="EC187" s="3683"/>
      <c r="ED187" s="3683"/>
    </row>
    <row r="188" spans="1:134" ht="11.25" customHeight="1">
      <c r="A188" s="1597" t="s">
        <v>1020</v>
      </c>
      <c r="B188" s="152"/>
      <c r="C188" s="152"/>
      <c r="D188" s="152"/>
      <c r="E188" s="5037"/>
      <c r="F188" s="152"/>
      <c r="G188" s="152"/>
      <c r="H188" s="152"/>
      <c r="I188" s="5037"/>
      <c r="J188" s="5331"/>
      <c r="K188" s="152"/>
      <c r="L188" s="152"/>
      <c r="M188" s="5037"/>
      <c r="N188" s="152"/>
      <c r="O188" s="152"/>
      <c r="P188" s="152"/>
      <c r="Q188" s="5037"/>
      <c r="R188" s="5331"/>
      <c r="S188" s="152"/>
      <c r="T188" s="152"/>
      <c r="U188" s="5037"/>
      <c r="V188" s="5332"/>
      <c r="W188" s="537"/>
      <c r="X188" s="537"/>
      <c r="Y188" s="5037"/>
      <c r="Z188" s="537"/>
      <c r="AA188" s="537"/>
      <c r="AB188" s="537"/>
      <c r="AC188" s="5037"/>
      <c r="AD188" s="5332"/>
      <c r="AE188" s="537"/>
      <c r="AF188" s="537"/>
      <c r="AG188" s="5037"/>
      <c r="AH188" s="537"/>
      <c r="AI188" s="537"/>
      <c r="AJ188" s="537"/>
      <c r="AK188" s="5037"/>
      <c r="AL188" s="5332"/>
      <c r="AM188" s="537"/>
      <c r="AN188" s="537"/>
      <c r="AO188" s="5037"/>
      <c r="AP188" s="537"/>
      <c r="AQ188" s="537"/>
      <c r="AR188" s="537"/>
      <c r="AS188" s="5037"/>
      <c r="AT188" s="5332"/>
      <c r="AU188" s="537"/>
      <c r="AV188" s="537"/>
      <c r="AW188" s="5037"/>
      <c r="AX188" s="5332"/>
      <c r="AY188" s="537"/>
      <c r="AZ188" s="537"/>
      <c r="BA188" s="5037"/>
      <c r="BB188" s="5333"/>
      <c r="BC188" s="537"/>
      <c r="BD188" s="537"/>
      <c r="BE188" s="5037"/>
      <c r="BF188" s="5333"/>
      <c r="BG188" s="537"/>
      <c r="BH188" s="537"/>
      <c r="BI188" s="537"/>
      <c r="BJ188" s="4205"/>
      <c r="BK188" s="537"/>
      <c r="BL188" s="537"/>
      <c r="BM188" s="537"/>
      <c r="BN188" s="5037"/>
      <c r="BO188" s="4205"/>
      <c r="BP188" s="5333"/>
      <c r="BQ188" s="537"/>
      <c r="BR188" s="537"/>
      <c r="BS188" s="5037"/>
      <c r="BT188" s="4205"/>
      <c r="BU188" s="5333"/>
      <c r="BV188" s="537"/>
      <c r="BW188" s="537"/>
      <c r="BX188" s="537"/>
      <c r="BY188" s="4205"/>
      <c r="BZ188" s="652"/>
      <c r="CA188" s="652"/>
      <c r="CB188" s="652"/>
      <c r="CC188" s="652"/>
      <c r="CD188" s="4356">
        <f t="shared" si="689"/>
        <v>0</v>
      </c>
      <c r="CE188" s="652"/>
      <c r="CF188" s="652"/>
      <c r="CG188" s="652"/>
      <c r="CH188" s="652">
        <v>0</v>
      </c>
      <c r="CI188" s="4356">
        <f t="shared" si="690"/>
        <v>0</v>
      </c>
      <c r="CJ188" s="652"/>
      <c r="CK188" s="652"/>
      <c r="CL188" s="652"/>
      <c r="CM188" s="652">
        <v>1199</v>
      </c>
      <c r="CN188" s="4356">
        <f t="shared" si="691"/>
        <v>1199</v>
      </c>
      <c r="CO188" s="652">
        <v>1312</v>
      </c>
      <c r="CP188" s="652">
        <v>1416</v>
      </c>
      <c r="CQ188" s="652">
        <v>1535</v>
      </c>
      <c r="CR188" s="652">
        <v>1694</v>
      </c>
      <c r="CS188" s="4356">
        <f t="shared" si="692"/>
        <v>1694</v>
      </c>
      <c r="CT188" s="652">
        <v>1888</v>
      </c>
      <c r="CU188" s="652">
        <v>2037</v>
      </c>
      <c r="CV188" s="652">
        <v>2101</v>
      </c>
      <c r="CW188" s="652">
        <v>2189</v>
      </c>
      <c r="CX188" s="4356">
        <f t="shared" si="693"/>
        <v>2189</v>
      </c>
      <c r="CY188" s="652">
        <v>2267</v>
      </c>
      <c r="CZ188" s="652">
        <v>2297</v>
      </c>
      <c r="DA188" s="652">
        <v>2285</v>
      </c>
      <c r="DB188" s="652">
        <v>2477</v>
      </c>
      <c r="DC188" s="4356">
        <f t="shared" si="694"/>
        <v>2477</v>
      </c>
      <c r="DD188" s="652">
        <v>2625</v>
      </c>
      <c r="DE188" s="652">
        <v>2663</v>
      </c>
      <c r="DF188" s="652">
        <v>2715</v>
      </c>
      <c r="DG188" s="652">
        <v>2791</v>
      </c>
      <c r="DH188" s="4356">
        <f t="shared" si="695"/>
        <v>2791</v>
      </c>
      <c r="DI188" s="652">
        <v>2874</v>
      </c>
      <c r="DJ188" s="652">
        <v>2855</v>
      </c>
      <c r="DK188" s="652">
        <v>2971</v>
      </c>
      <c r="DL188" s="652">
        <v>2887</v>
      </c>
      <c r="DM188" s="4356">
        <f t="shared" si="696"/>
        <v>2887</v>
      </c>
      <c r="DN188" s="652"/>
      <c r="DO188" s="652"/>
      <c r="DP188" s="652"/>
      <c r="DQ188" s="537"/>
      <c r="DR188" s="4356"/>
      <c r="DS188" s="537"/>
      <c r="DT188" s="537"/>
      <c r="DU188" s="537"/>
      <c r="DV188" s="537"/>
      <c r="DW188" s="4356"/>
      <c r="DX188" s="4205"/>
      <c r="DY188" s="4205"/>
      <c r="DZ188" s="4205"/>
      <c r="EA188" s="4205"/>
      <c r="EC188" s="3683"/>
      <c r="ED188" s="3683"/>
    </row>
    <row r="189" spans="1:134" ht="11.25" customHeight="1">
      <c r="A189" s="1597" t="s">
        <v>1021</v>
      </c>
      <c r="B189" s="152"/>
      <c r="C189" s="152"/>
      <c r="D189" s="152"/>
      <c r="E189" s="5037"/>
      <c r="F189" s="152"/>
      <c r="G189" s="152"/>
      <c r="H189" s="152"/>
      <c r="I189" s="5037"/>
      <c r="J189" s="5331"/>
      <c r="K189" s="152"/>
      <c r="L189" s="152"/>
      <c r="M189" s="5037"/>
      <c r="N189" s="152"/>
      <c r="O189" s="152"/>
      <c r="P189" s="152"/>
      <c r="Q189" s="5037"/>
      <c r="R189" s="5331"/>
      <c r="S189" s="152"/>
      <c r="T189" s="152"/>
      <c r="U189" s="5037"/>
      <c r="V189" s="5332"/>
      <c r="W189" s="537"/>
      <c r="X189" s="537"/>
      <c r="Y189" s="5037"/>
      <c r="Z189" s="537"/>
      <c r="AA189" s="537"/>
      <c r="AB189" s="537"/>
      <c r="AC189" s="5037"/>
      <c r="AD189" s="5332"/>
      <c r="AE189" s="537"/>
      <c r="AF189" s="537"/>
      <c r="AG189" s="5037"/>
      <c r="AH189" s="537"/>
      <c r="AI189" s="537"/>
      <c r="AJ189" s="537"/>
      <c r="AK189" s="5037"/>
      <c r="AL189" s="5332"/>
      <c r="AM189" s="537"/>
      <c r="AN189" s="537"/>
      <c r="AO189" s="5037"/>
      <c r="AP189" s="537"/>
      <c r="AQ189" s="537"/>
      <c r="AR189" s="537"/>
      <c r="AS189" s="5037"/>
      <c r="AT189" s="5332"/>
      <c r="AU189" s="537"/>
      <c r="AV189" s="537"/>
      <c r="AW189" s="5037"/>
      <c r="AX189" s="5332"/>
      <c r="AY189" s="537"/>
      <c r="AZ189" s="537"/>
      <c r="BA189" s="5037"/>
      <c r="BB189" s="5333"/>
      <c r="BC189" s="537"/>
      <c r="BD189" s="537"/>
      <c r="BE189" s="5037"/>
      <c r="BF189" s="5333"/>
      <c r="BG189" s="537"/>
      <c r="BH189" s="537"/>
      <c r="BI189" s="537"/>
      <c r="BJ189" s="4205"/>
      <c r="BK189" s="537"/>
      <c r="BL189" s="537"/>
      <c r="BM189" s="537"/>
      <c r="BN189" s="5037"/>
      <c r="BO189" s="4205"/>
      <c r="BP189" s="5333"/>
      <c r="BQ189" s="537"/>
      <c r="BR189" s="537"/>
      <c r="BS189" s="5037"/>
      <c r="BT189" s="4205"/>
      <c r="BU189" s="5333"/>
      <c r="BV189" s="537"/>
      <c r="BW189" s="537"/>
      <c r="BX189" s="537"/>
      <c r="BY189" s="4205"/>
      <c r="BZ189" s="652">
        <v>4265</v>
      </c>
      <c r="CA189" s="652">
        <v>4674</v>
      </c>
      <c r="CB189" s="652">
        <v>5201</v>
      </c>
      <c r="CC189" s="652">
        <v>5814</v>
      </c>
      <c r="CD189" s="4356">
        <f t="shared" si="689"/>
        <v>5814</v>
      </c>
      <c r="CE189" s="652">
        <v>5580</v>
      </c>
      <c r="CF189" s="652">
        <v>5902</v>
      </c>
      <c r="CG189" s="652">
        <v>6444</v>
      </c>
      <c r="CH189" s="652">
        <v>5791</v>
      </c>
      <c r="CI189" s="4356">
        <f t="shared" si="690"/>
        <v>5791</v>
      </c>
      <c r="CJ189" s="652">
        <v>8186</v>
      </c>
      <c r="CK189" s="652">
        <v>8537</v>
      </c>
      <c r="CL189" s="652">
        <v>10022</v>
      </c>
      <c r="CM189" s="652">
        <v>7807</v>
      </c>
      <c r="CN189" s="4356">
        <f t="shared" si="691"/>
        <v>7807</v>
      </c>
      <c r="CO189" s="652">
        <v>7250</v>
      </c>
      <c r="CP189" s="652">
        <v>9117</v>
      </c>
      <c r="CQ189" s="652">
        <v>9459</v>
      </c>
      <c r="CR189" s="652">
        <v>10459</v>
      </c>
      <c r="CS189" s="4356">
        <f t="shared" si="692"/>
        <v>10459</v>
      </c>
      <c r="CT189" s="652">
        <v>10302</v>
      </c>
      <c r="CU189" s="652">
        <v>10472</v>
      </c>
      <c r="CV189" s="652">
        <v>11081</v>
      </c>
      <c r="CW189" s="652">
        <v>13328</v>
      </c>
      <c r="CX189" s="4356">
        <f t="shared" si="693"/>
        <v>13328</v>
      </c>
      <c r="CY189" s="652">
        <v>14768</v>
      </c>
      <c r="CZ189" s="652">
        <v>15743</v>
      </c>
      <c r="DA189" s="652">
        <v>18291</v>
      </c>
      <c r="DB189" s="652">
        <v>18013</v>
      </c>
      <c r="DC189" s="4356">
        <f t="shared" si="694"/>
        <v>18013</v>
      </c>
      <c r="DD189" s="652">
        <v>18696</v>
      </c>
      <c r="DE189" s="652">
        <v>19443</v>
      </c>
      <c r="DF189" s="652">
        <v>22531</v>
      </c>
      <c r="DG189" s="652">
        <v>22285</v>
      </c>
      <c r="DH189" s="4356">
        <f t="shared" si="695"/>
        <v>22285</v>
      </c>
      <c r="DI189" s="652">
        <v>21307</v>
      </c>
      <c r="DJ189" s="652">
        <v>22535</v>
      </c>
      <c r="DK189" s="652">
        <v>24704</v>
      </c>
      <c r="DL189" s="652">
        <f>26727-DL188</f>
        <v>23840</v>
      </c>
      <c r="DM189" s="4356">
        <f t="shared" si="696"/>
        <v>23840</v>
      </c>
      <c r="DN189" s="652">
        <v>26002</v>
      </c>
      <c r="DO189" s="652">
        <v>29977</v>
      </c>
      <c r="DP189" s="652">
        <v>31056</v>
      </c>
      <c r="DQ189" s="537"/>
      <c r="DR189" s="4356"/>
      <c r="DS189" s="537"/>
      <c r="DT189" s="537"/>
      <c r="DU189" s="537"/>
      <c r="DV189" s="537"/>
      <c r="DW189" s="4356"/>
      <c r="DX189" s="4205"/>
      <c r="DY189" s="4205"/>
      <c r="DZ189" s="4205"/>
      <c r="EA189" s="4205"/>
      <c r="EC189" s="3683"/>
      <c r="ED189" s="3683"/>
    </row>
    <row r="190" spans="1:134" ht="11.25" customHeight="1">
      <c r="A190" s="1597" t="s">
        <v>1022</v>
      </c>
      <c r="B190" s="152"/>
      <c r="C190" s="152"/>
      <c r="D190" s="152"/>
      <c r="E190" s="5037"/>
      <c r="F190" s="152"/>
      <c r="G190" s="152"/>
      <c r="H190" s="152"/>
      <c r="I190" s="5037"/>
      <c r="J190" s="5331"/>
      <c r="K190" s="152"/>
      <c r="L190" s="152"/>
      <c r="M190" s="5037"/>
      <c r="N190" s="152"/>
      <c r="O190" s="152"/>
      <c r="P190" s="152"/>
      <c r="Q190" s="5037"/>
      <c r="R190" s="5331"/>
      <c r="S190" s="152"/>
      <c r="T190" s="152"/>
      <c r="U190" s="5037"/>
      <c r="V190" s="5332"/>
      <c r="W190" s="537"/>
      <c r="X190" s="537"/>
      <c r="Y190" s="5037"/>
      <c r="Z190" s="537"/>
      <c r="AA190" s="537"/>
      <c r="AB190" s="537"/>
      <c r="AC190" s="5037"/>
      <c r="AD190" s="5332"/>
      <c r="AE190" s="537"/>
      <c r="AF190" s="537"/>
      <c r="AG190" s="5037"/>
      <c r="AH190" s="537"/>
      <c r="AI190" s="537"/>
      <c r="AJ190" s="537"/>
      <c r="AK190" s="5037"/>
      <c r="AL190" s="5332"/>
      <c r="AM190" s="537"/>
      <c r="AN190" s="537"/>
      <c r="AO190" s="5037"/>
      <c r="AP190" s="537"/>
      <c r="AQ190" s="537"/>
      <c r="AR190" s="537"/>
      <c r="AS190" s="5037"/>
      <c r="AT190" s="5332"/>
      <c r="AU190" s="537"/>
      <c r="AV190" s="537"/>
      <c r="AW190" s="5037"/>
      <c r="AX190" s="5332"/>
      <c r="AY190" s="537"/>
      <c r="AZ190" s="537"/>
      <c r="BA190" s="5037"/>
      <c r="BB190" s="5333"/>
      <c r="BC190" s="537"/>
      <c r="BD190" s="537"/>
      <c r="BE190" s="5037"/>
      <c r="BF190" s="5333"/>
      <c r="BG190" s="537"/>
      <c r="BH190" s="537"/>
      <c r="BI190" s="537"/>
      <c r="BJ190" s="4205"/>
      <c r="BK190" s="537"/>
      <c r="BL190" s="537"/>
      <c r="BM190" s="537"/>
      <c r="BN190" s="5037"/>
      <c r="BO190" s="4205"/>
      <c r="BP190" s="5333"/>
      <c r="BQ190" s="537"/>
      <c r="BR190" s="537"/>
      <c r="BS190" s="5037"/>
      <c r="BT190" s="4205"/>
      <c r="BU190" s="5333"/>
      <c r="BV190" s="537"/>
      <c r="BW190" s="537"/>
      <c r="BX190" s="537"/>
      <c r="BY190" s="4205"/>
      <c r="BZ190" s="652"/>
      <c r="CA190" s="652"/>
      <c r="CB190" s="652"/>
      <c r="CC190" s="652"/>
      <c r="CD190" s="4356">
        <f t="shared" si="689"/>
        <v>0</v>
      </c>
      <c r="CE190" s="652"/>
      <c r="CF190" s="652"/>
      <c r="CG190" s="652"/>
      <c r="CH190" s="652"/>
      <c r="CI190" s="4356">
        <f t="shared" si="690"/>
        <v>0</v>
      </c>
      <c r="CJ190" s="652"/>
      <c r="CK190" s="652"/>
      <c r="CL190" s="652"/>
      <c r="CM190" s="652"/>
      <c r="CN190" s="4356">
        <f t="shared" si="691"/>
        <v>0</v>
      </c>
      <c r="CO190" s="652"/>
      <c r="CP190" s="652"/>
      <c r="CQ190" s="652"/>
      <c r="CR190" s="652">
        <v>754</v>
      </c>
      <c r="CS190" s="4356">
        <f t="shared" si="692"/>
        <v>754</v>
      </c>
      <c r="CT190" s="652">
        <v>3345</v>
      </c>
      <c r="CU190" s="652">
        <v>966</v>
      </c>
      <c r="CV190" s="652">
        <v>1510</v>
      </c>
      <c r="CW190" s="652"/>
      <c r="CX190" s="4356">
        <f t="shared" si="693"/>
        <v>0</v>
      </c>
      <c r="CY190" s="652"/>
      <c r="CZ190" s="652"/>
      <c r="DA190" s="652"/>
      <c r="DB190" s="652"/>
      <c r="DC190" s="4356">
        <f t="shared" si="694"/>
        <v>0</v>
      </c>
      <c r="DD190" s="652"/>
      <c r="DE190" s="652"/>
      <c r="DF190" s="652"/>
      <c r="DG190" s="652"/>
      <c r="DH190" s="4356">
        <f t="shared" si="695"/>
        <v>0</v>
      </c>
      <c r="DI190" s="652"/>
      <c r="DJ190" s="652"/>
      <c r="DK190" s="652"/>
      <c r="DL190" s="652">
        <v>3866</v>
      </c>
      <c r="DM190" s="4356">
        <f t="shared" si="696"/>
        <v>3866</v>
      </c>
      <c r="DN190" s="652">
        <v>4889</v>
      </c>
      <c r="DO190" s="652">
        <v>3112</v>
      </c>
      <c r="DP190" s="652">
        <v>4004</v>
      </c>
      <c r="DQ190" s="537"/>
      <c r="DR190" s="4356"/>
      <c r="DS190" s="537"/>
      <c r="DT190" s="537"/>
      <c r="DU190" s="537"/>
      <c r="DV190" s="537"/>
      <c r="DW190" s="4356"/>
      <c r="DX190" s="4205"/>
      <c r="DY190" s="4205"/>
      <c r="DZ190" s="4205"/>
      <c r="EA190" s="4205"/>
      <c r="EC190" s="3683"/>
      <c r="ED190" s="3683"/>
    </row>
    <row r="191" spans="1:134" s="151" customFormat="1" ht="11.25" customHeight="1">
      <c r="A191" s="3175" t="str">
        <f>A31</f>
        <v>Accrued expenses and other current liabilites</v>
      </c>
      <c r="B191" s="5334"/>
      <c r="C191" s="5334"/>
      <c r="D191" s="5334"/>
      <c r="E191" s="5335"/>
      <c r="F191" s="5334"/>
      <c r="G191" s="5334"/>
      <c r="H191" s="5334"/>
      <c r="I191" s="5335"/>
      <c r="J191" s="5336"/>
      <c r="K191" s="5334"/>
      <c r="L191" s="5334"/>
      <c r="M191" s="5335"/>
      <c r="N191" s="5334"/>
      <c r="O191" s="5334"/>
      <c r="P191" s="5334"/>
      <c r="Q191" s="5335"/>
      <c r="R191" s="5336"/>
      <c r="S191" s="5334"/>
      <c r="T191" s="5334"/>
      <c r="U191" s="5335"/>
      <c r="V191" s="5337"/>
      <c r="W191" s="5045"/>
      <c r="X191" s="5045"/>
      <c r="Y191" s="5335"/>
      <c r="Z191" s="5045"/>
      <c r="AA191" s="5045"/>
      <c r="AB191" s="5045"/>
      <c r="AC191" s="5335"/>
      <c r="AD191" s="5337"/>
      <c r="AE191" s="5045"/>
      <c r="AF191" s="5045"/>
      <c r="AG191" s="5335"/>
      <c r="AH191" s="5337"/>
      <c r="AI191" s="5045"/>
      <c r="AJ191" s="5045"/>
      <c r="AK191" s="5335"/>
      <c r="AL191" s="5337"/>
      <c r="AM191" s="5045"/>
      <c r="AN191" s="5045"/>
      <c r="AO191" s="5335"/>
      <c r="AP191" s="5045"/>
      <c r="AQ191" s="5045"/>
      <c r="AR191" s="5045"/>
      <c r="AS191" s="5335"/>
      <c r="AT191" s="5045"/>
      <c r="AU191" s="5045"/>
      <c r="AV191" s="5045"/>
      <c r="AW191" s="5335"/>
      <c r="AX191" s="5045"/>
      <c r="AY191" s="5045"/>
      <c r="AZ191" s="5045"/>
      <c r="BA191" s="5335"/>
      <c r="BB191" s="5045"/>
      <c r="BC191" s="5045"/>
      <c r="BD191" s="5045"/>
      <c r="BE191" s="5335"/>
      <c r="BF191" s="5045"/>
      <c r="BG191" s="5045"/>
      <c r="BH191" s="5045"/>
      <c r="BI191" s="5045"/>
      <c r="BJ191" s="5338"/>
      <c r="BK191" s="5045"/>
      <c r="BL191" s="5045"/>
      <c r="BM191" s="5045"/>
      <c r="BN191" s="5335"/>
      <c r="BO191" s="5338"/>
      <c r="BP191" s="5045"/>
      <c r="BQ191" s="5045"/>
      <c r="BR191" s="5045"/>
      <c r="BS191" s="5335"/>
      <c r="BT191" s="5338"/>
      <c r="BU191" s="5045"/>
      <c r="BV191" s="5045"/>
      <c r="BW191" s="5045"/>
      <c r="BX191" s="5045"/>
      <c r="BY191" s="5338"/>
      <c r="BZ191" s="5045">
        <f t="shared" ref="BZ191:DC191" si="697">SUM(BZ184:BZ190)</f>
        <v>5438</v>
      </c>
      <c r="CA191" s="5045">
        <f t="shared" si="697"/>
        <v>8560</v>
      </c>
      <c r="CB191" s="5045">
        <f t="shared" si="697"/>
        <v>9307</v>
      </c>
      <c r="CC191" s="5045">
        <f t="shared" si="697"/>
        <v>10177</v>
      </c>
      <c r="CD191" s="5338">
        <f t="shared" si="697"/>
        <v>10177</v>
      </c>
      <c r="CE191" s="5045">
        <f t="shared" si="697"/>
        <v>10065</v>
      </c>
      <c r="CF191" s="5045">
        <f t="shared" si="697"/>
        <v>15261</v>
      </c>
      <c r="CG191" s="5045">
        <f t="shared" si="697"/>
        <v>15936</v>
      </c>
      <c r="CH191" s="5045">
        <f t="shared" si="697"/>
        <v>16958</v>
      </c>
      <c r="CI191" s="5338">
        <f t="shared" si="697"/>
        <v>16958</v>
      </c>
      <c r="CJ191" s="5045">
        <f t="shared" si="697"/>
        <v>19382</v>
      </c>
      <c r="CK191" s="5045">
        <f t="shared" si="697"/>
        <v>19823</v>
      </c>
      <c r="CL191" s="5045">
        <f t="shared" si="697"/>
        <v>21038</v>
      </c>
      <c r="CM191" s="5045">
        <f t="shared" si="697"/>
        <v>23067</v>
      </c>
      <c r="CN191" s="5044">
        <f t="shared" si="697"/>
        <v>23067</v>
      </c>
      <c r="CO191" s="5045">
        <f t="shared" si="697"/>
        <v>22601</v>
      </c>
      <c r="CP191" s="5045">
        <f t="shared" si="697"/>
        <v>24426</v>
      </c>
      <c r="CQ191" s="5045">
        <f t="shared" si="697"/>
        <v>25631</v>
      </c>
      <c r="CR191" s="5045">
        <f t="shared" si="697"/>
        <v>28631</v>
      </c>
      <c r="CS191" s="5044">
        <f t="shared" si="697"/>
        <v>28631</v>
      </c>
      <c r="CT191" s="5045">
        <f t="shared" si="697"/>
        <v>30732</v>
      </c>
      <c r="CU191" s="5045">
        <f t="shared" si="697"/>
        <v>28981</v>
      </c>
      <c r="CV191" s="5045">
        <f t="shared" si="697"/>
        <v>30113</v>
      </c>
      <c r="CW191" s="5045">
        <f t="shared" si="697"/>
        <v>31236</v>
      </c>
      <c r="CX191" s="5044">
        <f t="shared" si="697"/>
        <v>31236</v>
      </c>
      <c r="CY191" s="5045">
        <f t="shared" si="697"/>
        <v>33051</v>
      </c>
      <c r="CZ191" s="5045">
        <f t="shared" si="697"/>
        <v>32976</v>
      </c>
      <c r="DA191" s="5045">
        <f t="shared" si="697"/>
        <v>35038</v>
      </c>
      <c r="DB191" s="5045">
        <f t="shared" si="697"/>
        <v>37866</v>
      </c>
      <c r="DC191" s="5044">
        <f t="shared" si="697"/>
        <v>37866</v>
      </c>
      <c r="DD191" s="5045">
        <f>SUM(DD184:DD190)</f>
        <v>43185</v>
      </c>
      <c r="DE191" s="5045">
        <f>SUM(DE184:DE190)</f>
        <v>49300</v>
      </c>
      <c r="DF191" s="5045">
        <f>SUM(DF184:DF190)</f>
        <v>55602</v>
      </c>
      <c r="DG191" s="5045">
        <f t="shared" ref="DG191:DH191" si="698">SUM(DG184:DG190)</f>
        <v>46168</v>
      </c>
      <c r="DH191" s="5044">
        <f t="shared" si="698"/>
        <v>46168</v>
      </c>
      <c r="DI191" s="5045">
        <f t="shared" ref="DI191" si="699">SUM(DI184:DI190)</f>
        <v>48603</v>
      </c>
      <c r="DJ191" s="5045">
        <f>SUM(DJ184:DJ190)</f>
        <v>47298</v>
      </c>
      <c r="DK191" s="5045">
        <f t="shared" ref="DK191:DL191" si="700">SUM(DK184:DK190)</f>
        <v>46585</v>
      </c>
      <c r="DL191" s="5045">
        <f t="shared" si="700"/>
        <v>51228</v>
      </c>
      <c r="DM191" s="5044">
        <f t="shared" ref="DM191:DP191" si="701">SUM(DM184:DM190)</f>
        <v>51228</v>
      </c>
      <c r="DN191" s="5045">
        <f t="shared" si="701"/>
        <v>58300</v>
      </c>
      <c r="DO191" s="5045">
        <f t="shared" si="701"/>
        <v>52039</v>
      </c>
      <c r="DP191" s="5045">
        <f t="shared" si="701"/>
        <v>59437</v>
      </c>
      <c r="DQ191" s="5046"/>
      <c r="DR191" s="5044"/>
      <c r="DS191" s="5046"/>
      <c r="DT191" s="5046"/>
      <c r="DU191" s="5046"/>
      <c r="DV191" s="5046"/>
      <c r="DW191" s="5044"/>
      <c r="DX191" s="5047"/>
      <c r="DY191" s="5047"/>
      <c r="DZ191" s="5047"/>
      <c r="EA191" s="5047"/>
      <c r="EC191" s="3683"/>
      <c r="ED191" s="3683"/>
    </row>
    <row r="192" spans="1:134" ht="11.25" customHeight="1">
      <c r="A192" s="1595" t="s">
        <v>523</v>
      </c>
      <c r="B192" s="152"/>
      <c r="C192" s="31"/>
      <c r="D192" s="152"/>
      <c r="E192" s="630"/>
      <c r="F192" s="31"/>
      <c r="G192" s="31"/>
      <c r="H192" s="31"/>
      <c r="I192" s="630"/>
      <c r="J192" s="1283"/>
      <c r="K192" s="37"/>
      <c r="L192" s="31"/>
      <c r="M192" s="630"/>
      <c r="N192" s="37"/>
      <c r="O192" s="37"/>
      <c r="P192" s="37"/>
      <c r="Q192" s="630"/>
      <c r="R192" s="5327"/>
      <c r="S192" s="31"/>
      <c r="T192" s="31"/>
      <c r="U192" s="630"/>
      <c r="V192" s="1253"/>
      <c r="W192" s="32"/>
      <c r="X192" s="32"/>
      <c r="Y192" s="630"/>
      <c r="Z192" s="32"/>
      <c r="AA192" s="32"/>
      <c r="AB192" s="32"/>
      <c r="AC192" s="630"/>
      <c r="AD192" s="1253"/>
      <c r="AE192" s="32"/>
      <c r="AF192" s="32"/>
      <c r="AG192" s="630"/>
      <c r="AK192" s="630"/>
      <c r="AL192" s="1253"/>
      <c r="AO192" s="630"/>
      <c r="AS192" s="630"/>
      <c r="AT192" s="1253"/>
      <c r="AW192" s="630"/>
      <c r="AX192" s="1253"/>
      <c r="BA192" s="630"/>
      <c r="BB192" s="5328"/>
      <c r="BE192" s="630"/>
      <c r="BF192" s="5328"/>
      <c r="BI192" s="32"/>
      <c r="BJ192" s="4236"/>
      <c r="BN192" s="630"/>
      <c r="BO192" s="4236"/>
      <c r="BP192" s="5328"/>
      <c r="BS192" s="630"/>
      <c r="BT192" s="4236"/>
      <c r="BU192" s="5328"/>
      <c r="BV192" s="32"/>
      <c r="BW192" s="32"/>
      <c r="BX192" s="32"/>
      <c r="BY192" s="4236"/>
      <c r="BZ192" s="32" t="str">
        <f t="shared" ref="BZ192:DP192" si="702">IF(BZ191&lt;&gt;BZ31,"err","ok")</f>
        <v>ok</v>
      </c>
      <c r="CA192" s="32" t="str">
        <f t="shared" si="702"/>
        <v>ok</v>
      </c>
      <c r="CB192" s="32" t="str">
        <f t="shared" si="702"/>
        <v>ok</v>
      </c>
      <c r="CC192" s="32" t="str">
        <f t="shared" si="702"/>
        <v>ok</v>
      </c>
      <c r="CD192" s="4236" t="str">
        <f t="shared" si="702"/>
        <v>ok</v>
      </c>
      <c r="CE192" s="32" t="str">
        <f t="shared" si="702"/>
        <v>ok</v>
      </c>
      <c r="CF192" s="32" t="str">
        <f t="shared" si="702"/>
        <v>ok</v>
      </c>
      <c r="CG192" s="32" t="str">
        <f t="shared" si="702"/>
        <v>ok</v>
      </c>
      <c r="CH192" s="32" t="str">
        <f t="shared" si="702"/>
        <v>ok</v>
      </c>
      <c r="CI192" s="4236" t="str">
        <f t="shared" si="702"/>
        <v>ok</v>
      </c>
      <c r="CJ192" s="32" t="str">
        <f t="shared" si="702"/>
        <v>ok</v>
      </c>
      <c r="CK192" s="43" t="str">
        <f t="shared" si="702"/>
        <v>ok</v>
      </c>
      <c r="CL192" s="43" t="str">
        <f t="shared" si="702"/>
        <v>ok</v>
      </c>
      <c r="CM192" s="32" t="str">
        <f t="shared" si="702"/>
        <v>ok</v>
      </c>
      <c r="CN192" s="5329" t="str">
        <f t="shared" si="702"/>
        <v>ok</v>
      </c>
      <c r="CO192" s="32" t="str">
        <f t="shared" si="702"/>
        <v>ok</v>
      </c>
      <c r="CP192" s="32" t="str">
        <f t="shared" si="702"/>
        <v>ok</v>
      </c>
      <c r="CQ192" s="32" t="str">
        <f t="shared" si="702"/>
        <v>ok</v>
      </c>
      <c r="CR192" s="32" t="str">
        <f t="shared" si="702"/>
        <v>ok</v>
      </c>
      <c r="CS192" s="5329" t="str">
        <f t="shared" si="702"/>
        <v>ok</v>
      </c>
      <c r="CT192" s="32" t="str">
        <f t="shared" si="702"/>
        <v>ok</v>
      </c>
      <c r="CU192" s="32" t="str">
        <f t="shared" si="702"/>
        <v>ok</v>
      </c>
      <c r="CV192" s="32" t="str">
        <f t="shared" si="702"/>
        <v>ok</v>
      </c>
      <c r="CW192" s="32" t="str">
        <f t="shared" si="702"/>
        <v>ok</v>
      </c>
      <c r="CX192" s="5329" t="str">
        <f t="shared" si="702"/>
        <v>ok</v>
      </c>
      <c r="CY192" s="32" t="str">
        <f t="shared" si="702"/>
        <v>ok</v>
      </c>
      <c r="CZ192" s="32" t="str">
        <f t="shared" si="702"/>
        <v>ok</v>
      </c>
      <c r="DA192" s="32" t="str">
        <f t="shared" si="702"/>
        <v>ok</v>
      </c>
      <c r="DB192" s="32" t="str">
        <f t="shared" si="702"/>
        <v>ok</v>
      </c>
      <c r="DC192" s="5329" t="str">
        <f t="shared" si="702"/>
        <v>ok</v>
      </c>
      <c r="DD192" s="32" t="str">
        <f t="shared" si="702"/>
        <v>ok</v>
      </c>
      <c r="DE192" s="32" t="str">
        <f t="shared" si="702"/>
        <v>ok</v>
      </c>
      <c r="DF192" s="32" t="str">
        <f t="shared" si="702"/>
        <v>ok</v>
      </c>
      <c r="DG192" s="32" t="str">
        <f t="shared" si="702"/>
        <v>ok</v>
      </c>
      <c r="DH192" s="5329" t="str">
        <f t="shared" si="702"/>
        <v>ok</v>
      </c>
      <c r="DI192" s="32" t="str">
        <f t="shared" si="702"/>
        <v>ok</v>
      </c>
      <c r="DJ192" s="32" t="str">
        <f t="shared" si="702"/>
        <v>ok</v>
      </c>
      <c r="DK192" s="32" t="str">
        <f t="shared" si="702"/>
        <v>ok</v>
      </c>
      <c r="DL192" s="32" t="str">
        <f t="shared" si="702"/>
        <v>ok</v>
      </c>
      <c r="DM192" s="5329" t="str">
        <f t="shared" si="702"/>
        <v>ok</v>
      </c>
      <c r="DN192" s="32" t="str">
        <f t="shared" si="702"/>
        <v>ok</v>
      </c>
      <c r="DO192" s="32" t="str">
        <f t="shared" si="702"/>
        <v>ok</v>
      </c>
      <c r="DP192" s="32" t="str">
        <f t="shared" si="702"/>
        <v>ok</v>
      </c>
      <c r="DR192" s="5329"/>
      <c r="DW192" s="5329"/>
      <c r="DX192" s="4236"/>
      <c r="DY192" s="4236"/>
      <c r="DZ192" s="4236"/>
      <c r="EA192" s="4236"/>
      <c r="EC192" s="3683"/>
      <c r="ED192" s="3683"/>
    </row>
    <row r="193" spans="1:134" ht="11.25" customHeight="1">
      <c r="B193" s="152"/>
      <c r="C193" s="31"/>
      <c r="D193" s="152"/>
      <c r="E193" s="630"/>
      <c r="F193" s="31"/>
      <c r="G193" s="31"/>
      <c r="H193" s="31"/>
      <c r="I193" s="630"/>
      <c r="J193" s="1283"/>
      <c r="K193" s="37"/>
      <c r="L193" s="31"/>
      <c r="M193" s="630"/>
      <c r="N193" s="37"/>
      <c r="O193" s="37"/>
      <c r="P193" s="37"/>
      <c r="Q193" s="630"/>
      <c r="R193" s="5327"/>
      <c r="S193" s="31"/>
      <c r="T193" s="31"/>
      <c r="U193" s="630"/>
      <c r="V193" s="1253"/>
      <c r="W193" s="32"/>
      <c r="X193" s="32"/>
      <c r="Y193" s="630"/>
      <c r="Z193" s="32"/>
      <c r="AA193" s="32"/>
      <c r="AB193" s="32"/>
      <c r="AC193" s="630"/>
      <c r="AD193" s="1253"/>
      <c r="AE193" s="32"/>
      <c r="AF193" s="32"/>
      <c r="AG193" s="630"/>
      <c r="AK193" s="630"/>
      <c r="AL193" s="1253"/>
      <c r="AO193" s="630"/>
      <c r="AS193" s="630"/>
      <c r="AT193" s="1253"/>
      <c r="AW193" s="630"/>
      <c r="AX193" s="1253"/>
      <c r="BA193" s="630"/>
      <c r="BB193" s="5328"/>
      <c r="BE193" s="630"/>
      <c r="BF193" s="5328"/>
      <c r="BI193" s="32"/>
      <c r="BJ193" s="4236"/>
      <c r="BN193" s="630"/>
      <c r="BO193" s="4236"/>
      <c r="BP193" s="5328"/>
      <c r="BS193" s="630"/>
      <c r="BT193" s="4236"/>
      <c r="BU193" s="5328"/>
      <c r="BV193" s="32"/>
      <c r="BW193" s="32"/>
      <c r="BX193" s="32"/>
      <c r="BY193" s="4236"/>
      <c r="BZ193" s="32"/>
      <c r="CC193" s="32"/>
      <c r="CD193" s="4236"/>
      <c r="CE193" s="32"/>
      <c r="CH193" s="32"/>
      <c r="CI193" s="4236"/>
      <c r="CK193" s="43"/>
      <c r="CL193" s="43"/>
      <c r="CN193" s="5329"/>
      <c r="CS193" s="5329"/>
      <c r="CX193" s="5329"/>
      <c r="DC193" s="5329"/>
      <c r="DH193" s="5329"/>
      <c r="DM193" s="5329"/>
      <c r="DR193" s="5329"/>
      <c r="DW193" s="5329"/>
      <c r="DX193" s="4236"/>
      <c r="DY193" s="4236"/>
      <c r="DZ193" s="4236"/>
      <c r="EA193" s="4236"/>
      <c r="EC193" s="3683"/>
      <c r="ED193" s="3683"/>
    </row>
    <row r="194" spans="1:134" ht="11.25" customHeight="1">
      <c r="A194" s="3116" t="s">
        <v>57</v>
      </c>
      <c r="B194" s="2992"/>
      <c r="C194" s="2992"/>
      <c r="D194" s="2992"/>
      <c r="E194" s="3182"/>
      <c r="F194" s="3137"/>
      <c r="G194" s="3137"/>
      <c r="H194" s="3137"/>
      <c r="I194" s="3182"/>
      <c r="J194" s="3139"/>
      <c r="K194" s="3137"/>
      <c r="L194" s="3137"/>
      <c r="M194" s="3182"/>
      <c r="N194" s="3137"/>
      <c r="O194" s="3137"/>
      <c r="P194" s="3137"/>
      <c r="Q194" s="3182"/>
      <c r="R194" s="3139"/>
      <c r="S194" s="3137"/>
      <c r="T194" s="3137"/>
      <c r="U194" s="3182"/>
      <c r="V194" s="3140"/>
      <c r="W194" s="3141"/>
      <c r="X194" s="3141"/>
      <c r="Y194" s="3182"/>
      <c r="Z194" s="3141"/>
      <c r="AA194" s="3141"/>
      <c r="AB194" s="3141"/>
      <c r="AC194" s="3182"/>
      <c r="AD194" s="3140"/>
      <c r="AE194" s="3141"/>
      <c r="AF194" s="3141"/>
      <c r="AG194" s="3182"/>
      <c r="AH194" s="3141"/>
      <c r="AI194" s="3141"/>
      <c r="AJ194" s="3141"/>
      <c r="AK194" s="3182"/>
      <c r="AL194" s="3140"/>
      <c r="AM194" s="3141"/>
      <c r="AN194" s="3141"/>
      <c r="AO194" s="3182"/>
      <c r="AP194" s="3141"/>
      <c r="AQ194" s="3141"/>
      <c r="AR194" s="3141"/>
      <c r="AS194" s="3182"/>
      <c r="AT194" s="3140"/>
      <c r="AU194" s="3141"/>
      <c r="AV194" s="3141"/>
      <c r="AW194" s="3182"/>
      <c r="AX194" s="3140"/>
      <c r="AY194" s="3141"/>
      <c r="AZ194" s="3141"/>
      <c r="BA194" s="3182"/>
      <c r="BB194" s="3164"/>
      <c r="BC194" s="3141"/>
      <c r="BD194" s="3141"/>
      <c r="BE194" s="3182"/>
      <c r="BF194" s="3164"/>
      <c r="BG194" s="3141"/>
      <c r="BH194" s="3141"/>
      <c r="BI194" s="3141"/>
      <c r="BJ194" s="3183"/>
      <c r="BK194" s="3141"/>
      <c r="BL194" s="3141"/>
      <c r="BM194" s="3141"/>
      <c r="BN194" s="3182"/>
      <c r="BO194" s="3183"/>
      <c r="BP194" s="3184"/>
      <c r="BQ194" s="3141"/>
      <c r="BR194" s="3141"/>
      <c r="BS194" s="3182"/>
      <c r="BT194" s="3183"/>
      <c r="BU194" s="3184"/>
      <c r="BV194" s="3141"/>
      <c r="BW194" s="3141"/>
      <c r="BX194" s="3141"/>
      <c r="BY194" s="3183"/>
      <c r="BZ194" s="3141"/>
      <c r="CA194" s="3141"/>
      <c r="CB194" s="3141"/>
      <c r="CC194" s="3141"/>
      <c r="CD194" s="3185"/>
      <c r="CE194" s="3141"/>
      <c r="CF194" s="3141"/>
      <c r="CG194" s="3141"/>
      <c r="CH194" s="3141"/>
      <c r="CI194" s="3185"/>
      <c r="CJ194" s="3141"/>
      <c r="CK194" s="3141"/>
      <c r="CL194" s="3141"/>
      <c r="CM194" s="3141"/>
      <c r="CN194" s="4384"/>
      <c r="CO194" s="3141"/>
      <c r="CP194" s="3141"/>
      <c r="CQ194" s="3141"/>
      <c r="CR194" s="3141"/>
      <c r="CS194" s="4384"/>
      <c r="CT194" s="3141"/>
      <c r="CU194" s="3141"/>
      <c r="CV194" s="3141"/>
      <c r="CW194" s="3141"/>
      <c r="CX194" s="4384"/>
      <c r="CY194" s="3141"/>
      <c r="CZ194" s="3141"/>
      <c r="DA194" s="3141"/>
      <c r="DB194" s="3141"/>
      <c r="DC194" s="4384"/>
      <c r="DD194" s="3141"/>
      <c r="DE194" s="3141"/>
      <c r="DF194" s="3141"/>
      <c r="DG194" s="3141"/>
      <c r="DH194" s="4384"/>
      <c r="DI194" s="3141"/>
      <c r="DJ194" s="3141"/>
      <c r="DK194" s="3141"/>
      <c r="DL194" s="3141"/>
      <c r="DM194" s="4384"/>
      <c r="DN194" s="3141"/>
      <c r="DO194" s="3141"/>
      <c r="DP194" s="3141"/>
      <c r="DQ194" s="3141"/>
      <c r="DR194" s="4384"/>
      <c r="DS194" s="3141"/>
      <c r="DT194" s="3141"/>
      <c r="DU194" s="3141"/>
      <c r="DV194" s="3141"/>
      <c r="DW194" s="4384"/>
      <c r="DX194" s="3185"/>
      <c r="DY194" s="3185"/>
      <c r="DZ194" s="3185"/>
      <c r="EA194" s="3185"/>
      <c r="EC194" s="3683"/>
      <c r="ED194" s="3683"/>
    </row>
    <row r="195" spans="1:134" ht="11.25" customHeight="1">
      <c r="A195" s="1601" t="s">
        <v>81</v>
      </c>
      <c r="B195" s="36"/>
      <c r="C195" s="36"/>
      <c r="D195" s="36"/>
      <c r="E195" s="484"/>
      <c r="F195" s="36"/>
      <c r="G195" s="36"/>
      <c r="H195" s="36"/>
      <c r="I195" s="484"/>
      <c r="J195" s="39"/>
      <c r="K195" s="37"/>
      <c r="L195" s="37"/>
      <c r="M195" s="484"/>
      <c r="N195" s="37"/>
      <c r="O195" s="37"/>
      <c r="P195" s="37"/>
      <c r="Q195" s="484"/>
      <c r="R195" s="154">
        <f t="shared" ref="R195:Y195" si="703">Q198</f>
        <v>0</v>
      </c>
      <c r="S195" s="95">
        <f t="shared" si="703"/>
        <v>0</v>
      </c>
      <c r="T195" s="95">
        <f t="shared" si="703"/>
        <v>32.167999999999992</v>
      </c>
      <c r="U195" s="484">
        <f t="shared" si="703"/>
        <v>52.59400000000003</v>
      </c>
      <c r="V195" s="41">
        <f t="shared" si="703"/>
        <v>191.352</v>
      </c>
      <c r="W195" s="43">
        <f t="shared" si="703"/>
        <v>255.32499999999999</v>
      </c>
      <c r="X195" s="43">
        <f t="shared" si="703"/>
        <v>334.38799999999998</v>
      </c>
      <c r="Y195" s="484">
        <f t="shared" si="703"/>
        <v>386.37099999999998</v>
      </c>
      <c r="Z195" s="41">
        <f>Y198</f>
        <v>590.471</v>
      </c>
      <c r="AA195" s="43">
        <f t="shared" ref="AA195:AG195" si="704">Z198</f>
        <v>959.66399999999999</v>
      </c>
      <c r="AB195" s="43">
        <f t="shared" si="704"/>
        <v>1302.4780000000001</v>
      </c>
      <c r="AC195" s="484">
        <f t="shared" si="704"/>
        <v>1683.66</v>
      </c>
      <c r="AD195" s="41">
        <f>AC198</f>
        <v>2055.8679999999999</v>
      </c>
      <c r="AE195" s="43">
        <f t="shared" si="704"/>
        <v>2648.1590000000001</v>
      </c>
      <c r="AF195" s="43">
        <f t="shared" si="704"/>
        <v>3369.2359999999999</v>
      </c>
      <c r="AG195" s="484">
        <f t="shared" si="704"/>
        <v>4102.5969999999998</v>
      </c>
      <c r="AH195" s="41">
        <f>AG198</f>
        <v>5133.3140000000003</v>
      </c>
      <c r="AI195" s="43">
        <f t="shared" ref="AI195:AV195" si="705">AH198</f>
        <v>6128.3680000000004</v>
      </c>
      <c r="AJ195" s="43">
        <f t="shared" si="705"/>
        <v>7053.4889999999996</v>
      </c>
      <c r="AK195" s="484">
        <f t="shared" si="705"/>
        <v>8123.4780000000001</v>
      </c>
      <c r="AL195" s="41">
        <f>AK198</f>
        <v>9334.7720000000008</v>
      </c>
      <c r="AM195" s="43">
        <f t="shared" si="705"/>
        <v>10641.858</v>
      </c>
      <c r="AN195" s="43">
        <f t="shared" si="705"/>
        <v>11889.249</v>
      </c>
      <c r="AO195" s="484">
        <f t="shared" si="705"/>
        <v>13179.188</v>
      </c>
      <c r="AP195" s="43">
        <f>AO198</f>
        <v>13561.63</v>
      </c>
      <c r="AQ195" s="43">
        <f t="shared" si="705"/>
        <v>14984.458000000001</v>
      </c>
      <c r="AR195" s="43">
        <f t="shared" si="705"/>
        <v>16469.003000000001</v>
      </c>
      <c r="AS195" s="484">
        <f t="shared" si="705"/>
        <v>18107.977999999999</v>
      </c>
      <c r="AT195" s="41">
        <f>AS198</f>
        <v>20082.078000000001</v>
      </c>
      <c r="AU195" s="43">
        <f t="shared" si="705"/>
        <v>21949</v>
      </c>
      <c r="AV195" s="43">
        <f t="shared" si="705"/>
        <v>23158</v>
      </c>
      <c r="AW195" s="484">
        <f>AV198</f>
        <v>25324</v>
      </c>
      <c r="AX195" s="41">
        <f>AW198</f>
        <v>27868</v>
      </c>
      <c r="AY195" s="43">
        <f t="shared" ref="AY195:BE195" si="706">AX198</f>
        <v>29666</v>
      </c>
      <c r="AZ195" s="43">
        <f t="shared" si="706"/>
        <v>32172</v>
      </c>
      <c r="BA195" s="484">
        <f t="shared" si="706"/>
        <v>34901</v>
      </c>
      <c r="BB195" s="478">
        <f>BA198</f>
        <v>37605</v>
      </c>
      <c r="BC195" s="43">
        <f t="shared" si="706"/>
        <v>40495</v>
      </c>
      <c r="BD195" s="43">
        <f t="shared" si="706"/>
        <v>43280</v>
      </c>
      <c r="BE195" s="484">
        <f t="shared" si="706"/>
        <v>45456</v>
      </c>
      <c r="BF195" s="478">
        <f>BE198</f>
        <v>48342</v>
      </c>
      <c r="BG195" s="43">
        <f>BF198</f>
        <v>51688</v>
      </c>
      <c r="BH195" s="43">
        <f>BG198</f>
        <v>54916</v>
      </c>
      <c r="BI195" s="43">
        <f>BH198</f>
        <v>57886</v>
      </c>
      <c r="BJ195" s="1009">
        <f>BF195</f>
        <v>48342</v>
      </c>
      <c r="BK195" s="43">
        <f>BI198</f>
        <v>61262</v>
      </c>
      <c r="BL195" s="43">
        <f>BK198</f>
        <v>64714</v>
      </c>
      <c r="BM195" s="43">
        <f>BL198</f>
        <v>68136</v>
      </c>
      <c r="BN195" s="484">
        <f>BM198</f>
        <v>70949</v>
      </c>
      <c r="BO195" s="1009">
        <f>BK195</f>
        <v>61262</v>
      </c>
      <c r="BP195" s="632">
        <f>BN198</f>
        <v>75706</v>
      </c>
      <c r="BQ195" s="43">
        <f t="shared" ref="BQ195:BX195" si="707">BP198</f>
        <v>79292</v>
      </c>
      <c r="BR195" s="43">
        <f t="shared" si="707"/>
        <v>81990</v>
      </c>
      <c r="BS195" s="484">
        <f t="shared" si="707"/>
        <v>85969</v>
      </c>
      <c r="BT195" s="1009">
        <f>BP195</f>
        <v>75706</v>
      </c>
      <c r="BU195" s="632">
        <f>BS198</f>
        <v>89223</v>
      </c>
      <c r="BV195" s="43">
        <f t="shared" si="707"/>
        <v>91168</v>
      </c>
      <c r="BW195" s="43">
        <f t="shared" si="707"/>
        <v>94737</v>
      </c>
      <c r="BX195" s="43">
        <f t="shared" si="707"/>
        <v>99798</v>
      </c>
      <c r="BY195" s="1009">
        <f>BU195</f>
        <v>89223</v>
      </c>
      <c r="BZ195" s="43">
        <f>BY198</f>
        <v>105131</v>
      </c>
      <c r="CA195" s="43">
        <f>BZ198</f>
        <v>109420</v>
      </c>
      <c r="CB195" s="43">
        <f>CA198</f>
        <v>111505</v>
      </c>
      <c r="CC195" s="43">
        <f>CB198</f>
        <v>118237</v>
      </c>
      <c r="CD195" s="873">
        <f>BZ195</f>
        <v>105131</v>
      </c>
      <c r="CE195" s="43">
        <f>CD198</f>
        <v>113247</v>
      </c>
      <c r="CF195" s="43">
        <f>CE198</f>
        <v>120008</v>
      </c>
      <c r="CG195" s="43">
        <f>CF198</f>
        <v>121282</v>
      </c>
      <c r="CH195" s="43">
        <f>CG198</f>
        <v>128405</v>
      </c>
      <c r="CI195" s="873">
        <f>CD198</f>
        <v>113247</v>
      </c>
      <c r="CJ195" s="43">
        <f>CI198</f>
        <v>134885</v>
      </c>
      <c r="CK195" s="43">
        <f>CJ198</f>
        <v>138720</v>
      </c>
      <c r="CL195" s="43">
        <f>CK198</f>
        <v>145346</v>
      </c>
      <c r="CM195" s="43">
        <f>CL198</f>
        <v>147125</v>
      </c>
      <c r="CN195" s="5048">
        <f>CI198</f>
        <v>134885</v>
      </c>
      <c r="CO195" s="537">
        <f>CN198</f>
        <v>152122</v>
      </c>
      <c r="CP195" s="537">
        <f>CO198</f>
        <v>151068</v>
      </c>
      <c r="CQ195" s="537">
        <f>CP198</f>
        <v>151681</v>
      </c>
      <c r="CR195" s="537">
        <f>CQ198</f>
        <v>155567</v>
      </c>
      <c r="CS195" s="5048">
        <f>CN198</f>
        <v>152122</v>
      </c>
      <c r="CT195" s="537">
        <f>CS198</f>
        <v>163401</v>
      </c>
      <c r="CU195" s="537">
        <f>CT198</f>
        <v>170580</v>
      </c>
      <c r="CV195" s="537">
        <f>CU198</f>
        <v>176939</v>
      </c>
      <c r="CW195" s="537">
        <f>CV198</f>
        <v>183782</v>
      </c>
      <c r="CX195" s="5048">
        <f>CS198</f>
        <v>163401</v>
      </c>
      <c r="CY195" s="537">
        <f>CX198</f>
        <v>191484</v>
      </c>
      <c r="CZ195" s="537">
        <f>CY198</f>
        <v>195221</v>
      </c>
      <c r="DA195" s="537">
        <f>CZ198</f>
        <v>196845</v>
      </c>
      <c r="DB195" s="537">
        <f>DA198</f>
        <v>196220</v>
      </c>
      <c r="DC195" s="5048">
        <f>CX198</f>
        <v>191484</v>
      </c>
      <c r="DD195" s="537">
        <f>DC198</f>
        <v>195563</v>
      </c>
      <c r="DE195" s="537">
        <f>DD198</f>
        <v>196625</v>
      </c>
      <c r="DF195" s="537">
        <f>DE198</f>
        <v>200884</v>
      </c>
      <c r="DG195" s="537">
        <f>DF198</f>
        <v>205647</v>
      </c>
      <c r="DH195" s="5048">
        <f>DC198</f>
        <v>195563</v>
      </c>
      <c r="DI195" s="537">
        <f>DH198</f>
        <v>211247</v>
      </c>
      <c r="DJ195" s="537">
        <f>DI198</f>
        <v>219770</v>
      </c>
      <c r="DK195" s="537">
        <f>DJ198</f>
        <v>226033</v>
      </c>
      <c r="DL195" s="537">
        <f>DK198</f>
        <v>235317</v>
      </c>
      <c r="DM195" s="5048">
        <f>DH198</f>
        <v>211247</v>
      </c>
      <c r="DN195" s="537">
        <f>DM198</f>
        <v>245084</v>
      </c>
      <c r="DO195" s="537">
        <f>DN198</f>
        <v>262628</v>
      </c>
      <c r="DP195" s="537">
        <f>DO198</f>
        <v>275760</v>
      </c>
      <c r="DQ195" s="537">
        <f t="shared" ref="DQ195" si="708">DP198</f>
        <v>297226</v>
      </c>
      <c r="DR195" s="5048">
        <f>DM198</f>
        <v>245084</v>
      </c>
      <c r="DS195" s="537">
        <f t="shared" ref="DS195" ca="1" si="709">DR198</f>
        <v>313443.02754247771</v>
      </c>
      <c r="DT195" s="537">
        <f t="shared" ref="DT195" ca="1" si="710">DS198</f>
        <v>328470.11971095123</v>
      </c>
      <c r="DU195" s="537">
        <f t="shared" ref="DU195" ca="1" si="711">DT198</f>
        <v>344903.43112614291</v>
      </c>
      <c r="DV195" s="537">
        <f t="shared" ref="DV195" ca="1" si="712">DU198</f>
        <v>362240.35580090224</v>
      </c>
      <c r="DW195" s="5048">
        <f ca="1">DR198</f>
        <v>313443.02754247771</v>
      </c>
      <c r="DX195" s="897">
        <f ca="1">DW198</f>
        <v>382468.94771144039</v>
      </c>
      <c r="DY195" s="897">
        <f ca="1">DX198</f>
        <v>457112.12601915805</v>
      </c>
      <c r="DZ195" s="897">
        <f ca="1">DY198</f>
        <v>549617.79336836119</v>
      </c>
      <c r="EA195" s="897">
        <f ca="1">DZ198</f>
        <v>661124.31255735666</v>
      </c>
      <c r="EC195" s="3683"/>
      <c r="ED195" s="3683"/>
    </row>
    <row r="196" spans="1:134" ht="11.25" customHeight="1">
      <c r="A196" s="1608" t="s">
        <v>82</v>
      </c>
      <c r="B196" s="36"/>
      <c r="C196" s="36"/>
      <c r="D196" s="36"/>
      <c r="E196" s="487"/>
      <c r="F196" s="36"/>
      <c r="G196" s="36"/>
      <c r="H196" s="36"/>
      <c r="I196" s="487"/>
      <c r="J196" s="143"/>
      <c r="K196" s="36"/>
      <c r="L196" s="36"/>
      <c r="M196" s="487"/>
      <c r="N196" s="36"/>
      <c r="O196" s="36"/>
      <c r="P196" s="36"/>
      <c r="Q196" s="487"/>
      <c r="R196" s="155">
        <f>IS!V36</f>
        <v>25.800000000000004</v>
      </c>
      <c r="S196" s="156">
        <f>IS!W36</f>
        <v>32.167999999999992</v>
      </c>
      <c r="T196" s="156">
        <f>IS!X36</f>
        <v>20.426000000000037</v>
      </c>
      <c r="U196" s="487">
        <f>IS!Y36</f>
        <v>27.253999999999955</v>
      </c>
      <c r="V196" s="146">
        <f>IS!AA36</f>
        <v>63.973000000000042</v>
      </c>
      <c r="W196" s="147">
        <f>IS!AB36</f>
        <v>79.062999999999974</v>
      </c>
      <c r="X196" s="147">
        <f>IS!AC36</f>
        <v>51.982999999999983</v>
      </c>
      <c r="Y196" s="487">
        <f>IS!AD36</f>
        <v>204.10000000000002</v>
      </c>
      <c r="Z196" s="147">
        <f>IS!AF36</f>
        <v>369.1930000000001</v>
      </c>
      <c r="AA196" s="147">
        <f>IS!AG36</f>
        <v>342.81399999999985</v>
      </c>
      <c r="AB196" s="147">
        <f>IS!AH36</f>
        <v>381.18199999999996</v>
      </c>
      <c r="AC196" s="487">
        <f>IS!AI36</f>
        <v>372.20799999999997</v>
      </c>
      <c r="AD196" s="146">
        <f>IS!AK36</f>
        <v>592.29100000000028</v>
      </c>
      <c r="AE196" s="147">
        <f>IS!AL36</f>
        <v>721.07699999999988</v>
      </c>
      <c r="AF196" s="147">
        <f>IS!AM36</f>
        <v>733.36099999999954</v>
      </c>
      <c r="AG196" s="487">
        <f>IS!AN36</f>
        <v>1030.7159999999999</v>
      </c>
      <c r="AH196" s="146">
        <f>IS!AP36</f>
        <v>1002.1620000000004</v>
      </c>
      <c r="AI196" s="147">
        <f>IS!AQ36</f>
        <v>925.12000000000035</v>
      </c>
      <c r="AJ196" s="147">
        <f>IS!AR36</f>
        <v>1069.9839999999999</v>
      </c>
      <c r="AK196" s="487">
        <f>IS!AS36</f>
        <v>1206.4490000000003</v>
      </c>
      <c r="AL196" s="146">
        <f>IS!AU36</f>
        <v>1307.086</v>
      </c>
      <c r="AM196" s="147">
        <f>IS!AV36</f>
        <v>1247.3910000000003</v>
      </c>
      <c r="AN196" s="147">
        <f>IS!AW36</f>
        <v>1289.9379999999996</v>
      </c>
      <c r="AO196" s="487">
        <f>IS!AX36</f>
        <v>382.44200000000092</v>
      </c>
      <c r="AP196" s="147">
        <f>IS!AZ36</f>
        <v>1422.8279999999997</v>
      </c>
      <c r="AQ196" s="147">
        <f>IS!BA36</f>
        <v>1484.5449999999996</v>
      </c>
      <c r="AR196" s="147">
        <f>IS!BB36</f>
        <v>1638.9749999999997</v>
      </c>
      <c r="AS196" s="487">
        <f>IS!BC36</f>
        <v>1974.1000000000004</v>
      </c>
      <c r="AT196" s="146">
        <f>IS!BE36</f>
        <v>1955</v>
      </c>
      <c r="AU196" s="147">
        <f>IS!BF36</f>
        <v>1840</v>
      </c>
      <c r="AV196" s="147">
        <f>IS!BG36</f>
        <v>2167</v>
      </c>
      <c r="AW196" s="487">
        <f>IS!BH36</f>
        <v>2543</v>
      </c>
      <c r="AX196" s="146">
        <f>+IS!BJ36</f>
        <v>1798</v>
      </c>
      <c r="AY196" s="147">
        <f>+IS!BK36</f>
        <v>2505</v>
      </c>
      <c r="AZ196" s="147">
        <f>+IS!BL36</f>
        <v>2729</v>
      </c>
      <c r="BA196" s="487">
        <f>+IS!BM36</f>
        <v>2705</v>
      </c>
      <c r="BB196" s="480">
        <f>+IS!BT36</f>
        <v>2890</v>
      </c>
      <c r="BC196" s="147">
        <f>+IS!BU36</f>
        <v>3018</v>
      </c>
      <c r="BD196" s="147">
        <f>+IS!BV36</f>
        <v>2703</v>
      </c>
      <c r="BE196" s="487">
        <f>+IS!BW36</f>
        <v>2905</v>
      </c>
      <c r="BF196" s="480">
        <f>+IS!CD36</f>
        <v>3346</v>
      </c>
      <c r="BG196" s="147">
        <f>+IS!CE36</f>
        <v>3228</v>
      </c>
      <c r="BH196" s="147">
        <f>+IS!CF36</f>
        <v>2970</v>
      </c>
      <c r="BI196" s="147">
        <f>+IS!CG36</f>
        <v>3376</v>
      </c>
      <c r="BJ196" s="1002">
        <f>SUM(BF196:BI196)</f>
        <v>12920</v>
      </c>
      <c r="BK196" s="147">
        <f>+IS!CI36</f>
        <v>3370.6559999999999</v>
      </c>
      <c r="BL196" s="147">
        <f>+IS!CJ36</f>
        <v>3352.2503999999999</v>
      </c>
      <c r="BM196" s="147">
        <f>+IS!CK36</f>
        <v>2738.6059999999998</v>
      </c>
      <c r="BN196" s="487">
        <f>+IS!CL36</f>
        <v>4674.6130000000003</v>
      </c>
      <c r="BO196" s="1002">
        <f>SUM(BK196:BN196)</f>
        <v>14136.125400000001</v>
      </c>
      <c r="BP196" s="147">
        <f>+IS!CN36</f>
        <v>3514.2332000000001</v>
      </c>
      <c r="BQ196" s="147">
        <f>+IS!CO36</f>
        <v>3931</v>
      </c>
      <c r="BR196" s="147">
        <f>+IS!CP36</f>
        <v>3979</v>
      </c>
      <c r="BS196" s="487">
        <f>+IS!CQ36</f>
        <v>4923</v>
      </c>
      <c r="BT196" s="1002">
        <f>SUM(BP196:BS196)</f>
        <v>16347.233200000001</v>
      </c>
      <c r="BU196" s="734">
        <f>+IS!CS36</f>
        <v>4207</v>
      </c>
      <c r="BV196" s="147">
        <f>+IS!CT36</f>
        <v>4877</v>
      </c>
      <c r="BW196" s="147">
        <f>+IS!CU36</f>
        <v>5061</v>
      </c>
      <c r="BX196" s="147">
        <f>+IS!CV36</f>
        <v>5333</v>
      </c>
      <c r="BY196" s="1002">
        <f>SUM(BU196:BX196)</f>
        <v>19478</v>
      </c>
      <c r="BZ196" s="147">
        <f>+IS!CX36</f>
        <v>5426</v>
      </c>
      <c r="CA196" s="147">
        <f>+IS!CY36</f>
        <v>3524</v>
      </c>
      <c r="CB196" s="147">
        <f>+IS!CZ36</f>
        <v>6732</v>
      </c>
      <c r="CC196" s="147">
        <f>+IS!DA36</f>
        <v>-3020</v>
      </c>
      <c r="CD196" s="874">
        <f>SUM(BZ196:CC196)</f>
        <v>12662</v>
      </c>
      <c r="CE196" s="147">
        <f>+IS!DC36</f>
        <v>9401</v>
      </c>
      <c r="CF196" s="147">
        <f>+IS!DD36</f>
        <v>3195</v>
      </c>
      <c r="CG196" s="147">
        <f>+IS!DE36</f>
        <v>9192</v>
      </c>
      <c r="CH196" s="147">
        <f>+IS!DF36</f>
        <v>8948</v>
      </c>
      <c r="CI196" s="874">
        <f>SUM(CE196:CH196)</f>
        <v>30736</v>
      </c>
      <c r="CJ196" s="147">
        <f>+IS!DH36</f>
        <v>6657</v>
      </c>
      <c r="CK196" s="147">
        <f>+IS!DI36</f>
        <v>9947</v>
      </c>
      <c r="CL196" s="147">
        <f>+IS!DJ36</f>
        <v>7068</v>
      </c>
      <c r="CM196" s="147">
        <f>+IS!DK36</f>
        <v>10671</v>
      </c>
      <c r="CN196" s="5049">
        <f>SUM(CJ196:CM196)</f>
        <v>34343</v>
      </c>
      <c r="CO196" s="5050">
        <f>+IS!DM36</f>
        <v>6836</v>
      </c>
      <c r="CP196" s="5050">
        <f>+IS!DN36</f>
        <v>6959</v>
      </c>
      <c r="CQ196" s="5050">
        <f>+IS!DO36</f>
        <v>11247</v>
      </c>
      <c r="CR196" s="5050">
        <f>+IS!DP36</f>
        <v>15227</v>
      </c>
      <c r="CS196" s="5049">
        <f>SUM(CO196:CR196)</f>
        <v>40269</v>
      </c>
      <c r="CT196" s="5050">
        <f>+IS!DR36</f>
        <v>17930</v>
      </c>
      <c r="CU196" s="5050">
        <f>+IS!DS36</f>
        <v>18525</v>
      </c>
      <c r="CV196" s="5050">
        <f>+IS!DT36</f>
        <v>18936</v>
      </c>
      <c r="CW196" s="5050">
        <f>+IS!DU36</f>
        <v>20642</v>
      </c>
      <c r="CX196" s="5049">
        <f>SUM(CT196:CW196)</f>
        <v>76033</v>
      </c>
      <c r="CY196" s="5050">
        <f>+IS!DW36</f>
        <v>16436</v>
      </c>
      <c r="CZ196" s="5050">
        <f>+IS!DX36</f>
        <v>16002</v>
      </c>
      <c r="DA196" s="5050">
        <f>+IS!DY36</f>
        <v>13910</v>
      </c>
      <c r="DB196" s="5050">
        <f>+IS!DZ36</f>
        <v>13624</v>
      </c>
      <c r="DC196" s="5049">
        <f>SUM(CY196:DB196)</f>
        <v>59972</v>
      </c>
      <c r="DD196" s="5050">
        <f>+IS!EB36</f>
        <v>15051</v>
      </c>
      <c r="DE196" s="5050">
        <f>+IS!EC36</f>
        <v>18368</v>
      </c>
      <c r="DF196" s="5050">
        <f>+IS!ED36</f>
        <v>19689</v>
      </c>
      <c r="DG196" s="5050">
        <f>+IS!EE36</f>
        <v>20687</v>
      </c>
      <c r="DH196" s="5049">
        <f>SUM(DD196:DG196)</f>
        <v>73795</v>
      </c>
      <c r="DI196" s="5050">
        <f>+IS!EG36</f>
        <v>23662</v>
      </c>
      <c r="DJ196" s="5050">
        <f>+IS!EH36</f>
        <v>23619</v>
      </c>
      <c r="DK196" s="5050">
        <f>+IS!EI36</f>
        <v>26301</v>
      </c>
      <c r="DL196" s="5050">
        <f>+IS!EJ36</f>
        <v>26536</v>
      </c>
      <c r="DM196" s="5049">
        <f>SUM(DI196:DL196)</f>
        <v>100118</v>
      </c>
      <c r="DN196" s="5050">
        <f>+IS!EL36</f>
        <v>34540</v>
      </c>
      <c r="DO196" s="5050">
        <f>+IS!EM36</f>
        <v>28196</v>
      </c>
      <c r="DP196" s="5050">
        <f>+IS!EN36</f>
        <v>34979</v>
      </c>
      <c r="DQ196" s="5050">
        <f ca="1">+IS!EO36</f>
        <v>31780.808062477692</v>
      </c>
      <c r="DR196" s="5049">
        <f ca="1">SUM(DN196:DQ196)</f>
        <v>129495.80806247769</v>
      </c>
      <c r="DS196" s="5050">
        <f ca="1">+IS!EQ36</f>
        <v>31591.327810553536</v>
      </c>
      <c r="DT196" s="5050">
        <f ca="1">+IS!ER36</f>
        <v>32998.00399984001</v>
      </c>
      <c r="DU196" s="5050">
        <f ca="1">+IS!ES36</f>
        <v>33902.076029746226</v>
      </c>
      <c r="DV196" s="5050">
        <f ca="1">+IS!ET36</f>
        <v>36794.203870945021</v>
      </c>
      <c r="DW196" s="5049">
        <f ca="1">SUM(DS196:DV196)</f>
        <v>135285.61171108478</v>
      </c>
      <c r="DX196" s="5051">
        <f ca="1">+IS!EV36</f>
        <v>150579.13356022601</v>
      </c>
      <c r="DY196" s="5051">
        <f ca="1">+IS!EW36</f>
        <v>170831.20794115632</v>
      </c>
      <c r="DZ196" s="5051">
        <f ca="1">+IS!EX36</f>
        <v>193292.87449974922</v>
      </c>
      <c r="EA196" s="5051">
        <f ca="1">+IS!EY36</f>
        <v>219353.87543318333</v>
      </c>
      <c r="EC196" s="3683"/>
      <c r="ED196" s="3683"/>
    </row>
    <row r="197" spans="1:134" ht="11.25" customHeight="1">
      <c r="A197" s="1608" t="s">
        <v>83</v>
      </c>
      <c r="B197" s="36"/>
      <c r="C197" s="36"/>
      <c r="D197" s="36"/>
      <c r="E197" s="574"/>
      <c r="F197" s="36"/>
      <c r="G197" s="36"/>
      <c r="H197" s="36"/>
      <c r="I197" s="574"/>
      <c r="J197" s="143"/>
      <c r="K197" s="67"/>
      <c r="L197" s="67"/>
      <c r="M197" s="574"/>
      <c r="N197" s="67"/>
      <c r="O197" s="67"/>
      <c r="P197" s="36"/>
      <c r="Q197" s="574"/>
      <c r="R197" s="155">
        <v>0</v>
      </c>
      <c r="S197" s="1427">
        <v>0</v>
      </c>
      <c r="T197" s="1427">
        <v>0</v>
      </c>
      <c r="U197" s="1422">
        <v>0</v>
      </c>
      <c r="V197" s="1423">
        <f t="shared" ref="V197:AK197" si="713">V198-V196-V195</f>
        <v>0</v>
      </c>
      <c r="W197" s="1424">
        <f t="shared" si="713"/>
        <v>0</v>
      </c>
      <c r="X197" s="1424">
        <f t="shared" si="713"/>
        <v>0</v>
      </c>
      <c r="Y197" s="1422">
        <f t="shared" si="713"/>
        <v>0</v>
      </c>
      <c r="Z197" s="1423">
        <f t="shared" si="713"/>
        <v>0</v>
      </c>
      <c r="AA197" s="1424">
        <f t="shared" si="713"/>
        <v>0</v>
      </c>
      <c r="AB197" s="1424">
        <f t="shared" si="713"/>
        <v>0</v>
      </c>
      <c r="AC197" s="1422">
        <f t="shared" si="713"/>
        <v>0</v>
      </c>
      <c r="AD197" s="1423">
        <f t="shared" si="713"/>
        <v>0</v>
      </c>
      <c r="AE197" s="1424">
        <f t="shared" si="713"/>
        <v>0</v>
      </c>
      <c r="AF197" s="1424">
        <f t="shared" si="713"/>
        <v>0</v>
      </c>
      <c r="AG197" s="1422">
        <v>0</v>
      </c>
      <c r="AH197" s="1423">
        <f t="shared" si="713"/>
        <v>-7.1080000000001746</v>
      </c>
      <c r="AI197" s="1424">
        <f t="shared" si="713"/>
        <v>9.9999999838473741E-4</v>
      </c>
      <c r="AJ197" s="1424">
        <f t="shared" si="713"/>
        <v>5.0000000010186341E-3</v>
      </c>
      <c r="AK197" s="1422">
        <f t="shared" si="713"/>
        <v>4.8450000000002547</v>
      </c>
      <c r="AL197" s="1423">
        <f t="shared" ref="AL197:BM197" si="714">AL198-AL196-AL195</f>
        <v>0</v>
      </c>
      <c r="AM197" s="1424">
        <f t="shared" si="714"/>
        <v>0</v>
      </c>
      <c r="AN197" s="1424">
        <f t="shared" si="714"/>
        <v>1.0000000002037268E-3</v>
      </c>
      <c r="AO197" s="1422">
        <f t="shared" si="714"/>
        <v>0</v>
      </c>
      <c r="AP197" s="1423">
        <f t="shared" si="714"/>
        <v>0</v>
      </c>
      <c r="AQ197" s="1424">
        <f t="shared" si="714"/>
        <v>0</v>
      </c>
      <c r="AR197" s="1424">
        <f t="shared" si="714"/>
        <v>0</v>
      </c>
      <c r="AS197" s="1422">
        <f t="shared" si="714"/>
        <v>0</v>
      </c>
      <c r="AT197" s="1423">
        <v>0</v>
      </c>
      <c r="AU197" s="1424">
        <f t="shared" si="714"/>
        <v>-631</v>
      </c>
      <c r="AV197" s="1424">
        <f t="shared" si="714"/>
        <v>-1</v>
      </c>
      <c r="AW197" s="1422">
        <f t="shared" si="714"/>
        <v>1</v>
      </c>
      <c r="AX197" s="1423">
        <f t="shared" si="714"/>
        <v>0</v>
      </c>
      <c r="AY197" s="1424">
        <f t="shared" si="714"/>
        <v>1</v>
      </c>
      <c r="AZ197" s="1424">
        <f t="shared" si="714"/>
        <v>0</v>
      </c>
      <c r="BA197" s="1422">
        <f t="shared" si="714"/>
        <v>-1</v>
      </c>
      <c r="BB197" s="1428">
        <f t="shared" si="714"/>
        <v>0</v>
      </c>
      <c r="BC197" s="1424">
        <f t="shared" si="714"/>
        <v>-233</v>
      </c>
      <c r="BD197" s="1424">
        <f t="shared" si="714"/>
        <v>-527</v>
      </c>
      <c r="BE197" s="1422">
        <f t="shared" si="714"/>
        <v>-19</v>
      </c>
      <c r="BF197" s="1428">
        <f t="shared" si="714"/>
        <v>0</v>
      </c>
      <c r="BG197" s="1424">
        <f t="shared" si="714"/>
        <v>0</v>
      </c>
      <c r="BH197" s="1424">
        <f t="shared" si="714"/>
        <v>0</v>
      </c>
      <c r="BI197" s="501">
        <f t="shared" si="714"/>
        <v>0</v>
      </c>
      <c r="BJ197" s="1010">
        <f t="shared" si="714"/>
        <v>0</v>
      </c>
      <c r="BK197" s="501">
        <f t="shared" si="714"/>
        <v>81.343999999997322</v>
      </c>
      <c r="BL197" s="501">
        <f t="shared" si="714"/>
        <v>69.749600000002829</v>
      </c>
      <c r="BM197" s="501">
        <f t="shared" si="714"/>
        <v>74.394000000000233</v>
      </c>
      <c r="BN197" s="1422">
        <f>BN198-BN196-BN195</f>
        <v>82.387000000002445</v>
      </c>
      <c r="BO197" s="1010">
        <f>BO198-BO196-BO195</f>
        <v>307.87459999999555</v>
      </c>
      <c r="BP197" s="501">
        <f t="shared" ref="BP197:BU197" si="715">BP198-BP196-BP195</f>
        <v>71.766799999997602</v>
      </c>
      <c r="BQ197" s="501">
        <f t="shared" si="715"/>
        <v>-1233</v>
      </c>
      <c r="BR197" s="501">
        <f t="shared" si="715"/>
        <v>0</v>
      </c>
      <c r="BS197" s="1422">
        <f t="shared" si="715"/>
        <v>-1669</v>
      </c>
      <c r="BT197" s="1010">
        <f t="shared" si="715"/>
        <v>-2830.2332000000024</v>
      </c>
      <c r="BU197" s="1274">
        <f t="shared" si="715"/>
        <v>-2262</v>
      </c>
      <c r="BV197" s="501">
        <f t="shared" ref="BV197:CH197" si="716">BV198-BV196-BV195</f>
        <v>-1308</v>
      </c>
      <c r="BW197" s="501">
        <f t="shared" si="716"/>
        <v>0</v>
      </c>
      <c r="BX197" s="501">
        <f t="shared" si="716"/>
        <v>0</v>
      </c>
      <c r="BY197" s="1010">
        <f t="shared" si="716"/>
        <v>-3570</v>
      </c>
      <c r="BZ197" s="1274">
        <f t="shared" si="716"/>
        <v>-1137</v>
      </c>
      <c r="CA197" s="501">
        <f t="shared" si="716"/>
        <v>-1439</v>
      </c>
      <c r="CB197" s="501">
        <f t="shared" si="716"/>
        <v>0</v>
      </c>
      <c r="CC197" s="501">
        <f t="shared" si="716"/>
        <v>-1970</v>
      </c>
      <c r="CD197" s="2877">
        <f t="shared" si="716"/>
        <v>-4546</v>
      </c>
      <c r="CE197" s="1274">
        <f t="shared" si="716"/>
        <v>-2640</v>
      </c>
      <c r="CF197" s="501">
        <f t="shared" si="716"/>
        <v>-1921</v>
      </c>
      <c r="CG197" s="501">
        <f t="shared" si="716"/>
        <v>-2069</v>
      </c>
      <c r="CH197" s="501">
        <f t="shared" si="716"/>
        <v>-2468</v>
      </c>
      <c r="CI197" s="2877">
        <f>SUM(CE197:CH197)</f>
        <v>-9098</v>
      </c>
      <c r="CJ197" s="1274">
        <f>CJ198-CJ196-CJ195</f>
        <v>-2822</v>
      </c>
      <c r="CK197" s="501">
        <f>CK198-CK196-CK195</f>
        <v>-3321</v>
      </c>
      <c r="CL197" s="501">
        <f>CL198-CL196-CL195</f>
        <v>-5289</v>
      </c>
      <c r="CM197" s="501">
        <f>CM198-CM196-CM195</f>
        <v>-5674</v>
      </c>
      <c r="CN197" s="5052">
        <f>SUM(CJ197:CM197)</f>
        <v>-17106</v>
      </c>
      <c r="CO197" s="5042">
        <f>CO198-CO196-CO195</f>
        <v>-7890</v>
      </c>
      <c r="CP197" s="691">
        <f>CP198-CP196-CP195</f>
        <v>-6346</v>
      </c>
      <c r="CQ197" s="691">
        <f>CQ198-CQ196-CQ195</f>
        <v>-7361</v>
      </c>
      <c r="CR197" s="691">
        <f>CR198-CR196-CR195</f>
        <v>-7393</v>
      </c>
      <c r="CS197" s="5052">
        <f>SUM(CO197:CR197)</f>
        <v>-28990</v>
      </c>
      <c r="CT197" s="5042">
        <f>CT198-CT196-CT195</f>
        <v>-10751</v>
      </c>
      <c r="CU197" s="691">
        <f>CU198-CU196-CU195</f>
        <v>-12166</v>
      </c>
      <c r="CV197" s="691">
        <f>CV198-CV196-CV195</f>
        <v>-12093</v>
      </c>
      <c r="CW197" s="691">
        <f>CW198-CW196-CW195</f>
        <v>-12940</v>
      </c>
      <c r="CX197" s="5052">
        <f>SUM(CT197:CW197)</f>
        <v>-47950</v>
      </c>
      <c r="CY197" s="5042">
        <f>CY198-CY196-CY195</f>
        <v>-12699</v>
      </c>
      <c r="CZ197" s="691">
        <f>CZ198-CZ196-CZ195</f>
        <v>-14378</v>
      </c>
      <c r="DA197" s="691">
        <f>DA198-DA196-DA195</f>
        <v>-14535</v>
      </c>
      <c r="DB197" s="691">
        <f>DB198-DB196-DB195</f>
        <v>-14281</v>
      </c>
      <c r="DC197" s="5052">
        <f>SUM(CY197:DB197)</f>
        <v>-55893</v>
      </c>
      <c r="DD197" s="5042">
        <f>DD198-DD196-DD195</f>
        <v>-13989</v>
      </c>
      <c r="DE197" s="691">
        <f>DE198-DE196-DE195</f>
        <v>-14109</v>
      </c>
      <c r="DF197" s="691">
        <f>DF198-DF196-DF195</f>
        <v>-14926</v>
      </c>
      <c r="DG197" s="691">
        <f>DG198-DG196-DG195</f>
        <v>-15087</v>
      </c>
      <c r="DH197" s="5052">
        <f>SUM(DD197:DG197)</f>
        <v>-58111</v>
      </c>
      <c r="DI197" s="6263">
        <f>DI198-DI196-DI195</f>
        <v>-15139</v>
      </c>
      <c r="DJ197" s="6264">
        <f>DJ198-DJ196-DJ195</f>
        <v>-17356</v>
      </c>
      <c r="DK197" s="6264">
        <f>DK198-DK196-DK195</f>
        <v>-17017</v>
      </c>
      <c r="DL197" s="6264">
        <f>DL198-DL196-DL195</f>
        <v>-16769</v>
      </c>
      <c r="DM197" s="5052">
        <f>SUM(DI197:DL197)</f>
        <v>-66281</v>
      </c>
      <c r="DN197" s="6263">
        <f>DN198-DN196-DN195</f>
        <v>-16996</v>
      </c>
      <c r="DO197" s="6264">
        <f>DO198-DO196-DO195</f>
        <v>-15064</v>
      </c>
      <c r="DP197" s="6264">
        <f>DP198-DP196-DP195</f>
        <v>-13513</v>
      </c>
      <c r="DQ197" s="5022">
        <f>CF!DQ39+CF!DQ40</f>
        <v>-15563.78052</v>
      </c>
      <c r="DR197" s="5052">
        <f>SUM(DN197:DQ197)</f>
        <v>-61136.78052</v>
      </c>
      <c r="DS197" s="5022">
        <f>CF!DS39+CF!DS40+CF!DS17</f>
        <v>-16564.235642079999</v>
      </c>
      <c r="DT197" s="5022">
        <f>CF!DT39+CF!DT40+CF!DT17</f>
        <v>-16564.692584648321</v>
      </c>
      <c r="DU197" s="5022">
        <f>CF!DU39+CF!DU40+CF!DU17</f>
        <v>-16565.151354986912</v>
      </c>
      <c r="DV197" s="5022">
        <f>CF!DV39+CF!DV40+CF!DV17</f>
        <v>-16565.611960406859</v>
      </c>
      <c r="DW197" s="5052">
        <f>SUM(DS197:DV197)</f>
        <v>-66259.691542122091</v>
      </c>
      <c r="DX197" s="5053">
        <f ca="1">CF!DX39+CF!DX40</f>
        <v>-75935.955252508284</v>
      </c>
      <c r="DY197" s="5053">
        <f ca="1">CF!DY39+CF!DY40</f>
        <v>-78325.540591953148</v>
      </c>
      <c r="DZ197" s="5053">
        <f ca="1">CF!DZ39+CF!DZ40</f>
        <v>-81786.355310753715</v>
      </c>
      <c r="EA197" s="5053">
        <f ca="1">CF!EA39+CF!EA40</f>
        <v>-85056.934152401664</v>
      </c>
      <c r="EC197" s="3683"/>
      <c r="ED197" s="3683"/>
    </row>
    <row r="198" spans="1:134" s="157" customFormat="1" ht="11.25" customHeight="1">
      <c r="A198" s="5330" t="s">
        <v>84</v>
      </c>
      <c r="B198" s="3186"/>
      <c r="C198" s="3186"/>
      <c r="D198" s="3186"/>
      <c r="E198" s="3187"/>
      <c r="F198" s="3186"/>
      <c r="G198" s="3186"/>
      <c r="H198" s="3186"/>
      <c r="I198" s="3187"/>
      <c r="J198" s="3188"/>
      <c r="K198" s="3186"/>
      <c r="L198" s="3186"/>
      <c r="M198" s="3187"/>
      <c r="N198" s="3186"/>
      <c r="O198" s="3186"/>
      <c r="P198" s="3186"/>
      <c r="Q198" s="3187"/>
      <c r="R198" s="3188">
        <f>R58</f>
        <v>0</v>
      </c>
      <c r="S198" s="3186">
        <f>SUM(S195:S197)</f>
        <v>32.167999999999992</v>
      </c>
      <c r="T198" s="3186">
        <f>SUM(T195:T197)</f>
        <v>52.59400000000003</v>
      </c>
      <c r="U198" s="3187">
        <f t="shared" ref="U198:AZ198" si="717">U59</f>
        <v>191.352</v>
      </c>
      <c r="V198" s="3189">
        <f t="shared" si="717"/>
        <v>255.32499999999999</v>
      </c>
      <c r="W198" s="3189">
        <f t="shared" si="717"/>
        <v>334.38799999999998</v>
      </c>
      <c r="X198" s="3189">
        <f t="shared" si="717"/>
        <v>386.37099999999998</v>
      </c>
      <c r="Y198" s="3187">
        <f t="shared" si="717"/>
        <v>590.471</v>
      </c>
      <c r="Z198" s="3189">
        <f t="shared" si="717"/>
        <v>959.66399999999999</v>
      </c>
      <c r="AA198" s="3189">
        <f t="shared" si="717"/>
        <v>1302.4780000000001</v>
      </c>
      <c r="AB198" s="3189">
        <f t="shared" si="717"/>
        <v>1683.66</v>
      </c>
      <c r="AC198" s="3187">
        <f t="shared" si="717"/>
        <v>2055.8679999999999</v>
      </c>
      <c r="AD198" s="3190">
        <f t="shared" si="717"/>
        <v>2648.1590000000001</v>
      </c>
      <c r="AE198" s="3189">
        <f t="shared" si="717"/>
        <v>3369.2359999999999</v>
      </c>
      <c r="AF198" s="3189">
        <f t="shared" si="717"/>
        <v>4102.5969999999998</v>
      </c>
      <c r="AG198" s="3187">
        <f t="shared" si="717"/>
        <v>5133.3140000000003</v>
      </c>
      <c r="AH198" s="3190">
        <f t="shared" si="717"/>
        <v>6128.3680000000004</v>
      </c>
      <c r="AI198" s="3189">
        <f t="shared" si="717"/>
        <v>7053.4889999999996</v>
      </c>
      <c r="AJ198" s="3189">
        <f t="shared" si="717"/>
        <v>8123.4780000000001</v>
      </c>
      <c r="AK198" s="3187">
        <f t="shared" si="717"/>
        <v>9334.7720000000008</v>
      </c>
      <c r="AL198" s="3190">
        <f t="shared" si="717"/>
        <v>10641.858</v>
      </c>
      <c r="AM198" s="3189">
        <f t="shared" si="717"/>
        <v>11889.249</v>
      </c>
      <c r="AN198" s="3189">
        <f t="shared" si="717"/>
        <v>13179.188</v>
      </c>
      <c r="AO198" s="3187">
        <f t="shared" si="717"/>
        <v>13561.63</v>
      </c>
      <c r="AP198" s="3190">
        <f t="shared" si="717"/>
        <v>14984.458000000001</v>
      </c>
      <c r="AQ198" s="3189">
        <f t="shared" si="717"/>
        <v>16469.003000000001</v>
      </c>
      <c r="AR198" s="3189">
        <f t="shared" si="717"/>
        <v>18107.977999999999</v>
      </c>
      <c r="AS198" s="3187">
        <f t="shared" si="717"/>
        <v>20082.078000000001</v>
      </c>
      <c r="AT198" s="3190">
        <f t="shared" si="717"/>
        <v>21949</v>
      </c>
      <c r="AU198" s="3189">
        <f t="shared" si="717"/>
        <v>23158</v>
      </c>
      <c r="AV198" s="3189">
        <f t="shared" si="717"/>
        <v>25324</v>
      </c>
      <c r="AW198" s="3187">
        <f t="shared" si="717"/>
        <v>27868</v>
      </c>
      <c r="AX198" s="3190">
        <f t="shared" si="717"/>
        <v>29666</v>
      </c>
      <c r="AY198" s="3189">
        <f t="shared" si="717"/>
        <v>32172</v>
      </c>
      <c r="AZ198" s="3189">
        <f t="shared" si="717"/>
        <v>34901</v>
      </c>
      <c r="BA198" s="3187">
        <f t="shared" ref="BA198:CH198" si="718">BA59</f>
        <v>37605</v>
      </c>
      <c r="BB198" s="3191">
        <f t="shared" si="718"/>
        <v>40495</v>
      </c>
      <c r="BC198" s="3189">
        <f t="shared" si="718"/>
        <v>43280</v>
      </c>
      <c r="BD198" s="3189">
        <f t="shared" si="718"/>
        <v>45456</v>
      </c>
      <c r="BE198" s="3187">
        <f t="shared" si="718"/>
        <v>48342</v>
      </c>
      <c r="BF198" s="3191">
        <f t="shared" si="718"/>
        <v>51688</v>
      </c>
      <c r="BG198" s="3189">
        <f t="shared" si="718"/>
        <v>54916</v>
      </c>
      <c r="BH198" s="3189">
        <f t="shared" si="718"/>
        <v>57886</v>
      </c>
      <c r="BI198" s="3192">
        <f t="shared" si="718"/>
        <v>61262</v>
      </c>
      <c r="BJ198" s="3193">
        <f t="shared" si="718"/>
        <v>61262</v>
      </c>
      <c r="BK198" s="3192">
        <f t="shared" si="718"/>
        <v>64714</v>
      </c>
      <c r="BL198" s="3189">
        <f t="shared" si="718"/>
        <v>68136</v>
      </c>
      <c r="BM198" s="3189">
        <f t="shared" si="718"/>
        <v>70949</v>
      </c>
      <c r="BN198" s="3187">
        <f t="shared" si="718"/>
        <v>75706</v>
      </c>
      <c r="BO198" s="3193">
        <f t="shared" si="718"/>
        <v>75706</v>
      </c>
      <c r="BP198" s="3189">
        <f t="shared" si="718"/>
        <v>79292</v>
      </c>
      <c r="BQ198" s="3189">
        <f t="shared" si="718"/>
        <v>81990</v>
      </c>
      <c r="BR198" s="3189">
        <f t="shared" si="718"/>
        <v>85969</v>
      </c>
      <c r="BS198" s="3187">
        <f t="shared" si="718"/>
        <v>89223</v>
      </c>
      <c r="BT198" s="3193">
        <f t="shared" si="718"/>
        <v>89223</v>
      </c>
      <c r="BU198" s="3191">
        <f t="shared" si="718"/>
        <v>91168</v>
      </c>
      <c r="BV198" s="3189">
        <f t="shared" si="718"/>
        <v>94737</v>
      </c>
      <c r="BW198" s="3189">
        <f t="shared" si="718"/>
        <v>99798</v>
      </c>
      <c r="BX198" s="3189">
        <f t="shared" si="718"/>
        <v>105131</v>
      </c>
      <c r="BY198" s="3193">
        <f t="shared" si="718"/>
        <v>105131</v>
      </c>
      <c r="BZ198" s="3191">
        <f t="shared" si="718"/>
        <v>109420</v>
      </c>
      <c r="CA198" s="3192">
        <f t="shared" si="718"/>
        <v>111505</v>
      </c>
      <c r="CB198" s="3192">
        <f t="shared" si="718"/>
        <v>118237</v>
      </c>
      <c r="CC198" s="3189">
        <f t="shared" si="718"/>
        <v>113247</v>
      </c>
      <c r="CD198" s="3193">
        <f t="shared" si="718"/>
        <v>113247</v>
      </c>
      <c r="CE198" s="3191">
        <f t="shared" si="718"/>
        <v>120008</v>
      </c>
      <c r="CF198" s="3587">
        <f t="shared" si="718"/>
        <v>121282</v>
      </c>
      <c r="CG198" s="3587">
        <f t="shared" si="718"/>
        <v>128405</v>
      </c>
      <c r="CH198" s="3587">
        <f t="shared" si="718"/>
        <v>134885</v>
      </c>
      <c r="CI198" s="3193">
        <f>SUM(CI195:CI197)</f>
        <v>134885</v>
      </c>
      <c r="CJ198" s="3191">
        <f>CJ59</f>
        <v>138720</v>
      </c>
      <c r="CK198" s="3587">
        <f>CK59</f>
        <v>145346</v>
      </c>
      <c r="CL198" s="3587">
        <f>CL59</f>
        <v>147125</v>
      </c>
      <c r="CM198" s="3587">
        <f>CM59</f>
        <v>152122</v>
      </c>
      <c r="CN198" s="5054">
        <f>SUM(CN195:CN197)</f>
        <v>152122</v>
      </c>
      <c r="CO198" s="5055">
        <f>CO59</f>
        <v>151068</v>
      </c>
      <c r="CP198" s="5056">
        <f>CP59</f>
        <v>151681</v>
      </c>
      <c r="CQ198" s="5056">
        <f>CQ59</f>
        <v>155567</v>
      </c>
      <c r="CR198" s="5056">
        <f>CR59</f>
        <v>163401</v>
      </c>
      <c r="CS198" s="5054">
        <f>SUM(CS195:CS197)</f>
        <v>163401</v>
      </c>
      <c r="CT198" s="5055">
        <f>CT59</f>
        <v>170580</v>
      </c>
      <c r="CU198" s="5056">
        <f>CU59</f>
        <v>176939</v>
      </c>
      <c r="CV198" s="5056">
        <f>CV59</f>
        <v>183782</v>
      </c>
      <c r="CW198" s="5056">
        <f>CW59</f>
        <v>191484</v>
      </c>
      <c r="CX198" s="5054">
        <f>SUM(CX195:CX197)</f>
        <v>191484</v>
      </c>
      <c r="CY198" s="5055">
        <f>CY59</f>
        <v>195221</v>
      </c>
      <c r="CZ198" s="5056">
        <f>CZ59</f>
        <v>196845</v>
      </c>
      <c r="DA198" s="5056">
        <f>DA59</f>
        <v>196220</v>
      </c>
      <c r="DB198" s="5056">
        <f>DB59</f>
        <v>195563</v>
      </c>
      <c r="DC198" s="5054">
        <f>SUM(DC195:DC197)</f>
        <v>195563</v>
      </c>
      <c r="DD198" s="5055">
        <f>DD59</f>
        <v>196625</v>
      </c>
      <c r="DE198" s="5056">
        <f>DE59</f>
        <v>200884</v>
      </c>
      <c r="DF198" s="5056">
        <f>DF59</f>
        <v>205647</v>
      </c>
      <c r="DG198" s="5056">
        <f>DG59</f>
        <v>211247</v>
      </c>
      <c r="DH198" s="5054">
        <f t="shared" ref="DH198:DY198" si="719">SUM(DH195:DH197)</f>
        <v>211247</v>
      </c>
      <c r="DI198" s="5055">
        <f>DI59</f>
        <v>219770</v>
      </c>
      <c r="DJ198" s="5056">
        <f>DJ59</f>
        <v>226033</v>
      </c>
      <c r="DK198" s="5056">
        <f>DK59</f>
        <v>235317</v>
      </c>
      <c r="DL198" s="5056">
        <f>DL59</f>
        <v>245084</v>
      </c>
      <c r="DM198" s="5054">
        <f t="shared" ref="DM198" si="720">SUM(DM195:DM197)</f>
        <v>245084</v>
      </c>
      <c r="DN198" s="5055">
        <f>DN59</f>
        <v>262628</v>
      </c>
      <c r="DO198" s="5056">
        <f>DO59</f>
        <v>275760</v>
      </c>
      <c r="DP198" s="5056">
        <f>DP59</f>
        <v>297226</v>
      </c>
      <c r="DQ198" s="5057">
        <f t="shared" ref="DQ198:DR198" ca="1" si="721">SUM(DQ195:DQ197)</f>
        <v>313443.02754247771</v>
      </c>
      <c r="DR198" s="5054">
        <f t="shared" ca="1" si="721"/>
        <v>313443.02754247771</v>
      </c>
      <c r="DS198" s="5057">
        <f t="shared" ref="DS198:DW198" ca="1" si="722">SUM(DS195:DS197)</f>
        <v>328470.11971095123</v>
      </c>
      <c r="DT198" s="5057">
        <f t="shared" ca="1" si="722"/>
        <v>344903.43112614291</v>
      </c>
      <c r="DU198" s="5057">
        <f t="shared" ca="1" si="722"/>
        <v>362240.35580090224</v>
      </c>
      <c r="DV198" s="5057">
        <f t="shared" ca="1" si="722"/>
        <v>382468.94771144039</v>
      </c>
      <c r="DW198" s="5054">
        <f t="shared" ca="1" si="722"/>
        <v>382468.94771144039</v>
      </c>
      <c r="DX198" s="5058">
        <f t="shared" ca="1" si="719"/>
        <v>457112.12601915805</v>
      </c>
      <c r="DY198" s="5058">
        <f t="shared" ca="1" si="719"/>
        <v>549617.79336836119</v>
      </c>
      <c r="DZ198" s="5058">
        <f t="shared" ref="DZ198:EA198" ca="1" si="723">SUM(DZ195:DZ197)</f>
        <v>661124.31255735666</v>
      </c>
      <c r="EA198" s="5058">
        <f t="shared" ca="1" si="723"/>
        <v>795421.25383813831</v>
      </c>
      <c r="EC198" s="3683"/>
      <c r="ED198" s="3683"/>
    </row>
    <row r="199" spans="1:134" s="404" customFormat="1" ht="11.25" customHeight="1">
      <c r="A199" s="1610"/>
      <c r="B199" s="844"/>
      <c r="C199" s="844"/>
      <c r="D199" s="844"/>
      <c r="E199" s="844"/>
      <c r="F199" s="844"/>
      <c r="G199" s="844"/>
      <c r="H199" s="844"/>
      <c r="I199" s="844"/>
      <c r="J199" s="844"/>
      <c r="K199" s="844"/>
      <c r="L199" s="844"/>
      <c r="M199" s="844"/>
      <c r="N199" s="844"/>
      <c r="O199" s="844"/>
      <c r="P199" s="844"/>
      <c r="Q199" s="844"/>
      <c r="R199" s="844"/>
      <c r="S199" s="844"/>
      <c r="T199" s="844"/>
      <c r="U199" s="620"/>
      <c r="V199" s="620"/>
      <c r="W199" s="620"/>
      <c r="X199" s="620"/>
      <c r="Y199" s="620"/>
      <c r="Z199" s="620"/>
      <c r="AA199" s="620"/>
      <c r="AB199" s="620"/>
      <c r="AC199" s="620"/>
      <c r="AD199" s="620"/>
      <c r="AE199" s="620"/>
      <c r="AF199" s="620"/>
      <c r="AG199" s="620"/>
      <c r="AH199" s="620"/>
      <c r="AI199" s="620"/>
      <c r="AJ199" s="620"/>
      <c r="AK199" s="620"/>
      <c r="AL199" s="620"/>
      <c r="AM199" s="620"/>
      <c r="AN199" s="620"/>
      <c r="AO199" s="620"/>
      <c r="AP199" s="620"/>
      <c r="AQ199" s="620"/>
      <c r="AR199" s="620"/>
      <c r="AS199" s="620"/>
      <c r="AT199" s="620"/>
      <c r="AU199" s="620"/>
      <c r="AV199" s="620"/>
      <c r="AW199" s="620"/>
      <c r="AX199" s="620"/>
      <c r="AY199" s="620"/>
      <c r="AZ199" s="620"/>
      <c r="BA199" s="620"/>
      <c r="BB199" s="620"/>
      <c r="BC199" s="620"/>
      <c r="BD199" s="620"/>
      <c r="BE199" s="620"/>
      <c r="BF199" s="620"/>
      <c r="BG199" s="620"/>
      <c r="BH199" s="620"/>
      <c r="BI199" s="620"/>
      <c r="BJ199" s="620"/>
      <c r="BK199" s="620"/>
      <c r="BL199" s="620"/>
      <c r="BM199" s="620"/>
      <c r="BN199" s="620"/>
      <c r="BO199" s="620"/>
      <c r="BP199" s="620"/>
      <c r="BQ199" s="620"/>
      <c r="BR199" s="620"/>
      <c r="BS199" s="620"/>
      <c r="BT199" s="620"/>
      <c r="BU199" s="620"/>
      <c r="BV199" s="620"/>
      <c r="BW199" s="620"/>
      <c r="BX199" s="620"/>
      <c r="BY199" s="620"/>
      <c r="BZ199" s="620"/>
      <c r="CA199" s="620"/>
      <c r="CB199" s="620"/>
      <c r="CC199" s="620"/>
      <c r="CD199" s="620"/>
      <c r="CE199" s="620"/>
      <c r="CF199" s="620"/>
      <c r="CG199" s="620"/>
      <c r="CH199" s="620"/>
      <c r="CI199" s="620"/>
      <c r="CJ199" s="620"/>
      <c r="CK199" s="620"/>
      <c r="CL199" s="620"/>
      <c r="CM199" s="620"/>
      <c r="CN199" s="4385"/>
      <c r="CO199" s="620"/>
      <c r="CP199" s="620"/>
      <c r="CQ199" s="620"/>
      <c r="CR199" s="620"/>
      <c r="CS199" s="4385"/>
      <c r="CT199" s="620"/>
      <c r="CU199" s="620"/>
      <c r="CV199" s="620"/>
      <c r="CW199" s="620"/>
      <c r="CX199" s="4385"/>
      <c r="CY199" s="620"/>
      <c r="CZ199" s="620"/>
      <c r="DA199" s="620"/>
      <c r="DB199" s="620"/>
      <c r="DC199" s="4385"/>
      <c r="DD199" s="620"/>
      <c r="DE199" s="620"/>
      <c r="DF199" s="620"/>
      <c r="DG199" s="620"/>
      <c r="DH199" s="4385"/>
      <c r="DI199" s="620"/>
      <c r="DJ199" s="620"/>
      <c r="DK199" s="620"/>
      <c r="DL199" s="620"/>
      <c r="DM199" s="4385"/>
      <c r="DN199" s="620"/>
      <c r="DO199" s="620"/>
      <c r="DP199" s="620"/>
      <c r="DQ199" s="620"/>
      <c r="DR199" s="4385"/>
      <c r="DS199" s="620"/>
      <c r="DT199" s="620"/>
      <c r="DU199" s="620"/>
      <c r="DV199" s="620"/>
      <c r="DW199" s="4385"/>
      <c r="DX199" s="620"/>
      <c r="DY199" s="620"/>
      <c r="DZ199" s="620"/>
      <c r="EA199" s="620"/>
      <c r="EC199" s="3683"/>
      <c r="ED199" s="3683"/>
    </row>
    <row r="200" spans="1:134" ht="11.25" customHeight="1">
      <c r="A200" s="1569" t="s">
        <v>337</v>
      </c>
      <c r="B200" s="31"/>
      <c r="C200" s="31"/>
      <c r="D200" s="31"/>
      <c r="E200" s="31"/>
      <c r="F200" s="31"/>
      <c r="G200" s="31"/>
      <c r="H200" s="31"/>
      <c r="I200" s="31"/>
      <c r="J200" s="31"/>
      <c r="K200" s="31"/>
      <c r="L200" s="31"/>
      <c r="M200" s="31"/>
      <c r="N200" s="31"/>
      <c r="O200" s="31"/>
      <c r="P200" s="31"/>
      <c r="Q200" s="31"/>
      <c r="R200" s="31"/>
      <c r="S200" s="31"/>
      <c r="T200" s="31"/>
      <c r="U200" s="32"/>
      <c r="V200" s="32"/>
      <c r="W200" s="32"/>
      <c r="X200" s="32"/>
      <c r="Y200" s="32"/>
      <c r="Z200" s="32"/>
      <c r="AA200" s="32"/>
      <c r="AB200" s="32"/>
      <c r="AC200" s="32"/>
      <c r="AD200" s="32"/>
      <c r="AE200" s="32"/>
      <c r="AF200" s="32"/>
      <c r="AG200" s="32"/>
      <c r="BE200" s="32"/>
      <c r="BI200" s="32"/>
      <c r="BJ200" s="32"/>
      <c r="BO200" s="32"/>
      <c r="BS200" s="32"/>
      <c r="BT200" s="32"/>
      <c r="BU200" s="32"/>
      <c r="BV200" s="32"/>
      <c r="BW200" s="32"/>
      <c r="BX200" s="32"/>
      <c r="BY200" s="32"/>
      <c r="BZ200" s="32"/>
      <c r="CC200" s="32"/>
      <c r="CD200" s="32"/>
      <c r="CE200" s="32"/>
      <c r="CH200" s="32"/>
      <c r="CI200" s="32"/>
      <c r="CN200" s="4349"/>
      <c r="CS200" s="4349"/>
      <c r="CX200" s="4349"/>
      <c r="DC200" s="4349"/>
      <c r="DH200" s="4349"/>
      <c r="DM200" s="4349"/>
      <c r="DR200" s="4349"/>
      <c r="DW200" s="4349"/>
      <c r="DX200" s="32"/>
      <c r="DY200" s="32"/>
      <c r="DZ200" s="32"/>
      <c r="EA200" s="32"/>
      <c r="EC200" s="3683"/>
      <c r="ED200" s="3683"/>
    </row>
    <row r="201" spans="1:134" ht="11.25" customHeight="1">
      <c r="BI201" s="543"/>
      <c r="BJ201" s="543"/>
      <c r="BK201" s="376"/>
      <c r="BL201" s="376"/>
      <c r="BM201" s="376"/>
      <c r="BN201" s="376"/>
      <c r="BO201" s="543"/>
      <c r="BP201" s="376"/>
      <c r="BQ201" s="376"/>
      <c r="BR201" s="376"/>
      <c r="BS201" s="543"/>
      <c r="BT201" s="543"/>
      <c r="BU201" s="543"/>
      <c r="BV201" s="543"/>
      <c r="BW201" s="543"/>
      <c r="BX201" s="543"/>
      <c r="BY201" s="543"/>
      <c r="BZ201" s="543"/>
      <c r="CA201" s="376"/>
      <c r="CB201" s="376"/>
      <c r="CC201" s="543"/>
      <c r="CD201" s="543"/>
      <c r="CE201" s="543"/>
      <c r="CF201" s="376"/>
      <c r="CG201" s="376"/>
      <c r="CH201" s="543"/>
      <c r="CI201" s="543"/>
      <c r="CJ201" s="376"/>
      <c r="CK201" s="376"/>
      <c r="CL201" s="376"/>
      <c r="CM201" s="376"/>
      <c r="CN201" s="4386"/>
      <c r="CO201" s="376"/>
      <c r="CP201" s="376"/>
      <c r="CQ201" s="376"/>
      <c r="CR201" s="376"/>
      <c r="CS201" s="4386"/>
      <c r="CT201" s="376"/>
      <c r="CU201" s="376"/>
      <c r="CV201" s="376"/>
      <c r="CW201" s="376"/>
      <c r="CX201" s="4386"/>
      <c r="CY201" s="376"/>
      <c r="CZ201" s="376"/>
      <c r="DA201" s="376"/>
      <c r="DB201" s="376"/>
      <c r="DC201" s="4386"/>
      <c r="DD201" s="376"/>
      <c r="DE201" s="376"/>
      <c r="DF201" s="376"/>
      <c r="DG201" s="376"/>
      <c r="DH201" s="4386"/>
      <c r="DI201" s="376"/>
      <c r="DJ201" s="376"/>
      <c r="DK201" s="376"/>
      <c r="DL201" s="376"/>
      <c r="DM201" s="4386"/>
      <c r="DN201" s="376"/>
      <c r="DO201" s="376"/>
      <c r="DP201" s="376"/>
      <c r="DQ201" s="376"/>
      <c r="DR201" s="4386"/>
      <c r="DS201" s="376"/>
      <c r="DT201" s="376"/>
      <c r="DU201" s="376"/>
      <c r="DV201" s="376"/>
      <c r="DW201" s="4386"/>
      <c r="DX201" s="543"/>
      <c r="DY201" s="543"/>
      <c r="DZ201" s="543"/>
      <c r="EA201" s="543"/>
      <c r="EC201" s="3683"/>
      <c r="ED201" s="3683"/>
    </row>
    <row r="202" spans="1:134" ht="11.25" customHeight="1">
      <c r="E202" s="1290" t="str">
        <f t="shared" ref="E202:AJ202" si="724">E6</f>
        <v>12/99A</v>
      </c>
      <c r="F202" s="1290" t="str">
        <f t="shared" si="724"/>
        <v>3/00A</v>
      </c>
      <c r="G202" s="1290" t="str">
        <f t="shared" si="724"/>
        <v>6/00A</v>
      </c>
      <c r="H202" s="1290" t="str">
        <f t="shared" si="724"/>
        <v>9/00A</v>
      </c>
      <c r="I202" s="1290" t="str">
        <f t="shared" si="724"/>
        <v>12/00A</v>
      </c>
      <c r="J202" s="1290" t="str">
        <f t="shared" si="724"/>
        <v>3/01A</v>
      </c>
      <c r="K202" s="1290" t="str">
        <f t="shared" si="724"/>
        <v>6/01A</v>
      </c>
      <c r="L202" s="1290" t="str">
        <f t="shared" si="724"/>
        <v>9/01A</v>
      </c>
      <c r="M202" s="1290" t="str">
        <f t="shared" si="724"/>
        <v>12/01A</v>
      </c>
      <c r="N202" s="1290" t="str">
        <f t="shared" si="724"/>
        <v>3/02A</v>
      </c>
      <c r="O202" s="1290" t="str">
        <f t="shared" si="724"/>
        <v>6/02A</v>
      </c>
      <c r="P202" s="1290" t="str">
        <f t="shared" si="724"/>
        <v>9/02A</v>
      </c>
      <c r="Q202" s="1290" t="str">
        <f t="shared" si="724"/>
        <v>12/02A</v>
      </c>
      <c r="R202" s="1290" t="str">
        <f t="shared" si="724"/>
        <v>3/03A</v>
      </c>
      <c r="S202" s="1290" t="str">
        <f t="shared" si="724"/>
        <v>6/03A</v>
      </c>
      <c r="T202" s="1290" t="str">
        <f t="shared" si="724"/>
        <v>9/03A</v>
      </c>
      <c r="U202" s="1290" t="str">
        <f t="shared" si="724"/>
        <v>12/03A</v>
      </c>
      <c r="V202" s="1290" t="str">
        <f t="shared" si="724"/>
        <v>3/04A</v>
      </c>
      <c r="W202" s="1290" t="str">
        <f t="shared" si="724"/>
        <v>6/04A</v>
      </c>
      <c r="X202" s="1290" t="str">
        <f t="shared" si="724"/>
        <v>9/04A</v>
      </c>
      <c r="Y202" s="1290" t="str">
        <f t="shared" si="724"/>
        <v>12/04A</v>
      </c>
      <c r="Z202" s="1290" t="str">
        <f t="shared" si="724"/>
        <v>3/05A</v>
      </c>
      <c r="AA202" s="1290" t="str">
        <f t="shared" si="724"/>
        <v>6/05A</v>
      </c>
      <c r="AB202" s="1290" t="str">
        <f t="shared" si="724"/>
        <v>9/05A</v>
      </c>
      <c r="AC202" s="1290" t="str">
        <f t="shared" si="724"/>
        <v>12/05A</v>
      </c>
      <c r="AD202" s="1290" t="str">
        <f t="shared" si="724"/>
        <v>3/06A</v>
      </c>
      <c r="AE202" s="1290" t="str">
        <f t="shared" si="724"/>
        <v>6/06A</v>
      </c>
      <c r="AF202" s="1290" t="str">
        <f t="shared" si="724"/>
        <v>9/06A</v>
      </c>
      <c r="AG202" s="1290" t="str">
        <f t="shared" si="724"/>
        <v>12/06A</v>
      </c>
      <c r="AH202" s="1290" t="str">
        <f t="shared" si="724"/>
        <v>3/07A</v>
      </c>
      <c r="AI202" s="1290" t="str">
        <f t="shared" si="724"/>
        <v>6/07A</v>
      </c>
      <c r="AJ202" s="1290" t="str">
        <f t="shared" si="724"/>
        <v>9/07A</v>
      </c>
      <c r="AK202" s="1290" t="str">
        <f t="shared" ref="AK202:BP202" si="725">AK6</f>
        <v>12/07A</v>
      </c>
      <c r="AL202" s="1290" t="str">
        <f t="shared" si="725"/>
        <v>3/08A</v>
      </c>
      <c r="AM202" s="1290" t="str">
        <f t="shared" si="725"/>
        <v>6/08A</v>
      </c>
      <c r="AN202" s="1290" t="str">
        <f t="shared" si="725"/>
        <v>9/08A</v>
      </c>
      <c r="AO202" s="1290" t="str">
        <f t="shared" si="725"/>
        <v>12/08A</v>
      </c>
      <c r="AP202" s="1290" t="str">
        <f t="shared" si="725"/>
        <v>3/09A</v>
      </c>
      <c r="AQ202" s="1290" t="str">
        <f t="shared" si="725"/>
        <v>6/09A</v>
      </c>
      <c r="AR202" s="1290" t="str">
        <f t="shared" si="725"/>
        <v>9/09A</v>
      </c>
      <c r="AS202" s="1290" t="str">
        <f t="shared" si="725"/>
        <v>12/09A</v>
      </c>
      <c r="AT202" s="1290" t="str">
        <f t="shared" si="725"/>
        <v>3/10A</v>
      </c>
      <c r="AU202" s="1290" t="str">
        <f t="shared" si="725"/>
        <v>6/10A</v>
      </c>
      <c r="AV202" s="1290" t="str">
        <f t="shared" si="725"/>
        <v>9/10A</v>
      </c>
      <c r="AW202" s="1290" t="str">
        <f t="shared" si="725"/>
        <v>12/10A</v>
      </c>
      <c r="AX202" s="1290" t="str">
        <f t="shared" si="725"/>
        <v>3/11A</v>
      </c>
      <c r="AY202" s="1290" t="str">
        <f t="shared" si="725"/>
        <v>6/11A</v>
      </c>
      <c r="AZ202" s="1290" t="str">
        <f t="shared" si="725"/>
        <v>9/11A</v>
      </c>
      <c r="BA202" s="1290" t="str">
        <f t="shared" si="725"/>
        <v>12/11A</v>
      </c>
      <c r="BB202" s="1290" t="str">
        <f t="shared" si="725"/>
        <v>3/12A</v>
      </c>
      <c r="BC202" s="1290" t="str">
        <f t="shared" si="725"/>
        <v>6/12A</v>
      </c>
      <c r="BD202" s="1290" t="str">
        <f t="shared" si="725"/>
        <v>9/12A</v>
      </c>
      <c r="BE202" s="1290" t="str">
        <f t="shared" si="725"/>
        <v>12/12A</v>
      </c>
      <c r="BF202" s="1290" t="str">
        <f t="shared" si="725"/>
        <v>3/13A</v>
      </c>
      <c r="BG202" s="1290" t="str">
        <f t="shared" si="725"/>
        <v>6/13A</v>
      </c>
      <c r="BH202" s="1290" t="str">
        <f t="shared" si="725"/>
        <v>9/13A</v>
      </c>
      <c r="BI202" s="1290" t="str">
        <f t="shared" si="725"/>
        <v>12/13A</v>
      </c>
      <c r="BJ202" s="1290" t="str">
        <f t="shared" si="725"/>
        <v>2013A</v>
      </c>
      <c r="BK202" s="1290" t="str">
        <f t="shared" si="725"/>
        <v>3/14A</v>
      </c>
      <c r="BL202" s="1290" t="str">
        <f t="shared" si="725"/>
        <v>6/14A</v>
      </c>
      <c r="BM202" s="1290" t="str">
        <f t="shared" si="725"/>
        <v>9/14A</v>
      </c>
      <c r="BN202" s="1290" t="str">
        <f t="shared" si="725"/>
        <v>12/14A</v>
      </c>
      <c r="BO202" s="1290" t="str">
        <f t="shared" si="725"/>
        <v>2014A</v>
      </c>
      <c r="BP202" s="1290" t="str">
        <f t="shared" si="725"/>
        <v>3/15A</v>
      </c>
      <c r="BQ202" s="1290" t="str">
        <f t="shared" ref="BQ202:CV202" si="726">BQ6</f>
        <v>6/15A</v>
      </c>
      <c r="BR202" s="1290" t="str">
        <f t="shared" si="726"/>
        <v>9/15A</v>
      </c>
      <c r="BS202" s="1290" t="str">
        <f t="shared" si="726"/>
        <v>12/15A</v>
      </c>
      <c r="BT202" s="1290" t="str">
        <f t="shared" si="726"/>
        <v>2015A</v>
      </c>
      <c r="BU202" s="1290" t="str">
        <f t="shared" si="726"/>
        <v>3/16A</v>
      </c>
      <c r="BV202" s="1290" t="str">
        <f t="shared" si="726"/>
        <v>6/16A</v>
      </c>
      <c r="BW202" s="1290" t="str">
        <f t="shared" si="726"/>
        <v>9/16A</v>
      </c>
      <c r="BX202" s="1290" t="str">
        <f t="shared" si="726"/>
        <v>12/16A</v>
      </c>
      <c r="BY202" s="1290" t="str">
        <f t="shared" si="726"/>
        <v>2016A</v>
      </c>
      <c r="BZ202" s="1290" t="str">
        <f t="shared" si="726"/>
        <v>3/17A</v>
      </c>
      <c r="CA202" s="1290" t="str">
        <f t="shared" si="726"/>
        <v>6/17A</v>
      </c>
      <c r="CB202" s="1290" t="str">
        <f t="shared" si="726"/>
        <v>9/17A</v>
      </c>
      <c r="CC202" s="1290" t="str">
        <f t="shared" si="726"/>
        <v>12/17A</v>
      </c>
      <c r="CD202" s="1290" t="str">
        <f t="shared" si="726"/>
        <v>2017A</v>
      </c>
      <c r="CE202" s="1290" t="str">
        <f t="shared" si="726"/>
        <v>3/18A</v>
      </c>
      <c r="CF202" s="1290" t="str">
        <f t="shared" si="726"/>
        <v>6/18A</v>
      </c>
      <c r="CG202" s="1290" t="str">
        <f t="shared" si="726"/>
        <v>9/18A</v>
      </c>
      <c r="CH202" s="1290" t="str">
        <f t="shared" si="726"/>
        <v>12/18A</v>
      </c>
      <c r="CI202" s="1290" t="str">
        <f t="shared" si="726"/>
        <v>2018A</v>
      </c>
      <c r="CJ202" s="1290" t="str">
        <f t="shared" si="726"/>
        <v>3/19A</v>
      </c>
      <c r="CK202" s="1290" t="str">
        <f t="shared" si="726"/>
        <v>6/19A</v>
      </c>
      <c r="CL202" s="1290" t="str">
        <f t="shared" si="726"/>
        <v>9/19A</v>
      </c>
      <c r="CM202" s="1290" t="str">
        <f t="shared" si="726"/>
        <v>12/19A</v>
      </c>
      <c r="CN202" s="4387" t="str">
        <f t="shared" si="726"/>
        <v>2019A</v>
      </c>
      <c r="CO202" s="4312" t="str">
        <f t="shared" si="726"/>
        <v>3/20A</v>
      </c>
      <c r="CP202" s="4312" t="str">
        <f t="shared" si="726"/>
        <v>6/20A</v>
      </c>
      <c r="CQ202" s="4312" t="str">
        <f t="shared" si="726"/>
        <v>9/20A</v>
      </c>
      <c r="CR202" s="4312" t="str">
        <f t="shared" si="726"/>
        <v>12/20A</v>
      </c>
      <c r="CS202" s="4387" t="str">
        <f t="shared" si="726"/>
        <v>2020A</v>
      </c>
      <c r="CT202" s="4312" t="str">
        <f t="shared" si="726"/>
        <v>3/21A</v>
      </c>
      <c r="CU202" s="4312" t="str">
        <f t="shared" si="726"/>
        <v>6/21A</v>
      </c>
      <c r="CV202" s="4312" t="str">
        <f t="shared" si="726"/>
        <v>9/21A</v>
      </c>
      <c r="CW202" s="4312" t="str">
        <f t="shared" ref="CW202:EA202" si="727">CW6</f>
        <v>12/21A</v>
      </c>
      <c r="CX202" s="4387" t="str">
        <f t="shared" si="727"/>
        <v>2021A</v>
      </c>
      <c r="CY202" s="4312" t="str">
        <f t="shared" si="727"/>
        <v>3/22A</v>
      </c>
      <c r="CZ202" s="4312" t="str">
        <f t="shared" si="727"/>
        <v>6/22A</v>
      </c>
      <c r="DA202" s="4312" t="str">
        <f t="shared" si="727"/>
        <v>9/22A</v>
      </c>
      <c r="DB202" s="4312" t="str">
        <f t="shared" si="727"/>
        <v>12/22A</v>
      </c>
      <c r="DC202" s="4387" t="str">
        <f t="shared" si="727"/>
        <v>2022A</v>
      </c>
      <c r="DD202" s="4312" t="str">
        <f t="shared" si="727"/>
        <v>3/23A</v>
      </c>
      <c r="DE202" s="4312" t="str">
        <f t="shared" si="727"/>
        <v>6/23A</v>
      </c>
      <c r="DF202" s="4312" t="str">
        <f t="shared" si="727"/>
        <v>9/23A</v>
      </c>
      <c r="DG202" s="4312" t="str">
        <f t="shared" si="727"/>
        <v>12/23A</v>
      </c>
      <c r="DH202" s="4387" t="str">
        <f t="shared" si="727"/>
        <v>2023A</v>
      </c>
      <c r="DI202" s="4312" t="str">
        <f t="shared" si="727"/>
        <v>3/24A</v>
      </c>
      <c r="DJ202" s="4312" t="str">
        <f t="shared" si="727"/>
        <v>6/24A</v>
      </c>
      <c r="DK202" s="4312" t="str">
        <f t="shared" si="727"/>
        <v>9/24A</v>
      </c>
      <c r="DL202" s="4312" t="str">
        <f t="shared" si="727"/>
        <v>12/24A</v>
      </c>
      <c r="DM202" s="4387" t="str">
        <f t="shared" si="727"/>
        <v>2024A</v>
      </c>
      <c r="DN202" s="4312" t="str">
        <f t="shared" si="727"/>
        <v>3/25A</v>
      </c>
      <c r="DO202" s="4312" t="str">
        <f t="shared" si="727"/>
        <v>6/25A</v>
      </c>
      <c r="DP202" s="4312" t="str">
        <f t="shared" si="727"/>
        <v>9/25A</v>
      </c>
      <c r="DQ202" s="4312" t="str">
        <f t="shared" si="727"/>
        <v>12/25E</v>
      </c>
      <c r="DR202" s="4387" t="str">
        <f t="shared" si="727"/>
        <v>2025E</v>
      </c>
      <c r="DS202" s="4312" t="str">
        <f t="shared" si="727"/>
        <v>3/26E</v>
      </c>
      <c r="DT202" s="4312" t="str">
        <f t="shared" si="727"/>
        <v>6/26E</v>
      </c>
      <c r="DU202" s="4312" t="str">
        <f t="shared" si="727"/>
        <v>9/26E</v>
      </c>
      <c r="DV202" s="4312" t="str">
        <f t="shared" si="727"/>
        <v>12/26E</v>
      </c>
      <c r="DW202" s="4387" t="str">
        <f t="shared" si="727"/>
        <v>2026E</v>
      </c>
      <c r="DX202" s="1290" t="str">
        <f t="shared" si="727"/>
        <v>2027E</v>
      </c>
      <c r="DY202" s="1290" t="str">
        <f t="shared" si="727"/>
        <v>2028E</v>
      </c>
      <c r="DZ202" s="1290" t="str">
        <f t="shared" si="727"/>
        <v>2029E</v>
      </c>
      <c r="EA202" s="1290" t="str">
        <f t="shared" si="727"/>
        <v>2030E</v>
      </c>
      <c r="EC202" s="3683"/>
      <c r="ED202" s="3683"/>
    </row>
    <row r="203" spans="1:134" s="31" customFormat="1" ht="11.25" customHeight="1">
      <c r="A203" s="3194" t="s">
        <v>400</v>
      </c>
      <c r="B203" s="3195"/>
      <c r="C203" s="3195"/>
      <c r="D203" s="3195"/>
      <c r="E203" s="3196"/>
      <c r="F203" s="3195"/>
      <c r="G203" s="3195"/>
      <c r="H203" s="3195"/>
      <c r="I203" s="3196"/>
      <c r="J203" s="3197"/>
      <c r="K203" s="3195"/>
      <c r="L203" s="3195"/>
      <c r="M203" s="3196"/>
      <c r="N203" s="3197"/>
      <c r="O203" s="3195"/>
      <c r="P203" s="3195"/>
      <c r="Q203" s="3196"/>
      <c r="R203" s="3195"/>
      <c r="S203" s="3195"/>
      <c r="T203" s="3195"/>
      <c r="U203" s="3196"/>
      <c r="V203" s="3198"/>
      <c r="W203" s="3199"/>
      <c r="X203" s="3199"/>
      <c r="Y203" s="3196"/>
      <c r="Z203" s="3199"/>
      <c r="AA203" s="3199"/>
      <c r="AB203" s="3199"/>
      <c r="AC203" s="3196"/>
      <c r="AD203" s="3198"/>
      <c r="AE203" s="3199"/>
      <c r="AF203" s="3199"/>
      <c r="AG203" s="3196"/>
      <c r="AH203" s="3199"/>
      <c r="AI203" s="3199"/>
      <c r="AJ203" s="3199"/>
      <c r="AK203" s="3196"/>
      <c r="AL203" s="3199"/>
      <c r="AM203" s="3199"/>
      <c r="AN203" s="3199"/>
      <c r="AO203" s="3196"/>
      <c r="AP203" s="3199"/>
      <c r="AQ203" s="3199"/>
      <c r="AR203" s="3199"/>
      <c r="AS203" s="3196"/>
      <c r="AT203" s="3199"/>
      <c r="AU203" s="3200"/>
      <c r="AV203" s="3199"/>
      <c r="AW203" s="3196"/>
      <c r="AX203" s="3199"/>
      <c r="AY203" s="3200"/>
      <c r="AZ203" s="3199"/>
      <c r="BA203" s="3196"/>
      <c r="BB203" s="3199"/>
      <c r="BC203" s="3200"/>
      <c r="BD203" s="3200"/>
      <c r="BE203" s="3196"/>
      <c r="BF203" s="3199"/>
      <c r="BG203" s="3200"/>
      <c r="BH203" s="3200"/>
      <c r="BI203" s="3196"/>
      <c r="BJ203" s="3201"/>
      <c r="BK203" s="3200"/>
      <c r="BL203" s="3200"/>
      <c r="BM203" s="3200"/>
      <c r="BN203" s="3196"/>
      <c r="BO203" s="3201"/>
      <c r="BP203" s="3200"/>
      <c r="BQ203" s="3200"/>
      <c r="BR203" s="3200"/>
      <c r="BS203" s="3196"/>
      <c r="BT203" s="3201"/>
      <c r="BU203" s="3200"/>
      <c r="BV203" s="3200"/>
      <c r="BW203" s="3200"/>
      <c r="BX203" s="3200"/>
      <c r="BY203" s="3201"/>
      <c r="BZ203" s="3200"/>
      <c r="CA203" s="3200"/>
      <c r="CB203" s="3200"/>
      <c r="CC203" s="3196"/>
      <c r="CD203" s="3201"/>
      <c r="CE203" s="3200"/>
      <c r="CF203" s="3200"/>
      <c r="CG203" s="3200"/>
      <c r="CH203" s="3196"/>
      <c r="CI203" s="3201"/>
      <c r="CJ203" s="3991"/>
      <c r="CK203" s="3991"/>
      <c r="CL203" s="3991"/>
      <c r="CM203" s="3992"/>
      <c r="CN203" s="4388"/>
      <c r="CO203" s="3991"/>
      <c r="CP203" s="3991"/>
      <c r="CQ203" s="3991"/>
      <c r="CR203" s="3992"/>
      <c r="CS203" s="4388"/>
      <c r="CT203" s="3991"/>
      <c r="CU203" s="3991"/>
      <c r="CV203" s="3991"/>
      <c r="CW203" s="3991"/>
      <c r="CX203" s="4388"/>
      <c r="CY203" s="3991"/>
      <c r="CZ203" s="3991"/>
      <c r="DA203" s="3991"/>
      <c r="DB203" s="3991"/>
      <c r="DC203" s="4388"/>
      <c r="DD203" s="3991"/>
      <c r="DE203" s="3991"/>
      <c r="DF203" s="3991"/>
      <c r="DG203" s="3991"/>
      <c r="DH203" s="4388"/>
      <c r="DI203" s="3991"/>
      <c r="DJ203" s="3991"/>
      <c r="DK203" s="3991"/>
      <c r="DL203" s="3991"/>
      <c r="DM203" s="4388"/>
      <c r="DN203" s="3991"/>
      <c r="DO203" s="3991"/>
      <c r="DP203" s="3991"/>
      <c r="DQ203" s="3991"/>
      <c r="DR203" s="4388"/>
      <c r="DS203" s="3991"/>
      <c r="DT203" s="3991"/>
      <c r="DU203" s="3991"/>
      <c r="DV203" s="3991"/>
      <c r="DW203" s="4388"/>
      <c r="DX203" s="3201"/>
      <c r="DY203" s="3201"/>
      <c r="DZ203" s="3201"/>
      <c r="EA203" s="3201"/>
      <c r="EC203" s="3683"/>
      <c r="ED203" s="3683"/>
    </row>
    <row r="204" spans="1:134" s="31" customFormat="1" ht="11.25" customHeight="1">
      <c r="A204" s="1611" t="s">
        <v>401</v>
      </c>
      <c r="B204" s="36"/>
      <c r="C204" s="36"/>
      <c r="D204" s="36"/>
      <c r="E204" s="484"/>
      <c r="F204" s="1282"/>
      <c r="G204" s="36"/>
      <c r="H204" s="36"/>
      <c r="I204" s="484"/>
      <c r="J204" s="1283"/>
      <c r="K204" s="37"/>
      <c r="L204" s="37"/>
      <c r="M204" s="484"/>
      <c r="N204" s="37"/>
      <c r="O204" s="37"/>
      <c r="P204" s="37"/>
      <c r="Q204" s="484"/>
      <c r="R204" s="1284"/>
      <c r="S204" s="95"/>
      <c r="T204" s="95"/>
      <c r="U204" s="484"/>
      <c r="V204" s="1285"/>
      <c r="W204" s="43"/>
      <c r="X204" s="43"/>
      <c r="Y204" s="484"/>
      <c r="Z204" s="1285"/>
      <c r="AA204" s="43"/>
      <c r="AB204" s="43"/>
      <c r="AC204" s="484"/>
      <c r="AD204" s="1285"/>
      <c r="AE204" s="43"/>
      <c r="AF204" s="43"/>
      <c r="AG204" s="484"/>
      <c r="AH204" s="1285"/>
      <c r="AI204" s="43"/>
      <c r="AJ204" s="43"/>
      <c r="AK204" s="484"/>
      <c r="AL204" s="1285"/>
      <c r="AM204" s="43"/>
      <c r="AN204" s="43"/>
      <c r="AO204" s="484"/>
      <c r="AP204" s="43"/>
      <c r="AQ204" s="43"/>
      <c r="AR204" s="43"/>
      <c r="AS204" s="484"/>
      <c r="AT204" s="1285"/>
      <c r="AU204" s="43"/>
      <c r="AV204" s="43"/>
      <c r="AW204" s="484"/>
      <c r="AX204" s="1285"/>
      <c r="AY204" s="43"/>
      <c r="AZ204" s="43"/>
      <c r="BA204" s="484"/>
      <c r="BB204" s="1286"/>
      <c r="BC204" s="43"/>
      <c r="BD204" s="43"/>
      <c r="BE204" s="484"/>
      <c r="BF204" s="1286"/>
      <c r="BG204" s="43"/>
      <c r="BH204" s="537">
        <v>1000</v>
      </c>
      <c r="BI204" s="851">
        <v>1000</v>
      </c>
      <c r="BJ204" s="1430"/>
      <c r="BK204" s="1429">
        <v>1000</v>
      </c>
      <c r="BL204" s="537"/>
      <c r="BM204" s="537"/>
      <c r="BN204" s="537"/>
      <c r="BO204" s="1430"/>
      <c r="BP204" s="1429"/>
      <c r="BQ204" s="537"/>
      <c r="BR204" s="537">
        <v>1000</v>
      </c>
      <c r="BS204" s="537">
        <v>1000</v>
      </c>
      <c r="BT204" s="1430"/>
      <c r="BU204" s="1429">
        <f>BU35</f>
        <v>3221</v>
      </c>
      <c r="BV204" s="537">
        <f>BV35</f>
        <v>2219</v>
      </c>
      <c r="BW204" s="537">
        <f>BW35</f>
        <v>0</v>
      </c>
      <c r="BX204" s="537">
        <f>BX35</f>
        <v>0</v>
      </c>
      <c r="BY204" s="1430"/>
      <c r="BZ204" s="537">
        <f>BZ35</f>
        <v>0</v>
      </c>
      <c r="CA204" s="537">
        <f>CA35</f>
        <v>0</v>
      </c>
      <c r="CB204" s="537">
        <f>CB35</f>
        <v>0</v>
      </c>
      <c r="CC204" s="537">
        <f>CC35</f>
        <v>0</v>
      </c>
      <c r="CD204" s="1430"/>
      <c r="CE204" s="537">
        <f>CE35</f>
        <v>1329</v>
      </c>
      <c r="CF204" s="537">
        <f>CF35</f>
        <v>0</v>
      </c>
      <c r="CG204" s="537">
        <f>CG35</f>
        <v>0</v>
      </c>
      <c r="CH204" s="537">
        <f>CH35</f>
        <v>0</v>
      </c>
      <c r="CI204" s="1430"/>
      <c r="CJ204" s="537">
        <f t="shared" ref="CJ204:EA204" si="728">CJ35</f>
        <v>0</v>
      </c>
      <c r="CK204" s="537">
        <f t="shared" si="728"/>
        <v>0</v>
      </c>
      <c r="CL204" s="537">
        <f t="shared" si="728"/>
        <v>0</v>
      </c>
      <c r="CM204" s="537">
        <f t="shared" si="728"/>
        <v>0</v>
      </c>
      <c r="CN204" s="4389">
        <f t="shared" si="728"/>
        <v>0</v>
      </c>
      <c r="CO204" s="537">
        <f t="shared" si="728"/>
        <v>0</v>
      </c>
      <c r="CP204" s="537">
        <f t="shared" si="728"/>
        <v>0</v>
      </c>
      <c r="CQ204" s="537">
        <f t="shared" si="728"/>
        <v>0</v>
      </c>
      <c r="CR204" s="537">
        <f t="shared" si="728"/>
        <v>0</v>
      </c>
      <c r="CS204" s="4389">
        <f t="shared" si="728"/>
        <v>0</v>
      </c>
      <c r="CT204" s="537">
        <f t="shared" si="728"/>
        <v>0</v>
      </c>
      <c r="CU204" s="537">
        <f t="shared" si="728"/>
        <v>0</v>
      </c>
      <c r="CV204" s="537">
        <f t="shared" si="728"/>
        <v>0</v>
      </c>
      <c r="CW204" s="537">
        <f t="shared" si="728"/>
        <v>0</v>
      </c>
      <c r="CX204" s="4389">
        <f t="shared" si="728"/>
        <v>0</v>
      </c>
      <c r="CY204" s="537">
        <f t="shared" si="728"/>
        <v>0</v>
      </c>
      <c r="CZ204" s="537">
        <f t="shared" si="728"/>
        <v>0</v>
      </c>
      <c r="DA204" s="537">
        <f t="shared" si="728"/>
        <v>0</v>
      </c>
      <c r="DB204" s="537">
        <f t="shared" si="728"/>
        <v>0</v>
      </c>
      <c r="DC204" s="4389">
        <f t="shared" si="728"/>
        <v>0</v>
      </c>
      <c r="DD204" s="537">
        <f t="shared" si="728"/>
        <v>0</v>
      </c>
      <c r="DE204" s="537">
        <f t="shared" si="728"/>
        <v>0</v>
      </c>
      <c r="DF204" s="537">
        <f t="shared" si="728"/>
        <v>0</v>
      </c>
      <c r="DG204" s="537">
        <f t="shared" si="728"/>
        <v>0</v>
      </c>
      <c r="DH204" s="4389">
        <f t="shared" si="728"/>
        <v>0</v>
      </c>
      <c r="DI204" s="537">
        <f t="shared" si="728"/>
        <v>0</v>
      </c>
      <c r="DJ204" s="537">
        <f t="shared" si="728"/>
        <v>0</v>
      </c>
      <c r="DK204" s="537">
        <f t="shared" si="728"/>
        <v>0</v>
      </c>
      <c r="DL204" s="537">
        <f t="shared" si="728"/>
        <v>0</v>
      </c>
      <c r="DM204" s="4389">
        <f t="shared" si="728"/>
        <v>0</v>
      </c>
      <c r="DN204" s="537">
        <f t="shared" si="728"/>
        <v>0</v>
      </c>
      <c r="DO204" s="537">
        <f t="shared" si="728"/>
        <v>0</v>
      </c>
      <c r="DP204" s="537">
        <f t="shared" si="728"/>
        <v>0</v>
      </c>
      <c r="DQ204" s="537">
        <f t="shared" si="728"/>
        <v>0</v>
      </c>
      <c r="DR204" s="4389">
        <f t="shared" si="728"/>
        <v>0</v>
      </c>
      <c r="DS204" s="537">
        <f t="shared" si="728"/>
        <v>0</v>
      </c>
      <c r="DT204" s="537">
        <f t="shared" si="728"/>
        <v>0</v>
      </c>
      <c r="DU204" s="537">
        <f t="shared" si="728"/>
        <v>0</v>
      </c>
      <c r="DV204" s="537">
        <f t="shared" si="728"/>
        <v>0</v>
      </c>
      <c r="DW204" s="4389">
        <f t="shared" si="728"/>
        <v>0</v>
      </c>
      <c r="DX204" s="1430">
        <f t="shared" si="728"/>
        <v>0</v>
      </c>
      <c r="DY204" s="1430">
        <f t="shared" si="728"/>
        <v>0</v>
      </c>
      <c r="DZ204" s="1430">
        <f t="shared" si="728"/>
        <v>0</v>
      </c>
      <c r="EA204" s="1430">
        <f t="shared" si="728"/>
        <v>0</v>
      </c>
      <c r="EC204" s="3683"/>
      <c r="ED204" s="3683"/>
    </row>
    <row r="205" spans="1:134" s="31" customFormat="1" ht="11.25" customHeight="1">
      <c r="A205" s="1612" t="s">
        <v>360</v>
      </c>
      <c r="B205" s="36"/>
      <c r="C205" s="36"/>
      <c r="D205" s="36"/>
      <c r="E205" s="484"/>
      <c r="F205" s="1282"/>
      <c r="G205" s="36"/>
      <c r="H205" s="36"/>
      <c r="I205" s="484"/>
      <c r="J205" s="1283"/>
      <c r="K205" s="37"/>
      <c r="L205" s="37"/>
      <c r="M205" s="484"/>
      <c r="N205" s="37"/>
      <c r="O205" s="37"/>
      <c r="P205" s="37"/>
      <c r="Q205" s="484"/>
      <c r="R205" s="1284"/>
      <c r="S205" s="95"/>
      <c r="T205" s="95"/>
      <c r="U205" s="484"/>
      <c r="V205" s="1285"/>
      <c r="W205" s="43"/>
      <c r="X205" s="43"/>
      <c r="Y205" s="484"/>
      <c r="Z205" s="1285"/>
      <c r="AA205" s="43"/>
      <c r="AB205" s="43"/>
      <c r="AC205" s="484"/>
      <c r="AD205" s="1285"/>
      <c r="AE205" s="43"/>
      <c r="AF205" s="43"/>
      <c r="AG205" s="484"/>
      <c r="AH205" s="1285"/>
      <c r="AI205" s="43"/>
      <c r="AJ205" s="43"/>
      <c r="AK205" s="484"/>
      <c r="AL205" s="1285"/>
      <c r="AM205" s="43"/>
      <c r="AN205" s="43"/>
      <c r="AO205" s="484"/>
      <c r="AP205" s="43"/>
      <c r="AQ205" s="43"/>
      <c r="AR205" s="43"/>
      <c r="AS205" s="484"/>
      <c r="AT205" s="1285"/>
      <c r="AU205" s="43"/>
      <c r="AV205" s="43"/>
      <c r="AW205" s="484"/>
      <c r="AX205" s="1285"/>
      <c r="AY205" s="43"/>
      <c r="AZ205" s="43"/>
      <c r="BA205" s="484"/>
      <c r="BB205" s="1287"/>
      <c r="BC205" s="43"/>
      <c r="BD205" s="43"/>
      <c r="BE205" s="484"/>
      <c r="BF205" s="1287"/>
      <c r="BG205" s="43"/>
      <c r="BH205" s="537"/>
      <c r="BI205" s="851"/>
      <c r="BJ205" s="1254"/>
      <c r="BK205" s="1431"/>
      <c r="BL205" s="537"/>
      <c r="BM205" s="537"/>
      <c r="BN205" s="537"/>
      <c r="BO205" s="1254"/>
      <c r="BP205" s="1431"/>
      <c r="BQ205" s="537"/>
      <c r="BR205" s="537"/>
      <c r="BS205" s="537"/>
      <c r="BT205" s="1254"/>
      <c r="BU205" s="1431"/>
      <c r="BV205" s="537"/>
      <c r="BW205" s="537"/>
      <c r="BX205" s="537"/>
      <c r="BY205" s="1254"/>
      <c r="BZ205" s="537"/>
      <c r="CA205" s="537"/>
      <c r="CB205" s="537"/>
      <c r="CC205" s="537"/>
      <c r="CD205" s="1254"/>
      <c r="CE205" s="537"/>
      <c r="CF205" s="537"/>
      <c r="CG205" s="537"/>
      <c r="CH205" s="537"/>
      <c r="CI205" s="1254"/>
      <c r="CJ205" s="537"/>
      <c r="CK205" s="537"/>
      <c r="CL205" s="537"/>
      <c r="CM205" s="537"/>
      <c r="CN205" s="4390"/>
      <c r="CO205" s="537"/>
      <c r="CP205" s="537"/>
      <c r="CQ205" s="537"/>
      <c r="CR205" s="537"/>
      <c r="CS205" s="4390"/>
      <c r="CT205" s="537"/>
      <c r="CU205" s="537"/>
      <c r="CV205" s="537"/>
      <c r="CW205" s="537"/>
      <c r="CX205" s="4390"/>
      <c r="CY205" s="537"/>
      <c r="CZ205" s="537"/>
      <c r="DA205" s="537"/>
      <c r="DB205" s="537"/>
      <c r="DC205" s="4390"/>
      <c r="DD205" s="537"/>
      <c r="DE205" s="537"/>
      <c r="DF205" s="537"/>
      <c r="DG205" s="537"/>
      <c r="DH205" s="4390"/>
      <c r="DI205" s="537"/>
      <c r="DJ205" s="537"/>
      <c r="DK205" s="537"/>
      <c r="DL205" s="537"/>
      <c r="DM205" s="4390"/>
      <c r="DN205" s="537"/>
      <c r="DO205" s="537"/>
      <c r="DP205" s="537"/>
      <c r="DQ205" s="537"/>
      <c r="DR205" s="4390"/>
      <c r="DS205" s="537"/>
      <c r="DT205" s="537"/>
      <c r="DU205" s="537"/>
      <c r="DV205" s="537"/>
      <c r="DW205" s="4390"/>
      <c r="DX205" s="1254"/>
      <c r="DY205" s="1254"/>
      <c r="DZ205" s="1254"/>
      <c r="EA205" s="1254"/>
      <c r="EC205" s="3683"/>
      <c r="ED205" s="3683"/>
    </row>
    <row r="206" spans="1:134" s="31" customFormat="1" ht="11.25" hidden="1" customHeight="1" outlineLevel="1">
      <c r="A206" s="1613" t="s">
        <v>402</v>
      </c>
      <c r="B206" s="36"/>
      <c r="C206" s="36"/>
      <c r="D206" s="36"/>
      <c r="E206" s="484"/>
      <c r="F206" s="1282"/>
      <c r="G206" s="36"/>
      <c r="H206" s="36"/>
      <c r="I206" s="484"/>
      <c r="J206" s="1283"/>
      <c r="K206" s="37"/>
      <c r="L206" s="37"/>
      <c r="M206" s="484"/>
      <c r="N206" s="37"/>
      <c r="O206" s="37"/>
      <c r="P206" s="37"/>
      <c r="Q206" s="484"/>
      <c r="R206" s="1284"/>
      <c r="S206" s="95"/>
      <c r="T206" s="95"/>
      <c r="U206" s="484"/>
      <c r="V206" s="1285"/>
      <c r="W206" s="43"/>
      <c r="X206" s="43"/>
      <c r="Y206" s="484"/>
      <c r="Z206" s="1285"/>
      <c r="AA206" s="43"/>
      <c r="AB206" s="43"/>
      <c r="AC206" s="484"/>
      <c r="AD206" s="1285"/>
      <c r="AE206" s="43"/>
      <c r="AF206" s="43"/>
      <c r="AG206" s="484"/>
      <c r="AH206" s="1285"/>
      <c r="AI206" s="43"/>
      <c r="AJ206" s="43"/>
      <c r="AK206" s="484"/>
      <c r="AL206" s="1285"/>
      <c r="AM206" s="43"/>
      <c r="AN206" s="43"/>
      <c r="AO206" s="484"/>
      <c r="AP206" s="43"/>
      <c r="AQ206" s="43"/>
      <c r="AR206" s="43"/>
      <c r="AS206" s="484"/>
      <c r="AT206" s="1285"/>
      <c r="AU206" s="43"/>
      <c r="AV206" s="43"/>
      <c r="AW206" s="484"/>
      <c r="AX206" s="1285"/>
      <c r="AY206" s="43"/>
      <c r="AZ206" s="43"/>
      <c r="BA206" s="484"/>
      <c r="BB206" s="1287"/>
      <c r="BC206" s="43"/>
      <c r="BD206" s="43"/>
      <c r="BE206" s="484"/>
      <c r="BF206" s="1287"/>
      <c r="BG206" s="43"/>
      <c r="BH206" s="537"/>
      <c r="BI206" s="851"/>
      <c r="BJ206" s="1254"/>
      <c r="BK206" s="1431"/>
      <c r="BL206" s="537"/>
      <c r="BM206" s="537"/>
      <c r="BN206" s="537"/>
      <c r="BO206" s="1254"/>
      <c r="BP206" s="1431"/>
      <c r="BQ206" s="537"/>
      <c r="BR206" s="537"/>
      <c r="BS206" s="537"/>
      <c r="BT206" s="1254"/>
      <c r="BU206" s="1431"/>
      <c r="BV206" s="537"/>
      <c r="BW206" s="537"/>
      <c r="BX206" s="537"/>
      <c r="BY206" s="1254"/>
      <c r="BZ206" s="537"/>
      <c r="CA206" s="537"/>
      <c r="CB206" s="537"/>
      <c r="CC206" s="537"/>
      <c r="CD206" s="1254"/>
      <c r="CE206" s="537"/>
      <c r="CF206" s="537"/>
      <c r="CG206" s="537"/>
      <c r="CH206" s="537"/>
      <c r="CI206" s="1254"/>
      <c r="CJ206" s="537"/>
      <c r="CK206" s="537"/>
      <c r="CL206" s="537"/>
      <c r="CM206" s="537"/>
      <c r="CN206" s="4390"/>
      <c r="CO206" s="537"/>
      <c r="CP206" s="537"/>
      <c r="CQ206" s="537"/>
      <c r="CR206" s="537"/>
      <c r="CS206" s="4390"/>
      <c r="CT206" s="537"/>
      <c r="CU206" s="537"/>
      <c r="CV206" s="537"/>
      <c r="CW206" s="537"/>
      <c r="CX206" s="4390"/>
      <c r="CY206" s="537"/>
      <c r="CZ206" s="537"/>
      <c r="DA206" s="537"/>
      <c r="DB206" s="537"/>
      <c r="DC206" s="4390"/>
      <c r="DD206" s="537"/>
      <c r="DE206" s="537"/>
      <c r="DF206" s="537"/>
      <c r="DG206" s="537"/>
      <c r="DH206" s="4390"/>
      <c r="DI206" s="537"/>
      <c r="DJ206" s="537"/>
      <c r="DK206" s="537"/>
      <c r="DL206" s="537"/>
      <c r="DM206" s="4390"/>
      <c r="DN206" s="537"/>
      <c r="DO206" s="537"/>
      <c r="DP206" s="537"/>
      <c r="DQ206" s="537"/>
      <c r="DR206" s="4390"/>
      <c r="DS206" s="537"/>
      <c r="DT206" s="537"/>
      <c r="DU206" s="537"/>
      <c r="DV206" s="537"/>
      <c r="DW206" s="4390"/>
      <c r="DX206" s="1254"/>
      <c r="DY206" s="1254"/>
      <c r="DZ206" s="1254"/>
      <c r="EA206" s="1254"/>
      <c r="EC206" s="3683"/>
      <c r="ED206" s="3683"/>
    </row>
    <row r="207" spans="1:134" s="31" customFormat="1" ht="11.25" hidden="1" customHeight="1" outlineLevel="1">
      <c r="A207" s="1613" t="s">
        <v>403</v>
      </c>
      <c r="B207" s="36"/>
      <c r="C207" s="36"/>
      <c r="D207" s="36"/>
      <c r="E207" s="484"/>
      <c r="F207" s="1282"/>
      <c r="G207" s="36"/>
      <c r="H207" s="36"/>
      <c r="I207" s="484"/>
      <c r="J207" s="1283"/>
      <c r="K207" s="37"/>
      <c r="L207" s="37"/>
      <c r="M207" s="484"/>
      <c r="N207" s="37"/>
      <c r="O207" s="37"/>
      <c r="P207" s="37"/>
      <c r="Q207" s="484"/>
      <c r="R207" s="1284"/>
      <c r="S207" s="95"/>
      <c r="T207" s="95"/>
      <c r="U207" s="484"/>
      <c r="V207" s="1285"/>
      <c r="W207" s="43"/>
      <c r="X207" s="43"/>
      <c r="Y207" s="484"/>
      <c r="Z207" s="1285"/>
      <c r="AA207" s="43"/>
      <c r="AB207" s="43"/>
      <c r="AC207" s="484"/>
      <c r="AD207" s="1285"/>
      <c r="AE207" s="43"/>
      <c r="AF207" s="43"/>
      <c r="AG207" s="484"/>
      <c r="AH207" s="1285"/>
      <c r="AI207" s="43"/>
      <c r="AJ207" s="43"/>
      <c r="AK207" s="484"/>
      <c r="AL207" s="1285"/>
      <c r="AM207" s="43"/>
      <c r="AN207" s="43"/>
      <c r="AO207" s="484"/>
      <c r="AP207" s="43"/>
      <c r="AQ207" s="43"/>
      <c r="AR207" s="43"/>
      <c r="AS207" s="484"/>
      <c r="AT207" s="1285"/>
      <c r="AU207" s="43"/>
      <c r="AV207" s="43"/>
      <c r="AW207" s="484"/>
      <c r="AX207" s="1285"/>
      <c r="AY207" s="43"/>
      <c r="AZ207" s="43"/>
      <c r="BA207" s="484"/>
      <c r="BB207" s="1287"/>
      <c r="BC207" s="43"/>
      <c r="BD207" s="43"/>
      <c r="BE207" s="484"/>
      <c r="BF207" s="1287"/>
      <c r="BG207" s="43"/>
      <c r="BH207" s="537"/>
      <c r="BI207" s="851"/>
      <c r="BJ207" s="1254"/>
      <c r="BK207" s="1431">
        <v>1000</v>
      </c>
      <c r="BL207" s="537">
        <v>1000</v>
      </c>
      <c r="BM207" s="537">
        <v>1000</v>
      </c>
      <c r="BN207" s="537">
        <v>1000</v>
      </c>
      <c r="BO207" s="1254"/>
      <c r="BP207" s="1431">
        <v>1000</v>
      </c>
      <c r="BQ207" s="537">
        <v>1000</v>
      </c>
      <c r="BR207" s="537"/>
      <c r="BS207" s="537"/>
      <c r="BT207" s="1254"/>
      <c r="BU207" s="1431"/>
      <c r="BV207" s="537"/>
      <c r="BW207" s="537"/>
      <c r="BX207" s="537"/>
      <c r="BY207" s="1254"/>
      <c r="BZ207" s="537"/>
      <c r="CA207" s="537"/>
      <c r="CB207" s="537"/>
      <c r="CC207" s="537"/>
      <c r="CD207" s="1254"/>
      <c r="CE207" s="537"/>
      <c r="CF207" s="537"/>
      <c r="CG207" s="537"/>
      <c r="CH207" s="537"/>
      <c r="CI207" s="1254"/>
      <c r="CJ207" s="537"/>
      <c r="CK207" s="537"/>
      <c r="CL207" s="537"/>
      <c r="CM207" s="537"/>
      <c r="CN207" s="4390"/>
      <c r="CO207" s="537"/>
      <c r="CP207" s="537"/>
      <c r="CQ207" s="537"/>
      <c r="CR207" s="537"/>
      <c r="CS207" s="4390"/>
      <c r="CT207" s="537"/>
      <c r="CU207" s="537"/>
      <c r="CV207" s="537"/>
      <c r="CW207" s="537"/>
      <c r="CX207" s="4390"/>
      <c r="CY207" s="537"/>
      <c r="CZ207" s="537"/>
      <c r="DA207" s="537"/>
      <c r="DB207" s="537"/>
      <c r="DC207" s="4390"/>
      <c r="DD207" s="537"/>
      <c r="DE207" s="537"/>
      <c r="DF207" s="537"/>
      <c r="DG207" s="537"/>
      <c r="DH207" s="4390"/>
      <c r="DI207" s="537"/>
      <c r="DJ207" s="537"/>
      <c r="DK207" s="537"/>
      <c r="DL207" s="537"/>
      <c r="DM207" s="4390"/>
      <c r="DN207" s="537"/>
      <c r="DO207" s="537"/>
      <c r="DP207" s="537"/>
      <c r="DQ207" s="537"/>
      <c r="DR207" s="4390"/>
      <c r="DS207" s="537"/>
      <c r="DT207" s="537"/>
      <c r="DU207" s="537"/>
      <c r="DV207" s="537"/>
      <c r="DW207" s="4390"/>
      <c r="DX207" s="1254"/>
      <c r="DY207" s="1254"/>
      <c r="DZ207" s="1254"/>
      <c r="EA207" s="1254"/>
      <c r="EC207" s="3683"/>
      <c r="ED207" s="3683"/>
    </row>
    <row r="208" spans="1:134" s="31" customFormat="1" ht="11.25" customHeight="1" collapsed="1">
      <c r="A208" s="1613" t="s">
        <v>941</v>
      </c>
      <c r="B208" s="36"/>
      <c r="C208" s="36"/>
      <c r="D208" s="36"/>
      <c r="E208" s="484"/>
      <c r="F208" s="1282"/>
      <c r="G208" s="36"/>
      <c r="H208" s="36"/>
      <c r="I208" s="484"/>
      <c r="J208" s="1283"/>
      <c r="K208" s="37"/>
      <c r="L208" s="37"/>
      <c r="M208" s="484"/>
      <c r="N208" s="37"/>
      <c r="O208" s="37"/>
      <c r="P208" s="37"/>
      <c r="Q208" s="484"/>
      <c r="R208" s="1284"/>
      <c r="S208" s="95"/>
      <c r="T208" s="95"/>
      <c r="U208" s="484"/>
      <c r="V208" s="1285"/>
      <c r="W208" s="43"/>
      <c r="X208" s="43"/>
      <c r="Y208" s="484"/>
      <c r="Z208" s="1285"/>
      <c r="AA208" s="43"/>
      <c r="AB208" s="43"/>
      <c r="AC208" s="484"/>
      <c r="AD208" s="1285"/>
      <c r="AE208" s="43"/>
      <c r="AF208" s="43"/>
      <c r="AG208" s="484"/>
      <c r="AH208" s="1285"/>
      <c r="AI208" s="43"/>
      <c r="AJ208" s="43"/>
      <c r="AK208" s="484"/>
      <c r="AL208" s="1285"/>
      <c r="AM208" s="43"/>
      <c r="AN208" s="43"/>
      <c r="AO208" s="484"/>
      <c r="AP208" s="43"/>
      <c r="AQ208" s="43"/>
      <c r="AR208" s="43"/>
      <c r="AS208" s="484"/>
      <c r="AT208" s="1285"/>
      <c r="AU208" s="43"/>
      <c r="AV208" s="43"/>
      <c r="AW208" s="484"/>
      <c r="AX208" s="1285"/>
      <c r="AY208" s="43"/>
      <c r="AZ208" s="43"/>
      <c r="BA208" s="484"/>
      <c r="BB208" s="1287"/>
      <c r="BC208" s="43"/>
      <c r="BD208" s="43"/>
      <c r="BE208" s="484"/>
      <c r="BF208" s="1287"/>
      <c r="BG208" s="43"/>
      <c r="BH208" s="537"/>
      <c r="BI208" s="851"/>
      <c r="BJ208" s="1254"/>
      <c r="BK208" s="1431">
        <v>1000</v>
      </c>
      <c r="BL208" s="537">
        <v>1000</v>
      </c>
      <c r="BM208" s="537">
        <v>1000</v>
      </c>
      <c r="BN208" s="537">
        <v>1000</v>
      </c>
      <c r="BO208" s="1254"/>
      <c r="BP208" s="1431">
        <v>1000</v>
      </c>
      <c r="BQ208" s="537">
        <v>1000</v>
      </c>
      <c r="BR208" s="537">
        <v>1000</v>
      </c>
      <c r="BS208" s="537">
        <v>1000</v>
      </c>
      <c r="BT208" s="1254"/>
      <c r="BU208" s="1431">
        <v>1000</v>
      </c>
      <c r="BV208" s="537">
        <v>1000</v>
      </c>
      <c r="BW208" s="537">
        <f>BV208</f>
        <v>1000</v>
      </c>
      <c r="BX208" s="537">
        <f>BW208</f>
        <v>1000</v>
      </c>
      <c r="BY208" s="1254"/>
      <c r="BZ208" s="537">
        <f>BX208</f>
        <v>1000</v>
      </c>
      <c r="CA208" s="537">
        <f t="shared" ref="CA208:CD211" si="729">BZ208</f>
        <v>1000</v>
      </c>
      <c r="CB208" s="537">
        <f t="shared" si="729"/>
        <v>1000</v>
      </c>
      <c r="CC208" s="537">
        <f t="shared" si="729"/>
        <v>1000</v>
      </c>
      <c r="CD208" s="1254">
        <f t="shared" si="729"/>
        <v>1000</v>
      </c>
      <c r="CE208" s="537">
        <f>CC208</f>
        <v>1000</v>
      </c>
      <c r="CF208" s="537">
        <f>CE208</f>
        <v>1000</v>
      </c>
      <c r="CG208" s="652">
        <v>1000</v>
      </c>
      <c r="CH208" s="537">
        <f t="shared" ref="CH208:CI211" si="730">CG208</f>
        <v>1000</v>
      </c>
      <c r="CI208" s="1254">
        <f>CH208</f>
        <v>1000</v>
      </c>
      <c r="CJ208" s="537">
        <f>CH208</f>
        <v>1000</v>
      </c>
      <c r="CK208" s="537">
        <f t="shared" ref="CK208:CL211" si="731">CJ208</f>
        <v>1000</v>
      </c>
      <c r="CL208" s="537">
        <f t="shared" si="731"/>
        <v>1000</v>
      </c>
      <c r="CM208" s="652">
        <v>1000</v>
      </c>
      <c r="CN208" s="4390">
        <f>CM208</f>
        <v>1000</v>
      </c>
      <c r="CO208" s="537">
        <f t="shared" ref="CO208:CR211" si="732">CN208</f>
        <v>1000</v>
      </c>
      <c r="CP208" s="537">
        <f t="shared" si="732"/>
        <v>1000</v>
      </c>
      <c r="CQ208" s="537">
        <f t="shared" si="732"/>
        <v>1000</v>
      </c>
      <c r="CR208" s="537">
        <f t="shared" si="732"/>
        <v>1000</v>
      </c>
      <c r="CS208" s="4390">
        <f>CR208</f>
        <v>1000</v>
      </c>
      <c r="CT208" s="537">
        <f>CS208</f>
        <v>1000</v>
      </c>
      <c r="CU208" s="4784"/>
      <c r="CV208" s="4784"/>
      <c r="CW208" s="4784"/>
      <c r="CX208" s="4785"/>
      <c r="CY208" s="4784"/>
      <c r="CZ208" s="4784"/>
      <c r="DA208" s="4784"/>
      <c r="DB208" s="4784"/>
      <c r="DC208" s="4785"/>
      <c r="DD208" s="4784"/>
      <c r="DE208" s="4784"/>
      <c r="DF208" s="4784"/>
      <c r="DG208" s="4784"/>
      <c r="DH208" s="4785"/>
      <c r="DI208" s="4784"/>
      <c r="DJ208" s="4784"/>
      <c r="DK208" s="4784"/>
      <c r="DL208" s="4784"/>
      <c r="DM208" s="4785"/>
      <c r="DN208" s="4784"/>
      <c r="DO208" s="4784"/>
      <c r="DP208" s="4784"/>
      <c r="DQ208" s="4784"/>
      <c r="DR208" s="4785"/>
      <c r="DS208" s="4784"/>
      <c r="DT208" s="4784"/>
      <c r="DU208" s="4784"/>
      <c r="DV208" s="4784"/>
      <c r="DW208" s="4785"/>
      <c r="DX208" s="1432"/>
      <c r="DY208" s="1432"/>
      <c r="DZ208" s="1432"/>
      <c r="EA208" s="1432"/>
      <c r="EC208" s="3683"/>
      <c r="ED208" s="3683"/>
    </row>
    <row r="209" spans="1:134" s="31" customFormat="1" ht="11.25" customHeight="1">
      <c r="A209" s="1613" t="s">
        <v>940</v>
      </c>
      <c r="B209" s="36"/>
      <c r="C209" s="36"/>
      <c r="D209" s="36"/>
      <c r="E209" s="484"/>
      <c r="F209" s="1282"/>
      <c r="G209" s="36"/>
      <c r="H209" s="36"/>
      <c r="I209" s="484"/>
      <c r="J209" s="1283"/>
      <c r="K209" s="37"/>
      <c r="L209" s="37"/>
      <c r="M209" s="484"/>
      <c r="N209" s="37"/>
      <c r="O209" s="37"/>
      <c r="P209" s="37"/>
      <c r="Q209" s="484"/>
      <c r="R209" s="1284"/>
      <c r="S209" s="95"/>
      <c r="T209" s="95"/>
      <c r="U209" s="484"/>
      <c r="V209" s="1285"/>
      <c r="W209" s="43"/>
      <c r="X209" s="43"/>
      <c r="Y209" s="484"/>
      <c r="Z209" s="1285"/>
      <c r="AA209" s="43"/>
      <c r="AB209" s="43"/>
      <c r="AC209" s="484"/>
      <c r="AD209" s="1285"/>
      <c r="AE209" s="43"/>
      <c r="AF209" s="43"/>
      <c r="AG209" s="484"/>
      <c r="AH209" s="1285"/>
      <c r="AI209" s="43"/>
      <c r="AJ209" s="43"/>
      <c r="AK209" s="484"/>
      <c r="AL209" s="1285"/>
      <c r="AM209" s="43"/>
      <c r="AN209" s="43"/>
      <c r="AO209" s="484"/>
      <c r="AP209" s="43"/>
      <c r="AQ209" s="43"/>
      <c r="AR209" s="43"/>
      <c r="AS209" s="484"/>
      <c r="AT209" s="1285"/>
      <c r="AU209" s="43"/>
      <c r="AV209" s="43"/>
      <c r="AW209" s="484"/>
      <c r="AX209" s="1285"/>
      <c r="AY209" s="43"/>
      <c r="AZ209" s="43"/>
      <c r="BA209" s="484"/>
      <c r="BB209" s="1287"/>
      <c r="BC209" s="43"/>
      <c r="BD209" s="43"/>
      <c r="BE209" s="484"/>
      <c r="BF209" s="1287"/>
      <c r="BG209" s="43"/>
      <c r="BH209" s="537"/>
      <c r="BI209" s="851"/>
      <c r="BJ209" s="1254"/>
      <c r="BK209" s="1431"/>
      <c r="BL209" s="537">
        <v>1000</v>
      </c>
      <c r="BM209" s="537">
        <v>1000</v>
      </c>
      <c r="BN209" s="537">
        <v>1000</v>
      </c>
      <c r="BO209" s="1254"/>
      <c r="BP209" s="1431">
        <v>1000</v>
      </c>
      <c r="BQ209" s="537">
        <v>1000</v>
      </c>
      <c r="BR209" s="537">
        <v>1000</v>
      </c>
      <c r="BS209" s="537">
        <v>1000</v>
      </c>
      <c r="BT209" s="1254"/>
      <c r="BU209" s="1431">
        <v>1000</v>
      </c>
      <c r="BV209" s="537">
        <v>1000</v>
      </c>
      <c r="BW209" s="537">
        <f>BV209</f>
        <v>1000</v>
      </c>
      <c r="BX209" s="537">
        <f>BW209</f>
        <v>1000</v>
      </c>
      <c r="BY209" s="1254"/>
      <c r="BZ209" s="537">
        <f>BX209</f>
        <v>1000</v>
      </c>
      <c r="CA209" s="537">
        <f t="shared" si="729"/>
        <v>1000</v>
      </c>
      <c r="CB209" s="537">
        <f t="shared" si="729"/>
        <v>1000</v>
      </c>
      <c r="CC209" s="537">
        <f t="shared" si="729"/>
        <v>1000</v>
      </c>
      <c r="CD209" s="1254">
        <f t="shared" si="729"/>
        <v>1000</v>
      </c>
      <c r="CE209" s="537">
        <f>CC209</f>
        <v>1000</v>
      </c>
      <c r="CF209" s="537">
        <f>CE209</f>
        <v>1000</v>
      </c>
      <c r="CG209" s="652">
        <v>1000</v>
      </c>
      <c r="CH209" s="537">
        <f t="shared" si="730"/>
        <v>1000</v>
      </c>
      <c r="CI209" s="1254">
        <f t="shared" si="730"/>
        <v>1000</v>
      </c>
      <c r="CJ209" s="537">
        <f>CH209</f>
        <v>1000</v>
      </c>
      <c r="CK209" s="537">
        <f t="shared" si="731"/>
        <v>1000</v>
      </c>
      <c r="CL209" s="537">
        <f t="shared" si="731"/>
        <v>1000</v>
      </c>
      <c r="CM209" s="652">
        <v>1000</v>
      </c>
      <c r="CN209" s="4390">
        <f>CM209</f>
        <v>1000</v>
      </c>
      <c r="CO209" s="537">
        <f t="shared" si="732"/>
        <v>1000</v>
      </c>
      <c r="CP209" s="537">
        <f t="shared" si="732"/>
        <v>1000</v>
      </c>
      <c r="CQ209" s="537">
        <f t="shared" si="732"/>
        <v>1000</v>
      </c>
      <c r="CR209" s="537">
        <f t="shared" si="732"/>
        <v>1000</v>
      </c>
      <c r="CS209" s="4390">
        <f t="shared" ref="CS209:CS216" si="733">CR209</f>
        <v>1000</v>
      </c>
      <c r="CT209" s="537">
        <f>CS209</f>
        <v>1000</v>
      </c>
      <c r="CU209" s="537">
        <f>CT209</f>
        <v>1000</v>
      </c>
      <c r="CV209" s="537">
        <f>CU209</f>
        <v>1000</v>
      </c>
      <c r="CW209" s="537">
        <f t="shared" ref="CW209:CX216" si="734">CV209</f>
        <v>1000</v>
      </c>
      <c r="CX209" s="4390">
        <f t="shared" si="734"/>
        <v>1000</v>
      </c>
      <c r="CY209" s="537">
        <f t="shared" ref="CY209:CY216" si="735">CX209</f>
        <v>1000</v>
      </c>
      <c r="CZ209" s="537">
        <f t="shared" ref="CZ209:CZ216" si="736">CY209</f>
        <v>1000</v>
      </c>
      <c r="DA209" s="537">
        <f t="shared" ref="DA209:DA216" si="737">CZ209</f>
        <v>1000</v>
      </c>
      <c r="DB209" s="537">
        <f t="shared" ref="DB209:DC216" si="738">DA209</f>
        <v>1000</v>
      </c>
      <c r="DC209" s="4390">
        <f t="shared" si="738"/>
        <v>1000</v>
      </c>
      <c r="DD209" s="537">
        <f t="shared" ref="DD209:DE216" si="739">DC209</f>
        <v>1000</v>
      </c>
      <c r="DE209" s="537">
        <f t="shared" si="739"/>
        <v>1000</v>
      </c>
      <c r="DF209" s="537">
        <f t="shared" ref="DF209:DF216" si="740">DE209</f>
        <v>1000</v>
      </c>
      <c r="DG209" s="537">
        <f t="shared" ref="DG209:DH216" si="741">DF209</f>
        <v>1000</v>
      </c>
      <c r="DH209" s="4390">
        <f t="shared" si="741"/>
        <v>1000</v>
      </c>
      <c r="DI209" s="4784"/>
      <c r="DJ209" s="4784"/>
      <c r="DK209" s="4784"/>
      <c r="DL209" s="4784"/>
      <c r="DM209" s="4785"/>
      <c r="DN209" s="4784"/>
      <c r="DO209" s="4784"/>
      <c r="DP209" s="4784"/>
      <c r="DQ209" s="4784"/>
      <c r="DR209" s="4785"/>
      <c r="DS209" s="4784"/>
      <c r="DT209" s="4784"/>
      <c r="DU209" s="4784"/>
      <c r="DV209" s="4784"/>
      <c r="DW209" s="4785"/>
      <c r="DX209" s="1432"/>
      <c r="DY209" s="1432"/>
      <c r="DZ209" s="1432"/>
      <c r="EA209" s="1432"/>
      <c r="EC209" s="3683"/>
      <c r="ED209" s="3683"/>
    </row>
    <row r="210" spans="1:134" s="31" customFormat="1" ht="11.25" customHeight="1">
      <c r="A210" s="1614" t="s">
        <v>934</v>
      </c>
      <c r="B210" s="36"/>
      <c r="C210" s="36"/>
      <c r="D210" s="36"/>
      <c r="E210" s="484"/>
      <c r="F210" s="1282"/>
      <c r="G210" s="36"/>
      <c r="H210" s="36"/>
      <c r="I210" s="484"/>
      <c r="J210" s="1283"/>
      <c r="K210" s="37"/>
      <c r="L210" s="37"/>
      <c r="M210" s="484"/>
      <c r="N210" s="37"/>
      <c r="O210" s="37"/>
      <c r="P210" s="37"/>
      <c r="Q210" s="484"/>
      <c r="R210" s="1284"/>
      <c r="S210" s="95"/>
      <c r="T210" s="95"/>
      <c r="U210" s="484"/>
      <c r="V210" s="1285"/>
      <c r="W210" s="43"/>
      <c r="X210" s="43"/>
      <c r="Y210" s="484"/>
      <c r="Z210" s="1285"/>
      <c r="AA210" s="43"/>
      <c r="AB210" s="43"/>
      <c r="AC210" s="484"/>
      <c r="AD210" s="1285"/>
      <c r="AE210" s="43"/>
      <c r="AF210" s="43"/>
      <c r="AG210" s="484"/>
      <c r="AH210" s="1285"/>
      <c r="AI210" s="43"/>
      <c r="AJ210" s="43"/>
      <c r="AK210" s="484"/>
      <c r="AL210" s="1285"/>
      <c r="AM210" s="43"/>
      <c r="AN210" s="43"/>
      <c r="AO210" s="484"/>
      <c r="AP210" s="43"/>
      <c r="AQ210" s="43"/>
      <c r="AR210" s="43"/>
      <c r="AS210" s="484"/>
      <c r="AT210" s="1285"/>
      <c r="AU210" s="43"/>
      <c r="AV210" s="43"/>
      <c r="AW210" s="484"/>
      <c r="AX210" s="1285"/>
      <c r="AY210" s="43"/>
      <c r="AZ210" s="43"/>
      <c r="BA210" s="484"/>
      <c r="BB210" s="1286"/>
      <c r="BC210" s="43"/>
      <c r="BD210" s="43"/>
      <c r="BE210" s="484"/>
      <c r="BF210" s="1286"/>
      <c r="BG210" s="43"/>
      <c r="BH210" s="537"/>
      <c r="BI210" s="851"/>
      <c r="BJ210" s="1430"/>
      <c r="BK210" s="1429"/>
      <c r="BL210" s="537"/>
      <c r="BM210" s="537"/>
      <c r="BN210" s="537"/>
      <c r="BO210" s="1430"/>
      <c r="BP210" s="1429"/>
      <c r="BQ210" s="537"/>
      <c r="BR210" s="537"/>
      <c r="BS210" s="537"/>
      <c r="BT210" s="1430"/>
      <c r="BU210" s="1429"/>
      <c r="BV210" s="537"/>
      <c r="BW210" s="537"/>
      <c r="BX210" s="537"/>
      <c r="BY210" s="1430"/>
      <c r="BZ210" s="537"/>
      <c r="CA210" s="537"/>
      <c r="CB210" s="537"/>
      <c r="CC210" s="537"/>
      <c r="CD210" s="1430"/>
      <c r="CE210" s="537"/>
      <c r="CF210" s="537"/>
      <c r="CG210" s="537"/>
      <c r="CH210" s="537"/>
      <c r="CI210" s="1430"/>
      <c r="CJ210" s="537"/>
      <c r="CK210" s="537"/>
      <c r="CL210" s="537"/>
      <c r="CM210" s="537"/>
      <c r="CN210" s="4389"/>
      <c r="CO210" s="537"/>
      <c r="CP210" s="537"/>
      <c r="CQ210" s="652">
        <v>1000</v>
      </c>
      <c r="CR210" s="537">
        <f t="shared" ref="CR210:DH210" si="742">CQ210</f>
        <v>1000</v>
      </c>
      <c r="CS210" s="4389">
        <f t="shared" si="742"/>
        <v>1000</v>
      </c>
      <c r="CT210" s="537">
        <f t="shared" si="742"/>
        <v>1000</v>
      </c>
      <c r="CU210" s="537">
        <f t="shared" si="742"/>
        <v>1000</v>
      </c>
      <c r="CV210" s="537">
        <f t="shared" si="742"/>
        <v>1000</v>
      </c>
      <c r="CW210" s="537">
        <f t="shared" si="742"/>
        <v>1000</v>
      </c>
      <c r="CX210" s="4389">
        <f t="shared" si="742"/>
        <v>1000</v>
      </c>
      <c r="CY210" s="537">
        <f t="shared" si="735"/>
        <v>1000</v>
      </c>
      <c r="CZ210" s="537">
        <f t="shared" si="736"/>
        <v>1000</v>
      </c>
      <c r="DA210" s="537">
        <f t="shared" si="737"/>
        <v>1000</v>
      </c>
      <c r="DB210" s="537">
        <f t="shared" si="738"/>
        <v>1000</v>
      </c>
      <c r="DC210" s="4389">
        <f t="shared" si="742"/>
        <v>1000</v>
      </c>
      <c r="DD210" s="537">
        <f t="shared" si="739"/>
        <v>1000</v>
      </c>
      <c r="DE210" s="537">
        <f t="shared" si="739"/>
        <v>1000</v>
      </c>
      <c r="DF210" s="537">
        <f t="shared" si="740"/>
        <v>1000</v>
      </c>
      <c r="DG210" s="537">
        <f t="shared" si="741"/>
        <v>1000</v>
      </c>
      <c r="DH210" s="4389">
        <f t="shared" si="742"/>
        <v>1000</v>
      </c>
      <c r="DI210" s="537">
        <f t="shared" ref="DI210:DI216" si="743">DH210</f>
        <v>1000</v>
      </c>
      <c r="DJ210" s="537">
        <f t="shared" ref="DJ210:DJ216" si="744">DI210</f>
        <v>1000</v>
      </c>
      <c r="DK210" s="537">
        <f t="shared" ref="DK210:DK216" si="745">DJ210</f>
        <v>1000</v>
      </c>
      <c r="DL210" s="537">
        <f t="shared" ref="DL210:DM216" si="746">DK210</f>
        <v>1000</v>
      </c>
      <c r="DM210" s="4389">
        <f t="shared" si="746"/>
        <v>1000</v>
      </c>
      <c r="DN210" s="537">
        <f t="shared" ref="DN210:DN216" si="747">DM210</f>
        <v>1000</v>
      </c>
      <c r="DO210" s="537">
        <f t="shared" ref="DO210:DO216" si="748">DN210</f>
        <v>1000</v>
      </c>
      <c r="DP210" s="4784"/>
      <c r="DQ210" s="4784"/>
      <c r="DR210" s="4785"/>
      <c r="DS210" s="4784"/>
      <c r="DT210" s="4784"/>
      <c r="DU210" s="4784"/>
      <c r="DV210" s="4784"/>
      <c r="DW210" s="4785"/>
      <c r="DX210" s="1432"/>
      <c r="DY210" s="1432"/>
      <c r="DZ210" s="1432"/>
      <c r="EA210" s="1432"/>
      <c r="EC210" s="3683"/>
      <c r="ED210" s="3683"/>
    </row>
    <row r="211" spans="1:134" s="31" customFormat="1" ht="11.25" customHeight="1">
      <c r="A211" s="1613" t="s">
        <v>528</v>
      </c>
      <c r="B211" s="36"/>
      <c r="C211" s="36"/>
      <c r="D211" s="36"/>
      <c r="E211" s="484"/>
      <c r="F211" s="1282"/>
      <c r="G211" s="36"/>
      <c r="H211" s="36"/>
      <c r="I211" s="484"/>
      <c r="J211" s="1283"/>
      <c r="K211" s="37"/>
      <c r="L211" s="37"/>
      <c r="M211" s="484"/>
      <c r="N211" s="37"/>
      <c r="O211" s="37"/>
      <c r="P211" s="37"/>
      <c r="Q211" s="484"/>
      <c r="R211" s="1284"/>
      <c r="S211" s="95"/>
      <c r="T211" s="95"/>
      <c r="U211" s="484"/>
      <c r="V211" s="1285"/>
      <c r="W211" s="43"/>
      <c r="X211" s="43"/>
      <c r="Y211" s="484"/>
      <c r="Z211" s="1285"/>
      <c r="AA211" s="43"/>
      <c r="AB211" s="43"/>
      <c r="AC211" s="484"/>
      <c r="AD211" s="1285"/>
      <c r="AE211" s="43"/>
      <c r="AF211" s="43"/>
      <c r="AG211" s="484"/>
      <c r="AH211" s="1285"/>
      <c r="AI211" s="43"/>
      <c r="AJ211" s="43"/>
      <c r="AK211" s="484"/>
      <c r="AL211" s="1285"/>
      <c r="AM211" s="43"/>
      <c r="AN211" s="43"/>
      <c r="AO211" s="484"/>
      <c r="AP211" s="43"/>
      <c r="AQ211" s="43"/>
      <c r="AR211" s="43"/>
      <c r="AS211" s="484"/>
      <c r="AT211" s="1285"/>
      <c r="AU211" s="43"/>
      <c r="AV211" s="43"/>
      <c r="AW211" s="484"/>
      <c r="AX211" s="1285"/>
      <c r="AY211" s="43"/>
      <c r="AZ211" s="43"/>
      <c r="BA211" s="484"/>
      <c r="BB211" s="1286"/>
      <c r="BC211" s="43"/>
      <c r="BD211" s="43"/>
      <c r="BE211" s="484"/>
      <c r="BF211" s="1286"/>
      <c r="BG211" s="43"/>
      <c r="BH211" s="537"/>
      <c r="BI211" s="851"/>
      <c r="BJ211" s="1430"/>
      <c r="BK211" s="1429"/>
      <c r="BL211" s="537"/>
      <c r="BM211" s="537"/>
      <c r="BN211" s="537"/>
      <c r="BO211" s="1430"/>
      <c r="BP211" s="1429"/>
      <c r="BQ211" s="537"/>
      <c r="BR211" s="537"/>
      <c r="BS211" s="537"/>
      <c r="BT211" s="1430"/>
      <c r="BU211" s="1429"/>
      <c r="BV211" s="537"/>
      <c r="BW211" s="537">
        <v>2000</v>
      </c>
      <c r="BX211" s="537">
        <f>BW211</f>
        <v>2000</v>
      </c>
      <c r="BY211" s="1430"/>
      <c r="BZ211" s="537">
        <f>BX211</f>
        <v>2000</v>
      </c>
      <c r="CA211" s="537">
        <f t="shared" si="729"/>
        <v>2000</v>
      </c>
      <c r="CB211" s="537">
        <f t="shared" si="729"/>
        <v>2000</v>
      </c>
      <c r="CC211" s="537">
        <f t="shared" si="729"/>
        <v>2000</v>
      </c>
      <c r="CD211" s="1430">
        <f t="shared" si="729"/>
        <v>2000</v>
      </c>
      <c r="CE211" s="537">
        <f>CC211</f>
        <v>2000</v>
      </c>
      <c r="CF211" s="537">
        <f>CE211</f>
        <v>2000</v>
      </c>
      <c r="CG211" s="652">
        <v>2000</v>
      </c>
      <c r="CH211" s="537">
        <f t="shared" si="730"/>
        <v>2000</v>
      </c>
      <c r="CI211" s="1430">
        <f t="shared" si="730"/>
        <v>2000</v>
      </c>
      <c r="CJ211" s="537">
        <f>CH211</f>
        <v>2000</v>
      </c>
      <c r="CK211" s="537">
        <f t="shared" si="731"/>
        <v>2000</v>
      </c>
      <c r="CL211" s="537">
        <f t="shared" si="731"/>
        <v>2000</v>
      </c>
      <c r="CM211" s="652">
        <v>2000</v>
      </c>
      <c r="CN211" s="4389">
        <f>CM211</f>
        <v>2000</v>
      </c>
      <c r="CO211" s="537">
        <f t="shared" si="732"/>
        <v>2000</v>
      </c>
      <c r="CP211" s="537">
        <f t="shared" si="732"/>
        <v>2000</v>
      </c>
      <c r="CQ211" s="537">
        <f t="shared" si="732"/>
        <v>2000</v>
      </c>
      <c r="CR211" s="537">
        <f t="shared" si="732"/>
        <v>2000</v>
      </c>
      <c r="CS211" s="4389">
        <f t="shared" si="733"/>
        <v>2000</v>
      </c>
      <c r="CT211" s="537">
        <f t="shared" ref="CT211:CV216" si="749">CS211</f>
        <v>2000</v>
      </c>
      <c r="CU211" s="537">
        <f t="shared" si="749"/>
        <v>2000</v>
      </c>
      <c r="CV211" s="537">
        <f t="shared" si="749"/>
        <v>2000</v>
      </c>
      <c r="CW211" s="537">
        <f t="shared" si="734"/>
        <v>2000</v>
      </c>
      <c r="CX211" s="4389">
        <f t="shared" si="734"/>
        <v>2000</v>
      </c>
      <c r="CY211" s="537">
        <f t="shared" si="735"/>
        <v>2000</v>
      </c>
      <c r="CZ211" s="537">
        <f t="shared" si="736"/>
        <v>2000</v>
      </c>
      <c r="DA211" s="537">
        <f t="shared" si="737"/>
        <v>2000</v>
      </c>
      <c r="DB211" s="537">
        <f t="shared" si="738"/>
        <v>2000</v>
      </c>
      <c r="DC211" s="4389">
        <f t="shared" si="738"/>
        <v>2000</v>
      </c>
      <c r="DD211" s="537">
        <f t="shared" si="739"/>
        <v>2000</v>
      </c>
      <c r="DE211" s="537">
        <f t="shared" si="739"/>
        <v>2000</v>
      </c>
      <c r="DF211" s="537">
        <f t="shared" si="740"/>
        <v>2000</v>
      </c>
      <c r="DG211" s="537">
        <f t="shared" si="741"/>
        <v>2000</v>
      </c>
      <c r="DH211" s="4389">
        <f t="shared" si="741"/>
        <v>2000</v>
      </c>
      <c r="DI211" s="537">
        <f t="shared" si="743"/>
        <v>2000</v>
      </c>
      <c r="DJ211" s="537">
        <f t="shared" si="744"/>
        <v>2000</v>
      </c>
      <c r="DK211" s="537">
        <f t="shared" si="745"/>
        <v>2000</v>
      </c>
      <c r="DL211" s="537">
        <f t="shared" si="746"/>
        <v>2000</v>
      </c>
      <c r="DM211" s="4389">
        <f t="shared" si="746"/>
        <v>2000</v>
      </c>
      <c r="DN211" s="537">
        <f t="shared" si="747"/>
        <v>2000</v>
      </c>
      <c r="DO211" s="537">
        <f t="shared" si="748"/>
        <v>2000</v>
      </c>
      <c r="DP211" s="537">
        <f t="shared" ref="DP211:DP216" si="750">DO211</f>
        <v>2000</v>
      </c>
      <c r="DQ211" s="537">
        <f t="shared" ref="DQ211:DR216" si="751">DP211</f>
        <v>2000</v>
      </c>
      <c r="DR211" s="4389">
        <f t="shared" si="751"/>
        <v>2000</v>
      </c>
      <c r="DS211" s="537">
        <f t="shared" ref="DS211:DS216" si="752">DR211</f>
        <v>2000</v>
      </c>
      <c r="DT211" s="537">
        <f t="shared" ref="DT211:DT216" si="753">DS211</f>
        <v>2000</v>
      </c>
      <c r="DU211" s="537">
        <f t="shared" ref="DU211:DU216" si="754">DT211</f>
        <v>2000</v>
      </c>
      <c r="DV211" s="537">
        <f t="shared" ref="DV211:DW216" si="755">DU211</f>
        <v>2000</v>
      </c>
      <c r="DW211" s="4389">
        <f t="shared" si="755"/>
        <v>2000</v>
      </c>
      <c r="DX211" s="4673"/>
      <c r="DY211" s="4673"/>
      <c r="DZ211" s="4673"/>
      <c r="EA211" s="4673"/>
      <c r="EC211" s="3683"/>
      <c r="ED211" s="3683"/>
    </row>
    <row r="212" spans="1:134" s="31" customFormat="1" ht="11.25" customHeight="1">
      <c r="A212" s="1614" t="s">
        <v>935</v>
      </c>
      <c r="B212" s="36"/>
      <c r="C212" s="36"/>
      <c r="D212" s="36"/>
      <c r="E212" s="484"/>
      <c r="F212" s="1282"/>
      <c r="G212" s="36"/>
      <c r="H212" s="36"/>
      <c r="I212" s="484"/>
      <c r="J212" s="1283"/>
      <c r="K212" s="37"/>
      <c r="L212" s="37"/>
      <c r="M212" s="484"/>
      <c r="N212" s="37"/>
      <c r="O212" s="37"/>
      <c r="P212" s="37"/>
      <c r="Q212" s="484"/>
      <c r="R212" s="1284"/>
      <c r="S212" s="95"/>
      <c r="T212" s="95"/>
      <c r="U212" s="484"/>
      <c r="V212" s="1285"/>
      <c r="W212" s="43"/>
      <c r="X212" s="43"/>
      <c r="Y212" s="484"/>
      <c r="Z212" s="1285"/>
      <c r="AA212" s="43"/>
      <c r="AB212" s="43"/>
      <c r="AC212" s="484"/>
      <c r="AD212" s="1285"/>
      <c r="AE212" s="43"/>
      <c r="AF212" s="43"/>
      <c r="AG212" s="484"/>
      <c r="AH212" s="1285"/>
      <c r="AI212" s="43"/>
      <c r="AJ212" s="43"/>
      <c r="AK212" s="484"/>
      <c r="AL212" s="1285"/>
      <c r="AM212" s="43"/>
      <c r="AN212" s="43"/>
      <c r="AO212" s="484"/>
      <c r="AP212" s="43"/>
      <c r="AQ212" s="43"/>
      <c r="AR212" s="43"/>
      <c r="AS212" s="484"/>
      <c r="AT212" s="1285"/>
      <c r="AU212" s="43"/>
      <c r="AV212" s="43"/>
      <c r="AW212" s="484"/>
      <c r="AX212" s="1285"/>
      <c r="AY212" s="43"/>
      <c r="AZ212" s="43"/>
      <c r="BA212" s="484"/>
      <c r="BB212" s="1286"/>
      <c r="BC212" s="43"/>
      <c r="BD212" s="43"/>
      <c r="BE212" s="484"/>
      <c r="BF212" s="1286"/>
      <c r="BG212" s="43"/>
      <c r="BH212" s="537"/>
      <c r="BI212" s="851"/>
      <c r="BJ212" s="1430"/>
      <c r="BK212" s="1429"/>
      <c r="BL212" s="537"/>
      <c r="BM212" s="537"/>
      <c r="BN212" s="537"/>
      <c r="BO212" s="1430"/>
      <c r="BP212" s="1429"/>
      <c r="BQ212" s="537"/>
      <c r="BR212" s="537"/>
      <c r="BS212" s="537"/>
      <c r="BT212" s="1430"/>
      <c r="BU212" s="1429"/>
      <c r="BV212" s="537"/>
      <c r="BW212" s="537"/>
      <c r="BX212" s="537"/>
      <c r="BY212" s="1430"/>
      <c r="BZ212" s="537"/>
      <c r="CA212" s="537"/>
      <c r="CB212" s="537"/>
      <c r="CC212" s="537"/>
      <c r="CD212" s="1430"/>
      <c r="CE212" s="537"/>
      <c r="CF212" s="537"/>
      <c r="CG212" s="537"/>
      <c r="CH212" s="537"/>
      <c r="CI212" s="1430"/>
      <c r="CJ212" s="537"/>
      <c r="CK212" s="537"/>
      <c r="CL212" s="537"/>
      <c r="CM212" s="537"/>
      <c r="CN212" s="4389"/>
      <c r="CO212" s="537"/>
      <c r="CP212" s="537"/>
      <c r="CQ212" s="652">
        <v>1000</v>
      </c>
      <c r="CR212" s="537">
        <f>CQ212</f>
        <v>1000</v>
      </c>
      <c r="CS212" s="4389">
        <f t="shared" si="733"/>
        <v>1000</v>
      </c>
      <c r="CT212" s="537">
        <f t="shared" si="749"/>
        <v>1000</v>
      </c>
      <c r="CU212" s="537">
        <f t="shared" si="749"/>
        <v>1000</v>
      </c>
      <c r="CV212" s="537">
        <f t="shared" si="749"/>
        <v>1000</v>
      </c>
      <c r="CW212" s="537">
        <f>CV212</f>
        <v>1000</v>
      </c>
      <c r="CX212" s="4389">
        <f t="shared" si="734"/>
        <v>1000</v>
      </c>
      <c r="CY212" s="537">
        <f t="shared" si="735"/>
        <v>1000</v>
      </c>
      <c r="CZ212" s="537">
        <f t="shared" si="736"/>
        <v>1000</v>
      </c>
      <c r="DA212" s="537">
        <f t="shared" si="737"/>
        <v>1000</v>
      </c>
      <c r="DB212" s="537">
        <f t="shared" si="738"/>
        <v>1000</v>
      </c>
      <c r="DC212" s="4389">
        <f t="shared" si="738"/>
        <v>1000</v>
      </c>
      <c r="DD212" s="537">
        <f t="shared" si="739"/>
        <v>1000</v>
      </c>
      <c r="DE212" s="537">
        <f t="shared" si="739"/>
        <v>1000</v>
      </c>
      <c r="DF212" s="537">
        <f t="shared" si="740"/>
        <v>1000</v>
      </c>
      <c r="DG212" s="537">
        <f t="shared" si="741"/>
        <v>1000</v>
      </c>
      <c r="DH212" s="4389">
        <f t="shared" si="741"/>
        <v>1000</v>
      </c>
      <c r="DI212" s="537">
        <f t="shared" si="743"/>
        <v>1000</v>
      </c>
      <c r="DJ212" s="537">
        <f t="shared" si="744"/>
        <v>1000</v>
      </c>
      <c r="DK212" s="537">
        <f t="shared" si="745"/>
        <v>1000</v>
      </c>
      <c r="DL212" s="537">
        <f t="shared" si="746"/>
        <v>1000</v>
      </c>
      <c r="DM212" s="4389">
        <f t="shared" si="746"/>
        <v>1000</v>
      </c>
      <c r="DN212" s="537">
        <f t="shared" si="747"/>
        <v>1000</v>
      </c>
      <c r="DO212" s="537">
        <f t="shared" si="748"/>
        <v>1000</v>
      </c>
      <c r="DP212" s="537">
        <f t="shared" si="750"/>
        <v>1000</v>
      </c>
      <c r="DQ212" s="537">
        <f t="shared" si="751"/>
        <v>1000</v>
      </c>
      <c r="DR212" s="4389">
        <f t="shared" si="751"/>
        <v>1000</v>
      </c>
      <c r="DS212" s="537">
        <f t="shared" si="752"/>
        <v>1000</v>
      </c>
      <c r="DT212" s="537">
        <f t="shared" si="753"/>
        <v>1000</v>
      </c>
      <c r="DU212" s="537">
        <f t="shared" si="754"/>
        <v>1000</v>
      </c>
      <c r="DV212" s="537">
        <f t="shared" si="755"/>
        <v>1000</v>
      </c>
      <c r="DW212" s="4389">
        <f t="shared" si="755"/>
        <v>1000</v>
      </c>
      <c r="DX212" s="4673"/>
      <c r="DY212" s="4673"/>
      <c r="DZ212" s="4673"/>
      <c r="EA212" s="4673"/>
      <c r="EC212" s="3683"/>
      <c r="ED212" s="3683"/>
    </row>
    <row r="213" spans="1:134" s="31" customFormat="1" ht="11.25" customHeight="1">
      <c r="A213" s="1614" t="s">
        <v>936</v>
      </c>
      <c r="B213" s="36"/>
      <c r="C213" s="36"/>
      <c r="D213" s="36"/>
      <c r="E213" s="484"/>
      <c r="F213" s="1282"/>
      <c r="G213" s="36"/>
      <c r="H213" s="36"/>
      <c r="I213" s="484"/>
      <c r="J213" s="1283"/>
      <c r="K213" s="37"/>
      <c r="L213" s="37"/>
      <c r="M213" s="484"/>
      <c r="N213" s="37"/>
      <c r="O213" s="37"/>
      <c r="P213" s="37"/>
      <c r="Q213" s="484"/>
      <c r="R213" s="1284"/>
      <c r="S213" s="95"/>
      <c r="T213" s="95"/>
      <c r="U213" s="484"/>
      <c r="V213" s="1285"/>
      <c r="W213" s="43"/>
      <c r="X213" s="43"/>
      <c r="Y213" s="484"/>
      <c r="Z213" s="1285"/>
      <c r="AA213" s="43"/>
      <c r="AB213" s="43"/>
      <c r="AC213" s="484"/>
      <c r="AD213" s="1285"/>
      <c r="AE213" s="43"/>
      <c r="AF213" s="43"/>
      <c r="AG213" s="484"/>
      <c r="AH213" s="1285"/>
      <c r="AI213" s="43"/>
      <c r="AJ213" s="43"/>
      <c r="AK213" s="484"/>
      <c r="AL213" s="1285"/>
      <c r="AM213" s="43"/>
      <c r="AN213" s="43"/>
      <c r="AO213" s="484"/>
      <c r="AP213" s="43"/>
      <c r="AQ213" s="43"/>
      <c r="AR213" s="43"/>
      <c r="AS213" s="484"/>
      <c r="AT213" s="1285"/>
      <c r="AU213" s="43"/>
      <c r="AV213" s="43"/>
      <c r="AW213" s="484"/>
      <c r="AX213" s="1285"/>
      <c r="AY213" s="43"/>
      <c r="AZ213" s="43"/>
      <c r="BA213" s="484"/>
      <c r="BB213" s="1286"/>
      <c r="BC213" s="43"/>
      <c r="BD213" s="43"/>
      <c r="BE213" s="484"/>
      <c r="BF213" s="1286"/>
      <c r="BG213" s="43"/>
      <c r="BH213" s="537"/>
      <c r="BI213" s="851"/>
      <c r="BJ213" s="1430"/>
      <c r="BK213" s="1429"/>
      <c r="BL213" s="537"/>
      <c r="BM213" s="537"/>
      <c r="BN213" s="537"/>
      <c r="BO213" s="1430"/>
      <c r="BP213" s="1429"/>
      <c r="BQ213" s="537"/>
      <c r="BR213" s="537"/>
      <c r="BS213" s="537"/>
      <c r="BT213" s="1430"/>
      <c r="BU213" s="1429"/>
      <c r="BV213" s="537"/>
      <c r="BW213" s="537"/>
      <c r="BX213" s="537"/>
      <c r="BY213" s="1430"/>
      <c r="BZ213" s="537"/>
      <c r="CA213" s="537"/>
      <c r="CB213" s="537"/>
      <c r="CC213" s="537"/>
      <c r="CD213" s="1430"/>
      <c r="CE213" s="537"/>
      <c r="CF213" s="537"/>
      <c r="CG213" s="537"/>
      <c r="CH213" s="537"/>
      <c r="CI213" s="1430"/>
      <c r="CJ213" s="537"/>
      <c r="CK213" s="537"/>
      <c r="CL213" s="537"/>
      <c r="CM213" s="537"/>
      <c r="CN213" s="4389"/>
      <c r="CO213" s="537"/>
      <c r="CP213" s="537"/>
      <c r="CQ213" s="652">
        <v>2250</v>
      </c>
      <c r="CR213" s="537">
        <f>CQ213</f>
        <v>2250</v>
      </c>
      <c r="CS213" s="4389">
        <f t="shared" si="733"/>
        <v>2250</v>
      </c>
      <c r="CT213" s="537">
        <f t="shared" si="749"/>
        <v>2250</v>
      </c>
      <c r="CU213" s="537">
        <f t="shared" si="749"/>
        <v>2250</v>
      </c>
      <c r="CV213" s="537">
        <f t="shared" si="749"/>
        <v>2250</v>
      </c>
      <c r="CW213" s="537">
        <f>CV213</f>
        <v>2250</v>
      </c>
      <c r="CX213" s="4389">
        <f t="shared" si="734"/>
        <v>2250</v>
      </c>
      <c r="CY213" s="537">
        <f t="shared" si="735"/>
        <v>2250</v>
      </c>
      <c r="CZ213" s="537">
        <f t="shared" si="736"/>
        <v>2250</v>
      </c>
      <c r="DA213" s="537">
        <f t="shared" si="737"/>
        <v>2250</v>
      </c>
      <c r="DB213" s="537">
        <f t="shared" si="738"/>
        <v>2250</v>
      </c>
      <c r="DC213" s="4389">
        <f t="shared" si="738"/>
        <v>2250</v>
      </c>
      <c r="DD213" s="537">
        <f t="shared" si="739"/>
        <v>2250</v>
      </c>
      <c r="DE213" s="537">
        <f t="shared" si="739"/>
        <v>2250</v>
      </c>
      <c r="DF213" s="537">
        <f t="shared" si="740"/>
        <v>2250</v>
      </c>
      <c r="DG213" s="537">
        <f t="shared" si="741"/>
        <v>2250</v>
      </c>
      <c r="DH213" s="4389">
        <f t="shared" si="741"/>
        <v>2250</v>
      </c>
      <c r="DI213" s="537">
        <f t="shared" si="743"/>
        <v>2250</v>
      </c>
      <c r="DJ213" s="537">
        <f t="shared" si="744"/>
        <v>2250</v>
      </c>
      <c r="DK213" s="537">
        <f t="shared" si="745"/>
        <v>2250</v>
      </c>
      <c r="DL213" s="537">
        <f t="shared" si="746"/>
        <v>2250</v>
      </c>
      <c r="DM213" s="4389">
        <f t="shared" si="746"/>
        <v>2250</v>
      </c>
      <c r="DN213" s="537">
        <f t="shared" si="747"/>
        <v>2250</v>
      </c>
      <c r="DO213" s="537">
        <f t="shared" si="748"/>
        <v>2250</v>
      </c>
      <c r="DP213" s="537">
        <f t="shared" si="750"/>
        <v>2250</v>
      </c>
      <c r="DQ213" s="537">
        <f t="shared" si="751"/>
        <v>2250</v>
      </c>
      <c r="DR213" s="4389">
        <f t="shared" si="751"/>
        <v>2250</v>
      </c>
      <c r="DS213" s="537">
        <f t="shared" si="752"/>
        <v>2250</v>
      </c>
      <c r="DT213" s="537">
        <f t="shared" si="753"/>
        <v>2250</v>
      </c>
      <c r="DU213" s="537">
        <f t="shared" si="754"/>
        <v>2250</v>
      </c>
      <c r="DV213" s="537">
        <f t="shared" si="755"/>
        <v>2250</v>
      </c>
      <c r="DW213" s="4389">
        <f t="shared" si="755"/>
        <v>2250</v>
      </c>
      <c r="DX213" s="1430">
        <f t="shared" ref="DX213:EA216" si="756">DW213</f>
        <v>2250</v>
      </c>
      <c r="DY213" s="1430">
        <f t="shared" si="756"/>
        <v>2250</v>
      </c>
      <c r="DZ213" s="1430">
        <f t="shared" si="756"/>
        <v>2250</v>
      </c>
      <c r="EA213" s="1430">
        <f t="shared" si="756"/>
        <v>2250</v>
      </c>
      <c r="EC213" s="3683"/>
      <c r="ED213" s="3683"/>
    </row>
    <row r="214" spans="1:134" s="31" customFormat="1" ht="11.25" customHeight="1">
      <c r="A214" s="1614" t="s">
        <v>937</v>
      </c>
      <c r="B214" s="36"/>
      <c r="C214" s="36"/>
      <c r="D214" s="36"/>
      <c r="E214" s="484"/>
      <c r="F214" s="4790"/>
      <c r="G214" s="36"/>
      <c r="H214" s="36"/>
      <c r="I214" s="484"/>
      <c r="J214" s="3662"/>
      <c r="K214" s="37"/>
      <c r="L214" s="37"/>
      <c r="M214" s="484"/>
      <c r="N214" s="37"/>
      <c r="O214" s="37"/>
      <c r="P214" s="37"/>
      <c r="Q214" s="484"/>
      <c r="R214" s="3835"/>
      <c r="S214" s="95"/>
      <c r="T214" s="95"/>
      <c r="U214" s="484"/>
      <c r="V214" s="3666"/>
      <c r="W214" s="43"/>
      <c r="X214" s="43"/>
      <c r="Y214" s="484"/>
      <c r="Z214" s="3666"/>
      <c r="AA214" s="43"/>
      <c r="AB214" s="43"/>
      <c r="AC214" s="484"/>
      <c r="AD214" s="3666"/>
      <c r="AE214" s="43"/>
      <c r="AF214" s="43"/>
      <c r="AG214" s="484"/>
      <c r="AH214" s="3666"/>
      <c r="AI214" s="43"/>
      <c r="AJ214" s="43"/>
      <c r="AK214" s="484"/>
      <c r="AL214" s="3666"/>
      <c r="AM214" s="43"/>
      <c r="AN214" s="43"/>
      <c r="AO214" s="484"/>
      <c r="AP214" s="43"/>
      <c r="AQ214" s="43"/>
      <c r="AR214" s="43"/>
      <c r="AS214" s="484"/>
      <c r="AT214" s="3666"/>
      <c r="AU214" s="43"/>
      <c r="AV214" s="43"/>
      <c r="AW214" s="484"/>
      <c r="AX214" s="3666"/>
      <c r="AY214" s="43"/>
      <c r="AZ214" s="43"/>
      <c r="BA214" s="484"/>
      <c r="BB214" s="1286"/>
      <c r="BC214" s="43"/>
      <c r="BD214" s="43"/>
      <c r="BE214" s="484"/>
      <c r="BF214" s="1286"/>
      <c r="BG214" s="43"/>
      <c r="BH214" s="537"/>
      <c r="BI214" s="851"/>
      <c r="BJ214" s="4791"/>
      <c r="BK214" s="1429"/>
      <c r="BL214" s="537"/>
      <c r="BM214" s="537"/>
      <c r="BN214" s="537"/>
      <c r="BO214" s="4791"/>
      <c r="BP214" s="1429"/>
      <c r="BQ214" s="537"/>
      <c r="BR214" s="537"/>
      <c r="BS214" s="537"/>
      <c r="BT214" s="4791"/>
      <c r="BU214" s="1429"/>
      <c r="BV214" s="537"/>
      <c r="BW214" s="537"/>
      <c r="BX214" s="537"/>
      <c r="BY214" s="4791"/>
      <c r="BZ214" s="537"/>
      <c r="CA214" s="537"/>
      <c r="CB214" s="537"/>
      <c r="CC214" s="537"/>
      <c r="CD214" s="4791"/>
      <c r="CE214" s="537"/>
      <c r="CF214" s="537"/>
      <c r="CG214" s="537"/>
      <c r="CH214" s="537"/>
      <c r="CI214" s="4791"/>
      <c r="CJ214" s="537"/>
      <c r="CK214" s="537"/>
      <c r="CL214" s="537"/>
      <c r="CM214" s="537"/>
      <c r="CN214" s="4792"/>
      <c r="CO214" s="537"/>
      <c r="CP214" s="537"/>
      <c r="CQ214" s="652">
        <v>1250</v>
      </c>
      <c r="CR214" s="537">
        <f>CQ214</f>
        <v>1250</v>
      </c>
      <c r="CS214" s="4792">
        <f t="shared" si="733"/>
        <v>1250</v>
      </c>
      <c r="CT214" s="537">
        <f t="shared" si="749"/>
        <v>1250</v>
      </c>
      <c r="CU214" s="537">
        <f t="shared" si="749"/>
        <v>1250</v>
      </c>
      <c r="CV214" s="537">
        <f t="shared" si="749"/>
        <v>1250</v>
      </c>
      <c r="CW214" s="537">
        <f>CV214</f>
        <v>1250</v>
      </c>
      <c r="CX214" s="4792">
        <f t="shared" si="734"/>
        <v>1250</v>
      </c>
      <c r="CY214" s="537">
        <f t="shared" si="735"/>
        <v>1250</v>
      </c>
      <c r="CZ214" s="537">
        <f t="shared" si="736"/>
        <v>1250</v>
      </c>
      <c r="DA214" s="537">
        <f t="shared" si="737"/>
        <v>1250</v>
      </c>
      <c r="DB214" s="537">
        <f t="shared" si="738"/>
        <v>1250</v>
      </c>
      <c r="DC214" s="4792">
        <f t="shared" si="738"/>
        <v>1250</v>
      </c>
      <c r="DD214" s="537">
        <f t="shared" si="739"/>
        <v>1250</v>
      </c>
      <c r="DE214" s="537">
        <f t="shared" si="739"/>
        <v>1250</v>
      </c>
      <c r="DF214" s="537">
        <f t="shared" si="740"/>
        <v>1250</v>
      </c>
      <c r="DG214" s="537">
        <f t="shared" si="741"/>
        <v>1250</v>
      </c>
      <c r="DH214" s="4792">
        <f t="shared" si="741"/>
        <v>1250</v>
      </c>
      <c r="DI214" s="537">
        <f t="shared" si="743"/>
        <v>1250</v>
      </c>
      <c r="DJ214" s="537">
        <f t="shared" si="744"/>
        <v>1250</v>
      </c>
      <c r="DK214" s="537">
        <f t="shared" si="745"/>
        <v>1250</v>
      </c>
      <c r="DL214" s="537">
        <f t="shared" si="746"/>
        <v>1250</v>
      </c>
      <c r="DM214" s="4792">
        <f t="shared" si="746"/>
        <v>1250</v>
      </c>
      <c r="DN214" s="537">
        <f t="shared" si="747"/>
        <v>1250</v>
      </c>
      <c r="DO214" s="537">
        <f t="shared" si="748"/>
        <v>1250</v>
      </c>
      <c r="DP214" s="537">
        <f t="shared" si="750"/>
        <v>1250</v>
      </c>
      <c r="DQ214" s="537">
        <f t="shared" si="751"/>
        <v>1250</v>
      </c>
      <c r="DR214" s="4792">
        <f t="shared" si="751"/>
        <v>1250</v>
      </c>
      <c r="DS214" s="537">
        <f t="shared" si="752"/>
        <v>1250</v>
      </c>
      <c r="DT214" s="537">
        <f t="shared" si="753"/>
        <v>1250</v>
      </c>
      <c r="DU214" s="537">
        <f t="shared" si="754"/>
        <v>1250</v>
      </c>
      <c r="DV214" s="537">
        <f t="shared" si="755"/>
        <v>1250</v>
      </c>
      <c r="DW214" s="4792">
        <f t="shared" si="755"/>
        <v>1250</v>
      </c>
      <c r="DX214" s="4791">
        <f t="shared" si="756"/>
        <v>1250</v>
      </c>
      <c r="DY214" s="4791">
        <f t="shared" si="756"/>
        <v>1250</v>
      </c>
      <c r="DZ214" s="4791">
        <f t="shared" si="756"/>
        <v>1250</v>
      </c>
      <c r="EA214" s="4791">
        <f t="shared" si="756"/>
        <v>1250</v>
      </c>
      <c r="EC214" s="3683"/>
      <c r="ED214" s="3683"/>
    </row>
    <row r="215" spans="1:134" s="31" customFormat="1" ht="11.25" customHeight="1">
      <c r="A215" s="1614" t="s">
        <v>938</v>
      </c>
      <c r="B215" s="36"/>
      <c r="C215" s="36"/>
      <c r="D215" s="36"/>
      <c r="E215" s="484"/>
      <c r="F215" s="4790"/>
      <c r="G215" s="36"/>
      <c r="H215" s="36"/>
      <c r="I215" s="484"/>
      <c r="J215" s="3662"/>
      <c r="K215" s="37"/>
      <c r="L215" s="37"/>
      <c r="M215" s="484"/>
      <c r="N215" s="37"/>
      <c r="O215" s="37"/>
      <c r="P215" s="37"/>
      <c r="Q215" s="484"/>
      <c r="R215" s="3835"/>
      <c r="S215" s="95"/>
      <c r="T215" s="95"/>
      <c r="U215" s="484"/>
      <c r="V215" s="3666"/>
      <c r="W215" s="43"/>
      <c r="X215" s="43"/>
      <c r="Y215" s="484"/>
      <c r="Z215" s="3666"/>
      <c r="AA215" s="43"/>
      <c r="AB215" s="43"/>
      <c r="AC215" s="484"/>
      <c r="AD215" s="3666"/>
      <c r="AE215" s="43"/>
      <c r="AF215" s="43"/>
      <c r="AG215" s="484"/>
      <c r="AH215" s="3666"/>
      <c r="AI215" s="43"/>
      <c r="AJ215" s="43"/>
      <c r="AK215" s="484"/>
      <c r="AL215" s="3666"/>
      <c r="AM215" s="43"/>
      <c r="AN215" s="43"/>
      <c r="AO215" s="484"/>
      <c r="AP215" s="43"/>
      <c r="AQ215" s="43"/>
      <c r="AR215" s="43"/>
      <c r="AS215" s="484"/>
      <c r="AT215" s="3666"/>
      <c r="AU215" s="43"/>
      <c r="AV215" s="43"/>
      <c r="AW215" s="484"/>
      <c r="AX215" s="3666"/>
      <c r="AY215" s="43"/>
      <c r="AZ215" s="43"/>
      <c r="BA215" s="484"/>
      <c r="BB215" s="1286"/>
      <c r="BC215" s="43"/>
      <c r="BD215" s="43"/>
      <c r="BE215" s="484"/>
      <c r="BF215" s="1286"/>
      <c r="BG215" s="43"/>
      <c r="BH215" s="537"/>
      <c r="BI215" s="851"/>
      <c r="BJ215" s="4791"/>
      <c r="BK215" s="1429"/>
      <c r="BL215" s="537"/>
      <c r="BM215" s="537"/>
      <c r="BN215" s="537"/>
      <c r="BO215" s="4791"/>
      <c r="BP215" s="1429"/>
      <c r="BQ215" s="537"/>
      <c r="BR215" s="537"/>
      <c r="BS215" s="537"/>
      <c r="BT215" s="4791"/>
      <c r="BU215" s="1429"/>
      <c r="BV215" s="537"/>
      <c r="BW215" s="537"/>
      <c r="BX215" s="537"/>
      <c r="BY215" s="4791"/>
      <c r="BZ215" s="537"/>
      <c r="CA215" s="537"/>
      <c r="CB215" s="537"/>
      <c r="CC215" s="537"/>
      <c r="CD215" s="4791"/>
      <c r="CE215" s="537"/>
      <c r="CF215" s="537"/>
      <c r="CG215" s="537"/>
      <c r="CH215" s="537"/>
      <c r="CI215" s="4791"/>
      <c r="CJ215" s="537"/>
      <c r="CK215" s="537"/>
      <c r="CL215" s="537"/>
      <c r="CM215" s="537"/>
      <c r="CN215" s="4792"/>
      <c r="CO215" s="537"/>
      <c r="CP215" s="537"/>
      <c r="CQ215" s="652">
        <v>2500</v>
      </c>
      <c r="CR215" s="537">
        <f>CQ215</f>
        <v>2500</v>
      </c>
      <c r="CS215" s="4792">
        <f t="shared" si="733"/>
        <v>2500</v>
      </c>
      <c r="CT215" s="537">
        <f t="shared" si="749"/>
        <v>2500</v>
      </c>
      <c r="CU215" s="537">
        <f t="shared" si="749"/>
        <v>2500</v>
      </c>
      <c r="CV215" s="537">
        <f t="shared" si="749"/>
        <v>2500</v>
      </c>
      <c r="CW215" s="537">
        <f>CV215</f>
        <v>2500</v>
      </c>
      <c r="CX215" s="4792">
        <f t="shared" si="734"/>
        <v>2500</v>
      </c>
      <c r="CY215" s="537">
        <f t="shared" si="735"/>
        <v>2500</v>
      </c>
      <c r="CZ215" s="537">
        <f t="shared" si="736"/>
        <v>2500</v>
      </c>
      <c r="DA215" s="537">
        <f t="shared" si="737"/>
        <v>2500</v>
      </c>
      <c r="DB215" s="537">
        <f t="shared" si="738"/>
        <v>2500</v>
      </c>
      <c r="DC215" s="4792">
        <f t="shared" si="738"/>
        <v>2500</v>
      </c>
      <c r="DD215" s="537">
        <f t="shared" si="739"/>
        <v>2500</v>
      </c>
      <c r="DE215" s="537">
        <f t="shared" si="739"/>
        <v>2500</v>
      </c>
      <c r="DF215" s="537">
        <f t="shared" si="740"/>
        <v>2500</v>
      </c>
      <c r="DG215" s="537">
        <f t="shared" si="741"/>
        <v>2500</v>
      </c>
      <c r="DH215" s="4792">
        <f t="shared" si="741"/>
        <v>2500</v>
      </c>
      <c r="DI215" s="537">
        <f t="shared" si="743"/>
        <v>2500</v>
      </c>
      <c r="DJ215" s="537">
        <f t="shared" si="744"/>
        <v>2500</v>
      </c>
      <c r="DK215" s="537">
        <f t="shared" si="745"/>
        <v>2500</v>
      </c>
      <c r="DL215" s="537">
        <f t="shared" si="746"/>
        <v>2500</v>
      </c>
      <c r="DM215" s="4792">
        <f t="shared" si="746"/>
        <v>2500</v>
      </c>
      <c r="DN215" s="537">
        <f t="shared" si="747"/>
        <v>2500</v>
      </c>
      <c r="DO215" s="537">
        <f t="shared" si="748"/>
        <v>2500</v>
      </c>
      <c r="DP215" s="537">
        <f t="shared" si="750"/>
        <v>2500</v>
      </c>
      <c r="DQ215" s="537">
        <f t="shared" si="751"/>
        <v>2500</v>
      </c>
      <c r="DR215" s="4792">
        <f t="shared" si="751"/>
        <v>2500</v>
      </c>
      <c r="DS215" s="537">
        <f t="shared" si="752"/>
        <v>2500</v>
      </c>
      <c r="DT215" s="537">
        <f t="shared" si="753"/>
        <v>2500</v>
      </c>
      <c r="DU215" s="537">
        <f t="shared" si="754"/>
        <v>2500</v>
      </c>
      <c r="DV215" s="537">
        <f t="shared" si="755"/>
        <v>2500</v>
      </c>
      <c r="DW215" s="4792">
        <f t="shared" si="755"/>
        <v>2500</v>
      </c>
      <c r="DX215" s="4791">
        <f t="shared" si="756"/>
        <v>2500</v>
      </c>
      <c r="DY215" s="4791">
        <f t="shared" si="756"/>
        <v>2500</v>
      </c>
      <c r="DZ215" s="4791">
        <f t="shared" si="756"/>
        <v>2500</v>
      </c>
      <c r="EA215" s="4791">
        <f t="shared" si="756"/>
        <v>2500</v>
      </c>
      <c r="EC215" s="3683"/>
      <c r="ED215" s="3683"/>
    </row>
    <row r="216" spans="1:134" s="31" customFormat="1" ht="11.25" customHeight="1">
      <c r="A216" s="1614" t="s">
        <v>939</v>
      </c>
      <c r="B216" s="36"/>
      <c r="C216" s="36"/>
      <c r="D216" s="36"/>
      <c r="E216" s="484"/>
      <c r="F216" s="4790"/>
      <c r="G216" s="36"/>
      <c r="H216" s="36"/>
      <c r="I216" s="484"/>
      <c r="J216" s="3662"/>
      <c r="K216" s="37"/>
      <c r="L216" s="37"/>
      <c r="M216" s="484"/>
      <c r="N216" s="37"/>
      <c r="O216" s="37"/>
      <c r="P216" s="37"/>
      <c r="Q216" s="484"/>
      <c r="R216" s="3835"/>
      <c r="S216" s="95"/>
      <c r="T216" s="95"/>
      <c r="U216" s="484"/>
      <c r="V216" s="3666"/>
      <c r="W216" s="43"/>
      <c r="X216" s="43"/>
      <c r="Y216" s="484"/>
      <c r="Z216" s="3666"/>
      <c r="AA216" s="43"/>
      <c r="AB216" s="43"/>
      <c r="AC216" s="484"/>
      <c r="AD216" s="3666"/>
      <c r="AE216" s="43"/>
      <c r="AF216" s="43"/>
      <c r="AG216" s="484"/>
      <c r="AH216" s="3666"/>
      <c r="AI216" s="43"/>
      <c r="AJ216" s="43"/>
      <c r="AK216" s="484"/>
      <c r="AL216" s="3666"/>
      <c r="AM216" s="43"/>
      <c r="AN216" s="43"/>
      <c r="AO216" s="484"/>
      <c r="AP216" s="43"/>
      <c r="AQ216" s="43"/>
      <c r="AR216" s="43"/>
      <c r="AS216" s="484"/>
      <c r="AT216" s="3666"/>
      <c r="AU216" s="43"/>
      <c r="AV216" s="43"/>
      <c r="AW216" s="484"/>
      <c r="AX216" s="3666"/>
      <c r="AY216" s="43"/>
      <c r="AZ216" s="43"/>
      <c r="BA216" s="484"/>
      <c r="BB216" s="1286"/>
      <c r="BC216" s="43"/>
      <c r="BD216" s="43"/>
      <c r="BE216" s="484"/>
      <c r="BF216" s="1286"/>
      <c r="BG216" s="43"/>
      <c r="BH216" s="537"/>
      <c r="BI216" s="851"/>
      <c r="BJ216" s="4791"/>
      <c r="BK216" s="1429"/>
      <c r="BL216" s="537"/>
      <c r="BM216" s="537"/>
      <c r="BN216" s="537"/>
      <c r="BO216" s="4791"/>
      <c r="BP216" s="1429"/>
      <c r="BQ216" s="537"/>
      <c r="BR216" s="537"/>
      <c r="BS216" s="537"/>
      <c r="BT216" s="4791"/>
      <c r="BU216" s="1429"/>
      <c r="BV216" s="537"/>
      <c r="BW216" s="537"/>
      <c r="BX216" s="537"/>
      <c r="BY216" s="4791"/>
      <c r="BZ216" s="537"/>
      <c r="CA216" s="537"/>
      <c r="CB216" s="537"/>
      <c r="CC216" s="537"/>
      <c r="CD216" s="4791"/>
      <c r="CE216" s="537"/>
      <c r="CF216" s="537"/>
      <c r="CG216" s="537"/>
      <c r="CH216" s="537"/>
      <c r="CI216" s="4791"/>
      <c r="CJ216" s="537"/>
      <c r="CK216" s="537"/>
      <c r="CL216" s="537"/>
      <c r="CM216" s="537"/>
      <c r="CN216" s="4792"/>
      <c r="CO216" s="537"/>
      <c r="CP216" s="537"/>
      <c r="CQ216" s="652">
        <v>2000</v>
      </c>
      <c r="CR216" s="537">
        <f>CQ216</f>
        <v>2000</v>
      </c>
      <c r="CS216" s="4792">
        <f t="shared" si="733"/>
        <v>2000</v>
      </c>
      <c r="CT216" s="537">
        <f t="shared" si="749"/>
        <v>2000</v>
      </c>
      <c r="CU216" s="537">
        <f t="shared" si="749"/>
        <v>2000</v>
      </c>
      <c r="CV216" s="537">
        <f t="shared" si="749"/>
        <v>2000</v>
      </c>
      <c r="CW216" s="537">
        <f>CV216</f>
        <v>2000</v>
      </c>
      <c r="CX216" s="4792">
        <f t="shared" si="734"/>
        <v>2000</v>
      </c>
      <c r="CY216" s="537">
        <f t="shared" si="735"/>
        <v>2000</v>
      </c>
      <c r="CZ216" s="537">
        <f t="shared" si="736"/>
        <v>2000</v>
      </c>
      <c r="DA216" s="537">
        <f t="shared" si="737"/>
        <v>2000</v>
      </c>
      <c r="DB216" s="537">
        <f t="shared" si="738"/>
        <v>2000</v>
      </c>
      <c r="DC216" s="4792">
        <f t="shared" si="738"/>
        <v>2000</v>
      </c>
      <c r="DD216" s="537">
        <f t="shared" si="739"/>
        <v>2000</v>
      </c>
      <c r="DE216" s="537">
        <f t="shared" si="739"/>
        <v>2000</v>
      </c>
      <c r="DF216" s="537">
        <f t="shared" si="740"/>
        <v>2000</v>
      </c>
      <c r="DG216" s="537">
        <f t="shared" si="741"/>
        <v>2000</v>
      </c>
      <c r="DH216" s="4792">
        <f t="shared" si="741"/>
        <v>2000</v>
      </c>
      <c r="DI216" s="537">
        <f t="shared" si="743"/>
        <v>2000</v>
      </c>
      <c r="DJ216" s="537">
        <f t="shared" si="744"/>
        <v>2000</v>
      </c>
      <c r="DK216" s="537">
        <f t="shared" si="745"/>
        <v>2000</v>
      </c>
      <c r="DL216" s="537">
        <f t="shared" si="746"/>
        <v>2000</v>
      </c>
      <c r="DM216" s="4792">
        <f t="shared" si="746"/>
        <v>2000</v>
      </c>
      <c r="DN216" s="537">
        <f t="shared" si="747"/>
        <v>2000</v>
      </c>
      <c r="DO216" s="537">
        <f t="shared" si="748"/>
        <v>2000</v>
      </c>
      <c r="DP216" s="537">
        <f t="shared" si="750"/>
        <v>2000</v>
      </c>
      <c r="DQ216" s="537">
        <f t="shared" si="751"/>
        <v>2000</v>
      </c>
      <c r="DR216" s="4792">
        <f t="shared" si="751"/>
        <v>2000</v>
      </c>
      <c r="DS216" s="537">
        <f t="shared" si="752"/>
        <v>2000</v>
      </c>
      <c r="DT216" s="537">
        <f t="shared" si="753"/>
        <v>2000</v>
      </c>
      <c r="DU216" s="537">
        <f t="shared" si="754"/>
        <v>2000</v>
      </c>
      <c r="DV216" s="537">
        <f t="shared" si="755"/>
        <v>2000</v>
      </c>
      <c r="DW216" s="4792">
        <f t="shared" si="755"/>
        <v>2000</v>
      </c>
      <c r="DX216" s="4791">
        <f t="shared" si="756"/>
        <v>2000</v>
      </c>
      <c r="DY216" s="4791">
        <f t="shared" si="756"/>
        <v>2000</v>
      </c>
      <c r="DZ216" s="4791">
        <f t="shared" si="756"/>
        <v>2000</v>
      </c>
      <c r="EA216" s="4791">
        <f t="shared" si="756"/>
        <v>2000</v>
      </c>
      <c r="EC216" s="3683"/>
      <c r="ED216" s="3683"/>
    </row>
    <row r="217" spans="1:134" s="31" customFormat="1" ht="11.25" hidden="1" customHeight="1" outlineLevel="1">
      <c r="A217" s="1614" t="s">
        <v>116</v>
      </c>
      <c r="B217" s="36"/>
      <c r="C217" s="36"/>
      <c r="D217" s="36"/>
      <c r="E217" s="484"/>
      <c r="F217" s="1282"/>
      <c r="G217" s="36"/>
      <c r="H217" s="36"/>
      <c r="I217" s="484"/>
      <c r="J217" s="1283"/>
      <c r="K217" s="37"/>
      <c r="L217" s="37"/>
      <c r="M217" s="484"/>
      <c r="N217" s="37"/>
      <c r="O217" s="37"/>
      <c r="P217" s="37"/>
      <c r="Q217" s="484"/>
      <c r="R217" s="1284"/>
      <c r="S217" s="95"/>
      <c r="T217" s="95"/>
      <c r="U217" s="484"/>
      <c r="V217" s="1285"/>
      <c r="W217" s="43"/>
      <c r="X217" s="43"/>
      <c r="Y217" s="484"/>
      <c r="Z217" s="1285"/>
      <c r="AA217" s="43"/>
      <c r="AB217" s="43"/>
      <c r="AC217" s="484"/>
      <c r="AD217" s="1285"/>
      <c r="AE217" s="43"/>
      <c r="AF217" s="43"/>
      <c r="AG217" s="484"/>
      <c r="AH217" s="1285"/>
      <c r="AI217" s="43"/>
      <c r="AJ217" s="43"/>
      <c r="AK217" s="484"/>
      <c r="AL217" s="1285"/>
      <c r="AM217" s="43"/>
      <c r="AN217" s="43"/>
      <c r="AO217" s="484"/>
      <c r="AP217" s="43"/>
      <c r="AQ217" s="43"/>
      <c r="AR217" s="43"/>
      <c r="AS217" s="484"/>
      <c r="AT217" s="1285"/>
      <c r="AU217" s="43"/>
      <c r="AV217" s="43"/>
      <c r="AW217" s="484"/>
      <c r="AX217" s="1285"/>
      <c r="AY217" s="43"/>
      <c r="AZ217" s="43"/>
      <c r="BA217" s="484"/>
      <c r="BB217" s="1286"/>
      <c r="BC217" s="43"/>
      <c r="BD217" s="43"/>
      <c r="BE217" s="484"/>
      <c r="BF217" s="1286"/>
      <c r="BG217" s="43"/>
      <c r="BH217" s="537"/>
      <c r="BI217" s="851"/>
      <c r="BJ217" s="1430"/>
      <c r="BK217" s="1429"/>
      <c r="BL217" s="537"/>
      <c r="BM217" s="537"/>
      <c r="BN217" s="537"/>
      <c r="BO217" s="1430"/>
      <c r="BP217" s="1429"/>
      <c r="BQ217" s="537"/>
      <c r="BR217" s="537"/>
      <c r="BS217" s="537"/>
      <c r="BT217" s="1430"/>
      <c r="BU217" s="1429"/>
      <c r="BV217" s="537"/>
      <c r="BW217" s="537"/>
      <c r="BX217" s="537"/>
      <c r="BY217" s="1430"/>
      <c r="BZ217" s="537"/>
      <c r="CA217" s="537"/>
      <c r="CB217" s="537"/>
      <c r="CC217" s="537"/>
      <c r="CD217" s="1430"/>
      <c r="CE217" s="537"/>
      <c r="CF217" s="537"/>
      <c r="CG217" s="537"/>
      <c r="CH217" s="537"/>
      <c r="CI217" s="1430"/>
      <c r="CJ217" s="537"/>
      <c r="CK217" s="537"/>
      <c r="CL217" s="537"/>
      <c r="CM217" s="537"/>
      <c r="CN217" s="4389"/>
      <c r="CO217" s="537"/>
      <c r="CP217" s="537"/>
      <c r="CQ217" s="537"/>
      <c r="CR217" s="537"/>
      <c r="CS217" s="4389"/>
      <c r="CT217" s="537"/>
      <c r="CU217" s="537"/>
      <c r="CV217" s="537"/>
      <c r="CW217" s="537"/>
      <c r="CX217" s="4389"/>
      <c r="CY217" s="537"/>
      <c r="CZ217" s="537"/>
      <c r="DA217" s="537"/>
      <c r="DB217" s="537"/>
      <c r="DC217" s="4389"/>
      <c r="DD217" s="537"/>
      <c r="DE217" s="537"/>
      <c r="DF217" s="537"/>
      <c r="DG217" s="537"/>
      <c r="DH217" s="4389"/>
      <c r="DI217" s="537"/>
      <c r="DJ217" s="537"/>
      <c r="DK217" s="537"/>
      <c r="DL217" s="537"/>
      <c r="DM217" s="4389"/>
      <c r="DN217" s="537"/>
      <c r="DO217" s="537"/>
      <c r="DP217" s="537"/>
      <c r="DQ217" s="537"/>
      <c r="DR217" s="4389"/>
      <c r="DS217" s="537"/>
      <c r="DT217" s="537"/>
      <c r="DU217" s="537"/>
      <c r="DV217" s="537"/>
      <c r="DW217" s="4389"/>
      <c r="DX217" s="1430"/>
      <c r="DY217" s="1430"/>
      <c r="DZ217" s="1430"/>
      <c r="EA217" s="1430"/>
      <c r="EC217" s="3683"/>
      <c r="ED217" s="3683"/>
    </row>
    <row r="218" spans="1:134" s="31" customFormat="1" ht="11.25" customHeight="1" collapsed="1">
      <c r="A218" s="1615" t="s">
        <v>406</v>
      </c>
      <c r="B218" s="1298"/>
      <c r="C218" s="1298"/>
      <c r="D218" s="1298"/>
      <c r="E218" s="1307"/>
      <c r="F218" s="1299"/>
      <c r="G218" s="1298"/>
      <c r="H218" s="1298"/>
      <c r="I218" s="1307"/>
      <c r="J218" s="1300"/>
      <c r="K218" s="1301"/>
      <c r="L218" s="1301"/>
      <c r="M218" s="1307"/>
      <c r="N218" s="1301"/>
      <c r="O218" s="1301"/>
      <c r="P218" s="1301"/>
      <c r="Q218" s="1307"/>
      <c r="R218" s="1302"/>
      <c r="S218" s="1303"/>
      <c r="T218" s="1303"/>
      <c r="U218" s="1307"/>
      <c r="V218" s="1304"/>
      <c r="W218" s="1305"/>
      <c r="X218" s="1305"/>
      <c r="Y218" s="1307"/>
      <c r="Z218" s="1304"/>
      <c r="AA218" s="1305"/>
      <c r="AB218" s="1305"/>
      <c r="AC218" s="1307"/>
      <c r="AD218" s="1304"/>
      <c r="AE218" s="1305"/>
      <c r="AF218" s="1305"/>
      <c r="AG218" s="1307"/>
      <c r="AH218" s="1304"/>
      <c r="AI218" s="1305"/>
      <c r="AJ218" s="1305"/>
      <c r="AK218" s="1307"/>
      <c r="AL218" s="1304"/>
      <c r="AM218" s="1305"/>
      <c r="AN218" s="1305"/>
      <c r="AO218" s="1307"/>
      <c r="AP218" s="1305"/>
      <c r="AQ218" s="1305"/>
      <c r="AR218" s="1305"/>
      <c r="AS218" s="1307"/>
      <c r="AT218" s="1304"/>
      <c r="AU218" s="1305"/>
      <c r="AV218" s="1305"/>
      <c r="AW218" s="1307"/>
      <c r="AX218" s="1304"/>
      <c r="AY218" s="1305"/>
      <c r="AZ218" s="1305"/>
      <c r="BA218" s="1307"/>
      <c r="BB218" s="1306"/>
      <c r="BC218" s="1305"/>
      <c r="BD218" s="1305"/>
      <c r="BE218" s="1307"/>
      <c r="BF218" s="1306"/>
      <c r="BG218" s="1305"/>
      <c r="BH218" s="1433"/>
      <c r="BI218" s="1434"/>
      <c r="BJ218" s="1436"/>
      <c r="BK218" s="1435">
        <f>SUM(BK204:BK217)</f>
        <v>3000</v>
      </c>
      <c r="BL218" s="1433">
        <f>SUM(BL204:BL217)</f>
        <v>3000</v>
      </c>
      <c r="BM218" s="1433">
        <f>SUM(BM204:BM217)</f>
        <v>3000</v>
      </c>
      <c r="BN218" s="1433">
        <f>SUM(BN204:BN217)</f>
        <v>3000</v>
      </c>
      <c r="BO218" s="1436"/>
      <c r="BP218" s="1435">
        <f>SUM(BP204:BP217)</f>
        <v>3000</v>
      </c>
      <c r="BQ218" s="1433">
        <f>SUM(BQ204:BQ217)</f>
        <v>3000</v>
      </c>
      <c r="BR218" s="1433">
        <f>SUM(BR204:BR217)</f>
        <v>3000</v>
      </c>
      <c r="BS218" s="1433">
        <f>SUM(BS204:BS217)</f>
        <v>3000</v>
      </c>
      <c r="BT218" s="1436"/>
      <c r="BU218" s="1435">
        <f>SUM(BU204:BU217)</f>
        <v>5221</v>
      </c>
      <c r="BV218" s="1433">
        <f>SUM(BV204:BV217)</f>
        <v>4219</v>
      </c>
      <c r="BW218" s="1433">
        <f>SUM(BW204:BW217)</f>
        <v>4000</v>
      </c>
      <c r="BX218" s="1433">
        <f>SUM(BX204:BX217)</f>
        <v>4000</v>
      </c>
      <c r="BY218" s="1436"/>
      <c r="BZ218" s="1433">
        <f t="shared" ref="BZ218:CX218" si="757">SUM(BZ204:BZ217)</f>
        <v>4000</v>
      </c>
      <c r="CA218" s="1433">
        <f t="shared" si="757"/>
        <v>4000</v>
      </c>
      <c r="CB218" s="1433">
        <f t="shared" si="757"/>
        <v>4000</v>
      </c>
      <c r="CC218" s="1433">
        <f t="shared" si="757"/>
        <v>4000</v>
      </c>
      <c r="CD218" s="1436">
        <f t="shared" si="757"/>
        <v>4000</v>
      </c>
      <c r="CE218" s="1433">
        <f t="shared" si="757"/>
        <v>5329</v>
      </c>
      <c r="CF218" s="1433">
        <f t="shared" si="757"/>
        <v>4000</v>
      </c>
      <c r="CG218" s="1433">
        <f t="shared" si="757"/>
        <v>4000</v>
      </c>
      <c r="CH218" s="1433">
        <f t="shared" si="757"/>
        <v>4000</v>
      </c>
      <c r="CI218" s="1436">
        <f t="shared" si="757"/>
        <v>4000</v>
      </c>
      <c r="CJ218" s="1433">
        <f t="shared" si="757"/>
        <v>4000</v>
      </c>
      <c r="CK218" s="1433">
        <f t="shared" si="757"/>
        <v>4000</v>
      </c>
      <c r="CL218" s="1433">
        <f t="shared" si="757"/>
        <v>4000</v>
      </c>
      <c r="CM218" s="1433">
        <f t="shared" si="757"/>
        <v>4000</v>
      </c>
      <c r="CN218" s="4391">
        <f t="shared" si="757"/>
        <v>4000</v>
      </c>
      <c r="CO218" s="4180">
        <f t="shared" si="757"/>
        <v>4000</v>
      </c>
      <c r="CP218" s="4180">
        <f t="shared" si="757"/>
        <v>4000</v>
      </c>
      <c r="CQ218" s="4180">
        <f t="shared" si="757"/>
        <v>14000</v>
      </c>
      <c r="CR218" s="4180">
        <f t="shared" si="757"/>
        <v>14000</v>
      </c>
      <c r="CS218" s="4391">
        <f t="shared" si="757"/>
        <v>14000</v>
      </c>
      <c r="CT218" s="4180">
        <f t="shared" si="757"/>
        <v>14000</v>
      </c>
      <c r="CU218" s="4180">
        <f t="shared" si="757"/>
        <v>13000</v>
      </c>
      <c r="CV218" s="4180">
        <f t="shared" si="757"/>
        <v>13000</v>
      </c>
      <c r="CW218" s="4180">
        <f t="shared" si="757"/>
        <v>13000</v>
      </c>
      <c r="CX218" s="4391">
        <f t="shared" si="757"/>
        <v>13000</v>
      </c>
      <c r="CY218" s="4180">
        <f t="shared" ref="CY218:DH218" si="758">SUM(CY204:CY217)</f>
        <v>13000</v>
      </c>
      <c r="CZ218" s="4180">
        <f t="shared" si="758"/>
        <v>13000</v>
      </c>
      <c r="DA218" s="4180">
        <f t="shared" si="758"/>
        <v>13000</v>
      </c>
      <c r="DB218" s="4180">
        <f t="shared" si="758"/>
        <v>13000</v>
      </c>
      <c r="DC218" s="4391">
        <f t="shared" si="758"/>
        <v>13000</v>
      </c>
      <c r="DD218" s="4180">
        <f t="shared" si="758"/>
        <v>13000</v>
      </c>
      <c r="DE218" s="4180">
        <f>SUM(DE204:DE217)</f>
        <v>13000</v>
      </c>
      <c r="DF218" s="4180">
        <f t="shared" si="758"/>
        <v>13000</v>
      </c>
      <c r="DG218" s="4180">
        <f t="shared" si="758"/>
        <v>13000</v>
      </c>
      <c r="DH218" s="4391">
        <f t="shared" si="758"/>
        <v>13000</v>
      </c>
      <c r="DI218" s="4180">
        <f>SUM(DI204:DI217)</f>
        <v>12000</v>
      </c>
      <c r="DJ218" s="4180">
        <f>SUM(DJ204:DJ217)</f>
        <v>12000</v>
      </c>
      <c r="DK218" s="4180">
        <f>SUM(DK204:DK217)</f>
        <v>12000</v>
      </c>
      <c r="DL218" s="4180">
        <f>SUM(DL204:DL217)</f>
        <v>12000</v>
      </c>
      <c r="DM218" s="4391">
        <f>SUM(DM204:DM217)</f>
        <v>12000</v>
      </c>
      <c r="DN218" s="4180">
        <f t="shared" ref="DN218:DQ218" si="759">SUM(DN204:DN217)</f>
        <v>12000</v>
      </c>
      <c r="DO218" s="4180">
        <f t="shared" si="759"/>
        <v>12000</v>
      </c>
      <c r="DP218" s="4180">
        <f t="shared" si="759"/>
        <v>11000</v>
      </c>
      <c r="DQ218" s="4180">
        <f t="shared" si="759"/>
        <v>11000</v>
      </c>
      <c r="DR218" s="4391">
        <f>SUM(DR204:DR217)</f>
        <v>11000</v>
      </c>
      <c r="DS218" s="4180">
        <f t="shared" ref="DS218:DV218" si="760">SUM(DS204:DS217)</f>
        <v>11000</v>
      </c>
      <c r="DT218" s="4180">
        <f t="shared" si="760"/>
        <v>11000</v>
      </c>
      <c r="DU218" s="4180">
        <f t="shared" si="760"/>
        <v>11000</v>
      </c>
      <c r="DV218" s="4180">
        <f t="shared" si="760"/>
        <v>11000</v>
      </c>
      <c r="DW218" s="4391">
        <f>SUM(DW204:DW217)</f>
        <v>11000</v>
      </c>
      <c r="DX218" s="1436">
        <f>SUM(DX204:DX217)</f>
        <v>8000</v>
      </c>
      <c r="DY218" s="1436">
        <f>SUM(DY204:DY217)</f>
        <v>8000</v>
      </c>
      <c r="DZ218" s="1436">
        <f>SUM(DZ204:DZ217)</f>
        <v>8000</v>
      </c>
      <c r="EA218" s="1436">
        <f>SUM(EA204:EA217)</f>
        <v>8000</v>
      </c>
      <c r="EC218" s="3683"/>
      <c r="ED218" s="3683"/>
    </row>
    <row r="219" spans="1:134" s="31" customFormat="1" ht="11.25" customHeight="1">
      <c r="A219" s="3194" t="s">
        <v>404</v>
      </c>
      <c r="B219" s="3195"/>
      <c r="C219" s="3195"/>
      <c r="D219" s="3195"/>
      <c r="E219" s="3196"/>
      <c r="F219" s="3195"/>
      <c r="G219" s="3195"/>
      <c r="H219" s="3195"/>
      <c r="I219" s="3196"/>
      <c r="J219" s="3197"/>
      <c r="K219" s="3195"/>
      <c r="L219" s="3195"/>
      <c r="M219" s="3196"/>
      <c r="N219" s="3197"/>
      <c r="O219" s="3195"/>
      <c r="P219" s="3195"/>
      <c r="Q219" s="3196"/>
      <c r="R219" s="3195"/>
      <c r="S219" s="3195"/>
      <c r="T219" s="3195"/>
      <c r="U219" s="3196"/>
      <c r="V219" s="3198"/>
      <c r="W219" s="3199"/>
      <c r="X219" s="3199"/>
      <c r="Y219" s="3196"/>
      <c r="Z219" s="3199"/>
      <c r="AA219" s="3199"/>
      <c r="AB219" s="3199"/>
      <c r="AC219" s="3196"/>
      <c r="AD219" s="3198"/>
      <c r="AE219" s="3199"/>
      <c r="AF219" s="3199"/>
      <c r="AG219" s="3196"/>
      <c r="AH219" s="3199"/>
      <c r="AI219" s="3199"/>
      <c r="AJ219" s="3199"/>
      <c r="AK219" s="3196"/>
      <c r="AL219" s="3199"/>
      <c r="AM219" s="3199"/>
      <c r="AN219" s="3199"/>
      <c r="AO219" s="3196"/>
      <c r="AP219" s="3199"/>
      <c r="AQ219" s="3199"/>
      <c r="AR219" s="3199"/>
      <c r="AS219" s="3196"/>
      <c r="AT219" s="3199"/>
      <c r="AU219" s="3200"/>
      <c r="AV219" s="3199"/>
      <c r="AW219" s="3196"/>
      <c r="AX219" s="3199"/>
      <c r="AY219" s="3200"/>
      <c r="AZ219" s="3199"/>
      <c r="BA219" s="3196"/>
      <c r="BB219" s="3199"/>
      <c r="BC219" s="3200"/>
      <c r="BD219" s="3200"/>
      <c r="BE219" s="3196"/>
      <c r="BF219" s="3199"/>
      <c r="BG219" s="3200"/>
      <c r="BH219" s="3200"/>
      <c r="BI219" s="3196"/>
      <c r="BJ219" s="3201"/>
      <c r="BK219" s="3200"/>
      <c r="BL219" s="3200"/>
      <c r="BM219" s="3200"/>
      <c r="BN219" s="3196"/>
      <c r="BO219" s="3201"/>
      <c r="BP219" s="3200"/>
      <c r="BQ219" s="3200"/>
      <c r="BR219" s="3200"/>
      <c r="BS219" s="3196"/>
      <c r="BT219" s="3201"/>
      <c r="BU219" s="3200"/>
      <c r="BV219" s="3200"/>
      <c r="BW219" s="3200"/>
      <c r="BX219" s="3200"/>
      <c r="BY219" s="3201"/>
      <c r="BZ219" s="3200"/>
      <c r="CA219" s="3200"/>
      <c r="CB219" s="3200"/>
      <c r="CC219" s="3196"/>
      <c r="CD219" s="3201"/>
      <c r="CE219" s="3200"/>
      <c r="CF219" s="3200"/>
      <c r="CG219" s="3200"/>
      <c r="CH219" s="3196"/>
      <c r="CI219" s="3201"/>
      <c r="CJ219" s="3991"/>
      <c r="CK219" s="3991"/>
      <c r="CL219" s="3991"/>
      <c r="CM219" s="3992"/>
      <c r="CN219" s="4388"/>
      <c r="CO219" s="3991"/>
      <c r="CP219" s="3991"/>
      <c r="CQ219" s="3991"/>
      <c r="CR219" s="3992"/>
      <c r="CS219" s="4388"/>
      <c r="CT219" s="3991"/>
      <c r="CU219" s="3991"/>
      <c r="CV219" s="3991"/>
      <c r="CW219" s="3991"/>
      <c r="CX219" s="4388"/>
      <c r="CY219" s="3991"/>
      <c r="CZ219" s="3991"/>
      <c r="DA219" s="3991"/>
      <c r="DB219" s="3991"/>
      <c r="DC219" s="4388"/>
      <c r="DD219" s="3991"/>
      <c r="DE219" s="3991"/>
      <c r="DF219" s="3991"/>
      <c r="DG219" s="3991"/>
      <c r="DH219" s="4388"/>
      <c r="DI219" s="3991"/>
      <c r="DJ219" s="3991"/>
      <c r="DK219" s="3991"/>
      <c r="DL219" s="3991"/>
      <c r="DM219" s="4388"/>
      <c r="DN219" s="3991"/>
      <c r="DO219" s="3991"/>
      <c r="DP219" s="3991"/>
      <c r="DQ219" s="3991"/>
      <c r="DR219" s="4388"/>
      <c r="DS219" s="3991"/>
      <c r="DT219" s="3991"/>
      <c r="DU219" s="3991"/>
      <c r="DV219" s="3991"/>
      <c r="DW219" s="4388"/>
      <c r="DX219" s="3201"/>
      <c r="DY219" s="3201"/>
      <c r="DZ219" s="3201"/>
      <c r="EA219" s="3201"/>
      <c r="EC219" s="3683"/>
      <c r="ED219" s="3683"/>
    </row>
    <row r="220" spans="1:134" s="4" customFormat="1" ht="11.25" customHeight="1">
      <c r="A220" s="1616" t="str">
        <f t="shared" ref="A220:A233" si="761">A204</f>
        <v>Short-term debt</v>
      </c>
      <c r="B220" s="136"/>
      <c r="C220" s="136"/>
      <c r="D220" s="136"/>
      <c r="E220" s="491"/>
      <c r="F220" s="136"/>
      <c r="G220" s="136"/>
      <c r="H220" s="136"/>
      <c r="I220" s="491"/>
      <c r="J220" s="1288"/>
      <c r="K220" s="136"/>
      <c r="L220" s="136"/>
      <c r="M220" s="491"/>
      <c r="N220" s="1288"/>
      <c r="O220" s="136"/>
      <c r="P220" s="136"/>
      <c r="Q220" s="491"/>
      <c r="R220" s="138"/>
      <c r="S220" s="138"/>
      <c r="T220" s="138"/>
      <c r="U220" s="491"/>
      <c r="V220" s="127"/>
      <c r="W220" s="127"/>
      <c r="X220" s="127"/>
      <c r="Y220" s="491"/>
      <c r="Z220" s="127"/>
      <c r="AA220" s="127"/>
      <c r="AB220" s="127"/>
      <c r="AC220" s="491"/>
      <c r="AD220" s="127"/>
      <c r="AE220" s="127"/>
      <c r="AF220" s="127"/>
      <c r="AG220" s="491"/>
      <c r="AH220" s="127"/>
      <c r="AI220" s="127"/>
      <c r="AJ220" s="127"/>
      <c r="AK220" s="491"/>
      <c r="AL220" s="127"/>
      <c r="AM220" s="127"/>
      <c r="AN220" s="127"/>
      <c r="AO220" s="491"/>
      <c r="AP220" s="127"/>
      <c r="AQ220" s="127"/>
      <c r="AR220" s="127"/>
      <c r="AS220" s="491"/>
      <c r="AT220" s="127"/>
      <c r="AU220" s="127"/>
      <c r="AV220" s="127"/>
      <c r="AW220" s="491"/>
      <c r="AX220" s="1289"/>
      <c r="AY220" s="127"/>
      <c r="AZ220" s="127"/>
      <c r="BA220" s="491"/>
      <c r="BB220" s="1289"/>
      <c r="BC220" s="127"/>
      <c r="BD220" s="127"/>
      <c r="BE220" s="491"/>
      <c r="BF220" s="1289"/>
      <c r="BG220" s="127"/>
      <c r="BH220" s="127">
        <v>1.2500000000000001E-2</v>
      </c>
      <c r="BI220" s="491">
        <v>1.2500000000000001E-2</v>
      </c>
      <c r="BJ220" s="995"/>
      <c r="BK220" s="1289">
        <v>1.2500000000000001E-2</v>
      </c>
      <c r="BL220" s="127">
        <v>0</v>
      </c>
      <c r="BM220" s="127">
        <v>0</v>
      </c>
      <c r="BN220" s="491">
        <v>0</v>
      </c>
      <c r="BO220" s="995"/>
      <c r="BP220" s="1289">
        <v>0</v>
      </c>
      <c r="BQ220" s="127">
        <v>2.1250000000000002E-2</v>
      </c>
      <c r="BR220" s="127">
        <v>2.1250000000000002E-2</v>
      </c>
      <c r="BS220" s="127">
        <v>2.1250000000000002E-2</v>
      </c>
      <c r="BT220" s="995"/>
      <c r="BU220" s="1289">
        <f>BS220</f>
        <v>2.1250000000000002E-2</v>
      </c>
      <c r="BV220" s="637">
        <v>2.5000000000000001E-2</v>
      </c>
      <c r="BW220" s="139">
        <f>BV220</f>
        <v>2.5000000000000001E-2</v>
      </c>
      <c r="BX220" s="139">
        <f>BW220</f>
        <v>2.5000000000000001E-2</v>
      </c>
      <c r="BY220" s="995"/>
      <c r="BZ220" s="139">
        <f>BX220</f>
        <v>2.5000000000000001E-2</v>
      </c>
      <c r="CA220" s="139">
        <f>BZ220</f>
        <v>2.5000000000000001E-2</v>
      </c>
      <c r="CB220" s="139">
        <f>CA220</f>
        <v>2.5000000000000001E-2</v>
      </c>
      <c r="CC220" s="139">
        <f>CB220</f>
        <v>2.5000000000000001E-2</v>
      </c>
      <c r="CD220" s="996"/>
      <c r="CE220" s="139">
        <f>CC220</f>
        <v>2.5000000000000001E-2</v>
      </c>
      <c r="CF220" s="139">
        <f>CE220</f>
        <v>2.5000000000000001E-2</v>
      </c>
      <c r="CG220" s="139">
        <f>CF220</f>
        <v>2.5000000000000001E-2</v>
      </c>
      <c r="CH220" s="139">
        <f>CG220</f>
        <v>2.5000000000000001E-2</v>
      </c>
      <c r="CI220" s="996"/>
      <c r="CJ220" s="3962">
        <f>CH220</f>
        <v>2.5000000000000001E-2</v>
      </c>
      <c r="CK220" s="3962">
        <f>CJ220</f>
        <v>2.5000000000000001E-2</v>
      </c>
      <c r="CL220" s="3962">
        <f>CK220</f>
        <v>2.5000000000000001E-2</v>
      </c>
      <c r="CM220" s="3962">
        <f>CL220</f>
        <v>2.5000000000000001E-2</v>
      </c>
      <c r="CN220" s="4392">
        <f>AVERAGE(CJ220:CM220)</f>
        <v>2.5000000000000001E-2</v>
      </c>
      <c r="CO220" s="3962">
        <f>CN220</f>
        <v>2.5000000000000001E-2</v>
      </c>
      <c r="CP220" s="3962">
        <f>CO220</f>
        <v>2.5000000000000001E-2</v>
      </c>
      <c r="CQ220" s="3962">
        <f>CP220</f>
        <v>2.5000000000000001E-2</v>
      </c>
      <c r="CR220" s="3962">
        <f>CQ220</f>
        <v>2.5000000000000001E-2</v>
      </c>
      <c r="CS220" s="4392">
        <f>CN220</f>
        <v>2.5000000000000001E-2</v>
      </c>
      <c r="CT220" s="3962">
        <f>CS220</f>
        <v>2.5000000000000001E-2</v>
      </c>
      <c r="CU220" s="3962">
        <f>CT220</f>
        <v>2.5000000000000001E-2</v>
      </c>
      <c r="CV220" s="3962">
        <f>CU220</f>
        <v>2.5000000000000001E-2</v>
      </c>
      <c r="CW220" s="3962">
        <f>CV220</f>
        <v>2.5000000000000001E-2</v>
      </c>
      <c r="CX220" s="4392">
        <f>CS220</f>
        <v>2.5000000000000001E-2</v>
      </c>
      <c r="CY220" s="3962">
        <f>CX220</f>
        <v>2.5000000000000001E-2</v>
      </c>
      <c r="CZ220" s="3962">
        <f>CY220</f>
        <v>2.5000000000000001E-2</v>
      </c>
      <c r="DA220" s="3962">
        <f>CZ220</f>
        <v>2.5000000000000001E-2</v>
      </c>
      <c r="DB220" s="3962">
        <f>DA220</f>
        <v>2.5000000000000001E-2</v>
      </c>
      <c r="DC220" s="4392">
        <f>CX220</f>
        <v>2.5000000000000001E-2</v>
      </c>
      <c r="DD220" s="3962">
        <f>DC220</f>
        <v>2.5000000000000001E-2</v>
      </c>
      <c r="DE220" s="3962">
        <f>DD220</f>
        <v>2.5000000000000001E-2</v>
      </c>
      <c r="DF220" s="3962">
        <f>DE220</f>
        <v>2.5000000000000001E-2</v>
      </c>
      <c r="DG220" s="3962">
        <f>DF220</f>
        <v>2.5000000000000001E-2</v>
      </c>
      <c r="DH220" s="4392">
        <f>DC220</f>
        <v>2.5000000000000001E-2</v>
      </c>
      <c r="DI220" s="3962">
        <f>DH220</f>
        <v>2.5000000000000001E-2</v>
      </c>
      <c r="DJ220" s="3962">
        <f>DI220</f>
        <v>2.5000000000000001E-2</v>
      </c>
      <c r="DK220" s="3962">
        <f>DJ220</f>
        <v>2.5000000000000001E-2</v>
      </c>
      <c r="DL220" s="3962">
        <f>DK220</f>
        <v>2.5000000000000001E-2</v>
      </c>
      <c r="DM220" s="4392">
        <f>DH220</f>
        <v>2.5000000000000001E-2</v>
      </c>
      <c r="DN220" s="3962">
        <f t="shared" ref="DN220:DQ220" si="762">DM220</f>
        <v>2.5000000000000001E-2</v>
      </c>
      <c r="DO220" s="3962">
        <f t="shared" si="762"/>
        <v>2.5000000000000001E-2</v>
      </c>
      <c r="DP220" s="3962">
        <f t="shared" si="762"/>
        <v>2.5000000000000001E-2</v>
      </c>
      <c r="DQ220" s="3962">
        <f t="shared" si="762"/>
        <v>2.5000000000000001E-2</v>
      </c>
      <c r="DR220" s="4392">
        <f>DM220</f>
        <v>2.5000000000000001E-2</v>
      </c>
      <c r="DS220" s="3962">
        <f t="shared" ref="DS220" si="763">DR220</f>
        <v>2.5000000000000001E-2</v>
      </c>
      <c r="DT220" s="3962">
        <f t="shared" ref="DT220" si="764">DS220</f>
        <v>2.5000000000000001E-2</v>
      </c>
      <c r="DU220" s="3962">
        <f t="shared" ref="DU220" si="765">DT220</f>
        <v>2.5000000000000001E-2</v>
      </c>
      <c r="DV220" s="3962">
        <f t="shared" ref="DV220" si="766">DU220</f>
        <v>2.5000000000000001E-2</v>
      </c>
      <c r="DW220" s="4392">
        <f>DR220</f>
        <v>2.5000000000000001E-2</v>
      </c>
      <c r="DX220" s="3963">
        <f>DW220</f>
        <v>2.5000000000000001E-2</v>
      </c>
      <c r="DY220" s="3963">
        <f>DX220</f>
        <v>2.5000000000000001E-2</v>
      </c>
      <c r="DZ220" s="3963">
        <f>DY220</f>
        <v>2.5000000000000001E-2</v>
      </c>
      <c r="EA220" s="3963">
        <f>DZ220</f>
        <v>2.5000000000000001E-2</v>
      </c>
      <c r="EC220" s="3683"/>
      <c r="ED220" s="3683"/>
    </row>
    <row r="221" spans="1:134" s="4" customFormat="1" ht="11.25" customHeight="1">
      <c r="A221" s="1592" t="str">
        <f t="shared" si="761"/>
        <v>Long-term debt</v>
      </c>
      <c r="B221" s="136"/>
      <c r="C221" s="136"/>
      <c r="D221" s="136"/>
      <c r="E221" s="491"/>
      <c r="F221" s="136"/>
      <c r="G221" s="136"/>
      <c r="H221" s="136"/>
      <c r="I221" s="491"/>
      <c r="J221" s="1288"/>
      <c r="K221" s="136"/>
      <c r="L221" s="136"/>
      <c r="M221" s="491"/>
      <c r="N221" s="1288"/>
      <c r="O221" s="136"/>
      <c r="P221" s="136"/>
      <c r="Q221" s="491"/>
      <c r="R221" s="138"/>
      <c r="S221" s="138"/>
      <c r="T221" s="138"/>
      <c r="U221" s="491"/>
      <c r="V221" s="127"/>
      <c r="W221" s="127"/>
      <c r="X221" s="127"/>
      <c r="Y221" s="491"/>
      <c r="Z221" s="127"/>
      <c r="AA221" s="127"/>
      <c r="AB221" s="127"/>
      <c r="AC221" s="491"/>
      <c r="AD221" s="127"/>
      <c r="AE221" s="127"/>
      <c r="AF221" s="127"/>
      <c r="AG221" s="491"/>
      <c r="AH221" s="127"/>
      <c r="AI221" s="127"/>
      <c r="AJ221" s="127"/>
      <c r="AK221" s="491"/>
      <c r="AL221" s="127"/>
      <c r="AM221" s="127"/>
      <c r="AN221" s="127"/>
      <c r="AO221" s="491"/>
      <c r="AP221" s="127"/>
      <c r="AQ221" s="127"/>
      <c r="AR221" s="127"/>
      <c r="AS221" s="491"/>
      <c r="AT221" s="127"/>
      <c r="AU221" s="127"/>
      <c r="AV221" s="127"/>
      <c r="AW221" s="491"/>
      <c r="AX221" s="1289"/>
      <c r="AY221" s="127"/>
      <c r="AZ221" s="127"/>
      <c r="BA221" s="491"/>
      <c r="BB221" s="1289"/>
      <c r="BC221" s="127"/>
      <c r="BD221" s="127"/>
      <c r="BE221" s="491"/>
      <c r="BF221" s="1289"/>
      <c r="BG221" s="127"/>
      <c r="BH221" s="127"/>
      <c r="BI221" s="491"/>
      <c r="BJ221" s="995"/>
      <c r="BK221" s="1289"/>
      <c r="BL221" s="127"/>
      <c r="BM221" s="127"/>
      <c r="BN221" s="491"/>
      <c r="BO221" s="995"/>
      <c r="BP221" s="1289"/>
      <c r="BQ221" s="127"/>
      <c r="BR221" s="127"/>
      <c r="BS221" s="127"/>
      <c r="BT221" s="995"/>
      <c r="BU221" s="1289"/>
      <c r="BV221" s="637"/>
      <c r="BW221" s="139"/>
      <c r="BX221" s="139"/>
      <c r="BY221" s="995"/>
      <c r="BZ221" s="139"/>
      <c r="CA221" s="139"/>
      <c r="CB221" s="139"/>
      <c r="CC221" s="139"/>
      <c r="CD221" s="996"/>
      <c r="CE221" s="139"/>
      <c r="CF221" s="139"/>
      <c r="CG221" s="139"/>
      <c r="CH221" s="139"/>
      <c r="CI221" s="996"/>
      <c r="CJ221" s="139"/>
      <c r="CK221" s="139"/>
      <c r="CL221" s="139"/>
      <c r="CM221" s="139"/>
      <c r="CN221" s="4373"/>
      <c r="CO221" s="139"/>
      <c r="CP221" s="139"/>
      <c r="CQ221" s="139"/>
      <c r="CR221" s="139"/>
      <c r="CS221" s="4373"/>
      <c r="CT221" s="139"/>
      <c r="CU221" s="139"/>
      <c r="CV221" s="139"/>
      <c r="CW221" s="139"/>
      <c r="CX221" s="4373"/>
      <c r="CY221" s="139"/>
      <c r="CZ221" s="139"/>
      <c r="DA221" s="139"/>
      <c r="DB221" s="139"/>
      <c r="DC221" s="4373"/>
      <c r="DD221" s="139"/>
      <c r="DE221" s="139"/>
      <c r="DF221" s="139"/>
      <c r="DG221" s="139"/>
      <c r="DH221" s="4373"/>
      <c r="DI221" s="139"/>
      <c r="DJ221" s="139"/>
      <c r="DK221" s="139"/>
      <c r="DL221" s="139"/>
      <c r="DM221" s="4373"/>
      <c r="DN221" s="139"/>
      <c r="DO221" s="139"/>
      <c r="DP221" s="139"/>
      <c r="DQ221" s="139"/>
      <c r="DR221" s="4373"/>
      <c r="DS221" s="139"/>
      <c r="DT221" s="139"/>
      <c r="DU221" s="139"/>
      <c r="DV221" s="139"/>
      <c r="DW221" s="4373"/>
      <c r="DX221" s="996"/>
      <c r="DY221" s="996"/>
      <c r="DZ221" s="996"/>
      <c r="EA221" s="996"/>
      <c r="EC221" s="3683"/>
      <c r="ED221" s="3683"/>
    </row>
    <row r="222" spans="1:134" s="4" customFormat="1" ht="11.25" hidden="1" customHeight="1" outlineLevel="1">
      <c r="A222" s="1617" t="str">
        <f t="shared" si="761"/>
        <v>Senior notes due 2014</v>
      </c>
      <c r="B222" s="136"/>
      <c r="C222" s="136"/>
      <c r="D222" s="136"/>
      <c r="E222" s="491"/>
      <c r="F222" s="136"/>
      <c r="G222" s="136"/>
      <c r="H222" s="136"/>
      <c r="I222" s="491"/>
      <c r="J222" s="1288"/>
      <c r="K222" s="136"/>
      <c r="L222" s="136"/>
      <c r="M222" s="491"/>
      <c r="N222" s="1288"/>
      <c r="O222" s="136"/>
      <c r="P222" s="136"/>
      <c r="Q222" s="491"/>
      <c r="R222" s="138"/>
      <c r="S222" s="138"/>
      <c r="T222" s="138"/>
      <c r="U222" s="491"/>
      <c r="V222" s="127"/>
      <c r="W222" s="127"/>
      <c r="X222" s="127"/>
      <c r="Y222" s="491"/>
      <c r="Z222" s="127"/>
      <c r="AA222" s="127"/>
      <c r="AB222" s="127"/>
      <c r="AC222" s="491"/>
      <c r="AD222" s="127"/>
      <c r="AE222" s="127"/>
      <c r="AF222" s="127"/>
      <c r="AG222" s="491"/>
      <c r="AH222" s="127"/>
      <c r="AI222" s="127"/>
      <c r="AJ222" s="127"/>
      <c r="AK222" s="491"/>
      <c r="AL222" s="127"/>
      <c r="AM222" s="127"/>
      <c r="AN222" s="127"/>
      <c r="AO222" s="491"/>
      <c r="AP222" s="127"/>
      <c r="AQ222" s="127"/>
      <c r="AR222" s="127"/>
      <c r="AS222" s="491"/>
      <c r="AT222" s="127"/>
      <c r="AU222" s="127"/>
      <c r="AV222" s="127"/>
      <c r="AW222" s="491"/>
      <c r="AX222" s="1289"/>
      <c r="AY222" s="127"/>
      <c r="AZ222" s="127"/>
      <c r="BA222" s="491"/>
      <c r="BB222" s="1289"/>
      <c r="BC222" s="127"/>
      <c r="BD222" s="127"/>
      <c r="BE222" s="491"/>
      <c r="BF222" s="1289"/>
      <c r="BG222" s="127"/>
      <c r="BH222" s="127"/>
      <c r="BI222" s="491"/>
      <c r="BJ222" s="995"/>
      <c r="BK222" s="1289"/>
      <c r="BL222" s="127"/>
      <c r="BM222" s="127"/>
      <c r="BN222" s="491"/>
      <c r="BO222" s="995"/>
      <c r="BP222" s="1289"/>
      <c r="BQ222" s="127"/>
      <c r="BR222" s="127"/>
      <c r="BS222" s="127"/>
      <c r="BT222" s="995"/>
      <c r="BU222" s="1289"/>
      <c r="BV222" s="637"/>
      <c r="BW222" s="139"/>
      <c r="BX222" s="139"/>
      <c r="BY222" s="995"/>
      <c r="BZ222" s="139"/>
      <c r="CA222" s="139"/>
      <c r="CB222" s="139"/>
      <c r="CC222" s="139"/>
      <c r="CD222" s="996"/>
      <c r="CE222" s="139"/>
      <c r="CF222" s="139"/>
      <c r="CG222" s="139"/>
      <c r="CH222" s="139"/>
      <c r="CI222" s="996"/>
      <c r="CJ222" s="139"/>
      <c r="CK222" s="139"/>
      <c r="CL222" s="139"/>
      <c r="CM222" s="139"/>
      <c r="CN222" s="4373"/>
      <c r="CO222" s="139"/>
      <c r="CP222" s="139"/>
      <c r="CQ222" s="139"/>
      <c r="CR222" s="139"/>
      <c r="CS222" s="4373"/>
      <c r="CT222" s="139"/>
      <c r="CU222" s="139"/>
      <c r="CV222" s="139"/>
      <c r="CW222" s="139"/>
      <c r="CX222" s="4373"/>
      <c r="CY222" s="139"/>
      <c r="CZ222" s="139"/>
      <c r="DA222" s="139"/>
      <c r="DB222" s="139"/>
      <c r="DC222" s="4373"/>
      <c r="DD222" s="139"/>
      <c r="DE222" s="139"/>
      <c r="DF222" s="139"/>
      <c r="DG222" s="139"/>
      <c r="DH222" s="4373"/>
      <c r="DI222" s="139"/>
      <c r="DJ222" s="139"/>
      <c r="DK222" s="139"/>
      <c r="DL222" s="139"/>
      <c r="DM222" s="4373"/>
      <c r="DN222" s="139"/>
      <c r="DO222" s="139"/>
      <c r="DP222" s="139"/>
      <c r="DQ222" s="139"/>
      <c r="DR222" s="4373"/>
      <c r="DS222" s="139"/>
      <c r="DT222" s="139"/>
      <c r="DU222" s="139"/>
      <c r="DV222" s="139"/>
      <c r="DW222" s="4373"/>
      <c r="DX222" s="996"/>
      <c r="DY222" s="996"/>
      <c r="DZ222" s="996"/>
      <c r="EA222" s="996"/>
      <c r="EC222" s="3683"/>
      <c r="ED222" s="3683"/>
    </row>
    <row r="223" spans="1:134" s="4" customFormat="1" ht="11.25" hidden="1" customHeight="1" outlineLevel="1">
      <c r="A223" s="1617" t="str">
        <f t="shared" si="761"/>
        <v>Senior notes due 2016</v>
      </c>
      <c r="B223" s="136"/>
      <c r="C223" s="136"/>
      <c r="D223" s="136"/>
      <c r="E223" s="491"/>
      <c r="F223" s="136"/>
      <c r="G223" s="136"/>
      <c r="H223" s="136"/>
      <c r="I223" s="491"/>
      <c r="J223" s="1288"/>
      <c r="K223" s="136"/>
      <c r="L223" s="136"/>
      <c r="M223" s="491"/>
      <c r="N223" s="1288"/>
      <c r="O223" s="136"/>
      <c r="P223" s="136"/>
      <c r="Q223" s="491"/>
      <c r="R223" s="138"/>
      <c r="S223" s="138"/>
      <c r="T223" s="138"/>
      <c r="U223" s="491"/>
      <c r="V223" s="127"/>
      <c r="W223" s="127"/>
      <c r="X223" s="127"/>
      <c r="Y223" s="491"/>
      <c r="Z223" s="127"/>
      <c r="AA223" s="127"/>
      <c r="AB223" s="127"/>
      <c r="AC223" s="491"/>
      <c r="AD223" s="127"/>
      <c r="AE223" s="127"/>
      <c r="AF223" s="127"/>
      <c r="AG223" s="491"/>
      <c r="AH223" s="127"/>
      <c r="AI223" s="127"/>
      <c r="AJ223" s="127"/>
      <c r="AK223" s="491"/>
      <c r="AL223" s="127"/>
      <c r="AM223" s="127"/>
      <c r="AN223" s="127"/>
      <c r="AO223" s="491"/>
      <c r="AP223" s="127"/>
      <c r="AQ223" s="127"/>
      <c r="AR223" s="127"/>
      <c r="AS223" s="491"/>
      <c r="AT223" s="127"/>
      <c r="AU223" s="127"/>
      <c r="AV223" s="127"/>
      <c r="AW223" s="491"/>
      <c r="AX223" s="1289"/>
      <c r="AY223" s="127"/>
      <c r="AZ223" s="127"/>
      <c r="BA223" s="491"/>
      <c r="BB223" s="1289"/>
      <c r="BC223" s="127"/>
      <c r="BD223" s="127"/>
      <c r="BE223" s="491"/>
      <c r="BF223" s="1289"/>
      <c r="BG223" s="127"/>
      <c r="BH223" s="127"/>
      <c r="BI223" s="491"/>
      <c r="BJ223" s="995"/>
      <c r="BK223" s="1289">
        <v>2.1250000000000002E-2</v>
      </c>
      <c r="BL223" s="127">
        <v>2.1250000000000002E-2</v>
      </c>
      <c r="BM223" s="127">
        <v>2.1250000000000002E-2</v>
      </c>
      <c r="BN223" s="491">
        <v>2.1250000000000002E-2</v>
      </c>
      <c r="BO223" s="995"/>
      <c r="BP223" s="1289">
        <v>2.1250000000000002E-2</v>
      </c>
      <c r="BQ223" s="127">
        <v>0</v>
      </c>
      <c r="BR223" s="127"/>
      <c r="BS223" s="127"/>
      <c r="BT223" s="995"/>
      <c r="BU223" s="1289"/>
      <c r="BV223" s="637"/>
      <c r="BW223" s="139"/>
      <c r="BX223" s="139"/>
      <c r="BY223" s="995"/>
      <c r="BZ223" s="139"/>
      <c r="CA223" s="139"/>
      <c r="CB223" s="139"/>
      <c r="CC223" s="139"/>
      <c r="CD223" s="996"/>
      <c r="CE223" s="139"/>
      <c r="CF223" s="139"/>
      <c r="CG223" s="139"/>
      <c r="CH223" s="139"/>
      <c r="CI223" s="996"/>
      <c r="CJ223" s="139"/>
      <c r="CK223" s="139"/>
      <c r="CL223" s="139"/>
      <c r="CM223" s="139"/>
      <c r="CN223" s="4373"/>
      <c r="CO223" s="139"/>
      <c r="CP223" s="139"/>
      <c r="CQ223" s="139"/>
      <c r="CR223" s="139"/>
      <c r="CS223" s="4373"/>
      <c r="CT223" s="139"/>
      <c r="CU223" s="139"/>
      <c r="CV223" s="139"/>
      <c r="CW223" s="139"/>
      <c r="CX223" s="4373"/>
      <c r="CY223" s="139"/>
      <c r="CZ223" s="139"/>
      <c r="DA223" s="139"/>
      <c r="DB223" s="139"/>
      <c r="DC223" s="4373"/>
      <c r="DD223" s="139"/>
      <c r="DE223" s="139"/>
      <c r="DF223" s="139"/>
      <c r="DG223" s="139"/>
      <c r="DH223" s="4373"/>
      <c r="DI223" s="139"/>
      <c r="DJ223" s="139"/>
      <c r="DK223" s="139"/>
      <c r="DL223" s="139"/>
      <c r="DM223" s="4373"/>
      <c r="DN223" s="139"/>
      <c r="DO223" s="139"/>
      <c r="DP223" s="139"/>
      <c r="DQ223" s="139"/>
      <c r="DR223" s="4373"/>
      <c r="DS223" s="139"/>
      <c r="DT223" s="139"/>
      <c r="DU223" s="139"/>
      <c r="DV223" s="139"/>
      <c r="DW223" s="4373"/>
      <c r="DX223" s="996"/>
      <c r="DY223" s="996"/>
      <c r="DZ223" s="996"/>
      <c r="EA223" s="996"/>
      <c r="EC223" s="3683"/>
      <c r="ED223" s="3683"/>
    </row>
    <row r="224" spans="1:134" s="4" customFormat="1" ht="11.25" customHeight="1" collapsed="1">
      <c r="A224" s="1617" t="str">
        <f t="shared" si="761"/>
        <v>Senior notes due 05/19/2021</v>
      </c>
      <c r="B224" s="136"/>
      <c r="C224" s="136"/>
      <c r="D224" s="136"/>
      <c r="E224" s="491"/>
      <c r="F224" s="136"/>
      <c r="G224" s="136"/>
      <c r="H224" s="136"/>
      <c r="I224" s="491"/>
      <c r="J224" s="1288"/>
      <c r="K224" s="136"/>
      <c r="L224" s="136"/>
      <c r="M224" s="491"/>
      <c r="N224" s="1288"/>
      <c r="O224" s="136"/>
      <c r="P224" s="136"/>
      <c r="Q224" s="491"/>
      <c r="R224" s="138"/>
      <c r="S224" s="138"/>
      <c r="T224" s="138"/>
      <c r="U224" s="491"/>
      <c r="V224" s="127"/>
      <c r="W224" s="127"/>
      <c r="X224" s="127"/>
      <c r="Y224" s="491"/>
      <c r="Z224" s="127"/>
      <c r="AA224" s="127"/>
      <c r="AB224" s="127"/>
      <c r="AC224" s="491"/>
      <c r="AD224" s="127"/>
      <c r="AE224" s="127"/>
      <c r="AF224" s="127"/>
      <c r="AG224" s="491"/>
      <c r="AH224" s="127"/>
      <c r="AI224" s="127"/>
      <c r="AJ224" s="127"/>
      <c r="AK224" s="491"/>
      <c r="AL224" s="127"/>
      <c r="AM224" s="127"/>
      <c r="AN224" s="127"/>
      <c r="AO224" s="491"/>
      <c r="AP224" s="127"/>
      <c r="AQ224" s="127"/>
      <c r="AR224" s="127"/>
      <c r="AS224" s="491"/>
      <c r="AT224" s="127"/>
      <c r="AU224" s="127"/>
      <c r="AV224" s="127"/>
      <c r="AW224" s="491"/>
      <c r="AX224" s="1289"/>
      <c r="AY224" s="127"/>
      <c r="AZ224" s="127"/>
      <c r="BA224" s="491"/>
      <c r="BB224" s="1289"/>
      <c r="BC224" s="127"/>
      <c r="BD224" s="127"/>
      <c r="BE224" s="491"/>
      <c r="BF224" s="1289"/>
      <c r="BG224" s="127"/>
      <c r="BH224" s="127"/>
      <c r="BI224" s="491"/>
      <c r="BJ224" s="995"/>
      <c r="BK224" s="1289">
        <v>3.6249999999999998E-2</v>
      </c>
      <c r="BL224" s="127">
        <v>3.6249999999999998E-2</v>
      </c>
      <c r="BM224" s="127">
        <v>3.6249999999999998E-2</v>
      </c>
      <c r="BN224" s="491">
        <v>3.6249999999999998E-2</v>
      </c>
      <c r="BO224" s="995"/>
      <c r="BP224" s="1289">
        <v>3.6249999999999998E-2</v>
      </c>
      <c r="BQ224" s="127">
        <v>3.6249999999999998E-2</v>
      </c>
      <c r="BR224" s="127">
        <v>3.6249999999999998E-2</v>
      </c>
      <c r="BS224" s="127">
        <v>3.6249999999999998E-2</v>
      </c>
      <c r="BT224" s="995"/>
      <c r="BU224" s="1289">
        <v>3.6249999999999998E-2</v>
      </c>
      <c r="BV224" s="637">
        <v>3.6249999999999998E-2</v>
      </c>
      <c r="BW224" s="139">
        <f>BV224</f>
        <v>3.6249999999999998E-2</v>
      </c>
      <c r="BX224" s="139">
        <f>BW224</f>
        <v>3.6249999999999998E-2</v>
      </c>
      <c r="BY224" s="995"/>
      <c r="BZ224" s="3962">
        <f>BX224</f>
        <v>3.6249999999999998E-2</v>
      </c>
      <c r="CA224" s="3962">
        <f t="shared" ref="CA224:CC227" si="767">BZ224</f>
        <v>3.6249999999999998E-2</v>
      </c>
      <c r="CB224" s="3962">
        <f t="shared" si="767"/>
        <v>3.6249999999999998E-2</v>
      </c>
      <c r="CC224" s="3962">
        <f t="shared" si="767"/>
        <v>3.6249999999999998E-2</v>
      </c>
      <c r="CD224" s="3963"/>
      <c r="CE224" s="3962">
        <f>CC224</f>
        <v>3.6249999999999998E-2</v>
      </c>
      <c r="CF224" s="3962">
        <f t="shared" ref="CF224:CH227" si="768">CE224</f>
        <v>3.6249999999999998E-2</v>
      </c>
      <c r="CG224" s="3962">
        <f t="shared" si="768"/>
        <v>3.6249999999999998E-2</v>
      </c>
      <c r="CH224" s="3962">
        <f t="shared" si="768"/>
        <v>3.6249999999999998E-2</v>
      </c>
      <c r="CI224" s="3963"/>
      <c r="CJ224" s="3962">
        <f>CH224</f>
        <v>3.6249999999999998E-2</v>
      </c>
      <c r="CK224" s="3962">
        <f>CJ224</f>
        <v>3.6249999999999998E-2</v>
      </c>
      <c r="CL224" s="3962">
        <f t="shared" ref="CL224:CM227" si="769">CK224</f>
        <v>3.6249999999999998E-2</v>
      </c>
      <c r="CM224" s="3962">
        <f t="shared" si="769"/>
        <v>3.6249999999999998E-2</v>
      </c>
      <c r="CN224" s="4392">
        <f>AVERAGE(CJ224:CM224)</f>
        <v>3.6249999999999998E-2</v>
      </c>
      <c r="CO224" s="3962">
        <f t="shared" ref="CO224:CR227" si="770">CN224</f>
        <v>3.6249999999999998E-2</v>
      </c>
      <c r="CP224" s="3962">
        <f t="shared" si="770"/>
        <v>3.6249999999999998E-2</v>
      </c>
      <c r="CQ224" s="3962">
        <f t="shared" si="770"/>
        <v>3.6249999999999998E-2</v>
      </c>
      <c r="CR224" s="3962">
        <f t="shared" si="770"/>
        <v>3.6249999999999998E-2</v>
      </c>
      <c r="CS224" s="4392">
        <f>CR224</f>
        <v>3.6249999999999998E-2</v>
      </c>
      <c r="CT224" s="3962">
        <f>CS224</f>
        <v>3.6249999999999998E-2</v>
      </c>
      <c r="CU224" s="4782"/>
      <c r="CV224" s="4782"/>
      <c r="CW224" s="4782"/>
      <c r="CX224" s="4783"/>
      <c r="CY224" s="4782"/>
      <c r="CZ224" s="4782"/>
      <c r="DA224" s="4782"/>
      <c r="DB224" s="4782"/>
      <c r="DC224" s="4783"/>
      <c r="DD224" s="4782"/>
      <c r="DE224" s="4782"/>
      <c r="DF224" s="4782"/>
      <c r="DG224" s="4782"/>
      <c r="DH224" s="4783"/>
      <c r="DI224" s="4782"/>
      <c r="DJ224" s="4782"/>
      <c r="DK224" s="4782"/>
      <c r="DL224" s="4782"/>
      <c r="DM224" s="4783"/>
      <c r="DN224" s="4782"/>
      <c r="DO224" s="4782"/>
      <c r="DP224" s="4782"/>
      <c r="DQ224" s="4782"/>
      <c r="DR224" s="4783"/>
      <c r="DS224" s="4782"/>
      <c r="DT224" s="4782"/>
      <c r="DU224" s="4782"/>
      <c r="DV224" s="4782"/>
      <c r="DW224" s="4783"/>
      <c r="DX224" s="3964"/>
      <c r="DY224" s="3964"/>
      <c r="DZ224" s="3964"/>
      <c r="EA224" s="3964"/>
      <c r="EC224" s="3683"/>
      <c r="ED224" s="3683"/>
    </row>
    <row r="225" spans="1:134" s="4" customFormat="1" ht="11.25" customHeight="1">
      <c r="A225" s="1617" t="str">
        <f t="shared" si="761"/>
        <v>Senior notes due 02/25/2024</v>
      </c>
      <c r="B225" s="136"/>
      <c r="C225" s="136"/>
      <c r="D225" s="136"/>
      <c r="E225" s="491"/>
      <c r="F225" s="136"/>
      <c r="G225" s="136"/>
      <c r="H225" s="136"/>
      <c r="I225" s="491"/>
      <c r="J225" s="1288"/>
      <c r="K225" s="136"/>
      <c r="L225" s="136"/>
      <c r="M225" s="491"/>
      <c r="N225" s="1288"/>
      <c r="O225" s="136"/>
      <c r="P225" s="136"/>
      <c r="Q225" s="491"/>
      <c r="R225" s="138"/>
      <c r="S225" s="138"/>
      <c r="T225" s="138"/>
      <c r="U225" s="491"/>
      <c r="V225" s="127"/>
      <c r="W225" s="127"/>
      <c r="X225" s="127"/>
      <c r="Y225" s="491"/>
      <c r="Z225" s="127"/>
      <c r="AA225" s="127"/>
      <c r="AB225" s="127"/>
      <c r="AC225" s="491"/>
      <c r="AD225" s="127"/>
      <c r="AE225" s="127"/>
      <c r="AF225" s="127"/>
      <c r="AG225" s="491"/>
      <c r="AH225" s="127"/>
      <c r="AI225" s="127"/>
      <c r="AJ225" s="127"/>
      <c r="AK225" s="491"/>
      <c r="AL225" s="127"/>
      <c r="AM225" s="127"/>
      <c r="AN225" s="127"/>
      <c r="AO225" s="491"/>
      <c r="AP225" s="127"/>
      <c r="AQ225" s="127"/>
      <c r="AR225" s="127"/>
      <c r="AS225" s="491"/>
      <c r="AT225" s="127"/>
      <c r="AU225" s="127"/>
      <c r="AV225" s="127"/>
      <c r="AW225" s="491"/>
      <c r="AX225" s="1289"/>
      <c r="AY225" s="127"/>
      <c r="AZ225" s="127"/>
      <c r="BA225" s="491"/>
      <c r="BB225" s="1289"/>
      <c r="BC225" s="127"/>
      <c r="BD225" s="127"/>
      <c r="BE225" s="491"/>
      <c r="BF225" s="1289"/>
      <c r="BG225" s="127"/>
      <c r="BH225" s="127"/>
      <c r="BI225" s="491"/>
      <c r="BJ225" s="995"/>
      <c r="BK225" s="1289">
        <v>0</v>
      </c>
      <c r="BL225" s="127">
        <v>3.3750000000000002E-2</v>
      </c>
      <c r="BM225" s="127">
        <v>3.3750000000000002E-2</v>
      </c>
      <c r="BN225" s="491">
        <v>3.3750000000000002E-2</v>
      </c>
      <c r="BO225" s="995"/>
      <c r="BP225" s="1289">
        <v>3.3750000000000002E-2</v>
      </c>
      <c r="BQ225" s="127">
        <v>3.3750000000000002E-2</v>
      </c>
      <c r="BR225" s="127">
        <v>3.3750000000000002E-2</v>
      </c>
      <c r="BS225" s="127">
        <v>3.3750000000000002E-2</v>
      </c>
      <c r="BT225" s="995"/>
      <c r="BU225" s="1289">
        <v>3.3750000000000002E-2</v>
      </c>
      <c r="BV225" s="637">
        <v>3.3750000000000002E-2</v>
      </c>
      <c r="BW225" s="139">
        <f>BV225</f>
        <v>3.3750000000000002E-2</v>
      </c>
      <c r="BX225" s="139">
        <f>BW225</f>
        <v>3.3750000000000002E-2</v>
      </c>
      <c r="BY225" s="995"/>
      <c r="BZ225" s="3962">
        <f>BX225</f>
        <v>3.3750000000000002E-2</v>
      </c>
      <c r="CA225" s="3962">
        <f t="shared" si="767"/>
        <v>3.3750000000000002E-2</v>
      </c>
      <c r="CB225" s="3962">
        <f t="shared" si="767"/>
        <v>3.3750000000000002E-2</v>
      </c>
      <c r="CC225" s="3962">
        <f t="shared" si="767"/>
        <v>3.3750000000000002E-2</v>
      </c>
      <c r="CD225" s="3963"/>
      <c r="CE225" s="3962">
        <f>CC225</f>
        <v>3.3750000000000002E-2</v>
      </c>
      <c r="CF225" s="3962">
        <f t="shared" si="768"/>
        <v>3.3750000000000002E-2</v>
      </c>
      <c r="CG225" s="3962">
        <f t="shared" si="768"/>
        <v>3.3750000000000002E-2</v>
      </c>
      <c r="CH225" s="3962">
        <f t="shared" si="768"/>
        <v>3.3750000000000002E-2</v>
      </c>
      <c r="CI225" s="3963"/>
      <c r="CJ225" s="3962">
        <f>CH225</f>
        <v>3.3750000000000002E-2</v>
      </c>
      <c r="CK225" s="3962">
        <f>CJ225</f>
        <v>3.3750000000000002E-2</v>
      </c>
      <c r="CL225" s="3962">
        <f t="shared" si="769"/>
        <v>3.3750000000000002E-2</v>
      </c>
      <c r="CM225" s="3962">
        <f t="shared" si="769"/>
        <v>3.3750000000000002E-2</v>
      </c>
      <c r="CN225" s="4392">
        <f>AVERAGE(CJ225:CM225)</f>
        <v>3.3750000000000002E-2</v>
      </c>
      <c r="CO225" s="3962">
        <f t="shared" si="770"/>
        <v>3.3750000000000002E-2</v>
      </c>
      <c r="CP225" s="3962">
        <f t="shared" si="770"/>
        <v>3.3750000000000002E-2</v>
      </c>
      <c r="CQ225" s="3962">
        <f t="shared" si="770"/>
        <v>3.3750000000000002E-2</v>
      </c>
      <c r="CR225" s="3962">
        <f t="shared" si="770"/>
        <v>3.3750000000000002E-2</v>
      </c>
      <c r="CS225" s="4392">
        <f t="shared" ref="CS225:CS232" si="771">CR225</f>
        <v>3.3750000000000002E-2</v>
      </c>
      <c r="CT225" s="3962">
        <f>CS225</f>
        <v>3.3750000000000002E-2</v>
      </c>
      <c r="CU225" s="3962">
        <f>CT225</f>
        <v>3.3750000000000002E-2</v>
      </c>
      <c r="CV225" s="3962">
        <f>CU225</f>
        <v>3.3750000000000002E-2</v>
      </c>
      <c r="CW225" s="3962">
        <f t="shared" ref="CW225:CX232" si="772">CV225</f>
        <v>3.3750000000000002E-2</v>
      </c>
      <c r="CX225" s="4392">
        <f t="shared" si="772"/>
        <v>3.3750000000000002E-2</v>
      </c>
      <c r="CY225" s="3962">
        <f>CW225</f>
        <v>3.3750000000000002E-2</v>
      </c>
      <c r="CZ225" s="3962">
        <f t="shared" ref="CZ225:CZ232" si="773">CY225</f>
        <v>3.3750000000000002E-2</v>
      </c>
      <c r="DA225" s="3962">
        <f t="shared" ref="DA225:DA232" si="774">CZ225</f>
        <v>3.3750000000000002E-2</v>
      </c>
      <c r="DB225" s="3962">
        <f t="shared" ref="DB225:DC232" si="775">DA225</f>
        <v>3.3750000000000002E-2</v>
      </c>
      <c r="DC225" s="4392">
        <f t="shared" si="775"/>
        <v>3.3750000000000002E-2</v>
      </c>
      <c r="DD225" s="3962">
        <f>DB225</f>
        <v>3.3750000000000002E-2</v>
      </c>
      <c r="DE225" s="3962">
        <f t="shared" ref="DE225:DE232" si="776">DD225</f>
        <v>3.3750000000000002E-2</v>
      </c>
      <c r="DF225" s="3962">
        <f t="shared" ref="DF225:DF232" si="777">DE225</f>
        <v>3.3750000000000002E-2</v>
      </c>
      <c r="DG225" s="3962">
        <f t="shared" ref="DG225:DH232" si="778">DF225</f>
        <v>3.3750000000000002E-2</v>
      </c>
      <c r="DH225" s="4392">
        <f t="shared" si="778"/>
        <v>3.3750000000000002E-2</v>
      </c>
      <c r="DI225" s="4782"/>
      <c r="DJ225" s="4782"/>
      <c r="DK225" s="4782"/>
      <c r="DL225" s="4782"/>
      <c r="DM225" s="4783"/>
      <c r="DN225" s="4782"/>
      <c r="DO225" s="4782"/>
      <c r="DP225" s="4782"/>
      <c r="DQ225" s="4782"/>
      <c r="DR225" s="4783"/>
      <c r="DS225" s="4782"/>
      <c r="DT225" s="4782"/>
      <c r="DU225" s="4782"/>
      <c r="DV225" s="4782"/>
      <c r="DW225" s="4783"/>
      <c r="DX225" s="3964"/>
      <c r="DY225" s="3964"/>
      <c r="DZ225" s="3964"/>
      <c r="EA225" s="3964"/>
      <c r="EC225" s="3683"/>
      <c r="ED225" s="3683"/>
    </row>
    <row r="226" spans="1:134" s="4" customFormat="1" ht="11.25" customHeight="1">
      <c r="A226" s="1618" t="str">
        <f t="shared" si="761"/>
        <v>Senior notes due 08/15/2025</v>
      </c>
      <c r="B226" s="136"/>
      <c r="C226" s="136"/>
      <c r="D226" s="136"/>
      <c r="E226" s="1367"/>
      <c r="F226" s="136"/>
      <c r="G226" s="136"/>
      <c r="H226" s="136"/>
      <c r="I226" s="1367"/>
      <c r="J226" s="1288"/>
      <c r="K226" s="136"/>
      <c r="L226" s="136"/>
      <c r="M226" s="1367"/>
      <c r="N226" s="1288"/>
      <c r="O226" s="136"/>
      <c r="P226" s="136"/>
      <c r="Q226" s="1367"/>
      <c r="R226" s="138"/>
      <c r="S226" s="138"/>
      <c r="T226" s="138"/>
      <c r="U226" s="1367"/>
      <c r="V226" s="127"/>
      <c r="W226" s="127"/>
      <c r="X226" s="127"/>
      <c r="Y226" s="1367"/>
      <c r="Z226" s="127"/>
      <c r="AA226" s="127"/>
      <c r="AB226" s="127"/>
      <c r="AC226" s="1367"/>
      <c r="AD226" s="127"/>
      <c r="AE226" s="127"/>
      <c r="AF226" s="127"/>
      <c r="AG226" s="1367"/>
      <c r="AH226" s="127"/>
      <c r="AI226" s="127"/>
      <c r="AJ226" s="127"/>
      <c r="AK226" s="1367"/>
      <c r="AL226" s="127"/>
      <c r="AM226" s="127"/>
      <c r="AN226" s="127"/>
      <c r="AO226" s="1367"/>
      <c r="AP226" s="127"/>
      <c r="AQ226" s="127"/>
      <c r="AR226" s="127"/>
      <c r="AS226" s="1367"/>
      <c r="AT226" s="127"/>
      <c r="AU226" s="127"/>
      <c r="AV226" s="127"/>
      <c r="AW226" s="1367"/>
      <c r="AX226" s="1250"/>
      <c r="AY226" s="127"/>
      <c r="AZ226" s="127"/>
      <c r="BA226" s="1367"/>
      <c r="BB226" s="1250"/>
      <c r="BC226" s="127"/>
      <c r="BD226" s="127"/>
      <c r="BE226" s="1367"/>
      <c r="BF226" s="1250"/>
      <c r="BG226" s="127"/>
      <c r="BH226" s="127"/>
      <c r="BI226" s="1367"/>
      <c r="BJ226" s="1229"/>
      <c r="BK226" s="1250"/>
      <c r="BL226" s="127"/>
      <c r="BM226" s="127"/>
      <c r="BN226" s="1367"/>
      <c r="BO226" s="1229"/>
      <c r="BP226" s="1250"/>
      <c r="BQ226" s="127"/>
      <c r="BR226" s="127"/>
      <c r="BS226" s="127"/>
      <c r="BT226" s="1229"/>
      <c r="BU226" s="1250"/>
      <c r="BV226" s="637"/>
      <c r="BW226" s="139"/>
      <c r="BX226" s="139"/>
      <c r="BY226" s="1229"/>
      <c r="BZ226" s="139"/>
      <c r="CA226" s="139"/>
      <c r="CB226" s="139"/>
      <c r="CC226" s="139"/>
      <c r="CD226" s="1368"/>
      <c r="CE226" s="139"/>
      <c r="CF226" s="139"/>
      <c r="CG226" s="139"/>
      <c r="CH226" s="139"/>
      <c r="CI226" s="1368"/>
      <c r="CJ226" s="139"/>
      <c r="CK226" s="139"/>
      <c r="CL226" s="139"/>
      <c r="CM226" s="139"/>
      <c r="CN226" s="4393"/>
      <c r="CO226" s="139"/>
      <c r="CP226" s="139"/>
      <c r="CQ226" s="3962">
        <v>4.4999999999999997E-3</v>
      </c>
      <c r="CR226" s="3962">
        <f t="shared" ref="CR226:DH226" si="779">CQ226</f>
        <v>4.4999999999999997E-3</v>
      </c>
      <c r="CS226" s="4392">
        <f t="shared" si="779"/>
        <v>4.4999999999999997E-3</v>
      </c>
      <c r="CT226" s="3962">
        <f t="shared" si="779"/>
        <v>4.4999999999999997E-3</v>
      </c>
      <c r="CU226" s="3962">
        <f t="shared" si="779"/>
        <v>4.4999999999999997E-3</v>
      </c>
      <c r="CV226" s="3962">
        <f t="shared" si="779"/>
        <v>4.4999999999999997E-3</v>
      </c>
      <c r="CW226" s="3962">
        <f t="shared" si="779"/>
        <v>4.4999999999999997E-3</v>
      </c>
      <c r="CX226" s="4392">
        <f t="shared" si="779"/>
        <v>4.4999999999999997E-3</v>
      </c>
      <c r="CY226" s="3962">
        <f t="shared" ref="CY226:CY232" si="780">CW226</f>
        <v>4.4999999999999997E-3</v>
      </c>
      <c r="CZ226" s="3962">
        <f t="shared" si="773"/>
        <v>4.4999999999999997E-3</v>
      </c>
      <c r="DA226" s="3962">
        <f t="shared" si="774"/>
        <v>4.4999999999999997E-3</v>
      </c>
      <c r="DB226" s="3962">
        <f t="shared" si="775"/>
        <v>4.4999999999999997E-3</v>
      </c>
      <c r="DC226" s="4392">
        <f t="shared" si="779"/>
        <v>4.4999999999999997E-3</v>
      </c>
      <c r="DD226" s="3962">
        <f t="shared" ref="DD226:DD232" si="781">DB226</f>
        <v>4.4999999999999997E-3</v>
      </c>
      <c r="DE226" s="3962">
        <f t="shared" si="776"/>
        <v>4.4999999999999997E-3</v>
      </c>
      <c r="DF226" s="3962">
        <f t="shared" si="777"/>
        <v>4.4999999999999997E-3</v>
      </c>
      <c r="DG226" s="3962">
        <f t="shared" si="778"/>
        <v>4.4999999999999997E-3</v>
      </c>
      <c r="DH226" s="4392">
        <f t="shared" si="779"/>
        <v>4.4999999999999997E-3</v>
      </c>
      <c r="DI226" s="3962">
        <f t="shared" ref="DI226:DI232" si="782">DH226</f>
        <v>4.4999999999999997E-3</v>
      </c>
      <c r="DJ226" s="3962">
        <f t="shared" ref="DJ226:DJ232" si="783">DI226</f>
        <v>4.4999999999999997E-3</v>
      </c>
      <c r="DK226" s="3962">
        <f t="shared" ref="DK226:DK232" si="784">DJ226</f>
        <v>4.4999999999999997E-3</v>
      </c>
      <c r="DL226" s="3962">
        <f t="shared" ref="DL226:DM232" si="785">DK226</f>
        <v>4.4999999999999997E-3</v>
      </c>
      <c r="DM226" s="4392">
        <f t="shared" si="785"/>
        <v>4.4999999999999997E-3</v>
      </c>
      <c r="DN226" s="3962">
        <f t="shared" ref="DN226:DN232" si="786">DM226</f>
        <v>4.4999999999999997E-3</v>
      </c>
      <c r="DO226" s="3962">
        <f t="shared" ref="DO226:DO232" si="787">DN226</f>
        <v>4.4999999999999997E-3</v>
      </c>
      <c r="DP226" s="4782"/>
      <c r="DQ226" s="4782"/>
      <c r="DR226" s="4783"/>
      <c r="DS226" s="4782"/>
      <c r="DT226" s="4782"/>
      <c r="DU226" s="4782"/>
      <c r="DV226" s="4782"/>
      <c r="DW226" s="4783"/>
      <c r="DX226" s="3964"/>
      <c r="DY226" s="3964"/>
      <c r="DZ226" s="3964"/>
      <c r="EA226" s="3964"/>
      <c r="EC226" s="3683"/>
      <c r="ED226" s="3683"/>
    </row>
    <row r="227" spans="1:134" s="4" customFormat="1" ht="11.25" customHeight="1">
      <c r="A227" s="1618" t="str">
        <f t="shared" si="761"/>
        <v>Senior notes due 08/15/2026</v>
      </c>
      <c r="B227" s="136"/>
      <c r="C227" s="136"/>
      <c r="D227" s="136"/>
      <c r="E227" s="1367"/>
      <c r="F227" s="136"/>
      <c r="G227" s="136"/>
      <c r="H227" s="136"/>
      <c r="I227" s="1367"/>
      <c r="J227" s="1288"/>
      <c r="K227" s="136"/>
      <c r="L227" s="136"/>
      <c r="M227" s="1367"/>
      <c r="N227" s="1288"/>
      <c r="O227" s="136"/>
      <c r="P227" s="136"/>
      <c r="Q227" s="1367"/>
      <c r="R227" s="138"/>
      <c r="S227" s="138"/>
      <c r="T227" s="138"/>
      <c r="U227" s="1367"/>
      <c r="V227" s="127"/>
      <c r="W227" s="127"/>
      <c r="X227" s="127"/>
      <c r="Y227" s="1367"/>
      <c r="Z227" s="127"/>
      <c r="AA227" s="127"/>
      <c r="AB227" s="127"/>
      <c r="AC227" s="1367"/>
      <c r="AD227" s="127"/>
      <c r="AE227" s="127"/>
      <c r="AF227" s="127"/>
      <c r="AG227" s="1367"/>
      <c r="AH227" s="127"/>
      <c r="AI227" s="127"/>
      <c r="AJ227" s="127"/>
      <c r="AK227" s="1367"/>
      <c r="AL227" s="127"/>
      <c r="AM227" s="127"/>
      <c r="AN227" s="127"/>
      <c r="AO227" s="1367"/>
      <c r="AP227" s="127"/>
      <c r="AQ227" s="127"/>
      <c r="AR227" s="127"/>
      <c r="AS227" s="1367"/>
      <c r="AT227" s="127"/>
      <c r="AU227" s="127"/>
      <c r="AV227" s="127"/>
      <c r="AW227" s="1367"/>
      <c r="AX227" s="1250"/>
      <c r="AY227" s="127"/>
      <c r="AZ227" s="127"/>
      <c r="BA227" s="1367"/>
      <c r="BB227" s="1250"/>
      <c r="BC227" s="127"/>
      <c r="BD227" s="127"/>
      <c r="BE227" s="1367"/>
      <c r="BF227" s="1250"/>
      <c r="BG227" s="127"/>
      <c r="BH227" s="127"/>
      <c r="BI227" s="1367"/>
      <c r="BJ227" s="1229"/>
      <c r="BK227" s="1250"/>
      <c r="BL227" s="127"/>
      <c r="BM227" s="127"/>
      <c r="BN227" s="1367"/>
      <c r="BO227" s="1229"/>
      <c r="BP227" s="1250"/>
      <c r="BQ227" s="127"/>
      <c r="BR227" s="127"/>
      <c r="BS227" s="127"/>
      <c r="BT227" s="1229"/>
      <c r="BU227" s="1250"/>
      <c r="BV227" s="637"/>
      <c r="BW227" s="637">
        <v>1.9980000000000001E-2</v>
      </c>
      <c r="BX227" s="139">
        <f>BW227</f>
        <v>1.9980000000000001E-2</v>
      </c>
      <c r="BY227" s="1229"/>
      <c r="BZ227" s="3962">
        <f>BX227</f>
        <v>1.9980000000000001E-2</v>
      </c>
      <c r="CA227" s="3962">
        <f t="shared" si="767"/>
        <v>1.9980000000000001E-2</v>
      </c>
      <c r="CB227" s="3962">
        <f t="shared" si="767"/>
        <v>1.9980000000000001E-2</v>
      </c>
      <c r="CC227" s="3962">
        <f t="shared" si="767"/>
        <v>1.9980000000000001E-2</v>
      </c>
      <c r="CD227" s="3965"/>
      <c r="CE227" s="3962">
        <f>CC227</f>
        <v>1.9980000000000001E-2</v>
      </c>
      <c r="CF227" s="3962">
        <f t="shared" si="768"/>
        <v>1.9980000000000001E-2</v>
      </c>
      <c r="CG227" s="3962">
        <f t="shared" si="768"/>
        <v>1.9980000000000001E-2</v>
      </c>
      <c r="CH227" s="3962">
        <f t="shared" si="768"/>
        <v>1.9980000000000001E-2</v>
      </c>
      <c r="CI227" s="3963"/>
      <c r="CJ227" s="3962">
        <f>CH227</f>
        <v>1.9980000000000001E-2</v>
      </c>
      <c r="CK227" s="3962">
        <f>CJ227</f>
        <v>1.9980000000000001E-2</v>
      </c>
      <c r="CL227" s="3962">
        <f t="shared" si="769"/>
        <v>1.9980000000000001E-2</v>
      </c>
      <c r="CM227" s="3962">
        <f t="shared" si="769"/>
        <v>1.9980000000000001E-2</v>
      </c>
      <c r="CN227" s="4392">
        <f>AVERAGE(CJ227:CM227)</f>
        <v>1.9980000000000001E-2</v>
      </c>
      <c r="CO227" s="3962">
        <f t="shared" si="770"/>
        <v>1.9980000000000001E-2</v>
      </c>
      <c r="CP227" s="3962">
        <f t="shared" si="770"/>
        <v>1.9980000000000001E-2</v>
      </c>
      <c r="CQ227" s="3962">
        <f t="shared" si="770"/>
        <v>1.9980000000000001E-2</v>
      </c>
      <c r="CR227" s="3962">
        <f t="shared" si="770"/>
        <v>1.9980000000000001E-2</v>
      </c>
      <c r="CS227" s="4392">
        <f t="shared" si="771"/>
        <v>1.9980000000000001E-2</v>
      </c>
      <c r="CT227" s="3962">
        <f t="shared" ref="CT227:CV232" si="788">CS227</f>
        <v>1.9980000000000001E-2</v>
      </c>
      <c r="CU227" s="3962">
        <f t="shared" si="788"/>
        <v>1.9980000000000001E-2</v>
      </c>
      <c r="CV227" s="3962">
        <f t="shared" si="788"/>
        <v>1.9980000000000001E-2</v>
      </c>
      <c r="CW227" s="3962">
        <f t="shared" si="772"/>
        <v>1.9980000000000001E-2</v>
      </c>
      <c r="CX227" s="4392">
        <f t="shared" si="772"/>
        <v>1.9980000000000001E-2</v>
      </c>
      <c r="CY227" s="3962">
        <f t="shared" si="780"/>
        <v>1.9980000000000001E-2</v>
      </c>
      <c r="CZ227" s="3962">
        <f t="shared" si="773"/>
        <v>1.9980000000000001E-2</v>
      </c>
      <c r="DA227" s="3962">
        <f t="shared" si="774"/>
        <v>1.9980000000000001E-2</v>
      </c>
      <c r="DB227" s="3962">
        <f t="shared" si="775"/>
        <v>1.9980000000000001E-2</v>
      </c>
      <c r="DC227" s="4392">
        <f t="shared" si="775"/>
        <v>1.9980000000000001E-2</v>
      </c>
      <c r="DD227" s="3962">
        <f t="shared" si="781"/>
        <v>1.9980000000000001E-2</v>
      </c>
      <c r="DE227" s="3962">
        <f t="shared" si="776"/>
        <v>1.9980000000000001E-2</v>
      </c>
      <c r="DF227" s="3962">
        <f t="shared" si="777"/>
        <v>1.9980000000000001E-2</v>
      </c>
      <c r="DG227" s="3962">
        <f t="shared" si="778"/>
        <v>1.9980000000000001E-2</v>
      </c>
      <c r="DH227" s="4392">
        <f t="shared" si="778"/>
        <v>1.9980000000000001E-2</v>
      </c>
      <c r="DI227" s="3962">
        <f t="shared" si="782"/>
        <v>1.9980000000000001E-2</v>
      </c>
      <c r="DJ227" s="3962">
        <f t="shared" si="783"/>
        <v>1.9980000000000001E-2</v>
      </c>
      <c r="DK227" s="3962">
        <f t="shared" si="784"/>
        <v>1.9980000000000001E-2</v>
      </c>
      <c r="DL227" s="3962">
        <f t="shared" si="785"/>
        <v>1.9980000000000001E-2</v>
      </c>
      <c r="DM227" s="4392">
        <f t="shared" si="785"/>
        <v>1.9980000000000001E-2</v>
      </c>
      <c r="DN227" s="3962">
        <f t="shared" si="786"/>
        <v>1.9980000000000001E-2</v>
      </c>
      <c r="DO227" s="3962">
        <f t="shared" si="787"/>
        <v>1.9980000000000001E-2</v>
      </c>
      <c r="DP227" s="3962">
        <f t="shared" ref="DP227:DP232" si="789">DO227</f>
        <v>1.9980000000000001E-2</v>
      </c>
      <c r="DQ227" s="3962">
        <f t="shared" ref="DQ227:DR232" si="790">DP227</f>
        <v>1.9980000000000001E-2</v>
      </c>
      <c r="DR227" s="4392">
        <f t="shared" si="790"/>
        <v>1.9980000000000001E-2</v>
      </c>
      <c r="DS227" s="3962">
        <f t="shared" ref="DS227:DS232" si="791">DR227</f>
        <v>1.9980000000000001E-2</v>
      </c>
      <c r="DT227" s="3962">
        <f t="shared" ref="DT227:DT232" si="792">DS227</f>
        <v>1.9980000000000001E-2</v>
      </c>
      <c r="DU227" s="3962">
        <f t="shared" ref="DU227:DU232" si="793">DT227</f>
        <v>1.9980000000000001E-2</v>
      </c>
      <c r="DV227" s="3962">
        <f t="shared" ref="DV227:DW232" si="794">DU227</f>
        <v>1.9980000000000001E-2</v>
      </c>
      <c r="DW227" s="4392">
        <f t="shared" si="794"/>
        <v>1.9980000000000001E-2</v>
      </c>
      <c r="DX227" s="3964"/>
      <c r="DY227" s="3964"/>
      <c r="DZ227" s="3964"/>
      <c r="EA227" s="3964"/>
      <c r="EC227" s="3683"/>
      <c r="ED227" s="3683"/>
    </row>
    <row r="228" spans="1:134" s="4" customFormat="1" ht="11.25" customHeight="1">
      <c r="A228" s="1618" t="str">
        <f t="shared" si="761"/>
        <v>Senior notes due 08/15/2027</v>
      </c>
      <c r="B228" s="136"/>
      <c r="C228" s="136"/>
      <c r="D228" s="136"/>
      <c r="E228" s="1367"/>
      <c r="F228" s="136"/>
      <c r="G228" s="136"/>
      <c r="H228" s="136"/>
      <c r="I228" s="1367"/>
      <c r="J228" s="1288"/>
      <c r="K228" s="136"/>
      <c r="L228" s="136"/>
      <c r="M228" s="1367"/>
      <c r="N228" s="1288"/>
      <c r="O228" s="136"/>
      <c r="P228" s="136"/>
      <c r="Q228" s="1367"/>
      <c r="R228" s="138"/>
      <c r="S228" s="138"/>
      <c r="T228" s="138"/>
      <c r="U228" s="1367"/>
      <c r="V228" s="127"/>
      <c r="W228" s="127"/>
      <c r="X228" s="127"/>
      <c r="Y228" s="1367"/>
      <c r="Z228" s="127"/>
      <c r="AA228" s="127"/>
      <c r="AB228" s="127"/>
      <c r="AC228" s="1367"/>
      <c r="AD228" s="127"/>
      <c r="AE228" s="127"/>
      <c r="AF228" s="127"/>
      <c r="AG228" s="1367"/>
      <c r="AH228" s="127"/>
      <c r="AI228" s="127"/>
      <c r="AJ228" s="127"/>
      <c r="AK228" s="1367"/>
      <c r="AL228" s="127"/>
      <c r="AM228" s="127"/>
      <c r="AN228" s="127"/>
      <c r="AO228" s="1367"/>
      <c r="AP228" s="127"/>
      <c r="AQ228" s="127"/>
      <c r="AR228" s="127"/>
      <c r="AS228" s="1367"/>
      <c r="AT228" s="127"/>
      <c r="AU228" s="127"/>
      <c r="AV228" s="127"/>
      <c r="AW228" s="1367"/>
      <c r="AX228" s="1250"/>
      <c r="AY228" s="127"/>
      <c r="AZ228" s="127"/>
      <c r="BA228" s="1367"/>
      <c r="BB228" s="1250"/>
      <c r="BC228" s="127"/>
      <c r="BD228" s="127"/>
      <c r="BE228" s="1367"/>
      <c r="BF228" s="1250"/>
      <c r="BG228" s="127"/>
      <c r="BH228" s="127"/>
      <c r="BI228" s="1367"/>
      <c r="BJ228" s="1229"/>
      <c r="BK228" s="1250"/>
      <c r="BL228" s="127"/>
      <c r="BM228" s="127"/>
      <c r="BN228" s="1367"/>
      <c r="BO228" s="1229"/>
      <c r="BP228" s="1250"/>
      <c r="BQ228" s="127"/>
      <c r="BR228" s="127"/>
      <c r="BS228" s="127"/>
      <c r="BT228" s="1229"/>
      <c r="BU228" s="1250"/>
      <c r="BV228" s="637"/>
      <c r="BW228" s="139"/>
      <c r="BX228" s="139"/>
      <c r="BY228" s="1229"/>
      <c r="BZ228" s="139"/>
      <c r="CA228" s="139"/>
      <c r="CB228" s="139"/>
      <c r="CC228" s="139"/>
      <c r="CD228" s="1368"/>
      <c r="CE228" s="139"/>
      <c r="CF228" s="139"/>
      <c r="CG228" s="139"/>
      <c r="CH228" s="139"/>
      <c r="CI228" s="1368"/>
      <c r="CJ228" s="139"/>
      <c r="CK228" s="139"/>
      <c r="CL228" s="139"/>
      <c r="CM228" s="139"/>
      <c r="CN228" s="4393"/>
      <c r="CO228" s="139"/>
      <c r="CP228" s="139"/>
      <c r="CQ228" s="3962">
        <v>8.0000000000000002E-3</v>
      </c>
      <c r="CR228" s="3962">
        <f>CQ228</f>
        <v>8.0000000000000002E-3</v>
      </c>
      <c r="CS228" s="4392">
        <f t="shared" si="771"/>
        <v>8.0000000000000002E-3</v>
      </c>
      <c r="CT228" s="3962">
        <f t="shared" si="788"/>
        <v>8.0000000000000002E-3</v>
      </c>
      <c r="CU228" s="3962">
        <f t="shared" si="788"/>
        <v>8.0000000000000002E-3</v>
      </c>
      <c r="CV228" s="3962">
        <f t="shared" si="788"/>
        <v>8.0000000000000002E-3</v>
      </c>
      <c r="CW228" s="3962">
        <f>CV228</f>
        <v>8.0000000000000002E-3</v>
      </c>
      <c r="CX228" s="4392">
        <f t="shared" si="772"/>
        <v>8.0000000000000002E-3</v>
      </c>
      <c r="CY228" s="3962">
        <f t="shared" si="780"/>
        <v>8.0000000000000002E-3</v>
      </c>
      <c r="CZ228" s="3962">
        <f t="shared" si="773"/>
        <v>8.0000000000000002E-3</v>
      </c>
      <c r="DA228" s="3962">
        <f t="shared" si="774"/>
        <v>8.0000000000000002E-3</v>
      </c>
      <c r="DB228" s="3962">
        <f t="shared" si="775"/>
        <v>8.0000000000000002E-3</v>
      </c>
      <c r="DC228" s="4392">
        <f t="shared" si="775"/>
        <v>8.0000000000000002E-3</v>
      </c>
      <c r="DD228" s="3962">
        <f t="shared" si="781"/>
        <v>8.0000000000000002E-3</v>
      </c>
      <c r="DE228" s="3962">
        <f t="shared" si="776"/>
        <v>8.0000000000000002E-3</v>
      </c>
      <c r="DF228" s="3962">
        <f t="shared" si="777"/>
        <v>8.0000000000000002E-3</v>
      </c>
      <c r="DG228" s="3962">
        <f t="shared" si="778"/>
        <v>8.0000000000000002E-3</v>
      </c>
      <c r="DH228" s="4392">
        <f t="shared" si="778"/>
        <v>8.0000000000000002E-3</v>
      </c>
      <c r="DI228" s="3962">
        <f t="shared" si="782"/>
        <v>8.0000000000000002E-3</v>
      </c>
      <c r="DJ228" s="3962">
        <f t="shared" si="783"/>
        <v>8.0000000000000002E-3</v>
      </c>
      <c r="DK228" s="3962">
        <f t="shared" si="784"/>
        <v>8.0000000000000002E-3</v>
      </c>
      <c r="DL228" s="3962">
        <f t="shared" si="785"/>
        <v>8.0000000000000002E-3</v>
      </c>
      <c r="DM228" s="4392">
        <f t="shared" si="785"/>
        <v>8.0000000000000002E-3</v>
      </c>
      <c r="DN228" s="3962">
        <f t="shared" si="786"/>
        <v>8.0000000000000002E-3</v>
      </c>
      <c r="DO228" s="3962">
        <f t="shared" si="787"/>
        <v>8.0000000000000002E-3</v>
      </c>
      <c r="DP228" s="3962">
        <f t="shared" si="789"/>
        <v>8.0000000000000002E-3</v>
      </c>
      <c r="DQ228" s="3962">
        <f t="shared" si="790"/>
        <v>8.0000000000000002E-3</v>
      </c>
      <c r="DR228" s="4392">
        <f t="shared" si="790"/>
        <v>8.0000000000000002E-3</v>
      </c>
      <c r="DS228" s="3962">
        <f t="shared" si="791"/>
        <v>8.0000000000000002E-3</v>
      </c>
      <c r="DT228" s="3962">
        <f t="shared" si="792"/>
        <v>8.0000000000000002E-3</v>
      </c>
      <c r="DU228" s="3962">
        <f t="shared" si="793"/>
        <v>8.0000000000000002E-3</v>
      </c>
      <c r="DV228" s="3962">
        <f t="shared" si="794"/>
        <v>8.0000000000000002E-3</v>
      </c>
      <c r="DW228" s="4392">
        <f t="shared" si="794"/>
        <v>8.0000000000000002E-3</v>
      </c>
      <c r="DX228" s="3964"/>
      <c r="DY228" s="3964"/>
      <c r="DZ228" s="3964"/>
      <c r="EA228" s="3964"/>
      <c r="EC228" s="3683"/>
      <c r="ED228" s="3683"/>
    </row>
    <row r="229" spans="1:134" s="4" customFormat="1" ht="11.25" customHeight="1">
      <c r="A229" s="1618" t="str">
        <f t="shared" si="761"/>
        <v>Senior notes due 08/15/2030</v>
      </c>
      <c r="B229" s="136"/>
      <c r="C229" s="136"/>
      <c r="D229" s="136"/>
      <c r="E229" s="1367"/>
      <c r="F229" s="136"/>
      <c r="G229" s="136"/>
      <c r="H229" s="136"/>
      <c r="I229" s="1367"/>
      <c r="J229" s="4793"/>
      <c r="K229" s="136"/>
      <c r="L229" s="136"/>
      <c r="M229" s="1367"/>
      <c r="N229" s="4793"/>
      <c r="O229" s="136"/>
      <c r="P229" s="136"/>
      <c r="Q229" s="1367"/>
      <c r="R229" s="138"/>
      <c r="S229" s="138"/>
      <c r="T229" s="138"/>
      <c r="U229" s="1367"/>
      <c r="V229" s="127"/>
      <c r="W229" s="127"/>
      <c r="X229" s="127"/>
      <c r="Y229" s="1367"/>
      <c r="Z229" s="127"/>
      <c r="AA229" s="127"/>
      <c r="AB229" s="127"/>
      <c r="AC229" s="1367"/>
      <c r="AD229" s="127"/>
      <c r="AE229" s="127"/>
      <c r="AF229" s="127"/>
      <c r="AG229" s="1367"/>
      <c r="AH229" s="127"/>
      <c r="AI229" s="127"/>
      <c r="AJ229" s="127"/>
      <c r="AK229" s="1367"/>
      <c r="AL229" s="127"/>
      <c r="AM229" s="127"/>
      <c r="AN229" s="127"/>
      <c r="AO229" s="1367"/>
      <c r="AP229" s="127"/>
      <c r="AQ229" s="127"/>
      <c r="AR229" s="127"/>
      <c r="AS229" s="1367"/>
      <c r="AT229" s="127"/>
      <c r="AU229" s="127"/>
      <c r="AV229" s="127"/>
      <c r="AW229" s="1367"/>
      <c r="AX229" s="1250"/>
      <c r="AY229" s="127"/>
      <c r="AZ229" s="127"/>
      <c r="BA229" s="1367"/>
      <c r="BB229" s="1250"/>
      <c r="BC229" s="127"/>
      <c r="BD229" s="127"/>
      <c r="BE229" s="1367"/>
      <c r="BF229" s="1250"/>
      <c r="BG229" s="127"/>
      <c r="BH229" s="127"/>
      <c r="BI229" s="1367"/>
      <c r="BJ229" s="1957"/>
      <c r="BK229" s="1250"/>
      <c r="BL229" s="127"/>
      <c r="BM229" s="127"/>
      <c r="BN229" s="1367"/>
      <c r="BO229" s="1957"/>
      <c r="BP229" s="1250"/>
      <c r="BQ229" s="127"/>
      <c r="BR229" s="127"/>
      <c r="BS229" s="127"/>
      <c r="BT229" s="1957"/>
      <c r="BU229" s="1250"/>
      <c r="BV229" s="637"/>
      <c r="BW229" s="139"/>
      <c r="BX229" s="139"/>
      <c r="BY229" s="1957"/>
      <c r="BZ229" s="139"/>
      <c r="CA229" s="139"/>
      <c r="CB229" s="139"/>
      <c r="CC229" s="139"/>
      <c r="CD229" s="4794"/>
      <c r="CE229" s="139"/>
      <c r="CF229" s="139"/>
      <c r="CG229" s="139"/>
      <c r="CH229" s="139"/>
      <c r="CI229" s="4794"/>
      <c r="CJ229" s="139"/>
      <c r="CK229" s="139"/>
      <c r="CL229" s="139"/>
      <c r="CM229" s="139"/>
      <c r="CN229" s="4795"/>
      <c r="CO229" s="139"/>
      <c r="CP229" s="139"/>
      <c r="CQ229" s="3962">
        <v>1.0999999999999999E-2</v>
      </c>
      <c r="CR229" s="3962">
        <f>CQ229</f>
        <v>1.0999999999999999E-2</v>
      </c>
      <c r="CS229" s="4392">
        <f t="shared" si="771"/>
        <v>1.0999999999999999E-2</v>
      </c>
      <c r="CT229" s="3962">
        <f t="shared" si="788"/>
        <v>1.0999999999999999E-2</v>
      </c>
      <c r="CU229" s="3962">
        <f t="shared" si="788"/>
        <v>1.0999999999999999E-2</v>
      </c>
      <c r="CV229" s="3962">
        <f t="shared" si="788"/>
        <v>1.0999999999999999E-2</v>
      </c>
      <c r="CW229" s="3962">
        <f>CV229</f>
        <v>1.0999999999999999E-2</v>
      </c>
      <c r="CX229" s="4392">
        <f t="shared" si="772"/>
        <v>1.0999999999999999E-2</v>
      </c>
      <c r="CY229" s="3962">
        <f t="shared" si="780"/>
        <v>1.0999999999999999E-2</v>
      </c>
      <c r="CZ229" s="3962">
        <f t="shared" si="773"/>
        <v>1.0999999999999999E-2</v>
      </c>
      <c r="DA229" s="3962">
        <f t="shared" si="774"/>
        <v>1.0999999999999999E-2</v>
      </c>
      <c r="DB229" s="3962">
        <f t="shared" si="775"/>
        <v>1.0999999999999999E-2</v>
      </c>
      <c r="DC229" s="4392">
        <f t="shared" si="775"/>
        <v>1.0999999999999999E-2</v>
      </c>
      <c r="DD229" s="3962">
        <f t="shared" si="781"/>
        <v>1.0999999999999999E-2</v>
      </c>
      <c r="DE229" s="3962">
        <f t="shared" si="776"/>
        <v>1.0999999999999999E-2</v>
      </c>
      <c r="DF229" s="3962">
        <f t="shared" si="777"/>
        <v>1.0999999999999999E-2</v>
      </c>
      <c r="DG229" s="3962">
        <f t="shared" si="778"/>
        <v>1.0999999999999999E-2</v>
      </c>
      <c r="DH229" s="4392">
        <f t="shared" si="778"/>
        <v>1.0999999999999999E-2</v>
      </c>
      <c r="DI229" s="3962">
        <f t="shared" si="782"/>
        <v>1.0999999999999999E-2</v>
      </c>
      <c r="DJ229" s="3962">
        <f t="shared" si="783"/>
        <v>1.0999999999999999E-2</v>
      </c>
      <c r="DK229" s="3962">
        <f t="shared" si="784"/>
        <v>1.0999999999999999E-2</v>
      </c>
      <c r="DL229" s="3962">
        <f t="shared" si="785"/>
        <v>1.0999999999999999E-2</v>
      </c>
      <c r="DM229" s="4392">
        <f t="shared" si="785"/>
        <v>1.0999999999999999E-2</v>
      </c>
      <c r="DN229" s="3962">
        <f t="shared" si="786"/>
        <v>1.0999999999999999E-2</v>
      </c>
      <c r="DO229" s="3962">
        <f t="shared" si="787"/>
        <v>1.0999999999999999E-2</v>
      </c>
      <c r="DP229" s="3962">
        <f t="shared" si="789"/>
        <v>1.0999999999999999E-2</v>
      </c>
      <c r="DQ229" s="3962">
        <f t="shared" si="790"/>
        <v>1.0999999999999999E-2</v>
      </c>
      <c r="DR229" s="4392">
        <f t="shared" si="790"/>
        <v>1.0999999999999999E-2</v>
      </c>
      <c r="DS229" s="3962">
        <f t="shared" si="791"/>
        <v>1.0999999999999999E-2</v>
      </c>
      <c r="DT229" s="3962">
        <f t="shared" si="792"/>
        <v>1.0999999999999999E-2</v>
      </c>
      <c r="DU229" s="3962">
        <f t="shared" si="793"/>
        <v>1.0999999999999999E-2</v>
      </c>
      <c r="DV229" s="3962">
        <f t="shared" si="794"/>
        <v>1.0999999999999999E-2</v>
      </c>
      <c r="DW229" s="4392">
        <f t="shared" si="794"/>
        <v>1.0999999999999999E-2</v>
      </c>
      <c r="DX229" s="3963">
        <f t="shared" ref="DX229:EA232" si="795">DW229</f>
        <v>1.0999999999999999E-2</v>
      </c>
      <c r="DY229" s="3963">
        <f t="shared" si="795"/>
        <v>1.0999999999999999E-2</v>
      </c>
      <c r="DZ229" s="3963">
        <f t="shared" si="795"/>
        <v>1.0999999999999999E-2</v>
      </c>
      <c r="EA229" s="3963">
        <f t="shared" si="795"/>
        <v>1.0999999999999999E-2</v>
      </c>
      <c r="EC229" s="3683"/>
      <c r="ED229" s="3683"/>
    </row>
    <row r="230" spans="1:134" s="4" customFormat="1" ht="11.25" customHeight="1">
      <c r="A230" s="1618" t="str">
        <f t="shared" si="761"/>
        <v>Senior notes due 08/15/2040</v>
      </c>
      <c r="B230" s="136"/>
      <c r="C230" s="136"/>
      <c r="D230" s="136"/>
      <c r="E230" s="1367"/>
      <c r="F230" s="136"/>
      <c r="G230" s="136"/>
      <c r="H230" s="136"/>
      <c r="I230" s="1367"/>
      <c r="J230" s="4793"/>
      <c r="K230" s="136"/>
      <c r="L230" s="136"/>
      <c r="M230" s="1367"/>
      <c r="N230" s="4793"/>
      <c r="O230" s="136"/>
      <c r="P230" s="136"/>
      <c r="Q230" s="1367"/>
      <c r="R230" s="138"/>
      <c r="S230" s="138"/>
      <c r="T230" s="138"/>
      <c r="U230" s="1367"/>
      <c r="V230" s="127"/>
      <c r="W230" s="127"/>
      <c r="X230" s="127"/>
      <c r="Y230" s="1367"/>
      <c r="Z230" s="127"/>
      <c r="AA230" s="127"/>
      <c r="AB230" s="127"/>
      <c r="AC230" s="1367"/>
      <c r="AD230" s="127"/>
      <c r="AE230" s="127"/>
      <c r="AF230" s="127"/>
      <c r="AG230" s="1367"/>
      <c r="AH230" s="127"/>
      <c r="AI230" s="127"/>
      <c r="AJ230" s="127"/>
      <c r="AK230" s="1367"/>
      <c r="AL230" s="127"/>
      <c r="AM230" s="127"/>
      <c r="AN230" s="127"/>
      <c r="AO230" s="1367"/>
      <c r="AP230" s="127"/>
      <c r="AQ230" s="127"/>
      <c r="AR230" s="127"/>
      <c r="AS230" s="1367"/>
      <c r="AT230" s="127"/>
      <c r="AU230" s="127"/>
      <c r="AV230" s="127"/>
      <c r="AW230" s="1367"/>
      <c r="AX230" s="1250"/>
      <c r="AY230" s="127"/>
      <c r="AZ230" s="127"/>
      <c r="BA230" s="1367"/>
      <c r="BB230" s="1250"/>
      <c r="BC230" s="127"/>
      <c r="BD230" s="127"/>
      <c r="BE230" s="1367"/>
      <c r="BF230" s="1250"/>
      <c r="BG230" s="127"/>
      <c r="BH230" s="127"/>
      <c r="BI230" s="1367"/>
      <c r="BJ230" s="1957"/>
      <c r="BK230" s="1250"/>
      <c r="BL230" s="127"/>
      <c r="BM230" s="127"/>
      <c r="BN230" s="1367"/>
      <c r="BO230" s="1957"/>
      <c r="BP230" s="1250"/>
      <c r="BQ230" s="127"/>
      <c r="BR230" s="127"/>
      <c r="BS230" s="127"/>
      <c r="BT230" s="1957"/>
      <c r="BU230" s="1250"/>
      <c r="BV230" s="637"/>
      <c r="BW230" s="139"/>
      <c r="BX230" s="139"/>
      <c r="BY230" s="1957"/>
      <c r="BZ230" s="139"/>
      <c r="CA230" s="139"/>
      <c r="CB230" s="139"/>
      <c r="CC230" s="139"/>
      <c r="CD230" s="4794"/>
      <c r="CE230" s="139"/>
      <c r="CF230" s="139"/>
      <c r="CG230" s="139"/>
      <c r="CH230" s="139"/>
      <c r="CI230" s="4794"/>
      <c r="CJ230" s="139"/>
      <c r="CK230" s="139"/>
      <c r="CL230" s="139"/>
      <c r="CM230" s="139"/>
      <c r="CN230" s="4795"/>
      <c r="CO230" s="139"/>
      <c r="CP230" s="139"/>
      <c r="CQ230" s="3962">
        <v>1.9E-2</v>
      </c>
      <c r="CR230" s="3962">
        <f>CQ230</f>
        <v>1.9E-2</v>
      </c>
      <c r="CS230" s="4392">
        <f t="shared" si="771"/>
        <v>1.9E-2</v>
      </c>
      <c r="CT230" s="3962">
        <f t="shared" si="788"/>
        <v>1.9E-2</v>
      </c>
      <c r="CU230" s="3962">
        <f t="shared" si="788"/>
        <v>1.9E-2</v>
      </c>
      <c r="CV230" s="3962">
        <f t="shared" si="788"/>
        <v>1.9E-2</v>
      </c>
      <c r="CW230" s="3962">
        <f>CV230</f>
        <v>1.9E-2</v>
      </c>
      <c r="CX230" s="4392">
        <f t="shared" si="772"/>
        <v>1.9E-2</v>
      </c>
      <c r="CY230" s="3962">
        <f t="shared" si="780"/>
        <v>1.9E-2</v>
      </c>
      <c r="CZ230" s="3962">
        <f t="shared" si="773"/>
        <v>1.9E-2</v>
      </c>
      <c r="DA230" s="3962">
        <f t="shared" si="774"/>
        <v>1.9E-2</v>
      </c>
      <c r="DB230" s="3962">
        <f t="shared" si="775"/>
        <v>1.9E-2</v>
      </c>
      <c r="DC230" s="4392">
        <f t="shared" si="775"/>
        <v>1.9E-2</v>
      </c>
      <c r="DD230" s="3962">
        <f t="shared" si="781"/>
        <v>1.9E-2</v>
      </c>
      <c r="DE230" s="3962">
        <f t="shared" si="776"/>
        <v>1.9E-2</v>
      </c>
      <c r="DF230" s="3962">
        <f t="shared" si="777"/>
        <v>1.9E-2</v>
      </c>
      <c r="DG230" s="3962">
        <f t="shared" si="778"/>
        <v>1.9E-2</v>
      </c>
      <c r="DH230" s="4392">
        <f t="shared" si="778"/>
        <v>1.9E-2</v>
      </c>
      <c r="DI230" s="3962">
        <f t="shared" si="782"/>
        <v>1.9E-2</v>
      </c>
      <c r="DJ230" s="3962">
        <f t="shared" si="783"/>
        <v>1.9E-2</v>
      </c>
      <c r="DK230" s="3962">
        <f t="shared" si="784"/>
        <v>1.9E-2</v>
      </c>
      <c r="DL230" s="3962">
        <f t="shared" si="785"/>
        <v>1.9E-2</v>
      </c>
      <c r="DM230" s="4392">
        <f t="shared" si="785"/>
        <v>1.9E-2</v>
      </c>
      <c r="DN230" s="3962">
        <f t="shared" si="786"/>
        <v>1.9E-2</v>
      </c>
      <c r="DO230" s="3962">
        <f t="shared" si="787"/>
        <v>1.9E-2</v>
      </c>
      <c r="DP230" s="3962">
        <f t="shared" si="789"/>
        <v>1.9E-2</v>
      </c>
      <c r="DQ230" s="3962">
        <f t="shared" si="790"/>
        <v>1.9E-2</v>
      </c>
      <c r="DR230" s="4392">
        <f t="shared" si="790"/>
        <v>1.9E-2</v>
      </c>
      <c r="DS230" s="3962">
        <f t="shared" si="791"/>
        <v>1.9E-2</v>
      </c>
      <c r="DT230" s="3962">
        <f t="shared" si="792"/>
        <v>1.9E-2</v>
      </c>
      <c r="DU230" s="3962">
        <f t="shared" si="793"/>
        <v>1.9E-2</v>
      </c>
      <c r="DV230" s="3962">
        <f t="shared" si="794"/>
        <v>1.9E-2</v>
      </c>
      <c r="DW230" s="4392">
        <f t="shared" si="794"/>
        <v>1.9E-2</v>
      </c>
      <c r="DX230" s="3963">
        <f t="shared" si="795"/>
        <v>1.9E-2</v>
      </c>
      <c r="DY230" s="3963">
        <f t="shared" si="795"/>
        <v>1.9E-2</v>
      </c>
      <c r="DZ230" s="3963">
        <f t="shared" si="795"/>
        <v>1.9E-2</v>
      </c>
      <c r="EA230" s="3963">
        <f t="shared" si="795"/>
        <v>1.9E-2</v>
      </c>
      <c r="EC230" s="3683"/>
      <c r="ED230" s="3683"/>
    </row>
    <row r="231" spans="1:134" s="4" customFormat="1" ht="11.25" customHeight="1">
      <c r="A231" s="1618" t="str">
        <f t="shared" si="761"/>
        <v>Senior notes due 08/15/2050</v>
      </c>
      <c r="B231" s="136"/>
      <c r="C231" s="136"/>
      <c r="D231" s="136"/>
      <c r="E231" s="1367"/>
      <c r="F231" s="136"/>
      <c r="G231" s="136"/>
      <c r="H231" s="136"/>
      <c r="I231" s="1367"/>
      <c r="J231" s="4793"/>
      <c r="K231" s="136"/>
      <c r="L231" s="136"/>
      <c r="M231" s="1367"/>
      <c r="N231" s="4793"/>
      <c r="O231" s="136"/>
      <c r="P231" s="136"/>
      <c r="Q231" s="1367"/>
      <c r="R231" s="138"/>
      <c r="S231" s="138"/>
      <c r="T231" s="138"/>
      <c r="U231" s="1367"/>
      <c r="V231" s="127"/>
      <c r="W231" s="127"/>
      <c r="X231" s="127"/>
      <c r="Y231" s="1367"/>
      <c r="Z231" s="127"/>
      <c r="AA231" s="127"/>
      <c r="AB231" s="127"/>
      <c r="AC231" s="1367"/>
      <c r="AD231" s="127"/>
      <c r="AE231" s="127"/>
      <c r="AF231" s="127"/>
      <c r="AG231" s="1367"/>
      <c r="AH231" s="127"/>
      <c r="AI231" s="127"/>
      <c r="AJ231" s="127"/>
      <c r="AK231" s="1367"/>
      <c r="AL231" s="127"/>
      <c r="AM231" s="127"/>
      <c r="AN231" s="127"/>
      <c r="AO231" s="1367"/>
      <c r="AP231" s="127"/>
      <c r="AQ231" s="127"/>
      <c r="AR231" s="127"/>
      <c r="AS231" s="1367"/>
      <c r="AT231" s="127"/>
      <c r="AU231" s="127"/>
      <c r="AV231" s="127"/>
      <c r="AW231" s="1367"/>
      <c r="AX231" s="1250"/>
      <c r="AY231" s="127"/>
      <c r="AZ231" s="127"/>
      <c r="BA231" s="1367"/>
      <c r="BB231" s="1250"/>
      <c r="BC231" s="127"/>
      <c r="BD231" s="127"/>
      <c r="BE231" s="1367"/>
      <c r="BF231" s="1250"/>
      <c r="BG231" s="127"/>
      <c r="BH231" s="127"/>
      <c r="BI231" s="1367"/>
      <c r="BJ231" s="1957"/>
      <c r="BK231" s="1250"/>
      <c r="BL231" s="127"/>
      <c r="BM231" s="127"/>
      <c r="BN231" s="1367"/>
      <c r="BO231" s="1957"/>
      <c r="BP231" s="1250"/>
      <c r="BQ231" s="127"/>
      <c r="BR231" s="127"/>
      <c r="BS231" s="127"/>
      <c r="BT231" s="1957"/>
      <c r="BU231" s="1250"/>
      <c r="BV231" s="637"/>
      <c r="BW231" s="139"/>
      <c r="BX231" s="139"/>
      <c r="BY231" s="1957"/>
      <c r="BZ231" s="139"/>
      <c r="CA231" s="139"/>
      <c r="CB231" s="139"/>
      <c r="CC231" s="139"/>
      <c r="CD231" s="4794"/>
      <c r="CE231" s="139"/>
      <c r="CF231" s="139"/>
      <c r="CG231" s="139"/>
      <c r="CH231" s="139"/>
      <c r="CI231" s="4794"/>
      <c r="CJ231" s="139"/>
      <c r="CK231" s="139"/>
      <c r="CL231" s="139"/>
      <c r="CM231" s="139"/>
      <c r="CN231" s="4795"/>
      <c r="CO231" s="139"/>
      <c r="CP231" s="139"/>
      <c r="CQ231" s="3962">
        <v>2.0500000000000001E-2</v>
      </c>
      <c r="CR231" s="3962">
        <f>CQ231</f>
        <v>2.0500000000000001E-2</v>
      </c>
      <c r="CS231" s="4392">
        <f t="shared" si="771"/>
        <v>2.0500000000000001E-2</v>
      </c>
      <c r="CT231" s="3962">
        <f t="shared" si="788"/>
        <v>2.0500000000000001E-2</v>
      </c>
      <c r="CU231" s="3962">
        <f t="shared" si="788"/>
        <v>2.0500000000000001E-2</v>
      </c>
      <c r="CV231" s="3962">
        <f t="shared" si="788"/>
        <v>2.0500000000000001E-2</v>
      </c>
      <c r="CW231" s="3962">
        <f>CV231</f>
        <v>2.0500000000000001E-2</v>
      </c>
      <c r="CX231" s="4392">
        <f t="shared" si="772"/>
        <v>2.0500000000000001E-2</v>
      </c>
      <c r="CY231" s="3962">
        <f t="shared" si="780"/>
        <v>2.0500000000000001E-2</v>
      </c>
      <c r="CZ231" s="3962">
        <f t="shared" si="773"/>
        <v>2.0500000000000001E-2</v>
      </c>
      <c r="DA231" s="3962">
        <f t="shared" si="774"/>
        <v>2.0500000000000001E-2</v>
      </c>
      <c r="DB231" s="3962">
        <f t="shared" si="775"/>
        <v>2.0500000000000001E-2</v>
      </c>
      <c r="DC231" s="4392">
        <f t="shared" si="775"/>
        <v>2.0500000000000001E-2</v>
      </c>
      <c r="DD231" s="3962">
        <f t="shared" si="781"/>
        <v>2.0500000000000001E-2</v>
      </c>
      <c r="DE231" s="3962">
        <f t="shared" si="776"/>
        <v>2.0500000000000001E-2</v>
      </c>
      <c r="DF231" s="3962">
        <f t="shared" si="777"/>
        <v>2.0500000000000001E-2</v>
      </c>
      <c r="DG231" s="3962">
        <f t="shared" si="778"/>
        <v>2.0500000000000001E-2</v>
      </c>
      <c r="DH231" s="4392">
        <f t="shared" si="778"/>
        <v>2.0500000000000001E-2</v>
      </c>
      <c r="DI231" s="3962">
        <f t="shared" si="782"/>
        <v>2.0500000000000001E-2</v>
      </c>
      <c r="DJ231" s="3962">
        <f t="shared" si="783"/>
        <v>2.0500000000000001E-2</v>
      </c>
      <c r="DK231" s="3962">
        <f t="shared" si="784"/>
        <v>2.0500000000000001E-2</v>
      </c>
      <c r="DL231" s="3962">
        <f t="shared" si="785"/>
        <v>2.0500000000000001E-2</v>
      </c>
      <c r="DM231" s="4392">
        <f t="shared" si="785"/>
        <v>2.0500000000000001E-2</v>
      </c>
      <c r="DN231" s="3962">
        <f t="shared" si="786"/>
        <v>2.0500000000000001E-2</v>
      </c>
      <c r="DO231" s="3962">
        <f t="shared" si="787"/>
        <v>2.0500000000000001E-2</v>
      </c>
      <c r="DP231" s="3962">
        <f t="shared" si="789"/>
        <v>2.0500000000000001E-2</v>
      </c>
      <c r="DQ231" s="3962">
        <f t="shared" si="790"/>
        <v>2.0500000000000001E-2</v>
      </c>
      <c r="DR231" s="4392">
        <f t="shared" si="790"/>
        <v>2.0500000000000001E-2</v>
      </c>
      <c r="DS231" s="3962">
        <f t="shared" si="791"/>
        <v>2.0500000000000001E-2</v>
      </c>
      <c r="DT231" s="3962">
        <f t="shared" si="792"/>
        <v>2.0500000000000001E-2</v>
      </c>
      <c r="DU231" s="3962">
        <f t="shared" si="793"/>
        <v>2.0500000000000001E-2</v>
      </c>
      <c r="DV231" s="3962">
        <f t="shared" si="794"/>
        <v>2.0500000000000001E-2</v>
      </c>
      <c r="DW231" s="4392">
        <f t="shared" si="794"/>
        <v>2.0500000000000001E-2</v>
      </c>
      <c r="DX231" s="3963">
        <f t="shared" si="795"/>
        <v>2.0500000000000001E-2</v>
      </c>
      <c r="DY231" s="3963">
        <f t="shared" si="795"/>
        <v>2.0500000000000001E-2</v>
      </c>
      <c r="DZ231" s="3963">
        <f t="shared" si="795"/>
        <v>2.0500000000000001E-2</v>
      </c>
      <c r="EA231" s="3963">
        <f t="shared" si="795"/>
        <v>2.0500000000000001E-2</v>
      </c>
      <c r="EC231" s="3683"/>
      <c r="ED231" s="3683"/>
    </row>
    <row r="232" spans="1:134" s="4" customFormat="1" ht="11.25" customHeight="1">
      <c r="A232" s="1618" t="str">
        <f t="shared" si="761"/>
        <v>Senior notes due 08/15/2060</v>
      </c>
      <c r="B232" s="136"/>
      <c r="C232" s="136"/>
      <c r="D232" s="136"/>
      <c r="E232" s="1367"/>
      <c r="F232" s="136"/>
      <c r="G232" s="136"/>
      <c r="H232" s="136"/>
      <c r="I232" s="1367"/>
      <c r="J232" s="1288"/>
      <c r="K232" s="136"/>
      <c r="L232" s="136"/>
      <c r="M232" s="1367"/>
      <c r="N232" s="1288"/>
      <c r="O232" s="136"/>
      <c r="P232" s="136"/>
      <c r="Q232" s="1367"/>
      <c r="R232" s="138"/>
      <c r="S232" s="138"/>
      <c r="T232" s="138"/>
      <c r="U232" s="1367"/>
      <c r="V232" s="127"/>
      <c r="W232" s="127"/>
      <c r="X232" s="127"/>
      <c r="Y232" s="1367"/>
      <c r="Z232" s="127"/>
      <c r="AA232" s="127"/>
      <c r="AB232" s="127"/>
      <c r="AC232" s="1367"/>
      <c r="AD232" s="127"/>
      <c r="AE232" s="127"/>
      <c r="AF232" s="127"/>
      <c r="AG232" s="1367"/>
      <c r="AH232" s="127"/>
      <c r="AI232" s="127"/>
      <c r="AJ232" s="127"/>
      <c r="AK232" s="1367"/>
      <c r="AL232" s="127"/>
      <c r="AM232" s="127"/>
      <c r="AN232" s="127"/>
      <c r="AO232" s="1367"/>
      <c r="AP232" s="127"/>
      <c r="AQ232" s="127"/>
      <c r="AR232" s="127"/>
      <c r="AS232" s="1367"/>
      <c r="AT232" s="127"/>
      <c r="AU232" s="127"/>
      <c r="AV232" s="127"/>
      <c r="AW232" s="1367"/>
      <c r="AX232" s="1250"/>
      <c r="AY232" s="127"/>
      <c r="AZ232" s="127"/>
      <c r="BA232" s="1367"/>
      <c r="BB232" s="1250"/>
      <c r="BC232" s="127"/>
      <c r="BD232" s="127"/>
      <c r="BE232" s="1367"/>
      <c r="BF232" s="1250"/>
      <c r="BG232" s="127"/>
      <c r="BH232" s="127"/>
      <c r="BI232" s="1367"/>
      <c r="BJ232" s="1229"/>
      <c r="BK232" s="1250"/>
      <c r="BL232" s="127"/>
      <c r="BM232" s="127"/>
      <c r="BN232" s="1367"/>
      <c r="BO232" s="1229"/>
      <c r="BP232" s="1250"/>
      <c r="BQ232" s="127"/>
      <c r="BR232" s="127"/>
      <c r="BS232" s="127"/>
      <c r="BT232" s="1229"/>
      <c r="BU232" s="1250"/>
      <c r="BV232" s="637"/>
      <c r="BW232" s="139"/>
      <c r="BX232" s="139"/>
      <c r="BY232" s="1229"/>
      <c r="BZ232" s="139"/>
      <c r="CA232" s="139"/>
      <c r="CB232" s="139"/>
      <c r="CC232" s="139"/>
      <c r="CD232" s="1368"/>
      <c r="CE232" s="139"/>
      <c r="CF232" s="139"/>
      <c r="CG232" s="139"/>
      <c r="CH232" s="139"/>
      <c r="CI232" s="1368"/>
      <c r="CJ232" s="139"/>
      <c r="CK232" s="139"/>
      <c r="CL232" s="139"/>
      <c r="CM232" s="139"/>
      <c r="CN232" s="4393"/>
      <c r="CO232" s="139"/>
      <c r="CP232" s="139"/>
      <c r="CQ232" s="3962">
        <v>2.2499999999999999E-2</v>
      </c>
      <c r="CR232" s="3962">
        <f>CQ232</f>
        <v>2.2499999999999999E-2</v>
      </c>
      <c r="CS232" s="4392">
        <f t="shared" si="771"/>
        <v>2.2499999999999999E-2</v>
      </c>
      <c r="CT232" s="3962">
        <f t="shared" si="788"/>
        <v>2.2499999999999999E-2</v>
      </c>
      <c r="CU232" s="3962">
        <f t="shared" si="788"/>
        <v>2.2499999999999999E-2</v>
      </c>
      <c r="CV232" s="3962">
        <f t="shared" si="788"/>
        <v>2.2499999999999999E-2</v>
      </c>
      <c r="CW232" s="3962">
        <f>CV232</f>
        <v>2.2499999999999999E-2</v>
      </c>
      <c r="CX232" s="4392">
        <f t="shared" si="772"/>
        <v>2.2499999999999999E-2</v>
      </c>
      <c r="CY232" s="3962">
        <f t="shared" si="780"/>
        <v>2.2499999999999999E-2</v>
      </c>
      <c r="CZ232" s="3962">
        <f t="shared" si="773"/>
        <v>2.2499999999999999E-2</v>
      </c>
      <c r="DA232" s="3962">
        <f t="shared" si="774"/>
        <v>2.2499999999999999E-2</v>
      </c>
      <c r="DB232" s="3962">
        <f t="shared" si="775"/>
        <v>2.2499999999999999E-2</v>
      </c>
      <c r="DC232" s="4392">
        <f t="shared" si="775"/>
        <v>2.2499999999999999E-2</v>
      </c>
      <c r="DD232" s="3962">
        <f t="shared" si="781"/>
        <v>2.2499999999999999E-2</v>
      </c>
      <c r="DE232" s="3962">
        <f t="shared" si="776"/>
        <v>2.2499999999999999E-2</v>
      </c>
      <c r="DF232" s="3962">
        <f t="shared" si="777"/>
        <v>2.2499999999999999E-2</v>
      </c>
      <c r="DG232" s="3962">
        <f t="shared" si="778"/>
        <v>2.2499999999999999E-2</v>
      </c>
      <c r="DH232" s="4392">
        <f t="shared" si="778"/>
        <v>2.2499999999999999E-2</v>
      </c>
      <c r="DI232" s="3962">
        <f t="shared" si="782"/>
        <v>2.2499999999999999E-2</v>
      </c>
      <c r="DJ232" s="3962">
        <f t="shared" si="783"/>
        <v>2.2499999999999999E-2</v>
      </c>
      <c r="DK232" s="3962">
        <f t="shared" si="784"/>
        <v>2.2499999999999999E-2</v>
      </c>
      <c r="DL232" s="3962">
        <f t="shared" si="785"/>
        <v>2.2499999999999999E-2</v>
      </c>
      <c r="DM232" s="4392">
        <f t="shared" si="785"/>
        <v>2.2499999999999999E-2</v>
      </c>
      <c r="DN232" s="3962">
        <f t="shared" si="786"/>
        <v>2.2499999999999999E-2</v>
      </c>
      <c r="DO232" s="3962">
        <f t="shared" si="787"/>
        <v>2.2499999999999999E-2</v>
      </c>
      <c r="DP232" s="3962">
        <f t="shared" si="789"/>
        <v>2.2499999999999999E-2</v>
      </c>
      <c r="DQ232" s="3962">
        <f t="shared" si="790"/>
        <v>2.2499999999999999E-2</v>
      </c>
      <c r="DR232" s="4392">
        <f t="shared" si="790"/>
        <v>2.2499999999999999E-2</v>
      </c>
      <c r="DS232" s="3962">
        <f t="shared" si="791"/>
        <v>2.2499999999999999E-2</v>
      </c>
      <c r="DT232" s="3962">
        <f t="shared" si="792"/>
        <v>2.2499999999999999E-2</v>
      </c>
      <c r="DU232" s="3962">
        <f t="shared" si="793"/>
        <v>2.2499999999999999E-2</v>
      </c>
      <c r="DV232" s="3962">
        <f t="shared" si="794"/>
        <v>2.2499999999999999E-2</v>
      </c>
      <c r="DW232" s="4392">
        <f t="shared" si="794"/>
        <v>2.2499999999999999E-2</v>
      </c>
      <c r="DX232" s="3963">
        <f t="shared" si="795"/>
        <v>2.2499999999999999E-2</v>
      </c>
      <c r="DY232" s="3963">
        <f t="shared" si="795"/>
        <v>2.2499999999999999E-2</v>
      </c>
      <c r="DZ232" s="3963">
        <f t="shared" si="795"/>
        <v>2.2499999999999999E-2</v>
      </c>
      <c r="EA232" s="3963">
        <f t="shared" si="795"/>
        <v>2.2499999999999999E-2</v>
      </c>
      <c r="EC232" s="3683"/>
      <c r="ED232" s="3683"/>
    </row>
    <row r="233" spans="1:134" s="4" customFormat="1" ht="11.25" hidden="1" customHeight="1" outlineLevel="1">
      <c r="A233" s="1618" t="str">
        <f t="shared" si="761"/>
        <v>NA</v>
      </c>
      <c r="B233" s="136"/>
      <c r="C233" s="136"/>
      <c r="D233" s="136"/>
      <c r="E233" s="1367"/>
      <c r="F233" s="136"/>
      <c r="G233" s="136"/>
      <c r="H233" s="136"/>
      <c r="I233" s="1367"/>
      <c r="J233" s="1288"/>
      <c r="K233" s="136"/>
      <c r="L233" s="136"/>
      <c r="M233" s="1367"/>
      <c r="N233" s="1288"/>
      <c r="O233" s="136"/>
      <c r="P233" s="136"/>
      <c r="Q233" s="1367"/>
      <c r="R233" s="138"/>
      <c r="S233" s="138"/>
      <c r="T233" s="138"/>
      <c r="U233" s="1367"/>
      <c r="V233" s="127"/>
      <c r="W233" s="127"/>
      <c r="X233" s="127"/>
      <c r="Y233" s="1367"/>
      <c r="Z233" s="127"/>
      <c r="AA233" s="127"/>
      <c r="AB233" s="127"/>
      <c r="AC233" s="1367"/>
      <c r="AD233" s="127"/>
      <c r="AE233" s="127"/>
      <c r="AF233" s="127"/>
      <c r="AG233" s="1367"/>
      <c r="AH233" s="127"/>
      <c r="AI233" s="127"/>
      <c r="AJ233" s="127"/>
      <c r="AK233" s="1367"/>
      <c r="AL233" s="127"/>
      <c r="AM233" s="127"/>
      <c r="AN233" s="127"/>
      <c r="AO233" s="1367"/>
      <c r="AP233" s="127"/>
      <c r="AQ233" s="127"/>
      <c r="AR233" s="127"/>
      <c r="AS233" s="1367"/>
      <c r="AT233" s="127"/>
      <c r="AU233" s="127"/>
      <c r="AV233" s="127"/>
      <c r="AW233" s="1367"/>
      <c r="AX233" s="1250"/>
      <c r="AY233" s="127"/>
      <c r="AZ233" s="127"/>
      <c r="BA233" s="1367"/>
      <c r="BB233" s="1250"/>
      <c r="BC233" s="127"/>
      <c r="BD233" s="127"/>
      <c r="BE233" s="1367"/>
      <c r="BF233" s="1250"/>
      <c r="BG233" s="127"/>
      <c r="BH233" s="127"/>
      <c r="BI233" s="1367"/>
      <c r="BJ233" s="1229"/>
      <c r="BK233" s="1250"/>
      <c r="BL233" s="127"/>
      <c r="BM233" s="127"/>
      <c r="BN233" s="1367"/>
      <c r="BO233" s="1229"/>
      <c r="BP233" s="1250"/>
      <c r="BQ233" s="127"/>
      <c r="BR233" s="127"/>
      <c r="BS233" s="127"/>
      <c r="BT233" s="1229"/>
      <c r="BU233" s="1250"/>
      <c r="BV233" s="637"/>
      <c r="BW233" s="139"/>
      <c r="BX233" s="139"/>
      <c r="BY233" s="1229"/>
      <c r="BZ233" s="139"/>
      <c r="CA233" s="139"/>
      <c r="CB233" s="139"/>
      <c r="CC233" s="139"/>
      <c r="CD233" s="1368"/>
      <c r="CE233" s="139"/>
      <c r="CF233" s="139"/>
      <c r="CG233" s="139"/>
      <c r="CH233" s="139"/>
      <c r="CI233" s="1368"/>
      <c r="CJ233" s="139"/>
      <c r="CK233" s="139"/>
      <c r="CL233" s="139"/>
      <c r="CM233" s="139"/>
      <c r="CN233" s="4393"/>
      <c r="CO233" s="139"/>
      <c r="CP233" s="139"/>
      <c r="CQ233" s="139"/>
      <c r="CR233" s="139"/>
      <c r="CS233" s="4393"/>
      <c r="CT233" s="139"/>
      <c r="CU233" s="139"/>
      <c r="CV233" s="139"/>
      <c r="CW233" s="139"/>
      <c r="CX233" s="4393"/>
      <c r="CY233" s="139"/>
      <c r="CZ233" s="139"/>
      <c r="DA233" s="139"/>
      <c r="DB233" s="139"/>
      <c r="DC233" s="4393"/>
      <c r="DD233" s="139"/>
      <c r="DE233" s="139"/>
      <c r="DF233" s="139"/>
      <c r="DG233" s="139"/>
      <c r="DH233" s="4393"/>
      <c r="DI233" s="139"/>
      <c r="DJ233" s="139"/>
      <c r="DK233" s="139"/>
      <c r="DL233" s="139"/>
      <c r="DM233" s="4393"/>
      <c r="DN233" s="139"/>
      <c r="DO233" s="139"/>
      <c r="DP233" s="139"/>
      <c r="DQ233" s="139"/>
      <c r="DR233" s="4393"/>
      <c r="DS233" s="139"/>
      <c r="DT233" s="139"/>
      <c r="DU233" s="139"/>
      <c r="DV233" s="139"/>
      <c r="DW233" s="4393"/>
      <c r="DX233" s="1368"/>
      <c r="DY233" s="1368"/>
      <c r="DZ233" s="1368"/>
      <c r="EA233" s="1368"/>
      <c r="EC233" s="3683"/>
      <c r="ED233" s="3683"/>
    </row>
    <row r="234" spans="1:134" s="4" customFormat="1" ht="11.25" customHeight="1" collapsed="1">
      <c r="A234" s="1619" t="s">
        <v>405</v>
      </c>
      <c r="B234" s="1291"/>
      <c r="C234" s="1291"/>
      <c r="D234" s="1291"/>
      <c r="E234" s="1297"/>
      <c r="F234" s="1291"/>
      <c r="G234" s="1291"/>
      <c r="H234" s="1291"/>
      <c r="I234" s="1297"/>
      <c r="J234" s="1292"/>
      <c r="K234" s="1291"/>
      <c r="L234" s="1291"/>
      <c r="M234" s="1297"/>
      <c r="N234" s="1292"/>
      <c r="O234" s="1291"/>
      <c r="P234" s="1291"/>
      <c r="Q234" s="1297"/>
      <c r="R234" s="1293"/>
      <c r="S234" s="1293"/>
      <c r="T234" s="1293"/>
      <c r="U234" s="1297"/>
      <c r="V234" s="1294"/>
      <c r="W234" s="1294"/>
      <c r="X234" s="1294"/>
      <c r="Y234" s="1297"/>
      <c r="Z234" s="1294"/>
      <c r="AA234" s="1294"/>
      <c r="AB234" s="1294"/>
      <c r="AC234" s="1297"/>
      <c r="AD234" s="1294"/>
      <c r="AE234" s="1294"/>
      <c r="AF234" s="1294"/>
      <c r="AG234" s="1297"/>
      <c r="AH234" s="1294"/>
      <c r="AI234" s="1294"/>
      <c r="AJ234" s="1294"/>
      <c r="AK234" s="1297"/>
      <c r="AL234" s="1294"/>
      <c r="AM234" s="1294"/>
      <c r="AN234" s="1294"/>
      <c r="AO234" s="1297"/>
      <c r="AP234" s="1294"/>
      <c r="AQ234" s="1294"/>
      <c r="AR234" s="1294"/>
      <c r="AS234" s="1297"/>
      <c r="AT234" s="1294"/>
      <c r="AU234" s="1294"/>
      <c r="AV234" s="1294"/>
      <c r="AW234" s="1297"/>
      <c r="AX234" s="1295"/>
      <c r="AY234" s="1294"/>
      <c r="AZ234" s="1294"/>
      <c r="BA234" s="1297"/>
      <c r="BB234" s="1295"/>
      <c r="BC234" s="1294"/>
      <c r="BD234" s="1294"/>
      <c r="BE234" s="1297"/>
      <c r="BF234" s="1295"/>
      <c r="BG234" s="1294"/>
      <c r="BH234" s="1294"/>
      <c r="BI234" s="1297"/>
      <c r="BJ234" s="1296"/>
      <c r="BK234" s="1295">
        <f>SUMPRODUCT(BK204:BK217,BK220:BK233)/BK218</f>
        <v>2.3333333333333334E-2</v>
      </c>
      <c r="BL234" s="1294">
        <f>SUMPRODUCT(BL204:BL217,BL220:BL233)/BL218</f>
        <v>3.0416666666666668E-2</v>
      </c>
      <c r="BM234" s="1294">
        <f>SUMPRODUCT(BM204:BM217,BM220:BM233)/BM218</f>
        <v>3.0416666666666668E-2</v>
      </c>
      <c r="BN234" s="1297">
        <f>SUMPRODUCT(BN204:BN217,BN220:BN233)/BN218</f>
        <v>3.0416666666666668E-2</v>
      </c>
      <c r="BO234" s="1296"/>
      <c r="BP234" s="1295">
        <f>SUMPRODUCT(BP204:BP217,BP220:BP233)/BP218</f>
        <v>3.0416666666666668E-2</v>
      </c>
      <c r="BQ234" s="1294">
        <f>SUMPRODUCT(BQ204:BQ217,BQ220:BQ233)/BQ218</f>
        <v>2.3333333333333334E-2</v>
      </c>
      <c r="BR234" s="1294">
        <f>SUMPRODUCT(BR204:BR217,BR220:BR233)/BR218</f>
        <v>3.0416666666666668E-2</v>
      </c>
      <c r="BS234" s="1294">
        <f>SUMPRODUCT(BS204:BS217,BS220:BS233)/BS218</f>
        <v>3.0416666666666668E-2</v>
      </c>
      <c r="BT234" s="1296"/>
      <c r="BU234" s="1295">
        <f>SUMPRODUCT(BU204:BU217,BU220:BU233)/BU218</f>
        <v>2.6517190193449534E-2</v>
      </c>
      <c r="BV234" s="1294">
        <f>SUMPRODUCT(BV204:BV217,BV220:BV233)/BV218</f>
        <v>2.9740459824602983E-2</v>
      </c>
      <c r="BW234" s="1294">
        <f>SUMPRODUCT(BW204:BW217,BW220:BW233)/BW218</f>
        <v>2.7490000000000001E-2</v>
      </c>
      <c r="BX234" s="1294">
        <f>SUMPRODUCT(BX204:BX217,BX220:BX233)/BX218</f>
        <v>2.7490000000000001E-2</v>
      </c>
      <c r="BY234" s="1296"/>
      <c r="BZ234" s="1294">
        <f>SUMPRODUCT(BZ204:BZ217,BZ220:BZ233)/BZ218</f>
        <v>2.7490000000000001E-2</v>
      </c>
      <c r="CA234" s="1294">
        <f>SUMPRODUCT(CA204:CA217,CA220:CA233)/CA218</f>
        <v>2.7490000000000001E-2</v>
      </c>
      <c r="CB234" s="1294">
        <f>SUMPRODUCT(CB204:CB217,CB220:CB233)/CB218</f>
        <v>2.7490000000000001E-2</v>
      </c>
      <c r="CC234" s="1294">
        <f>SUMPRODUCT(CC204:CC217,CC220:CC233)/CC218</f>
        <v>2.7490000000000001E-2</v>
      </c>
      <c r="CD234" s="1296"/>
      <c r="CE234" s="1294">
        <f>SUMPRODUCT(CE204:CE217,CE220:CE233)/CE218</f>
        <v>2.6869018577594297E-2</v>
      </c>
      <c r="CF234" s="1294">
        <f>SUMPRODUCT(CF204:CF217,CF220:CF233)/CF218</f>
        <v>2.7490000000000001E-2</v>
      </c>
      <c r="CG234" s="1294">
        <f>SUMPRODUCT(CG204:CG217,CG220:CG233)/CG218</f>
        <v>2.7490000000000001E-2</v>
      </c>
      <c r="CH234" s="1294">
        <f>SUMPRODUCT(CH204:CH217,CH220:CH233)/CH218</f>
        <v>2.7490000000000001E-2</v>
      </c>
      <c r="CI234" s="1296"/>
      <c r="CJ234" s="1294">
        <f t="shared" ref="CJ234:CX234" si="796">SUMPRODUCT(CJ204:CJ217,CJ220:CJ233)/CJ218</f>
        <v>2.7490000000000001E-2</v>
      </c>
      <c r="CK234" s="1294">
        <f t="shared" si="796"/>
        <v>2.7490000000000001E-2</v>
      </c>
      <c r="CL234" s="1294">
        <f t="shared" si="796"/>
        <v>2.7490000000000001E-2</v>
      </c>
      <c r="CM234" s="1294">
        <f t="shared" si="796"/>
        <v>2.7490000000000001E-2</v>
      </c>
      <c r="CN234" s="4394">
        <f t="shared" si="796"/>
        <v>2.7490000000000001E-2</v>
      </c>
      <c r="CO234" s="4313">
        <f t="shared" si="796"/>
        <v>2.7490000000000001E-2</v>
      </c>
      <c r="CP234" s="4313">
        <f t="shared" si="796"/>
        <v>2.7490000000000001E-2</v>
      </c>
      <c r="CQ234" s="4313">
        <f t="shared" si="796"/>
        <v>1.9086428571428574E-2</v>
      </c>
      <c r="CR234" s="4313">
        <f t="shared" si="796"/>
        <v>1.9086428571428574E-2</v>
      </c>
      <c r="CS234" s="4394">
        <f t="shared" si="796"/>
        <v>1.9086428571428574E-2</v>
      </c>
      <c r="CT234" s="4313">
        <f t="shared" si="796"/>
        <v>1.9086428571428574E-2</v>
      </c>
      <c r="CU234" s="4313">
        <f t="shared" si="796"/>
        <v>1.7766153846153848E-2</v>
      </c>
      <c r="CV234" s="4313">
        <f t="shared" si="796"/>
        <v>1.7766153846153848E-2</v>
      </c>
      <c r="CW234" s="4313">
        <f>SUMPRODUCT(CW204:CW217,CW220:CW233)/CW218</f>
        <v>1.7766153846153848E-2</v>
      </c>
      <c r="CX234" s="4394">
        <f t="shared" si="796"/>
        <v>1.7766153846153848E-2</v>
      </c>
      <c r="CY234" s="4313">
        <f t="shared" ref="CY234:DH234" si="797">SUMPRODUCT(CY204:CY217,CY220:CY233)/CY218</f>
        <v>1.7766153846153848E-2</v>
      </c>
      <c r="CZ234" s="4313">
        <f t="shared" si="797"/>
        <v>1.7766153846153848E-2</v>
      </c>
      <c r="DA234" s="4313">
        <f t="shared" si="797"/>
        <v>1.7766153846153848E-2</v>
      </c>
      <c r="DB234" s="4313">
        <f t="shared" si="797"/>
        <v>1.7766153846153848E-2</v>
      </c>
      <c r="DC234" s="4394">
        <f t="shared" si="797"/>
        <v>1.7766153846153848E-2</v>
      </c>
      <c r="DD234" s="4313">
        <f t="shared" si="797"/>
        <v>1.7766153846153848E-2</v>
      </c>
      <c r="DE234" s="4313">
        <f>SUMPRODUCT(DE204:DE217,DE220:DE233)/DE218</f>
        <v>1.7766153846153848E-2</v>
      </c>
      <c r="DF234" s="4313">
        <f t="shared" si="797"/>
        <v>1.7766153846153848E-2</v>
      </c>
      <c r="DG234" s="4313">
        <f t="shared" si="797"/>
        <v>1.7766153846153848E-2</v>
      </c>
      <c r="DH234" s="4394">
        <f t="shared" si="797"/>
        <v>1.7766153846153848E-2</v>
      </c>
      <c r="DI234" s="4313">
        <f t="shared" ref="DI234:DN234" si="798">SUMPRODUCT(DI204:DI217,DI220:DI233)/DI218</f>
        <v>1.6434166666666666E-2</v>
      </c>
      <c r="DJ234" s="4313">
        <f t="shared" si="798"/>
        <v>1.6434166666666666E-2</v>
      </c>
      <c r="DK234" s="4313">
        <f t="shared" si="798"/>
        <v>1.6434166666666666E-2</v>
      </c>
      <c r="DL234" s="4313">
        <f t="shared" si="798"/>
        <v>1.6434166666666666E-2</v>
      </c>
      <c r="DM234" s="4394">
        <f t="shared" si="798"/>
        <v>1.6434166666666666E-2</v>
      </c>
      <c r="DN234" s="4313">
        <f t="shared" si="798"/>
        <v>1.6434166666666666E-2</v>
      </c>
      <c r="DO234" s="4313">
        <f t="shared" ref="DO234:DQ234" si="799">SUMPRODUCT(DO204:DO217,DO220:DO233)/DO218</f>
        <v>1.6434166666666666E-2</v>
      </c>
      <c r="DP234" s="4313">
        <f t="shared" si="799"/>
        <v>1.7519090909090911E-2</v>
      </c>
      <c r="DQ234" s="4313">
        <f t="shared" si="799"/>
        <v>1.7519090909090911E-2</v>
      </c>
      <c r="DR234" s="4394">
        <f>SUMPRODUCT(DR204:DR217,DR220:DR233)/DR218</f>
        <v>1.7519090909090911E-2</v>
      </c>
      <c r="DS234" s="4313">
        <f t="shared" ref="DS234:DV234" si="800">SUMPRODUCT(DS204:DS217,DS220:DS233)/DS218</f>
        <v>1.7519090909090911E-2</v>
      </c>
      <c r="DT234" s="4313">
        <f t="shared" si="800"/>
        <v>1.7519090909090911E-2</v>
      </c>
      <c r="DU234" s="4313">
        <f t="shared" si="800"/>
        <v>1.7519090909090911E-2</v>
      </c>
      <c r="DV234" s="4313">
        <f t="shared" si="800"/>
        <v>1.7519090909090911E-2</v>
      </c>
      <c r="DW234" s="4394">
        <f>SUMPRODUCT(DW204:DW217,DW220:DW233)/DW218</f>
        <v>1.7519090909090911E-2</v>
      </c>
      <c r="DX234" s="1296">
        <f>IFERROR(SUMPRODUCT(DX204:DX217,DX220:DX233)/DX218,"NA")</f>
        <v>1.8093749999999999E-2</v>
      </c>
      <c r="DY234" s="1296">
        <f>IFERROR(SUMPRODUCT(DY204:DY217,DY220:DY233)/DY218,"NA")</f>
        <v>1.8093749999999999E-2</v>
      </c>
      <c r="DZ234" s="1296">
        <f>IFERROR(SUMPRODUCT(DZ204:DZ217,DZ220:DZ233)/DZ218,"NA")</f>
        <v>1.8093749999999999E-2</v>
      </c>
      <c r="EA234" s="1296">
        <f>IFERROR(SUMPRODUCT(EA204:EA217,EA220:EA233)/EA218,"NA")</f>
        <v>1.8093749999999999E-2</v>
      </c>
      <c r="EC234" s="3683"/>
      <c r="ED234" s="3683"/>
    </row>
    <row r="235" spans="1:134" s="31" customFormat="1" ht="11.25" customHeight="1">
      <c r="A235" s="2842" t="s">
        <v>407</v>
      </c>
      <c r="B235" s="2843"/>
      <c r="C235" s="2843"/>
      <c r="D235" s="2843"/>
      <c r="E235" s="2844"/>
      <c r="F235" s="2845"/>
      <c r="G235" s="2843"/>
      <c r="H235" s="2843"/>
      <c r="I235" s="2844"/>
      <c r="J235" s="2846"/>
      <c r="K235" s="2847"/>
      <c r="L235" s="2847"/>
      <c r="M235" s="2844"/>
      <c r="N235" s="2847"/>
      <c r="O235" s="2847"/>
      <c r="P235" s="2847"/>
      <c r="Q235" s="2844"/>
      <c r="R235" s="2848"/>
      <c r="S235" s="2849"/>
      <c r="T235" s="2849"/>
      <c r="U235" s="2844"/>
      <c r="V235" s="2850"/>
      <c r="W235" s="2851"/>
      <c r="X235" s="2851"/>
      <c r="Y235" s="2844"/>
      <c r="Z235" s="2850"/>
      <c r="AA235" s="2851"/>
      <c r="AB235" s="2851"/>
      <c r="AC235" s="2844"/>
      <c r="AD235" s="2850"/>
      <c r="AE235" s="2851"/>
      <c r="AF235" s="2851"/>
      <c r="AG235" s="2844"/>
      <c r="AH235" s="2850"/>
      <c r="AI235" s="2851"/>
      <c r="AJ235" s="2851"/>
      <c r="AK235" s="2844"/>
      <c r="AL235" s="2850"/>
      <c r="AM235" s="2851"/>
      <c r="AN235" s="2851"/>
      <c r="AO235" s="2844"/>
      <c r="AP235" s="2851"/>
      <c r="AQ235" s="2851"/>
      <c r="AR235" s="2851"/>
      <c r="AS235" s="2844"/>
      <c r="AT235" s="2850"/>
      <c r="AU235" s="2851"/>
      <c r="AV235" s="2851"/>
      <c r="AW235" s="2844"/>
      <c r="AX235" s="2850"/>
      <c r="AY235" s="2851"/>
      <c r="AZ235" s="2851"/>
      <c r="BA235" s="2844"/>
      <c r="BB235" s="2852"/>
      <c r="BC235" s="2851"/>
      <c r="BD235" s="2851"/>
      <c r="BE235" s="2844"/>
      <c r="BF235" s="2852"/>
      <c r="BG235" s="2851"/>
      <c r="BH235" s="2851"/>
      <c r="BI235" s="2844"/>
      <c r="BJ235" s="2853"/>
      <c r="BK235" s="2852">
        <f>BK218*BK234/4</f>
        <v>17.5</v>
      </c>
      <c r="BL235" s="2851">
        <f>BL218*BL234/4</f>
        <v>22.8125</v>
      </c>
      <c r="BM235" s="2851">
        <f>BM218*BM234/4</f>
        <v>22.8125</v>
      </c>
      <c r="BN235" s="2851">
        <f>BN218*BN234/4</f>
        <v>22.8125</v>
      </c>
      <c r="BO235" s="2853"/>
      <c r="BP235" s="2852">
        <f>BP218*BP234/4</f>
        <v>22.8125</v>
      </c>
      <c r="BQ235" s="2851">
        <f>BQ218*BQ234/4</f>
        <v>17.5</v>
      </c>
      <c r="BR235" s="2851">
        <f>BR218*BR234/4</f>
        <v>22.8125</v>
      </c>
      <c r="BS235" s="2851">
        <f>BS218*BS234/4</f>
        <v>22.8125</v>
      </c>
      <c r="BT235" s="2853"/>
      <c r="BU235" s="2852">
        <f>BU218*BU234/4</f>
        <v>34.611562500000005</v>
      </c>
      <c r="BV235" s="2851">
        <f>BV218*BV234/4</f>
        <v>31.368749999999999</v>
      </c>
      <c r="BW235" s="2851">
        <f>BW218*BW234/4</f>
        <v>27.490000000000002</v>
      </c>
      <c r="BX235" s="2851">
        <f>BX218*BX234/4</f>
        <v>27.490000000000002</v>
      </c>
      <c r="BY235" s="2853"/>
      <c r="BZ235" s="2851">
        <f>BZ218*BZ234/4</f>
        <v>27.490000000000002</v>
      </c>
      <c r="CA235" s="2851">
        <f>CA218*CA234/4</f>
        <v>27.490000000000002</v>
      </c>
      <c r="CB235" s="2851">
        <f>CB218*CB234/4</f>
        <v>27.490000000000002</v>
      </c>
      <c r="CC235" s="2851">
        <f>CC218*CC234/4</f>
        <v>27.490000000000002</v>
      </c>
      <c r="CD235" s="2853">
        <f>SUM(BZ235:CC235)</f>
        <v>109.96000000000001</v>
      </c>
      <c r="CE235" s="2851">
        <f>CE218*CE234/4</f>
        <v>35.796250000000001</v>
      </c>
      <c r="CF235" s="2851">
        <f>CF218*CF234/4</f>
        <v>27.490000000000002</v>
      </c>
      <c r="CG235" s="2851">
        <f>CG218*CG234/4</f>
        <v>27.490000000000002</v>
      </c>
      <c r="CH235" s="2851">
        <f>CH218*CH234/4</f>
        <v>27.490000000000002</v>
      </c>
      <c r="CI235" s="2853">
        <f>SUM(CE235:CH235)</f>
        <v>118.26625000000001</v>
      </c>
      <c r="CJ235" s="2851">
        <f>CJ218*CJ234/4</f>
        <v>27.490000000000002</v>
      </c>
      <c r="CK235" s="2851">
        <f>CK218*CK234/4</f>
        <v>27.490000000000002</v>
      </c>
      <c r="CL235" s="2851">
        <f>CL218*CL234/4</f>
        <v>27.490000000000002</v>
      </c>
      <c r="CM235" s="2851">
        <f>CM218*CM234/4</f>
        <v>27.490000000000002</v>
      </c>
      <c r="CN235" s="4395">
        <f>SUM(CJ235:CM235)</f>
        <v>109.96000000000001</v>
      </c>
      <c r="CO235" s="2851">
        <f>CO218*CO234/4</f>
        <v>27.490000000000002</v>
      </c>
      <c r="CP235" s="2851">
        <f>CP218*CP234/4</f>
        <v>27.490000000000002</v>
      </c>
      <c r="CQ235" s="2851">
        <f>CQ218*CQ234/4-SUM(CQ210*CQ226,CQ212*CQ228,CQ213*CQ229,CQ214*CQ230,CQ215*CQ231,CQ216*CQ232)/4*((DATE(2020,8,3)-DATE(2020,6,30))/(DATE(2020,9,30)-DATE(2020,6,30)))</f>
        <v>52.27396739130436</v>
      </c>
      <c r="CR235" s="2851">
        <f>CR218*CR234/4</f>
        <v>66.802500000000009</v>
      </c>
      <c r="CS235" s="4395">
        <f>SUM(CO235:CR235)</f>
        <v>174.05646739130438</v>
      </c>
      <c r="CT235" s="2851">
        <f>CT218*CT234/4</f>
        <v>66.802500000000009</v>
      </c>
      <c r="CU235" s="2851">
        <f>CU218*CU234/4+CT208*CT224/4*((DATE(2021,5,19)-DATE(2021,3,30))/(DATE(2021,6,30)-DATE(2021,3,30)))</f>
        <v>62.665271739130446</v>
      </c>
      <c r="CV235" s="2851">
        <f>CV218*CV234/4</f>
        <v>57.740000000000009</v>
      </c>
      <c r="CW235" s="2851">
        <f>CW218*CW234/4</f>
        <v>57.740000000000009</v>
      </c>
      <c r="CX235" s="4395">
        <f>SUM(CT235:CW235)</f>
        <v>244.94777173913047</v>
      </c>
      <c r="CY235" s="2851">
        <f>CY218*CY234/4</f>
        <v>57.740000000000009</v>
      </c>
      <c r="CZ235" s="2851">
        <f>CZ218*CZ234/4+CY208*CY224/4*((DATE(2021,5,19)-DATE(2021,3,30))/(DATE(2021,6,30)-DATE(2021,3,30)))</f>
        <v>57.740000000000009</v>
      </c>
      <c r="DA235" s="2851">
        <f>DA218*DA234/4+CZ208*CZ224/4*((DATE(2021,5,19)-DATE(2021,3,30))/(DATE(2021,6,30)-DATE(2021,3,30)))</f>
        <v>57.740000000000009</v>
      </c>
      <c r="DB235" s="2851">
        <f>DB218*DB234/4</f>
        <v>57.740000000000009</v>
      </c>
      <c r="DC235" s="4395">
        <f>SUM(CY235:DB235)</f>
        <v>230.96000000000004</v>
      </c>
      <c r="DD235" s="2851">
        <f>DD218*DD234/4</f>
        <v>57.740000000000009</v>
      </c>
      <c r="DE235" s="2851">
        <f>DE218*DE234/4+DD208*DD224/4*((DATE(2021,5,19)-DATE(2021,3,30))/(DATE(2021,6,30)-DATE(2021,3,30)))</f>
        <v>57.740000000000009</v>
      </c>
      <c r="DF235" s="2851">
        <f>DF218*DF234/4</f>
        <v>57.740000000000009</v>
      </c>
      <c r="DG235" s="2851">
        <f>DG218*DG234/4</f>
        <v>57.740000000000009</v>
      </c>
      <c r="DH235" s="4395">
        <f>SUM(DD235:DG235)</f>
        <v>230.96000000000004</v>
      </c>
      <c r="DI235" s="2851">
        <f>DI218*DI234/4</f>
        <v>49.302500000000002</v>
      </c>
      <c r="DJ235" s="2851">
        <f>DJ218*DJ234/4</f>
        <v>49.302500000000002</v>
      </c>
      <c r="DK235" s="2851">
        <f>DK218*DK234/4</f>
        <v>49.302500000000002</v>
      </c>
      <c r="DL235" s="2851">
        <f>DL218*DL234/4</f>
        <v>49.302500000000002</v>
      </c>
      <c r="DM235" s="4395">
        <f>SUM(DI235:DL235)</f>
        <v>197.21</v>
      </c>
      <c r="DN235" s="2851">
        <f>DN218*DN234/4</f>
        <v>49.302500000000002</v>
      </c>
      <c r="DO235" s="2851">
        <f t="shared" ref="DO235:DQ235" si="801">DO218*DO234/4</f>
        <v>49.302500000000002</v>
      </c>
      <c r="DP235" s="2851">
        <f t="shared" si="801"/>
        <v>48.177500000000009</v>
      </c>
      <c r="DQ235" s="2851">
        <f t="shared" si="801"/>
        <v>48.177500000000009</v>
      </c>
      <c r="DR235" s="4395">
        <f>SUM(DN235:DQ235)</f>
        <v>194.96000000000004</v>
      </c>
      <c r="DS235" s="2851">
        <f t="shared" ref="DS235:DV235" si="802">DS218*DS234/4</f>
        <v>48.177500000000009</v>
      </c>
      <c r="DT235" s="2851">
        <f t="shared" si="802"/>
        <v>48.177500000000009</v>
      </c>
      <c r="DU235" s="2851">
        <f t="shared" si="802"/>
        <v>48.177500000000009</v>
      </c>
      <c r="DV235" s="2851">
        <f t="shared" si="802"/>
        <v>48.177500000000009</v>
      </c>
      <c r="DW235" s="4395">
        <f>SUM(DS235:DV235)</f>
        <v>192.71000000000004</v>
      </c>
      <c r="DX235" s="2853">
        <f>DX218*DX234+DW211*DW227*((DATE(2026,8,15)-DATE(2025,12,31))/(DATE(2026,12,31)-DATE(2025,12,31)))</f>
        <v>169.60183561643836</v>
      </c>
      <c r="DY235" s="2853">
        <f>DY218*DY234+DX211*DX227*((DATE(2026,8,15)-DATE(2025,12,31))/(DATE(2026,12,31)-DATE(2025,12,31)))</f>
        <v>144.75</v>
      </c>
      <c r="DZ235" s="2853">
        <f>DZ218*DZ234+DY211*DY227*((DATE(2026,8,15)-DATE(2025,12,31))/(DATE(2026,12,31)-DATE(2025,12,31)))</f>
        <v>144.75</v>
      </c>
      <c r="EA235" s="2853">
        <f>EA218*EA234+DZ211*DZ227*((DATE(2026,8,15)-DATE(2025,12,31))/(DATE(2026,12,31)-DATE(2025,12,31)))</f>
        <v>144.75</v>
      </c>
      <c r="EC235" s="3683"/>
      <c r="ED235" s="3683"/>
    </row>
    <row r="236" spans="1:134" s="31" customFormat="1" ht="11.25" customHeight="1">
      <c r="A236" s="2854" t="s">
        <v>527</v>
      </c>
      <c r="B236" s="2855"/>
      <c r="C236" s="2855"/>
      <c r="D236" s="2855"/>
      <c r="E236" s="2856"/>
      <c r="F236" s="2857"/>
      <c r="G236" s="2855"/>
      <c r="H236" s="2855"/>
      <c r="I236" s="2856"/>
      <c r="J236" s="2858"/>
      <c r="K236" s="2859"/>
      <c r="L236" s="2859"/>
      <c r="M236" s="2860"/>
      <c r="N236" s="2859"/>
      <c r="O236" s="2859"/>
      <c r="P236" s="2859"/>
      <c r="Q236" s="2860"/>
      <c r="R236" s="2861"/>
      <c r="S236" s="2862"/>
      <c r="T236" s="2862"/>
      <c r="U236" s="2863"/>
      <c r="V236" s="2864"/>
      <c r="W236" s="2865"/>
      <c r="X236" s="2865"/>
      <c r="Y236" s="2863"/>
      <c r="Z236" s="2864"/>
      <c r="AA236" s="2865"/>
      <c r="AB236" s="2865"/>
      <c r="AC236" s="2863"/>
      <c r="AD236" s="2864"/>
      <c r="AE236" s="2865"/>
      <c r="AF236" s="2865"/>
      <c r="AG236" s="2863"/>
      <c r="AH236" s="2864"/>
      <c r="AI236" s="2865"/>
      <c r="AJ236" s="2865"/>
      <c r="AK236" s="2863"/>
      <c r="AL236" s="2864"/>
      <c r="AM236" s="2865"/>
      <c r="AN236" s="2865"/>
      <c r="AO236" s="2863"/>
      <c r="AP236" s="2865"/>
      <c r="AQ236" s="2865"/>
      <c r="AR236" s="2865"/>
      <c r="AS236" s="2863"/>
      <c r="AT236" s="2864"/>
      <c r="AU236" s="2865"/>
      <c r="AV236" s="2865"/>
      <c r="AW236" s="2863"/>
      <c r="AX236" s="2864"/>
      <c r="AY236" s="2865"/>
      <c r="AZ236" s="2865"/>
      <c r="BA236" s="2866"/>
      <c r="BB236" s="2867"/>
      <c r="BC236" s="2865"/>
      <c r="BD236" s="2865"/>
      <c r="BE236" s="2868"/>
      <c r="BF236" s="2867"/>
      <c r="BG236" s="2865"/>
      <c r="BH236" s="2865"/>
      <c r="BI236" s="2868"/>
      <c r="BJ236" s="2866"/>
      <c r="BK236" s="2869">
        <f>-IS!CI191</f>
        <v>24</v>
      </c>
      <c r="BL236" s="2870">
        <f>-IS!CJ191</f>
        <v>27</v>
      </c>
      <c r="BM236" s="2870">
        <f>-IS!CK191</f>
        <v>25</v>
      </c>
      <c r="BN236" s="2870">
        <f>-IS!CL191</f>
        <v>25</v>
      </c>
      <c r="BO236" s="2866"/>
      <c r="BP236" s="2869">
        <f>-IS!CN191</f>
        <v>26</v>
      </c>
      <c r="BQ236" s="2870">
        <f>-IS!CO191</f>
        <v>26</v>
      </c>
      <c r="BR236" s="2870">
        <f>-IS!CP191</f>
        <v>26</v>
      </c>
      <c r="BS236" s="2870">
        <f>-IS!CQ191</f>
        <v>26</v>
      </c>
      <c r="BT236" s="2866"/>
      <c r="BU236" s="2869">
        <f>-IS!CS191</f>
        <v>30</v>
      </c>
      <c r="BV236" s="2870">
        <f>-IS!CT191</f>
        <v>32</v>
      </c>
      <c r="BW236" s="2870">
        <f>-IS!CU191</f>
        <v>29</v>
      </c>
      <c r="BX236" s="2870">
        <f>-IS!CV191</f>
        <v>33</v>
      </c>
      <c r="BY236" s="2866"/>
      <c r="BZ236" s="2869">
        <f>-IS!CX191</f>
        <v>25</v>
      </c>
      <c r="CA236" s="2870">
        <f>-IS!CY191</f>
        <v>21</v>
      </c>
      <c r="CB236" s="2870">
        <f>-IS!CZ191</f>
        <v>27</v>
      </c>
      <c r="CC236" s="2870">
        <f>-IS!DA191</f>
        <v>36</v>
      </c>
      <c r="CD236" s="2866">
        <f>SUM(BZ236:CC236)</f>
        <v>109</v>
      </c>
      <c r="CE236" s="2869">
        <f>-IS!DC191</f>
        <v>30</v>
      </c>
      <c r="CF236" s="3588">
        <f>-IS!DD191</f>
        <v>27</v>
      </c>
      <c r="CG236" s="3588">
        <f>-IS!DE191</f>
        <v>28</v>
      </c>
      <c r="CH236" s="2870">
        <f>-IS!DF191</f>
        <v>29</v>
      </c>
      <c r="CI236" s="2866">
        <f>SUM(CE236:CH236)</f>
        <v>114</v>
      </c>
      <c r="CJ236" s="2869">
        <f>-IS!DH191</f>
        <v>35</v>
      </c>
      <c r="CK236" s="3588">
        <f>-IS!DI191</f>
        <v>25</v>
      </c>
      <c r="CL236" s="3588">
        <f>-IS!DJ191</f>
        <v>23</v>
      </c>
      <c r="CM236" s="3588">
        <f>-IS!DK191</f>
        <v>17</v>
      </c>
      <c r="CN236" s="4396">
        <f>SUM(CJ236:CM236)</f>
        <v>100</v>
      </c>
      <c r="CO236" s="2869">
        <f>-IS!DM191</f>
        <v>21</v>
      </c>
      <c r="CP236" s="4743">
        <f>-IS!DN191</f>
        <v>13</v>
      </c>
      <c r="CQ236" s="4743">
        <f>-IS!DO191</f>
        <v>48</v>
      </c>
      <c r="CR236" s="4743">
        <f>-IS!DP191</f>
        <v>53</v>
      </c>
      <c r="CS236" s="4396">
        <f>-IS!DQ191</f>
        <v>135</v>
      </c>
      <c r="CT236" s="2869">
        <f>-IS!DR191</f>
        <v>76</v>
      </c>
      <c r="CU236" s="4743">
        <f>-IS!DS191</f>
        <v>76</v>
      </c>
      <c r="CV236" s="5227">
        <f>-IS!DT191</f>
        <v>77</v>
      </c>
      <c r="CW236" s="5227">
        <f>-IS!DU191</f>
        <v>117</v>
      </c>
      <c r="CX236" s="4396">
        <f>-IS!DV191</f>
        <v>346</v>
      </c>
      <c r="CY236" s="2869">
        <f>-IS!DW191</f>
        <v>83</v>
      </c>
      <c r="CZ236" s="4743">
        <f>-IS!DX191</f>
        <v>83</v>
      </c>
      <c r="DA236" s="4743">
        <f>-IS!DY191</f>
        <v>101</v>
      </c>
      <c r="DB236" s="5227">
        <f>-IS!DZ191</f>
        <v>90</v>
      </c>
      <c r="DC236" s="4396">
        <f>-IS!EA191</f>
        <v>357</v>
      </c>
      <c r="DD236" s="2869">
        <f>-IS!EB191</f>
        <v>80</v>
      </c>
      <c r="DE236" s="4743">
        <f>-IS!EC191</f>
        <v>43</v>
      </c>
      <c r="DF236" s="4743">
        <f>-IS!ED191</f>
        <v>116</v>
      </c>
      <c r="DG236" s="4743">
        <f>-IS!EE191</f>
        <v>69</v>
      </c>
      <c r="DH236" s="4396">
        <f>-IS!EF191</f>
        <v>308</v>
      </c>
      <c r="DI236" s="2869">
        <f>-IS!EG191</f>
        <v>94</v>
      </c>
      <c r="DJ236" s="4743">
        <f>-IS!EH191</f>
        <v>67</v>
      </c>
      <c r="DK236" s="4743">
        <f>-IS!EI191</f>
        <v>54</v>
      </c>
      <c r="DL236" s="4743">
        <f>-IS!EJ191</f>
        <v>53</v>
      </c>
      <c r="DM236" s="4396">
        <f>-IS!EK191</f>
        <v>268</v>
      </c>
      <c r="DN236" s="2869">
        <f>-IS!EL191</f>
        <v>34</v>
      </c>
      <c r="DO236" s="4743">
        <f>-IS!EM191</f>
        <v>261</v>
      </c>
      <c r="DP236" s="4743">
        <f>-IS!EN191</f>
        <v>143</v>
      </c>
      <c r="DQ236" s="5133">
        <f>-IS!EO191</f>
        <v>143</v>
      </c>
      <c r="DR236" s="4396">
        <f>-IS!EP191</f>
        <v>581</v>
      </c>
      <c r="DS236" s="5133">
        <f>-IS!EQ191</f>
        <v>143</v>
      </c>
      <c r="DT236" s="5133">
        <f>-IS!ER191</f>
        <v>143</v>
      </c>
      <c r="DU236" s="5133">
        <f>-IS!ES191</f>
        <v>143</v>
      </c>
      <c r="DV236" s="5133">
        <f>-IS!ET191</f>
        <v>143</v>
      </c>
      <c r="DW236" s="4396">
        <f>-IS!EU191</f>
        <v>572</v>
      </c>
      <c r="DX236" s="2866">
        <f>-IS!EV191</f>
        <v>503.41056495564698</v>
      </c>
      <c r="DY236" s="2866">
        <f>-IS!EW191</f>
        <v>429.64558144361985</v>
      </c>
      <c r="DZ236" s="2866">
        <f>-IS!EX191</f>
        <v>429.64558144361985</v>
      </c>
      <c r="EA236" s="2866">
        <f>-IS!EY191</f>
        <v>429.64558144361985</v>
      </c>
      <c r="EC236" s="3683"/>
      <c r="ED236" s="3683"/>
    </row>
    <row r="237" spans="1:134" s="31" customFormat="1" ht="11.25" customHeight="1">
      <c r="A237" s="1595"/>
      <c r="B237" s="35"/>
      <c r="C237" s="35"/>
      <c r="D237" s="35"/>
      <c r="E237" s="35"/>
      <c r="F237" s="35"/>
      <c r="G237" s="35"/>
      <c r="H237" s="35"/>
      <c r="I237" s="35"/>
      <c r="J237" s="35"/>
      <c r="K237" s="35"/>
      <c r="L237" s="35"/>
      <c r="M237" s="35"/>
      <c r="N237" s="35"/>
      <c r="O237" s="35"/>
      <c r="P237" s="35"/>
      <c r="Q237" s="35"/>
      <c r="R237" s="35"/>
      <c r="S237" s="35"/>
      <c r="T237" s="35"/>
      <c r="U237" s="121"/>
      <c r="V237" s="121"/>
      <c r="W237" s="121"/>
      <c r="X237" s="121"/>
      <c r="Y237" s="121"/>
      <c r="Z237" s="121"/>
      <c r="AA237" s="121"/>
      <c r="AB237" s="121"/>
      <c r="AC237" s="121"/>
      <c r="AD237" s="121"/>
      <c r="AE237" s="121"/>
      <c r="AF237" s="121"/>
      <c r="AG237" s="121"/>
      <c r="AH237" s="32"/>
      <c r="AI237" s="32"/>
      <c r="AJ237" s="32"/>
      <c r="AK237" s="32"/>
      <c r="AL237" s="32"/>
      <c r="AM237" s="32"/>
      <c r="AN237" s="32"/>
      <c r="AO237" s="32"/>
      <c r="AP237" s="32"/>
      <c r="AQ237" s="32"/>
      <c r="AR237" s="32"/>
      <c r="AS237" s="32"/>
      <c r="AT237" s="32"/>
      <c r="AU237" s="32"/>
      <c r="AV237" s="32"/>
      <c r="AW237" s="32"/>
      <c r="AX237" s="32"/>
      <c r="AY237" s="32"/>
      <c r="AZ237" s="32"/>
      <c r="BA237" s="32"/>
      <c r="BB237" s="32"/>
      <c r="BC237" s="32"/>
      <c r="BD237" s="32"/>
      <c r="BE237" s="121"/>
      <c r="BF237" s="32"/>
      <c r="BG237" s="32"/>
      <c r="BH237" s="32"/>
      <c r="BI237" s="121"/>
      <c r="BJ237" s="121"/>
      <c r="BK237" s="32"/>
      <c r="BL237" s="32"/>
      <c r="BM237" s="32"/>
      <c r="BN237" s="32"/>
      <c r="BO237" s="121"/>
      <c r="BP237" s="32"/>
      <c r="BQ237" s="32"/>
      <c r="BR237" s="32"/>
      <c r="BS237" s="121"/>
      <c r="BT237" s="121"/>
      <c r="BU237" s="121"/>
      <c r="BV237" s="121"/>
      <c r="BW237" s="121"/>
      <c r="BX237" s="121"/>
      <c r="BY237" s="121"/>
      <c r="BZ237" s="121"/>
      <c r="CA237" s="32"/>
      <c r="CB237" s="32"/>
      <c r="CC237" s="121"/>
      <c r="CD237" s="121"/>
      <c r="CE237" s="121"/>
      <c r="CF237" s="32"/>
      <c r="CG237" s="32"/>
      <c r="CH237" s="121"/>
      <c r="CI237" s="121"/>
      <c r="CJ237" s="32"/>
      <c r="CK237" s="32"/>
      <c r="CL237" s="32"/>
      <c r="CM237" s="32"/>
      <c r="CN237" s="4367"/>
      <c r="CO237" s="32"/>
      <c r="CP237" s="32"/>
      <c r="CQ237" s="32"/>
      <c r="CR237" s="32"/>
      <c r="CS237" s="4367"/>
      <c r="CT237" s="32"/>
      <c r="CU237" s="32"/>
      <c r="CV237" s="32"/>
      <c r="CW237" s="32"/>
      <c r="CX237" s="4367"/>
      <c r="CY237" s="32"/>
      <c r="CZ237" s="32"/>
      <c r="DA237" s="32"/>
      <c r="DB237" s="32"/>
      <c r="DC237" s="121"/>
      <c r="DD237" s="32"/>
      <c r="DE237" s="32"/>
      <c r="DF237" s="32"/>
      <c r="DG237" s="32"/>
      <c r="DH237" s="121"/>
      <c r="DI237" s="32"/>
      <c r="DJ237" s="32"/>
      <c r="DK237" s="32"/>
      <c r="DL237" s="32"/>
      <c r="DM237" s="121"/>
      <c r="DN237" s="32"/>
      <c r="DO237" s="32"/>
      <c r="DP237" s="32"/>
      <c r="DQ237" s="32"/>
      <c r="DR237" s="121"/>
      <c r="DS237" s="32"/>
      <c r="DT237" s="32"/>
      <c r="DU237" s="32"/>
      <c r="DV237" s="32"/>
      <c r="DW237" s="121"/>
      <c r="DX237" s="121"/>
      <c r="DY237" s="121"/>
      <c r="DZ237" s="121"/>
      <c r="EA237" s="121"/>
      <c r="EC237" s="3683"/>
      <c r="ED237" s="3683"/>
    </row>
    <row r="238" spans="1:134" s="31" customFormat="1" ht="11.25" hidden="1" customHeight="1" outlineLevel="1">
      <c r="A238" s="3194" t="s">
        <v>774</v>
      </c>
      <c r="B238" s="3195"/>
      <c r="C238" s="3195"/>
      <c r="D238" s="3195"/>
      <c r="E238" s="3196"/>
      <c r="F238" s="3195"/>
      <c r="G238" s="3195"/>
      <c r="H238" s="3195"/>
      <c r="I238" s="3196"/>
      <c r="J238" s="3197"/>
      <c r="K238" s="3195"/>
      <c r="L238" s="3195"/>
      <c r="M238" s="3196"/>
      <c r="N238" s="3197"/>
      <c r="O238" s="3195"/>
      <c r="P238" s="3195"/>
      <c r="Q238" s="3196"/>
      <c r="R238" s="3195"/>
      <c r="S238" s="3195"/>
      <c r="T238" s="3195"/>
      <c r="U238" s="3196"/>
      <c r="V238" s="3198"/>
      <c r="W238" s="3199"/>
      <c r="X238" s="3199"/>
      <c r="Y238" s="3196"/>
      <c r="Z238" s="3199"/>
      <c r="AA238" s="3199"/>
      <c r="AB238" s="3199"/>
      <c r="AC238" s="3196"/>
      <c r="AD238" s="3198"/>
      <c r="AE238" s="3199"/>
      <c r="AF238" s="3199"/>
      <c r="AG238" s="3196"/>
      <c r="AH238" s="3199"/>
      <c r="AI238" s="3199"/>
      <c r="AJ238" s="3199"/>
      <c r="AK238" s="3196"/>
      <c r="AL238" s="3199"/>
      <c r="AM238" s="3199"/>
      <c r="AN238" s="3199"/>
      <c r="AO238" s="3196"/>
      <c r="AP238" s="3199"/>
      <c r="AQ238" s="3199"/>
      <c r="AR238" s="3199"/>
      <c r="AS238" s="3196"/>
      <c r="AT238" s="3199"/>
      <c r="AU238" s="3200"/>
      <c r="AV238" s="3199"/>
      <c r="AW238" s="3196"/>
      <c r="AX238" s="3199"/>
      <c r="AY238" s="3200"/>
      <c r="AZ238" s="3199"/>
      <c r="BA238" s="3196"/>
      <c r="BB238" s="3199"/>
      <c r="BC238" s="3200"/>
      <c r="BD238" s="3200"/>
      <c r="BE238" s="3196"/>
      <c r="BF238" s="3199"/>
      <c r="BG238" s="3200"/>
      <c r="BH238" s="3200"/>
      <c r="BI238" s="3196"/>
      <c r="BJ238" s="3201"/>
      <c r="BK238" s="3200"/>
      <c r="BL238" s="3200"/>
      <c r="BM238" s="3200"/>
      <c r="BN238" s="3196"/>
      <c r="BO238" s="3201"/>
      <c r="BP238" s="3200"/>
      <c r="BQ238" s="3200"/>
      <c r="BR238" s="3200"/>
      <c r="BS238" s="3196"/>
      <c r="BT238" s="3201"/>
      <c r="BU238" s="3200"/>
      <c r="BV238" s="3200"/>
      <c r="BW238" s="3200"/>
      <c r="BX238" s="3200"/>
      <c r="BY238" s="3201"/>
      <c r="BZ238" s="3200"/>
      <c r="CA238" s="3200"/>
      <c r="CB238" s="3200"/>
      <c r="CC238" s="3196"/>
      <c r="CD238" s="3201"/>
      <c r="CE238" s="3200"/>
      <c r="CF238" s="3200"/>
      <c r="CG238" s="3200"/>
      <c r="CH238" s="3196"/>
      <c r="CI238" s="3201"/>
      <c r="CJ238" s="3991"/>
      <c r="CK238" s="3991"/>
      <c r="CL238" s="3991"/>
      <c r="CM238" s="3992"/>
      <c r="CN238" s="4388"/>
      <c r="CO238" s="3991"/>
      <c r="CP238" s="3991"/>
      <c r="CQ238" s="3991"/>
      <c r="CR238" s="3992"/>
      <c r="CS238" s="4388"/>
      <c r="CT238" s="3991"/>
      <c r="CU238" s="3991"/>
      <c r="CV238" s="3991"/>
      <c r="CW238" s="3991"/>
      <c r="CX238" s="4388"/>
      <c r="CY238" s="3991"/>
      <c r="CZ238" s="3991"/>
      <c r="DA238" s="3991"/>
      <c r="DB238" s="3991"/>
      <c r="DC238" s="3201"/>
      <c r="DD238" s="3991"/>
      <c r="DE238" s="3991"/>
      <c r="DF238" s="3991"/>
      <c r="DG238" s="3991"/>
      <c r="DH238" s="3201"/>
      <c r="DI238" s="3991"/>
      <c r="DJ238" s="3991"/>
      <c r="DK238" s="3991"/>
      <c r="DL238" s="3991"/>
      <c r="DM238" s="3201"/>
      <c r="DN238" s="3991"/>
      <c r="DO238" s="3991"/>
      <c r="DP238" s="3991"/>
      <c r="DQ238" s="3991"/>
      <c r="DR238" s="3201"/>
      <c r="DS238" s="3991"/>
      <c r="DT238" s="3991"/>
      <c r="DU238" s="3991"/>
      <c r="DV238" s="3991"/>
      <c r="DW238" s="3201"/>
      <c r="DX238" s="3201"/>
      <c r="DY238" s="3201"/>
      <c r="DZ238" s="3201"/>
      <c r="EA238" s="3201"/>
      <c r="EC238" s="3683"/>
      <c r="ED238" s="3683"/>
    </row>
    <row r="239" spans="1:134" s="37" customFormat="1" ht="11.25" hidden="1" customHeight="1" outlineLevel="1">
      <c r="A239" s="1597" t="s">
        <v>794</v>
      </c>
      <c r="B239" s="36"/>
      <c r="C239" s="36"/>
      <c r="D239" s="36"/>
      <c r="E239" s="3668"/>
      <c r="F239" s="36"/>
      <c r="G239" s="36"/>
      <c r="I239" s="3668"/>
      <c r="J239" s="3662"/>
      <c r="M239" s="3668"/>
      <c r="N239" s="3662"/>
      <c r="Q239" s="3668"/>
      <c r="U239" s="3668"/>
      <c r="V239" s="3666"/>
      <c r="W239" s="43"/>
      <c r="X239" s="43"/>
      <c r="Y239" s="3668"/>
      <c r="Z239" s="43"/>
      <c r="AA239" s="43"/>
      <c r="AB239" s="43"/>
      <c r="AC239" s="3668"/>
      <c r="AD239" s="3666"/>
      <c r="AE239" s="43"/>
      <c r="AF239" s="43"/>
      <c r="AG239" s="3668"/>
      <c r="AH239" s="3666"/>
      <c r="AI239" s="43"/>
      <c r="AJ239" s="43"/>
      <c r="AK239" s="3668"/>
      <c r="AL239" s="3666"/>
      <c r="AM239" s="43"/>
      <c r="AN239" s="43"/>
      <c r="AO239" s="3668"/>
      <c r="AP239" s="3666"/>
      <c r="AQ239" s="42"/>
      <c r="AR239" s="42"/>
      <c r="AS239" s="3668"/>
      <c r="AT239" s="2879"/>
      <c r="AU239" s="42"/>
      <c r="AV239" s="42"/>
      <c r="AW239" s="3668"/>
      <c r="AX239" s="2879"/>
      <c r="AY239" s="42"/>
      <c r="AZ239" s="42"/>
      <c r="BA239" s="3668"/>
      <c r="BB239" s="42"/>
      <c r="BC239" s="42"/>
      <c r="BD239" s="42"/>
      <c r="BE239" s="3668"/>
      <c r="BF239" s="226"/>
      <c r="BG239" s="226"/>
      <c r="BH239" s="226"/>
      <c r="BI239" s="226"/>
      <c r="BJ239" s="1255"/>
      <c r="BK239" s="537"/>
      <c r="BL239" s="226"/>
      <c r="BM239" s="226"/>
      <c r="BN239" s="3668"/>
      <c r="BO239" s="1255"/>
      <c r="BP239" s="537"/>
      <c r="BQ239" s="226"/>
      <c r="BR239" s="226"/>
      <c r="BS239" s="3668"/>
      <c r="BT239" s="1255"/>
      <c r="BU239" s="226"/>
      <c r="BV239" s="226"/>
      <c r="BW239" s="226"/>
      <c r="BX239" s="226"/>
      <c r="BY239" s="1255"/>
      <c r="BZ239" s="226"/>
      <c r="CA239" s="226"/>
      <c r="CB239" s="226"/>
      <c r="CC239" s="3668">
        <f>CC242-SUM(CC240:CC241)</f>
        <v>90564</v>
      </c>
      <c r="CD239" s="1254">
        <f>CC239</f>
        <v>90564</v>
      </c>
      <c r="CE239" s="226">
        <f>CE242-SUM(CE240:CE241)</f>
        <v>89410</v>
      </c>
      <c r="CF239" s="226">
        <f>CF242-SUM(CF240:CF241)</f>
        <v>86656</v>
      </c>
      <c r="CG239" s="226">
        <f>CG242-SUM(CG240:CG241)</f>
        <v>91486</v>
      </c>
      <c r="CH239" s="226"/>
      <c r="CI239" s="1254"/>
      <c r="CJ239" s="226"/>
      <c r="CK239" s="226"/>
      <c r="CL239" s="226"/>
      <c r="CM239" s="226"/>
      <c r="CN239" s="4390"/>
      <c r="CO239" s="226"/>
      <c r="CP239" s="226"/>
      <c r="CQ239" s="226"/>
      <c r="CR239" s="226"/>
      <c r="CS239" s="4390"/>
      <c r="CT239" s="226"/>
      <c r="CU239" s="226"/>
      <c r="CV239" s="226"/>
      <c r="CW239" s="226"/>
      <c r="CX239" s="4390"/>
      <c r="CY239" s="226"/>
      <c r="CZ239" s="226"/>
      <c r="DA239" s="226"/>
      <c r="DB239" s="226"/>
      <c r="DC239" s="1254"/>
      <c r="DD239" s="226"/>
      <c r="DE239" s="226"/>
      <c r="DF239" s="226"/>
      <c r="DG239" s="226"/>
      <c r="DH239" s="1254"/>
      <c r="DI239" s="226"/>
      <c r="DJ239" s="226"/>
      <c r="DK239" s="226"/>
      <c r="DL239" s="226"/>
      <c r="DM239" s="1254"/>
      <c r="DN239" s="226"/>
      <c r="DO239" s="226"/>
      <c r="DP239" s="226"/>
      <c r="DQ239" s="226"/>
      <c r="DR239" s="1254"/>
      <c r="DS239" s="226"/>
      <c r="DT239" s="226"/>
      <c r="DU239" s="226"/>
      <c r="DV239" s="226"/>
      <c r="DW239" s="1254"/>
      <c r="DX239" s="1254"/>
      <c r="DY239" s="1254"/>
      <c r="DZ239" s="1254"/>
      <c r="EA239" s="1254"/>
      <c r="EC239" s="3683"/>
      <c r="ED239" s="3683"/>
    </row>
    <row r="240" spans="1:134" s="37" customFormat="1" ht="11.25" hidden="1" customHeight="1" outlineLevel="1">
      <c r="A240" s="1597" t="s">
        <v>793</v>
      </c>
      <c r="B240" s="36"/>
      <c r="C240" s="36"/>
      <c r="D240" s="36"/>
      <c r="E240" s="1390"/>
      <c r="F240" s="36"/>
      <c r="G240" s="36"/>
      <c r="I240" s="1390"/>
      <c r="J240" s="39"/>
      <c r="M240" s="1390"/>
      <c r="N240" s="39"/>
      <c r="Q240" s="1390"/>
      <c r="U240" s="1390"/>
      <c r="V240" s="41"/>
      <c r="W240" s="43"/>
      <c r="X240" s="43"/>
      <c r="Y240" s="1390"/>
      <c r="Z240" s="43"/>
      <c r="AA240" s="43"/>
      <c r="AB240" s="43"/>
      <c r="AC240" s="1390"/>
      <c r="AD240" s="41"/>
      <c r="AE240" s="43"/>
      <c r="AF240" s="43"/>
      <c r="AG240" s="1390"/>
      <c r="AH240" s="41"/>
      <c r="AI240" s="43"/>
      <c r="AJ240" s="43"/>
      <c r="AK240" s="1390"/>
      <c r="AL240" s="41"/>
      <c r="AM240" s="43"/>
      <c r="AN240" s="43"/>
      <c r="AO240" s="1390"/>
      <c r="AP240" s="41"/>
      <c r="AQ240" s="42"/>
      <c r="AR240" s="42"/>
      <c r="AS240" s="1390"/>
      <c r="AT240" s="64"/>
      <c r="AU240" s="65"/>
      <c r="AV240" s="65"/>
      <c r="AW240" s="1390"/>
      <c r="AX240" s="64"/>
      <c r="AY240" s="65"/>
      <c r="AZ240" s="65"/>
      <c r="BA240" s="1390"/>
      <c r="BB240" s="65"/>
      <c r="BC240" s="65"/>
      <c r="BD240" s="65"/>
      <c r="BE240" s="1390"/>
      <c r="BF240" s="656"/>
      <c r="BG240" s="656"/>
      <c r="BH240" s="656"/>
      <c r="BI240" s="656"/>
      <c r="BJ240" s="1255"/>
      <c r="BK240" s="652"/>
      <c r="BL240" s="656"/>
      <c r="BM240" s="656"/>
      <c r="BN240" s="1390"/>
      <c r="BO240" s="1255"/>
      <c r="BP240" s="652"/>
      <c r="BQ240" s="656"/>
      <c r="BR240" s="656"/>
      <c r="BS240" s="1390"/>
      <c r="BT240" s="1255"/>
      <c r="BU240" s="821"/>
      <c r="BV240" s="656"/>
      <c r="BW240" s="656"/>
      <c r="BX240" s="656"/>
      <c r="BY240" s="1255"/>
      <c r="BZ240" s="656"/>
      <c r="CA240" s="656"/>
      <c r="CB240" s="656"/>
      <c r="CC240" s="1390">
        <v>340</v>
      </c>
      <c r="CD240" s="687">
        <f>CC240</f>
        <v>340</v>
      </c>
      <c r="CE240" s="656">
        <v>581</v>
      </c>
      <c r="CF240" s="656">
        <v>1211</v>
      </c>
      <c r="CG240" s="656">
        <v>1247</v>
      </c>
      <c r="CH240" s="226"/>
      <c r="CI240" s="687"/>
      <c r="CJ240" s="226"/>
      <c r="CK240" s="226"/>
      <c r="CL240" s="226"/>
      <c r="CM240" s="226"/>
      <c r="CN240" s="4352"/>
      <c r="CO240" s="226"/>
      <c r="CP240" s="226"/>
      <c r="CQ240" s="226"/>
      <c r="CR240" s="226"/>
      <c r="CS240" s="4352"/>
      <c r="CT240" s="226"/>
      <c r="CU240" s="226"/>
      <c r="CV240" s="226"/>
      <c r="CW240" s="226"/>
      <c r="CX240" s="4352"/>
      <c r="CY240" s="226"/>
      <c r="CZ240" s="226"/>
      <c r="DA240" s="226"/>
      <c r="DB240" s="226"/>
      <c r="DC240" s="687"/>
      <c r="DD240" s="226"/>
      <c r="DE240" s="226"/>
      <c r="DF240" s="226"/>
      <c r="DG240" s="226"/>
      <c r="DH240" s="687"/>
      <c r="DI240" s="226"/>
      <c r="DJ240" s="226"/>
      <c r="DK240" s="226"/>
      <c r="DL240" s="226"/>
      <c r="DM240" s="687"/>
      <c r="DN240" s="226"/>
      <c r="DO240" s="226"/>
      <c r="DP240" s="226"/>
      <c r="DQ240" s="226"/>
      <c r="DR240" s="687"/>
      <c r="DS240" s="226"/>
      <c r="DT240" s="226"/>
      <c r="DU240" s="226"/>
      <c r="DV240" s="226"/>
      <c r="DW240" s="687"/>
      <c r="DX240" s="687"/>
      <c r="DY240" s="687"/>
      <c r="DZ240" s="687"/>
      <c r="EA240" s="687"/>
      <c r="EC240" s="3683"/>
      <c r="ED240" s="3683"/>
    </row>
    <row r="241" spans="1:134" s="37" customFormat="1" ht="11.25" hidden="1" customHeight="1" outlineLevel="1">
      <c r="A241" s="1597" t="s">
        <v>795</v>
      </c>
      <c r="B241" s="36"/>
      <c r="C241" s="36"/>
      <c r="D241" s="36"/>
      <c r="E241" s="1390"/>
      <c r="F241" s="36"/>
      <c r="G241" s="36"/>
      <c r="I241" s="1390"/>
      <c r="J241" s="39"/>
      <c r="M241" s="1390"/>
      <c r="N241" s="39"/>
      <c r="Q241" s="1390"/>
      <c r="U241" s="1390"/>
      <c r="V241" s="41"/>
      <c r="W241" s="43"/>
      <c r="X241" s="43"/>
      <c r="Y241" s="1390"/>
      <c r="Z241" s="43"/>
      <c r="AA241" s="43"/>
      <c r="AB241" s="43"/>
      <c r="AC241" s="1390"/>
      <c r="AD241" s="41"/>
      <c r="AE241" s="43"/>
      <c r="AF241" s="43"/>
      <c r="AG241" s="1390"/>
      <c r="AH241" s="41"/>
      <c r="AI241" s="43"/>
      <c r="AJ241" s="43"/>
      <c r="AK241" s="1390"/>
      <c r="AL241" s="41"/>
      <c r="AM241" s="43"/>
      <c r="AN241" s="43"/>
      <c r="AO241" s="1390"/>
      <c r="AP241" s="41"/>
      <c r="AQ241" s="42"/>
      <c r="AR241" s="42"/>
      <c r="AS241" s="1390"/>
      <c r="AT241" s="64"/>
      <c r="AU241" s="65"/>
      <c r="AV241" s="65"/>
      <c r="AW241" s="1390"/>
      <c r="AX241" s="64"/>
      <c r="AY241" s="65"/>
      <c r="AZ241" s="65"/>
      <c r="BA241" s="1390"/>
      <c r="BB241" s="65"/>
      <c r="BC241" s="65"/>
      <c r="BD241" s="65"/>
      <c r="BE241" s="1390"/>
      <c r="BF241" s="656"/>
      <c r="BG241" s="656"/>
      <c r="BH241" s="656"/>
      <c r="BI241" s="656"/>
      <c r="BJ241" s="1255"/>
      <c r="BK241" s="652"/>
      <c r="BL241" s="656"/>
      <c r="BM241" s="656"/>
      <c r="BN241" s="1390"/>
      <c r="BO241" s="1255"/>
      <c r="BP241" s="652"/>
      <c r="BQ241" s="656"/>
      <c r="BR241" s="656"/>
      <c r="BS241" s="1390"/>
      <c r="BT241" s="1255"/>
      <c r="BU241" s="821"/>
      <c r="BV241" s="656"/>
      <c r="BW241" s="656"/>
      <c r="BX241" s="656"/>
      <c r="BY241" s="1255"/>
      <c r="BZ241" s="656"/>
      <c r="CA241" s="656"/>
      <c r="CB241" s="656"/>
      <c r="CC241" s="1390">
        <v>252</v>
      </c>
      <c r="CD241" s="687">
        <f>CC241</f>
        <v>252</v>
      </c>
      <c r="CE241" s="656">
        <v>236</v>
      </c>
      <c r="CF241" s="656">
        <v>239</v>
      </c>
      <c r="CG241" s="656">
        <v>240</v>
      </c>
      <c r="CH241" s="226"/>
      <c r="CI241" s="687"/>
      <c r="CJ241" s="226"/>
      <c r="CK241" s="226"/>
      <c r="CL241" s="226"/>
      <c r="CM241" s="226"/>
      <c r="CN241" s="4352"/>
      <c r="CO241" s="226"/>
      <c r="CP241" s="226"/>
      <c r="CQ241" s="226"/>
      <c r="CR241" s="226"/>
      <c r="CS241" s="4352"/>
      <c r="CT241" s="226"/>
      <c r="CU241" s="226"/>
      <c r="CV241" s="226"/>
      <c r="CW241" s="226"/>
      <c r="CX241" s="4352"/>
      <c r="CY241" s="226"/>
      <c r="CZ241" s="226"/>
      <c r="DA241" s="226"/>
      <c r="DB241" s="226"/>
      <c r="DC241" s="687"/>
      <c r="DD241" s="226"/>
      <c r="DE241" s="226"/>
      <c r="DF241" s="226"/>
      <c r="DG241" s="226"/>
      <c r="DH241" s="687"/>
      <c r="DI241" s="226"/>
      <c r="DJ241" s="226"/>
      <c r="DK241" s="226"/>
      <c r="DL241" s="226"/>
      <c r="DM241" s="687"/>
      <c r="DN241" s="226"/>
      <c r="DO241" s="226"/>
      <c r="DP241" s="226"/>
      <c r="DQ241" s="226"/>
      <c r="DR241" s="687"/>
      <c r="DS241" s="226"/>
      <c r="DT241" s="226"/>
      <c r="DU241" s="226"/>
      <c r="DV241" s="226"/>
      <c r="DW241" s="687"/>
      <c r="DX241" s="687"/>
      <c r="DY241" s="687"/>
      <c r="DZ241" s="687"/>
      <c r="EA241" s="687"/>
      <c r="EC241" s="3683"/>
      <c r="ED241" s="3683"/>
    </row>
    <row r="242" spans="1:134" s="3674" customFormat="1" ht="11.25" hidden="1" customHeight="1" outlineLevel="1">
      <c r="A242" s="3684" t="str">
        <f>CONCATENATE(A9,", EOP")</f>
        <v>Marketable securities, EOP</v>
      </c>
      <c r="B242" s="3685"/>
      <c r="C242" s="3685"/>
      <c r="D242" s="3685"/>
      <c r="E242" s="3686"/>
      <c r="F242" s="3685"/>
      <c r="G242" s="3685"/>
      <c r="H242" s="3687"/>
      <c r="I242" s="3686"/>
      <c r="J242" s="2846"/>
      <c r="K242" s="3687"/>
      <c r="L242" s="3687"/>
      <c r="M242" s="3686"/>
      <c r="N242" s="2846"/>
      <c r="O242" s="3687"/>
      <c r="P242" s="3687"/>
      <c r="Q242" s="3686"/>
      <c r="R242" s="3687"/>
      <c r="S242" s="3687"/>
      <c r="T242" s="3687"/>
      <c r="U242" s="3686"/>
      <c r="V242" s="2850"/>
      <c r="W242" s="3688"/>
      <c r="X242" s="3688"/>
      <c r="Y242" s="3686"/>
      <c r="Z242" s="3688"/>
      <c r="AA242" s="3688"/>
      <c r="AB242" s="3688"/>
      <c r="AC242" s="3686"/>
      <c r="AD242" s="2850"/>
      <c r="AE242" s="3688"/>
      <c r="AF242" s="3688"/>
      <c r="AG242" s="3686"/>
      <c r="AH242" s="2850"/>
      <c r="AI242" s="3688"/>
      <c r="AJ242" s="3688"/>
      <c r="AK242" s="3686"/>
      <c r="AL242" s="2850"/>
      <c r="AM242" s="3688"/>
      <c r="AN242" s="3688"/>
      <c r="AO242" s="3686"/>
      <c r="AP242" s="2850"/>
      <c r="AQ242" s="3689"/>
      <c r="AR242" s="3689"/>
      <c r="AS242" s="3686"/>
      <c r="AT242" s="3690"/>
      <c r="AU242" s="3689"/>
      <c r="AV242" s="3689"/>
      <c r="AW242" s="3686"/>
      <c r="AX242" s="3690"/>
      <c r="AY242" s="3689"/>
      <c r="AZ242" s="3689"/>
      <c r="BA242" s="3686"/>
      <c r="BB242" s="3689"/>
      <c r="BC242" s="3689"/>
      <c r="BD242" s="3689"/>
      <c r="BE242" s="3686"/>
      <c r="BF242" s="3691"/>
      <c r="BG242" s="3691"/>
      <c r="BH242" s="3691"/>
      <c r="BI242" s="3691"/>
      <c r="BJ242" s="3692"/>
      <c r="BK242" s="3693"/>
      <c r="BL242" s="3691"/>
      <c r="BM242" s="3691"/>
      <c r="BN242" s="3686"/>
      <c r="BO242" s="3692"/>
      <c r="BP242" s="3693"/>
      <c r="BQ242" s="3691"/>
      <c r="BR242" s="3691"/>
      <c r="BS242" s="3686"/>
      <c r="BT242" s="3692"/>
      <c r="BU242" s="3691"/>
      <c r="BV242" s="3691"/>
      <c r="BW242" s="3691"/>
      <c r="BX242" s="3691"/>
      <c r="BY242" s="3692"/>
      <c r="BZ242" s="3691"/>
      <c r="CA242" s="3691"/>
      <c r="CB242" s="3691"/>
      <c r="CC242" s="3686">
        <f>CC9</f>
        <v>91156</v>
      </c>
      <c r="CD242" s="3694">
        <f>CC242</f>
        <v>91156</v>
      </c>
      <c r="CE242" s="3691">
        <f>CE9</f>
        <v>90227</v>
      </c>
      <c r="CF242" s="3691">
        <f>CF9</f>
        <v>88106</v>
      </c>
      <c r="CG242" s="3691">
        <f>CG9</f>
        <v>92973</v>
      </c>
      <c r="CH242" s="3691"/>
      <c r="CI242" s="3694"/>
      <c r="CJ242" s="3993"/>
      <c r="CK242" s="3993"/>
      <c r="CL242" s="3993"/>
      <c r="CM242" s="3993"/>
      <c r="CN242" s="4397"/>
      <c r="CO242" s="3993"/>
      <c r="CP242" s="3993"/>
      <c r="CQ242" s="3993"/>
      <c r="CR242" s="3993"/>
      <c r="CS242" s="4397"/>
      <c r="CT242" s="3993"/>
      <c r="CU242" s="3993"/>
      <c r="CV242" s="3993"/>
      <c r="CW242" s="3993"/>
      <c r="CX242" s="4397"/>
      <c r="CY242" s="3993"/>
      <c r="CZ242" s="3993"/>
      <c r="DA242" s="3993"/>
      <c r="DB242" s="3993"/>
      <c r="DC242" s="3694"/>
      <c r="DD242" s="3993"/>
      <c r="DE242" s="3993"/>
      <c r="DF242" s="3993"/>
      <c r="DG242" s="3993"/>
      <c r="DH242" s="3694"/>
      <c r="DI242" s="3993"/>
      <c r="DJ242" s="3993"/>
      <c r="DK242" s="3993"/>
      <c r="DL242" s="3993"/>
      <c r="DM242" s="3694"/>
      <c r="DN242" s="3993"/>
      <c r="DO242" s="3993"/>
      <c r="DP242" s="3993"/>
      <c r="DQ242" s="3993"/>
      <c r="DR242" s="3694"/>
      <c r="DS242" s="3993"/>
      <c r="DT242" s="3993"/>
      <c r="DU242" s="3993"/>
      <c r="DV242" s="3993"/>
      <c r="DW242" s="3694"/>
      <c r="DX242" s="3694"/>
      <c r="DY242" s="3694"/>
      <c r="DZ242" s="3694"/>
      <c r="EA242" s="3694"/>
      <c r="EC242" s="3683"/>
      <c r="ED242" s="3683"/>
    </row>
    <row r="243" spans="1:134" s="37" customFormat="1" ht="11.25" hidden="1" customHeight="1" outlineLevel="1">
      <c r="A243" s="3908" t="s">
        <v>797</v>
      </c>
      <c r="B243" s="3695"/>
      <c r="C243" s="3695"/>
      <c r="D243" s="3695"/>
      <c r="E243" s="3696"/>
      <c r="F243" s="3695"/>
      <c r="G243" s="3695"/>
      <c r="H243" s="3697"/>
      <c r="I243" s="3696"/>
      <c r="J243" s="3698"/>
      <c r="K243" s="3697"/>
      <c r="L243" s="3697"/>
      <c r="M243" s="3696"/>
      <c r="N243" s="3698"/>
      <c r="O243" s="3697"/>
      <c r="P243" s="3697"/>
      <c r="Q243" s="3696"/>
      <c r="R243" s="3697"/>
      <c r="S243" s="3697"/>
      <c r="T243" s="3697"/>
      <c r="U243" s="3696"/>
      <c r="V243" s="3699"/>
      <c r="W243" s="3700"/>
      <c r="X243" s="3700"/>
      <c r="Y243" s="3696"/>
      <c r="Z243" s="3700"/>
      <c r="AA243" s="3700"/>
      <c r="AB243" s="3700"/>
      <c r="AC243" s="3696"/>
      <c r="AD243" s="3699"/>
      <c r="AE243" s="3700"/>
      <c r="AF243" s="3700"/>
      <c r="AG243" s="3696"/>
      <c r="AH243" s="3699"/>
      <c r="AI243" s="3700"/>
      <c r="AJ243" s="3700"/>
      <c r="AK243" s="3696"/>
      <c r="AL243" s="3699"/>
      <c r="AM243" s="3700"/>
      <c r="AN243" s="3700"/>
      <c r="AO243" s="3696"/>
      <c r="AP243" s="3699"/>
      <c r="AQ243" s="3701"/>
      <c r="AR243" s="3701"/>
      <c r="AS243" s="3696"/>
      <c r="AT243" s="3702"/>
      <c r="AU243" s="3701"/>
      <c r="AV243" s="3701"/>
      <c r="AW243" s="3696"/>
      <c r="AX243" s="3702"/>
      <c r="AY243" s="3701"/>
      <c r="AZ243" s="3701"/>
      <c r="BA243" s="3696"/>
      <c r="BB243" s="3701"/>
      <c r="BC243" s="3701"/>
      <c r="BD243" s="3701"/>
      <c r="BE243" s="3696"/>
      <c r="BF243" s="3703"/>
      <c r="BG243" s="3703"/>
      <c r="BH243" s="3703"/>
      <c r="BI243" s="3703"/>
      <c r="BJ243" s="3704"/>
      <c r="BK243" s="3705"/>
      <c r="BL243" s="3703"/>
      <c r="BM243" s="3703"/>
      <c r="BN243" s="3696"/>
      <c r="BO243" s="3704"/>
      <c r="BP243" s="3705"/>
      <c r="BQ243" s="3703"/>
      <c r="BR243" s="3703"/>
      <c r="BS243" s="3696"/>
      <c r="BT243" s="3704"/>
      <c r="BU243" s="3703"/>
      <c r="BV243" s="3703"/>
      <c r="BW243" s="3703"/>
      <c r="BX243" s="3703"/>
      <c r="BY243" s="3704"/>
      <c r="BZ243" s="3703"/>
      <c r="CA243" s="3703"/>
      <c r="CB243" s="3703"/>
      <c r="CC243" s="3696"/>
      <c r="CD243" s="3706"/>
      <c r="CE243" s="3703">
        <f>CE242-CC242</f>
        <v>-929</v>
      </c>
      <c r="CF243" s="3703">
        <f>CF242-CE242</f>
        <v>-2121</v>
      </c>
      <c r="CG243" s="3703"/>
      <c r="CH243" s="3703"/>
      <c r="CI243" s="3706"/>
      <c r="CJ243" s="3990"/>
      <c r="CK243" s="3990"/>
      <c r="CL243" s="3990"/>
      <c r="CM243" s="3990"/>
      <c r="CN243" s="4398"/>
      <c r="CO243" s="3990"/>
      <c r="CP243" s="3990"/>
      <c r="CQ243" s="3990"/>
      <c r="CR243" s="3990"/>
      <c r="CS243" s="4398"/>
      <c r="CT243" s="3990"/>
      <c r="CU243" s="3990"/>
      <c r="CV243" s="3990"/>
      <c r="CW243" s="3990"/>
      <c r="CX243" s="4398"/>
      <c r="CY243" s="5225"/>
      <c r="CZ243" s="5225"/>
      <c r="DA243" s="5225"/>
      <c r="DB243" s="4516"/>
      <c r="DC243" s="3706"/>
      <c r="DD243" s="4516"/>
      <c r="DE243" s="5225"/>
      <c r="DF243" s="4516"/>
      <c r="DG243" s="4516"/>
      <c r="DH243" s="3706"/>
      <c r="DI243" s="4516"/>
      <c r="DJ243" s="4516"/>
      <c r="DK243" s="4516"/>
      <c r="DL243" s="4516"/>
      <c r="DM243" s="3706"/>
      <c r="DN243" s="4516"/>
      <c r="DO243" s="4516"/>
      <c r="DP243" s="4516"/>
      <c r="DQ243" s="4516"/>
      <c r="DR243" s="3706"/>
      <c r="DS243" s="4516"/>
      <c r="DT243" s="4516"/>
      <c r="DU243" s="4516"/>
      <c r="DV243" s="4516"/>
      <c r="DW243" s="3706"/>
      <c r="DX243" s="3706"/>
      <c r="DY243" s="3706"/>
      <c r="DZ243" s="3706"/>
      <c r="EA243" s="3706"/>
      <c r="EC243" s="3683"/>
      <c r="ED243" s="3683"/>
    </row>
    <row r="244" spans="1:134" s="37" customFormat="1" ht="11.25" hidden="1" customHeight="1" outlineLevel="1">
      <c r="A244" s="3910" t="s">
        <v>799</v>
      </c>
      <c r="B244" s="36"/>
      <c r="C244" s="36"/>
      <c r="D244" s="36"/>
      <c r="E244" s="3668"/>
      <c r="F244" s="36"/>
      <c r="G244" s="36"/>
      <c r="I244" s="3668"/>
      <c r="J244" s="3662"/>
      <c r="M244" s="3668"/>
      <c r="N244" s="3662"/>
      <c r="Q244" s="3668"/>
      <c r="U244" s="3668"/>
      <c r="V244" s="3666"/>
      <c r="W244" s="43"/>
      <c r="X244" s="43"/>
      <c r="Y244" s="3668"/>
      <c r="Z244" s="43"/>
      <c r="AA244" s="43"/>
      <c r="AB244" s="43"/>
      <c r="AC244" s="3668"/>
      <c r="AD244" s="3666"/>
      <c r="AE244" s="43"/>
      <c r="AF244" s="43"/>
      <c r="AG244" s="3668"/>
      <c r="AH244" s="3666"/>
      <c r="AI244" s="43"/>
      <c r="AJ244" s="43"/>
      <c r="AK244" s="3668"/>
      <c r="AL244" s="3666"/>
      <c r="AM244" s="43"/>
      <c r="AN244" s="43"/>
      <c r="AO244" s="3668"/>
      <c r="AP244" s="3666"/>
      <c r="AQ244" s="42"/>
      <c r="AR244" s="42"/>
      <c r="AS244" s="3668"/>
      <c r="AT244" s="2879"/>
      <c r="AU244" s="42"/>
      <c r="AV244" s="42"/>
      <c r="AW244" s="3668"/>
      <c r="AX244" s="2879"/>
      <c r="AY244" s="42"/>
      <c r="AZ244" s="42"/>
      <c r="BA244" s="3668"/>
      <c r="BB244" s="42"/>
      <c r="BC244" s="42"/>
      <c r="BD244" s="42"/>
      <c r="BE244" s="3668"/>
      <c r="BF244" s="226"/>
      <c r="BG244" s="226"/>
      <c r="BH244" s="226"/>
      <c r="BI244" s="226"/>
      <c r="BJ244" s="1255"/>
      <c r="BK244" s="537"/>
      <c r="BL244" s="226"/>
      <c r="BM244" s="226"/>
      <c r="BN244" s="3668"/>
      <c r="BO244" s="1255"/>
      <c r="BP244" s="537"/>
      <c r="BQ244" s="226"/>
      <c r="BR244" s="226"/>
      <c r="BS244" s="3668"/>
      <c r="BT244" s="1255"/>
      <c r="BU244" s="226"/>
      <c r="BV244" s="226"/>
      <c r="BW244" s="226"/>
      <c r="BX244" s="226"/>
      <c r="BY244" s="1255"/>
      <c r="BZ244" s="226"/>
      <c r="CA244" s="226"/>
      <c r="CB244" s="226"/>
      <c r="CC244" s="3668"/>
      <c r="CD244" s="1254"/>
      <c r="CE244" s="226"/>
      <c r="CF244" s="226"/>
      <c r="CG244" s="226"/>
      <c r="CH244" s="226"/>
      <c r="CI244" s="1254"/>
      <c r="CJ244" s="226"/>
      <c r="CK244" s="226"/>
      <c r="CL244" s="226"/>
      <c r="CM244" s="226"/>
      <c r="CN244" s="4390"/>
      <c r="CO244" s="226"/>
      <c r="CP244" s="226"/>
      <c r="CQ244" s="226"/>
      <c r="CR244" s="226"/>
      <c r="CS244" s="4390"/>
      <c r="CT244" s="226"/>
      <c r="CU244" s="226"/>
      <c r="CV244" s="226"/>
      <c r="CW244" s="226"/>
      <c r="CX244" s="4390"/>
      <c r="CY244" s="226"/>
      <c r="CZ244" s="226"/>
      <c r="DA244" s="226"/>
      <c r="DB244" s="226"/>
      <c r="DC244" s="1254"/>
      <c r="DD244" s="226"/>
      <c r="DE244" s="226"/>
      <c r="DF244" s="226"/>
      <c r="DG244" s="226"/>
      <c r="DH244" s="1254"/>
      <c r="DI244" s="226"/>
      <c r="DJ244" s="226"/>
      <c r="DK244" s="226"/>
      <c r="DL244" s="226"/>
      <c r="DM244" s="1254"/>
      <c r="DN244" s="226"/>
      <c r="DO244" s="226"/>
      <c r="DP244" s="226"/>
      <c r="DQ244" s="226"/>
      <c r="DR244" s="1254"/>
      <c r="DS244" s="226"/>
      <c r="DT244" s="226"/>
      <c r="DU244" s="226"/>
      <c r="DV244" s="226"/>
      <c r="DW244" s="1254"/>
      <c r="DX244" s="1254"/>
      <c r="DY244" s="1254"/>
      <c r="DZ244" s="1254"/>
      <c r="EA244" s="1254"/>
      <c r="EC244" s="3683"/>
      <c r="ED244" s="3683"/>
    </row>
    <row r="245" spans="1:134" s="37" customFormat="1" ht="11.25" hidden="1" customHeight="1" outlineLevel="1">
      <c r="A245" s="1566" t="str">
        <f>CF!A24</f>
        <v>Purchase of marketable securities</v>
      </c>
      <c r="B245" s="36"/>
      <c r="C245" s="36"/>
      <c r="D245" s="36"/>
      <c r="E245" s="3668"/>
      <c r="F245" s="36"/>
      <c r="G245" s="36"/>
      <c r="I245" s="3668"/>
      <c r="J245" s="3662"/>
      <c r="M245" s="3668"/>
      <c r="N245" s="3662"/>
      <c r="Q245" s="3668"/>
      <c r="U245" s="3668"/>
      <c r="V245" s="3666"/>
      <c r="W245" s="43"/>
      <c r="X245" s="43"/>
      <c r="Y245" s="3668"/>
      <c r="Z245" s="43"/>
      <c r="AA245" s="43"/>
      <c r="AB245" s="43"/>
      <c r="AC245" s="3668"/>
      <c r="AD245" s="3666"/>
      <c r="AE245" s="43"/>
      <c r="AF245" s="43"/>
      <c r="AG245" s="3668"/>
      <c r="AH245" s="3666"/>
      <c r="AI245" s="43"/>
      <c r="AJ245" s="43"/>
      <c r="AK245" s="3668"/>
      <c r="AL245" s="3666"/>
      <c r="AM245" s="43"/>
      <c r="AN245" s="43"/>
      <c r="AO245" s="3668"/>
      <c r="AP245" s="3666"/>
      <c r="AQ245" s="42"/>
      <c r="AR245" s="42"/>
      <c r="AS245" s="3668"/>
      <c r="AT245" s="2879"/>
      <c r="AU245" s="42"/>
      <c r="AV245" s="42"/>
      <c r="AW245" s="3668"/>
      <c r="AX245" s="2879"/>
      <c r="AY245" s="42"/>
      <c r="AZ245" s="42"/>
      <c r="BA245" s="3668"/>
      <c r="BB245" s="42"/>
      <c r="BC245" s="42"/>
      <c r="BD245" s="42"/>
      <c r="BE245" s="3668"/>
      <c r="BF245" s="226"/>
      <c r="BG245" s="226"/>
      <c r="BH245" s="226"/>
      <c r="BI245" s="226"/>
      <c r="BJ245" s="1255"/>
      <c r="BK245" s="537"/>
      <c r="BL245" s="226"/>
      <c r="BM245" s="226"/>
      <c r="BN245" s="3668"/>
      <c r="BO245" s="1255"/>
      <c r="BP245" s="537"/>
      <c r="BQ245" s="226"/>
      <c r="BR245" s="226"/>
      <c r="BS245" s="3668"/>
      <c r="BT245" s="1255"/>
      <c r="BU245" s="226"/>
      <c r="BV245" s="226"/>
      <c r="BW245" s="226"/>
      <c r="BX245" s="226"/>
      <c r="BY245" s="1255"/>
      <c r="BZ245" s="226">
        <f>CF!BZ24</f>
        <v>-20119</v>
      </c>
      <c r="CA245" s="226">
        <f>CF!CA24</f>
        <v>-19557</v>
      </c>
      <c r="CB245" s="226">
        <f>CF!CB24</f>
        <v>-39033</v>
      </c>
      <c r="CC245" s="3668">
        <f>CF!CC24</f>
        <v>-13486</v>
      </c>
      <c r="CD245" s="1254">
        <f>CF!CD24</f>
        <v>-92195</v>
      </c>
      <c r="CE245" s="226">
        <f>CF!CE24</f>
        <v>-8849</v>
      </c>
      <c r="CF245" s="226">
        <f>CF!CF24</f>
        <v>-14192</v>
      </c>
      <c r="CG245" s="226">
        <f>CF!CG24</f>
        <v>-14299</v>
      </c>
      <c r="CH245" s="226"/>
      <c r="CI245" s="1254"/>
      <c r="CJ245" s="226"/>
      <c r="CK245" s="226"/>
      <c r="CL245" s="226"/>
      <c r="CM245" s="226"/>
      <c r="CN245" s="4390"/>
      <c r="CO245" s="226"/>
      <c r="CP245" s="226"/>
      <c r="CQ245" s="226"/>
      <c r="CR245" s="226"/>
      <c r="CS245" s="4390"/>
      <c r="CT245" s="226"/>
      <c r="CU245" s="226"/>
      <c r="CV245" s="226"/>
      <c r="CW245" s="226"/>
      <c r="CX245" s="4390"/>
      <c r="CY245" s="226"/>
      <c r="CZ245" s="226"/>
      <c r="DA245" s="226"/>
      <c r="DB245" s="226"/>
      <c r="DC245" s="1254"/>
      <c r="DD245" s="226"/>
      <c r="DE245" s="226"/>
      <c r="DF245" s="226"/>
      <c r="DG245" s="226"/>
      <c r="DH245" s="1254"/>
      <c r="DI245" s="226"/>
      <c r="DJ245" s="226"/>
      <c r="DK245" s="226"/>
      <c r="DL245" s="226"/>
      <c r="DM245" s="1254"/>
      <c r="DN245" s="226"/>
      <c r="DO245" s="226"/>
      <c r="DP245" s="226"/>
      <c r="DQ245" s="226"/>
      <c r="DR245" s="1254"/>
      <c r="DS245" s="226"/>
      <c r="DT245" s="226"/>
      <c r="DU245" s="226"/>
      <c r="DV245" s="226"/>
      <c r="DW245" s="1254"/>
      <c r="DX245" s="1254"/>
      <c r="DY245" s="1254"/>
      <c r="DZ245" s="1254"/>
      <c r="EA245" s="1254"/>
      <c r="EC245" s="3683"/>
      <c r="ED245" s="3683"/>
    </row>
    <row r="246" spans="1:134" s="37" customFormat="1" ht="11.25" hidden="1" customHeight="1" outlineLevel="1">
      <c r="A246" s="1566" t="str">
        <f>CF!A25</f>
        <v>Maturities and sales of marketable securities</v>
      </c>
      <c r="B246" s="36"/>
      <c r="C246" s="36"/>
      <c r="D246" s="36"/>
      <c r="E246" s="3668"/>
      <c r="F246" s="36"/>
      <c r="G246" s="36"/>
      <c r="I246" s="3668"/>
      <c r="J246" s="3662"/>
      <c r="M246" s="3668"/>
      <c r="N246" s="3662"/>
      <c r="Q246" s="3668"/>
      <c r="U246" s="3668"/>
      <c r="V246" s="3666"/>
      <c r="W246" s="43"/>
      <c r="X246" s="43"/>
      <c r="Y246" s="3668"/>
      <c r="Z246" s="43"/>
      <c r="AA246" s="43"/>
      <c r="AB246" s="43"/>
      <c r="AC246" s="3668"/>
      <c r="AD246" s="3666"/>
      <c r="AE246" s="43"/>
      <c r="AF246" s="43"/>
      <c r="AG246" s="3668"/>
      <c r="AH246" s="3666"/>
      <c r="AI246" s="43"/>
      <c r="AJ246" s="43"/>
      <c r="AK246" s="3668"/>
      <c r="AL246" s="3666"/>
      <c r="AM246" s="43"/>
      <c r="AN246" s="43"/>
      <c r="AO246" s="3668"/>
      <c r="AP246" s="3666"/>
      <c r="AQ246" s="42"/>
      <c r="AR246" s="42"/>
      <c r="AS246" s="3668"/>
      <c r="AT246" s="2879"/>
      <c r="AU246" s="42"/>
      <c r="AV246" s="42"/>
      <c r="AW246" s="3668"/>
      <c r="AX246" s="2879"/>
      <c r="AY246" s="42"/>
      <c r="AZ246" s="42"/>
      <c r="BA246" s="3668"/>
      <c r="BB246" s="42"/>
      <c r="BC246" s="42"/>
      <c r="BD246" s="42"/>
      <c r="BE246" s="3668"/>
      <c r="BF246" s="226"/>
      <c r="BG246" s="226"/>
      <c r="BH246" s="226"/>
      <c r="BI246" s="226"/>
      <c r="BJ246" s="1255"/>
      <c r="BK246" s="537"/>
      <c r="BL246" s="226"/>
      <c r="BM246" s="226"/>
      <c r="BN246" s="3668"/>
      <c r="BO246" s="1255"/>
      <c r="BP246" s="537"/>
      <c r="BQ246" s="226"/>
      <c r="BR246" s="226"/>
      <c r="BS246" s="3668"/>
      <c r="BT246" s="1255"/>
      <c r="BU246" s="226"/>
      <c r="BV246" s="226"/>
      <c r="BW246" s="226"/>
      <c r="BX246" s="226"/>
      <c r="BY246" s="1255"/>
      <c r="BZ246" s="226">
        <f>CF!BZ25</f>
        <v>19362</v>
      </c>
      <c r="CA246" s="226">
        <f>CF!CA25</f>
        <v>14876</v>
      </c>
      <c r="CB246" s="226">
        <f>CF!CB25</f>
        <v>28350</v>
      </c>
      <c r="CC246" s="3668">
        <f>CF!CC25</f>
        <v>11371</v>
      </c>
      <c r="CD246" s="1254">
        <f>CF!CD25</f>
        <v>73959</v>
      </c>
      <c r="CE246" s="226">
        <f>CF!CE25</f>
        <v>9351</v>
      </c>
      <c r="CF246" s="226">
        <f>CF!CF25</f>
        <v>16172</v>
      </c>
      <c r="CG246" s="226">
        <f>CF!CG25</f>
        <v>9403</v>
      </c>
      <c r="CH246" s="226"/>
      <c r="CI246" s="1254"/>
      <c r="CJ246" s="226"/>
      <c r="CK246" s="226"/>
      <c r="CL246" s="226"/>
      <c r="CM246" s="226"/>
      <c r="CN246" s="4390"/>
      <c r="CO246" s="226"/>
      <c r="CP246" s="226"/>
      <c r="CQ246" s="226"/>
      <c r="CR246" s="226"/>
      <c r="CS246" s="4390"/>
      <c r="CT246" s="226"/>
      <c r="CU246" s="226"/>
      <c r="CV246" s="226"/>
      <c r="CW246" s="226"/>
      <c r="CX246" s="4390"/>
      <c r="CY246" s="226"/>
      <c r="CZ246" s="226"/>
      <c r="DA246" s="226"/>
      <c r="DB246" s="226"/>
      <c r="DC246" s="1254"/>
      <c r="DD246" s="226"/>
      <c r="DE246" s="226"/>
      <c r="DF246" s="226"/>
      <c r="DG246" s="226"/>
      <c r="DH246" s="1254"/>
      <c r="DI246" s="226"/>
      <c r="DJ246" s="226"/>
      <c r="DK246" s="226"/>
      <c r="DL246" s="226"/>
      <c r="DM246" s="1254"/>
      <c r="DN246" s="226"/>
      <c r="DO246" s="226"/>
      <c r="DP246" s="226"/>
      <c r="DQ246" s="226"/>
      <c r="DR246" s="1254"/>
      <c r="DS246" s="226"/>
      <c r="DT246" s="226"/>
      <c r="DU246" s="226"/>
      <c r="DV246" s="226"/>
      <c r="DW246" s="1254"/>
      <c r="DX246" s="1254"/>
      <c r="DY246" s="1254"/>
      <c r="DZ246" s="1254"/>
      <c r="EA246" s="1254"/>
      <c r="EC246" s="3683"/>
      <c r="ED246" s="3683"/>
    </row>
    <row r="247" spans="1:134" s="37" customFormat="1" ht="11.25" hidden="1" customHeight="1" outlineLevel="1">
      <c r="A247" s="3910" t="s">
        <v>800</v>
      </c>
      <c r="B247" s="36"/>
      <c r="C247" s="36"/>
      <c r="D247" s="36"/>
      <c r="E247" s="3668"/>
      <c r="F247" s="36"/>
      <c r="G247" s="36"/>
      <c r="I247" s="3668"/>
      <c r="J247" s="3662"/>
      <c r="M247" s="3668"/>
      <c r="N247" s="3662"/>
      <c r="Q247" s="3668"/>
      <c r="U247" s="3668"/>
      <c r="V247" s="3666"/>
      <c r="W247" s="43"/>
      <c r="X247" s="43"/>
      <c r="Y247" s="3668"/>
      <c r="Z247" s="43"/>
      <c r="AA247" s="43"/>
      <c r="AB247" s="43"/>
      <c r="AC247" s="3668"/>
      <c r="AD247" s="3666"/>
      <c r="AE247" s="43"/>
      <c r="AF247" s="43"/>
      <c r="AG247" s="3668"/>
      <c r="AH247" s="3666"/>
      <c r="AI247" s="43"/>
      <c r="AJ247" s="43"/>
      <c r="AK247" s="3668"/>
      <c r="AL247" s="3666"/>
      <c r="AM247" s="43"/>
      <c r="AN247" s="43"/>
      <c r="AO247" s="3668"/>
      <c r="AP247" s="3666"/>
      <c r="AQ247" s="42"/>
      <c r="AR247" s="42"/>
      <c r="AS247" s="3668"/>
      <c r="AT247" s="2879"/>
      <c r="AU247" s="42"/>
      <c r="AV247" s="42"/>
      <c r="AW247" s="3668"/>
      <c r="AX247" s="2879"/>
      <c r="AY247" s="42"/>
      <c r="AZ247" s="42"/>
      <c r="BA247" s="3668"/>
      <c r="BB247" s="42"/>
      <c r="BC247" s="42"/>
      <c r="BD247" s="42"/>
      <c r="BE247" s="3668"/>
      <c r="BF247" s="226"/>
      <c r="BG247" s="226"/>
      <c r="BH247" s="226"/>
      <c r="BI247" s="226"/>
      <c r="BJ247" s="1255"/>
      <c r="BK247" s="537"/>
      <c r="BL247" s="226"/>
      <c r="BM247" s="226"/>
      <c r="BN247" s="3668"/>
      <c r="BO247" s="1255"/>
      <c r="BP247" s="537"/>
      <c r="BQ247" s="226"/>
      <c r="BR247" s="226"/>
      <c r="BS247" s="3668"/>
      <c r="BT247" s="1255"/>
      <c r="BU247" s="226"/>
      <c r="BV247" s="226"/>
      <c r="BW247" s="226"/>
      <c r="BX247" s="226"/>
      <c r="BY247" s="1255"/>
      <c r="BZ247" s="226">
        <f>-SUM(BZ245:BZ246)</f>
        <v>757</v>
      </c>
      <c r="CA247" s="226">
        <f t="shared" ref="CA247:CF247" si="803">-SUM(CA245:CA246)</f>
        <v>4681</v>
      </c>
      <c r="CB247" s="226">
        <f t="shared" si="803"/>
        <v>10683</v>
      </c>
      <c r="CC247" s="3668">
        <f t="shared" si="803"/>
        <v>2115</v>
      </c>
      <c r="CD247" s="1254">
        <f t="shared" si="803"/>
        <v>18236</v>
      </c>
      <c r="CE247" s="226">
        <f t="shared" si="803"/>
        <v>-502</v>
      </c>
      <c r="CF247" s="226">
        <f t="shared" si="803"/>
        <v>-1980</v>
      </c>
      <c r="CG247" s="226">
        <f>-SUM(CG245:CG246)</f>
        <v>4896</v>
      </c>
      <c r="CH247" s="226"/>
      <c r="CI247" s="1254"/>
      <c r="CJ247" s="226"/>
      <c r="CK247" s="226"/>
      <c r="CL247" s="226"/>
      <c r="CM247" s="226"/>
      <c r="CN247" s="4390"/>
      <c r="CO247" s="226"/>
      <c r="CP247" s="226"/>
      <c r="CQ247" s="226"/>
      <c r="CR247" s="226"/>
      <c r="CS247" s="4390"/>
      <c r="CT247" s="226"/>
      <c r="CU247" s="226"/>
      <c r="CV247" s="226"/>
      <c r="CW247" s="226"/>
      <c r="CX247" s="4390"/>
      <c r="CY247" s="226"/>
      <c r="CZ247" s="226"/>
      <c r="DA247" s="226"/>
      <c r="DB247" s="226"/>
      <c r="DC247" s="1254"/>
      <c r="DD247" s="226"/>
      <c r="DE247" s="226"/>
      <c r="DF247" s="226"/>
      <c r="DG247" s="226"/>
      <c r="DH247" s="1254"/>
      <c r="DI247" s="226"/>
      <c r="DJ247" s="226"/>
      <c r="DK247" s="226"/>
      <c r="DL247" s="226"/>
      <c r="DM247" s="1254"/>
      <c r="DN247" s="226"/>
      <c r="DO247" s="226"/>
      <c r="DP247" s="226"/>
      <c r="DQ247" s="226"/>
      <c r="DR247" s="1254"/>
      <c r="DS247" s="226"/>
      <c r="DT247" s="226"/>
      <c r="DU247" s="226"/>
      <c r="DV247" s="226"/>
      <c r="DW247" s="1254"/>
      <c r="DX247" s="1254"/>
      <c r="DY247" s="1254"/>
      <c r="DZ247" s="1254"/>
      <c r="EA247" s="1254"/>
      <c r="EC247" s="3683"/>
      <c r="ED247" s="3683"/>
    </row>
    <row r="248" spans="1:134" s="37" customFormat="1" ht="11.25" hidden="1" customHeight="1" outlineLevel="1">
      <c r="A248" s="1595"/>
      <c r="B248" s="36"/>
      <c r="C248" s="36"/>
      <c r="D248" s="36"/>
      <c r="E248" s="1390"/>
      <c r="F248" s="36"/>
      <c r="G248" s="36"/>
      <c r="I248" s="1390"/>
      <c r="J248" s="39"/>
      <c r="M248" s="1390"/>
      <c r="N248" s="39"/>
      <c r="Q248" s="1390"/>
      <c r="U248" s="1390"/>
      <c r="V248" s="41"/>
      <c r="W248" s="43"/>
      <c r="X248" s="43"/>
      <c r="Y248" s="1390"/>
      <c r="Z248" s="43"/>
      <c r="AA248" s="43"/>
      <c r="AB248" s="43"/>
      <c r="AC248" s="1390"/>
      <c r="AD248" s="41"/>
      <c r="AE248" s="43"/>
      <c r="AF248" s="43"/>
      <c r="AG248" s="1390"/>
      <c r="AH248" s="41"/>
      <c r="AI248" s="43"/>
      <c r="AJ248" s="43"/>
      <c r="AK248" s="1390"/>
      <c r="AL248" s="41"/>
      <c r="AM248" s="43"/>
      <c r="AN248" s="43"/>
      <c r="AO248" s="1390"/>
      <c r="AP248" s="41"/>
      <c r="AQ248" s="42"/>
      <c r="AR248" s="42"/>
      <c r="AS248" s="1390"/>
      <c r="AT248" s="64"/>
      <c r="AU248" s="65"/>
      <c r="AV248" s="65"/>
      <c r="AW248" s="1390"/>
      <c r="AX248" s="64"/>
      <c r="AY248" s="65"/>
      <c r="AZ248" s="65"/>
      <c r="BA248" s="1390"/>
      <c r="BB248" s="65"/>
      <c r="BC248" s="65"/>
      <c r="BD248" s="65"/>
      <c r="BE248" s="1390"/>
      <c r="BF248" s="656"/>
      <c r="BG248" s="656"/>
      <c r="BH248" s="656"/>
      <c r="BI248" s="656"/>
      <c r="BJ248" s="1255"/>
      <c r="BK248" s="652"/>
      <c r="BL248" s="656"/>
      <c r="BM248" s="656"/>
      <c r="BN248" s="1390"/>
      <c r="BO248" s="1255"/>
      <c r="BP248" s="652"/>
      <c r="BQ248" s="656"/>
      <c r="BR248" s="656"/>
      <c r="BS248" s="1390"/>
      <c r="BT248" s="1255"/>
      <c r="BU248" s="821"/>
      <c r="BV248" s="656"/>
      <c r="BW248" s="656"/>
      <c r="BX248" s="656"/>
      <c r="BY248" s="1255"/>
      <c r="BZ248" s="656"/>
      <c r="CA248" s="656"/>
      <c r="CB248" s="656"/>
      <c r="CC248" s="1390"/>
      <c r="CD248" s="687"/>
      <c r="CE248" s="656"/>
      <c r="CF248" s="656"/>
      <c r="CG248" s="226"/>
      <c r="CH248" s="226"/>
      <c r="CI248" s="687"/>
      <c r="CJ248" s="226"/>
      <c r="CK248" s="226"/>
      <c r="CL248" s="226"/>
      <c r="CM248" s="226"/>
      <c r="CN248" s="4352"/>
      <c r="CO248" s="226"/>
      <c r="CP248" s="226"/>
      <c r="CQ248" s="226"/>
      <c r="CR248" s="226"/>
      <c r="CS248" s="4352"/>
      <c r="CT248" s="226"/>
      <c r="CU248" s="226"/>
      <c r="CV248" s="226"/>
      <c r="CW248" s="226"/>
      <c r="CX248" s="4352"/>
      <c r="CY248" s="226"/>
      <c r="CZ248" s="226"/>
      <c r="DA248" s="226"/>
      <c r="DB248" s="226"/>
      <c r="DC248" s="687"/>
      <c r="DD248" s="226"/>
      <c r="DE248" s="226"/>
      <c r="DF248" s="226"/>
      <c r="DG248" s="226"/>
      <c r="DH248" s="687"/>
      <c r="DI248" s="226"/>
      <c r="DJ248" s="226"/>
      <c r="DK248" s="226"/>
      <c r="DL248" s="226"/>
      <c r="DM248" s="687"/>
      <c r="DN248" s="226"/>
      <c r="DO248" s="226"/>
      <c r="DP248" s="226"/>
      <c r="DQ248" s="226"/>
      <c r="DR248" s="687"/>
      <c r="DS248" s="226"/>
      <c r="DT248" s="226"/>
      <c r="DU248" s="226"/>
      <c r="DV248" s="226"/>
      <c r="DW248" s="687"/>
      <c r="DX248" s="687"/>
      <c r="DY248" s="687"/>
      <c r="DZ248" s="687"/>
      <c r="EA248" s="687"/>
      <c r="EC248" s="3683"/>
      <c r="ED248" s="3683"/>
    </row>
    <row r="249" spans="1:134" s="31" customFormat="1" ht="11.25" hidden="1" customHeight="1" outlineLevel="1">
      <c r="A249" s="3194" t="s">
        <v>775</v>
      </c>
      <c r="B249" s="3195"/>
      <c r="C249" s="3195"/>
      <c r="D249" s="3195"/>
      <c r="E249" s="3196"/>
      <c r="F249" s="3195"/>
      <c r="G249" s="3195"/>
      <c r="H249" s="3195"/>
      <c r="I249" s="3196"/>
      <c r="J249" s="3197"/>
      <c r="K249" s="3195"/>
      <c r="L249" s="3195"/>
      <c r="M249" s="3196"/>
      <c r="N249" s="3197"/>
      <c r="O249" s="3195"/>
      <c r="P249" s="3195"/>
      <c r="Q249" s="3196"/>
      <c r="R249" s="3195"/>
      <c r="S249" s="3195"/>
      <c r="T249" s="3195"/>
      <c r="U249" s="3196"/>
      <c r="V249" s="3198"/>
      <c r="W249" s="3199"/>
      <c r="X249" s="3199"/>
      <c r="Y249" s="3196"/>
      <c r="Z249" s="3199"/>
      <c r="AA249" s="3199"/>
      <c r="AB249" s="3199"/>
      <c r="AC249" s="3196"/>
      <c r="AD249" s="3198"/>
      <c r="AE249" s="3199"/>
      <c r="AF249" s="3199"/>
      <c r="AG249" s="3196"/>
      <c r="AH249" s="3199"/>
      <c r="AI249" s="3199"/>
      <c r="AJ249" s="3199"/>
      <c r="AK249" s="3196"/>
      <c r="AL249" s="3199"/>
      <c r="AM249" s="3199"/>
      <c r="AN249" s="3199"/>
      <c r="AO249" s="3196"/>
      <c r="AP249" s="3199"/>
      <c r="AQ249" s="3199"/>
      <c r="AR249" s="3199"/>
      <c r="AS249" s="3196"/>
      <c r="AT249" s="3199"/>
      <c r="AU249" s="3200"/>
      <c r="AV249" s="3199"/>
      <c r="AW249" s="3196"/>
      <c r="AX249" s="3199"/>
      <c r="AY249" s="3200"/>
      <c r="AZ249" s="3199"/>
      <c r="BA249" s="3196"/>
      <c r="BB249" s="3199"/>
      <c r="BC249" s="3200"/>
      <c r="BD249" s="3200"/>
      <c r="BE249" s="3196"/>
      <c r="BF249" s="3199"/>
      <c r="BG249" s="3200"/>
      <c r="BH249" s="3200"/>
      <c r="BI249" s="3196"/>
      <c r="BJ249" s="3201"/>
      <c r="BK249" s="3200"/>
      <c r="BL249" s="3200"/>
      <c r="BM249" s="3200"/>
      <c r="BN249" s="3196"/>
      <c r="BO249" s="3201"/>
      <c r="BP249" s="3200"/>
      <c r="BQ249" s="3200"/>
      <c r="BR249" s="3200"/>
      <c r="BS249" s="3196"/>
      <c r="BT249" s="3201"/>
      <c r="BU249" s="3200"/>
      <c r="BV249" s="3200"/>
      <c r="BW249" s="3200"/>
      <c r="BX249" s="3200"/>
      <c r="BY249" s="3201"/>
      <c r="BZ249" s="3200"/>
      <c r="CA249" s="3200"/>
      <c r="CB249" s="3200"/>
      <c r="CC249" s="3196"/>
      <c r="CD249" s="3201"/>
      <c r="CE249" s="3200"/>
      <c r="CF249" s="3200"/>
      <c r="CG249" s="3200"/>
      <c r="CH249" s="3196"/>
      <c r="CI249" s="3201"/>
      <c r="CJ249" s="3991"/>
      <c r="CK249" s="3991"/>
      <c r="CL249" s="3991"/>
      <c r="CM249" s="3992"/>
      <c r="CN249" s="4388"/>
      <c r="CO249" s="3991"/>
      <c r="CP249" s="3991"/>
      <c r="CQ249" s="3991"/>
      <c r="CR249" s="3992"/>
      <c r="CS249" s="4388"/>
      <c r="CT249" s="3991"/>
      <c r="CU249" s="3991"/>
      <c r="CV249" s="3991"/>
      <c r="CW249" s="3991"/>
      <c r="CX249" s="4388"/>
      <c r="CY249" s="3991"/>
      <c r="CZ249" s="3991"/>
      <c r="DA249" s="3991"/>
      <c r="DB249" s="3991"/>
      <c r="DC249" s="3201"/>
      <c r="DD249" s="3991"/>
      <c r="DE249" s="3991"/>
      <c r="DF249" s="3991"/>
      <c r="DG249" s="3991"/>
      <c r="DH249" s="3201"/>
      <c r="DI249" s="3991"/>
      <c r="DJ249" s="3991"/>
      <c r="DK249" s="3991"/>
      <c r="DL249" s="3991"/>
      <c r="DM249" s="3201"/>
      <c r="DN249" s="3991"/>
      <c r="DO249" s="3991"/>
      <c r="DP249" s="3991"/>
      <c r="DQ249" s="3991"/>
      <c r="DR249" s="3201"/>
      <c r="DS249" s="3991"/>
      <c r="DT249" s="3991"/>
      <c r="DU249" s="3991"/>
      <c r="DV249" s="3991"/>
      <c r="DW249" s="3201"/>
      <c r="DX249" s="3201"/>
      <c r="DY249" s="3201"/>
      <c r="DZ249" s="3201"/>
      <c r="EA249" s="3201"/>
      <c r="EC249" s="3683"/>
      <c r="ED249" s="3683"/>
    </row>
    <row r="250" spans="1:134" s="45" customFormat="1" ht="11.25" hidden="1" customHeight="1" outlineLevel="1">
      <c r="A250" s="1597" t="s">
        <v>796</v>
      </c>
      <c r="B250" s="36"/>
      <c r="C250" s="36"/>
      <c r="D250" s="36"/>
      <c r="E250" s="3668"/>
      <c r="F250" s="36"/>
      <c r="G250" s="36"/>
      <c r="H250" s="37"/>
      <c r="I250" s="3668"/>
      <c r="J250" s="3662"/>
      <c r="K250" s="37"/>
      <c r="L250" s="37"/>
      <c r="M250" s="3668"/>
      <c r="N250" s="3662"/>
      <c r="O250" s="37"/>
      <c r="P250" s="37"/>
      <c r="Q250" s="3668"/>
      <c r="R250" s="37"/>
      <c r="S250" s="37"/>
      <c r="T250" s="37"/>
      <c r="U250" s="3668"/>
      <c r="V250" s="3666"/>
      <c r="W250" s="43"/>
      <c r="X250" s="43"/>
      <c r="Y250" s="3668"/>
      <c r="Z250" s="43"/>
      <c r="AA250" s="43"/>
      <c r="AB250" s="43"/>
      <c r="AC250" s="3668"/>
      <c r="AD250" s="3666"/>
      <c r="AE250" s="43"/>
      <c r="AF250" s="43"/>
      <c r="AG250" s="3668"/>
      <c r="AH250" s="3666"/>
      <c r="AI250" s="43"/>
      <c r="AJ250" s="43"/>
      <c r="AK250" s="3668"/>
      <c r="AL250" s="3666"/>
      <c r="AM250" s="43"/>
      <c r="AN250" s="43"/>
      <c r="AO250" s="3668"/>
      <c r="AP250" s="3666"/>
      <c r="AQ250" s="42"/>
      <c r="AR250" s="42"/>
      <c r="AS250" s="3668"/>
      <c r="AT250" s="2879"/>
      <c r="AU250" s="42"/>
      <c r="AV250" s="42"/>
      <c r="AW250" s="3668"/>
      <c r="AX250" s="2879"/>
      <c r="AY250" s="42"/>
      <c r="AZ250" s="42"/>
      <c r="BA250" s="3668"/>
      <c r="BB250" s="42"/>
      <c r="BC250" s="42"/>
      <c r="BD250" s="42"/>
      <c r="BE250" s="3668"/>
      <c r="BF250" s="226"/>
      <c r="BG250" s="226"/>
      <c r="BH250" s="226"/>
      <c r="BI250" s="226"/>
      <c r="BJ250" s="1255"/>
      <c r="BK250" s="537"/>
      <c r="BL250" s="226"/>
      <c r="BM250" s="226"/>
      <c r="BN250" s="3668"/>
      <c r="BO250" s="1255"/>
      <c r="BP250" s="537"/>
      <c r="BQ250" s="226"/>
      <c r="BR250" s="226"/>
      <c r="BS250" s="3668"/>
      <c r="BT250" s="1255"/>
      <c r="BU250" s="226"/>
      <c r="BV250" s="226"/>
      <c r="BW250" s="226"/>
      <c r="BX250" s="226"/>
      <c r="BY250" s="1255"/>
      <c r="BZ250" s="226"/>
      <c r="CA250" s="226"/>
      <c r="CB250" s="226"/>
      <c r="CC250" s="3665">
        <v>1894</v>
      </c>
      <c r="CD250" s="1254">
        <f>CC250</f>
        <v>1894</v>
      </c>
      <c r="CE250" s="656">
        <v>2234</v>
      </c>
      <c r="CF250" s="656">
        <v>2210</v>
      </c>
      <c r="CG250" s="656">
        <v>2207</v>
      </c>
      <c r="CH250" s="226"/>
      <c r="CI250" s="1254"/>
      <c r="CJ250" s="226"/>
      <c r="CK250" s="226"/>
      <c r="CL250" s="226"/>
      <c r="CM250" s="226"/>
      <c r="CN250" s="4390"/>
      <c r="CO250" s="226"/>
      <c r="CP250" s="226"/>
      <c r="CQ250" s="226"/>
      <c r="CR250" s="226"/>
      <c r="CS250" s="4390"/>
      <c r="CT250" s="226"/>
      <c r="CU250" s="226"/>
      <c r="CV250" s="226"/>
      <c r="CW250" s="226"/>
      <c r="CX250" s="4390"/>
      <c r="CY250" s="226"/>
      <c r="CZ250" s="226"/>
      <c r="DA250" s="226"/>
      <c r="DB250" s="226"/>
      <c r="DC250" s="1254"/>
      <c r="DD250" s="226"/>
      <c r="DE250" s="226"/>
      <c r="DF250" s="226"/>
      <c r="DG250" s="226"/>
      <c r="DH250" s="1254"/>
      <c r="DI250" s="226"/>
      <c r="DJ250" s="226"/>
      <c r="DK250" s="226"/>
      <c r="DL250" s="226"/>
      <c r="DM250" s="1254"/>
      <c r="DN250" s="226"/>
      <c r="DO250" s="226"/>
      <c r="DP250" s="226"/>
      <c r="DQ250" s="226"/>
      <c r="DR250" s="1254"/>
      <c r="DS250" s="226"/>
      <c r="DT250" s="226"/>
      <c r="DU250" s="226"/>
      <c r="DV250" s="226"/>
      <c r="DW250" s="1254"/>
      <c r="DX250" s="1254"/>
      <c r="DY250" s="1254"/>
      <c r="DZ250" s="1254"/>
      <c r="EA250" s="1254"/>
      <c r="EC250" s="755"/>
      <c r="ED250" s="755"/>
    </row>
    <row r="251" spans="1:134" s="45" customFormat="1" ht="11.25" hidden="1" customHeight="1" outlineLevel="1">
      <c r="A251" s="1597" t="s">
        <v>803</v>
      </c>
      <c r="B251" s="36"/>
      <c r="C251" s="36"/>
      <c r="D251" s="36"/>
      <c r="E251" s="3668"/>
      <c r="F251" s="36"/>
      <c r="G251" s="36"/>
      <c r="H251" s="37"/>
      <c r="I251" s="3668"/>
      <c r="J251" s="3662"/>
      <c r="K251" s="37"/>
      <c r="L251" s="37"/>
      <c r="M251" s="3668"/>
      <c r="N251" s="3662"/>
      <c r="O251" s="37"/>
      <c r="P251" s="37"/>
      <c r="Q251" s="3668"/>
      <c r="R251" s="37"/>
      <c r="S251" s="37"/>
      <c r="T251" s="37"/>
      <c r="U251" s="3668"/>
      <c r="V251" s="3666"/>
      <c r="W251" s="43"/>
      <c r="X251" s="43"/>
      <c r="Y251" s="3668"/>
      <c r="Z251" s="43"/>
      <c r="AA251" s="43"/>
      <c r="AB251" s="43"/>
      <c r="AC251" s="3668"/>
      <c r="AD251" s="3666"/>
      <c r="AE251" s="43"/>
      <c r="AF251" s="43"/>
      <c r="AG251" s="3668"/>
      <c r="AH251" s="3666"/>
      <c r="AI251" s="43"/>
      <c r="AJ251" s="43"/>
      <c r="AK251" s="3668"/>
      <c r="AL251" s="3666"/>
      <c r="AM251" s="43"/>
      <c r="AN251" s="43"/>
      <c r="AO251" s="3668"/>
      <c r="AP251" s="3666"/>
      <c r="AQ251" s="42"/>
      <c r="AR251" s="42"/>
      <c r="AS251" s="3668"/>
      <c r="AT251" s="2879"/>
      <c r="AU251" s="42"/>
      <c r="AV251" s="42"/>
      <c r="AW251" s="3668"/>
      <c r="AX251" s="2879"/>
      <c r="AY251" s="42"/>
      <c r="AZ251" s="42"/>
      <c r="BA251" s="3668"/>
      <c r="BB251" s="42"/>
      <c r="BC251" s="42"/>
      <c r="BD251" s="42"/>
      <c r="BE251" s="3668"/>
      <c r="BF251" s="226"/>
      <c r="BG251" s="226"/>
      <c r="BH251" s="226"/>
      <c r="BI251" s="226"/>
      <c r="BJ251" s="1255"/>
      <c r="BK251" s="537"/>
      <c r="BL251" s="226"/>
      <c r="BM251" s="226"/>
      <c r="BN251" s="3668"/>
      <c r="BO251" s="1255"/>
      <c r="BP251" s="537"/>
      <c r="BQ251" s="226"/>
      <c r="BR251" s="226"/>
      <c r="BS251" s="3668"/>
      <c r="BT251" s="1255"/>
      <c r="BU251" s="226"/>
      <c r="BV251" s="226"/>
      <c r="BW251" s="226"/>
      <c r="BX251" s="226"/>
      <c r="BY251" s="1255"/>
      <c r="BZ251" s="226"/>
      <c r="CA251" s="226"/>
      <c r="CB251" s="226"/>
      <c r="CC251" s="3665">
        <v>4500</v>
      </c>
      <c r="CD251" s="1254"/>
      <c r="CE251" s="656">
        <v>7290</v>
      </c>
      <c r="CF251" s="656">
        <v>7928</v>
      </c>
      <c r="CG251" s="656">
        <v>9111</v>
      </c>
      <c r="CH251" s="226"/>
      <c r="CI251" s="1254"/>
      <c r="CJ251" s="226"/>
      <c r="CK251" s="226"/>
      <c r="CL251" s="226"/>
      <c r="CM251" s="226"/>
      <c r="CN251" s="4390"/>
      <c r="CO251" s="226"/>
      <c r="CP251" s="226"/>
      <c r="CQ251" s="226"/>
      <c r="CR251" s="226"/>
      <c r="CS251" s="4390"/>
      <c r="CT251" s="226"/>
      <c r="CU251" s="226"/>
      <c r="CV251" s="226"/>
      <c r="CW251" s="226"/>
      <c r="CX251" s="4390"/>
      <c r="CY251" s="226"/>
      <c r="CZ251" s="226"/>
      <c r="DA251" s="226"/>
      <c r="DB251" s="226"/>
      <c r="DC251" s="1254"/>
      <c r="DD251" s="226"/>
      <c r="DE251" s="226"/>
      <c r="DF251" s="226"/>
      <c r="DG251" s="226"/>
      <c r="DH251" s="1254"/>
      <c r="DI251" s="226"/>
      <c r="DJ251" s="226"/>
      <c r="DK251" s="226"/>
      <c r="DL251" s="226"/>
      <c r="DM251" s="1254"/>
      <c r="DN251" s="226"/>
      <c r="DO251" s="226"/>
      <c r="DP251" s="226"/>
      <c r="DQ251" s="226"/>
      <c r="DR251" s="1254"/>
      <c r="DS251" s="226"/>
      <c r="DT251" s="226"/>
      <c r="DU251" s="226"/>
      <c r="DV251" s="226"/>
      <c r="DW251" s="1254"/>
      <c r="DX251" s="1254"/>
      <c r="DY251" s="1254"/>
      <c r="DZ251" s="1254"/>
      <c r="EA251" s="1254"/>
      <c r="EC251" s="755"/>
      <c r="ED251" s="755"/>
    </row>
    <row r="252" spans="1:134" s="45" customFormat="1" ht="11.25" hidden="1" customHeight="1" outlineLevel="1">
      <c r="A252" s="1597" t="s">
        <v>802</v>
      </c>
      <c r="B252" s="36"/>
      <c r="C252" s="36"/>
      <c r="D252" s="36"/>
      <c r="E252" s="1390"/>
      <c r="F252" s="36"/>
      <c r="G252" s="36"/>
      <c r="H252" s="37"/>
      <c r="I252" s="1390"/>
      <c r="J252" s="39"/>
      <c r="K252" s="37"/>
      <c r="L252" s="37"/>
      <c r="M252" s="1390"/>
      <c r="N252" s="39"/>
      <c r="O252" s="37"/>
      <c r="P252" s="37"/>
      <c r="Q252" s="1390"/>
      <c r="R252" s="37"/>
      <c r="S252" s="37"/>
      <c r="T252" s="37"/>
      <c r="U252" s="1390"/>
      <c r="V252" s="41"/>
      <c r="W252" s="43"/>
      <c r="X252" s="43"/>
      <c r="Y252" s="1390"/>
      <c r="Z252" s="43"/>
      <c r="AA252" s="43"/>
      <c r="AB252" s="43"/>
      <c r="AC252" s="1390"/>
      <c r="AD252" s="41"/>
      <c r="AE252" s="43"/>
      <c r="AF252" s="43"/>
      <c r="AG252" s="1390"/>
      <c r="AH252" s="41"/>
      <c r="AI252" s="43"/>
      <c r="AJ252" s="43"/>
      <c r="AK252" s="1390"/>
      <c r="AL252" s="41"/>
      <c r="AM252" s="43"/>
      <c r="AN252" s="43"/>
      <c r="AO252" s="1390"/>
      <c r="AP252" s="41"/>
      <c r="AQ252" s="42"/>
      <c r="AR252" s="42"/>
      <c r="AS252" s="1390"/>
      <c r="AT252" s="64"/>
      <c r="AU252" s="65"/>
      <c r="AV252" s="65"/>
      <c r="AW252" s="1390"/>
      <c r="AX252" s="64"/>
      <c r="AY252" s="65"/>
      <c r="AZ252" s="65"/>
      <c r="BA252" s="1390"/>
      <c r="BB252" s="65"/>
      <c r="BC252" s="65"/>
      <c r="BD252" s="65"/>
      <c r="BE252" s="1390"/>
      <c r="BF252" s="656"/>
      <c r="BG252" s="656"/>
      <c r="BH252" s="656"/>
      <c r="BI252" s="656"/>
      <c r="BJ252" s="1255"/>
      <c r="BK252" s="652"/>
      <c r="BL252" s="656"/>
      <c r="BM252" s="656"/>
      <c r="BN252" s="1390"/>
      <c r="BO252" s="1255"/>
      <c r="BP252" s="652"/>
      <c r="BQ252" s="656"/>
      <c r="BR252" s="656"/>
      <c r="BS252" s="1390"/>
      <c r="BT252" s="1255"/>
      <c r="BU252" s="821"/>
      <c r="BV252" s="656"/>
      <c r="BW252" s="656"/>
      <c r="BX252" s="656"/>
      <c r="BY252" s="1255"/>
      <c r="BZ252" s="656"/>
      <c r="CA252" s="656"/>
      <c r="CB252" s="656"/>
      <c r="CC252" s="840">
        <f>CC253-CC250-CC251</f>
        <v>1419</v>
      </c>
      <c r="CD252" s="687">
        <f>CC252</f>
        <v>1419</v>
      </c>
      <c r="CE252" s="226">
        <f>CE253-CE250-CE251</f>
        <v>1452</v>
      </c>
      <c r="CF252" s="226">
        <f>CF253-CF250-CF251</f>
        <v>1349</v>
      </c>
      <c r="CG252" s="226">
        <f>CG253-CG250-CG251</f>
        <v>1355</v>
      </c>
      <c r="CH252" s="226"/>
      <c r="CI252" s="687"/>
      <c r="CJ252" s="226"/>
      <c r="CK252" s="226"/>
      <c r="CL252" s="226"/>
      <c r="CM252" s="226"/>
      <c r="CN252" s="4352"/>
      <c r="CO252" s="226"/>
      <c r="CP252" s="226"/>
      <c r="CQ252" s="226"/>
      <c r="CR252" s="226"/>
      <c r="CS252" s="4352"/>
      <c r="CT252" s="226"/>
      <c r="CU252" s="226"/>
      <c r="CV252" s="226"/>
      <c r="CW252" s="226"/>
      <c r="CX252" s="4352"/>
      <c r="CY252" s="226"/>
      <c r="CZ252" s="226"/>
      <c r="DA252" s="226"/>
      <c r="DB252" s="226"/>
      <c r="DC252" s="687"/>
      <c r="DD252" s="226"/>
      <c r="DE252" s="226"/>
      <c r="DF252" s="226"/>
      <c r="DG252" s="226"/>
      <c r="DH252" s="687"/>
      <c r="DI252" s="226"/>
      <c r="DJ252" s="226"/>
      <c r="DK252" s="226"/>
      <c r="DL252" s="226"/>
      <c r="DM252" s="687"/>
      <c r="DN252" s="226"/>
      <c r="DO252" s="226"/>
      <c r="DP252" s="226"/>
      <c r="DQ252" s="226"/>
      <c r="DR252" s="687"/>
      <c r="DS252" s="226"/>
      <c r="DT252" s="226"/>
      <c r="DU252" s="226"/>
      <c r="DV252" s="226"/>
      <c r="DW252" s="687"/>
      <c r="DX252" s="687"/>
      <c r="DY252" s="687"/>
      <c r="DZ252" s="687"/>
      <c r="EA252" s="687"/>
      <c r="EC252" s="755"/>
      <c r="ED252" s="755"/>
    </row>
    <row r="253" spans="1:134" s="3670" customFormat="1" ht="11.25" hidden="1" customHeight="1" outlineLevel="1">
      <c r="A253" s="3684" t="str">
        <f>CONCATENATE(A18,", EOP")</f>
        <v>Non-marketable investments, EOP</v>
      </c>
      <c r="B253" s="3685"/>
      <c r="C253" s="3685"/>
      <c r="D253" s="3685"/>
      <c r="E253" s="3686"/>
      <c r="F253" s="3685"/>
      <c r="G253" s="3685"/>
      <c r="H253" s="3687"/>
      <c r="I253" s="3686"/>
      <c r="J253" s="2846"/>
      <c r="K253" s="3687"/>
      <c r="L253" s="3687"/>
      <c r="M253" s="3686"/>
      <c r="N253" s="2846"/>
      <c r="O253" s="3687"/>
      <c r="P253" s="3687"/>
      <c r="Q253" s="3686"/>
      <c r="R253" s="3687"/>
      <c r="S253" s="3687"/>
      <c r="T253" s="3687"/>
      <c r="U253" s="3686"/>
      <c r="V253" s="2850"/>
      <c r="W253" s="3688"/>
      <c r="X253" s="3688"/>
      <c r="Y253" s="3686"/>
      <c r="Z253" s="3688"/>
      <c r="AA253" s="3688"/>
      <c r="AB253" s="3688"/>
      <c r="AC253" s="3686"/>
      <c r="AD253" s="2850"/>
      <c r="AE253" s="3688"/>
      <c r="AF253" s="3688"/>
      <c r="AG253" s="3686"/>
      <c r="AH253" s="2850"/>
      <c r="AI253" s="3688"/>
      <c r="AJ253" s="3688"/>
      <c r="AK253" s="3686"/>
      <c r="AL253" s="2850"/>
      <c r="AM253" s="3688"/>
      <c r="AN253" s="3688"/>
      <c r="AO253" s="3686"/>
      <c r="AP253" s="2850"/>
      <c r="AQ253" s="3689"/>
      <c r="AR253" s="3689"/>
      <c r="AS253" s="3686"/>
      <c r="AT253" s="3690"/>
      <c r="AU253" s="3689"/>
      <c r="AV253" s="3689"/>
      <c r="AW253" s="3686"/>
      <c r="AX253" s="3690"/>
      <c r="AY253" s="3689"/>
      <c r="AZ253" s="3689"/>
      <c r="BA253" s="3686"/>
      <c r="BB253" s="3689"/>
      <c r="BC253" s="3689"/>
      <c r="BD253" s="3689"/>
      <c r="BE253" s="3686"/>
      <c r="BF253" s="3691"/>
      <c r="BG253" s="3691"/>
      <c r="BH253" s="3691"/>
      <c r="BI253" s="3691"/>
      <c r="BJ253" s="3692"/>
      <c r="BK253" s="3693"/>
      <c r="BL253" s="3691"/>
      <c r="BM253" s="3691"/>
      <c r="BN253" s="3686"/>
      <c r="BO253" s="3692"/>
      <c r="BP253" s="3693"/>
      <c r="BQ253" s="3691"/>
      <c r="BR253" s="3691"/>
      <c r="BS253" s="3686"/>
      <c r="BT253" s="3692"/>
      <c r="BU253" s="3691"/>
      <c r="BV253" s="3691"/>
      <c r="BW253" s="3691"/>
      <c r="BX253" s="3691"/>
      <c r="BY253" s="3692"/>
      <c r="BZ253" s="3691"/>
      <c r="CA253" s="3691"/>
      <c r="CB253" s="3691"/>
      <c r="CC253" s="3686">
        <f>CC18</f>
        <v>7813</v>
      </c>
      <c r="CD253" s="3694">
        <f>CC253</f>
        <v>7813</v>
      </c>
      <c r="CE253" s="3691">
        <f>CE18</f>
        <v>10976</v>
      </c>
      <c r="CF253" s="3691">
        <f>CF18</f>
        <v>11487</v>
      </c>
      <c r="CG253" s="3691">
        <f>CG18</f>
        <v>12673</v>
      </c>
      <c r="CH253" s="3691"/>
      <c r="CI253" s="3694"/>
      <c r="CJ253" s="3993"/>
      <c r="CK253" s="3993"/>
      <c r="CL253" s="3993"/>
      <c r="CM253" s="3993"/>
      <c r="CN253" s="4397"/>
      <c r="CO253" s="3993"/>
      <c r="CP253" s="3993"/>
      <c r="CQ253" s="3993"/>
      <c r="CR253" s="3993"/>
      <c r="CS253" s="4397"/>
      <c r="CT253" s="3993"/>
      <c r="CU253" s="3993"/>
      <c r="CV253" s="3993"/>
      <c r="CW253" s="3993"/>
      <c r="CX253" s="4397"/>
      <c r="CY253" s="3993"/>
      <c r="CZ253" s="3993"/>
      <c r="DA253" s="3993"/>
      <c r="DB253" s="3993"/>
      <c r="DC253" s="3694"/>
      <c r="DD253" s="3993"/>
      <c r="DE253" s="3993"/>
      <c r="DF253" s="3993"/>
      <c r="DG253" s="3993"/>
      <c r="DH253" s="3694"/>
      <c r="DI253" s="3993"/>
      <c r="DJ253" s="3993"/>
      <c r="DK253" s="3993"/>
      <c r="DL253" s="3993"/>
      <c r="DM253" s="3694"/>
      <c r="DN253" s="3993"/>
      <c r="DO253" s="3993"/>
      <c r="DP253" s="3993"/>
      <c r="DQ253" s="3993"/>
      <c r="DR253" s="3694"/>
      <c r="DS253" s="3993"/>
      <c r="DT253" s="3993"/>
      <c r="DU253" s="3993"/>
      <c r="DV253" s="3993"/>
      <c r="DW253" s="3694"/>
      <c r="DX253" s="3694"/>
      <c r="DY253" s="3694"/>
      <c r="DZ253" s="3694"/>
      <c r="EA253" s="3694"/>
      <c r="EC253" s="3671"/>
      <c r="ED253" s="3671"/>
    </row>
    <row r="254" spans="1:134" s="45" customFormat="1" ht="11.25" hidden="1" customHeight="1" outlineLevel="1">
      <c r="A254" s="3908" t="s">
        <v>798</v>
      </c>
      <c r="B254" s="3695"/>
      <c r="C254" s="3695"/>
      <c r="D254" s="3695"/>
      <c r="E254" s="3696"/>
      <c r="F254" s="3695"/>
      <c r="G254" s="3695"/>
      <c r="H254" s="3697"/>
      <c r="I254" s="3696"/>
      <c r="J254" s="3698"/>
      <c r="K254" s="3697"/>
      <c r="L254" s="3697"/>
      <c r="M254" s="3696"/>
      <c r="N254" s="3698"/>
      <c r="O254" s="3697"/>
      <c r="P254" s="3697"/>
      <c r="Q254" s="3696"/>
      <c r="R254" s="3697"/>
      <c r="S254" s="3697"/>
      <c r="T254" s="3697"/>
      <c r="U254" s="3696"/>
      <c r="V254" s="3699"/>
      <c r="W254" s="3700"/>
      <c r="X254" s="3700"/>
      <c r="Y254" s="3696"/>
      <c r="Z254" s="3700"/>
      <c r="AA254" s="3700"/>
      <c r="AB254" s="3700"/>
      <c r="AC254" s="3696"/>
      <c r="AD254" s="3699"/>
      <c r="AE254" s="3700"/>
      <c r="AF254" s="3700"/>
      <c r="AG254" s="3696"/>
      <c r="AH254" s="3699"/>
      <c r="AI254" s="3700"/>
      <c r="AJ254" s="3700"/>
      <c r="AK254" s="3696"/>
      <c r="AL254" s="3699"/>
      <c r="AM254" s="3700"/>
      <c r="AN254" s="3700"/>
      <c r="AO254" s="3696"/>
      <c r="AP254" s="3699"/>
      <c r="AQ254" s="3701"/>
      <c r="AR254" s="3701"/>
      <c r="AS254" s="3696"/>
      <c r="AT254" s="3702"/>
      <c r="AU254" s="3701"/>
      <c r="AV254" s="3701"/>
      <c r="AW254" s="3696"/>
      <c r="AX254" s="3702"/>
      <c r="AY254" s="3701"/>
      <c r="AZ254" s="3701"/>
      <c r="BA254" s="3696"/>
      <c r="BB254" s="3701"/>
      <c r="BC254" s="3701"/>
      <c r="BD254" s="3701"/>
      <c r="BE254" s="3696"/>
      <c r="BF254" s="3703"/>
      <c r="BG254" s="3703"/>
      <c r="BH254" s="3703"/>
      <c r="BI254" s="3703"/>
      <c r="BJ254" s="3704"/>
      <c r="BK254" s="3705"/>
      <c r="BL254" s="3703"/>
      <c r="BM254" s="3703"/>
      <c r="BN254" s="3696"/>
      <c r="BO254" s="3704"/>
      <c r="BP254" s="3705"/>
      <c r="BQ254" s="3703"/>
      <c r="BR254" s="3703"/>
      <c r="BS254" s="3696"/>
      <c r="BT254" s="3704"/>
      <c r="BU254" s="3703"/>
      <c r="BV254" s="3703"/>
      <c r="BW254" s="3703"/>
      <c r="BX254" s="3703"/>
      <c r="BY254" s="3704"/>
      <c r="BZ254" s="3703"/>
      <c r="CA254" s="3703"/>
      <c r="CB254" s="3703"/>
      <c r="CC254" s="3696"/>
      <c r="CD254" s="3706"/>
      <c r="CE254" s="3703">
        <f>CE253-CC253</f>
        <v>3163</v>
      </c>
      <c r="CF254" s="3703">
        <f>CF253-CE253</f>
        <v>511</v>
      </c>
      <c r="CG254" s="3703">
        <f>CG253-CF253</f>
        <v>1186</v>
      </c>
      <c r="CH254" s="3703"/>
      <c r="CI254" s="3706"/>
      <c r="CJ254" s="3990"/>
      <c r="CK254" s="3990"/>
      <c r="CL254" s="3990"/>
      <c r="CM254" s="3990"/>
      <c r="CN254" s="4398"/>
      <c r="CO254" s="3990"/>
      <c r="CP254" s="3990"/>
      <c r="CQ254" s="3990"/>
      <c r="CR254" s="3990"/>
      <c r="CS254" s="4398"/>
      <c r="CT254" s="3990"/>
      <c r="CU254" s="3990"/>
      <c r="CV254" s="3990"/>
      <c r="CW254" s="3990"/>
      <c r="CX254" s="4398"/>
      <c r="CY254" s="5225"/>
      <c r="CZ254" s="5225"/>
      <c r="DA254" s="5225"/>
      <c r="DB254" s="4516"/>
      <c r="DC254" s="3706"/>
      <c r="DD254" s="4516"/>
      <c r="DE254" s="5225"/>
      <c r="DF254" s="4516"/>
      <c r="DG254" s="4516"/>
      <c r="DH254" s="3706"/>
      <c r="DI254" s="4516"/>
      <c r="DJ254" s="4516"/>
      <c r="DK254" s="4516"/>
      <c r="DL254" s="4516"/>
      <c r="DM254" s="3706"/>
      <c r="DN254" s="4516"/>
      <c r="DO254" s="4516"/>
      <c r="DP254" s="4516"/>
      <c r="DQ254" s="4516"/>
      <c r="DR254" s="3706"/>
      <c r="DS254" s="4516"/>
      <c r="DT254" s="4516"/>
      <c r="DU254" s="4516"/>
      <c r="DV254" s="4516"/>
      <c r="DW254" s="3706"/>
      <c r="DX254" s="3706"/>
      <c r="DY254" s="3706"/>
      <c r="DZ254" s="3706"/>
      <c r="EA254" s="3706"/>
      <c r="EC254" s="755"/>
      <c r="ED254" s="755"/>
    </row>
    <row r="255" spans="1:134" s="3670" customFormat="1" ht="11.25" hidden="1" customHeight="1" outlineLevel="1">
      <c r="A255" s="3721"/>
      <c r="B255" s="3672"/>
      <c r="C255" s="3672"/>
      <c r="D255" s="3672"/>
      <c r="E255" s="3673"/>
      <c r="F255" s="3672"/>
      <c r="G255" s="3672"/>
      <c r="H255" s="3674"/>
      <c r="I255" s="3673"/>
      <c r="J255" s="3675"/>
      <c r="K255" s="3674"/>
      <c r="L255" s="3674"/>
      <c r="M255" s="3673"/>
      <c r="N255" s="3675"/>
      <c r="O255" s="3674"/>
      <c r="P255" s="3674"/>
      <c r="Q255" s="3673"/>
      <c r="R255" s="3674"/>
      <c r="S255" s="3674"/>
      <c r="T255" s="3674"/>
      <c r="U255" s="3673"/>
      <c r="V255" s="3676"/>
      <c r="W255" s="531"/>
      <c r="X255" s="531"/>
      <c r="Y255" s="3673"/>
      <c r="Z255" s="531"/>
      <c r="AA255" s="531"/>
      <c r="AB255" s="531"/>
      <c r="AC255" s="3673"/>
      <c r="AD255" s="3676"/>
      <c r="AE255" s="531"/>
      <c r="AF255" s="531"/>
      <c r="AG255" s="3673"/>
      <c r="AH255" s="3676"/>
      <c r="AI255" s="531"/>
      <c r="AJ255" s="531"/>
      <c r="AK255" s="3673"/>
      <c r="AL255" s="3676"/>
      <c r="AM255" s="531"/>
      <c r="AN255" s="531"/>
      <c r="AO255" s="3673"/>
      <c r="AP255" s="3676"/>
      <c r="AQ255" s="3677"/>
      <c r="AR255" s="3677"/>
      <c r="AS255" s="3673"/>
      <c r="AT255" s="3678"/>
      <c r="AU255" s="3677"/>
      <c r="AV255" s="3677"/>
      <c r="AW255" s="3673"/>
      <c r="AX255" s="3678"/>
      <c r="AY255" s="3677"/>
      <c r="AZ255" s="3677"/>
      <c r="BA255" s="3673"/>
      <c r="BB255" s="3677"/>
      <c r="BC255" s="3677"/>
      <c r="BD255" s="3677"/>
      <c r="BE255" s="3673"/>
      <c r="BF255" s="3679"/>
      <c r="BG255" s="3679"/>
      <c r="BH255" s="3679"/>
      <c r="BI255" s="3679"/>
      <c r="BJ255" s="3680"/>
      <c r="BK255" s="3681"/>
      <c r="BL255" s="3679"/>
      <c r="BM255" s="3679"/>
      <c r="BN255" s="3673"/>
      <c r="BO255" s="3680"/>
      <c r="BP255" s="3681"/>
      <c r="BQ255" s="3679"/>
      <c r="BR255" s="3679"/>
      <c r="BS255" s="3673"/>
      <c r="BT255" s="3680"/>
      <c r="BU255" s="3679"/>
      <c r="BV255" s="3679"/>
      <c r="BW255" s="3679"/>
      <c r="BX255" s="3679"/>
      <c r="BY255" s="3680"/>
      <c r="BZ255" s="3679"/>
      <c r="CA255" s="3679"/>
      <c r="CB255" s="3679"/>
      <c r="CC255" s="3673"/>
      <c r="CD255" s="3682"/>
      <c r="CE255" s="3815"/>
      <c r="CF255" s="3815"/>
      <c r="CG255" s="3679"/>
      <c r="CH255" s="3679"/>
      <c r="CI255" s="3682"/>
      <c r="CJ255" s="3679"/>
      <c r="CK255" s="3679"/>
      <c r="CL255" s="3679"/>
      <c r="CM255" s="3679"/>
      <c r="CN255" s="4399"/>
      <c r="CO255" s="3679"/>
      <c r="CP255" s="3679"/>
      <c r="CQ255" s="3679"/>
      <c r="CR255" s="3679"/>
      <c r="CS255" s="4399"/>
      <c r="CT255" s="3679"/>
      <c r="CU255" s="3679"/>
      <c r="CV255" s="3679"/>
      <c r="CW255" s="3679"/>
      <c r="CX255" s="4399"/>
      <c r="CY255" s="3679"/>
      <c r="CZ255" s="3679"/>
      <c r="DA255" s="3679"/>
      <c r="DB255" s="3679"/>
      <c r="DC255" s="3682"/>
      <c r="DD255" s="3679"/>
      <c r="DE255" s="3679"/>
      <c r="DF255" s="3679"/>
      <c r="DG255" s="3679"/>
      <c r="DH255" s="3682"/>
      <c r="DI255" s="3679"/>
      <c r="DJ255" s="3679"/>
      <c r="DK255" s="3679"/>
      <c r="DL255" s="3679"/>
      <c r="DM255" s="3682"/>
      <c r="DN255" s="3679"/>
      <c r="DO255" s="3679"/>
      <c r="DP255" s="3679"/>
      <c r="DQ255" s="3679"/>
      <c r="DR255" s="3682"/>
      <c r="DS255" s="3679"/>
      <c r="DT255" s="3679"/>
      <c r="DU255" s="3679"/>
      <c r="DV255" s="3679"/>
      <c r="DW255" s="3682"/>
      <c r="DX255" s="3682"/>
      <c r="DY255" s="3682"/>
      <c r="DZ255" s="3682"/>
      <c r="EA255" s="3682"/>
      <c r="EC255" s="3671"/>
      <c r="ED255" s="3671"/>
    </row>
    <row r="256" spans="1:134" s="3670" customFormat="1" ht="11.25" hidden="1" customHeight="1" outlineLevel="1">
      <c r="A256" s="3899" t="s">
        <v>804</v>
      </c>
      <c r="B256" s="3900"/>
      <c r="C256" s="3900"/>
      <c r="D256" s="3900"/>
      <c r="E256" s="3901"/>
      <c r="F256" s="3900"/>
      <c r="G256" s="3900"/>
      <c r="H256" s="3902"/>
      <c r="I256" s="3901"/>
      <c r="J256" s="3903"/>
      <c r="K256" s="3902"/>
      <c r="L256" s="3902"/>
      <c r="M256" s="3901"/>
      <c r="N256" s="3903"/>
      <c r="O256" s="3902"/>
      <c r="P256" s="3902"/>
      <c r="Q256" s="3901"/>
      <c r="R256" s="3902"/>
      <c r="S256" s="3902"/>
      <c r="T256" s="3902"/>
      <c r="U256" s="3901"/>
      <c r="V256" s="3904"/>
      <c r="W256" s="3905"/>
      <c r="X256" s="3905"/>
      <c r="Y256" s="3901"/>
      <c r="Z256" s="3905"/>
      <c r="AA256" s="3905"/>
      <c r="AB256" s="3905"/>
      <c r="AC256" s="3901"/>
      <c r="AD256" s="3904"/>
      <c r="AE256" s="3905"/>
      <c r="AF256" s="3905"/>
      <c r="AG256" s="3901"/>
      <c r="AH256" s="3904"/>
      <c r="AI256" s="3905"/>
      <c r="AJ256" s="3905"/>
      <c r="AK256" s="3901"/>
      <c r="AL256" s="3904"/>
      <c r="AM256" s="3905"/>
      <c r="AN256" s="3905"/>
      <c r="AO256" s="3901"/>
      <c r="AP256" s="3904"/>
      <c r="AQ256" s="3905"/>
      <c r="AR256" s="3905"/>
      <c r="AS256" s="3901"/>
      <c r="AT256" s="3904"/>
      <c r="AU256" s="3905"/>
      <c r="AV256" s="3905"/>
      <c r="AW256" s="3901"/>
      <c r="AX256" s="3904"/>
      <c r="AY256" s="3905"/>
      <c r="AZ256" s="3905"/>
      <c r="BA256" s="3901"/>
      <c r="BB256" s="3905"/>
      <c r="BC256" s="3905"/>
      <c r="BD256" s="3905"/>
      <c r="BE256" s="3901"/>
      <c r="BF256" s="3906"/>
      <c r="BG256" s="3906"/>
      <c r="BH256" s="3906"/>
      <c r="BI256" s="3906"/>
      <c r="BJ256" s="3907"/>
      <c r="BK256" s="3906"/>
      <c r="BL256" s="3906"/>
      <c r="BM256" s="3906"/>
      <c r="BN256" s="3901"/>
      <c r="BO256" s="3907"/>
      <c r="BP256" s="3906"/>
      <c r="BQ256" s="3906"/>
      <c r="BR256" s="3906"/>
      <c r="BS256" s="3901"/>
      <c r="BT256" s="3907"/>
      <c r="BU256" s="3906"/>
      <c r="BV256" s="3906"/>
      <c r="BW256" s="3906"/>
      <c r="BX256" s="3906"/>
      <c r="BY256" s="3907"/>
      <c r="BZ256" s="3906"/>
      <c r="CA256" s="3906"/>
      <c r="CB256" s="3906"/>
      <c r="CC256" s="3901">
        <f>SUM(CC240:CC241,CC251)</f>
        <v>5092</v>
      </c>
      <c r="CD256" s="3907">
        <f>SUM(CD240:CD241,CD251:CD252)</f>
        <v>2011</v>
      </c>
      <c r="CE256" s="3906">
        <f>SUM(CE240:CE241,CE251)</f>
        <v>8107</v>
      </c>
      <c r="CF256" s="3906">
        <f>SUM(CF240:CF241,CF251)</f>
        <v>9378</v>
      </c>
      <c r="CG256" s="3906">
        <f>SUM(CG240:CG241,CG251)</f>
        <v>10598</v>
      </c>
      <c r="CH256" s="3906"/>
      <c r="CI256" s="3907"/>
      <c r="CJ256" s="3906"/>
      <c r="CK256" s="3906"/>
      <c r="CL256" s="3906"/>
      <c r="CM256" s="3906"/>
      <c r="CN256" s="4400"/>
      <c r="CO256" s="3906"/>
      <c r="CP256" s="3906"/>
      <c r="CQ256" s="3906"/>
      <c r="CR256" s="3906"/>
      <c r="CS256" s="4400"/>
      <c r="CT256" s="3906"/>
      <c r="CU256" s="3906"/>
      <c r="CV256" s="3906"/>
      <c r="CW256" s="3906"/>
      <c r="CX256" s="4400"/>
      <c r="CY256" s="3906"/>
      <c r="CZ256" s="3906"/>
      <c r="DA256" s="3906"/>
      <c r="DB256" s="3906"/>
      <c r="DC256" s="3907"/>
      <c r="DD256" s="3906"/>
      <c r="DE256" s="3906"/>
      <c r="DF256" s="3906"/>
      <c r="DG256" s="3906"/>
      <c r="DH256" s="3907"/>
      <c r="DI256" s="3906"/>
      <c r="DJ256" s="3906"/>
      <c r="DK256" s="3906"/>
      <c r="DL256" s="3906"/>
      <c r="DM256" s="3907"/>
      <c r="DN256" s="3906"/>
      <c r="DO256" s="3906"/>
      <c r="DP256" s="3906"/>
      <c r="DQ256" s="3906"/>
      <c r="DR256" s="3907"/>
      <c r="DS256" s="3906"/>
      <c r="DT256" s="3906"/>
      <c r="DU256" s="3906"/>
      <c r="DV256" s="3906"/>
      <c r="DW256" s="3907"/>
      <c r="DX256" s="3907"/>
      <c r="DY256" s="3907"/>
      <c r="DZ256" s="3907"/>
      <c r="EA256" s="3907"/>
      <c r="EC256" s="3671"/>
      <c r="ED256" s="3671"/>
    </row>
    <row r="257" spans="1:134" s="3670" customFormat="1" ht="11.25" hidden="1" customHeight="1" outlineLevel="1">
      <c r="A257" s="3722" t="s">
        <v>801</v>
      </c>
      <c r="B257" s="3672"/>
      <c r="C257" s="3672"/>
      <c r="D257" s="3672"/>
      <c r="E257" s="3673"/>
      <c r="F257" s="3672"/>
      <c r="G257" s="3672"/>
      <c r="H257" s="3674"/>
      <c r="I257" s="3673"/>
      <c r="J257" s="3675"/>
      <c r="K257" s="3674"/>
      <c r="L257" s="3674"/>
      <c r="M257" s="3673"/>
      <c r="N257" s="3675"/>
      <c r="O257" s="3674"/>
      <c r="P257" s="3674"/>
      <c r="Q257" s="3673"/>
      <c r="R257" s="3674"/>
      <c r="S257" s="3674"/>
      <c r="T257" s="3674"/>
      <c r="U257" s="3673"/>
      <c r="V257" s="3676"/>
      <c r="W257" s="531"/>
      <c r="X257" s="531"/>
      <c r="Y257" s="3673"/>
      <c r="Z257" s="531"/>
      <c r="AA257" s="531"/>
      <c r="AB257" s="531"/>
      <c r="AC257" s="3673"/>
      <c r="AD257" s="3676"/>
      <c r="AE257" s="531"/>
      <c r="AF257" s="531"/>
      <c r="AG257" s="3673"/>
      <c r="AH257" s="3676"/>
      <c r="AI257" s="531"/>
      <c r="AJ257" s="531"/>
      <c r="AK257" s="3673"/>
      <c r="AL257" s="3676"/>
      <c r="AM257" s="531"/>
      <c r="AN257" s="531"/>
      <c r="AO257" s="3673"/>
      <c r="AP257" s="3676"/>
      <c r="AQ257" s="3677"/>
      <c r="AR257" s="3677"/>
      <c r="AS257" s="3673"/>
      <c r="AT257" s="3678"/>
      <c r="AU257" s="3677"/>
      <c r="AV257" s="3677"/>
      <c r="AW257" s="3673"/>
      <c r="AX257" s="3678"/>
      <c r="AY257" s="3677"/>
      <c r="AZ257" s="3677"/>
      <c r="BA257" s="3673"/>
      <c r="BB257" s="3677"/>
      <c r="BC257" s="3677"/>
      <c r="BD257" s="3677"/>
      <c r="BE257" s="3673"/>
      <c r="BF257" s="3679"/>
      <c r="BG257" s="3679"/>
      <c r="BH257" s="3679"/>
      <c r="BI257" s="3679"/>
      <c r="BJ257" s="3680"/>
      <c r="BK257" s="3681"/>
      <c r="BL257" s="3679"/>
      <c r="BM257" s="3679"/>
      <c r="BN257" s="3673"/>
      <c r="BO257" s="3680"/>
      <c r="BP257" s="3681"/>
      <c r="BQ257" s="3679"/>
      <c r="BR257" s="3679"/>
      <c r="BS257" s="3673"/>
      <c r="BT257" s="3680"/>
      <c r="BU257" s="3679"/>
      <c r="BV257" s="3679"/>
      <c r="BW257" s="3679"/>
      <c r="BX257" s="3679"/>
      <c r="BY257" s="3911">
        <v>1700</v>
      </c>
      <c r="BZ257" s="3679"/>
      <c r="CA257" s="3679"/>
      <c r="CB257" s="3679"/>
      <c r="CC257" s="3913">
        <f>CC252/1000</f>
        <v>1.419</v>
      </c>
      <c r="CD257" s="3820">
        <f>CC257</f>
        <v>1.419</v>
      </c>
      <c r="CE257" s="3912">
        <f>CE252/1000</f>
        <v>1.452</v>
      </c>
      <c r="CF257" s="3912">
        <f>CF252/1000</f>
        <v>1.349</v>
      </c>
      <c r="CG257" s="3912">
        <f>CG252/1000</f>
        <v>1.355</v>
      </c>
      <c r="CH257" s="3679"/>
      <c r="CI257" s="3682"/>
      <c r="CJ257" s="3679"/>
      <c r="CK257" s="3679"/>
      <c r="CL257" s="3679"/>
      <c r="CM257" s="3679"/>
      <c r="CN257" s="4399"/>
      <c r="CO257" s="3679"/>
      <c r="CP257" s="3679"/>
      <c r="CQ257" s="3679"/>
      <c r="CR257" s="3679"/>
      <c r="CS257" s="4399"/>
      <c r="CT257" s="3679"/>
      <c r="CU257" s="3679"/>
      <c r="CV257" s="3679"/>
      <c r="CW257" s="3679"/>
      <c r="CX257" s="4399"/>
      <c r="CY257" s="3679"/>
      <c r="CZ257" s="3679"/>
      <c r="DA257" s="3679"/>
      <c r="DB257" s="3679"/>
      <c r="DC257" s="3682"/>
      <c r="DD257" s="3679"/>
      <c r="DE257" s="3679"/>
      <c r="DF257" s="3679"/>
      <c r="DG257" s="3679"/>
      <c r="DH257" s="3682"/>
      <c r="DI257" s="3679"/>
      <c r="DJ257" s="3679"/>
      <c r="DK257" s="3679"/>
      <c r="DL257" s="3679"/>
      <c r="DM257" s="3682"/>
      <c r="DN257" s="3679"/>
      <c r="DO257" s="3679"/>
      <c r="DP257" s="3679"/>
      <c r="DQ257" s="3679"/>
      <c r="DR257" s="3682"/>
      <c r="DS257" s="3679"/>
      <c r="DT257" s="3679"/>
      <c r="DU257" s="3679"/>
      <c r="DV257" s="3679"/>
      <c r="DW257" s="3682"/>
      <c r="DX257" s="3682"/>
      <c r="DY257" s="3682"/>
      <c r="DZ257" s="3682"/>
      <c r="EA257" s="3682"/>
      <c r="EC257" s="3671"/>
      <c r="ED257" s="3671"/>
    </row>
    <row r="258" spans="1:134" s="3670" customFormat="1" ht="11.25" hidden="1" customHeight="1" outlineLevel="1">
      <c r="A258" s="3721"/>
      <c r="B258" s="3672"/>
      <c r="C258" s="3672"/>
      <c r="D258" s="3672"/>
      <c r="E258" s="3673"/>
      <c r="F258" s="3672"/>
      <c r="G258" s="3672"/>
      <c r="H258" s="3674"/>
      <c r="I258" s="3673"/>
      <c r="J258" s="3675"/>
      <c r="K258" s="3674"/>
      <c r="L258" s="3674"/>
      <c r="M258" s="3673"/>
      <c r="N258" s="3675"/>
      <c r="O258" s="3674"/>
      <c r="P258" s="3674"/>
      <c r="Q258" s="3673"/>
      <c r="R258" s="3674"/>
      <c r="S258" s="3674"/>
      <c r="T258" s="3674"/>
      <c r="U258" s="3673"/>
      <c r="V258" s="3676"/>
      <c r="W258" s="531"/>
      <c r="X258" s="531"/>
      <c r="Y258" s="3673"/>
      <c r="Z258" s="531"/>
      <c r="AA258" s="531"/>
      <c r="AB258" s="531"/>
      <c r="AC258" s="3673"/>
      <c r="AD258" s="3676"/>
      <c r="AE258" s="531"/>
      <c r="AF258" s="531"/>
      <c r="AG258" s="3673"/>
      <c r="AH258" s="3676"/>
      <c r="AI258" s="531"/>
      <c r="AJ258" s="531"/>
      <c r="AK258" s="3673"/>
      <c r="AL258" s="3676"/>
      <c r="AM258" s="531"/>
      <c r="AN258" s="531"/>
      <c r="AO258" s="3673"/>
      <c r="AP258" s="3676"/>
      <c r="AQ258" s="3677"/>
      <c r="AR258" s="3677"/>
      <c r="AS258" s="3673"/>
      <c r="AT258" s="3678"/>
      <c r="AU258" s="3677"/>
      <c r="AV258" s="3677"/>
      <c r="AW258" s="3673"/>
      <c r="AX258" s="3678"/>
      <c r="AY258" s="3677"/>
      <c r="AZ258" s="3677"/>
      <c r="BA258" s="3673"/>
      <c r="BB258" s="3677"/>
      <c r="BC258" s="3677"/>
      <c r="BD258" s="3677"/>
      <c r="BE258" s="3673"/>
      <c r="BF258" s="3679"/>
      <c r="BG258" s="3679"/>
      <c r="BH258" s="3679"/>
      <c r="BI258" s="3679"/>
      <c r="BJ258" s="3680"/>
      <c r="BK258" s="3681"/>
      <c r="BL258" s="3679"/>
      <c r="BM258" s="3679"/>
      <c r="BN258" s="3673"/>
      <c r="BO258" s="3680"/>
      <c r="BP258" s="3681"/>
      <c r="BQ258" s="3679"/>
      <c r="BR258" s="3679"/>
      <c r="BS258" s="3673"/>
      <c r="BT258" s="3680"/>
      <c r="BU258" s="3679"/>
      <c r="BV258" s="3679"/>
      <c r="BW258" s="3679"/>
      <c r="BX258" s="3679"/>
      <c r="BY258" s="3680"/>
      <c r="BZ258" s="3679"/>
      <c r="CA258" s="3679"/>
      <c r="CB258" s="3679"/>
      <c r="CC258" s="3673"/>
      <c r="CD258" s="3682"/>
      <c r="CE258" s="3815"/>
      <c r="CF258" s="3815"/>
      <c r="CG258" s="3679"/>
      <c r="CH258" s="3679"/>
      <c r="CI258" s="3682"/>
      <c r="CJ258" s="3679"/>
      <c r="CK258" s="3679"/>
      <c r="CL258" s="3679"/>
      <c r="CM258" s="3679"/>
      <c r="CN258" s="4399"/>
      <c r="CO258" s="3679"/>
      <c r="CP258" s="3679"/>
      <c r="CQ258" s="3679"/>
      <c r="CR258" s="3679"/>
      <c r="CS258" s="4399"/>
      <c r="CT258" s="3679"/>
      <c r="CU258" s="3679"/>
      <c r="CV258" s="3679"/>
      <c r="CW258" s="3679"/>
      <c r="CX258" s="4399"/>
      <c r="CY258" s="3679"/>
      <c r="CZ258" s="3679"/>
      <c r="DA258" s="3679"/>
      <c r="DB258" s="3679"/>
      <c r="DC258" s="3682"/>
      <c r="DD258" s="3679"/>
      <c r="DE258" s="3679"/>
      <c r="DF258" s="3679"/>
      <c r="DG258" s="3679"/>
      <c r="DH258" s="3682"/>
      <c r="DI258" s="3679"/>
      <c r="DJ258" s="3679"/>
      <c r="DK258" s="3679"/>
      <c r="DL258" s="3679"/>
      <c r="DM258" s="3682"/>
      <c r="DN258" s="3679"/>
      <c r="DO258" s="3679"/>
      <c r="DP258" s="3679"/>
      <c r="DQ258" s="3679"/>
      <c r="DR258" s="3682"/>
      <c r="DS258" s="3679"/>
      <c r="DT258" s="3679"/>
      <c r="DU258" s="3679"/>
      <c r="DV258" s="3679"/>
      <c r="DW258" s="3682"/>
      <c r="DX258" s="3682"/>
      <c r="DY258" s="3682"/>
      <c r="DZ258" s="3682"/>
      <c r="EA258" s="3682"/>
      <c r="EC258" s="3671"/>
      <c r="ED258" s="3671"/>
    </row>
    <row r="259" spans="1:134" s="3670" customFormat="1" ht="11.25" hidden="1" customHeight="1" outlineLevel="1">
      <c r="A259" s="3721" t="s">
        <v>782</v>
      </c>
      <c r="B259" s="3672"/>
      <c r="C259" s="3672"/>
      <c r="D259" s="3672"/>
      <c r="E259" s="3673"/>
      <c r="F259" s="3672"/>
      <c r="G259" s="3672"/>
      <c r="H259" s="3674"/>
      <c r="I259" s="3673"/>
      <c r="J259" s="3675"/>
      <c r="K259" s="3674"/>
      <c r="L259" s="3674"/>
      <c r="M259" s="3673"/>
      <c r="N259" s="3675"/>
      <c r="O259" s="3674"/>
      <c r="P259" s="3674"/>
      <c r="Q259" s="3673"/>
      <c r="R259" s="3674"/>
      <c r="S259" s="3674"/>
      <c r="T259" s="3674"/>
      <c r="U259" s="3673"/>
      <c r="V259" s="3676"/>
      <c r="W259" s="531"/>
      <c r="X259" s="531"/>
      <c r="Y259" s="3673"/>
      <c r="Z259" s="531"/>
      <c r="AA259" s="531"/>
      <c r="AB259" s="531"/>
      <c r="AC259" s="3673"/>
      <c r="AD259" s="3676"/>
      <c r="AE259" s="531"/>
      <c r="AF259" s="531"/>
      <c r="AG259" s="3673"/>
      <c r="AH259" s="3676"/>
      <c r="AI259" s="531"/>
      <c r="AJ259" s="531"/>
      <c r="AK259" s="3673"/>
      <c r="AL259" s="3676"/>
      <c r="AM259" s="531"/>
      <c r="AN259" s="531"/>
      <c r="AO259" s="3673"/>
      <c r="AP259" s="3676"/>
      <c r="AQ259" s="3677"/>
      <c r="AR259" s="3677"/>
      <c r="AS259" s="3673"/>
      <c r="AT259" s="3678"/>
      <c r="AU259" s="3677"/>
      <c r="AV259" s="3677"/>
      <c r="AW259" s="3673"/>
      <c r="AX259" s="3678"/>
      <c r="AY259" s="3677"/>
      <c r="AZ259" s="3677"/>
      <c r="BA259" s="3673"/>
      <c r="BB259" s="3677"/>
      <c r="BC259" s="3677"/>
      <c r="BD259" s="3677"/>
      <c r="BE259" s="3673"/>
      <c r="BF259" s="3679"/>
      <c r="BG259" s="3679"/>
      <c r="BH259" s="3679"/>
      <c r="BI259" s="3679"/>
      <c r="BJ259" s="3826"/>
      <c r="BK259" s="3827"/>
      <c r="BL259" s="3828"/>
      <c r="BM259" s="3828"/>
      <c r="BN259" s="3829"/>
      <c r="BO259" s="3826"/>
      <c r="BP259" s="3827"/>
      <c r="BQ259" s="3828"/>
      <c r="BR259" s="3828"/>
      <c r="BS259" s="3829"/>
      <c r="BT259" s="3826"/>
      <c r="BU259" s="3828"/>
      <c r="BV259" s="3828"/>
      <c r="BW259" s="3828"/>
      <c r="BX259" s="3828"/>
      <c r="BY259" s="3826"/>
      <c r="BZ259" s="3828"/>
      <c r="CA259" s="3828"/>
      <c r="CB259" s="3828"/>
      <c r="CC259" s="3829"/>
      <c r="CD259" s="3830"/>
      <c r="CE259" s="3831">
        <v>43269</v>
      </c>
      <c r="CF259" s="3831">
        <v>43280</v>
      </c>
      <c r="CG259" s="3831">
        <v>43371</v>
      </c>
      <c r="CH259" s="3831">
        <v>43389</v>
      </c>
      <c r="CI259" s="3830"/>
      <c r="CJ259" s="3831"/>
      <c r="CK259" s="3831"/>
      <c r="CL259" s="3831"/>
      <c r="CM259" s="3831"/>
      <c r="CN259" s="4401">
        <f>CH259</f>
        <v>43389</v>
      </c>
      <c r="CO259" s="3831"/>
      <c r="CP259" s="3831"/>
      <c r="CQ259" s="3831"/>
      <c r="CR259" s="3831"/>
      <c r="CS259" s="4401">
        <f>CN259</f>
        <v>43389</v>
      </c>
      <c r="CT259" s="3831"/>
      <c r="CU259" s="3831"/>
      <c r="CV259" s="3831"/>
      <c r="CW259" s="3831"/>
      <c r="CX259" s="4401"/>
      <c r="CY259" s="3831"/>
      <c r="CZ259" s="3831"/>
      <c r="DA259" s="3831"/>
      <c r="DB259" s="3831"/>
      <c r="DC259" s="3832"/>
      <c r="DD259" s="3831"/>
      <c r="DE259" s="3831"/>
      <c r="DF259" s="3831"/>
      <c r="DG259" s="3831"/>
      <c r="DH259" s="3832"/>
      <c r="DI259" s="3831"/>
      <c r="DJ259" s="3831"/>
      <c r="DK259" s="3831"/>
      <c r="DL259" s="3831"/>
      <c r="DM259" s="3832"/>
      <c r="DN259" s="3831"/>
      <c r="DO259" s="3831"/>
      <c r="DP259" s="3831"/>
      <c r="DQ259" s="3831"/>
      <c r="DR259" s="3832"/>
      <c r="DS259" s="3831"/>
      <c r="DT259" s="3831"/>
      <c r="DU259" s="3831"/>
      <c r="DV259" s="3831"/>
      <c r="DW259" s="3832"/>
      <c r="DX259" s="3832"/>
      <c r="DY259" s="3832"/>
      <c r="DZ259" s="3832"/>
      <c r="EA259" s="3832"/>
      <c r="EC259" s="3671"/>
      <c r="ED259" s="3671"/>
    </row>
    <row r="260" spans="1:134" s="3670" customFormat="1" ht="11.25" hidden="1" customHeight="1" outlineLevel="1">
      <c r="A260" s="3723" t="s">
        <v>777</v>
      </c>
      <c r="B260" s="3672"/>
      <c r="C260" s="3672"/>
      <c r="D260" s="3672"/>
      <c r="E260" s="3673"/>
      <c r="F260" s="3672"/>
      <c r="G260" s="3672"/>
      <c r="H260" s="3674"/>
      <c r="I260" s="3673"/>
      <c r="J260" s="3675"/>
      <c r="K260" s="3674"/>
      <c r="L260" s="3674"/>
      <c r="M260" s="3673"/>
      <c r="N260" s="3675"/>
      <c r="O260" s="3674"/>
      <c r="P260" s="3674"/>
      <c r="Q260" s="3673"/>
      <c r="R260" s="3674"/>
      <c r="S260" s="3674"/>
      <c r="T260" s="3674"/>
      <c r="U260" s="3673"/>
      <c r="V260" s="3676"/>
      <c r="W260" s="531"/>
      <c r="X260" s="531"/>
      <c r="Y260" s="3673"/>
      <c r="Z260" s="531"/>
      <c r="AA260" s="531"/>
      <c r="AB260" s="531"/>
      <c r="AC260" s="3673"/>
      <c r="AD260" s="3676"/>
      <c r="AE260" s="531"/>
      <c r="AF260" s="531"/>
      <c r="AG260" s="3673"/>
      <c r="AH260" s="3676"/>
      <c r="AI260" s="531"/>
      <c r="AJ260" s="531"/>
      <c r="AK260" s="3673"/>
      <c r="AL260" s="3676"/>
      <c r="AM260" s="531"/>
      <c r="AN260" s="531"/>
      <c r="AO260" s="3673"/>
      <c r="AP260" s="3676"/>
      <c r="AQ260" s="3677"/>
      <c r="AR260" s="3677"/>
      <c r="AS260" s="3673"/>
      <c r="AT260" s="3678"/>
      <c r="AU260" s="3677"/>
      <c r="AV260" s="3677"/>
      <c r="AW260" s="3673"/>
      <c r="AX260" s="3678"/>
      <c r="AY260" s="3677"/>
      <c r="AZ260" s="3677"/>
      <c r="BA260" s="3673"/>
      <c r="BB260" s="3677"/>
      <c r="BC260" s="3677"/>
      <c r="BD260" s="3677"/>
      <c r="BE260" s="3673"/>
      <c r="BF260" s="3679"/>
      <c r="BG260" s="3679"/>
      <c r="BH260" s="3679"/>
      <c r="BI260" s="3679"/>
      <c r="BJ260" s="1001"/>
      <c r="BK260" s="43"/>
      <c r="BL260" s="42"/>
      <c r="BM260" s="42"/>
      <c r="BN260" s="3821"/>
      <c r="BO260" s="1001"/>
      <c r="BP260" s="43"/>
      <c r="BQ260" s="42"/>
      <c r="BR260" s="42"/>
      <c r="BS260" s="3821"/>
      <c r="BT260" s="1001"/>
      <c r="BU260" s="42"/>
      <c r="BV260" s="42"/>
      <c r="BW260" s="42"/>
      <c r="BX260" s="42"/>
      <c r="BY260" s="1001"/>
      <c r="BZ260" s="42"/>
      <c r="CA260" s="42"/>
      <c r="CB260" s="42"/>
      <c r="CC260" s="3821"/>
      <c r="CD260" s="1009"/>
      <c r="CE260" s="65">
        <v>27.106947999999999</v>
      </c>
      <c r="CF260" s="45">
        <f>CE260</f>
        <v>27.106947999999999</v>
      </c>
      <c r="CG260" s="42">
        <f>CF260</f>
        <v>27.106947999999999</v>
      </c>
      <c r="CH260" s="42">
        <f>CG260</f>
        <v>27.106947999999999</v>
      </c>
      <c r="CI260" s="1009"/>
      <c r="CJ260" s="42"/>
      <c r="CK260" s="42"/>
      <c r="CL260" s="42"/>
      <c r="CM260" s="42"/>
      <c r="CN260" s="4402">
        <f>CH260</f>
        <v>27.106947999999999</v>
      </c>
      <c r="CO260" s="42"/>
      <c r="CP260" s="42"/>
      <c r="CQ260" s="42"/>
      <c r="CR260" s="42"/>
      <c r="CS260" s="4402">
        <f>CN260</f>
        <v>27.106947999999999</v>
      </c>
      <c r="CT260" s="42"/>
      <c r="CU260" s="42"/>
      <c r="CV260" s="42"/>
      <c r="CW260" s="42"/>
      <c r="CX260" s="4402"/>
      <c r="CY260" s="42"/>
      <c r="CZ260" s="42"/>
      <c r="DA260" s="42"/>
      <c r="DB260" s="42"/>
      <c r="DC260" s="1009"/>
      <c r="DD260" s="42"/>
      <c r="DE260" s="42"/>
      <c r="DF260" s="42"/>
      <c r="DG260" s="42"/>
      <c r="DH260" s="1009"/>
      <c r="DI260" s="42"/>
      <c r="DJ260" s="42"/>
      <c r="DK260" s="42"/>
      <c r="DL260" s="42"/>
      <c r="DM260" s="1009"/>
      <c r="DN260" s="42"/>
      <c r="DO260" s="42"/>
      <c r="DP260" s="42"/>
      <c r="DQ260" s="42"/>
      <c r="DR260" s="1009"/>
      <c r="DS260" s="42"/>
      <c r="DT260" s="42"/>
      <c r="DU260" s="42"/>
      <c r="DV260" s="42"/>
      <c r="DW260" s="1009"/>
      <c r="DX260" s="1009"/>
      <c r="DY260" s="1009"/>
      <c r="DZ260" s="1009"/>
      <c r="EA260" s="1009"/>
      <c r="EC260" s="3671"/>
      <c r="ED260" s="3671"/>
    </row>
    <row r="261" spans="1:134" s="3670" customFormat="1" ht="11.25" hidden="1" customHeight="1" outlineLevel="1">
      <c r="A261" s="3723" t="s">
        <v>781</v>
      </c>
      <c r="B261" s="3672"/>
      <c r="C261" s="3672"/>
      <c r="D261" s="3672"/>
      <c r="E261" s="3673"/>
      <c r="F261" s="3672"/>
      <c r="G261" s="3672"/>
      <c r="H261" s="3674"/>
      <c r="I261" s="3673"/>
      <c r="J261" s="3675"/>
      <c r="K261" s="3674"/>
      <c r="L261" s="3674"/>
      <c r="M261" s="3673"/>
      <c r="N261" s="3675"/>
      <c r="O261" s="3674"/>
      <c r="P261" s="3674"/>
      <c r="Q261" s="3673"/>
      <c r="R261" s="3674"/>
      <c r="S261" s="3674"/>
      <c r="T261" s="3674"/>
      <c r="U261" s="3673"/>
      <c r="V261" s="3676"/>
      <c r="W261" s="531"/>
      <c r="X261" s="531"/>
      <c r="Y261" s="3673"/>
      <c r="Z261" s="531"/>
      <c r="AA261" s="531"/>
      <c r="AB261" s="531"/>
      <c r="AC261" s="3673"/>
      <c r="AD261" s="3676"/>
      <c r="AE261" s="531"/>
      <c r="AF261" s="531"/>
      <c r="AG261" s="3673"/>
      <c r="AH261" s="3676"/>
      <c r="AI261" s="531"/>
      <c r="AJ261" s="531"/>
      <c r="AK261" s="3673"/>
      <c r="AL261" s="3676"/>
      <c r="AM261" s="531"/>
      <c r="AN261" s="531"/>
      <c r="AO261" s="3673"/>
      <c r="AP261" s="3676"/>
      <c r="AQ261" s="3677"/>
      <c r="AR261" s="3677"/>
      <c r="AS261" s="3673"/>
      <c r="AT261" s="3678"/>
      <c r="AU261" s="3677"/>
      <c r="AV261" s="3677"/>
      <c r="AW261" s="3673"/>
      <c r="AX261" s="3678"/>
      <c r="AY261" s="3677"/>
      <c r="AZ261" s="3677"/>
      <c r="BA261" s="3673"/>
      <c r="BB261" s="3677"/>
      <c r="BC261" s="3677"/>
      <c r="BD261" s="3677"/>
      <c r="BE261" s="3673"/>
      <c r="BF261" s="3679"/>
      <c r="BG261" s="3679"/>
      <c r="BH261" s="3679"/>
      <c r="BI261" s="3679"/>
      <c r="BJ261" s="3816"/>
      <c r="BK261" s="118"/>
      <c r="BL261" s="119"/>
      <c r="BM261" s="119"/>
      <c r="BN261" s="3817"/>
      <c r="BO261" s="3816"/>
      <c r="BP261" s="118"/>
      <c r="BQ261" s="119"/>
      <c r="BR261" s="119"/>
      <c r="BS261" s="3817"/>
      <c r="BT261" s="3816"/>
      <c r="BU261" s="119"/>
      <c r="BV261" s="119"/>
      <c r="BW261" s="119"/>
      <c r="BX261" s="119"/>
      <c r="BY261" s="3816"/>
      <c r="BZ261" s="119"/>
      <c r="CA261" s="119"/>
      <c r="CB261" s="119"/>
      <c r="CC261" s="3817"/>
      <c r="CD261" s="1008"/>
      <c r="CE261" s="3818">
        <v>40.58</v>
      </c>
      <c r="CF261" s="3819">
        <v>38.950000000000003</v>
      </c>
      <c r="CG261" s="3819">
        <v>26.09</v>
      </c>
      <c r="CH261" s="3819">
        <v>24.63</v>
      </c>
      <c r="CI261" s="1008"/>
      <c r="CJ261" s="3819"/>
      <c r="CK261" s="3819"/>
      <c r="CL261" s="3819"/>
      <c r="CM261" s="3819"/>
      <c r="CN261" s="4403">
        <f>CH261</f>
        <v>24.63</v>
      </c>
      <c r="CO261" s="3819"/>
      <c r="CP261" s="3819"/>
      <c r="CQ261" s="3819"/>
      <c r="CR261" s="3819"/>
      <c r="CS261" s="4403">
        <f>CN261</f>
        <v>24.63</v>
      </c>
      <c r="CT261" s="3819"/>
      <c r="CU261" s="3819"/>
      <c r="CV261" s="3819"/>
      <c r="CW261" s="3819"/>
      <c r="CX261" s="4403"/>
      <c r="CY261" s="3819"/>
      <c r="CZ261" s="3819"/>
      <c r="DA261" s="3819"/>
      <c r="DB261" s="3819"/>
      <c r="DC261" s="1008"/>
      <c r="DD261" s="3819"/>
      <c r="DE261" s="3819"/>
      <c r="DF261" s="3819"/>
      <c r="DG261" s="3819"/>
      <c r="DH261" s="1008"/>
      <c r="DI261" s="3819"/>
      <c r="DJ261" s="3819"/>
      <c r="DK261" s="3819"/>
      <c r="DL261" s="3819"/>
      <c r="DM261" s="1008"/>
      <c r="DN261" s="3819"/>
      <c r="DO261" s="3819"/>
      <c r="DP261" s="3819"/>
      <c r="DQ261" s="3819"/>
      <c r="DR261" s="1008"/>
      <c r="DS261" s="3819"/>
      <c r="DT261" s="3819"/>
      <c r="DU261" s="3819"/>
      <c r="DV261" s="3819"/>
      <c r="DW261" s="1008"/>
      <c r="DX261" s="1008"/>
      <c r="DY261" s="1008"/>
      <c r="DZ261" s="1008"/>
      <c r="EA261" s="1008"/>
      <c r="EC261" s="3671"/>
      <c r="ED261" s="3671"/>
    </row>
    <row r="262" spans="1:134" s="3670" customFormat="1" ht="11.25" hidden="1" customHeight="1" outlineLevel="1">
      <c r="A262" s="3723" t="s">
        <v>780</v>
      </c>
      <c r="B262" s="3672"/>
      <c r="C262" s="3672"/>
      <c r="D262" s="3672"/>
      <c r="E262" s="3673"/>
      <c r="F262" s="3672"/>
      <c r="G262" s="3672"/>
      <c r="H262" s="3674"/>
      <c r="I262" s="3673"/>
      <c r="J262" s="3675"/>
      <c r="K262" s="3674"/>
      <c r="L262" s="3674"/>
      <c r="M262" s="3673"/>
      <c r="N262" s="3675"/>
      <c r="O262" s="3674"/>
      <c r="P262" s="3674"/>
      <c r="Q262" s="3673"/>
      <c r="R262" s="3674"/>
      <c r="S262" s="3674"/>
      <c r="T262" s="3674"/>
      <c r="U262" s="3673"/>
      <c r="V262" s="3676"/>
      <c r="W262" s="531"/>
      <c r="X262" s="531"/>
      <c r="Y262" s="3673"/>
      <c r="Z262" s="531"/>
      <c r="AA262" s="531"/>
      <c r="AB262" s="531"/>
      <c r="AC262" s="3673"/>
      <c r="AD262" s="3676"/>
      <c r="AE262" s="531"/>
      <c r="AF262" s="531"/>
      <c r="AG262" s="3673"/>
      <c r="AH262" s="3676"/>
      <c r="AI262" s="531"/>
      <c r="AJ262" s="531"/>
      <c r="AK262" s="3673"/>
      <c r="AL262" s="3676"/>
      <c r="AM262" s="531"/>
      <c r="AN262" s="531"/>
      <c r="AO262" s="3673"/>
      <c r="AP262" s="3676"/>
      <c r="AQ262" s="3677"/>
      <c r="AR262" s="3677"/>
      <c r="AS262" s="3673"/>
      <c r="AT262" s="3678"/>
      <c r="AU262" s="3677"/>
      <c r="AV262" s="3677"/>
      <c r="AW262" s="3673"/>
      <c r="AX262" s="3678"/>
      <c r="AY262" s="3677"/>
      <c r="AZ262" s="3677"/>
      <c r="BA262" s="3673"/>
      <c r="BB262" s="3677"/>
      <c r="BC262" s="3677"/>
      <c r="BD262" s="3677"/>
      <c r="BE262" s="3673"/>
      <c r="BF262" s="3679"/>
      <c r="BG262" s="3679"/>
      <c r="BH262" s="3679"/>
      <c r="BI262" s="3679"/>
      <c r="BJ262" s="3816"/>
      <c r="BK262" s="118"/>
      <c r="BL262" s="119"/>
      <c r="BM262" s="119"/>
      <c r="BN262" s="3817"/>
      <c r="BO262" s="3816"/>
      <c r="BP262" s="118"/>
      <c r="BQ262" s="119"/>
      <c r="BR262" s="119"/>
      <c r="BS262" s="3817"/>
      <c r="BT262" s="3816"/>
      <c r="BU262" s="119"/>
      <c r="BV262" s="119"/>
      <c r="BW262" s="119"/>
      <c r="BX262" s="119"/>
      <c r="BY262" s="3816"/>
      <c r="BZ262" s="119"/>
      <c r="CA262" s="119"/>
      <c r="CB262" s="119"/>
      <c r="CC262" s="3817"/>
      <c r="CD262" s="1008"/>
      <c r="CE262" s="119">
        <f>CE260*CE261/2</f>
        <v>549.99997492</v>
      </c>
      <c r="CF262" s="119">
        <f t="shared" ref="CF262:CN262" si="804">CF260*CF261/2</f>
        <v>527.90781230000005</v>
      </c>
      <c r="CG262" s="119">
        <f t="shared" si="804"/>
        <v>353.61013665999997</v>
      </c>
      <c r="CH262" s="119">
        <f t="shared" si="804"/>
        <v>333.82206461999999</v>
      </c>
      <c r="CI262" s="1008"/>
      <c r="CJ262" s="119"/>
      <c r="CK262" s="119"/>
      <c r="CL262" s="119"/>
      <c r="CM262" s="119"/>
      <c r="CN262" s="4403">
        <f t="shared" si="804"/>
        <v>333.82206461999999</v>
      </c>
      <c r="CO262" s="119"/>
      <c r="CP262" s="119"/>
      <c r="CQ262" s="119"/>
      <c r="CR262" s="119"/>
      <c r="CS262" s="4403">
        <f>CS260*CS261/2</f>
        <v>333.82206461999999</v>
      </c>
      <c r="CT262" s="119"/>
      <c r="CU262" s="119"/>
      <c r="CV262" s="119"/>
      <c r="CW262" s="119"/>
      <c r="CX262" s="4403"/>
      <c r="CY262" s="119"/>
      <c r="CZ262" s="119"/>
      <c r="DA262" s="119"/>
      <c r="DB262" s="119"/>
      <c r="DC262" s="1008"/>
      <c r="DD262" s="119"/>
      <c r="DE262" s="119"/>
      <c r="DF262" s="119"/>
      <c r="DG262" s="119"/>
      <c r="DH262" s="1008"/>
      <c r="DI262" s="119"/>
      <c r="DJ262" s="119"/>
      <c r="DK262" s="119"/>
      <c r="DL262" s="119"/>
      <c r="DM262" s="1008"/>
      <c r="DN262" s="119"/>
      <c r="DO262" s="119"/>
      <c r="DP262" s="119"/>
      <c r="DQ262" s="119"/>
      <c r="DR262" s="1008"/>
      <c r="DS262" s="119"/>
      <c r="DT262" s="119"/>
      <c r="DU262" s="119"/>
      <c r="DV262" s="119"/>
      <c r="DW262" s="1008"/>
      <c r="DX262" s="1008"/>
      <c r="DY262" s="1008"/>
      <c r="DZ262" s="1008"/>
      <c r="EA262" s="1008"/>
      <c r="EC262" s="3671"/>
      <c r="ED262" s="3671"/>
    </row>
    <row r="263" spans="1:134" s="3670" customFormat="1" ht="11.25" hidden="1" customHeight="1" outlineLevel="1">
      <c r="A263" s="3822" t="s">
        <v>778</v>
      </c>
      <c r="B263" s="3685"/>
      <c r="C263" s="3685"/>
      <c r="D263" s="3685"/>
      <c r="E263" s="3686"/>
      <c r="F263" s="3685"/>
      <c r="G263" s="3685"/>
      <c r="H263" s="3687"/>
      <c r="I263" s="3686"/>
      <c r="J263" s="2846"/>
      <c r="K263" s="3687"/>
      <c r="L263" s="3687"/>
      <c r="M263" s="3686"/>
      <c r="N263" s="2846"/>
      <c r="O263" s="3687"/>
      <c r="P263" s="3687"/>
      <c r="Q263" s="3686"/>
      <c r="R263" s="3687"/>
      <c r="S263" s="3687"/>
      <c r="T263" s="3687"/>
      <c r="U263" s="3686"/>
      <c r="V263" s="2850"/>
      <c r="W263" s="3688"/>
      <c r="X263" s="3688"/>
      <c r="Y263" s="3686"/>
      <c r="Z263" s="3688"/>
      <c r="AA263" s="3688"/>
      <c r="AB263" s="3688"/>
      <c r="AC263" s="3686"/>
      <c r="AD263" s="2850"/>
      <c r="AE263" s="3688"/>
      <c r="AF263" s="3688"/>
      <c r="AG263" s="3686"/>
      <c r="AH263" s="2850"/>
      <c r="AI263" s="3688"/>
      <c r="AJ263" s="3688"/>
      <c r="AK263" s="3686"/>
      <c r="AL263" s="2850"/>
      <c r="AM263" s="3688"/>
      <c r="AN263" s="3688"/>
      <c r="AO263" s="3686"/>
      <c r="AP263" s="2850"/>
      <c r="AQ263" s="3689"/>
      <c r="AR263" s="3689"/>
      <c r="AS263" s="3686"/>
      <c r="AT263" s="3690"/>
      <c r="AU263" s="3689"/>
      <c r="AV263" s="3689"/>
      <c r="AW263" s="3686"/>
      <c r="AX263" s="3690"/>
      <c r="AY263" s="3689"/>
      <c r="AZ263" s="3689"/>
      <c r="BA263" s="3686"/>
      <c r="BB263" s="3689"/>
      <c r="BC263" s="3689"/>
      <c r="BD263" s="3689"/>
      <c r="BE263" s="3686"/>
      <c r="BF263" s="3691"/>
      <c r="BG263" s="3691"/>
      <c r="BH263" s="3691"/>
      <c r="BI263" s="3691"/>
      <c r="BJ263" s="1874"/>
      <c r="BK263" s="3688"/>
      <c r="BL263" s="3689"/>
      <c r="BM263" s="3689"/>
      <c r="BN263" s="3823"/>
      <c r="BO263" s="1874"/>
      <c r="BP263" s="3688"/>
      <c r="BQ263" s="3689"/>
      <c r="BR263" s="3689"/>
      <c r="BS263" s="3823"/>
      <c r="BT263" s="1874"/>
      <c r="BU263" s="3689"/>
      <c r="BV263" s="3689"/>
      <c r="BW263" s="3689"/>
      <c r="BX263" s="3689"/>
      <c r="BY263" s="1874"/>
      <c r="BZ263" s="3689"/>
      <c r="CA263" s="3689"/>
      <c r="CB263" s="3689"/>
      <c r="CC263" s="3823"/>
      <c r="CD263" s="3824"/>
      <c r="CE263" s="3689"/>
      <c r="CF263" s="3689">
        <f>CF262-CE262</f>
        <v>-22.092162619999954</v>
      </c>
      <c r="CG263" s="3689">
        <f>CG262-CF262</f>
        <v>-174.29767564000008</v>
      </c>
      <c r="CH263" s="3689">
        <f>CH262-CG262</f>
        <v>-19.788072039999975</v>
      </c>
      <c r="CI263" s="3824"/>
      <c r="CJ263" s="2695"/>
      <c r="CK263" s="2695"/>
      <c r="CL263" s="2695"/>
      <c r="CM263" s="2695"/>
      <c r="CN263" s="4404">
        <f>CN262-CH262</f>
        <v>0</v>
      </c>
      <c r="CO263" s="2695"/>
      <c r="CP263" s="2695"/>
      <c r="CQ263" s="2695"/>
      <c r="CR263" s="2695"/>
      <c r="CS263" s="4404">
        <f>CS262-CN262</f>
        <v>0</v>
      </c>
      <c r="CT263" s="2695"/>
      <c r="CU263" s="2695"/>
      <c r="CV263" s="2695"/>
      <c r="CW263" s="2695"/>
      <c r="CX263" s="4404"/>
      <c r="CY263" s="2695"/>
      <c r="CZ263" s="2695"/>
      <c r="DA263" s="2695"/>
      <c r="DB263" s="2695"/>
      <c r="DC263" s="3824"/>
      <c r="DD263" s="2695"/>
      <c r="DE263" s="2695"/>
      <c r="DF263" s="2695"/>
      <c r="DG263" s="2695"/>
      <c r="DH263" s="3824"/>
      <c r="DI263" s="2695"/>
      <c r="DJ263" s="2695"/>
      <c r="DK263" s="2695"/>
      <c r="DL263" s="2695"/>
      <c r="DM263" s="3824"/>
      <c r="DN263" s="2695"/>
      <c r="DO263" s="2695"/>
      <c r="DP263" s="2695"/>
      <c r="DQ263" s="2695"/>
      <c r="DR263" s="3824"/>
      <c r="DS263" s="2695"/>
      <c r="DT263" s="2695"/>
      <c r="DU263" s="2695"/>
      <c r="DV263" s="2695"/>
      <c r="DW263" s="3824"/>
      <c r="DX263" s="3824"/>
      <c r="DY263" s="3824"/>
      <c r="DZ263" s="3824"/>
      <c r="EA263" s="3824"/>
      <c r="EC263" s="3671"/>
      <c r="ED263" s="3671"/>
    </row>
    <row r="264" spans="1:134" s="3670" customFormat="1" ht="11.25" hidden="1" customHeight="1" outlineLevel="1">
      <c r="A264" s="3825" t="s">
        <v>779</v>
      </c>
      <c r="B264" s="3672"/>
      <c r="C264" s="3672"/>
      <c r="D264" s="3672"/>
      <c r="E264" s="3673"/>
      <c r="F264" s="3672"/>
      <c r="G264" s="3672"/>
      <c r="H264" s="3674"/>
      <c r="I264" s="3673"/>
      <c r="J264" s="3675"/>
      <c r="K264" s="3674"/>
      <c r="L264" s="3674"/>
      <c r="M264" s="3673"/>
      <c r="N264" s="3675"/>
      <c r="O264" s="3674"/>
      <c r="P264" s="3674"/>
      <c r="Q264" s="3673"/>
      <c r="R264" s="3674"/>
      <c r="S264" s="3674"/>
      <c r="T264" s="3674"/>
      <c r="U264" s="3673"/>
      <c r="V264" s="3676"/>
      <c r="W264" s="531"/>
      <c r="X264" s="531"/>
      <c r="Y264" s="3673"/>
      <c r="Z264" s="531"/>
      <c r="AA264" s="531"/>
      <c r="AB264" s="531"/>
      <c r="AC264" s="3673"/>
      <c r="AD264" s="3676"/>
      <c r="AE264" s="531"/>
      <c r="AF264" s="531"/>
      <c r="AG264" s="3673"/>
      <c r="AH264" s="3676"/>
      <c r="AI264" s="531"/>
      <c r="AJ264" s="531"/>
      <c r="AK264" s="3673"/>
      <c r="AL264" s="3676"/>
      <c r="AM264" s="531"/>
      <c r="AN264" s="531"/>
      <c r="AO264" s="3673"/>
      <c r="AP264" s="3676"/>
      <c r="AQ264" s="3677"/>
      <c r="AR264" s="3677"/>
      <c r="AS264" s="3673"/>
      <c r="AT264" s="3678"/>
      <c r="AU264" s="3677"/>
      <c r="AV264" s="3677"/>
      <c r="AW264" s="3673"/>
      <c r="AX264" s="3678"/>
      <c r="AY264" s="3677"/>
      <c r="AZ264" s="3677"/>
      <c r="BA264" s="3673"/>
      <c r="BB264" s="3677"/>
      <c r="BC264" s="3677"/>
      <c r="BD264" s="3677"/>
      <c r="BE264" s="3673"/>
      <c r="BF264" s="3679"/>
      <c r="BG264" s="3679"/>
      <c r="BH264" s="3679"/>
      <c r="BI264" s="3679"/>
      <c r="BJ264" s="3816"/>
      <c r="BK264" s="118"/>
      <c r="BL264" s="119"/>
      <c r="BM264" s="119"/>
      <c r="BN264" s="3817"/>
      <c r="BO264" s="3816"/>
      <c r="BP264" s="118"/>
      <c r="BQ264" s="119"/>
      <c r="BR264" s="119"/>
      <c r="BS264" s="3817"/>
      <c r="BT264" s="3816"/>
      <c r="BU264" s="119"/>
      <c r="BV264" s="119"/>
      <c r="BW264" s="119"/>
      <c r="BX264" s="119"/>
      <c r="BY264" s="3816"/>
      <c r="BZ264" s="119"/>
      <c r="CA264" s="119"/>
      <c r="CB264" s="119"/>
      <c r="CC264" s="3817"/>
      <c r="CD264" s="1008"/>
      <c r="CE264" s="119"/>
      <c r="CF264" s="119">
        <f>CF263/IS!DD38</f>
        <v>-1.570725692395414E-3</v>
      </c>
      <c r="CG264" s="119">
        <f>CG263/IS!DE38</f>
        <v>-1.2381576113966012E-2</v>
      </c>
      <c r="CH264" s="119">
        <f>CH263/IS!DF38</f>
        <v>-1.4116207927247703E-3</v>
      </c>
      <c r="CI264" s="1008"/>
      <c r="CJ264" s="119"/>
      <c r="CK264" s="119"/>
      <c r="CL264" s="119"/>
      <c r="CM264" s="119"/>
      <c r="CN264" s="4403">
        <f>CN263/IS!DL38</f>
        <v>0</v>
      </c>
      <c r="CO264" s="119"/>
      <c r="CP264" s="119"/>
      <c r="CQ264" s="119"/>
      <c r="CR264" s="119"/>
      <c r="CS264" s="4403">
        <f>CS263/IS!DQ38</f>
        <v>0</v>
      </c>
      <c r="CT264" s="119"/>
      <c r="CU264" s="119"/>
      <c r="CV264" s="119"/>
      <c r="CW264" s="119"/>
      <c r="CX264" s="4403"/>
      <c r="CY264" s="119"/>
      <c r="CZ264" s="119"/>
      <c r="DA264" s="119"/>
      <c r="DB264" s="119"/>
      <c r="DC264" s="1008"/>
      <c r="DD264" s="119"/>
      <c r="DE264" s="119"/>
      <c r="DF264" s="119"/>
      <c r="DG264" s="119"/>
      <c r="DH264" s="1008"/>
      <c r="DI264" s="119"/>
      <c r="DJ264" s="119"/>
      <c r="DK264" s="119"/>
      <c r="DL264" s="119"/>
      <c r="DM264" s="1008"/>
      <c r="DN264" s="119"/>
      <c r="DO264" s="119"/>
      <c r="DP264" s="119"/>
      <c r="DQ264" s="119"/>
      <c r="DR264" s="1008"/>
      <c r="DS264" s="119"/>
      <c r="DT264" s="119"/>
      <c r="DU264" s="119"/>
      <c r="DV264" s="119"/>
      <c r="DW264" s="1008"/>
      <c r="DX264" s="1008"/>
      <c r="DY264" s="1008"/>
      <c r="DZ264" s="1008"/>
      <c r="EA264" s="1008"/>
      <c r="EC264" s="3671"/>
      <c r="ED264" s="3671"/>
    </row>
    <row r="265" spans="1:134" s="3670" customFormat="1" ht="11.25" hidden="1" customHeight="1" outlineLevel="1">
      <c r="A265" s="3721"/>
      <c r="B265" s="3672"/>
      <c r="C265" s="3672"/>
      <c r="D265" s="3672"/>
      <c r="E265" s="3673"/>
      <c r="F265" s="3672"/>
      <c r="G265" s="3672"/>
      <c r="H265" s="3674"/>
      <c r="I265" s="3673"/>
      <c r="J265" s="3675"/>
      <c r="K265" s="3674"/>
      <c r="L265" s="3674"/>
      <c r="M265" s="3673"/>
      <c r="N265" s="3675"/>
      <c r="O265" s="3674"/>
      <c r="P265" s="3674"/>
      <c r="Q265" s="3673"/>
      <c r="R265" s="3674"/>
      <c r="S265" s="3674"/>
      <c r="T265" s="3674"/>
      <c r="U265" s="3673"/>
      <c r="V265" s="3676"/>
      <c r="W265" s="531"/>
      <c r="X265" s="531"/>
      <c r="Y265" s="3673"/>
      <c r="Z265" s="531"/>
      <c r="AA265" s="531"/>
      <c r="AB265" s="531"/>
      <c r="AC265" s="3673"/>
      <c r="AD265" s="3676"/>
      <c r="AE265" s="531"/>
      <c r="AF265" s="531"/>
      <c r="AG265" s="3673"/>
      <c r="AH265" s="3676"/>
      <c r="AI265" s="531"/>
      <c r="AJ265" s="531"/>
      <c r="AK265" s="3673"/>
      <c r="AL265" s="3676"/>
      <c r="AM265" s="531"/>
      <c r="AN265" s="531"/>
      <c r="AO265" s="3673"/>
      <c r="AP265" s="3676"/>
      <c r="AQ265" s="3677"/>
      <c r="AR265" s="3677"/>
      <c r="AS265" s="3673"/>
      <c r="AT265" s="3678"/>
      <c r="AU265" s="3677"/>
      <c r="AV265" s="3677"/>
      <c r="AW265" s="3673"/>
      <c r="AX265" s="3678"/>
      <c r="AY265" s="3677"/>
      <c r="AZ265" s="3677"/>
      <c r="BA265" s="3673"/>
      <c r="BB265" s="3677"/>
      <c r="BC265" s="3677"/>
      <c r="BD265" s="3677"/>
      <c r="BE265" s="3673"/>
      <c r="BF265" s="3679"/>
      <c r="BG265" s="3679"/>
      <c r="BH265" s="3679"/>
      <c r="BI265" s="3679"/>
      <c r="BJ265" s="3680"/>
      <c r="BK265" s="3681"/>
      <c r="BL265" s="3679"/>
      <c r="BM265" s="3679"/>
      <c r="BN265" s="3673"/>
      <c r="BO265" s="3680"/>
      <c r="BP265" s="3681"/>
      <c r="BQ265" s="3679"/>
      <c r="BR265" s="3679"/>
      <c r="BS265" s="3673"/>
      <c r="BT265" s="3680"/>
      <c r="BU265" s="3679"/>
      <c r="BV265" s="3679"/>
      <c r="BW265" s="3679"/>
      <c r="BX265" s="3679"/>
      <c r="BY265" s="3680"/>
      <c r="BZ265" s="3679"/>
      <c r="CA265" s="3679"/>
      <c r="CB265" s="3679"/>
      <c r="CC265" s="3673"/>
      <c r="CD265" s="3682"/>
      <c r="CE265" s="3815"/>
      <c r="CF265" s="3815"/>
      <c r="CG265" s="3679"/>
      <c r="CH265" s="3679"/>
      <c r="CI265" s="3682"/>
      <c r="CJ265" s="3679"/>
      <c r="CK265" s="3679"/>
      <c r="CL265" s="3679"/>
      <c r="CM265" s="3679"/>
      <c r="CN265" s="4399"/>
      <c r="CO265" s="3679"/>
      <c r="CP265" s="3679"/>
      <c r="CQ265" s="3679"/>
      <c r="CR265" s="3679"/>
      <c r="CS265" s="4399"/>
      <c r="CT265" s="3679"/>
      <c r="CU265" s="3679"/>
      <c r="CV265" s="3679"/>
      <c r="CW265" s="3679"/>
      <c r="CX265" s="4399"/>
      <c r="CY265" s="3679"/>
      <c r="CZ265" s="3679"/>
      <c r="DA265" s="3679"/>
      <c r="DB265" s="3679"/>
      <c r="DC265" s="3682"/>
      <c r="DD265" s="3679"/>
      <c r="DE265" s="3679"/>
      <c r="DF265" s="3679"/>
      <c r="DG265" s="3679"/>
      <c r="DH265" s="3682"/>
      <c r="DI265" s="3679"/>
      <c r="DJ265" s="3679"/>
      <c r="DK265" s="3679"/>
      <c r="DL265" s="3679"/>
      <c r="DM265" s="3682"/>
      <c r="DN265" s="3679"/>
      <c r="DO265" s="3679"/>
      <c r="DP265" s="3679"/>
      <c r="DQ265" s="3679"/>
      <c r="DR265" s="3682"/>
      <c r="DS265" s="3679"/>
      <c r="DT265" s="3679"/>
      <c r="DU265" s="3679"/>
      <c r="DV265" s="3679"/>
      <c r="DW265" s="3682"/>
      <c r="DX265" s="3682"/>
      <c r="DY265" s="3682"/>
      <c r="DZ265" s="3682"/>
      <c r="EA265" s="3682"/>
      <c r="EC265" s="3671"/>
      <c r="ED265" s="3671"/>
    </row>
    <row r="266" spans="1:134" s="45" customFormat="1" ht="11.25" hidden="1" customHeight="1" outlineLevel="1">
      <c r="A266" s="3722" t="s">
        <v>790</v>
      </c>
      <c r="B266" s="36"/>
      <c r="C266" s="36"/>
      <c r="D266" s="36"/>
      <c r="E266" s="3668"/>
      <c r="F266" s="36"/>
      <c r="G266" s="36"/>
      <c r="H266" s="37"/>
      <c r="I266" s="3668"/>
      <c r="J266" s="3662"/>
      <c r="K266" s="37"/>
      <c r="L266" s="37"/>
      <c r="M266" s="3668"/>
      <c r="N266" s="3662"/>
      <c r="O266" s="37"/>
      <c r="P266" s="37"/>
      <c r="Q266" s="3668"/>
      <c r="R266" s="37"/>
      <c r="S266" s="37"/>
      <c r="T266" s="37"/>
      <c r="U266" s="3668"/>
      <c r="V266" s="3666"/>
      <c r="W266" s="43"/>
      <c r="X266" s="43"/>
      <c r="Y266" s="3668"/>
      <c r="Z266" s="43"/>
      <c r="AA266" s="43"/>
      <c r="AB266" s="43"/>
      <c r="AC266" s="3668"/>
      <c r="AD266" s="3666"/>
      <c r="AE266" s="43"/>
      <c r="AF266" s="43"/>
      <c r="AG266" s="3668"/>
      <c r="AH266" s="3666"/>
      <c r="AI266" s="43"/>
      <c r="AJ266" s="43"/>
      <c r="AK266" s="3668"/>
      <c r="AL266" s="3666"/>
      <c r="AM266" s="43"/>
      <c r="AN266" s="43"/>
      <c r="AO266" s="3668"/>
      <c r="AP266" s="3666"/>
      <c r="AQ266" s="42"/>
      <c r="AR266" s="42"/>
      <c r="AS266" s="3668"/>
      <c r="AT266" s="2879"/>
      <c r="AU266" s="42"/>
      <c r="AV266" s="42"/>
      <c r="AW266" s="3668"/>
      <c r="AX266" s="2879"/>
      <c r="AY266" s="42"/>
      <c r="AZ266" s="42"/>
      <c r="BA266" s="3668"/>
      <c r="BB266" s="42"/>
      <c r="BC266" s="42"/>
      <c r="BD266" s="42"/>
      <c r="BE266" s="3668"/>
      <c r="BF266" s="226"/>
      <c r="BG266" s="226"/>
      <c r="BH266" s="226"/>
      <c r="BI266" s="226"/>
      <c r="BJ266" s="1255"/>
      <c r="BK266" s="537"/>
      <c r="BL266" s="226"/>
      <c r="BM266" s="226"/>
      <c r="BN266" s="3668"/>
      <c r="BO266" s="1255"/>
      <c r="BP266" s="537"/>
      <c r="BQ266" s="226"/>
      <c r="BR266" s="226"/>
      <c r="BS266" s="3668"/>
      <c r="BT266" s="1255"/>
      <c r="BU266" s="226"/>
      <c r="BV266" s="226"/>
      <c r="BW266" s="226"/>
      <c r="BX266" s="226"/>
      <c r="BY266" s="1255"/>
      <c r="BZ266" s="226"/>
      <c r="CA266" s="226"/>
      <c r="CB266" s="226"/>
      <c r="CC266" s="3668"/>
      <c r="CD266" s="1254"/>
      <c r="CE266" s="656">
        <v>387</v>
      </c>
      <c r="CF266" s="656">
        <v>515</v>
      </c>
      <c r="CG266" s="226"/>
      <c r="CH266" s="226"/>
      <c r="CI266" s="1254"/>
      <c r="CJ266" s="226"/>
      <c r="CK266" s="226"/>
      <c r="CL266" s="226"/>
      <c r="CM266" s="226"/>
      <c r="CN266" s="4390"/>
      <c r="CO266" s="226"/>
      <c r="CP266" s="226"/>
      <c r="CQ266" s="226"/>
      <c r="CR266" s="226"/>
      <c r="CS266" s="4390"/>
      <c r="CT266" s="226"/>
      <c r="CU266" s="226"/>
      <c r="CV266" s="226"/>
      <c r="CW266" s="226"/>
      <c r="CX266" s="4390"/>
      <c r="CY266" s="226"/>
      <c r="CZ266" s="226"/>
      <c r="DA266" s="226"/>
      <c r="DB266" s="226"/>
      <c r="DC266" s="1254"/>
      <c r="DD266" s="226"/>
      <c r="DE266" s="226"/>
      <c r="DF266" s="226"/>
      <c r="DG266" s="226"/>
      <c r="DH266" s="1254"/>
      <c r="DI266" s="226"/>
      <c r="DJ266" s="226"/>
      <c r="DK266" s="226"/>
      <c r="DL266" s="226"/>
      <c r="DM266" s="1254"/>
      <c r="DN266" s="226"/>
      <c r="DO266" s="226"/>
      <c r="DP266" s="226"/>
      <c r="DQ266" s="226"/>
      <c r="DR266" s="1254"/>
      <c r="DS266" s="226"/>
      <c r="DT266" s="226"/>
      <c r="DU266" s="226"/>
      <c r="DV266" s="226"/>
      <c r="DW266" s="1254"/>
      <c r="DX266" s="1254"/>
      <c r="DY266" s="1254"/>
      <c r="DZ266" s="1254"/>
      <c r="EA266" s="1254"/>
      <c r="EC266" s="755"/>
      <c r="ED266" s="755"/>
    </row>
    <row r="267" spans="1:134" s="45" customFormat="1" ht="11.25" hidden="1" customHeight="1" outlineLevel="1">
      <c r="A267" s="3722" t="s">
        <v>791</v>
      </c>
      <c r="B267" s="36"/>
      <c r="C267" s="36"/>
      <c r="D267" s="36"/>
      <c r="E267" s="3668"/>
      <c r="F267" s="36"/>
      <c r="G267" s="36"/>
      <c r="H267" s="37"/>
      <c r="I267" s="3668"/>
      <c r="J267" s="3662"/>
      <c r="K267" s="37"/>
      <c r="L267" s="37"/>
      <c r="M267" s="3668"/>
      <c r="N267" s="3662"/>
      <c r="O267" s="37"/>
      <c r="P267" s="37"/>
      <c r="Q267" s="3668"/>
      <c r="R267" s="37"/>
      <c r="S267" s="37"/>
      <c r="T267" s="37"/>
      <c r="U267" s="3668"/>
      <c r="V267" s="3666"/>
      <c r="W267" s="43"/>
      <c r="X267" s="43"/>
      <c r="Y267" s="3668"/>
      <c r="Z267" s="43"/>
      <c r="AA267" s="43"/>
      <c r="AB267" s="43"/>
      <c r="AC267" s="3668"/>
      <c r="AD267" s="3666"/>
      <c r="AE267" s="43"/>
      <c r="AF267" s="43"/>
      <c r="AG267" s="3668"/>
      <c r="AH267" s="3666"/>
      <c r="AI267" s="43"/>
      <c r="AJ267" s="43"/>
      <c r="AK267" s="3668"/>
      <c r="AL267" s="3666"/>
      <c r="AM267" s="43"/>
      <c r="AN267" s="43"/>
      <c r="AO267" s="3668"/>
      <c r="AP267" s="3666"/>
      <c r="AQ267" s="42"/>
      <c r="AR267" s="42"/>
      <c r="AS267" s="3668"/>
      <c r="AT267" s="2879"/>
      <c r="AU267" s="42"/>
      <c r="AV267" s="42"/>
      <c r="AW267" s="3668"/>
      <c r="AX267" s="2879"/>
      <c r="AY267" s="42"/>
      <c r="AZ267" s="42"/>
      <c r="BA267" s="3668"/>
      <c r="BB267" s="42"/>
      <c r="BC267" s="42"/>
      <c r="BD267" s="42"/>
      <c r="BE267" s="3668"/>
      <c r="BF267" s="226"/>
      <c r="BG267" s="226"/>
      <c r="BH267" s="226"/>
      <c r="BI267" s="226"/>
      <c r="BJ267" s="1255"/>
      <c r="BK267" s="537"/>
      <c r="BL267" s="226"/>
      <c r="BM267" s="226"/>
      <c r="BN267" s="3668"/>
      <c r="BO267" s="1255"/>
      <c r="BP267" s="537"/>
      <c r="BQ267" s="226"/>
      <c r="BR267" s="226"/>
      <c r="BS267" s="3668"/>
      <c r="BT267" s="1255"/>
      <c r="BU267" s="226"/>
      <c r="BV267" s="226"/>
      <c r="BW267" s="226"/>
      <c r="BX267" s="226"/>
      <c r="BY267" s="1255"/>
      <c r="BZ267" s="226"/>
      <c r="CA267" s="226"/>
      <c r="CB267" s="226"/>
      <c r="CC267" s="3668"/>
      <c r="CD267" s="1254"/>
      <c r="CE267" s="656">
        <v>2644</v>
      </c>
      <c r="CF267" s="656">
        <v>547</v>
      </c>
      <c r="CG267" s="226"/>
      <c r="CH267" s="226"/>
      <c r="CI267" s="1254"/>
      <c r="CJ267" s="226"/>
      <c r="CK267" s="226"/>
      <c r="CL267" s="226"/>
      <c r="CM267" s="226"/>
      <c r="CN267" s="4390"/>
      <c r="CO267" s="226"/>
      <c r="CP267" s="226"/>
      <c r="CQ267" s="226"/>
      <c r="CR267" s="226"/>
      <c r="CS267" s="4390"/>
      <c r="CT267" s="226"/>
      <c r="CU267" s="226"/>
      <c r="CV267" s="226"/>
      <c r="CW267" s="226"/>
      <c r="CX267" s="4390"/>
      <c r="CY267" s="226"/>
      <c r="CZ267" s="226"/>
      <c r="DA267" s="226"/>
      <c r="DB267" s="226"/>
      <c r="DC267" s="1254"/>
      <c r="DD267" s="226"/>
      <c r="DE267" s="226"/>
      <c r="DF267" s="226"/>
      <c r="DG267" s="226"/>
      <c r="DH267" s="1254"/>
      <c r="DI267" s="226"/>
      <c r="DJ267" s="226"/>
      <c r="DK267" s="226"/>
      <c r="DL267" s="226"/>
      <c r="DM267" s="1254"/>
      <c r="DN267" s="226"/>
      <c r="DO267" s="226"/>
      <c r="DP267" s="226"/>
      <c r="DQ267" s="226"/>
      <c r="DR267" s="1254"/>
      <c r="DS267" s="226"/>
      <c r="DT267" s="226"/>
      <c r="DU267" s="226"/>
      <c r="DV267" s="226"/>
      <c r="DW267" s="1254"/>
      <c r="DX267" s="1254"/>
      <c r="DY267" s="1254"/>
      <c r="DZ267" s="1254"/>
      <c r="EA267" s="1254"/>
      <c r="EC267" s="755"/>
      <c r="ED267" s="755"/>
    </row>
    <row r="268" spans="1:134" s="45" customFormat="1" ht="11.25" hidden="1" customHeight="1" outlineLevel="1">
      <c r="A268" s="3899" t="s">
        <v>792</v>
      </c>
      <c r="B268" s="3900"/>
      <c r="C268" s="3900"/>
      <c r="D268" s="3900"/>
      <c r="E268" s="3901"/>
      <c r="F268" s="3900"/>
      <c r="G268" s="3900"/>
      <c r="H268" s="3902"/>
      <c r="I268" s="3901"/>
      <c r="J268" s="3903"/>
      <c r="K268" s="3902"/>
      <c r="L268" s="3902"/>
      <c r="M268" s="3901"/>
      <c r="N268" s="3903"/>
      <c r="O268" s="3902"/>
      <c r="P268" s="3902"/>
      <c r="Q268" s="3901"/>
      <c r="R268" s="3902"/>
      <c r="S268" s="3902"/>
      <c r="T268" s="3902"/>
      <c r="U268" s="3901"/>
      <c r="V268" s="3904"/>
      <c r="W268" s="3905"/>
      <c r="X268" s="3905"/>
      <c r="Y268" s="3901"/>
      <c r="Z268" s="3905"/>
      <c r="AA268" s="3905"/>
      <c r="AB268" s="3905"/>
      <c r="AC268" s="3901"/>
      <c r="AD268" s="3904"/>
      <c r="AE268" s="3905"/>
      <c r="AF268" s="3905"/>
      <c r="AG268" s="3901"/>
      <c r="AH268" s="3904"/>
      <c r="AI268" s="3905"/>
      <c r="AJ268" s="3905"/>
      <c r="AK268" s="3901"/>
      <c r="AL268" s="3904"/>
      <c r="AM268" s="3905"/>
      <c r="AN268" s="3905"/>
      <c r="AO268" s="3901"/>
      <c r="AP268" s="3904"/>
      <c r="AQ268" s="3905"/>
      <c r="AR268" s="3905"/>
      <c r="AS268" s="3901"/>
      <c r="AT268" s="3904"/>
      <c r="AU268" s="3905"/>
      <c r="AV268" s="3905"/>
      <c r="AW268" s="3901"/>
      <c r="AX268" s="3904"/>
      <c r="AY268" s="3905"/>
      <c r="AZ268" s="3905"/>
      <c r="BA268" s="3901"/>
      <c r="BB268" s="3905"/>
      <c r="BC268" s="3905"/>
      <c r="BD268" s="3905"/>
      <c r="BE268" s="3901"/>
      <c r="BF268" s="3906"/>
      <c r="BG268" s="3906"/>
      <c r="BH268" s="3906"/>
      <c r="BI268" s="3906"/>
      <c r="BJ268" s="3907"/>
      <c r="BK268" s="3906"/>
      <c r="BL268" s="3906"/>
      <c r="BM268" s="3906"/>
      <c r="BN268" s="3901"/>
      <c r="BO268" s="3907"/>
      <c r="BP268" s="3906"/>
      <c r="BQ268" s="3906"/>
      <c r="BR268" s="3906"/>
      <c r="BS268" s="3901"/>
      <c r="BT268" s="3907"/>
      <c r="BU268" s="3906"/>
      <c r="BV268" s="3906"/>
      <c r="BW268" s="3906"/>
      <c r="BX268" s="3906"/>
      <c r="BY268" s="3907"/>
      <c r="BZ268" s="3906"/>
      <c r="CA268" s="3906"/>
      <c r="CB268" s="3906"/>
      <c r="CC268" s="3901"/>
      <c r="CD268" s="3907"/>
      <c r="CE268" s="3906">
        <f>SUM(CE266:CE267)</f>
        <v>3031</v>
      </c>
      <c r="CF268" s="3906">
        <f>SUM(CF266:CF267)</f>
        <v>1062</v>
      </c>
      <c r="CG268" s="3906">
        <f>SUM(CG266:CG267)</f>
        <v>0</v>
      </c>
      <c r="CH268" s="3906"/>
      <c r="CI268" s="3907"/>
      <c r="CJ268" s="3906"/>
      <c r="CK268" s="3906"/>
      <c r="CL268" s="3906"/>
      <c r="CM268" s="3906"/>
      <c r="CN268" s="4400"/>
      <c r="CO268" s="3906"/>
      <c r="CP268" s="3906"/>
      <c r="CQ268" s="3906"/>
      <c r="CR268" s="3906"/>
      <c r="CS268" s="4400"/>
      <c r="CT268" s="3906"/>
      <c r="CU268" s="3906"/>
      <c r="CV268" s="3906"/>
      <c r="CW268" s="3906"/>
      <c r="CX268" s="4400"/>
      <c r="CY268" s="3906"/>
      <c r="CZ268" s="3906"/>
      <c r="DA268" s="3906"/>
      <c r="DB268" s="3906"/>
      <c r="DC268" s="3907"/>
      <c r="DD268" s="3906"/>
      <c r="DE268" s="3906"/>
      <c r="DF268" s="3906"/>
      <c r="DG268" s="3906"/>
      <c r="DH268" s="3907"/>
      <c r="DI268" s="3906"/>
      <c r="DJ268" s="3906"/>
      <c r="DK268" s="3906"/>
      <c r="DL268" s="3906"/>
      <c r="DM268" s="3907"/>
      <c r="DN268" s="3906"/>
      <c r="DO268" s="3906"/>
      <c r="DP268" s="3906"/>
      <c r="DQ268" s="3906"/>
      <c r="DR268" s="3907"/>
      <c r="DS268" s="3906"/>
      <c r="DT268" s="3906"/>
      <c r="DU268" s="3906"/>
      <c r="DV268" s="3906"/>
      <c r="DW268" s="3907"/>
      <c r="DX268" s="3907"/>
      <c r="DY268" s="3907"/>
      <c r="DZ268" s="3907"/>
      <c r="EA268" s="3907"/>
      <c r="EC268" s="755"/>
      <c r="ED268" s="755"/>
    </row>
    <row r="269" spans="1:134" s="3670" customFormat="1" ht="11.25" hidden="1" customHeight="1" outlineLevel="1">
      <c r="A269" s="3707" t="str">
        <f>CONCATENATE(IS!A194," on IS")</f>
        <v>Gain (loss) on equity securities, net on IS</v>
      </c>
      <c r="B269" s="3708"/>
      <c r="C269" s="3708"/>
      <c r="D269" s="3708"/>
      <c r="E269" s="3709"/>
      <c r="F269" s="3708"/>
      <c r="G269" s="3708"/>
      <c r="H269" s="3710"/>
      <c r="I269" s="3709"/>
      <c r="J269" s="3711"/>
      <c r="K269" s="3710"/>
      <c r="L269" s="3710"/>
      <c r="M269" s="3709"/>
      <c r="N269" s="3711"/>
      <c r="O269" s="3710"/>
      <c r="P269" s="3710"/>
      <c r="Q269" s="3709"/>
      <c r="R269" s="3710"/>
      <c r="S269" s="3710"/>
      <c r="T269" s="3710"/>
      <c r="U269" s="3709"/>
      <c r="V269" s="3712"/>
      <c r="W269" s="3713"/>
      <c r="X269" s="3713"/>
      <c r="Y269" s="3709"/>
      <c r="Z269" s="3713"/>
      <c r="AA269" s="3713"/>
      <c r="AB269" s="3713"/>
      <c r="AC269" s="3709"/>
      <c r="AD269" s="3712"/>
      <c r="AE269" s="3713"/>
      <c r="AF269" s="3713"/>
      <c r="AG269" s="3709"/>
      <c r="AH269" s="3712"/>
      <c r="AI269" s="3713"/>
      <c r="AJ269" s="3713"/>
      <c r="AK269" s="3709"/>
      <c r="AL269" s="3712"/>
      <c r="AM269" s="3713"/>
      <c r="AN269" s="3713"/>
      <c r="AO269" s="3709"/>
      <c r="AP269" s="3712"/>
      <c r="AQ269" s="3714"/>
      <c r="AR269" s="3714"/>
      <c r="AS269" s="3709"/>
      <c r="AT269" s="3715"/>
      <c r="AU269" s="3714"/>
      <c r="AV269" s="3714"/>
      <c r="AW269" s="3709"/>
      <c r="AX269" s="3715"/>
      <c r="AY269" s="3714"/>
      <c r="AZ269" s="3714"/>
      <c r="BA269" s="3709"/>
      <c r="BB269" s="3714"/>
      <c r="BC269" s="3714"/>
      <c r="BD269" s="3714"/>
      <c r="BE269" s="3709"/>
      <c r="BF269" s="3716"/>
      <c r="BG269" s="3716"/>
      <c r="BH269" s="3716"/>
      <c r="BI269" s="3716"/>
      <c r="BJ269" s="3717"/>
      <c r="BK269" s="3718"/>
      <c r="BL269" s="3716"/>
      <c r="BM269" s="3716"/>
      <c r="BN269" s="3709"/>
      <c r="BO269" s="3717"/>
      <c r="BP269" s="3718"/>
      <c r="BQ269" s="3716"/>
      <c r="BR269" s="3716"/>
      <c r="BS269" s="3709"/>
      <c r="BT269" s="3717"/>
      <c r="BU269" s="3716"/>
      <c r="BV269" s="3716"/>
      <c r="BW269" s="3716"/>
      <c r="BX269" s="3716"/>
      <c r="BY269" s="3717"/>
      <c r="BZ269" s="3720">
        <f>IS!CX194</f>
        <v>6</v>
      </c>
      <c r="CA269" s="3720">
        <f>IS!CY194</f>
        <v>23</v>
      </c>
      <c r="CB269" s="3720">
        <f>IS!CZ194</f>
        <v>1</v>
      </c>
      <c r="CC269" s="3909">
        <f>IS!DA194</f>
        <v>43</v>
      </c>
      <c r="CD269" s="3719">
        <f>IS!DB194</f>
        <v>73</v>
      </c>
      <c r="CE269" s="3720">
        <f>IS!DC194</f>
        <v>3031</v>
      </c>
      <c r="CF269" s="3720">
        <f>IS!DD194</f>
        <v>1062</v>
      </c>
      <c r="CG269" s="3716">
        <f>IS!DE194</f>
        <v>1382</v>
      </c>
      <c r="CH269" s="3716">
        <f>IS!DF194</f>
        <v>-15</v>
      </c>
      <c r="CI269" s="3719">
        <f>IS!DG194</f>
        <v>5460</v>
      </c>
      <c r="CJ269" s="3994"/>
      <c r="CK269" s="3994"/>
      <c r="CL269" s="3994"/>
      <c r="CM269" s="3994"/>
      <c r="CN269" s="4405">
        <f>IS!DL194</f>
        <v>2649</v>
      </c>
      <c r="CO269" s="3994"/>
      <c r="CP269" s="3994"/>
      <c r="CQ269" s="3994"/>
      <c r="CR269" s="3994"/>
      <c r="CS269" s="4405">
        <f>IS!DQ194</f>
        <v>5592</v>
      </c>
      <c r="CT269" s="3994"/>
      <c r="CU269" s="3994"/>
      <c r="CV269" s="3994"/>
      <c r="CW269" s="3994"/>
      <c r="CX269" s="4405"/>
      <c r="CY269" s="5226"/>
      <c r="CZ269" s="5226"/>
      <c r="DA269" s="5226"/>
      <c r="DB269" s="5134"/>
      <c r="DC269" s="3719"/>
      <c r="DD269" s="5134"/>
      <c r="DE269" s="5226"/>
      <c r="DF269" s="5134"/>
      <c r="DG269" s="5134"/>
      <c r="DH269" s="3719"/>
      <c r="DI269" s="5134"/>
      <c r="DJ269" s="5134"/>
      <c r="DK269" s="5134"/>
      <c r="DL269" s="5134"/>
      <c r="DM269" s="3719"/>
      <c r="DN269" s="5134"/>
      <c r="DO269" s="5134"/>
      <c r="DP269" s="5134"/>
      <c r="DQ269" s="5134"/>
      <c r="DR269" s="3719"/>
      <c r="DS269" s="5134"/>
      <c r="DT269" s="5134"/>
      <c r="DU269" s="5134"/>
      <c r="DV269" s="5134"/>
      <c r="DW269" s="3719"/>
      <c r="DX269" s="3719"/>
      <c r="DY269" s="3719"/>
      <c r="DZ269" s="3719"/>
      <c r="EA269" s="3719"/>
      <c r="EC269" s="3671"/>
      <c r="ED269" s="3671"/>
    </row>
    <row r="270" spans="1:134" s="3670" customFormat="1" ht="11.25" hidden="1" customHeight="1" outlineLevel="1">
      <c r="A270" s="3707" t="str">
        <f>CONCATENATE(IS!A193," on IS")</f>
        <v>Gain (loss) on debt securities, net on IS</v>
      </c>
      <c r="B270" s="3708"/>
      <c r="C270" s="3708"/>
      <c r="D270" s="3708"/>
      <c r="E270" s="3709"/>
      <c r="F270" s="3708"/>
      <c r="G270" s="3708"/>
      <c r="H270" s="3710"/>
      <c r="I270" s="3709"/>
      <c r="J270" s="3711"/>
      <c r="K270" s="3710"/>
      <c r="L270" s="3710"/>
      <c r="M270" s="3709"/>
      <c r="N270" s="3711"/>
      <c r="O270" s="3710"/>
      <c r="P270" s="3710"/>
      <c r="Q270" s="3709"/>
      <c r="R270" s="3710"/>
      <c r="S270" s="3710"/>
      <c r="T270" s="3710"/>
      <c r="U270" s="3709"/>
      <c r="V270" s="3712"/>
      <c r="W270" s="3713"/>
      <c r="X270" s="3713"/>
      <c r="Y270" s="3709"/>
      <c r="Z270" s="3713"/>
      <c r="AA270" s="3713"/>
      <c r="AB270" s="3713"/>
      <c r="AC270" s="3709"/>
      <c r="AD270" s="3712"/>
      <c r="AE270" s="3713"/>
      <c r="AF270" s="3713"/>
      <c r="AG270" s="3709"/>
      <c r="AH270" s="3712"/>
      <c r="AI270" s="3713"/>
      <c r="AJ270" s="3713"/>
      <c r="AK270" s="3709"/>
      <c r="AL270" s="3712"/>
      <c r="AM270" s="3713"/>
      <c r="AN270" s="3713"/>
      <c r="AO270" s="3709"/>
      <c r="AP270" s="3712"/>
      <c r="AQ270" s="3714"/>
      <c r="AR270" s="3714"/>
      <c r="AS270" s="3709"/>
      <c r="AT270" s="3715"/>
      <c r="AU270" s="3714"/>
      <c r="AV270" s="3714"/>
      <c r="AW270" s="3709"/>
      <c r="AX270" s="3715"/>
      <c r="AY270" s="3714"/>
      <c r="AZ270" s="3714"/>
      <c r="BA270" s="3709"/>
      <c r="BB270" s="3714"/>
      <c r="BC270" s="3714"/>
      <c r="BD270" s="3714"/>
      <c r="BE270" s="3709"/>
      <c r="BF270" s="3716"/>
      <c r="BG270" s="3716"/>
      <c r="BH270" s="3716"/>
      <c r="BI270" s="3716"/>
      <c r="BJ270" s="3717"/>
      <c r="BK270" s="3718"/>
      <c r="BL270" s="3716"/>
      <c r="BM270" s="3716"/>
      <c r="BN270" s="3709"/>
      <c r="BO270" s="3717"/>
      <c r="BP270" s="3718"/>
      <c r="BQ270" s="3716"/>
      <c r="BR270" s="3716"/>
      <c r="BS270" s="3709"/>
      <c r="BT270" s="3717"/>
      <c r="BU270" s="3716"/>
      <c r="BV270" s="3716"/>
      <c r="BW270" s="3716"/>
      <c r="BX270" s="3716"/>
      <c r="BY270" s="3717"/>
      <c r="BZ270" s="3720">
        <f>IS!CX193</f>
        <v>-25</v>
      </c>
      <c r="CA270" s="3720">
        <f>IS!CY193</f>
        <v>-26</v>
      </c>
      <c r="CB270" s="3720">
        <f>IS!CZ193</f>
        <v>-46</v>
      </c>
      <c r="CC270" s="3909">
        <f>IS!DA193</f>
        <v>-13</v>
      </c>
      <c r="CD270" s="3719">
        <f>IS!DB193</f>
        <v>-110</v>
      </c>
      <c r="CE270" s="3720">
        <f>IS!DC193</f>
        <v>-39</v>
      </c>
      <c r="CF270" s="3720">
        <f>IS!DD193</f>
        <v>6</v>
      </c>
      <c r="CG270" s="3716">
        <f>IS!DE193</f>
        <v>-29</v>
      </c>
      <c r="CH270" s="3716">
        <f>IS!DF193</f>
        <v>1252</v>
      </c>
      <c r="CI270" s="3719">
        <f>IS!DG193</f>
        <v>1190</v>
      </c>
      <c r="CJ270" s="3994"/>
      <c r="CK270" s="3994"/>
      <c r="CL270" s="3994"/>
      <c r="CM270" s="3994"/>
      <c r="CN270" s="4405">
        <f>IS!DL193</f>
        <v>149</v>
      </c>
      <c r="CO270" s="3994"/>
      <c r="CP270" s="3994"/>
      <c r="CQ270" s="3994"/>
      <c r="CR270" s="3994"/>
      <c r="CS270" s="4405">
        <f>IS!DQ193</f>
        <v>725</v>
      </c>
      <c r="CT270" s="3994"/>
      <c r="CU270" s="3994"/>
      <c r="CV270" s="3994"/>
      <c r="CW270" s="3994"/>
      <c r="CX270" s="4405"/>
      <c r="CY270" s="5226"/>
      <c r="CZ270" s="5226"/>
      <c r="DA270" s="5226"/>
      <c r="DB270" s="5134"/>
      <c r="DC270" s="3719"/>
      <c r="DD270" s="5134"/>
      <c r="DE270" s="5226"/>
      <c r="DF270" s="5134"/>
      <c r="DG270" s="5134"/>
      <c r="DH270" s="3719"/>
      <c r="DI270" s="5134"/>
      <c r="DJ270" s="5134"/>
      <c r="DK270" s="5134"/>
      <c r="DL270" s="5134"/>
      <c r="DM270" s="3719"/>
      <c r="DN270" s="5134"/>
      <c r="DO270" s="5134"/>
      <c r="DP270" s="5134"/>
      <c r="DQ270" s="5134"/>
      <c r="DR270" s="3719"/>
      <c r="DS270" s="5134"/>
      <c r="DT270" s="5134"/>
      <c r="DU270" s="5134"/>
      <c r="DV270" s="5134"/>
      <c r="DW270" s="3719"/>
      <c r="DX270" s="3719"/>
      <c r="DY270" s="3719"/>
      <c r="DZ270" s="3719"/>
      <c r="EA270" s="3719"/>
      <c r="EC270" s="3671"/>
      <c r="ED270" s="3671"/>
    </row>
    <row r="271" spans="1:134" ht="11.25" customHeight="1" collapsed="1"/>
  </sheetData>
  <phoneticPr fontId="0" type="noConversion"/>
  <pageMargins left="0.17" right="0.23" top="0.74" bottom="0.81" header="0.3" footer="0.31"/>
  <pageSetup scale="76" fitToHeight="2" orientation="landscape" r:id="rId1"/>
  <headerFooter alignWithMargins="0">
    <oddFooter>&amp;L&amp;P&amp;R&amp;D</oddFooter>
  </headerFooter>
  <rowBreaks count="1" manualBreakCount="1">
    <brk id="63" max="69" man="1"/>
  </row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autoPageBreaks="0"/>
  </sheetPr>
  <dimension ref="A1:GW200"/>
  <sheetViews>
    <sheetView showGridLines="0" zoomScaleNormal="100" zoomScaleSheetLayoutView="100" workbookViewId="0">
      <pane xSplit="1" ySplit="6" topLeftCell="EF7" activePane="bottomRight" state="frozenSplit"/>
      <selection activeCell="L42" sqref="L42"/>
      <selection pane="topRight" activeCell="L42" sqref="L42"/>
      <selection pane="bottomLeft" activeCell="L42" sqref="L42"/>
      <selection pane="bottomRight" activeCell="EF7" sqref="EF7"/>
    </sheetView>
  </sheetViews>
  <sheetFormatPr defaultColWidth="9.140625" defaultRowHeight="11.25" customHeight="1" outlineLevelRow="1" outlineLevelCol="2"/>
  <cols>
    <col min="1" max="1" width="36" style="1632" bestFit="1" customWidth="1"/>
    <col min="2" max="61" width="9.28515625" style="422" hidden="1" customWidth="1"/>
    <col min="62" max="62" width="9.28515625" style="422" hidden="1" customWidth="1" collapsed="1"/>
    <col min="63" max="71" width="9.28515625" style="422" hidden="1" customWidth="1"/>
    <col min="72" max="72" width="9.28515625" style="422" hidden="1" customWidth="1" collapsed="1"/>
    <col min="73" max="81" width="9.28515625" style="422" hidden="1" customWidth="1"/>
    <col min="82" max="82" width="9.28515625" style="422" hidden="1" customWidth="1" collapsed="1"/>
    <col min="83" max="86" width="9.28515625" style="422" hidden="1" customWidth="1"/>
    <col min="87" max="87" width="9.28515625" style="422" hidden="1" customWidth="1" collapsed="1"/>
    <col min="88" max="91" width="9.28515625" style="422" hidden="1" customWidth="1"/>
    <col min="92" max="100" width="9.28515625" style="422" hidden="1" customWidth="1" outlineLevel="1"/>
    <col min="101" max="101" width="9.28515625" style="422" hidden="1" customWidth="1" outlineLevel="1" collapsed="1"/>
    <col min="102" max="105" width="9.28515625" style="422" hidden="1" customWidth="1" outlineLevel="1"/>
    <col min="106" max="106" width="9.28515625" style="422" hidden="1" customWidth="1" outlineLevel="1" collapsed="1"/>
    <col min="107" max="110" width="9.28515625" style="422" hidden="1" customWidth="1" outlineLevel="1"/>
    <col min="111" max="111" width="9.28515625" style="422" hidden="1" customWidth="1" outlineLevel="1" collapsed="1"/>
    <col min="112" max="115" width="9.28515625" style="422" hidden="1" customWidth="1" outlineLevel="1"/>
    <col min="116" max="116" width="9.28515625" style="422" hidden="1" customWidth="1" outlineLevel="1" collapsed="1"/>
    <col min="117" max="125" width="9.28515625" style="422" hidden="1" customWidth="1" outlineLevel="1"/>
    <col min="126" max="126" width="9.28515625" style="422" hidden="1" customWidth="1" outlineLevel="1" collapsed="1"/>
    <col min="127" max="130" width="9.28515625" style="422" hidden="1" customWidth="1" outlineLevel="2"/>
    <col min="131" max="131" width="9.28515625" style="422" hidden="1" customWidth="1" outlineLevel="1" collapsed="1"/>
    <col min="132" max="135" width="9.28515625" style="422" hidden="1" customWidth="1" outlineLevel="1"/>
    <col min="136" max="136" width="9.28515625" style="422" customWidth="1" collapsed="1"/>
    <col min="137" max="146" width="9.28515625" style="422" customWidth="1"/>
    <col min="147" max="150" width="9.28515625" style="422" hidden="1" customWidth="1" outlineLevel="1"/>
    <col min="151" max="151" width="9.28515625" style="422" customWidth="1" collapsed="1"/>
    <col min="152" max="155" width="9.28515625" style="422" hidden="1" customWidth="1" outlineLevel="1"/>
    <col min="156" max="156" width="9.28515625" style="422" customWidth="1" collapsed="1"/>
    <col min="157" max="159" width="9.28515625" style="422" hidden="1" customWidth="1" outlineLevel="1"/>
    <col min="160" max="160" width="2.28515625" style="422" customWidth="1" collapsed="1"/>
    <col min="161" max="161" width="12.5703125" style="422" hidden="1" customWidth="1" outlineLevel="1"/>
    <col min="162" max="162" width="7.140625" style="422" hidden="1" customWidth="1" outlineLevel="1" collapsed="1"/>
    <col min="163" max="165" width="8.7109375" style="422" hidden="1" customWidth="1" outlineLevel="1"/>
    <col min="166" max="166" width="5.7109375" style="422" hidden="1" customWidth="1" outlineLevel="1"/>
    <col min="167" max="169" width="8.7109375" style="422" hidden="1" customWidth="1" outlineLevel="1"/>
    <col min="170" max="170" width="5.7109375" style="422" hidden="1" customWidth="1" outlineLevel="1"/>
    <col min="171" max="171" width="9.140625" style="422" collapsed="1"/>
    <col min="172" max="16384" width="9.140625" style="422"/>
  </cols>
  <sheetData>
    <row r="1" spans="1:205" s="2" customFormat="1" ht="11.25" customHeight="1">
      <c r="A1" s="1623"/>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2"/>
      <c r="BA1" s="22"/>
      <c r="BB1" s="20"/>
      <c r="BC1" s="20"/>
      <c r="BD1" s="20"/>
      <c r="BE1" s="20"/>
      <c r="BF1" s="20"/>
      <c r="BG1" s="20"/>
      <c r="BH1" s="20"/>
      <c r="BI1" s="20"/>
      <c r="BJ1" s="22"/>
      <c r="BK1" s="22"/>
      <c r="BL1" s="20"/>
      <c r="BM1" s="20"/>
      <c r="BN1" s="20"/>
      <c r="BO1" s="20"/>
      <c r="BP1" s="20"/>
      <c r="BQ1" s="22"/>
      <c r="BR1" s="20"/>
      <c r="BS1" s="20"/>
      <c r="BT1" s="20"/>
      <c r="BU1" s="20"/>
      <c r="BV1" s="20"/>
      <c r="BW1" s="20"/>
      <c r="BX1" s="20"/>
      <c r="BY1" s="20"/>
      <c r="BZ1" s="20"/>
      <c r="CA1" s="20"/>
      <c r="CB1" s="20"/>
      <c r="CC1" s="20"/>
      <c r="CD1" s="22"/>
      <c r="CE1" s="22"/>
      <c r="CF1" s="22"/>
      <c r="CG1" s="22"/>
      <c r="CH1" s="22"/>
      <c r="CI1" s="22"/>
      <c r="CJ1" s="22"/>
      <c r="CK1" s="22"/>
      <c r="CL1" s="22"/>
      <c r="CM1" s="22"/>
      <c r="CN1" s="22"/>
      <c r="CO1" s="22"/>
      <c r="CP1" s="20"/>
      <c r="CQ1" s="22"/>
      <c r="CR1" s="22"/>
      <c r="CS1" s="22"/>
      <c r="CT1" s="22"/>
      <c r="CU1" s="20"/>
      <c r="CV1" s="22"/>
      <c r="CW1" s="22"/>
      <c r="CX1" s="22"/>
      <c r="CY1" s="22"/>
      <c r="CZ1" s="20"/>
      <c r="DA1" s="22"/>
      <c r="DB1" s="22"/>
      <c r="DC1" s="22"/>
      <c r="DD1" s="22"/>
      <c r="DE1" s="20"/>
      <c r="DF1" s="22"/>
      <c r="DG1" s="22"/>
      <c r="DH1" s="22"/>
      <c r="DI1" s="22"/>
      <c r="DJ1" s="20"/>
      <c r="DK1" s="22"/>
      <c r="DL1" s="22"/>
      <c r="DM1" s="4127"/>
      <c r="DN1" s="13"/>
      <c r="DO1" s="21"/>
      <c r="DP1" s="13"/>
      <c r="DQ1" s="13"/>
      <c r="DR1" s="13"/>
      <c r="DS1" s="13"/>
      <c r="DT1" s="13"/>
      <c r="DU1" s="13"/>
      <c r="DV1" s="22"/>
      <c r="DW1" s="13"/>
      <c r="DX1" s="13"/>
      <c r="DY1" s="13"/>
      <c r="DZ1" s="13"/>
      <c r="EA1" s="22"/>
      <c r="EB1" s="13"/>
      <c r="EC1" s="13"/>
      <c r="ED1" s="13"/>
      <c r="EE1" s="13"/>
      <c r="EF1" s="22"/>
      <c r="EG1" s="13"/>
      <c r="EH1" s="13"/>
      <c r="EI1" s="13"/>
      <c r="EJ1" s="13"/>
      <c r="EK1" s="22"/>
      <c r="EL1" s="13"/>
      <c r="EM1" s="13"/>
      <c r="EN1" s="13"/>
      <c r="EO1" s="13"/>
      <c r="EP1" s="22"/>
      <c r="EQ1" s="13"/>
      <c r="ER1" s="13"/>
      <c r="ES1" s="13"/>
      <c r="ET1" s="13"/>
      <c r="EU1" s="22"/>
      <c r="EV1" s="13"/>
      <c r="EW1" s="13"/>
      <c r="EX1" s="13"/>
      <c r="EY1" s="13"/>
      <c r="EZ1" s="22"/>
      <c r="FA1" s="22"/>
      <c r="FB1" s="22"/>
      <c r="FC1" s="22"/>
      <c r="FD1" s="22"/>
      <c r="FE1" s="22"/>
      <c r="FF1" s="22"/>
      <c r="FG1" s="20"/>
      <c r="FH1" s="22"/>
      <c r="FI1" s="22"/>
      <c r="FJ1" s="22"/>
      <c r="FK1" s="22"/>
      <c r="FL1" s="20"/>
      <c r="FM1" s="20"/>
      <c r="FN1" s="20"/>
      <c r="FO1" s="22"/>
      <c r="FP1" s="22"/>
      <c r="FQ1" s="22"/>
      <c r="FR1" s="20"/>
      <c r="FS1" s="22"/>
      <c r="FT1" s="22"/>
      <c r="FU1" s="22"/>
      <c r="FV1" s="22"/>
      <c r="FW1" s="20"/>
      <c r="FX1" s="22"/>
      <c r="FY1" s="22"/>
      <c r="FZ1" s="22"/>
      <c r="GA1" s="22"/>
      <c r="GB1" s="20"/>
      <c r="GC1" s="20"/>
      <c r="GD1" s="20"/>
      <c r="GE1" s="20"/>
      <c r="GF1" s="20"/>
      <c r="GG1" s="20"/>
      <c r="GH1" s="20"/>
      <c r="GI1" s="20"/>
      <c r="GJ1" s="20"/>
      <c r="GK1" s="20"/>
      <c r="GL1" s="20"/>
      <c r="GM1" s="20"/>
      <c r="GN1" s="20"/>
      <c r="GO1" s="20"/>
      <c r="GP1" s="20"/>
      <c r="GQ1" s="20"/>
      <c r="GR1" s="20"/>
      <c r="GS1" s="20"/>
      <c r="GT1" s="20"/>
      <c r="GU1" s="20"/>
      <c r="GV1" s="21"/>
      <c r="GW1" s="6"/>
    </row>
    <row r="2" spans="1:205" s="17" customFormat="1" ht="28.5" customHeight="1">
      <c r="A2" s="2914" t="str">
        <f>IS!A2</f>
        <v>Alphabet Inc.</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23"/>
      <c r="BR2" s="18"/>
      <c r="BS2" s="18"/>
      <c r="BT2" s="18"/>
      <c r="BU2" s="18"/>
      <c r="BV2" s="18"/>
      <c r="BW2" s="18"/>
      <c r="BX2" s="18"/>
      <c r="BY2" s="18"/>
      <c r="BZ2" s="18"/>
      <c r="CA2" s="18"/>
      <c r="CB2" s="18"/>
      <c r="CC2" s="18"/>
      <c r="CD2" s="23"/>
      <c r="CE2" s="23"/>
      <c r="CF2" s="23"/>
      <c r="CG2" s="23"/>
      <c r="CH2" s="23"/>
      <c r="CI2" s="23"/>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474"/>
      <c r="FJ2" s="18"/>
      <c r="FK2" s="18"/>
      <c r="FL2" s="18"/>
      <c r="FM2" s="580"/>
      <c r="FN2" s="18"/>
      <c r="FO2" s="580"/>
      <c r="FP2" s="580"/>
      <c r="FQ2" s="580"/>
      <c r="FR2" s="580"/>
      <c r="FS2" s="580"/>
      <c r="FT2" s="580"/>
      <c r="FU2" s="580"/>
      <c r="FV2" s="580"/>
      <c r="FW2" s="580"/>
      <c r="FX2" s="580"/>
      <c r="FY2" s="580"/>
      <c r="FZ2" s="580"/>
      <c r="GA2" s="658"/>
      <c r="GB2" s="659"/>
      <c r="GC2" s="659"/>
      <c r="GD2" s="659"/>
      <c r="GE2" s="659"/>
      <c r="GF2" s="290"/>
      <c r="GG2" s="150"/>
      <c r="GH2" s="290"/>
      <c r="GI2" s="290"/>
      <c r="GJ2" s="290"/>
      <c r="GK2" s="290"/>
      <c r="GL2" s="150"/>
      <c r="GM2" s="806"/>
      <c r="GN2" s="806"/>
      <c r="GO2" s="806"/>
      <c r="GP2" s="806"/>
      <c r="GQ2" s="806"/>
      <c r="GR2" s="806"/>
      <c r="GS2" s="806"/>
      <c r="GT2" s="806"/>
      <c r="GU2" s="806"/>
      <c r="GV2" s="24"/>
      <c r="GW2" s="594"/>
    </row>
    <row r="3" spans="1:205" s="15" customFormat="1" ht="20.25" customHeight="1">
      <c r="A3" s="1516" t="s">
        <v>340</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27"/>
      <c r="BN3" s="27"/>
      <c r="BO3" s="27"/>
      <c r="BP3" s="27"/>
      <c r="BQ3" s="27"/>
      <c r="BR3" s="27"/>
      <c r="BS3" s="27"/>
      <c r="BT3" s="27"/>
      <c r="BU3" s="27"/>
      <c r="BV3" s="27"/>
      <c r="BW3" s="27"/>
      <c r="BX3" s="27"/>
      <c r="BY3" s="27"/>
      <c r="BZ3" s="27"/>
      <c r="CA3" s="27"/>
      <c r="CB3" s="27"/>
      <c r="CC3" s="27"/>
      <c r="CD3" s="27"/>
      <c r="CE3" s="27"/>
      <c r="CF3" s="27"/>
      <c r="CG3" s="27"/>
      <c r="CH3" s="27"/>
      <c r="CI3" s="27"/>
      <c r="CJ3" s="27"/>
      <c r="CK3" s="27"/>
      <c r="CL3" s="27"/>
      <c r="CM3" s="27"/>
      <c r="CN3" s="27"/>
      <c r="CO3" s="27"/>
      <c r="CP3" s="27"/>
      <c r="CQ3" s="27"/>
      <c r="CR3" s="27"/>
      <c r="CS3" s="27"/>
      <c r="CT3" s="27"/>
      <c r="CU3" s="27"/>
      <c r="CV3" s="27"/>
      <c r="CW3" s="27"/>
      <c r="CX3" s="27"/>
      <c r="CY3" s="27"/>
      <c r="CZ3" s="27"/>
      <c r="DA3" s="470"/>
      <c r="DB3" s="470"/>
      <c r="DC3" s="27"/>
      <c r="DD3" s="27"/>
      <c r="DE3" s="27"/>
      <c r="DF3" s="470"/>
      <c r="DG3" s="470"/>
      <c r="DH3" s="27"/>
      <c r="DI3" s="27"/>
      <c r="DJ3" s="27"/>
      <c r="DK3" s="470"/>
      <c r="DL3" s="470"/>
      <c r="DM3" s="27"/>
      <c r="DN3" s="27"/>
      <c r="DO3" s="27"/>
      <c r="DP3" s="470"/>
      <c r="DQ3" s="470"/>
      <c r="DR3" s="27"/>
      <c r="DS3" s="27"/>
      <c r="DT3" s="27"/>
      <c r="DU3" s="27"/>
      <c r="DV3" s="470"/>
      <c r="DW3" s="27"/>
      <c r="DX3" s="27"/>
      <c r="DY3" s="27"/>
      <c r="DZ3" s="27"/>
      <c r="EA3" s="470"/>
      <c r="EB3" s="27"/>
      <c r="EC3" s="27"/>
      <c r="ED3" s="27"/>
      <c r="EE3" s="27"/>
      <c r="EF3" s="470"/>
      <c r="EG3" s="27"/>
      <c r="EH3" s="27"/>
      <c r="EI3" s="27"/>
      <c r="EJ3" s="27"/>
      <c r="EK3" s="470"/>
      <c r="EL3" s="27"/>
      <c r="EM3" s="27"/>
      <c r="EN3" s="27"/>
      <c r="EO3" s="27"/>
      <c r="EP3" s="470"/>
      <c r="EQ3" s="27"/>
      <c r="ER3" s="27"/>
      <c r="ES3" s="27"/>
      <c r="ET3" s="27"/>
      <c r="EU3" s="470"/>
      <c r="EV3" s="27"/>
      <c r="EW3" s="27"/>
      <c r="EX3" s="27"/>
      <c r="EY3" s="27"/>
      <c r="EZ3" s="470"/>
      <c r="FA3" s="470"/>
      <c r="FB3" s="470"/>
      <c r="FC3" s="470"/>
      <c r="FD3" s="470"/>
      <c r="FE3" s="470"/>
      <c r="FF3" s="470"/>
      <c r="FG3" s="470"/>
      <c r="FH3" s="470"/>
      <c r="FI3" s="473"/>
      <c r="FJ3" s="470"/>
      <c r="FK3" s="470"/>
      <c r="FL3" s="470"/>
      <c r="FM3" s="470"/>
      <c r="FN3" s="470"/>
      <c r="FO3" s="470"/>
      <c r="FP3" s="470"/>
      <c r="FQ3" s="470"/>
      <c r="FR3" s="470"/>
      <c r="FS3" s="529"/>
      <c r="FT3" s="529"/>
      <c r="FU3" s="529"/>
      <c r="FV3" s="529"/>
      <c r="FW3" s="470"/>
      <c r="FX3" s="529"/>
      <c r="FY3" s="529"/>
      <c r="FZ3" s="529"/>
      <c r="GA3" s="658"/>
      <c r="GB3" s="659"/>
      <c r="GC3" s="659"/>
      <c r="GD3" s="659"/>
      <c r="GE3" s="659"/>
      <c r="GF3" s="756"/>
      <c r="GG3" s="659"/>
      <c r="GH3" s="756"/>
      <c r="GI3" s="760"/>
      <c r="GJ3" s="760"/>
      <c r="GK3" s="760"/>
      <c r="GL3" s="809"/>
      <c r="GM3" s="809"/>
      <c r="GN3" s="809"/>
      <c r="GO3" s="809"/>
      <c r="GP3" s="809"/>
      <c r="GQ3" s="809"/>
      <c r="GR3" s="809"/>
      <c r="GS3" s="809"/>
      <c r="GT3" s="809"/>
      <c r="GU3" s="809"/>
      <c r="GV3" s="470"/>
      <c r="GW3" s="595"/>
    </row>
    <row r="4" spans="1:205" s="6" customFormat="1" ht="12.75">
      <c r="A4" s="1623"/>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2"/>
      <c r="BA4" s="22"/>
      <c r="BB4" s="20"/>
      <c r="BC4" s="20"/>
      <c r="BD4" s="20"/>
      <c r="BE4" s="20"/>
      <c r="BF4" s="20"/>
      <c r="BG4" s="20"/>
      <c r="BH4" s="20"/>
      <c r="BI4" s="20"/>
      <c r="BJ4" s="22"/>
      <c r="BK4" s="22"/>
      <c r="BL4" s="20"/>
      <c r="BM4" s="20"/>
      <c r="BN4" s="20"/>
      <c r="BO4" s="20"/>
      <c r="BP4" s="20"/>
      <c r="BQ4" s="22"/>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42"/>
      <c r="DC4" s="9"/>
      <c r="DD4" s="9"/>
      <c r="DE4" s="9"/>
      <c r="DF4" s="9"/>
      <c r="DG4" s="42"/>
      <c r="DH4" s="9"/>
      <c r="DI4" s="9"/>
      <c r="DJ4" s="9"/>
      <c r="DK4" s="9"/>
      <c r="DL4" s="42"/>
      <c r="DM4" s="9"/>
      <c r="DN4" s="9"/>
      <c r="DO4" s="9"/>
      <c r="DP4" s="9"/>
      <c r="DQ4" s="42"/>
      <c r="DR4" s="9"/>
      <c r="DS4" s="9"/>
      <c r="DT4" s="9"/>
      <c r="DU4" s="9"/>
      <c r="DV4" s="42"/>
      <c r="DW4" s="9"/>
      <c r="DX4" s="9"/>
      <c r="DY4" s="9"/>
      <c r="DZ4" s="9"/>
      <c r="EA4" s="42"/>
      <c r="EB4" s="9"/>
      <c r="EC4" s="9"/>
      <c r="ED4" s="9"/>
      <c r="EE4" s="9"/>
      <c r="EF4" s="42"/>
      <c r="EG4" s="9"/>
      <c r="EH4" s="9"/>
      <c r="EI4" s="9"/>
      <c r="EJ4" s="9"/>
      <c r="EK4" s="42"/>
      <c r="EL4" s="9"/>
      <c r="EM4" s="9"/>
      <c r="EN4" s="9"/>
      <c r="EO4" s="9"/>
      <c r="EP4" s="42"/>
      <c r="EQ4" s="9"/>
      <c r="ER4" s="9"/>
      <c r="ES4" s="9"/>
      <c r="ET4" s="9"/>
      <c r="EU4" s="42"/>
      <c r="EV4" s="9"/>
      <c r="EW4" s="9"/>
      <c r="EX4" s="9"/>
      <c r="EY4" s="9"/>
      <c r="EZ4" s="42"/>
      <c r="FA4" s="42"/>
      <c r="FB4" s="42"/>
      <c r="FC4" s="42"/>
      <c r="FD4" s="42"/>
      <c r="FE4" s="42"/>
      <c r="FF4" s="42"/>
      <c r="FH4" s="42"/>
      <c r="FI4" s="42"/>
      <c r="FJ4" s="42"/>
      <c r="FK4" s="42"/>
      <c r="FL4" s="470"/>
      <c r="FM4" s="470"/>
      <c r="FN4" s="470"/>
      <c r="FO4" s="42"/>
      <c r="FP4" s="42"/>
      <c r="FQ4" s="42"/>
      <c r="FR4" s="470"/>
      <c r="FS4" s="42"/>
      <c r="FT4" s="510"/>
      <c r="FU4" s="510"/>
      <c r="FV4" s="42"/>
      <c r="FW4" s="470"/>
      <c r="FX4" s="42"/>
      <c r="FY4" s="510"/>
      <c r="FZ4" s="510"/>
      <c r="GA4" s="42"/>
      <c r="GB4" s="473"/>
      <c r="GC4" s="470"/>
      <c r="GD4" s="470"/>
      <c r="GE4" s="470"/>
      <c r="GF4" s="619"/>
      <c r="GG4" s="473"/>
      <c r="GH4" s="661"/>
      <c r="GI4" s="661"/>
      <c r="GJ4" s="661"/>
      <c r="GK4" s="758"/>
      <c r="GL4" s="661"/>
      <c r="GM4" s="661"/>
      <c r="GN4" s="661"/>
      <c r="GO4" s="661"/>
      <c r="GP4" s="661"/>
      <c r="GQ4" s="661"/>
      <c r="GR4" s="661"/>
      <c r="GS4" s="661"/>
      <c r="GT4" s="661"/>
      <c r="GU4" s="661"/>
      <c r="GV4" s="470"/>
    </row>
    <row r="5" spans="1:205" s="421" customFormat="1" ht="11.25" customHeight="1">
      <c r="A5" s="1624"/>
      <c r="AZ5" s="420"/>
      <c r="BA5" s="420"/>
      <c r="BB5" s="420"/>
      <c r="BC5" s="420"/>
      <c r="BD5" s="420"/>
      <c r="BE5" s="420"/>
      <c r="BF5" s="420"/>
      <c r="BG5" s="420"/>
      <c r="BH5" s="420"/>
      <c r="BI5" s="420"/>
      <c r="BJ5" s="420"/>
      <c r="BK5" s="420"/>
      <c r="BL5" s="420"/>
      <c r="BM5" s="420"/>
      <c r="BN5" s="420"/>
      <c r="BO5" s="420"/>
      <c r="BP5" s="420"/>
      <c r="BQ5" s="420"/>
      <c r="BR5" s="420"/>
      <c r="BS5" s="420"/>
      <c r="BT5" s="420"/>
      <c r="BU5" s="420"/>
      <c r="BV5" s="420"/>
      <c r="BW5" s="420"/>
      <c r="BX5" s="420"/>
    </row>
    <row r="6" spans="1:205" ht="11.25" customHeight="1">
      <c r="A6" s="3215"/>
      <c r="B6" s="493"/>
      <c r="C6" s="493"/>
      <c r="D6" s="493"/>
      <c r="E6" s="493"/>
      <c r="F6" s="493"/>
      <c r="G6" s="493"/>
      <c r="H6" s="493"/>
      <c r="I6" s="493"/>
      <c r="J6" s="493"/>
      <c r="K6" s="493"/>
      <c r="L6" s="493"/>
      <c r="M6" s="493"/>
      <c r="N6" s="493"/>
      <c r="O6" s="493"/>
      <c r="P6" s="493"/>
      <c r="Q6" s="493"/>
      <c r="R6" s="493"/>
      <c r="S6" s="493"/>
      <c r="T6" s="493"/>
      <c r="U6" s="493"/>
      <c r="V6" s="493"/>
      <c r="W6" s="493"/>
      <c r="X6" s="493"/>
      <c r="Y6" s="493"/>
      <c r="Z6" s="493"/>
      <c r="AA6" s="493"/>
      <c r="AB6" s="493"/>
      <c r="AC6" s="493"/>
      <c r="AD6" s="493"/>
      <c r="AE6" s="493"/>
      <c r="AF6" s="493"/>
      <c r="AG6" s="493"/>
      <c r="AH6" s="493"/>
      <c r="AI6" s="493"/>
      <c r="AJ6" s="493"/>
      <c r="AK6" s="493"/>
      <c r="AL6" s="493"/>
      <c r="AM6" s="493"/>
      <c r="AN6" s="493"/>
      <c r="AO6" s="493"/>
      <c r="AP6" s="493"/>
      <c r="AQ6" s="493"/>
      <c r="AR6" s="493"/>
      <c r="AS6" s="493"/>
      <c r="AT6" s="493"/>
      <c r="AU6" s="1975"/>
      <c r="AV6" s="1975"/>
      <c r="AW6" s="1975"/>
      <c r="AX6" s="1975"/>
      <c r="AY6" s="1975"/>
      <c r="AZ6" s="1975"/>
      <c r="BA6" s="1975"/>
      <c r="BB6" s="1975"/>
      <c r="BC6" s="1975"/>
      <c r="BD6" s="1975"/>
      <c r="BE6" s="1975"/>
      <c r="BF6" s="1975"/>
      <c r="BG6" s="1975"/>
      <c r="BH6" s="1975"/>
      <c r="BI6" s="1975"/>
      <c r="BJ6" s="1975"/>
      <c r="BK6" s="1975"/>
      <c r="BL6" s="1975"/>
      <c r="BM6" s="1975"/>
      <c r="BN6" s="1975"/>
      <c r="BO6" s="1975"/>
      <c r="BP6" s="1975"/>
      <c r="BQ6" s="1975"/>
      <c r="BR6" s="1975"/>
      <c r="BS6" s="1975"/>
      <c r="BT6" s="1975"/>
      <c r="BU6" s="1975"/>
      <c r="BV6" s="1975"/>
      <c r="BW6" s="1975"/>
      <c r="BX6" s="1975"/>
      <c r="BY6" s="1975"/>
      <c r="BZ6" s="1975"/>
      <c r="CA6" s="1975"/>
      <c r="CB6" s="1975"/>
      <c r="CC6" s="1975"/>
      <c r="CD6" s="1975"/>
      <c r="CE6" s="1975"/>
      <c r="CF6" s="1975"/>
      <c r="CG6" s="1975"/>
      <c r="CH6" s="1975"/>
      <c r="CI6" s="1975"/>
      <c r="CJ6" s="1975"/>
      <c r="CK6" s="1975"/>
      <c r="CL6" s="1975"/>
      <c r="CM6" s="1975"/>
      <c r="CN6" s="1975" t="str">
        <f>IS!CN6</f>
        <v>3/15A</v>
      </c>
      <c r="CO6" s="1975" t="str">
        <f>IS!CO6</f>
        <v>6/15A</v>
      </c>
      <c r="CP6" s="1975" t="str">
        <f>IS!CP6</f>
        <v>9/15A</v>
      </c>
      <c r="CQ6" s="1975" t="str">
        <f>IS!CQ6</f>
        <v>12/15A</v>
      </c>
      <c r="CR6" s="1975" t="str">
        <f>IS!CR6</f>
        <v>2015A</v>
      </c>
      <c r="CS6" s="1975" t="str">
        <f>IS!CS6</f>
        <v>3/16A</v>
      </c>
      <c r="CT6" s="1975" t="str">
        <f>IS!CT6</f>
        <v>6/16A</v>
      </c>
      <c r="CU6" s="1975" t="str">
        <f>IS!CU6</f>
        <v>9/16A</v>
      </c>
      <c r="CV6" s="1975" t="str">
        <f>IS!CV6</f>
        <v>12/16A</v>
      </c>
      <c r="CW6" s="1975" t="str">
        <f>IS!CW6</f>
        <v>2016A</v>
      </c>
      <c r="CX6" s="1975" t="str">
        <f>IS!CX6</f>
        <v>3/17A</v>
      </c>
      <c r="CY6" s="1975" t="str">
        <f>IS!CY6</f>
        <v>6/17A</v>
      </c>
      <c r="CZ6" s="1975" t="str">
        <f>IS!CZ6</f>
        <v>9/17A</v>
      </c>
      <c r="DA6" s="1975" t="str">
        <f>IS!DA6</f>
        <v>12/17A</v>
      </c>
      <c r="DB6" s="1975" t="str">
        <f>IS!DB6</f>
        <v>2017A</v>
      </c>
      <c r="DC6" s="1975" t="str">
        <f>IS!DC6</f>
        <v>3/18A</v>
      </c>
      <c r="DD6" s="1975" t="str">
        <f>IS!DD6</f>
        <v>6/18A</v>
      </c>
      <c r="DE6" s="1975" t="str">
        <f>IS!DE6</f>
        <v>9/18A</v>
      </c>
      <c r="DF6" s="1975" t="str">
        <f>IS!DF6</f>
        <v>12/18A</v>
      </c>
      <c r="DG6" s="1975" t="str">
        <f>IS!DG6</f>
        <v>2018A</v>
      </c>
      <c r="DH6" s="1975" t="str">
        <f>IS!DH6</f>
        <v>3/19A</v>
      </c>
      <c r="DI6" s="1975" t="str">
        <f>IS!DI6</f>
        <v>6/19A</v>
      </c>
      <c r="DJ6" s="1975" t="str">
        <f>IS!DJ6</f>
        <v>9/19A</v>
      </c>
      <c r="DK6" s="1975" t="str">
        <f>IS!DK6</f>
        <v>12/19A</v>
      </c>
      <c r="DL6" s="1975" t="str">
        <f>IS!DL6</f>
        <v>2019A</v>
      </c>
      <c r="DM6" s="1975" t="str">
        <f>IS!DM6</f>
        <v>3/20A</v>
      </c>
      <c r="DN6" s="1975" t="str">
        <f>IS!DN6</f>
        <v>6/20A</v>
      </c>
      <c r="DO6" s="1975" t="str">
        <f>IS!DO6</f>
        <v>9/20A</v>
      </c>
      <c r="DP6" s="1975" t="str">
        <f>IS!DP6</f>
        <v>12/20A</v>
      </c>
      <c r="DQ6" s="1975" t="str">
        <f>IS!DQ6</f>
        <v>2020A</v>
      </c>
      <c r="DR6" s="1975" t="str">
        <f>IS!DR6</f>
        <v>3/21A</v>
      </c>
      <c r="DS6" s="1975" t="str">
        <f>IS!DS6</f>
        <v>6/21A</v>
      </c>
      <c r="DT6" s="1975" t="str">
        <f>IS!DT6</f>
        <v>9/21A</v>
      </c>
      <c r="DU6" s="1975" t="str">
        <f>IS!DU6</f>
        <v>12/21A</v>
      </c>
      <c r="DV6" s="1975" t="str">
        <f>IS!DV6</f>
        <v>2021A</v>
      </c>
      <c r="DW6" s="1975" t="str">
        <f>IS!DW6</f>
        <v>3/22A</v>
      </c>
      <c r="DX6" s="1975" t="str">
        <f>IS!DX6</f>
        <v>6/22A</v>
      </c>
      <c r="DY6" s="1975" t="str">
        <f>IS!DY6</f>
        <v>9/22A</v>
      </c>
      <c r="DZ6" s="1975" t="str">
        <f>IS!DZ6</f>
        <v>12/22A</v>
      </c>
      <c r="EA6" s="1975" t="str">
        <f>IS!EA6</f>
        <v>2022A</v>
      </c>
      <c r="EB6" s="1975" t="str">
        <f>IS!EB6</f>
        <v>3/23A</v>
      </c>
      <c r="EC6" s="1975" t="str">
        <f>IS!EC6</f>
        <v>6/23A</v>
      </c>
      <c r="ED6" s="1975" t="str">
        <f>IS!ED6</f>
        <v>9/23A</v>
      </c>
      <c r="EE6" s="1975" t="str">
        <f>IS!EE6</f>
        <v>12/23A</v>
      </c>
      <c r="EF6" s="1975" t="str">
        <f>IS!EF6</f>
        <v>2023A</v>
      </c>
      <c r="EG6" s="1975" t="str">
        <f>IS!EG6</f>
        <v>3/24A</v>
      </c>
      <c r="EH6" s="1975" t="str">
        <f>IS!EH6</f>
        <v>6/24A</v>
      </c>
      <c r="EI6" s="1975" t="str">
        <f>IS!EI6</f>
        <v>9/24A</v>
      </c>
      <c r="EJ6" s="1975" t="str">
        <f>IS!EJ6</f>
        <v>12/24A</v>
      </c>
      <c r="EK6" s="1975" t="str">
        <f>IS!EK6</f>
        <v>2024A</v>
      </c>
      <c r="EL6" s="1975" t="str">
        <f>IS!EL6</f>
        <v>3/25A</v>
      </c>
      <c r="EM6" s="1975" t="str">
        <f>IS!EM6</f>
        <v>6/25A</v>
      </c>
      <c r="EN6" s="1975" t="str">
        <f>IS!EN6</f>
        <v>9/25A</v>
      </c>
      <c r="EO6" s="1975" t="str">
        <f>IS!EO6</f>
        <v>12/25E</v>
      </c>
      <c r="EP6" s="1975" t="str">
        <f>IS!EP6</f>
        <v>2025E</v>
      </c>
      <c r="EQ6" s="1975" t="str">
        <f>IS!EQ6</f>
        <v>3/26E</v>
      </c>
      <c r="ER6" s="1975" t="str">
        <f>IS!ER6</f>
        <v>6/26E</v>
      </c>
      <c r="ES6" s="1975" t="str">
        <f>IS!ES6</f>
        <v>9/26E</v>
      </c>
      <c r="ET6" s="1975" t="str">
        <f>IS!ET6</f>
        <v>12/26E</v>
      </c>
      <c r="EU6" s="1975" t="str">
        <f>IS!EU6</f>
        <v>2026E</v>
      </c>
      <c r="EV6" s="5135" t="s">
        <v>1187</v>
      </c>
      <c r="EW6" s="5135" t="s">
        <v>1188</v>
      </c>
      <c r="EX6" s="5135" t="s">
        <v>1189</v>
      </c>
      <c r="EY6" s="5135" t="s">
        <v>1190</v>
      </c>
      <c r="EZ6" s="1975" t="str">
        <f>IS!EV6</f>
        <v>2027E</v>
      </c>
      <c r="FA6" s="1975" t="str">
        <f>IS!EW6</f>
        <v>2028E</v>
      </c>
      <c r="FB6" s="1975" t="str">
        <f>IS!EX6</f>
        <v>2029E</v>
      </c>
      <c r="FC6" s="1975" t="str">
        <f>IS!EY6</f>
        <v>2030E</v>
      </c>
      <c r="FD6" s="493"/>
      <c r="FF6" s="493"/>
    </row>
    <row r="7" spans="1:205" ht="11.25" customHeight="1">
      <c r="A7" s="2154" t="s">
        <v>586</v>
      </c>
      <c r="B7" s="3218"/>
      <c r="C7" s="3218"/>
      <c r="D7" s="3218"/>
      <c r="E7" s="3218"/>
      <c r="F7" s="3218"/>
      <c r="G7" s="3218"/>
      <c r="H7" s="3218"/>
      <c r="I7" s="3218"/>
      <c r="J7" s="3218"/>
      <c r="K7" s="3218"/>
      <c r="L7" s="3218"/>
      <c r="M7" s="3218"/>
      <c r="N7" s="3218"/>
      <c r="O7" s="3218"/>
      <c r="P7" s="3218"/>
      <c r="Q7" s="3218"/>
      <c r="R7" s="3218"/>
      <c r="S7" s="3218"/>
      <c r="T7" s="3218"/>
      <c r="U7" s="3218"/>
      <c r="V7" s="3218"/>
      <c r="W7" s="3218"/>
      <c r="X7" s="3218"/>
      <c r="Y7" s="3218"/>
      <c r="Z7" s="3218"/>
      <c r="AA7" s="3218"/>
      <c r="AB7" s="3218"/>
      <c r="AC7" s="3218"/>
      <c r="AD7" s="3218"/>
      <c r="AE7" s="3218"/>
      <c r="AF7" s="3218"/>
      <c r="AG7" s="3218"/>
      <c r="AH7" s="3218"/>
      <c r="AI7" s="3218"/>
      <c r="AJ7" s="3218"/>
      <c r="AK7" s="3218"/>
      <c r="AL7" s="3218"/>
      <c r="AM7" s="3218"/>
      <c r="AN7" s="3218"/>
      <c r="AO7" s="3218"/>
      <c r="AP7" s="3218"/>
      <c r="AQ7" s="3218"/>
      <c r="AR7" s="3218"/>
      <c r="AS7" s="3218"/>
      <c r="AT7" s="3218"/>
      <c r="AU7" s="3218"/>
      <c r="AV7" s="3218"/>
      <c r="AW7" s="3218"/>
      <c r="AX7" s="3218"/>
      <c r="AY7" s="3218"/>
      <c r="AZ7" s="3218"/>
      <c r="BA7" s="3218"/>
      <c r="BB7" s="3218"/>
      <c r="BC7" s="3218"/>
      <c r="BD7" s="3218"/>
      <c r="BE7" s="3218"/>
      <c r="BF7" s="3218"/>
      <c r="BG7" s="3218"/>
      <c r="BH7" s="3218"/>
      <c r="BI7" s="3218"/>
      <c r="BJ7" s="3218"/>
      <c r="BK7" s="3218"/>
      <c r="BL7" s="3218"/>
      <c r="BM7" s="3218"/>
      <c r="BN7" s="3218"/>
      <c r="BO7" s="3218"/>
      <c r="BP7" s="3218"/>
      <c r="BQ7" s="3218"/>
      <c r="BR7" s="3218"/>
      <c r="BS7" s="3218"/>
      <c r="BT7" s="3218"/>
      <c r="BU7" s="3218"/>
      <c r="BV7" s="3218"/>
      <c r="BW7" s="3218"/>
      <c r="BX7" s="3218"/>
      <c r="BY7" s="3218"/>
      <c r="BZ7" s="3218"/>
      <c r="CA7" s="3218"/>
      <c r="CB7" s="3218"/>
      <c r="CC7" s="3218"/>
      <c r="CD7" s="3218"/>
      <c r="CE7" s="3218"/>
      <c r="CF7" s="3218"/>
      <c r="CG7" s="3218"/>
      <c r="CH7" s="3218"/>
      <c r="CI7" s="3218"/>
      <c r="CJ7" s="3218"/>
      <c r="CK7" s="3218"/>
      <c r="CL7" s="3218"/>
      <c r="CM7" s="3218"/>
      <c r="CN7" s="3218"/>
      <c r="CO7" s="3218"/>
      <c r="CP7" s="3218"/>
      <c r="CQ7" s="3218"/>
      <c r="CR7" s="3218"/>
      <c r="CS7" s="3218"/>
      <c r="CT7" s="3218"/>
      <c r="CU7" s="3218"/>
      <c r="CV7" s="3218"/>
      <c r="CW7" s="3218"/>
      <c r="CX7" s="3218"/>
      <c r="CY7" s="3218"/>
      <c r="CZ7" s="3218"/>
      <c r="DA7" s="3218"/>
      <c r="DB7" s="3218"/>
      <c r="DC7" s="3218"/>
      <c r="DD7" s="3218"/>
      <c r="DE7" s="3218"/>
      <c r="DF7" s="3218"/>
      <c r="DG7" s="3218"/>
      <c r="DH7" s="3218"/>
      <c r="DI7" s="3218"/>
      <c r="DJ7" s="3218"/>
      <c r="DK7" s="3218"/>
      <c r="DL7" s="3218"/>
      <c r="DM7" s="3218"/>
      <c r="DN7" s="3218"/>
      <c r="DO7" s="3218"/>
      <c r="DP7" s="3218"/>
      <c r="DQ7" s="3218"/>
      <c r="DR7" s="3218"/>
      <c r="DS7" s="3218"/>
      <c r="DT7" s="3218"/>
      <c r="DU7" s="3218"/>
      <c r="DV7" s="3218"/>
      <c r="DW7" s="3218"/>
      <c r="DX7" s="3218"/>
      <c r="DY7" s="3218"/>
      <c r="DZ7" s="3218"/>
      <c r="EA7" s="3218"/>
      <c r="EB7" s="3218"/>
      <c r="EC7" s="3218"/>
      <c r="ED7" s="3218"/>
      <c r="EE7" s="3218"/>
      <c r="EF7" s="2153"/>
      <c r="EG7" s="3218"/>
      <c r="EH7" s="3218"/>
      <c r="EI7" s="3218"/>
      <c r="EJ7" s="3218"/>
      <c r="EK7" s="2153"/>
      <c r="EL7" s="3218"/>
      <c r="EM7" s="3218"/>
      <c r="EN7" s="3218"/>
      <c r="EO7" s="3218"/>
      <c r="EP7" s="2153"/>
      <c r="EQ7" s="3218"/>
      <c r="ER7" s="3218"/>
      <c r="ES7" s="3218"/>
      <c r="ET7" s="3218"/>
      <c r="EU7" s="2153"/>
      <c r="EV7" s="3218"/>
      <c r="EW7" s="3218"/>
      <c r="EX7" s="3218"/>
      <c r="EY7" s="3218"/>
      <c r="EZ7" s="2153"/>
      <c r="FA7" s="2153"/>
      <c r="FB7" s="2153"/>
      <c r="FC7" s="2153"/>
      <c r="FD7" s="493"/>
      <c r="FF7" s="493"/>
    </row>
    <row r="8" spans="1:205" ht="11.25" customHeight="1">
      <c r="A8" s="3216" t="s">
        <v>590</v>
      </c>
      <c r="B8" s="1205"/>
      <c r="C8" s="1205"/>
      <c r="D8" s="1205"/>
      <c r="E8" s="1205"/>
      <c r="F8" s="3214"/>
      <c r="G8" s="1205"/>
      <c r="H8" s="1205"/>
      <c r="I8" s="1205"/>
      <c r="J8" s="1205"/>
      <c r="K8" s="3214"/>
      <c r="L8" s="1205"/>
      <c r="M8" s="1205"/>
      <c r="N8" s="1205"/>
      <c r="O8" s="1205"/>
      <c r="P8" s="3214"/>
      <c r="Q8" s="1205"/>
      <c r="R8" s="1205"/>
      <c r="S8" s="1205"/>
      <c r="T8" s="1205"/>
      <c r="U8" s="3214"/>
      <c r="V8" s="1205"/>
      <c r="W8" s="1205"/>
      <c r="X8" s="1205"/>
      <c r="Y8" s="1205"/>
      <c r="Z8" s="3214"/>
      <c r="AA8" s="1205"/>
      <c r="AB8" s="1205"/>
      <c r="AC8" s="1205"/>
      <c r="AD8" s="1205"/>
      <c r="AE8" s="3214"/>
      <c r="AF8" s="1205"/>
      <c r="AG8" s="1205"/>
      <c r="AH8" s="1205"/>
      <c r="AI8" s="1205"/>
      <c r="AJ8" s="3214"/>
      <c r="AK8" s="1205"/>
      <c r="AL8" s="1205"/>
      <c r="AM8" s="1205"/>
      <c r="AN8" s="1205"/>
      <c r="AO8" s="3214"/>
      <c r="AP8" s="1205"/>
      <c r="AQ8" s="1205"/>
      <c r="AR8" s="1205"/>
      <c r="AS8" s="1205"/>
      <c r="AT8" s="3214"/>
      <c r="AU8" s="1205"/>
      <c r="AV8" s="1205"/>
      <c r="AW8" s="1205"/>
      <c r="AX8" s="1205"/>
      <c r="AY8" s="3214"/>
      <c r="AZ8" s="3217"/>
      <c r="BA8" s="421"/>
      <c r="BB8" s="421"/>
      <c r="BC8" s="421"/>
      <c r="BD8" s="3214"/>
      <c r="BE8" s="3217"/>
      <c r="BF8" s="421"/>
      <c r="BG8" s="421"/>
      <c r="BH8" s="421"/>
      <c r="BI8" s="3214"/>
      <c r="BJ8" s="3217"/>
      <c r="BK8" s="421"/>
      <c r="BL8" s="421"/>
      <c r="BM8" s="1248"/>
      <c r="BN8" s="3214"/>
      <c r="BO8" s="3217"/>
      <c r="BP8" s="421"/>
      <c r="BQ8" s="421"/>
      <c r="BR8" s="421"/>
      <c r="BS8" s="3214"/>
      <c r="BT8" s="3217"/>
      <c r="BU8" s="421"/>
      <c r="BV8" s="421"/>
      <c r="BW8" s="1248"/>
      <c r="BX8" s="3214"/>
      <c r="BY8" s="3217"/>
      <c r="BZ8" s="421"/>
      <c r="CA8" s="421"/>
      <c r="CB8" s="1248"/>
      <c r="CC8" s="3214"/>
      <c r="CD8" s="3217"/>
      <c r="CE8" s="421"/>
      <c r="CF8" s="421"/>
      <c r="CG8" s="1248"/>
      <c r="CH8" s="3214"/>
      <c r="CI8" s="421"/>
      <c r="CJ8" s="421"/>
      <c r="CK8" s="421"/>
      <c r="CL8" s="1248"/>
      <c r="CM8" s="3214"/>
      <c r="CN8" s="421"/>
      <c r="CO8" s="421"/>
      <c r="CP8" s="421"/>
      <c r="CQ8" s="1248"/>
      <c r="CR8" s="3214"/>
      <c r="CS8" s="421"/>
      <c r="CT8" s="421"/>
      <c r="CU8" s="421"/>
      <c r="CV8" s="421"/>
      <c r="CW8" s="3214"/>
      <c r="CX8" s="3217"/>
      <c r="CY8" s="421"/>
      <c r="CZ8" s="421"/>
      <c r="DA8" s="1248"/>
      <c r="DB8" s="3214"/>
      <c r="DC8" s="3217"/>
      <c r="DD8" s="421"/>
      <c r="DE8" s="421"/>
      <c r="DF8" s="1248"/>
      <c r="DG8" s="3214"/>
      <c r="DH8" s="3217"/>
      <c r="DI8" s="421"/>
      <c r="DJ8" s="421"/>
      <c r="DK8" s="1248"/>
      <c r="DL8" s="3214"/>
      <c r="DM8" s="3217"/>
      <c r="DN8" s="421"/>
      <c r="DO8" s="421"/>
      <c r="DP8" s="1248"/>
      <c r="DQ8" s="3214"/>
      <c r="DR8" s="421"/>
      <c r="DS8" s="421"/>
      <c r="DT8" s="421"/>
      <c r="DU8" s="421"/>
      <c r="DV8" s="3214"/>
      <c r="DW8" s="421"/>
      <c r="DX8" s="421"/>
      <c r="DY8" s="421"/>
      <c r="DZ8" s="421"/>
      <c r="EA8" s="3214"/>
      <c r="EB8" s="421"/>
      <c r="EC8" s="421"/>
      <c r="ED8" s="421"/>
      <c r="EE8" s="421"/>
      <c r="EF8" s="3214"/>
      <c r="EG8" s="421"/>
      <c r="EH8" s="421"/>
      <c r="EI8" s="421"/>
      <c r="EJ8" s="421"/>
      <c r="EK8" s="3214"/>
      <c r="EL8" s="421"/>
      <c r="EM8" s="421"/>
      <c r="EN8" s="421"/>
      <c r="EO8" s="421"/>
      <c r="EP8" s="3214"/>
      <c r="EQ8" s="421"/>
      <c r="ER8" s="421"/>
      <c r="ES8" s="421"/>
      <c r="ET8" s="421"/>
      <c r="EU8" s="3214"/>
      <c r="EV8" s="421"/>
      <c r="EW8" s="421"/>
      <c r="EX8" s="421"/>
      <c r="EY8" s="421"/>
      <c r="EZ8" s="3214"/>
      <c r="FA8" s="3214"/>
      <c r="FB8" s="3214"/>
      <c r="FC8" s="3214"/>
      <c r="FD8" s="421"/>
      <c r="FF8" s="421"/>
      <c r="FL8" s="1383"/>
      <c r="FM8" s="1383"/>
    </row>
    <row r="9" spans="1:205" ht="11.25" customHeight="1">
      <c r="A9" s="1888" t="s">
        <v>290</v>
      </c>
      <c r="B9" s="421"/>
      <c r="C9" s="421"/>
      <c r="D9" s="421"/>
      <c r="E9" s="421"/>
      <c r="F9" s="1889"/>
      <c r="G9" s="421"/>
      <c r="H9" s="421"/>
      <c r="I9" s="421"/>
      <c r="J9" s="421"/>
      <c r="K9" s="1889"/>
      <c r="L9" s="421"/>
      <c r="M9" s="421"/>
      <c r="N9" s="421"/>
      <c r="O9" s="421"/>
      <c r="P9" s="1889"/>
      <c r="Q9" s="421"/>
      <c r="R9" s="421"/>
      <c r="S9" s="421"/>
      <c r="T9" s="421"/>
      <c r="U9" s="1889"/>
      <c r="V9" s="421"/>
      <c r="W9" s="421"/>
      <c r="X9" s="421"/>
      <c r="Y9" s="421"/>
      <c r="Z9" s="1889"/>
      <c r="AA9" s="421"/>
      <c r="AB9" s="421"/>
      <c r="AC9" s="421"/>
      <c r="AD9" s="421"/>
      <c r="AE9" s="1889"/>
      <c r="AF9" s="421"/>
      <c r="AG9" s="421"/>
      <c r="AH9" s="421"/>
      <c r="AI9" s="421"/>
      <c r="AJ9" s="1889"/>
      <c r="AK9" s="421"/>
      <c r="AL9" s="421"/>
      <c r="AM9" s="421"/>
      <c r="AN9" s="421"/>
      <c r="AO9" s="1889"/>
      <c r="AP9" s="421"/>
      <c r="AQ9" s="421"/>
      <c r="AR9" s="421"/>
      <c r="AS9" s="421"/>
      <c r="AT9" s="1889"/>
      <c r="AU9" s="421"/>
      <c r="AV9" s="421"/>
      <c r="AW9" s="421"/>
      <c r="AX9" s="421"/>
      <c r="AY9" s="1889"/>
      <c r="AZ9" s="1890"/>
      <c r="BA9" s="424"/>
      <c r="BB9" s="424"/>
      <c r="BC9" s="424"/>
      <c r="BD9" s="1889"/>
      <c r="BE9" s="1890"/>
      <c r="BF9" s="424"/>
      <c r="BG9" s="424"/>
      <c r="BH9" s="424"/>
      <c r="BI9" s="1889"/>
      <c r="BJ9" s="1890"/>
      <c r="BK9" s="424"/>
      <c r="BL9" s="424"/>
      <c r="BM9" s="426"/>
      <c r="BN9" s="1889"/>
      <c r="BO9" s="1890"/>
      <c r="BP9" s="424"/>
      <c r="BQ9" s="424"/>
      <c r="BR9" s="424"/>
      <c r="BS9" s="1889"/>
      <c r="BT9" s="1890"/>
      <c r="BU9" s="424"/>
      <c r="BV9" s="424"/>
      <c r="BW9" s="426"/>
      <c r="BX9" s="1889"/>
      <c r="BY9" s="1890"/>
      <c r="BZ9" s="424"/>
      <c r="CA9" s="424"/>
      <c r="CB9" s="426"/>
      <c r="CC9" s="1889"/>
      <c r="CD9" s="1890"/>
      <c r="CE9" s="424"/>
      <c r="CF9" s="424"/>
      <c r="CG9" s="426"/>
      <c r="CH9" s="1889"/>
      <c r="CI9" s="424"/>
      <c r="CJ9" s="424"/>
      <c r="CK9" s="424"/>
      <c r="CL9" s="426"/>
      <c r="CM9" s="1889"/>
      <c r="CN9" s="424"/>
      <c r="CO9" s="424"/>
      <c r="CP9" s="424"/>
      <c r="CQ9" s="426"/>
      <c r="CR9" s="1889"/>
      <c r="CS9" s="1334">
        <f>('Revenue Drivers'!CS$392/CS$17*CN$17)/SUM(('Revenue Drivers'!CS$186-'Revenue Drivers'!CS$392)/CS$18*CN$18,'Revenue Drivers'!CS$392/CS$17*CN$17)</f>
        <v>0.27165842111159205</v>
      </c>
      <c r="CT9" s="1334">
        <f>('Revenue Drivers'!CT$392/CT$17*CO$17)/SUM(('Revenue Drivers'!CT$186-'Revenue Drivers'!CT$392)/CT$18*CO$18,'Revenue Drivers'!CT$392/CT$17*CO$17)</f>
        <v>0.27037540520276604</v>
      </c>
      <c r="CU9" s="1334">
        <f>('Revenue Drivers'!CU$392/CU$17*CP$17)/SUM(('Revenue Drivers'!CU$186-'Revenue Drivers'!CU$392)/CU$18*CP$18,'Revenue Drivers'!CU$392/CU$17*CP$17)</f>
        <v>0.28839592331466507</v>
      </c>
      <c r="CV9" s="1334">
        <f>('Revenue Drivers'!CV$392/CV$17*CQ$17)/SUM(('Revenue Drivers'!CV$186-'Revenue Drivers'!CV$392)/CV$18*CQ$18,'Revenue Drivers'!CV$392/CV$17*CQ$17)</f>
        <v>0.28602213444940633</v>
      </c>
      <c r="CW9" s="1889">
        <f>AVERAGE(CS9:CV9)</f>
        <v>0.27911297101960736</v>
      </c>
      <c r="CX9" s="1334">
        <f>('Revenue Drivers'!CX$392/CX$17*CS$17)/SUM(('Revenue Drivers'!CX$186-'Revenue Drivers'!CX$392)/CX$18*CS$18,'Revenue Drivers'!CX$392/CX$17*CS$17)</f>
        <v>0.27324128608939913</v>
      </c>
      <c r="CY9" s="1334">
        <v>0.23</v>
      </c>
      <c r="CZ9" s="1334">
        <v>0.3</v>
      </c>
      <c r="DA9" s="1335">
        <v>0.32</v>
      </c>
      <c r="DB9" s="1889">
        <f>AVERAGE(CX9:DA9)</f>
        <v>0.2808103215223498</v>
      </c>
      <c r="DC9" s="1903">
        <f>DG9</f>
        <v>0.35</v>
      </c>
      <c r="DD9" s="636">
        <f>DC9</f>
        <v>0.35</v>
      </c>
      <c r="DE9" s="636">
        <f>DD9</f>
        <v>0.35</v>
      </c>
      <c r="DF9" s="1172">
        <v>0.2</v>
      </c>
      <c r="DG9" s="2239">
        <v>0.35</v>
      </c>
      <c r="DH9" s="1903">
        <f>DL9</f>
        <v>0.22</v>
      </c>
      <c r="DI9" s="636">
        <f>DH9</f>
        <v>0.22</v>
      </c>
      <c r="DJ9" s="636">
        <f>DI9</f>
        <v>0.22</v>
      </c>
      <c r="DK9" s="1172">
        <f>DJ9</f>
        <v>0.22</v>
      </c>
      <c r="DL9" s="2239">
        <v>0.22</v>
      </c>
      <c r="DM9" s="1903">
        <f>DQ9</f>
        <v>0.22</v>
      </c>
      <c r="DN9" s="636">
        <f>DM9</f>
        <v>0.22</v>
      </c>
      <c r="DO9" s="636">
        <f>DN9</f>
        <v>0.22</v>
      </c>
      <c r="DP9" s="1172">
        <f>DO9</f>
        <v>0.22</v>
      </c>
      <c r="DQ9" s="2239">
        <v>0.22</v>
      </c>
      <c r="DR9" s="1903">
        <f>DV9</f>
        <v>0.22</v>
      </c>
      <c r="DS9" s="636">
        <f>DR9</f>
        <v>0.22</v>
      </c>
      <c r="DT9" s="636">
        <f>DS9</f>
        <v>0.22</v>
      </c>
      <c r="DU9" s="1172">
        <f>DT9</f>
        <v>0.22</v>
      </c>
      <c r="DV9" s="2239">
        <v>0.22</v>
      </c>
      <c r="DW9" s="1903">
        <f>EA9</f>
        <v>0.22</v>
      </c>
      <c r="DX9" s="636">
        <f>DW9</f>
        <v>0.22</v>
      </c>
      <c r="DY9" s="636">
        <f>DX9</f>
        <v>0.22</v>
      </c>
      <c r="DZ9" s="1172">
        <f>DY9</f>
        <v>0.22</v>
      </c>
      <c r="EA9" s="2239">
        <v>0.22</v>
      </c>
      <c r="EB9" s="1903">
        <f>EF9</f>
        <v>0.22</v>
      </c>
      <c r="EC9" s="636">
        <f>EB9</f>
        <v>0.22</v>
      </c>
      <c r="ED9" s="636">
        <v>0.25</v>
      </c>
      <c r="EE9" s="1172">
        <f>ED9</f>
        <v>0.25</v>
      </c>
      <c r="EF9" s="5811">
        <v>0.22</v>
      </c>
      <c r="EG9" s="1903">
        <f>EK9</f>
        <v>0.22</v>
      </c>
      <c r="EH9" s="636">
        <f>EG9</f>
        <v>0.22</v>
      </c>
      <c r="EI9" s="636">
        <f>EH9</f>
        <v>0.22</v>
      </c>
      <c r="EJ9" s="1172">
        <f>EI9</f>
        <v>0.22</v>
      </c>
      <c r="EK9" s="5811">
        <v>0.22</v>
      </c>
      <c r="EL9" s="1903">
        <f>EP9</f>
        <v>0.22</v>
      </c>
      <c r="EM9" s="636">
        <f>EL9</f>
        <v>0.22</v>
      </c>
      <c r="EN9" s="636">
        <f>EM9</f>
        <v>0.22</v>
      </c>
      <c r="EO9" s="1172">
        <f>EN9</f>
        <v>0.22</v>
      </c>
      <c r="EP9" s="5811">
        <v>0.22</v>
      </c>
      <c r="EQ9" s="1903">
        <f>EU9</f>
        <v>0.22</v>
      </c>
      <c r="ER9" s="636">
        <f>EQ9</f>
        <v>0.22</v>
      </c>
      <c r="ES9" s="636">
        <f>ER9</f>
        <v>0.22</v>
      </c>
      <c r="ET9" s="1172">
        <f>ES9</f>
        <v>0.22</v>
      </c>
      <c r="EU9" s="5811">
        <v>0.22</v>
      </c>
      <c r="EV9" s="1903">
        <f>EZ9</f>
        <v>0.22</v>
      </c>
      <c r="EW9" s="636">
        <f>EV9</f>
        <v>0.22</v>
      </c>
      <c r="EX9" s="636">
        <f>EW9</f>
        <v>0.22</v>
      </c>
      <c r="EY9" s="1172">
        <f>EX9</f>
        <v>0.22</v>
      </c>
      <c r="EZ9" s="5811">
        <v>0.22</v>
      </c>
      <c r="FA9" s="2239"/>
      <c r="FB9" s="2239"/>
      <c r="FC9" s="2239"/>
      <c r="FD9" s="424"/>
      <c r="FF9" s="424"/>
      <c r="FL9" s="1383"/>
      <c r="FM9" s="1383"/>
    </row>
    <row r="10" spans="1:205" ht="11.25" customHeight="1">
      <c r="A10" s="1888" t="s">
        <v>591</v>
      </c>
      <c r="B10" s="421"/>
      <c r="C10" s="421"/>
      <c r="D10" s="421"/>
      <c r="E10" s="421"/>
      <c r="F10" s="1889"/>
      <c r="G10" s="421"/>
      <c r="H10" s="421"/>
      <c r="I10" s="421"/>
      <c r="J10" s="421"/>
      <c r="K10" s="1889"/>
      <c r="L10" s="421"/>
      <c r="M10" s="421"/>
      <c r="N10" s="421"/>
      <c r="O10" s="421"/>
      <c r="P10" s="1889"/>
      <c r="Q10" s="421"/>
      <c r="R10" s="421"/>
      <c r="S10" s="421"/>
      <c r="T10" s="421"/>
      <c r="U10" s="1889"/>
      <c r="V10" s="421"/>
      <c r="W10" s="421"/>
      <c r="X10" s="421"/>
      <c r="Y10" s="421"/>
      <c r="Z10" s="1889"/>
      <c r="AA10" s="421"/>
      <c r="AB10" s="421"/>
      <c r="AC10" s="421"/>
      <c r="AD10" s="421"/>
      <c r="AE10" s="1889"/>
      <c r="AF10" s="421"/>
      <c r="AG10" s="421"/>
      <c r="AH10" s="421"/>
      <c r="AI10" s="421"/>
      <c r="AJ10" s="1889"/>
      <c r="AK10" s="421"/>
      <c r="AL10" s="421"/>
      <c r="AM10" s="421"/>
      <c r="AN10" s="421"/>
      <c r="AO10" s="1889"/>
      <c r="AP10" s="421"/>
      <c r="AQ10" s="421"/>
      <c r="AR10" s="421"/>
      <c r="AS10" s="421"/>
      <c r="AT10" s="1889"/>
      <c r="AU10" s="421"/>
      <c r="AV10" s="421"/>
      <c r="AW10" s="421"/>
      <c r="AX10" s="421"/>
      <c r="AY10" s="1889"/>
      <c r="AZ10" s="1890"/>
      <c r="BA10" s="424"/>
      <c r="BB10" s="424"/>
      <c r="BC10" s="424"/>
      <c r="BD10" s="1889"/>
      <c r="BE10" s="1890"/>
      <c r="BF10" s="424"/>
      <c r="BG10" s="424"/>
      <c r="BH10" s="424"/>
      <c r="BI10" s="1889"/>
      <c r="BJ10" s="1890"/>
      <c r="BK10" s="424"/>
      <c r="BL10" s="424"/>
      <c r="BM10" s="426"/>
      <c r="BN10" s="1889"/>
      <c r="BO10" s="1890"/>
      <c r="BP10" s="424"/>
      <c r="BQ10" s="424"/>
      <c r="BR10" s="424"/>
      <c r="BS10" s="1889"/>
      <c r="BT10" s="1890"/>
      <c r="BU10" s="424"/>
      <c r="BV10" s="424"/>
      <c r="BW10" s="426"/>
      <c r="BX10" s="1889"/>
      <c r="BY10" s="1890"/>
      <c r="BZ10" s="424"/>
      <c r="CA10" s="424"/>
      <c r="CB10" s="426"/>
      <c r="CC10" s="1889"/>
      <c r="CD10" s="1890"/>
      <c r="CE10" s="424"/>
      <c r="CF10" s="424"/>
      <c r="CG10" s="426"/>
      <c r="CH10" s="1889"/>
      <c r="CI10" s="424"/>
      <c r="CJ10" s="424"/>
      <c r="CK10" s="424"/>
      <c r="CL10" s="426"/>
      <c r="CM10" s="1889"/>
      <c r="CN10" s="424"/>
      <c r="CO10" s="424"/>
      <c r="CP10" s="424"/>
      <c r="CQ10" s="426"/>
      <c r="CR10" s="1889"/>
      <c r="CS10" s="636">
        <f t="shared" ref="CS10:CX10" si="0">1-CS9-SUM(CS11:CS13)</f>
        <v>0.65834157888840794</v>
      </c>
      <c r="CT10" s="636">
        <f t="shared" si="0"/>
        <v>0.6596245947972339</v>
      </c>
      <c r="CU10" s="636">
        <f t="shared" si="0"/>
        <v>0.64160407668533481</v>
      </c>
      <c r="CV10" s="636">
        <f t="shared" si="0"/>
        <v>0.64397786555059366</v>
      </c>
      <c r="CW10" s="1889">
        <f t="shared" si="0"/>
        <v>0.65088702898039252</v>
      </c>
      <c r="CX10" s="1903">
        <f t="shared" si="0"/>
        <v>0.65675871391060081</v>
      </c>
      <c r="CY10" s="636">
        <f t="shared" ref="CY10:DL10" si="1">1-CY9-SUM(CY11:CY13)</f>
        <v>0.7</v>
      </c>
      <c r="CZ10" s="636">
        <f t="shared" si="1"/>
        <v>0.62999999999999989</v>
      </c>
      <c r="DA10" s="1172">
        <f t="shared" si="1"/>
        <v>0.57999999999999996</v>
      </c>
      <c r="DB10" s="1889">
        <f t="shared" si="1"/>
        <v>0.64168967847765013</v>
      </c>
      <c r="DC10" s="1903">
        <f t="shared" si="1"/>
        <v>0.46</v>
      </c>
      <c r="DD10" s="636">
        <f t="shared" si="1"/>
        <v>0.56000000000000005</v>
      </c>
      <c r="DE10" s="636">
        <f t="shared" si="1"/>
        <v>0.61</v>
      </c>
      <c r="DF10" s="1172">
        <f t="shared" si="1"/>
        <v>0.76</v>
      </c>
      <c r="DG10" s="1889">
        <f t="shared" si="1"/>
        <v>0.56000000000000005</v>
      </c>
      <c r="DH10" s="1903">
        <f t="shared" si="1"/>
        <v>0.74</v>
      </c>
      <c r="DI10" s="636">
        <f t="shared" si="1"/>
        <v>0.74</v>
      </c>
      <c r="DJ10" s="636">
        <f t="shared" si="1"/>
        <v>0.74</v>
      </c>
      <c r="DK10" s="1172">
        <f t="shared" si="1"/>
        <v>0.74</v>
      </c>
      <c r="DL10" s="1889">
        <f t="shared" si="1"/>
        <v>0.74</v>
      </c>
      <c r="DM10" s="1903">
        <f t="shared" ref="DM10:DV10" si="2">1-DM9-SUM(DM11:DM13)</f>
        <v>0.74</v>
      </c>
      <c r="DN10" s="636">
        <f t="shared" si="2"/>
        <v>0.74</v>
      </c>
      <c r="DO10" s="636">
        <f t="shared" si="2"/>
        <v>0.74</v>
      </c>
      <c r="DP10" s="1172">
        <f t="shared" si="2"/>
        <v>0.74</v>
      </c>
      <c r="DQ10" s="1889">
        <f t="shared" si="2"/>
        <v>0.74</v>
      </c>
      <c r="DR10" s="1903">
        <f t="shared" si="2"/>
        <v>0.74</v>
      </c>
      <c r="DS10" s="636">
        <f t="shared" si="2"/>
        <v>0.74</v>
      </c>
      <c r="DT10" s="636">
        <f t="shared" si="2"/>
        <v>0.74</v>
      </c>
      <c r="DU10" s="1172">
        <f t="shared" si="2"/>
        <v>0.75</v>
      </c>
      <c r="DV10" s="1889">
        <f t="shared" si="2"/>
        <v>0.74250000000000005</v>
      </c>
      <c r="DW10" s="1903">
        <f t="shared" ref="DW10:EF10" si="3">1-DW9-SUM(DW11:DW13)</f>
        <v>0.75</v>
      </c>
      <c r="DX10" s="636">
        <f t="shared" si="3"/>
        <v>0.74</v>
      </c>
      <c r="DY10" s="636">
        <f t="shared" si="3"/>
        <v>0.74</v>
      </c>
      <c r="DZ10" s="1172">
        <f t="shared" si="3"/>
        <v>0.74</v>
      </c>
      <c r="EA10" s="1889">
        <f t="shared" si="3"/>
        <v>0.74250000000000005</v>
      </c>
      <c r="EB10" s="1903">
        <f t="shared" si="3"/>
        <v>0.76</v>
      </c>
      <c r="EC10" s="636">
        <f t="shared" si="3"/>
        <v>0.73</v>
      </c>
      <c r="ED10" s="636">
        <f t="shared" si="3"/>
        <v>0.69</v>
      </c>
      <c r="EE10" s="1172">
        <f t="shared" si="3"/>
        <v>0.69</v>
      </c>
      <c r="EF10" s="1889">
        <f t="shared" si="3"/>
        <v>0.73250000000000004</v>
      </c>
      <c r="EG10" s="1903">
        <f t="shared" ref="EG10:EP10" si="4">1-EG9-SUM(EG11:EG13)</f>
        <v>0.72</v>
      </c>
      <c r="EH10" s="636">
        <f t="shared" si="4"/>
        <v>0.72</v>
      </c>
      <c r="EI10" s="636">
        <f t="shared" si="4"/>
        <v>0.72</v>
      </c>
      <c r="EJ10" s="1172">
        <f t="shared" si="4"/>
        <v>0.72</v>
      </c>
      <c r="EK10" s="1889">
        <f t="shared" si="4"/>
        <v>0.72</v>
      </c>
      <c r="EL10" s="1903">
        <f t="shared" si="4"/>
        <v>0.72</v>
      </c>
      <c r="EM10" s="636">
        <f t="shared" si="4"/>
        <v>0.72</v>
      </c>
      <c r="EN10" s="636">
        <f t="shared" si="4"/>
        <v>0.72</v>
      </c>
      <c r="EO10" s="1172">
        <f t="shared" si="4"/>
        <v>0.72</v>
      </c>
      <c r="EP10" s="1889">
        <f t="shared" si="4"/>
        <v>0.72</v>
      </c>
      <c r="EQ10" s="1903">
        <f t="shared" ref="EQ10:EU10" si="5">1-EQ9-SUM(EQ11:EQ13)</f>
        <v>0.72</v>
      </c>
      <c r="ER10" s="636">
        <f t="shared" si="5"/>
        <v>0.72</v>
      </c>
      <c r="ES10" s="636">
        <f t="shared" si="5"/>
        <v>0.72</v>
      </c>
      <c r="ET10" s="1172">
        <f t="shared" si="5"/>
        <v>0.72</v>
      </c>
      <c r="EU10" s="1889">
        <f t="shared" si="5"/>
        <v>0.72</v>
      </c>
      <c r="EV10" s="1903">
        <f t="shared" ref="EV10:EZ10" si="6">1-EV9-SUM(EV11:EV13)</f>
        <v>0.72</v>
      </c>
      <c r="EW10" s="636">
        <f t="shared" si="6"/>
        <v>0.72</v>
      </c>
      <c r="EX10" s="636">
        <f t="shared" si="6"/>
        <v>0.72</v>
      </c>
      <c r="EY10" s="1172">
        <f t="shared" si="6"/>
        <v>0.72</v>
      </c>
      <c r="EZ10" s="1889">
        <f t="shared" si="6"/>
        <v>0.72</v>
      </c>
      <c r="FA10" s="1889"/>
      <c r="FB10" s="1889"/>
      <c r="FC10" s="1889"/>
      <c r="FD10" s="424"/>
      <c r="FF10" s="424"/>
      <c r="FL10" s="1383"/>
      <c r="FM10" s="1383"/>
    </row>
    <row r="11" spans="1:205" ht="11.25" customHeight="1">
      <c r="A11" s="3459" t="s">
        <v>717</v>
      </c>
      <c r="B11" s="421"/>
      <c r="C11" s="421"/>
      <c r="D11" s="421"/>
      <c r="E11" s="421"/>
      <c r="F11" s="3460"/>
      <c r="G11" s="421"/>
      <c r="H11" s="421"/>
      <c r="I11" s="421"/>
      <c r="J11" s="421"/>
      <c r="K11" s="3460"/>
      <c r="L11" s="421"/>
      <c r="M11" s="421"/>
      <c r="N11" s="421"/>
      <c r="O11" s="421"/>
      <c r="P11" s="3460"/>
      <c r="Q11" s="421"/>
      <c r="R11" s="421"/>
      <c r="S11" s="421"/>
      <c r="T11" s="421"/>
      <c r="U11" s="3460"/>
      <c r="V11" s="421"/>
      <c r="W11" s="421"/>
      <c r="X11" s="421"/>
      <c r="Y11" s="421"/>
      <c r="Z11" s="3460"/>
      <c r="AA11" s="421"/>
      <c r="AB11" s="421"/>
      <c r="AC11" s="421"/>
      <c r="AD11" s="421"/>
      <c r="AE11" s="3460"/>
      <c r="AF11" s="421"/>
      <c r="AG11" s="421"/>
      <c r="AH11" s="421"/>
      <c r="AI11" s="421"/>
      <c r="AJ11" s="3460"/>
      <c r="AK11" s="421"/>
      <c r="AL11" s="421"/>
      <c r="AM11" s="421"/>
      <c r="AN11" s="421"/>
      <c r="AO11" s="3460"/>
      <c r="AP11" s="421"/>
      <c r="AQ11" s="421"/>
      <c r="AR11" s="421"/>
      <c r="AS11" s="421"/>
      <c r="AT11" s="3460"/>
      <c r="AU11" s="421"/>
      <c r="AV11" s="421"/>
      <c r="AW11" s="421"/>
      <c r="AX11" s="421"/>
      <c r="AY11" s="3460"/>
      <c r="AZ11" s="3461"/>
      <c r="BA11" s="424"/>
      <c r="BB11" s="424"/>
      <c r="BC11" s="424"/>
      <c r="BD11" s="3460"/>
      <c r="BE11" s="3461"/>
      <c r="BF11" s="424"/>
      <c r="BG11" s="424"/>
      <c r="BH11" s="424"/>
      <c r="BI11" s="3460"/>
      <c r="BJ11" s="3461"/>
      <c r="BK11" s="424"/>
      <c r="BL11" s="424"/>
      <c r="BM11" s="1247"/>
      <c r="BN11" s="3460"/>
      <c r="BO11" s="3461"/>
      <c r="BP11" s="424"/>
      <c r="BQ11" s="424"/>
      <c r="BR11" s="424"/>
      <c r="BS11" s="3460"/>
      <c r="BT11" s="3461"/>
      <c r="BU11" s="424"/>
      <c r="BV11" s="424"/>
      <c r="BW11" s="1247"/>
      <c r="BX11" s="3460"/>
      <c r="BY11" s="3461"/>
      <c r="BZ11" s="424"/>
      <c r="CA11" s="424"/>
      <c r="CB11" s="1247"/>
      <c r="CC11" s="3460"/>
      <c r="CD11" s="3461"/>
      <c r="CE11" s="424"/>
      <c r="CF11" s="424"/>
      <c r="CG11" s="1247"/>
      <c r="CH11" s="3460"/>
      <c r="CI11" s="424"/>
      <c r="CJ11" s="424"/>
      <c r="CK11" s="424"/>
      <c r="CL11" s="1247"/>
      <c r="CM11" s="3460"/>
      <c r="CN11" s="424"/>
      <c r="CO11" s="424"/>
      <c r="CP11" s="424"/>
      <c r="CQ11" s="1247"/>
      <c r="CR11" s="3460"/>
      <c r="CS11" s="636">
        <f t="shared" ref="CS11:CU13" si="7">CT11</f>
        <v>0.05</v>
      </c>
      <c r="CT11" s="636">
        <f t="shared" si="7"/>
        <v>0.05</v>
      </c>
      <c r="CU11" s="636">
        <f t="shared" si="7"/>
        <v>0.05</v>
      </c>
      <c r="CV11" s="636">
        <f>CX11</f>
        <v>0.05</v>
      </c>
      <c r="CW11" s="3460">
        <f>AVERAGE(CS11:CV11)</f>
        <v>0.05</v>
      </c>
      <c r="CX11" s="3462">
        <v>0.05</v>
      </c>
      <c r="CY11" s="636">
        <f t="shared" ref="CY11:CZ13" si="8">CX11</f>
        <v>0.05</v>
      </c>
      <c r="CZ11" s="636">
        <f t="shared" si="8"/>
        <v>0.05</v>
      </c>
      <c r="DA11" s="1334">
        <v>0.03</v>
      </c>
      <c r="DB11" s="1889">
        <f>AVERAGE(CX11:DA11)</f>
        <v>4.5000000000000005E-2</v>
      </c>
      <c r="DC11" s="3462">
        <v>0.05</v>
      </c>
      <c r="DD11" s="636">
        <v>0.04</v>
      </c>
      <c r="DE11" s="1334">
        <v>0.02</v>
      </c>
      <c r="DF11" s="636">
        <v>0.02</v>
      </c>
      <c r="DG11" s="1889">
        <f>AVERAGE(DC11:DF11)</f>
        <v>3.2500000000000001E-2</v>
      </c>
      <c r="DH11" s="3462">
        <f>DF11</f>
        <v>0.02</v>
      </c>
      <c r="DI11" s="636">
        <f t="shared" ref="DI11:DK13" si="9">DH11</f>
        <v>0.02</v>
      </c>
      <c r="DJ11" s="636">
        <f t="shared" si="9"/>
        <v>0.02</v>
      </c>
      <c r="DK11" s="636">
        <f t="shared" si="9"/>
        <v>0.02</v>
      </c>
      <c r="DL11" s="1889">
        <f>AVERAGE(DH11:DK11)</f>
        <v>0.02</v>
      </c>
      <c r="DM11" s="3462">
        <f>DK11</f>
        <v>0.02</v>
      </c>
      <c r="DN11" s="636">
        <f t="shared" ref="DN11:DP13" si="10">DM11</f>
        <v>0.02</v>
      </c>
      <c r="DO11" s="636">
        <f t="shared" si="10"/>
        <v>0.02</v>
      </c>
      <c r="DP11" s="636">
        <f t="shared" si="10"/>
        <v>0.02</v>
      </c>
      <c r="DQ11" s="1889">
        <f>AVERAGE(DM11:DP11)</f>
        <v>0.02</v>
      </c>
      <c r="DR11" s="3462">
        <f>DP11</f>
        <v>0.02</v>
      </c>
      <c r="DS11" s="636">
        <f t="shared" ref="DS11:DU13" si="11">DR11</f>
        <v>0.02</v>
      </c>
      <c r="DT11" s="636">
        <f t="shared" si="11"/>
        <v>0.02</v>
      </c>
      <c r="DU11" s="636">
        <f t="shared" si="11"/>
        <v>0.02</v>
      </c>
      <c r="DV11" s="1889">
        <f>AVERAGE(DR11:DU11)</f>
        <v>0.02</v>
      </c>
      <c r="DW11" s="3462">
        <f>DU11</f>
        <v>0.02</v>
      </c>
      <c r="DX11" s="1334">
        <v>0</v>
      </c>
      <c r="DY11" s="636">
        <f t="shared" ref="DX11:DZ13" si="12">DX11</f>
        <v>0</v>
      </c>
      <c r="DZ11" s="636">
        <f t="shared" si="12"/>
        <v>0</v>
      </c>
      <c r="EA11" s="3460">
        <f>AVERAGE(DW11:DZ11)</f>
        <v>5.0000000000000001E-3</v>
      </c>
      <c r="EB11" s="3462">
        <f>DZ11</f>
        <v>0</v>
      </c>
      <c r="EC11" s="636">
        <f t="shared" ref="EC11:EE13" si="13">EB11</f>
        <v>0</v>
      </c>
      <c r="ED11" s="636">
        <f t="shared" si="13"/>
        <v>0</v>
      </c>
      <c r="EE11" s="636">
        <f t="shared" si="13"/>
        <v>0</v>
      </c>
      <c r="EF11" s="3460">
        <f>AVERAGE(EB11:EE11)</f>
        <v>0</v>
      </c>
      <c r="EG11" s="3462">
        <f>EE11</f>
        <v>0</v>
      </c>
      <c r="EH11" s="636">
        <f t="shared" ref="EH11:EJ13" si="14">EG11</f>
        <v>0</v>
      </c>
      <c r="EI11" s="636">
        <f t="shared" si="14"/>
        <v>0</v>
      </c>
      <c r="EJ11" s="636">
        <f t="shared" si="14"/>
        <v>0</v>
      </c>
      <c r="EK11" s="3460">
        <f>AVERAGE(EG11:EJ11)</f>
        <v>0</v>
      </c>
      <c r="EL11" s="3462">
        <f>EJ11</f>
        <v>0</v>
      </c>
      <c r="EM11" s="636">
        <f t="shared" ref="EM11:EO13" si="15">EL11</f>
        <v>0</v>
      </c>
      <c r="EN11" s="636">
        <f t="shared" si="15"/>
        <v>0</v>
      </c>
      <c r="EO11" s="636">
        <f t="shared" si="15"/>
        <v>0</v>
      </c>
      <c r="EP11" s="3460">
        <f>AVERAGE(EL11:EO11)</f>
        <v>0</v>
      </c>
      <c r="EQ11" s="3462">
        <f>EO11</f>
        <v>0</v>
      </c>
      <c r="ER11" s="636">
        <f t="shared" ref="ER11:ER13" si="16">EQ11</f>
        <v>0</v>
      </c>
      <c r="ES11" s="636">
        <f t="shared" ref="ES11:ES13" si="17">ER11</f>
        <v>0</v>
      </c>
      <c r="ET11" s="636">
        <f t="shared" ref="ET11:ET13" si="18">ES11</f>
        <v>0</v>
      </c>
      <c r="EU11" s="3460">
        <f>AVERAGE(EQ11:ET11)</f>
        <v>0</v>
      </c>
      <c r="EV11" s="3462">
        <f>ET11</f>
        <v>0</v>
      </c>
      <c r="EW11" s="636">
        <f t="shared" ref="EW11:EW13" si="19">EV11</f>
        <v>0</v>
      </c>
      <c r="EX11" s="636">
        <f t="shared" ref="EX11:EX13" si="20">EW11</f>
        <v>0</v>
      </c>
      <c r="EY11" s="636">
        <f t="shared" ref="EY11:EY13" si="21">EX11</f>
        <v>0</v>
      </c>
      <c r="EZ11" s="3460">
        <f>AVERAGE(EV11:EY11)</f>
        <v>0</v>
      </c>
      <c r="FA11" s="3460"/>
      <c r="FB11" s="3460"/>
      <c r="FC11" s="3460"/>
      <c r="FD11" s="424"/>
      <c r="FF11" s="424"/>
      <c r="FL11" s="1383"/>
      <c r="FM11" s="1383"/>
    </row>
    <row r="12" spans="1:205" ht="11.25" customHeight="1">
      <c r="A12" s="3459" t="s">
        <v>718</v>
      </c>
      <c r="B12" s="421"/>
      <c r="C12" s="421"/>
      <c r="D12" s="421"/>
      <c r="E12" s="421"/>
      <c r="F12" s="3460"/>
      <c r="G12" s="421"/>
      <c r="H12" s="421"/>
      <c r="I12" s="421"/>
      <c r="J12" s="421"/>
      <c r="K12" s="3460"/>
      <c r="L12" s="421"/>
      <c r="M12" s="421"/>
      <c r="N12" s="421"/>
      <c r="O12" s="421"/>
      <c r="P12" s="3460"/>
      <c r="Q12" s="421"/>
      <c r="R12" s="421"/>
      <c r="S12" s="421"/>
      <c r="T12" s="421"/>
      <c r="U12" s="3460"/>
      <c r="V12" s="421"/>
      <c r="W12" s="421"/>
      <c r="X12" s="421"/>
      <c r="Y12" s="421"/>
      <c r="Z12" s="3460"/>
      <c r="AA12" s="421"/>
      <c r="AB12" s="421"/>
      <c r="AC12" s="421"/>
      <c r="AD12" s="421"/>
      <c r="AE12" s="3460"/>
      <c r="AF12" s="421"/>
      <c r="AG12" s="421"/>
      <c r="AH12" s="421"/>
      <c r="AI12" s="421"/>
      <c r="AJ12" s="3460"/>
      <c r="AK12" s="421"/>
      <c r="AL12" s="421"/>
      <c r="AM12" s="421"/>
      <c r="AN12" s="421"/>
      <c r="AO12" s="3460"/>
      <c r="AP12" s="421"/>
      <c r="AQ12" s="421"/>
      <c r="AR12" s="421"/>
      <c r="AS12" s="421"/>
      <c r="AT12" s="3460"/>
      <c r="AU12" s="421"/>
      <c r="AV12" s="421"/>
      <c r="AW12" s="421"/>
      <c r="AX12" s="421"/>
      <c r="AY12" s="3460"/>
      <c r="AZ12" s="3461"/>
      <c r="BA12" s="424"/>
      <c r="BB12" s="424"/>
      <c r="BC12" s="424"/>
      <c r="BD12" s="3460"/>
      <c r="BE12" s="3461"/>
      <c r="BF12" s="424"/>
      <c r="BG12" s="424"/>
      <c r="BH12" s="424"/>
      <c r="BI12" s="3460"/>
      <c r="BJ12" s="3461"/>
      <c r="BK12" s="424"/>
      <c r="BL12" s="424"/>
      <c r="BM12" s="1247"/>
      <c r="BN12" s="3460"/>
      <c r="BO12" s="3461"/>
      <c r="BP12" s="424"/>
      <c r="BQ12" s="424"/>
      <c r="BR12" s="424"/>
      <c r="BS12" s="3460"/>
      <c r="BT12" s="3461"/>
      <c r="BU12" s="424"/>
      <c r="BV12" s="424"/>
      <c r="BW12" s="1247"/>
      <c r="BX12" s="3460"/>
      <c r="BY12" s="3461"/>
      <c r="BZ12" s="424"/>
      <c r="CA12" s="424"/>
      <c r="CB12" s="1247"/>
      <c r="CC12" s="3460"/>
      <c r="CD12" s="3461"/>
      <c r="CE12" s="424"/>
      <c r="CF12" s="424"/>
      <c r="CG12" s="1247"/>
      <c r="CH12" s="3460"/>
      <c r="CI12" s="424"/>
      <c r="CJ12" s="424"/>
      <c r="CK12" s="424"/>
      <c r="CL12" s="1247"/>
      <c r="CM12" s="3460"/>
      <c r="CN12" s="424"/>
      <c r="CO12" s="424"/>
      <c r="CP12" s="424"/>
      <c r="CQ12" s="1247"/>
      <c r="CR12" s="3460"/>
      <c r="CS12" s="636">
        <f t="shared" si="7"/>
        <v>0.02</v>
      </c>
      <c r="CT12" s="636">
        <f t="shared" si="7"/>
        <v>0.02</v>
      </c>
      <c r="CU12" s="636">
        <f t="shared" si="7"/>
        <v>0.02</v>
      </c>
      <c r="CV12" s="636">
        <f>CX12</f>
        <v>0.02</v>
      </c>
      <c r="CW12" s="3460">
        <f>AVERAGE(CS12:CV12)</f>
        <v>0.02</v>
      </c>
      <c r="CX12" s="3462">
        <v>0.02</v>
      </c>
      <c r="CY12" s="636">
        <f t="shared" si="8"/>
        <v>0.02</v>
      </c>
      <c r="CZ12" s="636">
        <f t="shared" si="8"/>
        <v>0.02</v>
      </c>
      <c r="DA12" s="1334">
        <v>7.0000000000000007E-2</v>
      </c>
      <c r="DB12" s="1889">
        <f>AVERAGE(CX12:DA12)</f>
        <v>3.2500000000000001E-2</v>
      </c>
      <c r="DC12" s="3462">
        <v>0.14000000000000001</v>
      </c>
      <c r="DD12" s="636">
        <v>0.05</v>
      </c>
      <c r="DE12" s="1334">
        <v>0.02</v>
      </c>
      <c r="DF12" s="636">
        <v>0.02</v>
      </c>
      <c r="DG12" s="1889">
        <f>AVERAGE(DC12:DF12)</f>
        <v>5.7499999999999996E-2</v>
      </c>
      <c r="DH12" s="3462">
        <f>DF12</f>
        <v>0.02</v>
      </c>
      <c r="DI12" s="636">
        <f t="shared" si="9"/>
        <v>0.02</v>
      </c>
      <c r="DJ12" s="636">
        <f t="shared" si="9"/>
        <v>0.02</v>
      </c>
      <c r="DK12" s="636">
        <f t="shared" si="9"/>
        <v>0.02</v>
      </c>
      <c r="DL12" s="1889">
        <f>AVERAGE(DH12:DK12)</f>
        <v>0.02</v>
      </c>
      <c r="DM12" s="3462">
        <f>DK12</f>
        <v>0.02</v>
      </c>
      <c r="DN12" s="636">
        <f t="shared" si="10"/>
        <v>0.02</v>
      </c>
      <c r="DO12" s="636">
        <f t="shared" si="10"/>
        <v>0.02</v>
      </c>
      <c r="DP12" s="636">
        <f t="shared" si="10"/>
        <v>0.02</v>
      </c>
      <c r="DQ12" s="1889">
        <f>AVERAGE(DM12:DP12)</f>
        <v>0.02</v>
      </c>
      <c r="DR12" s="3462">
        <f>DP12</f>
        <v>0.02</v>
      </c>
      <c r="DS12" s="636">
        <f t="shared" si="11"/>
        <v>0.02</v>
      </c>
      <c r="DT12" s="636">
        <f t="shared" si="11"/>
        <v>0.02</v>
      </c>
      <c r="DU12" s="636">
        <v>0.01</v>
      </c>
      <c r="DV12" s="1889">
        <f>AVERAGE(DR12:DU12)</f>
        <v>1.7499999999999998E-2</v>
      </c>
      <c r="DW12" s="3462">
        <f>DU12</f>
        <v>0.01</v>
      </c>
      <c r="DX12" s="636">
        <v>0.04</v>
      </c>
      <c r="DY12" s="636">
        <f t="shared" si="12"/>
        <v>0.04</v>
      </c>
      <c r="DZ12" s="636">
        <f t="shared" si="12"/>
        <v>0.04</v>
      </c>
      <c r="EA12" s="3460">
        <f>AVERAGE(DW12:DZ12)</f>
        <v>3.2500000000000001E-2</v>
      </c>
      <c r="EB12" s="5801">
        <v>0.02</v>
      </c>
      <c r="EC12" s="1334">
        <v>0.05</v>
      </c>
      <c r="ED12" s="636">
        <v>0.06</v>
      </c>
      <c r="EE12" s="636">
        <f t="shared" si="13"/>
        <v>0.06</v>
      </c>
      <c r="EF12" s="3460">
        <f>AVERAGE(EB12:EE12)</f>
        <v>4.7500000000000001E-2</v>
      </c>
      <c r="EG12" s="3462">
        <f>EE12</f>
        <v>0.06</v>
      </c>
      <c r="EH12" s="636">
        <f t="shared" si="14"/>
        <v>0.06</v>
      </c>
      <c r="EI12" s="636">
        <f t="shared" si="14"/>
        <v>0.06</v>
      </c>
      <c r="EJ12" s="636">
        <f t="shared" si="14"/>
        <v>0.06</v>
      </c>
      <c r="EK12" s="3460">
        <f>AVERAGE(EG12:EJ12)</f>
        <v>0.06</v>
      </c>
      <c r="EL12" s="3462">
        <f>EJ12</f>
        <v>0.06</v>
      </c>
      <c r="EM12" s="636">
        <f t="shared" si="15"/>
        <v>0.06</v>
      </c>
      <c r="EN12" s="636">
        <f t="shared" si="15"/>
        <v>0.06</v>
      </c>
      <c r="EO12" s="636">
        <f t="shared" si="15"/>
        <v>0.06</v>
      </c>
      <c r="EP12" s="3460">
        <f>AVERAGE(EL12:EO12)</f>
        <v>0.06</v>
      </c>
      <c r="EQ12" s="3462">
        <f>EO12</f>
        <v>0.06</v>
      </c>
      <c r="ER12" s="636">
        <f t="shared" si="16"/>
        <v>0.06</v>
      </c>
      <c r="ES12" s="636">
        <f t="shared" si="17"/>
        <v>0.06</v>
      </c>
      <c r="ET12" s="636">
        <f t="shared" si="18"/>
        <v>0.06</v>
      </c>
      <c r="EU12" s="3460">
        <f>AVERAGE(EQ12:ET12)</f>
        <v>0.06</v>
      </c>
      <c r="EV12" s="3462">
        <f>ET12</f>
        <v>0.06</v>
      </c>
      <c r="EW12" s="636">
        <f t="shared" si="19"/>
        <v>0.06</v>
      </c>
      <c r="EX12" s="636">
        <f t="shared" si="20"/>
        <v>0.06</v>
      </c>
      <c r="EY12" s="636">
        <f t="shared" si="21"/>
        <v>0.06</v>
      </c>
      <c r="EZ12" s="3460">
        <f>AVERAGE(EV12:EY12)</f>
        <v>0.06</v>
      </c>
      <c r="FA12" s="3460"/>
      <c r="FB12" s="3460"/>
      <c r="FC12" s="3460"/>
      <c r="FD12" s="424"/>
      <c r="FF12" s="424"/>
      <c r="FL12" s="1383"/>
      <c r="FM12" s="1383"/>
    </row>
    <row r="13" spans="1:205" ht="11.25" customHeight="1">
      <c r="A13" s="1888" t="s">
        <v>398</v>
      </c>
      <c r="B13" s="421"/>
      <c r="C13" s="421"/>
      <c r="D13" s="421"/>
      <c r="E13" s="421"/>
      <c r="F13" s="1889"/>
      <c r="G13" s="421"/>
      <c r="H13" s="421"/>
      <c r="I13" s="421"/>
      <c r="J13" s="421"/>
      <c r="K13" s="1889"/>
      <c r="L13" s="421"/>
      <c r="M13" s="421"/>
      <c r="N13" s="421"/>
      <c r="O13" s="421"/>
      <c r="P13" s="1889"/>
      <c r="Q13" s="421"/>
      <c r="R13" s="421"/>
      <c r="S13" s="421"/>
      <c r="T13" s="421"/>
      <c r="U13" s="1889"/>
      <c r="V13" s="421"/>
      <c r="W13" s="421"/>
      <c r="X13" s="421"/>
      <c r="Y13" s="421"/>
      <c r="Z13" s="1889"/>
      <c r="AA13" s="421"/>
      <c r="AB13" s="421"/>
      <c r="AC13" s="421"/>
      <c r="AD13" s="421"/>
      <c r="AE13" s="1889"/>
      <c r="AF13" s="421"/>
      <c r="AG13" s="421"/>
      <c r="AH13" s="421"/>
      <c r="AI13" s="421"/>
      <c r="AJ13" s="1889"/>
      <c r="AK13" s="421"/>
      <c r="AL13" s="421"/>
      <c r="AM13" s="421"/>
      <c r="AN13" s="421"/>
      <c r="AO13" s="1889"/>
      <c r="AP13" s="421"/>
      <c r="AQ13" s="421"/>
      <c r="AR13" s="421"/>
      <c r="AS13" s="421"/>
      <c r="AT13" s="1889"/>
      <c r="AU13" s="421"/>
      <c r="AV13" s="421"/>
      <c r="AW13" s="421"/>
      <c r="AX13" s="421"/>
      <c r="AY13" s="1889"/>
      <c r="AZ13" s="1890"/>
      <c r="BA13" s="424"/>
      <c r="BB13" s="424"/>
      <c r="BC13" s="424"/>
      <c r="BD13" s="1889"/>
      <c r="BE13" s="1890"/>
      <c r="BF13" s="424"/>
      <c r="BG13" s="424"/>
      <c r="BH13" s="424"/>
      <c r="BI13" s="1889"/>
      <c r="BJ13" s="1890"/>
      <c r="BK13" s="424"/>
      <c r="BL13" s="424"/>
      <c r="BM13" s="426"/>
      <c r="BN13" s="1889"/>
      <c r="BO13" s="1890"/>
      <c r="BP13" s="424"/>
      <c r="BQ13" s="424"/>
      <c r="BR13" s="424"/>
      <c r="BS13" s="1889"/>
      <c r="BT13" s="1890"/>
      <c r="BU13" s="424"/>
      <c r="BV13" s="424"/>
      <c r="BW13" s="426"/>
      <c r="BX13" s="1889"/>
      <c r="BY13" s="1890"/>
      <c r="BZ13" s="424"/>
      <c r="CA13" s="424"/>
      <c r="CB13" s="426"/>
      <c r="CC13" s="1889"/>
      <c r="CD13" s="1890"/>
      <c r="CE13" s="424"/>
      <c r="CF13" s="424"/>
      <c r="CG13" s="426"/>
      <c r="CH13" s="1889"/>
      <c r="CI13" s="424"/>
      <c r="CJ13" s="424"/>
      <c r="CK13" s="424"/>
      <c r="CL13" s="426"/>
      <c r="CM13" s="1889"/>
      <c r="CN13" s="424"/>
      <c r="CO13" s="424"/>
      <c r="CP13" s="424"/>
      <c r="CQ13" s="426"/>
      <c r="CR13" s="1889"/>
      <c r="CS13" s="636">
        <f t="shared" si="7"/>
        <v>0</v>
      </c>
      <c r="CT13" s="636">
        <f t="shared" si="7"/>
        <v>0</v>
      </c>
      <c r="CU13" s="636">
        <f t="shared" si="7"/>
        <v>0</v>
      </c>
      <c r="CV13" s="636">
        <f>CX13</f>
        <v>0</v>
      </c>
      <c r="CW13" s="1889">
        <f>AVERAGE(CS13:CV13)</f>
        <v>0</v>
      </c>
      <c r="CX13" s="1890">
        <v>0</v>
      </c>
      <c r="CY13" s="636">
        <f t="shared" si="8"/>
        <v>0</v>
      </c>
      <c r="CZ13" s="636">
        <f t="shared" si="8"/>
        <v>0</v>
      </c>
      <c r="DA13" s="636">
        <f>CZ13</f>
        <v>0</v>
      </c>
      <c r="DB13" s="1889">
        <f>AVERAGE(CX13:DA13)</f>
        <v>0</v>
      </c>
      <c r="DC13" s="1903">
        <f>DA13</f>
        <v>0</v>
      </c>
      <c r="DD13" s="636">
        <f>DC13</f>
        <v>0</v>
      </c>
      <c r="DE13" s="636">
        <f>DD13</f>
        <v>0</v>
      </c>
      <c r="DF13" s="636">
        <f>DE13</f>
        <v>0</v>
      </c>
      <c r="DG13" s="1889">
        <f>AVERAGE(DC13:DF13)</f>
        <v>0</v>
      </c>
      <c r="DH13" s="1903">
        <f>DF13</f>
        <v>0</v>
      </c>
      <c r="DI13" s="636">
        <f t="shared" si="9"/>
        <v>0</v>
      </c>
      <c r="DJ13" s="636">
        <f t="shared" si="9"/>
        <v>0</v>
      </c>
      <c r="DK13" s="636">
        <f t="shared" si="9"/>
        <v>0</v>
      </c>
      <c r="DL13" s="1889">
        <f>AVERAGE(DH13:DK13)</f>
        <v>0</v>
      </c>
      <c r="DM13" s="1903">
        <f>DK13</f>
        <v>0</v>
      </c>
      <c r="DN13" s="636">
        <f t="shared" si="10"/>
        <v>0</v>
      </c>
      <c r="DO13" s="636">
        <f t="shared" si="10"/>
        <v>0</v>
      </c>
      <c r="DP13" s="636">
        <f t="shared" si="10"/>
        <v>0</v>
      </c>
      <c r="DQ13" s="1889">
        <f>AVERAGE(DM13:DP13)</f>
        <v>0</v>
      </c>
      <c r="DR13" s="1903">
        <f>DP13</f>
        <v>0</v>
      </c>
      <c r="DS13" s="636">
        <f t="shared" si="11"/>
        <v>0</v>
      </c>
      <c r="DT13" s="636">
        <f t="shared" si="11"/>
        <v>0</v>
      </c>
      <c r="DU13" s="636">
        <f t="shared" si="11"/>
        <v>0</v>
      </c>
      <c r="DV13" s="1889">
        <f>AVERAGE(DR13:DU13)</f>
        <v>0</v>
      </c>
      <c r="DW13" s="1903">
        <f>DU13</f>
        <v>0</v>
      </c>
      <c r="DX13" s="636">
        <f t="shared" si="12"/>
        <v>0</v>
      </c>
      <c r="DY13" s="636">
        <f t="shared" si="12"/>
        <v>0</v>
      </c>
      <c r="DZ13" s="636">
        <f t="shared" si="12"/>
        <v>0</v>
      </c>
      <c r="EA13" s="1889">
        <f>AVERAGE(DW13:DZ13)</f>
        <v>0</v>
      </c>
      <c r="EB13" s="1903">
        <f>DZ13</f>
        <v>0</v>
      </c>
      <c r="EC13" s="636">
        <f t="shared" si="13"/>
        <v>0</v>
      </c>
      <c r="ED13" s="636">
        <f t="shared" si="13"/>
        <v>0</v>
      </c>
      <c r="EE13" s="636">
        <f t="shared" si="13"/>
        <v>0</v>
      </c>
      <c r="EF13" s="1889">
        <f>AVERAGE(EB13:EE13)</f>
        <v>0</v>
      </c>
      <c r="EG13" s="1903">
        <f>EE13</f>
        <v>0</v>
      </c>
      <c r="EH13" s="636">
        <f t="shared" si="14"/>
        <v>0</v>
      </c>
      <c r="EI13" s="636">
        <f t="shared" si="14"/>
        <v>0</v>
      </c>
      <c r="EJ13" s="636">
        <f t="shared" si="14"/>
        <v>0</v>
      </c>
      <c r="EK13" s="1889">
        <f>AVERAGE(EG13:EJ13)</f>
        <v>0</v>
      </c>
      <c r="EL13" s="1903">
        <f>EJ13</f>
        <v>0</v>
      </c>
      <c r="EM13" s="636">
        <f t="shared" si="15"/>
        <v>0</v>
      </c>
      <c r="EN13" s="636">
        <f t="shared" si="15"/>
        <v>0</v>
      </c>
      <c r="EO13" s="636">
        <f t="shared" si="15"/>
        <v>0</v>
      </c>
      <c r="EP13" s="1889">
        <f>AVERAGE(EL13:EO13)</f>
        <v>0</v>
      </c>
      <c r="EQ13" s="1903">
        <f>EO13</f>
        <v>0</v>
      </c>
      <c r="ER13" s="636">
        <f t="shared" si="16"/>
        <v>0</v>
      </c>
      <c r="ES13" s="636">
        <f t="shared" si="17"/>
        <v>0</v>
      </c>
      <c r="ET13" s="636">
        <f t="shared" si="18"/>
        <v>0</v>
      </c>
      <c r="EU13" s="1889">
        <f>AVERAGE(EQ13:ET13)</f>
        <v>0</v>
      </c>
      <c r="EV13" s="1903">
        <f>ET13</f>
        <v>0</v>
      </c>
      <c r="EW13" s="636">
        <f t="shared" si="19"/>
        <v>0</v>
      </c>
      <c r="EX13" s="636">
        <f t="shared" si="20"/>
        <v>0</v>
      </c>
      <c r="EY13" s="636">
        <f t="shared" si="21"/>
        <v>0</v>
      </c>
      <c r="EZ13" s="1889">
        <f>AVERAGE(EV13:EY13)</f>
        <v>0</v>
      </c>
      <c r="FA13" s="1889"/>
      <c r="FB13" s="1889"/>
      <c r="FC13" s="1889"/>
      <c r="FD13" s="424"/>
      <c r="FF13" s="424"/>
      <c r="FL13" s="1383"/>
      <c r="FM13" s="1383"/>
    </row>
    <row r="14" spans="1:205" ht="11.25" hidden="1" customHeight="1" outlineLevel="1">
      <c r="A14" s="1976" t="s">
        <v>523</v>
      </c>
      <c r="B14" s="1977"/>
      <c r="C14" s="1977"/>
      <c r="D14" s="1977"/>
      <c r="E14" s="1977"/>
      <c r="F14" s="1978"/>
      <c r="G14" s="1977"/>
      <c r="H14" s="1977"/>
      <c r="I14" s="1977"/>
      <c r="J14" s="1977"/>
      <c r="K14" s="1978"/>
      <c r="L14" s="1977"/>
      <c r="M14" s="1977"/>
      <c r="N14" s="1977"/>
      <c r="O14" s="1977"/>
      <c r="P14" s="1978"/>
      <c r="Q14" s="1977"/>
      <c r="R14" s="1977"/>
      <c r="S14" s="1977"/>
      <c r="T14" s="1977"/>
      <c r="U14" s="1978"/>
      <c r="V14" s="1977"/>
      <c r="W14" s="1977"/>
      <c r="X14" s="1977"/>
      <c r="Y14" s="1977"/>
      <c r="Z14" s="1978"/>
      <c r="AA14" s="1977"/>
      <c r="AB14" s="1977"/>
      <c r="AC14" s="1977"/>
      <c r="AD14" s="1977"/>
      <c r="AE14" s="1978"/>
      <c r="AF14" s="1977"/>
      <c r="AG14" s="1977"/>
      <c r="AH14" s="1977"/>
      <c r="AI14" s="1977"/>
      <c r="AJ14" s="1978"/>
      <c r="AK14" s="1977"/>
      <c r="AL14" s="1977"/>
      <c r="AM14" s="1977"/>
      <c r="AN14" s="1977"/>
      <c r="AO14" s="1978"/>
      <c r="AP14" s="1977"/>
      <c r="AQ14" s="1977"/>
      <c r="AR14" s="1977"/>
      <c r="AS14" s="1977"/>
      <c r="AT14" s="1978"/>
      <c r="AU14" s="1977"/>
      <c r="AV14" s="1977"/>
      <c r="AW14" s="1977"/>
      <c r="AX14" s="1977"/>
      <c r="AY14" s="1978"/>
      <c r="AZ14" s="1979"/>
      <c r="BA14" s="1980"/>
      <c r="BB14" s="1980"/>
      <c r="BC14" s="1980"/>
      <c r="BD14" s="1978"/>
      <c r="BE14" s="1979"/>
      <c r="BF14" s="1980"/>
      <c r="BG14" s="1980"/>
      <c r="BH14" s="1980"/>
      <c r="BI14" s="1978"/>
      <c r="BJ14" s="1979"/>
      <c r="BK14" s="1980"/>
      <c r="BL14" s="1980"/>
      <c r="BM14" s="1981"/>
      <c r="BN14" s="1978"/>
      <c r="BO14" s="1979"/>
      <c r="BP14" s="1980"/>
      <c r="BQ14" s="1980"/>
      <c r="BR14" s="1980"/>
      <c r="BS14" s="1978"/>
      <c r="BT14" s="1979"/>
      <c r="BU14" s="1980"/>
      <c r="BV14" s="1980"/>
      <c r="BW14" s="1981"/>
      <c r="BX14" s="1978"/>
      <c r="BY14" s="1979"/>
      <c r="BZ14" s="1980"/>
      <c r="CA14" s="1980"/>
      <c r="CB14" s="1981"/>
      <c r="CC14" s="1978"/>
      <c r="CD14" s="1979"/>
      <c r="CE14" s="1980"/>
      <c r="CF14" s="1980"/>
      <c r="CG14" s="1981"/>
      <c r="CH14" s="1978"/>
      <c r="CI14" s="1980"/>
      <c r="CJ14" s="1980"/>
      <c r="CK14" s="1980"/>
      <c r="CL14" s="1981"/>
      <c r="CM14" s="1978"/>
      <c r="CN14" s="1980"/>
      <c r="CO14" s="1980"/>
      <c r="CP14" s="1980"/>
      <c r="CQ14" s="1981"/>
      <c r="CR14" s="1978"/>
      <c r="CS14" s="1980">
        <f>SUM(CS9:CS13)</f>
        <v>1</v>
      </c>
      <c r="CT14" s="1980">
        <f t="shared" ref="CT14:DG14" si="22">SUM(CT9:CT13)</f>
        <v>1</v>
      </c>
      <c r="CU14" s="1980">
        <f t="shared" si="22"/>
        <v>1</v>
      </c>
      <c r="CV14" s="1980">
        <f t="shared" si="22"/>
        <v>1</v>
      </c>
      <c r="CW14" s="1978">
        <f t="shared" si="22"/>
        <v>1</v>
      </c>
      <c r="CX14" s="1979">
        <f t="shared" si="22"/>
        <v>1</v>
      </c>
      <c r="CY14" s="1980">
        <f t="shared" si="22"/>
        <v>1</v>
      </c>
      <c r="CZ14" s="1980">
        <f t="shared" si="22"/>
        <v>1</v>
      </c>
      <c r="DA14" s="1981">
        <f t="shared" si="22"/>
        <v>1</v>
      </c>
      <c r="DB14" s="1978">
        <f t="shared" si="22"/>
        <v>0.99999999999999989</v>
      </c>
      <c r="DC14" s="1979">
        <f t="shared" si="22"/>
        <v>1</v>
      </c>
      <c r="DD14" s="1980">
        <f t="shared" si="22"/>
        <v>1</v>
      </c>
      <c r="DE14" s="1980">
        <f t="shared" si="22"/>
        <v>1</v>
      </c>
      <c r="DF14" s="1981">
        <f t="shared" si="22"/>
        <v>1</v>
      </c>
      <c r="DG14" s="1978">
        <f t="shared" si="22"/>
        <v>1</v>
      </c>
      <c r="DH14" s="1979">
        <f t="shared" ref="DH14:DV14" si="23">SUM(DH9:DH13)</f>
        <v>1</v>
      </c>
      <c r="DI14" s="1980">
        <f t="shared" si="23"/>
        <v>1</v>
      </c>
      <c r="DJ14" s="1980">
        <f t="shared" si="23"/>
        <v>1</v>
      </c>
      <c r="DK14" s="1981">
        <f t="shared" si="23"/>
        <v>1</v>
      </c>
      <c r="DL14" s="1978">
        <f t="shared" si="23"/>
        <v>1</v>
      </c>
      <c r="DM14" s="1979">
        <f t="shared" si="23"/>
        <v>1</v>
      </c>
      <c r="DN14" s="1980">
        <f t="shared" si="23"/>
        <v>1</v>
      </c>
      <c r="DO14" s="1980">
        <f t="shared" si="23"/>
        <v>1</v>
      </c>
      <c r="DP14" s="1981">
        <f t="shared" si="23"/>
        <v>1</v>
      </c>
      <c r="DQ14" s="1978">
        <f t="shared" si="23"/>
        <v>1</v>
      </c>
      <c r="DR14" s="1979">
        <f t="shared" si="23"/>
        <v>1</v>
      </c>
      <c r="DS14" s="1980">
        <f t="shared" si="23"/>
        <v>1</v>
      </c>
      <c r="DT14" s="1980">
        <f t="shared" si="23"/>
        <v>1</v>
      </c>
      <c r="DU14" s="1981">
        <f t="shared" si="23"/>
        <v>1</v>
      </c>
      <c r="DV14" s="1978">
        <f t="shared" si="23"/>
        <v>1</v>
      </c>
      <c r="DW14" s="1979">
        <f t="shared" ref="DW14:EF14" si="24">SUM(DW9:DW13)</f>
        <v>1</v>
      </c>
      <c r="DX14" s="1980">
        <f t="shared" si="24"/>
        <v>1</v>
      </c>
      <c r="DY14" s="1980">
        <f t="shared" si="24"/>
        <v>1</v>
      </c>
      <c r="DZ14" s="1981">
        <f t="shared" si="24"/>
        <v>1</v>
      </c>
      <c r="EA14" s="1978">
        <f t="shared" si="24"/>
        <v>1</v>
      </c>
      <c r="EB14" s="1979">
        <f t="shared" si="24"/>
        <v>1</v>
      </c>
      <c r="EC14" s="1980">
        <f t="shared" si="24"/>
        <v>1</v>
      </c>
      <c r="ED14" s="1980">
        <f t="shared" si="24"/>
        <v>1</v>
      </c>
      <c r="EE14" s="1981">
        <f t="shared" si="24"/>
        <v>1</v>
      </c>
      <c r="EF14" s="1978">
        <f t="shared" si="24"/>
        <v>1</v>
      </c>
      <c r="EG14" s="1979">
        <f t="shared" ref="EG14:EP14" si="25">SUM(EG9:EG13)</f>
        <v>1</v>
      </c>
      <c r="EH14" s="1980">
        <f t="shared" si="25"/>
        <v>1</v>
      </c>
      <c r="EI14" s="1980">
        <f t="shared" si="25"/>
        <v>1</v>
      </c>
      <c r="EJ14" s="1981">
        <f t="shared" si="25"/>
        <v>1</v>
      </c>
      <c r="EK14" s="1978">
        <f t="shared" si="25"/>
        <v>1</v>
      </c>
      <c r="EL14" s="1979">
        <f t="shared" si="25"/>
        <v>1</v>
      </c>
      <c r="EM14" s="1980">
        <f t="shared" si="25"/>
        <v>1</v>
      </c>
      <c r="EN14" s="1980">
        <f t="shared" si="25"/>
        <v>1</v>
      </c>
      <c r="EO14" s="1981">
        <f t="shared" si="25"/>
        <v>1</v>
      </c>
      <c r="EP14" s="1978">
        <f t="shared" si="25"/>
        <v>1</v>
      </c>
      <c r="EQ14" s="1979">
        <f t="shared" ref="EQ14:EU14" si="26">SUM(EQ9:EQ13)</f>
        <v>1</v>
      </c>
      <c r="ER14" s="1980">
        <f t="shared" si="26"/>
        <v>1</v>
      </c>
      <c r="ES14" s="1980">
        <f t="shared" si="26"/>
        <v>1</v>
      </c>
      <c r="ET14" s="1981">
        <f t="shared" si="26"/>
        <v>1</v>
      </c>
      <c r="EU14" s="1978">
        <f t="shared" si="26"/>
        <v>1</v>
      </c>
      <c r="EV14" s="1979">
        <f t="shared" ref="EV14:EZ14" si="27">SUM(EV9:EV13)</f>
        <v>1</v>
      </c>
      <c r="EW14" s="1980">
        <f t="shared" si="27"/>
        <v>1</v>
      </c>
      <c r="EX14" s="1980">
        <f t="shared" si="27"/>
        <v>1</v>
      </c>
      <c r="EY14" s="1981">
        <f t="shared" si="27"/>
        <v>1</v>
      </c>
      <c r="EZ14" s="1978">
        <f t="shared" si="27"/>
        <v>1</v>
      </c>
      <c r="FA14" s="1978"/>
      <c r="FB14" s="1978"/>
      <c r="FC14" s="1978"/>
      <c r="FD14" s="636"/>
      <c r="FF14" s="636"/>
      <c r="FL14" s="1884"/>
      <c r="FM14" s="1884"/>
    </row>
    <row r="15" spans="1:205" ht="11.25" customHeight="1" collapsed="1">
      <c r="A15" s="1888"/>
      <c r="B15" s="421"/>
      <c r="C15" s="421"/>
      <c r="D15" s="421"/>
      <c r="E15" s="421"/>
      <c r="F15" s="1889"/>
      <c r="G15" s="421"/>
      <c r="H15" s="421"/>
      <c r="I15" s="421"/>
      <c r="J15" s="421"/>
      <c r="K15" s="1889"/>
      <c r="L15" s="421"/>
      <c r="M15" s="421"/>
      <c r="N15" s="421"/>
      <c r="O15" s="421"/>
      <c r="P15" s="1889"/>
      <c r="Q15" s="421"/>
      <c r="R15" s="421"/>
      <c r="S15" s="421"/>
      <c r="T15" s="421"/>
      <c r="U15" s="1889"/>
      <c r="V15" s="421"/>
      <c r="W15" s="421"/>
      <c r="X15" s="421"/>
      <c r="Y15" s="421"/>
      <c r="Z15" s="1889"/>
      <c r="AA15" s="421"/>
      <c r="AB15" s="421"/>
      <c r="AC15" s="421"/>
      <c r="AD15" s="421"/>
      <c r="AE15" s="1889"/>
      <c r="AF15" s="421"/>
      <c r="AG15" s="421"/>
      <c r="AH15" s="421"/>
      <c r="AI15" s="421"/>
      <c r="AJ15" s="1889"/>
      <c r="AK15" s="421"/>
      <c r="AL15" s="421"/>
      <c r="AM15" s="421"/>
      <c r="AN15" s="421"/>
      <c r="AO15" s="1889"/>
      <c r="AP15" s="421"/>
      <c r="AQ15" s="421"/>
      <c r="AR15" s="421"/>
      <c r="AS15" s="421"/>
      <c r="AT15" s="1889"/>
      <c r="AU15" s="421"/>
      <c r="AV15" s="421"/>
      <c r="AW15" s="421"/>
      <c r="AX15" s="421"/>
      <c r="AY15" s="1889"/>
      <c r="AZ15" s="1903"/>
      <c r="BA15" s="636"/>
      <c r="BB15" s="636"/>
      <c r="BC15" s="636"/>
      <c r="BD15" s="1889"/>
      <c r="BE15" s="1903"/>
      <c r="BF15" s="636"/>
      <c r="BG15" s="636"/>
      <c r="BH15" s="636"/>
      <c r="BI15" s="1889"/>
      <c r="BJ15" s="1903"/>
      <c r="BK15" s="636"/>
      <c r="BL15" s="636"/>
      <c r="BM15" s="1172"/>
      <c r="BN15" s="1889"/>
      <c r="BO15" s="1903"/>
      <c r="BP15" s="636"/>
      <c r="BQ15" s="636"/>
      <c r="BR15" s="636"/>
      <c r="BS15" s="1889"/>
      <c r="BT15" s="1903"/>
      <c r="BU15" s="636"/>
      <c r="BV15" s="636"/>
      <c r="BW15" s="1172"/>
      <c r="BX15" s="1889"/>
      <c r="BY15" s="1903"/>
      <c r="BZ15" s="636"/>
      <c r="CA15" s="636"/>
      <c r="CB15" s="1172"/>
      <c r="CC15" s="1889"/>
      <c r="CD15" s="1903"/>
      <c r="CE15" s="636"/>
      <c r="CF15" s="636"/>
      <c r="CG15" s="1172"/>
      <c r="CH15" s="1889"/>
      <c r="CI15" s="636"/>
      <c r="CJ15" s="636"/>
      <c r="CK15" s="636"/>
      <c r="CL15" s="1172"/>
      <c r="CM15" s="1889"/>
      <c r="CN15" s="636"/>
      <c r="CO15" s="636"/>
      <c r="CP15" s="636"/>
      <c r="CQ15" s="1172"/>
      <c r="CR15" s="1889"/>
      <c r="CS15" s="636"/>
      <c r="CT15" s="636"/>
      <c r="CU15" s="636"/>
      <c r="CV15" s="636"/>
      <c r="CW15" s="1889"/>
      <c r="CX15" s="1903"/>
      <c r="CY15" s="636"/>
      <c r="CZ15" s="636"/>
      <c r="DA15" s="1172"/>
      <c r="DB15" s="1889"/>
      <c r="DC15" s="1903"/>
      <c r="DD15" s="636"/>
      <c r="DE15" s="636"/>
      <c r="DF15" s="1172"/>
      <c r="DG15" s="1889"/>
      <c r="DH15" s="1903"/>
      <c r="DI15" s="636"/>
      <c r="DJ15" s="636"/>
      <c r="DK15" s="1172"/>
      <c r="DL15" s="1889"/>
      <c r="DM15" s="1903"/>
      <c r="DN15" s="636"/>
      <c r="DO15" s="636"/>
      <c r="DP15" s="1172"/>
      <c r="DQ15" s="1889"/>
      <c r="DR15" s="1903"/>
      <c r="DS15" s="636"/>
      <c r="DT15" s="636"/>
      <c r="DU15" s="1172"/>
      <c r="DV15" s="1889"/>
      <c r="DW15" s="1903"/>
      <c r="DX15" s="636"/>
      <c r="DY15" s="636"/>
      <c r="DZ15" s="1172"/>
      <c r="EA15" s="1889"/>
      <c r="EB15" s="1903"/>
      <c r="EC15" s="636"/>
      <c r="ED15" s="636"/>
      <c r="EE15" s="1172"/>
      <c r="EF15" s="1889"/>
      <c r="EG15" s="1903"/>
      <c r="EH15" s="636"/>
      <c r="EI15" s="636"/>
      <c r="EJ15" s="1172"/>
      <c r="EK15" s="1889"/>
      <c r="EL15" s="1903"/>
      <c r="EM15" s="636"/>
      <c r="EN15" s="636"/>
      <c r="EO15" s="1172"/>
      <c r="EP15" s="1889"/>
      <c r="EQ15" s="1903"/>
      <c r="ER15" s="636"/>
      <c r="ES15" s="636"/>
      <c r="ET15" s="1172"/>
      <c r="EU15" s="1889"/>
      <c r="EV15" s="1903"/>
      <c r="EW15" s="636"/>
      <c r="EX15" s="636"/>
      <c r="EY15" s="1172"/>
      <c r="EZ15" s="1889"/>
      <c r="FA15" s="1889"/>
      <c r="FB15" s="1889"/>
      <c r="FC15" s="1889"/>
      <c r="FD15" s="636"/>
      <c r="FF15" s="636"/>
      <c r="FL15" s="1884"/>
      <c r="FM15" s="1884"/>
    </row>
    <row r="16" spans="1:205" ht="11.25" customHeight="1">
      <c r="A16" s="1904" t="s">
        <v>348</v>
      </c>
      <c r="B16" s="429"/>
      <c r="C16" s="429"/>
      <c r="D16" s="429"/>
      <c r="E16" s="429"/>
      <c r="F16" s="1905"/>
      <c r="G16" s="429"/>
      <c r="H16" s="429"/>
      <c r="I16" s="429"/>
      <c r="J16" s="429"/>
      <c r="K16" s="1905"/>
      <c r="L16" s="429"/>
      <c r="M16" s="429"/>
      <c r="N16" s="429"/>
      <c r="O16" s="429"/>
      <c r="P16" s="1905"/>
      <c r="Q16" s="429"/>
      <c r="R16" s="429"/>
      <c r="S16" s="429"/>
      <c r="T16" s="429"/>
      <c r="U16" s="1905"/>
      <c r="V16" s="429"/>
      <c r="W16" s="429"/>
      <c r="X16" s="429"/>
      <c r="Y16" s="429"/>
      <c r="Z16" s="1905"/>
      <c r="AA16" s="429"/>
      <c r="AB16" s="429"/>
      <c r="AC16" s="429"/>
      <c r="AD16" s="429"/>
      <c r="AE16" s="1905"/>
      <c r="AF16" s="429"/>
      <c r="AG16" s="429"/>
      <c r="AH16" s="429"/>
      <c r="AI16" s="429"/>
      <c r="AJ16" s="1905"/>
      <c r="AK16" s="429"/>
      <c r="AL16" s="429"/>
      <c r="AM16" s="429"/>
      <c r="AN16" s="429"/>
      <c r="AO16" s="1905"/>
      <c r="AP16" s="429"/>
      <c r="AQ16" s="429"/>
      <c r="AR16" s="429"/>
      <c r="AS16" s="429"/>
      <c r="AT16" s="1905"/>
      <c r="AU16" s="429"/>
      <c r="AV16" s="429"/>
      <c r="AW16" s="429"/>
      <c r="AX16" s="429"/>
      <c r="AY16" s="1905"/>
      <c r="AZ16" s="1906"/>
      <c r="BA16" s="429"/>
      <c r="BB16" s="429"/>
      <c r="BC16" s="429"/>
      <c r="BD16" s="1905"/>
      <c r="BE16" s="1906"/>
      <c r="BF16" s="429"/>
      <c r="BG16" s="429"/>
      <c r="BH16" s="429"/>
      <c r="BI16" s="1905"/>
      <c r="BJ16" s="1906"/>
      <c r="BK16" s="429"/>
      <c r="BL16" s="429"/>
      <c r="BM16" s="430"/>
      <c r="BN16" s="1905"/>
      <c r="BO16" s="1907"/>
      <c r="BP16" s="429"/>
      <c r="BQ16" s="429"/>
      <c r="BR16" s="429"/>
      <c r="BS16" s="1905"/>
      <c r="BT16" s="1907"/>
      <c r="BU16" s="429"/>
      <c r="BV16" s="429"/>
      <c r="BW16" s="430"/>
      <c r="BX16" s="1905"/>
      <c r="BY16" s="1908"/>
      <c r="BZ16" s="429"/>
      <c r="CA16" s="429"/>
      <c r="CB16" s="430"/>
      <c r="CC16" s="1905"/>
      <c r="CD16" s="1908"/>
      <c r="CE16" s="429"/>
      <c r="CF16" s="429"/>
      <c r="CG16" s="430"/>
      <c r="CH16" s="1905"/>
      <c r="CI16" s="429"/>
      <c r="CJ16" s="429"/>
      <c r="CK16" s="429"/>
      <c r="CL16" s="430"/>
      <c r="CM16" s="1905"/>
      <c r="CN16" s="429"/>
      <c r="CO16" s="429"/>
      <c r="CP16" s="429"/>
      <c r="CQ16" s="430"/>
      <c r="CR16" s="1905"/>
      <c r="CS16" s="429"/>
      <c r="CT16" s="429"/>
      <c r="CU16" s="429"/>
      <c r="CV16" s="429"/>
      <c r="CW16" s="1905"/>
      <c r="CX16" s="1906"/>
      <c r="CY16" s="429"/>
      <c r="CZ16" s="429"/>
      <c r="DA16" s="430"/>
      <c r="DB16" s="1905"/>
      <c r="DC16" s="1906"/>
      <c r="DD16" s="429"/>
      <c r="DE16" s="429"/>
      <c r="DF16" s="430"/>
      <c r="DG16" s="1905"/>
      <c r="DH16" s="1906"/>
      <c r="DI16" s="429"/>
      <c r="DJ16" s="429"/>
      <c r="DK16" s="430"/>
      <c r="DL16" s="1905"/>
      <c r="DM16" s="1906"/>
      <c r="DN16" s="429"/>
      <c r="DO16" s="429"/>
      <c r="DP16" s="430"/>
      <c r="DQ16" s="1905"/>
      <c r="DR16" s="1906"/>
      <c r="DS16" s="429"/>
      <c r="DT16" s="429"/>
      <c r="DU16" s="430"/>
      <c r="DV16" s="1905"/>
      <c r="DW16" s="1906"/>
      <c r="DX16" s="429"/>
      <c r="DY16" s="429"/>
      <c r="DZ16" s="430"/>
      <c r="EA16" s="1905"/>
      <c r="EB16" s="1906"/>
      <c r="EC16" s="429"/>
      <c r="ED16" s="429"/>
      <c r="EE16" s="430"/>
      <c r="EF16" s="1905"/>
      <c r="EG16" s="1906"/>
      <c r="EH16" s="429"/>
      <c r="EI16" s="429"/>
      <c r="EJ16" s="430"/>
      <c r="EK16" s="1905"/>
      <c r="EL16" s="1906"/>
      <c r="EM16" s="429"/>
      <c r="EN16" s="429"/>
      <c r="EO16" s="430"/>
      <c r="EP16" s="1905"/>
      <c r="EQ16" s="1906"/>
      <c r="ER16" s="429"/>
      <c r="ES16" s="429"/>
      <c r="ET16" s="430"/>
      <c r="EU16" s="1905"/>
      <c r="EV16" s="1906"/>
      <c r="EW16" s="429"/>
      <c r="EX16" s="429"/>
      <c r="EY16" s="430"/>
      <c r="EZ16" s="1905"/>
      <c r="FA16" s="1905"/>
      <c r="FB16" s="1905"/>
      <c r="FC16" s="1905"/>
      <c r="FD16" s="429"/>
      <c r="FF16" s="429"/>
      <c r="FG16"/>
      <c r="FH16"/>
      <c r="FI16"/>
      <c r="FJ16"/>
      <c r="FK16"/>
      <c r="FL16"/>
      <c r="FM16"/>
      <c r="FN16"/>
    </row>
    <row r="17" spans="1:170" ht="11.25" customHeight="1">
      <c r="A17" s="1888" t="s">
        <v>811</v>
      </c>
      <c r="B17" s="431"/>
      <c r="C17" s="431"/>
      <c r="D17" s="431"/>
      <c r="E17" s="431"/>
      <c r="F17" s="1891"/>
      <c r="G17" s="431"/>
      <c r="H17" s="431"/>
      <c r="I17" s="431"/>
      <c r="J17" s="431"/>
      <c r="K17" s="1891"/>
      <c r="L17" s="431"/>
      <c r="M17" s="431"/>
      <c r="N17" s="431"/>
      <c r="O17" s="431"/>
      <c r="P17" s="1891"/>
      <c r="Q17" s="431"/>
      <c r="R17" s="431"/>
      <c r="S17" s="431"/>
      <c r="T17" s="431"/>
      <c r="U17" s="1891"/>
      <c r="V17" s="431"/>
      <c r="W17" s="431"/>
      <c r="X17" s="431"/>
      <c r="Y17" s="431"/>
      <c r="Z17" s="1891"/>
      <c r="AA17" s="431"/>
      <c r="AB17" s="431"/>
      <c r="AC17" s="431"/>
      <c r="AD17" s="431"/>
      <c r="AE17" s="1891"/>
      <c r="AF17" s="431"/>
      <c r="AG17" s="431"/>
      <c r="AH17" s="431"/>
      <c r="AI17" s="431"/>
      <c r="AJ17" s="1891"/>
      <c r="AK17" s="431"/>
      <c r="AL17" s="431"/>
      <c r="AM17" s="431"/>
      <c r="AN17" s="431"/>
      <c r="AO17" s="1891"/>
      <c r="AP17" s="431"/>
      <c r="AQ17" s="431"/>
      <c r="AR17" s="431"/>
      <c r="AS17" s="431"/>
      <c r="AT17" s="1891"/>
      <c r="AU17" s="431"/>
      <c r="AV17" s="431"/>
      <c r="AW17" s="431"/>
      <c r="AX17" s="431"/>
      <c r="AY17" s="1891"/>
      <c r="AZ17" s="1909"/>
      <c r="BA17" s="431"/>
      <c r="BB17" s="431"/>
      <c r="BC17" s="431"/>
      <c r="BD17" s="1891"/>
      <c r="BE17" s="1909"/>
      <c r="BF17" s="431"/>
      <c r="BG17" s="431"/>
      <c r="BH17" s="431"/>
      <c r="BI17" s="1891"/>
      <c r="BJ17" s="1909"/>
      <c r="BK17" s="431"/>
      <c r="BL17" s="433"/>
      <c r="BM17" s="434"/>
      <c r="BN17" s="1891"/>
      <c r="BO17" s="1893"/>
      <c r="BP17" s="433"/>
      <c r="BQ17" s="433"/>
      <c r="BR17" s="433"/>
      <c r="BS17" s="1891"/>
      <c r="BT17" s="1910"/>
      <c r="BU17" s="433"/>
      <c r="BV17" s="433"/>
      <c r="BW17" s="434"/>
      <c r="BX17" s="1891"/>
      <c r="BY17" s="1910"/>
      <c r="BZ17" s="524"/>
      <c r="CA17" s="433"/>
      <c r="CB17" s="433"/>
      <c r="CC17" s="1891"/>
      <c r="CD17" s="1910"/>
      <c r="CE17" s="524"/>
      <c r="CF17" s="524"/>
      <c r="CG17" s="434"/>
      <c r="CH17" s="1891"/>
      <c r="CI17" s="433"/>
      <c r="CJ17" s="433"/>
      <c r="CK17" s="433"/>
      <c r="CL17" s="434"/>
      <c r="CM17" s="1891"/>
      <c r="CN17" s="1893">
        <v>1.5358333333333334</v>
      </c>
      <c r="CO17" s="433">
        <v>1.5153333333333332</v>
      </c>
      <c r="CP17" s="433">
        <v>1.5559666666666665</v>
      </c>
      <c r="CQ17" s="434">
        <v>1.5204000000000002</v>
      </c>
      <c r="CR17" s="1891">
        <f>AVERAGE(CN17:CQ17)</f>
        <v>1.5318833333333335</v>
      </c>
      <c r="CS17" s="1893">
        <v>1.4298999999999999</v>
      </c>
      <c r="CT17" s="433">
        <v>1.4484999999999999</v>
      </c>
      <c r="CU17" s="433">
        <v>1.3226333333333333</v>
      </c>
      <c r="CV17" s="434">
        <v>1.2573333333333332</v>
      </c>
      <c r="CW17" s="1891">
        <f>AVERAGE(CS17:CV17)</f>
        <v>1.3645916666666666</v>
      </c>
      <c r="CX17" s="1893">
        <v>1.2433000000000001</v>
      </c>
      <c r="CY17" s="433">
        <v>1.2796999999999998</v>
      </c>
      <c r="CZ17" s="433">
        <v>1.3056666666666665</v>
      </c>
      <c r="DA17" s="434">
        <v>1.3402000000000001</v>
      </c>
      <c r="DB17" s="1891">
        <f>AVERAGE(CX17:DA17)</f>
        <v>1.2922166666666666</v>
      </c>
      <c r="DC17" s="1893">
        <v>1.3986000000000001</v>
      </c>
      <c r="DD17" s="433">
        <v>1.3692</v>
      </c>
      <c r="DE17" s="433">
        <v>1.3097000000000001</v>
      </c>
      <c r="DF17" s="434">
        <v>1.2848666666666666</v>
      </c>
      <c r="DG17" s="1891">
        <f>AVERAGE(DC17:DF17)</f>
        <v>1.3405916666666668</v>
      </c>
      <c r="DH17" s="1893">
        <v>1.3041999999999998</v>
      </c>
      <c r="DI17" s="433">
        <v>1.2898666666666667</v>
      </c>
      <c r="DJ17" s="433">
        <v>1.2337</v>
      </c>
      <c r="DK17" s="434">
        <v>1.2718666666666667</v>
      </c>
      <c r="DL17" s="1891">
        <f>AVERAGE(DH17:DK17)</f>
        <v>1.2749083333333333</v>
      </c>
      <c r="DM17" s="1893">
        <v>1.3095333333333334</v>
      </c>
      <c r="DN17" s="433">
        <v>1.2452333333333334</v>
      </c>
      <c r="DO17" s="433">
        <v>1.2952000000000001</v>
      </c>
      <c r="DP17" s="433">
        <v>1.3063333333333333</v>
      </c>
      <c r="DQ17" s="1891">
        <f>AVERAGE(DM17:DP17)</f>
        <v>1.289075</v>
      </c>
      <c r="DR17" s="433">
        <v>1.3770333333333333</v>
      </c>
      <c r="DS17" s="433">
        <v>1.3939000000000001</v>
      </c>
      <c r="DT17" s="433">
        <v>1.383</v>
      </c>
      <c r="DU17" s="434">
        <v>1.3485000000000003</v>
      </c>
      <c r="DV17" s="1891">
        <f>AVERAGE(DR17:DU17)</f>
        <v>1.3756083333333335</v>
      </c>
      <c r="DW17" s="1893">
        <v>1.3466333333333331</v>
      </c>
      <c r="DX17" s="433">
        <v>1.2771333333333335</v>
      </c>
      <c r="DY17" s="433">
        <v>1.1990333333333332</v>
      </c>
      <c r="DZ17" s="434">
        <v>1.1565666666666667</v>
      </c>
      <c r="EA17" s="1891">
        <f>AVERAGE(DW17:DZ17)</f>
        <v>1.2448416666666666</v>
      </c>
      <c r="EB17" s="5736">
        <v>1.2141666666666666</v>
      </c>
      <c r="EC17" s="5760">
        <v>1.2448333333333335</v>
      </c>
      <c r="ED17" s="5827">
        <v>1.2737000000000001</v>
      </c>
      <c r="EE17" s="433">
        <v>1.2325333333333333</v>
      </c>
      <c r="EF17" s="1891">
        <f>AVERAGE(EB17:EE17)</f>
        <v>1.2413083333333335</v>
      </c>
      <c r="EG17" s="1893">
        <v>1.2681333333333333</v>
      </c>
      <c r="EH17" s="433">
        <v>1.2619</v>
      </c>
      <c r="EI17" s="433">
        <v>1.2876000000000001</v>
      </c>
      <c r="EJ17" s="434">
        <v>1.3003</v>
      </c>
      <c r="EK17" s="1891">
        <f>AVERAGE(EG17:EJ17)</f>
        <v>1.2794833333333333</v>
      </c>
      <c r="EL17" s="1893">
        <v>1.2496</v>
      </c>
      <c r="EM17" s="433">
        <v>1.3235333333333335</v>
      </c>
      <c r="EN17" s="433">
        <v>1.3480999999999999</v>
      </c>
      <c r="EO17" s="6175">
        <v>1.3252666666666668</v>
      </c>
      <c r="EP17" s="1891">
        <f>AVERAGE(EL17:EO17)</f>
        <v>1.311625</v>
      </c>
      <c r="EQ17" s="6242">
        <v>1.3156000000000001</v>
      </c>
      <c r="ER17" s="2523">
        <f t="shared" ref="ER17:ER20" si="28">EQ17</f>
        <v>1.3156000000000001</v>
      </c>
      <c r="ES17" s="2523">
        <f t="shared" ref="ES17:ES20" si="29">ER17</f>
        <v>1.3156000000000001</v>
      </c>
      <c r="ET17" s="2522">
        <f t="shared" ref="ET17:ET20" si="30">ES17</f>
        <v>1.3156000000000001</v>
      </c>
      <c r="EU17" s="1891">
        <f>AVERAGE(EQ17:ET17)</f>
        <v>1.3156000000000001</v>
      </c>
      <c r="EV17" s="2521">
        <f>ET17</f>
        <v>1.3156000000000001</v>
      </c>
      <c r="EW17" s="2523">
        <f t="shared" ref="EW17:EW20" si="31">EV17</f>
        <v>1.3156000000000001</v>
      </c>
      <c r="EX17" s="2523">
        <f t="shared" ref="EX17:EX20" si="32">EW17</f>
        <v>1.3156000000000001</v>
      </c>
      <c r="EY17" s="2522">
        <f t="shared" ref="EY17:EY20" si="33">EX17</f>
        <v>1.3156000000000001</v>
      </c>
      <c r="EZ17" s="1891">
        <f>AVERAGE(EV17:EY17)</f>
        <v>1.3156000000000001</v>
      </c>
      <c r="FA17" s="1891"/>
      <c r="FB17" s="1891"/>
      <c r="FC17" s="1891"/>
      <c r="FD17" s="816"/>
      <c r="FE17" s="1972" t="s">
        <v>593</v>
      </c>
      <c r="FF17" s="2570" t="e">
        <f>AVERAGE(_xll.BDH($FE17,"PX_LAST",FF$136,FF$136,"FILL=P"),_xll.BDH($FE17,"PX_LAST",FF$137,FF$137,"FILL=P"),_xll.BDH($FE17,"PX_LAST",FF$138,FF$138,"FILL=P"))</f>
        <v>#VALUE!</v>
      </c>
      <c r="FG17"/>
      <c r="FH17"/>
      <c r="FI17"/>
      <c r="FJ17"/>
      <c r="FK17"/>
      <c r="FL17"/>
      <c r="FM17"/>
      <c r="FN17"/>
    </row>
    <row r="18" spans="1:170" ht="11.25" customHeight="1">
      <c r="A18" s="1888" t="s">
        <v>814</v>
      </c>
      <c r="B18" s="435"/>
      <c r="C18" s="435"/>
      <c r="D18" s="435"/>
      <c r="E18" s="435"/>
      <c r="F18" s="1891"/>
      <c r="G18" s="435"/>
      <c r="H18" s="435"/>
      <c r="I18" s="435"/>
      <c r="J18" s="435"/>
      <c r="K18" s="1891"/>
      <c r="L18" s="435"/>
      <c r="M18" s="435"/>
      <c r="N18" s="435"/>
      <c r="O18" s="435"/>
      <c r="P18" s="1891"/>
      <c r="Q18" s="435"/>
      <c r="R18" s="435"/>
      <c r="S18" s="435"/>
      <c r="T18" s="435"/>
      <c r="U18" s="1891"/>
      <c r="V18" s="435"/>
      <c r="W18" s="435"/>
      <c r="X18" s="435"/>
      <c r="Y18" s="435"/>
      <c r="Z18" s="1891"/>
      <c r="AA18" s="435"/>
      <c r="AB18" s="435"/>
      <c r="AC18" s="435"/>
      <c r="AD18" s="435"/>
      <c r="AE18" s="1891"/>
      <c r="AF18" s="435"/>
      <c r="AG18" s="435"/>
      <c r="AH18" s="435"/>
      <c r="AI18" s="435"/>
      <c r="AJ18" s="1891"/>
      <c r="AK18" s="435"/>
      <c r="AL18" s="435"/>
      <c r="AM18" s="435"/>
      <c r="AN18" s="435"/>
      <c r="AO18" s="1891"/>
      <c r="AP18" s="435"/>
      <c r="AQ18" s="435"/>
      <c r="AR18" s="435"/>
      <c r="AS18" s="435"/>
      <c r="AT18" s="1891"/>
      <c r="AU18" s="435"/>
      <c r="AV18" s="435"/>
      <c r="AW18" s="435"/>
      <c r="AX18" s="435"/>
      <c r="AY18" s="1891"/>
      <c r="AZ18" s="1892"/>
      <c r="BA18" s="435"/>
      <c r="BB18" s="435"/>
      <c r="BC18" s="435"/>
      <c r="BD18" s="1891"/>
      <c r="BE18" s="1892"/>
      <c r="BF18" s="435"/>
      <c r="BG18" s="435"/>
      <c r="BH18" s="435"/>
      <c r="BI18" s="1891"/>
      <c r="BJ18" s="1892"/>
      <c r="BK18" s="435"/>
      <c r="BL18" s="433"/>
      <c r="BM18" s="434"/>
      <c r="BN18" s="1891"/>
      <c r="BO18" s="1893"/>
      <c r="BP18" s="433"/>
      <c r="BQ18" s="433"/>
      <c r="BR18" s="433"/>
      <c r="BS18" s="1891"/>
      <c r="BT18" s="1893"/>
      <c r="BU18" s="433"/>
      <c r="BV18" s="433"/>
      <c r="BW18" s="434"/>
      <c r="BX18" s="1891"/>
      <c r="BY18" s="1893"/>
      <c r="BZ18" s="524"/>
      <c r="CA18" s="433"/>
      <c r="CB18" s="433"/>
      <c r="CC18" s="1891"/>
      <c r="CD18" s="1893"/>
      <c r="CE18" s="524"/>
      <c r="CF18" s="524"/>
      <c r="CG18" s="434"/>
      <c r="CH18" s="1891"/>
      <c r="CI18" s="433"/>
      <c r="CJ18" s="433"/>
      <c r="CK18" s="433"/>
      <c r="CL18" s="434"/>
      <c r="CM18" s="1891"/>
      <c r="CN18" s="1893">
        <v>1.1528333333333334</v>
      </c>
      <c r="CO18" s="433">
        <v>1.0980333333333334</v>
      </c>
      <c r="CP18" s="433">
        <v>1.1113999999999999</v>
      </c>
      <c r="CQ18" s="434">
        <v>1.0915999999999999</v>
      </c>
      <c r="CR18" s="1891">
        <f>AVERAGE(CN18:CQ18)</f>
        <v>1.1134666666666666</v>
      </c>
      <c r="CS18" s="1893">
        <v>1.0855333333333332</v>
      </c>
      <c r="CT18" s="433">
        <v>1.1321000000000001</v>
      </c>
      <c r="CU18" s="433">
        <v>1.1146</v>
      </c>
      <c r="CV18" s="434">
        <v>1.0934999999999999</v>
      </c>
      <c r="CW18" s="1891">
        <f>AVERAGE(CS18:CV18)</f>
        <v>1.1064333333333334</v>
      </c>
      <c r="CX18" s="1893">
        <v>1.0630333333333333</v>
      </c>
      <c r="CY18" s="433">
        <v>1.0930333333333333</v>
      </c>
      <c r="CZ18" s="433">
        <v>1.1726000000000001</v>
      </c>
      <c r="DA18" s="434">
        <v>1.1788000000000001</v>
      </c>
      <c r="DB18" s="1891">
        <f>AVERAGE(CX18:DA18)</f>
        <v>1.1268666666666667</v>
      </c>
      <c r="DC18" s="1893">
        <v>1.2302666666666666</v>
      </c>
      <c r="DD18" s="433">
        <v>1.2031666666666665</v>
      </c>
      <c r="DE18" s="433">
        <v>1.1659000000000002</v>
      </c>
      <c r="DF18" s="434">
        <v>1.1411</v>
      </c>
      <c r="DG18" s="1891">
        <f>AVERAGE(DC18:DF18)</f>
        <v>1.1851083333333334</v>
      </c>
      <c r="DH18" s="1893">
        <v>1.1428666666666667</v>
      </c>
      <c r="DI18" s="433">
        <v>1.1200666666666665</v>
      </c>
      <c r="DJ18" s="433">
        <v>1.1143666666666665</v>
      </c>
      <c r="DK18" s="434">
        <v>1.1022999999999998</v>
      </c>
      <c r="DL18" s="1891">
        <f>AVERAGE(DH18:DK18)</f>
        <v>1.1198999999999999</v>
      </c>
      <c r="DM18" s="1893">
        <v>1.1110666666666666</v>
      </c>
      <c r="DN18" s="433">
        <v>1.1029</v>
      </c>
      <c r="DO18" s="433">
        <v>1.1649333333333332</v>
      </c>
      <c r="DP18" s="433">
        <v>1.1765000000000001</v>
      </c>
      <c r="DQ18" s="1891">
        <f>AVERAGE(DM18:DP18)</f>
        <v>1.1388499999999999</v>
      </c>
      <c r="DR18" s="433">
        <v>1.2142333333333333</v>
      </c>
      <c r="DS18" s="433">
        <v>1.1992333333333334</v>
      </c>
      <c r="DT18" s="433">
        <v>1.1845666666666668</v>
      </c>
      <c r="DU18" s="434">
        <v>1.1491999999999998</v>
      </c>
      <c r="DV18" s="1891">
        <f>AVERAGE(DR18:DU18)</f>
        <v>1.1868083333333332</v>
      </c>
      <c r="DW18" s="1893">
        <v>1.1274666666666666</v>
      </c>
      <c r="DX18" s="433">
        <v>1.0782</v>
      </c>
      <c r="DY18" s="433">
        <v>1.0252666666666668</v>
      </c>
      <c r="DZ18" s="434">
        <v>1.0029999999999999</v>
      </c>
      <c r="EA18" s="1891">
        <f>AVERAGE(DW18:DZ18)</f>
        <v>1.0584833333333334</v>
      </c>
      <c r="EB18" s="5736">
        <v>1.0714666666666668</v>
      </c>
      <c r="EC18" s="5760">
        <v>1.0849000000000002</v>
      </c>
      <c r="ED18" s="5827">
        <v>1.0916333333333332</v>
      </c>
      <c r="EE18" s="433">
        <v>1.0678666666666665</v>
      </c>
      <c r="EF18" s="1891">
        <f>AVERAGE(EB18:EE18)</f>
        <v>1.0789666666666666</v>
      </c>
      <c r="EG18" s="1893">
        <v>1.0887333333333336</v>
      </c>
      <c r="EH18" s="433">
        <v>1.0768</v>
      </c>
      <c r="EI18" s="433">
        <v>1.0862333333333334</v>
      </c>
      <c r="EJ18" s="434">
        <v>1.0865333333333334</v>
      </c>
      <c r="EK18" s="1891">
        <f>AVERAGE(EG18:EJ18)</f>
        <v>1.0845750000000001</v>
      </c>
      <c r="EL18" s="1893">
        <v>1.0363666666666667</v>
      </c>
      <c r="EM18" s="433">
        <v>1.1163666666666667</v>
      </c>
      <c r="EN18" s="433">
        <v>1.1629333333333334</v>
      </c>
      <c r="EO18" s="6175">
        <v>1.1634666666666666</v>
      </c>
      <c r="EP18" s="1891">
        <f>AVERAGE(EL18:EO18)</f>
        <v>1.1197833333333334</v>
      </c>
      <c r="EQ18" s="6242">
        <v>1.1585000000000001</v>
      </c>
      <c r="ER18" s="2523">
        <f t="shared" si="28"/>
        <v>1.1585000000000001</v>
      </c>
      <c r="ES18" s="2523">
        <f t="shared" si="29"/>
        <v>1.1585000000000001</v>
      </c>
      <c r="ET18" s="2522">
        <f t="shared" si="30"/>
        <v>1.1585000000000001</v>
      </c>
      <c r="EU18" s="1891">
        <f>AVERAGE(EQ18:ET18)</f>
        <v>1.1585000000000001</v>
      </c>
      <c r="EV18" s="2521">
        <f>ET18</f>
        <v>1.1585000000000001</v>
      </c>
      <c r="EW18" s="2523">
        <f t="shared" si="31"/>
        <v>1.1585000000000001</v>
      </c>
      <c r="EX18" s="2523">
        <f t="shared" si="32"/>
        <v>1.1585000000000001</v>
      </c>
      <c r="EY18" s="2522">
        <f t="shared" si="33"/>
        <v>1.1585000000000001</v>
      </c>
      <c r="EZ18" s="1891">
        <f>AVERAGE(EV18:EY18)</f>
        <v>1.1585000000000001</v>
      </c>
      <c r="FA18" s="1891"/>
      <c r="FB18" s="1891"/>
      <c r="FC18" s="1891"/>
      <c r="FD18" s="816"/>
      <c r="FE18" s="1972" t="s">
        <v>592</v>
      </c>
      <c r="FF18" s="2570" t="e">
        <f>AVERAGE(_xll.BDH($FE18,"PX_LAST",FF$136,FF$136,"FILL=P"),_xll.BDH($FE18,"PX_LAST",FF$137,FF$137,"FILL=P"),_xll.BDH($FE18,"PX_LAST",FF$138,FF$138,"FILL=P"))</f>
        <v>#VALUE!</v>
      </c>
      <c r="FG18"/>
      <c r="FH18"/>
      <c r="FI18"/>
      <c r="FJ18"/>
      <c r="FK18"/>
      <c r="FL18"/>
      <c r="FM18"/>
      <c r="FN18"/>
    </row>
    <row r="19" spans="1:170" ht="11.25" customHeight="1">
      <c r="A19" s="3459" t="s">
        <v>812</v>
      </c>
      <c r="B19" s="435"/>
      <c r="C19" s="435"/>
      <c r="D19" s="435"/>
      <c r="E19" s="435"/>
      <c r="F19" s="3463"/>
      <c r="G19" s="435"/>
      <c r="H19" s="435"/>
      <c r="I19" s="435"/>
      <c r="J19" s="435"/>
      <c r="K19" s="3463"/>
      <c r="L19" s="435"/>
      <c r="M19" s="435"/>
      <c r="N19" s="435"/>
      <c r="O19" s="435"/>
      <c r="P19" s="3463"/>
      <c r="Q19" s="435"/>
      <c r="R19" s="435"/>
      <c r="S19" s="435"/>
      <c r="T19" s="435"/>
      <c r="U19" s="3463"/>
      <c r="V19" s="435"/>
      <c r="W19" s="435"/>
      <c r="X19" s="435"/>
      <c r="Y19" s="435"/>
      <c r="Z19" s="3463"/>
      <c r="AA19" s="435"/>
      <c r="AB19" s="435"/>
      <c r="AC19" s="435"/>
      <c r="AD19" s="435"/>
      <c r="AE19" s="3463"/>
      <c r="AF19" s="435"/>
      <c r="AG19" s="435"/>
      <c r="AH19" s="435"/>
      <c r="AI19" s="435"/>
      <c r="AJ19" s="3463"/>
      <c r="AK19" s="435"/>
      <c r="AL19" s="435"/>
      <c r="AM19" s="435"/>
      <c r="AN19" s="435"/>
      <c r="AO19" s="3463"/>
      <c r="AP19" s="435"/>
      <c r="AQ19" s="435"/>
      <c r="AR19" s="435"/>
      <c r="AS19" s="435"/>
      <c r="AT19" s="3463"/>
      <c r="AU19" s="435"/>
      <c r="AV19" s="435"/>
      <c r="AW19" s="435"/>
      <c r="AX19" s="435"/>
      <c r="AY19" s="3463"/>
      <c r="AZ19" s="435"/>
      <c r="BA19" s="435"/>
      <c r="BB19" s="435"/>
      <c r="BC19" s="435"/>
      <c r="BD19" s="3463"/>
      <c r="BE19" s="435"/>
      <c r="BF19" s="435"/>
      <c r="BG19" s="435"/>
      <c r="BH19" s="435"/>
      <c r="BI19" s="3463"/>
      <c r="BJ19" s="435"/>
      <c r="BK19" s="435"/>
      <c r="BL19" s="433"/>
      <c r="BM19" s="433"/>
      <c r="BN19" s="3463"/>
      <c r="BO19" s="433"/>
      <c r="BP19" s="433"/>
      <c r="BQ19" s="433"/>
      <c r="BR19" s="433"/>
      <c r="BS19" s="3463"/>
      <c r="BT19" s="433"/>
      <c r="BU19" s="433"/>
      <c r="BV19" s="433"/>
      <c r="BW19" s="433"/>
      <c r="BX19" s="3463"/>
      <c r="BY19" s="433"/>
      <c r="BZ19" s="524"/>
      <c r="CA19" s="433"/>
      <c r="CB19" s="433"/>
      <c r="CC19" s="3463"/>
      <c r="CD19" s="433"/>
      <c r="CE19" s="524"/>
      <c r="CF19" s="524"/>
      <c r="CG19" s="433"/>
      <c r="CH19" s="3463"/>
      <c r="CI19" s="433"/>
      <c r="CJ19" s="433"/>
      <c r="CK19" s="433"/>
      <c r="CL19" s="433"/>
      <c r="CM19" s="3463"/>
      <c r="CN19" s="433">
        <v>63.156700000000001</v>
      </c>
      <c r="CO19" s="433">
        <v>54.038066666666673</v>
      </c>
      <c r="CP19" s="433">
        <v>60.423800000000007</v>
      </c>
      <c r="CQ19" s="433">
        <v>65.2453</v>
      </c>
      <c r="CR19" s="1891">
        <f>AVERAGE(CN19:CQ19)</f>
        <v>60.715966666666674</v>
      </c>
      <c r="CS19" s="433">
        <v>74.419399999999996</v>
      </c>
      <c r="CT19" s="433">
        <v>66.128299999999996</v>
      </c>
      <c r="CU19" s="433">
        <v>65.071300000000008</v>
      </c>
      <c r="CV19" s="433">
        <v>63.459366666666675</v>
      </c>
      <c r="CW19" s="1891">
        <f>AVERAGE(CS19:CV19)</f>
        <v>67.26959166666667</v>
      </c>
      <c r="CX19" s="433">
        <v>60.035899999999998</v>
      </c>
      <c r="CY19" s="433">
        <v>56.59663333333333</v>
      </c>
      <c r="CZ19" s="433">
        <v>58.894966666666669</v>
      </c>
      <c r="DA19" s="433">
        <v>58.109733333333331</v>
      </c>
      <c r="DB19" s="1891">
        <f>AVERAGE(CX19:DA19)</f>
        <v>58.409308333333335</v>
      </c>
      <c r="DC19" s="433">
        <v>56.744033333333334</v>
      </c>
      <c r="DD19" s="433">
        <v>60.911033333333336</v>
      </c>
      <c r="DE19" s="433">
        <v>64.25736666666667</v>
      </c>
      <c r="DF19" s="433">
        <v>66.174700000000001</v>
      </c>
      <c r="DG19" s="1891">
        <f>AVERAGE(DC19:DF19)</f>
        <v>62.021783333333339</v>
      </c>
      <c r="DH19" s="1893">
        <v>66.899600000000007</v>
      </c>
      <c r="DI19" s="433">
        <v>65.273033333333331</v>
      </c>
      <c r="DJ19" s="433">
        <v>64.533766666666665</v>
      </c>
      <c r="DK19" s="434">
        <v>64.438266666666678</v>
      </c>
      <c r="DL19" s="1891">
        <f>AVERAGE(DH19:DK19)</f>
        <v>65.286166666666674</v>
      </c>
      <c r="DM19" s="1893">
        <v>64.251033333333339</v>
      </c>
      <c r="DN19" s="433">
        <v>74.3596</v>
      </c>
      <c r="DO19" s="433">
        <v>73.112899999999996</v>
      </c>
      <c r="DP19" s="433">
        <v>77.834699999999998</v>
      </c>
      <c r="DQ19" s="1891">
        <f>AVERAGE(DM19:DP19)</f>
        <v>72.389558333333326</v>
      </c>
      <c r="DR19" s="433">
        <v>74.826800000000006</v>
      </c>
      <c r="DS19" s="433">
        <v>74.787999999999997</v>
      </c>
      <c r="DT19" s="433">
        <v>73.256866666666667</v>
      </c>
      <c r="DU19" s="434">
        <v>72.57983333333334</v>
      </c>
      <c r="DV19" s="1891">
        <f>AVERAGE(DR19:DU19)</f>
        <v>73.862875000000003</v>
      </c>
      <c r="DW19" s="1893">
        <v>85.925666666666658</v>
      </c>
      <c r="DX19" s="433">
        <v>71.812966666666668</v>
      </c>
      <c r="DY19" s="433">
        <v>59.140566666666665</v>
      </c>
      <c r="DZ19" s="434">
        <v>61.09856666666667</v>
      </c>
      <c r="EA19" s="3463">
        <f>AVERAGE(DW19:DZ19)</f>
        <v>69.49444166666666</v>
      </c>
      <c r="EB19" s="5736">
        <v>73.142266666666671</v>
      </c>
      <c r="EC19" s="5760">
        <v>79.623299999999986</v>
      </c>
      <c r="ED19" s="5827">
        <v>92.276133333333334</v>
      </c>
      <c r="EE19" s="433">
        <v>93.617233333333346</v>
      </c>
      <c r="EF19" s="3463">
        <f>AVERAGE(EB19:EE19)</f>
        <v>84.664733333333331</v>
      </c>
      <c r="EG19" s="1893">
        <v>90.1755</v>
      </c>
      <c r="EH19" s="433">
        <v>92.097200000000001</v>
      </c>
      <c r="EI19" s="433">
        <v>87.393133333333324</v>
      </c>
      <c r="EJ19" s="434">
        <v>98.942433333333341</v>
      </c>
      <c r="EK19" s="3463">
        <f>AVERAGE(EG19:EJ19)</f>
        <v>92.152066666666656</v>
      </c>
      <c r="EL19" s="1893">
        <v>100.55393333333335</v>
      </c>
      <c r="EM19" s="433">
        <v>80.885766666666669</v>
      </c>
      <c r="EN19" s="433">
        <v>79.971799999999988</v>
      </c>
      <c r="EO19" s="6175">
        <v>80.634666666666661</v>
      </c>
      <c r="EP19" s="3463">
        <f>AVERAGE(EL19:EO19)</f>
        <v>85.511541666666659</v>
      </c>
      <c r="EQ19" s="6242">
        <v>79.524900000000002</v>
      </c>
      <c r="ER19" s="2523">
        <f t="shared" si="28"/>
        <v>79.524900000000002</v>
      </c>
      <c r="ES19" s="2523">
        <f t="shared" si="29"/>
        <v>79.524900000000002</v>
      </c>
      <c r="ET19" s="2522">
        <f t="shared" si="30"/>
        <v>79.524900000000002</v>
      </c>
      <c r="EU19" s="3463">
        <f>AVERAGE(EQ19:ET19)</f>
        <v>79.524900000000002</v>
      </c>
      <c r="EV19" s="2521">
        <f>ET19</f>
        <v>79.524900000000002</v>
      </c>
      <c r="EW19" s="2523">
        <f t="shared" si="31"/>
        <v>79.524900000000002</v>
      </c>
      <c r="EX19" s="2523">
        <f t="shared" si="32"/>
        <v>79.524900000000002</v>
      </c>
      <c r="EY19" s="2522">
        <f t="shared" si="33"/>
        <v>79.524900000000002</v>
      </c>
      <c r="EZ19" s="3463">
        <f>AVERAGE(EV19:EY19)</f>
        <v>79.524900000000002</v>
      </c>
      <c r="FA19" s="3463"/>
      <c r="FB19" s="3463"/>
      <c r="FC19" s="3463"/>
      <c r="FD19" s="816"/>
      <c r="FE19" s="1972" t="s">
        <v>719</v>
      </c>
      <c r="FF19" s="2570" t="e">
        <f>AVERAGE(_xll.BDH($FE19,"PX_LAST",FF$136,FF$136,"FILL=P"),_xll.BDH($FE19,"PX_LAST",FF$137,FF$137,"FILL=P"),_xll.BDH($FE19,"PX_LAST",FF$138,FF$138,"FILL=P"))</f>
        <v>#VALUE!</v>
      </c>
      <c r="FG19"/>
      <c r="FH19"/>
      <c r="FI19"/>
      <c r="FJ19"/>
      <c r="FK19"/>
      <c r="FL19"/>
      <c r="FM19"/>
      <c r="FN19"/>
    </row>
    <row r="20" spans="1:170" ht="11.25" customHeight="1">
      <c r="A20" s="3459" t="s">
        <v>813</v>
      </c>
      <c r="B20" s="435"/>
      <c r="C20" s="435"/>
      <c r="D20" s="435"/>
      <c r="E20" s="435"/>
      <c r="F20" s="3463"/>
      <c r="G20" s="435"/>
      <c r="H20" s="435"/>
      <c r="I20" s="435"/>
      <c r="J20" s="435"/>
      <c r="K20" s="3463"/>
      <c r="L20" s="435"/>
      <c r="M20" s="435"/>
      <c r="N20" s="435"/>
      <c r="O20" s="435"/>
      <c r="P20" s="3463"/>
      <c r="Q20" s="435"/>
      <c r="R20" s="435"/>
      <c r="S20" s="435"/>
      <c r="T20" s="435"/>
      <c r="U20" s="3463"/>
      <c r="V20" s="435"/>
      <c r="W20" s="435"/>
      <c r="X20" s="435"/>
      <c r="Y20" s="435"/>
      <c r="Z20" s="3463"/>
      <c r="AA20" s="435"/>
      <c r="AB20" s="435"/>
      <c r="AC20" s="435"/>
      <c r="AD20" s="435"/>
      <c r="AE20" s="3463"/>
      <c r="AF20" s="435"/>
      <c r="AG20" s="435"/>
      <c r="AH20" s="435"/>
      <c r="AI20" s="435"/>
      <c r="AJ20" s="3463"/>
      <c r="AK20" s="435"/>
      <c r="AL20" s="435"/>
      <c r="AM20" s="435"/>
      <c r="AN20" s="435"/>
      <c r="AO20" s="3463"/>
      <c r="AP20" s="435"/>
      <c r="AQ20" s="435"/>
      <c r="AR20" s="435"/>
      <c r="AS20" s="435"/>
      <c r="AT20" s="3463"/>
      <c r="AU20" s="435"/>
      <c r="AV20" s="435"/>
      <c r="AW20" s="435"/>
      <c r="AX20" s="435"/>
      <c r="AY20" s="3463"/>
      <c r="AZ20" s="435"/>
      <c r="BA20" s="435"/>
      <c r="BB20" s="435"/>
      <c r="BC20" s="435"/>
      <c r="BD20" s="3463"/>
      <c r="BE20" s="435"/>
      <c r="BF20" s="435"/>
      <c r="BG20" s="435"/>
      <c r="BH20" s="435"/>
      <c r="BI20" s="3463"/>
      <c r="BJ20" s="435"/>
      <c r="BK20" s="435"/>
      <c r="BL20" s="433"/>
      <c r="BM20" s="433"/>
      <c r="BN20" s="3463"/>
      <c r="BO20" s="433"/>
      <c r="BP20" s="433"/>
      <c r="BQ20" s="433"/>
      <c r="BR20" s="433"/>
      <c r="BS20" s="3463"/>
      <c r="BT20" s="433"/>
      <c r="BU20" s="433"/>
      <c r="BV20" s="433"/>
      <c r="BW20" s="433"/>
      <c r="BX20" s="3463"/>
      <c r="BY20" s="433"/>
      <c r="BZ20" s="524"/>
      <c r="CA20" s="433"/>
      <c r="CB20" s="433"/>
      <c r="CC20" s="3463"/>
      <c r="CD20" s="433"/>
      <c r="CE20" s="524"/>
      <c r="CF20" s="524"/>
      <c r="CG20" s="433"/>
      <c r="CH20" s="3463"/>
      <c r="CI20" s="433"/>
      <c r="CJ20" s="433"/>
      <c r="CK20" s="433"/>
      <c r="CL20" s="433"/>
      <c r="CM20" s="3463"/>
      <c r="CN20" s="433">
        <v>2.4283000000000001</v>
      </c>
      <c r="CO20" s="433">
        <v>2.6442999999999999</v>
      </c>
      <c r="CP20" s="433">
        <v>2.7890999999999999</v>
      </c>
      <c r="CQ20" s="433">
        <v>2.9514666666666667</v>
      </c>
      <c r="CR20" s="1891">
        <f>AVERAGE(CN20:CQ20)</f>
        <v>2.7032916666666664</v>
      </c>
      <c r="CS20" s="433">
        <v>2.9459</v>
      </c>
      <c r="CT20" s="433">
        <v>2.8540666666666668</v>
      </c>
      <c r="CU20" s="433">
        <v>2.9414666666666669</v>
      </c>
      <c r="CV20" s="433">
        <v>3.1771333333333334</v>
      </c>
      <c r="CW20" s="1891">
        <f>AVERAGE(CS20:CV20)</f>
        <v>2.9796416666666667</v>
      </c>
      <c r="CX20" s="433">
        <v>3.6476666666666664</v>
      </c>
      <c r="CY20" s="433">
        <v>3.5719666666666665</v>
      </c>
      <c r="CZ20" s="433">
        <v>3.4976333333333334</v>
      </c>
      <c r="DA20" s="433">
        <v>3.7582666666666662</v>
      </c>
      <c r="DB20" s="1891">
        <f>AVERAGE(CX20:DA20)</f>
        <v>3.6188833333333328</v>
      </c>
      <c r="DC20" s="433">
        <v>3.784266666666666</v>
      </c>
      <c r="DD20" s="433">
        <v>4.1813666666666665</v>
      </c>
      <c r="DE20" s="433">
        <v>5.3488333333333342</v>
      </c>
      <c r="DF20" s="433">
        <v>5.618033333333333</v>
      </c>
      <c r="DG20" s="1891">
        <f>AVERAGE(DC20:DF20)</f>
        <v>4.7331250000000002</v>
      </c>
      <c r="DH20" s="1893">
        <v>5.2636666666666665</v>
      </c>
      <c r="DI20" s="433">
        <v>5.7919666666666672</v>
      </c>
      <c r="DJ20" s="433">
        <v>5.7362666666666664</v>
      </c>
      <c r="DK20" s="434">
        <v>5.7047999999999996</v>
      </c>
      <c r="DL20" s="1891">
        <f>AVERAGE(DH20:DK20)</f>
        <v>5.6241749999999993</v>
      </c>
      <c r="DM20" s="1893">
        <v>6.0603000000000007</v>
      </c>
      <c r="DN20" s="433">
        <v>6.8086333333333329</v>
      </c>
      <c r="DO20" s="433">
        <v>7.056566666666666</v>
      </c>
      <c r="DP20" s="433">
        <v>7.9613666666666667</v>
      </c>
      <c r="DQ20" s="1891">
        <f>AVERAGE(DM20:DP20)</f>
        <v>6.9717166666666666</v>
      </c>
      <c r="DR20" s="433">
        <v>7.3917333333333337</v>
      </c>
      <c r="DS20" s="433">
        <v>8.346166666666667</v>
      </c>
      <c r="DT20" s="433">
        <v>8.4931333333333328</v>
      </c>
      <c r="DU20" s="434">
        <v>10.659266666666667</v>
      </c>
      <c r="DV20" s="1891">
        <f>AVERAGE(DR20:DU20)</f>
        <v>8.7225749999999991</v>
      </c>
      <c r="DW20" s="1893">
        <v>13.484566666666666</v>
      </c>
      <c r="DX20" s="433">
        <v>15.310166666666666</v>
      </c>
      <c r="DY20" s="433">
        <v>17.604299999999999</v>
      </c>
      <c r="DZ20" s="434">
        <v>18.585800000000003</v>
      </c>
      <c r="EA20" s="3463">
        <f>AVERAGE(DW20:DZ20)</f>
        <v>16.246208333333335</v>
      </c>
      <c r="EB20" s="5736">
        <v>18.80286666666667</v>
      </c>
      <c r="EC20" s="5760">
        <v>19.797933333333333</v>
      </c>
      <c r="ED20" s="5827">
        <v>26.548000000000002</v>
      </c>
      <c r="EE20" s="433">
        <v>28.1968</v>
      </c>
      <c r="EF20" s="3463">
        <f>AVERAGE(EB20:EE20)</f>
        <v>23.336400000000001</v>
      </c>
      <c r="EG20" s="1893">
        <v>30.36706666666667</v>
      </c>
      <c r="EH20" s="433">
        <v>32.348800000000004</v>
      </c>
      <c r="EI20" s="433">
        <v>33.326766666666664</v>
      </c>
      <c r="EJ20" s="434">
        <v>34.385799999999996</v>
      </c>
      <c r="EK20" s="3463">
        <f>AVERAGE(EG20:EJ20)</f>
        <v>32.607108333333329</v>
      </c>
      <c r="EL20" s="1893">
        <v>35.856000000000002</v>
      </c>
      <c r="EM20" s="433">
        <v>38.54546666666667</v>
      </c>
      <c r="EN20" s="433">
        <v>40.528833333333331</v>
      </c>
      <c r="EO20" s="6175">
        <v>41.830499999999994</v>
      </c>
      <c r="EP20" s="3463">
        <f>AVERAGE(EL20:EO20)</f>
        <v>39.190199999999997</v>
      </c>
      <c r="EQ20" s="6242">
        <v>41.951599999999999</v>
      </c>
      <c r="ER20" s="2523">
        <f t="shared" si="28"/>
        <v>41.951599999999999</v>
      </c>
      <c r="ES20" s="2523">
        <f t="shared" si="29"/>
        <v>41.951599999999999</v>
      </c>
      <c r="ET20" s="2522">
        <f t="shared" si="30"/>
        <v>41.951599999999999</v>
      </c>
      <c r="EU20" s="3463">
        <f>AVERAGE(EQ20:ET20)</f>
        <v>41.951599999999999</v>
      </c>
      <c r="EV20" s="2521">
        <f>ET20</f>
        <v>41.951599999999999</v>
      </c>
      <c r="EW20" s="2523">
        <f t="shared" si="31"/>
        <v>41.951599999999999</v>
      </c>
      <c r="EX20" s="2523">
        <f t="shared" si="32"/>
        <v>41.951599999999999</v>
      </c>
      <c r="EY20" s="2522">
        <f t="shared" si="33"/>
        <v>41.951599999999999</v>
      </c>
      <c r="EZ20" s="3463">
        <f>AVERAGE(EV20:EY20)</f>
        <v>41.951599999999999</v>
      </c>
      <c r="FA20" s="3463"/>
      <c r="FB20" s="3463"/>
      <c r="FC20" s="3463"/>
      <c r="FD20" s="816"/>
      <c r="FE20" s="1972" t="s">
        <v>720</v>
      </c>
      <c r="FF20" s="2570" t="e">
        <f>AVERAGE(_xll.BDH($FE20,"PX_LAST",FF$136,FF$136,"FILL=P"),_xll.BDH($FE20,"PX_LAST",FF$137,FF$137,"FILL=P"),_xll.BDH($FE20,"PX_LAST",FF$138,FF$138,"FILL=P"))</f>
        <v>#VALUE!</v>
      </c>
      <c r="FG20"/>
      <c r="FH20"/>
      <c r="FI20"/>
      <c r="FJ20"/>
      <c r="FK20"/>
      <c r="FL20"/>
      <c r="FM20"/>
      <c r="FN20"/>
    </row>
    <row r="21" spans="1:170" ht="11.25" customHeight="1">
      <c r="A21" s="1888" t="s">
        <v>815</v>
      </c>
      <c r="B21" s="438"/>
      <c r="C21" s="438"/>
      <c r="D21" s="438"/>
      <c r="E21" s="438"/>
      <c r="F21" s="1891"/>
      <c r="G21" s="438"/>
      <c r="H21" s="438"/>
      <c r="I21" s="438"/>
      <c r="J21" s="438"/>
      <c r="K21" s="1891"/>
      <c r="L21" s="438"/>
      <c r="M21" s="438"/>
      <c r="N21" s="438"/>
      <c r="O21" s="438"/>
      <c r="P21" s="1891"/>
      <c r="Q21" s="438"/>
      <c r="R21" s="438"/>
      <c r="S21" s="438"/>
      <c r="T21" s="438"/>
      <c r="U21" s="1891"/>
      <c r="V21" s="438"/>
      <c r="W21" s="438"/>
      <c r="X21" s="438"/>
      <c r="Y21" s="438"/>
      <c r="Z21" s="1891"/>
      <c r="AA21" s="438"/>
      <c r="AB21" s="438"/>
      <c r="AC21" s="438"/>
      <c r="AD21" s="438"/>
      <c r="AE21" s="1891"/>
      <c r="AF21" s="438"/>
      <c r="AG21" s="438"/>
      <c r="AH21" s="438"/>
      <c r="AI21" s="438"/>
      <c r="AJ21" s="1891"/>
      <c r="AK21" s="438"/>
      <c r="AL21" s="438"/>
      <c r="AM21" s="438"/>
      <c r="AN21" s="438"/>
      <c r="AO21" s="1891"/>
      <c r="AP21" s="438"/>
      <c r="AQ21" s="438"/>
      <c r="AR21" s="438"/>
      <c r="AS21" s="438"/>
      <c r="AT21" s="1891"/>
      <c r="AU21" s="438"/>
      <c r="AV21" s="438"/>
      <c r="AW21" s="438"/>
      <c r="AX21" s="438"/>
      <c r="AY21" s="1891"/>
      <c r="AZ21" s="438"/>
      <c r="BA21" s="438"/>
      <c r="BB21" s="438"/>
      <c r="BC21" s="438"/>
      <c r="BD21" s="1891"/>
      <c r="BE21" s="438"/>
      <c r="BF21" s="438"/>
      <c r="BG21" s="438"/>
      <c r="BH21" s="438"/>
      <c r="BI21" s="1891"/>
      <c r="BJ21" s="438"/>
      <c r="BK21" s="438"/>
      <c r="BL21" s="438"/>
      <c r="BM21" s="438"/>
      <c r="BN21" s="1891"/>
      <c r="BO21" s="438"/>
      <c r="BP21" s="438"/>
      <c r="BQ21" s="438"/>
      <c r="BR21" s="438"/>
      <c r="BS21" s="1891"/>
      <c r="BT21" s="438"/>
      <c r="BU21" s="438"/>
      <c r="BV21" s="438"/>
      <c r="BW21" s="438"/>
      <c r="BX21" s="1891"/>
      <c r="BY21" s="438"/>
      <c r="BZ21" s="438"/>
      <c r="CA21" s="438"/>
      <c r="CB21" s="438"/>
      <c r="CC21" s="1891"/>
      <c r="CD21" s="438"/>
      <c r="CE21" s="438"/>
      <c r="CF21" s="438"/>
      <c r="CG21" s="438"/>
      <c r="CH21" s="1891"/>
      <c r="CI21" s="438"/>
      <c r="CJ21" s="438"/>
      <c r="CK21" s="438"/>
      <c r="CL21" s="438"/>
      <c r="CM21" s="1891"/>
      <c r="CN21" s="438">
        <f>CN18</f>
        <v>1.1528333333333334</v>
      </c>
      <c r="CO21" s="438">
        <f>CO18</f>
        <v>1.0980333333333334</v>
      </c>
      <c r="CP21" s="438">
        <f>CP18</f>
        <v>1.1113999999999999</v>
      </c>
      <c r="CQ21" s="438">
        <f>CQ18</f>
        <v>1.0915999999999999</v>
      </c>
      <c r="CR21" s="1891">
        <f>AVERAGE(CN21:CQ21)</f>
        <v>1.1134666666666666</v>
      </c>
      <c r="CS21" s="438">
        <f>CS18</f>
        <v>1.0855333333333332</v>
      </c>
      <c r="CT21" s="438">
        <f>CT18</f>
        <v>1.1321000000000001</v>
      </c>
      <c r="CU21" s="438">
        <f>CU18</f>
        <v>1.1146</v>
      </c>
      <c r="CV21" s="438">
        <f>CV18</f>
        <v>1.0934999999999999</v>
      </c>
      <c r="CW21" s="1891">
        <f>AVERAGE(CS21:CV21)</f>
        <v>1.1064333333333334</v>
      </c>
      <c r="CX21" s="438">
        <f>CX18</f>
        <v>1.0630333333333333</v>
      </c>
      <c r="CY21" s="438">
        <f>CY18</f>
        <v>1.0930333333333333</v>
      </c>
      <c r="CZ21" s="438">
        <f>CZ18</f>
        <v>1.1726000000000001</v>
      </c>
      <c r="DA21" s="438">
        <f>DA18</f>
        <v>1.1788000000000001</v>
      </c>
      <c r="DB21" s="1891">
        <f>AVERAGE(CX21:DA21)</f>
        <v>1.1268666666666667</v>
      </c>
      <c r="DC21" s="438">
        <f>DC18</f>
        <v>1.2302666666666666</v>
      </c>
      <c r="DD21" s="438">
        <f>DD18</f>
        <v>1.2031666666666665</v>
      </c>
      <c r="DE21" s="438">
        <f>DE18</f>
        <v>1.1659000000000002</v>
      </c>
      <c r="DF21" s="438">
        <f>DF18</f>
        <v>1.1411</v>
      </c>
      <c r="DG21" s="1891">
        <f>AVERAGE(DC21:DF21)</f>
        <v>1.1851083333333334</v>
      </c>
      <c r="DH21" s="438">
        <f>DH18</f>
        <v>1.1428666666666667</v>
      </c>
      <c r="DI21" s="438">
        <f>DI18</f>
        <v>1.1200666666666665</v>
      </c>
      <c r="DJ21" s="438">
        <f>DJ18</f>
        <v>1.1143666666666665</v>
      </c>
      <c r="DK21" s="438">
        <f>DK18</f>
        <v>1.1022999999999998</v>
      </c>
      <c r="DL21" s="1891">
        <f>AVERAGE(DH21:DK21)</f>
        <v>1.1198999999999999</v>
      </c>
      <c r="DM21" s="438">
        <f>DM18</f>
        <v>1.1110666666666666</v>
      </c>
      <c r="DN21" s="438">
        <f>DN18</f>
        <v>1.1029</v>
      </c>
      <c r="DO21" s="438">
        <f>DO18</f>
        <v>1.1649333333333332</v>
      </c>
      <c r="DP21" s="438">
        <f>DP18</f>
        <v>1.1765000000000001</v>
      </c>
      <c r="DQ21" s="1891">
        <f>AVERAGE(DM21:DP21)</f>
        <v>1.1388499999999999</v>
      </c>
      <c r="DR21" s="438">
        <f>DR18</f>
        <v>1.2142333333333333</v>
      </c>
      <c r="DS21" s="438">
        <f>DS18</f>
        <v>1.1992333333333334</v>
      </c>
      <c r="DT21" s="438">
        <f>DT18</f>
        <v>1.1845666666666668</v>
      </c>
      <c r="DU21" s="438">
        <f>DU18</f>
        <v>1.1491999999999998</v>
      </c>
      <c r="DV21" s="1891">
        <f>AVERAGE(DR21:DU21)</f>
        <v>1.1868083333333332</v>
      </c>
      <c r="DW21" s="438">
        <f>DW18</f>
        <v>1.1274666666666666</v>
      </c>
      <c r="DX21" s="438">
        <f>DX18</f>
        <v>1.0782</v>
      </c>
      <c r="DY21" s="438">
        <f>DY18</f>
        <v>1.0252666666666668</v>
      </c>
      <c r="DZ21" s="438">
        <f>DZ18</f>
        <v>1.0029999999999999</v>
      </c>
      <c r="EA21" s="1891">
        <f>AVERAGE(DW21:DZ21)</f>
        <v>1.0584833333333334</v>
      </c>
      <c r="EB21" s="438">
        <f>EB18</f>
        <v>1.0714666666666668</v>
      </c>
      <c r="EC21" s="438">
        <f>EC18</f>
        <v>1.0849000000000002</v>
      </c>
      <c r="ED21" s="438">
        <f>ED18</f>
        <v>1.0916333333333332</v>
      </c>
      <c r="EE21" s="438">
        <f>EE18</f>
        <v>1.0678666666666665</v>
      </c>
      <c r="EF21" s="1891">
        <f>AVERAGE(EB21:EE21)</f>
        <v>1.0789666666666666</v>
      </c>
      <c r="EG21" s="438">
        <f>EG18</f>
        <v>1.0887333333333336</v>
      </c>
      <c r="EH21" s="438">
        <f>EH18</f>
        <v>1.0768</v>
      </c>
      <c r="EI21" s="438">
        <f>EI18</f>
        <v>1.0862333333333334</v>
      </c>
      <c r="EJ21" s="438">
        <f>EJ18</f>
        <v>1.0865333333333334</v>
      </c>
      <c r="EK21" s="1891">
        <f>AVERAGE(EG21:EJ21)</f>
        <v>1.0845750000000001</v>
      </c>
      <c r="EL21" s="438">
        <f>EL18</f>
        <v>1.0363666666666667</v>
      </c>
      <c r="EM21" s="438">
        <f>EM18</f>
        <v>1.1163666666666667</v>
      </c>
      <c r="EN21" s="438">
        <f>EN18</f>
        <v>1.1629333333333334</v>
      </c>
      <c r="EO21" s="438">
        <f>EO18</f>
        <v>1.1634666666666666</v>
      </c>
      <c r="EP21" s="1891">
        <f>AVERAGE(EL21:EO21)</f>
        <v>1.1197833333333334</v>
      </c>
      <c r="EQ21" s="438">
        <f>EQ18</f>
        <v>1.1585000000000001</v>
      </c>
      <c r="ER21" s="438">
        <f>ER18</f>
        <v>1.1585000000000001</v>
      </c>
      <c r="ES21" s="438">
        <f>ES18</f>
        <v>1.1585000000000001</v>
      </c>
      <c r="ET21" s="438">
        <f>ET18</f>
        <v>1.1585000000000001</v>
      </c>
      <c r="EU21" s="1891">
        <f>AVERAGE(EQ21:ET21)</f>
        <v>1.1585000000000001</v>
      </c>
      <c r="EV21" s="438">
        <f>EV18</f>
        <v>1.1585000000000001</v>
      </c>
      <c r="EW21" s="438">
        <f>EW18</f>
        <v>1.1585000000000001</v>
      </c>
      <c r="EX21" s="438">
        <f>EX18</f>
        <v>1.1585000000000001</v>
      </c>
      <c r="EY21" s="438">
        <f>EY18</f>
        <v>1.1585000000000001</v>
      </c>
      <c r="EZ21" s="1891">
        <f>AVERAGE(EV21:EY21)</f>
        <v>1.1585000000000001</v>
      </c>
      <c r="FA21" s="1891"/>
      <c r="FB21" s="1891"/>
      <c r="FC21" s="1891"/>
      <c r="FD21" s="816"/>
      <c r="FE21" s="1972"/>
      <c r="FF21" s="816"/>
      <c r="FG21"/>
      <c r="FH21"/>
      <c r="FI21"/>
      <c r="FJ21"/>
      <c r="FK21"/>
      <c r="FL21"/>
      <c r="FM21"/>
      <c r="FN21"/>
    </row>
    <row r="22" spans="1:170" ht="11.25" customHeight="1">
      <c r="A22" s="1888"/>
      <c r="B22" s="438"/>
      <c r="C22" s="438"/>
      <c r="D22" s="438"/>
      <c r="E22" s="438"/>
      <c r="F22" s="1891"/>
      <c r="G22" s="438"/>
      <c r="H22" s="438"/>
      <c r="I22" s="438"/>
      <c r="J22" s="438"/>
      <c r="K22" s="1891"/>
      <c r="L22" s="438"/>
      <c r="M22" s="438"/>
      <c r="N22" s="438"/>
      <c r="O22" s="438"/>
      <c r="P22" s="1891"/>
      <c r="Q22" s="438"/>
      <c r="R22" s="438"/>
      <c r="S22" s="438"/>
      <c r="T22" s="438"/>
      <c r="U22" s="1891"/>
      <c r="V22" s="438"/>
      <c r="W22" s="438"/>
      <c r="X22" s="438"/>
      <c r="Y22" s="438"/>
      <c r="Z22" s="1891"/>
      <c r="AA22" s="438"/>
      <c r="AB22" s="438"/>
      <c r="AC22" s="438"/>
      <c r="AD22" s="438"/>
      <c r="AE22" s="1891"/>
      <c r="AF22" s="438"/>
      <c r="AG22" s="438"/>
      <c r="AH22" s="438"/>
      <c r="AI22" s="438"/>
      <c r="AJ22" s="1891"/>
      <c r="AK22" s="438"/>
      <c r="AL22" s="438"/>
      <c r="AM22" s="438"/>
      <c r="AN22" s="438"/>
      <c r="AO22" s="1891"/>
      <c r="AP22" s="438"/>
      <c r="AQ22" s="438"/>
      <c r="AR22" s="438"/>
      <c r="AS22" s="438"/>
      <c r="AT22" s="1891"/>
      <c r="AU22" s="438"/>
      <c r="AV22" s="438"/>
      <c r="AW22" s="438"/>
      <c r="AX22" s="438"/>
      <c r="AY22" s="1891"/>
      <c r="AZ22" s="1911"/>
      <c r="BA22" s="438"/>
      <c r="BB22" s="438"/>
      <c r="BC22" s="438"/>
      <c r="BD22" s="1891"/>
      <c r="BE22" s="1911"/>
      <c r="BF22" s="438"/>
      <c r="BG22" s="438"/>
      <c r="BH22" s="438"/>
      <c r="BI22" s="1891"/>
      <c r="BJ22" s="1911"/>
      <c r="BK22" s="438"/>
      <c r="BL22" s="436"/>
      <c r="BM22" s="1173"/>
      <c r="BN22" s="1891"/>
      <c r="BO22" s="1894"/>
      <c r="BP22" s="436"/>
      <c r="BQ22" s="436"/>
      <c r="BR22" s="436"/>
      <c r="BS22" s="1891"/>
      <c r="BT22" s="1894"/>
      <c r="BU22" s="436"/>
      <c r="BV22" s="436"/>
      <c r="BW22" s="1173"/>
      <c r="BX22" s="1891"/>
      <c r="BY22" s="1894"/>
      <c r="BZ22" s="1885"/>
      <c r="CA22" s="436"/>
      <c r="CB22" s="436"/>
      <c r="CC22" s="1891"/>
      <c r="CD22" s="1894"/>
      <c r="CE22" s="1885"/>
      <c r="CF22" s="1885"/>
      <c r="CG22" s="1173"/>
      <c r="CH22" s="1891"/>
      <c r="CI22" s="436"/>
      <c r="CJ22" s="436"/>
      <c r="CK22" s="436"/>
      <c r="CL22" s="1173"/>
      <c r="CM22" s="1891"/>
      <c r="CN22" s="1894"/>
      <c r="CO22" s="436"/>
      <c r="CP22" s="436"/>
      <c r="CQ22" s="1173"/>
      <c r="CR22" s="1891"/>
      <c r="CS22" s="436"/>
      <c r="CT22" s="436"/>
      <c r="CU22" s="436"/>
      <c r="CV22" s="436"/>
      <c r="CW22" s="1891"/>
      <c r="CX22" s="1894"/>
      <c r="CY22" s="436"/>
      <c r="CZ22" s="436"/>
      <c r="DA22" s="1173"/>
      <c r="DB22" s="1891"/>
      <c r="DC22" s="1894"/>
      <c r="DD22" s="436"/>
      <c r="DE22" s="436"/>
      <c r="DF22" s="1173"/>
      <c r="DG22" s="1891"/>
      <c r="DH22" s="2521"/>
      <c r="DI22" s="2523"/>
      <c r="DJ22" s="2523"/>
      <c r="DK22" s="2522"/>
      <c r="DL22" s="1891"/>
      <c r="DM22" s="2521"/>
      <c r="DN22" s="2523"/>
      <c r="DO22" s="2523"/>
      <c r="DP22" s="2522"/>
      <c r="DQ22" s="1891"/>
      <c r="DR22" s="2521"/>
      <c r="DS22" s="2523"/>
      <c r="DT22" s="2523"/>
      <c r="DU22" s="2522"/>
      <c r="DV22" s="1891"/>
      <c r="DW22" s="2521"/>
      <c r="DX22" s="2523"/>
      <c r="DY22" s="2523"/>
      <c r="DZ22" s="2522"/>
      <c r="EA22" s="1891"/>
      <c r="EB22" s="2521"/>
      <c r="EC22" s="2523"/>
      <c r="ED22" s="2523"/>
      <c r="EE22" s="2522"/>
      <c r="EF22" s="1891"/>
      <c r="EG22" s="2521"/>
      <c r="EH22" s="2523"/>
      <c r="EI22" s="2523"/>
      <c r="EJ22" s="2522"/>
      <c r="EK22" s="1891"/>
      <c r="EL22" s="2521"/>
      <c r="EM22" s="2523"/>
      <c r="EN22" s="2523"/>
      <c r="EO22" s="2522"/>
      <c r="EP22" s="1891"/>
      <c r="EQ22" s="2521"/>
      <c r="ER22" s="2523"/>
      <c r="ES22" s="2523"/>
      <c r="ET22" s="2522"/>
      <c r="EU22" s="1891"/>
      <c r="EV22" s="2521"/>
      <c r="EW22" s="2523"/>
      <c r="EX22" s="2523"/>
      <c r="EY22" s="2522"/>
      <c r="EZ22" s="1891"/>
      <c r="FA22" s="1891"/>
      <c r="FB22" s="1891"/>
      <c r="FC22" s="1891"/>
      <c r="FD22" s="436"/>
      <c r="FF22" s="436"/>
      <c r="FG22"/>
      <c r="FH22"/>
      <c r="FI22"/>
      <c r="FJ22"/>
      <c r="FK22"/>
      <c r="FL22"/>
      <c r="FM22"/>
      <c r="FN22"/>
    </row>
    <row r="23" spans="1:170" ht="11.25" customHeight="1">
      <c r="A23" s="1912" t="s">
        <v>350</v>
      </c>
      <c r="B23" s="421"/>
      <c r="C23" s="421"/>
      <c r="D23" s="421"/>
      <c r="E23" s="421"/>
      <c r="F23" s="1905"/>
      <c r="G23" s="421"/>
      <c r="H23" s="421"/>
      <c r="I23" s="421"/>
      <c r="J23" s="421"/>
      <c r="K23" s="1905"/>
      <c r="L23" s="421"/>
      <c r="M23" s="421"/>
      <c r="N23" s="421"/>
      <c r="O23" s="421"/>
      <c r="P23" s="1905"/>
      <c r="Q23" s="421"/>
      <c r="R23" s="421"/>
      <c r="S23" s="421"/>
      <c r="T23" s="421"/>
      <c r="U23" s="1905"/>
      <c r="V23" s="421"/>
      <c r="W23" s="421"/>
      <c r="X23" s="421"/>
      <c r="Y23" s="421"/>
      <c r="Z23" s="1905"/>
      <c r="AA23" s="421"/>
      <c r="AB23" s="421"/>
      <c r="AC23" s="421"/>
      <c r="AD23" s="421"/>
      <c r="AE23" s="1905"/>
      <c r="AF23" s="421"/>
      <c r="AG23" s="421"/>
      <c r="AH23" s="421"/>
      <c r="AI23" s="421"/>
      <c r="AJ23" s="1905"/>
      <c r="AK23" s="421"/>
      <c r="AL23" s="421"/>
      <c r="AM23" s="421"/>
      <c r="AN23" s="421"/>
      <c r="AO23" s="1905"/>
      <c r="AP23" s="421"/>
      <c r="AQ23" s="421"/>
      <c r="AR23" s="421"/>
      <c r="AS23" s="421"/>
      <c r="AT23" s="1905"/>
      <c r="AU23" s="421"/>
      <c r="AV23" s="421"/>
      <c r="AW23" s="421"/>
      <c r="AX23" s="421"/>
      <c r="AY23" s="1905"/>
      <c r="AZ23" s="1906"/>
      <c r="BA23" s="429"/>
      <c r="BB23" s="429"/>
      <c r="BC23" s="429"/>
      <c r="BD23" s="1905"/>
      <c r="BE23" s="1906"/>
      <c r="BF23" s="429"/>
      <c r="BG23" s="429"/>
      <c r="BH23" s="429"/>
      <c r="BI23" s="1905"/>
      <c r="BJ23" s="1906"/>
      <c r="BK23" s="429"/>
      <c r="BL23" s="429"/>
      <c r="BM23" s="430"/>
      <c r="BN23" s="1905"/>
      <c r="BO23" s="1906"/>
      <c r="BP23" s="429"/>
      <c r="BQ23" s="429"/>
      <c r="BR23" s="429"/>
      <c r="BS23" s="1905"/>
      <c r="BT23" s="1913"/>
      <c r="BU23" s="441"/>
      <c r="BV23" s="441"/>
      <c r="BW23" s="430"/>
      <c r="BX23" s="1905"/>
      <c r="BY23" s="1906"/>
      <c r="BZ23" s="429"/>
      <c r="CA23" s="429"/>
      <c r="CB23" s="430"/>
      <c r="CC23" s="1905"/>
      <c r="CD23" s="1906"/>
      <c r="CE23" s="429"/>
      <c r="CF23" s="429"/>
      <c r="CG23" s="430"/>
      <c r="CH23" s="1905"/>
      <c r="CI23" s="429"/>
      <c r="CJ23" s="429"/>
      <c r="CK23" s="429"/>
      <c r="CL23" s="430"/>
      <c r="CM23" s="1905"/>
      <c r="CN23" s="429"/>
      <c r="CO23" s="429"/>
      <c r="CP23" s="429"/>
      <c r="CQ23" s="430"/>
      <c r="CR23" s="1905"/>
      <c r="CS23" s="429"/>
      <c r="CT23" s="429"/>
      <c r="CU23" s="429"/>
      <c r="CV23" s="429"/>
      <c r="CW23" s="1905"/>
      <c r="CX23" s="1906"/>
      <c r="CY23" s="429"/>
      <c r="CZ23" s="429"/>
      <c r="DA23" s="430"/>
      <c r="DB23" s="1905"/>
      <c r="DC23" s="1906"/>
      <c r="DD23" s="429"/>
      <c r="DE23" s="429"/>
      <c r="DF23" s="430"/>
      <c r="DG23" s="1905"/>
      <c r="DH23" s="1906"/>
      <c r="DI23" s="429"/>
      <c r="DJ23" s="429"/>
      <c r="DK23" s="430"/>
      <c r="DL23" s="1905"/>
      <c r="DM23" s="1906"/>
      <c r="DN23" s="429"/>
      <c r="DO23" s="429"/>
      <c r="DP23" s="430"/>
      <c r="DQ23" s="1905"/>
      <c r="DR23" s="1906"/>
      <c r="DS23" s="429"/>
      <c r="DT23" s="429"/>
      <c r="DU23" s="430"/>
      <c r="DV23" s="1905"/>
      <c r="DW23" s="1906"/>
      <c r="DX23" s="429"/>
      <c r="DY23" s="429"/>
      <c r="DZ23" s="430"/>
      <c r="EA23" s="1905"/>
      <c r="EB23" s="1906"/>
      <c r="EC23" s="429"/>
      <c r="ED23" s="429"/>
      <c r="EE23" s="430"/>
      <c r="EF23" s="1905"/>
      <c r="EG23" s="1906"/>
      <c r="EH23" s="429"/>
      <c r="EI23" s="429"/>
      <c r="EJ23" s="430"/>
      <c r="EK23" s="1905"/>
      <c r="EL23" s="1906"/>
      <c r="EM23" s="429"/>
      <c r="EN23" s="429"/>
      <c r="EO23" s="430"/>
      <c r="EP23" s="1905"/>
      <c r="EQ23" s="1906"/>
      <c r="ER23" s="429"/>
      <c r="ES23" s="429"/>
      <c r="ET23" s="430"/>
      <c r="EU23" s="1905"/>
      <c r="EV23" s="1906"/>
      <c r="EW23" s="429"/>
      <c r="EX23" s="429"/>
      <c r="EY23" s="430"/>
      <c r="EZ23" s="1905"/>
      <c r="FA23" s="1905"/>
      <c r="FB23" s="1905"/>
      <c r="FC23" s="1905"/>
      <c r="FD23" s="429"/>
      <c r="FF23" s="429"/>
    </row>
    <row r="24" spans="1:170" ht="11.25" customHeight="1">
      <c r="A24" s="1888" t="str">
        <f>A17</f>
        <v>United Kingdom (USD/GBP)</v>
      </c>
      <c r="B24" s="440"/>
      <c r="C24" s="440"/>
      <c r="D24" s="440"/>
      <c r="E24" s="440"/>
      <c r="F24" s="1895"/>
      <c r="G24" s="440"/>
      <c r="H24" s="440"/>
      <c r="I24" s="440"/>
      <c r="J24" s="440"/>
      <c r="K24" s="1895"/>
      <c r="L24" s="440"/>
      <c r="M24" s="440"/>
      <c r="N24" s="440"/>
      <c r="O24" s="440"/>
      <c r="P24" s="1895"/>
      <c r="Q24" s="440"/>
      <c r="R24" s="440"/>
      <c r="S24" s="440"/>
      <c r="T24" s="440"/>
      <c r="U24" s="1895"/>
      <c r="V24" s="440"/>
      <c r="W24" s="440"/>
      <c r="X24" s="440"/>
      <c r="Y24" s="440"/>
      <c r="Z24" s="1895"/>
      <c r="AA24" s="440"/>
      <c r="AB24" s="440"/>
      <c r="AC24" s="440"/>
      <c r="AD24" s="440"/>
      <c r="AE24" s="1895"/>
      <c r="AF24" s="440"/>
      <c r="AG24" s="440"/>
      <c r="AH24" s="440"/>
      <c r="AI24" s="440"/>
      <c r="AJ24" s="1895"/>
      <c r="AK24" s="440"/>
      <c r="AL24" s="440"/>
      <c r="AM24" s="440"/>
      <c r="AN24" s="440"/>
      <c r="AO24" s="1895"/>
      <c r="AP24" s="440"/>
      <c r="AQ24" s="440"/>
      <c r="AR24" s="440"/>
      <c r="AS24" s="440"/>
      <c r="AT24" s="1895"/>
      <c r="AU24" s="440"/>
      <c r="AV24" s="440"/>
      <c r="AW24" s="440"/>
      <c r="AX24" s="440"/>
      <c r="AY24" s="1895"/>
      <c r="AZ24" s="441"/>
      <c r="BA24" s="441"/>
      <c r="BB24" s="441"/>
      <c r="BC24" s="441"/>
      <c r="BD24" s="1895"/>
      <c r="BE24" s="441"/>
      <c r="BF24" s="441"/>
      <c r="BG24" s="441"/>
      <c r="BH24" s="443"/>
      <c r="BI24" s="1895"/>
      <c r="BJ24" s="441"/>
      <c r="BK24" s="441"/>
      <c r="BL24" s="441"/>
      <c r="BM24" s="443"/>
      <c r="BN24" s="1895"/>
      <c r="BO24" s="441"/>
      <c r="BP24" s="441"/>
      <c r="BQ24" s="441"/>
      <c r="BR24" s="443"/>
      <c r="BS24" s="1895"/>
      <c r="BT24" s="441"/>
      <c r="BU24" s="441"/>
      <c r="BV24" s="441"/>
      <c r="BW24" s="443"/>
      <c r="BX24" s="1895"/>
      <c r="BY24" s="441"/>
      <c r="BZ24" s="441"/>
      <c r="CA24" s="441"/>
      <c r="CB24" s="443"/>
      <c r="CC24" s="1895"/>
      <c r="CD24" s="441"/>
      <c r="CE24" s="441"/>
      <c r="CF24" s="441"/>
      <c r="CG24" s="443"/>
      <c r="CH24" s="1895"/>
      <c r="CI24" s="441"/>
      <c r="CJ24" s="441"/>
      <c r="CK24" s="441"/>
      <c r="CL24" s="441"/>
      <c r="CM24" s="1895"/>
      <c r="CN24" s="441"/>
      <c r="CO24" s="441"/>
      <c r="CP24" s="441"/>
      <c r="CQ24" s="441"/>
      <c r="CR24" s="1895"/>
      <c r="CS24" s="441">
        <f t="shared" ref="CS24:CX24" si="34">CS17/CN17-1</f>
        <v>-6.8974498100922488E-2</v>
      </c>
      <c r="CT24" s="441">
        <f t="shared" si="34"/>
        <v>-4.4104707435107748E-2</v>
      </c>
      <c r="CU24" s="441">
        <f t="shared" si="34"/>
        <v>-0.14996036761712972</v>
      </c>
      <c r="CV24" s="441">
        <f t="shared" si="34"/>
        <v>-0.17302464263790251</v>
      </c>
      <c r="CW24" s="1895">
        <f t="shared" si="34"/>
        <v>-0.10920653226420651</v>
      </c>
      <c r="CX24" s="441">
        <f t="shared" si="34"/>
        <v>-0.13049863626827041</v>
      </c>
      <c r="CY24" s="441">
        <f t="shared" ref="CY24:DG24" si="35">CY17/CT17-1</f>
        <v>-0.11653434587504319</v>
      </c>
      <c r="CZ24" s="441">
        <f t="shared" si="35"/>
        <v>-1.2827944252627455E-2</v>
      </c>
      <c r="DA24" s="441">
        <f t="shared" si="35"/>
        <v>6.5906680805938755E-2</v>
      </c>
      <c r="DB24" s="1895">
        <f t="shared" si="35"/>
        <v>-5.3037844043700599E-2</v>
      </c>
      <c r="DC24" s="441">
        <f t="shared" si="35"/>
        <v>0.12490951500040204</v>
      </c>
      <c r="DD24" s="441">
        <f t="shared" si="35"/>
        <v>6.9938266781276903E-2</v>
      </c>
      <c r="DE24" s="441">
        <f t="shared" si="35"/>
        <v>3.089098800102219E-3</v>
      </c>
      <c r="DF24" s="441">
        <f t="shared" si="35"/>
        <v>-4.1287370044272076E-2</v>
      </c>
      <c r="DG24" s="1895">
        <f t="shared" si="35"/>
        <v>3.7435672552332822E-2</v>
      </c>
      <c r="DH24" s="441">
        <f t="shared" ref="DH24:DL25" si="36">DH17/DC17-1</f>
        <v>-6.7496067496067735E-2</v>
      </c>
      <c r="DI24" s="441">
        <f t="shared" si="36"/>
        <v>-5.7941376959781854E-2</v>
      </c>
      <c r="DJ24" s="441">
        <f t="shared" si="36"/>
        <v>-5.8028556157898814E-2</v>
      </c>
      <c r="DK24" s="441">
        <f t="shared" si="36"/>
        <v>-1.0117781352150579E-2</v>
      </c>
      <c r="DL24" s="1895">
        <f t="shared" si="36"/>
        <v>-4.8995779226834069E-2</v>
      </c>
      <c r="DM24" s="441">
        <f t="shared" ref="DM24:DV25" si="37">DM17/DH17-1</f>
        <v>4.0893523488219063E-3</v>
      </c>
      <c r="DN24" s="441">
        <f t="shared" si="37"/>
        <v>-3.4603059747777554E-2</v>
      </c>
      <c r="DO24" s="441">
        <f t="shared" si="37"/>
        <v>4.9850044581340791E-2</v>
      </c>
      <c r="DP24" s="441">
        <f t="shared" si="37"/>
        <v>2.7099276653737236E-2</v>
      </c>
      <c r="DQ24" s="1895">
        <f t="shared" si="37"/>
        <v>1.1111910006601722E-2</v>
      </c>
      <c r="DR24" s="441">
        <f t="shared" si="37"/>
        <v>5.154507967214772E-2</v>
      </c>
      <c r="DS24" s="441">
        <f t="shared" si="37"/>
        <v>0.11938860186845845</v>
      </c>
      <c r="DT24" s="441">
        <f t="shared" si="37"/>
        <v>6.7788758492896672E-2</v>
      </c>
      <c r="DU24" s="441">
        <f t="shared" si="37"/>
        <v>3.2278642510844779E-2</v>
      </c>
      <c r="DV24" s="1895">
        <f t="shared" si="37"/>
        <v>6.7128237948399949E-2</v>
      </c>
      <c r="DW24" s="441">
        <f t="shared" ref="DW24:EA25" si="38">DW17/DR17-1</f>
        <v>-2.2076444530512607E-2</v>
      </c>
      <c r="DX24" s="441">
        <f t="shared" si="38"/>
        <v>-8.376975871057224E-2</v>
      </c>
      <c r="DY24" s="441">
        <f t="shared" si="38"/>
        <v>-0.13302000482043874</v>
      </c>
      <c r="DZ24" s="441">
        <f t="shared" si="38"/>
        <v>-0.14233098504511199</v>
      </c>
      <c r="EA24" s="1895">
        <f t="shared" si="38"/>
        <v>-9.5060973024056139E-2</v>
      </c>
      <c r="EB24" s="441">
        <f t="shared" ref="EB24:EF25" si="39">EB17/DW17-1</f>
        <v>-9.8368771504245056E-2</v>
      </c>
      <c r="EC24" s="441">
        <f t="shared" si="39"/>
        <v>-2.5291016338675143E-2</v>
      </c>
      <c r="ED24" s="441">
        <f t="shared" si="39"/>
        <v>6.227238608879393E-2</v>
      </c>
      <c r="EE24" s="441">
        <f t="shared" si="39"/>
        <v>6.5682912067325461E-2</v>
      </c>
      <c r="EF24" s="1895">
        <f t="shared" si="39"/>
        <v>-2.838379713618111E-3</v>
      </c>
      <c r="EG24" s="441">
        <f t="shared" ref="EG24:EK25" si="40">EG17/EB17-1</f>
        <v>4.4447494852436487E-2</v>
      </c>
      <c r="EH24" s="441">
        <f t="shared" si="40"/>
        <v>1.3710001338867128E-2</v>
      </c>
      <c r="EI24" s="441">
        <f t="shared" si="40"/>
        <v>1.091308785428291E-2</v>
      </c>
      <c r="EJ24" s="441">
        <f t="shared" si="40"/>
        <v>5.498160969277377E-2</v>
      </c>
      <c r="EK24" s="1895">
        <f t="shared" si="40"/>
        <v>3.0753841712708896E-2</v>
      </c>
      <c r="EL24" s="441">
        <f t="shared" ref="EL24:EP25" si="41">EL17/EG17-1</f>
        <v>-1.4614656713279328E-2</v>
      </c>
      <c r="EM24" s="441">
        <f t="shared" si="41"/>
        <v>4.8841693742240677E-2</v>
      </c>
      <c r="EN24" s="441">
        <f t="shared" si="41"/>
        <v>4.6986641814227736E-2</v>
      </c>
      <c r="EO24" s="441">
        <f t="shared" si="41"/>
        <v>1.9200697274987855E-2</v>
      </c>
      <c r="EP24" s="1895">
        <f t="shared" si="41"/>
        <v>2.5120816996443862E-2</v>
      </c>
      <c r="EQ24" s="441">
        <f t="shared" ref="EQ24:EQ25" si="42">EQ17/EL17-1</f>
        <v>5.2816901408450745E-2</v>
      </c>
      <c r="ER24" s="441">
        <f t="shared" ref="ER24:ER25" si="43">ER17/EM17-1</f>
        <v>-5.9940563139072589E-3</v>
      </c>
      <c r="ES24" s="441">
        <f t="shared" ref="ES24:ES25" si="44">ES17/EN17-1</f>
        <v>-2.4108003857280402E-2</v>
      </c>
      <c r="ET24" s="441">
        <f t="shared" ref="ET24:ET25" si="45">ET17/EO17-1</f>
        <v>-7.2941294833744896E-3</v>
      </c>
      <c r="EU24" s="1895">
        <f t="shared" ref="EU24:EU25" si="46">EU17/EP17-1</f>
        <v>3.0305918231201545E-3</v>
      </c>
      <c r="EV24" s="441">
        <f t="shared" ref="EV24:EV25" si="47">EV17/EQ17-1</f>
        <v>0</v>
      </c>
      <c r="EW24" s="441">
        <f t="shared" ref="EW24:EW25" si="48">EW17/ER17-1</f>
        <v>0</v>
      </c>
      <c r="EX24" s="441">
        <f t="shared" ref="EX24:EX25" si="49">EX17/ES17-1</f>
        <v>0</v>
      </c>
      <c r="EY24" s="441">
        <f t="shared" ref="EY24:EZ25" si="50">EY17/ET17-1</f>
        <v>0</v>
      </c>
      <c r="EZ24" s="1895">
        <f t="shared" si="50"/>
        <v>0</v>
      </c>
      <c r="FA24" s="1895"/>
      <c r="FB24" s="1895"/>
      <c r="FC24" s="1895"/>
      <c r="FD24" s="441"/>
      <c r="FF24" s="441"/>
    </row>
    <row r="25" spans="1:170" ht="11.25" customHeight="1">
      <c r="A25" s="1888" t="str">
        <f>A18</f>
        <v>EU ex. UK (USD/EUR)</v>
      </c>
      <c r="B25" s="440"/>
      <c r="C25" s="440"/>
      <c r="D25" s="440"/>
      <c r="E25" s="440"/>
      <c r="F25" s="1895"/>
      <c r="G25" s="440"/>
      <c r="H25" s="440"/>
      <c r="I25" s="440"/>
      <c r="J25" s="440"/>
      <c r="K25" s="1895"/>
      <c r="L25" s="440"/>
      <c r="M25" s="440"/>
      <c r="N25" s="440"/>
      <c r="O25" s="440"/>
      <c r="P25" s="1895"/>
      <c r="Q25" s="440"/>
      <c r="R25" s="440"/>
      <c r="S25" s="440"/>
      <c r="T25" s="440"/>
      <c r="U25" s="1895"/>
      <c r="V25" s="440"/>
      <c r="W25" s="440"/>
      <c r="X25" s="440"/>
      <c r="Y25" s="440"/>
      <c r="Z25" s="1895"/>
      <c r="AA25" s="440"/>
      <c r="AB25" s="440"/>
      <c r="AC25" s="440"/>
      <c r="AD25" s="440"/>
      <c r="AE25" s="1895"/>
      <c r="AF25" s="440"/>
      <c r="AG25" s="440"/>
      <c r="AH25" s="440"/>
      <c r="AI25" s="440"/>
      <c r="AJ25" s="1895"/>
      <c r="AK25" s="440"/>
      <c r="AL25" s="440"/>
      <c r="AM25" s="440"/>
      <c r="AN25" s="440"/>
      <c r="AO25" s="1895"/>
      <c r="AP25" s="440"/>
      <c r="AQ25" s="440"/>
      <c r="AR25" s="440"/>
      <c r="AS25" s="440"/>
      <c r="AT25" s="1895"/>
      <c r="AU25" s="440"/>
      <c r="AV25" s="440"/>
      <c r="AW25" s="440"/>
      <c r="AX25" s="440"/>
      <c r="AY25" s="1895"/>
      <c r="AZ25" s="441"/>
      <c r="BA25" s="441"/>
      <c r="BB25" s="441"/>
      <c r="BC25" s="441"/>
      <c r="BD25" s="1895"/>
      <c r="BE25" s="441"/>
      <c r="BF25" s="441"/>
      <c r="BG25" s="441"/>
      <c r="BH25" s="443"/>
      <c r="BI25" s="1895"/>
      <c r="BJ25" s="441"/>
      <c r="BK25" s="441"/>
      <c r="BL25" s="441"/>
      <c r="BM25" s="443"/>
      <c r="BN25" s="1895"/>
      <c r="BO25" s="441"/>
      <c r="BP25" s="441"/>
      <c r="BQ25" s="441"/>
      <c r="BR25" s="443"/>
      <c r="BS25" s="1895"/>
      <c r="BT25" s="441"/>
      <c r="BU25" s="441"/>
      <c r="BV25" s="441"/>
      <c r="BW25" s="443"/>
      <c r="BX25" s="1895"/>
      <c r="BY25" s="441"/>
      <c r="BZ25" s="441"/>
      <c r="CA25" s="441"/>
      <c r="CB25" s="443"/>
      <c r="CC25" s="1895"/>
      <c r="CD25" s="441"/>
      <c r="CE25" s="441"/>
      <c r="CF25" s="441"/>
      <c r="CG25" s="443"/>
      <c r="CH25" s="1895"/>
      <c r="CI25" s="441"/>
      <c r="CJ25" s="441"/>
      <c r="CK25" s="441"/>
      <c r="CL25" s="441"/>
      <c r="CM25" s="1895"/>
      <c r="CN25" s="441"/>
      <c r="CO25" s="441"/>
      <c r="CP25" s="441"/>
      <c r="CQ25" s="441"/>
      <c r="CR25" s="1895"/>
      <c r="CS25" s="441">
        <f>CS18/CN18-1</f>
        <v>-5.8377909498337544E-2</v>
      </c>
      <c r="CT25" s="441">
        <f>CT18/CO18-1</f>
        <v>3.1025166206247512E-2</v>
      </c>
      <c r="CU25" s="441">
        <f>CU18/CP18-1</f>
        <v>2.8792513946374054E-3</v>
      </c>
      <c r="CV25" s="441">
        <f>CV18/CQ18-1</f>
        <v>1.7405643092707201E-3</v>
      </c>
      <c r="CW25" s="1895">
        <f>CW18/CR18-1</f>
        <v>-6.3166087893664624E-3</v>
      </c>
      <c r="CX25" s="441">
        <f t="shared" ref="CX25:DG25" si="51">CX18/CS18-1</f>
        <v>-2.0727138733648509E-2</v>
      </c>
      <c r="CY25" s="441">
        <f t="shared" si="51"/>
        <v>-3.4508141212496124E-2</v>
      </c>
      <c r="CZ25" s="441">
        <f t="shared" si="51"/>
        <v>5.2036605060111318E-2</v>
      </c>
      <c r="DA25" s="441">
        <f t="shared" si="51"/>
        <v>7.8006401463191821E-2</v>
      </c>
      <c r="DB25" s="1895">
        <f t="shared" si="51"/>
        <v>1.8467749224233998E-2</v>
      </c>
      <c r="DC25" s="441">
        <f t="shared" si="51"/>
        <v>0.15731711141074278</v>
      </c>
      <c r="DD25" s="441">
        <f t="shared" si="51"/>
        <v>0.10075935470098485</v>
      </c>
      <c r="DE25" s="441">
        <f t="shared" si="51"/>
        <v>-5.7137983967251449E-3</v>
      </c>
      <c r="DF25" s="441">
        <f t="shared" si="51"/>
        <v>-3.1981676280963711E-2</v>
      </c>
      <c r="DG25" s="1895">
        <f t="shared" si="51"/>
        <v>5.1684612199017987E-2</v>
      </c>
      <c r="DH25" s="441">
        <f t="shared" si="36"/>
        <v>-7.1041508616018101E-2</v>
      </c>
      <c r="DI25" s="441">
        <f t="shared" si="36"/>
        <v>-6.9067737913838467E-2</v>
      </c>
      <c r="DJ25" s="441">
        <f t="shared" si="36"/>
        <v>-4.420047459759302E-2</v>
      </c>
      <c r="DK25" s="441">
        <f t="shared" si="36"/>
        <v>-3.4002278503198813E-2</v>
      </c>
      <c r="DL25" s="1895">
        <f t="shared" si="36"/>
        <v>-5.5023099154085986E-2</v>
      </c>
      <c r="DM25" s="441">
        <f t="shared" si="37"/>
        <v>-2.7824768126932353E-2</v>
      </c>
      <c r="DN25" s="441">
        <f t="shared" si="37"/>
        <v>-1.5326468662579473E-2</v>
      </c>
      <c r="DO25" s="441">
        <f t="shared" si="37"/>
        <v>4.5377045257395832E-2</v>
      </c>
      <c r="DP25" s="441">
        <f t="shared" si="37"/>
        <v>6.7313798421482662E-2</v>
      </c>
      <c r="DQ25" s="1895">
        <f t="shared" si="37"/>
        <v>1.6921153674435141E-2</v>
      </c>
      <c r="DR25" s="441">
        <f t="shared" si="37"/>
        <v>9.2853714148565913E-2</v>
      </c>
      <c r="DS25" s="441">
        <f t="shared" si="37"/>
        <v>8.7345483120258693E-2</v>
      </c>
      <c r="DT25" s="441">
        <f t="shared" si="37"/>
        <v>1.6853611079318043E-2</v>
      </c>
      <c r="DU25" s="441">
        <f t="shared" si="37"/>
        <v>-2.3204419889503058E-2</v>
      </c>
      <c r="DV25" s="1895">
        <f t="shared" si="37"/>
        <v>4.2111194040772126E-2</v>
      </c>
      <c r="DW25" s="441">
        <f t="shared" si="38"/>
        <v>-7.1457984462074853E-2</v>
      </c>
      <c r="DX25" s="441">
        <f t="shared" si="38"/>
        <v>-0.10092559135002921</v>
      </c>
      <c r="DY25" s="441">
        <f t="shared" si="38"/>
        <v>-0.13447955651855814</v>
      </c>
      <c r="DZ25" s="441">
        <f t="shared" si="38"/>
        <v>-0.12721893491124248</v>
      </c>
      <c r="EA25" s="1895">
        <f t="shared" si="38"/>
        <v>-0.10812613662694748</v>
      </c>
      <c r="EB25" s="441">
        <f t="shared" si="39"/>
        <v>-4.966887417218524E-2</v>
      </c>
      <c r="EC25" s="441">
        <f t="shared" si="39"/>
        <v>6.2140604711558023E-3</v>
      </c>
      <c r="ED25" s="441">
        <f t="shared" si="39"/>
        <v>6.4731126861304222E-2</v>
      </c>
      <c r="EE25" s="441">
        <f t="shared" si="39"/>
        <v>6.4672648720505155E-2</v>
      </c>
      <c r="EF25" s="1895">
        <f t="shared" si="39"/>
        <v>1.9351587963910566E-2</v>
      </c>
      <c r="EG25" s="441">
        <f t="shared" si="40"/>
        <v>1.6114982578397274E-2</v>
      </c>
      <c r="EH25" s="441">
        <f t="shared" si="40"/>
        <v>-7.4661259102223321E-3</v>
      </c>
      <c r="EI25" s="441">
        <f t="shared" si="40"/>
        <v>-4.946715930257306E-3</v>
      </c>
      <c r="EJ25" s="441">
        <f t="shared" si="40"/>
        <v>1.7480334623548588E-2</v>
      </c>
      <c r="EK25" s="1895">
        <f t="shared" si="40"/>
        <v>5.1978745095617729E-3</v>
      </c>
      <c r="EL25" s="441">
        <f t="shared" si="41"/>
        <v>-4.809870797869098E-2</v>
      </c>
      <c r="EM25" s="441">
        <f t="shared" si="41"/>
        <v>3.6744675581971364E-2</v>
      </c>
      <c r="EN25" s="441">
        <f t="shared" si="41"/>
        <v>7.0610979838585886E-2</v>
      </c>
      <c r="EO25" s="441">
        <f t="shared" si="41"/>
        <v>7.0806233893729198E-2</v>
      </c>
      <c r="EP25" s="1895">
        <f t="shared" si="41"/>
        <v>3.2462792645352678E-2</v>
      </c>
      <c r="EQ25" s="441">
        <f t="shared" si="42"/>
        <v>0.11784760863272337</v>
      </c>
      <c r="ER25" s="441">
        <f t="shared" si="43"/>
        <v>3.77414827864202E-2</v>
      </c>
      <c r="ES25" s="441">
        <f t="shared" si="44"/>
        <v>-3.8121990369180958E-3</v>
      </c>
      <c r="ET25" s="441">
        <f t="shared" si="45"/>
        <v>-4.2688517075405441E-3</v>
      </c>
      <c r="EU25" s="1895">
        <f t="shared" si="46"/>
        <v>3.4575141024305367E-2</v>
      </c>
      <c r="EV25" s="441">
        <f t="shared" si="47"/>
        <v>0</v>
      </c>
      <c r="EW25" s="441">
        <f t="shared" si="48"/>
        <v>0</v>
      </c>
      <c r="EX25" s="441">
        <f t="shared" si="49"/>
        <v>0</v>
      </c>
      <c r="EY25" s="441">
        <f t="shared" si="50"/>
        <v>0</v>
      </c>
      <c r="EZ25" s="1895">
        <f t="shared" si="50"/>
        <v>0</v>
      </c>
      <c r="FA25" s="1895"/>
      <c r="FB25" s="1895"/>
      <c r="FC25" s="1895"/>
      <c r="FD25" s="441"/>
      <c r="FF25" s="441"/>
    </row>
    <row r="26" spans="1:170" ht="11.25" customHeight="1">
      <c r="A26" s="2120" t="str">
        <f>A19</f>
        <v>Russia (RUB/USD)</v>
      </c>
      <c r="B26" s="440"/>
      <c r="C26" s="440"/>
      <c r="D26" s="440"/>
      <c r="E26" s="440"/>
      <c r="F26" s="2142"/>
      <c r="G26" s="440"/>
      <c r="H26" s="440"/>
      <c r="I26" s="440"/>
      <c r="J26" s="440"/>
      <c r="K26" s="2142"/>
      <c r="L26" s="440"/>
      <c r="M26" s="440"/>
      <c r="N26" s="440"/>
      <c r="O26" s="440"/>
      <c r="P26" s="2142"/>
      <c r="Q26" s="440"/>
      <c r="R26" s="440"/>
      <c r="S26" s="440"/>
      <c r="T26" s="440"/>
      <c r="U26" s="2142"/>
      <c r="V26" s="440"/>
      <c r="W26" s="440"/>
      <c r="X26" s="440"/>
      <c r="Y26" s="440"/>
      <c r="Z26" s="2142"/>
      <c r="AA26" s="440"/>
      <c r="AB26" s="440"/>
      <c r="AC26" s="440"/>
      <c r="AD26" s="440"/>
      <c r="AE26" s="2142"/>
      <c r="AF26" s="440"/>
      <c r="AG26" s="440"/>
      <c r="AH26" s="440"/>
      <c r="AI26" s="440"/>
      <c r="AJ26" s="2142"/>
      <c r="AK26" s="440"/>
      <c r="AL26" s="440"/>
      <c r="AM26" s="440"/>
      <c r="AN26" s="440"/>
      <c r="AO26" s="2142"/>
      <c r="AP26" s="440"/>
      <c r="AQ26" s="440"/>
      <c r="AR26" s="440"/>
      <c r="AS26" s="440"/>
      <c r="AT26" s="2142"/>
      <c r="AU26" s="440"/>
      <c r="AV26" s="440"/>
      <c r="AW26" s="440"/>
      <c r="AX26" s="440"/>
      <c r="AY26" s="2142"/>
      <c r="AZ26" s="441"/>
      <c r="BA26" s="441"/>
      <c r="BB26" s="441"/>
      <c r="BC26" s="441"/>
      <c r="BD26" s="2142"/>
      <c r="BE26" s="441"/>
      <c r="BF26" s="441"/>
      <c r="BG26" s="441"/>
      <c r="BH26" s="443"/>
      <c r="BI26" s="2142"/>
      <c r="BJ26" s="441"/>
      <c r="BK26" s="441"/>
      <c r="BL26" s="441"/>
      <c r="BM26" s="443"/>
      <c r="BN26" s="2142"/>
      <c r="BO26" s="441"/>
      <c r="BP26" s="441"/>
      <c r="BQ26" s="441"/>
      <c r="BR26" s="443"/>
      <c r="BS26" s="2142"/>
      <c r="BT26" s="441"/>
      <c r="BU26" s="441"/>
      <c r="BV26" s="441"/>
      <c r="BW26" s="443"/>
      <c r="BX26" s="2142"/>
      <c r="BY26" s="441"/>
      <c r="BZ26" s="441"/>
      <c r="CA26" s="441"/>
      <c r="CB26" s="443"/>
      <c r="CC26" s="2142"/>
      <c r="CD26" s="441"/>
      <c r="CE26" s="441"/>
      <c r="CF26" s="441"/>
      <c r="CG26" s="443"/>
      <c r="CH26" s="2142"/>
      <c r="CI26" s="441"/>
      <c r="CJ26" s="441"/>
      <c r="CK26" s="441"/>
      <c r="CL26" s="441"/>
      <c r="CM26" s="2142"/>
      <c r="CN26" s="441"/>
      <c r="CO26" s="441"/>
      <c r="CP26" s="441"/>
      <c r="CQ26" s="441"/>
      <c r="CR26" s="2142"/>
      <c r="CS26" s="441">
        <f>CN19/CS19-1</f>
        <v>-0.15134091379398373</v>
      </c>
      <c r="CT26" s="441">
        <f t="shared" ref="CT26:DL26" si="52">CO19/CT19-1</f>
        <v>-0.18282994320636281</v>
      </c>
      <c r="CU26" s="441">
        <f t="shared" si="52"/>
        <v>-7.1421655937410233E-2</v>
      </c>
      <c r="CV26" s="441">
        <f t="shared" si="52"/>
        <v>2.8142942912025903E-2</v>
      </c>
      <c r="CW26" s="2142">
        <f t="shared" si="52"/>
        <v>-9.7423290934697926E-2</v>
      </c>
      <c r="CX26" s="441">
        <f t="shared" si="52"/>
        <v>0.23958165031256295</v>
      </c>
      <c r="CY26" s="441">
        <f t="shared" si="52"/>
        <v>0.16841402227105373</v>
      </c>
      <c r="CZ26" s="441">
        <f t="shared" si="52"/>
        <v>0.10487030866814329</v>
      </c>
      <c r="DA26" s="441">
        <f t="shared" si="52"/>
        <v>9.2060882514231945E-2</v>
      </c>
      <c r="DB26" s="2142">
        <f t="shared" si="52"/>
        <v>0.15169300212851344</v>
      </c>
      <c r="DC26" s="441">
        <f t="shared" si="52"/>
        <v>5.8012560498284405E-2</v>
      </c>
      <c r="DD26" s="441">
        <f t="shared" si="52"/>
        <v>-7.0831173990919094E-2</v>
      </c>
      <c r="DE26" s="441">
        <f t="shared" si="52"/>
        <v>-8.3451910312747568E-2</v>
      </c>
      <c r="DF26" s="441">
        <f t="shared" si="52"/>
        <v>-0.12187386821045909</v>
      </c>
      <c r="DG26" s="2142">
        <f t="shared" si="52"/>
        <v>-5.8245261678222193E-2</v>
      </c>
      <c r="DH26" s="441">
        <f t="shared" si="52"/>
        <v>-0.15180309996870944</v>
      </c>
      <c r="DI26" s="441">
        <f t="shared" si="52"/>
        <v>-6.6826984701696568E-2</v>
      </c>
      <c r="DJ26" s="441">
        <f t="shared" si="52"/>
        <v>-4.2830290912302393E-3</v>
      </c>
      <c r="DK26" s="441">
        <f t="shared" si="52"/>
        <v>2.6947238390438555E-2</v>
      </c>
      <c r="DL26" s="2142">
        <f t="shared" si="52"/>
        <v>-5.0001148788538674E-2</v>
      </c>
      <c r="DM26" s="441">
        <f t="shared" ref="DM26:DV27" si="53">DH19/DM19-1</f>
        <v>4.1222164520311244E-2</v>
      </c>
      <c r="DN26" s="441">
        <f t="shared" si="53"/>
        <v>-0.12219762702686232</v>
      </c>
      <c r="DO26" s="441">
        <f t="shared" si="53"/>
        <v>-0.11734089788988444</v>
      </c>
      <c r="DP26" s="441">
        <f t="shared" si="53"/>
        <v>-0.17211389435988478</v>
      </c>
      <c r="DQ26" s="2142">
        <f t="shared" si="53"/>
        <v>-9.8127296673887088E-2</v>
      </c>
      <c r="DR26" s="441">
        <f t="shared" si="53"/>
        <v>-0.14133661557980115</v>
      </c>
      <c r="DS26" s="441">
        <f t="shared" si="53"/>
        <v>-5.7281916885061346E-3</v>
      </c>
      <c r="DT26" s="441">
        <f t="shared" si="53"/>
        <v>-1.9652310181617061E-3</v>
      </c>
      <c r="DU26" s="441">
        <f t="shared" si="53"/>
        <v>7.2401195005958874E-2</v>
      </c>
      <c r="DV26" s="2142">
        <f t="shared" si="53"/>
        <v>-1.9946646629537157E-2</v>
      </c>
      <c r="DW26" s="441">
        <f t="shared" ref="DW26:EA27" si="54">DR19/DW19-1</f>
        <v>-0.12916823455932824</v>
      </c>
      <c r="DX26" s="441">
        <f t="shared" si="54"/>
        <v>4.1427523070346028E-2</v>
      </c>
      <c r="DY26" s="441">
        <f t="shared" si="54"/>
        <v>0.23869064494365699</v>
      </c>
      <c r="DZ26" s="441">
        <f t="shared" si="54"/>
        <v>0.18791384631499808</v>
      </c>
      <c r="EA26" s="2142">
        <f t="shared" si="54"/>
        <v>6.2860183182515961E-2</v>
      </c>
      <c r="EB26" s="441">
        <f t="shared" ref="EB26:EF27" si="55">DW19/EB19-1</f>
        <v>0.1747744578146333</v>
      </c>
      <c r="EC26" s="441">
        <f t="shared" si="55"/>
        <v>-9.8091052912066212E-2</v>
      </c>
      <c r="ED26" s="441">
        <f t="shared" si="55"/>
        <v>-0.35909140825146557</v>
      </c>
      <c r="EE26" s="441">
        <f t="shared" si="55"/>
        <v>-0.34735769803066885</v>
      </c>
      <c r="EF26" s="2142">
        <f t="shared" si="55"/>
        <v>-0.17918076475762046</v>
      </c>
      <c r="EG26" s="441">
        <f t="shared" ref="EG26:EK27" si="56">EB19/EG19-1</f>
        <v>-0.18888981301277319</v>
      </c>
      <c r="EH26" s="441">
        <f t="shared" si="56"/>
        <v>-0.13544277133289628</v>
      </c>
      <c r="EI26" s="441">
        <f t="shared" si="56"/>
        <v>5.5873955009432485E-2</v>
      </c>
      <c r="EJ26" s="441">
        <f t="shared" si="56"/>
        <v>-5.3821195018113221E-2</v>
      </c>
      <c r="EK26" s="2142">
        <f t="shared" si="56"/>
        <v>-8.1249760359868861E-2</v>
      </c>
      <c r="EL26" s="441">
        <f t="shared" ref="EL26:EP27" si="57">EG19/EL19-1</f>
        <v>-0.10321260431383772</v>
      </c>
      <c r="EM26" s="441">
        <f t="shared" si="57"/>
        <v>0.13860823474092876</v>
      </c>
      <c r="EN26" s="441">
        <f t="shared" si="57"/>
        <v>9.279937844756958E-2</v>
      </c>
      <c r="EO26" s="441">
        <f t="shared" si="57"/>
        <v>0.22704585290032431</v>
      </c>
      <c r="EP26" s="2142">
        <f t="shared" si="57"/>
        <v>7.7656476196926505E-2</v>
      </c>
      <c r="EQ26" s="441">
        <f t="shared" ref="EQ26:EQ27" si="58">EL19/EQ19-1</f>
        <v>0.26443332004609044</v>
      </c>
      <c r="ER26" s="441">
        <f t="shared" ref="ER26:ER27" si="59">EM19/ER19-1</f>
        <v>1.7112459954890413E-2</v>
      </c>
      <c r="ES26" s="441">
        <f t="shared" ref="ES26:ES27" si="60">EN19/ES19-1</f>
        <v>5.6196235392937943E-3</v>
      </c>
      <c r="ET26" s="441">
        <f t="shared" ref="ET26:ET27" si="61">EO19/ET19-1</f>
        <v>1.3954958342187851E-2</v>
      </c>
      <c r="EU26" s="2142">
        <f t="shared" ref="EU26:EU27" si="62">EP19/EU19-1</f>
        <v>7.5280090470615679E-2</v>
      </c>
      <c r="EV26" s="441">
        <f t="shared" ref="EV26:EV27" si="63">EQ19/EV19-1</f>
        <v>0</v>
      </c>
      <c r="EW26" s="441">
        <f t="shared" ref="EW26:EW27" si="64">ER19/EW19-1</f>
        <v>0</v>
      </c>
      <c r="EX26" s="441">
        <f t="shared" ref="EX26:EX27" si="65">ES19/EX19-1</f>
        <v>0</v>
      </c>
      <c r="EY26" s="441">
        <f t="shared" ref="EY26:EZ27" si="66">ET19/EY19-1</f>
        <v>0</v>
      </c>
      <c r="EZ26" s="2142">
        <f t="shared" si="66"/>
        <v>0</v>
      </c>
      <c r="FA26" s="2142"/>
      <c r="FB26" s="2142"/>
      <c r="FC26" s="2142"/>
      <c r="FD26" s="441"/>
      <c r="FF26" s="441"/>
    </row>
    <row r="27" spans="1:170" ht="11.25" customHeight="1">
      <c r="A27" s="2120" t="str">
        <f>A20</f>
        <v>Turkey (TRY/USD)</v>
      </c>
      <c r="B27" s="440"/>
      <c r="C27" s="440"/>
      <c r="D27" s="440"/>
      <c r="E27" s="440"/>
      <c r="F27" s="2142"/>
      <c r="G27" s="440"/>
      <c r="H27" s="440"/>
      <c r="I27" s="440"/>
      <c r="J27" s="440"/>
      <c r="K27" s="2142"/>
      <c r="L27" s="440"/>
      <c r="M27" s="440"/>
      <c r="N27" s="440"/>
      <c r="O27" s="440"/>
      <c r="P27" s="2142"/>
      <c r="Q27" s="440"/>
      <c r="R27" s="440"/>
      <c r="S27" s="440"/>
      <c r="T27" s="440"/>
      <c r="U27" s="2142"/>
      <c r="V27" s="440"/>
      <c r="W27" s="440"/>
      <c r="X27" s="440"/>
      <c r="Y27" s="440"/>
      <c r="Z27" s="2142"/>
      <c r="AA27" s="440"/>
      <c r="AB27" s="440"/>
      <c r="AC27" s="440"/>
      <c r="AD27" s="440"/>
      <c r="AE27" s="2142"/>
      <c r="AF27" s="440"/>
      <c r="AG27" s="440"/>
      <c r="AH27" s="440"/>
      <c r="AI27" s="440"/>
      <c r="AJ27" s="2142"/>
      <c r="AK27" s="440"/>
      <c r="AL27" s="440"/>
      <c r="AM27" s="440"/>
      <c r="AN27" s="440"/>
      <c r="AO27" s="2142"/>
      <c r="AP27" s="440"/>
      <c r="AQ27" s="440"/>
      <c r="AR27" s="440"/>
      <c r="AS27" s="440"/>
      <c r="AT27" s="2142"/>
      <c r="AU27" s="440"/>
      <c r="AV27" s="440"/>
      <c r="AW27" s="440"/>
      <c r="AX27" s="440"/>
      <c r="AY27" s="2142"/>
      <c r="AZ27" s="441"/>
      <c r="BA27" s="441"/>
      <c r="BB27" s="441"/>
      <c r="BC27" s="441"/>
      <c r="BD27" s="2142"/>
      <c r="BE27" s="441"/>
      <c r="BF27" s="441"/>
      <c r="BG27" s="441"/>
      <c r="BH27" s="443"/>
      <c r="BI27" s="2142"/>
      <c r="BJ27" s="441"/>
      <c r="BK27" s="441"/>
      <c r="BL27" s="441"/>
      <c r="BM27" s="443"/>
      <c r="BN27" s="2142"/>
      <c r="BO27" s="441"/>
      <c r="BP27" s="441"/>
      <c r="BQ27" s="441"/>
      <c r="BR27" s="443"/>
      <c r="BS27" s="2142"/>
      <c r="BT27" s="441"/>
      <c r="BU27" s="441"/>
      <c r="BV27" s="441"/>
      <c r="BW27" s="443"/>
      <c r="BX27" s="2142"/>
      <c r="BY27" s="441"/>
      <c r="BZ27" s="441"/>
      <c r="CA27" s="441"/>
      <c r="CB27" s="443"/>
      <c r="CC27" s="2142"/>
      <c r="CD27" s="441"/>
      <c r="CE27" s="441"/>
      <c r="CF27" s="441"/>
      <c r="CG27" s="443"/>
      <c r="CH27" s="2142"/>
      <c r="CI27" s="441"/>
      <c r="CJ27" s="441"/>
      <c r="CK27" s="441"/>
      <c r="CL27" s="441"/>
      <c r="CM27" s="2142"/>
      <c r="CN27" s="441"/>
      <c r="CO27" s="441"/>
      <c r="CP27" s="441"/>
      <c r="CQ27" s="441"/>
      <c r="CR27" s="2142"/>
      <c r="CS27" s="441">
        <f>CN20/CS20-1</f>
        <v>-0.17570182287246672</v>
      </c>
      <c r="CT27" s="441">
        <f t="shared" ref="CT27:DL27" si="67">CO20/CT20-1</f>
        <v>-7.3497465604634438E-2</v>
      </c>
      <c r="CU27" s="441">
        <f t="shared" si="67"/>
        <v>-5.1799555777163442E-2</v>
      </c>
      <c r="CV27" s="441">
        <f t="shared" si="67"/>
        <v>-7.1028390372872785E-2</v>
      </c>
      <c r="CW27" s="2142">
        <f t="shared" si="67"/>
        <v>-9.2746051678473718E-2</v>
      </c>
      <c r="CX27" s="441">
        <f t="shared" si="67"/>
        <v>-0.19238782783514574</v>
      </c>
      <c r="CY27" s="441">
        <f t="shared" si="67"/>
        <v>-0.20098171875437432</v>
      </c>
      <c r="CZ27" s="441">
        <f t="shared" si="67"/>
        <v>-0.15901228449713611</v>
      </c>
      <c r="DA27" s="441">
        <f t="shared" si="67"/>
        <v>-0.15462802000922404</v>
      </c>
      <c r="DB27" s="2142">
        <f t="shared" si="67"/>
        <v>-0.17664058434231544</v>
      </c>
      <c r="DC27" s="441">
        <f t="shared" si="67"/>
        <v>-3.6096821929391787E-2</v>
      </c>
      <c r="DD27" s="441">
        <f t="shared" si="67"/>
        <v>-0.14574182284898873</v>
      </c>
      <c r="DE27" s="441">
        <f t="shared" si="67"/>
        <v>-0.34609416383635072</v>
      </c>
      <c r="DF27" s="441">
        <f t="shared" si="67"/>
        <v>-0.33103517838389473</v>
      </c>
      <c r="DG27" s="2142">
        <f t="shared" si="67"/>
        <v>-0.23541353052511127</v>
      </c>
      <c r="DH27" s="441">
        <f t="shared" si="67"/>
        <v>-0.2810588309796721</v>
      </c>
      <c r="DI27" s="441">
        <f t="shared" si="67"/>
        <v>-0.27807480475831481</v>
      </c>
      <c r="DJ27" s="441">
        <f t="shared" si="67"/>
        <v>-6.7541025521825837E-2</v>
      </c>
      <c r="DK27" s="441">
        <f t="shared" si="67"/>
        <v>-1.5209414294395374E-2</v>
      </c>
      <c r="DL27" s="2142">
        <f t="shared" si="67"/>
        <v>-0.15843212560064346</v>
      </c>
      <c r="DM27" s="441">
        <f t="shared" si="53"/>
        <v>-0.13145113828248334</v>
      </c>
      <c r="DN27" s="441">
        <f t="shared" si="53"/>
        <v>-0.14932022579176429</v>
      </c>
      <c r="DO27" s="441">
        <f t="shared" si="53"/>
        <v>-0.1871023207697794</v>
      </c>
      <c r="DP27" s="441">
        <f t="shared" si="53"/>
        <v>-0.28343961045214183</v>
      </c>
      <c r="DQ27" s="2142">
        <f t="shared" si="53"/>
        <v>-0.19328692359366306</v>
      </c>
      <c r="DR27" s="441">
        <f t="shared" si="53"/>
        <v>-0.18012464374616688</v>
      </c>
      <c r="DS27" s="441">
        <f t="shared" si="53"/>
        <v>-0.18422030073686535</v>
      </c>
      <c r="DT27" s="441">
        <f t="shared" si="53"/>
        <v>-0.16914448534894855</v>
      </c>
      <c r="DU27" s="441">
        <f t="shared" si="53"/>
        <v>-0.25310371570276879</v>
      </c>
      <c r="DV27" s="2142">
        <f t="shared" si="53"/>
        <v>-0.20072723173298401</v>
      </c>
      <c r="DW27" s="441">
        <f t="shared" si="54"/>
        <v>-0.45183753278439298</v>
      </c>
      <c r="DX27" s="441">
        <f t="shared" si="54"/>
        <v>-0.45486114890976581</v>
      </c>
      <c r="DY27" s="441">
        <f t="shared" si="54"/>
        <v>-0.51755347651804762</v>
      </c>
      <c r="DZ27" s="441">
        <f t="shared" si="54"/>
        <v>-0.42648330087127451</v>
      </c>
      <c r="EA27" s="2142">
        <f t="shared" si="54"/>
        <v>-0.46310087738421024</v>
      </c>
      <c r="EB27" s="441">
        <f t="shared" si="55"/>
        <v>-0.28284516899905354</v>
      </c>
      <c r="EC27" s="441">
        <f t="shared" si="55"/>
        <v>-0.22667854220474193</v>
      </c>
      <c r="ED27" s="441">
        <f t="shared" si="55"/>
        <v>-0.33688790116016287</v>
      </c>
      <c r="EE27" s="441">
        <f t="shared" si="55"/>
        <v>-0.34085428133688922</v>
      </c>
      <c r="EF27" s="2142">
        <f t="shared" si="55"/>
        <v>-0.30382542580118033</v>
      </c>
      <c r="EG27" s="441">
        <f t="shared" si="56"/>
        <v>-0.38081386414229446</v>
      </c>
      <c r="EH27" s="441">
        <f t="shared" si="56"/>
        <v>-0.38798554093711879</v>
      </c>
      <c r="EI27" s="441">
        <f t="shared" si="56"/>
        <v>-0.2034030704048696</v>
      </c>
      <c r="EJ27" s="441">
        <f t="shared" si="56"/>
        <v>-0.17998708769317562</v>
      </c>
      <c r="EK27" s="2142">
        <f t="shared" si="56"/>
        <v>-0.28431556207197139</v>
      </c>
      <c r="EL27" s="441">
        <f t="shared" si="57"/>
        <v>-0.15308270117507061</v>
      </c>
      <c r="EM27" s="441">
        <f t="shared" si="57"/>
        <v>-0.16076252806209801</v>
      </c>
      <c r="EN27" s="441">
        <f t="shared" si="57"/>
        <v>-0.1777022942514177</v>
      </c>
      <c r="EO27" s="441">
        <f t="shared" si="57"/>
        <v>-0.17797301012419164</v>
      </c>
      <c r="EP27" s="2142">
        <f t="shared" si="57"/>
        <v>-0.16797800640636351</v>
      </c>
      <c r="EQ27" s="441">
        <f t="shared" si="58"/>
        <v>-0.14530077517901574</v>
      </c>
      <c r="ER27" s="441">
        <f t="shared" si="59"/>
        <v>-8.1191976785946918E-2</v>
      </c>
      <c r="ES27" s="441">
        <f t="shared" si="60"/>
        <v>-3.3914479225266025E-2</v>
      </c>
      <c r="ET27" s="441">
        <f t="shared" si="61"/>
        <v>-2.8866598651781095E-3</v>
      </c>
      <c r="EU27" s="2142">
        <f t="shared" si="62"/>
        <v>-6.5823472763851698E-2</v>
      </c>
      <c r="EV27" s="441">
        <f t="shared" si="63"/>
        <v>0</v>
      </c>
      <c r="EW27" s="441">
        <f t="shared" si="64"/>
        <v>0</v>
      </c>
      <c r="EX27" s="441">
        <f t="shared" si="65"/>
        <v>0</v>
      </c>
      <c r="EY27" s="441">
        <f t="shared" si="66"/>
        <v>0</v>
      </c>
      <c r="EZ27" s="2142">
        <f t="shared" si="66"/>
        <v>0</v>
      </c>
      <c r="FA27" s="2142"/>
      <c r="FB27" s="2142"/>
      <c r="FC27" s="2142"/>
      <c r="FD27" s="441"/>
      <c r="FF27" s="441"/>
    </row>
    <row r="28" spans="1:170" ht="11.25" customHeight="1">
      <c r="A28" s="1888" t="str">
        <f>A21</f>
        <v>Others (USD/EUR)</v>
      </c>
      <c r="B28" s="440"/>
      <c r="C28" s="440"/>
      <c r="D28" s="440"/>
      <c r="E28" s="440"/>
      <c r="F28" s="1895"/>
      <c r="G28" s="440"/>
      <c r="H28" s="440"/>
      <c r="I28" s="440"/>
      <c r="J28" s="440"/>
      <c r="K28" s="1895"/>
      <c r="L28" s="440"/>
      <c r="M28" s="440"/>
      <c r="N28" s="440"/>
      <c r="O28" s="440"/>
      <c r="P28" s="1895"/>
      <c r="Q28" s="440"/>
      <c r="R28" s="440"/>
      <c r="S28" s="440"/>
      <c r="T28" s="440"/>
      <c r="U28" s="1895"/>
      <c r="V28" s="440"/>
      <c r="W28" s="440"/>
      <c r="X28" s="440"/>
      <c r="Y28" s="440"/>
      <c r="Z28" s="1895"/>
      <c r="AA28" s="440"/>
      <c r="AB28" s="440"/>
      <c r="AC28" s="440"/>
      <c r="AD28" s="440"/>
      <c r="AE28" s="1895"/>
      <c r="AF28" s="440"/>
      <c r="AG28" s="440"/>
      <c r="AH28" s="440"/>
      <c r="AI28" s="440"/>
      <c r="AJ28" s="1895"/>
      <c r="AK28" s="440"/>
      <c r="AL28" s="440"/>
      <c r="AM28" s="440"/>
      <c r="AN28" s="440"/>
      <c r="AO28" s="1895"/>
      <c r="AP28" s="440"/>
      <c r="AQ28" s="440"/>
      <c r="AR28" s="440"/>
      <c r="AS28" s="440"/>
      <c r="AT28" s="1895"/>
      <c r="AU28" s="440"/>
      <c r="AV28" s="440"/>
      <c r="AW28" s="440"/>
      <c r="AX28" s="440"/>
      <c r="AY28" s="1895"/>
      <c r="AZ28" s="441"/>
      <c r="BA28" s="441"/>
      <c r="BB28" s="441"/>
      <c r="BC28" s="441"/>
      <c r="BD28" s="1895"/>
      <c r="BE28" s="441"/>
      <c r="BF28" s="441"/>
      <c r="BG28" s="441"/>
      <c r="BH28" s="443"/>
      <c r="BI28" s="1895"/>
      <c r="BJ28" s="441"/>
      <c r="BK28" s="441"/>
      <c r="BL28" s="441"/>
      <c r="BM28" s="443"/>
      <c r="BN28" s="1895"/>
      <c r="BO28" s="441"/>
      <c r="BP28" s="441"/>
      <c r="BQ28" s="441"/>
      <c r="BR28" s="443"/>
      <c r="BS28" s="1895"/>
      <c r="BT28" s="441"/>
      <c r="BU28" s="441"/>
      <c r="BV28" s="441"/>
      <c r="BW28" s="443"/>
      <c r="BX28" s="1895"/>
      <c r="BY28" s="441"/>
      <c r="BZ28" s="441"/>
      <c r="CA28" s="441"/>
      <c r="CB28" s="443"/>
      <c r="CC28" s="1895"/>
      <c r="CD28" s="441"/>
      <c r="CE28" s="441"/>
      <c r="CF28" s="441"/>
      <c r="CG28" s="443"/>
      <c r="CH28" s="1895"/>
      <c r="CI28" s="441"/>
      <c r="CJ28" s="441"/>
      <c r="CK28" s="441"/>
      <c r="CL28" s="441"/>
      <c r="CM28" s="1895"/>
      <c r="CN28" s="441"/>
      <c r="CO28" s="441"/>
      <c r="CP28" s="441"/>
      <c r="CQ28" s="441"/>
      <c r="CR28" s="1895"/>
      <c r="CS28" s="441">
        <f t="shared" ref="CS28:DV28" si="68">CS21/CN21-1</f>
        <v>-5.8377909498337544E-2</v>
      </c>
      <c r="CT28" s="441">
        <f t="shared" si="68"/>
        <v>3.1025166206247512E-2</v>
      </c>
      <c r="CU28" s="441">
        <f t="shared" si="68"/>
        <v>2.8792513946374054E-3</v>
      </c>
      <c r="CV28" s="441">
        <f t="shared" si="68"/>
        <v>1.7405643092707201E-3</v>
      </c>
      <c r="CW28" s="1895">
        <f t="shared" si="68"/>
        <v>-6.3166087893664624E-3</v>
      </c>
      <c r="CX28" s="441">
        <f t="shared" si="68"/>
        <v>-2.0727138733648509E-2</v>
      </c>
      <c r="CY28" s="441">
        <f t="shared" si="68"/>
        <v>-3.4508141212496124E-2</v>
      </c>
      <c r="CZ28" s="441">
        <f t="shared" si="68"/>
        <v>5.2036605060111318E-2</v>
      </c>
      <c r="DA28" s="441">
        <f t="shared" si="68"/>
        <v>7.8006401463191821E-2</v>
      </c>
      <c r="DB28" s="1895">
        <f t="shared" si="68"/>
        <v>1.8467749224233998E-2</v>
      </c>
      <c r="DC28" s="441">
        <f t="shared" si="68"/>
        <v>0.15731711141074278</v>
      </c>
      <c r="DD28" s="441">
        <f t="shared" si="68"/>
        <v>0.10075935470098485</v>
      </c>
      <c r="DE28" s="441">
        <f t="shared" si="68"/>
        <v>-5.7137983967251449E-3</v>
      </c>
      <c r="DF28" s="441">
        <f t="shared" si="68"/>
        <v>-3.1981676280963711E-2</v>
      </c>
      <c r="DG28" s="1895">
        <f t="shared" si="68"/>
        <v>5.1684612199017987E-2</v>
      </c>
      <c r="DH28" s="441">
        <f t="shared" si="68"/>
        <v>-7.1041508616018101E-2</v>
      </c>
      <c r="DI28" s="441">
        <f t="shared" si="68"/>
        <v>-6.9067737913838467E-2</v>
      </c>
      <c r="DJ28" s="441">
        <f t="shared" si="68"/>
        <v>-4.420047459759302E-2</v>
      </c>
      <c r="DK28" s="441">
        <f t="shared" si="68"/>
        <v>-3.4002278503198813E-2</v>
      </c>
      <c r="DL28" s="1895">
        <f t="shared" si="68"/>
        <v>-5.5023099154085986E-2</v>
      </c>
      <c r="DM28" s="441">
        <f t="shared" si="68"/>
        <v>-2.7824768126932353E-2</v>
      </c>
      <c r="DN28" s="441">
        <f t="shared" si="68"/>
        <v>-1.5326468662579473E-2</v>
      </c>
      <c r="DO28" s="441">
        <f t="shared" si="68"/>
        <v>4.5377045257395832E-2</v>
      </c>
      <c r="DP28" s="441">
        <f t="shared" si="68"/>
        <v>6.7313798421482662E-2</v>
      </c>
      <c r="DQ28" s="1895">
        <f t="shared" si="68"/>
        <v>1.6921153674435141E-2</v>
      </c>
      <c r="DR28" s="441">
        <f t="shared" si="68"/>
        <v>9.2853714148565913E-2</v>
      </c>
      <c r="DS28" s="441">
        <f t="shared" si="68"/>
        <v>8.7345483120258693E-2</v>
      </c>
      <c r="DT28" s="441">
        <f t="shared" si="68"/>
        <v>1.6853611079318043E-2</v>
      </c>
      <c r="DU28" s="441">
        <f t="shared" si="68"/>
        <v>-2.3204419889503058E-2</v>
      </c>
      <c r="DV28" s="1895">
        <f t="shared" si="68"/>
        <v>4.2111194040772126E-2</v>
      </c>
      <c r="DW28" s="441">
        <f t="shared" ref="DW28:EF28" si="69">DW21/DR21-1</f>
        <v>-7.1457984462074853E-2</v>
      </c>
      <c r="DX28" s="441">
        <f t="shared" si="69"/>
        <v>-0.10092559135002921</v>
      </c>
      <c r="DY28" s="441">
        <f t="shared" si="69"/>
        <v>-0.13447955651855814</v>
      </c>
      <c r="DZ28" s="441">
        <f t="shared" si="69"/>
        <v>-0.12721893491124248</v>
      </c>
      <c r="EA28" s="1895">
        <f t="shared" si="69"/>
        <v>-0.10812613662694748</v>
      </c>
      <c r="EB28" s="441">
        <f t="shared" si="69"/>
        <v>-4.966887417218524E-2</v>
      </c>
      <c r="EC28" s="441">
        <f t="shared" si="69"/>
        <v>6.2140604711558023E-3</v>
      </c>
      <c r="ED28" s="441">
        <f t="shared" si="69"/>
        <v>6.4731126861304222E-2</v>
      </c>
      <c r="EE28" s="441">
        <f t="shared" si="69"/>
        <v>6.4672648720505155E-2</v>
      </c>
      <c r="EF28" s="1895">
        <f t="shared" si="69"/>
        <v>1.9351587963910566E-2</v>
      </c>
      <c r="EG28" s="441">
        <f t="shared" ref="EG28:EP28" si="70">EG21/EB21-1</f>
        <v>1.6114982578397274E-2</v>
      </c>
      <c r="EH28" s="441">
        <f t="shared" si="70"/>
        <v>-7.4661259102223321E-3</v>
      </c>
      <c r="EI28" s="441">
        <f t="shared" si="70"/>
        <v>-4.946715930257306E-3</v>
      </c>
      <c r="EJ28" s="441">
        <f t="shared" si="70"/>
        <v>1.7480334623548588E-2</v>
      </c>
      <c r="EK28" s="1895">
        <f t="shared" si="70"/>
        <v>5.1978745095617729E-3</v>
      </c>
      <c r="EL28" s="441">
        <f t="shared" si="70"/>
        <v>-4.809870797869098E-2</v>
      </c>
      <c r="EM28" s="441">
        <f t="shared" si="70"/>
        <v>3.6744675581971364E-2</v>
      </c>
      <c r="EN28" s="441">
        <f t="shared" si="70"/>
        <v>7.0610979838585886E-2</v>
      </c>
      <c r="EO28" s="441">
        <f t="shared" si="70"/>
        <v>7.0806233893729198E-2</v>
      </c>
      <c r="EP28" s="1895">
        <f t="shared" si="70"/>
        <v>3.2462792645352678E-2</v>
      </c>
      <c r="EQ28" s="441">
        <f t="shared" ref="EQ28" si="71">EQ21/EL21-1</f>
        <v>0.11784760863272337</v>
      </c>
      <c r="ER28" s="441">
        <f t="shared" ref="ER28" si="72">ER21/EM21-1</f>
        <v>3.77414827864202E-2</v>
      </c>
      <c r="ES28" s="441">
        <f t="shared" ref="ES28" si="73">ES21/EN21-1</f>
        <v>-3.8121990369180958E-3</v>
      </c>
      <c r="ET28" s="441">
        <f t="shared" ref="ET28" si="74">ET21/EO21-1</f>
        <v>-4.2688517075405441E-3</v>
      </c>
      <c r="EU28" s="1895">
        <f t="shared" ref="EU28" si="75">EU21/EP21-1</f>
        <v>3.4575141024305367E-2</v>
      </c>
      <c r="EV28" s="441">
        <f t="shared" ref="EV28" si="76">EV21/EQ21-1</f>
        <v>0</v>
      </c>
      <c r="EW28" s="441">
        <f t="shared" ref="EW28" si="77">EW21/ER21-1</f>
        <v>0</v>
      </c>
      <c r="EX28" s="441">
        <f t="shared" ref="EX28" si="78">EX21/ES21-1</f>
        <v>0</v>
      </c>
      <c r="EY28" s="441">
        <f t="shared" ref="EY28:EZ28" si="79">EY21/ET21-1</f>
        <v>0</v>
      </c>
      <c r="EZ28" s="1895">
        <f t="shared" si="79"/>
        <v>0</v>
      </c>
      <c r="FA28" s="1895"/>
      <c r="FB28" s="1895"/>
      <c r="FC28" s="1895"/>
      <c r="FD28" s="441"/>
      <c r="FF28" s="441"/>
    </row>
    <row r="29" spans="1:170" ht="11.25" customHeight="1">
      <c r="A29" s="1888"/>
      <c r="B29" s="440"/>
      <c r="C29" s="440"/>
      <c r="D29" s="440"/>
      <c r="E29" s="440"/>
      <c r="F29" s="1895"/>
      <c r="G29" s="440"/>
      <c r="H29" s="440"/>
      <c r="I29" s="440"/>
      <c r="J29" s="440"/>
      <c r="K29" s="1895"/>
      <c r="L29" s="440"/>
      <c r="M29" s="440"/>
      <c r="N29" s="440"/>
      <c r="O29" s="440"/>
      <c r="P29" s="1895"/>
      <c r="Q29" s="440"/>
      <c r="R29" s="440"/>
      <c r="S29" s="440"/>
      <c r="T29" s="440"/>
      <c r="U29" s="1895"/>
      <c r="V29" s="440"/>
      <c r="W29" s="440"/>
      <c r="X29" s="440"/>
      <c r="Y29" s="440"/>
      <c r="Z29" s="1895"/>
      <c r="AA29" s="440"/>
      <c r="AB29" s="440"/>
      <c r="AC29" s="440"/>
      <c r="AD29" s="440"/>
      <c r="AE29" s="1895"/>
      <c r="AF29" s="440"/>
      <c r="AG29" s="440"/>
      <c r="AH29" s="440"/>
      <c r="AI29" s="440"/>
      <c r="AJ29" s="1895"/>
      <c r="AK29" s="440"/>
      <c r="AL29" s="440"/>
      <c r="AM29" s="440"/>
      <c r="AN29" s="440"/>
      <c r="AO29" s="1895"/>
      <c r="AP29" s="440"/>
      <c r="AQ29" s="440"/>
      <c r="AR29" s="440"/>
      <c r="AS29" s="440"/>
      <c r="AT29" s="1895"/>
      <c r="AU29" s="440"/>
      <c r="AV29" s="440"/>
      <c r="AW29" s="440"/>
      <c r="AX29" s="440"/>
      <c r="AY29" s="1895"/>
      <c r="AZ29" s="1913"/>
      <c r="BA29" s="441"/>
      <c r="BB29" s="441"/>
      <c r="BC29" s="441"/>
      <c r="BD29" s="1895"/>
      <c r="BE29" s="1913"/>
      <c r="BF29" s="441"/>
      <c r="BG29" s="441"/>
      <c r="BH29" s="441"/>
      <c r="BI29" s="1895"/>
      <c r="BJ29" s="1913"/>
      <c r="BK29" s="441"/>
      <c r="BL29" s="441"/>
      <c r="BM29" s="443"/>
      <c r="BN29" s="1895"/>
      <c r="BO29" s="1913"/>
      <c r="BP29" s="441"/>
      <c r="BQ29" s="441"/>
      <c r="BR29" s="441"/>
      <c r="BS29" s="1895"/>
      <c r="BT29" s="1913"/>
      <c r="BU29" s="441"/>
      <c r="BV29" s="441"/>
      <c r="BW29" s="443"/>
      <c r="BX29" s="1895"/>
      <c r="BY29" s="1913"/>
      <c r="BZ29" s="441"/>
      <c r="CA29" s="441"/>
      <c r="CB29" s="443"/>
      <c r="CC29" s="1895"/>
      <c r="CD29" s="1913"/>
      <c r="CE29" s="441"/>
      <c r="CF29" s="441"/>
      <c r="CG29" s="443"/>
      <c r="CH29" s="1895"/>
      <c r="CI29" s="441"/>
      <c r="CJ29" s="441"/>
      <c r="CK29" s="441"/>
      <c r="CL29" s="443"/>
      <c r="CM29" s="1895"/>
      <c r="CN29" s="441"/>
      <c r="CO29" s="441"/>
      <c r="CP29" s="441"/>
      <c r="CQ29" s="443"/>
      <c r="CR29" s="1895"/>
      <c r="CS29" s="441"/>
      <c r="CT29" s="441"/>
      <c r="CU29" s="441"/>
      <c r="CV29" s="441"/>
      <c r="CW29" s="1895"/>
      <c r="CX29" s="441"/>
      <c r="CY29" s="441"/>
      <c r="CZ29" s="441"/>
      <c r="DA29" s="441"/>
      <c r="DB29" s="1895"/>
      <c r="DC29" s="441"/>
      <c r="DD29" s="441"/>
      <c r="DE29" s="441"/>
      <c r="DF29" s="441"/>
      <c r="DG29" s="1895"/>
      <c r="DH29" s="441"/>
      <c r="DI29" s="441"/>
      <c r="DJ29" s="441"/>
      <c r="DK29" s="441"/>
      <c r="DL29" s="1895"/>
      <c r="DM29" s="441"/>
      <c r="DN29" s="441"/>
      <c r="DO29" s="441"/>
      <c r="DP29" s="441"/>
      <c r="DQ29" s="1895"/>
      <c r="DR29" s="441"/>
      <c r="DS29" s="441"/>
      <c r="DT29" s="441"/>
      <c r="DU29" s="441"/>
      <c r="DV29" s="1895"/>
      <c r="DW29" s="441"/>
      <c r="DX29" s="441"/>
      <c r="DY29" s="441"/>
      <c r="DZ29" s="441"/>
      <c r="EA29" s="1895"/>
      <c r="EB29" s="441"/>
      <c r="EC29" s="441"/>
      <c r="ED29" s="441"/>
      <c r="EE29" s="441"/>
      <c r="EF29" s="1895"/>
      <c r="EG29" s="441"/>
      <c r="EH29" s="441"/>
      <c r="EI29" s="441"/>
      <c r="EJ29" s="441"/>
      <c r="EK29" s="1895"/>
      <c r="EL29" s="441"/>
      <c r="EM29" s="441"/>
      <c r="EN29" s="441"/>
      <c r="EO29" s="441"/>
      <c r="EP29" s="1895"/>
      <c r="EQ29" s="441"/>
      <c r="ER29" s="441"/>
      <c r="ES29" s="441"/>
      <c r="ET29" s="441"/>
      <c r="EU29" s="1895"/>
      <c r="EV29" s="441"/>
      <c r="EW29" s="441"/>
      <c r="EX29" s="441"/>
      <c r="EY29" s="441"/>
      <c r="EZ29" s="1895"/>
      <c r="FA29" s="1895"/>
      <c r="FB29" s="1895"/>
      <c r="FC29" s="1895"/>
      <c r="FD29" s="441"/>
      <c r="FF29" s="441"/>
    </row>
    <row r="30" spans="1:170" s="476" customFormat="1" ht="11.25" customHeight="1">
      <c r="A30" s="3202" t="s">
        <v>351</v>
      </c>
      <c r="B30" s="3203"/>
      <c r="C30" s="3203"/>
      <c r="D30" s="3203"/>
      <c r="E30" s="3203"/>
      <c r="F30" s="3204"/>
      <c r="G30" s="3203"/>
      <c r="H30" s="3203"/>
      <c r="I30" s="3203"/>
      <c r="J30" s="3203"/>
      <c r="K30" s="3204"/>
      <c r="L30" s="3203"/>
      <c r="M30" s="3203"/>
      <c r="N30" s="3203"/>
      <c r="O30" s="3203"/>
      <c r="P30" s="3204"/>
      <c r="Q30" s="3203"/>
      <c r="R30" s="3203"/>
      <c r="S30" s="3203"/>
      <c r="T30" s="3203"/>
      <c r="U30" s="3204"/>
      <c r="V30" s="3203"/>
      <c r="W30" s="3203"/>
      <c r="X30" s="3203"/>
      <c r="Y30" s="3203"/>
      <c r="Z30" s="3204"/>
      <c r="AA30" s="3203"/>
      <c r="AB30" s="3203"/>
      <c r="AC30" s="3203"/>
      <c r="AD30" s="3203"/>
      <c r="AE30" s="3204"/>
      <c r="AF30" s="3203"/>
      <c r="AG30" s="3203"/>
      <c r="AH30" s="3203"/>
      <c r="AI30" s="3203"/>
      <c r="AJ30" s="3204"/>
      <c r="AK30" s="3203"/>
      <c r="AL30" s="3203"/>
      <c r="AM30" s="3203"/>
      <c r="AN30" s="3203"/>
      <c r="AO30" s="3204"/>
      <c r="AP30" s="3203"/>
      <c r="AQ30" s="3203"/>
      <c r="AR30" s="3203"/>
      <c r="AS30" s="3203"/>
      <c r="AT30" s="3204"/>
      <c r="AU30" s="3203"/>
      <c r="AV30" s="3203"/>
      <c r="AW30" s="3203"/>
      <c r="AX30" s="3203"/>
      <c r="AY30" s="3204"/>
      <c r="AZ30" s="3205"/>
      <c r="BA30" s="3206"/>
      <c r="BB30" s="3206"/>
      <c r="BC30" s="3206"/>
      <c r="BD30" s="3204"/>
      <c r="BE30" s="3205"/>
      <c r="BF30" s="3206"/>
      <c r="BG30" s="3206"/>
      <c r="BH30" s="3206"/>
      <c r="BI30" s="3204"/>
      <c r="BJ30" s="3205"/>
      <c r="BK30" s="3206"/>
      <c r="BL30" s="3206"/>
      <c r="BM30" s="3207"/>
      <c r="BN30" s="3204"/>
      <c r="BO30" s="3205"/>
      <c r="BP30" s="3206"/>
      <c r="BQ30" s="3206"/>
      <c r="BR30" s="3206"/>
      <c r="BS30" s="3204"/>
      <c r="BT30" s="3205"/>
      <c r="BU30" s="3206"/>
      <c r="BV30" s="3206"/>
      <c r="BW30" s="3207"/>
      <c r="BX30" s="3204"/>
      <c r="BY30" s="3205"/>
      <c r="BZ30" s="3206"/>
      <c r="CA30" s="3206"/>
      <c r="CB30" s="3207"/>
      <c r="CC30" s="3204"/>
      <c r="CD30" s="3205"/>
      <c r="CE30" s="3206"/>
      <c r="CF30" s="3206"/>
      <c r="CG30" s="3207"/>
      <c r="CH30" s="3204"/>
      <c r="CI30" s="3205"/>
      <c r="CJ30" s="3206"/>
      <c r="CK30" s="3206"/>
      <c r="CL30" s="3207"/>
      <c r="CM30" s="3204"/>
      <c r="CN30" s="3205"/>
      <c r="CO30" s="3206"/>
      <c r="CP30" s="3206"/>
      <c r="CQ30" s="3207"/>
      <c r="CR30" s="3204"/>
      <c r="CS30" s="3205">
        <f>SUMPRODUCT(CS9:CS13,CS24:CS28)</f>
        <v>-6.8251190509549753E-2</v>
      </c>
      <c r="CT30" s="3206">
        <f t="shared" ref="CT30:DG30" si="80">SUMPRODUCT(CT9:CT13,CT24:CT28)</f>
        <v>-2.0713119292146858E-3</v>
      </c>
      <c r="CU30" s="3206">
        <f t="shared" si="80"/>
        <v>-4.6007693159361214E-2</v>
      </c>
      <c r="CV30" s="3207">
        <f t="shared" si="80"/>
        <v>-4.8381413372757094E-2</v>
      </c>
      <c r="CW30" s="3204">
        <f t="shared" si="80"/>
        <v>-4.1318443983457832E-2</v>
      </c>
      <c r="CX30" s="3205">
        <f t="shared" si="80"/>
        <v>-4.1139018225687274E-2</v>
      </c>
      <c r="CY30" s="3206">
        <f t="shared" si="80"/>
        <v>-4.6557531661542015E-2</v>
      </c>
      <c r="CZ30" s="3206">
        <f t="shared" si="80"/>
        <v>3.0997947655546327E-2</v>
      </c>
      <c r="DA30" s="3207">
        <f t="shared" si="80"/>
        <v>5.8271715781332924E-2</v>
      </c>
      <c r="DB30" s="3204">
        <f t="shared" si="80"/>
        <v>-1.9576438722013713E-3</v>
      </c>
      <c r="DC30" s="3205">
        <f t="shared" si="80"/>
        <v>0.11393127445388178</v>
      </c>
      <c r="DD30" s="3206">
        <f t="shared" si="80"/>
        <v>7.078329390391222E-2</v>
      </c>
      <c r="DE30" s="3206">
        <f t="shared" si="80"/>
        <v>-1.0995153924948528E-2</v>
      </c>
      <c r="DF30" s="3207">
        <f t="shared" si="80"/>
        <v>-4.1621728914273917E-2</v>
      </c>
      <c r="DG30" s="3204">
        <f t="shared" si="80"/>
        <v>2.6616619215030449E-2</v>
      </c>
      <c r="DH30" s="3205">
        <f t="shared" ref="DH30:DV30" si="81">SUMPRODUCT(DH9:DH13,DH24:DH28)</f>
        <v>-7.607708984395592E-2</v>
      </c>
      <c r="DI30" s="3206">
        <f t="shared" si="81"/>
        <v>-7.0755264776592691E-2</v>
      </c>
      <c r="DJ30" s="3206">
        <f t="shared" si="81"/>
        <v>-4.6911114649217697E-2</v>
      </c>
      <c r="DK30" s="3207">
        <f t="shared" si="81"/>
        <v>-2.7152841507919384E-2</v>
      </c>
      <c r="DL30" s="3204">
        <f t="shared" si="81"/>
        <v>-5.5664830291710765E-2</v>
      </c>
      <c r="DM30" s="3205">
        <f t="shared" si="81"/>
        <v>-2.1495250372432564E-2</v>
      </c>
      <c r="DN30" s="4744">
        <f>SUMPRODUCT(DN9:DN13,DN24:DN28)</f>
        <v>-2.4384617011192402E-2</v>
      </c>
      <c r="DO30" s="3206">
        <f t="shared" si="81"/>
        <v>3.8457158925174616E-2</v>
      </c>
      <c r="DP30" s="3207">
        <f t="shared" si="81"/>
        <v>4.6662981599478827E-2</v>
      </c>
      <c r="DQ30" s="3204">
        <f t="shared" si="81"/>
        <v>9.1379895151833795E-3</v>
      </c>
      <c r="DR30" s="3205">
        <f>SUMPRODUCT(DR9:DR13,DR24:DR28)</f>
        <v>7.3622440811291906E-2</v>
      </c>
      <c r="DS30" s="3206">
        <f t="shared" si="81"/>
        <v>8.7102180071544869E-2</v>
      </c>
      <c r="DT30" s="3206">
        <f>SUMPRODUCT(DT9:DT13,DT24:DT28)</f>
        <v>2.3963004739790413E-2</v>
      </c>
      <c r="DU30" s="3207">
        <f t="shared" si="81"/>
        <v>-1.1385026821649954E-2</v>
      </c>
      <c r="DV30" s="3204">
        <f t="shared" si="81"/>
        <v>4.2124114436003328E-2</v>
      </c>
      <c r="DW30" s="3205">
        <f>SUMPRODUCT(DW9:DW13,DW24:DW28)</f>
        <v>-6.5552046162299399E-2</v>
      </c>
      <c r="DX30" s="3206">
        <f>SUMPRODUCT(DX9:DX13,DX24:DX28)</f>
        <v>-0.11130873047173814</v>
      </c>
      <c r="DY30" s="3206">
        <f>SUMPRODUCT(DY9:DY13,DY24:DY28)</f>
        <v>-0.14948141194495146</v>
      </c>
      <c r="DZ30" s="3207">
        <f t="shared" ref="DZ30:EF30" si="82">SUMPRODUCT(DZ9:DZ13,DZ24:DZ28)</f>
        <v>-0.14251416057909505</v>
      </c>
      <c r="EA30" s="3204">
        <f t="shared" si="82"/>
        <v>-0.11593354810987511</v>
      </c>
      <c r="EB30" s="3205">
        <f t="shared" si="82"/>
        <v>-6.5046377481775761E-2</v>
      </c>
      <c r="EC30" s="3206">
        <f>SUMPRODUCT(EC9:EC13,EC24:EC28)</f>
        <v>-1.2361686560801895E-2</v>
      </c>
      <c r="ED30" s="3206">
        <f t="shared" si="82"/>
        <v>4.0019299986888621E-2</v>
      </c>
      <c r="EE30" s="3207">
        <f t="shared" ref="EE30" si="83">SUMPRODUCT(EE9:EE13,EE24:EE28)</f>
        <v>4.0593598753766572E-2</v>
      </c>
      <c r="EF30" s="3204">
        <f t="shared" si="82"/>
        <v>-8.8111307898755889E-4</v>
      </c>
      <c r="EG30" s="3205">
        <f t="shared" ref="EG30:EP30" si="84">SUMPRODUCT(EG9:EG13,EG24:EG28)</f>
        <v>-1.4675955245556024E-3</v>
      </c>
      <c r="EH30" s="3206">
        <f>SUMPRODUCT(EH9:EH13,EH24:EH28)</f>
        <v>-2.5638542817036439E-2</v>
      </c>
      <c r="EI30" s="3206">
        <f>SUMPRODUCT(EI9:EI13,EI24:EI28)</f>
        <v>-1.3364940366135196E-2</v>
      </c>
      <c r="EJ30" s="3207">
        <f t="shared" ref="EJ30" si="85">SUMPRODUCT(EJ9:EJ13,EJ24:EJ28)</f>
        <v>1.3882569799774674E-2</v>
      </c>
      <c r="EK30" s="3204">
        <f t="shared" si="84"/>
        <v>-6.5506189006378501E-3</v>
      </c>
      <c r="EL30" s="3205">
        <f t="shared" si="84"/>
        <v>-4.7031256292083184E-2</v>
      </c>
      <c r="EM30" s="3206">
        <f t="shared" si="84"/>
        <v>2.7555587358586452E-2</v>
      </c>
      <c r="EN30" s="3206">
        <f t="shared" si="84"/>
        <v>5.0514829027826877E-2</v>
      </c>
      <c r="EO30" s="3207">
        <f t="shared" si="84"/>
        <v>4.4526261196530852E-2</v>
      </c>
      <c r="EP30" s="3204">
        <f t="shared" si="84"/>
        <v>1.8821110059489766E-2</v>
      </c>
      <c r="EQ30" s="3205">
        <f t="shared" ref="EQ30:EU30" si="86">SUMPRODUCT(EQ9:EQ13,EQ24:EQ28)</f>
        <v>8.7751950014679045E-2</v>
      </c>
      <c r="ER30" s="3206">
        <f t="shared" si="86"/>
        <v>2.0983656610006129E-2</v>
      </c>
      <c r="ES30" s="3206">
        <f t="shared" si="86"/>
        <v>-1.0083412908698679E-2</v>
      </c>
      <c r="ET30" s="3207">
        <f t="shared" si="86"/>
        <v>-4.8514813076822663E-3</v>
      </c>
      <c r="EU30" s="3204">
        <f t="shared" si="86"/>
        <v>2.1611423372755192E-2</v>
      </c>
      <c r="EV30" s="3205">
        <f t="shared" ref="EV30:EZ30" si="87">SUMPRODUCT(EV9:EV13,EV24:EV28)</f>
        <v>0</v>
      </c>
      <c r="EW30" s="3206">
        <f t="shared" si="87"/>
        <v>0</v>
      </c>
      <c r="EX30" s="3206">
        <f t="shared" si="87"/>
        <v>0</v>
      </c>
      <c r="EY30" s="3207">
        <f t="shared" si="87"/>
        <v>0</v>
      </c>
      <c r="EZ30" s="3204">
        <f t="shared" si="87"/>
        <v>0</v>
      </c>
      <c r="FA30" s="3204"/>
      <c r="FB30" s="3204"/>
      <c r="FC30" s="3204"/>
      <c r="FD30"/>
      <c r="FF30"/>
    </row>
    <row r="31" spans="1:170" ht="11.25" customHeight="1">
      <c r="A31" s="1888" t="s">
        <v>352</v>
      </c>
      <c r="B31" s="421"/>
      <c r="C31" s="421"/>
      <c r="D31" s="421"/>
      <c r="E31" s="421"/>
      <c r="F31" s="1914"/>
      <c r="G31" s="421"/>
      <c r="H31" s="421"/>
      <c r="I31" s="421"/>
      <c r="J31" s="421"/>
      <c r="K31" s="1914"/>
      <c r="L31" s="421"/>
      <c r="M31" s="421"/>
      <c r="N31" s="421"/>
      <c r="O31" s="421"/>
      <c r="P31" s="1914"/>
      <c r="Q31" s="421"/>
      <c r="R31" s="421"/>
      <c r="S31" s="421"/>
      <c r="T31" s="421"/>
      <c r="U31" s="1914"/>
      <c r="V31" s="421"/>
      <c r="W31" s="421"/>
      <c r="X31" s="421"/>
      <c r="Y31" s="421"/>
      <c r="Z31" s="1914"/>
      <c r="AA31" s="421"/>
      <c r="AB31" s="421"/>
      <c r="AC31" s="421"/>
      <c r="AD31" s="421"/>
      <c r="AE31" s="1914"/>
      <c r="AF31" s="421"/>
      <c r="AG31" s="421"/>
      <c r="AH31" s="421"/>
      <c r="AI31" s="421"/>
      <c r="AJ31" s="1914"/>
      <c r="AK31" s="421"/>
      <c r="AL31" s="421"/>
      <c r="AM31" s="421"/>
      <c r="AN31" s="421"/>
      <c r="AO31" s="1914"/>
      <c r="AP31" s="421"/>
      <c r="AQ31" s="421"/>
      <c r="AR31" s="421"/>
      <c r="AS31" s="421"/>
      <c r="AT31" s="1914"/>
      <c r="AU31" s="421"/>
      <c r="AV31" s="421"/>
      <c r="AW31" s="421"/>
      <c r="AX31" s="421"/>
      <c r="AY31" s="1914"/>
      <c r="AZ31" s="1915"/>
      <c r="BA31" s="450"/>
      <c r="BB31" s="450"/>
      <c r="BC31" s="450"/>
      <c r="BD31" s="1914"/>
      <c r="BE31" s="1915"/>
      <c r="BF31" s="450"/>
      <c r="BG31" s="450"/>
      <c r="BH31" s="450"/>
      <c r="BI31" s="1914"/>
      <c r="BJ31" s="1915"/>
      <c r="BK31" s="450"/>
      <c r="BL31" s="450"/>
      <c r="BM31" s="450"/>
      <c r="BN31" s="1914"/>
      <c r="BO31" s="1915"/>
      <c r="BP31" s="452"/>
      <c r="BQ31" s="452"/>
      <c r="BR31" s="452"/>
      <c r="BS31" s="1914"/>
      <c r="BT31" s="1915"/>
      <c r="BU31" s="450"/>
      <c r="BV31" s="450"/>
      <c r="BW31" s="1175"/>
      <c r="BX31" s="1914"/>
      <c r="BY31" s="1915"/>
      <c r="BZ31" s="450"/>
      <c r="CA31" s="450"/>
      <c r="CB31" s="1175"/>
      <c r="CC31" s="1914"/>
      <c r="CD31" s="1915"/>
      <c r="CE31" s="450"/>
      <c r="CF31" s="450"/>
      <c r="CG31" s="1175"/>
      <c r="CH31" s="1914"/>
      <c r="CI31" s="450"/>
      <c r="CJ31" s="450"/>
      <c r="CK31" s="450"/>
      <c r="CL31" s="1175"/>
      <c r="CM31" s="1914"/>
      <c r="CN31" s="450"/>
      <c r="CO31" s="450"/>
      <c r="CP31" s="450"/>
      <c r="CQ31" s="1175"/>
      <c r="CR31" s="1914"/>
      <c r="CS31" s="450"/>
      <c r="CT31" s="450"/>
      <c r="CU31" s="450"/>
      <c r="CV31" s="450"/>
      <c r="CW31" s="1914">
        <f t="shared" ref="CW31:DB31" si="88">+CW32/CW30</f>
        <v>1.0041498354884604</v>
      </c>
      <c r="CX31" s="450">
        <f t="shared" si="88"/>
        <v>1.2883697861798344</v>
      </c>
      <c r="CY31" s="2627">
        <f t="shared" si="88"/>
        <v>0.95002854423737626</v>
      </c>
      <c r="CZ31" s="2627">
        <f t="shared" si="88"/>
        <v>1.0172297139337168</v>
      </c>
      <c r="DA31" s="2627">
        <f t="shared" si="88"/>
        <v>0.97163743500937838</v>
      </c>
      <c r="DB31" s="1914">
        <f t="shared" si="88"/>
        <v>-7.0494623277315205E-2</v>
      </c>
      <c r="DC31" s="2627">
        <f t="shared" ref="DC31:DM31" si="89">+DC32/DC30</f>
        <v>1.0005501737002485</v>
      </c>
      <c r="DD31" s="2627">
        <f t="shared" si="89"/>
        <v>1.0018706925109027</v>
      </c>
      <c r="DE31" s="2627">
        <f t="shared" si="89"/>
        <v>1.0140270602318797</v>
      </c>
      <c r="DF31" s="2627">
        <f t="shared" si="89"/>
        <v>0.69880406860544353</v>
      </c>
      <c r="DG31" s="1914">
        <f>AVERAGE(DC31:DF31)</f>
        <v>0.92881299876211865</v>
      </c>
      <c r="DH31" s="2627">
        <f t="shared" si="89"/>
        <v>0.55017101796868906</v>
      </c>
      <c r="DI31" s="2627">
        <f t="shared" si="89"/>
        <v>0.7518275942218936</v>
      </c>
      <c r="DJ31" s="2627">
        <f t="shared" si="89"/>
        <v>0.83850859812581591</v>
      </c>
      <c r="DK31" s="2627">
        <f t="shared" si="89"/>
        <v>0.92440648431770056</v>
      </c>
      <c r="DL31" s="1914">
        <f>AVERAGE(DH31:DK31)</f>
        <v>0.76622842365852473</v>
      </c>
      <c r="DM31" s="2627">
        <f t="shared" si="89"/>
        <v>0.83582933648033642</v>
      </c>
      <c r="DN31" s="2627">
        <f>+DN32/DN30</f>
        <v>1.2627444060266293</v>
      </c>
      <c r="DO31" s="2627">
        <f>+DO32/DO30</f>
        <v>0.47540882155430192</v>
      </c>
      <c r="DP31" s="2627">
        <f>+DP32/DP30</f>
        <v>0.58361423657676315</v>
      </c>
      <c r="DQ31" s="1914">
        <f>AVERAGE(DM31:DP31)</f>
        <v>0.7893992001595076</v>
      </c>
      <c r="DR31" s="2627">
        <f t="shared" ref="DR31:EG31" si="90">+DR32/DR30</f>
        <v>0.7836563916550866</v>
      </c>
      <c r="DS31" s="2627">
        <f t="shared" si="90"/>
        <v>0.92644519401251513</v>
      </c>
      <c r="DT31" s="2627">
        <f t="shared" si="90"/>
        <v>1.0568084612378565</v>
      </c>
      <c r="DU31" s="2627">
        <f t="shared" si="90"/>
        <v>0.21948259376704235</v>
      </c>
      <c r="DV31" s="1914">
        <f t="shared" si="90"/>
        <v>0.86657523992411867</v>
      </c>
      <c r="DW31" s="2627">
        <f t="shared" si="90"/>
        <v>0.92469834074695623</v>
      </c>
      <c r="DX31" s="2627">
        <f t="shared" si="90"/>
        <v>0.78139292842317198</v>
      </c>
      <c r="DY31" s="2627">
        <f t="shared" si="90"/>
        <v>0.80030453744207009</v>
      </c>
      <c r="DZ31" s="2627">
        <f t="shared" si="90"/>
        <v>0.86725070067252985</v>
      </c>
      <c r="EA31" s="1914">
        <f t="shared" si="90"/>
        <v>0.85071056166230252</v>
      </c>
      <c r="EB31" s="2627">
        <f t="shared" si="90"/>
        <v>0.81044838887526083</v>
      </c>
      <c r="EC31" s="2627">
        <f t="shared" si="90"/>
        <v>0.98591364034621765</v>
      </c>
      <c r="ED31" s="2627">
        <f t="shared" si="90"/>
        <v>0.91798510798817512</v>
      </c>
      <c r="EE31" s="2627">
        <f t="shared" si="90"/>
        <v>1.1387174484630238</v>
      </c>
      <c r="EF31" s="1914">
        <f t="shared" si="90"/>
        <v>-5.7637277247520826</v>
      </c>
      <c r="EG31" s="2627">
        <f t="shared" si="90"/>
        <v>-5.8065339771714122</v>
      </c>
      <c r="EH31" s="2627">
        <f t="shared" ref="EH31:EJ31" si="91">+EH32/EH30</f>
        <v>0.57143257740293174</v>
      </c>
      <c r="EI31" s="2627">
        <f t="shared" si="91"/>
        <v>0.42642298818122981</v>
      </c>
      <c r="EJ31" s="2627">
        <f t="shared" si="91"/>
        <v>0.9057796426710738</v>
      </c>
      <c r="EK31" s="1914">
        <f>+EK32/EK30</f>
        <v>-5.6822758484666225E-2</v>
      </c>
      <c r="EL31" s="2627">
        <f t="shared" ref="EL31:EM31" si="92">+EL32/EL30</f>
        <v>0.57770172529979869</v>
      </c>
      <c r="EM31" s="2627">
        <f t="shared" si="92"/>
        <v>1.0299985060501067</v>
      </c>
      <c r="EN31" s="453">
        <v>1</v>
      </c>
      <c r="EO31" s="453">
        <f>+EN31</f>
        <v>1</v>
      </c>
      <c r="EP31" s="1914">
        <f>AVERAGE(EL31:EO31)</f>
        <v>0.90192505783747634</v>
      </c>
      <c r="EQ31" s="453">
        <f>EO31</f>
        <v>1</v>
      </c>
      <c r="ER31" s="453">
        <f>EQ31</f>
        <v>1</v>
      </c>
      <c r="ES31" s="453">
        <f>+ER31</f>
        <v>1</v>
      </c>
      <c r="ET31" s="453">
        <f>+ES31</f>
        <v>1</v>
      </c>
      <c r="EU31" s="1914">
        <f>AVERAGE(EQ31:ET31)</f>
        <v>1</v>
      </c>
      <c r="EV31" s="453">
        <f>ET31</f>
        <v>1</v>
      </c>
      <c r="EW31" s="453">
        <f>EV31</f>
        <v>1</v>
      </c>
      <c r="EX31" s="453">
        <f>+EW31</f>
        <v>1</v>
      </c>
      <c r="EY31" s="453">
        <f>+EX31</f>
        <v>1</v>
      </c>
      <c r="EZ31" s="1914">
        <f>AVERAGE(EV31:EY31)</f>
        <v>1</v>
      </c>
      <c r="FA31" s="1914"/>
      <c r="FB31" s="1914"/>
      <c r="FC31" s="1914"/>
      <c r="FD31" s="453"/>
      <c r="FF31" s="453"/>
    </row>
    <row r="32" spans="1:170" ht="11.25" customHeight="1">
      <c r="A32" s="1916" t="s">
        <v>367</v>
      </c>
      <c r="B32" s="1205"/>
      <c r="C32" s="1205"/>
      <c r="D32" s="1205"/>
      <c r="E32" s="1205"/>
      <c r="F32" s="1917"/>
      <c r="G32" s="1205"/>
      <c r="H32" s="1205"/>
      <c r="I32" s="1205"/>
      <c r="J32" s="1205"/>
      <c r="K32" s="1917"/>
      <c r="L32" s="1205"/>
      <c r="M32" s="1205"/>
      <c r="N32" s="1205"/>
      <c r="O32" s="1205"/>
      <c r="P32" s="1917"/>
      <c r="Q32" s="1205"/>
      <c r="R32" s="1205"/>
      <c r="S32" s="1205"/>
      <c r="T32" s="1205"/>
      <c r="U32" s="1917"/>
      <c r="V32" s="1205"/>
      <c r="W32" s="1205"/>
      <c r="X32" s="1205"/>
      <c r="Y32" s="1205"/>
      <c r="Z32" s="1917"/>
      <c r="AA32" s="1205"/>
      <c r="AB32" s="1205"/>
      <c r="AC32" s="1205"/>
      <c r="AD32" s="1205"/>
      <c r="AE32" s="1917"/>
      <c r="AF32" s="1205"/>
      <c r="AG32" s="1205"/>
      <c r="AH32" s="1205"/>
      <c r="AI32" s="1205"/>
      <c r="AJ32" s="1917"/>
      <c r="AK32" s="1205"/>
      <c r="AL32" s="1205"/>
      <c r="AM32" s="1205"/>
      <c r="AN32" s="1205"/>
      <c r="AO32" s="1917"/>
      <c r="AP32" s="1205"/>
      <c r="AQ32" s="1205"/>
      <c r="AR32" s="1205"/>
      <c r="AS32" s="1205"/>
      <c r="AT32" s="1917"/>
      <c r="AU32" s="1205"/>
      <c r="AV32" s="1205"/>
      <c r="AW32" s="1205"/>
      <c r="AX32" s="1205"/>
      <c r="AY32" s="1917"/>
      <c r="AZ32" s="1205"/>
      <c r="BA32" s="1205"/>
      <c r="BB32" s="1205"/>
      <c r="BC32" s="1205"/>
      <c r="BD32" s="1917"/>
      <c r="BE32" s="1205"/>
      <c r="BF32" s="1205"/>
      <c r="BG32" s="1205"/>
      <c r="BH32" s="1205"/>
      <c r="BI32" s="1917"/>
      <c r="BJ32" s="1205"/>
      <c r="BK32" s="1205"/>
      <c r="BL32" s="1205"/>
      <c r="BM32" s="1205"/>
      <c r="BN32" s="1917"/>
      <c r="BO32" s="1918"/>
      <c r="BP32" s="500"/>
      <c r="BQ32" s="500"/>
      <c r="BR32" s="1176"/>
      <c r="BS32" s="1917"/>
      <c r="BT32" s="1918"/>
      <c r="BU32" s="500"/>
      <c r="BV32" s="500"/>
      <c r="BW32" s="1176"/>
      <c r="BX32" s="1917"/>
      <c r="BY32" s="1918"/>
      <c r="BZ32" s="500"/>
      <c r="CA32" s="500"/>
      <c r="CB32" s="1176"/>
      <c r="CC32" s="1917"/>
      <c r="CD32" s="1918"/>
      <c r="CE32" s="500"/>
      <c r="CF32" s="500"/>
      <c r="CG32" s="1176"/>
      <c r="CH32" s="1917"/>
      <c r="CI32" s="500"/>
      <c r="CJ32" s="500"/>
      <c r="CK32" s="500"/>
      <c r="CL32" s="1176"/>
      <c r="CM32" s="1917"/>
      <c r="CN32" s="500"/>
      <c r="CO32" s="500"/>
      <c r="CP32" s="500"/>
      <c r="CQ32" s="1176"/>
      <c r="CR32" s="1917"/>
      <c r="CS32" s="500"/>
      <c r="CT32" s="500"/>
      <c r="CU32" s="500"/>
      <c r="CV32" s="500"/>
      <c r="CW32" s="1917">
        <f>(1+'Revenue Drivers'!CW249)/(1+'Revenue Drivers'!CW254)-1</f>
        <v>-4.1489908728628344E-2</v>
      </c>
      <c r="CX32" s="500">
        <f>(1+'Revenue Drivers'!CX249)/(1+'Revenue Drivers'!CX254)-1</f>
        <v>-5.3002268115077023E-2</v>
      </c>
      <c r="CY32" s="500">
        <f>(1+'Revenue Drivers'!CY249)/(1+'Revenue Drivers'!CY254)-1</f>
        <v>-4.4230984027700315E-2</v>
      </c>
      <c r="CZ32" s="500">
        <f>(1+'Revenue Drivers'!CZ249)/(1+'Revenue Drivers'!CZ254)-1</f>
        <v>3.1532033426183714E-2</v>
      </c>
      <c r="DA32" s="500">
        <f>(1+'Revenue Drivers'!DA249)/(1+'Revenue Drivers'!DA254)-1</f>
        <v>5.6618980455369838E-2</v>
      </c>
      <c r="DB32" s="1917">
        <f>(1+'Revenue Drivers'!DB249)/(1+'Revenue Drivers'!DB254)-1</f>
        <v>1.3800336728198026E-4</v>
      </c>
      <c r="DC32" s="500">
        <f>(1+'Revenue Drivers'!DC249)/(1+'Revenue Drivers'!DC254)-1</f>
        <v>0.1139939564447221</v>
      </c>
      <c r="DD32" s="500">
        <f>(1+'Revenue Drivers'!DD249)/(1+'Revenue Drivers'!DD254)-1</f>
        <v>7.091570768171529E-2</v>
      </c>
      <c r="DE32" s="500">
        <f>(1+'Revenue Drivers'!DE249)/(1+'Revenue Drivers'!DE254)-1</f>
        <v>-1.1149383611312569E-2</v>
      </c>
      <c r="DF32" s="500">
        <f>(1+'Revenue Drivers'!DF249)/(1+'Revenue Drivers'!DF254)-1</f>
        <v>-2.9085433507687442E-2</v>
      </c>
      <c r="DG32" s="1917">
        <f>(1+'Revenue Drivers'!DG249)/(1+'Revenue Drivers'!DG254)-1</f>
        <v>3.0520108720689221E-2</v>
      </c>
      <c r="DH32" s="500">
        <f>(1+'Revenue Drivers'!DH241)/(1+'Revenue Drivers'!DH254)-1</f>
        <v>-4.1855409963544643E-2</v>
      </c>
      <c r="DI32" s="500">
        <f>(1+'Revenue Drivers'!DI241)/(1+'Revenue Drivers'!DI254)-1</f>
        <v>-5.3195760495518774E-2</v>
      </c>
      <c r="DJ32" s="500">
        <f>(1+'Revenue Drivers'!DJ241)/(1+'Revenue Drivers'!DJ254)-1</f>
        <v>-3.9335372981034955E-2</v>
      </c>
      <c r="DK32" s="500">
        <f>(1+'Revenue Drivers'!DK241)/(1+'Revenue Drivers'!DK254)-1</f>
        <v>-2.510026275757149E-2</v>
      </c>
      <c r="DL32" s="1917">
        <f>(1+'Revenue Drivers'!DL241)/(1+'Revenue Drivers'!DL254)-1</f>
        <v>-3.9371737377591254E-2</v>
      </c>
      <c r="DM32" s="500">
        <f>(1+'Revenue Drivers'!DM241)/(1+'Revenue Drivers'!DM254)-1</f>
        <v>-1.7966360856269015E-2</v>
      </c>
      <c r="DN32" s="500">
        <f>(1+'Revenue Drivers'!DN241)/(1+'Revenue Drivers'!DN254)-1</f>
        <v>-3.079153872398499E-2</v>
      </c>
      <c r="DO32" s="500">
        <f>(1+'Revenue Drivers'!DO241)/(1+'Revenue Drivers'!DO254)-1</f>
        <v>1.8282872604943767E-2</v>
      </c>
      <c r="DP32" s="500">
        <f>(1+'Revenue Drivers'!DP241)/(1+'Revenue Drivers'!DP254)-1</f>
        <v>2.7233180382575384E-2</v>
      </c>
      <c r="DQ32" s="1917">
        <f>(1+'Revenue Drivers'!DQ241)/(1+'Revenue Drivers'!DQ254)-1</f>
        <v>2.0087225610307957E-3</v>
      </c>
      <c r="DR32" s="500">
        <f>(1+'Revenue Drivers'!DR241)/(1+'Revenue Drivers'!DR254)-1</f>
        <v>5.7694696311017202E-2</v>
      </c>
      <c r="DS32" s="500">
        <f>(1+'Revenue Drivers'!DS241)/(1+'Revenue Drivers'!DS254)-1</f>
        <v>8.0695396115295415E-2</v>
      </c>
      <c r="DT32" s="500">
        <f>(1+'Revenue Drivers'!DT241)/(1+'Revenue Drivers'!DT254)-1</f>
        <v>2.5324306165693367E-2</v>
      </c>
      <c r="DU32" s="500">
        <f>(1+'Revenue Drivers'!DU241)/(1+'Revenue Drivers'!DU254)-1</f>
        <v>-2.4988152169230782E-3</v>
      </c>
      <c r="DV32" s="1917">
        <f>(1+'Revenue Drivers'!DV241)/(1+'Revenue Drivers'!DV254)-1</f>
        <v>3.6503714573970614E-2</v>
      </c>
      <c r="DW32" s="500">
        <f>(1+'Revenue Drivers'!DW241)/(1+'Revenue Drivers'!DW254)-1</f>
        <v>-6.0615868318846133E-2</v>
      </c>
      <c r="DX32" s="500">
        <f>(1+'Revenue Drivers'!DX241)/(1+'Revenue Drivers'!DX254)-1</f>
        <v>-8.6975854862377022E-2</v>
      </c>
      <c r="DY32" s="500">
        <f>(1+'Revenue Drivers'!DY241)/(1+'Revenue Drivers'!DY254)-1</f>
        <v>-0.1196306522427919</v>
      </c>
      <c r="DZ32" s="500">
        <f>(1+'Revenue Drivers'!DZ241)/(1+'Revenue Drivers'!DZ254)-1</f>
        <v>-0.12359550561797761</v>
      </c>
      <c r="EA32" s="1917">
        <f>(1+'Revenue Drivers'!EA241)/(1+'Revenue Drivers'!EA254)-1</f>
        <v>-9.8625893828055422E-2</v>
      </c>
      <c r="EB32" s="500">
        <f>(1+'Revenue Drivers'!EB241)/(1+'Revenue Drivers'!EB254)-1</f>
        <v>-5.2716731832277208E-2</v>
      </c>
      <c r="EC32" s="500">
        <f>(1+'Revenue Drivers'!EC241)/(1+'Revenue Drivers'!EC254)-1</f>
        <v>-1.2187555397979111E-2</v>
      </c>
      <c r="ED32" s="500">
        <f>(1+'Revenue Drivers'!ED241)/(1+'Revenue Drivers'!ED254)-1</f>
        <v>3.6737121420075125E-2</v>
      </c>
      <c r="EE32" s="500">
        <f>(1+'Revenue Drivers'!EE241)/(1+'Revenue Drivers'!EE254)-1</f>
        <v>4.6224639196820849E-2</v>
      </c>
      <c r="EF32" s="1917">
        <f>(1+'Revenue Drivers'!EF241)/(1+'Revenue Drivers'!EF254)-1</f>
        <v>5.0784958820022652E-3</v>
      </c>
      <c r="EG32" s="500">
        <f>(1+'Revenue Drivers'!EG241)/(1+'Revenue Drivers'!EG254)-1</f>
        <v>8.521643278076807E-3</v>
      </c>
      <c r="EH32" s="500">
        <f>(1+'Revenue Drivers'!EH241)/(1+'Revenue Drivers'!EH254)-1</f>
        <v>-1.4650698602794554E-2</v>
      </c>
      <c r="EI32" s="500">
        <f>(1+'Revenue Drivers'!EI241)/(1+'Revenue Drivers'!EI254)-1</f>
        <v>-5.6991178077913096E-3</v>
      </c>
      <c r="EJ32" s="500">
        <f>(1+'Revenue Drivers'!EJ241)/(1+'Revenue Drivers'!EJ254)-1</f>
        <v>1.2574549112596145E-2</v>
      </c>
      <c r="EK32" s="1917">
        <f>(1+'Revenue Drivers'!EK241)/(1+'Revenue Drivers'!EK254)-1</f>
        <v>3.7222423571603436E-4</v>
      </c>
      <c r="EL32" s="500">
        <f>(1+'Revenue Drivers'!EL241)/(1+'Revenue Drivers'!EL254)-1</f>
        <v>-2.717003790295347E-2</v>
      </c>
      <c r="EM32" s="500">
        <f>(1+'Revenue Drivers'!EM241)/(1+'Revenue Drivers'!EM254)-1</f>
        <v>2.8382213812677248E-2</v>
      </c>
      <c r="EN32" s="500">
        <f>(1+'Revenue Drivers'!EN241)/(1+'Revenue Drivers'!EN254)-1</f>
        <v>4.4013961605584573E-2</v>
      </c>
      <c r="EO32" s="500">
        <f>(1+'Revenue Drivers'!EO241)/(1+'Revenue Drivers'!EO254)-1</f>
        <v>4.4526261196530914E-2</v>
      </c>
      <c r="EP32" s="1917">
        <f>(1+'Revenue Drivers'!EP241)/(1+'Revenue Drivers'!EP254)-1</f>
        <v>2.386061498020009E-2</v>
      </c>
      <c r="EQ32" s="500">
        <f>(1+'Revenue Drivers'!EQ241)/(1+'Revenue Drivers'!EQ254)-1</f>
        <v>8.7751950014679059E-2</v>
      </c>
      <c r="ER32" s="500">
        <f>(1+'Revenue Drivers'!ER241)/(1+'Revenue Drivers'!ER254)-1</f>
        <v>2.0983656610006118E-2</v>
      </c>
      <c r="ES32" s="500">
        <f>(1+'Revenue Drivers'!ES241)/(1+'Revenue Drivers'!ES254)-1</f>
        <v>-1.0083412908698741E-2</v>
      </c>
      <c r="ET32" s="500">
        <f>(1+'Revenue Drivers'!ET241)/(1+'Revenue Drivers'!ET254)-1</f>
        <v>-4.8514813076823149E-3</v>
      </c>
      <c r="EU32" s="1917">
        <f>(1+'Revenue Drivers'!EZ241)/(1+'Revenue Drivers'!EZ254)-1</f>
        <v>0</v>
      </c>
      <c r="EV32" s="500"/>
      <c r="EW32" s="500"/>
      <c r="EX32" s="500"/>
      <c r="EY32" s="500"/>
      <c r="EZ32" s="1917">
        <f>(1+'Revenue Drivers'!FE241)/(1+'Revenue Drivers'!FE254)-1</f>
        <v>0</v>
      </c>
      <c r="FA32" s="1917">
        <f>(1+'Revenue Drivers'!EW241)/(1+'Revenue Drivers'!EW254)-1</f>
        <v>0</v>
      </c>
      <c r="FB32" s="1917">
        <f>(1+'Revenue Drivers'!EX241)/(1+'Revenue Drivers'!EX254)-1</f>
        <v>0</v>
      </c>
      <c r="FC32" s="1917">
        <f>(1+'Revenue Drivers'!EY241)/(1+'Revenue Drivers'!EY254)-1</f>
        <v>0</v>
      </c>
      <c r="FD32" s="500"/>
      <c r="FF32" s="500"/>
    </row>
    <row r="33" spans="1:169" ht="11.25" customHeight="1">
      <c r="A33" s="1922" t="s">
        <v>587</v>
      </c>
      <c r="B33" s="2156"/>
      <c r="C33" s="2156"/>
      <c r="D33" s="2156"/>
      <c r="E33" s="2156"/>
      <c r="F33" s="2162"/>
      <c r="G33" s="2156"/>
      <c r="H33" s="2156"/>
      <c r="I33" s="2156"/>
      <c r="J33" s="2156"/>
      <c r="K33" s="2162"/>
      <c r="L33" s="2156"/>
      <c r="M33" s="2156"/>
      <c r="N33" s="2156"/>
      <c r="O33" s="2156"/>
      <c r="P33" s="2162"/>
      <c r="Q33" s="2156"/>
      <c r="R33" s="2156"/>
      <c r="S33" s="2156"/>
      <c r="T33" s="2156"/>
      <c r="U33" s="2162"/>
      <c r="V33" s="2156"/>
      <c r="W33" s="2156"/>
      <c r="X33" s="2156"/>
      <c r="Y33" s="2156"/>
      <c r="Z33" s="2162"/>
      <c r="AA33" s="2156"/>
      <c r="AB33" s="2156"/>
      <c r="AC33" s="2156"/>
      <c r="AD33" s="2156"/>
      <c r="AE33" s="2162"/>
      <c r="AF33" s="2156"/>
      <c r="AG33" s="2156"/>
      <c r="AH33" s="2156"/>
      <c r="AI33" s="2156"/>
      <c r="AJ33" s="2162"/>
      <c r="AK33" s="2156"/>
      <c r="AL33" s="2156"/>
      <c r="AM33" s="2156"/>
      <c r="AN33" s="2156"/>
      <c r="AO33" s="2162"/>
      <c r="AP33" s="2156"/>
      <c r="AQ33" s="2156"/>
      <c r="AR33" s="2156"/>
      <c r="AS33" s="2156"/>
      <c r="AT33" s="2162"/>
      <c r="AU33" s="2156"/>
      <c r="AV33" s="2156"/>
      <c r="AW33" s="2156"/>
      <c r="AX33" s="2156"/>
      <c r="AY33" s="2162"/>
      <c r="AZ33" s="2156"/>
      <c r="BA33" s="2156"/>
      <c r="BB33" s="2156"/>
      <c r="BC33" s="2156"/>
      <c r="BD33" s="2162"/>
      <c r="BE33" s="2156"/>
      <c r="BF33" s="2156"/>
      <c r="BG33" s="2156"/>
      <c r="BH33" s="2156"/>
      <c r="BI33" s="2162"/>
      <c r="BJ33" s="2156"/>
      <c r="BK33" s="2156"/>
      <c r="BL33" s="2156"/>
      <c r="BM33" s="2156"/>
      <c r="BN33" s="2162"/>
      <c r="BO33" s="2163"/>
      <c r="BP33" s="2156"/>
      <c r="BQ33" s="2156"/>
      <c r="BR33" s="2156"/>
      <c r="BS33" s="2162"/>
      <c r="BT33" s="2163"/>
      <c r="BU33" s="2156"/>
      <c r="BV33" s="2156"/>
      <c r="BW33" s="2157"/>
      <c r="BX33" s="2162"/>
      <c r="BY33" s="2163"/>
      <c r="BZ33" s="2156"/>
      <c r="CA33" s="2156"/>
      <c r="CB33" s="2157"/>
      <c r="CC33" s="2162"/>
      <c r="CD33" s="2163"/>
      <c r="CE33" s="2156"/>
      <c r="CF33" s="2156"/>
      <c r="CG33" s="2157"/>
      <c r="CH33" s="2162"/>
      <c r="CI33" s="2156"/>
      <c r="CJ33" s="2156"/>
      <c r="CK33" s="2156"/>
      <c r="CL33" s="2157"/>
      <c r="CM33" s="2162"/>
      <c r="CN33" s="2156"/>
      <c r="CO33" s="2156"/>
      <c r="CP33" s="2156"/>
      <c r="CQ33" s="2157"/>
      <c r="CR33" s="2162"/>
      <c r="CS33" s="2156"/>
      <c r="CT33" s="2156"/>
      <c r="CU33" s="2156"/>
      <c r="CV33" s="2156"/>
      <c r="CW33" s="2162">
        <f>(CW32-CW30)*10000</f>
        <v>-1.7146474517051176</v>
      </c>
      <c r="CX33" s="2156">
        <f>(CX32-CX30)*10000</f>
        <v>-118.63249889389749</v>
      </c>
      <c r="CY33" s="2156">
        <f t="shared" ref="CY33:FA33" si="93">(CY32-CY30)*10000</f>
        <v>23.265476338416995</v>
      </c>
      <c r="CZ33" s="2156">
        <f t="shared" si="93"/>
        <v>5.3408577063738738</v>
      </c>
      <c r="DA33" s="2156">
        <f t="shared" si="93"/>
        <v>-16.527353259630853</v>
      </c>
      <c r="DB33" s="2162">
        <f t="shared" si="93"/>
        <v>20.956472394833515</v>
      </c>
      <c r="DC33" s="2156">
        <f t="shared" si="93"/>
        <v>0.62681990840321444</v>
      </c>
      <c r="DD33" s="2156">
        <f t="shared" si="93"/>
        <v>1.3241377780306984</v>
      </c>
      <c r="DE33" s="2156">
        <f t="shared" si="93"/>
        <v>-1.5422968636404077</v>
      </c>
      <c r="DF33" s="2156">
        <f t="shared" si="93"/>
        <v>125.36295406586476</v>
      </c>
      <c r="DG33" s="2162">
        <f t="shared" si="93"/>
        <v>39.034895056587715</v>
      </c>
      <c r="DH33" s="2156">
        <f t="shared" si="93"/>
        <v>342.21679880411278</v>
      </c>
      <c r="DI33" s="2156">
        <f t="shared" si="93"/>
        <v>175.59504281073919</v>
      </c>
      <c r="DJ33" s="2156">
        <f t="shared" si="93"/>
        <v>75.757416681827422</v>
      </c>
      <c r="DK33" s="2156">
        <f t="shared" si="93"/>
        <v>20.525787503478941</v>
      </c>
      <c r="DL33" s="2162">
        <f t="shared" si="93"/>
        <v>162.93092914119512</v>
      </c>
      <c r="DM33" s="2156">
        <f t="shared" si="93"/>
        <v>35.288895161635494</v>
      </c>
      <c r="DN33" s="2156">
        <f t="shared" si="93"/>
        <v>-64.069217127925882</v>
      </c>
      <c r="DO33" s="2156">
        <f t="shared" si="93"/>
        <v>-201.74286320230848</v>
      </c>
      <c r="DP33" s="2156">
        <f t="shared" si="93"/>
        <v>-194.29801216903442</v>
      </c>
      <c r="DQ33" s="2162">
        <f t="shared" si="93"/>
        <v>-71.292669541525839</v>
      </c>
      <c r="DR33" s="2156">
        <f t="shared" si="93"/>
        <v>-159.27744500274704</v>
      </c>
      <c r="DS33" s="2156">
        <f t="shared" si="93"/>
        <v>-64.067839562494541</v>
      </c>
      <c r="DT33" s="2156">
        <f t="shared" si="93"/>
        <v>13.613014259029541</v>
      </c>
      <c r="DU33" s="2156">
        <f t="shared" si="93"/>
        <v>88.862116047268756</v>
      </c>
      <c r="DV33" s="2162">
        <f t="shared" si="93"/>
        <v>-56.203998620327141</v>
      </c>
      <c r="DW33" s="2156">
        <f t="shared" si="93"/>
        <v>49.361778434532653</v>
      </c>
      <c r="DX33" s="2156">
        <f t="shared" si="93"/>
        <v>243.32875609361122</v>
      </c>
      <c r="DY33" s="2156">
        <f t="shared" si="93"/>
        <v>298.50759702159559</v>
      </c>
      <c r="DZ33" s="2156">
        <f t="shared" si="93"/>
        <v>189.18654961117443</v>
      </c>
      <c r="EA33" s="2162">
        <f t="shared" si="93"/>
        <v>173.07654281819686</v>
      </c>
      <c r="EB33" s="2156">
        <f t="shared" si="93"/>
        <v>123.29645649498552</v>
      </c>
      <c r="EC33" s="2156">
        <f t="shared" si="93"/>
        <v>1.74131162822784</v>
      </c>
      <c r="ED33" s="2156">
        <f>(ED32-ED30)*10000</f>
        <v>-32.821785668134957</v>
      </c>
      <c r="EE33" s="2156">
        <f t="shared" ref="EE33" si="94">(EE32-EE30)*10000</f>
        <v>56.310404430542775</v>
      </c>
      <c r="EF33" s="2162">
        <f t="shared" si="93"/>
        <v>59.596089609898243</v>
      </c>
      <c r="EG33" s="2156">
        <f t="shared" ref="EG33:EH33" si="95">(EG32-EG30)*10000</f>
        <v>99.892388026324099</v>
      </c>
      <c r="EH33" s="2156">
        <f t="shared" si="95"/>
        <v>109.87844214241885</v>
      </c>
      <c r="EI33" s="2156">
        <f t="shared" ref="EI33:EJ33" si="96">(EI32-EI30)*10000</f>
        <v>76.658225583438863</v>
      </c>
      <c r="EJ33" s="2156">
        <f t="shared" si="96"/>
        <v>-13.080206871785293</v>
      </c>
      <c r="EK33" s="2162">
        <f t="shared" si="93"/>
        <v>69.228431363538846</v>
      </c>
      <c r="EL33" s="2156">
        <f t="shared" si="93"/>
        <v>198.61218389129715</v>
      </c>
      <c r="EM33" s="2156">
        <f t="shared" si="93"/>
        <v>8.2662645409079669</v>
      </c>
      <c r="EN33" s="2156">
        <f t="shared" si="93"/>
        <v>-65.008674222423039</v>
      </c>
      <c r="EO33" s="2156">
        <f t="shared" si="93"/>
        <v>6.2450045135165055E-13</v>
      </c>
      <c r="EP33" s="2162">
        <f t="shared" si="93"/>
        <v>50.395049207103241</v>
      </c>
      <c r="EQ33" s="2156">
        <f t="shared" ref="EQ33:ET33" si="97">(EQ32-EQ30)*10000</f>
        <v>1.3877787807814457E-13</v>
      </c>
      <c r="ER33" s="2156">
        <f t="shared" si="97"/>
        <v>-1.0408340855860843E-13</v>
      </c>
      <c r="ES33" s="2156">
        <f t="shared" si="97"/>
        <v>-6.2450045135165055E-13</v>
      </c>
      <c r="ET33" s="2156">
        <f t="shared" si="97"/>
        <v>-4.8572257327350599E-13</v>
      </c>
      <c r="EU33" s="2162">
        <f t="shared" ref="EU33" si="98">(EU32-EU30)*10000</f>
        <v>-216.11423372755192</v>
      </c>
      <c r="EV33" s="2156">
        <f t="shared" ref="EV33:EZ33" si="99">(EV32-EV30)*10000</f>
        <v>0</v>
      </c>
      <c r="EW33" s="2156">
        <f t="shared" si="99"/>
        <v>0</v>
      </c>
      <c r="EX33" s="2156">
        <f t="shared" si="99"/>
        <v>0</v>
      </c>
      <c r="EY33" s="2156">
        <f t="shared" si="99"/>
        <v>0</v>
      </c>
      <c r="EZ33" s="2162">
        <f t="shared" si="99"/>
        <v>0</v>
      </c>
      <c r="FA33" s="2162">
        <f t="shared" si="93"/>
        <v>0</v>
      </c>
      <c r="FB33" s="2162">
        <f t="shared" ref="FB33:FC33" si="100">(FB32-FB30)*10000</f>
        <v>0</v>
      </c>
      <c r="FC33" s="2162">
        <f t="shared" si="100"/>
        <v>0</v>
      </c>
      <c r="FD33" s="500"/>
      <c r="FF33" s="500"/>
    </row>
    <row r="34" spans="1:169" ht="11.25" customHeight="1">
      <c r="A34" s="1916"/>
      <c r="B34" s="1205"/>
      <c r="C34" s="1205"/>
      <c r="D34" s="1205"/>
      <c r="E34" s="1205"/>
      <c r="F34" s="1917"/>
      <c r="G34" s="1205"/>
      <c r="H34" s="1205"/>
      <c r="I34" s="1205"/>
      <c r="J34" s="1205"/>
      <c r="K34" s="1917"/>
      <c r="L34" s="1205"/>
      <c r="M34" s="1205"/>
      <c r="N34" s="1205"/>
      <c r="O34" s="1205"/>
      <c r="P34" s="1917"/>
      <c r="Q34" s="1205"/>
      <c r="R34" s="1205"/>
      <c r="S34" s="1205"/>
      <c r="T34" s="1205"/>
      <c r="U34" s="1917"/>
      <c r="V34" s="1205"/>
      <c r="W34" s="1205"/>
      <c r="X34" s="1205"/>
      <c r="Y34" s="1205"/>
      <c r="Z34" s="1917"/>
      <c r="AA34" s="1205"/>
      <c r="AB34" s="1205"/>
      <c r="AC34" s="1205"/>
      <c r="AD34" s="1205"/>
      <c r="AE34" s="1917"/>
      <c r="AF34" s="1205"/>
      <c r="AG34" s="1205"/>
      <c r="AH34" s="1205"/>
      <c r="AI34" s="1205"/>
      <c r="AJ34" s="1917"/>
      <c r="AK34" s="1205"/>
      <c r="AL34" s="1205"/>
      <c r="AM34" s="1205"/>
      <c r="AN34" s="1205"/>
      <c r="AO34" s="1917"/>
      <c r="AP34" s="1205"/>
      <c r="AQ34" s="1205"/>
      <c r="AR34" s="1205"/>
      <c r="AS34" s="1205"/>
      <c r="AT34" s="1917"/>
      <c r="AU34" s="1205"/>
      <c r="AV34" s="1205"/>
      <c r="AW34" s="1205"/>
      <c r="AX34" s="1205"/>
      <c r="AY34" s="1917"/>
      <c r="AZ34" s="1205"/>
      <c r="BA34" s="1205"/>
      <c r="BB34" s="1205"/>
      <c r="BC34" s="1205"/>
      <c r="BD34" s="1917"/>
      <c r="BE34" s="1205"/>
      <c r="BF34" s="1205"/>
      <c r="BG34" s="1205"/>
      <c r="BH34" s="1205"/>
      <c r="BI34" s="1917"/>
      <c r="BJ34" s="1205"/>
      <c r="BK34" s="1205"/>
      <c r="BL34" s="1205"/>
      <c r="BM34" s="1205"/>
      <c r="BN34" s="1917"/>
      <c r="BO34" s="1919"/>
      <c r="BP34" s="497"/>
      <c r="BQ34" s="497"/>
      <c r="BR34" s="497"/>
      <c r="BS34" s="1917"/>
      <c r="BT34" s="1918"/>
      <c r="BU34" s="500"/>
      <c r="BV34" s="500"/>
      <c r="BW34" s="1176"/>
      <c r="BX34" s="1917"/>
      <c r="BY34" s="1918"/>
      <c r="BZ34" s="500"/>
      <c r="CA34" s="500"/>
      <c r="CB34" s="1176"/>
      <c r="CC34" s="1917"/>
      <c r="CD34" s="1918"/>
      <c r="CE34" s="500"/>
      <c r="CF34" s="500"/>
      <c r="CG34" s="1176"/>
      <c r="CH34" s="1917"/>
      <c r="CI34" s="500"/>
      <c r="CJ34" s="500"/>
      <c r="CK34" s="500"/>
      <c r="CL34" s="1176"/>
      <c r="CM34" s="1917"/>
      <c r="CN34" s="500"/>
      <c r="CO34" s="500"/>
      <c r="CP34" s="500"/>
      <c r="CQ34" s="1176"/>
      <c r="CR34" s="1917"/>
      <c r="CS34" s="500"/>
      <c r="CT34" s="500"/>
      <c r="CU34" s="500"/>
      <c r="CV34" s="500"/>
      <c r="CW34" s="1917"/>
      <c r="CX34" s="1918"/>
      <c r="CY34" s="500"/>
      <c r="CZ34" s="500"/>
      <c r="DA34" s="1176"/>
      <c r="DB34" s="1917"/>
      <c r="DC34" s="1918"/>
      <c r="DD34" s="500"/>
      <c r="DE34" s="500"/>
      <c r="DF34" s="1176"/>
      <c r="DG34" s="1917"/>
      <c r="DH34" s="1918"/>
      <c r="DI34" s="500"/>
      <c r="DJ34" s="500"/>
      <c r="DK34" s="1176"/>
      <c r="DL34" s="1917"/>
      <c r="DM34" s="1918"/>
      <c r="DN34" s="500"/>
      <c r="DO34" s="500"/>
      <c r="DP34" s="1176"/>
      <c r="DQ34" s="1917"/>
      <c r="DR34" s="500"/>
      <c r="DS34" s="500"/>
      <c r="DT34" s="500"/>
      <c r="DU34" s="500"/>
      <c r="DV34" s="1917"/>
      <c r="DW34" s="500"/>
      <c r="DX34" s="500"/>
      <c r="DY34" s="500"/>
      <c r="DZ34" s="500"/>
      <c r="EA34" s="1917"/>
      <c r="EB34" s="500"/>
      <c r="EC34" s="500"/>
      <c r="ED34" s="500"/>
      <c r="EE34" s="500"/>
      <c r="EF34" s="1917"/>
      <c r="EG34" s="500"/>
      <c r="EH34" s="500"/>
      <c r="EI34" s="500"/>
      <c r="EJ34" s="500"/>
      <c r="EK34" s="1917"/>
      <c r="EL34" s="500"/>
      <c r="EM34" s="500"/>
      <c r="EN34" s="500"/>
      <c r="EO34" s="500"/>
      <c r="EP34" s="1917"/>
      <c r="EQ34" s="500"/>
      <c r="ER34" s="500"/>
      <c r="ES34" s="500"/>
      <c r="ET34" s="500"/>
      <c r="EU34" s="1917"/>
      <c r="EV34" s="500"/>
      <c r="EW34" s="500"/>
      <c r="EX34" s="500"/>
      <c r="EY34" s="500"/>
      <c r="EZ34" s="1917"/>
      <c r="FA34" s="1917"/>
      <c r="FB34" s="1917"/>
      <c r="FC34" s="1917"/>
      <c r="FD34" s="500"/>
      <c r="FF34" s="500"/>
    </row>
    <row r="35" spans="1:169" ht="11.25" customHeight="1">
      <c r="A35" s="1912" t="s">
        <v>371</v>
      </c>
      <c r="B35" s="421"/>
      <c r="C35" s="421"/>
      <c r="D35" s="421"/>
      <c r="E35" s="421"/>
      <c r="F35" s="1905"/>
      <c r="G35" s="421"/>
      <c r="H35" s="421"/>
      <c r="I35" s="421"/>
      <c r="J35" s="421"/>
      <c r="K35" s="1905"/>
      <c r="L35" s="421"/>
      <c r="M35" s="421"/>
      <c r="N35" s="421"/>
      <c r="O35" s="421"/>
      <c r="P35" s="1905"/>
      <c r="Q35" s="421"/>
      <c r="R35" s="421"/>
      <c r="S35" s="421"/>
      <c r="T35" s="421"/>
      <c r="U35" s="1905"/>
      <c r="V35" s="421"/>
      <c r="W35" s="421"/>
      <c r="X35" s="421"/>
      <c r="Y35" s="421"/>
      <c r="Z35" s="1905"/>
      <c r="AA35" s="421"/>
      <c r="AB35" s="421"/>
      <c r="AC35" s="421"/>
      <c r="AD35" s="421"/>
      <c r="AE35" s="1905"/>
      <c r="AF35" s="421"/>
      <c r="AG35" s="421"/>
      <c r="AH35" s="421"/>
      <c r="AI35" s="421"/>
      <c r="AJ35" s="1905"/>
      <c r="AK35" s="421"/>
      <c r="AL35" s="421"/>
      <c r="AM35" s="421"/>
      <c r="AN35" s="421"/>
      <c r="AO35" s="1905"/>
      <c r="AP35" s="421"/>
      <c r="AQ35" s="421"/>
      <c r="AR35" s="421"/>
      <c r="AS35" s="421"/>
      <c r="AT35" s="1905"/>
      <c r="AU35" s="421"/>
      <c r="AV35" s="421"/>
      <c r="AW35" s="421"/>
      <c r="AX35" s="421"/>
      <c r="AY35" s="1905"/>
      <c r="AZ35" s="1906"/>
      <c r="BA35" s="429"/>
      <c r="BB35" s="429"/>
      <c r="BC35" s="429"/>
      <c r="BD35" s="1905"/>
      <c r="BE35" s="1906"/>
      <c r="BF35" s="429"/>
      <c r="BG35" s="429"/>
      <c r="BH35" s="429"/>
      <c r="BI35" s="1905"/>
      <c r="BJ35" s="1906"/>
      <c r="BK35" s="429"/>
      <c r="BL35" s="429"/>
      <c r="BM35" s="430"/>
      <c r="BN35" s="1905"/>
      <c r="BO35" s="1906"/>
      <c r="BP35" s="429"/>
      <c r="BQ35" s="429"/>
      <c r="BR35" s="429"/>
      <c r="BS35" s="1905"/>
      <c r="BT35" s="1913"/>
      <c r="BU35" s="441"/>
      <c r="BV35" s="441"/>
      <c r="BW35" s="430"/>
      <c r="BX35" s="1905"/>
      <c r="BY35" s="1906"/>
      <c r="BZ35" s="429"/>
      <c r="CA35" s="429"/>
      <c r="CB35" s="430"/>
      <c r="CC35" s="1905"/>
      <c r="CD35" s="1906"/>
      <c r="CE35" s="429"/>
      <c r="CF35" s="429"/>
      <c r="CG35" s="430"/>
      <c r="CH35" s="1905"/>
      <c r="CI35" s="429"/>
      <c r="CJ35" s="429"/>
      <c r="CK35" s="429"/>
      <c r="CL35" s="430"/>
      <c r="CM35" s="1905"/>
      <c r="CN35" s="429"/>
      <c r="CO35" s="429"/>
      <c r="CP35" s="429"/>
      <c r="CQ35" s="430"/>
      <c r="CR35" s="1905"/>
      <c r="CS35" s="429"/>
      <c r="CT35" s="429"/>
      <c r="CU35" s="429"/>
      <c r="CV35" s="429"/>
      <c r="CW35" s="1905"/>
      <c r="CX35" s="1906"/>
      <c r="CY35" s="429"/>
      <c r="CZ35" s="429"/>
      <c r="DA35" s="430"/>
      <c r="DB35" s="1905"/>
      <c r="DC35" s="1906"/>
      <c r="DD35" s="429"/>
      <c r="DE35" s="429"/>
      <c r="DF35" s="430"/>
      <c r="DG35" s="1905"/>
      <c r="DH35" s="1906"/>
      <c r="DI35" s="429"/>
      <c r="DJ35" s="429"/>
      <c r="DK35" s="430"/>
      <c r="DL35" s="1905"/>
      <c r="DM35" s="1906"/>
      <c r="DN35" s="429"/>
      <c r="DO35" s="429"/>
      <c r="DP35" s="430"/>
      <c r="DQ35" s="1905"/>
      <c r="DR35" s="429"/>
      <c r="DS35" s="429"/>
      <c r="DT35" s="429"/>
      <c r="DU35" s="429"/>
      <c r="DV35" s="1905"/>
      <c r="DW35" s="429"/>
      <c r="DX35" s="429"/>
      <c r="DY35" s="429"/>
      <c r="DZ35" s="429"/>
      <c r="EA35" s="1905"/>
      <c r="EB35" s="429"/>
      <c r="EC35" s="429"/>
      <c r="ED35" s="429"/>
      <c r="EE35" s="429"/>
      <c r="EF35" s="1905"/>
      <c r="EG35" s="429"/>
      <c r="EH35" s="429"/>
      <c r="EI35" s="429"/>
      <c r="EJ35" s="429"/>
      <c r="EK35" s="1905"/>
      <c r="EL35" s="429"/>
      <c r="EM35" s="429"/>
      <c r="EN35" s="429"/>
      <c r="EO35" s="429"/>
      <c r="EP35" s="1905"/>
      <c r="EQ35" s="429"/>
      <c r="ER35" s="429"/>
      <c r="ES35" s="429"/>
      <c r="ET35" s="429"/>
      <c r="EU35" s="1905"/>
      <c r="EV35" s="429"/>
      <c r="EW35" s="429"/>
      <c r="EX35" s="429"/>
      <c r="EY35" s="429"/>
      <c r="EZ35" s="1905"/>
      <c r="FA35" s="1905"/>
      <c r="FB35" s="1905"/>
      <c r="FC35" s="1905"/>
      <c r="FD35" s="429"/>
      <c r="FF35" s="429"/>
    </row>
    <row r="36" spans="1:169" ht="11.25" customHeight="1">
      <c r="A36" s="1888" t="str">
        <f>A17</f>
        <v>United Kingdom (USD/GBP)</v>
      </c>
      <c r="B36" s="440"/>
      <c r="C36" s="440"/>
      <c r="D36" s="440"/>
      <c r="E36" s="440"/>
      <c r="F36" s="1895"/>
      <c r="G36" s="440"/>
      <c r="H36" s="440"/>
      <c r="I36" s="440"/>
      <c r="J36" s="440"/>
      <c r="K36" s="1895"/>
      <c r="L36" s="440"/>
      <c r="M36" s="440"/>
      <c r="N36" s="440"/>
      <c r="O36" s="440"/>
      <c r="P36" s="1895"/>
      <c r="Q36" s="440"/>
      <c r="R36" s="440"/>
      <c r="S36" s="440"/>
      <c r="T36" s="440"/>
      <c r="U36" s="1895"/>
      <c r="V36" s="440"/>
      <c r="W36" s="440"/>
      <c r="X36" s="440"/>
      <c r="Y36" s="440"/>
      <c r="Z36" s="1895"/>
      <c r="AA36" s="440"/>
      <c r="AB36" s="440"/>
      <c r="AC36" s="440"/>
      <c r="AD36" s="440"/>
      <c r="AE36" s="1895"/>
      <c r="AF36" s="440"/>
      <c r="AG36" s="440"/>
      <c r="AH36" s="440"/>
      <c r="AI36" s="440"/>
      <c r="AJ36" s="1895"/>
      <c r="AK36" s="440"/>
      <c r="AL36" s="440"/>
      <c r="AM36" s="440"/>
      <c r="AN36" s="440"/>
      <c r="AO36" s="1895"/>
      <c r="AP36" s="440"/>
      <c r="AQ36" s="440"/>
      <c r="AR36" s="440"/>
      <c r="AS36" s="440"/>
      <c r="AT36" s="1895"/>
      <c r="AU36" s="440"/>
      <c r="AV36" s="440"/>
      <c r="AW36" s="440"/>
      <c r="AX36" s="440"/>
      <c r="AY36" s="1895"/>
      <c r="AZ36" s="1913"/>
      <c r="BA36" s="441"/>
      <c r="BB36" s="441"/>
      <c r="BC36" s="443"/>
      <c r="BD36" s="1895"/>
      <c r="BE36" s="1913"/>
      <c r="BF36" s="441"/>
      <c r="BG36" s="441"/>
      <c r="BH36" s="443"/>
      <c r="BI36" s="1895"/>
      <c r="BJ36" s="1913"/>
      <c r="BK36" s="441"/>
      <c r="BL36" s="441"/>
      <c r="BM36" s="443"/>
      <c r="BN36" s="1895"/>
      <c r="BO36" s="1913"/>
      <c r="BP36" s="441"/>
      <c r="BQ36" s="441"/>
      <c r="BR36" s="443"/>
      <c r="BS36" s="1895"/>
      <c r="BT36" s="1913"/>
      <c r="BU36" s="441"/>
      <c r="BV36" s="441"/>
      <c r="BW36" s="443"/>
      <c r="BX36" s="1895"/>
      <c r="BY36" s="1913"/>
      <c r="BZ36" s="441"/>
      <c r="CA36" s="441"/>
      <c r="CB36" s="443"/>
      <c r="CC36" s="1895"/>
      <c r="CD36" s="1913"/>
      <c r="CE36" s="441"/>
      <c r="CF36" s="441"/>
      <c r="CG36" s="443"/>
      <c r="CH36" s="1895"/>
      <c r="CI36" s="1913"/>
      <c r="CJ36" s="441"/>
      <c r="CK36" s="441"/>
      <c r="CL36" s="443"/>
      <c r="CM36" s="1895"/>
      <c r="CN36" s="1913"/>
      <c r="CO36" s="441"/>
      <c r="CP36" s="441"/>
      <c r="CQ36" s="443"/>
      <c r="CR36" s="1895"/>
      <c r="CS36" s="1913">
        <f>CS17/CQ17-1</f>
        <v>-5.9523809523809645E-2</v>
      </c>
      <c r="CT36" s="441">
        <f t="shared" ref="CT36:CV37" si="101">CT17/CS17-1</f>
        <v>1.3007902650534975E-2</v>
      </c>
      <c r="CU36" s="441">
        <f t="shared" si="101"/>
        <v>-8.6894488551374938E-2</v>
      </c>
      <c r="CV36" s="443">
        <f t="shared" si="101"/>
        <v>-4.937120391138905E-2</v>
      </c>
      <c r="CW36" s="1895"/>
      <c r="CX36" s="1913">
        <f>CX17/CV17-1</f>
        <v>-1.1161187698833341E-2</v>
      </c>
      <c r="CY36" s="441">
        <f t="shared" ref="CY36:DA37" si="102">CY17/CX17-1</f>
        <v>2.9276924314324493E-2</v>
      </c>
      <c r="CZ36" s="441">
        <f t="shared" si="102"/>
        <v>2.0291214086634923E-2</v>
      </c>
      <c r="DA36" s="443">
        <f t="shared" si="102"/>
        <v>2.644881286699019E-2</v>
      </c>
      <c r="DB36" s="1895"/>
      <c r="DC36" s="1913">
        <f>DC17/DA17-1</f>
        <v>4.3575585733472533E-2</v>
      </c>
      <c r="DD36" s="441">
        <f t="shared" ref="DD36:DF37" si="103">DD17/DC17-1</f>
        <v>-2.1021021021021102E-2</v>
      </c>
      <c r="DE36" s="441">
        <f t="shared" si="103"/>
        <v>-4.3456032719836335E-2</v>
      </c>
      <c r="DF36" s="443">
        <f t="shared" si="103"/>
        <v>-1.8961085235804753E-2</v>
      </c>
      <c r="DG36" s="1895"/>
      <c r="DH36" s="1913">
        <f>DH17/DF17-1</f>
        <v>1.5046956882685425E-2</v>
      </c>
      <c r="DI36" s="441">
        <f t="shared" ref="DI36:DK37" si="104">DI17/DH17-1</f>
        <v>-1.0990134437458332E-2</v>
      </c>
      <c r="DJ36" s="441">
        <f t="shared" si="104"/>
        <v>-4.3544552408517734E-2</v>
      </c>
      <c r="DK36" s="443">
        <f t="shared" si="104"/>
        <v>3.0936748534219571E-2</v>
      </c>
      <c r="DL36" s="1895"/>
      <c r="DM36" s="1913">
        <f>DM17/DK17-1</f>
        <v>2.9615263654471091E-2</v>
      </c>
      <c r="DN36" s="441">
        <f t="shared" ref="DN36:DP37" si="105">DN17/DM17-1</f>
        <v>-4.9101461080283015E-2</v>
      </c>
      <c r="DO36" s="441">
        <f t="shared" si="105"/>
        <v>4.0126348475520102E-2</v>
      </c>
      <c r="DP36" s="443">
        <f t="shared" si="105"/>
        <v>8.5958410541484565E-3</v>
      </c>
      <c r="DQ36" s="1895"/>
      <c r="DR36" s="1913">
        <f>DR17/DP17-1</f>
        <v>5.4120949221740267E-2</v>
      </c>
      <c r="DS36" s="441">
        <f t="shared" ref="DS36:DU37" si="106">DS17/DR17-1</f>
        <v>1.2248553653990468E-2</v>
      </c>
      <c r="DT36" s="441">
        <f t="shared" si="106"/>
        <v>-7.8197862113495997E-3</v>
      </c>
      <c r="DU36" s="443">
        <f t="shared" si="106"/>
        <v>-2.4945770065075701E-2</v>
      </c>
      <c r="DV36" s="1895"/>
      <c r="DW36" s="1913">
        <f>DW17/DU17-1</f>
        <v>-1.3842541095047123E-3</v>
      </c>
      <c r="DX36" s="441">
        <f t="shared" ref="DX36:DZ37" si="107">DX17/DW17-1</f>
        <v>-5.1610188370999066E-2</v>
      </c>
      <c r="DY36" s="441">
        <f t="shared" si="107"/>
        <v>-6.1152581301874176E-2</v>
      </c>
      <c r="DZ36" s="443">
        <f t="shared" si="107"/>
        <v>-3.5417419588001264E-2</v>
      </c>
      <c r="EA36" s="1895"/>
      <c r="EB36" s="1913">
        <f>EB17/DZ17-1</f>
        <v>4.9802576591636116E-2</v>
      </c>
      <c r="EC36" s="441">
        <f t="shared" ref="EC36:EE37" si="108">EC17/EB17-1</f>
        <v>2.5257378174331047E-2</v>
      </c>
      <c r="ED36" s="441">
        <f t="shared" si="108"/>
        <v>2.3189181952068427E-2</v>
      </c>
      <c r="EE36" s="443">
        <f t="shared" si="108"/>
        <v>-3.2320535971317232E-2</v>
      </c>
      <c r="EF36" s="1895"/>
      <c r="EG36" s="1913">
        <f>EG17/EE17-1</f>
        <v>2.8883600173085222E-2</v>
      </c>
      <c r="EH36" s="441">
        <f t="shared" ref="EH36:EJ37" si="109">EH17/EG17-1</f>
        <v>-4.9153611607611891E-3</v>
      </c>
      <c r="EI36" s="441">
        <f t="shared" si="109"/>
        <v>2.0366114589111639E-2</v>
      </c>
      <c r="EJ36" s="443">
        <f t="shared" si="109"/>
        <v>9.8633115874495747E-3</v>
      </c>
      <c r="EK36" s="1895"/>
      <c r="EL36" s="1913">
        <f>EL17/EJ17-1</f>
        <v>-3.8991002076443904E-2</v>
      </c>
      <c r="EM36" s="441">
        <f t="shared" ref="EM36:EM37" si="110">EM17/EL17-1</f>
        <v>5.9165599658557388E-2</v>
      </c>
      <c r="EN36" s="441">
        <f t="shared" ref="EN36:EO37" si="111">EN17/EM17-1</f>
        <v>1.856142648466208E-2</v>
      </c>
      <c r="EO36" s="443">
        <f t="shared" si="111"/>
        <v>-1.693741809460203E-2</v>
      </c>
      <c r="EP36" s="1895"/>
      <c r="EQ36" s="1913">
        <f>EQ17/EO17-1</f>
        <v>-7.2941294833744896E-3</v>
      </c>
      <c r="ER36" s="441">
        <f t="shared" ref="ER36:ER37" si="112">ER17/EQ17-1</f>
        <v>0</v>
      </c>
      <c r="ES36" s="441">
        <f t="shared" ref="ES36:ES37" si="113">ES17/ER17-1</f>
        <v>0</v>
      </c>
      <c r="ET36" s="443">
        <f t="shared" ref="ET36:ET37" si="114">ET17/ES17-1</f>
        <v>0</v>
      </c>
      <c r="EU36" s="1895"/>
      <c r="EV36" s="1913">
        <f>EV17/ET17-1</f>
        <v>0</v>
      </c>
      <c r="EW36" s="441">
        <f t="shared" ref="EW36:EW37" si="115">EW17/EV17-1</f>
        <v>0</v>
      </c>
      <c r="EX36" s="441">
        <f t="shared" ref="EX36:EX37" si="116">EX17/EW17-1</f>
        <v>0</v>
      </c>
      <c r="EY36" s="443">
        <f t="shared" ref="EY36:EY37" si="117">EY17/EX17-1</f>
        <v>0</v>
      </c>
      <c r="EZ36" s="1895"/>
      <c r="FA36" s="1895"/>
      <c r="FB36" s="1895"/>
      <c r="FC36" s="1895"/>
      <c r="FD36" s="441"/>
      <c r="FF36" s="441"/>
    </row>
    <row r="37" spans="1:169" ht="11.25" customHeight="1">
      <c r="A37" s="1888" t="str">
        <f>A18</f>
        <v>EU ex. UK (USD/EUR)</v>
      </c>
      <c r="B37" s="440"/>
      <c r="C37" s="440"/>
      <c r="D37" s="440"/>
      <c r="E37" s="440"/>
      <c r="F37" s="1895"/>
      <c r="G37" s="440"/>
      <c r="H37" s="440"/>
      <c r="I37" s="440"/>
      <c r="J37" s="440"/>
      <c r="K37" s="1895"/>
      <c r="L37" s="440"/>
      <c r="M37" s="440"/>
      <c r="N37" s="440"/>
      <c r="O37" s="440"/>
      <c r="P37" s="1895"/>
      <c r="Q37" s="440"/>
      <c r="R37" s="440"/>
      <c r="S37" s="440"/>
      <c r="T37" s="440"/>
      <c r="U37" s="1895"/>
      <c r="V37" s="440"/>
      <c r="W37" s="440"/>
      <c r="X37" s="440"/>
      <c r="Y37" s="440"/>
      <c r="Z37" s="1895"/>
      <c r="AA37" s="440"/>
      <c r="AB37" s="440"/>
      <c r="AC37" s="440"/>
      <c r="AD37" s="440"/>
      <c r="AE37" s="1895"/>
      <c r="AF37" s="440"/>
      <c r="AG37" s="440"/>
      <c r="AH37" s="440"/>
      <c r="AI37" s="440"/>
      <c r="AJ37" s="1895"/>
      <c r="AK37" s="440"/>
      <c r="AL37" s="440"/>
      <c r="AM37" s="440"/>
      <c r="AN37" s="440"/>
      <c r="AO37" s="1895"/>
      <c r="AP37" s="440"/>
      <c r="AQ37" s="440"/>
      <c r="AR37" s="440"/>
      <c r="AS37" s="440"/>
      <c r="AT37" s="1895"/>
      <c r="AU37" s="440"/>
      <c r="AV37" s="440"/>
      <c r="AW37" s="440"/>
      <c r="AX37" s="440"/>
      <c r="AY37" s="1895"/>
      <c r="AZ37" s="1913"/>
      <c r="BA37" s="441"/>
      <c r="BB37" s="441"/>
      <c r="BC37" s="443"/>
      <c r="BD37" s="1895"/>
      <c r="BE37" s="1913"/>
      <c r="BF37" s="441"/>
      <c r="BG37" s="441"/>
      <c r="BH37" s="443"/>
      <c r="BI37" s="1895"/>
      <c r="BJ37" s="1913"/>
      <c r="BK37" s="441"/>
      <c r="BL37" s="441"/>
      <c r="BM37" s="443"/>
      <c r="BN37" s="1895"/>
      <c r="BO37" s="1913"/>
      <c r="BP37" s="441"/>
      <c r="BQ37" s="441"/>
      <c r="BR37" s="443"/>
      <c r="BS37" s="1895"/>
      <c r="BT37" s="1913"/>
      <c r="BU37" s="441"/>
      <c r="BV37" s="441"/>
      <c r="BW37" s="443"/>
      <c r="BX37" s="1895"/>
      <c r="BY37" s="1913"/>
      <c r="BZ37" s="441"/>
      <c r="CA37" s="441"/>
      <c r="CB37" s="443"/>
      <c r="CC37" s="1895"/>
      <c r="CD37" s="1913"/>
      <c r="CE37" s="441"/>
      <c r="CF37" s="441"/>
      <c r="CG37" s="443"/>
      <c r="CH37" s="1895"/>
      <c r="CI37" s="1913"/>
      <c r="CJ37" s="441"/>
      <c r="CK37" s="441"/>
      <c r="CL37" s="443"/>
      <c r="CM37" s="1895"/>
      <c r="CN37" s="1913"/>
      <c r="CO37" s="441"/>
      <c r="CP37" s="441"/>
      <c r="CQ37" s="443"/>
      <c r="CR37" s="1895"/>
      <c r="CS37" s="1913">
        <f>CS18/CQ18-1</f>
        <v>-5.5575913032857027E-3</v>
      </c>
      <c r="CT37" s="441">
        <f t="shared" si="101"/>
        <v>4.2897500460603366E-2</v>
      </c>
      <c r="CU37" s="441">
        <f t="shared" si="101"/>
        <v>-1.5457998410034479E-2</v>
      </c>
      <c r="CV37" s="443">
        <f t="shared" si="101"/>
        <v>-1.893055804773025E-2</v>
      </c>
      <c r="CW37" s="1895"/>
      <c r="CX37" s="1913">
        <f>CX18/CV18-1</f>
        <v>-2.7861606462429522E-2</v>
      </c>
      <c r="CY37" s="441">
        <f t="shared" si="102"/>
        <v>2.8221128217992497E-2</v>
      </c>
      <c r="CZ37" s="441">
        <f t="shared" si="102"/>
        <v>7.279436430727948E-2</v>
      </c>
      <c r="DA37" s="443">
        <f t="shared" si="102"/>
        <v>5.2873955312979781E-3</v>
      </c>
      <c r="DB37" s="1895"/>
      <c r="DC37" s="1913">
        <f>DC18/DA18-1</f>
        <v>4.3660219432190894E-2</v>
      </c>
      <c r="DD37" s="441">
        <f t="shared" si="103"/>
        <v>-2.202774466240387E-2</v>
      </c>
      <c r="DE37" s="441">
        <f t="shared" si="103"/>
        <v>-3.0973819088516152E-2</v>
      </c>
      <c r="DF37" s="443">
        <f t="shared" si="103"/>
        <v>-2.1271121022386263E-2</v>
      </c>
      <c r="DG37" s="1895"/>
      <c r="DH37" s="1913">
        <f>DH18/DF18-1</f>
        <v>1.5482137119153805E-3</v>
      </c>
      <c r="DI37" s="441">
        <f t="shared" si="104"/>
        <v>-1.9949833751385593E-2</v>
      </c>
      <c r="DJ37" s="441">
        <f t="shared" si="104"/>
        <v>-5.0889827986430047E-3</v>
      </c>
      <c r="DK37" s="443">
        <f t="shared" si="104"/>
        <v>-1.0828273159642299E-2</v>
      </c>
      <c r="DL37" s="1895"/>
      <c r="DM37" s="1913">
        <f>DM18/DK18-1</f>
        <v>7.9530678278751932E-3</v>
      </c>
      <c r="DN37" s="441">
        <f t="shared" si="105"/>
        <v>-7.3502940117604609E-3</v>
      </c>
      <c r="DO37" s="441">
        <f t="shared" si="105"/>
        <v>5.6245655393356797E-2</v>
      </c>
      <c r="DP37" s="443">
        <f t="shared" si="105"/>
        <v>9.9290374270346593E-3</v>
      </c>
      <c r="DQ37" s="1895"/>
      <c r="DR37" s="1913">
        <f>DR18/DP18-1</f>
        <v>3.2072531520045189E-2</v>
      </c>
      <c r="DS37" s="441">
        <f t="shared" si="106"/>
        <v>-1.2353474071430504E-2</v>
      </c>
      <c r="DT37" s="441">
        <f t="shared" si="106"/>
        <v>-1.2230035856241384E-2</v>
      </c>
      <c r="DU37" s="443">
        <f t="shared" si="106"/>
        <v>-2.9856206207614866E-2</v>
      </c>
      <c r="DV37" s="1895"/>
      <c r="DW37" s="1913">
        <f>DW18/DU18-1</f>
        <v>-1.8911706694512032E-2</v>
      </c>
      <c r="DX37" s="441">
        <f t="shared" si="107"/>
        <v>-4.3696783349101098E-2</v>
      </c>
      <c r="DY37" s="441">
        <f t="shared" si="107"/>
        <v>-4.9094169294503165E-2</v>
      </c>
      <c r="DZ37" s="443">
        <f t="shared" si="107"/>
        <v>-2.1717927043371055E-2</v>
      </c>
      <c r="EA37" s="1895"/>
      <c r="EB37" s="1913">
        <f>EB18/DZ18-1</f>
        <v>6.8261881023596205E-2</v>
      </c>
      <c r="EC37" s="441">
        <f t="shared" si="108"/>
        <v>1.2537332005973179E-2</v>
      </c>
      <c r="ED37" s="441">
        <f t="shared" si="108"/>
        <v>6.2064091928593079E-3</v>
      </c>
      <c r="EE37" s="443">
        <f t="shared" si="108"/>
        <v>-2.1771657149836643E-2</v>
      </c>
      <c r="EF37" s="1895"/>
      <c r="EG37" s="1913">
        <f>EG18/EE18-1</f>
        <v>1.9540516918467032E-2</v>
      </c>
      <c r="EH37" s="441">
        <f t="shared" si="109"/>
        <v>-1.0960749494826061E-2</v>
      </c>
      <c r="EI37" s="441">
        <f t="shared" si="109"/>
        <v>8.7605250123823364E-3</v>
      </c>
      <c r="EJ37" s="443">
        <f t="shared" si="109"/>
        <v>2.7618375425775277E-4</v>
      </c>
      <c r="EK37" s="1895"/>
      <c r="EL37" s="1913">
        <f>EL18/EJ18-1</f>
        <v>-4.617130936311209E-2</v>
      </c>
      <c r="EM37" s="441">
        <f t="shared" si="110"/>
        <v>7.7192756746325308E-2</v>
      </c>
      <c r="EN37" s="441">
        <f t="shared" si="111"/>
        <v>4.1712698934041947E-2</v>
      </c>
      <c r="EO37" s="443">
        <f t="shared" si="111"/>
        <v>4.5861041045625051E-4</v>
      </c>
      <c r="EP37" s="1895"/>
      <c r="EQ37" s="1913">
        <f>EQ18/EO18-1</f>
        <v>-4.2688517075405441E-3</v>
      </c>
      <c r="ER37" s="441">
        <f t="shared" si="112"/>
        <v>0</v>
      </c>
      <c r="ES37" s="441">
        <f t="shared" si="113"/>
        <v>0</v>
      </c>
      <c r="ET37" s="443">
        <f t="shared" si="114"/>
        <v>0</v>
      </c>
      <c r="EU37" s="1895"/>
      <c r="EV37" s="1913">
        <f>EV18/ET18-1</f>
        <v>0</v>
      </c>
      <c r="EW37" s="441">
        <f t="shared" si="115"/>
        <v>0</v>
      </c>
      <c r="EX37" s="441">
        <f t="shared" si="116"/>
        <v>0</v>
      </c>
      <c r="EY37" s="443">
        <f t="shared" si="117"/>
        <v>0</v>
      </c>
      <c r="EZ37" s="1895"/>
      <c r="FA37" s="1895"/>
      <c r="FB37" s="1895"/>
      <c r="FC37" s="1895"/>
      <c r="FD37" s="441"/>
      <c r="FF37" s="441"/>
    </row>
    <row r="38" spans="1:169" ht="11.25" customHeight="1">
      <c r="A38" s="1888" t="str">
        <f>A19</f>
        <v>Russia (RUB/USD)</v>
      </c>
      <c r="B38" s="440"/>
      <c r="C38" s="440"/>
      <c r="D38" s="440"/>
      <c r="E38" s="440"/>
      <c r="F38" s="1895"/>
      <c r="G38" s="440"/>
      <c r="H38" s="440"/>
      <c r="I38" s="440"/>
      <c r="J38" s="440"/>
      <c r="K38" s="1895"/>
      <c r="L38" s="440"/>
      <c r="M38" s="440"/>
      <c r="N38" s="440"/>
      <c r="O38" s="440"/>
      <c r="P38" s="1895"/>
      <c r="Q38" s="440"/>
      <c r="R38" s="440"/>
      <c r="S38" s="440"/>
      <c r="T38" s="440"/>
      <c r="U38" s="1895"/>
      <c r="V38" s="440"/>
      <c r="W38" s="440"/>
      <c r="X38" s="440"/>
      <c r="Y38" s="440"/>
      <c r="Z38" s="1895"/>
      <c r="AA38" s="440"/>
      <c r="AB38" s="440"/>
      <c r="AC38" s="440"/>
      <c r="AD38" s="440"/>
      <c r="AE38" s="1895"/>
      <c r="AF38" s="440"/>
      <c r="AG38" s="440"/>
      <c r="AH38" s="440"/>
      <c r="AI38" s="440"/>
      <c r="AJ38" s="1895"/>
      <c r="AK38" s="440"/>
      <c r="AL38" s="440"/>
      <c r="AM38" s="440"/>
      <c r="AN38" s="440"/>
      <c r="AO38" s="1895"/>
      <c r="AP38" s="440"/>
      <c r="AQ38" s="440"/>
      <c r="AR38" s="440"/>
      <c r="AS38" s="440"/>
      <c r="AT38" s="1895"/>
      <c r="AU38" s="440"/>
      <c r="AV38" s="440"/>
      <c r="AW38" s="440"/>
      <c r="AX38" s="440"/>
      <c r="AY38" s="1895"/>
      <c r="AZ38" s="1913"/>
      <c r="BA38" s="441"/>
      <c r="BB38" s="441"/>
      <c r="BC38" s="443"/>
      <c r="BD38" s="1895"/>
      <c r="BE38" s="1913"/>
      <c r="BF38" s="441"/>
      <c r="BG38" s="441"/>
      <c r="BH38" s="443"/>
      <c r="BI38" s="1895"/>
      <c r="BJ38" s="1913"/>
      <c r="BK38" s="441"/>
      <c r="BL38" s="441"/>
      <c r="BM38" s="443"/>
      <c r="BN38" s="1895"/>
      <c r="BO38" s="1913"/>
      <c r="BP38" s="441"/>
      <c r="BQ38" s="441"/>
      <c r="BR38" s="443"/>
      <c r="BS38" s="1895"/>
      <c r="BT38" s="1913"/>
      <c r="BU38" s="441"/>
      <c r="BV38" s="441"/>
      <c r="BW38" s="443"/>
      <c r="BX38" s="1895"/>
      <c r="BY38" s="1913"/>
      <c r="BZ38" s="441"/>
      <c r="CA38" s="441"/>
      <c r="CB38" s="443"/>
      <c r="CC38" s="1895"/>
      <c r="CD38" s="1913"/>
      <c r="CE38" s="441"/>
      <c r="CF38" s="441"/>
      <c r="CG38" s="443"/>
      <c r="CH38" s="1895"/>
      <c r="CI38" s="1913"/>
      <c r="CJ38" s="441"/>
      <c r="CK38" s="441"/>
      <c r="CL38" s="443"/>
      <c r="CM38" s="1895"/>
      <c r="CN38" s="1913"/>
      <c r="CO38" s="441"/>
      <c r="CP38" s="441"/>
      <c r="CQ38" s="443"/>
      <c r="CR38" s="1895"/>
      <c r="CS38" s="1913">
        <f>CQ19/CS19-1</f>
        <v>-0.12327565124147732</v>
      </c>
      <c r="CT38" s="441">
        <f t="shared" ref="CT38:CV39" si="118">CS19/CT19-1</f>
        <v>0.12537899809914976</v>
      </c>
      <c r="CU38" s="441">
        <f t="shared" si="118"/>
        <v>1.624372034983157E-2</v>
      </c>
      <c r="CV38" s="443">
        <f t="shared" si="118"/>
        <v>2.5401030895885635E-2</v>
      </c>
      <c r="CW38" s="1895"/>
      <c r="CX38" s="1913">
        <f>CV19/CX19-1</f>
        <v>5.7023658622035844E-2</v>
      </c>
      <c r="CY38" s="441">
        <f t="shared" ref="CY38:DA39" si="119">CX19/CY19-1</f>
        <v>6.0768043328843557E-2</v>
      </c>
      <c r="CZ38" s="441">
        <f t="shared" si="119"/>
        <v>-3.9024274287163263E-2</v>
      </c>
      <c r="DA38" s="443">
        <f t="shared" si="119"/>
        <v>1.3512939886146436E-2</v>
      </c>
      <c r="DB38" s="1895"/>
      <c r="DC38" s="1913">
        <f>DA19/DC19-1</f>
        <v>2.4067728706865354E-2</v>
      </c>
      <c r="DD38" s="441">
        <f t="shared" ref="DD38:DF39" si="120">DC19/DD19-1</f>
        <v>-6.8411251163582265E-2</v>
      </c>
      <c r="DE38" s="441">
        <f t="shared" si="120"/>
        <v>-5.2077038119105468E-2</v>
      </c>
      <c r="DF38" s="443">
        <f t="shared" si="120"/>
        <v>-2.8973812247480302E-2</v>
      </c>
      <c r="DG38" s="1895"/>
      <c r="DH38" s="1913">
        <f>DF19/DH19-1</f>
        <v>-1.0835640272886637E-2</v>
      </c>
      <c r="DI38" s="441">
        <f t="shared" ref="DI38:DK39" si="121">DH19/DI19-1</f>
        <v>2.4919428186525261E-2</v>
      </c>
      <c r="DJ38" s="441">
        <f t="shared" si="121"/>
        <v>1.1455501590123651E-2</v>
      </c>
      <c r="DK38" s="443">
        <f t="shared" si="121"/>
        <v>1.4820386230125493E-3</v>
      </c>
      <c r="DL38" s="1895"/>
      <c r="DM38" s="1913">
        <f>DK19/DM19-1</f>
        <v>2.9140906164415448E-3</v>
      </c>
      <c r="DN38" s="441">
        <f t="shared" ref="DN38:DP39" si="122">DM19/DN19-1</f>
        <v>-0.13594164931853669</v>
      </c>
      <c r="DO38" s="441">
        <f t="shared" si="122"/>
        <v>1.7051710436872369E-2</v>
      </c>
      <c r="DP38" s="443">
        <f t="shared" si="122"/>
        <v>-6.06644594249095E-2</v>
      </c>
      <c r="DQ38" s="1895"/>
      <c r="DR38" s="1913">
        <f>DP19/DR19-1</f>
        <v>4.01981642940763E-2</v>
      </c>
      <c r="DS38" s="441">
        <f t="shared" ref="DS38:DU39" si="123">DR19/DS19-1</f>
        <v>5.1879980745583865E-4</v>
      </c>
      <c r="DT38" s="441">
        <f t="shared" si="123"/>
        <v>2.0900884831729138E-2</v>
      </c>
      <c r="DU38" s="443">
        <f t="shared" si="123"/>
        <v>9.3281191515548478E-3</v>
      </c>
      <c r="DV38" s="1895"/>
      <c r="DW38" s="1913">
        <f>DU19/DW19-1</f>
        <v>-0.15531835656400672</v>
      </c>
      <c r="DX38" s="441">
        <f t="shared" ref="DX38:DZ39" si="124">DW19/DX19-1</f>
        <v>0.19652021988600921</v>
      </c>
      <c r="DY38" s="441">
        <f t="shared" si="124"/>
        <v>0.2142759312981446</v>
      </c>
      <c r="DZ38" s="443">
        <f t="shared" si="124"/>
        <v>-3.2046578288525085E-2</v>
      </c>
      <c r="EA38" s="1895"/>
      <c r="EB38" s="1913">
        <f>DZ19/EB19-1</f>
        <v>-0.16466129023437426</v>
      </c>
      <c r="EC38" s="441">
        <f t="shared" ref="EC38:EE39" si="125">EB19/EC19-1</f>
        <v>-8.1396190980947969E-2</v>
      </c>
      <c r="ED38" s="441">
        <f t="shared" si="125"/>
        <v>-0.13711924065594439</v>
      </c>
      <c r="EE38" s="443">
        <f t="shared" si="125"/>
        <v>-1.4325353914539374E-2</v>
      </c>
      <c r="EF38" s="1895"/>
      <c r="EG38" s="1913">
        <f>EE19/EG19-1</f>
        <v>3.8167055722822196E-2</v>
      </c>
      <c r="EH38" s="441">
        <f t="shared" ref="EH38:EJ39" si="126">EG19/EH19-1</f>
        <v>-2.0865998097662097E-2</v>
      </c>
      <c r="EI38" s="441">
        <f t="shared" si="126"/>
        <v>5.3826502005878574E-2</v>
      </c>
      <c r="EJ38" s="443">
        <f t="shared" si="126"/>
        <v>-0.11672747082225943</v>
      </c>
      <c r="EK38" s="1895"/>
      <c r="EL38" s="1913">
        <f>EJ19/EL19-1</f>
        <v>-1.6026225395459504E-2</v>
      </c>
      <c r="EM38" s="441">
        <f t="shared" ref="EM38:EM39" si="127">EL19/EM19-1</f>
        <v>0.2431597977888984</v>
      </c>
      <c r="EN38" s="441">
        <f t="shared" ref="EN38:EO39" si="128">EM19/EN19-1</f>
        <v>1.1428611919034992E-2</v>
      </c>
      <c r="EO38" s="443">
        <f t="shared" si="128"/>
        <v>-8.2206164428865192E-3</v>
      </c>
      <c r="EP38" s="1895"/>
      <c r="EQ38" s="1913">
        <f>EO19/EQ19-1</f>
        <v>1.3954958342187851E-2</v>
      </c>
      <c r="ER38" s="441">
        <f t="shared" ref="ER38:ER39" si="129">EQ19/ER19-1</f>
        <v>0</v>
      </c>
      <c r="ES38" s="441">
        <f t="shared" ref="ES38:ES39" si="130">ER19/ES19-1</f>
        <v>0</v>
      </c>
      <c r="ET38" s="443">
        <f t="shared" ref="ET38:ET39" si="131">ES19/ET19-1</f>
        <v>0</v>
      </c>
      <c r="EU38" s="1895"/>
      <c r="EV38" s="1913">
        <f>ET19/EV19-1</f>
        <v>0</v>
      </c>
      <c r="EW38" s="441">
        <f t="shared" ref="EW38:EW39" si="132">EV19/EW19-1</f>
        <v>0</v>
      </c>
      <c r="EX38" s="441">
        <f t="shared" ref="EX38:EX39" si="133">EW19/EX19-1</f>
        <v>0</v>
      </c>
      <c r="EY38" s="443">
        <f t="shared" ref="EY38:EY39" si="134">EX19/EY19-1</f>
        <v>0</v>
      </c>
      <c r="EZ38" s="1895"/>
      <c r="FA38" s="1895"/>
      <c r="FB38" s="1895"/>
      <c r="FC38" s="1895"/>
      <c r="FD38" s="441"/>
      <c r="FF38" s="441"/>
    </row>
    <row r="39" spans="1:169" ht="11.25" customHeight="1">
      <c r="A39" s="1888" t="str">
        <f>A20</f>
        <v>Turkey (TRY/USD)</v>
      </c>
      <c r="B39" s="440"/>
      <c r="C39" s="440"/>
      <c r="D39" s="440"/>
      <c r="E39" s="440"/>
      <c r="F39" s="1895"/>
      <c r="G39" s="440"/>
      <c r="H39" s="440"/>
      <c r="I39" s="440"/>
      <c r="J39" s="440"/>
      <c r="K39" s="1895"/>
      <c r="L39" s="440"/>
      <c r="M39" s="440"/>
      <c r="N39" s="440"/>
      <c r="O39" s="440"/>
      <c r="P39" s="1895"/>
      <c r="Q39" s="440"/>
      <c r="R39" s="440"/>
      <c r="S39" s="440"/>
      <c r="T39" s="440"/>
      <c r="U39" s="1895"/>
      <c r="V39" s="440"/>
      <c r="W39" s="440"/>
      <c r="X39" s="440"/>
      <c r="Y39" s="440"/>
      <c r="Z39" s="1895"/>
      <c r="AA39" s="440"/>
      <c r="AB39" s="440"/>
      <c r="AC39" s="440"/>
      <c r="AD39" s="440"/>
      <c r="AE39" s="1895"/>
      <c r="AF39" s="440"/>
      <c r="AG39" s="440"/>
      <c r="AH39" s="440"/>
      <c r="AI39" s="440"/>
      <c r="AJ39" s="1895"/>
      <c r="AK39" s="440"/>
      <c r="AL39" s="440"/>
      <c r="AM39" s="440"/>
      <c r="AN39" s="440"/>
      <c r="AO39" s="1895"/>
      <c r="AP39" s="440"/>
      <c r="AQ39" s="440"/>
      <c r="AR39" s="440"/>
      <c r="AS39" s="440"/>
      <c r="AT39" s="1895"/>
      <c r="AU39" s="440"/>
      <c r="AV39" s="440"/>
      <c r="AW39" s="440"/>
      <c r="AX39" s="440"/>
      <c r="AY39" s="1895"/>
      <c r="AZ39" s="1913"/>
      <c r="BA39" s="441"/>
      <c r="BB39" s="441"/>
      <c r="BC39" s="443"/>
      <c r="BD39" s="1895"/>
      <c r="BE39" s="1913"/>
      <c r="BF39" s="441"/>
      <c r="BG39" s="441"/>
      <c r="BH39" s="443"/>
      <c r="BI39" s="1895"/>
      <c r="BJ39" s="1913"/>
      <c r="BK39" s="441"/>
      <c r="BL39" s="441"/>
      <c r="BM39" s="443"/>
      <c r="BN39" s="1895"/>
      <c r="BO39" s="1913"/>
      <c r="BP39" s="441"/>
      <c r="BQ39" s="441"/>
      <c r="BR39" s="443"/>
      <c r="BS39" s="1895"/>
      <c r="BT39" s="1913"/>
      <c r="BU39" s="441"/>
      <c r="BV39" s="441"/>
      <c r="BW39" s="443"/>
      <c r="BX39" s="1895"/>
      <c r="BY39" s="1913"/>
      <c r="BZ39" s="441"/>
      <c r="CA39" s="441"/>
      <c r="CB39" s="443"/>
      <c r="CC39" s="1895"/>
      <c r="CD39" s="1913"/>
      <c r="CE39" s="441"/>
      <c r="CF39" s="441"/>
      <c r="CG39" s="443"/>
      <c r="CH39" s="1895"/>
      <c r="CI39" s="1913"/>
      <c r="CJ39" s="441"/>
      <c r="CK39" s="441"/>
      <c r="CL39" s="443"/>
      <c r="CM39" s="1895"/>
      <c r="CN39" s="1913"/>
      <c r="CO39" s="441"/>
      <c r="CP39" s="441"/>
      <c r="CQ39" s="443"/>
      <c r="CR39" s="1895"/>
      <c r="CS39" s="1913">
        <f>CQ20/CS20-1</f>
        <v>1.8896319178067778E-3</v>
      </c>
      <c r="CT39" s="441">
        <f t="shared" si="118"/>
        <v>3.2176309826913663E-2</v>
      </c>
      <c r="CU39" s="441">
        <f t="shared" si="118"/>
        <v>-2.9713068310593393E-2</v>
      </c>
      <c r="CV39" s="443">
        <f t="shared" si="118"/>
        <v>-7.4175881822187706E-2</v>
      </c>
      <c r="CW39" s="1895"/>
      <c r="CX39" s="1913">
        <f>CV20/CX20-1</f>
        <v>-0.12899570501690572</v>
      </c>
      <c r="CY39" s="441">
        <f t="shared" si="119"/>
        <v>2.1192806950419474E-2</v>
      </c>
      <c r="CZ39" s="441">
        <f t="shared" si="119"/>
        <v>2.125246595316832E-2</v>
      </c>
      <c r="DA39" s="443">
        <f t="shared" si="119"/>
        <v>-6.9349345442934585E-2</v>
      </c>
      <c r="DB39" s="1895"/>
      <c r="DC39" s="1913">
        <f>DA20/DC20-1</f>
        <v>-6.8705517581565401E-3</v>
      </c>
      <c r="DD39" s="441">
        <f t="shared" si="120"/>
        <v>-9.4968949546001769E-2</v>
      </c>
      <c r="DE39" s="441">
        <f t="shared" si="120"/>
        <v>-0.21826566540990266</v>
      </c>
      <c r="DF39" s="443">
        <f t="shared" si="120"/>
        <v>-4.7917124023234448E-2</v>
      </c>
      <c r="DG39" s="1895"/>
      <c r="DH39" s="1913">
        <f>DF20/DH20-1</f>
        <v>6.7323158761319668E-2</v>
      </c>
      <c r="DI39" s="441">
        <f t="shared" si="121"/>
        <v>-9.1212541508641332E-2</v>
      </c>
      <c r="DJ39" s="441">
        <f t="shared" si="121"/>
        <v>9.7101482962207442E-3</v>
      </c>
      <c r="DK39" s="443">
        <f t="shared" si="121"/>
        <v>5.5158229327350039E-3</v>
      </c>
      <c r="DL39" s="1895"/>
      <c r="DM39" s="1913">
        <f>DK20/DM20-1</f>
        <v>-5.8660462353348986E-2</v>
      </c>
      <c r="DN39" s="441">
        <f t="shared" si="122"/>
        <v>-0.10990947767295423</v>
      </c>
      <c r="DO39" s="441">
        <f t="shared" si="122"/>
        <v>-3.5135122368290528E-2</v>
      </c>
      <c r="DP39" s="443">
        <f t="shared" si="122"/>
        <v>-0.11364882913737595</v>
      </c>
      <c r="DQ39" s="1895"/>
      <c r="DR39" s="1913">
        <f>DP20/DR20-1</f>
        <v>7.7063566506728076E-2</v>
      </c>
      <c r="DS39" s="441">
        <f t="shared" si="123"/>
        <v>-0.11435589192643325</v>
      </c>
      <c r="DT39" s="441">
        <f t="shared" si="123"/>
        <v>-1.7304175137561995E-2</v>
      </c>
      <c r="DU39" s="443">
        <f t="shared" si="123"/>
        <v>-0.2032159810868791</v>
      </c>
      <c r="DV39" s="1895"/>
      <c r="DW39" s="1913">
        <f>DU20/DW20-1</f>
        <v>-0.20952100796713269</v>
      </c>
      <c r="DX39" s="441">
        <f t="shared" si="124"/>
        <v>-0.11924102720414542</v>
      </c>
      <c r="DY39" s="441">
        <f t="shared" si="124"/>
        <v>-0.13031664612244354</v>
      </c>
      <c r="DZ39" s="443">
        <f t="shared" si="124"/>
        <v>-5.280913385487862E-2</v>
      </c>
      <c r="EA39" s="1895"/>
      <c r="EB39" s="1913">
        <f>DZ20/EB20-1</f>
        <v>-1.1544338983772051E-2</v>
      </c>
      <c r="EC39" s="441">
        <f t="shared" si="125"/>
        <v>-5.0261138367977631E-2</v>
      </c>
      <c r="ED39" s="441">
        <f t="shared" si="125"/>
        <v>-0.25425895233790374</v>
      </c>
      <c r="EE39" s="443">
        <f t="shared" si="125"/>
        <v>-5.8474720535663494E-2</v>
      </c>
      <c r="EF39" s="1895"/>
      <c r="EG39" s="1913">
        <f>EE20/EG20-1</f>
        <v>-7.1467774299350695E-2</v>
      </c>
      <c r="EH39" s="441">
        <f t="shared" si="126"/>
        <v>-6.1261417218979819E-2</v>
      </c>
      <c r="EI39" s="441">
        <f t="shared" si="126"/>
        <v>-2.9344780921841451E-2</v>
      </c>
      <c r="EJ39" s="443">
        <f t="shared" si="126"/>
        <v>-3.0798566074755618E-2</v>
      </c>
      <c r="EK39" s="1895"/>
      <c r="EL39" s="1913">
        <f>EJ20/EL20-1</f>
        <v>-4.1002900490852423E-2</v>
      </c>
      <c r="EM39" s="441">
        <f t="shared" si="127"/>
        <v>-6.9773877429598286E-2</v>
      </c>
      <c r="EN39" s="441">
        <f t="shared" si="128"/>
        <v>-4.8937176413499706E-2</v>
      </c>
      <c r="EO39" s="443">
        <f t="shared" si="128"/>
        <v>-3.1117645418215489E-2</v>
      </c>
      <c r="EP39" s="1895"/>
      <c r="EQ39" s="1913">
        <f>EO20/EQ20-1</f>
        <v>-2.8866598651781095E-3</v>
      </c>
      <c r="ER39" s="441">
        <f t="shared" si="129"/>
        <v>0</v>
      </c>
      <c r="ES39" s="441">
        <f t="shared" si="130"/>
        <v>0</v>
      </c>
      <c r="ET39" s="443">
        <f t="shared" si="131"/>
        <v>0</v>
      </c>
      <c r="EU39" s="1895"/>
      <c r="EV39" s="1913">
        <f>ET20/EV20-1</f>
        <v>0</v>
      </c>
      <c r="EW39" s="441">
        <f t="shared" si="132"/>
        <v>0</v>
      </c>
      <c r="EX39" s="441">
        <f t="shared" si="133"/>
        <v>0</v>
      </c>
      <c r="EY39" s="443">
        <f t="shared" si="134"/>
        <v>0</v>
      </c>
      <c r="EZ39" s="1895"/>
      <c r="FA39" s="1895"/>
      <c r="FB39" s="1895"/>
      <c r="FC39" s="1895"/>
      <c r="FD39" s="441"/>
      <c r="FF39" s="441"/>
    </row>
    <row r="40" spans="1:169" ht="11.25" customHeight="1">
      <c r="A40" s="1888" t="str">
        <f>A21</f>
        <v>Others (USD/EUR)</v>
      </c>
      <c r="B40" s="440"/>
      <c r="C40" s="440"/>
      <c r="D40" s="440"/>
      <c r="E40" s="440"/>
      <c r="F40" s="1895"/>
      <c r="G40" s="440"/>
      <c r="H40" s="440"/>
      <c r="I40" s="440"/>
      <c r="J40" s="440"/>
      <c r="K40" s="1895"/>
      <c r="L40" s="440"/>
      <c r="M40" s="440"/>
      <c r="N40" s="440"/>
      <c r="O40" s="440"/>
      <c r="P40" s="1895"/>
      <c r="Q40" s="440"/>
      <c r="R40" s="440"/>
      <c r="S40" s="440"/>
      <c r="T40" s="440"/>
      <c r="U40" s="1895"/>
      <c r="V40" s="440"/>
      <c r="W40" s="440"/>
      <c r="X40" s="440"/>
      <c r="Y40" s="440"/>
      <c r="Z40" s="1895"/>
      <c r="AA40" s="440"/>
      <c r="AB40" s="440"/>
      <c r="AC40" s="440"/>
      <c r="AD40" s="440"/>
      <c r="AE40" s="1895"/>
      <c r="AF40" s="440"/>
      <c r="AG40" s="440"/>
      <c r="AH40" s="440"/>
      <c r="AI40" s="440"/>
      <c r="AJ40" s="1895"/>
      <c r="AK40" s="440"/>
      <c r="AL40" s="440"/>
      <c r="AM40" s="440"/>
      <c r="AN40" s="440"/>
      <c r="AO40" s="1895"/>
      <c r="AP40" s="440"/>
      <c r="AQ40" s="440"/>
      <c r="AR40" s="440"/>
      <c r="AS40" s="440"/>
      <c r="AT40" s="1895"/>
      <c r="AU40" s="440"/>
      <c r="AV40" s="440"/>
      <c r="AW40" s="440"/>
      <c r="AX40" s="440"/>
      <c r="AY40" s="1895"/>
      <c r="AZ40" s="1913"/>
      <c r="BA40" s="441"/>
      <c r="BB40" s="441"/>
      <c r="BC40" s="443"/>
      <c r="BD40" s="1895"/>
      <c r="BE40" s="1913"/>
      <c r="BF40" s="441"/>
      <c r="BG40" s="441"/>
      <c r="BH40" s="443"/>
      <c r="BI40" s="1895"/>
      <c r="BJ40" s="1913"/>
      <c r="BK40" s="441"/>
      <c r="BL40" s="441"/>
      <c r="BM40" s="443"/>
      <c r="BN40" s="1895"/>
      <c r="BO40" s="1913"/>
      <c r="BP40" s="441"/>
      <c r="BQ40" s="441"/>
      <c r="BR40" s="443"/>
      <c r="BS40" s="1895"/>
      <c r="BT40" s="1913"/>
      <c r="BU40" s="441"/>
      <c r="BV40" s="441"/>
      <c r="BW40" s="443"/>
      <c r="BX40" s="1895"/>
      <c r="BY40" s="1913"/>
      <c r="BZ40" s="441"/>
      <c r="CA40" s="441"/>
      <c r="CB40" s="443"/>
      <c r="CC40" s="1895"/>
      <c r="CD40" s="1913"/>
      <c r="CE40" s="441"/>
      <c r="CF40" s="441"/>
      <c r="CG40" s="443"/>
      <c r="CH40" s="1895"/>
      <c r="CI40" s="1913"/>
      <c r="CJ40" s="441"/>
      <c r="CK40" s="441"/>
      <c r="CL40" s="443"/>
      <c r="CM40" s="1895"/>
      <c r="CN40" s="1913"/>
      <c r="CO40" s="441"/>
      <c r="CP40" s="441"/>
      <c r="CQ40" s="443"/>
      <c r="CR40" s="1895"/>
      <c r="CS40" s="1913">
        <f>CS21/CQ21-1</f>
        <v>-5.5575913032857027E-3</v>
      </c>
      <c r="CT40" s="441">
        <f>CT21/CS21-1</f>
        <v>4.2897500460603366E-2</v>
      </c>
      <c r="CU40" s="441">
        <f>CU21/CT21-1</f>
        <v>-1.5457998410034479E-2</v>
      </c>
      <c r="CV40" s="443">
        <f>CV21/CU21-1</f>
        <v>-1.893055804773025E-2</v>
      </c>
      <c r="CW40" s="1895"/>
      <c r="CX40" s="1913">
        <f>CX21/CV21-1</f>
        <v>-2.7861606462429522E-2</v>
      </c>
      <c r="CY40" s="441">
        <f>CY21/CX21-1</f>
        <v>2.8221128217992497E-2</v>
      </c>
      <c r="CZ40" s="441">
        <f>CZ21/CY21-1</f>
        <v>7.279436430727948E-2</v>
      </c>
      <c r="DA40" s="443">
        <f>DA21/CZ21-1</f>
        <v>5.2873955312979781E-3</v>
      </c>
      <c r="DB40" s="1895"/>
      <c r="DC40" s="1913">
        <f>DC21/DA21-1</f>
        <v>4.3660219432190894E-2</v>
      </c>
      <c r="DD40" s="441">
        <f>DD21/DC21-1</f>
        <v>-2.202774466240387E-2</v>
      </c>
      <c r="DE40" s="441">
        <f>DE21/DD21-1</f>
        <v>-3.0973819088516152E-2</v>
      </c>
      <c r="DF40" s="443">
        <f>DF21/DE21-1</f>
        <v>-2.1271121022386263E-2</v>
      </c>
      <c r="DG40" s="1895"/>
      <c r="DH40" s="1913">
        <f>DH21/DF21-1</f>
        <v>1.5482137119153805E-3</v>
      </c>
      <c r="DI40" s="441">
        <f>DI21/DH21-1</f>
        <v>-1.9949833751385593E-2</v>
      </c>
      <c r="DJ40" s="441">
        <f>DJ21/DI21-1</f>
        <v>-5.0889827986430047E-3</v>
      </c>
      <c r="DK40" s="443">
        <f>DK21/DJ21-1</f>
        <v>-1.0828273159642299E-2</v>
      </c>
      <c r="DL40" s="1895"/>
      <c r="DM40" s="1913">
        <f>DM21/DK21-1</f>
        <v>7.9530678278751932E-3</v>
      </c>
      <c r="DN40" s="441">
        <f>DN21/DM21-1</f>
        <v>-7.3502940117604609E-3</v>
      </c>
      <c r="DO40" s="441">
        <f>DO21/DN21-1</f>
        <v>5.6245655393356797E-2</v>
      </c>
      <c r="DP40" s="443">
        <f>DP21/DO21-1</f>
        <v>9.9290374270346593E-3</v>
      </c>
      <c r="DQ40" s="1895"/>
      <c r="DR40" s="1913">
        <f>DR21/DP21-1</f>
        <v>3.2072531520045189E-2</v>
      </c>
      <c r="DS40" s="441">
        <f>DS21/DR21-1</f>
        <v>-1.2353474071430504E-2</v>
      </c>
      <c r="DT40" s="441">
        <f>DT21/DS21-1</f>
        <v>-1.2230035856241384E-2</v>
      </c>
      <c r="DU40" s="443">
        <f>DU21/DT21-1</f>
        <v>-2.9856206207614866E-2</v>
      </c>
      <c r="DV40" s="1895"/>
      <c r="DW40" s="1913">
        <f>DW21/DU21-1</f>
        <v>-1.8911706694512032E-2</v>
      </c>
      <c r="DX40" s="441">
        <f>DX21/DW21-1</f>
        <v>-4.3696783349101098E-2</v>
      </c>
      <c r="DY40" s="441">
        <f>DY21/DX21-1</f>
        <v>-4.9094169294503165E-2</v>
      </c>
      <c r="DZ40" s="443">
        <f>DZ21/DY21-1</f>
        <v>-2.1717927043371055E-2</v>
      </c>
      <c r="EA40" s="1895"/>
      <c r="EB40" s="1913">
        <f>EB21/DZ21-1</f>
        <v>6.8261881023596205E-2</v>
      </c>
      <c r="EC40" s="441">
        <f>EC21/EB21-1</f>
        <v>1.2537332005973179E-2</v>
      </c>
      <c r="ED40" s="441">
        <f>ED21/EC21-1</f>
        <v>6.2064091928593079E-3</v>
      </c>
      <c r="EE40" s="443">
        <f>EE21/ED21-1</f>
        <v>-2.1771657149836643E-2</v>
      </c>
      <c r="EF40" s="1895"/>
      <c r="EG40" s="1913">
        <f>EG21/EE21-1</f>
        <v>1.9540516918467032E-2</v>
      </c>
      <c r="EH40" s="441">
        <f>EH21/EG21-1</f>
        <v>-1.0960749494826061E-2</v>
      </c>
      <c r="EI40" s="441">
        <f>EI21/EH21-1</f>
        <v>8.7605250123823364E-3</v>
      </c>
      <c r="EJ40" s="443">
        <f>EJ21/EI21-1</f>
        <v>2.7618375425775277E-4</v>
      </c>
      <c r="EK40" s="1895"/>
      <c r="EL40" s="1913">
        <f>EL21/EJ21-1</f>
        <v>-4.617130936311209E-2</v>
      </c>
      <c r="EM40" s="441">
        <f>EM21/EL21-1</f>
        <v>7.7192756746325308E-2</v>
      </c>
      <c r="EN40" s="441">
        <f>EN21/EM21-1</f>
        <v>4.1712698934041947E-2</v>
      </c>
      <c r="EO40" s="443">
        <f>EO21/EN21-1</f>
        <v>4.5861041045625051E-4</v>
      </c>
      <c r="EP40" s="1895"/>
      <c r="EQ40" s="1913">
        <f>EQ21/EO21-1</f>
        <v>-4.2688517075405441E-3</v>
      </c>
      <c r="ER40" s="441">
        <f>ER21/EQ21-1</f>
        <v>0</v>
      </c>
      <c r="ES40" s="441">
        <f>ES21/ER21-1</f>
        <v>0</v>
      </c>
      <c r="ET40" s="443">
        <f>ET21/ES21-1</f>
        <v>0</v>
      </c>
      <c r="EU40" s="1895"/>
      <c r="EV40" s="1913">
        <f>EV21/ET21-1</f>
        <v>0</v>
      </c>
      <c r="EW40" s="441">
        <f>EW21/EV21-1</f>
        <v>0</v>
      </c>
      <c r="EX40" s="441">
        <f>EX21/EW21-1</f>
        <v>0</v>
      </c>
      <c r="EY40" s="443">
        <f>EY21/EX21-1</f>
        <v>0</v>
      </c>
      <c r="EZ40" s="1895"/>
      <c r="FA40" s="1895"/>
      <c r="FB40" s="1895"/>
      <c r="FC40" s="1895"/>
      <c r="FD40" s="441"/>
      <c r="FF40" s="441"/>
    </row>
    <row r="41" spans="1:169" ht="11.25" customHeight="1">
      <c r="A41" s="2150"/>
      <c r="B41" s="2117"/>
      <c r="C41" s="2117"/>
      <c r="D41" s="2117"/>
      <c r="E41" s="2117"/>
      <c r="F41" s="2151"/>
      <c r="G41" s="2117"/>
      <c r="H41" s="2117"/>
      <c r="I41" s="2117"/>
      <c r="J41" s="2117"/>
      <c r="K41" s="2151"/>
      <c r="L41" s="2117"/>
      <c r="M41" s="2117"/>
      <c r="N41" s="2117"/>
      <c r="O41" s="2117"/>
      <c r="P41" s="2151"/>
      <c r="Q41" s="2117"/>
      <c r="R41" s="2117"/>
      <c r="S41" s="2117"/>
      <c r="T41" s="2117"/>
      <c r="U41" s="2151"/>
      <c r="V41" s="2117"/>
      <c r="W41" s="2117"/>
      <c r="X41" s="2117"/>
      <c r="Y41" s="2117"/>
      <c r="Z41" s="2151"/>
      <c r="AA41" s="2117"/>
      <c r="AB41" s="2117"/>
      <c r="AC41" s="2117"/>
      <c r="AD41" s="2117"/>
      <c r="AE41" s="2151"/>
      <c r="AF41" s="2117"/>
      <c r="AG41" s="2117"/>
      <c r="AH41" s="2117"/>
      <c r="AI41" s="2117"/>
      <c r="AJ41" s="2151"/>
      <c r="AK41" s="2117"/>
      <c r="AL41" s="2117"/>
      <c r="AM41" s="2117"/>
      <c r="AN41" s="2117"/>
      <c r="AO41" s="2151"/>
      <c r="AP41" s="2117"/>
      <c r="AQ41" s="2117"/>
      <c r="AR41" s="2117"/>
      <c r="AS41" s="2117"/>
      <c r="AT41" s="2151"/>
      <c r="AU41" s="2117"/>
      <c r="AV41" s="2117"/>
      <c r="AW41" s="2117"/>
      <c r="AX41" s="2117"/>
      <c r="AY41" s="2151"/>
      <c r="AZ41" s="1921"/>
      <c r="BA41" s="2118"/>
      <c r="BB41" s="2118"/>
      <c r="BC41" s="2118"/>
      <c r="BD41" s="2151"/>
      <c r="BE41" s="1921"/>
      <c r="BF41" s="2118"/>
      <c r="BG41" s="2118"/>
      <c r="BH41" s="2118"/>
      <c r="BI41" s="2151"/>
      <c r="BJ41" s="1921"/>
      <c r="BK41" s="2118"/>
      <c r="BL41" s="2118"/>
      <c r="BM41" s="1920"/>
      <c r="BN41" s="2151"/>
      <c r="BO41" s="1921"/>
      <c r="BP41" s="2118"/>
      <c r="BQ41" s="2118"/>
      <c r="BR41" s="2118"/>
      <c r="BS41" s="2151"/>
      <c r="BT41" s="1921"/>
      <c r="BU41" s="2118"/>
      <c r="BV41" s="2118"/>
      <c r="BW41" s="1920"/>
      <c r="BX41" s="2151"/>
      <c r="BY41" s="1921"/>
      <c r="BZ41" s="2118"/>
      <c r="CA41" s="2118"/>
      <c r="CB41" s="1920"/>
      <c r="CC41" s="2151"/>
      <c r="CD41" s="1921"/>
      <c r="CE41" s="2118"/>
      <c r="CF41" s="2118"/>
      <c r="CG41" s="1920"/>
      <c r="CH41" s="2151"/>
      <c r="CI41" s="1921"/>
      <c r="CJ41" s="2118"/>
      <c r="CK41" s="2118"/>
      <c r="CL41" s="1920"/>
      <c r="CM41" s="2151"/>
      <c r="CN41" s="1921"/>
      <c r="CO41" s="2118"/>
      <c r="CP41" s="2118"/>
      <c r="CQ41" s="1920"/>
      <c r="CR41" s="2151"/>
      <c r="CS41" s="1921"/>
      <c r="CT41" s="2118"/>
      <c r="CU41" s="2118"/>
      <c r="CV41" s="1920"/>
      <c r="CW41" s="2151"/>
      <c r="CX41" s="1921"/>
      <c r="CY41" s="2118"/>
      <c r="CZ41" s="2118"/>
      <c r="DA41" s="1920"/>
      <c r="DB41" s="2151"/>
      <c r="DC41" s="1921"/>
      <c r="DD41" s="2118"/>
      <c r="DE41" s="2118"/>
      <c r="DF41" s="1920"/>
      <c r="DG41" s="2151"/>
      <c r="DH41" s="1921"/>
      <c r="DI41" s="2118"/>
      <c r="DJ41" s="2118"/>
      <c r="DK41" s="1920"/>
      <c r="DL41" s="2151"/>
      <c r="DM41" s="1921"/>
      <c r="DN41" s="2118"/>
      <c r="DO41" s="2118"/>
      <c r="DP41" s="1920"/>
      <c r="DQ41" s="2151"/>
      <c r="DR41" s="1921"/>
      <c r="DS41" s="2118"/>
      <c r="DT41" s="2118"/>
      <c r="DU41" s="1920"/>
      <c r="DV41" s="2151"/>
      <c r="DW41" s="1921"/>
      <c r="DX41" s="2118"/>
      <c r="DY41" s="2118"/>
      <c r="DZ41" s="1920"/>
      <c r="EA41" s="2151"/>
      <c r="EB41" s="1921"/>
      <c r="EC41" s="2118"/>
      <c r="ED41" s="2118"/>
      <c r="EE41" s="1920"/>
      <c r="EF41" s="2151"/>
      <c r="EG41" s="1921"/>
      <c r="EH41" s="2118"/>
      <c r="EI41" s="2118"/>
      <c r="EJ41" s="1920"/>
      <c r="EK41" s="2151"/>
      <c r="EL41" s="1921"/>
      <c r="EM41" s="2118"/>
      <c r="EN41" s="2118"/>
      <c r="EO41" s="1920"/>
      <c r="EP41" s="2151"/>
      <c r="EQ41" s="1921"/>
      <c r="ER41" s="2118"/>
      <c r="ES41" s="2118"/>
      <c r="ET41" s="1920"/>
      <c r="EU41" s="2151"/>
      <c r="EV41" s="1921"/>
      <c r="EW41" s="2118"/>
      <c r="EX41" s="2118"/>
      <c r="EY41" s="1920"/>
      <c r="EZ41" s="2151"/>
      <c r="FA41" s="2151"/>
      <c r="FB41" s="2151"/>
      <c r="FC41" s="2151"/>
      <c r="FD41" s="441"/>
      <c r="FF41" s="441"/>
      <c r="FH41" s="3593"/>
    </row>
    <row r="42" spans="1:169" s="476" customFormat="1" ht="11.25" customHeight="1">
      <c r="A42" s="3202" t="s">
        <v>609</v>
      </c>
      <c r="B42" s="3203"/>
      <c r="C42" s="3203"/>
      <c r="D42" s="3203"/>
      <c r="E42" s="3203"/>
      <c r="F42" s="3204"/>
      <c r="G42" s="3203"/>
      <c r="H42" s="3203"/>
      <c r="I42" s="3203"/>
      <c r="J42" s="3203"/>
      <c r="K42" s="3204"/>
      <c r="L42" s="3203"/>
      <c r="M42" s="3203"/>
      <c r="N42" s="3203"/>
      <c r="O42" s="3203"/>
      <c r="P42" s="3204"/>
      <c r="Q42" s="3203"/>
      <c r="R42" s="3203"/>
      <c r="S42" s="3203"/>
      <c r="T42" s="3203"/>
      <c r="U42" s="3204"/>
      <c r="V42" s="3203"/>
      <c r="W42" s="3203"/>
      <c r="X42" s="3203"/>
      <c r="Y42" s="3203"/>
      <c r="Z42" s="3204"/>
      <c r="AA42" s="3203"/>
      <c r="AB42" s="3203"/>
      <c r="AC42" s="3203"/>
      <c r="AD42" s="3203"/>
      <c r="AE42" s="3204"/>
      <c r="AF42" s="3203"/>
      <c r="AG42" s="3203"/>
      <c r="AH42" s="3203"/>
      <c r="AI42" s="3203"/>
      <c r="AJ42" s="3204"/>
      <c r="AK42" s="3203"/>
      <c r="AL42" s="3203"/>
      <c r="AM42" s="3203"/>
      <c r="AN42" s="3203"/>
      <c r="AO42" s="3204"/>
      <c r="AP42" s="3203"/>
      <c r="AQ42" s="3203"/>
      <c r="AR42" s="3203"/>
      <c r="AS42" s="3203"/>
      <c r="AT42" s="3204"/>
      <c r="AU42" s="3203"/>
      <c r="AV42" s="3203"/>
      <c r="AW42" s="3203"/>
      <c r="AX42" s="3203"/>
      <c r="AY42" s="3204"/>
      <c r="AZ42" s="3205"/>
      <c r="BA42" s="3206"/>
      <c r="BB42" s="3206"/>
      <c r="BC42" s="3206"/>
      <c r="BD42" s="3204"/>
      <c r="BE42" s="3205"/>
      <c r="BF42" s="3206"/>
      <c r="BG42" s="3206"/>
      <c r="BH42" s="3206"/>
      <c r="BI42" s="3204"/>
      <c r="BJ42" s="3205"/>
      <c r="BK42" s="3206"/>
      <c r="BL42" s="3206"/>
      <c r="BM42" s="3207"/>
      <c r="BN42" s="3204"/>
      <c r="BO42" s="3205"/>
      <c r="BP42" s="3206"/>
      <c r="BQ42" s="3206"/>
      <c r="BR42" s="3206"/>
      <c r="BS42" s="3204"/>
      <c r="BT42" s="3205"/>
      <c r="BU42" s="3206"/>
      <c r="BV42" s="3206"/>
      <c r="BW42" s="3207"/>
      <c r="BX42" s="3204"/>
      <c r="BY42" s="3205"/>
      <c r="BZ42" s="3206"/>
      <c r="CA42" s="3206"/>
      <c r="CB42" s="3207"/>
      <c r="CC42" s="3204"/>
      <c r="CD42" s="3205"/>
      <c r="CE42" s="3206"/>
      <c r="CF42" s="3206"/>
      <c r="CG42" s="3207"/>
      <c r="CH42" s="3204"/>
      <c r="CI42" s="3205"/>
      <c r="CJ42" s="3206"/>
      <c r="CK42" s="3206"/>
      <c r="CL42" s="3207"/>
      <c r="CM42" s="3204"/>
      <c r="CN42" s="3205"/>
      <c r="CO42" s="3206"/>
      <c r="CP42" s="3206"/>
      <c r="CQ42" s="3207"/>
      <c r="CR42" s="3204"/>
      <c r="CS42" s="3205">
        <f>SUMPRODUCT(CS9:CS13,CS36:CS40)</f>
        <v>-2.5954927470924597E-2</v>
      </c>
      <c r="CT42" s="3206">
        <f>SUMPRODUCT(CT9:CT13,CT36:CT40)</f>
        <v>3.8725739410611935E-2</v>
      </c>
      <c r="CU42" s="3206">
        <f>SUMPRODUCT(CU9:CU13,CU36:CU40)</f>
        <v>-3.4760006402723205E-2</v>
      </c>
      <c r="CV42" s="3207">
        <f>SUMPRODUCT(CV9:CV13,CV36:CV40)</f>
        <v>-2.6525583579980791E-2</v>
      </c>
      <c r="CW42" s="3204"/>
      <c r="CX42" s="3205">
        <f>SUMPRODUCT(CX9:CX13,CX36:CX40)</f>
        <v>-2.1076781278099223E-2</v>
      </c>
      <c r="CY42" s="3206">
        <f>SUMPRODUCT(CY9:CY13,CY36:CY40)</f>
        <v>2.9950740650339945E-2</v>
      </c>
      <c r="CZ42" s="3206">
        <f>SUMPRODUCT(CZ9:CZ13,CZ36:CZ40)</f>
        <v>5.0421649344281748E-2</v>
      </c>
      <c r="DA42" s="3207">
        <f>SUMPRODUCT(DA9:DA13,DA36:DA40)</f>
        <v>7.0812435411686586E-3</v>
      </c>
      <c r="DB42" s="3204"/>
      <c r="DC42" s="3205">
        <f>SUMPRODUCT(DC9:DC13,DC36:DC40)</f>
        <v>3.5576665134724544E-2</v>
      </c>
      <c r="DD42" s="3206">
        <f>SUMPRODUCT(DD9:DD13,DD36:DD40)</f>
        <v>-2.7177791892146932E-2</v>
      </c>
      <c r="DE42" s="3206">
        <f>SUMPRODUCT(DE9:DE13,DE36:DE40)</f>
        <v>-3.951049516651773E-2</v>
      </c>
      <c r="DF42" s="3207">
        <f>SUMPRODUCT(DF9:DF13,DF36:DF40)</f>
        <v>-2.1496087749588805E-2</v>
      </c>
      <c r="DG42" s="3204"/>
      <c r="DH42" s="3205">
        <f>SUMPRODUCT(DH9:DH13,DH36:DH40)</f>
        <v>5.585759030776836E-3</v>
      </c>
      <c r="DI42" s="3206">
        <f>SUMPRODUCT(DI9:DI13,DI36:DI40)</f>
        <v>-1.8506568818708491E-2</v>
      </c>
      <c r="DJ42" s="3206">
        <f>SUMPRODUCT(DJ9:DJ13,DJ36:DJ40)</f>
        <v>-1.2922335803142839E-2</v>
      </c>
      <c r="DK42" s="3207">
        <f>SUMPRODUCT(DK9:DK13,DK36:DK40)</f>
        <v>-1.0668802294920439E-3</v>
      </c>
      <c r="DL42" s="3204"/>
      <c r="DM42" s="3205">
        <f>SUMPRODUCT(DM9:DM13,DM36:DM40)</f>
        <v>1.1285700761873135E-2</v>
      </c>
      <c r="DN42" s="4744">
        <f>SUMPRODUCT(DN9:DN13,DN36:DN40)</f>
        <v>-2.1158561546194821E-2</v>
      </c>
      <c r="DO42" s="3206">
        <f>SUMPRODUCT(DO9:DO13,DO36:DO40)</f>
        <v>5.0087913417070092E-2</v>
      </c>
      <c r="DP42" s="3207">
        <f>SUMPRODUCT(DP9:DP13,DP36:DP40)</f>
        <v>5.7523069566725983E-3</v>
      </c>
      <c r="DQ42" s="3204"/>
      <c r="DR42" s="3205">
        <f>SUMPRODUCT(DR9:DR13,DR36:DR40)</f>
        <v>3.7985516769632383E-2</v>
      </c>
      <c r="DS42" s="3206">
        <f>SUMPRODUCT(DS9:DS13,DS36:DS40)</f>
        <v>-8.723630851360218E-3</v>
      </c>
      <c r="DT42" s="3206">
        <f>SUMPRODUCT(DT9:DT13,DT36:DT40)</f>
        <v>-1.0698645306232192E-2</v>
      </c>
      <c r="DU42" s="3207">
        <f>SUMPRODUCT(DU9:DU13,DU36:DU40)</f>
        <v>-2.9725821497865498E-2</v>
      </c>
      <c r="DV42" s="3204"/>
      <c r="DW42" s="3205">
        <f>SUMPRODUCT(DW9:DW13,DW36:DW40)</f>
        <v>-1.968989313592652E-2</v>
      </c>
      <c r="DX42" s="3206">
        <f>SUMPRODUCT(DX9:DX13,DX36:DX40)</f>
        <v>-4.8459502208120432E-2</v>
      </c>
      <c r="DY42" s="3206">
        <f>SUMPRODUCT(DY9:DY13,DY36:DY40)</f>
        <v>-5.4995919009242403E-2</v>
      </c>
      <c r="DZ42" s="3207">
        <f>SUMPRODUCT(DZ9:DZ13,DZ36:DZ40)</f>
        <v>-2.5975463675650002E-2</v>
      </c>
      <c r="EA42" s="3204"/>
      <c r="EB42" s="3205">
        <f>SUMPRODUCT(EB9:EB13,EB36:EB40)</f>
        <v>6.2604709648417634E-2</v>
      </c>
      <c r="EC42" s="3206">
        <f>SUMPRODUCT(EC9:EC13,EC36:EC40)</f>
        <v>1.219581864431437E-2</v>
      </c>
      <c r="ED42" s="3206">
        <f>SUMPRODUCT(ED9:ED13,ED36:ED40)</f>
        <v>-5.1758193091841955E-3</v>
      </c>
      <c r="EE42" s="3207">
        <f>SUMPRODUCT(EE9:EE13,EE36:EE40)</f>
        <v>-2.66110606583564E-2</v>
      </c>
      <c r="EF42" s="3204"/>
      <c r="EG42" s="3205">
        <f>SUMPRODUCT(EG9:EG13,EG36:EG40)</f>
        <v>1.6135497761413969E-2</v>
      </c>
      <c r="EH42" s="3206">
        <f>SUMPRODUCT(EH9:EH13,EH36:EH40)</f>
        <v>-1.2648804124781015E-2</v>
      </c>
      <c r="EI42" s="3206">
        <f>SUMPRODUCT(EI9:EI13,EI36:EI40)</f>
        <v>9.0274363632093565E-3</v>
      </c>
      <c r="EJ42" s="3207">
        <f>SUMPRODUCT(EJ9:EJ13,EJ36:EJ40)</f>
        <v>5.2086688781915135E-4</v>
      </c>
      <c r="EK42" s="3204"/>
      <c r="EL42" s="3205">
        <f>SUMPRODUCT(EL9:EL13,EL36:EL40)</f>
        <v>-4.4281537227709507E-2</v>
      </c>
      <c r="EM42" s="3206">
        <f>SUMPRODUCT(EM9:EM13,EM36:EM40)</f>
        <v>6.440878413646095E-2</v>
      </c>
      <c r="EN42" s="3206">
        <f>SUMPRODUCT(EN9:EN13,EN36:EN40)</f>
        <v>3.1180426474325874E-2</v>
      </c>
      <c r="EO42" s="3207">
        <f>SUMPRODUCT(EO9:EO13,EO36:EO40)</f>
        <v>-5.2630912103768758E-3</v>
      </c>
      <c r="EP42" s="3204"/>
      <c r="EQ42" s="3205">
        <f>SUMPRODUCT(EQ9:EQ13,EQ36:EQ40)</f>
        <v>-4.8514813076822663E-3</v>
      </c>
      <c r="ER42" s="3206">
        <f>SUMPRODUCT(ER9:ER13,ER36:ER40)</f>
        <v>0</v>
      </c>
      <c r="ES42" s="3206">
        <f>SUMPRODUCT(ES9:ES13,ES36:ES40)</f>
        <v>0</v>
      </c>
      <c r="ET42" s="3207">
        <f>SUMPRODUCT(ET9:ET13,ET36:ET40)</f>
        <v>0</v>
      </c>
      <c r="EU42" s="3204"/>
      <c r="EV42" s="3205">
        <f>SUMPRODUCT(EV9:EV13,EV36:EV40)</f>
        <v>0</v>
      </c>
      <c r="EW42" s="3206">
        <f>SUMPRODUCT(EW9:EW13,EW36:EW40)</f>
        <v>0</v>
      </c>
      <c r="EX42" s="3206">
        <f>SUMPRODUCT(EX9:EX13,EX36:EX40)</f>
        <v>0</v>
      </c>
      <c r="EY42" s="3207">
        <f>SUMPRODUCT(EY9:EY13,EY36:EY40)</f>
        <v>0</v>
      </c>
      <c r="EZ42" s="3204"/>
      <c r="FA42" s="3204"/>
      <c r="FB42" s="3204"/>
      <c r="FC42" s="3204"/>
      <c r="FD42"/>
      <c r="FF42"/>
      <c r="FH42" s="2618"/>
    </row>
    <row r="43" spans="1:169" ht="11.25" customHeight="1">
      <c r="A43" s="2120" t="s">
        <v>352</v>
      </c>
      <c r="B43" s="421"/>
      <c r="C43" s="421"/>
      <c r="D43" s="421"/>
      <c r="E43" s="421"/>
      <c r="F43" s="2143"/>
      <c r="G43" s="421"/>
      <c r="H43" s="421"/>
      <c r="I43" s="421"/>
      <c r="J43" s="421"/>
      <c r="K43" s="2143"/>
      <c r="L43" s="421"/>
      <c r="M43" s="421"/>
      <c r="N43" s="421"/>
      <c r="O43" s="421"/>
      <c r="P43" s="2143"/>
      <c r="Q43" s="421"/>
      <c r="R43" s="421"/>
      <c r="S43" s="421"/>
      <c r="T43" s="421"/>
      <c r="U43" s="2143"/>
      <c r="V43" s="421"/>
      <c r="W43" s="421"/>
      <c r="X43" s="421"/>
      <c r="Y43" s="421"/>
      <c r="Z43" s="2143"/>
      <c r="AA43" s="421"/>
      <c r="AB43" s="421"/>
      <c r="AC43" s="421"/>
      <c r="AD43" s="421"/>
      <c r="AE43" s="2143"/>
      <c r="AF43" s="421"/>
      <c r="AG43" s="421"/>
      <c r="AH43" s="421"/>
      <c r="AI43" s="421"/>
      <c r="AJ43" s="2143"/>
      <c r="AK43" s="421"/>
      <c r="AL43" s="421"/>
      <c r="AM43" s="421"/>
      <c r="AN43" s="421"/>
      <c r="AO43" s="2143"/>
      <c r="AP43" s="421"/>
      <c r="AQ43" s="421"/>
      <c r="AR43" s="421"/>
      <c r="AS43" s="421"/>
      <c r="AT43" s="2143"/>
      <c r="AU43" s="421"/>
      <c r="AV43" s="421"/>
      <c r="AW43" s="421"/>
      <c r="AX43" s="421"/>
      <c r="AY43" s="2143"/>
      <c r="AZ43" s="2144"/>
      <c r="BA43" s="450"/>
      <c r="BB43" s="450"/>
      <c r="BC43" s="450"/>
      <c r="BD43" s="2143"/>
      <c r="BE43" s="2144"/>
      <c r="BF43" s="450"/>
      <c r="BG43" s="450"/>
      <c r="BH43" s="450"/>
      <c r="BI43" s="2143"/>
      <c r="BJ43" s="2144"/>
      <c r="BK43" s="450"/>
      <c r="BL43" s="450"/>
      <c r="BM43" s="450"/>
      <c r="BN43" s="2143"/>
      <c r="BO43" s="2144"/>
      <c r="BP43" s="452"/>
      <c r="BQ43" s="452"/>
      <c r="BR43" s="452"/>
      <c r="BS43" s="2143"/>
      <c r="BT43" s="2144"/>
      <c r="BU43" s="450"/>
      <c r="BV43" s="450"/>
      <c r="BW43" s="1175"/>
      <c r="BX43" s="2143"/>
      <c r="BY43" s="2144"/>
      <c r="BZ43" s="450"/>
      <c r="CA43" s="450"/>
      <c r="CB43" s="1175"/>
      <c r="CC43" s="2143"/>
      <c r="CD43" s="2144"/>
      <c r="CE43" s="450"/>
      <c r="CF43" s="450"/>
      <c r="CG43" s="1175"/>
      <c r="CH43" s="2143"/>
      <c r="CI43" s="450"/>
      <c r="CJ43" s="450"/>
      <c r="CK43" s="450"/>
      <c r="CL43" s="1175"/>
      <c r="CM43" s="2143"/>
      <c r="CN43" s="450"/>
      <c r="CO43" s="450"/>
      <c r="CP43" s="450"/>
      <c r="CQ43" s="1175"/>
      <c r="CR43" s="2143"/>
      <c r="CS43" s="450"/>
      <c r="CT43" s="450"/>
      <c r="CU43" s="450"/>
      <c r="CV43" s="450"/>
      <c r="CW43" s="2143"/>
      <c r="CX43" s="450">
        <f>+CX44/CX42</f>
        <v>1.0354952795499395</v>
      </c>
      <c r="CY43" s="450">
        <f>+CY44/CY42</f>
        <v>0.94282824453064185</v>
      </c>
      <c r="CZ43" s="2627">
        <f>+CZ44/CZ42</f>
        <v>0.92605155774141124</v>
      </c>
      <c r="DA43" s="2627">
        <f>+DA44/DA42</f>
        <v>0.51352048764072444</v>
      </c>
      <c r="DB43" s="2143"/>
      <c r="DC43" s="2627">
        <f t="shared" ref="DC43:DM43" si="135">+DC44/DC42</f>
        <v>0.87846947582570922</v>
      </c>
      <c r="DD43" s="2627">
        <f t="shared" si="135"/>
        <v>0.42423358855426041</v>
      </c>
      <c r="DE43" s="2627">
        <f t="shared" si="135"/>
        <v>0.89088820149184467</v>
      </c>
      <c r="DF43" s="2627">
        <f t="shared" si="135"/>
        <v>0.6551598474849426</v>
      </c>
      <c r="DG43" s="2143"/>
      <c r="DH43" s="2627">
        <f t="shared" si="135"/>
        <v>-0.61163887556056185</v>
      </c>
      <c r="DI43" s="2627">
        <f t="shared" si="135"/>
        <v>0.66747169687498076</v>
      </c>
      <c r="DJ43" s="2627">
        <f t="shared" si="135"/>
        <v>0.5017476086356939</v>
      </c>
      <c r="DK43" s="2627">
        <f t="shared" si="135"/>
        <v>3.6422338895658557</v>
      </c>
      <c r="DL43" s="2143"/>
      <c r="DM43" s="2627">
        <f t="shared" si="135"/>
        <v>0.4367301807501936</v>
      </c>
      <c r="DN43" s="2627">
        <f>+DN44/DN42</f>
        <v>1.1405595993965145</v>
      </c>
      <c r="DO43" s="2627">
        <f>+DO44/DO42</f>
        <v>0.90688207032464763</v>
      </c>
      <c r="DP43" s="2627">
        <f>+DP44/DP42</f>
        <v>0.92259520154803731</v>
      </c>
      <c r="DQ43" s="2143"/>
      <c r="DR43" s="2627">
        <f>+DR44/DR42</f>
        <v>0.87853909227115945</v>
      </c>
      <c r="DS43" s="2627">
        <f>+DS44/DS42</f>
        <v>0.47257017842311133</v>
      </c>
      <c r="DT43" s="2627">
        <f>+DT44/DT42</f>
        <v>0.85893418185114556</v>
      </c>
      <c r="DU43" s="2627">
        <f>+DU44/DU42</f>
        <v>0.72365649900316065</v>
      </c>
      <c r="DV43" s="2143"/>
      <c r="DW43" s="2627">
        <f>+DW44/DW42</f>
        <v>1.2650557065064494</v>
      </c>
      <c r="DX43" s="2627">
        <f>+DX44/DX42</f>
        <v>0.61525146681725018</v>
      </c>
      <c r="DY43" s="2627">
        <f>+DY44/DY42</f>
        <v>0.83826274289330871</v>
      </c>
      <c r="DZ43" s="2627">
        <f>+DZ44/DZ42</f>
        <v>0.99940757627499577</v>
      </c>
      <c r="EA43" s="2143"/>
      <c r="EB43" s="2627">
        <f>+EB44/EB42</f>
        <v>0.80391526587242557</v>
      </c>
      <c r="EC43" s="2627">
        <f>+EC44/EC42</f>
        <v>1.024289625619633</v>
      </c>
      <c r="ED43" s="2627">
        <f>+ED44/ED42</f>
        <v>-0.39299057339370219</v>
      </c>
      <c r="EE43" s="2627">
        <f>+EE44/EE42</f>
        <v>0.74809179982003637</v>
      </c>
      <c r="EF43" s="2143"/>
      <c r="EG43" s="2627">
        <f>+EG44/EG42</f>
        <v>0.95232441365041365</v>
      </c>
      <c r="EH43" s="2627">
        <f>+EH44/EH42</f>
        <v>0.79271304370674456</v>
      </c>
      <c r="EI43" s="2627">
        <f>+EI44/EI42</f>
        <v>1.0004888197365167</v>
      </c>
      <c r="EJ43" s="2627">
        <f>+EJ44/EJ42</f>
        <v>-2.4491689318789538</v>
      </c>
      <c r="EK43" s="2143"/>
      <c r="EL43" s="2627">
        <f>+EL44/EL42</f>
        <v>0.5366321887808283</v>
      </c>
      <c r="EM43" s="2627">
        <f>+EM44/EM42</f>
        <v>0.73050560879848192</v>
      </c>
      <c r="EN43" s="453">
        <v>1</v>
      </c>
      <c r="EO43" s="453">
        <f>+EN43</f>
        <v>1</v>
      </c>
      <c r="EP43" s="2143"/>
      <c r="EQ43" s="453">
        <f>EO43</f>
        <v>1</v>
      </c>
      <c r="ER43" s="453">
        <f>EQ43</f>
        <v>1</v>
      </c>
      <c r="ES43" s="453">
        <f>+ER43</f>
        <v>1</v>
      </c>
      <c r="ET43" s="453">
        <f>+ES43</f>
        <v>1</v>
      </c>
      <c r="EU43" s="2143"/>
      <c r="EV43" s="453">
        <f>ET43</f>
        <v>1</v>
      </c>
      <c r="EW43" s="453">
        <f>EV43</f>
        <v>1</v>
      </c>
      <c r="EX43" s="453">
        <f>+EW43</f>
        <v>1</v>
      </c>
      <c r="EY43" s="453">
        <f>+EX43</f>
        <v>1</v>
      </c>
      <c r="EZ43" s="2143"/>
      <c r="FA43" s="2143"/>
      <c r="FB43" s="2143"/>
      <c r="FC43" s="2143"/>
      <c r="FD43" s="453"/>
      <c r="FF43" s="453"/>
    </row>
    <row r="44" spans="1:169" ht="11.25" customHeight="1">
      <c r="A44" s="2145" t="s">
        <v>367</v>
      </c>
      <c r="B44" s="1205"/>
      <c r="C44" s="1205"/>
      <c r="D44" s="1205"/>
      <c r="E44" s="1205"/>
      <c r="F44" s="2146"/>
      <c r="G44" s="1205"/>
      <c r="H44" s="1205"/>
      <c r="I44" s="1205"/>
      <c r="J44" s="1205"/>
      <c r="K44" s="2146"/>
      <c r="L44" s="1205"/>
      <c r="M44" s="1205"/>
      <c r="N44" s="1205"/>
      <c r="O44" s="1205"/>
      <c r="P44" s="2146"/>
      <c r="Q44" s="1205"/>
      <c r="R44" s="1205"/>
      <c r="S44" s="1205"/>
      <c r="T44" s="1205"/>
      <c r="U44" s="2146"/>
      <c r="V44" s="1205"/>
      <c r="W44" s="1205"/>
      <c r="X44" s="1205"/>
      <c r="Y44" s="1205"/>
      <c r="Z44" s="2146"/>
      <c r="AA44" s="1205"/>
      <c r="AB44" s="1205"/>
      <c r="AC44" s="1205"/>
      <c r="AD44" s="1205"/>
      <c r="AE44" s="2146"/>
      <c r="AF44" s="1205"/>
      <c r="AG44" s="1205"/>
      <c r="AH44" s="1205"/>
      <c r="AI44" s="1205"/>
      <c r="AJ44" s="2146"/>
      <c r="AK44" s="1205"/>
      <c r="AL44" s="1205"/>
      <c r="AM44" s="1205"/>
      <c r="AN44" s="1205"/>
      <c r="AO44" s="2146"/>
      <c r="AP44" s="1205"/>
      <c r="AQ44" s="1205"/>
      <c r="AR44" s="1205"/>
      <c r="AS44" s="1205"/>
      <c r="AT44" s="2146"/>
      <c r="AU44" s="1205"/>
      <c r="AV44" s="1205"/>
      <c r="AW44" s="1205"/>
      <c r="AX44" s="1205"/>
      <c r="AY44" s="2146"/>
      <c r="AZ44" s="1205"/>
      <c r="BA44" s="1205"/>
      <c r="BB44" s="1205"/>
      <c r="BC44" s="1205"/>
      <c r="BD44" s="2146"/>
      <c r="BE44" s="1205"/>
      <c r="BF44" s="1205"/>
      <c r="BG44" s="1205"/>
      <c r="BH44" s="1205"/>
      <c r="BI44" s="2146"/>
      <c r="BJ44" s="1205"/>
      <c r="BK44" s="1205"/>
      <c r="BL44" s="1205"/>
      <c r="BM44" s="1205"/>
      <c r="BN44" s="2146"/>
      <c r="BO44" s="2147"/>
      <c r="BP44" s="500"/>
      <c r="BQ44" s="500"/>
      <c r="BR44" s="1176"/>
      <c r="BS44" s="2146"/>
      <c r="BT44" s="2147"/>
      <c r="BU44" s="500"/>
      <c r="BV44" s="500"/>
      <c r="BW44" s="1176"/>
      <c r="BX44" s="2146"/>
      <c r="BY44" s="2147"/>
      <c r="BZ44" s="500"/>
      <c r="CA44" s="500"/>
      <c r="CB44" s="1176"/>
      <c r="CC44" s="2146"/>
      <c r="CD44" s="2147"/>
      <c r="CE44" s="500"/>
      <c r="CF44" s="500"/>
      <c r="CG44" s="1176"/>
      <c r="CH44" s="2146"/>
      <c r="CI44" s="500"/>
      <c r="CJ44" s="500"/>
      <c r="CK44" s="500"/>
      <c r="CL44" s="1176"/>
      <c r="CM44" s="2146"/>
      <c r="CN44" s="500"/>
      <c r="CO44" s="500"/>
      <c r="CP44" s="500"/>
      <c r="CQ44" s="1176"/>
      <c r="CR44" s="2146"/>
      <c r="CS44" s="500"/>
      <c r="CT44" s="500"/>
      <c r="CU44" s="500"/>
      <c r="CV44" s="500"/>
      <c r="CW44" s="2146"/>
      <c r="CX44" s="500">
        <f>(1+'Revenue Drivers'!CX250)/(1+'Revenue Drivers'!CX260)-1</f>
        <v>-2.1824907521578285E-2</v>
      </c>
      <c r="CY44" s="500">
        <f>(1+'Revenue Drivers'!CY250)/(1+'Revenue Drivers'!CY260)-1</f>
        <v>2.8238404229752545E-2</v>
      </c>
      <c r="CZ44" s="500">
        <f>(1+'Revenue Drivers'!CZ250)/(1+'Revenue Drivers'!CZ260)-1</f>
        <v>4.6693046919163317E-2</v>
      </c>
      <c r="DA44" s="500">
        <f>(1+'Revenue Drivers'!DA250)/(1+'Revenue Drivers'!DA260)-1</f>
        <v>3.6363636363636598E-3</v>
      </c>
      <c r="DB44" s="2146"/>
      <c r="DC44" s="500">
        <f>(1+'Revenue Drivers'!DC250)/(1+'Revenue Drivers'!DC260)-1</f>
        <v>3.1253014372528254E-2</v>
      </c>
      <c r="DD44" s="500">
        <f>(1+'Revenue Drivers'!DD250)/(1+'Revenue Drivers'!DD260)-1</f>
        <v>-1.1529732183386376E-2</v>
      </c>
      <c r="DE44" s="500">
        <f>(1+'Revenue Drivers'!DE250)/(1+'Revenue Drivers'!DE260)-1</f>
        <v>-3.51994339789512E-2</v>
      </c>
      <c r="DF44" s="500">
        <f>(1+'Revenue Drivers'!DF250)/(1+'Revenue Drivers'!DF260)-1</f>
        <v>-1.4083373571543545E-2</v>
      </c>
      <c r="DG44" s="2146"/>
      <c r="DH44" s="500">
        <f>(1+'Revenue Drivers'!DH242)/(1+'Revenue Drivers'!DH260)-1</f>
        <v>-3.416467372736598E-3</v>
      </c>
      <c r="DI44" s="500">
        <f>(1+'Revenue Drivers'!DI242)/(1+'Revenue Drivers'!DI260)-1</f>
        <v>-1.2352610892756966E-2</v>
      </c>
      <c r="DJ44" s="500">
        <f>(1+'Revenue Drivers'!DJ242)/(1+'Revenue Drivers'!DJ260)-1</f>
        <v>-6.4837510872143289E-3</v>
      </c>
      <c r="DK44" s="500">
        <f>(1+'Revenue Drivers'!DK242)/(1+'Revenue Drivers'!DK260)-1</f>
        <v>-3.8858273279637201E-3</v>
      </c>
      <c r="DL44" s="2146"/>
      <c r="DM44" s="500">
        <f>(1+'Revenue Drivers'!DM242)/(1+'Revenue Drivers'!DM260)-1</f>
        <v>4.9288061336254518E-3</v>
      </c>
      <c r="DN44" s="500">
        <f>(1+'Revenue Drivers'!DN242)/(1+'Revenue Drivers'!DN260)-1</f>
        <v>-2.4132600480934463E-2</v>
      </c>
      <c r="DO44" s="500">
        <f>(1+'Revenue Drivers'!DO242)/(1+'Revenue Drivers'!DO260)-1</f>
        <v>4.5423830617914218E-2</v>
      </c>
      <c r="DP44" s="500">
        <f>(1+'Revenue Drivers'!DP242)/(1+'Revenue Drivers'!DP260)-1</f>
        <v>5.307050796057533E-3</v>
      </c>
      <c r="DQ44" s="2146"/>
      <c r="DR44" s="500">
        <f>(1+'Revenue Drivers'!DR242)/(1+'Revenue Drivers'!DR260)-1</f>
        <v>3.337176142224374E-2</v>
      </c>
      <c r="DS44" s="500">
        <f>(1+'Revenue Drivers'!DS242)/(1+'Revenue Drivers'!DS260)-1</f>
        <v>-4.1225277879246569E-3</v>
      </c>
      <c r="DT44" s="500">
        <f>(1+'Revenue Drivers'!DT242)/(1+'Revenue Drivers'!DT260)-1</f>
        <v>-9.1894321530241463E-3</v>
      </c>
      <c r="DU44" s="500">
        <f>(1+'Revenue Drivers'!DU242)/(1+'Revenue Drivers'!DU260)-1</f>
        <v>-2.1511283915138235E-2</v>
      </c>
      <c r="DV44" s="2146"/>
      <c r="DW44" s="500">
        <f>(1+'Revenue Drivers'!DW242)/(1+'Revenue Drivers'!DW260)-1</f>
        <v>-2.4908811672106013E-2</v>
      </c>
      <c r="DX44" s="500">
        <f>(1+'Revenue Drivers'!DX242)/(1+'Revenue Drivers'!DX260)-1</f>
        <v>-2.9814779814779868E-2</v>
      </c>
      <c r="DY44" s="500">
        <f>(1+'Revenue Drivers'!DY242)/(1+'Revenue Drivers'!DY260)-1</f>
        <v>-4.6101029916625791E-2</v>
      </c>
      <c r="DZ44" s="500">
        <f>(1+'Revenue Drivers'!DZ242)/(1+'Revenue Drivers'!DZ260)-1</f>
        <v>-2.596007519470056E-2</v>
      </c>
      <c r="EA44" s="2146"/>
      <c r="EB44" s="500">
        <f>(1+'Revenue Drivers'!EB242)/(1+'Revenue Drivers'!EB260)-1</f>
        <v>5.0328881801873671E-2</v>
      </c>
      <c r="EC44" s="500">
        <f>(1+'Revenue Drivers'!EC242)/(1+'Revenue Drivers'!EC260)-1</f>
        <v>1.2492050513309705E-2</v>
      </c>
      <c r="ED44" s="500">
        <f>(1+'Revenue Drivers'!ED242)/(1+'Revenue Drivers'!ED260)-1</f>
        <v>2.0340481980984926E-3</v>
      </c>
      <c r="EE44" s="500">
        <f>(1+'Revenue Drivers'!EE242)/(1+'Revenue Drivers'!EE260)-1</f>
        <v>-1.9907516263030001E-2</v>
      </c>
      <c r="EF44" s="2146"/>
      <c r="EG44" s="500">
        <f>(1+'Revenue Drivers'!EG242)/(1+'Revenue Drivers'!EG260)-1</f>
        <v>1.5366228444596119E-2</v>
      </c>
      <c r="EH44" s="500">
        <f>(1+'Revenue Drivers'!EH242)/(1+'Revenue Drivers'!EH260)-1</f>
        <v>-1.0026872017005584E-2</v>
      </c>
      <c r="EI44" s="500">
        <f>(1+'Revenue Drivers'!EI242)/(1+'Revenue Drivers'!EI260)-1</f>
        <v>9.0318491522738409E-3</v>
      </c>
      <c r="EJ44" s="500">
        <f>(1+'Revenue Drivers'!EJ242)/(1+'Revenue Drivers'!EJ260)-1</f>
        <v>-1.2756909992911458E-3</v>
      </c>
      <c r="EK44" s="2146"/>
      <c r="EL44" s="500">
        <f>(1+'Revenue Drivers'!EL242)/(1+'Revenue Drivers'!EL260)-1</f>
        <v>-2.3762898245085484E-2</v>
      </c>
      <c r="EM44" s="500">
        <f>(1+'Revenue Drivers'!EM242)/(1+'Revenue Drivers'!EM260)-1</f>
        <v>4.7050978067575411E-2</v>
      </c>
      <c r="EN44" s="500">
        <f>(1+'Revenue Drivers'!EN242)/(1+'Revenue Drivers'!EN260)-1</f>
        <v>2.5824816516907712E-2</v>
      </c>
      <c r="EO44" s="500">
        <f>(1+'Revenue Drivers'!EO242)/(1+'Revenue Drivers'!EO260)-1</f>
        <v>-5.2630912103767136E-3</v>
      </c>
      <c r="EP44" s="2146"/>
      <c r="EQ44" s="500">
        <f>(1+'Revenue Drivers'!EQ242)/(1+'Revenue Drivers'!EQ260)-1</f>
        <v>-4.8514813076823149E-3</v>
      </c>
      <c r="ER44" s="500">
        <f>(1+'Revenue Drivers'!ER242)/(1+'Revenue Drivers'!ER260)-1</f>
        <v>0</v>
      </c>
      <c r="ES44" s="500">
        <f>(1+'Revenue Drivers'!ES242)/(1+'Revenue Drivers'!ES260)-1</f>
        <v>0</v>
      </c>
      <c r="ET44" s="500">
        <f>(1+'Revenue Drivers'!ET242)/(1+'Revenue Drivers'!ET260)-1</f>
        <v>0</v>
      </c>
      <c r="EU44" s="2146"/>
      <c r="EV44" s="500"/>
      <c r="EW44" s="500"/>
      <c r="EX44" s="500"/>
      <c r="EY44" s="500"/>
      <c r="EZ44" s="2146"/>
      <c r="FA44" s="2146"/>
      <c r="FB44" s="2146"/>
      <c r="FC44" s="2146"/>
      <c r="FD44" s="500"/>
      <c r="FF44" s="500"/>
    </row>
    <row r="45" spans="1:169" ht="11.25" customHeight="1">
      <c r="A45" s="2119" t="s">
        <v>587</v>
      </c>
      <c r="B45" s="2158"/>
      <c r="C45" s="2158"/>
      <c r="D45" s="2158"/>
      <c r="E45" s="2158"/>
      <c r="F45" s="2159"/>
      <c r="G45" s="2158"/>
      <c r="H45" s="2158"/>
      <c r="I45" s="2158"/>
      <c r="J45" s="2158"/>
      <c r="K45" s="2159"/>
      <c r="L45" s="2158"/>
      <c r="M45" s="2158"/>
      <c r="N45" s="2158"/>
      <c r="O45" s="2158"/>
      <c r="P45" s="2159"/>
      <c r="Q45" s="2158"/>
      <c r="R45" s="2158"/>
      <c r="S45" s="2158"/>
      <c r="T45" s="2158"/>
      <c r="U45" s="2159"/>
      <c r="V45" s="2158"/>
      <c r="W45" s="2158"/>
      <c r="X45" s="2158"/>
      <c r="Y45" s="2158"/>
      <c r="Z45" s="2159"/>
      <c r="AA45" s="2158"/>
      <c r="AB45" s="2158"/>
      <c r="AC45" s="2158"/>
      <c r="AD45" s="2158"/>
      <c r="AE45" s="2159"/>
      <c r="AF45" s="2158"/>
      <c r="AG45" s="2158"/>
      <c r="AH45" s="2158"/>
      <c r="AI45" s="2158"/>
      <c r="AJ45" s="2159"/>
      <c r="AK45" s="2158"/>
      <c r="AL45" s="2158"/>
      <c r="AM45" s="2158"/>
      <c r="AN45" s="2158"/>
      <c r="AO45" s="2159"/>
      <c r="AP45" s="2158"/>
      <c r="AQ45" s="2158"/>
      <c r="AR45" s="2158"/>
      <c r="AS45" s="2158"/>
      <c r="AT45" s="2159"/>
      <c r="AU45" s="2158"/>
      <c r="AV45" s="2158"/>
      <c r="AW45" s="2158"/>
      <c r="AX45" s="2158"/>
      <c r="AY45" s="2159"/>
      <c r="AZ45" s="2158"/>
      <c r="BA45" s="2158"/>
      <c r="BB45" s="2158"/>
      <c r="BC45" s="2158"/>
      <c r="BD45" s="2159"/>
      <c r="BE45" s="2158"/>
      <c r="BF45" s="2158"/>
      <c r="BG45" s="2158"/>
      <c r="BH45" s="2158"/>
      <c r="BI45" s="2159"/>
      <c r="BJ45" s="2158"/>
      <c r="BK45" s="2158"/>
      <c r="BL45" s="2158"/>
      <c r="BM45" s="2158"/>
      <c r="BN45" s="2159"/>
      <c r="BO45" s="2160"/>
      <c r="BP45" s="2158"/>
      <c r="BQ45" s="2158"/>
      <c r="BR45" s="2158"/>
      <c r="BS45" s="2159"/>
      <c r="BT45" s="2160"/>
      <c r="BU45" s="2158"/>
      <c r="BV45" s="2158"/>
      <c r="BW45" s="2161"/>
      <c r="BX45" s="2159"/>
      <c r="BY45" s="2160"/>
      <c r="BZ45" s="2158"/>
      <c r="CA45" s="2158"/>
      <c r="CB45" s="2161"/>
      <c r="CC45" s="2159"/>
      <c r="CD45" s="2160"/>
      <c r="CE45" s="2158"/>
      <c r="CF45" s="2158"/>
      <c r="CG45" s="2161"/>
      <c r="CH45" s="2159"/>
      <c r="CI45" s="2158"/>
      <c r="CJ45" s="2158"/>
      <c r="CK45" s="2158"/>
      <c r="CL45" s="2161"/>
      <c r="CM45" s="2159"/>
      <c r="CN45" s="2158"/>
      <c r="CO45" s="2158"/>
      <c r="CP45" s="2158"/>
      <c r="CQ45" s="2161"/>
      <c r="CR45" s="2159"/>
      <c r="CS45" s="2158"/>
      <c r="CT45" s="2158"/>
      <c r="CU45" s="2158"/>
      <c r="CV45" s="2158"/>
      <c r="CW45" s="2159"/>
      <c r="CX45" s="2158">
        <f>(CX44-CX42)*10000</f>
        <v>-7.481262434790616</v>
      </c>
      <c r="CY45" s="2158">
        <f>(CY44-CY42)*10000</f>
        <v>-17.123364205874001</v>
      </c>
      <c r="CZ45" s="2158">
        <f>(CZ44-CZ42)*10000</f>
        <v>-37.286024251184308</v>
      </c>
      <c r="DA45" s="2158">
        <f>(DA44-DA42)*10000</f>
        <v>-34.448799048049985</v>
      </c>
      <c r="DB45" s="2159"/>
      <c r="DC45" s="2158">
        <f>(DC44-DC42)*10000</f>
        <v>-43.236507621962907</v>
      </c>
      <c r="DD45" s="2158">
        <f>(DD44-DD42)*10000</f>
        <v>156.48059708760556</v>
      </c>
      <c r="DE45" s="2158">
        <f>(DE44-DE42)*10000</f>
        <v>43.110611875665299</v>
      </c>
      <c r="DF45" s="2158">
        <f>(DF44-DF42)*10000</f>
        <v>74.127141780452604</v>
      </c>
      <c r="DG45" s="2159"/>
      <c r="DH45" s="2158">
        <f>(DH44-DH42)*10000</f>
        <v>-90.022264035134327</v>
      </c>
      <c r="DI45" s="2158">
        <f>(DI44-DI42)*10000</f>
        <v>61.53957925951525</v>
      </c>
      <c r="DJ45" s="2158">
        <f>(DJ44-DJ42)*10000</f>
        <v>64.385847159285092</v>
      </c>
      <c r="DK45" s="2158">
        <f>(DK44-DK42)*10000</f>
        <v>-28.189470984716763</v>
      </c>
      <c r="DL45" s="2159"/>
      <c r="DM45" s="2158">
        <f>(DM44-DM42)*10000</f>
        <v>-63.56894628247683</v>
      </c>
      <c r="DN45" s="4745">
        <f>(DN44-DN42)*10000</f>
        <v>-29.740389347396416</v>
      </c>
      <c r="DO45" s="4745">
        <f>(DO44-DO42)*10000</f>
        <v>-46.640827991558737</v>
      </c>
      <c r="DP45" s="2158">
        <f>(DP44-DP42)*10000</f>
        <v>-4.4525616061506526</v>
      </c>
      <c r="DQ45" s="2159"/>
      <c r="DR45" s="2158">
        <f>(DR44-DR42)*10000</f>
        <v>-46.137553473886427</v>
      </c>
      <c r="DS45" s="4745">
        <f>(DS44-DS42)*10000</f>
        <v>46.011030634355613</v>
      </c>
      <c r="DT45" s="2158">
        <f>(DT44-DT42)*10000</f>
        <v>15.092131532080458</v>
      </c>
      <c r="DU45" s="2158">
        <f>(DU44-DU42)*10000</f>
        <v>82.14537582727263</v>
      </c>
      <c r="DV45" s="2159"/>
      <c r="DW45" s="2158">
        <f>(DW44-DW42)*10000</f>
        <v>-52.189185361794927</v>
      </c>
      <c r="DX45" s="4745">
        <f>(DX44-DX42)*10000</f>
        <v>186.44722393340564</v>
      </c>
      <c r="DY45" s="2158">
        <f>(DY44-DY42)*10000</f>
        <v>88.948890926166115</v>
      </c>
      <c r="DZ45" s="2158">
        <f>(DZ44-DZ42)*10000</f>
        <v>0.15388480949441591</v>
      </c>
      <c r="EA45" s="2159"/>
      <c r="EB45" s="2158">
        <f>(EB44-EB42)*10000</f>
        <v>-122.75827846543963</v>
      </c>
      <c r="EC45" s="4745">
        <f>(EC44-EC42)*10000</f>
        <v>2.9623186899533498</v>
      </c>
      <c r="ED45" s="4745">
        <f>(ED44-ED42)*10000</f>
        <v>72.098675072826879</v>
      </c>
      <c r="EE45" s="2158">
        <f>(EE44-EE42)*10000</f>
        <v>67.035443953263993</v>
      </c>
      <c r="EF45" s="2159"/>
      <c r="EG45" s="2158">
        <f>(EG44-EG42)*10000</f>
        <v>-7.6926931681784927</v>
      </c>
      <c r="EH45" s="4745">
        <f>(EH44-EH42)*10000</f>
        <v>26.219321077754312</v>
      </c>
      <c r="EI45" s="4745">
        <f>(EI44-EI42)*10000</f>
        <v>4.4127890644844042E-2</v>
      </c>
      <c r="EJ45" s="2158">
        <f>(EJ44-EJ42)*10000</f>
        <v>-17.96557887110297</v>
      </c>
      <c r="EK45" s="2159"/>
      <c r="EL45" s="2158">
        <f>(EL44-EL42)*10000</f>
        <v>205.18638982624023</v>
      </c>
      <c r="EM45" s="4745">
        <f>(EM44-EM42)*10000</f>
        <v>-173.5780606888554</v>
      </c>
      <c r="EN45" s="2158">
        <f>(EN44-EN42)*10000</f>
        <v>-53.55609957418163</v>
      </c>
      <c r="EO45" s="2158">
        <f>(EO44-EO42)*10000</f>
        <v>1.6219664500383146E-12</v>
      </c>
      <c r="EP45" s="2159"/>
      <c r="EQ45" s="2158">
        <f>(EQ44-EQ42)*10000</f>
        <v>-4.8572257327350599E-13</v>
      </c>
      <c r="ER45" s="4745">
        <f>(ER44-ER42)*10000</f>
        <v>0</v>
      </c>
      <c r="ES45" s="2158">
        <f>(ES44-ES42)*10000</f>
        <v>0</v>
      </c>
      <c r="ET45" s="2158">
        <f>(ET44-ET42)*10000</f>
        <v>0</v>
      </c>
      <c r="EU45" s="2159"/>
      <c r="EV45" s="2158">
        <f>(EV44-EV42)*10000</f>
        <v>0</v>
      </c>
      <c r="EW45" s="2158">
        <f>(EW44-EW42)*10000</f>
        <v>0</v>
      </c>
      <c r="EX45" s="2158">
        <f>(EX44-EX42)*10000</f>
        <v>0</v>
      </c>
      <c r="EY45" s="2158">
        <f>(EY44-EY42)*10000</f>
        <v>0</v>
      </c>
      <c r="EZ45" s="2159"/>
      <c r="FA45" s="2159"/>
      <c r="FB45" s="2159"/>
      <c r="FC45" s="2159"/>
      <c r="FD45" s="500"/>
      <c r="FF45" s="500"/>
    </row>
    <row r="46" spans="1:169" ht="11.25" customHeight="1">
      <c r="A46" s="1876"/>
      <c r="B46" s="493"/>
      <c r="C46" s="493"/>
      <c r="D46" s="493"/>
      <c r="E46" s="493"/>
      <c r="F46" s="493"/>
      <c r="G46" s="493"/>
      <c r="H46" s="493"/>
      <c r="I46" s="493"/>
      <c r="J46" s="493"/>
      <c r="K46" s="493"/>
      <c r="L46" s="493"/>
      <c r="M46" s="493"/>
      <c r="N46" s="493"/>
      <c r="O46" s="493"/>
      <c r="P46" s="493"/>
      <c r="Q46" s="493"/>
      <c r="R46" s="493"/>
      <c r="S46" s="493"/>
      <c r="T46" s="493"/>
      <c r="U46" s="493"/>
      <c r="V46" s="493"/>
      <c r="W46" s="493"/>
      <c r="X46" s="493"/>
      <c r="Y46" s="493"/>
      <c r="Z46" s="493"/>
      <c r="AA46" s="493"/>
      <c r="AB46" s="493"/>
      <c r="AC46" s="493"/>
      <c r="AD46" s="493"/>
      <c r="AE46" s="493"/>
      <c r="AF46" s="493"/>
      <c r="AG46" s="493"/>
      <c r="AH46" s="493"/>
      <c r="AI46" s="493"/>
      <c r="AJ46" s="493"/>
      <c r="AK46" s="493"/>
      <c r="AL46" s="493"/>
      <c r="AM46" s="493"/>
      <c r="AN46" s="493"/>
      <c r="AO46" s="493"/>
      <c r="AP46" s="493"/>
      <c r="AQ46" s="493"/>
      <c r="AR46" s="493"/>
      <c r="AS46" s="493"/>
      <c r="AT46" s="493"/>
      <c r="AU46" s="493"/>
      <c r="AV46" s="493"/>
      <c r="AW46" s="493"/>
      <c r="AX46" s="493"/>
      <c r="AY46" s="493"/>
      <c r="AZ46" s="493"/>
      <c r="BA46" s="493"/>
      <c r="BB46" s="493"/>
      <c r="BC46" s="493"/>
      <c r="BD46" s="493"/>
      <c r="BE46" s="493"/>
      <c r="BF46" s="493"/>
      <c r="BG46" s="493"/>
      <c r="BH46" s="493"/>
      <c r="BI46" s="493"/>
      <c r="BJ46" s="493"/>
      <c r="BK46" s="493"/>
      <c r="BL46" s="493"/>
      <c r="BM46" s="493"/>
      <c r="BN46" s="493"/>
      <c r="BO46" s="493"/>
      <c r="BP46" s="493"/>
      <c r="BQ46" s="493"/>
      <c r="BR46" s="493"/>
      <c r="BS46" s="493"/>
      <c r="BT46" s="493"/>
      <c r="BU46" s="493"/>
      <c r="BV46" s="493"/>
      <c r="BW46" s="493"/>
      <c r="BX46" s="493"/>
      <c r="BY46" s="493"/>
      <c r="BZ46" s="493"/>
      <c r="CA46" s="493"/>
      <c r="CB46" s="493"/>
      <c r="CC46" s="493"/>
      <c r="CD46" s="493"/>
      <c r="CE46" s="493"/>
      <c r="CF46" s="493"/>
      <c r="CG46" s="493"/>
      <c r="CH46" s="493"/>
      <c r="CI46" s="493"/>
      <c r="CJ46" s="493"/>
      <c r="CK46" s="493"/>
      <c r="CL46" s="493"/>
      <c r="CM46" s="493"/>
      <c r="CN46" s="493"/>
      <c r="CO46" s="493"/>
      <c r="CP46" s="493"/>
      <c r="CQ46" s="493"/>
      <c r="CR46" s="493"/>
      <c r="CS46" s="493"/>
      <c r="CT46" s="493"/>
      <c r="CU46" s="493"/>
      <c r="CV46" s="493"/>
      <c r="CW46" s="493"/>
      <c r="CX46" s="493"/>
      <c r="CY46" s="493"/>
      <c r="CZ46" s="493"/>
      <c r="DA46" s="493"/>
      <c r="DB46" s="493"/>
      <c r="DC46" s="493"/>
      <c r="DD46" s="493"/>
      <c r="DE46" s="493"/>
      <c r="DF46" s="493"/>
      <c r="DG46" s="493"/>
      <c r="DH46" s="493"/>
      <c r="DI46" s="493"/>
      <c r="DJ46" s="493"/>
      <c r="DK46" s="493"/>
      <c r="DL46" s="493"/>
      <c r="DM46" s="493"/>
      <c r="DN46" s="493"/>
      <c r="DO46" s="493"/>
      <c r="DP46" s="493"/>
      <c r="DQ46" s="493"/>
      <c r="DR46" s="493"/>
      <c r="DS46" s="493"/>
      <c r="DT46" s="493"/>
      <c r="DU46" s="493"/>
      <c r="DV46" s="493"/>
      <c r="DW46" s="493"/>
      <c r="DX46" s="493"/>
      <c r="DY46" s="493"/>
      <c r="DZ46" s="493"/>
      <c r="EA46" s="493"/>
      <c r="EB46" s="493"/>
      <c r="EC46" s="493"/>
      <c r="ED46" s="493"/>
      <c r="EE46" s="493"/>
      <c r="EF46" s="493"/>
      <c r="EG46" s="493"/>
      <c r="EH46" s="493"/>
      <c r="EI46" s="493"/>
      <c r="EJ46" s="493"/>
      <c r="EK46" s="493"/>
      <c r="EL46" s="493"/>
      <c r="EM46" s="493"/>
      <c r="EN46" s="493"/>
      <c r="EO46" s="493"/>
      <c r="EP46" s="493"/>
      <c r="EQ46" s="493"/>
      <c r="ER46" s="493"/>
      <c r="ES46" s="493"/>
      <c r="ET46" s="493"/>
      <c r="EU46" s="493"/>
      <c r="EV46" s="493"/>
      <c r="EW46" s="493"/>
      <c r="EX46" s="493"/>
      <c r="EY46" s="493"/>
      <c r="EZ46" s="493"/>
      <c r="FA46" s="493"/>
      <c r="FB46" s="493"/>
      <c r="FC46" s="493"/>
      <c r="FD46" s="493"/>
      <c r="FF46" s="493"/>
    </row>
    <row r="47" spans="1:169" ht="11.25" customHeight="1">
      <c r="A47" s="2154" t="s">
        <v>588</v>
      </c>
      <c r="B47" s="3218"/>
      <c r="C47" s="3218"/>
      <c r="D47" s="3218"/>
      <c r="E47" s="3218"/>
      <c r="F47" s="3218"/>
      <c r="G47" s="3218"/>
      <c r="H47" s="3218"/>
      <c r="I47" s="3218"/>
      <c r="J47" s="3218"/>
      <c r="K47" s="3218"/>
      <c r="L47" s="3218"/>
      <c r="M47" s="3218"/>
      <c r="N47" s="3218"/>
      <c r="O47" s="3218"/>
      <c r="P47" s="3218"/>
      <c r="Q47" s="3218"/>
      <c r="R47" s="3218"/>
      <c r="S47" s="3218"/>
      <c r="T47" s="3218"/>
      <c r="U47" s="3218"/>
      <c r="V47" s="3218"/>
      <c r="W47" s="3218"/>
      <c r="X47" s="3218"/>
      <c r="Y47" s="3218"/>
      <c r="Z47" s="3218"/>
      <c r="AA47" s="3218"/>
      <c r="AB47" s="3218"/>
      <c r="AC47" s="3218"/>
      <c r="AD47" s="3218"/>
      <c r="AE47" s="3218"/>
      <c r="AF47" s="3218"/>
      <c r="AG47" s="3218"/>
      <c r="AH47" s="3218"/>
      <c r="AI47" s="3218"/>
      <c r="AJ47" s="3218"/>
      <c r="AK47" s="3218"/>
      <c r="AL47" s="3218"/>
      <c r="AM47" s="3218"/>
      <c r="AN47" s="3218"/>
      <c r="AO47" s="3218"/>
      <c r="AP47" s="3218"/>
      <c r="AQ47" s="3218"/>
      <c r="AR47" s="3218"/>
      <c r="AS47" s="3218"/>
      <c r="AT47" s="3218"/>
      <c r="AU47" s="3218"/>
      <c r="AV47" s="3218"/>
      <c r="AW47" s="3218"/>
      <c r="AX47" s="3218"/>
      <c r="AY47" s="3218"/>
      <c r="AZ47" s="3218"/>
      <c r="BA47" s="3218"/>
      <c r="BB47" s="3218"/>
      <c r="BC47" s="3218"/>
      <c r="BD47" s="3218"/>
      <c r="BE47" s="3218"/>
      <c r="BF47" s="3218"/>
      <c r="BG47" s="3218"/>
      <c r="BH47" s="3218"/>
      <c r="BI47" s="3218"/>
      <c r="BJ47" s="3218"/>
      <c r="BK47" s="3218"/>
      <c r="BL47" s="3218"/>
      <c r="BM47" s="3218"/>
      <c r="BN47" s="3218"/>
      <c r="BO47" s="3218"/>
      <c r="BP47" s="3218"/>
      <c r="BQ47" s="3218"/>
      <c r="BR47" s="3218"/>
      <c r="BS47" s="3218"/>
      <c r="BT47" s="3218"/>
      <c r="BU47" s="3218"/>
      <c r="BV47" s="3218"/>
      <c r="BW47" s="3218"/>
      <c r="BX47" s="3218"/>
      <c r="BY47" s="3218"/>
      <c r="BZ47" s="3218"/>
      <c r="CA47" s="3218"/>
      <c r="CB47" s="3218"/>
      <c r="CC47" s="3218"/>
      <c r="CD47" s="3218"/>
      <c r="CE47" s="3218"/>
      <c r="CF47" s="3218"/>
      <c r="CG47" s="3218"/>
      <c r="CH47" s="3218"/>
      <c r="CI47" s="3218"/>
      <c r="CJ47" s="3218"/>
      <c r="CK47" s="3218"/>
      <c r="CL47" s="3218"/>
      <c r="CM47" s="3218"/>
      <c r="CN47" s="3218"/>
      <c r="CO47" s="3218"/>
      <c r="CP47" s="3218"/>
      <c r="CQ47" s="3218"/>
      <c r="CR47" s="3218"/>
      <c r="CS47" s="3218"/>
      <c r="CT47" s="3218"/>
      <c r="CU47" s="3218"/>
      <c r="CV47" s="3218"/>
      <c r="CW47" s="3218"/>
      <c r="CX47" s="3218"/>
      <c r="CY47" s="3218"/>
      <c r="CZ47" s="3218"/>
      <c r="DA47" s="3218"/>
      <c r="DB47" s="3218"/>
      <c r="DC47" s="3218"/>
      <c r="DD47" s="3218"/>
      <c r="DE47" s="3218"/>
      <c r="DF47" s="3218"/>
      <c r="DG47" s="3218"/>
      <c r="DH47" s="3218"/>
      <c r="DI47" s="3218"/>
      <c r="DJ47" s="3218"/>
      <c r="DK47" s="3218"/>
      <c r="DL47" s="3218"/>
      <c r="DM47" s="3218"/>
      <c r="DN47" s="3218"/>
      <c r="DO47" s="3218"/>
      <c r="DP47" s="3218"/>
      <c r="DQ47" s="3218"/>
      <c r="DR47" s="3218"/>
      <c r="DS47" s="3218"/>
      <c r="DT47" s="3218"/>
      <c r="DU47" s="3218"/>
      <c r="DV47" s="3218"/>
      <c r="DW47" s="3218"/>
      <c r="DX47" s="3218"/>
      <c r="DY47" s="3218"/>
      <c r="DZ47" s="3218"/>
      <c r="EA47" s="3218"/>
      <c r="EB47" s="3218"/>
      <c r="EC47" s="3218"/>
      <c r="ED47" s="3218"/>
      <c r="EE47" s="3218"/>
      <c r="EF47" s="3218"/>
      <c r="EG47" s="3218"/>
      <c r="EH47" s="3218"/>
      <c r="EI47" s="3218"/>
      <c r="EJ47" s="3218"/>
      <c r="EK47" s="3218"/>
      <c r="EL47" s="3218"/>
      <c r="EM47" s="3218"/>
      <c r="EN47" s="3218"/>
      <c r="EO47" s="3218"/>
      <c r="EP47" s="3218"/>
      <c r="EQ47" s="3218"/>
      <c r="ER47" s="3218"/>
      <c r="ES47" s="3218"/>
      <c r="ET47" s="3218"/>
      <c r="EU47" s="3218"/>
      <c r="EV47" s="3218"/>
      <c r="EW47" s="3218"/>
      <c r="EX47" s="3218"/>
      <c r="EY47" s="3218"/>
      <c r="EZ47" s="2153"/>
      <c r="FA47" s="2153"/>
      <c r="FB47" s="2153"/>
      <c r="FC47" s="2153"/>
      <c r="FD47" s="493"/>
      <c r="FF47" s="493"/>
    </row>
    <row r="48" spans="1:169" ht="11.25" customHeight="1">
      <c r="A48" s="2128" t="s">
        <v>341</v>
      </c>
      <c r="B48" s="1205"/>
      <c r="C48" s="1205"/>
      <c r="D48" s="1205"/>
      <c r="E48" s="1205"/>
      <c r="F48" s="2152"/>
      <c r="G48" s="1205"/>
      <c r="H48" s="1205"/>
      <c r="I48" s="1205"/>
      <c r="J48" s="1205"/>
      <c r="K48" s="2152"/>
      <c r="L48" s="1205"/>
      <c r="M48" s="1205"/>
      <c r="N48" s="1205"/>
      <c r="O48" s="1205"/>
      <c r="P48" s="2152"/>
      <c r="Q48" s="1205"/>
      <c r="R48" s="1205"/>
      <c r="S48" s="1205"/>
      <c r="T48" s="1205"/>
      <c r="U48" s="2152"/>
      <c r="V48" s="1205"/>
      <c r="W48" s="1205"/>
      <c r="X48" s="1205"/>
      <c r="Y48" s="1205"/>
      <c r="Z48" s="2152"/>
      <c r="AA48" s="1205"/>
      <c r="AB48" s="1205"/>
      <c r="AC48" s="1205"/>
      <c r="AD48" s="1205"/>
      <c r="AE48" s="2152"/>
      <c r="AF48" s="1205"/>
      <c r="AG48" s="1205"/>
      <c r="AH48" s="1205"/>
      <c r="AI48" s="1205"/>
      <c r="AJ48" s="2152"/>
      <c r="AK48" s="1205"/>
      <c r="AL48" s="1205"/>
      <c r="AM48" s="1205"/>
      <c r="AN48" s="1205"/>
      <c r="AO48" s="2152"/>
      <c r="AP48" s="1205"/>
      <c r="AQ48" s="1205"/>
      <c r="AR48" s="1205"/>
      <c r="AS48" s="1205"/>
      <c r="AT48" s="2152"/>
      <c r="AU48" s="1205"/>
      <c r="AV48" s="1205"/>
      <c r="AW48" s="1205"/>
      <c r="AX48" s="1205"/>
      <c r="AY48" s="2152"/>
      <c r="AZ48" s="2132"/>
      <c r="BA48" s="421"/>
      <c r="BB48" s="421"/>
      <c r="BC48" s="421"/>
      <c r="BD48" s="2152"/>
      <c r="BE48" s="2132"/>
      <c r="BF48" s="421"/>
      <c r="BG48" s="421"/>
      <c r="BH48" s="421"/>
      <c r="BI48" s="2152"/>
      <c r="BJ48" s="2132"/>
      <c r="BK48" s="421"/>
      <c r="BL48" s="421"/>
      <c r="BM48" s="423"/>
      <c r="BN48" s="2152"/>
      <c r="BO48" s="2132"/>
      <c r="BP48" s="421"/>
      <c r="BQ48" s="421"/>
      <c r="BR48" s="421"/>
      <c r="BS48" s="2152"/>
      <c r="BT48" s="2132"/>
      <c r="BU48" s="421"/>
      <c r="BV48" s="421"/>
      <c r="BW48" s="423"/>
      <c r="BX48" s="2152"/>
      <c r="BY48" s="2132"/>
      <c r="BZ48" s="421"/>
      <c r="CA48" s="421"/>
      <c r="CB48" s="423"/>
      <c r="CC48" s="2152"/>
      <c r="CD48" s="2132"/>
      <c r="CE48" s="421"/>
      <c r="CF48" s="421"/>
      <c r="CG48" s="423"/>
      <c r="CH48" s="2152"/>
      <c r="CI48" s="421"/>
      <c r="CJ48" s="421"/>
      <c r="CK48" s="421"/>
      <c r="CL48" s="423"/>
      <c r="CM48" s="2152"/>
      <c r="CN48" s="421"/>
      <c r="CO48" s="421"/>
      <c r="CP48" s="421"/>
      <c r="CQ48" s="423"/>
      <c r="CR48" s="2152"/>
      <c r="CS48" s="421"/>
      <c r="CT48" s="421"/>
      <c r="CU48" s="421"/>
      <c r="CV48" s="421"/>
      <c r="CW48" s="2152"/>
      <c r="CX48" s="2132"/>
      <c r="CY48" s="421"/>
      <c r="CZ48" s="421"/>
      <c r="DA48" s="423"/>
      <c r="DB48" s="2152"/>
      <c r="DC48" s="2132"/>
      <c r="DD48" s="421"/>
      <c r="DE48" s="421"/>
      <c r="DF48" s="423"/>
      <c r="DG48" s="2152"/>
      <c r="DH48" s="2132"/>
      <c r="DI48" s="421"/>
      <c r="DJ48" s="421"/>
      <c r="DK48" s="423"/>
      <c r="DL48" s="2152"/>
      <c r="DM48" s="2132"/>
      <c r="DN48" s="421"/>
      <c r="DO48" s="421"/>
      <c r="DP48" s="423"/>
      <c r="DQ48" s="2152"/>
      <c r="DR48" s="421"/>
      <c r="DS48" s="421"/>
      <c r="DT48" s="421"/>
      <c r="DU48" s="421"/>
      <c r="DV48" s="2152"/>
      <c r="DW48" s="421"/>
      <c r="DX48" s="421"/>
      <c r="DY48" s="421"/>
      <c r="DZ48" s="421"/>
      <c r="EA48" s="2152"/>
      <c r="EB48" s="421"/>
      <c r="EC48" s="421"/>
      <c r="ED48" s="421"/>
      <c r="EE48" s="421"/>
      <c r="EF48" s="2152"/>
      <c r="EG48" s="421"/>
      <c r="EH48" s="421"/>
      <c r="EI48" s="421"/>
      <c r="EJ48" s="421"/>
      <c r="EK48" s="2152"/>
      <c r="EL48" s="421"/>
      <c r="EM48" s="421"/>
      <c r="EN48" s="421"/>
      <c r="EO48" s="421"/>
      <c r="EP48" s="2152"/>
      <c r="EQ48" s="421"/>
      <c r="ER48" s="421"/>
      <c r="ES48" s="421"/>
      <c r="ET48" s="421"/>
      <c r="EU48" s="2152"/>
      <c r="EV48" s="421"/>
      <c r="EW48" s="421"/>
      <c r="EX48" s="421"/>
      <c r="EY48" s="421"/>
      <c r="EZ48" s="2152"/>
      <c r="FA48" s="2152"/>
      <c r="FB48" s="2152"/>
      <c r="FC48" s="2152"/>
      <c r="FD48" s="421"/>
      <c r="FF48" s="421"/>
      <c r="FL48" s="1383"/>
      <c r="FM48" s="1383"/>
    </row>
    <row r="49" spans="1:170" ht="11.25" customHeight="1">
      <c r="A49" s="2120" t="s">
        <v>416</v>
      </c>
      <c r="B49" s="421"/>
      <c r="C49" s="421"/>
      <c r="D49" s="421"/>
      <c r="E49" s="421"/>
      <c r="F49" s="2121"/>
      <c r="G49" s="421"/>
      <c r="H49" s="421"/>
      <c r="I49" s="421"/>
      <c r="J49" s="421"/>
      <c r="K49" s="2121"/>
      <c r="L49" s="421"/>
      <c r="M49" s="421"/>
      <c r="N49" s="421"/>
      <c r="O49" s="421"/>
      <c r="P49" s="2121"/>
      <c r="Q49" s="421"/>
      <c r="R49" s="421"/>
      <c r="S49" s="421"/>
      <c r="T49" s="421"/>
      <c r="U49" s="2121"/>
      <c r="V49" s="421"/>
      <c r="W49" s="421"/>
      <c r="X49" s="421"/>
      <c r="Y49" s="421"/>
      <c r="Z49" s="2121"/>
      <c r="AA49" s="421"/>
      <c r="AB49" s="421"/>
      <c r="AC49" s="421"/>
      <c r="AD49" s="421"/>
      <c r="AE49" s="2121"/>
      <c r="AF49" s="421"/>
      <c r="AG49" s="421"/>
      <c r="AH49" s="421"/>
      <c r="AI49" s="421"/>
      <c r="AJ49" s="2121"/>
      <c r="AK49" s="421"/>
      <c r="AL49" s="421"/>
      <c r="AM49" s="421"/>
      <c r="AN49" s="421"/>
      <c r="AO49" s="2121"/>
      <c r="AP49" s="421"/>
      <c r="AQ49" s="421"/>
      <c r="AR49" s="421"/>
      <c r="AS49" s="421"/>
      <c r="AT49" s="2121"/>
      <c r="AU49" s="421"/>
      <c r="AV49" s="421"/>
      <c r="AW49" s="421"/>
      <c r="AX49" s="421"/>
      <c r="AY49" s="2121"/>
      <c r="AZ49" s="2122"/>
      <c r="BA49" s="424"/>
      <c r="BB49" s="424"/>
      <c r="BC49" s="424"/>
      <c r="BD49" s="2121"/>
      <c r="BE49" s="2122"/>
      <c r="BF49" s="424"/>
      <c r="BG49" s="424"/>
      <c r="BH49" s="424"/>
      <c r="BI49" s="2121"/>
      <c r="BJ49" s="2122"/>
      <c r="BK49" s="424"/>
      <c r="BL49" s="424"/>
      <c r="BM49" s="426"/>
      <c r="BN49" s="2121"/>
      <c r="BO49" s="2122"/>
      <c r="BP49" s="424"/>
      <c r="BQ49" s="424"/>
      <c r="BR49" s="424"/>
      <c r="BS49" s="2121"/>
      <c r="BT49" s="2122"/>
      <c r="BU49" s="424"/>
      <c r="BV49" s="424"/>
      <c r="BW49" s="426"/>
      <c r="BX49" s="2121"/>
      <c r="BY49" s="2122"/>
      <c r="BZ49" s="424"/>
      <c r="CA49" s="424"/>
      <c r="CB49" s="426"/>
      <c r="CC49" s="2121"/>
      <c r="CD49" s="2122"/>
      <c r="CE49" s="424"/>
      <c r="CF49" s="424"/>
      <c r="CG49" s="426"/>
      <c r="CH49" s="2121"/>
      <c r="CI49" s="424"/>
      <c r="CJ49" s="424"/>
      <c r="CK49" s="424"/>
      <c r="CL49" s="426"/>
      <c r="CM49" s="2121"/>
      <c r="CN49" s="424"/>
      <c r="CO49" s="424"/>
      <c r="CP49" s="424"/>
      <c r="CQ49" s="426"/>
      <c r="CR49" s="2121"/>
      <c r="CS49" s="636">
        <f>CT49</f>
        <v>0.04</v>
      </c>
      <c r="CT49" s="636">
        <f>CU49</f>
        <v>0.04</v>
      </c>
      <c r="CU49" s="636">
        <f>CV49</f>
        <v>0.04</v>
      </c>
      <c r="CV49" s="636">
        <f>CX49</f>
        <v>0.04</v>
      </c>
      <c r="CW49" s="2121">
        <f>AVERAGE(CS49:CV49)</f>
        <v>0.04</v>
      </c>
      <c r="CX49" s="2123">
        <v>0.04</v>
      </c>
      <c r="CY49" s="636">
        <f>CX49</f>
        <v>0.04</v>
      </c>
      <c r="CZ49" s="636">
        <f>CY49</f>
        <v>0.04</v>
      </c>
      <c r="DA49" s="636">
        <f>CZ49</f>
        <v>0.04</v>
      </c>
      <c r="DB49" s="2121">
        <f>AVERAGE(CX49:DA49)</f>
        <v>0.04</v>
      </c>
      <c r="DC49" s="2127">
        <v>0.01</v>
      </c>
      <c r="DD49" s="636">
        <v>0.03</v>
      </c>
      <c r="DE49" s="1334">
        <v>0.05</v>
      </c>
      <c r="DF49" s="636">
        <f>DE49</f>
        <v>0.05</v>
      </c>
      <c r="DG49" s="2121">
        <f>AVERAGE(DC49:DF49)</f>
        <v>3.5000000000000003E-2</v>
      </c>
      <c r="DH49" s="2127">
        <v>0.01</v>
      </c>
      <c r="DI49" s="636">
        <v>0.01</v>
      </c>
      <c r="DJ49" s="636">
        <v>0.01</v>
      </c>
      <c r="DK49" s="636">
        <f>DJ49</f>
        <v>0.01</v>
      </c>
      <c r="DL49" s="2121">
        <f>AVERAGE(DH49:DK49)</f>
        <v>0.01</v>
      </c>
      <c r="DM49" s="2127">
        <f>DK49</f>
        <v>0.01</v>
      </c>
      <c r="DN49" s="636">
        <f>DM49</f>
        <v>0.01</v>
      </c>
      <c r="DO49" s="636">
        <f>DN49</f>
        <v>0.01</v>
      </c>
      <c r="DP49" s="636">
        <f>DO49</f>
        <v>0.01</v>
      </c>
      <c r="DQ49" s="2121">
        <f>AVERAGE(DM49:DP49)</f>
        <v>0.01</v>
      </c>
      <c r="DR49" s="2127">
        <f>DP49</f>
        <v>0.01</v>
      </c>
      <c r="DS49" s="636">
        <f>DR49</f>
        <v>0.01</v>
      </c>
      <c r="DT49" s="636">
        <f>DS49</f>
        <v>0.01</v>
      </c>
      <c r="DU49" s="636">
        <f>DT49</f>
        <v>0.01</v>
      </c>
      <c r="DV49" s="2121">
        <f>AVERAGE(DR49:DU49)</f>
        <v>0.01</v>
      </c>
      <c r="DW49" s="2127">
        <f>DU49</f>
        <v>0.01</v>
      </c>
      <c r="DX49" s="636">
        <f>DW49</f>
        <v>0.01</v>
      </c>
      <c r="DY49" s="636">
        <f>DX49</f>
        <v>0.01</v>
      </c>
      <c r="DZ49" s="636">
        <f>DY49</f>
        <v>0.01</v>
      </c>
      <c r="EA49" s="2121">
        <f>AVERAGE(DW49:DZ49)</f>
        <v>0.01</v>
      </c>
      <c r="EB49" s="2127">
        <f>DZ49</f>
        <v>0.01</v>
      </c>
      <c r="EC49" s="636">
        <f>EB49</f>
        <v>0.01</v>
      </c>
      <c r="ED49" s="636">
        <f>EC49</f>
        <v>0.01</v>
      </c>
      <c r="EE49" s="636">
        <f>ED49</f>
        <v>0.01</v>
      </c>
      <c r="EF49" s="2121">
        <f>AVERAGE(EB49:EE49)</f>
        <v>0.01</v>
      </c>
      <c r="EG49" s="2127">
        <f>EE49</f>
        <v>0.01</v>
      </c>
      <c r="EH49" s="636">
        <f>EG49</f>
        <v>0.01</v>
      </c>
      <c r="EI49" s="636">
        <f>EH49</f>
        <v>0.01</v>
      </c>
      <c r="EJ49" s="636">
        <f>EI49</f>
        <v>0.01</v>
      </c>
      <c r="EK49" s="2121">
        <f>AVERAGE(EG49:EJ49)</f>
        <v>0.01</v>
      </c>
      <c r="EL49" s="2127">
        <f>EJ49</f>
        <v>0.01</v>
      </c>
      <c r="EM49" s="636">
        <f>EL49</f>
        <v>0.01</v>
      </c>
      <c r="EN49" s="636">
        <f>EM49</f>
        <v>0.01</v>
      </c>
      <c r="EO49" s="636">
        <f>EN49</f>
        <v>0.01</v>
      </c>
      <c r="EP49" s="2121">
        <f>AVERAGE(EL49:EO49)</f>
        <v>0.01</v>
      </c>
      <c r="EQ49" s="2127">
        <f>EO49</f>
        <v>0.01</v>
      </c>
      <c r="ER49" s="636">
        <f>EQ49</f>
        <v>0.01</v>
      </c>
      <c r="ES49" s="636">
        <f>ER49</f>
        <v>0.01</v>
      </c>
      <c r="ET49" s="636">
        <f>ES49</f>
        <v>0.01</v>
      </c>
      <c r="EU49" s="2121">
        <f>AVERAGE(EQ49:ET49)</f>
        <v>0.01</v>
      </c>
      <c r="EV49" s="2127">
        <f>ET49</f>
        <v>0.01</v>
      </c>
      <c r="EW49" s="636">
        <f>EV49</f>
        <v>0.01</v>
      </c>
      <c r="EX49" s="636">
        <f>EW49</f>
        <v>0.01</v>
      </c>
      <c r="EY49" s="636">
        <f>EX49</f>
        <v>0.01</v>
      </c>
      <c r="EZ49" s="2121">
        <f>AVERAGE(EV49:EY49)</f>
        <v>0.01</v>
      </c>
      <c r="FA49" s="2121"/>
      <c r="FB49" s="2121"/>
      <c r="FC49" s="2121"/>
      <c r="FD49" s="424"/>
      <c r="FF49" s="424"/>
      <c r="FL49" s="1383"/>
      <c r="FM49" s="1383"/>
    </row>
    <row r="50" spans="1:170" ht="11.25" customHeight="1">
      <c r="A50" s="2120" t="s">
        <v>417</v>
      </c>
      <c r="B50" s="421"/>
      <c r="C50" s="421"/>
      <c r="D50" s="421"/>
      <c r="E50" s="421"/>
      <c r="F50" s="2121"/>
      <c r="G50" s="421"/>
      <c r="H50" s="421"/>
      <c r="I50" s="421"/>
      <c r="J50" s="421"/>
      <c r="K50" s="2121"/>
      <c r="L50" s="421"/>
      <c r="M50" s="421"/>
      <c r="N50" s="421"/>
      <c r="O50" s="421"/>
      <c r="P50" s="2121"/>
      <c r="Q50" s="421"/>
      <c r="R50" s="421"/>
      <c r="S50" s="421"/>
      <c r="T50" s="421"/>
      <c r="U50" s="2121"/>
      <c r="V50" s="421"/>
      <c r="W50" s="421"/>
      <c r="X50" s="421"/>
      <c r="Y50" s="421"/>
      <c r="Z50" s="2121"/>
      <c r="AA50" s="421"/>
      <c r="AB50" s="421"/>
      <c r="AC50" s="421"/>
      <c r="AD50" s="421"/>
      <c r="AE50" s="2121"/>
      <c r="AF50" s="421"/>
      <c r="AG50" s="421"/>
      <c r="AH50" s="421"/>
      <c r="AI50" s="421"/>
      <c r="AJ50" s="2121"/>
      <c r="AK50" s="421"/>
      <c r="AL50" s="421"/>
      <c r="AM50" s="421"/>
      <c r="AN50" s="421"/>
      <c r="AO50" s="2121"/>
      <c r="AP50" s="421"/>
      <c r="AQ50" s="421"/>
      <c r="AR50" s="421"/>
      <c r="AS50" s="421"/>
      <c r="AT50" s="2121"/>
      <c r="AU50" s="421"/>
      <c r="AV50" s="421"/>
      <c r="AW50" s="421"/>
      <c r="AX50" s="421"/>
      <c r="AY50" s="2121"/>
      <c r="AZ50" s="2122"/>
      <c r="BA50" s="424"/>
      <c r="BB50" s="424"/>
      <c r="BC50" s="424"/>
      <c r="BD50" s="2121"/>
      <c r="BE50" s="2122"/>
      <c r="BF50" s="424"/>
      <c r="BG50" s="424"/>
      <c r="BH50" s="424"/>
      <c r="BI50" s="2121"/>
      <c r="BJ50" s="2122"/>
      <c r="BK50" s="424"/>
      <c r="BL50" s="424"/>
      <c r="BM50" s="426"/>
      <c r="BN50" s="2121"/>
      <c r="BO50" s="2122"/>
      <c r="BP50" s="424"/>
      <c r="BQ50" s="424"/>
      <c r="BR50" s="424"/>
      <c r="BS50" s="2121"/>
      <c r="BT50" s="2122"/>
      <c r="BU50" s="424"/>
      <c r="BV50" s="424"/>
      <c r="BW50" s="426"/>
      <c r="BX50" s="2121"/>
      <c r="BY50" s="2122"/>
      <c r="BZ50" s="424"/>
      <c r="CA50" s="424"/>
      <c r="CB50" s="426"/>
      <c r="CC50" s="2121"/>
      <c r="CD50" s="2122"/>
      <c r="CE50" s="424"/>
      <c r="CF50" s="424"/>
      <c r="CG50" s="426"/>
      <c r="CH50" s="2121"/>
      <c r="CI50" s="424"/>
      <c r="CJ50" s="424"/>
      <c r="CK50" s="424"/>
      <c r="CL50" s="426"/>
      <c r="CM50" s="2121"/>
      <c r="CN50" s="424"/>
      <c r="CO50" s="424"/>
      <c r="CP50" s="424"/>
      <c r="CQ50" s="426"/>
      <c r="CR50" s="2121"/>
      <c r="CS50" s="636">
        <f>1-CS49-SUM(CS51:CS55)</f>
        <v>9.9999999999999867E-2</v>
      </c>
      <c r="CT50" s="636">
        <f>1-CT49-SUM(CT51:CT55)</f>
        <v>9.9999999999999867E-2</v>
      </c>
      <c r="CU50" s="636">
        <f t="shared" ref="CU50:DG50" si="136">1-CU49-SUM(CU51:CU55)</f>
        <v>9.9999999999999867E-2</v>
      </c>
      <c r="CV50" s="636">
        <f t="shared" si="136"/>
        <v>9.9999999999999867E-2</v>
      </c>
      <c r="CW50" s="2121">
        <f t="shared" si="136"/>
        <v>9.9999999999999867E-2</v>
      </c>
      <c r="CX50" s="2122">
        <f t="shared" si="136"/>
        <v>9.9999999999999867E-2</v>
      </c>
      <c r="CY50" s="636">
        <f t="shared" si="136"/>
        <v>9.9999999999999867E-2</v>
      </c>
      <c r="CZ50" s="636">
        <f t="shared" si="136"/>
        <v>9.9999999999999867E-2</v>
      </c>
      <c r="DA50" s="1172">
        <f t="shared" si="136"/>
        <v>0.11999999999999988</v>
      </c>
      <c r="DB50" s="2121">
        <f t="shared" si="136"/>
        <v>0.10499999999999998</v>
      </c>
      <c r="DC50" s="2127">
        <f t="shared" si="136"/>
        <v>7.999999999999996E-2</v>
      </c>
      <c r="DD50" s="636">
        <f t="shared" si="136"/>
        <v>9.9999999999999978E-2</v>
      </c>
      <c r="DE50" s="636">
        <f t="shared" si="136"/>
        <v>4.0000000000000036E-2</v>
      </c>
      <c r="DF50" s="1172">
        <f t="shared" si="136"/>
        <v>8.9999999999999969E-2</v>
      </c>
      <c r="DG50" s="2121">
        <f t="shared" si="136"/>
        <v>7.7500000000000013E-2</v>
      </c>
      <c r="DH50" s="2127">
        <f t="shared" ref="DH50:DV50" si="137">1-DH49-SUM(DH51:DH55)</f>
        <v>0.10999999999999999</v>
      </c>
      <c r="DI50" s="636">
        <f t="shared" si="137"/>
        <v>3.9999999999999925E-2</v>
      </c>
      <c r="DJ50" s="636">
        <f t="shared" si="137"/>
        <v>7.5000000000000067E-2</v>
      </c>
      <c r="DK50" s="1172">
        <f t="shared" si="137"/>
        <v>7.5000000000000067E-2</v>
      </c>
      <c r="DL50" s="2121">
        <f t="shared" si="137"/>
        <v>7.5000000000000067E-2</v>
      </c>
      <c r="DM50" s="2127">
        <f t="shared" si="137"/>
        <v>7.5000000000000067E-2</v>
      </c>
      <c r="DN50" s="636">
        <f t="shared" si="137"/>
        <v>6.0000000000000053E-2</v>
      </c>
      <c r="DO50" s="636">
        <f t="shared" si="137"/>
        <v>6.0000000000000053E-2</v>
      </c>
      <c r="DP50" s="1172">
        <f t="shared" si="137"/>
        <v>6.0000000000000053E-2</v>
      </c>
      <c r="DQ50" s="2121">
        <f t="shared" si="137"/>
        <v>6.3750000000000084E-2</v>
      </c>
      <c r="DR50" s="2127">
        <f t="shared" si="137"/>
        <v>6.0000000000000053E-2</v>
      </c>
      <c r="DS50" s="636">
        <f t="shared" si="137"/>
        <v>6.0000000000000053E-2</v>
      </c>
      <c r="DT50" s="636">
        <f t="shared" si="137"/>
        <v>6.0000000000000053E-2</v>
      </c>
      <c r="DU50" s="1172">
        <f t="shared" si="137"/>
        <v>0.16000000000000003</v>
      </c>
      <c r="DV50" s="2121">
        <f t="shared" si="137"/>
        <v>8.4999999999999964E-2</v>
      </c>
      <c r="DW50" s="2127">
        <f t="shared" ref="DW50:EF50" si="138">1-DW49-SUM(DW51:DW55)</f>
        <v>0.16000000000000003</v>
      </c>
      <c r="DX50" s="636">
        <f t="shared" si="138"/>
        <v>0.16000000000000003</v>
      </c>
      <c r="DY50" s="636">
        <f t="shared" si="138"/>
        <v>0.41000000000000003</v>
      </c>
      <c r="DZ50" s="1172">
        <f t="shared" si="138"/>
        <v>0.41000000000000003</v>
      </c>
      <c r="EA50" s="2121">
        <f t="shared" si="138"/>
        <v>0.28500000000000003</v>
      </c>
      <c r="EB50" s="2127">
        <f t="shared" si="138"/>
        <v>0.41000000000000003</v>
      </c>
      <c r="EC50" s="636">
        <f t="shared" si="138"/>
        <v>0.41000000000000003</v>
      </c>
      <c r="ED50" s="636">
        <f t="shared" si="138"/>
        <v>0.26000000000000012</v>
      </c>
      <c r="EE50" s="1172">
        <f t="shared" si="138"/>
        <v>0.26000000000000012</v>
      </c>
      <c r="EF50" s="2121">
        <f t="shared" si="138"/>
        <v>0.33499999999999996</v>
      </c>
      <c r="EG50" s="2127">
        <f t="shared" ref="EG50:EP50" si="139">1-EG49-SUM(EG51:EG55)</f>
        <v>0.26000000000000012</v>
      </c>
      <c r="EH50" s="636">
        <f t="shared" si="139"/>
        <v>0.26000000000000012</v>
      </c>
      <c r="EI50" s="636">
        <f t="shared" si="139"/>
        <v>0.26000000000000012</v>
      </c>
      <c r="EJ50" s="1172">
        <f t="shared" si="139"/>
        <v>0.26000000000000012</v>
      </c>
      <c r="EK50" s="2121">
        <f t="shared" si="139"/>
        <v>0.26000000000000012</v>
      </c>
      <c r="EL50" s="2127">
        <f t="shared" si="139"/>
        <v>0.26000000000000012</v>
      </c>
      <c r="EM50" s="636">
        <f t="shared" si="139"/>
        <v>0.26000000000000012</v>
      </c>
      <c r="EN50" s="636">
        <f t="shared" si="139"/>
        <v>0.26000000000000012</v>
      </c>
      <c r="EO50" s="1172">
        <f t="shared" si="139"/>
        <v>0.26000000000000012</v>
      </c>
      <c r="EP50" s="2121">
        <f t="shared" si="139"/>
        <v>0.26000000000000012</v>
      </c>
      <c r="EQ50" s="2127">
        <f t="shared" ref="EQ50:EU50" si="140">1-EQ49-SUM(EQ51:EQ55)</f>
        <v>0.26000000000000012</v>
      </c>
      <c r="ER50" s="636">
        <f t="shared" si="140"/>
        <v>0.26000000000000012</v>
      </c>
      <c r="ES50" s="636">
        <f t="shared" si="140"/>
        <v>0.26000000000000012</v>
      </c>
      <c r="ET50" s="1172">
        <f t="shared" si="140"/>
        <v>0.26000000000000012</v>
      </c>
      <c r="EU50" s="2121">
        <f t="shared" si="140"/>
        <v>0.26000000000000012</v>
      </c>
      <c r="EV50" s="2127">
        <f t="shared" ref="EV50:EZ50" si="141">1-EV49-SUM(EV51:EV55)</f>
        <v>0.26000000000000012</v>
      </c>
      <c r="EW50" s="636">
        <f t="shared" si="141"/>
        <v>0.26000000000000012</v>
      </c>
      <c r="EX50" s="636">
        <f t="shared" si="141"/>
        <v>0.26000000000000012</v>
      </c>
      <c r="EY50" s="1172">
        <f t="shared" si="141"/>
        <v>0.26000000000000012</v>
      </c>
      <c r="EZ50" s="2121">
        <f t="shared" si="141"/>
        <v>0.26000000000000012</v>
      </c>
      <c r="FA50" s="2121"/>
      <c r="FB50" s="2121"/>
      <c r="FC50" s="2121"/>
      <c r="FD50" s="424"/>
      <c r="FF50" s="424"/>
      <c r="FL50" s="1383"/>
      <c r="FM50" s="1383"/>
    </row>
    <row r="51" spans="1:170" ht="11.25" customHeight="1">
      <c r="A51" s="2120" t="s">
        <v>607</v>
      </c>
      <c r="B51" s="421"/>
      <c r="C51" s="421"/>
      <c r="D51" s="421"/>
      <c r="E51" s="421"/>
      <c r="F51" s="2121"/>
      <c r="G51" s="421"/>
      <c r="H51" s="421"/>
      <c r="I51" s="421"/>
      <c r="J51" s="421"/>
      <c r="K51" s="2121"/>
      <c r="L51" s="421"/>
      <c r="M51" s="421"/>
      <c r="N51" s="421"/>
      <c r="O51" s="421"/>
      <c r="P51" s="2121"/>
      <c r="Q51" s="421"/>
      <c r="R51" s="421"/>
      <c r="S51" s="421"/>
      <c r="T51" s="421"/>
      <c r="U51" s="2121"/>
      <c r="V51" s="421"/>
      <c r="W51" s="421"/>
      <c r="X51" s="421"/>
      <c r="Y51" s="421"/>
      <c r="Z51" s="2121"/>
      <c r="AA51" s="421"/>
      <c r="AB51" s="421"/>
      <c r="AC51" s="421"/>
      <c r="AD51" s="421"/>
      <c r="AE51" s="2121"/>
      <c r="AF51" s="421"/>
      <c r="AG51" s="421"/>
      <c r="AH51" s="421"/>
      <c r="AI51" s="421"/>
      <c r="AJ51" s="2121"/>
      <c r="AK51" s="421"/>
      <c r="AL51" s="421"/>
      <c r="AM51" s="421"/>
      <c r="AN51" s="421"/>
      <c r="AO51" s="2121"/>
      <c r="AP51" s="421"/>
      <c r="AQ51" s="421"/>
      <c r="AR51" s="421"/>
      <c r="AS51" s="421"/>
      <c r="AT51" s="2121"/>
      <c r="AU51" s="421"/>
      <c r="AV51" s="421"/>
      <c r="AW51" s="421"/>
      <c r="AX51" s="421"/>
      <c r="AY51" s="2121"/>
      <c r="AZ51" s="2122"/>
      <c r="BA51" s="424"/>
      <c r="BB51" s="424"/>
      <c r="BC51" s="424"/>
      <c r="BD51" s="2121"/>
      <c r="BE51" s="2122"/>
      <c r="BF51" s="424"/>
      <c r="BG51" s="424"/>
      <c r="BH51" s="424"/>
      <c r="BI51" s="2121"/>
      <c r="BJ51" s="2122"/>
      <c r="BK51" s="424"/>
      <c r="BL51" s="424"/>
      <c r="BM51" s="426"/>
      <c r="BN51" s="2121"/>
      <c r="BO51" s="2122"/>
      <c r="BP51" s="424"/>
      <c r="BQ51" s="424"/>
      <c r="BR51" s="424"/>
      <c r="BS51" s="2121"/>
      <c r="BT51" s="2122"/>
      <c r="BU51" s="424"/>
      <c r="BV51" s="424"/>
      <c r="BW51" s="426"/>
      <c r="BX51" s="2121"/>
      <c r="BY51" s="2122"/>
      <c r="BZ51" s="424"/>
      <c r="CA51" s="424"/>
      <c r="CB51" s="426"/>
      <c r="CC51" s="2121"/>
      <c r="CD51" s="2122"/>
      <c r="CE51" s="424"/>
      <c r="CF51" s="424"/>
      <c r="CG51" s="426"/>
      <c r="CH51" s="2121"/>
      <c r="CI51" s="424"/>
      <c r="CJ51" s="424"/>
      <c r="CK51" s="424"/>
      <c r="CL51" s="426"/>
      <c r="CM51" s="2121"/>
      <c r="CN51" s="424"/>
      <c r="CO51" s="424"/>
      <c r="CP51" s="424"/>
      <c r="CQ51" s="426"/>
      <c r="CR51" s="2121"/>
      <c r="CS51" s="636">
        <f t="shared" ref="CS51:CU55" si="142">CT51</f>
        <v>0.26</v>
      </c>
      <c r="CT51" s="636">
        <f t="shared" si="142"/>
        <v>0.26</v>
      </c>
      <c r="CU51" s="636">
        <f t="shared" si="142"/>
        <v>0.26</v>
      </c>
      <c r="CV51" s="636">
        <f>CX51</f>
        <v>0.26</v>
      </c>
      <c r="CW51" s="2121">
        <f>AVERAGE(CS51:CV51)</f>
        <v>0.26</v>
      </c>
      <c r="CX51" s="2123">
        <v>0.26</v>
      </c>
      <c r="CY51" s="636">
        <f>CX51</f>
        <v>0.26</v>
      </c>
      <c r="CZ51" s="636">
        <f>CY51</f>
        <v>0.26</v>
      </c>
      <c r="DA51" s="636">
        <f>CZ51</f>
        <v>0.26</v>
      </c>
      <c r="DB51" s="2121">
        <f>AVERAGE(CX51:DA51)</f>
        <v>0.26</v>
      </c>
      <c r="DC51" s="2127">
        <v>0.25</v>
      </c>
      <c r="DD51" s="1334">
        <v>0.23</v>
      </c>
      <c r="DE51" s="1334">
        <v>0.2</v>
      </c>
      <c r="DF51" s="1334">
        <v>0.08</v>
      </c>
      <c r="DG51" s="2121">
        <f>AVERAGE(DC51:DF51)</f>
        <v>0.18999999999999997</v>
      </c>
      <c r="DH51" s="2127">
        <v>0.1</v>
      </c>
      <c r="DI51" s="636">
        <v>0.12</v>
      </c>
      <c r="DJ51" s="636">
        <v>0.15</v>
      </c>
      <c r="DK51" s="636">
        <f>DJ51</f>
        <v>0.15</v>
      </c>
      <c r="DL51" s="2121">
        <f>AVERAGE(DH51:DK51)</f>
        <v>0.13</v>
      </c>
      <c r="DM51" s="2127">
        <f>DK51</f>
        <v>0.15</v>
      </c>
      <c r="DN51" s="636">
        <f t="shared" ref="DN51:DP55" si="143">DM51</f>
        <v>0.15</v>
      </c>
      <c r="DO51" s="636">
        <f t="shared" si="143"/>
        <v>0.15</v>
      </c>
      <c r="DP51" s="636">
        <f t="shared" si="143"/>
        <v>0.15</v>
      </c>
      <c r="DQ51" s="2121">
        <f>AVERAGE(DM51:DP51)</f>
        <v>0.15</v>
      </c>
      <c r="DR51" s="2127">
        <f>DP51</f>
        <v>0.15</v>
      </c>
      <c r="DS51" s="636">
        <f t="shared" ref="DS51:DU55" si="144">DR51</f>
        <v>0.15</v>
      </c>
      <c r="DT51" s="636">
        <f t="shared" si="144"/>
        <v>0.15</v>
      </c>
      <c r="DU51" s="636">
        <f t="shared" si="144"/>
        <v>0.15</v>
      </c>
      <c r="DV51" s="2121">
        <f>AVERAGE(DR51:DU51)</f>
        <v>0.15</v>
      </c>
      <c r="DW51" s="2127">
        <f>DU51</f>
        <v>0.15</v>
      </c>
      <c r="DX51" s="636">
        <f t="shared" ref="DX51:DZ55" si="145">DW51</f>
        <v>0.15</v>
      </c>
      <c r="DY51" s="636">
        <v>0.25</v>
      </c>
      <c r="DZ51" s="636">
        <f t="shared" si="145"/>
        <v>0.25</v>
      </c>
      <c r="EA51" s="2121">
        <f>AVERAGE(DW51:DZ51)</f>
        <v>0.2</v>
      </c>
      <c r="EB51" s="2127">
        <f>DZ51</f>
        <v>0.25</v>
      </c>
      <c r="EC51" s="636">
        <f t="shared" ref="EC51:EE55" si="146">EB51</f>
        <v>0.25</v>
      </c>
      <c r="ED51" s="636">
        <v>0.3</v>
      </c>
      <c r="EE51" s="636">
        <f t="shared" si="146"/>
        <v>0.3</v>
      </c>
      <c r="EF51" s="2121">
        <f>AVERAGE(EB51:EE51)</f>
        <v>0.27500000000000002</v>
      </c>
      <c r="EG51" s="2127">
        <f>EE51</f>
        <v>0.3</v>
      </c>
      <c r="EH51" s="636">
        <f t="shared" ref="EH51:EJ55" si="147">EG51</f>
        <v>0.3</v>
      </c>
      <c r="EI51" s="636">
        <f t="shared" si="147"/>
        <v>0.3</v>
      </c>
      <c r="EJ51" s="636">
        <f t="shared" si="147"/>
        <v>0.3</v>
      </c>
      <c r="EK51" s="2121">
        <f>AVERAGE(EG51:EJ51)</f>
        <v>0.3</v>
      </c>
      <c r="EL51" s="2127">
        <f>EJ51</f>
        <v>0.3</v>
      </c>
      <c r="EM51" s="636">
        <f t="shared" ref="EM51:EO55" si="148">EL51</f>
        <v>0.3</v>
      </c>
      <c r="EN51" s="636">
        <f t="shared" si="148"/>
        <v>0.3</v>
      </c>
      <c r="EO51" s="636">
        <f t="shared" si="148"/>
        <v>0.3</v>
      </c>
      <c r="EP51" s="2121">
        <f>AVERAGE(EL51:EO51)</f>
        <v>0.3</v>
      </c>
      <c r="EQ51" s="2127">
        <f>EO51</f>
        <v>0.3</v>
      </c>
      <c r="ER51" s="636">
        <f t="shared" ref="ER51:ER55" si="149">EQ51</f>
        <v>0.3</v>
      </c>
      <c r="ES51" s="636">
        <f t="shared" ref="ES51:ES55" si="150">ER51</f>
        <v>0.3</v>
      </c>
      <c r="ET51" s="636">
        <f t="shared" ref="ET51:ET55" si="151">ES51</f>
        <v>0.3</v>
      </c>
      <c r="EU51" s="2121">
        <f>AVERAGE(EQ51:ET51)</f>
        <v>0.3</v>
      </c>
      <c r="EV51" s="2127">
        <f>ET51</f>
        <v>0.3</v>
      </c>
      <c r="EW51" s="636">
        <f t="shared" ref="EW51:EW55" si="152">EV51</f>
        <v>0.3</v>
      </c>
      <c r="EX51" s="636">
        <f t="shared" ref="EX51:EX55" si="153">EW51</f>
        <v>0.3</v>
      </c>
      <c r="EY51" s="636">
        <f t="shared" ref="EY51:EY55" si="154">EX51</f>
        <v>0.3</v>
      </c>
      <c r="EZ51" s="2121">
        <f>AVERAGE(EV51:EY51)</f>
        <v>0.3</v>
      </c>
      <c r="FA51" s="2121"/>
      <c r="FB51" s="2121"/>
      <c r="FC51" s="2121"/>
      <c r="FD51" s="424"/>
      <c r="FF51" s="424"/>
      <c r="FL51" s="1383"/>
      <c r="FM51" s="1383"/>
    </row>
    <row r="52" spans="1:170" ht="11.25" customHeight="1">
      <c r="A52" s="2120" t="s">
        <v>418</v>
      </c>
      <c r="B52" s="421"/>
      <c r="C52" s="421"/>
      <c r="D52" s="421"/>
      <c r="E52" s="421"/>
      <c r="F52" s="2121"/>
      <c r="G52" s="421"/>
      <c r="H52" s="421"/>
      <c r="I52" s="421"/>
      <c r="J52" s="421"/>
      <c r="K52" s="2121"/>
      <c r="L52" s="421"/>
      <c r="M52" s="421"/>
      <c r="N52" s="421"/>
      <c r="O52" s="421"/>
      <c r="P52" s="2121"/>
      <c r="Q52" s="421"/>
      <c r="R52" s="421"/>
      <c r="S52" s="421"/>
      <c r="T52" s="421"/>
      <c r="U52" s="2121"/>
      <c r="V52" s="421"/>
      <c r="W52" s="421"/>
      <c r="X52" s="421"/>
      <c r="Y52" s="421"/>
      <c r="Z52" s="2121"/>
      <c r="AA52" s="421"/>
      <c r="AB52" s="421"/>
      <c r="AC52" s="421"/>
      <c r="AD52" s="421"/>
      <c r="AE52" s="2121"/>
      <c r="AF52" s="421"/>
      <c r="AG52" s="421"/>
      <c r="AH52" s="421"/>
      <c r="AI52" s="421"/>
      <c r="AJ52" s="2121"/>
      <c r="AK52" s="421"/>
      <c r="AL52" s="421"/>
      <c r="AM52" s="421"/>
      <c r="AN52" s="421"/>
      <c r="AO52" s="2121"/>
      <c r="AP52" s="421"/>
      <c r="AQ52" s="421"/>
      <c r="AR52" s="421"/>
      <c r="AS52" s="421"/>
      <c r="AT52" s="2121"/>
      <c r="AU52" s="421"/>
      <c r="AV52" s="421"/>
      <c r="AW52" s="421"/>
      <c r="AX52" s="421"/>
      <c r="AY52" s="2121"/>
      <c r="AZ52" s="2122"/>
      <c r="BA52" s="424"/>
      <c r="BB52" s="424"/>
      <c r="BC52" s="424"/>
      <c r="BD52" s="2121"/>
      <c r="BE52" s="2122"/>
      <c r="BF52" s="424"/>
      <c r="BG52" s="424"/>
      <c r="BH52" s="424"/>
      <c r="BI52" s="2121"/>
      <c r="BJ52" s="2122"/>
      <c r="BK52" s="424"/>
      <c r="BL52" s="424"/>
      <c r="BM52" s="426"/>
      <c r="BN52" s="2121"/>
      <c r="BO52" s="2122"/>
      <c r="BP52" s="424"/>
      <c r="BQ52" s="424"/>
      <c r="BR52" s="424"/>
      <c r="BS52" s="2121"/>
      <c r="BT52" s="2122"/>
      <c r="BU52" s="424"/>
      <c r="BV52" s="424"/>
      <c r="BW52" s="426"/>
      <c r="BX52" s="2121"/>
      <c r="BY52" s="2122"/>
      <c r="BZ52" s="424"/>
      <c r="CA52" s="424"/>
      <c r="CB52" s="426"/>
      <c r="CC52" s="2121"/>
      <c r="CD52" s="2122"/>
      <c r="CE52" s="424"/>
      <c r="CF52" s="424"/>
      <c r="CG52" s="426"/>
      <c r="CH52" s="2121"/>
      <c r="CI52" s="424"/>
      <c r="CJ52" s="424"/>
      <c r="CK52" s="424"/>
      <c r="CL52" s="426"/>
      <c r="CM52" s="2121"/>
      <c r="CN52" s="424"/>
      <c r="CO52" s="424"/>
      <c r="CP52" s="424"/>
      <c r="CQ52" s="426"/>
      <c r="CR52" s="2121"/>
      <c r="CS52" s="636">
        <f t="shared" si="142"/>
        <v>0.52</v>
      </c>
      <c r="CT52" s="636">
        <f t="shared" si="142"/>
        <v>0.52</v>
      </c>
      <c r="CU52" s="636">
        <f t="shared" si="142"/>
        <v>0.52</v>
      </c>
      <c r="CV52" s="636">
        <f>CX52</f>
        <v>0.52</v>
      </c>
      <c r="CW52" s="2121">
        <f>AVERAGE(CS52:CV52)</f>
        <v>0.52</v>
      </c>
      <c r="CX52" s="2122">
        <v>0.52</v>
      </c>
      <c r="CY52" s="636">
        <f t="shared" ref="CY52:DA55" si="155">CX52</f>
        <v>0.52</v>
      </c>
      <c r="CZ52" s="636">
        <f t="shared" si="155"/>
        <v>0.52</v>
      </c>
      <c r="DA52" s="1334">
        <v>0.5</v>
      </c>
      <c r="DB52" s="2121">
        <f>AVERAGE(CX52:DA52)</f>
        <v>0.51500000000000001</v>
      </c>
      <c r="DC52" s="2127">
        <v>0.6</v>
      </c>
      <c r="DD52" s="1334">
        <v>0.52</v>
      </c>
      <c r="DE52" s="1334">
        <v>0.5</v>
      </c>
      <c r="DF52" s="1334">
        <v>0.4</v>
      </c>
      <c r="DG52" s="2121">
        <f>AVERAGE(DC52:DF52)</f>
        <v>0.505</v>
      </c>
      <c r="DH52" s="2127">
        <v>0.4</v>
      </c>
      <c r="DI52" s="636">
        <v>0.45</v>
      </c>
      <c r="DJ52" s="636">
        <v>0.48499999999999999</v>
      </c>
      <c r="DK52" s="636">
        <f>DJ52</f>
        <v>0.48499999999999999</v>
      </c>
      <c r="DL52" s="2121">
        <f>AVERAGE(DH52:DK52)</f>
        <v>0.45499999999999996</v>
      </c>
      <c r="DM52" s="2127">
        <f>DK52</f>
        <v>0.48499999999999999</v>
      </c>
      <c r="DN52" s="636">
        <v>0.45</v>
      </c>
      <c r="DO52" s="636">
        <f t="shared" si="143"/>
        <v>0.45</v>
      </c>
      <c r="DP52" s="636">
        <f t="shared" si="143"/>
        <v>0.45</v>
      </c>
      <c r="DQ52" s="2121">
        <f>AVERAGE(DM52:DP52)</f>
        <v>0.45874999999999999</v>
      </c>
      <c r="DR52" s="2127">
        <f>DP52</f>
        <v>0.45</v>
      </c>
      <c r="DS52" s="636">
        <f t="shared" si="144"/>
        <v>0.45</v>
      </c>
      <c r="DT52" s="636">
        <f t="shared" si="144"/>
        <v>0.45</v>
      </c>
      <c r="DU52" s="636">
        <v>0.35</v>
      </c>
      <c r="DV52" s="2121">
        <f>AVERAGE(DR52:DU52)</f>
        <v>0.42500000000000004</v>
      </c>
      <c r="DW52" s="2127">
        <f>DU52</f>
        <v>0.35</v>
      </c>
      <c r="DX52" s="636">
        <f t="shared" si="145"/>
        <v>0.35</v>
      </c>
      <c r="DY52" s="636">
        <v>0.15</v>
      </c>
      <c r="DZ52" s="636">
        <f t="shared" si="145"/>
        <v>0.15</v>
      </c>
      <c r="EA52" s="2121">
        <f>AVERAGE(DW52:DZ52)</f>
        <v>0.25</v>
      </c>
      <c r="EB52" s="2127">
        <f>DZ52</f>
        <v>0.15</v>
      </c>
      <c r="EC52" s="636">
        <f t="shared" si="146"/>
        <v>0.15</v>
      </c>
      <c r="ED52" s="636">
        <f t="shared" si="146"/>
        <v>0.15</v>
      </c>
      <c r="EE52" s="636">
        <f t="shared" si="146"/>
        <v>0.15</v>
      </c>
      <c r="EF52" s="2121">
        <f>AVERAGE(EB52:EE52)</f>
        <v>0.15</v>
      </c>
      <c r="EG52" s="2127">
        <f>EE52</f>
        <v>0.15</v>
      </c>
      <c r="EH52" s="636">
        <f t="shared" si="147"/>
        <v>0.15</v>
      </c>
      <c r="EI52" s="636">
        <f t="shared" si="147"/>
        <v>0.15</v>
      </c>
      <c r="EJ52" s="636">
        <f t="shared" si="147"/>
        <v>0.15</v>
      </c>
      <c r="EK52" s="2121">
        <f>AVERAGE(EG52:EJ52)</f>
        <v>0.15</v>
      </c>
      <c r="EL52" s="2127">
        <f>EJ52</f>
        <v>0.15</v>
      </c>
      <c r="EM52" s="636">
        <f t="shared" si="148"/>
        <v>0.15</v>
      </c>
      <c r="EN52" s="636">
        <f t="shared" si="148"/>
        <v>0.15</v>
      </c>
      <c r="EO52" s="636">
        <f t="shared" si="148"/>
        <v>0.15</v>
      </c>
      <c r="EP52" s="2121">
        <f>AVERAGE(EL52:EO52)</f>
        <v>0.15</v>
      </c>
      <c r="EQ52" s="2127">
        <f>EO52</f>
        <v>0.15</v>
      </c>
      <c r="ER52" s="636">
        <f t="shared" si="149"/>
        <v>0.15</v>
      </c>
      <c r="ES52" s="636">
        <f t="shared" si="150"/>
        <v>0.15</v>
      </c>
      <c r="ET52" s="636">
        <f t="shared" si="151"/>
        <v>0.15</v>
      </c>
      <c r="EU52" s="2121">
        <f>AVERAGE(EQ52:ET52)</f>
        <v>0.15</v>
      </c>
      <c r="EV52" s="2127">
        <f>ET52</f>
        <v>0.15</v>
      </c>
      <c r="EW52" s="636">
        <f t="shared" si="152"/>
        <v>0.15</v>
      </c>
      <c r="EX52" s="636">
        <f t="shared" si="153"/>
        <v>0.15</v>
      </c>
      <c r="EY52" s="636">
        <f t="shared" si="154"/>
        <v>0.15</v>
      </c>
      <c r="EZ52" s="2121">
        <f>AVERAGE(EV52:EY52)</f>
        <v>0.15</v>
      </c>
      <c r="FA52" s="2121"/>
      <c r="FB52" s="2121"/>
      <c r="FC52" s="2121"/>
      <c r="FD52" s="424"/>
      <c r="FF52" s="424"/>
      <c r="FL52" s="1383"/>
      <c r="FM52" s="1383"/>
    </row>
    <row r="53" spans="1:170" ht="11.25" customHeight="1">
      <c r="A53" s="1970" t="s">
        <v>858</v>
      </c>
      <c r="B53" s="421"/>
      <c r="C53" s="421"/>
      <c r="D53" s="421"/>
      <c r="E53" s="421"/>
      <c r="F53" s="1971"/>
      <c r="G53" s="421"/>
      <c r="H53" s="421"/>
      <c r="I53" s="421"/>
      <c r="J53" s="421"/>
      <c r="K53" s="1971"/>
      <c r="L53" s="421"/>
      <c r="M53" s="421"/>
      <c r="N53" s="421"/>
      <c r="O53" s="421"/>
      <c r="P53" s="1971"/>
      <c r="Q53" s="421"/>
      <c r="R53" s="421"/>
      <c r="S53" s="421"/>
      <c r="T53" s="421"/>
      <c r="U53" s="1971"/>
      <c r="V53" s="421"/>
      <c r="W53" s="421"/>
      <c r="X53" s="421"/>
      <c r="Y53" s="421"/>
      <c r="Z53" s="1971"/>
      <c r="AA53" s="421"/>
      <c r="AB53" s="421"/>
      <c r="AC53" s="421"/>
      <c r="AD53" s="421"/>
      <c r="AE53" s="1971"/>
      <c r="AF53" s="421"/>
      <c r="AG53" s="421"/>
      <c r="AH53" s="421"/>
      <c r="AI53" s="421"/>
      <c r="AJ53" s="1971"/>
      <c r="AK53" s="421"/>
      <c r="AL53" s="421"/>
      <c r="AM53" s="421"/>
      <c r="AN53" s="421"/>
      <c r="AO53" s="1971"/>
      <c r="AP53" s="421"/>
      <c r="AQ53" s="421"/>
      <c r="AR53" s="421"/>
      <c r="AS53" s="421"/>
      <c r="AT53" s="1971"/>
      <c r="AU53" s="421"/>
      <c r="AV53" s="421"/>
      <c r="AW53" s="421"/>
      <c r="AX53" s="421"/>
      <c r="AY53" s="1971"/>
      <c r="AZ53" s="1179"/>
      <c r="BA53" s="424"/>
      <c r="BB53" s="424"/>
      <c r="BC53" s="424"/>
      <c r="BD53" s="1971"/>
      <c r="BE53" s="1179"/>
      <c r="BF53" s="424"/>
      <c r="BG53" s="424"/>
      <c r="BH53" s="424"/>
      <c r="BI53" s="1971"/>
      <c r="BJ53" s="1179"/>
      <c r="BK53" s="424"/>
      <c r="BL53" s="424"/>
      <c r="BM53" s="426"/>
      <c r="BN53" s="1971"/>
      <c r="BO53" s="1179"/>
      <c r="BP53" s="424"/>
      <c r="BQ53" s="424"/>
      <c r="BR53" s="424"/>
      <c r="BS53" s="1971"/>
      <c r="BT53" s="1179"/>
      <c r="BU53" s="424"/>
      <c r="BV53" s="424"/>
      <c r="BW53" s="426"/>
      <c r="BX53" s="1971"/>
      <c r="BY53" s="1179"/>
      <c r="BZ53" s="424"/>
      <c r="CA53" s="424"/>
      <c r="CB53" s="426"/>
      <c r="CC53" s="1971"/>
      <c r="CD53" s="1179"/>
      <c r="CE53" s="424"/>
      <c r="CF53" s="424"/>
      <c r="CG53" s="426"/>
      <c r="CH53" s="1971"/>
      <c r="CI53" s="424"/>
      <c r="CJ53" s="424"/>
      <c r="CK53" s="424"/>
      <c r="CL53" s="426"/>
      <c r="CM53" s="1971"/>
      <c r="CN53" s="424"/>
      <c r="CO53" s="424"/>
      <c r="CP53" s="424"/>
      <c r="CQ53" s="426"/>
      <c r="CR53" s="1971"/>
      <c r="CS53" s="636">
        <f t="shared" ref="CS53:CU54" si="156">CT53</f>
        <v>0.06</v>
      </c>
      <c r="CT53" s="636">
        <f t="shared" si="156"/>
        <v>0.06</v>
      </c>
      <c r="CU53" s="636">
        <f t="shared" si="156"/>
        <v>0.06</v>
      </c>
      <c r="CV53" s="636">
        <f>CX53</f>
        <v>0.06</v>
      </c>
      <c r="CW53" s="2121">
        <f>AVERAGE(CS53:CV53)</f>
        <v>0.06</v>
      </c>
      <c r="CX53" s="1179">
        <v>0.06</v>
      </c>
      <c r="CY53" s="636">
        <f>CX53</f>
        <v>0.06</v>
      </c>
      <c r="CZ53" s="636">
        <f t="shared" si="155"/>
        <v>0.06</v>
      </c>
      <c r="DA53" s="1334">
        <v>0.06</v>
      </c>
      <c r="DB53" s="2121">
        <f>AVERAGE(CX53:DA53)</f>
        <v>0.06</v>
      </c>
      <c r="DC53" s="2127">
        <v>0.04</v>
      </c>
      <c r="DD53" s="1334">
        <v>0.1</v>
      </c>
      <c r="DE53" s="1334">
        <v>0.19</v>
      </c>
      <c r="DF53" s="1334">
        <v>0.3</v>
      </c>
      <c r="DG53" s="2121">
        <f>AVERAGE(DC53:DF53)</f>
        <v>0.1575</v>
      </c>
      <c r="DH53" s="2127">
        <f>DF53</f>
        <v>0.3</v>
      </c>
      <c r="DI53" s="636">
        <f>DH53</f>
        <v>0.3</v>
      </c>
      <c r="DJ53" s="636">
        <v>0.2</v>
      </c>
      <c r="DK53" s="636">
        <f>DJ53</f>
        <v>0.2</v>
      </c>
      <c r="DL53" s="2121">
        <f>AVERAGE(DH53:DK53)</f>
        <v>0.25</v>
      </c>
      <c r="DM53" s="2127">
        <f>DK53</f>
        <v>0.2</v>
      </c>
      <c r="DN53" s="636">
        <v>0.25</v>
      </c>
      <c r="DO53" s="636">
        <f t="shared" si="143"/>
        <v>0.25</v>
      </c>
      <c r="DP53" s="636">
        <f t="shared" si="143"/>
        <v>0.25</v>
      </c>
      <c r="DQ53" s="2121">
        <f>AVERAGE(DM53:DP53)</f>
        <v>0.23749999999999999</v>
      </c>
      <c r="DR53" s="2127">
        <f>DP53</f>
        <v>0.25</v>
      </c>
      <c r="DS53" s="636">
        <f t="shared" si="144"/>
        <v>0.25</v>
      </c>
      <c r="DT53" s="636">
        <f t="shared" si="144"/>
        <v>0.25</v>
      </c>
      <c r="DU53" s="636">
        <f t="shared" si="144"/>
        <v>0.25</v>
      </c>
      <c r="DV53" s="2121">
        <f>AVERAGE(DR53:DU53)</f>
        <v>0.25</v>
      </c>
      <c r="DW53" s="2127">
        <f>DU53</f>
        <v>0.25</v>
      </c>
      <c r="DX53" s="636">
        <f t="shared" si="145"/>
        <v>0.25</v>
      </c>
      <c r="DY53" s="636">
        <v>0.1</v>
      </c>
      <c r="DZ53" s="636">
        <f t="shared" si="145"/>
        <v>0.1</v>
      </c>
      <c r="EA53" s="1971">
        <f>AVERAGE(DW53:DZ53)</f>
        <v>0.17499999999999999</v>
      </c>
      <c r="EB53" s="2127">
        <f>DZ53</f>
        <v>0.1</v>
      </c>
      <c r="EC53" s="636">
        <f t="shared" si="146"/>
        <v>0.1</v>
      </c>
      <c r="ED53" s="636">
        <v>0.2</v>
      </c>
      <c r="EE53" s="636">
        <f t="shared" si="146"/>
        <v>0.2</v>
      </c>
      <c r="EF53" s="1971">
        <f>AVERAGE(EB53:EE53)</f>
        <v>0.15000000000000002</v>
      </c>
      <c r="EG53" s="2127">
        <f>EE53</f>
        <v>0.2</v>
      </c>
      <c r="EH53" s="636">
        <f t="shared" si="147"/>
        <v>0.2</v>
      </c>
      <c r="EI53" s="636">
        <f t="shared" si="147"/>
        <v>0.2</v>
      </c>
      <c r="EJ53" s="636">
        <f t="shared" si="147"/>
        <v>0.2</v>
      </c>
      <c r="EK53" s="1971">
        <f>AVERAGE(EG53:EJ53)</f>
        <v>0.2</v>
      </c>
      <c r="EL53" s="2127">
        <f>EJ53</f>
        <v>0.2</v>
      </c>
      <c r="EM53" s="636">
        <f t="shared" si="148"/>
        <v>0.2</v>
      </c>
      <c r="EN53" s="636">
        <f t="shared" si="148"/>
        <v>0.2</v>
      </c>
      <c r="EO53" s="636">
        <f t="shared" si="148"/>
        <v>0.2</v>
      </c>
      <c r="EP53" s="1971">
        <f>AVERAGE(EL53:EO53)</f>
        <v>0.2</v>
      </c>
      <c r="EQ53" s="2127">
        <f>EO53</f>
        <v>0.2</v>
      </c>
      <c r="ER53" s="636">
        <f t="shared" si="149"/>
        <v>0.2</v>
      </c>
      <c r="ES53" s="636">
        <f t="shared" si="150"/>
        <v>0.2</v>
      </c>
      <c r="ET53" s="636">
        <f t="shared" si="151"/>
        <v>0.2</v>
      </c>
      <c r="EU53" s="1971">
        <f>AVERAGE(EQ53:ET53)</f>
        <v>0.2</v>
      </c>
      <c r="EV53" s="2127">
        <f>ET53</f>
        <v>0.2</v>
      </c>
      <c r="EW53" s="636">
        <f t="shared" si="152"/>
        <v>0.2</v>
      </c>
      <c r="EX53" s="636">
        <f t="shared" si="153"/>
        <v>0.2</v>
      </c>
      <c r="EY53" s="636">
        <f t="shared" si="154"/>
        <v>0.2</v>
      </c>
      <c r="EZ53" s="1971">
        <f>AVERAGE(EV53:EY53)</f>
        <v>0.2</v>
      </c>
      <c r="FA53" s="1971"/>
      <c r="FB53" s="1971"/>
      <c r="FC53" s="1971"/>
      <c r="FD53" s="424"/>
      <c r="FF53" s="424"/>
      <c r="FL53" s="1383"/>
      <c r="FM53" s="1383"/>
    </row>
    <row r="54" spans="1:170" ht="11.25" customHeight="1">
      <c r="A54" s="3459" t="s">
        <v>721</v>
      </c>
      <c r="B54" s="421"/>
      <c r="C54" s="421"/>
      <c r="D54" s="421"/>
      <c r="E54" s="421"/>
      <c r="F54" s="3460"/>
      <c r="G54" s="421"/>
      <c r="H54" s="421"/>
      <c r="I54" s="421"/>
      <c r="J54" s="421"/>
      <c r="K54" s="3460"/>
      <c r="L54" s="421"/>
      <c r="M54" s="421"/>
      <c r="N54" s="421"/>
      <c r="O54" s="421"/>
      <c r="P54" s="3460"/>
      <c r="Q54" s="421"/>
      <c r="R54" s="421"/>
      <c r="S54" s="421"/>
      <c r="T54" s="421"/>
      <c r="U54" s="3460"/>
      <c r="V54" s="421"/>
      <c r="W54" s="421"/>
      <c r="X54" s="421"/>
      <c r="Y54" s="421"/>
      <c r="Z54" s="3460"/>
      <c r="AA54" s="421"/>
      <c r="AB54" s="421"/>
      <c r="AC54" s="421"/>
      <c r="AD54" s="421"/>
      <c r="AE54" s="3460"/>
      <c r="AF54" s="421"/>
      <c r="AG54" s="421"/>
      <c r="AH54" s="421"/>
      <c r="AI54" s="421"/>
      <c r="AJ54" s="3460"/>
      <c r="AK54" s="421"/>
      <c r="AL54" s="421"/>
      <c r="AM54" s="421"/>
      <c r="AN54" s="421"/>
      <c r="AO54" s="3460"/>
      <c r="AP54" s="421"/>
      <c r="AQ54" s="421"/>
      <c r="AR54" s="421"/>
      <c r="AS54" s="421"/>
      <c r="AT54" s="3460"/>
      <c r="AU54" s="421"/>
      <c r="AV54" s="421"/>
      <c r="AW54" s="421"/>
      <c r="AX54" s="421"/>
      <c r="AY54" s="3460"/>
      <c r="AZ54" s="3461"/>
      <c r="BA54" s="424"/>
      <c r="BB54" s="424"/>
      <c r="BC54" s="424"/>
      <c r="BD54" s="3460"/>
      <c r="BE54" s="3461"/>
      <c r="BF54" s="424"/>
      <c r="BG54" s="424"/>
      <c r="BH54" s="424"/>
      <c r="BI54" s="3460"/>
      <c r="BJ54" s="3461"/>
      <c r="BK54" s="424"/>
      <c r="BL54" s="424"/>
      <c r="BM54" s="1247"/>
      <c r="BN54" s="3460"/>
      <c r="BO54" s="3461"/>
      <c r="BP54" s="424"/>
      <c r="BQ54" s="424"/>
      <c r="BR54" s="424"/>
      <c r="BS54" s="3460"/>
      <c r="BT54" s="3461"/>
      <c r="BU54" s="424"/>
      <c r="BV54" s="424"/>
      <c r="BW54" s="1247"/>
      <c r="BX54" s="3460"/>
      <c r="BY54" s="3461"/>
      <c r="BZ54" s="424"/>
      <c r="CA54" s="424"/>
      <c r="CB54" s="1247"/>
      <c r="CC54" s="3460"/>
      <c r="CD54" s="3461"/>
      <c r="CE54" s="424"/>
      <c r="CF54" s="424"/>
      <c r="CG54" s="1247"/>
      <c r="CH54" s="3460"/>
      <c r="CI54" s="424"/>
      <c r="CJ54" s="424"/>
      <c r="CK54" s="424"/>
      <c r="CL54" s="1247"/>
      <c r="CM54" s="3460"/>
      <c r="CN54" s="424"/>
      <c r="CO54" s="424"/>
      <c r="CP54" s="424"/>
      <c r="CQ54" s="1247"/>
      <c r="CR54" s="3460"/>
      <c r="CS54" s="636">
        <f t="shared" si="156"/>
        <v>0.02</v>
      </c>
      <c r="CT54" s="636">
        <f t="shared" si="156"/>
        <v>0.02</v>
      </c>
      <c r="CU54" s="636">
        <f t="shared" si="156"/>
        <v>0.02</v>
      </c>
      <c r="CV54" s="636">
        <f>CX54</f>
        <v>0.02</v>
      </c>
      <c r="CW54" s="3460">
        <f>AVERAGE(CS54:CV54)</f>
        <v>0.02</v>
      </c>
      <c r="CX54" s="3461">
        <v>0.02</v>
      </c>
      <c r="CY54" s="636">
        <f>CX54</f>
        <v>0.02</v>
      </c>
      <c r="CZ54" s="636">
        <f t="shared" si="155"/>
        <v>0.02</v>
      </c>
      <c r="DA54" s="636">
        <f t="shared" si="155"/>
        <v>0.02</v>
      </c>
      <c r="DB54" s="3460">
        <f>AVERAGE(CX54:DA54)</f>
        <v>0.02</v>
      </c>
      <c r="DC54" s="3462">
        <f>DA54</f>
        <v>0.02</v>
      </c>
      <c r="DD54" s="636">
        <f>DC54</f>
        <v>0.02</v>
      </c>
      <c r="DE54" s="636">
        <f>DD54</f>
        <v>0.02</v>
      </c>
      <c r="DF54" s="1334">
        <v>0.08</v>
      </c>
      <c r="DG54" s="3460">
        <f>AVERAGE(DC54:DF54)</f>
        <v>3.5000000000000003E-2</v>
      </c>
      <c r="DH54" s="3462">
        <f>DF54</f>
        <v>0.08</v>
      </c>
      <c r="DI54" s="636">
        <f>DH54</f>
        <v>0.08</v>
      </c>
      <c r="DJ54" s="636">
        <f>DI54</f>
        <v>0.08</v>
      </c>
      <c r="DK54" s="636">
        <f>DJ54</f>
        <v>0.08</v>
      </c>
      <c r="DL54" s="3460">
        <f>AVERAGE(DH54:DK54)</f>
        <v>0.08</v>
      </c>
      <c r="DM54" s="3462">
        <f>DK54</f>
        <v>0.08</v>
      </c>
      <c r="DN54" s="636">
        <f t="shared" si="143"/>
        <v>0.08</v>
      </c>
      <c r="DO54" s="636">
        <f t="shared" si="143"/>
        <v>0.08</v>
      </c>
      <c r="DP54" s="636">
        <f t="shared" si="143"/>
        <v>0.08</v>
      </c>
      <c r="DQ54" s="3460">
        <f>AVERAGE(DM54:DP54)</f>
        <v>0.08</v>
      </c>
      <c r="DR54" s="3462">
        <f>DP54</f>
        <v>0.08</v>
      </c>
      <c r="DS54" s="636">
        <f t="shared" si="144"/>
        <v>0.08</v>
      </c>
      <c r="DT54" s="636">
        <f t="shared" si="144"/>
        <v>0.08</v>
      </c>
      <c r="DU54" s="636">
        <f t="shared" si="144"/>
        <v>0.08</v>
      </c>
      <c r="DV54" s="3460">
        <f>AVERAGE(DR54:DU54)</f>
        <v>0.08</v>
      </c>
      <c r="DW54" s="3462">
        <f>DU54</f>
        <v>0.08</v>
      </c>
      <c r="DX54" s="636">
        <f t="shared" si="145"/>
        <v>0.08</v>
      </c>
      <c r="DY54" s="636">
        <f t="shared" si="145"/>
        <v>0.08</v>
      </c>
      <c r="DZ54" s="636">
        <f t="shared" si="145"/>
        <v>0.08</v>
      </c>
      <c r="EA54" s="3460">
        <f>AVERAGE(DW54:DZ54)</f>
        <v>0.08</v>
      </c>
      <c r="EB54" s="3462">
        <f>DZ54</f>
        <v>0.08</v>
      </c>
      <c r="EC54" s="636">
        <f t="shared" si="146"/>
        <v>0.08</v>
      </c>
      <c r="ED54" s="636">
        <f t="shared" si="146"/>
        <v>0.08</v>
      </c>
      <c r="EE54" s="636">
        <f t="shared" si="146"/>
        <v>0.08</v>
      </c>
      <c r="EF54" s="3460">
        <f>AVERAGE(EB54:EE54)</f>
        <v>0.08</v>
      </c>
      <c r="EG54" s="3462">
        <f>EE54</f>
        <v>0.08</v>
      </c>
      <c r="EH54" s="636">
        <f t="shared" si="147"/>
        <v>0.08</v>
      </c>
      <c r="EI54" s="636">
        <f t="shared" si="147"/>
        <v>0.08</v>
      </c>
      <c r="EJ54" s="636">
        <f t="shared" si="147"/>
        <v>0.08</v>
      </c>
      <c r="EK54" s="3460">
        <f>AVERAGE(EG54:EJ54)</f>
        <v>0.08</v>
      </c>
      <c r="EL54" s="3462">
        <f>EJ54</f>
        <v>0.08</v>
      </c>
      <c r="EM54" s="636">
        <f t="shared" si="148"/>
        <v>0.08</v>
      </c>
      <c r="EN54" s="636">
        <f t="shared" si="148"/>
        <v>0.08</v>
      </c>
      <c r="EO54" s="636">
        <f t="shared" si="148"/>
        <v>0.08</v>
      </c>
      <c r="EP54" s="3460">
        <f>AVERAGE(EL54:EO54)</f>
        <v>0.08</v>
      </c>
      <c r="EQ54" s="3462">
        <f>EO54</f>
        <v>0.08</v>
      </c>
      <c r="ER54" s="636">
        <f t="shared" si="149"/>
        <v>0.08</v>
      </c>
      <c r="ES54" s="636">
        <f t="shared" si="150"/>
        <v>0.08</v>
      </c>
      <c r="ET54" s="636">
        <f t="shared" si="151"/>
        <v>0.08</v>
      </c>
      <c r="EU54" s="3460">
        <f>AVERAGE(EQ54:ET54)</f>
        <v>0.08</v>
      </c>
      <c r="EV54" s="3462">
        <f>ET54</f>
        <v>0.08</v>
      </c>
      <c r="EW54" s="636">
        <f t="shared" si="152"/>
        <v>0.08</v>
      </c>
      <c r="EX54" s="636">
        <f t="shared" si="153"/>
        <v>0.08</v>
      </c>
      <c r="EY54" s="636">
        <f t="shared" si="154"/>
        <v>0.08</v>
      </c>
      <c r="EZ54" s="3460">
        <f>AVERAGE(EV54:EY54)</f>
        <v>0.08</v>
      </c>
      <c r="FA54" s="3460"/>
      <c r="FB54" s="3460"/>
      <c r="FC54" s="3460"/>
      <c r="FD54" s="424"/>
      <c r="FF54" s="424"/>
      <c r="FL54" s="1383"/>
      <c r="FM54" s="1383"/>
    </row>
    <row r="55" spans="1:170" ht="11.25" customHeight="1">
      <c r="A55" s="2120" t="s">
        <v>398</v>
      </c>
      <c r="B55" s="421"/>
      <c r="C55" s="421"/>
      <c r="D55" s="421"/>
      <c r="E55" s="421"/>
      <c r="F55" s="2121"/>
      <c r="G55" s="421"/>
      <c r="H55" s="421"/>
      <c r="I55" s="421"/>
      <c r="J55" s="421"/>
      <c r="K55" s="2121"/>
      <c r="L55" s="421"/>
      <c r="M55" s="421"/>
      <c r="N55" s="421"/>
      <c r="O55" s="421"/>
      <c r="P55" s="2121"/>
      <c r="Q55" s="421"/>
      <c r="R55" s="421"/>
      <c r="S55" s="421"/>
      <c r="T55" s="421"/>
      <c r="U55" s="2121"/>
      <c r="V55" s="421"/>
      <c r="W55" s="421"/>
      <c r="X55" s="421"/>
      <c r="Y55" s="421"/>
      <c r="Z55" s="2121"/>
      <c r="AA55" s="421"/>
      <c r="AB55" s="421"/>
      <c r="AC55" s="421"/>
      <c r="AD55" s="421"/>
      <c r="AE55" s="2121"/>
      <c r="AF55" s="421"/>
      <c r="AG55" s="421"/>
      <c r="AH55" s="421"/>
      <c r="AI55" s="421"/>
      <c r="AJ55" s="2121"/>
      <c r="AK55" s="421"/>
      <c r="AL55" s="421"/>
      <c r="AM55" s="421"/>
      <c r="AN55" s="421"/>
      <c r="AO55" s="2121"/>
      <c r="AP55" s="421"/>
      <c r="AQ55" s="421"/>
      <c r="AR55" s="421"/>
      <c r="AS55" s="421"/>
      <c r="AT55" s="2121"/>
      <c r="AU55" s="421"/>
      <c r="AV55" s="421"/>
      <c r="AW55" s="421"/>
      <c r="AX55" s="421"/>
      <c r="AY55" s="2121"/>
      <c r="AZ55" s="2122"/>
      <c r="BA55" s="424"/>
      <c r="BB55" s="424"/>
      <c r="BC55" s="424"/>
      <c r="BD55" s="2121"/>
      <c r="BE55" s="2122"/>
      <c r="BF55" s="424"/>
      <c r="BG55" s="424"/>
      <c r="BH55" s="424"/>
      <c r="BI55" s="2121"/>
      <c r="BJ55" s="2122"/>
      <c r="BK55" s="424"/>
      <c r="BL55" s="424"/>
      <c r="BM55" s="426"/>
      <c r="BN55" s="2121"/>
      <c r="BO55" s="2122"/>
      <c r="BP55" s="424"/>
      <c r="BQ55" s="424"/>
      <c r="BR55" s="424"/>
      <c r="BS55" s="2121"/>
      <c r="BT55" s="2122"/>
      <c r="BU55" s="424"/>
      <c r="BV55" s="424"/>
      <c r="BW55" s="426"/>
      <c r="BX55" s="2121"/>
      <c r="BY55" s="2122"/>
      <c r="BZ55" s="424"/>
      <c r="CA55" s="424"/>
      <c r="CB55" s="426"/>
      <c r="CC55" s="2121"/>
      <c r="CD55" s="2122"/>
      <c r="CE55" s="424"/>
      <c r="CF55" s="424"/>
      <c r="CG55" s="426"/>
      <c r="CH55" s="2121"/>
      <c r="CI55" s="424"/>
      <c r="CJ55" s="424"/>
      <c r="CK55" s="424"/>
      <c r="CL55" s="426"/>
      <c r="CM55" s="2121"/>
      <c r="CN55" s="424"/>
      <c r="CO55" s="424"/>
      <c r="CP55" s="424"/>
      <c r="CQ55" s="426"/>
      <c r="CR55" s="2121"/>
      <c r="CS55" s="636">
        <f t="shared" si="142"/>
        <v>0</v>
      </c>
      <c r="CT55" s="636">
        <f t="shared" si="142"/>
        <v>0</v>
      </c>
      <c r="CU55" s="636">
        <f t="shared" si="142"/>
        <v>0</v>
      </c>
      <c r="CV55" s="636">
        <f>CX55</f>
        <v>0</v>
      </c>
      <c r="CW55" s="2121">
        <f>AVERAGE(CS55:CV55)</f>
        <v>0</v>
      </c>
      <c r="CX55" s="2123">
        <v>0</v>
      </c>
      <c r="CY55" s="636">
        <f t="shared" si="155"/>
        <v>0</v>
      </c>
      <c r="CZ55" s="636">
        <f t="shared" si="155"/>
        <v>0</v>
      </c>
      <c r="DA55" s="636">
        <f t="shared" si="155"/>
        <v>0</v>
      </c>
      <c r="DB55" s="2121">
        <f>AVERAGE(CX55:DA55)</f>
        <v>0</v>
      </c>
      <c r="DC55" s="2127">
        <f>DA55</f>
        <v>0</v>
      </c>
      <c r="DD55" s="636">
        <f>DC55</f>
        <v>0</v>
      </c>
      <c r="DE55" s="636">
        <f>DD55</f>
        <v>0</v>
      </c>
      <c r="DF55" s="636">
        <f>DE55</f>
        <v>0</v>
      </c>
      <c r="DG55" s="2121">
        <f>AVERAGE(DC55:DF55)</f>
        <v>0</v>
      </c>
      <c r="DH55" s="2127">
        <f>DF55</f>
        <v>0</v>
      </c>
      <c r="DI55" s="636">
        <f>DH55</f>
        <v>0</v>
      </c>
      <c r="DJ55" s="636">
        <f>DI55</f>
        <v>0</v>
      </c>
      <c r="DK55" s="636">
        <f>DJ55</f>
        <v>0</v>
      </c>
      <c r="DL55" s="2121">
        <f>AVERAGE(DH55:DK55)</f>
        <v>0</v>
      </c>
      <c r="DM55" s="2127">
        <f>DK55</f>
        <v>0</v>
      </c>
      <c r="DN55" s="636">
        <f t="shared" si="143"/>
        <v>0</v>
      </c>
      <c r="DO55" s="636">
        <f t="shared" si="143"/>
        <v>0</v>
      </c>
      <c r="DP55" s="636">
        <f t="shared" si="143"/>
        <v>0</v>
      </c>
      <c r="DQ55" s="2121">
        <f>AVERAGE(DM55:DP55)</f>
        <v>0</v>
      </c>
      <c r="DR55" s="2127">
        <f>DP55</f>
        <v>0</v>
      </c>
      <c r="DS55" s="636">
        <f t="shared" si="144"/>
        <v>0</v>
      </c>
      <c r="DT55" s="636">
        <f t="shared" si="144"/>
        <v>0</v>
      </c>
      <c r="DU55" s="636">
        <f t="shared" si="144"/>
        <v>0</v>
      </c>
      <c r="DV55" s="2121">
        <f>AVERAGE(DR55:DU55)</f>
        <v>0</v>
      </c>
      <c r="DW55" s="2127">
        <f>DU55</f>
        <v>0</v>
      </c>
      <c r="DX55" s="636">
        <f t="shared" si="145"/>
        <v>0</v>
      </c>
      <c r="DY55" s="636">
        <f t="shared" si="145"/>
        <v>0</v>
      </c>
      <c r="DZ55" s="636">
        <f t="shared" si="145"/>
        <v>0</v>
      </c>
      <c r="EA55" s="2121">
        <f>AVERAGE(DW55:DZ55)</f>
        <v>0</v>
      </c>
      <c r="EB55" s="2127">
        <f>DZ55</f>
        <v>0</v>
      </c>
      <c r="EC55" s="636">
        <f t="shared" si="146"/>
        <v>0</v>
      </c>
      <c r="ED55" s="636">
        <f t="shared" si="146"/>
        <v>0</v>
      </c>
      <c r="EE55" s="636">
        <f t="shared" si="146"/>
        <v>0</v>
      </c>
      <c r="EF55" s="2121">
        <f>AVERAGE(EB55:EE55)</f>
        <v>0</v>
      </c>
      <c r="EG55" s="2127">
        <f>EE55</f>
        <v>0</v>
      </c>
      <c r="EH55" s="636">
        <f t="shared" si="147"/>
        <v>0</v>
      </c>
      <c r="EI55" s="636">
        <f t="shared" si="147"/>
        <v>0</v>
      </c>
      <c r="EJ55" s="636">
        <f t="shared" si="147"/>
        <v>0</v>
      </c>
      <c r="EK55" s="2121">
        <f>AVERAGE(EG55:EJ55)</f>
        <v>0</v>
      </c>
      <c r="EL55" s="2127">
        <f>EJ55</f>
        <v>0</v>
      </c>
      <c r="EM55" s="636">
        <f t="shared" si="148"/>
        <v>0</v>
      </c>
      <c r="EN55" s="636">
        <f t="shared" si="148"/>
        <v>0</v>
      </c>
      <c r="EO55" s="636">
        <f t="shared" si="148"/>
        <v>0</v>
      </c>
      <c r="EP55" s="2121">
        <f>AVERAGE(EL55:EO55)</f>
        <v>0</v>
      </c>
      <c r="EQ55" s="2127">
        <f>EO55</f>
        <v>0</v>
      </c>
      <c r="ER55" s="636">
        <f t="shared" si="149"/>
        <v>0</v>
      </c>
      <c r="ES55" s="636">
        <f t="shared" si="150"/>
        <v>0</v>
      </c>
      <c r="ET55" s="636">
        <f t="shared" si="151"/>
        <v>0</v>
      </c>
      <c r="EU55" s="2121">
        <f>AVERAGE(EQ55:ET55)</f>
        <v>0</v>
      </c>
      <c r="EV55" s="2127">
        <f>ET55</f>
        <v>0</v>
      </c>
      <c r="EW55" s="636">
        <f t="shared" si="152"/>
        <v>0</v>
      </c>
      <c r="EX55" s="636">
        <f t="shared" si="153"/>
        <v>0</v>
      </c>
      <c r="EY55" s="636">
        <f t="shared" si="154"/>
        <v>0</v>
      </c>
      <c r="EZ55" s="2121">
        <f>AVERAGE(EV55:EY55)</f>
        <v>0</v>
      </c>
      <c r="FA55" s="2121"/>
      <c r="FB55" s="2121"/>
      <c r="FC55" s="2121"/>
      <c r="FD55" s="424"/>
      <c r="FF55" s="424"/>
      <c r="FL55" s="1383"/>
      <c r="FM55" s="1383"/>
    </row>
    <row r="56" spans="1:170" ht="11.25" hidden="1" customHeight="1" outlineLevel="1">
      <c r="A56" s="2124" t="s">
        <v>523</v>
      </c>
      <c r="B56" s="1977"/>
      <c r="C56" s="1977"/>
      <c r="D56" s="1977"/>
      <c r="E56" s="1977"/>
      <c r="F56" s="2125"/>
      <c r="G56" s="1977"/>
      <c r="H56" s="1977"/>
      <c r="I56" s="1977"/>
      <c r="J56" s="1977"/>
      <c r="K56" s="2125"/>
      <c r="L56" s="1977"/>
      <c r="M56" s="1977"/>
      <c r="N56" s="1977"/>
      <c r="O56" s="1977"/>
      <c r="P56" s="2125"/>
      <c r="Q56" s="1977"/>
      <c r="R56" s="1977"/>
      <c r="S56" s="1977"/>
      <c r="T56" s="1977"/>
      <c r="U56" s="2125"/>
      <c r="V56" s="1977"/>
      <c r="W56" s="1977"/>
      <c r="X56" s="1977"/>
      <c r="Y56" s="1977"/>
      <c r="Z56" s="2125"/>
      <c r="AA56" s="1977"/>
      <c r="AB56" s="1977"/>
      <c r="AC56" s="1977"/>
      <c r="AD56" s="1977"/>
      <c r="AE56" s="2125"/>
      <c r="AF56" s="1977"/>
      <c r="AG56" s="1977"/>
      <c r="AH56" s="1977"/>
      <c r="AI56" s="1977"/>
      <c r="AJ56" s="2125"/>
      <c r="AK56" s="1977"/>
      <c r="AL56" s="1977"/>
      <c r="AM56" s="1977"/>
      <c r="AN56" s="1977"/>
      <c r="AO56" s="2125"/>
      <c r="AP56" s="1977"/>
      <c r="AQ56" s="1977"/>
      <c r="AR56" s="1977"/>
      <c r="AS56" s="1977"/>
      <c r="AT56" s="2125"/>
      <c r="AU56" s="1977"/>
      <c r="AV56" s="1977"/>
      <c r="AW56" s="1977"/>
      <c r="AX56" s="1977"/>
      <c r="AY56" s="2125"/>
      <c r="AZ56" s="2126"/>
      <c r="BA56" s="1980"/>
      <c r="BB56" s="1980"/>
      <c r="BC56" s="1980"/>
      <c r="BD56" s="2125"/>
      <c r="BE56" s="2126"/>
      <c r="BF56" s="1980"/>
      <c r="BG56" s="1980"/>
      <c r="BH56" s="1980"/>
      <c r="BI56" s="2125"/>
      <c r="BJ56" s="2126"/>
      <c r="BK56" s="1980"/>
      <c r="BL56" s="1980"/>
      <c r="BM56" s="1981"/>
      <c r="BN56" s="2125"/>
      <c r="BO56" s="2126"/>
      <c r="BP56" s="1980"/>
      <c r="BQ56" s="1980"/>
      <c r="BR56" s="1980"/>
      <c r="BS56" s="2125"/>
      <c r="BT56" s="2126"/>
      <c r="BU56" s="1980"/>
      <c r="BV56" s="1980"/>
      <c r="BW56" s="1981"/>
      <c r="BX56" s="2125"/>
      <c r="BY56" s="2126"/>
      <c r="BZ56" s="1980"/>
      <c r="CA56" s="1980"/>
      <c r="CB56" s="1981"/>
      <c r="CC56" s="2125"/>
      <c r="CD56" s="2126"/>
      <c r="CE56" s="1980"/>
      <c r="CF56" s="1980"/>
      <c r="CG56" s="1981"/>
      <c r="CH56" s="2125"/>
      <c r="CI56" s="1980"/>
      <c r="CJ56" s="1980"/>
      <c r="CK56" s="1980"/>
      <c r="CL56" s="1981"/>
      <c r="CM56" s="2125"/>
      <c r="CN56" s="1980"/>
      <c r="CO56" s="1980"/>
      <c r="CP56" s="1980"/>
      <c r="CQ56" s="1981"/>
      <c r="CR56" s="2125"/>
      <c r="CS56" s="1980">
        <f t="shared" ref="CS56:DG56" si="157">SUM(CS49:CS55)</f>
        <v>1</v>
      </c>
      <c r="CT56" s="1980">
        <f t="shared" si="157"/>
        <v>1</v>
      </c>
      <c r="CU56" s="1980">
        <f t="shared" si="157"/>
        <v>1</v>
      </c>
      <c r="CV56" s="1980">
        <f t="shared" si="157"/>
        <v>1</v>
      </c>
      <c r="CW56" s="2125">
        <f t="shared" si="157"/>
        <v>1</v>
      </c>
      <c r="CX56" s="2126">
        <f t="shared" si="157"/>
        <v>1</v>
      </c>
      <c r="CY56" s="1980">
        <f t="shared" si="157"/>
        <v>1</v>
      </c>
      <c r="CZ56" s="1980">
        <f t="shared" si="157"/>
        <v>1</v>
      </c>
      <c r="DA56" s="1981">
        <f t="shared" si="157"/>
        <v>1</v>
      </c>
      <c r="DB56" s="2125">
        <f t="shared" si="157"/>
        <v>1</v>
      </c>
      <c r="DC56" s="2126">
        <f t="shared" si="157"/>
        <v>1</v>
      </c>
      <c r="DD56" s="1980">
        <f t="shared" si="157"/>
        <v>1</v>
      </c>
      <c r="DE56" s="1980">
        <f t="shared" si="157"/>
        <v>1</v>
      </c>
      <c r="DF56" s="1981">
        <f t="shared" si="157"/>
        <v>0.99999999999999989</v>
      </c>
      <c r="DG56" s="2125">
        <f t="shared" si="157"/>
        <v>1</v>
      </c>
      <c r="DH56" s="2126">
        <f t="shared" ref="DH56:DV56" si="158">SUM(DH49:DH55)</f>
        <v>0.99999999999999989</v>
      </c>
      <c r="DI56" s="1980">
        <f t="shared" si="158"/>
        <v>0.99999999999999989</v>
      </c>
      <c r="DJ56" s="1980">
        <f t="shared" si="158"/>
        <v>0.99999999999999989</v>
      </c>
      <c r="DK56" s="1981">
        <f t="shared" si="158"/>
        <v>0.99999999999999989</v>
      </c>
      <c r="DL56" s="2125">
        <f t="shared" si="158"/>
        <v>1</v>
      </c>
      <c r="DM56" s="2126">
        <f t="shared" si="158"/>
        <v>0.99999999999999989</v>
      </c>
      <c r="DN56" s="1980">
        <f t="shared" si="158"/>
        <v>1</v>
      </c>
      <c r="DO56" s="1980">
        <f t="shared" si="158"/>
        <v>1</v>
      </c>
      <c r="DP56" s="1981">
        <f t="shared" si="158"/>
        <v>1</v>
      </c>
      <c r="DQ56" s="2125">
        <f t="shared" si="158"/>
        <v>1.0000000000000002</v>
      </c>
      <c r="DR56" s="2126">
        <f t="shared" si="158"/>
        <v>1</v>
      </c>
      <c r="DS56" s="1980">
        <f t="shared" si="158"/>
        <v>1</v>
      </c>
      <c r="DT56" s="1980">
        <f t="shared" si="158"/>
        <v>1</v>
      </c>
      <c r="DU56" s="1981">
        <f t="shared" si="158"/>
        <v>1</v>
      </c>
      <c r="DV56" s="2125">
        <f t="shared" si="158"/>
        <v>0.99999999999999989</v>
      </c>
      <c r="DW56" s="2126">
        <f t="shared" ref="DW56:EF56" si="159">SUM(DW49:DW55)</f>
        <v>1</v>
      </c>
      <c r="DX56" s="1980">
        <f t="shared" si="159"/>
        <v>1</v>
      </c>
      <c r="DY56" s="1980">
        <f t="shared" si="159"/>
        <v>1</v>
      </c>
      <c r="DZ56" s="1981">
        <f t="shared" si="159"/>
        <v>1</v>
      </c>
      <c r="EA56" s="2125">
        <f t="shared" si="159"/>
        <v>1.0000000000000002</v>
      </c>
      <c r="EB56" s="2126">
        <f t="shared" si="159"/>
        <v>1</v>
      </c>
      <c r="EC56" s="1980">
        <f t="shared" si="159"/>
        <v>1</v>
      </c>
      <c r="ED56" s="1980">
        <f t="shared" si="159"/>
        <v>1.0000000000000002</v>
      </c>
      <c r="EE56" s="1981">
        <f t="shared" si="159"/>
        <v>1.0000000000000002</v>
      </c>
      <c r="EF56" s="2125">
        <f t="shared" si="159"/>
        <v>1</v>
      </c>
      <c r="EG56" s="2126">
        <f t="shared" ref="EG56:EP56" si="160">SUM(EG49:EG55)</f>
        <v>1.0000000000000002</v>
      </c>
      <c r="EH56" s="1980">
        <f t="shared" si="160"/>
        <v>1.0000000000000002</v>
      </c>
      <c r="EI56" s="1980">
        <f t="shared" si="160"/>
        <v>1.0000000000000002</v>
      </c>
      <c r="EJ56" s="1981">
        <f t="shared" si="160"/>
        <v>1.0000000000000002</v>
      </c>
      <c r="EK56" s="2125">
        <f t="shared" si="160"/>
        <v>1.0000000000000002</v>
      </c>
      <c r="EL56" s="2126">
        <f t="shared" si="160"/>
        <v>1.0000000000000002</v>
      </c>
      <c r="EM56" s="1980">
        <f t="shared" si="160"/>
        <v>1.0000000000000002</v>
      </c>
      <c r="EN56" s="1980">
        <f t="shared" si="160"/>
        <v>1.0000000000000002</v>
      </c>
      <c r="EO56" s="1981">
        <f t="shared" si="160"/>
        <v>1.0000000000000002</v>
      </c>
      <c r="EP56" s="2125">
        <f t="shared" si="160"/>
        <v>1.0000000000000002</v>
      </c>
      <c r="EQ56" s="2126">
        <f t="shared" ref="EQ56:EU56" si="161">SUM(EQ49:EQ55)</f>
        <v>1.0000000000000002</v>
      </c>
      <c r="ER56" s="1980">
        <f t="shared" si="161"/>
        <v>1.0000000000000002</v>
      </c>
      <c r="ES56" s="1980">
        <f t="shared" si="161"/>
        <v>1.0000000000000002</v>
      </c>
      <c r="ET56" s="1981">
        <f t="shared" si="161"/>
        <v>1.0000000000000002</v>
      </c>
      <c r="EU56" s="2125">
        <f t="shared" si="161"/>
        <v>1.0000000000000002</v>
      </c>
      <c r="EV56" s="2126">
        <f t="shared" ref="EV56:EZ56" si="162">SUM(EV49:EV55)</f>
        <v>1.0000000000000002</v>
      </c>
      <c r="EW56" s="1980">
        <f t="shared" si="162"/>
        <v>1.0000000000000002</v>
      </c>
      <c r="EX56" s="1980">
        <f t="shared" si="162"/>
        <v>1.0000000000000002</v>
      </c>
      <c r="EY56" s="1981">
        <f t="shared" si="162"/>
        <v>1.0000000000000002</v>
      </c>
      <c r="EZ56" s="2125">
        <f t="shared" si="162"/>
        <v>1.0000000000000002</v>
      </c>
      <c r="FA56" s="2125"/>
      <c r="FB56" s="2125"/>
      <c r="FC56" s="2125"/>
      <c r="FD56" s="636"/>
      <c r="FF56" s="636"/>
      <c r="FL56" s="1884"/>
      <c r="FM56" s="1884"/>
    </row>
    <row r="57" spans="1:170" s="1884" customFormat="1" ht="11.25" customHeight="1" collapsed="1">
      <c r="A57" s="2120"/>
      <c r="B57" s="421"/>
      <c r="C57" s="421"/>
      <c r="D57" s="421"/>
      <c r="E57" s="421"/>
      <c r="F57" s="2121"/>
      <c r="G57" s="421"/>
      <c r="H57" s="421"/>
      <c r="I57" s="421"/>
      <c r="J57" s="421"/>
      <c r="K57" s="2121"/>
      <c r="L57" s="421"/>
      <c r="M57" s="421"/>
      <c r="N57" s="421"/>
      <c r="O57" s="421"/>
      <c r="P57" s="2121"/>
      <c r="Q57" s="421"/>
      <c r="R57" s="421"/>
      <c r="S57" s="421"/>
      <c r="T57" s="421"/>
      <c r="U57" s="2121"/>
      <c r="V57" s="421"/>
      <c r="W57" s="421"/>
      <c r="X57" s="421"/>
      <c r="Y57" s="421"/>
      <c r="Z57" s="2121"/>
      <c r="AA57" s="421"/>
      <c r="AB57" s="421"/>
      <c r="AC57" s="421"/>
      <c r="AD57" s="421"/>
      <c r="AE57" s="2121"/>
      <c r="AF57" s="421"/>
      <c r="AG57" s="421"/>
      <c r="AH57" s="421"/>
      <c r="AI57" s="421"/>
      <c r="AJ57" s="2121"/>
      <c r="AK57" s="421"/>
      <c r="AL57" s="421"/>
      <c r="AM57" s="421"/>
      <c r="AN57" s="421"/>
      <c r="AO57" s="2121"/>
      <c r="AP57" s="421"/>
      <c r="AQ57" s="421"/>
      <c r="AR57" s="421"/>
      <c r="AS57" s="421"/>
      <c r="AT57" s="2121"/>
      <c r="AU57" s="421"/>
      <c r="AV57" s="421"/>
      <c r="AW57" s="421"/>
      <c r="AX57" s="421"/>
      <c r="AY57" s="2121"/>
      <c r="AZ57" s="2127"/>
      <c r="BA57" s="636"/>
      <c r="BB57" s="636"/>
      <c r="BC57" s="636"/>
      <c r="BD57" s="2121"/>
      <c r="BE57" s="2127"/>
      <c r="BF57" s="636"/>
      <c r="BG57" s="636"/>
      <c r="BH57" s="636"/>
      <c r="BI57" s="2121"/>
      <c r="BJ57" s="2127"/>
      <c r="BK57" s="636"/>
      <c r="BL57" s="636"/>
      <c r="BM57" s="1172"/>
      <c r="BN57" s="2121"/>
      <c r="BO57" s="2127"/>
      <c r="BP57" s="636"/>
      <c r="BQ57" s="636"/>
      <c r="BR57" s="636"/>
      <c r="BS57" s="2121"/>
      <c r="BT57" s="2127"/>
      <c r="BU57" s="636"/>
      <c r="BV57" s="636"/>
      <c r="BW57" s="1172"/>
      <c r="BX57" s="2121"/>
      <c r="BY57" s="2127"/>
      <c r="BZ57" s="636"/>
      <c r="CA57" s="636"/>
      <c r="CB57" s="1172"/>
      <c r="CC57" s="2121"/>
      <c r="CD57" s="2127"/>
      <c r="CE57" s="636"/>
      <c r="CF57" s="636"/>
      <c r="CG57" s="1172"/>
      <c r="CH57" s="2121"/>
      <c r="CI57" s="636"/>
      <c r="CJ57" s="636"/>
      <c r="CK57" s="636"/>
      <c r="CL57" s="1172"/>
      <c r="CM57" s="2121"/>
      <c r="CN57" s="636"/>
      <c r="CO57" s="636"/>
      <c r="CP57" s="636"/>
      <c r="CQ57" s="1172"/>
      <c r="CR57" s="2121"/>
      <c r="CS57" s="636"/>
      <c r="CT57" s="636"/>
      <c r="CU57" s="636"/>
      <c r="CV57" s="636"/>
      <c r="CW57" s="2121"/>
      <c r="CX57" s="2127"/>
      <c r="CY57" s="636"/>
      <c r="CZ57" s="636"/>
      <c r="DA57" s="1172"/>
      <c r="DB57" s="2121"/>
      <c r="DC57" s="2127"/>
      <c r="DD57" s="636"/>
      <c r="DE57" s="636"/>
      <c r="DF57" s="1172"/>
      <c r="DG57" s="2121"/>
      <c r="DH57" s="2127"/>
      <c r="DI57" s="636"/>
      <c r="DJ57" s="636"/>
      <c r="DK57" s="1172"/>
      <c r="DL57" s="2121"/>
      <c r="DM57" s="2127"/>
      <c r="DN57" s="636"/>
      <c r="DO57" s="636"/>
      <c r="DP57" s="1172"/>
      <c r="DQ57" s="2121"/>
      <c r="DR57" s="2127"/>
      <c r="DS57" s="636"/>
      <c r="DT57" s="636"/>
      <c r="DU57" s="1172"/>
      <c r="DV57" s="2121"/>
      <c r="DW57" s="2127"/>
      <c r="DX57" s="636"/>
      <c r="DY57" s="636"/>
      <c r="DZ57" s="1172"/>
      <c r="EA57" s="2121"/>
      <c r="EB57" s="2127"/>
      <c r="EC57" s="636"/>
      <c r="ED57" s="636"/>
      <c r="EE57" s="1172"/>
      <c r="EF57" s="2121"/>
      <c r="EG57" s="2127"/>
      <c r="EH57" s="636"/>
      <c r="EI57" s="636"/>
      <c r="EJ57" s="1172"/>
      <c r="EK57" s="2121"/>
      <c r="EL57" s="2127"/>
      <c r="EM57" s="636"/>
      <c r="EN57" s="636"/>
      <c r="EO57" s="1172"/>
      <c r="EP57" s="2121"/>
      <c r="EQ57" s="2127"/>
      <c r="ER57" s="636"/>
      <c r="ES57" s="636"/>
      <c r="ET57" s="1172"/>
      <c r="EU57" s="2121"/>
      <c r="EV57" s="2127"/>
      <c r="EW57" s="636"/>
      <c r="EX57" s="636"/>
      <c r="EY57" s="1172"/>
      <c r="EZ57" s="2121"/>
      <c r="FA57" s="2121"/>
      <c r="FB57" s="2121"/>
      <c r="FC57" s="2121"/>
      <c r="FD57" s="636"/>
      <c r="FF57" s="636"/>
    </row>
    <row r="58" spans="1:170" ht="11.25" customHeight="1">
      <c r="A58" s="2128" t="s">
        <v>348</v>
      </c>
      <c r="B58" s="429"/>
      <c r="C58" s="429"/>
      <c r="D58" s="429"/>
      <c r="E58" s="429"/>
      <c r="F58" s="2129"/>
      <c r="G58" s="429"/>
      <c r="H58" s="429"/>
      <c r="I58" s="429"/>
      <c r="J58" s="429"/>
      <c r="K58" s="2129"/>
      <c r="L58" s="429"/>
      <c r="M58" s="429"/>
      <c r="N58" s="429"/>
      <c r="O58" s="429"/>
      <c r="P58" s="2129"/>
      <c r="Q58" s="429"/>
      <c r="R58" s="429"/>
      <c r="S58" s="429"/>
      <c r="T58" s="429"/>
      <c r="U58" s="2129"/>
      <c r="V58" s="429"/>
      <c r="W58" s="429"/>
      <c r="X58" s="429"/>
      <c r="Y58" s="429"/>
      <c r="Z58" s="2129"/>
      <c r="AA58" s="429"/>
      <c r="AB58" s="429"/>
      <c r="AC58" s="429"/>
      <c r="AD58" s="429"/>
      <c r="AE58" s="2129"/>
      <c r="AF58" s="429"/>
      <c r="AG58" s="429"/>
      <c r="AH58" s="429"/>
      <c r="AI58" s="429"/>
      <c r="AJ58" s="2129"/>
      <c r="AK58" s="429"/>
      <c r="AL58" s="429"/>
      <c r="AM58" s="429"/>
      <c r="AN58" s="429"/>
      <c r="AO58" s="2129"/>
      <c r="AP58" s="429"/>
      <c r="AQ58" s="429"/>
      <c r="AR58" s="429"/>
      <c r="AS58" s="429"/>
      <c r="AT58" s="2129"/>
      <c r="AU58" s="429"/>
      <c r="AV58" s="429"/>
      <c r="AW58" s="429"/>
      <c r="AX58" s="429"/>
      <c r="AY58" s="2129"/>
      <c r="AZ58" s="2130"/>
      <c r="BA58" s="429"/>
      <c r="BB58" s="429"/>
      <c r="BC58" s="429"/>
      <c r="BD58" s="2129"/>
      <c r="BE58" s="2130"/>
      <c r="BF58" s="429"/>
      <c r="BG58" s="429"/>
      <c r="BH58" s="429"/>
      <c r="BI58" s="2129"/>
      <c r="BJ58" s="2130"/>
      <c r="BK58" s="429"/>
      <c r="BL58" s="429"/>
      <c r="BM58" s="430"/>
      <c r="BN58" s="2129"/>
      <c r="BO58" s="2131"/>
      <c r="BP58" s="429"/>
      <c r="BQ58" s="429"/>
      <c r="BR58" s="429"/>
      <c r="BS58" s="2129"/>
      <c r="BT58" s="2131"/>
      <c r="BU58" s="429"/>
      <c r="BV58" s="429"/>
      <c r="BW58" s="430"/>
      <c r="BX58" s="2129"/>
      <c r="BY58" s="2132"/>
      <c r="BZ58" s="429"/>
      <c r="CA58" s="429"/>
      <c r="CB58" s="430"/>
      <c r="CC58" s="2129"/>
      <c r="CD58" s="2132"/>
      <c r="CE58" s="429"/>
      <c r="CF58" s="429"/>
      <c r="CG58" s="430"/>
      <c r="CH58" s="2129"/>
      <c r="CI58" s="429"/>
      <c r="CJ58" s="429"/>
      <c r="CK58" s="429"/>
      <c r="CL58" s="430"/>
      <c r="CM58" s="2129"/>
      <c r="CN58" s="429"/>
      <c r="CO58" s="429"/>
      <c r="CP58" s="429"/>
      <c r="CQ58" s="430"/>
      <c r="CR58" s="2129"/>
      <c r="CS58" s="429"/>
      <c r="CT58" s="429"/>
      <c r="CU58" s="429"/>
      <c r="CV58" s="429"/>
      <c r="CW58" s="2129"/>
      <c r="CX58" s="2130"/>
      <c r="CY58" s="429"/>
      <c r="CZ58" s="429"/>
      <c r="DA58" s="430"/>
      <c r="DB58" s="2129"/>
      <c r="DC58" s="2130"/>
      <c r="DD58" s="429"/>
      <c r="DE58" s="429"/>
      <c r="DF58" s="430"/>
      <c r="DG58" s="2129"/>
      <c r="DH58" s="2130"/>
      <c r="DI58" s="429"/>
      <c r="DJ58" s="429"/>
      <c r="DK58" s="430"/>
      <c r="DL58" s="2129"/>
      <c r="DM58" s="2130"/>
      <c r="DN58" s="429"/>
      <c r="DO58" s="429"/>
      <c r="DP58" s="430"/>
      <c r="DQ58" s="2129"/>
      <c r="DR58" s="2130"/>
      <c r="DS58" s="429"/>
      <c r="DT58" s="429"/>
      <c r="DU58" s="430"/>
      <c r="DV58" s="2129"/>
      <c r="DW58" s="2130"/>
      <c r="DX58" s="429"/>
      <c r="DY58" s="429"/>
      <c r="DZ58" s="430"/>
      <c r="EA58" s="2129"/>
      <c r="EB58" s="2130"/>
      <c r="EC58" s="429"/>
      <c r="ED58" s="429"/>
      <c r="EE58" s="430"/>
      <c r="EF58" s="2129"/>
      <c r="EG58" s="2130"/>
      <c r="EH58" s="429"/>
      <c r="EI58" s="429"/>
      <c r="EJ58" s="430"/>
      <c r="EK58" s="2129"/>
      <c r="EL58" s="2130"/>
      <c r="EM58" s="429"/>
      <c r="EN58" s="429"/>
      <c r="EO58" s="430"/>
      <c r="EP58" s="2129"/>
      <c r="EQ58" s="2130"/>
      <c r="ER58" s="429"/>
      <c r="ES58" s="429"/>
      <c r="ET58" s="430"/>
      <c r="EU58" s="2129"/>
      <c r="EV58" s="2130"/>
      <c r="EW58" s="429"/>
      <c r="EX58" s="429"/>
      <c r="EY58" s="430"/>
      <c r="EZ58" s="2129"/>
      <c r="FA58" s="2129"/>
      <c r="FB58" s="2129"/>
      <c r="FC58" s="2129"/>
      <c r="FD58" s="429"/>
      <c r="FF58" s="429"/>
      <c r="FG58"/>
      <c r="FH58"/>
      <c r="FI58"/>
      <c r="FJ58"/>
      <c r="FK58"/>
      <c r="FL58"/>
      <c r="FM58"/>
      <c r="FN58"/>
    </row>
    <row r="59" spans="1:170" ht="11.25" customHeight="1">
      <c r="A59" s="2120" t="s">
        <v>806</v>
      </c>
      <c r="B59" s="431"/>
      <c r="C59" s="431"/>
      <c r="D59" s="431"/>
      <c r="E59" s="431"/>
      <c r="F59" s="2133"/>
      <c r="G59" s="431"/>
      <c r="H59" s="431"/>
      <c r="I59" s="431"/>
      <c r="J59" s="431"/>
      <c r="K59" s="2133"/>
      <c r="L59" s="431"/>
      <c r="M59" s="431"/>
      <c r="N59" s="431"/>
      <c r="O59" s="431"/>
      <c r="P59" s="2133"/>
      <c r="Q59" s="431"/>
      <c r="R59" s="431"/>
      <c r="S59" s="431"/>
      <c r="T59" s="431"/>
      <c r="U59" s="2133"/>
      <c r="V59" s="431"/>
      <c r="W59" s="431"/>
      <c r="X59" s="431"/>
      <c r="Y59" s="431"/>
      <c r="Z59" s="2133"/>
      <c r="AA59" s="431"/>
      <c r="AB59" s="431"/>
      <c r="AC59" s="431"/>
      <c r="AD59" s="431"/>
      <c r="AE59" s="2133"/>
      <c r="AF59" s="431"/>
      <c r="AG59" s="431"/>
      <c r="AH59" s="431"/>
      <c r="AI59" s="431"/>
      <c r="AJ59" s="2133"/>
      <c r="AK59" s="431"/>
      <c r="AL59" s="431"/>
      <c r="AM59" s="431"/>
      <c r="AN59" s="431"/>
      <c r="AO59" s="2133"/>
      <c r="AP59" s="431"/>
      <c r="AQ59" s="431"/>
      <c r="AR59" s="431"/>
      <c r="AS59" s="431"/>
      <c r="AT59" s="2133"/>
      <c r="AU59" s="431"/>
      <c r="AV59" s="431"/>
      <c r="AW59" s="431"/>
      <c r="AX59" s="431"/>
      <c r="AY59" s="2133"/>
      <c r="AZ59" s="2134"/>
      <c r="BA59" s="431"/>
      <c r="BB59" s="431"/>
      <c r="BC59" s="431"/>
      <c r="BD59" s="2133"/>
      <c r="BE59" s="2134"/>
      <c r="BF59" s="431"/>
      <c r="BG59" s="431"/>
      <c r="BH59" s="431"/>
      <c r="BI59" s="2133"/>
      <c r="BJ59" s="2134"/>
      <c r="BK59" s="431"/>
      <c r="BL59" s="433"/>
      <c r="BM59" s="434"/>
      <c r="BN59" s="2133"/>
      <c r="BO59" s="2135"/>
      <c r="BP59" s="433"/>
      <c r="BQ59" s="433"/>
      <c r="BR59" s="433"/>
      <c r="BS59" s="2133"/>
      <c r="BT59" s="2136"/>
      <c r="BU59" s="433"/>
      <c r="BV59" s="433"/>
      <c r="BW59" s="434"/>
      <c r="BX59" s="2133"/>
      <c r="BY59" s="2136"/>
      <c r="BZ59" s="524"/>
      <c r="CA59" s="433"/>
      <c r="CB59" s="433"/>
      <c r="CC59" s="2133"/>
      <c r="CD59" s="2136"/>
      <c r="CE59" s="524"/>
      <c r="CF59" s="524"/>
      <c r="CG59" s="434"/>
      <c r="CH59" s="2133"/>
      <c r="CI59" s="433"/>
      <c r="CJ59" s="433"/>
      <c r="CK59" s="433"/>
      <c r="CL59" s="434"/>
      <c r="CM59" s="2133"/>
      <c r="CN59" s="2135">
        <v>6.2418333333333331</v>
      </c>
      <c r="CO59" s="433">
        <v>6.2001666666666653</v>
      </c>
      <c r="CP59" s="433">
        <v>6.2632333333333321</v>
      </c>
      <c r="CQ59" s="434">
        <v>6.3572666666666668</v>
      </c>
      <c r="CR59" s="2133">
        <f t="shared" ref="CR59:CR64" si="163">AVERAGE(CN59:CQ59)</f>
        <v>6.265625</v>
      </c>
      <c r="CS59" s="814">
        <v>6.5405666666666669</v>
      </c>
      <c r="CT59" s="433">
        <v>6.5056666666666665</v>
      </c>
      <c r="CU59" s="433">
        <v>6.6540999999999997</v>
      </c>
      <c r="CV59" s="433">
        <v>6.7790000000000008</v>
      </c>
      <c r="CW59" s="2133">
        <f t="shared" ref="CW59:CW65" si="164">AVERAGE(CS59:CV59)</f>
        <v>6.6198333333333332</v>
      </c>
      <c r="CX59" s="2135">
        <v>6.8986666666666672</v>
      </c>
      <c r="CY59" s="433">
        <v>6.8662333333333336</v>
      </c>
      <c r="CZ59" s="433">
        <v>6.6992000000000003</v>
      </c>
      <c r="DA59" s="434">
        <v>6.6323000000000008</v>
      </c>
      <c r="DB59" s="2133">
        <f t="shared" ref="DB59:DB65" si="165">AVERAGE(CX59:DA59)</f>
        <v>6.7741000000000007</v>
      </c>
      <c r="DC59" s="1893">
        <v>6.3639333333333328</v>
      </c>
      <c r="DD59" s="433">
        <v>6.339433333333333</v>
      </c>
      <c r="DE59" s="433">
        <v>6.7563999999999993</v>
      </c>
      <c r="DF59" s="434">
        <v>6.9349999999999996</v>
      </c>
      <c r="DG59" s="2133">
        <f t="shared" ref="DG59:DG65" si="166">AVERAGE(DC59:DF59)</f>
        <v>6.5986916666666664</v>
      </c>
      <c r="DH59" s="1893">
        <v>6.7562333333333333</v>
      </c>
      <c r="DI59" s="433">
        <v>6.7839666666666671</v>
      </c>
      <c r="DJ59" s="433">
        <v>6.9681333333333333</v>
      </c>
      <c r="DK59" s="434">
        <v>7.0732999999999997</v>
      </c>
      <c r="DL59" s="2133">
        <f t="shared" ref="DL59:DL65" si="167">AVERAGE(DH59:DK59)</f>
        <v>6.8954083333333331</v>
      </c>
      <c r="DM59" s="1893">
        <v>6.9553666666666665</v>
      </c>
      <c r="DN59" s="433">
        <v>7.0939333333333332</v>
      </c>
      <c r="DO59" s="433">
        <v>6.9630333333333327</v>
      </c>
      <c r="DP59" s="433">
        <v>6.6871333333333327</v>
      </c>
      <c r="DQ59" s="2133">
        <f t="shared" ref="DQ59:DQ65" si="168">AVERAGE(DM59:DP59)</f>
        <v>6.9248666666666656</v>
      </c>
      <c r="DR59" s="1893">
        <v>6.4764000000000008</v>
      </c>
      <c r="DS59" s="433">
        <v>6.4659333333333331</v>
      </c>
      <c r="DT59" s="433">
        <v>6.4597333333333333</v>
      </c>
      <c r="DU59" s="434">
        <v>6.4049666666666667</v>
      </c>
      <c r="DV59" s="2133">
        <f t="shared" ref="DV59:DV65" si="169">AVERAGE(DR59:DU59)</f>
        <v>6.4517583333333333</v>
      </c>
      <c r="DW59" s="1893">
        <v>6.3422000000000009</v>
      </c>
      <c r="DX59" s="433">
        <v>6.5400999999999998</v>
      </c>
      <c r="DY59" s="433">
        <v>6.7780666666666667</v>
      </c>
      <c r="DZ59" s="434">
        <v>7.1711</v>
      </c>
      <c r="EA59" s="2133">
        <f t="shared" ref="EA59:EA65" si="170">AVERAGE(DW59:DZ59)</f>
        <v>6.7078666666666669</v>
      </c>
      <c r="EB59" s="5736">
        <v>6.8631666666666673</v>
      </c>
      <c r="EC59" s="5760">
        <v>6.9668999999999999</v>
      </c>
      <c r="ED59" s="5827">
        <v>7.218466666666667</v>
      </c>
      <c r="EE59" s="433">
        <v>7.2498666666666667</v>
      </c>
      <c r="EF59" s="2133">
        <f t="shared" ref="EF59:EF65" si="171">AVERAGE(EB59:EE59)</f>
        <v>7.0746000000000002</v>
      </c>
      <c r="EG59" s="1893">
        <v>7.1524999999999999</v>
      </c>
      <c r="EH59" s="433">
        <v>7.2350666666666656</v>
      </c>
      <c r="EI59" s="433">
        <v>7.1950666666666665</v>
      </c>
      <c r="EJ59" s="434">
        <v>7.1275666666666666</v>
      </c>
      <c r="EK59" s="2133">
        <f t="shared" ref="EK59:EK65" si="172">AVERAGE(EG59:EJ59)</f>
        <v>7.1775499999999992</v>
      </c>
      <c r="EL59" s="1893">
        <v>7.2741000000000007</v>
      </c>
      <c r="EM59" s="433">
        <v>7.2424333333333335</v>
      </c>
      <c r="EN59" s="433">
        <v>7.1648333333333341</v>
      </c>
      <c r="EO59" s="6175">
        <v>7.1062000000000003</v>
      </c>
      <c r="EP59" s="2133">
        <f t="shared" ref="EP59:EP65" si="173">AVERAGE(EL59:EO59)</f>
        <v>7.1968916666666676</v>
      </c>
      <c r="EQ59" s="6242">
        <v>7.0986000000000002</v>
      </c>
      <c r="ER59" s="2523">
        <f t="shared" ref="ER59:ER64" si="174">EQ59</f>
        <v>7.0986000000000002</v>
      </c>
      <c r="ES59" s="2523">
        <f t="shared" ref="ES59:ES64" si="175">ER59</f>
        <v>7.0986000000000002</v>
      </c>
      <c r="ET59" s="2522">
        <f t="shared" ref="ET59:ET64" si="176">ES59</f>
        <v>7.0986000000000002</v>
      </c>
      <c r="EU59" s="2133">
        <f t="shared" ref="EU59:EU65" si="177">AVERAGE(EQ59:ET59)</f>
        <v>7.0986000000000002</v>
      </c>
      <c r="EV59" s="2521">
        <f t="shared" ref="EV59:EV64" si="178">ET59</f>
        <v>7.0986000000000002</v>
      </c>
      <c r="EW59" s="2523">
        <f t="shared" ref="EW59:EW64" si="179">EV59</f>
        <v>7.0986000000000002</v>
      </c>
      <c r="EX59" s="2523">
        <f t="shared" ref="EX59:EX64" si="180">EW59</f>
        <v>7.0986000000000002</v>
      </c>
      <c r="EY59" s="2522">
        <f t="shared" ref="EY59:EY64" si="181">EX59</f>
        <v>7.0986000000000002</v>
      </c>
      <c r="EZ59" s="2133">
        <f t="shared" ref="EZ59:EZ65" si="182">AVERAGE(EV59:EY59)</f>
        <v>7.0986000000000002</v>
      </c>
      <c r="FA59" s="2133"/>
      <c r="FB59" s="2133"/>
      <c r="FC59" s="2133"/>
      <c r="FD59" s="816"/>
      <c r="FE59" s="1972" t="s">
        <v>594</v>
      </c>
      <c r="FF59" s="2523" t="e">
        <f>AVERAGE(_xll.BDH($FE59,"PX_LAST",FF$136,FF$136,"FILL=P"),_xll.BDH($FE59,"PX_LAST",FF$137,FF$137,"FILL=P"),_xll.BDH($FE59,"PX_LAST",FF$138,FF$138,"FILL=P"))</f>
        <v>#VALUE!</v>
      </c>
      <c r="FG59"/>
      <c r="FH59"/>
      <c r="FI59"/>
      <c r="FJ59"/>
      <c r="FK59"/>
      <c r="FL59"/>
      <c r="FM59"/>
      <c r="FN59"/>
    </row>
    <row r="60" spans="1:170" ht="11.25" customHeight="1">
      <c r="A60" s="2120" t="s">
        <v>807</v>
      </c>
      <c r="B60" s="435"/>
      <c r="C60" s="435"/>
      <c r="D60" s="435"/>
      <c r="E60" s="435"/>
      <c r="F60" s="2133"/>
      <c r="G60" s="435"/>
      <c r="H60" s="435"/>
      <c r="I60" s="435"/>
      <c r="J60" s="435"/>
      <c r="K60" s="2133"/>
      <c r="L60" s="435"/>
      <c r="M60" s="435"/>
      <c r="N60" s="435"/>
      <c r="O60" s="435"/>
      <c r="P60" s="2133"/>
      <c r="Q60" s="435"/>
      <c r="R60" s="435"/>
      <c r="S60" s="435"/>
      <c r="T60" s="435"/>
      <c r="U60" s="2133"/>
      <c r="V60" s="435"/>
      <c r="W60" s="435"/>
      <c r="X60" s="435"/>
      <c r="Y60" s="435"/>
      <c r="Z60" s="2133"/>
      <c r="AA60" s="435"/>
      <c r="AB60" s="435"/>
      <c r="AC60" s="435"/>
      <c r="AD60" s="435"/>
      <c r="AE60" s="2133"/>
      <c r="AF60" s="435"/>
      <c r="AG60" s="435"/>
      <c r="AH60" s="435"/>
      <c r="AI60" s="435"/>
      <c r="AJ60" s="2133"/>
      <c r="AK60" s="435"/>
      <c r="AL60" s="435"/>
      <c r="AM60" s="435"/>
      <c r="AN60" s="435"/>
      <c r="AO60" s="2133"/>
      <c r="AP60" s="435"/>
      <c r="AQ60" s="435"/>
      <c r="AR60" s="435"/>
      <c r="AS60" s="435"/>
      <c r="AT60" s="2133"/>
      <c r="AU60" s="435"/>
      <c r="AV60" s="435"/>
      <c r="AW60" s="435"/>
      <c r="AX60" s="435"/>
      <c r="AY60" s="2133"/>
      <c r="AZ60" s="2138"/>
      <c r="BA60" s="435"/>
      <c r="BB60" s="435"/>
      <c r="BC60" s="435"/>
      <c r="BD60" s="2133"/>
      <c r="BE60" s="2138"/>
      <c r="BF60" s="435"/>
      <c r="BG60" s="435"/>
      <c r="BH60" s="435"/>
      <c r="BI60" s="2133"/>
      <c r="BJ60" s="2138"/>
      <c r="BK60" s="435"/>
      <c r="BL60" s="433"/>
      <c r="BM60" s="434"/>
      <c r="BN60" s="2133"/>
      <c r="BO60" s="2135"/>
      <c r="BP60" s="433"/>
      <c r="BQ60" s="433"/>
      <c r="BR60" s="433"/>
      <c r="BS60" s="2133"/>
      <c r="BT60" s="2135"/>
      <c r="BU60" s="433"/>
      <c r="BV60" s="433"/>
      <c r="BW60" s="434"/>
      <c r="BX60" s="2133"/>
      <c r="BY60" s="2135"/>
      <c r="BZ60" s="524"/>
      <c r="CA60" s="433"/>
      <c r="CB60" s="433"/>
      <c r="CC60" s="2133"/>
      <c r="CD60" s="2135"/>
      <c r="CE60" s="524"/>
      <c r="CF60" s="524"/>
      <c r="CG60" s="434"/>
      <c r="CH60" s="2133"/>
      <c r="CI60" s="433"/>
      <c r="CJ60" s="433"/>
      <c r="CK60" s="433"/>
      <c r="CL60" s="434"/>
      <c r="CM60" s="2133"/>
      <c r="CN60" s="2135">
        <v>0.79150000000000009</v>
      </c>
      <c r="CO60" s="433">
        <v>0.77190000000000003</v>
      </c>
      <c r="CP60" s="433">
        <v>0.73760000000000003</v>
      </c>
      <c r="CQ60" s="434">
        <v>0.71276666666666666</v>
      </c>
      <c r="CR60" s="2133">
        <f t="shared" si="163"/>
        <v>0.75344166666666668</v>
      </c>
      <c r="CS60" s="814">
        <v>0.7170333333333333</v>
      </c>
      <c r="CT60" s="433">
        <v>0.74980000000000002</v>
      </c>
      <c r="CU60" s="433">
        <v>0.75213333333333343</v>
      </c>
      <c r="CV60" s="433">
        <v>0.75526666666666664</v>
      </c>
      <c r="CW60" s="2133">
        <f t="shared" si="164"/>
        <v>0.74355833333333332</v>
      </c>
      <c r="CX60" s="2135">
        <v>0.74833333333333341</v>
      </c>
      <c r="CY60" s="433">
        <v>0.75156666666666672</v>
      </c>
      <c r="CZ60" s="433">
        <v>0.7879666666666667</v>
      </c>
      <c r="DA60" s="434">
        <v>0.7685333333333334</v>
      </c>
      <c r="DB60" s="2133">
        <f t="shared" si="165"/>
        <v>0.76410000000000011</v>
      </c>
      <c r="DC60" s="1893">
        <v>0.79676666666666662</v>
      </c>
      <c r="DD60" s="433">
        <v>0.75923333333333343</v>
      </c>
      <c r="DE60" s="433">
        <v>0.73393333333333333</v>
      </c>
      <c r="DF60" s="434">
        <v>0.72009999999999996</v>
      </c>
      <c r="DG60" s="2133">
        <f t="shared" si="166"/>
        <v>0.75250833333333333</v>
      </c>
      <c r="DH60" s="1893">
        <v>0.71386666666666665</v>
      </c>
      <c r="DI60" s="433">
        <v>0.70273333333333332</v>
      </c>
      <c r="DJ60" s="433">
        <v>0.68659999999999999</v>
      </c>
      <c r="DK60" s="434">
        <v>0.68023333333333336</v>
      </c>
      <c r="DL60" s="2133">
        <f t="shared" si="167"/>
        <v>0.69585833333333325</v>
      </c>
      <c r="DM60" s="1893">
        <v>0.67426666666666668</v>
      </c>
      <c r="DN60" s="433">
        <v>0.64366666666666672</v>
      </c>
      <c r="DO60" s="433">
        <v>0.71406666666666663</v>
      </c>
      <c r="DP60" s="433">
        <v>0.71779999999999999</v>
      </c>
      <c r="DQ60" s="2133">
        <f t="shared" si="168"/>
        <v>0.68745000000000001</v>
      </c>
      <c r="DR60" s="1893">
        <v>0.76813333333333322</v>
      </c>
      <c r="DS60" s="433">
        <v>0.76826666666666676</v>
      </c>
      <c r="DT60" s="433">
        <v>0.73859999999999992</v>
      </c>
      <c r="DU60" s="434">
        <v>0.72906666666666664</v>
      </c>
      <c r="DV60" s="2133">
        <f t="shared" si="169"/>
        <v>0.75101666666666667</v>
      </c>
      <c r="DW60" s="1893">
        <v>0.71976666666666667</v>
      </c>
      <c r="DX60" s="433">
        <v>0.72399999999999987</v>
      </c>
      <c r="DY60" s="433">
        <v>0.69099999999999995</v>
      </c>
      <c r="DZ60" s="434">
        <v>0.65289999999999992</v>
      </c>
      <c r="EA60" s="2133">
        <f t="shared" si="170"/>
        <v>0.69691666666666652</v>
      </c>
      <c r="EB60" s="5736">
        <v>0.68656666666666677</v>
      </c>
      <c r="EC60" s="5760">
        <v>0.66010000000000002</v>
      </c>
      <c r="ED60" s="5827">
        <v>0.66216666666666668</v>
      </c>
      <c r="EE60" s="433">
        <v>0.64590000000000003</v>
      </c>
      <c r="EF60" s="2133">
        <f t="shared" si="171"/>
        <v>0.6636833333333334</v>
      </c>
      <c r="EG60" s="1893">
        <v>0.66256666666666675</v>
      </c>
      <c r="EH60" s="433">
        <v>0.65489999999999993</v>
      </c>
      <c r="EI60" s="433">
        <v>0.66590000000000005</v>
      </c>
      <c r="EJ60" s="434">
        <v>0.66690000000000005</v>
      </c>
      <c r="EK60" s="2133">
        <f t="shared" si="172"/>
        <v>0.66256666666666675</v>
      </c>
      <c r="EL60" s="1893">
        <v>0.62050000000000005</v>
      </c>
      <c r="EM60" s="433">
        <v>0.63600000000000001</v>
      </c>
      <c r="EN60" s="433">
        <v>0.65153333333333341</v>
      </c>
      <c r="EO60" s="6175">
        <v>0.65836666666666666</v>
      </c>
      <c r="EP60" s="2133">
        <f t="shared" si="173"/>
        <v>0.64160000000000006</v>
      </c>
      <c r="EQ60" s="6242">
        <v>0.65690000000000004</v>
      </c>
      <c r="ER60" s="2523">
        <f t="shared" si="174"/>
        <v>0.65690000000000004</v>
      </c>
      <c r="ES60" s="2523">
        <f t="shared" si="175"/>
        <v>0.65690000000000004</v>
      </c>
      <c r="ET60" s="2522">
        <f t="shared" si="176"/>
        <v>0.65690000000000004</v>
      </c>
      <c r="EU60" s="2133">
        <f t="shared" si="177"/>
        <v>0.65690000000000004</v>
      </c>
      <c r="EV60" s="2521">
        <f t="shared" si="178"/>
        <v>0.65690000000000004</v>
      </c>
      <c r="EW60" s="2523">
        <f t="shared" si="179"/>
        <v>0.65690000000000004</v>
      </c>
      <c r="EX60" s="2523">
        <f t="shared" si="180"/>
        <v>0.65690000000000004</v>
      </c>
      <c r="EY60" s="2522">
        <f t="shared" si="181"/>
        <v>0.65690000000000004</v>
      </c>
      <c r="EZ60" s="2133">
        <f t="shared" si="182"/>
        <v>0.65690000000000004</v>
      </c>
      <c r="FA60" s="2133"/>
      <c r="FB60" s="2133"/>
      <c r="FC60" s="2133"/>
      <c r="FD60" s="816"/>
      <c r="FE60" s="1972" t="s">
        <v>595</v>
      </c>
      <c r="FF60" s="2523" t="e">
        <f>AVERAGE(_xll.BDH($FE60,"PX_LAST",FF$136,FF$136,"FILL=P"),_xll.BDH($FE60,"PX_LAST",FF$137,FF$137,"FILL=P"),_xll.BDH($FE60,"PX_LAST",FF$138,FF$138,"FILL=P"))</f>
        <v>#VALUE!</v>
      </c>
      <c r="FG60"/>
      <c r="FH60"/>
      <c r="FI60"/>
      <c r="FJ60"/>
      <c r="FK60"/>
      <c r="FL60"/>
      <c r="FM60"/>
      <c r="FN60"/>
    </row>
    <row r="61" spans="1:170" ht="11.25" customHeight="1">
      <c r="A61" s="2120" t="s">
        <v>808</v>
      </c>
      <c r="B61" s="435"/>
      <c r="C61" s="435"/>
      <c r="D61" s="435"/>
      <c r="E61" s="435"/>
      <c r="F61" s="2133"/>
      <c r="G61" s="435"/>
      <c r="H61" s="435"/>
      <c r="I61" s="435"/>
      <c r="J61" s="435"/>
      <c r="K61" s="2133"/>
      <c r="L61" s="435"/>
      <c r="M61" s="435"/>
      <c r="N61" s="435"/>
      <c r="O61" s="435"/>
      <c r="P61" s="2133"/>
      <c r="Q61" s="435"/>
      <c r="R61" s="435"/>
      <c r="S61" s="435"/>
      <c r="T61" s="435"/>
      <c r="U61" s="2133"/>
      <c r="V61" s="435"/>
      <c r="W61" s="435"/>
      <c r="X61" s="435"/>
      <c r="Y61" s="435"/>
      <c r="Z61" s="2133"/>
      <c r="AA61" s="435"/>
      <c r="AB61" s="435"/>
      <c r="AC61" s="435"/>
      <c r="AD61" s="435"/>
      <c r="AE61" s="2133"/>
      <c r="AF61" s="435"/>
      <c r="AG61" s="435"/>
      <c r="AH61" s="435"/>
      <c r="AI61" s="435"/>
      <c r="AJ61" s="2133"/>
      <c r="AK61" s="435"/>
      <c r="AL61" s="435"/>
      <c r="AM61" s="435"/>
      <c r="AN61" s="435"/>
      <c r="AO61" s="2133"/>
      <c r="AP61" s="435"/>
      <c r="AQ61" s="435"/>
      <c r="AR61" s="435"/>
      <c r="AS61" s="435"/>
      <c r="AT61" s="2133"/>
      <c r="AU61" s="435"/>
      <c r="AV61" s="435"/>
      <c r="AW61" s="435"/>
      <c r="AX61" s="435"/>
      <c r="AY61" s="2133"/>
      <c r="AZ61" s="435"/>
      <c r="BA61" s="435"/>
      <c r="BB61" s="435"/>
      <c r="BC61" s="435"/>
      <c r="BD61" s="2133"/>
      <c r="BE61" s="435"/>
      <c r="BF61" s="435"/>
      <c r="BG61" s="435"/>
      <c r="BH61" s="435"/>
      <c r="BI61" s="2133"/>
      <c r="BJ61" s="435"/>
      <c r="BK61" s="435"/>
      <c r="BL61" s="433"/>
      <c r="BM61" s="433"/>
      <c r="BN61" s="2133"/>
      <c r="BO61" s="433"/>
      <c r="BP61" s="433"/>
      <c r="BQ61" s="433"/>
      <c r="BR61" s="433"/>
      <c r="BS61" s="2133"/>
      <c r="BT61" s="433"/>
      <c r="BU61" s="433"/>
      <c r="BV61" s="433"/>
      <c r="BW61" s="433"/>
      <c r="BX61" s="2133"/>
      <c r="BY61" s="433"/>
      <c r="BZ61" s="524"/>
      <c r="CA61" s="433"/>
      <c r="CB61" s="433"/>
      <c r="CC61" s="2133"/>
      <c r="CD61" s="433"/>
      <c r="CE61" s="524"/>
      <c r="CF61" s="524"/>
      <c r="CG61" s="433"/>
      <c r="CH61" s="2133"/>
      <c r="CI61" s="433"/>
      <c r="CJ61" s="433"/>
      <c r="CK61" s="433"/>
      <c r="CL61" s="433"/>
      <c r="CM61" s="2133"/>
      <c r="CN61" s="814">
        <v>62.250833333333333</v>
      </c>
      <c r="CO61" s="433">
        <v>63.248333333333335</v>
      </c>
      <c r="CP61" s="433">
        <v>64.756233333333341</v>
      </c>
      <c r="CQ61" s="433">
        <v>65.84083333333335</v>
      </c>
      <c r="CR61" s="2133">
        <f>AVERAGE(CN61:CQ61)</f>
        <v>64.024058333333343</v>
      </c>
      <c r="CS61" s="814">
        <v>67.45623333333333</v>
      </c>
      <c r="CT61" s="433">
        <v>66.612499999999997</v>
      </c>
      <c r="CU61" s="433">
        <v>67.161233333333328</v>
      </c>
      <c r="CV61" s="433">
        <v>67.260000000000005</v>
      </c>
      <c r="CW61" s="2133">
        <f t="shared" si="164"/>
        <v>67.122491666666662</v>
      </c>
      <c r="CX61" s="433">
        <v>67.492933333333326</v>
      </c>
      <c r="CY61" s="433">
        <v>64.534566666666663</v>
      </c>
      <c r="CZ61" s="433">
        <v>64.225033333333329</v>
      </c>
      <c r="DA61" s="433">
        <v>64.830399999999997</v>
      </c>
      <c r="DB61" s="2133">
        <f>AVERAGE(CX61:DA61)</f>
        <v>65.270733333333325</v>
      </c>
      <c r="DC61" s="1893">
        <v>63.828766666666674</v>
      </c>
      <c r="DD61" s="433">
        <v>66.416266666666658</v>
      </c>
      <c r="DE61" s="433">
        <v>69.337499999999991</v>
      </c>
      <c r="DF61" s="434">
        <v>72.009566666666657</v>
      </c>
      <c r="DG61" s="2133">
        <f>AVERAGE(DC61:DF61)</f>
        <v>67.898025000000004</v>
      </c>
      <c r="DH61" s="1893">
        <v>70.532899999999998</v>
      </c>
      <c r="DI61" s="433">
        <v>69.475399999999993</v>
      </c>
      <c r="DJ61" s="433">
        <v>69.743766666666659</v>
      </c>
      <c r="DK61" s="434">
        <v>71.178766666666675</v>
      </c>
      <c r="DL61" s="2133">
        <f t="shared" si="167"/>
        <v>70.232708333333335</v>
      </c>
      <c r="DM61" s="1893">
        <v>71.63666666666667</v>
      </c>
      <c r="DN61" s="433">
        <v>75.448333333333338</v>
      </c>
      <c r="DO61" s="433">
        <v>74.647499999999994</v>
      </c>
      <c r="DP61" s="433">
        <v>73.976666666666674</v>
      </c>
      <c r="DQ61" s="2133">
        <f t="shared" si="168"/>
        <v>73.927291666666676</v>
      </c>
      <c r="DR61" s="1893">
        <v>73.164199999999994</v>
      </c>
      <c r="DS61" s="433">
        <v>73.27</v>
      </c>
      <c r="DT61" s="433">
        <v>73.916700000000006</v>
      </c>
      <c r="DU61" s="434">
        <v>74.76166666666667</v>
      </c>
      <c r="DV61" s="2133">
        <f t="shared" si="169"/>
        <v>73.778141666666656</v>
      </c>
      <c r="DW61" s="1893">
        <v>74.766666666666666</v>
      </c>
      <c r="DX61" s="433">
        <v>76.619533333333337</v>
      </c>
      <c r="DY61" s="433">
        <v>79.232100000000003</v>
      </c>
      <c r="DZ61" s="434">
        <v>81.850833333333341</v>
      </c>
      <c r="EA61" s="2133">
        <f t="shared" si="170"/>
        <v>78.117283333333333</v>
      </c>
      <c r="EB61" s="5736">
        <v>82.442899999999995</v>
      </c>
      <c r="EC61" s="5760">
        <v>82.24666666666667</v>
      </c>
      <c r="ED61" s="5827">
        <v>82.359166666666667</v>
      </c>
      <c r="EE61" s="433">
        <v>83.23</v>
      </c>
      <c r="EF61" s="2133">
        <f t="shared" si="171"/>
        <v>82.569683333333344</v>
      </c>
      <c r="EG61" s="1893">
        <v>83.055033333333327</v>
      </c>
      <c r="EH61" s="433">
        <v>83.435000000000002</v>
      </c>
      <c r="EI61" s="433">
        <v>83.663300000000007</v>
      </c>
      <c r="EJ61" s="434">
        <v>84.126666666666665</v>
      </c>
      <c r="EK61" s="2133">
        <f t="shared" si="172"/>
        <v>83.57</v>
      </c>
      <c r="EL61" s="1893">
        <v>86.580833333333331</v>
      </c>
      <c r="EM61" s="433">
        <v>85.180833333333339</v>
      </c>
      <c r="EN61" s="433">
        <v>87.19</v>
      </c>
      <c r="EO61" s="6175">
        <v>88.398733333333325</v>
      </c>
      <c r="EP61" s="2133">
        <f t="shared" si="173"/>
        <v>86.837599999999995</v>
      </c>
      <c r="EQ61" s="6242">
        <v>88.202500000000001</v>
      </c>
      <c r="ER61" s="2523">
        <f t="shared" si="174"/>
        <v>88.202500000000001</v>
      </c>
      <c r="ES61" s="2523">
        <f t="shared" si="175"/>
        <v>88.202500000000001</v>
      </c>
      <c r="ET61" s="2522">
        <f t="shared" si="176"/>
        <v>88.202500000000001</v>
      </c>
      <c r="EU61" s="2133">
        <f t="shared" si="177"/>
        <v>88.202500000000001</v>
      </c>
      <c r="EV61" s="2521">
        <f t="shared" si="178"/>
        <v>88.202500000000001</v>
      </c>
      <c r="EW61" s="2523">
        <f t="shared" si="179"/>
        <v>88.202500000000001</v>
      </c>
      <c r="EX61" s="2523">
        <f t="shared" si="180"/>
        <v>88.202500000000001</v>
      </c>
      <c r="EY61" s="2522">
        <f t="shared" si="181"/>
        <v>88.202500000000001</v>
      </c>
      <c r="EZ61" s="2133">
        <f t="shared" si="182"/>
        <v>88.202500000000001</v>
      </c>
      <c r="FA61" s="2133"/>
      <c r="FB61" s="2133"/>
      <c r="FC61" s="2133"/>
      <c r="FD61" s="816"/>
      <c r="FE61" s="1972" t="s">
        <v>608</v>
      </c>
      <c r="FF61" s="2523" t="e">
        <f>AVERAGE(_xll.BDH($FE61,"PX_LAST",FF$136,FF$136,"FILL=P"),_xll.BDH($FE61,"PX_LAST",FF$137,FF$137,"FILL=P"),_xll.BDH($FE61,"PX_LAST",FF$138,FF$138,"FILL=P"))</f>
        <v>#VALUE!</v>
      </c>
      <c r="FG61"/>
      <c r="FH61"/>
      <c r="FI61"/>
      <c r="FJ61"/>
      <c r="FK61"/>
      <c r="FL61"/>
      <c r="FM61"/>
      <c r="FN61"/>
    </row>
    <row r="62" spans="1:170" ht="11.25" customHeight="1">
      <c r="A62" s="2120" t="s">
        <v>809</v>
      </c>
      <c r="B62" s="435"/>
      <c r="C62" s="435"/>
      <c r="D62" s="435"/>
      <c r="E62" s="435"/>
      <c r="F62" s="2133"/>
      <c r="G62" s="435"/>
      <c r="H62" s="435"/>
      <c r="I62" s="435"/>
      <c r="J62" s="435"/>
      <c r="K62" s="2133"/>
      <c r="L62" s="435"/>
      <c r="M62" s="435"/>
      <c r="N62" s="435"/>
      <c r="O62" s="435"/>
      <c r="P62" s="2133"/>
      <c r="Q62" s="435"/>
      <c r="R62" s="435"/>
      <c r="S62" s="435"/>
      <c r="T62" s="435"/>
      <c r="U62" s="2133"/>
      <c r="V62" s="435"/>
      <c r="W62" s="435"/>
      <c r="X62" s="435"/>
      <c r="Y62" s="435"/>
      <c r="Z62" s="2133"/>
      <c r="AA62" s="435"/>
      <c r="AB62" s="435"/>
      <c r="AC62" s="435"/>
      <c r="AD62" s="435"/>
      <c r="AE62" s="2133"/>
      <c r="AF62" s="435"/>
      <c r="AG62" s="435"/>
      <c r="AH62" s="435"/>
      <c r="AI62" s="435"/>
      <c r="AJ62" s="2133"/>
      <c r="AK62" s="435"/>
      <c r="AL62" s="435"/>
      <c r="AM62" s="435"/>
      <c r="AN62" s="435"/>
      <c r="AO62" s="2133"/>
      <c r="AP62" s="435"/>
      <c r="AQ62" s="435"/>
      <c r="AR62" s="435"/>
      <c r="AS62" s="435"/>
      <c r="AT62" s="2133"/>
      <c r="AU62" s="435"/>
      <c r="AV62" s="435"/>
      <c r="AW62" s="435"/>
      <c r="AX62" s="435"/>
      <c r="AY62" s="2133"/>
      <c r="AZ62" s="435"/>
      <c r="BA62" s="435"/>
      <c r="BB62" s="435"/>
      <c r="BC62" s="435"/>
      <c r="BD62" s="2133"/>
      <c r="BE62" s="435"/>
      <c r="BF62" s="435"/>
      <c r="BG62" s="435"/>
      <c r="BH62" s="435"/>
      <c r="BI62" s="2133"/>
      <c r="BJ62" s="435"/>
      <c r="BK62" s="435"/>
      <c r="BL62" s="433"/>
      <c r="BM62" s="433"/>
      <c r="BN62" s="2133"/>
      <c r="BO62" s="433"/>
      <c r="BP62" s="433"/>
      <c r="BQ62" s="433"/>
      <c r="BR62" s="433"/>
      <c r="BS62" s="2133"/>
      <c r="BT62" s="433"/>
      <c r="BU62" s="433"/>
      <c r="BV62" s="433"/>
      <c r="BW62" s="433"/>
      <c r="BX62" s="2133"/>
      <c r="BY62" s="433"/>
      <c r="BZ62" s="524"/>
      <c r="CA62" s="433"/>
      <c r="CB62" s="433"/>
      <c r="CC62" s="2133"/>
      <c r="CD62" s="433"/>
      <c r="CE62" s="524"/>
      <c r="CF62" s="524"/>
      <c r="CG62" s="433"/>
      <c r="CH62" s="2133"/>
      <c r="CI62" s="433"/>
      <c r="CJ62" s="433"/>
      <c r="CK62" s="433"/>
      <c r="CL62" s="433"/>
      <c r="CM62" s="2133"/>
      <c r="CN62" s="433">
        <v>118.96666666666665</v>
      </c>
      <c r="CO62" s="433">
        <v>121.21999999999998</v>
      </c>
      <c r="CP62" s="433">
        <v>122.54</v>
      </c>
      <c r="CQ62" s="433">
        <v>121.20333333333333</v>
      </c>
      <c r="CR62" s="2133">
        <f t="shared" si="163"/>
        <v>120.98249999999999</v>
      </c>
      <c r="CS62" s="814">
        <v>118.01666666666667</v>
      </c>
      <c r="CT62" s="433">
        <v>109.93333333333334</v>
      </c>
      <c r="CU62" s="433">
        <v>102.89666666666666</v>
      </c>
      <c r="CV62" s="433">
        <v>106.87666666666667</v>
      </c>
      <c r="CW62" s="2133">
        <f t="shared" si="164"/>
        <v>109.43083333333333</v>
      </c>
      <c r="CX62" s="433">
        <v>114.17666666666666</v>
      </c>
      <c r="CY62" s="433">
        <v>111.21999999999998</v>
      </c>
      <c r="CZ62" s="433">
        <v>110.87666666666667</v>
      </c>
      <c r="DA62" s="433">
        <v>112.89666666666666</v>
      </c>
      <c r="DB62" s="2133">
        <f t="shared" si="165"/>
        <v>112.29249999999999</v>
      </c>
      <c r="DC62" s="1893">
        <v>110.42666666666666</v>
      </c>
      <c r="DD62" s="433">
        <v>108.14666666666666</v>
      </c>
      <c r="DE62" s="433">
        <v>111.21666666666665</v>
      </c>
      <c r="DF62" s="434">
        <v>113.40333333333332</v>
      </c>
      <c r="DG62" s="2133">
        <f t="shared" si="166"/>
        <v>110.79833333333332</v>
      </c>
      <c r="DH62" s="1893">
        <v>109.99</v>
      </c>
      <c r="DI62" s="433">
        <v>110.19</v>
      </c>
      <c r="DJ62" s="433">
        <v>107.63666666666666</v>
      </c>
      <c r="DK62" s="434">
        <v>108.53333333333335</v>
      </c>
      <c r="DL62" s="2133">
        <f t="shared" si="167"/>
        <v>109.08750000000001</v>
      </c>
      <c r="DM62" s="1893">
        <v>108.28333333333332</v>
      </c>
      <c r="DN62" s="433">
        <v>107.51666666666667</v>
      </c>
      <c r="DO62" s="433">
        <v>106.55666666666666</v>
      </c>
      <c r="DP62" s="433">
        <v>104.81666666666666</v>
      </c>
      <c r="DQ62" s="2133">
        <f t="shared" si="168"/>
        <v>106.79333333333332</v>
      </c>
      <c r="DR62" s="1893">
        <v>104.83333333333333</v>
      </c>
      <c r="DS62" s="433">
        <v>109.87</v>
      </c>
      <c r="DT62" s="433">
        <v>110.28333333333332</v>
      </c>
      <c r="DU62" s="434">
        <v>112.80333333333334</v>
      </c>
      <c r="DV62" s="2133">
        <f t="shared" si="169"/>
        <v>109.44749999999999</v>
      </c>
      <c r="DW62" s="1893">
        <v>115.06333333333333</v>
      </c>
      <c r="DX62" s="433">
        <v>126.68999999999998</v>
      </c>
      <c r="DY62" s="433">
        <v>135.98333333333335</v>
      </c>
      <c r="DZ62" s="434">
        <v>143.84</v>
      </c>
      <c r="EA62" s="2133">
        <f t="shared" si="170"/>
        <v>130.39416666666668</v>
      </c>
      <c r="EB62" s="5736">
        <v>132.46</v>
      </c>
      <c r="EC62" s="5760">
        <v>136.16666666666666</v>
      </c>
      <c r="ED62" s="5827">
        <v>144.04666666666665</v>
      </c>
      <c r="EE62" s="433">
        <v>149.75</v>
      </c>
      <c r="EF62" s="2133">
        <f t="shared" si="171"/>
        <v>140.60583333333332</v>
      </c>
      <c r="EG62" s="1893">
        <v>145.97999999999999</v>
      </c>
      <c r="EH62" s="433">
        <v>155.48666666666665</v>
      </c>
      <c r="EI62" s="433">
        <v>152.34333333333333</v>
      </c>
      <c r="EJ62" s="434">
        <v>148.47666666666666</v>
      </c>
      <c r="EK62" s="2133">
        <f t="shared" si="172"/>
        <v>150.57166666666666</v>
      </c>
      <c r="EL62" s="1893">
        <v>154.34</v>
      </c>
      <c r="EM62" s="433">
        <v>145.68333333333331</v>
      </c>
      <c r="EN62" s="433">
        <v>147.27666666666667</v>
      </c>
      <c r="EO62" s="6175">
        <v>151.22</v>
      </c>
      <c r="EP62" s="2133">
        <f t="shared" si="173"/>
        <v>149.63</v>
      </c>
      <c r="EQ62" s="6242">
        <v>152.88</v>
      </c>
      <c r="ER62" s="2523">
        <f t="shared" si="174"/>
        <v>152.88</v>
      </c>
      <c r="ES62" s="2523">
        <f t="shared" si="175"/>
        <v>152.88</v>
      </c>
      <c r="ET62" s="2522">
        <f t="shared" si="176"/>
        <v>152.88</v>
      </c>
      <c r="EU62" s="2133">
        <f t="shared" si="177"/>
        <v>152.88</v>
      </c>
      <c r="EV62" s="2521">
        <f t="shared" si="178"/>
        <v>152.88</v>
      </c>
      <c r="EW62" s="2523">
        <f t="shared" si="179"/>
        <v>152.88</v>
      </c>
      <c r="EX62" s="2523">
        <f t="shared" si="180"/>
        <v>152.88</v>
      </c>
      <c r="EY62" s="2522">
        <f t="shared" si="181"/>
        <v>152.88</v>
      </c>
      <c r="EZ62" s="2133">
        <f t="shared" si="182"/>
        <v>152.88</v>
      </c>
      <c r="FA62" s="2133"/>
      <c r="FB62" s="2133"/>
      <c r="FC62" s="2133"/>
      <c r="FD62" s="816"/>
      <c r="FE62" s="1972" t="s">
        <v>596</v>
      </c>
      <c r="FF62" s="2523" t="e">
        <f>AVERAGE(_xll.BDH($FE62,"PX_LAST",FF$136,FF$136,"FILL=P"),_xll.BDH($FE62,"PX_LAST",FF$137,FF$137,"FILL=P"),_xll.BDH($FE62,"PX_LAST",FF$138,FF$138,"FILL=P"))</f>
        <v>#VALUE!</v>
      </c>
      <c r="FG62"/>
      <c r="FH62"/>
      <c r="FI62"/>
      <c r="FJ62"/>
      <c r="FK62"/>
      <c r="FL62"/>
      <c r="FM62"/>
      <c r="FN62"/>
    </row>
    <row r="63" spans="1:170" ht="11.25" customHeight="1">
      <c r="A63" s="1970" t="s">
        <v>859</v>
      </c>
      <c r="B63" s="435"/>
      <c r="C63" s="435"/>
      <c r="D63" s="435"/>
      <c r="E63" s="435"/>
      <c r="F63" s="3455"/>
      <c r="G63" s="435"/>
      <c r="H63" s="435"/>
      <c r="I63" s="435"/>
      <c r="J63" s="435"/>
      <c r="K63" s="3455"/>
      <c r="L63" s="435"/>
      <c r="M63" s="435"/>
      <c r="N63" s="435"/>
      <c r="O63" s="435"/>
      <c r="P63" s="3455"/>
      <c r="Q63" s="435"/>
      <c r="R63" s="435"/>
      <c r="S63" s="435"/>
      <c r="T63" s="435"/>
      <c r="U63" s="3455"/>
      <c r="V63" s="435"/>
      <c r="W63" s="435"/>
      <c r="X63" s="435"/>
      <c r="Y63" s="435"/>
      <c r="Z63" s="3455"/>
      <c r="AA63" s="435"/>
      <c r="AB63" s="435"/>
      <c r="AC63" s="435"/>
      <c r="AD63" s="435"/>
      <c r="AE63" s="3455"/>
      <c r="AF63" s="435"/>
      <c r="AG63" s="435"/>
      <c r="AH63" s="435"/>
      <c r="AI63" s="435"/>
      <c r="AJ63" s="3455"/>
      <c r="AK63" s="435"/>
      <c r="AL63" s="435"/>
      <c r="AM63" s="435"/>
      <c r="AN63" s="435"/>
      <c r="AO63" s="3455"/>
      <c r="AP63" s="435"/>
      <c r="AQ63" s="435"/>
      <c r="AR63" s="435"/>
      <c r="AS63" s="435"/>
      <c r="AT63" s="3455"/>
      <c r="AU63" s="435"/>
      <c r="AV63" s="435"/>
      <c r="AW63" s="435"/>
      <c r="AX63" s="435"/>
      <c r="AY63" s="3455"/>
      <c r="AZ63" s="435"/>
      <c r="BA63" s="435"/>
      <c r="BB63" s="435"/>
      <c r="BC63" s="435"/>
      <c r="BD63" s="3455"/>
      <c r="BE63" s="435"/>
      <c r="BF63" s="435"/>
      <c r="BG63" s="435"/>
      <c r="BH63" s="435"/>
      <c r="BI63" s="3455"/>
      <c r="BJ63" s="435"/>
      <c r="BK63" s="435"/>
      <c r="BL63" s="433"/>
      <c r="BM63" s="433"/>
      <c r="BN63" s="3455"/>
      <c r="BO63" s="433"/>
      <c r="BP63" s="433"/>
      <c r="BQ63" s="433"/>
      <c r="BR63" s="433"/>
      <c r="BS63" s="3455"/>
      <c r="BT63" s="433"/>
      <c r="BU63" s="433"/>
      <c r="BV63" s="433"/>
      <c r="BW63" s="433"/>
      <c r="BX63" s="3455"/>
      <c r="BY63" s="433"/>
      <c r="BZ63" s="524"/>
      <c r="CA63" s="433"/>
      <c r="CB63" s="433"/>
      <c r="CC63" s="3455"/>
      <c r="CD63" s="433"/>
      <c r="CE63" s="524"/>
      <c r="CF63" s="524"/>
      <c r="CG63" s="433"/>
      <c r="CH63" s="3455"/>
      <c r="CI63" s="433"/>
      <c r="CJ63" s="433"/>
      <c r="CK63" s="433"/>
      <c r="CL63" s="433"/>
      <c r="CM63" s="3455"/>
      <c r="CN63" s="814">
        <v>1094.22</v>
      </c>
      <c r="CO63" s="433">
        <v>1096.7233333333334</v>
      </c>
      <c r="CP63" s="433">
        <v>1156.2333333333333</v>
      </c>
      <c r="CQ63" s="433">
        <v>1161.2766666666669</v>
      </c>
      <c r="CR63" s="2133">
        <f t="shared" si="163"/>
        <v>1127.1133333333335</v>
      </c>
      <c r="CS63" s="814">
        <v>1203.6133333333335</v>
      </c>
      <c r="CT63" s="433">
        <v>1158.25</v>
      </c>
      <c r="CU63" s="433">
        <v>1128.9466666666667</v>
      </c>
      <c r="CV63" s="433">
        <v>1137.9566666666667</v>
      </c>
      <c r="CW63" s="2133">
        <f t="shared" si="164"/>
        <v>1157.1916666666668</v>
      </c>
      <c r="CX63" s="433">
        <v>1165.8066666666666</v>
      </c>
      <c r="CY63" s="433">
        <v>1125.2500000000002</v>
      </c>
      <c r="CZ63" s="433">
        <v>1130.3366666666668</v>
      </c>
      <c r="DA63" s="433">
        <v>1117.9166666666667</v>
      </c>
      <c r="DB63" s="2133">
        <f t="shared" si="165"/>
        <v>1134.8275000000001</v>
      </c>
      <c r="DC63" s="433">
        <v>1072.7166666666667</v>
      </c>
      <c r="DD63" s="433">
        <v>1069.6400000000001</v>
      </c>
      <c r="DE63" s="433">
        <v>1115.49</v>
      </c>
      <c r="DF63" s="433">
        <v>1123.29</v>
      </c>
      <c r="DG63" s="2133">
        <f t="shared" si="166"/>
        <v>1095.2841666666666</v>
      </c>
      <c r="DH63" s="1893">
        <v>1116.0366666666666</v>
      </c>
      <c r="DI63" s="433">
        <v>1164.7466666666667</v>
      </c>
      <c r="DJ63" s="433">
        <v>1183.0533333333333</v>
      </c>
      <c r="DK63" s="434">
        <v>1180.5200000000002</v>
      </c>
      <c r="DL63" s="2133">
        <f>AVERAGE(DH63:DK63)</f>
        <v>1161.0891666666666</v>
      </c>
      <c r="DM63" s="1893">
        <v>1187.4366666666667</v>
      </c>
      <c r="DN63" s="433">
        <v>1220.1833333333334</v>
      </c>
      <c r="DO63" s="433">
        <v>1193.8433333333332</v>
      </c>
      <c r="DP63" s="433">
        <v>1137.1266666666668</v>
      </c>
      <c r="DQ63" s="2133">
        <f t="shared" si="168"/>
        <v>1184.6475</v>
      </c>
      <c r="DR63" s="1893">
        <v>1109.5466666666664</v>
      </c>
      <c r="DS63" s="433">
        <v>1118.3766666666668</v>
      </c>
      <c r="DT63" s="433">
        <v>1145.2766666666666</v>
      </c>
      <c r="DU63" s="434">
        <v>1180.1099999999999</v>
      </c>
      <c r="DV63" s="2133">
        <f t="shared" si="169"/>
        <v>1138.3274999999999</v>
      </c>
      <c r="DW63" s="1893">
        <v>1200.5833333333333</v>
      </c>
      <c r="DX63" s="433">
        <v>1235.0166666666667</v>
      </c>
      <c r="DY63" s="433">
        <v>1312.2833333333331</v>
      </c>
      <c r="DZ63" s="434">
        <v>1391.8266666666666</v>
      </c>
      <c r="EA63" s="3455">
        <f t="shared" si="170"/>
        <v>1284.9275</v>
      </c>
      <c r="EB63" s="5736">
        <v>1271.9733333333334</v>
      </c>
      <c r="EC63" s="5760">
        <v>1322.1433333333332</v>
      </c>
      <c r="ED63" s="5827">
        <v>1305.0566666666666</v>
      </c>
      <c r="EE63" s="433">
        <v>1329.6666666666667</v>
      </c>
      <c r="EF63" s="3455">
        <f t="shared" si="171"/>
        <v>1307.21</v>
      </c>
      <c r="EG63" s="1893">
        <v>1319.0600000000002</v>
      </c>
      <c r="EH63" s="433">
        <v>1371.6833333333334</v>
      </c>
      <c r="EI63" s="433">
        <v>1361.9533333333334</v>
      </c>
      <c r="EJ63" s="434">
        <v>1363.1499999999999</v>
      </c>
      <c r="EK63" s="3455">
        <f t="shared" si="172"/>
        <v>1353.9616666666668</v>
      </c>
      <c r="EL63" s="1893">
        <v>1463.9366666666667</v>
      </c>
      <c r="EM63" s="433">
        <v>1427.0833333333333</v>
      </c>
      <c r="EN63" s="433">
        <v>1379.03</v>
      </c>
      <c r="EO63" s="6175">
        <v>1415.33</v>
      </c>
      <c r="EP63" s="3455">
        <f t="shared" si="173"/>
        <v>1421.345</v>
      </c>
      <c r="EQ63" s="6242">
        <v>1420.97</v>
      </c>
      <c r="ER63" s="2523">
        <f t="shared" si="174"/>
        <v>1420.97</v>
      </c>
      <c r="ES63" s="2523">
        <f t="shared" si="175"/>
        <v>1420.97</v>
      </c>
      <c r="ET63" s="2522">
        <f t="shared" si="176"/>
        <v>1420.97</v>
      </c>
      <c r="EU63" s="3455">
        <f t="shared" si="177"/>
        <v>1420.97</v>
      </c>
      <c r="EV63" s="2521">
        <f t="shared" si="178"/>
        <v>1420.97</v>
      </c>
      <c r="EW63" s="2523">
        <f t="shared" si="179"/>
        <v>1420.97</v>
      </c>
      <c r="EX63" s="2523">
        <f t="shared" si="180"/>
        <v>1420.97</v>
      </c>
      <c r="EY63" s="2522">
        <f t="shared" si="181"/>
        <v>1420.97</v>
      </c>
      <c r="EZ63" s="3455">
        <f t="shared" si="182"/>
        <v>1420.97</v>
      </c>
      <c r="FA63" s="3455"/>
      <c r="FB63" s="3455"/>
      <c r="FC63" s="3455"/>
      <c r="FD63" s="816"/>
      <c r="FE63" s="1972" t="s">
        <v>708</v>
      </c>
      <c r="FF63" s="2523" t="e">
        <f>AVERAGE(_xll.BDH($FE63,"PX_LAST",FF$136,FF$136,"FILL=P"),_xll.BDH($FE63,"PX_LAST",FF$137,FF$137,"FILL=P"),_xll.BDH($FE63,"PX_LAST",FF$138,FF$138,"FILL=P"))</f>
        <v>#VALUE!</v>
      </c>
      <c r="FG63"/>
      <c r="FH63"/>
      <c r="FI63"/>
      <c r="FJ63"/>
      <c r="FK63"/>
      <c r="FL63"/>
      <c r="FM63"/>
      <c r="FN63"/>
    </row>
    <row r="64" spans="1:170" ht="11.25" customHeight="1">
      <c r="A64" s="3459" t="s">
        <v>805</v>
      </c>
      <c r="B64" s="435"/>
      <c r="C64" s="435"/>
      <c r="D64" s="435"/>
      <c r="E64" s="435"/>
      <c r="F64" s="3463"/>
      <c r="G64" s="435"/>
      <c r="H64" s="435"/>
      <c r="I64" s="435"/>
      <c r="J64" s="435"/>
      <c r="K64" s="3463"/>
      <c r="L64" s="435"/>
      <c r="M64" s="435"/>
      <c r="N64" s="435"/>
      <c r="O64" s="435"/>
      <c r="P64" s="3463"/>
      <c r="Q64" s="435"/>
      <c r="R64" s="435"/>
      <c r="S64" s="435"/>
      <c r="T64" s="435"/>
      <c r="U64" s="3463"/>
      <c r="V64" s="435"/>
      <c r="W64" s="435"/>
      <c r="X64" s="435"/>
      <c r="Y64" s="435"/>
      <c r="Z64" s="3463"/>
      <c r="AA64" s="435"/>
      <c r="AB64" s="435"/>
      <c r="AC64" s="435"/>
      <c r="AD64" s="435"/>
      <c r="AE64" s="3463"/>
      <c r="AF64" s="435"/>
      <c r="AG64" s="435"/>
      <c r="AH64" s="435"/>
      <c r="AI64" s="435"/>
      <c r="AJ64" s="3463"/>
      <c r="AK64" s="435"/>
      <c r="AL64" s="435"/>
      <c r="AM64" s="435"/>
      <c r="AN64" s="435"/>
      <c r="AO64" s="3463"/>
      <c r="AP64" s="435"/>
      <c r="AQ64" s="435"/>
      <c r="AR64" s="435"/>
      <c r="AS64" s="435"/>
      <c r="AT64" s="3463"/>
      <c r="AU64" s="435"/>
      <c r="AV64" s="435"/>
      <c r="AW64" s="435"/>
      <c r="AX64" s="435"/>
      <c r="AY64" s="3463"/>
      <c r="AZ64" s="435"/>
      <c r="BA64" s="435"/>
      <c r="BB64" s="435"/>
      <c r="BC64" s="435"/>
      <c r="BD64" s="3463"/>
      <c r="BE64" s="435"/>
      <c r="BF64" s="435"/>
      <c r="BG64" s="435"/>
      <c r="BH64" s="435"/>
      <c r="BI64" s="3463"/>
      <c r="BJ64" s="435"/>
      <c r="BK64" s="435"/>
      <c r="BL64" s="433"/>
      <c r="BM64" s="433"/>
      <c r="BN64" s="3463"/>
      <c r="BO64" s="433"/>
      <c r="BP64" s="433"/>
      <c r="BQ64" s="433"/>
      <c r="BR64" s="433"/>
      <c r="BS64" s="3463"/>
      <c r="BT64" s="433"/>
      <c r="BU64" s="433"/>
      <c r="BV64" s="433"/>
      <c r="BW64" s="433"/>
      <c r="BX64" s="3463"/>
      <c r="BY64" s="433"/>
      <c r="BZ64" s="524"/>
      <c r="CA64" s="433"/>
      <c r="CB64" s="433"/>
      <c r="CC64" s="3463"/>
      <c r="CD64" s="433"/>
      <c r="CE64" s="524"/>
      <c r="CF64" s="524"/>
      <c r="CG64" s="433"/>
      <c r="CH64" s="3463"/>
      <c r="CI64" s="433"/>
      <c r="CJ64" s="433"/>
      <c r="CK64" s="433"/>
      <c r="CL64" s="433"/>
      <c r="CM64" s="3463"/>
      <c r="CN64" s="814">
        <v>31.546999999999997</v>
      </c>
      <c r="CO64" s="433">
        <v>30.876000000000001</v>
      </c>
      <c r="CP64" s="433">
        <v>31.737333333333336</v>
      </c>
      <c r="CQ64" s="433">
        <v>32.760333333333328</v>
      </c>
      <c r="CR64" s="2133">
        <f t="shared" si="163"/>
        <v>31.730166666666669</v>
      </c>
      <c r="CS64" s="814">
        <v>33.163999999999994</v>
      </c>
      <c r="CT64" s="433">
        <v>32.366999999999997</v>
      </c>
      <c r="CU64" s="433">
        <v>31.987666666666666</v>
      </c>
      <c r="CV64" s="433">
        <v>31.593666666666667</v>
      </c>
      <c r="CW64" s="2133">
        <f t="shared" si="164"/>
        <v>32.278083333333335</v>
      </c>
      <c r="CX64" s="433">
        <v>31.463999999999999</v>
      </c>
      <c r="CY64" s="433">
        <v>30.227333333333334</v>
      </c>
      <c r="CZ64" s="433">
        <v>30.27</v>
      </c>
      <c r="DA64" s="433">
        <v>30.165666666666667</v>
      </c>
      <c r="DB64" s="2133">
        <f t="shared" si="165"/>
        <v>30.531749999999999</v>
      </c>
      <c r="DC64" s="433">
        <v>29.385000000000002</v>
      </c>
      <c r="DD64" s="433">
        <v>29.559000000000001</v>
      </c>
      <c r="DE64" s="433">
        <v>30.606333333333335</v>
      </c>
      <c r="DF64" s="433">
        <v>30.768000000000001</v>
      </c>
      <c r="DG64" s="2133">
        <f t="shared" si="166"/>
        <v>30.079583333333336</v>
      </c>
      <c r="DH64" s="1893">
        <v>30.690333333333331</v>
      </c>
      <c r="DI64" s="433">
        <v>31.113333333333333</v>
      </c>
      <c r="DJ64" s="433">
        <v>31.138333333333332</v>
      </c>
      <c r="DK64" s="434">
        <v>30.664666666666665</v>
      </c>
      <c r="DL64" s="2133">
        <f>AVERAGE(DH64:DK64)</f>
        <v>30.901666666666664</v>
      </c>
      <c r="DM64" s="1893">
        <v>30.173000000000002</v>
      </c>
      <c r="DN64" s="433">
        <v>30.003</v>
      </c>
      <c r="DO64" s="433">
        <v>29.447999999999997</v>
      </c>
      <c r="DP64" s="433">
        <v>28.722333333333335</v>
      </c>
      <c r="DQ64" s="2133">
        <f t="shared" si="168"/>
        <v>29.586583333333333</v>
      </c>
      <c r="DR64" s="1893">
        <v>27.995999999999999</v>
      </c>
      <c r="DS64" s="433">
        <v>27.987333333333336</v>
      </c>
      <c r="DT64" s="433">
        <v>27.833666666666669</v>
      </c>
      <c r="DU64" s="434">
        <v>27.77033333333333</v>
      </c>
      <c r="DV64" s="2133">
        <f t="shared" si="169"/>
        <v>27.896833333333333</v>
      </c>
      <c r="DW64" s="1893">
        <v>27.834666666666667</v>
      </c>
      <c r="DX64" s="433">
        <v>29.021000000000001</v>
      </c>
      <c r="DY64" s="433">
        <v>30.014666666666667</v>
      </c>
      <c r="DZ64" s="434">
        <v>31.613666666666671</v>
      </c>
      <c r="EA64" s="3463">
        <f t="shared" si="170"/>
        <v>29.621000000000002</v>
      </c>
      <c r="EB64" s="5736">
        <v>30.446333333333332</v>
      </c>
      <c r="EC64" s="5760">
        <v>30.671333333333333</v>
      </c>
      <c r="ED64" s="5827">
        <v>31.496333333333329</v>
      </c>
      <c r="EE64" s="433">
        <v>31.846333333333334</v>
      </c>
      <c r="EF64" s="3463">
        <f t="shared" si="171"/>
        <v>31.115083333333331</v>
      </c>
      <c r="EG64" s="1893">
        <v>31.158000000000001</v>
      </c>
      <c r="EH64" s="433">
        <v>32.343333333333334</v>
      </c>
      <c r="EI64" s="433">
        <v>32.407333333333334</v>
      </c>
      <c r="EJ64" s="434">
        <v>32.063333333333333</v>
      </c>
      <c r="EK64" s="3463">
        <f t="shared" si="172"/>
        <v>31.993000000000002</v>
      </c>
      <c r="EL64" s="1893">
        <v>32.792333333333339</v>
      </c>
      <c r="EM64" s="433">
        <v>31.681999999999999</v>
      </c>
      <c r="EN64" s="433">
        <v>29.894000000000002</v>
      </c>
      <c r="EO64" s="6175">
        <v>30.554666666666666</v>
      </c>
      <c r="EP64" s="3463">
        <f t="shared" si="173"/>
        <v>31.23075</v>
      </c>
      <c r="EQ64" s="6242">
        <v>30.600000000000005</v>
      </c>
      <c r="ER64" s="2523">
        <f t="shared" si="174"/>
        <v>30.600000000000005</v>
      </c>
      <c r="ES64" s="2523">
        <f t="shared" si="175"/>
        <v>30.600000000000005</v>
      </c>
      <c r="ET64" s="2522">
        <f t="shared" si="176"/>
        <v>30.600000000000005</v>
      </c>
      <c r="EU64" s="3463">
        <f t="shared" si="177"/>
        <v>30.600000000000005</v>
      </c>
      <c r="EV64" s="2521">
        <f t="shared" si="178"/>
        <v>30.600000000000005</v>
      </c>
      <c r="EW64" s="2523">
        <f t="shared" si="179"/>
        <v>30.600000000000005</v>
      </c>
      <c r="EX64" s="2523">
        <f t="shared" si="180"/>
        <v>30.600000000000005</v>
      </c>
      <c r="EY64" s="2522">
        <f t="shared" si="181"/>
        <v>30.600000000000005</v>
      </c>
      <c r="EZ64" s="3463">
        <f t="shared" si="182"/>
        <v>30.600000000000005</v>
      </c>
      <c r="FA64" s="3463"/>
      <c r="FB64" s="3463"/>
      <c r="FC64" s="3463"/>
      <c r="FD64" s="816"/>
      <c r="FE64" s="1972" t="s">
        <v>722</v>
      </c>
      <c r="FF64" s="2523" t="e">
        <f>AVERAGE(_xll.BDH($FE64,"PX_LAST",FF$136,FF$136,"FILL=P"),_xll.BDH($FE64,"PX_LAST",FF$137,FF$137,"FILL=P"),_xll.BDH($FE64,"PX_LAST",FF$138,FF$138,"FILL=P"))</f>
        <v>#VALUE!</v>
      </c>
      <c r="FG64"/>
      <c r="FH64"/>
      <c r="FI64"/>
      <c r="FJ64"/>
      <c r="FK64"/>
      <c r="FL64"/>
      <c r="FM64"/>
      <c r="FN64"/>
    </row>
    <row r="65" spans="1:170" ht="11.25" customHeight="1">
      <c r="A65" s="2120" t="s">
        <v>810</v>
      </c>
      <c r="B65" s="438"/>
      <c r="C65" s="438"/>
      <c r="D65" s="438"/>
      <c r="E65" s="438"/>
      <c r="F65" s="2133"/>
      <c r="G65" s="438"/>
      <c r="H65" s="438"/>
      <c r="I65" s="438"/>
      <c r="J65" s="438"/>
      <c r="K65" s="2133"/>
      <c r="L65" s="438"/>
      <c r="M65" s="438"/>
      <c r="N65" s="438"/>
      <c r="O65" s="438"/>
      <c r="P65" s="2133"/>
      <c r="Q65" s="438"/>
      <c r="R65" s="438"/>
      <c r="S65" s="438"/>
      <c r="T65" s="438"/>
      <c r="U65" s="2133"/>
      <c r="V65" s="438"/>
      <c r="W65" s="438"/>
      <c r="X65" s="438"/>
      <c r="Y65" s="438"/>
      <c r="Z65" s="2133"/>
      <c r="AA65" s="438"/>
      <c r="AB65" s="438"/>
      <c r="AC65" s="438"/>
      <c r="AD65" s="438"/>
      <c r="AE65" s="2133"/>
      <c r="AF65" s="438"/>
      <c r="AG65" s="438"/>
      <c r="AH65" s="438"/>
      <c r="AI65" s="438"/>
      <c r="AJ65" s="2133"/>
      <c r="AK65" s="438"/>
      <c r="AL65" s="438"/>
      <c r="AM65" s="438"/>
      <c r="AN65" s="438"/>
      <c r="AO65" s="2133"/>
      <c r="AP65" s="438"/>
      <c r="AQ65" s="438"/>
      <c r="AR65" s="438"/>
      <c r="AS65" s="438"/>
      <c r="AT65" s="2133"/>
      <c r="AU65" s="438"/>
      <c r="AV65" s="438"/>
      <c r="AW65" s="438"/>
      <c r="AX65" s="438"/>
      <c r="AY65" s="2133"/>
      <c r="AZ65" s="438"/>
      <c r="BA65" s="438"/>
      <c r="BB65" s="438"/>
      <c r="BC65" s="438"/>
      <c r="BD65" s="2133"/>
      <c r="BE65" s="438"/>
      <c r="BF65" s="438"/>
      <c r="BG65" s="438"/>
      <c r="BH65" s="438"/>
      <c r="BI65" s="2133"/>
      <c r="BJ65" s="438"/>
      <c r="BK65" s="438"/>
      <c r="BL65" s="438"/>
      <c r="BM65" s="438"/>
      <c r="BN65" s="2133"/>
      <c r="BO65" s="438"/>
      <c r="BP65" s="438"/>
      <c r="BQ65" s="438"/>
      <c r="BR65" s="438"/>
      <c r="BS65" s="2133"/>
      <c r="BT65" s="438"/>
      <c r="BU65" s="438"/>
      <c r="BV65" s="438"/>
      <c r="BW65" s="438"/>
      <c r="BX65" s="2133"/>
      <c r="BY65" s="438"/>
      <c r="BZ65" s="438"/>
      <c r="CA65" s="438"/>
      <c r="CB65" s="438"/>
      <c r="CC65" s="2133"/>
      <c r="CD65" s="438"/>
      <c r="CE65" s="438"/>
      <c r="CF65" s="438"/>
      <c r="CG65" s="438"/>
      <c r="CH65" s="2133"/>
      <c r="CI65" s="438"/>
      <c r="CJ65" s="438"/>
      <c r="CK65" s="438"/>
      <c r="CL65" s="438"/>
      <c r="CM65" s="2133"/>
      <c r="CN65" s="438">
        <f>CN62</f>
        <v>118.96666666666665</v>
      </c>
      <c r="CO65" s="438">
        <f>CO62</f>
        <v>121.21999999999998</v>
      </c>
      <c r="CP65" s="438">
        <f>CP62</f>
        <v>122.54</v>
      </c>
      <c r="CQ65" s="438">
        <f>CQ62</f>
        <v>121.20333333333333</v>
      </c>
      <c r="CR65" s="2133">
        <f>AVERAGE(CN65:CQ65)</f>
        <v>120.98249999999999</v>
      </c>
      <c r="CS65" s="438">
        <f>CS62</f>
        <v>118.01666666666667</v>
      </c>
      <c r="CT65" s="438">
        <f>CT62</f>
        <v>109.93333333333334</v>
      </c>
      <c r="CU65" s="438">
        <f>CU62</f>
        <v>102.89666666666666</v>
      </c>
      <c r="CV65" s="438">
        <f>CV62</f>
        <v>106.87666666666667</v>
      </c>
      <c r="CW65" s="2133">
        <f t="shared" si="164"/>
        <v>109.43083333333333</v>
      </c>
      <c r="CX65" s="438">
        <f>CX62</f>
        <v>114.17666666666666</v>
      </c>
      <c r="CY65" s="438">
        <f>CY62</f>
        <v>111.21999999999998</v>
      </c>
      <c r="CZ65" s="438">
        <f>CZ62</f>
        <v>110.87666666666667</v>
      </c>
      <c r="DA65" s="438">
        <f>DA62</f>
        <v>112.89666666666666</v>
      </c>
      <c r="DB65" s="2133">
        <f t="shared" si="165"/>
        <v>112.29249999999999</v>
      </c>
      <c r="DC65" s="438">
        <f>DC62</f>
        <v>110.42666666666666</v>
      </c>
      <c r="DD65" s="438">
        <f>DD62</f>
        <v>108.14666666666666</v>
      </c>
      <c r="DE65" s="438">
        <f>DE62</f>
        <v>111.21666666666665</v>
      </c>
      <c r="DF65" s="438">
        <f>DF62</f>
        <v>113.40333333333332</v>
      </c>
      <c r="DG65" s="2133">
        <f t="shared" si="166"/>
        <v>110.79833333333332</v>
      </c>
      <c r="DH65" s="438">
        <f>DH62</f>
        <v>109.99</v>
      </c>
      <c r="DI65" s="438">
        <f>DI62</f>
        <v>110.19</v>
      </c>
      <c r="DJ65" s="438">
        <f>DJ62</f>
        <v>107.63666666666666</v>
      </c>
      <c r="DK65" s="438">
        <f>DK62</f>
        <v>108.53333333333335</v>
      </c>
      <c r="DL65" s="2133">
        <f t="shared" si="167"/>
        <v>109.08750000000001</v>
      </c>
      <c r="DM65" s="438">
        <f>DM62</f>
        <v>108.28333333333332</v>
      </c>
      <c r="DN65" s="438">
        <f>DN62</f>
        <v>107.51666666666667</v>
      </c>
      <c r="DO65" s="438">
        <f>DO62</f>
        <v>106.55666666666666</v>
      </c>
      <c r="DP65" s="438">
        <f>DP62</f>
        <v>104.81666666666666</v>
      </c>
      <c r="DQ65" s="2133">
        <f t="shared" si="168"/>
        <v>106.79333333333332</v>
      </c>
      <c r="DR65" s="438">
        <f>DR62</f>
        <v>104.83333333333333</v>
      </c>
      <c r="DS65" s="438">
        <f>DS62</f>
        <v>109.87</v>
      </c>
      <c r="DT65" s="438">
        <f>DT62</f>
        <v>110.28333333333332</v>
      </c>
      <c r="DU65" s="438">
        <f>DU62</f>
        <v>112.80333333333334</v>
      </c>
      <c r="DV65" s="2133">
        <f t="shared" si="169"/>
        <v>109.44749999999999</v>
      </c>
      <c r="DW65" s="438">
        <f>DW62</f>
        <v>115.06333333333333</v>
      </c>
      <c r="DX65" s="438">
        <f>DX62</f>
        <v>126.68999999999998</v>
      </c>
      <c r="DY65" s="438">
        <f>DY62</f>
        <v>135.98333333333335</v>
      </c>
      <c r="DZ65" s="438">
        <f>DZ62</f>
        <v>143.84</v>
      </c>
      <c r="EA65" s="2133">
        <f t="shared" si="170"/>
        <v>130.39416666666668</v>
      </c>
      <c r="EB65" s="438">
        <f>EB62</f>
        <v>132.46</v>
      </c>
      <c r="EC65" s="438">
        <f>EC62</f>
        <v>136.16666666666666</v>
      </c>
      <c r="ED65" s="438">
        <f>ED62</f>
        <v>144.04666666666665</v>
      </c>
      <c r="EE65" s="438">
        <f>EE62</f>
        <v>149.75</v>
      </c>
      <c r="EF65" s="2133">
        <f t="shared" si="171"/>
        <v>140.60583333333332</v>
      </c>
      <c r="EG65" s="438">
        <f>EG62</f>
        <v>145.97999999999999</v>
      </c>
      <c r="EH65" s="438">
        <f>EH62</f>
        <v>155.48666666666665</v>
      </c>
      <c r="EI65" s="438">
        <f>EI62</f>
        <v>152.34333333333333</v>
      </c>
      <c r="EJ65" s="438">
        <f>EJ62</f>
        <v>148.47666666666666</v>
      </c>
      <c r="EK65" s="2133">
        <f t="shared" si="172"/>
        <v>150.57166666666666</v>
      </c>
      <c r="EL65" s="438">
        <f>EL62</f>
        <v>154.34</v>
      </c>
      <c r="EM65" s="438">
        <f>EM62</f>
        <v>145.68333333333331</v>
      </c>
      <c r="EN65" s="438">
        <f>EN62</f>
        <v>147.27666666666667</v>
      </c>
      <c r="EO65" s="438">
        <f>EO62</f>
        <v>151.22</v>
      </c>
      <c r="EP65" s="2133">
        <f t="shared" si="173"/>
        <v>149.63</v>
      </c>
      <c r="EQ65" s="438">
        <f>EQ62</f>
        <v>152.88</v>
      </c>
      <c r="ER65" s="438">
        <f>ER62</f>
        <v>152.88</v>
      </c>
      <c r="ES65" s="438">
        <f>ES62</f>
        <v>152.88</v>
      </c>
      <c r="ET65" s="438">
        <f>ET62</f>
        <v>152.88</v>
      </c>
      <c r="EU65" s="2133">
        <f t="shared" si="177"/>
        <v>152.88</v>
      </c>
      <c r="EV65" s="438">
        <f>EV62</f>
        <v>152.88</v>
      </c>
      <c r="EW65" s="438">
        <f>EW62</f>
        <v>152.88</v>
      </c>
      <c r="EX65" s="438">
        <f>EX62</f>
        <v>152.88</v>
      </c>
      <c r="EY65" s="438">
        <f>EY62</f>
        <v>152.88</v>
      </c>
      <c r="EZ65" s="2133">
        <f t="shared" si="182"/>
        <v>152.88</v>
      </c>
      <c r="FA65" s="2133"/>
      <c r="FB65" s="2133"/>
      <c r="FC65" s="2133"/>
      <c r="FD65" s="816"/>
      <c r="FF65" s="816"/>
      <c r="FG65"/>
      <c r="FH65"/>
      <c r="FI65"/>
      <c r="FJ65"/>
      <c r="FK65"/>
      <c r="FL65"/>
      <c r="FM65"/>
      <c r="FN65"/>
    </row>
    <row r="66" spans="1:170" ht="11.25" customHeight="1">
      <c r="A66" s="2120"/>
      <c r="B66" s="438"/>
      <c r="C66" s="438"/>
      <c r="D66" s="438"/>
      <c r="E66" s="438"/>
      <c r="F66" s="2133"/>
      <c r="G66" s="438"/>
      <c r="H66" s="438"/>
      <c r="I66" s="438"/>
      <c r="J66" s="438"/>
      <c r="K66" s="2133"/>
      <c r="L66" s="438"/>
      <c r="M66" s="438"/>
      <c r="N66" s="438"/>
      <c r="O66" s="438"/>
      <c r="P66" s="2133"/>
      <c r="Q66" s="438"/>
      <c r="R66" s="438"/>
      <c r="S66" s="438"/>
      <c r="T66" s="438"/>
      <c r="U66" s="2133"/>
      <c r="V66" s="438"/>
      <c r="W66" s="438"/>
      <c r="X66" s="438"/>
      <c r="Y66" s="438"/>
      <c r="Z66" s="2133"/>
      <c r="AA66" s="438"/>
      <c r="AB66" s="438"/>
      <c r="AC66" s="438"/>
      <c r="AD66" s="438"/>
      <c r="AE66" s="2133"/>
      <c r="AF66" s="438"/>
      <c r="AG66" s="438"/>
      <c r="AH66" s="438"/>
      <c r="AI66" s="438"/>
      <c r="AJ66" s="2133"/>
      <c r="AK66" s="438"/>
      <c r="AL66" s="438"/>
      <c r="AM66" s="438"/>
      <c r="AN66" s="438"/>
      <c r="AO66" s="2133"/>
      <c r="AP66" s="438"/>
      <c r="AQ66" s="438"/>
      <c r="AR66" s="438"/>
      <c r="AS66" s="438"/>
      <c r="AT66" s="2133"/>
      <c r="AU66" s="438"/>
      <c r="AV66" s="438"/>
      <c r="AW66" s="438"/>
      <c r="AX66" s="438"/>
      <c r="AY66" s="2133"/>
      <c r="AZ66" s="2139"/>
      <c r="BA66" s="438"/>
      <c r="BB66" s="438"/>
      <c r="BC66" s="438"/>
      <c r="BD66" s="2133"/>
      <c r="BE66" s="2139"/>
      <c r="BF66" s="438"/>
      <c r="BG66" s="438"/>
      <c r="BH66" s="438"/>
      <c r="BI66" s="2133"/>
      <c r="BJ66" s="2139"/>
      <c r="BK66" s="438"/>
      <c r="BL66" s="436"/>
      <c r="BM66" s="1173"/>
      <c r="BN66" s="2133"/>
      <c r="BO66" s="2137"/>
      <c r="BP66" s="436"/>
      <c r="BQ66" s="436"/>
      <c r="BR66" s="436"/>
      <c r="BS66" s="2133"/>
      <c r="BT66" s="2137"/>
      <c r="BU66" s="436"/>
      <c r="BV66" s="436"/>
      <c r="BW66" s="1173"/>
      <c r="BX66" s="2133"/>
      <c r="BY66" s="2137"/>
      <c r="BZ66" s="1885"/>
      <c r="CA66" s="436"/>
      <c r="CB66" s="436"/>
      <c r="CC66" s="2133"/>
      <c r="CD66" s="2137"/>
      <c r="CE66" s="1885"/>
      <c r="CF66" s="1885"/>
      <c r="CG66" s="1173"/>
      <c r="CH66" s="2133"/>
      <c r="CI66" s="436"/>
      <c r="CJ66" s="436"/>
      <c r="CK66" s="436"/>
      <c r="CL66" s="1173"/>
      <c r="CM66" s="2133"/>
      <c r="CN66" s="2137"/>
      <c r="CO66" s="436"/>
      <c r="CP66" s="436"/>
      <c r="CQ66" s="1173"/>
      <c r="CR66" s="2133"/>
      <c r="CS66" s="436"/>
      <c r="CT66" s="436"/>
      <c r="CU66" s="436"/>
      <c r="CV66" s="436"/>
      <c r="CW66" s="2133"/>
      <c r="CX66" s="2137"/>
      <c r="CY66" s="436"/>
      <c r="CZ66" s="436"/>
      <c r="DA66" s="1173"/>
      <c r="DB66" s="2133"/>
      <c r="DC66" s="2137"/>
      <c r="DD66" s="436"/>
      <c r="DE66" s="436"/>
      <c r="DF66" s="1173"/>
      <c r="DG66" s="2133"/>
      <c r="DH66" s="2137"/>
      <c r="DI66" s="2523"/>
      <c r="DJ66" s="2523"/>
      <c r="DK66" s="2522"/>
      <c r="DL66" s="2133"/>
      <c r="DM66" s="2137"/>
      <c r="DN66" s="2523"/>
      <c r="DO66" s="2523"/>
      <c r="DP66" s="2522"/>
      <c r="DQ66" s="2133"/>
      <c r="DR66" s="2137"/>
      <c r="DS66" s="2523"/>
      <c r="DT66" s="2523"/>
      <c r="DU66" s="2522"/>
      <c r="DV66" s="2133"/>
      <c r="DW66" s="2137"/>
      <c r="DX66" s="2523"/>
      <c r="DY66" s="2523"/>
      <c r="DZ66" s="2522"/>
      <c r="EA66" s="2133"/>
      <c r="EB66" s="2137"/>
      <c r="EC66" s="2523"/>
      <c r="ED66" s="2523"/>
      <c r="EE66" s="2522"/>
      <c r="EF66" s="2133"/>
      <c r="EG66" s="2137"/>
      <c r="EH66" s="2523"/>
      <c r="EI66" s="2523"/>
      <c r="EJ66" s="2522"/>
      <c r="EK66" s="2133"/>
      <c r="EL66" s="2137"/>
      <c r="EM66" s="2523"/>
      <c r="EN66" s="2523"/>
      <c r="EO66" s="2522"/>
      <c r="EP66" s="2133"/>
      <c r="EQ66" s="2137"/>
      <c r="ER66" s="2523"/>
      <c r="ES66" s="2523"/>
      <c r="ET66" s="2522"/>
      <c r="EU66" s="2133"/>
      <c r="EV66" s="2137"/>
      <c r="EW66" s="2523"/>
      <c r="EX66" s="2523"/>
      <c r="EY66" s="2522"/>
      <c r="EZ66" s="2133"/>
      <c r="FA66" s="2133"/>
      <c r="FB66" s="2133"/>
      <c r="FC66" s="2133"/>
      <c r="FD66" s="436"/>
      <c r="FF66" s="436"/>
      <c r="FG66"/>
      <c r="FH66"/>
      <c r="FI66"/>
      <c r="FJ66"/>
      <c r="FK66"/>
      <c r="FL66"/>
      <c r="FM66"/>
      <c r="FN66"/>
    </row>
    <row r="67" spans="1:170" ht="11.25" customHeight="1">
      <c r="A67" s="2140" t="s">
        <v>350</v>
      </c>
      <c r="B67" s="421"/>
      <c r="C67" s="421"/>
      <c r="D67" s="421"/>
      <c r="E67" s="421"/>
      <c r="F67" s="2129"/>
      <c r="G67" s="421"/>
      <c r="H67" s="421"/>
      <c r="I67" s="421"/>
      <c r="J67" s="421"/>
      <c r="K67" s="2129"/>
      <c r="L67" s="421"/>
      <c r="M67" s="421"/>
      <c r="N67" s="421"/>
      <c r="O67" s="421"/>
      <c r="P67" s="2129"/>
      <c r="Q67" s="421"/>
      <c r="R67" s="421"/>
      <c r="S67" s="421"/>
      <c r="T67" s="421"/>
      <c r="U67" s="2129"/>
      <c r="V67" s="421"/>
      <c r="W67" s="421"/>
      <c r="X67" s="421"/>
      <c r="Y67" s="421"/>
      <c r="Z67" s="2129"/>
      <c r="AA67" s="421"/>
      <c r="AB67" s="421"/>
      <c r="AC67" s="421"/>
      <c r="AD67" s="421"/>
      <c r="AE67" s="2129"/>
      <c r="AF67" s="421"/>
      <c r="AG67" s="421"/>
      <c r="AH67" s="421"/>
      <c r="AI67" s="421"/>
      <c r="AJ67" s="2129"/>
      <c r="AK67" s="421"/>
      <c r="AL67" s="421"/>
      <c r="AM67" s="421"/>
      <c r="AN67" s="421"/>
      <c r="AO67" s="2129"/>
      <c r="AP67" s="421"/>
      <c r="AQ67" s="421"/>
      <c r="AR67" s="421"/>
      <c r="AS67" s="421"/>
      <c r="AT67" s="2129"/>
      <c r="AU67" s="421"/>
      <c r="AV67" s="421"/>
      <c r="AW67" s="421"/>
      <c r="AX67" s="421"/>
      <c r="AY67" s="2129"/>
      <c r="AZ67" s="2130"/>
      <c r="BA67" s="429"/>
      <c r="BB67" s="429"/>
      <c r="BC67" s="429"/>
      <c r="BD67" s="2129"/>
      <c r="BE67" s="2130"/>
      <c r="BF67" s="429"/>
      <c r="BG67" s="429"/>
      <c r="BH67" s="429"/>
      <c r="BI67" s="2129"/>
      <c r="BJ67" s="2130"/>
      <c r="BK67" s="429"/>
      <c r="BL67" s="429"/>
      <c r="BM67" s="430"/>
      <c r="BN67" s="2129"/>
      <c r="BO67" s="2130"/>
      <c r="BP67" s="429"/>
      <c r="BQ67" s="429"/>
      <c r="BR67" s="429"/>
      <c r="BS67" s="2129"/>
      <c r="BT67" s="2141"/>
      <c r="BU67" s="441"/>
      <c r="BV67" s="441"/>
      <c r="BW67" s="430"/>
      <c r="BX67" s="2129"/>
      <c r="BY67" s="2130"/>
      <c r="BZ67" s="429"/>
      <c r="CA67" s="429"/>
      <c r="CB67" s="430"/>
      <c r="CC67" s="2129"/>
      <c r="CD67" s="2130"/>
      <c r="CE67" s="429"/>
      <c r="CF67" s="429"/>
      <c r="CG67" s="430"/>
      <c r="CH67" s="2129"/>
      <c r="CI67" s="429"/>
      <c r="CJ67" s="429"/>
      <c r="CK67" s="429"/>
      <c r="CL67" s="430"/>
      <c r="CM67" s="2129"/>
      <c r="CN67" s="429"/>
      <c r="CO67" s="429"/>
      <c r="CP67" s="429"/>
      <c r="CQ67" s="430"/>
      <c r="CR67" s="2129"/>
      <c r="CS67" s="429"/>
      <c r="CT67" s="429"/>
      <c r="CU67" s="429"/>
      <c r="CV67" s="429"/>
      <c r="CW67" s="2129"/>
      <c r="CX67" s="2130"/>
      <c r="CY67" s="429"/>
      <c r="CZ67" s="429"/>
      <c r="DA67" s="430"/>
      <c r="DB67" s="2129"/>
      <c r="DC67" s="2130"/>
      <c r="DD67" s="429"/>
      <c r="DE67" s="429"/>
      <c r="DF67" s="430"/>
      <c r="DG67" s="2129"/>
      <c r="DH67" s="2130"/>
      <c r="DI67" s="429"/>
      <c r="DJ67" s="429"/>
      <c r="DK67" s="430"/>
      <c r="DL67" s="2129"/>
      <c r="DM67" s="2130"/>
      <c r="DN67" s="429"/>
      <c r="DO67" s="429"/>
      <c r="DP67" s="430"/>
      <c r="DQ67" s="2129"/>
      <c r="DR67" s="2130"/>
      <c r="DS67" s="429"/>
      <c r="DT67" s="429"/>
      <c r="DU67" s="430"/>
      <c r="DV67" s="2129"/>
      <c r="DW67" s="2130"/>
      <c r="DX67" s="429"/>
      <c r="DY67" s="429"/>
      <c r="DZ67" s="430"/>
      <c r="EA67" s="2129"/>
      <c r="EB67" s="2130"/>
      <c r="EC67" s="429"/>
      <c r="ED67" s="429"/>
      <c r="EE67" s="430"/>
      <c r="EF67" s="2129"/>
      <c r="EG67" s="2130"/>
      <c r="EH67" s="429"/>
      <c r="EI67" s="429"/>
      <c r="EJ67" s="430"/>
      <c r="EK67" s="2129"/>
      <c r="EL67" s="2130"/>
      <c r="EM67" s="429"/>
      <c r="EN67" s="429"/>
      <c r="EO67" s="430"/>
      <c r="EP67" s="2129"/>
      <c r="EQ67" s="2130"/>
      <c r="ER67" s="429"/>
      <c r="ES67" s="429"/>
      <c r="ET67" s="430"/>
      <c r="EU67" s="2129"/>
      <c r="EV67" s="2130"/>
      <c r="EW67" s="429"/>
      <c r="EX67" s="429"/>
      <c r="EY67" s="430"/>
      <c r="EZ67" s="2129"/>
      <c r="FA67" s="2129"/>
      <c r="FB67" s="2129"/>
      <c r="FC67" s="2129"/>
      <c r="FD67" s="429"/>
      <c r="FF67" s="429"/>
    </row>
    <row r="68" spans="1:170" ht="11.25" customHeight="1">
      <c r="A68" s="2120" t="str">
        <f t="shared" ref="A68:A73" si="183">A59</f>
        <v>China (CNY/USD)</v>
      </c>
      <c r="B68" s="440"/>
      <c r="C68" s="440"/>
      <c r="D68" s="440"/>
      <c r="E68" s="440"/>
      <c r="F68" s="2142"/>
      <c r="G68" s="440"/>
      <c r="H68" s="440"/>
      <c r="I68" s="440"/>
      <c r="J68" s="440"/>
      <c r="K68" s="2142"/>
      <c r="L68" s="440"/>
      <c r="M68" s="440"/>
      <c r="N68" s="440"/>
      <c r="O68" s="440"/>
      <c r="P68" s="2142"/>
      <c r="Q68" s="440"/>
      <c r="R68" s="440"/>
      <c r="S68" s="440"/>
      <c r="T68" s="440"/>
      <c r="U68" s="2142"/>
      <c r="V68" s="440"/>
      <c r="W68" s="440"/>
      <c r="X68" s="440"/>
      <c r="Y68" s="440"/>
      <c r="Z68" s="2142"/>
      <c r="AA68" s="440"/>
      <c r="AB68" s="440"/>
      <c r="AC68" s="440"/>
      <c r="AD68" s="440"/>
      <c r="AE68" s="2142"/>
      <c r="AF68" s="440"/>
      <c r="AG68" s="440"/>
      <c r="AH68" s="440"/>
      <c r="AI68" s="440"/>
      <c r="AJ68" s="2142"/>
      <c r="AK68" s="440"/>
      <c r="AL68" s="440"/>
      <c r="AM68" s="440"/>
      <c r="AN68" s="440"/>
      <c r="AO68" s="2142"/>
      <c r="AP68" s="440"/>
      <c r="AQ68" s="440"/>
      <c r="AR68" s="440"/>
      <c r="AS68" s="440"/>
      <c r="AT68" s="2142"/>
      <c r="AU68" s="440"/>
      <c r="AV68" s="440"/>
      <c r="AW68" s="440"/>
      <c r="AX68" s="440"/>
      <c r="AY68" s="2142"/>
      <c r="AZ68" s="441"/>
      <c r="BA68" s="441"/>
      <c r="BB68" s="441"/>
      <c r="BC68" s="441"/>
      <c r="BD68" s="2142"/>
      <c r="BE68" s="441"/>
      <c r="BF68" s="441"/>
      <c r="BG68" s="441"/>
      <c r="BH68" s="443"/>
      <c r="BI68" s="2142"/>
      <c r="BJ68" s="441"/>
      <c r="BK68" s="441"/>
      <c r="BL68" s="441"/>
      <c r="BM68" s="443"/>
      <c r="BN68" s="2142"/>
      <c r="BO68" s="441"/>
      <c r="BP68" s="441"/>
      <c r="BQ68" s="441"/>
      <c r="BR68" s="443"/>
      <c r="BS68" s="2142"/>
      <c r="BT68" s="441"/>
      <c r="BU68" s="441"/>
      <c r="BV68" s="441"/>
      <c r="BW68" s="443"/>
      <c r="BX68" s="2142"/>
      <c r="BY68" s="441"/>
      <c r="BZ68" s="441"/>
      <c r="CA68" s="441"/>
      <c r="CB68" s="443"/>
      <c r="CC68" s="2142"/>
      <c r="CD68" s="441"/>
      <c r="CE68" s="441"/>
      <c r="CF68" s="441"/>
      <c r="CG68" s="443"/>
      <c r="CH68" s="2142"/>
      <c r="CI68" s="441"/>
      <c r="CJ68" s="441"/>
      <c r="CK68" s="441"/>
      <c r="CL68" s="441"/>
      <c r="CM68" s="2142"/>
      <c r="CN68" s="441"/>
      <c r="CO68" s="441"/>
      <c r="CP68" s="441"/>
      <c r="CQ68" s="441"/>
      <c r="CR68" s="2142"/>
      <c r="CS68" s="441">
        <f t="shared" ref="CS68:DL68" si="184">CN59/CS59-1</f>
        <v>-4.5673922239153675E-2</v>
      </c>
      <c r="CT68" s="441">
        <f t="shared" si="184"/>
        <v>-4.6959061331147356E-2</v>
      </c>
      <c r="CU68" s="441">
        <f t="shared" si="184"/>
        <v>-5.8740726269017274E-2</v>
      </c>
      <c r="CV68" s="441">
        <f t="shared" si="184"/>
        <v>-6.2211732310566981E-2</v>
      </c>
      <c r="CW68" s="2142">
        <f t="shared" si="184"/>
        <v>-5.3507137641934599E-2</v>
      </c>
      <c r="CX68" s="441">
        <f t="shared" si="184"/>
        <v>-5.1908581368380391E-2</v>
      </c>
      <c r="CY68" s="441">
        <f t="shared" si="184"/>
        <v>-5.2513022666479059E-2</v>
      </c>
      <c r="CZ68" s="441">
        <f t="shared" si="184"/>
        <v>-6.7321471220445073E-3</v>
      </c>
      <c r="DA68" s="441">
        <f t="shared" si="184"/>
        <v>2.2119023566485208E-2</v>
      </c>
      <c r="DB68" s="2142">
        <f t="shared" si="184"/>
        <v>-2.2773012897162381E-2</v>
      </c>
      <c r="DC68" s="441">
        <f t="shared" si="184"/>
        <v>8.402560261473524E-2</v>
      </c>
      <c r="DD68" s="441">
        <f t="shared" si="184"/>
        <v>8.3098909997213255E-2</v>
      </c>
      <c r="DE68" s="441">
        <f t="shared" si="184"/>
        <v>-8.4660470072818184E-3</v>
      </c>
      <c r="DF68" s="441">
        <f t="shared" si="184"/>
        <v>-4.3648161499639349E-2</v>
      </c>
      <c r="DG68" s="2142">
        <f t="shared" si="184"/>
        <v>2.6582289671058579E-2</v>
      </c>
      <c r="DH68" s="441">
        <f t="shared" si="184"/>
        <v>-5.8064898094105755E-2</v>
      </c>
      <c r="DI68" s="441">
        <f t="shared" si="184"/>
        <v>-6.5527051528358693E-2</v>
      </c>
      <c r="DJ68" s="441">
        <f t="shared" si="184"/>
        <v>-3.0385947456038065E-2</v>
      </c>
      <c r="DK68" s="441">
        <f t="shared" si="184"/>
        <v>-1.9552401283700727E-2</v>
      </c>
      <c r="DL68" s="2142">
        <f t="shared" si="184"/>
        <v>-4.3031050856306541E-2</v>
      </c>
      <c r="DM68" s="441">
        <f t="shared" ref="DM68:DV68" si="185">DH59/DM59-1</f>
        <v>-2.8630170467888072E-2</v>
      </c>
      <c r="DN68" s="441">
        <f t="shared" si="185"/>
        <v>-4.3694612297831892E-2</v>
      </c>
      <c r="DO68" s="441">
        <f t="shared" si="185"/>
        <v>7.3243940619760473E-4</v>
      </c>
      <c r="DP68" s="441">
        <f t="shared" si="185"/>
        <v>5.7747714516434678E-2</v>
      </c>
      <c r="DQ68" s="2142">
        <f t="shared" si="185"/>
        <v>-4.2539928566613927E-3</v>
      </c>
      <c r="DR68" s="441">
        <f t="shared" si="185"/>
        <v>7.3955695551026102E-2</v>
      </c>
      <c r="DS68" s="441">
        <f t="shared" si="185"/>
        <v>9.7124416170905947E-2</v>
      </c>
      <c r="DT68" s="441">
        <f t="shared" si="185"/>
        <v>7.7913432959048734E-2</v>
      </c>
      <c r="DU68" s="441">
        <f t="shared" si="185"/>
        <v>4.4054353652634104E-2</v>
      </c>
      <c r="DV68" s="2142">
        <f t="shared" si="185"/>
        <v>7.3330138683123769E-2</v>
      </c>
      <c r="DW68" s="441">
        <f t="shared" ref="DW68:EF68" si="186">DR59/DW59-1</f>
        <v>2.1159849894358373E-2</v>
      </c>
      <c r="DX68" s="441">
        <f t="shared" si="186"/>
        <v>-1.1340295510262388E-2</v>
      </c>
      <c r="DY68" s="441">
        <f t="shared" si="186"/>
        <v>-4.6965211318861777E-2</v>
      </c>
      <c r="DZ68" s="441">
        <f t="shared" si="186"/>
        <v>-0.10683623618877625</v>
      </c>
      <c r="EA68" s="2142">
        <f t="shared" si="186"/>
        <v>-3.8180295772128336E-2</v>
      </c>
      <c r="EB68" s="441">
        <f t="shared" si="186"/>
        <v>-7.5907622817455445E-2</v>
      </c>
      <c r="EC68" s="441">
        <f t="shared" si="186"/>
        <v>-6.126110608735591E-2</v>
      </c>
      <c r="ED68" s="441">
        <f t="shared" si="186"/>
        <v>-6.1010186835616098E-2</v>
      </c>
      <c r="EE68" s="441">
        <f t="shared" si="186"/>
        <v>-1.0864567624232158E-2</v>
      </c>
      <c r="EF68" s="2142">
        <f t="shared" si="186"/>
        <v>-5.1838030889850062E-2</v>
      </c>
      <c r="EG68" s="441">
        <f t="shared" ref="EG68:EP68" si="187">EB59/EG59-1</f>
        <v>-4.0452056390539282E-2</v>
      </c>
      <c r="EH68" s="441">
        <f t="shared" si="187"/>
        <v>-3.7064850819158446E-2</v>
      </c>
      <c r="EI68" s="441">
        <f t="shared" si="187"/>
        <v>3.2522283787039807E-3</v>
      </c>
      <c r="EJ68" s="441">
        <f t="shared" si="187"/>
        <v>1.7158731123758875E-2</v>
      </c>
      <c r="EK68" s="2142">
        <f t="shared" si="187"/>
        <v>-1.434333442469915E-2</v>
      </c>
      <c r="EL68" s="441">
        <f t="shared" si="187"/>
        <v>-1.6716844695563782E-2</v>
      </c>
      <c r="EM68" s="441">
        <f t="shared" si="187"/>
        <v>-1.0171535349539074E-3</v>
      </c>
      <c r="EN68" s="441">
        <f t="shared" si="187"/>
        <v>4.21968410523621E-3</v>
      </c>
      <c r="EO68" s="441">
        <f t="shared" si="187"/>
        <v>3.00676404641953E-3</v>
      </c>
      <c r="EP68" s="2142">
        <f t="shared" si="187"/>
        <v>-2.6875028223992681E-3</v>
      </c>
      <c r="EQ68" s="441">
        <f t="shared" ref="EQ68" si="188">EL59/EQ59-1</f>
        <v>2.4723184853351343E-2</v>
      </c>
      <c r="ER68" s="441">
        <f t="shared" ref="ER68" si="189">EM59/ER59-1</f>
        <v>2.026221132805528E-2</v>
      </c>
      <c r="ES68" s="441">
        <f t="shared" ref="ES68" si="190">EN59/ES59-1</f>
        <v>9.3304783102772237E-3</v>
      </c>
      <c r="ET68" s="441">
        <f t="shared" ref="ET68" si="191">EO59/ET59-1</f>
        <v>1.070633646071073E-3</v>
      </c>
      <c r="EU68" s="2142">
        <f t="shared" ref="EU68" si="192">EP59/EU59-1</f>
        <v>1.3846627034438841E-2</v>
      </c>
      <c r="EV68" s="441">
        <f t="shared" ref="EV68" si="193">EQ59/EV59-1</f>
        <v>0</v>
      </c>
      <c r="EW68" s="441">
        <f t="shared" ref="EW68" si="194">ER59/EW59-1</f>
        <v>0</v>
      </c>
      <c r="EX68" s="441">
        <f t="shared" ref="EX68" si="195">ES59/EX59-1</f>
        <v>0</v>
      </c>
      <c r="EY68" s="441">
        <f t="shared" ref="EY68:EZ68" si="196">ET59/EY59-1</f>
        <v>0</v>
      </c>
      <c r="EZ68" s="2142">
        <f t="shared" si="196"/>
        <v>0</v>
      </c>
      <c r="FA68" s="2142"/>
      <c r="FB68" s="2142"/>
      <c r="FC68" s="2142"/>
      <c r="FD68" s="441"/>
      <c r="FF68" s="441"/>
    </row>
    <row r="69" spans="1:170" ht="11.25" customHeight="1">
      <c r="A69" s="2120" t="str">
        <f t="shared" si="183"/>
        <v>Australia (USD/AUD)</v>
      </c>
      <c r="B69" s="440"/>
      <c r="C69" s="440"/>
      <c r="D69" s="440"/>
      <c r="E69" s="440"/>
      <c r="F69" s="2142"/>
      <c r="G69" s="440"/>
      <c r="H69" s="440"/>
      <c r="I69" s="440"/>
      <c r="J69" s="440"/>
      <c r="K69" s="2142"/>
      <c r="L69" s="440"/>
      <c r="M69" s="440"/>
      <c r="N69" s="440"/>
      <c r="O69" s="440"/>
      <c r="P69" s="2142"/>
      <c r="Q69" s="440"/>
      <c r="R69" s="440"/>
      <c r="S69" s="440"/>
      <c r="T69" s="440"/>
      <c r="U69" s="2142"/>
      <c r="V69" s="440"/>
      <c r="W69" s="440"/>
      <c r="X69" s="440"/>
      <c r="Y69" s="440"/>
      <c r="Z69" s="2142"/>
      <c r="AA69" s="440"/>
      <c r="AB69" s="440"/>
      <c r="AC69" s="440"/>
      <c r="AD69" s="440"/>
      <c r="AE69" s="2142"/>
      <c r="AF69" s="440"/>
      <c r="AG69" s="440"/>
      <c r="AH69" s="440"/>
      <c r="AI69" s="440"/>
      <c r="AJ69" s="2142"/>
      <c r="AK69" s="440"/>
      <c r="AL69" s="440"/>
      <c r="AM69" s="440"/>
      <c r="AN69" s="440"/>
      <c r="AO69" s="2142"/>
      <c r="AP69" s="440"/>
      <c r="AQ69" s="440"/>
      <c r="AR69" s="440"/>
      <c r="AS69" s="440"/>
      <c r="AT69" s="2142"/>
      <c r="AU69" s="440"/>
      <c r="AV69" s="440"/>
      <c r="AW69" s="440"/>
      <c r="AX69" s="440"/>
      <c r="AY69" s="2142"/>
      <c r="AZ69" s="441"/>
      <c r="BA69" s="441"/>
      <c r="BB69" s="441"/>
      <c r="BC69" s="441"/>
      <c r="BD69" s="2142"/>
      <c r="BE69" s="441"/>
      <c r="BF69" s="441"/>
      <c r="BG69" s="441"/>
      <c r="BH69" s="443"/>
      <c r="BI69" s="2142"/>
      <c r="BJ69" s="441"/>
      <c r="BK69" s="441"/>
      <c r="BL69" s="441"/>
      <c r="BM69" s="443"/>
      <c r="BN69" s="2142"/>
      <c r="BO69" s="441"/>
      <c r="BP69" s="441"/>
      <c r="BQ69" s="441"/>
      <c r="BR69" s="443"/>
      <c r="BS69" s="2142"/>
      <c r="BT69" s="441"/>
      <c r="BU69" s="441"/>
      <c r="BV69" s="441"/>
      <c r="BW69" s="443"/>
      <c r="BX69" s="2142"/>
      <c r="BY69" s="441"/>
      <c r="BZ69" s="441"/>
      <c r="CA69" s="441"/>
      <c r="CB69" s="443"/>
      <c r="CC69" s="2142"/>
      <c r="CD69" s="441"/>
      <c r="CE69" s="441"/>
      <c r="CF69" s="441"/>
      <c r="CG69" s="443"/>
      <c r="CH69" s="2142"/>
      <c r="CI69" s="441"/>
      <c r="CJ69" s="441"/>
      <c r="CK69" s="441"/>
      <c r="CL69" s="441"/>
      <c r="CM69" s="2142"/>
      <c r="CN69" s="441"/>
      <c r="CO69" s="441"/>
      <c r="CP69" s="441"/>
      <c r="CQ69" s="441"/>
      <c r="CR69" s="2142"/>
      <c r="CS69" s="441">
        <f t="shared" ref="CS69:DL69" si="197">CS60/CN60-1</f>
        <v>-9.4082964834702243E-2</v>
      </c>
      <c r="CT69" s="441">
        <f t="shared" si="197"/>
        <v>-2.8630651638813287E-2</v>
      </c>
      <c r="CU69" s="441">
        <f t="shared" si="197"/>
        <v>1.970354302241506E-2</v>
      </c>
      <c r="CV69" s="441">
        <f t="shared" si="197"/>
        <v>5.9626806341486205E-2</v>
      </c>
      <c r="CW69" s="2142">
        <f t="shared" si="197"/>
        <v>-1.3117582648512927E-2</v>
      </c>
      <c r="CX69" s="441">
        <f t="shared" si="197"/>
        <v>4.3652084979777905E-2</v>
      </c>
      <c r="CY69" s="441">
        <f t="shared" si="197"/>
        <v>2.3561838712546912E-3</v>
      </c>
      <c r="CZ69" s="441">
        <f t="shared" si="197"/>
        <v>4.7642262010281877E-2</v>
      </c>
      <c r="DA69" s="441">
        <f t="shared" si="197"/>
        <v>1.7565539765204363E-2</v>
      </c>
      <c r="DB69" s="2142">
        <f t="shared" si="197"/>
        <v>2.7626166967397836E-2</v>
      </c>
      <c r="DC69" s="441">
        <f t="shared" si="197"/>
        <v>6.4721603563474117E-2</v>
      </c>
      <c r="DD69" s="441">
        <f t="shared" si="197"/>
        <v>1.0200913647048448E-2</v>
      </c>
      <c r="DE69" s="441">
        <f t="shared" si="197"/>
        <v>-6.857312069038457E-2</v>
      </c>
      <c r="DF69" s="441">
        <f t="shared" si="197"/>
        <v>-6.3020471894517871E-2</v>
      </c>
      <c r="DG69" s="2142">
        <f t="shared" si="197"/>
        <v>-1.5170352920647501E-2</v>
      </c>
      <c r="DH69" s="441">
        <f t="shared" si="197"/>
        <v>-0.10404551729908373</v>
      </c>
      <c r="DI69" s="441">
        <f t="shared" si="197"/>
        <v>-7.4417175220617415E-2</v>
      </c>
      <c r="DJ69" s="441">
        <f t="shared" si="197"/>
        <v>-6.4492687800890236E-2</v>
      </c>
      <c r="DK69" s="441">
        <f t="shared" si="197"/>
        <v>-5.5362681109105139E-2</v>
      </c>
      <c r="DL69" s="2142">
        <f t="shared" si="197"/>
        <v>-7.528155834376149E-2</v>
      </c>
      <c r="DM69" s="441">
        <f t="shared" ref="DM69:DV69" si="198">DM60/DH60-1</f>
        <v>-5.5472543892416848E-2</v>
      </c>
      <c r="DN69" s="441">
        <f t="shared" si="198"/>
        <v>-8.4052746418745716E-2</v>
      </c>
      <c r="DO69" s="441">
        <f t="shared" si="198"/>
        <v>4.0003883872220536E-2</v>
      </c>
      <c r="DP69" s="441">
        <f t="shared" si="198"/>
        <v>5.5226147890429678E-2</v>
      </c>
      <c r="DQ69" s="2142">
        <f t="shared" si="198"/>
        <v>-1.2083398201262141E-2</v>
      </c>
      <c r="DR69" s="441">
        <f t="shared" si="198"/>
        <v>0.13921297211785633</v>
      </c>
      <c r="DS69" s="441">
        <f t="shared" si="198"/>
        <v>0.19357845675815644</v>
      </c>
      <c r="DT69" s="441">
        <f t="shared" si="198"/>
        <v>3.4357202875548554E-2</v>
      </c>
      <c r="DU69" s="441">
        <f t="shared" si="198"/>
        <v>1.5696108479613669E-2</v>
      </c>
      <c r="DV69" s="2142">
        <f t="shared" si="198"/>
        <v>9.2467330957402893E-2</v>
      </c>
      <c r="DW69" s="441">
        <f t="shared" ref="DW69:EF69" si="199">DW60/DR60-1</f>
        <v>-6.2966498871723564E-2</v>
      </c>
      <c r="DX69" s="441">
        <f t="shared" si="199"/>
        <v>-5.7618882332523769E-2</v>
      </c>
      <c r="DY69" s="441">
        <f t="shared" si="199"/>
        <v>-6.4446249661521793E-2</v>
      </c>
      <c r="DZ69" s="441">
        <f t="shared" si="199"/>
        <v>-0.1044714703730798</v>
      </c>
      <c r="EA69" s="2142">
        <f t="shared" si="199"/>
        <v>-7.2035684960387258E-2</v>
      </c>
      <c r="EB69" s="441">
        <f t="shared" si="199"/>
        <v>-4.6126059371092376E-2</v>
      </c>
      <c r="EC69" s="441">
        <f t="shared" si="199"/>
        <v>-8.8259668508287148E-2</v>
      </c>
      <c r="ED69" s="441">
        <f t="shared" si="199"/>
        <v>-4.172696575012047E-2</v>
      </c>
      <c r="EE69" s="441">
        <f t="shared" si="199"/>
        <v>-1.0721396844845965E-2</v>
      </c>
      <c r="EF69" s="2142">
        <f t="shared" si="199"/>
        <v>-4.768623699629293E-2</v>
      </c>
      <c r="EG69" s="441">
        <f t="shared" ref="EG69:EP69" si="200">EG60/EB60-1</f>
        <v>-3.4956547069961652E-2</v>
      </c>
      <c r="EH69" s="441">
        <f t="shared" si="200"/>
        <v>-7.8775943038934537E-3</v>
      </c>
      <c r="EI69" s="441">
        <f t="shared" si="200"/>
        <v>5.6380568839669021E-3</v>
      </c>
      <c r="EJ69" s="441">
        <f t="shared" si="200"/>
        <v>3.2512772875058049E-2</v>
      </c>
      <c r="EK69" s="2142">
        <f t="shared" si="200"/>
        <v>-1.6825293187011647E-3</v>
      </c>
      <c r="EL69" s="441">
        <f t="shared" si="200"/>
        <v>-6.3490466368164244E-2</v>
      </c>
      <c r="EM69" s="441">
        <f t="shared" si="200"/>
        <v>-2.8859367842418604E-2</v>
      </c>
      <c r="EN69" s="441">
        <f t="shared" si="200"/>
        <v>-2.1574811032687546E-2</v>
      </c>
      <c r="EO69" s="441">
        <f t="shared" si="200"/>
        <v>-1.2795521567451451E-2</v>
      </c>
      <c r="EP69" s="2142">
        <f t="shared" si="200"/>
        <v>-3.164461437842736E-2</v>
      </c>
      <c r="EQ69" s="441">
        <f t="shared" ref="EQ69" si="201">EQ60/EL60-1</f>
        <v>5.8662369057211894E-2</v>
      </c>
      <c r="ER69" s="441">
        <f t="shared" ref="ER69" si="202">ER60/EM60-1</f>
        <v>3.2861635220125862E-2</v>
      </c>
      <c r="ES69" s="441">
        <f t="shared" ref="ES69" si="203">ES60/EN60-1</f>
        <v>8.2369794331320634E-3</v>
      </c>
      <c r="ET69" s="441">
        <f t="shared" ref="ET69" si="204">ET60/EO60-1</f>
        <v>-2.2277353045414561E-3</v>
      </c>
      <c r="EU69" s="2142">
        <f t="shared" ref="EU69" si="205">EU60/EP60-1</f>
        <v>2.3846633416458873E-2</v>
      </c>
      <c r="EV69" s="441">
        <f t="shared" ref="EV69" si="206">EV60/EQ60-1</f>
        <v>0</v>
      </c>
      <c r="EW69" s="441">
        <f t="shared" ref="EW69" si="207">EW60/ER60-1</f>
        <v>0</v>
      </c>
      <c r="EX69" s="441">
        <f t="shared" ref="EX69" si="208">EX60/ES60-1</f>
        <v>0</v>
      </c>
      <c r="EY69" s="441">
        <f t="shared" ref="EY69:EZ69" si="209">EY60/ET60-1</f>
        <v>0</v>
      </c>
      <c r="EZ69" s="2142">
        <f t="shared" si="209"/>
        <v>0</v>
      </c>
      <c r="FA69" s="2142"/>
      <c r="FB69" s="2142"/>
      <c r="FC69" s="2142"/>
      <c r="FD69" s="441"/>
      <c r="FF69" s="441"/>
    </row>
    <row r="70" spans="1:170" ht="11.25" customHeight="1">
      <c r="A70" s="2120" t="str">
        <f t="shared" si="183"/>
        <v>India (INR/USD)</v>
      </c>
      <c r="B70" s="440"/>
      <c r="C70" s="440"/>
      <c r="D70" s="440"/>
      <c r="E70" s="440"/>
      <c r="F70" s="2142"/>
      <c r="G70" s="440"/>
      <c r="H70" s="440"/>
      <c r="I70" s="440"/>
      <c r="J70" s="440"/>
      <c r="K70" s="2142"/>
      <c r="L70" s="440"/>
      <c r="M70" s="440"/>
      <c r="N70" s="440"/>
      <c r="O70" s="440"/>
      <c r="P70" s="2142"/>
      <c r="Q70" s="440"/>
      <c r="R70" s="440"/>
      <c r="S70" s="440"/>
      <c r="T70" s="440"/>
      <c r="U70" s="2142"/>
      <c r="V70" s="440"/>
      <c r="W70" s="440"/>
      <c r="X70" s="440"/>
      <c r="Y70" s="440"/>
      <c r="Z70" s="2142"/>
      <c r="AA70" s="440"/>
      <c r="AB70" s="440"/>
      <c r="AC70" s="440"/>
      <c r="AD70" s="440"/>
      <c r="AE70" s="2142"/>
      <c r="AF70" s="440"/>
      <c r="AG70" s="440"/>
      <c r="AH70" s="440"/>
      <c r="AI70" s="440"/>
      <c r="AJ70" s="2142"/>
      <c r="AK70" s="440"/>
      <c r="AL70" s="440"/>
      <c r="AM70" s="440"/>
      <c r="AN70" s="440"/>
      <c r="AO70" s="2142"/>
      <c r="AP70" s="440"/>
      <c r="AQ70" s="440"/>
      <c r="AR70" s="440"/>
      <c r="AS70" s="440"/>
      <c r="AT70" s="2142"/>
      <c r="AU70" s="440"/>
      <c r="AV70" s="440"/>
      <c r="AW70" s="440"/>
      <c r="AX70" s="440"/>
      <c r="AY70" s="2142"/>
      <c r="AZ70" s="441"/>
      <c r="BA70" s="441"/>
      <c r="BB70" s="441"/>
      <c r="BC70" s="441"/>
      <c r="BD70" s="2142"/>
      <c r="BE70" s="441"/>
      <c r="BF70" s="441"/>
      <c r="BG70" s="441"/>
      <c r="BH70" s="443"/>
      <c r="BI70" s="2142"/>
      <c r="BJ70" s="441"/>
      <c r="BK70" s="441"/>
      <c r="BL70" s="441"/>
      <c r="BM70" s="443"/>
      <c r="BN70" s="2142"/>
      <c r="BO70" s="441"/>
      <c r="BP70" s="441"/>
      <c r="BQ70" s="441"/>
      <c r="BR70" s="443"/>
      <c r="BS70" s="2142"/>
      <c r="BT70" s="441"/>
      <c r="BU70" s="441"/>
      <c r="BV70" s="441"/>
      <c r="BW70" s="443"/>
      <c r="BX70" s="2142"/>
      <c r="BY70" s="441"/>
      <c r="BZ70" s="441"/>
      <c r="CA70" s="441"/>
      <c r="CB70" s="443"/>
      <c r="CC70" s="2142"/>
      <c r="CD70" s="441"/>
      <c r="CE70" s="441"/>
      <c r="CF70" s="441"/>
      <c r="CG70" s="443"/>
      <c r="CH70" s="2142"/>
      <c r="CI70" s="441"/>
      <c r="CJ70" s="441"/>
      <c r="CK70" s="441"/>
      <c r="CL70" s="441"/>
      <c r="CM70" s="2142"/>
      <c r="CN70" s="441"/>
      <c r="CO70" s="441"/>
      <c r="CP70" s="441"/>
      <c r="CQ70" s="441"/>
      <c r="CR70" s="2142"/>
      <c r="CS70" s="441">
        <f t="shared" ref="CS70:DB72" si="210">CN61/CS61-1</f>
        <v>-7.7167071785310681E-2</v>
      </c>
      <c r="CT70" s="441">
        <f t="shared" si="210"/>
        <v>-5.0503534121473681E-2</v>
      </c>
      <c r="CU70" s="441">
        <f t="shared" si="210"/>
        <v>-3.5809348349270742E-2</v>
      </c>
      <c r="CV70" s="441">
        <f t="shared" si="210"/>
        <v>-2.1099712558231509E-2</v>
      </c>
      <c r="CW70" s="2142">
        <f t="shared" si="210"/>
        <v>-4.6160880747995403E-2</v>
      </c>
      <c r="CX70" s="441">
        <f t="shared" si="210"/>
        <v>-5.4376063074257353E-4</v>
      </c>
      <c r="CY70" s="441">
        <f t="shared" si="210"/>
        <v>3.219876479633399E-2</v>
      </c>
      <c r="CZ70" s="441">
        <f t="shared" si="210"/>
        <v>4.5717376038730384E-2</v>
      </c>
      <c r="DA70" s="441">
        <f t="shared" si="210"/>
        <v>3.7476245711888456E-2</v>
      </c>
      <c r="DB70" s="2142">
        <f t="shared" si="210"/>
        <v>2.8370423293339275E-2</v>
      </c>
      <c r="DC70" s="441">
        <f t="shared" ref="DC70:DL72" si="211">CX61/DC61-1</f>
        <v>5.7406195639061242E-2</v>
      </c>
      <c r="DD70" s="441">
        <f t="shared" si="211"/>
        <v>-2.8331914671506087E-2</v>
      </c>
      <c r="DE70" s="441">
        <f t="shared" si="211"/>
        <v>-7.3733068926146172E-2</v>
      </c>
      <c r="DF70" s="441">
        <f t="shared" si="211"/>
        <v>-9.9697401317510037E-2</v>
      </c>
      <c r="DG70" s="2142">
        <f t="shared" si="211"/>
        <v>-3.8694669935784964E-2</v>
      </c>
      <c r="DH70" s="441">
        <f t="shared" si="211"/>
        <v>-9.5049733292312144E-2</v>
      </c>
      <c r="DI70" s="441">
        <f t="shared" si="211"/>
        <v>-4.4031892343668888E-2</v>
      </c>
      <c r="DJ70" s="441">
        <f t="shared" si="211"/>
        <v>-5.8251322818335671E-3</v>
      </c>
      <c r="DK70" s="441">
        <f t="shared" si="211"/>
        <v>1.1672020167062591E-2</v>
      </c>
      <c r="DL70" s="2142">
        <f t="shared" si="211"/>
        <v>-3.3242108822752914E-2</v>
      </c>
      <c r="DM70" s="441">
        <f t="shared" ref="DM70:DO74" si="212">DH61/DM61-1</f>
        <v>-1.5407845144479126E-2</v>
      </c>
      <c r="DN70" s="441">
        <f t="shared" si="212"/>
        <v>-7.9165875102167216E-2</v>
      </c>
      <c r="DO70" s="441">
        <f t="shared" si="212"/>
        <v>-6.5691862866584128E-2</v>
      </c>
      <c r="DP70" s="441">
        <f t="shared" ref="DP70:DQ74" si="213">DK61/DP61-1</f>
        <v>-3.7821385121434625E-2</v>
      </c>
      <c r="DQ70" s="2142">
        <f t="shared" si="213"/>
        <v>-4.9975905380004626E-2</v>
      </c>
      <c r="DR70" s="441">
        <f t="shared" ref="DR70:DV74" si="214">DM61/DR61-1</f>
        <v>-2.0878152611978562E-2</v>
      </c>
      <c r="DS70" s="441">
        <f t="shared" si="214"/>
        <v>2.9730221554979508E-2</v>
      </c>
      <c r="DT70" s="441">
        <f t="shared" si="214"/>
        <v>9.8868050115872297E-3</v>
      </c>
      <c r="DU70" s="441">
        <f t="shared" si="214"/>
        <v>-1.0500033439596934E-2</v>
      </c>
      <c r="DV70" s="2142">
        <f t="shared" si="214"/>
        <v>2.021601474782253E-3</v>
      </c>
      <c r="DW70" s="441">
        <f t="shared" ref="DW70:DY74" si="215">DR61/DW61-1</f>
        <v>-2.1432902362906847E-2</v>
      </c>
      <c r="DX70" s="441">
        <f t="shared" si="215"/>
        <v>-4.3716441325232225E-2</v>
      </c>
      <c r="DY70" s="441">
        <f t="shared" si="215"/>
        <v>-6.7086446023770674E-2</v>
      </c>
      <c r="DZ70" s="441">
        <f t="shared" ref="DZ70:EA74" si="216">DU61/DZ61-1</f>
        <v>-8.6610806243064165E-2</v>
      </c>
      <c r="EA70" s="2142">
        <f t="shared" si="216"/>
        <v>-5.5546499846278241E-2</v>
      </c>
      <c r="EB70" s="441">
        <f t="shared" ref="EB70:EF74" si="217">DW61/EB61-1</f>
        <v>-9.3109695720714925E-2</v>
      </c>
      <c r="EC70" s="441">
        <f t="shared" si="217"/>
        <v>-6.8417767690686526E-2</v>
      </c>
      <c r="ED70" s="441">
        <f t="shared" si="217"/>
        <v>-3.7968653560117693E-2</v>
      </c>
      <c r="EE70" s="441">
        <f t="shared" si="217"/>
        <v>-1.6570547478873765E-2</v>
      </c>
      <c r="EF70" s="2142">
        <f t="shared" si="217"/>
        <v>-5.3922939028671069E-2</v>
      </c>
      <c r="EG70" s="441">
        <f t="shared" ref="EG70:EI74" si="218">EB61/EG61-1</f>
        <v>-7.3702135652223832E-3</v>
      </c>
      <c r="EH70" s="441">
        <f t="shared" si="218"/>
        <v>-1.424262399872156E-2</v>
      </c>
      <c r="EI70" s="441">
        <f t="shared" si="218"/>
        <v>-1.5587878237331543E-2</v>
      </c>
      <c r="EJ70" s="441">
        <f t="shared" ref="EJ70:EK74" si="219">EE61/EJ61-1</f>
        <v>-1.0658530786908593E-2</v>
      </c>
      <c r="EK70" s="2142">
        <f t="shared" si="219"/>
        <v>-1.1969805751665064E-2</v>
      </c>
      <c r="EL70" s="441">
        <f t="shared" ref="EL70:EN74" si="220">EG61/EL61-1</f>
        <v>-4.0722638767240693E-2</v>
      </c>
      <c r="EM70" s="441">
        <f t="shared" si="220"/>
        <v>-2.0495612275844621E-2</v>
      </c>
      <c r="EN70" s="441">
        <f t="shared" si="220"/>
        <v>-4.0448445922697474E-2</v>
      </c>
      <c r="EO70" s="441">
        <f t="shared" ref="EO70:EP74" si="221">EJ61/EO61-1</f>
        <v>-4.8327238474759393E-2</v>
      </c>
      <c r="EP70" s="2142">
        <f t="shared" si="221"/>
        <v>-3.7628861230619037E-2</v>
      </c>
      <c r="EQ70" s="441">
        <f t="shared" ref="EQ70:EQ74" si="222">EL61/EQ61-1</f>
        <v>-1.8385722248991487E-2</v>
      </c>
      <c r="ER70" s="441">
        <f t="shared" ref="ER70:ER74" si="223">EM61/ER61-1</f>
        <v>-3.4258288219343735E-2</v>
      </c>
      <c r="ES70" s="441">
        <f t="shared" ref="ES70:ES74" si="224">EN61/ES61-1</f>
        <v>-1.1479266460701298E-2</v>
      </c>
      <c r="ET70" s="441">
        <f t="shared" ref="ET70:ET74" si="225">EO61/ET61-1</f>
        <v>2.2248046635109375E-3</v>
      </c>
      <c r="EU70" s="2142">
        <f t="shared" ref="EU70:EU74" si="226">EP61/EU61-1</f>
        <v>-1.5474618066381396E-2</v>
      </c>
      <c r="EV70" s="441">
        <f t="shared" ref="EV70:EV74" si="227">EQ61/EV61-1</f>
        <v>0</v>
      </c>
      <c r="EW70" s="441">
        <f t="shared" ref="EW70:EW74" si="228">ER61/EW61-1</f>
        <v>0</v>
      </c>
      <c r="EX70" s="441">
        <f t="shared" ref="EX70:EX74" si="229">ES61/EX61-1</f>
        <v>0</v>
      </c>
      <c r="EY70" s="441">
        <f t="shared" ref="EY70:EZ74" si="230">ET61/EY61-1</f>
        <v>0</v>
      </c>
      <c r="EZ70" s="2142">
        <f t="shared" si="230"/>
        <v>0</v>
      </c>
      <c r="FA70" s="2142"/>
      <c r="FB70" s="2142"/>
      <c r="FC70" s="2142"/>
      <c r="FD70" s="441"/>
      <c r="FF70" s="441"/>
    </row>
    <row r="71" spans="1:170" ht="11.25" customHeight="1">
      <c r="A71" s="2120" t="str">
        <f t="shared" si="183"/>
        <v>Japan (YEN/USD)</v>
      </c>
      <c r="B71" s="440"/>
      <c r="C71" s="440"/>
      <c r="D71" s="440"/>
      <c r="E71" s="440"/>
      <c r="F71" s="2142"/>
      <c r="G71" s="440"/>
      <c r="H71" s="440"/>
      <c r="I71" s="440"/>
      <c r="J71" s="440"/>
      <c r="K71" s="2142"/>
      <c r="L71" s="440"/>
      <c r="M71" s="440"/>
      <c r="N71" s="440"/>
      <c r="O71" s="440"/>
      <c r="P71" s="2142"/>
      <c r="Q71" s="440"/>
      <c r="R71" s="440"/>
      <c r="S71" s="440"/>
      <c r="T71" s="440"/>
      <c r="U71" s="2142"/>
      <c r="V71" s="440"/>
      <c r="W71" s="440"/>
      <c r="X71" s="440"/>
      <c r="Y71" s="440"/>
      <c r="Z71" s="2142"/>
      <c r="AA71" s="440"/>
      <c r="AB71" s="440"/>
      <c r="AC71" s="440"/>
      <c r="AD71" s="440"/>
      <c r="AE71" s="2142"/>
      <c r="AF71" s="440"/>
      <c r="AG71" s="440"/>
      <c r="AH71" s="440"/>
      <c r="AI71" s="440"/>
      <c r="AJ71" s="2142"/>
      <c r="AK71" s="440"/>
      <c r="AL71" s="440"/>
      <c r="AM71" s="440"/>
      <c r="AN71" s="440"/>
      <c r="AO71" s="2142"/>
      <c r="AP71" s="440"/>
      <c r="AQ71" s="440"/>
      <c r="AR71" s="440"/>
      <c r="AS71" s="440"/>
      <c r="AT71" s="2142"/>
      <c r="AU71" s="440"/>
      <c r="AV71" s="440"/>
      <c r="AW71" s="440"/>
      <c r="AX71" s="440"/>
      <c r="AY71" s="2142"/>
      <c r="AZ71" s="441"/>
      <c r="BA71" s="441"/>
      <c r="BB71" s="441"/>
      <c r="BC71" s="441"/>
      <c r="BD71" s="2142"/>
      <c r="BE71" s="441"/>
      <c r="BF71" s="441"/>
      <c r="BG71" s="441"/>
      <c r="BH71" s="443"/>
      <c r="BI71" s="2142"/>
      <c r="BJ71" s="441"/>
      <c r="BK71" s="441"/>
      <c r="BL71" s="441"/>
      <c r="BM71" s="443"/>
      <c r="BN71" s="2142"/>
      <c r="BO71" s="441"/>
      <c r="BP71" s="441"/>
      <c r="BQ71" s="441"/>
      <c r="BR71" s="443"/>
      <c r="BS71" s="2142"/>
      <c r="BT71" s="441"/>
      <c r="BU71" s="441"/>
      <c r="BV71" s="441"/>
      <c r="BW71" s="443"/>
      <c r="BX71" s="2142"/>
      <c r="BY71" s="441"/>
      <c r="BZ71" s="441"/>
      <c r="CA71" s="441"/>
      <c r="CB71" s="443"/>
      <c r="CC71" s="2142"/>
      <c r="CD71" s="441"/>
      <c r="CE71" s="441"/>
      <c r="CF71" s="441"/>
      <c r="CG71" s="443"/>
      <c r="CH71" s="2142"/>
      <c r="CI71" s="441"/>
      <c r="CJ71" s="441"/>
      <c r="CK71" s="441"/>
      <c r="CL71" s="441"/>
      <c r="CM71" s="2142"/>
      <c r="CN71" s="441"/>
      <c r="CO71" s="441"/>
      <c r="CP71" s="441"/>
      <c r="CQ71" s="441"/>
      <c r="CR71" s="2142"/>
      <c r="CS71" s="441">
        <f t="shared" si="210"/>
        <v>8.0497104928680674E-3</v>
      </c>
      <c r="CT71" s="441">
        <f t="shared" si="210"/>
        <v>0.10266828380836857</v>
      </c>
      <c r="CU71" s="441">
        <f t="shared" si="210"/>
        <v>0.19090349541611329</v>
      </c>
      <c r="CV71" s="441">
        <f t="shared" si="210"/>
        <v>0.13404859183482509</v>
      </c>
      <c r="CW71" s="2142">
        <f t="shared" si="210"/>
        <v>0.1055613515386431</v>
      </c>
      <c r="CX71" s="441">
        <f t="shared" si="210"/>
        <v>3.363209061979977E-2</v>
      </c>
      <c r="CY71" s="441">
        <f t="shared" si="210"/>
        <v>-1.1568662710543465E-2</v>
      </c>
      <c r="CZ71" s="441">
        <f t="shared" si="210"/>
        <v>-7.1971860625920758E-2</v>
      </c>
      <c r="DA71" s="441">
        <f t="shared" si="210"/>
        <v>-5.3323097818063658E-2</v>
      </c>
      <c r="DB71" s="2142">
        <f t="shared" si="210"/>
        <v>-2.5484040934761087E-2</v>
      </c>
      <c r="DC71" s="441">
        <f t="shared" si="211"/>
        <v>3.3959188601786927E-2</v>
      </c>
      <c r="DD71" s="441">
        <f t="shared" si="211"/>
        <v>2.8418197509554766E-2</v>
      </c>
      <c r="DE71" s="441">
        <f t="shared" si="211"/>
        <v>-3.0570957590287939E-3</v>
      </c>
      <c r="DF71" s="441">
        <f t="shared" si="211"/>
        <v>-4.467828694041831E-3</v>
      </c>
      <c r="DG71" s="2142">
        <f t="shared" si="211"/>
        <v>1.3485461574331836E-2</v>
      </c>
      <c r="DH71" s="441">
        <f t="shared" si="211"/>
        <v>3.9700578840500267E-3</v>
      </c>
      <c r="DI71" s="441">
        <f t="shared" si="211"/>
        <v>-1.8543727500983209E-2</v>
      </c>
      <c r="DJ71" s="441">
        <f t="shared" si="211"/>
        <v>3.3260041497630954E-2</v>
      </c>
      <c r="DK71" s="441">
        <f t="shared" si="211"/>
        <v>4.4871007371007243E-2</v>
      </c>
      <c r="DL71" s="2142">
        <f t="shared" si="211"/>
        <v>1.5683128986669459E-2</v>
      </c>
      <c r="DM71" s="441">
        <f t="shared" si="212"/>
        <v>1.5761120517161942E-2</v>
      </c>
      <c r="DN71" s="441">
        <f t="shared" si="212"/>
        <v>2.4864362114400906E-2</v>
      </c>
      <c r="DO71" s="441">
        <f t="shared" si="212"/>
        <v>1.0135452185065841E-2</v>
      </c>
      <c r="DP71" s="441">
        <f t="shared" si="213"/>
        <v>3.5458737478136548E-2</v>
      </c>
      <c r="DQ71" s="2142">
        <f t="shared" si="213"/>
        <v>2.1482302266059294E-2</v>
      </c>
      <c r="DR71" s="441">
        <f t="shared" si="214"/>
        <v>3.2909379968203423E-2</v>
      </c>
      <c r="DS71" s="441">
        <f t="shared" si="214"/>
        <v>-2.1419253056642718E-2</v>
      </c>
      <c r="DT71" s="441">
        <f t="shared" si="214"/>
        <v>-3.3791748526522558E-2</v>
      </c>
      <c r="DU71" s="441">
        <f t="shared" si="214"/>
        <v>-7.0801690257380256E-2</v>
      </c>
      <c r="DV71" s="2142">
        <f t="shared" si="214"/>
        <v>-2.4250591988548509E-2</v>
      </c>
      <c r="DW71" s="441">
        <f t="shared" si="215"/>
        <v>-8.8907558156377631E-2</v>
      </c>
      <c r="DX71" s="441">
        <f t="shared" si="215"/>
        <v>-0.13276501697055787</v>
      </c>
      <c r="DY71" s="441">
        <f t="shared" si="215"/>
        <v>-0.18899374923397494</v>
      </c>
      <c r="DZ71" s="441">
        <f t="shared" si="216"/>
        <v>-0.21577215424545793</v>
      </c>
      <c r="EA71" s="2142">
        <f t="shared" si="216"/>
        <v>-0.16064113297501814</v>
      </c>
      <c r="EB71" s="441">
        <f t="shared" si="217"/>
        <v>-0.13133524586038559</v>
      </c>
      <c r="EC71" s="441">
        <f t="shared" si="217"/>
        <v>-6.959608323133426E-2</v>
      </c>
      <c r="ED71" s="441">
        <f t="shared" si="217"/>
        <v>-5.5977229601517853E-2</v>
      </c>
      <c r="EE71" s="441">
        <f t="shared" si="217"/>
        <v>-3.9465776293822974E-2</v>
      </c>
      <c r="EF71" s="2142">
        <f t="shared" si="217"/>
        <v>-7.2626194977685743E-2</v>
      </c>
      <c r="EG71" s="441">
        <f t="shared" si="218"/>
        <v>-9.2615426770790377E-2</v>
      </c>
      <c r="EH71" s="441">
        <f t="shared" si="218"/>
        <v>-0.12425502722634307</v>
      </c>
      <c r="EI71" s="441">
        <f t="shared" si="218"/>
        <v>-5.4460319891473263E-2</v>
      </c>
      <c r="EJ71" s="441">
        <f t="shared" si="219"/>
        <v>8.5759827582336801E-3</v>
      </c>
      <c r="EK71" s="2142">
        <f t="shared" si="219"/>
        <v>-6.6186644233642955E-2</v>
      </c>
      <c r="EL71" s="441">
        <f t="shared" si="220"/>
        <v>-5.4166126733186548E-2</v>
      </c>
      <c r="EM71" s="441">
        <f t="shared" si="220"/>
        <v>6.7292071845326706E-2</v>
      </c>
      <c r="EN71" s="441">
        <f t="shared" si="220"/>
        <v>3.4402371953013544E-2</v>
      </c>
      <c r="EO71" s="441">
        <f t="shared" si="221"/>
        <v>-1.8141339329012962E-2</v>
      </c>
      <c r="EP71" s="2142">
        <f t="shared" si="221"/>
        <v>6.2933012542047972E-3</v>
      </c>
      <c r="EQ71" s="441">
        <f t="shared" si="222"/>
        <v>9.5499738356881192E-3</v>
      </c>
      <c r="ER71" s="441">
        <f t="shared" si="223"/>
        <v>-4.7073957788243637E-2</v>
      </c>
      <c r="ES71" s="441">
        <f t="shared" si="224"/>
        <v>-3.6651840223268728E-2</v>
      </c>
      <c r="ET71" s="441">
        <f t="shared" si="225"/>
        <v>-1.0858189429618026E-2</v>
      </c>
      <c r="EU71" s="2142">
        <f t="shared" si="226"/>
        <v>-2.1258503401360596E-2</v>
      </c>
      <c r="EV71" s="441">
        <f t="shared" si="227"/>
        <v>0</v>
      </c>
      <c r="EW71" s="441">
        <f t="shared" si="228"/>
        <v>0</v>
      </c>
      <c r="EX71" s="441">
        <f t="shared" si="229"/>
        <v>0</v>
      </c>
      <c r="EY71" s="441">
        <f t="shared" si="230"/>
        <v>0</v>
      </c>
      <c r="EZ71" s="2142">
        <f t="shared" si="230"/>
        <v>0</v>
      </c>
      <c r="FA71" s="2142"/>
      <c r="FB71" s="2142"/>
      <c r="FC71" s="2142"/>
      <c r="FD71" s="441"/>
      <c r="FF71" s="441"/>
    </row>
    <row r="72" spans="1:170" ht="11.25" customHeight="1">
      <c r="A72" s="2120" t="str">
        <f t="shared" si="183"/>
        <v>Korea (WON/USD)</v>
      </c>
      <c r="B72" s="440"/>
      <c r="C72" s="440"/>
      <c r="D72" s="440"/>
      <c r="E72" s="440"/>
      <c r="F72" s="3454"/>
      <c r="G72" s="440"/>
      <c r="H72" s="440"/>
      <c r="I72" s="440"/>
      <c r="J72" s="440"/>
      <c r="K72" s="3454"/>
      <c r="L72" s="440"/>
      <c r="M72" s="440"/>
      <c r="N72" s="440"/>
      <c r="O72" s="440"/>
      <c r="P72" s="3454"/>
      <c r="Q72" s="440"/>
      <c r="R72" s="440"/>
      <c r="S72" s="440"/>
      <c r="T72" s="440"/>
      <c r="U72" s="3454"/>
      <c r="V72" s="440"/>
      <c r="W72" s="440"/>
      <c r="X72" s="440"/>
      <c r="Y72" s="440"/>
      <c r="Z72" s="3454"/>
      <c r="AA72" s="440"/>
      <c r="AB72" s="440"/>
      <c r="AC72" s="440"/>
      <c r="AD72" s="440"/>
      <c r="AE72" s="3454"/>
      <c r="AF72" s="440"/>
      <c r="AG72" s="440"/>
      <c r="AH72" s="440"/>
      <c r="AI72" s="440"/>
      <c r="AJ72" s="3454"/>
      <c r="AK72" s="440"/>
      <c r="AL72" s="440"/>
      <c r="AM72" s="440"/>
      <c r="AN72" s="440"/>
      <c r="AO72" s="3454"/>
      <c r="AP72" s="440"/>
      <c r="AQ72" s="440"/>
      <c r="AR72" s="440"/>
      <c r="AS72" s="440"/>
      <c r="AT72" s="3454"/>
      <c r="AU72" s="440"/>
      <c r="AV72" s="440"/>
      <c r="AW72" s="440"/>
      <c r="AX72" s="440"/>
      <c r="AY72" s="3454"/>
      <c r="AZ72" s="441"/>
      <c r="BA72" s="441"/>
      <c r="BB72" s="441"/>
      <c r="BC72" s="441"/>
      <c r="BD72" s="3454"/>
      <c r="BE72" s="441"/>
      <c r="BF72" s="441"/>
      <c r="BG72" s="441"/>
      <c r="BH72" s="443"/>
      <c r="BI72" s="3454"/>
      <c r="BJ72" s="441"/>
      <c r="BK72" s="441"/>
      <c r="BL72" s="441"/>
      <c r="BM72" s="443"/>
      <c r="BN72" s="3454"/>
      <c r="BO72" s="441"/>
      <c r="BP72" s="441"/>
      <c r="BQ72" s="441"/>
      <c r="BR72" s="443"/>
      <c r="BS72" s="3454"/>
      <c r="BT72" s="441"/>
      <c r="BU72" s="441"/>
      <c r="BV72" s="441"/>
      <c r="BW72" s="443"/>
      <c r="BX72" s="3454"/>
      <c r="BY72" s="441"/>
      <c r="BZ72" s="441"/>
      <c r="CA72" s="441"/>
      <c r="CB72" s="443"/>
      <c r="CC72" s="3454"/>
      <c r="CD72" s="441"/>
      <c r="CE72" s="441"/>
      <c r="CF72" s="441"/>
      <c r="CG72" s="443"/>
      <c r="CH72" s="3454"/>
      <c r="CI72" s="441"/>
      <c r="CJ72" s="441"/>
      <c r="CK72" s="441"/>
      <c r="CL72" s="441"/>
      <c r="CM72" s="3454"/>
      <c r="CN72" s="441"/>
      <c r="CO72" s="441"/>
      <c r="CP72" s="441"/>
      <c r="CQ72" s="441"/>
      <c r="CR72" s="3454"/>
      <c r="CS72" s="441">
        <f t="shared" si="210"/>
        <v>-9.0887438933876963E-2</v>
      </c>
      <c r="CT72" s="441">
        <f t="shared" si="210"/>
        <v>-5.3120368371825322E-2</v>
      </c>
      <c r="CU72" s="441">
        <f t="shared" si="210"/>
        <v>2.4170022794108847E-2</v>
      </c>
      <c r="CV72" s="441">
        <f t="shared" si="210"/>
        <v>2.0492871726222939E-2</v>
      </c>
      <c r="CW72" s="2142">
        <f t="shared" si="210"/>
        <v>-2.5992525006661271E-2</v>
      </c>
      <c r="CX72" s="441">
        <f t="shared" si="210"/>
        <v>3.2429619548124178E-2</v>
      </c>
      <c r="CY72" s="441">
        <f t="shared" si="210"/>
        <v>2.9326816263052446E-2</v>
      </c>
      <c r="CZ72" s="441">
        <f t="shared" si="210"/>
        <v>-1.2297221181890583E-3</v>
      </c>
      <c r="DA72" s="441">
        <f t="shared" si="210"/>
        <v>1.7926202012672254E-2</v>
      </c>
      <c r="DB72" s="2142">
        <f t="shared" si="210"/>
        <v>1.9707106733549029E-2</v>
      </c>
      <c r="DC72" s="441">
        <f t="shared" si="211"/>
        <v>8.6779671550424764E-2</v>
      </c>
      <c r="DD72" s="441">
        <f t="shared" si="211"/>
        <v>5.1989454395871659E-2</v>
      </c>
      <c r="DE72" s="441">
        <f t="shared" si="211"/>
        <v>1.3309547074977557E-2</v>
      </c>
      <c r="DF72" s="441">
        <f t="shared" si="211"/>
        <v>-4.7835673186205074E-3</v>
      </c>
      <c r="DG72" s="2142">
        <f t="shared" si="211"/>
        <v>3.6103263917050654E-2</v>
      </c>
      <c r="DH72" s="441">
        <f t="shared" si="211"/>
        <v>-3.8815928986801418E-2</v>
      </c>
      <c r="DI72" s="441">
        <f t="shared" si="211"/>
        <v>-8.1654379779293795E-2</v>
      </c>
      <c r="DJ72" s="441">
        <f t="shared" si="211"/>
        <v>-5.7109287831486832E-2</v>
      </c>
      <c r="DK72" s="441">
        <f t="shared" si="211"/>
        <v>-4.8478636533053399E-2</v>
      </c>
      <c r="DL72" s="2142">
        <f t="shared" si="211"/>
        <v>-5.6675233814227677E-2</v>
      </c>
      <c r="DM72" s="441">
        <f t="shared" si="212"/>
        <v>-6.0129522697350946E-2</v>
      </c>
      <c r="DN72" s="441">
        <f t="shared" si="212"/>
        <v>-4.5433063337476653E-2</v>
      </c>
      <c r="DO72" s="441">
        <f t="shared" si="212"/>
        <v>-9.038036816667705E-3</v>
      </c>
      <c r="DP72" s="441">
        <f t="shared" si="213"/>
        <v>3.8160509823004229E-2</v>
      </c>
      <c r="DQ72" s="2142">
        <f t="shared" si="213"/>
        <v>-1.988636563478452E-2</v>
      </c>
      <c r="DR72" s="441">
        <f t="shared" si="214"/>
        <v>7.0199841376658689E-2</v>
      </c>
      <c r="DS72" s="441">
        <f t="shared" si="214"/>
        <v>9.103074992623239E-2</v>
      </c>
      <c r="DT72" s="441">
        <f t="shared" si="214"/>
        <v>4.2406056178565299E-2</v>
      </c>
      <c r="DU72" s="441">
        <f t="shared" si="214"/>
        <v>-3.6423158293153235E-2</v>
      </c>
      <c r="DV72" s="2142">
        <f t="shared" si="214"/>
        <v>4.0691277334510723E-2</v>
      </c>
      <c r="DW72" s="441">
        <f t="shared" si="215"/>
        <v>-7.5827028527799101E-2</v>
      </c>
      <c r="DX72" s="441">
        <f t="shared" si="215"/>
        <v>-9.4444069580707279E-2</v>
      </c>
      <c r="DY72" s="441">
        <f t="shared" si="215"/>
        <v>-0.12726418329374989</v>
      </c>
      <c r="DZ72" s="441">
        <f t="shared" si="216"/>
        <v>-0.15211424794275152</v>
      </c>
      <c r="EA72" s="3454">
        <f t="shared" si="216"/>
        <v>-0.11409204021238561</v>
      </c>
      <c r="EB72" s="441">
        <f t="shared" si="217"/>
        <v>-5.6125390469401903E-2</v>
      </c>
      <c r="EC72" s="441">
        <f t="shared" si="217"/>
        <v>-6.5898049379416679E-2</v>
      </c>
      <c r="ED72" s="441">
        <f t="shared" si="217"/>
        <v>5.5374351560721902E-3</v>
      </c>
      <c r="EE72" s="441">
        <f t="shared" si="217"/>
        <v>4.6748558535973705E-2</v>
      </c>
      <c r="EF72" s="3454">
        <f t="shared" si="217"/>
        <v>-1.7045845732514331E-2</v>
      </c>
      <c r="EG72" s="441">
        <f t="shared" si="218"/>
        <v>-3.5697137860799977E-2</v>
      </c>
      <c r="EH72" s="441">
        <f t="shared" si="218"/>
        <v>-3.6116207579494963E-2</v>
      </c>
      <c r="EI72" s="441">
        <f t="shared" si="218"/>
        <v>-4.1775782821731555E-2</v>
      </c>
      <c r="EJ72" s="441">
        <f t="shared" si="219"/>
        <v>-2.4563205321008752E-2</v>
      </c>
      <c r="EK72" s="3454">
        <f t="shared" si="219"/>
        <v>-3.4529534932672967E-2</v>
      </c>
      <c r="EL72" s="441">
        <f t="shared" si="220"/>
        <v>-9.896375298567095E-2</v>
      </c>
      <c r="EM72" s="441">
        <f t="shared" si="220"/>
        <v>-3.8820437956204268E-2</v>
      </c>
      <c r="EN72" s="441">
        <f t="shared" si="220"/>
        <v>-1.2383100198448571E-2</v>
      </c>
      <c r="EO72" s="441">
        <f t="shared" si="221"/>
        <v>-3.686772696120344E-2</v>
      </c>
      <c r="EP72" s="3454">
        <f t="shared" si="221"/>
        <v>-4.7408147447194904E-2</v>
      </c>
      <c r="EQ72" s="441">
        <f t="shared" si="222"/>
        <v>3.0237560727296664E-2</v>
      </c>
      <c r="ER72" s="441">
        <f t="shared" si="223"/>
        <v>4.3022254750861855E-3</v>
      </c>
      <c r="ES72" s="441">
        <f t="shared" si="224"/>
        <v>-2.9515049578808905E-2</v>
      </c>
      <c r="ET72" s="441">
        <f t="shared" si="225"/>
        <v>-3.9691196858484545E-3</v>
      </c>
      <c r="EU72" s="3454">
        <f t="shared" si="226"/>
        <v>2.6390423443145572E-4</v>
      </c>
      <c r="EV72" s="441">
        <f t="shared" si="227"/>
        <v>0</v>
      </c>
      <c r="EW72" s="441">
        <f t="shared" si="228"/>
        <v>0</v>
      </c>
      <c r="EX72" s="441">
        <f t="shared" si="229"/>
        <v>0</v>
      </c>
      <c r="EY72" s="441">
        <f t="shared" si="230"/>
        <v>0</v>
      </c>
      <c r="EZ72" s="3454">
        <f t="shared" si="230"/>
        <v>0</v>
      </c>
      <c r="FA72" s="3454"/>
      <c r="FB72" s="3454"/>
      <c r="FC72" s="3454"/>
      <c r="FD72" s="441"/>
      <c r="FF72" s="441"/>
    </row>
    <row r="73" spans="1:170" ht="11.25" customHeight="1">
      <c r="A73" s="2120" t="str">
        <f t="shared" si="183"/>
        <v>Taiwan (TWD/USD)</v>
      </c>
      <c r="B73" s="440"/>
      <c r="C73" s="440"/>
      <c r="D73" s="440"/>
      <c r="E73" s="440"/>
      <c r="F73" s="3454"/>
      <c r="G73" s="440"/>
      <c r="H73" s="440"/>
      <c r="I73" s="440"/>
      <c r="J73" s="440"/>
      <c r="K73" s="3454"/>
      <c r="L73" s="440"/>
      <c r="M73" s="440"/>
      <c r="N73" s="440"/>
      <c r="O73" s="440"/>
      <c r="P73" s="3454"/>
      <c r="Q73" s="440"/>
      <c r="R73" s="440"/>
      <c r="S73" s="440"/>
      <c r="T73" s="440"/>
      <c r="U73" s="3454"/>
      <c r="V73" s="440"/>
      <c r="W73" s="440"/>
      <c r="X73" s="440"/>
      <c r="Y73" s="440"/>
      <c r="Z73" s="3454"/>
      <c r="AA73" s="440"/>
      <c r="AB73" s="440"/>
      <c r="AC73" s="440"/>
      <c r="AD73" s="440"/>
      <c r="AE73" s="3454"/>
      <c r="AF73" s="440"/>
      <c r="AG73" s="440"/>
      <c r="AH73" s="440"/>
      <c r="AI73" s="440"/>
      <c r="AJ73" s="3454"/>
      <c r="AK73" s="440"/>
      <c r="AL73" s="440"/>
      <c r="AM73" s="440"/>
      <c r="AN73" s="440"/>
      <c r="AO73" s="3454"/>
      <c r="AP73" s="440"/>
      <c r="AQ73" s="440"/>
      <c r="AR73" s="440"/>
      <c r="AS73" s="440"/>
      <c r="AT73" s="3454"/>
      <c r="AU73" s="440"/>
      <c r="AV73" s="440"/>
      <c r="AW73" s="440"/>
      <c r="AX73" s="440"/>
      <c r="AY73" s="3454"/>
      <c r="AZ73" s="441"/>
      <c r="BA73" s="441"/>
      <c r="BB73" s="441"/>
      <c r="BC73" s="441"/>
      <c r="BD73" s="3454"/>
      <c r="BE73" s="441"/>
      <c r="BF73" s="441"/>
      <c r="BG73" s="441"/>
      <c r="BH73" s="443"/>
      <c r="BI73" s="3454"/>
      <c r="BJ73" s="441"/>
      <c r="BK73" s="441"/>
      <c r="BL73" s="441"/>
      <c r="BM73" s="443"/>
      <c r="BN73" s="3454"/>
      <c r="BO73" s="441"/>
      <c r="BP73" s="441"/>
      <c r="BQ73" s="441"/>
      <c r="BR73" s="443"/>
      <c r="BS73" s="3454"/>
      <c r="BT73" s="441"/>
      <c r="BU73" s="441"/>
      <c r="BV73" s="441"/>
      <c r="BW73" s="443"/>
      <c r="BX73" s="3454"/>
      <c r="BY73" s="441"/>
      <c r="BZ73" s="441"/>
      <c r="CA73" s="441"/>
      <c r="CB73" s="443"/>
      <c r="CC73" s="3454"/>
      <c r="CD73" s="441"/>
      <c r="CE73" s="441"/>
      <c r="CF73" s="441"/>
      <c r="CG73" s="443"/>
      <c r="CH73" s="3454"/>
      <c r="CI73" s="441"/>
      <c r="CJ73" s="441"/>
      <c r="CK73" s="441"/>
      <c r="CL73" s="441"/>
      <c r="CM73" s="3454"/>
      <c r="CN73" s="441"/>
      <c r="CO73" s="441"/>
      <c r="CP73" s="441"/>
      <c r="CQ73" s="441"/>
      <c r="CR73" s="3454"/>
      <c r="CS73" s="441">
        <f t="shared" ref="CS73:DL73" si="231">CN64/CS64-1</f>
        <v>-4.8757689060426879E-2</v>
      </c>
      <c r="CT73" s="441">
        <f t="shared" si="231"/>
        <v>-4.6065437019186084E-2</v>
      </c>
      <c r="CU73" s="441">
        <f t="shared" si="231"/>
        <v>-7.8259329116429077E-3</v>
      </c>
      <c r="CV73" s="441">
        <f t="shared" si="231"/>
        <v>3.6927232251189324E-2</v>
      </c>
      <c r="CW73" s="2142">
        <f t="shared" si="231"/>
        <v>-1.6974882337602581E-2</v>
      </c>
      <c r="CX73" s="441">
        <f t="shared" si="231"/>
        <v>5.4030002542588162E-2</v>
      </c>
      <c r="CY73" s="441">
        <f t="shared" si="231"/>
        <v>7.0785822985818481E-2</v>
      </c>
      <c r="CZ73" s="441">
        <f t="shared" si="231"/>
        <v>5.674485188855849E-2</v>
      </c>
      <c r="DA73" s="441">
        <f t="shared" si="231"/>
        <v>4.7338585809474365E-2</v>
      </c>
      <c r="DB73" s="2142">
        <f t="shared" si="231"/>
        <v>5.7197289160737075E-2</v>
      </c>
      <c r="DC73" s="441">
        <f t="shared" si="231"/>
        <v>7.0750382848391968E-2</v>
      </c>
      <c r="DD73" s="441">
        <f t="shared" si="231"/>
        <v>2.2610146937762865E-2</v>
      </c>
      <c r="DE73" s="441">
        <f t="shared" si="231"/>
        <v>-1.0989010989011061E-2</v>
      </c>
      <c r="DF73" s="441">
        <f t="shared" si="231"/>
        <v>-1.9576616397989244E-2</v>
      </c>
      <c r="DG73" s="2142">
        <f t="shared" si="231"/>
        <v>1.50323447521159E-2</v>
      </c>
      <c r="DH73" s="441">
        <f t="shared" si="231"/>
        <v>-4.2532393478945441E-2</v>
      </c>
      <c r="DI73" s="441">
        <f t="shared" si="231"/>
        <v>-4.9957145918148704E-2</v>
      </c>
      <c r="DJ73" s="441">
        <f t="shared" si="231"/>
        <v>-1.7085050580741723E-2</v>
      </c>
      <c r="DK73" s="441">
        <f t="shared" si="231"/>
        <v>3.3697849859775086E-3</v>
      </c>
      <c r="DL73" s="2142">
        <f t="shared" si="231"/>
        <v>-2.6603203710695023E-2</v>
      </c>
      <c r="DM73" s="441">
        <f t="shared" si="212"/>
        <v>1.7145571647941171E-2</v>
      </c>
      <c r="DN73" s="441">
        <f t="shared" si="212"/>
        <v>3.7007410370074156E-2</v>
      </c>
      <c r="DO73" s="441">
        <f t="shared" si="212"/>
        <v>5.7400615774698904E-2</v>
      </c>
      <c r="DP73" s="441">
        <f t="shared" si="213"/>
        <v>6.7624496617034291E-2</v>
      </c>
      <c r="DQ73" s="2142">
        <f t="shared" si="213"/>
        <v>4.4448638036947985E-2</v>
      </c>
      <c r="DR73" s="441">
        <f t="shared" si="214"/>
        <v>7.7761108729818673E-2</v>
      </c>
      <c r="DS73" s="441">
        <f t="shared" si="214"/>
        <v>7.2020676020104313E-2</v>
      </c>
      <c r="DT73" s="441">
        <f t="shared" si="214"/>
        <v>5.7999305397539835E-2</v>
      </c>
      <c r="DU73" s="441">
        <f t="shared" si="214"/>
        <v>3.4281187358212284E-2</v>
      </c>
      <c r="DV73" s="2142">
        <f t="shared" si="214"/>
        <v>6.0571391018096499E-2</v>
      </c>
      <c r="DW73" s="441">
        <f t="shared" si="215"/>
        <v>5.7961295267292545E-3</v>
      </c>
      <c r="DX73" s="441">
        <f t="shared" si="215"/>
        <v>-3.561788589871695E-2</v>
      </c>
      <c r="DY73" s="441">
        <f t="shared" si="215"/>
        <v>-7.2664475145484353E-2</v>
      </c>
      <c r="DZ73" s="441">
        <f t="shared" si="216"/>
        <v>-0.12157189401208357</v>
      </c>
      <c r="EA73" s="3454">
        <f t="shared" si="216"/>
        <v>-5.8207577957080092E-2</v>
      </c>
      <c r="EB73" s="441">
        <f t="shared" si="217"/>
        <v>-8.5779349456420517E-2</v>
      </c>
      <c r="EC73" s="441">
        <f t="shared" si="217"/>
        <v>-5.3807029365096626E-2</v>
      </c>
      <c r="ED73" s="441">
        <f t="shared" si="217"/>
        <v>-4.7042512885097643E-2</v>
      </c>
      <c r="EE73" s="441">
        <f t="shared" si="217"/>
        <v>-7.3059169553794101E-3</v>
      </c>
      <c r="EF73" s="3454">
        <f t="shared" si="217"/>
        <v>-4.8017976276243157E-2</v>
      </c>
      <c r="EG73" s="441">
        <f t="shared" si="218"/>
        <v>-2.2840575989045209E-2</v>
      </c>
      <c r="EH73" s="441">
        <f t="shared" si="218"/>
        <v>-5.1695351953004232E-2</v>
      </c>
      <c r="EI73" s="441">
        <f t="shared" si="218"/>
        <v>-2.811092139639193E-2</v>
      </c>
      <c r="EJ73" s="441">
        <f t="shared" si="219"/>
        <v>-6.7678552864122166E-3</v>
      </c>
      <c r="EK73" s="3454">
        <f t="shared" si="219"/>
        <v>-2.7440898529886848E-2</v>
      </c>
      <c r="EL73" s="441">
        <f t="shared" si="220"/>
        <v>-4.9838885105258468E-2</v>
      </c>
      <c r="EM73" s="441">
        <f t="shared" si="220"/>
        <v>2.0874103065883887E-2</v>
      </c>
      <c r="EN73" s="441">
        <f t="shared" si="220"/>
        <v>8.4074842220289492E-2</v>
      </c>
      <c r="EO73" s="441">
        <f t="shared" si="221"/>
        <v>4.9375981846744521E-2</v>
      </c>
      <c r="EP73" s="3454">
        <f t="shared" si="221"/>
        <v>2.4407034733395783E-2</v>
      </c>
      <c r="EQ73" s="441">
        <f t="shared" si="222"/>
        <v>7.1644880174291936E-2</v>
      </c>
      <c r="ER73" s="441">
        <f t="shared" si="223"/>
        <v>3.5359477124182748E-2</v>
      </c>
      <c r="ES73" s="441">
        <f t="shared" si="224"/>
        <v>-2.3071895424836675E-2</v>
      </c>
      <c r="ET73" s="441">
        <f t="shared" si="225"/>
        <v>-1.4814814814816391E-3</v>
      </c>
      <c r="EU73" s="3454">
        <f t="shared" si="226"/>
        <v>2.061274509803912E-2</v>
      </c>
      <c r="EV73" s="441">
        <f t="shared" si="227"/>
        <v>0</v>
      </c>
      <c r="EW73" s="441">
        <f t="shared" si="228"/>
        <v>0</v>
      </c>
      <c r="EX73" s="441">
        <f t="shared" si="229"/>
        <v>0</v>
      </c>
      <c r="EY73" s="441">
        <f t="shared" si="230"/>
        <v>0</v>
      </c>
      <c r="EZ73" s="3454">
        <f t="shared" si="230"/>
        <v>0</v>
      </c>
      <c r="FA73" s="3454"/>
      <c r="FB73" s="3454"/>
      <c r="FC73" s="3454"/>
      <c r="FD73" s="441"/>
      <c r="FF73" s="441"/>
    </row>
    <row r="74" spans="1:170" ht="11.25" customHeight="1">
      <c r="A74" s="2120" t="str">
        <f>A65</f>
        <v>Others (YEN/USD)</v>
      </c>
      <c r="B74" s="440"/>
      <c r="C74" s="440"/>
      <c r="D74" s="440"/>
      <c r="E74" s="440"/>
      <c r="F74" s="2142"/>
      <c r="G74" s="440"/>
      <c r="H74" s="440"/>
      <c r="I74" s="440"/>
      <c r="J74" s="440"/>
      <c r="K74" s="2142"/>
      <c r="L74" s="440"/>
      <c r="M74" s="440"/>
      <c r="N74" s="440"/>
      <c r="O74" s="440"/>
      <c r="P74" s="2142"/>
      <c r="Q74" s="440"/>
      <c r="R74" s="440"/>
      <c r="S74" s="440"/>
      <c r="T74" s="440"/>
      <c r="U74" s="2142"/>
      <c r="V74" s="440"/>
      <c r="W74" s="440"/>
      <c r="X74" s="440"/>
      <c r="Y74" s="440"/>
      <c r="Z74" s="2142"/>
      <c r="AA74" s="440"/>
      <c r="AB74" s="440"/>
      <c r="AC74" s="440"/>
      <c r="AD74" s="440"/>
      <c r="AE74" s="2142"/>
      <c r="AF74" s="440"/>
      <c r="AG74" s="440"/>
      <c r="AH74" s="440"/>
      <c r="AI74" s="440"/>
      <c r="AJ74" s="2142"/>
      <c r="AK74" s="440"/>
      <c r="AL74" s="440"/>
      <c r="AM74" s="440"/>
      <c r="AN74" s="440"/>
      <c r="AO74" s="2142"/>
      <c r="AP74" s="440"/>
      <c r="AQ74" s="440"/>
      <c r="AR74" s="440"/>
      <c r="AS74" s="440"/>
      <c r="AT74" s="2142"/>
      <c r="AU74" s="440"/>
      <c r="AV74" s="440"/>
      <c r="AW74" s="440"/>
      <c r="AX74" s="440"/>
      <c r="AY74" s="2142"/>
      <c r="AZ74" s="441"/>
      <c r="BA74" s="441"/>
      <c r="BB74" s="441"/>
      <c r="BC74" s="441"/>
      <c r="BD74" s="2142"/>
      <c r="BE74" s="441"/>
      <c r="BF74" s="441"/>
      <c r="BG74" s="441"/>
      <c r="BH74" s="443"/>
      <c r="BI74" s="2142"/>
      <c r="BJ74" s="441"/>
      <c r="BK74" s="441"/>
      <c r="BL74" s="441"/>
      <c r="BM74" s="443"/>
      <c r="BN74" s="2142"/>
      <c r="BO74" s="441"/>
      <c r="BP74" s="441"/>
      <c r="BQ74" s="441"/>
      <c r="BR74" s="443"/>
      <c r="BS74" s="2142"/>
      <c r="BT74" s="441"/>
      <c r="BU74" s="441"/>
      <c r="BV74" s="441"/>
      <c r="BW74" s="443"/>
      <c r="BX74" s="2142"/>
      <c r="BY74" s="441"/>
      <c r="BZ74" s="441"/>
      <c r="CA74" s="441"/>
      <c r="CB74" s="443"/>
      <c r="CC74" s="2142"/>
      <c r="CD74" s="441"/>
      <c r="CE74" s="441"/>
      <c r="CF74" s="441"/>
      <c r="CG74" s="443"/>
      <c r="CH74" s="2142"/>
      <c r="CI74" s="441"/>
      <c r="CJ74" s="441"/>
      <c r="CK74" s="441"/>
      <c r="CL74" s="441"/>
      <c r="CM74" s="2142"/>
      <c r="CN74" s="441"/>
      <c r="CO74" s="441"/>
      <c r="CP74" s="441"/>
      <c r="CQ74" s="441"/>
      <c r="CR74" s="2142"/>
      <c r="CS74" s="441">
        <f t="shared" ref="CS74:DL74" si="232">CN65/CS65-1</f>
        <v>8.0497104928680674E-3</v>
      </c>
      <c r="CT74" s="441">
        <f t="shared" si="232"/>
        <v>0.10266828380836857</v>
      </c>
      <c r="CU74" s="441">
        <f t="shared" si="232"/>
        <v>0.19090349541611329</v>
      </c>
      <c r="CV74" s="441">
        <f t="shared" si="232"/>
        <v>0.13404859183482509</v>
      </c>
      <c r="CW74" s="2142">
        <f t="shared" si="232"/>
        <v>0.1055613515386431</v>
      </c>
      <c r="CX74" s="441">
        <f t="shared" si="232"/>
        <v>3.363209061979977E-2</v>
      </c>
      <c r="CY74" s="441">
        <f t="shared" si="232"/>
        <v>-1.1568662710543465E-2</v>
      </c>
      <c r="CZ74" s="441">
        <f t="shared" si="232"/>
        <v>-7.1971860625920758E-2</v>
      </c>
      <c r="DA74" s="441">
        <f t="shared" si="232"/>
        <v>-5.3323097818063658E-2</v>
      </c>
      <c r="DB74" s="2142">
        <f t="shared" si="232"/>
        <v>-2.5484040934761087E-2</v>
      </c>
      <c r="DC74" s="441">
        <f t="shared" si="232"/>
        <v>3.3959188601786927E-2</v>
      </c>
      <c r="DD74" s="441">
        <f t="shared" si="232"/>
        <v>2.8418197509554766E-2</v>
      </c>
      <c r="DE74" s="441">
        <f t="shared" si="232"/>
        <v>-3.0570957590287939E-3</v>
      </c>
      <c r="DF74" s="441">
        <f t="shared" si="232"/>
        <v>-4.467828694041831E-3</v>
      </c>
      <c r="DG74" s="2142">
        <f t="shared" si="232"/>
        <v>1.3485461574331836E-2</v>
      </c>
      <c r="DH74" s="441">
        <f t="shared" si="232"/>
        <v>3.9700578840500267E-3</v>
      </c>
      <c r="DI74" s="441">
        <f t="shared" si="232"/>
        <v>-1.8543727500983209E-2</v>
      </c>
      <c r="DJ74" s="441">
        <f t="shared" si="232"/>
        <v>3.3260041497630954E-2</v>
      </c>
      <c r="DK74" s="441">
        <f t="shared" si="232"/>
        <v>4.4871007371007243E-2</v>
      </c>
      <c r="DL74" s="2142">
        <f t="shared" si="232"/>
        <v>1.5683128986669459E-2</v>
      </c>
      <c r="DM74" s="441">
        <f t="shared" si="212"/>
        <v>1.5761120517161942E-2</v>
      </c>
      <c r="DN74" s="441">
        <f t="shared" si="212"/>
        <v>2.4864362114400906E-2</v>
      </c>
      <c r="DO74" s="441">
        <f t="shared" si="212"/>
        <v>1.0135452185065841E-2</v>
      </c>
      <c r="DP74" s="441">
        <f t="shared" si="213"/>
        <v>3.5458737478136548E-2</v>
      </c>
      <c r="DQ74" s="2142">
        <f t="shared" si="213"/>
        <v>2.1482302266059294E-2</v>
      </c>
      <c r="DR74" s="441">
        <f t="shared" si="214"/>
        <v>3.2909379968203423E-2</v>
      </c>
      <c r="DS74" s="441">
        <f t="shared" si="214"/>
        <v>-2.1419253056642718E-2</v>
      </c>
      <c r="DT74" s="441">
        <f t="shared" si="214"/>
        <v>-3.3791748526522558E-2</v>
      </c>
      <c r="DU74" s="441">
        <f t="shared" si="214"/>
        <v>-7.0801690257380256E-2</v>
      </c>
      <c r="DV74" s="2142">
        <f t="shared" si="214"/>
        <v>-2.4250591988548509E-2</v>
      </c>
      <c r="DW74" s="441">
        <f t="shared" si="215"/>
        <v>-8.8907558156377631E-2</v>
      </c>
      <c r="DX74" s="441">
        <f t="shared" si="215"/>
        <v>-0.13276501697055787</v>
      </c>
      <c r="DY74" s="441">
        <f t="shared" si="215"/>
        <v>-0.18899374923397494</v>
      </c>
      <c r="DZ74" s="441">
        <f t="shared" si="216"/>
        <v>-0.21577215424545793</v>
      </c>
      <c r="EA74" s="2142">
        <f t="shared" si="216"/>
        <v>-0.16064113297501814</v>
      </c>
      <c r="EB74" s="441">
        <f t="shared" si="217"/>
        <v>-0.13133524586038559</v>
      </c>
      <c r="EC74" s="441">
        <f t="shared" si="217"/>
        <v>-6.959608323133426E-2</v>
      </c>
      <c r="ED74" s="441">
        <f t="shared" si="217"/>
        <v>-5.5977229601517853E-2</v>
      </c>
      <c r="EE74" s="441">
        <f t="shared" si="217"/>
        <v>-3.9465776293822974E-2</v>
      </c>
      <c r="EF74" s="2142">
        <f t="shared" si="217"/>
        <v>-7.2626194977685743E-2</v>
      </c>
      <c r="EG74" s="441">
        <f t="shared" si="218"/>
        <v>-9.2615426770790377E-2</v>
      </c>
      <c r="EH74" s="441">
        <f t="shared" si="218"/>
        <v>-0.12425502722634307</v>
      </c>
      <c r="EI74" s="441">
        <f t="shared" si="218"/>
        <v>-5.4460319891473263E-2</v>
      </c>
      <c r="EJ74" s="441">
        <f t="shared" si="219"/>
        <v>8.5759827582336801E-3</v>
      </c>
      <c r="EK74" s="2142">
        <f t="shared" si="219"/>
        <v>-6.6186644233642955E-2</v>
      </c>
      <c r="EL74" s="441">
        <f t="shared" si="220"/>
        <v>-5.4166126733186548E-2</v>
      </c>
      <c r="EM74" s="441">
        <f t="shared" si="220"/>
        <v>6.7292071845326706E-2</v>
      </c>
      <c r="EN74" s="441">
        <f t="shared" si="220"/>
        <v>3.4402371953013544E-2</v>
      </c>
      <c r="EO74" s="441">
        <f t="shared" si="221"/>
        <v>-1.8141339329012962E-2</v>
      </c>
      <c r="EP74" s="2142">
        <f t="shared" si="221"/>
        <v>6.2933012542047972E-3</v>
      </c>
      <c r="EQ74" s="441">
        <f t="shared" si="222"/>
        <v>9.5499738356881192E-3</v>
      </c>
      <c r="ER74" s="441">
        <f t="shared" si="223"/>
        <v>-4.7073957788243637E-2</v>
      </c>
      <c r="ES74" s="441">
        <f t="shared" si="224"/>
        <v>-3.6651840223268728E-2</v>
      </c>
      <c r="ET74" s="441">
        <f t="shared" si="225"/>
        <v>-1.0858189429618026E-2</v>
      </c>
      <c r="EU74" s="2142">
        <f t="shared" si="226"/>
        <v>-2.1258503401360596E-2</v>
      </c>
      <c r="EV74" s="441">
        <f t="shared" si="227"/>
        <v>0</v>
      </c>
      <c r="EW74" s="441">
        <f t="shared" si="228"/>
        <v>0</v>
      </c>
      <c r="EX74" s="441">
        <f t="shared" si="229"/>
        <v>0</v>
      </c>
      <c r="EY74" s="441">
        <f t="shared" si="230"/>
        <v>0</v>
      </c>
      <c r="EZ74" s="2142">
        <f t="shared" si="230"/>
        <v>0</v>
      </c>
      <c r="FA74" s="2142"/>
      <c r="FB74" s="2142"/>
      <c r="FC74" s="2142"/>
      <c r="FD74" s="441"/>
      <c r="FF74" s="441"/>
    </row>
    <row r="75" spans="1:170" ht="11.25" customHeight="1">
      <c r="A75" s="2120"/>
      <c r="B75" s="440"/>
      <c r="C75" s="440"/>
      <c r="D75" s="440"/>
      <c r="E75" s="440"/>
      <c r="F75" s="2142"/>
      <c r="G75" s="440"/>
      <c r="H75" s="440"/>
      <c r="I75" s="440"/>
      <c r="J75" s="440"/>
      <c r="K75" s="2142"/>
      <c r="L75" s="440"/>
      <c r="M75" s="440"/>
      <c r="N75" s="440"/>
      <c r="O75" s="440"/>
      <c r="P75" s="2142"/>
      <c r="Q75" s="440"/>
      <c r="R75" s="440"/>
      <c r="S75" s="440"/>
      <c r="T75" s="440"/>
      <c r="U75" s="2142"/>
      <c r="V75" s="440"/>
      <c r="W75" s="440"/>
      <c r="X75" s="440"/>
      <c r="Y75" s="440"/>
      <c r="Z75" s="2142"/>
      <c r="AA75" s="440"/>
      <c r="AB75" s="440"/>
      <c r="AC75" s="440"/>
      <c r="AD75" s="440"/>
      <c r="AE75" s="2142"/>
      <c r="AF75" s="440"/>
      <c r="AG75" s="440"/>
      <c r="AH75" s="440"/>
      <c r="AI75" s="440"/>
      <c r="AJ75" s="2142"/>
      <c r="AK75" s="440"/>
      <c r="AL75" s="440"/>
      <c r="AM75" s="440"/>
      <c r="AN75" s="440"/>
      <c r="AO75" s="2142"/>
      <c r="AP75" s="440"/>
      <c r="AQ75" s="440"/>
      <c r="AR75" s="440"/>
      <c r="AS75" s="440"/>
      <c r="AT75" s="2142"/>
      <c r="AU75" s="440"/>
      <c r="AV75" s="440"/>
      <c r="AW75" s="440"/>
      <c r="AX75" s="440"/>
      <c r="AY75" s="2142"/>
      <c r="AZ75" s="2141"/>
      <c r="BA75" s="441"/>
      <c r="BB75" s="441"/>
      <c r="BC75" s="441"/>
      <c r="BD75" s="2142"/>
      <c r="BE75" s="2141"/>
      <c r="BF75" s="441"/>
      <c r="BG75" s="441"/>
      <c r="BH75" s="441"/>
      <c r="BI75" s="2142"/>
      <c r="BJ75" s="2141"/>
      <c r="BK75" s="441"/>
      <c r="BL75" s="441"/>
      <c r="BM75" s="443"/>
      <c r="BN75" s="2142"/>
      <c r="BO75" s="2141"/>
      <c r="BP75" s="441"/>
      <c r="BQ75" s="441"/>
      <c r="BR75" s="441"/>
      <c r="BS75" s="2142"/>
      <c r="BT75" s="2141"/>
      <c r="BU75" s="441"/>
      <c r="BV75" s="441"/>
      <c r="BW75" s="443"/>
      <c r="BX75" s="2142"/>
      <c r="BY75" s="2141"/>
      <c r="BZ75" s="441"/>
      <c r="CA75" s="441"/>
      <c r="CB75" s="443"/>
      <c r="CC75" s="2142"/>
      <c r="CD75" s="2141"/>
      <c r="CE75" s="441"/>
      <c r="CF75" s="441"/>
      <c r="CG75" s="443"/>
      <c r="CH75" s="2142"/>
      <c r="CI75" s="441"/>
      <c r="CJ75" s="441"/>
      <c r="CK75" s="441"/>
      <c r="CL75" s="443"/>
      <c r="CM75" s="2142"/>
      <c r="CN75" s="441"/>
      <c r="CO75" s="441"/>
      <c r="CP75" s="441"/>
      <c r="CQ75" s="443"/>
      <c r="CR75" s="2142"/>
      <c r="CS75" s="441"/>
      <c r="CT75" s="441"/>
      <c r="CU75" s="441"/>
      <c r="CV75" s="441"/>
      <c r="CW75" s="2142"/>
      <c r="CX75" s="441"/>
      <c r="CY75" s="441"/>
      <c r="CZ75" s="441"/>
      <c r="DA75" s="441"/>
      <c r="DB75" s="2142"/>
      <c r="DC75" s="441"/>
      <c r="DD75" s="441"/>
      <c r="DE75" s="441"/>
      <c r="DF75" s="441"/>
      <c r="DG75" s="2142"/>
      <c r="DH75" s="441"/>
      <c r="DI75" s="441"/>
      <c r="DJ75" s="441"/>
      <c r="DK75" s="441"/>
      <c r="DL75" s="2142"/>
      <c r="DM75" s="441"/>
      <c r="DN75" s="441"/>
      <c r="DO75" s="441"/>
      <c r="DP75" s="441"/>
      <c r="DQ75" s="2142"/>
      <c r="DR75" s="441"/>
      <c r="DS75" s="441"/>
      <c r="DT75" s="441"/>
      <c r="DU75" s="441"/>
      <c r="DV75" s="2142"/>
      <c r="DW75" s="441"/>
      <c r="DX75" s="441"/>
      <c r="DY75" s="441"/>
      <c r="DZ75" s="441"/>
      <c r="EA75" s="2142"/>
      <c r="EB75" s="441"/>
      <c r="EC75" s="441"/>
      <c r="ED75" s="441"/>
      <c r="EE75" s="441"/>
      <c r="EF75" s="2142"/>
      <c r="EG75" s="441"/>
      <c r="EH75" s="441"/>
      <c r="EI75" s="441"/>
      <c r="EJ75" s="441"/>
      <c r="EK75" s="2142"/>
      <c r="EL75" s="441"/>
      <c r="EM75" s="441"/>
      <c r="EN75" s="441"/>
      <c r="EO75" s="441"/>
      <c r="EP75" s="2142"/>
      <c r="EQ75" s="441"/>
      <c r="ER75" s="441"/>
      <c r="ES75" s="441"/>
      <c r="ET75" s="441"/>
      <c r="EU75" s="2142"/>
      <c r="EV75" s="441"/>
      <c r="EW75" s="441"/>
      <c r="EX75" s="441"/>
      <c r="EY75" s="441"/>
      <c r="EZ75" s="2142"/>
      <c r="FA75" s="2142"/>
      <c r="FB75" s="2142"/>
      <c r="FC75" s="2142"/>
      <c r="FD75" s="441"/>
      <c r="FF75" s="441"/>
    </row>
    <row r="76" spans="1:170" s="476" customFormat="1" ht="11.25" customHeight="1">
      <c r="A76" s="3202" t="s">
        <v>610</v>
      </c>
      <c r="B76" s="3203"/>
      <c r="C76" s="3203"/>
      <c r="D76" s="3203"/>
      <c r="E76" s="3203"/>
      <c r="F76" s="3204"/>
      <c r="G76" s="3203"/>
      <c r="H76" s="3203"/>
      <c r="I76" s="3203"/>
      <c r="J76" s="3203"/>
      <c r="K76" s="3204"/>
      <c r="L76" s="3203"/>
      <c r="M76" s="3203"/>
      <c r="N76" s="3203"/>
      <c r="O76" s="3203"/>
      <c r="P76" s="3204"/>
      <c r="Q76" s="3203"/>
      <c r="R76" s="3203"/>
      <c r="S76" s="3203"/>
      <c r="T76" s="3203"/>
      <c r="U76" s="3204"/>
      <c r="V76" s="3203"/>
      <c r="W76" s="3203"/>
      <c r="X76" s="3203"/>
      <c r="Y76" s="3203"/>
      <c r="Z76" s="3204"/>
      <c r="AA76" s="3203"/>
      <c r="AB76" s="3203"/>
      <c r="AC76" s="3203"/>
      <c r="AD76" s="3203"/>
      <c r="AE76" s="3204"/>
      <c r="AF76" s="3203"/>
      <c r="AG76" s="3203"/>
      <c r="AH76" s="3203"/>
      <c r="AI76" s="3203"/>
      <c r="AJ76" s="3204"/>
      <c r="AK76" s="3203"/>
      <c r="AL76" s="3203"/>
      <c r="AM76" s="3203"/>
      <c r="AN76" s="3203"/>
      <c r="AO76" s="3204"/>
      <c r="AP76" s="3203"/>
      <c r="AQ76" s="3203"/>
      <c r="AR76" s="3203"/>
      <c r="AS76" s="3203"/>
      <c r="AT76" s="3204"/>
      <c r="AU76" s="3203"/>
      <c r="AV76" s="3203"/>
      <c r="AW76" s="3203"/>
      <c r="AX76" s="3203"/>
      <c r="AY76" s="3204"/>
      <c r="AZ76" s="3205"/>
      <c r="BA76" s="3206"/>
      <c r="BB76" s="3206"/>
      <c r="BC76" s="3206"/>
      <c r="BD76" s="3204"/>
      <c r="BE76" s="3205"/>
      <c r="BF76" s="3206"/>
      <c r="BG76" s="3206"/>
      <c r="BH76" s="3206"/>
      <c r="BI76" s="3204"/>
      <c r="BJ76" s="3205"/>
      <c r="BK76" s="3206"/>
      <c r="BL76" s="3206"/>
      <c r="BM76" s="3207"/>
      <c r="BN76" s="3204"/>
      <c r="BO76" s="3205"/>
      <c r="BP76" s="3206"/>
      <c r="BQ76" s="3206"/>
      <c r="BR76" s="3206"/>
      <c r="BS76" s="3204"/>
      <c r="BT76" s="3205"/>
      <c r="BU76" s="3206"/>
      <c r="BV76" s="3206"/>
      <c r="BW76" s="3207"/>
      <c r="BX76" s="3204"/>
      <c r="BY76" s="3205"/>
      <c r="BZ76" s="3206"/>
      <c r="CA76" s="3206"/>
      <c r="CB76" s="3207"/>
      <c r="CC76" s="3204"/>
      <c r="CD76" s="3205"/>
      <c r="CE76" s="3206"/>
      <c r="CF76" s="3206"/>
      <c r="CG76" s="3207"/>
      <c r="CH76" s="3204"/>
      <c r="CI76" s="3205"/>
      <c r="CJ76" s="3206"/>
      <c r="CK76" s="3206"/>
      <c r="CL76" s="3207"/>
      <c r="CM76" s="3204"/>
      <c r="CN76" s="3205"/>
      <c r="CO76" s="3206"/>
      <c r="CP76" s="3206"/>
      <c r="CQ76" s="3207"/>
      <c r="CR76" s="3204"/>
      <c r="CS76" s="3205">
        <f t="shared" ref="CS76:DL76" si="233">SUMPRODUCT(CS49:CS55,CS68:CS74)</f>
        <v>-3.3541242698166891E-2</v>
      </c>
      <c r="CT76" s="3206">
        <f t="shared" si="233"/>
        <v>3.1406630248948041E-2</v>
      </c>
      <c r="CU76" s="3206">
        <f t="shared" si="233"/>
        <v>9.0873795006463018E-2</v>
      </c>
      <c r="CV76" s="3207">
        <f t="shared" si="233"/>
        <v>6.9661670779291959E-2</v>
      </c>
      <c r="CW76" s="3204">
        <f t="shared" si="233"/>
        <v>3.7538980887935204E-2</v>
      </c>
      <c r="CX76" s="3205">
        <f t="shared" si="233"/>
        <v>2.2662551825284597E-2</v>
      </c>
      <c r="CY76" s="3206">
        <f t="shared" si="233"/>
        <v>3.6663971535300585E-3</v>
      </c>
      <c r="CZ76" s="3206">
        <f t="shared" si="233"/>
        <v>-1.9982795728582668E-2</v>
      </c>
      <c r="DA76" s="3207">
        <f t="shared" si="233"/>
        <v>-1.1902755472507078E-2</v>
      </c>
      <c r="DB76" s="3204">
        <f t="shared" si="233"/>
        <v>-1.4317718222157888E-3</v>
      </c>
      <c r="DC76" s="3205">
        <f t="shared" si="233"/>
        <v>4.563124090104758E-2</v>
      </c>
      <c r="DD76" s="3206">
        <f t="shared" si="233"/>
        <v>1.7425329373485742E-2</v>
      </c>
      <c r="DE76" s="3206">
        <f t="shared" si="233"/>
        <v>-1.7132355118257593E-2</v>
      </c>
      <c r="DF76" s="3207">
        <f t="shared" si="233"/>
        <v>-2.0618373635931404E-2</v>
      </c>
      <c r="DG76" s="3204">
        <f t="shared" si="233"/>
        <v>5.4252447276348387E-3</v>
      </c>
      <c r="DH76" s="3205">
        <f t="shared" si="233"/>
        <v>-3.4989976233807528E-2</v>
      </c>
      <c r="DI76" s="3206">
        <f t="shared" si="233"/>
        <v>-4.5753347588031026E-2</v>
      </c>
      <c r="DJ76" s="3206">
        <f t="shared" si="233"/>
        <v>-2.6721223883078801E-3</v>
      </c>
      <c r="DK76" s="3207">
        <f t="shared" si="233"/>
        <v>9.7393719962455255E-3</v>
      </c>
      <c r="DL76" s="3204">
        <f t="shared" si="233"/>
        <v>-1.9559142592780979E-2</v>
      </c>
      <c r="DM76" s="3205">
        <f t="shared" ref="DM76:DV76" si="234">SUMPRODUCT(DM49:DM55,DM68:DM74)</f>
        <v>-9.768034625093373E-3</v>
      </c>
      <c r="DN76" s="3206">
        <f>SUMPRODUCT(DN49:DN55,DN68:DN74)</f>
        <v>-1.4563702226710969E-2</v>
      </c>
      <c r="DO76" s="3206">
        <f t="shared" si="234"/>
        <v>-5.5272846250379367E-4</v>
      </c>
      <c r="DP76" s="3207">
        <f t="shared" si="234"/>
        <v>2.9124357300650182E-2</v>
      </c>
      <c r="DQ76" s="3204">
        <f t="shared" si="234"/>
        <v>3.78642998351446E-4</v>
      </c>
      <c r="DR76" s="3205">
        <f>SUMPRODUCT(DR49:DR55,DR68:DR74)</f>
        <v>4.4540682419026575E-2</v>
      </c>
      <c r="DS76" s="3206">
        <f t="shared" si="234"/>
        <v>3.5926162488122595E-2</v>
      </c>
      <c r="DT76" s="3206">
        <f>SUMPRODUCT(DT49:DT55,DT68:DT74)</f>
        <v>4.3587588933708486E-3</v>
      </c>
      <c r="DU76" s="3207">
        <f t="shared" si="234"/>
        <v>-2.9766970297389426E-2</v>
      </c>
      <c r="DV76" s="3204">
        <f t="shared" si="234"/>
        <v>1.3608293759370102E-2</v>
      </c>
      <c r="DW76" s="3205">
        <f>SUMPRODUCT(DW49:DW55,DW68:DW74)</f>
        <v>-6.2688688799511824E-2</v>
      </c>
      <c r="DX76" s="3206">
        <f>SUMPRODUCT(DX49:DX55,DX68:DX74)</f>
        <v>-8.8818094533860692E-2</v>
      </c>
      <c r="DY76" s="3206">
        <f>SUMPRODUCT(DY49:DY55,DY68:DY74)</f>
        <v>-9.0552864706465203E-2</v>
      </c>
      <c r="DZ76" s="3207">
        <f t="shared" ref="DZ76:EF76" si="235">SUMPRODUCT(DZ49:DZ55,DZ68:DZ74)</f>
        <v>-0.12285736622767704</v>
      </c>
      <c r="EA76" s="3204">
        <f t="shared" si="235"/>
        <v>-9.6804269658175734E-2</v>
      </c>
      <c r="EB76" s="3205">
        <f t="shared" si="235"/>
        <v>-7.5123358383012817E-2</v>
      </c>
      <c r="EC76" s="3206">
        <f>SUMPRODUCT(EC49:EC55,EC68:EC74)</f>
        <v>-7.5237296843792476E-2</v>
      </c>
      <c r="ED76" s="3206">
        <f>SUMPRODUCT(ED49:ED55,ED68:ED74)</f>
        <v>-3.3902207471243853E-2</v>
      </c>
      <c r="EE76" s="3207">
        <f t="shared" ref="EE76" si="236">SUMPRODUCT(EE49:EE55,EE68:EE74)</f>
        <v>-5.0220011928734602E-3</v>
      </c>
      <c r="EF76" s="3204">
        <f t="shared" si="235"/>
        <v>-4.8614322144170635E-2</v>
      </c>
      <c r="EG76" s="3205">
        <f t="shared" ref="EG76:EP76" si="237">SUMPRODUCT(EG49:EG55,EG68:EG74)</f>
        <v>-3.4563274538564309E-2</v>
      </c>
      <c r="EH76" s="3206">
        <f>SUMPRODUCT(EH49:EH55,EH68:EH74)</f>
        <v>-3.6688733982911143E-2</v>
      </c>
      <c r="EI76" s="3206">
        <f>SUMPRODUCT(EI49:EI55,EI68:EI74)</f>
        <v>-2.1951024657359684E-2</v>
      </c>
      <c r="EJ76" s="3207">
        <f t="shared" ref="EJ76" si="238">SUMPRODUCT(EJ49:EJ55,EJ68:EJ74)</f>
        <v>1.259676949300432E-3</v>
      </c>
      <c r="EK76" s="3204">
        <f t="shared" si="237"/>
        <v>-2.3201008196580795E-2</v>
      </c>
      <c r="EL76" s="3205">
        <f t="shared" si="237"/>
        <v>-6.0796261748383401E-2</v>
      </c>
      <c r="EM76" s="3206">
        <f t="shared" si="237"/>
        <v>-9.6626394263029033E-3</v>
      </c>
      <c r="EN76" s="3206">
        <f t="shared" si="237"/>
        <v>-8.2920646733701669E-3</v>
      </c>
      <c r="EO76" s="3207">
        <f t="shared" si="237"/>
        <v>-2.3939607253354072E-2</v>
      </c>
      <c r="EP76" s="3204">
        <f t="shared" si="237"/>
        <v>-2.6128204658437421E-2</v>
      </c>
      <c r="EQ76" s="3205">
        <f t="shared" ref="EQ76:EU76" si="239">SUMPRODUCT(EQ49:EQ55,EQ68:EQ74)</f>
        <v>2.3195329763467075E-2</v>
      </c>
      <c r="ER76" s="3206">
        <f t="shared" si="239"/>
        <v>-4.9027295985745274E-3</v>
      </c>
      <c r="ES76" s="3206">
        <f t="shared" si="239"/>
        <v>-1.4455398085732303E-2</v>
      </c>
      <c r="ET76" s="3207">
        <f t="shared" si="239"/>
        <v>-2.4421343137977125E-3</v>
      </c>
      <c r="EU76" s="3204">
        <f t="shared" si="239"/>
        <v>2.0923048323461132E-4</v>
      </c>
      <c r="EV76" s="3205">
        <f t="shared" ref="EV76:EZ76" si="240">SUMPRODUCT(EV49:EV55,EV68:EV74)</f>
        <v>0</v>
      </c>
      <c r="EW76" s="3206">
        <f t="shared" si="240"/>
        <v>0</v>
      </c>
      <c r="EX76" s="3206">
        <f t="shared" si="240"/>
        <v>0</v>
      </c>
      <c r="EY76" s="3207">
        <f t="shared" si="240"/>
        <v>0</v>
      </c>
      <c r="EZ76" s="3204">
        <f t="shared" si="240"/>
        <v>0</v>
      </c>
      <c r="FA76" s="3204"/>
      <c r="FB76" s="3204"/>
      <c r="FC76" s="3204"/>
      <c r="FD76"/>
      <c r="FF76"/>
    </row>
    <row r="77" spans="1:170" ht="11.25" customHeight="1">
      <c r="A77" s="2120" t="s">
        <v>352</v>
      </c>
      <c r="B77" s="421"/>
      <c r="C77" s="421"/>
      <c r="D77" s="421"/>
      <c r="E77" s="421"/>
      <c r="F77" s="2143"/>
      <c r="G77" s="421"/>
      <c r="H77" s="421"/>
      <c r="I77" s="421"/>
      <c r="J77" s="421"/>
      <c r="K77" s="2143"/>
      <c r="L77" s="421"/>
      <c r="M77" s="421"/>
      <c r="N77" s="421"/>
      <c r="O77" s="421"/>
      <c r="P77" s="2143"/>
      <c r="Q77" s="421"/>
      <c r="R77" s="421"/>
      <c r="S77" s="421"/>
      <c r="T77" s="421"/>
      <c r="U77" s="2143"/>
      <c r="V77" s="421"/>
      <c r="W77" s="421"/>
      <c r="X77" s="421"/>
      <c r="Y77" s="421"/>
      <c r="Z77" s="2143"/>
      <c r="AA77" s="421"/>
      <c r="AB77" s="421"/>
      <c r="AC77" s="421"/>
      <c r="AD77" s="421"/>
      <c r="AE77" s="2143"/>
      <c r="AF77" s="421"/>
      <c r="AG77" s="421"/>
      <c r="AH77" s="421"/>
      <c r="AI77" s="421"/>
      <c r="AJ77" s="2143"/>
      <c r="AK77" s="421"/>
      <c r="AL77" s="421"/>
      <c r="AM77" s="421"/>
      <c r="AN77" s="421"/>
      <c r="AO77" s="2143"/>
      <c r="AP77" s="421"/>
      <c r="AQ77" s="421"/>
      <c r="AR77" s="421"/>
      <c r="AS77" s="421"/>
      <c r="AT77" s="2143"/>
      <c r="AU77" s="421"/>
      <c r="AV77" s="421"/>
      <c r="AW77" s="421"/>
      <c r="AX77" s="421"/>
      <c r="AY77" s="2143"/>
      <c r="AZ77" s="2144"/>
      <c r="BA77" s="450"/>
      <c r="BB77" s="450"/>
      <c r="BC77" s="450"/>
      <c r="BD77" s="2143"/>
      <c r="BE77" s="2144"/>
      <c r="BF77" s="450"/>
      <c r="BG77" s="450"/>
      <c r="BH77" s="450"/>
      <c r="BI77" s="2143"/>
      <c r="BJ77" s="2144"/>
      <c r="BK77" s="450"/>
      <c r="BL77" s="450"/>
      <c r="BM77" s="450"/>
      <c r="BN77" s="2143"/>
      <c r="BO77" s="2144"/>
      <c r="BP77" s="452"/>
      <c r="BQ77" s="452"/>
      <c r="BR77" s="452"/>
      <c r="BS77" s="2143"/>
      <c r="BT77" s="2144"/>
      <c r="BU77" s="450"/>
      <c r="BV77" s="450"/>
      <c r="BW77" s="1175"/>
      <c r="BX77" s="2143"/>
      <c r="BY77" s="2144"/>
      <c r="BZ77" s="450"/>
      <c r="CA77" s="450"/>
      <c r="CB77" s="1175"/>
      <c r="CC77" s="2143"/>
      <c r="CD77" s="2144"/>
      <c r="CE77" s="450"/>
      <c r="CF77" s="450"/>
      <c r="CG77" s="1175"/>
      <c r="CH77" s="2143"/>
      <c r="CI77" s="450"/>
      <c r="CJ77" s="450"/>
      <c r="CK77" s="450"/>
      <c r="CL77" s="1175"/>
      <c r="CM77" s="2143"/>
      <c r="CN77" s="450"/>
      <c r="CO77" s="450"/>
      <c r="CP77" s="450"/>
      <c r="CQ77" s="1175"/>
      <c r="CR77" s="2143"/>
      <c r="CS77" s="450"/>
      <c r="CT77" s="450"/>
      <c r="CU77" s="450"/>
      <c r="CV77" s="450"/>
      <c r="CW77" s="2143">
        <f t="shared" ref="CW77:DB77" si="241">+CW78/CW76</f>
        <v>0.79264418925858404</v>
      </c>
      <c r="CX77" s="450">
        <f t="shared" si="241"/>
        <v>0.79494321496326437</v>
      </c>
      <c r="CY77" s="450">
        <f t="shared" si="241"/>
        <v>1.7715658173695319</v>
      </c>
      <c r="CZ77" s="2627">
        <f t="shared" si="241"/>
        <v>0.6327147216748833</v>
      </c>
      <c r="DA77" s="2627">
        <f t="shared" si="241"/>
        <v>1.042446987713247</v>
      </c>
      <c r="DB77" s="2143">
        <f t="shared" si="241"/>
        <v>1.1197014504615159</v>
      </c>
      <c r="DC77" s="2627">
        <f t="shared" ref="DC77:DM77" si="242">+DC78/DC76</f>
        <v>0.9390029195056101</v>
      </c>
      <c r="DD77" s="2627">
        <f t="shared" si="242"/>
        <v>1.0446655175335826</v>
      </c>
      <c r="DE77" s="2627">
        <f t="shared" si="242"/>
        <v>0.99848854990942515</v>
      </c>
      <c r="DF77" s="2627">
        <f t="shared" si="242"/>
        <v>1.146359538664522</v>
      </c>
      <c r="DG77" s="1914">
        <f>AVERAGE(DC77:DF77)</f>
        <v>1.032129131403285</v>
      </c>
      <c r="DH77" s="2627">
        <f t="shared" si="242"/>
        <v>0.81705397738651953</v>
      </c>
      <c r="DI77" s="2627">
        <f t="shared" si="242"/>
        <v>0.70232820380865824</v>
      </c>
      <c r="DJ77" s="2627">
        <f t="shared" si="242"/>
        <v>2.5142990260416052</v>
      </c>
      <c r="DK77" s="2627">
        <f t="shared" si="242"/>
        <v>0.62127485721685616</v>
      </c>
      <c r="DL77" s="1914">
        <f>AVERAGE(DH77:DK77)</f>
        <v>1.1637390161134098</v>
      </c>
      <c r="DM77" s="2627">
        <f t="shared" si="242"/>
        <v>0.85557735421737424</v>
      </c>
      <c r="DN77" s="2627">
        <f>+DN78/DN76</f>
        <v>1.0226532230218566</v>
      </c>
      <c r="DO77" s="2627">
        <f>+DO78/DO76</f>
        <v>0.21387949307185103</v>
      </c>
      <c r="DP77" s="2627">
        <f>+DP78/DP76</f>
        <v>0.54919936163008776</v>
      </c>
      <c r="DQ77" s="1914">
        <f>AVERAGE(DM77:DP77)</f>
        <v>0.66032735798529241</v>
      </c>
      <c r="DR77" s="2627">
        <f>+DR78/DR76</f>
        <v>0.8075557550941469</v>
      </c>
      <c r="DS77" s="2627">
        <f>+DS78/DS76</f>
        <v>0.8953408594378407</v>
      </c>
      <c r="DT77" s="2627">
        <f>+DT78/DT76</f>
        <v>0.15691073278208514</v>
      </c>
      <c r="DU77" s="2627">
        <f>+DU78/DU76</f>
        <v>0.68243232511296081</v>
      </c>
      <c r="DV77" s="1914">
        <f t="shared" ref="DV77" si="243">+DV78/DV76</f>
        <v>0.73539310225980092</v>
      </c>
      <c r="DW77" s="2627">
        <f>+DW78/DW76</f>
        <v>0.76809909927968234</v>
      </c>
      <c r="DX77" s="2627">
        <f t="shared" ref="DX77:EG77" si="244">+DX78/DX76</f>
        <v>0.68279954207427651</v>
      </c>
      <c r="DY77" s="2627">
        <f t="shared" si="244"/>
        <v>0.97255101220680906</v>
      </c>
      <c r="DZ77" s="2627">
        <f t="shared" si="244"/>
        <v>0.87886693895640322</v>
      </c>
      <c r="EA77" s="1914">
        <f t="shared" si="244"/>
        <v>0.79393845657958162</v>
      </c>
      <c r="EB77" s="2627">
        <f t="shared" si="244"/>
        <v>0.88707471811743199</v>
      </c>
      <c r="EC77" s="2627">
        <f t="shared" si="244"/>
        <v>0.56492690583377037</v>
      </c>
      <c r="ED77" s="2627">
        <f t="shared" si="244"/>
        <v>0.59451203131876085</v>
      </c>
      <c r="EE77" s="2627">
        <f t="shared" si="244"/>
        <v>1.2738035892105659</v>
      </c>
      <c r="EF77" s="1914">
        <f t="shared" si="244"/>
        <v>0.67919495402866714</v>
      </c>
      <c r="EG77" s="2627">
        <f t="shared" si="244"/>
        <v>0.92521436858530004</v>
      </c>
      <c r="EH77" s="2627">
        <f t="shared" ref="EH77:EJ77" si="245">+EH78/EH76</f>
        <v>1.1248101294294113</v>
      </c>
      <c r="EI77" s="2627">
        <f t="shared" si="245"/>
        <v>0.87536735327498794</v>
      </c>
      <c r="EJ77" s="2627">
        <f t="shared" si="245"/>
        <v>-2.6103325316357875</v>
      </c>
      <c r="EK77" s="1914">
        <f>+EK78/EK76</f>
        <v>1.014128565898859</v>
      </c>
      <c r="EL77" s="2627">
        <f t="shared" ref="EL77:EM77" si="246">+EL78/EL76</f>
        <v>0.41134444902384554</v>
      </c>
      <c r="EM77" s="2627">
        <f t="shared" si="246"/>
        <v>-0.72725389703569188</v>
      </c>
      <c r="EN77" s="453">
        <v>1</v>
      </c>
      <c r="EO77" s="453">
        <f>+EN77</f>
        <v>1</v>
      </c>
      <c r="EP77" s="1914">
        <f>AVERAGE(EL77:EO77)</f>
        <v>0.42102263799703843</v>
      </c>
      <c r="EQ77" s="453">
        <f>EO77</f>
        <v>1</v>
      </c>
      <c r="ER77" s="453">
        <f>EQ77</f>
        <v>1</v>
      </c>
      <c r="ES77" s="453">
        <f>+ER77</f>
        <v>1</v>
      </c>
      <c r="ET77" s="453">
        <f>+ES77</f>
        <v>1</v>
      </c>
      <c r="EU77" s="1914">
        <f>AVERAGE(EQ77:ET77)</f>
        <v>1</v>
      </c>
      <c r="EV77" s="453">
        <f>ET77</f>
        <v>1</v>
      </c>
      <c r="EW77" s="453">
        <f>EV77</f>
        <v>1</v>
      </c>
      <c r="EX77" s="453">
        <f>+EW77</f>
        <v>1</v>
      </c>
      <c r="EY77" s="453">
        <f>+EX77</f>
        <v>1</v>
      </c>
      <c r="EZ77" s="1914">
        <f>AVERAGE(EV77:EY77)</f>
        <v>1</v>
      </c>
      <c r="FA77" s="1914"/>
      <c r="FB77" s="1914"/>
      <c r="FC77" s="1914"/>
      <c r="FD77" s="453"/>
      <c r="FF77" s="453"/>
    </row>
    <row r="78" spans="1:170" ht="11.25" customHeight="1">
      <c r="A78" s="2145" t="s">
        <v>367</v>
      </c>
      <c r="B78" s="1205"/>
      <c r="C78" s="1205"/>
      <c r="D78" s="1205"/>
      <c r="E78" s="1205"/>
      <c r="F78" s="2146"/>
      <c r="G78" s="1205"/>
      <c r="H78" s="1205"/>
      <c r="I78" s="1205"/>
      <c r="J78" s="1205"/>
      <c r="K78" s="2146"/>
      <c r="L78" s="1205"/>
      <c r="M78" s="1205"/>
      <c r="N78" s="1205"/>
      <c r="O78" s="1205"/>
      <c r="P78" s="2146"/>
      <c r="Q78" s="1205"/>
      <c r="R78" s="1205"/>
      <c r="S78" s="1205"/>
      <c r="T78" s="1205"/>
      <c r="U78" s="2146"/>
      <c r="V78" s="1205"/>
      <c r="W78" s="1205"/>
      <c r="X78" s="1205"/>
      <c r="Y78" s="1205"/>
      <c r="Z78" s="2146"/>
      <c r="AA78" s="1205"/>
      <c r="AB78" s="1205"/>
      <c r="AC78" s="1205"/>
      <c r="AD78" s="1205"/>
      <c r="AE78" s="2146"/>
      <c r="AF78" s="1205"/>
      <c r="AG78" s="1205"/>
      <c r="AH78" s="1205"/>
      <c r="AI78" s="1205"/>
      <c r="AJ78" s="2146"/>
      <c r="AK78" s="1205"/>
      <c r="AL78" s="1205"/>
      <c r="AM78" s="1205"/>
      <c r="AN78" s="1205"/>
      <c r="AO78" s="2146"/>
      <c r="AP78" s="1205"/>
      <c r="AQ78" s="1205"/>
      <c r="AR78" s="1205"/>
      <c r="AS78" s="1205"/>
      <c r="AT78" s="2146"/>
      <c r="AU78" s="1205"/>
      <c r="AV78" s="1205"/>
      <c r="AW78" s="1205"/>
      <c r="AX78" s="1205"/>
      <c r="AY78" s="2146"/>
      <c r="AZ78" s="1205"/>
      <c r="BA78" s="1205"/>
      <c r="BB78" s="1205"/>
      <c r="BC78" s="1205"/>
      <c r="BD78" s="2146"/>
      <c r="BE78" s="1205"/>
      <c r="BF78" s="1205"/>
      <c r="BG78" s="1205"/>
      <c r="BH78" s="1205"/>
      <c r="BI78" s="2146"/>
      <c r="BJ78" s="1205"/>
      <c r="BK78" s="1205"/>
      <c r="BL78" s="1205"/>
      <c r="BM78" s="1205"/>
      <c r="BN78" s="2146"/>
      <c r="BO78" s="2147"/>
      <c r="BP78" s="500"/>
      <c r="BQ78" s="500"/>
      <c r="BR78" s="1176"/>
      <c r="BS78" s="2146"/>
      <c r="BT78" s="2147"/>
      <c r="BU78" s="500"/>
      <c r="BV78" s="500"/>
      <c r="BW78" s="1176"/>
      <c r="BX78" s="2146"/>
      <c r="BY78" s="2147"/>
      <c r="BZ78" s="500"/>
      <c r="CA78" s="500"/>
      <c r="CB78" s="1176"/>
      <c r="CC78" s="2146"/>
      <c r="CD78" s="2147"/>
      <c r="CE78" s="500"/>
      <c r="CF78" s="500"/>
      <c r="CG78" s="1176"/>
      <c r="CH78" s="2146"/>
      <c r="CI78" s="500"/>
      <c r="CJ78" s="500"/>
      <c r="CK78" s="500"/>
      <c r="CL78" s="1176"/>
      <c r="CM78" s="2146"/>
      <c r="CN78" s="500"/>
      <c r="CO78" s="500"/>
      <c r="CP78" s="500"/>
      <c r="CQ78" s="1176"/>
      <c r="CR78" s="2146"/>
      <c r="CS78" s="500"/>
      <c r="CT78" s="500"/>
      <c r="CU78" s="500"/>
      <c r="CV78" s="500"/>
      <c r="CW78" s="2146">
        <f>(1+'Revenue Drivers'!CW273)/(1+'Revenue Drivers'!CW278)-1</f>
        <v>2.9755055071510883E-2</v>
      </c>
      <c r="CX78" s="500">
        <f>(1+'Revenue Drivers'!CX273)/(1+'Revenue Drivers'!CX278)-1</f>
        <v>1.8015441807263333E-2</v>
      </c>
      <c r="CY78" s="500">
        <f>(1+'Revenue Drivers'!CY273)/(1+'Revenue Drivers'!CY278)-1</f>
        <v>6.4952638700948029E-3</v>
      </c>
      <c r="CZ78" s="500">
        <f>(1+'Revenue Drivers'!CZ273)/(1+'Revenue Drivers'!CZ278)-1</f>
        <v>-1.2643409037696229E-2</v>
      </c>
      <c r="DA78" s="500">
        <f>(1+'Revenue Drivers'!DA273)/(1+'Revenue Drivers'!DA278)-1</f>
        <v>-1.2407991587802369E-2</v>
      </c>
      <c r="DB78" s="2146">
        <f>(1+'Revenue Drivers'!DB273)/(1+'Revenue Drivers'!DB278)-1</f>
        <v>-1.6031569860649464E-3</v>
      </c>
      <c r="DC78" s="500">
        <f>(1+'Revenue Drivers'!DC273)/(1+'Revenue Drivers'!DC278)-1</f>
        <v>4.2847868426747482E-2</v>
      </c>
      <c r="DD78" s="500">
        <f>(1+'Revenue Drivers'!DD273)/(1+'Revenue Drivers'!DD278)-1</f>
        <v>1.820364072814562E-2</v>
      </c>
      <c r="DE78" s="500">
        <f>(1+'Revenue Drivers'!DE273)/(1+'Revenue Drivers'!DE278)-1</f>
        <v>-1.7106460418562341E-2</v>
      </c>
      <c r="DF78" s="500">
        <f>(1+'Revenue Drivers'!DF273)/(1+'Revenue Drivers'!DF278)-1</f>
        <v>-2.3636069289299066E-2</v>
      </c>
      <c r="DG78" s="2146">
        <f>(1+'Revenue Drivers'!DG273)/(1+'Revenue Drivers'!DG278)-1</f>
        <v>2.3013338343038647E-3</v>
      </c>
      <c r="DH78" s="500">
        <f>(1+'Revenue Drivers'!DH265)/(1+'Revenue Drivers'!DH278)-1</f>
        <v>-2.8588699250492233E-2</v>
      </c>
      <c r="DI78" s="500">
        <f>(1+'Revenue Drivers'!DI265)/(1+'Revenue Drivers'!DI278)-1</f>
        <v>-3.2133866429735036E-2</v>
      </c>
      <c r="DJ78" s="500">
        <f>(1+'Revenue Drivers'!DJ265)/(1+'Revenue Drivers'!DJ278)-1</f>
        <v>-6.7185147183864702E-3</v>
      </c>
      <c r="DK78" s="500">
        <f>(1+'Revenue Drivers'!DK265)/(1+'Revenue Drivers'!DK278)-1</f>
        <v>6.0508269463492859E-3</v>
      </c>
      <c r="DL78" s="2146">
        <f>(1+'Revenue Drivers'!DL265)/(1+'Revenue Drivers'!DL278)-1</f>
        <v>-1.4573531619679669E-2</v>
      </c>
      <c r="DM78" s="500">
        <f>(1+'Revenue Drivers'!DM265)/(1+'Revenue Drivers'!DM278)-1</f>
        <v>-8.3573092204410893E-3</v>
      </c>
      <c r="DN78" s="500">
        <f>(1+'Revenue Drivers'!DN265)/(1+'Revenue Drivers'!DN278)-1</f>
        <v>-1.4893617021276562E-2</v>
      </c>
      <c r="DO78" s="500">
        <f>(1+'Revenue Drivers'!DO265)/(1+'Revenue Drivers'!DO278)-1</f>
        <v>-1.1821728336669501E-4</v>
      </c>
      <c r="DP78" s="500">
        <f>(1+'Revenue Drivers'!DP265)/(1+'Revenue Drivers'!DP278)-1</f>
        <v>1.5995078437403665E-2</v>
      </c>
      <c r="DQ78" s="2146">
        <f>(1+'Revenue Drivers'!DQ265)/(1+'Revenue Drivers'!DQ278)-1</f>
        <v>-3.3782746230148764E-4</v>
      </c>
      <c r="DR78" s="500">
        <f>(1+'Revenue Drivers'!DR265)/(1+'Revenue Drivers'!DR278)-1</f>
        <v>3.5969084423305597E-2</v>
      </c>
      <c r="DS78" s="500">
        <f>(1+'Revenue Drivers'!DS265)/(1+'Revenue Drivers'!DS278)-1</f>
        <v>3.2166161198419196E-2</v>
      </c>
      <c r="DT78" s="500">
        <f>(1+'Revenue Drivers'!DT265)/(1+'Revenue Drivers'!DT278)-1</f>
        <v>6.8393605197925034E-4</v>
      </c>
      <c r="DU78" s="500">
        <f>(1+'Revenue Drivers'!DU265)/(1+'Revenue Drivers'!DU278)-1</f>
        <v>-2.031394275161591E-2</v>
      </c>
      <c r="DV78" s="2146">
        <f>(1+'Revenue Drivers'!DV265)/(1+'Revenue Drivers'!DV278)-1</f>
        <v>1.0007445364165868E-2</v>
      </c>
      <c r="DW78" s="500">
        <f>(1+'Revenue Drivers'!DW265)/(1+'Revenue Drivers'!DW278)-1</f>
        <v>-4.815112540192934E-2</v>
      </c>
      <c r="DX78" s="500">
        <f>(1+'Revenue Drivers'!DX265)/(1+'Revenue Drivers'!DX278)-1</f>
        <v>-6.0644954275629881E-2</v>
      </c>
      <c r="DY78" s="500">
        <f>(1+'Revenue Drivers'!DY265)/(1+'Revenue Drivers'!DY278)-1</f>
        <v>-8.8067280228498968E-2</v>
      </c>
      <c r="DZ78" s="500">
        <f>(1+'Revenue Drivers'!DZ265)/(1+'Revenue Drivers'!DZ278)-1</f>
        <v>-0.10797527738476431</v>
      </c>
      <c r="EA78" s="2146">
        <f>(1+'Revenue Drivers'!EA265)/(1+'Revenue Drivers'!EA278)-1</f>
        <v>-7.685663244272567E-2</v>
      </c>
      <c r="EB78" s="500">
        <f>(1+'Revenue Drivers'!EB265)/(1+'Revenue Drivers'!EB278)-1</f>
        <v>-6.6640031961645918E-2</v>
      </c>
      <c r="EC78" s="500">
        <f>(1+'Revenue Drivers'!EC265)/(1+'Revenue Drivers'!EC278)-1</f>
        <v>-4.2503573309260578E-2</v>
      </c>
      <c r="ED78" s="500">
        <f>(1+'Revenue Drivers'!ED265)/(1+'Revenue Drivers'!ED278)-1</f>
        <v>-2.0155270229919253E-2</v>
      </c>
      <c r="EE78" s="500">
        <f>(1+'Revenue Drivers'!EE265)/(1+'Revenue Drivers'!EE278)-1</f>
        <v>-6.3970431445019571E-3</v>
      </c>
      <c r="EF78" s="2146">
        <f>(1+'Revenue Drivers'!EF265)/(1+'Revenue Drivers'!EF278)-1</f>
        <v>-3.301860229384479E-2</v>
      </c>
      <c r="EG78" s="500">
        <f>(1+'Revenue Drivers'!EG265)/(1+'Revenue Drivers'!EG278)-1</f>
        <v>-3.1978438228438155E-2</v>
      </c>
      <c r="EH78" s="500">
        <f>(1+'Revenue Drivers'!EH265)/(1+'Revenue Drivers'!EH278)-1</f>
        <v>-4.1267859619919522E-2</v>
      </c>
      <c r="EI78" s="500">
        <f>(1+'Revenue Drivers'!EI265)/(1+'Revenue Drivers'!EI278)-1</f>
        <v>-1.9215210355986945E-2</v>
      </c>
      <c r="EJ78" s="500">
        <f>(1+'Revenue Drivers'!EJ265)/(1+'Revenue Drivers'!EJ278)-1</f>
        <v>-3.2881757201106421E-3</v>
      </c>
      <c r="EK78" s="2146">
        <f>(1+'Revenue Drivers'!EK265)/(1+'Revenue Drivers'!EK278)-1</f>
        <v>-2.3528805169806155E-2</v>
      </c>
      <c r="EL78" s="500">
        <f>(1+'Revenue Drivers'!EL265)/(1+'Revenue Drivers'!EL278)-1</f>
        <v>-2.5008204791598265E-2</v>
      </c>
      <c r="EM78" s="500">
        <f>(1+'Revenue Drivers'!EM265)/(1+'Revenue Drivers'!EM278)-1</f>
        <v>7.0271921784295088E-3</v>
      </c>
      <c r="EN78" s="500">
        <f>(1+'Revenue Drivers'!EN265)/(1+'Revenue Drivers'!EN278)-1</f>
        <v>7.2353173930248538E-3</v>
      </c>
      <c r="EO78" s="500">
        <f>(1+'Revenue Drivers'!EO265)/(1+'Revenue Drivers'!EO278)-1</f>
        <v>-2.3939607253354089E-2</v>
      </c>
      <c r="EP78" s="2146">
        <f>(1+'Revenue Drivers'!EP265)/(1+'Revenue Drivers'!EP278)-1</f>
        <v>-8.6008319633166241E-3</v>
      </c>
      <c r="EQ78" s="500">
        <f>(1+'Revenue Drivers'!EQ265)/(1+'Revenue Drivers'!EQ278)-1</f>
        <v>2.3195329763467054E-2</v>
      </c>
      <c r="ER78" s="500">
        <f>(1+'Revenue Drivers'!ER265)/(1+'Revenue Drivers'!ER278)-1</f>
        <v>-4.9027295985745178E-3</v>
      </c>
      <c r="ES78" s="500">
        <f>(1+'Revenue Drivers'!ES265)/(1+'Revenue Drivers'!ES278)-1</f>
        <v>-1.4455398085732263E-2</v>
      </c>
      <c r="ET78" s="500">
        <f>(1+'Revenue Drivers'!ET265)/(1+'Revenue Drivers'!ET278)-1</f>
        <v>-2.4421343137976947E-3</v>
      </c>
      <c r="EU78" s="2146">
        <f>(1+'Revenue Drivers'!EZ265)/(1+'Revenue Drivers'!EZ278)-1</f>
        <v>0</v>
      </c>
      <c r="EV78" s="500"/>
      <c r="EW78" s="500"/>
      <c r="EX78" s="500"/>
      <c r="EY78" s="500"/>
      <c r="EZ78" s="2146">
        <f>(1+'Revenue Drivers'!FE265)/(1+'Revenue Drivers'!FE278)-1</f>
        <v>0</v>
      </c>
      <c r="FA78" s="2146">
        <f>(1+'Revenue Drivers'!EW265)/(1+'Revenue Drivers'!EW278)-1</f>
        <v>0</v>
      </c>
      <c r="FB78" s="2146">
        <f>(1+'Revenue Drivers'!EX265)/(1+'Revenue Drivers'!EX278)-1</f>
        <v>0</v>
      </c>
      <c r="FC78" s="2146">
        <f>(1+'Revenue Drivers'!EY265)/(1+'Revenue Drivers'!EY278)-1</f>
        <v>0</v>
      </c>
      <c r="FD78" s="500"/>
      <c r="FF78" s="500"/>
    </row>
    <row r="79" spans="1:170" ht="11.25" customHeight="1">
      <c r="A79" s="2148" t="s">
        <v>587</v>
      </c>
      <c r="B79" s="2156"/>
      <c r="C79" s="2156"/>
      <c r="D79" s="2156"/>
      <c r="E79" s="2156"/>
      <c r="F79" s="2162"/>
      <c r="G79" s="2156"/>
      <c r="H79" s="2156"/>
      <c r="I79" s="2156"/>
      <c r="J79" s="2156"/>
      <c r="K79" s="2162"/>
      <c r="L79" s="2156"/>
      <c r="M79" s="2156"/>
      <c r="N79" s="2156"/>
      <c r="O79" s="2156"/>
      <c r="P79" s="2162"/>
      <c r="Q79" s="2156"/>
      <c r="R79" s="2156"/>
      <c r="S79" s="2156"/>
      <c r="T79" s="2156"/>
      <c r="U79" s="2162"/>
      <c r="V79" s="2156"/>
      <c r="W79" s="2156"/>
      <c r="X79" s="2156"/>
      <c r="Y79" s="2156"/>
      <c r="Z79" s="2162"/>
      <c r="AA79" s="2156"/>
      <c r="AB79" s="2156"/>
      <c r="AC79" s="2156"/>
      <c r="AD79" s="2156"/>
      <c r="AE79" s="2162"/>
      <c r="AF79" s="2156"/>
      <c r="AG79" s="2156"/>
      <c r="AH79" s="2156"/>
      <c r="AI79" s="2156"/>
      <c r="AJ79" s="2162"/>
      <c r="AK79" s="2156"/>
      <c r="AL79" s="2156"/>
      <c r="AM79" s="2156"/>
      <c r="AN79" s="2156"/>
      <c r="AO79" s="2162"/>
      <c r="AP79" s="2156"/>
      <c r="AQ79" s="2156"/>
      <c r="AR79" s="2156"/>
      <c r="AS79" s="2156"/>
      <c r="AT79" s="2162"/>
      <c r="AU79" s="2156"/>
      <c r="AV79" s="2156"/>
      <c r="AW79" s="2156"/>
      <c r="AX79" s="2156"/>
      <c r="AY79" s="2162"/>
      <c r="AZ79" s="2156"/>
      <c r="BA79" s="2156"/>
      <c r="BB79" s="2156"/>
      <c r="BC79" s="2156"/>
      <c r="BD79" s="2162"/>
      <c r="BE79" s="2156"/>
      <c r="BF79" s="2156"/>
      <c r="BG79" s="2156"/>
      <c r="BH79" s="2156"/>
      <c r="BI79" s="2162"/>
      <c r="BJ79" s="2156"/>
      <c r="BK79" s="2156"/>
      <c r="BL79" s="2156"/>
      <c r="BM79" s="2156"/>
      <c r="BN79" s="2162"/>
      <c r="BO79" s="2163"/>
      <c r="BP79" s="2156"/>
      <c r="BQ79" s="2156"/>
      <c r="BR79" s="2156"/>
      <c r="BS79" s="2162"/>
      <c r="BT79" s="2163"/>
      <c r="BU79" s="2156"/>
      <c r="BV79" s="2156"/>
      <c r="BW79" s="2157"/>
      <c r="BX79" s="2162"/>
      <c r="BY79" s="2163"/>
      <c r="BZ79" s="2156"/>
      <c r="CA79" s="2156"/>
      <c r="CB79" s="2157"/>
      <c r="CC79" s="2162"/>
      <c r="CD79" s="2163"/>
      <c r="CE79" s="2156"/>
      <c r="CF79" s="2156"/>
      <c r="CG79" s="2157"/>
      <c r="CH79" s="2162"/>
      <c r="CI79" s="2156"/>
      <c r="CJ79" s="2156"/>
      <c r="CK79" s="2156"/>
      <c r="CL79" s="2157"/>
      <c r="CM79" s="2162"/>
      <c r="CN79" s="2156"/>
      <c r="CO79" s="2156"/>
      <c r="CP79" s="2156"/>
      <c r="CQ79" s="2157"/>
      <c r="CR79" s="2162"/>
      <c r="CS79" s="2156"/>
      <c r="CT79" s="2156"/>
      <c r="CU79" s="2156"/>
      <c r="CV79" s="2156"/>
      <c r="CW79" s="2162">
        <f t="shared" ref="CW79:DC79" si="247">(CW78-CW76)*10000</f>
        <v>-77.839258164243205</v>
      </c>
      <c r="CX79" s="2156">
        <f t="shared" si="247"/>
        <v>-46.471100180212645</v>
      </c>
      <c r="CY79" s="2156">
        <f t="shared" si="247"/>
        <v>28.288667165647443</v>
      </c>
      <c r="CZ79" s="2156">
        <f t="shared" si="247"/>
        <v>73.393866908864382</v>
      </c>
      <c r="DA79" s="2156">
        <f t="shared" si="247"/>
        <v>-5.0523611529529155</v>
      </c>
      <c r="DB79" s="2162">
        <f t="shared" si="247"/>
        <v>-1.7138516384915758</v>
      </c>
      <c r="DC79" s="2156">
        <f t="shared" si="247"/>
        <v>-27.833724743000985</v>
      </c>
      <c r="DD79" s="2156">
        <f t="shared" ref="DD79:DK79" si="248">(DD78-DD76)*10000</f>
        <v>7.7831135465987815</v>
      </c>
      <c r="DE79" s="2156">
        <f t="shared" si="248"/>
        <v>0.25894699695251655</v>
      </c>
      <c r="DF79" s="2156">
        <f t="shared" si="248"/>
        <v>-30.176956533676627</v>
      </c>
      <c r="DG79" s="2162">
        <f t="shared" si="248"/>
        <v>-31.23910893330974</v>
      </c>
      <c r="DH79" s="2156">
        <f>(DH78-DH76)*10000</f>
        <v>64.012769833152944</v>
      </c>
      <c r="DI79" s="2156">
        <f t="shared" si="248"/>
        <v>136.19481158295991</v>
      </c>
      <c r="DJ79" s="2156">
        <f t="shared" si="248"/>
        <v>-40.463923300785908</v>
      </c>
      <c r="DK79" s="2156">
        <f t="shared" si="248"/>
        <v>-36.885450498962399</v>
      </c>
      <c r="DL79" s="2162">
        <f t="shared" ref="DL79:DV79" si="249">(DL78-DL76)*10000</f>
        <v>49.856109731013092</v>
      </c>
      <c r="DM79" s="2156">
        <f t="shared" si="249"/>
        <v>14.107254046522836</v>
      </c>
      <c r="DN79" s="2156">
        <f t="shared" si="249"/>
        <v>-3.2991479456559274</v>
      </c>
      <c r="DO79" s="2156">
        <f>(DO78-DO76)*10000</f>
        <v>4.3451117913709867</v>
      </c>
      <c r="DP79" s="2156">
        <f t="shared" si="249"/>
        <v>-131.29278863246518</v>
      </c>
      <c r="DQ79" s="2162">
        <f t="shared" si="249"/>
        <v>-7.1647046065293365</v>
      </c>
      <c r="DR79" s="2156">
        <f>(DR78-DR76)*10000</f>
        <v>-85.715979957209782</v>
      </c>
      <c r="DS79" s="2156">
        <f>(DS78-DS76)*10000</f>
        <v>-37.600012897033992</v>
      </c>
      <c r="DT79" s="2156">
        <f>(DT78-DT76)*10000</f>
        <v>-36.748228413915982</v>
      </c>
      <c r="DU79" s="2156">
        <f>(DU78-DU76)*10000</f>
        <v>94.530275457735158</v>
      </c>
      <c r="DV79" s="2162">
        <f t="shared" si="249"/>
        <v>-36.00848395204234</v>
      </c>
      <c r="DW79" s="2156">
        <f t="shared" ref="DW79:EF79" si="250">(DW78-DW76)*10000</f>
        <v>145.37563397582485</v>
      </c>
      <c r="DX79" s="2156">
        <f t="shared" si="250"/>
        <v>281.73140258230814</v>
      </c>
      <c r="DY79" s="2156">
        <f t="shared" si="250"/>
        <v>24.855844779662352</v>
      </c>
      <c r="DZ79" s="2156">
        <f t="shared" si="250"/>
        <v>148.82088842912728</v>
      </c>
      <c r="EA79" s="2162">
        <f t="shared" si="250"/>
        <v>199.47637215450064</v>
      </c>
      <c r="EB79" s="2156">
        <f t="shared" si="250"/>
        <v>84.833264213668997</v>
      </c>
      <c r="EC79" s="2156">
        <f t="shared" si="250"/>
        <v>327.33723534531896</v>
      </c>
      <c r="ED79" s="2156">
        <f t="shared" si="250"/>
        <v>137.46937241324599</v>
      </c>
      <c r="EE79" s="2156">
        <f t="shared" ref="EE79" si="251">(EE78-EE76)*10000</f>
        <v>-13.750419516284969</v>
      </c>
      <c r="EF79" s="2162">
        <f t="shared" si="250"/>
        <v>155.95719850325847</v>
      </c>
      <c r="EG79" s="2156">
        <f t="shared" ref="EG79:EH79" si="252">(EG78-EG76)*10000</f>
        <v>25.84836310126154</v>
      </c>
      <c r="EH79" s="2156">
        <f t="shared" si="252"/>
        <v>-45.791256370083801</v>
      </c>
      <c r="EI79" s="2156">
        <f t="shared" ref="EI79:EJ79" si="253">(EI78-EI76)*10000</f>
        <v>27.358143013727389</v>
      </c>
      <c r="EJ79" s="2156">
        <f t="shared" si="253"/>
        <v>-45.478526694110741</v>
      </c>
      <c r="EK79" s="2162">
        <f t="shared" ref="EK79:EP79" si="254">(EK78-EK76)*10000</f>
        <v>-3.2779697322535966</v>
      </c>
      <c r="EL79" s="2156">
        <f t="shared" si="254"/>
        <v>357.88056956785135</v>
      </c>
      <c r="EM79" s="2156">
        <f t="shared" si="254"/>
        <v>166.89831604732413</v>
      </c>
      <c r="EN79" s="2156">
        <f t="shared" si="254"/>
        <v>155.2738206639502</v>
      </c>
      <c r="EO79" s="2156">
        <f t="shared" si="254"/>
        <v>-1.7347234759768071E-13</v>
      </c>
      <c r="EP79" s="2162">
        <f t="shared" si="254"/>
        <v>175.27372695120798</v>
      </c>
      <c r="EQ79" s="2156">
        <f t="shared" ref="EQ79:ET79" si="255">(EQ78-EQ76)*10000</f>
        <v>-2.0816681711721685E-13</v>
      </c>
      <c r="ER79" s="2156">
        <f t="shared" si="255"/>
        <v>9.540979117872439E-14</v>
      </c>
      <c r="ES79" s="2156">
        <f t="shared" si="255"/>
        <v>3.9898639947466563E-13</v>
      </c>
      <c r="ET79" s="2156">
        <f t="shared" si="255"/>
        <v>1.7780915628762273E-13</v>
      </c>
      <c r="EU79" s="2162">
        <f t="shared" ref="EU79" si="256">(EU78-EU76)*10000</f>
        <v>-2.0923048323461133</v>
      </c>
      <c r="EV79" s="2156">
        <f t="shared" ref="EV79:EZ79" si="257">(EV78-EV76)*10000</f>
        <v>0</v>
      </c>
      <c r="EW79" s="2156">
        <f t="shared" si="257"/>
        <v>0</v>
      </c>
      <c r="EX79" s="2156">
        <f t="shared" si="257"/>
        <v>0</v>
      </c>
      <c r="EY79" s="2156">
        <f t="shared" si="257"/>
        <v>0</v>
      </c>
      <c r="EZ79" s="2162">
        <f t="shared" si="257"/>
        <v>0</v>
      </c>
      <c r="FA79" s="2162">
        <f>(FA78-FA76)*10000</f>
        <v>0</v>
      </c>
      <c r="FB79" s="2162">
        <f>(FB78-FB76)*10000</f>
        <v>0</v>
      </c>
      <c r="FC79" s="2162">
        <f>(FC78-FC76)*10000</f>
        <v>0</v>
      </c>
      <c r="FD79" s="500"/>
      <c r="FF79" s="500"/>
    </row>
    <row r="80" spans="1:170" ht="11.25" customHeight="1">
      <c r="A80" s="2145"/>
      <c r="B80" s="1205"/>
      <c r="C80" s="1205"/>
      <c r="D80" s="1205"/>
      <c r="E80" s="1205"/>
      <c r="F80" s="2146"/>
      <c r="G80" s="1205"/>
      <c r="H80" s="1205"/>
      <c r="I80" s="1205"/>
      <c r="J80" s="1205"/>
      <c r="K80" s="2146"/>
      <c r="L80" s="1205"/>
      <c r="M80" s="1205"/>
      <c r="N80" s="1205"/>
      <c r="O80" s="1205"/>
      <c r="P80" s="2146"/>
      <c r="Q80" s="1205"/>
      <c r="R80" s="1205"/>
      <c r="S80" s="1205"/>
      <c r="T80" s="1205"/>
      <c r="U80" s="2146"/>
      <c r="V80" s="1205"/>
      <c r="W80" s="1205"/>
      <c r="X80" s="1205"/>
      <c r="Y80" s="1205"/>
      <c r="Z80" s="2146"/>
      <c r="AA80" s="1205"/>
      <c r="AB80" s="1205"/>
      <c r="AC80" s="1205"/>
      <c r="AD80" s="1205"/>
      <c r="AE80" s="2146"/>
      <c r="AF80" s="1205"/>
      <c r="AG80" s="1205"/>
      <c r="AH80" s="1205"/>
      <c r="AI80" s="1205"/>
      <c r="AJ80" s="2146"/>
      <c r="AK80" s="1205"/>
      <c r="AL80" s="1205"/>
      <c r="AM80" s="1205"/>
      <c r="AN80" s="1205"/>
      <c r="AO80" s="2146"/>
      <c r="AP80" s="1205"/>
      <c r="AQ80" s="1205"/>
      <c r="AR80" s="1205"/>
      <c r="AS80" s="1205"/>
      <c r="AT80" s="2146"/>
      <c r="AU80" s="1205"/>
      <c r="AV80" s="1205"/>
      <c r="AW80" s="1205"/>
      <c r="AX80" s="1205"/>
      <c r="AY80" s="2146"/>
      <c r="AZ80" s="1205"/>
      <c r="BA80" s="1205"/>
      <c r="BB80" s="1205"/>
      <c r="BC80" s="1205"/>
      <c r="BD80" s="2146"/>
      <c r="BE80" s="1205"/>
      <c r="BF80" s="1205"/>
      <c r="BG80" s="1205"/>
      <c r="BH80" s="1205"/>
      <c r="BI80" s="2146"/>
      <c r="BJ80" s="1205"/>
      <c r="BK80" s="1205"/>
      <c r="BL80" s="1205"/>
      <c r="BM80" s="1205"/>
      <c r="BN80" s="2146"/>
      <c r="BO80" s="2149"/>
      <c r="BP80" s="497"/>
      <c r="BQ80" s="497"/>
      <c r="BR80" s="497"/>
      <c r="BS80" s="2146"/>
      <c r="BT80" s="2147"/>
      <c r="BU80" s="500"/>
      <c r="BV80" s="500"/>
      <c r="BW80" s="1176"/>
      <c r="BX80" s="2146"/>
      <c r="BY80" s="2147"/>
      <c r="BZ80" s="500"/>
      <c r="CA80" s="500"/>
      <c r="CB80" s="1176"/>
      <c r="CC80" s="2146"/>
      <c r="CD80" s="2147"/>
      <c r="CE80" s="500"/>
      <c r="CF80" s="500"/>
      <c r="CG80" s="1176"/>
      <c r="CH80" s="2146"/>
      <c r="CI80" s="500"/>
      <c r="CJ80" s="500"/>
      <c r="CK80" s="500"/>
      <c r="CL80" s="1176"/>
      <c r="CM80" s="2146"/>
      <c r="CN80" s="500"/>
      <c r="CO80" s="500"/>
      <c r="CP80" s="500"/>
      <c r="CQ80" s="1176"/>
      <c r="CR80" s="2146"/>
      <c r="CS80" s="500"/>
      <c r="CT80" s="500"/>
      <c r="CU80" s="500"/>
      <c r="CV80" s="500"/>
      <c r="CW80" s="2146"/>
      <c r="CX80" s="2147"/>
      <c r="CY80" s="500"/>
      <c r="CZ80" s="500"/>
      <c r="DA80" s="1176"/>
      <c r="DB80" s="2146"/>
      <c r="DC80" s="2147"/>
      <c r="DD80" s="500"/>
      <c r="DE80" s="500"/>
      <c r="DF80" s="1176"/>
      <c r="DG80" s="2146"/>
      <c r="DH80" s="2147"/>
      <c r="DI80" s="500"/>
      <c r="DJ80" s="500"/>
      <c r="DK80" s="1176"/>
      <c r="DL80" s="2146"/>
      <c r="DM80" s="2147"/>
      <c r="DN80" s="500"/>
      <c r="DO80" s="500"/>
      <c r="DP80" s="1176"/>
      <c r="DQ80" s="2146"/>
      <c r="DR80" s="2147"/>
      <c r="DS80" s="500"/>
      <c r="DT80" s="500"/>
      <c r="DU80" s="1176"/>
      <c r="DV80" s="2146"/>
      <c r="DW80" s="2147"/>
      <c r="DX80" s="500"/>
      <c r="DY80" s="500"/>
      <c r="DZ80" s="1176"/>
      <c r="EA80" s="2146"/>
      <c r="EB80" s="2147"/>
      <c r="EC80" s="500"/>
      <c r="ED80" s="500"/>
      <c r="EE80" s="1176"/>
      <c r="EF80" s="2146"/>
      <c r="EG80" s="2147"/>
      <c r="EH80" s="500"/>
      <c r="EI80" s="500"/>
      <c r="EJ80" s="1176"/>
      <c r="EK80" s="2146"/>
      <c r="EL80" s="2147"/>
      <c r="EM80" s="500"/>
      <c r="EN80" s="500"/>
      <c r="EO80" s="1176"/>
      <c r="EP80" s="2146"/>
      <c r="EQ80" s="2147"/>
      <c r="ER80" s="500"/>
      <c r="ES80" s="500"/>
      <c r="ET80" s="1176"/>
      <c r="EU80" s="2146"/>
      <c r="EV80" s="2147"/>
      <c r="EW80" s="500"/>
      <c r="EX80" s="500"/>
      <c r="EY80" s="1176"/>
      <c r="EZ80" s="2146"/>
      <c r="FA80" s="2146"/>
      <c r="FB80" s="2146"/>
      <c r="FC80" s="2146"/>
      <c r="FD80" s="500"/>
      <c r="FF80" s="500"/>
    </row>
    <row r="81" spans="1:169" ht="11.25" customHeight="1">
      <c r="A81" s="2140" t="s">
        <v>371</v>
      </c>
      <c r="B81" s="421"/>
      <c r="C81" s="421"/>
      <c r="D81" s="421"/>
      <c r="E81" s="421"/>
      <c r="F81" s="2129"/>
      <c r="G81" s="421"/>
      <c r="H81" s="421"/>
      <c r="I81" s="421"/>
      <c r="J81" s="421"/>
      <c r="K81" s="2129"/>
      <c r="L81" s="421"/>
      <c r="M81" s="421"/>
      <c r="N81" s="421"/>
      <c r="O81" s="421"/>
      <c r="P81" s="2129"/>
      <c r="Q81" s="421"/>
      <c r="R81" s="421"/>
      <c r="S81" s="421"/>
      <c r="T81" s="421"/>
      <c r="U81" s="2129"/>
      <c r="V81" s="421"/>
      <c r="W81" s="421"/>
      <c r="X81" s="421"/>
      <c r="Y81" s="421"/>
      <c r="Z81" s="2129"/>
      <c r="AA81" s="421"/>
      <c r="AB81" s="421"/>
      <c r="AC81" s="421"/>
      <c r="AD81" s="421"/>
      <c r="AE81" s="2129"/>
      <c r="AF81" s="421"/>
      <c r="AG81" s="421"/>
      <c r="AH81" s="421"/>
      <c r="AI81" s="421"/>
      <c r="AJ81" s="2129"/>
      <c r="AK81" s="421"/>
      <c r="AL81" s="421"/>
      <c r="AM81" s="421"/>
      <c r="AN81" s="421"/>
      <c r="AO81" s="2129"/>
      <c r="AP81" s="421"/>
      <c r="AQ81" s="421"/>
      <c r="AR81" s="421"/>
      <c r="AS81" s="421"/>
      <c r="AT81" s="2129"/>
      <c r="AU81" s="421"/>
      <c r="AV81" s="421"/>
      <c r="AW81" s="421"/>
      <c r="AX81" s="421"/>
      <c r="AY81" s="2129"/>
      <c r="AZ81" s="2130"/>
      <c r="BA81" s="429"/>
      <c r="BB81" s="429"/>
      <c r="BC81" s="429"/>
      <c r="BD81" s="2129"/>
      <c r="BE81" s="2130"/>
      <c r="BF81" s="429"/>
      <c r="BG81" s="429"/>
      <c r="BH81" s="429"/>
      <c r="BI81" s="2129"/>
      <c r="BJ81" s="2130"/>
      <c r="BK81" s="429"/>
      <c r="BL81" s="429"/>
      <c r="BM81" s="430"/>
      <c r="BN81" s="2129"/>
      <c r="BO81" s="2130"/>
      <c r="BP81" s="429"/>
      <c r="BQ81" s="429"/>
      <c r="BR81" s="429"/>
      <c r="BS81" s="2129"/>
      <c r="BT81" s="2141"/>
      <c r="BU81" s="441"/>
      <c r="BV81" s="441"/>
      <c r="BW81" s="430"/>
      <c r="BX81" s="2129"/>
      <c r="BY81" s="2130"/>
      <c r="BZ81" s="429"/>
      <c r="CA81" s="429"/>
      <c r="CB81" s="430"/>
      <c r="CC81" s="2129"/>
      <c r="CD81" s="2130"/>
      <c r="CE81" s="429"/>
      <c r="CF81" s="429"/>
      <c r="CG81" s="430"/>
      <c r="CH81" s="2129"/>
      <c r="CI81" s="429"/>
      <c r="CJ81" s="429"/>
      <c r="CK81" s="429"/>
      <c r="CL81" s="430"/>
      <c r="CM81" s="2129"/>
      <c r="CN81" s="429"/>
      <c r="CO81" s="429"/>
      <c r="CP81" s="429"/>
      <c r="CQ81" s="430"/>
      <c r="CR81" s="2129"/>
      <c r="CS81" s="429"/>
      <c r="CT81" s="429"/>
      <c r="CU81" s="429"/>
      <c r="CV81" s="429"/>
      <c r="CW81" s="2129"/>
      <c r="CX81" s="2130"/>
      <c r="CY81" s="429"/>
      <c r="CZ81" s="429"/>
      <c r="DA81" s="430"/>
      <c r="DB81" s="2129"/>
      <c r="DC81" s="2130"/>
      <c r="DD81" s="429"/>
      <c r="DE81" s="429"/>
      <c r="DF81" s="430"/>
      <c r="DG81" s="2129"/>
      <c r="DH81" s="2130"/>
      <c r="DI81" s="429"/>
      <c r="DJ81" s="429"/>
      <c r="DK81" s="430"/>
      <c r="DL81" s="2129"/>
      <c r="DM81" s="2130"/>
      <c r="DN81" s="429"/>
      <c r="DO81" s="429"/>
      <c r="DP81" s="430"/>
      <c r="DQ81" s="2129"/>
      <c r="DR81" s="2130"/>
      <c r="DS81" s="429"/>
      <c r="DT81" s="429"/>
      <c r="DU81" s="430"/>
      <c r="DV81" s="2129"/>
      <c r="DW81" s="2130"/>
      <c r="DX81" s="429"/>
      <c r="DY81" s="429"/>
      <c r="DZ81" s="430"/>
      <c r="EA81" s="2129"/>
      <c r="EB81" s="2130"/>
      <c r="EC81" s="429"/>
      <c r="ED81" s="429"/>
      <c r="EE81" s="430"/>
      <c r="EF81" s="2129"/>
      <c r="EG81" s="2130"/>
      <c r="EH81" s="429"/>
      <c r="EI81" s="429"/>
      <c r="EJ81" s="430"/>
      <c r="EK81" s="2129"/>
      <c r="EL81" s="2130"/>
      <c r="EM81" s="429"/>
      <c r="EN81" s="429"/>
      <c r="EO81" s="430"/>
      <c r="EP81" s="2129"/>
      <c r="EQ81" s="2130"/>
      <c r="ER81" s="429"/>
      <c r="ES81" s="429"/>
      <c r="ET81" s="430"/>
      <c r="EU81" s="2129"/>
      <c r="EV81" s="2130"/>
      <c r="EW81" s="429"/>
      <c r="EX81" s="429"/>
      <c r="EY81" s="430"/>
      <c r="EZ81" s="2129"/>
      <c r="FA81" s="2129"/>
      <c r="FB81" s="2129"/>
      <c r="FC81" s="2129"/>
      <c r="FD81" s="429"/>
      <c r="FF81" s="429"/>
    </row>
    <row r="82" spans="1:169" ht="11.25" customHeight="1">
      <c r="A82" s="2120" t="str">
        <f t="shared" ref="A82:A87" si="258">A59</f>
        <v>China (CNY/USD)</v>
      </c>
      <c r="B82" s="440"/>
      <c r="C82" s="440"/>
      <c r="D82" s="440"/>
      <c r="E82" s="440"/>
      <c r="F82" s="2142"/>
      <c r="G82" s="440"/>
      <c r="H82" s="440"/>
      <c r="I82" s="440"/>
      <c r="J82" s="440"/>
      <c r="K82" s="2142"/>
      <c r="L82" s="440"/>
      <c r="M82" s="440"/>
      <c r="N82" s="440"/>
      <c r="O82" s="440"/>
      <c r="P82" s="2142"/>
      <c r="Q82" s="440"/>
      <c r="R82" s="440"/>
      <c r="S82" s="440"/>
      <c r="T82" s="440"/>
      <c r="U82" s="2142"/>
      <c r="V82" s="440"/>
      <c r="W82" s="440"/>
      <c r="X82" s="440"/>
      <c r="Y82" s="440"/>
      <c r="Z82" s="2142"/>
      <c r="AA82" s="440"/>
      <c r="AB82" s="440"/>
      <c r="AC82" s="440"/>
      <c r="AD82" s="440"/>
      <c r="AE82" s="2142"/>
      <c r="AF82" s="440"/>
      <c r="AG82" s="440"/>
      <c r="AH82" s="440"/>
      <c r="AI82" s="440"/>
      <c r="AJ82" s="2142"/>
      <c r="AK82" s="440"/>
      <c r="AL82" s="440"/>
      <c r="AM82" s="440"/>
      <c r="AN82" s="440"/>
      <c r="AO82" s="2142"/>
      <c r="AP82" s="440"/>
      <c r="AQ82" s="440"/>
      <c r="AR82" s="440"/>
      <c r="AS82" s="440"/>
      <c r="AT82" s="2142"/>
      <c r="AU82" s="440"/>
      <c r="AV82" s="440"/>
      <c r="AW82" s="440"/>
      <c r="AX82" s="440"/>
      <c r="AY82" s="2142"/>
      <c r="AZ82" s="2141"/>
      <c r="BA82" s="441"/>
      <c r="BB82" s="441"/>
      <c r="BC82" s="443"/>
      <c r="BD82" s="2142"/>
      <c r="BE82" s="2141"/>
      <c r="BF82" s="441"/>
      <c r="BG82" s="441"/>
      <c r="BH82" s="443"/>
      <c r="BI82" s="2142"/>
      <c r="BJ82" s="2141"/>
      <c r="BK82" s="441"/>
      <c r="BL82" s="441"/>
      <c r="BM82" s="443"/>
      <c r="BN82" s="2142"/>
      <c r="BO82" s="2141"/>
      <c r="BP82" s="441"/>
      <c r="BQ82" s="441"/>
      <c r="BR82" s="443"/>
      <c r="BS82" s="2142"/>
      <c r="BT82" s="2141"/>
      <c r="BU82" s="441"/>
      <c r="BV82" s="441"/>
      <c r="BW82" s="443"/>
      <c r="BX82" s="2142"/>
      <c r="BY82" s="2141"/>
      <c r="BZ82" s="441"/>
      <c r="CA82" s="441"/>
      <c r="CB82" s="443"/>
      <c r="CC82" s="2142"/>
      <c r="CD82" s="2141"/>
      <c r="CE82" s="441"/>
      <c r="CF82" s="441"/>
      <c r="CG82" s="443"/>
      <c r="CH82" s="2142"/>
      <c r="CI82" s="2141"/>
      <c r="CJ82" s="441"/>
      <c r="CK82" s="441"/>
      <c r="CL82" s="443"/>
      <c r="CM82" s="2142"/>
      <c r="CN82" s="2141"/>
      <c r="CO82" s="441"/>
      <c r="CP82" s="441"/>
      <c r="CQ82" s="443"/>
      <c r="CR82" s="2142"/>
      <c r="CS82" s="2141">
        <f>CQ59/CS59-1</f>
        <v>-2.802509466559977E-2</v>
      </c>
      <c r="CT82" s="441">
        <f>CS59/CT59-1</f>
        <v>5.364553978582931E-3</v>
      </c>
      <c r="CU82" s="441">
        <f>CT59/CU59-1</f>
        <v>-2.2307048786963435E-2</v>
      </c>
      <c r="CV82" s="443">
        <f>CU59/CV59-1</f>
        <v>-1.8424546393273511E-2</v>
      </c>
      <c r="CW82" s="2142"/>
      <c r="CX82" s="2141">
        <f>CV59/CX59-1</f>
        <v>-1.7346347120216432E-2</v>
      </c>
      <c r="CY82" s="441">
        <f>CX59/CY59-1</f>
        <v>4.7235990620768664E-3</v>
      </c>
      <c r="CZ82" s="441">
        <f>CY59/CZ59-1</f>
        <v>2.4933325372183734E-2</v>
      </c>
      <c r="DA82" s="443">
        <f>CZ59/DA59-1</f>
        <v>1.0086998477149667E-2</v>
      </c>
      <c r="DB82" s="2142"/>
      <c r="DC82" s="2141">
        <f>DA59/DC59-1</f>
        <v>4.2169936831519594E-2</v>
      </c>
      <c r="DD82" s="441">
        <f>DC59/DD59-1</f>
        <v>3.8646987375317021E-3</v>
      </c>
      <c r="DE82" s="441">
        <f>DD59/DE59-1</f>
        <v>-6.1714325183036323E-2</v>
      </c>
      <c r="DF82" s="443">
        <f>DE59/DF59-1</f>
        <v>-2.5753424657534274E-2</v>
      </c>
      <c r="DG82" s="2142"/>
      <c r="DH82" s="2141">
        <f>DF59/DH59-1</f>
        <v>2.6459516397203453E-2</v>
      </c>
      <c r="DI82" s="441">
        <f>DH59/DI59-1</f>
        <v>-4.0880704012893343E-3</v>
      </c>
      <c r="DJ82" s="441">
        <f>DI59/DJ59-1</f>
        <v>-2.6429842521191627E-2</v>
      </c>
      <c r="DK82" s="443">
        <f>DJ59/DK59-1</f>
        <v>-1.4868119076904218E-2</v>
      </c>
      <c r="DL82" s="2142"/>
      <c r="DM82" s="2141">
        <f>DK59/DM59-1</f>
        <v>1.6955732024671599E-2</v>
      </c>
      <c r="DN82" s="441">
        <f>DM59/DN59-1</f>
        <v>-1.9533122198310271E-2</v>
      </c>
      <c r="DO82" s="441">
        <f>DN59/DO59-1</f>
        <v>1.8799278092402227E-2</v>
      </c>
      <c r="DP82" s="443">
        <f>DO59/DP59-1</f>
        <v>4.1258336905699577E-2</v>
      </c>
      <c r="DQ82" s="2142"/>
      <c r="DR82" s="2141">
        <f>DP59/DR59-1</f>
        <v>3.2538653161221065E-2</v>
      </c>
      <c r="DS82" s="441">
        <f>DR59/DS59-1</f>
        <v>1.6187402695153619E-3</v>
      </c>
      <c r="DT82" s="441">
        <f>DS59/DT59-1</f>
        <v>9.597919418757872E-4</v>
      </c>
      <c r="DU82" s="443">
        <f>DT59/DU59-1</f>
        <v>8.5506560013322019E-3</v>
      </c>
      <c r="DV82" s="2142"/>
      <c r="DW82" s="2141">
        <f>DU59/DW59-1</f>
        <v>9.8966709764223282E-3</v>
      </c>
      <c r="DX82" s="441">
        <f>DW59/DX59-1</f>
        <v>-3.0259476154798737E-2</v>
      </c>
      <c r="DY82" s="441">
        <f>DX59/DY59-1</f>
        <v>-3.5108339644539743E-2</v>
      </c>
      <c r="DZ82" s="443">
        <f>DY59/DZ59-1</f>
        <v>-5.480795600860866E-2</v>
      </c>
      <c r="EA82" s="2142"/>
      <c r="EB82" s="2141">
        <f>DZ59/EB59-1</f>
        <v>4.4867529566040787E-2</v>
      </c>
      <c r="EC82" s="441">
        <f>EB59/EC59-1</f>
        <v>-1.4889453463281077E-2</v>
      </c>
      <c r="ED82" s="441">
        <f>EC59/ED59-1</f>
        <v>-3.4850429915863956E-2</v>
      </c>
      <c r="EE82" s="443">
        <f>ED59/EE59-1</f>
        <v>-4.3311141354323013E-3</v>
      </c>
      <c r="EF82" s="2142"/>
      <c r="EG82" s="2141">
        <f>EE59/EG59-1</f>
        <v>1.3612955842945418E-2</v>
      </c>
      <c r="EH82" s="441">
        <f>EG59/EH59-1</f>
        <v>-1.1412011868123684E-2</v>
      </c>
      <c r="EI82" s="441">
        <f>EH59/EI59-1</f>
        <v>5.5593647499210253E-3</v>
      </c>
      <c r="EJ82" s="443">
        <f>EI59/EJ59-1</f>
        <v>9.470272697086779E-3</v>
      </c>
      <c r="EK82" s="2142"/>
      <c r="EL82" s="2141">
        <f>EJ59/EL59-1</f>
        <v>-2.0144531053097214E-2</v>
      </c>
      <c r="EM82" s="441">
        <f>EL59/EM59-1</f>
        <v>4.3723794488961243E-3</v>
      </c>
      <c r="EN82" s="441">
        <f>EM59/EN59-1</f>
        <v>1.0830677615203843E-2</v>
      </c>
      <c r="EO82" s="443">
        <f>EN59/EO59-1</f>
        <v>8.25101085437141E-3</v>
      </c>
      <c r="EP82" s="2142"/>
      <c r="EQ82" s="2141">
        <f>EO59/EQ59-1</f>
        <v>1.070633646071073E-3</v>
      </c>
      <c r="ER82" s="441">
        <f>EQ59/ER59-1</f>
        <v>0</v>
      </c>
      <c r="ES82" s="441">
        <f>ER59/ES59-1</f>
        <v>0</v>
      </c>
      <c r="ET82" s="443">
        <f>ES59/ET59-1</f>
        <v>0</v>
      </c>
      <c r="EU82" s="2142"/>
      <c r="EV82" s="2141">
        <f>ET59/EV59-1</f>
        <v>0</v>
      </c>
      <c r="EW82" s="441">
        <f>EV59/EW59-1</f>
        <v>0</v>
      </c>
      <c r="EX82" s="441">
        <f>EW59/EX59-1</f>
        <v>0</v>
      </c>
      <c r="EY82" s="443">
        <f>EX59/EY59-1</f>
        <v>0</v>
      </c>
      <c r="EZ82" s="2142"/>
      <c r="FA82" s="2142"/>
      <c r="FB82" s="2142"/>
      <c r="FC82" s="2142"/>
      <c r="FD82" s="441"/>
      <c r="FF82" s="441"/>
    </row>
    <row r="83" spans="1:169" ht="11.25" customHeight="1">
      <c r="A83" s="2120" t="str">
        <f t="shared" si="258"/>
        <v>Australia (USD/AUD)</v>
      </c>
      <c r="B83" s="440"/>
      <c r="C83" s="440"/>
      <c r="D83" s="440"/>
      <c r="E83" s="440"/>
      <c r="F83" s="2142"/>
      <c r="G83" s="440"/>
      <c r="H83" s="440"/>
      <c r="I83" s="440"/>
      <c r="J83" s="440"/>
      <c r="K83" s="2142"/>
      <c r="L83" s="440"/>
      <c r="M83" s="440"/>
      <c r="N83" s="440"/>
      <c r="O83" s="440"/>
      <c r="P83" s="2142"/>
      <c r="Q83" s="440"/>
      <c r="R83" s="440"/>
      <c r="S83" s="440"/>
      <c r="T83" s="440"/>
      <c r="U83" s="2142"/>
      <c r="V83" s="440"/>
      <c r="W83" s="440"/>
      <c r="X83" s="440"/>
      <c r="Y83" s="440"/>
      <c r="Z83" s="2142"/>
      <c r="AA83" s="440"/>
      <c r="AB83" s="440"/>
      <c r="AC83" s="440"/>
      <c r="AD83" s="440"/>
      <c r="AE83" s="2142"/>
      <c r="AF83" s="440"/>
      <c r="AG83" s="440"/>
      <c r="AH83" s="440"/>
      <c r="AI83" s="440"/>
      <c r="AJ83" s="2142"/>
      <c r="AK83" s="440"/>
      <c r="AL83" s="440"/>
      <c r="AM83" s="440"/>
      <c r="AN83" s="440"/>
      <c r="AO83" s="2142"/>
      <c r="AP83" s="440"/>
      <c r="AQ83" s="440"/>
      <c r="AR83" s="440"/>
      <c r="AS83" s="440"/>
      <c r="AT83" s="2142"/>
      <c r="AU83" s="440"/>
      <c r="AV83" s="440"/>
      <c r="AW83" s="440"/>
      <c r="AX83" s="440"/>
      <c r="AY83" s="2142"/>
      <c r="AZ83" s="2141"/>
      <c r="BA83" s="441"/>
      <c r="BB83" s="441"/>
      <c r="BC83" s="443"/>
      <c r="BD83" s="2142"/>
      <c r="BE83" s="2141"/>
      <c r="BF83" s="441"/>
      <c r="BG83" s="441"/>
      <c r="BH83" s="443"/>
      <c r="BI83" s="2142"/>
      <c r="BJ83" s="2141"/>
      <c r="BK83" s="441"/>
      <c r="BL83" s="441"/>
      <c r="BM83" s="443"/>
      <c r="BN83" s="2142"/>
      <c r="BO83" s="2141"/>
      <c r="BP83" s="441"/>
      <c r="BQ83" s="441"/>
      <c r="BR83" s="443"/>
      <c r="BS83" s="2142"/>
      <c r="BT83" s="2141"/>
      <c r="BU83" s="441"/>
      <c r="BV83" s="441"/>
      <c r="BW83" s="443"/>
      <c r="BX83" s="2142"/>
      <c r="BY83" s="2141"/>
      <c r="BZ83" s="441"/>
      <c r="CA83" s="441"/>
      <c r="CB83" s="443"/>
      <c r="CC83" s="2142"/>
      <c r="CD83" s="2141"/>
      <c r="CE83" s="441"/>
      <c r="CF83" s="441"/>
      <c r="CG83" s="443"/>
      <c r="CH83" s="2142"/>
      <c r="CI83" s="2141"/>
      <c r="CJ83" s="441"/>
      <c r="CK83" s="441"/>
      <c r="CL83" s="443"/>
      <c r="CM83" s="2142"/>
      <c r="CN83" s="2141"/>
      <c r="CO83" s="441"/>
      <c r="CP83" s="441"/>
      <c r="CQ83" s="443"/>
      <c r="CR83" s="2142"/>
      <c r="CS83" s="2141">
        <f>CS60/CQ60-1</f>
        <v>5.9860636954589541E-3</v>
      </c>
      <c r="CT83" s="441">
        <f>CT60/CS60-1</f>
        <v>4.5697550090651351E-2</v>
      </c>
      <c r="CU83" s="441">
        <f>CU60/CT60-1</f>
        <v>3.1119409620343763E-3</v>
      </c>
      <c r="CV83" s="443">
        <f>CV60/CU60-1</f>
        <v>4.1659280269454868E-3</v>
      </c>
      <c r="CW83" s="2142"/>
      <c r="CX83" s="2141">
        <f>CX60/CV60-1</f>
        <v>-9.1799805808101542E-3</v>
      </c>
      <c r="CY83" s="441">
        <f>CY60/CX60-1</f>
        <v>4.3207126948774377E-3</v>
      </c>
      <c r="CZ83" s="441">
        <f>CZ60/CY60-1</f>
        <v>4.8432163924247096E-2</v>
      </c>
      <c r="DA83" s="443">
        <f>DA60/CZ60-1</f>
        <v>-2.4662633783154919E-2</v>
      </c>
      <c r="DB83" s="2142"/>
      <c r="DC83" s="2141">
        <f>DC60/DA60-1</f>
        <v>3.6736641221373878E-2</v>
      </c>
      <c r="DD83" s="441">
        <f>DD60/DC60-1</f>
        <v>-4.7107057691503029E-2</v>
      </c>
      <c r="DE83" s="441">
        <f>DE60/DD60-1</f>
        <v>-3.3323089081090718E-2</v>
      </c>
      <c r="DF83" s="443">
        <f>DF60/DE60-1</f>
        <v>-1.8848215096739063E-2</v>
      </c>
      <c r="DG83" s="2142"/>
      <c r="DH83" s="2141">
        <f>DH60/DF60-1</f>
        <v>-8.656205156691188E-3</v>
      </c>
      <c r="DI83" s="441">
        <f>DI60/DH60-1</f>
        <v>-1.559581621217776E-2</v>
      </c>
      <c r="DJ83" s="441">
        <f>DJ60/DI60-1</f>
        <v>-2.295797362679064E-2</v>
      </c>
      <c r="DK83" s="443">
        <f>DK60/DJ60-1</f>
        <v>-9.2727449266918338E-3</v>
      </c>
      <c r="DL83" s="2142"/>
      <c r="DM83" s="2141">
        <f>DM60/DK60-1</f>
        <v>-8.7714999754986422E-3</v>
      </c>
      <c r="DN83" s="441">
        <f>DN60/DM60-1</f>
        <v>-4.538263792762498E-2</v>
      </c>
      <c r="DO83" s="441">
        <f>DO60/DN60-1</f>
        <v>0.10937338166752952</v>
      </c>
      <c r="DP83" s="443">
        <f>DP60/DO60-1</f>
        <v>5.2282700028007945E-3</v>
      </c>
      <c r="DQ83" s="2142"/>
      <c r="DR83" s="2141">
        <f>DR60/DP60-1</f>
        <v>7.0121668059812237E-2</v>
      </c>
      <c r="DS83" s="441">
        <f>DS60/DR60-1</f>
        <v>1.7358097552544471E-4</v>
      </c>
      <c r="DT83" s="441">
        <f>DT60/DS60-1</f>
        <v>-3.8615064213814887E-2</v>
      </c>
      <c r="DU83" s="443">
        <f>DU60/DT60-1</f>
        <v>-1.2907302103077778E-2</v>
      </c>
      <c r="DV83" s="2142"/>
      <c r="DW83" s="2141">
        <f>DW60/DU60-1</f>
        <v>-1.2756035113386965E-2</v>
      </c>
      <c r="DX83" s="441">
        <f>DX60/DW60-1</f>
        <v>5.8815356828600951E-3</v>
      </c>
      <c r="DY83" s="441">
        <f>DY60/DX60-1</f>
        <v>-4.5580110497237425E-2</v>
      </c>
      <c r="DZ83" s="443">
        <f>DZ60/DY60-1</f>
        <v>-5.513748191027501E-2</v>
      </c>
      <c r="EA83" s="2142"/>
      <c r="EB83" s="2141">
        <f>EB60/DZ60-1</f>
        <v>5.1564813396640874E-2</v>
      </c>
      <c r="EC83" s="441">
        <f>EC60/EB60-1</f>
        <v>-3.8549303296596671E-2</v>
      </c>
      <c r="ED83" s="441">
        <f>ED60/EC60-1</f>
        <v>3.1308387618038669E-3</v>
      </c>
      <c r="EE83" s="443">
        <f>EE60/ED60-1</f>
        <v>-2.4565819280140899E-2</v>
      </c>
      <c r="EF83" s="2142"/>
      <c r="EG83" s="2141">
        <f>EG60/EE60-1</f>
        <v>2.5803787996077965E-2</v>
      </c>
      <c r="EH83" s="441">
        <f>EH60/EG60-1</f>
        <v>-1.157116265029956E-2</v>
      </c>
      <c r="EI83" s="441">
        <f>EI60/EH60-1</f>
        <v>1.6796457474423709E-2</v>
      </c>
      <c r="EJ83" s="443">
        <f>EJ60/EI60-1</f>
        <v>1.5017269860340132E-3</v>
      </c>
      <c r="EK83" s="2142"/>
      <c r="EL83" s="2141">
        <f>EL60/EJ60-1</f>
        <v>-6.9575648523016898E-2</v>
      </c>
      <c r="EM83" s="441">
        <f>EM60/EL60-1</f>
        <v>2.497985495568078E-2</v>
      </c>
      <c r="EN83" s="441">
        <f>EN60/EM60-1</f>
        <v>2.442348008385764E-2</v>
      </c>
      <c r="EO83" s="443">
        <f>EO60/EN60-1</f>
        <v>1.0488079402435124E-2</v>
      </c>
      <c r="EP83" s="2142"/>
      <c r="EQ83" s="2141">
        <f>EQ60/EO60-1</f>
        <v>-2.2277353045414561E-3</v>
      </c>
      <c r="ER83" s="441">
        <f>ER60/EQ60-1</f>
        <v>0</v>
      </c>
      <c r="ES83" s="441">
        <f>ES60/ER60-1</f>
        <v>0</v>
      </c>
      <c r="ET83" s="443">
        <f>ET60/ES60-1</f>
        <v>0</v>
      </c>
      <c r="EU83" s="2142"/>
      <c r="EV83" s="2141">
        <f>EV60/ET60-1</f>
        <v>0</v>
      </c>
      <c r="EW83" s="441">
        <f>EW60/EV60-1</f>
        <v>0</v>
      </c>
      <c r="EX83" s="441">
        <f>EX60/EW60-1</f>
        <v>0</v>
      </c>
      <c r="EY83" s="443">
        <f>EY60/EX60-1</f>
        <v>0</v>
      </c>
      <c r="EZ83" s="2142"/>
      <c r="FA83" s="2142"/>
      <c r="FB83" s="2142"/>
      <c r="FC83" s="2142"/>
      <c r="FD83" s="441"/>
      <c r="FF83" s="441"/>
    </row>
    <row r="84" spans="1:169" ht="11.25" customHeight="1">
      <c r="A84" s="2120" t="str">
        <f t="shared" si="258"/>
        <v>India (INR/USD)</v>
      </c>
      <c r="B84" s="440"/>
      <c r="C84" s="440"/>
      <c r="D84" s="440"/>
      <c r="E84" s="440"/>
      <c r="F84" s="2142"/>
      <c r="G84" s="440"/>
      <c r="H84" s="440"/>
      <c r="I84" s="440"/>
      <c r="J84" s="440"/>
      <c r="K84" s="2142"/>
      <c r="L84" s="440"/>
      <c r="M84" s="440"/>
      <c r="N84" s="440"/>
      <c r="O84" s="440"/>
      <c r="P84" s="2142"/>
      <c r="Q84" s="440"/>
      <c r="R84" s="440"/>
      <c r="S84" s="440"/>
      <c r="T84" s="440"/>
      <c r="U84" s="2142"/>
      <c r="V84" s="440"/>
      <c r="W84" s="440"/>
      <c r="X84" s="440"/>
      <c r="Y84" s="440"/>
      <c r="Z84" s="2142"/>
      <c r="AA84" s="440"/>
      <c r="AB84" s="440"/>
      <c r="AC84" s="440"/>
      <c r="AD84" s="440"/>
      <c r="AE84" s="2142"/>
      <c r="AF84" s="440"/>
      <c r="AG84" s="440"/>
      <c r="AH84" s="440"/>
      <c r="AI84" s="440"/>
      <c r="AJ84" s="2142"/>
      <c r="AK84" s="440"/>
      <c r="AL84" s="440"/>
      <c r="AM84" s="440"/>
      <c r="AN84" s="440"/>
      <c r="AO84" s="2142"/>
      <c r="AP84" s="440"/>
      <c r="AQ84" s="440"/>
      <c r="AR84" s="440"/>
      <c r="AS84" s="440"/>
      <c r="AT84" s="2142"/>
      <c r="AU84" s="440"/>
      <c r="AV84" s="440"/>
      <c r="AW84" s="440"/>
      <c r="AX84" s="440"/>
      <c r="AY84" s="2142"/>
      <c r="AZ84" s="2141"/>
      <c r="BA84" s="441"/>
      <c r="BB84" s="441"/>
      <c r="BC84" s="443"/>
      <c r="BD84" s="2142"/>
      <c r="BE84" s="2141"/>
      <c r="BF84" s="441"/>
      <c r="BG84" s="441"/>
      <c r="BH84" s="443"/>
      <c r="BI84" s="2142"/>
      <c r="BJ84" s="2141"/>
      <c r="BK84" s="441"/>
      <c r="BL84" s="441"/>
      <c r="BM84" s="443"/>
      <c r="BN84" s="2142"/>
      <c r="BO84" s="2141"/>
      <c r="BP84" s="441"/>
      <c r="BQ84" s="441"/>
      <c r="BR84" s="443"/>
      <c r="BS84" s="2142"/>
      <c r="BT84" s="2141"/>
      <c r="BU84" s="441"/>
      <c r="BV84" s="441"/>
      <c r="BW84" s="443"/>
      <c r="BX84" s="2142"/>
      <c r="BY84" s="2141"/>
      <c r="BZ84" s="441"/>
      <c r="CA84" s="441"/>
      <c r="CB84" s="443"/>
      <c r="CC84" s="2142"/>
      <c r="CD84" s="2141"/>
      <c r="CE84" s="441"/>
      <c r="CF84" s="441"/>
      <c r="CG84" s="443"/>
      <c r="CH84" s="2142"/>
      <c r="CI84" s="2141"/>
      <c r="CJ84" s="441"/>
      <c r="CK84" s="441"/>
      <c r="CL84" s="443"/>
      <c r="CM84" s="2142"/>
      <c r="CN84" s="2141"/>
      <c r="CO84" s="441"/>
      <c r="CP84" s="441"/>
      <c r="CQ84" s="443"/>
      <c r="CR84" s="2142"/>
      <c r="CS84" s="2141">
        <f>CQ61/CS61-1</f>
        <v>-2.3947379214275477E-2</v>
      </c>
      <c r="CT84" s="441">
        <f t="shared" ref="CT84:CV86" si="259">CS61/CT61-1</f>
        <v>1.2666291361731474E-2</v>
      </c>
      <c r="CU84" s="441">
        <f t="shared" si="259"/>
        <v>-8.1703879767941467E-3</v>
      </c>
      <c r="CV84" s="443">
        <f t="shared" si="259"/>
        <v>-1.4684309644168447E-3</v>
      </c>
      <c r="CW84" s="2142"/>
      <c r="CX84" s="2141">
        <f>CV61/CX61-1</f>
        <v>-3.4512255110162871E-3</v>
      </c>
      <c r="CY84" s="441">
        <f t="shared" ref="CY84:DA86" si="260">CX61/CY61-1</f>
        <v>4.5841582573060258E-2</v>
      </c>
      <c r="CZ84" s="441">
        <f t="shared" si="260"/>
        <v>4.8195122255030309E-3</v>
      </c>
      <c r="DA84" s="443">
        <f t="shared" si="260"/>
        <v>-9.337697541071277E-3</v>
      </c>
      <c r="DB84" s="2142"/>
      <c r="DC84" s="2141">
        <f>DA61/DC61-1</f>
        <v>1.5692506461297606E-2</v>
      </c>
      <c r="DD84" s="441">
        <f t="shared" ref="DD84:DF86" si="261">DC61/DD61-1</f>
        <v>-3.8958829363087477E-2</v>
      </c>
      <c r="DE84" s="441">
        <f t="shared" si="261"/>
        <v>-4.2130641187428597E-2</v>
      </c>
      <c r="DF84" s="443">
        <f t="shared" si="261"/>
        <v>-3.7107106602039419E-2</v>
      </c>
      <c r="DG84" s="2142"/>
      <c r="DH84" s="2141">
        <f>DF61/DH61-1</f>
        <v>2.0935856411216092E-2</v>
      </c>
      <c r="DI84" s="441">
        <f t="shared" ref="DI84:DK86" si="262">DH61/DI61-1</f>
        <v>1.5221214991205656E-2</v>
      </c>
      <c r="DJ84" s="441">
        <f t="shared" si="262"/>
        <v>-3.8478946505613454E-3</v>
      </c>
      <c r="DK84" s="443">
        <f t="shared" si="262"/>
        <v>-2.0160506667953215E-2</v>
      </c>
      <c r="DL84" s="2142"/>
      <c r="DM84" s="2141">
        <f>DK61/DM61-1</f>
        <v>-6.3919780373178359E-3</v>
      </c>
      <c r="DN84" s="441">
        <f t="shared" ref="DN84:DP88" si="263">DM61/DN61-1</f>
        <v>-5.0520223552541488E-2</v>
      </c>
      <c r="DO84" s="441">
        <f t="shared" si="263"/>
        <v>1.0728200319278569E-2</v>
      </c>
      <c r="DP84" s="443">
        <f t="shared" si="263"/>
        <v>9.0681746496641402E-3</v>
      </c>
      <c r="DQ84" s="2142"/>
      <c r="DR84" s="2141">
        <f>DP61/DR61-1</f>
        <v>1.1104702390878129E-2</v>
      </c>
      <c r="DS84" s="441">
        <f t="shared" ref="DS84:DU88" si="264">DR61/DS61-1</f>
        <v>-1.4439743414768058E-3</v>
      </c>
      <c r="DT84" s="441">
        <f t="shared" si="264"/>
        <v>-8.7490377681905818E-3</v>
      </c>
      <c r="DU84" s="443">
        <f t="shared" si="264"/>
        <v>-1.1302137904897758E-2</v>
      </c>
      <c r="DV84" s="2142"/>
      <c r="DW84" s="2141">
        <f>DU61/DW61-1</f>
        <v>-6.6874721355247857E-5</v>
      </c>
      <c r="DX84" s="441">
        <f t="shared" ref="DX84:DZ88" si="265">DW61/DX61-1</f>
        <v>-2.4182693186158843E-2</v>
      </c>
      <c r="DY84" s="441">
        <f t="shared" si="265"/>
        <v>-3.2973588566586831E-2</v>
      </c>
      <c r="DZ84" s="443">
        <f t="shared" si="265"/>
        <v>-3.1993972775679391E-2</v>
      </c>
      <c r="EA84" s="2142"/>
      <c r="EB84" s="2141">
        <f>DZ61/EB61-1</f>
        <v>-7.1815361500705555E-3</v>
      </c>
      <c r="EC84" s="441">
        <f t="shared" ref="EC84:EE88" si="266">EB61/EC61-1</f>
        <v>2.385912296344328E-3</v>
      </c>
      <c r="ED84" s="441">
        <f t="shared" si="266"/>
        <v>-1.3659681678824809E-3</v>
      </c>
      <c r="EE84" s="443">
        <f t="shared" si="266"/>
        <v>-1.0462974087869004E-2</v>
      </c>
      <c r="EF84" s="2142"/>
      <c r="EG84" s="2141">
        <f>EE61/EG61-1</f>
        <v>2.1066353193124332E-3</v>
      </c>
      <c r="EH84" s="441">
        <f t="shared" ref="EH84:EJ88" si="267">EG61/EH61-1</f>
        <v>-4.5540440662392712E-3</v>
      </c>
      <c r="EI84" s="441">
        <f t="shared" si="267"/>
        <v>-2.7287950630683344E-3</v>
      </c>
      <c r="EJ84" s="443">
        <f t="shared" si="267"/>
        <v>-5.5079641809968605E-3</v>
      </c>
      <c r="EK84" s="2142"/>
      <c r="EL84" s="2141">
        <f>EJ61/EL61-1</f>
        <v>-2.8345380521093033E-2</v>
      </c>
      <c r="EM84" s="441">
        <f t="shared" ref="EM84:EM88" si="268">EL61/EM61-1</f>
        <v>1.6435622254615145E-2</v>
      </c>
      <c r="EN84" s="441">
        <f t="shared" ref="EN84:EO88" si="269">EM61/EN61-1</f>
        <v>-2.3043544749015488E-2</v>
      </c>
      <c r="EO84" s="443">
        <f t="shared" si="269"/>
        <v>-1.3673649924093922E-2</v>
      </c>
      <c r="EP84" s="2142"/>
      <c r="EQ84" s="2141">
        <f>EO61/EQ61-1</f>
        <v>2.2248046635109375E-3</v>
      </c>
      <c r="ER84" s="441">
        <f t="shared" ref="ER84:ER88" si="270">EQ61/ER61-1</f>
        <v>0</v>
      </c>
      <c r="ES84" s="441">
        <f t="shared" ref="ES84:ES88" si="271">ER61/ES61-1</f>
        <v>0</v>
      </c>
      <c r="ET84" s="443">
        <f t="shared" ref="ET84:ET88" si="272">ES61/ET61-1</f>
        <v>0</v>
      </c>
      <c r="EU84" s="2142"/>
      <c r="EV84" s="2141">
        <f>ET61/EV61-1</f>
        <v>0</v>
      </c>
      <c r="EW84" s="441">
        <f t="shared" ref="EW84:EW88" si="273">EV61/EW61-1</f>
        <v>0</v>
      </c>
      <c r="EX84" s="441">
        <f t="shared" ref="EX84:EX88" si="274">EW61/EX61-1</f>
        <v>0</v>
      </c>
      <c r="EY84" s="443">
        <f t="shared" ref="EY84:EY88" si="275">EX61/EY61-1</f>
        <v>0</v>
      </c>
      <c r="EZ84" s="2142"/>
      <c r="FA84" s="2142"/>
      <c r="FB84" s="2142"/>
      <c r="FC84" s="2142"/>
      <c r="FD84" s="441"/>
      <c r="FF84" s="441"/>
    </row>
    <row r="85" spans="1:169" ht="11.25" customHeight="1">
      <c r="A85" s="2120" t="str">
        <f t="shared" si="258"/>
        <v>Japan (YEN/USD)</v>
      </c>
      <c r="B85" s="440"/>
      <c r="C85" s="440"/>
      <c r="D85" s="440"/>
      <c r="E85" s="440"/>
      <c r="F85" s="2142"/>
      <c r="G85" s="440"/>
      <c r="H85" s="440"/>
      <c r="I85" s="440"/>
      <c r="J85" s="440"/>
      <c r="K85" s="2142"/>
      <c r="L85" s="440"/>
      <c r="M85" s="440"/>
      <c r="N85" s="440"/>
      <c r="O85" s="440"/>
      <c r="P85" s="2142"/>
      <c r="Q85" s="440"/>
      <c r="R85" s="440"/>
      <c r="S85" s="440"/>
      <c r="T85" s="440"/>
      <c r="U85" s="2142"/>
      <c r="V85" s="440"/>
      <c r="W85" s="440"/>
      <c r="X85" s="440"/>
      <c r="Y85" s="440"/>
      <c r="Z85" s="2142"/>
      <c r="AA85" s="440"/>
      <c r="AB85" s="440"/>
      <c r="AC85" s="440"/>
      <c r="AD85" s="440"/>
      <c r="AE85" s="2142"/>
      <c r="AF85" s="440"/>
      <c r="AG85" s="440"/>
      <c r="AH85" s="440"/>
      <c r="AI85" s="440"/>
      <c r="AJ85" s="2142"/>
      <c r="AK85" s="440"/>
      <c r="AL85" s="440"/>
      <c r="AM85" s="440"/>
      <c r="AN85" s="440"/>
      <c r="AO85" s="2142"/>
      <c r="AP85" s="440"/>
      <c r="AQ85" s="440"/>
      <c r="AR85" s="440"/>
      <c r="AS85" s="440"/>
      <c r="AT85" s="2142"/>
      <c r="AU85" s="440"/>
      <c r="AV85" s="440"/>
      <c r="AW85" s="440"/>
      <c r="AX85" s="440"/>
      <c r="AY85" s="2142"/>
      <c r="AZ85" s="2141"/>
      <c r="BA85" s="441"/>
      <c r="BB85" s="441"/>
      <c r="BC85" s="443"/>
      <c r="BD85" s="2142"/>
      <c r="BE85" s="2141"/>
      <c r="BF85" s="441"/>
      <c r="BG85" s="441"/>
      <c r="BH85" s="443"/>
      <c r="BI85" s="2142"/>
      <c r="BJ85" s="2141"/>
      <c r="BK85" s="441"/>
      <c r="BL85" s="441"/>
      <c r="BM85" s="443"/>
      <c r="BN85" s="2142"/>
      <c r="BO85" s="2141"/>
      <c r="BP85" s="441"/>
      <c r="BQ85" s="441"/>
      <c r="BR85" s="443"/>
      <c r="BS85" s="2142"/>
      <c r="BT85" s="2141"/>
      <c r="BU85" s="441"/>
      <c r="BV85" s="441"/>
      <c r="BW85" s="443"/>
      <c r="BX85" s="2142"/>
      <c r="BY85" s="2141"/>
      <c r="BZ85" s="441"/>
      <c r="CA85" s="441"/>
      <c r="CB85" s="443"/>
      <c r="CC85" s="2142"/>
      <c r="CD85" s="2141"/>
      <c r="CE85" s="441"/>
      <c r="CF85" s="441"/>
      <c r="CG85" s="443"/>
      <c r="CH85" s="2142"/>
      <c r="CI85" s="2141"/>
      <c r="CJ85" s="441"/>
      <c r="CK85" s="441"/>
      <c r="CL85" s="443"/>
      <c r="CM85" s="2142"/>
      <c r="CN85" s="2141"/>
      <c r="CO85" s="441"/>
      <c r="CP85" s="441"/>
      <c r="CQ85" s="443"/>
      <c r="CR85" s="2142"/>
      <c r="CS85" s="2141">
        <f>CQ62/CS62-1</f>
        <v>2.7001835898884385E-2</v>
      </c>
      <c r="CT85" s="441">
        <f t="shared" si="259"/>
        <v>7.3529411764705843E-2</v>
      </c>
      <c r="CU85" s="441">
        <f t="shared" si="259"/>
        <v>6.8385759175872307E-2</v>
      </c>
      <c r="CV85" s="443">
        <f t="shared" si="259"/>
        <v>-3.7239185353834636E-2</v>
      </c>
      <c r="CW85" s="2142"/>
      <c r="CX85" s="2141">
        <f>CV62/CX62-1</f>
        <v>-6.39360056053484E-2</v>
      </c>
      <c r="CY85" s="441">
        <f t="shared" si="260"/>
        <v>2.6583947731223523E-2</v>
      </c>
      <c r="CZ85" s="441">
        <f t="shared" si="260"/>
        <v>3.0965336860775405E-3</v>
      </c>
      <c r="DA85" s="443">
        <f t="shared" si="260"/>
        <v>-1.7892468038619325E-2</v>
      </c>
      <c r="DB85" s="2142"/>
      <c r="DC85" s="2141">
        <f>DA62/DC62-1</f>
        <v>2.2367785559043618E-2</v>
      </c>
      <c r="DD85" s="441">
        <f t="shared" si="261"/>
        <v>2.1082480581925855E-2</v>
      </c>
      <c r="DE85" s="441">
        <f t="shared" si="261"/>
        <v>-2.7603776412408187E-2</v>
      </c>
      <c r="DF85" s="443">
        <f t="shared" si="261"/>
        <v>-1.9282208047970428E-2</v>
      </c>
      <c r="DG85" s="2142"/>
      <c r="DH85" s="2141">
        <f>DF62/DH62-1</f>
        <v>3.1033124223414088E-2</v>
      </c>
      <c r="DI85" s="441">
        <f t="shared" si="262"/>
        <v>-1.815046737453474E-3</v>
      </c>
      <c r="DJ85" s="441">
        <f t="shared" si="262"/>
        <v>2.3721780062556208E-2</v>
      </c>
      <c r="DK85" s="443">
        <f t="shared" si="262"/>
        <v>-8.2616707616709473E-3</v>
      </c>
      <c r="DL85" s="2142"/>
      <c r="DM85" s="2141">
        <f>DK62/DM62-1</f>
        <v>2.308757888256352E-3</v>
      </c>
      <c r="DN85" s="441">
        <f t="shared" si="263"/>
        <v>7.1306774143542473E-3</v>
      </c>
      <c r="DO85" s="441">
        <f t="shared" si="263"/>
        <v>9.0092908311696362E-3</v>
      </c>
      <c r="DP85" s="443">
        <f t="shared" si="263"/>
        <v>1.6600413420257532E-2</v>
      </c>
      <c r="DQ85" s="2142"/>
      <c r="DR85" s="2141">
        <f>DP62/DR62-1</f>
        <v>-1.5898251192369983E-4</v>
      </c>
      <c r="DS85" s="441">
        <f t="shared" si="264"/>
        <v>-4.584205576287137E-2</v>
      </c>
      <c r="DT85" s="441">
        <f t="shared" si="264"/>
        <v>-3.7479220190417273E-3</v>
      </c>
      <c r="DU85" s="443">
        <f t="shared" si="264"/>
        <v>-2.2339765373363907E-2</v>
      </c>
      <c r="DV85" s="2142"/>
      <c r="DW85" s="2141">
        <f>DU62/DW62-1</f>
        <v>-1.9641356933862486E-2</v>
      </c>
      <c r="DX85" s="441">
        <f t="shared" si="265"/>
        <v>-9.1772568211118899E-2</v>
      </c>
      <c r="DY85" s="441">
        <f t="shared" si="265"/>
        <v>-6.8341708542713819E-2</v>
      </c>
      <c r="DZ85" s="443">
        <f t="shared" si="265"/>
        <v>-5.4620875046347717E-2</v>
      </c>
      <c r="EA85" s="2142"/>
      <c r="EB85" s="2141">
        <f>DZ62/EB62-1</f>
        <v>8.5912728370828972E-2</v>
      </c>
      <c r="EC85" s="441">
        <f t="shared" si="266"/>
        <v>-2.7221542227662043E-2</v>
      </c>
      <c r="ED85" s="441">
        <f t="shared" si="266"/>
        <v>-5.4704493914009333E-2</v>
      </c>
      <c r="EE85" s="443">
        <f t="shared" si="266"/>
        <v>-3.8085698386199351E-2</v>
      </c>
      <c r="EF85" s="2142"/>
      <c r="EG85" s="2141">
        <f>EE62/EG62-1</f>
        <v>2.5825455541855113E-2</v>
      </c>
      <c r="EH85" s="441">
        <f t="shared" si="267"/>
        <v>-6.1141362603438609E-2</v>
      </c>
      <c r="EI85" s="441">
        <f t="shared" si="267"/>
        <v>2.0633218825897526E-2</v>
      </c>
      <c r="EJ85" s="443">
        <f t="shared" si="267"/>
        <v>2.6042251307725195E-2</v>
      </c>
      <c r="EK85" s="2142"/>
      <c r="EL85" s="2141">
        <f>EJ62/EL62-1</f>
        <v>-3.7989719666537192E-2</v>
      </c>
      <c r="EM85" s="441">
        <f t="shared" si="268"/>
        <v>5.9421118865118583E-2</v>
      </c>
      <c r="EN85" s="441">
        <f t="shared" si="269"/>
        <v>-1.081864065364524E-2</v>
      </c>
      <c r="EO85" s="443">
        <f t="shared" si="269"/>
        <v>-2.6076797601728097E-2</v>
      </c>
      <c r="EP85" s="2142"/>
      <c r="EQ85" s="2141">
        <f>EO62/EQ62-1</f>
        <v>-1.0858189429618026E-2</v>
      </c>
      <c r="ER85" s="441">
        <f t="shared" si="270"/>
        <v>0</v>
      </c>
      <c r="ES85" s="441">
        <f t="shared" si="271"/>
        <v>0</v>
      </c>
      <c r="ET85" s="443">
        <f t="shared" si="272"/>
        <v>0</v>
      </c>
      <c r="EU85" s="2142"/>
      <c r="EV85" s="2141">
        <f>ET62/EV62-1</f>
        <v>0</v>
      </c>
      <c r="EW85" s="441">
        <f t="shared" si="273"/>
        <v>0</v>
      </c>
      <c r="EX85" s="441">
        <f t="shared" si="274"/>
        <v>0</v>
      </c>
      <c r="EY85" s="443">
        <f t="shared" si="275"/>
        <v>0</v>
      </c>
      <c r="EZ85" s="2142"/>
      <c r="FA85" s="2142"/>
      <c r="FB85" s="2142"/>
      <c r="FC85" s="2142"/>
      <c r="FD85" s="441"/>
      <c r="FF85" s="441"/>
    </row>
    <row r="86" spans="1:169" ht="11.25" customHeight="1">
      <c r="A86" s="2120" t="str">
        <f t="shared" si="258"/>
        <v>Korea (WON/USD)</v>
      </c>
      <c r="B86" s="440"/>
      <c r="C86" s="440"/>
      <c r="D86" s="440"/>
      <c r="E86" s="440"/>
      <c r="F86" s="2142"/>
      <c r="G86" s="440"/>
      <c r="H86" s="440"/>
      <c r="I86" s="440"/>
      <c r="J86" s="440"/>
      <c r="K86" s="2142"/>
      <c r="L86" s="440"/>
      <c r="M86" s="440"/>
      <c r="N86" s="440"/>
      <c r="O86" s="440"/>
      <c r="P86" s="2142"/>
      <c r="Q86" s="440"/>
      <c r="R86" s="440"/>
      <c r="S86" s="440"/>
      <c r="T86" s="440"/>
      <c r="U86" s="2142"/>
      <c r="V86" s="440"/>
      <c r="W86" s="440"/>
      <c r="X86" s="440"/>
      <c r="Y86" s="440"/>
      <c r="Z86" s="2142"/>
      <c r="AA86" s="440"/>
      <c r="AB86" s="440"/>
      <c r="AC86" s="440"/>
      <c r="AD86" s="440"/>
      <c r="AE86" s="2142"/>
      <c r="AF86" s="440"/>
      <c r="AG86" s="440"/>
      <c r="AH86" s="440"/>
      <c r="AI86" s="440"/>
      <c r="AJ86" s="2142"/>
      <c r="AK86" s="440"/>
      <c r="AL86" s="440"/>
      <c r="AM86" s="440"/>
      <c r="AN86" s="440"/>
      <c r="AO86" s="2142"/>
      <c r="AP86" s="440"/>
      <c r="AQ86" s="440"/>
      <c r="AR86" s="440"/>
      <c r="AS86" s="440"/>
      <c r="AT86" s="2142"/>
      <c r="AU86" s="440"/>
      <c r="AV86" s="440"/>
      <c r="AW86" s="440"/>
      <c r="AX86" s="440"/>
      <c r="AY86" s="2142"/>
      <c r="AZ86" s="2141"/>
      <c r="BA86" s="441"/>
      <c r="BB86" s="441"/>
      <c r="BC86" s="443"/>
      <c r="BD86" s="2142"/>
      <c r="BE86" s="2141"/>
      <c r="BF86" s="441"/>
      <c r="BG86" s="441"/>
      <c r="BH86" s="443"/>
      <c r="BI86" s="2142"/>
      <c r="BJ86" s="2141"/>
      <c r="BK86" s="441"/>
      <c r="BL86" s="441"/>
      <c r="BM86" s="443"/>
      <c r="BN86" s="2142"/>
      <c r="BO86" s="2141"/>
      <c r="BP86" s="441"/>
      <c r="BQ86" s="441"/>
      <c r="BR86" s="443"/>
      <c r="BS86" s="2142"/>
      <c r="BT86" s="2141"/>
      <c r="BU86" s="441"/>
      <c r="BV86" s="441"/>
      <c r="BW86" s="443"/>
      <c r="BX86" s="2142"/>
      <c r="BY86" s="2141"/>
      <c r="BZ86" s="441"/>
      <c r="CA86" s="441"/>
      <c r="CB86" s="443"/>
      <c r="CC86" s="2142"/>
      <c r="CD86" s="2141"/>
      <c r="CE86" s="441"/>
      <c r="CF86" s="441"/>
      <c r="CG86" s="443"/>
      <c r="CH86" s="2142"/>
      <c r="CI86" s="2141"/>
      <c r="CJ86" s="441"/>
      <c r="CK86" s="441"/>
      <c r="CL86" s="443"/>
      <c r="CM86" s="2142"/>
      <c r="CN86" s="2141"/>
      <c r="CO86" s="441"/>
      <c r="CP86" s="441"/>
      <c r="CQ86" s="443"/>
      <c r="CR86" s="2142"/>
      <c r="CS86" s="2141">
        <f>CQ63/CS63-1</f>
        <v>-3.5174640803801838E-2</v>
      </c>
      <c r="CT86" s="441">
        <f t="shared" si="259"/>
        <v>3.9165407583279466E-2</v>
      </c>
      <c r="CU86" s="441">
        <f t="shared" si="259"/>
        <v>2.5956348690814979E-2</v>
      </c>
      <c r="CV86" s="443">
        <f t="shared" si="259"/>
        <v>-7.917700439676989E-3</v>
      </c>
      <c r="CW86" s="2142"/>
      <c r="CX86" s="2141">
        <f>CV63/CX63-1</f>
        <v>-2.3889038205305524E-2</v>
      </c>
      <c r="CY86" s="441">
        <f t="shared" si="260"/>
        <v>3.6042360956824115E-2</v>
      </c>
      <c r="CZ86" s="441">
        <f t="shared" si="260"/>
        <v>-4.5001341783126314E-3</v>
      </c>
      <c r="DA86" s="443">
        <f t="shared" si="260"/>
        <v>1.1109951546776076E-2</v>
      </c>
      <c r="DB86" s="2142"/>
      <c r="DC86" s="2141">
        <f>DA63/DC63-1</f>
        <v>4.2136009819306208E-2</v>
      </c>
      <c r="DD86" s="441">
        <f t="shared" si="261"/>
        <v>2.8763571544319078E-3</v>
      </c>
      <c r="DE86" s="441">
        <f t="shared" si="261"/>
        <v>-4.1103013025665769E-2</v>
      </c>
      <c r="DF86" s="443">
        <f t="shared" si="261"/>
        <v>-6.94388804315893E-3</v>
      </c>
      <c r="DG86" s="2142"/>
      <c r="DH86" s="2141">
        <f>DF63/DH63-1</f>
        <v>6.4991890947430075E-3</v>
      </c>
      <c r="DI86" s="441">
        <f t="shared" si="262"/>
        <v>-4.1820252758825949E-2</v>
      </c>
      <c r="DJ86" s="441">
        <f t="shared" si="262"/>
        <v>-1.54740840086105E-2</v>
      </c>
      <c r="DK86" s="443">
        <f t="shared" si="262"/>
        <v>2.1459469838147616E-3</v>
      </c>
      <c r="DL86" s="2142"/>
      <c r="DM86" s="2141">
        <f>DK63/DM63-1</f>
        <v>-5.8248720633520268E-3</v>
      </c>
      <c r="DN86" s="441">
        <f t="shared" si="263"/>
        <v>-2.6837497097430663E-2</v>
      </c>
      <c r="DO86" s="441">
        <f t="shared" si="263"/>
        <v>2.2063196455146317E-2</v>
      </c>
      <c r="DP86" s="443">
        <f t="shared" si="263"/>
        <v>4.9877175805685514E-2</v>
      </c>
      <c r="DQ86" s="2142"/>
      <c r="DR86" s="2141">
        <f>DP63/DR63-1</f>
        <v>2.48569986541054E-2</v>
      </c>
      <c r="DS86" s="441">
        <f t="shared" si="264"/>
        <v>-7.8953721614366534E-3</v>
      </c>
      <c r="DT86" s="441">
        <f t="shared" si="264"/>
        <v>-2.3487774424229224E-2</v>
      </c>
      <c r="DU86" s="443">
        <f t="shared" si="264"/>
        <v>-2.9517022424463191E-2</v>
      </c>
      <c r="DV86" s="2142"/>
      <c r="DW86" s="2141">
        <f>DU63/DW63-1</f>
        <v>-1.7052821545082253E-2</v>
      </c>
      <c r="DX86" s="441">
        <f t="shared" si="265"/>
        <v>-2.7880865305461522E-2</v>
      </c>
      <c r="DY86" s="441">
        <f t="shared" si="265"/>
        <v>-5.8879561070398712E-2</v>
      </c>
      <c r="DZ86" s="443">
        <f t="shared" si="265"/>
        <v>-5.7150315652332306E-2</v>
      </c>
      <c r="EA86" s="2142"/>
      <c r="EB86" s="2141">
        <f>DZ63/EB63-1</f>
        <v>9.4226294052286219E-2</v>
      </c>
      <c r="EC86" s="441">
        <f t="shared" si="266"/>
        <v>-3.7945961481735346E-2</v>
      </c>
      <c r="ED86" s="441">
        <f t="shared" si="266"/>
        <v>1.3092662643001463E-2</v>
      </c>
      <c r="EE86" s="443">
        <f t="shared" si="266"/>
        <v>-1.8508398094760681E-2</v>
      </c>
      <c r="EF86" s="2142"/>
      <c r="EG86" s="2141">
        <f>EE63/EG63-1</f>
        <v>8.0410797588181815E-3</v>
      </c>
      <c r="EH86" s="441">
        <f t="shared" si="267"/>
        <v>-3.8364053899709538E-2</v>
      </c>
      <c r="EI86" s="441">
        <f t="shared" si="267"/>
        <v>7.1441508030132272E-3</v>
      </c>
      <c r="EJ86" s="443">
        <f t="shared" si="267"/>
        <v>-8.7786866204486724E-4</v>
      </c>
      <c r="EK86" s="2142"/>
      <c r="EL86" s="2141">
        <f>EJ63/EL63-1</f>
        <v>-6.8846329873104795E-2</v>
      </c>
      <c r="EM86" s="441">
        <f t="shared" si="268"/>
        <v>2.5824233576642541E-2</v>
      </c>
      <c r="EN86" s="441">
        <f t="shared" si="269"/>
        <v>3.4845749065164133E-2</v>
      </c>
      <c r="EO86" s="443">
        <f t="shared" si="269"/>
        <v>-2.564772879823074E-2</v>
      </c>
      <c r="EP86" s="2142"/>
      <c r="EQ86" s="2141">
        <f>EO63/EQ63-1</f>
        <v>-3.9691196858484545E-3</v>
      </c>
      <c r="ER86" s="441">
        <f t="shared" si="270"/>
        <v>0</v>
      </c>
      <c r="ES86" s="441">
        <f t="shared" si="271"/>
        <v>0</v>
      </c>
      <c r="ET86" s="443">
        <f t="shared" si="272"/>
        <v>0</v>
      </c>
      <c r="EU86" s="2142"/>
      <c r="EV86" s="2141">
        <f>ET63/EV63-1</f>
        <v>0</v>
      </c>
      <c r="EW86" s="441">
        <f t="shared" si="273"/>
        <v>0</v>
      </c>
      <c r="EX86" s="441">
        <f t="shared" si="274"/>
        <v>0</v>
      </c>
      <c r="EY86" s="443">
        <f t="shared" si="275"/>
        <v>0</v>
      </c>
      <c r="EZ86" s="2142"/>
      <c r="FA86" s="2142"/>
      <c r="FB86" s="2142"/>
      <c r="FC86" s="2142"/>
      <c r="FD86" s="441"/>
      <c r="FF86" s="441"/>
    </row>
    <row r="87" spans="1:169" ht="11.25" customHeight="1">
      <c r="A87" s="2120" t="str">
        <f t="shared" si="258"/>
        <v>Taiwan (TWD/USD)</v>
      </c>
      <c r="B87" s="440"/>
      <c r="C87" s="440"/>
      <c r="D87" s="440"/>
      <c r="E87" s="440"/>
      <c r="F87" s="2142"/>
      <c r="G87" s="440"/>
      <c r="H87" s="440"/>
      <c r="I87" s="440"/>
      <c r="J87" s="440"/>
      <c r="K87" s="2142"/>
      <c r="L87" s="440"/>
      <c r="M87" s="440"/>
      <c r="N87" s="440"/>
      <c r="O87" s="440"/>
      <c r="P87" s="2142"/>
      <c r="Q87" s="440"/>
      <c r="R87" s="440"/>
      <c r="S87" s="440"/>
      <c r="T87" s="440"/>
      <c r="U87" s="2142"/>
      <c r="V87" s="440"/>
      <c r="W87" s="440"/>
      <c r="X87" s="440"/>
      <c r="Y87" s="440"/>
      <c r="Z87" s="2142"/>
      <c r="AA87" s="440"/>
      <c r="AB87" s="440"/>
      <c r="AC87" s="440"/>
      <c r="AD87" s="440"/>
      <c r="AE87" s="2142"/>
      <c r="AF87" s="440"/>
      <c r="AG87" s="440"/>
      <c r="AH87" s="440"/>
      <c r="AI87" s="440"/>
      <c r="AJ87" s="2142"/>
      <c r="AK87" s="440"/>
      <c r="AL87" s="440"/>
      <c r="AM87" s="440"/>
      <c r="AN87" s="440"/>
      <c r="AO87" s="2142"/>
      <c r="AP87" s="440"/>
      <c r="AQ87" s="440"/>
      <c r="AR87" s="440"/>
      <c r="AS87" s="440"/>
      <c r="AT87" s="2142"/>
      <c r="AU87" s="440"/>
      <c r="AV87" s="440"/>
      <c r="AW87" s="440"/>
      <c r="AX87" s="440"/>
      <c r="AY87" s="2142"/>
      <c r="AZ87" s="2141"/>
      <c r="BA87" s="441"/>
      <c r="BB87" s="441"/>
      <c r="BC87" s="443"/>
      <c r="BD87" s="2142"/>
      <c r="BE87" s="2141"/>
      <c r="BF87" s="441"/>
      <c r="BG87" s="441"/>
      <c r="BH87" s="443"/>
      <c r="BI87" s="2142"/>
      <c r="BJ87" s="2141"/>
      <c r="BK87" s="441"/>
      <c r="BL87" s="441"/>
      <c r="BM87" s="443"/>
      <c r="BN87" s="2142"/>
      <c r="BO87" s="2141"/>
      <c r="BP87" s="441"/>
      <c r="BQ87" s="441"/>
      <c r="BR87" s="443"/>
      <c r="BS87" s="2142"/>
      <c r="BT87" s="2141"/>
      <c r="BU87" s="441"/>
      <c r="BV87" s="441"/>
      <c r="BW87" s="443"/>
      <c r="BX87" s="2142"/>
      <c r="BY87" s="2141"/>
      <c r="BZ87" s="441"/>
      <c r="CA87" s="441"/>
      <c r="CB87" s="443"/>
      <c r="CC87" s="2142"/>
      <c r="CD87" s="2141"/>
      <c r="CE87" s="441"/>
      <c r="CF87" s="441"/>
      <c r="CG87" s="443"/>
      <c r="CH87" s="2142"/>
      <c r="CI87" s="2141"/>
      <c r="CJ87" s="441"/>
      <c r="CK87" s="441"/>
      <c r="CL87" s="443"/>
      <c r="CM87" s="2142"/>
      <c r="CN87" s="2141"/>
      <c r="CO87" s="441"/>
      <c r="CP87" s="441"/>
      <c r="CQ87" s="443"/>
      <c r="CR87" s="2142"/>
      <c r="CS87" s="2141">
        <f>CQ64/CS64-1</f>
        <v>-1.217183291118884E-2</v>
      </c>
      <c r="CT87" s="441">
        <f t="shared" ref="CT87:CV88" si="276">CS64/CT64-1</f>
        <v>2.4623845274508005E-2</v>
      </c>
      <c r="CU87" s="441">
        <f t="shared" si="276"/>
        <v>1.1858737221637439E-2</v>
      </c>
      <c r="CV87" s="443">
        <f t="shared" si="276"/>
        <v>1.2470853863115972E-2</v>
      </c>
      <c r="CW87" s="2142"/>
      <c r="CX87" s="2141">
        <f>CV64/CX64-1</f>
        <v>4.121111958640622E-3</v>
      </c>
      <c r="CY87" s="441">
        <f t="shared" ref="CY87:DA88" si="277">CX64/CY64-1</f>
        <v>4.0912198672283351E-2</v>
      </c>
      <c r="CZ87" s="441">
        <f t="shared" si="277"/>
        <v>-1.4095363946701189E-3</v>
      </c>
      <c r="DA87" s="443">
        <f t="shared" si="277"/>
        <v>3.4586781882273154E-3</v>
      </c>
      <c r="DB87" s="2142"/>
      <c r="DC87" s="2141">
        <f>DA64/DC64-1</f>
        <v>2.656684249333563E-2</v>
      </c>
      <c r="DD87" s="441">
        <f t="shared" ref="DD87:DF88" si="278">DC64/DD64-1</f>
        <v>-5.886532020704327E-3</v>
      </c>
      <c r="DE87" s="441">
        <f t="shared" si="278"/>
        <v>-3.4219497053986636E-2</v>
      </c>
      <c r="DF87" s="443">
        <f t="shared" si="278"/>
        <v>-5.2543768417402381E-3</v>
      </c>
      <c r="DG87" s="2142"/>
      <c r="DH87" s="2141">
        <f>DF64/DH64-1</f>
        <v>2.5306556896309562E-3</v>
      </c>
      <c r="DI87" s="441">
        <f t="shared" ref="DI87:DK88" si="279">DH64/DI64-1</f>
        <v>-1.3595457467323824E-2</v>
      </c>
      <c r="DJ87" s="441">
        <f t="shared" si="279"/>
        <v>-8.0286891826786277E-4</v>
      </c>
      <c r="DK87" s="443">
        <f t="shared" si="279"/>
        <v>1.5446659564754217E-2</v>
      </c>
      <c r="DL87" s="2142"/>
      <c r="DM87" s="2141">
        <f>DK64/DM64-1</f>
        <v>1.6294921508191562E-2</v>
      </c>
      <c r="DN87" s="441">
        <f t="shared" si="263"/>
        <v>5.6661000566611275E-3</v>
      </c>
      <c r="DO87" s="441">
        <f t="shared" si="263"/>
        <v>1.884678076609636E-2</v>
      </c>
      <c r="DP87" s="443">
        <f t="shared" si="263"/>
        <v>2.5264892592291588E-2</v>
      </c>
      <c r="DQ87" s="2142"/>
      <c r="DR87" s="2141">
        <f>DP64/DR64-1</f>
        <v>2.5944182502262381E-2</v>
      </c>
      <c r="DS87" s="441">
        <f t="shared" si="264"/>
        <v>3.0966389557174345E-4</v>
      </c>
      <c r="DT87" s="441">
        <f t="shared" si="264"/>
        <v>5.5208919653657595E-3</v>
      </c>
      <c r="DU87" s="443">
        <f t="shared" si="264"/>
        <v>2.2806112038027404E-3</v>
      </c>
      <c r="DV87" s="2142"/>
      <c r="DW87" s="2141">
        <f>DU64/DW64-1</f>
        <v>-2.3112665261545429E-3</v>
      </c>
      <c r="DX87" s="441">
        <f t="shared" si="265"/>
        <v>-4.0878444344899734E-2</v>
      </c>
      <c r="DY87" s="441">
        <f t="shared" si="265"/>
        <v>-3.3106037048553971E-2</v>
      </c>
      <c r="DZ87" s="443">
        <f t="shared" si="265"/>
        <v>-5.057939076981488E-2</v>
      </c>
      <c r="EA87" s="2142"/>
      <c r="EB87" s="2141">
        <f>DZ64/EB64-1</f>
        <v>3.8340686891689346E-2</v>
      </c>
      <c r="EC87" s="441">
        <f t="shared" si="266"/>
        <v>-7.3358401982307475E-3</v>
      </c>
      <c r="ED87" s="441">
        <f t="shared" si="266"/>
        <v>-2.619352517224216E-2</v>
      </c>
      <c r="EE87" s="443">
        <f t="shared" si="266"/>
        <v>-1.0990276222275885E-2</v>
      </c>
      <c r="EF87" s="2142"/>
      <c r="EG87" s="2141">
        <f>EE64/EG64-1</f>
        <v>2.2091704645141874E-2</v>
      </c>
      <c r="EH87" s="441">
        <f t="shared" si="267"/>
        <v>-3.6648459239410514E-2</v>
      </c>
      <c r="EI87" s="441">
        <f t="shared" si="267"/>
        <v>-1.9748616568266986E-3</v>
      </c>
      <c r="EJ87" s="443">
        <f t="shared" si="267"/>
        <v>1.0728765983990085E-2</v>
      </c>
      <c r="EK87" s="2142"/>
      <c r="EL87" s="2141">
        <f>EJ64/EL64-1</f>
        <v>-2.2230805981072965E-2</v>
      </c>
      <c r="EM87" s="441">
        <f t="shared" si="268"/>
        <v>3.5046188161522052E-2</v>
      </c>
      <c r="EN87" s="441">
        <f t="shared" si="269"/>
        <v>5.9811333377935316E-2</v>
      </c>
      <c r="EO87" s="443">
        <f t="shared" si="269"/>
        <v>-2.1622447198463846E-2</v>
      </c>
      <c r="EP87" s="2142"/>
      <c r="EQ87" s="2141">
        <f>EO64/EQ64-1</f>
        <v>-1.4814814814816391E-3</v>
      </c>
      <c r="ER87" s="441">
        <f t="shared" si="270"/>
        <v>0</v>
      </c>
      <c r="ES87" s="441">
        <f t="shared" si="271"/>
        <v>0</v>
      </c>
      <c r="ET87" s="443">
        <f t="shared" si="272"/>
        <v>0</v>
      </c>
      <c r="EU87" s="2142"/>
      <c r="EV87" s="2141">
        <f>ET64/EV64-1</f>
        <v>0</v>
      </c>
      <c r="EW87" s="441">
        <f t="shared" si="273"/>
        <v>0</v>
      </c>
      <c r="EX87" s="441">
        <f t="shared" si="274"/>
        <v>0</v>
      </c>
      <c r="EY87" s="443">
        <f t="shared" si="275"/>
        <v>0</v>
      </c>
      <c r="EZ87" s="2142"/>
      <c r="FA87" s="2142"/>
      <c r="FB87" s="2142"/>
      <c r="FC87" s="2142"/>
      <c r="FD87" s="441"/>
      <c r="FF87" s="441"/>
    </row>
    <row r="88" spans="1:169" ht="11.25" customHeight="1">
      <c r="A88" s="2150" t="str">
        <f>A65</f>
        <v>Others (YEN/USD)</v>
      </c>
      <c r="B88" s="2117"/>
      <c r="C88" s="2117"/>
      <c r="D88" s="2117"/>
      <c r="E88" s="2117"/>
      <c r="F88" s="2151"/>
      <c r="G88" s="2117"/>
      <c r="H88" s="2117"/>
      <c r="I88" s="2117"/>
      <c r="J88" s="2117"/>
      <c r="K88" s="2151"/>
      <c r="L88" s="2117"/>
      <c r="M88" s="2117"/>
      <c r="N88" s="2117"/>
      <c r="O88" s="2117"/>
      <c r="P88" s="2151"/>
      <c r="Q88" s="2117"/>
      <c r="R88" s="2117"/>
      <c r="S88" s="2117"/>
      <c r="T88" s="2117"/>
      <c r="U88" s="2151"/>
      <c r="V88" s="2117"/>
      <c r="W88" s="2117"/>
      <c r="X88" s="2117"/>
      <c r="Y88" s="2117"/>
      <c r="Z88" s="2151"/>
      <c r="AA88" s="2117"/>
      <c r="AB88" s="2117"/>
      <c r="AC88" s="2117"/>
      <c r="AD88" s="2117"/>
      <c r="AE88" s="2151"/>
      <c r="AF88" s="2117"/>
      <c r="AG88" s="2117"/>
      <c r="AH88" s="2117"/>
      <c r="AI88" s="2117"/>
      <c r="AJ88" s="2151"/>
      <c r="AK88" s="2117"/>
      <c r="AL88" s="2117"/>
      <c r="AM88" s="2117"/>
      <c r="AN88" s="2117"/>
      <c r="AO88" s="2151"/>
      <c r="AP88" s="2117"/>
      <c r="AQ88" s="2117"/>
      <c r="AR88" s="2117"/>
      <c r="AS88" s="2117"/>
      <c r="AT88" s="2151"/>
      <c r="AU88" s="2117"/>
      <c r="AV88" s="2117"/>
      <c r="AW88" s="2117"/>
      <c r="AX88" s="2117"/>
      <c r="AY88" s="2151"/>
      <c r="AZ88" s="1921"/>
      <c r="BA88" s="2118"/>
      <c r="BB88" s="2118"/>
      <c r="BC88" s="1920"/>
      <c r="BD88" s="2151"/>
      <c r="BE88" s="1921"/>
      <c r="BF88" s="2118"/>
      <c r="BG88" s="2118"/>
      <c r="BH88" s="1920"/>
      <c r="BI88" s="2151"/>
      <c r="BJ88" s="1921"/>
      <c r="BK88" s="2118"/>
      <c r="BL88" s="2118"/>
      <c r="BM88" s="1920"/>
      <c r="BN88" s="2151"/>
      <c r="BO88" s="1921"/>
      <c r="BP88" s="2118"/>
      <c r="BQ88" s="2118"/>
      <c r="BR88" s="1920"/>
      <c r="BS88" s="2151"/>
      <c r="BT88" s="1921"/>
      <c r="BU88" s="2118"/>
      <c r="BV88" s="2118"/>
      <c r="BW88" s="1920"/>
      <c r="BX88" s="2151"/>
      <c r="BY88" s="1921"/>
      <c r="BZ88" s="2118"/>
      <c r="CA88" s="2118"/>
      <c r="CB88" s="1920"/>
      <c r="CC88" s="2151"/>
      <c r="CD88" s="1921"/>
      <c r="CE88" s="2118"/>
      <c r="CF88" s="2118"/>
      <c r="CG88" s="1920"/>
      <c r="CH88" s="2151"/>
      <c r="CI88" s="1921"/>
      <c r="CJ88" s="2118"/>
      <c r="CK88" s="2118"/>
      <c r="CL88" s="1920"/>
      <c r="CM88" s="2151"/>
      <c r="CN88" s="1921"/>
      <c r="CO88" s="2118"/>
      <c r="CP88" s="2118"/>
      <c r="CQ88" s="1920"/>
      <c r="CR88" s="2151"/>
      <c r="CS88" s="2519">
        <f>CQ65/CS65-1</f>
        <v>2.7001835898884385E-2</v>
      </c>
      <c r="CT88" s="2520">
        <f t="shared" si="276"/>
        <v>7.3529411764705843E-2</v>
      </c>
      <c r="CU88" s="2520">
        <f t="shared" si="276"/>
        <v>6.8385759175872307E-2</v>
      </c>
      <c r="CV88" s="1920">
        <f t="shared" si="276"/>
        <v>-3.7239185353834636E-2</v>
      </c>
      <c r="CW88" s="2151"/>
      <c r="CX88" s="2519">
        <f>CV65/CX65-1</f>
        <v>-6.39360056053484E-2</v>
      </c>
      <c r="CY88" s="2520">
        <f t="shared" si="277"/>
        <v>2.6583947731223523E-2</v>
      </c>
      <c r="CZ88" s="2520">
        <f t="shared" si="277"/>
        <v>3.0965336860775405E-3</v>
      </c>
      <c r="DA88" s="1920">
        <f t="shared" si="277"/>
        <v>-1.7892468038619325E-2</v>
      </c>
      <c r="DB88" s="2151"/>
      <c r="DC88" s="2519">
        <f>DA65/DC65-1</f>
        <v>2.2367785559043618E-2</v>
      </c>
      <c r="DD88" s="2520">
        <f t="shared" si="278"/>
        <v>2.1082480581925855E-2</v>
      </c>
      <c r="DE88" s="2520">
        <f t="shared" si="278"/>
        <v>-2.7603776412408187E-2</v>
      </c>
      <c r="DF88" s="1920">
        <f t="shared" si="278"/>
        <v>-1.9282208047970428E-2</v>
      </c>
      <c r="DG88" s="2151"/>
      <c r="DH88" s="2519">
        <f>DF65/DH65-1</f>
        <v>3.1033124223414088E-2</v>
      </c>
      <c r="DI88" s="2520">
        <f t="shared" si="279"/>
        <v>-1.815046737453474E-3</v>
      </c>
      <c r="DJ88" s="2520">
        <f t="shared" si="279"/>
        <v>2.3721780062556208E-2</v>
      </c>
      <c r="DK88" s="1920">
        <f t="shared" si="279"/>
        <v>-8.2616707616709473E-3</v>
      </c>
      <c r="DL88" s="2151"/>
      <c r="DM88" s="2519">
        <f>DK65/DM65-1</f>
        <v>2.308757888256352E-3</v>
      </c>
      <c r="DN88" s="2520">
        <f t="shared" si="263"/>
        <v>7.1306774143542473E-3</v>
      </c>
      <c r="DO88" s="2520">
        <f t="shared" si="263"/>
        <v>9.0092908311696362E-3</v>
      </c>
      <c r="DP88" s="1920">
        <f t="shared" si="263"/>
        <v>1.6600413420257532E-2</v>
      </c>
      <c r="DQ88" s="2151"/>
      <c r="DR88" s="2519">
        <f>DP65/DR65-1</f>
        <v>-1.5898251192369983E-4</v>
      </c>
      <c r="DS88" s="2520">
        <f t="shared" si="264"/>
        <v>-4.584205576287137E-2</v>
      </c>
      <c r="DT88" s="2520">
        <f t="shared" si="264"/>
        <v>-3.7479220190417273E-3</v>
      </c>
      <c r="DU88" s="1920">
        <f t="shared" si="264"/>
        <v>-2.2339765373363907E-2</v>
      </c>
      <c r="DV88" s="2151"/>
      <c r="DW88" s="2519">
        <f>DU65/DW65-1</f>
        <v>-1.9641356933862486E-2</v>
      </c>
      <c r="DX88" s="2520">
        <f t="shared" si="265"/>
        <v>-9.1772568211118899E-2</v>
      </c>
      <c r="DY88" s="2520">
        <f t="shared" si="265"/>
        <v>-6.8341708542713819E-2</v>
      </c>
      <c r="DZ88" s="1920">
        <f t="shared" si="265"/>
        <v>-5.4620875046347717E-2</v>
      </c>
      <c r="EA88" s="2151"/>
      <c r="EB88" s="2519">
        <f>DZ65/EB65-1</f>
        <v>8.5912728370828972E-2</v>
      </c>
      <c r="EC88" s="2520">
        <f t="shared" si="266"/>
        <v>-2.7221542227662043E-2</v>
      </c>
      <c r="ED88" s="2520">
        <f t="shared" si="266"/>
        <v>-5.4704493914009333E-2</v>
      </c>
      <c r="EE88" s="1920">
        <f t="shared" si="266"/>
        <v>-3.8085698386199351E-2</v>
      </c>
      <c r="EF88" s="2151"/>
      <c r="EG88" s="2519">
        <f>EE65/EG65-1</f>
        <v>2.5825455541855113E-2</v>
      </c>
      <c r="EH88" s="2520">
        <f t="shared" si="267"/>
        <v>-6.1141362603438609E-2</v>
      </c>
      <c r="EI88" s="2520">
        <f t="shared" si="267"/>
        <v>2.0633218825897526E-2</v>
      </c>
      <c r="EJ88" s="1920">
        <f t="shared" si="267"/>
        <v>2.6042251307725195E-2</v>
      </c>
      <c r="EK88" s="2151"/>
      <c r="EL88" s="2519">
        <f>EJ65/EL65-1</f>
        <v>-3.7989719666537192E-2</v>
      </c>
      <c r="EM88" s="2520">
        <f t="shared" si="268"/>
        <v>5.9421118865118583E-2</v>
      </c>
      <c r="EN88" s="2520">
        <f t="shared" si="269"/>
        <v>-1.081864065364524E-2</v>
      </c>
      <c r="EO88" s="1920">
        <f t="shared" si="269"/>
        <v>-2.6076797601728097E-2</v>
      </c>
      <c r="EP88" s="2151"/>
      <c r="EQ88" s="2519">
        <f>EO65/EQ65-1</f>
        <v>-1.0858189429618026E-2</v>
      </c>
      <c r="ER88" s="2520">
        <f t="shared" si="270"/>
        <v>0</v>
      </c>
      <c r="ES88" s="2520">
        <f t="shared" si="271"/>
        <v>0</v>
      </c>
      <c r="ET88" s="1920">
        <f t="shared" si="272"/>
        <v>0</v>
      </c>
      <c r="EU88" s="2151"/>
      <c r="EV88" s="2519">
        <f>ET65/EV65-1</f>
        <v>0</v>
      </c>
      <c r="EW88" s="2520">
        <f t="shared" si="273"/>
        <v>0</v>
      </c>
      <c r="EX88" s="2520">
        <f t="shared" si="274"/>
        <v>0</v>
      </c>
      <c r="EY88" s="1920">
        <f t="shared" si="275"/>
        <v>0</v>
      </c>
      <c r="EZ88" s="2151"/>
      <c r="FA88" s="2151"/>
      <c r="FB88" s="2151"/>
      <c r="FC88" s="2151"/>
      <c r="FD88" s="441"/>
      <c r="FF88" s="441"/>
    </row>
    <row r="89" spans="1:169" ht="11.25" customHeight="1">
      <c r="A89" s="2150"/>
      <c r="B89" s="2117"/>
      <c r="C89" s="2117"/>
      <c r="D89" s="2117"/>
      <c r="E89" s="2117"/>
      <c r="F89" s="2151"/>
      <c r="G89" s="2117"/>
      <c r="H89" s="2117"/>
      <c r="I89" s="2117"/>
      <c r="J89" s="2117"/>
      <c r="K89" s="2151"/>
      <c r="L89" s="2117"/>
      <c r="M89" s="2117"/>
      <c r="N89" s="2117"/>
      <c r="O89" s="2117"/>
      <c r="P89" s="2151"/>
      <c r="Q89" s="2117"/>
      <c r="R89" s="2117"/>
      <c r="S89" s="2117"/>
      <c r="T89" s="2117"/>
      <c r="U89" s="2151"/>
      <c r="V89" s="2117"/>
      <c r="W89" s="2117"/>
      <c r="X89" s="2117"/>
      <c r="Y89" s="2117"/>
      <c r="Z89" s="2151"/>
      <c r="AA89" s="2117"/>
      <c r="AB89" s="2117"/>
      <c r="AC89" s="2117"/>
      <c r="AD89" s="2117"/>
      <c r="AE89" s="2151"/>
      <c r="AF89" s="2117"/>
      <c r="AG89" s="2117"/>
      <c r="AH89" s="2117"/>
      <c r="AI89" s="2117"/>
      <c r="AJ89" s="2151"/>
      <c r="AK89" s="2117"/>
      <c r="AL89" s="2117"/>
      <c r="AM89" s="2117"/>
      <c r="AN89" s="2117"/>
      <c r="AO89" s="2151"/>
      <c r="AP89" s="2117"/>
      <c r="AQ89" s="2117"/>
      <c r="AR89" s="2117"/>
      <c r="AS89" s="2117"/>
      <c r="AT89" s="2151"/>
      <c r="AU89" s="2117"/>
      <c r="AV89" s="2117"/>
      <c r="AW89" s="2117"/>
      <c r="AX89" s="2117"/>
      <c r="AY89" s="2151"/>
      <c r="AZ89" s="1921"/>
      <c r="BA89" s="2118"/>
      <c r="BB89" s="2118"/>
      <c r="BC89" s="2118"/>
      <c r="BD89" s="2151"/>
      <c r="BE89" s="1921"/>
      <c r="BF89" s="2118"/>
      <c r="BG89" s="2118"/>
      <c r="BH89" s="2118"/>
      <c r="BI89" s="2151"/>
      <c r="BJ89" s="1921"/>
      <c r="BK89" s="2118"/>
      <c r="BL89" s="2118"/>
      <c r="BM89" s="1920"/>
      <c r="BN89" s="2151"/>
      <c r="BO89" s="1921"/>
      <c r="BP89" s="2118"/>
      <c r="BQ89" s="2118"/>
      <c r="BR89" s="2118"/>
      <c r="BS89" s="2151"/>
      <c r="BT89" s="1921"/>
      <c r="BU89" s="2118"/>
      <c r="BV89" s="2118"/>
      <c r="BW89" s="1920"/>
      <c r="BX89" s="2151"/>
      <c r="BY89" s="1921"/>
      <c r="BZ89" s="2118"/>
      <c r="CA89" s="2118"/>
      <c r="CB89" s="1920"/>
      <c r="CC89" s="2151"/>
      <c r="CD89" s="1921"/>
      <c r="CE89" s="2118"/>
      <c r="CF89" s="2118"/>
      <c r="CG89" s="1920"/>
      <c r="CH89" s="2151"/>
      <c r="CI89" s="1921"/>
      <c r="CJ89" s="2118"/>
      <c r="CK89" s="2118"/>
      <c r="CL89" s="1920"/>
      <c r="CM89" s="2151"/>
      <c r="CN89" s="1921"/>
      <c r="CO89" s="2118"/>
      <c r="CP89" s="2118"/>
      <c r="CQ89" s="1920"/>
      <c r="CR89" s="2151"/>
      <c r="CS89" s="1921"/>
      <c r="CT89" s="2118"/>
      <c r="CU89" s="2118"/>
      <c r="CV89" s="1920"/>
      <c r="CW89" s="2151"/>
      <c r="CX89" s="1921"/>
      <c r="CY89" s="2118"/>
      <c r="CZ89" s="2118"/>
      <c r="DA89" s="1920"/>
      <c r="DB89" s="2151"/>
      <c r="DC89" s="1921"/>
      <c r="DD89" s="2118"/>
      <c r="DE89" s="2118"/>
      <c r="DF89" s="1920"/>
      <c r="DG89" s="2151"/>
      <c r="DH89" s="1921"/>
      <c r="DI89" s="2118"/>
      <c r="DJ89" s="2118"/>
      <c r="DK89" s="1920"/>
      <c r="DL89" s="2151"/>
      <c r="DM89" s="1921"/>
      <c r="DN89" s="2118"/>
      <c r="DO89" s="2118"/>
      <c r="DP89" s="1920"/>
      <c r="DQ89" s="2151"/>
      <c r="DR89" s="1921"/>
      <c r="DS89" s="2118"/>
      <c r="DT89" s="2118"/>
      <c r="DU89" s="1920"/>
      <c r="DV89" s="2151"/>
      <c r="DW89" s="1921"/>
      <c r="DX89" s="2118"/>
      <c r="DY89" s="2118"/>
      <c r="DZ89" s="1920"/>
      <c r="EA89" s="2151"/>
      <c r="EB89" s="1921"/>
      <c r="EC89" s="2118"/>
      <c r="ED89" s="2118"/>
      <c r="EE89" s="1920"/>
      <c r="EF89" s="2151"/>
      <c r="EG89" s="1921"/>
      <c r="EH89" s="2118"/>
      <c r="EI89" s="2118"/>
      <c r="EJ89" s="1920"/>
      <c r="EK89" s="2151"/>
      <c r="EL89" s="1921"/>
      <c r="EM89" s="2118"/>
      <c r="EN89" s="2118"/>
      <c r="EO89" s="1920"/>
      <c r="EP89" s="2151"/>
      <c r="EQ89" s="1921"/>
      <c r="ER89" s="2118"/>
      <c r="ES89" s="2118"/>
      <c r="ET89" s="1920"/>
      <c r="EU89" s="2151"/>
      <c r="EV89" s="1921"/>
      <c r="EW89" s="2118"/>
      <c r="EX89" s="2118"/>
      <c r="EY89" s="1920"/>
      <c r="EZ89" s="2151"/>
      <c r="FA89" s="2151"/>
      <c r="FB89" s="2151"/>
      <c r="FC89" s="2151"/>
      <c r="FD89" s="441"/>
      <c r="FF89" s="441"/>
    </row>
    <row r="90" spans="1:169" s="476" customFormat="1" ht="11.25" customHeight="1">
      <c r="A90" s="3202" t="s">
        <v>609</v>
      </c>
      <c r="B90" s="3203"/>
      <c r="C90" s="3203"/>
      <c r="D90" s="3203"/>
      <c r="E90" s="3203"/>
      <c r="F90" s="3204"/>
      <c r="G90" s="3203"/>
      <c r="H90" s="3203"/>
      <c r="I90" s="3203"/>
      <c r="J90" s="3203"/>
      <c r="K90" s="3204"/>
      <c r="L90" s="3203"/>
      <c r="M90" s="3203"/>
      <c r="N90" s="3203"/>
      <c r="O90" s="3203"/>
      <c r="P90" s="3204"/>
      <c r="Q90" s="3203"/>
      <c r="R90" s="3203"/>
      <c r="S90" s="3203"/>
      <c r="T90" s="3203"/>
      <c r="U90" s="3204"/>
      <c r="V90" s="3203"/>
      <c r="W90" s="3203"/>
      <c r="X90" s="3203"/>
      <c r="Y90" s="3203"/>
      <c r="Z90" s="3204"/>
      <c r="AA90" s="3203"/>
      <c r="AB90" s="3203"/>
      <c r="AC90" s="3203"/>
      <c r="AD90" s="3203"/>
      <c r="AE90" s="3204"/>
      <c r="AF90" s="3203"/>
      <c r="AG90" s="3203"/>
      <c r="AH90" s="3203"/>
      <c r="AI90" s="3203"/>
      <c r="AJ90" s="3204"/>
      <c r="AK90" s="3203"/>
      <c r="AL90" s="3203"/>
      <c r="AM90" s="3203"/>
      <c r="AN90" s="3203"/>
      <c r="AO90" s="3204"/>
      <c r="AP90" s="3203"/>
      <c r="AQ90" s="3203"/>
      <c r="AR90" s="3203"/>
      <c r="AS90" s="3203"/>
      <c r="AT90" s="3204"/>
      <c r="AU90" s="3203"/>
      <c r="AV90" s="3203"/>
      <c r="AW90" s="3203"/>
      <c r="AX90" s="3203"/>
      <c r="AY90" s="3204"/>
      <c r="AZ90" s="3205"/>
      <c r="BA90" s="3206"/>
      <c r="BB90" s="3206"/>
      <c r="BC90" s="3206"/>
      <c r="BD90" s="3204"/>
      <c r="BE90" s="3205"/>
      <c r="BF90" s="3206"/>
      <c r="BG90" s="3206"/>
      <c r="BH90" s="3206"/>
      <c r="BI90" s="3204"/>
      <c r="BJ90" s="3205"/>
      <c r="BK90" s="3206"/>
      <c r="BL90" s="3206"/>
      <c r="BM90" s="3207"/>
      <c r="BN90" s="3204"/>
      <c r="BO90" s="3205"/>
      <c r="BP90" s="3206"/>
      <c r="BQ90" s="3206"/>
      <c r="BR90" s="3206"/>
      <c r="BS90" s="3204"/>
      <c r="BT90" s="3205"/>
      <c r="BU90" s="3206"/>
      <c r="BV90" s="3206"/>
      <c r="BW90" s="3207"/>
      <c r="BX90" s="3204"/>
      <c r="BY90" s="3205"/>
      <c r="BZ90" s="3206"/>
      <c r="CA90" s="3206"/>
      <c r="CB90" s="3207"/>
      <c r="CC90" s="3204"/>
      <c r="CD90" s="3205"/>
      <c r="CE90" s="3206"/>
      <c r="CF90" s="3206"/>
      <c r="CG90" s="3207"/>
      <c r="CH90" s="3204"/>
      <c r="CI90" s="3205"/>
      <c r="CJ90" s="3206"/>
      <c r="CK90" s="3206"/>
      <c r="CL90" s="3207"/>
      <c r="CM90" s="3204"/>
      <c r="CN90" s="3205"/>
      <c r="CO90" s="3206"/>
      <c r="CP90" s="3206"/>
      <c r="CQ90" s="3207"/>
      <c r="CR90" s="3204"/>
      <c r="CS90" s="3205">
        <f>SUMPRODUCT(CS49:CS55,CS82:CS88)</f>
        <v>4.9383235481782733E-3</v>
      </c>
      <c r="CT90" s="3206">
        <f>SUMPRODUCT(CT49:CT55,CT82:CT88)</f>
        <v>4.9155268400392596E-2</v>
      </c>
      <c r="CU90" s="3206">
        <f>SUMPRODUCT(CU49:CU55,CU82:CU88)</f>
        <v>3.4649761708093675E-2</v>
      </c>
      <c r="CV90" s="3207">
        <f>SUMPRODUCT(CV49:CV55,CV82:CV88)</f>
        <v>-2.0292202436897083E-2</v>
      </c>
      <c r="CW90" s="3204"/>
      <c r="CX90" s="3205">
        <f>SUMPRODUCT(CX49:CX55,CX82:CX88)</f>
        <v>-3.7106813543680596E-2</v>
      </c>
      <c r="CY90" s="3206">
        <f>SUMPRODUCT(CY49:CY55,CY82:CY88)</f>
        <v>2.9344265152057829E-2</v>
      </c>
      <c r="CZ90" s="3206">
        <f>SUMPRODUCT(CZ49:CZ55,CZ82:CZ88)</f>
        <v>8.4056213241110005E-3</v>
      </c>
      <c r="DA90" s="3207">
        <f>SUMPRODUCT(DA49:DA55,DA82:DA88)</f>
        <v>-1.3194300838309685E-2</v>
      </c>
      <c r="DB90" s="3204"/>
      <c r="DC90" s="3205">
        <f>SUMPRODUCT(DC49:DC55,DC82:DC88)</f>
        <v>2.2921205859414637E-2</v>
      </c>
      <c r="DD90" s="3206">
        <f>SUMPRODUCT(DD49:DD55,DD82:DD88)</f>
        <v>-2.4225005829039224E-3</v>
      </c>
      <c r="DE90" s="3206">
        <f>SUMPRODUCT(DE49:DE55,DE82:DE88)</f>
        <v>-3.5140618682041491E-2</v>
      </c>
      <c r="DF90" s="3207">
        <f>SUMPRODUCT(DF49:DF55,DF82:DF88)</f>
        <v>-1.6168978899221455E-2</v>
      </c>
      <c r="DG90" s="3204"/>
      <c r="DH90" s="3205">
        <f>SUMPRODUCT(DH49:DH55,DH82:DH88)</f>
        <v>1.5971457110816628E-2</v>
      </c>
      <c r="DI90" s="3206">
        <f>SUMPRODUCT(DI49:DI55,DI82:DI88)</f>
        <v>-1.3288651010443077E-2</v>
      </c>
      <c r="DJ90" s="3206">
        <f>SUMPRODUCT(DJ49:DJ55,DJ82:DJ88)</f>
        <v>5.7826863703508129E-3</v>
      </c>
      <c r="DK90" s="3207">
        <f>SUMPRODUCT(DK49:DK55,DK82:DK88)</f>
        <v>-6.2102012179310311E-3</v>
      </c>
      <c r="DL90" s="3204"/>
      <c r="DM90" s="3205">
        <f>SUMPRODUCT(DM49:DM55,DM82:DM88)</f>
        <v>-1.8873499972410805E-4</v>
      </c>
      <c r="DN90" s="3206">
        <f>SUMPRODUCT(DN49:DN55,DN82:DN88)</f>
        <v>-1.354360446388719E-2</v>
      </c>
      <c r="DO90" s="3206">
        <f>SUMPRODUCT(DO49:DO55,DO82:DO88)</f>
        <v>1.943734817796821E-2</v>
      </c>
      <c r="DP90" s="3207">
        <f>SUMPRODUCT(DP49:DP55,DP82:DP88)</f>
        <v>2.404717716459526E-2</v>
      </c>
      <c r="DQ90" s="3204"/>
      <c r="DR90" s="3205">
        <f>SUMPRODUCT(DR49:DR55,DR82:DR88)</f>
        <v>1.4416634107174343E-2</v>
      </c>
      <c r="DS90" s="3206">
        <f>SUMPRODUCT(DS49:DS55,DS82:DS88)</f>
        <v>-2.2767988912000381E-2</v>
      </c>
      <c r="DT90" s="3206">
        <f>SUMPRODUCT(DT49:DT55,DT82:DT88)</f>
        <v>-1.0736498756035547E-2</v>
      </c>
      <c r="DU90" s="3207">
        <f>SUMPRODUCT(DU49:DU55,DU82:DU88)</f>
        <v>-1.8690707052702732E-2</v>
      </c>
      <c r="DV90" s="3204"/>
      <c r="DW90" s="3205">
        <f>SUMPRODUCT(DW49:DW55,DW82:DW88)</f>
        <v>-1.3274611751795775E-2</v>
      </c>
      <c r="DX90" s="3206">
        <f>SUMPRODUCT(DX49:DX55,DX82:DX88)</f>
        <v>-4.5349843778063177E-2</v>
      </c>
      <c r="DY90" s="3206">
        <f>SUMPRODUCT(DY49:DY55,DY82:DY88)</f>
        <v>-4.6070021194290711E-2</v>
      </c>
      <c r="DZ90" s="3207">
        <f>SUMPRODUCT(DZ49:DZ55,DZ82:DZ88)</f>
        <v>-4.9107454420989266E-2</v>
      </c>
      <c r="EA90" s="3204"/>
      <c r="EB90" s="3205">
        <f>SUMPRODUCT(EB49:EB55,EB82:EB88)</f>
        <v>4.5171658362953643E-2</v>
      </c>
      <c r="EC90" s="3206">
        <f>SUMPRODUCT(EC49:EC55,EC82:EC88)</f>
        <v>-2.3822325510332663E-2</v>
      </c>
      <c r="ED90" s="3206">
        <f>SUMPRODUCT(ED49:ED55,ED82:ED88)</f>
        <v>-7.6269002437348585E-3</v>
      </c>
      <c r="EE90" s="3207">
        <f>SUMPRODUCT(EE49:EE55,EE82:EE88)</f>
        <v>-1.9863072855215769E-2</v>
      </c>
      <c r="EF90" s="3204"/>
      <c r="EG90" s="3205">
        <f>SUMPRODUCT(EG49:EG55,EG82:EG88)</f>
        <v>1.4726475687856712E-2</v>
      </c>
      <c r="EH90" s="3206">
        <f>SUMPRODUCT(EH49:EH55,EH82:EH88)</f>
        <v>-2.4264727537241446E-2</v>
      </c>
      <c r="EI90" s="3206">
        <f>SUMPRODUCT(EI49:EI55,EI82:EI88)</f>
        <v>7.9698581238700147E-3</v>
      </c>
      <c r="EJ90" s="3207">
        <f>SUMPRODUCT(EJ49:EJ55,EJ82:EJ88)</f>
        <v>3.4218277315096659E-3</v>
      </c>
      <c r="EK90" s="3204"/>
      <c r="EL90" s="3205">
        <f>SUMPRODUCT(EL49:EL55,EL82:EL88)</f>
        <v>-4.8040916485930653E-2</v>
      </c>
      <c r="EM90" s="3206">
        <f>SUMPRODUCT(EM49:EM55,EM82:EM88)</f>
        <v>2.8350882357368566E-2</v>
      </c>
      <c r="EN90" s="3206">
        <f>SUMPRODUCT(EN49:EN55,EN82:EN88)</f>
        <v>9.6766085584712482E-3</v>
      </c>
      <c r="EO90" s="3207">
        <f>SUMPRODUCT(EO49:EO55,EO82:EO88)</f>
        <v>-1.20635453998338E-2</v>
      </c>
      <c r="EP90" s="3204"/>
      <c r="EQ90" s="3205">
        <f>SUMPRODUCT(EQ49:EQ55,EQ82:EQ88)</f>
        <v>-2.4421343137977125E-3</v>
      </c>
      <c r="ER90" s="3206">
        <f>SUMPRODUCT(ER49:ER55,ER82:ER88)</f>
        <v>0</v>
      </c>
      <c r="ES90" s="3206">
        <f>SUMPRODUCT(ES49:ES55,ES82:ES88)</f>
        <v>0</v>
      </c>
      <c r="ET90" s="3207">
        <f>SUMPRODUCT(ET49:ET55,ET82:ET88)</f>
        <v>0</v>
      </c>
      <c r="EU90" s="3204"/>
      <c r="EV90" s="3205">
        <f>SUMPRODUCT(EV49:EV55,EV82:EV88)</f>
        <v>0</v>
      </c>
      <c r="EW90" s="3206">
        <f>SUMPRODUCT(EW49:EW55,EW82:EW88)</f>
        <v>0</v>
      </c>
      <c r="EX90" s="3206">
        <f>SUMPRODUCT(EX49:EX55,EX82:EX88)</f>
        <v>0</v>
      </c>
      <c r="EY90" s="3207">
        <f>SUMPRODUCT(EY49:EY55,EY82:EY88)</f>
        <v>0</v>
      </c>
      <c r="EZ90" s="3204"/>
      <c r="FA90" s="3204"/>
      <c r="FB90" s="3204"/>
      <c r="FC90" s="3204"/>
      <c r="FD90"/>
      <c r="FF90"/>
    </row>
    <row r="91" spans="1:169" ht="11.25" customHeight="1">
      <c r="A91" s="2120" t="s">
        <v>352</v>
      </c>
      <c r="B91" s="421"/>
      <c r="C91" s="421"/>
      <c r="D91" s="421"/>
      <c r="E91" s="421"/>
      <c r="F91" s="2143"/>
      <c r="G91" s="421"/>
      <c r="H91" s="421"/>
      <c r="I91" s="421"/>
      <c r="J91" s="421"/>
      <c r="K91" s="2143"/>
      <c r="L91" s="421"/>
      <c r="M91" s="421"/>
      <c r="N91" s="421"/>
      <c r="O91" s="421"/>
      <c r="P91" s="2143"/>
      <c r="Q91" s="421"/>
      <c r="R91" s="421"/>
      <c r="S91" s="421"/>
      <c r="T91" s="421"/>
      <c r="U91" s="2143"/>
      <c r="V91" s="421"/>
      <c r="W91" s="421"/>
      <c r="X91" s="421"/>
      <c r="Y91" s="421"/>
      <c r="Z91" s="2143"/>
      <c r="AA91" s="421"/>
      <c r="AB91" s="421"/>
      <c r="AC91" s="421"/>
      <c r="AD91" s="421"/>
      <c r="AE91" s="2143"/>
      <c r="AF91" s="421"/>
      <c r="AG91" s="421"/>
      <c r="AH91" s="421"/>
      <c r="AI91" s="421"/>
      <c r="AJ91" s="2143"/>
      <c r="AK91" s="421"/>
      <c r="AL91" s="421"/>
      <c r="AM91" s="421"/>
      <c r="AN91" s="421"/>
      <c r="AO91" s="2143"/>
      <c r="AP91" s="421"/>
      <c r="AQ91" s="421"/>
      <c r="AR91" s="421"/>
      <c r="AS91" s="421"/>
      <c r="AT91" s="2143"/>
      <c r="AU91" s="421"/>
      <c r="AV91" s="421"/>
      <c r="AW91" s="421"/>
      <c r="AX91" s="421"/>
      <c r="AY91" s="2143"/>
      <c r="AZ91" s="2144"/>
      <c r="BA91" s="450"/>
      <c r="BB91" s="450"/>
      <c r="BC91" s="450"/>
      <c r="BD91" s="2143"/>
      <c r="BE91" s="2144"/>
      <c r="BF91" s="450"/>
      <c r="BG91" s="450"/>
      <c r="BH91" s="450"/>
      <c r="BI91" s="2143"/>
      <c r="BJ91" s="2144"/>
      <c r="BK91" s="450"/>
      <c r="BL91" s="450"/>
      <c r="BM91" s="450"/>
      <c r="BN91" s="2143"/>
      <c r="BO91" s="2144"/>
      <c r="BP91" s="452"/>
      <c r="BQ91" s="452"/>
      <c r="BR91" s="452"/>
      <c r="BS91" s="2143"/>
      <c r="BT91" s="2144"/>
      <c r="BU91" s="450"/>
      <c r="BV91" s="450"/>
      <c r="BW91" s="1175"/>
      <c r="BX91" s="2143"/>
      <c r="BY91" s="2144"/>
      <c r="BZ91" s="450"/>
      <c r="CA91" s="450"/>
      <c r="CB91" s="1175"/>
      <c r="CC91" s="2143"/>
      <c r="CD91" s="2144"/>
      <c r="CE91" s="450"/>
      <c r="CF91" s="450"/>
      <c r="CG91" s="1175"/>
      <c r="CH91" s="2143"/>
      <c r="CI91" s="450"/>
      <c r="CJ91" s="450"/>
      <c r="CK91" s="450"/>
      <c r="CL91" s="1175"/>
      <c r="CM91" s="2143"/>
      <c r="CN91" s="450"/>
      <c r="CO91" s="450"/>
      <c r="CP91" s="450"/>
      <c r="CQ91" s="1175"/>
      <c r="CR91" s="2143"/>
      <c r="CS91" s="450"/>
      <c r="CT91" s="450"/>
      <c r="CU91" s="450"/>
      <c r="CV91" s="450"/>
      <c r="CW91" s="2143"/>
      <c r="CX91" s="450">
        <f>+CX92/CX90</f>
        <v>1.0056769994055301</v>
      </c>
      <c r="CY91" s="2627">
        <f>+CY92/CY90</f>
        <v>0.72048931655470883</v>
      </c>
      <c r="CZ91" s="2627">
        <f>+CZ92/CZ90</f>
        <v>1.2543954520709544</v>
      </c>
      <c r="DA91" s="2627">
        <f>+DA92/DA90</f>
        <v>0.65598527369661774</v>
      </c>
      <c r="DB91" s="2143"/>
      <c r="DC91" s="2627">
        <f t="shared" ref="DC91:DM91" si="280">+DC92/DC90</f>
        <v>0.88677986957046251</v>
      </c>
      <c r="DD91" s="2627">
        <f t="shared" si="280"/>
        <v>1.2129185062652919</v>
      </c>
      <c r="DE91" s="2627">
        <f t="shared" si="280"/>
        <v>0.69395016550324318</v>
      </c>
      <c r="DF91" s="2627">
        <f t="shared" si="280"/>
        <v>0.92926798173354808</v>
      </c>
      <c r="DG91" s="2143"/>
      <c r="DH91" s="2627">
        <f t="shared" si="280"/>
        <v>0.68530213341825064</v>
      </c>
      <c r="DI91" s="2627">
        <f t="shared" si="280"/>
        <v>0.29816470017926749</v>
      </c>
      <c r="DJ91" s="2627">
        <f t="shared" si="280"/>
        <v>0.99546425240877012</v>
      </c>
      <c r="DK91" s="2627">
        <f t="shared" si="280"/>
        <v>0.85629023254302661</v>
      </c>
      <c r="DL91" s="2143"/>
      <c r="DM91" s="2627">
        <f t="shared" si="280"/>
        <v>26.947363553954688</v>
      </c>
      <c r="DN91" s="2627">
        <f>+DN92/DN90</f>
        <v>0.77843475084830838</v>
      </c>
      <c r="DO91" s="2627">
        <f>+DO92/DO90</f>
        <v>1.1186908060731349</v>
      </c>
      <c r="DP91" s="2627">
        <f>+DP92/DP90</f>
        <v>0.46252617941233543</v>
      </c>
      <c r="DQ91" s="2143"/>
      <c r="DR91" s="2627">
        <f>+DR92/DR90</f>
        <v>1.043831977523229</v>
      </c>
      <c r="DS91" s="2627">
        <f>+DS92/DS90</f>
        <v>0.60932194927890659</v>
      </c>
      <c r="DT91" s="2627">
        <f>+DT92/DT90</f>
        <v>1.0542099227258441</v>
      </c>
      <c r="DU91" s="2627">
        <f>+DU92/DU90</f>
        <v>0.58191060752363111</v>
      </c>
      <c r="DV91" s="2143"/>
      <c r="DW91" s="2627">
        <f>+DW92/DW90</f>
        <v>0.84296093418019868</v>
      </c>
      <c r="DX91" s="2627">
        <f>+DX92/DX90</f>
        <v>0.61150487640330553</v>
      </c>
      <c r="DY91" s="2627">
        <f>+DY92/DY90</f>
        <v>0.82653533264774204</v>
      </c>
      <c r="DZ91" s="2627">
        <f>+DZ92/DZ90</f>
        <v>0.60372973857533685</v>
      </c>
      <c r="EA91" s="2143"/>
      <c r="EB91" s="2627">
        <f>+EB92/EB90</f>
        <v>0.81547812358704086</v>
      </c>
      <c r="EC91" s="2627">
        <f>+EC92/EC90</f>
        <v>0.32398577715523963</v>
      </c>
      <c r="ED91" s="2627">
        <f>+ED92/ED90</f>
        <v>2.1516789475353999</v>
      </c>
      <c r="EE91" s="2627">
        <f>+EE92/EE90</f>
        <v>0.69612393785266358</v>
      </c>
      <c r="EF91" s="2143"/>
      <c r="EG91" s="2627">
        <f>+EG92/EG90</f>
        <v>0.437133998349575</v>
      </c>
      <c r="EH91" s="2627">
        <f>+EH92/EH90</f>
        <v>0.73211263470205901</v>
      </c>
      <c r="EI91" s="2627">
        <f>+EI92/EI90</f>
        <v>0.83353289103423633</v>
      </c>
      <c r="EJ91" s="2627">
        <f>+EJ92/EJ90</f>
        <v>0.50219950269232261</v>
      </c>
      <c r="EK91" s="2143"/>
      <c r="EL91" s="2627">
        <f>+EL92/EL90</f>
        <v>0.3391149028817545</v>
      </c>
      <c r="EM91" s="2627">
        <f>+EM92/EM90</f>
        <v>0.52567369960672961</v>
      </c>
      <c r="EN91" s="453">
        <v>1</v>
      </c>
      <c r="EO91" s="453">
        <f>+EN91</f>
        <v>1</v>
      </c>
      <c r="EP91" s="2143"/>
      <c r="EQ91" s="453">
        <f>EO91</f>
        <v>1</v>
      </c>
      <c r="ER91" s="453">
        <f>EQ91</f>
        <v>1</v>
      </c>
      <c r="ES91" s="453">
        <f>+ER91</f>
        <v>1</v>
      </c>
      <c r="ET91" s="453">
        <f>+ES91</f>
        <v>1</v>
      </c>
      <c r="EU91" s="2143"/>
      <c r="EV91" s="453">
        <f>ET91</f>
        <v>1</v>
      </c>
      <c r="EW91" s="453">
        <f>EV91</f>
        <v>1</v>
      </c>
      <c r="EX91" s="453">
        <f>+EW91</f>
        <v>1</v>
      </c>
      <c r="EY91" s="453">
        <f>+EX91</f>
        <v>1</v>
      </c>
      <c r="EZ91" s="2143"/>
      <c r="FA91" s="2143"/>
      <c r="FB91" s="2143"/>
      <c r="FC91" s="2143"/>
      <c r="FD91" s="453"/>
      <c r="FF91" s="453"/>
    </row>
    <row r="92" spans="1:169" ht="11.25" customHeight="1">
      <c r="A92" s="2145" t="s">
        <v>367</v>
      </c>
      <c r="B92" s="1205"/>
      <c r="C92" s="1205"/>
      <c r="D92" s="1205"/>
      <c r="E92" s="1205"/>
      <c r="F92" s="2146"/>
      <c r="G92" s="1205"/>
      <c r="H92" s="1205"/>
      <c r="I92" s="1205"/>
      <c r="J92" s="1205"/>
      <c r="K92" s="2146"/>
      <c r="L92" s="1205"/>
      <c r="M92" s="1205"/>
      <c r="N92" s="1205"/>
      <c r="O92" s="1205"/>
      <c r="P92" s="2146"/>
      <c r="Q92" s="1205"/>
      <c r="R92" s="1205"/>
      <c r="S92" s="1205"/>
      <c r="T92" s="1205"/>
      <c r="U92" s="2146"/>
      <c r="V92" s="1205"/>
      <c r="W92" s="1205"/>
      <c r="X92" s="1205"/>
      <c r="Y92" s="1205"/>
      <c r="Z92" s="2146"/>
      <c r="AA92" s="1205"/>
      <c r="AB92" s="1205"/>
      <c r="AC92" s="1205"/>
      <c r="AD92" s="1205"/>
      <c r="AE92" s="2146"/>
      <c r="AF92" s="1205"/>
      <c r="AG92" s="1205"/>
      <c r="AH92" s="1205"/>
      <c r="AI92" s="1205"/>
      <c r="AJ92" s="2146"/>
      <c r="AK92" s="1205"/>
      <c r="AL92" s="1205"/>
      <c r="AM92" s="1205"/>
      <c r="AN92" s="1205"/>
      <c r="AO92" s="2146"/>
      <c r="AP92" s="1205"/>
      <c r="AQ92" s="1205"/>
      <c r="AR92" s="1205"/>
      <c r="AS92" s="1205"/>
      <c r="AT92" s="2146"/>
      <c r="AU92" s="1205"/>
      <c r="AV92" s="1205"/>
      <c r="AW92" s="1205"/>
      <c r="AX92" s="1205"/>
      <c r="AY92" s="2146"/>
      <c r="AZ92" s="1205"/>
      <c r="BA92" s="1205"/>
      <c r="BB92" s="1205"/>
      <c r="BC92" s="1205"/>
      <c r="BD92" s="2146"/>
      <c r="BE92" s="1205"/>
      <c r="BF92" s="1205"/>
      <c r="BG92" s="1205"/>
      <c r="BH92" s="1205"/>
      <c r="BI92" s="2146"/>
      <c r="BJ92" s="1205"/>
      <c r="BK92" s="1205"/>
      <c r="BL92" s="1205"/>
      <c r="BM92" s="1205"/>
      <c r="BN92" s="2146"/>
      <c r="BO92" s="2147"/>
      <c r="BP92" s="500"/>
      <c r="BQ92" s="500"/>
      <c r="BR92" s="1176"/>
      <c r="BS92" s="2146"/>
      <c r="BT92" s="2147"/>
      <c r="BU92" s="500"/>
      <c r="BV92" s="500"/>
      <c r="BW92" s="1176"/>
      <c r="BX92" s="2146"/>
      <c r="BY92" s="2147"/>
      <c r="BZ92" s="500"/>
      <c r="CA92" s="500"/>
      <c r="CB92" s="1176"/>
      <c r="CC92" s="2146"/>
      <c r="CD92" s="2147"/>
      <c r="CE92" s="500"/>
      <c r="CF92" s="500"/>
      <c r="CG92" s="1176"/>
      <c r="CH92" s="2146"/>
      <c r="CI92" s="500"/>
      <c r="CJ92" s="500"/>
      <c r="CK92" s="500"/>
      <c r="CL92" s="1176"/>
      <c r="CM92" s="2146"/>
      <c r="CN92" s="500"/>
      <c r="CO92" s="500"/>
      <c r="CP92" s="500"/>
      <c r="CQ92" s="1176"/>
      <c r="CR92" s="2146"/>
      <c r="CS92" s="500"/>
      <c r="CT92" s="500"/>
      <c r="CU92" s="500"/>
      <c r="CV92" s="500"/>
      <c r="CW92" s="2146"/>
      <c r="CX92" s="500">
        <f>(1+'Revenue Drivers'!CX274)/(1+'Revenue Drivers'!CX284)-1</f>
        <v>-3.7317468902109185E-2</v>
      </c>
      <c r="CY92" s="500">
        <f>(1+'Revenue Drivers'!CY274)/(1+'Revenue Drivers'!CY284)-1</f>
        <v>2.1142229544206304E-2</v>
      </c>
      <c r="CZ92" s="500">
        <f>(1+'Revenue Drivers'!CZ274)/(1+'Revenue Drivers'!CZ284)-1</f>
        <v>1.0543973160795472E-2</v>
      </c>
      <c r="DA92" s="500">
        <f>(1+'Revenue Drivers'!DA274)/(1+'Revenue Drivers'!DA284)-1</f>
        <v>-8.6552670466540915E-3</v>
      </c>
      <c r="DB92" s="2146"/>
      <c r="DC92" s="500">
        <f>(1+'Revenue Drivers'!DC274)/(1+'Revenue Drivers'!DC284)-1</f>
        <v>2.0326063942409434E-2</v>
      </c>
      <c r="DD92" s="500">
        <f>(1+'Revenue Drivers'!DD274)/(1+'Revenue Drivers'!DD284)-1</f>
        <v>-2.9382957884426242E-3</v>
      </c>
      <c r="DE92" s="500">
        <f>(1+'Revenue Drivers'!DE274)/(1+'Revenue Drivers'!DE284)-1</f>
        <v>-2.4385838150289052E-2</v>
      </c>
      <c r="DF92" s="500">
        <f>(1+'Revenue Drivers'!DF274)/(1+'Revenue Drivers'!DF284)-1</f>
        <v>-1.5025314388371847E-2</v>
      </c>
      <c r="DG92" s="2146"/>
      <c r="DH92" s="500">
        <f>(1+'Revenue Drivers'!DH266)/(1+'Revenue Drivers'!DH284)-1</f>
        <v>1.0945273631840724E-2</v>
      </c>
      <c r="DI92" s="500">
        <f>(1+'Revenue Drivers'!DI266)/(1+'Revenue Drivers'!DI284)-1</f>
        <v>-3.96220664431568E-3</v>
      </c>
      <c r="DJ92" s="500">
        <f>(1+'Revenue Drivers'!DJ266)/(1+'Revenue Drivers'!DJ284)-1</f>
        <v>5.7564575645756566E-3</v>
      </c>
      <c r="DK92" s="500">
        <f>(1+'Revenue Drivers'!DK266)/(1+'Revenue Drivers'!DK284)-1</f>
        <v>-5.31773464504115E-3</v>
      </c>
      <c r="DL92" s="2146"/>
      <c r="DM92" s="500">
        <f>(1+'Revenue Drivers'!DM266)/(1+'Revenue Drivers'!DM284)-1</f>
        <v>-5.0859106529210774E-3</v>
      </c>
      <c r="DN92" s="500">
        <f>(1+'Revenue Drivers'!DN266)/(1+'Revenue Drivers'!DN284)-1</f>
        <v>-1.0542812366434062E-2</v>
      </c>
      <c r="DO92" s="500">
        <f>(1+'Revenue Drivers'!DO266)/(1+'Revenue Drivers'!DO284)-1</f>
        <v>2.1744382701135434E-2</v>
      </c>
      <c r="DP92" s="500">
        <f>(1+'Revenue Drivers'!DP266)/(1+'Revenue Drivers'!DP284)-1</f>
        <v>1.1122448979591804E-2</v>
      </c>
      <c r="DQ92" s="2146"/>
      <c r="DR92" s="500">
        <f>(1+'Revenue Drivers'!DR266)/(1+'Revenue Drivers'!DR284)-1</f>
        <v>1.5048543689320626E-2</v>
      </c>
      <c r="DS92" s="500">
        <f>(1+'Revenue Drivers'!DS266)/(1+'Revenue Drivers'!DS284)-1</f>
        <v>-1.3873035385020605E-2</v>
      </c>
      <c r="DT92" s="500">
        <f>(1+'Revenue Drivers'!DT266)/(1+'Revenue Drivers'!DT284)-1</f>
        <v>-1.1318523523946356E-2</v>
      </c>
      <c r="DU92" s="500">
        <f>(1+'Revenue Drivers'!DU266)/(1+'Revenue Drivers'!DU284)-1</f>
        <v>-1.0876320696084463E-2</v>
      </c>
      <c r="DV92" s="2146"/>
      <c r="DW92" s="500">
        <f>(1+'Revenue Drivers'!DW266)/(1+'Revenue Drivers'!DW284)-1</f>
        <v>-1.118997912317321E-2</v>
      </c>
      <c r="DX92" s="500">
        <f>(1+'Revenue Drivers'!DX266)/(1+'Revenue Drivers'!DX284)-1</f>
        <v>-2.7731650614413739E-2</v>
      </c>
      <c r="DY92" s="500">
        <f>(1+'Revenue Drivers'!DY266)/(1+'Revenue Drivers'!DY284)-1</f>
        <v>-3.8078500292911599E-2</v>
      </c>
      <c r="DZ92" s="500">
        <f>(1+'Revenue Drivers'!DZ266)/(1+'Revenue Drivers'!DZ284)-1</f>
        <v>-2.9647630619684118E-2</v>
      </c>
      <c r="EA92" s="2146"/>
      <c r="EB92" s="500">
        <f>(1+'Revenue Drivers'!EB266)/(1+'Revenue Drivers'!EB284)-1</f>
        <v>3.6836499201136297E-2</v>
      </c>
      <c r="EC92" s="500">
        <f>(1+'Revenue Drivers'!EC266)/(1+'Revenue Drivers'!EC284)-1</f>
        <v>-7.7180946441102183E-3</v>
      </c>
      <c r="ED92" s="500">
        <f>(1+'Revenue Drivers'!ED266)/(1+'Revenue Drivers'!ED284)-1</f>
        <v>-1.6410640689396905E-2</v>
      </c>
      <c r="EE92" s="500">
        <f>(1+'Revenue Drivers'!EE266)/(1+'Revenue Drivers'!EE284)-1</f>
        <v>-1.3827160493827151E-2</v>
      </c>
      <c r="EF92" s="2146"/>
      <c r="EG92" s="500">
        <f>(1+'Revenue Drivers'!EG266)/(1+'Revenue Drivers'!EG284)-1</f>
        <v>6.4374431990306125E-3</v>
      </c>
      <c r="EH92" s="500">
        <f>(1+'Revenue Drivers'!EH266)/(1+'Revenue Drivers'!EH284)-1</f>
        <v>-1.7764513607617438E-2</v>
      </c>
      <c r="EI92" s="500">
        <f>(1+'Revenue Drivers'!EI266)/(1+'Revenue Drivers'!EI284)-1</f>
        <v>6.6431388831220683E-3</v>
      </c>
      <c r="EJ92" s="500">
        <f>(1+'Revenue Drivers'!EJ266)/(1+'Revenue Drivers'!EJ284)-1</f>
        <v>1.7184401850629527E-3</v>
      </c>
      <c r="EK92" s="2146"/>
      <c r="EL92" s="500">
        <f>(1+'Revenue Drivers'!EL266)/(1+'Revenue Drivers'!EL284)-1</f>
        <v>-1.6291390728476851E-2</v>
      </c>
      <c r="EM92" s="500">
        <f>(1+'Revenue Drivers'!EM266)/(1+'Revenue Drivers'!EM284)-1</f>
        <v>1.4903313215913094E-2</v>
      </c>
      <c r="EN92" s="500">
        <f>(1+'Revenue Drivers'!EN266)/(1+'Revenue Drivers'!EN284)-1</f>
        <v>4.2267808836791154E-3</v>
      </c>
      <c r="EO92" s="500">
        <f>(1+'Revenue Drivers'!EO266)/(1+'Revenue Drivers'!EO284)-1</f>
        <v>-1.2063545399833786E-2</v>
      </c>
      <c r="EP92" s="2146"/>
      <c r="EQ92" s="500">
        <f>(1+'Revenue Drivers'!EQ266)/(1+'Revenue Drivers'!EQ284)-1</f>
        <v>-2.4421343137975837E-3</v>
      </c>
      <c r="ER92" s="500">
        <f>(1+'Revenue Drivers'!ER266)/(1+'Revenue Drivers'!ER284)-1</f>
        <v>0</v>
      </c>
      <c r="ES92" s="500">
        <f>(1+'Revenue Drivers'!ES266)/(1+'Revenue Drivers'!ES284)-1</f>
        <v>0</v>
      </c>
      <c r="ET92" s="500">
        <f>(1+'Revenue Drivers'!ET266)/(1+'Revenue Drivers'!ET284)-1</f>
        <v>0</v>
      </c>
      <c r="EU92" s="2146"/>
      <c r="EV92" s="500"/>
      <c r="EW92" s="500"/>
      <c r="EX92" s="500"/>
      <c r="EY92" s="500"/>
      <c r="EZ92" s="2146"/>
      <c r="FA92" s="2146"/>
      <c r="FB92" s="2146"/>
      <c r="FC92" s="2146"/>
      <c r="FD92" s="500"/>
      <c r="FF92" s="500"/>
    </row>
    <row r="93" spans="1:169" ht="11.25" customHeight="1">
      <c r="A93" s="2119" t="s">
        <v>587</v>
      </c>
      <c r="B93" s="2158"/>
      <c r="C93" s="2158"/>
      <c r="D93" s="2158"/>
      <c r="E93" s="2158"/>
      <c r="F93" s="2159"/>
      <c r="G93" s="2158"/>
      <c r="H93" s="2158"/>
      <c r="I93" s="2158"/>
      <c r="J93" s="2158"/>
      <c r="K93" s="2159"/>
      <c r="L93" s="2158"/>
      <c r="M93" s="2158"/>
      <c r="N93" s="2158"/>
      <c r="O93" s="2158"/>
      <c r="P93" s="2159"/>
      <c r="Q93" s="2158"/>
      <c r="R93" s="2158"/>
      <c r="S93" s="2158"/>
      <c r="T93" s="2158"/>
      <c r="U93" s="2159"/>
      <c r="V93" s="2158"/>
      <c r="W93" s="2158"/>
      <c r="X93" s="2158"/>
      <c r="Y93" s="2158"/>
      <c r="Z93" s="2159"/>
      <c r="AA93" s="2158"/>
      <c r="AB93" s="2158"/>
      <c r="AC93" s="2158"/>
      <c r="AD93" s="2158"/>
      <c r="AE93" s="2159"/>
      <c r="AF93" s="2158"/>
      <c r="AG93" s="2158"/>
      <c r="AH93" s="2158"/>
      <c r="AI93" s="2158"/>
      <c r="AJ93" s="2159"/>
      <c r="AK93" s="2158"/>
      <c r="AL93" s="2158"/>
      <c r="AM93" s="2158"/>
      <c r="AN93" s="2158"/>
      <c r="AO93" s="2159"/>
      <c r="AP93" s="2158"/>
      <c r="AQ93" s="2158"/>
      <c r="AR93" s="2158"/>
      <c r="AS93" s="2158"/>
      <c r="AT93" s="2159"/>
      <c r="AU93" s="2158"/>
      <c r="AV93" s="2158"/>
      <c r="AW93" s="2158"/>
      <c r="AX93" s="2158"/>
      <c r="AY93" s="2159"/>
      <c r="AZ93" s="2158"/>
      <c r="BA93" s="2158"/>
      <c r="BB93" s="2158"/>
      <c r="BC93" s="2158"/>
      <c r="BD93" s="2159"/>
      <c r="BE93" s="2158"/>
      <c r="BF93" s="2158"/>
      <c r="BG93" s="2158"/>
      <c r="BH93" s="2158"/>
      <c r="BI93" s="2159"/>
      <c r="BJ93" s="2158"/>
      <c r="BK93" s="2158"/>
      <c r="BL93" s="2158"/>
      <c r="BM93" s="2158"/>
      <c r="BN93" s="2159"/>
      <c r="BO93" s="2160"/>
      <c r="BP93" s="2158"/>
      <c r="BQ93" s="2158"/>
      <c r="BR93" s="2158"/>
      <c r="BS93" s="2159"/>
      <c r="BT93" s="2160"/>
      <c r="BU93" s="2158"/>
      <c r="BV93" s="2158"/>
      <c r="BW93" s="2161"/>
      <c r="BX93" s="2159"/>
      <c r="BY93" s="2160"/>
      <c r="BZ93" s="2158"/>
      <c r="CA93" s="2158"/>
      <c r="CB93" s="2161"/>
      <c r="CC93" s="2159"/>
      <c r="CD93" s="2160"/>
      <c r="CE93" s="2158"/>
      <c r="CF93" s="2158"/>
      <c r="CG93" s="2161"/>
      <c r="CH93" s="2159"/>
      <c r="CI93" s="2158"/>
      <c r="CJ93" s="2158"/>
      <c r="CK93" s="2158"/>
      <c r="CL93" s="2161"/>
      <c r="CM93" s="2159"/>
      <c r="CN93" s="2158"/>
      <c r="CO93" s="2158"/>
      <c r="CP93" s="2158"/>
      <c r="CQ93" s="2161"/>
      <c r="CR93" s="2159"/>
      <c r="CS93" s="2158"/>
      <c r="CT93" s="2158"/>
      <c r="CU93" s="2158"/>
      <c r="CV93" s="2158"/>
      <c r="CW93" s="2159"/>
      <c r="CX93" s="2158">
        <f>(CX92-CX90)*10000</f>
        <v>-2.1065535842858947</v>
      </c>
      <c r="CY93" s="2158">
        <f>(CY92-CY90)*10000</f>
        <v>-82.020356078515263</v>
      </c>
      <c r="CZ93" s="2158">
        <f>(CZ92-CZ90)*10000</f>
        <v>21.383518366844719</v>
      </c>
      <c r="DA93" s="2158">
        <f>(DA92-DA90)*10000</f>
        <v>45.390337916555929</v>
      </c>
      <c r="DB93" s="2159"/>
      <c r="DC93" s="2158">
        <f>(DC92-DC90)*10000</f>
        <v>-25.951419170052031</v>
      </c>
      <c r="DD93" s="2158">
        <f>(DD92-DD90)*10000</f>
        <v>-5.1579520553870184</v>
      </c>
      <c r="DE93" s="2158">
        <f>(DE92-DE90)*10000</f>
        <v>107.54780531752439</v>
      </c>
      <c r="DF93" s="2158">
        <f>(DF92-DF90)*10000</f>
        <v>11.436645108496082</v>
      </c>
      <c r="DG93" s="2159"/>
      <c r="DH93" s="2158">
        <f>(DH92-DH90)*10000</f>
        <v>-50.261834789759043</v>
      </c>
      <c r="DI93" s="2158">
        <f>(DI92-DI90)*10000</f>
        <v>93.264443661273972</v>
      </c>
      <c r="DJ93" s="2158">
        <f>(DJ92-DJ90)*10000</f>
        <v>-0.26228805775156339</v>
      </c>
      <c r="DK93" s="2158">
        <f>(DK92-DK90)*10000</f>
        <v>8.9246657288988107</v>
      </c>
      <c r="DL93" s="2159"/>
      <c r="DM93" s="2158">
        <f>(DM92-DM90)*10000</f>
        <v>-48.971756531969689</v>
      </c>
      <c r="DN93" s="2158">
        <f>(DN92-DN90)*10000</f>
        <v>30.007920974531274</v>
      </c>
      <c r="DO93" s="2158">
        <f>(DO92-DO90)*10000</f>
        <v>23.070345231672242</v>
      </c>
      <c r="DP93" s="2158">
        <f>(DP92-DP90)*10000</f>
        <v>-129.24728185003457</v>
      </c>
      <c r="DQ93" s="2159"/>
      <c r="DR93" s="2158">
        <f>(DR92-DR90)*10000</f>
        <v>6.3190958214628248</v>
      </c>
      <c r="DS93" s="2158">
        <f>(DS92-DS90)*10000</f>
        <v>88.949535269797764</v>
      </c>
      <c r="DT93" s="2158">
        <f>(DT92-DT90)*10000</f>
        <v>-5.8202476791080828</v>
      </c>
      <c r="DU93" s="2158">
        <f>(DU92-DU90)*10000</f>
        <v>78.143863566182688</v>
      </c>
      <c r="DV93" s="2159"/>
      <c r="DW93" s="2158">
        <f>(DW92-DW90)*10000</f>
        <v>20.846326286225651</v>
      </c>
      <c r="DX93" s="2158">
        <f>(DX92-DX90)*10000</f>
        <v>176.1819316364944</v>
      </c>
      <c r="DY93" s="2158">
        <f>(DY92-DY90)*10000</f>
        <v>79.915209013791127</v>
      </c>
      <c r="DZ93" s="2158">
        <f>(DZ92-DZ90)*10000</f>
        <v>194.59823801305149</v>
      </c>
      <c r="EA93" s="2159"/>
      <c r="EB93" s="2158">
        <f>(EB92-EB90)*10000</f>
        <v>-83.351591618173458</v>
      </c>
      <c r="EC93" s="2158">
        <f>(EC92-EC90)*10000</f>
        <v>161.04230866222446</v>
      </c>
      <c r="ED93" s="2158">
        <f>(ED92-ED90)*10000</f>
        <v>-87.837404456620476</v>
      </c>
      <c r="EE93" s="2158">
        <f>(EE92-EE90)*10000</f>
        <v>60.359123613886176</v>
      </c>
      <c r="EF93" s="2159"/>
      <c r="EG93" s="2158">
        <f>(EG92-EG90)*10000</f>
        <v>-82.890324888260992</v>
      </c>
      <c r="EH93" s="2158">
        <f>(EH92-EH90)*10000</f>
        <v>65.002139296240074</v>
      </c>
      <c r="EI93" s="2158">
        <f>(EI92-EI90)*10000</f>
        <v>-13.267192407479463</v>
      </c>
      <c r="EJ93" s="2158">
        <f>(EJ92-EJ90)*10000</f>
        <v>-17.033875464467133</v>
      </c>
      <c r="EK93" s="2159"/>
      <c r="EL93" s="2158">
        <f>(EL92-EL90)*10000</f>
        <v>317.49525757453802</v>
      </c>
      <c r="EM93" s="2158">
        <f>(EM92-EM90)*10000</f>
        <v>-134.47569141455472</v>
      </c>
      <c r="EN93" s="2158">
        <f>(EN92-EN90)*10000</f>
        <v>-54.498276747921331</v>
      </c>
      <c r="EO93" s="2158">
        <f>(EO92-EO90)*10000</f>
        <v>1.3877787807814457E-13</v>
      </c>
      <c r="EP93" s="2159"/>
      <c r="EQ93" s="2158">
        <f>(EQ92-EQ90)*10000</f>
        <v>1.2880321809127793E-12</v>
      </c>
      <c r="ER93" s="2158">
        <f>(ER92-ER90)*10000</f>
        <v>0</v>
      </c>
      <c r="ES93" s="2158">
        <f>(ES92-ES90)*10000</f>
        <v>0</v>
      </c>
      <c r="ET93" s="2158">
        <f>(ET92-ET90)*10000</f>
        <v>0</v>
      </c>
      <c r="EU93" s="2159"/>
      <c r="EV93" s="2158">
        <f>(EV92-EV90)*10000</f>
        <v>0</v>
      </c>
      <c r="EW93" s="2158">
        <f>(EW92-EW90)*10000</f>
        <v>0</v>
      </c>
      <c r="EX93" s="2158">
        <f>(EX92-EX90)*10000</f>
        <v>0</v>
      </c>
      <c r="EY93" s="2158">
        <f>(EY92-EY90)*10000</f>
        <v>0</v>
      </c>
      <c r="EZ93" s="2159"/>
      <c r="FA93" s="2159"/>
      <c r="FB93" s="2159"/>
      <c r="FC93" s="2159"/>
      <c r="FD93" s="500"/>
      <c r="FF93" s="500"/>
    </row>
    <row r="94" spans="1:169" ht="11.25" customHeight="1">
      <c r="A94" s="1876"/>
      <c r="B94" s="493"/>
      <c r="C94" s="493"/>
      <c r="D94" s="493"/>
      <c r="E94" s="493"/>
      <c r="F94" s="493"/>
      <c r="G94" s="493"/>
      <c r="H94" s="493"/>
      <c r="I94" s="493"/>
      <c r="J94" s="493"/>
      <c r="K94" s="493"/>
      <c r="L94" s="493"/>
      <c r="M94" s="493"/>
      <c r="N94" s="493"/>
      <c r="O94" s="493"/>
      <c r="P94" s="493"/>
      <c r="Q94" s="493"/>
      <c r="R94" s="493"/>
      <c r="S94" s="493"/>
      <c r="T94" s="493"/>
      <c r="U94" s="493"/>
      <c r="V94" s="493"/>
      <c r="W94" s="493"/>
      <c r="X94" s="493"/>
      <c r="Y94" s="493"/>
      <c r="Z94" s="493"/>
      <c r="AA94" s="493"/>
      <c r="AB94" s="493"/>
      <c r="AC94" s="493"/>
      <c r="AD94" s="493"/>
      <c r="AE94" s="493"/>
      <c r="AF94" s="493"/>
      <c r="AG94" s="493"/>
      <c r="AH94" s="493"/>
      <c r="AI94" s="493"/>
      <c r="AJ94" s="493"/>
      <c r="AK94" s="493"/>
      <c r="AL94" s="493"/>
      <c r="AM94" s="493"/>
      <c r="AN94" s="493"/>
      <c r="AO94" s="493"/>
      <c r="AP94" s="493"/>
      <c r="AQ94" s="493"/>
      <c r="AR94" s="493"/>
      <c r="AS94" s="493"/>
      <c r="AT94" s="493"/>
      <c r="AU94" s="493"/>
      <c r="AV94" s="493"/>
      <c r="AW94" s="493"/>
      <c r="AX94" s="493"/>
      <c r="AY94" s="493"/>
      <c r="AZ94" s="493"/>
      <c r="BA94" s="493"/>
      <c r="BB94" s="493"/>
      <c r="BC94" s="493"/>
      <c r="BD94" s="493"/>
      <c r="BE94" s="493"/>
      <c r="BF94" s="493"/>
      <c r="BG94" s="493"/>
      <c r="BH94" s="493"/>
      <c r="BI94" s="493"/>
      <c r="BJ94" s="493"/>
      <c r="BK94" s="493"/>
      <c r="BL94" s="493"/>
      <c r="BM94" s="493"/>
      <c r="BN94" s="493"/>
      <c r="BO94" s="493"/>
      <c r="BP94" s="493"/>
      <c r="BQ94" s="493"/>
      <c r="BR94" s="493"/>
      <c r="BS94" s="493"/>
      <c r="BT94" s="493"/>
      <c r="BU94" s="493"/>
      <c r="BV94" s="493"/>
      <c r="BW94" s="493"/>
      <c r="BX94" s="493"/>
      <c r="BY94" s="493"/>
      <c r="BZ94" s="493"/>
      <c r="CA94" s="493"/>
      <c r="CB94" s="493"/>
      <c r="CC94" s="493"/>
      <c r="CD94" s="493"/>
      <c r="CE94" s="493"/>
      <c r="CF94" s="493"/>
      <c r="CG94" s="493"/>
      <c r="CH94" s="493"/>
      <c r="CI94" s="493"/>
      <c r="CJ94" s="493"/>
      <c r="CK94" s="493"/>
      <c r="CL94" s="493"/>
      <c r="CM94" s="493"/>
      <c r="CN94" s="493"/>
      <c r="CO94" s="493"/>
      <c r="CP94" s="493"/>
      <c r="CQ94" s="493"/>
      <c r="CR94" s="493"/>
      <c r="CS94" s="493"/>
      <c r="CT94" s="493"/>
      <c r="CU94" s="493"/>
      <c r="CV94" s="493"/>
      <c r="CW94" s="493"/>
      <c r="CX94" s="493"/>
      <c r="CY94" s="493"/>
      <c r="CZ94" s="493"/>
      <c r="DA94" s="493"/>
      <c r="DB94" s="493"/>
      <c r="DC94" s="493"/>
      <c r="DD94" s="493"/>
      <c r="DE94" s="493"/>
      <c r="DF94" s="493"/>
      <c r="DG94" s="493"/>
      <c r="DH94" s="493"/>
      <c r="DI94" s="493"/>
      <c r="DJ94" s="493"/>
      <c r="DK94" s="493"/>
      <c r="DL94" s="493"/>
      <c r="DM94" s="493"/>
      <c r="DN94" s="493"/>
      <c r="DO94" s="493"/>
      <c r="DP94" s="493"/>
      <c r="DQ94" s="493"/>
      <c r="DR94" s="493"/>
      <c r="DS94" s="493"/>
      <c r="DT94" s="493"/>
      <c r="DU94" s="493"/>
      <c r="DV94" s="493"/>
      <c r="DW94" s="493"/>
      <c r="DX94" s="493"/>
      <c r="DY94" s="493"/>
      <c r="DZ94" s="493"/>
      <c r="EA94" s="493"/>
      <c r="EB94" s="493"/>
      <c r="EC94" s="493"/>
      <c r="ED94" s="493"/>
      <c r="EE94" s="493"/>
      <c r="EF94" s="493"/>
      <c r="EG94" s="493"/>
      <c r="EH94" s="493"/>
      <c r="EI94" s="493"/>
      <c r="EJ94" s="493"/>
      <c r="EK94" s="493"/>
      <c r="EL94" s="493"/>
      <c r="EM94" s="493"/>
      <c r="EN94" s="493"/>
      <c r="EO94" s="493"/>
      <c r="EP94" s="493"/>
      <c r="EQ94" s="493"/>
      <c r="ER94" s="493"/>
      <c r="ES94" s="493"/>
      <c r="ET94" s="493"/>
      <c r="EU94" s="493"/>
      <c r="EV94" s="493"/>
      <c r="EW94" s="493"/>
      <c r="EX94" s="493"/>
      <c r="EY94" s="493"/>
      <c r="EZ94" s="493"/>
      <c r="FA94" s="493"/>
      <c r="FB94" s="493"/>
      <c r="FC94" s="493"/>
      <c r="FD94" s="493"/>
      <c r="FF94" s="493"/>
    </row>
    <row r="95" spans="1:169" ht="11.25" customHeight="1">
      <c r="A95" s="2154" t="s">
        <v>606</v>
      </c>
      <c r="B95" s="3218"/>
      <c r="C95" s="3218"/>
      <c r="D95" s="3218"/>
      <c r="E95" s="3218"/>
      <c r="F95" s="3218"/>
      <c r="G95" s="3218"/>
      <c r="H95" s="3218"/>
      <c r="I95" s="3218"/>
      <c r="J95" s="3218"/>
      <c r="K95" s="3218"/>
      <c r="L95" s="3218"/>
      <c r="M95" s="3218"/>
      <c r="N95" s="3218"/>
      <c r="O95" s="3218"/>
      <c r="P95" s="3218"/>
      <c r="Q95" s="3218"/>
      <c r="R95" s="3218"/>
      <c r="S95" s="3218"/>
      <c r="T95" s="3218"/>
      <c r="U95" s="3218"/>
      <c r="V95" s="3218"/>
      <c r="W95" s="3218"/>
      <c r="X95" s="3218"/>
      <c r="Y95" s="3218"/>
      <c r="Z95" s="3218"/>
      <c r="AA95" s="3218"/>
      <c r="AB95" s="3218"/>
      <c r="AC95" s="3218"/>
      <c r="AD95" s="3218"/>
      <c r="AE95" s="3218"/>
      <c r="AF95" s="3218"/>
      <c r="AG95" s="3218"/>
      <c r="AH95" s="3218"/>
      <c r="AI95" s="3218"/>
      <c r="AJ95" s="3218"/>
      <c r="AK95" s="3218"/>
      <c r="AL95" s="3218"/>
      <c r="AM95" s="3218"/>
      <c r="AN95" s="3218"/>
      <c r="AO95" s="3218"/>
      <c r="AP95" s="3218"/>
      <c r="AQ95" s="3218"/>
      <c r="AR95" s="3218"/>
      <c r="AS95" s="3218"/>
      <c r="AT95" s="3218"/>
      <c r="AU95" s="3218"/>
      <c r="AV95" s="3218"/>
      <c r="AW95" s="3218"/>
      <c r="AX95" s="3218"/>
      <c r="AY95" s="3218"/>
      <c r="AZ95" s="3218"/>
      <c r="BA95" s="3218"/>
      <c r="BB95" s="3218"/>
      <c r="BC95" s="3218"/>
      <c r="BD95" s="3218"/>
      <c r="BE95" s="3218"/>
      <c r="BF95" s="3218"/>
      <c r="BG95" s="3218"/>
      <c r="BH95" s="3218"/>
      <c r="BI95" s="3218"/>
      <c r="BJ95" s="3218"/>
      <c r="BK95" s="3218"/>
      <c r="BL95" s="3218"/>
      <c r="BM95" s="3218"/>
      <c r="BN95" s="3218"/>
      <c r="BO95" s="3218"/>
      <c r="BP95" s="3218"/>
      <c r="BQ95" s="3218"/>
      <c r="BR95" s="3218"/>
      <c r="BS95" s="3218"/>
      <c r="BT95" s="3218"/>
      <c r="BU95" s="3218"/>
      <c r="BV95" s="3218"/>
      <c r="BW95" s="3218"/>
      <c r="BX95" s="3218"/>
      <c r="BY95" s="3218"/>
      <c r="BZ95" s="3218"/>
      <c r="CA95" s="3218"/>
      <c r="CB95" s="3218"/>
      <c r="CC95" s="3218"/>
      <c r="CD95" s="3218"/>
      <c r="CE95" s="3218"/>
      <c r="CF95" s="3218"/>
      <c r="CG95" s="3218"/>
      <c r="CH95" s="3218"/>
      <c r="CI95" s="3218"/>
      <c r="CJ95" s="3218"/>
      <c r="CK95" s="3218"/>
      <c r="CL95" s="3218"/>
      <c r="CM95" s="3218"/>
      <c r="CN95" s="3218"/>
      <c r="CO95" s="3218"/>
      <c r="CP95" s="3218"/>
      <c r="CQ95" s="3218"/>
      <c r="CR95" s="3218"/>
      <c r="CS95" s="3218"/>
      <c r="CT95" s="3218"/>
      <c r="CU95" s="3218"/>
      <c r="CV95" s="3218"/>
      <c r="CW95" s="3218"/>
      <c r="CX95" s="3218"/>
      <c r="CY95" s="3218"/>
      <c r="CZ95" s="3218"/>
      <c r="DA95" s="3218"/>
      <c r="DB95" s="3218"/>
      <c r="DC95" s="3218"/>
      <c r="DD95" s="3218"/>
      <c r="DE95" s="3218"/>
      <c r="DF95" s="3218"/>
      <c r="DG95" s="3218"/>
      <c r="DH95" s="3218"/>
      <c r="DI95" s="3218"/>
      <c r="DJ95" s="3218"/>
      <c r="DK95" s="3218"/>
      <c r="DL95" s="3218"/>
      <c r="DM95" s="3218"/>
      <c r="DN95" s="3218"/>
      <c r="DO95" s="3218"/>
      <c r="DP95" s="3218"/>
      <c r="DQ95" s="3218"/>
      <c r="DR95" s="3218"/>
      <c r="DS95" s="3218"/>
      <c r="DT95" s="3218"/>
      <c r="DU95" s="3218"/>
      <c r="DV95" s="3218"/>
      <c r="DW95" s="3218"/>
      <c r="DX95" s="3218"/>
      <c r="DY95" s="3218"/>
      <c r="DZ95" s="3218"/>
      <c r="EA95" s="3218"/>
      <c r="EB95" s="3218"/>
      <c r="EC95" s="3218"/>
      <c r="ED95" s="3218"/>
      <c r="EE95" s="3218"/>
      <c r="EF95" s="3218"/>
      <c r="EG95" s="3218"/>
      <c r="EH95" s="3218"/>
      <c r="EI95" s="3218"/>
      <c r="EJ95" s="3218"/>
      <c r="EK95" s="3218"/>
      <c r="EL95" s="3218"/>
      <c r="EM95" s="3218"/>
      <c r="EN95" s="3218"/>
      <c r="EO95" s="3218"/>
      <c r="EP95" s="3218"/>
      <c r="EQ95" s="3218"/>
      <c r="ER95" s="3218"/>
      <c r="ES95" s="3218"/>
      <c r="ET95" s="3218"/>
      <c r="EU95" s="3218"/>
      <c r="EV95" s="3218"/>
      <c r="EW95" s="3218"/>
      <c r="EX95" s="3218"/>
      <c r="EY95" s="3218"/>
      <c r="EZ95" s="2153"/>
      <c r="FA95" s="2153"/>
      <c r="FB95" s="2153"/>
      <c r="FC95" s="2153"/>
      <c r="FD95" s="493"/>
      <c r="FF95" s="493"/>
    </row>
    <row r="96" spans="1:169" ht="11.25" customHeight="1">
      <c r="A96" s="1897" t="s">
        <v>341</v>
      </c>
      <c r="B96" s="1898"/>
      <c r="C96" s="1898"/>
      <c r="D96" s="1898"/>
      <c r="E96" s="1898"/>
      <c r="F96" s="1899"/>
      <c r="G96" s="1898"/>
      <c r="H96" s="1898"/>
      <c r="I96" s="1898"/>
      <c r="J96" s="1898"/>
      <c r="K96" s="1899"/>
      <c r="L96" s="1898"/>
      <c r="M96" s="1898"/>
      <c r="N96" s="1898"/>
      <c r="O96" s="1898"/>
      <c r="P96" s="1899"/>
      <c r="Q96" s="1898"/>
      <c r="R96" s="1898"/>
      <c r="S96" s="1898"/>
      <c r="T96" s="1898"/>
      <c r="U96" s="1899"/>
      <c r="V96" s="1898"/>
      <c r="W96" s="1898"/>
      <c r="X96" s="1898"/>
      <c r="Y96" s="1898"/>
      <c r="Z96" s="1899"/>
      <c r="AA96" s="1898"/>
      <c r="AB96" s="1898"/>
      <c r="AC96" s="1898"/>
      <c r="AD96" s="1898"/>
      <c r="AE96" s="1899"/>
      <c r="AF96" s="1898"/>
      <c r="AG96" s="1898"/>
      <c r="AH96" s="1898"/>
      <c r="AI96" s="1898"/>
      <c r="AJ96" s="1899"/>
      <c r="AK96" s="1898"/>
      <c r="AL96" s="1898"/>
      <c r="AM96" s="1898"/>
      <c r="AN96" s="1898"/>
      <c r="AO96" s="1899"/>
      <c r="AP96" s="1898"/>
      <c r="AQ96" s="1898"/>
      <c r="AR96" s="1898"/>
      <c r="AS96" s="1898"/>
      <c r="AT96" s="1899"/>
      <c r="AU96" s="1898"/>
      <c r="AV96" s="1898"/>
      <c r="AW96" s="1898"/>
      <c r="AX96" s="1898"/>
      <c r="AY96" s="1899"/>
      <c r="AZ96" s="1900"/>
      <c r="BA96" s="1886"/>
      <c r="BB96" s="1886"/>
      <c r="BC96" s="1886"/>
      <c r="BD96" s="1899"/>
      <c r="BE96" s="1900"/>
      <c r="BF96" s="1886"/>
      <c r="BG96" s="1886"/>
      <c r="BH96" s="1886"/>
      <c r="BI96" s="1899"/>
      <c r="BJ96" s="1900"/>
      <c r="BK96" s="1886"/>
      <c r="BL96" s="1886"/>
      <c r="BM96" s="1901"/>
      <c r="BN96" s="1899"/>
      <c r="BO96" s="1900"/>
      <c r="BP96" s="1886"/>
      <c r="BQ96" s="1886"/>
      <c r="BR96" s="1886"/>
      <c r="BS96" s="1899"/>
      <c r="BT96" s="1900"/>
      <c r="BU96" s="1886"/>
      <c r="BV96" s="1886"/>
      <c r="BW96" s="1901"/>
      <c r="BX96" s="1899"/>
      <c r="BY96" s="1900"/>
      <c r="BZ96" s="1886"/>
      <c r="CA96" s="1886"/>
      <c r="CB96" s="1901"/>
      <c r="CC96" s="1899"/>
      <c r="CD96" s="1900"/>
      <c r="CE96" s="1886"/>
      <c r="CF96" s="1886"/>
      <c r="CG96" s="1901"/>
      <c r="CH96" s="1899"/>
      <c r="CI96" s="1886"/>
      <c r="CJ96" s="1886"/>
      <c r="CK96" s="1886"/>
      <c r="CL96" s="1901"/>
      <c r="CM96" s="1899"/>
      <c r="CN96" s="1886"/>
      <c r="CO96" s="1886"/>
      <c r="CP96" s="1886"/>
      <c r="CQ96" s="1901"/>
      <c r="CR96" s="1899"/>
      <c r="CS96" s="1886"/>
      <c r="CT96" s="1886"/>
      <c r="CU96" s="1886"/>
      <c r="CV96" s="1886"/>
      <c r="CW96" s="1899"/>
      <c r="CX96" s="1900"/>
      <c r="CY96" s="1886"/>
      <c r="CZ96" s="1886"/>
      <c r="DA96" s="1901"/>
      <c r="DB96" s="1899"/>
      <c r="DC96" s="1900"/>
      <c r="DD96" s="1886"/>
      <c r="DE96" s="1886"/>
      <c r="DF96" s="1901"/>
      <c r="DG96" s="1899"/>
      <c r="DH96" s="1900"/>
      <c r="DI96" s="1886"/>
      <c r="DJ96" s="1886"/>
      <c r="DK96" s="1901"/>
      <c r="DL96" s="1899"/>
      <c r="DM96" s="1900"/>
      <c r="DN96" s="1886"/>
      <c r="DO96" s="1886"/>
      <c r="DP96" s="1901"/>
      <c r="DQ96" s="1899"/>
      <c r="DR96" s="1886"/>
      <c r="DS96" s="1886"/>
      <c r="DT96" s="1886"/>
      <c r="DU96" s="1886"/>
      <c r="DV96" s="1899"/>
      <c r="DW96" s="1886"/>
      <c r="DX96" s="1886"/>
      <c r="DY96" s="1886"/>
      <c r="DZ96" s="1886"/>
      <c r="EA96" s="1899"/>
      <c r="EB96" s="1886"/>
      <c r="EC96" s="1886"/>
      <c r="ED96" s="1886"/>
      <c r="EE96" s="1886"/>
      <c r="EF96" s="1899"/>
      <c r="EG96" s="1886"/>
      <c r="EH96" s="1886"/>
      <c r="EI96" s="1886"/>
      <c r="EJ96" s="1886"/>
      <c r="EK96" s="1899"/>
      <c r="EL96" s="1886"/>
      <c r="EM96" s="1886"/>
      <c r="EN96" s="1886"/>
      <c r="EO96" s="1886"/>
      <c r="EP96" s="1899"/>
      <c r="EQ96" s="1886"/>
      <c r="ER96" s="1886"/>
      <c r="ES96" s="1886"/>
      <c r="ET96" s="1886"/>
      <c r="EU96" s="1899"/>
      <c r="EV96" s="1886"/>
      <c r="EW96" s="1886"/>
      <c r="EX96" s="1886"/>
      <c r="EY96" s="1886"/>
      <c r="EZ96" s="1899"/>
      <c r="FA96" s="1899"/>
      <c r="FB96" s="1899"/>
      <c r="FC96" s="1899"/>
      <c r="FD96" s="421"/>
      <c r="FF96" s="421"/>
      <c r="FL96" s="1383"/>
      <c r="FM96" s="1383"/>
    </row>
    <row r="97" spans="1:170" ht="11.25" customHeight="1">
      <c r="A97" s="1888" t="s">
        <v>589</v>
      </c>
      <c r="B97" s="421"/>
      <c r="C97" s="421"/>
      <c r="D97" s="421"/>
      <c r="E97" s="421"/>
      <c r="F97" s="1889"/>
      <c r="G97" s="421"/>
      <c r="H97" s="421"/>
      <c r="I97" s="421"/>
      <c r="J97" s="421"/>
      <c r="K97" s="1889"/>
      <c r="L97" s="421"/>
      <c r="M97" s="421"/>
      <c r="N97" s="421"/>
      <c r="O97" s="421"/>
      <c r="P97" s="1889"/>
      <c r="Q97" s="421"/>
      <c r="R97" s="421"/>
      <c r="S97" s="421"/>
      <c r="T97" s="421"/>
      <c r="U97" s="1889"/>
      <c r="V97" s="421"/>
      <c r="W97" s="421"/>
      <c r="X97" s="421"/>
      <c r="Y97" s="421"/>
      <c r="Z97" s="1889"/>
      <c r="AA97" s="421"/>
      <c r="AB97" s="421"/>
      <c r="AC97" s="421"/>
      <c r="AD97" s="421"/>
      <c r="AE97" s="1889"/>
      <c r="AF97" s="421"/>
      <c r="AG97" s="421"/>
      <c r="AH97" s="421"/>
      <c r="AI97" s="421"/>
      <c r="AJ97" s="1889"/>
      <c r="AK97" s="421"/>
      <c r="AL97" s="421"/>
      <c r="AM97" s="421"/>
      <c r="AN97" s="421"/>
      <c r="AO97" s="1889"/>
      <c r="AP97" s="421"/>
      <c r="AQ97" s="421"/>
      <c r="AR97" s="421"/>
      <c r="AS97" s="421"/>
      <c r="AT97" s="1889"/>
      <c r="AU97" s="421"/>
      <c r="AV97" s="421"/>
      <c r="AW97" s="421"/>
      <c r="AX97" s="421"/>
      <c r="AY97" s="1889"/>
      <c r="AZ97" s="1890"/>
      <c r="BA97" s="424"/>
      <c r="BB97" s="424"/>
      <c r="BC97" s="424"/>
      <c r="BD97" s="1889"/>
      <c r="BE97" s="1890"/>
      <c r="BF97" s="424"/>
      <c r="BG97" s="424"/>
      <c r="BH97" s="424"/>
      <c r="BI97" s="1889"/>
      <c r="BJ97" s="1890"/>
      <c r="BK97" s="424"/>
      <c r="BL97" s="424"/>
      <c r="BM97" s="426"/>
      <c r="BN97" s="1889"/>
      <c r="BO97" s="1890"/>
      <c r="BP97" s="424"/>
      <c r="BQ97" s="424"/>
      <c r="BR97" s="424"/>
      <c r="BS97" s="1889"/>
      <c r="BT97" s="1890"/>
      <c r="BU97" s="424"/>
      <c r="BV97" s="424"/>
      <c r="BW97" s="426"/>
      <c r="BX97" s="1889"/>
      <c r="BY97" s="1890"/>
      <c r="BZ97" s="424"/>
      <c r="CA97" s="424"/>
      <c r="CB97" s="426"/>
      <c r="CC97" s="1889"/>
      <c r="CD97" s="1890"/>
      <c r="CE97" s="424"/>
      <c r="CF97" s="424"/>
      <c r="CG97" s="426"/>
      <c r="CH97" s="1889"/>
      <c r="CI97" s="424"/>
      <c r="CJ97" s="424"/>
      <c r="CK97" s="424"/>
      <c r="CL97" s="426"/>
      <c r="CM97" s="1889"/>
      <c r="CN97" s="424"/>
      <c r="CO97" s="424"/>
      <c r="CP97" s="424"/>
      <c r="CQ97" s="426"/>
      <c r="CR97" s="1889"/>
      <c r="CS97" s="636">
        <f>CT97</f>
        <v>0.4</v>
      </c>
      <c r="CT97" s="636">
        <f>CU97</f>
        <v>0.4</v>
      </c>
      <c r="CU97" s="636">
        <f>CV97</f>
        <v>0.4</v>
      </c>
      <c r="CV97" s="636">
        <f>CX97</f>
        <v>0.4</v>
      </c>
      <c r="CW97" s="1889">
        <f>AVERAGE(CS97:CV97)</f>
        <v>0.4</v>
      </c>
      <c r="CX97" s="1902">
        <v>0.4</v>
      </c>
      <c r="CY97" s="636">
        <f>CX97</f>
        <v>0.4</v>
      </c>
      <c r="CZ97" s="636">
        <f>CY97</f>
        <v>0.4</v>
      </c>
      <c r="DA97" s="1334">
        <v>0.35</v>
      </c>
      <c r="DB97" s="1889">
        <f>AVERAGE(CX97:DA97)</f>
        <v>0.38750000000000007</v>
      </c>
      <c r="DC97" s="1903">
        <v>0.28000000000000003</v>
      </c>
      <c r="DD97" s="636">
        <v>0.42499999999999999</v>
      </c>
      <c r="DE97" s="1334">
        <v>0.52</v>
      </c>
      <c r="DF97" s="1334">
        <v>0.48599999999999999</v>
      </c>
      <c r="DG97" s="1889">
        <f>AVERAGE(DC97:DF97)</f>
        <v>0.42775000000000002</v>
      </c>
      <c r="DH97" s="1903">
        <f>DF97</f>
        <v>0.48599999999999999</v>
      </c>
      <c r="DI97" s="636">
        <f>DH97</f>
        <v>0.48599999999999999</v>
      </c>
      <c r="DJ97" s="636">
        <f>DI97</f>
        <v>0.48599999999999999</v>
      </c>
      <c r="DK97" s="636">
        <f>DJ97</f>
        <v>0.48599999999999999</v>
      </c>
      <c r="DL97" s="1889">
        <f>AVERAGE(DH97:DK97)</f>
        <v>0.48599999999999999</v>
      </c>
      <c r="DM97" s="1903">
        <f>DK97</f>
        <v>0.48599999999999999</v>
      </c>
      <c r="DN97" s="636">
        <f>DM97</f>
        <v>0.48599999999999999</v>
      </c>
      <c r="DO97" s="636">
        <f>DN97</f>
        <v>0.48599999999999999</v>
      </c>
      <c r="DP97" s="636">
        <f>DO97</f>
        <v>0.48599999999999999</v>
      </c>
      <c r="DQ97" s="1889">
        <f>AVERAGE(DM97:DP97)</f>
        <v>0.48599999999999999</v>
      </c>
      <c r="DR97" s="1903">
        <f>DP97</f>
        <v>0.48599999999999999</v>
      </c>
      <c r="DS97" s="636">
        <v>0.35</v>
      </c>
      <c r="DT97" s="636">
        <f>DS97</f>
        <v>0.35</v>
      </c>
      <c r="DU97" s="636">
        <f>DT97</f>
        <v>0.35</v>
      </c>
      <c r="DV97" s="1889">
        <f>AVERAGE(DR97:DU97)</f>
        <v>0.38400000000000001</v>
      </c>
      <c r="DW97" s="1903">
        <f>DU97</f>
        <v>0.35</v>
      </c>
      <c r="DX97" s="636">
        <f>DW97</f>
        <v>0.35</v>
      </c>
      <c r="DY97" s="636">
        <v>0.4</v>
      </c>
      <c r="DZ97" s="636">
        <f>DY97</f>
        <v>0.4</v>
      </c>
      <c r="EA97" s="1889">
        <f>AVERAGE(DW97:DZ97)</f>
        <v>0.375</v>
      </c>
      <c r="EB97" s="1903">
        <f>DZ97</f>
        <v>0.4</v>
      </c>
      <c r="EC97" s="636">
        <f>EB97</f>
        <v>0.4</v>
      </c>
      <c r="ED97" s="636">
        <v>0.35</v>
      </c>
      <c r="EE97" s="636">
        <f>ED97</f>
        <v>0.35</v>
      </c>
      <c r="EF97" s="1889">
        <f>AVERAGE(EB97:EE97)</f>
        <v>0.375</v>
      </c>
      <c r="EG97" s="1903">
        <f>EE97</f>
        <v>0.35</v>
      </c>
      <c r="EH97" s="636">
        <f>EG97</f>
        <v>0.35</v>
      </c>
      <c r="EI97" s="636">
        <f>EH97</f>
        <v>0.35</v>
      </c>
      <c r="EJ97" s="636">
        <f>EI97</f>
        <v>0.35</v>
      </c>
      <c r="EK97" s="1889">
        <f>AVERAGE(EG97:EJ97)</f>
        <v>0.35</v>
      </c>
      <c r="EL97" s="1903">
        <f>EJ97</f>
        <v>0.35</v>
      </c>
      <c r="EM97" s="636">
        <f>EL97</f>
        <v>0.35</v>
      </c>
      <c r="EN97" s="636">
        <f>EM97</f>
        <v>0.35</v>
      </c>
      <c r="EO97" s="636">
        <f>EN97</f>
        <v>0.35</v>
      </c>
      <c r="EP97" s="1889">
        <f>AVERAGE(EL97:EO97)</f>
        <v>0.35</v>
      </c>
      <c r="EQ97" s="1903">
        <f>EO97</f>
        <v>0.35</v>
      </c>
      <c r="ER97" s="636">
        <f>EQ97</f>
        <v>0.35</v>
      </c>
      <c r="ES97" s="636">
        <f>ER97</f>
        <v>0.35</v>
      </c>
      <c r="ET97" s="636">
        <f>ES97</f>
        <v>0.35</v>
      </c>
      <c r="EU97" s="1889">
        <f>AVERAGE(EQ97:ET97)</f>
        <v>0.35</v>
      </c>
      <c r="EV97" s="1903">
        <f>ET97</f>
        <v>0.35</v>
      </c>
      <c r="EW97" s="636">
        <f>EV97</f>
        <v>0.35</v>
      </c>
      <c r="EX97" s="636">
        <f>EW97</f>
        <v>0.35</v>
      </c>
      <c r="EY97" s="636">
        <f>EX97</f>
        <v>0.35</v>
      </c>
      <c r="EZ97" s="1889">
        <f>AVERAGE(EV97:EY97)</f>
        <v>0.35</v>
      </c>
      <c r="FA97" s="1889"/>
      <c r="FB97" s="1889"/>
      <c r="FC97" s="1889"/>
      <c r="FD97" s="424"/>
      <c r="FF97" s="424"/>
      <c r="FL97" s="1383"/>
      <c r="FM97" s="1383"/>
    </row>
    <row r="98" spans="1:170" ht="11.25" customHeight="1">
      <c r="A98" s="1888" t="s">
        <v>430</v>
      </c>
      <c r="B98" s="421"/>
      <c r="C98" s="421"/>
      <c r="D98" s="421"/>
      <c r="E98" s="421"/>
      <c r="F98" s="1889"/>
      <c r="G98" s="421"/>
      <c r="H98" s="421"/>
      <c r="I98" s="421"/>
      <c r="J98" s="421"/>
      <c r="K98" s="1889"/>
      <c r="L98" s="421"/>
      <c r="M98" s="421"/>
      <c r="N98" s="421"/>
      <c r="O98" s="421"/>
      <c r="P98" s="1889"/>
      <c r="Q98" s="421"/>
      <c r="R98" s="421"/>
      <c r="S98" s="421"/>
      <c r="T98" s="421"/>
      <c r="U98" s="1889"/>
      <c r="V98" s="421"/>
      <c r="W98" s="421"/>
      <c r="X98" s="421"/>
      <c r="Y98" s="421"/>
      <c r="Z98" s="1889"/>
      <c r="AA98" s="421"/>
      <c r="AB98" s="421"/>
      <c r="AC98" s="421"/>
      <c r="AD98" s="421"/>
      <c r="AE98" s="1889"/>
      <c r="AF98" s="421"/>
      <c r="AG98" s="421"/>
      <c r="AH98" s="421"/>
      <c r="AI98" s="421"/>
      <c r="AJ98" s="1889"/>
      <c r="AK98" s="421"/>
      <c r="AL98" s="421"/>
      <c r="AM98" s="421"/>
      <c r="AN98" s="421"/>
      <c r="AO98" s="1889"/>
      <c r="AP98" s="421"/>
      <c r="AQ98" s="421"/>
      <c r="AR98" s="421"/>
      <c r="AS98" s="421"/>
      <c r="AT98" s="1889"/>
      <c r="AU98" s="421"/>
      <c r="AV98" s="421"/>
      <c r="AW98" s="421"/>
      <c r="AX98" s="421"/>
      <c r="AY98" s="1889"/>
      <c r="AZ98" s="1890"/>
      <c r="BA98" s="424"/>
      <c r="BB98" s="424"/>
      <c r="BC98" s="424"/>
      <c r="BD98" s="1889"/>
      <c r="BE98" s="1890"/>
      <c r="BF98" s="424"/>
      <c r="BG98" s="424"/>
      <c r="BH98" s="424"/>
      <c r="BI98" s="1889"/>
      <c r="BJ98" s="1890"/>
      <c r="BK98" s="424"/>
      <c r="BL98" s="424"/>
      <c r="BM98" s="426"/>
      <c r="BN98" s="1889"/>
      <c r="BO98" s="1890"/>
      <c r="BP98" s="424"/>
      <c r="BQ98" s="424"/>
      <c r="BR98" s="424"/>
      <c r="BS98" s="1889"/>
      <c r="BT98" s="1890"/>
      <c r="BU98" s="424"/>
      <c r="BV98" s="424"/>
      <c r="BW98" s="426"/>
      <c r="BX98" s="1889"/>
      <c r="BY98" s="1890"/>
      <c r="BZ98" s="424"/>
      <c r="CA98" s="424"/>
      <c r="CB98" s="426"/>
      <c r="CC98" s="1889"/>
      <c r="CD98" s="1890"/>
      <c r="CE98" s="424"/>
      <c r="CF98" s="424"/>
      <c r="CG98" s="426"/>
      <c r="CH98" s="1889"/>
      <c r="CI98" s="424"/>
      <c r="CJ98" s="424"/>
      <c r="CK98" s="424"/>
      <c r="CL98" s="426"/>
      <c r="CM98" s="1889"/>
      <c r="CN98" s="424"/>
      <c r="CO98" s="424"/>
      <c r="CP98" s="424"/>
      <c r="CQ98" s="426"/>
      <c r="CR98" s="1889"/>
      <c r="CS98" s="636">
        <f t="shared" ref="CS98:DV98" si="281">1-CS97-SUM(CS99:CS101)</f>
        <v>0.32999999999999996</v>
      </c>
      <c r="CT98" s="636">
        <f t="shared" si="281"/>
        <v>0.32999999999999996</v>
      </c>
      <c r="CU98" s="636">
        <f t="shared" si="281"/>
        <v>0.32999999999999996</v>
      </c>
      <c r="CV98" s="636">
        <f t="shared" si="281"/>
        <v>0.32999999999999996</v>
      </c>
      <c r="CW98" s="1889">
        <f t="shared" si="281"/>
        <v>0.32999999999999996</v>
      </c>
      <c r="CX98" s="1890">
        <f t="shared" si="281"/>
        <v>0.32999999999999996</v>
      </c>
      <c r="CY98" s="636">
        <f t="shared" si="281"/>
        <v>0.32999999999999996</v>
      </c>
      <c r="CZ98" s="636">
        <f t="shared" si="281"/>
        <v>0.32999999999999996</v>
      </c>
      <c r="DA98" s="1335">
        <f t="shared" si="281"/>
        <v>0.36</v>
      </c>
      <c r="DB98" s="1889">
        <f t="shared" si="281"/>
        <v>0.33749999999999997</v>
      </c>
      <c r="DC98" s="1903">
        <f t="shared" si="281"/>
        <v>0.5</v>
      </c>
      <c r="DD98" s="636">
        <f t="shared" si="281"/>
        <v>0.32499999999999996</v>
      </c>
      <c r="DE98" s="636">
        <f t="shared" si="281"/>
        <v>7.999999999999996E-2</v>
      </c>
      <c r="DF98" s="1172">
        <f t="shared" si="281"/>
        <v>0.28700000000000003</v>
      </c>
      <c r="DG98" s="1889">
        <f t="shared" si="281"/>
        <v>0.29799999999999993</v>
      </c>
      <c r="DH98" s="1903">
        <f t="shared" si="281"/>
        <v>0.28700000000000003</v>
      </c>
      <c r="DI98" s="636">
        <f t="shared" si="281"/>
        <v>0.28700000000000003</v>
      </c>
      <c r="DJ98" s="636">
        <f t="shared" si="281"/>
        <v>0.26900000000000002</v>
      </c>
      <c r="DK98" s="1172">
        <f t="shared" si="281"/>
        <v>0.26900000000000002</v>
      </c>
      <c r="DL98" s="1889">
        <f t="shared" si="281"/>
        <v>0.27800000000000002</v>
      </c>
      <c r="DM98" s="1903">
        <f t="shared" si="281"/>
        <v>0.26900000000000002</v>
      </c>
      <c r="DN98" s="636">
        <f t="shared" si="281"/>
        <v>0.26900000000000002</v>
      </c>
      <c r="DO98" s="636">
        <f t="shared" si="281"/>
        <v>0.26900000000000002</v>
      </c>
      <c r="DP98" s="1172">
        <f t="shared" si="281"/>
        <v>0.26900000000000002</v>
      </c>
      <c r="DQ98" s="1889">
        <f t="shared" si="281"/>
        <v>0.26900000000000002</v>
      </c>
      <c r="DR98" s="1903">
        <f t="shared" si="281"/>
        <v>0.26900000000000002</v>
      </c>
      <c r="DS98" s="636">
        <f t="shared" si="281"/>
        <v>0.4</v>
      </c>
      <c r="DT98" s="636">
        <f t="shared" si="281"/>
        <v>0.4</v>
      </c>
      <c r="DU98" s="1172">
        <f t="shared" si="281"/>
        <v>0.47000000000000003</v>
      </c>
      <c r="DV98" s="1889">
        <f t="shared" si="281"/>
        <v>0.38474999999999998</v>
      </c>
      <c r="DW98" s="1903">
        <f t="shared" ref="DW98:EF98" si="282">1-DW97-SUM(DW99:DW101)</f>
        <v>0.34</v>
      </c>
      <c r="DX98" s="636">
        <f t="shared" si="282"/>
        <v>0.34</v>
      </c>
      <c r="DY98" s="636">
        <f t="shared" si="282"/>
        <v>0.33499999999999996</v>
      </c>
      <c r="DZ98" s="1172">
        <f t="shared" si="282"/>
        <v>0.33499999999999996</v>
      </c>
      <c r="EA98" s="1889">
        <f t="shared" si="282"/>
        <v>0.33750000000000002</v>
      </c>
      <c r="EB98" s="1903">
        <f t="shared" si="282"/>
        <v>0.33499999999999996</v>
      </c>
      <c r="EC98" s="636">
        <f t="shared" si="282"/>
        <v>0.33499999999999996</v>
      </c>
      <c r="ED98" s="636">
        <f t="shared" si="282"/>
        <v>0.43000000000000005</v>
      </c>
      <c r="EE98" s="1172">
        <f t="shared" si="282"/>
        <v>0.43000000000000005</v>
      </c>
      <c r="EF98" s="1889">
        <f t="shared" si="282"/>
        <v>0.38250000000000001</v>
      </c>
      <c r="EG98" s="1903">
        <f t="shared" ref="EG98:EP98" si="283">1-EG97-SUM(EG99:EG101)</f>
        <v>0.43000000000000005</v>
      </c>
      <c r="EH98" s="636">
        <f t="shared" si="283"/>
        <v>0.43000000000000005</v>
      </c>
      <c r="EI98" s="636">
        <f t="shared" si="283"/>
        <v>0.43000000000000005</v>
      </c>
      <c r="EJ98" s="1172">
        <f t="shared" si="283"/>
        <v>0.43000000000000005</v>
      </c>
      <c r="EK98" s="1889">
        <f t="shared" si="283"/>
        <v>0.43000000000000005</v>
      </c>
      <c r="EL98" s="1903">
        <f t="shared" si="283"/>
        <v>0.43000000000000005</v>
      </c>
      <c r="EM98" s="636">
        <f t="shared" si="283"/>
        <v>0.43000000000000005</v>
      </c>
      <c r="EN98" s="636">
        <f t="shared" si="283"/>
        <v>0.43000000000000005</v>
      </c>
      <c r="EO98" s="1172">
        <f t="shared" si="283"/>
        <v>0.43000000000000005</v>
      </c>
      <c r="EP98" s="1889">
        <f t="shared" si="283"/>
        <v>0.43000000000000005</v>
      </c>
      <c r="EQ98" s="1903">
        <f t="shared" ref="EQ98:EU98" si="284">1-EQ97-SUM(EQ99:EQ101)</f>
        <v>0.43000000000000005</v>
      </c>
      <c r="ER98" s="636">
        <f t="shared" si="284"/>
        <v>0.43000000000000005</v>
      </c>
      <c r="ES98" s="636">
        <f t="shared" si="284"/>
        <v>0.43000000000000005</v>
      </c>
      <c r="ET98" s="1172">
        <f t="shared" si="284"/>
        <v>0.43000000000000005</v>
      </c>
      <c r="EU98" s="1889">
        <f t="shared" si="284"/>
        <v>0.43000000000000005</v>
      </c>
      <c r="EV98" s="1903">
        <f t="shared" ref="EV98:EZ98" si="285">1-EV97-SUM(EV99:EV101)</f>
        <v>0.43000000000000005</v>
      </c>
      <c r="EW98" s="636">
        <f t="shared" si="285"/>
        <v>0.43000000000000005</v>
      </c>
      <c r="EX98" s="636">
        <f t="shared" si="285"/>
        <v>0.43000000000000005</v>
      </c>
      <c r="EY98" s="1172">
        <f t="shared" si="285"/>
        <v>0.43000000000000005</v>
      </c>
      <c r="EZ98" s="1889">
        <f t="shared" si="285"/>
        <v>0.43000000000000005</v>
      </c>
      <c r="FA98" s="1889"/>
      <c r="FB98" s="1889"/>
      <c r="FC98" s="1889"/>
      <c r="FD98" s="424"/>
      <c r="FF98" s="424"/>
      <c r="FL98" s="1383"/>
      <c r="FM98" s="1383"/>
    </row>
    <row r="99" spans="1:170" ht="11.25" customHeight="1">
      <c r="A99" s="1970" t="s">
        <v>709</v>
      </c>
      <c r="B99" s="421"/>
      <c r="C99" s="421"/>
      <c r="D99" s="421"/>
      <c r="E99" s="421"/>
      <c r="F99" s="1971"/>
      <c r="G99" s="421"/>
      <c r="H99" s="421"/>
      <c r="I99" s="421"/>
      <c r="J99" s="421"/>
      <c r="K99" s="1971"/>
      <c r="L99" s="421"/>
      <c r="M99" s="421"/>
      <c r="N99" s="421"/>
      <c r="O99" s="421"/>
      <c r="P99" s="1971"/>
      <c r="Q99" s="421"/>
      <c r="R99" s="421"/>
      <c r="S99" s="421"/>
      <c r="T99" s="421"/>
      <c r="U99" s="1971"/>
      <c r="V99" s="421"/>
      <c r="W99" s="421"/>
      <c r="X99" s="421"/>
      <c r="Y99" s="421"/>
      <c r="Z99" s="1971"/>
      <c r="AA99" s="421"/>
      <c r="AB99" s="421"/>
      <c r="AC99" s="421"/>
      <c r="AD99" s="421"/>
      <c r="AE99" s="1971"/>
      <c r="AF99" s="421"/>
      <c r="AG99" s="421"/>
      <c r="AH99" s="421"/>
      <c r="AI99" s="421"/>
      <c r="AJ99" s="1971"/>
      <c r="AK99" s="421"/>
      <c r="AL99" s="421"/>
      <c r="AM99" s="421"/>
      <c r="AN99" s="421"/>
      <c r="AO99" s="1971"/>
      <c r="AP99" s="421"/>
      <c r="AQ99" s="421"/>
      <c r="AR99" s="421"/>
      <c r="AS99" s="421"/>
      <c r="AT99" s="1971"/>
      <c r="AU99" s="421"/>
      <c r="AV99" s="421"/>
      <c r="AW99" s="421"/>
      <c r="AX99" s="421"/>
      <c r="AY99" s="1971"/>
      <c r="AZ99" s="1179"/>
      <c r="BA99" s="424"/>
      <c r="BB99" s="424"/>
      <c r="BC99" s="424"/>
      <c r="BD99" s="1971"/>
      <c r="BE99" s="1179"/>
      <c r="BF99" s="424"/>
      <c r="BG99" s="424"/>
      <c r="BH99" s="424"/>
      <c r="BI99" s="1971"/>
      <c r="BJ99" s="1179"/>
      <c r="BK99" s="424"/>
      <c r="BL99" s="424"/>
      <c r="BM99" s="426"/>
      <c r="BN99" s="1971"/>
      <c r="BO99" s="1179"/>
      <c r="BP99" s="424"/>
      <c r="BQ99" s="424"/>
      <c r="BR99" s="424"/>
      <c r="BS99" s="1971"/>
      <c r="BT99" s="1179"/>
      <c r="BU99" s="424"/>
      <c r="BV99" s="424"/>
      <c r="BW99" s="426"/>
      <c r="BX99" s="1971"/>
      <c r="BY99" s="1179"/>
      <c r="BZ99" s="424"/>
      <c r="CA99" s="424"/>
      <c r="CB99" s="426"/>
      <c r="CC99" s="1971"/>
      <c r="CD99" s="1179"/>
      <c r="CE99" s="424"/>
      <c r="CF99" s="424"/>
      <c r="CG99" s="426"/>
      <c r="CH99" s="1971"/>
      <c r="CI99" s="424"/>
      <c r="CJ99" s="424"/>
      <c r="CK99" s="424"/>
      <c r="CL99" s="426"/>
      <c r="CM99" s="1971"/>
      <c r="CN99" s="424"/>
      <c r="CO99" s="424"/>
      <c r="CP99" s="424"/>
      <c r="CQ99" s="426"/>
      <c r="CR99" s="1971"/>
      <c r="CS99" s="636">
        <f t="shared" ref="CS99:CU101" si="286">CT99</f>
        <v>0.03</v>
      </c>
      <c r="CT99" s="636">
        <f t="shared" si="286"/>
        <v>0.03</v>
      </c>
      <c r="CU99" s="636">
        <f t="shared" si="286"/>
        <v>0.03</v>
      </c>
      <c r="CV99" s="636">
        <f>CX99</f>
        <v>0.03</v>
      </c>
      <c r="CW99" s="1889">
        <f>AVERAGE(CS99:CV99)</f>
        <v>0.03</v>
      </c>
      <c r="CX99" s="1179">
        <v>0.03</v>
      </c>
      <c r="CY99" s="636">
        <f t="shared" ref="CY99:CZ101" si="287">CX99</f>
        <v>0.03</v>
      </c>
      <c r="CZ99" s="636">
        <f t="shared" si="287"/>
        <v>0.03</v>
      </c>
      <c r="DA99" s="1334">
        <v>0.09</v>
      </c>
      <c r="DB99" s="1889">
        <f>AVERAGE(CX99:DA99)</f>
        <v>4.4999999999999998E-2</v>
      </c>
      <c r="DC99" s="1903">
        <v>0.1</v>
      </c>
      <c r="DD99" s="636">
        <v>0.03</v>
      </c>
      <c r="DE99" s="1334">
        <v>7.0000000000000007E-2</v>
      </c>
      <c r="DF99" s="1334">
        <v>2.7E-2</v>
      </c>
      <c r="DG99" s="1889">
        <f>AVERAGE(DC99:DF99)</f>
        <v>5.6750000000000002E-2</v>
      </c>
      <c r="DH99" s="1903">
        <f>DF99</f>
        <v>2.7E-2</v>
      </c>
      <c r="DI99" s="636">
        <f>DH99</f>
        <v>2.7E-2</v>
      </c>
      <c r="DJ99" s="636">
        <v>4.4999999999999998E-2</v>
      </c>
      <c r="DK99" s="636">
        <f>DJ99</f>
        <v>4.4999999999999998E-2</v>
      </c>
      <c r="DL99" s="1889">
        <f>AVERAGE(DH99:DK99)</f>
        <v>3.6000000000000004E-2</v>
      </c>
      <c r="DM99" s="1903">
        <f>DK99</f>
        <v>4.4999999999999998E-2</v>
      </c>
      <c r="DN99" s="636">
        <f t="shared" ref="DN99:DP101" si="288">DM99</f>
        <v>4.4999999999999998E-2</v>
      </c>
      <c r="DO99" s="636">
        <f t="shared" si="288"/>
        <v>4.4999999999999998E-2</v>
      </c>
      <c r="DP99" s="636">
        <f t="shared" si="288"/>
        <v>4.4999999999999998E-2</v>
      </c>
      <c r="DQ99" s="1889">
        <f>AVERAGE(DM99:DP99)</f>
        <v>4.4999999999999998E-2</v>
      </c>
      <c r="DR99" s="1903">
        <f>DP99</f>
        <v>4.4999999999999998E-2</v>
      </c>
      <c r="DS99" s="636">
        <v>0.1</v>
      </c>
      <c r="DT99" s="636">
        <f t="shared" ref="DS99:DU101" si="289">DS99</f>
        <v>0.1</v>
      </c>
      <c r="DU99" s="636">
        <v>0.03</v>
      </c>
      <c r="DV99" s="1889">
        <f>AVERAGE(DR99:DU99)</f>
        <v>6.8750000000000006E-2</v>
      </c>
      <c r="DW99" s="1903">
        <v>0.16</v>
      </c>
      <c r="DX99" s="636">
        <f t="shared" ref="DX99:DZ101" si="290">DW99</f>
        <v>0.16</v>
      </c>
      <c r="DY99" s="636">
        <v>6.5000000000000002E-2</v>
      </c>
      <c r="DZ99" s="636">
        <f t="shared" si="290"/>
        <v>6.5000000000000002E-2</v>
      </c>
      <c r="EA99" s="1971">
        <f>AVERAGE(DW99:DZ99)</f>
        <v>0.1125</v>
      </c>
      <c r="EB99" s="1903">
        <f>DZ99</f>
        <v>6.5000000000000002E-2</v>
      </c>
      <c r="EC99" s="636">
        <f t="shared" ref="EC99:EE101" si="291">EB99</f>
        <v>6.5000000000000002E-2</v>
      </c>
      <c r="ED99" s="636">
        <v>0.12</v>
      </c>
      <c r="EE99" s="636">
        <f t="shared" si="291"/>
        <v>0.12</v>
      </c>
      <c r="EF99" s="1971">
        <f>AVERAGE(EB99:EE99)</f>
        <v>9.2499999999999999E-2</v>
      </c>
      <c r="EG99" s="1903">
        <f>EE99</f>
        <v>0.12</v>
      </c>
      <c r="EH99" s="636">
        <f t="shared" ref="EH99:EJ101" si="292">EG99</f>
        <v>0.12</v>
      </c>
      <c r="EI99" s="636">
        <f t="shared" si="292"/>
        <v>0.12</v>
      </c>
      <c r="EJ99" s="636">
        <f t="shared" si="292"/>
        <v>0.12</v>
      </c>
      <c r="EK99" s="1971">
        <f>AVERAGE(EG99:EJ99)</f>
        <v>0.12</v>
      </c>
      <c r="EL99" s="1903">
        <f>EJ99</f>
        <v>0.12</v>
      </c>
      <c r="EM99" s="636">
        <f t="shared" ref="EM99:EO101" si="293">EL99</f>
        <v>0.12</v>
      </c>
      <c r="EN99" s="636">
        <f t="shared" si="293"/>
        <v>0.12</v>
      </c>
      <c r="EO99" s="636">
        <f t="shared" si="293"/>
        <v>0.12</v>
      </c>
      <c r="EP99" s="1971">
        <f>AVERAGE(EL99:EO99)</f>
        <v>0.12</v>
      </c>
      <c r="EQ99" s="1903">
        <f>EO99</f>
        <v>0.12</v>
      </c>
      <c r="ER99" s="636">
        <f t="shared" ref="ER99:ER101" si="294">EQ99</f>
        <v>0.12</v>
      </c>
      <c r="ES99" s="636">
        <f t="shared" ref="ES99:ES101" si="295">ER99</f>
        <v>0.12</v>
      </c>
      <c r="ET99" s="636">
        <f t="shared" ref="ET99:ET101" si="296">ES99</f>
        <v>0.12</v>
      </c>
      <c r="EU99" s="1971">
        <f>AVERAGE(EQ99:ET99)</f>
        <v>0.12</v>
      </c>
      <c r="EV99" s="1903">
        <f>ET99</f>
        <v>0.12</v>
      </c>
      <c r="EW99" s="636">
        <f t="shared" ref="EW99:EW101" si="297">EV99</f>
        <v>0.12</v>
      </c>
      <c r="EX99" s="636">
        <f t="shared" ref="EX99:EX101" si="298">EW99</f>
        <v>0.12</v>
      </c>
      <c r="EY99" s="636">
        <f t="shared" ref="EY99:EY101" si="299">EX99</f>
        <v>0.12</v>
      </c>
      <c r="EZ99" s="1971">
        <f>AVERAGE(EV99:EY99)</f>
        <v>0.12</v>
      </c>
      <c r="FA99" s="1971"/>
      <c r="FB99" s="1971"/>
      <c r="FC99" s="1971"/>
      <c r="FD99" s="424"/>
      <c r="FF99" s="424"/>
      <c r="FL99" s="1383"/>
      <c r="FM99" s="1383"/>
    </row>
    <row r="100" spans="1:170" ht="11.25" customHeight="1">
      <c r="A100" s="1970" t="s">
        <v>431</v>
      </c>
      <c r="B100" s="421"/>
      <c r="C100" s="421"/>
      <c r="D100" s="421"/>
      <c r="E100" s="421"/>
      <c r="F100" s="1971"/>
      <c r="G100" s="421"/>
      <c r="H100" s="421"/>
      <c r="I100" s="421"/>
      <c r="J100" s="421"/>
      <c r="K100" s="1971"/>
      <c r="L100" s="421"/>
      <c r="M100" s="421"/>
      <c r="N100" s="421"/>
      <c r="O100" s="421"/>
      <c r="P100" s="1971"/>
      <c r="Q100" s="421"/>
      <c r="R100" s="421"/>
      <c r="S100" s="421"/>
      <c r="T100" s="421"/>
      <c r="U100" s="1971"/>
      <c r="V100" s="421"/>
      <c r="W100" s="421"/>
      <c r="X100" s="421"/>
      <c r="Y100" s="421"/>
      <c r="Z100" s="1971"/>
      <c r="AA100" s="421"/>
      <c r="AB100" s="421"/>
      <c r="AC100" s="421"/>
      <c r="AD100" s="421"/>
      <c r="AE100" s="1971"/>
      <c r="AF100" s="421"/>
      <c r="AG100" s="421"/>
      <c r="AH100" s="421"/>
      <c r="AI100" s="421"/>
      <c r="AJ100" s="1971"/>
      <c r="AK100" s="421"/>
      <c r="AL100" s="421"/>
      <c r="AM100" s="421"/>
      <c r="AN100" s="421"/>
      <c r="AO100" s="1971"/>
      <c r="AP100" s="421"/>
      <c r="AQ100" s="421"/>
      <c r="AR100" s="421"/>
      <c r="AS100" s="421"/>
      <c r="AT100" s="1971"/>
      <c r="AU100" s="421"/>
      <c r="AV100" s="421"/>
      <c r="AW100" s="421"/>
      <c r="AX100" s="421"/>
      <c r="AY100" s="1971"/>
      <c r="AZ100" s="1890"/>
      <c r="BA100" s="424"/>
      <c r="BB100" s="424"/>
      <c r="BC100" s="424"/>
      <c r="BD100" s="1971"/>
      <c r="BE100" s="1890"/>
      <c r="BF100" s="424"/>
      <c r="BG100" s="424"/>
      <c r="BH100" s="424"/>
      <c r="BI100" s="1971"/>
      <c r="BJ100" s="1890"/>
      <c r="BK100" s="424"/>
      <c r="BL100" s="424"/>
      <c r="BM100" s="426"/>
      <c r="BN100" s="1971"/>
      <c r="BO100" s="1890"/>
      <c r="BP100" s="424"/>
      <c r="BQ100" s="424"/>
      <c r="BR100" s="424"/>
      <c r="BS100" s="1971"/>
      <c r="BT100" s="1890"/>
      <c r="BU100" s="424"/>
      <c r="BV100" s="424"/>
      <c r="BW100" s="426"/>
      <c r="BX100" s="1971"/>
      <c r="BY100" s="1890"/>
      <c r="BZ100" s="424"/>
      <c r="CA100" s="424"/>
      <c r="CB100" s="426"/>
      <c r="CC100" s="1971"/>
      <c r="CD100" s="1890"/>
      <c r="CE100" s="424"/>
      <c r="CF100" s="424"/>
      <c r="CG100" s="426"/>
      <c r="CH100" s="1971"/>
      <c r="CI100" s="424"/>
      <c r="CJ100" s="424"/>
      <c r="CK100" s="424"/>
      <c r="CL100" s="426"/>
      <c r="CM100" s="1971"/>
      <c r="CN100" s="424"/>
      <c r="CO100" s="424"/>
      <c r="CP100" s="424"/>
      <c r="CQ100" s="426"/>
      <c r="CR100" s="1971"/>
      <c r="CS100" s="636">
        <f t="shared" si="286"/>
        <v>0.24</v>
      </c>
      <c r="CT100" s="636">
        <f t="shared" si="286"/>
        <v>0.24</v>
      </c>
      <c r="CU100" s="636">
        <f t="shared" si="286"/>
        <v>0.24</v>
      </c>
      <c r="CV100" s="636">
        <f>CX100</f>
        <v>0.24</v>
      </c>
      <c r="CW100" s="1889">
        <f>AVERAGE(CS100:CV100)</f>
        <v>0.24</v>
      </c>
      <c r="CX100" s="1890">
        <v>0.24</v>
      </c>
      <c r="CY100" s="636">
        <f t="shared" si="287"/>
        <v>0.24</v>
      </c>
      <c r="CZ100" s="636">
        <f t="shared" si="287"/>
        <v>0.24</v>
      </c>
      <c r="DA100" s="1334">
        <v>0.2</v>
      </c>
      <c r="DB100" s="1889">
        <f>AVERAGE(CX100:DA100)</f>
        <v>0.22999999999999998</v>
      </c>
      <c r="DC100" s="1903">
        <v>0.12</v>
      </c>
      <c r="DD100" s="636">
        <v>0.22</v>
      </c>
      <c r="DE100" s="1334">
        <v>0.33</v>
      </c>
      <c r="DF100" s="1334">
        <v>0.2</v>
      </c>
      <c r="DG100" s="1889">
        <f>AVERAGE(DC100:DF100)</f>
        <v>0.21749999999999997</v>
      </c>
      <c r="DH100" s="1903">
        <f>DF100</f>
        <v>0.2</v>
      </c>
      <c r="DI100" s="636">
        <f>DH100</f>
        <v>0.2</v>
      </c>
      <c r="DJ100" s="636">
        <f>DI100</f>
        <v>0.2</v>
      </c>
      <c r="DK100" s="636">
        <f>DJ100</f>
        <v>0.2</v>
      </c>
      <c r="DL100" s="1889">
        <f>AVERAGE(DH100:DK100)</f>
        <v>0.2</v>
      </c>
      <c r="DM100" s="1903">
        <f>DK100</f>
        <v>0.2</v>
      </c>
      <c r="DN100" s="636">
        <f t="shared" si="288"/>
        <v>0.2</v>
      </c>
      <c r="DO100" s="636">
        <f t="shared" si="288"/>
        <v>0.2</v>
      </c>
      <c r="DP100" s="636">
        <f t="shared" si="288"/>
        <v>0.2</v>
      </c>
      <c r="DQ100" s="1889">
        <f>AVERAGE(DM100:DP100)</f>
        <v>0.2</v>
      </c>
      <c r="DR100" s="1903">
        <f>DP100</f>
        <v>0.2</v>
      </c>
      <c r="DS100" s="636">
        <v>0.15</v>
      </c>
      <c r="DT100" s="636">
        <f t="shared" si="289"/>
        <v>0.15</v>
      </c>
      <c r="DU100" s="636">
        <f t="shared" si="289"/>
        <v>0.15</v>
      </c>
      <c r="DV100" s="1889">
        <f>AVERAGE(DR100:DU100)</f>
        <v>0.16250000000000001</v>
      </c>
      <c r="DW100" s="1903">
        <f>DU100</f>
        <v>0.15</v>
      </c>
      <c r="DX100" s="636">
        <f t="shared" si="290"/>
        <v>0.15</v>
      </c>
      <c r="DY100" s="636">
        <v>0.2</v>
      </c>
      <c r="DZ100" s="636">
        <f t="shared" si="290"/>
        <v>0.2</v>
      </c>
      <c r="EA100" s="1889">
        <f>AVERAGE(DW100:DZ100)</f>
        <v>0.17499999999999999</v>
      </c>
      <c r="EB100" s="1903">
        <f>DZ100</f>
        <v>0.2</v>
      </c>
      <c r="EC100" s="636">
        <f t="shared" si="291"/>
        <v>0.2</v>
      </c>
      <c r="ED100" s="636">
        <v>0.1</v>
      </c>
      <c r="EE100" s="636">
        <f t="shared" si="291"/>
        <v>0.1</v>
      </c>
      <c r="EF100" s="1889">
        <f>AVERAGE(EB100:EE100)</f>
        <v>0.15</v>
      </c>
      <c r="EG100" s="1903">
        <f>EE100</f>
        <v>0.1</v>
      </c>
      <c r="EH100" s="636">
        <f t="shared" si="292"/>
        <v>0.1</v>
      </c>
      <c r="EI100" s="636">
        <f t="shared" si="292"/>
        <v>0.1</v>
      </c>
      <c r="EJ100" s="636">
        <f t="shared" si="292"/>
        <v>0.1</v>
      </c>
      <c r="EK100" s="1889">
        <f>AVERAGE(EG100:EJ100)</f>
        <v>0.1</v>
      </c>
      <c r="EL100" s="1903">
        <f>EJ100</f>
        <v>0.1</v>
      </c>
      <c r="EM100" s="636">
        <f t="shared" si="293"/>
        <v>0.1</v>
      </c>
      <c r="EN100" s="636">
        <f t="shared" si="293"/>
        <v>0.1</v>
      </c>
      <c r="EO100" s="636">
        <f t="shared" si="293"/>
        <v>0.1</v>
      </c>
      <c r="EP100" s="1889">
        <f>AVERAGE(EL100:EO100)</f>
        <v>0.1</v>
      </c>
      <c r="EQ100" s="1903">
        <f>EO100</f>
        <v>0.1</v>
      </c>
      <c r="ER100" s="636">
        <f t="shared" si="294"/>
        <v>0.1</v>
      </c>
      <c r="ES100" s="636">
        <f t="shared" si="295"/>
        <v>0.1</v>
      </c>
      <c r="ET100" s="636">
        <f t="shared" si="296"/>
        <v>0.1</v>
      </c>
      <c r="EU100" s="1889">
        <f>AVERAGE(EQ100:ET100)</f>
        <v>0.1</v>
      </c>
      <c r="EV100" s="1903">
        <f>ET100</f>
        <v>0.1</v>
      </c>
      <c r="EW100" s="636">
        <f t="shared" si="297"/>
        <v>0.1</v>
      </c>
      <c r="EX100" s="636">
        <f t="shared" si="298"/>
        <v>0.1</v>
      </c>
      <c r="EY100" s="636">
        <f t="shared" si="299"/>
        <v>0.1</v>
      </c>
      <c r="EZ100" s="1889">
        <f>AVERAGE(EV100:EY100)</f>
        <v>0.1</v>
      </c>
      <c r="FA100" s="1889"/>
      <c r="FB100" s="1889"/>
      <c r="FC100" s="1889"/>
      <c r="FD100" s="424"/>
      <c r="FF100" s="424"/>
      <c r="FL100" s="1383"/>
      <c r="FM100" s="1383"/>
    </row>
    <row r="101" spans="1:170" ht="11.25" customHeight="1">
      <c r="A101" s="1888" t="s">
        <v>398</v>
      </c>
      <c r="B101" s="421"/>
      <c r="C101" s="421"/>
      <c r="D101" s="421"/>
      <c r="E101" s="421"/>
      <c r="F101" s="1889"/>
      <c r="G101" s="421"/>
      <c r="H101" s="421"/>
      <c r="I101" s="421"/>
      <c r="J101" s="421"/>
      <c r="K101" s="1889"/>
      <c r="L101" s="421"/>
      <c r="M101" s="421"/>
      <c r="N101" s="421"/>
      <c r="O101" s="421"/>
      <c r="P101" s="1889"/>
      <c r="Q101" s="421"/>
      <c r="R101" s="421"/>
      <c r="S101" s="421"/>
      <c r="T101" s="421"/>
      <c r="U101" s="1889"/>
      <c r="V101" s="421"/>
      <c r="W101" s="421"/>
      <c r="X101" s="421"/>
      <c r="Y101" s="421"/>
      <c r="Z101" s="1889"/>
      <c r="AA101" s="421"/>
      <c r="AB101" s="421"/>
      <c r="AC101" s="421"/>
      <c r="AD101" s="421"/>
      <c r="AE101" s="1889"/>
      <c r="AF101" s="421"/>
      <c r="AG101" s="421"/>
      <c r="AH101" s="421"/>
      <c r="AI101" s="421"/>
      <c r="AJ101" s="1889"/>
      <c r="AK101" s="421"/>
      <c r="AL101" s="421"/>
      <c r="AM101" s="421"/>
      <c r="AN101" s="421"/>
      <c r="AO101" s="1889"/>
      <c r="AP101" s="421"/>
      <c r="AQ101" s="421"/>
      <c r="AR101" s="421"/>
      <c r="AS101" s="421"/>
      <c r="AT101" s="1889"/>
      <c r="AU101" s="421"/>
      <c r="AV101" s="421"/>
      <c r="AW101" s="421"/>
      <c r="AX101" s="421"/>
      <c r="AY101" s="1889"/>
      <c r="AZ101" s="1890"/>
      <c r="BA101" s="424"/>
      <c r="BB101" s="424"/>
      <c r="BC101" s="424"/>
      <c r="BD101" s="1889"/>
      <c r="BE101" s="1890"/>
      <c r="BF101" s="424"/>
      <c r="BG101" s="424"/>
      <c r="BH101" s="424"/>
      <c r="BI101" s="1889"/>
      <c r="BJ101" s="1890"/>
      <c r="BK101" s="424"/>
      <c r="BL101" s="424"/>
      <c r="BM101" s="426"/>
      <c r="BN101" s="1889"/>
      <c r="BO101" s="1890"/>
      <c r="BP101" s="424"/>
      <c r="BQ101" s="424"/>
      <c r="BR101" s="424"/>
      <c r="BS101" s="1889"/>
      <c r="BT101" s="1890"/>
      <c r="BU101" s="424"/>
      <c r="BV101" s="424"/>
      <c r="BW101" s="426"/>
      <c r="BX101" s="1889"/>
      <c r="BY101" s="1890"/>
      <c r="BZ101" s="424"/>
      <c r="CA101" s="424"/>
      <c r="CB101" s="426"/>
      <c r="CC101" s="1889"/>
      <c r="CD101" s="1890"/>
      <c r="CE101" s="424"/>
      <c r="CF101" s="424"/>
      <c r="CG101" s="426"/>
      <c r="CH101" s="1889"/>
      <c r="CI101" s="424"/>
      <c r="CJ101" s="424"/>
      <c r="CK101" s="424"/>
      <c r="CL101" s="426"/>
      <c r="CM101" s="1889"/>
      <c r="CN101" s="424"/>
      <c r="CO101" s="424"/>
      <c r="CP101" s="424"/>
      <c r="CQ101" s="426"/>
      <c r="CR101" s="1889"/>
      <c r="CS101" s="636">
        <f t="shared" si="286"/>
        <v>0</v>
      </c>
      <c r="CT101" s="636">
        <f t="shared" si="286"/>
        <v>0</v>
      </c>
      <c r="CU101" s="636">
        <f t="shared" si="286"/>
        <v>0</v>
      </c>
      <c r="CV101" s="636">
        <f>CX101</f>
        <v>0</v>
      </c>
      <c r="CW101" s="1889">
        <f>AVERAGE(CS101:CV101)</f>
        <v>0</v>
      </c>
      <c r="CX101" s="1902">
        <v>0</v>
      </c>
      <c r="CY101" s="636">
        <f t="shared" si="287"/>
        <v>0</v>
      </c>
      <c r="CZ101" s="636">
        <f t="shared" si="287"/>
        <v>0</v>
      </c>
      <c r="DA101" s="1334">
        <f>CZ101</f>
        <v>0</v>
      </c>
      <c r="DB101" s="1889">
        <f>AVERAGE(CX101:DA101)</f>
        <v>0</v>
      </c>
      <c r="DC101" s="1903">
        <f>DA101</f>
        <v>0</v>
      </c>
      <c r="DD101" s="636">
        <f>DC101</f>
        <v>0</v>
      </c>
      <c r="DE101" s="636">
        <f>DD101</f>
        <v>0</v>
      </c>
      <c r="DF101" s="636">
        <f>DE101</f>
        <v>0</v>
      </c>
      <c r="DG101" s="1889">
        <f>AVERAGE(DC101:DF101)</f>
        <v>0</v>
      </c>
      <c r="DH101" s="1903">
        <f>DF101</f>
        <v>0</v>
      </c>
      <c r="DI101" s="636">
        <f>DH101</f>
        <v>0</v>
      </c>
      <c r="DJ101" s="636">
        <f>DI101</f>
        <v>0</v>
      </c>
      <c r="DK101" s="636">
        <f>DJ101</f>
        <v>0</v>
      </c>
      <c r="DL101" s="1889">
        <f>AVERAGE(DH101:DK101)</f>
        <v>0</v>
      </c>
      <c r="DM101" s="1903">
        <f>DK101</f>
        <v>0</v>
      </c>
      <c r="DN101" s="636">
        <f t="shared" si="288"/>
        <v>0</v>
      </c>
      <c r="DO101" s="636">
        <f t="shared" si="288"/>
        <v>0</v>
      </c>
      <c r="DP101" s="636">
        <f t="shared" si="288"/>
        <v>0</v>
      </c>
      <c r="DQ101" s="1889">
        <f>AVERAGE(DM101:DP101)</f>
        <v>0</v>
      </c>
      <c r="DR101" s="1903">
        <f>DP101</f>
        <v>0</v>
      </c>
      <c r="DS101" s="636">
        <f t="shared" si="289"/>
        <v>0</v>
      </c>
      <c r="DT101" s="636">
        <f t="shared" si="289"/>
        <v>0</v>
      </c>
      <c r="DU101" s="636">
        <f t="shared" si="289"/>
        <v>0</v>
      </c>
      <c r="DV101" s="1889">
        <f>AVERAGE(DR101:DU101)</f>
        <v>0</v>
      </c>
      <c r="DW101" s="1903">
        <f>DU101</f>
        <v>0</v>
      </c>
      <c r="DX101" s="636">
        <f t="shared" si="290"/>
        <v>0</v>
      </c>
      <c r="DY101" s="636">
        <f t="shared" si="290"/>
        <v>0</v>
      </c>
      <c r="DZ101" s="636">
        <f t="shared" si="290"/>
        <v>0</v>
      </c>
      <c r="EA101" s="1889">
        <f>AVERAGE(DW101:DZ101)</f>
        <v>0</v>
      </c>
      <c r="EB101" s="1903">
        <f>DZ101</f>
        <v>0</v>
      </c>
      <c r="EC101" s="636">
        <f t="shared" si="291"/>
        <v>0</v>
      </c>
      <c r="ED101" s="636">
        <f t="shared" si="291"/>
        <v>0</v>
      </c>
      <c r="EE101" s="636">
        <f t="shared" si="291"/>
        <v>0</v>
      </c>
      <c r="EF101" s="1889">
        <f>AVERAGE(EB101:EE101)</f>
        <v>0</v>
      </c>
      <c r="EG101" s="1903">
        <f>EE101</f>
        <v>0</v>
      </c>
      <c r="EH101" s="636">
        <f t="shared" si="292"/>
        <v>0</v>
      </c>
      <c r="EI101" s="636">
        <f t="shared" si="292"/>
        <v>0</v>
      </c>
      <c r="EJ101" s="636">
        <f t="shared" si="292"/>
        <v>0</v>
      </c>
      <c r="EK101" s="1889">
        <f>AVERAGE(EG101:EJ101)</f>
        <v>0</v>
      </c>
      <c r="EL101" s="1903">
        <f>EJ101</f>
        <v>0</v>
      </c>
      <c r="EM101" s="636">
        <f t="shared" si="293"/>
        <v>0</v>
      </c>
      <c r="EN101" s="636">
        <f t="shared" si="293"/>
        <v>0</v>
      </c>
      <c r="EO101" s="636">
        <f t="shared" si="293"/>
        <v>0</v>
      </c>
      <c r="EP101" s="1889">
        <f>AVERAGE(EL101:EO101)</f>
        <v>0</v>
      </c>
      <c r="EQ101" s="1903">
        <f>EO101</f>
        <v>0</v>
      </c>
      <c r="ER101" s="636">
        <f t="shared" si="294"/>
        <v>0</v>
      </c>
      <c r="ES101" s="636">
        <f t="shared" si="295"/>
        <v>0</v>
      </c>
      <c r="ET101" s="636">
        <f t="shared" si="296"/>
        <v>0</v>
      </c>
      <c r="EU101" s="1889">
        <f>AVERAGE(EQ101:ET101)</f>
        <v>0</v>
      </c>
      <c r="EV101" s="1903">
        <f>ET101</f>
        <v>0</v>
      </c>
      <c r="EW101" s="636">
        <f t="shared" si="297"/>
        <v>0</v>
      </c>
      <c r="EX101" s="636">
        <f t="shared" si="298"/>
        <v>0</v>
      </c>
      <c r="EY101" s="636">
        <f t="shared" si="299"/>
        <v>0</v>
      </c>
      <c r="EZ101" s="1889">
        <f>AVERAGE(EV101:EY101)</f>
        <v>0</v>
      </c>
      <c r="FA101" s="1889"/>
      <c r="FB101" s="1889"/>
      <c r="FC101" s="1889"/>
      <c r="FD101" s="424"/>
      <c r="FF101" s="424"/>
      <c r="FL101" s="1383"/>
      <c r="FM101" s="1383"/>
    </row>
    <row r="102" spans="1:170" ht="11.25" hidden="1" customHeight="1" outlineLevel="1">
      <c r="A102" s="1976" t="s">
        <v>523</v>
      </c>
      <c r="B102" s="1977"/>
      <c r="C102" s="1977"/>
      <c r="D102" s="1977"/>
      <c r="E102" s="1977"/>
      <c r="F102" s="1978"/>
      <c r="G102" s="1977"/>
      <c r="H102" s="1977"/>
      <c r="I102" s="1977"/>
      <c r="J102" s="1977"/>
      <c r="K102" s="1978"/>
      <c r="L102" s="1977"/>
      <c r="M102" s="1977"/>
      <c r="N102" s="1977"/>
      <c r="O102" s="1977"/>
      <c r="P102" s="1978"/>
      <c r="Q102" s="1977"/>
      <c r="R102" s="1977"/>
      <c r="S102" s="1977"/>
      <c r="T102" s="1977"/>
      <c r="U102" s="1978"/>
      <c r="V102" s="1977"/>
      <c r="W102" s="1977"/>
      <c r="X102" s="1977"/>
      <c r="Y102" s="1977"/>
      <c r="Z102" s="1978"/>
      <c r="AA102" s="1977"/>
      <c r="AB102" s="1977"/>
      <c r="AC102" s="1977"/>
      <c r="AD102" s="1977"/>
      <c r="AE102" s="1978"/>
      <c r="AF102" s="1977"/>
      <c r="AG102" s="1977"/>
      <c r="AH102" s="1977"/>
      <c r="AI102" s="1977"/>
      <c r="AJ102" s="1978"/>
      <c r="AK102" s="1977"/>
      <c r="AL102" s="1977"/>
      <c r="AM102" s="1977"/>
      <c r="AN102" s="1977"/>
      <c r="AO102" s="1978"/>
      <c r="AP102" s="1977"/>
      <c r="AQ102" s="1977"/>
      <c r="AR102" s="1977"/>
      <c r="AS102" s="1977"/>
      <c r="AT102" s="1978"/>
      <c r="AU102" s="1977"/>
      <c r="AV102" s="1977"/>
      <c r="AW102" s="1977"/>
      <c r="AX102" s="1977"/>
      <c r="AY102" s="1978"/>
      <c r="AZ102" s="1979"/>
      <c r="BA102" s="1980"/>
      <c r="BB102" s="1980"/>
      <c r="BC102" s="1980"/>
      <c r="BD102" s="1978"/>
      <c r="BE102" s="1979"/>
      <c r="BF102" s="1980"/>
      <c r="BG102" s="1980"/>
      <c r="BH102" s="1980"/>
      <c r="BI102" s="1978"/>
      <c r="BJ102" s="1979"/>
      <c r="BK102" s="1980"/>
      <c r="BL102" s="1980"/>
      <c r="BM102" s="1981"/>
      <c r="BN102" s="1978"/>
      <c r="BO102" s="1979"/>
      <c r="BP102" s="1980"/>
      <c r="BQ102" s="1980"/>
      <c r="BR102" s="1980"/>
      <c r="BS102" s="1978"/>
      <c r="BT102" s="1979"/>
      <c r="BU102" s="1980"/>
      <c r="BV102" s="1980"/>
      <c r="BW102" s="1981"/>
      <c r="BX102" s="1978"/>
      <c r="BY102" s="1979"/>
      <c r="BZ102" s="1980"/>
      <c r="CA102" s="1980"/>
      <c r="CB102" s="1981"/>
      <c r="CC102" s="1978"/>
      <c r="CD102" s="1979"/>
      <c r="CE102" s="1980"/>
      <c r="CF102" s="1980"/>
      <c r="CG102" s="1981"/>
      <c r="CH102" s="1978"/>
      <c r="CI102" s="1980"/>
      <c r="CJ102" s="1980"/>
      <c r="CK102" s="1980"/>
      <c r="CL102" s="1981"/>
      <c r="CM102" s="1978"/>
      <c r="CN102" s="1980"/>
      <c r="CO102" s="1980"/>
      <c r="CP102" s="1980"/>
      <c r="CQ102" s="1981"/>
      <c r="CR102" s="1978"/>
      <c r="CS102" s="1980">
        <f t="shared" ref="CS102:DF102" si="300">SUM(CS97:CS101)</f>
        <v>1</v>
      </c>
      <c r="CT102" s="1980">
        <f t="shared" si="300"/>
        <v>1</v>
      </c>
      <c r="CU102" s="1980">
        <f t="shared" si="300"/>
        <v>1</v>
      </c>
      <c r="CV102" s="1980">
        <f t="shared" si="300"/>
        <v>1</v>
      </c>
      <c r="CW102" s="1978">
        <f t="shared" si="300"/>
        <v>1</v>
      </c>
      <c r="CX102" s="1979">
        <f t="shared" si="300"/>
        <v>1</v>
      </c>
      <c r="CY102" s="1980">
        <f t="shared" si="300"/>
        <v>1</v>
      </c>
      <c r="CZ102" s="1980">
        <f t="shared" si="300"/>
        <v>1</v>
      </c>
      <c r="DA102" s="1981">
        <f t="shared" si="300"/>
        <v>1</v>
      </c>
      <c r="DB102" s="1978">
        <f t="shared" si="300"/>
        <v>1</v>
      </c>
      <c r="DC102" s="1979">
        <f t="shared" si="300"/>
        <v>1</v>
      </c>
      <c r="DD102" s="1980">
        <f t="shared" si="300"/>
        <v>1</v>
      </c>
      <c r="DE102" s="1980">
        <f t="shared" si="300"/>
        <v>1</v>
      </c>
      <c r="DF102" s="1981">
        <f t="shared" si="300"/>
        <v>1</v>
      </c>
      <c r="DG102" s="1978">
        <f t="shared" ref="DG102:DV102" si="301">SUM(DG97:DG101)</f>
        <v>0.99999999999999978</v>
      </c>
      <c r="DH102" s="1979">
        <f t="shared" si="301"/>
        <v>1</v>
      </c>
      <c r="DI102" s="1980">
        <f t="shared" si="301"/>
        <v>1</v>
      </c>
      <c r="DJ102" s="1980">
        <f t="shared" si="301"/>
        <v>1</v>
      </c>
      <c r="DK102" s="1981">
        <f t="shared" si="301"/>
        <v>1</v>
      </c>
      <c r="DL102" s="1978">
        <f t="shared" si="301"/>
        <v>1</v>
      </c>
      <c r="DM102" s="1979">
        <f t="shared" si="301"/>
        <v>1</v>
      </c>
      <c r="DN102" s="1980">
        <f t="shared" si="301"/>
        <v>1</v>
      </c>
      <c r="DO102" s="1980">
        <f t="shared" si="301"/>
        <v>1</v>
      </c>
      <c r="DP102" s="1981">
        <f t="shared" si="301"/>
        <v>1</v>
      </c>
      <c r="DQ102" s="1978">
        <f t="shared" si="301"/>
        <v>1</v>
      </c>
      <c r="DR102" s="1979">
        <f t="shared" si="301"/>
        <v>1</v>
      </c>
      <c r="DS102" s="1980">
        <f t="shared" si="301"/>
        <v>1</v>
      </c>
      <c r="DT102" s="1980">
        <f t="shared" si="301"/>
        <v>1</v>
      </c>
      <c r="DU102" s="1981">
        <f t="shared" si="301"/>
        <v>1</v>
      </c>
      <c r="DV102" s="1978">
        <f t="shared" si="301"/>
        <v>1</v>
      </c>
      <c r="DW102" s="1979">
        <f t="shared" ref="DW102:EF102" si="302">SUM(DW97:DW101)</f>
        <v>1</v>
      </c>
      <c r="DX102" s="1980">
        <f t="shared" si="302"/>
        <v>1</v>
      </c>
      <c r="DY102" s="1980">
        <f t="shared" si="302"/>
        <v>1</v>
      </c>
      <c r="DZ102" s="1981">
        <f t="shared" si="302"/>
        <v>1</v>
      </c>
      <c r="EA102" s="1978">
        <f t="shared" si="302"/>
        <v>1</v>
      </c>
      <c r="EB102" s="1979">
        <f t="shared" si="302"/>
        <v>1</v>
      </c>
      <c r="EC102" s="1980">
        <f t="shared" si="302"/>
        <v>1</v>
      </c>
      <c r="ED102" s="1980">
        <f t="shared" si="302"/>
        <v>1</v>
      </c>
      <c r="EE102" s="1981">
        <f t="shared" si="302"/>
        <v>1</v>
      </c>
      <c r="EF102" s="1978">
        <f t="shared" si="302"/>
        <v>1</v>
      </c>
      <c r="EG102" s="1979">
        <f t="shared" ref="EG102:EP102" si="303">SUM(EG97:EG101)</f>
        <v>1</v>
      </c>
      <c r="EH102" s="1980">
        <f t="shared" si="303"/>
        <v>1</v>
      </c>
      <c r="EI102" s="1980">
        <f t="shared" si="303"/>
        <v>1</v>
      </c>
      <c r="EJ102" s="1981">
        <f t="shared" si="303"/>
        <v>1</v>
      </c>
      <c r="EK102" s="1978">
        <f t="shared" si="303"/>
        <v>1</v>
      </c>
      <c r="EL102" s="1979">
        <f t="shared" si="303"/>
        <v>1</v>
      </c>
      <c r="EM102" s="1980">
        <f t="shared" si="303"/>
        <v>1</v>
      </c>
      <c r="EN102" s="1980">
        <f t="shared" si="303"/>
        <v>1</v>
      </c>
      <c r="EO102" s="1981">
        <f t="shared" si="303"/>
        <v>1</v>
      </c>
      <c r="EP102" s="1978">
        <f t="shared" si="303"/>
        <v>1</v>
      </c>
      <c r="EQ102" s="1979">
        <f t="shared" ref="EQ102:EU102" si="304">SUM(EQ97:EQ101)</f>
        <v>1</v>
      </c>
      <c r="ER102" s="1980">
        <f t="shared" si="304"/>
        <v>1</v>
      </c>
      <c r="ES102" s="1980">
        <f t="shared" si="304"/>
        <v>1</v>
      </c>
      <c r="ET102" s="1981">
        <f t="shared" si="304"/>
        <v>1</v>
      </c>
      <c r="EU102" s="1978">
        <f t="shared" si="304"/>
        <v>1</v>
      </c>
      <c r="EV102" s="1979">
        <f t="shared" ref="EV102:EZ102" si="305">SUM(EV97:EV101)</f>
        <v>1</v>
      </c>
      <c r="EW102" s="1980">
        <f t="shared" si="305"/>
        <v>1</v>
      </c>
      <c r="EX102" s="1980">
        <f t="shared" si="305"/>
        <v>1</v>
      </c>
      <c r="EY102" s="1981">
        <f t="shared" si="305"/>
        <v>1</v>
      </c>
      <c r="EZ102" s="1978">
        <f t="shared" si="305"/>
        <v>1</v>
      </c>
      <c r="FA102" s="1978"/>
      <c r="FB102" s="1978"/>
      <c r="FC102" s="1978"/>
      <c r="FD102" s="636"/>
      <c r="FF102" s="636"/>
      <c r="FL102" s="1884"/>
      <c r="FM102" s="1884"/>
    </row>
    <row r="103" spans="1:170" ht="11.25" customHeight="1" collapsed="1">
      <c r="A103" s="1888"/>
      <c r="B103" s="421"/>
      <c r="C103" s="421"/>
      <c r="D103" s="421"/>
      <c r="E103" s="421"/>
      <c r="F103" s="1889"/>
      <c r="G103" s="421"/>
      <c r="H103" s="421"/>
      <c r="I103" s="421"/>
      <c r="J103" s="421"/>
      <c r="K103" s="1889"/>
      <c r="L103" s="421"/>
      <c r="M103" s="421"/>
      <c r="N103" s="421"/>
      <c r="O103" s="421"/>
      <c r="P103" s="1889"/>
      <c r="Q103" s="421"/>
      <c r="R103" s="421"/>
      <c r="S103" s="421"/>
      <c r="T103" s="421"/>
      <c r="U103" s="1889"/>
      <c r="V103" s="421"/>
      <c r="W103" s="421"/>
      <c r="X103" s="421"/>
      <c r="Y103" s="421"/>
      <c r="Z103" s="1889"/>
      <c r="AA103" s="421"/>
      <c r="AB103" s="421"/>
      <c r="AC103" s="421"/>
      <c r="AD103" s="421"/>
      <c r="AE103" s="1889"/>
      <c r="AF103" s="421"/>
      <c r="AG103" s="421"/>
      <c r="AH103" s="421"/>
      <c r="AI103" s="421"/>
      <c r="AJ103" s="1889"/>
      <c r="AK103" s="421"/>
      <c r="AL103" s="421"/>
      <c r="AM103" s="421"/>
      <c r="AN103" s="421"/>
      <c r="AO103" s="1889"/>
      <c r="AP103" s="421"/>
      <c r="AQ103" s="421"/>
      <c r="AR103" s="421"/>
      <c r="AS103" s="421"/>
      <c r="AT103" s="1889"/>
      <c r="AU103" s="421"/>
      <c r="AV103" s="421"/>
      <c r="AW103" s="421"/>
      <c r="AX103" s="421"/>
      <c r="AY103" s="1889"/>
      <c r="AZ103" s="1903"/>
      <c r="BA103" s="636"/>
      <c r="BB103" s="636"/>
      <c r="BC103" s="636"/>
      <c r="BD103" s="1889"/>
      <c r="BE103" s="1903"/>
      <c r="BF103" s="636"/>
      <c r="BG103" s="636"/>
      <c r="BH103" s="636"/>
      <c r="BI103" s="1889"/>
      <c r="BJ103" s="1903"/>
      <c r="BK103" s="636"/>
      <c r="BL103" s="636"/>
      <c r="BM103" s="1172"/>
      <c r="BN103" s="1889"/>
      <c r="BO103" s="1903"/>
      <c r="BP103" s="636"/>
      <c r="BQ103" s="636"/>
      <c r="BR103" s="636"/>
      <c r="BS103" s="1889"/>
      <c r="BT103" s="1903"/>
      <c r="BU103" s="636"/>
      <c r="BV103" s="636"/>
      <c r="BW103" s="1172"/>
      <c r="BX103" s="1889"/>
      <c r="BY103" s="1903"/>
      <c r="BZ103" s="636"/>
      <c r="CA103" s="636"/>
      <c r="CB103" s="1172"/>
      <c r="CC103" s="1889"/>
      <c r="CD103" s="1903"/>
      <c r="CE103" s="636"/>
      <c r="CF103" s="636"/>
      <c r="CG103" s="1172"/>
      <c r="CH103" s="1889"/>
      <c r="CI103" s="636"/>
      <c r="CJ103" s="636"/>
      <c r="CK103" s="636"/>
      <c r="CL103" s="1172"/>
      <c r="CM103" s="1889"/>
      <c r="CN103" s="636"/>
      <c r="CO103" s="636"/>
      <c r="CP103" s="636"/>
      <c r="CQ103" s="1172"/>
      <c r="CR103" s="1889"/>
      <c r="CS103" s="636"/>
      <c r="CT103" s="636"/>
      <c r="CU103" s="636"/>
      <c r="CV103" s="636"/>
      <c r="CW103" s="1889"/>
      <c r="CX103" s="1903"/>
      <c r="CY103" s="636"/>
      <c r="CZ103" s="636"/>
      <c r="DA103" s="1172"/>
      <c r="DB103" s="1889"/>
      <c r="DC103" s="1903"/>
      <c r="DD103" s="636"/>
      <c r="DE103" s="636"/>
      <c r="DF103" s="1172"/>
      <c r="DG103" s="1889"/>
      <c r="DH103" s="1903"/>
      <c r="DI103" s="636"/>
      <c r="DJ103" s="636"/>
      <c r="DK103" s="1172"/>
      <c r="DL103" s="1889"/>
      <c r="DM103" s="1903"/>
      <c r="DN103" s="636"/>
      <c r="DO103" s="636"/>
      <c r="DP103" s="1172"/>
      <c r="DQ103" s="1889"/>
      <c r="DR103" s="1903"/>
      <c r="DS103" s="636"/>
      <c r="DT103" s="636"/>
      <c r="DU103" s="1172"/>
      <c r="DV103" s="1889"/>
      <c r="DW103" s="1903"/>
      <c r="DX103" s="636"/>
      <c r="DY103" s="636"/>
      <c r="DZ103" s="1172"/>
      <c r="EA103" s="1889"/>
      <c r="EB103" s="1903"/>
      <c r="EC103" s="636"/>
      <c r="ED103" s="636"/>
      <c r="EE103" s="1172"/>
      <c r="EF103" s="1889"/>
      <c r="EG103" s="1903"/>
      <c r="EH103" s="636"/>
      <c r="EI103" s="636"/>
      <c r="EJ103" s="1172"/>
      <c r="EK103" s="1889"/>
      <c r="EL103" s="1903"/>
      <c r="EM103" s="636"/>
      <c r="EN103" s="636"/>
      <c r="EO103" s="1172"/>
      <c r="EP103" s="1889"/>
      <c r="EQ103" s="1903"/>
      <c r="ER103" s="636"/>
      <c r="ES103" s="636"/>
      <c r="ET103" s="1172"/>
      <c r="EU103" s="1889"/>
      <c r="EV103" s="1903"/>
      <c r="EW103" s="636"/>
      <c r="EX103" s="636"/>
      <c r="EY103" s="1172"/>
      <c r="EZ103" s="1889"/>
      <c r="FA103" s="1889"/>
      <c r="FB103" s="1889"/>
      <c r="FC103" s="1889"/>
      <c r="FD103" s="636"/>
      <c r="FF103" s="636"/>
      <c r="FL103" s="1884"/>
      <c r="FM103" s="1884"/>
    </row>
    <row r="104" spans="1:170" ht="11.25" customHeight="1">
      <c r="A104" s="1904" t="s">
        <v>348</v>
      </c>
      <c r="B104" s="429"/>
      <c r="C104" s="429"/>
      <c r="D104" s="429"/>
      <c r="E104" s="429"/>
      <c r="F104" s="1905"/>
      <c r="G104" s="429"/>
      <c r="H104" s="429"/>
      <c r="I104" s="429"/>
      <c r="J104" s="429"/>
      <c r="K104" s="1905"/>
      <c r="L104" s="429"/>
      <c r="M104" s="429"/>
      <c r="N104" s="429"/>
      <c r="O104" s="429"/>
      <c r="P104" s="1905"/>
      <c r="Q104" s="429"/>
      <c r="R104" s="429"/>
      <c r="S104" s="429"/>
      <c r="T104" s="429"/>
      <c r="U104" s="1905"/>
      <c r="V104" s="429"/>
      <c r="W104" s="429"/>
      <c r="X104" s="429"/>
      <c r="Y104" s="429"/>
      <c r="Z104" s="1905"/>
      <c r="AA104" s="429"/>
      <c r="AB104" s="429"/>
      <c r="AC104" s="429"/>
      <c r="AD104" s="429"/>
      <c r="AE104" s="1905"/>
      <c r="AF104" s="429"/>
      <c r="AG104" s="429"/>
      <c r="AH104" s="429"/>
      <c r="AI104" s="429"/>
      <c r="AJ104" s="1905"/>
      <c r="AK104" s="429"/>
      <c r="AL104" s="429"/>
      <c r="AM104" s="429"/>
      <c r="AN104" s="429"/>
      <c r="AO104" s="1905"/>
      <c r="AP104" s="429"/>
      <c r="AQ104" s="429"/>
      <c r="AR104" s="429"/>
      <c r="AS104" s="429"/>
      <c r="AT104" s="1905"/>
      <c r="AU104" s="429"/>
      <c r="AV104" s="429"/>
      <c r="AW104" s="429"/>
      <c r="AX104" s="429"/>
      <c r="AY104" s="1905"/>
      <c r="AZ104" s="1906"/>
      <c r="BA104" s="429"/>
      <c r="BB104" s="429"/>
      <c r="BC104" s="429"/>
      <c r="BD104" s="1905"/>
      <c r="BE104" s="1906"/>
      <c r="BF104" s="429"/>
      <c r="BG104" s="429"/>
      <c r="BH104" s="429"/>
      <c r="BI104" s="1905"/>
      <c r="BJ104" s="1906"/>
      <c r="BK104" s="429"/>
      <c r="BL104" s="429"/>
      <c r="BM104" s="430"/>
      <c r="BN104" s="1905"/>
      <c r="BO104" s="1907"/>
      <c r="BP104" s="429"/>
      <c r="BQ104" s="429"/>
      <c r="BR104" s="429"/>
      <c r="BS104" s="1905"/>
      <c r="BT104" s="1907"/>
      <c r="BU104" s="429"/>
      <c r="BV104" s="429"/>
      <c r="BW104" s="430"/>
      <c r="BX104" s="1905"/>
      <c r="BY104" s="1908"/>
      <c r="BZ104" s="429"/>
      <c r="CA104" s="429"/>
      <c r="CB104" s="430"/>
      <c r="CC104" s="1905"/>
      <c r="CD104" s="1908"/>
      <c r="CE104" s="429"/>
      <c r="CF104" s="429"/>
      <c r="CG104" s="430"/>
      <c r="CH104" s="1905"/>
      <c r="CI104" s="429"/>
      <c r="CJ104" s="429"/>
      <c r="CK104" s="429"/>
      <c r="CL104" s="430"/>
      <c r="CM104" s="1905"/>
      <c r="CN104" s="429"/>
      <c r="CO104" s="429"/>
      <c r="CP104" s="429"/>
      <c r="CQ104" s="430"/>
      <c r="CR104" s="1905"/>
      <c r="CS104" s="429"/>
      <c r="CT104" s="429"/>
      <c r="CU104" s="429"/>
      <c r="CV104" s="429"/>
      <c r="CW104" s="1905"/>
      <c r="CX104" s="1906"/>
      <c r="CY104" s="429"/>
      <c r="CZ104" s="429"/>
      <c r="DA104" s="430"/>
      <c r="DB104" s="1905"/>
      <c r="DC104" s="1906"/>
      <c r="DD104" s="429"/>
      <c r="DE104" s="429"/>
      <c r="DF104" s="430"/>
      <c r="DG104" s="1905"/>
      <c r="DH104" s="1906"/>
      <c r="DI104" s="429"/>
      <c r="DJ104" s="429"/>
      <c r="DK104" s="430"/>
      <c r="DL104" s="1905"/>
      <c r="DM104" s="1906"/>
      <c r="DN104" s="429"/>
      <c r="DO104" s="429"/>
      <c r="DP104" s="430"/>
      <c r="DQ104" s="1905"/>
      <c r="DR104" s="1906"/>
      <c r="DS104" s="429"/>
      <c r="DT104" s="429"/>
      <c r="DU104" s="430"/>
      <c r="DV104" s="1905"/>
      <c r="DW104" s="1906"/>
      <c r="DX104" s="429"/>
      <c r="DY104" s="429"/>
      <c r="DZ104" s="430"/>
      <c r="EA104" s="1905"/>
      <c r="EB104" s="1906"/>
      <c r="EC104" s="429"/>
      <c r="ED104" s="429"/>
      <c r="EE104" s="430"/>
      <c r="EF104" s="1905"/>
      <c r="EG104" s="1906"/>
      <c r="EH104" s="429"/>
      <c r="EI104" s="429"/>
      <c r="EJ104" s="430"/>
      <c r="EK104" s="1905"/>
      <c r="EL104" s="1906"/>
      <c r="EM104" s="429"/>
      <c r="EN104" s="429"/>
      <c r="EO104" s="430"/>
      <c r="EP104" s="1905"/>
      <c r="EQ104" s="1906"/>
      <c r="ER104" s="429"/>
      <c r="ES104" s="429"/>
      <c r="ET104" s="430"/>
      <c r="EU104" s="1905"/>
      <c r="EV104" s="1906"/>
      <c r="EW104" s="429"/>
      <c r="EX104" s="429"/>
      <c r="EY104" s="430"/>
      <c r="EZ104" s="1905"/>
      <c r="FA104" s="1905"/>
      <c r="FB104" s="1905"/>
      <c r="FC104" s="1905"/>
      <c r="FD104" s="429"/>
      <c r="FF104" s="429"/>
      <c r="FG104"/>
      <c r="FH104"/>
      <c r="FI104"/>
      <c r="FJ104"/>
      <c r="FK104"/>
      <c r="FL104"/>
      <c r="FM104"/>
      <c r="FN104"/>
    </row>
    <row r="105" spans="1:170" ht="11.25" customHeight="1">
      <c r="A105" s="1888" t="s">
        <v>816</v>
      </c>
      <c r="B105" s="431"/>
      <c r="C105" s="431"/>
      <c r="D105" s="431"/>
      <c r="E105" s="431"/>
      <c r="F105" s="1891"/>
      <c r="G105" s="431"/>
      <c r="H105" s="431"/>
      <c r="I105" s="431"/>
      <c r="J105" s="431"/>
      <c r="K105" s="1891"/>
      <c r="L105" s="431"/>
      <c r="M105" s="431"/>
      <c r="N105" s="431"/>
      <c r="O105" s="431"/>
      <c r="P105" s="1891"/>
      <c r="Q105" s="431"/>
      <c r="R105" s="431"/>
      <c r="S105" s="431"/>
      <c r="T105" s="431"/>
      <c r="U105" s="1891"/>
      <c r="V105" s="431"/>
      <c r="W105" s="431"/>
      <c r="X105" s="431"/>
      <c r="Y105" s="431"/>
      <c r="Z105" s="1891"/>
      <c r="AA105" s="431"/>
      <c r="AB105" s="431"/>
      <c r="AC105" s="431"/>
      <c r="AD105" s="431"/>
      <c r="AE105" s="1891"/>
      <c r="AF105" s="431"/>
      <c r="AG105" s="431"/>
      <c r="AH105" s="431"/>
      <c r="AI105" s="431"/>
      <c r="AJ105" s="1891"/>
      <c r="AK105" s="431"/>
      <c r="AL105" s="431"/>
      <c r="AM105" s="431"/>
      <c r="AN105" s="431"/>
      <c r="AO105" s="1891"/>
      <c r="AP105" s="431"/>
      <c r="AQ105" s="431"/>
      <c r="AR105" s="431"/>
      <c r="AS105" s="431"/>
      <c r="AT105" s="1891"/>
      <c r="AU105" s="431"/>
      <c r="AV105" s="431"/>
      <c r="AW105" s="431"/>
      <c r="AX105" s="431"/>
      <c r="AY105" s="1891"/>
      <c r="AZ105" s="1909"/>
      <c r="BA105" s="431"/>
      <c r="BB105" s="431"/>
      <c r="BC105" s="431"/>
      <c r="BD105" s="1891"/>
      <c r="BE105" s="1909"/>
      <c r="BF105" s="431"/>
      <c r="BG105" s="431"/>
      <c r="BH105" s="431"/>
      <c r="BI105" s="1891"/>
      <c r="BJ105" s="1909"/>
      <c r="BK105" s="431"/>
      <c r="BL105" s="433"/>
      <c r="BM105" s="434"/>
      <c r="BN105" s="1891"/>
      <c r="BO105" s="1893"/>
      <c r="BP105" s="433"/>
      <c r="BQ105" s="433"/>
      <c r="BR105" s="433"/>
      <c r="BS105" s="1891"/>
      <c r="BT105" s="1910"/>
      <c r="BU105" s="433"/>
      <c r="BV105" s="433"/>
      <c r="BW105" s="434"/>
      <c r="BX105" s="1891"/>
      <c r="BY105" s="1910"/>
      <c r="BZ105" s="524"/>
      <c r="CA105" s="433"/>
      <c r="CB105" s="433"/>
      <c r="CC105" s="1891"/>
      <c r="CD105" s="1910"/>
      <c r="CE105" s="524"/>
      <c r="CF105" s="524"/>
      <c r="CG105" s="434"/>
      <c r="CH105" s="1891"/>
      <c r="CI105" s="433"/>
      <c r="CJ105" s="433"/>
      <c r="CK105" s="433"/>
      <c r="CL105" s="434"/>
      <c r="CM105" s="1891"/>
      <c r="CN105" s="1893">
        <v>1.2289333333333332</v>
      </c>
      <c r="CO105" s="433">
        <v>1.2405666666666668</v>
      </c>
      <c r="CP105" s="433">
        <v>1.2908333333333333</v>
      </c>
      <c r="CQ105" s="434">
        <v>1.3251666666666668</v>
      </c>
      <c r="CR105" s="1891">
        <f>AVERAGE(CN105:CQ105)</f>
        <v>1.2713750000000001</v>
      </c>
      <c r="CS105" s="814">
        <v>1.3785000000000001</v>
      </c>
      <c r="CT105" s="433">
        <v>1.2884333333333333</v>
      </c>
      <c r="CU105" s="433">
        <v>1.3019666666666667</v>
      </c>
      <c r="CV105" s="433">
        <v>1.3324333333333334</v>
      </c>
      <c r="CW105" s="1891">
        <f>AVERAGE(CS105:CV105)</f>
        <v>1.3253333333333335</v>
      </c>
      <c r="CX105" s="1893">
        <v>1.3257333333333332</v>
      </c>
      <c r="CY105" s="433">
        <v>1.3490333333333335</v>
      </c>
      <c r="CZ105" s="433">
        <v>1.2642</v>
      </c>
      <c r="DA105" s="434">
        <v>1.2752333333333334</v>
      </c>
      <c r="DB105" s="1891">
        <f>AVERAGE(CX105:DA105)</f>
        <v>1.30355</v>
      </c>
      <c r="DC105" s="1893">
        <v>1.2388666666666666</v>
      </c>
      <c r="DD105" s="433">
        <v>1.2900333333333334</v>
      </c>
      <c r="DE105" s="433">
        <v>1.3059666666666667</v>
      </c>
      <c r="DF105" s="434">
        <v>1.3118999999999998</v>
      </c>
      <c r="DG105" s="1891">
        <f>AVERAGE(DC105:DF105)</f>
        <v>1.2866916666666666</v>
      </c>
      <c r="DH105" s="1893">
        <v>1.3311333333333335</v>
      </c>
      <c r="DI105" s="433">
        <v>1.3417666666666666</v>
      </c>
      <c r="DJ105" s="433">
        <v>1.3198999999999999</v>
      </c>
      <c r="DK105" s="434">
        <v>1.3229</v>
      </c>
      <c r="DL105" s="1891">
        <f>AVERAGE(DH105:DK105)</f>
        <v>1.3289249999999999</v>
      </c>
      <c r="DM105" s="1893">
        <v>1.3211333333333333</v>
      </c>
      <c r="DN105" s="433">
        <v>1.3929</v>
      </c>
      <c r="DO105" s="433">
        <v>1.3345</v>
      </c>
      <c r="DP105" s="433">
        <v>1.3213666666666668</v>
      </c>
      <c r="DQ105" s="1891">
        <f>AVERAGE(DM105:DP105)</f>
        <v>1.3424750000000001</v>
      </c>
      <c r="DR105" s="1893">
        <v>1.2746666666666668</v>
      </c>
      <c r="DS105" s="433">
        <v>1.2304333333333333</v>
      </c>
      <c r="DT105" s="433">
        <v>1.2496333333333334</v>
      </c>
      <c r="DU105" s="434">
        <v>1.2615666666666667</v>
      </c>
      <c r="DV105" s="1891">
        <f>AVERAGE(DR105:DU105)</f>
        <v>1.2540750000000001</v>
      </c>
      <c r="DW105" s="1893">
        <v>1.2673333333333334</v>
      </c>
      <c r="DX105" s="433">
        <v>1.2666666666666666</v>
      </c>
      <c r="DY105" s="433">
        <v>1.2932666666666668</v>
      </c>
      <c r="DZ105" s="434">
        <v>1.3621666666666667</v>
      </c>
      <c r="EA105" s="1891">
        <f>AVERAGE(DW105:DZ105)</f>
        <v>1.2973583333333334</v>
      </c>
      <c r="EB105" s="5736">
        <v>1.3502333333333334</v>
      </c>
      <c r="EC105" s="5760">
        <v>1.3547333333333331</v>
      </c>
      <c r="ED105" s="5827">
        <v>1.3313333333333335</v>
      </c>
      <c r="EE105" s="433">
        <v>1.3671</v>
      </c>
      <c r="EF105" s="1891">
        <f>AVERAGE(EB105:EE105)</f>
        <v>1.3508499999999999</v>
      </c>
      <c r="EG105" s="1893">
        <v>1.3418999999999999</v>
      </c>
      <c r="EH105" s="433">
        <v>1.3648666666666667</v>
      </c>
      <c r="EI105" s="433">
        <v>1.3659666666666668</v>
      </c>
      <c r="EJ105" s="434">
        <v>1.3821666666666665</v>
      </c>
      <c r="EK105" s="1891">
        <f>AVERAGE(EG105:EJ105)</f>
        <v>1.3637250000000001</v>
      </c>
      <c r="EL105" s="1893">
        <v>1.4461999999999999</v>
      </c>
      <c r="EM105" s="433">
        <v>1.3975</v>
      </c>
      <c r="EN105" s="433">
        <v>1.3734999999999999</v>
      </c>
      <c r="EO105" s="6175">
        <v>1.3933999999999997</v>
      </c>
      <c r="EP105" s="1891">
        <f>AVERAGE(EL105:EO105)</f>
        <v>1.40265</v>
      </c>
      <c r="EQ105" s="6242">
        <v>1.3940999999999999</v>
      </c>
      <c r="ER105" s="2523">
        <f t="shared" ref="ER105:ER108" si="306">EQ105</f>
        <v>1.3940999999999999</v>
      </c>
      <c r="ES105" s="2523">
        <f t="shared" ref="ES105:ES108" si="307">ER105</f>
        <v>1.3940999999999999</v>
      </c>
      <c r="ET105" s="2522">
        <f t="shared" ref="ET105:ET108" si="308">ES105</f>
        <v>1.3940999999999999</v>
      </c>
      <c r="EU105" s="1891">
        <f>AVERAGE(EQ105:ET105)</f>
        <v>1.3940999999999999</v>
      </c>
      <c r="EV105" s="2521">
        <f>ET105</f>
        <v>1.3940999999999999</v>
      </c>
      <c r="EW105" s="2523">
        <f t="shared" ref="EW105:EW108" si="309">EV105</f>
        <v>1.3940999999999999</v>
      </c>
      <c r="EX105" s="2523">
        <f t="shared" ref="EX105:EX108" si="310">EW105</f>
        <v>1.3940999999999999</v>
      </c>
      <c r="EY105" s="2522">
        <f t="shared" ref="EY105:EY108" si="311">EX105</f>
        <v>1.3940999999999999</v>
      </c>
      <c r="EZ105" s="1891">
        <f>AVERAGE(EV105:EY105)</f>
        <v>1.3940999999999999</v>
      </c>
      <c r="FA105" s="1891"/>
      <c r="FB105" s="1891"/>
      <c r="FC105" s="1891"/>
      <c r="FD105" s="816"/>
      <c r="FE105" s="1972" t="s">
        <v>597</v>
      </c>
      <c r="FF105" s="2523" t="e">
        <f>AVERAGE(_xll.BDH($FE105,"PX_LAST",FF$136,FF$136,"FILL=P"),_xll.BDH($FE105,"PX_LAST",FF$137,FF$137,"FILL=P"),_xll.BDH($FE105,"PX_LAST",FF$138,FF$138,"FILL=P"))</f>
        <v>#VALUE!</v>
      </c>
      <c r="FG105"/>
      <c r="FH105"/>
      <c r="FI105"/>
      <c r="FJ105"/>
      <c r="FK105"/>
      <c r="FL105"/>
      <c r="FM105"/>
      <c r="FN105"/>
    </row>
    <row r="106" spans="1:170" ht="11.25" customHeight="1">
      <c r="A106" s="1626" t="s">
        <v>817</v>
      </c>
      <c r="B106" s="435"/>
      <c r="C106" s="435"/>
      <c r="D106" s="435"/>
      <c r="E106" s="435"/>
      <c r="F106" s="1891"/>
      <c r="G106" s="435"/>
      <c r="H106" s="435"/>
      <c r="I106" s="435"/>
      <c r="J106" s="435"/>
      <c r="K106" s="1891"/>
      <c r="L106" s="435"/>
      <c r="M106" s="435"/>
      <c r="N106" s="435"/>
      <c r="O106" s="435"/>
      <c r="P106" s="1891"/>
      <c r="Q106" s="435"/>
      <c r="R106" s="435"/>
      <c r="S106" s="435"/>
      <c r="T106" s="435"/>
      <c r="U106" s="1891"/>
      <c r="V106" s="435"/>
      <c r="W106" s="435"/>
      <c r="X106" s="435"/>
      <c r="Y106" s="435"/>
      <c r="Z106" s="1891"/>
      <c r="AA106" s="435"/>
      <c r="AB106" s="435"/>
      <c r="AC106" s="435"/>
      <c r="AD106" s="435"/>
      <c r="AE106" s="1891"/>
      <c r="AF106" s="435"/>
      <c r="AG106" s="435"/>
      <c r="AH106" s="435"/>
      <c r="AI106" s="435"/>
      <c r="AJ106" s="1891"/>
      <c r="AK106" s="435"/>
      <c r="AL106" s="435"/>
      <c r="AM106" s="435"/>
      <c r="AN106" s="435"/>
      <c r="AO106" s="1891"/>
      <c r="AP106" s="435"/>
      <c r="AQ106" s="435"/>
      <c r="AR106" s="435"/>
      <c r="AS106" s="435"/>
      <c r="AT106" s="1891"/>
      <c r="AU106" s="435"/>
      <c r="AV106" s="435"/>
      <c r="AW106" s="435"/>
      <c r="AX106" s="435"/>
      <c r="AY106" s="1891"/>
      <c r="AZ106" s="1892"/>
      <c r="BA106" s="435"/>
      <c r="BB106" s="435"/>
      <c r="BC106" s="435"/>
      <c r="BD106" s="1891"/>
      <c r="BE106" s="1892"/>
      <c r="BF106" s="435"/>
      <c r="BG106" s="435"/>
      <c r="BH106" s="435"/>
      <c r="BI106" s="1891"/>
      <c r="BJ106" s="1892"/>
      <c r="BK106" s="435"/>
      <c r="BL106" s="433"/>
      <c r="BM106" s="434"/>
      <c r="BN106" s="1891"/>
      <c r="BO106" s="1893"/>
      <c r="BP106" s="433"/>
      <c r="BQ106" s="433"/>
      <c r="BR106" s="433"/>
      <c r="BS106" s="1891"/>
      <c r="BT106" s="1893"/>
      <c r="BU106" s="433"/>
      <c r="BV106" s="433"/>
      <c r="BW106" s="434"/>
      <c r="BX106" s="1891"/>
      <c r="BY106" s="1893"/>
      <c r="BZ106" s="524"/>
      <c r="CA106" s="433"/>
      <c r="CB106" s="433"/>
      <c r="CC106" s="1891"/>
      <c r="CD106" s="1893"/>
      <c r="CE106" s="524"/>
      <c r="CF106" s="524"/>
      <c r="CG106" s="434"/>
      <c r="CH106" s="1891"/>
      <c r="CI106" s="433"/>
      <c r="CJ106" s="433"/>
      <c r="CK106" s="433"/>
      <c r="CL106" s="434"/>
      <c r="CM106" s="1891"/>
      <c r="CN106" s="1893">
        <v>2.727233333333333</v>
      </c>
      <c r="CO106" s="433">
        <v>3.1299666666666668</v>
      </c>
      <c r="CP106" s="433">
        <v>3.3816333333333333</v>
      </c>
      <c r="CQ106" s="434">
        <v>3.8902333333333332</v>
      </c>
      <c r="CR106" s="1891">
        <f>AVERAGE(CN106:CQ106)</f>
        <v>3.2822666666666662</v>
      </c>
      <c r="CS106" s="814">
        <v>3.9919666666666664</v>
      </c>
      <c r="CT106" s="433">
        <v>3.546533333333334</v>
      </c>
      <c r="CU106" s="433">
        <v>3.2295333333333338</v>
      </c>
      <c r="CV106" s="433">
        <v>3.2805999999999997</v>
      </c>
      <c r="CW106" s="1891">
        <f>AVERAGE(CS106:CV106)</f>
        <v>3.5121583333333337</v>
      </c>
      <c r="CX106" s="1893">
        <v>3.1714000000000002</v>
      </c>
      <c r="CY106" s="433">
        <v>3.1752666666666669</v>
      </c>
      <c r="CZ106" s="433">
        <v>3.194233333333333</v>
      </c>
      <c r="DA106" s="434">
        <v>3.2339666666666669</v>
      </c>
      <c r="DB106" s="1891">
        <f>AVERAGE(CX106:DA106)</f>
        <v>3.193716666666667</v>
      </c>
      <c r="DC106" s="1893">
        <v>3.2231666666666663</v>
      </c>
      <c r="DD106" s="433">
        <v>3.5121666666666669</v>
      </c>
      <c r="DE106" s="433">
        <v>3.8963999999999999</v>
      </c>
      <c r="DF106" s="434">
        <v>3.8805000000000001</v>
      </c>
      <c r="DG106" s="1891">
        <f>AVERAGE(DC106:DF106)</f>
        <v>3.6280583333333332</v>
      </c>
      <c r="DH106" s="1893">
        <v>3.7615666666666669</v>
      </c>
      <c r="DI106" s="433">
        <v>3.9209666666666667</v>
      </c>
      <c r="DJ106" s="433">
        <v>3.9355666666666664</v>
      </c>
      <c r="DK106" s="434">
        <v>4.1378666666666666</v>
      </c>
      <c r="DL106" s="1891">
        <f>AVERAGE(DH106:DK106)</f>
        <v>3.9389916666666664</v>
      </c>
      <c r="DM106" s="1893">
        <v>4.2599</v>
      </c>
      <c r="DN106" s="433">
        <v>5.3427000000000007</v>
      </c>
      <c r="DO106" s="433">
        <v>5.3940333333333328</v>
      </c>
      <c r="DP106" s="433">
        <v>5.5710000000000006</v>
      </c>
      <c r="DQ106" s="1891">
        <f>AVERAGE(DM106:DP106)</f>
        <v>5.1419083333333333</v>
      </c>
      <c r="DR106" s="1893">
        <v>5.4224333333333332</v>
      </c>
      <c r="DS106" s="433">
        <v>5.4305333333333339</v>
      </c>
      <c r="DT106" s="433">
        <v>5.1105666666666671</v>
      </c>
      <c r="DU106" s="434">
        <v>5.5673999999999992</v>
      </c>
      <c r="DV106" s="1891">
        <f>AVERAGE(DR106:DU106)</f>
        <v>5.3827333333333334</v>
      </c>
      <c r="DW106" s="1893">
        <v>5.3446999999999996</v>
      </c>
      <c r="DX106" s="433">
        <v>4.8160333333333334</v>
      </c>
      <c r="DY106" s="433">
        <v>5.204533333333333</v>
      </c>
      <c r="DZ106" s="434">
        <v>5.2613666666666665</v>
      </c>
      <c r="EA106" s="1891">
        <f>AVERAGE(DW106:DZ106)</f>
        <v>5.1566583333333336</v>
      </c>
      <c r="EB106" s="5736">
        <v>5.1993999999999998</v>
      </c>
      <c r="EC106" s="5760">
        <v>5.0357666666666665</v>
      </c>
      <c r="ED106" s="5827">
        <v>4.8232333333333335</v>
      </c>
      <c r="EE106" s="433">
        <v>4.9967666666666668</v>
      </c>
      <c r="EF106" s="1891">
        <f>AVERAGE(EB106:EE106)</f>
        <v>5.0137916666666662</v>
      </c>
      <c r="EG106" s="1893">
        <v>4.9260666666666664</v>
      </c>
      <c r="EH106" s="433">
        <v>5.1513333333333335</v>
      </c>
      <c r="EI106" s="433">
        <v>5.6173666666666664</v>
      </c>
      <c r="EJ106" s="434">
        <v>5.736133333333334</v>
      </c>
      <c r="EK106" s="1891">
        <f>AVERAGE(EG106:EJ106)</f>
        <v>5.3577250000000003</v>
      </c>
      <c r="EL106" s="1893">
        <v>5.9675000000000002</v>
      </c>
      <c r="EM106" s="433">
        <v>5.7008333333333328</v>
      </c>
      <c r="EN106" s="433">
        <v>5.4872000000000005</v>
      </c>
      <c r="EO106" s="6175">
        <v>5.3485000000000005</v>
      </c>
      <c r="EP106" s="1891">
        <f>AVERAGE(EL106:EO106)</f>
        <v>5.6260083333333339</v>
      </c>
      <c r="EQ106" s="6242">
        <v>5.3619000000000012</v>
      </c>
      <c r="ER106" s="2523">
        <f t="shared" si="306"/>
        <v>5.3619000000000012</v>
      </c>
      <c r="ES106" s="2523">
        <f t="shared" si="307"/>
        <v>5.3619000000000012</v>
      </c>
      <c r="ET106" s="2522">
        <f t="shared" si="308"/>
        <v>5.3619000000000012</v>
      </c>
      <c r="EU106" s="1891">
        <f>AVERAGE(EQ106:ET106)</f>
        <v>5.3619000000000012</v>
      </c>
      <c r="EV106" s="2521">
        <f>ET106</f>
        <v>5.3619000000000012</v>
      </c>
      <c r="EW106" s="2523">
        <f t="shared" si="309"/>
        <v>5.3619000000000012</v>
      </c>
      <c r="EX106" s="2523">
        <f t="shared" si="310"/>
        <v>5.3619000000000012</v>
      </c>
      <c r="EY106" s="2522">
        <f t="shared" si="311"/>
        <v>5.3619000000000012</v>
      </c>
      <c r="EZ106" s="1891">
        <f>AVERAGE(EV106:EY106)</f>
        <v>5.3619000000000012</v>
      </c>
      <c r="FA106" s="1891"/>
      <c r="FB106" s="1891"/>
      <c r="FC106" s="1891"/>
      <c r="FD106" s="816"/>
      <c r="FE106" s="1972" t="s">
        <v>598</v>
      </c>
      <c r="FF106" s="2523" t="e">
        <f>AVERAGE(_xll.BDH($FE106,"PX_LAST",FF$136,FF$136,"FILL=P"),_xll.BDH($FE106,"PX_LAST",FF$137,FF$137,"FILL=P"),_xll.BDH($FE106,"PX_LAST",FF$138,FF$138,"FILL=P"))</f>
        <v>#VALUE!</v>
      </c>
      <c r="FG106"/>
      <c r="FH106"/>
      <c r="FI106"/>
      <c r="FJ106"/>
      <c r="FK106"/>
      <c r="FL106"/>
      <c r="FM106"/>
      <c r="FN106"/>
    </row>
    <row r="107" spans="1:170" ht="11.25" customHeight="1">
      <c r="A107" s="1970" t="s">
        <v>818</v>
      </c>
      <c r="B107" s="435"/>
      <c r="C107" s="435"/>
      <c r="D107" s="435"/>
      <c r="E107" s="435"/>
      <c r="F107" s="3455"/>
      <c r="G107" s="435"/>
      <c r="H107" s="435"/>
      <c r="I107" s="435"/>
      <c r="J107" s="435"/>
      <c r="K107" s="3455"/>
      <c r="L107" s="435"/>
      <c r="M107" s="435"/>
      <c r="N107" s="435"/>
      <c r="O107" s="435"/>
      <c r="P107" s="3455"/>
      <c r="Q107" s="435"/>
      <c r="R107" s="435"/>
      <c r="S107" s="435"/>
      <c r="T107" s="435"/>
      <c r="U107" s="3455"/>
      <c r="V107" s="435"/>
      <c r="W107" s="435"/>
      <c r="X107" s="435"/>
      <c r="Y107" s="435"/>
      <c r="Z107" s="3455"/>
      <c r="AA107" s="435"/>
      <c r="AB107" s="435"/>
      <c r="AC107" s="435"/>
      <c r="AD107" s="435"/>
      <c r="AE107" s="3455"/>
      <c r="AF107" s="435"/>
      <c r="AG107" s="435"/>
      <c r="AH107" s="435"/>
      <c r="AI107" s="435"/>
      <c r="AJ107" s="3455"/>
      <c r="AK107" s="435"/>
      <c r="AL107" s="435"/>
      <c r="AM107" s="435"/>
      <c r="AN107" s="435"/>
      <c r="AO107" s="3455"/>
      <c r="AP107" s="435"/>
      <c r="AQ107" s="435"/>
      <c r="AR107" s="435"/>
      <c r="AS107" s="435"/>
      <c r="AT107" s="3455"/>
      <c r="AU107" s="435"/>
      <c r="AV107" s="435"/>
      <c r="AW107" s="435"/>
      <c r="AX107" s="435"/>
      <c r="AY107" s="3455"/>
      <c r="AZ107" s="1193"/>
      <c r="BA107" s="435"/>
      <c r="BB107" s="435"/>
      <c r="BC107" s="435"/>
      <c r="BD107" s="3455"/>
      <c r="BE107" s="1193"/>
      <c r="BF107" s="435"/>
      <c r="BG107" s="435"/>
      <c r="BH107" s="435"/>
      <c r="BI107" s="3455"/>
      <c r="BJ107" s="1193"/>
      <c r="BK107" s="435"/>
      <c r="BL107" s="433"/>
      <c r="BM107" s="434"/>
      <c r="BN107" s="3455"/>
      <c r="BO107" s="1190"/>
      <c r="BP107" s="433"/>
      <c r="BQ107" s="433"/>
      <c r="BR107" s="433"/>
      <c r="BS107" s="3455"/>
      <c r="BT107" s="1190"/>
      <c r="BU107" s="433"/>
      <c r="BV107" s="433"/>
      <c r="BW107" s="434"/>
      <c r="BX107" s="3455"/>
      <c r="BY107" s="1190"/>
      <c r="BZ107" s="524"/>
      <c r="CA107" s="433"/>
      <c r="CB107" s="433"/>
      <c r="CC107" s="3455"/>
      <c r="CD107" s="1190"/>
      <c r="CE107" s="524"/>
      <c r="CF107" s="524"/>
      <c r="CG107" s="434"/>
      <c r="CH107" s="3455"/>
      <c r="CI107" s="433"/>
      <c r="CJ107" s="433"/>
      <c r="CK107" s="433"/>
      <c r="CL107" s="434"/>
      <c r="CM107" s="3455"/>
      <c r="CN107" s="1190">
        <v>8.6109999999999989</v>
      </c>
      <c r="CO107" s="433">
        <v>8.9057666666666666</v>
      </c>
      <c r="CP107" s="433">
        <v>9.19</v>
      </c>
      <c r="CQ107" s="434">
        <v>9.5387666666666675</v>
      </c>
      <c r="CR107" s="3455">
        <f>AVERAGE(CN107:CQ107)</f>
        <v>9.0613833333333336</v>
      </c>
      <c r="CS107" s="814">
        <v>14.2399</v>
      </c>
      <c r="CT107" s="433">
        <v>14.316666666666668</v>
      </c>
      <c r="CU107" s="433">
        <v>14.994333333333335</v>
      </c>
      <c r="CV107" s="433">
        <v>15.444666666666668</v>
      </c>
      <c r="CW107" s="3455">
        <f>AVERAGE(CS107:CV107)</f>
        <v>14.748891666666669</v>
      </c>
      <c r="CX107" s="1190">
        <v>17.335066666666666</v>
      </c>
      <c r="CY107" s="433">
        <v>15.627899999999999</v>
      </c>
      <c r="CZ107" s="433">
        <v>17.204733333333333</v>
      </c>
      <c r="DA107" s="434">
        <v>17.424666666666667</v>
      </c>
      <c r="DB107" s="3455">
        <f>AVERAGE(CX107:DA107)</f>
        <v>16.898091666666666</v>
      </c>
      <c r="DC107" s="1190">
        <v>19.458966666666669</v>
      </c>
      <c r="DD107" s="433">
        <v>21.883433333333333</v>
      </c>
      <c r="DE107" s="433">
        <v>31.079266666666669</v>
      </c>
      <c r="DF107" s="434">
        <v>38.32073333333333</v>
      </c>
      <c r="DG107" s="1891">
        <f>AVERAGE(DC107:DF107)</f>
        <v>27.685600000000001</v>
      </c>
      <c r="DH107" s="1893">
        <v>38.039099999999998</v>
      </c>
      <c r="DI107" s="433">
        <v>44.109566666666666</v>
      </c>
      <c r="DJ107" s="433">
        <v>48.619633333333333</v>
      </c>
      <c r="DK107" s="434">
        <v>59.049900000000001</v>
      </c>
      <c r="DL107" s="1891">
        <f>AVERAGE(DH107:DK107)</f>
        <v>47.454549999999998</v>
      </c>
      <c r="DM107" s="1893">
        <v>60.809599999999996</v>
      </c>
      <c r="DN107" s="433">
        <v>66.589299999999994</v>
      </c>
      <c r="DO107" s="433">
        <v>72.314999999999998</v>
      </c>
      <c r="DP107" s="433">
        <v>78.600999999999999</v>
      </c>
      <c r="DQ107" s="1891">
        <f>AVERAGE(DM107:DP107)</f>
        <v>69.578724999999991</v>
      </c>
      <c r="DR107" s="1893">
        <v>87.095166666666671</v>
      </c>
      <c r="DS107" s="433">
        <v>93.408599999999993</v>
      </c>
      <c r="DT107" s="433">
        <v>96.719566666666665</v>
      </c>
      <c r="DU107" s="434">
        <v>99.798600000000008</v>
      </c>
      <c r="DV107" s="1891">
        <f>AVERAGE(DR107:DU107)</f>
        <v>94.255483333333331</v>
      </c>
      <c r="DW107" s="1893">
        <v>105.06716666666667</v>
      </c>
      <c r="DX107" s="433">
        <v>115.50446666666666</v>
      </c>
      <c r="DY107" s="433">
        <v>131.73346666666666</v>
      </c>
      <c r="DZ107" s="434">
        <v>157.16596666666666</v>
      </c>
      <c r="EA107" s="3455">
        <f>AVERAGE(DW107:DZ107)</f>
        <v>127.36776666666665</v>
      </c>
      <c r="EB107" s="5736">
        <v>187.08803333333333</v>
      </c>
      <c r="EC107" s="5760">
        <v>223.69803333333334</v>
      </c>
      <c r="ED107" s="5827">
        <v>294.00586666666663</v>
      </c>
      <c r="EE107" s="433">
        <v>353.48553333333331</v>
      </c>
      <c r="EF107" s="3455">
        <f>AVERAGE(EB107:EE107)</f>
        <v>264.56936666666667</v>
      </c>
      <c r="EG107" s="1893">
        <v>825.71333333333325</v>
      </c>
      <c r="EH107" s="433">
        <v>876.64409999999998</v>
      </c>
      <c r="EI107" s="433">
        <v>931.16893333333337</v>
      </c>
      <c r="EJ107" s="434">
        <v>989.76069999999993</v>
      </c>
      <c r="EK107" s="3455">
        <f>AVERAGE(EG107:EJ107)</f>
        <v>905.82176666666658</v>
      </c>
      <c r="EL107" s="1893">
        <v>1048.4741666666666</v>
      </c>
      <c r="EM107" s="433">
        <v>1144.6192333333336</v>
      </c>
      <c r="EN107" s="433">
        <v>1306.1032</v>
      </c>
      <c r="EO107" s="6175">
        <v>1418.3651333333335</v>
      </c>
      <c r="EP107" s="3455">
        <f>AVERAGE(EL107:EO107)</f>
        <v>1229.3904333333335</v>
      </c>
      <c r="EQ107" s="6242">
        <v>1437.7</v>
      </c>
      <c r="ER107" s="2523">
        <f t="shared" si="306"/>
        <v>1437.7</v>
      </c>
      <c r="ES107" s="2523">
        <f t="shared" si="307"/>
        <v>1437.7</v>
      </c>
      <c r="ET107" s="2522">
        <f t="shared" si="308"/>
        <v>1437.7</v>
      </c>
      <c r="EU107" s="3455">
        <f>AVERAGE(EQ107:ET107)</f>
        <v>1437.7</v>
      </c>
      <c r="EV107" s="2521">
        <f>ET107</f>
        <v>1437.7</v>
      </c>
      <c r="EW107" s="2523">
        <f t="shared" si="309"/>
        <v>1437.7</v>
      </c>
      <c r="EX107" s="2523">
        <f t="shared" si="310"/>
        <v>1437.7</v>
      </c>
      <c r="EY107" s="2522">
        <f t="shared" si="311"/>
        <v>1437.7</v>
      </c>
      <c r="EZ107" s="3455">
        <f>AVERAGE(EV107:EY107)</f>
        <v>1437.7</v>
      </c>
      <c r="FA107" s="3455"/>
      <c r="FB107" s="3455"/>
      <c r="FC107" s="3455"/>
      <c r="FD107" s="816"/>
      <c r="FE107" s="1972" t="s">
        <v>710</v>
      </c>
      <c r="FF107" s="2523" t="e">
        <f>AVERAGE(_xll.BDH($FE107,"PX_LAST",FF$136,FF$136,"FILL=P"),_xll.BDH($FE107,"PX_LAST",FF$137,FF$137,"FILL=P"),_xll.BDH($FE107,"PX_LAST",FF$138,FF$138,"FILL=P"))</f>
        <v>#VALUE!</v>
      </c>
      <c r="FG107"/>
      <c r="FH107"/>
      <c r="FI107"/>
      <c r="FJ107"/>
      <c r="FK107"/>
      <c r="FL107"/>
      <c r="FM107"/>
      <c r="FN107"/>
    </row>
    <row r="108" spans="1:170" ht="11.25" customHeight="1">
      <c r="A108" s="1626" t="s">
        <v>819</v>
      </c>
      <c r="B108" s="421"/>
      <c r="C108" s="421"/>
      <c r="D108" s="421"/>
      <c r="E108" s="421"/>
      <c r="F108" s="1971"/>
      <c r="G108" s="421"/>
      <c r="H108" s="421"/>
      <c r="I108" s="421"/>
      <c r="J108" s="421"/>
      <c r="K108" s="1971"/>
      <c r="L108" s="421"/>
      <c r="M108" s="421"/>
      <c r="N108" s="421"/>
      <c r="O108" s="421"/>
      <c r="P108" s="1971"/>
      <c r="Q108" s="421"/>
      <c r="R108" s="421"/>
      <c r="S108" s="421"/>
      <c r="T108" s="421"/>
      <c r="U108" s="1971"/>
      <c r="V108" s="421"/>
      <c r="W108" s="421"/>
      <c r="X108" s="421"/>
      <c r="Y108" s="421"/>
      <c r="Z108" s="1971"/>
      <c r="AA108" s="421"/>
      <c r="AB108" s="421"/>
      <c r="AC108" s="421"/>
      <c r="AD108" s="421"/>
      <c r="AE108" s="1971"/>
      <c r="AF108" s="421"/>
      <c r="AG108" s="421"/>
      <c r="AH108" s="421"/>
      <c r="AI108" s="421"/>
      <c r="AJ108" s="1971"/>
      <c r="AK108" s="421"/>
      <c r="AL108" s="421"/>
      <c r="AM108" s="421"/>
      <c r="AN108" s="421"/>
      <c r="AO108" s="1971"/>
      <c r="AP108" s="421"/>
      <c r="AQ108" s="421"/>
      <c r="AR108" s="421"/>
      <c r="AS108" s="421"/>
      <c r="AT108" s="1971"/>
      <c r="AU108" s="421"/>
      <c r="AV108" s="421"/>
      <c r="AW108" s="421"/>
      <c r="AX108" s="421"/>
      <c r="AY108" s="1971"/>
      <c r="AZ108" s="1890"/>
      <c r="BA108" s="424"/>
      <c r="BB108" s="424"/>
      <c r="BC108" s="424"/>
      <c r="BD108" s="1971"/>
      <c r="BE108" s="1890"/>
      <c r="BF108" s="424"/>
      <c r="BG108" s="424"/>
      <c r="BH108" s="424"/>
      <c r="BI108" s="1971"/>
      <c r="BJ108" s="1890"/>
      <c r="BK108" s="424"/>
      <c r="BL108" s="424"/>
      <c r="BM108" s="426"/>
      <c r="BN108" s="1971"/>
      <c r="BO108" s="1890"/>
      <c r="BP108" s="424"/>
      <c r="BQ108" s="424"/>
      <c r="BR108" s="424"/>
      <c r="BS108" s="1971"/>
      <c r="BT108" s="1890"/>
      <c r="BU108" s="424"/>
      <c r="BV108" s="424"/>
      <c r="BW108" s="426"/>
      <c r="BX108" s="1971"/>
      <c r="BY108" s="1890"/>
      <c r="BZ108" s="424"/>
      <c r="CA108" s="424"/>
      <c r="CB108" s="426"/>
      <c r="CC108" s="1971"/>
      <c r="CD108" s="1890"/>
      <c r="CE108" s="424"/>
      <c r="CF108" s="424"/>
      <c r="CG108" s="426"/>
      <c r="CH108" s="1971"/>
      <c r="CI108" s="424"/>
      <c r="CJ108" s="424"/>
      <c r="CK108" s="424"/>
      <c r="CL108" s="426"/>
      <c r="CM108" s="1971"/>
      <c r="CN108" s="1893">
        <v>14.892799999999999</v>
      </c>
      <c r="CO108" s="433">
        <v>15.330666666666668</v>
      </c>
      <c r="CP108" s="433">
        <v>16.199333333333332</v>
      </c>
      <c r="CQ108" s="434">
        <v>16.665533333333332</v>
      </c>
      <c r="CR108" s="1891">
        <f>AVERAGE(CN108:CQ108)</f>
        <v>15.772083333333331</v>
      </c>
      <c r="CS108" s="814">
        <v>17.816666666666666</v>
      </c>
      <c r="CT108" s="433">
        <v>17.641066666666667</v>
      </c>
      <c r="CU108" s="433">
        <v>18.605566666666668</v>
      </c>
      <c r="CV108" s="433">
        <v>19.607900000000001</v>
      </c>
      <c r="CW108" s="1891">
        <f>AVERAGE(CS108:CV108)</f>
        <v>18.4178</v>
      </c>
      <c r="CX108" s="1893">
        <v>20.556133333333332</v>
      </c>
      <c r="CY108" s="433">
        <v>18.721800000000002</v>
      </c>
      <c r="CZ108" s="433">
        <v>17.935700000000001</v>
      </c>
      <c r="DA108" s="434">
        <v>18.676500000000001</v>
      </c>
      <c r="DB108" s="1891">
        <f>AVERAGE(CX108:DA108)</f>
        <v>18.972533333333335</v>
      </c>
      <c r="DC108" s="1893">
        <v>18.876733333333334</v>
      </c>
      <c r="DD108" s="433">
        <v>18.935666666666666</v>
      </c>
      <c r="DE108" s="433">
        <v>19.213233333333331</v>
      </c>
      <c r="DF108" s="434">
        <v>19.807999999999996</v>
      </c>
      <c r="DG108" s="1891">
        <f>AVERAGE(DC108:DF108)</f>
        <v>19.208408333333331</v>
      </c>
      <c r="DH108" s="1893">
        <v>19.345766666666666</v>
      </c>
      <c r="DI108" s="433">
        <v>19.330133333333336</v>
      </c>
      <c r="DJ108" s="433">
        <v>19.477966666666664</v>
      </c>
      <c r="DK108" s="434">
        <v>19.499266666666667</v>
      </c>
      <c r="DL108" s="1891">
        <f>AVERAGE(DH108:DK108)</f>
        <v>19.413283333333332</v>
      </c>
      <c r="DM108" s="1893">
        <v>19.138300000000001</v>
      </c>
      <c r="DN108" s="433">
        <v>23.340933333333336</v>
      </c>
      <c r="DO108" s="433">
        <v>22.385200000000001</v>
      </c>
      <c r="DP108" s="433">
        <v>21.157499999999999</v>
      </c>
      <c r="DQ108" s="1891">
        <f>AVERAGE(DM108:DP108)</f>
        <v>21.505483333333334</v>
      </c>
      <c r="DR108" s="1893">
        <v>20.447900000000001</v>
      </c>
      <c r="DS108" s="433">
        <v>20.210700000000003</v>
      </c>
      <c r="DT108" s="433">
        <v>19.959</v>
      </c>
      <c r="DU108" s="434">
        <v>20.884866666666667</v>
      </c>
      <c r="DV108" s="1891">
        <f>AVERAGE(DR108:DU108)</f>
        <v>20.375616666666669</v>
      </c>
      <c r="DW108" s="1893">
        <v>20.544700000000002</v>
      </c>
      <c r="DX108" s="433">
        <v>19.984999999999999</v>
      </c>
      <c r="DY108" s="433">
        <v>20.207899999999999</v>
      </c>
      <c r="DZ108" s="434">
        <v>19.739333333333335</v>
      </c>
      <c r="EA108" s="1891">
        <f>AVERAGE(DW108:DZ108)</f>
        <v>20.119233333333334</v>
      </c>
      <c r="EB108" s="5736">
        <v>18.881366666666668</v>
      </c>
      <c r="EC108" s="5760">
        <v>17.911299999999997</v>
      </c>
      <c r="ED108" s="5827">
        <v>16.968599999999999</v>
      </c>
      <c r="EE108" s="433">
        <v>17.618500000000001</v>
      </c>
      <c r="EF108" s="1891">
        <f>AVERAGE(EB108:EE108)</f>
        <v>17.844941666666664</v>
      </c>
      <c r="EG108" s="1893">
        <v>17.079833333333333</v>
      </c>
      <c r="EH108" s="433">
        <v>16.903566666666666</v>
      </c>
      <c r="EI108" s="433">
        <v>18.887833333333333</v>
      </c>
      <c r="EJ108" s="434">
        <v>20.034966666666666</v>
      </c>
      <c r="EK108" s="1891">
        <f>AVERAGE(EG108:EJ108)</f>
        <v>18.22655</v>
      </c>
      <c r="EL108" s="1893">
        <v>20.685433333333336</v>
      </c>
      <c r="EM108" s="433">
        <v>19.8414</v>
      </c>
      <c r="EN108" s="433">
        <v>18.759933333333336</v>
      </c>
      <c r="EO108" s="6175">
        <v>18.418033333333334</v>
      </c>
      <c r="EP108" s="1891">
        <f>AVERAGE(EL108:EO108)</f>
        <v>19.426200000000001</v>
      </c>
      <c r="EQ108" s="6242">
        <v>18.4709</v>
      </c>
      <c r="ER108" s="2523">
        <f t="shared" si="306"/>
        <v>18.4709</v>
      </c>
      <c r="ES108" s="2523">
        <f t="shared" si="307"/>
        <v>18.4709</v>
      </c>
      <c r="ET108" s="2522">
        <f t="shared" si="308"/>
        <v>18.4709</v>
      </c>
      <c r="EU108" s="1891">
        <f>AVERAGE(EQ108:ET108)</f>
        <v>18.4709</v>
      </c>
      <c r="EV108" s="2521">
        <f>ET108</f>
        <v>18.4709</v>
      </c>
      <c r="EW108" s="2523">
        <f t="shared" si="309"/>
        <v>18.4709</v>
      </c>
      <c r="EX108" s="2523">
        <f t="shared" si="310"/>
        <v>18.4709</v>
      </c>
      <c r="EY108" s="2522">
        <f t="shared" si="311"/>
        <v>18.4709</v>
      </c>
      <c r="EZ108" s="1891">
        <f>AVERAGE(EV108:EY108)</f>
        <v>18.4709</v>
      </c>
      <c r="FA108" s="1891"/>
      <c r="FB108" s="1891"/>
      <c r="FC108" s="1891"/>
      <c r="FD108" s="424"/>
      <c r="FE108" s="1972" t="s">
        <v>599</v>
      </c>
      <c r="FF108" s="2523" t="e">
        <f>AVERAGE(_xll.BDH($FE108,"PX_LAST",FF$136,FF$136,"FILL=P"),_xll.BDH($FE108,"PX_LAST",FF$137,FF$137,"FILL=P"),_xll.BDH($FE108,"PX_LAST",FF$138,FF$138,"FILL=P"))</f>
        <v>#VALUE!</v>
      </c>
      <c r="FG108"/>
      <c r="FH108"/>
      <c r="FI108"/>
      <c r="FJ108"/>
      <c r="FK108"/>
      <c r="FL108"/>
      <c r="FM108"/>
      <c r="FN108"/>
    </row>
    <row r="109" spans="1:170" ht="11.25" customHeight="1">
      <c r="A109" s="1888" t="s">
        <v>820</v>
      </c>
      <c r="B109" s="438"/>
      <c r="C109" s="438"/>
      <c r="D109" s="438"/>
      <c r="E109" s="438"/>
      <c r="F109" s="1891"/>
      <c r="G109" s="438"/>
      <c r="H109" s="438"/>
      <c r="I109" s="438"/>
      <c r="J109" s="438"/>
      <c r="K109" s="1891"/>
      <c r="L109" s="438"/>
      <c r="M109" s="438"/>
      <c r="N109" s="438"/>
      <c r="O109" s="438"/>
      <c r="P109" s="1891"/>
      <c r="Q109" s="438"/>
      <c r="R109" s="438"/>
      <c r="S109" s="438"/>
      <c r="T109" s="438"/>
      <c r="U109" s="1891"/>
      <c r="V109" s="438"/>
      <c r="W109" s="438"/>
      <c r="X109" s="438"/>
      <c r="Y109" s="438"/>
      <c r="Z109" s="1891"/>
      <c r="AA109" s="438"/>
      <c r="AB109" s="438"/>
      <c r="AC109" s="438"/>
      <c r="AD109" s="438"/>
      <c r="AE109" s="1891"/>
      <c r="AF109" s="438"/>
      <c r="AG109" s="438"/>
      <c r="AH109" s="438"/>
      <c r="AI109" s="438"/>
      <c r="AJ109" s="1891"/>
      <c r="AK109" s="438"/>
      <c r="AL109" s="438"/>
      <c r="AM109" s="438"/>
      <c r="AN109" s="438"/>
      <c r="AO109" s="1891"/>
      <c r="AP109" s="438"/>
      <c r="AQ109" s="438"/>
      <c r="AR109" s="438"/>
      <c r="AS109" s="438"/>
      <c r="AT109" s="1891"/>
      <c r="AU109" s="438"/>
      <c r="AV109" s="438"/>
      <c r="AW109" s="438"/>
      <c r="AX109" s="438"/>
      <c r="AY109" s="1891"/>
      <c r="AZ109" s="438"/>
      <c r="BA109" s="438"/>
      <c r="BB109" s="438"/>
      <c r="BC109" s="438"/>
      <c r="BD109" s="1891"/>
      <c r="BE109" s="438"/>
      <c r="BF109" s="438"/>
      <c r="BG109" s="438"/>
      <c r="BH109" s="438"/>
      <c r="BI109" s="1891"/>
      <c r="BJ109" s="438"/>
      <c r="BK109" s="438"/>
      <c r="BL109" s="438"/>
      <c r="BM109" s="438"/>
      <c r="BN109" s="1891"/>
      <c r="BO109" s="438"/>
      <c r="BP109" s="438"/>
      <c r="BQ109" s="438"/>
      <c r="BR109" s="438"/>
      <c r="BS109" s="1891"/>
      <c r="BT109" s="438"/>
      <c r="BU109" s="438"/>
      <c r="BV109" s="438"/>
      <c r="BW109" s="438"/>
      <c r="BX109" s="1891"/>
      <c r="BY109" s="438"/>
      <c r="BZ109" s="438"/>
      <c r="CA109" s="438"/>
      <c r="CB109" s="438"/>
      <c r="CC109" s="1891"/>
      <c r="CD109" s="438"/>
      <c r="CE109" s="438"/>
      <c r="CF109" s="438"/>
      <c r="CG109" s="438"/>
      <c r="CH109" s="1891"/>
      <c r="CI109" s="438"/>
      <c r="CJ109" s="438"/>
      <c r="CK109" s="438"/>
      <c r="CL109" s="438"/>
      <c r="CM109" s="1891"/>
      <c r="CN109" s="438">
        <f>CN105</f>
        <v>1.2289333333333332</v>
      </c>
      <c r="CO109" s="438">
        <f>CO105</f>
        <v>1.2405666666666668</v>
      </c>
      <c r="CP109" s="438">
        <f>CP105</f>
        <v>1.2908333333333333</v>
      </c>
      <c r="CQ109" s="438">
        <f>CQ105</f>
        <v>1.3251666666666668</v>
      </c>
      <c r="CR109" s="1891">
        <f>AVERAGE(CN109:CQ109)</f>
        <v>1.2713750000000001</v>
      </c>
      <c r="CS109" s="438">
        <f>CS105</f>
        <v>1.3785000000000001</v>
      </c>
      <c r="CT109" s="438">
        <f>CT105</f>
        <v>1.2884333333333333</v>
      </c>
      <c r="CU109" s="438">
        <f>CU105</f>
        <v>1.3019666666666667</v>
      </c>
      <c r="CV109" s="438">
        <f>CV105</f>
        <v>1.3324333333333334</v>
      </c>
      <c r="CW109" s="1891">
        <f>AVERAGE(CS109:CV109)</f>
        <v>1.3253333333333335</v>
      </c>
      <c r="CX109" s="438">
        <f>CX105</f>
        <v>1.3257333333333332</v>
      </c>
      <c r="CY109" s="438">
        <f>CY105</f>
        <v>1.3490333333333335</v>
      </c>
      <c r="CZ109" s="438">
        <f>CZ105</f>
        <v>1.2642</v>
      </c>
      <c r="DA109" s="438">
        <f>DA105</f>
        <v>1.2752333333333334</v>
      </c>
      <c r="DB109" s="1891">
        <f>AVERAGE(CX109:DA109)</f>
        <v>1.30355</v>
      </c>
      <c r="DC109" s="438">
        <f>DC105</f>
        <v>1.2388666666666666</v>
      </c>
      <c r="DD109" s="438">
        <f>DD105</f>
        <v>1.2900333333333334</v>
      </c>
      <c r="DE109" s="438">
        <f>DE105</f>
        <v>1.3059666666666667</v>
      </c>
      <c r="DF109" s="438">
        <f>DF105</f>
        <v>1.3118999999999998</v>
      </c>
      <c r="DG109" s="1891">
        <f>AVERAGE(DC109:DF109)</f>
        <v>1.2866916666666666</v>
      </c>
      <c r="DH109" s="438">
        <f>DH105</f>
        <v>1.3311333333333335</v>
      </c>
      <c r="DI109" s="438">
        <f>DI105</f>
        <v>1.3417666666666666</v>
      </c>
      <c r="DJ109" s="438">
        <f>DJ105</f>
        <v>1.3198999999999999</v>
      </c>
      <c r="DK109" s="438">
        <f>DK105</f>
        <v>1.3229</v>
      </c>
      <c r="DL109" s="1891">
        <f>AVERAGE(DH109:DK109)</f>
        <v>1.3289249999999999</v>
      </c>
      <c r="DM109" s="438">
        <f>DM105</f>
        <v>1.3211333333333333</v>
      </c>
      <c r="DN109" s="438">
        <f>DN105</f>
        <v>1.3929</v>
      </c>
      <c r="DO109" s="438">
        <f>DO105</f>
        <v>1.3345</v>
      </c>
      <c r="DP109" s="438">
        <f>DP105</f>
        <v>1.3213666666666668</v>
      </c>
      <c r="DQ109" s="1891">
        <f>AVERAGE(DM109:DP109)</f>
        <v>1.3424750000000001</v>
      </c>
      <c r="DR109" s="438">
        <f>DR105</f>
        <v>1.2746666666666668</v>
      </c>
      <c r="DS109" s="438">
        <f>DS105</f>
        <v>1.2304333333333333</v>
      </c>
      <c r="DT109" s="438">
        <f>DT105</f>
        <v>1.2496333333333334</v>
      </c>
      <c r="DU109" s="438">
        <f>DU105</f>
        <v>1.2615666666666667</v>
      </c>
      <c r="DV109" s="1891">
        <f>AVERAGE(DR109:DU109)</f>
        <v>1.2540750000000001</v>
      </c>
      <c r="DW109" s="438">
        <f>DW105</f>
        <v>1.2673333333333334</v>
      </c>
      <c r="DX109" s="438">
        <f>DX105</f>
        <v>1.2666666666666666</v>
      </c>
      <c r="DY109" s="438">
        <f>DY105</f>
        <v>1.2932666666666668</v>
      </c>
      <c r="DZ109" s="438">
        <f>DZ105</f>
        <v>1.3621666666666667</v>
      </c>
      <c r="EA109" s="1891">
        <f>AVERAGE(DW109:DZ109)</f>
        <v>1.2973583333333334</v>
      </c>
      <c r="EB109" s="438">
        <f>EB105</f>
        <v>1.3502333333333334</v>
      </c>
      <c r="EC109" s="438">
        <f>EC105</f>
        <v>1.3547333333333331</v>
      </c>
      <c r="ED109" s="438">
        <f>ED105</f>
        <v>1.3313333333333335</v>
      </c>
      <c r="EE109" s="438">
        <f>EE105</f>
        <v>1.3671</v>
      </c>
      <c r="EF109" s="1891">
        <f>AVERAGE(EB109:EE109)</f>
        <v>1.3508499999999999</v>
      </c>
      <c r="EG109" s="438">
        <f>EG105</f>
        <v>1.3418999999999999</v>
      </c>
      <c r="EH109" s="438">
        <f>EH105</f>
        <v>1.3648666666666667</v>
      </c>
      <c r="EI109" s="438">
        <f>EI105</f>
        <v>1.3659666666666668</v>
      </c>
      <c r="EJ109" s="438">
        <f>EJ105</f>
        <v>1.3821666666666665</v>
      </c>
      <c r="EK109" s="1891">
        <f>AVERAGE(EG109:EJ109)</f>
        <v>1.3637250000000001</v>
      </c>
      <c r="EL109" s="438">
        <f>EL105</f>
        <v>1.4461999999999999</v>
      </c>
      <c r="EM109" s="438">
        <f>EM105</f>
        <v>1.3975</v>
      </c>
      <c r="EN109" s="438">
        <f>EN105</f>
        <v>1.3734999999999999</v>
      </c>
      <c r="EO109" s="438">
        <f>EO105</f>
        <v>1.3933999999999997</v>
      </c>
      <c r="EP109" s="1891">
        <f>AVERAGE(EL109:EO109)</f>
        <v>1.40265</v>
      </c>
      <c r="EQ109" s="438">
        <f>EQ105</f>
        <v>1.3940999999999999</v>
      </c>
      <c r="ER109" s="438">
        <f>ER105</f>
        <v>1.3940999999999999</v>
      </c>
      <c r="ES109" s="438">
        <f>ES105</f>
        <v>1.3940999999999999</v>
      </c>
      <c r="ET109" s="438">
        <f>ET105</f>
        <v>1.3940999999999999</v>
      </c>
      <c r="EU109" s="1891">
        <f>AVERAGE(EQ109:ET109)</f>
        <v>1.3940999999999999</v>
      </c>
      <c r="EV109" s="438">
        <f>EV105</f>
        <v>1.3940999999999999</v>
      </c>
      <c r="EW109" s="438">
        <f>EW105</f>
        <v>1.3940999999999999</v>
      </c>
      <c r="EX109" s="438">
        <f>EX105</f>
        <v>1.3940999999999999</v>
      </c>
      <c r="EY109" s="438">
        <f>EY105</f>
        <v>1.3940999999999999</v>
      </c>
      <c r="EZ109" s="1891">
        <f>AVERAGE(EV109:EY109)</f>
        <v>1.3940999999999999</v>
      </c>
      <c r="FA109" s="1891"/>
      <c r="FB109" s="1891"/>
      <c r="FC109" s="1891"/>
      <c r="FD109" s="816"/>
      <c r="FF109" s="816"/>
      <c r="FG109"/>
      <c r="FH109"/>
      <c r="FI109"/>
      <c r="FJ109"/>
      <c r="FK109"/>
      <c r="FL109"/>
      <c r="FM109"/>
      <c r="FN109"/>
    </row>
    <row r="110" spans="1:170" ht="11.25" customHeight="1">
      <c r="A110" s="1888"/>
      <c r="B110" s="438"/>
      <c r="C110" s="438"/>
      <c r="D110" s="438"/>
      <c r="E110" s="438"/>
      <c r="F110" s="1891"/>
      <c r="G110" s="438"/>
      <c r="H110" s="438"/>
      <c r="I110" s="438"/>
      <c r="J110" s="438"/>
      <c r="K110" s="1891"/>
      <c r="L110" s="438"/>
      <c r="M110" s="438"/>
      <c r="N110" s="438"/>
      <c r="O110" s="438"/>
      <c r="P110" s="1891"/>
      <c r="Q110" s="438"/>
      <c r="R110" s="438"/>
      <c r="S110" s="438"/>
      <c r="T110" s="438"/>
      <c r="U110" s="1891"/>
      <c r="V110" s="438"/>
      <c r="W110" s="438"/>
      <c r="X110" s="438"/>
      <c r="Y110" s="438"/>
      <c r="Z110" s="1891"/>
      <c r="AA110" s="438"/>
      <c r="AB110" s="438"/>
      <c r="AC110" s="438"/>
      <c r="AD110" s="438"/>
      <c r="AE110" s="1891"/>
      <c r="AF110" s="438"/>
      <c r="AG110" s="438"/>
      <c r="AH110" s="438"/>
      <c r="AI110" s="438"/>
      <c r="AJ110" s="1891"/>
      <c r="AK110" s="438"/>
      <c r="AL110" s="438"/>
      <c r="AM110" s="438"/>
      <c r="AN110" s="438"/>
      <c r="AO110" s="1891"/>
      <c r="AP110" s="438"/>
      <c r="AQ110" s="438"/>
      <c r="AR110" s="438"/>
      <c r="AS110" s="438"/>
      <c r="AT110" s="1891"/>
      <c r="AU110" s="438"/>
      <c r="AV110" s="438"/>
      <c r="AW110" s="438"/>
      <c r="AX110" s="438"/>
      <c r="AY110" s="1891"/>
      <c r="AZ110" s="1911"/>
      <c r="BA110" s="438"/>
      <c r="BB110" s="438"/>
      <c r="BC110" s="438"/>
      <c r="BD110" s="1891"/>
      <c r="BE110" s="1911"/>
      <c r="BF110" s="438"/>
      <c r="BG110" s="438"/>
      <c r="BH110" s="438"/>
      <c r="BI110" s="1891"/>
      <c r="BJ110" s="1911"/>
      <c r="BK110" s="438"/>
      <c r="BL110" s="436"/>
      <c r="BM110" s="1173"/>
      <c r="BN110" s="1891"/>
      <c r="BO110" s="1894"/>
      <c r="BP110" s="436"/>
      <c r="BQ110" s="436"/>
      <c r="BR110" s="436"/>
      <c r="BS110" s="1891"/>
      <c r="BT110" s="1894"/>
      <c r="BU110" s="436"/>
      <c r="BV110" s="436"/>
      <c r="BW110" s="1173"/>
      <c r="BX110" s="1891"/>
      <c r="BY110" s="1894"/>
      <c r="BZ110" s="1885"/>
      <c r="CA110" s="436"/>
      <c r="CB110" s="436"/>
      <c r="CC110" s="1891"/>
      <c r="CD110" s="1894"/>
      <c r="CE110" s="1885"/>
      <c r="CF110" s="1885"/>
      <c r="CG110" s="1173"/>
      <c r="CH110" s="1891"/>
      <c r="CI110" s="436"/>
      <c r="CJ110" s="436"/>
      <c r="CK110" s="436"/>
      <c r="CL110" s="1173"/>
      <c r="CM110" s="1891"/>
      <c r="CN110" s="1894"/>
      <c r="CO110" s="436"/>
      <c r="CP110" s="436"/>
      <c r="CQ110" s="1173"/>
      <c r="CR110" s="1891"/>
      <c r="CS110" s="1894"/>
      <c r="CT110" s="436"/>
      <c r="CU110" s="436"/>
      <c r="CV110" s="436"/>
      <c r="CW110" s="1891"/>
      <c r="CX110" s="1894"/>
      <c r="CY110" s="436"/>
      <c r="CZ110" s="436"/>
      <c r="DA110" s="1173"/>
      <c r="DB110" s="1891"/>
      <c r="DC110" s="1894"/>
      <c r="DD110" s="436"/>
      <c r="DE110" s="436"/>
      <c r="DF110" s="1173"/>
      <c r="DG110" s="1891"/>
      <c r="DH110" s="2521"/>
      <c r="DI110" s="2523"/>
      <c r="DJ110" s="2523"/>
      <c r="DK110" s="2522"/>
      <c r="DL110" s="1891"/>
      <c r="DM110" s="2521"/>
      <c r="DN110" s="2523"/>
      <c r="DO110" s="2523"/>
      <c r="DP110" s="2522"/>
      <c r="DQ110" s="1891"/>
      <c r="DR110" s="2521"/>
      <c r="DS110" s="2523"/>
      <c r="DT110" s="2523"/>
      <c r="DU110" s="2522"/>
      <c r="DV110" s="1891"/>
      <c r="DW110" s="2521"/>
      <c r="DX110" s="2523"/>
      <c r="DY110" s="2523"/>
      <c r="DZ110" s="2522"/>
      <c r="EA110" s="1891"/>
      <c r="EB110" s="2521"/>
      <c r="EC110" s="2523"/>
      <c r="ED110" s="2523"/>
      <c r="EE110" s="2522"/>
      <c r="EF110" s="1891"/>
      <c r="EG110" s="2521"/>
      <c r="EH110" s="2523"/>
      <c r="EI110" s="2523"/>
      <c r="EJ110" s="2522"/>
      <c r="EK110" s="1891"/>
      <c r="EL110" s="2521"/>
      <c r="EM110" s="2523"/>
      <c r="EN110" s="2523"/>
      <c r="EO110" s="2522"/>
      <c r="EP110" s="1891"/>
      <c r="EQ110" s="2521"/>
      <c r="ER110" s="2523"/>
      <c r="ES110" s="2523"/>
      <c r="ET110" s="2522"/>
      <c r="EU110" s="1891"/>
      <c r="EV110" s="2521"/>
      <c r="EW110" s="2523"/>
      <c r="EX110" s="2523"/>
      <c r="EY110" s="2522"/>
      <c r="EZ110" s="1891"/>
      <c r="FA110" s="1891"/>
      <c r="FB110" s="1891"/>
      <c r="FC110" s="1891"/>
      <c r="FD110" s="436"/>
      <c r="FF110" s="436"/>
      <c r="FG110"/>
      <c r="FH110"/>
      <c r="FI110"/>
      <c r="FJ110"/>
      <c r="FK110"/>
      <c r="FL110"/>
      <c r="FM110"/>
      <c r="FN110"/>
    </row>
    <row r="111" spans="1:170" ht="11.25" customHeight="1">
      <c r="A111" s="1912" t="s">
        <v>350</v>
      </c>
      <c r="B111" s="421"/>
      <c r="C111" s="421"/>
      <c r="D111" s="421"/>
      <c r="E111" s="421"/>
      <c r="F111" s="1905"/>
      <c r="G111" s="421"/>
      <c r="H111" s="421"/>
      <c r="I111" s="421"/>
      <c r="J111" s="421"/>
      <c r="K111" s="1905"/>
      <c r="L111" s="421"/>
      <c r="M111" s="421"/>
      <c r="N111" s="421"/>
      <c r="O111" s="421"/>
      <c r="P111" s="1905"/>
      <c r="Q111" s="421"/>
      <c r="R111" s="421"/>
      <c r="S111" s="421"/>
      <c r="T111" s="421"/>
      <c r="U111" s="1905"/>
      <c r="V111" s="421"/>
      <c r="W111" s="421"/>
      <c r="X111" s="421"/>
      <c r="Y111" s="421"/>
      <c r="Z111" s="1905"/>
      <c r="AA111" s="421"/>
      <c r="AB111" s="421"/>
      <c r="AC111" s="421"/>
      <c r="AD111" s="421"/>
      <c r="AE111" s="1905"/>
      <c r="AF111" s="421"/>
      <c r="AG111" s="421"/>
      <c r="AH111" s="421"/>
      <c r="AI111" s="421"/>
      <c r="AJ111" s="1905"/>
      <c r="AK111" s="421"/>
      <c r="AL111" s="421"/>
      <c r="AM111" s="421"/>
      <c r="AN111" s="421"/>
      <c r="AO111" s="1905"/>
      <c r="AP111" s="421"/>
      <c r="AQ111" s="421"/>
      <c r="AR111" s="421"/>
      <c r="AS111" s="421"/>
      <c r="AT111" s="1905"/>
      <c r="AU111" s="421"/>
      <c r="AV111" s="421"/>
      <c r="AW111" s="421"/>
      <c r="AX111" s="421"/>
      <c r="AY111" s="1905"/>
      <c r="AZ111" s="1906"/>
      <c r="BA111" s="429"/>
      <c r="BB111" s="429"/>
      <c r="BC111" s="429"/>
      <c r="BD111" s="1905"/>
      <c r="BE111" s="1906"/>
      <c r="BF111" s="429"/>
      <c r="BG111" s="429"/>
      <c r="BH111" s="429"/>
      <c r="BI111" s="1905"/>
      <c r="BJ111" s="1906"/>
      <c r="BK111" s="429"/>
      <c r="BL111" s="429"/>
      <c r="BM111" s="430"/>
      <c r="BN111" s="1905"/>
      <c r="BO111" s="1906"/>
      <c r="BP111" s="429"/>
      <c r="BQ111" s="429"/>
      <c r="BR111" s="429"/>
      <c r="BS111" s="1905"/>
      <c r="BT111" s="1913"/>
      <c r="BU111" s="441"/>
      <c r="BV111" s="441"/>
      <c r="BW111" s="430"/>
      <c r="BX111" s="1905"/>
      <c r="BY111" s="1906"/>
      <c r="BZ111" s="429"/>
      <c r="CA111" s="429"/>
      <c r="CB111" s="430"/>
      <c r="CC111" s="1905"/>
      <c r="CD111" s="1906"/>
      <c r="CE111" s="429"/>
      <c r="CF111" s="429"/>
      <c r="CG111" s="430"/>
      <c r="CH111" s="1905"/>
      <c r="CI111" s="429"/>
      <c r="CJ111" s="429"/>
      <c r="CK111" s="429"/>
      <c r="CL111" s="430"/>
      <c r="CM111" s="1905"/>
      <c r="CN111" s="429"/>
      <c r="CO111" s="429"/>
      <c r="CP111" s="429"/>
      <c r="CQ111" s="430"/>
      <c r="CR111" s="1905"/>
      <c r="CS111" s="429"/>
      <c r="CT111" s="429"/>
      <c r="CU111" s="429"/>
      <c r="CV111" s="429"/>
      <c r="CW111" s="1905"/>
      <c r="CX111" s="1906"/>
      <c r="CY111" s="429"/>
      <c r="CZ111" s="429"/>
      <c r="DA111" s="430"/>
      <c r="DB111" s="1905"/>
      <c r="DC111" s="1906"/>
      <c r="DD111" s="429"/>
      <c r="DE111" s="429"/>
      <c r="DF111" s="430"/>
      <c r="DG111" s="1905"/>
      <c r="DH111" s="1906"/>
      <c r="DI111" s="429"/>
      <c r="DJ111" s="429"/>
      <c r="DK111" s="430"/>
      <c r="DL111" s="1905"/>
      <c r="DM111" s="1906"/>
      <c r="DN111" s="429"/>
      <c r="DO111" s="429"/>
      <c r="DP111" s="430"/>
      <c r="DQ111" s="1905"/>
      <c r="DR111" s="1906"/>
      <c r="DS111" s="429"/>
      <c r="DT111" s="429"/>
      <c r="DU111" s="430"/>
      <c r="DV111" s="1905"/>
      <c r="DW111" s="1906"/>
      <c r="DX111" s="429"/>
      <c r="DY111" s="429"/>
      <c r="DZ111" s="430"/>
      <c r="EA111" s="1905"/>
      <c r="EB111" s="1906"/>
      <c r="EC111" s="429"/>
      <c r="ED111" s="429"/>
      <c r="EE111" s="430"/>
      <c r="EF111" s="1905"/>
      <c r="EG111" s="1906"/>
      <c r="EH111" s="429"/>
      <c r="EI111" s="429"/>
      <c r="EJ111" s="430"/>
      <c r="EK111" s="1905"/>
      <c r="EL111" s="1906"/>
      <c r="EM111" s="429"/>
      <c r="EN111" s="429"/>
      <c r="EO111" s="430"/>
      <c r="EP111" s="1905"/>
      <c r="EQ111" s="1906"/>
      <c r="ER111" s="429"/>
      <c r="ES111" s="429"/>
      <c r="ET111" s="430"/>
      <c r="EU111" s="1905"/>
      <c r="EV111" s="1906"/>
      <c r="EW111" s="429"/>
      <c r="EX111" s="429"/>
      <c r="EY111" s="430"/>
      <c r="EZ111" s="1905"/>
      <c r="FA111" s="1905"/>
      <c r="FB111" s="1905"/>
      <c r="FC111" s="1905"/>
      <c r="FD111" s="429"/>
      <c r="FF111" s="429"/>
    </row>
    <row r="112" spans="1:170" ht="11.25" customHeight="1">
      <c r="A112" s="1888" t="str">
        <f>A105</f>
        <v>Canada (CAD/USD)</v>
      </c>
      <c r="B112" s="440"/>
      <c r="C112" s="440"/>
      <c r="D112" s="440"/>
      <c r="E112" s="440"/>
      <c r="F112" s="1895"/>
      <c r="G112" s="440"/>
      <c r="H112" s="440"/>
      <c r="I112" s="440"/>
      <c r="J112" s="440"/>
      <c r="K112" s="1895"/>
      <c r="L112" s="440"/>
      <c r="M112" s="440"/>
      <c r="N112" s="440"/>
      <c r="O112" s="440"/>
      <c r="P112" s="1895"/>
      <c r="Q112" s="440"/>
      <c r="R112" s="440"/>
      <c r="S112" s="440"/>
      <c r="T112" s="440"/>
      <c r="U112" s="1895"/>
      <c r="V112" s="440"/>
      <c r="W112" s="440"/>
      <c r="X112" s="440"/>
      <c r="Y112" s="440"/>
      <c r="Z112" s="1895"/>
      <c r="AA112" s="440"/>
      <c r="AB112" s="440"/>
      <c r="AC112" s="440"/>
      <c r="AD112" s="440"/>
      <c r="AE112" s="1895"/>
      <c r="AF112" s="440"/>
      <c r="AG112" s="440"/>
      <c r="AH112" s="440"/>
      <c r="AI112" s="440"/>
      <c r="AJ112" s="1895"/>
      <c r="AK112" s="440"/>
      <c r="AL112" s="440"/>
      <c r="AM112" s="440"/>
      <c r="AN112" s="440"/>
      <c r="AO112" s="1895"/>
      <c r="AP112" s="440"/>
      <c r="AQ112" s="440"/>
      <c r="AR112" s="440"/>
      <c r="AS112" s="440"/>
      <c r="AT112" s="1895"/>
      <c r="AU112" s="440"/>
      <c r="AV112" s="440"/>
      <c r="AW112" s="440"/>
      <c r="AX112" s="440"/>
      <c r="AY112" s="1895"/>
      <c r="AZ112" s="441"/>
      <c r="BA112" s="441"/>
      <c r="BB112" s="441"/>
      <c r="BC112" s="441"/>
      <c r="BD112" s="1895"/>
      <c r="BE112" s="441"/>
      <c r="BF112" s="441"/>
      <c r="BG112" s="441"/>
      <c r="BH112" s="443"/>
      <c r="BI112" s="1895"/>
      <c r="BJ112" s="441"/>
      <c r="BK112" s="441"/>
      <c r="BL112" s="441"/>
      <c r="BM112" s="443"/>
      <c r="BN112" s="1895"/>
      <c r="BO112" s="441"/>
      <c r="BP112" s="441"/>
      <c r="BQ112" s="441"/>
      <c r="BR112" s="443"/>
      <c r="BS112" s="1895"/>
      <c r="BT112" s="441"/>
      <c r="BU112" s="441"/>
      <c r="BV112" s="441"/>
      <c r="BW112" s="443"/>
      <c r="BX112" s="1895"/>
      <c r="BY112" s="441"/>
      <c r="BZ112" s="441"/>
      <c r="CA112" s="441"/>
      <c r="CB112" s="443"/>
      <c r="CC112" s="1895"/>
      <c r="CD112" s="441"/>
      <c r="CE112" s="441"/>
      <c r="CF112" s="441"/>
      <c r="CG112" s="443"/>
      <c r="CH112" s="1895"/>
      <c r="CI112" s="441"/>
      <c r="CJ112" s="441"/>
      <c r="CK112" s="441"/>
      <c r="CL112" s="441"/>
      <c r="CM112" s="1895"/>
      <c r="CN112" s="441"/>
      <c r="CO112" s="441"/>
      <c r="CP112" s="441"/>
      <c r="CQ112" s="441"/>
      <c r="CR112" s="1895"/>
      <c r="CS112" s="441">
        <f t="shared" ref="CS112:CX112" si="312">CN105/CS105-1</f>
        <v>-0.10849957683472389</v>
      </c>
      <c r="CT112" s="441">
        <f t="shared" si="312"/>
        <v>-3.7151062013297653E-2</v>
      </c>
      <c r="CU112" s="441">
        <f t="shared" si="312"/>
        <v>-8.5511661844902553E-3</v>
      </c>
      <c r="CV112" s="441">
        <f t="shared" si="312"/>
        <v>-5.453681234833363E-3</v>
      </c>
      <c r="CW112" s="1895">
        <f t="shared" si="312"/>
        <v>-4.071302816901412E-2</v>
      </c>
      <c r="CX112" s="441">
        <f t="shared" si="312"/>
        <v>3.9801870662778072E-2</v>
      </c>
      <c r="CY112" s="441">
        <f t="shared" ref="CY112:DG112" si="313">CT105/CY105-1</f>
        <v>-4.4921054582293674E-2</v>
      </c>
      <c r="CZ112" s="441">
        <f t="shared" si="313"/>
        <v>2.9873965089912025E-2</v>
      </c>
      <c r="DA112" s="441">
        <f t="shared" si="313"/>
        <v>4.4854536424706604E-2</v>
      </c>
      <c r="DB112" s="1895">
        <f t="shared" si="313"/>
        <v>1.6710776980809028E-2</v>
      </c>
      <c r="DC112" s="441">
        <f t="shared" si="313"/>
        <v>7.0117849647527208E-2</v>
      </c>
      <c r="DD112" s="441">
        <f t="shared" si="313"/>
        <v>4.5735252319061726E-2</v>
      </c>
      <c r="DE112" s="441">
        <f t="shared" si="313"/>
        <v>-3.1981418617116342E-2</v>
      </c>
      <c r="DF112" s="441">
        <f t="shared" si="313"/>
        <v>-2.7949284752394554E-2</v>
      </c>
      <c r="DG112" s="1895">
        <f t="shared" si="313"/>
        <v>1.3102077032182136E-2</v>
      </c>
      <c r="DH112" s="441">
        <f t="shared" ref="DH112:DL116" si="314">DC105/DH105-1</f>
        <v>-6.9314368708369045E-2</v>
      </c>
      <c r="DI112" s="441">
        <f t="shared" si="314"/>
        <v>-3.8556132462176596E-2</v>
      </c>
      <c r="DJ112" s="441">
        <f t="shared" si="314"/>
        <v>-1.055635527944021E-2</v>
      </c>
      <c r="DK112" s="441">
        <f t="shared" si="314"/>
        <v>-8.3150653866506108E-3</v>
      </c>
      <c r="DL112" s="1895">
        <f t="shared" si="314"/>
        <v>-3.1780072865912889E-2</v>
      </c>
      <c r="DM112" s="441">
        <f t="shared" ref="DM112:DO116" si="315">DH105/DM105-1</f>
        <v>7.5692587172631054E-3</v>
      </c>
      <c r="DN112" s="441">
        <f t="shared" si="315"/>
        <v>-3.6709981573216699E-2</v>
      </c>
      <c r="DO112" s="441">
        <f t="shared" si="315"/>
        <v>-1.094042712626464E-2</v>
      </c>
      <c r="DP112" s="441">
        <f t="shared" ref="DP112:DQ116" si="316">DK105/DP105-1</f>
        <v>1.1604147221309091E-3</v>
      </c>
      <c r="DQ112" s="1895">
        <f t="shared" si="316"/>
        <v>-1.009329782677526E-2</v>
      </c>
      <c r="DR112" s="441">
        <f t="shared" ref="DR112:DV116" si="317">DM105/DR105-1</f>
        <v>3.6453974895397367E-2</v>
      </c>
      <c r="DS112" s="441">
        <f t="shared" si="317"/>
        <v>0.13204020263863692</v>
      </c>
      <c r="DT112" s="441">
        <f t="shared" si="317"/>
        <v>6.7913254554669455E-2</v>
      </c>
      <c r="DU112" s="441">
        <f t="shared" si="317"/>
        <v>4.7401379237456132E-2</v>
      </c>
      <c r="DV112" s="1895">
        <f t="shared" si="317"/>
        <v>7.0490201941670216E-2</v>
      </c>
      <c r="DW112" s="441">
        <f t="shared" ref="DW112:DY116" si="318">DR105/DW105-1</f>
        <v>5.7864281956865327E-3</v>
      </c>
      <c r="DX112" s="441">
        <f t="shared" si="318"/>
        <v>-2.8605263157894689E-2</v>
      </c>
      <c r="DY112" s="441">
        <f t="shared" si="318"/>
        <v>-3.3738852518171103E-2</v>
      </c>
      <c r="DZ112" s="441">
        <f t="shared" ref="DZ112:EA116" si="319">DU105/DZ105-1</f>
        <v>-7.3852930380521209E-2</v>
      </c>
      <c r="EA112" s="1895">
        <f t="shared" si="319"/>
        <v>-3.3362666443991995E-2</v>
      </c>
      <c r="EB112" s="441">
        <f t="shared" ref="EB112:EF116" si="320">DW105/EB105-1</f>
        <v>-6.1396795615572541E-2</v>
      </c>
      <c r="EC112" s="441">
        <f t="shared" si="320"/>
        <v>-6.5006643373849649E-2</v>
      </c>
      <c r="ED112" s="441">
        <f t="shared" si="320"/>
        <v>-2.8592889334001059E-2</v>
      </c>
      <c r="EE112" s="441">
        <f t="shared" si="320"/>
        <v>-3.6086119035426689E-3</v>
      </c>
      <c r="EF112" s="1895">
        <f t="shared" si="320"/>
        <v>-3.9598524385880407E-2</v>
      </c>
      <c r="EG112" s="441">
        <f t="shared" ref="EG112:EI116" si="321">EB105/EG105-1</f>
        <v>6.2101001068137762E-3</v>
      </c>
      <c r="EH112" s="441">
        <f t="shared" si="321"/>
        <v>-7.4244126410395461E-3</v>
      </c>
      <c r="EI112" s="441">
        <f t="shared" si="321"/>
        <v>-2.5354449840161997E-2</v>
      </c>
      <c r="EJ112" s="441">
        <f t="shared" ref="EJ112:EK116" si="322">EE105/EJ105-1</f>
        <v>-1.0900759676835792E-2</v>
      </c>
      <c r="EK112" s="1895">
        <f t="shared" si="322"/>
        <v>-9.4410529982219549E-3</v>
      </c>
      <c r="EL112" s="441">
        <f t="shared" ref="EL112:EN116" si="323">EG105/EL105-1</f>
        <v>-7.2120038722168434E-2</v>
      </c>
      <c r="EM112" s="441">
        <f t="shared" si="323"/>
        <v>-2.3351222420989859E-2</v>
      </c>
      <c r="EN112" s="441">
        <f t="shared" si="323"/>
        <v>-5.4847712656229675E-3</v>
      </c>
      <c r="EO112" s="441">
        <f t="shared" ref="EO112:EP116" si="324">EJ105/EO105-1</f>
        <v>-8.0618152241518359E-3</v>
      </c>
      <c r="EP112" s="1895">
        <f t="shared" si="324"/>
        <v>-2.7751042669233117E-2</v>
      </c>
      <c r="EQ112" s="441">
        <f t="shared" ref="EQ112:EQ116" si="325">EL105/EQ105-1</f>
        <v>3.7371781077397692E-2</v>
      </c>
      <c r="ER112" s="441">
        <f t="shared" ref="ER112:ER116" si="326">EM105/ER105-1</f>
        <v>2.4388494369127489E-3</v>
      </c>
      <c r="ES112" s="441">
        <f t="shared" ref="ES112:ES116" si="327">EN105/ES105-1</f>
        <v>-1.4776558353059244E-2</v>
      </c>
      <c r="ET112" s="441">
        <f t="shared" ref="ET112:ET116" si="328">EO105/ET105-1</f>
        <v>-5.0211606054095803E-4</v>
      </c>
      <c r="EU112" s="1895">
        <f t="shared" ref="EU112:EU116" si="329">EP105/EU105-1</f>
        <v>6.1329890251775598E-3</v>
      </c>
      <c r="EV112" s="441">
        <f t="shared" ref="EV112:EV116" si="330">EQ105/EV105-1</f>
        <v>0</v>
      </c>
      <c r="EW112" s="441">
        <f t="shared" ref="EW112:EW116" si="331">ER105/EW105-1</f>
        <v>0</v>
      </c>
      <c r="EX112" s="441">
        <f t="shared" ref="EX112:EX116" si="332">ES105/EX105-1</f>
        <v>0</v>
      </c>
      <c r="EY112" s="441">
        <f t="shared" ref="EY112:EZ116" si="333">ET105/EY105-1</f>
        <v>0</v>
      </c>
      <c r="EZ112" s="1895">
        <f t="shared" si="333"/>
        <v>0</v>
      </c>
      <c r="FA112" s="1895"/>
      <c r="FB112" s="1895"/>
      <c r="FC112" s="1895"/>
      <c r="FD112" s="441"/>
      <c r="FF112" s="441"/>
    </row>
    <row r="113" spans="1:162" ht="11.25" customHeight="1">
      <c r="A113" s="1888" t="str">
        <f>A106</f>
        <v>Brazil (BRL/USD)</v>
      </c>
      <c r="B113" s="440"/>
      <c r="C113" s="440"/>
      <c r="D113" s="440"/>
      <c r="E113" s="440"/>
      <c r="F113" s="1895"/>
      <c r="G113" s="440"/>
      <c r="H113" s="440"/>
      <c r="I113" s="440"/>
      <c r="J113" s="440"/>
      <c r="K113" s="1895"/>
      <c r="L113" s="440"/>
      <c r="M113" s="440"/>
      <c r="N113" s="440"/>
      <c r="O113" s="440"/>
      <c r="P113" s="1895"/>
      <c r="Q113" s="440"/>
      <c r="R113" s="440"/>
      <c r="S113" s="440"/>
      <c r="T113" s="440"/>
      <c r="U113" s="1895"/>
      <c r="V113" s="440"/>
      <c r="W113" s="440"/>
      <c r="X113" s="440"/>
      <c r="Y113" s="440"/>
      <c r="Z113" s="1895"/>
      <c r="AA113" s="440"/>
      <c r="AB113" s="440"/>
      <c r="AC113" s="440"/>
      <c r="AD113" s="440"/>
      <c r="AE113" s="1895"/>
      <c r="AF113" s="440"/>
      <c r="AG113" s="440"/>
      <c r="AH113" s="440"/>
      <c r="AI113" s="440"/>
      <c r="AJ113" s="1895"/>
      <c r="AK113" s="440"/>
      <c r="AL113" s="440"/>
      <c r="AM113" s="440"/>
      <c r="AN113" s="440"/>
      <c r="AO113" s="1895"/>
      <c r="AP113" s="440"/>
      <c r="AQ113" s="440"/>
      <c r="AR113" s="440"/>
      <c r="AS113" s="440"/>
      <c r="AT113" s="1895"/>
      <c r="AU113" s="440"/>
      <c r="AV113" s="440"/>
      <c r="AW113" s="440"/>
      <c r="AX113" s="440"/>
      <c r="AY113" s="1895"/>
      <c r="AZ113" s="441"/>
      <c r="BA113" s="441"/>
      <c r="BB113" s="441"/>
      <c r="BC113" s="441"/>
      <c r="BD113" s="1895"/>
      <c r="BE113" s="441"/>
      <c r="BF113" s="441"/>
      <c r="BG113" s="441"/>
      <c r="BH113" s="443"/>
      <c r="BI113" s="1895"/>
      <c r="BJ113" s="441"/>
      <c r="BK113" s="441"/>
      <c r="BL113" s="441"/>
      <c r="BM113" s="443"/>
      <c r="BN113" s="1895"/>
      <c r="BO113" s="441"/>
      <c r="BP113" s="441"/>
      <c r="BQ113" s="441"/>
      <c r="BR113" s="443"/>
      <c r="BS113" s="1895"/>
      <c r="BT113" s="441"/>
      <c r="BU113" s="441"/>
      <c r="BV113" s="441"/>
      <c r="BW113" s="443"/>
      <c r="BX113" s="1895"/>
      <c r="BY113" s="441"/>
      <c r="BZ113" s="441"/>
      <c r="CA113" s="441"/>
      <c r="CB113" s="443"/>
      <c r="CC113" s="1895"/>
      <c r="CD113" s="441"/>
      <c r="CE113" s="441"/>
      <c r="CF113" s="441"/>
      <c r="CG113" s="443"/>
      <c r="CH113" s="1895"/>
      <c r="CI113" s="441"/>
      <c r="CJ113" s="441"/>
      <c r="CK113" s="441"/>
      <c r="CL113" s="441"/>
      <c r="CM113" s="1895"/>
      <c r="CN113" s="441"/>
      <c r="CO113" s="441"/>
      <c r="CP113" s="441"/>
      <c r="CQ113" s="441"/>
      <c r="CR113" s="1895"/>
      <c r="CS113" s="441">
        <f t="shared" ref="CS113:CW116" si="334">CN106/CS106-1</f>
        <v>-0.31681961272221715</v>
      </c>
      <c r="CT113" s="441">
        <f t="shared" si="334"/>
        <v>-0.11745742321139907</v>
      </c>
      <c r="CU113" s="441">
        <f t="shared" si="334"/>
        <v>4.709658774229486E-2</v>
      </c>
      <c r="CV113" s="441">
        <f t="shared" si="334"/>
        <v>0.18582982787701452</v>
      </c>
      <c r="CW113" s="1895">
        <f t="shared" si="334"/>
        <v>-6.5455951824495595E-2</v>
      </c>
      <c r="CX113" s="441">
        <f>CS106/CX106-1</f>
        <v>0.2587395682243383</v>
      </c>
      <c r="CY113" s="441">
        <f t="shared" ref="CY113:DG116" si="335">CT106/CY106-1</f>
        <v>0.11692456276638197</v>
      </c>
      <c r="CZ113" s="441">
        <f t="shared" si="335"/>
        <v>1.1051165120477879E-2</v>
      </c>
      <c r="DA113" s="441">
        <f t="shared" si="335"/>
        <v>1.4419855904513446E-2</v>
      </c>
      <c r="DB113" s="1895">
        <f t="shared" si="335"/>
        <v>9.9708803222995135E-2</v>
      </c>
      <c r="DC113" s="441">
        <f t="shared" si="335"/>
        <v>-1.6060809762655559E-2</v>
      </c>
      <c r="DD113" s="441">
        <f t="shared" si="335"/>
        <v>-9.5923693826223122E-2</v>
      </c>
      <c r="DE113" s="441">
        <f t="shared" si="335"/>
        <v>-0.18020908188755436</v>
      </c>
      <c r="DF113" s="441">
        <f t="shared" si="335"/>
        <v>-0.16661083193746506</v>
      </c>
      <c r="DG113" s="1895">
        <f t="shared" si="335"/>
        <v>-0.11971738785897856</v>
      </c>
      <c r="DH113" s="441">
        <f t="shared" si="314"/>
        <v>-0.1431318510904146</v>
      </c>
      <c r="DI113" s="441">
        <f t="shared" si="314"/>
        <v>-0.1042600039106002</v>
      </c>
      <c r="DJ113" s="441">
        <f t="shared" si="314"/>
        <v>-9.951976420168207E-3</v>
      </c>
      <c r="DK113" s="441">
        <f t="shared" si="314"/>
        <v>-6.2197911967519448E-2</v>
      </c>
      <c r="DL113" s="1895">
        <f t="shared" si="314"/>
        <v>-7.8937291481110838E-2</v>
      </c>
      <c r="DM113" s="441">
        <f t="shared" si="315"/>
        <v>-0.11698240177781949</v>
      </c>
      <c r="DN113" s="441">
        <f t="shared" si="315"/>
        <v>-0.26610764844242307</v>
      </c>
      <c r="DO113" s="441">
        <f t="shared" si="315"/>
        <v>-0.27038517868509027</v>
      </c>
      <c r="DP113" s="441">
        <f t="shared" si="316"/>
        <v>-0.25724884820199856</v>
      </c>
      <c r="DQ113" s="1895">
        <f t="shared" si="316"/>
        <v>-0.23394362339533481</v>
      </c>
      <c r="DR113" s="441">
        <f t="shared" si="317"/>
        <v>-0.21439329206444824</v>
      </c>
      <c r="DS113" s="441">
        <f t="shared" si="317"/>
        <v>-1.6173979228559454E-2</v>
      </c>
      <c r="DT113" s="441">
        <f t="shared" si="317"/>
        <v>5.5466777982871918E-2</v>
      </c>
      <c r="DU113" s="441">
        <f t="shared" si="317"/>
        <v>6.4662140316862349E-4</v>
      </c>
      <c r="DV113" s="1895">
        <f t="shared" si="317"/>
        <v>-4.4740280650474973E-2</v>
      </c>
      <c r="DW113" s="441">
        <f t="shared" si="318"/>
        <v>1.4544003093407198E-2</v>
      </c>
      <c r="DX113" s="441">
        <f t="shared" si="318"/>
        <v>0.12759463182010111</v>
      </c>
      <c r="DY113" s="441">
        <f t="shared" si="318"/>
        <v>-1.8054772762207127E-2</v>
      </c>
      <c r="DZ113" s="441">
        <f t="shared" si="319"/>
        <v>5.8166129205972972E-2</v>
      </c>
      <c r="EA113" s="1895">
        <f t="shared" si="319"/>
        <v>4.3841376602095306E-2</v>
      </c>
      <c r="EB113" s="441">
        <f t="shared" si="320"/>
        <v>2.7945532176789634E-2</v>
      </c>
      <c r="EC113" s="441">
        <f t="shared" si="320"/>
        <v>-4.3634534297988359E-2</v>
      </c>
      <c r="ED113" s="441">
        <f t="shared" si="320"/>
        <v>7.9054852553957389E-2</v>
      </c>
      <c r="EE113" s="441">
        <f t="shared" si="320"/>
        <v>5.295424374428781E-2</v>
      </c>
      <c r="EF113" s="1895">
        <f t="shared" si="320"/>
        <v>2.8494735354979372E-2</v>
      </c>
      <c r="EG113" s="441">
        <f t="shared" si="321"/>
        <v>5.5487136457755382E-2</v>
      </c>
      <c r="EH113" s="441">
        <f t="shared" si="321"/>
        <v>-2.2434321211336927E-2</v>
      </c>
      <c r="EI113" s="441">
        <f t="shared" si="321"/>
        <v>-0.1413711050848262</v>
      </c>
      <c r="EJ113" s="441">
        <f t="shared" si="322"/>
        <v>-0.12889635294391122</v>
      </c>
      <c r="EK113" s="1895">
        <f t="shared" si="322"/>
        <v>-6.4193913150326742E-2</v>
      </c>
      <c r="EL113" s="441">
        <f t="shared" si="323"/>
        <v>-0.17451752548526756</v>
      </c>
      <c r="EM113" s="441">
        <f t="shared" si="323"/>
        <v>-9.6389416751936685E-2</v>
      </c>
      <c r="EN113" s="441">
        <f t="shared" si="323"/>
        <v>2.3721873936919824E-2</v>
      </c>
      <c r="EO113" s="441">
        <f t="shared" si="324"/>
        <v>7.2475148795612565E-2</v>
      </c>
      <c r="EP113" s="1895">
        <f t="shared" si="324"/>
        <v>-4.7686266609985539E-2</v>
      </c>
      <c r="EQ113" s="441">
        <f t="shared" si="325"/>
        <v>0.11294503813946521</v>
      </c>
      <c r="ER113" s="441">
        <f t="shared" si="326"/>
        <v>6.3211423811210921E-2</v>
      </c>
      <c r="ES113" s="441">
        <f t="shared" si="327"/>
        <v>2.3368582032488261E-2</v>
      </c>
      <c r="ET113" s="441">
        <f t="shared" si="328"/>
        <v>-2.4991141199949274E-3</v>
      </c>
      <c r="EU113" s="1895">
        <f t="shared" si="329"/>
        <v>4.9256482465792395E-2</v>
      </c>
      <c r="EV113" s="441">
        <f t="shared" si="330"/>
        <v>0</v>
      </c>
      <c r="EW113" s="441">
        <f t="shared" si="331"/>
        <v>0</v>
      </c>
      <c r="EX113" s="441">
        <f t="shared" si="332"/>
        <v>0</v>
      </c>
      <c r="EY113" s="441">
        <f t="shared" si="333"/>
        <v>0</v>
      </c>
      <c r="EZ113" s="1895">
        <f t="shared" si="333"/>
        <v>0</v>
      </c>
      <c r="FA113" s="1895"/>
      <c r="FB113" s="1895"/>
      <c r="FC113" s="1895"/>
      <c r="FD113" s="441"/>
      <c r="FF113" s="441"/>
    </row>
    <row r="114" spans="1:162" ht="11.25" customHeight="1">
      <c r="A114" s="1888" t="str">
        <f>A107</f>
        <v>Argentina (ARS/USD)</v>
      </c>
      <c r="B114" s="440"/>
      <c r="C114" s="440"/>
      <c r="D114" s="440"/>
      <c r="E114" s="440"/>
      <c r="F114" s="3454"/>
      <c r="G114" s="440"/>
      <c r="H114" s="440"/>
      <c r="I114" s="440"/>
      <c r="J114" s="440"/>
      <c r="K114" s="3454"/>
      <c r="L114" s="440"/>
      <c r="M114" s="440"/>
      <c r="N114" s="440"/>
      <c r="O114" s="440"/>
      <c r="P114" s="3454"/>
      <c r="Q114" s="440"/>
      <c r="R114" s="440"/>
      <c r="S114" s="440"/>
      <c r="T114" s="440"/>
      <c r="U114" s="3454"/>
      <c r="V114" s="440"/>
      <c r="W114" s="440"/>
      <c r="X114" s="440"/>
      <c r="Y114" s="440"/>
      <c r="Z114" s="3454"/>
      <c r="AA114" s="440"/>
      <c r="AB114" s="440"/>
      <c r="AC114" s="440"/>
      <c r="AD114" s="440"/>
      <c r="AE114" s="3454"/>
      <c r="AF114" s="440"/>
      <c r="AG114" s="440"/>
      <c r="AH114" s="440"/>
      <c r="AI114" s="440"/>
      <c r="AJ114" s="3454"/>
      <c r="AK114" s="440"/>
      <c r="AL114" s="440"/>
      <c r="AM114" s="440"/>
      <c r="AN114" s="440"/>
      <c r="AO114" s="3454"/>
      <c r="AP114" s="440"/>
      <c r="AQ114" s="440"/>
      <c r="AR114" s="440"/>
      <c r="AS114" s="440"/>
      <c r="AT114" s="3454"/>
      <c r="AU114" s="440"/>
      <c r="AV114" s="440"/>
      <c r="AW114" s="440"/>
      <c r="AX114" s="440"/>
      <c r="AY114" s="3454"/>
      <c r="AZ114" s="441"/>
      <c r="BA114" s="441"/>
      <c r="BB114" s="441"/>
      <c r="BC114" s="441"/>
      <c r="BD114" s="3454"/>
      <c r="BE114" s="441"/>
      <c r="BF114" s="441"/>
      <c r="BG114" s="441"/>
      <c r="BH114" s="443"/>
      <c r="BI114" s="3454"/>
      <c r="BJ114" s="441"/>
      <c r="BK114" s="441"/>
      <c r="BL114" s="441"/>
      <c r="BM114" s="443"/>
      <c r="BN114" s="3454"/>
      <c r="BO114" s="441"/>
      <c r="BP114" s="441"/>
      <c r="BQ114" s="441"/>
      <c r="BR114" s="443"/>
      <c r="BS114" s="3454"/>
      <c r="BT114" s="441"/>
      <c r="BU114" s="441"/>
      <c r="BV114" s="441"/>
      <c r="BW114" s="443"/>
      <c r="BX114" s="3454"/>
      <c r="BY114" s="441"/>
      <c r="BZ114" s="441"/>
      <c r="CA114" s="441"/>
      <c r="CB114" s="443"/>
      <c r="CC114" s="3454"/>
      <c r="CD114" s="441"/>
      <c r="CE114" s="441"/>
      <c r="CF114" s="441"/>
      <c r="CG114" s="443"/>
      <c r="CH114" s="3454"/>
      <c r="CI114" s="441"/>
      <c r="CJ114" s="441"/>
      <c r="CK114" s="441"/>
      <c r="CL114" s="441"/>
      <c r="CM114" s="3454"/>
      <c r="CN114" s="441"/>
      <c r="CO114" s="441"/>
      <c r="CP114" s="441"/>
      <c r="CQ114" s="441"/>
      <c r="CR114" s="3454"/>
      <c r="CS114" s="441">
        <f t="shared" si="334"/>
        <v>-0.39529069726613264</v>
      </c>
      <c r="CT114" s="441">
        <f t="shared" si="334"/>
        <v>-0.37794412107101283</v>
      </c>
      <c r="CU114" s="441">
        <f t="shared" si="334"/>
        <v>-0.38710179401107092</v>
      </c>
      <c r="CV114" s="441">
        <f t="shared" si="334"/>
        <v>-0.38239090085034744</v>
      </c>
      <c r="CW114" s="1895">
        <f t="shared" si="334"/>
        <v>-0.38562276148433761</v>
      </c>
      <c r="CX114" s="441">
        <f>CS107/CX107-1</f>
        <v>-0.17854945274703293</v>
      </c>
      <c r="CY114" s="441">
        <f t="shared" si="335"/>
        <v>-8.3903360869555743E-2</v>
      </c>
      <c r="CZ114" s="441">
        <f t="shared" si="335"/>
        <v>-0.12847627203366507</v>
      </c>
      <c r="DA114" s="441">
        <f t="shared" si="335"/>
        <v>-0.11363201591613414</v>
      </c>
      <c r="DB114" s="1895">
        <f t="shared" si="335"/>
        <v>-0.12718595936128863</v>
      </c>
      <c r="DC114" s="441">
        <f t="shared" si="335"/>
        <v>-0.10914762517365617</v>
      </c>
      <c r="DD114" s="441">
        <f t="shared" si="335"/>
        <v>-0.28585703340274149</v>
      </c>
      <c r="DE114" s="441">
        <f t="shared" si="335"/>
        <v>-0.44642408980048864</v>
      </c>
      <c r="DF114" s="441">
        <f t="shared" si="335"/>
        <v>-0.54529401838169411</v>
      </c>
      <c r="DG114" s="1895">
        <f t="shared" si="335"/>
        <v>-0.38964329230117223</v>
      </c>
      <c r="DH114" s="441">
        <f t="shared" si="314"/>
        <v>-0.48844828961077758</v>
      </c>
      <c r="DI114" s="441">
        <f t="shared" si="314"/>
        <v>-0.50388464482761486</v>
      </c>
      <c r="DJ114" s="441">
        <f t="shared" si="314"/>
        <v>-0.36076715236437396</v>
      </c>
      <c r="DK114" s="441">
        <f t="shared" si="314"/>
        <v>-0.35104490721689063</v>
      </c>
      <c r="DL114" s="1895">
        <f t="shared" si="314"/>
        <v>-0.41658702906254508</v>
      </c>
      <c r="DM114" s="441">
        <f t="shared" si="315"/>
        <v>-0.37445567805083413</v>
      </c>
      <c r="DN114" s="441">
        <f t="shared" si="315"/>
        <v>-0.33758777060779033</v>
      </c>
      <c r="DO114" s="441">
        <f t="shared" si="315"/>
        <v>-0.32766876397243538</v>
      </c>
      <c r="DP114" s="441">
        <f t="shared" si="316"/>
        <v>-0.24873856566710351</v>
      </c>
      <c r="DQ114" s="1895">
        <f t="shared" si="316"/>
        <v>-0.31797327415815679</v>
      </c>
      <c r="DR114" s="441">
        <f t="shared" si="317"/>
        <v>-0.30180281722483648</v>
      </c>
      <c r="DS114" s="441">
        <f t="shared" si="317"/>
        <v>-0.28711810261581916</v>
      </c>
      <c r="DT114" s="441">
        <f t="shared" si="317"/>
        <v>-0.25232295292196993</v>
      </c>
      <c r="DU114" s="441">
        <f t="shared" si="317"/>
        <v>-0.21240378121536785</v>
      </c>
      <c r="DV114" s="1895">
        <f t="shared" si="317"/>
        <v>-0.26180713801089206</v>
      </c>
      <c r="DW114" s="441">
        <f t="shared" si="318"/>
        <v>-0.17105248547357799</v>
      </c>
      <c r="DX114" s="441">
        <f t="shared" si="318"/>
        <v>-0.19129880691482637</v>
      </c>
      <c r="DY114" s="441">
        <f t="shared" si="318"/>
        <v>-0.26579350628187615</v>
      </c>
      <c r="DZ114" s="441">
        <f t="shared" si="319"/>
        <v>-0.36501138181103243</v>
      </c>
      <c r="EA114" s="3454">
        <f t="shared" si="319"/>
        <v>-0.25997380812989568</v>
      </c>
      <c r="EB114" s="441">
        <f t="shared" si="320"/>
        <v>-0.43840787251491764</v>
      </c>
      <c r="EC114" s="441">
        <f t="shared" si="320"/>
        <v>-0.48365899804513257</v>
      </c>
      <c r="ED114" s="441">
        <f t="shared" si="320"/>
        <v>-0.55193592508811617</v>
      </c>
      <c r="EE114" s="441">
        <f t="shared" si="320"/>
        <v>-0.55538218159988817</v>
      </c>
      <c r="EF114" s="3454">
        <f t="shared" si="320"/>
        <v>-0.51858460308014998</v>
      </c>
      <c r="EG114" s="441">
        <f t="shared" si="321"/>
        <v>-0.77342253566613106</v>
      </c>
      <c r="EH114" s="441">
        <f t="shared" si="321"/>
        <v>-0.74482457210020203</v>
      </c>
      <c r="EI114" s="441">
        <f t="shared" si="321"/>
        <v>-0.68426151674304148</v>
      </c>
      <c r="EJ114" s="441">
        <f t="shared" si="322"/>
        <v>-0.64285757826782441</v>
      </c>
      <c r="EK114" s="3454">
        <f t="shared" si="322"/>
        <v>-0.70792337256339577</v>
      </c>
      <c r="EL114" s="441">
        <f t="shared" si="323"/>
        <v>-0.21246191886781507</v>
      </c>
      <c r="EM114" s="441">
        <f t="shared" si="323"/>
        <v>-0.23411727282700168</v>
      </c>
      <c r="EN114" s="441">
        <f t="shared" si="323"/>
        <v>-0.28706327851173374</v>
      </c>
      <c r="EO114" s="441">
        <f t="shared" si="324"/>
        <v>-0.30218201453250626</v>
      </c>
      <c r="EP114" s="3454">
        <f t="shared" si="324"/>
        <v>-0.26319439121496357</v>
      </c>
      <c r="EQ114" s="441">
        <f t="shared" si="325"/>
        <v>-0.27072813057893397</v>
      </c>
      <c r="ER114" s="441">
        <f t="shared" si="326"/>
        <v>-0.20385391018061239</v>
      </c>
      <c r="ES114" s="441">
        <f t="shared" si="327"/>
        <v>-9.1532864992696639E-2</v>
      </c>
      <c r="ET114" s="441">
        <f t="shared" si="328"/>
        <v>-1.3448470937376777E-2</v>
      </c>
      <c r="EU114" s="3454">
        <f t="shared" si="329"/>
        <v>-0.14489084417240494</v>
      </c>
      <c r="EV114" s="441">
        <f t="shared" si="330"/>
        <v>0</v>
      </c>
      <c r="EW114" s="441">
        <f t="shared" si="331"/>
        <v>0</v>
      </c>
      <c r="EX114" s="441">
        <f t="shared" si="332"/>
        <v>0</v>
      </c>
      <c r="EY114" s="441">
        <f t="shared" si="333"/>
        <v>0</v>
      </c>
      <c r="EZ114" s="3454">
        <f t="shared" si="333"/>
        <v>0</v>
      </c>
      <c r="FA114" s="3454"/>
      <c r="FB114" s="3454"/>
      <c r="FC114" s="3454"/>
      <c r="FD114" s="441"/>
      <c r="FF114" s="441"/>
    </row>
    <row r="115" spans="1:162" ht="11.25" customHeight="1">
      <c r="A115" s="1888" t="str">
        <f>A108</f>
        <v>Mexico (MXN/USD)</v>
      </c>
      <c r="B115" s="440"/>
      <c r="C115" s="440"/>
      <c r="D115" s="440"/>
      <c r="E115" s="440"/>
      <c r="F115" s="1895"/>
      <c r="G115" s="440"/>
      <c r="H115" s="440"/>
      <c r="I115" s="440"/>
      <c r="J115" s="440"/>
      <c r="K115" s="1895"/>
      <c r="L115" s="440"/>
      <c r="M115" s="440"/>
      <c r="N115" s="440"/>
      <c r="O115" s="440"/>
      <c r="P115" s="1895"/>
      <c r="Q115" s="440"/>
      <c r="R115" s="440"/>
      <c r="S115" s="440"/>
      <c r="T115" s="440"/>
      <c r="U115" s="1895"/>
      <c r="V115" s="440"/>
      <c r="W115" s="440"/>
      <c r="X115" s="440"/>
      <c r="Y115" s="440"/>
      <c r="Z115" s="1895"/>
      <c r="AA115" s="440"/>
      <c r="AB115" s="440"/>
      <c r="AC115" s="440"/>
      <c r="AD115" s="440"/>
      <c r="AE115" s="1895"/>
      <c r="AF115" s="440"/>
      <c r="AG115" s="440"/>
      <c r="AH115" s="440"/>
      <c r="AI115" s="440"/>
      <c r="AJ115" s="1895"/>
      <c r="AK115" s="440"/>
      <c r="AL115" s="440"/>
      <c r="AM115" s="440"/>
      <c r="AN115" s="440"/>
      <c r="AO115" s="1895"/>
      <c r="AP115" s="440"/>
      <c r="AQ115" s="440"/>
      <c r="AR115" s="440"/>
      <c r="AS115" s="440"/>
      <c r="AT115" s="1895"/>
      <c r="AU115" s="440"/>
      <c r="AV115" s="440"/>
      <c r="AW115" s="440"/>
      <c r="AX115" s="440"/>
      <c r="AY115" s="1895"/>
      <c r="AZ115" s="441"/>
      <c r="BA115" s="441"/>
      <c r="BB115" s="441"/>
      <c r="BC115" s="441"/>
      <c r="BD115" s="1895"/>
      <c r="BE115" s="441"/>
      <c r="BF115" s="441"/>
      <c r="BG115" s="441"/>
      <c r="BH115" s="443"/>
      <c r="BI115" s="1895"/>
      <c r="BJ115" s="441"/>
      <c r="BK115" s="441"/>
      <c r="BL115" s="441"/>
      <c r="BM115" s="443"/>
      <c r="BN115" s="1895"/>
      <c r="BO115" s="441"/>
      <c r="BP115" s="441"/>
      <c r="BQ115" s="441"/>
      <c r="BR115" s="443"/>
      <c r="BS115" s="1895"/>
      <c r="BT115" s="441"/>
      <c r="BU115" s="441"/>
      <c r="BV115" s="441"/>
      <c r="BW115" s="443"/>
      <c r="BX115" s="1895"/>
      <c r="BY115" s="441"/>
      <c r="BZ115" s="441"/>
      <c r="CA115" s="441"/>
      <c r="CB115" s="443"/>
      <c r="CC115" s="1895"/>
      <c r="CD115" s="441"/>
      <c r="CE115" s="441"/>
      <c r="CF115" s="441"/>
      <c r="CG115" s="443"/>
      <c r="CH115" s="1895"/>
      <c r="CI115" s="441"/>
      <c r="CJ115" s="441"/>
      <c r="CK115" s="441"/>
      <c r="CL115" s="441"/>
      <c r="CM115" s="1895"/>
      <c r="CN115" s="441"/>
      <c r="CO115" s="441"/>
      <c r="CP115" s="441"/>
      <c r="CQ115" s="441"/>
      <c r="CR115" s="1895"/>
      <c r="CS115" s="441">
        <f t="shared" si="334"/>
        <v>-0.16410851262862491</v>
      </c>
      <c r="CT115" s="441">
        <f t="shared" si="334"/>
        <v>-0.13096713728572718</v>
      </c>
      <c r="CU115" s="441">
        <f t="shared" si="334"/>
        <v>-0.12932867761798905</v>
      </c>
      <c r="CV115" s="441">
        <f t="shared" si="334"/>
        <v>-0.15006026482523205</v>
      </c>
      <c r="CW115" s="1895">
        <f t="shared" si="334"/>
        <v>-0.14364998353042535</v>
      </c>
      <c r="CX115" s="441">
        <f>CS108/CX108-1</f>
        <v>-0.13326760545108995</v>
      </c>
      <c r="CY115" s="441">
        <f t="shared" si="335"/>
        <v>-5.7725930911201595E-2</v>
      </c>
      <c r="CZ115" s="441">
        <f t="shared" si="335"/>
        <v>3.7348230995537746E-2</v>
      </c>
      <c r="DA115" s="441">
        <f t="shared" si="335"/>
        <v>4.9870157684791083E-2</v>
      </c>
      <c r="DB115" s="1895">
        <f t="shared" si="335"/>
        <v>-2.9238759188721986E-2</v>
      </c>
      <c r="DC115" s="441">
        <f t="shared" si="335"/>
        <v>8.8966664429932951E-2</v>
      </c>
      <c r="DD115" s="441">
        <f t="shared" si="335"/>
        <v>-1.129438273452199E-2</v>
      </c>
      <c r="DE115" s="441">
        <f t="shared" si="335"/>
        <v>-6.649236550502502E-2</v>
      </c>
      <c r="DF115" s="441">
        <f t="shared" si="335"/>
        <v>-5.7123384491114537E-2</v>
      </c>
      <c r="DG115" s="1895">
        <f t="shared" si="335"/>
        <v>-1.2279778517133577E-2</v>
      </c>
      <c r="DH115" s="441">
        <f t="shared" si="314"/>
        <v>-2.4244752943365699E-2</v>
      </c>
      <c r="DI115" s="441">
        <f t="shared" si="314"/>
        <v>-2.0406825957399954E-2</v>
      </c>
      <c r="DJ115" s="441">
        <f t="shared" si="314"/>
        <v>-1.3591425525251499E-2</v>
      </c>
      <c r="DK115" s="441">
        <f t="shared" si="314"/>
        <v>1.5833074064323549E-2</v>
      </c>
      <c r="DL115" s="1895">
        <f t="shared" si="314"/>
        <v>-1.0553341054278187E-2</v>
      </c>
      <c r="DM115" s="441">
        <f t="shared" si="315"/>
        <v>1.0840391605663191E-2</v>
      </c>
      <c r="DN115" s="441">
        <f t="shared" si="315"/>
        <v>-0.17183545930753985</v>
      </c>
      <c r="DO115" s="441">
        <f t="shared" si="315"/>
        <v>-0.12987301133487028</v>
      </c>
      <c r="DP115" s="441">
        <f t="shared" si="316"/>
        <v>-7.8375674504706727E-2</v>
      </c>
      <c r="DQ115" s="1895">
        <f t="shared" si="316"/>
        <v>-9.7286815998090526E-2</v>
      </c>
      <c r="DR115" s="441">
        <f t="shared" si="317"/>
        <v>-6.4045696624103199E-2</v>
      </c>
      <c r="DS115" s="441">
        <f t="shared" si="317"/>
        <v>0.15488000580550554</v>
      </c>
      <c r="DT115" s="441">
        <f t="shared" si="317"/>
        <v>0.12155919635252266</v>
      </c>
      <c r="DU115" s="441">
        <f t="shared" si="317"/>
        <v>1.3054109355099097E-2</v>
      </c>
      <c r="DV115" s="1895">
        <f t="shared" si="317"/>
        <v>5.5451900433279189E-2</v>
      </c>
      <c r="DW115" s="441">
        <f t="shared" si="318"/>
        <v>-4.7116774642609327E-3</v>
      </c>
      <c r="DX115" s="441">
        <f t="shared" si="318"/>
        <v>1.1293470102577086E-2</v>
      </c>
      <c r="DY115" s="441">
        <f t="shared" si="318"/>
        <v>-1.2316965147293857E-2</v>
      </c>
      <c r="DZ115" s="441">
        <f t="shared" si="319"/>
        <v>5.8033030497483873E-2</v>
      </c>
      <c r="EA115" s="1895">
        <f t="shared" si="319"/>
        <v>1.2743195979966204E-2</v>
      </c>
      <c r="EB115" s="441">
        <f t="shared" si="320"/>
        <v>8.809390563183106E-2</v>
      </c>
      <c r="EC115" s="441">
        <f t="shared" si="320"/>
        <v>0.11577607432179704</v>
      </c>
      <c r="ED115" s="441">
        <f t="shared" si="320"/>
        <v>0.19089966172813311</v>
      </c>
      <c r="EE115" s="441">
        <f t="shared" si="320"/>
        <v>0.12037536301803975</v>
      </c>
      <c r="EF115" s="1895">
        <f t="shared" si="320"/>
        <v>0.1274474139030064</v>
      </c>
      <c r="EG115" s="441">
        <f t="shared" si="321"/>
        <v>0.10547721972306534</v>
      </c>
      <c r="EH115" s="441">
        <f t="shared" si="321"/>
        <v>5.9616609512390673E-2</v>
      </c>
      <c r="EI115" s="441">
        <f t="shared" si="321"/>
        <v>-0.10161214891420411</v>
      </c>
      <c r="EJ115" s="441">
        <f t="shared" si="322"/>
        <v>-0.12061246254465097</v>
      </c>
      <c r="EK115" s="1895">
        <f t="shared" si="322"/>
        <v>-2.0936948206508377E-2</v>
      </c>
      <c r="EL115" s="441">
        <f t="shared" si="323"/>
        <v>-0.17430623482225027</v>
      </c>
      <c r="EM115" s="441">
        <f t="shared" si="323"/>
        <v>-0.14806582868816387</v>
      </c>
      <c r="EN115" s="441">
        <f t="shared" si="323"/>
        <v>6.8177214560107835E-3</v>
      </c>
      <c r="EO115" s="441">
        <f t="shared" si="324"/>
        <v>8.7790770277680785E-2</v>
      </c>
      <c r="EP115" s="1895">
        <f t="shared" si="324"/>
        <v>-6.1754228824989044E-2</v>
      </c>
      <c r="EQ115" s="441">
        <f t="shared" si="325"/>
        <v>0.1198930930995965</v>
      </c>
      <c r="ER115" s="441">
        <f t="shared" si="326"/>
        <v>7.4197792202870483E-2</v>
      </c>
      <c r="ES115" s="441">
        <f t="shared" si="327"/>
        <v>1.5648037363276135E-2</v>
      </c>
      <c r="ET115" s="441">
        <f t="shared" si="328"/>
        <v>-2.8621597576007352E-3</v>
      </c>
      <c r="EU115" s="1895">
        <f t="shared" si="329"/>
        <v>5.1719190727035569E-2</v>
      </c>
      <c r="EV115" s="441">
        <f t="shared" si="330"/>
        <v>0</v>
      </c>
      <c r="EW115" s="441">
        <f t="shared" si="331"/>
        <v>0</v>
      </c>
      <c r="EX115" s="441">
        <f t="shared" si="332"/>
        <v>0</v>
      </c>
      <c r="EY115" s="441">
        <f t="shared" si="333"/>
        <v>0</v>
      </c>
      <c r="EZ115" s="1895">
        <f t="shared" si="333"/>
        <v>0</v>
      </c>
      <c r="FA115" s="1895"/>
      <c r="FB115" s="1895"/>
      <c r="FC115" s="1895"/>
      <c r="FD115" s="441"/>
      <c r="FF115" s="441"/>
    </row>
    <row r="116" spans="1:162" ht="11.25" customHeight="1">
      <c r="A116" s="1888" t="str">
        <f>A109</f>
        <v>Others (CAD/USD)</v>
      </c>
      <c r="B116" s="440"/>
      <c r="C116" s="440"/>
      <c r="D116" s="440"/>
      <c r="E116" s="440"/>
      <c r="F116" s="1895"/>
      <c r="G116" s="440"/>
      <c r="H116" s="440"/>
      <c r="I116" s="440"/>
      <c r="J116" s="440"/>
      <c r="K116" s="1895"/>
      <c r="L116" s="440"/>
      <c r="M116" s="440"/>
      <c r="N116" s="440"/>
      <c r="O116" s="440"/>
      <c r="P116" s="1895"/>
      <c r="Q116" s="440"/>
      <c r="R116" s="440"/>
      <c r="S116" s="440"/>
      <c r="T116" s="440"/>
      <c r="U116" s="1895"/>
      <c r="V116" s="440"/>
      <c r="W116" s="440"/>
      <c r="X116" s="440"/>
      <c r="Y116" s="440"/>
      <c r="Z116" s="1895"/>
      <c r="AA116" s="440"/>
      <c r="AB116" s="440"/>
      <c r="AC116" s="440"/>
      <c r="AD116" s="440"/>
      <c r="AE116" s="1895"/>
      <c r="AF116" s="440"/>
      <c r="AG116" s="440"/>
      <c r="AH116" s="440"/>
      <c r="AI116" s="440"/>
      <c r="AJ116" s="1895"/>
      <c r="AK116" s="440"/>
      <c r="AL116" s="440"/>
      <c r="AM116" s="440"/>
      <c r="AN116" s="440"/>
      <c r="AO116" s="1895"/>
      <c r="AP116" s="440"/>
      <c r="AQ116" s="440"/>
      <c r="AR116" s="440"/>
      <c r="AS116" s="440"/>
      <c r="AT116" s="1895"/>
      <c r="AU116" s="440"/>
      <c r="AV116" s="440"/>
      <c r="AW116" s="440"/>
      <c r="AX116" s="440"/>
      <c r="AY116" s="1895"/>
      <c r="AZ116" s="441"/>
      <c r="BA116" s="441"/>
      <c r="BB116" s="441"/>
      <c r="BC116" s="441"/>
      <c r="BD116" s="1895"/>
      <c r="BE116" s="441"/>
      <c r="BF116" s="441"/>
      <c r="BG116" s="441"/>
      <c r="BH116" s="443"/>
      <c r="BI116" s="1895"/>
      <c r="BJ116" s="441"/>
      <c r="BK116" s="441"/>
      <c r="BL116" s="441"/>
      <c r="BM116" s="443"/>
      <c r="BN116" s="1895"/>
      <c r="BO116" s="441"/>
      <c r="BP116" s="441"/>
      <c r="BQ116" s="441"/>
      <c r="BR116" s="443"/>
      <c r="BS116" s="1895"/>
      <c r="BT116" s="441"/>
      <c r="BU116" s="441"/>
      <c r="BV116" s="441"/>
      <c r="BW116" s="443"/>
      <c r="BX116" s="1895"/>
      <c r="BY116" s="441"/>
      <c r="BZ116" s="441"/>
      <c r="CA116" s="441"/>
      <c r="CB116" s="443"/>
      <c r="CC116" s="1895"/>
      <c r="CD116" s="441"/>
      <c r="CE116" s="441"/>
      <c r="CF116" s="441"/>
      <c r="CG116" s="443"/>
      <c r="CH116" s="1895"/>
      <c r="CI116" s="441"/>
      <c r="CJ116" s="441"/>
      <c r="CK116" s="441"/>
      <c r="CL116" s="441"/>
      <c r="CM116" s="1895"/>
      <c r="CN116" s="441"/>
      <c r="CO116" s="441"/>
      <c r="CP116" s="441"/>
      <c r="CQ116" s="441"/>
      <c r="CR116" s="1895"/>
      <c r="CS116" s="441">
        <f t="shared" si="334"/>
        <v>-0.10849957683472389</v>
      </c>
      <c r="CT116" s="441">
        <f t="shared" si="334"/>
        <v>-3.7151062013297653E-2</v>
      </c>
      <c r="CU116" s="441">
        <f t="shared" si="334"/>
        <v>-8.5511661844902553E-3</v>
      </c>
      <c r="CV116" s="441">
        <f t="shared" si="334"/>
        <v>-5.453681234833363E-3</v>
      </c>
      <c r="CW116" s="1895">
        <f t="shared" si="334"/>
        <v>-4.071302816901412E-2</v>
      </c>
      <c r="CX116" s="441">
        <f>CS109/CX109-1</f>
        <v>3.9801870662778072E-2</v>
      </c>
      <c r="CY116" s="441">
        <f t="shared" si="335"/>
        <v>-4.4921054582293674E-2</v>
      </c>
      <c r="CZ116" s="441">
        <f t="shared" si="335"/>
        <v>2.9873965089912025E-2</v>
      </c>
      <c r="DA116" s="441">
        <f t="shared" si="335"/>
        <v>4.4854536424706604E-2</v>
      </c>
      <c r="DB116" s="1895">
        <f t="shared" si="335"/>
        <v>1.6710776980809028E-2</v>
      </c>
      <c r="DC116" s="441">
        <f t="shared" si="335"/>
        <v>7.0117849647527208E-2</v>
      </c>
      <c r="DD116" s="441">
        <f t="shared" si="335"/>
        <v>4.5735252319061726E-2</v>
      </c>
      <c r="DE116" s="441">
        <f t="shared" si="335"/>
        <v>-3.1981418617116342E-2</v>
      </c>
      <c r="DF116" s="441">
        <f t="shared" si="335"/>
        <v>-2.7949284752394554E-2</v>
      </c>
      <c r="DG116" s="1895">
        <f t="shared" si="335"/>
        <v>1.3102077032182136E-2</v>
      </c>
      <c r="DH116" s="441">
        <f t="shared" si="314"/>
        <v>-6.9314368708369045E-2</v>
      </c>
      <c r="DI116" s="441">
        <f t="shared" si="314"/>
        <v>-3.8556132462176596E-2</v>
      </c>
      <c r="DJ116" s="441">
        <f t="shared" si="314"/>
        <v>-1.055635527944021E-2</v>
      </c>
      <c r="DK116" s="441">
        <f t="shared" si="314"/>
        <v>-8.3150653866506108E-3</v>
      </c>
      <c r="DL116" s="1895">
        <f t="shared" si="314"/>
        <v>-3.1780072865912889E-2</v>
      </c>
      <c r="DM116" s="441">
        <f t="shared" si="315"/>
        <v>7.5692587172631054E-3</v>
      </c>
      <c r="DN116" s="441">
        <f t="shared" si="315"/>
        <v>-3.6709981573216699E-2</v>
      </c>
      <c r="DO116" s="441">
        <f t="shared" si="315"/>
        <v>-1.094042712626464E-2</v>
      </c>
      <c r="DP116" s="441">
        <f t="shared" si="316"/>
        <v>1.1604147221309091E-3</v>
      </c>
      <c r="DQ116" s="1895">
        <f t="shared" si="316"/>
        <v>-1.009329782677526E-2</v>
      </c>
      <c r="DR116" s="441">
        <f t="shared" si="317"/>
        <v>3.6453974895397367E-2</v>
      </c>
      <c r="DS116" s="441">
        <f t="shared" si="317"/>
        <v>0.13204020263863692</v>
      </c>
      <c r="DT116" s="441">
        <f t="shared" si="317"/>
        <v>6.7913254554669455E-2</v>
      </c>
      <c r="DU116" s="441">
        <f t="shared" si="317"/>
        <v>4.7401379237456132E-2</v>
      </c>
      <c r="DV116" s="1895">
        <f t="shared" si="317"/>
        <v>7.0490201941670216E-2</v>
      </c>
      <c r="DW116" s="441">
        <f t="shared" si="318"/>
        <v>5.7864281956865327E-3</v>
      </c>
      <c r="DX116" s="441">
        <f t="shared" si="318"/>
        <v>-2.8605263157894689E-2</v>
      </c>
      <c r="DY116" s="441">
        <f t="shared" si="318"/>
        <v>-3.3738852518171103E-2</v>
      </c>
      <c r="DZ116" s="441">
        <f t="shared" si="319"/>
        <v>-7.3852930380521209E-2</v>
      </c>
      <c r="EA116" s="1895">
        <f t="shared" si="319"/>
        <v>-3.3362666443991995E-2</v>
      </c>
      <c r="EB116" s="441">
        <f t="shared" si="320"/>
        <v>-6.1396795615572541E-2</v>
      </c>
      <c r="EC116" s="441">
        <f t="shared" si="320"/>
        <v>-6.5006643373849649E-2</v>
      </c>
      <c r="ED116" s="441">
        <f t="shared" si="320"/>
        <v>-2.8592889334001059E-2</v>
      </c>
      <c r="EE116" s="441">
        <f t="shared" si="320"/>
        <v>-3.6086119035426689E-3</v>
      </c>
      <c r="EF116" s="1895">
        <f t="shared" si="320"/>
        <v>-3.9598524385880407E-2</v>
      </c>
      <c r="EG116" s="441">
        <f t="shared" si="321"/>
        <v>6.2101001068137762E-3</v>
      </c>
      <c r="EH116" s="441">
        <f t="shared" si="321"/>
        <v>-7.4244126410395461E-3</v>
      </c>
      <c r="EI116" s="441">
        <f t="shared" si="321"/>
        <v>-2.5354449840161997E-2</v>
      </c>
      <c r="EJ116" s="441">
        <f t="shared" si="322"/>
        <v>-1.0900759676835792E-2</v>
      </c>
      <c r="EK116" s="1895">
        <f t="shared" si="322"/>
        <v>-9.4410529982219549E-3</v>
      </c>
      <c r="EL116" s="441">
        <f t="shared" si="323"/>
        <v>-7.2120038722168434E-2</v>
      </c>
      <c r="EM116" s="441">
        <f t="shared" si="323"/>
        <v>-2.3351222420989859E-2</v>
      </c>
      <c r="EN116" s="441">
        <f t="shared" si="323"/>
        <v>-5.4847712656229675E-3</v>
      </c>
      <c r="EO116" s="441">
        <f t="shared" si="324"/>
        <v>-8.0618152241518359E-3</v>
      </c>
      <c r="EP116" s="1895">
        <f t="shared" si="324"/>
        <v>-2.7751042669233117E-2</v>
      </c>
      <c r="EQ116" s="441">
        <f t="shared" si="325"/>
        <v>3.7371781077397692E-2</v>
      </c>
      <c r="ER116" s="441">
        <f t="shared" si="326"/>
        <v>2.4388494369127489E-3</v>
      </c>
      <c r="ES116" s="441">
        <f t="shared" si="327"/>
        <v>-1.4776558353059244E-2</v>
      </c>
      <c r="ET116" s="441">
        <f t="shared" si="328"/>
        <v>-5.0211606054095803E-4</v>
      </c>
      <c r="EU116" s="1895">
        <f t="shared" si="329"/>
        <v>6.1329890251775598E-3</v>
      </c>
      <c r="EV116" s="441">
        <f t="shared" si="330"/>
        <v>0</v>
      </c>
      <c r="EW116" s="441">
        <f t="shared" si="331"/>
        <v>0</v>
      </c>
      <c r="EX116" s="441">
        <f t="shared" si="332"/>
        <v>0</v>
      </c>
      <c r="EY116" s="441">
        <f t="shared" si="333"/>
        <v>0</v>
      </c>
      <c r="EZ116" s="1895">
        <f t="shared" si="333"/>
        <v>0</v>
      </c>
      <c r="FA116" s="1895"/>
      <c r="FB116" s="1895"/>
      <c r="FC116" s="1895"/>
      <c r="FD116" s="441"/>
      <c r="FF116" s="441"/>
    </row>
    <row r="117" spans="1:162" ht="11.25" customHeight="1">
      <c r="A117" s="1888"/>
      <c r="B117" s="440"/>
      <c r="C117" s="440"/>
      <c r="D117" s="440"/>
      <c r="E117" s="440"/>
      <c r="F117" s="1895"/>
      <c r="G117" s="440"/>
      <c r="H117" s="440"/>
      <c r="I117" s="440"/>
      <c r="J117" s="440"/>
      <c r="K117" s="1895"/>
      <c r="L117" s="440"/>
      <c r="M117" s="440"/>
      <c r="N117" s="440"/>
      <c r="O117" s="440"/>
      <c r="P117" s="1895"/>
      <c r="Q117" s="440"/>
      <c r="R117" s="440"/>
      <c r="S117" s="440"/>
      <c r="T117" s="440"/>
      <c r="U117" s="1895"/>
      <c r="V117" s="440"/>
      <c r="W117" s="440"/>
      <c r="X117" s="440"/>
      <c r="Y117" s="440"/>
      <c r="Z117" s="1895"/>
      <c r="AA117" s="440"/>
      <c r="AB117" s="440"/>
      <c r="AC117" s="440"/>
      <c r="AD117" s="440"/>
      <c r="AE117" s="1895"/>
      <c r="AF117" s="440"/>
      <c r="AG117" s="440"/>
      <c r="AH117" s="440"/>
      <c r="AI117" s="440"/>
      <c r="AJ117" s="1895"/>
      <c r="AK117" s="440"/>
      <c r="AL117" s="440"/>
      <c r="AM117" s="440"/>
      <c r="AN117" s="440"/>
      <c r="AO117" s="1895"/>
      <c r="AP117" s="440"/>
      <c r="AQ117" s="440"/>
      <c r="AR117" s="440"/>
      <c r="AS117" s="440"/>
      <c r="AT117" s="1895"/>
      <c r="AU117" s="440"/>
      <c r="AV117" s="440"/>
      <c r="AW117" s="440"/>
      <c r="AX117" s="440"/>
      <c r="AY117" s="1895"/>
      <c r="AZ117" s="1913"/>
      <c r="BA117" s="441"/>
      <c r="BB117" s="441"/>
      <c r="BC117" s="441"/>
      <c r="BD117" s="1895"/>
      <c r="BE117" s="1913"/>
      <c r="BF117" s="441"/>
      <c r="BG117" s="441"/>
      <c r="BH117" s="441"/>
      <c r="BI117" s="1895"/>
      <c r="BJ117" s="1913"/>
      <c r="BK117" s="441"/>
      <c r="BL117" s="441"/>
      <c r="BM117" s="443"/>
      <c r="BN117" s="1895"/>
      <c r="BO117" s="1913"/>
      <c r="BP117" s="441"/>
      <c r="BQ117" s="441"/>
      <c r="BR117" s="441"/>
      <c r="BS117" s="1895"/>
      <c r="BT117" s="1913"/>
      <c r="BU117" s="441"/>
      <c r="BV117" s="441"/>
      <c r="BW117" s="443"/>
      <c r="BX117" s="1895"/>
      <c r="BY117" s="1913"/>
      <c r="BZ117" s="441"/>
      <c r="CA117" s="441"/>
      <c r="CB117" s="443"/>
      <c r="CC117" s="1895"/>
      <c r="CD117" s="1913"/>
      <c r="CE117" s="441"/>
      <c r="CF117" s="441"/>
      <c r="CG117" s="443"/>
      <c r="CH117" s="1895"/>
      <c r="CI117" s="441"/>
      <c r="CJ117" s="441"/>
      <c r="CK117" s="441"/>
      <c r="CL117" s="443"/>
      <c r="CM117" s="1895"/>
      <c r="CN117" s="441"/>
      <c r="CO117" s="441"/>
      <c r="CP117" s="441"/>
      <c r="CQ117" s="443"/>
      <c r="CR117" s="1895"/>
      <c r="CS117" s="441"/>
      <c r="CT117" s="441"/>
      <c r="CU117" s="441"/>
      <c r="CV117" s="441"/>
      <c r="CW117" s="1895"/>
      <c r="CX117" s="441"/>
      <c r="CY117" s="441"/>
      <c r="CZ117" s="441"/>
      <c r="DA117" s="441"/>
      <c r="DB117" s="1895"/>
      <c r="DC117" s="441"/>
      <c r="DD117" s="441"/>
      <c r="DE117" s="441"/>
      <c r="DF117" s="441"/>
      <c r="DG117" s="1895"/>
      <c r="DH117" s="441"/>
      <c r="DI117" s="441"/>
      <c r="DJ117" s="441"/>
      <c r="DK117" s="441"/>
      <c r="DL117" s="1895"/>
      <c r="DM117" s="441"/>
      <c r="DN117" s="441"/>
      <c r="DO117" s="441"/>
      <c r="DP117" s="441"/>
      <c r="DQ117" s="1895"/>
      <c r="DR117" s="441"/>
      <c r="DS117" s="441"/>
      <c r="DT117" s="441"/>
      <c r="DU117" s="441"/>
      <c r="DV117" s="1895"/>
      <c r="DW117" s="441"/>
      <c r="DX117" s="441"/>
      <c r="DY117" s="441"/>
      <c r="DZ117" s="441"/>
      <c r="EA117" s="1895"/>
      <c r="EB117" s="441"/>
      <c r="EC117" s="441"/>
      <c r="ED117" s="441"/>
      <c r="EE117" s="441"/>
      <c r="EF117" s="1895"/>
      <c r="EG117" s="441"/>
      <c r="EH117" s="441"/>
      <c r="EI117" s="441"/>
      <c r="EJ117" s="441"/>
      <c r="EK117" s="1895"/>
      <c r="EL117" s="441"/>
      <c r="EM117" s="441"/>
      <c r="EN117" s="441"/>
      <c r="EO117" s="441"/>
      <c r="EP117" s="1895"/>
      <c r="EQ117" s="441"/>
      <c r="ER117" s="441"/>
      <c r="ES117" s="441"/>
      <c r="ET117" s="441"/>
      <c r="EU117" s="1895"/>
      <c r="EV117" s="441"/>
      <c r="EW117" s="441"/>
      <c r="EX117" s="441"/>
      <c r="EY117" s="441"/>
      <c r="EZ117" s="1895"/>
      <c r="FA117" s="1895"/>
      <c r="FB117" s="1895"/>
      <c r="FC117" s="1895"/>
      <c r="FD117" s="441"/>
      <c r="FF117" s="441"/>
    </row>
    <row r="118" spans="1:162" s="476" customFormat="1" ht="11.25" customHeight="1">
      <c r="A118" s="3202" t="s">
        <v>351</v>
      </c>
      <c r="B118" s="3203"/>
      <c r="C118" s="3203"/>
      <c r="D118" s="3203"/>
      <c r="E118" s="3203"/>
      <c r="F118" s="3204"/>
      <c r="G118" s="3203"/>
      <c r="H118" s="3203"/>
      <c r="I118" s="3203"/>
      <c r="J118" s="3203"/>
      <c r="K118" s="3204"/>
      <c r="L118" s="3203"/>
      <c r="M118" s="3203"/>
      <c r="N118" s="3203"/>
      <c r="O118" s="3203"/>
      <c r="P118" s="3204"/>
      <c r="Q118" s="3203"/>
      <c r="R118" s="3203"/>
      <c r="S118" s="3203"/>
      <c r="T118" s="3203"/>
      <c r="U118" s="3204"/>
      <c r="V118" s="3203"/>
      <c r="W118" s="3203"/>
      <c r="X118" s="3203"/>
      <c r="Y118" s="3203"/>
      <c r="Z118" s="3204"/>
      <c r="AA118" s="3203"/>
      <c r="AB118" s="3203"/>
      <c r="AC118" s="3203"/>
      <c r="AD118" s="3203"/>
      <c r="AE118" s="3204"/>
      <c r="AF118" s="3203"/>
      <c r="AG118" s="3203"/>
      <c r="AH118" s="3203"/>
      <c r="AI118" s="3203"/>
      <c r="AJ118" s="3204"/>
      <c r="AK118" s="3203"/>
      <c r="AL118" s="3203"/>
      <c r="AM118" s="3203"/>
      <c r="AN118" s="3203"/>
      <c r="AO118" s="3204"/>
      <c r="AP118" s="3203"/>
      <c r="AQ118" s="3203"/>
      <c r="AR118" s="3203"/>
      <c r="AS118" s="3203"/>
      <c r="AT118" s="3204"/>
      <c r="AU118" s="3203"/>
      <c r="AV118" s="3203"/>
      <c r="AW118" s="3203"/>
      <c r="AX118" s="3203"/>
      <c r="AY118" s="3204"/>
      <c r="AZ118" s="3205"/>
      <c r="BA118" s="3206"/>
      <c r="BB118" s="3206"/>
      <c r="BC118" s="3206"/>
      <c r="BD118" s="3204"/>
      <c r="BE118" s="3205"/>
      <c r="BF118" s="3206"/>
      <c r="BG118" s="3206"/>
      <c r="BH118" s="3206"/>
      <c r="BI118" s="3204"/>
      <c r="BJ118" s="3205"/>
      <c r="BK118" s="3206"/>
      <c r="BL118" s="3206"/>
      <c r="BM118" s="3207"/>
      <c r="BN118" s="3204"/>
      <c r="BO118" s="3205"/>
      <c r="BP118" s="3206"/>
      <c r="BQ118" s="3206"/>
      <c r="BR118" s="3206"/>
      <c r="BS118" s="3204"/>
      <c r="BT118" s="3205"/>
      <c r="BU118" s="3206"/>
      <c r="BV118" s="3206"/>
      <c r="BW118" s="3207"/>
      <c r="BX118" s="3204"/>
      <c r="BY118" s="3205"/>
      <c r="BZ118" s="3206"/>
      <c r="CA118" s="3206"/>
      <c r="CB118" s="3207"/>
      <c r="CC118" s="3204"/>
      <c r="CD118" s="3205"/>
      <c r="CE118" s="3206"/>
      <c r="CF118" s="3206"/>
      <c r="CG118" s="3207"/>
      <c r="CH118" s="3204"/>
      <c r="CI118" s="3205"/>
      <c r="CJ118" s="3206"/>
      <c r="CK118" s="3206"/>
      <c r="CL118" s="3207"/>
      <c r="CM118" s="3204"/>
      <c r="CN118" s="3205"/>
      <c r="CO118" s="3206"/>
      <c r="CP118" s="3206"/>
      <c r="CQ118" s="3207"/>
      <c r="CR118" s="3204"/>
      <c r="CS118" s="3205">
        <f>SUMPRODUCT(CS97:CS101,CS112:CS116)</f>
        <v>-0.19919506688107519</v>
      </c>
      <c r="CT118" s="3206">
        <f t="shared" ref="CT118:DG118" si="336">SUMPRODUCT(CT97:CT101,CT112:CT116)</f>
        <v>-9.6391811045785661E-2</v>
      </c>
      <c r="CU118" s="3206">
        <f t="shared" si="336"/>
        <v>-3.0530528967488299E-2</v>
      </c>
      <c r="CV118" s="3207">
        <f t="shared" si="336"/>
        <v>1.1656180121915334E-2</v>
      </c>
      <c r="CW118" s="3204">
        <f t="shared" si="336"/>
        <v>-8.39303542615214E-2</v>
      </c>
      <c r="CX118" s="3205">
        <f t="shared" si="336"/>
        <v>6.3964096888470282E-2</v>
      </c>
      <c r="CY118" s="3206">
        <f t="shared" si="336"/>
        <v>4.2453596352135161E-3</v>
      </c>
      <c r="CZ118" s="3206">
        <f t="shared" si="336"/>
        <v>2.0705757803641617E-2</v>
      </c>
      <c r="DA118" s="3207">
        <f t="shared" si="336"/>
        <v>2.0637385978778296E-2</v>
      </c>
      <c r="DB118" s="3204">
        <f t="shared" si="336"/>
        <v>2.767886438316031E-2</v>
      </c>
      <c r="DC118" s="3205">
        <f t="shared" si="336"/>
        <v>1.1363830234206179E-2</v>
      </c>
      <c r="DD118" s="3206">
        <f t="shared" si="336"/>
        <v>-2.2798193461598362E-2</v>
      </c>
      <c r="DE118" s="3206">
        <f t="shared" si="336"/>
        <v>-8.4239231134597303E-2</v>
      </c>
      <c r="DF118" s="3207">
        <f t="shared" si="336"/>
        <v>-8.7548276550244886E-2</v>
      </c>
      <c r="DG118" s="3204">
        <f t="shared" si="336"/>
        <v>-5.4854476797027769E-2</v>
      </c>
      <c r="DH118" s="3205">
        <f t="shared" ref="DH118:DV118" si="337">SUMPRODUCT(DH97:DH101,DH112:DH116)</f>
        <v>-9.2802678863380478E-2</v>
      </c>
      <c r="DI118" s="3206">
        <f t="shared" si="337"/>
        <v>-6.6347152100785678E-2</v>
      </c>
      <c r="DJ118" s="3206">
        <f t="shared" si="337"/>
        <v>-2.6760277284280317E-2</v>
      </c>
      <c r="DK118" s="3207">
        <f t="shared" si="337"/>
        <v>-3.3402766109070302E-2</v>
      </c>
      <c r="DL118" s="3204">
        <f t="shared" si="337"/>
        <v>-5.4497483701689733E-2</v>
      </c>
      <c r="DM118" s="3205">
        <f t="shared" si="337"/>
        <v>-4.2472033532798464E-2</v>
      </c>
      <c r="DN118" s="3206">
        <f>SUMPRODUCT(DN97:DN101,DN112:DN116)</f>
        <v>-0.13898255001445367</v>
      </c>
      <c r="DO118" s="3206">
        <f t="shared" si="337"/>
        <v>-0.11877035729538754</v>
      </c>
      <c r="DP118" s="3207">
        <f t="shared" si="337"/>
        <v>-9.5504348967342986E-2</v>
      </c>
      <c r="DQ118" s="3204">
        <f t="shared" si="337"/>
        <v>-0.10160233797389301</v>
      </c>
      <c r="DR118" s="3205">
        <f>SUMPRODUCT(DR97:DR101,DR112:DR116)</f>
        <v>-6.6345429866111749E-2</v>
      </c>
      <c r="DS118" s="3206">
        <f t="shared" si="337"/>
        <v>3.4264669841343048E-2</v>
      </c>
      <c r="DT118" s="3206">
        <f>SUMPRODUCT(DT97:DT101,DT112:DT116)</f>
        <v>3.8957934447964485E-2</v>
      </c>
      <c r="DU118" s="3207">
        <f t="shared" si="337"/>
        <v>1.2480397759402729E-2</v>
      </c>
      <c r="DV118" s="3204">
        <f t="shared" si="337"/>
        <v>8.6610764749016009E-4</v>
      </c>
      <c r="DW118" s="3205">
        <f>SUMPRODUCT(DW97:DW101,DW112:DW116)</f>
        <v>-2.1104938375162887E-2</v>
      </c>
      <c r="DX118" s="3206">
        <f>SUMPRODUCT(DX97:DX101,DX112:DX116)</f>
        <v>4.4565441225855821E-3</v>
      </c>
      <c r="DY118" s="3206">
        <f>SUMPRODUCT(DY97:DY101,DY112:DY116)</f>
        <v>-3.9283860820388546E-2</v>
      </c>
      <c r="DZ118" s="3207">
        <f t="shared" ref="DZ118:EF118" si="338">SUMPRODUCT(DZ97:DZ101,DZ112:DZ116)</f>
        <v>-2.2174652586427875E-2</v>
      </c>
      <c r="EA118" s="3204">
        <f t="shared" si="338"/>
        <v>-2.4731529431409011E-2</v>
      </c>
      <c r="EB118" s="3205">
        <f t="shared" si="338"/>
        <v>-2.6074695554107925E-2</v>
      </c>
      <c r="EC118" s="3206">
        <f>SUMPRODUCT(EC97:EC101,EC112:EC116)</f>
        <v>-4.8902846347940163E-2</v>
      </c>
      <c r="ED118" s="3206">
        <f>SUMPRODUCT(ED97:ED101,ED112:ED116)</f>
        <v>-2.3156269506459305E-2</v>
      </c>
      <c r="EE118" s="3207">
        <f t="shared" ref="EE118" si="339">SUMPRODUCT(EE97:EE101,EE112:EE116)</f>
        <v>-3.3101014846378771E-2</v>
      </c>
      <c r="EF118" s="3204">
        <f t="shared" si="338"/>
        <v>-3.2802174070888451E-2</v>
      </c>
      <c r="EG118" s="3205">
        <f t="shared" ref="EG118:EP118" si="340">SUMPRODUCT(EG97:EG101,EG112:EG116)</f>
        <v>-5.6229978593409544E-2</v>
      </c>
      <c r="EH118" s="3206">
        <f>SUMPRODUCT(EH97:EH101,EH112:EH116)</f>
        <v>-9.5662590246023887E-2</v>
      </c>
      <c r="EI118" s="3206">
        <f>SUMPRODUCT(EI97:EI101,EI112:EI116)</f>
        <v>-0.16193622953111736</v>
      </c>
      <c r="EJ118" s="3207">
        <f t="shared" ref="EJ118" si="341">SUMPRODUCT(EJ97:EJ101,EJ112:EJ116)</f>
        <v>-0.14844485329937837</v>
      </c>
      <c r="EK118" s="3204">
        <f t="shared" si="340"/>
        <v>-0.11795225073227651</v>
      </c>
      <c r="EL118" s="3205">
        <f t="shared" si="340"/>
        <v>-0.14321060325778684</v>
      </c>
      <c r="EM118" s="3206">
        <f t="shared" si="340"/>
        <v>-9.2521032658735819E-2</v>
      </c>
      <c r="EN118" s="3206">
        <f t="shared" si="340"/>
        <v>-2.5485085425899483E-2</v>
      </c>
      <c r="EO118" s="3207">
        <f t="shared" si="340"/>
        <v>8.599139375275941E-4</v>
      </c>
      <c r="EP118" s="3204">
        <f t="shared" si="340"/>
        <v>-6.797670940481991E-2</v>
      </c>
      <c r="EQ118" s="3205">
        <f t="shared" ref="EQ118:EU118" si="342">SUMPRODUCT(EQ97:EQ101,EQ112:EQ116)</f>
        <v>4.114842341754682E-2</v>
      </c>
      <c r="ER118" s="3206">
        <f t="shared" si="342"/>
        <v>1.0991819540353722E-2</v>
      </c>
      <c r="ES118" s="3206">
        <f t="shared" si="342"/>
        <v>-4.5424452123967651E-3</v>
      </c>
      <c r="ET118" s="3207">
        <f t="shared" si="342"/>
        <v>-3.1503921810324413E-3</v>
      </c>
      <c r="EU118" s="3204">
        <f t="shared" si="342"/>
        <v>1.1111851391117844E-2</v>
      </c>
      <c r="EV118" s="3205">
        <f t="shared" ref="EV118:EZ118" si="343">SUMPRODUCT(EV97:EV101,EV112:EV116)</f>
        <v>0</v>
      </c>
      <c r="EW118" s="3206">
        <f t="shared" si="343"/>
        <v>0</v>
      </c>
      <c r="EX118" s="3206">
        <f t="shared" si="343"/>
        <v>0</v>
      </c>
      <c r="EY118" s="3207">
        <f t="shared" si="343"/>
        <v>0</v>
      </c>
      <c r="EZ118" s="3204">
        <f t="shared" si="343"/>
        <v>0</v>
      </c>
      <c r="FA118" s="3204"/>
      <c r="FB118" s="3204"/>
      <c r="FC118" s="3204"/>
      <c r="FD118"/>
      <c r="FF118"/>
    </row>
    <row r="119" spans="1:162" ht="11.25" customHeight="1">
      <c r="A119" s="1888" t="s">
        <v>352</v>
      </c>
      <c r="B119" s="421"/>
      <c r="C119" s="421"/>
      <c r="D119" s="421"/>
      <c r="E119" s="421"/>
      <c r="F119" s="1914"/>
      <c r="G119" s="421"/>
      <c r="H119" s="421"/>
      <c r="I119" s="421"/>
      <c r="J119" s="421"/>
      <c r="K119" s="1914"/>
      <c r="L119" s="421"/>
      <c r="M119" s="421"/>
      <c r="N119" s="421"/>
      <c r="O119" s="421"/>
      <c r="P119" s="1914"/>
      <c r="Q119" s="421"/>
      <c r="R119" s="421"/>
      <c r="S119" s="421"/>
      <c r="T119" s="421"/>
      <c r="U119" s="1914"/>
      <c r="V119" s="421"/>
      <c r="W119" s="421"/>
      <c r="X119" s="421"/>
      <c r="Y119" s="421"/>
      <c r="Z119" s="1914"/>
      <c r="AA119" s="421"/>
      <c r="AB119" s="421"/>
      <c r="AC119" s="421"/>
      <c r="AD119" s="421"/>
      <c r="AE119" s="1914"/>
      <c r="AF119" s="421"/>
      <c r="AG119" s="421"/>
      <c r="AH119" s="421"/>
      <c r="AI119" s="421"/>
      <c r="AJ119" s="1914"/>
      <c r="AK119" s="421"/>
      <c r="AL119" s="421"/>
      <c r="AM119" s="421"/>
      <c r="AN119" s="421"/>
      <c r="AO119" s="1914"/>
      <c r="AP119" s="421"/>
      <c r="AQ119" s="421"/>
      <c r="AR119" s="421"/>
      <c r="AS119" s="421"/>
      <c r="AT119" s="1914"/>
      <c r="AU119" s="421"/>
      <c r="AV119" s="421"/>
      <c r="AW119" s="421"/>
      <c r="AX119" s="421"/>
      <c r="AY119" s="1914"/>
      <c r="AZ119" s="1915"/>
      <c r="BA119" s="450"/>
      <c r="BB119" s="450"/>
      <c r="BC119" s="450"/>
      <c r="BD119" s="1914"/>
      <c r="BE119" s="1915"/>
      <c r="BF119" s="450"/>
      <c r="BG119" s="450"/>
      <c r="BH119" s="450"/>
      <c r="BI119" s="1914"/>
      <c r="BJ119" s="1915"/>
      <c r="BK119" s="450"/>
      <c r="BL119" s="450"/>
      <c r="BM119" s="450"/>
      <c r="BN119" s="1914"/>
      <c r="BO119" s="1915"/>
      <c r="BP119" s="452"/>
      <c r="BQ119" s="452"/>
      <c r="BR119" s="452"/>
      <c r="BS119" s="1914"/>
      <c r="BT119" s="1915"/>
      <c r="BU119" s="450"/>
      <c r="BV119" s="450"/>
      <c r="BW119" s="1175"/>
      <c r="BX119" s="1914"/>
      <c r="BY119" s="1915"/>
      <c r="BZ119" s="450"/>
      <c r="CA119" s="450"/>
      <c r="CB119" s="1175"/>
      <c r="CC119" s="1914"/>
      <c r="CD119" s="1915"/>
      <c r="CE119" s="450"/>
      <c r="CF119" s="450"/>
      <c r="CG119" s="1175"/>
      <c r="CH119" s="1914"/>
      <c r="CI119" s="450"/>
      <c r="CJ119" s="450"/>
      <c r="CK119" s="450"/>
      <c r="CL119" s="1175"/>
      <c r="CM119" s="1914"/>
      <c r="CN119" s="450"/>
      <c r="CO119" s="450"/>
      <c r="CP119" s="450"/>
      <c r="CQ119" s="1175"/>
      <c r="CR119" s="1914"/>
      <c r="CS119" s="450"/>
      <c r="CT119" s="450"/>
      <c r="CU119" s="450"/>
      <c r="CV119" s="450"/>
      <c r="CW119" s="1914">
        <f t="shared" ref="CW119:DB119" si="344">+CW120/CW118</f>
        <v>0.82917991906459976</v>
      </c>
      <c r="CX119" s="450">
        <f t="shared" si="344"/>
        <v>1.0082079692339108</v>
      </c>
      <c r="CY119" s="450">
        <f t="shared" si="344"/>
        <v>1.3450467064415137</v>
      </c>
      <c r="CZ119" s="2627">
        <f t="shared" si="344"/>
        <v>0.8196405818280772</v>
      </c>
      <c r="DA119" s="2627">
        <f t="shared" si="344"/>
        <v>0.95772581301148163</v>
      </c>
      <c r="DB119" s="1914">
        <f t="shared" si="344"/>
        <v>0.89132191702513153</v>
      </c>
      <c r="DC119" s="2627">
        <f t="shared" ref="DC119:DM119" si="345">+DC120/DC118</f>
        <v>0.97661885230519774</v>
      </c>
      <c r="DD119" s="2627">
        <f t="shared" si="345"/>
        <v>1.0195337990017406</v>
      </c>
      <c r="DE119" s="2627">
        <f t="shared" si="345"/>
        <v>0.99965924642923287</v>
      </c>
      <c r="DF119" s="2627">
        <f t="shared" si="345"/>
        <v>0.99921179219200151</v>
      </c>
      <c r="DG119" s="1914">
        <f>AVERAGE(DC119:DF119)</f>
        <v>0.99875592248204326</v>
      </c>
      <c r="DH119" s="2627">
        <f t="shared" si="345"/>
        <v>0.94638418958554948</v>
      </c>
      <c r="DI119" s="2627">
        <f t="shared" si="345"/>
        <v>1.2015994826486405</v>
      </c>
      <c r="DJ119" s="2627">
        <f t="shared" si="345"/>
        <v>1.2051865145344192</v>
      </c>
      <c r="DK119" s="2627">
        <f t="shared" si="345"/>
        <v>1.0719082818043615</v>
      </c>
      <c r="DL119" s="1914">
        <f>AVERAGE(DH119:DK119)</f>
        <v>1.1062696171432427</v>
      </c>
      <c r="DM119" s="2627">
        <f t="shared" si="345"/>
        <v>1.0032449587261618</v>
      </c>
      <c r="DN119" s="2627">
        <f>+DN120/DN118</f>
        <v>0.83060870179824808</v>
      </c>
      <c r="DO119" s="2627">
        <f>+DO120/DO118</f>
        <v>0.95684531394011019</v>
      </c>
      <c r="DP119" s="2627">
        <f>+DP120/DP118</f>
        <v>1.0054877491260856</v>
      </c>
      <c r="DQ119" s="1914">
        <f>AVERAGE(DM119:DP119)</f>
        <v>0.94904668089765143</v>
      </c>
      <c r="DR119" s="2627">
        <f>+DR120/DR118</f>
        <v>0.92986821525532082</v>
      </c>
      <c r="DS119" s="2627">
        <f>+DS120/DS118</f>
        <v>1.0051269883210432</v>
      </c>
      <c r="DT119" s="2627">
        <f>+DT120/DT118</f>
        <v>0.84100792652554446</v>
      </c>
      <c r="DU119" s="2627">
        <f>+DU120/DU118</f>
        <v>0.8927141695775338</v>
      </c>
      <c r="DV119" s="1914">
        <f t="shared" ref="DV119:EG119" si="346">+DV120/DV118</f>
        <v>7.0160932789727672</v>
      </c>
      <c r="DW119" s="2627">
        <f t="shared" si="346"/>
        <v>0.97832380785612971</v>
      </c>
      <c r="DX119" s="2627">
        <f t="shared" si="346"/>
        <v>1.5618732033352083</v>
      </c>
      <c r="DY119" s="2627">
        <f t="shared" si="346"/>
        <v>0.97610926368628415</v>
      </c>
      <c r="DZ119" s="2627">
        <f t="shared" si="346"/>
        <v>1.9816547277212171</v>
      </c>
      <c r="EA119" s="1914">
        <f t="shared" si="346"/>
        <v>0.99889192388516834</v>
      </c>
      <c r="EB119" s="2627">
        <f t="shared" si="346"/>
        <v>1.5080473013611611</v>
      </c>
      <c r="EC119" s="2627">
        <f t="shared" si="346"/>
        <v>1.2990044611694145</v>
      </c>
      <c r="ED119" s="2627">
        <f t="shared" si="346"/>
        <v>0.98252714845735933</v>
      </c>
      <c r="EE119" s="2627">
        <f t="shared" si="346"/>
        <v>0.43149715444586273</v>
      </c>
      <c r="EF119" s="1914">
        <f t="shared" si="346"/>
        <v>1.0507907065712099</v>
      </c>
      <c r="EG119" s="2627">
        <f t="shared" si="346"/>
        <v>0.56257739504173854</v>
      </c>
      <c r="EH119" s="2627">
        <f t="shared" ref="EH119:EJ119" si="347">+EH120/EH118</f>
        <v>0.60810397963722906</v>
      </c>
      <c r="EI119" s="2627">
        <f t="shared" si="347"/>
        <v>0.63720874038177655</v>
      </c>
      <c r="EJ119" s="2627">
        <f t="shared" si="347"/>
        <v>0.60424309278904742</v>
      </c>
      <c r="EK119" s="1914">
        <f>+EK120/EK118</f>
        <v>0.61893376716031123</v>
      </c>
      <c r="EL119" s="2627">
        <f t="shared" ref="EL119:EM119" si="348">+EL120/EL118</f>
        <v>0.60899382409323455</v>
      </c>
      <c r="EM119" s="2627">
        <f t="shared" si="348"/>
        <v>0.62502716094400479</v>
      </c>
      <c r="EN119" s="453">
        <v>1</v>
      </c>
      <c r="EO119" s="453">
        <f>+EN119</f>
        <v>1</v>
      </c>
      <c r="EP119" s="1914">
        <f>AVERAGE(EL119:EO119)</f>
        <v>0.80850524625930986</v>
      </c>
      <c r="EQ119" s="453">
        <f>EO119</f>
        <v>1</v>
      </c>
      <c r="ER119" s="453">
        <f>EQ119</f>
        <v>1</v>
      </c>
      <c r="ES119" s="453">
        <f>+ER119</f>
        <v>1</v>
      </c>
      <c r="ET119" s="453">
        <f>+ES119</f>
        <v>1</v>
      </c>
      <c r="EU119" s="1914">
        <f>AVERAGE(EQ119:ET119)</f>
        <v>1</v>
      </c>
      <c r="EV119" s="453">
        <f>ET119</f>
        <v>1</v>
      </c>
      <c r="EW119" s="453">
        <f>EV119</f>
        <v>1</v>
      </c>
      <c r="EX119" s="453">
        <f>+EW119</f>
        <v>1</v>
      </c>
      <c r="EY119" s="453">
        <f>+EX119</f>
        <v>1</v>
      </c>
      <c r="EZ119" s="1914">
        <f>AVERAGE(EV119:EY119)</f>
        <v>1</v>
      </c>
      <c r="FA119" s="1914"/>
      <c r="FB119" s="1914"/>
      <c r="FC119" s="1914"/>
      <c r="FD119" s="453"/>
      <c r="FF119" s="453"/>
    </row>
    <row r="120" spans="1:162" ht="11.25" customHeight="1">
      <c r="A120" s="1916" t="s">
        <v>367</v>
      </c>
      <c r="B120" s="1205"/>
      <c r="C120" s="1205"/>
      <c r="D120" s="1205"/>
      <c r="E120" s="1205"/>
      <c r="F120" s="1917"/>
      <c r="G120" s="1205"/>
      <c r="H120" s="1205"/>
      <c r="I120" s="1205"/>
      <c r="J120" s="1205"/>
      <c r="K120" s="1917"/>
      <c r="L120" s="1205"/>
      <c r="M120" s="1205"/>
      <c r="N120" s="1205"/>
      <c r="O120" s="1205"/>
      <c r="P120" s="1917"/>
      <c r="Q120" s="1205"/>
      <c r="R120" s="1205"/>
      <c r="S120" s="1205"/>
      <c r="T120" s="1205"/>
      <c r="U120" s="1917"/>
      <c r="V120" s="1205"/>
      <c r="W120" s="1205"/>
      <c r="X120" s="1205"/>
      <c r="Y120" s="1205"/>
      <c r="Z120" s="1917"/>
      <c r="AA120" s="1205"/>
      <c r="AB120" s="1205"/>
      <c r="AC120" s="1205"/>
      <c r="AD120" s="1205"/>
      <c r="AE120" s="1917"/>
      <c r="AF120" s="1205"/>
      <c r="AG120" s="1205"/>
      <c r="AH120" s="1205"/>
      <c r="AI120" s="1205"/>
      <c r="AJ120" s="1917"/>
      <c r="AK120" s="1205"/>
      <c r="AL120" s="1205"/>
      <c r="AM120" s="1205"/>
      <c r="AN120" s="1205"/>
      <c r="AO120" s="1917"/>
      <c r="AP120" s="1205"/>
      <c r="AQ120" s="1205"/>
      <c r="AR120" s="1205"/>
      <c r="AS120" s="1205"/>
      <c r="AT120" s="1917"/>
      <c r="AU120" s="1205"/>
      <c r="AV120" s="1205"/>
      <c r="AW120" s="1205"/>
      <c r="AX120" s="1205"/>
      <c r="AY120" s="1917"/>
      <c r="AZ120" s="1205"/>
      <c r="BA120" s="1205"/>
      <c r="BB120" s="1205"/>
      <c r="BC120" s="1205"/>
      <c r="BD120" s="1917"/>
      <c r="BE120" s="1205"/>
      <c r="BF120" s="1205"/>
      <c r="BG120" s="1205"/>
      <c r="BH120" s="1205"/>
      <c r="BI120" s="1917"/>
      <c r="BJ120" s="1205"/>
      <c r="BK120" s="1205"/>
      <c r="BL120" s="1205"/>
      <c r="BM120" s="1205"/>
      <c r="BN120" s="1917"/>
      <c r="BO120" s="1918"/>
      <c r="BP120" s="500"/>
      <c r="BQ120" s="500"/>
      <c r="BR120" s="1176"/>
      <c r="BS120" s="1917"/>
      <c r="BT120" s="1918"/>
      <c r="BU120" s="500"/>
      <c r="BV120" s="500"/>
      <c r="BW120" s="1176"/>
      <c r="BX120" s="1917"/>
      <c r="BY120" s="1918"/>
      <c r="BZ120" s="500"/>
      <c r="CA120" s="500"/>
      <c r="CB120" s="1176"/>
      <c r="CC120" s="1917"/>
      <c r="CD120" s="1918"/>
      <c r="CE120" s="500"/>
      <c r="CF120" s="500"/>
      <c r="CG120" s="1176"/>
      <c r="CH120" s="1917"/>
      <c r="CI120" s="500"/>
      <c r="CJ120" s="500"/>
      <c r="CK120" s="500"/>
      <c r="CL120" s="1176"/>
      <c r="CM120" s="1917"/>
      <c r="CN120" s="500"/>
      <c r="CO120" s="500"/>
      <c r="CP120" s="500"/>
      <c r="CQ120" s="1176"/>
      <c r="CR120" s="1917"/>
      <c r="CS120" s="500"/>
      <c r="CT120" s="500"/>
      <c r="CU120" s="500"/>
      <c r="CV120" s="500"/>
      <c r="CW120" s="1917">
        <f>(1+'Revenue Drivers'!CW297)/(1+'Revenue Drivers'!CW302)-1</f>
        <v>-6.9593364353631504E-2</v>
      </c>
      <c r="CX120" s="500">
        <f>(1+'Revenue Drivers'!CX297)/(1+'Revenue Drivers'!CX302)-1</f>
        <v>6.4489112227805734E-2</v>
      </c>
      <c r="CY120" s="500">
        <f>(1+'Revenue Drivers'!CY297)/(1+'Revenue Drivers'!CY302)-1</f>
        <v>5.710206995003686E-3</v>
      </c>
      <c r="CZ120" s="500">
        <f>(1+'Revenue Drivers'!CZ297)/(1+'Revenue Drivers'!CZ302)-1</f>
        <v>1.6971279373368064E-2</v>
      </c>
      <c r="DA120" s="500">
        <f>(1+'Revenue Drivers'!DA297)/(1+'Revenue Drivers'!DA302)-1</f>
        <v>1.9764957264957195E-2</v>
      </c>
      <c r="DB120" s="1917">
        <f>(1+'Revenue Drivers'!DB297)/(1+'Revenue Drivers'!DB302)-1</f>
        <v>2.4670778463077081E-2</v>
      </c>
      <c r="DC120" s="500">
        <f>(1+'Revenue Drivers'!DC297)/(1+'Revenue Drivers'!DC302)-1</f>
        <v>1.1098130841121545E-2</v>
      </c>
      <c r="DD120" s="500">
        <f>(1+'Revenue Drivers'!DD297)/(1+'Revenue Drivers'!DD302)-1</f>
        <v>-2.3243528790280021E-2</v>
      </c>
      <c r="DE120" s="500">
        <f>(1+'Revenue Drivers'!DE297)/(1+'Revenue Drivers'!DE302)-1</f>
        <v>-8.4210526315789513E-2</v>
      </c>
      <c r="DF120" s="500">
        <f>(1+'Revenue Drivers'!DF297)/(1+'Revenue Drivers'!DF302)-1</f>
        <v>-8.7479270315091173E-2</v>
      </c>
      <c r="DG120" s="1917">
        <f>(1+'Revenue Drivers'!DG297)/(1+'Revenue Drivers'!DG302)-1</f>
        <v>-5.0424363454817711E-2</v>
      </c>
      <c r="DH120" s="500">
        <f>(1+'Revenue Drivers'!DH289)/(1+'Revenue Drivers'!DH302)-1</f>
        <v>-8.782698802748834E-2</v>
      </c>
      <c r="DI120" s="500">
        <f>(1+'Revenue Drivers'!DI289)/(1+'Revenue Drivers'!DI302)-1</f>
        <v>-7.9722703639514725E-2</v>
      </c>
      <c r="DJ120" s="500">
        <f>(1+'Revenue Drivers'!DJ289)/(1+'Revenue Drivers'!DJ302)-1</f>
        <v>-3.2251125308216388E-2</v>
      </c>
      <c r="DK120" s="500">
        <f>(1+'Revenue Drivers'!DK289)/(1+'Revenue Drivers'!DK302)-1</f>
        <v>-3.5804701627486502E-2</v>
      </c>
      <c r="DL120" s="1917">
        <f>(1+'Revenue Drivers'!DL289)/(1+'Revenue Drivers'!DL302)-1</f>
        <v>-5.6909937011027756E-2</v>
      </c>
      <c r="DM120" s="500">
        <f>(1+'Revenue Drivers'!DM289)/(1+'Revenue Drivers'!DM302)-1</f>
        <v>-4.2609853528628561E-2</v>
      </c>
      <c r="DN120" s="500">
        <f>(1+'Revenue Drivers'!DN289)/(1+'Revenue Drivers'!DN302)-1</f>
        <v>-0.11544011544011545</v>
      </c>
      <c r="DO120" s="500">
        <f>(1+'Revenue Drivers'!DO289)/(1+'Revenue Drivers'!DO302)-1</f>
        <v>-0.11364485981308414</v>
      </c>
      <c r="DP120" s="500">
        <f>(1+'Revenue Drivers'!DP289)/(1+'Revenue Drivers'!DP302)-1</f>
        <v>-9.6028452874925896E-2</v>
      </c>
      <c r="DQ120" s="1917">
        <f>(1+'Revenue Drivers'!DQ289)/(1+'Revenue Drivers'!DQ302)-1</f>
        <v>-9.2861959348810252E-2</v>
      </c>
      <c r="DR120" s="500">
        <f>(1+'Revenue Drivers'!DR289)/(1+'Revenue Drivers'!DR302)-1</f>
        <v>-6.1692506459948393E-2</v>
      </c>
      <c r="DS120" s="500">
        <f>(1+'Revenue Drivers'!DS289)/(1+'Revenue Drivers'!DS302)-1</f>
        <v>3.4440344403444012E-2</v>
      </c>
      <c r="DT120" s="500">
        <f>(1+'Revenue Drivers'!DT289)/(1+'Revenue Drivers'!DT302)-1</f>
        <v>3.2763931671800695E-2</v>
      </c>
      <c r="DU120" s="500">
        <f>(1+'Revenue Drivers'!DU289)/(1+'Revenue Drivers'!DU302)-1</f>
        <v>1.1141427921782521E-2</v>
      </c>
      <c r="DV120" s="1917">
        <f>(1+'Revenue Drivers'!DV289)/(1+'Revenue Drivers'!DV302)-1</f>
        <v>6.0766920444226269E-3</v>
      </c>
      <c r="DW120" s="500">
        <f>(1+'Revenue Drivers'!DW289)/(1+'Revenue Drivers'!DW302)-1</f>
        <v>-2.0647463675758315E-2</v>
      </c>
      <c r="DX120" s="500">
        <f>(1+'Revenue Drivers'!DX289)/(1+'Revenue Drivers'!DX302)-1</f>
        <v>6.9605568445474386E-3</v>
      </c>
      <c r="DY120" s="500">
        <f>(1+'Revenue Drivers'!DY289)/(1+'Revenue Drivers'!DY302)-1</f>
        <v>-3.8345340460143928E-2</v>
      </c>
      <c r="DZ120" s="500">
        <f>(1+'Revenue Drivers'!DZ289)/(1+'Revenue Drivers'!DZ302)-1</f>
        <v>-4.3942505133470311E-2</v>
      </c>
      <c r="EA120" s="1917">
        <f>(1+'Revenue Drivers'!EA289)/(1+'Revenue Drivers'!EA302)-1</f>
        <v>-2.470412501436281E-2</v>
      </c>
      <c r="EB120" s="500">
        <f>(1+'Revenue Drivers'!EB289)/(1+'Revenue Drivers'!EB302)-1</f>
        <v>-3.9321874264186318E-2</v>
      </c>
      <c r="EC120" s="500">
        <f>(1+'Revenue Drivers'!EC289)/(1+'Revenue Drivers'!EC302)-1</f>
        <v>-6.352501556985668E-2</v>
      </c>
      <c r="ED120" s="500">
        <f>(1+'Revenue Drivers'!ED289)/(1+'Revenue Drivers'!ED302)-1</f>
        <v>-2.2751663447091564E-2</v>
      </c>
      <c r="EE120" s="500">
        <f>(1+'Revenue Drivers'!EE289)/(1+'Revenue Drivers'!EE302)-1</f>
        <v>-1.4282993715482695E-2</v>
      </c>
      <c r="EF120" s="1917">
        <f>(1+'Revenue Drivers'!EF289)/(1+'Revenue Drivers'!EF302)-1</f>
        <v>-3.4468219669020694E-2</v>
      </c>
      <c r="EG120" s="500">
        <f>(1+'Revenue Drivers'!EG289)/(1+'Revenue Drivers'!EG302)-1</f>
        <v>-3.1633714880333064E-2</v>
      </c>
      <c r="EH120" s="500">
        <f>(1+'Revenue Drivers'!EH289)/(1+'Revenue Drivers'!EH302)-1</f>
        <v>-5.8172801831012699E-2</v>
      </c>
      <c r="EI120" s="500">
        <f>(1+'Revenue Drivers'!EI289)/(1+'Revenue Drivers'!EI302)-1</f>
        <v>-0.10318718084169753</v>
      </c>
      <c r="EJ120" s="500">
        <f>(1+'Revenue Drivers'!EJ289)/(1+'Revenue Drivers'!EJ302)-1</f>
        <v>-8.9696777266232819E-2</v>
      </c>
      <c r="EK120" s="1917">
        <f>(1+'Revenue Drivers'!EK289)/(1+'Revenue Drivers'!EK302)-1</f>
        <v>-7.3004630890765476E-2</v>
      </c>
      <c r="EL120" s="500">
        <f>(1+'Revenue Drivers'!EL289)/(1+'Revenue Drivers'!EL302)-1</f>
        <v>-8.7214372928658634E-2</v>
      </c>
      <c r="EM120" s="500">
        <f>(1+'Revenue Drivers'!EM289)/(1+'Revenue Drivers'!EM302)-1</f>
        <v>-5.78281583702972E-2</v>
      </c>
      <c r="EN120" s="500">
        <f>(1+'Revenue Drivers'!EN289)/(1+'Revenue Drivers'!EN302)-1</f>
        <v>-8.1766148814390593E-3</v>
      </c>
      <c r="EO120" s="500">
        <f>(1+'Revenue Drivers'!EO289)/(1+'Revenue Drivers'!EO302)-1</f>
        <v>8.5991393752760104E-4</v>
      </c>
      <c r="EP120" s="1917">
        <f>(1+'Revenue Drivers'!EP289)/(1+'Revenue Drivers'!EP302)-1</f>
        <v>-3.5981687394646911E-2</v>
      </c>
      <c r="EQ120" s="500">
        <f>(1+'Revenue Drivers'!EQ289)/(1+'Revenue Drivers'!EQ302)-1</f>
        <v>4.1148423417546764E-2</v>
      </c>
      <c r="ER120" s="500">
        <f>(1+'Revenue Drivers'!ER289)/(1+'Revenue Drivers'!ER302)-1</f>
        <v>1.0991819540353776E-2</v>
      </c>
      <c r="ES120" s="500">
        <f>(1+'Revenue Drivers'!ES289)/(1+'Revenue Drivers'!ES302)-1</f>
        <v>-4.5424452123967729E-3</v>
      </c>
      <c r="ET120" s="500">
        <f>(1+'Revenue Drivers'!ET289)/(1+'Revenue Drivers'!ET302)-1</f>
        <v>-3.1503921810324131E-3</v>
      </c>
      <c r="EU120" s="1917">
        <f>(1+'Revenue Drivers'!EZ289)/(1+'Revenue Drivers'!EZ302)-1</f>
        <v>0</v>
      </c>
      <c r="EV120" s="500"/>
      <c r="EW120" s="500"/>
      <c r="EX120" s="500"/>
      <c r="EY120" s="500"/>
      <c r="EZ120" s="1917">
        <f>(1+'Revenue Drivers'!FE289)/(1+'Revenue Drivers'!FE302)-1</f>
        <v>0</v>
      </c>
      <c r="FA120" s="1917">
        <f>(1+'Revenue Drivers'!EW289)/(1+'Revenue Drivers'!EW302)-1</f>
        <v>0</v>
      </c>
      <c r="FB120" s="1917">
        <f>(1+'Revenue Drivers'!EX289)/(1+'Revenue Drivers'!EX302)-1</f>
        <v>0</v>
      </c>
      <c r="FC120" s="1917">
        <f>(1+'Revenue Drivers'!EY289)/(1+'Revenue Drivers'!EY302)-1</f>
        <v>0</v>
      </c>
      <c r="FD120" s="500"/>
      <c r="FF120" s="500"/>
    </row>
    <row r="121" spans="1:162" ht="11.25" customHeight="1">
      <c r="A121" s="1922" t="s">
        <v>587</v>
      </c>
      <c r="B121" s="2156"/>
      <c r="C121" s="2156"/>
      <c r="D121" s="2156"/>
      <c r="E121" s="2156"/>
      <c r="F121" s="2162"/>
      <c r="G121" s="2156"/>
      <c r="H121" s="2156"/>
      <c r="I121" s="2156"/>
      <c r="J121" s="2156"/>
      <c r="K121" s="2162"/>
      <c r="L121" s="2156"/>
      <c r="M121" s="2156"/>
      <c r="N121" s="2156"/>
      <c r="O121" s="2156"/>
      <c r="P121" s="2162"/>
      <c r="Q121" s="2156"/>
      <c r="R121" s="2156"/>
      <c r="S121" s="2156"/>
      <c r="T121" s="2156"/>
      <c r="U121" s="2162"/>
      <c r="V121" s="2156"/>
      <c r="W121" s="2156"/>
      <c r="X121" s="2156"/>
      <c r="Y121" s="2156"/>
      <c r="Z121" s="2162"/>
      <c r="AA121" s="2156"/>
      <c r="AB121" s="2156"/>
      <c r="AC121" s="2156"/>
      <c r="AD121" s="2156"/>
      <c r="AE121" s="2162"/>
      <c r="AF121" s="2156"/>
      <c r="AG121" s="2156"/>
      <c r="AH121" s="2156"/>
      <c r="AI121" s="2156"/>
      <c r="AJ121" s="2162"/>
      <c r="AK121" s="2156"/>
      <c r="AL121" s="2156"/>
      <c r="AM121" s="2156"/>
      <c r="AN121" s="2156"/>
      <c r="AO121" s="2162"/>
      <c r="AP121" s="2156"/>
      <c r="AQ121" s="2156"/>
      <c r="AR121" s="2156"/>
      <c r="AS121" s="2156"/>
      <c r="AT121" s="2162"/>
      <c r="AU121" s="2156"/>
      <c r="AV121" s="2156"/>
      <c r="AW121" s="2156"/>
      <c r="AX121" s="2156"/>
      <c r="AY121" s="2162"/>
      <c r="AZ121" s="2156"/>
      <c r="BA121" s="2156"/>
      <c r="BB121" s="2156"/>
      <c r="BC121" s="2156"/>
      <c r="BD121" s="2162"/>
      <c r="BE121" s="2156"/>
      <c r="BF121" s="2156"/>
      <c r="BG121" s="2156"/>
      <c r="BH121" s="2156"/>
      <c r="BI121" s="2162"/>
      <c r="BJ121" s="2156"/>
      <c r="BK121" s="2156"/>
      <c r="BL121" s="2156"/>
      <c r="BM121" s="2156"/>
      <c r="BN121" s="2162"/>
      <c r="BO121" s="2163"/>
      <c r="BP121" s="2156"/>
      <c r="BQ121" s="2156"/>
      <c r="BR121" s="2156"/>
      <c r="BS121" s="2162"/>
      <c r="BT121" s="2163"/>
      <c r="BU121" s="2156"/>
      <c r="BV121" s="2156"/>
      <c r="BW121" s="2157"/>
      <c r="BX121" s="2162"/>
      <c r="BY121" s="2163"/>
      <c r="BZ121" s="2156"/>
      <c r="CA121" s="2156"/>
      <c r="CB121" s="2157"/>
      <c r="CC121" s="2162"/>
      <c r="CD121" s="2163"/>
      <c r="CE121" s="2156"/>
      <c r="CF121" s="2156"/>
      <c r="CG121" s="2157"/>
      <c r="CH121" s="2162"/>
      <c r="CI121" s="2156"/>
      <c r="CJ121" s="2156"/>
      <c r="CK121" s="2156"/>
      <c r="CL121" s="2157"/>
      <c r="CM121" s="2162"/>
      <c r="CN121" s="2156"/>
      <c r="CO121" s="2156"/>
      <c r="CP121" s="2156"/>
      <c r="CQ121" s="2157"/>
      <c r="CR121" s="2162"/>
      <c r="CS121" s="2156"/>
      <c r="CT121" s="2156"/>
      <c r="CU121" s="2156"/>
      <c r="CV121" s="2156"/>
      <c r="CW121" s="2162">
        <f>(CW120-CW118)*10000</f>
        <v>143.36989907889895</v>
      </c>
      <c r="CX121" s="2156">
        <f>(CX120-CX118)*10000</f>
        <v>5.2501533933545232</v>
      </c>
      <c r="CY121" s="2156">
        <f t="shared" ref="CY121:DF121" si="349">(CY120-CY118)*10000</f>
        <v>14.648473597901699</v>
      </c>
      <c r="CZ121" s="2156">
        <f t="shared" si="349"/>
        <v>-37.344784302735526</v>
      </c>
      <c r="DA121" s="2156">
        <f t="shared" si="349"/>
        <v>-8.7242871382110092</v>
      </c>
      <c r="DB121" s="2162">
        <f t="shared" si="349"/>
        <v>-30.08085920083229</v>
      </c>
      <c r="DC121" s="2156">
        <f>(DC120-DC118)*10000</f>
        <v>-2.6569939308463373</v>
      </c>
      <c r="DD121" s="2156">
        <f t="shared" si="349"/>
        <v>-4.4533532868165988</v>
      </c>
      <c r="DE121" s="2156">
        <f t="shared" si="349"/>
        <v>0.28704818807789856</v>
      </c>
      <c r="DF121" s="2156">
        <f t="shared" si="349"/>
        <v>0.69006235153712403</v>
      </c>
      <c r="DG121" s="2162">
        <f>(DG120-DG118)*10000</f>
        <v>44.301133422100584</v>
      </c>
      <c r="DH121" s="2156">
        <f>(DH120-DH118)*10000</f>
        <v>49.756908358921379</v>
      </c>
      <c r="DI121" s="2156">
        <f t="shared" ref="DI121:DQ121" si="350">(DI120-DI118)*10000</f>
        <v>-133.75551538729047</v>
      </c>
      <c r="DJ121" s="2156">
        <f t="shared" si="350"/>
        <v>-54.908480239360713</v>
      </c>
      <c r="DK121" s="2156">
        <f t="shared" si="350"/>
        <v>-24.019355184161999</v>
      </c>
      <c r="DL121" s="2162">
        <f t="shared" si="350"/>
        <v>-24.124533093380222</v>
      </c>
      <c r="DM121" s="2156">
        <f>(DM120-DM118)*10000</f>
        <v>-1.378199958300963</v>
      </c>
      <c r="DN121" s="2156">
        <f>(DN120-DN118)*10000</f>
        <v>235.42434574338216</v>
      </c>
      <c r="DO121" s="2156">
        <f>(DO120-DO118)*10000</f>
        <v>51.254974823033983</v>
      </c>
      <c r="DP121" s="2156">
        <f t="shared" si="350"/>
        <v>-5.2410390758290957</v>
      </c>
      <c r="DQ121" s="2162">
        <f t="shared" si="350"/>
        <v>87.403786250827565</v>
      </c>
      <c r="DR121" s="2156">
        <f t="shared" ref="DR121:EA121" si="351">(DR120-DR118)*10000</f>
        <v>46.529234061633559</v>
      </c>
      <c r="DS121" s="2156">
        <f t="shared" si="351"/>
        <v>1.7567456210096366</v>
      </c>
      <c r="DT121" s="2156">
        <f t="shared" si="351"/>
        <v>-61.9400277616379</v>
      </c>
      <c r="DU121" s="2156">
        <f t="shared" si="351"/>
        <v>-13.389698376202082</v>
      </c>
      <c r="DV121" s="2162">
        <f t="shared" si="351"/>
        <v>52.105843969324667</v>
      </c>
      <c r="DW121" s="2156">
        <f>(DW120-DW118)*10000</f>
        <v>4.5747469940457179</v>
      </c>
      <c r="DX121" s="2156">
        <f>(DX120-DX118)*10000</f>
        <v>25.040127219618565</v>
      </c>
      <c r="DY121" s="2156">
        <f>(DY120-DY118)*10000</f>
        <v>9.3852036024461718</v>
      </c>
      <c r="DZ121" s="2156">
        <f>(DZ120-DZ118)*10000</f>
        <v>-217.67852547042438</v>
      </c>
      <c r="EA121" s="2162">
        <f t="shared" si="351"/>
        <v>0.27404417046201363</v>
      </c>
      <c r="EB121" s="2156">
        <f t="shared" ref="EB121:FA121" si="352">(EB120-EB118)*10000</f>
        <v>-132.47178710078393</v>
      </c>
      <c r="EC121" s="2156">
        <f t="shared" si="352"/>
        <v>-146.22169221916516</v>
      </c>
      <c r="ED121" s="2156">
        <f>(ED120-ED118)*10000</f>
        <v>4.0460605936774172</v>
      </c>
      <c r="EE121" s="2156">
        <f>(EE120-EE118)*10000</f>
        <v>188.18021130896076</v>
      </c>
      <c r="EF121" s="2162">
        <f t="shared" si="352"/>
        <v>-16.660455981322432</v>
      </c>
      <c r="EG121" s="2156">
        <f t="shared" ref="EG121:EH121" si="353">(EG120-EG118)*10000</f>
        <v>245.96263713076479</v>
      </c>
      <c r="EH121" s="2156">
        <f t="shared" si="353"/>
        <v>374.89788415011191</v>
      </c>
      <c r="EI121" s="2156">
        <f t="shared" ref="EI121" si="354">(EI120-EI118)*10000</f>
        <v>587.49048689419828</v>
      </c>
      <c r="EJ121" s="2156">
        <f>(EJ120-EJ118)*10000</f>
        <v>587.48076033145549</v>
      </c>
      <c r="EK121" s="2162">
        <f t="shared" si="352"/>
        <v>449.47619841511033</v>
      </c>
      <c r="EL121" s="2156">
        <f t="shared" si="352"/>
        <v>559.96230329128207</v>
      </c>
      <c r="EM121" s="2156">
        <f t="shared" si="352"/>
        <v>346.92874288438617</v>
      </c>
      <c r="EN121" s="2156">
        <f t="shared" si="352"/>
        <v>173.08470544460425</v>
      </c>
      <c r="EO121" s="2156">
        <f t="shared" si="352"/>
        <v>6.9388939039072284E-14</v>
      </c>
      <c r="EP121" s="2162">
        <f t="shared" si="352"/>
        <v>319.95022010173</v>
      </c>
      <c r="EQ121" s="2156">
        <f t="shared" ref="EQ121:ET121" si="355">(EQ120-EQ118)*10000</f>
        <v>-5.5511151231257827E-13</v>
      </c>
      <c r="ER121" s="2156">
        <f t="shared" si="355"/>
        <v>5.377642775528102E-13</v>
      </c>
      <c r="ES121" s="2156">
        <f t="shared" si="355"/>
        <v>-7.8062556418956319E-14</v>
      </c>
      <c r="ET121" s="2156">
        <f t="shared" si="355"/>
        <v>2.8189256484623115E-13</v>
      </c>
      <c r="EU121" s="2162">
        <f t="shared" ref="EU121" si="356">(EU120-EU118)*10000</f>
        <v>-111.11851391117844</v>
      </c>
      <c r="EV121" s="2156">
        <f t="shared" ref="EV121:EZ121" si="357">(EV120-EV118)*10000</f>
        <v>0</v>
      </c>
      <c r="EW121" s="2156">
        <f t="shared" si="357"/>
        <v>0</v>
      </c>
      <c r="EX121" s="2156">
        <f t="shared" si="357"/>
        <v>0</v>
      </c>
      <c r="EY121" s="2156">
        <f t="shared" si="357"/>
        <v>0</v>
      </c>
      <c r="EZ121" s="2162">
        <f t="shared" si="357"/>
        <v>0</v>
      </c>
      <c r="FA121" s="2162">
        <f t="shared" si="352"/>
        <v>0</v>
      </c>
      <c r="FB121" s="2162">
        <f t="shared" ref="FB121:FC121" si="358">(FB120-FB118)*10000</f>
        <v>0</v>
      </c>
      <c r="FC121" s="2162">
        <f t="shared" si="358"/>
        <v>0</v>
      </c>
      <c r="FD121" s="500"/>
      <c r="FF121" s="500"/>
    </row>
    <row r="122" spans="1:162" ht="11.25" customHeight="1">
      <c r="A122" s="1916"/>
      <c r="B122" s="1205"/>
      <c r="C122" s="1205"/>
      <c r="D122" s="1205"/>
      <c r="E122" s="1205"/>
      <c r="F122" s="1917"/>
      <c r="G122" s="1205"/>
      <c r="H122" s="1205"/>
      <c r="I122" s="1205"/>
      <c r="J122" s="1205"/>
      <c r="K122" s="1917"/>
      <c r="L122" s="1205"/>
      <c r="M122" s="1205"/>
      <c r="N122" s="1205"/>
      <c r="O122" s="1205"/>
      <c r="P122" s="1917"/>
      <c r="Q122" s="1205"/>
      <c r="R122" s="1205"/>
      <c r="S122" s="1205"/>
      <c r="T122" s="1205"/>
      <c r="U122" s="1917"/>
      <c r="V122" s="1205"/>
      <c r="W122" s="1205"/>
      <c r="X122" s="1205"/>
      <c r="Y122" s="1205"/>
      <c r="Z122" s="1917"/>
      <c r="AA122" s="1205"/>
      <c r="AB122" s="1205"/>
      <c r="AC122" s="1205"/>
      <c r="AD122" s="1205"/>
      <c r="AE122" s="1917"/>
      <c r="AF122" s="1205"/>
      <c r="AG122" s="1205"/>
      <c r="AH122" s="1205"/>
      <c r="AI122" s="1205"/>
      <c r="AJ122" s="1917"/>
      <c r="AK122" s="1205"/>
      <c r="AL122" s="1205"/>
      <c r="AM122" s="1205"/>
      <c r="AN122" s="1205"/>
      <c r="AO122" s="1917"/>
      <c r="AP122" s="1205"/>
      <c r="AQ122" s="1205"/>
      <c r="AR122" s="1205"/>
      <c r="AS122" s="1205"/>
      <c r="AT122" s="1917"/>
      <c r="AU122" s="1205"/>
      <c r="AV122" s="1205"/>
      <c r="AW122" s="1205"/>
      <c r="AX122" s="1205"/>
      <c r="AY122" s="1917"/>
      <c r="AZ122" s="1205"/>
      <c r="BA122" s="1205"/>
      <c r="BB122" s="1205"/>
      <c r="BC122" s="1205"/>
      <c r="BD122" s="1917"/>
      <c r="BE122" s="1205"/>
      <c r="BF122" s="1205"/>
      <c r="BG122" s="1205"/>
      <c r="BH122" s="1205"/>
      <c r="BI122" s="1917"/>
      <c r="BJ122" s="1205"/>
      <c r="BK122" s="1205"/>
      <c r="BL122" s="1205"/>
      <c r="BM122" s="1205"/>
      <c r="BN122" s="1917"/>
      <c r="BO122" s="1919"/>
      <c r="BP122" s="497"/>
      <c r="BQ122" s="497"/>
      <c r="BR122" s="497"/>
      <c r="BS122" s="1917"/>
      <c r="BT122" s="1918"/>
      <c r="BU122" s="500"/>
      <c r="BV122" s="500"/>
      <c r="BW122" s="1176"/>
      <c r="BX122" s="1917"/>
      <c r="BY122" s="1918"/>
      <c r="BZ122" s="500"/>
      <c r="CA122" s="500"/>
      <c r="CB122" s="1176"/>
      <c r="CC122" s="1917"/>
      <c r="CD122" s="1918"/>
      <c r="CE122" s="500"/>
      <c r="CF122" s="500"/>
      <c r="CG122" s="1176"/>
      <c r="CH122" s="1917"/>
      <c r="CI122" s="500"/>
      <c r="CJ122" s="500"/>
      <c r="CK122" s="500"/>
      <c r="CL122" s="1176"/>
      <c r="CM122" s="1917"/>
      <c r="CN122" s="500"/>
      <c r="CO122" s="500"/>
      <c r="CP122" s="500"/>
      <c r="CQ122" s="1176"/>
      <c r="CR122" s="1917"/>
      <c r="CS122" s="500"/>
      <c r="CT122" s="500"/>
      <c r="CU122" s="500"/>
      <c r="CV122" s="500"/>
      <c r="CW122" s="1917"/>
      <c r="CX122" s="1918"/>
      <c r="CY122" s="500"/>
      <c r="CZ122" s="500"/>
      <c r="DA122" s="1176"/>
      <c r="DB122" s="1917"/>
      <c r="DC122" s="1918"/>
      <c r="DD122" s="500"/>
      <c r="DE122" s="500"/>
      <c r="DF122" s="1176"/>
      <c r="DG122" s="1917"/>
      <c r="DH122" s="1918"/>
      <c r="DI122" s="500"/>
      <c r="DJ122" s="500"/>
      <c r="DK122" s="1176"/>
      <c r="DL122" s="1917"/>
      <c r="DM122" s="1918"/>
      <c r="DN122" s="500"/>
      <c r="DO122" s="500"/>
      <c r="DP122" s="1176"/>
      <c r="DQ122" s="1917"/>
      <c r="DR122" s="1918"/>
      <c r="DS122" s="500"/>
      <c r="DT122" s="500"/>
      <c r="DU122" s="1176"/>
      <c r="DV122" s="1917"/>
      <c r="DW122" s="1918"/>
      <c r="DX122" s="500"/>
      <c r="DY122" s="500"/>
      <c r="DZ122" s="1176"/>
      <c r="EA122" s="1917"/>
      <c r="EB122" s="1918"/>
      <c r="EC122" s="500"/>
      <c r="ED122" s="500"/>
      <c r="EE122" s="1176"/>
      <c r="EF122" s="1917"/>
      <c r="EG122" s="1918"/>
      <c r="EH122" s="500"/>
      <c r="EI122" s="500"/>
      <c r="EJ122" s="1176"/>
      <c r="EK122" s="1917"/>
      <c r="EL122" s="1918"/>
      <c r="EM122" s="500"/>
      <c r="EN122" s="500"/>
      <c r="EO122" s="1176"/>
      <c r="EP122" s="1917"/>
      <c r="EQ122" s="1918"/>
      <c r="ER122" s="500"/>
      <c r="ES122" s="500"/>
      <c r="ET122" s="1176"/>
      <c r="EU122" s="1917"/>
      <c r="EV122" s="1918"/>
      <c r="EW122" s="500"/>
      <c r="EX122" s="500"/>
      <c r="EY122" s="1176"/>
      <c r="EZ122" s="1917"/>
      <c r="FA122" s="1917"/>
      <c r="FB122" s="1917"/>
      <c r="FC122" s="1917"/>
      <c r="FD122" s="500"/>
      <c r="FF122" s="500"/>
    </row>
    <row r="123" spans="1:162" ht="11.25" customHeight="1">
      <c r="A123" s="2140" t="s">
        <v>371</v>
      </c>
      <c r="B123" s="421"/>
      <c r="C123" s="421"/>
      <c r="D123" s="421"/>
      <c r="E123" s="421"/>
      <c r="F123" s="2129"/>
      <c r="G123" s="421"/>
      <c r="H123" s="421"/>
      <c r="I123" s="421"/>
      <c r="J123" s="421"/>
      <c r="K123" s="2129"/>
      <c r="L123" s="421"/>
      <c r="M123" s="421"/>
      <c r="N123" s="421"/>
      <c r="O123" s="421"/>
      <c r="P123" s="2129"/>
      <c r="Q123" s="421"/>
      <c r="R123" s="421"/>
      <c r="S123" s="421"/>
      <c r="T123" s="421"/>
      <c r="U123" s="2129"/>
      <c r="V123" s="421"/>
      <c r="W123" s="421"/>
      <c r="X123" s="421"/>
      <c r="Y123" s="421"/>
      <c r="Z123" s="2129"/>
      <c r="AA123" s="421"/>
      <c r="AB123" s="421"/>
      <c r="AC123" s="421"/>
      <c r="AD123" s="421"/>
      <c r="AE123" s="2129"/>
      <c r="AF123" s="421"/>
      <c r="AG123" s="421"/>
      <c r="AH123" s="421"/>
      <c r="AI123" s="421"/>
      <c r="AJ123" s="2129"/>
      <c r="AK123" s="421"/>
      <c r="AL123" s="421"/>
      <c r="AM123" s="421"/>
      <c r="AN123" s="421"/>
      <c r="AO123" s="2129"/>
      <c r="AP123" s="421"/>
      <c r="AQ123" s="421"/>
      <c r="AR123" s="421"/>
      <c r="AS123" s="421"/>
      <c r="AT123" s="2129"/>
      <c r="AU123" s="421"/>
      <c r="AV123" s="421"/>
      <c r="AW123" s="421"/>
      <c r="AX123" s="421"/>
      <c r="AY123" s="2129"/>
      <c r="AZ123" s="2130"/>
      <c r="BA123" s="429"/>
      <c r="BB123" s="429"/>
      <c r="BC123" s="429"/>
      <c r="BD123" s="2129"/>
      <c r="BE123" s="2130"/>
      <c r="BF123" s="429"/>
      <c r="BG123" s="429"/>
      <c r="BH123" s="429"/>
      <c r="BI123" s="2129"/>
      <c r="BJ123" s="2130"/>
      <c r="BK123" s="429"/>
      <c r="BL123" s="429"/>
      <c r="BM123" s="430"/>
      <c r="BN123" s="2129"/>
      <c r="BO123" s="2130"/>
      <c r="BP123" s="429"/>
      <c r="BQ123" s="429"/>
      <c r="BR123" s="429"/>
      <c r="BS123" s="2129"/>
      <c r="BT123" s="2141"/>
      <c r="BU123" s="441"/>
      <c r="BV123" s="441"/>
      <c r="BW123" s="430"/>
      <c r="BX123" s="2129"/>
      <c r="BY123" s="2130"/>
      <c r="BZ123" s="429"/>
      <c r="CA123" s="429"/>
      <c r="CB123" s="430"/>
      <c r="CC123" s="2129"/>
      <c r="CD123" s="2130"/>
      <c r="CE123" s="429"/>
      <c r="CF123" s="429"/>
      <c r="CG123" s="430"/>
      <c r="CH123" s="2129"/>
      <c r="CI123" s="429"/>
      <c r="CJ123" s="429"/>
      <c r="CK123" s="429"/>
      <c r="CL123" s="430"/>
      <c r="CM123" s="2129"/>
      <c r="CN123" s="429"/>
      <c r="CO123" s="429"/>
      <c r="CP123" s="429"/>
      <c r="CQ123" s="430"/>
      <c r="CR123" s="2129"/>
      <c r="CS123" s="429"/>
      <c r="CT123" s="429"/>
      <c r="CU123" s="429"/>
      <c r="CV123" s="429"/>
      <c r="CW123" s="2129"/>
      <c r="CX123" s="2130"/>
      <c r="CY123" s="429"/>
      <c r="CZ123" s="429"/>
      <c r="DA123" s="430"/>
      <c r="DB123" s="2129"/>
      <c r="DC123" s="2130"/>
      <c r="DD123" s="429"/>
      <c r="DE123" s="429"/>
      <c r="DF123" s="430"/>
      <c r="DG123" s="2129"/>
      <c r="DH123" s="2130"/>
      <c r="DI123" s="429"/>
      <c r="DJ123" s="429"/>
      <c r="DK123" s="430"/>
      <c r="DL123" s="2129"/>
      <c r="DM123" s="2130"/>
      <c r="DN123" s="429"/>
      <c r="DO123" s="429"/>
      <c r="DP123" s="430"/>
      <c r="DQ123" s="2129"/>
      <c r="DR123" s="2130"/>
      <c r="DS123" s="429"/>
      <c r="DT123" s="429"/>
      <c r="DU123" s="430"/>
      <c r="DV123" s="2129"/>
      <c r="DW123" s="2130"/>
      <c r="DX123" s="429"/>
      <c r="DY123" s="429"/>
      <c r="DZ123" s="430"/>
      <c r="EA123" s="2129"/>
      <c r="EB123" s="2130"/>
      <c r="EC123" s="429"/>
      <c r="ED123" s="429"/>
      <c r="EE123" s="430"/>
      <c r="EF123" s="2129"/>
      <c r="EG123" s="2130"/>
      <c r="EH123" s="429"/>
      <c r="EI123" s="429"/>
      <c r="EJ123" s="430"/>
      <c r="EK123" s="2129"/>
      <c r="EL123" s="2130"/>
      <c r="EM123" s="429"/>
      <c r="EN123" s="429"/>
      <c r="EO123" s="430"/>
      <c r="EP123" s="2129"/>
      <c r="EQ123" s="2130"/>
      <c r="ER123" s="429"/>
      <c r="ES123" s="429"/>
      <c r="ET123" s="430"/>
      <c r="EU123" s="2129"/>
      <c r="EV123" s="2130"/>
      <c r="EW123" s="429"/>
      <c r="EX123" s="429"/>
      <c r="EY123" s="430"/>
      <c r="EZ123" s="2129"/>
      <c r="FA123" s="2129"/>
      <c r="FB123" s="2129"/>
      <c r="FC123" s="2129"/>
      <c r="FD123" s="429"/>
      <c r="FF123" s="429"/>
    </row>
    <row r="124" spans="1:162" ht="11.25" customHeight="1">
      <c r="A124" s="2120" t="str">
        <f>A105</f>
        <v>Canada (CAD/USD)</v>
      </c>
      <c r="B124" s="440"/>
      <c r="C124" s="440"/>
      <c r="D124" s="440"/>
      <c r="E124" s="440"/>
      <c r="F124" s="2142"/>
      <c r="G124" s="440"/>
      <c r="H124" s="440"/>
      <c r="I124" s="440"/>
      <c r="J124" s="440"/>
      <c r="K124" s="2142"/>
      <c r="L124" s="440"/>
      <c r="M124" s="440"/>
      <c r="N124" s="440"/>
      <c r="O124" s="440"/>
      <c r="P124" s="2142"/>
      <c r="Q124" s="440"/>
      <c r="R124" s="440"/>
      <c r="S124" s="440"/>
      <c r="T124" s="440"/>
      <c r="U124" s="2142"/>
      <c r="V124" s="440"/>
      <c r="W124" s="440"/>
      <c r="X124" s="440"/>
      <c r="Y124" s="440"/>
      <c r="Z124" s="2142"/>
      <c r="AA124" s="440"/>
      <c r="AB124" s="440"/>
      <c r="AC124" s="440"/>
      <c r="AD124" s="440"/>
      <c r="AE124" s="2142"/>
      <c r="AF124" s="440"/>
      <c r="AG124" s="440"/>
      <c r="AH124" s="440"/>
      <c r="AI124" s="440"/>
      <c r="AJ124" s="2142"/>
      <c r="AK124" s="440"/>
      <c r="AL124" s="440"/>
      <c r="AM124" s="440"/>
      <c r="AN124" s="440"/>
      <c r="AO124" s="2142"/>
      <c r="AP124" s="440"/>
      <c r="AQ124" s="440"/>
      <c r="AR124" s="440"/>
      <c r="AS124" s="440"/>
      <c r="AT124" s="2142"/>
      <c r="AU124" s="440"/>
      <c r="AV124" s="440"/>
      <c r="AW124" s="440"/>
      <c r="AX124" s="440"/>
      <c r="AY124" s="2142"/>
      <c r="AZ124" s="2141"/>
      <c r="BA124" s="441"/>
      <c r="BB124" s="441"/>
      <c r="BC124" s="443"/>
      <c r="BD124" s="2142"/>
      <c r="BE124" s="2141"/>
      <c r="BF124" s="441"/>
      <c r="BG124" s="441"/>
      <c r="BH124" s="443"/>
      <c r="BI124" s="2142"/>
      <c r="BJ124" s="2141"/>
      <c r="BK124" s="441"/>
      <c r="BL124" s="441"/>
      <c r="BM124" s="443"/>
      <c r="BN124" s="2142"/>
      <c r="BO124" s="2141"/>
      <c r="BP124" s="441"/>
      <c r="BQ124" s="441"/>
      <c r="BR124" s="443"/>
      <c r="BS124" s="2142"/>
      <c r="BT124" s="2141"/>
      <c r="BU124" s="441"/>
      <c r="BV124" s="441"/>
      <c r="BW124" s="443"/>
      <c r="BX124" s="2142"/>
      <c r="BY124" s="2141"/>
      <c r="BZ124" s="441"/>
      <c r="CA124" s="441"/>
      <c r="CB124" s="443"/>
      <c r="CC124" s="2142"/>
      <c r="CD124" s="2141"/>
      <c r="CE124" s="441"/>
      <c r="CF124" s="441"/>
      <c r="CG124" s="443"/>
      <c r="CH124" s="2142"/>
      <c r="CI124" s="2141"/>
      <c r="CJ124" s="441"/>
      <c r="CK124" s="441"/>
      <c r="CL124" s="443"/>
      <c r="CM124" s="2142"/>
      <c r="CN124" s="2141"/>
      <c r="CO124" s="441"/>
      <c r="CP124" s="441"/>
      <c r="CQ124" s="443"/>
      <c r="CR124" s="2142"/>
      <c r="CS124" s="2141">
        <f>CQ105/CS105-1</f>
        <v>-3.8689396687220379E-2</v>
      </c>
      <c r="CT124" s="441">
        <f t="shared" ref="CT124:CV128" si="359">CS105/CT105-1</f>
        <v>6.9904017799394591E-2</v>
      </c>
      <c r="CU124" s="441">
        <f t="shared" si="359"/>
        <v>-1.0394531350009006E-2</v>
      </c>
      <c r="CV124" s="443">
        <f t="shared" si="359"/>
        <v>-2.2865434168063414E-2</v>
      </c>
      <c r="CW124" s="2142"/>
      <c r="CX124" s="2141">
        <f>CV105/CX105-1</f>
        <v>5.0538066981797858E-3</v>
      </c>
      <c r="CY124" s="441">
        <f t="shared" ref="CY124:DA128" si="360">CX105/CY105-1</f>
        <v>-1.7271626596822687E-2</v>
      </c>
      <c r="CZ124" s="441">
        <f t="shared" si="360"/>
        <v>6.7104361124294742E-2</v>
      </c>
      <c r="DA124" s="443">
        <f t="shared" si="360"/>
        <v>-8.6520113966072065E-3</v>
      </c>
      <c r="DB124" s="2142"/>
      <c r="DC124" s="2141">
        <f>DA105/DC105-1</f>
        <v>2.9354786632944219E-2</v>
      </c>
      <c r="DD124" s="441">
        <f t="shared" ref="DD124:DF128" si="361">DC105/DD105-1</f>
        <v>-3.9663057802124091E-2</v>
      </c>
      <c r="DE124" s="441">
        <f t="shared" si="361"/>
        <v>-1.2200413486816886E-2</v>
      </c>
      <c r="DF124" s="443">
        <f t="shared" si="361"/>
        <v>-4.5227024417510142E-3</v>
      </c>
      <c r="DG124" s="2142"/>
      <c r="DH124" s="2141">
        <f>DF105/DH105-1</f>
        <v>-1.4448840586968714E-2</v>
      </c>
      <c r="DI124" s="441">
        <f t="shared" ref="DI124:DK128" si="362">DH105/DI105-1</f>
        <v>-7.9248751645838444E-3</v>
      </c>
      <c r="DJ124" s="441">
        <f t="shared" si="362"/>
        <v>1.6566911634719794E-2</v>
      </c>
      <c r="DK124" s="443">
        <f t="shared" si="362"/>
        <v>-2.2677451054502473E-3</v>
      </c>
      <c r="DL124" s="2142"/>
      <c r="DM124" s="2141">
        <f>DK105/DM105-1</f>
        <v>1.3372357067165108E-3</v>
      </c>
      <c r="DN124" s="441">
        <f t="shared" ref="DN124:DP128" si="363">DM105/DN105-1</f>
        <v>-5.1523200995524987E-2</v>
      </c>
      <c r="DO124" s="441">
        <f t="shared" si="363"/>
        <v>4.3761708505058117E-2</v>
      </c>
      <c r="DP124" s="443">
        <f t="shared" si="363"/>
        <v>9.9392043591230994E-3</v>
      </c>
      <c r="DQ124" s="2142"/>
      <c r="DR124" s="2141">
        <f>DP105/DR105-1</f>
        <v>3.6637029288702827E-2</v>
      </c>
      <c r="DS124" s="441">
        <f t="shared" ref="DS124:DU128" si="364">DR105/DS105-1</f>
        <v>3.5949394522255318E-2</v>
      </c>
      <c r="DT124" s="441">
        <f t="shared" si="364"/>
        <v>-1.5364506922030507E-2</v>
      </c>
      <c r="DU124" s="443">
        <f t="shared" si="364"/>
        <v>-9.4591381087008042E-3</v>
      </c>
      <c r="DV124" s="2142"/>
      <c r="DW124" s="2141">
        <f>DU105/DW105-1</f>
        <v>-4.5502367175170866E-3</v>
      </c>
      <c r="DX124" s="441">
        <f t="shared" ref="DX124:DZ128" si="365">DW105/DX105-1</f>
        <v>5.2631578947370805E-4</v>
      </c>
      <c r="DY124" s="441">
        <f t="shared" si="365"/>
        <v>-2.0568070519099035E-2</v>
      </c>
      <c r="DZ124" s="443">
        <f t="shared" si="365"/>
        <v>-5.0581181940535846E-2</v>
      </c>
      <c r="EA124" s="2142"/>
      <c r="EB124" s="2141">
        <f>DZ105/EB105-1</f>
        <v>8.8379786209791256E-3</v>
      </c>
      <c r="EC124" s="441">
        <f t="shared" ref="EC124:EE128" si="366">EB105/EC105-1</f>
        <v>-3.3216869248559044E-3</v>
      </c>
      <c r="ED124" s="441">
        <f t="shared" si="366"/>
        <v>1.7576364546819878E-2</v>
      </c>
      <c r="EE124" s="443">
        <f t="shared" si="366"/>
        <v>-2.6162436300685044E-2</v>
      </c>
      <c r="EF124" s="2142"/>
      <c r="EG124" s="2141">
        <f>EE105/EG105-1</f>
        <v>1.8779342723004744E-2</v>
      </c>
      <c r="EH124" s="441">
        <f t="shared" ref="EH124:EJ128" si="367">EG105/EH105-1</f>
        <v>-1.6827040492355838E-2</v>
      </c>
      <c r="EI124" s="441">
        <f t="shared" si="367"/>
        <v>-8.0529051465394463E-4</v>
      </c>
      <c r="EJ124" s="443">
        <f t="shared" si="367"/>
        <v>-1.1720728325093299E-2</v>
      </c>
      <c r="EK124" s="2142"/>
      <c r="EL124" s="2141">
        <f>EJ105/EL105-1</f>
        <v>-4.4276955699995457E-2</v>
      </c>
      <c r="EM124" s="441">
        <f t="shared" ref="EM124:EM128" si="368">EL105/EM105-1</f>
        <v>3.4847942754919536E-2</v>
      </c>
      <c r="EN124" s="441">
        <f t="shared" ref="EN124:EO128" si="369">EM105/EN105-1</f>
        <v>1.7473607571896643E-2</v>
      </c>
      <c r="EO124" s="443">
        <f t="shared" si="369"/>
        <v>-1.4281613319936715E-2</v>
      </c>
      <c r="EP124" s="2142"/>
      <c r="EQ124" s="2141">
        <f>EO105/EQ105-1</f>
        <v>-5.0211606054095803E-4</v>
      </c>
      <c r="ER124" s="441">
        <f t="shared" ref="ER124:ER128" si="370">EQ105/ER105-1</f>
        <v>0</v>
      </c>
      <c r="ES124" s="441">
        <f t="shared" ref="ES124:ES128" si="371">ER105/ES105-1</f>
        <v>0</v>
      </c>
      <c r="ET124" s="443">
        <f t="shared" ref="ET124:ET128" si="372">ES105/ET105-1</f>
        <v>0</v>
      </c>
      <c r="EU124" s="2142"/>
      <c r="EV124" s="2141">
        <f>ET105/EV105-1</f>
        <v>0</v>
      </c>
      <c r="EW124" s="441">
        <f t="shared" ref="EW124:EW128" si="373">EV105/EW105-1</f>
        <v>0</v>
      </c>
      <c r="EX124" s="441">
        <f t="shared" ref="EX124:EX128" si="374">EW105/EX105-1</f>
        <v>0</v>
      </c>
      <c r="EY124" s="443">
        <f t="shared" ref="EY124:EY128" si="375">EX105/EY105-1</f>
        <v>0</v>
      </c>
      <c r="EZ124" s="2142"/>
      <c r="FA124" s="2142"/>
      <c r="FB124" s="2142"/>
      <c r="FC124" s="2142"/>
      <c r="FD124" s="441"/>
      <c r="FF124" s="441"/>
    </row>
    <row r="125" spans="1:162" ht="11.25" customHeight="1">
      <c r="A125" s="2120" t="str">
        <f>A106</f>
        <v>Brazil (BRL/USD)</v>
      </c>
      <c r="B125" s="440"/>
      <c r="C125" s="440"/>
      <c r="D125" s="440"/>
      <c r="E125" s="440"/>
      <c r="F125" s="2142"/>
      <c r="G125" s="440"/>
      <c r="H125" s="440"/>
      <c r="I125" s="440"/>
      <c r="J125" s="440"/>
      <c r="K125" s="2142"/>
      <c r="L125" s="440"/>
      <c r="M125" s="440"/>
      <c r="N125" s="440"/>
      <c r="O125" s="440"/>
      <c r="P125" s="2142"/>
      <c r="Q125" s="440"/>
      <c r="R125" s="440"/>
      <c r="S125" s="440"/>
      <c r="T125" s="440"/>
      <c r="U125" s="2142"/>
      <c r="V125" s="440"/>
      <c r="W125" s="440"/>
      <c r="X125" s="440"/>
      <c r="Y125" s="440"/>
      <c r="Z125" s="2142"/>
      <c r="AA125" s="440"/>
      <c r="AB125" s="440"/>
      <c r="AC125" s="440"/>
      <c r="AD125" s="440"/>
      <c r="AE125" s="2142"/>
      <c r="AF125" s="440"/>
      <c r="AG125" s="440"/>
      <c r="AH125" s="440"/>
      <c r="AI125" s="440"/>
      <c r="AJ125" s="2142"/>
      <c r="AK125" s="440"/>
      <c r="AL125" s="440"/>
      <c r="AM125" s="440"/>
      <c r="AN125" s="440"/>
      <c r="AO125" s="2142"/>
      <c r="AP125" s="440"/>
      <c r="AQ125" s="440"/>
      <c r="AR125" s="440"/>
      <c r="AS125" s="440"/>
      <c r="AT125" s="2142"/>
      <c r="AU125" s="440"/>
      <c r="AV125" s="440"/>
      <c r="AW125" s="440"/>
      <c r="AX125" s="440"/>
      <c r="AY125" s="2142"/>
      <c r="AZ125" s="2141"/>
      <c r="BA125" s="441"/>
      <c r="BB125" s="441"/>
      <c r="BC125" s="443"/>
      <c r="BD125" s="2142"/>
      <c r="BE125" s="2141"/>
      <c r="BF125" s="441"/>
      <c r="BG125" s="441"/>
      <c r="BH125" s="443"/>
      <c r="BI125" s="2142"/>
      <c r="BJ125" s="2141"/>
      <c r="BK125" s="441"/>
      <c r="BL125" s="441"/>
      <c r="BM125" s="443"/>
      <c r="BN125" s="2142"/>
      <c r="BO125" s="2141"/>
      <c r="BP125" s="441"/>
      <c r="BQ125" s="441"/>
      <c r="BR125" s="443"/>
      <c r="BS125" s="2142"/>
      <c r="BT125" s="2141"/>
      <c r="BU125" s="441"/>
      <c r="BV125" s="441"/>
      <c r="BW125" s="443"/>
      <c r="BX125" s="2142"/>
      <c r="BY125" s="2141"/>
      <c r="BZ125" s="441"/>
      <c r="CA125" s="441"/>
      <c r="CB125" s="443"/>
      <c r="CC125" s="2142"/>
      <c r="CD125" s="2141"/>
      <c r="CE125" s="441"/>
      <c r="CF125" s="441"/>
      <c r="CG125" s="443"/>
      <c r="CH125" s="2142"/>
      <c r="CI125" s="2141"/>
      <c r="CJ125" s="441"/>
      <c r="CK125" s="441"/>
      <c r="CL125" s="443"/>
      <c r="CM125" s="2142"/>
      <c r="CN125" s="2141"/>
      <c r="CO125" s="441"/>
      <c r="CP125" s="441"/>
      <c r="CQ125" s="443"/>
      <c r="CR125" s="2142"/>
      <c r="CS125" s="2141">
        <f>CQ106/CS106-1</f>
        <v>-2.5484514733756902E-2</v>
      </c>
      <c r="CT125" s="441">
        <f t="shared" si="359"/>
        <v>0.12559682694838115</v>
      </c>
      <c r="CU125" s="441">
        <f t="shared" si="359"/>
        <v>9.8156596412278363E-2</v>
      </c>
      <c r="CV125" s="443">
        <f t="shared" si="359"/>
        <v>-1.5566258204799732E-2</v>
      </c>
      <c r="CW125" s="2142"/>
      <c r="CX125" s="2141">
        <f>CV106/CX106-1</f>
        <v>3.443274263732099E-2</v>
      </c>
      <c r="CY125" s="441">
        <f t="shared" si="360"/>
        <v>-1.2177454911923569E-3</v>
      </c>
      <c r="CZ125" s="441">
        <f t="shared" si="360"/>
        <v>-5.9377837144017898E-3</v>
      </c>
      <c r="DA125" s="443">
        <f t="shared" si="360"/>
        <v>-1.2286253208134701E-2</v>
      </c>
      <c r="DB125" s="2142"/>
      <c r="DC125" s="2141">
        <f>DA106/DC106-1</f>
        <v>3.3507420238896302E-3</v>
      </c>
      <c r="DD125" s="441">
        <f t="shared" si="361"/>
        <v>-8.2285388886252697E-2</v>
      </c>
      <c r="DE125" s="441">
        <f t="shared" si="361"/>
        <v>-9.8612394346918486E-2</v>
      </c>
      <c r="DF125" s="443">
        <f t="shared" si="361"/>
        <v>4.0974101275608188E-3</v>
      </c>
      <c r="DG125" s="2142"/>
      <c r="DH125" s="2141">
        <f>DF106/DH106-1</f>
        <v>3.1618031493969578E-2</v>
      </c>
      <c r="DI125" s="441">
        <f t="shared" si="362"/>
        <v>-4.0653240272381708E-2</v>
      </c>
      <c r="DJ125" s="441">
        <f t="shared" si="362"/>
        <v>-3.7097580187519519E-3</v>
      </c>
      <c r="DK125" s="443">
        <f t="shared" si="362"/>
        <v>-4.8889927176644976E-2</v>
      </c>
      <c r="DL125" s="2142"/>
      <c r="DM125" s="2141">
        <f>DK106/DM106-1</f>
        <v>-2.8646994843384399E-2</v>
      </c>
      <c r="DN125" s="441">
        <f t="shared" si="363"/>
        <v>-0.20266906245905636</v>
      </c>
      <c r="DO125" s="441">
        <f t="shared" si="363"/>
        <v>-9.5166881925088376E-3</v>
      </c>
      <c r="DP125" s="443">
        <f t="shared" si="363"/>
        <v>-3.1765691377969474E-2</v>
      </c>
      <c r="DQ125" s="2142"/>
      <c r="DR125" s="2141">
        <f>DP106/DR106-1</f>
        <v>2.7398523418145748E-2</v>
      </c>
      <c r="DS125" s="441">
        <f t="shared" si="364"/>
        <v>-1.491566205897632E-3</v>
      </c>
      <c r="DT125" s="441">
        <f t="shared" si="364"/>
        <v>6.2608843115897095E-2</v>
      </c>
      <c r="DU125" s="443">
        <f t="shared" si="364"/>
        <v>-8.2055058615032483E-2</v>
      </c>
      <c r="DV125" s="2142"/>
      <c r="DW125" s="2141">
        <f>DU106/DW106-1</f>
        <v>4.1667446255168716E-2</v>
      </c>
      <c r="DX125" s="441">
        <f t="shared" si="365"/>
        <v>0.1097722191845294</v>
      </c>
      <c r="DY125" s="441">
        <f t="shared" si="365"/>
        <v>-7.4646462058717944E-2</v>
      </c>
      <c r="DZ125" s="443">
        <f t="shared" si="365"/>
        <v>-1.0802009617273067E-2</v>
      </c>
      <c r="EA125" s="2142"/>
      <c r="EB125" s="2141">
        <f>DZ106/EB106-1</f>
        <v>1.1918041825338843E-2</v>
      </c>
      <c r="EC125" s="441">
        <f t="shared" si="366"/>
        <v>3.249422464636309E-2</v>
      </c>
      <c r="ED125" s="441">
        <f t="shared" si="366"/>
        <v>4.4064493389634807E-2</v>
      </c>
      <c r="EE125" s="443">
        <f t="shared" si="366"/>
        <v>-3.4729124834059322E-2</v>
      </c>
      <c r="EF125" s="2142"/>
      <c r="EG125" s="2141">
        <f>EE106/EG106-1</f>
        <v>1.435222151547566E-2</v>
      </c>
      <c r="EH125" s="441">
        <f t="shared" si="367"/>
        <v>-4.3729778698071819E-2</v>
      </c>
      <c r="EI125" s="441">
        <f t="shared" si="367"/>
        <v>-8.2962954171883596E-2</v>
      </c>
      <c r="EJ125" s="443">
        <f t="shared" si="367"/>
        <v>-2.0705004532670213E-2</v>
      </c>
      <c r="EK125" s="2142"/>
      <c r="EL125" s="2141">
        <f>EJ106/EL106-1</f>
        <v>-3.8771121351766413E-2</v>
      </c>
      <c r="EM125" s="441">
        <f t="shared" si="368"/>
        <v>4.6776787019441768E-2</v>
      </c>
      <c r="EN125" s="441">
        <f t="shared" si="369"/>
        <v>3.8933032026048364E-2</v>
      </c>
      <c r="EO125" s="443">
        <f t="shared" si="369"/>
        <v>2.5932504440497439E-2</v>
      </c>
      <c r="EP125" s="2142"/>
      <c r="EQ125" s="2141">
        <f>EO106/EQ106-1</f>
        <v>-2.4991141199949274E-3</v>
      </c>
      <c r="ER125" s="441">
        <f t="shared" si="370"/>
        <v>0</v>
      </c>
      <c r="ES125" s="441">
        <f t="shared" si="371"/>
        <v>0</v>
      </c>
      <c r="ET125" s="443">
        <f t="shared" si="372"/>
        <v>0</v>
      </c>
      <c r="EU125" s="2142"/>
      <c r="EV125" s="2141">
        <f>ET106/EV106-1</f>
        <v>0</v>
      </c>
      <c r="EW125" s="441">
        <f t="shared" si="373"/>
        <v>0</v>
      </c>
      <c r="EX125" s="441">
        <f t="shared" si="374"/>
        <v>0</v>
      </c>
      <c r="EY125" s="443">
        <f t="shared" si="375"/>
        <v>0</v>
      </c>
      <c r="EZ125" s="2142"/>
      <c r="FA125" s="2142"/>
      <c r="FB125" s="2142"/>
      <c r="FC125" s="2142"/>
      <c r="FD125" s="441"/>
      <c r="FF125" s="441"/>
    </row>
    <row r="126" spans="1:162" ht="11.25" customHeight="1">
      <c r="A126" s="2120" t="str">
        <f>A107</f>
        <v>Argentina (ARS/USD)</v>
      </c>
      <c r="B126" s="440"/>
      <c r="C126" s="440"/>
      <c r="D126" s="440"/>
      <c r="E126" s="440"/>
      <c r="F126" s="2142"/>
      <c r="G126" s="440"/>
      <c r="H126" s="440"/>
      <c r="I126" s="440"/>
      <c r="J126" s="440"/>
      <c r="K126" s="2142"/>
      <c r="L126" s="440"/>
      <c r="M126" s="440"/>
      <c r="N126" s="440"/>
      <c r="O126" s="440"/>
      <c r="P126" s="2142"/>
      <c r="Q126" s="440"/>
      <c r="R126" s="440"/>
      <c r="S126" s="440"/>
      <c r="T126" s="440"/>
      <c r="U126" s="2142"/>
      <c r="V126" s="440"/>
      <c r="W126" s="440"/>
      <c r="X126" s="440"/>
      <c r="Y126" s="440"/>
      <c r="Z126" s="2142"/>
      <c r="AA126" s="440"/>
      <c r="AB126" s="440"/>
      <c r="AC126" s="440"/>
      <c r="AD126" s="440"/>
      <c r="AE126" s="2142"/>
      <c r="AF126" s="440"/>
      <c r="AG126" s="440"/>
      <c r="AH126" s="440"/>
      <c r="AI126" s="440"/>
      <c r="AJ126" s="2142"/>
      <c r="AK126" s="440"/>
      <c r="AL126" s="440"/>
      <c r="AM126" s="440"/>
      <c r="AN126" s="440"/>
      <c r="AO126" s="2142"/>
      <c r="AP126" s="440"/>
      <c r="AQ126" s="440"/>
      <c r="AR126" s="440"/>
      <c r="AS126" s="440"/>
      <c r="AT126" s="2142"/>
      <c r="AU126" s="440"/>
      <c r="AV126" s="440"/>
      <c r="AW126" s="440"/>
      <c r="AX126" s="440"/>
      <c r="AY126" s="2142"/>
      <c r="AZ126" s="2141"/>
      <c r="BA126" s="441"/>
      <c r="BB126" s="441"/>
      <c r="BC126" s="443"/>
      <c r="BD126" s="2142"/>
      <c r="BE126" s="2141"/>
      <c r="BF126" s="441"/>
      <c r="BG126" s="441"/>
      <c r="BH126" s="443"/>
      <c r="BI126" s="2142"/>
      <c r="BJ126" s="2141"/>
      <c r="BK126" s="441"/>
      <c r="BL126" s="441"/>
      <c r="BM126" s="443"/>
      <c r="BN126" s="2142"/>
      <c r="BO126" s="2141"/>
      <c r="BP126" s="441"/>
      <c r="BQ126" s="441"/>
      <c r="BR126" s="443"/>
      <c r="BS126" s="2142"/>
      <c r="BT126" s="2141"/>
      <c r="BU126" s="441"/>
      <c r="BV126" s="441"/>
      <c r="BW126" s="443"/>
      <c r="BX126" s="2142"/>
      <c r="BY126" s="2141"/>
      <c r="BZ126" s="441"/>
      <c r="CA126" s="441"/>
      <c r="CB126" s="443"/>
      <c r="CC126" s="2142"/>
      <c r="CD126" s="2141"/>
      <c r="CE126" s="441"/>
      <c r="CF126" s="441"/>
      <c r="CG126" s="443"/>
      <c r="CH126" s="2142"/>
      <c r="CI126" s="2141"/>
      <c r="CJ126" s="441"/>
      <c r="CK126" s="441"/>
      <c r="CL126" s="443"/>
      <c r="CM126" s="2142"/>
      <c r="CN126" s="2141"/>
      <c r="CO126" s="441"/>
      <c r="CP126" s="441"/>
      <c r="CQ126" s="443"/>
      <c r="CR126" s="2142"/>
      <c r="CS126" s="2141">
        <f>CQ107/CS107-1</f>
        <v>-0.33013808617569873</v>
      </c>
      <c r="CT126" s="441">
        <f t="shared" si="359"/>
        <v>-5.3620488940628874E-3</v>
      </c>
      <c r="CU126" s="441">
        <f t="shared" si="359"/>
        <v>-4.519485138830226E-2</v>
      </c>
      <c r="CV126" s="443">
        <f t="shared" si="359"/>
        <v>-2.9157853843829518E-2</v>
      </c>
      <c r="CW126" s="2142"/>
      <c r="CX126" s="2141">
        <f>CV107/CX107-1</f>
        <v>-0.10905063339819854</v>
      </c>
      <c r="CY126" s="441">
        <f t="shared" si="360"/>
        <v>0.10923839202110752</v>
      </c>
      <c r="CZ126" s="441">
        <f t="shared" si="360"/>
        <v>-9.1651134765239117E-2</v>
      </c>
      <c r="DA126" s="443">
        <f t="shared" si="360"/>
        <v>-1.2621953552435228E-2</v>
      </c>
      <c r="DB126" s="2142"/>
      <c r="DC126" s="2141">
        <f>DA107/DC107-1</f>
        <v>-0.10454306412296654</v>
      </c>
      <c r="DD126" s="441">
        <f t="shared" si="361"/>
        <v>-0.11079004970274309</v>
      </c>
      <c r="DE126" s="441">
        <f t="shared" si="361"/>
        <v>-0.29588321474766677</v>
      </c>
      <c r="DF126" s="443">
        <f t="shared" si="361"/>
        <v>-0.18896993968452225</v>
      </c>
      <c r="DG126" s="2142"/>
      <c r="DH126" s="2141">
        <f>DF107/DH107-1</f>
        <v>7.4037854032649175E-3</v>
      </c>
      <c r="DI126" s="441">
        <f t="shared" si="362"/>
        <v>-0.13762245076087054</v>
      </c>
      <c r="DJ126" s="441">
        <f t="shared" si="362"/>
        <v>-9.2762251737809609E-2</v>
      </c>
      <c r="DK126" s="443">
        <f t="shared" si="362"/>
        <v>-0.17663478967223767</v>
      </c>
      <c r="DL126" s="2142"/>
      <c r="DM126" s="2141">
        <f>DK107/DM107-1</f>
        <v>-2.8937865073935587E-2</v>
      </c>
      <c r="DN126" s="441">
        <f t="shared" si="363"/>
        <v>-8.6796227021458394E-2</v>
      </c>
      <c r="DO126" s="441">
        <f t="shared" si="363"/>
        <v>-7.9177210813800802E-2</v>
      </c>
      <c r="DP126" s="443">
        <f t="shared" si="363"/>
        <v>-7.9973537232350789E-2</v>
      </c>
      <c r="DQ126" s="2142"/>
      <c r="DR126" s="2141">
        <f>DP107/DR107-1</f>
        <v>-9.7527417327023525E-2</v>
      </c>
      <c r="DS126" s="441">
        <f t="shared" si="364"/>
        <v>-6.7589422529973908E-2</v>
      </c>
      <c r="DT126" s="441">
        <f t="shared" si="364"/>
        <v>-3.4232645790045257E-2</v>
      </c>
      <c r="DU126" s="443">
        <f t="shared" si="364"/>
        <v>-3.0852470208333038E-2</v>
      </c>
      <c r="DV126" s="2142"/>
      <c r="DW126" s="2141">
        <f>DU107/DW107-1</f>
        <v>-5.0144748676640094E-2</v>
      </c>
      <c r="DX126" s="441">
        <f t="shared" si="365"/>
        <v>-9.0362739218743049E-2</v>
      </c>
      <c r="DY126" s="441">
        <f t="shared" si="365"/>
        <v>-0.12319572551039926</v>
      </c>
      <c r="DZ126" s="443">
        <f t="shared" si="365"/>
        <v>-0.16181938456141587</v>
      </c>
      <c r="EA126" s="2142"/>
      <c r="EB126" s="2141">
        <f>DZ107/EB107-1</f>
        <v>-0.15993575929762838</v>
      </c>
      <c r="EC126" s="441">
        <f t="shared" si="366"/>
        <v>-0.1636581218639831</v>
      </c>
      <c r="ED126" s="441">
        <f t="shared" si="366"/>
        <v>-0.23913751834430508</v>
      </c>
      <c r="EE126" s="443">
        <f t="shared" si="366"/>
        <v>-0.1682661977868779</v>
      </c>
      <c r="EF126" s="2142"/>
      <c r="EG126" s="2141">
        <f>EE107/EG107-1</f>
        <v>-0.57190283956498211</v>
      </c>
      <c r="EH126" s="441">
        <f t="shared" si="367"/>
        <v>-5.8097427070651242E-2</v>
      </c>
      <c r="EI126" s="441">
        <f t="shared" si="367"/>
        <v>-5.855525391955374E-2</v>
      </c>
      <c r="EJ126" s="443">
        <f t="shared" si="367"/>
        <v>-5.9197911845425444E-2</v>
      </c>
      <c r="EK126" s="2142"/>
      <c r="EL126" s="2141">
        <f>EJ107/EL107-1</f>
        <v>-5.5998963573256066E-2</v>
      </c>
      <c r="EM126" s="441">
        <f t="shared" si="368"/>
        <v>-8.3997423655616466E-2</v>
      </c>
      <c r="EN126" s="441">
        <f t="shared" si="369"/>
        <v>-0.1236379840939571</v>
      </c>
      <c r="EO126" s="443">
        <f t="shared" si="369"/>
        <v>-7.9148824724352917E-2</v>
      </c>
      <c r="EP126" s="2142"/>
      <c r="EQ126" s="2141">
        <f>EO107/EQ107-1</f>
        <v>-1.3448470937376777E-2</v>
      </c>
      <c r="ER126" s="441">
        <f t="shared" si="370"/>
        <v>0</v>
      </c>
      <c r="ES126" s="441">
        <f t="shared" si="371"/>
        <v>0</v>
      </c>
      <c r="ET126" s="443">
        <f t="shared" si="372"/>
        <v>0</v>
      </c>
      <c r="EU126" s="2142"/>
      <c r="EV126" s="2141">
        <f>ET107/EV107-1</f>
        <v>0</v>
      </c>
      <c r="EW126" s="441">
        <f t="shared" si="373"/>
        <v>0</v>
      </c>
      <c r="EX126" s="441">
        <f t="shared" si="374"/>
        <v>0</v>
      </c>
      <c r="EY126" s="443">
        <f t="shared" si="375"/>
        <v>0</v>
      </c>
      <c r="EZ126" s="2142"/>
      <c r="FA126" s="2142"/>
      <c r="FB126" s="2142"/>
      <c r="FC126" s="2142"/>
      <c r="FD126" s="441"/>
      <c r="FF126" s="441"/>
    </row>
    <row r="127" spans="1:162" ht="11.25" customHeight="1">
      <c r="A127" s="2120" t="str">
        <f>A108</f>
        <v>Mexico (MXN/USD)</v>
      </c>
      <c r="B127" s="440"/>
      <c r="C127" s="440"/>
      <c r="D127" s="440"/>
      <c r="E127" s="440"/>
      <c r="F127" s="2142"/>
      <c r="G127" s="440"/>
      <c r="H127" s="440"/>
      <c r="I127" s="440"/>
      <c r="J127" s="440"/>
      <c r="K127" s="2142"/>
      <c r="L127" s="440"/>
      <c r="M127" s="440"/>
      <c r="N127" s="440"/>
      <c r="O127" s="440"/>
      <c r="P127" s="2142"/>
      <c r="Q127" s="440"/>
      <c r="R127" s="440"/>
      <c r="S127" s="440"/>
      <c r="T127" s="440"/>
      <c r="U127" s="2142"/>
      <c r="V127" s="440"/>
      <c r="W127" s="440"/>
      <c r="X127" s="440"/>
      <c r="Y127" s="440"/>
      <c r="Z127" s="2142"/>
      <c r="AA127" s="440"/>
      <c r="AB127" s="440"/>
      <c r="AC127" s="440"/>
      <c r="AD127" s="440"/>
      <c r="AE127" s="2142"/>
      <c r="AF127" s="440"/>
      <c r="AG127" s="440"/>
      <c r="AH127" s="440"/>
      <c r="AI127" s="440"/>
      <c r="AJ127" s="2142"/>
      <c r="AK127" s="440"/>
      <c r="AL127" s="440"/>
      <c r="AM127" s="440"/>
      <c r="AN127" s="440"/>
      <c r="AO127" s="2142"/>
      <c r="AP127" s="440"/>
      <c r="AQ127" s="440"/>
      <c r="AR127" s="440"/>
      <c r="AS127" s="440"/>
      <c r="AT127" s="2142"/>
      <c r="AU127" s="440"/>
      <c r="AV127" s="440"/>
      <c r="AW127" s="440"/>
      <c r="AX127" s="440"/>
      <c r="AY127" s="2142"/>
      <c r="AZ127" s="2141"/>
      <c r="BA127" s="441"/>
      <c r="BB127" s="441"/>
      <c r="BC127" s="443"/>
      <c r="BD127" s="2142"/>
      <c r="BE127" s="2141"/>
      <c r="BF127" s="441"/>
      <c r="BG127" s="441"/>
      <c r="BH127" s="443"/>
      <c r="BI127" s="2142"/>
      <c r="BJ127" s="2141"/>
      <c r="BK127" s="441"/>
      <c r="BL127" s="441"/>
      <c r="BM127" s="443"/>
      <c r="BN127" s="2142"/>
      <c r="BO127" s="2141"/>
      <c r="BP127" s="441"/>
      <c r="BQ127" s="441"/>
      <c r="BR127" s="443"/>
      <c r="BS127" s="2142"/>
      <c r="BT127" s="2141"/>
      <c r="BU127" s="441"/>
      <c r="BV127" s="441"/>
      <c r="BW127" s="443"/>
      <c r="BX127" s="2142"/>
      <c r="BY127" s="2141"/>
      <c r="BZ127" s="441"/>
      <c r="CA127" s="441"/>
      <c r="CB127" s="443"/>
      <c r="CC127" s="2142"/>
      <c r="CD127" s="2141"/>
      <c r="CE127" s="441"/>
      <c r="CF127" s="441"/>
      <c r="CG127" s="443"/>
      <c r="CH127" s="2142"/>
      <c r="CI127" s="2141"/>
      <c r="CJ127" s="441"/>
      <c r="CK127" s="441"/>
      <c r="CL127" s="443"/>
      <c r="CM127" s="2142"/>
      <c r="CN127" s="2141"/>
      <c r="CO127" s="441"/>
      <c r="CP127" s="441"/>
      <c r="CQ127" s="443"/>
      <c r="CR127" s="2142"/>
      <c r="CS127" s="2141">
        <f>CQ108/CS108-1</f>
        <v>-6.4609915809167529E-2</v>
      </c>
      <c r="CT127" s="441">
        <f t="shared" si="359"/>
        <v>9.9540466184961929E-3</v>
      </c>
      <c r="CU127" s="441">
        <f t="shared" si="359"/>
        <v>-5.1839324073261306E-2</v>
      </c>
      <c r="CV127" s="443">
        <f t="shared" si="359"/>
        <v>-5.1118851755329819E-2</v>
      </c>
      <c r="CW127" s="2142"/>
      <c r="CX127" s="2141">
        <f>CV108/CX108-1</f>
        <v>-4.6128973672091234E-2</v>
      </c>
      <c r="CY127" s="441">
        <f t="shared" si="360"/>
        <v>9.797847073109045E-2</v>
      </c>
      <c r="CZ127" s="441">
        <f t="shared" si="360"/>
        <v>4.3828788394096652E-2</v>
      </c>
      <c r="DA127" s="443">
        <f t="shared" si="360"/>
        <v>-3.9664819425481279E-2</v>
      </c>
      <c r="DB127" s="2142"/>
      <c r="DC127" s="2141">
        <f>DA108/DC108-1</f>
        <v>-1.0607414418455141E-2</v>
      </c>
      <c r="DD127" s="441">
        <f t="shared" si="361"/>
        <v>-3.1122924991637824E-3</v>
      </c>
      <c r="DE127" s="441">
        <f t="shared" si="361"/>
        <v>-1.4446640076197448E-2</v>
      </c>
      <c r="DF127" s="443">
        <f t="shared" si="361"/>
        <v>-3.0026588583737079E-2</v>
      </c>
      <c r="DG127" s="2142"/>
      <c r="DH127" s="2141">
        <f>DF108/DH108-1</f>
        <v>2.3893254855067214E-2</v>
      </c>
      <c r="DI127" s="441">
        <f t="shared" si="362"/>
        <v>8.0875455247753081E-4</v>
      </c>
      <c r="DJ127" s="441">
        <f t="shared" si="362"/>
        <v>-7.5897723752819113E-3</v>
      </c>
      <c r="DK127" s="443">
        <f t="shared" si="362"/>
        <v>-1.0923487720907454E-3</v>
      </c>
      <c r="DL127" s="2142"/>
      <c r="DM127" s="2141">
        <f>DK108/DM108-1</f>
        <v>1.8860957695650438E-2</v>
      </c>
      <c r="DN127" s="441">
        <f t="shared" si="363"/>
        <v>-0.18005421091415941</v>
      </c>
      <c r="DO127" s="441">
        <f t="shared" si="363"/>
        <v>4.2694875781021935E-2</v>
      </c>
      <c r="DP127" s="443">
        <f t="shared" si="363"/>
        <v>5.8026704478317592E-2</v>
      </c>
      <c r="DQ127" s="2142"/>
      <c r="DR127" s="2141">
        <f>DP108/DR108-1</f>
        <v>3.4702830119474282E-2</v>
      </c>
      <c r="DS127" s="441">
        <f t="shared" si="364"/>
        <v>1.173635747401125E-2</v>
      </c>
      <c r="DT127" s="441">
        <f t="shared" si="364"/>
        <v>1.2610852247106674E-2</v>
      </c>
      <c r="DU127" s="443">
        <f t="shared" si="364"/>
        <v>-4.4331940511949663E-2</v>
      </c>
      <c r="DV127" s="2142"/>
      <c r="DW127" s="2141">
        <f>DU108/DW108-1</f>
        <v>1.6557392742004851E-2</v>
      </c>
      <c r="DX127" s="441">
        <f t="shared" si="365"/>
        <v>2.8006004503377646E-2</v>
      </c>
      <c r="DY127" s="441">
        <f t="shared" si="365"/>
        <v>-1.1030339619653606E-2</v>
      </c>
      <c r="DZ127" s="443">
        <f t="shared" si="365"/>
        <v>2.3737714883987904E-2</v>
      </c>
      <c r="EA127" s="2142"/>
      <c r="EB127" s="2141">
        <f>DZ108/EB108-1</f>
        <v>4.5439860462078041E-2</v>
      </c>
      <c r="EC127" s="441">
        <f t="shared" si="366"/>
        <v>5.4159478467038724E-2</v>
      </c>
      <c r="ED127" s="441">
        <f t="shared" si="366"/>
        <v>5.555555555555558E-2</v>
      </c>
      <c r="EE127" s="443">
        <f t="shared" si="366"/>
        <v>-3.6887362715327776E-2</v>
      </c>
      <c r="EF127" s="2142"/>
      <c r="EG127" s="2141">
        <f>EE108/EG108-1</f>
        <v>3.1538168795558263E-2</v>
      </c>
      <c r="EH127" s="441">
        <f t="shared" si="367"/>
        <v>1.0427779541595683E-2</v>
      </c>
      <c r="EI127" s="441">
        <f t="shared" si="367"/>
        <v>-0.10505528250108098</v>
      </c>
      <c r="EJ127" s="443">
        <f t="shared" si="367"/>
        <v>-5.7256563108831315E-2</v>
      </c>
      <c r="EK127" s="2142"/>
      <c r="EL127" s="2141">
        <f>EJ108/EL108-1</f>
        <v>-3.1445638879533777E-2</v>
      </c>
      <c r="EM127" s="441">
        <f t="shared" si="368"/>
        <v>4.2539000944153971E-2</v>
      </c>
      <c r="EN127" s="441">
        <f t="shared" si="369"/>
        <v>5.7647681761484382E-2</v>
      </c>
      <c r="EO127" s="443">
        <f t="shared" si="369"/>
        <v>1.8563328332196205E-2</v>
      </c>
      <c r="EP127" s="2142"/>
      <c r="EQ127" s="2141">
        <f>EO108/EQ108-1</f>
        <v>-2.8621597576007352E-3</v>
      </c>
      <c r="ER127" s="441">
        <f t="shared" si="370"/>
        <v>0</v>
      </c>
      <c r="ES127" s="441">
        <f t="shared" si="371"/>
        <v>0</v>
      </c>
      <c r="ET127" s="443">
        <f t="shared" si="372"/>
        <v>0</v>
      </c>
      <c r="EU127" s="2142"/>
      <c r="EV127" s="2141">
        <f>ET108/EV108-1</f>
        <v>0</v>
      </c>
      <c r="EW127" s="441">
        <f t="shared" si="373"/>
        <v>0</v>
      </c>
      <c r="EX127" s="441">
        <f t="shared" si="374"/>
        <v>0</v>
      </c>
      <c r="EY127" s="443">
        <f t="shared" si="375"/>
        <v>0</v>
      </c>
      <c r="EZ127" s="2142"/>
      <c r="FA127" s="2142"/>
      <c r="FB127" s="2142"/>
      <c r="FC127" s="2142"/>
      <c r="FD127" s="441"/>
      <c r="FF127" s="441"/>
    </row>
    <row r="128" spans="1:162" ht="11.25" customHeight="1">
      <c r="A128" s="2120" t="str">
        <f>A109</f>
        <v>Others (CAD/USD)</v>
      </c>
      <c r="B128" s="440"/>
      <c r="C128" s="440"/>
      <c r="D128" s="440"/>
      <c r="E128" s="440"/>
      <c r="F128" s="2142"/>
      <c r="G128" s="440"/>
      <c r="H128" s="440"/>
      <c r="I128" s="440"/>
      <c r="J128" s="440"/>
      <c r="K128" s="2142"/>
      <c r="L128" s="440"/>
      <c r="M128" s="440"/>
      <c r="N128" s="440"/>
      <c r="O128" s="440"/>
      <c r="P128" s="2142"/>
      <c r="Q128" s="440"/>
      <c r="R128" s="440"/>
      <c r="S128" s="440"/>
      <c r="T128" s="440"/>
      <c r="U128" s="2142"/>
      <c r="V128" s="440"/>
      <c r="W128" s="440"/>
      <c r="X128" s="440"/>
      <c r="Y128" s="440"/>
      <c r="Z128" s="2142"/>
      <c r="AA128" s="440"/>
      <c r="AB128" s="440"/>
      <c r="AC128" s="440"/>
      <c r="AD128" s="440"/>
      <c r="AE128" s="2142"/>
      <c r="AF128" s="440"/>
      <c r="AG128" s="440"/>
      <c r="AH128" s="440"/>
      <c r="AI128" s="440"/>
      <c r="AJ128" s="2142"/>
      <c r="AK128" s="440"/>
      <c r="AL128" s="440"/>
      <c r="AM128" s="440"/>
      <c r="AN128" s="440"/>
      <c r="AO128" s="2142"/>
      <c r="AP128" s="440"/>
      <c r="AQ128" s="440"/>
      <c r="AR128" s="440"/>
      <c r="AS128" s="440"/>
      <c r="AT128" s="2142"/>
      <c r="AU128" s="440"/>
      <c r="AV128" s="440"/>
      <c r="AW128" s="440"/>
      <c r="AX128" s="440"/>
      <c r="AY128" s="2142"/>
      <c r="AZ128" s="2141"/>
      <c r="BA128" s="441"/>
      <c r="BB128" s="441"/>
      <c r="BC128" s="443"/>
      <c r="BD128" s="2142"/>
      <c r="BE128" s="2141"/>
      <c r="BF128" s="441"/>
      <c r="BG128" s="441"/>
      <c r="BH128" s="443"/>
      <c r="BI128" s="2142"/>
      <c r="BJ128" s="2141"/>
      <c r="BK128" s="441"/>
      <c r="BL128" s="441"/>
      <c r="BM128" s="443"/>
      <c r="BN128" s="2142"/>
      <c r="BO128" s="2141"/>
      <c r="BP128" s="441"/>
      <c r="BQ128" s="441"/>
      <c r="BR128" s="443"/>
      <c r="BS128" s="2142"/>
      <c r="BT128" s="2141"/>
      <c r="BU128" s="441"/>
      <c r="BV128" s="441"/>
      <c r="BW128" s="443"/>
      <c r="BX128" s="2142"/>
      <c r="BY128" s="2141"/>
      <c r="BZ128" s="441"/>
      <c r="CA128" s="441"/>
      <c r="CB128" s="443"/>
      <c r="CC128" s="2142"/>
      <c r="CD128" s="2141"/>
      <c r="CE128" s="441"/>
      <c r="CF128" s="441"/>
      <c r="CG128" s="443"/>
      <c r="CH128" s="2142"/>
      <c r="CI128" s="2141"/>
      <c r="CJ128" s="441"/>
      <c r="CK128" s="441"/>
      <c r="CL128" s="443"/>
      <c r="CM128" s="2142"/>
      <c r="CN128" s="2141"/>
      <c r="CO128" s="441"/>
      <c r="CP128" s="441"/>
      <c r="CQ128" s="443"/>
      <c r="CR128" s="2142"/>
      <c r="CS128" s="2141">
        <f>CQ109/CS109-1</f>
        <v>-3.8689396687220379E-2</v>
      </c>
      <c r="CT128" s="441">
        <f t="shared" si="359"/>
        <v>6.9904017799394591E-2</v>
      </c>
      <c r="CU128" s="441">
        <f t="shared" si="359"/>
        <v>-1.0394531350009006E-2</v>
      </c>
      <c r="CV128" s="443">
        <f t="shared" si="359"/>
        <v>-2.2865434168063414E-2</v>
      </c>
      <c r="CW128" s="2142"/>
      <c r="CX128" s="2141">
        <f>CV109/CX109-1</f>
        <v>5.0538066981797858E-3</v>
      </c>
      <c r="CY128" s="441">
        <f t="shared" si="360"/>
        <v>-1.7271626596822687E-2</v>
      </c>
      <c r="CZ128" s="441">
        <f t="shared" si="360"/>
        <v>6.7104361124294742E-2</v>
      </c>
      <c r="DA128" s="443">
        <f t="shared" si="360"/>
        <v>-8.6520113966072065E-3</v>
      </c>
      <c r="DB128" s="2142"/>
      <c r="DC128" s="2141">
        <f>DA109/DC109-1</f>
        <v>2.9354786632944219E-2</v>
      </c>
      <c r="DD128" s="441">
        <f t="shared" si="361"/>
        <v>-3.9663057802124091E-2</v>
      </c>
      <c r="DE128" s="441">
        <f t="shared" si="361"/>
        <v>-1.2200413486816886E-2</v>
      </c>
      <c r="DF128" s="443">
        <f t="shared" si="361"/>
        <v>-4.5227024417510142E-3</v>
      </c>
      <c r="DG128" s="2142"/>
      <c r="DH128" s="2141">
        <f>DF109/DH109-1</f>
        <v>-1.4448840586968714E-2</v>
      </c>
      <c r="DI128" s="441">
        <f t="shared" si="362"/>
        <v>-7.9248751645838444E-3</v>
      </c>
      <c r="DJ128" s="441">
        <f t="shared" si="362"/>
        <v>1.6566911634719794E-2</v>
      </c>
      <c r="DK128" s="443">
        <f t="shared" si="362"/>
        <v>-2.2677451054502473E-3</v>
      </c>
      <c r="DL128" s="2142"/>
      <c r="DM128" s="2141">
        <f>DK109/DM109-1</f>
        <v>1.3372357067165108E-3</v>
      </c>
      <c r="DN128" s="441">
        <f t="shared" si="363"/>
        <v>-5.1523200995524987E-2</v>
      </c>
      <c r="DO128" s="441">
        <f t="shared" si="363"/>
        <v>4.3761708505058117E-2</v>
      </c>
      <c r="DP128" s="443">
        <f t="shared" si="363"/>
        <v>9.9392043591230994E-3</v>
      </c>
      <c r="DQ128" s="2142"/>
      <c r="DR128" s="2141">
        <f>DP109/DR109-1</f>
        <v>3.6637029288702827E-2</v>
      </c>
      <c r="DS128" s="441">
        <f t="shared" si="364"/>
        <v>3.5949394522255318E-2</v>
      </c>
      <c r="DT128" s="441">
        <f t="shared" si="364"/>
        <v>-1.5364506922030507E-2</v>
      </c>
      <c r="DU128" s="443">
        <f t="shared" si="364"/>
        <v>-9.4591381087008042E-3</v>
      </c>
      <c r="DV128" s="2142"/>
      <c r="DW128" s="2141">
        <f>DU109/DW109-1</f>
        <v>-4.5502367175170866E-3</v>
      </c>
      <c r="DX128" s="441">
        <f t="shared" si="365"/>
        <v>5.2631578947370805E-4</v>
      </c>
      <c r="DY128" s="441">
        <f t="shared" si="365"/>
        <v>-2.0568070519099035E-2</v>
      </c>
      <c r="DZ128" s="443">
        <f t="shared" si="365"/>
        <v>-5.0581181940535846E-2</v>
      </c>
      <c r="EA128" s="2142"/>
      <c r="EB128" s="2141">
        <f>DZ109/EB109-1</f>
        <v>8.8379786209791256E-3</v>
      </c>
      <c r="EC128" s="441">
        <f t="shared" si="366"/>
        <v>-3.3216869248559044E-3</v>
      </c>
      <c r="ED128" s="441">
        <f t="shared" si="366"/>
        <v>1.7576364546819878E-2</v>
      </c>
      <c r="EE128" s="443">
        <f t="shared" si="366"/>
        <v>-2.6162436300685044E-2</v>
      </c>
      <c r="EF128" s="2142"/>
      <c r="EG128" s="2141">
        <f>EE109/EG109-1</f>
        <v>1.8779342723004744E-2</v>
      </c>
      <c r="EH128" s="441">
        <f t="shared" si="367"/>
        <v>-1.6827040492355838E-2</v>
      </c>
      <c r="EI128" s="441">
        <f t="shared" si="367"/>
        <v>-8.0529051465394463E-4</v>
      </c>
      <c r="EJ128" s="443">
        <f t="shared" si="367"/>
        <v>-1.1720728325093299E-2</v>
      </c>
      <c r="EK128" s="2142"/>
      <c r="EL128" s="2141">
        <f>EJ109/EL109-1</f>
        <v>-4.4276955699995457E-2</v>
      </c>
      <c r="EM128" s="441">
        <f t="shared" si="368"/>
        <v>3.4847942754919536E-2</v>
      </c>
      <c r="EN128" s="441">
        <f t="shared" si="369"/>
        <v>1.7473607571896643E-2</v>
      </c>
      <c r="EO128" s="443">
        <f t="shared" si="369"/>
        <v>-1.4281613319936715E-2</v>
      </c>
      <c r="EP128" s="2142"/>
      <c r="EQ128" s="2141">
        <f>EO109/EQ109-1</f>
        <v>-5.0211606054095803E-4</v>
      </c>
      <c r="ER128" s="441">
        <f t="shared" si="370"/>
        <v>0</v>
      </c>
      <c r="ES128" s="441">
        <f t="shared" si="371"/>
        <v>0</v>
      </c>
      <c r="ET128" s="443">
        <f t="shared" si="372"/>
        <v>0</v>
      </c>
      <c r="EU128" s="2142"/>
      <c r="EV128" s="2141">
        <f>ET109/EV109-1</f>
        <v>0</v>
      </c>
      <c r="EW128" s="441">
        <f t="shared" si="373"/>
        <v>0</v>
      </c>
      <c r="EX128" s="441">
        <f t="shared" si="374"/>
        <v>0</v>
      </c>
      <c r="EY128" s="443">
        <f t="shared" si="375"/>
        <v>0</v>
      </c>
      <c r="EZ128" s="2142"/>
      <c r="FA128" s="2142"/>
      <c r="FB128" s="2142"/>
      <c r="FC128" s="2142"/>
      <c r="FD128" s="441"/>
      <c r="FF128" s="441"/>
    </row>
    <row r="129" spans="1:169" ht="11.25" customHeight="1">
      <c r="A129" s="2150"/>
      <c r="B129" s="2117"/>
      <c r="C129" s="2117"/>
      <c r="D129" s="2117"/>
      <c r="E129" s="2117"/>
      <c r="F129" s="2151"/>
      <c r="G129" s="2117"/>
      <c r="H129" s="2117"/>
      <c r="I129" s="2117"/>
      <c r="J129" s="2117"/>
      <c r="K129" s="2151"/>
      <c r="L129" s="2117"/>
      <c r="M129" s="2117"/>
      <c r="N129" s="2117"/>
      <c r="O129" s="2117"/>
      <c r="P129" s="2151"/>
      <c r="Q129" s="2117"/>
      <c r="R129" s="2117"/>
      <c r="S129" s="2117"/>
      <c r="T129" s="2117"/>
      <c r="U129" s="2151"/>
      <c r="V129" s="2117"/>
      <c r="W129" s="2117"/>
      <c r="X129" s="2117"/>
      <c r="Y129" s="2117"/>
      <c r="Z129" s="2151"/>
      <c r="AA129" s="2117"/>
      <c r="AB129" s="2117"/>
      <c r="AC129" s="2117"/>
      <c r="AD129" s="2117"/>
      <c r="AE129" s="2151"/>
      <c r="AF129" s="2117"/>
      <c r="AG129" s="2117"/>
      <c r="AH129" s="2117"/>
      <c r="AI129" s="2117"/>
      <c r="AJ129" s="2151"/>
      <c r="AK129" s="2117"/>
      <c r="AL129" s="2117"/>
      <c r="AM129" s="2117"/>
      <c r="AN129" s="2117"/>
      <c r="AO129" s="2151"/>
      <c r="AP129" s="2117"/>
      <c r="AQ129" s="2117"/>
      <c r="AR129" s="2117"/>
      <c r="AS129" s="2117"/>
      <c r="AT129" s="2151"/>
      <c r="AU129" s="2117"/>
      <c r="AV129" s="2117"/>
      <c r="AW129" s="2117"/>
      <c r="AX129" s="2117"/>
      <c r="AY129" s="2151"/>
      <c r="AZ129" s="1921"/>
      <c r="BA129" s="2118"/>
      <c r="BB129" s="2118"/>
      <c r="BC129" s="2118"/>
      <c r="BD129" s="2151"/>
      <c r="BE129" s="1921"/>
      <c r="BF129" s="2118"/>
      <c r="BG129" s="2118"/>
      <c r="BH129" s="2118"/>
      <c r="BI129" s="2151"/>
      <c r="BJ129" s="1921"/>
      <c r="BK129" s="2118"/>
      <c r="BL129" s="2118"/>
      <c r="BM129" s="1920"/>
      <c r="BN129" s="2151"/>
      <c r="BO129" s="1921"/>
      <c r="BP129" s="2118"/>
      <c r="BQ129" s="2118"/>
      <c r="BR129" s="2118"/>
      <c r="BS129" s="2151"/>
      <c r="BT129" s="1921"/>
      <c r="BU129" s="2118"/>
      <c r="BV129" s="2118"/>
      <c r="BW129" s="1920"/>
      <c r="BX129" s="2151"/>
      <c r="BY129" s="1921"/>
      <c r="BZ129" s="2118"/>
      <c r="CA129" s="2118"/>
      <c r="CB129" s="1920"/>
      <c r="CC129" s="2151"/>
      <c r="CD129" s="1921"/>
      <c r="CE129" s="2118"/>
      <c r="CF129" s="2118"/>
      <c r="CG129" s="1920"/>
      <c r="CH129" s="2151"/>
      <c r="CI129" s="1921"/>
      <c r="CJ129" s="2118"/>
      <c r="CK129" s="2118"/>
      <c r="CL129" s="1920"/>
      <c r="CM129" s="2151"/>
      <c r="CN129" s="1921"/>
      <c r="CO129" s="2118"/>
      <c r="CP129" s="2118"/>
      <c r="CQ129" s="1920"/>
      <c r="CR129" s="2151"/>
      <c r="CS129" s="1921"/>
      <c r="CT129" s="2118"/>
      <c r="CU129" s="2118"/>
      <c r="CV129" s="1920"/>
      <c r="CW129" s="2151"/>
      <c r="CX129" s="1921"/>
      <c r="CY129" s="2118"/>
      <c r="CZ129" s="2118"/>
      <c r="DA129" s="1920"/>
      <c r="DB129" s="2151"/>
      <c r="DC129" s="1921"/>
      <c r="DD129" s="2118"/>
      <c r="DE129" s="2118"/>
      <c r="DF129" s="1920"/>
      <c r="DG129" s="2151"/>
      <c r="DH129" s="1921"/>
      <c r="DI129" s="2118"/>
      <c r="DJ129" s="2118"/>
      <c r="DK129" s="1920"/>
      <c r="DL129" s="2151"/>
      <c r="DM129" s="1921"/>
      <c r="DN129" s="2118"/>
      <c r="DO129" s="2118"/>
      <c r="DP129" s="1920"/>
      <c r="DQ129" s="2151"/>
      <c r="DR129" s="1921"/>
      <c r="DS129" s="2118"/>
      <c r="DT129" s="2118"/>
      <c r="DU129" s="1920"/>
      <c r="DV129" s="2151"/>
      <c r="DW129" s="1921"/>
      <c r="DX129" s="2118"/>
      <c r="DY129" s="2118"/>
      <c r="DZ129" s="1920"/>
      <c r="EA129" s="2151"/>
      <c r="EB129" s="1921"/>
      <c r="EC129" s="2118"/>
      <c r="ED129" s="2118"/>
      <c r="EE129" s="1920"/>
      <c r="EF129" s="2151"/>
      <c r="EG129" s="1921"/>
      <c r="EH129" s="2118"/>
      <c r="EI129" s="2118"/>
      <c r="EJ129" s="1920"/>
      <c r="EK129" s="2151"/>
      <c r="EL129" s="1921"/>
      <c r="EM129" s="2118"/>
      <c r="EN129" s="2118"/>
      <c r="EO129" s="1920"/>
      <c r="EP129" s="2151"/>
      <c r="EQ129" s="1921"/>
      <c r="ER129" s="2118"/>
      <c r="ES129" s="2118"/>
      <c r="ET129" s="1920"/>
      <c r="EU129" s="2151"/>
      <c r="EV129" s="1921"/>
      <c r="EW129" s="2118"/>
      <c r="EX129" s="2118"/>
      <c r="EY129" s="1920"/>
      <c r="EZ129" s="2151"/>
      <c r="FA129" s="2151"/>
      <c r="FB129" s="2151"/>
      <c r="FC129" s="2151"/>
      <c r="FD129" s="441"/>
      <c r="FF129" s="441"/>
    </row>
    <row r="130" spans="1:169" s="476" customFormat="1" ht="11.25" customHeight="1">
      <c r="A130" s="3202" t="s">
        <v>609</v>
      </c>
      <c r="B130" s="3203"/>
      <c r="C130" s="3203"/>
      <c r="D130" s="3203"/>
      <c r="E130" s="3203"/>
      <c r="F130" s="3204"/>
      <c r="G130" s="3203"/>
      <c r="H130" s="3203"/>
      <c r="I130" s="3203"/>
      <c r="J130" s="3203"/>
      <c r="K130" s="3204"/>
      <c r="L130" s="3203"/>
      <c r="M130" s="3203"/>
      <c r="N130" s="3203"/>
      <c r="O130" s="3203"/>
      <c r="P130" s="3204"/>
      <c r="Q130" s="3203"/>
      <c r="R130" s="3203"/>
      <c r="S130" s="3203"/>
      <c r="T130" s="3203"/>
      <c r="U130" s="3204"/>
      <c r="V130" s="3203"/>
      <c r="W130" s="3203"/>
      <c r="X130" s="3203"/>
      <c r="Y130" s="3203"/>
      <c r="Z130" s="3204"/>
      <c r="AA130" s="3203"/>
      <c r="AB130" s="3203"/>
      <c r="AC130" s="3203"/>
      <c r="AD130" s="3203"/>
      <c r="AE130" s="3204"/>
      <c r="AF130" s="3203"/>
      <c r="AG130" s="3203"/>
      <c r="AH130" s="3203"/>
      <c r="AI130" s="3203"/>
      <c r="AJ130" s="3204"/>
      <c r="AK130" s="3203"/>
      <c r="AL130" s="3203"/>
      <c r="AM130" s="3203"/>
      <c r="AN130" s="3203"/>
      <c r="AO130" s="3204"/>
      <c r="AP130" s="3203"/>
      <c r="AQ130" s="3203"/>
      <c r="AR130" s="3203"/>
      <c r="AS130" s="3203"/>
      <c r="AT130" s="3204"/>
      <c r="AU130" s="3203"/>
      <c r="AV130" s="3203"/>
      <c r="AW130" s="3203"/>
      <c r="AX130" s="3203"/>
      <c r="AY130" s="3204"/>
      <c r="AZ130" s="3205"/>
      <c r="BA130" s="3206"/>
      <c r="BB130" s="3206"/>
      <c r="BC130" s="3206"/>
      <c r="BD130" s="3204"/>
      <c r="BE130" s="3205"/>
      <c r="BF130" s="3206"/>
      <c r="BG130" s="3206"/>
      <c r="BH130" s="3206"/>
      <c r="BI130" s="3204"/>
      <c r="BJ130" s="3205"/>
      <c r="BK130" s="3206"/>
      <c r="BL130" s="3206"/>
      <c r="BM130" s="3207"/>
      <c r="BN130" s="3204"/>
      <c r="BO130" s="3205"/>
      <c r="BP130" s="3206"/>
      <c r="BQ130" s="3206"/>
      <c r="BR130" s="3206"/>
      <c r="BS130" s="3204"/>
      <c r="BT130" s="3205"/>
      <c r="BU130" s="3206"/>
      <c r="BV130" s="3206"/>
      <c r="BW130" s="3207"/>
      <c r="BX130" s="3204"/>
      <c r="BY130" s="3205"/>
      <c r="BZ130" s="3206"/>
      <c r="CA130" s="3206"/>
      <c r="CB130" s="3207"/>
      <c r="CC130" s="3204"/>
      <c r="CD130" s="3205"/>
      <c r="CE130" s="3206"/>
      <c r="CF130" s="3206"/>
      <c r="CG130" s="3207"/>
      <c r="CH130" s="3204"/>
      <c r="CI130" s="3205"/>
      <c r="CJ130" s="3206"/>
      <c r="CK130" s="3206"/>
      <c r="CL130" s="3207"/>
      <c r="CM130" s="3204"/>
      <c r="CN130" s="3205"/>
      <c r="CO130" s="3206"/>
      <c r="CP130" s="3206"/>
      <c r="CQ130" s="3207"/>
      <c r="CR130" s="3204"/>
      <c r="CS130" s="3205">
        <f>SUMPRODUCT(CS97:CS101,CS124:CS128)</f>
        <v>-4.9296170916499099E-2</v>
      </c>
      <c r="CT130" s="3206">
        <f>SUMPRODUCT(CT97:CT101,CT124:CT128)</f>
        <v>7.163666973434081E-2</v>
      </c>
      <c r="CU130" s="3206">
        <f>SUMPRODUCT(CU97:CU101,CU124:CU128)</f>
        <v>1.4436580956816478E-2</v>
      </c>
      <c r="CV130" s="3207">
        <f>SUMPRODUCT(CV97:CV101,CV124:CV128)</f>
        <v>-2.7426298911403319E-2</v>
      </c>
      <c r="CW130" s="3204"/>
      <c r="CX130" s="3205">
        <f t="shared" ref="CX130:DF130" si="376">SUMPRODUCT(CX97:CX101,CX124:CX128)</f>
        <v>-9.5814493366001147E-4</v>
      </c>
      <c r="CY130" s="3206">
        <f t="shared" si="376"/>
        <v>1.9481478085272379E-2</v>
      </c>
      <c r="CZ130" s="3206">
        <f t="shared" si="376"/>
        <v>3.2651650995591329E-2</v>
      </c>
      <c r="DA130" s="3207">
        <f t="shared" si="376"/>
        <v>-1.6520194848556442E-2</v>
      </c>
      <c r="DB130" s="3204"/>
      <c r="DC130" s="3205">
        <f t="shared" si="376"/>
        <v>-1.8324848733420743E-3</v>
      </c>
      <c r="DD130" s="3206">
        <f t="shared" si="376"/>
        <v>-4.7607956794833185E-2</v>
      </c>
      <c r="DE130" s="3206">
        <f t="shared" si="376"/>
        <v>-3.9712422818380083E-2</v>
      </c>
      <c r="DF130" s="3207">
        <f t="shared" si="376"/>
        <v>-1.2129582768310554E-2</v>
      </c>
      <c r="DG130" s="3204"/>
      <c r="DH130" s="3205">
        <f>SUMPRODUCT(DH97:DH101,DH124:DH128)</f>
        <v>7.0307916904040705E-3</v>
      </c>
      <c r="DI130" s="3206">
        <f>SUMPRODUCT(DI97:DI101,DI124:DI128)</f>
        <v>-1.9073024548209295E-2</v>
      </c>
      <c r="DJ130" s="3206">
        <f>SUMPRODUCT(DJ97:DJ101,DJ124:DJ128)</f>
        <v>1.3613383441717294E-3</v>
      </c>
      <c r="DK130" s="3207">
        <f>SUMPRODUCT(DK97:DK101,DK124:DK128)</f>
        <v>-2.2420549821435164E-2</v>
      </c>
      <c r="DL130" s="3204"/>
      <c r="DM130" s="3205">
        <f>SUMPRODUCT(DM97:DM101,DM124:DM128)</f>
        <v>-4.5861574486031932E-3</v>
      </c>
      <c r="DN130" s="3206">
        <f>SUMPRODUCT(DN97:DN101,DN124:DN128)</f>
        <v>-0.11947492588410882</v>
      </c>
      <c r="DO130" s="3206">
        <f>SUMPRODUCT(DO97:DO101,DO124:DO128)</f>
        <v>2.3684201879256718E-2</v>
      </c>
      <c r="DP130" s="3207">
        <f>SUMPRODUCT(DP97:DP101,DP124:DP128)</f>
        <v>4.2920140580677713E-3</v>
      </c>
      <c r="DQ130" s="3204"/>
      <c r="DR130" s="3205">
        <f>SUMPRODUCT(DR97:DR101,DR124:DR128)</f>
        <v>2.772763127796958E-2</v>
      </c>
      <c r="DS130" s="3206">
        <f>SUMPRODUCT(DS97:DS101,DS124:DS128)</f>
        <v>6.9871729685346048E-3</v>
      </c>
      <c r="DT130" s="3206">
        <f>SUMPRODUCT(DT97:DT101,DT124:DT128)</f>
        <v>1.8134323081709636E-2</v>
      </c>
      <c r="DU130" s="3207">
        <f>SUMPRODUCT(DU97:DU101,DU124:DU128)</f>
        <v>-4.9451941070152994E-2</v>
      </c>
      <c r="DV130" s="3204"/>
      <c r="DW130" s="3205">
        <f>SUMPRODUCT(DW97:DW101,DW124:DW128)</f>
        <v>7.0347979986646967E-3</v>
      </c>
      <c r="DX130" s="3206">
        <f>SUMPRODUCT(DX97:DX101,DX124:DX128)</f>
        <v>2.7249627449563558E-2</v>
      </c>
      <c r="DY130" s="3206">
        <f>SUMPRODUCT(DY97:DY101,DY124:DY128)</f>
        <v>-4.3447583079416797E-2</v>
      </c>
      <c r="DZ130" s="3207">
        <f>SUMPRODUCT(DZ97:DZ101,DZ124:DZ128)</f>
        <v>-2.9621863017695267E-2</v>
      </c>
      <c r="EA130" s="3204"/>
      <c r="EB130" s="3205">
        <f>SUMPRODUCT(EB97:EB101,EB124:EB128)</f>
        <v>6.2198831979499263E-3</v>
      </c>
      <c r="EC130" s="3206">
        <f>SUMPRODUCT(EC97:EC101,EC124:EC128)</f>
        <v>9.7510082588381161E-3</v>
      </c>
      <c r="ED130" s="3206">
        <f>SUMPRODUCT(ED97:ED101,ED124:ED128)</f>
        <v>1.9585131031688765E-3</v>
      </c>
      <c r="EE130" s="3207">
        <f>SUMPRODUCT(EE97:EE101,EE124:EE128)</f>
        <v>-4.7971056389843406E-2</v>
      </c>
      <c r="EF130" s="3204"/>
      <c r="EG130" s="3205">
        <f>SUMPRODUCT(EG97:EG101,EG124:EG128)</f>
        <v>-5.2730298663535825E-2</v>
      </c>
      <c r="EH130" s="3206">
        <f>SUMPRODUCT(EH97:EH101,EH124:EH128)</f>
        <v>-3.0622182306814006E-2</v>
      </c>
      <c r="EI130" s="3206">
        <f>SUMPRODUCT(EI97:EI101,EI124:EI128)</f>
        <v>-5.348808069449338E-2</v>
      </c>
      <c r="EJ130" s="3207">
        <f>SUMPRODUCT(EJ97:EJ101,EJ124:EJ128)</f>
        <v>-2.5834812595165031E-2</v>
      </c>
      <c r="EK130" s="3204"/>
      <c r="EL130" s="3205">
        <f>SUMPRODUCT(EL97:EL101,EL124:EL128)</f>
        <v>-4.2032956193002076E-2</v>
      </c>
      <c r="EM130" s="3206">
        <f>SUMPRODUCT(EM97:EM101,EM124:EM128)</f>
        <v>2.6485007638323222E-2</v>
      </c>
      <c r="EN130" s="3206">
        <f>SUMPRODUCT(EN97:EN101,EN124:EN128)</f>
        <v>1.3785176506238211E-2</v>
      </c>
      <c r="EO130" s="3207">
        <f>SUMPRODUCT(EO97:EO101,EO124:EO128)</f>
        <v>-1.4891138862666783E-3</v>
      </c>
      <c r="EP130" s="3204"/>
      <c r="EQ130" s="3205">
        <f>SUMPRODUCT(EQ97:EQ101,EQ124:EQ128)</f>
        <v>-3.1503921810324413E-3</v>
      </c>
      <c r="ER130" s="3206">
        <f>SUMPRODUCT(ER97:ER101,ER124:ER128)</f>
        <v>0</v>
      </c>
      <c r="ES130" s="3206">
        <f>SUMPRODUCT(ES97:ES101,ES124:ES128)</f>
        <v>0</v>
      </c>
      <c r="ET130" s="3207">
        <f>SUMPRODUCT(ET97:ET101,ET124:ET128)</f>
        <v>0</v>
      </c>
      <c r="EU130" s="3204"/>
      <c r="EV130" s="3205">
        <f>SUMPRODUCT(EV97:EV101,EV124:EV128)</f>
        <v>0</v>
      </c>
      <c r="EW130" s="3206">
        <f>SUMPRODUCT(EW97:EW101,EW124:EW128)</f>
        <v>0</v>
      </c>
      <c r="EX130" s="3206">
        <f>SUMPRODUCT(EX97:EX101,EX124:EX128)</f>
        <v>0</v>
      </c>
      <c r="EY130" s="3207">
        <f>SUMPRODUCT(EY97:EY101,EY124:EY128)</f>
        <v>0</v>
      </c>
      <c r="EZ130" s="3204"/>
      <c r="FA130" s="3204"/>
      <c r="FB130" s="3204"/>
      <c r="FC130" s="3204"/>
      <c r="FD130"/>
      <c r="FF130"/>
    </row>
    <row r="131" spans="1:169" ht="11.25" customHeight="1">
      <c r="A131" s="2120" t="s">
        <v>352</v>
      </c>
      <c r="B131" s="421"/>
      <c r="C131" s="421"/>
      <c r="D131" s="421"/>
      <c r="E131" s="421"/>
      <c r="F131" s="2143"/>
      <c r="G131" s="421"/>
      <c r="H131" s="421"/>
      <c r="I131" s="421"/>
      <c r="J131" s="421"/>
      <c r="K131" s="2143"/>
      <c r="L131" s="421"/>
      <c r="M131" s="421"/>
      <c r="N131" s="421"/>
      <c r="O131" s="421"/>
      <c r="P131" s="2143"/>
      <c r="Q131" s="421"/>
      <c r="R131" s="421"/>
      <c r="S131" s="421"/>
      <c r="T131" s="421"/>
      <c r="U131" s="2143"/>
      <c r="V131" s="421"/>
      <c r="W131" s="421"/>
      <c r="X131" s="421"/>
      <c r="Y131" s="421"/>
      <c r="Z131" s="2143"/>
      <c r="AA131" s="421"/>
      <c r="AB131" s="421"/>
      <c r="AC131" s="421"/>
      <c r="AD131" s="421"/>
      <c r="AE131" s="2143"/>
      <c r="AF131" s="421"/>
      <c r="AG131" s="421"/>
      <c r="AH131" s="421"/>
      <c r="AI131" s="421"/>
      <c r="AJ131" s="2143"/>
      <c r="AK131" s="421"/>
      <c r="AL131" s="421"/>
      <c r="AM131" s="421"/>
      <c r="AN131" s="421"/>
      <c r="AO131" s="2143"/>
      <c r="AP131" s="421"/>
      <c r="AQ131" s="421"/>
      <c r="AR131" s="421"/>
      <c r="AS131" s="421"/>
      <c r="AT131" s="2143"/>
      <c r="AU131" s="421"/>
      <c r="AV131" s="421"/>
      <c r="AW131" s="421"/>
      <c r="AX131" s="421"/>
      <c r="AY131" s="2143"/>
      <c r="AZ131" s="2144"/>
      <c r="BA131" s="450"/>
      <c r="BB131" s="450"/>
      <c r="BC131" s="450"/>
      <c r="BD131" s="2143"/>
      <c r="BE131" s="2144"/>
      <c r="BF131" s="450"/>
      <c r="BG131" s="450"/>
      <c r="BH131" s="450"/>
      <c r="BI131" s="2143"/>
      <c r="BJ131" s="2144"/>
      <c r="BK131" s="450"/>
      <c r="BL131" s="450"/>
      <c r="BM131" s="450"/>
      <c r="BN131" s="2143"/>
      <c r="BO131" s="2144"/>
      <c r="BP131" s="452"/>
      <c r="BQ131" s="452"/>
      <c r="BR131" s="452"/>
      <c r="BS131" s="2143"/>
      <c r="BT131" s="2144"/>
      <c r="BU131" s="450"/>
      <c r="BV131" s="450"/>
      <c r="BW131" s="1175"/>
      <c r="BX131" s="2143"/>
      <c r="BY131" s="2144"/>
      <c r="BZ131" s="450"/>
      <c r="CA131" s="450"/>
      <c r="CB131" s="1175"/>
      <c r="CC131" s="2143"/>
      <c r="CD131" s="2144"/>
      <c r="CE131" s="450"/>
      <c r="CF131" s="450"/>
      <c r="CG131" s="1175"/>
      <c r="CH131" s="2143"/>
      <c r="CI131" s="450"/>
      <c r="CJ131" s="450"/>
      <c r="CK131" s="450"/>
      <c r="CL131" s="1175"/>
      <c r="CM131" s="2143"/>
      <c r="CN131" s="450"/>
      <c r="CO131" s="450"/>
      <c r="CP131" s="450"/>
      <c r="CQ131" s="1175"/>
      <c r="CR131" s="2143"/>
      <c r="CS131" s="450"/>
      <c r="CT131" s="450"/>
      <c r="CU131" s="450"/>
      <c r="CV131" s="450"/>
      <c r="CW131" s="2143"/>
      <c r="CX131" s="450">
        <f>+CX132/CX130</f>
        <v>-7.4430673188768779</v>
      </c>
      <c r="CY131" s="2627">
        <f>+CY132/CY130</f>
        <v>-0.10905978915210569</v>
      </c>
      <c r="CZ131" s="2627">
        <f>+CZ132/CZ130</f>
        <v>0.60130214720395192</v>
      </c>
      <c r="DA131" s="2627">
        <f>+DA132/DA130</f>
        <v>0.37812789397886587</v>
      </c>
      <c r="DB131" s="2143"/>
      <c r="DC131" s="2627">
        <f t="shared" ref="DC131:DM131" si="377">+DC132/DC130</f>
        <v>0.94412992510712945</v>
      </c>
      <c r="DD131" s="2627">
        <f t="shared" si="377"/>
        <v>0.71333228450308073</v>
      </c>
      <c r="DE131" s="2627">
        <f t="shared" si="377"/>
        <v>1.0816370131256927</v>
      </c>
      <c r="DF131" s="2627">
        <f t="shared" si="377"/>
        <v>0.99908563653695459</v>
      </c>
      <c r="DG131" s="2143"/>
      <c r="DH131" s="2627">
        <f t="shared" si="377"/>
        <v>7.4662201117203744E-2</v>
      </c>
      <c r="DI131" s="2627">
        <f t="shared" si="377"/>
        <v>1.0403751649991044</v>
      </c>
      <c r="DJ131" s="2627">
        <f t="shared" si="377"/>
        <v>4.1938630490170432</v>
      </c>
      <c r="DK131" s="2627">
        <f t="shared" si="377"/>
        <v>0.9336432370495279</v>
      </c>
      <c r="DL131" s="2143"/>
      <c r="DM131" s="2627">
        <f t="shared" si="377"/>
        <v>1.4061098537173329</v>
      </c>
      <c r="DN131" s="2627">
        <f>+DN132/DN130</f>
        <v>0.78378109529791362</v>
      </c>
      <c r="DO131" s="2627">
        <f>+DO132/DO130</f>
        <v>0.63261058104099366</v>
      </c>
      <c r="DP131" s="2627">
        <f>+DP132/DP130</f>
        <v>-0.83727518483195262</v>
      </c>
      <c r="DQ131" s="2143"/>
      <c r="DR131" s="2627">
        <f>+DR132/DR130</f>
        <v>0.98197074605180856</v>
      </c>
      <c r="DS131" s="2627">
        <f>+DS132/DS130</f>
        <v>-0.29719246426630724</v>
      </c>
      <c r="DT131" s="2627">
        <f>+DT132/DT130</f>
        <v>0.81942175129730876</v>
      </c>
      <c r="DU131" s="2627">
        <f>+DU132/DU130</f>
        <v>0.50110675573344898</v>
      </c>
      <c r="DV131" s="2143"/>
      <c r="DW131" s="2627">
        <f>+DW132/DW130</f>
        <v>-0.44260661903144599</v>
      </c>
      <c r="DX131" s="2627">
        <f>+DX132/DX130</f>
        <v>0.94541590334441639</v>
      </c>
      <c r="DY131" s="2627">
        <f>+DY132/DY130</f>
        <v>0.81549381852775538</v>
      </c>
      <c r="DZ131" s="2627">
        <f>+DZ132/DZ130</f>
        <v>0.99228636764766021</v>
      </c>
      <c r="EA131" s="2143"/>
      <c r="EB131" s="2627">
        <f>+EB132/EB130</f>
        <v>0.6726975869561469</v>
      </c>
      <c r="EC131" s="2627">
        <f>+EC132/EC130</f>
        <v>0.18219586477935121</v>
      </c>
      <c r="ED131" s="2627">
        <f>+ED132/ED130</f>
        <v>6.7033587424624033</v>
      </c>
      <c r="EE131" s="2627">
        <f>+EE132/EE130</f>
        <v>0.59090133091727659</v>
      </c>
      <c r="EF131" s="2143"/>
      <c r="EG131" s="2627">
        <f>+EG132/EG130</f>
        <v>0.28898177374885142</v>
      </c>
      <c r="EH131" s="2627">
        <f>+EH132/EH130</f>
        <v>0.41783050988936393</v>
      </c>
      <c r="EI131" s="2627">
        <f>+EI132/EI130</f>
        <v>0.63134969012919229</v>
      </c>
      <c r="EJ131" s="2627">
        <f>+EJ132/EJ130</f>
        <v>0.53917529457606317</v>
      </c>
      <c r="EK131" s="2143"/>
      <c r="EL131" s="2627">
        <f>+EL132/EL130</f>
        <v>0.63713655132024893</v>
      </c>
      <c r="EM131" s="2627">
        <f>+EM132/EM130</f>
        <v>0.73152078022422706</v>
      </c>
      <c r="EN131" s="453">
        <v>1</v>
      </c>
      <c r="EO131" s="453">
        <f>+EN131</f>
        <v>1</v>
      </c>
      <c r="EP131" s="2143"/>
      <c r="EQ131" s="453">
        <f>EO131</f>
        <v>1</v>
      </c>
      <c r="ER131" s="453">
        <f>EQ131</f>
        <v>1</v>
      </c>
      <c r="ES131" s="453">
        <f>+ER131</f>
        <v>1</v>
      </c>
      <c r="ET131" s="453">
        <f>+ES131</f>
        <v>1</v>
      </c>
      <c r="EU131" s="2143"/>
      <c r="EV131" s="453">
        <f>ET131</f>
        <v>1</v>
      </c>
      <c r="EW131" s="453">
        <f>EV131</f>
        <v>1</v>
      </c>
      <c r="EX131" s="453">
        <f>+EW131</f>
        <v>1</v>
      </c>
      <c r="EY131" s="453">
        <f>+EX131</f>
        <v>1</v>
      </c>
      <c r="EZ131" s="2143"/>
      <c r="FA131" s="2143"/>
      <c r="FB131" s="2143"/>
      <c r="FC131" s="2143"/>
      <c r="FD131" s="453"/>
      <c r="FF131" s="453"/>
    </row>
    <row r="132" spans="1:169" ht="11.25" customHeight="1">
      <c r="A132" s="2145" t="s">
        <v>367</v>
      </c>
      <c r="B132" s="1205"/>
      <c r="C132" s="1205"/>
      <c r="D132" s="1205"/>
      <c r="E132" s="1205"/>
      <c r="F132" s="2146"/>
      <c r="G132" s="1205"/>
      <c r="H132" s="1205"/>
      <c r="I132" s="1205"/>
      <c r="J132" s="1205"/>
      <c r="K132" s="2146"/>
      <c r="L132" s="1205"/>
      <c r="M132" s="1205"/>
      <c r="N132" s="1205"/>
      <c r="O132" s="1205"/>
      <c r="P132" s="2146"/>
      <c r="Q132" s="1205"/>
      <c r="R132" s="1205"/>
      <c r="S132" s="1205"/>
      <c r="T132" s="1205"/>
      <c r="U132" s="2146"/>
      <c r="V132" s="1205"/>
      <c r="W132" s="1205"/>
      <c r="X132" s="1205"/>
      <c r="Y132" s="1205"/>
      <c r="Z132" s="2146"/>
      <c r="AA132" s="1205"/>
      <c r="AB132" s="1205"/>
      <c r="AC132" s="1205"/>
      <c r="AD132" s="1205"/>
      <c r="AE132" s="2146"/>
      <c r="AF132" s="1205"/>
      <c r="AG132" s="1205"/>
      <c r="AH132" s="1205"/>
      <c r="AI132" s="1205"/>
      <c r="AJ132" s="2146"/>
      <c r="AK132" s="1205"/>
      <c r="AL132" s="1205"/>
      <c r="AM132" s="1205"/>
      <c r="AN132" s="1205"/>
      <c r="AO132" s="2146"/>
      <c r="AP132" s="1205"/>
      <c r="AQ132" s="1205"/>
      <c r="AR132" s="1205"/>
      <c r="AS132" s="1205"/>
      <c r="AT132" s="2146"/>
      <c r="AU132" s="1205"/>
      <c r="AV132" s="1205"/>
      <c r="AW132" s="1205"/>
      <c r="AX132" s="1205"/>
      <c r="AY132" s="2146"/>
      <c r="AZ132" s="1205"/>
      <c r="BA132" s="1205"/>
      <c r="BB132" s="1205"/>
      <c r="BC132" s="1205"/>
      <c r="BD132" s="2146"/>
      <c r="BE132" s="1205"/>
      <c r="BF132" s="1205"/>
      <c r="BG132" s="1205"/>
      <c r="BH132" s="1205"/>
      <c r="BI132" s="2146"/>
      <c r="BJ132" s="1205"/>
      <c r="BK132" s="1205"/>
      <c r="BL132" s="1205"/>
      <c r="BM132" s="1205"/>
      <c r="BN132" s="2146"/>
      <c r="BO132" s="2147"/>
      <c r="BP132" s="500"/>
      <c r="BQ132" s="500"/>
      <c r="BR132" s="1176"/>
      <c r="BS132" s="2146"/>
      <c r="BT132" s="2147"/>
      <c r="BU132" s="500"/>
      <c r="BV132" s="500"/>
      <c r="BW132" s="1176"/>
      <c r="BX132" s="2146"/>
      <c r="BY132" s="2147"/>
      <c r="BZ132" s="500"/>
      <c r="CA132" s="500"/>
      <c r="CB132" s="1176"/>
      <c r="CC132" s="2146"/>
      <c r="CD132" s="2147"/>
      <c r="CE132" s="500"/>
      <c r="CF132" s="500"/>
      <c r="CG132" s="1176"/>
      <c r="CH132" s="2146"/>
      <c r="CI132" s="500"/>
      <c r="CJ132" s="500"/>
      <c r="CK132" s="500"/>
      <c r="CL132" s="1176"/>
      <c r="CM132" s="2146"/>
      <c r="CN132" s="500"/>
      <c r="CO132" s="500"/>
      <c r="CP132" s="500"/>
      <c r="CQ132" s="1176"/>
      <c r="CR132" s="2146"/>
      <c r="CS132" s="500"/>
      <c r="CT132" s="500"/>
      <c r="CU132" s="500"/>
      <c r="CV132" s="500"/>
      <c r="CW132" s="2146"/>
      <c r="CX132" s="500">
        <f>(1+'Revenue Drivers'!CX298)/(1+'Revenue Drivers'!CX308)-1</f>
        <v>7.1315372424722856E-3</v>
      </c>
      <c r="CY132" s="500">
        <f>(1+'Revenue Drivers'!CY298)/(1+'Revenue Drivers'!CY308)-1</f>
        <v>-2.1246458923511735E-3</v>
      </c>
      <c r="CZ132" s="500">
        <f>(1+'Revenue Drivers'!CZ298)/(1+'Revenue Drivers'!CZ308)-1</f>
        <v>1.963350785340312E-2</v>
      </c>
      <c r="DA132" s="500">
        <f>(1+'Revenue Drivers'!DA298)/(1+'Revenue Drivers'!DA308)-1</f>
        <v>-6.2467464862051569E-3</v>
      </c>
      <c r="DB132" s="2146"/>
      <c r="DC132" s="500">
        <f>(1+'Revenue Drivers'!DC298)/(1+'Revenue Drivers'!DC308)-1</f>
        <v>-1.7301038062284002E-3</v>
      </c>
      <c r="DD132" s="500">
        <f>(1+'Revenue Drivers'!DD298)/(1+'Revenue Drivers'!DD308)-1</f>
        <v>-3.3960292580982321E-2</v>
      </c>
      <c r="DE132" s="500">
        <f>(1+'Revenue Drivers'!DE298)/(1+'Revenue Drivers'!DE308)-1</f>
        <v>-4.295442640125724E-2</v>
      </c>
      <c r="DF132" s="500">
        <f>(1+'Revenue Drivers'!DF298)/(1+'Revenue Drivers'!DF308)-1</f>
        <v>-1.2118491921005226E-2</v>
      </c>
      <c r="DG132" s="2146"/>
      <c r="DH132" s="500">
        <f>(1+'Revenue Drivers'!DH290)/(1+'Revenue Drivers'!DH308)-1</f>
        <v>5.2493438320211361E-4</v>
      </c>
      <c r="DI132" s="500">
        <f>(1+'Revenue Drivers'!DI290)/(1+'Revenue Drivers'!DI308)-1</f>
        <v>-1.9843101061375212E-2</v>
      </c>
      <c r="DJ132" s="500">
        <f>(1+'Revenue Drivers'!DJ290)/(1+'Revenue Drivers'!DJ308)-1</f>
        <v>5.7092665788318619E-3</v>
      </c>
      <c r="DK132" s="500">
        <f>(1+'Revenue Drivers'!DK290)/(1+'Revenue Drivers'!DK308)-1</f>
        <v>-2.0932794711714942E-2</v>
      </c>
      <c r="DL132" s="2146"/>
      <c r="DM132" s="500">
        <f>(1+'Revenue Drivers'!DM290)/(1+'Revenue Drivers'!DM308)-1</f>
        <v>-6.4486411791800924E-3</v>
      </c>
      <c r="DN132" s="500">
        <f>(1+'Revenue Drivers'!DN290)/(1+'Revenue Drivers'!DN308)-1</f>
        <v>-9.3642188270083859E-2</v>
      </c>
      <c r="DO132" s="500">
        <f>(1+'Revenue Drivers'!DO290)/(1+'Revenue Drivers'!DO308)-1</f>
        <v>1.4982876712328785E-2</v>
      </c>
      <c r="DP132" s="500">
        <f>(1+'Revenue Drivers'!DP290)/(1+'Revenue Drivers'!DP308)-1</f>
        <v>-3.5935968637700322E-3</v>
      </c>
      <c r="DQ132" s="2146"/>
      <c r="DR132" s="500">
        <f>(1+'Revenue Drivers'!DR290)/(1+'Revenue Drivers'!DR308)-1</f>
        <v>2.7227722772277252E-2</v>
      </c>
      <c r="DS132" s="500">
        <f>(1+'Revenue Drivers'!DS290)/(1+'Revenue Drivers'!DS308)-1</f>
        <v>-2.0765351527737286E-3</v>
      </c>
      <c r="DT132" s="500">
        <f>(1+'Revenue Drivers'!DT290)/(1+'Revenue Drivers'!DT308)-1</f>
        <v>1.485965877820572E-2</v>
      </c>
      <c r="DU132" s="500">
        <f>(1+'Revenue Drivers'!DU290)/(1+'Revenue Drivers'!DU308)-1</f>
        <v>-2.478070175438607E-2</v>
      </c>
      <c r="DV132" s="2146"/>
      <c r="DW132" s="500">
        <f>(1+'Revenue Drivers'!DW290)/(1+'Revenue Drivers'!DW308)-1</f>
        <v>-3.1136481577581643E-3</v>
      </c>
      <c r="DX132" s="500">
        <f>(1+'Revenue Drivers'!DX290)/(1+'Revenue Drivers'!DX308)-1</f>
        <v>2.5762231151027937E-2</v>
      </c>
      <c r="DY132" s="500">
        <f>(1+'Revenue Drivers'!DY290)/(1+'Revenue Drivers'!DY308)-1</f>
        <v>-3.5431235431235497E-2</v>
      </c>
      <c r="DZ132" s="500">
        <f>(1+'Revenue Drivers'!DZ290)/(1+'Revenue Drivers'!DZ308)-1</f>
        <v>-2.9393370856785395E-2</v>
      </c>
      <c r="EA132" s="2146"/>
      <c r="EB132" s="500">
        <f>(1+'Revenue Drivers'!EB290)/(1+'Revenue Drivers'!EB308)-1</f>
        <v>4.1841004184099972E-3</v>
      </c>
      <c r="EC132" s="500">
        <f>(1+'Revenue Drivers'!EC290)/(1+'Revenue Drivers'!EC308)-1</f>
        <v>1.7765933821896063E-3</v>
      </c>
      <c r="ED132" s="500">
        <f>(1+'Revenue Drivers'!ED290)/(1+'Revenue Drivers'!ED308)-1</f>
        <v>1.3128615932354259E-2</v>
      </c>
      <c r="EE132" s="500">
        <f>(1+'Revenue Drivers'!EE290)/(1+'Revenue Drivers'!EE308)-1</f>
        <v>-2.8346161066266196E-2</v>
      </c>
      <c r="EF132" s="2146"/>
      <c r="EG132" s="500">
        <f>(1+'Revenue Drivers'!EG290)/(1+'Revenue Drivers'!EG308)-1</f>
        <v>-1.5238095238095273E-2</v>
      </c>
      <c r="EH132" s="500">
        <f>(1+'Revenue Drivers'!EH290)/(1+'Revenue Drivers'!EH308)-1</f>
        <v>-1.2794882047181155E-2</v>
      </c>
      <c r="EI132" s="500">
        <f>(1+'Revenue Drivers'!EI290)/(1+'Revenue Drivers'!EI308)-1</f>
        <v>-3.3769683172073628E-2</v>
      </c>
      <c r="EJ132" s="500">
        <f>(1+'Revenue Drivers'!EJ290)/(1+'Revenue Drivers'!EJ308)-1</f>
        <v>-1.3929492691315493E-2</v>
      </c>
      <c r="EK132" s="2146"/>
      <c r="EL132" s="500">
        <f>(1+'Revenue Drivers'!EL290)/(1+'Revenue Drivers'!EL308)-1</f>
        <v>-2.6780732750604441E-2</v>
      </c>
      <c r="EM132" s="500">
        <f>(1+'Revenue Drivers'!EM290)/(1+'Revenue Drivers'!EM308)-1</f>
        <v>1.9374333451830816E-2</v>
      </c>
      <c r="EN132" s="500">
        <f>(1+'Revenue Drivers'!EN290)/(1+'Revenue Drivers'!EN308)-1</f>
        <v>1.5062761506276168E-2</v>
      </c>
      <c r="EO132" s="500">
        <f>(1+'Revenue Drivers'!EO290)/(1+'Revenue Drivers'!EO308)-1</f>
        <v>-1.4891138862668241E-3</v>
      </c>
      <c r="EP132" s="2146"/>
      <c r="EQ132" s="500">
        <f>(1+'Revenue Drivers'!EQ290)/(1+'Revenue Drivers'!EQ308)-1</f>
        <v>-3.1503921810323021E-3</v>
      </c>
      <c r="ER132" s="500">
        <f>(1+'Revenue Drivers'!ER290)/(1+'Revenue Drivers'!ER308)-1</f>
        <v>0</v>
      </c>
      <c r="ES132" s="500">
        <f>(1+'Revenue Drivers'!ES290)/(1+'Revenue Drivers'!ES308)-1</f>
        <v>0</v>
      </c>
      <c r="ET132" s="500">
        <f>(1+'Revenue Drivers'!ET290)/(1+'Revenue Drivers'!ET308)-1</f>
        <v>0</v>
      </c>
      <c r="EU132" s="2146"/>
      <c r="EV132" s="500"/>
      <c r="EW132" s="500"/>
      <c r="EX132" s="500"/>
      <c r="EY132" s="500"/>
      <c r="EZ132" s="2146"/>
      <c r="FA132" s="2146"/>
      <c r="FB132" s="2146"/>
      <c r="FC132" s="2146"/>
      <c r="FD132" s="500"/>
      <c r="FF132" s="500"/>
    </row>
    <row r="133" spans="1:169" ht="11.25" customHeight="1">
      <c r="A133" s="2119" t="s">
        <v>587</v>
      </c>
      <c r="B133" s="2158"/>
      <c r="C133" s="2158"/>
      <c r="D133" s="2158"/>
      <c r="E133" s="2158"/>
      <c r="F133" s="2159"/>
      <c r="G133" s="2158"/>
      <c r="H133" s="2158"/>
      <c r="I133" s="2158"/>
      <c r="J133" s="2158"/>
      <c r="K133" s="2159"/>
      <c r="L133" s="2158"/>
      <c r="M133" s="2158"/>
      <c r="N133" s="2158"/>
      <c r="O133" s="2158"/>
      <c r="P133" s="2159"/>
      <c r="Q133" s="2158"/>
      <c r="R133" s="2158"/>
      <c r="S133" s="2158"/>
      <c r="T133" s="2158"/>
      <c r="U133" s="2159"/>
      <c r="V133" s="2158"/>
      <c r="W133" s="2158"/>
      <c r="X133" s="2158"/>
      <c r="Y133" s="2158"/>
      <c r="Z133" s="2159"/>
      <c r="AA133" s="2158"/>
      <c r="AB133" s="2158"/>
      <c r="AC133" s="2158"/>
      <c r="AD133" s="2158"/>
      <c r="AE133" s="2159"/>
      <c r="AF133" s="2158"/>
      <c r="AG133" s="2158"/>
      <c r="AH133" s="2158"/>
      <c r="AI133" s="2158"/>
      <c r="AJ133" s="2159"/>
      <c r="AK133" s="2158"/>
      <c r="AL133" s="2158"/>
      <c r="AM133" s="2158"/>
      <c r="AN133" s="2158"/>
      <c r="AO133" s="2159"/>
      <c r="AP133" s="2158"/>
      <c r="AQ133" s="2158"/>
      <c r="AR133" s="2158"/>
      <c r="AS133" s="2158"/>
      <c r="AT133" s="2159"/>
      <c r="AU133" s="2158"/>
      <c r="AV133" s="2158"/>
      <c r="AW133" s="2158"/>
      <c r="AX133" s="2158"/>
      <c r="AY133" s="2159"/>
      <c r="AZ133" s="2158"/>
      <c r="BA133" s="2158"/>
      <c r="BB133" s="2158"/>
      <c r="BC133" s="2158"/>
      <c r="BD133" s="2159"/>
      <c r="BE133" s="2158"/>
      <c r="BF133" s="2158"/>
      <c r="BG133" s="2158"/>
      <c r="BH133" s="2158"/>
      <c r="BI133" s="2159"/>
      <c r="BJ133" s="2158"/>
      <c r="BK133" s="2158"/>
      <c r="BL133" s="2158"/>
      <c r="BM133" s="2158"/>
      <c r="BN133" s="2159"/>
      <c r="BO133" s="2160"/>
      <c r="BP133" s="2158"/>
      <c r="BQ133" s="2158"/>
      <c r="BR133" s="2158"/>
      <c r="BS133" s="2159"/>
      <c r="BT133" s="2160"/>
      <c r="BU133" s="2158"/>
      <c r="BV133" s="2158"/>
      <c r="BW133" s="2161"/>
      <c r="BX133" s="2159"/>
      <c r="BY133" s="2160"/>
      <c r="BZ133" s="2158"/>
      <c r="CA133" s="2158"/>
      <c r="CB133" s="2161"/>
      <c r="CC133" s="2159"/>
      <c r="CD133" s="2160"/>
      <c r="CE133" s="2158"/>
      <c r="CF133" s="2158"/>
      <c r="CG133" s="2161"/>
      <c r="CH133" s="2159"/>
      <c r="CI133" s="2158"/>
      <c r="CJ133" s="2158"/>
      <c r="CK133" s="2158"/>
      <c r="CL133" s="2161"/>
      <c r="CM133" s="2159"/>
      <c r="CN133" s="2158"/>
      <c r="CO133" s="2158"/>
      <c r="CP133" s="2158"/>
      <c r="CQ133" s="2161"/>
      <c r="CR133" s="2159"/>
      <c r="CS133" s="2158"/>
      <c r="CT133" s="2158"/>
      <c r="CU133" s="2158"/>
      <c r="CV133" s="2158"/>
      <c r="CW133" s="2159"/>
      <c r="CX133" s="2158">
        <f>(CX132-CX130)*10000</f>
        <v>80.896821761322968</v>
      </c>
      <c r="CY133" s="2158">
        <f>(CY132-CY130)*10000</f>
        <v>-216.06123977623554</v>
      </c>
      <c r="CZ133" s="2158">
        <f>(CZ132-CZ130)*10000</f>
        <v>-130.18143142188208</v>
      </c>
      <c r="DA133" s="2158">
        <f>(DA132-DA130)*10000</f>
        <v>102.73448362351286</v>
      </c>
      <c r="DB133" s="2159"/>
      <c r="DC133" s="2158">
        <f>(DC132-DC130)*10000</f>
        <v>1.0238106711367412</v>
      </c>
      <c r="DD133" s="2158">
        <f>(DD132-DD130)*10000</f>
        <v>136.47664213850865</v>
      </c>
      <c r="DE133" s="2158">
        <f>(DE132-DE130)*10000</f>
        <v>-32.420035828771567</v>
      </c>
      <c r="DF133" s="2158">
        <f>(DF132-DF130)*10000</f>
        <v>0.11090847305328388</v>
      </c>
      <c r="DG133" s="2159"/>
      <c r="DH133" s="2158">
        <f>(DH132-DH130)*10000</f>
        <v>-65.05857307201957</v>
      </c>
      <c r="DI133" s="2158">
        <f>(DI132-DI130)*10000</f>
        <v>-7.7007651316591748</v>
      </c>
      <c r="DJ133" s="2158">
        <f>(DJ132-DJ130)*10000</f>
        <v>43.479282346601323</v>
      </c>
      <c r="DK133" s="2158">
        <f>(DK132-DK130)*10000</f>
        <v>14.877551097202229</v>
      </c>
      <c r="DL133" s="2159"/>
      <c r="DM133" s="2158">
        <f>(DM132-DM130)*10000</f>
        <v>-18.624837305768992</v>
      </c>
      <c r="DN133" s="2158">
        <f>(DN132-DN130)*10000</f>
        <v>258.32737614024967</v>
      </c>
      <c r="DO133" s="2158">
        <f>(DO132-DO130)*10000</f>
        <v>-87.013251669279327</v>
      </c>
      <c r="DP133" s="2158">
        <f>(DP132-DP130)*10000</f>
        <v>-78.856109218378037</v>
      </c>
      <c r="DQ133" s="2159"/>
      <c r="DR133" s="2158">
        <f>(DR132-DR130)*10000</f>
        <v>-4.9990850569232856</v>
      </c>
      <c r="DS133" s="2158">
        <f>(DS132-DS130)*10000</f>
        <v>-90.637081213083334</v>
      </c>
      <c r="DT133" s="2158">
        <f>(DT132-DT130)*10000</f>
        <v>-32.746643035039163</v>
      </c>
      <c r="DU133" s="2158">
        <f>(DU132-DU130)*10000</f>
        <v>246.71239315766925</v>
      </c>
      <c r="DV133" s="2159"/>
      <c r="DW133" s="2158">
        <f>(DW132-DW130)*10000</f>
        <v>-101.48446156422861</v>
      </c>
      <c r="DX133" s="2158">
        <f>(DX132-DX130)*10000</f>
        <v>-14.873962985356219</v>
      </c>
      <c r="DY133" s="2158">
        <f>(DY132-DY130)*10000</f>
        <v>80.163476481813007</v>
      </c>
      <c r="DZ133" s="2158">
        <f>(DZ132-DZ130)*10000</f>
        <v>2.284921609098725</v>
      </c>
      <c r="EA133" s="2159"/>
      <c r="EB133" s="2158">
        <f>(EB132-EB130)*10000</f>
        <v>-20.357827795399292</v>
      </c>
      <c r="EC133" s="2158">
        <f>(EC132-EC130)*10000</f>
        <v>-79.744148766485097</v>
      </c>
      <c r="ED133" s="2158">
        <f>(ED132-ED130)*10000</f>
        <v>111.70102829185383</v>
      </c>
      <c r="EE133" s="2158">
        <f>(EE132-EE130)*10000</f>
        <v>196.24895323577209</v>
      </c>
      <c r="EF133" s="2159"/>
      <c r="EG133" s="2158">
        <f>(EG132-EG130)*10000</f>
        <v>374.9220342544055</v>
      </c>
      <c r="EH133" s="2158">
        <f>(EH132-EH130)*10000</f>
        <v>178.2730025963285</v>
      </c>
      <c r="EI133" s="2158">
        <f>(EI132-EI130)*10000</f>
        <v>197.18397522419752</v>
      </c>
      <c r="EJ133" s="2158">
        <f>(EJ132-EJ130)*10000</f>
        <v>119.05319903849538</v>
      </c>
      <c r="EK133" s="2159"/>
      <c r="EL133" s="2158">
        <f>(EL132-EL130)*10000</f>
        <v>152.52223442397636</v>
      </c>
      <c r="EM133" s="2158">
        <f>(EM132-EM130)*10000</f>
        <v>-71.106741864924061</v>
      </c>
      <c r="EN133" s="2158">
        <f>(EN132-EN130)*10000</f>
        <v>12.77585000037957</v>
      </c>
      <c r="EO133" s="2158">
        <f>(EO132-EO130)*10000</f>
        <v>-1.457167719820518E-12</v>
      </c>
      <c r="EP133" s="2159"/>
      <c r="EQ133" s="2158">
        <f>(EQ132-EQ130)*10000</f>
        <v>1.3921155894713877E-12</v>
      </c>
      <c r="ER133" s="2158">
        <f>(ER132-ER130)*10000</f>
        <v>0</v>
      </c>
      <c r="ES133" s="2158">
        <f>(ES132-ES130)*10000</f>
        <v>0</v>
      </c>
      <c r="ET133" s="2158">
        <f>(ET132-ET130)*10000</f>
        <v>0</v>
      </c>
      <c r="EU133" s="2159"/>
      <c r="EV133" s="2158">
        <f>(EV132-EV130)*10000</f>
        <v>0</v>
      </c>
      <c r="EW133" s="2158">
        <f>(EW132-EW130)*10000</f>
        <v>0</v>
      </c>
      <c r="EX133" s="2158">
        <f>(EX132-EX130)*10000</f>
        <v>0</v>
      </c>
      <c r="EY133" s="2158">
        <f>(EY132-EY130)*10000</f>
        <v>0</v>
      </c>
      <c r="EZ133" s="2159"/>
      <c r="FA133" s="2159"/>
      <c r="FB133" s="2159"/>
      <c r="FC133" s="2159"/>
      <c r="FD133" s="500"/>
      <c r="FF133" s="500"/>
    </row>
    <row r="134" spans="1:169" ht="11.25" customHeight="1">
      <c r="A134" s="2155"/>
      <c r="B134" s="1205"/>
      <c r="C134" s="1205"/>
      <c r="D134" s="1205"/>
      <c r="E134" s="1205"/>
      <c r="F134" s="500"/>
      <c r="G134" s="1205"/>
      <c r="H134" s="1205"/>
      <c r="I134" s="1205"/>
      <c r="J134" s="1205"/>
      <c r="K134" s="500"/>
      <c r="L134" s="1205"/>
      <c r="M134" s="1205"/>
      <c r="N134" s="1205"/>
      <c r="O134" s="1205"/>
      <c r="P134" s="500"/>
      <c r="Q134" s="1205"/>
      <c r="R134" s="1205"/>
      <c r="S134" s="1205"/>
      <c r="T134" s="1205"/>
      <c r="U134" s="500"/>
      <c r="V134" s="1205"/>
      <c r="W134" s="1205"/>
      <c r="X134" s="1205"/>
      <c r="Y134" s="1205"/>
      <c r="Z134" s="500"/>
      <c r="AA134" s="1205"/>
      <c r="AB134" s="1205"/>
      <c r="AC134" s="1205"/>
      <c r="AD134" s="1205"/>
      <c r="AE134" s="500"/>
      <c r="AF134" s="1205"/>
      <c r="AG134" s="1205"/>
      <c r="AH134" s="1205"/>
      <c r="AI134" s="1205"/>
      <c r="AJ134" s="500"/>
      <c r="AK134" s="1205"/>
      <c r="AL134" s="1205"/>
      <c r="AM134" s="1205"/>
      <c r="AN134" s="1205"/>
      <c r="AO134" s="500"/>
      <c r="AP134" s="1205"/>
      <c r="AQ134" s="1205"/>
      <c r="AR134" s="1205"/>
      <c r="AS134" s="1205"/>
      <c r="AT134" s="500"/>
      <c r="AU134" s="1205"/>
      <c r="AV134" s="1205"/>
      <c r="AW134" s="1205"/>
      <c r="AX134" s="1205"/>
      <c r="AY134" s="500"/>
      <c r="AZ134" s="1205"/>
      <c r="BA134" s="1205"/>
      <c r="BB134" s="1205"/>
      <c r="BC134" s="1205"/>
      <c r="BD134" s="500"/>
      <c r="BE134" s="1205"/>
      <c r="BF134" s="1205"/>
      <c r="BG134" s="1205"/>
      <c r="BH134" s="1205"/>
      <c r="BI134" s="500"/>
      <c r="BJ134" s="1205"/>
      <c r="BK134" s="1205"/>
      <c r="BL134" s="1205"/>
      <c r="BM134" s="1205"/>
      <c r="BN134" s="500"/>
      <c r="BO134" s="497"/>
      <c r="BP134" s="497"/>
      <c r="BQ134" s="497"/>
      <c r="BR134" s="497"/>
      <c r="BS134" s="500"/>
      <c r="BT134" s="500"/>
      <c r="BU134" s="500"/>
      <c r="BV134" s="500"/>
      <c r="BW134" s="500"/>
      <c r="BX134" s="500"/>
      <c r="BY134" s="500"/>
      <c r="BZ134" s="500"/>
      <c r="CA134" s="500"/>
      <c r="CB134" s="500"/>
      <c r="CC134" s="500"/>
      <c r="CD134" s="500"/>
      <c r="CE134" s="500"/>
      <c r="CF134" s="500"/>
      <c r="CG134" s="500"/>
      <c r="CH134" s="500"/>
      <c r="CI134" s="500"/>
      <c r="CJ134" s="500"/>
      <c r="CK134" s="500"/>
      <c r="CL134" s="500"/>
      <c r="CM134" s="500"/>
      <c r="CN134" s="500"/>
      <c r="CO134" s="500"/>
      <c r="CP134" s="500"/>
      <c r="CQ134" s="500"/>
      <c r="CR134" s="500"/>
      <c r="CS134" s="500"/>
      <c r="CT134" s="500"/>
      <c r="CU134" s="500"/>
      <c r="CV134" s="500"/>
      <c r="CW134" s="500"/>
      <c r="CX134" s="500"/>
      <c r="CY134" s="500"/>
      <c r="CZ134" s="500"/>
      <c r="DA134" s="500"/>
      <c r="DB134" s="500"/>
      <c r="DC134" s="500"/>
      <c r="DD134" s="500"/>
      <c r="DE134" s="500"/>
      <c r="DF134" s="500"/>
      <c r="DG134" s="500"/>
      <c r="DH134" s="500"/>
      <c r="DI134" s="500"/>
      <c r="DJ134" s="500"/>
      <c r="DK134" s="500"/>
      <c r="DL134" s="500"/>
      <c r="DM134" s="500"/>
      <c r="DN134" s="500"/>
      <c r="DO134" s="500"/>
      <c r="DP134" s="500"/>
      <c r="DQ134" s="500"/>
      <c r="DR134" s="500"/>
      <c r="DS134" s="500"/>
      <c r="DT134" s="500"/>
      <c r="DU134" s="500"/>
      <c r="DV134" s="500"/>
      <c r="DW134" s="500"/>
      <c r="DX134" s="500"/>
      <c r="DY134" s="500"/>
      <c r="DZ134" s="500"/>
      <c r="EA134" s="500"/>
      <c r="EB134" s="500"/>
      <c r="EC134" s="500"/>
      <c r="ED134" s="500"/>
      <c r="EE134" s="500"/>
      <c r="EF134" s="500"/>
      <c r="EG134" s="500"/>
      <c r="EH134" s="500"/>
      <c r="EI134" s="500"/>
      <c r="EJ134" s="500"/>
      <c r="EK134" s="500"/>
      <c r="EL134" s="500"/>
      <c r="EM134" s="500"/>
      <c r="EN134" s="500"/>
      <c r="EO134" s="500"/>
      <c r="EP134" s="500"/>
      <c r="EQ134" s="500"/>
      <c r="ER134" s="500"/>
      <c r="ES134" s="500"/>
      <c r="ET134" s="500"/>
      <c r="EU134" s="500"/>
      <c r="EV134" s="500"/>
      <c r="EW134" s="500"/>
      <c r="EX134" s="500"/>
      <c r="EY134" s="500"/>
      <c r="EZ134" s="500"/>
      <c r="FA134" s="500"/>
      <c r="FB134" s="500"/>
      <c r="FC134" s="500"/>
      <c r="FD134" s="500"/>
      <c r="FF134" s="500"/>
    </row>
    <row r="135" spans="1:169" ht="11.25" hidden="1" customHeight="1" outlineLevel="1">
      <c r="A135" s="2216" t="s">
        <v>600</v>
      </c>
      <c r="B135" s="2217"/>
      <c r="C135" s="2217"/>
      <c r="D135" s="2217"/>
      <c r="E135" s="2217"/>
      <c r="F135" s="2217"/>
      <c r="G135" s="2217"/>
      <c r="H135" s="2217"/>
      <c r="I135" s="2217"/>
      <c r="J135" s="2217"/>
      <c r="K135" s="2217"/>
      <c r="L135" s="2217"/>
      <c r="M135" s="2217"/>
      <c r="N135" s="2217"/>
      <c r="O135" s="2217"/>
      <c r="P135" s="2217"/>
      <c r="Q135" s="2217"/>
      <c r="R135" s="2217"/>
      <c r="S135" s="2217"/>
      <c r="T135" s="2217"/>
      <c r="U135" s="2217"/>
      <c r="V135" s="2217"/>
      <c r="W135" s="2217"/>
      <c r="X135" s="2217"/>
      <c r="Y135" s="2217"/>
      <c r="Z135" s="2217"/>
      <c r="AA135" s="2217"/>
      <c r="AB135" s="2217"/>
      <c r="AC135" s="2217"/>
      <c r="AD135" s="2217"/>
      <c r="AE135" s="2217"/>
      <c r="AF135" s="2217"/>
      <c r="AG135" s="2217"/>
      <c r="AH135" s="2217"/>
      <c r="AI135" s="2217"/>
      <c r="AJ135" s="2217"/>
      <c r="AK135" s="2217"/>
      <c r="AL135" s="2217"/>
      <c r="AM135" s="2217"/>
      <c r="AN135" s="2217"/>
      <c r="AO135" s="2217"/>
      <c r="AP135" s="2217"/>
      <c r="AQ135" s="2217"/>
      <c r="AR135" s="2217"/>
      <c r="AS135" s="2217"/>
      <c r="AT135" s="2217"/>
      <c r="AU135" s="2217"/>
      <c r="AV135" s="2217"/>
      <c r="AW135" s="2217"/>
      <c r="AX135" s="2217"/>
      <c r="AY135" s="2217"/>
      <c r="AZ135" s="2217"/>
      <c r="BA135" s="2217"/>
      <c r="BB135" s="2217"/>
      <c r="BC135" s="2217"/>
      <c r="BD135" s="2217"/>
      <c r="BE135" s="2217"/>
      <c r="BF135" s="2217"/>
      <c r="BG135" s="2217"/>
      <c r="BH135" s="2217"/>
      <c r="BI135" s="2217"/>
      <c r="BJ135" s="2217"/>
      <c r="BK135" s="2217"/>
      <c r="BL135" s="2217"/>
      <c r="BM135" s="2217"/>
      <c r="BN135" s="2217"/>
      <c r="BO135" s="2217"/>
      <c r="BP135" s="2217"/>
      <c r="BQ135" s="2217"/>
      <c r="BR135" s="2217"/>
      <c r="BS135" s="2217"/>
      <c r="BT135" s="2217"/>
      <c r="BU135" s="2217"/>
      <c r="BV135" s="2217"/>
      <c r="BW135" s="2217"/>
      <c r="BX135" s="2217"/>
      <c r="BY135" s="2217"/>
      <c r="BZ135" s="2217"/>
      <c r="CA135" s="2217"/>
      <c r="CB135" s="2217"/>
      <c r="CC135" s="2217"/>
      <c r="CD135" s="2217"/>
      <c r="CE135" s="2217"/>
      <c r="CF135" s="2217"/>
      <c r="CG135" s="2217"/>
      <c r="CH135" s="2217"/>
      <c r="CI135" s="2217"/>
      <c r="CJ135" s="2217"/>
      <c r="CK135" s="2217"/>
      <c r="CL135" s="2217"/>
      <c r="CM135" s="2217"/>
      <c r="CN135" s="2217"/>
      <c r="CO135" s="2217"/>
      <c r="CP135" s="2217"/>
      <c r="CQ135" s="2217"/>
      <c r="CR135" s="1896">
        <v>2015</v>
      </c>
      <c r="CS135" s="2217"/>
      <c r="CT135" s="2217"/>
      <c r="CU135" s="2217"/>
      <c r="CV135" s="2217"/>
      <c r="CW135" s="1896">
        <v>2016</v>
      </c>
      <c r="CX135" s="2217"/>
      <c r="CY135" s="2217"/>
      <c r="CZ135" s="2217"/>
      <c r="DA135" s="2217"/>
      <c r="DB135" s="1896">
        <v>2017</v>
      </c>
      <c r="DC135" s="2217"/>
      <c r="DD135" s="2217"/>
      <c r="DE135" s="2217"/>
      <c r="DF135" s="2217"/>
      <c r="DG135" s="1975">
        <v>2018</v>
      </c>
      <c r="DH135" s="2217"/>
      <c r="DI135" s="2217"/>
      <c r="DJ135" s="2217"/>
      <c r="DK135" s="2217"/>
      <c r="DL135" s="1896">
        <v>2019</v>
      </c>
      <c r="DM135" s="2217"/>
      <c r="DN135" s="2217"/>
      <c r="DO135" s="2217"/>
      <c r="DP135" s="2217"/>
      <c r="DQ135" s="1896">
        <v>2020</v>
      </c>
      <c r="DR135" s="2217"/>
      <c r="DS135" s="2217"/>
      <c r="DT135" s="2217"/>
      <c r="DU135" s="2217"/>
      <c r="DV135" s="1896">
        <v>2021</v>
      </c>
      <c r="DW135" s="2217"/>
      <c r="DX135" s="2217"/>
      <c r="DY135" s="2217"/>
      <c r="DZ135" s="2217"/>
      <c r="EA135" s="1975">
        <v>2022</v>
      </c>
      <c r="EB135" s="2217"/>
      <c r="EC135" s="2217"/>
      <c r="ED135" s="2217"/>
      <c r="EE135" s="2217"/>
      <c r="EF135" s="1975">
        <v>2023</v>
      </c>
      <c r="EG135" s="2217"/>
      <c r="EH135" s="2217"/>
      <c r="EI135" s="2217"/>
      <c r="EJ135" s="2217"/>
      <c r="EK135" s="1975">
        <v>2024</v>
      </c>
      <c r="EL135" s="2217"/>
      <c r="EM135" s="2217"/>
      <c r="EN135" s="2217"/>
      <c r="EO135" s="2217"/>
      <c r="EP135" s="1975">
        <v>2025</v>
      </c>
      <c r="EQ135" s="2217"/>
      <c r="ER135" s="2217"/>
      <c r="ES135" s="2217"/>
      <c r="ET135" s="2217"/>
      <c r="EU135" s="1975">
        <v>2026</v>
      </c>
      <c r="EV135" s="2217"/>
      <c r="EW135" s="2217"/>
      <c r="EX135" s="2217"/>
      <c r="EY135" s="2217"/>
      <c r="EZ135" s="1975">
        <v>2027</v>
      </c>
      <c r="FA135" s="1975"/>
      <c r="FB135" s="1975"/>
      <c r="FC135" s="1975"/>
      <c r="FD135" s="493"/>
      <c r="FF135" s="493"/>
    </row>
    <row r="136" spans="1:169" ht="11.25" hidden="1" customHeight="1" outlineLevel="1">
      <c r="A136" s="2225" t="s">
        <v>601</v>
      </c>
      <c r="B136" s="2218"/>
      <c r="C136" s="2218"/>
      <c r="D136" s="2218"/>
      <c r="E136" s="2218"/>
      <c r="F136" s="2218"/>
      <c r="G136" s="2218"/>
      <c r="H136" s="2218"/>
      <c r="I136" s="2218"/>
      <c r="J136" s="2218"/>
      <c r="K136" s="2218"/>
      <c r="L136" s="2218"/>
      <c r="M136" s="2218"/>
      <c r="N136" s="2218"/>
      <c r="O136" s="2218"/>
      <c r="P136" s="2218"/>
      <c r="Q136" s="2218"/>
      <c r="R136" s="2218"/>
      <c r="S136" s="2218"/>
      <c r="T136" s="2218"/>
      <c r="U136" s="2218"/>
      <c r="V136" s="2218"/>
      <c r="W136" s="2218"/>
      <c r="X136" s="2218"/>
      <c r="Y136" s="2218"/>
      <c r="Z136" s="2218"/>
      <c r="AA136" s="2218"/>
      <c r="AB136" s="2218"/>
      <c r="AC136" s="2218"/>
      <c r="AD136" s="2218"/>
      <c r="AE136" s="2218"/>
      <c r="AF136" s="2218"/>
      <c r="AG136" s="2218"/>
      <c r="AH136" s="2218"/>
      <c r="AI136" s="2218"/>
      <c r="AJ136" s="2218"/>
      <c r="AK136" s="2218"/>
      <c r="AL136" s="2218"/>
      <c r="AM136" s="2218"/>
      <c r="AN136" s="2218"/>
      <c r="AO136" s="2218"/>
      <c r="AP136" s="2218"/>
      <c r="AQ136" s="2218"/>
      <c r="AR136" s="2218"/>
      <c r="AS136" s="2218"/>
      <c r="AT136" s="2218"/>
      <c r="AU136" s="2218"/>
      <c r="AV136" s="2218"/>
      <c r="AW136" s="2218"/>
      <c r="AX136" s="2218"/>
      <c r="AY136" s="2218"/>
      <c r="AZ136" s="2218"/>
      <c r="BA136" s="2218"/>
      <c r="BB136" s="2218"/>
      <c r="BC136" s="2218"/>
      <c r="BD136" s="2218"/>
      <c r="BE136" s="2218"/>
      <c r="BF136" s="2218"/>
      <c r="BG136" s="2218"/>
      <c r="BH136" s="2218"/>
      <c r="BI136" s="2218"/>
      <c r="BJ136" s="2218"/>
      <c r="BK136" s="2218"/>
      <c r="BL136" s="2218"/>
      <c r="BM136" s="2218"/>
      <c r="BN136" s="2218"/>
      <c r="BO136" s="2218"/>
      <c r="BP136" s="2218"/>
      <c r="BQ136" s="2218"/>
      <c r="BR136" s="2218"/>
      <c r="BS136" s="2218"/>
      <c r="BT136" s="2218"/>
      <c r="BU136" s="2218"/>
      <c r="BV136" s="2218"/>
      <c r="BW136" s="2218"/>
      <c r="BX136" s="2218"/>
      <c r="BY136" s="2218"/>
      <c r="BZ136" s="2218"/>
      <c r="CA136" s="2218"/>
      <c r="CB136" s="2218"/>
      <c r="CC136" s="2218"/>
      <c r="CD136" s="2218"/>
      <c r="CE136" s="2218"/>
      <c r="CF136" s="2218"/>
      <c r="CG136" s="2218"/>
      <c r="CH136" s="2218"/>
      <c r="CI136" s="2218"/>
      <c r="CJ136" s="2218"/>
      <c r="CK136" s="2218"/>
      <c r="CL136" s="2218"/>
      <c r="CM136" s="2218"/>
      <c r="CN136" s="2219">
        <f ca="1">IF(IF(WEEKDAY(DATE(CR135,1,1)-1,16)&lt;3,DATE(CR135,1,1)-1-WEEKDAY(DATE(CR135,1,1)-1,16),DATE(CR135,1,1)-1)&lt;TODAY(),IF(WEEKDAY(DATE(CR135,1,1)-1,16)&lt;3,DATE(CR135,1,1)-1-WEEKDAY(DATE(CR135,1,1)-1,16),DATE(CR135,1,1)-1),TODAY())</f>
        <v>42004</v>
      </c>
      <c r="CO136" s="2219">
        <f ca="1">IF(IF(WEEKDAY(DATE(CR135,4,1)-1,16)&lt;3,DATE(CR135,4,1)-1-WEEKDAY(DATE(CR135,4,1)-1,16),DATE(CR135,4,1)-1)&lt;TODAY(),IF(WEEKDAY(DATE(CR135,4,1)-1,16)&lt;3,DATE(CR135,4,1)-1-WEEKDAY(DATE(CR135,4,1)-1,16),DATE(CR135,4,1)-1),TODAY())</f>
        <v>42094</v>
      </c>
      <c r="CP136" s="2219">
        <f ca="1">IF(IF(WEEKDAY(DATE(CR135,7,1)-1,16)&lt;3,DATE(CR135,7,1)-1-WEEKDAY(DATE(CR135,7,1)-1,16),DATE(CR135,7,1)-1)&lt;TODAY(),IF(WEEKDAY(DATE(CR135,7,1)-1,16)&lt;3,DATE(CR135,7,1)-1-WEEKDAY(DATE(CR135,7,1)-1,16),DATE(CR135,7,1)-1),TODAY())</f>
        <v>42185</v>
      </c>
      <c r="CQ136" s="2219">
        <f ca="1">IF(IF(WEEKDAY(DATE(CR135,10,1)-1,16)&lt;3,DATE(CR135,10,1)-1-WEEKDAY(DATE(CR135,10,1)-1,16),DATE(CR135,10,1)-1)&lt;TODAY(),IF(WEEKDAY(DATE(CR135,10,1)-1,16)&lt;3,DATE(CR135,10,1)-1-WEEKDAY(DATE(CR135,10,1)-1,16),DATE(CR135,10,1)-1),TODAY())</f>
        <v>42277</v>
      </c>
      <c r="CR136" s="4003"/>
      <c r="CS136" s="2219">
        <f ca="1">IF(IF(WEEKDAY(DATE(CW135,1,1)-1,16)&lt;3,DATE(CW135,1,1)-1-WEEKDAY(DATE(CW135,1,1)-1,16),DATE(CW135,1,1)-1)&lt;TODAY(),IF(WEEKDAY(DATE(CW135,1,1)-1,16)&lt;3,DATE(CW135,1,1)-1-WEEKDAY(DATE(CW135,1,1)-1,16),DATE(CW135,1,1)-1),TODAY())</f>
        <v>42369</v>
      </c>
      <c r="CT136" s="2219">
        <f ca="1">IF(IF(WEEKDAY(DATE(CW135,4,1)-1,16)&lt;3,DATE(CW135,4,1)-1-WEEKDAY(DATE(CW135,4,1)-1,16),DATE(CW135,4,1)-1)&lt;TODAY(),IF(WEEKDAY(DATE(CW135,4,1)-1,16)&lt;3,DATE(CW135,4,1)-1-WEEKDAY(DATE(CW135,4,1)-1,16),DATE(CW135,4,1)-1),TODAY())</f>
        <v>42460</v>
      </c>
      <c r="CU136" s="2219">
        <f ca="1">IF(IF(WEEKDAY(DATE(CW135,7,1)-1,16)&lt;3,DATE(CW135,7,1)-1-WEEKDAY(DATE(CW135,7,1)-1,16),DATE(CW135,7,1)-1)&lt;TODAY(),IF(WEEKDAY(DATE(CW135,7,1)-1,16)&lt;3,DATE(CW135,7,1)-1-WEEKDAY(DATE(CW135,7,1)-1,16),DATE(CW135,7,1)-1),TODAY())</f>
        <v>42551</v>
      </c>
      <c r="CV136" s="2219">
        <f ca="1">IF(IF(WEEKDAY(DATE(CW135,10,1)-1,16)&lt;3,DATE(CW135,10,1)-1-WEEKDAY(DATE(CW135,10,1)-1,16),DATE(CW135,10,1)-1)&lt;TODAY(),IF(WEEKDAY(DATE(CW135,10,1)-1,16)&lt;3,DATE(CW135,10,1)-1-WEEKDAY(DATE(CW135,10,1)-1,16),DATE(CW135,10,1)-1),TODAY())</f>
        <v>42643</v>
      </c>
      <c r="CW136" s="4003"/>
      <c r="CX136" s="2219">
        <f ca="1">IF(IF(WEEKDAY(DATE(DB135,1,1)-1,16)&lt;3,DATE(DB135,1,1)-1-WEEKDAY(DATE(DB135,1,1)-1,16),DATE(DB135,1,1)-1)&lt;TODAY(),IF(WEEKDAY(DATE(DB135,1,1)-1,16)&lt;3,DATE(DB135,1,1)-1-WEEKDAY(DATE(DB135,1,1)-1,16),DATE(DB135,1,1)-1),TODAY())</f>
        <v>42734</v>
      </c>
      <c r="CY136" s="2219">
        <f ca="1">IF(IF(WEEKDAY(DATE(DB135,4,1)-1,16)&lt;3,DATE(DB135,4,1)-1-WEEKDAY(DATE(DB135,4,1)-1,16),DATE(DB135,4,1)-1)&lt;TODAY(),IF(WEEKDAY(DATE(DB135,4,1)-1,16)&lt;3,DATE(DB135,4,1)-1-WEEKDAY(DATE(DB135,4,1)-1,16),DATE(DB135,4,1)-1),TODAY())</f>
        <v>42825</v>
      </c>
      <c r="CZ136" s="2219">
        <f ca="1">IF(IF(WEEKDAY(DATE(DB135,7,1)-1,16)&lt;3,DATE(DB135,7,1)-1-WEEKDAY(DATE(DB135,7,1)-1,16),DATE(DB135,7,1)-1)&lt;TODAY(),IF(WEEKDAY(DATE(DB135,7,1)-1,16)&lt;3,DATE(DB135,7,1)-1-WEEKDAY(DATE(DB135,7,1)-1,16),DATE(DB135,7,1)-1),TODAY())</f>
        <v>42916</v>
      </c>
      <c r="DA136" s="2219">
        <f ca="1">IF(IF(WEEKDAY(DATE(DB135,10,1)-1,16)&lt;3,DATE(DB135,10,1)-1-WEEKDAY(DATE(DB135,10,1)-1,16),DATE(DB135,10,1)-1)&lt;TODAY(),IF(WEEKDAY(DATE(DB135,10,1)-1,16)&lt;3,DATE(DB135,10,1)-1-WEEKDAY(DATE(DB135,10,1)-1,16),DATE(DB135,10,1)-1),TODAY())</f>
        <v>43007</v>
      </c>
      <c r="DB136" s="4003"/>
      <c r="DC136" s="2219">
        <f ca="1">IF(IF(WEEKDAY(DATE(DG135,1,1)-1,16)&lt;3,DATE(DG135,1,1)-1-WEEKDAY(DATE(DG135,1,1)-1,16),DATE(DG135,1,1)-1)&lt;TODAY(),IF(WEEKDAY(DATE(DG135,1,1)-1,16)&lt;3,DATE(DG135,1,1)-1-WEEKDAY(DATE(DG135,1,1)-1,16),DATE(DG135,1,1)-1),TODAY())</f>
        <v>43098</v>
      </c>
      <c r="DD136" s="2219">
        <f ca="1">IF(IF(WEEKDAY(DATE(DG135,4,1)-1,16)&lt;3,DATE(DG135,4,1)-1-WEEKDAY(DATE(DG135,4,1)-1,16),DATE(DG135,4,1)-1)&lt;TODAY(),IF(WEEKDAY(DATE(DG135,4,1)-1,16)&lt;3,DATE(DG135,4,1)-1-WEEKDAY(DATE(DG135,4,1)-1,16),DATE(DG135,4,1)-1),TODAY())</f>
        <v>43189</v>
      </c>
      <c r="DE136" s="2219">
        <f ca="1">IF(IF(WEEKDAY(DATE(DG135,7,1)-1,16)&lt;3,DATE(DG135,7,1)-1-WEEKDAY(DATE(DG135,7,1)-1,16),DATE(DG135,7,1)-1)&lt;TODAY(),IF(WEEKDAY(DATE(DG135,7,1)-1,16)&lt;3,DATE(DG135,7,1)-1-WEEKDAY(DATE(DG135,7,1)-1,16),DATE(DG135,7,1)-1),TODAY())</f>
        <v>43280</v>
      </c>
      <c r="DF136" s="2219">
        <f ca="1">IF(IF(WEEKDAY(DATE(DG135,10,1)-1,16)&lt;3,DATE(DG135,10,1)-1-WEEKDAY(DATE(DG135,10,1)-1,16),DATE(DG135,10,1)-1)&lt;TODAY(),IF(WEEKDAY(DATE(DG135,10,1)-1,16)&lt;3,DATE(DG135,10,1)-1-WEEKDAY(DATE(DG135,10,1)-1,16),DATE(DG135,10,1)-1),TODAY())</f>
        <v>43371</v>
      </c>
      <c r="DG136" s="4003"/>
      <c r="DH136" s="2219">
        <f ca="1">IF(IF(WEEKDAY(DATE(DL135,1,1)-1,16)&lt;3,DATE(DL135,1,1)-1-WEEKDAY(DATE(DL135,1,1)-1,16),DATE(DL135,1,1)-1)&lt;TODAY(),IF(WEEKDAY(DATE(DL135,1,1)-1,16)&lt;3,DATE(DL135,1,1)-1-WEEKDAY(DATE(DL135,1,1)-1,16),DATE(DL135,1,1)-1),TODAY())</f>
        <v>43465</v>
      </c>
      <c r="DI136" s="2219">
        <f ca="1">IF(IF(WEEKDAY(DATE(DL135,4,1)-1,16)&lt;3,DATE(DL135,4,1)-1-WEEKDAY(DATE(DL135,4,1)-1,16),DATE(DL135,4,1)-1)&lt;TODAY(),IF(WEEKDAY(DATE(DL135,4,1)-1,16)&lt;3,DATE(DL135,4,1)-1-WEEKDAY(DATE(DL135,4,1)-1,16),DATE(DL135,4,1)-1),TODAY())</f>
        <v>43553</v>
      </c>
      <c r="DJ136" s="2219">
        <f ca="1">IF(IF(WEEKDAY(DATE(DL135,7,1)-1,16)&lt;3,DATE(DL135,7,1)-1-WEEKDAY(DATE(DL135,7,1)-1,16),DATE(DL135,7,1)-1)&lt;TODAY(),IF(WEEKDAY(DATE(DL135,7,1)-1,16)&lt;3,DATE(DL135,7,1)-1-WEEKDAY(DATE(DL135,7,1)-1,16),DATE(DL135,7,1)-1),TODAY())</f>
        <v>43644</v>
      </c>
      <c r="DK136" s="2219">
        <f ca="1">IF(IF(WEEKDAY(DATE(DL135,10,1)-1,16)&lt;3,DATE(DL135,10,1)-1-WEEKDAY(DATE(DL135,10,1)-1,16),DATE(DL135,10,1)-1)&lt;TODAY(),IF(WEEKDAY(DATE(DL135,10,1)-1,16)&lt;3,DATE(DL135,10,1)-1-WEEKDAY(DATE(DL135,10,1)-1,16),DATE(DL135,10,1)-1),TODAY())</f>
        <v>43738</v>
      </c>
      <c r="DL136" s="2220"/>
      <c r="DM136" s="2219">
        <f ca="1">IF(IF(WEEKDAY(DATE(DQ135,1,1)-1,16)&lt;3,DATE(DQ135,1,1)-1-WEEKDAY(DATE(DQ135,1,1)-1,16),DATE(DQ135,1,1)-1)&lt;TODAY(),IF(WEEKDAY(DATE(DQ135,1,1)-1,16)&lt;3,DATE(DQ135,1,1)-1-WEEKDAY(DATE(DQ135,1,1)-1,16),DATE(DQ135,1,1)-1),TODAY())</f>
        <v>43830</v>
      </c>
      <c r="DN136" s="2219">
        <f ca="1">IF(IF(WEEKDAY(DATE(DQ135,4,1)-1,16)&lt;3,DATE(DQ135,4,1)-1-WEEKDAY(DATE(DQ135,4,1)-1,16),DATE(DQ135,4,1)-1)&lt;TODAY(),IF(WEEKDAY(DATE(DQ135,4,1)-1,16)&lt;3,DATE(DQ135,4,1)-1-WEEKDAY(DATE(DQ135,4,1)-1,16),DATE(DQ135,4,1)-1),TODAY())</f>
        <v>43921</v>
      </c>
      <c r="DO136" s="2219">
        <f ca="1">IF(IF(WEEKDAY(DATE(DQ135,7,1)-1,16)&lt;3,DATE(DQ135,7,1)-1-WEEKDAY(DATE(DQ135,7,1)-1,16),DATE(DQ135,7,1)-1)&lt;TODAY(),IF(WEEKDAY(DATE(DQ135,7,1)-1,16)&lt;3,DATE(DQ135,7,1)-1-WEEKDAY(DATE(DQ135,7,1)-1,16),DATE(DQ135,7,1)-1),TODAY())</f>
        <v>44012</v>
      </c>
      <c r="DP136" s="2219">
        <f ca="1">IF(IF(WEEKDAY(DATE(DQ135,10,1)-1,16)&lt;3,DATE(DQ135,10,1)-1-WEEKDAY(DATE(DQ135,10,1)-1,16),DATE(DQ135,10,1)-1)&lt;TODAY(),IF(WEEKDAY(DATE(DQ135,10,1)-1,16)&lt;3,DATE(DQ135,10,1)-1-WEEKDAY(DATE(DQ135,10,1)-1,16),DATE(DQ135,10,1)-1),TODAY())</f>
        <v>44104</v>
      </c>
      <c r="DQ136" s="2220"/>
      <c r="DR136" s="2219">
        <f ca="1">IF(IF(WEEKDAY(DATE(DV135,1,1)-1,16)&lt;3,DATE(DV135,1,1)-1-WEEKDAY(DATE(DV135,1,1)-1,16),DATE(DV135,1,1)-1)&lt;TODAY(),IF(WEEKDAY(DATE(DV135,1,1)-1,16)&lt;3,DATE(DV135,1,1)-1-WEEKDAY(DATE(DV135,1,1)-1,16),DATE(DV135,1,1)-1),TODAY())</f>
        <v>44196</v>
      </c>
      <c r="DS136" s="2219">
        <f ca="1">IF(IF(WEEKDAY(DATE(DV135,4,1)-1,16)&lt;3,DATE(DV135,4,1)-1-WEEKDAY(DATE(DV135,4,1)-1,16),DATE(DV135,4,1)-1)&lt;TODAY(),IF(WEEKDAY(DATE(DV135,4,1)-1,16)&lt;3,DATE(DV135,4,1)-1-WEEKDAY(DATE(DV135,4,1)-1,16),DATE(DV135,4,1)-1),TODAY())</f>
        <v>44286</v>
      </c>
      <c r="DT136" s="2219">
        <f ca="1">IF(IF(WEEKDAY(DATE(DV135,7,1)-1,16)&lt;3,DATE(DV135,7,1)-1-WEEKDAY(DATE(DV135,7,1)-1,16),DATE(DV135,7,1)-1)&lt;TODAY(),IF(WEEKDAY(DATE(DV135,7,1)-1,16)&lt;3,DATE(DV135,7,1)-1-WEEKDAY(DATE(DV135,7,1)-1,16),DATE(DV135,7,1)-1),TODAY())</f>
        <v>44377</v>
      </c>
      <c r="DU136" s="2219">
        <f ca="1">IF(IF(WEEKDAY(DATE(DV135,10,1)-1,16)&lt;3,DATE(DV135,10,1)-1-WEEKDAY(DATE(DV135,10,1)-1,16),DATE(DV135,10,1)-1)&lt;TODAY(),IF(WEEKDAY(DATE(DV135,10,1)-1,16)&lt;3,DATE(DV135,10,1)-1-WEEKDAY(DATE(DV135,10,1)-1,16),DATE(DV135,10,1)-1),TODAY())</f>
        <v>44469</v>
      </c>
      <c r="DV136" s="2220"/>
      <c r="DW136" s="2219">
        <f ca="1">IF(IF(WEEKDAY(DATE(EA135,1,1)-1,16)&lt;3,DATE(EA135,1,1)-1-WEEKDAY(DATE(EA135,1,1)-1,16),DATE(EA135,1,1)-1)&lt;TODAY(),IF(WEEKDAY(DATE(EA135,1,1)-1,16)&lt;3,DATE(EA135,1,1)-1-WEEKDAY(DATE(EA135,1,1)-1,16),DATE(EA135,1,1)-1),TODAY())</f>
        <v>44561</v>
      </c>
      <c r="DX136" s="2219">
        <f ca="1">IF(IF(WEEKDAY(DATE(EA135,4,1)-1,16)&lt;3,DATE(EA135,4,1)-1-WEEKDAY(DATE(EA135,4,1)-1,16),DATE(EA135,4,1)-1)&lt;TODAY(),IF(WEEKDAY(DATE(EA135,4,1)-1,16)&lt;3,DATE(EA135,4,1)-1-WEEKDAY(DATE(EA135,4,1)-1,16),DATE(EA135,4,1)-1),TODAY())</f>
        <v>44651</v>
      </c>
      <c r="DY136" s="2219">
        <f ca="1">IF(IF(WEEKDAY(DATE(EA135,7,1)-1,16)&lt;3,DATE(EA135,7,1)-1-WEEKDAY(DATE(EA135,7,1)-1,16),DATE(EA135,7,1)-1)&lt;TODAY(),IF(WEEKDAY(DATE(EA135,7,1)-1,16)&lt;3,DATE(EA135,7,1)-1-WEEKDAY(DATE(EA135,7,1)-1,16),DATE(EA135,7,1)-1),TODAY())</f>
        <v>44742</v>
      </c>
      <c r="DZ136" s="2219">
        <f ca="1">IF(IF(WEEKDAY(DATE(EA135,10,1)-1,16)&lt;3,DATE(EA135,10,1)-1-WEEKDAY(DATE(EA135,10,1)-1,16),DATE(EA135,10,1)-1)&lt;TODAY(),IF(WEEKDAY(DATE(EA135,10,1)-1,16)&lt;3,DATE(EA135,10,1)-1-WEEKDAY(DATE(EA135,10,1)-1,16),DATE(EA135,10,1)-1),TODAY())</f>
        <v>44834</v>
      </c>
      <c r="EA136" s="2220"/>
      <c r="EB136" s="2219">
        <f ca="1">IF(IF(WEEKDAY(DATE(EF135,1,1)-1,16)&lt;3,DATE(EF135,1,1)-1-WEEKDAY(DATE(EF135,1,1)-1,16),DATE(EF135,1,1)-1)&lt;TODAY(),IF(WEEKDAY(DATE(EF135,1,1)-1,16)&lt;3,DATE(EF135,1,1)-1-WEEKDAY(DATE(EF135,1,1)-1,16),DATE(EF135,1,1)-1),TODAY())</f>
        <v>44925</v>
      </c>
      <c r="EC136" s="2219">
        <f ca="1">IF(IF(WEEKDAY(DATE(EF135,4,1)-1,16)&lt;3,DATE(EF135,4,1)-1-WEEKDAY(DATE(EF135,4,1)-1,16),DATE(EF135,4,1)-1)&lt;TODAY(),IF(WEEKDAY(DATE(EF135,4,1)-1,16)&lt;3,DATE(EF135,4,1)-1-WEEKDAY(DATE(EF135,4,1)-1,16),DATE(EF135,4,1)-1),TODAY())</f>
        <v>45016</v>
      </c>
      <c r="ED136" s="2219">
        <f ca="1">IF(IF(WEEKDAY(DATE(EF135,7,1)-1,16)&lt;3,DATE(EF135,7,1)-1-WEEKDAY(DATE(EF135,7,1)-1,16),DATE(EF135,7,1)-1)&lt;TODAY(),IF(WEEKDAY(DATE(EF135,7,1)-1,16)&lt;3,DATE(EF135,7,1)-1-WEEKDAY(DATE(EF135,7,1)-1,16),DATE(EF135,7,1)-1),TODAY())</f>
        <v>45107</v>
      </c>
      <c r="EE136" s="2219">
        <f ca="1">IF(IF(WEEKDAY(DATE(EF135,10,1)-1,16)&lt;3,DATE(EF135,10,1)-1-WEEKDAY(DATE(EF135,10,1)-1,16),DATE(EF135,10,1)-1)&lt;TODAY(),IF(WEEKDAY(DATE(EF135,10,1)-1,16)&lt;3,DATE(EF135,10,1)-1-WEEKDAY(DATE(EF135,10,1)-1,16),DATE(EF135,10,1)-1),TODAY())</f>
        <v>45198</v>
      </c>
      <c r="EF136" s="2220"/>
      <c r="EG136" s="2219">
        <f ca="1">IF(IF(WEEKDAY(DATE(EK135,1,1)-1,16)&lt;3,DATE(EK135,1,1)-1-WEEKDAY(DATE(EK135,1,1)-1,16),DATE(EK135,1,1)-1)&lt;TODAY(),IF(WEEKDAY(DATE(EK135,1,1)-1,16)&lt;3,DATE(EK135,1,1)-1-WEEKDAY(DATE(EK135,1,1)-1,16),DATE(EK135,1,1)-1),TODAY())</f>
        <v>45289</v>
      </c>
      <c r="EH136" s="2219">
        <f ca="1">IF(IF(WEEKDAY(DATE(EK135,4,1)-1,16)&lt;3,DATE(EK135,4,1)-1-WEEKDAY(DATE(EK135,4,1)-1,16),DATE(EK135,4,1)-1)&lt;TODAY(),IF(WEEKDAY(DATE(EK135,4,1)-1,16)&lt;3,DATE(EK135,4,1)-1-WEEKDAY(DATE(EK135,4,1)-1,16),DATE(EK135,4,1)-1),TODAY())</f>
        <v>45380</v>
      </c>
      <c r="EI136" s="2219">
        <f ca="1">IF(IF(WEEKDAY(DATE(EK135,7,1)-1,16)&lt;3,DATE(EK135,7,1)-1-WEEKDAY(DATE(EK135,7,1)-1,16),DATE(EK135,7,1)-1)&lt;TODAY(),IF(WEEKDAY(DATE(EK135,7,1)-1,16)&lt;3,DATE(EK135,7,1)-1-WEEKDAY(DATE(EK135,7,1)-1,16),DATE(EK135,7,1)-1),TODAY())</f>
        <v>45471</v>
      </c>
      <c r="EJ136" s="2219">
        <f ca="1">IF(IF(WEEKDAY(DATE(EK135,10,1)-1,16)&lt;3,DATE(EK135,10,1)-1-WEEKDAY(DATE(EK135,10,1)-1,16),DATE(EK135,10,1)-1)&lt;TODAY(),IF(WEEKDAY(DATE(EK135,10,1)-1,16)&lt;3,DATE(EK135,10,1)-1-WEEKDAY(DATE(EK135,10,1)-1,16),DATE(EK135,10,1)-1),TODAY())</f>
        <v>45565</v>
      </c>
      <c r="EK136" s="2220"/>
      <c r="EL136" s="2219">
        <f ca="1">IF(IF(WEEKDAY(DATE(EP135,1,1)-1,16)&lt;3,DATE(EP135,1,1)-1-WEEKDAY(DATE(EP135,1,1)-1,16),DATE(EP135,1,1)-1)&lt;TODAY(),IF(WEEKDAY(DATE(EP135,1,1)-1,16)&lt;3,DATE(EP135,1,1)-1-WEEKDAY(DATE(EP135,1,1)-1,16),DATE(EP135,1,1)-1),TODAY())</f>
        <v>45657</v>
      </c>
      <c r="EM136" s="2219">
        <f ca="1">IF(IF(WEEKDAY(DATE(EP135,4,1)-1,16)&lt;3,DATE(EP135,4,1)-1-WEEKDAY(DATE(EP135,4,1)-1,16),DATE(EP135,4,1)-1)&lt;TODAY(),IF(WEEKDAY(DATE(EP135,4,1)-1,16)&lt;3,DATE(EP135,4,1)-1-WEEKDAY(DATE(EP135,4,1)-1,16),DATE(EP135,4,1)-1),TODAY())</f>
        <v>45747</v>
      </c>
      <c r="EN136" s="2219">
        <f ca="1">IF(IF(WEEKDAY(DATE(EP135,7,1)-1,16)&lt;3,DATE(EP135,7,1)-1-WEEKDAY(DATE(EP135,7,1)-1,16),DATE(EP135,7,1)-1)&lt;TODAY(),IF(WEEKDAY(DATE(EP135,7,1)-1,16)&lt;3,DATE(EP135,7,1)-1-WEEKDAY(DATE(EP135,7,1)-1,16),DATE(EP135,7,1)-1),TODAY())</f>
        <v>45838</v>
      </c>
      <c r="EO136" s="2219">
        <f ca="1">IF(IF(WEEKDAY(DATE(EP135,10,1)-1,16)&lt;3,DATE(EP135,10,1)-1-WEEKDAY(DATE(EP135,10,1)-1,16),DATE(EP135,10,1)-1)&lt;TODAY(),IF(WEEKDAY(DATE(EP135,10,1)-1,16)&lt;3,DATE(EP135,10,1)-1-WEEKDAY(DATE(EP135,10,1)-1,16),DATE(EP135,10,1)-1),TODAY())</f>
        <v>45930</v>
      </c>
      <c r="EP136" s="2220"/>
      <c r="EQ136" s="2219">
        <f ca="1">IF(IF(WEEKDAY(DATE(EU135,1,1)-1,16)&lt;3,DATE(EU135,1,1)-1-WEEKDAY(DATE(EU135,1,1)-1,16),DATE(EU135,1,1)-1)&lt;TODAY(),IF(WEEKDAY(DATE(EU135,1,1)-1,16)&lt;3,DATE(EU135,1,1)-1-WEEKDAY(DATE(EU135,1,1)-1,16),DATE(EU135,1,1)-1),TODAY())</f>
        <v>45960</v>
      </c>
      <c r="ER136" s="2219">
        <f ca="1">IF(IF(WEEKDAY(DATE(EU135,4,1)-1,16)&lt;3,DATE(EU135,4,1)-1-WEEKDAY(DATE(EU135,4,1)-1,16),DATE(EU135,4,1)-1)&lt;TODAY(),IF(WEEKDAY(DATE(EU135,4,1)-1,16)&lt;3,DATE(EU135,4,1)-1-WEEKDAY(DATE(EU135,4,1)-1,16),DATE(EU135,4,1)-1),TODAY())</f>
        <v>45960</v>
      </c>
      <c r="ES136" s="2219">
        <f ca="1">IF(IF(WEEKDAY(DATE(EU135,7,1)-1,16)&lt;3,DATE(EU135,7,1)-1-WEEKDAY(DATE(EU135,7,1)-1,16),DATE(EU135,7,1)-1)&lt;TODAY(),IF(WEEKDAY(DATE(EU135,7,1)-1,16)&lt;3,DATE(EU135,7,1)-1-WEEKDAY(DATE(EU135,7,1)-1,16),DATE(EU135,7,1)-1),TODAY())</f>
        <v>45960</v>
      </c>
      <c r="ET136" s="2219">
        <f ca="1">IF(IF(WEEKDAY(DATE(EU135,10,1)-1,16)&lt;3,DATE(EU135,10,1)-1-WEEKDAY(DATE(EU135,10,1)-1,16),DATE(EU135,10,1)-1)&lt;TODAY(),IF(WEEKDAY(DATE(EU135,10,1)-1,16)&lt;3,DATE(EU135,10,1)-1-WEEKDAY(DATE(EU135,10,1)-1,16),DATE(EU135,10,1)-1),TODAY())</f>
        <v>45960</v>
      </c>
      <c r="EU136" s="2220"/>
      <c r="EV136" s="2219">
        <f ca="1">IF(IF(WEEKDAY(DATE(EZ135,1,1)-1,16)&lt;3,DATE(EZ135,1,1)-1-WEEKDAY(DATE(EZ135,1,1)-1,16),DATE(EZ135,1,1)-1)&lt;TODAY(),IF(WEEKDAY(DATE(EZ135,1,1)-1,16)&lt;3,DATE(EZ135,1,1)-1-WEEKDAY(DATE(EZ135,1,1)-1,16),DATE(EZ135,1,1)-1),TODAY())</f>
        <v>45960</v>
      </c>
      <c r="EW136" s="2219">
        <f ca="1">IF(IF(WEEKDAY(DATE(EZ135,4,1)-1,16)&lt;3,DATE(EZ135,4,1)-1-WEEKDAY(DATE(EZ135,4,1)-1,16),DATE(EZ135,4,1)-1)&lt;TODAY(),IF(WEEKDAY(DATE(EZ135,4,1)-1,16)&lt;3,DATE(EZ135,4,1)-1-WEEKDAY(DATE(EZ135,4,1)-1,16),DATE(EZ135,4,1)-1),TODAY())</f>
        <v>45960</v>
      </c>
      <c r="EX136" s="2219">
        <f ca="1">IF(IF(WEEKDAY(DATE(EZ135,7,1)-1,16)&lt;3,DATE(EZ135,7,1)-1-WEEKDAY(DATE(EZ135,7,1)-1,16),DATE(EZ135,7,1)-1)&lt;TODAY(),IF(WEEKDAY(DATE(EZ135,7,1)-1,16)&lt;3,DATE(EZ135,7,1)-1-WEEKDAY(DATE(EZ135,7,1)-1,16),DATE(EZ135,7,1)-1),TODAY())</f>
        <v>45960</v>
      </c>
      <c r="EY136" s="2219">
        <f ca="1">IF(IF(WEEKDAY(DATE(EZ135,10,1)-1,16)&lt;3,DATE(EZ135,10,1)-1-WEEKDAY(DATE(EZ135,10,1)-1,16),DATE(EZ135,10,1)-1)&lt;TODAY(),IF(WEEKDAY(DATE(EZ135,10,1)-1,16)&lt;3,DATE(EZ135,10,1)-1-WEEKDAY(DATE(EZ135,10,1)-1,16),DATE(EZ135,10,1)-1),TODAY())</f>
        <v>45960</v>
      </c>
      <c r="EZ136" s="2220"/>
      <c r="FA136" s="1973"/>
      <c r="FB136" s="1973"/>
      <c r="FC136" s="1973"/>
      <c r="FD136" s="1973"/>
      <c r="FF136" s="1973"/>
      <c r="FG136"/>
      <c r="FH136"/>
      <c r="FI136"/>
      <c r="FJ136"/>
    </row>
    <row r="137" spans="1:169" ht="11.25" hidden="1" customHeight="1" outlineLevel="1">
      <c r="A137" s="2226" t="s">
        <v>602</v>
      </c>
      <c r="B137" s="1973"/>
      <c r="C137" s="1973"/>
      <c r="D137" s="1973"/>
      <c r="E137" s="1973"/>
      <c r="F137" s="1973"/>
      <c r="G137" s="1973"/>
      <c r="H137" s="1973"/>
      <c r="I137" s="1973"/>
      <c r="J137" s="1973"/>
      <c r="K137" s="1973"/>
      <c r="L137" s="1973"/>
      <c r="M137" s="1973"/>
      <c r="N137" s="1973"/>
      <c r="O137" s="1973"/>
      <c r="P137" s="1973"/>
      <c r="Q137" s="1973"/>
      <c r="R137" s="1973"/>
      <c r="S137" s="1973"/>
      <c r="T137" s="1973"/>
      <c r="U137" s="1973"/>
      <c r="V137" s="1973"/>
      <c r="W137" s="1973"/>
      <c r="X137" s="1973"/>
      <c r="Y137" s="1973"/>
      <c r="Z137" s="1973"/>
      <c r="AA137" s="1973"/>
      <c r="AB137" s="1973"/>
      <c r="AC137" s="1973"/>
      <c r="AD137" s="1973"/>
      <c r="AE137" s="1973"/>
      <c r="AF137" s="1973"/>
      <c r="AG137" s="1973"/>
      <c r="AH137" s="1973"/>
      <c r="AI137" s="1973"/>
      <c r="AJ137" s="1973"/>
      <c r="AK137" s="1973"/>
      <c r="AL137" s="1973"/>
      <c r="AM137" s="1973"/>
      <c r="AN137" s="1973"/>
      <c r="AO137" s="1973"/>
      <c r="AP137" s="1973"/>
      <c r="AQ137" s="1973"/>
      <c r="AR137" s="1973"/>
      <c r="AS137" s="1973"/>
      <c r="AT137" s="1973"/>
      <c r="AU137" s="1973"/>
      <c r="AV137" s="1973"/>
      <c r="AW137" s="1973"/>
      <c r="AX137" s="1973"/>
      <c r="AY137" s="1973"/>
      <c r="AZ137" s="1973"/>
      <c r="BA137" s="1973"/>
      <c r="BB137" s="1973"/>
      <c r="BC137" s="1973"/>
      <c r="BD137" s="1973"/>
      <c r="BE137" s="1973"/>
      <c r="BF137" s="1973"/>
      <c r="BG137" s="1973"/>
      <c r="BH137" s="1973"/>
      <c r="BI137" s="1973"/>
      <c r="BJ137" s="1973"/>
      <c r="BK137" s="1973"/>
      <c r="BL137" s="1973"/>
      <c r="BM137" s="1973"/>
      <c r="BN137" s="1973"/>
      <c r="BO137" s="1973"/>
      <c r="BP137" s="1973"/>
      <c r="BQ137" s="1973"/>
      <c r="BR137" s="1973"/>
      <c r="BS137" s="1973"/>
      <c r="BT137" s="1973"/>
      <c r="BU137" s="1973"/>
      <c r="BV137" s="1973"/>
      <c r="BW137" s="1973"/>
      <c r="BX137" s="1973"/>
      <c r="BY137" s="1973"/>
      <c r="BZ137" s="1973"/>
      <c r="CA137" s="1973"/>
      <c r="CB137" s="1973"/>
      <c r="CC137" s="1973"/>
      <c r="CD137" s="1973"/>
      <c r="CE137" s="1973"/>
      <c r="CF137" s="1973"/>
      <c r="CG137" s="1973"/>
      <c r="CH137" s="1973"/>
      <c r="CI137" s="1973"/>
      <c r="CJ137" s="1973"/>
      <c r="CK137" s="1973"/>
      <c r="CL137" s="1973"/>
      <c r="CM137" s="1973"/>
      <c r="CN137" s="1974">
        <f ca="1">IF(IF(WEEKDAY(DATE(CR135,2,1)-1,16)&lt;3,DATE(CR135,2,1)-1-WEEKDAY(DATE(CR135,2,1)-1,16),DATE(CR135,2,1)-1)&lt;TODAY(),IF(WEEKDAY(DATE(CR135,2,1)-1,16)&lt;3,DATE(CR135,2,1)-1-WEEKDAY(DATE(CR135,2,1)-1,16),DATE(CR135,2,1)-1),TODAY())</f>
        <v>42034</v>
      </c>
      <c r="CO137" s="1974">
        <f ca="1">IF(IF(WEEKDAY(DATE(CR135,5,1)-1,16)&lt;3,DATE(CR135,5,1)-1-WEEKDAY(DATE(CR135,5,1)-1,16),DATE(CR135,5,1)-1)&lt;TODAY(),IF(WEEKDAY(DATE(CR135,5,1)-1,16)&lt;3,DATE(CR135,5,1)-1-WEEKDAY(DATE(CR135,5,1)-1,16),DATE(CR135,5,1)-1),TODAY())</f>
        <v>42124</v>
      </c>
      <c r="CP137" s="1974">
        <f ca="1">IF(IF(WEEKDAY(DATE(CR135,8,1)-1,16)&lt;3,DATE(CR135,8,1)-1-WEEKDAY(DATE(CR135,8,1)-1,16),DATE(CR135,8,1)-1)&lt;TODAY(),IF(WEEKDAY(DATE(CR135,8,1)-1,16)&lt;3,DATE(CR135,8,1)-1-WEEKDAY(DATE(CR135,8,1)-1,16),DATE(CR135,8,1)-1),TODAY())</f>
        <v>42216</v>
      </c>
      <c r="CQ137" s="1974">
        <f ca="1">IF(IF(WEEKDAY(DATE(CR135,11,1)-1,16)&lt;3,DATE(CR135,11,1)-1-WEEKDAY(DATE(CR135,11,1)-1,16),DATE(CR135,11,1)-1)&lt;TODAY(),IF(WEEKDAY(DATE(CR135,11,1)-1,16)&lt;3,DATE(CR135,11,1)-1-WEEKDAY(DATE(CR135,11,1)-1,16),DATE(CR135,11,1)-1),TODAY())</f>
        <v>42307</v>
      </c>
      <c r="CR137" s="2221"/>
      <c r="CS137" s="1974">
        <f ca="1">IF(IF(WEEKDAY(DATE(CW135,2,1)-1,16)&lt;3,DATE(CW135,2,1)-1-WEEKDAY(DATE(CW135,2,1)-1,16),DATE(CW135,2,1)-1)&lt;TODAY(),IF(WEEKDAY(DATE(CW135,2,1)-1,16)&lt;3,DATE(CW135,2,1)-1-WEEKDAY(DATE(CW135,2,1)-1,16),DATE(CW135,2,1)-1),TODAY())</f>
        <v>42398</v>
      </c>
      <c r="CT137" s="1974">
        <f ca="1">IF(IF(WEEKDAY(DATE(CW135,5,1)-1,16)&lt;3,DATE(CW135,5,1)-1-WEEKDAY(DATE(CW135,5,1)-1,16),DATE(CW135,5,1)-1)&lt;TODAY(),IF(WEEKDAY(DATE(CW135,5,1)-1,16)&lt;3,DATE(CW135,5,1)-1-WEEKDAY(DATE(CW135,5,1)-1,16),DATE(CW135,5,1)-1),TODAY())</f>
        <v>42489</v>
      </c>
      <c r="CU137" s="1974">
        <f ca="1">IF(IF(WEEKDAY(DATE(CW135,8,1)-1,16)&lt;3,DATE(CW135,8,1)-1-WEEKDAY(DATE(CW135,8,1)-1,16),DATE(CW135,8,1)-1)&lt;TODAY(),IF(WEEKDAY(DATE(CW135,8,1)-1,16)&lt;3,DATE(CW135,8,1)-1-WEEKDAY(DATE(CW135,8,1)-1,16),DATE(CW135,8,1)-1),TODAY())</f>
        <v>42580</v>
      </c>
      <c r="CV137" s="1974">
        <f ca="1">IF(IF(WEEKDAY(DATE(CW135,11,1)-1,16)&lt;3,DATE(CW135,11,1)-1-WEEKDAY(DATE(CW135,11,1)-1,16),DATE(CW135,11,1)-1)&lt;TODAY(),IF(WEEKDAY(DATE(CW135,11,1)-1,16)&lt;3,DATE(CW135,11,1)-1-WEEKDAY(DATE(CW135,11,1)-1,16),DATE(CW135,11,1)-1),TODAY())</f>
        <v>42674</v>
      </c>
      <c r="CW137" s="2221"/>
      <c r="CX137" s="1974">
        <f ca="1">IF(IF(WEEKDAY(DATE(DB135,2,1)-1,16)&lt;3,DATE(DB135,2,1)-1-WEEKDAY(DATE(DB135,2,1)-1,16),DATE(DB135,2,1)-1)&lt;TODAY(),IF(WEEKDAY(DATE(DB135,2,1)-1,16)&lt;3,DATE(DB135,2,1)-1-WEEKDAY(DATE(DB135,2,1)-1,16),DATE(DB135,2,1)-1),TODAY())</f>
        <v>42766</v>
      </c>
      <c r="CY137" s="1974">
        <f ca="1">IF(IF(WEEKDAY(DATE(DB135,5,1)-1,16)&lt;3,DATE(DB135,5,1)-1-WEEKDAY(DATE(DB135,5,1)-1,16),DATE(DB135,5,1)-1)&lt;TODAY(),IF(WEEKDAY(DATE(DB135,5,1)-1,16)&lt;3,DATE(DB135,5,1)-1-WEEKDAY(DATE(DB135,5,1)-1,16),DATE(DB135,5,1)-1),TODAY())</f>
        <v>42853</v>
      </c>
      <c r="CZ137" s="1974">
        <f ca="1">IF(IF(WEEKDAY(DATE(DB135,8,1)-1,16)&lt;3,DATE(DB135,8,1)-1-WEEKDAY(DATE(DB135,8,1)-1,16),DATE(DB135,8,1)-1)&lt;TODAY(),IF(WEEKDAY(DATE(DB135,8,1)-1,16)&lt;3,DATE(DB135,8,1)-1-WEEKDAY(DATE(DB135,8,1)-1,16),DATE(DB135,8,1)-1),TODAY())</f>
        <v>42947</v>
      </c>
      <c r="DA137" s="1974">
        <f ca="1">IF(IF(WEEKDAY(DATE(DB135,11,1)-1,16)&lt;3,DATE(DB135,11,1)-1-WEEKDAY(DATE(DB135,11,1)-1,16),DATE(DB135,11,1)-1)&lt;TODAY(),IF(WEEKDAY(DATE(DB135,11,1)-1,16)&lt;3,DATE(DB135,11,1)-1-WEEKDAY(DATE(DB135,11,1)-1,16),DATE(DB135,11,1)-1),TODAY())</f>
        <v>43039</v>
      </c>
      <c r="DB137" s="2221"/>
      <c r="DC137" s="1974">
        <f ca="1">IF(IF(WEEKDAY(DATE(DG135,2,1)-1,16)&lt;3,DATE(DG135,2,1)-1-WEEKDAY(DATE(DG135,2,1)-1,16),DATE(DG135,2,1)-1)&lt;TODAY(),IF(WEEKDAY(DATE(DG135,2,1)-1,16)&lt;3,DATE(DG135,2,1)-1-WEEKDAY(DATE(DG135,2,1)-1,16),DATE(DG135,2,1)-1),TODAY())</f>
        <v>43131</v>
      </c>
      <c r="DD137" s="1974">
        <f ca="1">IF(IF(WEEKDAY(DATE(DG135,5,1)-1,16)&lt;3,DATE(DG135,5,1)-1-WEEKDAY(DATE(DG135,5,1)-1,16),DATE(DG135,5,1)-1)&lt;TODAY(),IF(WEEKDAY(DATE(DG135,5,1)-1,16)&lt;3,DATE(DG135,5,1)-1-WEEKDAY(DATE(DG135,5,1)-1,16),DATE(DG135,5,1)-1),TODAY())</f>
        <v>43220</v>
      </c>
      <c r="DE137" s="1974">
        <f ca="1">IF(IF(WEEKDAY(DATE(DG135,8,1)-1,16)&lt;3,DATE(DG135,8,1)-1-WEEKDAY(DATE(DG135,8,1)-1,16),DATE(DG135,8,1)-1)&lt;TODAY(),IF(WEEKDAY(DATE(DG135,8,1)-1,16)&lt;3,DATE(DG135,8,1)-1-WEEKDAY(DATE(DG135,8,1)-1,16),DATE(DG135,8,1)-1),TODAY())</f>
        <v>43312</v>
      </c>
      <c r="DF137" s="1974">
        <f ca="1">IF(IF(WEEKDAY(DATE(DG135,11,1)-1,16)&lt;3,DATE(DG135,11,1)-1-WEEKDAY(DATE(DG135,11,1)-1,16),DATE(DG135,11,1)-1)&lt;TODAY(),IF(WEEKDAY(DATE(DG135,11,1)-1,16)&lt;3,DATE(DG135,11,1)-1-WEEKDAY(DATE(DG135,11,1)-1,16),DATE(DG135,11,1)-1),TODAY())</f>
        <v>43404</v>
      </c>
      <c r="DG137" s="2221"/>
      <c r="DH137" s="1974">
        <f ca="1">IF(IF(WEEKDAY(DATE(DL135,2,1)-1,16)&lt;3,DATE(DL135,2,1)-1-WEEKDAY(DATE(DL135,2,1)-1,16),DATE(DL135,2,1)-1)&lt;TODAY(),IF(WEEKDAY(DATE(DL135,2,1)-1,16)&lt;3,DATE(DL135,2,1)-1-WEEKDAY(DATE(DL135,2,1)-1,16),DATE(DL135,2,1)-1),TODAY())</f>
        <v>43496</v>
      </c>
      <c r="DI137" s="1974">
        <f ca="1">IF(IF(WEEKDAY(DATE(DL135,5,1)-1,16)&lt;3,DATE(DL135,5,1)-1-WEEKDAY(DATE(DL135,5,1)-1,16),DATE(DL135,5,1)-1)&lt;TODAY(),IF(WEEKDAY(DATE(DL135,5,1)-1,16)&lt;3,DATE(DL135,5,1)-1-WEEKDAY(DATE(DL135,5,1)-1,16),DATE(DL135,5,1)-1),TODAY())</f>
        <v>43585</v>
      </c>
      <c r="DJ137" s="1974">
        <f ca="1">IF(IF(WEEKDAY(DATE(DL135,8,1)-1,16)&lt;3,DATE(DL135,8,1)-1-WEEKDAY(DATE(DL135,8,1)-1,16),DATE(DL135,8,1)-1)&lt;TODAY(),IF(WEEKDAY(DATE(DL135,8,1)-1,16)&lt;3,DATE(DL135,8,1)-1-WEEKDAY(DATE(DL135,8,1)-1,16),DATE(DL135,8,1)-1),TODAY())</f>
        <v>43677</v>
      </c>
      <c r="DK137" s="1974">
        <f ca="1">IF(IF(WEEKDAY(DATE(DL135,11,1)-1,16)&lt;3,DATE(DL135,11,1)-1-WEEKDAY(DATE(DL135,11,1)-1,16),DATE(DL135,11,1)-1)&lt;TODAY(),IF(WEEKDAY(DATE(DL135,11,1)-1,16)&lt;3,DATE(DL135,11,1)-1-WEEKDAY(DATE(DL135,11,1)-1,16),DATE(DL135,11,1)-1),TODAY())</f>
        <v>43769</v>
      </c>
      <c r="DL137" s="2221"/>
      <c r="DM137" s="1974">
        <f ca="1">IF(IF(WEEKDAY(DATE(DQ135,2,1)-1,16)&lt;3,DATE(DQ135,2,1)-1-WEEKDAY(DATE(DQ135,2,1)-1,16),DATE(DQ135,2,1)-1)&lt;TODAY(),IF(WEEKDAY(DATE(DQ135,2,1)-1,16)&lt;3,DATE(DQ135,2,1)-1-WEEKDAY(DATE(DQ135,2,1)-1,16),DATE(DQ135,2,1)-1),TODAY())</f>
        <v>43861</v>
      </c>
      <c r="DN137" s="1974">
        <f ca="1">IF(IF(WEEKDAY(DATE(DQ135,5,1)-1,16)&lt;3,DATE(DQ135,5,1)-1-WEEKDAY(DATE(DQ135,5,1)-1,16),DATE(DQ135,5,1)-1)&lt;TODAY(),IF(WEEKDAY(DATE(DQ135,5,1)-1,16)&lt;3,DATE(DQ135,5,1)-1-WEEKDAY(DATE(DQ135,5,1)-1,16),DATE(DQ135,5,1)-1),TODAY())</f>
        <v>43951</v>
      </c>
      <c r="DO137" s="1974">
        <f ca="1">IF(IF(WEEKDAY(DATE(DQ135,8,1)-1,16)&lt;3,DATE(DQ135,8,1)-1-WEEKDAY(DATE(DQ135,8,1)-1,16),DATE(DQ135,8,1)-1)&lt;TODAY(),IF(WEEKDAY(DATE(DQ135,8,1)-1,16)&lt;3,DATE(DQ135,8,1)-1-WEEKDAY(DATE(DQ135,8,1)-1,16),DATE(DQ135,8,1)-1),TODAY())</f>
        <v>44043</v>
      </c>
      <c r="DP137" s="1974">
        <f ca="1">IF(IF(WEEKDAY(DATE(DQ135,11,1)-1,16)&lt;3,DATE(DQ135,11,1)-1-WEEKDAY(DATE(DQ135,11,1)-1,16),DATE(DQ135,11,1)-1)&lt;TODAY(),IF(WEEKDAY(DATE(DQ135,11,1)-1,16)&lt;3,DATE(DQ135,11,1)-1-WEEKDAY(DATE(DQ135,11,1)-1,16),DATE(DQ135,11,1)-1),TODAY())</f>
        <v>44134</v>
      </c>
      <c r="DQ137" s="2221"/>
      <c r="DR137" s="1974">
        <f ca="1">IF(IF(WEEKDAY(DATE(DV135,2,1)-1,16)&lt;3,DATE(DV135,2,1)-1-WEEKDAY(DATE(DV135,2,1)-1,16),DATE(DV135,2,1)-1)&lt;TODAY(),IF(WEEKDAY(DATE(DV135,2,1)-1,16)&lt;3,DATE(DV135,2,1)-1-WEEKDAY(DATE(DV135,2,1)-1,16),DATE(DV135,2,1)-1),TODAY())</f>
        <v>44225</v>
      </c>
      <c r="DS137" s="1974">
        <f ca="1">IF(IF(WEEKDAY(DATE(DV135,5,1)-1,16)&lt;3,DATE(DV135,5,1)-1-WEEKDAY(DATE(DV135,5,1)-1,16),DATE(DV135,5,1)-1)&lt;TODAY(),IF(WEEKDAY(DATE(DV135,5,1)-1,16)&lt;3,DATE(DV135,5,1)-1-WEEKDAY(DATE(DV135,5,1)-1,16),DATE(DV135,5,1)-1),TODAY())</f>
        <v>44316</v>
      </c>
      <c r="DT137" s="1974">
        <f ca="1">IF(IF(WEEKDAY(DATE(DV135,8,1)-1,16)&lt;3,DATE(DV135,8,1)-1-WEEKDAY(DATE(DV135,8,1)-1,16),DATE(DV135,8,1)-1)&lt;TODAY(),IF(WEEKDAY(DATE(DV135,8,1)-1,16)&lt;3,DATE(DV135,8,1)-1-WEEKDAY(DATE(DV135,8,1)-1,16),DATE(DV135,8,1)-1),TODAY())</f>
        <v>44407</v>
      </c>
      <c r="DU137" s="1974">
        <f ca="1">IF(IF(WEEKDAY(DATE(DV135,11,1)-1,16)&lt;3,DATE(DV135,11,1)-1-WEEKDAY(DATE(DV135,11,1)-1,16),DATE(DV135,11,1)-1)&lt;TODAY(),IF(WEEKDAY(DATE(DV135,11,1)-1,16)&lt;3,DATE(DV135,11,1)-1-WEEKDAY(DATE(DV135,11,1)-1,16),DATE(DV135,11,1)-1),TODAY())</f>
        <v>44498</v>
      </c>
      <c r="DV137" s="2221"/>
      <c r="DW137" s="1974">
        <f ca="1">IF(IF(WEEKDAY(DATE(EA135,2,1)-1,16)&lt;3,DATE(EA135,2,1)-1-WEEKDAY(DATE(EA135,2,1)-1,16),DATE(EA135,2,1)-1)&lt;TODAY(),IF(WEEKDAY(DATE(EA135,2,1)-1,16)&lt;3,DATE(EA135,2,1)-1-WEEKDAY(DATE(EA135,2,1)-1,16),DATE(EA135,2,1)-1),TODAY())</f>
        <v>44592</v>
      </c>
      <c r="DX137" s="1974">
        <f ca="1">IF(IF(WEEKDAY(DATE(EA135,5,1)-1,16)&lt;3,DATE(EA135,5,1)-1-WEEKDAY(DATE(EA135,5,1)-1,16),DATE(EA135,5,1)-1)&lt;TODAY(),IF(WEEKDAY(DATE(EA135,5,1)-1,16)&lt;3,DATE(EA135,5,1)-1-WEEKDAY(DATE(EA135,5,1)-1,16),DATE(EA135,5,1)-1),TODAY())</f>
        <v>44680</v>
      </c>
      <c r="DY137" s="1974">
        <f ca="1">IF(IF(WEEKDAY(DATE(EA135,8,1)-1,16)&lt;3,DATE(EA135,8,1)-1-WEEKDAY(DATE(EA135,8,1)-1,16),DATE(EA135,8,1)-1)&lt;TODAY(),IF(WEEKDAY(DATE(EA135,8,1)-1,16)&lt;3,DATE(EA135,8,1)-1-WEEKDAY(DATE(EA135,8,1)-1,16),DATE(EA135,8,1)-1),TODAY())</f>
        <v>44771</v>
      </c>
      <c r="DZ137" s="1974">
        <f ca="1">IF(IF(WEEKDAY(DATE(EA135,11,1)-1,16)&lt;3,DATE(EA135,11,1)-1-WEEKDAY(DATE(EA135,11,1)-1,16),DATE(EA135,11,1)-1)&lt;TODAY(),IF(WEEKDAY(DATE(EA135,11,1)-1,16)&lt;3,DATE(EA135,11,1)-1-WEEKDAY(DATE(EA135,11,1)-1,16),DATE(EA135,11,1)-1),TODAY())</f>
        <v>44865</v>
      </c>
      <c r="EA137" s="2221"/>
      <c r="EB137" s="1974">
        <f ca="1">IF(IF(WEEKDAY(DATE(EF135,2,1)-1,16)&lt;3,DATE(EF135,2,1)-1-WEEKDAY(DATE(EF135,2,1)-1,16),DATE(EF135,2,1)-1)&lt;TODAY(),IF(WEEKDAY(DATE(EF135,2,1)-1,16)&lt;3,DATE(EF135,2,1)-1-WEEKDAY(DATE(EF135,2,1)-1,16),DATE(EF135,2,1)-1),TODAY())</f>
        <v>44957</v>
      </c>
      <c r="EC137" s="1974">
        <f ca="1">IF(IF(WEEKDAY(DATE(EF135,5,1)-1,16)&lt;3,DATE(EF135,5,1)-1-WEEKDAY(DATE(EF135,5,1)-1,16),DATE(EF135,5,1)-1)&lt;TODAY(),IF(WEEKDAY(DATE(EF135,5,1)-1,16)&lt;3,DATE(EF135,5,1)-1-WEEKDAY(DATE(EF135,5,1)-1,16),DATE(EF135,5,1)-1),TODAY())</f>
        <v>45044</v>
      </c>
      <c r="ED137" s="1974">
        <f ca="1">IF(IF(WEEKDAY(DATE(EF135,8,1)-1,16)&lt;3,DATE(EF135,8,1)-1-WEEKDAY(DATE(EF135,8,1)-1,16),DATE(EF135,8,1)-1)&lt;TODAY(),IF(WEEKDAY(DATE(EF135,8,1)-1,16)&lt;3,DATE(EF135,8,1)-1-WEEKDAY(DATE(EF135,8,1)-1,16),DATE(EF135,8,1)-1),TODAY())</f>
        <v>45138</v>
      </c>
      <c r="EE137" s="1974">
        <f ca="1">IF(IF(WEEKDAY(DATE(EF135,11,1)-1,16)&lt;3,DATE(EF135,11,1)-1-WEEKDAY(DATE(EF135,11,1)-1,16),DATE(EF135,11,1)-1)&lt;TODAY(),IF(WEEKDAY(DATE(EF135,11,1)-1,16)&lt;3,DATE(EF135,11,1)-1-WEEKDAY(DATE(EF135,11,1)-1,16),DATE(EF135,11,1)-1),TODAY())</f>
        <v>45230</v>
      </c>
      <c r="EF137" s="2221"/>
      <c r="EG137" s="1974">
        <f ca="1">IF(IF(WEEKDAY(DATE(EK135,2,1)-1,16)&lt;3,DATE(EK135,2,1)-1-WEEKDAY(DATE(EK135,2,1)-1,16),DATE(EK135,2,1)-1)&lt;TODAY(),IF(WEEKDAY(DATE(EK135,2,1)-1,16)&lt;3,DATE(EK135,2,1)-1-WEEKDAY(DATE(EK135,2,1)-1,16),DATE(EK135,2,1)-1),TODAY())</f>
        <v>45322</v>
      </c>
      <c r="EH137" s="1974">
        <f ca="1">IF(IF(WEEKDAY(DATE(EK135,5,1)-1,16)&lt;3,DATE(EK135,5,1)-1-WEEKDAY(DATE(EK135,5,1)-1,16),DATE(EK135,5,1)-1)&lt;TODAY(),IF(WEEKDAY(DATE(EK135,5,1)-1,16)&lt;3,DATE(EK135,5,1)-1-WEEKDAY(DATE(EK135,5,1)-1,16),DATE(EK135,5,1)-1),TODAY())</f>
        <v>45412</v>
      </c>
      <c r="EI137" s="1974">
        <f ca="1">IF(IF(WEEKDAY(DATE(EK135,8,1)-1,16)&lt;3,DATE(EK135,8,1)-1-WEEKDAY(DATE(EK135,8,1)-1,16),DATE(EK135,8,1)-1)&lt;TODAY(),IF(WEEKDAY(DATE(EK135,8,1)-1,16)&lt;3,DATE(EK135,8,1)-1-WEEKDAY(DATE(EK135,8,1)-1,16),DATE(EK135,8,1)-1),TODAY())</f>
        <v>45504</v>
      </c>
      <c r="EJ137" s="1974">
        <f ca="1">IF(IF(WEEKDAY(DATE(EK135,11,1)-1,16)&lt;3,DATE(EK135,11,1)-1-WEEKDAY(DATE(EK135,11,1)-1,16),DATE(EK135,11,1)-1)&lt;TODAY(),IF(WEEKDAY(DATE(EK135,11,1)-1,16)&lt;3,DATE(EK135,11,1)-1-WEEKDAY(DATE(EK135,11,1)-1,16),DATE(EK135,11,1)-1),TODAY())</f>
        <v>45596</v>
      </c>
      <c r="EK137" s="2221"/>
      <c r="EL137" s="1974">
        <f ca="1">IF(IF(WEEKDAY(DATE(EP135,2,1)-1,16)&lt;3,DATE(EP135,2,1)-1-WEEKDAY(DATE(EP135,2,1)-1,16),DATE(EP135,2,1)-1)&lt;TODAY(),IF(WEEKDAY(DATE(EP135,2,1)-1,16)&lt;3,DATE(EP135,2,1)-1-WEEKDAY(DATE(EP135,2,1)-1,16),DATE(EP135,2,1)-1),TODAY())</f>
        <v>45688</v>
      </c>
      <c r="EM137" s="1974">
        <f ca="1">IF(IF(WEEKDAY(DATE(EP135,5,1)-1,16)&lt;3,DATE(EP135,5,1)-1-WEEKDAY(DATE(EP135,5,1)-1,16),DATE(EP135,5,1)-1)&lt;TODAY(),IF(WEEKDAY(DATE(EP135,5,1)-1,16)&lt;3,DATE(EP135,5,1)-1-WEEKDAY(DATE(EP135,5,1)-1,16),DATE(EP135,5,1)-1),TODAY())</f>
        <v>45777</v>
      </c>
      <c r="EN137" s="1974">
        <f ca="1">IF(IF(WEEKDAY(DATE(EP135,8,1)-1,16)&lt;3,DATE(EP135,8,1)-1-WEEKDAY(DATE(EP135,8,1)-1,16),DATE(EP135,8,1)-1)&lt;TODAY(),IF(WEEKDAY(DATE(EP135,8,1)-1,16)&lt;3,DATE(EP135,8,1)-1-WEEKDAY(DATE(EP135,8,1)-1,16),DATE(EP135,8,1)-1),TODAY())</f>
        <v>45869</v>
      </c>
      <c r="EO137" s="1974">
        <f ca="1">IF(IF(WEEKDAY(DATE(EP135,11,1)-1,16)&lt;3,DATE(EP135,11,1)-1-WEEKDAY(DATE(EP135,11,1)-1,16),DATE(EP135,11,1)-1)&lt;TODAY(),IF(WEEKDAY(DATE(EP135,11,1)-1,16)&lt;3,DATE(EP135,11,1)-1-WEEKDAY(DATE(EP135,11,1)-1,16),DATE(EP135,11,1)-1),TODAY())</f>
        <v>45960</v>
      </c>
      <c r="EP137" s="2221"/>
      <c r="EQ137" s="1974">
        <f ca="1">IF(IF(WEEKDAY(DATE(EU135,2,1)-1,16)&lt;3,DATE(EU135,2,1)-1-WEEKDAY(DATE(EU135,2,1)-1,16),DATE(EU135,2,1)-1)&lt;TODAY(),IF(WEEKDAY(DATE(EU135,2,1)-1,16)&lt;3,DATE(EU135,2,1)-1-WEEKDAY(DATE(EU135,2,1)-1,16),DATE(EU135,2,1)-1),TODAY())</f>
        <v>45960</v>
      </c>
      <c r="ER137" s="1974">
        <f ca="1">IF(IF(WEEKDAY(DATE(EU135,5,1)-1,16)&lt;3,DATE(EU135,5,1)-1-WEEKDAY(DATE(EU135,5,1)-1,16),DATE(EU135,5,1)-1)&lt;TODAY(),IF(WEEKDAY(DATE(EU135,5,1)-1,16)&lt;3,DATE(EU135,5,1)-1-WEEKDAY(DATE(EU135,5,1)-1,16),DATE(EU135,5,1)-1),TODAY())</f>
        <v>45960</v>
      </c>
      <c r="ES137" s="1974">
        <f ca="1">IF(IF(WEEKDAY(DATE(EU135,8,1)-1,16)&lt;3,DATE(EU135,8,1)-1-WEEKDAY(DATE(EU135,8,1)-1,16),DATE(EU135,8,1)-1)&lt;TODAY(),IF(WEEKDAY(DATE(EU135,8,1)-1,16)&lt;3,DATE(EU135,8,1)-1-WEEKDAY(DATE(EU135,8,1)-1,16),DATE(EU135,8,1)-1),TODAY())</f>
        <v>45960</v>
      </c>
      <c r="ET137" s="1974">
        <f ca="1">IF(IF(WEEKDAY(DATE(EU135,11,1)-1,16)&lt;3,DATE(EU135,11,1)-1-WEEKDAY(DATE(EU135,11,1)-1,16),DATE(EU135,11,1)-1)&lt;TODAY(),IF(WEEKDAY(DATE(EU135,11,1)-1,16)&lt;3,DATE(EU135,11,1)-1-WEEKDAY(DATE(EU135,11,1)-1,16),DATE(EU135,11,1)-1),TODAY())</f>
        <v>45960</v>
      </c>
      <c r="EU137" s="2221"/>
      <c r="EV137" s="1974">
        <f ca="1">IF(IF(WEEKDAY(DATE(EZ135,2,1)-1,16)&lt;3,DATE(EZ135,2,1)-1-WEEKDAY(DATE(EZ135,2,1)-1,16),DATE(EZ135,2,1)-1)&lt;TODAY(),IF(WEEKDAY(DATE(EZ135,2,1)-1,16)&lt;3,DATE(EZ135,2,1)-1-WEEKDAY(DATE(EZ135,2,1)-1,16),DATE(EZ135,2,1)-1),TODAY())</f>
        <v>45960</v>
      </c>
      <c r="EW137" s="1974">
        <f ca="1">IF(IF(WEEKDAY(DATE(EZ135,5,1)-1,16)&lt;3,DATE(EZ135,5,1)-1-WEEKDAY(DATE(EZ135,5,1)-1,16),DATE(EZ135,5,1)-1)&lt;TODAY(),IF(WEEKDAY(DATE(EZ135,5,1)-1,16)&lt;3,DATE(EZ135,5,1)-1-WEEKDAY(DATE(EZ135,5,1)-1,16),DATE(EZ135,5,1)-1),TODAY())</f>
        <v>45960</v>
      </c>
      <c r="EX137" s="1974">
        <f ca="1">IF(IF(WEEKDAY(DATE(EZ135,8,1)-1,16)&lt;3,DATE(EZ135,8,1)-1-WEEKDAY(DATE(EZ135,8,1)-1,16),DATE(EZ135,8,1)-1)&lt;TODAY(),IF(WEEKDAY(DATE(EZ135,8,1)-1,16)&lt;3,DATE(EZ135,8,1)-1-WEEKDAY(DATE(EZ135,8,1)-1,16),DATE(EZ135,8,1)-1),TODAY())</f>
        <v>45960</v>
      </c>
      <c r="EY137" s="1974">
        <f ca="1">IF(IF(WEEKDAY(DATE(EZ135,11,1)-1,16)&lt;3,DATE(EZ135,11,1)-1-WEEKDAY(DATE(EZ135,11,1)-1,16),DATE(EZ135,11,1)-1)&lt;TODAY(),IF(WEEKDAY(DATE(EZ135,11,1)-1,16)&lt;3,DATE(EZ135,11,1)-1-WEEKDAY(DATE(EZ135,11,1)-1,16),DATE(EZ135,11,1)-1),TODAY())</f>
        <v>45960</v>
      </c>
      <c r="EZ137" s="2221"/>
      <c r="FA137" s="1973"/>
      <c r="FB137" s="1973"/>
      <c r="FC137" s="1973"/>
      <c r="FD137" s="1973"/>
      <c r="FF137" s="1973"/>
      <c r="FG137"/>
      <c r="FH137"/>
      <c r="FI137"/>
      <c r="FJ137"/>
    </row>
    <row r="138" spans="1:169" ht="11.25" hidden="1" customHeight="1" outlineLevel="1">
      <c r="A138" s="2227" t="s">
        <v>603</v>
      </c>
      <c r="B138" s="2222"/>
      <c r="C138" s="2222"/>
      <c r="D138" s="2222"/>
      <c r="E138" s="2222"/>
      <c r="F138" s="2222"/>
      <c r="G138" s="2222"/>
      <c r="H138" s="2222"/>
      <c r="I138" s="2222"/>
      <c r="J138" s="2222"/>
      <c r="K138" s="2222"/>
      <c r="L138" s="2222"/>
      <c r="M138" s="2222"/>
      <c r="N138" s="2222"/>
      <c r="O138" s="2222"/>
      <c r="P138" s="2222"/>
      <c r="Q138" s="2222"/>
      <c r="R138" s="2222"/>
      <c r="S138" s="2222"/>
      <c r="T138" s="2222"/>
      <c r="U138" s="2222"/>
      <c r="V138" s="2222"/>
      <c r="W138" s="2222"/>
      <c r="X138" s="2222"/>
      <c r="Y138" s="2222"/>
      <c r="Z138" s="2222"/>
      <c r="AA138" s="2222"/>
      <c r="AB138" s="2222"/>
      <c r="AC138" s="2222"/>
      <c r="AD138" s="2222"/>
      <c r="AE138" s="2222"/>
      <c r="AF138" s="2222"/>
      <c r="AG138" s="2222"/>
      <c r="AH138" s="2222"/>
      <c r="AI138" s="2222"/>
      <c r="AJ138" s="2222"/>
      <c r="AK138" s="2222"/>
      <c r="AL138" s="2222"/>
      <c r="AM138" s="2222"/>
      <c r="AN138" s="2222"/>
      <c r="AO138" s="2222"/>
      <c r="AP138" s="2222"/>
      <c r="AQ138" s="2222"/>
      <c r="AR138" s="2222"/>
      <c r="AS138" s="2222"/>
      <c r="AT138" s="2222"/>
      <c r="AU138" s="2222"/>
      <c r="AV138" s="2222"/>
      <c r="AW138" s="2222"/>
      <c r="AX138" s="2222"/>
      <c r="AY138" s="2222"/>
      <c r="AZ138" s="2222"/>
      <c r="BA138" s="2222"/>
      <c r="BB138" s="2222"/>
      <c r="BC138" s="2222"/>
      <c r="BD138" s="2222"/>
      <c r="BE138" s="2222"/>
      <c r="BF138" s="2222"/>
      <c r="BG138" s="2222"/>
      <c r="BH138" s="2222"/>
      <c r="BI138" s="2222"/>
      <c r="BJ138" s="2222"/>
      <c r="BK138" s="2222"/>
      <c r="BL138" s="2222"/>
      <c r="BM138" s="2222"/>
      <c r="BN138" s="2222"/>
      <c r="BO138" s="2222"/>
      <c r="BP138" s="2222"/>
      <c r="BQ138" s="2222"/>
      <c r="BR138" s="2222"/>
      <c r="BS138" s="2222"/>
      <c r="BT138" s="2222"/>
      <c r="BU138" s="2222"/>
      <c r="BV138" s="2222"/>
      <c r="BW138" s="2222"/>
      <c r="BX138" s="2222"/>
      <c r="BY138" s="2222"/>
      <c r="BZ138" s="2222"/>
      <c r="CA138" s="2222"/>
      <c r="CB138" s="2222"/>
      <c r="CC138" s="2222"/>
      <c r="CD138" s="2222"/>
      <c r="CE138" s="2222"/>
      <c r="CF138" s="2222"/>
      <c r="CG138" s="2222"/>
      <c r="CH138" s="2222"/>
      <c r="CI138" s="2222"/>
      <c r="CJ138" s="2222"/>
      <c r="CK138" s="2222"/>
      <c r="CL138" s="2222"/>
      <c r="CM138" s="2222"/>
      <c r="CN138" s="2223">
        <f ca="1">IF(IF(WEEKDAY(DATE(CR135,3,1)-1,16)&lt;3,DATE(CR135,3,1)-1-WEEKDAY(DATE(CR135,3,1)-1,16),DATE(CR135,3,1)-1)&lt;TODAY(),IF(WEEKDAY(DATE(CR135,3,1)-1,16)&lt;3,DATE(CR135,3,1)-1-WEEKDAY(DATE(CR135,3,1)-1,16),DATE(CR135,3,1)-1),TODAY())</f>
        <v>42062</v>
      </c>
      <c r="CO138" s="2223">
        <f ca="1">IF(IF(WEEKDAY(DATE(CR135,6,1)-1,16)&lt;3,DATE(CR135,6,1)-1-WEEKDAY(DATE(CR135,6,1)-1,16),DATE(CR135,6,1)-1)&lt;TODAY(),IF(WEEKDAY(DATE(CR135,6,1)-1,16)&lt;3,DATE(CR135,6,1)-1-WEEKDAY(DATE(CR135,6,1)-1,16),DATE(CR135,6,1)-1),TODAY())</f>
        <v>42153</v>
      </c>
      <c r="CP138" s="2223">
        <f ca="1">IF(IF(WEEKDAY(DATE(CR135,9,1)-1,16)&lt;3,DATE(CR135,9,1)-1-WEEKDAY(DATE(CR135,9,1)-1,16),DATE(CR135,9,1)-1)&lt;TODAY(),IF(WEEKDAY(DATE(CR135,9,1)-1,16)&lt;3,DATE(CR135,9,1)-1-WEEKDAY(DATE(CR135,9,1)-1,16),DATE(CR135,9,1)-1),TODAY())</f>
        <v>42247</v>
      </c>
      <c r="CQ138" s="2223">
        <f ca="1">IF(IF(WEEKDAY(DATE(CR135,12,1)-1,16)&lt;3,DATE(CR135,12,1)-1-WEEKDAY(DATE(CR135,12,1)-1,16),DATE(CR135,12,1)-1)&lt;TODAY(),IF(WEEKDAY(DATE(CR135,12,1)-1,16)&lt;3,DATE(CR135,12,1)-1-WEEKDAY(DATE(CR135,12,1)-1,16),DATE(CR135,12,1)-1),TODAY())</f>
        <v>42338</v>
      </c>
      <c r="CR138" s="2224"/>
      <c r="CS138" s="2223">
        <f ca="1">IF(IF(WEEKDAY(DATE(CW135,3,1)-1,16)&lt;3,DATE(CW135,3,1)-1-WEEKDAY(DATE(CW135,3,1)-1,16),DATE(CW135,3,1)-1)&lt;TODAY(),IF(WEEKDAY(DATE(CW135,3,1)-1,16)&lt;3,DATE(CW135,3,1)-1-WEEKDAY(DATE(CW135,3,1)-1,16),DATE(CW135,3,1)-1),TODAY())</f>
        <v>42429</v>
      </c>
      <c r="CT138" s="2223">
        <f ca="1">IF(IF(WEEKDAY(DATE(CW135,6,1)-1,16)&lt;3,DATE(CW135,6,1)-1-WEEKDAY(DATE(CW135,6,1)-1,16),DATE(CW135,6,1)-1)&lt;TODAY(),IF(WEEKDAY(DATE(CW135,6,1)-1,16)&lt;3,DATE(CW135,6,1)-1-WEEKDAY(DATE(CW135,6,1)-1,16),DATE(CW135,6,1)-1),TODAY())</f>
        <v>42521</v>
      </c>
      <c r="CU138" s="2223">
        <f ca="1">IF(IF(WEEKDAY(DATE(CW135,9,1)-1,16)&lt;3,DATE(CW135,9,1)-1-WEEKDAY(DATE(CW135,9,1)-1,16),DATE(CW135,9,1)-1)&lt;TODAY(),IF(WEEKDAY(DATE(CW135,9,1)-1,16)&lt;3,DATE(CW135,9,1)-1-WEEKDAY(DATE(CW135,9,1)-1,16),DATE(CW135,9,1)-1),TODAY())</f>
        <v>42613</v>
      </c>
      <c r="CV138" s="2223">
        <f ca="1">IF(IF(WEEKDAY(DATE(CW135,12,1)-1,16)&lt;3,DATE(CW135,12,1)-1-WEEKDAY(DATE(CW135,12,1)-1,16),DATE(CW135,12,1)-1)&lt;TODAY(),IF(WEEKDAY(DATE(CW135,12,1)-1,16)&lt;3,DATE(CW135,12,1)-1-WEEKDAY(DATE(CW135,12,1)-1,16),DATE(CW135,12,1)-1),TODAY())</f>
        <v>42704</v>
      </c>
      <c r="CW138" s="2224"/>
      <c r="CX138" s="2223">
        <f ca="1">IF(IF(WEEKDAY(DATE(DB135,3,1)-1,16)&lt;3,DATE(DB135,3,1)-1-WEEKDAY(DATE(DB135,3,1)-1,16),DATE(DB135,3,1)-1)&lt;TODAY(),IF(WEEKDAY(DATE(DB135,3,1)-1,16)&lt;3,DATE(DB135,3,1)-1-WEEKDAY(DATE(DB135,3,1)-1,16),DATE(DB135,3,1)-1),TODAY())</f>
        <v>42794</v>
      </c>
      <c r="CY138" s="2223">
        <f ca="1">IF(IF(WEEKDAY(DATE(DB135,6,1)-1,16)&lt;3,DATE(DB135,6,1)-1-WEEKDAY(DATE(DB135,6,1)-1,16),DATE(DB135,6,1)-1)&lt;TODAY(),IF(WEEKDAY(DATE(DB135,6,1)-1,16)&lt;3,DATE(DB135,6,1)-1-WEEKDAY(DATE(DB135,6,1)-1,16),DATE(DB135,6,1)-1),TODAY())</f>
        <v>42886</v>
      </c>
      <c r="CZ138" s="2223">
        <f ca="1">IF(IF(WEEKDAY(DATE(DB135,9,1)-1,16)&lt;3,DATE(DB135,9,1)-1-WEEKDAY(DATE(DB135,9,1)-1,16),DATE(DB135,9,1)-1)&lt;TODAY(),IF(WEEKDAY(DATE(DB135,9,1)-1,16)&lt;3,DATE(DB135,9,1)-1-WEEKDAY(DATE(DB135,9,1)-1,16),DATE(DB135,9,1)-1),TODAY())</f>
        <v>42978</v>
      </c>
      <c r="DA138" s="2223">
        <f ca="1">IF(IF(WEEKDAY(DATE(DB135,12,1)-1,16)&lt;3,DATE(DB135,12,1)-1-WEEKDAY(DATE(DB135,12,1)-1,16),DATE(DB135,12,1)-1)&lt;TODAY(),IF(WEEKDAY(DATE(DB135,12,1)-1,16)&lt;3,DATE(DB135,12,1)-1-WEEKDAY(DATE(DB135,12,1)-1,16),DATE(DB135,12,1)-1),TODAY())</f>
        <v>43069</v>
      </c>
      <c r="DB138" s="2224"/>
      <c r="DC138" s="2223">
        <f ca="1">IF(IF(WEEKDAY(DATE(DG135,3,1)-1,16)&lt;3,DATE(DG135,3,1)-1-WEEKDAY(DATE(DG135,3,1)-1,16),DATE(DG135,3,1)-1)&lt;TODAY(),IF(WEEKDAY(DATE(DG135,3,1)-1,16)&lt;3,DATE(DG135,3,1)-1-WEEKDAY(DATE(DG135,3,1)-1,16),DATE(DG135,3,1)-1),TODAY())</f>
        <v>43159</v>
      </c>
      <c r="DD138" s="2223">
        <f ca="1">IF(IF(WEEKDAY(DATE(DG135,6,1)-1,16)&lt;3,DATE(DG135,6,1)-1-WEEKDAY(DATE(DG135,6,1)-1,16),DATE(DG135,6,1)-1)&lt;TODAY(),IF(WEEKDAY(DATE(DG135,6,1)-1,16)&lt;3,DATE(DG135,6,1)-1-WEEKDAY(DATE(DG135,6,1)-1,16),DATE(DG135,6,1)-1),TODAY())</f>
        <v>43251</v>
      </c>
      <c r="DE138" s="2223">
        <f ca="1">IF(IF(WEEKDAY(DATE(DG135,9,1)-1,16)&lt;3,DATE(DG135,9,1)-1-WEEKDAY(DATE(DG135,9,1)-1,16),DATE(DG135,9,1)-1)&lt;TODAY(),IF(WEEKDAY(DATE(DG135,9,1)-1,16)&lt;3,DATE(DG135,9,1)-1-WEEKDAY(DATE(DG135,9,1)-1,16),DATE(DG135,9,1)-1),TODAY())</f>
        <v>43343</v>
      </c>
      <c r="DF138" s="2223">
        <f ca="1">IF(IF(WEEKDAY(DATE(DG135,12,1)-1,16)&lt;3,DATE(DG135,12,1)-1-WEEKDAY(DATE(DG135,12,1)-1,16),DATE(DG135,12,1)-1)&lt;TODAY(),IF(WEEKDAY(DATE(DG135,12,1)-1,16)&lt;3,DATE(DG135,12,1)-1-WEEKDAY(DATE(DG135,12,1)-1,16),DATE(DG135,12,1)-1),TODAY())</f>
        <v>43434</v>
      </c>
      <c r="DG138" s="2224"/>
      <c r="DH138" s="2223">
        <f ca="1">IF(IF(WEEKDAY(DATE(DL135,3,1)-1,16)&lt;3,DATE(DL135,3,1)-1-WEEKDAY(DATE(DL135,3,1)-1,16),DATE(DL135,3,1)-1)&lt;TODAY(),IF(WEEKDAY(DATE(DL135,3,1)-1,16)&lt;3,DATE(DL135,3,1)-1-WEEKDAY(DATE(DL135,3,1)-1,16),DATE(DL135,3,1)-1),TODAY())</f>
        <v>43524</v>
      </c>
      <c r="DI138" s="2223">
        <f ca="1">IF(IF(WEEKDAY(DATE(DL135,6,1)-1,16)&lt;3,DATE(DL135,6,1)-1-WEEKDAY(DATE(DL135,6,1)-1,16),DATE(DL135,6,1)-1)&lt;TODAY(),IF(WEEKDAY(DATE(DL135,6,1)-1,16)&lt;3,DATE(DL135,6,1)-1-WEEKDAY(DATE(DL135,6,1)-1,16),DATE(DL135,6,1)-1),TODAY())</f>
        <v>43616</v>
      </c>
      <c r="DJ138" s="2223">
        <f ca="1">IF(IF(WEEKDAY(DATE(DL135,9,1)-1,16)&lt;3,DATE(DL135,9,1)-1-WEEKDAY(DATE(DL135,9,1)-1,16),DATE(DL135,9,1)-1)&lt;TODAY(),IF(WEEKDAY(DATE(DL135,9,1)-1,16)&lt;3,DATE(DL135,9,1)-1-WEEKDAY(DATE(DL135,9,1)-1,16),DATE(DL135,9,1)-1),TODAY())</f>
        <v>43707</v>
      </c>
      <c r="DK138" s="2223">
        <f ca="1">IF(IF(WEEKDAY(DATE(DL135,12,1)-1,16)&lt;3,DATE(DL135,12,1)-1-WEEKDAY(DATE(DL135,12,1)-1,16),DATE(DL135,12,1)-1)&lt;TODAY(),IF(WEEKDAY(DATE(DL135,12,1)-1,16)&lt;3,DATE(DL135,12,1)-1-WEEKDAY(DATE(DL135,12,1)-1,16),DATE(DL135,12,1)-1),TODAY())</f>
        <v>43798</v>
      </c>
      <c r="DL138" s="2224"/>
      <c r="DM138" s="2223">
        <f ca="1">IF(IF(WEEKDAY(DATE(DQ135,3,1)-1,16)&lt;3,DATE(DQ135,3,1)-1-WEEKDAY(DATE(DQ135,3,1)-1,16),DATE(DQ135,3,1)-1)&lt;TODAY(),IF(WEEKDAY(DATE(DQ135,3,1)-1,16)&lt;3,DATE(DQ135,3,1)-1-WEEKDAY(DATE(DQ135,3,1)-1,16),DATE(DQ135,3,1)-1),TODAY())</f>
        <v>43889</v>
      </c>
      <c r="DN138" s="2223">
        <f ca="1">IF(IF(WEEKDAY(DATE(DQ135,6,1)-1,16)&lt;3,DATE(DQ135,6,1)-1-WEEKDAY(DATE(DQ135,6,1)-1,16),DATE(DQ135,6,1)-1)&lt;TODAY(),IF(WEEKDAY(DATE(DQ135,6,1)-1,16)&lt;3,DATE(DQ135,6,1)-1-WEEKDAY(DATE(DQ135,6,1)-1,16),DATE(DQ135,6,1)-1),TODAY())</f>
        <v>43980</v>
      </c>
      <c r="DO138" s="2223">
        <f ca="1">IF(IF(WEEKDAY(DATE(DQ135,9,1)-1,16)&lt;3,DATE(DQ135,9,1)-1-WEEKDAY(DATE(DQ135,9,1)-1,16),DATE(DQ135,9,1)-1)&lt;TODAY(),IF(WEEKDAY(DATE(DQ135,9,1)-1,16)&lt;3,DATE(DQ135,9,1)-1-WEEKDAY(DATE(DQ135,9,1)-1,16),DATE(DQ135,9,1)-1),TODAY())</f>
        <v>44074</v>
      </c>
      <c r="DP138" s="2223">
        <f ca="1">IF(IF(WEEKDAY(DATE(DQ135,12,1)-1,16)&lt;3,DATE(DQ135,12,1)-1-WEEKDAY(DATE(DQ135,12,1)-1,16),DATE(DQ135,12,1)-1)&lt;TODAY(),IF(WEEKDAY(DATE(DQ135,12,1)-1,16)&lt;3,DATE(DQ135,12,1)-1-WEEKDAY(DATE(DQ135,12,1)-1,16),DATE(DQ135,12,1)-1),TODAY())</f>
        <v>44165</v>
      </c>
      <c r="DQ138" s="2224"/>
      <c r="DR138" s="2223">
        <f ca="1">IF(IF(WEEKDAY(DATE(DV135,3,1)-1,16)&lt;3,DATE(DV135,3,1)-1-WEEKDAY(DATE(DV135,3,1)-1,16),DATE(DV135,3,1)-1)&lt;TODAY(),IF(WEEKDAY(DATE(DV135,3,1)-1,16)&lt;3,DATE(DV135,3,1)-1-WEEKDAY(DATE(DV135,3,1)-1,16),DATE(DV135,3,1)-1),TODAY())</f>
        <v>44253</v>
      </c>
      <c r="DS138" s="2223">
        <f ca="1">IF(IF(WEEKDAY(DATE(DV135,6,1)-1,16)&lt;3,DATE(DV135,6,1)-1-WEEKDAY(DATE(DV135,6,1)-1,16),DATE(DV135,6,1)-1)&lt;TODAY(),IF(WEEKDAY(DATE(DV135,6,1)-1,16)&lt;3,DATE(DV135,6,1)-1-WEEKDAY(DATE(DV135,6,1)-1,16),DATE(DV135,6,1)-1),TODAY())</f>
        <v>44347</v>
      </c>
      <c r="DT138" s="2223">
        <f ca="1">IF(IF(WEEKDAY(DATE(DV135,9,1)-1,16)&lt;3,DATE(DV135,9,1)-1-WEEKDAY(DATE(DV135,9,1)-1,16),DATE(DV135,9,1)-1)&lt;TODAY(),IF(WEEKDAY(DATE(DV135,9,1)-1,16)&lt;3,DATE(DV135,9,1)-1-WEEKDAY(DATE(DV135,9,1)-1,16),DATE(DV135,9,1)-1),TODAY())</f>
        <v>44439</v>
      </c>
      <c r="DU138" s="2223">
        <f ca="1">IF(IF(WEEKDAY(DATE(DV135,12,1)-1,16)&lt;3,DATE(DV135,12,1)-1-WEEKDAY(DATE(DV135,12,1)-1,16),DATE(DV135,12,1)-1)&lt;TODAY(),IF(WEEKDAY(DATE(DV135,12,1)-1,16)&lt;3,DATE(DV135,12,1)-1-WEEKDAY(DATE(DV135,12,1)-1,16),DATE(DV135,12,1)-1),TODAY())</f>
        <v>44530</v>
      </c>
      <c r="DV138" s="2224"/>
      <c r="DW138" s="2223">
        <f ca="1">IF(IF(WEEKDAY(DATE(EA135,3,1)-1,16)&lt;3,DATE(EA135,3,1)-1-WEEKDAY(DATE(EA135,3,1)-1,16),DATE(EA135,3,1)-1)&lt;TODAY(),IF(WEEKDAY(DATE(EA135,3,1)-1,16)&lt;3,DATE(EA135,3,1)-1-WEEKDAY(DATE(EA135,3,1)-1,16),DATE(EA135,3,1)-1),TODAY())</f>
        <v>44620</v>
      </c>
      <c r="DX138" s="2223">
        <f ca="1">IF(IF(WEEKDAY(DATE(EA135,6,1)-1,16)&lt;3,DATE(EA135,6,1)-1-WEEKDAY(DATE(EA135,6,1)-1,16),DATE(EA135,6,1)-1)&lt;TODAY(),IF(WEEKDAY(DATE(EA135,6,1)-1,16)&lt;3,DATE(EA135,6,1)-1-WEEKDAY(DATE(EA135,6,1)-1,16),DATE(EA135,6,1)-1),TODAY())</f>
        <v>44712</v>
      </c>
      <c r="DY138" s="2223">
        <f ca="1">IF(IF(WEEKDAY(DATE(EA135,9,1)-1,16)&lt;3,DATE(EA135,9,1)-1-WEEKDAY(DATE(EA135,9,1)-1,16),DATE(EA135,9,1)-1)&lt;TODAY(),IF(WEEKDAY(DATE(EA135,9,1)-1,16)&lt;3,DATE(EA135,9,1)-1-WEEKDAY(DATE(EA135,9,1)-1,16),DATE(EA135,9,1)-1),TODAY())</f>
        <v>44804</v>
      </c>
      <c r="DZ138" s="2223">
        <f ca="1">IF(IF(WEEKDAY(DATE(EA135,12,1)-1,16)&lt;3,DATE(EA135,12,1)-1-WEEKDAY(DATE(EA135,12,1)-1,16),DATE(EA135,12,1)-1)&lt;TODAY(),IF(WEEKDAY(DATE(EA135,12,1)-1,16)&lt;3,DATE(EA135,12,1)-1-WEEKDAY(DATE(EA135,12,1)-1,16),DATE(EA135,12,1)-1),TODAY())</f>
        <v>44895</v>
      </c>
      <c r="EA138" s="2224"/>
      <c r="EB138" s="2223">
        <f ca="1">IF(IF(WEEKDAY(DATE(EF135,3,1)-1,16)&lt;3,DATE(EF135,3,1)-1-WEEKDAY(DATE(EF135,3,1)-1,16),DATE(EF135,3,1)-1)&lt;TODAY(),IF(WEEKDAY(DATE(EF135,3,1)-1,16)&lt;3,DATE(EF135,3,1)-1-WEEKDAY(DATE(EF135,3,1)-1,16),DATE(EF135,3,1)-1),TODAY())</f>
        <v>44985</v>
      </c>
      <c r="EC138" s="2223">
        <f ca="1">IF(IF(WEEKDAY(DATE(EF135,6,1)-1,16)&lt;3,DATE(EF135,6,1)-1-WEEKDAY(DATE(EF135,6,1)-1,16),DATE(EF135,6,1)-1)&lt;TODAY(),IF(WEEKDAY(DATE(EF135,6,1)-1,16)&lt;3,DATE(EF135,6,1)-1-WEEKDAY(DATE(EF135,6,1)-1,16),DATE(EF135,6,1)-1),TODAY())</f>
        <v>45077</v>
      </c>
      <c r="ED138" s="2223">
        <f ca="1">IF(IF(WEEKDAY(DATE(EF135,9,1)-1,16)&lt;3,DATE(EF135,9,1)-1-WEEKDAY(DATE(EF135,9,1)-1,16),DATE(EF135,9,1)-1)&lt;TODAY(),IF(WEEKDAY(DATE(EF135,9,1)-1,16)&lt;3,DATE(EF135,9,1)-1-WEEKDAY(DATE(EF135,9,1)-1,16),DATE(EF135,9,1)-1),TODAY())</f>
        <v>45169</v>
      </c>
      <c r="EE138" s="2223">
        <f ca="1">IF(IF(WEEKDAY(DATE(EF135,12,1)-1,16)&lt;3,DATE(EF135,12,1)-1-WEEKDAY(DATE(EF135,12,1)-1,16),DATE(EF135,12,1)-1)&lt;TODAY(),IF(WEEKDAY(DATE(EF135,12,1)-1,16)&lt;3,DATE(EF135,12,1)-1-WEEKDAY(DATE(EF135,12,1)-1,16),DATE(EF135,12,1)-1),TODAY())</f>
        <v>45260</v>
      </c>
      <c r="EF138" s="2224"/>
      <c r="EG138" s="2223">
        <f ca="1">IF(IF(WEEKDAY(DATE(EK135,3,1)-1,16)&lt;3,DATE(EK135,3,1)-1-WEEKDAY(DATE(EK135,3,1)-1,16),DATE(EK135,3,1)-1)&lt;TODAY(),IF(WEEKDAY(DATE(EK135,3,1)-1,16)&lt;3,DATE(EK135,3,1)-1-WEEKDAY(DATE(EK135,3,1)-1,16),DATE(EK135,3,1)-1),TODAY())</f>
        <v>45351</v>
      </c>
      <c r="EH138" s="2223">
        <f ca="1">IF(IF(WEEKDAY(DATE(EK135,6,1)-1,16)&lt;3,DATE(EK135,6,1)-1-WEEKDAY(DATE(EK135,6,1)-1,16),DATE(EK135,6,1)-1)&lt;TODAY(),IF(WEEKDAY(DATE(EK135,6,1)-1,16)&lt;3,DATE(EK135,6,1)-1-WEEKDAY(DATE(EK135,6,1)-1,16),DATE(EK135,6,1)-1),TODAY())</f>
        <v>45443</v>
      </c>
      <c r="EI138" s="2223">
        <f ca="1">IF(IF(WEEKDAY(DATE(EK135,9,1)-1,16)&lt;3,DATE(EK135,9,1)-1-WEEKDAY(DATE(EK135,9,1)-1,16),DATE(EK135,9,1)-1)&lt;TODAY(),IF(WEEKDAY(DATE(EK135,9,1)-1,16)&lt;3,DATE(EK135,9,1)-1-WEEKDAY(DATE(EK135,9,1)-1,16),DATE(EK135,9,1)-1),TODAY())</f>
        <v>45534</v>
      </c>
      <c r="EJ138" s="2223">
        <f ca="1">IF(IF(WEEKDAY(DATE(EK135,12,1)-1,16)&lt;3,DATE(EK135,12,1)-1-WEEKDAY(DATE(EK135,12,1)-1,16),DATE(EK135,12,1)-1)&lt;TODAY(),IF(WEEKDAY(DATE(EK135,12,1)-1,16)&lt;3,DATE(EK135,12,1)-1-WEEKDAY(DATE(EK135,12,1)-1,16),DATE(EK135,12,1)-1),TODAY())</f>
        <v>45625</v>
      </c>
      <c r="EK138" s="2224"/>
      <c r="EL138" s="2223">
        <f ca="1">IF(IF(WEEKDAY(DATE(EP135,3,1)-1,16)&lt;3,DATE(EP135,3,1)-1-WEEKDAY(DATE(EP135,3,1)-1,16),DATE(EP135,3,1)-1)&lt;TODAY(),IF(WEEKDAY(DATE(EP135,3,1)-1,16)&lt;3,DATE(EP135,3,1)-1-WEEKDAY(DATE(EP135,3,1)-1,16),DATE(EP135,3,1)-1),TODAY())</f>
        <v>45716</v>
      </c>
      <c r="EM138" s="2223">
        <f ca="1">IF(IF(WEEKDAY(DATE(EP135,6,1)-1,16)&lt;3,DATE(EP135,6,1)-1-WEEKDAY(DATE(EP135,6,1)-1,16),DATE(EP135,6,1)-1)&lt;TODAY(),IF(WEEKDAY(DATE(EP135,6,1)-1,16)&lt;3,DATE(EP135,6,1)-1-WEEKDAY(DATE(EP135,6,1)-1,16),DATE(EP135,6,1)-1),TODAY())</f>
        <v>45807</v>
      </c>
      <c r="EN138" s="2223">
        <f ca="1">IF(IF(WEEKDAY(DATE(EP135,9,1)-1,16)&lt;3,DATE(EP135,9,1)-1-WEEKDAY(DATE(EP135,9,1)-1,16),DATE(EP135,9,1)-1)&lt;TODAY(),IF(WEEKDAY(DATE(EP135,9,1)-1,16)&lt;3,DATE(EP135,9,1)-1-WEEKDAY(DATE(EP135,9,1)-1,16),DATE(EP135,9,1)-1),TODAY())</f>
        <v>45898</v>
      </c>
      <c r="EO138" s="2223">
        <f ca="1">IF(IF(WEEKDAY(DATE(EP135,12,1)-1,16)&lt;3,DATE(EP135,12,1)-1-WEEKDAY(DATE(EP135,12,1)-1,16),DATE(EP135,12,1)-1)&lt;TODAY(),IF(WEEKDAY(DATE(EP135,12,1)-1,16)&lt;3,DATE(EP135,12,1)-1-WEEKDAY(DATE(EP135,12,1)-1,16),DATE(EP135,12,1)-1),TODAY())</f>
        <v>45960</v>
      </c>
      <c r="EP138" s="2224"/>
      <c r="EQ138" s="2223">
        <f ca="1">IF(IF(WEEKDAY(DATE(EU135,3,1)-1,16)&lt;3,DATE(EU135,3,1)-1-WEEKDAY(DATE(EU135,3,1)-1,16),DATE(EU135,3,1)-1)&lt;TODAY(),IF(WEEKDAY(DATE(EU135,3,1)-1,16)&lt;3,DATE(EU135,3,1)-1-WEEKDAY(DATE(EU135,3,1)-1,16),DATE(EU135,3,1)-1),TODAY())</f>
        <v>45960</v>
      </c>
      <c r="ER138" s="2223">
        <f ca="1">IF(IF(WEEKDAY(DATE(EU135,6,1)-1,16)&lt;3,DATE(EU135,6,1)-1-WEEKDAY(DATE(EU135,6,1)-1,16),DATE(EU135,6,1)-1)&lt;TODAY(),IF(WEEKDAY(DATE(EU135,6,1)-1,16)&lt;3,DATE(EU135,6,1)-1-WEEKDAY(DATE(EU135,6,1)-1,16),DATE(EU135,6,1)-1),TODAY())</f>
        <v>45960</v>
      </c>
      <c r="ES138" s="2223">
        <f ca="1">IF(IF(WEEKDAY(DATE(EU135,9,1)-1,16)&lt;3,DATE(EU135,9,1)-1-WEEKDAY(DATE(EU135,9,1)-1,16),DATE(EU135,9,1)-1)&lt;TODAY(),IF(WEEKDAY(DATE(EU135,9,1)-1,16)&lt;3,DATE(EU135,9,1)-1-WEEKDAY(DATE(EU135,9,1)-1,16),DATE(EU135,9,1)-1),TODAY())</f>
        <v>45960</v>
      </c>
      <c r="ET138" s="2223">
        <f ca="1">IF(IF(WEEKDAY(DATE(EU135,12,1)-1,16)&lt;3,DATE(EU135,12,1)-1-WEEKDAY(DATE(EU135,12,1)-1,16),DATE(EU135,12,1)-1)&lt;TODAY(),IF(WEEKDAY(DATE(EU135,12,1)-1,16)&lt;3,DATE(EU135,12,1)-1-WEEKDAY(DATE(EU135,12,1)-1,16),DATE(EU135,12,1)-1),TODAY())</f>
        <v>45960</v>
      </c>
      <c r="EU138" s="2224"/>
      <c r="EV138" s="2223">
        <f ca="1">IF(IF(WEEKDAY(DATE(EZ135,3,1)-1,16)&lt;3,DATE(EZ135,3,1)-1-WEEKDAY(DATE(EZ135,3,1)-1,16),DATE(EZ135,3,1)-1)&lt;TODAY(),IF(WEEKDAY(DATE(EZ135,3,1)-1,16)&lt;3,DATE(EZ135,3,1)-1-WEEKDAY(DATE(EZ135,3,1)-1,16),DATE(EZ135,3,1)-1),TODAY())</f>
        <v>45960</v>
      </c>
      <c r="EW138" s="2223">
        <f ca="1">IF(IF(WEEKDAY(DATE(EZ135,6,1)-1,16)&lt;3,DATE(EZ135,6,1)-1-WEEKDAY(DATE(EZ135,6,1)-1,16),DATE(EZ135,6,1)-1)&lt;TODAY(),IF(WEEKDAY(DATE(EZ135,6,1)-1,16)&lt;3,DATE(EZ135,6,1)-1-WEEKDAY(DATE(EZ135,6,1)-1,16),DATE(EZ135,6,1)-1),TODAY())</f>
        <v>45960</v>
      </c>
      <c r="EX138" s="2223">
        <f ca="1">IF(IF(WEEKDAY(DATE(EZ135,9,1)-1,16)&lt;3,DATE(EZ135,9,1)-1-WEEKDAY(DATE(EZ135,9,1)-1,16),DATE(EZ135,9,1)-1)&lt;TODAY(),IF(WEEKDAY(DATE(EZ135,9,1)-1,16)&lt;3,DATE(EZ135,9,1)-1-WEEKDAY(DATE(EZ135,9,1)-1,16),DATE(EZ135,9,1)-1),TODAY())</f>
        <v>45960</v>
      </c>
      <c r="EY138" s="2223">
        <f ca="1">IF(IF(WEEKDAY(DATE(EZ135,12,1)-1,16)&lt;3,DATE(EZ135,12,1)-1-WEEKDAY(DATE(EZ135,12,1)-1,16),DATE(EZ135,12,1)-1)&lt;TODAY(),IF(WEEKDAY(DATE(EZ135,12,1)-1,16)&lt;3,DATE(EZ135,12,1)-1-WEEKDAY(DATE(EZ135,12,1)-1,16),DATE(EZ135,12,1)-1),TODAY())</f>
        <v>45960</v>
      </c>
      <c r="EZ138" s="2224"/>
      <c r="FA138" s="1973"/>
      <c r="FB138" s="1973"/>
      <c r="FC138" s="1973"/>
      <c r="FD138" s="1973"/>
      <c r="FF138" s="1973"/>
      <c r="FG138"/>
      <c r="FH138"/>
      <c r="FI138"/>
      <c r="FJ138"/>
    </row>
    <row r="139" spans="1:169" ht="11.25" customHeight="1" collapsed="1">
      <c r="A139" s="422"/>
      <c r="B139" s="493"/>
      <c r="C139" s="493"/>
      <c r="D139" s="493"/>
      <c r="E139" s="493"/>
      <c r="F139" s="493"/>
      <c r="G139" s="493"/>
      <c r="H139" s="493"/>
      <c r="I139" s="493"/>
      <c r="J139" s="493"/>
      <c r="K139" s="493"/>
      <c r="L139" s="493"/>
      <c r="M139" s="493"/>
      <c r="N139" s="493"/>
      <c r="O139" s="493"/>
      <c r="P139" s="493"/>
      <c r="Q139" s="493"/>
      <c r="R139" s="493"/>
      <c r="S139" s="493"/>
      <c r="T139" s="493"/>
      <c r="U139" s="493"/>
      <c r="V139" s="493"/>
      <c r="W139" s="493"/>
      <c r="X139" s="493"/>
      <c r="Y139" s="493"/>
      <c r="Z139" s="493"/>
      <c r="AA139" s="493"/>
      <c r="AB139" s="493"/>
      <c r="AC139" s="493"/>
      <c r="AD139" s="493"/>
      <c r="AE139" s="493"/>
      <c r="AF139" s="493"/>
      <c r="AG139" s="493"/>
      <c r="AH139" s="493"/>
      <c r="AI139" s="493"/>
      <c r="AJ139" s="493"/>
      <c r="AK139" s="493"/>
      <c r="AL139" s="493"/>
      <c r="AM139" s="493"/>
      <c r="AN139" s="493"/>
      <c r="AO139" s="493"/>
      <c r="AP139" s="493"/>
      <c r="AQ139" s="493"/>
      <c r="AR139" s="493"/>
      <c r="AS139" s="493"/>
      <c r="AT139" s="493"/>
      <c r="AU139" s="493"/>
      <c r="AV139" s="493"/>
      <c r="AW139" s="493"/>
      <c r="AX139" s="493"/>
      <c r="AY139" s="493"/>
      <c r="AZ139" s="493"/>
      <c r="BA139" s="493"/>
      <c r="BB139" s="493"/>
      <c r="BC139" s="493"/>
      <c r="BD139" s="493"/>
      <c r="BE139" s="493"/>
      <c r="BF139" s="493"/>
      <c r="BG139" s="493"/>
      <c r="BH139" s="493"/>
      <c r="BI139" s="493"/>
      <c r="BJ139" s="493"/>
      <c r="BK139" s="493"/>
      <c r="BL139" s="493"/>
      <c r="BM139" s="493"/>
      <c r="BN139" s="493"/>
      <c r="BO139" s="493"/>
      <c r="BP139" s="493"/>
      <c r="BQ139" s="493"/>
      <c r="BR139" s="493"/>
      <c r="BS139" s="493"/>
      <c r="BT139" s="493"/>
      <c r="BU139" s="493"/>
      <c r="BV139" s="493"/>
      <c r="BW139" s="493"/>
      <c r="BX139" s="493"/>
      <c r="BY139" s="493"/>
      <c r="BZ139" s="493"/>
      <c r="CA139" s="493"/>
      <c r="CB139" s="493"/>
      <c r="CC139" s="493"/>
      <c r="CD139" s="493"/>
      <c r="CE139" s="493"/>
      <c r="CF139" s="493"/>
      <c r="CG139" s="493"/>
      <c r="CH139" s="493"/>
      <c r="CI139" s="493"/>
      <c r="CJ139" s="493"/>
      <c r="CK139" s="493"/>
      <c r="CL139" s="493"/>
      <c r="CM139" s="493"/>
      <c r="CN139" s="493"/>
      <c r="CO139" s="493"/>
      <c r="CP139" s="493"/>
      <c r="CQ139" s="493"/>
      <c r="CR139" s="493"/>
      <c r="CS139" s="493"/>
      <c r="CT139" s="493"/>
      <c r="CU139" s="493"/>
      <c r="CV139" s="493"/>
      <c r="CW139" s="493"/>
      <c r="CX139" s="493"/>
      <c r="CY139" s="493"/>
      <c r="CZ139" s="493"/>
      <c r="DA139" s="493"/>
      <c r="DB139" s="493"/>
      <c r="DC139" s="493"/>
      <c r="DD139" s="493"/>
      <c r="DE139" s="493"/>
      <c r="DF139" s="493"/>
      <c r="DG139" s="493"/>
      <c r="DH139" s="493"/>
      <c r="DI139" s="493"/>
      <c r="DJ139" s="493"/>
      <c r="DK139" s="493"/>
      <c r="DL139" s="493"/>
      <c r="DM139" s="493"/>
      <c r="DN139" s="493"/>
      <c r="DO139" s="493"/>
      <c r="DP139" s="493"/>
      <c r="DQ139" s="493"/>
      <c r="DR139" s="493"/>
      <c r="DS139" s="493"/>
      <c r="DT139" s="493"/>
      <c r="DU139" s="493"/>
      <c r="DV139" s="493"/>
      <c r="DW139" s="493"/>
      <c r="DX139" s="1974"/>
      <c r="DY139" s="1974"/>
      <c r="DZ139" s="1974"/>
      <c r="EA139" s="493"/>
      <c r="EB139" s="493"/>
      <c r="EC139" s="493"/>
      <c r="ED139" s="493"/>
      <c r="EE139" s="493"/>
      <c r="EF139" s="493"/>
      <c r="EG139" s="493"/>
      <c r="EH139" s="493"/>
      <c r="EI139" s="493"/>
      <c r="EJ139" s="493"/>
      <c r="EK139" s="493"/>
      <c r="EL139" s="493"/>
      <c r="EM139" s="493"/>
      <c r="EN139" s="493"/>
      <c r="EO139" s="493"/>
      <c r="EP139" s="493"/>
      <c r="EQ139" s="493"/>
      <c r="ER139" s="493"/>
      <c r="ES139" s="493"/>
      <c r="ET139" s="493"/>
      <c r="EU139" s="493"/>
      <c r="EV139" s="493"/>
      <c r="EW139" s="493"/>
      <c r="EX139" s="493"/>
      <c r="EY139" s="493"/>
      <c r="EZ139" s="493"/>
      <c r="FA139" s="493"/>
      <c r="FB139" s="493"/>
      <c r="FC139" s="493"/>
      <c r="FD139" s="493"/>
      <c r="FF139" s="493"/>
    </row>
    <row r="140" spans="1:169" ht="11.25" customHeight="1">
      <c r="A140" s="1633" t="s">
        <v>353</v>
      </c>
      <c r="B140" s="493"/>
      <c r="C140" s="493"/>
      <c r="D140" s="493"/>
      <c r="E140" s="493"/>
      <c r="F140" s="493"/>
      <c r="G140" s="493"/>
      <c r="H140" s="493"/>
      <c r="I140" s="493"/>
      <c r="J140" s="493"/>
      <c r="K140" s="493"/>
      <c r="L140" s="493"/>
      <c r="M140" s="493"/>
      <c r="N140" s="493"/>
      <c r="O140" s="493"/>
      <c r="P140" s="493"/>
      <c r="Q140" s="493"/>
      <c r="R140" s="493"/>
      <c r="S140" s="493"/>
      <c r="T140" s="493"/>
      <c r="U140" s="493"/>
      <c r="V140" s="493"/>
      <c r="W140" s="493"/>
      <c r="X140" s="493"/>
      <c r="Y140" s="493"/>
      <c r="Z140" s="493"/>
      <c r="AA140" s="493"/>
      <c r="AB140" s="493"/>
      <c r="AC140" s="493"/>
      <c r="AD140" s="493"/>
      <c r="AE140" s="493"/>
      <c r="AF140" s="493"/>
      <c r="AG140" s="493"/>
      <c r="AH140" s="493"/>
      <c r="AI140" s="493"/>
      <c r="AJ140" s="493"/>
      <c r="AK140" s="493"/>
      <c r="AL140" s="493"/>
      <c r="AM140" s="493"/>
      <c r="AN140" s="493"/>
      <c r="AO140" s="493"/>
      <c r="AP140" s="493"/>
      <c r="AQ140" s="493"/>
      <c r="AR140" s="493"/>
      <c r="AS140" s="493"/>
      <c r="AT140" s="493"/>
      <c r="AU140" s="493"/>
      <c r="AV140" s="493"/>
      <c r="AW140" s="493"/>
      <c r="AX140" s="493"/>
      <c r="AY140" s="493"/>
      <c r="AZ140" s="493"/>
      <c r="BA140" s="493"/>
      <c r="BB140" s="493"/>
      <c r="BC140" s="493"/>
      <c r="BD140" s="493"/>
      <c r="BE140" s="493"/>
      <c r="BF140" s="493"/>
      <c r="BG140" s="493"/>
      <c r="BH140" s="493"/>
      <c r="BI140" s="493"/>
      <c r="BJ140" s="493"/>
      <c r="BK140" s="493"/>
      <c r="BL140" s="493"/>
      <c r="BM140" s="493"/>
      <c r="BN140" s="493"/>
      <c r="BO140" s="493"/>
      <c r="BP140" s="493"/>
      <c r="BQ140" s="493"/>
      <c r="BR140" s="493"/>
      <c r="BS140" s="493"/>
      <c r="BT140" s="493"/>
      <c r="BU140" s="493"/>
      <c r="BV140" s="493"/>
      <c r="BW140" s="493"/>
      <c r="BX140" s="493"/>
      <c r="BY140" s="493"/>
      <c r="BZ140" s="493"/>
      <c r="CA140" s="493"/>
      <c r="CB140" s="493"/>
      <c r="CC140" s="493"/>
      <c r="CD140" s="493"/>
      <c r="CE140" s="493"/>
      <c r="CF140" s="493"/>
      <c r="CG140" s="493"/>
      <c r="CH140" s="493"/>
      <c r="CI140" s="493"/>
      <c r="CJ140" s="493"/>
      <c r="CK140" s="493"/>
      <c r="CL140" s="493"/>
      <c r="CM140" s="493"/>
      <c r="CN140" s="1974"/>
      <c r="CO140" s="1974"/>
      <c r="CP140" s="1974"/>
      <c r="CQ140" s="1974"/>
      <c r="CR140" s="1973"/>
      <c r="CS140" s="1974"/>
      <c r="CT140" s="1974"/>
      <c r="CU140" s="1974"/>
      <c r="CV140" s="1974"/>
      <c r="CW140" s="1973"/>
      <c r="CX140" s="1974"/>
      <c r="CY140" s="1974"/>
      <c r="CZ140" s="1974"/>
      <c r="DA140" s="1974"/>
      <c r="DB140" s="1973"/>
      <c r="DC140" s="1974"/>
      <c r="DD140" s="1974"/>
      <c r="DE140" s="1974"/>
      <c r="DF140" s="1974"/>
      <c r="DG140" s="493"/>
      <c r="DH140" s="1974"/>
      <c r="DI140" s="1974"/>
      <c r="DJ140" s="1974"/>
      <c r="DK140" s="1974"/>
      <c r="DL140" s="493"/>
      <c r="DM140" s="1974"/>
      <c r="DN140" s="1974"/>
      <c r="DO140" s="1974"/>
      <c r="DP140" s="1974"/>
      <c r="DQ140" s="493"/>
      <c r="DR140" s="1974"/>
      <c r="DS140" s="1974"/>
      <c r="DT140" s="1974"/>
      <c r="DU140" s="1974"/>
      <c r="DV140" s="493"/>
      <c r="DW140" s="1974"/>
      <c r="DX140" s="1974"/>
      <c r="DY140" s="1974"/>
      <c r="DZ140" s="1974"/>
      <c r="EA140" s="493"/>
      <c r="EB140" s="1974"/>
      <c r="EC140" s="1974"/>
      <c r="ED140" s="1974"/>
      <c r="EE140" s="1974"/>
      <c r="EF140" s="493"/>
      <c r="EG140" s="1974"/>
      <c r="EH140" s="1974"/>
      <c r="EI140" s="1974"/>
      <c r="EJ140" s="1974"/>
      <c r="EK140" s="493"/>
      <c r="EL140" s="1974"/>
      <c r="EM140" s="1974"/>
      <c r="EN140" s="1974"/>
      <c r="EO140" s="1974"/>
      <c r="EP140" s="493"/>
      <c r="EQ140" s="1974"/>
      <c r="ER140" s="1974"/>
      <c r="ES140" s="1974"/>
      <c r="ET140" s="1974"/>
      <c r="EU140" s="493"/>
      <c r="EV140" s="1974"/>
      <c r="EW140" s="1974"/>
      <c r="EX140" s="1974"/>
      <c r="EY140" s="1974"/>
      <c r="EZ140" s="493"/>
      <c r="FA140" s="493"/>
      <c r="FB140" s="493"/>
      <c r="FC140" s="493"/>
      <c r="FD140" s="493"/>
      <c r="FF140" s="493"/>
    </row>
    <row r="141" spans="1:169" ht="11.25" customHeight="1">
      <c r="A141" s="1876"/>
      <c r="B141" s="493"/>
      <c r="C141" s="493"/>
      <c r="D141" s="493"/>
      <c r="E141" s="493"/>
      <c r="F141" s="493"/>
      <c r="G141" s="493"/>
      <c r="H141" s="493"/>
      <c r="I141" s="493"/>
      <c r="J141" s="493"/>
      <c r="K141" s="493"/>
      <c r="L141" s="493"/>
      <c r="M141" s="493"/>
      <c r="N141" s="493"/>
      <c r="O141" s="493"/>
      <c r="P141" s="493"/>
      <c r="Q141" s="493"/>
      <c r="R141" s="493"/>
      <c r="S141" s="493"/>
      <c r="T141" s="493"/>
      <c r="U141" s="493"/>
      <c r="V141" s="493"/>
      <c r="W141" s="493"/>
      <c r="X141" s="493"/>
      <c r="Y141" s="493"/>
      <c r="Z141" s="493"/>
      <c r="AA141" s="493"/>
      <c r="AB141" s="493"/>
      <c r="AC141" s="493"/>
      <c r="AD141" s="493"/>
      <c r="AE141" s="493"/>
      <c r="AF141" s="493"/>
      <c r="AG141" s="493"/>
      <c r="AH141" s="493"/>
      <c r="AI141" s="493"/>
      <c r="AJ141" s="493"/>
      <c r="AK141" s="493"/>
      <c r="AL141" s="493"/>
      <c r="AM141" s="493"/>
      <c r="AN141" s="493"/>
      <c r="AO141" s="493"/>
      <c r="AP141" s="493"/>
      <c r="AQ141" s="493"/>
      <c r="AR141" s="493"/>
      <c r="AS141" s="493"/>
      <c r="AT141" s="493"/>
      <c r="AU141" s="493"/>
      <c r="AV141" s="493"/>
      <c r="AW141" s="493"/>
      <c r="AX141" s="493"/>
      <c r="AY141" s="493"/>
      <c r="AZ141" s="493"/>
      <c r="BA141" s="493"/>
      <c r="BB141" s="493"/>
      <c r="BC141" s="493"/>
      <c r="BD141" s="493"/>
      <c r="BE141" s="493"/>
      <c r="BF141" s="493"/>
      <c r="BG141" s="493"/>
      <c r="BH141" s="493"/>
      <c r="BI141" s="493"/>
      <c r="BJ141" s="493"/>
      <c r="BK141" s="493"/>
      <c r="BL141" s="493"/>
      <c r="BM141" s="493"/>
      <c r="BN141" s="493"/>
      <c r="BO141" s="493"/>
      <c r="BP141" s="493"/>
      <c r="BQ141" s="493"/>
      <c r="BR141" s="493"/>
      <c r="BS141" s="493"/>
      <c r="BT141" s="493"/>
      <c r="BU141" s="493"/>
      <c r="BV141" s="493"/>
      <c r="BW141" s="493"/>
      <c r="BX141" s="493"/>
      <c r="BY141" s="493"/>
      <c r="BZ141" s="493"/>
      <c r="CA141" s="493"/>
      <c r="CB141" s="493"/>
      <c r="CC141" s="493"/>
      <c r="CD141" s="493"/>
      <c r="CE141" s="493"/>
      <c r="CF141" s="493"/>
      <c r="CG141" s="493"/>
      <c r="CH141" s="493"/>
      <c r="CI141" s="493"/>
      <c r="CJ141" s="493"/>
      <c r="CK141" s="493"/>
      <c r="CL141" s="493"/>
      <c r="CM141" s="493"/>
      <c r="CN141" s="1974"/>
      <c r="CO141" s="1974"/>
      <c r="CP141" s="1974"/>
      <c r="CQ141" s="1974"/>
      <c r="CR141" s="1973"/>
      <c r="CS141" s="1974"/>
      <c r="CT141" s="1974"/>
      <c r="CU141" s="1974"/>
      <c r="CV141" s="1974"/>
      <c r="CW141" s="1973"/>
      <c r="CX141" s="1974"/>
      <c r="CY141" s="1974"/>
      <c r="CZ141" s="1974"/>
      <c r="DA141" s="1974"/>
      <c r="DB141" s="1973"/>
      <c r="DC141" s="1974"/>
      <c r="DD141" s="1974"/>
      <c r="DE141" s="1974"/>
      <c r="DF141" s="1974"/>
      <c r="DG141" s="493"/>
      <c r="DH141" s="1974"/>
      <c r="DI141" s="1974"/>
      <c r="DJ141" s="1974"/>
      <c r="DK141" s="1974"/>
      <c r="DL141" s="493"/>
      <c r="DM141" s="1974"/>
      <c r="DN141" s="1974"/>
      <c r="DO141" s="1974"/>
      <c r="DP141" s="1974"/>
      <c r="DQ141" s="493"/>
      <c r="DR141" s="1974"/>
      <c r="DS141" s="1974"/>
      <c r="DT141" s="1974"/>
      <c r="DU141" s="1974"/>
      <c r="DV141" s="493"/>
      <c r="DW141" s="1974"/>
      <c r="DX141" s="1974"/>
      <c r="DY141" s="1974"/>
      <c r="DZ141" s="1974"/>
      <c r="EA141" s="493"/>
      <c r="EB141" s="1974"/>
      <c r="EC141" s="1974"/>
      <c r="ED141" s="1974"/>
      <c r="EE141" s="1974"/>
      <c r="EF141" s="493"/>
      <c r="EG141" s="1974"/>
      <c r="EH141" s="1974"/>
      <c r="EI141" s="1974"/>
      <c r="EJ141" s="1974"/>
      <c r="EK141" s="493"/>
      <c r="EL141" s="1974"/>
      <c r="EM141" s="1974"/>
      <c r="EN141" s="1974"/>
      <c r="EO141" s="1974"/>
      <c r="EP141" s="493"/>
      <c r="EQ141" s="1974"/>
      <c r="ER141" s="1974"/>
      <c r="ES141" s="1974"/>
      <c r="ET141" s="1974"/>
      <c r="EU141" s="493"/>
      <c r="EV141" s="1974"/>
      <c r="EW141" s="1974"/>
      <c r="EX141" s="1974"/>
      <c r="EY141" s="1974"/>
      <c r="EZ141" s="493"/>
      <c r="FA141" s="493"/>
      <c r="FB141" s="493"/>
      <c r="FC141" s="493"/>
      <c r="FD141" s="493"/>
      <c r="FF141" s="493"/>
    </row>
    <row r="142" spans="1:169" ht="11.25" hidden="1" customHeight="1">
      <c r="A142" s="1876"/>
      <c r="B142" s="493"/>
      <c r="C142" s="493"/>
      <c r="D142" s="493"/>
      <c r="E142" s="493"/>
      <c r="F142" s="493"/>
      <c r="G142" s="493"/>
      <c r="H142" s="493"/>
      <c r="I142" s="493"/>
      <c r="J142" s="493"/>
      <c r="K142" s="493"/>
      <c r="L142" s="493"/>
      <c r="M142" s="493"/>
      <c r="N142" s="493"/>
      <c r="O142" s="493"/>
      <c r="P142" s="493"/>
      <c r="Q142" s="493"/>
      <c r="R142" s="493"/>
      <c r="S142" s="493"/>
      <c r="T142" s="493"/>
      <c r="U142" s="493"/>
      <c r="V142" s="493"/>
      <c r="W142" s="493"/>
      <c r="X142" s="493"/>
      <c r="Y142" s="493"/>
      <c r="Z142" s="493"/>
      <c r="AA142" s="493"/>
      <c r="AB142" s="493"/>
      <c r="AC142" s="493"/>
      <c r="AD142" s="493"/>
      <c r="AE142" s="493"/>
      <c r="AF142" s="493"/>
      <c r="AG142" s="493"/>
      <c r="AH142" s="493"/>
      <c r="AI142" s="493"/>
      <c r="AJ142" s="493"/>
      <c r="AK142" s="493"/>
      <c r="AL142" s="493"/>
      <c r="AM142" s="493"/>
      <c r="AN142" s="493"/>
      <c r="AO142" s="493"/>
      <c r="AP142" s="493"/>
      <c r="AQ142" s="493"/>
      <c r="AR142" s="493"/>
      <c r="AS142" s="493"/>
      <c r="AT142" s="493"/>
      <c r="AU142" s="493"/>
      <c r="AV142" s="493"/>
      <c r="AW142" s="493"/>
      <c r="AX142" s="493"/>
      <c r="AY142" s="493"/>
      <c r="AZ142" s="493"/>
      <c r="BA142" s="493"/>
      <c r="BB142" s="493"/>
      <c r="BC142" s="493"/>
      <c r="BD142" s="493"/>
      <c r="BE142" s="493"/>
      <c r="BF142" s="493"/>
      <c r="BG142" s="493"/>
      <c r="BH142" s="493"/>
      <c r="BI142" s="493"/>
      <c r="BJ142" s="493"/>
      <c r="BK142" s="493"/>
      <c r="BL142" s="493"/>
      <c r="BM142" s="493"/>
      <c r="BN142" s="493"/>
      <c r="BO142" s="493"/>
      <c r="BP142" s="493"/>
      <c r="BQ142" s="493"/>
      <c r="BR142" s="493"/>
      <c r="BS142" s="493"/>
      <c r="BT142" s="493"/>
      <c r="BU142" s="493"/>
      <c r="BV142" s="493"/>
      <c r="BW142" s="493"/>
      <c r="BX142" s="493"/>
      <c r="BY142" s="493"/>
      <c r="BZ142" s="493"/>
      <c r="CA142" s="493"/>
      <c r="CB142" s="493"/>
      <c r="CC142" s="493"/>
      <c r="CD142" s="493"/>
      <c r="CE142" s="493"/>
      <c r="CF142" s="493"/>
      <c r="CG142" s="493"/>
      <c r="CH142" s="493"/>
      <c r="CI142" s="493"/>
      <c r="CJ142" s="493"/>
      <c r="CK142" s="493"/>
      <c r="CL142" s="493"/>
      <c r="CM142" s="493"/>
      <c r="CN142" s="1974"/>
      <c r="CO142" s="1974"/>
      <c r="CP142" s="1974"/>
      <c r="CQ142" s="1974"/>
      <c r="CR142" s="1973"/>
      <c r="CS142" s="1974"/>
      <c r="CT142" s="1974"/>
      <c r="CU142" s="1974"/>
      <c r="CV142" s="1974"/>
      <c r="CW142" s="1973"/>
      <c r="CX142" s="1974"/>
      <c r="CY142" s="1974"/>
      <c r="CZ142" s="1974"/>
      <c r="DA142" s="1974"/>
      <c r="DB142" s="1973"/>
      <c r="DC142" s="1974"/>
      <c r="DD142" s="1974"/>
      <c r="DE142" s="1974"/>
      <c r="DF142" s="1974"/>
      <c r="DG142" s="493"/>
      <c r="DH142" s="1974"/>
      <c r="DI142" s="1974"/>
      <c r="DJ142" s="1974"/>
      <c r="DK142" s="1974"/>
      <c r="DL142" s="493"/>
      <c r="DM142" s="1974"/>
      <c r="DN142" s="1974"/>
      <c r="DO142" s="1974"/>
      <c r="DP142" s="1974"/>
      <c r="DQ142" s="493"/>
      <c r="DR142" s="1974"/>
      <c r="DS142" s="1974"/>
      <c r="DT142" s="1974"/>
      <c r="DU142" s="1974"/>
      <c r="DV142" s="493"/>
      <c r="DW142" s="1974"/>
      <c r="DX142" s="1974"/>
      <c r="DY142" s="1974"/>
      <c r="DZ142" s="1974"/>
      <c r="EA142" s="493"/>
      <c r="EB142" s="1974"/>
      <c r="EC142" s="1974"/>
      <c r="ED142" s="1974"/>
      <c r="EE142" s="1974"/>
      <c r="EF142" s="493"/>
      <c r="EG142" s="1974"/>
      <c r="EH142" s="1974"/>
      <c r="EI142" s="1974"/>
      <c r="EJ142" s="1974"/>
      <c r="EK142" s="493"/>
      <c r="EL142" s="1974"/>
      <c r="EM142" s="1974"/>
      <c r="EN142" s="1974"/>
      <c r="EO142" s="1974"/>
      <c r="EP142" s="493"/>
      <c r="EQ142" s="1974"/>
      <c r="ER142" s="1974"/>
      <c r="ES142" s="1974"/>
      <c r="ET142" s="1974"/>
      <c r="EU142" s="493"/>
      <c r="EV142" s="1974"/>
      <c r="EW142" s="1974"/>
      <c r="EX142" s="1974"/>
      <c r="EY142" s="1974"/>
      <c r="EZ142" s="493"/>
      <c r="FA142" s="493"/>
      <c r="FB142" s="493"/>
      <c r="FC142" s="493"/>
      <c r="FD142" s="493"/>
      <c r="FF142" s="493"/>
    </row>
    <row r="143" spans="1:169" ht="11.25" hidden="1" customHeight="1">
      <c r="A143" s="2240" t="s">
        <v>628</v>
      </c>
      <c r="B143" s="2241"/>
      <c r="C143" s="2241"/>
      <c r="D143" s="2241"/>
      <c r="E143" s="2241"/>
      <c r="F143" s="2241"/>
      <c r="G143" s="2241"/>
      <c r="H143" s="2241"/>
      <c r="I143" s="2241"/>
      <c r="J143" s="2241"/>
      <c r="K143" s="2241"/>
      <c r="L143" s="2241"/>
      <c r="M143" s="2241"/>
      <c r="N143" s="2241"/>
      <c r="O143" s="2241"/>
      <c r="P143" s="2241"/>
      <c r="Q143" s="2241"/>
      <c r="R143" s="2241"/>
      <c r="S143" s="2241"/>
      <c r="T143" s="2241"/>
      <c r="U143" s="2241"/>
      <c r="V143" s="2241"/>
      <c r="W143" s="2241"/>
      <c r="X143" s="2241"/>
      <c r="Y143" s="2241"/>
      <c r="Z143" s="2241"/>
      <c r="AA143" s="2241"/>
      <c r="AB143" s="2241"/>
      <c r="AC143" s="2241"/>
      <c r="AD143" s="2241"/>
      <c r="AE143" s="2241"/>
      <c r="AF143" s="2241"/>
      <c r="AG143" s="2241"/>
      <c r="AH143" s="2241"/>
      <c r="AI143" s="2241"/>
      <c r="AJ143" s="2241"/>
      <c r="AK143" s="2241"/>
      <c r="AL143" s="2241"/>
      <c r="AM143" s="2241"/>
      <c r="AN143" s="2241"/>
      <c r="AO143" s="2241"/>
      <c r="AP143" s="2241"/>
      <c r="AQ143" s="2241"/>
      <c r="AR143" s="2241"/>
      <c r="AS143" s="2241"/>
      <c r="AT143" s="2241"/>
      <c r="AU143" s="2241"/>
      <c r="AV143" s="2241"/>
      <c r="AW143" s="2241"/>
      <c r="AX143" s="2241"/>
      <c r="AY143" s="2241"/>
      <c r="AZ143" s="2241"/>
      <c r="BA143" s="2241"/>
      <c r="BB143" s="2241"/>
      <c r="BC143" s="2241"/>
      <c r="BD143" s="2241"/>
      <c r="BE143" s="2241"/>
      <c r="BF143" s="2241"/>
      <c r="BG143" s="2241"/>
      <c r="BH143" s="2241"/>
      <c r="BI143" s="2241"/>
      <c r="BJ143" s="2241"/>
      <c r="BK143" s="2241"/>
      <c r="BL143" s="2241"/>
      <c r="BM143" s="2241"/>
      <c r="BN143" s="2241"/>
      <c r="BO143" s="2241"/>
      <c r="BP143" s="2241"/>
      <c r="BQ143" s="2241"/>
      <c r="BR143" s="2241"/>
      <c r="BS143" s="2241"/>
      <c r="BT143" s="2241"/>
      <c r="BU143" s="2241"/>
      <c r="BV143" s="2241"/>
      <c r="BW143" s="2241"/>
      <c r="BX143" s="2241"/>
      <c r="BY143" s="2241"/>
      <c r="BZ143" s="2241"/>
      <c r="CA143" s="2241"/>
      <c r="CB143" s="2241"/>
      <c r="CC143" s="2241"/>
      <c r="CD143" s="2241"/>
      <c r="CE143" s="2241"/>
      <c r="CF143" s="2241"/>
      <c r="CG143" s="2241"/>
      <c r="CH143" s="2241"/>
      <c r="CI143" s="2241"/>
      <c r="CJ143" s="2241"/>
      <c r="CK143" s="2241"/>
      <c r="CL143" s="2241"/>
      <c r="CM143" s="2241"/>
      <c r="CN143" s="2241"/>
      <c r="CO143" s="2241"/>
      <c r="CP143" s="2241"/>
      <c r="CQ143" s="2241"/>
      <c r="CR143" s="2241"/>
      <c r="CS143" s="2241"/>
      <c r="CT143" s="2241"/>
      <c r="CU143" s="2241"/>
      <c r="CV143" s="2241"/>
      <c r="CW143" s="2241"/>
      <c r="CX143" s="2241"/>
      <c r="CY143" s="2241"/>
      <c r="CZ143" s="2241"/>
      <c r="DA143" s="2241"/>
      <c r="DB143" s="2241"/>
      <c r="DC143" s="2241"/>
      <c r="DD143" s="2241"/>
      <c r="DE143" s="2241"/>
      <c r="DF143" s="2241"/>
      <c r="DG143" s="2241"/>
      <c r="DH143" s="2241"/>
      <c r="DI143" s="2241"/>
      <c r="DJ143" s="2241"/>
      <c r="DK143" s="2241"/>
      <c r="DL143" s="2241"/>
      <c r="DM143" s="2241"/>
      <c r="DN143" s="2241"/>
      <c r="DO143" s="2241"/>
      <c r="DP143" s="2241"/>
      <c r="DQ143" s="493"/>
      <c r="DR143" s="2241"/>
      <c r="DS143" s="2241"/>
      <c r="DT143" s="2241"/>
      <c r="DU143" s="2241"/>
      <c r="DV143" s="493"/>
      <c r="DW143" s="2241"/>
      <c r="DX143" s="2241"/>
      <c r="DY143" s="2241"/>
      <c r="DZ143" s="2241"/>
      <c r="EA143" s="493"/>
      <c r="EB143" s="2241"/>
      <c r="EC143" s="2241"/>
      <c r="ED143" s="2241"/>
      <c r="EE143" s="2241"/>
      <c r="EF143" s="493"/>
      <c r="EG143" s="2241"/>
      <c r="EH143" s="2241"/>
      <c r="EI143" s="2241"/>
      <c r="EJ143" s="2241"/>
      <c r="EK143" s="493"/>
      <c r="EL143" s="2241"/>
      <c r="EM143" s="2241"/>
      <c r="EN143" s="2241"/>
      <c r="EO143" s="2241"/>
      <c r="EP143" s="493"/>
      <c r="EQ143" s="2241"/>
      <c r="ER143" s="2241"/>
      <c r="ES143" s="2241"/>
      <c r="ET143" s="2241"/>
      <c r="EU143" s="493"/>
      <c r="EV143" s="2241"/>
      <c r="EW143" s="2241"/>
      <c r="EX143" s="2241"/>
      <c r="EY143" s="2241"/>
      <c r="EZ143" s="493"/>
      <c r="FA143" s="493"/>
      <c r="FB143" s="493"/>
      <c r="FC143" s="493"/>
      <c r="FD143" s="493"/>
      <c r="FF143" s="493"/>
    </row>
    <row r="144" spans="1:169" ht="11.25" hidden="1" customHeight="1">
      <c r="A144" s="1625" t="s">
        <v>341</v>
      </c>
      <c r="B144" s="1177"/>
      <c r="C144" s="1177"/>
      <c r="D144" s="1177"/>
      <c r="E144" s="1177"/>
      <c r="F144" s="1169"/>
      <c r="G144" s="1177"/>
      <c r="H144" s="1177"/>
      <c r="I144" s="1177"/>
      <c r="J144" s="1177"/>
      <c r="K144" s="1169"/>
      <c r="L144" s="1177"/>
      <c r="M144" s="1177"/>
      <c r="N144" s="1177"/>
      <c r="O144" s="1177"/>
      <c r="P144" s="1169"/>
      <c r="Q144" s="1177"/>
      <c r="R144" s="1177"/>
      <c r="S144" s="1177"/>
      <c r="T144" s="1177"/>
      <c r="U144" s="1169"/>
      <c r="V144" s="1177"/>
      <c r="W144" s="1177"/>
      <c r="X144" s="1177"/>
      <c r="Y144" s="1177"/>
      <c r="Z144" s="1169"/>
      <c r="AA144" s="1177"/>
      <c r="AB144" s="1177"/>
      <c r="AC144" s="1177"/>
      <c r="AD144" s="1177"/>
      <c r="AE144" s="1169"/>
      <c r="AF144" s="1177"/>
      <c r="AG144" s="1177"/>
      <c r="AH144" s="1177"/>
      <c r="AI144" s="1177"/>
      <c r="AJ144" s="1169"/>
      <c r="AK144" s="1177"/>
      <c r="AL144" s="1177"/>
      <c r="AM144" s="1177"/>
      <c r="AN144" s="1177"/>
      <c r="AO144" s="1169"/>
      <c r="AP144" s="1177"/>
      <c r="AQ144" s="1177"/>
      <c r="AR144" s="1177"/>
      <c r="AS144" s="1177"/>
      <c r="AT144" s="1169"/>
      <c r="AU144" s="1177"/>
      <c r="AV144" s="1177"/>
      <c r="AW144" s="1177"/>
      <c r="AX144" s="1177"/>
      <c r="AY144" s="1169"/>
      <c r="AZ144" s="1178"/>
      <c r="BA144" s="1169"/>
      <c r="BB144" s="1169"/>
      <c r="BC144" s="1169"/>
      <c r="BD144" s="1169"/>
      <c r="BE144" s="1178"/>
      <c r="BF144" s="1169"/>
      <c r="BG144" s="1169"/>
      <c r="BH144" s="1169"/>
      <c r="BI144" s="1169"/>
      <c r="BJ144" s="1178"/>
      <c r="BK144" s="1169"/>
      <c r="BL144" s="1169"/>
      <c r="BM144" s="1171"/>
      <c r="BN144" s="1169"/>
      <c r="BO144" s="1178"/>
      <c r="BP144" s="1169"/>
      <c r="BQ144" s="1169"/>
      <c r="BR144" s="1169"/>
      <c r="BS144" s="498"/>
      <c r="BT144" s="1178"/>
      <c r="BU144" s="1169"/>
      <c r="BV144" s="1169"/>
      <c r="BW144" s="1171"/>
      <c r="BX144" s="1886"/>
      <c r="BY144" s="1178"/>
      <c r="BZ144" s="1169"/>
      <c r="CA144" s="1169"/>
      <c r="CB144" s="1171"/>
      <c r="CC144" s="1886"/>
      <c r="CD144" s="1178"/>
      <c r="CE144" s="1169"/>
      <c r="CF144" s="1169"/>
      <c r="CG144" s="1171"/>
      <c r="CH144" s="1886"/>
      <c r="CI144" s="1169"/>
      <c r="CJ144" s="1169"/>
      <c r="CK144" s="1169"/>
      <c r="CL144" s="1171"/>
      <c r="CM144" s="1886"/>
      <c r="CN144" s="1169"/>
      <c r="CO144" s="1169"/>
      <c r="CP144" s="1169"/>
      <c r="CQ144" s="1236"/>
      <c r="CR144" s="1236"/>
      <c r="CS144" s="1169"/>
      <c r="CT144" s="1169"/>
      <c r="CU144" s="1169"/>
      <c r="CV144" s="1169"/>
      <c r="CW144" s="498"/>
      <c r="CX144" s="1178"/>
      <c r="CY144" s="1169"/>
      <c r="CZ144" s="1169"/>
      <c r="DA144" s="1171"/>
      <c r="DB144" s="498"/>
      <c r="DC144" s="1178"/>
      <c r="DD144" s="1169"/>
      <c r="DE144" s="1169"/>
      <c r="DF144" s="1171"/>
      <c r="DG144" s="498"/>
      <c r="DH144" s="1178"/>
      <c r="DI144" s="1169"/>
      <c r="DJ144" s="1169"/>
      <c r="DK144" s="1171"/>
      <c r="DL144" s="498"/>
      <c r="DM144" s="1178"/>
      <c r="DN144" s="1169"/>
      <c r="DO144" s="1169"/>
      <c r="DP144" s="1171"/>
      <c r="DQ144" s="421"/>
      <c r="DR144" s="1169"/>
      <c r="DS144" s="1169"/>
      <c r="DT144" s="1169"/>
      <c r="DU144" s="1169"/>
      <c r="DV144" s="421"/>
      <c r="DW144" s="1169"/>
      <c r="DX144" s="1169"/>
      <c r="DY144" s="1169"/>
      <c r="DZ144" s="1169"/>
      <c r="EA144" s="421"/>
      <c r="EB144" s="1169"/>
      <c r="EC144" s="1169"/>
      <c r="ED144" s="1169"/>
      <c r="EE144" s="1169"/>
      <c r="EF144" s="421"/>
      <c r="EG144" s="1169"/>
      <c r="EH144" s="1169"/>
      <c r="EI144" s="1169"/>
      <c r="EJ144" s="1169"/>
      <c r="EK144" s="421"/>
      <c r="EL144" s="1169"/>
      <c r="EM144" s="1169"/>
      <c r="EN144" s="1169"/>
      <c r="EO144" s="1169"/>
      <c r="EP144" s="421"/>
      <c r="EQ144" s="1169"/>
      <c r="ER144" s="1169"/>
      <c r="ES144" s="1169"/>
      <c r="ET144" s="1169"/>
      <c r="EU144" s="421"/>
      <c r="EV144" s="1169"/>
      <c r="EW144" s="1169"/>
      <c r="EX144" s="1169"/>
      <c r="EY144" s="1169"/>
      <c r="EZ144" s="421"/>
      <c r="FA144" s="421"/>
      <c r="FB144" s="421"/>
      <c r="FC144" s="421"/>
      <c r="FD144" s="421"/>
      <c r="FF144" s="421"/>
      <c r="FL144" s="1383"/>
      <c r="FM144" s="1383"/>
    </row>
    <row r="145" spans="1:170" ht="11.25" hidden="1" customHeight="1">
      <c r="A145" s="1626" t="s">
        <v>290</v>
      </c>
      <c r="B145" s="421"/>
      <c r="C145" s="421"/>
      <c r="D145" s="421"/>
      <c r="E145" s="421"/>
      <c r="F145" s="421"/>
      <c r="G145" s="421"/>
      <c r="H145" s="421"/>
      <c r="I145" s="421"/>
      <c r="J145" s="421"/>
      <c r="K145" s="421"/>
      <c r="L145" s="421"/>
      <c r="M145" s="421"/>
      <c r="N145" s="421"/>
      <c r="O145" s="421"/>
      <c r="P145" s="421"/>
      <c r="Q145" s="421"/>
      <c r="R145" s="421"/>
      <c r="S145" s="421"/>
      <c r="T145" s="421"/>
      <c r="U145" s="421"/>
      <c r="V145" s="421"/>
      <c r="W145" s="421"/>
      <c r="X145" s="421"/>
      <c r="Y145" s="421"/>
      <c r="Z145" s="421"/>
      <c r="AA145" s="421"/>
      <c r="AB145" s="421"/>
      <c r="AC145" s="421"/>
      <c r="AD145" s="421"/>
      <c r="AE145" s="421"/>
      <c r="AF145" s="421"/>
      <c r="AG145" s="421"/>
      <c r="AH145" s="421"/>
      <c r="AI145" s="421"/>
      <c r="AJ145" s="421"/>
      <c r="AK145" s="421"/>
      <c r="AL145" s="421"/>
      <c r="AM145" s="421"/>
      <c r="AN145" s="421"/>
      <c r="AO145" s="421"/>
      <c r="AP145" s="421"/>
      <c r="AQ145" s="421"/>
      <c r="AR145" s="421"/>
      <c r="AS145" s="421"/>
      <c r="AT145" s="421"/>
      <c r="AU145" s="421"/>
      <c r="AV145" s="421"/>
      <c r="AW145" s="421"/>
      <c r="AX145" s="421"/>
      <c r="AY145" s="421"/>
      <c r="AZ145" s="1179">
        <v>0.33</v>
      </c>
      <c r="BA145" s="424">
        <v>0.33</v>
      </c>
      <c r="BB145" s="424">
        <v>0.33</v>
      </c>
      <c r="BC145" s="424">
        <v>0.32</v>
      </c>
      <c r="BD145" s="425"/>
      <c r="BE145" s="1179">
        <v>0.32</v>
      </c>
      <c r="BF145" s="424">
        <v>0.32</v>
      </c>
      <c r="BG145" s="424">
        <v>0.28000000000000003</v>
      </c>
      <c r="BH145" s="424">
        <v>0.28000000000000003</v>
      </c>
      <c r="BI145" s="425"/>
      <c r="BJ145" s="1179">
        <v>0.32</v>
      </c>
      <c r="BK145" s="424">
        <v>0.32</v>
      </c>
      <c r="BL145" s="424">
        <v>0.28000000000000003</v>
      </c>
      <c r="BM145" s="426">
        <v>0.28000000000000003</v>
      </c>
      <c r="BN145" s="424"/>
      <c r="BO145" s="1179">
        <v>0.32</v>
      </c>
      <c r="BP145" s="424">
        <v>0.32</v>
      </c>
      <c r="BQ145" s="424">
        <v>0.3</v>
      </c>
      <c r="BR145" s="424">
        <v>0.3</v>
      </c>
      <c r="BS145" s="1180"/>
      <c r="BT145" s="1179">
        <v>0.21</v>
      </c>
      <c r="BU145" s="424">
        <v>0.2</v>
      </c>
      <c r="BV145" s="424">
        <v>0.19</v>
      </c>
      <c r="BW145" s="426">
        <v>0.18</v>
      </c>
      <c r="BX145" s="424"/>
      <c r="BY145" s="1179">
        <f>+BW145</f>
        <v>0.18</v>
      </c>
      <c r="BZ145" s="424">
        <f>+BY145</f>
        <v>0.18</v>
      </c>
      <c r="CA145" s="424">
        <f>+BZ145</f>
        <v>0.18</v>
      </c>
      <c r="CB145" s="426">
        <f>+CA145</f>
        <v>0.18</v>
      </c>
      <c r="CC145" s="424"/>
      <c r="CD145" s="1179">
        <f t="shared" ref="CD145:CD150" si="378">+CB145</f>
        <v>0.18</v>
      </c>
      <c r="CE145" s="424">
        <f t="shared" ref="CE145:CE150" si="379">+CD145</f>
        <v>0.18</v>
      </c>
      <c r="CF145" s="424">
        <f t="shared" ref="CF145:CF150" si="380">+CE145</f>
        <v>0.18</v>
      </c>
      <c r="CG145" s="426">
        <f t="shared" ref="CG145:CG150" si="381">+CF145</f>
        <v>0.18</v>
      </c>
      <c r="CH145" s="424"/>
      <c r="CI145" s="424">
        <f t="shared" ref="CI145:CI150" si="382">+CG145</f>
        <v>0.18</v>
      </c>
      <c r="CJ145" s="424">
        <f t="shared" ref="CJ145:CJ150" si="383">+CI145</f>
        <v>0.18</v>
      </c>
      <c r="CK145" s="424">
        <f>+'Revenue Drivers'!CK395</f>
        <v>0.17686705076638765</v>
      </c>
      <c r="CL145" s="426">
        <f>+'Revenue Drivers'!CL395</f>
        <v>0.16911614615227596</v>
      </c>
      <c r="CM145" s="424"/>
      <c r="CN145" s="636">
        <f>'Revenue Drivers'!CN395</f>
        <v>0.1756317500262137</v>
      </c>
      <c r="CO145" s="636">
        <f>'Revenue Drivers'!CO395</f>
        <v>0.17336501704721563</v>
      </c>
      <c r="CP145" s="636">
        <f>'Revenue Drivers'!CP395</f>
        <v>0.18051777979248515</v>
      </c>
      <c r="CQ145" s="1237">
        <f>'Revenue Drivers'!CQ395</f>
        <v>0.17415730337078653</v>
      </c>
      <c r="CR145" s="1237">
        <f>AVERAGE(CN145:CQ145)</f>
        <v>0.17591796255917524</v>
      </c>
      <c r="CS145" s="636">
        <f>'Revenue Drivers'!CS395</f>
        <v>0.17662743655755792</v>
      </c>
      <c r="CT145" s="636">
        <f>'Revenue Drivers'!CT395</f>
        <v>0.16694286960314</v>
      </c>
      <c r="CU145" s="636">
        <f>'Revenue Drivers'!CU395</f>
        <v>0.16014234875444841</v>
      </c>
      <c r="CV145" s="636">
        <f>'Revenue Drivers'!CV395</f>
        <v>0.15448007192088703</v>
      </c>
      <c r="CW145" s="1208">
        <f>AVERAGE(CS145:CV145)</f>
        <v>0.16454818170900837</v>
      </c>
      <c r="CX145" s="1215">
        <f>'Revenue Drivers'!CX395</f>
        <v>0.15599722671596949</v>
      </c>
      <c r="CY145" s="1334">
        <f>CX145</f>
        <v>0.15599722671596949</v>
      </c>
      <c r="CZ145" s="1334">
        <v>0.2</v>
      </c>
      <c r="DA145" s="1335">
        <v>0.2</v>
      </c>
      <c r="DB145" s="1208">
        <f t="shared" ref="DB145:DB153" si="384">AVERAGE(CX145:DA145)</f>
        <v>0.17799861335798473</v>
      </c>
      <c r="DC145" s="1179">
        <f>DG145</f>
        <v>0.2</v>
      </c>
      <c r="DD145" s="1334">
        <f>DC145</f>
        <v>0.2</v>
      </c>
      <c r="DE145" s="1334">
        <f t="shared" ref="DE145:DE152" si="385">DD145</f>
        <v>0.2</v>
      </c>
      <c r="DF145" s="1335">
        <f t="shared" ref="DF145:DF152" si="386">DE145</f>
        <v>0.2</v>
      </c>
      <c r="DG145" s="1218">
        <v>0.2</v>
      </c>
      <c r="DH145" s="1179">
        <f>DL145</f>
        <v>0.2</v>
      </c>
      <c r="DI145" s="1334">
        <f>DH145</f>
        <v>0.2</v>
      </c>
      <c r="DJ145" s="1334">
        <f t="shared" ref="DJ145:DJ152" si="387">DI145</f>
        <v>0.2</v>
      </c>
      <c r="DK145" s="1335">
        <f t="shared" ref="DK145:DK152" si="388">DJ145</f>
        <v>0.2</v>
      </c>
      <c r="DL145" s="1218">
        <v>0.2</v>
      </c>
      <c r="DM145" s="1179">
        <f>DQ145</f>
        <v>0</v>
      </c>
      <c r="DN145" s="1334">
        <f>DM145</f>
        <v>0</v>
      </c>
      <c r="DO145" s="1334">
        <f t="shared" ref="DO145:DO152" si="389">DN145</f>
        <v>0</v>
      </c>
      <c r="DP145" s="1335">
        <f t="shared" ref="DP145:DP152" si="390">DO145</f>
        <v>0</v>
      </c>
      <c r="DQ145" s="2238"/>
      <c r="DR145" s="1334"/>
      <c r="DS145" s="1334"/>
      <c r="DT145" s="1334"/>
      <c r="DU145" s="1334"/>
      <c r="DV145" s="2238"/>
      <c r="DW145" s="1334"/>
      <c r="DX145" s="1334"/>
      <c r="DY145" s="1334"/>
      <c r="DZ145" s="1334"/>
      <c r="EA145" s="2238"/>
      <c r="EB145" s="1334"/>
      <c r="EC145" s="1334"/>
      <c r="ED145" s="1334"/>
      <c r="EE145" s="1334"/>
      <c r="EF145" s="2238"/>
      <c r="EG145" s="1334"/>
      <c r="EH145" s="1334"/>
      <c r="EI145" s="1334"/>
      <c r="EJ145" s="1334"/>
      <c r="EK145" s="2238"/>
      <c r="EL145" s="1334"/>
      <c r="EM145" s="1334"/>
      <c r="EN145" s="1334"/>
      <c r="EO145" s="1334"/>
      <c r="EP145" s="2238"/>
      <c r="EQ145" s="1334"/>
      <c r="ER145" s="1334"/>
      <c r="ES145" s="1334"/>
      <c r="ET145" s="1334"/>
      <c r="EU145" s="2238"/>
      <c r="EV145" s="1334"/>
      <c r="EW145" s="1334"/>
      <c r="EX145" s="1334"/>
      <c r="EY145" s="1334"/>
      <c r="EZ145" s="2238"/>
      <c r="FA145" s="2238"/>
      <c r="FB145" s="2238"/>
      <c r="FC145" s="2238"/>
      <c r="FD145" s="424"/>
      <c r="FF145" s="424"/>
      <c r="FL145" s="1383"/>
      <c r="FM145" s="1383"/>
    </row>
    <row r="146" spans="1:170" ht="11.25" hidden="1" customHeight="1">
      <c r="A146" s="1626" t="s">
        <v>415</v>
      </c>
      <c r="B146" s="421"/>
      <c r="C146" s="421"/>
      <c r="D146" s="421"/>
      <c r="E146" s="421"/>
      <c r="F146" s="421"/>
      <c r="G146" s="421"/>
      <c r="H146" s="421"/>
      <c r="I146" s="421"/>
      <c r="J146" s="421"/>
      <c r="K146" s="421"/>
      <c r="L146" s="421"/>
      <c r="M146" s="421"/>
      <c r="N146" s="421"/>
      <c r="O146" s="421"/>
      <c r="P146" s="421"/>
      <c r="Q146" s="421"/>
      <c r="R146" s="421"/>
      <c r="S146" s="421"/>
      <c r="T146" s="421"/>
      <c r="U146" s="421"/>
      <c r="V146" s="421"/>
      <c r="W146" s="421"/>
      <c r="X146" s="421"/>
      <c r="Y146" s="421"/>
      <c r="Z146" s="421"/>
      <c r="AA146" s="421"/>
      <c r="AB146" s="421"/>
      <c r="AC146" s="421"/>
      <c r="AD146" s="421"/>
      <c r="AE146" s="421"/>
      <c r="AF146" s="421"/>
      <c r="AG146" s="421"/>
      <c r="AH146" s="421"/>
      <c r="AI146" s="421"/>
      <c r="AJ146" s="421"/>
      <c r="AK146" s="421"/>
      <c r="AL146" s="421"/>
      <c r="AM146" s="421"/>
      <c r="AN146" s="421"/>
      <c r="AO146" s="421"/>
      <c r="AP146" s="421"/>
      <c r="AQ146" s="421"/>
      <c r="AR146" s="421"/>
      <c r="AS146" s="421"/>
      <c r="AT146" s="421"/>
      <c r="AU146" s="421"/>
      <c r="AV146" s="421"/>
      <c r="AW146" s="421"/>
      <c r="AX146" s="421"/>
      <c r="AY146" s="421"/>
      <c r="AZ146" s="1179">
        <v>0.32</v>
      </c>
      <c r="BA146" s="424">
        <v>0.32</v>
      </c>
      <c r="BB146" s="424">
        <v>0.31</v>
      </c>
      <c r="BC146" s="424">
        <v>0.35</v>
      </c>
      <c r="BD146" s="425"/>
      <c r="BE146" s="1179">
        <v>0.33</v>
      </c>
      <c r="BF146" s="424">
        <v>0.33</v>
      </c>
      <c r="BG146" s="424">
        <v>0.35</v>
      </c>
      <c r="BH146" s="424">
        <v>0.37</v>
      </c>
      <c r="BI146" s="425"/>
      <c r="BJ146" s="1179">
        <v>0.33</v>
      </c>
      <c r="BK146" s="424">
        <v>0.33</v>
      </c>
      <c r="BL146" s="424">
        <v>0.35</v>
      </c>
      <c r="BM146" s="426">
        <v>0.37</v>
      </c>
      <c r="BN146" s="424"/>
      <c r="BO146" s="1179">
        <v>0.33</v>
      </c>
      <c r="BP146" s="424">
        <v>0.33</v>
      </c>
      <c r="BQ146" s="424">
        <v>0.35</v>
      </c>
      <c r="BR146" s="424">
        <v>0.35</v>
      </c>
      <c r="BS146" s="1180"/>
      <c r="BT146" s="1179">
        <v>0.35</v>
      </c>
      <c r="BU146" s="424">
        <v>0.35</v>
      </c>
      <c r="BV146" s="424">
        <v>0.35</v>
      </c>
      <c r="BW146" s="426">
        <v>0.35</v>
      </c>
      <c r="BX146" s="424"/>
      <c r="BY146" s="1179">
        <f>+BW146</f>
        <v>0.35</v>
      </c>
      <c r="BZ146" s="424">
        <f t="shared" ref="BZ146:CB150" si="391">+BY146</f>
        <v>0.35</v>
      </c>
      <c r="CA146" s="424">
        <f t="shared" si="391"/>
        <v>0.35</v>
      </c>
      <c r="CB146" s="426">
        <f t="shared" si="391"/>
        <v>0.35</v>
      </c>
      <c r="CC146" s="424"/>
      <c r="CD146" s="1179">
        <f t="shared" si="378"/>
        <v>0.35</v>
      </c>
      <c r="CE146" s="424">
        <f t="shared" si="379"/>
        <v>0.35</v>
      </c>
      <c r="CF146" s="424">
        <f t="shared" si="380"/>
        <v>0.35</v>
      </c>
      <c r="CG146" s="426">
        <f t="shared" si="381"/>
        <v>0.35</v>
      </c>
      <c r="CH146" s="424"/>
      <c r="CI146" s="424">
        <f t="shared" si="382"/>
        <v>0.35</v>
      </c>
      <c r="CJ146" s="424">
        <f t="shared" si="383"/>
        <v>0.35</v>
      </c>
      <c r="CK146" s="424">
        <f>CJ146</f>
        <v>0.35</v>
      </c>
      <c r="CL146" s="426">
        <f>+CK146</f>
        <v>0.35</v>
      </c>
      <c r="CM146" s="424"/>
      <c r="CN146" s="424">
        <f>CL146</f>
        <v>0.35</v>
      </c>
      <c r="CO146" s="424">
        <f t="shared" ref="CO146:CQ150" si="392">CN146</f>
        <v>0.35</v>
      </c>
      <c r="CP146" s="424">
        <f t="shared" si="392"/>
        <v>0.35</v>
      </c>
      <c r="CQ146" s="1247">
        <f t="shared" si="392"/>
        <v>0.35</v>
      </c>
      <c r="CR146" s="1237">
        <f t="shared" ref="CR146:CR153" si="393">AVERAGE(CN146:CQ146)</f>
        <v>0.35</v>
      </c>
      <c r="CS146" s="424">
        <f>CQ146</f>
        <v>0.35</v>
      </c>
      <c r="CT146" s="424">
        <f t="shared" ref="CT146:CV150" si="394">CS146</f>
        <v>0.35</v>
      </c>
      <c r="CU146" s="424">
        <f t="shared" si="394"/>
        <v>0.35</v>
      </c>
      <c r="CV146" s="424">
        <f t="shared" si="394"/>
        <v>0.35</v>
      </c>
      <c r="CW146" s="1208">
        <f t="shared" ref="CW146:CW153" si="395">AVERAGE(CS146:CV146)</f>
        <v>0.35</v>
      </c>
      <c r="CX146" s="1179">
        <f>CV146</f>
        <v>0.35</v>
      </c>
      <c r="CY146" s="1334">
        <f>CX146</f>
        <v>0.35</v>
      </c>
      <c r="CZ146" s="1334">
        <f>CY146</f>
        <v>0.35</v>
      </c>
      <c r="DA146" s="1335">
        <f>CZ146</f>
        <v>0.35</v>
      </c>
      <c r="DB146" s="1208">
        <f t="shared" si="384"/>
        <v>0.35</v>
      </c>
      <c r="DC146" s="1336">
        <f t="shared" ref="DC146:DC152" si="396">DA146</f>
        <v>0.35</v>
      </c>
      <c r="DD146" s="1334">
        <f>DC146</f>
        <v>0.35</v>
      </c>
      <c r="DE146" s="1334">
        <f t="shared" si="385"/>
        <v>0.35</v>
      </c>
      <c r="DF146" s="1335">
        <f t="shared" si="386"/>
        <v>0.35</v>
      </c>
      <c r="DG146" s="1208">
        <f t="shared" ref="DG146:DG153" si="397">AVERAGE(DC146:DF146)</f>
        <v>0.35</v>
      </c>
      <c r="DH146" s="1336">
        <f>DF146</f>
        <v>0.35</v>
      </c>
      <c r="DI146" s="1334">
        <f>DH146</f>
        <v>0.35</v>
      </c>
      <c r="DJ146" s="1334">
        <f t="shared" si="387"/>
        <v>0.35</v>
      </c>
      <c r="DK146" s="1335">
        <f t="shared" si="388"/>
        <v>0.35</v>
      </c>
      <c r="DL146" s="1208">
        <f t="shared" ref="DL146:DL153" si="398">AVERAGE(DH146:DK146)</f>
        <v>0.35</v>
      </c>
      <c r="DM146" s="1336">
        <f>DK146</f>
        <v>0.35</v>
      </c>
      <c r="DN146" s="1334">
        <f>DM146</f>
        <v>0.35</v>
      </c>
      <c r="DO146" s="1334">
        <f t="shared" si="389"/>
        <v>0.35</v>
      </c>
      <c r="DP146" s="1335">
        <f t="shared" si="390"/>
        <v>0.35</v>
      </c>
      <c r="DQ146" s="636"/>
      <c r="DR146" s="1334"/>
      <c r="DS146" s="1334"/>
      <c r="DT146" s="1334"/>
      <c r="DU146" s="1334"/>
      <c r="DV146" s="636"/>
      <c r="DW146" s="1334"/>
      <c r="DX146" s="1334"/>
      <c r="DY146" s="1334"/>
      <c r="DZ146" s="1334"/>
      <c r="EA146" s="636"/>
      <c r="EB146" s="1334"/>
      <c r="EC146" s="1334"/>
      <c r="ED146" s="1334"/>
      <c r="EE146" s="1334"/>
      <c r="EF146" s="636"/>
      <c r="EG146" s="1334"/>
      <c r="EH146" s="1334"/>
      <c r="EI146" s="1334"/>
      <c r="EJ146" s="1334"/>
      <c r="EK146" s="636"/>
      <c r="EL146" s="1334"/>
      <c r="EM146" s="1334"/>
      <c r="EN146" s="1334"/>
      <c r="EO146" s="1334"/>
      <c r="EP146" s="636"/>
      <c r="EQ146" s="1334"/>
      <c r="ER146" s="1334"/>
      <c r="ES146" s="1334"/>
      <c r="ET146" s="1334"/>
      <c r="EU146" s="636"/>
      <c r="EV146" s="1334"/>
      <c r="EW146" s="1334"/>
      <c r="EX146" s="1334"/>
      <c r="EY146" s="1334"/>
      <c r="EZ146" s="636"/>
      <c r="FA146" s="636"/>
      <c r="FB146" s="636"/>
      <c r="FC146" s="636"/>
      <c r="FD146" s="424"/>
      <c r="FF146" s="424"/>
      <c r="FL146" s="1383"/>
      <c r="FM146" s="1383"/>
    </row>
    <row r="147" spans="1:170" ht="11.25" hidden="1" customHeight="1">
      <c r="A147" s="1626" t="s">
        <v>526</v>
      </c>
      <c r="B147" s="421"/>
      <c r="C147" s="421"/>
      <c r="D147" s="421"/>
      <c r="E147" s="421"/>
      <c r="F147" s="421"/>
      <c r="G147" s="421"/>
      <c r="H147" s="421"/>
      <c r="I147" s="421"/>
      <c r="J147" s="421"/>
      <c r="K147" s="421"/>
      <c r="L147" s="421"/>
      <c r="M147" s="421"/>
      <c r="N147" s="421"/>
      <c r="O147" s="421"/>
      <c r="P147" s="421"/>
      <c r="Q147" s="421"/>
      <c r="R147" s="421"/>
      <c r="S147" s="421"/>
      <c r="T147" s="421"/>
      <c r="U147" s="421"/>
      <c r="V147" s="421"/>
      <c r="W147" s="421"/>
      <c r="X147" s="421"/>
      <c r="Y147" s="421"/>
      <c r="Z147" s="421"/>
      <c r="AA147" s="421"/>
      <c r="AB147" s="421"/>
      <c r="AC147" s="421"/>
      <c r="AD147" s="421"/>
      <c r="AE147" s="421"/>
      <c r="AF147" s="421"/>
      <c r="AG147" s="421"/>
      <c r="AH147" s="421"/>
      <c r="AI147" s="421"/>
      <c r="AJ147" s="421"/>
      <c r="AK147" s="421"/>
      <c r="AL147" s="421"/>
      <c r="AM147" s="421"/>
      <c r="AN147" s="421"/>
      <c r="AO147" s="421"/>
      <c r="AP147" s="421"/>
      <c r="AQ147" s="421"/>
      <c r="AR147" s="421"/>
      <c r="AS147" s="421"/>
      <c r="AT147" s="421"/>
      <c r="AU147" s="421"/>
      <c r="AV147" s="421"/>
      <c r="AW147" s="421"/>
      <c r="AX147" s="421"/>
      <c r="AY147" s="421"/>
      <c r="AZ147" s="1179">
        <v>0.06</v>
      </c>
      <c r="BA147" s="424">
        <v>0.06</v>
      </c>
      <c r="BB147" s="424">
        <v>0.06</v>
      </c>
      <c r="BC147" s="424">
        <v>0.09</v>
      </c>
      <c r="BD147" s="425"/>
      <c r="BE147" s="1179">
        <v>0.06</v>
      </c>
      <c r="BF147" s="424">
        <v>0.06</v>
      </c>
      <c r="BG147" s="424">
        <v>0.06</v>
      </c>
      <c r="BH147" s="424">
        <v>0.06</v>
      </c>
      <c r="BI147" s="425"/>
      <c r="BJ147" s="1179">
        <v>0.06</v>
      </c>
      <c r="BK147" s="424">
        <v>0.06</v>
      </c>
      <c r="BL147" s="424">
        <v>0.06</v>
      </c>
      <c r="BM147" s="426">
        <v>0.06</v>
      </c>
      <c r="BN147" s="424"/>
      <c r="BO147" s="1179">
        <v>0.06</v>
      </c>
      <c r="BP147" s="424">
        <v>0.06</v>
      </c>
      <c r="BQ147" s="424">
        <v>0.06</v>
      </c>
      <c r="BR147" s="424">
        <v>0.06</v>
      </c>
      <c r="BS147" s="1180"/>
      <c r="BT147" s="1179">
        <v>0.06</v>
      </c>
      <c r="BU147" s="424">
        <v>0.06</v>
      </c>
      <c r="BV147" s="424">
        <v>0.06</v>
      </c>
      <c r="BW147" s="426">
        <v>0.06</v>
      </c>
      <c r="BX147" s="424"/>
      <c r="BY147" s="1179">
        <f>+BW147</f>
        <v>0.06</v>
      </c>
      <c r="BZ147" s="424">
        <f t="shared" si="391"/>
        <v>0.06</v>
      </c>
      <c r="CA147" s="424">
        <f t="shared" si="391"/>
        <v>0.06</v>
      </c>
      <c r="CB147" s="426">
        <f t="shared" si="391"/>
        <v>0.06</v>
      </c>
      <c r="CC147" s="424"/>
      <c r="CD147" s="1179">
        <f t="shared" si="378"/>
        <v>0.06</v>
      </c>
      <c r="CE147" s="424">
        <f t="shared" si="379"/>
        <v>0.06</v>
      </c>
      <c r="CF147" s="424">
        <f t="shared" si="380"/>
        <v>0.06</v>
      </c>
      <c r="CG147" s="426">
        <f t="shared" si="381"/>
        <v>0.06</v>
      </c>
      <c r="CH147" s="424"/>
      <c r="CI147" s="424">
        <f t="shared" si="382"/>
        <v>0.06</v>
      </c>
      <c r="CJ147" s="424">
        <f t="shared" si="383"/>
        <v>0.06</v>
      </c>
      <c r="CK147" s="424">
        <f>CJ147</f>
        <v>0.06</v>
      </c>
      <c r="CL147" s="426">
        <f>+CK147</f>
        <v>0.06</v>
      </c>
      <c r="CM147" s="424"/>
      <c r="CN147" s="424">
        <f>CL147</f>
        <v>0.06</v>
      </c>
      <c r="CO147" s="424">
        <f t="shared" si="392"/>
        <v>0.06</v>
      </c>
      <c r="CP147" s="424">
        <f t="shared" si="392"/>
        <v>0.06</v>
      </c>
      <c r="CQ147" s="1247">
        <f t="shared" si="392"/>
        <v>0.06</v>
      </c>
      <c r="CR147" s="1237">
        <f t="shared" si="393"/>
        <v>0.06</v>
      </c>
      <c r="CS147" s="424">
        <f>CQ147</f>
        <v>0.06</v>
      </c>
      <c r="CT147" s="424">
        <f t="shared" si="394"/>
        <v>0.06</v>
      </c>
      <c r="CU147" s="424">
        <f t="shared" si="394"/>
        <v>0.06</v>
      </c>
      <c r="CV147" s="424">
        <f t="shared" si="394"/>
        <v>0.06</v>
      </c>
      <c r="CW147" s="1208">
        <f t="shared" si="395"/>
        <v>0.06</v>
      </c>
      <c r="CX147" s="1179">
        <f>CV147</f>
        <v>0.06</v>
      </c>
      <c r="CY147" s="1334">
        <f t="shared" ref="CY147:DA149" si="399">CX147</f>
        <v>0.06</v>
      </c>
      <c r="CZ147" s="1334">
        <f t="shared" si="399"/>
        <v>0.06</v>
      </c>
      <c r="DA147" s="1335">
        <f t="shared" si="399"/>
        <v>0.06</v>
      </c>
      <c r="DB147" s="1208">
        <f t="shared" si="384"/>
        <v>0.06</v>
      </c>
      <c r="DC147" s="1336">
        <f t="shared" si="396"/>
        <v>0.06</v>
      </c>
      <c r="DD147" s="1334">
        <f t="shared" ref="DD147:DD152" si="400">DC147</f>
        <v>0.06</v>
      </c>
      <c r="DE147" s="1334">
        <f t="shared" si="385"/>
        <v>0.06</v>
      </c>
      <c r="DF147" s="1335">
        <f t="shared" si="386"/>
        <v>0.06</v>
      </c>
      <c r="DG147" s="1208">
        <f t="shared" si="397"/>
        <v>0.06</v>
      </c>
      <c r="DH147" s="1336">
        <f>DF147</f>
        <v>0.06</v>
      </c>
      <c r="DI147" s="1334">
        <f t="shared" ref="DI147:DI152" si="401">DH147</f>
        <v>0.06</v>
      </c>
      <c r="DJ147" s="1334">
        <f t="shared" si="387"/>
        <v>0.06</v>
      </c>
      <c r="DK147" s="1335">
        <f t="shared" si="388"/>
        <v>0.06</v>
      </c>
      <c r="DL147" s="1208">
        <f t="shared" si="398"/>
        <v>0.06</v>
      </c>
      <c r="DM147" s="1336">
        <f>DK147</f>
        <v>0.06</v>
      </c>
      <c r="DN147" s="1334">
        <f t="shared" ref="DN147:DN152" si="402">DM147</f>
        <v>0.06</v>
      </c>
      <c r="DO147" s="1334">
        <f t="shared" si="389"/>
        <v>0.06</v>
      </c>
      <c r="DP147" s="1335">
        <f t="shared" si="390"/>
        <v>0.06</v>
      </c>
      <c r="DQ147" s="636"/>
      <c r="DR147" s="1334"/>
      <c r="DS147" s="1334"/>
      <c r="DT147" s="1334"/>
      <c r="DU147" s="1334"/>
      <c r="DV147" s="636"/>
      <c r="DW147" s="1334"/>
      <c r="DX147" s="1334"/>
      <c r="DY147" s="1334"/>
      <c r="DZ147" s="1334"/>
      <c r="EA147" s="636"/>
      <c r="EB147" s="1334"/>
      <c r="EC147" s="1334"/>
      <c r="ED147" s="1334"/>
      <c r="EE147" s="1334"/>
      <c r="EF147" s="636"/>
      <c r="EG147" s="1334"/>
      <c r="EH147" s="1334"/>
      <c r="EI147" s="1334"/>
      <c r="EJ147" s="1334"/>
      <c r="EK147" s="636"/>
      <c r="EL147" s="1334"/>
      <c r="EM147" s="1334"/>
      <c r="EN147" s="1334"/>
      <c r="EO147" s="1334"/>
      <c r="EP147" s="636"/>
      <c r="EQ147" s="1334"/>
      <c r="ER147" s="1334"/>
      <c r="ES147" s="1334"/>
      <c r="ET147" s="1334"/>
      <c r="EU147" s="636"/>
      <c r="EV147" s="1334"/>
      <c r="EW147" s="1334"/>
      <c r="EX147" s="1334"/>
      <c r="EY147" s="1334"/>
      <c r="EZ147" s="636"/>
      <c r="FA147" s="636"/>
      <c r="FB147" s="636"/>
      <c r="FC147" s="636"/>
      <c r="FD147" s="424"/>
      <c r="FF147" s="424"/>
      <c r="FL147" s="1383"/>
      <c r="FM147" s="1383"/>
    </row>
    <row r="148" spans="1:170" ht="11.25" hidden="1" customHeight="1">
      <c r="A148" s="1626" t="s">
        <v>416</v>
      </c>
      <c r="B148" s="421"/>
      <c r="C148" s="421"/>
      <c r="D148" s="421"/>
      <c r="E148" s="421"/>
      <c r="F148" s="421"/>
      <c r="G148" s="421"/>
      <c r="H148" s="421"/>
      <c r="I148" s="421"/>
      <c r="J148" s="421"/>
      <c r="K148" s="421"/>
      <c r="L148" s="421"/>
      <c r="M148" s="421"/>
      <c r="N148" s="421"/>
      <c r="O148" s="421"/>
      <c r="P148" s="421"/>
      <c r="Q148" s="421"/>
      <c r="R148" s="421"/>
      <c r="S148" s="421"/>
      <c r="T148" s="421"/>
      <c r="U148" s="421"/>
      <c r="V148" s="421"/>
      <c r="W148" s="421"/>
      <c r="X148" s="421"/>
      <c r="Y148" s="421"/>
      <c r="Z148" s="421"/>
      <c r="AA148" s="421"/>
      <c r="AB148" s="421"/>
      <c r="AC148" s="421"/>
      <c r="AD148" s="421"/>
      <c r="AE148" s="421"/>
      <c r="AF148" s="421"/>
      <c r="AG148" s="421"/>
      <c r="AH148" s="421"/>
      <c r="AI148" s="421"/>
      <c r="AJ148" s="421"/>
      <c r="AK148" s="421"/>
      <c r="AL148" s="421"/>
      <c r="AM148" s="421"/>
      <c r="AN148" s="421"/>
      <c r="AO148" s="421"/>
      <c r="AP148" s="421"/>
      <c r="AQ148" s="421"/>
      <c r="AR148" s="421"/>
      <c r="AS148" s="421"/>
      <c r="AT148" s="421"/>
      <c r="AU148" s="421"/>
      <c r="AV148" s="421"/>
      <c r="AW148" s="421"/>
      <c r="AX148" s="421"/>
      <c r="AY148" s="421"/>
      <c r="AZ148" s="1179">
        <v>9.9999999999998979E-3</v>
      </c>
      <c r="BA148" s="424">
        <v>9.9999999999998979E-3</v>
      </c>
      <c r="BB148" s="424">
        <v>0.02</v>
      </c>
      <c r="BC148" s="424">
        <v>9.9999999999999534E-3</v>
      </c>
      <c r="BD148" s="425"/>
      <c r="BE148" s="1179">
        <v>9.9999999999998979E-3</v>
      </c>
      <c r="BF148" s="424">
        <v>9.9999999999998979E-3</v>
      </c>
      <c r="BG148" s="424">
        <v>0.01</v>
      </c>
      <c r="BH148" s="424">
        <v>9.9999999999999534E-3</v>
      </c>
      <c r="BI148" s="425"/>
      <c r="BJ148" s="1179">
        <v>9.9999999999998979E-3</v>
      </c>
      <c r="BK148" s="424">
        <v>9.9999999999998979E-3</v>
      </c>
      <c r="BL148" s="424">
        <v>0.01</v>
      </c>
      <c r="BM148" s="426">
        <v>9.9999999999999534E-3</v>
      </c>
      <c r="BN148" s="424"/>
      <c r="BO148" s="1179">
        <v>9.9999999999998979E-3</v>
      </c>
      <c r="BP148" s="424">
        <v>9.9999999999998979E-3</v>
      </c>
      <c r="BQ148" s="424">
        <v>0.01</v>
      </c>
      <c r="BR148" s="424">
        <v>9.9999999999999534E-3</v>
      </c>
      <c r="BS148" s="1180"/>
      <c r="BT148" s="1179">
        <v>9.9999999999999534E-3</v>
      </c>
      <c r="BU148" s="424">
        <v>9.9999999999999534E-3</v>
      </c>
      <c r="BV148" s="424">
        <v>9.9999999999999534E-3</v>
      </c>
      <c r="BW148" s="426">
        <v>9.9999999999999534E-3</v>
      </c>
      <c r="BX148" s="424"/>
      <c r="BY148" s="1179">
        <f>+BW148</f>
        <v>9.9999999999999534E-3</v>
      </c>
      <c r="BZ148" s="424">
        <f t="shared" si="391"/>
        <v>9.9999999999999534E-3</v>
      </c>
      <c r="CA148" s="424">
        <f t="shared" si="391"/>
        <v>9.9999999999999534E-3</v>
      </c>
      <c r="CB148" s="426">
        <f t="shared" si="391"/>
        <v>9.9999999999999534E-3</v>
      </c>
      <c r="CC148" s="424"/>
      <c r="CD148" s="1179">
        <f t="shared" si="378"/>
        <v>9.9999999999999534E-3</v>
      </c>
      <c r="CE148" s="424">
        <f t="shared" si="379"/>
        <v>9.9999999999999534E-3</v>
      </c>
      <c r="CF148" s="424">
        <f t="shared" si="380"/>
        <v>9.9999999999999534E-3</v>
      </c>
      <c r="CG148" s="426">
        <f t="shared" si="381"/>
        <v>9.9999999999999534E-3</v>
      </c>
      <c r="CH148" s="424"/>
      <c r="CI148" s="424">
        <f t="shared" si="382"/>
        <v>9.9999999999999534E-3</v>
      </c>
      <c r="CJ148" s="424">
        <f t="shared" si="383"/>
        <v>9.9999999999999534E-3</v>
      </c>
      <c r="CK148" s="424">
        <f>CJ148</f>
        <v>9.9999999999999534E-3</v>
      </c>
      <c r="CL148" s="426">
        <f>+CK148</f>
        <v>9.9999999999999534E-3</v>
      </c>
      <c r="CM148" s="424"/>
      <c r="CN148" s="424">
        <f>CL148</f>
        <v>9.9999999999999534E-3</v>
      </c>
      <c r="CO148" s="424">
        <f t="shared" si="392"/>
        <v>9.9999999999999534E-3</v>
      </c>
      <c r="CP148" s="424">
        <f t="shared" si="392"/>
        <v>9.9999999999999534E-3</v>
      </c>
      <c r="CQ148" s="1247">
        <f t="shared" si="392"/>
        <v>9.9999999999999534E-3</v>
      </c>
      <c r="CR148" s="1237">
        <f t="shared" si="393"/>
        <v>9.9999999999999534E-3</v>
      </c>
      <c r="CS148" s="424">
        <f>CQ148</f>
        <v>9.9999999999999534E-3</v>
      </c>
      <c r="CT148" s="424">
        <f t="shared" si="394"/>
        <v>9.9999999999999534E-3</v>
      </c>
      <c r="CU148" s="424">
        <f t="shared" si="394"/>
        <v>9.9999999999999534E-3</v>
      </c>
      <c r="CV148" s="424">
        <f t="shared" si="394"/>
        <v>9.9999999999999534E-3</v>
      </c>
      <c r="CW148" s="1208">
        <f t="shared" si="395"/>
        <v>9.9999999999999534E-3</v>
      </c>
      <c r="CX148" s="1179">
        <f>CV148</f>
        <v>9.9999999999999534E-3</v>
      </c>
      <c r="CY148" s="1334">
        <f t="shared" si="399"/>
        <v>9.9999999999999534E-3</v>
      </c>
      <c r="CZ148" s="1334">
        <f t="shared" si="399"/>
        <v>9.9999999999999534E-3</v>
      </c>
      <c r="DA148" s="1335">
        <f t="shared" si="399"/>
        <v>9.9999999999999534E-3</v>
      </c>
      <c r="DB148" s="1208">
        <f t="shared" si="384"/>
        <v>9.9999999999999534E-3</v>
      </c>
      <c r="DC148" s="1336">
        <f t="shared" si="396"/>
        <v>9.9999999999999534E-3</v>
      </c>
      <c r="DD148" s="1334">
        <f t="shared" si="400"/>
        <v>9.9999999999999534E-3</v>
      </c>
      <c r="DE148" s="1334">
        <f t="shared" si="385"/>
        <v>9.9999999999999534E-3</v>
      </c>
      <c r="DF148" s="1335">
        <f t="shared" si="386"/>
        <v>9.9999999999999534E-3</v>
      </c>
      <c r="DG148" s="1208">
        <f t="shared" si="397"/>
        <v>9.9999999999999534E-3</v>
      </c>
      <c r="DH148" s="1336">
        <f>DF148</f>
        <v>9.9999999999999534E-3</v>
      </c>
      <c r="DI148" s="1334">
        <f t="shared" si="401"/>
        <v>9.9999999999999534E-3</v>
      </c>
      <c r="DJ148" s="1334">
        <f t="shared" si="387"/>
        <v>9.9999999999999534E-3</v>
      </c>
      <c r="DK148" s="1335">
        <f t="shared" si="388"/>
        <v>9.9999999999999534E-3</v>
      </c>
      <c r="DL148" s="1208">
        <f t="shared" si="398"/>
        <v>9.9999999999999534E-3</v>
      </c>
      <c r="DM148" s="1336">
        <f>DK148</f>
        <v>9.9999999999999534E-3</v>
      </c>
      <c r="DN148" s="1334">
        <f t="shared" si="402"/>
        <v>9.9999999999999534E-3</v>
      </c>
      <c r="DO148" s="1334">
        <f t="shared" si="389"/>
        <v>9.9999999999999534E-3</v>
      </c>
      <c r="DP148" s="1335">
        <f t="shared" si="390"/>
        <v>9.9999999999999534E-3</v>
      </c>
      <c r="DQ148" s="636"/>
      <c r="DR148" s="1334"/>
      <c r="DS148" s="1334"/>
      <c r="DT148" s="1334"/>
      <c r="DU148" s="1334"/>
      <c r="DV148" s="636"/>
      <c r="DW148" s="1334"/>
      <c r="DX148" s="1334"/>
      <c r="DY148" s="1334"/>
      <c r="DZ148" s="1334"/>
      <c r="EA148" s="636"/>
      <c r="EB148" s="1334"/>
      <c r="EC148" s="1334"/>
      <c r="ED148" s="1334"/>
      <c r="EE148" s="1334"/>
      <c r="EF148" s="636"/>
      <c r="EG148" s="1334"/>
      <c r="EH148" s="1334"/>
      <c r="EI148" s="1334"/>
      <c r="EJ148" s="1334"/>
      <c r="EK148" s="636"/>
      <c r="EL148" s="1334"/>
      <c r="EM148" s="1334"/>
      <c r="EN148" s="1334"/>
      <c r="EO148" s="1334"/>
      <c r="EP148" s="636"/>
      <c r="EQ148" s="1334"/>
      <c r="ER148" s="1334"/>
      <c r="ES148" s="1334"/>
      <c r="ET148" s="1334"/>
      <c r="EU148" s="636"/>
      <c r="EV148" s="1334"/>
      <c r="EW148" s="1334"/>
      <c r="EX148" s="1334"/>
      <c r="EY148" s="1334"/>
      <c r="EZ148" s="636"/>
      <c r="FA148" s="636"/>
      <c r="FB148" s="636"/>
      <c r="FC148" s="636"/>
      <c r="FD148" s="424"/>
      <c r="FF148" s="424"/>
      <c r="FL148" s="1383"/>
      <c r="FM148" s="1383"/>
    </row>
    <row r="149" spans="1:170" ht="11.25" hidden="1" customHeight="1">
      <c r="A149" s="1626" t="s">
        <v>417</v>
      </c>
      <c r="B149" s="421"/>
      <c r="C149" s="421"/>
      <c r="D149" s="421"/>
      <c r="E149" s="421"/>
      <c r="F149" s="421"/>
      <c r="G149" s="421"/>
      <c r="H149" s="421"/>
      <c r="I149" s="421"/>
      <c r="J149" s="421"/>
      <c r="K149" s="421"/>
      <c r="L149" s="421"/>
      <c r="M149" s="421"/>
      <c r="N149" s="421"/>
      <c r="O149" s="421"/>
      <c r="P149" s="421"/>
      <c r="Q149" s="421"/>
      <c r="R149" s="421"/>
      <c r="S149" s="421"/>
      <c r="T149" s="421"/>
      <c r="U149" s="421"/>
      <c r="V149" s="421"/>
      <c r="W149" s="421"/>
      <c r="X149" s="421"/>
      <c r="Y149" s="421"/>
      <c r="Z149" s="421"/>
      <c r="AA149" s="421"/>
      <c r="AB149" s="421"/>
      <c r="AC149" s="421"/>
      <c r="AD149" s="421"/>
      <c r="AE149" s="421"/>
      <c r="AF149" s="421"/>
      <c r="AG149" s="421"/>
      <c r="AH149" s="421"/>
      <c r="AI149" s="421"/>
      <c r="AJ149" s="421"/>
      <c r="AK149" s="421"/>
      <c r="AL149" s="421"/>
      <c r="AM149" s="421"/>
      <c r="AN149" s="421"/>
      <c r="AO149" s="421"/>
      <c r="AP149" s="421"/>
      <c r="AQ149" s="421"/>
      <c r="AR149" s="421"/>
      <c r="AS149" s="421"/>
      <c r="AT149" s="421"/>
      <c r="AU149" s="421"/>
      <c r="AV149" s="421"/>
      <c r="AW149" s="421"/>
      <c r="AX149" s="421"/>
      <c r="AY149" s="421"/>
      <c r="AZ149" s="1179">
        <v>0</v>
      </c>
      <c r="BA149" s="424">
        <v>0</v>
      </c>
      <c r="BB149" s="424">
        <v>0</v>
      </c>
      <c r="BC149" s="424">
        <v>0</v>
      </c>
      <c r="BD149" s="425"/>
      <c r="BE149" s="1179">
        <v>0</v>
      </c>
      <c r="BF149" s="424">
        <v>0</v>
      </c>
      <c r="BG149" s="424">
        <v>0</v>
      </c>
      <c r="BH149" s="424">
        <v>0</v>
      </c>
      <c r="BI149" s="425"/>
      <c r="BJ149" s="1179">
        <v>0</v>
      </c>
      <c r="BK149" s="424">
        <v>0</v>
      </c>
      <c r="BL149" s="424">
        <v>0</v>
      </c>
      <c r="BM149" s="426">
        <v>0</v>
      </c>
      <c r="BN149" s="424"/>
      <c r="BO149" s="1179">
        <v>0</v>
      </c>
      <c r="BP149" s="424">
        <v>0</v>
      </c>
      <c r="BQ149" s="424">
        <v>0</v>
      </c>
      <c r="BR149" s="424">
        <v>0</v>
      </c>
      <c r="BS149" s="1180"/>
      <c r="BT149" s="1179">
        <v>0</v>
      </c>
      <c r="BU149" s="424">
        <v>0</v>
      </c>
      <c r="BV149" s="424">
        <v>0.05</v>
      </c>
      <c r="BW149" s="426">
        <v>0.05</v>
      </c>
      <c r="BX149" s="424"/>
      <c r="BY149" s="1179">
        <f>+BW149</f>
        <v>0.05</v>
      </c>
      <c r="BZ149" s="424">
        <f t="shared" si="391"/>
        <v>0.05</v>
      </c>
      <c r="CA149" s="424">
        <f t="shared" si="391"/>
        <v>0.05</v>
      </c>
      <c r="CB149" s="426">
        <f t="shared" si="391"/>
        <v>0.05</v>
      </c>
      <c r="CC149" s="424"/>
      <c r="CD149" s="1179">
        <f t="shared" si="378"/>
        <v>0.05</v>
      </c>
      <c r="CE149" s="424">
        <f t="shared" si="379"/>
        <v>0.05</v>
      </c>
      <c r="CF149" s="424">
        <f t="shared" si="380"/>
        <v>0.05</v>
      </c>
      <c r="CG149" s="426">
        <f t="shared" si="381"/>
        <v>0.05</v>
      </c>
      <c r="CH149" s="424"/>
      <c r="CI149" s="424">
        <f t="shared" si="382"/>
        <v>0.05</v>
      </c>
      <c r="CJ149" s="424">
        <f t="shared" si="383"/>
        <v>0.05</v>
      </c>
      <c r="CK149" s="424">
        <f>CJ149</f>
        <v>0.05</v>
      </c>
      <c r="CL149" s="426">
        <f>+CK149</f>
        <v>0.05</v>
      </c>
      <c r="CM149" s="424"/>
      <c r="CN149" s="424">
        <f>CL149</f>
        <v>0.05</v>
      </c>
      <c r="CO149" s="424">
        <f t="shared" si="392"/>
        <v>0.05</v>
      </c>
      <c r="CP149" s="424">
        <f t="shared" si="392"/>
        <v>0.05</v>
      </c>
      <c r="CQ149" s="1247">
        <f t="shared" si="392"/>
        <v>0.05</v>
      </c>
      <c r="CR149" s="1237">
        <f t="shared" si="393"/>
        <v>0.05</v>
      </c>
      <c r="CS149" s="424">
        <f>CQ149</f>
        <v>0.05</v>
      </c>
      <c r="CT149" s="424">
        <v>0.08</v>
      </c>
      <c r="CU149" s="424">
        <v>0.06</v>
      </c>
      <c r="CV149" s="424">
        <f t="shared" si="394"/>
        <v>0.06</v>
      </c>
      <c r="CW149" s="1208">
        <f t="shared" si="395"/>
        <v>6.25E-2</v>
      </c>
      <c r="CX149" s="1179">
        <f>CV149</f>
        <v>0.06</v>
      </c>
      <c r="CY149" s="1334">
        <f t="shared" si="399"/>
        <v>0.06</v>
      </c>
      <c r="CZ149" s="1334">
        <f t="shared" si="399"/>
        <v>0.06</v>
      </c>
      <c r="DA149" s="1335">
        <f t="shared" si="399"/>
        <v>0.06</v>
      </c>
      <c r="DB149" s="1208">
        <f t="shared" si="384"/>
        <v>0.06</v>
      </c>
      <c r="DC149" s="1336">
        <f t="shared" si="396"/>
        <v>0.06</v>
      </c>
      <c r="DD149" s="1334">
        <f t="shared" si="400"/>
        <v>0.06</v>
      </c>
      <c r="DE149" s="1334">
        <f t="shared" si="385"/>
        <v>0.06</v>
      </c>
      <c r="DF149" s="1335">
        <f t="shared" si="386"/>
        <v>0.06</v>
      </c>
      <c r="DG149" s="1208">
        <f t="shared" si="397"/>
        <v>0.06</v>
      </c>
      <c r="DH149" s="1336">
        <f>DF149</f>
        <v>0.06</v>
      </c>
      <c r="DI149" s="1334">
        <f t="shared" si="401"/>
        <v>0.06</v>
      </c>
      <c r="DJ149" s="1334">
        <f t="shared" si="387"/>
        <v>0.06</v>
      </c>
      <c r="DK149" s="1335">
        <f t="shared" si="388"/>
        <v>0.06</v>
      </c>
      <c r="DL149" s="1208">
        <f t="shared" si="398"/>
        <v>0.06</v>
      </c>
      <c r="DM149" s="1336">
        <f>DK149</f>
        <v>0.06</v>
      </c>
      <c r="DN149" s="1334">
        <f t="shared" si="402"/>
        <v>0.06</v>
      </c>
      <c r="DO149" s="1334">
        <f t="shared" si="389"/>
        <v>0.06</v>
      </c>
      <c r="DP149" s="1335">
        <f t="shared" si="390"/>
        <v>0.06</v>
      </c>
      <c r="DQ149" s="636"/>
      <c r="DR149" s="1334"/>
      <c r="DS149" s="1334"/>
      <c r="DT149" s="1334"/>
      <c r="DU149" s="1334"/>
      <c r="DV149" s="636"/>
      <c r="DW149" s="1334"/>
      <c r="DX149" s="1334"/>
      <c r="DY149" s="1334"/>
      <c r="DZ149" s="1334"/>
      <c r="EA149" s="636"/>
      <c r="EB149" s="1334"/>
      <c r="EC149" s="1334"/>
      <c r="ED149" s="1334"/>
      <c r="EE149" s="1334"/>
      <c r="EF149" s="636"/>
      <c r="EG149" s="1334"/>
      <c r="EH149" s="1334"/>
      <c r="EI149" s="1334"/>
      <c r="EJ149" s="1334"/>
      <c r="EK149" s="636"/>
      <c r="EL149" s="1334"/>
      <c r="EM149" s="1334"/>
      <c r="EN149" s="1334"/>
      <c r="EO149" s="1334"/>
      <c r="EP149" s="636"/>
      <c r="EQ149" s="1334"/>
      <c r="ER149" s="1334"/>
      <c r="ES149" s="1334"/>
      <c r="ET149" s="1334"/>
      <c r="EU149" s="636"/>
      <c r="EV149" s="1334"/>
      <c r="EW149" s="1334"/>
      <c r="EX149" s="1334"/>
      <c r="EY149" s="1334"/>
      <c r="EZ149" s="636"/>
      <c r="FA149" s="636"/>
      <c r="FB149" s="636"/>
      <c r="FC149" s="636"/>
      <c r="FD149" s="424"/>
      <c r="FF149" s="424"/>
      <c r="FL149" s="1383"/>
      <c r="FM149" s="1383"/>
    </row>
    <row r="150" spans="1:170" ht="11.25" hidden="1" customHeight="1">
      <c r="A150" s="1626" t="s">
        <v>418</v>
      </c>
      <c r="B150" s="421"/>
      <c r="C150" s="421"/>
      <c r="D150" s="421"/>
      <c r="E150" s="421"/>
      <c r="F150" s="421"/>
      <c r="G150" s="421"/>
      <c r="H150" s="421"/>
      <c r="I150" s="421"/>
      <c r="J150" s="421"/>
      <c r="K150" s="421"/>
      <c r="L150" s="421"/>
      <c r="M150" s="421"/>
      <c r="N150" s="421"/>
      <c r="O150" s="421"/>
      <c r="P150" s="421"/>
      <c r="Q150" s="421"/>
      <c r="R150" s="421"/>
      <c r="S150" s="421"/>
      <c r="T150" s="421"/>
      <c r="U150" s="421"/>
      <c r="V150" s="421"/>
      <c r="W150" s="421"/>
      <c r="X150" s="421"/>
      <c r="Y150" s="421"/>
      <c r="Z150" s="421"/>
      <c r="AA150" s="421"/>
      <c r="AB150" s="421"/>
      <c r="AC150" s="421"/>
      <c r="AD150" s="421"/>
      <c r="AE150" s="421"/>
      <c r="AF150" s="421"/>
      <c r="AG150" s="421"/>
      <c r="AH150" s="421"/>
      <c r="AI150" s="421"/>
      <c r="AJ150" s="421"/>
      <c r="AK150" s="421"/>
      <c r="AL150" s="421"/>
      <c r="AM150" s="421"/>
      <c r="AN150" s="421"/>
      <c r="AO150" s="421"/>
      <c r="AP150" s="421"/>
      <c r="AQ150" s="421"/>
      <c r="AR150" s="421"/>
      <c r="AS150" s="421"/>
      <c r="AT150" s="421"/>
      <c r="AU150" s="421"/>
      <c r="AV150" s="421"/>
      <c r="AW150" s="421"/>
      <c r="AX150" s="421"/>
      <c r="AY150" s="421"/>
      <c r="AZ150" s="1179">
        <v>0.28000000000000003</v>
      </c>
      <c r="BA150" s="424">
        <v>0.28000000000000003</v>
      </c>
      <c r="BB150" s="424">
        <v>0.28000000000000003</v>
      </c>
      <c r="BC150" s="424">
        <v>0.23</v>
      </c>
      <c r="BD150" s="425"/>
      <c r="BE150" s="1179">
        <v>0.28000000000000003</v>
      </c>
      <c r="BF150" s="424">
        <v>0.28000000000000003</v>
      </c>
      <c r="BG150" s="424">
        <v>0.3</v>
      </c>
      <c r="BH150" s="424">
        <v>0.28000000000000003</v>
      </c>
      <c r="BI150" s="425"/>
      <c r="BJ150" s="1179">
        <v>0.28000000000000003</v>
      </c>
      <c r="BK150" s="424">
        <v>0.28000000000000003</v>
      </c>
      <c r="BL150" s="424">
        <v>0.3</v>
      </c>
      <c r="BM150" s="426">
        <v>0.28000000000000003</v>
      </c>
      <c r="BN150" s="424"/>
      <c r="BO150" s="1179">
        <v>0.28000000000000003</v>
      </c>
      <c r="BP150" s="424">
        <v>0.28000000000000003</v>
      </c>
      <c r="BQ150" s="424">
        <v>0.28000000000000003</v>
      </c>
      <c r="BR150" s="424">
        <v>0.28000000000000003</v>
      </c>
      <c r="BS150" s="1180"/>
      <c r="BT150" s="1179">
        <v>0.26</v>
      </c>
      <c r="BU150" s="424">
        <v>0.26</v>
      </c>
      <c r="BV150" s="424">
        <v>0.26</v>
      </c>
      <c r="BW150" s="426">
        <v>0.25</v>
      </c>
      <c r="BX150" s="424"/>
      <c r="BY150" s="1179">
        <v>0.24</v>
      </c>
      <c r="BZ150" s="424">
        <f t="shared" si="391"/>
        <v>0.24</v>
      </c>
      <c r="CA150" s="424">
        <f t="shared" si="391"/>
        <v>0.24</v>
      </c>
      <c r="CB150" s="426">
        <f t="shared" si="391"/>
        <v>0.24</v>
      </c>
      <c r="CC150" s="424"/>
      <c r="CD150" s="1179">
        <f t="shared" si="378"/>
        <v>0.24</v>
      </c>
      <c r="CE150" s="424">
        <f t="shared" si="379"/>
        <v>0.24</v>
      </c>
      <c r="CF150" s="424">
        <f t="shared" si="380"/>
        <v>0.24</v>
      </c>
      <c r="CG150" s="426">
        <f t="shared" si="381"/>
        <v>0.24</v>
      </c>
      <c r="CH150" s="424"/>
      <c r="CI150" s="1179">
        <f t="shared" si="382"/>
        <v>0.24</v>
      </c>
      <c r="CJ150" s="424">
        <f t="shared" si="383"/>
        <v>0.24</v>
      </c>
      <c r="CK150" s="424">
        <f>CJ150</f>
        <v>0.24</v>
      </c>
      <c r="CL150" s="426">
        <f>+CK150</f>
        <v>0.24</v>
      </c>
      <c r="CM150" s="424"/>
      <c r="CN150" s="424">
        <f>CL150</f>
        <v>0.24</v>
      </c>
      <c r="CO150" s="424">
        <f t="shared" si="392"/>
        <v>0.24</v>
      </c>
      <c r="CP150" s="424">
        <f t="shared" si="392"/>
        <v>0.24</v>
      </c>
      <c r="CQ150" s="1247">
        <f t="shared" si="392"/>
        <v>0.24</v>
      </c>
      <c r="CR150" s="1237">
        <f t="shared" si="393"/>
        <v>0.24</v>
      </c>
      <c r="CS150" s="424">
        <f>CQ150</f>
        <v>0.24</v>
      </c>
      <c r="CT150" s="424">
        <v>0.13</v>
      </c>
      <c r="CU150" s="424">
        <v>0.1</v>
      </c>
      <c r="CV150" s="424">
        <f t="shared" si="394"/>
        <v>0.1</v>
      </c>
      <c r="CW150" s="1208">
        <f t="shared" si="395"/>
        <v>0.14249999999999999</v>
      </c>
      <c r="CX150" s="1179">
        <v>0.11</v>
      </c>
      <c r="CY150" s="1334">
        <v>0.12</v>
      </c>
      <c r="CZ150" s="1334">
        <v>0.14000000000000001</v>
      </c>
      <c r="DA150" s="1335">
        <v>0.15</v>
      </c>
      <c r="DB150" s="1208">
        <f t="shared" si="384"/>
        <v>0.13</v>
      </c>
      <c r="DC150" s="1336">
        <v>0.14000000000000001</v>
      </c>
      <c r="DD150" s="1334">
        <f t="shared" si="400"/>
        <v>0.14000000000000001</v>
      </c>
      <c r="DE150" s="1334">
        <f t="shared" si="385"/>
        <v>0.14000000000000001</v>
      </c>
      <c r="DF150" s="1335">
        <f t="shared" si="386"/>
        <v>0.14000000000000001</v>
      </c>
      <c r="DG150" s="1208">
        <f t="shared" si="397"/>
        <v>0.14000000000000001</v>
      </c>
      <c r="DH150" s="1336">
        <v>0.14000000000000001</v>
      </c>
      <c r="DI150" s="1334">
        <f t="shared" si="401"/>
        <v>0.14000000000000001</v>
      </c>
      <c r="DJ150" s="1334">
        <f t="shared" si="387"/>
        <v>0.14000000000000001</v>
      </c>
      <c r="DK150" s="1335">
        <f t="shared" si="388"/>
        <v>0.14000000000000001</v>
      </c>
      <c r="DL150" s="1208">
        <f t="shared" si="398"/>
        <v>0.14000000000000001</v>
      </c>
      <c r="DM150" s="1336">
        <v>0.14000000000000001</v>
      </c>
      <c r="DN150" s="1334">
        <f t="shared" si="402"/>
        <v>0.14000000000000001</v>
      </c>
      <c r="DO150" s="1334">
        <f t="shared" si="389"/>
        <v>0.14000000000000001</v>
      </c>
      <c r="DP150" s="1335">
        <f t="shared" si="390"/>
        <v>0.14000000000000001</v>
      </c>
      <c r="DQ150" s="636"/>
      <c r="DR150" s="1334"/>
      <c r="DS150" s="1334"/>
      <c r="DT150" s="1334"/>
      <c r="DU150" s="1334"/>
      <c r="DV150" s="636"/>
      <c r="DW150" s="1334"/>
      <c r="DX150" s="1334"/>
      <c r="DY150" s="1334"/>
      <c r="DZ150" s="1334"/>
      <c r="EA150" s="636"/>
      <c r="EB150" s="1334"/>
      <c r="EC150" s="1334"/>
      <c r="ED150" s="1334"/>
      <c r="EE150" s="1334"/>
      <c r="EF150" s="636"/>
      <c r="EG150" s="1334"/>
      <c r="EH150" s="1334"/>
      <c r="EI150" s="1334"/>
      <c r="EJ150" s="1334"/>
      <c r="EK150" s="636"/>
      <c r="EL150" s="1334"/>
      <c r="EM150" s="1334"/>
      <c r="EN150" s="1334"/>
      <c r="EO150" s="1334"/>
      <c r="EP150" s="636"/>
      <c r="EQ150" s="1334"/>
      <c r="ER150" s="1334"/>
      <c r="ES150" s="1334"/>
      <c r="ET150" s="1334"/>
      <c r="EU150" s="636"/>
      <c r="EV150" s="1334"/>
      <c r="EW150" s="1334"/>
      <c r="EX150" s="1334"/>
      <c r="EY150" s="1334"/>
      <c r="EZ150" s="636"/>
      <c r="FA150" s="636"/>
      <c r="FB150" s="636"/>
      <c r="FC150" s="636"/>
      <c r="FD150" s="424"/>
      <c r="FF150" s="424"/>
      <c r="FL150" s="1383"/>
      <c r="FM150" s="1383"/>
    </row>
    <row r="151" spans="1:170" ht="11.25" hidden="1" customHeight="1">
      <c r="A151" s="1626" t="s">
        <v>430</v>
      </c>
      <c r="B151" s="421"/>
      <c r="C151" s="421"/>
      <c r="D151" s="421"/>
      <c r="E151" s="421"/>
      <c r="F151" s="421"/>
      <c r="G151" s="421"/>
      <c r="H151" s="421"/>
      <c r="I151" s="421"/>
      <c r="J151" s="421"/>
      <c r="K151" s="421"/>
      <c r="L151" s="421"/>
      <c r="M151" s="421"/>
      <c r="N151" s="421"/>
      <c r="O151" s="421"/>
      <c r="P151" s="421"/>
      <c r="Q151" s="421"/>
      <c r="R151" s="421"/>
      <c r="S151" s="421"/>
      <c r="T151" s="421"/>
      <c r="U151" s="421"/>
      <c r="V151" s="421"/>
      <c r="W151" s="421"/>
      <c r="X151" s="421"/>
      <c r="Y151" s="421"/>
      <c r="Z151" s="421"/>
      <c r="AA151" s="421"/>
      <c r="AB151" s="421"/>
      <c r="AC151" s="421"/>
      <c r="AD151" s="421"/>
      <c r="AE151" s="421"/>
      <c r="AF151" s="421"/>
      <c r="AG151" s="421"/>
      <c r="AH151" s="421"/>
      <c r="AI151" s="421"/>
      <c r="AJ151" s="421"/>
      <c r="AK151" s="421"/>
      <c r="AL151" s="421"/>
      <c r="AM151" s="421"/>
      <c r="AN151" s="421"/>
      <c r="AO151" s="421"/>
      <c r="AP151" s="421"/>
      <c r="AQ151" s="421"/>
      <c r="AR151" s="421"/>
      <c r="AS151" s="421"/>
      <c r="AT151" s="421"/>
      <c r="AU151" s="421"/>
      <c r="AV151" s="421"/>
      <c r="AW151" s="421"/>
      <c r="AX151" s="421"/>
      <c r="AY151" s="421"/>
      <c r="AZ151" s="1179"/>
      <c r="BA151" s="424"/>
      <c r="BB151" s="424"/>
      <c r="BC151" s="424"/>
      <c r="BD151" s="425"/>
      <c r="BE151" s="1179"/>
      <c r="BF151" s="424"/>
      <c r="BG151" s="424"/>
      <c r="BH151" s="424"/>
      <c r="BI151" s="425"/>
      <c r="BJ151" s="1179"/>
      <c r="BK151" s="424"/>
      <c r="BL151" s="424"/>
      <c r="BM151" s="426"/>
      <c r="BN151" s="424"/>
      <c r="BO151" s="1179"/>
      <c r="BP151" s="424"/>
      <c r="BQ151" s="424"/>
      <c r="BR151" s="424"/>
      <c r="BS151" s="1180"/>
      <c r="BT151" s="1179"/>
      <c r="BU151" s="424"/>
      <c r="BV151" s="424"/>
      <c r="BW151" s="426"/>
      <c r="BX151" s="424"/>
      <c r="BY151" s="1179"/>
      <c r="BZ151" s="424"/>
      <c r="CA151" s="424"/>
      <c r="CB151" s="426"/>
      <c r="CC151" s="424"/>
      <c r="CD151" s="1179"/>
      <c r="CE151" s="424"/>
      <c r="CF151" s="424"/>
      <c r="CG151" s="426"/>
      <c r="CH151" s="424"/>
      <c r="CI151" s="1179">
        <v>0.03</v>
      </c>
      <c r="CJ151" s="424">
        <v>0.03</v>
      </c>
      <c r="CK151" s="424">
        <v>0.03</v>
      </c>
      <c r="CL151" s="426">
        <v>0.03</v>
      </c>
      <c r="CM151" s="424"/>
      <c r="CN151" s="424">
        <v>0.04</v>
      </c>
      <c r="CO151" s="424">
        <v>0.04</v>
      </c>
      <c r="CP151" s="424">
        <v>0.04</v>
      </c>
      <c r="CQ151" s="1247">
        <v>0.04</v>
      </c>
      <c r="CR151" s="1237">
        <f t="shared" si="393"/>
        <v>0.04</v>
      </c>
      <c r="CS151" s="424">
        <v>0.04</v>
      </c>
      <c r="CT151" s="424">
        <v>7.0000000000000007E-2</v>
      </c>
      <c r="CU151" s="424">
        <v>0.05</v>
      </c>
      <c r="CV151" s="424">
        <v>0.05</v>
      </c>
      <c r="CW151" s="1208">
        <f t="shared" si="395"/>
        <v>5.2500000000000005E-2</v>
      </c>
      <c r="CX151" s="1179">
        <v>4.4999999999999998E-2</v>
      </c>
      <c r="CY151" s="1334">
        <v>0.05</v>
      </c>
      <c r="CZ151" s="1334">
        <v>0.06</v>
      </c>
      <c r="DA151" s="1335">
        <v>7.0000000000000007E-2</v>
      </c>
      <c r="DB151" s="1208">
        <f t="shared" si="384"/>
        <v>5.6250000000000001E-2</v>
      </c>
      <c r="DC151" s="1336">
        <v>7.0000000000000007E-2</v>
      </c>
      <c r="DD151" s="1334">
        <f t="shared" si="400"/>
        <v>7.0000000000000007E-2</v>
      </c>
      <c r="DE151" s="1334">
        <f t="shared" si="385"/>
        <v>7.0000000000000007E-2</v>
      </c>
      <c r="DF151" s="1335">
        <f t="shared" si="386"/>
        <v>7.0000000000000007E-2</v>
      </c>
      <c r="DG151" s="1208">
        <f t="shared" si="397"/>
        <v>7.0000000000000007E-2</v>
      </c>
      <c r="DH151" s="1336">
        <v>7.0000000000000007E-2</v>
      </c>
      <c r="DI151" s="1334">
        <f t="shared" si="401"/>
        <v>7.0000000000000007E-2</v>
      </c>
      <c r="DJ151" s="1334">
        <f t="shared" si="387"/>
        <v>7.0000000000000007E-2</v>
      </c>
      <c r="DK151" s="1335">
        <f t="shared" si="388"/>
        <v>7.0000000000000007E-2</v>
      </c>
      <c r="DL151" s="1208">
        <f t="shared" si="398"/>
        <v>7.0000000000000007E-2</v>
      </c>
      <c r="DM151" s="1336">
        <v>7.0000000000000007E-2</v>
      </c>
      <c r="DN151" s="1334">
        <f t="shared" si="402"/>
        <v>7.0000000000000007E-2</v>
      </c>
      <c r="DO151" s="1334">
        <f t="shared" si="389"/>
        <v>7.0000000000000007E-2</v>
      </c>
      <c r="DP151" s="1335">
        <f t="shared" si="390"/>
        <v>7.0000000000000007E-2</v>
      </c>
      <c r="DQ151" s="636"/>
      <c r="DR151" s="1334"/>
      <c r="DS151" s="1334"/>
      <c r="DT151" s="1334"/>
      <c r="DU151" s="1334"/>
      <c r="DV151" s="636"/>
      <c r="DW151" s="1334"/>
      <c r="DX151" s="1334"/>
      <c r="DY151" s="1334"/>
      <c r="DZ151" s="1334"/>
      <c r="EA151" s="636"/>
      <c r="EB151" s="1334"/>
      <c r="EC151" s="1334"/>
      <c r="ED151" s="1334"/>
      <c r="EE151" s="1334"/>
      <c r="EF151" s="636"/>
      <c r="EG151" s="1334"/>
      <c r="EH151" s="1334"/>
      <c r="EI151" s="1334"/>
      <c r="EJ151" s="1334"/>
      <c r="EK151" s="636"/>
      <c r="EL151" s="1334"/>
      <c r="EM151" s="1334"/>
      <c r="EN151" s="1334"/>
      <c r="EO151" s="1334"/>
      <c r="EP151" s="636"/>
      <c r="EQ151" s="1334"/>
      <c r="ER151" s="1334"/>
      <c r="ES151" s="1334"/>
      <c r="ET151" s="1334"/>
      <c r="EU151" s="636"/>
      <c r="EV151" s="1334"/>
      <c r="EW151" s="1334"/>
      <c r="EX151" s="1334"/>
      <c r="EY151" s="1334"/>
      <c r="EZ151" s="636"/>
      <c r="FA151" s="636"/>
      <c r="FB151" s="636"/>
      <c r="FC151" s="636"/>
      <c r="FD151" s="424"/>
      <c r="FF151" s="424"/>
      <c r="FL151" s="1383"/>
      <c r="FM151" s="1383"/>
    </row>
    <row r="152" spans="1:170" ht="11.25" hidden="1" customHeight="1">
      <c r="A152" s="1626" t="s">
        <v>431</v>
      </c>
      <c r="B152" s="421"/>
      <c r="C152" s="421"/>
      <c r="D152" s="421"/>
      <c r="E152" s="421"/>
      <c r="F152" s="421"/>
      <c r="G152" s="421"/>
      <c r="H152" s="421"/>
      <c r="I152" s="421"/>
      <c r="J152" s="421"/>
      <c r="K152" s="421"/>
      <c r="L152" s="421"/>
      <c r="M152" s="421"/>
      <c r="N152" s="421"/>
      <c r="O152" s="421"/>
      <c r="P152" s="421"/>
      <c r="Q152" s="421"/>
      <c r="R152" s="421"/>
      <c r="S152" s="421"/>
      <c r="T152" s="421"/>
      <c r="U152" s="421"/>
      <c r="V152" s="421"/>
      <c r="W152" s="421"/>
      <c r="X152" s="421"/>
      <c r="Y152" s="421"/>
      <c r="Z152" s="421"/>
      <c r="AA152" s="421"/>
      <c r="AB152" s="421"/>
      <c r="AC152" s="421"/>
      <c r="AD152" s="421"/>
      <c r="AE152" s="421"/>
      <c r="AF152" s="421"/>
      <c r="AG152" s="421"/>
      <c r="AH152" s="421"/>
      <c r="AI152" s="421"/>
      <c r="AJ152" s="421"/>
      <c r="AK152" s="421"/>
      <c r="AL152" s="421"/>
      <c r="AM152" s="421"/>
      <c r="AN152" s="421"/>
      <c r="AO152" s="421"/>
      <c r="AP152" s="421"/>
      <c r="AQ152" s="421"/>
      <c r="AR152" s="421"/>
      <c r="AS152" s="421"/>
      <c r="AT152" s="421"/>
      <c r="AU152" s="421"/>
      <c r="AV152" s="421"/>
      <c r="AW152" s="421"/>
      <c r="AX152" s="421"/>
      <c r="AY152" s="421"/>
      <c r="AZ152" s="1179"/>
      <c r="BA152" s="424"/>
      <c r="BB152" s="424"/>
      <c r="BC152" s="424"/>
      <c r="BD152" s="425"/>
      <c r="BE152" s="1179"/>
      <c r="BF152" s="424"/>
      <c r="BG152" s="424"/>
      <c r="BH152" s="424"/>
      <c r="BI152" s="425"/>
      <c r="BJ152" s="1179"/>
      <c r="BK152" s="424"/>
      <c r="BL152" s="424"/>
      <c r="BM152" s="426"/>
      <c r="BN152" s="424"/>
      <c r="BO152" s="1179"/>
      <c r="BP152" s="424"/>
      <c r="BQ152" s="424"/>
      <c r="BR152" s="424"/>
      <c r="BS152" s="1180"/>
      <c r="BT152" s="1179"/>
      <c r="BU152" s="424"/>
      <c r="BV152" s="424"/>
      <c r="BW152" s="426"/>
      <c r="BX152" s="424"/>
      <c r="BY152" s="1179"/>
      <c r="BZ152" s="424"/>
      <c r="CA152" s="424"/>
      <c r="CB152" s="426"/>
      <c r="CC152" s="424"/>
      <c r="CD152" s="1179"/>
      <c r="CE152" s="424"/>
      <c r="CF152" s="424"/>
      <c r="CG152" s="426"/>
      <c r="CH152" s="424"/>
      <c r="CI152" s="1179">
        <v>0.02</v>
      </c>
      <c r="CJ152" s="424">
        <v>0.02</v>
      </c>
      <c r="CK152" s="424">
        <v>0.02</v>
      </c>
      <c r="CL152" s="426">
        <v>0.02</v>
      </c>
      <c r="CM152" s="424"/>
      <c r="CN152" s="424">
        <v>0.03</v>
      </c>
      <c r="CO152" s="424">
        <v>0.03</v>
      </c>
      <c r="CP152" s="424">
        <v>0.03</v>
      </c>
      <c r="CQ152" s="1247">
        <v>0.03</v>
      </c>
      <c r="CR152" s="1237">
        <f t="shared" si="393"/>
        <v>0.03</v>
      </c>
      <c r="CS152" s="424">
        <v>0.03</v>
      </c>
      <c r="CT152" s="424">
        <v>7.0000000000000007E-2</v>
      </c>
      <c r="CU152" s="424">
        <v>6.5000000000000002E-2</v>
      </c>
      <c r="CV152" s="424">
        <v>7.0000000000000007E-2</v>
      </c>
      <c r="CW152" s="1208">
        <f t="shared" si="395"/>
        <v>5.8750000000000004E-2</v>
      </c>
      <c r="CX152" s="1179">
        <v>0.06</v>
      </c>
      <c r="CY152" s="1334">
        <v>0.06</v>
      </c>
      <c r="CZ152" s="1334">
        <v>0.05</v>
      </c>
      <c r="DA152" s="1335">
        <v>7.0000000000000007E-2</v>
      </c>
      <c r="DB152" s="1208">
        <f t="shared" si="384"/>
        <v>0.06</v>
      </c>
      <c r="DC152" s="1336">
        <f t="shared" si="396"/>
        <v>7.0000000000000007E-2</v>
      </c>
      <c r="DD152" s="1334">
        <f t="shared" si="400"/>
        <v>7.0000000000000007E-2</v>
      </c>
      <c r="DE152" s="1334">
        <f t="shared" si="385"/>
        <v>7.0000000000000007E-2</v>
      </c>
      <c r="DF152" s="1335">
        <f t="shared" si="386"/>
        <v>7.0000000000000007E-2</v>
      </c>
      <c r="DG152" s="1208">
        <f t="shared" si="397"/>
        <v>7.0000000000000007E-2</v>
      </c>
      <c r="DH152" s="1336">
        <f>DF152</f>
        <v>7.0000000000000007E-2</v>
      </c>
      <c r="DI152" s="1334">
        <f t="shared" si="401"/>
        <v>7.0000000000000007E-2</v>
      </c>
      <c r="DJ152" s="1334">
        <f t="shared" si="387"/>
        <v>7.0000000000000007E-2</v>
      </c>
      <c r="DK152" s="1335">
        <f t="shared" si="388"/>
        <v>7.0000000000000007E-2</v>
      </c>
      <c r="DL152" s="1208">
        <f t="shared" si="398"/>
        <v>7.0000000000000007E-2</v>
      </c>
      <c r="DM152" s="1336">
        <f>DK152</f>
        <v>7.0000000000000007E-2</v>
      </c>
      <c r="DN152" s="1334">
        <f t="shared" si="402"/>
        <v>7.0000000000000007E-2</v>
      </c>
      <c r="DO152" s="1334">
        <f t="shared" si="389"/>
        <v>7.0000000000000007E-2</v>
      </c>
      <c r="DP152" s="1335">
        <f t="shared" si="390"/>
        <v>7.0000000000000007E-2</v>
      </c>
      <c r="DQ152" s="636"/>
      <c r="DR152" s="1334"/>
      <c r="DS152" s="1334"/>
      <c r="DT152" s="1334"/>
      <c r="DU152" s="1334"/>
      <c r="DV152" s="636"/>
      <c r="DW152" s="1334"/>
      <c r="DX152" s="1334"/>
      <c r="DY152" s="1334"/>
      <c r="DZ152" s="1334"/>
      <c r="EA152" s="636"/>
      <c r="EB152" s="1334"/>
      <c r="EC152" s="1334"/>
      <c r="ED152" s="1334"/>
      <c r="EE152" s="1334"/>
      <c r="EF152" s="636"/>
      <c r="EG152" s="1334"/>
      <c r="EH152" s="1334"/>
      <c r="EI152" s="1334"/>
      <c r="EJ152" s="1334"/>
      <c r="EK152" s="636"/>
      <c r="EL152" s="1334"/>
      <c r="EM152" s="1334"/>
      <c r="EN152" s="1334"/>
      <c r="EO152" s="1334"/>
      <c r="EP152" s="636"/>
      <c r="EQ152" s="1334"/>
      <c r="ER152" s="1334"/>
      <c r="ES152" s="1334"/>
      <c r="ET152" s="1334"/>
      <c r="EU152" s="636"/>
      <c r="EV152" s="1334"/>
      <c r="EW152" s="1334"/>
      <c r="EX152" s="1334"/>
      <c r="EY152" s="1334"/>
      <c r="EZ152" s="636"/>
      <c r="FA152" s="636"/>
      <c r="FB152" s="636"/>
      <c r="FC152" s="636"/>
      <c r="FD152" s="424"/>
      <c r="FF152" s="424"/>
      <c r="FL152" s="1383"/>
      <c r="FM152" s="1383"/>
    </row>
    <row r="153" spans="1:170" ht="11.25" hidden="1" customHeight="1">
      <c r="A153" s="1626" t="s">
        <v>419</v>
      </c>
      <c r="B153" s="421"/>
      <c r="C153" s="421"/>
      <c r="D153" s="421"/>
      <c r="E153" s="421"/>
      <c r="F153" s="421"/>
      <c r="G153" s="421"/>
      <c r="H153" s="421"/>
      <c r="I153" s="421"/>
      <c r="J153" s="421"/>
      <c r="K153" s="421"/>
      <c r="L153" s="421"/>
      <c r="M153" s="421"/>
      <c r="N153" s="421"/>
      <c r="O153" s="421"/>
      <c r="P153" s="421"/>
      <c r="Q153" s="421"/>
      <c r="R153" s="421"/>
      <c r="S153" s="421"/>
      <c r="T153" s="421"/>
      <c r="U153" s="421"/>
      <c r="V153" s="421"/>
      <c r="W153" s="421"/>
      <c r="X153" s="421"/>
      <c r="Y153" s="421"/>
      <c r="Z153" s="421"/>
      <c r="AA153" s="421"/>
      <c r="AB153" s="421"/>
      <c r="AC153" s="421"/>
      <c r="AD153" s="421"/>
      <c r="AE153" s="421"/>
      <c r="AF153" s="421"/>
      <c r="AG153" s="421"/>
      <c r="AH153" s="421"/>
      <c r="AI153" s="421"/>
      <c r="AJ153" s="421"/>
      <c r="AK153" s="421"/>
      <c r="AL153" s="421"/>
      <c r="AM153" s="421"/>
      <c r="AN153" s="421"/>
      <c r="AO153" s="421"/>
      <c r="AP153" s="421"/>
      <c r="AQ153" s="421"/>
      <c r="AR153" s="421"/>
      <c r="AS153" s="421"/>
      <c r="AT153" s="421"/>
      <c r="AU153" s="421"/>
      <c r="AV153" s="421"/>
      <c r="AW153" s="421"/>
      <c r="AX153" s="421"/>
      <c r="AY153" s="421"/>
      <c r="AZ153" s="1181">
        <v>0</v>
      </c>
      <c r="BA153" s="427">
        <v>0</v>
      </c>
      <c r="BB153" s="427">
        <v>0</v>
      </c>
      <c r="BC153" s="427">
        <v>0</v>
      </c>
      <c r="BD153" s="425">
        <v>1</v>
      </c>
      <c r="BE153" s="1181">
        <v>0</v>
      </c>
      <c r="BF153" s="427">
        <v>0</v>
      </c>
      <c r="BG153" s="427">
        <v>0</v>
      </c>
      <c r="BH153" s="427">
        <v>0</v>
      </c>
      <c r="BI153" s="425">
        <v>1</v>
      </c>
      <c r="BJ153" s="1181">
        <v>0</v>
      </c>
      <c r="BK153" s="427">
        <v>0</v>
      </c>
      <c r="BL153" s="427">
        <v>0</v>
      </c>
      <c r="BM153" s="428">
        <v>0</v>
      </c>
      <c r="BN153" s="427"/>
      <c r="BO153" s="1181">
        <v>0</v>
      </c>
      <c r="BP153" s="427">
        <v>0</v>
      </c>
      <c r="BQ153" s="427">
        <v>0</v>
      </c>
      <c r="BR153" s="427">
        <v>0</v>
      </c>
      <c r="BS153" s="1182"/>
      <c r="BT153" s="1181">
        <f t="shared" ref="BT153:CG153" si="403">1-BT145-BT146-BT147-BT148-BT149-BT150</f>
        <v>0.1100000000000001</v>
      </c>
      <c r="BU153" s="427">
        <f t="shared" si="403"/>
        <v>0.12000000000000011</v>
      </c>
      <c r="BV153" s="427">
        <f t="shared" si="403"/>
        <v>8.0000000000000127E-2</v>
      </c>
      <c r="BW153" s="428">
        <f t="shared" si="403"/>
        <v>0.10000000000000014</v>
      </c>
      <c r="BX153" s="427"/>
      <c r="BY153" s="1181">
        <f t="shared" si="403"/>
        <v>0.11000000000000015</v>
      </c>
      <c r="BZ153" s="427">
        <f t="shared" si="403"/>
        <v>0.11000000000000015</v>
      </c>
      <c r="CA153" s="427">
        <f t="shared" si="403"/>
        <v>0.11000000000000015</v>
      </c>
      <c r="CB153" s="428">
        <f t="shared" si="403"/>
        <v>0.11000000000000015</v>
      </c>
      <c r="CC153" s="427"/>
      <c r="CD153" s="1181">
        <f t="shared" si="403"/>
        <v>0.11000000000000015</v>
      </c>
      <c r="CE153" s="427">
        <f t="shared" si="403"/>
        <v>0.11000000000000015</v>
      </c>
      <c r="CF153" s="427">
        <f t="shared" si="403"/>
        <v>0.11000000000000015</v>
      </c>
      <c r="CG153" s="428">
        <f t="shared" si="403"/>
        <v>0.11000000000000015</v>
      </c>
      <c r="CH153" s="427"/>
      <c r="CI153" s="427">
        <f t="shared" ref="CI153:CO153" si="404">1-CI145-CI146-CI147-CI148-CI149-CI150-CI151-CI152</f>
        <v>6.000000000000015E-2</v>
      </c>
      <c r="CJ153" s="427">
        <f t="shared" si="404"/>
        <v>6.000000000000015E-2</v>
      </c>
      <c r="CK153" s="427">
        <f t="shared" si="404"/>
        <v>6.3132949233612443E-2</v>
      </c>
      <c r="CL153" s="428">
        <f t="shared" si="404"/>
        <v>7.0883853847724096E-2</v>
      </c>
      <c r="CM153" s="427"/>
      <c r="CN153" s="636">
        <f t="shared" si="404"/>
        <v>4.4368249973786411E-2</v>
      </c>
      <c r="CO153" s="636">
        <f t="shared" si="404"/>
        <v>4.6634982952784454E-2</v>
      </c>
      <c r="CP153" s="636">
        <f t="shared" ref="CP153:CX153" si="405">1-CP145-CP146-CP147-CP148-CP149-CP150-CP151-CP152</f>
        <v>3.9482220207514906E-2</v>
      </c>
      <c r="CQ153" s="1237">
        <f t="shared" si="405"/>
        <v>4.5842696629213586E-2</v>
      </c>
      <c r="CR153" s="1237">
        <f t="shared" si="393"/>
        <v>4.4082037440824839E-2</v>
      </c>
      <c r="CS153" s="636">
        <f t="shared" si="405"/>
        <v>4.3372563442442114E-2</v>
      </c>
      <c r="CT153" s="636">
        <f t="shared" si="405"/>
        <v>6.3057130396860062E-2</v>
      </c>
      <c r="CU153" s="636">
        <f t="shared" si="405"/>
        <v>0.14485765124555161</v>
      </c>
      <c r="CV153" s="636">
        <f t="shared" si="405"/>
        <v>0.14551992807911307</v>
      </c>
      <c r="CW153" s="1208">
        <f t="shared" si="395"/>
        <v>9.9201818290991714E-2</v>
      </c>
      <c r="CX153" s="1215">
        <f t="shared" si="405"/>
        <v>0.14900277328403061</v>
      </c>
      <c r="CY153" s="636">
        <f>1-CY145-CY146-CY147-CY148-CY149-CY150-CY151-CY152</f>
        <v>0.1340027732840306</v>
      </c>
      <c r="CZ153" s="636">
        <f>1-CZ145-CZ146-CZ147-CZ148-CZ149-CZ150-CZ151-CZ152</f>
        <v>7.0000000000000104E-2</v>
      </c>
      <c r="DA153" s="1172">
        <f>1-DA145-DA146-DA147-DA148-DA149-DA150-DA151-DA152</f>
        <v>3.000000000000011E-2</v>
      </c>
      <c r="DB153" s="1208">
        <f t="shared" si="384"/>
        <v>9.5751386642015351E-2</v>
      </c>
      <c r="DC153" s="1215">
        <f>1-DC145-DC146-DC147-DC148-DC149-DC150-DC151-DC152</f>
        <v>4.0000000000000091E-2</v>
      </c>
      <c r="DD153" s="636">
        <f>1-DD145-DD146-DD147-DD148-DD149-DD150-DD151-DD152</f>
        <v>4.0000000000000091E-2</v>
      </c>
      <c r="DE153" s="636">
        <f>1-DE145-DE146-DE147-DE148-DE149-DE150-DE151-DE152</f>
        <v>4.0000000000000091E-2</v>
      </c>
      <c r="DF153" s="1172">
        <f>1-DF145-DF146-DF147-DF148-DF149-DF150-DF151-DF152</f>
        <v>4.0000000000000091E-2</v>
      </c>
      <c r="DG153" s="1208">
        <f t="shared" si="397"/>
        <v>4.0000000000000091E-2</v>
      </c>
      <c r="DH153" s="1215">
        <f>1-DH145-DH146-DH147-DH148-DH149-DH150-DH151-DH152</f>
        <v>4.0000000000000091E-2</v>
      </c>
      <c r="DI153" s="636">
        <f>1-DI145-DI146-DI147-DI148-DI149-DI150-DI151-DI152</f>
        <v>4.0000000000000091E-2</v>
      </c>
      <c r="DJ153" s="636">
        <f>1-DJ145-DJ146-DJ147-DJ148-DJ149-DJ150-DJ151-DJ152</f>
        <v>4.0000000000000091E-2</v>
      </c>
      <c r="DK153" s="1172">
        <f>1-DK145-DK146-DK147-DK148-DK149-DK150-DK151-DK152</f>
        <v>4.0000000000000091E-2</v>
      </c>
      <c r="DL153" s="1208">
        <f t="shared" si="398"/>
        <v>4.0000000000000091E-2</v>
      </c>
      <c r="DM153" s="1215">
        <f>1-DM145-DM146-DM147-DM148-DM149-DM150-DM151-DM152</f>
        <v>0.24</v>
      </c>
      <c r="DN153" s="636">
        <f>1-DN145-DN146-DN147-DN148-DN149-DN150-DN151-DN152</f>
        <v>0.24</v>
      </c>
      <c r="DO153" s="636">
        <f>1-DO145-DO146-DO147-DO148-DO149-DO150-DO151-DO152</f>
        <v>0.24</v>
      </c>
      <c r="DP153" s="1172">
        <f>1-DP145-DP146-DP147-DP148-DP149-DP150-DP151-DP152</f>
        <v>0.24</v>
      </c>
      <c r="DQ153" s="636"/>
      <c r="DR153" s="636"/>
      <c r="DS153" s="636"/>
      <c r="DT153" s="636"/>
      <c r="DU153" s="636"/>
      <c r="DV153" s="636"/>
      <c r="DW153" s="636"/>
      <c r="DX153" s="636"/>
      <c r="DY153" s="636"/>
      <c r="DZ153" s="636"/>
      <c r="EA153" s="636"/>
      <c r="EB153" s="636"/>
      <c r="EC153" s="636"/>
      <c r="ED153" s="636"/>
      <c r="EE153" s="636"/>
      <c r="EF153" s="636"/>
      <c r="EG153" s="636"/>
      <c r="EH153" s="636"/>
      <c r="EI153" s="636"/>
      <c r="EJ153" s="636"/>
      <c r="EK153" s="636"/>
      <c r="EL153" s="636"/>
      <c r="EM153" s="636"/>
      <c r="EN153" s="636"/>
      <c r="EO153" s="636"/>
      <c r="EP153" s="636"/>
      <c r="EQ153" s="636"/>
      <c r="ER153" s="636"/>
      <c r="ES153" s="636"/>
      <c r="ET153" s="636"/>
      <c r="EU153" s="636"/>
      <c r="EV153" s="636"/>
      <c r="EW153" s="636"/>
      <c r="EX153" s="636"/>
      <c r="EY153" s="636"/>
      <c r="EZ153" s="636"/>
      <c r="FA153" s="636"/>
      <c r="FB153" s="636"/>
      <c r="FC153" s="636"/>
      <c r="FD153" s="636"/>
      <c r="FF153" s="636"/>
    </row>
    <row r="154" spans="1:170" ht="11.25" hidden="1" customHeight="1">
      <c r="A154" s="1627"/>
      <c r="B154" s="421"/>
      <c r="C154" s="421"/>
      <c r="D154" s="421"/>
      <c r="E154" s="421"/>
      <c r="F154" s="421"/>
      <c r="G154" s="421"/>
      <c r="H154" s="421"/>
      <c r="I154" s="421"/>
      <c r="J154" s="421"/>
      <c r="K154" s="421"/>
      <c r="L154" s="421"/>
      <c r="M154" s="421"/>
      <c r="N154" s="421"/>
      <c r="O154" s="421"/>
      <c r="P154" s="421"/>
      <c r="Q154" s="421"/>
      <c r="R154" s="421"/>
      <c r="S154" s="421"/>
      <c r="T154" s="421"/>
      <c r="U154" s="421"/>
      <c r="V154" s="421"/>
      <c r="W154" s="421"/>
      <c r="X154" s="421"/>
      <c r="Y154" s="421"/>
      <c r="Z154" s="421"/>
      <c r="AA154" s="421"/>
      <c r="AB154" s="421"/>
      <c r="AC154" s="421"/>
      <c r="AD154" s="421"/>
      <c r="AE154" s="421"/>
      <c r="AF154" s="421"/>
      <c r="AG154" s="421"/>
      <c r="AH154" s="421"/>
      <c r="AI154" s="421"/>
      <c r="AJ154" s="421"/>
      <c r="AK154" s="421"/>
      <c r="AL154" s="421"/>
      <c r="AM154" s="421"/>
      <c r="AN154" s="421"/>
      <c r="AO154" s="421"/>
      <c r="AP154" s="421"/>
      <c r="AQ154" s="421"/>
      <c r="AR154" s="421"/>
      <c r="AS154" s="421"/>
      <c r="AT154" s="421"/>
      <c r="AU154" s="421"/>
      <c r="AV154" s="421"/>
      <c r="AW154" s="421"/>
      <c r="AX154" s="421"/>
      <c r="AY154" s="421"/>
      <c r="AZ154" s="1184"/>
      <c r="BA154" s="421"/>
      <c r="BB154" s="421"/>
      <c r="BC154" s="421"/>
      <c r="BD154" s="421"/>
      <c r="BE154" s="1184"/>
      <c r="BF154" s="421"/>
      <c r="BG154" s="421"/>
      <c r="BH154" s="421"/>
      <c r="BI154" s="421"/>
      <c r="BJ154" s="1184"/>
      <c r="BK154" s="421"/>
      <c r="BL154" s="421"/>
      <c r="BM154" s="423"/>
      <c r="BN154" s="421"/>
      <c r="BO154" s="1184"/>
      <c r="BP154" s="421"/>
      <c r="BQ154" s="421"/>
      <c r="BR154" s="421"/>
      <c r="BS154" s="1183"/>
      <c r="BT154" s="1184"/>
      <c r="BU154" s="421"/>
      <c r="BV154" s="421"/>
      <c r="BW154" s="423"/>
      <c r="BX154" s="421"/>
      <c r="BY154" s="1184"/>
      <c r="BZ154" s="421"/>
      <c r="CA154" s="421"/>
      <c r="CB154" s="423"/>
      <c r="CC154" s="421"/>
      <c r="CD154" s="1184"/>
      <c r="CE154" s="421"/>
      <c r="CF154" s="421"/>
      <c r="CG154" s="423"/>
      <c r="CH154" s="421"/>
      <c r="CI154" s="421"/>
      <c r="CJ154" s="421"/>
      <c r="CK154" s="421"/>
      <c r="CL154" s="423"/>
      <c r="CM154" s="421"/>
      <c r="CN154" s="421"/>
      <c r="CO154" s="421"/>
      <c r="CP154" s="421"/>
      <c r="CQ154" s="1248"/>
      <c r="CR154" s="1238">
        <f>SUM(CR145:CR153)</f>
        <v>1.0000000000000002</v>
      </c>
      <c r="CS154" s="421"/>
      <c r="CT154" s="421"/>
      <c r="CU154" s="421"/>
      <c r="CV154" s="421"/>
      <c r="CW154" s="1213">
        <f>SUM(CW145:CW153)</f>
        <v>1</v>
      </c>
      <c r="CX154" s="1216"/>
      <c r="CY154" s="1214"/>
      <c r="CZ154" s="1214"/>
      <c r="DA154" s="1217"/>
      <c r="DB154" s="1213">
        <f>SUM(DB145:DB153)</f>
        <v>1.0000000000000002</v>
      </c>
      <c r="DC154" s="1216"/>
      <c r="DD154" s="1214"/>
      <c r="DE154" s="1214"/>
      <c r="DF154" s="1217"/>
      <c r="DG154" s="1213">
        <f>SUM(DG145:DG153)</f>
        <v>1.0000000000000002</v>
      </c>
      <c r="DH154" s="1216"/>
      <c r="DI154" s="1214"/>
      <c r="DJ154" s="1214"/>
      <c r="DK154" s="1217"/>
      <c r="DL154" s="1213">
        <f>SUM(DL145:DL153)</f>
        <v>1.0000000000000002</v>
      </c>
      <c r="DM154" s="1216"/>
      <c r="DN154" s="1214"/>
      <c r="DO154" s="1214"/>
      <c r="DP154" s="1217"/>
      <c r="DQ154" s="1214"/>
      <c r="DR154" s="1214"/>
      <c r="DS154" s="1214"/>
      <c r="DT154" s="1214"/>
      <c r="DU154" s="1214"/>
      <c r="DV154" s="1214"/>
      <c r="DW154" s="1214"/>
      <c r="DX154" s="1214"/>
      <c r="DY154" s="1214"/>
      <c r="DZ154" s="1214"/>
      <c r="EA154" s="1214"/>
      <c r="EB154" s="1214"/>
      <c r="EC154" s="1214"/>
      <c r="ED154" s="1214"/>
      <c r="EE154" s="1214"/>
      <c r="EF154" s="1214"/>
      <c r="EG154" s="1214"/>
      <c r="EH154" s="1214"/>
      <c r="EI154" s="1214"/>
      <c r="EJ154" s="1214"/>
      <c r="EK154" s="1214"/>
      <c r="EL154" s="1214"/>
      <c r="EM154" s="1214"/>
      <c r="EN154" s="1214"/>
      <c r="EO154" s="1214"/>
      <c r="EP154" s="1214"/>
      <c r="EQ154" s="1214"/>
      <c r="ER154" s="1214"/>
      <c r="ES154" s="1214"/>
      <c r="ET154" s="1214"/>
      <c r="EU154" s="1214"/>
      <c r="EV154" s="1214"/>
      <c r="EW154" s="1214"/>
      <c r="EX154" s="1214"/>
      <c r="EY154" s="1214"/>
      <c r="EZ154" s="1214"/>
      <c r="FA154" s="1214"/>
      <c r="FB154" s="1214"/>
      <c r="FC154" s="1214"/>
      <c r="FD154" s="421"/>
      <c r="FF154" s="421"/>
      <c r="FG154"/>
      <c r="FH154"/>
      <c r="FI154"/>
      <c r="FJ154"/>
      <c r="FK154"/>
      <c r="FL154"/>
      <c r="FM154"/>
      <c r="FN154"/>
    </row>
    <row r="155" spans="1:170" ht="11.25" hidden="1" customHeight="1">
      <c r="A155" s="1628" t="s">
        <v>348</v>
      </c>
      <c r="B155" s="429"/>
      <c r="C155" s="429"/>
      <c r="D155" s="429"/>
      <c r="E155" s="429"/>
      <c r="F155" s="421"/>
      <c r="G155" s="429"/>
      <c r="H155" s="429"/>
      <c r="I155" s="429"/>
      <c r="J155" s="429"/>
      <c r="K155" s="421"/>
      <c r="L155" s="429"/>
      <c r="M155" s="429"/>
      <c r="N155" s="429"/>
      <c r="O155" s="429"/>
      <c r="P155" s="421"/>
      <c r="Q155" s="429"/>
      <c r="R155" s="429"/>
      <c r="S155" s="429"/>
      <c r="T155" s="429"/>
      <c r="U155" s="421"/>
      <c r="V155" s="429"/>
      <c r="W155" s="429"/>
      <c r="X155" s="429"/>
      <c r="Y155" s="429"/>
      <c r="Z155" s="421"/>
      <c r="AA155" s="429"/>
      <c r="AB155" s="429"/>
      <c r="AC155" s="429"/>
      <c r="AD155" s="429"/>
      <c r="AE155" s="421"/>
      <c r="AF155" s="429"/>
      <c r="AG155" s="429"/>
      <c r="AH155" s="429"/>
      <c r="AI155" s="429"/>
      <c r="AJ155" s="421"/>
      <c r="AK155" s="429"/>
      <c r="AL155" s="429"/>
      <c r="AM155" s="429"/>
      <c r="AN155" s="429"/>
      <c r="AO155" s="421"/>
      <c r="AP155" s="429"/>
      <c r="AQ155" s="429"/>
      <c r="AR155" s="429"/>
      <c r="AS155" s="429"/>
      <c r="AT155" s="421"/>
      <c r="AU155" s="429"/>
      <c r="AV155" s="429"/>
      <c r="AW155" s="429"/>
      <c r="AX155" s="429"/>
      <c r="AY155" s="421"/>
      <c r="AZ155" s="1185"/>
      <c r="BA155" s="429"/>
      <c r="BB155" s="429"/>
      <c r="BC155" s="429"/>
      <c r="BD155" s="421"/>
      <c r="BE155" s="1185"/>
      <c r="BF155" s="429"/>
      <c r="BG155" s="429"/>
      <c r="BH155" s="429"/>
      <c r="BI155" s="421"/>
      <c r="BJ155" s="1185"/>
      <c r="BK155" s="429"/>
      <c r="BL155" s="429"/>
      <c r="BM155" s="430"/>
      <c r="BN155" s="429"/>
      <c r="BO155" s="1186"/>
      <c r="BP155" s="429"/>
      <c r="BQ155" s="429"/>
      <c r="BR155" s="429"/>
      <c r="BS155" s="1187"/>
      <c r="BT155" s="1186"/>
      <c r="BU155" s="429"/>
      <c r="BV155" s="429"/>
      <c r="BW155" s="430"/>
      <c r="BX155" s="429"/>
      <c r="BY155" s="1184"/>
      <c r="BZ155" s="429"/>
      <c r="CA155" s="429"/>
      <c r="CB155" s="430"/>
      <c r="CC155" s="429"/>
      <c r="CD155" s="1184"/>
      <c r="CE155" s="429"/>
      <c r="CF155" s="429"/>
      <c r="CG155" s="430"/>
      <c r="CH155" s="429"/>
      <c r="CI155" s="429"/>
      <c r="CJ155" s="429"/>
      <c r="CK155" s="429"/>
      <c r="CL155" s="430"/>
      <c r="CM155" s="429"/>
      <c r="CN155" s="429"/>
      <c r="CO155" s="429"/>
      <c r="CP155" s="429"/>
      <c r="CQ155" s="1239"/>
      <c r="CR155" s="1239"/>
      <c r="CS155" s="429"/>
      <c r="CT155" s="429"/>
      <c r="CU155" s="429"/>
      <c r="CV155" s="429"/>
      <c r="CW155" s="1187"/>
      <c r="CX155" s="1185"/>
      <c r="CY155" s="429"/>
      <c r="CZ155" s="429"/>
      <c r="DA155" s="430"/>
      <c r="DB155" s="1187"/>
      <c r="DC155" s="1185"/>
      <c r="DD155" s="429"/>
      <c r="DE155" s="429"/>
      <c r="DF155" s="430"/>
      <c r="DG155" s="1187"/>
      <c r="DH155" s="1185"/>
      <c r="DI155" s="429"/>
      <c r="DJ155" s="429"/>
      <c r="DK155" s="430"/>
      <c r="DL155" s="1187"/>
      <c r="DM155" s="1185"/>
      <c r="DN155" s="429"/>
      <c r="DO155" s="429"/>
      <c r="DP155" s="430"/>
      <c r="DQ155" s="429"/>
      <c r="DR155" s="429"/>
      <c r="DS155" s="429"/>
      <c r="DT155" s="429"/>
      <c r="DU155" s="429"/>
      <c r="DV155" s="429"/>
      <c r="DW155" s="429"/>
      <c r="DX155" s="429"/>
      <c r="DY155" s="429"/>
      <c r="DZ155" s="429"/>
      <c r="EA155" s="429"/>
      <c r="EB155" s="429"/>
      <c r="EC155" s="429"/>
      <c r="ED155" s="429"/>
      <c r="EE155" s="429"/>
      <c r="EF155" s="429"/>
      <c r="EG155" s="429"/>
      <c r="EH155" s="429"/>
      <c r="EI155" s="429"/>
      <c r="EJ155" s="429"/>
      <c r="EK155" s="429"/>
      <c r="EL155" s="429"/>
      <c r="EM155" s="429"/>
      <c r="EN155" s="429"/>
      <c r="EO155" s="429"/>
      <c r="EP155" s="429"/>
      <c r="EQ155" s="429"/>
      <c r="ER155" s="429"/>
      <c r="ES155" s="429"/>
      <c r="ET155" s="429"/>
      <c r="EU155" s="429"/>
      <c r="EV155" s="429"/>
      <c r="EW155" s="429"/>
      <c r="EX155" s="429"/>
      <c r="EY155" s="429"/>
      <c r="EZ155" s="429"/>
      <c r="FA155" s="429"/>
      <c r="FB155" s="429"/>
      <c r="FC155" s="429"/>
      <c r="FD155" s="429"/>
      <c r="FF155" s="429"/>
      <c r="FG155"/>
      <c r="FH155"/>
      <c r="FI155"/>
      <c r="FJ155"/>
      <c r="FK155"/>
      <c r="FL155"/>
      <c r="FM155"/>
      <c r="FN155"/>
    </row>
    <row r="156" spans="1:170" ht="11.25" hidden="1" customHeight="1">
      <c r="A156" s="1626" t="s">
        <v>420</v>
      </c>
      <c r="B156" s="431">
        <v>1.7567000000000002</v>
      </c>
      <c r="C156" s="431">
        <v>1.8479999999999999</v>
      </c>
      <c r="D156" s="431">
        <v>1.8813333333333333</v>
      </c>
      <c r="E156" s="431">
        <v>1.9441333333333333</v>
      </c>
      <c r="F156" s="432"/>
      <c r="G156" s="431">
        <v>1.7567000000000002</v>
      </c>
      <c r="H156" s="431">
        <v>1.8479999999999999</v>
      </c>
      <c r="I156" s="431">
        <v>1.8813333333333333</v>
      </c>
      <c r="J156" s="431">
        <v>1.9441333333333333</v>
      </c>
      <c r="K156" s="432"/>
      <c r="L156" s="431">
        <v>1.7567000000000002</v>
      </c>
      <c r="M156" s="431">
        <v>1.8479999999999999</v>
      </c>
      <c r="N156" s="431">
        <v>1.8813333333333333</v>
      </c>
      <c r="O156" s="431">
        <v>1.9441333333333333</v>
      </c>
      <c r="P156" s="432"/>
      <c r="Q156" s="431">
        <v>1.7567000000000002</v>
      </c>
      <c r="R156" s="431">
        <v>1.8479999999999999</v>
      </c>
      <c r="S156" s="431">
        <v>1.8813333333333333</v>
      </c>
      <c r="T156" s="431">
        <v>1.9441333333333333</v>
      </c>
      <c r="U156" s="432"/>
      <c r="V156" s="431">
        <v>1.7567000000000002</v>
      </c>
      <c r="W156" s="431">
        <v>1.8479999999999999</v>
      </c>
      <c r="X156" s="431">
        <v>1.8813333333333333</v>
      </c>
      <c r="Y156" s="431">
        <v>1.9441333333333333</v>
      </c>
      <c r="Z156" s="432"/>
      <c r="AA156" s="431">
        <v>1.7567000000000002</v>
      </c>
      <c r="AB156" s="431">
        <v>1.8479999999999999</v>
      </c>
      <c r="AC156" s="431">
        <v>1.8813333333333333</v>
      </c>
      <c r="AD156" s="431">
        <v>1.9441333333333333</v>
      </c>
      <c r="AE156" s="432"/>
      <c r="AF156" s="431">
        <v>1.7567000000000002</v>
      </c>
      <c r="AG156" s="431">
        <v>1.8479999999999999</v>
      </c>
      <c r="AH156" s="431">
        <v>1.8813333333333333</v>
      </c>
      <c r="AI156" s="431">
        <v>1.9441333333333333</v>
      </c>
      <c r="AJ156" s="432"/>
      <c r="AK156" s="431">
        <v>1.7567000000000002</v>
      </c>
      <c r="AL156" s="431">
        <v>1.8479999999999999</v>
      </c>
      <c r="AM156" s="431">
        <v>1.8813333333333333</v>
      </c>
      <c r="AN156" s="431">
        <v>1.9441333333333333</v>
      </c>
      <c r="AO156" s="432"/>
      <c r="AP156" s="431">
        <v>1.7567000000000002</v>
      </c>
      <c r="AQ156" s="431">
        <v>1.8479999999999999</v>
      </c>
      <c r="AR156" s="431">
        <v>1.8813333333333333</v>
      </c>
      <c r="AS156" s="431">
        <v>1.9441333333333333</v>
      </c>
      <c r="AT156" s="432"/>
      <c r="AU156" s="431">
        <v>1.7567000000000002</v>
      </c>
      <c r="AV156" s="431">
        <v>1.8479999999999999</v>
      </c>
      <c r="AW156" s="431">
        <v>1.8813333333333333</v>
      </c>
      <c r="AX156" s="431">
        <v>1.9441333333333333</v>
      </c>
      <c r="AY156" s="432"/>
      <c r="AZ156" s="1188">
        <v>1.9657666666666664</v>
      </c>
      <c r="BA156" s="431">
        <v>2.0224666666666669</v>
      </c>
      <c r="BB156" s="431">
        <v>2.0324666666666666</v>
      </c>
      <c r="BC156" s="431">
        <v>2.0403666666666669</v>
      </c>
      <c r="BD156" s="432"/>
      <c r="BE156" s="1188">
        <v>1.9867000000000001</v>
      </c>
      <c r="BF156" s="431">
        <v>1.9870333333333334</v>
      </c>
      <c r="BG156" s="431">
        <v>1.9192040476190482</v>
      </c>
      <c r="BH156" s="431">
        <v>1.5672542857142857</v>
      </c>
      <c r="BI156" s="432"/>
      <c r="BJ156" s="1188">
        <v>1.437460769230769</v>
      </c>
      <c r="BK156" s="431">
        <v>1.5476392307692306</v>
      </c>
      <c r="BL156" s="433">
        <v>1.6381128571428571</v>
      </c>
      <c r="BM156" s="434">
        <v>1.6299042857142858</v>
      </c>
      <c r="BN156" s="1189">
        <v>1.5632792857142856</v>
      </c>
      <c r="BO156" s="1190">
        <v>1.5547728571428572</v>
      </c>
      <c r="BP156" s="433">
        <v>1.4928521428571428</v>
      </c>
      <c r="BQ156" s="433">
        <v>1.5511278571428573</v>
      </c>
      <c r="BR156" s="433">
        <v>1.5818015384615383</v>
      </c>
      <c r="BS156" s="1191">
        <v>1.5451385989010988</v>
      </c>
      <c r="BT156" s="1192">
        <v>1.6030484375000003</v>
      </c>
      <c r="BU156" s="433">
        <v>1.6313799999999996</v>
      </c>
      <c r="BV156" s="433">
        <v>1.6098469696969702</v>
      </c>
      <c r="BW156" s="434">
        <v>1.5720000000000005</v>
      </c>
      <c r="BX156" s="433"/>
      <c r="BY156" s="1192">
        <v>1.5718830769230767</v>
      </c>
      <c r="BZ156" s="524">
        <v>1.5827507692307692</v>
      </c>
      <c r="CA156" s="433">
        <v>1.5800400000000001</v>
      </c>
      <c r="CB156" s="433">
        <v>1.6059348484848484</v>
      </c>
      <c r="CC156" s="433"/>
      <c r="CD156" s="1192">
        <v>1.5522890625000005</v>
      </c>
      <c r="CE156" s="524">
        <v>1.53592</v>
      </c>
      <c r="CF156" s="524">
        <v>1.5511909090909091</v>
      </c>
      <c r="CG156" s="434">
        <v>1.6195227272727268</v>
      </c>
      <c r="CH156" s="433"/>
      <c r="CI156" s="433">
        <v>1.6478999999999999</v>
      </c>
      <c r="CJ156" s="433">
        <v>1.6833799999999999</v>
      </c>
      <c r="CK156" s="433">
        <v>1.6692313432835824</v>
      </c>
      <c r="CL156" s="434">
        <v>1.5828742424242424</v>
      </c>
      <c r="CM156" s="433"/>
      <c r="CN156" s="1190">
        <v>1.5148874999999999</v>
      </c>
      <c r="CO156" s="433">
        <v>1.5332723076923076</v>
      </c>
      <c r="CP156" s="433">
        <v>1.5489969696969699</v>
      </c>
      <c r="CQ156" s="1249">
        <v>1.5165848484848485</v>
      </c>
      <c r="CR156" s="1240">
        <f>AVERAGE(CN156:CQ156)</f>
        <v>1.5284354064685315</v>
      </c>
      <c r="CS156" s="814">
        <v>1.432127692307692</v>
      </c>
      <c r="CT156" s="433">
        <v>1.4484999999999999</v>
      </c>
      <c r="CU156" s="433">
        <v>1.3226333333333333</v>
      </c>
      <c r="CV156" s="433">
        <v>1.2573333333333332</v>
      </c>
      <c r="CW156" s="1209">
        <f>AVERAGE(CS156:CV156)</f>
        <v>1.3651485897435895</v>
      </c>
      <c r="CX156" s="1190">
        <v>1.2433000000000001</v>
      </c>
      <c r="CY156" s="1643">
        <v>1.2787333333333333</v>
      </c>
      <c r="CZ156" s="1643">
        <v>1.2906</v>
      </c>
      <c r="DA156" s="1173">
        <f>CZ156</f>
        <v>1.2906</v>
      </c>
      <c r="DB156" s="1209">
        <f>AVERAGE(CX156:DA156)</f>
        <v>1.2758083333333334</v>
      </c>
      <c r="DC156" s="1195">
        <f>DA156</f>
        <v>1.2906</v>
      </c>
      <c r="DD156" s="436">
        <f t="shared" ref="DD156:DF157" si="406">DC156</f>
        <v>1.2906</v>
      </c>
      <c r="DE156" s="436">
        <f t="shared" si="406"/>
        <v>1.2906</v>
      </c>
      <c r="DF156" s="1173">
        <f t="shared" si="406"/>
        <v>1.2906</v>
      </c>
      <c r="DG156" s="1209">
        <f>AVERAGE(DC156:DF156)</f>
        <v>1.2906</v>
      </c>
      <c r="DH156" s="1195">
        <f>DF156</f>
        <v>1.2906</v>
      </c>
      <c r="DI156" s="2523">
        <f t="shared" ref="DI156:DK157" si="407">DH156</f>
        <v>1.2906</v>
      </c>
      <c r="DJ156" s="2523">
        <f t="shared" si="407"/>
        <v>1.2906</v>
      </c>
      <c r="DK156" s="2522">
        <f t="shared" si="407"/>
        <v>1.2906</v>
      </c>
      <c r="DL156" s="1209">
        <f>AVERAGE(DH156:DK156)</f>
        <v>1.2906</v>
      </c>
      <c r="DM156" s="1195">
        <f>DK156</f>
        <v>1.2906</v>
      </c>
      <c r="DN156" s="2523">
        <f t="shared" ref="DN156:DP157" si="408">DM156</f>
        <v>1.2906</v>
      </c>
      <c r="DO156" s="2523">
        <f t="shared" si="408"/>
        <v>1.2906</v>
      </c>
      <c r="DP156" s="2522">
        <f t="shared" si="408"/>
        <v>1.2906</v>
      </c>
      <c r="DQ156" s="436"/>
      <c r="DR156" s="2523"/>
      <c r="DS156" s="2523"/>
      <c r="DT156" s="2523"/>
      <c r="DU156" s="2523"/>
      <c r="DV156" s="436"/>
      <c r="DW156" s="2523"/>
      <c r="DX156" s="2523"/>
      <c r="DY156" s="2523"/>
      <c r="DZ156" s="2523"/>
      <c r="EA156" s="436"/>
      <c r="EB156" s="2523"/>
      <c r="EC156" s="2523"/>
      <c r="ED156" s="2523"/>
      <c r="EE156" s="2523"/>
      <c r="EF156" s="436"/>
      <c r="EG156" s="2523"/>
      <c r="EH156" s="2523"/>
      <c r="EI156" s="2523"/>
      <c r="EJ156" s="2523"/>
      <c r="EK156" s="2523"/>
      <c r="EL156" s="2523"/>
      <c r="EM156" s="2523"/>
      <c r="EN156" s="2523"/>
      <c r="EO156" s="2523"/>
      <c r="EP156" s="2523"/>
      <c r="EQ156" s="2523"/>
      <c r="ER156" s="2523"/>
      <c r="ES156" s="2523"/>
      <c r="ET156" s="2523"/>
      <c r="EU156" s="2523"/>
      <c r="EV156" s="2523"/>
      <c r="EW156" s="2523"/>
      <c r="EX156" s="2523"/>
      <c r="EY156" s="2523"/>
      <c r="EZ156" s="2523"/>
      <c r="FA156" s="2523"/>
      <c r="FB156" s="2523"/>
      <c r="FC156" s="2523"/>
      <c r="FD156" s="816"/>
      <c r="FF156" s="816"/>
      <c r="FG156"/>
      <c r="FH156"/>
      <c r="FI156"/>
      <c r="FJ156"/>
      <c r="FK156"/>
      <c r="FL156"/>
      <c r="FM156"/>
      <c r="FN156"/>
    </row>
    <row r="157" spans="1:170" ht="11.25" hidden="1" customHeight="1">
      <c r="A157" s="1626" t="s">
        <v>421</v>
      </c>
      <c r="B157" s="435">
        <v>1.2011000000000001</v>
      </c>
      <c r="C157" s="435">
        <v>1.2744</v>
      </c>
      <c r="D157" s="435">
        <v>1.2719</v>
      </c>
      <c r="E157" s="435">
        <v>1.3068</v>
      </c>
      <c r="F157" s="432"/>
      <c r="G157" s="435">
        <v>1.2011000000000001</v>
      </c>
      <c r="H157" s="435">
        <v>1.2744</v>
      </c>
      <c r="I157" s="435">
        <v>1.2719</v>
      </c>
      <c r="J157" s="435">
        <v>1.3068</v>
      </c>
      <c r="K157" s="432"/>
      <c r="L157" s="435">
        <v>1.2011000000000001</v>
      </c>
      <c r="M157" s="435">
        <v>1.2744</v>
      </c>
      <c r="N157" s="435">
        <v>1.2719</v>
      </c>
      <c r="O157" s="435">
        <v>1.3068</v>
      </c>
      <c r="P157" s="432"/>
      <c r="Q157" s="435">
        <v>1.2011000000000001</v>
      </c>
      <c r="R157" s="435">
        <v>1.2744</v>
      </c>
      <c r="S157" s="435">
        <v>1.2719</v>
      </c>
      <c r="T157" s="435">
        <v>1.3068</v>
      </c>
      <c r="U157" s="432"/>
      <c r="V157" s="435">
        <v>1.2011000000000001</v>
      </c>
      <c r="W157" s="435">
        <v>1.2744</v>
      </c>
      <c r="X157" s="435">
        <v>1.2719</v>
      </c>
      <c r="Y157" s="435">
        <v>1.3068</v>
      </c>
      <c r="Z157" s="432"/>
      <c r="AA157" s="435">
        <v>1.2011000000000001</v>
      </c>
      <c r="AB157" s="435">
        <v>1.2744</v>
      </c>
      <c r="AC157" s="435">
        <v>1.2719</v>
      </c>
      <c r="AD157" s="435">
        <v>1.3068</v>
      </c>
      <c r="AE157" s="432"/>
      <c r="AF157" s="435">
        <v>1.2011000000000001</v>
      </c>
      <c r="AG157" s="435">
        <v>1.2744</v>
      </c>
      <c r="AH157" s="435">
        <v>1.2719</v>
      </c>
      <c r="AI157" s="435">
        <v>1.3068</v>
      </c>
      <c r="AJ157" s="432"/>
      <c r="AK157" s="435">
        <v>1.2011000000000001</v>
      </c>
      <c r="AL157" s="435">
        <v>1.2744</v>
      </c>
      <c r="AM157" s="435">
        <v>1.2719</v>
      </c>
      <c r="AN157" s="435">
        <v>1.3068</v>
      </c>
      <c r="AO157" s="432"/>
      <c r="AP157" s="435">
        <v>1.2011000000000001</v>
      </c>
      <c r="AQ157" s="435">
        <v>1.2744</v>
      </c>
      <c r="AR157" s="435">
        <v>1.2719</v>
      </c>
      <c r="AS157" s="435">
        <v>1.3068</v>
      </c>
      <c r="AT157" s="432"/>
      <c r="AU157" s="435">
        <v>1.2011000000000001</v>
      </c>
      <c r="AV157" s="435">
        <v>1.2744</v>
      </c>
      <c r="AW157" s="435">
        <v>1.2719</v>
      </c>
      <c r="AX157" s="435">
        <v>1.3068</v>
      </c>
      <c r="AY157" s="432"/>
      <c r="AZ157" s="1193">
        <v>1.32067</v>
      </c>
      <c r="BA157" s="435">
        <v>1.3547666666666665</v>
      </c>
      <c r="BB157" s="435">
        <v>1.3859000000000001</v>
      </c>
      <c r="BC157" s="435">
        <v>1.4570333333333334</v>
      </c>
      <c r="BD157" s="432"/>
      <c r="BE157" s="1193">
        <v>1.5276333333333334</v>
      </c>
      <c r="BF157" s="435">
        <v>1.5643666666666665</v>
      </c>
      <c r="BG157" s="435">
        <v>1.5208509523809524</v>
      </c>
      <c r="BH157" s="435">
        <v>1.3239457142857145</v>
      </c>
      <c r="BI157" s="432"/>
      <c r="BJ157" s="1193">
        <v>1.3079015384615384</v>
      </c>
      <c r="BK157" s="435">
        <v>1.3616592307692306</v>
      </c>
      <c r="BL157" s="433">
        <v>1.4306371428571427</v>
      </c>
      <c r="BM157" s="434">
        <v>1.4740207142857142</v>
      </c>
      <c r="BN157" s="1189">
        <v>1.3935546565934065</v>
      </c>
      <c r="BO157" s="1190">
        <v>1.3811485714285714</v>
      </c>
      <c r="BP157" s="433">
        <v>1.2737078571428573</v>
      </c>
      <c r="BQ157" s="433">
        <v>1.2941257142857143</v>
      </c>
      <c r="BR157" s="433">
        <v>1.3603284615384617</v>
      </c>
      <c r="BS157" s="1191">
        <v>1.3273276510989012</v>
      </c>
      <c r="BT157" s="1190">
        <v>1.3695734375000002</v>
      </c>
      <c r="BU157" s="433">
        <v>1.4398492307692305</v>
      </c>
      <c r="BV157" s="433">
        <v>1.4129030303030308</v>
      </c>
      <c r="BW157" s="434">
        <v>1.3473184615384617</v>
      </c>
      <c r="BX157" s="433"/>
      <c r="BY157" s="1190">
        <v>1.3118923076923079</v>
      </c>
      <c r="BZ157" s="524">
        <v>1.2832123076923077</v>
      </c>
      <c r="CA157" s="433">
        <v>1.2511230769230772</v>
      </c>
      <c r="CB157" s="433">
        <v>1.2976075757575758</v>
      </c>
      <c r="CC157" s="433"/>
      <c r="CD157" s="1190">
        <v>1.3200328124999998</v>
      </c>
      <c r="CE157" s="524">
        <v>1.3062153846153846</v>
      </c>
      <c r="CF157" s="524">
        <v>1.325430303030303</v>
      </c>
      <c r="CG157" s="434">
        <v>1.3615318181818181</v>
      </c>
      <c r="CH157" s="433"/>
      <c r="CI157" s="433">
        <v>1.3678000000000001</v>
      </c>
      <c r="CJ157" s="433">
        <v>1.3716461538461537</v>
      </c>
      <c r="CK157" s="433">
        <v>1.3248119402985075</v>
      </c>
      <c r="CL157" s="434">
        <v>1.2488378787878787</v>
      </c>
      <c r="CM157" s="433"/>
      <c r="CN157" s="1190">
        <v>1.1268124999999998</v>
      </c>
      <c r="CO157" s="433">
        <v>1.1068600000000002</v>
      </c>
      <c r="CP157" s="433">
        <v>1.1124636363636364</v>
      </c>
      <c r="CQ157" s="1249">
        <v>1.0951909090909091</v>
      </c>
      <c r="CR157" s="1240">
        <f t="shared" ref="CR157:CR164" si="409">AVERAGE(CN157:CQ157)</f>
        <v>1.1103317613636363</v>
      </c>
      <c r="CS157" s="814">
        <v>1.1040630769230766</v>
      </c>
      <c r="CT157" s="433">
        <v>1.1321000000000001</v>
      </c>
      <c r="CU157" s="433">
        <v>1.1146</v>
      </c>
      <c r="CV157" s="433">
        <v>1.0934999999999999</v>
      </c>
      <c r="CW157" s="1209">
        <f t="shared" ref="CW157:CW163" si="410">AVERAGE(CS157:CV157)</f>
        <v>1.1110657692307691</v>
      </c>
      <c r="CX157" s="1190">
        <v>1.0630333333333333</v>
      </c>
      <c r="CY157" s="1643">
        <v>1.0799999999999998</v>
      </c>
      <c r="CZ157" s="1643">
        <v>1.0873999999999999</v>
      </c>
      <c r="DA157" s="1173">
        <f>CZ157</f>
        <v>1.0873999999999999</v>
      </c>
      <c r="DB157" s="1209">
        <f t="shared" ref="DB157:DB163" si="411">AVERAGE(CX157:DA157)</f>
        <v>1.0794583333333332</v>
      </c>
      <c r="DC157" s="1195">
        <f t="shared" ref="DC157:DC163" si="412">DA157</f>
        <v>1.0873999999999999</v>
      </c>
      <c r="DD157" s="436">
        <f t="shared" si="406"/>
        <v>1.0873999999999999</v>
      </c>
      <c r="DE157" s="436">
        <f t="shared" si="406"/>
        <v>1.0873999999999999</v>
      </c>
      <c r="DF157" s="1173">
        <f t="shared" si="406"/>
        <v>1.0873999999999999</v>
      </c>
      <c r="DG157" s="1209">
        <f>AVERAGE(DC157:DF157)</f>
        <v>1.0873999999999999</v>
      </c>
      <c r="DH157" s="1195">
        <f>DF157</f>
        <v>1.0873999999999999</v>
      </c>
      <c r="DI157" s="2523">
        <f t="shared" si="407"/>
        <v>1.0873999999999999</v>
      </c>
      <c r="DJ157" s="2523">
        <f t="shared" si="407"/>
        <v>1.0873999999999999</v>
      </c>
      <c r="DK157" s="2522">
        <f t="shared" si="407"/>
        <v>1.0873999999999999</v>
      </c>
      <c r="DL157" s="1209">
        <f>AVERAGE(DH157:DK157)</f>
        <v>1.0873999999999999</v>
      </c>
      <c r="DM157" s="1195">
        <f>DK157</f>
        <v>1.0873999999999999</v>
      </c>
      <c r="DN157" s="2523">
        <f t="shared" si="408"/>
        <v>1.0873999999999999</v>
      </c>
      <c r="DO157" s="2523">
        <f t="shared" si="408"/>
        <v>1.0873999999999999</v>
      </c>
      <c r="DP157" s="2522">
        <f t="shared" si="408"/>
        <v>1.0873999999999999</v>
      </c>
      <c r="DQ157" s="436"/>
      <c r="DR157" s="2523"/>
      <c r="DS157" s="2523"/>
      <c r="DT157" s="2523"/>
      <c r="DU157" s="2523"/>
      <c r="DV157" s="436"/>
      <c r="DW157" s="2523"/>
      <c r="DX157" s="2523"/>
      <c r="DY157" s="2523"/>
      <c r="DZ157" s="2523"/>
      <c r="EA157" s="436"/>
      <c r="EB157" s="2523"/>
      <c r="EC157" s="2523"/>
      <c r="ED157" s="2523"/>
      <c r="EE157" s="2523"/>
      <c r="EF157" s="436"/>
      <c r="EG157" s="2523"/>
      <c r="EH157" s="2523"/>
      <c r="EI157" s="2523"/>
      <c r="EJ157" s="2523"/>
      <c r="EK157" s="2523"/>
      <c r="EL157" s="2523"/>
      <c r="EM157" s="2523"/>
      <c r="EN157" s="2523"/>
      <c r="EO157" s="2523"/>
      <c r="EP157" s="2523"/>
      <c r="EQ157" s="2523"/>
      <c r="ER157" s="2523"/>
      <c r="ES157" s="2523"/>
      <c r="ET157" s="2523"/>
      <c r="EU157" s="2523"/>
      <c r="EV157" s="2523"/>
      <c r="EW157" s="2523"/>
      <c r="EX157" s="2523"/>
      <c r="EY157" s="2523"/>
      <c r="EZ157" s="2523"/>
      <c r="FA157" s="2523"/>
      <c r="FB157" s="2523"/>
      <c r="FC157" s="2523"/>
      <c r="FD157" s="816"/>
      <c r="FF157" s="816"/>
      <c r="FG157"/>
      <c r="FH157"/>
      <c r="FI157"/>
      <c r="FJ157"/>
      <c r="FK157"/>
      <c r="FL157"/>
      <c r="FM157"/>
      <c r="FN157"/>
    </row>
    <row r="158" spans="1:170" ht="11.25" hidden="1" customHeight="1">
      <c r="A158" s="1626" t="s">
        <v>422</v>
      </c>
      <c r="B158" s="435">
        <v>1.2011000000000001</v>
      </c>
      <c r="C158" s="435">
        <v>1.2744</v>
      </c>
      <c r="D158" s="435">
        <v>1.2719</v>
      </c>
      <c r="E158" s="435">
        <v>1.3068</v>
      </c>
      <c r="F158" s="432"/>
      <c r="G158" s="435">
        <v>1.2011000000000001</v>
      </c>
      <c r="H158" s="435">
        <v>1.2744</v>
      </c>
      <c r="I158" s="435">
        <v>1.2719</v>
      </c>
      <c r="J158" s="435">
        <v>1.3068</v>
      </c>
      <c r="K158" s="432"/>
      <c r="L158" s="435">
        <v>1.2011000000000001</v>
      </c>
      <c r="M158" s="435">
        <v>1.2744</v>
      </c>
      <c r="N158" s="435">
        <v>1.2719</v>
      </c>
      <c r="O158" s="435">
        <v>1.3068</v>
      </c>
      <c r="P158" s="432"/>
      <c r="Q158" s="435">
        <v>1.2011000000000001</v>
      </c>
      <c r="R158" s="435">
        <v>1.2744</v>
      </c>
      <c r="S158" s="435">
        <v>1.2719</v>
      </c>
      <c r="T158" s="435">
        <v>1.3068</v>
      </c>
      <c r="U158" s="432"/>
      <c r="V158" s="435">
        <v>1.2011000000000001</v>
      </c>
      <c r="W158" s="435">
        <v>1.2744</v>
      </c>
      <c r="X158" s="435">
        <v>1.2719</v>
      </c>
      <c r="Y158" s="435">
        <v>1.3068</v>
      </c>
      <c r="Z158" s="432"/>
      <c r="AA158" s="435">
        <v>1.2011000000000001</v>
      </c>
      <c r="AB158" s="435">
        <v>1.2744</v>
      </c>
      <c r="AC158" s="435">
        <v>1.2719</v>
      </c>
      <c r="AD158" s="435">
        <v>1.3068</v>
      </c>
      <c r="AE158" s="432"/>
      <c r="AF158" s="435">
        <v>1.2011000000000001</v>
      </c>
      <c r="AG158" s="435">
        <v>1.2744</v>
      </c>
      <c r="AH158" s="435">
        <v>1.2719</v>
      </c>
      <c r="AI158" s="435">
        <v>1.3068</v>
      </c>
      <c r="AJ158" s="432"/>
      <c r="AK158" s="435">
        <v>1.2011000000000001</v>
      </c>
      <c r="AL158" s="435">
        <v>1.2744</v>
      </c>
      <c r="AM158" s="435">
        <v>1.2719</v>
      </c>
      <c r="AN158" s="435">
        <v>1.3068</v>
      </c>
      <c r="AO158" s="432"/>
      <c r="AP158" s="435">
        <v>1.2011000000000001</v>
      </c>
      <c r="AQ158" s="435">
        <v>1.2744</v>
      </c>
      <c r="AR158" s="435">
        <v>1.2719</v>
      </c>
      <c r="AS158" s="435">
        <v>1.3068</v>
      </c>
      <c r="AT158" s="432"/>
      <c r="AU158" s="435">
        <v>1.2011000000000001</v>
      </c>
      <c r="AV158" s="435">
        <v>1.2744</v>
      </c>
      <c r="AW158" s="435">
        <v>1.2719</v>
      </c>
      <c r="AX158" s="435">
        <v>1.3068</v>
      </c>
      <c r="AY158" s="432"/>
      <c r="AZ158" s="1193">
        <v>1.32067</v>
      </c>
      <c r="BA158" s="435">
        <v>1.3547666666666665</v>
      </c>
      <c r="BB158" s="435">
        <v>1.3859000000000001</v>
      </c>
      <c r="BC158" s="435">
        <v>1.4570333333333334</v>
      </c>
      <c r="BD158" s="432"/>
      <c r="BE158" s="1193">
        <v>1.5276333333333334</v>
      </c>
      <c r="BF158" s="435">
        <v>1.5643666666666665</v>
      </c>
      <c r="BG158" s="435">
        <v>1.5208509523809524</v>
      </c>
      <c r="BH158" s="435">
        <v>1.3239457142857145</v>
      </c>
      <c r="BI158" s="432"/>
      <c r="BJ158" s="1193">
        <v>1.3079015384615384</v>
      </c>
      <c r="BK158" s="435">
        <v>1.3616592307692306</v>
      </c>
      <c r="BL158" s="435">
        <v>1.4306371428571427</v>
      </c>
      <c r="BM158" s="437">
        <v>1.4740207142857142</v>
      </c>
      <c r="BN158" s="435">
        <v>1.3935546565934065</v>
      </c>
      <c r="BO158" s="1193">
        <v>1.3811485714285714</v>
      </c>
      <c r="BP158" s="435">
        <v>1.2737078571428573</v>
      </c>
      <c r="BQ158" s="435">
        <v>1.2941257142857143</v>
      </c>
      <c r="BR158" s="433">
        <v>1.3603284615384617</v>
      </c>
      <c r="BS158" s="1194">
        <f t="shared" ref="BS158:CA158" si="413">+BS157</f>
        <v>1.3273276510989012</v>
      </c>
      <c r="BT158" s="1195">
        <f t="shared" si="413"/>
        <v>1.3695734375000002</v>
      </c>
      <c r="BU158" s="436">
        <f t="shared" si="413"/>
        <v>1.4398492307692305</v>
      </c>
      <c r="BV158" s="436">
        <f t="shared" si="413"/>
        <v>1.4129030303030308</v>
      </c>
      <c r="BW158" s="1173">
        <f t="shared" si="413"/>
        <v>1.3473184615384617</v>
      </c>
      <c r="BX158" s="436"/>
      <c r="BY158" s="1195">
        <f t="shared" si="413"/>
        <v>1.3118923076923079</v>
      </c>
      <c r="BZ158" s="436">
        <f t="shared" si="413"/>
        <v>1.2832123076923077</v>
      </c>
      <c r="CA158" s="436">
        <f t="shared" si="413"/>
        <v>1.2511230769230772</v>
      </c>
      <c r="CB158" s="436">
        <f t="shared" ref="CB158:CI158" si="414">+CB157</f>
        <v>1.2976075757575758</v>
      </c>
      <c r="CC158" s="436"/>
      <c r="CD158" s="1195">
        <f t="shared" si="414"/>
        <v>1.3200328124999998</v>
      </c>
      <c r="CE158" s="436">
        <f t="shared" si="414"/>
        <v>1.3062153846153846</v>
      </c>
      <c r="CF158" s="436">
        <f t="shared" si="414"/>
        <v>1.325430303030303</v>
      </c>
      <c r="CG158" s="1173">
        <f t="shared" si="414"/>
        <v>1.3615318181818181</v>
      </c>
      <c r="CH158" s="436"/>
      <c r="CI158" s="436">
        <f t="shared" si="414"/>
        <v>1.3678000000000001</v>
      </c>
      <c r="CJ158" s="436">
        <f>CJ157</f>
        <v>1.3716461538461537</v>
      </c>
      <c r="CK158" s="436">
        <f>CK157</f>
        <v>1.3248119402985075</v>
      </c>
      <c r="CL158" s="1173">
        <v>1.2526847605224964</v>
      </c>
      <c r="CM158" s="436"/>
      <c r="CN158" s="1195">
        <f t="shared" ref="CN158:CU158" si="415">+CN157</f>
        <v>1.1268124999999998</v>
      </c>
      <c r="CO158" s="436">
        <f t="shared" si="415"/>
        <v>1.1068600000000002</v>
      </c>
      <c r="CP158" s="436">
        <f t="shared" si="415"/>
        <v>1.1124636363636364</v>
      </c>
      <c r="CQ158" s="1240">
        <f t="shared" si="415"/>
        <v>1.0951909090909091</v>
      </c>
      <c r="CR158" s="1240">
        <f t="shared" si="409"/>
        <v>1.1103317613636363</v>
      </c>
      <c r="CS158" s="436">
        <f t="shared" si="415"/>
        <v>1.1040630769230766</v>
      </c>
      <c r="CT158" s="436">
        <f t="shared" si="415"/>
        <v>1.1321000000000001</v>
      </c>
      <c r="CU158" s="436">
        <f t="shared" si="415"/>
        <v>1.1146</v>
      </c>
      <c r="CV158" s="436">
        <f t="shared" ref="CV158:DP158" si="416">+CV157</f>
        <v>1.0934999999999999</v>
      </c>
      <c r="CW158" s="1209">
        <f t="shared" si="416"/>
        <v>1.1110657692307691</v>
      </c>
      <c r="CX158" s="1195">
        <f t="shared" si="416"/>
        <v>1.0630333333333333</v>
      </c>
      <c r="CY158" s="436">
        <f t="shared" si="416"/>
        <v>1.0799999999999998</v>
      </c>
      <c r="CZ158" s="436">
        <f t="shared" si="416"/>
        <v>1.0873999999999999</v>
      </c>
      <c r="DA158" s="1173">
        <f t="shared" si="416"/>
        <v>1.0873999999999999</v>
      </c>
      <c r="DB158" s="1209">
        <f t="shared" si="416"/>
        <v>1.0794583333333332</v>
      </c>
      <c r="DC158" s="1195">
        <f t="shared" si="416"/>
        <v>1.0873999999999999</v>
      </c>
      <c r="DD158" s="436">
        <f t="shared" si="416"/>
        <v>1.0873999999999999</v>
      </c>
      <c r="DE158" s="436">
        <f t="shared" si="416"/>
        <v>1.0873999999999999</v>
      </c>
      <c r="DF158" s="1173">
        <f t="shared" si="416"/>
        <v>1.0873999999999999</v>
      </c>
      <c r="DG158" s="1209">
        <f t="shared" si="416"/>
        <v>1.0873999999999999</v>
      </c>
      <c r="DH158" s="1195">
        <f t="shared" si="416"/>
        <v>1.0873999999999999</v>
      </c>
      <c r="DI158" s="2523">
        <f t="shared" si="416"/>
        <v>1.0873999999999999</v>
      </c>
      <c r="DJ158" s="2523">
        <f t="shared" si="416"/>
        <v>1.0873999999999999</v>
      </c>
      <c r="DK158" s="2522">
        <f t="shared" si="416"/>
        <v>1.0873999999999999</v>
      </c>
      <c r="DL158" s="1209">
        <f t="shared" si="416"/>
        <v>1.0873999999999999</v>
      </c>
      <c r="DM158" s="1195">
        <f t="shared" si="416"/>
        <v>1.0873999999999999</v>
      </c>
      <c r="DN158" s="2523">
        <f t="shared" si="416"/>
        <v>1.0873999999999999</v>
      </c>
      <c r="DO158" s="2523">
        <f t="shared" si="416"/>
        <v>1.0873999999999999</v>
      </c>
      <c r="DP158" s="2522">
        <f t="shared" si="416"/>
        <v>1.0873999999999999</v>
      </c>
      <c r="DQ158" s="436"/>
      <c r="DR158" s="2523"/>
      <c r="DS158" s="2523"/>
      <c r="DT158" s="2523"/>
      <c r="DU158" s="2523"/>
      <c r="DV158" s="436"/>
      <c r="DW158" s="2523"/>
      <c r="DX158" s="2523"/>
      <c r="DY158" s="2523"/>
      <c r="DZ158" s="2523"/>
      <c r="EA158" s="436"/>
      <c r="EB158" s="2523"/>
      <c r="EC158" s="2523"/>
      <c r="ED158" s="2523"/>
      <c r="EE158" s="2523"/>
      <c r="EF158" s="436"/>
      <c r="EG158" s="2523"/>
      <c r="EH158" s="2523"/>
      <c r="EI158" s="2523"/>
      <c r="EJ158" s="2523"/>
      <c r="EK158" s="2523"/>
      <c r="EL158" s="2523"/>
      <c r="EM158" s="2523"/>
      <c r="EN158" s="2523"/>
      <c r="EO158" s="2523"/>
      <c r="EP158" s="2523"/>
      <c r="EQ158" s="2523"/>
      <c r="ER158" s="2523"/>
      <c r="ES158" s="2523"/>
      <c r="ET158" s="2523"/>
      <c r="EU158" s="2523"/>
      <c r="EV158" s="2523"/>
      <c r="EW158" s="2523"/>
      <c r="EX158" s="2523"/>
      <c r="EY158" s="2523"/>
      <c r="EZ158" s="2523"/>
      <c r="FA158" s="2523"/>
      <c r="FB158" s="2523"/>
      <c r="FC158" s="2523"/>
      <c r="FD158" s="436"/>
      <c r="FF158" s="436"/>
      <c r="FG158"/>
      <c r="FH158"/>
      <c r="FI158"/>
      <c r="FJ158"/>
      <c r="FK158"/>
      <c r="FL158"/>
      <c r="FM158"/>
      <c r="FN158"/>
    </row>
    <row r="159" spans="1:170" ht="11.25" hidden="1" customHeight="1">
      <c r="A159" s="1626" t="s">
        <v>423</v>
      </c>
      <c r="B159" s="435">
        <v>8.0394000000000005</v>
      </c>
      <c r="C159" s="435">
        <v>8.0085999999999995</v>
      </c>
      <c r="D159" s="435">
        <v>7.941933333333334</v>
      </c>
      <c r="E159" s="435">
        <v>7.8391666666666664</v>
      </c>
      <c r="F159" s="432"/>
      <c r="G159" s="435">
        <v>8.0394000000000005</v>
      </c>
      <c r="H159" s="435">
        <v>8.0085999999999995</v>
      </c>
      <c r="I159" s="435">
        <v>7.941933333333334</v>
      </c>
      <c r="J159" s="435">
        <v>7.8391666666666664</v>
      </c>
      <c r="K159" s="432"/>
      <c r="L159" s="435">
        <v>8.0394000000000005</v>
      </c>
      <c r="M159" s="435">
        <v>8.0085999999999995</v>
      </c>
      <c r="N159" s="435">
        <v>7.941933333333334</v>
      </c>
      <c r="O159" s="435">
        <v>7.8391666666666664</v>
      </c>
      <c r="P159" s="432"/>
      <c r="Q159" s="435">
        <v>8.0394000000000005</v>
      </c>
      <c r="R159" s="435">
        <v>8.0085999999999995</v>
      </c>
      <c r="S159" s="435">
        <v>7.941933333333334</v>
      </c>
      <c r="T159" s="435">
        <v>7.8391666666666664</v>
      </c>
      <c r="U159" s="432"/>
      <c r="V159" s="435">
        <v>8.0394000000000005</v>
      </c>
      <c r="W159" s="435">
        <v>8.0085999999999995</v>
      </c>
      <c r="X159" s="435">
        <v>7.941933333333334</v>
      </c>
      <c r="Y159" s="435">
        <v>7.8391666666666664</v>
      </c>
      <c r="Z159" s="432"/>
      <c r="AA159" s="435">
        <v>8.0394000000000005</v>
      </c>
      <c r="AB159" s="435">
        <v>8.0085999999999995</v>
      </c>
      <c r="AC159" s="435">
        <v>7.941933333333334</v>
      </c>
      <c r="AD159" s="435">
        <v>7.8391666666666664</v>
      </c>
      <c r="AE159" s="432"/>
      <c r="AF159" s="435">
        <v>8.0394000000000005</v>
      </c>
      <c r="AG159" s="435">
        <v>8.0085999999999995</v>
      </c>
      <c r="AH159" s="435">
        <v>7.941933333333334</v>
      </c>
      <c r="AI159" s="435">
        <v>7.8391666666666664</v>
      </c>
      <c r="AJ159" s="432"/>
      <c r="AK159" s="435">
        <v>8.0394000000000005</v>
      </c>
      <c r="AL159" s="435">
        <v>8.0085999999999995</v>
      </c>
      <c r="AM159" s="435">
        <v>7.941933333333334</v>
      </c>
      <c r="AN159" s="435">
        <v>7.8391666666666664</v>
      </c>
      <c r="AO159" s="432"/>
      <c r="AP159" s="435">
        <v>8.0394000000000005</v>
      </c>
      <c r="AQ159" s="435">
        <v>8.0085999999999995</v>
      </c>
      <c r="AR159" s="435">
        <v>7.941933333333334</v>
      </c>
      <c r="AS159" s="435">
        <v>7.8391666666666664</v>
      </c>
      <c r="AT159" s="432"/>
      <c r="AU159" s="435">
        <v>8.0394000000000005</v>
      </c>
      <c r="AV159" s="435">
        <v>8.0085999999999995</v>
      </c>
      <c r="AW159" s="435">
        <v>7.941933333333334</v>
      </c>
      <c r="AX159" s="435">
        <v>7.8391666666666664</v>
      </c>
      <c r="AY159" s="432"/>
      <c r="AZ159" s="1193">
        <v>7.7475333333333332</v>
      </c>
      <c r="BA159" s="435">
        <v>7.6582666666666661</v>
      </c>
      <c r="BB159" s="435">
        <v>7.5430333333333337</v>
      </c>
      <c r="BC159" s="435">
        <v>7.3853333333333326</v>
      </c>
      <c r="BD159" s="432"/>
      <c r="BE159" s="1193">
        <v>7.1017666666666663</v>
      </c>
      <c r="BF159" s="435">
        <v>6.9280333333333344</v>
      </c>
      <c r="BG159" s="435">
        <v>6.8347936666666671</v>
      </c>
      <c r="BH159" s="435">
        <v>6.8272807142857133</v>
      </c>
      <c r="BI159" s="432"/>
      <c r="BJ159" s="1193">
        <v>6.8253753846153842</v>
      </c>
      <c r="BK159" s="435">
        <v>6.8199215384615384</v>
      </c>
      <c r="BL159" s="433">
        <v>6.8211579999999996</v>
      </c>
      <c r="BM159" s="434">
        <v>6.8183692857142848</v>
      </c>
      <c r="BN159" s="1189">
        <v>6.8212060521978017</v>
      </c>
      <c r="BO159" s="1190">
        <v>6.8191628571428575</v>
      </c>
      <c r="BP159" s="433">
        <v>6.8116007142857145</v>
      </c>
      <c r="BQ159" s="433">
        <v>6.7561607142857136</v>
      </c>
      <c r="BR159" s="433">
        <v>6.6490038461538461</v>
      </c>
      <c r="BS159" s="1191">
        <v>6.7589820329670331</v>
      </c>
      <c r="BT159" s="1192">
        <v>6.5829781250000003</v>
      </c>
      <c r="BU159" s="433">
        <v>6.499455384615386</v>
      </c>
      <c r="BV159" s="433">
        <v>6.4167409090909091</v>
      </c>
      <c r="BW159" s="434">
        <v>6.3569123076923093</v>
      </c>
      <c r="BX159" s="433"/>
      <c r="BY159" s="1192">
        <v>6.3090430769230776</v>
      </c>
      <c r="BZ159" s="433">
        <v>6.3303399999999987</v>
      </c>
      <c r="CA159" s="433">
        <v>6.3517169230769213</v>
      </c>
      <c r="CB159" s="433">
        <v>6.2412590163934443</v>
      </c>
      <c r="CC159" s="433"/>
      <c r="CD159" s="1192">
        <v>6.2241265624999977</v>
      </c>
      <c r="CE159" s="433">
        <v>6.1551629032258059</v>
      </c>
      <c r="CF159" s="433">
        <v>6.1254424242424248</v>
      </c>
      <c r="CG159" s="434">
        <v>6.0908787878787898</v>
      </c>
      <c r="CH159" s="433"/>
      <c r="CI159" s="433">
        <v>6.1</v>
      </c>
      <c r="CJ159" s="433">
        <v>6.2315907692307713</v>
      </c>
      <c r="CK159" s="433">
        <v>6.1650484848484819</v>
      </c>
      <c r="CL159" s="434">
        <v>6.1488954545454533</v>
      </c>
      <c r="CM159" s="433"/>
      <c r="CN159" s="1190">
        <v>6.2363765625000012</v>
      </c>
      <c r="CO159" s="433">
        <v>6.2040048387096807</v>
      </c>
      <c r="CP159" s="433">
        <v>6.3034848484848487</v>
      </c>
      <c r="CQ159" s="1249">
        <v>6.3948095238095259</v>
      </c>
      <c r="CR159" s="1240">
        <f t="shared" si="409"/>
        <v>6.2846689433760137</v>
      </c>
      <c r="CS159" s="814">
        <v>6.5382830508474585</v>
      </c>
      <c r="CT159" s="433">
        <v>6.5056666666666665</v>
      </c>
      <c r="CU159" s="433">
        <v>6.6540999999999997</v>
      </c>
      <c r="CV159" s="433">
        <v>6.7790000000000008</v>
      </c>
      <c r="CW159" s="1209">
        <f t="shared" si="410"/>
        <v>6.6192624293785309</v>
      </c>
      <c r="CX159" s="1190">
        <v>6.9033000000000007</v>
      </c>
      <c r="CY159" s="1643">
        <v>6.894333333333333</v>
      </c>
      <c r="CZ159" s="1643">
        <v>6.8978999999999999</v>
      </c>
      <c r="DA159" s="1173">
        <f>CZ159</f>
        <v>6.8978999999999999</v>
      </c>
      <c r="DB159" s="1209">
        <f t="shared" si="411"/>
        <v>6.8983583333333334</v>
      </c>
      <c r="DC159" s="1195">
        <f t="shared" si="412"/>
        <v>6.8978999999999999</v>
      </c>
      <c r="DD159" s="436">
        <f t="shared" ref="DD159:DF163" si="417">DC159</f>
        <v>6.8978999999999999</v>
      </c>
      <c r="DE159" s="436">
        <f t="shared" si="417"/>
        <v>6.8978999999999999</v>
      </c>
      <c r="DF159" s="1173">
        <f t="shared" si="417"/>
        <v>6.8978999999999999</v>
      </c>
      <c r="DG159" s="1209">
        <f>AVERAGE(DC159:DF159)</f>
        <v>6.8978999999999999</v>
      </c>
      <c r="DH159" s="1195">
        <f>DF159</f>
        <v>6.8978999999999999</v>
      </c>
      <c r="DI159" s="2523">
        <f t="shared" ref="DI159:DK163" si="418">DH159</f>
        <v>6.8978999999999999</v>
      </c>
      <c r="DJ159" s="2523">
        <f t="shared" si="418"/>
        <v>6.8978999999999999</v>
      </c>
      <c r="DK159" s="2522">
        <f t="shared" si="418"/>
        <v>6.8978999999999999</v>
      </c>
      <c r="DL159" s="1209">
        <f>AVERAGE(DH159:DK159)</f>
        <v>6.8978999999999999</v>
      </c>
      <c r="DM159" s="1195">
        <f>DK159</f>
        <v>6.8978999999999999</v>
      </c>
      <c r="DN159" s="2523">
        <f t="shared" ref="DN159:DP163" si="419">DM159</f>
        <v>6.8978999999999999</v>
      </c>
      <c r="DO159" s="2523">
        <f t="shared" si="419"/>
        <v>6.8978999999999999</v>
      </c>
      <c r="DP159" s="2522">
        <f t="shared" si="419"/>
        <v>6.8978999999999999</v>
      </c>
      <c r="DQ159" s="436"/>
      <c r="DR159" s="2523"/>
      <c r="DS159" s="2523"/>
      <c r="DT159" s="2523"/>
      <c r="DU159" s="2523"/>
      <c r="DV159" s="436"/>
      <c r="DW159" s="2523"/>
      <c r="DX159" s="2523"/>
      <c r="DY159" s="2523"/>
      <c r="DZ159" s="2523"/>
      <c r="EA159" s="436"/>
      <c r="EB159" s="2523"/>
      <c r="EC159" s="2523"/>
      <c r="ED159" s="2523"/>
      <c r="EE159" s="2523"/>
      <c r="EF159" s="436"/>
      <c r="EG159" s="2523"/>
      <c r="EH159" s="2523"/>
      <c r="EI159" s="2523"/>
      <c r="EJ159" s="2523"/>
      <c r="EK159" s="2523"/>
      <c r="EL159" s="2523"/>
      <c r="EM159" s="2523"/>
      <c r="EN159" s="2523"/>
      <c r="EO159" s="2523"/>
      <c r="EP159" s="2523"/>
      <c r="EQ159" s="2523"/>
      <c r="ER159" s="2523"/>
      <c r="ES159" s="2523"/>
      <c r="ET159" s="2523"/>
      <c r="EU159" s="2523"/>
      <c r="EV159" s="2523"/>
      <c r="EW159" s="2523"/>
      <c r="EX159" s="2523"/>
      <c r="EY159" s="2523"/>
      <c r="EZ159" s="2523"/>
      <c r="FA159" s="2523"/>
      <c r="FB159" s="2523"/>
      <c r="FC159" s="2523"/>
      <c r="FD159" s="816"/>
      <c r="FF159" s="816"/>
      <c r="FG159"/>
      <c r="FH159"/>
      <c r="FI159"/>
      <c r="FJ159"/>
      <c r="FK159"/>
      <c r="FL159"/>
      <c r="FM159"/>
      <c r="FN159"/>
    </row>
    <row r="160" spans="1:170" ht="11.25" hidden="1" customHeight="1">
      <c r="A160" s="1626" t="s">
        <v>424</v>
      </c>
      <c r="B160" s="435">
        <v>0.73896666666666666</v>
      </c>
      <c r="C160" s="435">
        <v>0.7513333333333333</v>
      </c>
      <c r="D160" s="435">
        <v>0.75863333333333338</v>
      </c>
      <c r="E160" s="435">
        <v>0.78376666666666672</v>
      </c>
      <c r="F160" s="432"/>
      <c r="G160" s="435">
        <v>0.73896666666666666</v>
      </c>
      <c r="H160" s="435">
        <v>0.7513333333333333</v>
      </c>
      <c r="I160" s="435">
        <v>0.75863333333333338</v>
      </c>
      <c r="J160" s="435">
        <v>0.78376666666666672</v>
      </c>
      <c r="K160" s="432"/>
      <c r="L160" s="435">
        <v>0.73896666666666666</v>
      </c>
      <c r="M160" s="435">
        <v>0.7513333333333333</v>
      </c>
      <c r="N160" s="435">
        <v>0.75863333333333338</v>
      </c>
      <c r="O160" s="435">
        <v>0.78376666666666672</v>
      </c>
      <c r="P160" s="432"/>
      <c r="Q160" s="435">
        <v>0.73896666666666666</v>
      </c>
      <c r="R160" s="435">
        <v>0.7513333333333333</v>
      </c>
      <c r="S160" s="435">
        <v>0.75863333333333338</v>
      </c>
      <c r="T160" s="435">
        <v>0.78376666666666672</v>
      </c>
      <c r="U160" s="432"/>
      <c r="V160" s="435">
        <v>0.73896666666666666</v>
      </c>
      <c r="W160" s="435">
        <v>0.7513333333333333</v>
      </c>
      <c r="X160" s="435">
        <v>0.75863333333333338</v>
      </c>
      <c r="Y160" s="435">
        <v>0.78376666666666672</v>
      </c>
      <c r="Z160" s="432"/>
      <c r="AA160" s="435">
        <v>0.73896666666666666</v>
      </c>
      <c r="AB160" s="435">
        <v>0.7513333333333333</v>
      </c>
      <c r="AC160" s="435">
        <v>0.75863333333333338</v>
      </c>
      <c r="AD160" s="435">
        <v>0.78376666666666672</v>
      </c>
      <c r="AE160" s="432"/>
      <c r="AF160" s="435">
        <v>0.73896666666666666</v>
      </c>
      <c r="AG160" s="435">
        <v>0.7513333333333333</v>
      </c>
      <c r="AH160" s="435">
        <v>0.75863333333333338</v>
      </c>
      <c r="AI160" s="435">
        <v>0.78376666666666672</v>
      </c>
      <c r="AJ160" s="432"/>
      <c r="AK160" s="435">
        <v>0.73896666666666666</v>
      </c>
      <c r="AL160" s="435">
        <v>0.7513333333333333</v>
      </c>
      <c r="AM160" s="435">
        <v>0.75863333333333338</v>
      </c>
      <c r="AN160" s="435">
        <v>0.78376666666666672</v>
      </c>
      <c r="AO160" s="432"/>
      <c r="AP160" s="435">
        <v>0.73896666666666666</v>
      </c>
      <c r="AQ160" s="435">
        <v>0.7513333333333333</v>
      </c>
      <c r="AR160" s="435">
        <v>0.75863333333333338</v>
      </c>
      <c r="AS160" s="435">
        <v>0.78376666666666672</v>
      </c>
      <c r="AT160" s="432"/>
      <c r="AU160" s="435">
        <v>0.73896666666666666</v>
      </c>
      <c r="AV160" s="435">
        <v>0.7513333333333333</v>
      </c>
      <c r="AW160" s="435">
        <v>0.75863333333333338</v>
      </c>
      <c r="AX160" s="435">
        <v>0.78376666666666672</v>
      </c>
      <c r="AY160" s="432"/>
      <c r="AZ160" s="1193">
        <v>0.79113333333333336</v>
      </c>
      <c r="BA160" s="435">
        <v>0.83576666666666666</v>
      </c>
      <c r="BB160" s="435">
        <v>0.85246666666666659</v>
      </c>
      <c r="BC160" s="435">
        <v>0.89789999999999992</v>
      </c>
      <c r="BD160" s="432"/>
      <c r="BE160" s="1193">
        <v>0.91320000000000012</v>
      </c>
      <c r="BF160" s="435">
        <v>0.95220000000000005</v>
      </c>
      <c r="BG160" s="435">
        <v>0.90933866666666674</v>
      </c>
      <c r="BH160" s="435">
        <v>0.67340000000000011</v>
      </c>
      <c r="BI160" s="432"/>
      <c r="BJ160" s="1193">
        <v>0.6654723076923077</v>
      </c>
      <c r="BK160" s="435">
        <v>0.75955000000000006</v>
      </c>
      <c r="BL160" s="433">
        <v>0.82951099999999989</v>
      </c>
      <c r="BM160" s="434">
        <v>0.90701428571428566</v>
      </c>
      <c r="BN160" s="1189">
        <v>0.79038689835164833</v>
      </c>
      <c r="BO160" s="1190">
        <v>0.90315428571428558</v>
      </c>
      <c r="BP160" s="433">
        <v>0.88139500000000004</v>
      </c>
      <c r="BQ160" s="433">
        <v>0.90644785714285703</v>
      </c>
      <c r="BR160" s="433">
        <v>0.9869484615384615</v>
      </c>
      <c r="BS160" s="1191">
        <v>0.91948640109890112</v>
      </c>
      <c r="BT160" s="1192">
        <v>1.0057843750000002</v>
      </c>
      <c r="BU160" s="433">
        <v>1.0629415384615382</v>
      </c>
      <c r="BV160" s="433">
        <v>1.0497409090909093</v>
      </c>
      <c r="BW160" s="434">
        <v>1.0128923076923078</v>
      </c>
      <c r="BX160" s="433"/>
      <c r="BY160" s="1192">
        <v>1.055616923076923</v>
      </c>
      <c r="BZ160" s="433">
        <v>1.009896923076923</v>
      </c>
      <c r="CA160" s="433">
        <v>1.0392076923076923</v>
      </c>
      <c r="CB160" s="433">
        <v>1.0383863636363639</v>
      </c>
      <c r="CC160" s="433"/>
      <c r="CD160" s="1192">
        <v>1.0391538461538461</v>
      </c>
      <c r="CE160" s="433">
        <v>0.99156567164179099</v>
      </c>
      <c r="CF160" s="433">
        <v>0.91614848484848466</v>
      </c>
      <c r="CG160" s="434">
        <v>0.92737424242424249</v>
      </c>
      <c r="CH160" s="433"/>
      <c r="CI160" s="433">
        <v>0.9</v>
      </c>
      <c r="CJ160" s="433">
        <v>0.93308615384615379</v>
      </c>
      <c r="CK160" s="433">
        <v>0.9246641791044774</v>
      </c>
      <c r="CL160" s="434">
        <v>0.85467878787878782</v>
      </c>
      <c r="CM160" s="433"/>
      <c r="CN160" s="1190">
        <v>0.78656249999999994</v>
      </c>
      <c r="CO160" s="433">
        <v>0.77799230769230765</v>
      </c>
      <c r="CP160" s="433">
        <v>0.72545606060606072</v>
      </c>
      <c r="CQ160" s="1249">
        <v>0.72043181818181812</v>
      </c>
      <c r="CR160" s="1240">
        <f t="shared" si="409"/>
        <v>0.75261067162004647</v>
      </c>
      <c r="CS160" s="814">
        <v>0.72303076923076914</v>
      </c>
      <c r="CT160" s="433">
        <v>0.74980000000000002</v>
      </c>
      <c r="CU160" s="433">
        <v>0.75213333333333343</v>
      </c>
      <c r="CV160" s="433">
        <v>0.75526666666666664</v>
      </c>
      <c r="CW160" s="1209">
        <f t="shared" si="410"/>
        <v>0.74505769230769225</v>
      </c>
      <c r="CX160" s="1190">
        <v>0.74833333333333341</v>
      </c>
      <c r="CY160" s="1643">
        <v>0.75216666666666665</v>
      </c>
      <c r="CZ160" s="1643">
        <v>0.74680000000000002</v>
      </c>
      <c r="DA160" s="1173">
        <f>CZ160</f>
        <v>0.74680000000000002</v>
      </c>
      <c r="DB160" s="1209">
        <f t="shared" si="411"/>
        <v>0.748525</v>
      </c>
      <c r="DC160" s="1195">
        <f t="shared" si="412"/>
        <v>0.74680000000000002</v>
      </c>
      <c r="DD160" s="436">
        <f t="shared" si="417"/>
        <v>0.74680000000000002</v>
      </c>
      <c r="DE160" s="436">
        <f t="shared" si="417"/>
        <v>0.74680000000000002</v>
      </c>
      <c r="DF160" s="1173">
        <f t="shared" si="417"/>
        <v>0.74680000000000002</v>
      </c>
      <c r="DG160" s="1209">
        <f>AVERAGE(DC160:DF160)</f>
        <v>0.74680000000000002</v>
      </c>
      <c r="DH160" s="1195">
        <f>DF160</f>
        <v>0.74680000000000002</v>
      </c>
      <c r="DI160" s="2523">
        <f t="shared" si="418"/>
        <v>0.74680000000000002</v>
      </c>
      <c r="DJ160" s="2523">
        <f t="shared" si="418"/>
        <v>0.74680000000000002</v>
      </c>
      <c r="DK160" s="2522">
        <f t="shared" si="418"/>
        <v>0.74680000000000002</v>
      </c>
      <c r="DL160" s="1209">
        <f>AVERAGE(DH160:DK160)</f>
        <v>0.74680000000000002</v>
      </c>
      <c r="DM160" s="1195">
        <f>DK160</f>
        <v>0.74680000000000002</v>
      </c>
      <c r="DN160" s="2523">
        <f t="shared" si="419"/>
        <v>0.74680000000000002</v>
      </c>
      <c r="DO160" s="2523">
        <f t="shared" si="419"/>
        <v>0.74680000000000002</v>
      </c>
      <c r="DP160" s="2522">
        <f t="shared" si="419"/>
        <v>0.74680000000000002</v>
      </c>
      <c r="DQ160" s="436"/>
      <c r="DR160" s="2523"/>
      <c r="DS160" s="2523"/>
      <c r="DT160" s="2523"/>
      <c r="DU160" s="2523"/>
      <c r="DV160" s="436"/>
      <c r="DW160" s="2523"/>
      <c r="DX160" s="2523"/>
      <c r="DY160" s="2523"/>
      <c r="DZ160" s="2523"/>
      <c r="EA160" s="436"/>
      <c r="EB160" s="2523"/>
      <c r="EC160" s="2523"/>
      <c r="ED160" s="2523"/>
      <c r="EE160" s="2523"/>
      <c r="EF160" s="436"/>
      <c r="EG160" s="2523"/>
      <c r="EH160" s="2523"/>
      <c r="EI160" s="2523"/>
      <c r="EJ160" s="2523"/>
      <c r="EK160" s="2523"/>
      <c r="EL160" s="2523"/>
      <c r="EM160" s="2523"/>
      <c r="EN160" s="2523"/>
      <c r="EO160" s="2523"/>
      <c r="EP160" s="2523"/>
      <c r="EQ160" s="2523"/>
      <c r="ER160" s="2523"/>
      <c r="ES160" s="2523"/>
      <c r="ET160" s="2523"/>
      <c r="EU160" s="2523"/>
      <c r="EV160" s="2523"/>
      <c r="EW160" s="2523"/>
      <c r="EX160" s="2523"/>
      <c r="EY160" s="2523"/>
      <c r="EZ160" s="2523"/>
      <c r="FA160" s="2523"/>
      <c r="FB160" s="2523"/>
      <c r="FC160" s="2523"/>
      <c r="FD160" s="816"/>
      <c r="FF160" s="816"/>
      <c r="FG160"/>
      <c r="FH160"/>
      <c r="FI160"/>
      <c r="FJ160"/>
      <c r="FK160"/>
      <c r="FL160"/>
      <c r="FM160"/>
      <c r="FN160"/>
    </row>
    <row r="161" spans="1:170" ht="11.25" hidden="1" customHeight="1">
      <c r="A161" s="1626" t="s">
        <v>425</v>
      </c>
      <c r="B161" s="435">
        <v>116.92</v>
      </c>
      <c r="C161" s="435">
        <v>113.63</v>
      </c>
      <c r="D161" s="435">
        <v>116.75</v>
      </c>
      <c r="E161" s="435">
        <v>117.283</v>
      </c>
      <c r="F161" s="432"/>
      <c r="G161" s="435">
        <v>116.92</v>
      </c>
      <c r="H161" s="435">
        <v>113.63</v>
      </c>
      <c r="I161" s="435">
        <v>116.75</v>
      </c>
      <c r="J161" s="435">
        <v>117.283</v>
      </c>
      <c r="K161" s="432"/>
      <c r="L161" s="435">
        <v>116.92</v>
      </c>
      <c r="M161" s="435">
        <v>113.63</v>
      </c>
      <c r="N161" s="435">
        <v>116.75</v>
      </c>
      <c r="O161" s="435">
        <v>117.283</v>
      </c>
      <c r="P161" s="432"/>
      <c r="Q161" s="435">
        <v>116.92</v>
      </c>
      <c r="R161" s="435">
        <v>113.63</v>
      </c>
      <c r="S161" s="435">
        <v>116.75</v>
      </c>
      <c r="T161" s="435">
        <v>117.283</v>
      </c>
      <c r="U161" s="432"/>
      <c r="V161" s="435">
        <v>116.92</v>
      </c>
      <c r="W161" s="435">
        <v>113.63</v>
      </c>
      <c r="X161" s="435">
        <v>116.75</v>
      </c>
      <c r="Y161" s="435">
        <v>117.283</v>
      </c>
      <c r="Z161" s="432"/>
      <c r="AA161" s="435">
        <v>116.92</v>
      </c>
      <c r="AB161" s="435">
        <v>113.63</v>
      </c>
      <c r="AC161" s="435">
        <v>116.75</v>
      </c>
      <c r="AD161" s="435">
        <v>117.283</v>
      </c>
      <c r="AE161" s="432"/>
      <c r="AF161" s="435">
        <v>116.92</v>
      </c>
      <c r="AG161" s="435">
        <v>113.63</v>
      </c>
      <c r="AH161" s="435">
        <v>116.75</v>
      </c>
      <c r="AI161" s="435">
        <v>117.283</v>
      </c>
      <c r="AJ161" s="432"/>
      <c r="AK161" s="435">
        <v>116.92</v>
      </c>
      <c r="AL161" s="435">
        <v>113.63</v>
      </c>
      <c r="AM161" s="435">
        <v>116.75</v>
      </c>
      <c r="AN161" s="435">
        <v>117.283</v>
      </c>
      <c r="AO161" s="432"/>
      <c r="AP161" s="435">
        <v>116.92</v>
      </c>
      <c r="AQ161" s="435">
        <v>113.63</v>
      </c>
      <c r="AR161" s="435">
        <v>116.75</v>
      </c>
      <c r="AS161" s="435">
        <v>117.283</v>
      </c>
      <c r="AT161" s="432"/>
      <c r="AU161" s="435">
        <v>116.92</v>
      </c>
      <c r="AV161" s="435">
        <v>113.63</v>
      </c>
      <c r="AW161" s="435">
        <v>116.75</v>
      </c>
      <c r="AX161" s="435">
        <v>117.283</v>
      </c>
      <c r="AY161" s="432"/>
      <c r="AZ161" s="1193">
        <v>119.02667</v>
      </c>
      <c r="BA161" s="435">
        <v>121.14333333333333</v>
      </c>
      <c r="BB161" s="435">
        <v>116.39333333333333</v>
      </c>
      <c r="BC161" s="435">
        <v>112.79</v>
      </c>
      <c r="BD161" s="432"/>
      <c r="BE161" s="1193">
        <v>103.29333333333334</v>
      </c>
      <c r="BF161" s="435">
        <v>105.21666666666665</v>
      </c>
      <c r="BG161" s="435">
        <v>107.90308823809524</v>
      </c>
      <c r="BH161" s="435">
        <v>95.868437142857147</v>
      </c>
      <c r="BI161" s="432"/>
      <c r="BJ161" s="1193">
        <v>93.513607692307687</v>
      </c>
      <c r="BK161" s="435">
        <v>97.444918461538464</v>
      </c>
      <c r="BL161" s="433">
        <v>93.424748571428566</v>
      </c>
      <c r="BM161" s="434">
        <v>89.930900714285713</v>
      </c>
      <c r="BN161" s="1189">
        <v>93.578543859890104</v>
      </c>
      <c r="BO161" s="1190">
        <v>90.849746428571407</v>
      </c>
      <c r="BP161" s="433">
        <v>91.825119999999998</v>
      </c>
      <c r="BQ161" s="433">
        <v>85.735285000000005</v>
      </c>
      <c r="BR161" s="433">
        <v>82.552726153846152</v>
      </c>
      <c r="BS161" s="1191">
        <v>87.740719395604401</v>
      </c>
      <c r="BT161" s="1192">
        <v>82.254062499999989</v>
      </c>
      <c r="BU161" s="433">
        <v>81.571692307692317</v>
      </c>
      <c r="BV161" s="433">
        <v>77.690757575757559</v>
      </c>
      <c r="BW161" s="434">
        <v>77.361076923076908</v>
      </c>
      <c r="BX161" s="433"/>
      <c r="BY161" s="1192">
        <v>79.371538461538449</v>
      </c>
      <c r="BZ161" s="433">
        <v>80.088615384615366</v>
      </c>
      <c r="CA161" s="433">
        <v>78.619230769230768</v>
      </c>
      <c r="CB161" s="433">
        <v>81.24909090909091</v>
      </c>
      <c r="CC161" s="433"/>
      <c r="CD161" s="1192">
        <v>92.283076923076891</v>
      </c>
      <c r="CE161" s="433">
        <v>98.865074626865692</v>
      </c>
      <c r="CF161" s="433">
        <v>98.885303030303035</v>
      </c>
      <c r="CG161" s="434">
        <v>100.47727272727275</v>
      </c>
      <c r="CH161" s="433"/>
      <c r="CI161" s="433">
        <v>102.83</v>
      </c>
      <c r="CJ161" s="433">
        <v>102.13892307692305</v>
      </c>
      <c r="CK161" s="433">
        <v>104.06731343283583</v>
      </c>
      <c r="CL161" s="434">
        <v>114.53863636363633</v>
      </c>
      <c r="CM161" s="433"/>
      <c r="CN161" s="1190">
        <v>119.17093749999997</v>
      </c>
      <c r="CO161" s="433">
        <v>121.35507692307695</v>
      </c>
      <c r="CP161" s="433">
        <v>122.15984848484844</v>
      </c>
      <c r="CQ161" s="1249">
        <v>121.44060606060607</v>
      </c>
      <c r="CR161" s="1240">
        <f t="shared" si="409"/>
        <v>121.03161724213285</v>
      </c>
      <c r="CS161" s="815">
        <v>115.23184615384613</v>
      </c>
      <c r="CT161" s="433">
        <v>109.93333333333334</v>
      </c>
      <c r="CU161" s="433">
        <v>102.89666666666666</v>
      </c>
      <c r="CV161" s="433">
        <v>106.87666666666667</v>
      </c>
      <c r="CW161" s="1209">
        <f t="shared" si="410"/>
        <v>108.7346282051282</v>
      </c>
      <c r="CX161" s="1190">
        <v>114.17666666666666</v>
      </c>
      <c r="CY161" s="1643">
        <v>111.27</v>
      </c>
      <c r="CZ161" s="1643">
        <v>111.21</v>
      </c>
      <c r="DA161" s="1173">
        <f>CZ161</f>
        <v>111.21</v>
      </c>
      <c r="DB161" s="1209">
        <f t="shared" si="411"/>
        <v>111.96666666666665</v>
      </c>
      <c r="DC161" s="1195">
        <f t="shared" si="412"/>
        <v>111.21</v>
      </c>
      <c r="DD161" s="436">
        <f t="shared" si="417"/>
        <v>111.21</v>
      </c>
      <c r="DE161" s="436">
        <f t="shared" si="417"/>
        <v>111.21</v>
      </c>
      <c r="DF161" s="1173">
        <f t="shared" si="417"/>
        <v>111.21</v>
      </c>
      <c r="DG161" s="1209">
        <f>AVERAGE(DC161:DF161)</f>
        <v>111.21</v>
      </c>
      <c r="DH161" s="1195">
        <f>DF161</f>
        <v>111.21</v>
      </c>
      <c r="DI161" s="2523">
        <f t="shared" si="418"/>
        <v>111.21</v>
      </c>
      <c r="DJ161" s="2523">
        <f t="shared" si="418"/>
        <v>111.21</v>
      </c>
      <c r="DK161" s="2522">
        <f t="shared" si="418"/>
        <v>111.21</v>
      </c>
      <c r="DL161" s="1209">
        <f>AVERAGE(DH161:DK161)</f>
        <v>111.21</v>
      </c>
      <c r="DM161" s="1195">
        <f>DK161</f>
        <v>111.21</v>
      </c>
      <c r="DN161" s="2523">
        <f t="shared" si="419"/>
        <v>111.21</v>
      </c>
      <c r="DO161" s="2523">
        <f t="shared" si="419"/>
        <v>111.21</v>
      </c>
      <c r="DP161" s="2522">
        <f t="shared" si="419"/>
        <v>111.21</v>
      </c>
      <c r="DQ161" s="436"/>
      <c r="DR161" s="2523"/>
      <c r="DS161" s="2523"/>
      <c r="DT161" s="2523"/>
      <c r="DU161" s="2523"/>
      <c r="DV161" s="436"/>
      <c r="DW161" s="2523"/>
      <c r="DX161" s="2523"/>
      <c r="DY161" s="2523"/>
      <c r="DZ161" s="2523"/>
      <c r="EA161" s="436"/>
      <c r="EB161" s="2523"/>
      <c r="EC161" s="2523"/>
      <c r="ED161" s="2523"/>
      <c r="EE161" s="2523"/>
      <c r="EF161" s="436"/>
      <c r="EG161" s="2523"/>
      <c r="EH161" s="2523"/>
      <c r="EI161" s="2523"/>
      <c r="EJ161" s="2523"/>
      <c r="EK161" s="2523"/>
      <c r="EL161" s="2523"/>
      <c r="EM161" s="2523"/>
      <c r="EN161" s="2523"/>
      <c r="EO161" s="2523"/>
      <c r="EP161" s="2523"/>
      <c r="EQ161" s="2523"/>
      <c r="ER161" s="2523"/>
      <c r="ES161" s="2523"/>
      <c r="ET161" s="2523"/>
      <c r="EU161" s="2523"/>
      <c r="EV161" s="2523"/>
      <c r="EW161" s="2523"/>
      <c r="EX161" s="2523"/>
      <c r="EY161" s="2523"/>
      <c r="EZ161" s="2523"/>
      <c r="FA161" s="2523"/>
      <c r="FB161" s="2523"/>
      <c r="FC161" s="2523"/>
      <c r="FD161" s="816"/>
      <c r="FF161" s="816"/>
      <c r="FG161"/>
      <c r="FH161"/>
      <c r="FI161"/>
      <c r="FJ161"/>
      <c r="FK161"/>
      <c r="FL161"/>
      <c r="FM161"/>
      <c r="FN161"/>
    </row>
    <row r="162" spans="1:170" ht="11.25" hidden="1" customHeight="1">
      <c r="A162" s="1626" t="s">
        <v>432</v>
      </c>
      <c r="B162" s="435"/>
      <c r="C162" s="435"/>
      <c r="D162" s="435"/>
      <c r="E162" s="435"/>
      <c r="F162" s="432"/>
      <c r="G162" s="435"/>
      <c r="H162" s="435"/>
      <c r="I162" s="435"/>
      <c r="J162" s="435"/>
      <c r="K162" s="432"/>
      <c r="L162" s="435"/>
      <c r="M162" s="435"/>
      <c r="N162" s="435"/>
      <c r="O162" s="435"/>
      <c r="P162" s="432"/>
      <c r="Q162" s="435"/>
      <c r="R162" s="435"/>
      <c r="S162" s="435"/>
      <c r="T162" s="435"/>
      <c r="U162" s="432"/>
      <c r="V162" s="435"/>
      <c r="W162" s="435"/>
      <c r="X162" s="435"/>
      <c r="Y162" s="435"/>
      <c r="Z162" s="432"/>
      <c r="AA162" s="435"/>
      <c r="AB162" s="435"/>
      <c r="AC162" s="435"/>
      <c r="AD162" s="435"/>
      <c r="AE162" s="432"/>
      <c r="AF162" s="435"/>
      <c r="AG162" s="435"/>
      <c r="AH162" s="435"/>
      <c r="AI162" s="435"/>
      <c r="AJ162" s="432"/>
      <c r="AK162" s="435"/>
      <c r="AL162" s="435"/>
      <c r="AM162" s="435"/>
      <c r="AN162" s="435"/>
      <c r="AO162" s="432"/>
      <c r="AP162" s="435"/>
      <c r="AQ162" s="435"/>
      <c r="AR162" s="435"/>
      <c r="AS162" s="435"/>
      <c r="AT162" s="432"/>
      <c r="AU162" s="435"/>
      <c r="AV162" s="435"/>
      <c r="AW162" s="435"/>
      <c r="AX162" s="435"/>
      <c r="AY162" s="432"/>
      <c r="AZ162" s="1193"/>
      <c r="BA162" s="435"/>
      <c r="BB162" s="435"/>
      <c r="BC162" s="435"/>
      <c r="BD162" s="432"/>
      <c r="BE162" s="1193"/>
      <c r="BF162" s="435"/>
      <c r="BG162" s="435"/>
      <c r="BH162" s="435"/>
      <c r="BI162" s="432"/>
      <c r="BJ162" s="1193"/>
      <c r="BK162" s="435"/>
      <c r="BL162" s="433"/>
      <c r="BM162" s="434"/>
      <c r="BN162" s="1189"/>
      <c r="BO162" s="1190"/>
      <c r="BP162" s="433"/>
      <c r="BQ162" s="433"/>
      <c r="BR162" s="433"/>
      <c r="BS162" s="1191"/>
      <c r="BT162" s="1192"/>
      <c r="BU162" s="433"/>
      <c r="BV162" s="433"/>
      <c r="BW162" s="434"/>
      <c r="BX162" s="433"/>
      <c r="BY162" s="1192"/>
      <c r="BZ162" s="433"/>
      <c r="CA162" s="433"/>
      <c r="CB162" s="433"/>
      <c r="CC162" s="433"/>
      <c r="CD162" s="1192"/>
      <c r="CE162" s="433"/>
      <c r="CF162" s="433"/>
      <c r="CG162" s="434"/>
      <c r="CH162" s="433"/>
      <c r="CI162" s="433">
        <v>2.3640819672131141</v>
      </c>
      <c r="CJ162" s="433">
        <v>2.2287098360655744</v>
      </c>
      <c r="CK162" s="433">
        <v>2.2748090909090908</v>
      </c>
      <c r="CL162" s="434">
        <v>2.5473123076923074</v>
      </c>
      <c r="CM162" s="433"/>
      <c r="CN162" s="1190">
        <v>2.8725852459016386</v>
      </c>
      <c r="CO162" s="433">
        <v>3.0700508196721326</v>
      </c>
      <c r="CP162" s="433">
        <v>3.5368461538461538</v>
      </c>
      <c r="CQ162" s="1249">
        <v>3.8446999999999996</v>
      </c>
      <c r="CR162" s="1240">
        <f t="shared" si="409"/>
        <v>3.3310455548549811</v>
      </c>
      <c r="CS162" s="814">
        <v>3.8989606557377035</v>
      </c>
      <c r="CT162" s="433">
        <v>3.546533333333334</v>
      </c>
      <c r="CU162" s="433">
        <v>3.2295333333333338</v>
      </c>
      <c r="CV162" s="433">
        <v>3.2805999999999997</v>
      </c>
      <c r="CW162" s="1209">
        <f t="shared" si="410"/>
        <v>3.4889068306010929</v>
      </c>
      <c r="CX162" s="1190">
        <v>3.1949333333333336</v>
      </c>
      <c r="CY162" s="1643">
        <v>3.161</v>
      </c>
      <c r="CZ162" s="1643">
        <v>3.1804999999999999</v>
      </c>
      <c r="DA162" s="1173">
        <f>CZ162</f>
        <v>3.1804999999999999</v>
      </c>
      <c r="DB162" s="1209">
        <f t="shared" si="411"/>
        <v>3.1792333333333334</v>
      </c>
      <c r="DC162" s="1195">
        <f t="shared" si="412"/>
        <v>3.1804999999999999</v>
      </c>
      <c r="DD162" s="436">
        <f t="shared" si="417"/>
        <v>3.1804999999999999</v>
      </c>
      <c r="DE162" s="436">
        <f t="shared" si="417"/>
        <v>3.1804999999999999</v>
      </c>
      <c r="DF162" s="1173">
        <f t="shared" si="417"/>
        <v>3.1804999999999999</v>
      </c>
      <c r="DG162" s="1209">
        <f>AVERAGE(DC162:DF162)</f>
        <v>3.1804999999999999</v>
      </c>
      <c r="DH162" s="1195">
        <f>DF162</f>
        <v>3.1804999999999999</v>
      </c>
      <c r="DI162" s="2523">
        <f t="shared" si="418"/>
        <v>3.1804999999999999</v>
      </c>
      <c r="DJ162" s="2523">
        <f t="shared" si="418"/>
        <v>3.1804999999999999</v>
      </c>
      <c r="DK162" s="2522">
        <f t="shared" si="418"/>
        <v>3.1804999999999999</v>
      </c>
      <c r="DL162" s="1209">
        <f>AVERAGE(DH162:DK162)</f>
        <v>3.1804999999999999</v>
      </c>
      <c r="DM162" s="1195">
        <f>DK162</f>
        <v>3.1804999999999999</v>
      </c>
      <c r="DN162" s="2523">
        <f t="shared" si="419"/>
        <v>3.1804999999999999</v>
      </c>
      <c r="DO162" s="2523">
        <f t="shared" si="419"/>
        <v>3.1804999999999999</v>
      </c>
      <c r="DP162" s="2522">
        <f t="shared" si="419"/>
        <v>3.1804999999999999</v>
      </c>
      <c r="DQ162" s="436"/>
      <c r="DR162" s="2523"/>
      <c r="DS162" s="2523"/>
      <c r="DT162" s="2523"/>
      <c r="DU162" s="2523"/>
      <c r="DV162" s="436"/>
      <c r="DW162" s="2523"/>
      <c r="DX162" s="2523"/>
      <c r="DY162" s="2523"/>
      <c r="DZ162" s="2523"/>
      <c r="EA162" s="436"/>
      <c r="EB162" s="2523"/>
      <c r="EC162" s="2523"/>
      <c r="ED162" s="2523"/>
      <c r="EE162" s="2523"/>
      <c r="EF162" s="436"/>
      <c r="EG162" s="2523"/>
      <c r="EH162" s="2523"/>
      <c r="EI162" s="2523"/>
      <c r="EJ162" s="2523"/>
      <c r="EK162" s="2523"/>
      <c r="EL162" s="2523"/>
      <c r="EM162" s="2523"/>
      <c r="EN162" s="2523"/>
      <c r="EO162" s="2523"/>
      <c r="EP162" s="2523"/>
      <c r="EQ162" s="2523"/>
      <c r="ER162" s="2523"/>
      <c r="ES162" s="2523"/>
      <c r="ET162" s="2523"/>
      <c r="EU162" s="2523"/>
      <c r="EV162" s="2523"/>
      <c r="EW162" s="2523"/>
      <c r="EX162" s="2523"/>
      <c r="EY162" s="2523"/>
      <c r="EZ162" s="2523"/>
      <c r="FA162" s="2523"/>
      <c r="FB162" s="2523"/>
      <c r="FC162" s="2523"/>
      <c r="FD162" s="816"/>
      <c r="FF162" s="816"/>
      <c r="FG162"/>
      <c r="FH162"/>
      <c r="FI162"/>
      <c r="FJ162"/>
      <c r="FK162"/>
      <c r="FL162"/>
      <c r="FM162"/>
      <c r="FN162"/>
    </row>
    <row r="163" spans="1:170" ht="11.25" hidden="1" customHeight="1">
      <c r="A163" s="1626" t="s">
        <v>433</v>
      </c>
      <c r="B163" s="435"/>
      <c r="C163" s="435"/>
      <c r="D163" s="435"/>
      <c r="E163" s="435"/>
      <c r="F163" s="432"/>
      <c r="G163" s="435"/>
      <c r="H163" s="435"/>
      <c r="I163" s="435"/>
      <c r="J163" s="435"/>
      <c r="K163" s="432"/>
      <c r="L163" s="435"/>
      <c r="M163" s="435"/>
      <c r="N163" s="435"/>
      <c r="O163" s="435"/>
      <c r="P163" s="432"/>
      <c r="Q163" s="435"/>
      <c r="R163" s="435"/>
      <c r="S163" s="435"/>
      <c r="T163" s="435"/>
      <c r="U163" s="432"/>
      <c r="V163" s="435"/>
      <c r="W163" s="435"/>
      <c r="X163" s="435"/>
      <c r="Y163" s="435"/>
      <c r="Z163" s="432"/>
      <c r="AA163" s="435"/>
      <c r="AB163" s="435"/>
      <c r="AC163" s="435"/>
      <c r="AD163" s="435"/>
      <c r="AE163" s="432"/>
      <c r="AF163" s="435"/>
      <c r="AG163" s="435"/>
      <c r="AH163" s="435"/>
      <c r="AI163" s="435"/>
      <c r="AJ163" s="432"/>
      <c r="AK163" s="435"/>
      <c r="AL163" s="435"/>
      <c r="AM163" s="435"/>
      <c r="AN163" s="435"/>
      <c r="AO163" s="432"/>
      <c r="AP163" s="435"/>
      <c r="AQ163" s="435"/>
      <c r="AR163" s="435"/>
      <c r="AS163" s="435"/>
      <c r="AT163" s="432"/>
      <c r="AU163" s="435"/>
      <c r="AV163" s="435"/>
      <c r="AW163" s="435"/>
      <c r="AX163" s="435"/>
      <c r="AY163" s="432"/>
      <c r="AZ163" s="1193"/>
      <c r="BA163" s="435"/>
      <c r="BB163" s="435"/>
      <c r="BC163" s="435"/>
      <c r="BD163" s="432"/>
      <c r="BE163" s="1193"/>
      <c r="BF163" s="435"/>
      <c r="BG163" s="435"/>
      <c r="BH163" s="435"/>
      <c r="BI163" s="432"/>
      <c r="BJ163" s="1193"/>
      <c r="BK163" s="435"/>
      <c r="BL163" s="433"/>
      <c r="BM163" s="434"/>
      <c r="BN163" s="1189"/>
      <c r="BO163" s="1190"/>
      <c r="BP163" s="433"/>
      <c r="BQ163" s="433"/>
      <c r="BR163" s="433"/>
      <c r="BS163" s="1191"/>
      <c r="BT163" s="1192"/>
      <c r="BU163" s="433"/>
      <c r="BV163" s="433"/>
      <c r="BW163" s="434"/>
      <c r="BX163" s="433"/>
      <c r="BY163" s="1192"/>
      <c r="BZ163" s="433"/>
      <c r="CA163" s="433"/>
      <c r="CB163" s="433"/>
      <c r="CC163" s="433"/>
      <c r="CD163" s="1192"/>
      <c r="CE163" s="433"/>
      <c r="CF163" s="433"/>
      <c r="CG163" s="434"/>
      <c r="CH163" s="433"/>
      <c r="CI163" s="433">
        <v>13.232631249999999</v>
      </c>
      <c r="CJ163" s="433">
        <v>12.993715384615387</v>
      </c>
      <c r="CK163" s="433">
        <v>13.121545454545453</v>
      </c>
      <c r="CL163" s="434">
        <v>13.900775757575758</v>
      </c>
      <c r="CM163" s="433"/>
      <c r="CN163" s="1190">
        <v>14.952985937500003</v>
      </c>
      <c r="CO163" s="433">
        <v>15.323735384615386</v>
      </c>
      <c r="CP163" s="433">
        <v>16.443006060606063</v>
      </c>
      <c r="CQ163" s="1249">
        <v>16.767598484848488</v>
      </c>
      <c r="CR163" s="1240">
        <f t="shared" si="409"/>
        <v>15.871831466892484</v>
      </c>
      <c r="CS163" s="814">
        <v>18.031743076923085</v>
      </c>
      <c r="CT163" s="433">
        <v>17.641066666666667</v>
      </c>
      <c r="CU163" s="433">
        <v>18.605566666666668</v>
      </c>
      <c r="CV163" s="433">
        <v>19.607900000000001</v>
      </c>
      <c r="CW163" s="1209">
        <f t="shared" si="410"/>
        <v>18.471569102564104</v>
      </c>
      <c r="CX163" s="1190">
        <v>20.556133333333332</v>
      </c>
      <c r="CY163" s="1643">
        <v>18.944433333333333</v>
      </c>
      <c r="CZ163" s="1643">
        <v>19.054200000000002</v>
      </c>
      <c r="DA163" s="1173">
        <f>CZ163</f>
        <v>19.054200000000002</v>
      </c>
      <c r="DB163" s="1209">
        <f t="shared" si="411"/>
        <v>19.402241666666669</v>
      </c>
      <c r="DC163" s="1195">
        <f t="shared" si="412"/>
        <v>19.054200000000002</v>
      </c>
      <c r="DD163" s="436">
        <f t="shared" si="417"/>
        <v>19.054200000000002</v>
      </c>
      <c r="DE163" s="436">
        <f t="shared" si="417"/>
        <v>19.054200000000002</v>
      </c>
      <c r="DF163" s="1173">
        <f t="shared" si="417"/>
        <v>19.054200000000002</v>
      </c>
      <c r="DG163" s="1209">
        <f>AVERAGE(DC163:DF163)</f>
        <v>19.054200000000002</v>
      </c>
      <c r="DH163" s="1195">
        <f>DF163</f>
        <v>19.054200000000002</v>
      </c>
      <c r="DI163" s="2523">
        <f t="shared" si="418"/>
        <v>19.054200000000002</v>
      </c>
      <c r="DJ163" s="2523">
        <f t="shared" si="418"/>
        <v>19.054200000000002</v>
      </c>
      <c r="DK163" s="2522">
        <f t="shared" si="418"/>
        <v>19.054200000000002</v>
      </c>
      <c r="DL163" s="1209">
        <f>AVERAGE(DH163:DK163)</f>
        <v>19.054200000000002</v>
      </c>
      <c r="DM163" s="1195">
        <f>DK163</f>
        <v>19.054200000000002</v>
      </c>
      <c r="DN163" s="2523">
        <f t="shared" si="419"/>
        <v>19.054200000000002</v>
      </c>
      <c r="DO163" s="2523">
        <f t="shared" si="419"/>
        <v>19.054200000000002</v>
      </c>
      <c r="DP163" s="2522">
        <f t="shared" si="419"/>
        <v>19.054200000000002</v>
      </c>
      <c r="DQ163" s="436"/>
      <c r="DR163" s="2523"/>
      <c r="DS163" s="2523"/>
      <c r="DT163" s="2523"/>
      <c r="DU163" s="2523"/>
      <c r="DV163" s="436"/>
      <c r="DW163" s="2523"/>
      <c r="DX163" s="2523"/>
      <c r="DY163" s="2523"/>
      <c r="DZ163" s="2523"/>
      <c r="EA163" s="436"/>
      <c r="EB163" s="2523"/>
      <c r="EC163" s="2523"/>
      <c r="ED163" s="2523"/>
      <c r="EE163" s="2523"/>
      <c r="EF163" s="436"/>
      <c r="EG163" s="2523"/>
      <c r="EH163" s="2523"/>
      <c r="EI163" s="2523"/>
      <c r="EJ163" s="2523"/>
      <c r="EK163" s="2523"/>
      <c r="EL163" s="2523"/>
      <c r="EM163" s="2523"/>
      <c r="EN163" s="2523"/>
      <c r="EO163" s="2523"/>
      <c r="EP163" s="2523"/>
      <c r="EQ163" s="2523"/>
      <c r="ER163" s="2523"/>
      <c r="ES163" s="2523"/>
      <c r="ET163" s="2523"/>
      <c r="EU163" s="2523"/>
      <c r="EV163" s="2523"/>
      <c r="EW163" s="2523"/>
      <c r="EX163" s="2523"/>
      <c r="EY163" s="2523"/>
      <c r="EZ163" s="2523"/>
      <c r="FA163" s="2523"/>
      <c r="FB163" s="2523"/>
      <c r="FC163" s="2523"/>
      <c r="FD163" s="816"/>
      <c r="FF163" s="816"/>
      <c r="FG163"/>
      <c r="FH163"/>
      <c r="FI163"/>
      <c r="FJ163"/>
      <c r="FK163"/>
      <c r="FL163"/>
      <c r="FM163"/>
      <c r="FN163"/>
    </row>
    <row r="164" spans="1:170" ht="11.25" hidden="1" customHeight="1">
      <c r="A164" s="1626" t="s">
        <v>426</v>
      </c>
      <c r="B164" s="435">
        <v>1.2011000000000001</v>
      </c>
      <c r="C164" s="435">
        <v>1.2744</v>
      </c>
      <c r="D164" s="435">
        <v>1.2719</v>
      </c>
      <c r="E164" s="435">
        <v>1.3068</v>
      </c>
      <c r="F164" s="432"/>
      <c r="G164" s="435">
        <v>1.2011000000000001</v>
      </c>
      <c r="H164" s="435">
        <v>1.2744</v>
      </c>
      <c r="I164" s="435">
        <v>1.2719</v>
      </c>
      <c r="J164" s="435">
        <v>1.3068</v>
      </c>
      <c r="K164" s="432"/>
      <c r="L164" s="435">
        <v>1.2011000000000001</v>
      </c>
      <c r="M164" s="435">
        <v>1.2744</v>
      </c>
      <c r="N164" s="435">
        <v>1.2719</v>
      </c>
      <c r="O164" s="435">
        <v>1.3068</v>
      </c>
      <c r="P164" s="432"/>
      <c r="Q164" s="435">
        <v>1.2011000000000001</v>
      </c>
      <c r="R164" s="435">
        <v>1.2744</v>
      </c>
      <c r="S164" s="435">
        <v>1.2719</v>
      </c>
      <c r="T164" s="435">
        <v>1.3068</v>
      </c>
      <c r="U164" s="432"/>
      <c r="V164" s="435">
        <v>1.2011000000000001</v>
      </c>
      <c r="W164" s="435">
        <v>1.2744</v>
      </c>
      <c r="X164" s="435">
        <v>1.2719</v>
      </c>
      <c r="Y164" s="435">
        <v>1.3068</v>
      </c>
      <c r="Z164" s="432"/>
      <c r="AA164" s="435">
        <v>1.2011000000000001</v>
      </c>
      <c r="AB164" s="435">
        <v>1.2744</v>
      </c>
      <c r="AC164" s="435">
        <v>1.2719</v>
      </c>
      <c r="AD164" s="435">
        <v>1.3068</v>
      </c>
      <c r="AE164" s="432"/>
      <c r="AF164" s="435">
        <v>1.2011000000000001</v>
      </c>
      <c r="AG164" s="435">
        <v>1.2744</v>
      </c>
      <c r="AH164" s="435">
        <v>1.2719</v>
      </c>
      <c r="AI164" s="435">
        <v>1.3068</v>
      </c>
      <c r="AJ164" s="432"/>
      <c r="AK164" s="435">
        <v>1.2011000000000001</v>
      </c>
      <c r="AL164" s="435">
        <v>1.2744</v>
      </c>
      <c r="AM164" s="435">
        <v>1.2719</v>
      </c>
      <c r="AN164" s="435">
        <v>1.3068</v>
      </c>
      <c r="AO164" s="432"/>
      <c r="AP164" s="435">
        <v>1.2011000000000001</v>
      </c>
      <c r="AQ164" s="435">
        <v>1.2744</v>
      </c>
      <c r="AR164" s="435">
        <v>1.2719</v>
      </c>
      <c r="AS164" s="435">
        <v>1.3068</v>
      </c>
      <c r="AT164" s="432"/>
      <c r="AU164" s="435">
        <v>1.2011000000000001</v>
      </c>
      <c r="AV164" s="435">
        <v>1.2744</v>
      </c>
      <c r="AW164" s="435">
        <v>1.2719</v>
      </c>
      <c r="AX164" s="435">
        <v>1.3068</v>
      </c>
      <c r="AY164" s="432"/>
      <c r="AZ164" s="1193">
        <v>1.32067</v>
      </c>
      <c r="BA164" s="435">
        <v>1.3547666666666665</v>
      </c>
      <c r="BB164" s="435">
        <v>1.3859000000000001</v>
      </c>
      <c r="BC164" s="435">
        <v>1.4570333333333334</v>
      </c>
      <c r="BD164" s="432"/>
      <c r="BE164" s="1193">
        <v>1.5276333333333334</v>
      </c>
      <c r="BF164" s="435">
        <v>1.5643666666666665</v>
      </c>
      <c r="BG164" s="435">
        <v>1.5208509523809524</v>
      </c>
      <c r="BH164" s="435">
        <v>1.3239457142857145</v>
      </c>
      <c r="BI164" s="432"/>
      <c r="BJ164" s="1193">
        <v>1.3079015384615384</v>
      </c>
      <c r="BK164" s="435">
        <v>1.3616592307692306</v>
      </c>
      <c r="BL164" s="435">
        <v>1.4306371428571427</v>
      </c>
      <c r="BM164" s="437">
        <v>1.4740207142857142</v>
      </c>
      <c r="BN164" s="435">
        <v>1.3935546565934065</v>
      </c>
      <c r="BO164" s="1193">
        <v>1.3811485714285714</v>
      </c>
      <c r="BP164" s="435">
        <v>1.2737078571428573</v>
      </c>
      <c r="BQ164" s="435">
        <v>1.2941257142857143</v>
      </c>
      <c r="BR164" s="433">
        <v>1.3603284615384617</v>
      </c>
      <c r="BS164" s="1194">
        <f t="shared" ref="BS164:CI164" si="420">+BS158</f>
        <v>1.3273276510989012</v>
      </c>
      <c r="BT164" s="1195">
        <f t="shared" si="420"/>
        <v>1.3695734375000002</v>
      </c>
      <c r="BU164" s="436">
        <f t="shared" si="420"/>
        <v>1.4398492307692305</v>
      </c>
      <c r="BV164" s="436">
        <f t="shared" si="420"/>
        <v>1.4129030303030308</v>
      </c>
      <c r="BW164" s="1173">
        <f t="shared" si="420"/>
        <v>1.3473184615384617</v>
      </c>
      <c r="BX164" s="436"/>
      <c r="BY164" s="1195">
        <f t="shared" si="420"/>
        <v>1.3118923076923079</v>
      </c>
      <c r="BZ164" s="436">
        <f t="shared" si="420"/>
        <v>1.2832123076923077</v>
      </c>
      <c r="CA164" s="436">
        <f t="shared" si="420"/>
        <v>1.2511230769230772</v>
      </c>
      <c r="CB164" s="436">
        <f t="shared" si="420"/>
        <v>1.2976075757575758</v>
      </c>
      <c r="CC164" s="436"/>
      <c r="CD164" s="1195">
        <f t="shared" si="420"/>
        <v>1.3200328124999998</v>
      </c>
      <c r="CE164" s="436">
        <f t="shared" si="420"/>
        <v>1.3062153846153846</v>
      </c>
      <c r="CF164" s="436">
        <f t="shared" si="420"/>
        <v>1.325430303030303</v>
      </c>
      <c r="CG164" s="1173">
        <f t="shared" si="420"/>
        <v>1.3615318181818181</v>
      </c>
      <c r="CH164" s="436"/>
      <c r="CI164" s="436">
        <f t="shared" si="420"/>
        <v>1.3678000000000001</v>
      </c>
      <c r="CJ164" s="436">
        <f>CJ158</f>
        <v>1.3716461538461537</v>
      </c>
      <c r="CK164" s="436">
        <f>CK158</f>
        <v>1.3248119402985075</v>
      </c>
      <c r="CL164" s="1173">
        <f>+CL158</f>
        <v>1.2526847605224964</v>
      </c>
      <c r="CM164" s="436"/>
      <c r="CN164" s="1195">
        <f t="shared" ref="CN164:CU164" si="421">+CN157</f>
        <v>1.1268124999999998</v>
      </c>
      <c r="CO164" s="436">
        <f t="shared" si="421"/>
        <v>1.1068600000000002</v>
      </c>
      <c r="CP164" s="436">
        <f t="shared" si="421"/>
        <v>1.1124636363636364</v>
      </c>
      <c r="CQ164" s="1240">
        <f t="shared" si="421"/>
        <v>1.0951909090909091</v>
      </c>
      <c r="CR164" s="1240">
        <f t="shared" si="409"/>
        <v>1.1103317613636363</v>
      </c>
      <c r="CS164" s="436">
        <f t="shared" si="421"/>
        <v>1.1040630769230766</v>
      </c>
      <c r="CT164" s="436">
        <f t="shared" si="421"/>
        <v>1.1321000000000001</v>
      </c>
      <c r="CU164" s="436">
        <f t="shared" si="421"/>
        <v>1.1146</v>
      </c>
      <c r="CV164" s="436">
        <f t="shared" ref="CV164:DP164" si="422">+CV157</f>
        <v>1.0934999999999999</v>
      </c>
      <c r="CW164" s="1209">
        <f t="shared" si="422"/>
        <v>1.1110657692307691</v>
      </c>
      <c r="CX164" s="1195">
        <f t="shared" si="422"/>
        <v>1.0630333333333333</v>
      </c>
      <c r="CY164" s="436">
        <f t="shared" si="422"/>
        <v>1.0799999999999998</v>
      </c>
      <c r="CZ164" s="436">
        <f t="shared" si="422"/>
        <v>1.0873999999999999</v>
      </c>
      <c r="DA164" s="1173">
        <f t="shared" si="422"/>
        <v>1.0873999999999999</v>
      </c>
      <c r="DB164" s="1209">
        <f t="shared" si="422"/>
        <v>1.0794583333333332</v>
      </c>
      <c r="DC164" s="1195">
        <f t="shared" si="422"/>
        <v>1.0873999999999999</v>
      </c>
      <c r="DD164" s="436">
        <f t="shared" si="422"/>
        <v>1.0873999999999999</v>
      </c>
      <c r="DE164" s="436">
        <f t="shared" si="422"/>
        <v>1.0873999999999999</v>
      </c>
      <c r="DF164" s="1173">
        <f t="shared" si="422"/>
        <v>1.0873999999999999</v>
      </c>
      <c r="DG164" s="1209">
        <f t="shared" si="422"/>
        <v>1.0873999999999999</v>
      </c>
      <c r="DH164" s="1195">
        <f t="shared" si="422"/>
        <v>1.0873999999999999</v>
      </c>
      <c r="DI164" s="2523">
        <f t="shared" si="422"/>
        <v>1.0873999999999999</v>
      </c>
      <c r="DJ164" s="2523">
        <f t="shared" si="422"/>
        <v>1.0873999999999999</v>
      </c>
      <c r="DK164" s="2522">
        <f t="shared" si="422"/>
        <v>1.0873999999999999</v>
      </c>
      <c r="DL164" s="1209">
        <f t="shared" si="422"/>
        <v>1.0873999999999999</v>
      </c>
      <c r="DM164" s="1195">
        <f t="shared" si="422"/>
        <v>1.0873999999999999</v>
      </c>
      <c r="DN164" s="2523">
        <f t="shared" si="422"/>
        <v>1.0873999999999999</v>
      </c>
      <c r="DO164" s="2523">
        <f t="shared" si="422"/>
        <v>1.0873999999999999</v>
      </c>
      <c r="DP164" s="2522">
        <f t="shared" si="422"/>
        <v>1.0873999999999999</v>
      </c>
      <c r="DQ164" s="436"/>
      <c r="DR164" s="2523"/>
      <c r="DS164" s="2523"/>
      <c r="DT164" s="2523"/>
      <c r="DU164" s="2523"/>
      <c r="DV164" s="436"/>
      <c r="DW164" s="2523"/>
      <c r="DX164" s="2523"/>
      <c r="DY164" s="2523"/>
      <c r="DZ164" s="2523"/>
      <c r="EA164" s="436"/>
      <c r="EB164" s="2523"/>
      <c r="EC164" s="2523"/>
      <c r="ED164" s="2523"/>
      <c r="EE164" s="2523"/>
      <c r="EF164" s="436"/>
      <c r="EG164" s="2523"/>
      <c r="EH164" s="2523"/>
      <c r="EI164" s="2523"/>
      <c r="EJ164" s="2523"/>
      <c r="EK164" s="2523"/>
      <c r="EL164" s="2523"/>
      <c r="EM164" s="2523"/>
      <c r="EN164" s="2523"/>
      <c r="EO164" s="2523"/>
      <c r="EP164" s="2523"/>
      <c r="EQ164" s="2523"/>
      <c r="ER164" s="2523"/>
      <c r="ES164" s="2523"/>
      <c r="ET164" s="2523"/>
      <c r="EU164" s="2523"/>
      <c r="EV164" s="2523"/>
      <c r="EW164" s="2523"/>
      <c r="EX164" s="2523"/>
      <c r="EY164" s="2523"/>
      <c r="EZ164" s="2523"/>
      <c r="FA164" s="2523"/>
      <c r="FB164" s="2523"/>
      <c r="FC164" s="2523"/>
      <c r="FD164" s="436"/>
      <c r="FF164" s="436"/>
    </row>
    <row r="165" spans="1:170" ht="11.25" hidden="1" customHeight="1">
      <c r="A165" s="1626"/>
      <c r="B165" s="438"/>
      <c r="C165" s="438"/>
      <c r="D165" s="438"/>
      <c r="E165" s="438"/>
      <c r="F165" s="421"/>
      <c r="G165" s="438"/>
      <c r="H165" s="438"/>
      <c r="I165" s="438"/>
      <c r="J165" s="438"/>
      <c r="K165" s="421"/>
      <c r="L165" s="438"/>
      <c r="M165" s="438"/>
      <c r="N165" s="438"/>
      <c r="O165" s="438"/>
      <c r="P165" s="421"/>
      <c r="Q165" s="438"/>
      <c r="R165" s="438"/>
      <c r="S165" s="438"/>
      <c r="T165" s="438"/>
      <c r="U165" s="421"/>
      <c r="V165" s="438"/>
      <c r="W165" s="438"/>
      <c r="X165" s="438"/>
      <c r="Y165" s="438"/>
      <c r="Z165" s="421"/>
      <c r="AA165" s="438"/>
      <c r="AB165" s="438"/>
      <c r="AC165" s="438"/>
      <c r="AD165" s="438"/>
      <c r="AE165" s="421"/>
      <c r="AF165" s="438"/>
      <c r="AG165" s="438"/>
      <c r="AH165" s="438"/>
      <c r="AI165" s="438"/>
      <c r="AJ165" s="421"/>
      <c r="AK165" s="438"/>
      <c r="AL165" s="438"/>
      <c r="AM165" s="438"/>
      <c r="AN165" s="438"/>
      <c r="AO165" s="421"/>
      <c r="AP165" s="438"/>
      <c r="AQ165" s="438"/>
      <c r="AR165" s="438"/>
      <c r="AS165" s="438"/>
      <c r="AT165" s="421"/>
      <c r="AU165" s="438"/>
      <c r="AV165" s="438"/>
      <c r="AW165" s="438"/>
      <c r="AX165" s="438"/>
      <c r="AY165" s="421"/>
      <c r="AZ165" s="1196"/>
      <c r="BA165" s="438"/>
      <c r="BB165" s="438"/>
      <c r="BC165" s="438"/>
      <c r="BD165" s="421"/>
      <c r="BE165" s="1196"/>
      <c r="BF165" s="438"/>
      <c r="BG165" s="438"/>
      <c r="BH165" s="438"/>
      <c r="BI165" s="421"/>
      <c r="BJ165" s="1196"/>
      <c r="BK165" s="438"/>
      <c r="BL165" s="438"/>
      <c r="BM165" s="439"/>
      <c r="BN165" s="438"/>
      <c r="BO165" s="1196"/>
      <c r="BP165" s="438"/>
      <c r="BQ165" s="438"/>
      <c r="BR165" s="438"/>
      <c r="BS165" s="1194"/>
      <c r="BT165" s="1196"/>
      <c r="BU165" s="438"/>
      <c r="BV165" s="438"/>
      <c r="BW165" s="439"/>
      <c r="BX165" s="438"/>
      <c r="BY165" s="1196"/>
      <c r="BZ165" s="438"/>
      <c r="CA165" s="438"/>
      <c r="CB165" s="439"/>
      <c r="CC165" s="438"/>
      <c r="CD165" s="1196"/>
      <c r="CE165" s="438"/>
      <c r="CF165" s="438"/>
      <c r="CG165" s="439"/>
      <c r="CH165" s="438"/>
      <c r="CI165" s="438"/>
      <c r="CJ165" s="438"/>
      <c r="CK165" s="438"/>
      <c r="CL165" s="439"/>
      <c r="CM165" s="438"/>
      <c r="CN165" s="438"/>
      <c r="CO165" s="438"/>
      <c r="CP165" s="438"/>
      <c r="CQ165" s="1241"/>
      <c r="CR165" s="1241"/>
      <c r="CS165" s="438"/>
      <c r="CT165" s="438"/>
      <c r="CU165" s="438"/>
      <c r="CV165" s="438"/>
      <c r="CW165" s="1194"/>
      <c r="CX165" s="1196"/>
      <c r="CY165" s="438"/>
      <c r="CZ165" s="438"/>
      <c r="DA165" s="439"/>
      <c r="DB165" s="1194"/>
      <c r="DC165" s="1196"/>
      <c r="DD165" s="438"/>
      <c r="DE165" s="438"/>
      <c r="DF165" s="439"/>
      <c r="DG165" s="1194"/>
      <c r="DH165" s="1196"/>
      <c r="DI165" s="438"/>
      <c r="DJ165" s="438"/>
      <c r="DK165" s="439"/>
      <c r="DL165" s="1194"/>
      <c r="DM165" s="1196"/>
      <c r="DN165" s="438"/>
      <c r="DO165" s="438"/>
      <c r="DP165" s="439"/>
      <c r="DQ165" s="438"/>
      <c r="DR165" s="438"/>
      <c r="DS165" s="438"/>
      <c r="DT165" s="438"/>
      <c r="DU165" s="438"/>
      <c r="DV165" s="438"/>
      <c r="DW165" s="438"/>
      <c r="DX165" s="438"/>
      <c r="DY165" s="438"/>
      <c r="DZ165" s="438"/>
      <c r="EA165" s="438"/>
      <c r="EB165" s="438"/>
      <c r="EC165" s="438"/>
      <c r="ED165" s="438"/>
      <c r="EE165" s="438"/>
      <c r="EF165" s="438"/>
      <c r="EG165" s="438"/>
      <c r="EH165" s="438"/>
      <c r="EI165" s="438"/>
      <c r="EJ165" s="438"/>
      <c r="EK165" s="438"/>
      <c r="EL165" s="438"/>
      <c r="EM165" s="438"/>
      <c r="EN165" s="438"/>
      <c r="EO165" s="438"/>
      <c r="EP165" s="438"/>
      <c r="EQ165" s="438"/>
      <c r="ER165" s="438"/>
      <c r="ES165" s="438"/>
      <c r="ET165" s="438"/>
      <c r="EU165" s="438"/>
      <c r="EV165" s="438"/>
      <c r="EW165" s="438"/>
      <c r="EX165" s="438"/>
      <c r="EY165" s="438"/>
      <c r="EZ165" s="438"/>
      <c r="FA165" s="438"/>
      <c r="FB165" s="438"/>
      <c r="FC165" s="438"/>
      <c r="FD165" s="438"/>
      <c r="FF165" s="438"/>
    </row>
    <row r="166" spans="1:170" ht="11.25" hidden="1" customHeight="1">
      <c r="A166" s="1629" t="s">
        <v>350</v>
      </c>
      <c r="B166" s="421"/>
      <c r="C166" s="421"/>
      <c r="D166" s="421"/>
      <c r="E166" s="421"/>
      <c r="F166" s="421"/>
      <c r="G166" s="421"/>
      <c r="H166" s="421"/>
      <c r="I166" s="421"/>
      <c r="J166" s="421"/>
      <c r="K166" s="421"/>
      <c r="L166" s="421"/>
      <c r="M166" s="421"/>
      <c r="N166" s="421"/>
      <c r="O166" s="421"/>
      <c r="P166" s="421"/>
      <c r="Q166" s="421"/>
      <c r="R166" s="421"/>
      <c r="S166" s="421"/>
      <c r="T166" s="421"/>
      <c r="U166" s="421"/>
      <c r="V166" s="421"/>
      <c r="W166" s="421"/>
      <c r="X166" s="421"/>
      <c r="Y166" s="421"/>
      <c r="Z166" s="421"/>
      <c r="AA166" s="421"/>
      <c r="AB166" s="421"/>
      <c r="AC166" s="421"/>
      <c r="AD166" s="421"/>
      <c r="AE166" s="421"/>
      <c r="AF166" s="421"/>
      <c r="AG166" s="421"/>
      <c r="AH166" s="421"/>
      <c r="AI166" s="421"/>
      <c r="AJ166" s="421"/>
      <c r="AK166" s="421"/>
      <c r="AL166" s="421"/>
      <c r="AM166" s="421"/>
      <c r="AN166" s="421"/>
      <c r="AO166" s="421"/>
      <c r="AP166" s="421"/>
      <c r="AQ166" s="421"/>
      <c r="AR166" s="421"/>
      <c r="AS166" s="421"/>
      <c r="AT166" s="421"/>
      <c r="AU166" s="421"/>
      <c r="AV166" s="421"/>
      <c r="AW166" s="421"/>
      <c r="AX166" s="421"/>
      <c r="AY166" s="421"/>
      <c r="AZ166" s="1185"/>
      <c r="BA166" s="429"/>
      <c r="BB166" s="429"/>
      <c r="BC166" s="429"/>
      <c r="BD166" s="421"/>
      <c r="BE166" s="1185"/>
      <c r="BF166" s="429"/>
      <c r="BG166" s="429"/>
      <c r="BH166" s="429"/>
      <c r="BI166" s="421"/>
      <c r="BJ166" s="1185"/>
      <c r="BK166" s="429"/>
      <c r="BL166" s="429"/>
      <c r="BM166" s="430"/>
      <c r="BN166" s="429"/>
      <c r="BO166" s="1185"/>
      <c r="BP166" s="429"/>
      <c r="BQ166" s="429"/>
      <c r="BR166" s="429"/>
      <c r="BS166" s="1187"/>
      <c r="BT166" s="1197"/>
      <c r="BU166" s="441"/>
      <c r="BV166" s="441"/>
      <c r="BW166" s="430"/>
      <c r="BX166" s="429"/>
      <c r="BY166" s="1185"/>
      <c r="BZ166" s="429"/>
      <c r="CA166" s="429"/>
      <c r="CB166" s="430"/>
      <c r="CC166" s="429"/>
      <c r="CD166" s="1185"/>
      <c r="CE166" s="429"/>
      <c r="CF166" s="429"/>
      <c r="CG166" s="430"/>
      <c r="CH166" s="429"/>
      <c r="CI166" s="429"/>
      <c r="CJ166" s="429"/>
      <c r="CK166" s="429"/>
      <c r="CL166" s="430"/>
      <c r="CM166" s="429"/>
      <c r="CN166" s="429"/>
      <c r="CO166" s="429"/>
      <c r="CP166" s="429"/>
      <c r="CQ166" s="1239"/>
      <c r="CR166" s="1239"/>
      <c r="CS166" s="429"/>
      <c r="CT166" s="429"/>
      <c r="CU166" s="429"/>
      <c r="CV166" s="429"/>
      <c r="CW166" s="1187"/>
      <c r="CX166" s="1185"/>
      <c r="CY166" s="429"/>
      <c r="CZ166" s="429"/>
      <c r="DA166" s="430"/>
      <c r="DB166" s="1187"/>
      <c r="DC166" s="1185"/>
      <c r="DD166" s="429"/>
      <c r="DE166" s="429"/>
      <c r="DF166" s="430"/>
      <c r="DG166" s="1187"/>
      <c r="DH166" s="1185"/>
      <c r="DI166" s="429"/>
      <c r="DJ166" s="429"/>
      <c r="DK166" s="430"/>
      <c r="DL166" s="1187"/>
      <c r="DM166" s="1185"/>
      <c r="DN166" s="429"/>
      <c r="DO166" s="429"/>
      <c r="DP166" s="430"/>
      <c r="DQ166" s="429"/>
      <c r="DR166" s="429"/>
      <c r="DS166" s="429"/>
      <c r="DT166" s="429"/>
      <c r="DU166" s="429"/>
      <c r="DV166" s="429"/>
      <c r="DW166" s="429"/>
      <c r="DX166" s="429"/>
      <c r="DY166" s="429"/>
      <c r="DZ166" s="429"/>
      <c r="EA166" s="429"/>
      <c r="EB166" s="429"/>
      <c r="EC166" s="429"/>
      <c r="ED166" s="429"/>
      <c r="EE166" s="429"/>
      <c r="EF166" s="429"/>
      <c r="EG166" s="429"/>
      <c r="EH166" s="429"/>
      <c r="EI166" s="429"/>
      <c r="EJ166" s="429"/>
      <c r="EK166" s="429"/>
      <c r="EL166" s="429"/>
      <c r="EM166" s="429"/>
      <c r="EN166" s="429"/>
      <c r="EO166" s="429"/>
      <c r="EP166" s="429"/>
      <c r="EQ166" s="429"/>
      <c r="ER166" s="429"/>
      <c r="ES166" s="429"/>
      <c r="ET166" s="429"/>
      <c r="EU166" s="429"/>
      <c r="EV166" s="429"/>
      <c r="EW166" s="429"/>
      <c r="EX166" s="429"/>
      <c r="EY166" s="429"/>
      <c r="EZ166" s="429"/>
      <c r="FA166" s="429"/>
      <c r="FB166" s="429"/>
      <c r="FC166" s="429"/>
      <c r="FD166" s="429"/>
      <c r="FF166" s="429"/>
    </row>
    <row r="167" spans="1:170" ht="11.25" hidden="1" customHeight="1">
      <c r="A167" s="1626" t="s">
        <v>420</v>
      </c>
      <c r="B167" s="440"/>
      <c r="C167" s="440"/>
      <c r="D167" s="440"/>
      <c r="E167" s="440"/>
      <c r="F167" s="421"/>
      <c r="G167" s="440"/>
      <c r="H167" s="440"/>
      <c r="I167" s="440"/>
      <c r="J167" s="440"/>
      <c r="K167" s="421"/>
      <c r="L167" s="440"/>
      <c r="M167" s="440"/>
      <c r="N167" s="440"/>
      <c r="O167" s="440"/>
      <c r="P167" s="421"/>
      <c r="Q167" s="440"/>
      <c r="R167" s="440"/>
      <c r="S167" s="440"/>
      <c r="T167" s="440"/>
      <c r="U167" s="421"/>
      <c r="V167" s="440"/>
      <c r="W167" s="440"/>
      <c r="X167" s="440"/>
      <c r="Y167" s="440"/>
      <c r="Z167" s="421"/>
      <c r="AA167" s="440"/>
      <c r="AB167" s="440"/>
      <c r="AC167" s="440"/>
      <c r="AD167" s="440"/>
      <c r="AE167" s="421"/>
      <c r="AF167" s="440"/>
      <c r="AG167" s="440"/>
      <c r="AH167" s="440"/>
      <c r="AI167" s="440"/>
      <c r="AJ167" s="421"/>
      <c r="AK167" s="440"/>
      <c r="AL167" s="440"/>
      <c r="AM167" s="440"/>
      <c r="AN167" s="440"/>
      <c r="AO167" s="421"/>
      <c r="AP167" s="440"/>
      <c r="AQ167" s="440"/>
      <c r="AR167" s="440"/>
      <c r="AS167" s="440"/>
      <c r="AT167" s="421"/>
      <c r="AU167" s="440"/>
      <c r="AV167" s="440"/>
      <c r="AW167" s="440"/>
      <c r="AX167" s="440"/>
      <c r="AY167" s="421"/>
      <c r="AZ167" s="1197">
        <f t="shared" ref="AZ167:BC169" si="423">AZ156/AU156-1</f>
        <v>0.11901102445873879</v>
      </c>
      <c r="BA167" s="441">
        <f t="shared" si="423"/>
        <v>9.4408369408369497E-2</v>
      </c>
      <c r="BB167" s="441">
        <f t="shared" si="423"/>
        <v>8.0333097094259287E-2</v>
      </c>
      <c r="BC167" s="441">
        <f t="shared" si="423"/>
        <v>4.9499348467183513E-2</v>
      </c>
      <c r="BD167" s="442"/>
      <c r="BE167" s="1197">
        <f t="shared" ref="BE167:BH169" si="424">BE156/AZ156-1</f>
        <v>1.0648941040815485E-2</v>
      </c>
      <c r="BF167" s="441">
        <f t="shared" si="424"/>
        <v>-1.7519860236674734E-2</v>
      </c>
      <c r="BG167" s="441">
        <f t="shared" si="424"/>
        <v>-5.5726679755773834E-2</v>
      </c>
      <c r="BH167" s="441">
        <f t="shared" si="424"/>
        <v>-0.23187615671319584</v>
      </c>
      <c r="BI167" s="442"/>
      <c r="BJ167" s="1197">
        <f t="shared" ref="BJ167:BM169" si="425">BJ156/BE156-1</f>
        <v>-0.27645806149354757</v>
      </c>
      <c r="BK167" s="441">
        <f t="shared" si="425"/>
        <v>-0.22113071542036011</v>
      </c>
      <c r="BL167" s="441">
        <f t="shared" si="425"/>
        <v>-0.14646237893511682</v>
      </c>
      <c r="BM167" s="443">
        <f t="shared" si="425"/>
        <v>3.9974368276458172E-2</v>
      </c>
      <c r="BN167" s="441"/>
      <c r="BO167" s="1197">
        <f t="shared" ref="BO167:BR169" si="426">BO156/BJ156-1</f>
        <v>8.1610636215738719E-2</v>
      </c>
      <c r="BP167" s="441">
        <f t="shared" si="426"/>
        <v>-3.5400425902137878E-2</v>
      </c>
      <c r="BQ167" s="441">
        <f t="shared" si="426"/>
        <v>-5.3100736997886866E-2</v>
      </c>
      <c r="BR167" s="441">
        <f t="shared" si="426"/>
        <v>-2.951262087863471E-2</v>
      </c>
      <c r="BS167" s="1198"/>
      <c r="BT167" s="1197">
        <f t="shared" ref="BT167:BW169" si="427">BT156/BO156-1</f>
        <v>3.1049924839733345E-2</v>
      </c>
      <c r="BU167" s="441">
        <f t="shared" si="427"/>
        <v>9.2794090697911225E-2</v>
      </c>
      <c r="BV167" s="441">
        <f t="shared" si="427"/>
        <v>3.785575269228425E-2</v>
      </c>
      <c r="BW167" s="443">
        <f t="shared" si="427"/>
        <v>-6.1964400863275815E-3</v>
      </c>
      <c r="BX167" s="441"/>
      <c r="BY167" s="1197">
        <f t="shared" ref="BY167:CB172" si="428">BY156/BT156-1</f>
        <v>-1.9441309350281877E-2</v>
      </c>
      <c r="BZ167" s="441">
        <f t="shared" si="428"/>
        <v>-2.980864713876008E-2</v>
      </c>
      <c r="CA167" s="441">
        <f t="shared" si="428"/>
        <v>-1.8515405661558515E-2</v>
      </c>
      <c r="CB167" s="443">
        <f t="shared" si="428"/>
        <v>2.1587053743541862E-2</v>
      </c>
      <c r="CC167" s="441"/>
      <c r="CD167" s="1197">
        <f t="shared" ref="CD167:CG169" si="429">CD156/BY156-1</f>
        <v>-1.2465312917186555E-2</v>
      </c>
      <c r="CE167" s="441">
        <f t="shared" si="429"/>
        <v>-2.9588214481506392E-2</v>
      </c>
      <c r="CF167" s="441">
        <f t="shared" si="429"/>
        <v>-1.8258456057499206E-2</v>
      </c>
      <c r="CG167" s="443">
        <f t="shared" si="429"/>
        <v>8.4610398738766968E-3</v>
      </c>
      <c r="CH167" s="441"/>
      <c r="CI167" s="441">
        <f t="shared" ref="CI167:CL169" si="430">CI156/CD156-1</f>
        <v>6.159351361145049E-2</v>
      </c>
      <c r="CJ167" s="441">
        <f t="shared" si="430"/>
        <v>9.6007604562737603E-2</v>
      </c>
      <c r="CK167" s="441">
        <f t="shared" si="430"/>
        <v>7.6096651611923249E-2</v>
      </c>
      <c r="CL167" s="443">
        <f t="shared" si="430"/>
        <v>-2.2629188359832741E-2</v>
      </c>
      <c r="CM167" s="441"/>
      <c r="CN167" s="441">
        <f t="shared" ref="CN167:CQ169" si="431">CN156/CI156-1</f>
        <v>-8.0716366284361851E-2</v>
      </c>
      <c r="CO167" s="441">
        <f t="shared" si="431"/>
        <v>-8.9170414468326964E-2</v>
      </c>
      <c r="CP167" s="441">
        <f t="shared" si="431"/>
        <v>-7.2029784289873611E-2</v>
      </c>
      <c r="CQ167" s="1242">
        <f t="shared" si="431"/>
        <v>-4.1879128589437764E-2</v>
      </c>
      <c r="CR167" s="1242"/>
      <c r="CS167" s="441">
        <f t="shared" ref="CS167:DB169" si="432">CS156/CN156-1</f>
        <v>-5.4630992527371136E-2</v>
      </c>
      <c r="CT167" s="441">
        <f t="shared" si="432"/>
        <v>-5.5288488070260988E-2</v>
      </c>
      <c r="CU167" s="441">
        <f t="shared" si="432"/>
        <v>-0.14613562246536871</v>
      </c>
      <c r="CV167" s="441">
        <f t="shared" si="432"/>
        <v>-0.17094428670477735</v>
      </c>
      <c r="CW167" s="1198">
        <f t="shared" si="432"/>
        <v>-0.10683265778448436</v>
      </c>
      <c r="CX167" s="441">
        <f t="shared" si="432"/>
        <v>-0.1318511563751833</v>
      </c>
      <c r="CY167" s="441">
        <f t="shared" si="432"/>
        <v>-0.11720170291105736</v>
      </c>
      <c r="CZ167" s="441">
        <f t="shared" si="432"/>
        <v>-2.421936036694472E-2</v>
      </c>
      <c r="DA167" s="441">
        <f t="shared" si="432"/>
        <v>2.6458112407211187E-2</v>
      </c>
      <c r="DB167" s="1198">
        <f t="shared" si="432"/>
        <v>-6.5443613304421722E-2</v>
      </c>
      <c r="DC167" s="441">
        <f t="shared" ref="DC167:DP169" si="433">DC156/CX156-1</f>
        <v>3.8043915386471339E-2</v>
      </c>
      <c r="DD167" s="441">
        <f t="shared" si="433"/>
        <v>9.2800166831761288E-3</v>
      </c>
      <c r="DE167" s="441">
        <f t="shared" si="433"/>
        <v>0</v>
      </c>
      <c r="DF167" s="441">
        <f t="shared" si="433"/>
        <v>0</v>
      </c>
      <c r="DG167" s="1198">
        <f t="shared" si="433"/>
        <v>1.1593956772503633E-2</v>
      </c>
      <c r="DH167" s="441">
        <f t="shared" si="433"/>
        <v>0</v>
      </c>
      <c r="DI167" s="441">
        <f t="shared" si="433"/>
        <v>0</v>
      </c>
      <c r="DJ167" s="441">
        <f t="shared" si="433"/>
        <v>0</v>
      </c>
      <c r="DK167" s="441">
        <f t="shared" si="433"/>
        <v>0</v>
      </c>
      <c r="DL167" s="1198">
        <f t="shared" si="433"/>
        <v>0</v>
      </c>
      <c r="DM167" s="441">
        <f t="shared" si="433"/>
        <v>0</v>
      </c>
      <c r="DN167" s="441">
        <f t="shared" si="433"/>
        <v>0</v>
      </c>
      <c r="DO167" s="441">
        <f t="shared" si="433"/>
        <v>0</v>
      </c>
      <c r="DP167" s="441">
        <f t="shared" si="433"/>
        <v>0</v>
      </c>
      <c r="DQ167" s="441"/>
      <c r="DR167" s="441"/>
      <c r="DS167" s="441"/>
      <c r="DT167" s="441"/>
      <c r="DU167" s="441"/>
      <c r="DV167" s="441"/>
      <c r="DW167" s="441"/>
      <c r="DX167" s="441"/>
      <c r="DY167" s="441"/>
      <c r="DZ167" s="441"/>
      <c r="EA167" s="441"/>
      <c r="EB167" s="441"/>
      <c r="EC167" s="441"/>
      <c r="ED167" s="441"/>
      <c r="EE167" s="441"/>
      <c r="EF167" s="441"/>
      <c r="EG167" s="441"/>
      <c r="EH167" s="441"/>
      <c r="EI167" s="441"/>
      <c r="EJ167" s="441"/>
      <c r="EK167" s="441"/>
      <c r="EL167" s="441"/>
      <c r="EM167" s="441"/>
      <c r="EN167" s="441"/>
      <c r="EO167" s="441"/>
      <c r="EP167" s="441"/>
      <c r="EQ167" s="441"/>
      <c r="ER167" s="441"/>
      <c r="ES167" s="441"/>
      <c r="ET167" s="441"/>
      <c r="EU167" s="441"/>
      <c r="EV167" s="441"/>
      <c r="EW167" s="441"/>
      <c r="EX167" s="441"/>
      <c r="EY167" s="441"/>
      <c r="EZ167" s="441"/>
      <c r="FA167" s="441"/>
      <c r="FB167" s="441"/>
      <c r="FC167" s="441"/>
      <c r="FD167" s="441"/>
      <c r="FF167" s="441"/>
    </row>
    <row r="168" spans="1:170" ht="11.25" hidden="1" customHeight="1">
      <c r="A168" s="1626" t="s">
        <v>421</v>
      </c>
      <c r="B168" s="440"/>
      <c r="C168" s="440"/>
      <c r="D168" s="440"/>
      <c r="E168" s="440"/>
      <c r="F168" s="421"/>
      <c r="G168" s="440"/>
      <c r="H168" s="440"/>
      <c r="I168" s="440"/>
      <c r="J168" s="440"/>
      <c r="K168" s="421"/>
      <c r="L168" s="440"/>
      <c r="M168" s="440"/>
      <c r="N168" s="440"/>
      <c r="O168" s="440"/>
      <c r="P168" s="421"/>
      <c r="Q168" s="440"/>
      <c r="R168" s="440"/>
      <c r="S168" s="440"/>
      <c r="T168" s="440"/>
      <c r="U168" s="421"/>
      <c r="V168" s="440"/>
      <c r="W168" s="440"/>
      <c r="X168" s="440"/>
      <c r="Y168" s="440"/>
      <c r="Z168" s="421"/>
      <c r="AA168" s="440"/>
      <c r="AB168" s="440"/>
      <c r="AC168" s="440"/>
      <c r="AD168" s="440"/>
      <c r="AE168" s="421"/>
      <c r="AF168" s="440"/>
      <c r="AG168" s="440"/>
      <c r="AH168" s="440"/>
      <c r="AI168" s="440"/>
      <c r="AJ168" s="421"/>
      <c r="AK168" s="440"/>
      <c r="AL168" s="440"/>
      <c r="AM168" s="440"/>
      <c r="AN168" s="440"/>
      <c r="AO168" s="421"/>
      <c r="AP168" s="440"/>
      <c r="AQ168" s="440"/>
      <c r="AR168" s="440"/>
      <c r="AS168" s="440"/>
      <c r="AT168" s="421"/>
      <c r="AU168" s="440"/>
      <c r="AV168" s="440"/>
      <c r="AW168" s="440"/>
      <c r="AX168" s="440"/>
      <c r="AY168" s="421"/>
      <c r="AZ168" s="1197">
        <f t="shared" si="423"/>
        <v>9.9550412122221266E-2</v>
      </c>
      <c r="BA168" s="441">
        <f t="shared" si="423"/>
        <v>6.3062356141452058E-2</v>
      </c>
      <c r="BB168" s="441">
        <f t="shared" si="423"/>
        <v>8.9629687868543195E-2</v>
      </c>
      <c r="BC168" s="441">
        <f t="shared" si="423"/>
        <v>0.11496275890215291</v>
      </c>
      <c r="BD168" s="442"/>
      <c r="BE168" s="1197">
        <f t="shared" si="424"/>
        <v>0.15671086140620538</v>
      </c>
      <c r="BF168" s="441">
        <f t="shared" si="424"/>
        <v>0.15471298870654238</v>
      </c>
      <c r="BG168" s="441">
        <f t="shared" si="424"/>
        <v>9.7374235068152348E-2</v>
      </c>
      <c r="BH168" s="441">
        <f t="shared" si="424"/>
        <v>-9.1341506060912958E-2</v>
      </c>
      <c r="BI168" s="442"/>
      <c r="BJ168" s="1197">
        <f t="shared" si="425"/>
        <v>-0.1438380467859619</v>
      </c>
      <c r="BK168" s="441">
        <f t="shared" si="425"/>
        <v>-0.12957795650898296</v>
      </c>
      <c r="BL168" s="441">
        <f t="shared" si="425"/>
        <v>-5.9317982069561959E-2</v>
      </c>
      <c r="BM168" s="443">
        <f t="shared" si="425"/>
        <v>0.11335434556013291</v>
      </c>
      <c r="BN168" s="441"/>
      <c r="BO168" s="1197">
        <f t="shared" si="426"/>
        <v>5.6003476418562848E-2</v>
      </c>
      <c r="BP168" s="441">
        <f t="shared" si="426"/>
        <v>-6.4591324788866311E-2</v>
      </c>
      <c r="BQ168" s="441">
        <f t="shared" si="426"/>
        <v>-9.5420022647251912E-2</v>
      </c>
      <c r="BR168" s="441">
        <f t="shared" si="426"/>
        <v>-7.7130702197998557E-2</v>
      </c>
      <c r="BS168" s="1198"/>
      <c r="BT168" s="1197">
        <f t="shared" si="427"/>
        <v>-8.3808028824868819E-3</v>
      </c>
      <c r="BU168" s="441">
        <f t="shared" si="427"/>
        <v>0.13043915266335615</v>
      </c>
      <c r="BV168" s="441">
        <f t="shared" si="427"/>
        <v>9.1781899321021543E-2</v>
      </c>
      <c r="BW168" s="443">
        <f t="shared" si="427"/>
        <v>-9.5638666453293775E-3</v>
      </c>
      <c r="BX168" s="441"/>
      <c r="BY168" s="1197">
        <f t="shared" si="428"/>
        <v>-4.2116127714175389E-2</v>
      </c>
      <c r="BZ168" s="441">
        <f t="shared" si="428"/>
        <v>-0.10878703112077959</v>
      </c>
      <c r="CA168" s="441">
        <f t="shared" si="428"/>
        <v>-0.1145018093317105</v>
      </c>
      <c r="CB168" s="443">
        <f t="shared" si="428"/>
        <v>-3.6896166125507168E-2</v>
      </c>
      <c r="CC168" s="441"/>
      <c r="CD168" s="1197">
        <f t="shared" si="429"/>
        <v>6.2051623902052988E-3</v>
      </c>
      <c r="CE168" s="441">
        <f t="shared" si="429"/>
        <v>1.7926166064012428E-2</v>
      </c>
      <c r="CF168" s="441">
        <f t="shared" si="429"/>
        <v>5.9392419081559567E-2</v>
      </c>
      <c r="CG168" s="443">
        <f t="shared" si="429"/>
        <v>4.9263154453242031E-2</v>
      </c>
      <c r="CH168" s="441"/>
      <c r="CI168" s="441">
        <f t="shared" si="430"/>
        <v>3.6186363738591076E-2</v>
      </c>
      <c r="CJ168" s="441">
        <f t="shared" si="430"/>
        <v>5.0091868463205458E-2</v>
      </c>
      <c r="CK168" s="441">
        <f t="shared" si="430"/>
        <v>-4.6653734291557392E-4</v>
      </c>
      <c r="CL168" s="443">
        <f t="shared" si="430"/>
        <v>-8.2769963866456187E-2</v>
      </c>
      <c r="CM168" s="441"/>
      <c r="CN168" s="441">
        <f t="shared" si="431"/>
        <v>-0.17618621143442048</v>
      </c>
      <c r="CO168" s="441">
        <f t="shared" si="431"/>
        <v>-0.19304261022690294</v>
      </c>
      <c r="CP168" s="441">
        <f t="shared" si="431"/>
        <v>-0.1602856205289217</v>
      </c>
      <c r="CQ168" s="1242">
        <f t="shared" si="431"/>
        <v>-0.12303195819628665</v>
      </c>
      <c r="CR168" s="1242"/>
      <c r="CS168" s="441">
        <f t="shared" si="432"/>
        <v>-2.0189182385643711E-2</v>
      </c>
      <c r="CT168" s="441">
        <f t="shared" si="432"/>
        <v>2.2803245216197032E-2</v>
      </c>
      <c r="CU168" s="441">
        <f t="shared" si="432"/>
        <v>1.9203896347990135E-3</v>
      </c>
      <c r="CV168" s="441">
        <f t="shared" si="432"/>
        <v>-1.5439400353612909E-3</v>
      </c>
      <c r="CW168" s="1198">
        <f t="shared" si="432"/>
        <v>6.610707652199288E-4</v>
      </c>
      <c r="CX168" s="441">
        <f t="shared" si="432"/>
        <v>-3.7162499541321004E-2</v>
      </c>
      <c r="CY168" s="441">
        <f t="shared" si="432"/>
        <v>-4.6020669552159887E-2</v>
      </c>
      <c r="CZ168" s="441">
        <f t="shared" si="432"/>
        <v>-2.4403373407500539E-2</v>
      </c>
      <c r="DA168" s="441">
        <f t="shared" si="432"/>
        <v>-5.5784179240969678E-3</v>
      </c>
      <c r="DB168" s="1198">
        <f t="shared" si="432"/>
        <v>-2.8447853198932394E-2</v>
      </c>
      <c r="DC168" s="441">
        <f t="shared" si="433"/>
        <v>2.2921827474836176E-2</v>
      </c>
      <c r="DD168" s="441">
        <f t="shared" si="433"/>
        <v>6.8518518518518867E-3</v>
      </c>
      <c r="DE168" s="441">
        <f t="shared" si="433"/>
        <v>0</v>
      </c>
      <c r="DF168" s="441">
        <f t="shared" si="433"/>
        <v>0</v>
      </c>
      <c r="DG168" s="1198">
        <f t="shared" si="433"/>
        <v>7.3570849577335728E-3</v>
      </c>
      <c r="DH168" s="441">
        <f t="shared" si="433"/>
        <v>0</v>
      </c>
      <c r="DI168" s="441">
        <f t="shared" si="433"/>
        <v>0</v>
      </c>
      <c r="DJ168" s="441">
        <f t="shared" si="433"/>
        <v>0</v>
      </c>
      <c r="DK168" s="441">
        <f t="shared" si="433"/>
        <v>0</v>
      </c>
      <c r="DL168" s="1198">
        <f t="shared" si="433"/>
        <v>0</v>
      </c>
      <c r="DM168" s="441">
        <f t="shared" si="433"/>
        <v>0</v>
      </c>
      <c r="DN168" s="441">
        <f t="shared" si="433"/>
        <v>0</v>
      </c>
      <c r="DO168" s="441">
        <f t="shared" si="433"/>
        <v>0</v>
      </c>
      <c r="DP168" s="441">
        <f t="shared" si="433"/>
        <v>0</v>
      </c>
      <c r="DQ168" s="441"/>
      <c r="DR168" s="441"/>
      <c r="DS168" s="441"/>
      <c r="DT168" s="441"/>
      <c r="DU168" s="441"/>
      <c r="DV168" s="441"/>
      <c r="DW168" s="441"/>
      <c r="DX168" s="441"/>
      <c r="DY168" s="441"/>
      <c r="DZ168" s="441"/>
      <c r="EA168" s="441"/>
      <c r="EB168" s="441"/>
      <c r="EC168" s="441"/>
      <c r="ED168" s="441"/>
      <c r="EE168" s="441"/>
      <c r="EF168" s="441"/>
      <c r="EG168" s="441"/>
      <c r="EH168" s="441"/>
      <c r="EI168" s="441"/>
      <c r="EJ168" s="441"/>
      <c r="EK168" s="441"/>
      <c r="EL168" s="441"/>
      <c r="EM168" s="441"/>
      <c r="EN168" s="441"/>
      <c r="EO168" s="441"/>
      <c r="EP168" s="441"/>
      <c r="EQ168" s="441"/>
      <c r="ER168" s="441"/>
      <c r="ES168" s="441"/>
      <c r="ET168" s="441"/>
      <c r="EU168" s="441"/>
      <c r="EV168" s="441"/>
      <c r="EW168" s="441"/>
      <c r="EX168" s="441"/>
      <c r="EY168" s="441"/>
      <c r="EZ168" s="441"/>
      <c r="FA168" s="441"/>
      <c r="FB168" s="441"/>
      <c r="FC168" s="441"/>
      <c r="FD168" s="441"/>
      <c r="FF168" s="441"/>
    </row>
    <row r="169" spans="1:170" ht="11.25" hidden="1" customHeight="1">
      <c r="A169" s="1626" t="s">
        <v>422</v>
      </c>
      <c r="B169" s="440"/>
      <c r="C169" s="440"/>
      <c r="D169" s="440"/>
      <c r="E169" s="440"/>
      <c r="F169" s="421"/>
      <c r="G169" s="440"/>
      <c r="H169" s="440"/>
      <c r="I169" s="440"/>
      <c r="J169" s="440"/>
      <c r="K169" s="421"/>
      <c r="L169" s="440"/>
      <c r="M169" s="440"/>
      <c r="N169" s="440"/>
      <c r="O169" s="440"/>
      <c r="P169" s="421"/>
      <c r="Q169" s="440"/>
      <c r="R169" s="440"/>
      <c r="S169" s="440"/>
      <c r="T169" s="440"/>
      <c r="U169" s="421"/>
      <c r="V169" s="440"/>
      <c r="W169" s="440"/>
      <c r="X169" s="440"/>
      <c r="Y169" s="440"/>
      <c r="Z169" s="421"/>
      <c r="AA169" s="440"/>
      <c r="AB169" s="440"/>
      <c r="AC169" s="440"/>
      <c r="AD169" s="440"/>
      <c r="AE169" s="421"/>
      <c r="AF169" s="440"/>
      <c r="AG169" s="440"/>
      <c r="AH169" s="440"/>
      <c r="AI169" s="440"/>
      <c r="AJ169" s="421"/>
      <c r="AK169" s="440"/>
      <c r="AL169" s="440"/>
      <c r="AM169" s="440"/>
      <c r="AN169" s="440"/>
      <c r="AO169" s="421"/>
      <c r="AP169" s="440"/>
      <c r="AQ169" s="440"/>
      <c r="AR169" s="440"/>
      <c r="AS169" s="440"/>
      <c r="AT169" s="421"/>
      <c r="AU169" s="440"/>
      <c r="AV169" s="440"/>
      <c r="AW169" s="440"/>
      <c r="AX169" s="440"/>
      <c r="AY169" s="421"/>
      <c r="AZ169" s="1197">
        <f t="shared" si="423"/>
        <v>9.9550412122221266E-2</v>
      </c>
      <c r="BA169" s="441">
        <f t="shared" si="423"/>
        <v>6.3062356141452058E-2</v>
      </c>
      <c r="BB169" s="441">
        <f t="shared" si="423"/>
        <v>8.9629687868543195E-2</v>
      </c>
      <c r="BC169" s="441">
        <f t="shared" si="423"/>
        <v>0.11496275890215291</v>
      </c>
      <c r="BD169" s="442"/>
      <c r="BE169" s="1197">
        <f t="shared" si="424"/>
        <v>0.15671086140620538</v>
      </c>
      <c r="BF169" s="441">
        <f t="shared" si="424"/>
        <v>0.15471298870654238</v>
      </c>
      <c r="BG169" s="441">
        <f t="shared" si="424"/>
        <v>9.7374235068152348E-2</v>
      </c>
      <c r="BH169" s="441">
        <f t="shared" si="424"/>
        <v>-9.1341506060912958E-2</v>
      </c>
      <c r="BI169" s="442"/>
      <c r="BJ169" s="1197">
        <f t="shared" si="425"/>
        <v>-0.1438380467859619</v>
      </c>
      <c r="BK169" s="441">
        <f t="shared" si="425"/>
        <v>-0.12957795650898296</v>
      </c>
      <c r="BL169" s="441">
        <f t="shared" si="425"/>
        <v>-5.9317982069561959E-2</v>
      </c>
      <c r="BM169" s="443">
        <f t="shared" si="425"/>
        <v>0.11335434556013291</v>
      </c>
      <c r="BN169" s="441"/>
      <c r="BO169" s="1197">
        <f t="shared" si="426"/>
        <v>5.6003476418562848E-2</v>
      </c>
      <c r="BP169" s="441">
        <f t="shared" si="426"/>
        <v>-6.4591324788866311E-2</v>
      </c>
      <c r="BQ169" s="441">
        <f t="shared" si="426"/>
        <v>-9.5420022647251912E-2</v>
      </c>
      <c r="BR169" s="441">
        <f t="shared" si="426"/>
        <v>-7.7130702197998557E-2</v>
      </c>
      <c r="BS169" s="1198"/>
      <c r="BT169" s="1197">
        <f t="shared" si="427"/>
        <v>-8.3808028824868819E-3</v>
      </c>
      <c r="BU169" s="441">
        <f t="shared" si="427"/>
        <v>0.13043915266335615</v>
      </c>
      <c r="BV169" s="441">
        <f t="shared" si="427"/>
        <v>9.1781899321021543E-2</v>
      </c>
      <c r="BW169" s="443">
        <f t="shared" si="427"/>
        <v>-9.5638666453293775E-3</v>
      </c>
      <c r="BX169" s="441"/>
      <c r="BY169" s="1197">
        <f t="shared" si="428"/>
        <v>-4.2116127714175389E-2</v>
      </c>
      <c r="BZ169" s="441">
        <f t="shared" si="428"/>
        <v>-0.10878703112077959</v>
      </c>
      <c r="CA169" s="441">
        <f t="shared" si="428"/>
        <v>-0.1145018093317105</v>
      </c>
      <c r="CB169" s="443">
        <f t="shared" si="428"/>
        <v>-3.6896166125507168E-2</v>
      </c>
      <c r="CC169" s="441"/>
      <c r="CD169" s="1197">
        <f t="shared" si="429"/>
        <v>6.2051623902052988E-3</v>
      </c>
      <c r="CE169" s="441">
        <f t="shared" si="429"/>
        <v>1.7926166064012428E-2</v>
      </c>
      <c r="CF169" s="441">
        <f t="shared" si="429"/>
        <v>5.9392419081559567E-2</v>
      </c>
      <c r="CG169" s="443">
        <f t="shared" si="429"/>
        <v>4.9263154453242031E-2</v>
      </c>
      <c r="CH169" s="441"/>
      <c r="CI169" s="441">
        <f t="shared" si="430"/>
        <v>3.6186363738591076E-2</v>
      </c>
      <c r="CJ169" s="441">
        <f t="shared" si="430"/>
        <v>5.0091868463205458E-2</v>
      </c>
      <c r="CK169" s="441">
        <f t="shared" si="430"/>
        <v>-4.6653734291557392E-4</v>
      </c>
      <c r="CL169" s="443">
        <f t="shared" si="430"/>
        <v>-7.9944556716034287E-2</v>
      </c>
      <c r="CM169" s="441"/>
      <c r="CN169" s="441">
        <f t="shared" si="431"/>
        <v>-0.17618621143442048</v>
      </c>
      <c r="CO169" s="441">
        <f t="shared" si="431"/>
        <v>-0.19304261022690294</v>
      </c>
      <c r="CP169" s="441">
        <f t="shared" si="431"/>
        <v>-0.1602856205289217</v>
      </c>
      <c r="CQ169" s="1242">
        <f t="shared" si="431"/>
        <v>-0.12572504782918925</v>
      </c>
      <c r="CR169" s="1242"/>
      <c r="CS169" s="441">
        <f t="shared" si="432"/>
        <v>-2.0189182385643711E-2</v>
      </c>
      <c r="CT169" s="441">
        <f t="shared" si="432"/>
        <v>2.2803245216197032E-2</v>
      </c>
      <c r="CU169" s="441">
        <f t="shared" si="432"/>
        <v>1.9203896347990135E-3</v>
      </c>
      <c r="CV169" s="441">
        <f t="shared" si="432"/>
        <v>-1.5439400353612909E-3</v>
      </c>
      <c r="CW169" s="1198">
        <f t="shared" si="432"/>
        <v>6.610707652199288E-4</v>
      </c>
      <c r="CX169" s="441">
        <f t="shared" si="432"/>
        <v>-3.7162499541321004E-2</v>
      </c>
      <c r="CY169" s="441">
        <f t="shared" si="432"/>
        <v>-4.6020669552159887E-2</v>
      </c>
      <c r="CZ169" s="441">
        <f t="shared" si="432"/>
        <v>-2.4403373407500539E-2</v>
      </c>
      <c r="DA169" s="441">
        <f t="shared" si="432"/>
        <v>-5.5784179240969678E-3</v>
      </c>
      <c r="DB169" s="1198">
        <f t="shared" si="432"/>
        <v>-2.8447853198932394E-2</v>
      </c>
      <c r="DC169" s="441">
        <f t="shared" si="433"/>
        <v>2.2921827474836176E-2</v>
      </c>
      <c r="DD169" s="441">
        <f t="shared" si="433"/>
        <v>6.8518518518518867E-3</v>
      </c>
      <c r="DE169" s="441">
        <f t="shared" si="433"/>
        <v>0</v>
      </c>
      <c r="DF169" s="441">
        <f t="shared" si="433"/>
        <v>0</v>
      </c>
      <c r="DG169" s="1198">
        <f t="shared" si="433"/>
        <v>7.3570849577335728E-3</v>
      </c>
      <c r="DH169" s="441">
        <f t="shared" si="433"/>
        <v>0</v>
      </c>
      <c r="DI169" s="441">
        <f t="shared" si="433"/>
        <v>0</v>
      </c>
      <c r="DJ169" s="441">
        <f t="shared" si="433"/>
        <v>0</v>
      </c>
      <c r="DK169" s="441">
        <f t="shared" si="433"/>
        <v>0</v>
      </c>
      <c r="DL169" s="1198">
        <f t="shared" si="433"/>
        <v>0</v>
      </c>
      <c r="DM169" s="441">
        <f t="shared" si="433"/>
        <v>0</v>
      </c>
      <c r="DN169" s="441">
        <f t="shared" si="433"/>
        <v>0</v>
      </c>
      <c r="DO169" s="441">
        <f t="shared" si="433"/>
        <v>0</v>
      </c>
      <c r="DP169" s="441">
        <f t="shared" si="433"/>
        <v>0</v>
      </c>
      <c r="DQ169" s="441"/>
      <c r="DR169" s="441"/>
      <c r="DS169" s="441"/>
      <c r="DT169" s="441"/>
      <c r="DU169" s="441"/>
      <c r="DV169" s="441"/>
      <c r="DW169" s="441"/>
      <c r="DX169" s="441"/>
      <c r="DY169" s="441"/>
      <c r="DZ169" s="441"/>
      <c r="EA169" s="441"/>
      <c r="EB169" s="441"/>
      <c r="EC169" s="441"/>
      <c r="ED169" s="441"/>
      <c r="EE169" s="441"/>
      <c r="EF169" s="441"/>
      <c r="EG169" s="441"/>
      <c r="EH169" s="441"/>
      <c r="EI169" s="441"/>
      <c r="EJ169" s="441"/>
      <c r="EK169" s="441"/>
      <c r="EL169" s="441"/>
      <c r="EM169" s="441"/>
      <c r="EN169" s="441"/>
      <c r="EO169" s="441"/>
      <c r="EP169" s="441"/>
      <c r="EQ169" s="441"/>
      <c r="ER169" s="441"/>
      <c r="ES169" s="441"/>
      <c r="ET169" s="441"/>
      <c r="EU169" s="441"/>
      <c r="EV169" s="441"/>
      <c r="EW169" s="441"/>
      <c r="EX169" s="441"/>
      <c r="EY169" s="441"/>
      <c r="EZ169" s="441"/>
      <c r="FA169" s="441"/>
      <c r="FB169" s="441"/>
      <c r="FC169" s="441"/>
      <c r="FD169" s="441"/>
      <c r="FF169" s="441"/>
    </row>
    <row r="170" spans="1:170" ht="11.25" hidden="1" customHeight="1">
      <c r="A170" s="1626" t="s">
        <v>423</v>
      </c>
      <c r="B170" s="444"/>
      <c r="C170" s="444"/>
      <c r="D170" s="444"/>
      <c r="E170" s="444"/>
      <c r="F170" s="421"/>
      <c r="G170" s="444"/>
      <c r="H170" s="444"/>
      <c r="I170" s="444"/>
      <c r="J170" s="444"/>
      <c r="K170" s="421"/>
      <c r="L170" s="444"/>
      <c r="M170" s="444"/>
      <c r="N170" s="444"/>
      <c r="O170" s="444"/>
      <c r="P170" s="421"/>
      <c r="Q170" s="444"/>
      <c r="R170" s="444"/>
      <c r="S170" s="444"/>
      <c r="T170" s="444"/>
      <c r="U170" s="421"/>
      <c r="V170" s="444"/>
      <c r="W170" s="444"/>
      <c r="X170" s="444"/>
      <c r="Y170" s="444"/>
      <c r="Z170" s="421"/>
      <c r="AA170" s="444"/>
      <c r="AB170" s="444"/>
      <c r="AC170" s="444"/>
      <c r="AD170" s="444"/>
      <c r="AE170" s="421"/>
      <c r="AF170" s="444"/>
      <c r="AG170" s="444"/>
      <c r="AH170" s="444"/>
      <c r="AI170" s="444"/>
      <c r="AJ170" s="421"/>
      <c r="AK170" s="444"/>
      <c r="AL170" s="444"/>
      <c r="AM170" s="444"/>
      <c r="AN170" s="444"/>
      <c r="AO170" s="421"/>
      <c r="AP170" s="444"/>
      <c r="AQ170" s="444"/>
      <c r="AR170" s="444"/>
      <c r="AS170" s="444"/>
      <c r="AT170" s="421"/>
      <c r="AU170" s="444"/>
      <c r="AV170" s="444"/>
      <c r="AW170" s="444"/>
      <c r="AX170" s="444"/>
      <c r="AY170" s="421"/>
      <c r="AZ170" s="1199">
        <f>-(AZ159/AU159-1)</f>
        <v>3.6304533505817305E-2</v>
      </c>
      <c r="BA170" s="445">
        <f>-(BA159/AV159-1)</f>
        <v>4.3744641177400956E-2</v>
      </c>
      <c r="BB170" s="445">
        <f>-(BB159/AW159-1)</f>
        <v>5.0227064778517461E-2</v>
      </c>
      <c r="BC170" s="445">
        <f>-(BC159/AX159-1)</f>
        <v>5.7893058360795169E-2</v>
      </c>
      <c r="BD170" s="442"/>
      <c r="BE170" s="1199">
        <f>-(BE159/AZ159-1)</f>
        <v>8.3351260186037779E-2</v>
      </c>
      <c r="BF170" s="445">
        <f>-(BF159/BA159-1)</f>
        <v>9.5352299040687871E-2</v>
      </c>
      <c r="BG170" s="445">
        <f>-(BG159/BB159-1)</f>
        <v>9.3893217140761265E-2</v>
      </c>
      <c r="BH170" s="445">
        <f>-(BH159/BC159-1)</f>
        <v>7.5562279163335355E-2</v>
      </c>
      <c r="BI170" s="442"/>
      <c r="BJ170" s="1199">
        <f>-(BJ159/BE159-1)</f>
        <v>3.8918665597473256E-2</v>
      </c>
      <c r="BK170" s="445">
        <f>-(BK159/BF159-1)</f>
        <v>1.5604976141155413E-2</v>
      </c>
      <c r="BL170" s="445">
        <f>-(BL159/BG159-1)</f>
        <v>1.9950370606165446E-3</v>
      </c>
      <c r="BM170" s="446">
        <f>-(BM159/BH159-1)</f>
        <v>1.3052676379311512E-3</v>
      </c>
      <c r="BN170" s="445"/>
      <c r="BO170" s="1199">
        <f t="shared" ref="BO170:BW170" si="434">-(BO159/BJ159-1)</f>
        <v>9.1021037268224081E-4</v>
      </c>
      <c r="BP170" s="445">
        <f t="shared" si="434"/>
        <v>1.2200762323874015E-3</v>
      </c>
      <c r="BQ170" s="445">
        <f t="shared" si="434"/>
        <v>9.5287758639055475E-3</v>
      </c>
      <c r="BR170" s="445">
        <f t="shared" si="434"/>
        <v>2.4839581498656838E-2</v>
      </c>
      <c r="BS170" s="1200">
        <f t="shared" si="434"/>
        <v>9.1221433210803005E-3</v>
      </c>
      <c r="BT170" s="1199">
        <f t="shared" si="434"/>
        <v>3.4635443835376534E-2</v>
      </c>
      <c r="BU170" s="445">
        <f t="shared" si="434"/>
        <v>4.582554714572129E-2</v>
      </c>
      <c r="BV170" s="445">
        <f t="shared" si="434"/>
        <v>5.0238562927775066E-2</v>
      </c>
      <c r="BW170" s="446">
        <f t="shared" si="434"/>
        <v>4.3930120243575899E-2</v>
      </c>
      <c r="BX170" s="445"/>
      <c r="BY170" s="1199">
        <f t="shared" si="428"/>
        <v>-4.1612632288205109E-2</v>
      </c>
      <c r="BZ170" s="445">
        <f t="shared" si="428"/>
        <v>-2.6019931610838376E-2</v>
      </c>
      <c r="CA170" s="445">
        <f t="shared" si="428"/>
        <v>-1.0133490962969227E-2</v>
      </c>
      <c r="CB170" s="446">
        <f t="shared" si="428"/>
        <v>-1.8193312366275083E-2</v>
      </c>
      <c r="CC170" s="445"/>
      <c r="CD170" s="1199">
        <f>-(CD159/BY159-1)</f>
        <v>1.3459491936849144E-2</v>
      </c>
      <c r="CE170" s="445">
        <f>-(CE159/BZ159-1)</f>
        <v>2.7672620550269422E-2</v>
      </c>
      <c r="CF170" s="445">
        <f>-(CF159/CA159-1)</f>
        <v>3.5624147230554404E-2</v>
      </c>
      <c r="CG170" s="446">
        <f>-(CG159/CB159-1)</f>
        <v>2.4094534150827962E-2</v>
      </c>
      <c r="CH170" s="445"/>
      <c r="CI170" s="445">
        <f>-(CI159/CD159-1)</f>
        <v>1.9942808240412946E-2</v>
      </c>
      <c r="CJ170" s="445">
        <f>-(CJ159/CE159-1)</f>
        <v>-1.2416871365810822E-2</v>
      </c>
      <c r="CK170" s="445">
        <f>-(CK159/CF159-1)</f>
        <v>-6.46582856600042E-3</v>
      </c>
      <c r="CL170" s="446">
        <f>-(CL159/CG159-1)</f>
        <v>-9.5251717670232772E-3</v>
      </c>
      <c r="CM170" s="445"/>
      <c r="CN170" s="445">
        <f>-(CN159/CI159-1)</f>
        <v>-2.2356813524590402E-2</v>
      </c>
      <c r="CO170" s="445">
        <f>-(CO159/CJ159-1)</f>
        <v>4.4267878849328923E-3</v>
      </c>
      <c r="CP170" s="445">
        <f>-(CP159/CK159-1)</f>
        <v>-2.2455032426199839E-2</v>
      </c>
      <c r="CQ170" s="1243">
        <f>-(CQ159/CL159-1)</f>
        <v>-3.9993210338660878E-2</v>
      </c>
      <c r="CR170" s="1243"/>
      <c r="CS170" s="445">
        <f t="shared" ref="CS170:DB170" si="435">-(CS159/CN159-1)</f>
        <v>-4.8410561056055013E-2</v>
      </c>
      <c r="CT170" s="445">
        <f t="shared" si="435"/>
        <v>-4.8623725448242228E-2</v>
      </c>
      <c r="CU170" s="445">
        <f t="shared" si="435"/>
        <v>-5.5622431074682011E-2</v>
      </c>
      <c r="CV170" s="445">
        <f t="shared" si="435"/>
        <v>-6.0078486272348686E-2</v>
      </c>
      <c r="CW170" s="1200">
        <f t="shared" si="435"/>
        <v>-5.3239635853082667E-2</v>
      </c>
      <c r="CX170" s="445">
        <f t="shared" si="435"/>
        <v>-5.5827645624064948E-2</v>
      </c>
      <c r="CY170" s="445">
        <f t="shared" si="435"/>
        <v>-5.9742788338371655E-2</v>
      </c>
      <c r="CZ170" s="445">
        <f t="shared" si="435"/>
        <v>-3.6639064636840413E-2</v>
      </c>
      <c r="DA170" s="445">
        <f t="shared" si="435"/>
        <v>-1.7539460097359294E-2</v>
      </c>
      <c r="DB170" s="1200">
        <f t="shared" si="435"/>
        <v>-4.2164199853458095E-2</v>
      </c>
      <c r="DC170" s="445">
        <f t="shared" ref="DC170:DP170" si="436">-(DC159/CX159-1)</f>
        <v>7.8223458346016184E-4</v>
      </c>
      <c r="DD170" s="445">
        <f t="shared" si="436"/>
        <v>-5.1733307547263685E-4</v>
      </c>
      <c r="DE170" s="445">
        <f t="shared" si="436"/>
        <v>0</v>
      </c>
      <c r="DF170" s="445">
        <f t="shared" si="436"/>
        <v>0</v>
      </c>
      <c r="DG170" s="1200">
        <f t="shared" si="436"/>
        <v>6.6440928578437308E-5</v>
      </c>
      <c r="DH170" s="445">
        <f t="shared" si="436"/>
        <v>0</v>
      </c>
      <c r="DI170" s="445">
        <f t="shared" si="436"/>
        <v>0</v>
      </c>
      <c r="DJ170" s="445">
        <f t="shared" si="436"/>
        <v>0</v>
      </c>
      <c r="DK170" s="445">
        <f t="shared" si="436"/>
        <v>0</v>
      </c>
      <c r="DL170" s="1200">
        <f t="shared" si="436"/>
        <v>0</v>
      </c>
      <c r="DM170" s="445">
        <f t="shared" si="436"/>
        <v>0</v>
      </c>
      <c r="DN170" s="445">
        <f t="shared" si="436"/>
        <v>0</v>
      </c>
      <c r="DO170" s="445">
        <f t="shared" si="436"/>
        <v>0</v>
      </c>
      <c r="DP170" s="445">
        <f t="shared" si="436"/>
        <v>0</v>
      </c>
      <c r="DQ170" s="445"/>
      <c r="DR170" s="445"/>
      <c r="DS170" s="445"/>
      <c r="DT170" s="445"/>
      <c r="DU170" s="445"/>
      <c r="DV170" s="445"/>
      <c r="DW170" s="445"/>
      <c r="DX170" s="445"/>
      <c r="DY170" s="445"/>
      <c r="DZ170" s="445"/>
      <c r="EA170" s="445"/>
      <c r="EB170" s="445"/>
      <c r="EC170" s="445"/>
      <c r="ED170" s="445"/>
      <c r="EE170" s="445"/>
      <c r="EF170" s="445"/>
      <c r="EG170" s="445"/>
      <c r="EH170" s="445"/>
      <c r="EI170" s="445"/>
      <c r="EJ170" s="445"/>
      <c r="EK170" s="445"/>
      <c r="EL170" s="445"/>
      <c r="EM170" s="445"/>
      <c r="EN170" s="445"/>
      <c r="EO170" s="445"/>
      <c r="EP170" s="445"/>
      <c r="EQ170" s="445"/>
      <c r="ER170" s="445"/>
      <c r="ES170" s="445"/>
      <c r="ET170" s="445"/>
      <c r="EU170" s="445"/>
      <c r="EV170" s="445"/>
      <c r="EW170" s="445"/>
      <c r="EX170" s="445"/>
      <c r="EY170" s="445"/>
      <c r="EZ170" s="445"/>
      <c r="FA170" s="445"/>
      <c r="FB170" s="445"/>
      <c r="FC170" s="445"/>
      <c r="FD170" s="445"/>
      <c r="FF170" s="445"/>
    </row>
    <row r="171" spans="1:170" ht="11.25" hidden="1" customHeight="1">
      <c r="A171" s="1626" t="s">
        <v>424</v>
      </c>
      <c r="B171" s="440"/>
      <c r="C171" s="440"/>
      <c r="D171" s="440"/>
      <c r="E171" s="440"/>
      <c r="F171" s="421"/>
      <c r="G171" s="440"/>
      <c r="H171" s="440"/>
      <c r="I171" s="440"/>
      <c r="J171" s="440"/>
      <c r="K171" s="421"/>
      <c r="L171" s="440"/>
      <c r="M171" s="440"/>
      <c r="N171" s="440"/>
      <c r="O171" s="440"/>
      <c r="P171" s="421"/>
      <c r="Q171" s="440"/>
      <c r="R171" s="440"/>
      <c r="S171" s="440"/>
      <c r="T171" s="440"/>
      <c r="U171" s="421"/>
      <c r="V171" s="440"/>
      <c r="W171" s="440"/>
      <c r="X171" s="440"/>
      <c r="Y171" s="440"/>
      <c r="Z171" s="421"/>
      <c r="AA171" s="440"/>
      <c r="AB171" s="440"/>
      <c r="AC171" s="440"/>
      <c r="AD171" s="440"/>
      <c r="AE171" s="421"/>
      <c r="AF171" s="440"/>
      <c r="AG171" s="440"/>
      <c r="AH171" s="440"/>
      <c r="AI171" s="440"/>
      <c r="AJ171" s="421"/>
      <c r="AK171" s="440"/>
      <c r="AL171" s="440"/>
      <c r="AM171" s="440"/>
      <c r="AN171" s="440"/>
      <c r="AO171" s="421"/>
      <c r="AP171" s="440"/>
      <c r="AQ171" s="440"/>
      <c r="AR171" s="440"/>
      <c r="AS171" s="440"/>
      <c r="AT171" s="421"/>
      <c r="AU171" s="440"/>
      <c r="AV171" s="440"/>
      <c r="AW171" s="440"/>
      <c r="AX171" s="440"/>
      <c r="AY171" s="421"/>
      <c r="AZ171" s="1197">
        <f>AZ160/AU160-1</f>
        <v>7.0594072804366581E-2</v>
      </c>
      <c r="BA171" s="441">
        <f>BA160/AV160-1</f>
        <v>0.11237799467613141</v>
      </c>
      <c r="BB171" s="441">
        <f>BB160/AW160-1</f>
        <v>0.12368733248385233</v>
      </c>
      <c r="BC171" s="441">
        <f>BC160/AX160-1</f>
        <v>0.1456215710458042</v>
      </c>
      <c r="BD171" s="442"/>
      <c r="BE171" s="1197">
        <f>BE160/AZ160-1</f>
        <v>0.15429341872419333</v>
      </c>
      <c r="BF171" s="441">
        <f>BF160/BA160-1</f>
        <v>0.13931320544011494</v>
      </c>
      <c r="BG171" s="441">
        <f>BG160/BB160-1</f>
        <v>6.6714632048174183E-2</v>
      </c>
      <c r="BH171" s="441">
        <f>BH160/BC160-1</f>
        <v>-0.25002784274418066</v>
      </c>
      <c r="BI171" s="442"/>
      <c r="BJ171" s="1197">
        <f>BJ160/BE160-1</f>
        <v>-0.27127430169480116</v>
      </c>
      <c r="BK171" s="441">
        <f>BK160/BF160-1</f>
        <v>-0.20232094097878595</v>
      </c>
      <c r="BL171" s="441">
        <f>BL160/BG160-1</f>
        <v>-8.7786508583527545E-2</v>
      </c>
      <c r="BM171" s="443">
        <f>BM160/BH160-1</f>
        <v>0.3469175612032751</v>
      </c>
      <c r="BN171" s="441"/>
      <c r="BO171" s="1197">
        <f>BO160/BJ160-1</f>
        <v>0.35716283799426574</v>
      </c>
      <c r="BP171" s="441">
        <f>BP160/BK160-1</f>
        <v>0.16041735237969856</v>
      </c>
      <c r="BQ171" s="441">
        <f>BQ160/BL160-1</f>
        <v>9.2749652678333572E-2</v>
      </c>
      <c r="BR171" s="441">
        <f>BR160/BM160-1</f>
        <v>8.8128905005312674E-2</v>
      </c>
      <c r="BS171" s="1198"/>
      <c r="BT171" s="1197">
        <f>BT160/BO160-1</f>
        <v>0.11363516833067644</v>
      </c>
      <c r="BU171" s="441">
        <f>BU160/BP160-1</f>
        <v>0.20597636526363106</v>
      </c>
      <c r="BV171" s="441">
        <f>BV160/BQ160-1</f>
        <v>0.15808195785217594</v>
      </c>
      <c r="BW171" s="443">
        <f>BW160/BR160-1</f>
        <v>2.6286931045421458E-2</v>
      </c>
      <c r="BX171" s="441"/>
      <c r="BY171" s="1197">
        <f t="shared" si="428"/>
        <v>4.9545955689481502E-2</v>
      </c>
      <c r="BZ171" s="441">
        <f t="shared" si="428"/>
        <v>-4.9903605669028517E-2</v>
      </c>
      <c r="CA171" s="441">
        <f t="shared" si="428"/>
        <v>-1.0034110981098188E-2</v>
      </c>
      <c r="CB171" s="443">
        <f t="shared" si="428"/>
        <v>2.5169562203646079E-2</v>
      </c>
      <c r="CC171" s="441"/>
      <c r="CD171" s="1197">
        <f>CD160/BY160-1</f>
        <v>-1.5595692493343249E-2</v>
      </c>
      <c r="CE171" s="441">
        <f>CE160/BZ160-1</f>
        <v>-1.8151606383036589E-2</v>
      </c>
      <c r="CF171" s="441">
        <f>CF160/CA160-1</f>
        <v>-0.11841637467669153</v>
      </c>
      <c r="CG171" s="443">
        <f>CG160/CB160-1</f>
        <v>-0.10690830032028154</v>
      </c>
      <c r="CH171" s="441"/>
      <c r="CI171" s="441">
        <f>CI160/CD160-1</f>
        <v>-0.13391072618254485</v>
      </c>
      <c r="CJ171" s="441">
        <f>CJ160/CE160-1</f>
        <v>-5.8976948746934155E-2</v>
      </c>
      <c r="CK171" s="441">
        <f>CK160/CF160-1</f>
        <v>9.2951027009569032E-3</v>
      </c>
      <c r="CL171" s="443">
        <f>CL160/CG160-1</f>
        <v>-7.8388477078489949E-2</v>
      </c>
      <c r="CM171" s="441"/>
      <c r="CN171" s="441">
        <f>CN160/CI160-1</f>
        <v>-0.12604166666666672</v>
      </c>
      <c r="CO171" s="441">
        <f>CO160/CJ160-1</f>
        <v>-0.16621599786317032</v>
      </c>
      <c r="CP171" s="441">
        <f>CP160/CK160-1</f>
        <v>-0.21543834291423136</v>
      </c>
      <c r="CQ171" s="1242">
        <f>CQ160/CL160-1</f>
        <v>-0.15707300988498252</v>
      </c>
      <c r="CR171" s="1242"/>
      <c r="CS171" s="441">
        <f t="shared" ref="CS171:DB171" si="437">CS160/CN160-1</f>
        <v>-8.0771370068152049E-2</v>
      </c>
      <c r="CT171" s="441">
        <f t="shared" si="437"/>
        <v>-3.6237257635531206E-2</v>
      </c>
      <c r="CU171" s="441">
        <f t="shared" si="437"/>
        <v>3.6773106154748936E-2</v>
      </c>
      <c r="CV171" s="441">
        <f t="shared" si="437"/>
        <v>4.8352734576274869E-2</v>
      </c>
      <c r="CW171" s="1198">
        <f t="shared" si="437"/>
        <v>-1.003570583990776E-2</v>
      </c>
      <c r="CX171" s="441">
        <f t="shared" si="437"/>
        <v>3.4995141533856966E-2</v>
      </c>
      <c r="CY171" s="441">
        <f t="shared" si="437"/>
        <v>3.1563972614918612E-3</v>
      </c>
      <c r="CZ171" s="441">
        <f t="shared" si="437"/>
        <v>-7.0909413224606865E-3</v>
      </c>
      <c r="DA171" s="441">
        <f t="shared" si="437"/>
        <v>-1.1210168593874026E-2</v>
      </c>
      <c r="DB171" s="1198">
        <f t="shared" si="437"/>
        <v>4.6537439021243632E-3</v>
      </c>
      <c r="DC171" s="441">
        <f t="shared" ref="DC171:DP171" si="438">DC160/CX160-1</f>
        <v>-2.0489977728286313E-3</v>
      </c>
      <c r="DD171" s="441">
        <f t="shared" si="438"/>
        <v>-7.1349434965654046E-3</v>
      </c>
      <c r="DE171" s="441">
        <f t="shared" si="438"/>
        <v>0</v>
      </c>
      <c r="DF171" s="441">
        <f t="shared" si="438"/>
        <v>0</v>
      </c>
      <c r="DG171" s="1198">
        <f t="shared" si="438"/>
        <v>-2.304532246751867E-3</v>
      </c>
      <c r="DH171" s="441">
        <f t="shared" si="438"/>
        <v>0</v>
      </c>
      <c r="DI171" s="441">
        <f t="shared" si="438"/>
        <v>0</v>
      </c>
      <c r="DJ171" s="441">
        <f t="shared" si="438"/>
        <v>0</v>
      </c>
      <c r="DK171" s="441">
        <f t="shared" si="438"/>
        <v>0</v>
      </c>
      <c r="DL171" s="1198">
        <f t="shared" si="438"/>
        <v>0</v>
      </c>
      <c r="DM171" s="441">
        <f t="shared" si="438"/>
        <v>0</v>
      </c>
      <c r="DN171" s="441">
        <f t="shared" si="438"/>
        <v>0</v>
      </c>
      <c r="DO171" s="441">
        <f t="shared" si="438"/>
        <v>0</v>
      </c>
      <c r="DP171" s="441">
        <f t="shared" si="438"/>
        <v>0</v>
      </c>
      <c r="DQ171" s="441"/>
      <c r="DR171" s="441"/>
      <c r="DS171" s="441"/>
      <c r="DT171" s="441"/>
      <c r="DU171" s="441"/>
      <c r="DV171" s="441"/>
      <c r="DW171" s="441"/>
      <c r="DX171" s="441"/>
      <c r="DY171" s="441"/>
      <c r="DZ171" s="441"/>
      <c r="EA171" s="441"/>
      <c r="EB171" s="441"/>
      <c r="EC171" s="441"/>
      <c r="ED171" s="441"/>
      <c r="EE171" s="441"/>
      <c r="EF171" s="441"/>
      <c r="EG171" s="441"/>
      <c r="EH171" s="441"/>
      <c r="EI171" s="441"/>
      <c r="EJ171" s="441"/>
      <c r="EK171" s="441"/>
      <c r="EL171" s="441"/>
      <c r="EM171" s="441"/>
      <c r="EN171" s="441"/>
      <c r="EO171" s="441"/>
      <c r="EP171" s="441"/>
      <c r="EQ171" s="441"/>
      <c r="ER171" s="441"/>
      <c r="ES171" s="441"/>
      <c r="ET171" s="441"/>
      <c r="EU171" s="441"/>
      <c r="EV171" s="441"/>
      <c r="EW171" s="441"/>
      <c r="EX171" s="441"/>
      <c r="EY171" s="441"/>
      <c r="EZ171" s="441"/>
      <c r="FA171" s="441"/>
      <c r="FB171" s="441"/>
      <c r="FC171" s="441"/>
      <c r="FD171" s="441"/>
      <c r="FF171" s="441"/>
    </row>
    <row r="172" spans="1:170" ht="11.25" hidden="1" customHeight="1">
      <c r="A172" s="1626" t="s">
        <v>425</v>
      </c>
      <c r="B172" s="444"/>
      <c r="C172" s="444"/>
      <c r="D172" s="444"/>
      <c r="E172" s="444"/>
      <c r="F172" s="421"/>
      <c r="G172" s="444"/>
      <c r="H172" s="444"/>
      <c r="I172" s="444"/>
      <c r="J172" s="444"/>
      <c r="K172" s="421"/>
      <c r="L172" s="444"/>
      <c r="M172" s="444"/>
      <c r="N172" s="444"/>
      <c r="O172" s="444"/>
      <c r="P172" s="421"/>
      <c r="Q172" s="444"/>
      <c r="R172" s="444"/>
      <c r="S172" s="444"/>
      <c r="T172" s="444"/>
      <c r="U172" s="421"/>
      <c r="V172" s="444"/>
      <c r="W172" s="444"/>
      <c r="X172" s="444"/>
      <c r="Y172" s="444"/>
      <c r="Z172" s="421"/>
      <c r="AA172" s="444"/>
      <c r="AB172" s="444"/>
      <c r="AC172" s="444"/>
      <c r="AD172" s="444"/>
      <c r="AE172" s="421"/>
      <c r="AF172" s="444"/>
      <c r="AG172" s="444"/>
      <c r="AH172" s="444"/>
      <c r="AI172" s="444"/>
      <c r="AJ172" s="421"/>
      <c r="AK172" s="444"/>
      <c r="AL172" s="444"/>
      <c r="AM172" s="444"/>
      <c r="AN172" s="444"/>
      <c r="AO172" s="421"/>
      <c r="AP172" s="444"/>
      <c r="AQ172" s="444"/>
      <c r="AR172" s="444"/>
      <c r="AS172" s="444"/>
      <c r="AT172" s="421"/>
      <c r="AU172" s="444"/>
      <c r="AV172" s="444"/>
      <c r="AW172" s="444"/>
      <c r="AX172" s="444"/>
      <c r="AY172" s="421"/>
      <c r="AZ172" s="1199">
        <f>-(AZ161/AU161-1)</f>
        <v>-1.8018046527540132E-2</v>
      </c>
      <c r="BA172" s="445">
        <f>-(BA161/AV161-1)</f>
        <v>-6.6121036111355558E-2</v>
      </c>
      <c r="BB172" s="445">
        <f>-(BB161/AW161-1)</f>
        <v>3.0549607423269176E-3</v>
      </c>
      <c r="BC172" s="445">
        <f>-(BC161/AX161-1)</f>
        <v>3.8309047347015346E-2</v>
      </c>
      <c r="BD172" s="442"/>
      <c r="BE172" s="1199">
        <f>-(BE161/AZ161-1)</f>
        <v>0.13218328855765404</v>
      </c>
      <c r="BF172" s="445">
        <f>-(BF161/BA161-1)</f>
        <v>0.13146960900310933</v>
      </c>
      <c r="BG172" s="445">
        <f>-(BG161/BB161-1)</f>
        <v>7.2944427761367447E-2</v>
      </c>
      <c r="BH172" s="445">
        <f>-(BH161/BC161-1)</f>
        <v>0.15002715539624845</v>
      </c>
      <c r="BI172" s="442"/>
      <c r="BJ172" s="1199">
        <f>-(BJ161/BE161-1)</f>
        <v>9.4679156199422132E-2</v>
      </c>
      <c r="BK172" s="445">
        <f>-(BK161/BF161-1)</f>
        <v>7.3864231317549711E-2</v>
      </c>
      <c r="BL172" s="445">
        <f>-(BL161/BG161-1)</f>
        <v>0.13417910370386499</v>
      </c>
      <c r="BM172" s="446">
        <f>-(BM161/BH161-1)</f>
        <v>6.1934215321813202E-2</v>
      </c>
      <c r="BN172" s="445"/>
      <c r="BO172" s="1199">
        <f t="shared" ref="BO172:BW172" si="439">-(BO161/BJ161-1)</f>
        <v>2.8486348986783927E-2</v>
      </c>
      <c r="BP172" s="445">
        <f t="shared" si="439"/>
        <v>5.7671539473416522E-2</v>
      </c>
      <c r="BQ172" s="445">
        <f t="shared" si="439"/>
        <v>8.2306494681647746E-2</v>
      </c>
      <c r="BR172" s="445">
        <f t="shared" si="439"/>
        <v>8.2042707254543545E-2</v>
      </c>
      <c r="BS172" s="1200">
        <f t="shared" si="439"/>
        <v>6.2384219966345578E-2</v>
      </c>
      <c r="BT172" s="1199">
        <f t="shared" si="439"/>
        <v>9.4614286406727421E-2</v>
      </c>
      <c r="BU172" s="445">
        <f t="shared" si="439"/>
        <v>0.11166255695944294</v>
      </c>
      <c r="BV172" s="445">
        <f t="shared" si="439"/>
        <v>9.3829832422467008E-2</v>
      </c>
      <c r="BW172" s="446">
        <f t="shared" si="439"/>
        <v>6.2888888988281599E-2</v>
      </c>
      <c r="BX172" s="445"/>
      <c r="BY172" s="1199">
        <f t="shared" si="428"/>
        <v>-3.5044154061831811E-2</v>
      </c>
      <c r="BZ172" s="445">
        <f t="shared" si="428"/>
        <v>-1.818126952034671E-2</v>
      </c>
      <c r="CA172" s="445">
        <f t="shared" si="428"/>
        <v>1.195088350847695E-2</v>
      </c>
      <c r="CB172" s="446">
        <f t="shared" si="428"/>
        <v>5.0258012693902954E-2</v>
      </c>
      <c r="CC172" s="445"/>
      <c r="CD172" s="1199">
        <f>-(CD161/BY161-1)</f>
        <v>-0.16267214560538057</v>
      </c>
      <c r="CE172" s="445">
        <f>-(CE161/BZ161-1)</f>
        <v>-0.23444604644591216</v>
      </c>
      <c r="CF172" s="445">
        <f>-(CF161/CA161-1)</f>
        <v>-0.25777500063004699</v>
      </c>
      <c r="CG172" s="446">
        <f>-(CG161/CB161-1)</f>
        <v>-0.23665719336719881</v>
      </c>
      <c r="CH172" s="445"/>
      <c r="CI172" s="445">
        <f>-(CI161/CD161-1)</f>
        <v>-0.11428881034942684</v>
      </c>
      <c r="CJ172" s="445">
        <f>-(CJ161/CE161-1)</f>
        <v>-3.3114307174838542E-2</v>
      </c>
      <c r="CK172" s="445">
        <f>-(CK161/CF161-1)</f>
        <v>-5.2404252641515381E-2</v>
      </c>
      <c r="CL172" s="446">
        <f>-(CL161/CG161-1)</f>
        <v>-0.13994571363944752</v>
      </c>
      <c r="CM172" s="445"/>
      <c r="CN172" s="445">
        <f t="shared" ref="CN172:CQ174" si="440">-(CN161/CI161-1)</f>
        <v>-0.1589121608480013</v>
      </c>
      <c r="CO172" s="445">
        <f t="shared" si="440"/>
        <v>-0.18813742368990716</v>
      </c>
      <c r="CP172" s="445">
        <f t="shared" si="440"/>
        <v>-0.17385415703740037</v>
      </c>
      <c r="CQ172" s="1243">
        <f t="shared" si="440"/>
        <v>-6.0258877843258229E-2</v>
      </c>
      <c r="CR172" s="1243"/>
      <c r="CS172" s="445">
        <f t="shared" ref="CS172:DB174" si="441">-(CS161/CN161-1)</f>
        <v>3.3054127363509545E-2</v>
      </c>
      <c r="CT172" s="445">
        <f t="shared" si="441"/>
        <v>9.4118382842635295E-2</v>
      </c>
      <c r="CU172" s="445">
        <f t="shared" si="441"/>
        <v>0.15768832441349179</v>
      </c>
      <c r="CV172" s="445">
        <f t="shared" si="441"/>
        <v>0.11992643866312014</v>
      </c>
      <c r="CW172" s="1200">
        <f t="shared" si="441"/>
        <v>0.10160146015733718</v>
      </c>
      <c r="CX172" s="445">
        <f t="shared" si="441"/>
        <v>9.1570127738013207E-3</v>
      </c>
      <c r="CY172" s="445">
        <f t="shared" si="441"/>
        <v>-1.2158884172225548E-2</v>
      </c>
      <c r="CZ172" s="445">
        <f t="shared" si="441"/>
        <v>-8.0793028604749129E-2</v>
      </c>
      <c r="DA172" s="445">
        <f t="shared" si="441"/>
        <v>-4.0545176683404405E-2</v>
      </c>
      <c r="DB172" s="1200">
        <f t="shared" si="441"/>
        <v>-2.9724095395269989E-2</v>
      </c>
      <c r="DC172" s="445">
        <f t="shared" ref="DC172:DP174" si="442">-(DC161/CX161-1)</f>
        <v>2.5983125565643861E-2</v>
      </c>
      <c r="DD172" s="445">
        <f t="shared" si="442"/>
        <v>5.3922890266921986E-4</v>
      </c>
      <c r="DE172" s="445">
        <f t="shared" si="442"/>
        <v>0</v>
      </c>
      <c r="DF172" s="445">
        <f t="shared" si="442"/>
        <v>0</v>
      </c>
      <c r="DG172" s="1200">
        <f t="shared" si="442"/>
        <v>6.7579636796665232E-3</v>
      </c>
      <c r="DH172" s="445">
        <f t="shared" si="442"/>
        <v>0</v>
      </c>
      <c r="DI172" s="445">
        <f t="shared" si="442"/>
        <v>0</v>
      </c>
      <c r="DJ172" s="445">
        <f t="shared" si="442"/>
        <v>0</v>
      </c>
      <c r="DK172" s="445">
        <f t="shared" si="442"/>
        <v>0</v>
      </c>
      <c r="DL172" s="1200">
        <f t="shared" si="442"/>
        <v>0</v>
      </c>
      <c r="DM172" s="445">
        <f t="shared" si="442"/>
        <v>0</v>
      </c>
      <c r="DN172" s="445">
        <f t="shared" si="442"/>
        <v>0</v>
      </c>
      <c r="DO172" s="445">
        <f t="shared" si="442"/>
        <v>0</v>
      </c>
      <c r="DP172" s="445">
        <f t="shared" si="442"/>
        <v>0</v>
      </c>
      <c r="DQ172" s="445"/>
      <c r="DR172" s="445"/>
      <c r="DS172" s="445"/>
      <c r="DT172" s="445"/>
      <c r="DU172" s="445"/>
      <c r="DV172" s="445"/>
      <c r="DW172" s="445"/>
      <c r="DX172" s="445"/>
      <c r="DY172" s="445"/>
      <c r="DZ172" s="445"/>
      <c r="EA172" s="445"/>
      <c r="EB172" s="445"/>
      <c r="EC172" s="445"/>
      <c r="ED172" s="445"/>
      <c r="EE172" s="445"/>
      <c r="EF172" s="445"/>
      <c r="EG172" s="445"/>
      <c r="EH172" s="445"/>
      <c r="EI172" s="445"/>
      <c r="EJ172" s="445"/>
      <c r="EK172" s="445"/>
      <c r="EL172" s="445"/>
      <c r="EM172" s="445"/>
      <c r="EN172" s="445"/>
      <c r="EO172" s="445"/>
      <c r="EP172" s="445"/>
      <c r="EQ172" s="445"/>
      <c r="ER172" s="445"/>
      <c r="ES172" s="445"/>
      <c r="ET172" s="445"/>
      <c r="EU172" s="445"/>
      <c r="EV172" s="445"/>
      <c r="EW172" s="445"/>
      <c r="EX172" s="445"/>
      <c r="EY172" s="445"/>
      <c r="EZ172" s="445"/>
      <c r="FA172" s="445"/>
      <c r="FB172" s="445"/>
      <c r="FC172" s="445"/>
      <c r="FD172" s="445"/>
      <c r="FF172" s="445"/>
    </row>
    <row r="173" spans="1:170" ht="11.25" hidden="1" customHeight="1">
      <c r="A173" s="1626" t="s">
        <v>432</v>
      </c>
      <c r="B173" s="444"/>
      <c r="C173" s="444"/>
      <c r="D173" s="444"/>
      <c r="E173" s="444"/>
      <c r="F173" s="421"/>
      <c r="G173" s="444"/>
      <c r="H173" s="444"/>
      <c r="I173" s="444"/>
      <c r="J173" s="444"/>
      <c r="K173" s="421"/>
      <c r="L173" s="444"/>
      <c r="M173" s="444"/>
      <c r="N173" s="444"/>
      <c r="O173" s="444"/>
      <c r="P173" s="421"/>
      <c r="Q173" s="444"/>
      <c r="R173" s="444"/>
      <c r="S173" s="444"/>
      <c r="T173" s="444"/>
      <c r="U173" s="421"/>
      <c r="V173" s="444"/>
      <c r="W173" s="444"/>
      <c r="X173" s="444"/>
      <c r="Y173" s="444"/>
      <c r="Z173" s="421"/>
      <c r="AA173" s="444"/>
      <c r="AB173" s="444"/>
      <c r="AC173" s="444"/>
      <c r="AD173" s="444"/>
      <c r="AE173" s="421"/>
      <c r="AF173" s="444"/>
      <c r="AG173" s="444"/>
      <c r="AH173" s="444"/>
      <c r="AI173" s="444"/>
      <c r="AJ173" s="421"/>
      <c r="AK173" s="444"/>
      <c r="AL173" s="444"/>
      <c r="AM173" s="444"/>
      <c r="AN173" s="444"/>
      <c r="AO173" s="421"/>
      <c r="AP173" s="444"/>
      <c r="AQ173" s="444"/>
      <c r="AR173" s="444"/>
      <c r="AS173" s="444"/>
      <c r="AT173" s="421"/>
      <c r="AU173" s="444"/>
      <c r="AV173" s="444"/>
      <c r="AW173" s="444"/>
      <c r="AX173" s="444"/>
      <c r="AY173" s="421"/>
      <c r="AZ173" s="1199"/>
      <c r="BA173" s="445"/>
      <c r="BB173" s="445"/>
      <c r="BC173" s="445"/>
      <c r="BD173" s="442"/>
      <c r="BE173" s="1199"/>
      <c r="BF173" s="445"/>
      <c r="BG173" s="445"/>
      <c r="BH173" s="445"/>
      <c r="BI173" s="442"/>
      <c r="BJ173" s="1199"/>
      <c r="BK173" s="445"/>
      <c r="BL173" s="445"/>
      <c r="BM173" s="446"/>
      <c r="BN173" s="445"/>
      <c r="BO173" s="1199"/>
      <c r="BP173" s="445"/>
      <c r="BQ173" s="445"/>
      <c r="BR173" s="445"/>
      <c r="BS173" s="1200"/>
      <c r="BT173" s="1199"/>
      <c r="BU173" s="445"/>
      <c r="BV173" s="445"/>
      <c r="BW173" s="446"/>
      <c r="BX173" s="445"/>
      <c r="BY173" s="1199"/>
      <c r="BZ173" s="445"/>
      <c r="CA173" s="445"/>
      <c r="CB173" s="446"/>
      <c r="CC173" s="445"/>
      <c r="CD173" s="1199"/>
      <c r="CE173" s="445"/>
      <c r="CF173" s="445"/>
      <c r="CG173" s="446"/>
      <c r="CH173" s="445"/>
      <c r="CI173" s="445"/>
      <c r="CJ173" s="445"/>
      <c r="CK173" s="445"/>
      <c r="CL173" s="446"/>
      <c r="CM173" s="445"/>
      <c r="CN173" s="445">
        <f t="shared" si="440"/>
        <v>-0.21509545174018263</v>
      </c>
      <c r="CO173" s="445">
        <f t="shared" si="440"/>
        <v>-0.3775013552647164</v>
      </c>
      <c r="CP173" s="445">
        <f t="shared" si="440"/>
        <v>-0.55478812177276393</v>
      </c>
      <c r="CQ173" s="1243">
        <f t="shared" si="440"/>
        <v>-0.50931630502858827</v>
      </c>
      <c r="CR173" s="1243"/>
      <c r="CS173" s="445">
        <f t="shared" si="441"/>
        <v>-0.35730024419655093</v>
      </c>
      <c r="CT173" s="445">
        <f t="shared" si="441"/>
        <v>-0.15520346132644391</v>
      </c>
      <c r="CU173" s="445">
        <f t="shared" si="441"/>
        <v>8.6888942053256035E-2</v>
      </c>
      <c r="CV173" s="445">
        <f t="shared" si="441"/>
        <v>0.1467214607121492</v>
      </c>
      <c r="CW173" s="1200">
        <f t="shared" si="441"/>
        <v>-4.7390908694127543E-2</v>
      </c>
      <c r="CX173" s="445">
        <f t="shared" si="441"/>
        <v>0.18056794734984682</v>
      </c>
      <c r="CY173" s="445">
        <f t="shared" si="441"/>
        <v>0.10870709425166381</v>
      </c>
      <c r="CZ173" s="445">
        <f t="shared" si="441"/>
        <v>1.5182792147472424E-2</v>
      </c>
      <c r="DA173" s="445">
        <f t="shared" si="441"/>
        <v>3.0512711089434763E-2</v>
      </c>
      <c r="DB173" s="1200">
        <f t="shared" si="441"/>
        <v>8.8759463150928197E-2</v>
      </c>
      <c r="DC173" s="445">
        <f t="shared" si="442"/>
        <v>4.5175694850180248E-3</v>
      </c>
      <c r="DD173" s="445">
        <f t="shared" si="442"/>
        <v>-6.1689338816830475E-3</v>
      </c>
      <c r="DE173" s="445">
        <f t="shared" si="442"/>
        <v>0</v>
      </c>
      <c r="DF173" s="445">
        <f t="shared" si="442"/>
        <v>0</v>
      </c>
      <c r="DG173" s="1200">
        <f t="shared" si="442"/>
        <v>-3.9841890602554386E-4</v>
      </c>
      <c r="DH173" s="445">
        <f t="shared" si="442"/>
        <v>0</v>
      </c>
      <c r="DI173" s="445">
        <f t="shared" si="442"/>
        <v>0</v>
      </c>
      <c r="DJ173" s="445">
        <f t="shared" si="442"/>
        <v>0</v>
      </c>
      <c r="DK173" s="445">
        <f t="shared" si="442"/>
        <v>0</v>
      </c>
      <c r="DL173" s="1200">
        <f t="shared" si="442"/>
        <v>0</v>
      </c>
      <c r="DM173" s="445">
        <f t="shared" si="442"/>
        <v>0</v>
      </c>
      <c r="DN173" s="445">
        <f t="shared" si="442"/>
        <v>0</v>
      </c>
      <c r="DO173" s="445">
        <f t="shared" si="442"/>
        <v>0</v>
      </c>
      <c r="DP173" s="445">
        <f t="shared" si="442"/>
        <v>0</v>
      </c>
      <c r="DQ173" s="445"/>
      <c r="DR173" s="445"/>
      <c r="DS173" s="445"/>
      <c r="DT173" s="445"/>
      <c r="DU173" s="445"/>
      <c r="DV173" s="445"/>
      <c r="DW173" s="445"/>
      <c r="DX173" s="445"/>
      <c r="DY173" s="445"/>
      <c r="DZ173" s="445"/>
      <c r="EA173" s="445"/>
      <c r="EB173" s="445"/>
      <c r="EC173" s="445"/>
      <c r="ED173" s="445"/>
      <c r="EE173" s="445"/>
      <c r="EF173" s="445"/>
      <c r="EG173" s="445"/>
      <c r="EH173" s="445"/>
      <c r="EI173" s="445"/>
      <c r="EJ173" s="445"/>
      <c r="EK173" s="445"/>
      <c r="EL173" s="445"/>
      <c r="EM173" s="445"/>
      <c r="EN173" s="445"/>
      <c r="EO173" s="445"/>
      <c r="EP173" s="445"/>
      <c r="EQ173" s="445"/>
      <c r="ER173" s="445"/>
      <c r="ES173" s="445"/>
      <c r="ET173" s="445"/>
      <c r="EU173" s="445"/>
      <c r="EV173" s="445"/>
      <c r="EW173" s="445"/>
      <c r="EX173" s="445"/>
      <c r="EY173" s="445"/>
      <c r="EZ173" s="445"/>
      <c r="FA173" s="445"/>
      <c r="FB173" s="445"/>
      <c r="FC173" s="445"/>
      <c r="FD173" s="445"/>
      <c r="FF173" s="445"/>
    </row>
    <row r="174" spans="1:170" ht="11.25" hidden="1" customHeight="1">
      <c r="A174" s="1626" t="s">
        <v>433</v>
      </c>
      <c r="B174" s="444"/>
      <c r="C174" s="444"/>
      <c r="D174" s="444"/>
      <c r="E174" s="444"/>
      <c r="F174" s="421"/>
      <c r="G174" s="444"/>
      <c r="H174" s="444"/>
      <c r="I174" s="444"/>
      <c r="J174" s="444"/>
      <c r="K174" s="421"/>
      <c r="L174" s="444"/>
      <c r="M174" s="444"/>
      <c r="N174" s="444"/>
      <c r="O174" s="444"/>
      <c r="P174" s="421"/>
      <c r="Q174" s="444"/>
      <c r="R174" s="444"/>
      <c r="S174" s="444"/>
      <c r="T174" s="444"/>
      <c r="U174" s="421"/>
      <c r="V174" s="444"/>
      <c r="W174" s="444"/>
      <c r="X174" s="444"/>
      <c r="Y174" s="444"/>
      <c r="Z174" s="421"/>
      <c r="AA174" s="444"/>
      <c r="AB174" s="444"/>
      <c r="AC174" s="444"/>
      <c r="AD174" s="444"/>
      <c r="AE174" s="421"/>
      <c r="AF174" s="444"/>
      <c r="AG174" s="444"/>
      <c r="AH174" s="444"/>
      <c r="AI174" s="444"/>
      <c r="AJ174" s="421"/>
      <c r="AK174" s="444"/>
      <c r="AL174" s="444"/>
      <c r="AM174" s="444"/>
      <c r="AN174" s="444"/>
      <c r="AO174" s="421"/>
      <c r="AP174" s="444"/>
      <c r="AQ174" s="444"/>
      <c r="AR174" s="444"/>
      <c r="AS174" s="444"/>
      <c r="AT174" s="421"/>
      <c r="AU174" s="444"/>
      <c r="AV174" s="444"/>
      <c r="AW174" s="444"/>
      <c r="AX174" s="444"/>
      <c r="AY174" s="421"/>
      <c r="AZ174" s="1199"/>
      <c r="BA174" s="445"/>
      <c r="BB174" s="445"/>
      <c r="BC174" s="445"/>
      <c r="BD174" s="442"/>
      <c r="BE174" s="1199"/>
      <c r="BF174" s="445"/>
      <c r="BG174" s="445"/>
      <c r="BH174" s="445"/>
      <c r="BI174" s="442"/>
      <c r="BJ174" s="1199"/>
      <c r="BK174" s="445"/>
      <c r="BL174" s="445"/>
      <c r="BM174" s="446"/>
      <c r="BN174" s="445"/>
      <c r="BO174" s="1199"/>
      <c r="BP174" s="445"/>
      <c r="BQ174" s="445"/>
      <c r="BR174" s="445"/>
      <c r="BS174" s="1200"/>
      <c r="BT174" s="1199"/>
      <c r="BU174" s="445"/>
      <c r="BV174" s="445"/>
      <c r="BW174" s="446"/>
      <c r="BX174" s="445"/>
      <c r="BY174" s="1199"/>
      <c r="BZ174" s="445"/>
      <c r="CA174" s="445"/>
      <c r="CB174" s="446"/>
      <c r="CC174" s="445"/>
      <c r="CD174" s="1199"/>
      <c r="CE174" s="445"/>
      <c r="CF174" s="445"/>
      <c r="CG174" s="446"/>
      <c r="CH174" s="445"/>
      <c r="CI174" s="445"/>
      <c r="CJ174" s="445"/>
      <c r="CK174" s="445"/>
      <c r="CL174" s="446"/>
      <c r="CM174" s="445"/>
      <c r="CN174" s="445">
        <f t="shared" si="440"/>
        <v>-0.13000851115684231</v>
      </c>
      <c r="CO174" s="445">
        <f t="shared" si="440"/>
        <v>-0.17931899622480207</v>
      </c>
      <c r="CP174" s="445">
        <f t="shared" si="440"/>
        <v>-0.25313028999263332</v>
      </c>
      <c r="CQ174" s="1243">
        <f t="shared" si="440"/>
        <v>-0.20623472943302068</v>
      </c>
      <c r="CR174" s="1243"/>
      <c r="CS174" s="445">
        <f t="shared" si="441"/>
        <v>-0.20589580919099171</v>
      </c>
      <c r="CT174" s="445">
        <f t="shared" si="441"/>
        <v>-0.15122496074800518</v>
      </c>
      <c r="CU174" s="445">
        <f t="shared" si="441"/>
        <v>-0.13151856771747106</v>
      </c>
      <c r="CV174" s="445">
        <f t="shared" si="441"/>
        <v>-0.16939226674100416</v>
      </c>
      <c r="CW174" s="1200">
        <f t="shared" si="441"/>
        <v>-0.16379569308649033</v>
      </c>
      <c r="CX174" s="445">
        <f t="shared" si="441"/>
        <v>-0.13999701779474361</v>
      </c>
      <c r="CY174" s="445">
        <f t="shared" si="441"/>
        <v>-7.3882531668530982E-2</v>
      </c>
      <c r="CZ174" s="445">
        <f t="shared" si="441"/>
        <v>-2.4112855113254561E-2</v>
      </c>
      <c r="DA174" s="445">
        <f t="shared" si="441"/>
        <v>2.8238618108007429E-2</v>
      </c>
      <c r="DB174" s="1200">
        <f t="shared" si="441"/>
        <v>-5.0384055568585939E-2</v>
      </c>
      <c r="DC174" s="445">
        <f t="shared" si="442"/>
        <v>7.3064973308858194E-2</v>
      </c>
      <c r="DD174" s="445">
        <f t="shared" si="442"/>
        <v>-5.7941382956823162E-3</v>
      </c>
      <c r="DE174" s="445">
        <f t="shared" si="442"/>
        <v>0</v>
      </c>
      <c r="DF174" s="445">
        <f t="shared" si="442"/>
        <v>0</v>
      </c>
      <c r="DG174" s="1200">
        <f t="shared" si="442"/>
        <v>1.7938219338057615E-2</v>
      </c>
      <c r="DH174" s="445">
        <f t="shared" si="442"/>
        <v>0</v>
      </c>
      <c r="DI174" s="445">
        <f t="shared" si="442"/>
        <v>0</v>
      </c>
      <c r="DJ174" s="445">
        <f t="shared" si="442"/>
        <v>0</v>
      </c>
      <c r="DK174" s="445">
        <f t="shared" si="442"/>
        <v>0</v>
      </c>
      <c r="DL174" s="1200">
        <f t="shared" si="442"/>
        <v>0</v>
      </c>
      <c r="DM174" s="445">
        <f t="shared" si="442"/>
        <v>0</v>
      </c>
      <c r="DN174" s="445">
        <f t="shared" si="442"/>
        <v>0</v>
      </c>
      <c r="DO174" s="445">
        <f t="shared" si="442"/>
        <v>0</v>
      </c>
      <c r="DP174" s="445">
        <f t="shared" si="442"/>
        <v>0</v>
      </c>
      <c r="DQ174" s="445"/>
      <c r="DR174" s="445"/>
      <c r="DS174" s="445"/>
      <c r="DT174" s="445"/>
      <c r="DU174" s="445"/>
      <c r="DV174" s="445"/>
      <c r="DW174" s="445"/>
      <c r="DX174" s="445"/>
      <c r="DY174" s="445"/>
      <c r="DZ174" s="445"/>
      <c r="EA174" s="445"/>
      <c r="EB174" s="445"/>
      <c r="EC174" s="445"/>
      <c r="ED174" s="445"/>
      <c r="EE174" s="445"/>
      <c r="EF174" s="445"/>
      <c r="EG174" s="445"/>
      <c r="EH174" s="445"/>
      <c r="EI174" s="445"/>
      <c r="EJ174" s="445"/>
      <c r="EK174" s="445"/>
      <c r="EL174" s="445"/>
      <c r="EM174" s="445"/>
      <c r="EN174" s="445"/>
      <c r="EO174" s="445"/>
      <c r="EP174" s="445"/>
      <c r="EQ174" s="445"/>
      <c r="ER174" s="445"/>
      <c r="ES174" s="445"/>
      <c r="ET174" s="445"/>
      <c r="EU174" s="445"/>
      <c r="EV174" s="445"/>
      <c r="EW174" s="445"/>
      <c r="EX174" s="445"/>
      <c r="EY174" s="445"/>
      <c r="EZ174" s="445"/>
      <c r="FA174" s="445"/>
      <c r="FB174" s="445"/>
      <c r="FC174" s="445"/>
      <c r="FD174" s="445"/>
      <c r="FF174" s="445"/>
    </row>
    <row r="175" spans="1:170" ht="11.25" hidden="1" customHeight="1">
      <c r="A175" s="1626" t="s">
        <v>426</v>
      </c>
      <c r="B175" s="440"/>
      <c r="C175" s="440"/>
      <c r="D175" s="440"/>
      <c r="E175" s="440"/>
      <c r="F175" s="421"/>
      <c r="G175" s="440"/>
      <c r="H175" s="440"/>
      <c r="I175" s="440"/>
      <c r="J175" s="440"/>
      <c r="K175" s="421"/>
      <c r="L175" s="440"/>
      <c r="M175" s="440"/>
      <c r="N175" s="440"/>
      <c r="O175" s="440"/>
      <c r="P175" s="421"/>
      <c r="Q175" s="440"/>
      <c r="R175" s="440"/>
      <c r="S175" s="440"/>
      <c r="T175" s="440"/>
      <c r="U175" s="421"/>
      <c r="V175" s="440"/>
      <c r="W175" s="440"/>
      <c r="X175" s="440"/>
      <c r="Y175" s="440"/>
      <c r="Z175" s="421"/>
      <c r="AA175" s="440"/>
      <c r="AB175" s="440"/>
      <c r="AC175" s="440"/>
      <c r="AD175" s="440"/>
      <c r="AE175" s="421"/>
      <c r="AF175" s="440"/>
      <c r="AG175" s="440"/>
      <c r="AH175" s="440"/>
      <c r="AI175" s="440"/>
      <c r="AJ175" s="421"/>
      <c r="AK175" s="440"/>
      <c r="AL175" s="440"/>
      <c r="AM175" s="440"/>
      <c r="AN175" s="440"/>
      <c r="AO175" s="421"/>
      <c r="AP175" s="440"/>
      <c r="AQ175" s="440"/>
      <c r="AR175" s="440"/>
      <c r="AS175" s="440"/>
      <c r="AT175" s="421"/>
      <c r="AU175" s="440"/>
      <c r="AV175" s="440"/>
      <c r="AW175" s="440"/>
      <c r="AX175" s="440"/>
      <c r="AY175" s="421"/>
      <c r="AZ175" s="1197">
        <f>AZ164/AU164-1</f>
        <v>9.9550412122221266E-2</v>
      </c>
      <c r="BA175" s="441">
        <f>BA164/AV164-1</f>
        <v>6.3062356141452058E-2</v>
      </c>
      <c r="BB175" s="441">
        <f>BB164/AW164-1</f>
        <v>8.9629687868543195E-2</v>
      </c>
      <c r="BC175" s="441">
        <f>BC164/AX164-1</f>
        <v>0.11496275890215291</v>
      </c>
      <c r="BD175" s="442"/>
      <c r="BE175" s="1197">
        <f>BE164/AZ164-1</f>
        <v>0.15671086140620538</v>
      </c>
      <c r="BF175" s="441">
        <f>BF164/BA164-1</f>
        <v>0.15471298870654238</v>
      </c>
      <c r="BG175" s="441">
        <f>BG164/BB164-1</f>
        <v>9.7374235068152348E-2</v>
      </c>
      <c r="BH175" s="441">
        <f>BH164/BC164-1</f>
        <v>-9.1341506060912958E-2</v>
      </c>
      <c r="BI175" s="442"/>
      <c r="BJ175" s="1197">
        <f>BJ164/BE164-1</f>
        <v>-0.1438380467859619</v>
      </c>
      <c r="BK175" s="441">
        <f>BK164/BF164-1</f>
        <v>-0.12957795650898296</v>
      </c>
      <c r="BL175" s="441">
        <f>BL164/BG164-1</f>
        <v>-5.9317982069561959E-2</v>
      </c>
      <c r="BM175" s="443">
        <f>BM164/BH164-1</f>
        <v>0.11335434556013291</v>
      </c>
      <c r="BN175" s="441"/>
      <c r="BO175" s="1197">
        <f>BO164/BJ164-1</f>
        <v>5.6003476418562848E-2</v>
      </c>
      <c r="BP175" s="441">
        <f>BP164/BK164-1</f>
        <v>-6.4591324788866311E-2</v>
      </c>
      <c r="BQ175" s="441">
        <f>BQ164/BL164-1</f>
        <v>-9.5420022647251912E-2</v>
      </c>
      <c r="BR175" s="441">
        <f>BR164/BM164-1</f>
        <v>-7.7130702197998557E-2</v>
      </c>
      <c r="BS175" s="1198"/>
      <c r="BT175" s="1197">
        <f>BT164/BO164-1</f>
        <v>-8.3808028824868819E-3</v>
      </c>
      <c r="BU175" s="441">
        <f>BU164/BP164-1</f>
        <v>0.13043915266335615</v>
      </c>
      <c r="BV175" s="441">
        <f>BV164/BQ164-1</f>
        <v>9.1781899321021543E-2</v>
      </c>
      <c r="BW175" s="443">
        <f>BW164/BR164-1</f>
        <v>-9.5638666453293775E-3</v>
      </c>
      <c r="BX175" s="441"/>
      <c r="BY175" s="1197">
        <f>BY164/BT164-1</f>
        <v>-4.2116127714175389E-2</v>
      </c>
      <c r="BZ175" s="441">
        <f>BZ164/BU164-1</f>
        <v>-0.10878703112077959</v>
      </c>
      <c r="CA175" s="441">
        <f>CA164/BV164-1</f>
        <v>-0.1145018093317105</v>
      </c>
      <c r="CB175" s="443">
        <f>CB164/BW164-1</f>
        <v>-3.6896166125507168E-2</v>
      </c>
      <c r="CC175" s="441"/>
      <c r="CD175" s="1197">
        <f>CD164/BY164-1</f>
        <v>6.2051623902052988E-3</v>
      </c>
      <c r="CE175" s="441">
        <f>CE164/BZ164-1</f>
        <v>1.7926166064012428E-2</v>
      </c>
      <c r="CF175" s="441">
        <f>CF164/CA164-1</f>
        <v>5.9392419081559567E-2</v>
      </c>
      <c r="CG175" s="443">
        <f>CG164/CB164-1</f>
        <v>4.9263154453242031E-2</v>
      </c>
      <c r="CH175" s="441"/>
      <c r="CI175" s="441">
        <f>CI164/CD164-1</f>
        <v>3.6186363738591076E-2</v>
      </c>
      <c r="CJ175" s="441">
        <f>CJ164/CE164-1</f>
        <v>5.0091868463205458E-2</v>
      </c>
      <c r="CK175" s="441">
        <f>CK164/CF164-1</f>
        <v>-4.6653734291557392E-4</v>
      </c>
      <c r="CL175" s="443">
        <f>CL164/CG164-1</f>
        <v>-7.9944556716034287E-2</v>
      </c>
      <c r="CM175" s="441"/>
      <c r="CN175" s="441">
        <f>CN164/CI164-1</f>
        <v>-0.17618621143442048</v>
      </c>
      <c r="CO175" s="441">
        <f>CO164/CJ164-1</f>
        <v>-0.19304261022690294</v>
      </c>
      <c r="CP175" s="441">
        <f>CP164/CK164-1</f>
        <v>-0.1602856205289217</v>
      </c>
      <c r="CQ175" s="1242">
        <f>CQ164/CL164-1</f>
        <v>-0.12572504782918925</v>
      </c>
      <c r="CR175" s="1242"/>
      <c r="CS175" s="441">
        <f t="shared" ref="CS175:DB175" si="443">CS164/CN164-1</f>
        <v>-2.0189182385643711E-2</v>
      </c>
      <c r="CT175" s="441">
        <f t="shared" si="443"/>
        <v>2.2803245216197032E-2</v>
      </c>
      <c r="CU175" s="441">
        <f t="shared" si="443"/>
        <v>1.9203896347990135E-3</v>
      </c>
      <c r="CV175" s="441">
        <f t="shared" si="443"/>
        <v>-1.5439400353612909E-3</v>
      </c>
      <c r="CW175" s="1198">
        <f t="shared" si="443"/>
        <v>6.610707652199288E-4</v>
      </c>
      <c r="CX175" s="441">
        <f t="shared" si="443"/>
        <v>-3.7162499541321004E-2</v>
      </c>
      <c r="CY175" s="441">
        <f t="shared" si="443"/>
        <v>-4.6020669552159887E-2</v>
      </c>
      <c r="CZ175" s="441">
        <f t="shared" si="443"/>
        <v>-2.4403373407500539E-2</v>
      </c>
      <c r="DA175" s="441">
        <f t="shared" si="443"/>
        <v>-5.5784179240969678E-3</v>
      </c>
      <c r="DB175" s="1198">
        <f t="shared" si="443"/>
        <v>-2.8447853198932394E-2</v>
      </c>
      <c r="DC175" s="441">
        <f t="shared" ref="DC175:DP175" si="444">DC164/CX164-1</f>
        <v>2.2921827474836176E-2</v>
      </c>
      <c r="DD175" s="441">
        <f t="shared" si="444"/>
        <v>6.8518518518518867E-3</v>
      </c>
      <c r="DE175" s="441">
        <f t="shared" si="444"/>
        <v>0</v>
      </c>
      <c r="DF175" s="441">
        <f t="shared" si="444"/>
        <v>0</v>
      </c>
      <c r="DG175" s="1198">
        <f t="shared" si="444"/>
        <v>7.3570849577335728E-3</v>
      </c>
      <c r="DH175" s="441">
        <f t="shared" si="444"/>
        <v>0</v>
      </c>
      <c r="DI175" s="441">
        <f t="shared" si="444"/>
        <v>0</v>
      </c>
      <c r="DJ175" s="441">
        <f t="shared" si="444"/>
        <v>0</v>
      </c>
      <c r="DK175" s="441">
        <f t="shared" si="444"/>
        <v>0</v>
      </c>
      <c r="DL175" s="1198">
        <f t="shared" si="444"/>
        <v>0</v>
      </c>
      <c r="DM175" s="441">
        <f t="shared" si="444"/>
        <v>0</v>
      </c>
      <c r="DN175" s="441">
        <f t="shared" si="444"/>
        <v>0</v>
      </c>
      <c r="DO175" s="441">
        <f t="shared" si="444"/>
        <v>0</v>
      </c>
      <c r="DP175" s="441">
        <f t="shared" si="444"/>
        <v>0</v>
      </c>
      <c r="DQ175" s="441"/>
      <c r="DR175" s="441"/>
      <c r="DS175" s="441"/>
      <c r="DT175" s="441"/>
      <c r="DU175" s="441"/>
      <c r="DV175" s="441"/>
      <c r="DW175" s="441"/>
      <c r="DX175" s="441"/>
      <c r="DY175" s="441"/>
      <c r="DZ175" s="441"/>
      <c r="EA175" s="441"/>
      <c r="EB175" s="441"/>
      <c r="EC175" s="441"/>
      <c r="ED175" s="441"/>
      <c r="EE175" s="441"/>
      <c r="EF175" s="441"/>
      <c r="EG175" s="441"/>
      <c r="EH175" s="441"/>
      <c r="EI175" s="441"/>
      <c r="EJ175" s="441"/>
      <c r="EK175" s="441"/>
      <c r="EL175" s="441"/>
      <c r="EM175" s="441"/>
      <c r="EN175" s="441"/>
      <c r="EO175" s="441"/>
      <c r="EP175" s="441"/>
      <c r="EQ175" s="441"/>
      <c r="ER175" s="441"/>
      <c r="ES175" s="441"/>
      <c r="ET175" s="441"/>
      <c r="EU175" s="441"/>
      <c r="EV175" s="441"/>
      <c r="EW175" s="441"/>
      <c r="EX175" s="441"/>
      <c r="EY175" s="441"/>
      <c r="EZ175" s="441"/>
      <c r="FA175" s="441"/>
      <c r="FB175" s="441"/>
      <c r="FC175" s="441"/>
      <c r="FD175" s="441"/>
      <c r="FF175" s="441"/>
    </row>
    <row r="176" spans="1:170" s="476" customFormat="1" ht="11.25" hidden="1" customHeight="1">
      <c r="A176" s="3202" t="s">
        <v>351</v>
      </c>
      <c r="B176" s="3208"/>
      <c r="C176" s="3208"/>
      <c r="D176" s="3208"/>
      <c r="E176" s="3208"/>
      <c r="F176" s="3209"/>
      <c r="G176" s="3208"/>
      <c r="H176" s="3208"/>
      <c r="I176" s="3208"/>
      <c r="J176" s="3208"/>
      <c r="K176" s="3209"/>
      <c r="L176" s="3208"/>
      <c r="M176" s="3208"/>
      <c r="N176" s="3208"/>
      <c r="O176" s="3208"/>
      <c r="P176" s="3209"/>
      <c r="Q176" s="3208"/>
      <c r="R176" s="3208"/>
      <c r="S176" s="3208"/>
      <c r="T176" s="3208"/>
      <c r="U176" s="3209"/>
      <c r="V176" s="3208"/>
      <c r="W176" s="3208"/>
      <c r="X176" s="3208"/>
      <c r="Y176" s="3208"/>
      <c r="Z176" s="3209"/>
      <c r="AA176" s="3208"/>
      <c r="AB176" s="3208"/>
      <c r="AC176" s="3208"/>
      <c r="AD176" s="3208"/>
      <c r="AE176" s="3209"/>
      <c r="AF176" s="3208"/>
      <c r="AG176" s="3208"/>
      <c r="AH176" s="3208"/>
      <c r="AI176" s="3208"/>
      <c r="AJ176" s="3209"/>
      <c r="AK176" s="3208"/>
      <c r="AL176" s="3208"/>
      <c r="AM176" s="3208"/>
      <c r="AN176" s="3208"/>
      <c r="AO176" s="3209"/>
      <c r="AP176" s="3208"/>
      <c r="AQ176" s="3208"/>
      <c r="AR176" s="3208"/>
      <c r="AS176" s="3208"/>
      <c r="AT176" s="3209"/>
      <c r="AU176" s="3208"/>
      <c r="AV176" s="3208"/>
      <c r="AW176" s="3208"/>
      <c r="AX176" s="3208"/>
      <c r="AY176" s="3209"/>
      <c r="AZ176" s="3205">
        <f>SUMPRODUCT(AZ145:AZ153,AZ167:AZ175)</f>
        <v>7.2420786985174804E-2</v>
      </c>
      <c r="BA176" s="3210">
        <f>SUMPRODUCT(BA145:BA153,BA167:BA175)</f>
        <v>3.7042013539108166E-2</v>
      </c>
      <c r="BB176" s="3210">
        <f>SUMPRODUCT(BB145:BB153,BB167:BB175)</f>
        <v>6.1532836855888437E-2</v>
      </c>
      <c r="BC176" s="3210">
        <f>SUMPRODUCT(BC145:BC153,BC167:BC175)</f>
        <v>7.5813416899867481E-2</v>
      </c>
      <c r="BD176" s="3211"/>
      <c r="BE176" s="3205">
        <f>SUMPRODUCT(BE145:BE153,BE167:BE175)</f>
        <v>0.10236973047948457</v>
      </c>
      <c r="BF176" s="3210">
        <f>SUMPRODUCT(BF145:BF153,BF167:BF175)</f>
        <v>9.24967238310931E-2</v>
      </c>
      <c r="BG176" s="3210">
        <f>SUMPRODUCT(BG145:BG153,BG167:BG175)</f>
        <v>4.7142226546143633E-2</v>
      </c>
      <c r="BH176" s="3210">
        <f>SUMPRODUCT(BH145:BH153,BH167:BH175)</f>
        <v>-6.1438945183304484E-2</v>
      </c>
      <c r="BI176" s="3211"/>
      <c r="BJ176" s="3205">
        <f>SUMPRODUCT(BJ145:BJ153,BJ167:BJ175)</f>
        <v>-0.11766406753264744</v>
      </c>
      <c r="BK176" s="3210">
        <f>SUMPRODUCT(BK145:BK153,BK167:BK175)</f>
        <v>-0.10045919744269313</v>
      </c>
      <c r="BL176" s="3210">
        <f>SUMPRODUCT(BL145:BL153,BL167:BL175)</f>
        <v>-2.505615726858746E-2</v>
      </c>
      <c r="BM176" s="3212">
        <f>SUMPRODUCT(BM145:BM153,BM167:BM175)</f>
        <v>7.7289824674752455E-2</v>
      </c>
      <c r="BN176" s="3210"/>
      <c r="BO176" s="3205">
        <f>SUMPRODUCT(BO145:BO153,BO167:BO175)</f>
        <v>5.5942039212302223E-2</v>
      </c>
      <c r="BP176" s="3210">
        <f>SUMPRODUCT(BP145:BP153,BP167:BP175)</f>
        <v>-2.0358521141461482E-2</v>
      </c>
      <c r="BQ176" s="3210">
        <f>SUMPRODUCT(BQ145:BQ153,BQ167:BQ175)</f>
        <v>-3.1911324115238913E-2</v>
      </c>
      <c r="BR176" s="3210">
        <f>SUMPRODUCT(BR145:BR153,BR167:BR175)</f>
        <v>-1.7257020318511056E-2</v>
      </c>
      <c r="BS176" s="3204"/>
      <c r="BT176" s="3205">
        <f t="shared" ref="BT176:CQ176" si="445">SUMPRODUCT(BT145:BT153,BT167:BT175)</f>
        <v>2.7108535621553718E-2</v>
      </c>
      <c r="BU176" s="3210">
        <f t="shared" si="445"/>
        <v>0.11718208933207339</v>
      </c>
      <c r="BV176" s="3210">
        <f t="shared" si="445"/>
        <v>8.496796363056254E-2</v>
      </c>
      <c r="BW176" s="3212">
        <f t="shared" si="445"/>
        <v>1.1482938797120281E-2</v>
      </c>
      <c r="BX176" s="3206"/>
      <c r="BY176" s="3205">
        <f t="shared" si="445"/>
        <v>-3.1749247607669555E-2</v>
      </c>
      <c r="BZ176" s="3210">
        <f t="shared" si="445"/>
        <v>-6.9053696952225241E-2</v>
      </c>
      <c r="CA176" s="3210">
        <f t="shared" si="445"/>
        <v>-6.0608542288220144E-2</v>
      </c>
      <c r="CB176" s="3212">
        <f t="shared" si="445"/>
        <v>-2.1618686783699357E-3</v>
      </c>
      <c r="CC176" s="3206"/>
      <c r="CD176" s="3205">
        <f t="shared" si="445"/>
        <v>-3.8703576532776826E-2</v>
      </c>
      <c r="CE176" s="3210">
        <f t="shared" si="445"/>
        <v>-5.2902177514052739E-2</v>
      </c>
      <c r="CF176" s="3210">
        <f t="shared" si="445"/>
        <v>-3.9833041580679185E-2</v>
      </c>
      <c r="CG176" s="3212">
        <f t="shared" si="445"/>
        <v>-3.4762368589649852E-2</v>
      </c>
      <c r="CH176" s="3206"/>
      <c r="CI176" s="3210">
        <f t="shared" si="445"/>
        <v>-5.8309993033866542E-3</v>
      </c>
      <c r="CJ176" s="3210">
        <f t="shared" si="445"/>
        <v>2.9804097126033279E-2</v>
      </c>
      <c r="CK176" s="3210">
        <f t="shared" si="445"/>
        <v>1.0613323702410354E-3</v>
      </c>
      <c r="CL176" s="3212">
        <f t="shared" si="445"/>
        <v>-8.0861547001433179E-2</v>
      </c>
      <c r="CM176" s="3206"/>
      <c r="CN176" s="3210">
        <f t="shared" si="445"/>
        <v>-0.15139842070166062</v>
      </c>
      <c r="CO176" s="3210">
        <f t="shared" si="445"/>
        <v>-0.17750817725175122</v>
      </c>
      <c r="CP176" s="3210">
        <f t="shared" si="445"/>
        <v>-0.16755509205125776</v>
      </c>
      <c r="CQ176" s="3212">
        <f t="shared" si="445"/>
        <v>-0.11293722693158532</v>
      </c>
      <c r="CR176" s="3212"/>
      <c r="CS176" s="3210">
        <f>SUMPRODUCT(CN145:CN153,CS167:CS175)</f>
        <v>-3.5826827882535377E-2</v>
      </c>
      <c r="CT176" s="3210">
        <f>SUMPRODUCT(CO145:CO153,CT167:CT175)</f>
        <v>1.0373094284226298E-2</v>
      </c>
      <c r="CU176" s="3210">
        <f>SUMPRODUCT(CP145:CP153,CU167:CU175)</f>
        <v>1.314073238750655E-2</v>
      </c>
      <c r="CV176" s="3210">
        <f>SUMPRODUCT(CQ145:CQ153,CV167:CV175)</f>
        <v>9.1129778319542468E-4</v>
      </c>
      <c r="CW176" s="3204">
        <f>SUMPRODUCT(CW145:CW153,CW167:CW175)</f>
        <v>-1.6034940726286154E-2</v>
      </c>
      <c r="CX176" s="3210">
        <f>SUMPRODUCT(CS145:CS153,CX167:CX175)</f>
        <v>-3.3725018392359529E-2</v>
      </c>
      <c r="CY176" s="3210">
        <f t="shared" ref="CY176:DP176" si="446">SUMPRODUCT(CY145:CY153,CY167:CY175)</f>
        <v>-4.4183219821166776E-2</v>
      </c>
      <c r="CZ176" s="3210">
        <f t="shared" si="446"/>
        <v>-2.895503766618451E-2</v>
      </c>
      <c r="DA176" s="3210">
        <f t="shared" si="446"/>
        <v>1.9930419543831487E-5</v>
      </c>
      <c r="DB176" s="3204">
        <f t="shared" si="446"/>
        <v>-2.8073286921339438E-2</v>
      </c>
      <c r="DC176" s="3210">
        <f t="shared" si="446"/>
        <v>2.6876903495196908E-2</v>
      </c>
      <c r="DD176" s="3210">
        <f t="shared" si="446"/>
        <v>3.7441437233780399E-3</v>
      </c>
      <c r="DE176" s="3210">
        <f t="shared" si="446"/>
        <v>0</v>
      </c>
      <c r="DF176" s="3210">
        <f t="shared" si="446"/>
        <v>0</v>
      </c>
      <c r="DG176" s="3204">
        <f t="shared" si="446"/>
        <v>7.6657730053570653E-3</v>
      </c>
      <c r="DH176" s="3210">
        <f t="shared" si="446"/>
        <v>0</v>
      </c>
      <c r="DI176" s="3210">
        <f t="shared" si="446"/>
        <v>0</v>
      </c>
      <c r="DJ176" s="3210">
        <f t="shared" si="446"/>
        <v>0</v>
      </c>
      <c r="DK176" s="3210">
        <f t="shared" si="446"/>
        <v>0</v>
      </c>
      <c r="DL176" s="3204">
        <f t="shared" si="446"/>
        <v>0</v>
      </c>
      <c r="DM176" s="3210">
        <f t="shared" si="446"/>
        <v>0</v>
      </c>
      <c r="DN176" s="3210">
        <f t="shared" si="446"/>
        <v>0</v>
      </c>
      <c r="DO176" s="3210">
        <f t="shared" si="446"/>
        <v>0</v>
      </c>
      <c r="DP176" s="3210">
        <f t="shared" si="446"/>
        <v>0</v>
      </c>
      <c r="DQ176"/>
      <c r="DR176" s="3210"/>
      <c r="DS176" s="3210"/>
      <c r="DT176" s="3210"/>
      <c r="DU176" s="3210"/>
      <c r="DV176"/>
      <c r="DW176" s="3210"/>
      <c r="DX176" s="3210"/>
      <c r="DY176" s="3210"/>
      <c r="DZ176" s="3210"/>
      <c r="EA176"/>
      <c r="EB176" s="3210"/>
      <c r="EC176" s="3210"/>
      <c r="ED176" s="3210"/>
      <c r="EE176" s="3210"/>
      <c r="EF176"/>
      <c r="EG176" s="3210"/>
      <c r="EH176" s="3210"/>
      <c r="EI176" s="3210"/>
      <c r="EJ176" s="3210"/>
      <c r="EK176"/>
      <c r="EL176" s="3210"/>
      <c r="EM176" s="3210"/>
      <c r="EN176" s="3210"/>
      <c r="EO176" s="3210"/>
      <c r="EP176"/>
      <c r="EQ176" s="3210"/>
      <c r="ER176" s="3210"/>
      <c r="ES176" s="3210"/>
      <c r="ET176" s="3210"/>
      <c r="EU176"/>
      <c r="EV176" s="3210"/>
      <c r="EW176" s="3210"/>
      <c r="EX176" s="3210"/>
      <c r="EY176" s="3210"/>
      <c r="EZ176"/>
      <c r="FA176"/>
      <c r="FB176"/>
      <c r="FC176"/>
      <c r="FD176"/>
      <c r="FF176"/>
    </row>
    <row r="177" spans="1:162" ht="11.25" hidden="1" customHeight="1">
      <c r="A177" s="1626" t="s">
        <v>366</v>
      </c>
      <c r="B177" s="421"/>
      <c r="C177" s="421"/>
      <c r="D177" s="421"/>
      <c r="E177" s="421"/>
      <c r="F177" s="421"/>
      <c r="G177" s="421"/>
      <c r="H177" s="421"/>
      <c r="I177" s="421"/>
      <c r="J177" s="421"/>
      <c r="K177" s="421"/>
      <c r="L177" s="421"/>
      <c r="M177" s="421"/>
      <c r="N177" s="421"/>
      <c r="O177" s="421"/>
      <c r="P177" s="421"/>
      <c r="Q177" s="421"/>
      <c r="R177" s="421"/>
      <c r="S177" s="421"/>
      <c r="T177" s="421"/>
      <c r="U177" s="421"/>
      <c r="V177" s="421"/>
      <c r="W177" s="421"/>
      <c r="X177" s="421"/>
      <c r="Y177" s="421"/>
      <c r="Z177" s="421"/>
      <c r="AA177" s="421"/>
      <c r="AB177" s="421"/>
      <c r="AC177" s="421"/>
      <c r="AD177" s="421"/>
      <c r="AE177" s="421"/>
      <c r="AF177" s="421"/>
      <c r="AG177" s="421"/>
      <c r="AH177" s="421"/>
      <c r="AI177" s="421"/>
      <c r="AJ177" s="421"/>
      <c r="AK177" s="421"/>
      <c r="AL177" s="421"/>
      <c r="AM177" s="421"/>
      <c r="AN177" s="421"/>
      <c r="AO177" s="421"/>
      <c r="AP177" s="421"/>
      <c r="AQ177" s="421"/>
      <c r="AR177" s="421"/>
      <c r="AS177" s="421"/>
      <c r="AT177" s="421"/>
      <c r="AU177" s="421"/>
      <c r="AV177" s="421"/>
      <c r="AW177" s="421"/>
      <c r="AX177" s="421"/>
      <c r="AY177" s="421"/>
      <c r="AZ177" s="1201">
        <v>1.3206363636363632</v>
      </c>
      <c r="BA177" s="444">
        <v>1.1580987654320991</v>
      </c>
      <c r="BB177" s="444">
        <v>0.94044660194174767</v>
      </c>
      <c r="BC177" s="444">
        <v>0.8581188118811881</v>
      </c>
      <c r="BD177" s="448"/>
      <c r="BE177" s="1201">
        <v>1.1318644067796613</v>
      </c>
      <c r="BF177" s="444">
        <v>1.2826666666666664</v>
      </c>
      <c r="BG177" s="444">
        <v>0.89936708860759496</v>
      </c>
      <c r="BH177" s="444">
        <v>0.53186440677966096</v>
      </c>
      <c r="BI177" s="448"/>
      <c r="BJ177" s="1201">
        <v>0.6477205882352941</v>
      </c>
      <c r="BK177" s="444">
        <v>0.60421052631578942</v>
      </c>
      <c r="BL177" s="444">
        <v>0.83305785123966947</v>
      </c>
      <c r="BM177" s="444">
        <v>1.6849469701948476</v>
      </c>
      <c r="BN177" s="444"/>
      <c r="BO177" s="1201">
        <v>1.533136531365314</v>
      </c>
      <c r="BP177" s="444">
        <v>1.2914438502673795</v>
      </c>
      <c r="BQ177" s="444">
        <v>1.0376232616940579</v>
      </c>
      <c r="BR177" s="444">
        <v>1.1658247734138971</v>
      </c>
      <c r="BS177" s="499"/>
      <c r="BT177" s="1202">
        <f t="shared" ref="BT177:CL177" si="447">+BT176</f>
        <v>2.7108535621553718E-2</v>
      </c>
      <c r="BU177" s="1170">
        <f t="shared" si="447"/>
        <v>0.11718208933207339</v>
      </c>
      <c r="BV177" s="1170">
        <f t="shared" si="447"/>
        <v>8.496796363056254E-2</v>
      </c>
      <c r="BW177" s="1174">
        <f t="shared" si="447"/>
        <v>1.1482938797120281E-2</v>
      </c>
      <c r="BX177" s="1887"/>
      <c r="BY177" s="1202">
        <f t="shared" si="447"/>
        <v>-3.1749247607669555E-2</v>
      </c>
      <c r="BZ177" s="1170">
        <f t="shared" si="447"/>
        <v>-6.9053696952225241E-2</v>
      </c>
      <c r="CA177" s="1170">
        <f t="shared" si="447"/>
        <v>-6.0608542288220144E-2</v>
      </c>
      <c r="CB177" s="1174">
        <f t="shared" si="447"/>
        <v>-2.1618686783699357E-3</v>
      </c>
      <c r="CC177" s="1887"/>
      <c r="CD177" s="1202">
        <f t="shared" si="447"/>
        <v>-3.8703576532776826E-2</v>
      </c>
      <c r="CE177" s="1170">
        <f t="shared" si="447"/>
        <v>-5.2902177514052739E-2</v>
      </c>
      <c r="CF177" s="1170">
        <f t="shared" si="447"/>
        <v>-3.9833041580679185E-2</v>
      </c>
      <c r="CG177" s="1174">
        <f t="shared" si="447"/>
        <v>-3.4762368589649852E-2</v>
      </c>
      <c r="CH177" s="1887"/>
      <c r="CI177" s="1170">
        <f t="shared" si="447"/>
        <v>-5.8309993033866542E-3</v>
      </c>
      <c r="CJ177" s="1170">
        <f t="shared" si="447"/>
        <v>2.9804097126033279E-2</v>
      </c>
      <c r="CK177" s="1170">
        <f t="shared" si="447"/>
        <v>1.0613323702410354E-3</v>
      </c>
      <c r="CL177" s="1174">
        <f t="shared" si="447"/>
        <v>-8.0861547001433179E-2</v>
      </c>
      <c r="CM177" s="1887"/>
      <c r="CN177" s="1170">
        <f>+CN176</f>
        <v>-0.15139842070166062</v>
      </c>
      <c r="CO177" s="1170">
        <f>+CO176</f>
        <v>-0.17750817725175122</v>
      </c>
      <c r="CP177" s="1170">
        <f>+CP176</f>
        <v>-0.16755509205125776</v>
      </c>
      <c r="CQ177" s="1244">
        <f>+CQ176</f>
        <v>-0.11293722693158532</v>
      </c>
      <c r="CR177" s="1244"/>
      <c r="CS177" s="1170">
        <f>+CS176</f>
        <v>-3.5826827882535377E-2</v>
      </c>
      <c r="CT177" s="1170">
        <f>+CT176</f>
        <v>1.0373094284226298E-2</v>
      </c>
      <c r="CU177" s="1170">
        <f>+CU176</f>
        <v>1.314073238750655E-2</v>
      </c>
      <c r="CV177" s="1170">
        <f>CV176*CV178</f>
        <v>-1.4907749077490817E-2</v>
      </c>
      <c r="CW177" s="1210">
        <f>+CW176</f>
        <v>-1.6034940726286154E-2</v>
      </c>
      <c r="CX177" s="1170">
        <f>+CX176</f>
        <v>-3.3725018392359529E-2</v>
      </c>
      <c r="CY177" s="1170">
        <f>CY176*CY178</f>
        <v>-2.9979003391721021E-2</v>
      </c>
      <c r="CZ177" s="1170">
        <f>CZ176*CZ178</f>
        <v>-1.9646444417482301E-2</v>
      </c>
      <c r="DA177" s="1170">
        <f>DA176*DA178</f>
        <v>1.3523100342648786E-5</v>
      </c>
      <c r="DB177" s="1210">
        <f>+DB176</f>
        <v>-2.8073286921339438E-2</v>
      </c>
      <c r="DC177" s="1170">
        <f>+DC176</f>
        <v>2.6876903495196908E-2</v>
      </c>
      <c r="DD177" s="1170">
        <f>DD176*DD178</f>
        <v>2.5404598812979193E-3</v>
      </c>
      <c r="DE177" s="1170">
        <f>DE176*DE178</f>
        <v>0</v>
      </c>
      <c r="DF177" s="1170">
        <f>DF176*DF178</f>
        <v>0</v>
      </c>
      <c r="DG177" s="1210">
        <f>+DG176</f>
        <v>7.6657730053570653E-3</v>
      </c>
      <c r="DH177" s="1170">
        <f>+DH176</f>
        <v>0</v>
      </c>
      <c r="DI177" s="1170">
        <f>DI176*DI178</f>
        <v>0</v>
      </c>
      <c r="DJ177" s="1170">
        <f>DJ176*DJ178</f>
        <v>0</v>
      </c>
      <c r="DK177" s="1170">
        <f>DK176*DK178</f>
        <v>0</v>
      </c>
      <c r="DL177" s="1210">
        <f>+DL176</f>
        <v>0</v>
      </c>
      <c r="DM177" s="1170">
        <f>+DM176</f>
        <v>0</v>
      </c>
      <c r="DN177" s="1170">
        <f>DN176*DN178</f>
        <v>0</v>
      </c>
      <c r="DO177" s="1170">
        <f>DO176*DO178</f>
        <v>0</v>
      </c>
      <c r="DP177" s="1170">
        <f>DP176*DP178</f>
        <v>0</v>
      </c>
      <c r="DQ177"/>
      <c r="DR177" s="1170"/>
      <c r="DS177" s="1170"/>
      <c r="DT177" s="1170"/>
      <c r="DU177" s="1170"/>
      <c r="DV177"/>
      <c r="DW177" s="1170"/>
      <c r="DX177" s="1170"/>
      <c r="DY177" s="1170"/>
      <c r="DZ177" s="1170"/>
      <c r="EA177"/>
      <c r="EB177" s="1170"/>
      <c r="EC177" s="1170"/>
      <c r="ED177" s="1170"/>
      <c r="EE177" s="1170"/>
      <c r="EF177"/>
      <c r="EG177" s="1170"/>
      <c r="EH177" s="1170"/>
      <c r="EI177" s="1170"/>
      <c r="EJ177" s="1170"/>
      <c r="EK177"/>
      <c r="EL177" s="1170"/>
      <c r="EM177" s="1170"/>
      <c r="EN177" s="1170"/>
      <c r="EO177" s="1170"/>
      <c r="EP177"/>
      <c r="EQ177" s="1170"/>
      <c r="ER177" s="1170"/>
      <c r="ES177" s="1170"/>
      <c r="ET177" s="1170"/>
      <c r="EU177"/>
      <c r="EV177" s="1170"/>
      <c r="EW177" s="1170"/>
      <c r="EX177" s="1170"/>
      <c r="EY177" s="1170"/>
      <c r="EZ177"/>
      <c r="FA177"/>
      <c r="FB177"/>
      <c r="FC177"/>
      <c r="FD177" s="444"/>
      <c r="FF177" s="444"/>
    </row>
    <row r="178" spans="1:162" ht="11.25" hidden="1" customHeight="1">
      <c r="A178" s="1626" t="s">
        <v>352</v>
      </c>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c r="Y178" s="421"/>
      <c r="Z178" s="421"/>
      <c r="AA178" s="421"/>
      <c r="AB178" s="421"/>
      <c r="AC178" s="421"/>
      <c r="AD178" s="421"/>
      <c r="AE178" s="421"/>
      <c r="AF178" s="421"/>
      <c r="AG178" s="421"/>
      <c r="AH178" s="421"/>
      <c r="AI178" s="421"/>
      <c r="AJ178" s="421"/>
      <c r="AK178" s="421"/>
      <c r="AL178" s="421"/>
      <c r="AM178" s="421"/>
      <c r="AN178" s="421"/>
      <c r="AO178" s="421"/>
      <c r="AP178" s="421"/>
      <c r="AQ178" s="421"/>
      <c r="AR178" s="421"/>
      <c r="AS178" s="421"/>
      <c r="AT178" s="421"/>
      <c r="AU178" s="421"/>
      <c r="AV178" s="421"/>
      <c r="AW178" s="421"/>
      <c r="AX178" s="421"/>
      <c r="AY178" s="421"/>
      <c r="AZ178" s="1203">
        <f>+AZ177/AZ176</f>
        <v>18.235598073612614</v>
      </c>
      <c r="BA178" s="450">
        <f>+BA177/BA176</f>
        <v>31.264465799338989</v>
      </c>
      <c r="BB178" s="450">
        <f>+BB177/BB176</f>
        <v>15.283654224236386</v>
      </c>
      <c r="BC178" s="450">
        <f>+BC177/BC176</f>
        <v>11.318825175952307</v>
      </c>
      <c r="BD178" s="421"/>
      <c r="BE178" s="1203">
        <f>+BE177/BE176</f>
        <v>11.056631696480757</v>
      </c>
      <c r="BF178" s="450">
        <f>+BF177/BF176</f>
        <v>13.867157814247832</v>
      </c>
      <c r="BG178" s="450">
        <f>+BG177/BG176</f>
        <v>19.077738887179603</v>
      </c>
      <c r="BH178" s="450">
        <f>+BH177/BH176</f>
        <v>-8.6567958677160135</v>
      </c>
      <c r="BI178" s="421"/>
      <c r="BJ178" s="1203">
        <f>+BJ177/BJ176</f>
        <v>-5.5048291446798361</v>
      </c>
      <c r="BK178" s="450">
        <f>+BK177/BK176</f>
        <v>-6.0144868931534203</v>
      </c>
      <c r="BL178" s="450">
        <f>+BL177/BL176</f>
        <v>-33.247630205612651</v>
      </c>
      <c r="BM178" s="450">
        <f>+BM177/BM176</f>
        <v>21.800372523619576</v>
      </c>
      <c r="BN178" s="451"/>
      <c r="BO178" s="1203">
        <f>+BO177/BO176</f>
        <v>27.405803452158779</v>
      </c>
      <c r="BP178" s="452">
        <f>+BP177/BP176</f>
        <v>-63.435052148128193</v>
      </c>
      <c r="BQ178" s="452">
        <f>+BQ177/BQ176</f>
        <v>-32.515832246476791</v>
      </c>
      <c r="BR178" s="452">
        <f>+BR177/BR176</f>
        <v>-67.556551009177056</v>
      </c>
      <c r="BS178" s="1204"/>
      <c r="BT178" s="1203">
        <f>+BT179/BT176</f>
        <v>0.2370609822832058</v>
      </c>
      <c r="BU178" s="450">
        <f t="shared" ref="BU178:CN178" si="448">+BU179/BU176</f>
        <v>1.007521036973317</v>
      </c>
      <c r="BV178" s="450">
        <f t="shared" si="448"/>
        <v>1.5082237778636904</v>
      </c>
      <c r="BW178" s="1175">
        <f t="shared" si="448"/>
        <v>0.77453662582421834</v>
      </c>
      <c r="BX178" s="450"/>
      <c r="BY178" s="1203">
        <f t="shared" si="448"/>
        <v>0.46176941548389028</v>
      </c>
      <c r="BZ178" s="450">
        <f t="shared" si="448"/>
        <v>1.040550063992993</v>
      </c>
      <c r="CA178" s="450">
        <f t="shared" si="448"/>
        <v>1.7339856009549246</v>
      </c>
      <c r="CB178" s="1175">
        <f t="shared" si="448"/>
        <v>15.930517095322884</v>
      </c>
      <c r="CC178" s="450"/>
      <c r="CD178" s="1203">
        <f t="shared" si="448"/>
        <v>0.49248216975446218</v>
      </c>
      <c r="CE178" s="450">
        <f t="shared" si="448"/>
        <v>0.68835552086116181</v>
      </c>
      <c r="CF178" s="450">
        <f t="shared" si="448"/>
        <v>0.55468840624418925</v>
      </c>
      <c r="CG178" s="1175">
        <f t="shared" si="448"/>
        <v>0.58673662128211435</v>
      </c>
      <c r="CH178" s="450"/>
      <c r="CI178" s="450">
        <f t="shared" si="448"/>
        <v>3.9288885590937763</v>
      </c>
      <c r="CJ178" s="450">
        <f t="shared" si="448"/>
        <v>0.5583541912287765</v>
      </c>
      <c r="CK178" s="450">
        <f t="shared" si="448"/>
        <v>13.01465500247606</v>
      </c>
      <c r="CL178" s="1175">
        <f>+CL179/CL176</f>
        <v>0.86844044934299625</v>
      </c>
      <c r="CM178" s="450"/>
      <c r="CN178" s="450">
        <f t="shared" si="448"/>
        <v>0.8569182543646493</v>
      </c>
      <c r="CO178" s="450">
        <f>+CO179/CO176</f>
        <v>0.98557264984837478</v>
      </c>
      <c r="CP178" s="450">
        <f>+CP179/CP176</f>
        <v>1.023136183195142</v>
      </c>
      <c r="CQ178" s="1245">
        <f>+CQ179/CQ176</f>
        <v>1.2046353252410307</v>
      </c>
      <c r="CR178" s="1245"/>
      <c r="CS178" s="450">
        <f t="shared" ref="CS178:CX178" si="449">+CS179/CS176</f>
        <v>1.8275457645660005</v>
      </c>
      <c r="CT178" s="450">
        <f t="shared" si="449"/>
        <v>-0.94088506072304223</v>
      </c>
      <c r="CU178" s="450">
        <f t="shared" si="449"/>
        <v>-1.2431617605169583</v>
      </c>
      <c r="CV178" s="450">
        <f t="shared" si="449"/>
        <v>-16.358811962888208</v>
      </c>
      <c r="CW178" s="1211">
        <f t="shared" si="449"/>
        <v>1.9758861689645066</v>
      </c>
      <c r="CX178" s="450">
        <f t="shared" si="449"/>
        <v>0.67851558834014702</v>
      </c>
      <c r="CY178" s="453">
        <f>CX178</f>
        <v>0.67851558834014702</v>
      </c>
      <c r="CZ178" s="453">
        <f>+CY178</f>
        <v>0.67851558834014702</v>
      </c>
      <c r="DA178" s="453">
        <f>+CZ178</f>
        <v>0.67851558834014702</v>
      </c>
      <c r="DB178" s="1211">
        <f>+DB179/DB176</f>
        <v>-9.5257491822072562E-2</v>
      </c>
      <c r="DC178" s="453">
        <f>DA178</f>
        <v>0.67851558834014702</v>
      </c>
      <c r="DD178" s="453">
        <f>DC178</f>
        <v>0.67851558834014702</v>
      </c>
      <c r="DE178" s="453">
        <f>+DD178</f>
        <v>0.67851558834014702</v>
      </c>
      <c r="DF178" s="453">
        <f>+DE178</f>
        <v>0.67851558834014702</v>
      </c>
      <c r="DG178" s="1211"/>
      <c r="DH178" s="453">
        <f>DF178</f>
        <v>0.67851558834014702</v>
      </c>
      <c r="DI178" s="453">
        <f>DH178</f>
        <v>0.67851558834014702</v>
      </c>
      <c r="DJ178" s="453">
        <f>+DI178</f>
        <v>0.67851558834014702</v>
      </c>
      <c r="DK178" s="453">
        <f>+DJ178</f>
        <v>0.67851558834014702</v>
      </c>
      <c r="DL178" s="1211"/>
      <c r="DM178" s="453">
        <f>DK178</f>
        <v>0.67851558834014702</v>
      </c>
      <c r="DN178" s="453">
        <f>DM178</f>
        <v>0.67851558834014702</v>
      </c>
      <c r="DO178" s="453">
        <f>+DN178</f>
        <v>0.67851558834014702</v>
      </c>
      <c r="DP178" s="453">
        <f>+DO178</f>
        <v>0.67851558834014702</v>
      </c>
      <c r="DQ178"/>
      <c r="DR178" s="453"/>
      <c r="DS178" s="453"/>
      <c r="DT178" s="453"/>
      <c r="DU178" s="453"/>
      <c r="DV178"/>
      <c r="DW178" s="453"/>
      <c r="DX178" s="453"/>
      <c r="DY178" s="453"/>
      <c r="DZ178" s="453"/>
      <c r="EA178"/>
      <c r="EB178" s="453"/>
      <c r="EC178" s="453"/>
      <c r="ED178" s="453"/>
      <c r="EE178" s="453"/>
      <c r="EF178"/>
      <c r="EG178" s="453"/>
      <c r="EH178" s="453"/>
      <c r="EI178" s="453"/>
      <c r="EJ178" s="453"/>
      <c r="EK178"/>
      <c r="EL178" s="453"/>
      <c r="EM178" s="453"/>
      <c r="EN178" s="453"/>
      <c r="EO178" s="453"/>
      <c r="EP178"/>
      <c r="EQ178" s="453"/>
      <c r="ER178" s="453"/>
      <c r="ES178" s="453"/>
      <c r="ET178" s="453"/>
      <c r="EU178"/>
      <c r="EV178" s="453"/>
      <c r="EW178" s="453"/>
      <c r="EX178" s="453"/>
      <c r="EY178" s="453"/>
      <c r="EZ178"/>
      <c r="FA178"/>
      <c r="FB178"/>
      <c r="FC178"/>
      <c r="FD178" s="453"/>
      <c r="FF178" s="453"/>
    </row>
    <row r="179" spans="1:162" ht="11.25" hidden="1" customHeight="1">
      <c r="A179" s="1630" t="s">
        <v>367</v>
      </c>
      <c r="B179" s="1205"/>
      <c r="C179" s="1205"/>
      <c r="D179" s="1205"/>
      <c r="E179" s="1205"/>
      <c r="F179" s="1205"/>
      <c r="G179" s="1205"/>
      <c r="H179" s="1205"/>
      <c r="I179" s="1205"/>
      <c r="J179" s="1205"/>
      <c r="K179" s="1205"/>
      <c r="L179" s="1205"/>
      <c r="M179" s="1205"/>
      <c r="N179" s="1205"/>
      <c r="O179" s="1205"/>
      <c r="P179" s="1205"/>
      <c r="Q179" s="1205"/>
      <c r="R179" s="1205"/>
      <c r="S179" s="1205"/>
      <c r="T179" s="1205"/>
      <c r="U179" s="1205"/>
      <c r="V179" s="1205"/>
      <c r="W179" s="1205"/>
      <c r="X179" s="1205"/>
      <c r="Y179" s="1205"/>
      <c r="Z179" s="1205"/>
      <c r="AA179" s="1205"/>
      <c r="AB179" s="1205"/>
      <c r="AC179" s="1205"/>
      <c r="AD179" s="1205"/>
      <c r="AE179" s="1205"/>
      <c r="AF179" s="1205"/>
      <c r="AG179" s="1205"/>
      <c r="AH179" s="1205"/>
      <c r="AI179" s="1205"/>
      <c r="AJ179" s="1205"/>
      <c r="AK179" s="1205"/>
      <c r="AL179" s="1205"/>
      <c r="AM179" s="1205"/>
      <c r="AN179" s="1205"/>
      <c r="AO179" s="1205"/>
      <c r="AP179" s="1205"/>
      <c r="AQ179" s="1205"/>
      <c r="AR179" s="1205"/>
      <c r="AS179" s="1205"/>
      <c r="AT179" s="1205"/>
      <c r="AU179" s="1205"/>
      <c r="AV179" s="1205"/>
      <c r="AW179" s="1205"/>
      <c r="AX179" s="1205"/>
      <c r="AY179" s="1205"/>
      <c r="AZ179" s="1205"/>
      <c r="BA179" s="1205"/>
      <c r="BB179" s="1205"/>
      <c r="BC179" s="1205"/>
      <c r="BD179" s="1205"/>
      <c r="BE179" s="1205"/>
      <c r="BF179" s="1205"/>
      <c r="BG179" s="1205"/>
      <c r="BH179" s="1205"/>
      <c r="BI179" s="1205"/>
      <c r="BJ179" s="1205"/>
      <c r="BK179" s="1205"/>
      <c r="BL179" s="1205"/>
      <c r="BM179" s="1205"/>
      <c r="BN179" s="1205"/>
      <c r="BO179" s="1206"/>
      <c r="BP179" s="500"/>
      <c r="BQ179" s="500"/>
      <c r="BR179" s="1176"/>
      <c r="BS179" s="1204"/>
      <c r="BT179" s="1206">
        <f>'Revenue Drivers'!BJ540/10000</f>
        <v>6.4263760827047989E-3</v>
      </c>
      <c r="BU179" s="500">
        <f>'Revenue Drivers'!BK540/10000</f>
        <v>0.11806342015855044</v>
      </c>
      <c r="BV179" s="500">
        <f>'Revenue Drivers'!BL540/10000</f>
        <v>0.12815070310427168</v>
      </c>
      <c r="BW179" s="1176">
        <f>'Revenue Drivers'!BM540/10000</f>
        <v>8.893956670467551E-3</v>
      </c>
      <c r="BX179" s="500"/>
      <c r="BY179" s="1206">
        <f>'Revenue Drivers'!BT540/10000</f>
        <v>-1.4660831509846872E-2</v>
      </c>
      <c r="BZ179" s="500">
        <f>'Revenue Drivers'!BU540/10000</f>
        <v>-7.1853828782590723E-2</v>
      </c>
      <c r="CA179" s="500">
        <f>'Revenue Drivers'!BV540/10000</f>
        <v>-0.10509433962264136</v>
      </c>
      <c r="CB179" s="1176">
        <f>'Revenue Drivers'!BW540/10000</f>
        <v>-3.443968593861535E-2</v>
      </c>
      <c r="CC179" s="500"/>
      <c r="CD179" s="1206">
        <f>'Revenue Drivers'!CD540/10000</f>
        <v>-1.9060821348119816E-2</v>
      </c>
      <c r="CE179" s="500">
        <f>'Revenue Drivers'!CE540/10000</f>
        <v>-3.6415505957375416E-2</v>
      </c>
      <c r="CF179" s="500">
        <f>'Revenue Drivers'!CF540/10000</f>
        <v>-2.2094926350245458E-2</v>
      </c>
      <c r="CG179" s="1176">
        <f>'Revenue Drivers'!CG540/10000</f>
        <v>-2.0396354694054653E-2</v>
      </c>
      <c r="CH179" s="500"/>
      <c r="CI179" s="500">
        <f>'Revenue Drivers'!CI540/10000</f>
        <v>-2.2909346451159607E-2</v>
      </c>
      <c r="CJ179" s="500">
        <f>'Revenue Drivers'!CJ540/10000</f>
        <v>1.6641242546110213E-2</v>
      </c>
      <c r="CK179" s="500">
        <f>'Revenue Drivers'!CK540/10000</f>
        <v>1.3812874641647266E-2</v>
      </c>
      <c r="CL179" s="1176">
        <f>'Revenue Drivers'!CL540/10000</f>
        <v>-7.0223438212494438E-2</v>
      </c>
      <c r="CM179" s="500"/>
      <c r="CN179" s="500">
        <f>'Revenue Drivers'!CN540/10000</f>
        <v>-0.12973607038123181</v>
      </c>
      <c r="CO179" s="500">
        <f>'Revenue Drivers'!CO540/10000</f>
        <v>-0.17494720462376345</v>
      </c>
      <c r="CP179" s="500">
        <f>'Revenue Drivers'!CP540/10000</f>
        <v>-0.17143167735623455</v>
      </c>
      <c r="CQ179" s="1246">
        <f>'Revenue Drivers'!CQ540/10000</f>
        <v>-0.13604817309655037</v>
      </c>
      <c r="CR179" s="1246"/>
      <c r="CS179" s="500">
        <f>(1+'Revenue Drivers'!CS527)/(1+'Revenue Drivers'!CS539)-1</f>
        <v>-6.5475167554562619E-2</v>
      </c>
      <c r="CT179" s="500">
        <f>(1+'Revenue Drivers'!CT527)/(1+'Revenue Drivers'!CT539)-1</f>
        <v>-9.7598894455001028E-3</v>
      </c>
      <c r="CU179" s="500">
        <f>(1+'Revenue Drivers'!CU527)/(1+'Revenue Drivers'!CU539)-1</f>
        <v>-1.6336056009334854E-2</v>
      </c>
      <c r="CV179" s="500">
        <f>(1+'Revenue Drivers'!CV527)/(1+'Revenue Drivers'!CV539)-1</f>
        <v>-1.4907749077490817E-2</v>
      </c>
      <c r="CW179" s="1212">
        <f>'Revenue Drivers'!CW540/10000</f>
        <v>-3.1683217601234492E-2</v>
      </c>
      <c r="CX179" s="500">
        <f>(1+'Revenue Drivers'!CX527)/(1+'Revenue Drivers'!CX539)-1</f>
        <v>-2.2882950696274107E-2</v>
      </c>
      <c r="CY179" s="500">
        <f>'Revenue Drivers'!CY540/10000</f>
        <v>-3.1748800697775748E-2</v>
      </c>
      <c r="CZ179" s="500">
        <f>'Revenue Drivers'!CZ540/10000</f>
        <v>2.1606507371631833E-2</v>
      </c>
      <c r="DA179" s="500">
        <f>'Revenue Drivers'!DA540/10000</f>
        <v>4.0455498951153857E-2</v>
      </c>
      <c r="DB179" s="1212">
        <f>'Revenue Drivers'!DB540/10000</f>
        <v>2.6741908993281882E-3</v>
      </c>
      <c r="DC179" s="500">
        <f>'Revenue Drivers'!DG540/10000</f>
        <v>2.1093723247611607E-2</v>
      </c>
      <c r="DD179" s="500">
        <f>'Revenue Drivers'!DL540/10000</f>
        <v>0</v>
      </c>
      <c r="DE179" s="500">
        <f>'Revenue Drivers'!DQ540/10000</f>
        <v>0</v>
      </c>
      <c r="DF179" s="500">
        <f>'Revenue Drivers'!DV540/10000</f>
        <v>0</v>
      </c>
      <c r="DG179" s="1212">
        <f>'Revenue Drivers'!EZ540/10000</f>
        <v>0</v>
      </c>
      <c r="DH179" s="500">
        <f>'Revenue Drivers'!EZ540/10000</f>
        <v>0</v>
      </c>
      <c r="DI179" s="500" t="e">
        <f>'Revenue Drivers'!#REF!/10000</f>
        <v>#REF!</v>
      </c>
      <c r="DJ179" s="500" t="e">
        <f>'Revenue Drivers'!#REF!/10000</f>
        <v>#REF!</v>
      </c>
      <c r="DK179" s="500" t="e">
        <f>'Revenue Drivers'!#REF!/10000</f>
        <v>#REF!</v>
      </c>
      <c r="DL179" s="1212" t="e">
        <f>'Revenue Drivers'!#REF!/10000</f>
        <v>#REF!</v>
      </c>
      <c r="DM179" s="500" t="e">
        <f>'Revenue Drivers'!#REF!/10000</f>
        <v>#REF!</v>
      </c>
      <c r="DN179" s="500" t="e">
        <f>'Revenue Drivers'!#REF!/10000</f>
        <v>#REF!</v>
      </c>
      <c r="DO179" s="500" t="e">
        <f>'Revenue Drivers'!#REF!/10000</f>
        <v>#REF!</v>
      </c>
      <c r="DP179" s="500" t="e">
        <f>'Revenue Drivers'!#REF!/10000</f>
        <v>#REF!</v>
      </c>
      <c r="DQ179"/>
      <c r="DR179" s="500"/>
      <c r="DS179" s="500"/>
      <c r="DT179" s="500"/>
      <c r="DU179" s="500"/>
      <c r="DV179"/>
      <c r="DW179" s="500"/>
      <c r="DX179" s="500"/>
      <c r="DY179" s="500"/>
      <c r="DZ179" s="500"/>
      <c r="EA179"/>
      <c r="EB179" s="500"/>
      <c r="EC179" s="500"/>
      <c r="ED179" s="500"/>
      <c r="EE179" s="500"/>
      <c r="EF179"/>
      <c r="EG179" s="500"/>
      <c r="EH179" s="500"/>
      <c r="EI179" s="500"/>
      <c r="EJ179" s="500"/>
      <c r="EK179"/>
      <c r="EL179" s="500"/>
      <c r="EM179" s="500"/>
      <c r="EN179" s="500"/>
      <c r="EO179" s="500"/>
      <c r="EP179"/>
      <c r="EQ179" s="500"/>
      <c r="ER179" s="500"/>
      <c r="ES179" s="500"/>
      <c r="ET179" s="500"/>
      <c r="EU179"/>
      <c r="EV179" s="500"/>
      <c r="EW179" s="500"/>
      <c r="EX179" s="500"/>
      <c r="EY179" s="500"/>
      <c r="EZ179"/>
      <c r="FA179"/>
      <c r="FB179"/>
      <c r="FC179"/>
      <c r="FD179" s="500"/>
      <c r="FF179" s="500"/>
    </row>
    <row r="180" spans="1:162" ht="11.25" hidden="1" customHeight="1">
      <c r="A180" s="1630" t="s">
        <v>413</v>
      </c>
      <c r="B180" s="1205"/>
      <c r="C180" s="1205"/>
      <c r="D180" s="1205"/>
      <c r="E180" s="1205"/>
      <c r="F180" s="1205"/>
      <c r="G180" s="1205"/>
      <c r="H180" s="1205"/>
      <c r="I180" s="1205"/>
      <c r="J180" s="1205"/>
      <c r="K180" s="1205"/>
      <c r="L180" s="1205"/>
      <c r="M180" s="1205"/>
      <c r="N180" s="1205"/>
      <c r="O180" s="1205"/>
      <c r="P180" s="1205"/>
      <c r="Q180" s="1205"/>
      <c r="R180" s="1205"/>
      <c r="S180" s="1205"/>
      <c r="T180" s="1205"/>
      <c r="U180" s="1205"/>
      <c r="V180" s="1205"/>
      <c r="W180" s="1205"/>
      <c r="X180" s="1205"/>
      <c r="Y180" s="1205"/>
      <c r="Z180" s="1205"/>
      <c r="AA180" s="1205"/>
      <c r="AB180" s="1205"/>
      <c r="AC180" s="1205"/>
      <c r="AD180" s="1205"/>
      <c r="AE180" s="1205"/>
      <c r="AF180" s="1205"/>
      <c r="AG180" s="1205"/>
      <c r="AH180" s="1205"/>
      <c r="AI180" s="1205"/>
      <c r="AJ180" s="1205"/>
      <c r="AK180" s="1205"/>
      <c r="AL180" s="1205"/>
      <c r="AM180" s="1205"/>
      <c r="AN180" s="1205"/>
      <c r="AO180" s="1205"/>
      <c r="AP180" s="1205"/>
      <c r="AQ180" s="1205"/>
      <c r="AR180" s="1205"/>
      <c r="AS180" s="1205"/>
      <c r="AT180" s="1205"/>
      <c r="AU180" s="1205"/>
      <c r="AV180" s="1205"/>
      <c r="AW180" s="1205"/>
      <c r="AX180" s="1205"/>
      <c r="AY180" s="1205"/>
      <c r="AZ180" s="1205"/>
      <c r="BA180" s="1205"/>
      <c r="BB180" s="1205"/>
      <c r="BC180" s="1205"/>
      <c r="BD180" s="1205"/>
      <c r="BE180" s="1205"/>
      <c r="BF180" s="1205"/>
      <c r="BG180" s="1205"/>
      <c r="BH180" s="1205"/>
      <c r="BI180" s="1205"/>
      <c r="BJ180" s="1205"/>
      <c r="BK180" s="1205"/>
      <c r="BL180" s="1205"/>
      <c r="BM180" s="1205"/>
      <c r="BN180" s="1205"/>
      <c r="BO180" s="1207"/>
      <c r="BP180" s="497"/>
      <c r="BQ180" s="497"/>
      <c r="BR180" s="497"/>
      <c r="BS180" s="1204"/>
      <c r="BT180" s="1206">
        <f t="shared" ref="BT180:CL180" si="450">+BT179-BT176</f>
        <v>-2.0682159538848919E-2</v>
      </c>
      <c r="BU180" s="500">
        <f t="shared" si="450"/>
        <v>8.8133082647705308E-4</v>
      </c>
      <c r="BV180" s="500">
        <f t="shared" si="450"/>
        <v>4.3182739473709139E-2</v>
      </c>
      <c r="BW180" s="1176">
        <f t="shared" si="450"/>
        <v>-2.5889821266527301E-3</v>
      </c>
      <c r="BX180" s="500"/>
      <c r="BY180" s="1206">
        <f t="shared" si="450"/>
        <v>1.7088416097822683E-2</v>
      </c>
      <c r="BZ180" s="500">
        <f t="shared" si="450"/>
        <v>-2.8001318303654821E-3</v>
      </c>
      <c r="CA180" s="500">
        <f t="shared" si="450"/>
        <v>-4.448579733442122E-2</v>
      </c>
      <c r="CB180" s="1176">
        <f t="shared" si="450"/>
        <v>-3.2277817260245416E-2</v>
      </c>
      <c r="CC180" s="500"/>
      <c r="CD180" s="1206">
        <f t="shared" si="450"/>
        <v>1.964275518465701E-2</v>
      </c>
      <c r="CE180" s="500">
        <f t="shared" si="450"/>
        <v>1.6486671556677324E-2</v>
      </c>
      <c r="CF180" s="500">
        <f t="shared" si="450"/>
        <v>1.7738115230433726E-2</v>
      </c>
      <c r="CG180" s="1176">
        <f t="shared" si="450"/>
        <v>1.4366013895595199E-2</v>
      </c>
      <c r="CH180" s="500"/>
      <c r="CI180" s="500">
        <f t="shared" si="450"/>
        <v>-1.7078347147772954E-2</v>
      </c>
      <c r="CJ180" s="500">
        <f t="shared" si="450"/>
        <v>-1.3162854579923066E-2</v>
      </c>
      <c r="CK180" s="500">
        <f t="shared" si="450"/>
        <v>1.275154227140623E-2</v>
      </c>
      <c r="CL180" s="1176">
        <f t="shared" si="450"/>
        <v>1.0638108788938741E-2</v>
      </c>
      <c r="CM180" s="500"/>
      <c r="CN180" s="500">
        <f t="shared" ref="CN180:CV180" si="451">+CN179-CN176</f>
        <v>2.1662350320428819E-2</v>
      </c>
      <c r="CO180" s="500">
        <f t="shared" si="451"/>
        <v>2.5609726279877676E-3</v>
      </c>
      <c r="CP180" s="500">
        <f t="shared" si="451"/>
        <v>-3.8765853049767818E-3</v>
      </c>
      <c r="CQ180" s="1246">
        <f>+CQ179-CQ176</f>
        <v>-2.3110946164965049E-2</v>
      </c>
      <c r="CR180" s="1246"/>
      <c r="CS180" s="500">
        <f t="shared" si="451"/>
        <v>-2.9648339672027242E-2</v>
      </c>
      <c r="CT180" s="500">
        <f t="shared" si="451"/>
        <v>-2.0132983729726401E-2</v>
      </c>
      <c r="CU180" s="500">
        <f t="shared" si="451"/>
        <v>-2.9476788396841404E-2</v>
      </c>
      <c r="CV180" s="500">
        <f t="shared" si="451"/>
        <v>-1.5819046860686241E-2</v>
      </c>
      <c r="CW180" s="1212">
        <f t="shared" ref="CW180:DP180" si="452">+CW179-CW176</f>
        <v>-1.5648276874948339E-2</v>
      </c>
      <c r="CX180" s="500">
        <f t="shared" si="452"/>
        <v>1.0842067696085422E-2</v>
      </c>
      <c r="CY180" s="500">
        <f t="shared" si="452"/>
        <v>1.2434419123391029E-2</v>
      </c>
      <c r="CZ180" s="500">
        <f t="shared" si="452"/>
        <v>5.0561545037816347E-2</v>
      </c>
      <c r="DA180" s="500">
        <f t="shared" si="452"/>
        <v>4.0435568531610025E-2</v>
      </c>
      <c r="DB180" s="1212">
        <f t="shared" si="452"/>
        <v>3.0747477820667626E-2</v>
      </c>
      <c r="DC180" s="500">
        <f t="shared" si="452"/>
        <v>-5.7831802475853018E-3</v>
      </c>
      <c r="DD180" s="500">
        <f t="shared" si="452"/>
        <v>-3.7441437233780399E-3</v>
      </c>
      <c r="DE180" s="500">
        <f t="shared" si="452"/>
        <v>0</v>
      </c>
      <c r="DF180" s="500">
        <f t="shared" si="452"/>
        <v>0</v>
      </c>
      <c r="DG180" s="1212">
        <f t="shared" si="452"/>
        <v>-7.6657730053570653E-3</v>
      </c>
      <c r="DH180" s="500">
        <f t="shared" si="452"/>
        <v>0</v>
      </c>
      <c r="DI180" s="500" t="e">
        <f t="shared" si="452"/>
        <v>#REF!</v>
      </c>
      <c r="DJ180" s="500" t="e">
        <f t="shared" si="452"/>
        <v>#REF!</v>
      </c>
      <c r="DK180" s="500" t="e">
        <f t="shared" si="452"/>
        <v>#REF!</v>
      </c>
      <c r="DL180" s="1212" t="e">
        <f t="shared" si="452"/>
        <v>#REF!</v>
      </c>
      <c r="DM180" s="500" t="e">
        <f t="shared" si="452"/>
        <v>#REF!</v>
      </c>
      <c r="DN180" s="500" t="e">
        <f t="shared" si="452"/>
        <v>#REF!</v>
      </c>
      <c r="DO180" s="500" t="e">
        <f t="shared" si="452"/>
        <v>#REF!</v>
      </c>
      <c r="DP180" s="500" t="e">
        <f t="shared" si="452"/>
        <v>#REF!</v>
      </c>
      <c r="DQ180"/>
      <c r="DR180" s="500"/>
      <c r="DS180" s="500"/>
      <c r="DT180" s="500"/>
      <c r="DU180" s="500"/>
      <c r="DV180"/>
      <c r="DW180" s="500"/>
      <c r="DX180" s="500"/>
      <c r="DY180" s="500"/>
      <c r="DZ180" s="500"/>
      <c r="EA180"/>
      <c r="EB180" s="500"/>
      <c r="EC180" s="500"/>
      <c r="ED180" s="500"/>
      <c r="EE180" s="500"/>
      <c r="EF180"/>
      <c r="EG180" s="500"/>
      <c r="EH180" s="500"/>
      <c r="EI180" s="500"/>
      <c r="EJ180" s="500"/>
      <c r="EK180"/>
      <c r="EL180" s="500"/>
      <c r="EM180" s="500"/>
      <c r="EN180" s="500"/>
      <c r="EO180" s="500"/>
      <c r="EP180"/>
      <c r="EQ180" s="500"/>
      <c r="ER180" s="500"/>
      <c r="ES180" s="500"/>
      <c r="ET180" s="500"/>
      <c r="EU180"/>
      <c r="EV180" s="500"/>
      <c r="EW180" s="500"/>
      <c r="EX180" s="500"/>
      <c r="EY180" s="500"/>
      <c r="EZ180"/>
      <c r="FA180"/>
      <c r="FB180"/>
      <c r="FC180"/>
      <c r="FD180" s="500"/>
      <c r="FF180" s="500"/>
    </row>
    <row r="181" spans="1:162" ht="11.25" hidden="1" customHeight="1">
      <c r="A181" s="1630"/>
      <c r="B181" s="1205"/>
      <c r="C181" s="1205"/>
      <c r="D181" s="1205"/>
      <c r="E181" s="1205"/>
      <c r="F181" s="1205"/>
      <c r="G181" s="1205"/>
      <c r="H181" s="1205"/>
      <c r="I181" s="1205"/>
      <c r="J181" s="1205"/>
      <c r="K181" s="1205"/>
      <c r="L181" s="1205"/>
      <c r="M181" s="1205"/>
      <c r="N181" s="1205"/>
      <c r="O181" s="1205"/>
      <c r="P181" s="1205"/>
      <c r="Q181" s="1205"/>
      <c r="R181" s="1205"/>
      <c r="S181" s="1205"/>
      <c r="T181" s="1205"/>
      <c r="U181" s="1205"/>
      <c r="V181" s="1205"/>
      <c r="W181" s="1205"/>
      <c r="X181" s="1205"/>
      <c r="Y181" s="1205"/>
      <c r="Z181" s="1205"/>
      <c r="AA181" s="1205"/>
      <c r="AB181" s="1205"/>
      <c r="AC181" s="1205"/>
      <c r="AD181" s="1205"/>
      <c r="AE181" s="1205"/>
      <c r="AF181" s="1205"/>
      <c r="AG181" s="1205"/>
      <c r="AH181" s="1205"/>
      <c r="AI181" s="1205"/>
      <c r="AJ181" s="1205"/>
      <c r="AK181" s="1205"/>
      <c r="AL181" s="1205"/>
      <c r="AM181" s="1205"/>
      <c r="AN181" s="1205"/>
      <c r="AO181" s="1205"/>
      <c r="AP181" s="1205"/>
      <c r="AQ181" s="1205"/>
      <c r="AR181" s="1205"/>
      <c r="AS181" s="1205"/>
      <c r="AT181" s="1205"/>
      <c r="AU181" s="1205"/>
      <c r="AV181" s="1205"/>
      <c r="AW181" s="1205"/>
      <c r="AX181" s="1205"/>
      <c r="AY181" s="1205"/>
      <c r="AZ181" s="1205"/>
      <c r="BA181" s="1205"/>
      <c r="BB181" s="1205"/>
      <c r="BC181" s="1205"/>
      <c r="BD181" s="1205"/>
      <c r="BE181" s="1205"/>
      <c r="BF181" s="1205"/>
      <c r="BG181" s="1205"/>
      <c r="BH181" s="1205"/>
      <c r="BI181" s="1205"/>
      <c r="BJ181" s="1205"/>
      <c r="BK181" s="1205"/>
      <c r="BL181" s="1205"/>
      <c r="BM181" s="1205"/>
      <c r="BN181" s="1205"/>
      <c r="BO181" s="1207"/>
      <c r="BP181" s="497"/>
      <c r="BQ181" s="497"/>
      <c r="BR181" s="497"/>
      <c r="BS181" s="1204"/>
      <c r="BT181" s="1206"/>
      <c r="BU181" s="500"/>
      <c r="BV181" s="500"/>
      <c r="BW181" s="1176"/>
      <c r="BX181" s="500"/>
      <c r="BY181" s="1206"/>
      <c r="BZ181" s="500"/>
      <c r="CA181" s="500"/>
      <c r="CB181" s="1176"/>
      <c r="CC181" s="500"/>
      <c r="CD181" s="1206"/>
      <c r="CE181" s="500"/>
      <c r="CF181" s="500"/>
      <c r="CG181" s="1176"/>
      <c r="CH181" s="500"/>
      <c r="CI181" s="500"/>
      <c r="CJ181" s="500"/>
      <c r="CK181" s="500"/>
      <c r="CL181" s="1176"/>
      <c r="CM181" s="500"/>
      <c r="CN181" s="500"/>
      <c r="CO181" s="500"/>
      <c r="CP181" s="500"/>
      <c r="CQ181" s="1246"/>
      <c r="CR181" s="1246"/>
      <c r="CS181" s="500"/>
      <c r="CT181" s="500"/>
      <c r="CU181" s="500"/>
      <c r="CV181" s="500"/>
      <c r="CW181" s="1212"/>
      <c r="CX181" s="1206"/>
      <c r="CY181" s="500"/>
      <c r="CZ181" s="500"/>
      <c r="DA181" s="1176"/>
      <c r="DB181" s="1212"/>
      <c r="DC181" s="1206"/>
      <c r="DD181" s="500"/>
      <c r="DE181" s="500"/>
      <c r="DF181" s="1176"/>
      <c r="DG181" s="1212"/>
      <c r="DH181" s="1206"/>
      <c r="DI181" s="500"/>
      <c r="DJ181" s="500"/>
      <c r="DK181" s="1176"/>
      <c r="DL181" s="1212"/>
      <c r="DM181" s="1206"/>
      <c r="DN181" s="500"/>
      <c r="DO181" s="500"/>
      <c r="DP181" s="1176"/>
      <c r="DQ181"/>
      <c r="DR181" s="500"/>
      <c r="DS181" s="500"/>
      <c r="DT181" s="500"/>
      <c r="DU181" s="500"/>
      <c r="DV181"/>
      <c r="DW181" s="500"/>
      <c r="DX181" s="500"/>
      <c r="DY181" s="500"/>
      <c r="DZ181" s="500"/>
      <c r="EA181"/>
      <c r="EB181" s="500"/>
      <c r="EC181" s="500"/>
      <c r="ED181" s="500"/>
      <c r="EE181" s="500"/>
      <c r="EF181"/>
      <c r="EG181" s="500"/>
      <c r="EH181" s="500"/>
      <c r="EI181" s="500"/>
      <c r="EJ181" s="500"/>
      <c r="EK181"/>
      <c r="EL181" s="500"/>
      <c r="EM181" s="500"/>
      <c r="EN181" s="500"/>
      <c r="EO181" s="500"/>
      <c r="EP181"/>
      <c r="EQ181" s="500"/>
      <c r="ER181" s="500"/>
      <c r="ES181" s="500"/>
      <c r="ET181" s="500"/>
      <c r="EU181"/>
      <c r="EV181" s="500"/>
      <c r="EW181" s="500"/>
      <c r="EX181" s="500"/>
      <c r="EY181" s="500"/>
      <c r="EZ181"/>
      <c r="FA181"/>
      <c r="FB181"/>
      <c r="FC181"/>
      <c r="FD181" s="500"/>
      <c r="FF181" s="500"/>
    </row>
    <row r="182" spans="1:162" ht="11.25" hidden="1" customHeight="1">
      <c r="A182" s="1629" t="s">
        <v>371</v>
      </c>
      <c r="B182" s="421"/>
      <c r="C182" s="421"/>
      <c r="D182" s="421"/>
      <c r="E182" s="421"/>
      <c r="F182" s="421"/>
      <c r="G182" s="421"/>
      <c r="H182" s="421"/>
      <c r="I182" s="421"/>
      <c r="J182" s="421"/>
      <c r="K182" s="421"/>
      <c r="L182" s="421"/>
      <c r="M182" s="421"/>
      <c r="N182" s="421"/>
      <c r="O182" s="421"/>
      <c r="P182" s="421"/>
      <c r="Q182" s="421"/>
      <c r="R182" s="421"/>
      <c r="S182" s="421"/>
      <c r="T182" s="421"/>
      <c r="U182" s="421"/>
      <c r="V182" s="421"/>
      <c r="W182" s="421"/>
      <c r="X182" s="421"/>
      <c r="Y182" s="421"/>
      <c r="Z182" s="421"/>
      <c r="AA182" s="421"/>
      <c r="AB182" s="421"/>
      <c r="AC182" s="421"/>
      <c r="AD182" s="421"/>
      <c r="AE182" s="421"/>
      <c r="AF182" s="421"/>
      <c r="AG182" s="421"/>
      <c r="AH182" s="421"/>
      <c r="AI182" s="421"/>
      <c r="AJ182" s="421"/>
      <c r="AK182" s="421"/>
      <c r="AL182" s="421"/>
      <c r="AM182" s="421"/>
      <c r="AN182" s="421"/>
      <c r="AO182" s="421"/>
      <c r="AP182" s="421"/>
      <c r="AQ182" s="421"/>
      <c r="AR182" s="421"/>
      <c r="AS182" s="421"/>
      <c r="AT182" s="421"/>
      <c r="AU182" s="421"/>
      <c r="AV182" s="421"/>
      <c r="AW182" s="421"/>
      <c r="AX182" s="421"/>
      <c r="AY182" s="421"/>
      <c r="AZ182" s="1185"/>
      <c r="BA182" s="429"/>
      <c r="BB182" s="429"/>
      <c r="BC182" s="429"/>
      <c r="BD182" s="421"/>
      <c r="BE182" s="1185"/>
      <c r="BF182" s="429"/>
      <c r="BG182" s="429"/>
      <c r="BH182" s="429"/>
      <c r="BI182" s="421"/>
      <c r="BJ182" s="1185"/>
      <c r="BK182" s="429"/>
      <c r="BL182" s="429"/>
      <c r="BM182" s="430"/>
      <c r="BN182" s="429"/>
      <c r="BO182" s="1185"/>
      <c r="BP182" s="429"/>
      <c r="BQ182" s="429"/>
      <c r="BR182" s="429"/>
      <c r="BS182" s="1187"/>
      <c r="BT182" s="1197"/>
      <c r="BU182" s="441"/>
      <c r="BV182" s="441"/>
      <c r="BW182" s="430"/>
      <c r="BX182" s="429"/>
      <c r="BY182" s="1185"/>
      <c r="BZ182" s="429"/>
      <c r="CA182" s="429"/>
      <c r="CB182" s="430"/>
      <c r="CC182" s="429"/>
      <c r="CD182" s="1185"/>
      <c r="CE182" s="429"/>
      <c r="CF182" s="429"/>
      <c r="CG182" s="430"/>
      <c r="CH182" s="429"/>
      <c r="CI182" s="429"/>
      <c r="CJ182" s="429"/>
      <c r="CK182" s="429"/>
      <c r="CL182" s="430"/>
      <c r="CM182" s="429"/>
      <c r="CN182" s="429"/>
      <c r="CO182" s="429"/>
      <c r="CP182" s="429"/>
      <c r="CQ182" s="1239"/>
      <c r="CR182" s="1239"/>
      <c r="CS182" s="429"/>
      <c r="CT182" s="429"/>
      <c r="CU182" s="429"/>
      <c r="CV182" s="429"/>
      <c r="CW182" s="1187"/>
      <c r="CX182" s="1185"/>
      <c r="CY182" s="429"/>
      <c r="CZ182" s="429"/>
      <c r="DA182" s="430"/>
      <c r="DB182" s="1187"/>
      <c r="DC182" s="1185"/>
      <c r="DD182" s="429"/>
      <c r="DE182" s="429"/>
      <c r="DF182" s="430"/>
      <c r="DG182" s="1187"/>
      <c r="DH182" s="1185"/>
      <c r="DI182" s="429"/>
      <c r="DJ182" s="429"/>
      <c r="DK182" s="430"/>
      <c r="DL182" s="1187"/>
      <c r="DM182" s="1185"/>
      <c r="DN182" s="429"/>
      <c r="DO182" s="429"/>
      <c r="DP182" s="430"/>
      <c r="DQ182"/>
      <c r="DR182" s="429"/>
      <c r="DS182" s="429"/>
      <c r="DT182" s="429"/>
      <c r="DU182" s="429"/>
      <c r="DV182"/>
      <c r="DW182" s="429"/>
      <c r="DX182" s="429"/>
      <c r="DY182" s="429"/>
      <c r="DZ182" s="429"/>
      <c r="EA182"/>
      <c r="EB182" s="429"/>
      <c r="EC182" s="429"/>
      <c r="ED182" s="429"/>
      <c r="EE182" s="429"/>
      <c r="EF182"/>
      <c r="EG182" s="429"/>
      <c r="EH182" s="429"/>
      <c r="EI182" s="429"/>
      <c r="EJ182" s="429"/>
      <c r="EK182"/>
      <c r="EL182" s="429"/>
      <c r="EM182" s="429"/>
      <c r="EN182" s="429"/>
      <c r="EO182" s="429"/>
      <c r="EP182"/>
      <c r="EQ182" s="429"/>
      <c r="ER182" s="429"/>
      <c r="ES182" s="429"/>
      <c r="ET182" s="429"/>
      <c r="EU182"/>
      <c r="EV182" s="429"/>
      <c r="EW182" s="429"/>
      <c r="EX182" s="429"/>
      <c r="EY182" s="429"/>
      <c r="EZ182"/>
      <c r="FA182"/>
      <c r="FB182"/>
      <c r="FC182"/>
      <c r="FD182" s="429"/>
      <c r="FF182" s="429"/>
    </row>
    <row r="183" spans="1:162" ht="11.25" hidden="1" customHeight="1">
      <c r="A183" s="1626" t="s">
        <v>342</v>
      </c>
      <c r="B183" s="440"/>
      <c r="C183" s="440"/>
      <c r="D183" s="440"/>
      <c r="E183" s="440"/>
      <c r="F183" s="421"/>
      <c r="G183" s="440"/>
      <c r="H183" s="440"/>
      <c r="I183" s="440"/>
      <c r="J183" s="440"/>
      <c r="K183" s="421"/>
      <c r="L183" s="440"/>
      <c r="M183" s="440"/>
      <c r="N183" s="440"/>
      <c r="O183" s="440"/>
      <c r="P183" s="421"/>
      <c r="Q183" s="440"/>
      <c r="R183" s="440"/>
      <c r="S183" s="440"/>
      <c r="T183" s="440"/>
      <c r="U183" s="421"/>
      <c r="V183" s="440"/>
      <c r="W183" s="440"/>
      <c r="X183" s="440"/>
      <c r="Y183" s="440"/>
      <c r="Z183" s="421"/>
      <c r="AA183" s="440"/>
      <c r="AB183" s="440"/>
      <c r="AC183" s="440"/>
      <c r="AD183" s="440"/>
      <c r="AE183" s="421"/>
      <c r="AF183" s="440"/>
      <c r="AG183" s="440"/>
      <c r="AH183" s="440"/>
      <c r="AI183" s="440"/>
      <c r="AJ183" s="421"/>
      <c r="AK183" s="440"/>
      <c r="AL183" s="440"/>
      <c r="AM183" s="440"/>
      <c r="AN183" s="440"/>
      <c r="AO183" s="421"/>
      <c r="AP183" s="440"/>
      <c r="AQ183" s="440"/>
      <c r="AR183" s="440"/>
      <c r="AS183" s="440"/>
      <c r="AT183" s="421"/>
      <c r="AU183" s="440"/>
      <c r="AV183" s="440"/>
      <c r="AW183" s="440"/>
      <c r="AX183" s="440"/>
      <c r="AY183" s="421"/>
      <c r="AZ183" s="1197">
        <f t="shared" ref="AZ183:AZ188" si="453">+AZ156/AX156-1</f>
        <v>1.1127494684863848E-2</v>
      </c>
      <c r="BA183" s="441">
        <f t="shared" ref="BA183:BC188" si="454">+BA156/AZ156-1</f>
        <v>2.8843708137622492E-2</v>
      </c>
      <c r="BB183" s="441">
        <f t="shared" si="454"/>
        <v>4.9444572634076422E-3</v>
      </c>
      <c r="BC183" s="441">
        <f t="shared" si="454"/>
        <v>3.8869026142291929E-3</v>
      </c>
      <c r="BD183" s="442"/>
      <c r="BE183" s="1197">
        <f t="shared" ref="BE183:BE188" si="455">+BE156/BC156-1</f>
        <v>-2.6302461975788671E-2</v>
      </c>
      <c r="BF183" s="441">
        <f t="shared" ref="BF183:BH188" si="456">+BF156/BE156-1</f>
        <v>1.6778241975812236E-4</v>
      </c>
      <c r="BG183" s="441">
        <f t="shared" si="456"/>
        <v>-3.413595764923516E-2</v>
      </c>
      <c r="BH183" s="441">
        <f t="shared" si="456"/>
        <v>-0.18338319072502429</v>
      </c>
      <c r="BI183" s="442"/>
      <c r="BJ183" s="1197">
        <f t="shared" ref="BJ183:BJ188" si="457">+BJ156/BH156-1</f>
        <v>-8.2815863173321902E-2</v>
      </c>
      <c r="BK183" s="441">
        <f t="shared" ref="BK183:BM188" si="458">+BK156/BJ156-1</f>
        <v>7.6647978085288226E-2</v>
      </c>
      <c r="BL183" s="441">
        <f t="shared" si="458"/>
        <v>5.8459119266870641E-2</v>
      </c>
      <c r="BM183" s="441">
        <f t="shared" si="458"/>
        <v>-5.0109926143235839E-3</v>
      </c>
      <c r="BN183" s="441"/>
      <c r="BO183" s="1197">
        <f t="shared" ref="BO183:BO188" si="459">+BO156/BM156-1</f>
        <v>-4.6095607717543507E-2</v>
      </c>
      <c r="BP183" s="441">
        <f t="shared" ref="BP183:BR188" si="460">+BP156/BO156-1</f>
        <v>-3.9826212556542506E-2</v>
      </c>
      <c r="BQ183" s="441">
        <f t="shared" si="460"/>
        <v>3.9036494380603193E-2</v>
      </c>
      <c r="BR183" s="441">
        <f t="shared" si="460"/>
        <v>1.9775082484290607E-2</v>
      </c>
      <c r="BS183" s="1198"/>
      <c r="BT183" s="1197">
        <f>+BT156/BR156-1</f>
        <v>1.3432088995896985E-2</v>
      </c>
      <c r="BU183" s="441">
        <f t="shared" ref="BU183:CV183" si="461">+BU156/BT156-1</f>
        <v>1.7673553610259685E-2</v>
      </c>
      <c r="BV183" s="441">
        <f t="shared" si="461"/>
        <v>-1.319927319387848E-2</v>
      </c>
      <c r="BW183" s="443">
        <f t="shared" si="461"/>
        <v>-2.3509669185570958E-2</v>
      </c>
      <c r="BX183" s="441"/>
      <c r="BY183" s="1197">
        <f>+BY156/BW156-1</f>
        <v>-7.4378547661457795E-5</v>
      </c>
      <c r="BZ183" s="441">
        <f t="shared" si="461"/>
        <v>6.9138045108072532E-3</v>
      </c>
      <c r="CA183" s="441">
        <f t="shared" si="461"/>
        <v>-1.7126949381213175E-3</v>
      </c>
      <c r="CB183" s="443">
        <f t="shared" si="461"/>
        <v>1.6388729706113825E-2</v>
      </c>
      <c r="CC183" s="441"/>
      <c r="CD183" s="1197">
        <f>+CD156/CB156-1</f>
        <v>-3.3404708812104666E-2</v>
      </c>
      <c r="CE183" s="441">
        <f t="shared" si="461"/>
        <v>-1.0545112308939286E-2</v>
      </c>
      <c r="CF183" s="441">
        <f t="shared" si="461"/>
        <v>9.9425159454327172E-3</v>
      </c>
      <c r="CG183" s="443">
        <f t="shared" si="461"/>
        <v>4.4051198199623443E-2</v>
      </c>
      <c r="CH183" s="441"/>
      <c r="CI183" s="441">
        <f>+CI156/CG156-1</f>
        <v>1.7521997221403796E-2</v>
      </c>
      <c r="CJ183" s="441">
        <f t="shared" si="461"/>
        <v>2.153043267188548E-2</v>
      </c>
      <c r="CK183" s="441">
        <f t="shared" si="461"/>
        <v>-8.4049095964175979E-3</v>
      </c>
      <c r="CL183" s="443">
        <f t="shared" si="461"/>
        <v>-5.1734650925895687E-2</v>
      </c>
      <c r="CM183" s="441"/>
      <c r="CN183" s="441">
        <f>+CN156/CL156-1</f>
        <v>-4.2951449080451121E-2</v>
      </c>
      <c r="CO183" s="441">
        <f t="shared" si="461"/>
        <v>1.2136087790220573E-2</v>
      </c>
      <c r="CP183" s="441">
        <f t="shared" si="461"/>
        <v>1.0255622517783003E-2</v>
      </c>
      <c r="CQ183" s="1242">
        <f t="shared" si="461"/>
        <v>-2.0924586584867289E-2</v>
      </c>
      <c r="CR183" s="1242"/>
      <c r="CS183" s="441">
        <f>+CS156/CQ156-1</f>
        <v>-5.5689041243906612E-2</v>
      </c>
      <c r="CT183" s="441">
        <f t="shared" si="461"/>
        <v>1.1432156350476008E-2</v>
      </c>
      <c r="CU183" s="441">
        <f t="shared" si="461"/>
        <v>-8.6894488551374938E-2</v>
      </c>
      <c r="CV183" s="441">
        <f t="shared" si="461"/>
        <v>-4.937120391138905E-2</v>
      </c>
      <c r="CW183" s="1198"/>
      <c r="CX183" s="441">
        <f>+CX156/CV156-1</f>
        <v>-1.1161187698833341E-2</v>
      </c>
      <c r="CY183" s="441">
        <f t="shared" ref="CY183:DA185" si="462">+CY156/CX156-1</f>
        <v>2.8499423577039495E-2</v>
      </c>
      <c r="CZ183" s="441">
        <f t="shared" si="462"/>
        <v>9.2800166831761288E-3</v>
      </c>
      <c r="DA183" s="441">
        <f t="shared" si="462"/>
        <v>0</v>
      </c>
      <c r="DB183" s="1198"/>
      <c r="DC183" s="441">
        <f>+DC156/DA156-1</f>
        <v>0</v>
      </c>
      <c r="DD183" s="441">
        <f t="shared" ref="DD183:DF185" si="463">+DD156/DC156-1</f>
        <v>0</v>
      </c>
      <c r="DE183" s="441">
        <f t="shared" si="463"/>
        <v>0</v>
      </c>
      <c r="DF183" s="441">
        <f t="shared" si="463"/>
        <v>0</v>
      </c>
      <c r="DG183" s="1198"/>
      <c r="DH183" s="441">
        <f>+DH156/DF156-1</f>
        <v>0</v>
      </c>
      <c r="DI183" s="441">
        <f t="shared" ref="DI183:DK185" si="464">+DI156/DH156-1</f>
        <v>0</v>
      </c>
      <c r="DJ183" s="441">
        <f t="shared" si="464"/>
        <v>0</v>
      </c>
      <c r="DK183" s="441">
        <f t="shared" si="464"/>
        <v>0</v>
      </c>
      <c r="DL183" s="1198"/>
      <c r="DM183" s="441">
        <f>+DM156/DK156-1</f>
        <v>0</v>
      </c>
      <c r="DN183" s="441">
        <f t="shared" ref="DN183:DP185" si="465">+DN156/DM156-1</f>
        <v>0</v>
      </c>
      <c r="DO183" s="441">
        <f t="shared" si="465"/>
        <v>0</v>
      </c>
      <c r="DP183" s="441">
        <f t="shared" si="465"/>
        <v>0</v>
      </c>
      <c r="DQ183"/>
      <c r="DR183" s="441"/>
      <c r="DS183" s="441"/>
      <c r="DT183" s="441"/>
      <c r="DU183" s="441"/>
      <c r="DV183"/>
      <c r="DW183" s="441"/>
      <c r="DX183" s="441"/>
      <c r="DY183" s="441"/>
      <c r="DZ183" s="441"/>
      <c r="EA183"/>
      <c r="EB183" s="441"/>
      <c r="EC183" s="441"/>
      <c r="ED183" s="441"/>
      <c r="EE183" s="441"/>
      <c r="EF183"/>
      <c r="EG183" s="441"/>
      <c r="EH183" s="441"/>
      <c r="EI183" s="441"/>
      <c r="EJ183" s="441"/>
      <c r="EK183"/>
      <c r="EL183" s="441"/>
      <c r="EM183" s="441"/>
      <c r="EN183" s="441"/>
      <c r="EO183" s="441"/>
      <c r="EP183"/>
      <c r="EQ183" s="441"/>
      <c r="ER183" s="441"/>
      <c r="ES183" s="441"/>
      <c r="ET183" s="441"/>
      <c r="EU183"/>
      <c r="EV183" s="441"/>
      <c r="EW183" s="441"/>
      <c r="EX183" s="441"/>
      <c r="EY183" s="441"/>
      <c r="EZ183"/>
      <c r="FA183"/>
      <c r="FB183"/>
      <c r="FC183"/>
      <c r="FD183" s="441"/>
      <c r="FF183" s="441"/>
    </row>
    <row r="184" spans="1:162" ht="11.25" hidden="1" customHeight="1">
      <c r="A184" s="1626" t="s">
        <v>343</v>
      </c>
      <c r="B184" s="440"/>
      <c r="C184" s="440"/>
      <c r="D184" s="440"/>
      <c r="E184" s="440"/>
      <c r="F184" s="421"/>
      <c r="G184" s="440"/>
      <c r="H184" s="440"/>
      <c r="I184" s="440"/>
      <c r="J184" s="440"/>
      <c r="K184" s="421"/>
      <c r="L184" s="440"/>
      <c r="M184" s="440"/>
      <c r="N184" s="440"/>
      <c r="O184" s="440"/>
      <c r="P184" s="421"/>
      <c r="Q184" s="440"/>
      <c r="R184" s="440"/>
      <c r="S184" s="440"/>
      <c r="T184" s="440"/>
      <c r="U184" s="421"/>
      <c r="V184" s="440"/>
      <c r="W184" s="440"/>
      <c r="X184" s="440"/>
      <c r="Y184" s="440"/>
      <c r="Z184" s="421"/>
      <c r="AA184" s="440"/>
      <c r="AB184" s="440"/>
      <c r="AC184" s="440"/>
      <c r="AD184" s="440"/>
      <c r="AE184" s="421"/>
      <c r="AF184" s="440"/>
      <c r="AG184" s="440"/>
      <c r="AH184" s="440"/>
      <c r="AI184" s="440"/>
      <c r="AJ184" s="421"/>
      <c r="AK184" s="440"/>
      <c r="AL184" s="440"/>
      <c r="AM184" s="440"/>
      <c r="AN184" s="440"/>
      <c r="AO184" s="421"/>
      <c r="AP184" s="440"/>
      <c r="AQ184" s="440"/>
      <c r="AR184" s="440"/>
      <c r="AS184" s="440"/>
      <c r="AT184" s="421"/>
      <c r="AU184" s="440"/>
      <c r="AV184" s="440"/>
      <c r="AW184" s="440"/>
      <c r="AX184" s="440"/>
      <c r="AY184" s="421"/>
      <c r="AZ184" s="1197">
        <f t="shared" si="453"/>
        <v>1.0613712886440307E-2</v>
      </c>
      <c r="BA184" s="441">
        <f t="shared" si="454"/>
        <v>2.5817703640323764E-2</v>
      </c>
      <c r="BB184" s="441">
        <f t="shared" si="454"/>
        <v>2.2980587062963131E-2</v>
      </c>
      <c r="BC184" s="441">
        <f t="shared" si="454"/>
        <v>5.1326454530148835E-2</v>
      </c>
      <c r="BD184" s="442"/>
      <c r="BE184" s="1197">
        <f t="shared" si="455"/>
        <v>4.8454622406259196E-2</v>
      </c>
      <c r="BF184" s="441">
        <f t="shared" si="456"/>
        <v>2.4045909795107789E-2</v>
      </c>
      <c r="BG184" s="441">
        <f t="shared" si="456"/>
        <v>-2.781682530888796E-2</v>
      </c>
      <c r="BH184" s="441">
        <f t="shared" si="456"/>
        <v>-0.12947043744620401</v>
      </c>
      <c r="BI184" s="442"/>
      <c r="BJ184" s="1197">
        <f t="shared" si="457"/>
        <v>-1.2118454443452831E-2</v>
      </c>
      <c r="BK184" s="441">
        <f t="shared" si="458"/>
        <v>4.1102247169864548E-2</v>
      </c>
      <c r="BL184" s="441">
        <f t="shared" si="458"/>
        <v>5.0657250014708222E-2</v>
      </c>
      <c r="BM184" s="441">
        <f t="shared" si="458"/>
        <v>3.0324650555297206E-2</v>
      </c>
      <c r="BN184" s="441"/>
      <c r="BO184" s="1197">
        <f t="shared" si="459"/>
        <v>-6.3005995748266708E-2</v>
      </c>
      <c r="BP184" s="441">
        <f t="shared" si="460"/>
        <v>-7.7790844886864274E-2</v>
      </c>
      <c r="BQ184" s="441">
        <f t="shared" si="460"/>
        <v>1.6030251386419003E-2</v>
      </c>
      <c r="BR184" s="441">
        <f t="shared" si="460"/>
        <v>5.1156349434944737E-2</v>
      </c>
      <c r="BS184" s="1198"/>
      <c r="BT184" s="1197">
        <f>+BT157/BR157-1</f>
        <v>6.7961350680576516E-3</v>
      </c>
      <c r="BU184" s="441">
        <f t="shared" ref="BU184:CV184" si="466">+BU157/BT157-1</f>
        <v>5.1312175999492782E-2</v>
      </c>
      <c r="BV184" s="441">
        <f t="shared" si="466"/>
        <v>-1.8714598647112446E-2</v>
      </c>
      <c r="BW184" s="443">
        <f t="shared" si="466"/>
        <v>-4.6418308516546158E-2</v>
      </c>
      <c r="BX184" s="441"/>
      <c r="BY184" s="1197">
        <f>+BY157/BW157-1</f>
        <v>-2.6293823514970449E-2</v>
      </c>
      <c r="BZ184" s="441">
        <f t="shared" si="466"/>
        <v>-2.1861550549412079E-2</v>
      </c>
      <c r="CA184" s="441">
        <f t="shared" si="466"/>
        <v>-2.5006953702726542E-2</v>
      </c>
      <c r="CB184" s="443">
        <f t="shared" si="466"/>
        <v>3.7154217432244341E-2</v>
      </c>
      <c r="CC184" s="441"/>
      <c r="CD184" s="1197">
        <f>+CD157/CB157-1</f>
        <v>1.7281986604718691E-2</v>
      </c>
      <c r="CE184" s="441">
        <f t="shared" si="466"/>
        <v>-1.046748819708998E-2</v>
      </c>
      <c r="CF184" s="441">
        <f t="shared" si="466"/>
        <v>1.4710375211647309E-2</v>
      </c>
      <c r="CG184" s="443">
        <f t="shared" si="466"/>
        <v>2.7237580934264871E-2</v>
      </c>
      <c r="CH184" s="441"/>
      <c r="CI184" s="441">
        <f>+CI157/CG157-1</f>
        <v>4.6037718211775491E-3</v>
      </c>
      <c r="CJ184" s="441">
        <f t="shared" si="466"/>
        <v>2.8119270698594434E-3</v>
      </c>
      <c r="CK184" s="441">
        <f t="shared" si="466"/>
        <v>-3.414453021744801E-2</v>
      </c>
      <c r="CL184" s="443">
        <f t="shared" si="466"/>
        <v>-5.7347053721081509E-2</v>
      </c>
      <c r="CM184" s="441"/>
      <c r="CN184" s="441">
        <f>+CN157/CL157-1</f>
        <v>-9.7711144785515791E-2</v>
      </c>
      <c r="CO184" s="441">
        <f t="shared" si="466"/>
        <v>-1.7707027566697731E-2</v>
      </c>
      <c r="CP184" s="441">
        <f t="shared" si="466"/>
        <v>5.0626423970838719E-3</v>
      </c>
      <c r="CQ184" s="1242">
        <f t="shared" si="466"/>
        <v>-1.5526554494120437E-2</v>
      </c>
      <c r="CR184" s="1242"/>
      <c r="CS184" s="441">
        <f>+CS157/CQ157-1</f>
        <v>8.1010239936452066E-3</v>
      </c>
      <c r="CT184" s="441">
        <f t="shared" si="466"/>
        <v>2.5394312755263826E-2</v>
      </c>
      <c r="CU184" s="441">
        <f t="shared" si="466"/>
        <v>-1.5457998410034479E-2</v>
      </c>
      <c r="CV184" s="441">
        <f t="shared" si="466"/>
        <v>-1.893055804773025E-2</v>
      </c>
      <c r="CW184" s="1198"/>
      <c r="CX184" s="441">
        <f>+CX157/CV157-1</f>
        <v>-2.7861606462429522E-2</v>
      </c>
      <c r="CY184" s="441">
        <f t="shared" si="462"/>
        <v>1.596061584773123E-2</v>
      </c>
      <c r="CZ184" s="441">
        <f t="shared" si="462"/>
        <v>6.8518518518518867E-3</v>
      </c>
      <c r="DA184" s="441">
        <f t="shared" si="462"/>
        <v>0</v>
      </c>
      <c r="DB184" s="1198"/>
      <c r="DC184" s="441">
        <f>+DC157/DA157-1</f>
        <v>0</v>
      </c>
      <c r="DD184" s="441">
        <f t="shared" si="463"/>
        <v>0</v>
      </c>
      <c r="DE184" s="441">
        <f t="shared" si="463"/>
        <v>0</v>
      </c>
      <c r="DF184" s="441">
        <f t="shared" si="463"/>
        <v>0</v>
      </c>
      <c r="DG184" s="1198"/>
      <c r="DH184" s="441">
        <f>+DH157/DF157-1</f>
        <v>0</v>
      </c>
      <c r="DI184" s="441">
        <f t="shared" si="464"/>
        <v>0</v>
      </c>
      <c r="DJ184" s="441">
        <f t="shared" si="464"/>
        <v>0</v>
      </c>
      <c r="DK184" s="441">
        <f t="shared" si="464"/>
        <v>0</v>
      </c>
      <c r="DL184" s="1198"/>
      <c r="DM184" s="441">
        <f>+DM157/DK157-1</f>
        <v>0</v>
      </c>
      <c r="DN184" s="441">
        <f t="shared" si="465"/>
        <v>0</v>
      </c>
      <c r="DO184" s="441">
        <f t="shared" si="465"/>
        <v>0</v>
      </c>
      <c r="DP184" s="441">
        <f t="shared" si="465"/>
        <v>0</v>
      </c>
      <c r="DQ184"/>
      <c r="DR184" s="441"/>
      <c r="DS184" s="441"/>
      <c r="DT184" s="441"/>
      <c r="DU184" s="441"/>
      <c r="DV184"/>
      <c r="DW184" s="441"/>
      <c r="DX184" s="441"/>
      <c r="DY184" s="441"/>
      <c r="DZ184" s="441"/>
      <c r="EA184"/>
      <c r="EB184" s="441"/>
      <c r="EC184" s="441"/>
      <c r="ED184" s="441"/>
      <c r="EE184" s="441"/>
      <c r="EF184"/>
      <c r="EG184" s="441"/>
      <c r="EH184" s="441"/>
      <c r="EI184" s="441"/>
      <c r="EJ184" s="441"/>
      <c r="EK184"/>
      <c r="EL184" s="441"/>
      <c r="EM184" s="441"/>
      <c r="EN184" s="441"/>
      <c r="EO184" s="441"/>
      <c r="EP184"/>
      <c r="EQ184" s="441"/>
      <c r="ER184" s="441"/>
      <c r="ES184" s="441"/>
      <c r="ET184" s="441"/>
      <c r="EU184"/>
      <c r="EV184" s="441"/>
      <c r="EW184" s="441"/>
      <c r="EX184" s="441"/>
      <c r="EY184" s="441"/>
      <c r="EZ184"/>
      <c r="FA184"/>
      <c r="FB184"/>
      <c r="FC184"/>
      <c r="FD184" s="441"/>
      <c r="FF184" s="441"/>
    </row>
    <row r="185" spans="1:162" ht="11.25" hidden="1" customHeight="1">
      <c r="A185" s="1626" t="s">
        <v>349</v>
      </c>
      <c r="B185" s="440"/>
      <c r="C185" s="440"/>
      <c r="D185" s="440"/>
      <c r="E185" s="440"/>
      <c r="F185" s="421"/>
      <c r="G185" s="440"/>
      <c r="H185" s="440"/>
      <c r="I185" s="440"/>
      <c r="J185" s="440"/>
      <c r="K185" s="421"/>
      <c r="L185" s="440"/>
      <c r="M185" s="440"/>
      <c r="N185" s="440"/>
      <c r="O185" s="440"/>
      <c r="P185" s="421"/>
      <c r="Q185" s="440"/>
      <c r="R185" s="440"/>
      <c r="S185" s="440"/>
      <c r="T185" s="440"/>
      <c r="U185" s="421"/>
      <c r="V185" s="440"/>
      <c r="W185" s="440"/>
      <c r="X185" s="440"/>
      <c r="Y185" s="440"/>
      <c r="Z185" s="421"/>
      <c r="AA185" s="440"/>
      <c r="AB185" s="440"/>
      <c r="AC185" s="440"/>
      <c r="AD185" s="440"/>
      <c r="AE185" s="421"/>
      <c r="AF185" s="440"/>
      <c r="AG185" s="440"/>
      <c r="AH185" s="440"/>
      <c r="AI185" s="440"/>
      <c r="AJ185" s="421"/>
      <c r="AK185" s="440"/>
      <c r="AL185" s="440"/>
      <c r="AM185" s="440"/>
      <c r="AN185" s="440"/>
      <c r="AO185" s="421"/>
      <c r="AP185" s="440"/>
      <c r="AQ185" s="440"/>
      <c r="AR185" s="440"/>
      <c r="AS185" s="440"/>
      <c r="AT185" s="421"/>
      <c r="AU185" s="440"/>
      <c r="AV185" s="440"/>
      <c r="AW185" s="440"/>
      <c r="AX185" s="440"/>
      <c r="AY185" s="421"/>
      <c r="AZ185" s="1197">
        <f t="shared" si="453"/>
        <v>1.0613712886440307E-2</v>
      </c>
      <c r="BA185" s="441">
        <f t="shared" si="454"/>
        <v>2.5817703640323764E-2</v>
      </c>
      <c r="BB185" s="441">
        <f t="shared" si="454"/>
        <v>2.2980587062963131E-2</v>
      </c>
      <c r="BC185" s="441">
        <f t="shared" si="454"/>
        <v>5.1326454530148835E-2</v>
      </c>
      <c r="BD185" s="442"/>
      <c r="BE185" s="1197">
        <f t="shared" si="455"/>
        <v>4.8454622406259196E-2</v>
      </c>
      <c r="BF185" s="441">
        <f t="shared" si="456"/>
        <v>2.4045909795107789E-2</v>
      </c>
      <c r="BG185" s="441">
        <f t="shared" si="456"/>
        <v>-2.781682530888796E-2</v>
      </c>
      <c r="BH185" s="441">
        <f t="shared" si="456"/>
        <v>-0.12947043744620401</v>
      </c>
      <c r="BI185" s="442"/>
      <c r="BJ185" s="1197">
        <f t="shared" si="457"/>
        <v>-1.2118454443452831E-2</v>
      </c>
      <c r="BK185" s="441">
        <f t="shared" si="458"/>
        <v>4.1102247169864548E-2</v>
      </c>
      <c r="BL185" s="441">
        <f t="shared" si="458"/>
        <v>5.0657250014708222E-2</v>
      </c>
      <c r="BM185" s="441">
        <f t="shared" si="458"/>
        <v>3.0324650555297206E-2</v>
      </c>
      <c r="BN185" s="441"/>
      <c r="BO185" s="1197">
        <f t="shared" si="459"/>
        <v>-6.3005995748266708E-2</v>
      </c>
      <c r="BP185" s="441">
        <f t="shared" si="460"/>
        <v>-7.7790844886864274E-2</v>
      </c>
      <c r="BQ185" s="441">
        <f t="shared" si="460"/>
        <v>1.6030251386419003E-2</v>
      </c>
      <c r="BR185" s="441">
        <f t="shared" si="460"/>
        <v>5.1156349434944737E-2</v>
      </c>
      <c r="BS185" s="1198"/>
      <c r="BT185" s="1197">
        <f>+BT158/BR158-1</f>
        <v>6.7961350680576516E-3</v>
      </c>
      <c r="BU185" s="441">
        <f t="shared" ref="BU185:CV185" si="467">+BU158/BT158-1</f>
        <v>5.1312175999492782E-2</v>
      </c>
      <c r="BV185" s="441">
        <f t="shared" si="467"/>
        <v>-1.8714598647112446E-2</v>
      </c>
      <c r="BW185" s="443">
        <f t="shared" si="467"/>
        <v>-4.6418308516546158E-2</v>
      </c>
      <c r="BX185" s="441"/>
      <c r="BY185" s="1197">
        <f>+BY158/BW158-1</f>
        <v>-2.6293823514970449E-2</v>
      </c>
      <c r="BZ185" s="441">
        <f t="shared" si="467"/>
        <v>-2.1861550549412079E-2</v>
      </c>
      <c r="CA185" s="441">
        <f t="shared" si="467"/>
        <v>-2.5006953702726542E-2</v>
      </c>
      <c r="CB185" s="443">
        <f t="shared" si="467"/>
        <v>3.7154217432244341E-2</v>
      </c>
      <c r="CC185" s="441"/>
      <c r="CD185" s="1197">
        <f>+CD158/CB158-1</f>
        <v>1.7281986604718691E-2</v>
      </c>
      <c r="CE185" s="441">
        <f t="shared" si="467"/>
        <v>-1.046748819708998E-2</v>
      </c>
      <c r="CF185" s="441">
        <f t="shared" si="467"/>
        <v>1.4710375211647309E-2</v>
      </c>
      <c r="CG185" s="443">
        <f t="shared" si="467"/>
        <v>2.7237580934264871E-2</v>
      </c>
      <c r="CH185" s="441"/>
      <c r="CI185" s="441">
        <f>+CI158/CG158-1</f>
        <v>4.6037718211775491E-3</v>
      </c>
      <c r="CJ185" s="441">
        <f t="shared" si="467"/>
        <v>2.8119270698594434E-3</v>
      </c>
      <c r="CK185" s="441">
        <f t="shared" si="467"/>
        <v>-3.414453021744801E-2</v>
      </c>
      <c r="CL185" s="443">
        <f t="shared" si="467"/>
        <v>-5.4443334621334438E-2</v>
      </c>
      <c r="CM185" s="441"/>
      <c r="CN185" s="441">
        <f>+CN158/CL158-1</f>
        <v>-0.10048199234897304</v>
      </c>
      <c r="CO185" s="441">
        <f t="shared" si="467"/>
        <v>-1.7707027566697731E-2</v>
      </c>
      <c r="CP185" s="441">
        <f t="shared" si="467"/>
        <v>5.0626423970838719E-3</v>
      </c>
      <c r="CQ185" s="1242">
        <f t="shared" si="467"/>
        <v>-1.5526554494120437E-2</v>
      </c>
      <c r="CR185" s="1242"/>
      <c r="CS185" s="441">
        <f>+CS158/CQ158-1</f>
        <v>8.1010239936452066E-3</v>
      </c>
      <c r="CT185" s="441">
        <f t="shared" si="467"/>
        <v>2.5394312755263826E-2</v>
      </c>
      <c r="CU185" s="441">
        <f t="shared" si="467"/>
        <v>-1.5457998410034479E-2</v>
      </c>
      <c r="CV185" s="441">
        <f t="shared" si="467"/>
        <v>-1.893055804773025E-2</v>
      </c>
      <c r="CW185" s="1198"/>
      <c r="CX185" s="441">
        <f>+CX158/CV158-1</f>
        <v>-2.7861606462429522E-2</v>
      </c>
      <c r="CY185" s="441">
        <f t="shared" si="462"/>
        <v>1.596061584773123E-2</v>
      </c>
      <c r="CZ185" s="441">
        <f t="shared" si="462"/>
        <v>6.8518518518518867E-3</v>
      </c>
      <c r="DA185" s="441">
        <f t="shared" si="462"/>
        <v>0</v>
      </c>
      <c r="DB185" s="1198"/>
      <c r="DC185" s="441">
        <f>+DC158/DA158-1</f>
        <v>0</v>
      </c>
      <c r="DD185" s="441">
        <f t="shared" si="463"/>
        <v>0</v>
      </c>
      <c r="DE185" s="441">
        <f t="shared" si="463"/>
        <v>0</v>
      </c>
      <c r="DF185" s="441">
        <f t="shared" si="463"/>
        <v>0</v>
      </c>
      <c r="DG185" s="1198"/>
      <c r="DH185" s="441">
        <f>+DH158/DF158-1</f>
        <v>0</v>
      </c>
      <c r="DI185" s="441">
        <f t="shared" si="464"/>
        <v>0</v>
      </c>
      <c r="DJ185" s="441">
        <f t="shared" si="464"/>
        <v>0</v>
      </c>
      <c r="DK185" s="441">
        <f t="shared" si="464"/>
        <v>0</v>
      </c>
      <c r="DL185" s="1198"/>
      <c r="DM185" s="441">
        <f>+DM158/DK158-1</f>
        <v>0</v>
      </c>
      <c r="DN185" s="441">
        <f t="shared" si="465"/>
        <v>0</v>
      </c>
      <c r="DO185" s="441">
        <f t="shared" si="465"/>
        <v>0</v>
      </c>
      <c r="DP185" s="441">
        <f t="shared" si="465"/>
        <v>0</v>
      </c>
      <c r="DQ185"/>
      <c r="DR185" s="441"/>
      <c r="DS185" s="441"/>
      <c r="DT185" s="441"/>
      <c r="DU185" s="441"/>
      <c r="DV185"/>
      <c r="DW185" s="441"/>
      <c r="DX185" s="441"/>
      <c r="DY185" s="441"/>
      <c r="DZ185" s="441"/>
      <c r="EA185"/>
      <c r="EB185" s="441"/>
      <c r="EC185" s="441"/>
      <c r="ED185" s="441"/>
      <c r="EE185" s="441"/>
      <c r="EF185"/>
      <c r="EG185" s="441"/>
      <c r="EH185" s="441"/>
      <c r="EI185" s="441"/>
      <c r="EJ185" s="441"/>
      <c r="EK185"/>
      <c r="EL185" s="441"/>
      <c r="EM185" s="441"/>
      <c r="EN185" s="441"/>
      <c r="EO185" s="441"/>
      <c r="EP185"/>
      <c r="EQ185" s="441"/>
      <c r="ER185" s="441"/>
      <c r="ES185" s="441"/>
      <c r="ET185" s="441"/>
      <c r="EU185"/>
      <c r="EV185" s="441"/>
      <c r="EW185" s="441"/>
      <c r="EX185" s="441"/>
      <c r="EY185" s="441"/>
      <c r="EZ185"/>
      <c r="FA185"/>
      <c r="FB185"/>
      <c r="FC185"/>
      <c r="FD185" s="441"/>
      <c r="FF185" s="441"/>
    </row>
    <row r="186" spans="1:162" ht="11.25" hidden="1" customHeight="1">
      <c r="A186" s="1626" t="s">
        <v>344</v>
      </c>
      <c r="B186" s="444"/>
      <c r="C186" s="444"/>
      <c r="D186" s="444"/>
      <c r="E186" s="444"/>
      <c r="F186" s="421"/>
      <c r="G186" s="444"/>
      <c r="H186" s="444"/>
      <c r="I186" s="444"/>
      <c r="J186" s="444"/>
      <c r="K186" s="421"/>
      <c r="L186" s="444"/>
      <c r="M186" s="444"/>
      <c r="N186" s="444"/>
      <c r="O186" s="444"/>
      <c r="P186" s="421"/>
      <c r="Q186" s="444"/>
      <c r="R186" s="444"/>
      <c r="S186" s="444"/>
      <c r="T186" s="444"/>
      <c r="U186" s="421"/>
      <c r="V186" s="444"/>
      <c r="W186" s="444"/>
      <c r="X186" s="444"/>
      <c r="Y186" s="444"/>
      <c r="Z186" s="421"/>
      <c r="AA186" s="444"/>
      <c r="AB186" s="444"/>
      <c r="AC186" s="444"/>
      <c r="AD186" s="444"/>
      <c r="AE186" s="421"/>
      <c r="AF186" s="444"/>
      <c r="AG186" s="444"/>
      <c r="AH186" s="444"/>
      <c r="AI186" s="444"/>
      <c r="AJ186" s="421"/>
      <c r="AK186" s="444"/>
      <c r="AL186" s="444"/>
      <c r="AM186" s="444"/>
      <c r="AN186" s="444"/>
      <c r="AO186" s="421"/>
      <c r="AP186" s="444"/>
      <c r="AQ186" s="444"/>
      <c r="AR186" s="444"/>
      <c r="AS186" s="444"/>
      <c r="AT186" s="421"/>
      <c r="AU186" s="444"/>
      <c r="AV186" s="444"/>
      <c r="AW186" s="444"/>
      <c r="AX186" s="444"/>
      <c r="AY186" s="421"/>
      <c r="AZ186" s="1199">
        <f t="shared" si="453"/>
        <v>-1.168916764111827E-2</v>
      </c>
      <c r="BA186" s="445">
        <f t="shared" si="454"/>
        <v>-1.1521946770154834E-2</v>
      </c>
      <c r="BB186" s="445">
        <f t="shared" si="454"/>
        <v>-1.5046920974284728E-2</v>
      </c>
      <c r="BC186" s="445">
        <f t="shared" si="454"/>
        <v>-2.0906708618548819E-2</v>
      </c>
      <c r="BD186" s="442"/>
      <c r="BE186" s="1199">
        <f t="shared" si="455"/>
        <v>-3.8395919841126558E-2</v>
      </c>
      <c r="BF186" s="445">
        <f t="shared" si="456"/>
        <v>-2.4463396431873563E-2</v>
      </c>
      <c r="BG186" s="445">
        <f t="shared" si="456"/>
        <v>-1.3458316694011319E-2</v>
      </c>
      <c r="BH186" s="445">
        <f t="shared" si="456"/>
        <v>-1.0992215343083034E-3</v>
      </c>
      <c r="BI186" s="442"/>
      <c r="BJ186" s="1199">
        <f t="shared" si="457"/>
        <v>-2.7907592349940558E-4</v>
      </c>
      <c r="BK186" s="445">
        <f t="shared" si="458"/>
        <v>-7.9905438844274368E-4</v>
      </c>
      <c r="BL186" s="445">
        <f t="shared" si="458"/>
        <v>1.8130143162031764E-4</v>
      </c>
      <c r="BM186" s="445">
        <f t="shared" si="458"/>
        <v>-4.0883297025440246E-4</v>
      </c>
      <c r="BN186" s="445"/>
      <c r="BO186" s="1199">
        <f t="shared" si="459"/>
        <v>1.1638727609475374E-4</v>
      </c>
      <c r="BP186" s="445">
        <f t="shared" si="460"/>
        <v>-1.1089547229718999E-3</v>
      </c>
      <c r="BQ186" s="445">
        <f t="shared" si="460"/>
        <v>-8.1390560494435382E-3</v>
      </c>
      <c r="BR186" s="445">
        <f t="shared" si="460"/>
        <v>-1.5860615616393958E-2</v>
      </c>
      <c r="BS186" s="1200"/>
      <c r="BT186" s="1199">
        <f t="shared" ref="BT186:CV186" si="468">-(BT159/BS159-1)</f>
        <v>2.6040002341857327E-2</v>
      </c>
      <c r="BU186" s="445">
        <f t="shared" si="468"/>
        <v>1.2687683112210579E-2</v>
      </c>
      <c r="BV186" s="445">
        <f t="shared" si="468"/>
        <v>1.2726370230999207E-2</v>
      </c>
      <c r="BW186" s="446">
        <f t="shared" si="468"/>
        <v>9.3238300012764563E-3</v>
      </c>
      <c r="BX186" s="445"/>
      <c r="BY186" s="1199">
        <f>-(BY159/BW159-1)</f>
        <v>7.5302644510774064E-3</v>
      </c>
      <c r="BZ186" s="445">
        <f t="shared" si="468"/>
        <v>-3.3756185870437161E-3</v>
      </c>
      <c r="CA186" s="445">
        <f t="shared" si="468"/>
        <v>-3.3768996731491363E-3</v>
      </c>
      <c r="CB186" s="446">
        <f t="shared" si="468"/>
        <v>1.7390243932654426E-2</v>
      </c>
      <c r="CC186" s="445"/>
      <c r="CD186" s="1199">
        <f>-(CD159/CB159-1)</f>
        <v>2.7450317072958974E-3</v>
      </c>
      <c r="CE186" s="445">
        <f t="shared" si="468"/>
        <v>1.1080054137988404E-2</v>
      </c>
      <c r="CF186" s="445">
        <f t="shared" si="468"/>
        <v>4.8285446625312423E-3</v>
      </c>
      <c r="CG186" s="446">
        <f t="shared" si="468"/>
        <v>5.6426350898090005E-3</v>
      </c>
      <c r="CH186" s="445"/>
      <c r="CI186" s="445">
        <f>-(CI159/CG159-1)</f>
        <v>-1.4975198881583829E-3</v>
      </c>
      <c r="CJ186" s="445">
        <f t="shared" si="468"/>
        <v>-2.1572257250946247E-2</v>
      </c>
      <c r="CK186" s="445">
        <f t="shared" si="468"/>
        <v>1.0678217945705004E-2</v>
      </c>
      <c r="CL186" s="446">
        <f t="shared" si="468"/>
        <v>2.6200978536871089E-3</v>
      </c>
      <c r="CM186" s="445"/>
      <c r="CN186" s="445">
        <f>-(CN159/CL159-1)</f>
        <v>-1.4227125603490265E-2</v>
      </c>
      <c r="CO186" s="445">
        <f t="shared" si="468"/>
        <v>5.190790431895187E-3</v>
      </c>
      <c r="CP186" s="445">
        <f t="shared" si="468"/>
        <v>-1.6034805317117984E-2</v>
      </c>
      <c r="CQ186" s="1243">
        <f t="shared" si="468"/>
        <v>-1.4487966183757583E-2</v>
      </c>
      <c r="CR186" s="1243"/>
      <c r="CS186" s="445">
        <f>-(CS159/CQ159-1)</f>
        <v>-2.2435934409577474E-2</v>
      </c>
      <c r="CT186" s="445">
        <f t="shared" si="468"/>
        <v>4.9885243460918716E-3</v>
      </c>
      <c r="CU186" s="445">
        <f t="shared" si="468"/>
        <v>-2.2816006558384894E-2</v>
      </c>
      <c r="CV186" s="445">
        <f t="shared" si="468"/>
        <v>-1.8770382170391287E-2</v>
      </c>
      <c r="CW186" s="1200"/>
      <c r="CX186" s="445">
        <f>-(CX159/CV159-1)</f>
        <v>-1.8336037763681867E-2</v>
      </c>
      <c r="CY186" s="445">
        <f>-(CY159/CX159-1)</f>
        <v>1.298895697227076E-3</v>
      </c>
      <c r="CZ186" s="445">
        <f>-(CZ159/CY159-1)</f>
        <v>-5.1733307547263685E-4</v>
      </c>
      <c r="DA186" s="445">
        <f>-(DA159/CZ159-1)</f>
        <v>0</v>
      </c>
      <c r="DB186" s="1200"/>
      <c r="DC186" s="445">
        <f>-(DC159/DA159-1)</f>
        <v>0</v>
      </c>
      <c r="DD186" s="445">
        <f>-(DD159/DC159-1)</f>
        <v>0</v>
      </c>
      <c r="DE186" s="445">
        <f>-(DE159/DD159-1)</f>
        <v>0</v>
      </c>
      <c r="DF186" s="445">
        <f>-(DF159/DE159-1)</f>
        <v>0</v>
      </c>
      <c r="DG186" s="1200"/>
      <c r="DH186" s="445">
        <f>-(DH159/DF159-1)</f>
        <v>0</v>
      </c>
      <c r="DI186" s="445">
        <f>-(DI159/DH159-1)</f>
        <v>0</v>
      </c>
      <c r="DJ186" s="445">
        <f>-(DJ159/DI159-1)</f>
        <v>0</v>
      </c>
      <c r="DK186" s="445">
        <f>-(DK159/DJ159-1)</f>
        <v>0</v>
      </c>
      <c r="DL186" s="1200"/>
      <c r="DM186" s="445">
        <f>-(DM159/DK159-1)</f>
        <v>0</v>
      </c>
      <c r="DN186" s="445">
        <f>-(DN159/DM159-1)</f>
        <v>0</v>
      </c>
      <c r="DO186" s="445">
        <f>-(DO159/DN159-1)</f>
        <v>0</v>
      </c>
      <c r="DP186" s="445">
        <f>-(DP159/DO159-1)</f>
        <v>0</v>
      </c>
      <c r="DQ186"/>
      <c r="DR186" s="445"/>
      <c r="DS186" s="445"/>
      <c r="DT186" s="445"/>
      <c r="DU186" s="445"/>
      <c r="DV186"/>
      <c r="DW186" s="445"/>
      <c r="DX186" s="445"/>
      <c r="DY186" s="445"/>
      <c r="DZ186" s="445"/>
      <c r="EA186"/>
      <c r="EB186" s="445"/>
      <c r="EC186" s="445"/>
      <c r="ED186" s="445"/>
      <c r="EE186" s="445"/>
      <c r="EF186"/>
      <c r="EG186" s="445"/>
      <c r="EH186" s="445"/>
      <c r="EI186" s="445"/>
      <c r="EJ186" s="445"/>
      <c r="EK186"/>
      <c r="EL186" s="445"/>
      <c r="EM186" s="445"/>
      <c r="EN186" s="445"/>
      <c r="EO186" s="445"/>
      <c r="EP186"/>
      <c r="EQ186" s="445"/>
      <c r="ER186" s="445"/>
      <c r="ES186" s="445"/>
      <c r="ET186" s="445"/>
      <c r="EU186"/>
      <c r="EV186" s="445"/>
      <c r="EW186" s="445"/>
      <c r="EX186" s="445"/>
      <c r="EY186" s="445"/>
      <c r="EZ186"/>
      <c r="FA186"/>
      <c r="FB186"/>
      <c r="FC186"/>
      <c r="FD186" s="445"/>
      <c r="FF186" s="445"/>
    </row>
    <row r="187" spans="1:162" ht="11.25" hidden="1" customHeight="1">
      <c r="A187" s="1626" t="s">
        <v>345</v>
      </c>
      <c r="B187" s="440"/>
      <c r="C187" s="440"/>
      <c r="D187" s="440"/>
      <c r="E187" s="440"/>
      <c r="F187" s="421"/>
      <c r="G187" s="440"/>
      <c r="H187" s="440"/>
      <c r="I187" s="440"/>
      <c r="J187" s="440"/>
      <c r="K187" s="421"/>
      <c r="L187" s="440"/>
      <c r="M187" s="440"/>
      <c r="N187" s="440"/>
      <c r="O187" s="440"/>
      <c r="P187" s="421"/>
      <c r="Q187" s="440"/>
      <c r="R187" s="440"/>
      <c r="S187" s="440"/>
      <c r="T187" s="440"/>
      <c r="U187" s="421"/>
      <c r="V187" s="440"/>
      <c r="W187" s="440"/>
      <c r="X187" s="440"/>
      <c r="Y187" s="440"/>
      <c r="Z187" s="421"/>
      <c r="AA187" s="440"/>
      <c r="AB187" s="440"/>
      <c r="AC187" s="440"/>
      <c r="AD187" s="440"/>
      <c r="AE187" s="421"/>
      <c r="AF187" s="440"/>
      <c r="AG187" s="440"/>
      <c r="AH187" s="440"/>
      <c r="AI187" s="440"/>
      <c r="AJ187" s="421"/>
      <c r="AK187" s="440"/>
      <c r="AL187" s="440"/>
      <c r="AM187" s="440"/>
      <c r="AN187" s="440"/>
      <c r="AO187" s="421"/>
      <c r="AP187" s="440"/>
      <c r="AQ187" s="440"/>
      <c r="AR187" s="440"/>
      <c r="AS187" s="440"/>
      <c r="AT187" s="421"/>
      <c r="AU187" s="440"/>
      <c r="AV187" s="440"/>
      <c r="AW187" s="440"/>
      <c r="AX187" s="440"/>
      <c r="AY187" s="421"/>
      <c r="AZ187" s="1197">
        <f t="shared" si="453"/>
        <v>9.3990558414493997E-3</v>
      </c>
      <c r="BA187" s="441">
        <f t="shared" si="454"/>
        <v>5.641695457992757E-2</v>
      </c>
      <c r="BB187" s="441">
        <f t="shared" si="454"/>
        <v>1.998165357157089E-2</v>
      </c>
      <c r="BC187" s="441">
        <f t="shared" si="454"/>
        <v>5.3296316571517899E-2</v>
      </c>
      <c r="BD187" s="442"/>
      <c r="BE187" s="1197">
        <f t="shared" si="455"/>
        <v>1.7039759438690405E-2</v>
      </c>
      <c r="BF187" s="441">
        <f t="shared" si="456"/>
        <v>4.2706964520367929E-2</v>
      </c>
      <c r="BG187" s="441">
        <f t="shared" si="456"/>
        <v>-4.5012952460967592E-2</v>
      </c>
      <c r="BH187" s="441">
        <f t="shared" si="456"/>
        <v>-0.25946182133829121</v>
      </c>
      <c r="BI187" s="442"/>
      <c r="BJ187" s="1197">
        <f t="shared" si="457"/>
        <v>-1.1772634849558039E-2</v>
      </c>
      <c r="BK187" s="441">
        <f t="shared" si="458"/>
        <v>0.14136980790970899</v>
      </c>
      <c r="BL187" s="441">
        <f t="shared" si="458"/>
        <v>9.2108485287341058E-2</v>
      </c>
      <c r="BM187" s="441">
        <f t="shared" si="458"/>
        <v>9.3432499043756945E-2</v>
      </c>
      <c r="BN187" s="441"/>
      <c r="BO187" s="1197">
        <f t="shared" si="459"/>
        <v>-4.255721283331626E-3</v>
      </c>
      <c r="BP187" s="441">
        <f t="shared" si="460"/>
        <v>-2.4092545491357087E-2</v>
      </c>
      <c r="BQ187" s="441">
        <f t="shared" si="460"/>
        <v>2.8424097190087316E-2</v>
      </c>
      <c r="BR187" s="441">
        <f t="shared" si="460"/>
        <v>8.8808863920031955E-2</v>
      </c>
      <c r="BS187" s="1198"/>
      <c r="BT187" s="1197">
        <f>+BT160/BR160-1</f>
        <v>1.9085002100491799E-2</v>
      </c>
      <c r="BU187" s="441">
        <f t="shared" ref="BU187:CV187" si="469">+BU160/BT160-1</f>
        <v>5.6828446416795853E-2</v>
      </c>
      <c r="BV187" s="441">
        <f t="shared" si="469"/>
        <v>-1.2418960867532691E-2</v>
      </c>
      <c r="BW187" s="443">
        <f t="shared" si="469"/>
        <v>-3.5102567766472026E-2</v>
      </c>
      <c r="BX187" s="441"/>
      <c r="BY187" s="1197">
        <f>+BY160/BW160-1</f>
        <v>4.2180807436434709E-2</v>
      </c>
      <c r="BZ187" s="441">
        <f t="shared" si="469"/>
        <v>-4.3311166201025708E-2</v>
      </c>
      <c r="CA187" s="441">
        <f t="shared" si="469"/>
        <v>2.9023525630186287E-2</v>
      </c>
      <c r="CB187" s="443">
        <f t="shared" si="469"/>
        <v>-7.9034121610899177E-4</v>
      </c>
      <c r="CC187" s="441"/>
      <c r="CD187" s="1197">
        <f>+CD160/CB160-1</f>
        <v>7.3911074370669461E-4</v>
      </c>
      <c r="CE187" s="441">
        <f t="shared" si="469"/>
        <v>-4.5795119450493527E-2</v>
      </c>
      <c r="CF187" s="441">
        <f t="shared" si="469"/>
        <v>-7.6058690765719916E-2</v>
      </c>
      <c r="CG187" s="443">
        <f t="shared" si="469"/>
        <v>1.2253207598345028E-2</v>
      </c>
      <c r="CH187" s="441"/>
      <c r="CI187" s="441">
        <f>+CI160/CG160-1</f>
        <v>-2.9518010283188012E-2</v>
      </c>
      <c r="CJ187" s="441">
        <f t="shared" si="469"/>
        <v>3.6762393162393048E-2</v>
      </c>
      <c r="CK187" s="441">
        <f t="shared" si="469"/>
        <v>-9.0259347509994425E-3</v>
      </c>
      <c r="CL187" s="443">
        <f t="shared" si="469"/>
        <v>-7.568736067343862E-2</v>
      </c>
      <c r="CM187" s="441"/>
      <c r="CN187" s="441">
        <f>+CN160/CL160-1</f>
        <v>-7.9698114478591986E-2</v>
      </c>
      <c r="CO187" s="441">
        <f t="shared" si="469"/>
        <v>-1.0895755019712072E-2</v>
      </c>
      <c r="CP187" s="441">
        <f t="shared" si="469"/>
        <v>-6.7527977547851004E-2</v>
      </c>
      <c r="CQ187" s="1242">
        <f t="shared" si="469"/>
        <v>-6.92563298740001E-3</v>
      </c>
      <c r="CR187" s="1242"/>
      <c r="CS187" s="441">
        <f>+CS160/CQ160-1</f>
        <v>3.6074906512459926E-3</v>
      </c>
      <c r="CT187" s="441">
        <f t="shared" si="469"/>
        <v>3.7023639806796238E-2</v>
      </c>
      <c r="CU187" s="441">
        <f t="shared" si="469"/>
        <v>3.1119409620343763E-3</v>
      </c>
      <c r="CV187" s="441">
        <f t="shared" si="469"/>
        <v>4.1659280269454868E-3</v>
      </c>
      <c r="CW187" s="1198"/>
      <c r="CX187" s="441">
        <f>+CX160/CV160-1</f>
        <v>-9.1799805808101542E-3</v>
      </c>
      <c r="CY187" s="441">
        <f>+CY160/CX160-1</f>
        <v>5.1224944320711341E-3</v>
      </c>
      <c r="CZ187" s="441">
        <f>+CZ160/CY160-1</f>
        <v>-7.1349434965654046E-3</v>
      </c>
      <c r="DA187" s="441">
        <f>+DA160/CZ160-1</f>
        <v>0</v>
      </c>
      <c r="DB187" s="1198"/>
      <c r="DC187" s="441">
        <f>+DC160/DA160-1</f>
        <v>0</v>
      </c>
      <c r="DD187" s="441">
        <f>+DD160/DC160-1</f>
        <v>0</v>
      </c>
      <c r="DE187" s="441">
        <f>+DE160/DD160-1</f>
        <v>0</v>
      </c>
      <c r="DF187" s="441">
        <f>+DF160/DE160-1</f>
        <v>0</v>
      </c>
      <c r="DG187" s="1198"/>
      <c r="DH187" s="441">
        <f>+DH160/DF160-1</f>
        <v>0</v>
      </c>
      <c r="DI187" s="441">
        <f>+DI160/DH160-1</f>
        <v>0</v>
      </c>
      <c r="DJ187" s="441">
        <f>+DJ160/DI160-1</f>
        <v>0</v>
      </c>
      <c r="DK187" s="441">
        <f>+DK160/DJ160-1</f>
        <v>0</v>
      </c>
      <c r="DL187" s="1198"/>
      <c r="DM187" s="441">
        <f>+DM160/DK160-1</f>
        <v>0</v>
      </c>
      <c r="DN187" s="441">
        <f>+DN160/DM160-1</f>
        <v>0</v>
      </c>
      <c r="DO187" s="441">
        <f>+DO160/DN160-1</f>
        <v>0</v>
      </c>
      <c r="DP187" s="441">
        <f>+DP160/DO160-1</f>
        <v>0</v>
      </c>
      <c r="DQ187"/>
      <c r="DR187" s="441"/>
      <c r="DS187" s="441"/>
      <c r="DT187" s="441"/>
      <c r="DU187" s="441"/>
      <c r="DV187"/>
      <c r="DW187" s="441"/>
      <c r="DX187" s="441"/>
      <c r="DY187" s="441"/>
      <c r="DZ187" s="441"/>
      <c r="EA187"/>
      <c r="EB187" s="441"/>
      <c r="EC187" s="441"/>
      <c r="ED187" s="441"/>
      <c r="EE187" s="441"/>
      <c r="EF187"/>
      <c r="EG187" s="441"/>
      <c r="EH187" s="441"/>
      <c r="EI187" s="441"/>
      <c r="EJ187" s="441"/>
      <c r="EK187"/>
      <c r="EL187" s="441"/>
      <c r="EM187" s="441"/>
      <c r="EN187" s="441"/>
      <c r="EO187" s="441"/>
      <c r="EP187"/>
      <c r="EQ187" s="441"/>
      <c r="ER187" s="441"/>
      <c r="ES187" s="441"/>
      <c r="ET187" s="441"/>
      <c r="EU187"/>
      <c r="EV187" s="441"/>
      <c r="EW187" s="441"/>
      <c r="EX187" s="441"/>
      <c r="EY187" s="441"/>
      <c r="EZ187"/>
      <c r="FA187"/>
      <c r="FB187"/>
      <c r="FC187"/>
      <c r="FD187" s="441"/>
      <c r="FF187" s="441"/>
    </row>
    <row r="188" spans="1:162" ht="11.25" hidden="1" customHeight="1">
      <c r="A188" s="1626" t="s">
        <v>346</v>
      </c>
      <c r="B188" s="444"/>
      <c r="C188" s="444"/>
      <c r="D188" s="444"/>
      <c r="E188" s="444"/>
      <c r="F188" s="421"/>
      <c r="G188" s="444"/>
      <c r="H188" s="444"/>
      <c r="I188" s="444"/>
      <c r="J188" s="444"/>
      <c r="K188" s="421"/>
      <c r="L188" s="444"/>
      <c r="M188" s="444"/>
      <c r="N188" s="444"/>
      <c r="O188" s="444"/>
      <c r="P188" s="421"/>
      <c r="Q188" s="444"/>
      <c r="R188" s="444"/>
      <c r="S188" s="444"/>
      <c r="T188" s="444"/>
      <c r="U188" s="421"/>
      <c r="V188" s="444"/>
      <c r="W188" s="444"/>
      <c r="X188" s="444"/>
      <c r="Y188" s="444"/>
      <c r="Z188" s="421"/>
      <c r="AA188" s="444"/>
      <c r="AB188" s="444"/>
      <c r="AC188" s="444"/>
      <c r="AD188" s="444"/>
      <c r="AE188" s="421"/>
      <c r="AF188" s="444"/>
      <c r="AG188" s="444"/>
      <c r="AH188" s="444"/>
      <c r="AI188" s="444"/>
      <c r="AJ188" s="421"/>
      <c r="AK188" s="444"/>
      <c r="AL188" s="444"/>
      <c r="AM188" s="444"/>
      <c r="AN188" s="444"/>
      <c r="AO188" s="421"/>
      <c r="AP188" s="444"/>
      <c r="AQ188" s="444"/>
      <c r="AR188" s="444"/>
      <c r="AS188" s="444"/>
      <c r="AT188" s="421"/>
      <c r="AU188" s="444"/>
      <c r="AV188" s="444"/>
      <c r="AW188" s="444"/>
      <c r="AX188" s="444"/>
      <c r="AY188" s="421"/>
      <c r="AZ188" s="1199">
        <f t="shared" si="453"/>
        <v>1.4867201555212484E-2</v>
      </c>
      <c r="BA188" s="445">
        <f t="shared" si="454"/>
        <v>1.7783101327906836E-2</v>
      </c>
      <c r="BB188" s="445">
        <f t="shared" si="454"/>
        <v>-3.9209751533995529E-2</v>
      </c>
      <c r="BC188" s="445">
        <f t="shared" si="454"/>
        <v>-3.0958245031215914E-2</v>
      </c>
      <c r="BD188" s="442"/>
      <c r="BE188" s="1199">
        <f t="shared" si="455"/>
        <v>-8.4197771670065369E-2</v>
      </c>
      <c r="BF188" s="445">
        <f t="shared" si="456"/>
        <v>1.8620111010713591E-2</v>
      </c>
      <c r="BG188" s="445">
        <f t="shared" si="456"/>
        <v>2.5532281686316383E-2</v>
      </c>
      <c r="BH188" s="445">
        <f t="shared" si="456"/>
        <v>-0.11153203575307169</v>
      </c>
      <c r="BI188" s="442"/>
      <c r="BJ188" s="1199">
        <f t="shared" si="457"/>
        <v>-2.4563135905099176E-2</v>
      </c>
      <c r="BK188" s="445">
        <f t="shared" si="458"/>
        <v>4.2039986118022066E-2</v>
      </c>
      <c r="BL188" s="445">
        <f t="shared" si="458"/>
        <v>-4.1255818708459957E-2</v>
      </c>
      <c r="BM188" s="445">
        <f t="shared" si="458"/>
        <v>-3.7397455284255976E-2</v>
      </c>
      <c r="BN188" s="445"/>
      <c r="BO188" s="1199">
        <f t="shared" si="459"/>
        <v>1.0217241315139347E-2</v>
      </c>
      <c r="BP188" s="445">
        <f t="shared" si="460"/>
        <v>1.0736117708324722E-2</v>
      </c>
      <c r="BQ188" s="445">
        <f t="shared" si="460"/>
        <v>-6.6319924221171611E-2</v>
      </c>
      <c r="BR188" s="445">
        <f t="shared" si="460"/>
        <v>-3.7120758928530395E-2</v>
      </c>
      <c r="BS188" s="1200"/>
      <c r="BT188" s="1199">
        <f t="shared" ref="BT188:CV188" si="470">-(BT161/BS161-1)</f>
        <v>6.253261807515198E-2</v>
      </c>
      <c r="BU188" s="445">
        <f t="shared" si="470"/>
        <v>8.2958843802720672E-3</v>
      </c>
      <c r="BV188" s="445">
        <f t="shared" si="470"/>
        <v>4.7576979490577265E-2</v>
      </c>
      <c r="BW188" s="446">
        <f t="shared" si="470"/>
        <v>4.2434990077059309E-3</v>
      </c>
      <c r="BX188" s="445"/>
      <c r="BY188" s="1199">
        <f>-(BY161/BW161-1)</f>
        <v>-2.5988024190260806E-2</v>
      </c>
      <c r="BZ188" s="445">
        <f t="shared" si="470"/>
        <v>-9.0344339668355644E-3</v>
      </c>
      <c r="CA188" s="445">
        <f t="shared" si="470"/>
        <v>1.8346984878288453E-2</v>
      </c>
      <c r="CB188" s="446">
        <f t="shared" si="470"/>
        <v>-3.3450596172576619E-2</v>
      </c>
      <c r="CC188" s="445"/>
      <c r="CD188" s="1199">
        <f>-(CD161/CB161-1)</f>
        <v>-0.13580442427758155</v>
      </c>
      <c r="CE188" s="445">
        <f t="shared" si="470"/>
        <v>-7.1323994856340445E-2</v>
      </c>
      <c r="CF188" s="445">
        <f t="shared" si="470"/>
        <v>-2.0460616161654954E-4</v>
      </c>
      <c r="CG188" s="446">
        <f t="shared" si="470"/>
        <v>-1.6099153748680539E-2</v>
      </c>
      <c r="CH188" s="445"/>
      <c r="CI188" s="445">
        <f>-(CI161/CG161-1)</f>
        <v>-2.3415516851390761E-2</v>
      </c>
      <c r="CJ188" s="445">
        <f t="shared" si="470"/>
        <v>6.7205769043756636E-3</v>
      </c>
      <c r="CK188" s="445">
        <f t="shared" si="470"/>
        <v>-1.8880073314073043E-2</v>
      </c>
      <c r="CL188" s="446">
        <f t="shared" si="470"/>
        <v>-0.10062067123082419</v>
      </c>
      <c r="CM188" s="445"/>
      <c r="CN188" s="445">
        <f>-(CN161/CL161-1)</f>
        <v>-4.0443131535607302E-2</v>
      </c>
      <c r="CO188" s="445">
        <f t="shared" si="470"/>
        <v>-1.8327785858670342E-2</v>
      </c>
      <c r="CP188" s="445">
        <f t="shared" si="470"/>
        <v>-6.6315442433579896E-3</v>
      </c>
      <c r="CQ188" s="1243">
        <f t="shared" si="470"/>
        <v>5.8877154250202013E-3</v>
      </c>
      <c r="CR188" s="1243"/>
      <c r="CS188" s="445">
        <f>-(CS161/CQ161-1)</f>
        <v>5.1125896915084512E-2</v>
      </c>
      <c r="CT188" s="445">
        <f t="shared" si="470"/>
        <v>4.5981323717045663E-2</v>
      </c>
      <c r="CU188" s="445">
        <f t="shared" si="470"/>
        <v>6.4008489993935824E-2</v>
      </c>
      <c r="CV188" s="445">
        <f t="shared" si="470"/>
        <v>-3.8679581457125245E-2</v>
      </c>
      <c r="CW188" s="1200"/>
      <c r="CX188" s="445">
        <f>-(CX161/CV161-1)</f>
        <v>-6.8303028412812328E-2</v>
      </c>
      <c r="CY188" s="445">
        <f>-(CY161/CX161-1)</f>
        <v>2.5457624149709535E-2</v>
      </c>
      <c r="CZ188" s="445">
        <f>-(CZ161/CY161-1)</f>
        <v>5.3922890266921986E-4</v>
      </c>
      <c r="DA188" s="445">
        <f>-(DA161/CZ161-1)</f>
        <v>0</v>
      </c>
      <c r="DB188" s="1200"/>
      <c r="DC188" s="445">
        <f>-(DC161/DA161-1)</f>
        <v>0</v>
      </c>
      <c r="DD188" s="445">
        <f>-(DD161/DC161-1)</f>
        <v>0</v>
      </c>
      <c r="DE188" s="445">
        <f>-(DE161/DD161-1)</f>
        <v>0</v>
      </c>
      <c r="DF188" s="445">
        <f>-(DF161/DE161-1)</f>
        <v>0</v>
      </c>
      <c r="DG188" s="1200"/>
      <c r="DH188" s="445">
        <f>-(DH161/DF161-1)</f>
        <v>0</v>
      </c>
      <c r="DI188" s="445">
        <f>-(DI161/DH161-1)</f>
        <v>0</v>
      </c>
      <c r="DJ188" s="445">
        <f>-(DJ161/DI161-1)</f>
        <v>0</v>
      </c>
      <c r="DK188" s="445">
        <f>-(DK161/DJ161-1)</f>
        <v>0</v>
      </c>
      <c r="DL188" s="1200"/>
      <c r="DM188" s="445">
        <f>-(DM161/DK161-1)</f>
        <v>0</v>
      </c>
      <c r="DN188" s="445">
        <f>-(DN161/DM161-1)</f>
        <v>0</v>
      </c>
      <c r="DO188" s="445">
        <f>-(DO161/DN161-1)</f>
        <v>0</v>
      </c>
      <c r="DP188" s="445">
        <f>-(DP161/DO161-1)</f>
        <v>0</v>
      </c>
      <c r="DQ188"/>
      <c r="DR188" s="445"/>
      <c r="DS188" s="445"/>
      <c r="DT188" s="445"/>
      <c r="DU188" s="445"/>
      <c r="DV188"/>
      <c r="DW188" s="445"/>
      <c r="DX188" s="445"/>
      <c r="DY188" s="445"/>
      <c r="DZ188" s="445"/>
      <c r="EA188"/>
      <c r="EB188" s="445"/>
      <c r="EC188" s="445"/>
      <c r="ED188" s="445"/>
      <c r="EE188" s="445"/>
      <c r="EF188"/>
      <c r="EG188" s="445"/>
      <c r="EH188" s="445"/>
      <c r="EI188" s="445"/>
      <c r="EJ188" s="445"/>
      <c r="EK188"/>
      <c r="EL188" s="445"/>
      <c r="EM188" s="445"/>
      <c r="EN188" s="445"/>
      <c r="EO188" s="445"/>
      <c r="EP188"/>
      <c r="EQ188" s="445"/>
      <c r="ER188" s="445"/>
      <c r="ES188" s="445"/>
      <c r="ET188" s="445"/>
      <c r="EU188"/>
      <c r="EV188" s="445"/>
      <c r="EW188" s="445"/>
      <c r="EX188" s="445"/>
      <c r="EY188" s="445"/>
      <c r="EZ188"/>
      <c r="FA188"/>
      <c r="FB188"/>
      <c r="FC188"/>
      <c r="FD188" s="445"/>
      <c r="FF188" s="445"/>
    </row>
    <row r="189" spans="1:162" ht="11.25" hidden="1" customHeight="1">
      <c r="A189" s="1626"/>
      <c r="B189" s="444"/>
      <c r="C189" s="444"/>
      <c r="D189" s="444"/>
      <c r="E189" s="444"/>
      <c r="F189" s="421"/>
      <c r="G189" s="444"/>
      <c r="H189" s="444"/>
      <c r="I189" s="444"/>
      <c r="J189" s="444"/>
      <c r="K189" s="421"/>
      <c r="L189" s="444"/>
      <c r="M189" s="444"/>
      <c r="N189" s="444"/>
      <c r="O189" s="444"/>
      <c r="P189" s="421"/>
      <c r="Q189" s="444"/>
      <c r="R189" s="444"/>
      <c r="S189" s="444"/>
      <c r="T189" s="444"/>
      <c r="U189" s="421"/>
      <c r="V189" s="444"/>
      <c r="W189" s="444"/>
      <c r="X189" s="444"/>
      <c r="Y189" s="444"/>
      <c r="Z189" s="421"/>
      <c r="AA189" s="444"/>
      <c r="AB189" s="444"/>
      <c r="AC189" s="444"/>
      <c r="AD189" s="444"/>
      <c r="AE189" s="421"/>
      <c r="AF189" s="444"/>
      <c r="AG189" s="444"/>
      <c r="AH189" s="444"/>
      <c r="AI189" s="444"/>
      <c r="AJ189" s="421"/>
      <c r="AK189" s="444"/>
      <c r="AL189" s="444"/>
      <c r="AM189" s="444"/>
      <c r="AN189" s="444"/>
      <c r="AO189" s="421"/>
      <c r="AP189" s="444"/>
      <c r="AQ189" s="444"/>
      <c r="AR189" s="444"/>
      <c r="AS189" s="444"/>
      <c r="AT189" s="421"/>
      <c r="AU189" s="444"/>
      <c r="AV189" s="444"/>
      <c r="AW189" s="444"/>
      <c r="AX189" s="444"/>
      <c r="AY189" s="421"/>
      <c r="AZ189" s="1199"/>
      <c r="BA189" s="445"/>
      <c r="BB189" s="445"/>
      <c r="BC189" s="445"/>
      <c r="BD189" s="442"/>
      <c r="BE189" s="1199"/>
      <c r="BF189" s="445"/>
      <c r="BG189" s="445"/>
      <c r="BH189" s="445"/>
      <c r="BI189" s="442"/>
      <c r="BJ189" s="1199"/>
      <c r="BK189" s="445"/>
      <c r="BL189" s="445"/>
      <c r="BM189" s="445"/>
      <c r="BN189" s="445"/>
      <c r="BO189" s="1199"/>
      <c r="BP189" s="445"/>
      <c r="BQ189" s="445"/>
      <c r="BR189" s="445"/>
      <c r="BS189" s="1200"/>
      <c r="BT189" s="1199"/>
      <c r="BU189" s="445"/>
      <c r="BV189" s="445"/>
      <c r="BW189" s="446"/>
      <c r="BX189" s="445"/>
      <c r="BY189" s="1199"/>
      <c r="BZ189" s="445"/>
      <c r="CA189" s="445"/>
      <c r="CB189" s="446"/>
      <c r="CC189" s="445"/>
      <c r="CD189" s="1199"/>
      <c r="CE189" s="445"/>
      <c r="CF189" s="445"/>
      <c r="CG189" s="446"/>
      <c r="CH189" s="445"/>
      <c r="CI189" s="445"/>
      <c r="CJ189" s="445"/>
      <c r="CK189" s="445"/>
      <c r="CL189" s="446"/>
      <c r="CM189" s="445"/>
      <c r="CN189" s="445"/>
      <c r="CO189" s="445"/>
      <c r="CP189" s="445"/>
      <c r="CQ189" s="1243"/>
      <c r="CR189" s="1243"/>
      <c r="CS189" s="445"/>
      <c r="CT189" s="445"/>
      <c r="CU189" s="445"/>
      <c r="CV189" s="445"/>
      <c r="CW189" s="1200"/>
      <c r="CX189" s="1199"/>
      <c r="CY189" s="445"/>
      <c r="CZ189" s="445"/>
      <c r="DA189" s="446"/>
      <c r="DB189" s="1200"/>
      <c r="DC189" s="1199"/>
      <c r="DD189" s="445"/>
      <c r="DE189" s="445"/>
      <c r="DF189" s="446"/>
      <c r="DG189" s="1200"/>
      <c r="DH189" s="1199"/>
      <c r="DI189" s="445"/>
      <c r="DJ189" s="445"/>
      <c r="DK189" s="446"/>
      <c r="DL189" s="1200"/>
      <c r="DM189" s="1199"/>
      <c r="DN189" s="445"/>
      <c r="DO189" s="445"/>
      <c r="DP189" s="446"/>
      <c r="DQ189"/>
      <c r="DR189" s="445"/>
      <c r="DS189" s="445"/>
      <c r="DT189" s="445"/>
      <c r="DU189" s="445"/>
      <c r="DV189"/>
      <c r="DW189" s="445"/>
      <c r="DX189" s="445"/>
      <c r="DY189" s="445"/>
      <c r="DZ189" s="445"/>
      <c r="EA189"/>
      <c r="EB189" s="445"/>
      <c r="EC189" s="445"/>
      <c r="ED189" s="445"/>
      <c r="EE189" s="445"/>
      <c r="EF189"/>
      <c r="EG189" s="445"/>
      <c r="EH189" s="445"/>
      <c r="EI189" s="445"/>
      <c r="EJ189" s="445"/>
      <c r="EK189"/>
      <c r="EL189" s="445"/>
      <c r="EM189" s="445"/>
      <c r="EN189" s="445"/>
      <c r="EO189" s="445"/>
      <c r="EP189"/>
      <c r="EQ189" s="445"/>
      <c r="ER189" s="445"/>
      <c r="ES189" s="445"/>
      <c r="ET189" s="445"/>
      <c r="EU189"/>
      <c r="EV189" s="445"/>
      <c r="EW189" s="445"/>
      <c r="EX189" s="445"/>
      <c r="EY189" s="445"/>
      <c r="EZ189"/>
      <c r="FA189"/>
      <c r="FB189"/>
      <c r="FC189"/>
      <c r="FD189" s="445"/>
      <c r="FF189" s="445"/>
    </row>
    <row r="190" spans="1:162" ht="11.25" hidden="1" customHeight="1">
      <c r="A190" s="1626"/>
      <c r="B190" s="444"/>
      <c r="C190" s="444"/>
      <c r="D190" s="444"/>
      <c r="E190" s="444"/>
      <c r="F190" s="421"/>
      <c r="G190" s="444"/>
      <c r="H190" s="444"/>
      <c r="I190" s="444"/>
      <c r="J190" s="444"/>
      <c r="K190" s="421"/>
      <c r="L190" s="444"/>
      <c r="M190" s="444"/>
      <c r="N190" s="444"/>
      <c r="O190" s="444"/>
      <c r="P190" s="421"/>
      <c r="Q190" s="444"/>
      <c r="R190" s="444"/>
      <c r="S190" s="444"/>
      <c r="T190" s="444"/>
      <c r="U190" s="421"/>
      <c r="V190" s="444"/>
      <c r="W190" s="444"/>
      <c r="X190" s="444"/>
      <c r="Y190" s="444"/>
      <c r="Z190" s="421"/>
      <c r="AA190" s="444"/>
      <c r="AB190" s="444"/>
      <c r="AC190" s="444"/>
      <c r="AD190" s="444"/>
      <c r="AE190" s="421"/>
      <c r="AF190" s="444"/>
      <c r="AG190" s="444"/>
      <c r="AH190" s="444"/>
      <c r="AI190" s="444"/>
      <c r="AJ190" s="421"/>
      <c r="AK190" s="444"/>
      <c r="AL190" s="444"/>
      <c r="AM190" s="444"/>
      <c r="AN190" s="444"/>
      <c r="AO190" s="421"/>
      <c r="AP190" s="444"/>
      <c r="AQ190" s="444"/>
      <c r="AR190" s="444"/>
      <c r="AS190" s="444"/>
      <c r="AT190" s="421"/>
      <c r="AU190" s="444"/>
      <c r="AV190" s="444"/>
      <c r="AW190" s="444"/>
      <c r="AX190" s="444"/>
      <c r="AY190" s="421"/>
      <c r="AZ190" s="1199"/>
      <c r="BA190" s="445"/>
      <c r="BB190" s="445"/>
      <c r="BC190" s="445"/>
      <c r="BD190" s="442"/>
      <c r="BE190" s="1199"/>
      <c r="BF190" s="445"/>
      <c r="BG190" s="445"/>
      <c r="BH190" s="445"/>
      <c r="BI190" s="442"/>
      <c r="BJ190" s="1199"/>
      <c r="BK190" s="445"/>
      <c r="BL190" s="445"/>
      <c r="BM190" s="445"/>
      <c r="BN190" s="445"/>
      <c r="BO190" s="1199"/>
      <c r="BP190" s="445"/>
      <c r="BQ190" s="445"/>
      <c r="BR190" s="445"/>
      <c r="BS190" s="1200"/>
      <c r="BT190" s="1199"/>
      <c r="BU190" s="445"/>
      <c r="BV190" s="445"/>
      <c r="BW190" s="446"/>
      <c r="BX190" s="445"/>
      <c r="BY190" s="1199"/>
      <c r="BZ190" s="445"/>
      <c r="CA190" s="445"/>
      <c r="CB190" s="446"/>
      <c r="CC190" s="445"/>
      <c r="CD190" s="1199"/>
      <c r="CE190" s="445"/>
      <c r="CF190" s="445"/>
      <c r="CG190" s="446"/>
      <c r="CH190" s="445"/>
      <c r="CI190" s="445"/>
      <c r="CJ190" s="445"/>
      <c r="CK190" s="445"/>
      <c r="CL190" s="446"/>
      <c r="CM190" s="445"/>
      <c r="CN190" s="445"/>
      <c r="CO190" s="445"/>
      <c r="CP190" s="445"/>
      <c r="CQ190" s="1243"/>
      <c r="CR190" s="1243"/>
      <c r="CS190" s="445"/>
      <c r="CT190" s="445"/>
      <c r="CU190" s="445"/>
      <c r="CV190" s="445"/>
      <c r="CW190" s="1200"/>
      <c r="CX190" s="1199"/>
      <c r="CY190" s="445"/>
      <c r="CZ190" s="445"/>
      <c r="DA190" s="446"/>
      <c r="DB190" s="1200"/>
      <c r="DC190" s="1199"/>
      <c r="DD190" s="445"/>
      <c r="DE190" s="445"/>
      <c r="DF190" s="446"/>
      <c r="DG190" s="1200"/>
      <c r="DH190" s="1199"/>
      <c r="DI190" s="445"/>
      <c r="DJ190" s="445"/>
      <c r="DK190" s="446"/>
      <c r="DL190" s="1200"/>
      <c r="DM190" s="1199"/>
      <c r="DN190" s="445"/>
      <c r="DO190" s="445"/>
      <c r="DP190" s="446"/>
      <c r="DQ190"/>
      <c r="DR190" s="445"/>
      <c r="DS190" s="445"/>
      <c r="DT190" s="445"/>
      <c r="DU190" s="445"/>
      <c r="DV190"/>
      <c r="DW190" s="445"/>
      <c r="DX190" s="445"/>
      <c r="DY190" s="445"/>
      <c r="DZ190" s="445"/>
      <c r="EA190"/>
      <c r="EB190" s="445"/>
      <c r="EC190" s="445"/>
      <c r="ED190" s="445"/>
      <c r="EE190" s="445"/>
      <c r="EF190"/>
      <c r="EG190" s="445"/>
      <c r="EH190" s="445"/>
      <c r="EI190" s="445"/>
      <c r="EJ190" s="445"/>
      <c r="EK190"/>
      <c r="EL190" s="445"/>
      <c r="EM190" s="445"/>
      <c r="EN190" s="445"/>
      <c r="EO190" s="445"/>
      <c r="EP190"/>
      <c r="EQ190" s="445"/>
      <c r="ER190" s="445"/>
      <c r="ES190" s="445"/>
      <c r="ET190" s="445"/>
      <c r="EU190"/>
      <c r="EV190" s="445"/>
      <c r="EW190" s="445"/>
      <c r="EX190" s="445"/>
      <c r="EY190" s="445"/>
      <c r="EZ190"/>
      <c r="FA190"/>
      <c r="FB190"/>
      <c r="FC190"/>
      <c r="FD190" s="445"/>
      <c r="FF190" s="445"/>
    </row>
    <row r="191" spans="1:162" ht="11.25" hidden="1" customHeight="1">
      <c r="A191" s="1626" t="s">
        <v>347</v>
      </c>
      <c r="B191" s="440"/>
      <c r="C191" s="440"/>
      <c r="D191" s="440"/>
      <c r="E191" s="440"/>
      <c r="F191" s="421"/>
      <c r="G191" s="440"/>
      <c r="H191" s="440"/>
      <c r="I191" s="440"/>
      <c r="J191" s="440"/>
      <c r="K191" s="421"/>
      <c r="L191" s="440"/>
      <c r="M191" s="440"/>
      <c r="N191" s="440"/>
      <c r="O191" s="440"/>
      <c r="P191" s="421"/>
      <c r="Q191" s="440"/>
      <c r="R191" s="440"/>
      <c r="S191" s="440"/>
      <c r="T191" s="440"/>
      <c r="U191" s="421"/>
      <c r="V191" s="440"/>
      <c r="W191" s="440"/>
      <c r="X191" s="440"/>
      <c r="Y191" s="440"/>
      <c r="Z191" s="421"/>
      <c r="AA191" s="440"/>
      <c r="AB191" s="440"/>
      <c r="AC191" s="440"/>
      <c r="AD191" s="440"/>
      <c r="AE191" s="421"/>
      <c r="AF191" s="440"/>
      <c r="AG191" s="440"/>
      <c r="AH191" s="440"/>
      <c r="AI191" s="440"/>
      <c r="AJ191" s="421"/>
      <c r="AK191" s="440"/>
      <c r="AL191" s="440"/>
      <c r="AM191" s="440"/>
      <c r="AN191" s="440"/>
      <c r="AO191" s="421"/>
      <c r="AP191" s="440"/>
      <c r="AQ191" s="440"/>
      <c r="AR191" s="440"/>
      <c r="AS191" s="440"/>
      <c r="AT191" s="421"/>
      <c r="AU191" s="440"/>
      <c r="AV191" s="440"/>
      <c r="AW191" s="440"/>
      <c r="AX191" s="440"/>
      <c r="AY191" s="421"/>
      <c r="AZ191" s="1197">
        <f>+AZ164/AX164-1</f>
        <v>1.0613712886440307E-2</v>
      </c>
      <c r="BA191" s="441">
        <f>+BA164/AZ164-1</f>
        <v>2.5817703640323764E-2</v>
      </c>
      <c r="BB191" s="441">
        <f>+BB164/BA164-1</f>
        <v>2.2980587062963131E-2</v>
      </c>
      <c r="BC191" s="441">
        <f>+BC164/BB164-1</f>
        <v>5.1326454530148835E-2</v>
      </c>
      <c r="BD191" s="442"/>
      <c r="BE191" s="1197">
        <f>+BE164/BC164-1</f>
        <v>4.8454622406259196E-2</v>
      </c>
      <c r="BF191" s="441">
        <f>+BF164/BE164-1</f>
        <v>2.4045909795107789E-2</v>
      </c>
      <c r="BG191" s="441">
        <f>+BG164/BF164-1</f>
        <v>-2.781682530888796E-2</v>
      </c>
      <c r="BH191" s="441">
        <f>+BH164/BG164-1</f>
        <v>-0.12947043744620401</v>
      </c>
      <c r="BI191" s="442"/>
      <c r="BJ191" s="1197">
        <f>+BJ164/BH164-1</f>
        <v>-1.2118454443452831E-2</v>
      </c>
      <c r="BK191" s="441">
        <f>+BK164/BJ164-1</f>
        <v>4.1102247169864548E-2</v>
      </c>
      <c r="BL191" s="441">
        <f>+BL164/BK164-1</f>
        <v>5.0657250014708222E-2</v>
      </c>
      <c r="BM191" s="441">
        <f>+BM164/BL164-1</f>
        <v>3.0324650555297206E-2</v>
      </c>
      <c r="BN191" s="441"/>
      <c r="BO191" s="1197">
        <f>+BO164/BM164-1</f>
        <v>-6.3005995748266708E-2</v>
      </c>
      <c r="BP191" s="441">
        <f>+BP164/BO164-1</f>
        <v>-7.7790844886864274E-2</v>
      </c>
      <c r="BQ191" s="441">
        <f>+BQ164/BP164-1</f>
        <v>1.6030251386419003E-2</v>
      </c>
      <c r="BR191" s="441">
        <f>+BR164/BQ164-1</f>
        <v>5.1156349434944737E-2</v>
      </c>
      <c r="BS191" s="1198"/>
      <c r="BT191" s="1197">
        <f>+BT164/BR164-1</f>
        <v>6.7961350680576516E-3</v>
      </c>
      <c r="BU191" s="441">
        <f t="shared" ref="BU191:CB191" si="471">+BU164/BT164-1</f>
        <v>5.1312175999492782E-2</v>
      </c>
      <c r="BV191" s="441">
        <f t="shared" si="471"/>
        <v>-1.8714598647112446E-2</v>
      </c>
      <c r="BW191" s="443">
        <f t="shared" si="471"/>
        <v>-4.6418308516546158E-2</v>
      </c>
      <c r="BX191" s="441"/>
      <c r="BY191" s="1197">
        <f>+BY164/BW164-1</f>
        <v>-2.6293823514970449E-2</v>
      </c>
      <c r="BZ191" s="441">
        <f t="shared" si="471"/>
        <v>-2.1861550549412079E-2</v>
      </c>
      <c r="CA191" s="441">
        <f t="shared" si="471"/>
        <v>-2.5006953702726542E-2</v>
      </c>
      <c r="CB191" s="443">
        <f t="shared" si="471"/>
        <v>3.7154217432244341E-2</v>
      </c>
      <c r="CC191" s="441"/>
      <c r="CD191" s="1197">
        <f>+CD164/CB164-1</f>
        <v>1.7281986604718691E-2</v>
      </c>
      <c r="CE191" s="441">
        <f>+CE164/CD164-1</f>
        <v>-1.046748819708998E-2</v>
      </c>
      <c r="CF191" s="441">
        <f>+CF164/CE164-1</f>
        <v>1.4710375211647309E-2</v>
      </c>
      <c r="CG191" s="443">
        <f>+CG164/CF164-1</f>
        <v>2.7237580934264871E-2</v>
      </c>
      <c r="CH191" s="441"/>
      <c r="CI191" s="441">
        <f>+CI164/CG164-1</f>
        <v>4.6037718211775491E-3</v>
      </c>
      <c r="CJ191" s="441">
        <f t="shared" ref="CJ191:CQ191" si="472">+CJ164/CI164-1</f>
        <v>2.8119270698594434E-3</v>
      </c>
      <c r="CK191" s="441">
        <f t="shared" si="472"/>
        <v>-3.414453021744801E-2</v>
      </c>
      <c r="CL191" s="443">
        <f t="shared" si="472"/>
        <v>-5.4443334621334438E-2</v>
      </c>
      <c r="CM191" s="441"/>
      <c r="CN191" s="441">
        <f>+CN164/CL164-1</f>
        <v>-0.10048199234897304</v>
      </c>
      <c r="CO191" s="441">
        <f t="shared" si="472"/>
        <v>-1.7707027566697731E-2</v>
      </c>
      <c r="CP191" s="441">
        <f t="shared" si="472"/>
        <v>5.0626423970838719E-3</v>
      </c>
      <c r="CQ191" s="1242">
        <f t="shared" si="472"/>
        <v>-1.5526554494120437E-2</v>
      </c>
      <c r="CR191" s="1242"/>
      <c r="CS191" s="441">
        <f>+CS164/CQ164-1</f>
        <v>8.1010239936452066E-3</v>
      </c>
      <c r="CT191" s="441">
        <f>+CT164/CS164-1</f>
        <v>2.5394312755263826E-2</v>
      </c>
      <c r="CU191" s="441">
        <f>+CU164/CT164-1</f>
        <v>-1.5457998410034479E-2</v>
      </c>
      <c r="CV191" s="441">
        <f>+CV164/CU164-1</f>
        <v>-1.893055804773025E-2</v>
      </c>
      <c r="CW191" s="1198"/>
      <c r="CX191" s="441">
        <f>+CX164/CV164-1</f>
        <v>-2.7861606462429522E-2</v>
      </c>
      <c r="CY191" s="441">
        <f>+CY164/CX164-1</f>
        <v>1.596061584773123E-2</v>
      </c>
      <c r="CZ191" s="441">
        <f>+CZ164/CY164-1</f>
        <v>6.8518518518518867E-3</v>
      </c>
      <c r="DA191" s="441">
        <f>+DA164/CZ164-1</f>
        <v>0</v>
      </c>
      <c r="DB191" s="1198"/>
      <c r="DC191" s="441">
        <f>+DC164/DA164-1</f>
        <v>0</v>
      </c>
      <c r="DD191" s="441">
        <f>+DD164/DC164-1</f>
        <v>0</v>
      </c>
      <c r="DE191" s="441">
        <f>+DE164/DD164-1</f>
        <v>0</v>
      </c>
      <c r="DF191" s="441">
        <f>+DF164/DE164-1</f>
        <v>0</v>
      </c>
      <c r="DG191" s="1198"/>
      <c r="DH191" s="441">
        <f>+DH164/DF164-1</f>
        <v>0</v>
      </c>
      <c r="DI191" s="441">
        <f>+DI164/DH164-1</f>
        <v>0</v>
      </c>
      <c r="DJ191" s="441">
        <f>+DJ164/DI164-1</f>
        <v>0</v>
      </c>
      <c r="DK191" s="441">
        <f>+DK164/DJ164-1</f>
        <v>0</v>
      </c>
      <c r="DL191" s="1198"/>
      <c r="DM191" s="441">
        <f>+DM164/DK164-1</f>
        <v>0</v>
      </c>
      <c r="DN191" s="441">
        <f>+DN164/DM164-1</f>
        <v>0</v>
      </c>
      <c r="DO191" s="441">
        <f>+DO164/DN164-1</f>
        <v>0</v>
      </c>
      <c r="DP191" s="441">
        <f>+DP164/DO164-1</f>
        <v>0</v>
      </c>
      <c r="DQ191"/>
      <c r="DR191" s="441"/>
      <c r="DS191" s="441"/>
      <c r="DT191" s="441"/>
      <c r="DU191" s="441"/>
      <c r="DV191"/>
      <c r="DW191" s="441"/>
      <c r="DX191" s="441"/>
      <c r="DY191" s="441"/>
      <c r="DZ191" s="441"/>
      <c r="EA191"/>
      <c r="EB191" s="441"/>
      <c r="EC191" s="441"/>
      <c r="ED191" s="441"/>
      <c r="EE191" s="441"/>
      <c r="EF191"/>
      <c r="EG191" s="441"/>
      <c r="EH191" s="441"/>
      <c r="EI191" s="441"/>
      <c r="EJ191" s="441"/>
      <c r="EK191"/>
      <c r="EL191" s="441"/>
      <c r="EM191" s="441"/>
      <c r="EN191" s="441"/>
      <c r="EO191" s="441"/>
      <c r="EP191"/>
      <c r="EQ191" s="441"/>
      <c r="ER191" s="441"/>
      <c r="ES191" s="441"/>
      <c r="ET191" s="441"/>
      <c r="EU191"/>
      <c r="EV191" s="441"/>
      <c r="EW191" s="441"/>
      <c r="EX191" s="441"/>
      <c r="EY191" s="441"/>
      <c r="EZ191"/>
      <c r="FA191"/>
      <c r="FB191"/>
      <c r="FC191"/>
      <c r="FD191" s="441"/>
      <c r="FF191" s="441"/>
    </row>
    <row r="192" spans="1:162" s="476" customFormat="1" ht="11.25" hidden="1" customHeight="1">
      <c r="A192" s="3202" t="s">
        <v>351</v>
      </c>
      <c r="B192" s="3208"/>
      <c r="C192" s="3208"/>
      <c r="D192" s="3208"/>
      <c r="E192" s="3208"/>
      <c r="F192" s="3209"/>
      <c r="G192" s="3208"/>
      <c r="H192" s="3208"/>
      <c r="I192" s="3208"/>
      <c r="J192" s="3208"/>
      <c r="K192" s="3209"/>
      <c r="L192" s="3208"/>
      <c r="M192" s="3208"/>
      <c r="N192" s="3208"/>
      <c r="O192" s="3208"/>
      <c r="P192" s="3209"/>
      <c r="Q192" s="3208"/>
      <c r="R192" s="3208"/>
      <c r="S192" s="3208"/>
      <c r="T192" s="3208"/>
      <c r="U192" s="3209"/>
      <c r="V192" s="3208"/>
      <c r="W192" s="3208"/>
      <c r="X192" s="3208"/>
      <c r="Y192" s="3208"/>
      <c r="Z192" s="3209"/>
      <c r="AA192" s="3208"/>
      <c r="AB192" s="3208"/>
      <c r="AC192" s="3208"/>
      <c r="AD192" s="3208"/>
      <c r="AE192" s="3209"/>
      <c r="AF192" s="3208"/>
      <c r="AG192" s="3208"/>
      <c r="AH192" s="3208"/>
      <c r="AI192" s="3208"/>
      <c r="AJ192" s="3209"/>
      <c r="AK192" s="3208"/>
      <c r="AL192" s="3208"/>
      <c r="AM192" s="3208"/>
      <c r="AN192" s="3208"/>
      <c r="AO192" s="3209"/>
      <c r="AP192" s="3208"/>
      <c r="AQ192" s="3208"/>
      <c r="AR192" s="3208"/>
      <c r="AS192" s="3208"/>
      <c r="AT192" s="3209"/>
      <c r="AU192" s="3208"/>
      <c r="AV192" s="3208"/>
      <c r="AW192" s="3208"/>
      <c r="AX192" s="3208"/>
      <c r="AY192" s="3209"/>
      <c r="AZ192" s="3205">
        <f>SUMPRODUCT(AZ145:AZ153,AZ183:AZ191)</f>
        <v>1.1751208901900701E-2</v>
      </c>
      <c r="BA192" s="3210">
        <f>SUMPRODUCT(BA145:BA153,BA183:BA191)</f>
        <v>2.4193199972850819E-2</v>
      </c>
      <c r="BB192" s="3210">
        <f>SUMPRODUCT(BB145:BB153,BB183:BB191)</f>
        <v>-1.145180738783563E-3</v>
      </c>
      <c r="BC192" s="3210">
        <f>SUMPRODUCT(BC145:BC153,BC183:BC191)</f>
        <v>1.6497985386453681E-2</v>
      </c>
      <c r="BD192" s="3211"/>
      <c r="BE192" s="3205">
        <f>SUMPRODUCT(BE145:BE153,BE183:BE191)</f>
        <v>-1.3478820359840854E-2</v>
      </c>
      <c r="BF192" s="3210">
        <f>SUMPRODUCT(BF145:BF153,BF183:BF191)</f>
        <v>1.4400592313095711E-2</v>
      </c>
      <c r="BG192" s="3210">
        <f>SUMPRODUCT(BG145:BG153,BG183:BG191)</f>
        <v>-1.3437865179475107E-2</v>
      </c>
      <c r="BH192" s="3210">
        <f>SUMPRODUCT(BH145:BH153,BH183:BH191)</f>
        <v>-0.13825954373107768</v>
      </c>
      <c r="BI192" s="3211"/>
      <c r="BJ192" s="3205">
        <f>SUMPRODUCT(BJ145:BJ153,BJ183:BJ191)</f>
        <v>-3.8107742261072379E-2</v>
      </c>
      <c r="BK192" s="3210">
        <f>SUMPRODUCT(BK145:BK153,BK183:BK191)</f>
        <v>5.232043495270116E-2</v>
      </c>
      <c r="BL192" s="3210">
        <f>SUMPRODUCT(BL145:BL153,BL183:BL191)</f>
        <v>2.4763093302532374E-2</v>
      </c>
      <c r="BM192" s="3210">
        <f>SUMPRODUCT(BM145:BM153,BM183:BM191)</f>
        <v>1.1611459974729763E-3</v>
      </c>
      <c r="BN192" s="3210"/>
      <c r="BO192" s="3205">
        <f>SUMPRODUCT(BO145:BO153,BO183:BO191)</f>
        <v>-3.6460941370437976E-2</v>
      </c>
      <c r="BP192" s="3210">
        <f>SUMPRODUCT(BP145:BP153,BP183:BP191)</f>
        <v>-4.0087794112869467E-2</v>
      </c>
      <c r="BQ192" s="3210">
        <f>SUMPRODUCT(BQ145:BQ153,BQ183:BQ191)</f>
        <v>-3.6761795980973927E-4</v>
      </c>
      <c r="BR192" s="3210">
        <f>SUMPRODUCT(BR145:BR153,BR183:BR191)</f>
        <v>1.6354209357462072E-2</v>
      </c>
      <c r="BS192" s="3204"/>
      <c r="BT192" s="3205">
        <f t="shared" ref="BT192:CV192" si="473">SUMPRODUCT(BT145:BT153,BT183:BT191)</f>
        <v>2.2873609647486432E-2</v>
      </c>
      <c r="BU192" s="3210">
        <f t="shared" si="473"/>
        <v>3.3013970771775959E-2</v>
      </c>
      <c r="BV192" s="3210">
        <f t="shared" si="473"/>
        <v>1.9831508256143416E-4</v>
      </c>
      <c r="BW192" s="3212">
        <f t="shared" si="473"/>
        <v>-2.850609313322567E-2</v>
      </c>
      <c r="BX192" s="3206"/>
      <c r="BY192" s="3205">
        <f t="shared" si="473"/>
        <v>-1.7738959155693783E-2</v>
      </c>
      <c r="BZ192" s="3210">
        <f t="shared" si="473"/>
        <v>-1.4491100121711236E-2</v>
      </c>
      <c r="CA192" s="3210">
        <f t="shared" si="473"/>
        <v>-7.4912173587125888E-3</v>
      </c>
      <c r="CB192" s="3212">
        <f t="shared" si="473"/>
        <v>1.4376406708970257E-2</v>
      </c>
      <c r="CC192" s="3206"/>
      <c r="CD192" s="3205">
        <f t="shared" si="473"/>
        <v>-2.9554870524086393E-2</v>
      </c>
      <c r="CE192" s="3210">
        <f t="shared" si="473"/>
        <v>-2.663792827476236E-2</v>
      </c>
      <c r="CF192" s="3210">
        <f t="shared" si="473"/>
        <v>5.635293409785835E-3</v>
      </c>
      <c r="CG192" s="3212">
        <f t="shared" si="473"/>
        <v>1.8898047592881963E-2</v>
      </c>
      <c r="CH192" s="3206"/>
      <c r="CI192" s="3210">
        <f t="shared" si="473"/>
        <v>-1.7928675015686354E-3</v>
      </c>
      <c r="CJ192" s="3210">
        <f t="shared" si="473"/>
        <v>8.4324191464336742E-3</v>
      </c>
      <c r="CK192" s="3210">
        <f t="shared" si="473"/>
        <v>-2.2517186007724316E-2</v>
      </c>
      <c r="CL192" s="3212">
        <f t="shared" si="473"/>
        <v>-6.3853515191593616E-2</v>
      </c>
      <c r="CM192" s="3206"/>
      <c r="CN192" s="3210">
        <f t="shared" si="473"/>
        <v>-6.6063197086943942E-2</v>
      </c>
      <c r="CO192" s="3210">
        <f t="shared" si="473"/>
        <v>-1.0873223617172941E-2</v>
      </c>
      <c r="CP192" s="3210">
        <f t="shared" si="473"/>
        <v>-1.0014275969116887E-3</v>
      </c>
      <c r="CQ192" s="3212">
        <f t="shared" si="473"/>
        <v>-9.7999456529320444E-3</v>
      </c>
      <c r="CR192" s="3212"/>
      <c r="CS192" s="3210">
        <f t="shared" si="473"/>
        <v>6.0627998633351254E-3</v>
      </c>
      <c r="CT192" s="3210">
        <f t="shared" si="473"/>
        <v>2.2910826218526265E-2</v>
      </c>
      <c r="CU192" s="3210">
        <f t="shared" si="473"/>
        <v>-1.6133070789651118E-2</v>
      </c>
      <c r="CV192" s="3207">
        <f t="shared" si="473"/>
        <v>-2.1948875662024449E-2</v>
      </c>
      <c r="CW192" s="3204"/>
      <c r="CX192" s="3210">
        <f>SUMPRODUCT(CX145:CX153,CX183:CX191)</f>
        <v>-2.556332194641555E-2</v>
      </c>
      <c r="CY192" s="3210">
        <f>SUMPRODUCT(CY145:CY153,CY183:CY191)</f>
        <v>1.6503703846370395E-2</v>
      </c>
      <c r="CZ192" s="3210">
        <f>SUMPRODUCT(CZ145:CZ153,CZ183:CZ191)</f>
        <v>4.7871143313491724E-3</v>
      </c>
      <c r="DA192" s="3210">
        <f>SUMPRODUCT(DA145:DA153,DA183:DA191)</f>
        <v>0</v>
      </c>
      <c r="DB192" s="3204"/>
      <c r="DC192" s="3210">
        <f>SUMPRODUCT(DC145:DC153,DC183:DC191)</f>
        <v>0</v>
      </c>
      <c r="DD192" s="3210">
        <f>SUMPRODUCT(DD145:DD153,DD183:DD191)</f>
        <v>0</v>
      </c>
      <c r="DE192" s="3210">
        <f>SUMPRODUCT(DE145:DE153,DE183:DE191)</f>
        <v>0</v>
      </c>
      <c r="DF192" s="3210">
        <f>SUMPRODUCT(DF145:DF153,DF183:DF191)</f>
        <v>0</v>
      </c>
      <c r="DG192" s="3204"/>
      <c r="DH192" s="3210">
        <f>SUMPRODUCT(DH145:DH153,DH183:DH191)</f>
        <v>0</v>
      </c>
      <c r="DI192" s="3210">
        <f>SUMPRODUCT(DI145:DI153,DI183:DI191)</f>
        <v>0</v>
      </c>
      <c r="DJ192" s="3210">
        <f>SUMPRODUCT(DJ145:DJ153,DJ183:DJ191)</f>
        <v>0</v>
      </c>
      <c r="DK192" s="3210">
        <f>SUMPRODUCT(DK145:DK153,DK183:DK191)</f>
        <v>0</v>
      </c>
      <c r="DL192" s="3204"/>
      <c r="DM192" s="3210">
        <f>SUMPRODUCT(DM145:DM153,DM183:DM191)</f>
        <v>0</v>
      </c>
      <c r="DN192" s="3210">
        <f>SUMPRODUCT(DN145:DN153,DN183:DN191)</f>
        <v>0</v>
      </c>
      <c r="DO192" s="3210">
        <f>SUMPRODUCT(DO145:DO153,DO183:DO191)</f>
        <v>0</v>
      </c>
      <c r="DP192" s="3210">
        <f>SUMPRODUCT(DP145:DP153,DP183:DP191)</f>
        <v>0</v>
      </c>
      <c r="DQ192"/>
      <c r="DR192" s="3210"/>
      <c r="DS192" s="3210"/>
      <c r="DT192" s="3210"/>
      <c r="DU192" s="3210"/>
      <c r="DV192"/>
      <c r="DW192" s="3210"/>
      <c r="DX192" s="3210"/>
      <c r="DY192" s="3210"/>
      <c r="DZ192" s="3210"/>
      <c r="EA192"/>
      <c r="EB192" s="3210"/>
      <c r="EC192" s="3210"/>
      <c r="ED192" s="3210"/>
      <c r="EE192" s="3210"/>
      <c r="EF192"/>
      <c r="EG192" s="3210"/>
      <c r="EH192" s="3210"/>
      <c r="EI192" s="3210"/>
      <c r="EJ192" s="3210"/>
      <c r="EK192"/>
      <c r="EL192" s="3210"/>
      <c r="EM192" s="3210"/>
      <c r="EN192" s="3210"/>
      <c r="EO192" s="3210"/>
      <c r="EP192"/>
      <c r="EQ192" s="3210"/>
      <c r="ER192" s="3210"/>
      <c r="ES192" s="3210"/>
      <c r="ET192" s="3210"/>
      <c r="EU192"/>
      <c r="EV192" s="3210"/>
      <c r="EW192" s="3210"/>
      <c r="EX192" s="3210"/>
      <c r="EY192" s="3210"/>
      <c r="EZ192"/>
      <c r="FA192"/>
      <c r="FB192"/>
      <c r="FC192"/>
      <c r="FD192"/>
      <c r="FF192" s="3213"/>
    </row>
    <row r="193" spans="1:162" ht="11.25" hidden="1" customHeight="1">
      <c r="A193" s="1631"/>
      <c r="B193" s="421"/>
      <c r="C193" s="421"/>
      <c r="D193" s="421"/>
      <c r="E193" s="421"/>
      <c r="F193" s="421"/>
      <c r="G193" s="421"/>
      <c r="H193" s="421"/>
      <c r="I193" s="421"/>
      <c r="J193" s="421"/>
      <c r="K193" s="421"/>
      <c r="L193" s="421"/>
      <c r="M193" s="421"/>
      <c r="N193" s="421"/>
      <c r="O193" s="421"/>
      <c r="P193" s="421"/>
      <c r="Q193" s="421"/>
      <c r="R193" s="421"/>
      <c r="S193" s="421"/>
      <c r="T193" s="421"/>
      <c r="U193" s="421"/>
      <c r="V193" s="421"/>
      <c r="W193" s="421"/>
      <c r="X193" s="421"/>
      <c r="Y193" s="421"/>
      <c r="Z193" s="421"/>
      <c r="AA193" s="421"/>
      <c r="AB193" s="421"/>
      <c r="AC193" s="421"/>
      <c r="AD193" s="421"/>
      <c r="AE193" s="421"/>
      <c r="AF193" s="421"/>
      <c r="AG193" s="421"/>
      <c r="AH193" s="421"/>
      <c r="AI193" s="421"/>
      <c r="AJ193" s="421"/>
      <c r="AK193" s="421"/>
      <c r="AL193" s="421"/>
      <c r="AM193" s="421"/>
      <c r="AN193" s="421"/>
      <c r="AO193" s="421"/>
      <c r="AP193" s="421"/>
      <c r="AQ193" s="421"/>
      <c r="AR193" s="421"/>
      <c r="AS193" s="421"/>
      <c r="AT193" s="421"/>
      <c r="AU193" s="421"/>
      <c r="AV193" s="421"/>
      <c r="AW193" s="421"/>
      <c r="AX193" s="421"/>
      <c r="AY193" s="421"/>
      <c r="AZ193" s="447"/>
      <c r="BA193" s="444"/>
      <c r="BB193" s="444"/>
      <c r="BC193" s="444"/>
      <c r="BD193" s="448"/>
      <c r="BE193" s="447"/>
      <c r="BF193" s="444"/>
      <c r="BG193" s="444"/>
      <c r="BH193" s="444"/>
      <c r="BI193" s="448"/>
      <c r="BJ193" s="447"/>
      <c r="BK193" s="444"/>
      <c r="BL193" s="444"/>
      <c r="BM193" s="444"/>
      <c r="BN193" s="444"/>
      <c r="BO193" s="447"/>
      <c r="BP193" s="444"/>
      <c r="BQ193" s="444"/>
      <c r="BR193" s="444"/>
      <c r="BS193" s="489"/>
      <c r="BT193" s="449"/>
      <c r="BU193" s="449"/>
      <c r="BV193" s="449"/>
      <c r="BW193" s="449"/>
      <c r="BX193" s="1887"/>
      <c r="BY193" s="449"/>
      <c r="BZ193" s="449"/>
      <c r="CA193" s="449"/>
      <c r="CB193" s="449"/>
      <c r="CC193" s="1887"/>
      <c r="CD193" s="449"/>
      <c r="CE193" s="449"/>
      <c r="CF193" s="449"/>
      <c r="CG193" s="449"/>
      <c r="CH193" s="1887"/>
      <c r="CI193" s="449"/>
      <c r="CJ193" s="449"/>
      <c r="CK193" s="449"/>
      <c r="CL193" s="449"/>
      <c r="CM193" s="1887"/>
      <c r="CN193" s="628"/>
      <c r="CO193" s="444"/>
      <c r="CP193" s="444"/>
      <c r="CQ193" s="449"/>
      <c r="CR193" s="444"/>
      <c r="CS193" s="444"/>
      <c r="CT193" s="444"/>
      <c r="CU193" s="444"/>
      <c r="CV193" s="444"/>
      <c r="CW193" s="444"/>
      <c r="CX193" s="444"/>
      <c r="CY193" s="444"/>
      <c r="CZ193" s="444"/>
      <c r="DA193" s="444"/>
      <c r="DB193" s="444"/>
      <c r="DC193" s="444"/>
      <c r="DD193" s="444"/>
      <c r="DE193" s="444"/>
      <c r="DF193" s="444"/>
      <c r="DG193" s="444"/>
      <c r="DH193" s="444"/>
      <c r="DI193" s="444"/>
      <c r="DJ193" s="444"/>
      <c r="DK193" s="444"/>
      <c r="DL193" s="444"/>
      <c r="DM193" s="444"/>
      <c r="DN193" s="444"/>
      <c r="DO193" s="444"/>
      <c r="DP193" s="444"/>
      <c r="DQ193" s="444"/>
      <c r="DR193" s="444"/>
      <c r="DS193" s="444"/>
      <c r="DT193" s="444"/>
      <c r="DU193" s="444"/>
      <c r="DV193" s="444"/>
      <c r="DW193" s="444"/>
      <c r="DX193" s="444"/>
      <c r="DY193" s="444"/>
      <c r="DZ193" s="444"/>
      <c r="EA193" s="444"/>
      <c r="EB193" s="444"/>
      <c r="EC193" s="444"/>
      <c r="ED193" s="444"/>
      <c r="EE193" s="444"/>
      <c r="EF193" s="444"/>
      <c r="EG193" s="444"/>
      <c r="EH193" s="444"/>
      <c r="EI193" s="444"/>
      <c r="EJ193" s="444"/>
      <c r="EK193" s="444"/>
      <c r="EL193" s="444"/>
      <c r="EM193" s="444"/>
      <c r="EN193" s="444"/>
      <c r="EO193" s="444"/>
      <c r="EP193" s="444"/>
      <c r="EQ193" s="444"/>
      <c r="ER193" s="444"/>
      <c r="ES193" s="444"/>
      <c r="ET193" s="444"/>
      <c r="EU193" s="444"/>
      <c r="EV193" s="444"/>
      <c r="EW193" s="444"/>
      <c r="EX193" s="444"/>
      <c r="EY193" s="444"/>
      <c r="EZ193" s="444"/>
      <c r="FA193" s="444"/>
      <c r="FB193" s="444"/>
      <c r="FC193" s="444"/>
      <c r="FD193" s="444"/>
      <c r="FF193" s="444"/>
    </row>
    <row r="194" spans="1:162" ht="11.25" customHeight="1">
      <c r="BO194" s="454"/>
      <c r="BP194" s="454"/>
      <c r="BQ194" s="454"/>
      <c r="BR194" s="454"/>
      <c r="BT194" s="476"/>
      <c r="BU194" s="476"/>
      <c r="BV194" s="476"/>
      <c r="BW194" s="476"/>
      <c r="BX194" s="476"/>
      <c r="BY194" s="476"/>
      <c r="BZ194" s="476"/>
      <c r="CA194" s="476"/>
      <c r="CB194" s="476"/>
      <c r="CC194" s="476"/>
      <c r="CD194" s="476"/>
      <c r="CE194" s="476"/>
      <c r="CF194" s="476"/>
      <c r="CG194" s="476"/>
      <c r="CH194" s="476"/>
      <c r="CI194" s="476"/>
      <c r="CJ194" s="476"/>
      <c r="CK194" s="476"/>
      <c r="CL194" s="476"/>
      <c r="CM194" s="476"/>
      <c r="CN194" s="476"/>
      <c r="CO194" s="476"/>
      <c r="CP194" s="476"/>
      <c r="CQ194" s="476"/>
      <c r="CR194" s="476"/>
      <c r="CS194" s="476"/>
      <c r="CT194" s="476"/>
      <c r="CU194" s="476"/>
      <c r="CV194" s="476"/>
      <c r="CW194" s="476"/>
      <c r="CX194" s="476"/>
      <c r="CY194" s="476"/>
      <c r="CZ194" s="476"/>
      <c r="DA194" s="476"/>
      <c r="DB194" s="476"/>
      <c r="DC194" s="476"/>
      <c r="DD194" s="476"/>
      <c r="DE194" s="476"/>
      <c r="DF194" s="476"/>
      <c r="DG194" s="476"/>
      <c r="DH194" s="476"/>
      <c r="DI194" s="476"/>
      <c r="DJ194" s="476"/>
      <c r="DK194" s="476"/>
      <c r="DL194" s="476"/>
      <c r="DM194" s="476"/>
      <c r="DN194" s="476"/>
      <c r="DO194" s="476"/>
      <c r="DP194" s="476"/>
      <c r="DQ194" s="476"/>
      <c r="DR194" s="476"/>
      <c r="DS194" s="476"/>
      <c r="DT194" s="476"/>
      <c r="DU194" s="476"/>
      <c r="DV194" s="476"/>
      <c r="DW194" s="476"/>
      <c r="DX194" s="476"/>
      <c r="DY194" s="476"/>
      <c r="DZ194" s="476"/>
      <c r="EA194" s="476"/>
      <c r="EB194" s="476"/>
      <c r="EC194" s="476"/>
      <c r="ED194" s="476"/>
      <c r="EE194" s="476"/>
      <c r="EF194" s="476"/>
      <c r="EG194" s="476"/>
      <c r="EH194" s="476"/>
      <c r="EI194" s="476"/>
      <c r="EJ194" s="476"/>
      <c r="EK194" s="476"/>
      <c r="EL194" s="476"/>
      <c r="EM194" s="476"/>
      <c r="EN194" s="476"/>
      <c r="EO194" s="476"/>
      <c r="EP194" s="476"/>
      <c r="EQ194" s="476"/>
      <c r="ER194" s="476"/>
      <c r="ES194" s="476"/>
      <c r="ET194" s="476"/>
      <c r="EU194" s="476"/>
      <c r="EV194" s="476"/>
      <c r="EW194" s="476"/>
      <c r="EX194" s="476"/>
      <c r="EY194" s="476"/>
      <c r="EZ194" s="476"/>
      <c r="FA194" s="476"/>
      <c r="FB194" s="476"/>
      <c r="FC194" s="476"/>
      <c r="FD194" s="476"/>
      <c r="FF194" s="476"/>
    </row>
    <row r="195" spans="1:162" ht="11.25" customHeight="1">
      <c r="BO195" s="454"/>
      <c r="BP195" s="454"/>
      <c r="BQ195" s="454"/>
      <c r="BR195" s="454"/>
      <c r="BT195" s="476"/>
      <c r="BU195" s="476"/>
      <c r="BV195" s="476"/>
      <c r="BW195" s="454"/>
      <c r="BX195" s="454"/>
      <c r="DM195" s="4314"/>
    </row>
    <row r="196" spans="1:162" ht="11.25" customHeight="1">
      <c r="A196" s="422"/>
      <c r="BJ196" s="455"/>
      <c r="BK196" s="456"/>
      <c r="BL196" s="456"/>
      <c r="BM196" s="456"/>
      <c r="BN196" s="456"/>
      <c r="BO196" s="457"/>
      <c r="BP196" s="457"/>
      <c r="BQ196" s="457"/>
      <c r="BR196" s="457"/>
      <c r="BS196" s="456"/>
      <c r="BT196" s="495"/>
      <c r="BU196" s="495"/>
      <c r="BV196" s="495"/>
      <c r="BW196" s="495"/>
      <c r="BX196" s="495"/>
    </row>
    <row r="197" spans="1:162" ht="11.25" customHeight="1">
      <c r="DY197"/>
      <c r="DZ197"/>
    </row>
    <row r="198" spans="1:162" ht="11.25" customHeight="1">
      <c r="BL198" s="458"/>
      <c r="BQ198" s="458"/>
      <c r="BV198" s="458"/>
      <c r="DY198"/>
      <c r="DZ198"/>
    </row>
    <row r="199" spans="1:162" ht="11.25" customHeight="1">
      <c r="DY199"/>
      <c r="DZ199"/>
    </row>
    <row r="200" spans="1:162" ht="11.25" customHeight="1">
      <c r="DY200"/>
      <c r="DZ200"/>
    </row>
  </sheetData>
  <sortState xmlns:xlrd2="http://schemas.microsoft.com/office/spreadsheetml/2017/richdata2" ref="DW17:DY20">
    <sortCondition ref="DW17"/>
  </sortState>
  <pageMargins left="0.25" right="0.25" top="0.75" bottom="0.75" header="0.3" footer="0.3"/>
  <pageSetup orientation="landscape" r:id="rId1"/>
  <headerFooter alignWithMargins="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pageSetUpPr fitToPage="1"/>
  </sheetPr>
  <dimension ref="A1:DF52"/>
  <sheetViews>
    <sheetView showGridLines="0" zoomScaleNormal="100" zoomScaleSheetLayoutView="100" workbookViewId="0">
      <pane xSplit="1" ySplit="6" topLeftCell="B7" activePane="bottomRight" state="frozen"/>
      <selection pane="topRight" activeCell="B1" sqref="B1"/>
      <selection pane="bottomLeft" activeCell="A7" sqref="A7"/>
      <selection pane="bottomRight" activeCell="B7" sqref="B7"/>
    </sheetView>
  </sheetViews>
  <sheetFormatPr defaultColWidth="9.140625" defaultRowHeight="11.25" customHeight="1"/>
  <cols>
    <col min="1" max="1" width="35.7109375" style="1595" customWidth="1"/>
    <col min="2" max="2" width="3.85546875" style="35" customWidth="1"/>
    <col min="3" max="4" width="12.7109375" style="35" hidden="1" customWidth="1"/>
    <col min="5" max="8" width="12.7109375" style="31" hidden="1" customWidth="1"/>
    <col min="9" max="9" width="12.42578125" style="35" hidden="1" customWidth="1"/>
    <col min="10" max="10" width="11.140625" style="121" hidden="1" customWidth="1"/>
    <col min="11" max="11" width="12" style="121" hidden="1" customWidth="1" collapsed="1"/>
    <col min="12" max="13" width="11.42578125" style="121" hidden="1" customWidth="1" collapsed="1"/>
    <col min="14" max="14" width="11.42578125" style="121" hidden="1" customWidth="1"/>
    <col min="15" max="22" width="11.42578125" style="121" hidden="1" customWidth="1" collapsed="1"/>
    <col min="23" max="27" width="11.42578125" style="121" customWidth="1"/>
    <col min="28" max="28" width="3.7109375" customWidth="1"/>
    <col min="29" max="16384" width="9.140625" style="35"/>
  </cols>
  <sheetData>
    <row r="1" spans="1:110" s="2" customFormat="1" ht="11.25" customHeight="1">
      <c r="A1" s="1515"/>
      <c r="B1" s="20"/>
      <c r="C1" s="20"/>
      <c r="D1" s="20"/>
      <c r="E1" s="20"/>
      <c r="F1" s="20"/>
      <c r="G1" s="20"/>
      <c r="H1" s="22"/>
      <c r="I1" s="22"/>
      <c r="J1" s="20"/>
      <c r="K1" s="20"/>
      <c r="L1" s="20"/>
      <c r="M1" s="20"/>
      <c r="N1" s="20"/>
      <c r="O1" s="20"/>
      <c r="P1" s="20"/>
      <c r="Q1" s="20"/>
      <c r="R1" s="20"/>
      <c r="S1" s="20"/>
      <c r="T1" s="20"/>
      <c r="U1" s="20"/>
      <c r="V1" s="20"/>
      <c r="W1" s="20"/>
      <c r="X1" s="20"/>
      <c r="Y1" s="20"/>
      <c r="Z1" s="20"/>
      <c r="AA1" s="20"/>
      <c r="AB1"/>
      <c r="AC1" s="20"/>
      <c r="AD1" s="20"/>
      <c r="AE1" s="20"/>
      <c r="AF1" s="20"/>
      <c r="AG1" s="20"/>
      <c r="AH1" s="20"/>
      <c r="AI1" s="20"/>
      <c r="AJ1" s="20"/>
      <c r="AK1" s="20"/>
      <c r="AL1" s="20"/>
      <c r="AM1" s="22"/>
      <c r="AN1" s="22"/>
      <c r="AO1" s="22"/>
      <c r="AP1" s="22"/>
      <c r="AQ1" s="22"/>
      <c r="AR1" s="22"/>
      <c r="AS1" s="22"/>
      <c r="AT1" s="22"/>
      <c r="AU1" s="22"/>
      <c r="AV1" s="22"/>
      <c r="AW1" s="20"/>
      <c r="AX1" s="22"/>
      <c r="AY1" s="22"/>
      <c r="AZ1" s="22"/>
      <c r="BA1" s="22"/>
      <c r="BB1" s="20"/>
      <c r="BC1" s="22"/>
      <c r="BD1" s="22"/>
      <c r="BE1" s="22"/>
      <c r="BF1" s="22"/>
      <c r="BG1" s="20"/>
      <c r="BH1" s="22"/>
      <c r="BI1" s="22"/>
      <c r="BJ1" s="22"/>
      <c r="BK1" s="22"/>
      <c r="BL1" s="20"/>
      <c r="BM1" s="22"/>
      <c r="BN1" s="22"/>
      <c r="BO1" s="22"/>
      <c r="BP1" s="22"/>
      <c r="BQ1" s="20"/>
      <c r="BR1" s="20"/>
      <c r="BS1" s="20"/>
      <c r="BT1" s="20"/>
      <c r="BU1" s="20"/>
      <c r="BV1" s="20"/>
      <c r="BW1" s="22"/>
      <c r="BX1" s="22"/>
      <c r="BY1" s="22"/>
      <c r="BZ1" s="22"/>
      <c r="CA1" s="20"/>
      <c r="CB1" s="22"/>
      <c r="CC1" s="22"/>
      <c r="CD1" s="22"/>
      <c r="CE1" s="22"/>
      <c r="CF1" s="20"/>
      <c r="CG1" s="22"/>
      <c r="CH1" s="22"/>
      <c r="CI1" s="22"/>
      <c r="CJ1" s="22"/>
      <c r="CK1" s="20"/>
      <c r="CL1" s="20"/>
      <c r="CM1" s="20"/>
      <c r="CN1" s="20"/>
      <c r="CO1" s="20"/>
      <c r="CP1" s="20"/>
      <c r="CQ1" s="20"/>
      <c r="CR1" s="20"/>
      <c r="CS1" s="20"/>
      <c r="CT1" s="20"/>
      <c r="CU1" s="20"/>
      <c r="CV1" s="20"/>
      <c r="CW1" s="20"/>
      <c r="CX1" s="20"/>
      <c r="CY1" s="20"/>
      <c r="CZ1" s="20"/>
      <c r="DA1" s="20"/>
      <c r="DB1" s="20"/>
      <c r="DC1" s="20"/>
      <c r="DD1" s="20"/>
      <c r="DE1" s="21"/>
      <c r="DF1" s="6"/>
    </row>
    <row r="2" spans="1:110" s="17" customFormat="1" ht="28.5" customHeight="1">
      <c r="A2" s="2914" t="str">
        <f>IS!A2</f>
        <v>Alphabet Inc.</v>
      </c>
      <c r="B2" s="18"/>
      <c r="C2" s="18"/>
      <c r="D2" s="18"/>
      <c r="E2" s="18"/>
      <c r="F2" s="18"/>
      <c r="G2" s="18"/>
      <c r="H2" s="18"/>
      <c r="I2" s="18"/>
      <c r="J2" s="18"/>
      <c r="K2" s="18"/>
      <c r="L2" s="18"/>
      <c r="M2" s="18"/>
      <c r="N2" s="18"/>
      <c r="O2" s="18"/>
      <c r="P2" s="18"/>
      <c r="Q2" s="18"/>
      <c r="R2" s="18"/>
      <c r="S2" s="18"/>
      <c r="T2" s="18"/>
      <c r="U2" s="4848"/>
      <c r="V2" s="18"/>
      <c r="W2" s="18"/>
      <c r="X2" s="18"/>
      <c r="Y2" s="18"/>
      <c r="Z2" s="18"/>
      <c r="AA2" s="18"/>
      <c r="AB2"/>
      <c r="AC2" s="18"/>
      <c r="AD2" s="18"/>
      <c r="AE2" s="18"/>
      <c r="AF2" s="18"/>
      <c r="AG2" s="18"/>
      <c r="AH2" s="18"/>
      <c r="AI2" s="18"/>
      <c r="AJ2" s="18"/>
      <c r="AK2" s="18"/>
      <c r="AL2" s="18"/>
      <c r="AM2" s="23"/>
      <c r="AN2" s="23"/>
      <c r="AO2" s="23"/>
      <c r="AP2" s="23"/>
      <c r="AQ2" s="23"/>
      <c r="AR2" s="18"/>
      <c r="AS2" s="18"/>
      <c r="AT2" s="18"/>
      <c r="AU2" s="18"/>
      <c r="AV2" s="18"/>
      <c r="AW2" s="18"/>
      <c r="AX2" s="18"/>
      <c r="AY2" s="18"/>
      <c r="AZ2" s="18"/>
      <c r="BA2" s="18"/>
      <c r="BB2" s="18"/>
      <c r="BC2" s="18"/>
      <c r="BD2" s="18"/>
      <c r="BE2" s="18"/>
      <c r="BF2" s="18"/>
      <c r="BG2" s="18"/>
      <c r="BH2" s="18"/>
      <c r="BI2" s="18"/>
      <c r="BJ2" s="18"/>
      <c r="BK2" s="18"/>
      <c r="BL2" s="18"/>
      <c r="BM2" s="18"/>
      <c r="BN2" s="474"/>
      <c r="BO2" s="18"/>
      <c r="BP2" s="18"/>
      <c r="BQ2" s="18"/>
      <c r="BR2" s="580"/>
      <c r="BS2" s="18"/>
      <c r="BT2" s="18"/>
      <c r="BU2" s="18"/>
      <c r="BV2" s="18"/>
      <c r="BW2" s="580"/>
      <c r="BX2" s="580"/>
      <c r="BY2" s="580"/>
      <c r="BZ2" s="580"/>
      <c r="CA2" s="580"/>
      <c r="CB2" s="580"/>
      <c r="CC2" s="580"/>
      <c r="CD2" s="580"/>
      <c r="CE2" s="580"/>
      <c r="CF2" s="580"/>
      <c r="CG2" s="580"/>
      <c r="CH2" s="580"/>
      <c r="CI2" s="580"/>
      <c r="CJ2" s="658"/>
      <c r="CK2" s="659"/>
      <c r="CL2" s="659"/>
      <c r="CM2" s="659"/>
      <c r="CN2" s="659"/>
      <c r="CO2" s="290"/>
      <c r="CP2" s="150"/>
      <c r="CQ2" s="290"/>
      <c r="CR2" s="290"/>
      <c r="CS2" s="290"/>
      <c r="CT2" s="290"/>
      <c r="CU2" s="150"/>
      <c r="CV2" s="806"/>
      <c r="CW2" s="806"/>
      <c r="CX2" s="806"/>
      <c r="CY2" s="806"/>
      <c r="CZ2" s="806"/>
      <c r="DA2" s="806"/>
      <c r="DB2" s="806"/>
      <c r="DC2" s="806"/>
      <c r="DD2" s="806"/>
      <c r="DE2" s="24"/>
      <c r="DF2" s="594"/>
    </row>
    <row r="3" spans="1:110" s="15" customFormat="1" ht="20.25" customHeight="1">
      <c r="A3" s="1516" t="s">
        <v>162</v>
      </c>
      <c r="B3" s="19"/>
      <c r="C3" s="19"/>
      <c r="D3" s="19"/>
      <c r="E3" s="19"/>
      <c r="F3" s="19"/>
      <c r="G3" s="19"/>
      <c r="H3" s="19"/>
      <c r="I3" s="19"/>
      <c r="J3" s="19"/>
      <c r="K3" s="19"/>
      <c r="L3" s="19"/>
      <c r="M3" s="19"/>
      <c r="N3" s="19"/>
      <c r="O3" s="19"/>
      <c r="P3" s="19"/>
      <c r="Q3" s="19"/>
      <c r="R3" s="19"/>
      <c r="S3" s="4578"/>
      <c r="T3" s="4578"/>
      <c r="U3" s="5011"/>
      <c r="V3" s="5921"/>
      <c r="W3" s="19"/>
      <c r="X3" s="19"/>
      <c r="Y3" s="6199"/>
      <c r="Z3" s="19"/>
      <c r="AA3" s="19"/>
      <c r="AB3"/>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c r="BG3" s="27"/>
      <c r="BH3" s="470"/>
      <c r="BI3" s="470"/>
      <c r="BJ3" s="470"/>
      <c r="BK3" s="470"/>
      <c r="BL3" s="470"/>
      <c r="BM3" s="470"/>
      <c r="BN3" s="473"/>
      <c r="BO3" s="470"/>
      <c r="BP3" s="470"/>
      <c r="BQ3" s="470"/>
      <c r="BR3" s="470"/>
      <c r="BS3" s="470"/>
      <c r="BT3" s="470"/>
      <c r="BU3" s="470"/>
      <c r="BV3" s="470"/>
      <c r="BW3" s="470"/>
      <c r="BX3" s="470"/>
      <c r="BY3" s="470"/>
      <c r="BZ3" s="470"/>
      <c r="CA3" s="470"/>
      <c r="CB3" s="529"/>
      <c r="CC3" s="529"/>
      <c r="CD3" s="529"/>
      <c r="CE3" s="529"/>
      <c r="CF3" s="470"/>
      <c r="CG3" s="529"/>
      <c r="CH3" s="529"/>
      <c r="CI3" s="529"/>
      <c r="CJ3" s="658"/>
      <c r="CK3" s="659"/>
      <c r="CL3" s="659"/>
      <c r="CM3" s="659"/>
      <c r="CN3" s="659"/>
      <c r="CO3" s="756"/>
      <c r="CP3" s="659"/>
      <c r="CQ3" s="756"/>
      <c r="CR3" s="760"/>
      <c r="CS3" s="760"/>
      <c r="CT3" s="760"/>
      <c r="CU3" s="809"/>
      <c r="CV3" s="809"/>
      <c r="CW3" s="809"/>
      <c r="CX3" s="809"/>
      <c r="CY3" s="809"/>
      <c r="CZ3" s="809"/>
      <c r="DA3" s="809"/>
      <c r="DB3" s="809"/>
      <c r="DC3" s="809"/>
      <c r="DD3" s="809"/>
      <c r="DE3" s="470"/>
      <c r="DF3" s="595"/>
    </row>
    <row r="4" spans="1:110" s="6" customFormat="1" ht="12.75">
      <c r="A4" s="3219"/>
      <c r="B4" s="20"/>
      <c r="C4" s="20"/>
      <c r="D4" s="20"/>
      <c r="E4" s="20"/>
      <c r="F4" s="20"/>
      <c r="G4" s="20"/>
      <c r="H4" s="22"/>
      <c r="I4" s="22"/>
      <c r="J4" s="20"/>
      <c r="K4" s="20"/>
      <c r="L4" s="20"/>
      <c r="M4" s="20"/>
      <c r="N4" s="20"/>
      <c r="O4" s="20"/>
      <c r="P4" s="20"/>
      <c r="Q4" s="20"/>
      <c r="R4" s="20"/>
      <c r="S4" s="20"/>
      <c r="T4" s="20"/>
      <c r="U4" s="9"/>
      <c r="V4" s="9"/>
      <c r="W4" s="5932"/>
      <c r="X4" s="5932"/>
      <c r="Y4" s="9"/>
      <c r="Z4" s="20"/>
      <c r="AA4" s="20"/>
      <c r="AB4"/>
      <c r="AC4" s="20"/>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42"/>
      <c r="BJ4" s="42"/>
      <c r="BK4" s="42"/>
      <c r="BL4" s="470"/>
      <c r="BM4" s="42"/>
      <c r="BN4" s="42"/>
      <c r="BO4" s="42"/>
      <c r="BP4" s="42"/>
      <c r="BQ4" s="470"/>
      <c r="BR4" s="470"/>
      <c r="BS4" s="470"/>
      <c r="BT4" s="470"/>
      <c r="BU4" s="470"/>
      <c r="BV4" s="470"/>
      <c r="BW4" s="42"/>
      <c r="BX4" s="42"/>
      <c r="BY4" s="42"/>
      <c r="BZ4" s="42"/>
      <c r="CA4" s="470"/>
      <c r="CB4" s="42"/>
      <c r="CC4" s="510"/>
      <c r="CD4" s="510"/>
      <c r="CE4" s="42"/>
      <c r="CF4" s="470"/>
      <c r="CG4" s="42"/>
      <c r="CH4" s="510"/>
      <c r="CI4" s="510"/>
      <c r="CJ4" s="42"/>
      <c r="CK4" s="473"/>
      <c r="CL4" s="470"/>
      <c r="CM4" s="470"/>
      <c r="CN4" s="470"/>
      <c r="CO4" s="619"/>
      <c r="CP4" s="473"/>
      <c r="CQ4" s="661"/>
      <c r="CR4" s="661"/>
      <c r="CS4" s="661"/>
      <c r="CT4" s="758"/>
      <c r="CU4" s="661"/>
      <c r="CV4" s="661"/>
      <c r="CW4" s="661"/>
      <c r="CX4" s="661"/>
      <c r="CY4" s="661"/>
      <c r="CZ4" s="661"/>
      <c r="DA4" s="661"/>
      <c r="DB4" s="661"/>
      <c r="DC4" s="661"/>
      <c r="DD4" s="661"/>
      <c r="DE4" s="470"/>
    </row>
    <row r="5" spans="1:110" s="1" customFormat="1" ht="12.75">
      <c r="A5" s="3652" t="s">
        <v>765</v>
      </c>
      <c r="E5" s="5"/>
      <c r="F5" s="5"/>
      <c r="G5" s="5"/>
      <c r="H5" s="5"/>
      <c r="J5" s="496"/>
      <c r="K5" s="20"/>
      <c r="L5" s="20"/>
      <c r="M5" s="20"/>
      <c r="N5" s="20"/>
      <c r="O5" s="20"/>
      <c r="P5" s="20"/>
      <c r="Q5" s="3550"/>
      <c r="R5" s="3550"/>
      <c r="S5" s="20"/>
      <c r="T5" s="20"/>
      <c r="U5" s="9"/>
      <c r="V5" s="20"/>
      <c r="W5" s="5932"/>
      <c r="X5" s="5932"/>
      <c r="Y5" s="9"/>
      <c r="Z5" s="20"/>
      <c r="AA5" s="20"/>
      <c r="AB5"/>
    </row>
    <row r="6" spans="1:110" s="353" customFormat="1" ht="11.25" customHeight="1" thickBot="1">
      <c r="A6" s="3220" t="s">
        <v>690</v>
      </c>
      <c r="B6" s="3221"/>
      <c r="C6" s="3221" t="s">
        <v>184</v>
      </c>
      <c r="D6" s="3221" t="s">
        <v>256</v>
      </c>
      <c r="E6" s="3221" t="s">
        <v>266</v>
      </c>
      <c r="F6" s="3221" t="s">
        <v>276</v>
      </c>
      <c r="G6" s="3221" t="s">
        <v>286</v>
      </c>
      <c r="H6" s="3221" t="s">
        <v>11</v>
      </c>
      <c r="I6" s="3221" t="s">
        <v>309</v>
      </c>
      <c r="J6" s="3222" t="s">
        <v>271</v>
      </c>
      <c r="K6" s="3222" t="s">
        <v>272</v>
      </c>
      <c r="L6" s="3222" t="s">
        <v>390</v>
      </c>
      <c r="M6" s="3223" t="s">
        <v>410</v>
      </c>
      <c r="N6" s="3222" t="s">
        <v>476</v>
      </c>
      <c r="O6" s="3222" t="s">
        <v>532</v>
      </c>
      <c r="P6" s="3222" t="str">
        <f>IS!DB6</f>
        <v>2017A</v>
      </c>
      <c r="Q6" s="3222" t="str">
        <f>IS!DG6</f>
        <v>2018A</v>
      </c>
      <c r="R6" s="3222" t="str">
        <f>IS!DL6</f>
        <v>2019A</v>
      </c>
      <c r="S6" s="3222" t="str">
        <f>IS!DQ6</f>
        <v>2020A</v>
      </c>
      <c r="T6" s="3222" t="str">
        <f>IS!DV6</f>
        <v>2021A</v>
      </c>
      <c r="U6" s="3222" t="str">
        <f>IS!EA6</f>
        <v>2022A</v>
      </c>
      <c r="V6" s="3222" t="str">
        <f>IS!EF6</f>
        <v>2023A</v>
      </c>
      <c r="W6" s="3222" t="str">
        <f>IS!EK6</f>
        <v>2024A</v>
      </c>
      <c r="X6" s="3222" t="str">
        <f>IS!EP6</f>
        <v>2025E</v>
      </c>
      <c r="Y6" s="3222" t="str">
        <f>IS!EU6</f>
        <v>2026E</v>
      </c>
      <c r="Z6" s="3222" t="str">
        <f>IS!EV6</f>
        <v>2027E</v>
      </c>
      <c r="AA6" s="3222" t="str">
        <f>IS!EW6</f>
        <v>2028E</v>
      </c>
      <c r="AB6"/>
    </row>
    <row r="7" spans="1:110" ht="11.25" customHeight="1" thickBot="1">
      <c r="A7" s="1595" t="s">
        <v>3</v>
      </c>
      <c r="C7" s="3646">
        <v>414.09</v>
      </c>
      <c r="D7" s="3645">
        <f>C7</f>
        <v>414.09</v>
      </c>
      <c r="E7" s="3645">
        <v>630</v>
      </c>
      <c r="F7" s="3645">
        <v>610</v>
      </c>
      <c r="G7" s="3645">
        <v>490</v>
      </c>
      <c r="H7" s="3645">
        <v>490</v>
      </c>
      <c r="I7" s="3645">
        <v>675</v>
      </c>
      <c r="J7" s="3647">
        <v>860</v>
      </c>
      <c r="K7" s="3647">
        <v>1025</v>
      </c>
      <c r="L7" s="3647">
        <v>645</v>
      </c>
      <c r="M7" s="3647">
        <f t="shared" ref="M7:R7" si="0">+N7</f>
        <v>340</v>
      </c>
      <c r="N7" s="3647">
        <f t="shared" si="0"/>
        <v>340</v>
      </c>
      <c r="O7" s="3647">
        <f t="shared" si="0"/>
        <v>340</v>
      </c>
      <c r="P7" s="3647">
        <f t="shared" si="0"/>
        <v>340</v>
      </c>
      <c r="Q7" s="3647">
        <f t="shared" si="0"/>
        <v>340</v>
      </c>
      <c r="R7" s="3647">
        <f t="shared" si="0"/>
        <v>340</v>
      </c>
      <c r="S7" s="3647">
        <f t="shared" ref="S7:X7" si="1">+T7</f>
        <v>340</v>
      </c>
      <c r="T7" s="3647">
        <f t="shared" si="1"/>
        <v>340</v>
      </c>
      <c r="U7" s="3647">
        <f t="shared" si="1"/>
        <v>340</v>
      </c>
      <c r="V7" s="3647">
        <f t="shared" si="1"/>
        <v>340</v>
      </c>
      <c r="W7" s="3647">
        <f t="shared" si="1"/>
        <v>340</v>
      </c>
      <c r="X7" s="3647">
        <f t="shared" si="1"/>
        <v>340</v>
      </c>
      <c r="Y7" s="4294">
        <v>340</v>
      </c>
      <c r="Z7" s="3647">
        <f>Y7</f>
        <v>340</v>
      </c>
      <c r="AA7" s="3647">
        <f>Z7</f>
        <v>340</v>
      </c>
    </row>
    <row r="8" spans="1:110" ht="11.25" customHeight="1">
      <c r="A8" s="1597" t="s">
        <v>102</v>
      </c>
      <c r="C8" s="45">
        <f>IS!Y38</f>
        <v>5251.2199999999993</v>
      </c>
      <c r="D8" s="45">
        <f>IS!AD38</f>
        <v>5718.880000000001</v>
      </c>
      <c r="E8" s="37">
        <f>IS!AI38</f>
        <v>6079.44</v>
      </c>
      <c r="F8" s="37">
        <f>IS!AN38</f>
        <v>6269.18</v>
      </c>
      <c r="G8" s="37">
        <f>IS!AT38</f>
        <v>6324.2</v>
      </c>
      <c r="H8" s="37">
        <f>IS!AY38</f>
        <v>6350.2749999999996</v>
      </c>
      <c r="I8" s="37">
        <f>IS!BC38</f>
        <v>6443.26</v>
      </c>
      <c r="J8" s="43">
        <f>IS!BN38</f>
        <v>6544.3000000000011</v>
      </c>
      <c r="K8" s="43">
        <f>IS!BX38</f>
        <v>13292.2</v>
      </c>
      <c r="L8" s="43">
        <f>IS!CH38</f>
        <v>13552.36</v>
      </c>
      <c r="M8" s="43">
        <f>IS!CM38</f>
        <v>13741.400000000001</v>
      </c>
      <c r="N8" s="43">
        <f>IS!CR38</f>
        <v>13858.6</v>
      </c>
      <c r="O8" s="43">
        <f>IS!CW38</f>
        <v>13974.119999999999</v>
      </c>
      <c r="P8" s="43">
        <f>IS!DB38</f>
        <v>14071.680000000002</v>
      </c>
      <c r="Q8" s="43">
        <f>IS!DG38</f>
        <v>14065.695</v>
      </c>
      <c r="R8" s="43">
        <f>IS!DL38</f>
        <v>13971.13</v>
      </c>
      <c r="S8" s="43">
        <f>IS!DQ38</f>
        <v>13740.555</v>
      </c>
      <c r="T8" s="43">
        <f>IS!DV38</f>
        <v>13553.474999999999</v>
      </c>
      <c r="U8" s="43">
        <f>IS!EA38</f>
        <v>13158.505000000001</v>
      </c>
      <c r="V8" s="43">
        <f>IS!EF38</f>
        <v>12721.25</v>
      </c>
      <c r="W8" s="43">
        <f>IS!EK38</f>
        <v>12447.25</v>
      </c>
      <c r="X8" s="43">
        <f>IS!EP38</f>
        <v>12225.119666666666</v>
      </c>
      <c r="Y8" s="43">
        <f>IS!EU38</f>
        <v>12213.918502526303</v>
      </c>
      <c r="Z8" s="43">
        <f ca="1">IS!EV38</f>
        <v>12116.865058874722</v>
      </c>
      <c r="AA8" s="43">
        <f ca="1">IS!EW38</f>
        <v>12010.578193097632</v>
      </c>
    </row>
    <row r="9" spans="1:110" ht="11.25" customHeight="1">
      <c r="A9" s="3653" t="s">
        <v>152</v>
      </c>
      <c r="B9" s="3654"/>
      <c r="C9" s="3655">
        <f t="shared" ref="C9:M9" si="2">C7*C8</f>
        <v>2174477.6897999998</v>
      </c>
      <c r="D9" s="3655">
        <f t="shared" si="2"/>
        <v>2368131.0192000004</v>
      </c>
      <c r="E9" s="3655">
        <f t="shared" si="2"/>
        <v>3830047.1999999997</v>
      </c>
      <c r="F9" s="3655">
        <f t="shared" si="2"/>
        <v>3824199.8000000003</v>
      </c>
      <c r="G9" s="3656">
        <f t="shared" si="2"/>
        <v>3098858</v>
      </c>
      <c r="H9" s="3655">
        <f t="shared" si="2"/>
        <v>3111634.75</v>
      </c>
      <c r="I9" s="3655">
        <f t="shared" si="2"/>
        <v>4349200.5</v>
      </c>
      <c r="J9" s="3657">
        <f>J7*J8</f>
        <v>5628098.0000000009</v>
      </c>
      <c r="K9" s="3657">
        <f>K7*K8</f>
        <v>13624505</v>
      </c>
      <c r="L9" s="3657">
        <f>L7*L8</f>
        <v>8741272.2000000011</v>
      </c>
      <c r="M9" s="3657">
        <f t="shared" si="2"/>
        <v>4672076.0000000009</v>
      </c>
      <c r="N9" s="3657">
        <f t="shared" ref="N9:U9" si="3">N7*N8</f>
        <v>4711924</v>
      </c>
      <c r="O9" s="3657">
        <f t="shared" si="3"/>
        <v>4751200.8</v>
      </c>
      <c r="P9" s="3657">
        <f t="shared" si="3"/>
        <v>4784371.2000000011</v>
      </c>
      <c r="Q9" s="3657">
        <f t="shared" si="3"/>
        <v>4782336.3</v>
      </c>
      <c r="R9" s="3657">
        <f t="shared" si="3"/>
        <v>4750184.2</v>
      </c>
      <c r="S9" s="3657">
        <f t="shared" si="3"/>
        <v>4671788.7</v>
      </c>
      <c r="T9" s="3657">
        <f t="shared" si="3"/>
        <v>4608181.4999999991</v>
      </c>
      <c r="U9" s="3657">
        <f t="shared" si="3"/>
        <v>4473891.7</v>
      </c>
      <c r="V9" s="3657">
        <f t="shared" ref="V9:AA9" si="4">V7*V8</f>
        <v>4325225</v>
      </c>
      <c r="W9" s="3657">
        <f t="shared" si="4"/>
        <v>4232065</v>
      </c>
      <c r="X9" s="3657">
        <f t="shared" si="4"/>
        <v>4156540.6866666665</v>
      </c>
      <c r="Y9" s="3657">
        <f t="shared" si="4"/>
        <v>4152732.290858943</v>
      </c>
      <c r="Z9" s="3657">
        <f t="shared" ca="1" si="4"/>
        <v>4119734.1200174056</v>
      </c>
      <c r="AA9" s="3657">
        <f t="shared" ca="1" si="4"/>
        <v>4083596.5856531947</v>
      </c>
    </row>
    <row r="10" spans="1:110" ht="11.25" customHeight="1">
      <c r="A10" s="1620" t="s">
        <v>336</v>
      </c>
      <c r="C10" s="3642">
        <v>0</v>
      </c>
      <c r="D10" s="3642">
        <v>0</v>
      </c>
      <c r="E10" s="3643">
        <v>0</v>
      </c>
      <c r="F10" s="3643">
        <v>0</v>
      </c>
      <c r="G10" s="3643">
        <v>0</v>
      </c>
      <c r="H10" s="3643">
        <v>0</v>
      </c>
      <c r="I10" s="3644">
        <v>0</v>
      </c>
      <c r="J10" s="501">
        <f>BS!BA35+BS!BA41</f>
        <v>4204</v>
      </c>
      <c r="K10" s="501">
        <f>BS!BE35+BS!BE41</f>
        <v>5537</v>
      </c>
      <c r="L10" s="501">
        <f>BS!BI35+BS!BI41</f>
        <v>5245</v>
      </c>
      <c r="M10" s="501">
        <f>BS!BN35+BS!BN41</f>
        <v>5237</v>
      </c>
      <c r="N10" s="501">
        <f>BS!BS35+BS!BS41</f>
        <v>5220</v>
      </c>
      <c r="O10" s="501">
        <f>BS!BX35+BS!BX41</f>
        <v>3935</v>
      </c>
      <c r="P10" s="501">
        <f>BS!CD35+BS!CD41</f>
        <v>3969</v>
      </c>
      <c r="Q10" s="501">
        <f>BS!CI35+BS!CI41</f>
        <v>4012</v>
      </c>
      <c r="R10" s="501">
        <f>BS!CN35+BS!CN41</f>
        <v>4554</v>
      </c>
      <c r="S10" s="501">
        <f>BS!CS35+BS!CS41</f>
        <v>13932</v>
      </c>
      <c r="T10" s="501">
        <f>BS!CX35+BS!CX41</f>
        <v>14817</v>
      </c>
      <c r="U10" s="501">
        <f>BS!DC35+BS!DC41</f>
        <v>14701</v>
      </c>
      <c r="V10" s="501">
        <f>BS!DH35+BS!DH41</f>
        <v>13253</v>
      </c>
      <c r="W10" s="501">
        <f>BS!DM35+BS!DM41</f>
        <v>10883</v>
      </c>
      <c r="X10" s="501">
        <f>BS!DR35+BS!DR41</f>
        <v>21607</v>
      </c>
      <c r="Y10" s="501">
        <f>BS!DW35+BS!DW41</f>
        <v>21607</v>
      </c>
      <c r="Z10" s="501">
        <f>BS!DX35+BS!DX41</f>
        <v>18607</v>
      </c>
      <c r="AA10" s="501">
        <f>BS!DY35+BS!DY41</f>
        <v>18607</v>
      </c>
    </row>
    <row r="11" spans="1:110" ht="11.25" customHeight="1">
      <c r="A11" s="1620" t="s">
        <v>100</v>
      </c>
      <c r="C11" s="45">
        <f>BS!U66</f>
        <v>334.71800000000002</v>
      </c>
      <c r="D11" s="45">
        <f>BS!Y66</f>
        <v>2132.297</v>
      </c>
      <c r="E11" s="45">
        <f>BS!AC66</f>
        <v>8034.2470000000003</v>
      </c>
      <c r="F11" s="45">
        <f>BS!AG66</f>
        <v>11243.914000000001</v>
      </c>
      <c r="G11" s="45">
        <f>BS!AK66</f>
        <v>14218.613000000001</v>
      </c>
      <c r="H11" s="45">
        <f>BS!AO66</f>
        <v>15845.771000000001</v>
      </c>
      <c r="I11" s="45">
        <f>BS!AS66</f>
        <v>24484.774000000001</v>
      </c>
      <c r="J11" s="102">
        <f>BS!BA66</f>
        <v>44626</v>
      </c>
      <c r="K11" s="102">
        <f>BS!BE66</f>
        <v>48088</v>
      </c>
      <c r="L11" s="102">
        <f>BS!BI66</f>
        <v>58717</v>
      </c>
      <c r="M11" s="102">
        <f>BS!BN66</f>
        <v>64395</v>
      </c>
      <c r="N11" s="102">
        <f>BS!BS66</f>
        <v>73066</v>
      </c>
      <c r="O11" s="102">
        <f>BS!BX66</f>
        <v>86333</v>
      </c>
      <c r="P11" s="102">
        <f>BS!CD66</f>
        <v>101871</v>
      </c>
      <c r="Q11" s="102">
        <f>BS!CI66</f>
        <v>109140</v>
      </c>
      <c r="R11" s="102">
        <f>BS!CN66</f>
        <v>119675</v>
      </c>
      <c r="S11" s="102">
        <f>BS!CS66</f>
        <v>136694</v>
      </c>
      <c r="T11" s="102">
        <f>BS!CX66</f>
        <v>139649</v>
      </c>
      <c r="U11" s="102">
        <f>BS!DC66</f>
        <v>113762</v>
      </c>
      <c r="V11" s="102">
        <f>BS!DH66</f>
        <v>110916</v>
      </c>
      <c r="W11" s="102">
        <f>BS!DM66</f>
        <v>95657</v>
      </c>
      <c r="X11" s="102">
        <f ca="1">BS!DR66</f>
        <v>98348.482682274771</v>
      </c>
      <c r="Y11" s="102">
        <f ca="1">BS!DW66</f>
        <v>80552.215656951957</v>
      </c>
      <c r="Z11" s="102">
        <f ca="1">BS!DX66</f>
        <v>64998.80529171518</v>
      </c>
      <c r="AA11" s="102">
        <f ca="1">BS!DY66</f>
        <v>64575.471246096873</v>
      </c>
    </row>
    <row r="12" spans="1:110" ht="11.25" customHeight="1">
      <c r="A12" s="1620" t="s">
        <v>101</v>
      </c>
      <c r="B12" s="31"/>
      <c r="C12" s="315">
        <v>0</v>
      </c>
      <c r="D12" s="315">
        <v>0</v>
      </c>
      <c r="E12" s="3643">
        <v>0</v>
      </c>
      <c r="F12" s="3643">
        <v>1000</v>
      </c>
      <c r="G12" s="3643">
        <v>1000</v>
      </c>
      <c r="H12" s="3643">
        <v>500</v>
      </c>
      <c r="I12" s="3644">
        <f>145</f>
        <v>145</v>
      </c>
      <c r="J12" s="1275">
        <v>145</v>
      </c>
      <c r="K12" s="1275">
        <v>145</v>
      </c>
      <c r="L12" s="1275">
        <v>145</v>
      </c>
      <c r="M12" s="501">
        <f>BS!BN18</f>
        <v>3079</v>
      </c>
      <c r="N12" s="501">
        <f>BS!BS18</f>
        <v>5183</v>
      </c>
      <c r="O12" s="501">
        <f>BS!BX18</f>
        <v>5878</v>
      </c>
      <c r="P12" s="501">
        <f>BS!CD18</f>
        <v>7813</v>
      </c>
      <c r="Q12" s="501">
        <f>BS!CI18</f>
        <v>13859</v>
      </c>
      <c r="R12" s="501">
        <f>BS!CN18</f>
        <v>13078</v>
      </c>
      <c r="S12" s="501">
        <f>BS!CS18</f>
        <v>20703</v>
      </c>
      <c r="T12" s="501">
        <f>BS!CX18</f>
        <v>29549</v>
      </c>
      <c r="U12" s="501">
        <f>BS!DC18</f>
        <v>30492</v>
      </c>
      <c r="V12" s="501">
        <f>BS!DH18</f>
        <v>31008</v>
      </c>
      <c r="W12" s="501">
        <f>BS!DM18</f>
        <v>37982</v>
      </c>
      <c r="X12" s="501">
        <f>BS!DR18</f>
        <v>63800</v>
      </c>
      <c r="Y12" s="501">
        <f>BS!DW18</f>
        <v>63800</v>
      </c>
      <c r="Z12" s="501">
        <f>BS!DX18</f>
        <v>63800</v>
      </c>
      <c r="AA12" s="501">
        <f>BS!DY18</f>
        <v>63800</v>
      </c>
    </row>
    <row r="13" spans="1:110" ht="11.25" customHeight="1">
      <c r="A13" s="1620" t="s">
        <v>183</v>
      </c>
      <c r="B13" s="31"/>
      <c r="C13" s="315">
        <v>0</v>
      </c>
      <c r="D13" s="315">
        <v>0</v>
      </c>
      <c r="E13" s="315">
        <v>0</v>
      </c>
      <c r="F13" s="315">
        <v>0</v>
      </c>
      <c r="G13" s="315">
        <v>0</v>
      </c>
      <c r="H13" s="315">
        <v>0</v>
      </c>
      <c r="I13" s="315">
        <v>0</v>
      </c>
      <c r="J13" s="1424">
        <v>0</v>
      </c>
      <c r="K13" s="1424">
        <v>0</v>
      </c>
      <c r="L13" s="1424">
        <v>0</v>
      </c>
      <c r="M13" s="1424">
        <v>0</v>
      </c>
      <c r="N13" s="1424">
        <v>0</v>
      </c>
      <c r="O13" s="1424">
        <v>0</v>
      </c>
      <c r="P13" s="1424">
        <v>0</v>
      </c>
      <c r="Q13" s="1424">
        <v>0</v>
      </c>
      <c r="R13" s="1424">
        <v>0</v>
      </c>
      <c r="S13" s="1424">
        <v>0</v>
      </c>
      <c r="T13" s="1424">
        <v>0</v>
      </c>
      <c r="U13" s="1424">
        <v>0</v>
      </c>
      <c r="V13" s="1424">
        <v>0</v>
      </c>
      <c r="W13" s="1424">
        <v>0</v>
      </c>
      <c r="X13" s="1424">
        <v>0</v>
      </c>
      <c r="Y13" s="1424">
        <v>0</v>
      </c>
      <c r="Z13" s="1424">
        <v>0</v>
      </c>
      <c r="AA13" s="1424">
        <v>0</v>
      </c>
    </row>
    <row r="14" spans="1:110" s="31" customFormat="1" ht="11.25" customHeight="1">
      <c r="A14" s="3658" t="s">
        <v>99</v>
      </c>
      <c r="B14" s="3659"/>
      <c r="C14" s="3660">
        <f t="shared" ref="C14:M14" si="5">C9+C10-C11-C12+C13</f>
        <v>2174142.9717999999</v>
      </c>
      <c r="D14" s="3660">
        <f t="shared" si="5"/>
        <v>2365998.7222000007</v>
      </c>
      <c r="E14" s="3660">
        <f t="shared" si="5"/>
        <v>3822012.9529999997</v>
      </c>
      <c r="F14" s="3660">
        <f t="shared" si="5"/>
        <v>3811955.8860000004</v>
      </c>
      <c r="G14" s="3660">
        <f t="shared" si="5"/>
        <v>3083639.3870000001</v>
      </c>
      <c r="H14" s="3660">
        <f t="shared" si="5"/>
        <v>3095288.9789999998</v>
      </c>
      <c r="I14" s="3660">
        <f t="shared" si="5"/>
        <v>4324570.7259999998</v>
      </c>
      <c r="J14" s="3661">
        <f>J9+J10-J11-J12+J13</f>
        <v>5587531.0000000009</v>
      </c>
      <c r="K14" s="3661">
        <f>K9+K10-K11-K12+K13</f>
        <v>13581809</v>
      </c>
      <c r="L14" s="3661">
        <f>L9+L10-L11-L12+L13</f>
        <v>8687655.2000000011</v>
      </c>
      <c r="M14" s="3661">
        <f t="shared" si="5"/>
        <v>4609839.0000000009</v>
      </c>
      <c r="N14" s="3661">
        <f t="shared" ref="N14:U14" si="6">N9+N10-N11-N12+N13</f>
        <v>4638895</v>
      </c>
      <c r="O14" s="3661">
        <f t="shared" si="6"/>
        <v>4662924.8</v>
      </c>
      <c r="P14" s="3661">
        <f t="shared" si="6"/>
        <v>4678656.2000000011</v>
      </c>
      <c r="Q14" s="3661">
        <f t="shared" si="6"/>
        <v>4663349.3</v>
      </c>
      <c r="R14" s="4295">
        <f t="shared" si="6"/>
        <v>4621985.2</v>
      </c>
      <c r="S14" s="4295">
        <f t="shared" si="6"/>
        <v>4528323.7</v>
      </c>
      <c r="T14" s="4295">
        <f t="shared" si="6"/>
        <v>4453800.4999999991</v>
      </c>
      <c r="U14" s="4295">
        <f t="shared" si="6"/>
        <v>4344338.7</v>
      </c>
      <c r="V14" s="4295">
        <f t="shared" ref="V14:AA14" si="7">V9+V10-V11-V12+V13</f>
        <v>4196554</v>
      </c>
      <c r="W14" s="4295">
        <f t="shared" si="7"/>
        <v>4109309</v>
      </c>
      <c r="X14" s="4295">
        <f t="shared" ca="1" si="7"/>
        <v>4015999.2039843919</v>
      </c>
      <c r="Y14" s="3649">
        <f t="shared" ca="1" si="7"/>
        <v>4029987.075201991</v>
      </c>
      <c r="Z14" s="3649">
        <f t="shared" ca="1" si="7"/>
        <v>4009542.3147256905</v>
      </c>
      <c r="AA14" s="4295">
        <f t="shared" ca="1" si="7"/>
        <v>3973828.1144070979</v>
      </c>
      <c r="AB14"/>
    </row>
    <row r="15" spans="1:110" s="31" customFormat="1" ht="11.25" customHeight="1">
      <c r="A15" s="1599"/>
      <c r="C15" s="358"/>
      <c r="D15" s="358"/>
      <c r="J15" s="32"/>
      <c r="K15" s="32"/>
      <c r="L15" s="32"/>
      <c r="M15" s="32"/>
      <c r="N15" s="32"/>
      <c r="O15" s="32"/>
      <c r="P15" s="32"/>
      <c r="Q15" s="32"/>
      <c r="R15" s="32"/>
      <c r="S15" s="32"/>
      <c r="T15" s="32"/>
      <c r="U15" s="32"/>
      <c r="V15" s="32"/>
      <c r="W15" s="32"/>
      <c r="X15" s="32"/>
      <c r="Y15" s="32"/>
      <c r="Z15" s="32"/>
      <c r="AA15" s="32"/>
      <c r="AB15"/>
    </row>
    <row r="16" spans="1:110" ht="11.25" customHeight="1">
      <c r="A16" s="3652" t="s">
        <v>764</v>
      </c>
    </row>
    <row r="17" spans="1:31" s="30" customFormat="1" ht="11.25" customHeight="1">
      <c r="A17" s="3224"/>
      <c r="B17" s="3225"/>
      <c r="C17" s="3225"/>
      <c r="D17" s="3225"/>
      <c r="E17" s="3225"/>
      <c r="F17" s="3225"/>
      <c r="G17" s="3225"/>
      <c r="H17" s="3225"/>
      <c r="I17" s="3225"/>
      <c r="J17" s="3115"/>
      <c r="K17" s="3115"/>
      <c r="L17" s="3115"/>
      <c r="M17" s="3115"/>
      <c r="N17" s="3115"/>
      <c r="O17" s="3115"/>
      <c r="P17" s="3115"/>
      <c r="Q17" s="3115"/>
      <c r="R17" s="3115"/>
      <c r="S17" s="3115"/>
      <c r="T17" s="3115"/>
      <c r="U17" s="3115"/>
      <c r="V17" s="3115"/>
      <c r="W17" s="3115"/>
      <c r="X17" s="3115"/>
      <c r="Y17" s="3115"/>
      <c r="Z17" s="3115"/>
      <c r="AA17" s="3115"/>
      <c r="AB17"/>
      <c r="AC17" s="4296" t="s">
        <v>576</v>
      </c>
      <c r="AD17" s="4296" t="s">
        <v>576</v>
      </c>
      <c r="AE17" s="4296" t="s">
        <v>576</v>
      </c>
    </row>
    <row r="18" spans="1:31" s="30" customFormat="1" ht="11.25" customHeight="1">
      <c r="A18" s="3226"/>
      <c r="B18" s="3227"/>
      <c r="C18" s="3228" t="s">
        <v>184</v>
      </c>
      <c r="D18" s="3228" t="s">
        <v>256</v>
      </c>
      <c r="E18" s="3228" t="s">
        <v>266</v>
      </c>
      <c r="F18" s="3228" t="s">
        <v>276</v>
      </c>
      <c r="G18" s="3228" t="s">
        <v>117</v>
      </c>
      <c r="H18" s="3228" t="s">
        <v>143</v>
      </c>
      <c r="I18" s="3228" t="s">
        <v>226</v>
      </c>
      <c r="J18" s="3229" t="str">
        <f t="shared" ref="J18:T18" si="8">J6</f>
        <v>2011E</v>
      </c>
      <c r="K18" s="3229" t="str">
        <f t="shared" si="8"/>
        <v>2012E</v>
      </c>
      <c r="L18" s="3229" t="str">
        <f t="shared" si="8"/>
        <v>2013A</v>
      </c>
      <c r="M18" s="3229" t="str">
        <f t="shared" si="8"/>
        <v>2014A</v>
      </c>
      <c r="N18" s="3229" t="str">
        <f t="shared" si="8"/>
        <v>2015A</v>
      </c>
      <c r="O18" s="3229" t="str">
        <f t="shared" si="8"/>
        <v>2016A</v>
      </c>
      <c r="P18" s="3229" t="str">
        <f t="shared" si="8"/>
        <v>2017A</v>
      </c>
      <c r="Q18" s="3229" t="str">
        <f t="shared" si="8"/>
        <v>2018A</v>
      </c>
      <c r="R18" s="3229" t="str">
        <f t="shared" si="8"/>
        <v>2019A</v>
      </c>
      <c r="S18" s="3229" t="str">
        <f t="shared" si="8"/>
        <v>2020A</v>
      </c>
      <c r="T18" s="3229" t="str">
        <f t="shared" si="8"/>
        <v>2021A</v>
      </c>
      <c r="U18" s="3229" t="str">
        <f t="shared" ref="U18:Z18" si="9">U6</f>
        <v>2022A</v>
      </c>
      <c r="V18" s="3229" t="str">
        <f t="shared" si="9"/>
        <v>2023A</v>
      </c>
      <c r="W18" s="3229" t="str">
        <f t="shared" si="9"/>
        <v>2024A</v>
      </c>
      <c r="X18" s="3229" t="str">
        <f t="shared" si="9"/>
        <v>2025E</v>
      </c>
      <c r="Y18" s="3229" t="str">
        <f t="shared" si="9"/>
        <v>2026E</v>
      </c>
      <c r="Z18" s="3229" t="str">
        <f t="shared" si="9"/>
        <v>2027E</v>
      </c>
      <c r="AA18" s="3229" t="str">
        <f t="shared" ref="AA18" si="10">AA6</f>
        <v>2028E</v>
      </c>
      <c r="AB18"/>
      <c r="AC18" s="3230" t="s">
        <v>1086</v>
      </c>
      <c r="AD18" s="3230" t="s">
        <v>1130</v>
      </c>
      <c r="AE18" s="3230" t="s">
        <v>1173</v>
      </c>
    </row>
    <row r="19" spans="1:31" s="31" customFormat="1" ht="11.25" customHeight="1" thickBot="1">
      <c r="A19" s="1569" t="s">
        <v>485</v>
      </c>
      <c r="B19" s="348"/>
      <c r="C19" s="348">
        <f>IS!Z37</f>
        <v>2.058307811002268E-2</v>
      </c>
      <c r="D19" s="348">
        <f>IS!AE37</f>
        <v>7.3154856932334519E-2</v>
      </c>
      <c r="E19" s="348">
        <f>IS!AJ37</f>
        <v>0.25103268108214599</v>
      </c>
      <c r="F19" s="348">
        <f>IS!AO37</f>
        <v>0.49708607859511517</v>
      </c>
      <c r="G19" s="348">
        <f>IS!AT37</f>
        <v>0.66470304544448311</v>
      </c>
      <c r="H19" s="348">
        <f>IS!AY37</f>
        <v>0.66561794567951804</v>
      </c>
      <c r="I19" s="348">
        <f>IS!BD37</f>
        <v>1.020681148281319</v>
      </c>
      <c r="J19" s="119">
        <f>IS!BN37</f>
        <v>1.4878596641352013</v>
      </c>
      <c r="K19" s="119">
        <f>IS!BX37</f>
        <v>0.80776696107491608</v>
      </c>
      <c r="L19" s="119">
        <f>IS!CH37</f>
        <v>0.95333949216225067</v>
      </c>
      <c r="M19" s="119">
        <f>IS!CM37</f>
        <v>1.0511301614100454</v>
      </c>
      <c r="N19" s="119">
        <f>IS!CR37</f>
        <v>1.1795732036425035</v>
      </c>
      <c r="O19" s="119">
        <f>IS!CW37</f>
        <v>1.3912861775911471</v>
      </c>
      <c r="P19" s="119">
        <f>IS!DB37</f>
        <v>0.8998214854232045</v>
      </c>
      <c r="Q19" s="119">
        <f>IS!DG37</f>
        <v>2.1851746394330318</v>
      </c>
      <c r="R19" s="119">
        <f>IS!DL37</f>
        <v>2.4581404653739534</v>
      </c>
      <c r="S19" s="119">
        <f>IS!DQ37</f>
        <v>2.9306676477041864</v>
      </c>
      <c r="T19" s="119">
        <f>IS!DV37</f>
        <v>5.6098528237223304</v>
      </c>
      <c r="U19" s="119">
        <f>IS!EA37</f>
        <v>4.5576606157006436</v>
      </c>
      <c r="V19" s="119">
        <f>IS!EF37</f>
        <v>5.8009236513707378</v>
      </c>
      <c r="W19" s="119">
        <f>IS!EK37</f>
        <v>8.0433830765831811</v>
      </c>
      <c r="X19" s="119">
        <f ca="1">IS!EP37</f>
        <v>10.592600448367341</v>
      </c>
      <c r="Y19" s="119">
        <f ca="1">IS!EU37</f>
        <v>11.07634799455249</v>
      </c>
      <c r="Z19" s="119">
        <f ca="1">IS!EV37</f>
        <v>12.427235330968529</v>
      </c>
      <c r="AA19" s="119">
        <f ca="1">IS!EW37</f>
        <v>14.223395842785607</v>
      </c>
      <c r="AB19"/>
      <c r="AC19" s="1330">
        <f ca="1">(Y19/V19)^(1/3)-1</f>
        <v>0.24060391526860525</v>
      </c>
      <c r="AD19" s="1330">
        <f ca="1">(Z19/W19)^(1/3)-1</f>
        <v>0.15605524872073562</v>
      </c>
      <c r="AE19" s="1330">
        <f ca="1">(AA19/X19)^(1/3)-1</f>
        <v>0.10323213096177208</v>
      </c>
    </row>
    <row r="20" spans="1:31" s="31" customFormat="1" ht="11.25" customHeight="1">
      <c r="A20" s="4198" t="s">
        <v>956</v>
      </c>
      <c r="B20" s="4199"/>
      <c r="C20" s="4199">
        <f t="shared" ref="C20:M20" si="11">+C7/C19</f>
        <v>20117.98224670604</v>
      </c>
      <c r="D20" s="4199">
        <f t="shared" si="11"/>
        <v>5660.4580661406744</v>
      </c>
      <c r="E20" s="4199">
        <f t="shared" si="11"/>
        <v>2509.6333962741833</v>
      </c>
      <c r="F20" s="4199">
        <f t="shared" si="11"/>
        <v>1227.1516469018943</v>
      </c>
      <c r="G20" s="4199">
        <f t="shared" si="11"/>
        <v>737.17128777759672</v>
      </c>
      <c r="H20" s="4199">
        <f t="shared" si="11"/>
        <v>736.15803657422032</v>
      </c>
      <c r="I20" s="4199">
        <f t="shared" si="11"/>
        <v>661.32307933442632</v>
      </c>
      <c r="J20" s="4200">
        <f>+J7/J19</f>
        <v>578.01150251617548</v>
      </c>
      <c r="K20" s="4200">
        <f>+K7/K19</f>
        <v>1268.9303343578281</v>
      </c>
      <c r="L20" s="4200">
        <f>+L7/L19</f>
        <v>676.5690557275542</v>
      </c>
      <c r="M20" s="4200">
        <f t="shared" si="11"/>
        <v>323.46136804209362</v>
      </c>
      <c r="N20" s="4200">
        <f t="shared" ref="N20:U20" si="12">+N7/N19</f>
        <v>288.23984721769313</v>
      </c>
      <c r="O20" s="4197">
        <f t="shared" si="12"/>
        <v>244.37819154407981</v>
      </c>
      <c r="P20" s="4197">
        <f t="shared" si="12"/>
        <v>377.852724688043</v>
      </c>
      <c r="Q20" s="4197">
        <f t="shared" si="12"/>
        <v>155.59397123893805</v>
      </c>
      <c r="R20" s="4197">
        <f t="shared" si="12"/>
        <v>138.31593628978248</v>
      </c>
      <c r="S20" s="4197">
        <f t="shared" si="12"/>
        <v>116.01451985398198</v>
      </c>
      <c r="T20" s="4197">
        <f t="shared" si="12"/>
        <v>60.607650625386334</v>
      </c>
      <c r="U20" s="4197">
        <f t="shared" si="12"/>
        <v>74.599674848262524</v>
      </c>
      <c r="V20" s="4197">
        <f t="shared" ref="V20:AA20" si="13">+V7/V19</f>
        <v>58.611355782912121</v>
      </c>
      <c r="W20" s="4197">
        <f t="shared" si="13"/>
        <v>42.27077049082083</v>
      </c>
      <c r="X20" s="4197">
        <f t="shared" ca="1" si="13"/>
        <v>32.097878293181999</v>
      </c>
      <c r="Y20" s="4197">
        <f t="shared" ca="1" si="13"/>
        <v>30.696038095518212</v>
      </c>
      <c r="Z20" s="5086">
        <f t="shared" ca="1" si="13"/>
        <v>27.359263017472912</v>
      </c>
      <c r="AA20" s="4197">
        <f t="shared" ca="1" si="13"/>
        <v>23.904277414345806</v>
      </c>
      <c r="AB20"/>
    </row>
    <row r="21" spans="1:31" s="31" customFormat="1" ht="11.25" customHeight="1" thickBot="1">
      <c r="A21" s="4198" t="s">
        <v>955</v>
      </c>
      <c r="B21" s="4199"/>
      <c r="C21" s="4199">
        <f t="shared" ref="C21:U21" si="14">(C$9-C$11)/C$8/C19</f>
        <v>20114.88547969241</v>
      </c>
      <c r="D21" s="4199">
        <f t="shared" si="14"/>
        <v>5655.3613136150761</v>
      </c>
      <c r="E21" s="4199">
        <f t="shared" si="14"/>
        <v>2504.3689664820085</v>
      </c>
      <c r="F21" s="4199">
        <f t="shared" si="14"/>
        <v>1223.5435750687429</v>
      </c>
      <c r="G21" s="4199">
        <f t="shared" si="14"/>
        <v>733.78889553644808</v>
      </c>
      <c r="H21" s="4199">
        <f t="shared" si="14"/>
        <v>732.40920594190879</v>
      </c>
      <c r="I21" s="4199">
        <f t="shared" si="14"/>
        <v>657.60001663853814</v>
      </c>
      <c r="J21" s="4200">
        <f t="shared" si="14"/>
        <v>573.42836602649697</v>
      </c>
      <c r="K21" s="4200">
        <f t="shared" si="14"/>
        <v>1264.451615907609</v>
      </c>
      <c r="L21" s="4200">
        <f t="shared" si="14"/>
        <v>672.02439628482978</v>
      </c>
      <c r="M21" s="4200">
        <f t="shared" si="14"/>
        <v>319.00311548047642</v>
      </c>
      <c r="N21" s="4200">
        <f t="shared" si="14"/>
        <v>283.77022235175554</v>
      </c>
      <c r="O21" s="4197">
        <f t="shared" si="14"/>
        <v>239.93765044748483</v>
      </c>
      <c r="P21" s="4197">
        <f t="shared" si="14"/>
        <v>369.80731322066032</v>
      </c>
      <c r="Q21" s="4197">
        <f t="shared" si="14"/>
        <v>152.04308628318586</v>
      </c>
      <c r="R21" s="4197">
        <f t="shared" si="14"/>
        <v>134.8312378068311</v>
      </c>
      <c r="S21" s="4197">
        <f t="shared" si="14"/>
        <v>112.61999801336016</v>
      </c>
      <c r="T21" s="4197">
        <f t="shared" si="14"/>
        <v>58.770961293122703</v>
      </c>
      <c r="U21" s="4197">
        <f t="shared" si="14"/>
        <v>72.702756286266933</v>
      </c>
      <c r="V21" s="4197">
        <f t="shared" ref="V21:AA21" si="15">(V$9-V$11)/V$8/V19</f>
        <v>57.108327122433771</v>
      </c>
      <c r="W21" s="4197">
        <f t="shared" si="15"/>
        <v>41.315327913062582</v>
      </c>
      <c r="X21" s="4197">
        <f t="shared" ca="1" si="15"/>
        <v>31.338405966210427</v>
      </c>
      <c r="Y21" s="4197">
        <f t="shared" ca="1" si="15"/>
        <v>30.100614719461198</v>
      </c>
      <c r="Z21" s="4850">
        <f t="shared" ca="1" si="15"/>
        <v>26.927604236107179</v>
      </c>
      <c r="AA21" s="4197">
        <f t="shared" ca="1" si="15"/>
        <v>23.526269952920252</v>
      </c>
      <c r="AB21"/>
    </row>
    <row r="22" spans="1:31" s="31" customFormat="1" ht="11.25" customHeight="1">
      <c r="A22" s="1595"/>
      <c r="B22" s="363"/>
      <c r="C22" s="364"/>
      <c r="D22" s="364"/>
      <c r="I22" s="317"/>
      <c r="J22" s="119"/>
      <c r="K22" s="118"/>
      <c r="L22" s="174"/>
      <c r="M22" s="32"/>
      <c r="N22" s="32"/>
      <c r="O22" s="32"/>
      <c r="P22" s="32"/>
      <c r="Q22" s="32"/>
      <c r="R22" s="32"/>
      <c r="S22" s="32"/>
      <c r="T22" s="32"/>
      <c r="U22" s="32"/>
      <c r="V22" s="32"/>
      <c r="W22" s="32"/>
      <c r="X22" s="32"/>
      <c r="Y22" s="32"/>
      <c r="Z22" s="32"/>
      <c r="AA22" s="32"/>
      <c r="AB22"/>
    </row>
    <row r="23" spans="1:31" s="31" customFormat="1" ht="11.25" customHeight="1" thickBot="1">
      <c r="A23" s="1595" t="s">
        <v>987</v>
      </c>
      <c r="B23" s="363"/>
      <c r="C23" s="364"/>
      <c r="D23" s="364"/>
      <c r="I23" s="317"/>
      <c r="J23" s="119"/>
      <c r="K23" s="118"/>
      <c r="L23" s="174"/>
      <c r="M23" s="119">
        <f>+'Segment As Reported'!CM205</f>
        <v>1.1966029662188713</v>
      </c>
      <c r="N23" s="119">
        <f>+'Segment As Reported'!CR205</f>
        <v>1.4672646010419521</v>
      </c>
      <c r="O23" s="119">
        <f>+'Segment As Reported'!CW205</f>
        <v>1.6927005063646228</v>
      </c>
      <c r="P23" s="119">
        <f>+'Segment As Reported'!DB205</f>
        <v>1.3362299313230543</v>
      </c>
      <c r="Q23" s="119">
        <f>+'Segment As Reported'!DG205</f>
        <v>2.9860593450945725</v>
      </c>
      <c r="R23" s="119">
        <f>+'Segment As Reported'!DL205</f>
        <v>3.1827060516937431</v>
      </c>
      <c r="S23" s="119">
        <f>+'Segment As Reported'!DQ205</f>
        <v>3.4965108760162891</v>
      </c>
      <c r="T23" s="119">
        <f>T19-'Segment As Reported'!DV123</f>
        <v>5.2268514163341884</v>
      </c>
      <c r="U23" s="119">
        <f>U19-'Segment As Reported'!EA123</f>
        <v>5.1119029099430371</v>
      </c>
      <c r="V23" s="119">
        <f>V19-'Segment As Reported'!EF123</f>
        <v>6.0718089810356686</v>
      </c>
      <c r="W23" s="119">
        <f>W19-'Segment As Reported'!EK123</f>
        <v>8.0845166603064929</v>
      </c>
      <c r="X23" s="119">
        <f ca="1">X19-'Segment As Reported'!EP123</f>
        <v>9.2821977396516075</v>
      </c>
      <c r="Y23" s="119">
        <f ca="1">Y19-'Segment As Reported'!EU123</f>
        <v>11.538780279154679</v>
      </c>
      <c r="Z23" s="119">
        <f ca="1">Z19-'Segment As Reported'!EV123</f>
        <v>12.902367619602485</v>
      </c>
      <c r="AA23" s="119">
        <f ca="1">AA19-'Segment As Reported'!EW123</f>
        <v>14.570720047186978</v>
      </c>
      <c r="AB23"/>
      <c r="AC23" s="1330">
        <f ca="1">(Y23/V23)^(1/3)-1</f>
        <v>0.23864618052141839</v>
      </c>
      <c r="AD23" s="1330">
        <f ca="1">(Z23/W23)^(1/3)-1</f>
        <v>0.16861588081651924</v>
      </c>
      <c r="AE23" s="1330">
        <f ca="1">(AA23/X23)^(1/3)-1</f>
        <v>0.16218892533452989</v>
      </c>
    </row>
    <row r="24" spans="1:31" s="31" customFormat="1" ht="11.25" customHeight="1">
      <c r="A24" s="4198" t="s">
        <v>954</v>
      </c>
      <c r="B24" s="4201"/>
      <c r="C24" s="723"/>
      <c r="D24" s="723"/>
      <c r="E24" s="2525"/>
      <c r="F24" s="2525"/>
      <c r="G24" s="2525"/>
      <c r="H24" s="2525"/>
      <c r="I24" s="3870"/>
      <c r="J24" s="4202"/>
      <c r="K24" s="4202"/>
      <c r="L24" s="1114"/>
      <c r="M24" s="4197">
        <f t="shared" ref="M24:U24" si="16">+M7/M23</f>
        <v>284.13768776987172</v>
      </c>
      <c r="N24" s="4197">
        <f t="shared" si="16"/>
        <v>231.72371210929165</v>
      </c>
      <c r="O24" s="4197">
        <f t="shared" si="16"/>
        <v>200.86246723598543</v>
      </c>
      <c r="P24" s="4197">
        <f t="shared" si="16"/>
        <v>254.44722650640858</v>
      </c>
      <c r="Q24" s="4197">
        <f t="shared" si="16"/>
        <v>113.86243898954785</v>
      </c>
      <c r="R24" s="4197">
        <f t="shared" si="16"/>
        <v>106.82733324337696</v>
      </c>
      <c r="S24" s="4197">
        <f t="shared" si="16"/>
        <v>97.239794771459501</v>
      </c>
      <c r="T24" s="4197">
        <f t="shared" si="16"/>
        <v>65.048721097653925</v>
      </c>
      <c r="U24" s="4197">
        <f t="shared" si="16"/>
        <v>66.511435367575999</v>
      </c>
      <c r="V24" s="4197">
        <f t="shared" ref="V24:AA24" si="17">+V7/V23</f>
        <v>55.996491500627904</v>
      </c>
      <c r="W24" s="4197">
        <f t="shared" si="17"/>
        <v>42.055699095697108</v>
      </c>
      <c r="X24" s="4197">
        <f t="shared" ca="1" si="17"/>
        <v>36.629256296447025</v>
      </c>
      <c r="Y24" s="4197">
        <f t="shared" ca="1" si="17"/>
        <v>29.465852696252927</v>
      </c>
      <c r="Z24" s="4849">
        <f t="shared" ca="1" si="17"/>
        <v>26.351752641386543</v>
      </c>
      <c r="AA24" s="4197">
        <f t="shared" ca="1" si="17"/>
        <v>23.334467953465374</v>
      </c>
      <c r="AB24"/>
    </row>
    <row r="25" spans="1:31" s="31" customFormat="1" ht="11.25" customHeight="1" thickBot="1">
      <c r="A25" s="4198" t="s">
        <v>953</v>
      </c>
      <c r="B25" s="4199"/>
      <c r="C25" s="4199"/>
      <c r="D25" s="4199"/>
      <c r="E25" s="4199"/>
      <c r="F25" s="4199"/>
      <c r="G25" s="4199"/>
      <c r="H25" s="4199"/>
      <c r="I25" s="4199"/>
      <c r="J25" s="4200"/>
      <c r="K25" s="4200"/>
      <c r="L25" s="4200"/>
      <c r="M25" s="4200">
        <f t="shared" ref="M25:V25" si="18">(M$9-M$11)/M$8/M23</f>
        <v>280.2214316122363</v>
      </c>
      <c r="N25" s="4200">
        <f t="shared" si="18"/>
        <v>228.13046129519162</v>
      </c>
      <c r="O25" s="4197">
        <f t="shared" si="18"/>
        <v>197.21264056819143</v>
      </c>
      <c r="P25" s="4197">
        <f t="shared" si="18"/>
        <v>249.02942083710053</v>
      </c>
      <c r="Q25" s="4197">
        <f t="shared" si="18"/>
        <v>111.26392943025165</v>
      </c>
      <c r="R25" s="4197">
        <f t="shared" si="18"/>
        <v>104.1359510637341</v>
      </c>
      <c r="S25" s="4197">
        <f t="shared" si="18"/>
        <v>94.394611189742733</v>
      </c>
      <c r="T25" s="4197">
        <f t="shared" si="18"/>
        <v>63.077446994720624</v>
      </c>
      <c r="U25" s="4197">
        <f t="shared" si="18"/>
        <v>64.820184345499143</v>
      </c>
      <c r="V25" s="4197">
        <f t="shared" si="18"/>
        <v>54.560518377545606</v>
      </c>
      <c r="W25" s="4197">
        <f>(W$9-W$11)/W$8/W23</f>
        <v>41.105117758123825</v>
      </c>
      <c r="X25" s="4197">
        <f ca="1">(X$9-X$11)/X$8/X23</f>
        <v>35.762566409327292</v>
      </c>
      <c r="Y25" s="4197">
        <f ca="1">(Y$9-Y$11)/Y$8/Y23</f>
        <v>28.894291720331307</v>
      </c>
      <c r="Z25" s="4850">
        <f ca="1">(Z$9-Z$11)/Z$8/Z23</f>
        <v>25.9359897816645</v>
      </c>
      <c r="AA25" s="4197">
        <f ca="1">(AA$9-AA$11)/AA$8/AA23</f>
        <v>22.965471106503088</v>
      </c>
      <c r="AB25"/>
    </row>
    <row r="26" spans="1:31" s="31" customFormat="1" ht="11.25" customHeight="1">
      <c r="A26" s="1621"/>
      <c r="B26" s="361"/>
      <c r="C26" s="361"/>
      <c r="D26" s="361"/>
      <c r="E26" s="361"/>
      <c r="F26" s="361"/>
      <c r="G26" s="361"/>
      <c r="H26" s="361"/>
      <c r="I26" s="4"/>
      <c r="J26" s="174"/>
      <c r="K26" s="174"/>
      <c r="L26" s="119"/>
      <c r="M26" s="119"/>
      <c r="N26" s="119"/>
      <c r="O26" s="119"/>
      <c r="P26" s="119"/>
      <c r="Q26" s="119"/>
      <c r="R26" s="119"/>
      <c r="S26" s="119"/>
      <c r="T26" s="119"/>
      <c r="U26" s="119"/>
      <c r="V26" s="119"/>
      <c r="W26" s="119"/>
      <c r="X26" s="119"/>
      <c r="Y26" s="119"/>
      <c r="Z26" s="119"/>
      <c r="AA26" s="119"/>
      <c r="AB26"/>
    </row>
    <row r="27" spans="1:31" s="31" customFormat="1" ht="11.25" customHeight="1">
      <c r="A27" s="1569" t="s">
        <v>663</v>
      </c>
      <c r="B27" s="348"/>
      <c r="C27" s="348">
        <f>IS!Z51</f>
        <v>6.5268783266702532E-2</v>
      </c>
      <c r="D27" s="348">
        <f>IS!AE51</f>
        <v>0.12182647856138684</v>
      </c>
      <c r="E27" s="348">
        <f>IS!AJ51</f>
        <v>0.28175865078651308</v>
      </c>
      <c r="F27" s="348">
        <f>IS!AO51</f>
        <v>0.53000660639608976</v>
      </c>
      <c r="G27" s="348">
        <f>IS!AT51</f>
        <v>0.77943961291546759</v>
      </c>
      <c r="H27" s="348">
        <f>IS!AY51</f>
        <v>0.97453165414096254</v>
      </c>
      <c r="I27" s="348">
        <f>IS!BD51</f>
        <v>1.1609439399655306</v>
      </c>
      <c r="J27" s="119">
        <f>IS!BN51</f>
        <v>1.8027902143850372</v>
      </c>
      <c r="K27" s="119">
        <f>IS!BX51</f>
        <v>1.018266351694979</v>
      </c>
      <c r="L27" s="119">
        <f>IS!CH51</f>
        <v>1.1799420912667609</v>
      </c>
      <c r="M27" s="119">
        <f>IS!CM51</f>
        <v>1.2795639454495173</v>
      </c>
      <c r="N27" s="119">
        <f>IS!CR51</f>
        <v>1.4744803371191897</v>
      </c>
      <c r="O27" s="119">
        <f>IS!CW51</f>
        <v>1.7171027585279075</v>
      </c>
      <c r="P27" s="119">
        <f>IS!DB51</f>
        <v>2.2543083481570401</v>
      </c>
      <c r="Q27" s="119">
        <f>IS!DG51</f>
        <v>2.7695664703479905</v>
      </c>
      <c r="R27" s="119">
        <f>IS!DL51</f>
        <v>3.0580217392275988</v>
      </c>
      <c r="S27" s="119">
        <f>IS!DQ51</f>
        <v>3.4308801359615178</v>
      </c>
      <c r="T27" s="119">
        <f>IS!DV51</f>
        <v>5.9085878348435399</v>
      </c>
      <c r="U27" s="119">
        <f>IS!EA51</f>
        <v>6.155375276142582</v>
      </c>
      <c r="V27" s="119">
        <f>IS!EF51</f>
        <v>7.4910417045299527</v>
      </c>
      <c r="W27" s="119">
        <f>IS!EK51</f>
        <v>9.3797173248053785</v>
      </c>
      <c r="X27" s="119">
        <f ca="1">IS!EP51</f>
        <v>10.90724864669261</v>
      </c>
      <c r="Y27" s="119">
        <f ca="1">IS!EU51</f>
        <v>13.05069948231038</v>
      </c>
      <c r="Z27" s="119">
        <f ca="1">IS!EV51</f>
        <v>14.575347351556536</v>
      </c>
      <c r="AA27" s="119">
        <f ca="1">IS!EW51</f>
        <v>16.554798451543494</v>
      </c>
      <c r="AB27"/>
      <c r="AC27" s="1330">
        <f ca="1">(Y27/V27)^(1/3)-1</f>
        <v>0.2032721310477632</v>
      </c>
      <c r="AD27" s="1330">
        <f ca="1">(Z27/W27)^(1/3)-1</f>
        <v>0.15826976817729421</v>
      </c>
      <c r="AE27" s="1330">
        <f ca="1">(AA27/X27)^(1/3)-1</f>
        <v>0.14921925707975525</v>
      </c>
    </row>
    <row r="28" spans="1:31" s="31" customFormat="1" ht="11.25" customHeight="1">
      <c r="A28" s="4198" t="s">
        <v>957</v>
      </c>
      <c r="B28" s="4199"/>
      <c r="C28" s="4199">
        <f t="shared" ref="C28:M28" si="19">+C7/C27</f>
        <v>6344.3805641042463</v>
      </c>
      <c r="D28" s="4199">
        <f t="shared" si="19"/>
        <v>3399.0147699405529</v>
      </c>
      <c r="E28" s="4199">
        <f t="shared" si="19"/>
        <v>2235.9561924412656</v>
      </c>
      <c r="F28" s="4199">
        <f t="shared" si="19"/>
        <v>1150.9290500128761</v>
      </c>
      <c r="G28" s="4199">
        <f t="shared" si="19"/>
        <v>628.65678351549457</v>
      </c>
      <c r="H28" s="4199">
        <f t="shared" si="19"/>
        <v>502.80562762420362</v>
      </c>
      <c r="I28" s="4199">
        <f t="shared" si="19"/>
        <v>581.42342344285919</v>
      </c>
      <c r="J28" s="4197">
        <f>+J7/J27</f>
        <v>477.03831157823367</v>
      </c>
      <c r="K28" s="4197">
        <f>+K7/K27</f>
        <v>1006.6128555596601</v>
      </c>
      <c r="L28" s="4197">
        <f>+L7/L27</f>
        <v>546.63699581014328</v>
      </c>
      <c r="M28" s="4197">
        <f t="shared" si="19"/>
        <v>265.71552067337774</v>
      </c>
      <c r="N28" s="4197">
        <f t="shared" ref="N28:U28" si="20">+N7/N27</f>
        <v>230.58971451886921</v>
      </c>
      <c r="O28" s="4197">
        <f t="shared" si="20"/>
        <v>198.00795165659511</v>
      </c>
      <c r="P28" s="4197">
        <f t="shared" si="20"/>
        <v>150.82231331750134</v>
      </c>
      <c r="Q28" s="4197">
        <f t="shared" si="20"/>
        <v>122.76289579620729</v>
      </c>
      <c r="R28" s="4197">
        <f t="shared" si="20"/>
        <v>111.18298985208584</v>
      </c>
      <c r="S28" s="4197">
        <f t="shared" si="20"/>
        <v>99.099935446947242</v>
      </c>
      <c r="T28" s="4197">
        <f t="shared" si="20"/>
        <v>57.54336052939513</v>
      </c>
      <c r="U28" s="4197">
        <f t="shared" si="20"/>
        <v>55.23627475936275</v>
      </c>
      <c r="V28" s="4197">
        <f t="shared" ref="V28:AA28" si="21">+V7/V27</f>
        <v>45.387546006371394</v>
      </c>
      <c r="W28" s="4197">
        <f t="shared" si="21"/>
        <v>36.248427135521879</v>
      </c>
      <c r="X28" s="4197">
        <f t="shared" ca="1" si="21"/>
        <v>31.171930796965718</v>
      </c>
      <c r="Y28" s="4197">
        <f t="shared" ca="1" si="21"/>
        <v>26.052243441882506</v>
      </c>
      <c r="Z28" s="4197">
        <f t="shared" ca="1" si="21"/>
        <v>23.327059849705098</v>
      </c>
      <c r="AA28" s="4197">
        <f t="shared" ca="1" si="21"/>
        <v>20.537851970544526</v>
      </c>
      <c r="AB28"/>
    </row>
    <row r="29" spans="1:31" s="31" customFormat="1" ht="11.25" customHeight="1">
      <c r="A29" s="1595"/>
      <c r="B29" s="363"/>
      <c r="C29" s="364"/>
      <c r="D29" s="364"/>
      <c r="I29" s="317"/>
      <c r="J29" s="119"/>
      <c r="K29" s="118"/>
      <c r="L29" s="174"/>
      <c r="M29" s="32"/>
      <c r="N29" s="32"/>
      <c r="O29" s="32"/>
      <c r="P29" s="32"/>
      <c r="Q29" s="32"/>
      <c r="R29" s="32"/>
      <c r="S29" s="32"/>
      <c r="T29" s="32"/>
      <c r="U29" s="32"/>
      <c r="V29" s="32"/>
      <c r="W29" s="32"/>
      <c r="X29" s="32"/>
      <c r="Y29" s="32"/>
      <c r="Z29" s="32"/>
      <c r="AA29" s="32"/>
      <c r="AB29"/>
    </row>
    <row r="30" spans="1:31" s="31" customFormat="1" ht="11.25" customHeight="1">
      <c r="A30" s="1595" t="s">
        <v>54</v>
      </c>
      <c r="B30" s="37"/>
      <c r="C30" s="365">
        <f>IS!Z57</f>
        <v>638.49199999999996</v>
      </c>
      <c r="D30" s="365">
        <f>IS!AE57</f>
        <v>1279.7550000000001</v>
      </c>
      <c r="E30" s="366">
        <f>IS!AJ57</f>
        <v>2623.8399999999997</v>
      </c>
      <c r="F30" s="365">
        <f>IS!AO57</f>
        <v>4620.835</v>
      </c>
      <c r="G30" s="365">
        <f>IS!AT57</f>
        <v>6920.6990000000005</v>
      </c>
      <c r="H30" s="365">
        <f>IS!AY57</f>
        <v>9346.7219999999998</v>
      </c>
      <c r="I30" s="365">
        <f>IS!BD57</f>
        <v>11000.547999999999</v>
      </c>
      <c r="J30" s="367">
        <f>IS!BN57</f>
        <v>16067</v>
      </c>
      <c r="K30" s="368">
        <f>IS!BX57</f>
        <v>19270</v>
      </c>
      <c r="L30" s="367">
        <f>IS!CH57</f>
        <v>22469</v>
      </c>
      <c r="M30" s="367">
        <f>IS!CM57</f>
        <v>25650</v>
      </c>
      <c r="N30" s="367">
        <f>IS!CR57</f>
        <v>29626</v>
      </c>
      <c r="O30" s="367">
        <f>IS!CW57</f>
        <v>36563</v>
      </c>
      <c r="P30" s="367">
        <f>IS!DB57</f>
        <v>43476</v>
      </c>
      <c r="Q30" s="367">
        <f>IS!DG57</f>
        <v>50983</v>
      </c>
      <c r="R30" s="367">
        <f>IS!DL57</f>
        <v>58503</v>
      </c>
      <c r="S30" s="367">
        <f>IS!DQ57</f>
        <v>67912</v>
      </c>
      <c r="T30" s="367">
        <f>IS!DV57</f>
        <v>106531</v>
      </c>
      <c r="U30" s="367">
        <f>IS!EA57</f>
        <v>110132</v>
      </c>
      <c r="V30" s="367">
        <f>IS!EF57</f>
        <v>120452</v>
      </c>
      <c r="W30" s="367">
        <f>IS!EK57</f>
        <v>150486</v>
      </c>
      <c r="X30" s="367">
        <f>IS!EP57</f>
        <v>179837.73143902302</v>
      </c>
      <c r="Y30" s="367">
        <f>IS!EU57</f>
        <v>225088.92135393832</v>
      </c>
      <c r="Z30" s="367">
        <f>IS!EV57</f>
        <v>260204.32088621851</v>
      </c>
      <c r="AA30" s="367">
        <f>IS!EW57</f>
        <v>293745.73625728517</v>
      </c>
      <c r="AB30"/>
      <c r="AC30" s="1330">
        <f>(Y30/V30)^(1/3)-1</f>
        <v>0.23172389928858173</v>
      </c>
      <c r="AD30" s="1330">
        <f>(Z30/W30)^(1/3)-1</f>
        <v>0.20025300465635598</v>
      </c>
      <c r="AE30" s="1330">
        <f>(AA30/X30)^(1/3)-1</f>
        <v>0.17768800581139588</v>
      </c>
    </row>
    <row r="31" spans="1:31" s="31" customFormat="1" ht="11.25" customHeight="1">
      <c r="A31" s="4198" t="s">
        <v>486</v>
      </c>
      <c r="B31" s="4199"/>
      <c r="C31" s="4199">
        <f t="shared" ref="C31:T31" si="22">C14/C30</f>
        <v>3405.1217114701517</v>
      </c>
      <c r="D31" s="4199">
        <f t="shared" si="22"/>
        <v>1848.7903717508432</v>
      </c>
      <c r="E31" s="4199">
        <f t="shared" si="22"/>
        <v>1456.6486344441735</v>
      </c>
      <c r="F31" s="4199">
        <f t="shared" si="22"/>
        <v>824.94957859347937</v>
      </c>
      <c r="G31" s="4199">
        <f t="shared" si="22"/>
        <v>445.56762069842944</v>
      </c>
      <c r="H31" s="4199">
        <f t="shared" si="22"/>
        <v>331.16305149548685</v>
      </c>
      <c r="I31" s="4199">
        <f t="shared" si="22"/>
        <v>393.12320858924483</v>
      </c>
      <c r="J31" s="4197">
        <f t="shared" si="22"/>
        <v>347.76442397460642</v>
      </c>
      <c r="K31" s="4197">
        <f t="shared" si="22"/>
        <v>704.81624286455633</v>
      </c>
      <c r="L31" s="4197">
        <f t="shared" si="22"/>
        <v>386.65072766923322</v>
      </c>
      <c r="M31" s="4197">
        <f t="shared" si="22"/>
        <v>179.72081871345034</v>
      </c>
      <c r="N31" s="4197">
        <f t="shared" si="22"/>
        <v>156.58188753122258</v>
      </c>
      <c r="O31" s="4197">
        <f t="shared" si="22"/>
        <v>127.53124196592182</v>
      </c>
      <c r="P31" s="4197">
        <f t="shared" si="22"/>
        <v>107.61468856380534</v>
      </c>
      <c r="Q31" s="4197">
        <f t="shared" si="22"/>
        <v>91.468711139007112</v>
      </c>
      <c r="R31" s="4197">
        <f t="shared" si="22"/>
        <v>79.004242517477735</v>
      </c>
      <c r="S31" s="4197">
        <f t="shared" si="22"/>
        <v>66.679286429496997</v>
      </c>
      <c r="T31" s="4197">
        <f t="shared" si="22"/>
        <v>41.807553669823797</v>
      </c>
      <c r="U31" s="4197">
        <f t="shared" ref="U31:Z31" si="23">U14/U30</f>
        <v>39.446652199179169</v>
      </c>
      <c r="V31" s="4197">
        <f t="shared" si="23"/>
        <v>34.84005246903331</v>
      </c>
      <c r="W31" s="4197">
        <f t="shared" si="23"/>
        <v>27.306918916045348</v>
      </c>
      <c r="X31" s="4197">
        <f t="shared" ca="1" si="23"/>
        <v>22.331238121439956</v>
      </c>
      <c r="Y31" s="4197">
        <f t="shared" ca="1" si="23"/>
        <v>17.903977907758005</v>
      </c>
      <c r="Z31" s="4197">
        <f t="shared" ca="1" si="23"/>
        <v>15.409207276304121</v>
      </c>
      <c r="AA31" s="4197">
        <f t="shared" ref="AA31" ca="1" si="24">AA14/AA30</f>
        <v>13.528121854768004</v>
      </c>
      <c r="AB31"/>
    </row>
    <row r="32" spans="1:31" s="31" customFormat="1" ht="11.25" customHeight="1">
      <c r="A32" s="1597"/>
      <c r="B32" s="360"/>
      <c r="C32" s="360"/>
      <c r="D32" s="360"/>
      <c r="E32" s="4"/>
      <c r="F32" s="4"/>
      <c r="G32" s="4"/>
      <c r="H32" s="4"/>
      <c r="I32" s="4"/>
      <c r="J32" s="174"/>
      <c r="K32" s="174"/>
      <c r="L32" s="174"/>
      <c r="M32" s="174"/>
      <c r="N32" s="174"/>
      <c r="O32" s="174"/>
      <c r="P32" s="174"/>
      <c r="Q32" s="174"/>
      <c r="R32" s="174"/>
      <c r="S32" s="174"/>
      <c r="T32" s="174"/>
      <c r="U32" s="174"/>
      <c r="V32" s="174"/>
      <c r="W32" s="174"/>
      <c r="X32" s="174"/>
      <c r="Y32" s="174"/>
      <c r="Z32" s="4738"/>
      <c r="AA32" s="174"/>
      <c r="AB32"/>
    </row>
    <row r="33" spans="1:31" s="358" customFormat="1" ht="11.25" customHeight="1">
      <c r="A33" s="1622" t="s">
        <v>487</v>
      </c>
      <c r="C33" s="358">
        <f>CF!L83</f>
        <v>218.64399999999995</v>
      </c>
      <c r="D33" s="358">
        <f>CF!Q83</f>
        <v>658.04900000000009</v>
      </c>
      <c r="E33" s="369">
        <f>CF!V83</f>
        <v>1621.2049999999995</v>
      </c>
      <c r="F33" s="358">
        <f>CF!AA83</f>
        <v>1677.7099999999998</v>
      </c>
      <c r="G33" s="358">
        <f>CF!AF83</f>
        <v>3372.5699999999997</v>
      </c>
      <c r="H33" s="358">
        <f>CF!AK83</f>
        <v>5494.3950000000004</v>
      </c>
      <c r="I33" s="358">
        <f>CF!AP83</f>
        <v>8506.3099999999977</v>
      </c>
      <c r="J33" s="370">
        <f>CF!AZ83</f>
        <v>11127</v>
      </c>
      <c r="K33" s="359">
        <f>CF!BE83</f>
        <v>13945</v>
      </c>
      <c r="L33" s="359">
        <f>CF!BJ83</f>
        <v>11271</v>
      </c>
      <c r="M33" s="359">
        <f>CF!BO83</f>
        <v>11109.125400000001</v>
      </c>
      <c r="N33" s="359">
        <f>CF!BT83</f>
        <v>16096.233200000002</v>
      </c>
      <c r="O33" s="359">
        <f>CF!BY83</f>
        <v>25824</v>
      </c>
      <c r="P33" s="359">
        <f>CF!CD83</f>
        <v>23907</v>
      </c>
      <c r="Q33" s="359">
        <f>CF!CI83</f>
        <v>22832</v>
      </c>
      <c r="R33" s="359">
        <f>CF!CN83</f>
        <v>30972</v>
      </c>
      <c r="S33" s="359">
        <f>CF!CS83</f>
        <v>42843</v>
      </c>
      <c r="T33" s="359">
        <f>CF!CX83</f>
        <v>67012</v>
      </c>
      <c r="U33" s="359">
        <f>CF!DC83</f>
        <v>60010</v>
      </c>
      <c r="V33" s="359">
        <f>CF!DH83</f>
        <v>69495</v>
      </c>
      <c r="W33" s="359">
        <f>CF!DM83</f>
        <v>72764</v>
      </c>
      <c r="X33" s="359">
        <f ca="1">CF!DR83</f>
        <v>67401.263202274771</v>
      </c>
      <c r="Y33" s="359">
        <f ca="1">CF!DW83</f>
        <v>61543.424516799249</v>
      </c>
      <c r="Z33" s="359">
        <f ca="1">CF!DX83</f>
        <v>76462.544887271535</v>
      </c>
      <c r="AA33" s="359">
        <f ca="1">CF!DY83</f>
        <v>90982.206546334841</v>
      </c>
      <c r="AB33"/>
      <c r="AC33" s="1330">
        <f ca="1">(Y33/V33)^(1/3)-1</f>
        <v>-3.9694610195370017E-2</v>
      </c>
      <c r="AD33" s="1330">
        <f ca="1">(Z33/W33)^(1/3)-1</f>
        <v>1.666388044953071E-2</v>
      </c>
      <c r="AE33" s="1330">
        <f ca="1">(AA33/X33)^(1/3)-1</f>
        <v>0.105170990031074</v>
      </c>
    </row>
    <row r="34" spans="1:31" s="371" customFormat="1" ht="11.25" customHeight="1">
      <c r="A34" s="1597" t="s">
        <v>163</v>
      </c>
      <c r="C34" s="371">
        <f>C33/IS!Z38</f>
        <v>4.25977446831724E-2</v>
      </c>
      <c r="D34" s="371">
        <f>D33/IS!AE38</f>
        <v>0.12061435423887563</v>
      </c>
      <c r="E34" s="354">
        <f>E33/IS!AJ38</f>
        <v>0.27772367333478937</v>
      </c>
      <c r="F34" s="371">
        <f>F33/IS!AO38</f>
        <v>0.27099307539852396</v>
      </c>
      <c r="G34" s="371">
        <f>G33/IS!AT38</f>
        <v>0.53328009866860626</v>
      </c>
      <c r="H34" s="371">
        <f>H33/IS!AY38</f>
        <v>0.86522158489199297</v>
      </c>
      <c r="I34" s="371">
        <f t="shared" ref="I34:T34" si="25">I33/I8</f>
        <v>1.3201872964927688</v>
      </c>
      <c r="J34" s="355">
        <f t="shared" si="25"/>
        <v>1.7002582399951101</v>
      </c>
      <c r="K34" s="372">
        <f t="shared" si="25"/>
        <v>1.0491115090052812</v>
      </c>
      <c r="L34" s="372">
        <f t="shared" si="25"/>
        <v>0.83166326750470021</v>
      </c>
      <c r="M34" s="372">
        <f t="shared" si="25"/>
        <v>0.8084420364737217</v>
      </c>
      <c r="N34" s="372">
        <f t="shared" si="25"/>
        <v>1.1614617060886383</v>
      </c>
      <c r="O34" s="372">
        <f t="shared" si="25"/>
        <v>1.8479875655855253</v>
      </c>
      <c r="P34" s="372">
        <f t="shared" si="25"/>
        <v>1.6989442625187607</v>
      </c>
      <c r="Q34" s="372">
        <f t="shared" si="25"/>
        <v>1.623240088740727</v>
      </c>
      <c r="R34" s="372">
        <f t="shared" si="25"/>
        <v>2.2168571905064232</v>
      </c>
      <c r="S34" s="372">
        <f t="shared" si="25"/>
        <v>3.1179963254759357</v>
      </c>
      <c r="T34" s="372">
        <f t="shared" si="25"/>
        <v>4.9442670606615655</v>
      </c>
      <c r="U34" s="372">
        <f t="shared" ref="U34:Z34" si="26">U33/U8</f>
        <v>4.5605484817614155</v>
      </c>
      <c r="V34" s="372">
        <f t="shared" si="26"/>
        <v>5.4629065539943005</v>
      </c>
      <c r="W34" s="372">
        <f t="shared" si="26"/>
        <v>5.8457892305529331</v>
      </c>
      <c r="X34" s="372">
        <f t="shared" ca="1" si="26"/>
        <v>5.5133417946045009</v>
      </c>
      <c r="Y34" s="372">
        <f t="shared" ca="1" si="26"/>
        <v>5.0387944298195313</v>
      </c>
      <c r="Z34" s="372">
        <f t="shared" ca="1" si="26"/>
        <v>6.3104230769053817</v>
      </c>
      <c r="AA34" s="372">
        <f t="shared" ref="AA34" ca="1" si="27">AA33/AA8</f>
        <v>7.5751729087132107</v>
      </c>
      <c r="AB34"/>
    </row>
    <row r="35" spans="1:31" s="31" customFormat="1" ht="11.25" customHeight="1">
      <c r="A35" s="4198" t="s">
        <v>164</v>
      </c>
      <c r="B35" s="4199"/>
      <c r="C35" s="4199">
        <f t="shared" ref="C35:S35" si="28">C7/C34</f>
        <v>9720.9371782440867</v>
      </c>
      <c r="D35" s="4199">
        <f t="shared" si="28"/>
        <v>3433.173461094842</v>
      </c>
      <c r="E35" s="4199">
        <f t="shared" si="28"/>
        <v>2268.4418380155507</v>
      </c>
      <c r="F35" s="4199">
        <f t="shared" si="28"/>
        <v>2250.9800263454354</v>
      </c>
      <c r="G35" s="4199">
        <f t="shared" si="28"/>
        <v>918.84171418235951</v>
      </c>
      <c r="H35" s="4199">
        <f t="shared" si="28"/>
        <v>566.32891337444789</v>
      </c>
      <c r="I35" s="4199">
        <f t="shared" si="28"/>
        <v>511.29108861539271</v>
      </c>
      <c r="J35" s="4197">
        <f t="shared" si="28"/>
        <v>505.80551810910401</v>
      </c>
      <c r="K35" s="4197">
        <f t="shared" si="28"/>
        <v>977.01721046970249</v>
      </c>
      <c r="L35" s="4197">
        <f t="shared" si="28"/>
        <v>775.55427202555234</v>
      </c>
      <c r="M35" s="4197">
        <f t="shared" si="28"/>
        <v>420.56200031732476</v>
      </c>
      <c r="N35" s="4197">
        <f t="shared" si="28"/>
        <v>292.73457593792807</v>
      </c>
      <c r="O35" s="4197">
        <f t="shared" si="28"/>
        <v>183.9839219330855</v>
      </c>
      <c r="P35" s="4197">
        <f t="shared" si="28"/>
        <v>200.12428159116581</v>
      </c>
      <c r="Q35" s="4197">
        <f t="shared" si="28"/>
        <v>209.45761650315347</v>
      </c>
      <c r="R35" s="4197">
        <f t="shared" si="28"/>
        <v>153.37027637866458</v>
      </c>
      <c r="S35" s="4197">
        <f t="shared" si="28"/>
        <v>109.04438764792383</v>
      </c>
      <c r="T35" s="4197">
        <f t="shared" ref="T35:Y35" si="29">T7/T34</f>
        <v>68.766511968005716</v>
      </c>
      <c r="U35" s="4197">
        <f t="shared" si="29"/>
        <v>74.552436260623239</v>
      </c>
      <c r="V35" s="4197">
        <f t="shared" si="29"/>
        <v>62.237930786387516</v>
      </c>
      <c r="W35" s="4197">
        <f t="shared" si="29"/>
        <v>58.161522181298444</v>
      </c>
      <c r="X35" s="4197">
        <f t="shared" ca="1" si="29"/>
        <v>61.668587340754534</v>
      </c>
      <c r="Y35" s="4197">
        <f t="shared" ca="1" si="29"/>
        <v>67.476457858229665</v>
      </c>
      <c r="Z35" s="4197">
        <f t="shared" ref="Z35:AA35" ca="1" si="30">Z7/Z34</f>
        <v>53.879113310851942</v>
      </c>
      <c r="AA35" s="4197">
        <f t="shared" ca="1" si="30"/>
        <v>44.883463928449864</v>
      </c>
      <c r="AB35"/>
    </row>
    <row r="36" spans="1:31" s="373" customFormat="1" ht="11.25" customHeight="1">
      <c r="A36" s="1597" t="s">
        <v>165</v>
      </c>
      <c r="C36" s="373">
        <f t="shared" ref="C36:S36" si="31">C33/C9</f>
        <v>1.0055012338163377E-4</v>
      </c>
      <c r="D36" s="373">
        <f t="shared" si="31"/>
        <v>2.7787693952098204E-4</v>
      </c>
      <c r="E36" s="211">
        <f t="shared" si="31"/>
        <v>4.2328590624157313E-4</v>
      </c>
      <c r="F36" s="211">
        <f t="shared" si="31"/>
        <v>4.3870877248620738E-4</v>
      </c>
      <c r="G36" s="373">
        <f t="shared" si="31"/>
        <v>1.0883267319767474E-3</v>
      </c>
      <c r="H36" s="373">
        <f t="shared" si="31"/>
        <v>1.7657583365142714E-3</v>
      </c>
      <c r="I36" s="285">
        <f t="shared" si="31"/>
        <v>1.9558330318411388E-3</v>
      </c>
      <c r="J36" s="189">
        <f t="shared" si="31"/>
        <v>1.9770444651105931E-3</v>
      </c>
      <c r="K36" s="172">
        <f t="shared" si="31"/>
        <v>1.0235234234197866E-3</v>
      </c>
      <c r="L36" s="172">
        <f t="shared" si="31"/>
        <v>1.2894004147359693E-3</v>
      </c>
      <c r="M36" s="172">
        <f t="shared" si="31"/>
        <v>2.3777706955109461E-3</v>
      </c>
      <c r="N36" s="172">
        <f t="shared" si="31"/>
        <v>3.4160638414371712E-3</v>
      </c>
      <c r="O36" s="172">
        <f t="shared" si="31"/>
        <v>5.4352575458397803E-3</v>
      </c>
      <c r="P36" s="189">
        <f t="shared" si="31"/>
        <v>4.9968948897610608E-3</v>
      </c>
      <c r="Q36" s="189">
        <f t="shared" si="31"/>
        <v>4.7742355551197851E-3</v>
      </c>
      <c r="R36" s="189">
        <f t="shared" si="31"/>
        <v>6.5201682073718322E-3</v>
      </c>
      <c r="S36" s="189">
        <f t="shared" si="31"/>
        <v>9.1705774278703998E-3</v>
      </c>
      <c r="T36" s="189">
        <f t="shared" ref="T36:Y36" si="32">T33/T9</f>
        <v>1.4541961943122251E-2</v>
      </c>
      <c r="U36" s="189">
        <f t="shared" si="32"/>
        <v>1.3413377887533575E-2</v>
      </c>
      <c r="V36" s="189">
        <f t="shared" si="32"/>
        <v>1.6067372217630296E-2</v>
      </c>
      <c r="W36" s="189">
        <f t="shared" si="32"/>
        <v>1.7193497736920391E-2</v>
      </c>
      <c r="X36" s="189">
        <f t="shared" ca="1" si="32"/>
        <v>1.6215711160601474E-2</v>
      </c>
      <c r="Y36" s="189">
        <f t="shared" ca="1" si="32"/>
        <v>1.481998361711627E-2</v>
      </c>
      <c r="Z36" s="189">
        <f t="shared" ref="Z36:AA36" ca="1" si="33">Z33/Z9</f>
        <v>1.8560067873251124E-2</v>
      </c>
      <c r="AA36" s="189">
        <f t="shared" ca="1" si="33"/>
        <v>2.2279920319744736E-2</v>
      </c>
      <c r="AB36"/>
    </row>
    <row r="37" spans="1:31" s="373" customFormat="1" ht="11.25" customHeight="1">
      <c r="A37" s="1566" t="s">
        <v>766</v>
      </c>
      <c r="E37" s="211"/>
      <c r="F37" s="211"/>
      <c r="I37" s="285"/>
      <c r="J37" s="189"/>
      <c r="K37" s="172"/>
      <c r="L37" s="172"/>
      <c r="M37" s="172"/>
      <c r="N37" s="172"/>
      <c r="O37" s="172"/>
      <c r="P37" s="359">
        <f>P33-(1-IS!DB34)*IS!DB191</f>
        <v>23957.754164674734</v>
      </c>
      <c r="Q37" s="359">
        <f>Q33-(1-IS!DC34)*IS!DG191</f>
        <v>22933.651712036422</v>
      </c>
      <c r="R37" s="359">
        <f>R33-(1-IS!DD34)*IS!DL191</f>
        <v>31047.800711743774</v>
      </c>
      <c r="S37" s="359">
        <f>S33-(1-IS!DE34)*IS!DQ191</f>
        <v>42966.070514727762</v>
      </c>
      <c r="T37" s="359">
        <f>T33-(1-IS!DF34)*IS!DV191</f>
        <v>67319.387609213663</v>
      </c>
      <c r="U37" s="359">
        <f>U33-(1-IS!DG34)*IS!EA191</f>
        <v>60324.288431243374</v>
      </c>
      <c r="V37" s="359">
        <f>V33-(1-IS!DH34)*IS!EF191</f>
        <v>69746.700957525172</v>
      </c>
      <c r="W37" s="359">
        <f>W33-(1-IS!DI34)*IS!EK191</f>
        <v>72983.461266156257</v>
      </c>
      <c r="X37" s="359">
        <f ca="1">X33-(1-IS!DJ34)*IS!EP191</f>
        <v>67877.214523554328</v>
      </c>
      <c r="Y37" s="359">
        <f ca="1">Y33-(1-IS!DK34)*IS!EU191</f>
        <v>62113.66106388445</v>
      </c>
      <c r="Z37" s="359">
        <f ca="1">Z33-(1-IS!DL34)*IS!EV191</f>
        <v>76898.85098272319</v>
      </c>
      <c r="AA37" s="359">
        <f ca="1">AA33-(1-IS!DM34)*IS!EW191</f>
        <v>91360.839677023076</v>
      </c>
      <c r="AB37"/>
    </row>
    <row r="38" spans="1:31" s="373" customFormat="1" ht="11.25" customHeight="1">
      <c r="A38" s="1597" t="s">
        <v>767</v>
      </c>
      <c r="E38" s="211"/>
      <c r="F38" s="211"/>
      <c r="I38" s="285"/>
      <c r="J38" s="189"/>
      <c r="K38" s="172"/>
      <c r="L38" s="172"/>
      <c r="M38" s="172"/>
      <c r="N38" s="172"/>
      <c r="O38" s="172"/>
      <c r="P38" s="362">
        <f t="shared" ref="P38:U38" si="34">P14/P37</f>
        <v>195.28776227692467</v>
      </c>
      <c r="Q38" s="362">
        <f t="shared" si="34"/>
        <v>203.34089653731434</v>
      </c>
      <c r="R38" s="362">
        <f t="shared" si="34"/>
        <v>148.86675043143211</v>
      </c>
      <c r="S38" s="362">
        <f t="shared" si="34"/>
        <v>105.39301466834853</v>
      </c>
      <c r="T38" s="362">
        <f t="shared" si="34"/>
        <v>66.159254535322447</v>
      </c>
      <c r="U38" s="362">
        <f t="shared" si="34"/>
        <v>72.016410188602649</v>
      </c>
      <c r="V38" s="362">
        <f t="shared" ref="V38:AA38" si="35">V14/V37</f>
        <v>60.168494600994052</v>
      </c>
      <c r="W38" s="362">
        <f t="shared" si="35"/>
        <v>56.304660380715056</v>
      </c>
      <c r="X38" s="362">
        <f t="shared" ca="1" si="35"/>
        <v>59.165645381496688</v>
      </c>
      <c r="Y38" s="362">
        <f t="shared" ca="1" si="35"/>
        <v>64.880849175145443</v>
      </c>
      <c r="Z38" s="362">
        <f t="shared" ca="1" si="35"/>
        <v>52.140471066680981</v>
      </c>
      <c r="AA38" s="362">
        <f t="shared" ca="1" si="35"/>
        <v>43.495967511411799</v>
      </c>
      <c r="AB38"/>
    </row>
    <row r="39" spans="1:31" s="374" customFormat="1" ht="11.25" customHeight="1">
      <c r="A39" s="1597"/>
      <c r="E39" s="375"/>
      <c r="J39" s="204"/>
      <c r="K39" s="313"/>
      <c r="L39" s="313"/>
      <c r="M39" s="313"/>
      <c r="N39" s="313"/>
      <c r="O39" s="313"/>
      <c r="P39" s="313"/>
      <c r="Q39" s="313"/>
      <c r="R39" s="313"/>
      <c r="S39" s="313"/>
      <c r="T39" s="313"/>
      <c r="U39" s="313"/>
      <c r="V39" s="313"/>
      <c r="W39" s="313"/>
      <c r="X39" s="313"/>
      <c r="Y39" s="313"/>
      <c r="Z39" s="313"/>
      <c r="AA39" s="313"/>
      <c r="AB39"/>
    </row>
    <row r="40" spans="1:31" s="31" customFormat="1" ht="11.25" customHeight="1">
      <c r="A40" s="1595" t="s">
        <v>488</v>
      </c>
      <c r="B40" s="37"/>
      <c r="C40" s="358">
        <f>IS!Z9</f>
        <v>939.40099999999995</v>
      </c>
      <c r="D40" s="358">
        <f>IS!AE9</f>
        <v>1960.579</v>
      </c>
      <c r="E40" s="369">
        <f>IS!AJ9</f>
        <v>4023.6179999999999</v>
      </c>
      <c r="F40" s="358">
        <f>IS!AO9</f>
        <v>7296.14</v>
      </c>
      <c r="G40" s="358">
        <f>IS!AT9</f>
        <v>11660.107</v>
      </c>
      <c r="H40" s="358">
        <f>IS!AY9</f>
        <v>15856.598</v>
      </c>
      <c r="I40" s="358">
        <f>IS!BD9</f>
        <v>17481.146999999997</v>
      </c>
      <c r="J40" s="370">
        <f>IS!BN9</f>
        <v>29097</v>
      </c>
      <c r="K40" s="359">
        <f>IS!BX9</f>
        <v>35083</v>
      </c>
      <c r="L40" s="359">
        <f>IS!CH9</f>
        <v>43261</v>
      </c>
      <c r="M40" s="359">
        <f>IS!CM9</f>
        <v>52504</v>
      </c>
      <c r="N40" s="359">
        <f>IS!CR9</f>
        <v>60646</v>
      </c>
      <c r="O40" s="359">
        <f>IS!CW9</f>
        <v>73479</v>
      </c>
      <c r="P40" s="359">
        <f>IS!DB9</f>
        <v>89183</v>
      </c>
      <c r="Q40" s="359">
        <f>IS!DG9</f>
        <v>110093</v>
      </c>
      <c r="R40" s="359">
        <f>IS!DL9</f>
        <v>131768</v>
      </c>
      <c r="S40" s="359">
        <f>IS!DQ9</f>
        <v>149749</v>
      </c>
      <c r="T40" s="359">
        <f>IS!DV9</f>
        <v>212071</v>
      </c>
      <c r="U40" s="359">
        <f>IS!EA9</f>
        <v>233881</v>
      </c>
      <c r="V40" s="359">
        <f>IS!EF9</f>
        <v>256508</v>
      </c>
      <c r="W40" s="359">
        <f>IS!EK9</f>
        <v>295118</v>
      </c>
      <c r="X40" s="359">
        <f>IS!EP9</f>
        <v>341667.03709737217</v>
      </c>
      <c r="Y40" s="359">
        <f>IS!EU9</f>
        <v>403233.61023395206</v>
      </c>
      <c r="Z40" s="359">
        <f>IS!EV9</f>
        <v>460538.62103755493</v>
      </c>
      <c r="AA40" s="359">
        <f>IS!EW9</f>
        <v>518802.07745899889</v>
      </c>
      <c r="AB40"/>
      <c r="AC40" s="1330">
        <f>(Y40/V40)^(1/3)-1</f>
        <v>0.16274711305954881</v>
      </c>
      <c r="AD40" s="1330">
        <f>(Z40/W40)^(1/3)-1</f>
        <v>0.15990775585861572</v>
      </c>
      <c r="AE40" s="1330">
        <f>(AA40/X40)^(1/3)-1</f>
        <v>0.14938680819075589</v>
      </c>
    </row>
    <row r="41" spans="1:31" s="31" customFormat="1" ht="11.25" customHeight="1">
      <c r="A41" s="4198" t="s">
        <v>363</v>
      </c>
      <c r="B41" s="4199"/>
      <c r="C41" s="4199">
        <f t="shared" ref="C41:T41" si="36">C14/C40</f>
        <v>2314.3928650278208</v>
      </c>
      <c r="D41" s="4199">
        <f t="shared" si="36"/>
        <v>1206.7857108537839</v>
      </c>
      <c r="E41" s="4199">
        <f t="shared" si="36"/>
        <v>949.89458566891778</v>
      </c>
      <c r="F41" s="4199">
        <f t="shared" si="36"/>
        <v>522.46199853621238</v>
      </c>
      <c r="G41" s="4199">
        <f t="shared" si="36"/>
        <v>264.46064234230442</v>
      </c>
      <c r="H41" s="4199">
        <f t="shared" si="36"/>
        <v>195.20511139905292</v>
      </c>
      <c r="I41" s="4199">
        <f t="shared" si="36"/>
        <v>247.38483842049956</v>
      </c>
      <c r="J41" s="4200">
        <f t="shared" si="36"/>
        <v>192.0311715984466</v>
      </c>
      <c r="K41" s="4200">
        <f t="shared" si="36"/>
        <v>387.13362597269332</v>
      </c>
      <c r="L41" s="4200">
        <f t="shared" si="36"/>
        <v>200.8195649661358</v>
      </c>
      <c r="M41" s="4200">
        <f t="shared" si="36"/>
        <v>87.799767636751497</v>
      </c>
      <c r="N41" s="4200">
        <f t="shared" si="36"/>
        <v>76.491359693961684</v>
      </c>
      <c r="O41" s="4200">
        <f t="shared" si="36"/>
        <v>63.459284965772532</v>
      </c>
      <c r="P41" s="4200">
        <f t="shared" si="36"/>
        <v>52.461300920579049</v>
      </c>
      <c r="Q41" s="4200">
        <f t="shared" si="36"/>
        <v>42.358272551388367</v>
      </c>
      <c r="R41" s="4200">
        <f t="shared" si="36"/>
        <v>35.076689332766684</v>
      </c>
      <c r="S41" s="4200">
        <f t="shared" si="36"/>
        <v>30.239425305010386</v>
      </c>
      <c r="T41" s="4200">
        <f t="shared" si="36"/>
        <v>21.001459416893393</v>
      </c>
      <c r="U41" s="4200">
        <f t="shared" ref="U41:Z41" si="37">U14/U40</f>
        <v>18.574996258781177</v>
      </c>
      <c r="V41" s="4200">
        <f t="shared" si="37"/>
        <v>16.360324044474247</v>
      </c>
      <c r="W41" s="4200">
        <f t="shared" si="37"/>
        <v>13.924291300428981</v>
      </c>
      <c r="X41" s="4200">
        <f t="shared" ca="1" si="37"/>
        <v>11.754131267980254</v>
      </c>
      <c r="Y41" s="4200">
        <f t="shared" ca="1" si="37"/>
        <v>9.9941745254415508</v>
      </c>
      <c r="Z41" s="4200">
        <f t="shared" ca="1" si="37"/>
        <v>8.7062021111118266</v>
      </c>
      <c r="AA41" s="4200">
        <f t="shared" ref="AA41" ca="1" si="38">AA14/AA40</f>
        <v>7.6596225941696447</v>
      </c>
      <c r="AB41"/>
    </row>
    <row r="42" spans="1:31" s="31" customFormat="1" ht="11.25" customHeight="1">
      <c r="A42" s="1595"/>
      <c r="J42" s="174"/>
      <c r="K42" s="32"/>
      <c r="L42" s="32"/>
      <c r="M42" s="32"/>
      <c r="N42" s="32"/>
      <c r="O42" s="32"/>
      <c r="P42" s="32"/>
      <c r="Q42" s="32"/>
      <c r="R42" s="32"/>
      <c r="S42" s="32"/>
      <c r="T42" s="32"/>
      <c r="U42" s="4739"/>
      <c r="V42" s="4739"/>
      <c r="W42" s="32"/>
      <c r="X42" s="32"/>
      <c r="Y42" s="32"/>
      <c r="Z42" s="32"/>
      <c r="AA42" s="32"/>
      <c r="AB42"/>
    </row>
    <row r="43" spans="1:31" ht="11.25" customHeight="1">
      <c r="A43" s="3650" t="s">
        <v>338</v>
      </c>
      <c r="B43" s="3648"/>
      <c r="C43" s="3648"/>
      <c r="D43" s="3648"/>
      <c r="E43" s="3648"/>
      <c r="F43" s="3648"/>
      <c r="G43" s="3648"/>
      <c r="H43" s="3648"/>
      <c r="I43" s="3648"/>
      <c r="J43" s="3651"/>
      <c r="K43" s="3651"/>
      <c r="L43" s="3651"/>
      <c r="M43" s="3651"/>
      <c r="N43" s="3651"/>
      <c r="O43" s="3651"/>
      <c r="P43" s="3651"/>
      <c r="Q43" s="3651"/>
      <c r="R43" s="3576"/>
      <c r="S43" s="3576"/>
      <c r="T43" s="3576"/>
      <c r="U43" s="3576"/>
      <c r="V43" s="3651"/>
      <c r="W43" s="3651"/>
      <c r="X43" s="3651"/>
      <c r="Y43" s="3651"/>
      <c r="Z43" s="3651"/>
      <c r="AA43" s="3651"/>
    </row>
    <row r="45" spans="1:31" ht="11.25" customHeight="1">
      <c r="I45" s="371"/>
      <c r="J45" s="372"/>
      <c r="K45" s="372"/>
    </row>
    <row r="46" spans="1:31" ht="11.25" customHeight="1">
      <c r="I46" s="331"/>
      <c r="J46" s="376"/>
      <c r="K46" s="376"/>
      <c r="L46" s="32"/>
      <c r="M46" s="32"/>
      <c r="N46" s="32"/>
      <c r="O46" s="32"/>
      <c r="P46" s="32"/>
      <c r="Q46" s="32"/>
      <c r="R46" s="32"/>
      <c r="S46" s="32"/>
      <c r="T46" s="32"/>
      <c r="U46" s="32"/>
      <c r="V46" s="32"/>
      <c r="W46" s="32"/>
      <c r="X46" s="32"/>
      <c r="Y46" s="32"/>
      <c r="Z46" s="32"/>
      <c r="AA46" s="32"/>
    </row>
    <row r="47" spans="1:31" ht="11.25" customHeight="1">
      <c r="I47" s="377"/>
      <c r="J47" s="378"/>
      <c r="K47" s="378"/>
      <c r="L47" s="32"/>
      <c r="M47" s="32"/>
      <c r="N47" s="32"/>
      <c r="O47" s="32"/>
      <c r="P47" s="32"/>
      <c r="Q47" s="32"/>
      <c r="R47" s="32"/>
      <c r="S47" s="32"/>
      <c r="T47" s="32"/>
      <c r="U47" s="32"/>
      <c r="V47" s="32"/>
      <c r="W47" s="32"/>
      <c r="X47" s="32"/>
      <c r="Y47" s="32"/>
      <c r="Z47" s="32"/>
      <c r="AA47" s="32"/>
    </row>
    <row r="48" spans="1:31" ht="11.25" customHeight="1">
      <c r="I48" s="379"/>
      <c r="J48" s="380"/>
      <c r="K48" s="380"/>
      <c r="L48" s="32"/>
      <c r="M48" s="32"/>
      <c r="N48" s="32"/>
      <c r="O48" s="32"/>
      <c r="P48" s="32"/>
      <c r="Q48" s="32"/>
      <c r="R48" s="32"/>
      <c r="S48" s="32"/>
      <c r="T48" s="32"/>
      <c r="U48" s="32"/>
      <c r="V48" s="32"/>
      <c r="W48" s="32"/>
      <c r="X48" s="32"/>
      <c r="Y48" s="32"/>
      <c r="Z48" s="32"/>
      <c r="AA48" s="32"/>
    </row>
    <row r="49" spans="9:27" ht="11.25" customHeight="1">
      <c r="I49" s="31"/>
      <c r="J49" s="32"/>
      <c r="K49" s="32"/>
      <c r="L49" s="32"/>
      <c r="M49" s="32"/>
      <c r="N49" s="32"/>
      <c r="O49" s="32"/>
      <c r="P49" s="32"/>
      <c r="Q49" s="32"/>
      <c r="R49" s="32"/>
      <c r="S49" s="32"/>
      <c r="T49" s="32"/>
      <c r="U49" s="32"/>
      <c r="V49" s="32"/>
      <c r="W49" s="32"/>
      <c r="X49" s="32"/>
      <c r="Y49" s="32"/>
      <c r="Z49" s="32"/>
      <c r="AA49" s="32"/>
    </row>
    <row r="50" spans="9:27" ht="11.25" customHeight="1">
      <c r="I50" s="381"/>
      <c r="J50" s="382"/>
      <c r="K50" s="382"/>
      <c r="L50" s="32"/>
      <c r="M50" s="32"/>
      <c r="N50" s="32"/>
      <c r="O50" s="32"/>
      <c r="P50" s="32"/>
      <c r="Q50" s="32"/>
      <c r="R50" s="32"/>
      <c r="S50" s="32"/>
      <c r="T50" s="32"/>
      <c r="U50" s="32"/>
      <c r="V50" s="32"/>
      <c r="W50" s="32"/>
      <c r="X50" s="32"/>
      <c r="Y50" s="32"/>
      <c r="Z50" s="32"/>
      <c r="AA50" s="32"/>
    </row>
    <row r="51" spans="9:27" ht="11.25" customHeight="1">
      <c r="I51" s="31"/>
      <c r="J51" s="32"/>
      <c r="K51" s="32"/>
      <c r="L51" s="32"/>
      <c r="M51" s="32"/>
      <c r="N51" s="32"/>
      <c r="O51" s="32"/>
      <c r="P51" s="32"/>
      <c r="Q51" s="32"/>
      <c r="R51" s="32"/>
      <c r="S51" s="32"/>
      <c r="T51" s="32"/>
      <c r="U51" s="32"/>
      <c r="V51" s="32"/>
      <c r="W51" s="32"/>
      <c r="X51" s="32"/>
      <c r="Y51" s="32"/>
      <c r="Z51" s="32"/>
      <c r="AA51" s="32"/>
    </row>
    <row r="52" spans="9:27" ht="11.25" customHeight="1">
      <c r="I52" s="31"/>
      <c r="J52" s="32"/>
      <c r="K52" s="32"/>
      <c r="L52" s="32"/>
      <c r="M52" s="32"/>
      <c r="N52" s="32"/>
      <c r="O52" s="32"/>
      <c r="P52" s="32"/>
      <c r="Q52" s="32"/>
      <c r="R52" s="32"/>
      <c r="S52" s="32"/>
      <c r="T52" s="32"/>
      <c r="U52" s="32"/>
      <c r="V52" s="32"/>
      <c r="W52" s="32"/>
      <c r="X52" s="32"/>
      <c r="Y52" s="32"/>
      <c r="Z52" s="32"/>
      <c r="AA52" s="32"/>
    </row>
  </sheetData>
  <phoneticPr fontId="0" type="noConversion"/>
  <pageMargins left="0.25" right="0.25" top="0.75" bottom="0.75" header="0.3" footer="0.3"/>
  <pageSetup orientation="landscape" r:id="rId1"/>
  <headerFooter alignWithMargins="0">
    <oddFooter>&amp;L&amp;P&amp;R&amp;D</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ransitionEvaluation="1" transitionEntry="1" codeName="Sheet8">
    <pageSetUpPr autoPageBreaks="0"/>
  </sheetPr>
  <dimension ref="A1:BO101"/>
  <sheetViews>
    <sheetView showGridLines="0" zoomScaleNormal="100" zoomScaleSheetLayoutView="50" workbookViewId="0">
      <pane xSplit="1" ySplit="6" topLeftCell="B7" activePane="bottomRight" state="frozen"/>
      <selection activeCell="B20" sqref="B20"/>
      <selection pane="topRight" activeCell="B20" sqref="B20"/>
      <selection pane="bottomLeft" activeCell="B20" sqref="B20"/>
      <selection pane="bottomRight" activeCell="B7" sqref="B7"/>
    </sheetView>
  </sheetViews>
  <sheetFormatPr defaultColWidth="9.7109375" defaultRowHeight="11.25" customHeight="1" outlineLevelCol="1"/>
  <cols>
    <col min="1" max="1" width="34.140625" style="4646" customWidth="1"/>
    <col min="2" max="2" width="2.7109375" style="384" customWidth="1"/>
    <col min="3" max="4" width="9.7109375" style="384" hidden="1" customWidth="1" outlineLevel="1"/>
    <col min="5" max="6" width="9.7109375" style="384" hidden="1" customWidth="1" outlineLevel="1" collapsed="1"/>
    <col min="7" max="7" width="9.7109375" style="384" hidden="1" customWidth="1" outlineLevel="1"/>
    <col min="8" max="8" width="9.7109375" style="384" collapsed="1"/>
    <col min="9" max="24" width="9.7109375" style="384"/>
    <col min="25" max="25" width="9.7109375" style="385"/>
    <col min="26" max="26" width="9.7109375" style="384"/>
    <col min="27" max="27" width="9.7109375" style="383"/>
    <col min="28" max="31" width="9.7109375" style="384"/>
    <col min="32" max="32" width="9.7109375" style="383"/>
    <col min="33" max="16384" width="9.7109375" style="384"/>
  </cols>
  <sheetData>
    <row r="1" spans="1:43" s="10" customFormat="1" ht="8.25" customHeight="1">
      <c r="A1" s="4634" t="s">
        <v>31</v>
      </c>
      <c r="Y1" s="12"/>
      <c r="AA1" s="11"/>
      <c r="AF1" s="11"/>
    </row>
    <row r="2" spans="1:43" s="3" customFormat="1" ht="28.5" customHeight="1">
      <c r="A2" s="4635" t="str">
        <f>IS!A2</f>
        <v>Alphabet Inc.</v>
      </c>
      <c r="Y2" s="25"/>
      <c r="AA2" s="16"/>
      <c r="AF2" s="16"/>
    </row>
    <row r="3" spans="1:43" s="15" customFormat="1" ht="20.25" customHeight="1">
      <c r="A3" s="3727" t="s">
        <v>150</v>
      </c>
      <c r="Y3" s="26"/>
    </row>
    <row r="4" spans="1:43" s="10" customFormat="1" ht="12.75">
      <c r="A4" s="4636"/>
      <c r="B4" s="14"/>
      <c r="C4" s="14"/>
      <c r="D4" s="14"/>
      <c r="E4" s="14"/>
      <c r="F4" s="14"/>
      <c r="G4" s="14"/>
      <c r="H4" s="14"/>
      <c r="I4" s="14"/>
      <c r="J4" s="14"/>
      <c r="Q4" s="6274" t="s">
        <v>577</v>
      </c>
      <c r="R4" s="6274"/>
      <c r="S4" s="6274"/>
      <c r="Y4" s="12"/>
      <c r="AA4" s="11"/>
      <c r="AF4" s="11"/>
    </row>
    <row r="5" spans="1:43" ht="11.25" customHeight="1">
      <c r="A5" s="4637"/>
      <c r="B5" s="3619"/>
      <c r="C5" s="3621"/>
      <c r="D5" s="3621"/>
      <c r="E5" s="3621"/>
      <c r="F5" s="3621"/>
      <c r="G5" s="3621"/>
      <c r="H5" s="3621"/>
      <c r="I5" s="3621"/>
      <c r="J5" s="3620"/>
      <c r="Q5" s="5922" t="s">
        <v>1085</v>
      </c>
      <c r="R5" s="6008" t="s">
        <v>1109</v>
      </c>
      <c r="S5" s="6230" t="s">
        <v>1205</v>
      </c>
    </row>
    <row r="6" spans="1:43" s="388" customFormat="1" ht="11.25" customHeight="1" thickBot="1">
      <c r="A6" s="5143" t="s">
        <v>306</v>
      </c>
      <c r="B6" s="5144"/>
      <c r="C6" s="5145" t="str">
        <f>IS!DG6</f>
        <v>2018A</v>
      </c>
      <c r="D6" s="5145" t="str">
        <f>IS!DL6</f>
        <v>2019A</v>
      </c>
      <c r="E6" s="5145" t="str">
        <f>IS!DQ6</f>
        <v>2020A</v>
      </c>
      <c r="F6" s="5145" t="str">
        <f>IS!DV6</f>
        <v>2021A</v>
      </c>
      <c r="G6" s="5145" t="str">
        <f>IS!EA6</f>
        <v>2022A</v>
      </c>
      <c r="H6" s="5145" t="str">
        <f>IS!EF6</f>
        <v>2023A</v>
      </c>
      <c r="I6" s="5145" t="str">
        <f>IS!EK6</f>
        <v>2024A</v>
      </c>
      <c r="J6" s="5145" t="str">
        <f>IS!EP6</f>
        <v>2025E</v>
      </c>
      <c r="K6" s="5145" t="str">
        <f>IS!EU6</f>
        <v>2026E</v>
      </c>
      <c r="L6" s="5145" t="str">
        <f>IS!EV6</f>
        <v>2027E</v>
      </c>
      <c r="M6" s="5145" t="str">
        <f>IS!EW6</f>
        <v>2028E</v>
      </c>
      <c r="N6" s="5145" t="str">
        <f>IS!EX6</f>
        <v>2029E</v>
      </c>
      <c r="O6" s="5145" t="str">
        <f>IS!EY6</f>
        <v>2030E</v>
      </c>
      <c r="Q6" s="386" t="s">
        <v>110</v>
      </c>
      <c r="R6" s="386" t="s">
        <v>110</v>
      </c>
      <c r="S6" s="386" t="s">
        <v>110</v>
      </c>
      <c r="AA6" s="387"/>
      <c r="AF6" s="387"/>
      <c r="AM6" s="602"/>
      <c r="AN6" s="602"/>
      <c r="AO6" s="602"/>
      <c r="AP6" s="602"/>
    </row>
    <row r="7" spans="1:43" ht="11.25" customHeight="1" thickBot="1">
      <c r="A7" s="4638" t="s">
        <v>228</v>
      </c>
      <c r="B7" s="5142"/>
      <c r="C7" s="544">
        <f>IS!DG9</f>
        <v>110093</v>
      </c>
      <c r="D7" s="544">
        <f>IS!DL9</f>
        <v>131768</v>
      </c>
      <c r="E7" s="544">
        <f>IS!DQ9</f>
        <v>149749</v>
      </c>
      <c r="F7" s="544">
        <f>IS!DV9</f>
        <v>212071</v>
      </c>
      <c r="G7" s="544">
        <f>IS!EA9</f>
        <v>233881</v>
      </c>
      <c r="H7" s="544">
        <f>IS!EF9</f>
        <v>256508</v>
      </c>
      <c r="I7" s="544">
        <f>IS!EK9</f>
        <v>295118</v>
      </c>
      <c r="J7" s="544">
        <f>IS!EP9</f>
        <v>341667.03709737217</v>
      </c>
      <c r="K7" s="544">
        <f>IS!EU9</f>
        <v>403233.61023395206</v>
      </c>
      <c r="L7" s="544">
        <f>IS!EV9</f>
        <v>460538.62103755493</v>
      </c>
      <c r="M7" s="544">
        <f>IS!EW9</f>
        <v>518802.07745899889</v>
      </c>
      <c r="N7" s="544">
        <f>IS!EX9</f>
        <v>576864.19993004168</v>
      </c>
      <c r="O7" s="544">
        <f>IS!EY9</f>
        <v>637270.07767632848</v>
      </c>
      <c r="Q7" s="391">
        <f>(M7/H7)^(1/5)-1</f>
        <v>0.15127787455058694</v>
      </c>
      <c r="R7" s="391">
        <f>(N7/I7)^(1/5)-1</f>
        <v>0.14344578443648581</v>
      </c>
      <c r="S7" s="391">
        <f>(O7/J7)^(1/5)-1</f>
        <v>0.13277613048616566</v>
      </c>
      <c r="AM7" s="544"/>
      <c r="AN7" s="544"/>
      <c r="AO7" s="544"/>
      <c r="AP7" s="544"/>
    </row>
    <row r="8" spans="1:43" s="389" customFormat="1" ht="11.25" customHeight="1" thickBot="1">
      <c r="A8" s="4639" t="s">
        <v>151</v>
      </c>
      <c r="B8" s="5137"/>
      <c r="C8" s="390">
        <f>IS!DG63</f>
        <v>0.23446172476817329</v>
      </c>
      <c r="D8" s="390">
        <f t="shared" ref="D8:N8" si="0">D7/C7-1</f>
        <v>0.1968790022980571</v>
      </c>
      <c r="E8" s="390">
        <f t="shared" si="0"/>
        <v>0.13645953494019802</v>
      </c>
      <c r="F8" s="390">
        <f t="shared" si="0"/>
        <v>0.41617640184575522</v>
      </c>
      <c r="G8" s="390">
        <f>G7/F7-1</f>
        <v>0.10284291581592964</v>
      </c>
      <c r="H8" s="390">
        <f t="shared" si="0"/>
        <v>9.6745780974085038E-2</v>
      </c>
      <c r="I8" s="390">
        <f t="shared" si="0"/>
        <v>0.15052162115801448</v>
      </c>
      <c r="J8" s="390">
        <f t="shared" si="0"/>
        <v>0.15773025399119045</v>
      </c>
      <c r="K8" s="390">
        <f t="shared" si="0"/>
        <v>0.18019465283984637</v>
      </c>
      <c r="L8" s="390">
        <f t="shared" si="0"/>
        <v>0.14211367641292383</v>
      </c>
      <c r="M8" s="390">
        <f t="shared" si="0"/>
        <v>0.12651155355913746</v>
      </c>
      <c r="N8" s="390">
        <f t="shared" si="0"/>
        <v>0.11191574782317915</v>
      </c>
      <c r="O8" s="390">
        <f t="shared" ref="O8" si="1">O7/N7-1</f>
        <v>0.10471420787355568</v>
      </c>
      <c r="Y8" s="393"/>
      <c r="AA8" s="392"/>
      <c r="AF8" s="392"/>
      <c r="AM8" s="538"/>
      <c r="AN8" s="538"/>
      <c r="AO8" s="538"/>
      <c r="AP8" s="538"/>
    </row>
    <row r="9" spans="1:43" s="389" customFormat="1" ht="11.25" customHeight="1" thickBot="1">
      <c r="A9" s="4639"/>
      <c r="B9" s="5137"/>
      <c r="C9" s="390"/>
      <c r="D9" s="390"/>
      <c r="E9" s="390"/>
      <c r="F9" s="390"/>
      <c r="G9" s="390"/>
      <c r="H9" s="390"/>
      <c r="I9" s="390"/>
      <c r="J9" s="390"/>
      <c r="K9" s="390"/>
      <c r="L9" s="390"/>
      <c r="M9" s="390"/>
      <c r="N9" s="390"/>
      <c r="O9" s="390"/>
      <c r="Q9" s="394"/>
      <c r="R9" s="394"/>
      <c r="S9" s="394"/>
      <c r="Y9" s="393"/>
      <c r="AA9" s="392"/>
      <c r="AF9" s="392"/>
      <c r="AM9" s="390"/>
      <c r="AN9" s="390"/>
      <c r="AO9" s="390"/>
      <c r="AP9" s="390"/>
    </row>
    <row r="10" spans="1:43" ht="11.25" customHeight="1" thickBot="1">
      <c r="A10" s="4640" t="s">
        <v>54</v>
      </c>
      <c r="B10" s="5136"/>
      <c r="C10" s="545">
        <f>IS!DG57</f>
        <v>50983</v>
      </c>
      <c r="D10" s="545">
        <f>IS!DL57</f>
        <v>58503</v>
      </c>
      <c r="E10" s="545">
        <f>IS!DQ57</f>
        <v>67912</v>
      </c>
      <c r="F10" s="545">
        <f>IS!DV57</f>
        <v>106531</v>
      </c>
      <c r="G10" s="545">
        <f>IS!EA57</f>
        <v>110132</v>
      </c>
      <c r="H10" s="545">
        <f>IS!EF57</f>
        <v>120452</v>
      </c>
      <c r="I10" s="545">
        <f>IS!EK57</f>
        <v>150486</v>
      </c>
      <c r="J10" s="545">
        <f>IS!EP57</f>
        <v>179837.73143902302</v>
      </c>
      <c r="K10" s="545">
        <f>IS!EU57</f>
        <v>225088.92135393832</v>
      </c>
      <c r="L10" s="545">
        <f>IS!EV57</f>
        <v>260204.32088621851</v>
      </c>
      <c r="M10" s="545">
        <f>IS!EW57</f>
        <v>293745.73625728517</v>
      </c>
      <c r="N10" s="545">
        <f>IS!EX57</f>
        <v>327658.86556026363</v>
      </c>
      <c r="O10" s="545">
        <f>IS!EY57</f>
        <v>365219.48151630379</v>
      </c>
      <c r="Q10" s="391">
        <f>(M10/H10)^(1/5)-1</f>
        <v>0.19517503018520821</v>
      </c>
      <c r="R10" s="391">
        <f>(N10/I10)^(1/5)-1</f>
        <v>0.16838282672036353</v>
      </c>
      <c r="S10" s="391">
        <f>(O10/J10)^(1/5)-1</f>
        <v>0.15221791643636284</v>
      </c>
      <c r="W10" s="397"/>
      <c r="AM10" s="545"/>
      <c r="AN10" s="545"/>
      <c r="AO10" s="545"/>
      <c r="AP10" s="545"/>
    </row>
    <row r="11" spans="1:43" s="389" customFormat="1" ht="11.25" customHeight="1" thickBot="1">
      <c r="A11" s="4639" t="s">
        <v>151</v>
      </c>
      <c r="B11" s="5137"/>
      <c r="C11" s="398">
        <f>IS!DG76</f>
        <v>0.17266997883889967</v>
      </c>
      <c r="D11" s="398">
        <f t="shared" ref="D11:N11" si="2">D10/C10-1</f>
        <v>0.14750014710785941</v>
      </c>
      <c r="E11" s="398">
        <f t="shared" si="2"/>
        <v>0.16082935917816177</v>
      </c>
      <c r="F11" s="398">
        <f t="shared" si="2"/>
        <v>0.5686623866179763</v>
      </c>
      <c r="G11" s="398">
        <f>G10/F10-1</f>
        <v>3.380236738601905E-2</v>
      </c>
      <c r="H11" s="398">
        <f t="shared" si="2"/>
        <v>9.3705734936258223E-2</v>
      </c>
      <c r="I11" s="398">
        <f t="shared" si="2"/>
        <v>0.24934413708365155</v>
      </c>
      <c r="J11" s="398">
        <f t="shared" si="2"/>
        <v>0.19504625971201994</v>
      </c>
      <c r="K11" s="398">
        <f t="shared" si="2"/>
        <v>0.2516223350507425</v>
      </c>
      <c r="L11" s="398">
        <f t="shared" si="2"/>
        <v>0.15600678754448083</v>
      </c>
      <c r="M11" s="398">
        <f t="shared" si="2"/>
        <v>0.12890414446935172</v>
      </c>
      <c r="N11" s="398">
        <f t="shared" si="2"/>
        <v>0.11545062656934957</v>
      </c>
      <c r="O11" s="398">
        <f t="shared" ref="O11" si="3">O10/N10-1</f>
        <v>0.11463329671185707</v>
      </c>
      <c r="W11" s="399"/>
      <c r="Y11" s="393"/>
      <c r="AA11" s="392"/>
      <c r="AF11" s="392"/>
      <c r="AM11" s="398"/>
      <c r="AN11" s="398"/>
      <c r="AO11" s="398"/>
      <c r="AP11" s="398"/>
    </row>
    <row r="12" spans="1:43" s="389" customFormat="1" ht="11.25" customHeight="1" thickBot="1">
      <c r="A12" s="4641" t="s">
        <v>368</v>
      </c>
      <c r="B12" s="5137"/>
      <c r="C12" s="398">
        <f t="shared" ref="C12:J12" si="4">C10/C7</f>
        <v>0.46309029638578292</v>
      </c>
      <c r="D12" s="398">
        <f t="shared" si="4"/>
        <v>0.4439848825207941</v>
      </c>
      <c r="E12" s="398">
        <f t="shared" si="4"/>
        <v>0.45350553259120263</v>
      </c>
      <c r="F12" s="398">
        <f t="shared" si="4"/>
        <v>0.50233648165001343</v>
      </c>
      <c r="G12" s="398">
        <f t="shared" si="4"/>
        <v>0.47088904186316971</v>
      </c>
      <c r="H12" s="398">
        <f t="shared" si="4"/>
        <v>0.46958379465747657</v>
      </c>
      <c r="I12" s="398">
        <f t="shared" si="4"/>
        <v>0.50991806667163642</v>
      </c>
      <c r="J12" s="398">
        <f t="shared" si="4"/>
        <v>0.5263537652529553</v>
      </c>
      <c r="K12" s="398">
        <f>K10/K7</f>
        <v>0.55820972171279082</v>
      </c>
      <c r="L12" s="398">
        <f>L10/L7</f>
        <v>0.56499999999999995</v>
      </c>
      <c r="M12" s="398">
        <f>M10/M7</f>
        <v>0.56620000000000004</v>
      </c>
      <c r="N12" s="398">
        <f>N10/N7</f>
        <v>0.56799999999999995</v>
      </c>
      <c r="O12" s="398">
        <f>O10/O7</f>
        <v>0.57309999999999994</v>
      </c>
      <c r="Q12" s="391"/>
      <c r="R12" s="391"/>
      <c r="S12" s="391"/>
      <c r="W12" s="399"/>
      <c r="Y12" s="393"/>
      <c r="AA12" s="392"/>
      <c r="AF12" s="392"/>
      <c r="AM12" s="539"/>
      <c r="AN12" s="539"/>
      <c r="AO12" s="539"/>
      <c r="AP12" s="539"/>
    </row>
    <row r="13" spans="1:43" s="389" customFormat="1" ht="11.25" customHeight="1" thickBot="1">
      <c r="A13" s="4639"/>
      <c r="B13" s="5137"/>
      <c r="C13" s="398"/>
      <c r="D13" s="398"/>
      <c r="E13" s="398"/>
      <c r="F13" s="398"/>
      <c r="G13" s="398"/>
      <c r="H13" s="398"/>
      <c r="I13" s="398"/>
      <c r="J13" s="398"/>
      <c r="K13" s="398"/>
      <c r="L13" s="398"/>
      <c r="M13" s="398"/>
      <c r="N13" s="398"/>
      <c r="O13" s="398"/>
      <c r="Q13" s="391"/>
      <c r="R13" s="391"/>
      <c r="S13" s="391"/>
      <c r="W13" s="399"/>
      <c r="Y13" s="393"/>
      <c r="AA13" s="392"/>
      <c r="AF13" s="392"/>
      <c r="AM13" s="398"/>
      <c r="AN13" s="398"/>
      <c r="AO13" s="398"/>
      <c r="AP13" s="398"/>
    </row>
    <row r="14" spans="1:43" s="383" customFormat="1" ht="11.25" customHeight="1" thickBot="1">
      <c r="A14" s="4642" t="s">
        <v>153</v>
      </c>
      <c r="B14" s="5138"/>
      <c r="C14" s="400">
        <f>-IS!DG33</f>
        <v>-4177</v>
      </c>
      <c r="D14" s="400">
        <f>-IS!DL33</f>
        <v>-5282</v>
      </c>
      <c r="E14" s="400">
        <f>-IS!DQ33</f>
        <v>-7813</v>
      </c>
      <c r="F14" s="400">
        <f>-IS!DV33</f>
        <v>-14701</v>
      </c>
      <c r="G14" s="400">
        <f>-IS!EA33</f>
        <v>-11356</v>
      </c>
      <c r="H14" s="400">
        <f>-IS!EF33</f>
        <v>-11922</v>
      </c>
      <c r="I14" s="400">
        <f>-IS!EK33</f>
        <v>-19697</v>
      </c>
      <c r="J14" s="400">
        <f ca="1">-IS!EP33</f>
        <v>-28503.322133278562</v>
      </c>
      <c r="K14" s="400">
        <f ca="1">-IS!EU33</f>
        <v>-27709.101193836643</v>
      </c>
      <c r="L14" s="400">
        <f ca="1">-IS!EV33</f>
        <v>-30841.509283419786</v>
      </c>
      <c r="M14" s="400">
        <f ca="1">-IS!EW33</f>
        <v>-34989.52451806816</v>
      </c>
      <c r="N14" s="400">
        <f ca="1">-IS!EX33</f>
        <v>-39590.106825249844</v>
      </c>
      <c r="O14" s="400">
        <f ca="1">-IS!EY33</f>
        <v>-44927.902197158037</v>
      </c>
      <c r="Q14" s="401"/>
      <c r="R14" s="401"/>
      <c r="S14" s="401"/>
      <c r="Y14" s="402"/>
      <c r="AM14" s="541"/>
      <c r="AN14" s="541"/>
      <c r="AO14" s="541"/>
      <c r="AP14" s="541"/>
    </row>
    <row r="15" spans="1:43" ht="11.25" customHeight="1" thickBot="1">
      <c r="A15" s="4643" t="s">
        <v>149</v>
      </c>
      <c r="B15" s="5139"/>
      <c r="C15" s="396">
        <f>CF!CI23</f>
        <v>-25139</v>
      </c>
      <c r="D15" s="396">
        <f>CF!CN23</f>
        <v>-23548</v>
      </c>
      <c r="E15" s="396">
        <f>CF!CS23</f>
        <v>-22281</v>
      </c>
      <c r="F15" s="396">
        <f>CF!CX23</f>
        <v>-24640</v>
      </c>
      <c r="G15" s="396">
        <f>CF!DC23</f>
        <v>-31485</v>
      </c>
      <c r="H15" s="396">
        <f>CF!DH23</f>
        <v>-32251</v>
      </c>
      <c r="I15" s="396">
        <f>CF!DM23</f>
        <v>-52535</v>
      </c>
      <c r="J15" s="396">
        <f>CF!DR23</f>
        <v>-92392.411129211658</v>
      </c>
      <c r="K15" s="396">
        <f>CF!DW23</f>
        <v>-140918.83466632356</v>
      </c>
      <c r="L15" s="396">
        <f>CF!DX23</f>
        <v>-156583.13115276871</v>
      </c>
      <c r="M15" s="396">
        <f>CF!DY23</f>
        <v>-171204.68556146964</v>
      </c>
      <c r="N15" s="396">
        <f>CF!DZ23</f>
        <v>-184596.54397761333</v>
      </c>
      <c r="O15" s="396">
        <f>CF!EA23</f>
        <v>-197553.72407966186</v>
      </c>
      <c r="Q15" s="395"/>
      <c r="R15" s="395"/>
      <c r="S15" s="395"/>
      <c r="W15" s="397"/>
      <c r="X15" s="397"/>
      <c r="Y15" s="403"/>
      <c r="Z15" s="397"/>
      <c r="AA15" s="396"/>
      <c r="AB15" s="397"/>
      <c r="AC15" s="397"/>
      <c r="AD15" s="397"/>
      <c r="AE15" s="397"/>
      <c r="AF15" s="396"/>
      <c r="AG15" s="397"/>
      <c r="AH15" s="397"/>
      <c r="AI15" s="397"/>
      <c r="AM15" s="540"/>
      <c r="AN15" s="540"/>
      <c r="AO15" s="540"/>
      <c r="AP15" s="540"/>
      <c r="AQ15" s="383"/>
    </row>
    <row r="16" spans="1:43" ht="11.25" customHeight="1" thickBot="1">
      <c r="A16" s="4642" t="s">
        <v>98</v>
      </c>
      <c r="B16" s="5139"/>
      <c r="C16" s="396">
        <f>CF!CI18</f>
        <v>4908</v>
      </c>
      <c r="D16" s="396">
        <f>CF!CN18</f>
        <v>819</v>
      </c>
      <c r="E16" s="396">
        <f>CF!CS18</f>
        <v>1827</v>
      </c>
      <c r="F16" s="396">
        <f>CF!CX18</f>
        <v>-1523</v>
      </c>
      <c r="G16" s="396">
        <f>CF!DC18</f>
        <v>-2235</v>
      </c>
      <c r="H16" s="396">
        <f>CF!DH18</f>
        <v>-3845</v>
      </c>
      <c r="I16" s="396">
        <f>CF!DM18</f>
        <v>-8406</v>
      </c>
      <c r="J16" s="396">
        <f>CF!DR18</f>
        <v>-1345.5187391365089</v>
      </c>
      <c r="K16" s="396">
        <f>CF!DW18</f>
        <v>1838.8016203279331</v>
      </c>
      <c r="L16" s="396">
        <f>CF!DX18</f>
        <v>951.20655616702061</v>
      </c>
      <c r="M16" s="396">
        <f>CF!DY18</f>
        <v>980.36227329055419</v>
      </c>
      <c r="N16" s="396">
        <f>CF!DZ18</f>
        <v>974.23773623181478</v>
      </c>
      <c r="O16" s="396">
        <f>CF!EA18</f>
        <v>1045.5342861244044</v>
      </c>
      <c r="Q16" s="401"/>
      <c r="R16" s="401"/>
      <c r="S16" s="401"/>
      <c r="W16" s="397"/>
      <c r="X16" s="397"/>
      <c r="Y16" s="403"/>
      <c r="Z16" s="397"/>
      <c r="AA16" s="396"/>
      <c r="AB16" s="397"/>
      <c r="AC16" s="397"/>
      <c r="AD16" s="397"/>
      <c r="AE16" s="397"/>
      <c r="AF16" s="396"/>
      <c r="AG16" s="397"/>
      <c r="AH16" s="397"/>
      <c r="AI16" s="397"/>
      <c r="AM16" s="540"/>
      <c r="AN16" s="540"/>
      <c r="AO16" s="540"/>
      <c r="AP16" s="540"/>
      <c r="AQ16" s="383"/>
    </row>
    <row r="17" spans="1:43" ht="11.25" customHeight="1" thickBot="1">
      <c r="A17" s="4644" t="s">
        <v>154</v>
      </c>
      <c r="B17" s="5136"/>
      <c r="C17" s="3625">
        <f t="shared" ref="C17:I17" si="5">C10+SUM(C14:C16)</f>
        <v>26575</v>
      </c>
      <c r="D17" s="3625">
        <f t="shared" si="5"/>
        <v>30492</v>
      </c>
      <c r="E17" s="3625">
        <f t="shared" si="5"/>
        <v>39645</v>
      </c>
      <c r="F17" s="3625">
        <f t="shared" si="5"/>
        <v>65667</v>
      </c>
      <c r="G17" s="3625">
        <f t="shared" si="5"/>
        <v>65056</v>
      </c>
      <c r="H17" s="3625">
        <f t="shared" si="5"/>
        <v>72434</v>
      </c>
      <c r="I17" s="3625">
        <f t="shared" si="5"/>
        <v>69848</v>
      </c>
      <c r="J17" s="3625">
        <f t="shared" ref="J17:O17" ca="1" si="6">J10+SUM(J14:J16)</f>
        <v>57596.479437396294</v>
      </c>
      <c r="K17" s="3625">
        <f t="shared" ca="1" si="6"/>
        <v>58299.787114106031</v>
      </c>
      <c r="L17" s="3625">
        <f t="shared" ca="1" si="6"/>
        <v>73730.887006197037</v>
      </c>
      <c r="M17" s="3625">
        <f t="shared" ca="1" si="6"/>
        <v>88531.888451037928</v>
      </c>
      <c r="N17" s="3625">
        <f t="shared" ca="1" si="6"/>
        <v>104446.45249363227</v>
      </c>
      <c r="O17" s="3625">
        <f t="shared" ca="1" si="6"/>
        <v>123783.38952560828</v>
      </c>
      <c r="Q17" s="391">
        <f ca="1">(M17/H17)^(1/5)-1</f>
        <v>4.0953792703773528E-2</v>
      </c>
      <c r="R17" s="391">
        <f ca="1">(N17/I17)^(1/5)-1</f>
        <v>8.3796997983933252E-2</v>
      </c>
      <c r="S17" s="391">
        <f ca="1">(O17/J17)^(1/5)-1</f>
        <v>0.16534169785159625</v>
      </c>
      <c r="AM17" s="603"/>
      <c r="AN17" s="603"/>
      <c r="AO17" s="603"/>
      <c r="AP17" s="603"/>
      <c r="AQ17" s="383"/>
    </row>
    <row r="18" spans="1:43" ht="11.25" customHeight="1" thickBot="1">
      <c r="A18" s="4641" t="s">
        <v>106</v>
      </c>
      <c r="B18" s="5139"/>
      <c r="C18" s="405">
        <f>C17/25007-1</f>
        <v>6.2702443315871603E-2</v>
      </c>
      <c r="D18" s="405">
        <f t="shared" ref="D18:N18" si="7">D17/C17-1</f>
        <v>0.1473941674506114</v>
      </c>
      <c r="E18" s="405">
        <f t="shared" si="7"/>
        <v>0.30017709563164119</v>
      </c>
      <c r="F18" s="405">
        <f t="shared" si="7"/>
        <v>0.65637533106318569</v>
      </c>
      <c r="G18" s="405">
        <f>G17/F17-1</f>
        <v>-9.3045212968462243E-3</v>
      </c>
      <c r="H18" s="405">
        <f t="shared" si="7"/>
        <v>0.11340998524348245</v>
      </c>
      <c r="I18" s="405">
        <f t="shared" si="7"/>
        <v>-3.5701466162299522E-2</v>
      </c>
      <c r="J18" s="405">
        <f t="shared" ca="1" si="7"/>
        <v>-0.17540259653252355</v>
      </c>
      <c r="K18" s="405">
        <f t="shared" ca="1" si="7"/>
        <v>1.221094906458986E-2</v>
      </c>
      <c r="L18" s="405">
        <f t="shared" ca="1" si="7"/>
        <v>0.26468535574390373</v>
      </c>
      <c r="M18" s="405">
        <f t="shared" ca="1" si="7"/>
        <v>0.20074356956531503</v>
      </c>
      <c r="N18" s="405">
        <f t="shared" ca="1" si="7"/>
        <v>0.17976081072071337</v>
      </c>
      <c r="O18" s="405">
        <f t="shared" ref="O18" ca="1" si="8">O17/N17-1</f>
        <v>0.18513732702558672</v>
      </c>
      <c r="AM18" s="405"/>
      <c r="AN18" s="405"/>
      <c r="AO18" s="405"/>
      <c r="AP18" s="405"/>
    </row>
    <row r="19" spans="1:43" s="410" customFormat="1" ht="11.25" customHeight="1" thickBot="1">
      <c r="A19" s="4645"/>
      <c r="B19" s="5139"/>
      <c r="C19" s="408"/>
      <c r="D19" s="408"/>
      <c r="E19" s="408"/>
      <c r="F19" s="408"/>
      <c r="G19" s="408"/>
      <c r="H19" s="408"/>
      <c r="I19" s="408"/>
      <c r="J19" s="408"/>
      <c r="K19" s="384"/>
      <c r="L19" s="384"/>
      <c r="M19" s="384"/>
      <c r="N19" s="384"/>
      <c r="Y19" s="613"/>
      <c r="Z19" s="614"/>
      <c r="AA19" s="604"/>
      <c r="AB19" s="418"/>
      <c r="AC19" s="418"/>
      <c r="AD19" s="418"/>
      <c r="AE19" s="418"/>
      <c r="AF19" s="418"/>
      <c r="AG19" s="614"/>
      <c r="AH19" s="605"/>
      <c r="AI19" s="606"/>
      <c r="AJ19" s="566"/>
      <c r="AK19" s="384"/>
    </row>
    <row r="20" spans="1:43" s="409" customFormat="1" ht="11.25" customHeight="1" thickBot="1">
      <c r="A20" s="4646" t="s">
        <v>358</v>
      </c>
      <c r="B20" s="5139"/>
      <c r="C20" s="411"/>
      <c r="D20" s="411"/>
      <c r="E20" s="411"/>
      <c r="F20" s="413"/>
      <c r="G20" s="413"/>
      <c r="H20" s="5761"/>
      <c r="I20" s="6005"/>
      <c r="J20" s="6005">
        <f>K20</f>
        <v>40</v>
      </c>
      <c r="K20" s="5761">
        <v>40</v>
      </c>
      <c r="L20" s="384"/>
      <c r="M20" s="384"/>
      <c r="N20" s="384"/>
      <c r="X20" s="384"/>
      <c r="Y20" s="605"/>
      <c r="Z20" s="614"/>
      <c r="AA20" s="604"/>
      <c r="AB20" s="418"/>
      <c r="AC20" s="418"/>
      <c r="AD20" s="418"/>
      <c r="AE20" s="418"/>
      <c r="AF20" s="418"/>
      <c r="AG20" s="614"/>
      <c r="AH20" s="605"/>
      <c r="AI20" s="606"/>
      <c r="AJ20" s="566"/>
      <c r="AK20" s="384"/>
    </row>
    <row r="21" spans="1:43" s="409" customFormat="1" ht="11.25" customHeight="1" thickBot="1">
      <c r="A21" s="4646" t="s">
        <v>103</v>
      </c>
      <c r="B21" s="5139"/>
      <c r="C21" s="414"/>
      <c r="D21" s="414"/>
      <c r="E21" s="414"/>
      <c r="F21" s="415"/>
      <c r="G21" s="415"/>
      <c r="H21" s="5762"/>
      <c r="I21" s="6006"/>
      <c r="J21" s="6006">
        <f>K21</f>
        <v>0.08</v>
      </c>
      <c r="K21" s="5762">
        <v>0.08</v>
      </c>
      <c r="L21" s="384"/>
      <c r="M21" s="384"/>
      <c r="N21" s="384"/>
      <c r="X21" s="384"/>
      <c r="Y21" s="605"/>
      <c r="Z21" s="614"/>
      <c r="AA21" s="604"/>
      <c r="AB21" s="418"/>
      <c r="AC21" s="418"/>
      <c r="AD21" s="418"/>
      <c r="AE21" s="418"/>
      <c r="AF21" s="418"/>
      <c r="AG21" s="614"/>
      <c r="AH21" s="383"/>
      <c r="AI21" s="383"/>
      <c r="AJ21" s="383"/>
      <c r="AK21" s="384"/>
    </row>
    <row r="22" spans="1:43" ht="11.25" customHeight="1" thickBot="1">
      <c r="A22" s="4646" t="s">
        <v>105</v>
      </c>
      <c r="B22" s="5139"/>
      <c r="C22" s="406"/>
      <c r="D22" s="406"/>
      <c r="E22" s="406"/>
      <c r="F22" s="406"/>
      <c r="G22" s="406"/>
      <c r="H22" s="5763"/>
      <c r="I22" s="5763"/>
      <c r="J22" s="5763">
        <f ca="1">J20*$N$17</f>
        <v>4177858.0997452908</v>
      </c>
      <c r="K22" s="5763">
        <f ca="1">K20*$O$17</f>
        <v>4951335.581024331</v>
      </c>
      <c r="Y22" s="605"/>
      <c r="Z22" s="614"/>
      <c r="AA22" s="604"/>
      <c r="AB22" s="418"/>
      <c r="AC22" s="418"/>
      <c r="AD22" s="609"/>
      <c r="AE22" s="418"/>
      <c r="AF22" s="418"/>
      <c r="AG22" s="614"/>
      <c r="AH22" s="4"/>
      <c r="AI22" s="4"/>
      <c r="AJ22" s="4"/>
    </row>
    <row r="23" spans="1:43" ht="11.25" customHeight="1" thickBot="1">
      <c r="B23" s="5139"/>
      <c r="C23" s="412"/>
      <c r="D23" s="412"/>
      <c r="E23" s="412"/>
      <c r="F23" s="412"/>
      <c r="G23" s="412"/>
      <c r="H23" s="5764"/>
      <c r="I23" s="5764"/>
      <c r="J23" s="5764"/>
      <c r="K23" s="5764"/>
      <c r="Y23" s="605"/>
      <c r="Z23" s="614"/>
      <c r="AA23" s="604"/>
      <c r="AB23" s="418"/>
      <c r="AC23" s="418"/>
      <c r="AD23" s="418"/>
      <c r="AE23" s="418"/>
      <c r="AF23" s="418"/>
      <c r="AG23" s="614"/>
      <c r="AH23" s="593"/>
      <c r="AI23" s="4"/>
      <c r="AJ23" s="4"/>
    </row>
    <row r="24" spans="1:43" ht="11.25" customHeight="1" thickBot="1">
      <c r="A24" s="4643" t="s">
        <v>155</v>
      </c>
      <c r="B24" s="5139"/>
      <c r="C24" s="406"/>
      <c r="D24" s="406"/>
      <c r="E24" s="406"/>
      <c r="F24" s="406"/>
      <c r="G24" s="406"/>
      <c r="H24" s="5763"/>
      <c r="I24" s="5763"/>
      <c r="J24" s="5763">
        <f ca="1">NPV(J21,K17:$N$17)</f>
        <v>264244.36406295141</v>
      </c>
      <c r="K24" s="5763">
        <f ca="1">NPV(K21,L17:$O$17)</f>
        <v>318068.61265553534</v>
      </c>
      <c r="Y24" s="605"/>
      <c r="Z24" s="614"/>
      <c r="AA24" s="607"/>
      <c r="AB24" s="608"/>
      <c r="AC24" s="608"/>
      <c r="AD24" s="608"/>
      <c r="AE24" s="608"/>
      <c r="AF24" s="608"/>
      <c r="AG24" s="614"/>
      <c r="AH24" s="593"/>
      <c r="AI24" s="4"/>
      <c r="AJ24" s="4"/>
    </row>
    <row r="25" spans="1:43" ht="11.25" customHeight="1" thickBot="1">
      <c r="A25" s="4643" t="s">
        <v>156</v>
      </c>
      <c r="B25" s="5139"/>
      <c r="C25" s="1466"/>
      <c r="D25" s="1466"/>
      <c r="E25" s="1466"/>
      <c r="F25" s="1466"/>
      <c r="G25" s="1466"/>
      <c r="H25" s="1466"/>
      <c r="I25" s="1466"/>
      <c r="J25" s="1466">
        <f ca="1">J22/((1+J21)^COUNTA(K6:$N$6))</f>
        <v>3070850.4240602511</v>
      </c>
      <c r="K25" s="1466">
        <f ca="1">K22/((1+K21)^COUNTA(L6:$O$6))</f>
        <v>3639379.4632661552</v>
      </c>
      <c r="L25" s="395"/>
      <c r="M25" s="395"/>
      <c r="N25" s="395"/>
      <c r="Y25" s="605"/>
      <c r="Z25" s="614"/>
      <c r="AA25" s="604"/>
      <c r="AB25" s="418"/>
      <c r="AC25" s="418"/>
      <c r="AD25" s="418"/>
      <c r="AE25" s="418"/>
      <c r="AF25" s="418"/>
      <c r="AG25" s="614"/>
      <c r="AH25" s="593"/>
      <c r="AI25" s="4"/>
      <c r="AJ25" s="4"/>
    </row>
    <row r="26" spans="1:43" ht="11.25" customHeight="1" thickBot="1">
      <c r="A26" s="4647" t="s">
        <v>108</v>
      </c>
      <c r="B26" s="5140"/>
      <c r="C26" s="3626"/>
      <c r="D26" s="3626"/>
      <c r="E26" s="3626"/>
      <c r="F26" s="3626"/>
      <c r="G26" s="3626"/>
      <c r="H26" s="3626"/>
      <c r="I26" s="3626"/>
      <c r="J26" s="3626">
        <f ca="1">SUM(J24:J25)</f>
        <v>3335094.7881232025</v>
      </c>
      <c r="K26" s="3626">
        <f ca="1">SUM(K24:K25)</f>
        <v>3957448.0759216906</v>
      </c>
      <c r="Y26" s="605"/>
      <c r="Z26" s="614"/>
      <c r="AA26" s="604"/>
      <c r="AB26" s="418"/>
      <c r="AC26" s="418"/>
      <c r="AD26" s="418"/>
      <c r="AE26" s="418"/>
      <c r="AF26" s="418"/>
      <c r="AG26" s="614"/>
      <c r="AH26" s="593"/>
      <c r="AI26" s="4"/>
      <c r="AJ26" s="4"/>
    </row>
    <row r="27" spans="1:43" ht="11.25" customHeight="1" thickBot="1">
      <c r="B27" s="5139"/>
      <c r="C27" s="412"/>
      <c r="D27" s="412"/>
      <c r="E27" s="412"/>
      <c r="F27" s="412"/>
      <c r="G27" s="412"/>
      <c r="H27" s="5764"/>
      <c r="I27" s="5764"/>
      <c r="J27" s="5764"/>
      <c r="K27" s="5764"/>
      <c r="M27" s="3627"/>
      <c r="N27" s="3628"/>
      <c r="O27" s="3630"/>
      <c r="P27" s="3631"/>
      <c r="Q27" s="3630" t="s">
        <v>996</v>
      </c>
      <c r="R27" s="3630"/>
      <c r="S27" s="3632"/>
      <c r="AB27" s="418"/>
      <c r="AC27" s="418"/>
      <c r="AD27" s="609"/>
      <c r="AE27" s="418"/>
      <c r="AF27" s="418"/>
      <c r="AG27" s="614"/>
      <c r="AH27" s="593"/>
      <c r="AI27" s="4"/>
      <c r="AJ27" s="4"/>
    </row>
    <row r="28" spans="1:43" ht="11.25" customHeight="1" thickBot="1">
      <c r="A28" s="4643" t="s">
        <v>157</v>
      </c>
      <c r="B28" s="5139"/>
      <c r="C28" s="542"/>
      <c r="D28" s="542"/>
      <c r="E28" s="542"/>
      <c r="F28" s="542"/>
      <c r="G28" s="542"/>
      <c r="H28" s="592"/>
      <c r="I28" s="592"/>
      <c r="J28" s="592">
        <f ca="1">'Rel Val'!X11</f>
        <v>98348.482682274771</v>
      </c>
      <c r="K28" s="592">
        <f ca="1">'Rel Val'!Y11</f>
        <v>80552.215656951957</v>
      </c>
      <c r="M28" s="3629"/>
      <c r="N28" s="3640">
        <f ca="1">K35</f>
        <v>334.06095600971167</v>
      </c>
      <c r="O28" s="6050">
        <f>P28-1</f>
        <v>38</v>
      </c>
      <c r="P28" s="6050">
        <f>Q28-1</f>
        <v>39</v>
      </c>
      <c r="Q28" s="6051">
        <v>40</v>
      </c>
      <c r="R28" s="6050">
        <f>Q28+1</f>
        <v>41</v>
      </c>
      <c r="S28" s="6052">
        <f>R28+2</f>
        <v>43</v>
      </c>
      <c r="AB28" s="418"/>
      <c r="AC28" s="418"/>
      <c r="AD28" s="418"/>
      <c r="AE28" s="418"/>
      <c r="AF28" s="418"/>
      <c r="AG28" s="614"/>
      <c r="AH28" s="593"/>
      <c r="AI28" s="4"/>
      <c r="AJ28" s="4"/>
    </row>
    <row r="29" spans="1:43" ht="11.25" customHeight="1" thickBot="1">
      <c r="A29" s="4643" t="s">
        <v>158</v>
      </c>
      <c r="B29" s="5139"/>
      <c r="C29" s="592"/>
      <c r="D29" s="592"/>
      <c r="E29" s="592"/>
      <c r="F29" s="592"/>
      <c r="G29" s="592"/>
      <c r="H29" s="592"/>
      <c r="I29" s="592"/>
      <c r="J29" s="592">
        <f>'Rel Val'!X10</f>
        <v>21607</v>
      </c>
      <c r="K29" s="592">
        <f>'Rel Val'!Y10</f>
        <v>21607</v>
      </c>
      <c r="M29" s="6271" t="s">
        <v>103</v>
      </c>
      <c r="N29" s="3637">
        <f>N30-1%</f>
        <v>0.05</v>
      </c>
      <c r="O29" s="6055">
        <f t="dataTable" ref="O29:S35" dt2D="1" dtr="1" r1="K20" r2="K21" ca="1"/>
        <v>354.93359871248452</v>
      </c>
      <c r="P29" s="6053">
        <v>363.27137343071126</v>
      </c>
      <c r="Q29" s="6053">
        <v>371.609148148938</v>
      </c>
      <c r="R29" s="6053">
        <v>379.94692286716474</v>
      </c>
      <c r="S29" s="6054">
        <v>396.62247230361817</v>
      </c>
      <c r="AB29" s="418"/>
      <c r="AC29" s="418"/>
      <c r="AD29" s="418"/>
      <c r="AE29" s="418"/>
      <c r="AF29" s="418"/>
      <c r="AG29" s="614"/>
      <c r="AH29" s="4"/>
      <c r="AI29" s="610"/>
      <c r="AJ29" s="4"/>
    </row>
    <row r="30" spans="1:43" ht="11.25" customHeight="1" thickBot="1">
      <c r="A30" s="4643" t="s">
        <v>773</v>
      </c>
      <c r="B30" s="5139"/>
      <c r="C30" s="592"/>
      <c r="D30" s="592"/>
      <c r="E30" s="592"/>
      <c r="F30" s="592"/>
      <c r="G30" s="592"/>
      <c r="H30" s="592"/>
      <c r="I30" s="592"/>
      <c r="J30" s="592">
        <f>'Rel Val'!X12</f>
        <v>63800</v>
      </c>
      <c r="K30" s="592">
        <f>'Rel Val'!Y12</f>
        <v>63800</v>
      </c>
      <c r="M30" s="6272"/>
      <c r="N30" s="3637">
        <f>N31-1%</f>
        <v>6.0000000000000005E-2</v>
      </c>
      <c r="O30" s="6056">
        <v>342.45066203019047</v>
      </c>
      <c r="P30" s="3633">
        <v>350.47822815788953</v>
      </c>
      <c r="Q30" s="3633">
        <v>358.50579428558871</v>
      </c>
      <c r="R30" s="3633">
        <v>366.53336041328782</v>
      </c>
      <c r="S30" s="3634">
        <v>382.58849266868611</v>
      </c>
      <c r="AB30" s="418"/>
      <c r="AC30" s="418"/>
      <c r="AD30" s="418"/>
      <c r="AE30" s="418"/>
      <c r="AF30" s="418"/>
      <c r="AG30" s="614"/>
      <c r="AH30" s="4"/>
      <c r="AI30" s="610"/>
      <c r="AJ30" s="4"/>
    </row>
    <row r="31" spans="1:43" ht="11.25" customHeight="1" thickBot="1">
      <c r="A31" s="4647" t="s">
        <v>159</v>
      </c>
      <c r="B31" s="5139"/>
      <c r="C31" s="3663"/>
      <c r="D31" s="3663"/>
      <c r="E31" s="3663"/>
      <c r="F31" s="3663"/>
      <c r="G31" s="3663"/>
      <c r="H31" s="5765"/>
      <c r="I31" s="5765"/>
      <c r="J31" s="5765">
        <f ca="1">J26+J28-J29+J30</f>
        <v>3475636.2708054772</v>
      </c>
      <c r="K31" s="5765">
        <f ca="1">K26+K28-K29+K30</f>
        <v>4080193.2915786426</v>
      </c>
      <c r="M31" s="6272"/>
      <c r="N31" s="3637">
        <f>N32-1%</f>
        <v>7.0000000000000007E-2</v>
      </c>
      <c r="O31" s="6056">
        <v>330.53729940471521</v>
      </c>
      <c r="P31" s="6049">
        <v>338.26895040439791</v>
      </c>
      <c r="Q31" s="6049">
        <v>346.00060140408061</v>
      </c>
      <c r="R31" s="6049">
        <v>353.73225240376325</v>
      </c>
      <c r="S31" s="3634">
        <v>369.19555440312871</v>
      </c>
      <c r="AB31" s="418"/>
      <c r="AC31" s="418"/>
      <c r="AD31" s="418"/>
      <c r="AE31" s="418"/>
      <c r="AF31" s="418"/>
      <c r="AG31" s="614"/>
      <c r="AH31" s="4"/>
      <c r="AI31" s="4"/>
      <c r="AJ31" s="4"/>
    </row>
    <row r="32" spans="1:43" ht="11.25" customHeight="1" thickBot="1">
      <c r="A32" s="4643"/>
      <c r="B32" s="5139"/>
      <c r="C32" s="412"/>
      <c r="D32" s="412"/>
      <c r="E32" s="412"/>
      <c r="F32" s="412"/>
      <c r="G32" s="412"/>
      <c r="H32" s="5764"/>
      <c r="I32" s="5764"/>
      <c r="J32" s="5764"/>
      <c r="K32" s="5764"/>
      <c r="M32" s="6272"/>
      <c r="N32" s="3638">
        <v>0.08</v>
      </c>
      <c r="O32" s="6056">
        <v>319.16246351316607</v>
      </c>
      <c r="P32" s="6049">
        <v>326.61170976143887</v>
      </c>
      <c r="Q32" s="6049">
        <v>334.06095600971167</v>
      </c>
      <c r="R32" s="6049">
        <v>341.51020225798447</v>
      </c>
      <c r="S32" s="3634">
        <v>356.40869475453007</v>
      </c>
      <c r="AB32" s="417"/>
      <c r="AC32" s="417"/>
      <c r="AD32" s="417"/>
      <c r="AE32" s="417"/>
      <c r="AF32" s="417"/>
      <c r="AG32" s="614"/>
      <c r="AH32" s="4"/>
      <c r="AI32" s="611"/>
      <c r="AJ32" s="4"/>
    </row>
    <row r="33" spans="1:37" ht="11.25" customHeight="1" thickBot="1">
      <c r="A33" s="4646" t="s">
        <v>160</v>
      </c>
      <c r="B33" s="5139"/>
      <c r="C33" s="407"/>
      <c r="D33" s="407"/>
      <c r="E33" s="407"/>
      <c r="F33" s="407"/>
      <c r="G33" s="407"/>
      <c r="H33" s="5766"/>
      <c r="I33" s="5766"/>
      <c r="J33" s="5766">
        <f>'Rel Val'!X8</f>
        <v>12225.119666666666</v>
      </c>
      <c r="K33" s="5766">
        <f>'Rel Val'!Y8</f>
        <v>12213.918502526303</v>
      </c>
      <c r="M33" s="6272"/>
      <c r="N33" s="3637">
        <f>N32+1%</f>
        <v>0.09</v>
      </c>
      <c r="O33" s="6056">
        <v>308.29706740820001</v>
      </c>
      <c r="P33" s="6049">
        <v>315.47668579462584</v>
      </c>
      <c r="Q33" s="6049">
        <v>322.65630418105167</v>
      </c>
      <c r="R33" s="6049">
        <v>329.8359225674775</v>
      </c>
      <c r="S33" s="3634">
        <v>344.19515934032916</v>
      </c>
      <c r="AB33" s="417"/>
      <c r="AC33" s="418"/>
      <c r="AD33" s="418"/>
      <c r="AE33" s="418"/>
      <c r="AF33" s="417"/>
      <c r="AG33" s="614"/>
      <c r="AH33" s="4"/>
      <c r="AI33" s="212"/>
      <c r="AJ33" s="4"/>
      <c r="AK33" s="409"/>
    </row>
    <row r="34" spans="1:37" ht="11.25" customHeight="1" thickBot="1">
      <c r="B34" s="5139"/>
      <c r="C34" s="412"/>
      <c r="D34" s="412"/>
      <c r="E34" s="412"/>
      <c r="F34" s="412"/>
      <c r="G34" s="412"/>
      <c r="H34" s="5764"/>
      <c r="I34" s="5764"/>
      <c r="J34" s="5764"/>
      <c r="K34" s="5764"/>
      <c r="M34" s="6272"/>
      <c r="N34" s="3637">
        <f>N33+1%</f>
        <v>9.9999999999999992E-2</v>
      </c>
      <c r="O34" s="6056">
        <v>297.91384418450968</v>
      </c>
      <c r="P34" s="3633">
        <v>304.83592415247398</v>
      </c>
      <c r="Q34" s="3633">
        <v>311.75800412043827</v>
      </c>
      <c r="R34" s="3633">
        <v>318.68008408840268</v>
      </c>
      <c r="S34" s="3634">
        <v>332.52424402433132</v>
      </c>
      <c r="AB34" s="417"/>
      <c r="AC34" s="418"/>
      <c r="AD34" s="609"/>
      <c r="AE34" s="418"/>
      <c r="AF34" s="417"/>
      <c r="AG34" s="614"/>
      <c r="AH34" s="4"/>
      <c r="AI34" s="611"/>
      <c r="AJ34" s="4"/>
      <c r="AK34" s="409"/>
    </row>
    <row r="35" spans="1:37" ht="11.25" customHeight="1" thickBot="1">
      <c r="A35" s="4648" t="s">
        <v>161</v>
      </c>
      <c r="B35" s="5141"/>
      <c r="C35" s="3664"/>
      <c r="D35" s="3664"/>
      <c r="E35" s="3664"/>
      <c r="F35" s="3664"/>
      <c r="G35" s="3664"/>
      <c r="H35" s="3664"/>
      <c r="I35" s="3664"/>
      <c r="J35" s="3664">
        <f ca="1">J31/J33</f>
        <v>284.30284247296481</v>
      </c>
      <c r="K35" s="3664">
        <f ca="1">K31/K33</f>
        <v>334.06095600971167</v>
      </c>
      <c r="M35" s="6273"/>
      <c r="N35" s="3639">
        <f>N34+1%</f>
        <v>0.10999999999999999</v>
      </c>
      <c r="O35" s="6057">
        <v>287.9872178526839</v>
      </c>
      <c r="P35" s="3635">
        <v>294.66320416684744</v>
      </c>
      <c r="Q35" s="3635">
        <v>301.33919048101092</v>
      </c>
      <c r="R35" s="3635">
        <v>308.0151767951744</v>
      </c>
      <c r="S35" s="3636">
        <v>321.36714942350142</v>
      </c>
      <c r="AB35" s="417"/>
      <c r="AC35" s="418"/>
      <c r="AD35" s="418"/>
      <c r="AE35" s="418"/>
      <c r="AF35" s="417"/>
      <c r="AG35" s="614"/>
      <c r="AH35" s="615"/>
      <c r="AI35" s="615"/>
      <c r="AJ35" s="615"/>
      <c r="AK35" s="410"/>
    </row>
    <row r="36" spans="1:37" ht="11.25" customHeight="1">
      <c r="A36" s="4649"/>
      <c r="B36" s="3623"/>
      <c r="C36" s="3623"/>
      <c r="D36" s="3623"/>
      <c r="E36" s="3623"/>
      <c r="F36" s="3623"/>
      <c r="G36" s="3623"/>
      <c r="H36" s="5767"/>
      <c r="I36" s="5767"/>
      <c r="J36" s="5767"/>
      <c r="K36" s="5767"/>
      <c r="L36" s="409"/>
      <c r="M36" s="409"/>
      <c r="N36" s="409"/>
      <c r="Q36"/>
      <c r="R36"/>
      <c r="S36"/>
      <c r="T36"/>
      <c r="Y36" s="605"/>
      <c r="Z36" s="615"/>
      <c r="AA36" s="604"/>
      <c r="AB36" s="417"/>
      <c r="AC36" s="417"/>
      <c r="AD36" s="417"/>
      <c r="AE36" s="417"/>
      <c r="AF36" s="417"/>
      <c r="AG36" s="615"/>
      <c r="AH36" s="615"/>
      <c r="AI36" s="615"/>
      <c r="AJ36" s="615"/>
      <c r="AK36" s="410"/>
    </row>
    <row r="37" spans="1:37" ht="11.25" customHeight="1">
      <c r="A37" s="525" t="s">
        <v>337</v>
      </c>
      <c r="B37" s="383"/>
      <c r="C37" s="383"/>
      <c r="D37" s="383"/>
      <c r="E37" s="383"/>
      <c r="F37" s="383"/>
      <c r="G37" s="383"/>
      <c r="H37" s="383"/>
      <c r="I37" s="383"/>
      <c r="J37" s="383"/>
      <c r="K37" s="383"/>
      <c r="L37" s="409"/>
      <c r="M37" s="409"/>
      <c r="N37" s="409"/>
      <c r="Q37"/>
      <c r="R37"/>
      <c r="S37"/>
      <c r="T37"/>
      <c r="Y37" s="605"/>
      <c r="Z37" s="615"/>
      <c r="AA37" s="604"/>
      <c r="AB37" s="418"/>
      <c r="AC37" s="418"/>
      <c r="AD37" s="418"/>
      <c r="AE37" s="418"/>
      <c r="AF37" s="418"/>
      <c r="AG37" s="615"/>
      <c r="AH37" s="615"/>
      <c r="AI37" s="615"/>
      <c r="AJ37" s="615"/>
      <c r="AK37" s="409"/>
    </row>
    <row r="38" spans="1:37" ht="11.25" customHeight="1">
      <c r="C38" s="383"/>
      <c r="D38" s="383"/>
      <c r="E38" s="383"/>
      <c r="F38" s="383"/>
      <c r="G38" s="383"/>
      <c r="H38" s="383"/>
      <c r="I38" s="383"/>
      <c r="J38" s="383"/>
      <c r="K38" s="383"/>
      <c r="T38"/>
      <c r="Y38" s="605"/>
      <c r="Z38" s="615"/>
      <c r="AA38" s="604"/>
      <c r="AB38" s="419"/>
      <c r="AC38" s="419"/>
      <c r="AD38" s="419"/>
      <c r="AE38" s="419"/>
      <c r="AF38" s="419"/>
      <c r="AG38" s="615"/>
      <c r="AH38" s="383"/>
      <c r="AI38" s="383"/>
      <c r="AJ38" s="383"/>
      <c r="AK38" s="409"/>
    </row>
    <row r="39" spans="1:37" ht="11.25" customHeight="1">
      <c r="A39" s="4650" t="s">
        <v>167</v>
      </c>
      <c r="B39" s="3641"/>
      <c r="C39" s="3641"/>
      <c r="D39" s="3641"/>
      <c r="E39" s="4659"/>
      <c r="F39" s="4659"/>
      <c r="G39" s="4659"/>
      <c r="H39" s="4659"/>
      <c r="I39" s="4659"/>
      <c r="J39" s="4659"/>
      <c r="K39" s="5273"/>
      <c r="Y39" s="605"/>
      <c r="Z39" s="383"/>
      <c r="AA39" s="604"/>
      <c r="AB39" s="419"/>
      <c r="AC39" s="419"/>
      <c r="AD39" s="419"/>
      <c r="AE39" s="419"/>
      <c r="AF39" s="419"/>
      <c r="AG39" s="383"/>
      <c r="AH39" s="383"/>
      <c r="AI39" s="383"/>
      <c r="AJ39" s="383"/>
      <c r="AK39" s="409"/>
    </row>
    <row r="40" spans="1:37" ht="11.25" customHeight="1">
      <c r="A40" s="4651" t="s">
        <v>168</v>
      </c>
      <c r="B40" s="383"/>
      <c r="C40" s="383"/>
      <c r="D40" s="383"/>
      <c r="E40" s="4660"/>
      <c r="F40" s="4660"/>
      <c r="G40" s="4660"/>
      <c r="H40" s="4660"/>
      <c r="I40" s="4660"/>
      <c r="J40" s="4660"/>
      <c r="K40" s="5768">
        <v>0.04</v>
      </c>
      <c r="Y40" s="605"/>
      <c r="Z40" s="383"/>
      <c r="AA40" s="604"/>
      <c r="AB40" s="419"/>
      <c r="AC40" s="419"/>
      <c r="AD40" s="612"/>
      <c r="AE40" s="419"/>
      <c r="AF40" s="419"/>
      <c r="AG40" s="383"/>
      <c r="AH40" s="383"/>
      <c r="AI40" s="383"/>
      <c r="AJ40" s="383"/>
    </row>
    <row r="41" spans="1:37" ht="11.25" customHeight="1">
      <c r="A41" s="4652" t="s">
        <v>756</v>
      </c>
      <c r="B41" s="383"/>
      <c r="C41" s="383"/>
      <c r="D41" s="383"/>
      <c r="E41" s="4661"/>
      <c r="F41" s="4661"/>
      <c r="G41" s="4661"/>
      <c r="H41" s="4661"/>
      <c r="I41" s="4661"/>
      <c r="J41" s="4661"/>
      <c r="K41" s="5769">
        <v>1</v>
      </c>
      <c r="T41" s="383"/>
      <c r="U41" s="383"/>
      <c r="V41" s="383"/>
      <c r="Y41" s="402"/>
      <c r="Z41" s="383"/>
      <c r="AA41" s="604"/>
      <c r="AB41" s="419"/>
      <c r="AC41" s="419"/>
      <c r="AD41" s="419"/>
      <c r="AE41" s="419"/>
      <c r="AF41" s="419"/>
      <c r="AG41" s="383"/>
      <c r="AH41" s="383"/>
      <c r="AI41" s="383"/>
      <c r="AJ41" s="383"/>
    </row>
    <row r="42" spans="1:37" ht="11.25" customHeight="1">
      <c r="A42" s="4652" t="s">
        <v>757</v>
      </c>
      <c r="B42" s="383"/>
      <c r="C42" s="383"/>
      <c r="D42" s="383"/>
      <c r="E42" s="4662"/>
      <c r="F42" s="4662"/>
      <c r="G42" s="4662"/>
      <c r="H42" s="4662"/>
      <c r="I42" s="4662"/>
      <c r="J42" s="4662"/>
      <c r="K42" s="5770">
        <v>0.05</v>
      </c>
      <c r="T42" s="383"/>
      <c r="U42" s="383"/>
      <c r="V42" s="383"/>
      <c r="Y42" s="402"/>
      <c r="Z42" s="383"/>
      <c r="AA42" s="604"/>
      <c r="AB42" s="419"/>
      <c r="AC42" s="419"/>
      <c r="AD42" s="419"/>
      <c r="AE42" s="419"/>
      <c r="AF42" s="419"/>
      <c r="AG42" s="383"/>
      <c r="AH42" s="383"/>
      <c r="AI42" s="383"/>
      <c r="AJ42" s="383"/>
    </row>
    <row r="43" spans="1:37" ht="11.25" customHeight="1">
      <c r="A43" s="4653" t="s">
        <v>758</v>
      </c>
      <c r="B43" s="383"/>
      <c r="C43" s="383"/>
      <c r="D43" s="383"/>
      <c r="E43" s="373"/>
      <c r="F43" s="373"/>
      <c r="G43" s="373"/>
      <c r="H43" s="373"/>
      <c r="I43" s="373"/>
      <c r="J43" s="373"/>
      <c r="K43" s="5771">
        <f>K40+K41*K42</f>
        <v>0.09</v>
      </c>
      <c r="T43" s="383"/>
      <c r="U43" s="383"/>
      <c r="V43" s="383"/>
      <c r="Y43" s="402"/>
      <c r="Z43" s="383"/>
      <c r="AB43" s="383"/>
      <c r="AC43" s="383"/>
      <c r="AD43" s="383"/>
      <c r="AE43" s="383"/>
      <c r="AG43" s="383"/>
      <c r="AH43" s="383"/>
      <c r="AI43" s="383"/>
      <c r="AJ43" s="383"/>
    </row>
    <row r="44" spans="1:37" ht="11.25" customHeight="1">
      <c r="A44" s="4652"/>
      <c r="B44" s="383"/>
      <c r="C44" s="383"/>
      <c r="D44" s="383"/>
      <c r="E44" s="31"/>
      <c r="F44" s="31"/>
      <c r="G44" s="31"/>
      <c r="H44" s="31"/>
      <c r="I44" s="31"/>
      <c r="J44" s="31"/>
      <c r="K44" s="5772"/>
      <c r="Y44" s="402"/>
      <c r="Z44" s="383"/>
      <c r="AB44" s="383"/>
      <c r="AC44" s="383"/>
      <c r="AD44" s="383"/>
      <c r="AE44" s="383"/>
      <c r="AG44" s="383"/>
      <c r="AH44" s="383"/>
      <c r="AI44" s="383"/>
      <c r="AJ44" s="383"/>
    </row>
    <row r="45" spans="1:37" ht="11.25" customHeight="1">
      <c r="A45" s="4653" t="s">
        <v>759</v>
      </c>
      <c r="B45" s="383"/>
      <c r="C45" s="383"/>
      <c r="D45" s="383"/>
      <c r="E45" s="374"/>
      <c r="F45" s="374"/>
      <c r="G45" s="374"/>
      <c r="H45" s="374"/>
      <c r="I45" s="374"/>
      <c r="J45" s="374"/>
      <c r="K45" s="5773">
        <f ca="1">BS!DW234*(1-IS!EU34)</f>
        <v>1.4540845454545457E-2</v>
      </c>
    </row>
    <row r="46" spans="1:37" ht="11.25" customHeight="1">
      <c r="A46" s="4652"/>
      <c r="B46" s="383"/>
      <c r="C46" s="383"/>
      <c r="D46" s="383"/>
      <c r="E46" s="31"/>
      <c r="F46" s="31"/>
      <c r="G46" s="31"/>
      <c r="H46" s="31"/>
      <c r="I46" s="31"/>
      <c r="J46" s="31"/>
      <c r="K46" s="5772"/>
    </row>
    <row r="47" spans="1:37" ht="11.25" customHeight="1">
      <c r="A47" s="4653" t="s">
        <v>760</v>
      </c>
      <c r="B47" s="383"/>
      <c r="C47" s="383"/>
      <c r="D47" s="383"/>
      <c r="E47" s="31"/>
      <c r="F47" s="31"/>
      <c r="G47" s="31"/>
      <c r="H47" s="31"/>
      <c r="I47" s="31"/>
      <c r="J47" s="31"/>
      <c r="K47" s="5772"/>
    </row>
    <row r="48" spans="1:37" ht="11.25" customHeight="1">
      <c r="A48" s="4652" t="s">
        <v>169</v>
      </c>
      <c r="B48" s="383"/>
      <c r="C48" s="383"/>
      <c r="D48" s="383"/>
      <c r="E48" s="373"/>
      <c r="F48" s="373"/>
      <c r="G48" s="373"/>
      <c r="H48" s="373"/>
      <c r="I48" s="373"/>
      <c r="J48" s="373"/>
      <c r="K48" s="5771">
        <f>K54/K$56</f>
        <v>0.99403897625856141</v>
      </c>
    </row>
    <row r="49" spans="1:14" ht="11.25" customHeight="1">
      <c r="A49" s="4652" t="s">
        <v>171</v>
      </c>
      <c r="B49" s="383"/>
      <c r="C49" s="383"/>
      <c r="D49" s="383"/>
      <c r="E49" s="373"/>
      <c r="F49" s="373"/>
      <c r="G49" s="373"/>
      <c r="H49" s="373"/>
      <c r="I49" s="373"/>
      <c r="J49" s="373"/>
      <c r="K49" s="5771">
        <f>K55/K$56</f>
        <v>5.9610237414385635E-3</v>
      </c>
    </row>
    <row r="50" spans="1:14" ht="11.25" customHeight="1">
      <c r="A50" s="4653"/>
      <c r="B50" s="383"/>
      <c r="C50" s="383"/>
      <c r="D50" s="383"/>
      <c r="E50" s="31"/>
      <c r="F50" s="31"/>
      <c r="G50" s="31"/>
      <c r="H50" s="31"/>
      <c r="I50" s="31"/>
      <c r="J50" s="31"/>
      <c r="K50" s="5772"/>
      <c r="L50" s="31"/>
      <c r="M50" s="31"/>
      <c r="N50" s="31"/>
    </row>
    <row r="51" spans="1:14" ht="11.25" customHeight="1">
      <c r="A51" s="4653" t="s">
        <v>761</v>
      </c>
      <c r="B51" s="383"/>
      <c r="C51" s="383"/>
      <c r="D51" s="383"/>
      <c r="E51" s="285"/>
      <c r="F51" s="285"/>
      <c r="G51" s="285"/>
      <c r="H51" s="285"/>
      <c r="I51" s="285"/>
      <c r="J51" s="285"/>
      <c r="K51" s="5774">
        <f ca="1">K48*K43+K49*K45</f>
        <v>8.9550186188245659E-2</v>
      </c>
      <c r="L51" s="31"/>
      <c r="M51" s="31"/>
      <c r="N51" s="31"/>
    </row>
    <row r="52" spans="1:14" ht="11.25" customHeight="1">
      <c r="A52" s="4654"/>
      <c r="B52" s="383"/>
      <c r="C52" s="383"/>
      <c r="D52" s="383"/>
      <c r="E52" s="383"/>
      <c r="F52" s="383"/>
      <c r="G52" s="383"/>
      <c r="H52" s="383"/>
      <c r="I52" s="383"/>
      <c r="J52" s="383"/>
      <c r="K52" s="5775"/>
      <c r="L52" s="383"/>
      <c r="M52" s="383"/>
      <c r="N52" s="383"/>
    </row>
    <row r="53" spans="1:14" ht="11.25" customHeight="1">
      <c r="A53" s="4654" t="s">
        <v>762</v>
      </c>
      <c r="B53" s="383"/>
      <c r="C53" s="383"/>
      <c r="D53" s="383"/>
      <c r="E53" s="4663"/>
      <c r="F53" s="4663"/>
      <c r="G53" s="4663"/>
      <c r="H53" s="4663"/>
      <c r="I53" s="4663"/>
      <c r="J53" s="4663"/>
      <c r="K53" s="5776">
        <v>295</v>
      </c>
      <c r="L53" s="383"/>
      <c r="M53" s="383"/>
      <c r="N53" s="383"/>
    </row>
    <row r="54" spans="1:14" ht="11.25" customHeight="1">
      <c r="A54" s="4654" t="s">
        <v>170</v>
      </c>
      <c r="B54" s="383"/>
      <c r="C54" s="383"/>
      <c r="D54" s="383"/>
      <c r="E54" s="606"/>
      <c r="F54" s="606"/>
      <c r="G54" s="606"/>
      <c r="H54" s="606"/>
      <c r="I54" s="606"/>
      <c r="J54" s="606"/>
      <c r="K54" s="5777">
        <f>K53*K33</f>
        <v>3603105.9582452592</v>
      </c>
      <c r="L54" s="383"/>
      <c r="M54" s="383"/>
      <c r="N54" s="383"/>
    </row>
    <row r="55" spans="1:14" ht="11.25" customHeight="1">
      <c r="A55" s="4655" t="s">
        <v>171</v>
      </c>
      <c r="B55" s="383"/>
      <c r="C55" s="383"/>
      <c r="D55" s="383"/>
      <c r="E55" s="4664"/>
      <c r="F55" s="4664"/>
      <c r="G55" s="4664"/>
      <c r="H55" s="4664"/>
      <c r="I55" s="4664"/>
      <c r="J55" s="4664"/>
      <c r="K55" s="5778">
        <f>K29</f>
        <v>21607</v>
      </c>
      <c r="L55" s="383"/>
      <c r="M55" s="383"/>
      <c r="N55" s="383"/>
    </row>
    <row r="56" spans="1:14" ht="11.25" customHeight="1">
      <c r="A56" s="4656" t="s">
        <v>172</v>
      </c>
      <c r="B56" s="3624"/>
      <c r="C56" s="3624"/>
      <c r="D56" s="3624"/>
      <c r="E56" s="4665"/>
      <c r="F56" s="4665"/>
      <c r="G56" s="4665"/>
      <c r="H56" s="4665"/>
      <c r="I56" s="4665"/>
      <c r="J56" s="4665"/>
      <c r="K56" s="5779">
        <f>SUM(K54:K55)</f>
        <v>3624712.9582452592</v>
      </c>
      <c r="L56" s="383"/>
      <c r="M56" s="383"/>
      <c r="N56" s="383"/>
    </row>
    <row r="57" spans="1:14" ht="11.25" customHeight="1">
      <c r="E57" s="383"/>
      <c r="F57" s="383"/>
      <c r="G57" s="383"/>
      <c r="H57" s="383"/>
      <c r="I57" s="383"/>
      <c r="J57" s="383"/>
      <c r="K57" s="383"/>
    </row>
    <row r="58" spans="1:14" ht="11.25" customHeight="1">
      <c r="A58" s="4657" t="s">
        <v>173</v>
      </c>
      <c r="B58" s="3622"/>
      <c r="C58" s="3622"/>
      <c r="D58" s="3622"/>
      <c r="E58" s="3597"/>
      <c r="F58" s="3597"/>
      <c r="G58" s="3597"/>
      <c r="H58" s="3597"/>
      <c r="I58" s="3597"/>
      <c r="J58" s="3597"/>
      <c r="K58" s="5274"/>
    </row>
    <row r="59" spans="1:14" ht="11.25" customHeight="1">
      <c r="A59" s="4652" t="s">
        <v>301</v>
      </c>
      <c r="B59" s="383"/>
      <c r="C59" s="383"/>
      <c r="D59" s="383"/>
      <c r="E59" s="4666"/>
      <c r="F59" s="4666"/>
      <c r="G59" s="4666"/>
      <c r="H59" s="4666"/>
      <c r="I59" s="4666"/>
      <c r="J59" s="4666"/>
      <c r="K59" s="5780">
        <v>0.09</v>
      </c>
    </row>
    <row r="60" spans="1:14" ht="11.25" customHeight="1">
      <c r="A60" s="4655" t="s">
        <v>175</v>
      </c>
      <c r="B60" s="383"/>
      <c r="C60" s="383"/>
      <c r="D60" s="383"/>
      <c r="E60" s="4667"/>
      <c r="F60" s="4667"/>
      <c r="G60" s="4667"/>
      <c r="H60" s="4667"/>
      <c r="I60" s="4667"/>
      <c r="J60" s="4667"/>
      <c r="K60" s="5781">
        <v>6.5000000000000002E-2</v>
      </c>
    </row>
    <row r="61" spans="1:14" ht="11.25" customHeight="1">
      <c r="A61" s="4658" t="s">
        <v>174</v>
      </c>
      <c r="B61" s="3623"/>
      <c r="C61" s="3623"/>
      <c r="D61" s="3623"/>
      <c r="E61" s="4668"/>
      <c r="F61" s="4668"/>
      <c r="G61" s="4668"/>
      <c r="H61" s="4668"/>
      <c r="I61" s="4668"/>
      <c r="J61" s="4668"/>
      <c r="K61" s="6004">
        <f>(1+ K60)/(K59-K60)</f>
        <v>42.600000000000009</v>
      </c>
    </row>
    <row r="62" spans="1:14" ht="11.25" customHeight="1">
      <c r="H62" s="383"/>
      <c r="I62" s="383"/>
      <c r="J62" s="383"/>
    </row>
    <row r="101" spans="67:67" ht="11.25" customHeight="1">
      <c r="BO101" s="384">
        <v>24</v>
      </c>
    </row>
  </sheetData>
  <mergeCells count="2">
    <mergeCell ref="M29:M35"/>
    <mergeCell ref="Q4:S4"/>
  </mergeCells>
  <phoneticPr fontId="0" type="noConversion"/>
  <pageMargins left="0.75" right="0.75" top="0.5" bottom="0.5" header="0.25" footer="0.5"/>
  <pageSetup scale="61" fitToWidth="2" orientation="landscape" r:id="rId1"/>
  <headerFooter alignWithMargins="0">
    <oddFooter>&amp;C&amp;12Page 25</oddFooter>
  </headerFooter>
  <colBreaks count="1" manualBreakCount="1">
    <brk id="12" max="57" man="1"/>
  </col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236BB-7B73-496B-AA3A-1EC1643BE1EF}">
  <sheetPr codeName="Sheet48">
    <pageSetUpPr autoPageBreaks="0"/>
  </sheetPr>
  <dimension ref="A1:EU60"/>
  <sheetViews>
    <sheetView showGridLines="0" workbookViewId="0">
      <pane xSplit="1" ySplit="6" topLeftCell="DZ7" activePane="bottomRight" state="frozen"/>
      <selection pane="topRight" activeCell="B1" sqref="B1"/>
      <selection pane="bottomLeft" activeCell="A7" sqref="A7"/>
      <selection pane="bottomRight" activeCell="EA7" sqref="EA7"/>
    </sheetView>
  </sheetViews>
  <sheetFormatPr defaultRowHeight="12.75" outlineLevelRow="1" outlineLevelCol="1"/>
  <cols>
    <col min="1" max="1" width="48.85546875" bestFit="1" customWidth="1"/>
    <col min="2" max="110" width="9.140625" hidden="1" customWidth="1"/>
    <col min="111" max="125" width="9.140625" hidden="1" customWidth="1" outlineLevel="1"/>
    <col min="126" max="129" width="9.7109375" hidden="1" customWidth="1" outlineLevel="1"/>
    <col min="130" max="130" width="9.7109375" hidden="1" customWidth="1" outlineLevel="1" collapsed="1"/>
    <col min="131" max="131" width="9.7109375" customWidth="1" collapsed="1"/>
    <col min="132" max="135" width="9.7109375" hidden="1" customWidth="1" outlineLevel="1"/>
    <col min="136" max="136" width="9.7109375" customWidth="1" collapsed="1"/>
    <col min="137" max="151" width="9.7109375" customWidth="1"/>
  </cols>
  <sheetData>
    <row r="1" spans="1:151">
      <c r="A1" s="3725"/>
      <c r="B1" s="20"/>
      <c r="C1" s="20"/>
      <c r="D1" s="20"/>
      <c r="E1" s="20"/>
      <c r="F1" s="20"/>
      <c r="G1" s="20"/>
      <c r="H1" s="22"/>
      <c r="I1" s="22"/>
      <c r="J1" s="20"/>
      <c r="K1" s="20"/>
      <c r="L1" s="20"/>
      <c r="M1" s="20"/>
      <c r="N1" s="20"/>
      <c r="O1" s="20"/>
      <c r="P1" s="5390"/>
      <c r="Q1" s="5390"/>
      <c r="R1" s="5390"/>
      <c r="S1" s="5390"/>
      <c r="T1" s="5390"/>
      <c r="U1" s="5390"/>
      <c r="V1" s="5390"/>
      <c r="W1" s="5390"/>
      <c r="X1" s="5390"/>
      <c r="Y1" s="5390"/>
      <c r="Z1" s="5390"/>
      <c r="AA1" s="5390"/>
      <c r="AB1" s="5390"/>
      <c r="AC1" s="5390"/>
      <c r="AD1" s="5390"/>
      <c r="AE1" s="5390"/>
      <c r="AF1" s="5390"/>
      <c r="AG1" s="5390"/>
      <c r="AH1" s="5390"/>
      <c r="AI1" s="5390"/>
      <c r="AJ1" s="5390"/>
      <c r="AK1" s="5390"/>
      <c r="AL1" s="5390"/>
      <c r="AM1" s="5390"/>
      <c r="AN1" s="5390"/>
      <c r="AO1" s="5390"/>
      <c r="AP1" s="5458"/>
      <c r="AQ1" s="5458"/>
      <c r="AR1" s="5458"/>
      <c r="AS1" s="5458"/>
      <c r="AT1" s="5390"/>
      <c r="AU1" s="5458"/>
      <c r="AV1" s="5458"/>
      <c r="AW1" s="5458"/>
      <c r="AX1" s="5458"/>
      <c r="AY1" s="5390"/>
      <c r="AZ1" s="5458"/>
      <c r="BA1" s="5458"/>
      <c r="BB1" s="5458"/>
      <c r="BC1" s="5458"/>
      <c r="BD1" s="5390"/>
      <c r="BE1" s="5458"/>
      <c r="BF1" s="5458"/>
      <c r="BG1" s="5458"/>
      <c r="BH1" s="5458"/>
      <c r="BI1" s="5390"/>
      <c r="BJ1" s="5458"/>
      <c r="BK1" s="5458"/>
      <c r="BL1" s="5458"/>
      <c r="BM1" s="5458"/>
      <c r="BN1" s="5390"/>
      <c r="BO1" s="5390"/>
      <c r="BP1" s="5390"/>
      <c r="BQ1" s="5390"/>
      <c r="BR1" s="5390"/>
      <c r="BS1" s="5390"/>
      <c r="BT1" s="5458"/>
      <c r="BU1" s="5458"/>
      <c r="BV1" s="5458"/>
      <c r="BW1" s="5458"/>
      <c r="BX1" s="5390"/>
      <c r="BY1" s="5458"/>
      <c r="BZ1" s="5458"/>
      <c r="CA1" s="5458"/>
      <c r="CB1" s="5458"/>
      <c r="CC1" s="5390"/>
      <c r="CD1" s="5458"/>
      <c r="CE1" s="5458"/>
      <c r="CF1" s="5458"/>
      <c r="CG1" s="5458"/>
      <c r="CH1" s="5390"/>
      <c r="CI1" s="5390"/>
      <c r="CJ1" s="5390"/>
      <c r="CK1" s="5390"/>
      <c r="CL1" s="5390"/>
      <c r="CM1" s="5390"/>
      <c r="CN1" s="5390"/>
      <c r="CO1" s="5390"/>
      <c r="CP1" s="5390"/>
      <c r="CQ1" s="5390"/>
      <c r="CR1" s="5390"/>
      <c r="CS1" s="5390"/>
      <c r="CT1" s="5390"/>
      <c r="CU1" s="5390"/>
      <c r="CV1" s="5390"/>
      <c r="CW1" s="5390"/>
      <c r="CX1" s="5390"/>
      <c r="CY1" s="5458"/>
      <c r="CZ1" s="5458"/>
      <c r="DA1" s="5390"/>
      <c r="DB1" s="5390"/>
      <c r="DC1" s="5738"/>
      <c r="DD1" s="5738"/>
      <c r="DE1" s="5738"/>
      <c r="DF1" s="5738"/>
      <c r="DG1" s="5390"/>
      <c r="DH1" s="5738"/>
      <c r="DI1" s="5738"/>
      <c r="DJ1" s="5738"/>
      <c r="DK1" s="5738"/>
      <c r="DL1" s="5232"/>
      <c r="DM1" s="5738"/>
      <c r="DN1" s="5738"/>
      <c r="DO1" s="5738"/>
      <c r="DP1" s="5738"/>
      <c r="DQ1" s="5221"/>
      <c r="DR1" s="5738"/>
      <c r="DS1" s="5738"/>
      <c r="DT1" s="5738"/>
      <c r="DU1" s="5738"/>
      <c r="DV1" s="5738"/>
      <c r="DW1" s="5738"/>
      <c r="DX1" s="5738"/>
      <c r="DY1" s="5738"/>
      <c r="DZ1" s="5738"/>
      <c r="EA1" s="5738"/>
      <c r="EB1" s="5738"/>
      <c r="EC1" s="5753"/>
      <c r="ED1" s="5753"/>
      <c r="EE1" s="5738"/>
      <c r="EF1" s="5753"/>
      <c r="EG1" s="5738"/>
      <c r="EH1" s="5738"/>
      <c r="EI1" s="5738"/>
      <c r="EJ1" s="5738"/>
      <c r="EK1" s="5738"/>
      <c r="EL1" s="5738"/>
      <c r="EM1" s="5738"/>
      <c r="EN1" s="5738"/>
      <c r="EO1" s="5738"/>
      <c r="EP1" s="5738"/>
      <c r="EQ1" s="5738"/>
      <c r="ER1" s="5738"/>
      <c r="ES1" s="5738"/>
      <c r="ET1" s="5738"/>
      <c r="EU1" s="5738"/>
    </row>
    <row r="2" spans="1:151" ht="23.25">
      <c r="A2" s="3726" t="s">
        <v>495</v>
      </c>
      <c r="B2" s="18"/>
      <c r="C2" s="18"/>
      <c r="D2" s="18"/>
      <c r="E2" s="18"/>
      <c r="F2" s="18"/>
      <c r="G2" s="20"/>
      <c r="H2" s="20"/>
      <c r="I2" s="20"/>
      <c r="J2" s="20"/>
      <c r="K2" s="20"/>
      <c r="L2" s="20"/>
      <c r="M2" s="20"/>
      <c r="N2" s="20"/>
      <c r="O2" s="20"/>
      <c r="P2" s="5390"/>
      <c r="Q2" s="5390"/>
      <c r="R2" s="5390"/>
      <c r="S2" s="5390"/>
      <c r="T2" s="5390"/>
      <c r="U2" s="5390"/>
      <c r="V2" s="5390"/>
      <c r="W2" s="5390"/>
      <c r="X2" s="5390"/>
      <c r="Y2" s="5390"/>
      <c r="Z2" s="5390"/>
      <c r="AA2" s="5390"/>
      <c r="AB2" s="5390"/>
      <c r="AC2" s="5390"/>
      <c r="AD2" s="5390"/>
      <c r="AE2" s="5390"/>
      <c r="AF2" s="5390"/>
      <c r="AG2" s="5390"/>
      <c r="AH2" s="5390"/>
      <c r="AI2" s="5390"/>
      <c r="AJ2" s="5390"/>
      <c r="AK2" s="5390"/>
      <c r="AL2" s="5390"/>
      <c r="AM2" s="5390"/>
      <c r="AN2" s="5390"/>
      <c r="AO2" s="5390"/>
      <c r="AP2" s="5390"/>
      <c r="AQ2" s="5390"/>
      <c r="AR2" s="5390"/>
      <c r="AS2" s="5390"/>
      <c r="AT2" s="5390"/>
      <c r="AU2" s="5390"/>
      <c r="AV2" s="5390"/>
      <c r="AW2" s="5390"/>
      <c r="AX2" s="5390"/>
      <c r="AY2" s="5390"/>
      <c r="AZ2" s="5390"/>
      <c r="BA2" s="5390"/>
      <c r="BB2" s="5390"/>
      <c r="BC2" s="5390"/>
      <c r="BD2" s="5390"/>
      <c r="BE2" s="5390"/>
      <c r="BF2" s="5390"/>
      <c r="BG2" s="5390"/>
      <c r="BH2" s="5390"/>
      <c r="BI2" s="5390"/>
      <c r="BJ2" s="5390"/>
      <c r="BK2" s="5390"/>
      <c r="BL2" s="5390"/>
      <c r="BM2" s="5390"/>
      <c r="BN2" s="5390"/>
      <c r="BO2" s="5693"/>
      <c r="BP2" s="5390"/>
      <c r="BQ2" s="5390"/>
      <c r="BR2" s="5390"/>
      <c r="BS2" s="5390"/>
      <c r="BT2" s="5693"/>
      <c r="BU2" s="5693"/>
      <c r="BV2" s="5693"/>
      <c r="BW2" s="5693"/>
      <c r="BX2" s="5693"/>
      <c r="BY2" s="5693"/>
      <c r="BZ2" s="5693"/>
      <c r="CA2" s="5693"/>
      <c r="CB2" s="5693"/>
      <c r="CC2" s="5693"/>
      <c r="CD2" s="5693"/>
      <c r="CE2" s="5693"/>
      <c r="CF2" s="5693"/>
      <c r="CG2" s="5459"/>
      <c r="CH2" s="5460"/>
      <c r="CI2" s="5460"/>
      <c r="CJ2" s="5460"/>
      <c r="CK2" s="5460"/>
      <c r="CL2" s="5694"/>
      <c r="CM2" s="5695"/>
      <c r="CN2" s="5694"/>
      <c r="CO2" s="5694"/>
      <c r="CP2" s="5694"/>
      <c r="CQ2" s="5694"/>
      <c r="CR2" s="5695"/>
      <c r="CS2" s="5696"/>
      <c r="CT2" s="5696"/>
      <c r="CU2" s="5696"/>
      <c r="CV2" s="5696"/>
      <c r="CW2" s="5696"/>
      <c r="CX2" s="5696"/>
      <c r="CY2" s="5696"/>
      <c r="CZ2" s="5696"/>
      <c r="DA2" s="5696"/>
      <c r="DB2" s="5692"/>
      <c r="DC2" s="5692"/>
      <c r="DD2" s="5692"/>
      <c r="DE2" s="5692"/>
      <c r="DF2" s="5692"/>
      <c r="DG2" s="5692"/>
      <c r="DH2" s="5802"/>
      <c r="DI2" s="5802"/>
      <c r="DJ2" s="5802"/>
      <c r="DK2" s="5802"/>
      <c r="DL2" s="5232"/>
      <c r="DM2" s="5802"/>
      <c r="DN2" s="5802"/>
      <c r="DO2" s="5802"/>
      <c r="DP2" s="5802"/>
      <c r="DQ2" s="5221"/>
      <c r="DR2" s="5802"/>
      <c r="DS2" s="5802"/>
      <c r="DT2" s="5802"/>
      <c r="DU2" s="5802"/>
      <c r="DV2" s="5270"/>
      <c r="DW2" s="5802"/>
      <c r="DX2" s="5802"/>
      <c r="DY2" s="5802"/>
      <c r="DZ2" s="5802"/>
      <c r="EA2" s="5270"/>
      <c r="EB2" s="5802"/>
      <c r="EC2" s="5828"/>
      <c r="ED2" s="5828"/>
      <c r="EE2" s="5738"/>
      <c r="EF2" s="5738"/>
      <c r="EG2" s="5738"/>
      <c r="EH2" s="5738"/>
      <c r="EI2" s="5738"/>
      <c r="EJ2" s="5738"/>
      <c r="EK2" s="5738"/>
      <c r="EL2" s="5738"/>
      <c r="EM2" s="5738"/>
      <c r="EN2" s="5738"/>
      <c r="EO2" s="5738"/>
      <c r="EP2" s="5738"/>
      <c r="EQ2" s="5738"/>
      <c r="ER2" s="5738"/>
      <c r="ES2" s="5738"/>
      <c r="ET2" s="5738"/>
      <c r="EU2" s="5738"/>
    </row>
    <row r="3" spans="1:151" ht="20.25">
      <c r="A3" s="3727" t="s">
        <v>1058</v>
      </c>
      <c r="B3" s="19"/>
      <c r="C3" s="19"/>
      <c r="D3" s="19"/>
      <c r="E3" s="19"/>
      <c r="F3" s="19"/>
      <c r="G3" s="5697"/>
      <c r="H3" s="5697"/>
      <c r="I3" s="5697"/>
      <c r="J3" s="5697"/>
      <c r="K3" s="5697"/>
      <c r="L3" s="5697"/>
      <c r="M3" s="5697"/>
      <c r="N3" s="5697"/>
      <c r="O3" s="5697"/>
      <c r="P3" s="5461"/>
      <c r="Q3" s="5461"/>
      <c r="R3" s="5461"/>
      <c r="S3" s="5461"/>
      <c r="T3" s="5461"/>
      <c r="U3" s="5461"/>
      <c r="V3" s="5461"/>
      <c r="W3" s="5461"/>
      <c r="X3" s="5461"/>
      <c r="Y3" s="5461"/>
      <c r="Z3" s="5461"/>
      <c r="AA3" s="5461"/>
      <c r="AB3" s="5461"/>
      <c r="AC3" s="5461"/>
      <c r="AD3" s="5461"/>
      <c r="AE3" s="5461"/>
      <c r="AF3" s="5461"/>
      <c r="AG3" s="5461"/>
      <c r="AH3" s="5461"/>
      <c r="AI3" s="5461"/>
      <c r="AJ3" s="5461"/>
      <c r="AK3" s="5461"/>
      <c r="AL3" s="5461"/>
      <c r="AM3" s="5461"/>
      <c r="AN3" s="5461"/>
      <c r="AO3" s="5461"/>
      <c r="AP3" s="5461"/>
      <c r="AQ3" s="5461"/>
      <c r="AR3" s="5461"/>
      <c r="AS3" s="5461"/>
      <c r="AT3" s="5461"/>
      <c r="AU3" s="5461"/>
      <c r="AV3" s="5461"/>
      <c r="AW3" s="5461"/>
      <c r="AX3" s="5461"/>
      <c r="AY3" s="5461"/>
      <c r="AZ3" s="5461"/>
      <c r="BA3" s="5461"/>
      <c r="BB3" s="5461"/>
      <c r="BC3" s="5461"/>
      <c r="BD3" s="5461"/>
      <c r="BE3" s="5460"/>
      <c r="BF3" s="5460"/>
      <c r="BG3" s="5460"/>
      <c r="BH3" s="5460"/>
      <c r="BI3" s="5460"/>
      <c r="BJ3" s="5460"/>
      <c r="BK3" s="5462"/>
      <c r="BL3" s="5460"/>
      <c r="BM3" s="5460"/>
      <c r="BN3" s="5460"/>
      <c r="BO3" s="5460"/>
      <c r="BP3" s="5460"/>
      <c r="BQ3" s="5460"/>
      <c r="BR3" s="5460"/>
      <c r="BS3" s="5460"/>
      <c r="BT3" s="5460"/>
      <c r="BU3" s="5460"/>
      <c r="BV3" s="5460"/>
      <c r="BW3" s="5460"/>
      <c r="BX3" s="5460"/>
      <c r="BY3" s="5459"/>
      <c r="BZ3" s="5459"/>
      <c r="CA3" s="5459"/>
      <c r="CB3" s="5459"/>
      <c r="CC3" s="5460"/>
      <c r="CD3" s="5463"/>
      <c r="CE3" s="5463"/>
      <c r="CF3" s="5463"/>
      <c r="CG3" s="5463"/>
      <c r="CH3" s="5460"/>
      <c r="CI3" s="5463"/>
      <c r="CJ3" s="5463"/>
      <c r="CK3" s="5463"/>
      <c r="CL3" s="5463"/>
      <c r="CM3" s="5460"/>
      <c r="CN3" s="5463"/>
      <c r="CO3" s="5463"/>
      <c r="CP3" s="5463"/>
      <c r="CQ3" s="5463"/>
      <c r="CR3" s="5463"/>
      <c r="CS3" s="5463"/>
      <c r="CT3" s="5463"/>
      <c r="CU3" s="5463"/>
      <c r="CV3" s="5463"/>
      <c r="CW3" s="5463"/>
      <c r="CX3" s="5463"/>
      <c r="CY3" s="5463"/>
      <c r="CZ3" s="5463"/>
      <c r="DA3" s="5463"/>
      <c r="DB3" s="5692"/>
      <c r="DC3" s="5692"/>
      <c r="DD3" s="5692"/>
      <c r="DE3" s="5692"/>
      <c r="DF3" s="5692"/>
      <c r="DG3" s="5692"/>
      <c r="DH3" s="5232"/>
      <c r="DI3" s="5232"/>
      <c r="DJ3" s="5232"/>
      <c r="DK3" s="5232"/>
      <c r="DL3" s="5232"/>
      <c r="DM3" s="5757"/>
      <c r="DN3" s="5757"/>
      <c r="DO3" s="5757"/>
      <c r="DP3" s="5757"/>
      <c r="DQ3" s="5221"/>
      <c r="DR3" s="5757"/>
      <c r="DS3" s="5757"/>
      <c r="DT3" s="5757"/>
      <c r="DU3" s="5757"/>
      <c r="DV3" s="5270"/>
      <c r="DW3" s="5757"/>
      <c r="DX3" s="5757"/>
      <c r="DY3" s="5757"/>
      <c r="DZ3" s="5757"/>
      <c r="EA3" s="5270"/>
      <c r="EB3" s="5757"/>
      <c r="EC3" s="5757"/>
      <c r="ED3" s="5699"/>
      <c r="EE3" s="5699"/>
      <c r="EF3" s="5699"/>
      <c r="EG3" s="5699"/>
      <c r="EH3" s="5699"/>
      <c r="EI3" s="5699"/>
      <c r="EJ3" s="5699"/>
      <c r="EK3" s="5699"/>
      <c r="EL3" s="5699"/>
      <c r="EM3" s="5699"/>
      <c r="EN3" s="5699"/>
      <c r="EO3" s="5699"/>
      <c r="EP3" s="5699"/>
      <c r="EQ3" s="5699"/>
      <c r="ER3" s="5699"/>
      <c r="ES3" s="5699"/>
      <c r="ET3" s="5699"/>
      <c r="EU3" s="5699"/>
    </row>
    <row r="4" spans="1:151">
      <c r="A4" s="3728"/>
      <c r="B4" s="20"/>
      <c r="C4" s="20"/>
      <c r="D4" s="20"/>
      <c r="E4" s="20"/>
      <c r="F4" s="20"/>
      <c r="G4" s="20"/>
      <c r="H4" s="22"/>
      <c r="I4" s="22"/>
      <c r="J4" s="20"/>
      <c r="K4" s="20"/>
      <c r="L4" s="20"/>
      <c r="M4" s="20"/>
      <c r="N4" s="20"/>
      <c r="O4" s="20"/>
      <c r="P4" s="5390"/>
      <c r="Q4" s="5390"/>
      <c r="R4" s="5458"/>
      <c r="S4" s="5458"/>
      <c r="T4" s="5390"/>
      <c r="U4" s="5390"/>
      <c r="V4" s="5390"/>
      <c r="W4" s="5390"/>
      <c r="X4" s="5390"/>
      <c r="Y4" s="5458"/>
      <c r="Z4" s="5464"/>
      <c r="AA4" s="5464"/>
      <c r="AB4" s="5464"/>
      <c r="AC4" s="5464"/>
      <c r="AD4" s="5464"/>
      <c r="AE4" s="5464"/>
      <c r="AF4" s="5464"/>
      <c r="AG4" s="5464"/>
      <c r="AH4" s="5464"/>
      <c r="AI4" s="5464"/>
      <c r="AJ4" s="5462"/>
      <c r="AK4" s="5464"/>
      <c r="AL4" s="5464"/>
      <c r="AM4" s="5464"/>
      <c r="AN4" s="5464"/>
      <c r="AO4" s="5462"/>
      <c r="AP4" s="5464"/>
      <c r="AQ4" s="5464"/>
      <c r="AR4" s="5464"/>
      <c r="AS4" s="5464"/>
      <c r="AT4" s="5462"/>
      <c r="AU4" s="5464"/>
      <c r="AV4" s="5464"/>
      <c r="AW4" s="5464"/>
      <c r="AX4" s="5464"/>
      <c r="AY4" s="5462"/>
      <c r="AZ4" s="5464"/>
      <c r="BA4" s="5464"/>
      <c r="BB4" s="5464"/>
      <c r="BC4" s="5464"/>
      <c r="BD4" s="5462"/>
      <c r="BE4" s="5464"/>
      <c r="BF4" s="5700"/>
      <c r="BG4" s="5700"/>
      <c r="BH4" s="5700"/>
      <c r="BI4" s="5462"/>
      <c r="BJ4" s="5700"/>
      <c r="BK4" s="5700"/>
      <c r="BL4" s="5700"/>
      <c r="BM4" s="5700"/>
      <c r="BN4" s="5462"/>
      <c r="BO4" s="5460"/>
      <c r="BP4" s="5460"/>
      <c r="BQ4" s="5460"/>
      <c r="BR4" s="5460"/>
      <c r="BS4" s="5460"/>
      <c r="BT4" s="5460"/>
      <c r="BU4" s="5460"/>
      <c r="BV4" s="5460"/>
      <c r="BW4" s="5460"/>
      <c r="BX4" s="5460"/>
      <c r="BY4" s="5700"/>
      <c r="BZ4" s="5700"/>
      <c r="CA4" s="5700"/>
      <c r="CB4" s="5700"/>
      <c r="CC4" s="5460"/>
      <c r="CD4" s="5460"/>
      <c r="CE4" s="5460"/>
      <c r="CF4" s="5460"/>
      <c r="CG4" s="5460"/>
      <c r="CH4" s="5460"/>
      <c r="CI4" s="5460"/>
      <c r="CJ4" s="5460"/>
      <c r="CK4" s="5460"/>
      <c r="CL4" s="5460"/>
      <c r="CM4" s="5460"/>
      <c r="CN4" s="5460"/>
      <c r="CO4" s="5460"/>
      <c r="CP4" s="5460"/>
      <c r="CQ4" s="5460"/>
      <c r="CR4" s="5460"/>
      <c r="CS4" s="5270"/>
      <c r="CT4" s="5460"/>
      <c r="CU4" s="5460"/>
      <c r="CV4" s="5460"/>
      <c r="CW4" s="5460"/>
      <c r="CX4" s="5270"/>
      <c r="CY4" s="5460"/>
      <c r="CZ4" s="5460"/>
      <c r="DA4" s="5460"/>
      <c r="DB4" s="5692"/>
      <c r="DC4" s="5270"/>
      <c r="DD4" s="5692"/>
      <c r="DE4" s="5692"/>
      <c r="DF4" s="5692"/>
      <c r="DG4" s="5692"/>
      <c r="DH4" s="5270"/>
      <c r="DI4" s="5221"/>
      <c r="DJ4" s="5221"/>
      <c r="DK4" s="5221"/>
      <c r="DL4" s="5221"/>
      <c r="DM4" s="5270"/>
      <c r="DN4" s="5221"/>
      <c r="DO4" s="5221"/>
      <c r="DP4" s="5221"/>
      <c r="DQ4" s="5221"/>
      <c r="DR4" s="5270"/>
      <c r="DS4" s="5270"/>
      <c r="DT4" s="5270"/>
      <c r="DU4" s="5270"/>
      <c r="DV4" s="5270"/>
      <c r="DW4" s="5270"/>
      <c r="DX4" s="5270"/>
      <c r="DY4" s="5270"/>
      <c r="DZ4" s="5270"/>
      <c r="EA4" s="5220"/>
      <c r="EB4" s="5270"/>
      <c r="EC4" s="5758"/>
      <c r="ED4" s="6"/>
      <c r="EE4" s="6"/>
      <c r="EF4" s="6"/>
      <c r="EG4" s="6"/>
      <c r="EH4" s="6"/>
      <c r="EI4" s="6"/>
      <c r="EJ4" s="6"/>
      <c r="EK4" s="5758"/>
      <c r="EL4" s="6"/>
      <c r="EM4" s="6"/>
      <c r="EN4" s="6"/>
      <c r="EO4" s="6"/>
      <c r="EP4" s="6"/>
      <c r="EQ4" s="6"/>
      <c r="ER4" s="6"/>
      <c r="ES4" s="6"/>
      <c r="ET4" s="6"/>
      <c r="EU4" s="6"/>
    </row>
    <row r="5" spans="1:151">
      <c r="A5" s="525"/>
      <c r="B5" s="174"/>
      <c r="C5" s="174"/>
      <c r="D5" s="174"/>
      <c r="E5" s="174"/>
      <c r="F5" s="174"/>
      <c r="G5" s="13"/>
      <c r="H5" s="13"/>
      <c r="I5" s="13"/>
      <c r="J5" s="13"/>
      <c r="K5" s="13"/>
      <c r="L5" s="13"/>
      <c r="M5" s="13"/>
      <c r="N5" s="13"/>
      <c r="O5" s="13"/>
      <c r="P5" s="5700"/>
      <c r="Q5" s="5700"/>
      <c r="R5" s="5700"/>
      <c r="S5" s="5700"/>
      <c r="T5" s="5700"/>
      <c r="U5" s="5700"/>
      <c r="V5" s="5692"/>
      <c r="W5" s="5692"/>
      <c r="X5" s="5692"/>
      <c r="Y5" s="5701"/>
      <c r="Z5" s="5700"/>
      <c r="AA5" s="5692"/>
      <c r="AB5" s="5692"/>
      <c r="AC5" s="5702"/>
      <c r="AD5" s="5692"/>
      <c r="AE5" s="5700"/>
      <c r="AF5" s="5700"/>
      <c r="AG5" s="5700"/>
      <c r="AH5" s="5700"/>
      <c r="AI5" s="5700"/>
      <c r="AJ5" s="5700"/>
      <c r="AK5" s="5700"/>
      <c r="AL5" s="5700"/>
      <c r="AM5" s="5700"/>
      <c r="AN5" s="5700"/>
      <c r="AO5" s="5700"/>
      <c r="AP5" s="5700"/>
      <c r="AQ5" s="5700"/>
      <c r="AR5" s="5700"/>
      <c r="AS5" s="5700"/>
      <c r="AT5" s="5700"/>
      <c r="AU5" s="5700"/>
      <c r="AV5" s="5700"/>
      <c r="AW5" s="5700"/>
      <c r="AX5" s="5700"/>
      <c r="AY5" s="5700"/>
      <c r="AZ5" s="5700"/>
      <c r="BA5" s="5700"/>
      <c r="BB5" s="5700"/>
      <c r="BC5" s="5700"/>
      <c r="BD5" s="5700"/>
      <c r="BE5" s="5700"/>
      <c r="BF5" s="5700"/>
      <c r="BG5" s="5700"/>
      <c r="BH5" s="5700"/>
      <c r="BI5" s="5700"/>
      <c r="BJ5" s="5700"/>
      <c r="BK5" s="5700"/>
      <c r="BL5" s="5700"/>
      <c r="BM5" s="5700"/>
      <c r="BN5" s="5700"/>
      <c r="BO5" s="5703" t="s">
        <v>391</v>
      </c>
      <c r="BP5" s="5703"/>
      <c r="BQ5" s="5703"/>
      <c r="BR5" s="5703"/>
      <c r="BS5" s="5703"/>
      <c r="BT5" s="7"/>
      <c r="BU5" s="5700"/>
      <c r="BV5" s="5700"/>
      <c r="BW5" s="5700"/>
      <c r="BX5" s="5700"/>
      <c r="BY5" s="5703" t="s">
        <v>688</v>
      </c>
      <c r="BZ5" s="5703"/>
      <c r="CA5" s="5703"/>
      <c r="CB5" s="5703"/>
      <c r="CC5" s="5703"/>
      <c r="CD5" s="7"/>
      <c r="CE5" s="5700"/>
      <c r="CF5" s="5700"/>
      <c r="CG5" s="5700"/>
      <c r="CH5" s="5700"/>
      <c r="CI5" s="5700"/>
      <c r="CJ5" s="5700"/>
      <c r="CK5" s="5700"/>
      <c r="CL5" s="5700"/>
      <c r="CM5" s="5700"/>
      <c r="CN5" s="5692"/>
      <c r="CO5" s="5692"/>
      <c r="CP5" s="5692"/>
      <c r="CQ5" s="5692"/>
      <c r="CR5" s="5700"/>
      <c r="CS5" s="5692"/>
      <c r="CT5" s="5692"/>
      <c r="CU5" s="5692"/>
      <c r="CV5" s="5692"/>
      <c r="CW5" s="5700"/>
      <c r="CX5" s="5692"/>
      <c r="CY5" s="5692"/>
      <c r="CZ5" s="5692"/>
      <c r="DA5" s="5692"/>
      <c r="DB5" s="5700"/>
      <c r="DC5" s="5692"/>
      <c r="DD5" s="5692"/>
      <c r="DE5" s="5692"/>
      <c r="DF5" s="5692"/>
      <c r="DG5" s="5692"/>
      <c r="DH5" s="5221"/>
      <c r="DI5" s="5221"/>
      <c r="DJ5" s="5221"/>
      <c r="DK5" s="5221"/>
      <c r="DL5" s="5221"/>
      <c r="DM5" s="5221"/>
      <c r="DN5" s="5221"/>
      <c r="DO5" s="5221"/>
      <c r="DP5" s="5221"/>
      <c r="DQ5" s="5221"/>
      <c r="DR5" s="5221"/>
      <c r="DS5" s="5221"/>
      <c r="DT5" s="5221"/>
      <c r="DU5" s="5221"/>
      <c r="DV5" s="4746"/>
      <c r="DW5" s="5220"/>
      <c r="DX5" s="5233"/>
      <c r="DY5" s="5220"/>
      <c r="DZ5" s="5220"/>
      <c r="EA5" s="5759"/>
      <c r="EB5" s="8"/>
      <c r="EC5" s="4609"/>
      <c r="ED5" s="4609"/>
      <c r="EE5" s="4609"/>
      <c r="EF5" s="4609"/>
      <c r="EG5" s="4609"/>
      <c r="EH5" s="4609"/>
      <c r="EI5" s="4609"/>
      <c r="EJ5" s="4609"/>
      <c r="EK5" s="4609"/>
      <c r="EL5" s="4609"/>
      <c r="EM5" s="4609"/>
      <c r="EN5" s="4609"/>
      <c r="EO5" s="4609"/>
      <c r="EP5" s="4609"/>
      <c r="EQ5" s="4609"/>
      <c r="ER5" s="4609"/>
      <c r="ES5" s="4609"/>
      <c r="ET5" s="4609"/>
      <c r="EU5" s="4609"/>
    </row>
    <row r="6" spans="1:151">
      <c r="A6" s="2915" t="s">
        <v>690</v>
      </c>
      <c r="B6" s="1724" t="s">
        <v>37</v>
      </c>
      <c r="C6" s="1724" t="s">
        <v>38</v>
      </c>
      <c r="D6" s="1724" t="s">
        <v>39</v>
      </c>
      <c r="E6" s="1724" t="s">
        <v>40</v>
      </c>
      <c r="F6" s="1725" t="s">
        <v>41</v>
      </c>
      <c r="G6" s="1724" t="s">
        <v>42</v>
      </c>
      <c r="H6" s="1724" t="s">
        <v>43</v>
      </c>
      <c r="I6" s="1724" t="s">
        <v>44</v>
      </c>
      <c r="J6" s="1724" t="s">
        <v>109</v>
      </c>
      <c r="K6" s="1725" t="s">
        <v>104</v>
      </c>
      <c r="L6" s="1724" t="s">
        <v>111</v>
      </c>
      <c r="M6" s="1724" t="s">
        <v>112</v>
      </c>
      <c r="N6" s="1724" t="s">
        <v>114</v>
      </c>
      <c r="O6" s="1724" t="s">
        <v>115</v>
      </c>
      <c r="P6" s="1725" t="s">
        <v>113</v>
      </c>
      <c r="Q6" s="1724" t="s">
        <v>118</v>
      </c>
      <c r="R6" s="1724" t="s">
        <v>120</v>
      </c>
      <c r="S6" s="1724" t="s">
        <v>122</v>
      </c>
      <c r="T6" s="1724" t="s">
        <v>124</v>
      </c>
      <c r="U6" s="1725" t="s">
        <v>129</v>
      </c>
      <c r="V6" s="1724" t="s">
        <v>125</v>
      </c>
      <c r="W6" s="1724" t="s">
        <v>126</v>
      </c>
      <c r="X6" s="1724" t="s">
        <v>127</v>
      </c>
      <c r="Y6" s="1724" t="s">
        <v>128</v>
      </c>
      <c r="Z6" s="1725" t="s">
        <v>184</v>
      </c>
      <c r="AA6" s="1724" t="s">
        <v>130</v>
      </c>
      <c r="AB6" s="1724" t="s">
        <v>233</v>
      </c>
      <c r="AC6" s="1724" t="s">
        <v>254</v>
      </c>
      <c r="AD6" s="1724" t="s">
        <v>255</v>
      </c>
      <c r="AE6" s="1725" t="s">
        <v>256</v>
      </c>
      <c r="AF6" s="1724" t="s">
        <v>258</v>
      </c>
      <c r="AG6" s="1724" t="s">
        <v>261</v>
      </c>
      <c r="AH6" s="1724" t="s">
        <v>263</v>
      </c>
      <c r="AI6" s="1724" t="s">
        <v>265</v>
      </c>
      <c r="AJ6" s="1725" t="s">
        <v>266</v>
      </c>
      <c r="AK6" s="1724" t="s">
        <v>267</v>
      </c>
      <c r="AL6" s="1724" t="s">
        <v>269</v>
      </c>
      <c r="AM6" s="1724" t="s">
        <v>273</v>
      </c>
      <c r="AN6" s="1724" t="s">
        <v>275</v>
      </c>
      <c r="AO6" s="1725" t="s">
        <v>276</v>
      </c>
      <c r="AP6" s="1724" t="s">
        <v>277</v>
      </c>
      <c r="AQ6" s="1724" t="s">
        <v>278</v>
      </c>
      <c r="AR6" s="1724" t="s">
        <v>281</v>
      </c>
      <c r="AS6" s="1724" t="s">
        <v>285</v>
      </c>
      <c r="AT6" s="1725" t="s">
        <v>286</v>
      </c>
      <c r="AU6" s="1724" t="s">
        <v>300</v>
      </c>
      <c r="AV6" s="1724" t="s">
        <v>2</v>
      </c>
      <c r="AW6" s="1724" t="s">
        <v>5</v>
      </c>
      <c r="AX6" s="1724" t="s">
        <v>10</v>
      </c>
      <c r="AY6" s="1724" t="s">
        <v>11</v>
      </c>
      <c r="AZ6" s="1724" t="s">
        <v>13</v>
      </c>
      <c r="BA6" s="1724" t="s">
        <v>28</v>
      </c>
      <c r="BB6" s="1724" t="s">
        <v>32</v>
      </c>
      <c r="BC6" s="1724" t="s">
        <v>302</v>
      </c>
      <c r="BD6" s="1724" t="s">
        <v>309</v>
      </c>
      <c r="BE6" s="1724" t="s">
        <v>310</v>
      </c>
      <c r="BF6" s="1724" t="s">
        <v>313</v>
      </c>
      <c r="BG6" s="1724" t="s">
        <v>328</v>
      </c>
      <c r="BH6" s="1724" t="s">
        <v>331</v>
      </c>
      <c r="BI6" s="1724" t="s">
        <v>335</v>
      </c>
      <c r="BJ6" s="1724" t="s">
        <v>339</v>
      </c>
      <c r="BK6" s="1724" t="s">
        <v>361</v>
      </c>
      <c r="BL6" s="1724" t="s">
        <v>365</v>
      </c>
      <c r="BM6" s="1724" t="s">
        <v>369</v>
      </c>
      <c r="BN6" s="1724" t="s">
        <v>370</v>
      </c>
      <c r="BO6" s="1726" t="s">
        <v>377</v>
      </c>
      <c r="BP6" s="1726" t="s">
        <v>381</v>
      </c>
      <c r="BQ6" s="1726" t="s">
        <v>383</v>
      </c>
      <c r="BR6" s="1726" t="s">
        <v>384</v>
      </c>
      <c r="BS6" s="1726" t="s">
        <v>385</v>
      </c>
      <c r="BT6" s="1724" t="s">
        <v>377</v>
      </c>
      <c r="BU6" s="1724" t="s">
        <v>381</v>
      </c>
      <c r="BV6" s="1724" t="s">
        <v>383</v>
      </c>
      <c r="BW6" s="1724" t="s">
        <v>384</v>
      </c>
      <c r="BX6" s="1724" t="s">
        <v>385</v>
      </c>
      <c r="BY6" s="1726" t="s">
        <v>386</v>
      </c>
      <c r="BZ6" s="1726" t="s">
        <v>387</v>
      </c>
      <c r="CA6" s="1726" t="s">
        <v>388</v>
      </c>
      <c r="CB6" s="1726" t="s">
        <v>389</v>
      </c>
      <c r="CC6" s="1726" t="s">
        <v>390</v>
      </c>
      <c r="CD6" s="1724" t="s">
        <v>386</v>
      </c>
      <c r="CE6" s="1724" t="s">
        <v>387</v>
      </c>
      <c r="CF6" s="1724" t="s">
        <v>388</v>
      </c>
      <c r="CG6" s="1724" t="s">
        <v>389</v>
      </c>
      <c r="CH6" s="1724" t="s">
        <v>390</v>
      </c>
      <c r="CI6" s="1724" t="s">
        <v>393</v>
      </c>
      <c r="CJ6" s="1724" t="s">
        <v>394</v>
      </c>
      <c r="CK6" s="1724" t="s">
        <v>395</v>
      </c>
      <c r="CL6" s="1724" t="s">
        <v>411</v>
      </c>
      <c r="CM6" s="1724" t="s">
        <v>410</v>
      </c>
      <c r="CN6" s="1724" t="s">
        <v>412</v>
      </c>
      <c r="CO6" s="1724" t="s">
        <v>414</v>
      </c>
      <c r="CP6" s="1724" t="s">
        <v>429</v>
      </c>
      <c r="CQ6" s="1724" t="s">
        <v>475</v>
      </c>
      <c r="CR6" s="1724" t="s">
        <v>476</v>
      </c>
      <c r="CS6" s="1724" t="s">
        <v>493</v>
      </c>
      <c r="CT6" s="1724" t="s">
        <v>513</v>
      </c>
      <c r="CU6" s="1724" t="s">
        <v>519</v>
      </c>
      <c r="CV6" s="1724" t="s">
        <v>531</v>
      </c>
      <c r="CW6" s="1724" t="s">
        <v>532</v>
      </c>
      <c r="CX6" s="1724" t="s">
        <v>542</v>
      </c>
      <c r="CY6" s="1724" t="s">
        <v>664</v>
      </c>
      <c r="CZ6" s="1724" t="s">
        <v>679</v>
      </c>
      <c r="DA6" s="1724" t="s">
        <v>682</v>
      </c>
      <c r="DB6" s="1724" t="s">
        <v>683</v>
      </c>
      <c r="DC6" s="1724" t="s">
        <v>724</v>
      </c>
      <c r="DD6" s="1724" t="s">
        <v>733</v>
      </c>
      <c r="DE6" s="1724" t="s">
        <v>821</v>
      </c>
      <c r="DF6" s="1724" t="s">
        <v>846</v>
      </c>
      <c r="DG6" s="1724" t="s">
        <v>847</v>
      </c>
      <c r="DH6" s="2897" t="s">
        <v>848</v>
      </c>
      <c r="DI6" s="2897" t="s">
        <v>852</v>
      </c>
      <c r="DJ6" s="2897" t="s">
        <v>857</v>
      </c>
      <c r="DK6" s="2897" t="s">
        <v>868</v>
      </c>
      <c r="DL6" s="1724" t="s">
        <v>871</v>
      </c>
      <c r="DM6" s="2897" t="s">
        <v>881</v>
      </c>
      <c r="DN6" s="2897" t="s">
        <v>926</v>
      </c>
      <c r="DO6" s="2897" t="s">
        <v>933</v>
      </c>
      <c r="DP6" s="2897" t="s">
        <v>967</v>
      </c>
      <c r="DQ6" s="1724" t="s">
        <v>968</v>
      </c>
      <c r="DR6" s="2897" t="s">
        <v>993</v>
      </c>
      <c r="DS6" s="2897" t="s">
        <v>998</v>
      </c>
      <c r="DT6" s="2897" t="s">
        <v>999</v>
      </c>
      <c r="DU6" s="2897" t="s">
        <v>1004</v>
      </c>
      <c r="DV6" s="1724" t="s">
        <v>1005</v>
      </c>
      <c r="DW6" s="2897" t="s">
        <v>1006</v>
      </c>
      <c r="DX6" s="2897" t="s">
        <v>1009</v>
      </c>
      <c r="DY6" s="2897" t="s">
        <v>1010</v>
      </c>
      <c r="DZ6" s="2897" t="s">
        <v>1011</v>
      </c>
      <c r="EA6" s="1724" t="str">
        <f>IS!EA6</f>
        <v>2022A</v>
      </c>
      <c r="EB6" s="2897" t="str">
        <f>IS!EB6</f>
        <v>3/23A</v>
      </c>
      <c r="EC6" s="2897" t="str">
        <f>IS!EC6</f>
        <v>6/23A</v>
      </c>
      <c r="ED6" s="2897" t="str">
        <f>IS!ED6</f>
        <v>9/23A</v>
      </c>
      <c r="EE6" s="2897" t="str">
        <f>IS!EE6</f>
        <v>12/23A</v>
      </c>
      <c r="EF6" s="1724" t="str">
        <f>IS!EF6</f>
        <v>2023A</v>
      </c>
      <c r="EG6" s="2897" t="str">
        <f>IS!EG6</f>
        <v>3/24A</v>
      </c>
      <c r="EH6" s="2897" t="str">
        <f>IS!EH6</f>
        <v>6/24A</v>
      </c>
      <c r="EI6" s="2897" t="str">
        <f>IS!EI6</f>
        <v>9/24A</v>
      </c>
      <c r="EJ6" s="2897" t="str">
        <f>IS!EJ6</f>
        <v>12/24A</v>
      </c>
      <c r="EK6" s="1724" t="str">
        <f>IS!EK6</f>
        <v>2024A</v>
      </c>
      <c r="EL6" s="2897" t="str">
        <f>IS!EL6</f>
        <v>3/25A</v>
      </c>
      <c r="EM6" s="2897" t="str">
        <f>IS!EM6</f>
        <v>6/25A</v>
      </c>
      <c r="EN6" s="2897" t="str">
        <f>IS!EN6</f>
        <v>9/25A</v>
      </c>
      <c r="EO6" s="2897" t="str">
        <f>IS!EO6</f>
        <v>12/25E</v>
      </c>
      <c r="EP6" s="1724" t="str">
        <f>IS!EP6</f>
        <v>2025E</v>
      </c>
      <c r="EQ6" s="1724" t="str">
        <f>IS!EU6</f>
        <v>2026E</v>
      </c>
      <c r="ER6" s="1724" t="str">
        <f>IS!EV6</f>
        <v>2027E</v>
      </c>
      <c r="ES6" s="1724" t="str">
        <f>IS!EW6</f>
        <v>2028E</v>
      </c>
      <c r="ET6" s="1724" t="str">
        <f>IS!EX6</f>
        <v>2029E</v>
      </c>
      <c r="EU6" s="1724" t="str">
        <f>IS!EY6</f>
        <v>2030E</v>
      </c>
    </row>
    <row r="7" spans="1:151">
      <c r="A7" s="5662" t="s">
        <v>1087</v>
      </c>
      <c r="B7" s="2918"/>
      <c r="C7" s="2918"/>
      <c r="D7" s="2918"/>
      <c r="E7" s="2918"/>
      <c r="F7" s="5592"/>
      <c r="G7" s="2918"/>
      <c r="H7" s="2918"/>
      <c r="I7" s="2918"/>
      <c r="J7" s="2918"/>
      <c r="K7" s="5198"/>
      <c r="L7" s="2918"/>
      <c r="M7" s="2918"/>
      <c r="N7" s="2918"/>
      <c r="O7" s="2918"/>
      <c r="P7" s="5198"/>
      <c r="Q7" s="5197"/>
      <c r="R7" s="2918"/>
      <c r="S7" s="2918"/>
      <c r="T7" s="2918"/>
      <c r="U7" s="5198"/>
      <c r="V7" s="5197"/>
      <c r="W7" s="2918"/>
      <c r="X7" s="2918"/>
      <c r="Y7" s="2918"/>
      <c r="Z7" s="5198"/>
      <c r="AA7" s="5197"/>
      <c r="AB7" s="2918"/>
      <c r="AC7" s="2918"/>
      <c r="AD7" s="2918"/>
      <c r="AE7" s="5198"/>
      <c r="AF7" s="5197"/>
      <c r="AG7" s="2918"/>
      <c r="AH7" s="2918"/>
      <c r="AI7" s="2918"/>
      <c r="AJ7" s="5198"/>
      <c r="AK7" s="5197"/>
      <c r="AL7" s="2918"/>
      <c r="AM7" s="2918"/>
      <c r="AN7" s="2918"/>
      <c r="AO7" s="5198"/>
      <c r="AP7" s="5197"/>
      <c r="AQ7" s="2918"/>
      <c r="AR7" s="2918"/>
      <c r="AS7" s="2918"/>
      <c r="AT7" s="5198"/>
      <c r="AU7" s="5197"/>
      <c r="AV7" s="5105"/>
      <c r="AW7" s="2918"/>
      <c r="AX7" s="2918"/>
      <c r="AY7" s="5198"/>
      <c r="AZ7" s="5197"/>
      <c r="BA7" s="5105"/>
      <c r="BB7" s="2918"/>
      <c r="BC7" s="2918"/>
      <c r="BD7" s="5198"/>
      <c r="BE7" s="5197"/>
      <c r="BF7" s="5105"/>
      <c r="BG7" s="2918"/>
      <c r="BH7" s="2918"/>
      <c r="BI7" s="5198"/>
      <c r="BJ7" s="5197"/>
      <c r="BK7" s="2918"/>
      <c r="BL7" s="2918"/>
      <c r="BM7" s="2918"/>
      <c r="BN7" s="5198"/>
      <c r="BO7" s="2918"/>
      <c r="BP7" s="2918"/>
      <c r="BQ7" s="2918"/>
      <c r="BR7" s="2918"/>
      <c r="BS7" s="5198"/>
      <c r="BT7" s="2918"/>
      <c r="BU7" s="2918"/>
      <c r="BV7" s="2918"/>
      <c r="BW7" s="2918"/>
      <c r="BX7" s="5198"/>
      <c r="BY7" s="2918"/>
      <c r="BZ7" s="2918"/>
      <c r="CA7" s="2918"/>
      <c r="CB7" s="2918"/>
      <c r="CC7" s="5198"/>
      <c r="CD7" s="2918"/>
      <c r="CE7" s="2918"/>
      <c r="CF7" s="2918"/>
      <c r="CG7" s="2918"/>
      <c r="CH7" s="5198"/>
      <c r="CI7" s="2347"/>
      <c r="CJ7" s="2918"/>
      <c r="CK7" s="2918"/>
      <c r="CL7" s="2918"/>
      <c r="CM7" s="5198"/>
      <c r="CN7" s="2918"/>
      <c r="CO7" s="2918"/>
      <c r="CP7" s="2918"/>
      <c r="CQ7" s="2918"/>
      <c r="CR7" s="5198"/>
      <c r="CS7" s="2918"/>
      <c r="CT7" s="2918"/>
      <c r="CU7" s="2918"/>
      <c r="CV7" s="5106"/>
      <c r="CW7" s="5199"/>
      <c r="CX7" s="5106"/>
      <c r="CY7" s="5106"/>
      <c r="CZ7" s="5106"/>
      <c r="DA7" s="5106"/>
      <c r="DB7" s="5199"/>
      <c r="DC7" s="5106"/>
      <c r="DD7" s="5106"/>
      <c r="DE7" s="5106"/>
      <c r="DF7" s="5106"/>
      <c r="DG7" s="5199"/>
      <c r="DH7" s="5106"/>
      <c r="DI7" s="5106"/>
      <c r="DJ7" s="5106"/>
      <c r="DK7" s="5106"/>
      <c r="DL7" s="5199"/>
      <c r="DM7" s="5106"/>
      <c r="DN7" s="5106"/>
      <c r="DO7" s="5106"/>
      <c r="DP7" s="5106"/>
      <c r="DQ7" s="5199"/>
      <c r="DR7" s="5106"/>
      <c r="DS7" s="5106"/>
      <c r="DT7" s="5106"/>
      <c r="DU7" s="5106"/>
      <c r="DV7" s="5199"/>
      <c r="DW7" s="5106"/>
      <c r="DX7" s="5106"/>
      <c r="DY7" s="5821"/>
      <c r="DZ7" s="5106"/>
      <c r="EA7" s="5199"/>
      <c r="EB7" s="5106"/>
      <c r="EC7" s="5106"/>
      <c r="ED7" s="5821"/>
      <c r="EE7" s="5106"/>
      <c r="EF7" s="5199"/>
      <c r="EG7" s="5106"/>
      <c r="EH7" s="5106"/>
      <c r="EI7" s="5106"/>
      <c r="EJ7" s="5106"/>
      <c r="EK7" s="5199"/>
      <c r="EL7" s="5106"/>
      <c r="EM7" s="5106"/>
      <c r="EN7" s="5106"/>
      <c r="EO7" s="5106"/>
      <c r="EP7" s="5199"/>
      <c r="EQ7" s="5199"/>
      <c r="ER7" s="5199"/>
      <c r="ES7" s="5199"/>
      <c r="ET7" s="5199"/>
      <c r="EU7" s="5199"/>
    </row>
    <row r="8" spans="1:151" s="2950" customFormat="1" ht="11.25" customHeight="1">
      <c r="A8" s="5849" t="s">
        <v>1198</v>
      </c>
      <c r="B8" s="2945"/>
      <c r="C8" s="2945"/>
      <c r="D8" s="2945"/>
      <c r="E8" s="2949"/>
      <c r="F8" s="5850"/>
      <c r="G8" s="2945"/>
      <c r="H8" s="2945"/>
      <c r="I8" s="2945"/>
      <c r="J8" s="2949"/>
      <c r="K8" s="5850"/>
      <c r="L8" s="2945"/>
      <c r="M8" s="2945"/>
      <c r="N8" s="2945"/>
      <c r="O8" s="2949"/>
      <c r="P8" s="5850"/>
      <c r="Q8" s="2945"/>
      <c r="R8" s="2945"/>
      <c r="S8" s="2945"/>
      <c r="T8" s="2949"/>
      <c r="U8" s="5850"/>
      <c r="V8" s="5851"/>
      <c r="W8" s="2945"/>
      <c r="X8" s="2945"/>
      <c r="Y8" s="2949"/>
      <c r="Z8" s="5850"/>
      <c r="AA8" s="5851"/>
      <c r="AB8" s="2945"/>
      <c r="AC8" s="2945"/>
      <c r="AD8" s="2949"/>
      <c r="AE8" s="5850"/>
      <c r="AF8" s="5851"/>
      <c r="AG8" s="2945"/>
      <c r="AH8" s="2945"/>
      <c r="AI8" s="2949"/>
      <c r="AJ8" s="5850"/>
      <c r="AK8" s="2945"/>
      <c r="AL8" s="2945"/>
      <c r="AM8" s="2945"/>
      <c r="AN8" s="2949"/>
      <c r="AO8" s="5850"/>
      <c r="AP8" s="2945"/>
      <c r="AQ8" s="2945"/>
      <c r="AR8" s="2945"/>
      <c r="AS8" s="2949"/>
      <c r="AT8" s="5850"/>
      <c r="AU8" s="2945"/>
      <c r="AV8" s="2945"/>
      <c r="AW8" s="2945"/>
      <c r="AX8" s="2949"/>
      <c r="AY8" s="5850"/>
      <c r="AZ8" s="2945"/>
      <c r="BA8" s="2945"/>
      <c r="BB8" s="2945"/>
      <c r="BC8" s="2945"/>
      <c r="BD8" s="5852"/>
      <c r="BE8" s="5853"/>
      <c r="BF8" s="2945"/>
      <c r="BG8" s="2945"/>
      <c r="BH8" s="2945"/>
      <c r="BI8" s="5852"/>
      <c r="BJ8" s="2945"/>
      <c r="BK8" s="2945"/>
      <c r="BL8" s="2945"/>
      <c r="BM8" s="2945"/>
      <c r="BN8" s="5852"/>
      <c r="BO8" s="2945"/>
      <c r="BP8" s="2945"/>
      <c r="BQ8" s="2945"/>
      <c r="BR8" s="2949"/>
      <c r="BS8" s="5850"/>
      <c r="BT8" s="2945"/>
      <c r="BU8" s="2945"/>
      <c r="BV8" s="2945"/>
      <c r="BW8" s="2945"/>
      <c r="BX8" s="5852"/>
      <c r="BY8" s="2945"/>
      <c r="BZ8" s="2945"/>
      <c r="CA8" s="2945"/>
      <c r="CB8" s="2945"/>
      <c r="CC8" s="5852"/>
      <c r="CD8" s="2945"/>
      <c r="CE8" s="2945"/>
      <c r="CF8" s="2945"/>
      <c r="CG8" s="2945"/>
      <c r="CH8" s="5852"/>
      <c r="CI8" s="2945"/>
      <c r="CJ8" s="2945"/>
      <c r="CK8" s="2945"/>
      <c r="CL8" s="2945"/>
      <c r="CM8" s="5852"/>
      <c r="CN8" s="2945"/>
      <c r="CO8" s="2945"/>
      <c r="CP8" s="2945"/>
      <c r="CQ8" s="2945"/>
      <c r="CR8" s="5852"/>
      <c r="CS8" s="2945"/>
      <c r="CT8" s="2945"/>
      <c r="CU8" s="2945"/>
      <c r="CV8" s="2945"/>
      <c r="CW8" s="5852"/>
      <c r="CX8" s="2945"/>
      <c r="CY8" s="2945"/>
      <c r="CZ8" s="2945"/>
      <c r="DA8" s="4194"/>
      <c r="DB8" s="5852"/>
      <c r="DC8" s="2945"/>
      <c r="DD8" s="2945"/>
      <c r="DE8" s="2945"/>
      <c r="DF8" s="2945"/>
      <c r="DG8" s="5854"/>
      <c r="DH8" s="5261"/>
      <c r="DI8" s="5261"/>
      <c r="DJ8" s="5261"/>
      <c r="DK8" s="5855"/>
      <c r="DL8" s="5854"/>
      <c r="DM8" s="5855"/>
      <c r="DN8" s="5855"/>
      <c r="DO8" s="5855"/>
      <c r="DP8" s="5855"/>
      <c r="DQ8" s="5854"/>
      <c r="DR8" s="5855"/>
      <c r="DS8" s="5855"/>
      <c r="DT8" s="5855"/>
      <c r="DU8" s="5855"/>
      <c r="DV8" s="5854"/>
      <c r="DW8" s="5855"/>
      <c r="DX8" s="5855"/>
      <c r="DY8" s="5855"/>
      <c r="DZ8" s="5855"/>
      <c r="EA8" s="5854"/>
      <c r="EB8" s="5855"/>
      <c r="EC8" s="5855"/>
      <c r="ED8" s="5855"/>
      <c r="EE8" s="5855"/>
      <c r="EF8" s="5854"/>
      <c r="EG8" s="5855"/>
      <c r="EH8" s="5261">
        <f>EM8/(1+EM9)</f>
        <v>76811.594202898559</v>
      </c>
      <c r="EI8" s="5261">
        <f>EN8/(1+EN9)</f>
        <v>85164.835164835167</v>
      </c>
      <c r="EJ8" s="5855"/>
      <c r="EK8" s="5854"/>
      <c r="EL8" s="5855">
        <f>EM8/(1+EM10)</f>
        <v>89830.508474576272</v>
      </c>
      <c r="EM8" s="5855">
        <v>106000</v>
      </c>
      <c r="EN8" s="5855">
        <v>155000</v>
      </c>
      <c r="EO8" s="5261"/>
      <c r="EP8" s="5854"/>
      <c r="EQ8" s="5854"/>
      <c r="ER8" s="5854"/>
      <c r="ES8" s="5854"/>
      <c r="ET8" s="5854"/>
      <c r="EU8" s="5854"/>
    </row>
    <row r="9" spans="1:151" s="4029" customFormat="1" ht="11.25" customHeight="1">
      <c r="A9" s="5843" t="s">
        <v>359</v>
      </c>
      <c r="B9" s="2963"/>
      <c r="C9" s="2963"/>
      <c r="D9" s="2963"/>
      <c r="E9" s="3966"/>
      <c r="F9" s="5844"/>
      <c r="G9" s="2963"/>
      <c r="H9" s="2963"/>
      <c r="I9" s="2963"/>
      <c r="J9" s="3966"/>
      <c r="K9" s="5844"/>
      <c r="L9" s="2963"/>
      <c r="M9" s="2963"/>
      <c r="N9" s="2963"/>
      <c r="O9" s="3966"/>
      <c r="P9" s="5844"/>
      <c r="Q9" s="2963"/>
      <c r="R9" s="2963"/>
      <c r="S9" s="2963"/>
      <c r="T9" s="3966"/>
      <c r="U9" s="5844"/>
      <c r="V9" s="5845"/>
      <c r="W9" s="2963"/>
      <c r="X9" s="2963"/>
      <c r="Y9" s="3966"/>
      <c r="Z9" s="5844"/>
      <c r="AA9" s="5845"/>
      <c r="AB9" s="2963"/>
      <c r="AC9" s="2963"/>
      <c r="AD9" s="3966"/>
      <c r="AE9" s="5844"/>
      <c r="AF9" s="5845"/>
      <c r="AG9" s="2963"/>
      <c r="AH9" s="2963"/>
      <c r="AI9" s="3966"/>
      <c r="AJ9" s="5844"/>
      <c r="AK9" s="2963"/>
      <c r="AL9" s="2963"/>
      <c r="AM9" s="2963"/>
      <c r="AN9" s="3966"/>
      <c r="AO9" s="5844"/>
      <c r="AP9" s="2963"/>
      <c r="AQ9" s="2963"/>
      <c r="AR9" s="2963"/>
      <c r="AS9" s="3966"/>
      <c r="AT9" s="5844"/>
      <c r="AU9" s="2963"/>
      <c r="AV9" s="2963"/>
      <c r="AW9" s="2963"/>
      <c r="AX9" s="3966"/>
      <c r="AY9" s="5844"/>
      <c r="AZ9" s="2963"/>
      <c r="BA9" s="2963"/>
      <c r="BB9" s="2963"/>
      <c r="BC9" s="2963"/>
      <c r="BD9" s="5846"/>
      <c r="BE9" s="5847"/>
      <c r="BF9" s="2963"/>
      <c r="BG9" s="2963"/>
      <c r="BH9" s="2963"/>
      <c r="BI9" s="5846"/>
      <c r="BJ9" s="2963"/>
      <c r="BK9" s="2963"/>
      <c r="BL9" s="2963"/>
      <c r="BM9" s="2963"/>
      <c r="BN9" s="5846"/>
      <c r="BO9" s="2963"/>
      <c r="BP9" s="2963"/>
      <c r="BQ9" s="2963"/>
      <c r="BR9" s="3966"/>
      <c r="BS9" s="5844"/>
      <c r="BT9" s="2963"/>
      <c r="BU9" s="2963"/>
      <c r="BV9" s="2963"/>
      <c r="BW9" s="2963"/>
      <c r="BX9" s="5846"/>
      <c r="BY9" s="2963"/>
      <c r="BZ9" s="2963"/>
      <c r="CA9" s="2963"/>
      <c r="CB9" s="2963"/>
      <c r="CC9" s="5846"/>
      <c r="CD9" s="2963"/>
      <c r="CE9" s="2963"/>
      <c r="CF9" s="2963"/>
      <c r="CG9" s="2963"/>
      <c r="CH9" s="5846"/>
      <c r="CI9" s="2963"/>
      <c r="CJ9" s="2963"/>
      <c r="CK9" s="2963"/>
      <c r="CL9" s="2963"/>
      <c r="CM9" s="5846"/>
      <c r="CN9" s="2963"/>
      <c r="CO9" s="2963"/>
      <c r="CP9" s="2963"/>
      <c r="CQ9" s="2963"/>
      <c r="CR9" s="5846"/>
      <c r="CS9" s="2963"/>
      <c r="CT9" s="2963"/>
      <c r="CU9" s="2963"/>
      <c r="CV9" s="2963"/>
      <c r="CW9" s="5846"/>
      <c r="CX9" s="2963"/>
      <c r="CY9" s="2963"/>
      <c r="CZ9" s="2963"/>
      <c r="DA9" s="5848"/>
      <c r="DB9" s="5846"/>
      <c r="DC9" s="2963"/>
      <c r="DD9" s="2963"/>
      <c r="DE9" s="2963"/>
      <c r="DF9" s="2963"/>
      <c r="DG9" s="4939"/>
      <c r="DH9" s="2623"/>
      <c r="DI9" s="2623"/>
      <c r="DJ9" s="2623"/>
      <c r="DK9" s="2623"/>
      <c r="DL9" s="4939"/>
      <c r="DM9" s="2623"/>
      <c r="DN9" s="2623"/>
      <c r="DO9" s="2623"/>
      <c r="DP9" s="2623"/>
      <c r="DQ9" s="4939"/>
      <c r="DR9" s="2623"/>
      <c r="DS9" s="2623"/>
      <c r="DT9" s="2623"/>
      <c r="DU9" s="2623"/>
      <c r="DV9" s="4939"/>
      <c r="DW9" s="2623"/>
      <c r="DX9" s="2623"/>
      <c r="DY9" s="2623"/>
      <c r="DZ9" s="2623"/>
      <c r="EA9" s="4939"/>
      <c r="EB9" s="2623"/>
      <c r="EC9" s="2623"/>
      <c r="ED9" s="2623"/>
      <c r="EE9" s="2623"/>
      <c r="EF9" s="4939"/>
      <c r="EG9" s="2623"/>
      <c r="EH9" s="2623"/>
      <c r="EI9" s="2623"/>
      <c r="EJ9" s="2623"/>
      <c r="EK9" s="4939"/>
      <c r="EL9" s="2623"/>
      <c r="EM9" s="617">
        <v>0.38</v>
      </c>
      <c r="EN9" s="617">
        <v>0.82</v>
      </c>
      <c r="EO9" s="2623"/>
      <c r="EP9" s="4939"/>
      <c r="EQ9" s="4939"/>
      <c r="ER9" s="4939"/>
      <c r="ES9" s="4939"/>
      <c r="ET9" s="4939"/>
      <c r="EU9" s="4939"/>
    </row>
    <row r="10" spans="1:151" s="4029" customFormat="1" ht="11.25" customHeight="1">
      <c r="A10" s="5843" t="s">
        <v>364</v>
      </c>
      <c r="B10" s="2963"/>
      <c r="C10" s="2963"/>
      <c r="D10" s="2963"/>
      <c r="E10" s="3966"/>
      <c r="F10" s="5844"/>
      <c r="G10" s="2963"/>
      <c r="H10" s="2963"/>
      <c r="I10" s="2963"/>
      <c r="J10" s="3966"/>
      <c r="K10" s="5844"/>
      <c r="L10" s="2963"/>
      <c r="M10" s="2963"/>
      <c r="N10" s="2963"/>
      <c r="O10" s="3966"/>
      <c r="P10" s="5844"/>
      <c r="Q10" s="2963"/>
      <c r="R10" s="2963"/>
      <c r="S10" s="2963"/>
      <c r="T10" s="3966"/>
      <c r="U10" s="5844"/>
      <c r="V10" s="5845"/>
      <c r="W10" s="2963"/>
      <c r="X10" s="2963"/>
      <c r="Y10" s="3966"/>
      <c r="Z10" s="5844"/>
      <c r="AA10" s="5845"/>
      <c r="AB10" s="2963"/>
      <c r="AC10" s="2963"/>
      <c r="AD10" s="3966"/>
      <c r="AE10" s="5844"/>
      <c r="AF10" s="5845"/>
      <c r="AG10" s="2963"/>
      <c r="AH10" s="2963"/>
      <c r="AI10" s="3966"/>
      <c r="AJ10" s="5844"/>
      <c r="AK10" s="2963"/>
      <c r="AL10" s="2963"/>
      <c r="AM10" s="2963"/>
      <c r="AN10" s="3966"/>
      <c r="AO10" s="5844"/>
      <c r="AP10" s="2963"/>
      <c r="AQ10" s="2963"/>
      <c r="AR10" s="2963"/>
      <c r="AS10" s="3966"/>
      <c r="AT10" s="5844"/>
      <c r="AU10" s="2963"/>
      <c r="AV10" s="2963"/>
      <c r="AW10" s="2963"/>
      <c r="AX10" s="3966"/>
      <c r="AY10" s="5844"/>
      <c r="AZ10" s="2963"/>
      <c r="BA10" s="2963"/>
      <c r="BB10" s="2963"/>
      <c r="BC10" s="2963"/>
      <c r="BD10" s="5846"/>
      <c r="BE10" s="5847"/>
      <c r="BF10" s="2963"/>
      <c r="BG10" s="2963"/>
      <c r="BH10" s="2963"/>
      <c r="BI10" s="5846"/>
      <c r="BJ10" s="2963"/>
      <c r="BK10" s="2963"/>
      <c r="BL10" s="2963"/>
      <c r="BM10" s="2963"/>
      <c r="BN10" s="5846"/>
      <c r="BO10" s="2963"/>
      <c r="BP10" s="2963"/>
      <c r="BQ10" s="2963"/>
      <c r="BR10" s="3966"/>
      <c r="BS10" s="5844"/>
      <c r="BT10" s="2963"/>
      <c r="BU10" s="2963"/>
      <c r="BV10" s="2963"/>
      <c r="BW10" s="2963"/>
      <c r="BX10" s="5846"/>
      <c r="BY10" s="2963"/>
      <c r="BZ10" s="2963"/>
      <c r="CA10" s="2963"/>
      <c r="CB10" s="2963"/>
      <c r="CC10" s="5846"/>
      <c r="CD10" s="2963"/>
      <c r="CE10" s="2963"/>
      <c r="CF10" s="2963"/>
      <c r="CG10" s="2963"/>
      <c r="CH10" s="5846"/>
      <c r="CI10" s="2963"/>
      <c r="CJ10" s="2963"/>
      <c r="CK10" s="2963"/>
      <c r="CL10" s="2963"/>
      <c r="CM10" s="5846"/>
      <c r="CN10" s="2963"/>
      <c r="CO10" s="2963"/>
      <c r="CP10" s="2963"/>
      <c r="CQ10" s="2963"/>
      <c r="CR10" s="5846"/>
      <c r="CS10" s="2963"/>
      <c r="CT10" s="2963"/>
      <c r="CU10" s="2963"/>
      <c r="CV10" s="2963"/>
      <c r="CW10" s="5846"/>
      <c r="CX10" s="2963"/>
      <c r="CY10" s="2963"/>
      <c r="CZ10" s="2963"/>
      <c r="DA10" s="5848"/>
      <c r="DB10" s="5846"/>
      <c r="DC10" s="2963"/>
      <c r="DD10" s="2963"/>
      <c r="DE10" s="2963"/>
      <c r="DF10" s="2963"/>
      <c r="DG10" s="4939"/>
      <c r="DH10" s="2623"/>
      <c r="DI10" s="2623"/>
      <c r="DJ10" s="2623"/>
      <c r="DK10" s="2623"/>
      <c r="DL10" s="4939"/>
      <c r="DM10" s="2623"/>
      <c r="DN10" s="2623"/>
      <c r="DO10" s="2623"/>
      <c r="DP10" s="2623"/>
      <c r="DQ10" s="4939"/>
      <c r="DR10" s="2623"/>
      <c r="DS10" s="2623"/>
      <c r="DT10" s="2623"/>
      <c r="DU10" s="2623"/>
      <c r="DV10" s="4939"/>
      <c r="DW10" s="2623"/>
      <c r="DX10" s="2623"/>
      <c r="DY10" s="2623"/>
      <c r="DZ10" s="2623"/>
      <c r="EA10" s="4939"/>
      <c r="EB10" s="2623"/>
      <c r="EC10" s="2623"/>
      <c r="ED10" s="2623"/>
      <c r="EE10" s="2623"/>
      <c r="EF10" s="4939"/>
      <c r="EG10" s="2623"/>
      <c r="EH10" s="2623"/>
      <c r="EI10" s="2623">
        <f>EI8/EH8-1</f>
        <v>0.10874974082521249</v>
      </c>
      <c r="EJ10" s="2623"/>
      <c r="EK10" s="4939"/>
      <c r="EL10" s="2623"/>
      <c r="EM10" s="617">
        <v>0.18</v>
      </c>
      <c r="EN10" s="2623">
        <f>EN8/EM8-1</f>
        <v>0.46226415094339623</v>
      </c>
      <c r="EO10" s="2623"/>
      <c r="EP10" s="4939"/>
      <c r="EQ10" s="4939"/>
      <c r="ER10" s="4939"/>
      <c r="ES10" s="4939"/>
      <c r="ET10" s="4939"/>
      <c r="EU10" s="4939"/>
    </row>
    <row r="11" spans="1:151" s="84" customFormat="1" ht="11.25" customHeight="1">
      <c r="A11" s="3777"/>
      <c r="B11" s="176"/>
      <c r="C11" s="176"/>
      <c r="D11" s="176"/>
      <c r="E11" s="178"/>
      <c r="F11" s="3514"/>
      <c r="G11" s="176"/>
      <c r="H11" s="176"/>
      <c r="I11" s="176"/>
      <c r="J11" s="178"/>
      <c r="K11" s="3514"/>
      <c r="L11" s="176"/>
      <c r="M11" s="176"/>
      <c r="N11" s="176"/>
      <c r="O11" s="178"/>
      <c r="P11" s="3514"/>
      <c r="Q11" s="176"/>
      <c r="R11" s="176"/>
      <c r="S11" s="176"/>
      <c r="T11" s="178"/>
      <c r="U11" s="3514"/>
      <c r="V11" s="3450"/>
      <c r="W11" s="176"/>
      <c r="X11" s="176"/>
      <c r="Y11" s="178"/>
      <c r="Z11" s="3514"/>
      <c r="AA11" s="3450"/>
      <c r="AB11" s="176"/>
      <c r="AC11" s="176"/>
      <c r="AD11" s="178"/>
      <c r="AE11" s="3514"/>
      <c r="AF11" s="3450"/>
      <c r="AG11" s="176"/>
      <c r="AH11" s="176"/>
      <c r="AI11" s="178"/>
      <c r="AJ11" s="3514"/>
      <c r="AK11" s="176"/>
      <c r="AL11" s="176"/>
      <c r="AM11" s="176"/>
      <c r="AN11" s="178"/>
      <c r="AO11" s="3514"/>
      <c r="AP11" s="176"/>
      <c r="AQ11" s="176"/>
      <c r="AR11" s="176"/>
      <c r="AS11" s="178"/>
      <c r="AT11" s="3514"/>
      <c r="AU11" s="176"/>
      <c r="AV11" s="176"/>
      <c r="AW11" s="176"/>
      <c r="AX11" s="178"/>
      <c r="AY11" s="3514"/>
      <c r="AZ11" s="176"/>
      <c r="BA11" s="176"/>
      <c r="BB11" s="176"/>
      <c r="BC11" s="176"/>
      <c r="BD11" s="3515"/>
      <c r="BE11" s="5834"/>
      <c r="BF11" s="176"/>
      <c r="BG11" s="176"/>
      <c r="BH11" s="176"/>
      <c r="BI11" s="3515"/>
      <c r="BJ11" s="176"/>
      <c r="BK11" s="176"/>
      <c r="BL11" s="176"/>
      <c r="BM11" s="176"/>
      <c r="BN11" s="3515"/>
      <c r="BO11" s="176"/>
      <c r="BP11" s="176"/>
      <c r="BQ11" s="176"/>
      <c r="BR11" s="178"/>
      <c r="BS11" s="3514"/>
      <c r="BT11" s="176"/>
      <c r="BU11" s="176"/>
      <c r="BV11" s="176"/>
      <c r="BW11" s="176"/>
      <c r="BX11" s="3515"/>
      <c r="BY11" s="176"/>
      <c r="BZ11" s="176"/>
      <c r="CA11" s="176"/>
      <c r="CB11" s="176"/>
      <c r="CC11" s="3515"/>
      <c r="CD11" s="176"/>
      <c r="CE11" s="176"/>
      <c r="CF11" s="176"/>
      <c r="CG11" s="176"/>
      <c r="CH11" s="3515"/>
      <c r="CI11" s="176"/>
      <c r="CJ11" s="176"/>
      <c r="CK11" s="176"/>
      <c r="CL11" s="176"/>
      <c r="CM11" s="3515"/>
      <c r="CN11" s="176"/>
      <c r="CO11" s="176"/>
      <c r="CP11" s="176"/>
      <c r="CQ11" s="176"/>
      <c r="CR11" s="3515"/>
      <c r="CS11" s="176"/>
      <c r="CT11" s="176"/>
      <c r="CU11" s="176"/>
      <c r="CV11" s="176"/>
      <c r="CW11" s="3515"/>
      <c r="CX11" s="176"/>
      <c r="CY11" s="176"/>
      <c r="CZ11" s="176"/>
      <c r="DA11" s="179"/>
      <c r="DB11" s="3515"/>
      <c r="DC11" s="176"/>
      <c r="DD11" s="176"/>
      <c r="DE11" s="176"/>
      <c r="DF11" s="176"/>
      <c r="DG11" s="3515"/>
      <c r="DH11" s="176"/>
      <c r="DI11" s="176"/>
      <c r="DJ11" s="176"/>
      <c r="DK11" s="176"/>
      <c r="DL11" s="3515"/>
      <c r="DM11" s="176"/>
      <c r="DN11" s="176"/>
      <c r="DO11" s="176"/>
      <c r="DP11" s="176"/>
      <c r="DQ11" s="3515"/>
      <c r="DR11" s="176"/>
      <c r="DS11" s="176"/>
      <c r="DT11" s="176"/>
      <c r="DU11" s="176"/>
      <c r="DV11" s="3515"/>
      <c r="DW11" s="176"/>
      <c r="DX11" s="176"/>
      <c r="DY11" s="176"/>
      <c r="DZ11" s="176"/>
      <c r="EA11" s="3515"/>
      <c r="EB11" s="176"/>
      <c r="EC11" s="176"/>
      <c r="ED11" s="176"/>
      <c r="EE11" s="176"/>
      <c r="EF11" s="3515"/>
      <c r="EG11" s="176"/>
      <c r="EH11" s="176"/>
      <c r="EI11" s="176"/>
      <c r="EJ11" s="176"/>
      <c r="EK11" s="3515"/>
      <c r="EL11" s="176"/>
      <c r="EM11" s="176"/>
      <c r="EN11" s="176"/>
      <c r="EO11" s="176"/>
      <c r="EP11" s="3515"/>
      <c r="EQ11" s="3515"/>
      <c r="ER11" s="3515"/>
      <c r="ES11" s="3515"/>
      <c r="ET11" s="3515"/>
      <c r="EU11" s="3515"/>
    </row>
    <row r="12" spans="1:151" s="2950" customFormat="1" ht="11.25" customHeight="1">
      <c r="A12" s="5849" t="s">
        <v>1199</v>
      </c>
      <c r="B12" s="2945"/>
      <c r="C12" s="2945"/>
      <c r="D12" s="2945"/>
      <c r="E12" s="2949"/>
      <c r="F12" s="5850"/>
      <c r="G12" s="2945"/>
      <c r="H12" s="2945"/>
      <c r="I12" s="2945"/>
      <c r="J12" s="2949"/>
      <c r="K12" s="5850"/>
      <c r="L12" s="2945"/>
      <c r="M12" s="2945"/>
      <c r="N12" s="2945"/>
      <c r="O12" s="2949"/>
      <c r="P12" s="5850"/>
      <c r="Q12" s="2945"/>
      <c r="R12" s="2945"/>
      <c r="S12" s="2945"/>
      <c r="T12" s="2949"/>
      <c r="U12" s="5850"/>
      <c r="V12" s="5851"/>
      <c r="W12" s="2945"/>
      <c r="X12" s="2945"/>
      <c r="Y12" s="2949"/>
      <c r="Z12" s="5850"/>
      <c r="AA12" s="5851"/>
      <c r="AB12" s="2945"/>
      <c r="AC12" s="2945"/>
      <c r="AD12" s="2949"/>
      <c r="AE12" s="5850"/>
      <c r="AF12" s="5851"/>
      <c r="AG12" s="2945"/>
      <c r="AH12" s="2945"/>
      <c r="AI12" s="2949"/>
      <c r="AJ12" s="5850"/>
      <c r="AK12" s="2945"/>
      <c r="AL12" s="2945"/>
      <c r="AM12" s="2945"/>
      <c r="AN12" s="2949"/>
      <c r="AO12" s="5850"/>
      <c r="AP12" s="2945"/>
      <c r="AQ12" s="2945"/>
      <c r="AR12" s="2945"/>
      <c r="AS12" s="2949"/>
      <c r="AT12" s="5850"/>
      <c r="AU12" s="2945"/>
      <c r="AV12" s="2945"/>
      <c r="AW12" s="2945"/>
      <c r="AX12" s="2949"/>
      <c r="AY12" s="5850"/>
      <c r="AZ12" s="2945"/>
      <c r="BA12" s="2945"/>
      <c r="BB12" s="2945"/>
      <c r="BC12" s="2945"/>
      <c r="BD12" s="5852"/>
      <c r="BE12" s="5853"/>
      <c r="BF12" s="2945"/>
      <c r="BG12" s="2945"/>
      <c r="BH12" s="2945"/>
      <c r="BI12" s="5852"/>
      <c r="BJ12" s="2945"/>
      <c r="BK12" s="2945"/>
      <c r="BL12" s="2945"/>
      <c r="BM12" s="2945"/>
      <c r="BN12" s="5852"/>
      <c r="BO12" s="2945"/>
      <c r="BP12" s="2945"/>
      <c r="BQ12" s="2945"/>
      <c r="BR12" s="2949"/>
      <c r="BS12" s="5850"/>
      <c r="BT12" s="2945"/>
      <c r="BU12" s="2945"/>
      <c r="BV12" s="2945"/>
      <c r="BW12" s="2945"/>
      <c r="BX12" s="5852"/>
      <c r="BY12" s="2945"/>
      <c r="BZ12" s="2945"/>
      <c r="CA12" s="2945"/>
      <c r="CB12" s="2945"/>
      <c r="CC12" s="5852"/>
      <c r="CD12" s="2945"/>
      <c r="CE12" s="2945"/>
      <c r="CF12" s="2945"/>
      <c r="CG12" s="2945"/>
      <c r="CH12" s="5852"/>
      <c r="CI12" s="2945"/>
      <c r="CJ12" s="2945"/>
      <c r="CK12" s="2945"/>
      <c r="CL12" s="2945"/>
      <c r="CM12" s="5852"/>
      <c r="CN12" s="2945"/>
      <c r="CO12" s="2945"/>
      <c r="CP12" s="2945"/>
      <c r="CQ12" s="2945"/>
      <c r="CR12" s="5852"/>
      <c r="CS12" s="2945"/>
      <c r="CT12" s="2945"/>
      <c r="CU12" s="2945"/>
      <c r="CV12" s="2945"/>
      <c r="CW12" s="5852"/>
      <c r="CX12" s="2945"/>
      <c r="CY12" s="2945"/>
      <c r="CZ12" s="2945"/>
      <c r="DA12" s="4194"/>
      <c r="DB12" s="5852"/>
      <c r="DC12" s="2945"/>
      <c r="DD12" s="2945"/>
      <c r="DE12" s="2945"/>
      <c r="DF12" s="2945"/>
      <c r="DG12" s="5854"/>
      <c r="DH12" s="5261"/>
      <c r="DI12" s="5261"/>
      <c r="DJ12" s="5261"/>
      <c r="DK12" s="5855">
        <v>11400</v>
      </c>
      <c r="DL12" s="5854">
        <f>DK12</f>
        <v>11400</v>
      </c>
      <c r="DM12" s="5855">
        <v>12800</v>
      </c>
      <c r="DN12" s="5855">
        <v>14800</v>
      </c>
      <c r="DO12" s="5855">
        <v>19000</v>
      </c>
      <c r="DP12" s="5855">
        <v>29800</v>
      </c>
      <c r="DQ12" s="5854">
        <f>DP12</f>
        <v>29800</v>
      </c>
      <c r="DR12" s="5855">
        <v>30700</v>
      </c>
      <c r="DS12" s="5855">
        <v>35300</v>
      </c>
      <c r="DT12" s="5855">
        <v>37100</v>
      </c>
      <c r="DU12" s="5855">
        <v>51000</v>
      </c>
      <c r="DV12" s="5854">
        <f>DU12</f>
        <v>51000</v>
      </c>
      <c r="DW12" s="5855">
        <v>50500</v>
      </c>
      <c r="DX12" s="5855">
        <v>51200</v>
      </c>
      <c r="DY12" s="5855">
        <v>52400</v>
      </c>
      <c r="DZ12" s="5855">
        <v>64300</v>
      </c>
      <c r="EA12" s="5854">
        <f>DZ12</f>
        <v>64300</v>
      </c>
      <c r="EB12" s="5855">
        <v>61700</v>
      </c>
      <c r="EC12" s="5855">
        <v>60600</v>
      </c>
      <c r="ED12" s="5855">
        <v>64900</v>
      </c>
      <c r="EE12" s="5855">
        <v>74100</v>
      </c>
      <c r="EF12" s="5854">
        <f>EE12</f>
        <v>74100</v>
      </c>
      <c r="EG12" s="5855">
        <v>72500</v>
      </c>
      <c r="EH12" s="5855">
        <v>78800</v>
      </c>
      <c r="EI12" s="5855">
        <v>86800</v>
      </c>
      <c r="EJ12" s="5855">
        <v>93200</v>
      </c>
      <c r="EK12" s="5854">
        <f>EJ12</f>
        <v>93200</v>
      </c>
      <c r="EL12" s="5855">
        <v>92400</v>
      </c>
      <c r="EM12" s="5855">
        <v>108200</v>
      </c>
      <c r="EN12" s="5855">
        <v>157700</v>
      </c>
      <c r="EO12" s="5261"/>
      <c r="EP12" s="5854"/>
      <c r="EQ12" s="5854"/>
      <c r="ER12" s="5854"/>
      <c r="ES12" s="5854"/>
      <c r="ET12" s="5854"/>
      <c r="EU12" s="5854"/>
    </row>
    <row r="13" spans="1:151" s="4029" customFormat="1" ht="11.25" customHeight="1">
      <c r="A13" s="5843" t="s">
        <v>359</v>
      </c>
      <c r="B13" s="2963"/>
      <c r="C13" s="2963"/>
      <c r="D13" s="2963"/>
      <c r="E13" s="3966"/>
      <c r="F13" s="5844"/>
      <c r="G13" s="2963"/>
      <c r="H13" s="2963"/>
      <c r="I13" s="2963"/>
      <c r="J13" s="3966"/>
      <c r="K13" s="5844"/>
      <c r="L13" s="2963"/>
      <c r="M13" s="2963"/>
      <c r="N13" s="2963"/>
      <c r="O13" s="3966"/>
      <c r="P13" s="5844"/>
      <c r="Q13" s="2963"/>
      <c r="R13" s="2963"/>
      <c r="S13" s="2963"/>
      <c r="T13" s="3966"/>
      <c r="U13" s="5844"/>
      <c r="V13" s="5845"/>
      <c r="W13" s="2963"/>
      <c r="X13" s="2963"/>
      <c r="Y13" s="3966"/>
      <c r="Z13" s="5844"/>
      <c r="AA13" s="5845"/>
      <c r="AB13" s="2963"/>
      <c r="AC13" s="2963"/>
      <c r="AD13" s="3966"/>
      <c r="AE13" s="5844"/>
      <c r="AF13" s="5845"/>
      <c r="AG13" s="2963"/>
      <c r="AH13" s="2963"/>
      <c r="AI13" s="3966"/>
      <c r="AJ13" s="5844"/>
      <c r="AK13" s="2963"/>
      <c r="AL13" s="2963"/>
      <c r="AM13" s="2963"/>
      <c r="AN13" s="3966"/>
      <c r="AO13" s="5844"/>
      <c r="AP13" s="2963"/>
      <c r="AQ13" s="2963"/>
      <c r="AR13" s="2963"/>
      <c r="AS13" s="3966"/>
      <c r="AT13" s="5844"/>
      <c r="AU13" s="2963"/>
      <c r="AV13" s="2963"/>
      <c r="AW13" s="2963"/>
      <c r="AX13" s="3966"/>
      <c r="AY13" s="5844"/>
      <c r="AZ13" s="2963"/>
      <c r="BA13" s="2963"/>
      <c r="BB13" s="2963"/>
      <c r="BC13" s="2963"/>
      <c r="BD13" s="5846"/>
      <c r="BE13" s="5847"/>
      <c r="BF13" s="2963"/>
      <c r="BG13" s="2963"/>
      <c r="BH13" s="2963"/>
      <c r="BI13" s="5846"/>
      <c r="BJ13" s="2963"/>
      <c r="BK13" s="2963"/>
      <c r="BL13" s="2963"/>
      <c r="BM13" s="2963"/>
      <c r="BN13" s="5846"/>
      <c r="BO13" s="2963"/>
      <c r="BP13" s="2963"/>
      <c r="BQ13" s="2963"/>
      <c r="BR13" s="3966"/>
      <c r="BS13" s="5844"/>
      <c r="BT13" s="2963"/>
      <c r="BU13" s="2963"/>
      <c r="BV13" s="2963"/>
      <c r="BW13" s="2963"/>
      <c r="BX13" s="5846"/>
      <c r="BY13" s="2963"/>
      <c r="BZ13" s="2963"/>
      <c r="CA13" s="2963"/>
      <c r="CB13" s="2963"/>
      <c r="CC13" s="5846"/>
      <c r="CD13" s="2963"/>
      <c r="CE13" s="2963"/>
      <c r="CF13" s="2963"/>
      <c r="CG13" s="2963"/>
      <c r="CH13" s="5846"/>
      <c r="CI13" s="2963"/>
      <c r="CJ13" s="2963"/>
      <c r="CK13" s="2963"/>
      <c r="CL13" s="2963"/>
      <c r="CM13" s="5846"/>
      <c r="CN13" s="2963"/>
      <c r="CO13" s="2963"/>
      <c r="CP13" s="2963"/>
      <c r="CQ13" s="2963"/>
      <c r="CR13" s="5846"/>
      <c r="CS13" s="2963"/>
      <c r="CT13" s="2963"/>
      <c r="CU13" s="2963"/>
      <c r="CV13" s="2963"/>
      <c r="CW13" s="5846"/>
      <c r="CX13" s="2963"/>
      <c r="CY13" s="2963"/>
      <c r="CZ13" s="2963"/>
      <c r="DA13" s="5848"/>
      <c r="DB13" s="5846"/>
      <c r="DC13" s="2963"/>
      <c r="DD13" s="2963"/>
      <c r="DE13" s="2963"/>
      <c r="DF13" s="2963"/>
      <c r="DG13" s="4939"/>
      <c r="DH13" s="2623"/>
      <c r="DI13" s="2623"/>
      <c r="DJ13" s="2623"/>
      <c r="DK13" s="2623"/>
      <c r="DL13" s="4939"/>
      <c r="DM13" s="2623"/>
      <c r="DN13" s="2623"/>
      <c r="DO13" s="2623"/>
      <c r="DP13" s="2623">
        <f t="shared" ref="DP13:EN13" si="0">DP12/DK12-1</f>
        <v>1.6140350877192984</v>
      </c>
      <c r="DQ13" s="4939">
        <f t="shared" si="0"/>
        <v>1.6140350877192984</v>
      </c>
      <c r="DR13" s="2623">
        <f t="shared" si="0"/>
        <v>1.3984375</v>
      </c>
      <c r="DS13" s="2623">
        <f t="shared" si="0"/>
        <v>1.3851351351351351</v>
      </c>
      <c r="DT13" s="2623">
        <f t="shared" si="0"/>
        <v>0.9526315789473685</v>
      </c>
      <c r="DU13" s="2623">
        <f t="shared" si="0"/>
        <v>0.71140939597315445</v>
      </c>
      <c r="DV13" s="4939">
        <f t="shared" si="0"/>
        <v>0.71140939597315445</v>
      </c>
      <c r="DW13" s="2623">
        <f t="shared" si="0"/>
        <v>0.64495114006514664</v>
      </c>
      <c r="DX13" s="2623">
        <f t="shared" si="0"/>
        <v>0.45042492917847032</v>
      </c>
      <c r="DY13" s="2623">
        <f t="shared" si="0"/>
        <v>0.41239892183288407</v>
      </c>
      <c r="DZ13" s="2623">
        <f t="shared" si="0"/>
        <v>0.26078431372549016</v>
      </c>
      <c r="EA13" s="4939">
        <f t="shared" si="0"/>
        <v>0.26078431372549016</v>
      </c>
      <c r="EB13" s="2623">
        <f t="shared" si="0"/>
        <v>0.22178217821782176</v>
      </c>
      <c r="EC13" s="2623">
        <f t="shared" si="0"/>
        <v>0.18359375</v>
      </c>
      <c r="ED13" s="2623">
        <f t="shared" si="0"/>
        <v>0.23854961832061061</v>
      </c>
      <c r="EE13" s="2623">
        <f t="shared" si="0"/>
        <v>0.15241057542768277</v>
      </c>
      <c r="EF13" s="4939">
        <f t="shared" si="0"/>
        <v>0.15241057542768277</v>
      </c>
      <c r="EG13" s="2623">
        <f t="shared" si="0"/>
        <v>0.17504051863857373</v>
      </c>
      <c r="EH13" s="2623">
        <f t="shared" si="0"/>
        <v>0.3003300330033003</v>
      </c>
      <c r="EI13" s="2623">
        <f t="shared" si="0"/>
        <v>0.33744221879815095</v>
      </c>
      <c r="EJ13" s="2623">
        <f t="shared" si="0"/>
        <v>0.25775978407557365</v>
      </c>
      <c r="EK13" s="4939">
        <f t="shared" si="0"/>
        <v>0.25775978407557365</v>
      </c>
      <c r="EL13" s="2623">
        <f t="shared" si="0"/>
        <v>0.27448275862068972</v>
      </c>
      <c r="EM13" s="2623">
        <f t="shared" si="0"/>
        <v>0.37309644670050757</v>
      </c>
      <c r="EN13" s="2623">
        <f t="shared" si="0"/>
        <v>0.81682027649769595</v>
      </c>
      <c r="EO13" s="2623"/>
      <c r="EP13" s="4939"/>
      <c r="EQ13" s="4939"/>
      <c r="ER13" s="4939"/>
      <c r="ES13" s="4939"/>
      <c r="ET13" s="4939"/>
      <c r="EU13" s="4939"/>
    </row>
    <row r="14" spans="1:151" s="4029" customFormat="1" ht="11.25" customHeight="1">
      <c r="A14" s="5843" t="s">
        <v>364</v>
      </c>
      <c r="B14" s="2963"/>
      <c r="C14" s="2963"/>
      <c r="D14" s="2963"/>
      <c r="E14" s="3966"/>
      <c r="F14" s="5844"/>
      <c r="G14" s="2963"/>
      <c r="H14" s="2963"/>
      <c r="I14" s="2963"/>
      <c r="J14" s="3966"/>
      <c r="K14" s="5844"/>
      <c r="L14" s="2963"/>
      <c r="M14" s="2963"/>
      <c r="N14" s="2963"/>
      <c r="O14" s="3966"/>
      <c r="P14" s="5844"/>
      <c r="Q14" s="2963"/>
      <c r="R14" s="2963"/>
      <c r="S14" s="2963"/>
      <c r="T14" s="3966"/>
      <c r="U14" s="5844"/>
      <c r="V14" s="5845"/>
      <c r="W14" s="2963"/>
      <c r="X14" s="2963"/>
      <c r="Y14" s="3966"/>
      <c r="Z14" s="5844"/>
      <c r="AA14" s="5845"/>
      <c r="AB14" s="2963"/>
      <c r="AC14" s="2963"/>
      <c r="AD14" s="3966"/>
      <c r="AE14" s="5844"/>
      <c r="AF14" s="5845"/>
      <c r="AG14" s="2963"/>
      <c r="AH14" s="2963"/>
      <c r="AI14" s="3966"/>
      <c r="AJ14" s="5844"/>
      <c r="AK14" s="2963"/>
      <c r="AL14" s="2963"/>
      <c r="AM14" s="2963"/>
      <c r="AN14" s="3966"/>
      <c r="AO14" s="5844"/>
      <c r="AP14" s="2963"/>
      <c r="AQ14" s="2963"/>
      <c r="AR14" s="2963"/>
      <c r="AS14" s="3966"/>
      <c r="AT14" s="5844"/>
      <c r="AU14" s="2963"/>
      <c r="AV14" s="2963"/>
      <c r="AW14" s="2963"/>
      <c r="AX14" s="3966"/>
      <c r="AY14" s="5844"/>
      <c r="AZ14" s="2963"/>
      <c r="BA14" s="2963"/>
      <c r="BB14" s="2963"/>
      <c r="BC14" s="2963"/>
      <c r="BD14" s="5846"/>
      <c r="BE14" s="5847"/>
      <c r="BF14" s="2963"/>
      <c r="BG14" s="2963"/>
      <c r="BH14" s="2963"/>
      <c r="BI14" s="5846"/>
      <c r="BJ14" s="2963"/>
      <c r="BK14" s="2963"/>
      <c r="BL14" s="2963"/>
      <c r="BM14" s="2963"/>
      <c r="BN14" s="5846"/>
      <c r="BO14" s="2963"/>
      <c r="BP14" s="2963"/>
      <c r="BQ14" s="2963"/>
      <c r="BR14" s="3966"/>
      <c r="BS14" s="5844"/>
      <c r="BT14" s="2963"/>
      <c r="BU14" s="2963"/>
      <c r="BV14" s="2963"/>
      <c r="BW14" s="2963"/>
      <c r="BX14" s="5846"/>
      <c r="BY14" s="2963"/>
      <c r="BZ14" s="2963"/>
      <c r="CA14" s="2963"/>
      <c r="CB14" s="2963"/>
      <c r="CC14" s="5846"/>
      <c r="CD14" s="2963"/>
      <c r="CE14" s="2963"/>
      <c r="CF14" s="2963"/>
      <c r="CG14" s="2963"/>
      <c r="CH14" s="5846"/>
      <c r="CI14" s="2963"/>
      <c r="CJ14" s="2963"/>
      <c r="CK14" s="2963"/>
      <c r="CL14" s="2963"/>
      <c r="CM14" s="5846"/>
      <c r="CN14" s="2963"/>
      <c r="CO14" s="2963"/>
      <c r="CP14" s="2963"/>
      <c r="CQ14" s="2963"/>
      <c r="CR14" s="5846"/>
      <c r="CS14" s="2963"/>
      <c r="CT14" s="2963"/>
      <c r="CU14" s="2963"/>
      <c r="CV14" s="2963"/>
      <c r="CW14" s="5846"/>
      <c r="CX14" s="2963"/>
      <c r="CY14" s="2963"/>
      <c r="CZ14" s="2963"/>
      <c r="DA14" s="5848"/>
      <c r="DB14" s="5846"/>
      <c r="DC14" s="2963"/>
      <c r="DD14" s="2963"/>
      <c r="DE14" s="2963"/>
      <c r="DF14" s="2963"/>
      <c r="DG14" s="4939"/>
      <c r="DH14" s="2623"/>
      <c r="DI14" s="2623"/>
      <c r="DJ14" s="2623"/>
      <c r="DK14" s="2623"/>
      <c r="DL14" s="4939"/>
      <c r="DM14" s="2623">
        <f>(DM12/DK12)-1</f>
        <v>0.12280701754385959</v>
      </c>
      <c r="DN14" s="2623">
        <f>(DN12/DM12)-1</f>
        <v>0.15625</v>
      </c>
      <c r="DO14" s="2623">
        <f>(DO12/DN12)-1</f>
        <v>0.28378378378378377</v>
      </c>
      <c r="DP14" s="2623">
        <f>(DP12/DO12)-1</f>
        <v>0.56842105263157894</v>
      </c>
      <c r="DQ14" s="4939"/>
      <c r="DR14" s="2623">
        <f>(DR12/DP12)-1</f>
        <v>3.0201342281879207E-2</v>
      </c>
      <c r="DS14" s="2623">
        <f>(DS12/DR12)-1</f>
        <v>0.14983713355048867</v>
      </c>
      <c r="DT14" s="2623">
        <f>(DT12/DS12)-1</f>
        <v>5.0991501416430607E-2</v>
      </c>
      <c r="DU14" s="2623">
        <f>(DU12/DT12)-1</f>
        <v>0.3746630727762803</v>
      </c>
      <c r="DV14" s="4939"/>
      <c r="DW14" s="2623">
        <f>(DW12/DU12)-1</f>
        <v>-9.8039215686274161E-3</v>
      </c>
      <c r="DX14" s="2623">
        <f>(DX12/DW12)-1</f>
        <v>1.3861386138613874E-2</v>
      </c>
      <c r="DY14" s="2623">
        <f>(DY12/DX12)-1</f>
        <v>2.34375E-2</v>
      </c>
      <c r="DZ14" s="2623">
        <f>(DZ12/DY12)-1</f>
        <v>0.22709923664122145</v>
      </c>
      <c r="EA14" s="4939"/>
      <c r="EB14" s="2623">
        <f>(EB12/DZ12)-1</f>
        <v>-4.0435458786936218E-2</v>
      </c>
      <c r="EC14" s="2623">
        <f>(EC12/EB12)-1</f>
        <v>-1.7828200972447306E-2</v>
      </c>
      <c r="ED14" s="2623">
        <f>(ED12/EC12)-1</f>
        <v>7.0957095709570872E-2</v>
      </c>
      <c r="EE14" s="2623">
        <f>(EE12/ED12)-1</f>
        <v>0.14175654853620956</v>
      </c>
      <c r="EF14" s="4939"/>
      <c r="EG14" s="2623">
        <f>(EG12/EE12)-1</f>
        <v>-2.1592442645074206E-2</v>
      </c>
      <c r="EH14" s="2623">
        <f>(EH12/EG12)-1</f>
        <v>8.6896551724138016E-2</v>
      </c>
      <c r="EI14" s="2623">
        <f>(EI12/EH12)-1</f>
        <v>0.10152284263959399</v>
      </c>
      <c r="EJ14" s="2623">
        <f>(EJ12/EI12)-1</f>
        <v>7.3732718894009119E-2</v>
      </c>
      <c r="EK14" s="4939"/>
      <c r="EL14" s="2623">
        <f>(EL12/EJ12)-1</f>
        <v>-8.5836909871244149E-3</v>
      </c>
      <c r="EM14" s="2623">
        <f>(EM12/EK12)-1</f>
        <v>0.16094420600858372</v>
      </c>
      <c r="EN14" s="2623">
        <f>(EN12/EL12)-1</f>
        <v>0.70670995670995662</v>
      </c>
      <c r="EO14" s="2623"/>
      <c r="EP14" s="4939"/>
      <c r="EQ14" s="4939"/>
      <c r="ER14" s="4939"/>
      <c r="ES14" s="4939"/>
      <c r="ET14" s="4939"/>
      <c r="EU14" s="4939"/>
    </row>
    <row r="15" spans="1:151" s="84" customFormat="1" ht="11.25" customHeight="1">
      <c r="A15" s="3777"/>
      <c r="B15" s="176"/>
      <c r="C15" s="176"/>
      <c r="D15" s="176"/>
      <c r="E15" s="178"/>
      <c r="F15" s="3514"/>
      <c r="G15" s="176"/>
      <c r="H15" s="176"/>
      <c r="I15" s="176"/>
      <c r="J15" s="178"/>
      <c r="K15" s="3514"/>
      <c r="L15" s="176"/>
      <c r="M15" s="176"/>
      <c r="N15" s="176"/>
      <c r="O15" s="178"/>
      <c r="P15" s="3514"/>
      <c r="Q15" s="176"/>
      <c r="R15" s="176"/>
      <c r="S15" s="176"/>
      <c r="T15" s="178"/>
      <c r="U15" s="3514"/>
      <c r="V15" s="3450"/>
      <c r="W15" s="176"/>
      <c r="X15" s="176"/>
      <c r="Y15" s="178"/>
      <c r="Z15" s="3514"/>
      <c r="AA15" s="3450"/>
      <c r="AB15" s="176"/>
      <c r="AC15" s="176"/>
      <c r="AD15" s="178"/>
      <c r="AE15" s="3514"/>
      <c r="AF15" s="3450"/>
      <c r="AG15" s="176"/>
      <c r="AH15" s="176"/>
      <c r="AI15" s="178"/>
      <c r="AJ15" s="3514"/>
      <c r="AK15" s="176"/>
      <c r="AL15" s="176"/>
      <c r="AM15" s="176"/>
      <c r="AN15" s="178"/>
      <c r="AO15" s="3514"/>
      <c r="AP15" s="176"/>
      <c r="AQ15" s="176"/>
      <c r="AR15" s="176"/>
      <c r="AS15" s="178"/>
      <c r="AT15" s="3514"/>
      <c r="AU15" s="176"/>
      <c r="AV15" s="176"/>
      <c r="AW15" s="176"/>
      <c r="AX15" s="178"/>
      <c r="AY15" s="3514"/>
      <c r="AZ15" s="176"/>
      <c r="BA15" s="176"/>
      <c r="BB15" s="176"/>
      <c r="BC15" s="176"/>
      <c r="BD15" s="3515"/>
      <c r="BE15" s="5834"/>
      <c r="BF15" s="176"/>
      <c r="BG15" s="176"/>
      <c r="BH15" s="176"/>
      <c r="BI15" s="3515"/>
      <c r="BJ15" s="176"/>
      <c r="BK15" s="176"/>
      <c r="BL15" s="176"/>
      <c r="BM15" s="176"/>
      <c r="BN15" s="3515"/>
      <c r="BO15" s="176"/>
      <c r="BP15" s="176"/>
      <c r="BQ15" s="176"/>
      <c r="BR15" s="178"/>
      <c r="BS15" s="3514"/>
      <c r="BT15" s="176"/>
      <c r="BU15" s="176"/>
      <c r="BV15" s="176"/>
      <c r="BW15" s="176"/>
      <c r="BX15" s="3515"/>
      <c r="BY15" s="176"/>
      <c r="BZ15" s="176"/>
      <c r="CA15" s="176"/>
      <c r="CB15" s="176"/>
      <c r="CC15" s="3515"/>
      <c r="CD15" s="176"/>
      <c r="CE15" s="176"/>
      <c r="CF15" s="176"/>
      <c r="CG15" s="176"/>
      <c r="CH15" s="3515"/>
      <c r="CI15" s="176"/>
      <c r="CJ15" s="176"/>
      <c r="CK15" s="176"/>
      <c r="CL15" s="176"/>
      <c r="CM15" s="3515"/>
      <c r="CN15" s="176"/>
      <c r="CO15" s="176"/>
      <c r="CP15" s="176"/>
      <c r="CQ15" s="176"/>
      <c r="CR15" s="3515"/>
      <c r="CS15" s="176"/>
      <c r="CT15" s="176"/>
      <c r="CU15" s="176"/>
      <c r="CV15" s="176"/>
      <c r="CW15" s="3515"/>
      <c r="CX15" s="176"/>
      <c r="CY15" s="176"/>
      <c r="CZ15" s="176"/>
      <c r="DA15" s="179"/>
      <c r="DB15" s="3515"/>
      <c r="DC15" s="176"/>
      <c r="DD15" s="176"/>
      <c r="DE15" s="176"/>
      <c r="DF15" s="176"/>
      <c r="DG15" s="3515"/>
      <c r="DH15" s="176"/>
      <c r="DI15" s="176"/>
      <c r="DJ15" s="176"/>
      <c r="DK15" s="176"/>
      <c r="DL15" s="3515"/>
      <c r="DM15" s="176"/>
      <c r="DN15" s="176"/>
      <c r="DO15" s="176"/>
      <c r="DP15" s="176"/>
      <c r="DQ15" s="3515"/>
      <c r="DR15" s="176"/>
      <c r="DS15" s="176"/>
      <c r="DT15" s="176"/>
      <c r="DU15" s="176"/>
      <c r="DV15" s="3515"/>
      <c r="DW15" s="176"/>
      <c r="DX15" s="176"/>
      <c r="DY15" s="176"/>
      <c r="DZ15" s="176"/>
      <c r="EA15" s="3515"/>
      <c r="EB15" s="176"/>
      <c r="EC15" s="176"/>
      <c r="ED15" s="176"/>
      <c r="EE15" s="176"/>
      <c r="EF15" s="3515"/>
      <c r="EG15" s="176"/>
      <c r="EH15" s="176"/>
      <c r="EI15" s="176"/>
      <c r="EJ15" s="176"/>
      <c r="EK15" s="3515"/>
      <c r="EL15" s="176"/>
      <c r="EM15" s="176"/>
      <c r="EN15" s="176"/>
      <c r="EO15" s="176"/>
      <c r="EP15" s="3515"/>
      <c r="EQ15" s="3515"/>
      <c r="ER15" s="3515"/>
      <c r="ES15" s="3515"/>
      <c r="ET15" s="3515"/>
      <c r="EU15" s="3515"/>
    </row>
    <row r="16" spans="1:151" s="5860" customFormat="1" ht="11.25" customHeight="1">
      <c r="A16" s="5849" t="s">
        <v>1059</v>
      </c>
      <c r="B16" s="2945"/>
      <c r="C16" s="2945"/>
      <c r="D16" s="2945"/>
      <c r="E16" s="2949"/>
      <c r="F16" s="5850"/>
      <c r="G16" s="2945"/>
      <c r="H16" s="2945"/>
      <c r="I16" s="2945"/>
      <c r="J16" s="2949"/>
      <c r="K16" s="5850"/>
      <c r="L16" s="2945"/>
      <c r="M16" s="2945"/>
      <c r="N16" s="2945"/>
      <c r="O16" s="2949"/>
      <c r="P16" s="5850"/>
      <c r="Q16" s="2945"/>
      <c r="R16" s="2945"/>
      <c r="S16" s="2945"/>
      <c r="T16" s="2949"/>
      <c r="U16" s="5850"/>
      <c r="V16" s="5851"/>
      <c r="W16" s="2945"/>
      <c r="X16" s="2945"/>
      <c r="Y16" s="2949"/>
      <c r="Z16" s="5850"/>
      <c r="AA16" s="5851"/>
      <c r="AB16" s="2945"/>
      <c r="AC16" s="2945"/>
      <c r="AD16" s="2949"/>
      <c r="AE16" s="5850"/>
      <c r="AF16" s="5851"/>
      <c r="AG16" s="2945"/>
      <c r="AH16" s="2945"/>
      <c r="AI16" s="2949"/>
      <c r="AJ16" s="5850"/>
      <c r="AK16" s="2945"/>
      <c r="AL16" s="2945"/>
      <c r="AM16" s="2945"/>
      <c r="AN16" s="2949"/>
      <c r="AO16" s="5850"/>
      <c r="AP16" s="2945"/>
      <c r="AQ16" s="2945"/>
      <c r="AR16" s="2945"/>
      <c r="AS16" s="2949"/>
      <c r="AT16" s="5850"/>
      <c r="AU16" s="2945"/>
      <c r="AV16" s="2945"/>
      <c r="AW16" s="2945"/>
      <c r="AX16" s="2949"/>
      <c r="AY16" s="5850"/>
      <c r="AZ16" s="2945"/>
      <c r="BA16" s="2945"/>
      <c r="BB16" s="2945"/>
      <c r="BC16" s="2945"/>
      <c r="BD16" s="5852"/>
      <c r="BE16" s="5853"/>
      <c r="BF16" s="2945"/>
      <c r="BG16" s="2945"/>
      <c r="BH16" s="2945"/>
      <c r="BI16" s="5852"/>
      <c r="BJ16" s="2945"/>
      <c r="BK16" s="2945"/>
      <c r="BL16" s="2945"/>
      <c r="BM16" s="2945"/>
      <c r="BN16" s="5852"/>
      <c r="BO16" s="2945"/>
      <c r="BP16" s="2945"/>
      <c r="BQ16" s="2945"/>
      <c r="BR16" s="2949"/>
      <c r="BS16" s="5850"/>
      <c r="BT16" s="2945"/>
      <c r="BU16" s="2945"/>
      <c r="BV16" s="2945"/>
      <c r="BW16" s="2945"/>
      <c r="BX16" s="5852"/>
      <c r="BY16" s="2945"/>
      <c r="BZ16" s="2945"/>
      <c r="CA16" s="2945"/>
      <c r="CB16" s="2945"/>
      <c r="CC16" s="5852"/>
      <c r="CD16" s="2945"/>
      <c r="CE16" s="2945"/>
      <c r="CF16" s="2945"/>
      <c r="CG16" s="2945"/>
      <c r="CH16" s="5852"/>
      <c r="CI16" s="2945"/>
      <c r="CJ16" s="2945"/>
      <c r="CK16" s="2945"/>
      <c r="CL16" s="2945"/>
      <c r="CM16" s="5852"/>
      <c r="CN16" s="2945"/>
      <c r="CO16" s="2945"/>
      <c r="CP16" s="2945"/>
      <c r="CQ16" s="2945"/>
      <c r="CR16" s="5852"/>
      <c r="CS16" s="2945"/>
      <c r="CT16" s="2945"/>
      <c r="CU16" s="2945"/>
      <c r="CV16" s="2945"/>
      <c r="CW16" s="5852"/>
      <c r="CX16" s="2945"/>
      <c r="CY16" s="2945"/>
      <c r="CZ16" s="2945"/>
      <c r="DA16" s="4194"/>
      <c r="DB16" s="5852"/>
      <c r="DC16" s="2945"/>
      <c r="DD16" s="2945"/>
      <c r="DE16" s="2945"/>
      <c r="DF16" s="2945"/>
      <c r="DG16" s="5854"/>
      <c r="DH16" s="5261"/>
      <c r="DI16" s="5261"/>
      <c r="DJ16" s="5261"/>
      <c r="DK16" s="5855"/>
      <c r="DL16" s="5854"/>
      <c r="DM16" s="5855"/>
      <c r="DN16" s="5855"/>
      <c r="DO16" s="5855"/>
      <c r="DP16" s="5855"/>
      <c r="DQ16" s="5854"/>
      <c r="DR16" s="5855"/>
      <c r="DS16" s="5855"/>
      <c r="DT16" s="5855"/>
      <c r="DU16" s="5855"/>
      <c r="DV16" s="5854"/>
      <c r="DW16" s="5855"/>
      <c r="DX16" s="5855"/>
      <c r="DY16" s="5855"/>
      <c r="DZ16" s="5855">
        <v>12300</v>
      </c>
      <c r="EA16" s="5854">
        <f>DZ16</f>
        <v>12300</v>
      </c>
      <c r="EB16" s="5855">
        <v>11900</v>
      </c>
      <c r="EC16" s="5855">
        <v>11500</v>
      </c>
      <c r="ED16" s="5855">
        <v>11100</v>
      </c>
      <c r="EE16" s="5855">
        <v>10600</v>
      </c>
      <c r="EF16" s="5854">
        <f>EE16</f>
        <v>10600</v>
      </c>
      <c r="EG16" s="5855">
        <v>10100</v>
      </c>
      <c r="EH16" s="5855">
        <v>9700</v>
      </c>
      <c r="EI16" s="5855">
        <v>9200</v>
      </c>
      <c r="EJ16" s="5855">
        <v>8800</v>
      </c>
      <c r="EK16" s="5854">
        <f>EJ16</f>
        <v>8800</v>
      </c>
      <c r="EL16" s="5855">
        <v>8600</v>
      </c>
      <c r="EM16" s="5855">
        <v>8200</v>
      </c>
      <c r="EN16" s="5855">
        <v>7700</v>
      </c>
      <c r="EO16" s="5261"/>
      <c r="EP16" s="5854"/>
      <c r="EQ16" s="5854"/>
      <c r="ER16" s="5854"/>
      <c r="ES16" s="5854"/>
      <c r="ET16" s="5854"/>
      <c r="EU16" s="5854"/>
    </row>
    <row r="17" spans="1:151" s="5860" customFormat="1" ht="11.25" customHeight="1">
      <c r="A17" s="5861" t="s">
        <v>1169</v>
      </c>
      <c r="B17" s="2333"/>
      <c r="C17" s="2333"/>
      <c r="D17" s="2333"/>
      <c r="E17" s="2338"/>
      <c r="F17" s="5857"/>
      <c r="G17" s="2333"/>
      <c r="H17" s="2333"/>
      <c r="I17" s="2333"/>
      <c r="J17" s="2338"/>
      <c r="K17" s="5857"/>
      <c r="L17" s="2333"/>
      <c r="M17" s="2333"/>
      <c r="N17" s="2333"/>
      <c r="O17" s="2338"/>
      <c r="P17" s="5857"/>
      <c r="Q17" s="2333"/>
      <c r="R17" s="2333"/>
      <c r="S17" s="2333"/>
      <c r="T17" s="2338"/>
      <c r="U17" s="5857"/>
      <c r="V17" s="3452"/>
      <c r="W17" s="2333"/>
      <c r="X17" s="2333"/>
      <c r="Y17" s="2338"/>
      <c r="Z17" s="5857"/>
      <c r="AA17" s="3452"/>
      <c r="AB17" s="2333"/>
      <c r="AC17" s="2333"/>
      <c r="AD17" s="2338"/>
      <c r="AE17" s="5857"/>
      <c r="AF17" s="3452"/>
      <c r="AG17" s="2333"/>
      <c r="AH17" s="2333"/>
      <c r="AI17" s="2338"/>
      <c r="AJ17" s="5857"/>
      <c r="AK17" s="2333"/>
      <c r="AL17" s="2333"/>
      <c r="AM17" s="2333"/>
      <c r="AN17" s="2338"/>
      <c r="AO17" s="5857"/>
      <c r="AP17" s="2333"/>
      <c r="AQ17" s="2333"/>
      <c r="AR17" s="2333"/>
      <c r="AS17" s="2338"/>
      <c r="AT17" s="5857"/>
      <c r="AU17" s="2333"/>
      <c r="AV17" s="2333"/>
      <c r="AW17" s="2333"/>
      <c r="AX17" s="2338"/>
      <c r="AY17" s="5857"/>
      <c r="AZ17" s="2333"/>
      <c r="BA17" s="2333"/>
      <c r="BB17" s="2333"/>
      <c r="BC17" s="2333"/>
      <c r="BD17" s="5173"/>
      <c r="BE17" s="5858"/>
      <c r="BF17" s="2333"/>
      <c r="BG17" s="2333"/>
      <c r="BH17" s="2333"/>
      <c r="BI17" s="5173"/>
      <c r="BJ17" s="2333"/>
      <c r="BK17" s="2333"/>
      <c r="BL17" s="2333"/>
      <c r="BM17" s="2333"/>
      <c r="BN17" s="5173"/>
      <c r="BO17" s="2333"/>
      <c r="BP17" s="2333"/>
      <c r="BQ17" s="2333"/>
      <c r="BR17" s="2338"/>
      <c r="BS17" s="5857"/>
      <c r="BT17" s="2333"/>
      <c r="BU17" s="2333"/>
      <c r="BV17" s="2333"/>
      <c r="BW17" s="2333"/>
      <c r="BX17" s="5173"/>
      <c r="BY17" s="2333"/>
      <c r="BZ17" s="2333"/>
      <c r="CA17" s="2333"/>
      <c r="CB17" s="2333"/>
      <c r="CC17" s="5173"/>
      <c r="CD17" s="2333"/>
      <c r="CE17" s="2333"/>
      <c r="CF17" s="2333"/>
      <c r="CG17" s="2333"/>
      <c r="CH17" s="5173"/>
      <c r="CI17" s="2333"/>
      <c r="CJ17" s="2333"/>
      <c r="CK17" s="2333"/>
      <c r="CL17" s="2333"/>
      <c r="CM17" s="5173"/>
      <c r="CN17" s="2333"/>
      <c r="CO17" s="2333"/>
      <c r="CP17" s="2333"/>
      <c r="CQ17" s="2333"/>
      <c r="CR17" s="5173"/>
      <c r="CS17" s="2333"/>
      <c r="CT17" s="2333"/>
      <c r="CU17" s="2333"/>
      <c r="CV17" s="2333"/>
      <c r="CW17" s="5173"/>
      <c r="CX17" s="2333"/>
      <c r="CY17" s="2333"/>
      <c r="CZ17" s="2333"/>
      <c r="DA17" s="2333"/>
      <c r="DB17" s="5173"/>
      <c r="DC17" s="2333"/>
      <c r="DD17" s="2333"/>
      <c r="DE17" s="2333"/>
      <c r="DF17" s="2333"/>
      <c r="DG17" s="5859"/>
      <c r="DH17" s="5820"/>
      <c r="DI17" s="5820"/>
      <c r="DJ17" s="5820"/>
      <c r="DK17" s="5820"/>
      <c r="DL17" s="5859"/>
      <c r="DM17" s="5820"/>
      <c r="DN17" s="5820"/>
      <c r="DO17" s="5820"/>
      <c r="DP17" s="5820"/>
      <c r="DQ17" s="5859"/>
      <c r="DR17" s="5820"/>
      <c r="DS17" s="5820"/>
      <c r="DT17" s="5820"/>
      <c r="DU17" s="5820"/>
      <c r="DV17" s="5859"/>
      <c r="DW17" s="5820"/>
      <c r="DX17" s="5820"/>
      <c r="DY17" s="5820"/>
      <c r="DZ17" s="5820"/>
      <c r="EA17" s="5859"/>
      <c r="EB17" s="5820">
        <f>EB16-DZ16</f>
        <v>-400</v>
      </c>
      <c r="EC17" s="5820">
        <f>EC16-EB16</f>
        <v>-400</v>
      </c>
      <c r="ED17" s="5820">
        <f>ED16-EC16</f>
        <v>-400</v>
      </c>
      <c r="EE17" s="5820">
        <f>EE16-ED16</f>
        <v>-500</v>
      </c>
      <c r="EF17" s="5859">
        <f>EF16-EA16</f>
        <v>-1700</v>
      </c>
      <c r="EG17" s="5820">
        <f>EG16-EE16</f>
        <v>-500</v>
      </c>
      <c r="EH17" s="5820">
        <f>EH16-EG16</f>
        <v>-400</v>
      </c>
      <c r="EI17" s="5820">
        <f>EI16-EH16</f>
        <v>-500</v>
      </c>
      <c r="EJ17" s="5820">
        <f>EJ16-EI16</f>
        <v>-400</v>
      </c>
      <c r="EK17" s="5859">
        <f>EK16-EF16</f>
        <v>-1800</v>
      </c>
      <c r="EL17" s="5820">
        <f>EL16-EJ16</f>
        <v>-200</v>
      </c>
      <c r="EM17" s="5820">
        <f>EM16-EL16</f>
        <v>-400</v>
      </c>
      <c r="EN17" s="5820">
        <f>EN16-EM16</f>
        <v>-500</v>
      </c>
      <c r="EO17" s="5820"/>
      <c r="EP17" s="5859"/>
      <c r="EQ17" s="5859"/>
      <c r="ER17" s="5859"/>
      <c r="ES17" s="5859"/>
      <c r="ET17" s="5859"/>
      <c r="EU17" s="5859"/>
    </row>
    <row r="18" spans="1:151" s="4029" customFormat="1" ht="11.25" customHeight="1">
      <c r="A18" s="5843" t="s">
        <v>1170</v>
      </c>
      <c r="B18" s="2963"/>
      <c r="C18" s="2963"/>
      <c r="D18" s="2963"/>
      <c r="E18" s="3966"/>
      <c r="F18" s="5844"/>
      <c r="G18" s="2963"/>
      <c r="H18" s="2963"/>
      <c r="I18" s="2963"/>
      <c r="J18" s="3966"/>
      <c r="K18" s="5844"/>
      <c r="L18" s="2963"/>
      <c r="M18" s="2963"/>
      <c r="N18" s="2963"/>
      <c r="O18" s="3966"/>
      <c r="P18" s="5844"/>
      <c r="Q18" s="2963"/>
      <c r="R18" s="2963"/>
      <c r="S18" s="2963"/>
      <c r="T18" s="3966"/>
      <c r="U18" s="5844"/>
      <c r="V18" s="5845"/>
      <c r="W18" s="2963"/>
      <c r="X18" s="2963"/>
      <c r="Y18" s="3966"/>
      <c r="Z18" s="5844"/>
      <c r="AA18" s="5845"/>
      <c r="AB18" s="2963"/>
      <c r="AC18" s="2963"/>
      <c r="AD18" s="3966"/>
      <c r="AE18" s="5844"/>
      <c r="AF18" s="5845"/>
      <c r="AG18" s="2963"/>
      <c r="AH18" s="2963"/>
      <c r="AI18" s="3966"/>
      <c r="AJ18" s="5844"/>
      <c r="AK18" s="2963"/>
      <c r="AL18" s="2963"/>
      <c r="AM18" s="2963"/>
      <c r="AN18" s="3966"/>
      <c r="AO18" s="5844"/>
      <c r="AP18" s="2963"/>
      <c r="AQ18" s="2963"/>
      <c r="AR18" s="2963"/>
      <c r="AS18" s="3966"/>
      <c r="AT18" s="5844"/>
      <c r="AU18" s="2963"/>
      <c r="AV18" s="2963"/>
      <c r="AW18" s="2963"/>
      <c r="AX18" s="3966"/>
      <c r="AY18" s="5844"/>
      <c r="AZ18" s="2963"/>
      <c r="BA18" s="2963"/>
      <c r="BB18" s="2963"/>
      <c r="BC18" s="2963"/>
      <c r="BD18" s="5846"/>
      <c r="BE18" s="5847"/>
      <c r="BF18" s="2963"/>
      <c r="BG18" s="2963"/>
      <c r="BH18" s="2963"/>
      <c r="BI18" s="5846"/>
      <c r="BJ18" s="2963"/>
      <c r="BK18" s="2963"/>
      <c r="BL18" s="2963"/>
      <c r="BM18" s="2963"/>
      <c r="BN18" s="5846"/>
      <c r="BO18" s="2963"/>
      <c r="BP18" s="2963"/>
      <c r="BQ18" s="2963"/>
      <c r="BR18" s="3966"/>
      <c r="BS18" s="5844"/>
      <c r="BT18" s="2963"/>
      <c r="BU18" s="2963"/>
      <c r="BV18" s="2963"/>
      <c r="BW18" s="2963"/>
      <c r="BX18" s="5846"/>
      <c r="BY18" s="2963"/>
      <c r="BZ18" s="2963"/>
      <c r="CA18" s="2963"/>
      <c r="CB18" s="2963"/>
      <c r="CC18" s="5846"/>
      <c r="CD18" s="2963"/>
      <c r="CE18" s="2963"/>
      <c r="CF18" s="2963"/>
      <c r="CG18" s="2963"/>
      <c r="CH18" s="5846"/>
      <c r="CI18" s="2963"/>
      <c r="CJ18" s="2963"/>
      <c r="CK18" s="2963"/>
      <c r="CL18" s="2963"/>
      <c r="CM18" s="5846"/>
      <c r="CN18" s="2963"/>
      <c r="CO18" s="2963"/>
      <c r="CP18" s="2963"/>
      <c r="CQ18" s="2963"/>
      <c r="CR18" s="5846"/>
      <c r="CS18" s="2963"/>
      <c r="CT18" s="2963"/>
      <c r="CU18" s="2963"/>
      <c r="CV18" s="2963"/>
      <c r="CW18" s="5846"/>
      <c r="CX18" s="2963"/>
      <c r="CY18" s="2963"/>
      <c r="CZ18" s="2963"/>
      <c r="DA18" s="5848"/>
      <c r="DB18" s="5846"/>
      <c r="DC18" s="2963"/>
      <c r="DD18" s="2963"/>
      <c r="DE18" s="2963"/>
      <c r="DF18" s="2963"/>
      <c r="DG18" s="4939"/>
      <c r="DH18" s="2623"/>
      <c r="DI18" s="2623"/>
      <c r="DJ18" s="2623"/>
      <c r="DK18" s="2623"/>
      <c r="DL18" s="4939"/>
      <c r="DM18" s="2623"/>
      <c r="DN18" s="2623"/>
      <c r="DO18" s="2623"/>
      <c r="DP18" s="2623"/>
      <c r="DQ18" s="4939"/>
      <c r="DR18" s="2623"/>
      <c r="DS18" s="2623"/>
      <c r="DT18" s="2623"/>
      <c r="DU18" s="2623"/>
      <c r="DV18" s="4939"/>
      <c r="DW18" s="2623"/>
      <c r="DX18" s="2623"/>
      <c r="DY18" s="2623"/>
      <c r="DZ18" s="2623"/>
      <c r="EA18" s="4939"/>
      <c r="EB18" s="2623">
        <f>(EB16/DZ16)-1</f>
        <v>-3.2520325203251987E-2</v>
      </c>
      <c r="EC18" s="2623">
        <f>(EC16/EB16)-1</f>
        <v>-3.3613445378151252E-2</v>
      </c>
      <c r="ED18" s="2623">
        <f>(ED16/EC16)-1</f>
        <v>-3.4782608695652195E-2</v>
      </c>
      <c r="EE18" s="2623">
        <f>(EE16/ED16)-1</f>
        <v>-4.5045045045045029E-2</v>
      </c>
      <c r="EF18" s="4939">
        <f>EF16/EA16-1</f>
        <v>-0.13821138211382111</v>
      </c>
      <c r="EG18" s="2623">
        <f>(EG16/EE16)-1</f>
        <v>-4.7169811320754707E-2</v>
      </c>
      <c r="EH18" s="2623">
        <f>(EH16/EG16)-1</f>
        <v>-3.9603960396039639E-2</v>
      </c>
      <c r="EI18" s="2623">
        <f>(EI16/EH16)-1</f>
        <v>-5.1546391752577359E-2</v>
      </c>
      <c r="EJ18" s="2623">
        <f>(EJ16/EI16)-1</f>
        <v>-4.3478260869565188E-2</v>
      </c>
      <c r="EK18" s="4939">
        <f>EK16/EF16-1</f>
        <v>-0.16981132075471694</v>
      </c>
      <c r="EL18" s="2623">
        <f>(EL16/EJ16)-1</f>
        <v>-2.2727272727272707E-2</v>
      </c>
      <c r="EM18" s="2623">
        <f>(EM16/EL16)-1</f>
        <v>-4.6511627906976716E-2</v>
      </c>
      <c r="EN18" s="2623">
        <f>(EN16/EM16)-1</f>
        <v>-6.0975609756097615E-2</v>
      </c>
      <c r="EO18" s="2623"/>
      <c r="EP18" s="4939"/>
      <c r="EQ18" s="4939"/>
      <c r="ER18" s="4939"/>
      <c r="ES18" s="4939"/>
      <c r="ET18" s="4939"/>
      <c r="EU18" s="4939"/>
    </row>
    <row r="19" spans="1:151" s="84" customFormat="1" ht="11.25" customHeight="1">
      <c r="A19" s="3777"/>
      <c r="B19" s="176"/>
      <c r="C19" s="176"/>
      <c r="D19" s="176"/>
      <c r="E19" s="178"/>
      <c r="F19" s="3514"/>
      <c r="G19" s="176"/>
      <c r="H19" s="176"/>
      <c r="I19" s="176"/>
      <c r="J19" s="178"/>
      <c r="K19" s="3514"/>
      <c r="L19" s="176"/>
      <c r="M19" s="176"/>
      <c r="N19" s="176"/>
      <c r="O19" s="178"/>
      <c r="P19" s="3514"/>
      <c r="Q19" s="176"/>
      <c r="R19" s="176"/>
      <c r="S19" s="176"/>
      <c r="T19" s="178"/>
      <c r="U19" s="3514"/>
      <c r="V19" s="3450"/>
      <c r="W19" s="176"/>
      <c r="X19" s="176"/>
      <c r="Y19" s="178"/>
      <c r="Z19" s="3514"/>
      <c r="AA19" s="3450"/>
      <c r="AB19" s="176"/>
      <c r="AC19" s="176"/>
      <c r="AD19" s="178"/>
      <c r="AE19" s="3514"/>
      <c r="AF19" s="3450"/>
      <c r="AG19" s="176"/>
      <c r="AH19" s="176"/>
      <c r="AI19" s="178"/>
      <c r="AJ19" s="3514"/>
      <c r="AK19" s="176"/>
      <c r="AL19" s="176"/>
      <c r="AM19" s="176"/>
      <c r="AN19" s="178"/>
      <c r="AO19" s="3514"/>
      <c r="AP19" s="176"/>
      <c r="AQ19" s="176"/>
      <c r="AR19" s="176"/>
      <c r="AS19" s="178"/>
      <c r="AT19" s="3514"/>
      <c r="AU19" s="176"/>
      <c r="AV19" s="176"/>
      <c r="AW19" s="176"/>
      <c r="AX19" s="178"/>
      <c r="AY19" s="3514"/>
      <c r="AZ19" s="176"/>
      <c r="BA19" s="176"/>
      <c r="BB19" s="176"/>
      <c r="BC19" s="176"/>
      <c r="BD19" s="3515"/>
      <c r="BE19" s="5834"/>
      <c r="BF19" s="176"/>
      <c r="BG19" s="176"/>
      <c r="BH19" s="176"/>
      <c r="BI19" s="3515"/>
      <c r="BJ19" s="176"/>
      <c r="BK19" s="176"/>
      <c r="BL19" s="176"/>
      <c r="BM19" s="176"/>
      <c r="BN19" s="3515"/>
      <c r="BO19" s="176"/>
      <c r="BP19" s="176"/>
      <c r="BQ19" s="176"/>
      <c r="BR19" s="178"/>
      <c r="BS19" s="3514"/>
      <c r="BT19" s="176"/>
      <c r="BU19" s="176"/>
      <c r="BV19" s="176"/>
      <c r="BW19" s="176"/>
      <c r="BX19" s="3515"/>
      <c r="BY19" s="176"/>
      <c r="BZ19" s="176"/>
      <c r="CA19" s="176"/>
      <c r="CB19" s="176"/>
      <c r="CC19" s="3515"/>
      <c r="CD19" s="176"/>
      <c r="CE19" s="176"/>
      <c r="CF19" s="176"/>
      <c r="CG19" s="176"/>
      <c r="CH19" s="3515"/>
      <c r="CI19" s="176"/>
      <c r="CJ19" s="176"/>
      <c r="CK19" s="176"/>
      <c r="CL19" s="176"/>
      <c r="CM19" s="3515"/>
      <c r="CN19" s="176"/>
      <c r="CO19" s="176"/>
      <c r="CP19" s="176"/>
      <c r="CQ19" s="176"/>
      <c r="CR19" s="3515"/>
      <c r="CS19" s="176"/>
      <c r="CT19" s="176"/>
      <c r="CU19" s="176"/>
      <c r="CV19" s="176"/>
      <c r="CW19" s="3515"/>
      <c r="CX19" s="176"/>
      <c r="CY19" s="176"/>
      <c r="CZ19" s="176"/>
      <c r="DA19" s="179"/>
      <c r="DB19" s="3515"/>
      <c r="DC19" s="176"/>
      <c r="DD19" s="176"/>
      <c r="DE19" s="176"/>
      <c r="DF19" s="176"/>
      <c r="DG19" s="3515"/>
      <c r="DH19" s="176"/>
      <c r="DI19" s="176"/>
      <c r="DJ19" s="176"/>
      <c r="DK19" s="176"/>
      <c r="DL19" s="3515"/>
      <c r="DM19" s="176"/>
      <c r="DN19" s="176"/>
      <c r="DO19" s="176"/>
      <c r="DP19" s="176"/>
      <c r="DQ19" s="3515"/>
      <c r="DR19" s="176"/>
      <c r="DS19" s="176"/>
      <c r="DT19" s="176"/>
      <c r="DU19" s="176"/>
      <c r="DV19" s="3515"/>
      <c r="DW19" s="176"/>
      <c r="DX19" s="176"/>
      <c r="DY19" s="176"/>
      <c r="DZ19" s="176"/>
      <c r="EA19" s="3515"/>
      <c r="EB19" s="176"/>
      <c r="EC19" s="176"/>
      <c r="ED19" s="176"/>
      <c r="EE19" s="176"/>
      <c r="EF19" s="3515"/>
      <c r="EG19" s="176"/>
      <c r="EH19" s="176"/>
      <c r="EI19" s="176"/>
      <c r="EJ19" s="176"/>
      <c r="EK19" s="3515"/>
      <c r="EL19" s="176"/>
      <c r="EM19" s="176"/>
      <c r="EN19" s="176"/>
      <c r="EO19" s="176"/>
      <c r="EP19" s="3515"/>
      <c r="EQ19" s="3515"/>
      <c r="ER19" s="3515"/>
      <c r="ES19" s="3515"/>
      <c r="ET19" s="3515"/>
      <c r="EU19" s="3515"/>
    </row>
    <row r="20" spans="1:151" s="77" customFormat="1" ht="11.25" customHeight="1">
      <c r="A20" s="5864" t="s">
        <v>1062</v>
      </c>
      <c r="B20" s="2941"/>
      <c r="C20" s="2941"/>
      <c r="D20" s="2941"/>
      <c r="E20" s="2951"/>
      <c r="F20" s="5829"/>
      <c r="G20" s="2941"/>
      <c r="H20" s="2941"/>
      <c r="I20" s="2941"/>
      <c r="J20" s="2951"/>
      <c r="K20" s="5829"/>
      <c r="L20" s="2941"/>
      <c r="M20" s="2941"/>
      <c r="N20" s="2941"/>
      <c r="O20" s="2951"/>
      <c r="P20" s="5829"/>
      <c r="Q20" s="2941"/>
      <c r="R20" s="2941"/>
      <c r="S20" s="2941"/>
      <c r="T20" s="2951"/>
      <c r="U20" s="5829"/>
      <c r="V20" s="5830"/>
      <c r="W20" s="2941"/>
      <c r="X20" s="2941"/>
      <c r="Y20" s="2951"/>
      <c r="Z20" s="5829"/>
      <c r="AA20" s="5830"/>
      <c r="AB20" s="2941"/>
      <c r="AC20" s="2941"/>
      <c r="AD20" s="2951"/>
      <c r="AE20" s="5829"/>
      <c r="AF20" s="5830"/>
      <c r="AG20" s="2941"/>
      <c r="AH20" s="2941"/>
      <c r="AI20" s="2951"/>
      <c r="AJ20" s="5829"/>
      <c r="AK20" s="2941"/>
      <c r="AL20" s="2941"/>
      <c r="AM20" s="2941"/>
      <c r="AN20" s="2951"/>
      <c r="AO20" s="5829"/>
      <c r="AP20" s="2941"/>
      <c r="AQ20" s="2941"/>
      <c r="AR20" s="2941"/>
      <c r="AS20" s="2951"/>
      <c r="AT20" s="5829"/>
      <c r="AU20" s="2941"/>
      <c r="AV20" s="2941"/>
      <c r="AW20" s="2941"/>
      <c r="AX20" s="2951"/>
      <c r="AY20" s="5829"/>
      <c r="AZ20" s="2941"/>
      <c r="BA20" s="2941"/>
      <c r="BB20" s="2941"/>
      <c r="BC20" s="2941"/>
      <c r="BD20" s="5831"/>
      <c r="BE20" s="5832"/>
      <c r="BF20" s="2941"/>
      <c r="BG20" s="2941"/>
      <c r="BH20" s="2941"/>
      <c r="BI20" s="5831"/>
      <c r="BJ20" s="2941"/>
      <c r="BK20" s="2941"/>
      <c r="BL20" s="2941"/>
      <c r="BM20" s="2941"/>
      <c r="BN20" s="5831"/>
      <c r="BO20" s="2941"/>
      <c r="BP20" s="2941"/>
      <c r="BQ20" s="2941"/>
      <c r="BR20" s="2951"/>
      <c r="BS20" s="5829"/>
      <c r="BT20" s="2941"/>
      <c r="BU20" s="2941"/>
      <c r="BV20" s="2941"/>
      <c r="BW20" s="2941"/>
      <c r="BX20" s="5831"/>
      <c r="BY20" s="2941"/>
      <c r="BZ20" s="2941"/>
      <c r="CA20" s="2941"/>
      <c r="CB20" s="2941"/>
      <c r="CC20" s="5831"/>
      <c r="CD20" s="2941"/>
      <c r="CE20" s="2941"/>
      <c r="CF20" s="2941"/>
      <c r="CG20" s="2941"/>
      <c r="CH20" s="5831"/>
      <c r="CI20" s="2941"/>
      <c r="CJ20" s="2941"/>
      <c r="CK20" s="2941"/>
      <c r="CL20" s="2941"/>
      <c r="CM20" s="5831"/>
      <c r="CN20" s="2941"/>
      <c r="CO20" s="2941"/>
      <c r="CP20" s="2941"/>
      <c r="CQ20" s="2941"/>
      <c r="CR20" s="5831"/>
      <c r="CS20" s="2941"/>
      <c r="CT20" s="2941"/>
      <c r="CU20" s="2941"/>
      <c r="CV20" s="2941"/>
      <c r="CW20" s="5831"/>
      <c r="CX20" s="2941"/>
      <c r="CY20" s="2941"/>
      <c r="CZ20" s="2941"/>
      <c r="DA20" s="5833"/>
      <c r="DB20" s="5831"/>
      <c r="DC20" s="2941"/>
      <c r="DD20" s="2941"/>
      <c r="DE20" s="2941"/>
      <c r="DF20" s="2941"/>
      <c r="DG20" s="5813"/>
      <c r="DH20" s="5819"/>
      <c r="DI20" s="5819"/>
      <c r="DJ20" s="5819"/>
      <c r="DK20" s="5818"/>
      <c r="DL20" s="5813"/>
      <c r="DM20" s="5818"/>
      <c r="DN20" s="5818"/>
      <c r="DO20" s="5818"/>
      <c r="DP20" s="5818"/>
      <c r="DQ20" s="5813"/>
      <c r="DR20" s="5818"/>
      <c r="DS20" s="5818"/>
      <c r="DT20" s="5818"/>
      <c r="DU20" s="5818"/>
      <c r="DV20" s="5813"/>
      <c r="DW20" s="5818"/>
      <c r="DX20" s="5818"/>
      <c r="DY20" s="5818"/>
      <c r="DZ20" s="5818">
        <v>17300</v>
      </c>
      <c r="EA20" s="5813"/>
      <c r="EB20" s="5818"/>
      <c r="EC20" s="5818">
        <v>27900</v>
      </c>
      <c r="ED20" s="5818">
        <v>29400</v>
      </c>
      <c r="EE20" s="5818">
        <v>31600</v>
      </c>
      <c r="EF20" s="5854">
        <f>EE20</f>
        <v>31600</v>
      </c>
      <c r="EG20" s="5818">
        <v>29400</v>
      </c>
      <c r="EH20" s="5818">
        <v>41000</v>
      </c>
      <c r="EI20" s="5818">
        <v>31100</v>
      </c>
      <c r="EJ20" s="5818">
        <v>32500</v>
      </c>
      <c r="EK20" s="5854">
        <f>EJ20</f>
        <v>32500</v>
      </c>
      <c r="EL20" s="5818">
        <v>41500</v>
      </c>
      <c r="EM20" s="5818">
        <v>51000</v>
      </c>
      <c r="EN20" s="5818">
        <v>72500</v>
      </c>
      <c r="EO20" s="5819"/>
      <c r="EP20" s="5813"/>
      <c r="EQ20" s="5813"/>
      <c r="ER20" s="5813"/>
      <c r="ES20" s="5813"/>
      <c r="ET20" s="5813"/>
      <c r="EU20" s="5813"/>
    </row>
    <row r="21" spans="1:151" s="77" customFormat="1" ht="11.25" customHeight="1">
      <c r="A21" s="3769" t="s">
        <v>1061</v>
      </c>
      <c r="B21" s="176"/>
      <c r="C21" s="176"/>
      <c r="D21" s="176"/>
      <c r="E21" s="178"/>
      <c r="F21" s="3514"/>
      <c r="G21" s="176"/>
      <c r="H21" s="176"/>
      <c r="I21" s="176"/>
      <c r="J21" s="178"/>
      <c r="K21" s="3514"/>
      <c r="L21" s="176"/>
      <c r="M21" s="176"/>
      <c r="N21" s="176"/>
      <c r="O21" s="178"/>
      <c r="P21" s="3514"/>
      <c r="Q21" s="176"/>
      <c r="R21" s="176"/>
      <c r="S21" s="176"/>
      <c r="T21" s="178"/>
      <c r="U21" s="3514"/>
      <c r="V21" s="3450"/>
      <c r="W21" s="176"/>
      <c r="X21" s="176"/>
      <c r="Y21" s="178"/>
      <c r="Z21" s="3514"/>
      <c r="AA21" s="3450"/>
      <c r="AB21" s="176"/>
      <c r="AC21" s="176"/>
      <c r="AD21" s="178"/>
      <c r="AE21" s="3514"/>
      <c r="AF21" s="3450"/>
      <c r="AG21" s="176"/>
      <c r="AH21" s="176"/>
      <c r="AI21" s="178"/>
      <c r="AJ21" s="3514"/>
      <c r="AK21" s="176"/>
      <c r="AL21" s="176"/>
      <c r="AM21" s="176"/>
      <c r="AN21" s="178"/>
      <c r="AO21" s="3514"/>
      <c r="AP21" s="176"/>
      <c r="AQ21" s="176"/>
      <c r="AR21" s="176"/>
      <c r="AS21" s="178"/>
      <c r="AT21" s="3514"/>
      <c r="AU21" s="176"/>
      <c r="AV21" s="176"/>
      <c r="AW21" s="176"/>
      <c r="AX21" s="178"/>
      <c r="AY21" s="3514"/>
      <c r="AZ21" s="176"/>
      <c r="BA21" s="176"/>
      <c r="BB21" s="176"/>
      <c r="BC21" s="176"/>
      <c r="BD21" s="3515"/>
      <c r="BE21" s="5834"/>
      <c r="BF21" s="176"/>
      <c r="BG21" s="176"/>
      <c r="BH21" s="176"/>
      <c r="BI21" s="3515"/>
      <c r="BJ21" s="176"/>
      <c r="BK21" s="176"/>
      <c r="BL21" s="176"/>
      <c r="BM21" s="176"/>
      <c r="BN21" s="3515"/>
      <c r="BO21" s="176"/>
      <c r="BP21" s="176"/>
      <c r="BQ21" s="176"/>
      <c r="BR21" s="178"/>
      <c r="BS21" s="3514"/>
      <c r="BT21" s="176"/>
      <c r="BU21" s="176"/>
      <c r="BV21" s="176"/>
      <c r="BW21" s="176"/>
      <c r="BX21" s="3515"/>
      <c r="BY21" s="176"/>
      <c r="BZ21" s="176"/>
      <c r="CA21" s="176"/>
      <c r="CB21" s="176"/>
      <c r="CC21" s="3515"/>
      <c r="CD21" s="176"/>
      <c r="CE21" s="176"/>
      <c r="CF21" s="176"/>
      <c r="CG21" s="176"/>
      <c r="CH21" s="3515"/>
      <c r="CI21" s="176"/>
      <c r="CJ21" s="176"/>
      <c r="CK21" s="176"/>
      <c r="CL21" s="176"/>
      <c r="CM21" s="3515"/>
      <c r="CN21" s="176"/>
      <c r="CO21" s="176"/>
      <c r="CP21" s="176"/>
      <c r="CQ21" s="176"/>
      <c r="CR21" s="3515"/>
      <c r="CS21" s="176"/>
      <c r="CT21" s="176"/>
      <c r="CU21" s="176"/>
      <c r="CV21" s="176"/>
      <c r="CW21" s="3515"/>
      <c r="CX21" s="176"/>
      <c r="CY21" s="176"/>
      <c r="CZ21" s="176"/>
      <c r="DA21" s="179"/>
      <c r="DB21" s="3515"/>
      <c r="DC21" s="176"/>
      <c r="DD21" s="176"/>
      <c r="DE21" s="176"/>
      <c r="DF21" s="176"/>
      <c r="DG21" s="5732"/>
      <c r="DH21" s="3593"/>
      <c r="DI21" s="3593"/>
      <c r="DJ21" s="3593"/>
      <c r="DK21" s="4812"/>
      <c r="DL21" s="5732"/>
      <c r="DM21" s="4812"/>
      <c r="DN21" s="4812"/>
      <c r="DO21" s="4812"/>
      <c r="DP21" s="4812"/>
      <c r="DQ21" s="5732"/>
      <c r="DR21" s="4812"/>
      <c r="DS21" s="4812"/>
      <c r="DT21" s="4812"/>
      <c r="DU21" s="4812"/>
      <c r="DV21" s="5732"/>
      <c r="DW21" s="4812"/>
      <c r="DX21" s="4812"/>
      <c r="DY21" s="4812"/>
      <c r="DZ21" s="3593">
        <f>DZ22-DZ20</f>
        <v>14700</v>
      </c>
      <c r="EA21" s="5732"/>
      <c r="EB21" s="4812"/>
      <c r="EC21" s="3593">
        <f>EC22-EC20</f>
        <v>14100</v>
      </c>
      <c r="ED21" s="3593">
        <f>ED22-ED20</f>
        <v>14900</v>
      </c>
      <c r="EE21" s="3593">
        <f>EE22-EE20</f>
        <v>14300</v>
      </c>
      <c r="EF21" s="5859">
        <f>EE21</f>
        <v>14300</v>
      </c>
      <c r="EG21" s="3593">
        <f>EG22-EG20</f>
        <v>14600</v>
      </c>
      <c r="EH21" s="3593">
        <f>EH22-EH20</f>
        <v>13900</v>
      </c>
      <c r="EI21" s="3593">
        <f>EI22-EI20</f>
        <v>19700</v>
      </c>
      <c r="EJ21" s="3593">
        <f>EJ22-EJ20</f>
        <v>22900</v>
      </c>
      <c r="EK21" s="5859">
        <f>EJ21</f>
        <v>22900</v>
      </c>
      <c r="EL21" s="3593">
        <f>EL22-EL20</f>
        <v>20600</v>
      </c>
      <c r="EM21" s="3593">
        <f>EM22-EM20</f>
        <v>21500</v>
      </c>
      <c r="EN21" s="3593">
        <f>EN22-EN20</f>
        <v>21200</v>
      </c>
      <c r="EO21" s="3593"/>
      <c r="EP21" s="5732"/>
      <c r="EQ21" s="5732"/>
      <c r="ER21" s="5732"/>
      <c r="ES21" s="5732"/>
      <c r="ET21" s="5732"/>
      <c r="EU21" s="5732"/>
    </row>
    <row r="22" spans="1:151" s="5860" customFormat="1" ht="11.25" customHeight="1">
      <c r="A22" s="5856" t="s">
        <v>1060</v>
      </c>
      <c r="B22" s="2333"/>
      <c r="C22" s="2333"/>
      <c r="D22" s="2333"/>
      <c r="E22" s="2338"/>
      <c r="F22" s="5857"/>
      <c r="G22" s="2333"/>
      <c r="H22" s="2333"/>
      <c r="I22" s="2333"/>
      <c r="J22" s="2338"/>
      <c r="K22" s="5857"/>
      <c r="L22" s="2333"/>
      <c r="M22" s="2333"/>
      <c r="N22" s="2333"/>
      <c r="O22" s="2338"/>
      <c r="P22" s="5857"/>
      <c r="Q22" s="2333"/>
      <c r="R22" s="2333"/>
      <c r="S22" s="2333"/>
      <c r="T22" s="2338"/>
      <c r="U22" s="5857"/>
      <c r="V22" s="3452"/>
      <c r="W22" s="2333"/>
      <c r="X22" s="2333"/>
      <c r="Y22" s="2338"/>
      <c r="Z22" s="5857"/>
      <c r="AA22" s="3452"/>
      <c r="AB22" s="2333"/>
      <c r="AC22" s="2333"/>
      <c r="AD22" s="2338"/>
      <c r="AE22" s="5857"/>
      <c r="AF22" s="3452"/>
      <c r="AG22" s="2333"/>
      <c r="AH22" s="2333"/>
      <c r="AI22" s="2338"/>
      <c r="AJ22" s="5857"/>
      <c r="AK22" s="2333"/>
      <c r="AL22" s="2333"/>
      <c r="AM22" s="2333"/>
      <c r="AN22" s="2338"/>
      <c r="AO22" s="5857"/>
      <c r="AP22" s="2333"/>
      <c r="AQ22" s="2333"/>
      <c r="AR22" s="2333"/>
      <c r="AS22" s="2338"/>
      <c r="AT22" s="5857"/>
      <c r="AU22" s="2333"/>
      <c r="AV22" s="2333"/>
      <c r="AW22" s="2333"/>
      <c r="AX22" s="2338"/>
      <c r="AY22" s="5857"/>
      <c r="AZ22" s="2333"/>
      <c r="BA22" s="2333"/>
      <c r="BB22" s="2333"/>
      <c r="BC22" s="2333"/>
      <c r="BD22" s="5173"/>
      <c r="BE22" s="5858"/>
      <c r="BF22" s="2333"/>
      <c r="BG22" s="2333"/>
      <c r="BH22" s="2333"/>
      <c r="BI22" s="5173"/>
      <c r="BJ22" s="2333"/>
      <c r="BK22" s="2333"/>
      <c r="BL22" s="2333"/>
      <c r="BM22" s="2333"/>
      <c r="BN22" s="5173"/>
      <c r="BO22" s="2333"/>
      <c r="BP22" s="2333"/>
      <c r="BQ22" s="2333"/>
      <c r="BR22" s="2338"/>
      <c r="BS22" s="5857"/>
      <c r="BT22" s="2333"/>
      <c r="BU22" s="2333"/>
      <c r="BV22" s="2333"/>
      <c r="BW22" s="2333"/>
      <c r="BX22" s="5173"/>
      <c r="BY22" s="2333"/>
      <c r="BZ22" s="2333"/>
      <c r="CA22" s="2333"/>
      <c r="CB22" s="2333"/>
      <c r="CC22" s="5173"/>
      <c r="CD22" s="2333"/>
      <c r="CE22" s="2333"/>
      <c r="CF22" s="2333"/>
      <c r="CG22" s="2333"/>
      <c r="CH22" s="5173"/>
      <c r="CI22" s="2333"/>
      <c r="CJ22" s="2333"/>
      <c r="CK22" s="2333"/>
      <c r="CL22" s="2333"/>
      <c r="CM22" s="5173"/>
      <c r="CN22" s="2333"/>
      <c r="CO22" s="2333"/>
      <c r="CP22" s="2333"/>
      <c r="CQ22" s="2333"/>
      <c r="CR22" s="5173"/>
      <c r="CS22" s="2333"/>
      <c r="CT22" s="2333"/>
      <c r="CU22" s="2333"/>
      <c r="CV22" s="2333"/>
      <c r="CW22" s="5173"/>
      <c r="CX22" s="2333"/>
      <c r="CY22" s="2333"/>
      <c r="CZ22" s="2333"/>
      <c r="DA22" s="2339"/>
      <c r="DB22" s="5173"/>
      <c r="DC22" s="2333"/>
      <c r="DD22" s="2333"/>
      <c r="DE22" s="2333"/>
      <c r="DF22" s="2333"/>
      <c r="DG22" s="5859"/>
      <c r="DH22" s="5820"/>
      <c r="DI22" s="5820"/>
      <c r="DJ22" s="5820"/>
      <c r="DK22" s="5259"/>
      <c r="DL22" s="5859"/>
      <c r="DM22" s="5259"/>
      <c r="DN22" s="5259"/>
      <c r="DO22" s="5259"/>
      <c r="DP22" s="5259"/>
      <c r="DQ22" s="5859"/>
      <c r="DR22" s="5259"/>
      <c r="DS22" s="5259"/>
      <c r="DT22" s="5259"/>
      <c r="DU22" s="5259"/>
      <c r="DV22" s="5859"/>
      <c r="DW22" s="5259"/>
      <c r="DX22" s="5259"/>
      <c r="DY22" s="5259"/>
      <c r="DZ22" s="5259">
        <v>32000</v>
      </c>
      <c r="EA22" s="5859"/>
      <c r="EB22" s="5259"/>
      <c r="EC22" s="5259">
        <v>42000</v>
      </c>
      <c r="ED22" s="5259">
        <v>44300</v>
      </c>
      <c r="EE22" s="5259">
        <v>45900</v>
      </c>
      <c r="EF22" s="5859">
        <f>EE22</f>
        <v>45900</v>
      </c>
      <c r="EG22" s="5259">
        <v>44000</v>
      </c>
      <c r="EH22" s="5259">
        <v>54900</v>
      </c>
      <c r="EI22" s="5259">
        <v>50800</v>
      </c>
      <c r="EJ22" s="5259">
        <v>55400</v>
      </c>
      <c r="EK22" s="5859">
        <f>EJ22</f>
        <v>55400</v>
      </c>
      <c r="EL22" s="5259">
        <v>62100</v>
      </c>
      <c r="EM22" s="5259">
        <v>72500</v>
      </c>
      <c r="EN22" s="5259">
        <v>93700</v>
      </c>
      <c r="EO22" s="5820"/>
      <c r="EP22" s="5859"/>
      <c r="EQ22" s="5859"/>
      <c r="ER22" s="5859"/>
      <c r="ES22" s="5859"/>
      <c r="ET22" s="5859"/>
      <c r="EU22" s="5859"/>
    </row>
    <row r="23" spans="1:151" s="84" customFormat="1" ht="11.25" customHeight="1">
      <c r="A23" s="5835"/>
      <c r="B23" s="5601"/>
      <c r="C23" s="5601"/>
      <c r="D23" s="5601"/>
      <c r="E23" s="5836"/>
      <c r="F23" s="5837"/>
      <c r="G23" s="5601"/>
      <c r="H23" s="5601"/>
      <c r="I23" s="5601"/>
      <c r="J23" s="5836"/>
      <c r="K23" s="5837"/>
      <c r="L23" s="5601"/>
      <c r="M23" s="5601"/>
      <c r="N23" s="5601"/>
      <c r="O23" s="5836"/>
      <c r="P23" s="5837"/>
      <c r="Q23" s="5601"/>
      <c r="R23" s="5601"/>
      <c r="S23" s="5601"/>
      <c r="T23" s="5836"/>
      <c r="U23" s="5837"/>
      <c r="V23" s="5838"/>
      <c r="W23" s="5601"/>
      <c r="X23" s="5601"/>
      <c r="Y23" s="5836"/>
      <c r="Z23" s="5837"/>
      <c r="AA23" s="5838"/>
      <c r="AB23" s="5601"/>
      <c r="AC23" s="5601"/>
      <c r="AD23" s="5836"/>
      <c r="AE23" s="5837"/>
      <c r="AF23" s="5838"/>
      <c r="AG23" s="5601"/>
      <c r="AH23" s="5601"/>
      <c r="AI23" s="5836"/>
      <c r="AJ23" s="5837"/>
      <c r="AK23" s="5601"/>
      <c r="AL23" s="5601"/>
      <c r="AM23" s="5601"/>
      <c r="AN23" s="5836"/>
      <c r="AO23" s="5837"/>
      <c r="AP23" s="5601"/>
      <c r="AQ23" s="5601"/>
      <c r="AR23" s="5601"/>
      <c r="AS23" s="5836"/>
      <c r="AT23" s="5837"/>
      <c r="AU23" s="5601"/>
      <c r="AV23" s="5601"/>
      <c r="AW23" s="5601"/>
      <c r="AX23" s="5836"/>
      <c r="AY23" s="5837"/>
      <c r="AZ23" s="5601"/>
      <c r="BA23" s="5601"/>
      <c r="BB23" s="5601"/>
      <c r="BC23" s="5601"/>
      <c r="BD23" s="5839"/>
      <c r="BE23" s="5840"/>
      <c r="BF23" s="5601"/>
      <c r="BG23" s="5601"/>
      <c r="BH23" s="5601"/>
      <c r="BI23" s="5839"/>
      <c r="BJ23" s="5601"/>
      <c r="BK23" s="5601"/>
      <c r="BL23" s="5601"/>
      <c r="BM23" s="5601"/>
      <c r="BN23" s="5839"/>
      <c r="BO23" s="5601"/>
      <c r="BP23" s="5601"/>
      <c r="BQ23" s="5601"/>
      <c r="BR23" s="5836"/>
      <c r="BS23" s="5841"/>
      <c r="BT23" s="5601"/>
      <c r="BU23" s="5601"/>
      <c r="BV23" s="5601"/>
      <c r="BW23" s="5601"/>
      <c r="BX23" s="5604"/>
      <c r="BY23" s="5601"/>
      <c r="BZ23" s="5601"/>
      <c r="CA23" s="5601"/>
      <c r="CB23" s="5601"/>
      <c r="CC23" s="5604"/>
      <c r="CD23" s="5601"/>
      <c r="CE23" s="5601"/>
      <c r="CF23" s="5601"/>
      <c r="CG23" s="5601"/>
      <c r="CH23" s="5604"/>
      <c r="CI23" s="5601"/>
      <c r="CJ23" s="5601"/>
      <c r="CK23" s="5601"/>
      <c r="CL23" s="5601"/>
      <c r="CM23" s="5604"/>
      <c r="CN23" s="5601"/>
      <c r="CO23" s="5601"/>
      <c r="CP23" s="5601"/>
      <c r="CQ23" s="5601"/>
      <c r="CR23" s="5604"/>
      <c r="CS23" s="5601"/>
      <c r="CT23" s="5601"/>
      <c r="CU23" s="5601"/>
      <c r="CV23" s="5601"/>
      <c r="CW23" s="5604"/>
      <c r="CX23" s="5601"/>
      <c r="CY23" s="5601"/>
      <c r="CZ23" s="5601"/>
      <c r="DA23" s="5842"/>
      <c r="DB23" s="5604"/>
      <c r="DC23" s="5601"/>
      <c r="DD23" s="5601"/>
      <c r="DE23" s="5601"/>
      <c r="DF23" s="5601"/>
      <c r="DG23" s="5604"/>
      <c r="DH23" s="5601"/>
      <c r="DI23" s="5601"/>
      <c r="DJ23" s="5601"/>
      <c r="DK23" s="5601"/>
      <c r="DL23" s="5604"/>
      <c r="DM23" s="5601"/>
      <c r="DN23" s="5601"/>
      <c r="DO23" s="5601"/>
      <c r="DP23" s="5601"/>
      <c r="DQ23" s="5604"/>
      <c r="DR23" s="5601"/>
      <c r="DS23" s="5601"/>
      <c r="DT23" s="5601"/>
      <c r="DU23" s="5601"/>
      <c r="DV23" s="5604"/>
      <c r="DW23" s="5601"/>
      <c r="DX23" s="5601"/>
      <c r="DY23" s="5601"/>
      <c r="DZ23" s="5601"/>
      <c r="EA23" s="5604"/>
      <c r="EB23" s="5601"/>
      <c r="EC23" s="5601"/>
      <c r="ED23" s="5601"/>
      <c r="EE23" s="5601"/>
      <c r="EF23" s="5604"/>
      <c r="EG23" s="5601"/>
      <c r="EH23" s="5601"/>
      <c r="EI23" s="5601"/>
      <c r="EJ23" s="5601"/>
      <c r="EK23" s="5604"/>
      <c r="EL23" s="5601"/>
      <c r="EM23" s="5601"/>
      <c r="EN23" s="5601"/>
      <c r="EO23" s="5601"/>
      <c r="EP23" s="5604"/>
      <c r="EQ23" s="5604"/>
      <c r="ER23" s="5604"/>
      <c r="ES23" s="5604"/>
      <c r="ET23" s="5604"/>
      <c r="EU23" s="5604"/>
    </row>
    <row r="24" spans="1:151">
      <c r="A24" s="5662" t="s">
        <v>1088</v>
      </c>
      <c r="B24" s="2918"/>
      <c r="C24" s="2918"/>
      <c r="D24" s="2918"/>
      <c r="E24" s="2918"/>
      <c r="F24" s="5592"/>
      <c r="G24" s="2918"/>
      <c r="H24" s="2918"/>
      <c r="I24" s="2918"/>
      <c r="J24" s="2918"/>
      <c r="K24" s="5198"/>
      <c r="L24" s="2918"/>
      <c r="M24" s="2918"/>
      <c r="N24" s="2918"/>
      <c r="O24" s="2918"/>
      <c r="P24" s="5198"/>
      <c r="Q24" s="5197"/>
      <c r="R24" s="2918"/>
      <c r="S24" s="2918"/>
      <c r="T24" s="2918"/>
      <c r="U24" s="5198"/>
      <c r="V24" s="5197"/>
      <c r="W24" s="2918"/>
      <c r="X24" s="2918"/>
      <c r="Y24" s="2918"/>
      <c r="Z24" s="5198"/>
      <c r="AA24" s="5197"/>
      <c r="AB24" s="2918"/>
      <c r="AC24" s="2918"/>
      <c r="AD24" s="2918"/>
      <c r="AE24" s="5198"/>
      <c r="AF24" s="5197"/>
      <c r="AG24" s="2918"/>
      <c r="AH24" s="2918"/>
      <c r="AI24" s="2918"/>
      <c r="AJ24" s="5198"/>
      <c r="AK24" s="5197"/>
      <c r="AL24" s="2918"/>
      <c r="AM24" s="2918"/>
      <c r="AN24" s="2918"/>
      <c r="AO24" s="5198"/>
      <c r="AP24" s="5197"/>
      <c r="AQ24" s="2918"/>
      <c r="AR24" s="2918"/>
      <c r="AS24" s="2918"/>
      <c r="AT24" s="5198"/>
      <c r="AU24" s="5197"/>
      <c r="AV24" s="5105"/>
      <c r="AW24" s="2918"/>
      <c r="AX24" s="2918"/>
      <c r="AY24" s="5198"/>
      <c r="AZ24" s="5197"/>
      <c r="BA24" s="5105"/>
      <c r="BB24" s="2918"/>
      <c r="BC24" s="2918"/>
      <c r="BD24" s="5198"/>
      <c r="BE24" s="5197"/>
      <c r="BF24" s="5105"/>
      <c r="BG24" s="2918"/>
      <c r="BH24" s="2918"/>
      <c r="BI24" s="5198"/>
      <c r="BJ24" s="5197"/>
      <c r="BK24" s="2918"/>
      <c r="BL24" s="2918"/>
      <c r="BM24" s="2918"/>
      <c r="BN24" s="5198"/>
      <c r="BO24" s="2918"/>
      <c r="BP24" s="2918"/>
      <c r="BQ24" s="2918"/>
      <c r="BR24" s="2918"/>
      <c r="BS24" s="5198"/>
      <c r="BT24" s="2918"/>
      <c r="BU24" s="2918"/>
      <c r="BV24" s="2918"/>
      <c r="BW24" s="2918"/>
      <c r="BX24" s="5198"/>
      <c r="BY24" s="2918"/>
      <c r="BZ24" s="2918"/>
      <c r="CA24" s="2918"/>
      <c r="CB24" s="2918"/>
      <c r="CC24" s="5198"/>
      <c r="CD24" s="2918"/>
      <c r="CE24" s="2918"/>
      <c r="CF24" s="2918"/>
      <c r="CG24" s="2918"/>
      <c r="CH24" s="5198"/>
      <c r="CI24" s="2347"/>
      <c r="CJ24" s="2918"/>
      <c r="CK24" s="2918"/>
      <c r="CL24" s="2918"/>
      <c r="CM24" s="5198"/>
      <c r="CN24" s="2918"/>
      <c r="CO24" s="2918"/>
      <c r="CP24" s="2918"/>
      <c r="CQ24" s="2918"/>
      <c r="CR24" s="5198"/>
      <c r="CS24" s="2918"/>
      <c r="CT24" s="2918"/>
      <c r="CU24" s="2918"/>
      <c r="CV24" s="5106"/>
      <c r="CW24" s="5199"/>
      <c r="CX24" s="5106"/>
      <c r="CY24" s="5106"/>
      <c r="CZ24" s="5106"/>
      <c r="DA24" s="5106"/>
      <c r="DB24" s="5199"/>
      <c r="DC24" s="5106"/>
      <c r="DD24" s="5106"/>
      <c r="DE24" s="5106"/>
      <c r="DF24" s="5106"/>
      <c r="DG24" s="5199"/>
      <c r="DH24" s="5106"/>
      <c r="DI24" s="5106"/>
      <c r="DJ24" s="5106"/>
      <c r="DK24" s="5106"/>
      <c r="DL24" s="5199"/>
      <c r="DM24" s="5106"/>
      <c r="DN24" s="5106"/>
      <c r="DO24" s="5106"/>
      <c r="DP24" s="5106"/>
      <c r="DQ24" s="5199"/>
      <c r="DR24" s="5106"/>
      <c r="DS24" s="5106"/>
      <c r="DT24" s="5106"/>
      <c r="DU24" s="5106"/>
      <c r="DV24" s="5199"/>
      <c r="DW24" s="5106"/>
      <c r="DX24" s="5106"/>
      <c r="DY24" s="5821"/>
      <c r="DZ24" s="5106"/>
      <c r="EA24" s="5199"/>
      <c r="EB24" s="5106"/>
      <c r="EC24" s="5106"/>
      <c r="ED24" s="5821"/>
      <c r="EE24" s="5106"/>
      <c r="EF24" s="5199"/>
      <c r="EG24" s="5106"/>
      <c r="EH24" s="5106"/>
      <c r="EI24" s="5106"/>
      <c r="EJ24" s="5106"/>
      <c r="EK24" s="5199"/>
      <c r="EL24" s="5106"/>
      <c r="EM24" s="5106"/>
      <c r="EN24" s="5106"/>
      <c r="EO24" s="5106"/>
      <c r="EP24" s="5199"/>
      <c r="EQ24" s="5199"/>
      <c r="ER24" s="5199"/>
      <c r="ES24" s="5199"/>
      <c r="ET24" s="5199"/>
      <c r="EU24" s="5199"/>
    </row>
    <row r="25" spans="1:151" s="84" customFormat="1" ht="11.25" customHeight="1">
      <c r="A25" s="5950" t="s">
        <v>1136</v>
      </c>
      <c r="B25" s="1138"/>
      <c r="C25" s="1138"/>
      <c r="D25" s="1138"/>
      <c r="E25" s="4300"/>
      <c r="F25" s="5946"/>
      <c r="G25" s="1138"/>
      <c r="H25" s="1138"/>
      <c r="I25" s="1138"/>
      <c r="J25" s="4300"/>
      <c r="K25" s="5946"/>
      <c r="L25" s="1138"/>
      <c r="M25" s="1138"/>
      <c r="N25" s="1138"/>
      <c r="O25" s="4300"/>
      <c r="P25" s="5946"/>
      <c r="Q25" s="1138"/>
      <c r="R25" s="1138"/>
      <c r="S25" s="1138"/>
      <c r="T25" s="4300"/>
      <c r="U25" s="5946"/>
      <c r="V25" s="4021"/>
      <c r="W25" s="1138"/>
      <c r="X25" s="1138"/>
      <c r="Y25" s="4300"/>
      <c r="Z25" s="5946"/>
      <c r="AA25" s="4021"/>
      <c r="AB25" s="1138"/>
      <c r="AC25" s="1138"/>
      <c r="AD25" s="4300"/>
      <c r="AE25" s="5946"/>
      <c r="AF25" s="4021"/>
      <c r="AG25" s="1138"/>
      <c r="AH25" s="1138"/>
      <c r="AI25" s="4300"/>
      <c r="AJ25" s="5946"/>
      <c r="AK25" s="1138"/>
      <c r="AL25" s="1138"/>
      <c r="AM25" s="1138"/>
      <c r="AN25" s="4300"/>
      <c r="AO25" s="5946"/>
      <c r="AP25" s="1138"/>
      <c r="AQ25" s="1138"/>
      <c r="AR25" s="1138"/>
      <c r="AS25" s="4300"/>
      <c r="AT25" s="5946"/>
      <c r="AU25" s="1138"/>
      <c r="AV25" s="1138"/>
      <c r="AW25" s="1138"/>
      <c r="AX25" s="4300"/>
      <c r="AY25" s="5946"/>
      <c r="AZ25" s="1138"/>
      <c r="BA25" s="1138"/>
      <c r="BB25" s="1138"/>
      <c r="BC25" s="1138"/>
      <c r="BD25" s="5947"/>
      <c r="BE25" s="5948"/>
      <c r="BF25" s="1138"/>
      <c r="BG25" s="1138"/>
      <c r="BH25" s="1138"/>
      <c r="BI25" s="5947"/>
      <c r="BJ25" s="1138"/>
      <c r="BK25" s="1138"/>
      <c r="BL25" s="1138"/>
      <c r="BM25" s="1138"/>
      <c r="BN25" s="5947"/>
      <c r="BO25" s="1138"/>
      <c r="BP25" s="1138"/>
      <c r="BQ25" s="1138"/>
      <c r="BR25" s="4300"/>
      <c r="BS25" s="5946"/>
      <c r="BT25" s="1138"/>
      <c r="BU25" s="1138"/>
      <c r="BV25" s="1138"/>
      <c r="BW25" s="1138"/>
      <c r="BX25" s="5947"/>
      <c r="BY25" s="1138"/>
      <c r="BZ25" s="1138"/>
      <c r="CA25" s="1138"/>
      <c r="CB25" s="1138"/>
      <c r="CC25" s="5947"/>
      <c r="CD25" s="1138"/>
      <c r="CE25" s="1138"/>
      <c r="CF25" s="1138"/>
      <c r="CG25" s="1138"/>
      <c r="CH25" s="5947"/>
      <c r="CI25" s="1138"/>
      <c r="CJ25" s="1138"/>
      <c r="CK25" s="1138"/>
      <c r="CL25" s="1138"/>
      <c r="CM25" s="5947"/>
      <c r="CN25" s="1138"/>
      <c r="CO25" s="1138"/>
      <c r="CP25" s="1138"/>
      <c r="CQ25" s="1138"/>
      <c r="CR25" s="5947"/>
      <c r="CS25" s="1138"/>
      <c r="CT25" s="1138"/>
      <c r="CU25" s="1138"/>
      <c r="CV25" s="1138"/>
      <c r="CW25" s="5947"/>
      <c r="CX25" s="1138"/>
      <c r="CY25" s="1138"/>
      <c r="CZ25" s="1138"/>
      <c r="DA25" s="5949"/>
      <c r="DB25" s="5947"/>
      <c r="DC25" s="1138"/>
      <c r="DD25" s="1138"/>
      <c r="DE25" s="1138"/>
      <c r="DF25" s="1138"/>
      <c r="DG25" s="5705"/>
      <c r="DH25" s="3453"/>
      <c r="DI25" s="3453"/>
      <c r="DJ25" s="3453"/>
      <c r="DK25" s="3453"/>
      <c r="DL25" s="5705"/>
      <c r="DM25" s="3453"/>
      <c r="DN25" s="3453"/>
      <c r="DO25" s="3453"/>
      <c r="DP25" s="3453"/>
      <c r="DQ25" s="5705"/>
      <c r="DR25" s="3453"/>
      <c r="DS25" s="3453"/>
      <c r="DT25" s="3453"/>
      <c r="DU25" s="3453"/>
      <c r="DV25" s="5705"/>
      <c r="DW25" s="3453"/>
      <c r="DX25" s="3453"/>
      <c r="DY25" s="3453"/>
      <c r="DZ25" s="3453"/>
      <c r="EA25" s="5705"/>
      <c r="EB25" s="3453"/>
      <c r="EC25" s="3453"/>
      <c r="ED25" s="3453"/>
      <c r="EE25" s="3453"/>
      <c r="EF25" s="5705"/>
      <c r="EG25" s="3453"/>
      <c r="EH25" s="3453"/>
      <c r="EI25" s="3453"/>
      <c r="EJ25" s="3453"/>
      <c r="EK25" s="5705"/>
      <c r="EL25" s="3453"/>
      <c r="EM25" s="3453"/>
      <c r="EN25" s="3453"/>
      <c r="EO25" s="3453"/>
      <c r="EP25" s="5705"/>
      <c r="EQ25" s="5705"/>
      <c r="ER25" s="5705"/>
      <c r="ES25" s="5705"/>
      <c r="ET25" s="5705"/>
      <c r="EU25" s="5705"/>
    </row>
    <row r="26" spans="1:151" s="84" customFormat="1" ht="11.25" customHeight="1">
      <c r="A26" s="3777" t="s">
        <v>1155</v>
      </c>
      <c r="B26" s="176"/>
      <c r="C26" s="176"/>
      <c r="D26" s="176"/>
      <c r="E26" s="178"/>
      <c r="F26" s="3514"/>
      <c r="G26" s="176"/>
      <c r="H26" s="176"/>
      <c r="I26" s="176"/>
      <c r="J26" s="178"/>
      <c r="K26" s="3514"/>
      <c r="L26" s="176"/>
      <c r="M26" s="176"/>
      <c r="N26" s="176"/>
      <c r="O26" s="178"/>
      <c r="P26" s="3514"/>
      <c r="Q26" s="176"/>
      <c r="R26" s="176"/>
      <c r="S26" s="176"/>
      <c r="T26" s="178"/>
      <c r="U26" s="3514"/>
      <c r="V26" s="3450"/>
      <c r="W26" s="176"/>
      <c r="X26" s="176"/>
      <c r="Y26" s="178"/>
      <c r="Z26" s="3514"/>
      <c r="AA26" s="3450"/>
      <c r="AB26" s="176"/>
      <c r="AC26" s="176"/>
      <c r="AD26" s="178"/>
      <c r="AE26" s="3514"/>
      <c r="AF26" s="3450"/>
      <c r="AG26" s="176"/>
      <c r="AH26" s="176"/>
      <c r="AI26" s="178"/>
      <c r="AJ26" s="3514"/>
      <c r="AK26" s="176"/>
      <c r="AL26" s="176"/>
      <c r="AM26" s="176"/>
      <c r="AN26" s="178"/>
      <c r="AO26" s="3514"/>
      <c r="AP26" s="176"/>
      <c r="AQ26" s="176"/>
      <c r="AR26" s="176"/>
      <c r="AS26" s="178"/>
      <c r="AT26" s="3514"/>
      <c r="AU26" s="176"/>
      <c r="AV26" s="176"/>
      <c r="AW26" s="176"/>
      <c r="AX26" s="178"/>
      <c r="AY26" s="3514"/>
      <c r="AZ26" s="176"/>
      <c r="BA26" s="176"/>
      <c r="BB26" s="176"/>
      <c r="BC26" s="176"/>
      <c r="BD26" s="3515"/>
      <c r="BE26" s="5834"/>
      <c r="BF26" s="176"/>
      <c r="BG26" s="176"/>
      <c r="BH26" s="176"/>
      <c r="BI26" s="3515"/>
      <c r="BJ26" s="176"/>
      <c r="BK26" s="176"/>
      <c r="BL26" s="176"/>
      <c r="BM26" s="176"/>
      <c r="BN26" s="3515"/>
      <c r="BO26" s="176"/>
      <c r="BP26" s="176"/>
      <c r="BQ26" s="176"/>
      <c r="BR26" s="178"/>
      <c r="BS26" s="3514"/>
      <c r="BT26" s="176"/>
      <c r="BU26" s="176"/>
      <c r="BV26" s="176"/>
      <c r="BW26" s="176"/>
      <c r="BX26" s="3515"/>
      <c r="BY26" s="176"/>
      <c r="BZ26" s="176"/>
      <c r="CA26" s="176"/>
      <c r="CB26" s="176"/>
      <c r="CC26" s="3515"/>
      <c r="CD26" s="176"/>
      <c r="CE26" s="176"/>
      <c r="CF26" s="176"/>
      <c r="CG26" s="176"/>
      <c r="CH26" s="3515"/>
      <c r="CI26" s="176"/>
      <c r="CJ26" s="176"/>
      <c r="CK26" s="176"/>
      <c r="CL26" s="176"/>
      <c r="CM26" s="3515"/>
      <c r="CN26" s="176"/>
      <c r="CO26" s="176"/>
      <c r="CP26" s="176"/>
      <c r="CQ26" s="176"/>
      <c r="CR26" s="3515"/>
      <c r="CS26" s="176"/>
      <c r="CT26" s="176"/>
      <c r="CU26" s="176"/>
      <c r="CV26" s="176"/>
      <c r="CW26" s="3515"/>
      <c r="CX26" s="176"/>
      <c r="CY26" s="176"/>
      <c r="CZ26" s="176"/>
      <c r="DA26" s="179"/>
      <c r="DB26" s="3515"/>
      <c r="DC26" s="176"/>
      <c r="DD26" s="176"/>
      <c r="DE26" s="176"/>
      <c r="DF26" s="176"/>
      <c r="DG26" s="5732"/>
      <c r="DH26" s="3593"/>
      <c r="DI26" s="3593"/>
      <c r="DJ26" s="3593"/>
      <c r="DK26" s="3593"/>
      <c r="DL26" s="5732"/>
      <c r="DM26" s="3593"/>
      <c r="DN26" s="3593"/>
      <c r="DO26" s="3593"/>
      <c r="DP26" s="3593"/>
      <c r="DQ26" s="5732"/>
      <c r="DR26" s="3593"/>
      <c r="DS26" s="3593"/>
      <c r="DT26" s="3593"/>
      <c r="DU26" s="3593"/>
      <c r="DV26" s="5732"/>
      <c r="DW26" s="3593"/>
      <c r="DX26" s="3593"/>
      <c r="DY26" s="3593"/>
      <c r="DZ26" s="3593"/>
      <c r="EA26" s="5732"/>
      <c r="EB26" s="3593"/>
      <c r="EC26" s="3593"/>
      <c r="ED26" s="3593"/>
      <c r="EE26" s="3593"/>
      <c r="EF26" s="5732"/>
      <c r="EG26" s="3593"/>
      <c r="EH26" s="3593"/>
      <c r="EI26" s="3593"/>
      <c r="EJ26" s="3593"/>
      <c r="EK26" s="5732"/>
      <c r="EL26" s="6167" t="s">
        <v>1137</v>
      </c>
      <c r="EM26" s="6167" t="s">
        <v>1153</v>
      </c>
      <c r="EN26" s="6167" t="s">
        <v>1153</v>
      </c>
      <c r="EO26" s="3593"/>
      <c r="EP26" s="5732"/>
      <c r="EQ26" s="5732"/>
      <c r="ER26" s="5732"/>
      <c r="ES26" s="5732"/>
      <c r="ET26" s="5732"/>
      <c r="EU26" s="5732"/>
    </row>
    <row r="27" spans="1:151" s="84" customFormat="1" ht="11.25" customHeight="1">
      <c r="A27" s="3777" t="s">
        <v>1154</v>
      </c>
      <c r="B27" s="176"/>
      <c r="C27" s="176"/>
      <c r="D27" s="176"/>
      <c r="E27" s="178"/>
      <c r="F27" s="3514"/>
      <c r="G27" s="176"/>
      <c r="H27" s="176"/>
      <c r="I27" s="176"/>
      <c r="J27" s="178"/>
      <c r="K27" s="3514"/>
      <c r="L27" s="176"/>
      <c r="M27" s="176"/>
      <c r="N27" s="176"/>
      <c r="O27" s="178"/>
      <c r="P27" s="3514"/>
      <c r="Q27" s="176"/>
      <c r="R27" s="176"/>
      <c r="S27" s="176"/>
      <c r="T27" s="178"/>
      <c r="U27" s="3514"/>
      <c r="V27" s="3450"/>
      <c r="W27" s="176"/>
      <c r="X27" s="176"/>
      <c r="Y27" s="178"/>
      <c r="Z27" s="3514"/>
      <c r="AA27" s="3450"/>
      <c r="AB27" s="176"/>
      <c r="AC27" s="176"/>
      <c r="AD27" s="178"/>
      <c r="AE27" s="3514"/>
      <c r="AF27" s="3450"/>
      <c r="AG27" s="176"/>
      <c r="AH27" s="176"/>
      <c r="AI27" s="178"/>
      <c r="AJ27" s="3514"/>
      <c r="AK27" s="176"/>
      <c r="AL27" s="176"/>
      <c r="AM27" s="176"/>
      <c r="AN27" s="178"/>
      <c r="AO27" s="3514"/>
      <c r="AP27" s="176"/>
      <c r="AQ27" s="176"/>
      <c r="AR27" s="176"/>
      <c r="AS27" s="178"/>
      <c r="AT27" s="3514"/>
      <c r="AU27" s="176"/>
      <c r="AV27" s="176"/>
      <c r="AW27" s="176"/>
      <c r="AX27" s="178"/>
      <c r="AY27" s="3514"/>
      <c r="AZ27" s="176"/>
      <c r="BA27" s="176"/>
      <c r="BB27" s="176"/>
      <c r="BC27" s="176"/>
      <c r="BD27" s="3515"/>
      <c r="BE27" s="6166"/>
      <c r="BF27" s="176"/>
      <c r="BG27" s="176"/>
      <c r="BH27" s="176"/>
      <c r="BI27" s="3515"/>
      <c r="BJ27" s="176"/>
      <c r="BK27" s="176"/>
      <c r="BL27" s="176"/>
      <c r="BM27" s="176"/>
      <c r="BN27" s="3515"/>
      <c r="BO27" s="176"/>
      <c r="BP27" s="176"/>
      <c r="BQ27" s="176"/>
      <c r="BR27" s="178"/>
      <c r="BS27" s="3514"/>
      <c r="BT27" s="176"/>
      <c r="BU27" s="176"/>
      <c r="BV27" s="176"/>
      <c r="BW27" s="176"/>
      <c r="BX27" s="3515"/>
      <c r="BY27" s="176"/>
      <c r="BZ27" s="176"/>
      <c r="CA27" s="176"/>
      <c r="CB27" s="176"/>
      <c r="CC27" s="3515"/>
      <c r="CD27" s="176"/>
      <c r="CE27" s="176"/>
      <c r="CF27" s="176"/>
      <c r="CG27" s="176"/>
      <c r="CH27" s="3515"/>
      <c r="CI27" s="176"/>
      <c r="CJ27" s="176"/>
      <c r="CK27" s="176"/>
      <c r="CL27" s="176"/>
      <c r="CM27" s="3515"/>
      <c r="CN27" s="176"/>
      <c r="CO27" s="176"/>
      <c r="CP27" s="176"/>
      <c r="CQ27" s="176"/>
      <c r="CR27" s="3515"/>
      <c r="CS27" s="176"/>
      <c r="CT27" s="176"/>
      <c r="CU27" s="176"/>
      <c r="CV27" s="176"/>
      <c r="CW27" s="3515"/>
      <c r="CX27" s="176"/>
      <c r="CY27" s="176"/>
      <c r="CZ27" s="176"/>
      <c r="DA27" s="179"/>
      <c r="DB27" s="3515"/>
      <c r="DC27" s="176"/>
      <c r="DD27" s="176"/>
      <c r="DE27" s="176"/>
      <c r="DF27" s="176"/>
      <c r="DG27" s="5732"/>
      <c r="DH27" s="3593"/>
      <c r="DI27" s="3593"/>
      <c r="DJ27" s="3593"/>
      <c r="DK27" s="3593"/>
      <c r="DL27" s="5732"/>
      <c r="DM27" s="3593"/>
      <c r="DN27" s="3593"/>
      <c r="DO27" s="3593"/>
      <c r="DP27" s="3593"/>
      <c r="DQ27" s="5732"/>
      <c r="DR27" s="3593"/>
      <c r="DS27" s="3593"/>
      <c r="DT27" s="3593"/>
      <c r="DU27" s="3593"/>
      <c r="DV27" s="5732"/>
      <c r="DW27" s="3593"/>
      <c r="DX27" s="3593"/>
      <c r="DY27" s="3593"/>
      <c r="DZ27" s="3593"/>
      <c r="EA27" s="5732"/>
      <c r="EB27" s="3593"/>
      <c r="EC27" s="3593"/>
      <c r="ED27" s="3593"/>
      <c r="EE27" s="3593"/>
      <c r="EF27" s="5732"/>
      <c r="EG27" s="3593"/>
      <c r="EH27" s="3593"/>
      <c r="EI27" s="3593"/>
      <c r="EJ27" s="3593"/>
      <c r="EK27" s="5732"/>
      <c r="EL27" s="6167"/>
      <c r="EM27" s="6195">
        <v>0.1</v>
      </c>
      <c r="EN27" s="3593"/>
      <c r="EO27" s="3593"/>
      <c r="EP27" s="5732"/>
      <c r="EQ27" s="5732"/>
      <c r="ER27" s="5732"/>
      <c r="ES27" s="5732"/>
      <c r="ET27" s="5732"/>
      <c r="EU27" s="5732"/>
    </row>
    <row r="28" spans="1:151" s="84" customFormat="1" ht="11.25" customHeight="1">
      <c r="A28" s="3777" t="s">
        <v>1158</v>
      </c>
      <c r="B28" s="176"/>
      <c r="C28" s="176"/>
      <c r="D28" s="176"/>
      <c r="E28" s="178"/>
      <c r="F28" s="3514"/>
      <c r="G28" s="176"/>
      <c r="H28" s="176"/>
      <c r="I28" s="176"/>
      <c r="J28" s="178"/>
      <c r="K28" s="3514"/>
      <c r="L28" s="176"/>
      <c r="M28" s="176"/>
      <c r="N28" s="176"/>
      <c r="O28" s="178"/>
      <c r="P28" s="3514"/>
      <c r="Q28" s="176"/>
      <c r="R28" s="176"/>
      <c r="S28" s="176"/>
      <c r="T28" s="178"/>
      <c r="U28" s="3514"/>
      <c r="V28" s="3450"/>
      <c r="W28" s="176"/>
      <c r="X28" s="176"/>
      <c r="Y28" s="178"/>
      <c r="Z28" s="3514"/>
      <c r="AA28" s="3450"/>
      <c r="AB28" s="176"/>
      <c r="AC28" s="176"/>
      <c r="AD28" s="178"/>
      <c r="AE28" s="3514"/>
      <c r="AF28" s="3450"/>
      <c r="AG28" s="176"/>
      <c r="AH28" s="176"/>
      <c r="AI28" s="178"/>
      <c r="AJ28" s="3514"/>
      <c r="AK28" s="176"/>
      <c r="AL28" s="176"/>
      <c r="AM28" s="176"/>
      <c r="AN28" s="178"/>
      <c r="AO28" s="3514"/>
      <c r="AP28" s="176"/>
      <c r="AQ28" s="176"/>
      <c r="AR28" s="176"/>
      <c r="AS28" s="178"/>
      <c r="AT28" s="3514"/>
      <c r="AU28" s="176"/>
      <c r="AV28" s="176"/>
      <c r="AW28" s="176"/>
      <c r="AX28" s="178"/>
      <c r="AY28" s="3514"/>
      <c r="AZ28" s="176"/>
      <c r="BA28" s="176"/>
      <c r="BB28" s="176"/>
      <c r="BC28" s="176"/>
      <c r="BD28" s="3515"/>
      <c r="BE28" s="6166"/>
      <c r="BF28" s="176"/>
      <c r="BG28" s="176"/>
      <c r="BH28" s="176"/>
      <c r="BI28" s="3515"/>
      <c r="BJ28" s="176"/>
      <c r="BK28" s="176"/>
      <c r="BL28" s="176"/>
      <c r="BM28" s="176"/>
      <c r="BN28" s="3515"/>
      <c r="BO28" s="176"/>
      <c r="BP28" s="176"/>
      <c r="BQ28" s="176"/>
      <c r="BR28" s="178"/>
      <c r="BS28" s="3514"/>
      <c r="BT28" s="176"/>
      <c r="BU28" s="176"/>
      <c r="BV28" s="176"/>
      <c r="BW28" s="176"/>
      <c r="BX28" s="3515"/>
      <c r="BY28" s="176"/>
      <c r="BZ28" s="176"/>
      <c r="CA28" s="176"/>
      <c r="CB28" s="176"/>
      <c r="CC28" s="3515"/>
      <c r="CD28" s="176"/>
      <c r="CE28" s="176"/>
      <c r="CF28" s="176"/>
      <c r="CG28" s="176"/>
      <c r="CH28" s="3515"/>
      <c r="CI28" s="176"/>
      <c r="CJ28" s="176"/>
      <c r="CK28" s="176"/>
      <c r="CL28" s="176"/>
      <c r="CM28" s="3515"/>
      <c r="CN28" s="176"/>
      <c r="CO28" s="176"/>
      <c r="CP28" s="176"/>
      <c r="CQ28" s="176"/>
      <c r="CR28" s="3515"/>
      <c r="CS28" s="176"/>
      <c r="CT28" s="176"/>
      <c r="CU28" s="176"/>
      <c r="CV28" s="176"/>
      <c r="CW28" s="3515"/>
      <c r="CX28" s="176"/>
      <c r="CY28" s="176"/>
      <c r="CZ28" s="176"/>
      <c r="DA28" s="179"/>
      <c r="DB28" s="3515"/>
      <c r="DC28" s="176"/>
      <c r="DD28" s="176"/>
      <c r="DE28" s="176"/>
      <c r="DF28" s="176"/>
      <c r="DG28" s="5732"/>
      <c r="DH28" s="3593"/>
      <c r="DI28" s="3593"/>
      <c r="DJ28" s="3593"/>
      <c r="DK28" s="3593"/>
      <c r="DL28" s="5732"/>
      <c r="DM28" s="3593"/>
      <c r="DN28" s="3593"/>
      <c r="DO28" s="3593"/>
      <c r="DP28" s="3593"/>
      <c r="DQ28" s="5732"/>
      <c r="DR28" s="3593"/>
      <c r="DS28" s="3593"/>
      <c r="DT28" s="3593"/>
      <c r="DU28" s="3593"/>
      <c r="DV28" s="5732"/>
      <c r="DW28" s="3593"/>
      <c r="DX28" s="3593"/>
      <c r="DY28" s="3593"/>
      <c r="DZ28" s="3593"/>
      <c r="EA28" s="5732"/>
      <c r="EB28" s="3593"/>
      <c r="EC28" s="3593"/>
      <c r="ED28" s="3593"/>
      <c r="EE28" s="3593"/>
      <c r="EF28" s="5732"/>
      <c r="EG28" s="3593"/>
      <c r="EH28" s="3593"/>
      <c r="EI28" s="3593"/>
      <c r="EJ28" s="3593"/>
      <c r="EK28" s="5732"/>
      <c r="EL28" s="6167"/>
      <c r="EM28" s="6195" t="s">
        <v>1159</v>
      </c>
      <c r="EN28" s="6195" t="s">
        <v>1207</v>
      </c>
      <c r="EO28" s="3593"/>
      <c r="EP28" s="5732"/>
      <c r="EQ28" s="5732"/>
      <c r="ER28" s="5732"/>
      <c r="ES28" s="5732"/>
      <c r="ET28" s="5732"/>
      <c r="EU28" s="5732"/>
    </row>
    <row r="29" spans="1:151" s="84" customFormat="1" ht="11.25" customHeight="1">
      <c r="A29" s="3777" t="s">
        <v>1164</v>
      </c>
      <c r="B29" s="176"/>
      <c r="C29" s="176"/>
      <c r="D29" s="176"/>
      <c r="E29" s="178"/>
      <c r="F29" s="3514"/>
      <c r="G29" s="176"/>
      <c r="H29" s="176"/>
      <c r="I29" s="176"/>
      <c r="J29" s="178"/>
      <c r="K29" s="3514"/>
      <c r="L29" s="176"/>
      <c r="M29" s="176"/>
      <c r="N29" s="176"/>
      <c r="O29" s="178"/>
      <c r="P29" s="3514"/>
      <c r="Q29" s="176"/>
      <c r="R29" s="176"/>
      <c r="S29" s="176"/>
      <c r="T29" s="178"/>
      <c r="U29" s="3514"/>
      <c r="V29" s="3450"/>
      <c r="W29" s="176"/>
      <c r="X29" s="176"/>
      <c r="Y29" s="178"/>
      <c r="Z29" s="3514"/>
      <c r="AA29" s="3450"/>
      <c r="AB29" s="176"/>
      <c r="AC29" s="176"/>
      <c r="AD29" s="178"/>
      <c r="AE29" s="3514"/>
      <c r="AF29" s="3450"/>
      <c r="AG29" s="176"/>
      <c r="AH29" s="176"/>
      <c r="AI29" s="178"/>
      <c r="AJ29" s="3514"/>
      <c r="AK29" s="176"/>
      <c r="AL29" s="176"/>
      <c r="AM29" s="176"/>
      <c r="AN29" s="178"/>
      <c r="AO29" s="3514"/>
      <c r="AP29" s="176"/>
      <c r="AQ29" s="176"/>
      <c r="AR29" s="176"/>
      <c r="AS29" s="178"/>
      <c r="AT29" s="3514"/>
      <c r="AU29" s="176"/>
      <c r="AV29" s="176"/>
      <c r="AW29" s="176"/>
      <c r="AX29" s="178"/>
      <c r="AY29" s="3514"/>
      <c r="AZ29" s="176"/>
      <c r="BA29" s="176"/>
      <c r="BB29" s="176"/>
      <c r="BC29" s="176"/>
      <c r="BD29" s="3515"/>
      <c r="BE29" s="6166"/>
      <c r="BF29" s="176"/>
      <c r="BG29" s="176"/>
      <c r="BH29" s="176"/>
      <c r="BI29" s="3515"/>
      <c r="BJ29" s="176"/>
      <c r="BK29" s="176"/>
      <c r="BL29" s="176"/>
      <c r="BM29" s="176"/>
      <c r="BN29" s="3515"/>
      <c r="BO29" s="176"/>
      <c r="BP29" s="176"/>
      <c r="BQ29" s="176"/>
      <c r="BR29" s="178"/>
      <c r="BS29" s="3514"/>
      <c r="BT29" s="176"/>
      <c r="BU29" s="176"/>
      <c r="BV29" s="176"/>
      <c r="BW29" s="176"/>
      <c r="BX29" s="3515"/>
      <c r="BY29" s="176"/>
      <c r="BZ29" s="176"/>
      <c r="CA29" s="176"/>
      <c r="CB29" s="176"/>
      <c r="CC29" s="3515"/>
      <c r="CD29" s="176"/>
      <c r="CE29" s="176"/>
      <c r="CF29" s="176"/>
      <c r="CG29" s="176"/>
      <c r="CH29" s="3515"/>
      <c r="CI29" s="176"/>
      <c r="CJ29" s="176"/>
      <c r="CK29" s="176"/>
      <c r="CL29" s="176"/>
      <c r="CM29" s="3515"/>
      <c r="CN29" s="176"/>
      <c r="CO29" s="176"/>
      <c r="CP29" s="176"/>
      <c r="CQ29" s="176"/>
      <c r="CR29" s="3515"/>
      <c r="CS29" s="176"/>
      <c r="CT29" s="176"/>
      <c r="CU29" s="176"/>
      <c r="CV29" s="176"/>
      <c r="CW29" s="3515"/>
      <c r="CX29" s="176"/>
      <c r="CY29" s="176"/>
      <c r="CZ29" s="176"/>
      <c r="DA29" s="179"/>
      <c r="DB29" s="3515"/>
      <c r="DC29" s="176"/>
      <c r="DD29" s="176"/>
      <c r="DE29" s="176"/>
      <c r="DF29" s="176"/>
      <c r="DG29" s="5732"/>
      <c r="DH29" s="3593"/>
      <c r="DI29" s="3593"/>
      <c r="DJ29" s="3593"/>
      <c r="DK29" s="3593"/>
      <c r="DL29" s="5732"/>
      <c r="DM29" s="3593"/>
      <c r="DN29" s="3593"/>
      <c r="DO29" s="3593"/>
      <c r="DP29" s="3593"/>
      <c r="DQ29" s="5732"/>
      <c r="DR29" s="3593"/>
      <c r="DS29" s="3593"/>
      <c r="DT29" s="3593"/>
      <c r="DU29" s="3593"/>
      <c r="DV29" s="5732"/>
      <c r="DW29" s="3593"/>
      <c r="DX29" s="3593"/>
      <c r="DY29" s="3593"/>
      <c r="DZ29" s="3593"/>
      <c r="EA29" s="5732"/>
      <c r="EB29" s="3593"/>
      <c r="EC29" s="3593"/>
      <c r="ED29" s="3593"/>
      <c r="EE29" s="3593"/>
      <c r="EF29" s="5732"/>
      <c r="EG29" s="3593"/>
      <c r="EH29" s="3593"/>
      <c r="EI29" s="3593"/>
      <c r="EJ29" s="3593"/>
      <c r="EK29" s="5732"/>
      <c r="EL29" s="6167"/>
      <c r="EM29" s="6195" t="s">
        <v>1165</v>
      </c>
      <c r="EN29" s="3593"/>
      <c r="EO29" s="3593"/>
      <c r="EP29" s="5732"/>
      <c r="EQ29" s="5732"/>
      <c r="ER29" s="5732"/>
      <c r="ES29" s="5732"/>
      <c r="ET29" s="5732"/>
      <c r="EU29" s="5732"/>
    </row>
    <row r="30" spans="1:151" s="84" customFormat="1" ht="11.25" customHeight="1">
      <c r="A30" s="3777" t="s">
        <v>1156</v>
      </c>
      <c r="B30" s="176"/>
      <c r="C30" s="176"/>
      <c r="D30" s="176"/>
      <c r="E30" s="178"/>
      <c r="F30" s="3514"/>
      <c r="G30" s="176"/>
      <c r="H30" s="176"/>
      <c r="I30" s="176"/>
      <c r="J30" s="178"/>
      <c r="K30" s="3514"/>
      <c r="L30" s="176"/>
      <c r="M30" s="176"/>
      <c r="N30" s="176"/>
      <c r="O30" s="178"/>
      <c r="P30" s="3514"/>
      <c r="Q30" s="176"/>
      <c r="R30" s="176"/>
      <c r="S30" s="176"/>
      <c r="T30" s="178"/>
      <c r="U30" s="3514"/>
      <c r="V30" s="3450"/>
      <c r="W30" s="176"/>
      <c r="X30" s="176"/>
      <c r="Y30" s="178"/>
      <c r="Z30" s="3514"/>
      <c r="AA30" s="3450"/>
      <c r="AB30" s="176"/>
      <c r="AC30" s="176"/>
      <c r="AD30" s="178"/>
      <c r="AE30" s="3514"/>
      <c r="AF30" s="3450"/>
      <c r="AG30" s="176"/>
      <c r="AH30" s="176"/>
      <c r="AI30" s="178"/>
      <c r="AJ30" s="3514"/>
      <c r="AK30" s="176"/>
      <c r="AL30" s="176"/>
      <c r="AM30" s="176"/>
      <c r="AN30" s="178"/>
      <c r="AO30" s="3514"/>
      <c r="AP30" s="176"/>
      <c r="AQ30" s="176"/>
      <c r="AR30" s="176"/>
      <c r="AS30" s="178"/>
      <c r="AT30" s="3514"/>
      <c r="AU30" s="176"/>
      <c r="AV30" s="176"/>
      <c r="AW30" s="176"/>
      <c r="AX30" s="178"/>
      <c r="AY30" s="3514"/>
      <c r="AZ30" s="176"/>
      <c r="BA30" s="176"/>
      <c r="BB30" s="176"/>
      <c r="BC30" s="176"/>
      <c r="BD30" s="3515"/>
      <c r="BE30" s="6166"/>
      <c r="BF30" s="176"/>
      <c r="BG30" s="176"/>
      <c r="BH30" s="176"/>
      <c r="BI30" s="3515"/>
      <c r="BJ30" s="176"/>
      <c r="BK30" s="176"/>
      <c r="BL30" s="176"/>
      <c r="BM30" s="176"/>
      <c r="BN30" s="3515"/>
      <c r="BO30" s="176"/>
      <c r="BP30" s="176"/>
      <c r="BQ30" s="176"/>
      <c r="BR30" s="178"/>
      <c r="BS30" s="3514"/>
      <c r="BT30" s="176"/>
      <c r="BU30" s="176"/>
      <c r="BV30" s="176"/>
      <c r="BW30" s="176"/>
      <c r="BX30" s="3515"/>
      <c r="BY30" s="176"/>
      <c r="BZ30" s="176"/>
      <c r="CA30" s="176"/>
      <c r="CB30" s="176"/>
      <c r="CC30" s="3515"/>
      <c r="CD30" s="176"/>
      <c r="CE30" s="176"/>
      <c r="CF30" s="176"/>
      <c r="CG30" s="176"/>
      <c r="CH30" s="3515"/>
      <c r="CI30" s="176"/>
      <c r="CJ30" s="176"/>
      <c r="CK30" s="176"/>
      <c r="CL30" s="176"/>
      <c r="CM30" s="3515"/>
      <c r="CN30" s="176"/>
      <c r="CO30" s="176"/>
      <c r="CP30" s="176"/>
      <c r="CQ30" s="176"/>
      <c r="CR30" s="3515"/>
      <c r="CS30" s="176"/>
      <c r="CT30" s="176"/>
      <c r="CU30" s="176"/>
      <c r="CV30" s="176"/>
      <c r="CW30" s="3515"/>
      <c r="CX30" s="176"/>
      <c r="CY30" s="176"/>
      <c r="CZ30" s="176"/>
      <c r="DA30" s="179"/>
      <c r="DB30" s="3515"/>
      <c r="DC30" s="176"/>
      <c r="DD30" s="176"/>
      <c r="DE30" s="176"/>
      <c r="DF30" s="176"/>
      <c r="DG30" s="5732"/>
      <c r="DH30" s="3593"/>
      <c r="DI30" s="3593"/>
      <c r="DJ30" s="3593"/>
      <c r="DK30" s="3593"/>
      <c r="DL30" s="5732"/>
      <c r="DM30" s="3593"/>
      <c r="DN30" s="3593"/>
      <c r="DO30" s="3593"/>
      <c r="DP30" s="3593"/>
      <c r="DQ30" s="5732"/>
      <c r="DR30" s="3593"/>
      <c r="DS30" s="3593"/>
      <c r="DT30" s="3593"/>
      <c r="DU30" s="3593"/>
      <c r="DV30" s="5732"/>
      <c r="DW30" s="3593"/>
      <c r="DX30" s="3593"/>
      <c r="DY30" s="3593"/>
      <c r="DZ30" s="3593"/>
      <c r="EA30" s="5732"/>
      <c r="EB30" s="3593"/>
      <c r="EC30" s="3593"/>
      <c r="ED30" s="3593"/>
      <c r="EE30" s="3593"/>
      <c r="EF30" s="5732"/>
      <c r="EG30" s="3593"/>
      <c r="EH30" s="3593"/>
      <c r="EI30" s="3593"/>
      <c r="EJ30" s="3593"/>
      <c r="EK30" s="5732"/>
      <c r="EL30" s="6167"/>
      <c r="EM30" s="6195" t="s">
        <v>1157</v>
      </c>
      <c r="EN30" s="3593"/>
      <c r="EO30" s="3593"/>
      <c r="EP30" s="5732"/>
      <c r="EQ30" s="5732"/>
      <c r="ER30" s="5732"/>
      <c r="ES30" s="5732"/>
      <c r="ET30" s="5732"/>
      <c r="EU30" s="5732"/>
    </row>
    <row r="31" spans="1:151" s="84" customFormat="1" ht="11.25" customHeight="1">
      <c r="A31" s="3777" t="s">
        <v>1202</v>
      </c>
      <c r="B31" s="176"/>
      <c r="C31" s="176"/>
      <c r="D31" s="176"/>
      <c r="E31" s="178"/>
      <c r="F31" s="3514"/>
      <c r="G31" s="176"/>
      <c r="H31" s="176"/>
      <c r="I31" s="176"/>
      <c r="J31" s="178"/>
      <c r="K31" s="3514"/>
      <c r="L31" s="176"/>
      <c r="M31" s="176"/>
      <c r="N31" s="176"/>
      <c r="O31" s="178"/>
      <c r="P31" s="3514"/>
      <c r="Q31" s="176"/>
      <c r="R31" s="176"/>
      <c r="S31" s="176"/>
      <c r="T31" s="178"/>
      <c r="U31" s="3514"/>
      <c r="V31" s="3450"/>
      <c r="W31" s="176"/>
      <c r="X31" s="176"/>
      <c r="Y31" s="178"/>
      <c r="Z31" s="3514"/>
      <c r="AA31" s="3450"/>
      <c r="AB31" s="176"/>
      <c r="AC31" s="176"/>
      <c r="AD31" s="178"/>
      <c r="AE31" s="3514"/>
      <c r="AF31" s="3450"/>
      <c r="AG31" s="176"/>
      <c r="AH31" s="176"/>
      <c r="AI31" s="178"/>
      <c r="AJ31" s="3514"/>
      <c r="AK31" s="176"/>
      <c r="AL31" s="176"/>
      <c r="AM31" s="176"/>
      <c r="AN31" s="178"/>
      <c r="AO31" s="3514"/>
      <c r="AP31" s="176"/>
      <c r="AQ31" s="176"/>
      <c r="AR31" s="176"/>
      <c r="AS31" s="178"/>
      <c r="AT31" s="3514"/>
      <c r="AU31" s="176"/>
      <c r="AV31" s="176"/>
      <c r="AW31" s="176"/>
      <c r="AX31" s="178"/>
      <c r="AY31" s="3514"/>
      <c r="AZ31" s="176"/>
      <c r="BA31" s="176"/>
      <c r="BB31" s="176"/>
      <c r="BC31" s="176"/>
      <c r="BD31" s="3515"/>
      <c r="BE31" s="6166"/>
      <c r="BF31" s="176"/>
      <c r="BG31" s="176"/>
      <c r="BH31" s="176"/>
      <c r="BI31" s="3515"/>
      <c r="BJ31" s="176"/>
      <c r="BK31" s="176"/>
      <c r="BL31" s="176"/>
      <c r="BM31" s="176"/>
      <c r="BN31" s="3515"/>
      <c r="BO31" s="176"/>
      <c r="BP31" s="176"/>
      <c r="BQ31" s="176"/>
      <c r="BR31" s="178"/>
      <c r="BS31" s="3514"/>
      <c r="BT31" s="176"/>
      <c r="BU31" s="176"/>
      <c r="BV31" s="176"/>
      <c r="BW31" s="176"/>
      <c r="BX31" s="3515"/>
      <c r="BY31" s="176"/>
      <c r="BZ31" s="176"/>
      <c r="CA31" s="176"/>
      <c r="CB31" s="176"/>
      <c r="CC31" s="3515"/>
      <c r="CD31" s="176"/>
      <c r="CE31" s="176"/>
      <c r="CF31" s="176"/>
      <c r="CG31" s="176"/>
      <c r="CH31" s="3515"/>
      <c r="CI31" s="176"/>
      <c r="CJ31" s="176"/>
      <c r="CK31" s="176"/>
      <c r="CL31" s="176"/>
      <c r="CM31" s="3515"/>
      <c r="CN31" s="176"/>
      <c r="CO31" s="176"/>
      <c r="CP31" s="176"/>
      <c r="CQ31" s="176"/>
      <c r="CR31" s="3515"/>
      <c r="CS31" s="176"/>
      <c r="CT31" s="176"/>
      <c r="CU31" s="176"/>
      <c r="CV31" s="176"/>
      <c r="CW31" s="3515"/>
      <c r="CX31" s="176"/>
      <c r="CY31" s="176"/>
      <c r="CZ31" s="176"/>
      <c r="DA31" s="179"/>
      <c r="DB31" s="3515"/>
      <c r="DC31" s="176"/>
      <c r="DD31" s="176"/>
      <c r="DE31" s="176"/>
      <c r="DF31" s="176"/>
      <c r="DG31" s="5732"/>
      <c r="DH31" s="3593"/>
      <c r="DI31" s="3593"/>
      <c r="DJ31" s="3593"/>
      <c r="DK31" s="3593"/>
      <c r="DL31" s="5732"/>
      <c r="DM31" s="3593"/>
      <c r="DN31" s="3593"/>
      <c r="DO31" s="3593"/>
      <c r="DP31" s="3593"/>
      <c r="DQ31" s="5732"/>
      <c r="DR31" s="3593"/>
      <c r="DS31" s="3593"/>
      <c r="DT31" s="3593"/>
      <c r="DU31" s="3593"/>
      <c r="DV31" s="5732"/>
      <c r="DW31" s="3593"/>
      <c r="DX31" s="3593"/>
      <c r="DY31" s="3593"/>
      <c r="DZ31" s="3593"/>
      <c r="EA31" s="5732"/>
      <c r="EB31" s="3593"/>
      <c r="EC31" s="3593"/>
      <c r="ED31" s="3593"/>
      <c r="EE31" s="3593"/>
      <c r="EF31" s="5732"/>
      <c r="EG31" s="3593"/>
      <c r="EH31" s="3593"/>
      <c r="EI31" s="3593"/>
      <c r="EJ31" s="3593"/>
      <c r="EK31" s="5732"/>
      <c r="EL31" s="6167"/>
      <c r="EM31" s="6195"/>
      <c r="EN31" s="6195" t="s">
        <v>1203</v>
      </c>
      <c r="EO31" s="3593"/>
      <c r="EP31" s="5732"/>
      <c r="EQ31" s="5732"/>
      <c r="ER31" s="5732"/>
      <c r="ES31" s="5732"/>
      <c r="ET31" s="5732"/>
      <c r="EU31" s="5732"/>
    </row>
    <row r="32" spans="1:151" s="84" customFormat="1" ht="11.25" customHeight="1">
      <c r="A32" s="3777" t="s">
        <v>1162</v>
      </c>
      <c r="B32" s="176"/>
      <c r="C32" s="176"/>
      <c r="D32" s="176"/>
      <c r="E32" s="178"/>
      <c r="F32" s="3514"/>
      <c r="G32" s="176"/>
      <c r="H32" s="176"/>
      <c r="I32" s="176"/>
      <c r="J32" s="178"/>
      <c r="K32" s="3514"/>
      <c r="L32" s="176"/>
      <c r="M32" s="176"/>
      <c r="N32" s="176"/>
      <c r="O32" s="178"/>
      <c r="P32" s="3514"/>
      <c r="Q32" s="176"/>
      <c r="R32" s="176"/>
      <c r="S32" s="176"/>
      <c r="T32" s="178"/>
      <c r="U32" s="3514"/>
      <c r="V32" s="3450"/>
      <c r="W32" s="176"/>
      <c r="X32" s="176"/>
      <c r="Y32" s="178"/>
      <c r="Z32" s="3514"/>
      <c r="AA32" s="3450"/>
      <c r="AB32" s="176"/>
      <c r="AC32" s="176"/>
      <c r="AD32" s="178"/>
      <c r="AE32" s="3514"/>
      <c r="AF32" s="3450"/>
      <c r="AG32" s="176"/>
      <c r="AH32" s="176"/>
      <c r="AI32" s="178"/>
      <c r="AJ32" s="3514"/>
      <c r="AK32" s="176"/>
      <c r="AL32" s="176"/>
      <c r="AM32" s="176"/>
      <c r="AN32" s="178"/>
      <c r="AO32" s="3514"/>
      <c r="AP32" s="176"/>
      <c r="AQ32" s="176"/>
      <c r="AR32" s="176"/>
      <c r="AS32" s="178"/>
      <c r="AT32" s="3514"/>
      <c r="AU32" s="176"/>
      <c r="AV32" s="176"/>
      <c r="AW32" s="176"/>
      <c r="AX32" s="178"/>
      <c r="AY32" s="3514"/>
      <c r="AZ32" s="176"/>
      <c r="BA32" s="176"/>
      <c r="BB32" s="176"/>
      <c r="BC32" s="176"/>
      <c r="BD32" s="3515"/>
      <c r="BE32" s="6166"/>
      <c r="BF32" s="176"/>
      <c r="BG32" s="176"/>
      <c r="BH32" s="176"/>
      <c r="BI32" s="3515"/>
      <c r="BJ32" s="176"/>
      <c r="BK32" s="176"/>
      <c r="BL32" s="176"/>
      <c r="BM32" s="176"/>
      <c r="BN32" s="3515"/>
      <c r="BO32" s="176"/>
      <c r="BP32" s="176"/>
      <c r="BQ32" s="176"/>
      <c r="BR32" s="178"/>
      <c r="BS32" s="3514"/>
      <c r="BT32" s="176"/>
      <c r="BU32" s="176"/>
      <c r="BV32" s="176"/>
      <c r="BW32" s="176"/>
      <c r="BX32" s="3515"/>
      <c r="BY32" s="176"/>
      <c r="BZ32" s="176"/>
      <c r="CA32" s="176"/>
      <c r="CB32" s="176"/>
      <c r="CC32" s="3515"/>
      <c r="CD32" s="176"/>
      <c r="CE32" s="176"/>
      <c r="CF32" s="176"/>
      <c r="CG32" s="176"/>
      <c r="CH32" s="3515"/>
      <c r="CI32" s="176"/>
      <c r="CJ32" s="176"/>
      <c r="CK32" s="176"/>
      <c r="CL32" s="176"/>
      <c r="CM32" s="3515"/>
      <c r="CN32" s="176"/>
      <c r="CO32" s="176"/>
      <c r="CP32" s="176"/>
      <c r="CQ32" s="176"/>
      <c r="CR32" s="3515"/>
      <c r="CS32" s="176"/>
      <c r="CT32" s="176"/>
      <c r="CU32" s="176"/>
      <c r="CV32" s="176"/>
      <c r="CW32" s="3515"/>
      <c r="CX32" s="176"/>
      <c r="CY32" s="176"/>
      <c r="CZ32" s="176"/>
      <c r="DA32" s="179"/>
      <c r="DB32" s="3515"/>
      <c r="DC32" s="176"/>
      <c r="DD32" s="176"/>
      <c r="DE32" s="176"/>
      <c r="DF32" s="176"/>
      <c r="DG32" s="5732"/>
      <c r="DH32" s="3593"/>
      <c r="DI32" s="3593"/>
      <c r="DJ32" s="3593"/>
      <c r="DK32" s="3593"/>
      <c r="DL32" s="5732"/>
      <c r="DM32" s="3593"/>
      <c r="DN32" s="3593"/>
      <c r="DO32" s="3593"/>
      <c r="DP32" s="3593"/>
      <c r="DQ32" s="5732"/>
      <c r="DR32" s="3593"/>
      <c r="DS32" s="3593"/>
      <c r="DT32" s="3593"/>
      <c r="DU32" s="3593"/>
      <c r="DV32" s="5732"/>
      <c r="DW32" s="3593"/>
      <c r="DX32" s="3593"/>
      <c r="DY32" s="3593"/>
      <c r="DZ32" s="3593"/>
      <c r="EA32" s="5732"/>
      <c r="EB32" s="3593"/>
      <c r="EC32" s="3593"/>
      <c r="ED32" s="3593"/>
      <c r="EE32" s="3593"/>
      <c r="EF32" s="5732"/>
      <c r="EG32" s="3593"/>
      <c r="EH32" s="4812" t="s">
        <v>1171</v>
      </c>
      <c r="EI32" s="3593"/>
      <c r="EJ32" s="3593"/>
      <c r="EK32" s="5732"/>
      <c r="EL32" s="6167"/>
      <c r="EM32" s="4812" t="s">
        <v>1172</v>
      </c>
      <c r="EN32" s="4812" t="s">
        <v>1163</v>
      </c>
      <c r="EO32" s="4812" t="s">
        <v>1208</v>
      </c>
      <c r="EP32" s="5732"/>
      <c r="EQ32" s="5732"/>
      <c r="ER32" s="5732"/>
      <c r="ES32" s="5732"/>
      <c r="ET32" s="5732"/>
      <c r="EU32" s="5732"/>
    </row>
    <row r="33" spans="1:151" s="84" customFormat="1" ht="11.25" customHeight="1">
      <c r="A33" s="3777"/>
      <c r="B33" s="176"/>
      <c r="C33" s="176"/>
      <c r="D33" s="176"/>
      <c r="E33" s="178"/>
      <c r="F33" s="3514"/>
      <c r="G33" s="176"/>
      <c r="H33" s="176"/>
      <c r="I33" s="176"/>
      <c r="J33" s="178"/>
      <c r="K33" s="3514"/>
      <c r="L33" s="176"/>
      <c r="M33" s="176"/>
      <c r="N33" s="176"/>
      <c r="O33" s="178"/>
      <c r="P33" s="3514"/>
      <c r="Q33" s="176"/>
      <c r="R33" s="176"/>
      <c r="S33" s="176"/>
      <c r="T33" s="178"/>
      <c r="U33" s="3514"/>
      <c r="V33" s="3450"/>
      <c r="W33" s="176"/>
      <c r="X33" s="176"/>
      <c r="Y33" s="178"/>
      <c r="Z33" s="3514"/>
      <c r="AA33" s="3450"/>
      <c r="AB33" s="176"/>
      <c r="AC33" s="176"/>
      <c r="AD33" s="178"/>
      <c r="AE33" s="3514"/>
      <c r="AF33" s="3450"/>
      <c r="AG33" s="176"/>
      <c r="AH33" s="176"/>
      <c r="AI33" s="178"/>
      <c r="AJ33" s="3514"/>
      <c r="AK33" s="176"/>
      <c r="AL33" s="176"/>
      <c r="AM33" s="176"/>
      <c r="AN33" s="178"/>
      <c r="AO33" s="3514"/>
      <c r="AP33" s="176"/>
      <c r="AQ33" s="176"/>
      <c r="AR33" s="176"/>
      <c r="AS33" s="178"/>
      <c r="AT33" s="3514"/>
      <c r="AU33" s="176"/>
      <c r="AV33" s="176"/>
      <c r="AW33" s="176"/>
      <c r="AX33" s="178"/>
      <c r="AY33" s="3514"/>
      <c r="AZ33" s="176"/>
      <c r="BA33" s="176"/>
      <c r="BB33" s="176"/>
      <c r="BC33" s="176"/>
      <c r="BD33" s="3515"/>
      <c r="BE33" s="6166"/>
      <c r="BF33" s="176"/>
      <c r="BG33" s="176"/>
      <c r="BH33" s="176"/>
      <c r="BI33" s="3515"/>
      <c r="BJ33" s="176"/>
      <c r="BK33" s="176"/>
      <c r="BL33" s="176"/>
      <c r="BM33" s="176"/>
      <c r="BN33" s="3515"/>
      <c r="BO33" s="176"/>
      <c r="BP33" s="176"/>
      <c r="BQ33" s="176"/>
      <c r="BR33" s="178"/>
      <c r="BS33" s="3514"/>
      <c r="BT33" s="176"/>
      <c r="BU33" s="176"/>
      <c r="BV33" s="176"/>
      <c r="BW33" s="176"/>
      <c r="BX33" s="3515"/>
      <c r="BY33" s="176"/>
      <c r="BZ33" s="176"/>
      <c r="CA33" s="176"/>
      <c r="CB33" s="176"/>
      <c r="CC33" s="3515"/>
      <c r="CD33" s="176"/>
      <c r="CE33" s="176"/>
      <c r="CF33" s="176"/>
      <c r="CG33" s="176"/>
      <c r="CH33" s="3515"/>
      <c r="CI33" s="176"/>
      <c r="CJ33" s="176"/>
      <c r="CK33" s="176"/>
      <c r="CL33" s="176"/>
      <c r="CM33" s="3515"/>
      <c r="CN33" s="176"/>
      <c r="CO33" s="176"/>
      <c r="CP33" s="176"/>
      <c r="CQ33" s="176"/>
      <c r="CR33" s="3515"/>
      <c r="CS33" s="176"/>
      <c r="CT33" s="176"/>
      <c r="CU33" s="176"/>
      <c r="CV33" s="176"/>
      <c r="CW33" s="3515"/>
      <c r="CX33" s="176"/>
      <c r="CY33" s="176"/>
      <c r="CZ33" s="176"/>
      <c r="DA33" s="179"/>
      <c r="DB33" s="3515"/>
      <c r="DC33" s="176"/>
      <c r="DD33" s="176"/>
      <c r="DE33" s="176"/>
      <c r="DF33" s="176"/>
      <c r="DG33" s="5732"/>
      <c r="DH33" s="3593"/>
      <c r="DI33" s="3593"/>
      <c r="DJ33" s="3593"/>
      <c r="DK33" s="3593"/>
      <c r="DL33" s="5732"/>
      <c r="DM33" s="3593"/>
      <c r="DN33" s="3593"/>
      <c r="DO33" s="3593"/>
      <c r="DP33" s="3593"/>
      <c r="DQ33" s="5732"/>
      <c r="DR33" s="3593"/>
      <c r="DS33" s="3593"/>
      <c r="DT33" s="3593"/>
      <c r="DU33" s="3593"/>
      <c r="DV33" s="5732"/>
      <c r="DW33" s="3593"/>
      <c r="DX33" s="3593"/>
      <c r="DY33" s="3593"/>
      <c r="DZ33" s="3593"/>
      <c r="EA33" s="5732"/>
      <c r="EB33" s="3593"/>
      <c r="EC33" s="3593"/>
      <c r="ED33" s="3593"/>
      <c r="EE33" s="3593"/>
      <c r="EF33" s="5732"/>
      <c r="EG33" s="3593"/>
      <c r="EH33" s="3593"/>
      <c r="EI33" s="3593"/>
      <c r="EJ33" s="3593"/>
      <c r="EK33" s="5732"/>
      <c r="EL33" s="6167"/>
      <c r="EM33" s="3593"/>
      <c r="EN33" s="3593"/>
      <c r="EO33" s="3593"/>
      <c r="EP33" s="5732"/>
      <c r="EQ33" s="5732"/>
      <c r="ER33" s="5732"/>
      <c r="ES33" s="5732"/>
      <c r="ET33" s="5732"/>
      <c r="EU33" s="5732"/>
    </row>
    <row r="34" spans="1:151" s="84" customFormat="1" ht="11.25" hidden="1" customHeight="1" outlineLevel="1">
      <c r="A34" s="6165"/>
      <c r="B34" s="176"/>
      <c r="C34" s="176"/>
      <c r="D34" s="176"/>
      <c r="E34" s="178"/>
      <c r="F34" s="3514"/>
      <c r="G34" s="176"/>
      <c r="H34" s="176"/>
      <c r="I34" s="176"/>
      <c r="J34" s="178"/>
      <c r="K34" s="3514"/>
      <c r="L34" s="176"/>
      <c r="M34" s="176"/>
      <c r="N34" s="176"/>
      <c r="O34" s="178"/>
      <c r="P34" s="3514"/>
      <c r="Q34" s="176"/>
      <c r="R34" s="176"/>
      <c r="S34" s="176"/>
      <c r="T34" s="178"/>
      <c r="U34" s="3514"/>
      <c r="V34" s="3450"/>
      <c r="W34" s="176"/>
      <c r="X34" s="176"/>
      <c r="Y34" s="178"/>
      <c r="Z34" s="3514"/>
      <c r="AA34" s="3450"/>
      <c r="AB34" s="176"/>
      <c r="AC34" s="176"/>
      <c r="AD34" s="178"/>
      <c r="AE34" s="3514"/>
      <c r="AF34" s="3450"/>
      <c r="AG34" s="176"/>
      <c r="AH34" s="176"/>
      <c r="AI34" s="178"/>
      <c r="AJ34" s="3514"/>
      <c r="AK34" s="176"/>
      <c r="AL34" s="176"/>
      <c r="AM34" s="176"/>
      <c r="AN34" s="178"/>
      <c r="AO34" s="3514"/>
      <c r="AP34" s="176"/>
      <c r="AQ34" s="176"/>
      <c r="AR34" s="176"/>
      <c r="AS34" s="178"/>
      <c r="AT34" s="3514"/>
      <c r="AU34" s="176"/>
      <c r="AV34" s="176"/>
      <c r="AW34" s="176"/>
      <c r="AX34" s="178"/>
      <c r="AY34" s="3514"/>
      <c r="AZ34" s="176"/>
      <c r="BA34" s="176"/>
      <c r="BB34" s="176"/>
      <c r="BC34" s="176"/>
      <c r="BD34" s="3515"/>
      <c r="BE34" s="6166"/>
      <c r="BF34" s="176"/>
      <c r="BG34" s="176"/>
      <c r="BH34" s="176"/>
      <c r="BI34" s="3515"/>
      <c r="BJ34" s="176"/>
      <c r="BK34" s="176"/>
      <c r="BL34" s="176"/>
      <c r="BM34" s="176"/>
      <c r="BN34" s="3515"/>
      <c r="BO34" s="176"/>
      <c r="BP34" s="176"/>
      <c r="BQ34" s="176"/>
      <c r="BR34" s="178"/>
      <c r="BS34" s="3514"/>
      <c r="BT34" s="176"/>
      <c r="BU34" s="176"/>
      <c r="BV34" s="176"/>
      <c r="BW34" s="176"/>
      <c r="BX34" s="3515"/>
      <c r="BY34" s="176"/>
      <c r="BZ34" s="176"/>
      <c r="CA34" s="176"/>
      <c r="CB34" s="176"/>
      <c r="CC34" s="3515"/>
      <c r="CD34" s="176"/>
      <c r="CE34" s="176"/>
      <c r="CF34" s="176"/>
      <c r="CG34" s="176"/>
      <c r="CH34" s="3515"/>
      <c r="CI34" s="176"/>
      <c r="CJ34" s="176"/>
      <c r="CK34" s="176"/>
      <c r="CL34" s="176"/>
      <c r="CM34" s="3515"/>
      <c r="CN34" s="176"/>
      <c r="CO34" s="176"/>
      <c r="CP34" s="176"/>
      <c r="CQ34" s="176"/>
      <c r="CR34" s="3515"/>
      <c r="CS34" s="176"/>
      <c r="CT34" s="176"/>
      <c r="CU34" s="176"/>
      <c r="CV34" s="176"/>
      <c r="CW34" s="3515"/>
      <c r="CX34" s="176"/>
      <c r="CY34" s="176"/>
      <c r="CZ34" s="176"/>
      <c r="DA34" s="179"/>
      <c r="DB34" s="3515"/>
      <c r="DC34" s="176"/>
      <c r="DD34" s="176"/>
      <c r="DE34" s="176"/>
      <c r="DF34" s="176"/>
      <c r="DG34" s="5732"/>
      <c r="DH34" s="3593"/>
      <c r="DI34" s="3593"/>
      <c r="DJ34" s="3593"/>
      <c r="DK34" s="3593"/>
      <c r="DL34" s="5732"/>
      <c r="DM34" s="3593"/>
      <c r="DN34" s="3593"/>
      <c r="DO34" s="3593"/>
      <c r="DP34" s="3593"/>
      <c r="DQ34" s="5732"/>
      <c r="DR34" s="3593"/>
      <c r="DS34" s="3593"/>
      <c r="DT34" s="3593"/>
      <c r="DU34" s="3593"/>
      <c r="DV34" s="5732"/>
      <c r="DW34" s="3593"/>
      <c r="DX34" s="3593"/>
      <c r="DY34" s="3593"/>
      <c r="DZ34" s="3593"/>
      <c r="EA34" s="5732"/>
      <c r="EB34" s="3593"/>
      <c r="EC34" s="3593"/>
      <c r="ED34" s="3593"/>
      <c r="EE34" s="3593"/>
      <c r="EF34" s="5732"/>
      <c r="EG34" s="3593"/>
      <c r="EH34" s="3593"/>
      <c r="EI34" s="3593"/>
      <c r="EJ34" s="3593"/>
      <c r="EK34" s="5732"/>
      <c r="EL34" s="4812"/>
      <c r="EM34" s="3593"/>
      <c r="EN34" s="3593"/>
      <c r="EO34" s="3593"/>
      <c r="EP34" s="5732"/>
      <c r="EQ34" s="5732"/>
      <c r="ER34" s="5732"/>
      <c r="ES34" s="5732"/>
      <c r="ET34" s="5732"/>
      <c r="EU34" s="5732"/>
    </row>
    <row r="35" spans="1:151" s="84" customFormat="1" ht="11.25" customHeight="1" collapsed="1">
      <c r="A35" s="5950" t="s">
        <v>1089</v>
      </c>
      <c r="B35" s="1138"/>
      <c r="C35" s="1138"/>
      <c r="D35" s="1138"/>
      <c r="E35" s="4300"/>
      <c r="F35" s="5946"/>
      <c r="G35" s="1138"/>
      <c r="H35" s="1138"/>
      <c r="I35" s="1138"/>
      <c r="J35" s="4300"/>
      <c r="K35" s="5946"/>
      <c r="L35" s="1138"/>
      <c r="M35" s="1138"/>
      <c r="N35" s="1138"/>
      <c r="O35" s="4300"/>
      <c r="P35" s="5946"/>
      <c r="Q35" s="1138"/>
      <c r="R35" s="1138"/>
      <c r="S35" s="1138"/>
      <c r="T35" s="4300"/>
      <c r="U35" s="5946"/>
      <c r="V35" s="4021"/>
      <c r="W35" s="1138"/>
      <c r="X35" s="1138"/>
      <c r="Y35" s="4300"/>
      <c r="Z35" s="5946"/>
      <c r="AA35" s="4021"/>
      <c r="AB35" s="1138"/>
      <c r="AC35" s="1138"/>
      <c r="AD35" s="4300"/>
      <c r="AE35" s="5946"/>
      <c r="AF35" s="4021"/>
      <c r="AG35" s="1138"/>
      <c r="AH35" s="1138"/>
      <c r="AI35" s="4300"/>
      <c r="AJ35" s="5946"/>
      <c r="AK35" s="1138"/>
      <c r="AL35" s="1138"/>
      <c r="AM35" s="1138"/>
      <c r="AN35" s="4300"/>
      <c r="AO35" s="5946"/>
      <c r="AP35" s="1138"/>
      <c r="AQ35" s="1138"/>
      <c r="AR35" s="1138"/>
      <c r="AS35" s="4300"/>
      <c r="AT35" s="5946"/>
      <c r="AU35" s="1138"/>
      <c r="AV35" s="1138"/>
      <c r="AW35" s="1138"/>
      <c r="AX35" s="4300"/>
      <c r="AY35" s="5946"/>
      <c r="AZ35" s="1138"/>
      <c r="BA35" s="1138"/>
      <c r="BB35" s="1138"/>
      <c r="BC35" s="1138"/>
      <c r="BD35" s="5947"/>
      <c r="BE35" s="5948"/>
      <c r="BF35" s="1138"/>
      <c r="BG35" s="1138"/>
      <c r="BH35" s="1138"/>
      <c r="BI35" s="5947"/>
      <c r="BJ35" s="1138"/>
      <c r="BK35" s="1138"/>
      <c r="BL35" s="1138"/>
      <c r="BM35" s="1138"/>
      <c r="BN35" s="5947"/>
      <c r="BO35" s="1138"/>
      <c r="BP35" s="1138"/>
      <c r="BQ35" s="1138"/>
      <c r="BR35" s="4300"/>
      <c r="BS35" s="5946"/>
      <c r="BT35" s="1138"/>
      <c r="BU35" s="1138"/>
      <c r="BV35" s="1138"/>
      <c r="BW35" s="1138"/>
      <c r="BX35" s="5947"/>
      <c r="BY35" s="1138"/>
      <c r="BZ35" s="1138"/>
      <c r="CA35" s="1138"/>
      <c r="CB35" s="1138"/>
      <c r="CC35" s="5947"/>
      <c r="CD35" s="1138"/>
      <c r="CE35" s="1138"/>
      <c r="CF35" s="1138"/>
      <c r="CG35" s="1138"/>
      <c r="CH35" s="5947"/>
      <c r="CI35" s="1138"/>
      <c r="CJ35" s="1138"/>
      <c r="CK35" s="1138"/>
      <c r="CL35" s="1138"/>
      <c r="CM35" s="5947"/>
      <c r="CN35" s="1138"/>
      <c r="CO35" s="1138"/>
      <c r="CP35" s="1138"/>
      <c r="CQ35" s="1138"/>
      <c r="CR35" s="5947"/>
      <c r="CS35" s="1138"/>
      <c r="CT35" s="1138"/>
      <c r="CU35" s="1138"/>
      <c r="CV35" s="1138"/>
      <c r="CW35" s="5947"/>
      <c r="CX35" s="1138"/>
      <c r="CY35" s="1138"/>
      <c r="CZ35" s="1138"/>
      <c r="DA35" s="5949"/>
      <c r="DB35" s="5947"/>
      <c r="DC35" s="1138"/>
      <c r="DD35" s="1138"/>
      <c r="DE35" s="1138"/>
      <c r="DF35" s="1138"/>
      <c r="DG35" s="5705"/>
      <c r="DH35" s="3453"/>
      <c r="DI35" s="3453"/>
      <c r="DJ35" s="3453"/>
      <c r="DK35" s="3453"/>
      <c r="DL35" s="5705"/>
      <c r="DM35" s="3453"/>
      <c r="DN35" s="3453"/>
      <c r="DO35" s="3453"/>
      <c r="DP35" s="3453"/>
      <c r="DQ35" s="5705"/>
      <c r="DR35" s="3453"/>
      <c r="DS35" s="3453"/>
      <c r="DT35" s="3453"/>
      <c r="DU35" s="3453"/>
      <c r="DV35" s="5705"/>
      <c r="DW35" s="3453"/>
      <c r="DX35" s="3453"/>
      <c r="DY35" s="3453"/>
      <c r="DZ35" s="3453"/>
      <c r="EA35" s="5705"/>
      <c r="EB35" s="3453"/>
      <c r="EC35" s="3453"/>
      <c r="ED35" s="3453"/>
      <c r="EE35" s="3453"/>
      <c r="EF35" s="5705"/>
      <c r="EG35" s="3453"/>
      <c r="EH35" s="3453"/>
      <c r="EI35" s="3453"/>
      <c r="EJ35" s="3453"/>
      <c r="EK35" s="5705"/>
      <c r="EL35" s="5879"/>
      <c r="EM35" s="3453"/>
      <c r="EN35" s="3453"/>
      <c r="EO35" s="3453"/>
      <c r="EP35" s="5705"/>
      <c r="EQ35" s="5705"/>
      <c r="ER35" s="5705"/>
      <c r="ES35" s="5705"/>
      <c r="ET35" s="5705"/>
      <c r="EU35" s="5705"/>
    </row>
    <row r="36" spans="1:151" s="84" customFormat="1" ht="11.25" customHeight="1">
      <c r="A36" s="3777" t="s">
        <v>1166</v>
      </c>
      <c r="B36" s="176"/>
      <c r="C36" s="176"/>
      <c r="D36" s="176"/>
      <c r="E36" s="178"/>
      <c r="F36" s="3514"/>
      <c r="G36" s="176"/>
      <c r="H36" s="176"/>
      <c r="I36" s="176"/>
      <c r="J36" s="178"/>
      <c r="K36" s="3514"/>
      <c r="L36" s="176"/>
      <c r="M36" s="176"/>
      <c r="N36" s="176"/>
      <c r="O36" s="178"/>
      <c r="P36" s="3514"/>
      <c r="Q36" s="176"/>
      <c r="R36" s="176"/>
      <c r="S36" s="176"/>
      <c r="T36" s="178"/>
      <c r="U36" s="3514"/>
      <c r="V36" s="3450"/>
      <c r="W36" s="176"/>
      <c r="X36" s="176"/>
      <c r="Y36" s="178"/>
      <c r="Z36" s="3514"/>
      <c r="AA36" s="3450"/>
      <c r="AB36" s="176"/>
      <c r="AC36" s="176"/>
      <c r="AD36" s="178"/>
      <c r="AE36" s="3514"/>
      <c r="AF36" s="3450"/>
      <c r="AG36" s="176"/>
      <c r="AH36" s="176"/>
      <c r="AI36" s="178"/>
      <c r="AJ36" s="3514"/>
      <c r="AK36" s="176"/>
      <c r="AL36" s="176"/>
      <c r="AM36" s="176"/>
      <c r="AN36" s="178"/>
      <c r="AO36" s="3514"/>
      <c r="AP36" s="176"/>
      <c r="AQ36" s="176"/>
      <c r="AR36" s="176"/>
      <c r="AS36" s="178"/>
      <c r="AT36" s="3514"/>
      <c r="AU36" s="176"/>
      <c r="AV36" s="176"/>
      <c r="AW36" s="176"/>
      <c r="AX36" s="178"/>
      <c r="AY36" s="3514"/>
      <c r="AZ36" s="176"/>
      <c r="BA36" s="176"/>
      <c r="BB36" s="176"/>
      <c r="BC36" s="176"/>
      <c r="BD36" s="3515"/>
      <c r="BE36" s="5834"/>
      <c r="BF36" s="176"/>
      <c r="BG36" s="176"/>
      <c r="BH36" s="176"/>
      <c r="BI36" s="3515"/>
      <c r="BJ36" s="176"/>
      <c r="BK36" s="176"/>
      <c r="BL36" s="176"/>
      <c r="BM36" s="176"/>
      <c r="BN36" s="3515"/>
      <c r="BO36" s="176"/>
      <c r="BP36" s="176"/>
      <c r="BQ36" s="176"/>
      <c r="BR36" s="178"/>
      <c r="BS36" s="3514"/>
      <c r="BT36" s="176"/>
      <c r="BU36" s="176"/>
      <c r="BV36" s="176"/>
      <c r="BW36" s="176"/>
      <c r="BX36" s="3515"/>
      <c r="BY36" s="176"/>
      <c r="BZ36" s="176"/>
      <c r="CA36" s="176"/>
      <c r="CB36" s="176"/>
      <c r="CC36" s="3515"/>
      <c r="CD36" s="176"/>
      <c r="CE36" s="176"/>
      <c r="CF36" s="176"/>
      <c r="CG36" s="176"/>
      <c r="CH36" s="3515"/>
      <c r="CI36" s="176"/>
      <c r="CJ36" s="176"/>
      <c r="CK36" s="176"/>
      <c r="CL36" s="176"/>
      <c r="CM36" s="3515"/>
      <c r="CN36" s="176"/>
      <c r="CO36" s="176"/>
      <c r="CP36" s="176"/>
      <c r="CQ36" s="176"/>
      <c r="CR36" s="3515"/>
      <c r="CS36" s="176"/>
      <c r="CT36" s="176"/>
      <c r="CU36" s="176"/>
      <c r="CV36" s="176"/>
      <c r="CW36" s="3515"/>
      <c r="CX36" s="176"/>
      <c r="CY36" s="176"/>
      <c r="CZ36" s="176"/>
      <c r="DA36" s="179"/>
      <c r="DB36" s="3515"/>
      <c r="DC36" s="176"/>
      <c r="DD36" s="176"/>
      <c r="DE36" s="176"/>
      <c r="DF36" s="176"/>
      <c r="DG36" s="5732"/>
      <c r="DH36" s="3593"/>
      <c r="DI36" s="3593"/>
      <c r="DJ36" s="3593"/>
      <c r="DK36" s="3593"/>
      <c r="DL36" s="5732"/>
      <c r="DM36" s="3593"/>
      <c r="DN36" s="3593"/>
      <c r="DO36" s="3593"/>
      <c r="DP36" s="3593"/>
      <c r="DQ36" s="5732"/>
      <c r="DR36" s="3593"/>
      <c r="DS36" s="3593"/>
      <c r="DT36" s="3593"/>
      <c r="DU36" s="3593"/>
      <c r="DV36" s="5732"/>
      <c r="DW36" s="3593"/>
      <c r="DX36" s="3593"/>
      <c r="DY36" s="3593"/>
      <c r="DZ36" s="3593"/>
      <c r="EA36" s="5732"/>
      <c r="EB36" s="3593"/>
      <c r="EC36" s="3593"/>
      <c r="ED36" s="3593"/>
      <c r="EE36" s="3593"/>
      <c r="EF36" s="5732"/>
      <c r="EG36" s="3593"/>
      <c r="EH36" s="3593"/>
      <c r="EI36" s="3593"/>
      <c r="EJ36" s="3593"/>
      <c r="EK36" s="5732"/>
      <c r="EL36" s="4812"/>
      <c r="EM36" s="4812" t="s">
        <v>1007</v>
      </c>
      <c r="EN36" s="4812" t="s">
        <v>1007</v>
      </c>
      <c r="EO36" s="3593"/>
      <c r="EP36" s="5732"/>
      <c r="EQ36" s="5732"/>
      <c r="ER36" s="5732"/>
      <c r="ES36" s="5732"/>
      <c r="ET36" s="5732"/>
      <c r="EU36" s="5732"/>
    </row>
    <row r="37" spans="1:151" s="84" customFormat="1" ht="11.25" customHeight="1">
      <c r="A37" s="3777" t="s">
        <v>1167</v>
      </c>
      <c r="B37" s="176"/>
      <c r="C37" s="176"/>
      <c r="D37" s="176"/>
      <c r="E37" s="178"/>
      <c r="F37" s="3514"/>
      <c r="G37" s="176"/>
      <c r="H37" s="176"/>
      <c r="I37" s="176"/>
      <c r="J37" s="178"/>
      <c r="K37" s="3514"/>
      <c r="L37" s="176"/>
      <c r="M37" s="176"/>
      <c r="N37" s="176"/>
      <c r="O37" s="178"/>
      <c r="P37" s="3514"/>
      <c r="Q37" s="176"/>
      <c r="R37" s="176"/>
      <c r="S37" s="176"/>
      <c r="T37" s="178"/>
      <c r="U37" s="3514"/>
      <c r="V37" s="3450"/>
      <c r="W37" s="176"/>
      <c r="X37" s="176"/>
      <c r="Y37" s="178"/>
      <c r="Z37" s="3514"/>
      <c r="AA37" s="3450"/>
      <c r="AB37" s="176"/>
      <c r="AC37" s="176"/>
      <c r="AD37" s="178"/>
      <c r="AE37" s="3514"/>
      <c r="AF37" s="3450"/>
      <c r="AG37" s="176"/>
      <c r="AH37" s="176"/>
      <c r="AI37" s="178"/>
      <c r="AJ37" s="3514"/>
      <c r="AK37" s="176"/>
      <c r="AL37" s="176"/>
      <c r="AM37" s="176"/>
      <c r="AN37" s="178"/>
      <c r="AO37" s="3514"/>
      <c r="AP37" s="176"/>
      <c r="AQ37" s="176"/>
      <c r="AR37" s="176"/>
      <c r="AS37" s="178"/>
      <c r="AT37" s="3514"/>
      <c r="AU37" s="176"/>
      <c r="AV37" s="176"/>
      <c r="AW37" s="176"/>
      <c r="AX37" s="178"/>
      <c r="AY37" s="3514"/>
      <c r="AZ37" s="176"/>
      <c r="BA37" s="176"/>
      <c r="BB37" s="176"/>
      <c r="BC37" s="176"/>
      <c r="BD37" s="3515"/>
      <c r="BE37" s="6166"/>
      <c r="BF37" s="176"/>
      <c r="BG37" s="176"/>
      <c r="BH37" s="176"/>
      <c r="BI37" s="3515"/>
      <c r="BJ37" s="176"/>
      <c r="BK37" s="176"/>
      <c r="BL37" s="176"/>
      <c r="BM37" s="176"/>
      <c r="BN37" s="3515"/>
      <c r="BO37" s="176"/>
      <c r="BP37" s="176"/>
      <c r="BQ37" s="176"/>
      <c r="BR37" s="178"/>
      <c r="BS37" s="3514"/>
      <c r="BT37" s="176"/>
      <c r="BU37" s="176"/>
      <c r="BV37" s="176"/>
      <c r="BW37" s="176"/>
      <c r="BX37" s="3515"/>
      <c r="BY37" s="176"/>
      <c r="BZ37" s="176"/>
      <c r="CA37" s="176"/>
      <c r="CB37" s="176"/>
      <c r="CC37" s="3515"/>
      <c r="CD37" s="176"/>
      <c r="CE37" s="176"/>
      <c r="CF37" s="176"/>
      <c r="CG37" s="176"/>
      <c r="CH37" s="3515"/>
      <c r="CI37" s="176"/>
      <c r="CJ37" s="176"/>
      <c r="CK37" s="176"/>
      <c r="CL37" s="176"/>
      <c r="CM37" s="3515"/>
      <c r="CN37" s="176"/>
      <c r="CO37" s="176"/>
      <c r="CP37" s="176"/>
      <c r="CQ37" s="176"/>
      <c r="CR37" s="3515"/>
      <c r="CS37" s="176"/>
      <c r="CT37" s="176"/>
      <c r="CU37" s="176"/>
      <c r="CV37" s="176"/>
      <c r="CW37" s="3515"/>
      <c r="CX37" s="176"/>
      <c r="CY37" s="176"/>
      <c r="CZ37" s="176"/>
      <c r="DA37" s="179"/>
      <c r="DB37" s="3515"/>
      <c r="DC37" s="176"/>
      <c r="DD37" s="176"/>
      <c r="DE37" s="176"/>
      <c r="DF37" s="176"/>
      <c r="DG37" s="5732"/>
      <c r="DH37" s="3593"/>
      <c r="DI37" s="3593"/>
      <c r="DJ37" s="3593"/>
      <c r="DK37" s="3593"/>
      <c r="DL37" s="5732"/>
      <c r="DM37" s="3593"/>
      <c r="DN37" s="3593"/>
      <c r="DO37" s="3593"/>
      <c r="DP37" s="3593"/>
      <c r="DQ37" s="5732"/>
      <c r="DR37" s="3593"/>
      <c r="DS37" s="3593"/>
      <c r="DT37" s="3593"/>
      <c r="DU37" s="3593"/>
      <c r="DV37" s="5732"/>
      <c r="DW37" s="3593"/>
      <c r="DX37" s="3593"/>
      <c r="DY37" s="3593"/>
      <c r="DZ37" s="3593"/>
      <c r="EA37" s="5732"/>
      <c r="EB37" s="3593"/>
      <c r="EC37" s="3593"/>
      <c r="ED37" s="3593"/>
      <c r="EE37" s="3593"/>
      <c r="EF37" s="5732"/>
      <c r="EG37" s="3593"/>
      <c r="EH37" s="3593"/>
      <c r="EI37" s="3593"/>
      <c r="EJ37" s="3593"/>
      <c r="EK37" s="5732"/>
      <c r="EL37" s="4812"/>
      <c r="EM37" s="4812" t="s">
        <v>1008</v>
      </c>
      <c r="EN37" s="4812" t="s">
        <v>1008</v>
      </c>
      <c r="EO37" s="3593"/>
      <c r="EP37" s="5732"/>
      <c r="EQ37" s="5732"/>
      <c r="ER37" s="5732"/>
      <c r="ES37" s="5732"/>
      <c r="ET37" s="5732"/>
      <c r="EU37" s="5732"/>
    </row>
    <row r="38" spans="1:151" s="84" customFormat="1" ht="11.25" hidden="1" customHeight="1" outlineLevel="1">
      <c r="A38" s="3777"/>
      <c r="B38" s="176"/>
      <c r="C38" s="176"/>
      <c r="D38" s="176"/>
      <c r="E38" s="178"/>
      <c r="F38" s="3514"/>
      <c r="G38" s="176"/>
      <c r="H38" s="176"/>
      <c r="I38" s="176"/>
      <c r="J38" s="178"/>
      <c r="K38" s="3514"/>
      <c r="L38" s="176"/>
      <c r="M38" s="176"/>
      <c r="N38" s="176"/>
      <c r="O38" s="178"/>
      <c r="P38" s="3514"/>
      <c r="Q38" s="176"/>
      <c r="R38" s="176"/>
      <c r="S38" s="176"/>
      <c r="T38" s="178"/>
      <c r="U38" s="3514"/>
      <c r="V38" s="3450"/>
      <c r="W38" s="176"/>
      <c r="X38" s="176"/>
      <c r="Y38" s="178"/>
      <c r="Z38" s="3514"/>
      <c r="AA38" s="3450"/>
      <c r="AB38" s="176"/>
      <c r="AC38" s="176"/>
      <c r="AD38" s="178"/>
      <c r="AE38" s="3514"/>
      <c r="AF38" s="3450"/>
      <c r="AG38" s="176"/>
      <c r="AH38" s="176"/>
      <c r="AI38" s="178"/>
      <c r="AJ38" s="3514"/>
      <c r="AK38" s="176"/>
      <c r="AL38" s="176"/>
      <c r="AM38" s="176"/>
      <c r="AN38" s="178"/>
      <c r="AO38" s="3514"/>
      <c r="AP38" s="176"/>
      <c r="AQ38" s="176"/>
      <c r="AR38" s="176"/>
      <c r="AS38" s="178"/>
      <c r="AT38" s="3514"/>
      <c r="AU38" s="176"/>
      <c r="AV38" s="176"/>
      <c r="AW38" s="176"/>
      <c r="AX38" s="178"/>
      <c r="AY38" s="3514"/>
      <c r="AZ38" s="176"/>
      <c r="BA38" s="176"/>
      <c r="BB38" s="176"/>
      <c r="BC38" s="176"/>
      <c r="BD38" s="3515"/>
      <c r="BE38" s="6166"/>
      <c r="BF38" s="176"/>
      <c r="BG38" s="176"/>
      <c r="BH38" s="176"/>
      <c r="BI38" s="3515"/>
      <c r="BJ38" s="176"/>
      <c r="BK38" s="176"/>
      <c r="BL38" s="176"/>
      <c r="BM38" s="176"/>
      <c r="BN38" s="3515"/>
      <c r="BO38" s="176"/>
      <c r="BP38" s="176"/>
      <c r="BQ38" s="176"/>
      <c r="BR38" s="178"/>
      <c r="BS38" s="3514"/>
      <c r="BT38" s="176"/>
      <c r="BU38" s="176"/>
      <c r="BV38" s="176"/>
      <c r="BW38" s="176"/>
      <c r="BX38" s="3515"/>
      <c r="BY38" s="176"/>
      <c r="BZ38" s="176"/>
      <c r="CA38" s="176"/>
      <c r="CB38" s="176"/>
      <c r="CC38" s="3515"/>
      <c r="CD38" s="176"/>
      <c r="CE38" s="176"/>
      <c r="CF38" s="176"/>
      <c r="CG38" s="176"/>
      <c r="CH38" s="3515"/>
      <c r="CI38" s="176"/>
      <c r="CJ38" s="176"/>
      <c r="CK38" s="176"/>
      <c r="CL38" s="176"/>
      <c r="CM38" s="3515"/>
      <c r="CN38" s="176"/>
      <c r="CO38" s="176"/>
      <c r="CP38" s="176"/>
      <c r="CQ38" s="176"/>
      <c r="CR38" s="3515"/>
      <c r="CS38" s="176"/>
      <c r="CT38" s="176"/>
      <c r="CU38" s="176"/>
      <c r="CV38" s="176"/>
      <c r="CW38" s="3515"/>
      <c r="CX38" s="176"/>
      <c r="CY38" s="176"/>
      <c r="CZ38" s="176"/>
      <c r="DA38" s="179"/>
      <c r="DB38" s="3515"/>
      <c r="DC38" s="176"/>
      <c r="DD38" s="176"/>
      <c r="DE38" s="176"/>
      <c r="DF38" s="176"/>
      <c r="DG38" s="5732"/>
      <c r="DH38" s="3593"/>
      <c r="DI38" s="3593"/>
      <c r="DJ38" s="3593"/>
      <c r="DK38" s="3593"/>
      <c r="DL38" s="5732"/>
      <c r="DM38" s="3593"/>
      <c r="DN38" s="3593"/>
      <c r="DO38" s="3593"/>
      <c r="DP38" s="3593"/>
      <c r="DQ38" s="5732"/>
      <c r="DR38" s="3593"/>
      <c r="DS38" s="3593"/>
      <c r="DT38" s="3593"/>
      <c r="DU38" s="3593"/>
      <c r="DV38" s="5732"/>
      <c r="DW38" s="3593"/>
      <c r="DX38" s="3593"/>
      <c r="DY38" s="3593"/>
      <c r="DZ38" s="3593"/>
      <c r="EA38" s="5732"/>
      <c r="EB38" s="3593"/>
      <c r="EC38" s="3593"/>
      <c r="ED38" s="3593"/>
      <c r="EE38" s="3593"/>
      <c r="EF38" s="5732"/>
      <c r="EG38" s="3593"/>
      <c r="EH38" s="3593"/>
      <c r="EI38" s="3593"/>
      <c r="EJ38" s="3593"/>
      <c r="EK38" s="5732"/>
      <c r="EL38" s="4812"/>
      <c r="EM38" s="3593"/>
      <c r="EN38" s="3593"/>
      <c r="EO38" s="3593"/>
      <c r="EP38" s="5732"/>
      <c r="EQ38" s="5732"/>
      <c r="ER38" s="5732"/>
      <c r="ES38" s="5732"/>
      <c r="ET38" s="5732"/>
      <c r="EU38" s="5732"/>
    </row>
    <row r="39" spans="1:151" s="84" customFormat="1" ht="11.25" customHeight="1" collapsed="1">
      <c r="A39" s="5950" t="s">
        <v>732</v>
      </c>
      <c r="B39" s="2925"/>
      <c r="C39" s="2925"/>
      <c r="D39" s="2925"/>
      <c r="E39" s="2927"/>
      <c r="F39" s="5951"/>
      <c r="G39" s="2925"/>
      <c r="H39" s="2925"/>
      <c r="I39" s="2925"/>
      <c r="J39" s="2927"/>
      <c r="K39" s="5951"/>
      <c r="L39" s="2925"/>
      <c r="M39" s="2925"/>
      <c r="N39" s="2925"/>
      <c r="O39" s="2927"/>
      <c r="P39" s="5951"/>
      <c r="Q39" s="2925"/>
      <c r="R39" s="2925"/>
      <c r="S39" s="2925"/>
      <c r="T39" s="2927"/>
      <c r="U39" s="5951"/>
      <c r="V39" s="4185"/>
      <c r="W39" s="2925"/>
      <c r="X39" s="2925"/>
      <c r="Y39" s="2927"/>
      <c r="Z39" s="5951"/>
      <c r="AA39" s="4185"/>
      <c r="AB39" s="2925"/>
      <c r="AC39" s="2925"/>
      <c r="AD39" s="2927"/>
      <c r="AE39" s="5951"/>
      <c r="AF39" s="4185"/>
      <c r="AG39" s="2925"/>
      <c r="AH39" s="2925"/>
      <c r="AI39" s="2927"/>
      <c r="AJ39" s="5951"/>
      <c r="AK39" s="2925"/>
      <c r="AL39" s="2925"/>
      <c r="AM39" s="2925"/>
      <c r="AN39" s="2927"/>
      <c r="AO39" s="5951"/>
      <c r="AP39" s="2925"/>
      <c r="AQ39" s="2925"/>
      <c r="AR39" s="2925"/>
      <c r="AS39" s="2927"/>
      <c r="AT39" s="5951"/>
      <c r="AU39" s="2925"/>
      <c r="AV39" s="2925"/>
      <c r="AW39" s="2925"/>
      <c r="AX39" s="2927"/>
      <c r="AY39" s="5951"/>
      <c r="AZ39" s="2925"/>
      <c r="BA39" s="2925"/>
      <c r="BB39" s="2925"/>
      <c r="BC39" s="2925"/>
      <c r="BD39" s="5952"/>
      <c r="BE39" s="5953"/>
      <c r="BF39" s="2925"/>
      <c r="BG39" s="2925"/>
      <c r="BH39" s="2925"/>
      <c r="BI39" s="5952"/>
      <c r="BJ39" s="2925"/>
      <c r="BK39" s="2925"/>
      <c r="BL39" s="2925"/>
      <c r="BM39" s="2925"/>
      <c r="BN39" s="5952"/>
      <c r="BO39" s="2925"/>
      <c r="BP39" s="2925"/>
      <c r="BQ39" s="2925"/>
      <c r="BR39" s="2927"/>
      <c r="BS39" s="5951"/>
      <c r="BT39" s="2925"/>
      <c r="BU39" s="2925"/>
      <c r="BV39" s="2925"/>
      <c r="BW39" s="2925"/>
      <c r="BX39" s="5952"/>
      <c r="BY39" s="2925"/>
      <c r="BZ39" s="2925"/>
      <c r="CA39" s="2925"/>
      <c r="CB39" s="2925"/>
      <c r="CC39" s="5952"/>
      <c r="CD39" s="2925"/>
      <c r="CE39" s="2925"/>
      <c r="CF39" s="2925"/>
      <c r="CG39" s="2925"/>
      <c r="CH39" s="5952"/>
      <c r="CI39" s="2925"/>
      <c r="CJ39" s="2925"/>
      <c r="CK39" s="2925"/>
      <c r="CL39" s="2925"/>
      <c r="CM39" s="5952"/>
      <c r="CN39" s="2925"/>
      <c r="CO39" s="2925"/>
      <c r="CP39" s="2925"/>
      <c r="CQ39" s="2925"/>
      <c r="CR39" s="5952"/>
      <c r="CS39" s="2925"/>
      <c r="CT39" s="2925"/>
      <c r="CU39" s="2925"/>
      <c r="CV39" s="2925"/>
      <c r="CW39" s="5952"/>
      <c r="CX39" s="2925"/>
      <c r="CY39" s="2925"/>
      <c r="CZ39" s="2925"/>
      <c r="DA39" s="4500"/>
      <c r="DB39" s="5952"/>
      <c r="DC39" s="2925"/>
      <c r="DD39" s="2925"/>
      <c r="DE39" s="2925"/>
      <c r="DF39" s="2925"/>
      <c r="DG39" s="5955"/>
      <c r="DH39" s="5956"/>
      <c r="DI39" s="5956"/>
      <c r="DJ39" s="5956"/>
      <c r="DK39" s="5956"/>
      <c r="DL39" s="5955"/>
      <c r="DM39" s="5956"/>
      <c r="DN39" s="5956"/>
      <c r="DO39" s="5956"/>
      <c r="DP39" s="5956"/>
      <c r="DQ39" s="5955"/>
      <c r="DR39" s="5956"/>
      <c r="DS39" s="5956"/>
      <c r="DT39" s="5956"/>
      <c r="DU39" s="5956"/>
      <c r="DV39" s="5955"/>
      <c r="DW39" s="5956"/>
      <c r="DX39" s="5956"/>
      <c r="DY39" s="5956"/>
      <c r="DZ39" s="5956"/>
      <c r="EA39" s="5955"/>
      <c r="EB39" s="5956"/>
      <c r="EC39" s="5956"/>
      <c r="ED39" s="5956"/>
      <c r="EE39" s="5956"/>
      <c r="EF39" s="5955"/>
      <c r="EG39" s="5956"/>
      <c r="EH39" s="5956"/>
      <c r="EI39" s="5956"/>
      <c r="EJ39" s="5956"/>
      <c r="EK39" s="5955"/>
      <c r="EL39" s="6168"/>
      <c r="EM39" s="5956"/>
      <c r="EN39" s="5956"/>
      <c r="EO39" s="5956"/>
      <c r="EP39" s="5955"/>
      <c r="EQ39" s="5955"/>
      <c r="ER39" s="5955"/>
      <c r="ES39" s="5955"/>
      <c r="ET39" s="5955"/>
      <c r="EU39" s="5955"/>
    </row>
    <row r="40" spans="1:151" s="84" customFormat="1" ht="11.25" customHeight="1">
      <c r="A40" s="3777"/>
      <c r="B40" s="176"/>
      <c r="C40" s="176"/>
      <c r="D40" s="176"/>
      <c r="E40" s="178"/>
      <c r="F40" s="3514"/>
      <c r="G40" s="176"/>
      <c r="H40" s="176"/>
      <c r="I40" s="176"/>
      <c r="J40" s="178"/>
      <c r="K40" s="3514"/>
      <c r="L40" s="176"/>
      <c r="M40" s="176"/>
      <c r="N40" s="176"/>
      <c r="O40" s="178"/>
      <c r="P40" s="3514"/>
      <c r="Q40" s="176"/>
      <c r="R40" s="176"/>
      <c r="S40" s="176"/>
      <c r="T40" s="178"/>
      <c r="U40" s="3514"/>
      <c r="V40" s="3450"/>
      <c r="W40" s="176"/>
      <c r="X40" s="176"/>
      <c r="Y40" s="178"/>
      <c r="Z40" s="3514"/>
      <c r="AA40" s="3450"/>
      <c r="AB40" s="176"/>
      <c r="AC40" s="176"/>
      <c r="AD40" s="178"/>
      <c r="AE40" s="3514"/>
      <c r="AF40" s="3450"/>
      <c r="AG40" s="176"/>
      <c r="AH40" s="176"/>
      <c r="AI40" s="178"/>
      <c r="AJ40" s="3514"/>
      <c r="AK40" s="176"/>
      <c r="AL40" s="176"/>
      <c r="AM40" s="176"/>
      <c r="AN40" s="178"/>
      <c r="AO40" s="3514"/>
      <c r="AP40" s="176"/>
      <c r="AQ40" s="176"/>
      <c r="AR40" s="176"/>
      <c r="AS40" s="178"/>
      <c r="AT40" s="3514"/>
      <c r="AU40" s="176"/>
      <c r="AV40" s="176"/>
      <c r="AW40" s="176"/>
      <c r="AX40" s="178"/>
      <c r="AY40" s="3514"/>
      <c r="AZ40" s="176"/>
      <c r="BA40" s="176"/>
      <c r="BB40" s="176"/>
      <c r="BC40" s="176"/>
      <c r="BD40" s="3515"/>
      <c r="BE40" s="5834"/>
      <c r="BF40" s="176"/>
      <c r="BG40" s="176"/>
      <c r="BH40" s="176"/>
      <c r="BI40" s="3515"/>
      <c r="BJ40" s="176"/>
      <c r="BK40" s="176"/>
      <c r="BL40" s="176"/>
      <c r="BM40" s="176"/>
      <c r="BN40" s="3515"/>
      <c r="BO40" s="176"/>
      <c r="BP40" s="176"/>
      <c r="BQ40" s="176"/>
      <c r="BR40" s="178"/>
      <c r="BS40" s="3514"/>
      <c r="BT40" s="176"/>
      <c r="BU40" s="176"/>
      <c r="BV40" s="176"/>
      <c r="BW40" s="176"/>
      <c r="BX40" s="3515"/>
      <c r="BY40" s="176"/>
      <c r="BZ40" s="176"/>
      <c r="CA40" s="176"/>
      <c r="CB40" s="176"/>
      <c r="CC40" s="3515"/>
      <c r="CD40" s="176"/>
      <c r="CE40" s="176"/>
      <c r="CF40" s="176"/>
      <c r="CG40" s="176"/>
      <c r="CH40" s="3515"/>
      <c r="CI40" s="176"/>
      <c r="CJ40" s="176"/>
      <c r="CK40" s="176"/>
      <c r="CL40" s="176"/>
      <c r="CM40" s="3515"/>
      <c r="CN40" s="176"/>
      <c r="CO40" s="176"/>
      <c r="CP40" s="176"/>
      <c r="CQ40" s="176"/>
      <c r="CR40" s="3515"/>
      <c r="CS40" s="176"/>
      <c r="CT40" s="176"/>
      <c r="CU40" s="176"/>
      <c r="CV40" s="176"/>
      <c r="CW40" s="3515"/>
      <c r="CX40" s="176"/>
      <c r="CY40" s="176"/>
      <c r="CZ40" s="176"/>
      <c r="DA40" s="179"/>
      <c r="DB40" s="3515"/>
      <c r="DC40" s="176"/>
      <c r="DD40" s="176"/>
      <c r="DE40" s="176"/>
      <c r="DF40" s="176"/>
      <c r="DG40" s="5732"/>
      <c r="DH40" s="3593"/>
      <c r="DI40" s="3593"/>
      <c r="DJ40" s="3593"/>
      <c r="DK40" s="3593"/>
      <c r="DL40" s="5732"/>
      <c r="DM40" s="3593"/>
      <c r="DN40" s="3593"/>
      <c r="DO40" s="3593"/>
      <c r="DP40" s="3593"/>
      <c r="DQ40" s="5732"/>
      <c r="DR40" s="3593"/>
      <c r="DS40" s="3593"/>
      <c r="DT40" s="3593"/>
      <c r="DU40" s="3593"/>
      <c r="DV40" s="5732"/>
      <c r="DW40" s="3593"/>
      <c r="DX40" s="3593"/>
      <c r="DY40" s="3593"/>
      <c r="DZ40" s="3593"/>
      <c r="EA40" s="5732"/>
      <c r="EB40" s="3593"/>
      <c r="EC40" s="3593"/>
      <c r="ED40" s="3593"/>
      <c r="EE40" s="3593"/>
      <c r="EF40" s="5732"/>
      <c r="EG40" s="3593"/>
      <c r="EH40" s="3593"/>
      <c r="EI40" s="3593"/>
      <c r="EJ40" s="3593"/>
      <c r="EK40" s="5732"/>
      <c r="EL40" s="4812"/>
      <c r="EM40" s="3593"/>
      <c r="EN40" s="3593"/>
      <c r="EO40" s="3593"/>
      <c r="EP40" s="5732"/>
      <c r="EQ40" s="5732"/>
      <c r="ER40" s="5732"/>
      <c r="ES40" s="5732"/>
      <c r="ET40" s="5732"/>
      <c r="EU40" s="5732"/>
    </row>
    <row r="41" spans="1:151" s="84" customFormat="1" ht="11.25" customHeight="1">
      <c r="A41" s="3777" t="s">
        <v>1095</v>
      </c>
      <c r="B41" s="176"/>
      <c r="C41" s="176"/>
      <c r="D41" s="176"/>
      <c r="E41" s="178"/>
      <c r="F41" s="3514"/>
      <c r="G41" s="176"/>
      <c r="H41" s="176"/>
      <c r="I41" s="176"/>
      <c r="J41" s="178"/>
      <c r="K41" s="3514"/>
      <c r="L41" s="176"/>
      <c r="M41" s="176"/>
      <c r="N41" s="176"/>
      <c r="O41" s="178"/>
      <c r="P41" s="3514"/>
      <c r="Q41" s="176"/>
      <c r="R41" s="176"/>
      <c r="S41" s="176"/>
      <c r="T41" s="178"/>
      <c r="U41" s="3514"/>
      <c r="V41" s="3450"/>
      <c r="W41" s="176"/>
      <c r="X41" s="176"/>
      <c r="Y41" s="178"/>
      <c r="Z41" s="3514"/>
      <c r="AA41" s="3450"/>
      <c r="AB41" s="176"/>
      <c r="AC41" s="176"/>
      <c r="AD41" s="178"/>
      <c r="AE41" s="3514"/>
      <c r="AF41" s="3450"/>
      <c r="AG41" s="176"/>
      <c r="AH41" s="176"/>
      <c r="AI41" s="178"/>
      <c r="AJ41" s="3514"/>
      <c r="AK41" s="176"/>
      <c r="AL41" s="176"/>
      <c r="AM41" s="176"/>
      <c r="AN41" s="178"/>
      <c r="AO41" s="3514"/>
      <c r="AP41" s="176"/>
      <c r="AQ41" s="176"/>
      <c r="AR41" s="176"/>
      <c r="AS41" s="178"/>
      <c r="AT41" s="3514"/>
      <c r="AU41" s="176"/>
      <c r="AV41" s="176"/>
      <c r="AW41" s="176"/>
      <c r="AX41" s="178"/>
      <c r="AY41" s="3514"/>
      <c r="AZ41" s="176"/>
      <c r="BA41" s="176"/>
      <c r="BB41" s="176"/>
      <c r="BC41" s="176"/>
      <c r="BD41" s="3515"/>
      <c r="BE41" s="5834"/>
      <c r="BF41" s="176"/>
      <c r="BG41" s="176"/>
      <c r="BH41" s="176"/>
      <c r="BI41" s="3515"/>
      <c r="BJ41" s="176"/>
      <c r="BK41" s="176"/>
      <c r="BL41" s="176"/>
      <c r="BM41" s="176"/>
      <c r="BN41" s="3515"/>
      <c r="BO41" s="176"/>
      <c r="BP41" s="176"/>
      <c r="BQ41" s="176"/>
      <c r="BR41" s="178"/>
      <c r="BS41" s="3514"/>
      <c r="BT41" s="176"/>
      <c r="BU41" s="176"/>
      <c r="BV41" s="176"/>
      <c r="BW41" s="176"/>
      <c r="BX41" s="3515"/>
      <c r="BY41" s="176"/>
      <c r="BZ41" s="176"/>
      <c r="CA41" s="176"/>
      <c r="CB41" s="176"/>
      <c r="CC41" s="3515"/>
      <c r="CD41" s="176"/>
      <c r="CE41" s="176"/>
      <c r="CF41" s="176"/>
      <c r="CG41" s="176"/>
      <c r="CH41" s="3515"/>
      <c r="CI41" s="176"/>
      <c r="CJ41" s="176"/>
      <c r="CK41" s="176"/>
      <c r="CL41" s="176"/>
      <c r="CM41" s="3515"/>
      <c r="CN41" s="176"/>
      <c r="CO41" s="176"/>
      <c r="CP41" s="176"/>
      <c r="CQ41" s="176"/>
      <c r="CR41" s="3515"/>
      <c r="CS41" s="176"/>
      <c r="CT41" s="176"/>
      <c r="CU41" s="176"/>
      <c r="CV41" s="176"/>
      <c r="CW41" s="3515"/>
      <c r="CX41" s="176"/>
      <c r="CY41" s="176"/>
      <c r="CZ41" s="176"/>
      <c r="DA41" s="179"/>
      <c r="DB41" s="3515"/>
      <c r="DC41" s="176"/>
      <c r="DD41" s="176"/>
      <c r="DE41" s="176"/>
      <c r="DF41" s="176"/>
      <c r="DG41" s="5732"/>
      <c r="DH41" s="3593"/>
      <c r="DI41" s="3593"/>
      <c r="DJ41" s="3593"/>
      <c r="DK41" s="3593"/>
      <c r="DL41" s="5732"/>
      <c r="DM41" s="3593"/>
      <c r="DN41" s="3593"/>
      <c r="DO41" s="3593"/>
      <c r="DP41" s="3593"/>
      <c r="DQ41" s="5732"/>
      <c r="DR41" s="3593"/>
      <c r="DS41" s="3593"/>
      <c r="DT41" s="3593"/>
      <c r="DU41" s="3593"/>
      <c r="DV41" s="5732"/>
      <c r="DW41" s="3593"/>
      <c r="DX41" s="3593"/>
      <c r="DY41" s="3593"/>
      <c r="DZ41" s="3593"/>
      <c r="EA41" s="5732"/>
      <c r="EB41" s="3593"/>
      <c r="EC41" s="3593"/>
      <c r="ED41" s="3593"/>
      <c r="EE41" s="3593"/>
      <c r="EF41" s="5732"/>
      <c r="EG41" s="5957">
        <v>1</v>
      </c>
      <c r="EH41" s="3593"/>
      <c r="EI41" s="3593"/>
      <c r="EJ41" s="3593"/>
      <c r="EK41" s="5732"/>
      <c r="EL41" s="5957"/>
      <c r="EM41" s="3593"/>
      <c r="EN41" s="3593"/>
      <c r="EO41" s="3593"/>
      <c r="EP41" s="5732"/>
      <c r="EQ41" s="5732"/>
      <c r="ER41" s="5732"/>
      <c r="ES41" s="5732"/>
      <c r="ET41" s="5732"/>
      <c r="EU41" s="5732"/>
    </row>
    <row r="42" spans="1:151" s="84" customFormat="1" ht="11.25" customHeight="1">
      <c r="A42" s="3777"/>
      <c r="B42" s="176"/>
      <c r="C42" s="176"/>
      <c r="D42" s="176"/>
      <c r="E42" s="178"/>
      <c r="F42" s="3514"/>
      <c r="G42" s="176"/>
      <c r="H42" s="176"/>
      <c r="I42" s="176"/>
      <c r="J42" s="178"/>
      <c r="K42" s="3514"/>
      <c r="L42" s="176"/>
      <c r="M42" s="176"/>
      <c r="N42" s="176"/>
      <c r="O42" s="178"/>
      <c r="P42" s="3514"/>
      <c r="Q42" s="176"/>
      <c r="R42" s="176"/>
      <c r="S42" s="176"/>
      <c r="T42" s="178"/>
      <c r="U42" s="3514"/>
      <c r="V42" s="3450"/>
      <c r="W42" s="176"/>
      <c r="X42" s="176"/>
      <c r="Y42" s="178"/>
      <c r="Z42" s="3514"/>
      <c r="AA42" s="3450"/>
      <c r="AB42" s="176"/>
      <c r="AC42" s="176"/>
      <c r="AD42" s="178"/>
      <c r="AE42" s="3514"/>
      <c r="AF42" s="3450"/>
      <c r="AG42" s="176"/>
      <c r="AH42" s="176"/>
      <c r="AI42" s="178"/>
      <c r="AJ42" s="3514"/>
      <c r="AK42" s="176"/>
      <c r="AL42" s="176"/>
      <c r="AM42" s="176"/>
      <c r="AN42" s="178"/>
      <c r="AO42" s="3514"/>
      <c r="AP42" s="176"/>
      <c r="AQ42" s="176"/>
      <c r="AR42" s="176"/>
      <c r="AS42" s="178"/>
      <c r="AT42" s="3514"/>
      <c r="AU42" s="176"/>
      <c r="AV42" s="176"/>
      <c r="AW42" s="176"/>
      <c r="AX42" s="178"/>
      <c r="AY42" s="3514"/>
      <c r="AZ42" s="176"/>
      <c r="BA42" s="176"/>
      <c r="BB42" s="176"/>
      <c r="BC42" s="176"/>
      <c r="BD42" s="3515"/>
      <c r="BE42" s="5834"/>
      <c r="BF42" s="176"/>
      <c r="BG42" s="176"/>
      <c r="BH42" s="176"/>
      <c r="BI42" s="3515"/>
      <c r="BJ42" s="176"/>
      <c r="BK42" s="176"/>
      <c r="BL42" s="176"/>
      <c r="BM42" s="176"/>
      <c r="BN42" s="3515"/>
      <c r="BO42" s="176"/>
      <c r="BP42" s="176"/>
      <c r="BQ42" s="176"/>
      <c r="BR42" s="178"/>
      <c r="BS42" s="3514"/>
      <c r="BT42" s="176"/>
      <c r="BU42" s="176"/>
      <c r="BV42" s="176"/>
      <c r="BW42" s="176"/>
      <c r="BX42" s="3515"/>
      <c r="BY42" s="176"/>
      <c r="BZ42" s="176"/>
      <c r="CA42" s="176"/>
      <c r="CB42" s="176"/>
      <c r="CC42" s="3515"/>
      <c r="CD42" s="176"/>
      <c r="CE42" s="176"/>
      <c r="CF42" s="176"/>
      <c r="CG42" s="176"/>
      <c r="CH42" s="3515"/>
      <c r="CI42" s="176"/>
      <c r="CJ42" s="176"/>
      <c r="CK42" s="176"/>
      <c r="CL42" s="176"/>
      <c r="CM42" s="3515"/>
      <c r="CN42" s="176"/>
      <c r="CO42" s="176"/>
      <c r="CP42" s="176"/>
      <c r="CQ42" s="176"/>
      <c r="CR42" s="3515"/>
      <c r="CS42" s="176"/>
      <c r="CT42" s="176"/>
      <c r="CU42" s="176"/>
      <c r="CV42" s="176"/>
      <c r="CW42" s="3515"/>
      <c r="CX42" s="176"/>
      <c r="CY42" s="176"/>
      <c r="CZ42" s="176"/>
      <c r="DA42" s="179"/>
      <c r="DB42" s="3515"/>
      <c r="DC42" s="176"/>
      <c r="DD42" s="176"/>
      <c r="DE42" s="176"/>
      <c r="DF42" s="176"/>
      <c r="DG42" s="5732"/>
      <c r="DH42" s="3593"/>
      <c r="DI42" s="3593"/>
      <c r="DJ42" s="3593"/>
      <c r="DK42" s="3593"/>
      <c r="DL42" s="5732"/>
      <c r="DM42" s="3593"/>
      <c r="DN42" s="3593"/>
      <c r="DO42" s="3593"/>
      <c r="DP42" s="3593"/>
      <c r="DQ42" s="5732"/>
      <c r="DR42" s="3593"/>
      <c r="DS42" s="3593"/>
      <c r="DT42" s="3593"/>
      <c r="DU42" s="3593"/>
      <c r="DV42" s="5732"/>
      <c r="DW42" s="3593"/>
      <c r="DX42" s="3593"/>
      <c r="DY42" s="3593"/>
      <c r="DZ42" s="3593"/>
      <c r="EA42" s="5732"/>
      <c r="EB42" s="3593"/>
      <c r="EC42" s="3593"/>
      <c r="ED42" s="3593"/>
      <c r="EE42" s="3593"/>
      <c r="EF42" s="5732"/>
      <c r="EG42" s="3593"/>
      <c r="EH42" s="3593"/>
      <c r="EI42" s="3593"/>
      <c r="EJ42" s="3593"/>
      <c r="EK42" s="5732"/>
      <c r="EL42" s="4812"/>
      <c r="EM42" s="3593"/>
      <c r="EN42" s="3593"/>
      <c r="EO42" s="3593"/>
      <c r="EP42" s="5732"/>
      <c r="EQ42" s="5732"/>
      <c r="ER42" s="5732"/>
      <c r="ES42" s="5732"/>
      <c r="ET42" s="5732"/>
      <c r="EU42" s="5732"/>
    </row>
    <row r="43" spans="1:151" s="84" customFormat="1" ht="11.25" customHeight="1">
      <c r="A43" s="3777" t="s">
        <v>1092</v>
      </c>
      <c r="B43" s="176"/>
      <c r="C43" s="176"/>
      <c r="D43" s="176"/>
      <c r="E43" s="178"/>
      <c r="F43" s="3514"/>
      <c r="G43" s="176"/>
      <c r="H43" s="176"/>
      <c r="I43" s="176"/>
      <c r="J43" s="178"/>
      <c r="K43" s="3514"/>
      <c r="L43" s="176"/>
      <c r="M43" s="176"/>
      <c r="N43" s="176"/>
      <c r="O43" s="178"/>
      <c r="P43" s="3514"/>
      <c r="Q43" s="176"/>
      <c r="R43" s="176"/>
      <c r="S43" s="176"/>
      <c r="T43" s="178"/>
      <c r="U43" s="3514"/>
      <c r="V43" s="3450"/>
      <c r="W43" s="176"/>
      <c r="X43" s="176"/>
      <c r="Y43" s="178"/>
      <c r="Z43" s="3514"/>
      <c r="AA43" s="3450"/>
      <c r="AB43" s="176"/>
      <c r="AC43" s="176"/>
      <c r="AD43" s="178"/>
      <c r="AE43" s="3514"/>
      <c r="AF43" s="3450"/>
      <c r="AG43" s="176"/>
      <c r="AH43" s="176"/>
      <c r="AI43" s="178"/>
      <c r="AJ43" s="3514"/>
      <c r="AK43" s="176"/>
      <c r="AL43" s="176"/>
      <c r="AM43" s="176"/>
      <c r="AN43" s="178"/>
      <c r="AO43" s="3514"/>
      <c r="AP43" s="176"/>
      <c r="AQ43" s="176"/>
      <c r="AR43" s="176"/>
      <c r="AS43" s="178"/>
      <c r="AT43" s="3514"/>
      <c r="AU43" s="176"/>
      <c r="AV43" s="176"/>
      <c r="AW43" s="176"/>
      <c r="AX43" s="178"/>
      <c r="AY43" s="3514"/>
      <c r="AZ43" s="176"/>
      <c r="BA43" s="176"/>
      <c r="BB43" s="176"/>
      <c r="BC43" s="176"/>
      <c r="BD43" s="3515"/>
      <c r="BE43" s="5834"/>
      <c r="BF43" s="176"/>
      <c r="BG43" s="176"/>
      <c r="BH43" s="176"/>
      <c r="BI43" s="3515"/>
      <c r="BJ43" s="176"/>
      <c r="BK43" s="176"/>
      <c r="BL43" s="176"/>
      <c r="BM43" s="176"/>
      <c r="BN43" s="3515"/>
      <c r="BO43" s="176"/>
      <c r="BP43" s="176"/>
      <c r="BQ43" s="176"/>
      <c r="BR43" s="178"/>
      <c r="BS43" s="3514"/>
      <c r="BT43" s="176"/>
      <c r="BU43" s="176"/>
      <c r="BV43" s="176"/>
      <c r="BW43" s="176"/>
      <c r="BX43" s="3515"/>
      <c r="BY43" s="176"/>
      <c r="BZ43" s="176"/>
      <c r="CA43" s="176"/>
      <c r="CB43" s="176"/>
      <c r="CC43" s="3515"/>
      <c r="CD43" s="176"/>
      <c r="CE43" s="176"/>
      <c r="CF43" s="176"/>
      <c r="CG43" s="176"/>
      <c r="CH43" s="3515"/>
      <c r="CI43" s="176"/>
      <c r="CJ43" s="176"/>
      <c r="CK43" s="176"/>
      <c r="CL43" s="176"/>
      <c r="CM43" s="3515"/>
      <c r="CN43" s="176"/>
      <c r="CO43" s="176"/>
      <c r="CP43" s="176"/>
      <c r="CQ43" s="176"/>
      <c r="CR43" s="3515"/>
      <c r="CS43" s="176"/>
      <c r="CT43" s="176"/>
      <c r="CU43" s="176"/>
      <c r="CV43" s="176"/>
      <c r="CW43" s="3515"/>
      <c r="CX43" s="176"/>
      <c r="CY43" s="176"/>
      <c r="CZ43" s="176"/>
      <c r="DA43" s="179"/>
      <c r="DB43" s="3515"/>
      <c r="DC43" s="176"/>
      <c r="DD43" s="176"/>
      <c r="DE43" s="176"/>
      <c r="DF43" s="176"/>
      <c r="DG43" s="5732"/>
      <c r="DH43" s="3593"/>
      <c r="DI43" s="3593"/>
      <c r="DJ43" s="3593"/>
      <c r="DK43" s="3593"/>
      <c r="DL43" s="5732"/>
      <c r="DM43" s="3593"/>
      <c r="DN43" s="3593"/>
      <c r="DO43" s="3593"/>
      <c r="DP43" s="3593"/>
      <c r="DQ43" s="5732"/>
      <c r="DR43" s="3593"/>
      <c r="DS43" s="3593"/>
      <c r="DT43" s="3593"/>
      <c r="DU43" s="3593"/>
      <c r="DV43" s="5732"/>
      <c r="DW43" s="3593"/>
      <c r="DX43" s="3593"/>
      <c r="DY43" s="3593"/>
      <c r="DZ43" s="3593"/>
      <c r="EA43" s="5732"/>
      <c r="EB43" s="3593"/>
      <c r="EC43" s="3593"/>
      <c r="ED43" s="3593"/>
      <c r="EE43" s="3593"/>
      <c r="EF43" s="5732"/>
      <c r="EG43" s="5954">
        <v>100</v>
      </c>
      <c r="EH43" s="3593"/>
      <c r="EI43" s="3593"/>
      <c r="EJ43" s="3593"/>
      <c r="EK43" s="5732"/>
      <c r="EL43" s="5954" t="s">
        <v>1141</v>
      </c>
      <c r="EM43" s="3593"/>
      <c r="EN43" s="3593"/>
      <c r="EO43" s="3593"/>
      <c r="EP43" s="5732"/>
      <c r="EQ43" s="5732"/>
      <c r="ER43" s="5732"/>
      <c r="ES43" s="5732"/>
      <c r="ET43" s="5732"/>
      <c r="EU43" s="5732"/>
    </row>
    <row r="44" spans="1:151" s="84" customFormat="1" ht="11.25" customHeight="1">
      <c r="A44" s="3777" t="s">
        <v>1093</v>
      </c>
      <c r="B44" s="176"/>
      <c r="C44" s="176"/>
      <c r="D44" s="176"/>
      <c r="E44" s="178"/>
      <c r="F44" s="3514"/>
      <c r="G44" s="176"/>
      <c r="H44" s="176"/>
      <c r="I44" s="176"/>
      <c r="J44" s="178"/>
      <c r="K44" s="3514"/>
      <c r="L44" s="176"/>
      <c r="M44" s="176"/>
      <c r="N44" s="176"/>
      <c r="O44" s="178"/>
      <c r="P44" s="3514"/>
      <c r="Q44" s="176"/>
      <c r="R44" s="176"/>
      <c r="S44" s="176"/>
      <c r="T44" s="178"/>
      <c r="U44" s="3514"/>
      <c r="V44" s="3450"/>
      <c r="W44" s="176"/>
      <c r="X44" s="176"/>
      <c r="Y44" s="178"/>
      <c r="Z44" s="3514"/>
      <c r="AA44" s="3450"/>
      <c r="AB44" s="176"/>
      <c r="AC44" s="176"/>
      <c r="AD44" s="178"/>
      <c r="AE44" s="3514"/>
      <c r="AF44" s="3450"/>
      <c r="AG44" s="176"/>
      <c r="AH44" s="176"/>
      <c r="AI44" s="178"/>
      <c r="AJ44" s="3514"/>
      <c r="AK44" s="176"/>
      <c r="AL44" s="176"/>
      <c r="AM44" s="176"/>
      <c r="AN44" s="178"/>
      <c r="AO44" s="3514"/>
      <c r="AP44" s="176"/>
      <c r="AQ44" s="176"/>
      <c r="AR44" s="176"/>
      <c r="AS44" s="178"/>
      <c r="AT44" s="3514"/>
      <c r="AU44" s="176"/>
      <c r="AV44" s="176"/>
      <c r="AW44" s="176"/>
      <c r="AX44" s="178"/>
      <c r="AY44" s="3514"/>
      <c r="AZ44" s="176"/>
      <c r="BA44" s="176"/>
      <c r="BB44" s="176"/>
      <c r="BC44" s="176"/>
      <c r="BD44" s="3515"/>
      <c r="BE44" s="5834"/>
      <c r="BF44" s="176"/>
      <c r="BG44" s="176"/>
      <c r="BH44" s="176"/>
      <c r="BI44" s="3515"/>
      <c r="BJ44" s="176"/>
      <c r="BK44" s="176"/>
      <c r="BL44" s="176"/>
      <c r="BM44" s="176"/>
      <c r="BN44" s="3515"/>
      <c r="BO44" s="176"/>
      <c r="BP44" s="176"/>
      <c r="BQ44" s="176"/>
      <c r="BR44" s="178"/>
      <c r="BS44" s="3514"/>
      <c r="BT44" s="176"/>
      <c r="BU44" s="176"/>
      <c r="BV44" s="176"/>
      <c r="BW44" s="176"/>
      <c r="BX44" s="3515"/>
      <c r="BY44" s="176"/>
      <c r="BZ44" s="176"/>
      <c r="CA44" s="176"/>
      <c r="CB44" s="176"/>
      <c r="CC44" s="3515"/>
      <c r="CD44" s="176"/>
      <c r="CE44" s="176"/>
      <c r="CF44" s="176"/>
      <c r="CG44" s="176"/>
      <c r="CH44" s="3515"/>
      <c r="CI44" s="176"/>
      <c r="CJ44" s="176"/>
      <c r="CK44" s="176"/>
      <c r="CL44" s="176"/>
      <c r="CM44" s="3515"/>
      <c r="CN44" s="176"/>
      <c r="CO44" s="176"/>
      <c r="CP44" s="176"/>
      <c r="CQ44" s="176"/>
      <c r="CR44" s="3515"/>
      <c r="CS44" s="176"/>
      <c r="CT44" s="176"/>
      <c r="CU44" s="176"/>
      <c r="CV44" s="176"/>
      <c r="CW44" s="3515"/>
      <c r="CX44" s="176"/>
      <c r="CY44" s="176"/>
      <c r="CZ44" s="176"/>
      <c r="DA44" s="179"/>
      <c r="DB44" s="3515"/>
      <c r="DC44" s="176"/>
      <c r="DD44" s="176"/>
      <c r="DE44" s="176"/>
      <c r="DF44" s="176"/>
      <c r="DG44" s="5732"/>
      <c r="DH44" s="3593"/>
      <c r="DI44" s="3593"/>
      <c r="DJ44" s="3593"/>
      <c r="DK44" s="3593"/>
      <c r="DL44" s="5732"/>
      <c r="DM44" s="3593"/>
      <c r="DN44" s="3593"/>
      <c r="DO44" s="3593"/>
      <c r="DP44" s="3593"/>
      <c r="DQ44" s="5732"/>
      <c r="DR44" s="3593"/>
      <c r="DS44" s="3593"/>
      <c r="DT44" s="3593"/>
      <c r="DU44" s="3593"/>
      <c r="DV44" s="5732"/>
      <c r="DW44" s="3593"/>
      <c r="DX44" s="3593"/>
      <c r="DY44" s="3593"/>
      <c r="DZ44" s="3593"/>
      <c r="EA44" s="5732"/>
      <c r="EB44" s="3593"/>
      <c r="EC44" s="3593"/>
      <c r="ED44" s="3593"/>
      <c r="EE44" s="3593"/>
      <c r="EF44" s="5732"/>
      <c r="EG44" s="5954">
        <v>8</v>
      </c>
      <c r="EH44" s="3593"/>
      <c r="EI44" s="3593"/>
      <c r="EJ44" s="3593"/>
      <c r="EK44" s="5732"/>
      <c r="EL44" s="5954"/>
      <c r="EM44" s="3593"/>
      <c r="EN44" s="3593"/>
      <c r="EO44" s="3593"/>
      <c r="EP44" s="5732"/>
      <c r="EQ44" s="5732"/>
      <c r="ER44" s="5732"/>
      <c r="ES44" s="5732"/>
      <c r="ET44" s="5732"/>
      <c r="EU44" s="5732"/>
    </row>
    <row r="45" spans="1:151" s="84" customFormat="1" ht="11.25" customHeight="1">
      <c r="A45" s="3777" t="s">
        <v>1091</v>
      </c>
      <c r="B45" s="176"/>
      <c r="C45" s="176"/>
      <c r="D45" s="176"/>
      <c r="E45" s="178"/>
      <c r="F45" s="3514"/>
      <c r="G45" s="176"/>
      <c r="H45" s="176"/>
      <c r="I45" s="176"/>
      <c r="J45" s="178"/>
      <c r="K45" s="3514"/>
      <c r="L45" s="176"/>
      <c r="M45" s="176"/>
      <c r="N45" s="176"/>
      <c r="O45" s="178"/>
      <c r="P45" s="3514"/>
      <c r="Q45" s="176"/>
      <c r="R45" s="176"/>
      <c r="S45" s="176"/>
      <c r="T45" s="178"/>
      <c r="U45" s="3514"/>
      <c r="V45" s="3450"/>
      <c r="W45" s="176"/>
      <c r="X45" s="176"/>
      <c r="Y45" s="178"/>
      <c r="Z45" s="3514"/>
      <c r="AA45" s="3450"/>
      <c r="AB45" s="176"/>
      <c r="AC45" s="176"/>
      <c r="AD45" s="178"/>
      <c r="AE45" s="3514"/>
      <c r="AF45" s="3450"/>
      <c r="AG45" s="176"/>
      <c r="AH45" s="176"/>
      <c r="AI45" s="178"/>
      <c r="AJ45" s="3514"/>
      <c r="AK45" s="176"/>
      <c r="AL45" s="176"/>
      <c r="AM45" s="176"/>
      <c r="AN45" s="178"/>
      <c r="AO45" s="3514"/>
      <c r="AP45" s="176"/>
      <c r="AQ45" s="176"/>
      <c r="AR45" s="176"/>
      <c r="AS45" s="178"/>
      <c r="AT45" s="3514"/>
      <c r="AU45" s="176"/>
      <c r="AV45" s="176"/>
      <c r="AW45" s="176"/>
      <c r="AX45" s="178"/>
      <c r="AY45" s="3514"/>
      <c r="AZ45" s="176"/>
      <c r="BA45" s="176"/>
      <c r="BB45" s="176"/>
      <c r="BC45" s="176"/>
      <c r="BD45" s="3515"/>
      <c r="BE45" s="5834"/>
      <c r="BF45" s="176"/>
      <c r="BG45" s="176"/>
      <c r="BH45" s="176"/>
      <c r="BI45" s="3515"/>
      <c r="BJ45" s="176"/>
      <c r="BK45" s="176"/>
      <c r="BL45" s="176"/>
      <c r="BM45" s="176"/>
      <c r="BN45" s="3515"/>
      <c r="BO45" s="176"/>
      <c r="BP45" s="176"/>
      <c r="BQ45" s="176"/>
      <c r="BR45" s="178"/>
      <c r="BS45" s="3514"/>
      <c r="BT45" s="176"/>
      <c r="BU45" s="176"/>
      <c r="BV45" s="176"/>
      <c r="BW45" s="176"/>
      <c r="BX45" s="3515"/>
      <c r="BY45" s="176"/>
      <c r="BZ45" s="176"/>
      <c r="CA45" s="176"/>
      <c r="CB45" s="176"/>
      <c r="CC45" s="3515"/>
      <c r="CD45" s="176"/>
      <c r="CE45" s="176"/>
      <c r="CF45" s="176"/>
      <c r="CG45" s="176"/>
      <c r="CH45" s="3515"/>
      <c r="CI45" s="176"/>
      <c r="CJ45" s="176"/>
      <c r="CK45" s="176"/>
      <c r="CL45" s="176"/>
      <c r="CM45" s="3515"/>
      <c r="CN45" s="176"/>
      <c r="CO45" s="176"/>
      <c r="CP45" s="176"/>
      <c r="CQ45" s="176"/>
      <c r="CR45" s="3515"/>
      <c r="CS45" s="176"/>
      <c r="CT45" s="176"/>
      <c r="CU45" s="176"/>
      <c r="CV45" s="176"/>
      <c r="CW45" s="3515"/>
      <c r="CX45" s="176"/>
      <c r="CY45" s="176"/>
      <c r="CZ45" s="176"/>
      <c r="DA45" s="179"/>
      <c r="DB45" s="3515"/>
      <c r="DC45" s="176"/>
      <c r="DD45" s="176"/>
      <c r="DE45" s="176"/>
      <c r="DF45" s="176"/>
      <c r="DG45" s="5732"/>
      <c r="DH45" s="3593"/>
      <c r="DI45" s="3593"/>
      <c r="DJ45" s="3593"/>
      <c r="DK45" s="3593"/>
      <c r="DL45" s="5732"/>
      <c r="DM45" s="3593"/>
      <c r="DN45" s="3593"/>
      <c r="DO45" s="3593"/>
      <c r="DP45" s="3593"/>
      <c r="DQ45" s="5732"/>
      <c r="DR45" s="3593"/>
      <c r="DS45" s="3593"/>
      <c r="DT45" s="3593"/>
      <c r="DU45" s="3593"/>
      <c r="DV45" s="5732"/>
      <c r="DW45" s="3593"/>
      <c r="DX45" s="3593"/>
      <c r="DY45" s="3593"/>
      <c r="DZ45" s="3593"/>
      <c r="EA45" s="5732"/>
      <c r="EB45" s="3593"/>
      <c r="EC45" s="3593"/>
      <c r="ED45" s="3593"/>
      <c r="EE45" s="3593"/>
      <c r="EF45" s="5732"/>
      <c r="EG45" s="5957">
        <v>70</v>
      </c>
      <c r="EH45" s="3593"/>
      <c r="EI45" s="3593"/>
      <c r="EJ45" s="3593"/>
      <c r="EK45" s="5732"/>
      <c r="EL45" s="5957"/>
      <c r="EM45" s="5957" t="s">
        <v>1160</v>
      </c>
      <c r="EN45" s="3593"/>
      <c r="EO45" s="3593"/>
      <c r="EP45" s="5732"/>
      <c r="EQ45" s="5732"/>
      <c r="ER45" s="5732"/>
      <c r="ES45" s="5732"/>
      <c r="ET45" s="5732"/>
      <c r="EU45" s="5732"/>
    </row>
    <row r="46" spans="1:151" s="84" customFormat="1" ht="11.25" customHeight="1">
      <c r="A46" s="3777" t="s">
        <v>1090</v>
      </c>
      <c r="B46" s="176"/>
      <c r="C46" s="176"/>
      <c r="D46" s="176"/>
      <c r="E46" s="178"/>
      <c r="F46" s="3514"/>
      <c r="G46" s="176"/>
      <c r="H46" s="176"/>
      <c r="I46" s="176"/>
      <c r="J46" s="178"/>
      <c r="K46" s="3514"/>
      <c r="L46" s="176"/>
      <c r="M46" s="176"/>
      <c r="N46" s="176"/>
      <c r="O46" s="178"/>
      <c r="P46" s="3514"/>
      <c r="Q46" s="176"/>
      <c r="R46" s="176"/>
      <c r="S46" s="176"/>
      <c r="T46" s="178"/>
      <c r="U46" s="3514"/>
      <c r="V46" s="3450"/>
      <c r="W46" s="176"/>
      <c r="X46" s="176"/>
      <c r="Y46" s="178"/>
      <c r="Z46" s="3514"/>
      <c r="AA46" s="3450"/>
      <c r="AB46" s="176"/>
      <c r="AC46" s="176"/>
      <c r="AD46" s="178"/>
      <c r="AE46" s="3514"/>
      <c r="AF46" s="3450"/>
      <c r="AG46" s="176"/>
      <c r="AH46" s="176"/>
      <c r="AI46" s="178"/>
      <c r="AJ46" s="3514"/>
      <c r="AK46" s="176"/>
      <c r="AL46" s="176"/>
      <c r="AM46" s="176"/>
      <c r="AN46" s="178"/>
      <c r="AO46" s="3514"/>
      <c r="AP46" s="176"/>
      <c r="AQ46" s="176"/>
      <c r="AR46" s="176"/>
      <c r="AS46" s="178"/>
      <c r="AT46" s="3514"/>
      <c r="AU46" s="176"/>
      <c r="AV46" s="176"/>
      <c r="AW46" s="176"/>
      <c r="AX46" s="178"/>
      <c r="AY46" s="3514"/>
      <c r="AZ46" s="176"/>
      <c r="BA46" s="176"/>
      <c r="BB46" s="176"/>
      <c r="BC46" s="176"/>
      <c r="BD46" s="3515"/>
      <c r="BE46" s="5834"/>
      <c r="BF46" s="176"/>
      <c r="BG46" s="176"/>
      <c r="BH46" s="176"/>
      <c r="BI46" s="3515"/>
      <c r="BJ46" s="176"/>
      <c r="BK46" s="176"/>
      <c r="BL46" s="176"/>
      <c r="BM46" s="176"/>
      <c r="BN46" s="3515"/>
      <c r="BO46" s="176"/>
      <c r="BP46" s="176"/>
      <c r="BQ46" s="176"/>
      <c r="BR46" s="178"/>
      <c r="BS46" s="3514"/>
      <c r="BT46" s="176"/>
      <c r="BU46" s="176"/>
      <c r="BV46" s="176"/>
      <c r="BW46" s="176"/>
      <c r="BX46" s="3515"/>
      <c r="BY46" s="176"/>
      <c r="BZ46" s="176"/>
      <c r="CA46" s="176"/>
      <c r="CB46" s="176"/>
      <c r="CC46" s="3515"/>
      <c r="CD46" s="176"/>
      <c r="CE46" s="176"/>
      <c r="CF46" s="176"/>
      <c r="CG46" s="176"/>
      <c r="CH46" s="3515"/>
      <c r="CI46" s="176"/>
      <c r="CJ46" s="176"/>
      <c r="CK46" s="176"/>
      <c r="CL46" s="176"/>
      <c r="CM46" s="3515"/>
      <c r="CN46" s="176"/>
      <c r="CO46" s="176"/>
      <c r="CP46" s="176"/>
      <c r="CQ46" s="176"/>
      <c r="CR46" s="3515"/>
      <c r="CS46" s="176"/>
      <c r="CT46" s="176"/>
      <c r="CU46" s="176"/>
      <c r="CV46" s="176"/>
      <c r="CW46" s="3515"/>
      <c r="CX46" s="176"/>
      <c r="CY46" s="176"/>
      <c r="CZ46" s="176"/>
      <c r="DA46" s="179"/>
      <c r="DB46" s="3515"/>
      <c r="DC46" s="176"/>
      <c r="DD46" s="176"/>
      <c r="DE46" s="176"/>
      <c r="DF46" s="176"/>
      <c r="DG46" s="5732"/>
      <c r="DH46" s="3593"/>
      <c r="DI46" s="3593"/>
      <c r="DJ46" s="3593"/>
      <c r="DK46" s="3593"/>
      <c r="DL46" s="5732"/>
      <c r="DM46" s="3593"/>
      <c r="DN46" s="3593"/>
      <c r="DO46" s="3593"/>
      <c r="DP46" s="3593"/>
      <c r="DQ46" s="5732"/>
      <c r="DR46" s="3593"/>
      <c r="DS46" s="3593"/>
      <c r="DT46" s="3593"/>
      <c r="DU46" s="3593"/>
      <c r="DV46" s="5732"/>
      <c r="DW46" s="3593"/>
      <c r="DX46" s="3593"/>
      <c r="DY46" s="3593"/>
      <c r="DZ46" s="3593"/>
      <c r="EA46" s="5732"/>
      <c r="EB46" s="3593"/>
      <c r="EC46" s="3593"/>
      <c r="ED46" s="3593"/>
      <c r="EE46" s="3593"/>
      <c r="EF46" s="5732"/>
      <c r="EG46" s="3573">
        <v>0.5</v>
      </c>
      <c r="EH46" s="3593"/>
      <c r="EI46" s="3593"/>
      <c r="EJ46" s="3593"/>
      <c r="EK46" s="5732"/>
      <c r="EL46" s="3573"/>
      <c r="EM46" s="3593"/>
      <c r="EN46" s="3593"/>
      <c r="EO46" s="3593"/>
      <c r="EP46" s="5732"/>
      <c r="EQ46" s="5732"/>
      <c r="ER46" s="5732"/>
      <c r="ES46" s="5732"/>
      <c r="ET46" s="5732"/>
      <c r="EU46" s="5732"/>
    </row>
    <row r="47" spans="1:151" s="84" customFormat="1" ht="11.25" customHeight="1">
      <c r="A47" s="3777"/>
      <c r="B47" s="176"/>
      <c r="C47" s="176"/>
      <c r="D47" s="176"/>
      <c r="E47" s="178"/>
      <c r="F47" s="3514"/>
      <c r="G47" s="176"/>
      <c r="H47" s="176"/>
      <c r="I47" s="176"/>
      <c r="J47" s="178"/>
      <c r="K47" s="3514"/>
      <c r="L47" s="176"/>
      <c r="M47" s="176"/>
      <c r="N47" s="176"/>
      <c r="O47" s="178"/>
      <c r="P47" s="3514"/>
      <c r="Q47" s="176"/>
      <c r="R47" s="176"/>
      <c r="S47" s="176"/>
      <c r="T47" s="178"/>
      <c r="U47" s="3514"/>
      <c r="V47" s="3450"/>
      <c r="W47" s="176"/>
      <c r="X47" s="176"/>
      <c r="Y47" s="178"/>
      <c r="Z47" s="3514"/>
      <c r="AA47" s="3450"/>
      <c r="AB47" s="176"/>
      <c r="AC47" s="176"/>
      <c r="AD47" s="178"/>
      <c r="AE47" s="3514"/>
      <c r="AF47" s="3450"/>
      <c r="AG47" s="176"/>
      <c r="AH47" s="176"/>
      <c r="AI47" s="178"/>
      <c r="AJ47" s="3514"/>
      <c r="AK47" s="176"/>
      <c r="AL47" s="176"/>
      <c r="AM47" s="176"/>
      <c r="AN47" s="178"/>
      <c r="AO47" s="3514"/>
      <c r="AP47" s="176"/>
      <c r="AQ47" s="176"/>
      <c r="AR47" s="176"/>
      <c r="AS47" s="178"/>
      <c r="AT47" s="3514"/>
      <c r="AU47" s="176"/>
      <c r="AV47" s="176"/>
      <c r="AW47" s="176"/>
      <c r="AX47" s="178"/>
      <c r="AY47" s="3514"/>
      <c r="AZ47" s="176"/>
      <c r="BA47" s="176"/>
      <c r="BB47" s="176"/>
      <c r="BC47" s="176"/>
      <c r="BD47" s="3515"/>
      <c r="BE47" s="5834"/>
      <c r="BF47" s="176"/>
      <c r="BG47" s="176"/>
      <c r="BH47" s="176"/>
      <c r="BI47" s="3515"/>
      <c r="BJ47" s="176"/>
      <c r="BK47" s="176"/>
      <c r="BL47" s="176"/>
      <c r="BM47" s="176"/>
      <c r="BN47" s="3515"/>
      <c r="BO47" s="176"/>
      <c r="BP47" s="176"/>
      <c r="BQ47" s="176"/>
      <c r="BR47" s="178"/>
      <c r="BS47" s="3514"/>
      <c r="BT47" s="176"/>
      <c r="BU47" s="176"/>
      <c r="BV47" s="176"/>
      <c r="BW47" s="176"/>
      <c r="BX47" s="3515"/>
      <c r="BY47" s="176"/>
      <c r="BZ47" s="176"/>
      <c r="CA47" s="176"/>
      <c r="CB47" s="176"/>
      <c r="CC47" s="3515"/>
      <c r="CD47" s="176"/>
      <c r="CE47" s="176"/>
      <c r="CF47" s="176"/>
      <c r="CG47" s="176"/>
      <c r="CH47" s="3515"/>
      <c r="CI47" s="176"/>
      <c r="CJ47" s="176"/>
      <c r="CK47" s="176"/>
      <c r="CL47" s="176"/>
      <c r="CM47" s="3515"/>
      <c r="CN47" s="176"/>
      <c r="CO47" s="176"/>
      <c r="CP47" s="176"/>
      <c r="CQ47" s="176"/>
      <c r="CR47" s="3515"/>
      <c r="CS47" s="176"/>
      <c r="CT47" s="176"/>
      <c r="CU47" s="176"/>
      <c r="CV47" s="176"/>
      <c r="CW47" s="3515"/>
      <c r="CX47" s="176"/>
      <c r="CY47" s="176"/>
      <c r="CZ47" s="176"/>
      <c r="DA47" s="179"/>
      <c r="DB47" s="3515"/>
      <c r="DC47" s="176"/>
      <c r="DD47" s="176"/>
      <c r="DE47" s="176"/>
      <c r="DF47" s="176"/>
      <c r="DG47" s="5732"/>
      <c r="DH47" s="3593"/>
      <c r="DI47" s="3593"/>
      <c r="DJ47" s="3593"/>
      <c r="DK47" s="3593"/>
      <c r="DL47" s="5732"/>
      <c r="DM47" s="3593"/>
      <c r="DN47" s="3593"/>
      <c r="DO47" s="3593"/>
      <c r="DP47" s="3593"/>
      <c r="DQ47" s="5732"/>
      <c r="DR47" s="3593"/>
      <c r="DS47" s="3593"/>
      <c r="DT47" s="3593"/>
      <c r="DU47" s="3593"/>
      <c r="DV47" s="5732"/>
      <c r="DW47" s="3593"/>
      <c r="DX47" s="3593"/>
      <c r="DY47" s="3593"/>
      <c r="DZ47" s="3593"/>
      <c r="EA47" s="5732"/>
      <c r="EB47" s="3593"/>
      <c r="EC47" s="3593"/>
      <c r="ED47" s="3593"/>
      <c r="EE47" s="3593"/>
      <c r="EF47" s="5732"/>
      <c r="EG47" s="3593"/>
      <c r="EH47" s="3593"/>
      <c r="EI47" s="3593"/>
      <c r="EJ47" s="3593"/>
      <c r="EK47" s="5732"/>
      <c r="EL47" s="4812"/>
      <c r="EM47" s="3593"/>
      <c r="EN47" s="3593"/>
      <c r="EO47" s="3593"/>
      <c r="EP47" s="5732"/>
      <c r="EQ47" s="5732"/>
      <c r="ER47" s="5732"/>
      <c r="ES47" s="5732"/>
      <c r="ET47" s="5732"/>
      <c r="EU47" s="5732"/>
    </row>
    <row r="48" spans="1:151" s="84" customFormat="1" ht="11.25" customHeight="1">
      <c r="A48" s="3777" t="s">
        <v>1096</v>
      </c>
      <c r="B48" s="176"/>
      <c r="C48" s="176"/>
      <c r="D48" s="176"/>
      <c r="E48" s="178"/>
      <c r="F48" s="3514"/>
      <c r="G48" s="176"/>
      <c r="H48" s="176"/>
      <c r="I48" s="176"/>
      <c r="J48" s="178"/>
      <c r="K48" s="3514"/>
      <c r="L48" s="176"/>
      <c r="M48" s="176"/>
      <c r="N48" s="176"/>
      <c r="O48" s="178"/>
      <c r="P48" s="3514"/>
      <c r="Q48" s="176"/>
      <c r="R48" s="176"/>
      <c r="S48" s="176"/>
      <c r="T48" s="178"/>
      <c r="U48" s="3514"/>
      <c r="V48" s="3450"/>
      <c r="W48" s="176"/>
      <c r="X48" s="176"/>
      <c r="Y48" s="178"/>
      <c r="Z48" s="3514"/>
      <c r="AA48" s="3450"/>
      <c r="AB48" s="176"/>
      <c r="AC48" s="176"/>
      <c r="AD48" s="178"/>
      <c r="AE48" s="3514"/>
      <c r="AF48" s="3450"/>
      <c r="AG48" s="176"/>
      <c r="AH48" s="176"/>
      <c r="AI48" s="178"/>
      <c r="AJ48" s="3514"/>
      <c r="AK48" s="176"/>
      <c r="AL48" s="176"/>
      <c r="AM48" s="176"/>
      <c r="AN48" s="178"/>
      <c r="AO48" s="3514"/>
      <c r="AP48" s="176"/>
      <c r="AQ48" s="176"/>
      <c r="AR48" s="176"/>
      <c r="AS48" s="178"/>
      <c r="AT48" s="3514"/>
      <c r="AU48" s="176"/>
      <c r="AV48" s="176"/>
      <c r="AW48" s="176"/>
      <c r="AX48" s="178"/>
      <c r="AY48" s="3514"/>
      <c r="AZ48" s="176"/>
      <c r="BA48" s="176"/>
      <c r="BB48" s="176"/>
      <c r="BC48" s="176"/>
      <c r="BD48" s="3515"/>
      <c r="BE48" s="5834"/>
      <c r="BF48" s="176"/>
      <c r="BG48" s="176"/>
      <c r="BH48" s="176"/>
      <c r="BI48" s="3515"/>
      <c r="BJ48" s="176"/>
      <c r="BK48" s="176"/>
      <c r="BL48" s="176"/>
      <c r="BM48" s="176"/>
      <c r="BN48" s="3515"/>
      <c r="BO48" s="176"/>
      <c r="BP48" s="176"/>
      <c r="BQ48" s="176"/>
      <c r="BR48" s="178"/>
      <c r="BS48" s="3514"/>
      <c r="BT48" s="176"/>
      <c r="BU48" s="176"/>
      <c r="BV48" s="176"/>
      <c r="BW48" s="176"/>
      <c r="BX48" s="3515"/>
      <c r="BY48" s="176"/>
      <c r="BZ48" s="176"/>
      <c r="CA48" s="176"/>
      <c r="CB48" s="176"/>
      <c r="CC48" s="3515"/>
      <c r="CD48" s="176"/>
      <c r="CE48" s="176"/>
      <c r="CF48" s="176"/>
      <c r="CG48" s="176"/>
      <c r="CH48" s="3515"/>
      <c r="CI48" s="176"/>
      <c r="CJ48" s="176"/>
      <c r="CK48" s="176"/>
      <c r="CL48" s="176"/>
      <c r="CM48" s="3515"/>
      <c r="CN48" s="176"/>
      <c r="CO48" s="176"/>
      <c r="CP48" s="176"/>
      <c r="CQ48" s="176"/>
      <c r="CR48" s="3515"/>
      <c r="CS48" s="176"/>
      <c r="CT48" s="176"/>
      <c r="CU48" s="176"/>
      <c r="CV48" s="176"/>
      <c r="CW48" s="3515"/>
      <c r="CX48" s="176"/>
      <c r="CY48" s="176"/>
      <c r="CZ48" s="176"/>
      <c r="DA48" s="179"/>
      <c r="DB48" s="3515"/>
      <c r="DC48" s="176"/>
      <c r="DD48" s="176"/>
      <c r="DE48" s="176"/>
      <c r="DF48" s="176"/>
      <c r="DG48" s="5732"/>
      <c r="DH48" s="3593"/>
      <c r="DI48" s="3593"/>
      <c r="DJ48" s="3593"/>
      <c r="DK48" s="3593"/>
      <c r="DL48" s="5732"/>
      <c r="DM48" s="3593"/>
      <c r="DN48" s="3593"/>
      <c r="DO48" s="3593"/>
      <c r="DP48" s="3593"/>
      <c r="DQ48" s="5732"/>
      <c r="DR48" s="3593"/>
      <c r="DS48" s="3593"/>
      <c r="DT48" s="3593"/>
      <c r="DU48" s="3593"/>
      <c r="DV48" s="5732"/>
      <c r="DW48" s="3593"/>
      <c r="DX48" s="5957">
        <v>4</v>
      </c>
      <c r="DY48" s="3593"/>
      <c r="DZ48" s="3593"/>
      <c r="EA48" s="5732"/>
      <c r="EB48" s="3593"/>
      <c r="EC48" s="5957">
        <v>6</v>
      </c>
      <c r="ED48" s="3593"/>
      <c r="EE48" s="3593"/>
      <c r="EF48" s="5732"/>
      <c r="EG48" s="3593"/>
      <c r="EH48" s="3593"/>
      <c r="EI48" s="3593"/>
      <c r="EJ48" s="3593"/>
      <c r="EK48" s="5732"/>
      <c r="EL48" s="4812"/>
      <c r="EM48" s="3593"/>
      <c r="EN48" s="3593"/>
      <c r="EO48" s="3593"/>
      <c r="EP48" s="5732"/>
      <c r="EQ48" s="5732"/>
      <c r="ER48" s="5732"/>
      <c r="ES48" s="5732"/>
      <c r="ET48" s="5732"/>
      <c r="EU48" s="5732"/>
    </row>
    <row r="49" spans="1:151" s="84" customFormat="1" ht="11.25" customHeight="1">
      <c r="A49" s="3777"/>
      <c r="B49" s="176"/>
      <c r="C49" s="176"/>
      <c r="D49" s="176"/>
      <c r="E49" s="178"/>
      <c r="F49" s="3514"/>
      <c r="G49" s="176"/>
      <c r="H49" s="176"/>
      <c r="I49" s="176"/>
      <c r="J49" s="178"/>
      <c r="K49" s="3514"/>
      <c r="L49" s="176"/>
      <c r="M49" s="176"/>
      <c r="N49" s="176"/>
      <c r="O49" s="178"/>
      <c r="P49" s="3514"/>
      <c r="Q49" s="176"/>
      <c r="R49" s="176"/>
      <c r="S49" s="176"/>
      <c r="T49" s="178"/>
      <c r="U49" s="3514"/>
      <c r="V49" s="3450"/>
      <c r="W49" s="176"/>
      <c r="X49" s="176"/>
      <c r="Y49" s="178"/>
      <c r="Z49" s="3514"/>
      <c r="AA49" s="3450"/>
      <c r="AB49" s="176"/>
      <c r="AC49" s="176"/>
      <c r="AD49" s="178"/>
      <c r="AE49" s="3514"/>
      <c r="AF49" s="3450"/>
      <c r="AG49" s="176"/>
      <c r="AH49" s="176"/>
      <c r="AI49" s="178"/>
      <c r="AJ49" s="3514"/>
      <c r="AK49" s="176"/>
      <c r="AL49" s="176"/>
      <c r="AM49" s="176"/>
      <c r="AN49" s="178"/>
      <c r="AO49" s="3514"/>
      <c r="AP49" s="176"/>
      <c r="AQ49" s="176"/>
      <c r="AR49" s="176"/>
      <c r="AS49" s="178"/>
      <c r="AT49" s="3514"/>
      <c r="AU49" s="176"/>
      <c r="AV49" s="176"/>
      <c r="AW49" s="176"/>
      <c r="AX49" s="178"/>
      <c r="AY49" s="3514"/>
      <c r="AZ49" s="176"/>
      <c r="BA49" s="176"/>
      <c r="BB49" s="176"/>
      <c r="BC49" s="176"/>
      <c r="BD49" s="3515"/>
      <c r="BE49" s="6166"/>
      <c r="BF49" s="176"/>
      <c r="BG49" s="176"/>
      <c r="BH49" s="176"/>
      <c r="BI49" s="3515"/>
      <c r="BJ49" s="176"/>
      <c r="BK49" s="176"/>
      <c r="BL49" s="176"/>
      <c r="BM49" s="176"/>
      <c r="BN49" s="3515"/>
      <c r="BO49" s="176"/>
      <c r="BP49" s="176"/>
      <c r="BQ49" s="176"/>
      <c r="BR49" s="178"/>
      <c r="BS49" s="3514"/>
      <c r="BT49" s="176"/>
      <c r="BU49" s="176"/>
      <c r="BV49" s="176"/>
      <c r="BW49" s="176"/>
      <c r="BX49" s="3515"/>
      <c r="BY49" s="176"/>
      <c r="BZ49" s="176"/>
      <c r="CA49" s="176"/>
      <c r="CB49" s="176"/>
      <c r="CC49" s="3515"/>
      <c r="CD49" s="176"/>
      <c r="CE49" s="176"/>
      <c r="CF49" s="176"/>
      <c r="CG49" s="176"/>
      <c r="CH49" s="3515"/>
      <c r="CI49" s="176"/>
      <c r="CJ49" s="176"/>
      <c r="CK49" s="176"/>
      <c r="CL49" s="176"/>
      <c r="CM49" s="3515"/>
      <c r="CN49" s="176"/>
      <c r="CO49" s="176"/>
      <c r="CP49" s="176"/>
      <c r="CQ49" s="176"/>
      <c r="CR49" s="3515"/>
      <c r="CS49" s="176"/>
      <c r="CT49" s="176"/>
      <c r="CU49" s="176"/>
      <c r="CV49" s="176"/>
      <c r="CW49" s="3515"/>
      <c r="CX49" s="176"/>
      <c r="CY49" s="176"/>
      <c r="CZ49" s="176"/>
      <c r="DA49" s="179"/>
      <c r="DB49" s="3515"/>
      <c r="DC49" s="176"/>
      <c r="DD49" s="176"/>
      <c r="DE49" s="176"/>
      <c r="DF49" s="176"/>
      <c r="DG49" s="5732"/>
      <c r="DH49" s="3593"/>
      <c r="DI49" s="3593"/>
      <c r="DJ49" s="3593"/>
      <c r="DK49" s="3593"/>
      <c r="DL49" s="5732"/>
      <c r="DM49" s="3593"/>
      <c r="DN49" s="3593"/>
      <c r="DO49" s="3593"/>
      <c r="DP49" s="3593"/>
      <c r="DQ49" s="5732"/>
      <c r="DR49" s="3593"/>
      <c r="DS49" s="3593"/>
      <c r="DT49" s="3593"/>
      <c r="DU49" s="3593"/>
      <c r="DV49" s="5732"/>
      <c r="DW49" s="3593"/>
      <c r="DX49" s="5957"/>
      <c r="DY49" s="3593"/>
      <c r="DZ49" s="3593"/>
      <c r="EA49" s="5732"/>
      <c r="EB49" s="3593"/>
      <c r="EC49" s="5957"/>
      <c r="ED49" s="3593"/>
      <c r="EE49" s="3593"/>
      <c r="EF49" s="5732"/>
      <c r="EG49" s="3593"/>
      <c r="EH49" s="3593"/>
      <c r="EI49" s="3593"/>
      <c r="EJ49" s="3593"/>
      <c r="EK49" s="5732"/>
      <c r="EL49" s="4812"/>
      <c r="EM49" s="3593"/>
      <c r="EN49" s="3593"/>
      <c r="EO49" s="3593"/>
      <c r="EP49" s="5732"/>
      <c r="EQ49" s="5732"/>
      <c r="ER49" s="5732"/>
      <c r="ES49" s="5732"/>
      <c r="ET49" s="5732"/>
      <c r="EU49" s="5732"/>
    </row>
    <row r="50" spans="1:151" s="84" customFormat="1" ht="11.25" customHeight="1">
      <c r="A50" s="3777" t="s">
        <v>1144</v>
      </c>
      <c r="B50" s="176"/>
      <c r="C50" s="176"/>
      <c r="D50" s="176"/>
      <c r="E50" s="178"/>
      <c r="F50" s="3514"/>
      <c r="G50" s="176"/>
      <c r="H50" s="176"/>
      <c r="I50" s="176"/>
      <c r="J50" s="178"/>
      <c r="K50" s="3514"/>
      <c r="L50" s="176"/>
      <c r="M50" s="176"/>
      <c r="N50" s="176"/>
      <c r="O50" s="178"/>
      <c r="P50" s="3514"/>
      <c r="Q50" s="176"/>
      <c r="R50" s="176"/>
      <c r="S50" s="176"/>
      <c r="T50" s="178"/>
      <c r="U50" s="3514"/>
      <c r="V50" s="3450"/>
      <c r="W50" s="176"/>
      <c r="X50" s="176"/>
      <c r="Y50" s="178"/>
      <c r="Z50" s="3514"/>
      <c r="AA50" s="3450"/>
      <c r="AB50" s="176"/>
      <c r="AC50" s="176"/>
      <c r="AD50" s="178"/>
      <c r="AE50" s="3514"/>
      <c r="AF50" s="3450"/>
      <c r="AG50" s="176"/>
      <c r="AH50" s="176"/>
      <c r="AI50" s="178"/>
      <c r="AJ50" s="3514"/>
      <c r="AK50" s="176"/>
      <c r="AL50" s="176"/>
      <c r="AM50" s="176"/>
      <c r="AN50" s="178"/>
      <c r="AO50" s="3514"/>
      <c r="AP50" s="176"/>
      <c r="AQ50" s="176"/>
      <c r="AR50" s="176"/>
      <c r="AS50" s="178"/>
      <c r="AT50" s="3514"/>
      <c r="AU50" s="176"/>
      <c r="AV50" s="176"/>
      <c r="AW50" s="176"/>
      <c r="AX50" s="178"/>
      <c r="AY50" s="3514"/>
      <c r="AZ50" s="176"/>
      <c r="BA50" s="176"/>
      <c r="BB50" s="176"/>
      <c r="BC50" s="176"/>
      <c r="BD50" s="3515"/>
      <c r="BE50" s="6166"/>
      <c r="BF50" s="176"/>
      <c r="BG50" s="176"/>
      <c r="BH50" s="176"/>
      <c r="BI50" s="3515"/>
      <c r="BJ50" s="176"/>
      <c r="BK50" s="176"/>
      <c r="BL50" s="176"/>
      <c r="BM50" s="176"/>
      <c r="BN50" s="3515"/>
      <c r="BO50" s="176"/>
      <c r="BP50" s="176"/>
      <c r="BQ50" s="176"/>
      <c r="BR50" s="178"/>
      <c r="BS50" s="3514"/>
      <c r="BT50" s="176"/>
      <c r="BU50" s="176"/>
      <c r="BV50" s="176"/>
      <c r="BW50" s="176"/>
      <c r="BX50" s="3515"/>
      <c r="BY50" s="176"/>
      <c r="BZ50" s="176"/>
      <c r="CA50" s="176"/>
      <c r="CB50" s="176"/>
      <c r="CC50" s="3515"/>
      <c r="CD50" s="176"/>
      <c r="CE50" s="176"/>
      <c r="CF50" s="176"/>
      <c r="CG50" s="176"/>
      <c r="CH50" s="3515"/>
      <c r="CI50" s="176"/>
      <c r="CJ50" s="176"/>
      <c r="CK50" s="176"/>
      <c r="CL50" s="176"/>
      <c r="CM50" s="3515"/>
      <c r="CN50" s="176"/>
      <c r="CO50" s="176"/>
      <c r="CP50" s="176"/>
      <c r="CQ50" s="176"/>
      <c r="CR50" s="3515"/>
      <c r="CS50" s="176"/>
      <c r="CT50" s="176"/>
      <c r="CU50" s="176"/>
      <c r="CV50" s="176"/>
      <c r="CW50" s="3515"/>
      <c r="CX50" s="176"/>
      <c r="CY50" s="176"/>
      <c r="CZ50" s="176"/>
      <c r="DA50" s="179"/>
      <c r="DB50" s="3515"/>
      <c r="DC50" s="176"/>
      <c r="DD50" s="176"/>
      <c r="DE50" s="176"/>
      <c r="DF50" s="176"/>
      <c r="DG50" s="5732"/>
      <c r="DH50" s="3593"/>
      <c r="DI50" s="3593"/>
      <c r="DJ50" s="3593"/>
      <c r="DK50" s="3593"/>
      <c r="DL50" s="5732"/>
      <c r="DM50" s="3593"/>
      <c r="DN50" s="3593"/>
      <c r="DO50" s="3593"/>
      <c r="DP50" s="3593"/>
      <c r="DQ50" s="5732"/>
      <c r="DR50" s="3593"/>
      <c r="DS50" s="3593"/>
      <c r="DT50" s="3593"/>
      <c r="DU50" s="3593"/>
      <c r="DV50" s="5732"/>
      <c r="DW50" s="3593"/>
      <c r="DX50" s="5957"/>
      <c r="DY50" s="3593"/>
      <c r="DZ50" s="3593"/>
      <c r="EA50" s="5732"/>
      <c r="EB50" s="3593"/>
      <c r="EC50" s="5957"/>
      <c r="ED50" s="3593"/>
      <c r="EE50" s="3593"/>
      <c r="EF50" s="5732"/>
      <c r="EG50" s="3593"/>
      <c r="EH50" s="3593"/>
      <c r="EI50" s="3593"/>
      <c r="EJ50" s="3593"/>
      <c r="EK50" s="5732"/>
      <c r="EL50" s="6167" t="s">
        <v>1145</v>
      </c>
      <c r="EM50" s="3593"/>
      <c r="EN50" s="3593"/>
      <c r="EO50" s="3593"/>
      <c r="EP50" s="5732"/>
      <c r="EQ50" s="5732"/>
      <c r="ER50" s="5732"/>
      <c r="ES50" s="5732"/>
      <c r="ET50" s="5732"/>
      <c r="EU50" s="5732"/>
    </row>
    <row r="51" spans="1:151" s="84" customFormat="1" ht="11.25" hidden="1" customHeight="1" outlineLevel="1">
      <c r="A51" s="3777"/>
      <c r="B51" s="176"/>
      <c r="C51" s="176"/>
      <c r="D51" s="176"/>
      <c r="E51" s="178"/>
      <c r="F51" s="3514"/>
      <c r="G51" s="176"/>
      <c r="H51" s="176"/>
      <c r="I51" s="176"/>
      <c r="J51" s="178"/>
      <c r="K51" s="3514"/>
      <c r="L51" s="176"/>
      <c r="M51" s="176"/>
      <c r="N51" s="176"/>
      <c r="O51" s="178"/>
      <c r="P51" s="3514"/>
      <c r="Q51" s="176"/>
      <c r="R51" s="176"/>
      <c r="S51" s="176"/>
      <c r="T51" s="178"/>
      <c r="U51" s="3514"/>
      <c r="V51" s="3450"/>
      <c r="W51" s="176"/>
      <c r="X51" s="176"/>
      <c r="Y51" s="178"/>
      <c r="Z51" s="3514"/>
      <c r="AA51" s="3450"/>
      <c r="AB51" s="176"/>
      <c r="AC51" s="176"/>
      <c r="AD51" s="178"/>
      <c r="AE51" s="3514"/>
      <c r="AF51" s="3450"/>
      <c r="AG51" s="176"/>
      <c r="AH51" s="176"/>
      <c r="AI51" s="178"/>
      <c r="AJ51" s="3514"/>
      <c r="AK51" s="176"/>
      <c r="AL51" s="176"/>
      <c r="AM51" s="176"/>
      <c r="AN51" s="178"/>
      <c r="AO51" s="3514"/>
      <c r="AP51" s="176"/>
      <c r="AQ51" s="176"/>
      <c r="AR51" s="176"/>
      <c r="AS51" s="178"/>
      <c r="AT51" s="3514"/>
      <c r="AU51" s="176"/>
      <c r="AV51" s="176"/>
      <c r="AW51" s="176"/>
      <c r="AX51" s="178"/>
      <c r="AY51" s="3514"/>
      <c r="AZ51" s="176"/>
      <c r="BA51" s="176"/>
      <c r="BB51" s="176"/>
      <c r="BC51" s="176"/>
      <c r="BD51" s="3515"/>
      <c r="BE51" s="5834"/>
      <c r="BF51" s="176"/>
      <c r="BG51" s="176"/>
      <c r="BH51" s="176"/>
      <c r="BI51" s="3515"/>
      <c r="BJ51" s="176"/>
      <c r="BK51" s="176"/>
      <c r="BL51" s="176"/>
      <c r="BM51" s="176"/>
      <c r="BN51" s="3515"/>
      <c r="BO51" s="176"/>
      <c r="BP51" s="176"/>
      <c r="BQ51" s="176"/>
      <c r="BR51" s="178"/>
      <c r="BS51" s="3514"/>
      <c r="BT51" s="176"/>
      <c r="BU51" s="176"/>
      <c r="BV51" s="176"/>
      <c r="BW51" s="176"/>
      <c r="BX51" s="3515"/>
      <c r="BY51" s="176"/>
      <c r="BZ51" s="176"/>
      <c r="CA51" s="176"/>
      <c r="CB51" s="176"/>
      <c r="CC51" s="3515"/>
      <c r="CD51" s="176"/>
      <c r="CE51" s="176"/>
      <c r="CF51" s="176"/>
      <c r="CG51" s="176"/>
      <c r="CH51" s="3515"/>
      <c r="CI51" s="176"/>
      <c r="CJ51" s="176"/>
      <c r="CK51" s="176"/>
      <c r="CL51" s="176"/>
      <c r="CM51" s="3515"/>
      <c r="CN51" s="176"/>
      <c r="CO51" s="176"/>
      <c r="CP51" s="176"/>
      <c r="CQ51" s="176"/>
      <c r="CR51" s="3515"/>
      <c r="CS51" s="176"/>
      <c r="CT51" s="176"/>
      <c r="CU51" s="176"/>
      <c r="CV51" s="176"/>
      <c r="CW51" s="3515"/>
      <c r="CX51" s="176"/>
      <c r="CY51" s="176"/>
      <c r="CZ51" s="176"/>
      <c r="DA51" s="179"/>
      <c r="DB51" s="3515"/>
      <c r="DC51" s="176"/>
      <c r="DD51" s="176"/>
      <c r="DE51" s="176"/>
      <c r="DF51" s="176"/>
      <c r="DG51" s="5732"/>
      <c r="DH51" s="3593"/>
      <c r="DI51" s="3593"/>
      <c r="DJ51" s="3593"/>
      <c r="DK51" s="3593"/>
      <c r="DL51" s="5732"/>
      <c r="DM51" s="3593"/>
      <c r="DN51" s="3593"/>
      <c r="DO51" s="3593"/>
      <c r="DP51" s="3593"/>
      <c r="DQ51" s="5732"/>
      <c r="DR51" s="3593"/>
      <c r="DS51" s="3593"/>
      <c r="DT51" s="3593"/>
      <c r="DU51" s="3593"/>
      <c r="DV51" s="5732"/>
      <c r="DW51" s="3593"/>
      <c r="DX51" s="3593"/>
      <c r="DY51" s="3593"/>
      <c r="DZ51" s="3593"/>
      <c r="EA51" s="5732"/>
      <c r="EB51" s="3593"/>
      <c r="EC51" s="3593"/>
      <c r="ED51" s="3593"/>
      <c r="EE51" s="3593"/>
      <c r="EF51" s="5732"/>
      <c r="EG51" s="3593"/>
      <c r="EH51" s="3593"/>
      <c r="EI51" s="3593"/>
      <c r="EJ51" s="3593"/>
      <c r="EK51" s="5732"/>
      <c r="EL51" s="4812"/>
      <c r="EM51" s="3593"/>
      <c r="EN51" s="3593"/>
      <c r="EO51" s="3593"/>
      <c r="EP51" s="5732"/>
      <c r="EQ51" s="5732"/>
      <c r="ER51" s="5732"/>
      <c r="ES51" s="5732"/>
      <c r="ET51" s="5732"/>
      <c r="EU51" s="5732"/>
    </row>
    <row r="52" spans="1:151" s="84" customFormat="1" ht="11.25" customHeight="1" collapsed="1">
      <c r="A52" s="5950" t="s">
        <v>1138</v>
      </c>
      <c r="B52" s="1138"/>
      <c r="C52" s="1138"/>
      <c r="D52" s="1138"/>
      <c r="E52" s="4300"/>
      <c r="F52" s="5946"/>
      <c r="G52" s="1138"/>
      <c r="H52" s="1138"/>
      <c r="I52" s="1138"/>
      <c r="J52" s="4300"/>
      <c r="K52" s="5946"/>
      <c r="L52" s="1138"/>
      <c r="M52" s="1138"/>
      <c r="N52" s="1138"/>
      <c r="O52" s="4300"/>
      <c r="P52" s="5946"/>
      <c r="Q52" s="1138"/>
      <c r="R52" s="1138"/>
      <c r="S52" s="1138"/>
      <c r="T52" s="4300"/>
      <c r="U52" s="5946"/>
      <c r="V52" s="4021"/>
      <c r="W52" s="1138"/>
      <c r="X52" s="1138"/>
      <c r="Y52" s="4300"/>
      <c r="Z52" s="5946"/>
      <c r="AA52" s="4021"/>
      <c r="AB52" s="1138"/>
      <c r="AC52" s="1138"/>
      <c r="AD52" s="4300"/>
      <c r="AE52" s="5946"/>
      <c r="AF52" s="4021"/>
      <c r="AG52" s="1138"/>
      <c r="AH52" s="1138"/>
      <c r="AI52" s="4300"/>
      <c r="AJ52" s="5946"/>
      <c r="AK52" s="1138"/>
      <c r="AL52" s="1138"/>
      <c r="AM52" s="1138"/>
      <c r="AN52" s="4300"/>
      <c r="AO52" s="5946"/>
      <c r="AP52" s="1138"/>
      <c r="AQ52" s="1138"/>
      <c r="AR52" s="1138"/>
      <c r="AS52" s="4300"/>
      <c r="AT52" s="5946"/>
      <c r="AU52" s="1138"/>
      <c r="AV52" s="1138"/>
      <c r="AW52" s="1138"/>
      <c r="AX52" s="4300"/>
      <c r="AY52" s="5946"/>
      <c r="AZ52" s="1138"/>
      <c r="BA52" s="1138"/>
      <c r="BB52" s="1138"/>
      <c r="BC52" s="1138"/>
      <c r="BD52" s="5947"/>
      <c r="BE52" s="5948"/>
      <c r="BF52" s="1138"/>
      <c r="BG52" s="1138"/>
      <c r="BH52" s="1138"/>
      <c r="BI52" s="5947"/>
      <c r="BJ52" s="1138"/>
      <c r="BK52" s="1138"/>
      <c r="BL52" s="1138"/>
      <c r="BM52" s="1138"/>
      <c r="BN52" s="5947"/>
      <c r="BO52" s="1138"/>
      <c r="BP52" s="1138"/>
      <c r="BQ52" s="1138"/>
      <c r="BR52" s="4300"/>
      <c r="BS52" s="5946"/>
      <c r="BT52" s="1138"/>
      <c r="BU52" s="1138"/>
      <c r="BV52" s="1138"/>
      <c r="BW52" s="1138"/>
      <c r="BX52" s="5947"/>
      <c r="BY52" s="1138"/>
      <c r="BZ52" s="1138"/>
      <c r="CA52" s="1138"/>
      <c r="CB52" s="1138"/>
      <c r="CC52" s="5947"/>
      <c r="CD52" s="1138"/>
      <c r="CE52" s="1138"/>
      <c r="CF52" s="1138"/>
      <c r="CG52" s="1138"/>
      <c r="CH52" s="5947"/>
      <c r="CI52" s="1138"/>
      <c r="CJ52" s="1138"/>
      <c r="CK52" s="1138"/>
      <c r="CL52" s="1138"/>
      <c r="CM52" s="5947"/>
      <c r="CN52" s="1138"/>
      <c r="CO52" s="1138"/>
      <c r="CP52" s="1138"/>
      <c r="CQ52" s="1138"/>
      <c r="CR52" s="5947"/>
      <c r="CS52" s="1138"/>
      <c r="CT52" s="1138"/>
      <c r="CU52" s="1138"/>
      <c r="CV52" s="1138"/>
      <c r="CW52" s="5947"/>
      <c r="CX52" s="1138"/>
      <c r="CY52" s="1138"/>
      <c r="CZ52" s="1138"/>
      <c r="DA52" s="5949"/>
      <c r="DB52" s="5947"/>
      <c r="DC52" s="1138"/>
      <c r="DD52" s="1138"/>
      <c r="DE52" s="1138"/>
      <c r="DF52" s="1138"/>
      <c r="DG52" s="5705"/>
      <c r="DH52" s="3453"/>
      <c r="DI52" s="3453"/>
      <c r="DJ52" s="3453"/>
      <c r="DK52" s="3453"/>
      <c r="DL52" s="5705"/>
      <c r="DM52" s="3453"/>
      <c r="DN52" s="3453"/>
      <c r="DO52" s="3453"/>
      <c r="DP52" s="3453"/>
      <c r="DQ52" s="5705"/>
      <c r="DR52" s="3453"/>
      <c r="DS52" s="3453"/>
      <c r="DT52" s="3453"/>
      <c r="DU52" s="3453"/>
      <c r="DV52" s="5705"/>
      <c r="DW52" s="3453"/>
      <c r="DX52" s="3453"/>
      <c r="DY52" s="3453"/>
      <c r="DZ52" s="3453"/>
      <c r="EA52" s="5705"/>
      <c r="EB52" s="3453"/>
      <c r="EC52" s="3453"/>
      <c r="ED52" s="3453"/>
      <c r="EE52" s="3453"/>
      <c r="EF52" s="5705"/>
      <c r="EG52" s="3453"/>
      <c r="EH52" s="3453"/>
      <c r="EI52" s="3453"/>
      <c r="EJ52" s="3453"/>
      <c r="EK52" s="5705"/>
      <c r="EL52" s="5879"/>
      <c r="EM52" s="3453"/>
      <c r="EN52" s="3453"/>
      <c r="EO52" s="3453"/>
      <c r="EP52" s="5705"/>
      <c r="EQ52" s="5705"/>
      <c r="ER52" s="5705"/>
      <c r="ES52" s="5705"/>
      <c r="ET52" s="5705"/>
      <c r="EU52" s="5705"/>
    </row>
    <row r="53" spans="1:151" s="84" customFormat="1" ht="11.25" customHeight="1">
      <c r="A53" s="3777" t="s">
        <v>1139</v>
      </c>
      <c r="B53" s="176"/>
      <c r="C53" s="176"/>
      <c r="D53" s="176"/>
      <c r="E53" s="178"/>
      <c r="F53" s="3514"/>
      <c r="G53" s="176"/>
      <c r="H53" s="176"/>
      <c r="I53" s="176"/>
      <c r="J53" s="178"/>
      <c r="K53" s="3514"/>
      <c r="L53" s="176"/>
      <c r="M53" s="176"/>
      <c r="N53" s="176"/>
      <c r="O53" s="178"/>
      <c r="P53" s="3514"/>
      <c r="Q53" s="176"/>
      <c r="R53" s="176"/>
      <c r="S53" s="176"/>
      <c r="T53" s="178"/>
      <c r="U53" s="3514"/>
      <c r="V53" s="3450"/>
      <c r="W53" s="176"/>
      <c r="X53" s="176"/>
      <c r="Y53" s="178"/>
      <c r="Z53" s="3514"/>
      <c r="AA53" s="3450"/>
      <c r="AB53" s="176"/>
      <c r="AC53" s="176"/>
      <c r="AD53" s="178"/>
      <c r="AE53" s="3514"/>
      <c r="AF53" s="3450"/>
      <c r="AG53" s="176"/>
      <c r="AH53" s="176"/>
      <c r="AI53" s="178"/>
      <c r="AJ53" s="3514"/>
      <c r="AK53" s="176"/>
      <c r="AL53" s="176"/>
      <c r="AM53" s="176"/>
      <c r="AN53" s="178"/>
      <c r="AO53" s="3514"/>
      <c r="AP53" s="176"/>
      <c r="AQ53" s="176"/>
      <c r="AR53" s="176"/>
      <c r="AS53" s="178"/>
      <c r="AT53" s="3514"/>
      <c r="AU53" s="176"/>
      <c r="AV53" s="176"/>
      <c r="AW53" s="176"/>
      <c r="AX53" s="178"/>
      <c r="AY53" s="3514"/>
      <c r="AZ53" s="176"/>
      <c r="BA53" s="176"/>
      <c r="BB53" s="176"/>
      <c r="BC53" s="176"/>
      <c r="BD53" s="3515"/>
      <c r="BE53" s="5834"/>
      <c r="BF53" s="176"/>
      <c r="BG53" s="176"/>
      <c r="BH53" s="176"/>
      <c r="BI53" s="3515"/>
      <c r="BJ53" s="176"/>
      <c r="BK53" s="176"/>
      <c r="BL53" s="176"/>
      <c r="BM53" s="176"/>
      <c r="BN53" s="3515"/>
      <c r="BO53" s="176"/>
      <c r="BP53" s="176"/>
      <c r="BQ53" s="176"/>
      <c r="BR53" s="178"/>
      <c r="BS53" s="3514"/>
      <c r="BT53" s="176"/>
      <c r="BU53" s="176"/>
      <c r="BV53" s="176"/>
      <c r="BW53" s="176"/>
      <c r="BX53" s="3515"/>
      <c r="BY53" s="176"/>
      <c r="BZ53" s="176"/>
      <c r="CA53" s="176"/>
      <c r="CB53" s="176"/>
      <c r="CC53" s="3515"/>
      <c r="CD53" s="176"/>
      <c r="CE53" s="176"/>
      <c r="CF53" s="176"/>
      <c r="CG53" s="176"/>
      <c r="CH53" s="3515"/>
      <c r="CI53" s="176"/>
      <c r="CJ53" s="176"/>
      <c r="CK53" s="176"/>
      <c r="CL53" s="176"/>
      <c r="CM53" s="3515"/>
      <c r="CN53" s="176"/>
      <c r="CO53" s="176"/>
      <c r="CP53" s="176"/>
      <c r="CQ53" s="176"/>
      <c r="CR53" s="3515"/>
      <c r="CS53" s="176"/>
      <c r="CT53" s="176"/>
      <c r="CU53" s="176"/>
      <c r="CV53" s="176"/>
      <c r="CW53" s="3515"/>
      <c r="CX53" s="176"/>
      <c r="CY53" s="176"/>
      <c r="CZ53" s="176"/>
      <c r="DA53" s="179"/>
      <c r="DB53" s="3515"/>
      <c r="DC53" s="176"/>
      <c r="DD53" s="176"/>
      <c r="DE53" s="176"/>
      <c r="DF53" s="176"/>
      <c r="DG53" s="5732"/>
      <c r="DH53" s="3593"/>
      <c r="DI53" s="3593"/>
      <c r="DJ53" s="3593"/>
      <c r="DK53" s="3593"/>
      <c r="DL53" s="5732"/>
      <c r="DM53" s="3593"/>
      <c r="DN53" s="3593"/>
      <c r="DO53" s="3593"/>
      <c r="DP53" s="3593"/>
      <c r="DQ53" s="5732"/>
      <c r="DR53" s="3593"/>
      <c r="DS53" s="3593"/>
      <c r="DT53" s="3593"/>
      <c r="DU53" s="3593"/>
      <c r="DV53" s="5732"/>
      <c r="DW53" s="3593"/>
      <c r="DX53" s="3593"/>
      <c r="DY53" s="3593"/>
      <c r="DZ53" s="3593"/>
      <c r="EA53" s="5732"/>
      <c r="EB53" s="3593"/>
      <c r="EC53" s="3593"/>
      <c r="ED53" s="3593"/>
      <c r="EE53" s="3593"/>
      <c r="EF53" s="5732"/>
      <c r="EG53" s="3593"/>
      <c r="EH53" s="3593"/>
      <c r="EI53" s="3593"/>
      <c r="EJ53" s="3593"/>
      <c r="EK53" s="5732"/>
      <c r="EL53" s="4812" t="s">
        <v>1140</v>
      </c>
      <c r="EM53" s="3593"/>
      <c r="EN53" s="4812" t="s">
        <v>1200</v>
      </c>
      <c r="EO53" s="3593"/>
      <c r="EP53" s="5732"/>
      <c r="EQ53" s="5732"/>
      <c r="ER53" s="5732"/>
      <c r="ES53" s="5732"/>
      <c r="ET53" s="5732"/>
      <c r="EU53" s="5732"/>
    </row>
    <row r="54" spans="1:151" s="84" customFormat="1" ht="11.25" customHeight="1">
      <c r="A54" s="3777"/>
      <c r="B54" s="176"/>
      <c r="C54" s="176"/>
      <c r="D54" s="176"/>
      <c r="E54" s="178"/>
      <c r="F54" s="3514"/>
      <c r="G54" s="176"/>
      <c r="H54" s="176"/>
      <c r="I54" s="176"/>
      <c r="J54" s="178"/>
      <c r="K54" s="3514"/>
      <c r="L54" s="176"/>
      <c r="M54" s="176"/>
      <c r="N54" s="176"/>
      <c r="O54" s="178"/>
      <c r="P54" s="3514"/>
      <c r="Q54" s="176"/>
      <c r="R54" s="176"/>
      <c r="S54" s="176"/>
      <c r="T54" s="178"/>
      <c r="U54" s="3514"/>
      <c r="V54" s="3450"/>
      <c r="W54" s="176"/>
      <c r="X54" s="176"/>
      <c r="Y54" s="178"/>
      <c r="Z54" s="3514"/>
      <c r="AA54" s="3450"/>
      <c r="AB54" s="176"/>
      <c r="AC54" s="176"/>
      <c r="AD54" s="178"/>
      <c r="AE54" s="3514"/>
      <c r="AF54" s="3450"/>
      <c r="AG54" s="176"/>
      <c r="AH54" s="176"/>
      <c r="AI54" s="178"/>
      <c r="AJ54" s="3514"/>
      <c r="AK54" s="176"/>
      <c r="AL54" s="176"/>
      <c r="AM54" s="176"/>
      <c r="AN54" s="178"/>
      <c r="AO54" s="3514"/>
      <c r="AP54" s="176"/>
      <c r="AQ54" s="176"/>
      <c r="AR54" s="176"/>
      <c r="AS54" s="178"/>
      <c r="AT54" s="3514"/>
      <c r="AU54" s="176"/>
      <c r="AV54" s="176"/>
      <c r="AW54" s="176"/>
      <c r="AX54" s="178"/>
      <c r="AY54" s="3514"/>
      <c r="AZ54" s="176"/>
      <c r="BA54" s="176"/>
      <c r="BB54" s="176"/>
      <c r="BC54" s="176"/>
      <c r="BD54" s="3515"/>
      <c r="BE54" s="6166"/>
      <c r="BF54" s="176"/>
      <c r="BG54" s="176"/>
      <c r="BH54" s="176"/>
      <c r="BI54" s="3515"/>
      <c r="BJ54" s="176"/>
      <c r="BK54" s="176"/>
      <c r="BL54" s="176"/>
      <c r="BM54" s="176"/>
      <c r="BN54" s="3515"/>
      <c r="BO54" s="176"/>
      <c r="BP54" s="176"/>
      <c r="BQ54" s="176"/>
      <c r="BR54" s="178"/>
      <c r="BS54" s="3514"/>
      <c r="BT54" s="176"/>
      <c r="BU54" s="176"/>
      <c r="BV54" s="176"/>
      <c r="BW54" s="176"/>
      <c r="BX54" s="3515"/>
      <c r="BY54" s="176"/>
      <c r="BZ54" s="176"/>
      <c r="CA54" s="176"/>
      <c r="CB54" s="176"/>
      <c r="CC54" s="3515"/>
      <c r="CD54" s="176"/>
      <c r="CE54" s="176"/>
      <c r="CF54" s="176"/>
      <c r="CG54" s="176"/>
      <c r="CH54" s="3515"/>
      <c r="CI54" s="176"/>
      <c r="CJ54" s="176"/>
      <c r="CK54" s="176"/>
      <c r="CL54" s="176"/>
      <c r="CM54" s="3515"/>
      <c r="CN54" s="176"/>
      <c r="CO54" s="176"/>
      <c r="CP54" s="176"/>
      <c r="CQ54" s="176"/>
      <c r="CR54" s="3515"/>
      <c r="CS54" s="176"/>
      <c r="CT54" s="176"/>
      <c r="CU54" s="176"/>
      <c r="CV54" s="176"/>
      <c r="CW54" s="3515"/>
      <c r="CX54" s="176"/>
      <c r="CY54" s="176"/>
      <c r="CZ54" s="176"/>
      <c r="DA54" s="179"/>
      <c r="DB54" s="3515"/>
      <c r="DC54" s="176"/>
      <c r="DD54" s="176"/>
      <c r="DE54" s="176"/>
      <c r="DF54" s="176"/>
      <c r="DG54" s="5732"/>
      <c r="DH54" s="3593"/>
      <c r="DI54" s="3593"/>
      <c r="DJ54" s="3593"/>
      <c r="DK54" s="3593"/>
      <c r="DL54" s="5732"/>
      <c r="DM54" s="3593"/>
      <c r="DN54" s="3593"/>
      <c r="DO54" s="3593"/>
      <c r="DP54" s="3593"/>
      <c r="DQ54" s="5732"/>
      <c r="DR54" s="3593"/>
      <c r="DS54" s="3593"/>
      <c r="DT54" s="3593"/>
      <c r="DU54" s="3593"/>
      <c r="DV54" s="5732"/>
      <c r="DW54" s="3593"/>
      <c r="DX54" s="3593"/>
      <c r="DY54" s="3593"/>
      <c r="DZ54" s="3593"/>
      <c r="EA54" s="5732"/>
      <c r="EB54" s="3593"/>
      <c r="EC54" s="3593"/>
      <c r="ED54" s="3593"/>
      <c r="EE54" s="3593"/>
      <c r="EF54" s="5732"/>
      <c r="EG54" s="3593"/>
      <c r="EH54" s="3593"/>
      <c r="EI54" s="3593"/>
      <c r="EJ54" s="3593"/>
      <c r="EK54" s="5732"/>
      <c r="EL54" s="4812"/>
      <c r="EM54" s="3593"/>
      <c r="EN54" s="3593"/>
      <c r="EO54" s="3593"/>
      <c r="EP54" s="5732"/>
      <c r="EQ54" s="5732"/>
      <c r="ER54" s="5732"/>
      <c r="ES54" s="5732"/>
      <c r="ET54" s="5732"/>
      <c r="EU54" s="5732"/>
    </row>
    <row r="55" spans="1:151" s="84" customFormat="1" ht="11.25" hidden="1" customHeight="1" outlineLevel="1">
      <c r="A55" s="3777"/>
      <c r="B55" s="176"/>
      <c r="C55" s="176"/>
      <c r="D55" s="176"/>
      <c r="E55" s="178"/>
      <c r="F55" s="3514"/>
      <c r="G55" s="176"/>
      <c r="H55" s="176"/>
      <c r="I55" s="176"/>
      <c r="J55" s="178"/>
      <c r="K55" s="3514"/>
      <c r="L55" s="176"/>
      <c r="M55" s="176"/>
      <c r="N55" s="176"/>
      <c r="O55" s="178"/>
      <c r="P55" s="3514"/>
      <c r="Q55" s="176"/>
      <c r="R55" s="176"/>
      <c r="S55" s="176"/>
      <c r="T55" s="178"/>
      <c r="U55" s="3514"/>
      <c r="V55" s="3450"/>
      <c r="W55" s="176"/>
      <c r="X55" s="176"/>
      <c r="Y55" s="178"/>
      <c r="Z55" s="3514"/>
      <c r="AA55" s="3450"/>
      <c r="AB55" s="176"/>
      <c r="AC55" s="176"/>
      <c r="AD55" s="178"/>
      <c r="AE55" s="3514"/>
      <c r="AF55" s="3450"/>
      <c r="AG55" s="176"/>
      <c r="AH55" s="176"/>
      <c r="AI55" s="178"/>
      <c r="AJ55" s="3514"/>
      <c r="AK55" s="176"/>
      <c r="AL55" s="176"/>
      <c r="AM55" s="176"/>
      <c r="AN55" s="178"/>
      <c r="AO55" s="3514"/>
      <c r="AP55" s="176"/>
      <c r="AQ55" s="176"/>
      <c r="AR55" s="176"/>
      <c r="AS55" s="178"/>
      <c r="AT55" s="3514"/>
      <c r="AU55" s="176"/>
      <c r="AV55" s="176"/>
      <c r="AW55" s="176"/>
      <c r="AX55" s="178"/>
      <c r="AY55" s="3514"/>
      <c r="AZ55" s="176"/>
      <c r="BA55" s="176"/>
      <c r="BB55" s="176"/>
      <c r="BC55" s="176"/>
      <c r="BD55" s="3515"/>
      <c r="BE55" s="6166"/>
      <c r="BF55" s="176"/>
      <c r="BG55" s="176"/>
      <c r="BH55" s="176"/>
      <c r="BI55" s="3515"/>
      <c r="BJ55" s="176"/>
      <c r="BK55" s="176"/>
      <c r="BL55" s="176"/>
      <c r="BM55" s="176"/>
      <c r="BN55" s="3515"/>
      <c r="BO55" s="176"/>
      <c r="BP55" s="176"/>
      <c r="BQ55" s="176"/>
      <c r="BR55" s="178"/>
      <c r="BS55" s="3514"/>
      <c r="BT55" s="176"/>
      <c r="BU55" s="176"/>
      <c r="BV55" s="176"/>
      <c r="BW55" s="176"/>
      <c r="BX55" s="3515"/>
      <c r="BY55" s="176"/>
      <c r="BZ55" s="176"/>
      <c r="CA55" s="176"/>
      <c r="CB55" s="176"/>
      <c r="CC55" s="3515"/>
      <c r="CD55" s="176"/>
      <c r="CE55" s="176"/>
      <c r="CF55" s="176"/>
      <c r="CG55" s="176"/>
      <c r="CH55" s="3515"/>
      <c r="CI55" s="176"/>
      <c r="CJ55" s="176"/>
      <c r="CK55" s="176"/>
      <c r="CL55" s="176"/>
      <c r="CM55" s="3515"/>
      <c r="CN55" s="176"/>
      <c r="CO55" s="176"/>
      <c r="CP55" s="176"/>
      <c r="CQ55" s="176"/>
      <c r="CR55" s="3515"/>
      <c r="CS55" s="176"/>
      <c r="CT55" s="176"/>
      <c r="CU55" s="176"/>
      <c r="CV55" s="176"/>
      <c r="CW55" s="3515"/>
      <c r="CX55" s="176"/>
      <c r="CY55" s="176"/>
      <c r="CZ55" s="176"/>
      <c r="DA55" s="179"/>
      <c r="DB55" s="3515"/>
      <c r="DC55" s="176"/>
      <c r="DD55" s="176"/>
      <c r="DE55" s="176"/>
      <c r="DF55" s="176"/>
      <c r="DG55" s="5732"/>
      <c r="DH55" s="3593"/>
      <c r="DI55" s="3593"/>
      <c r="DJ55" s="3593"/>
      <c r="DK55" s="3593"/>
      <c r="DL55" s="5732"/>
      <c r="DM55" s="3593"/>
      <c r="DN55" s="3593"/>
      <c r="DO55" s="3593"/>
      <c r="DP55" s="3593"/>
      <c r="DQ55" s="5732"/>
      <c r="DR55" s="3593"/>
      <c r="DS55" s="3593"/>
      <c r="DT55" s="3593"/>
      <c r="DU55" s="3593"/>
      <c r="DV55" s="5732"/>
      <c r="DW55" s="3593"/>
      <c r="DX55" s="3593"/>
      <c r="DY55" s="3593"/>
      <c r="DZ55" s="3593"/>
      <c r="EA55" s="5732"/>
      <c r="EB55" s="3593"/>
      <c r="EC55" s="3593"/>
      <c r="ED55" s="3593"/>
      <c r="EE55" s="3593"/>
      <c r="EF55" s="5732"/>
      <c r="EG55" s="3593"/>
      <c r="EH55" s="3593"/>
      <c r="EI55" s="3593"/>
      <c r="EJ55" s="3593"/>
      <c r="EK55" s="5732"/>
      <c r="EL55" s="4812"/>
      <c r="EM55" s="3593"/>
      <c r="EN55" s="3593"/>
      <c r="EO55" s="3593"/>
      <c r="EP55" s="5732"/>
      <c r="EQ55" s="5732"/>
      <c r="ER55" s="5732"/>
      <c r="ES55" s="5732"/>
      <c r="ET55" s="5732"/>
      <c r="EU55" s="5732"/>
    </row>
    <row r="56" spans="1:151" s="84" customFormat="1" ht="11.25" customHeight="1" collapsed="1">
      <c r="A56" s="5950" t="s">
        <v>1094</v>
      </c>
      <c r="B56" s="2925"/>
      <c r="C56" s="2925"/>
      <c r="D56" s="2925"/>
      <c r="E56" s="2927"/>
      <c r="F56" s="5951"/>
      <c r="G56" s="2925"/>
      <c r="H56" s="2925"/>
      <c r="I56" s="2925"/>
      <c r="J56" s="2927"/>
      <c r="K56" s="5951"/>
      <c r="L56" s="2925"/>
      <c r="M56" s="2925"/>
      <c r="N56" s="2925"/>
      <c r="O56" s="2927"/>
      <c r="P56" s="5951"/>
      <c r="Q56" s="2925"/>
      <c r="R56" s="2925"/>
      <c r="S56" s="2925"/>
      <c r="T56" s="2927"/>
      <c r="U56" s="5951"/>
      <c r="V56" s="4185"/>
      <c r="W56" s="2925"/>
      <c r="X56" s="2925"/>
      <c r="Y56" s="2927"/>
      <c r="Z56" s="5951"/>
      <c r="AA56" s="4185"/>
      <c r="AB56" s="2925"/>
      <c r="AC56" s="2925"/>
      <c r="AD56" s="2927"/>
      <c r="AE56" s="5951"/>
      <c r="AF56" s="4185"/>
      <c r="AG56" s="2925"/>
      <c r="AH56" s="2925"/>
      <c r="AI56" s="2927"/>
      <c r="AJ56" s="5951"/>
      <c r="AK56" s="2925"/>
      <c r="AL56" s="2925"/>
      <c r="AM56" s="2925"/>
      <c r="AN56" s="2927"/>
      <c r="AO56" s="5951"/>
      <c r="AP56" s="2925"/>
      <c r="AQ56" s="2925"/>
      <c r="AR56" s="2925"/>
      <c r="AS56" s="2927"/>
      <c r="AT56" s="5951"/>
      <c r="AU56" s="2925"/>
      <c r="AV56" s="2925"/>
      <c r="AW56" s="2925"/>
      <c r="AX56" s="2927"/>
      <c r="AY56" s="5951"/>
      <c r="AZ56" s="2925"/>
      <c r="BA56" s="2925"/>
      <c r="BB56" s="2925"/>
      <c r="BC56" s="2925"/>
      <c r="BD56" s="5952"/>
      <c r="BE56" s="5953"/>
      <c r="BF56" s="2925"/>
      <c r="BG56" s="2925"/>
      <c r="BH56" s="2925"/>
      <c r="BI56" s="5952"/>
      <c r="BJ56" s="2925"/>
      <c r="BK56" s="2925"/>
      <c r="BL56" s="2925"/>
      <c r="BM56" s="2925"/>
      <c r="BN56" s="5952"/>
      <c r="BO56" s="2925"/>
      <c r="BP56" s="2925"/>
      <c r="BQ56" s="2925"/>
      <c r="BR56" s="2927"/>
      <c r="BS56" s="5951"/>
      <c r="BT56" s="2925"/>
      <c r="BU56" s="2925"/>
      <c r="BV56" s="2925"/>
      <c r="BW56" s="2925"/>
      <c r="BX56" s="5952"/>
      <c r="BY56" s="2925"/>
      <c r="BZ56" s="2925"/>
      <c r="CA56" s="2925"/>
      <c r="CB56" s="2925"/>
      <c r="CC56" s="5952"/>
      <c r="CD56" s="2925"/>
      <c r="CE56" s="2925"/>
      <c r="CF56" s="2925"/>
      <c r="CG56" s="2925"/>
      <c r="CH56" s="5952"/>
      <c r="CI56" s="2925"/>
      <c r="CJ56" s="2925"/>
      <c r="CK56" s="2925"/>
      <c r="CL56" s="2925"/>
      <c r="CM56" s="5952"/>
      <c r="CN56" s="2925"/>
      <c r="CO56" s="2925"/>
      <c r="CP56" s="2925"/>
      <c r="CQ56" s="2925"/>
      <c r="CR56" s="5952"/>
      <c r="CS56" s="2925"/>
      <c r="CT56" s="2925"/>
      <c r="CU56" s="2925"/>
      <c r="CV56" s="2925"/>
      <c r="CW56" s="5952"/>
      <c r="CX56" s="2925"/>
      <c r="CY56" s="2925"/>
      <c r="CZ56" s="2925"/>
      <c r="DA56" s="4500"/>
      <c r="DB56" s="5952"/>
      <c r="DC56" s="2925"/>
      <c r="DD56" s="2925"/>
      <c r="DE56" s="2925"/>
      <c r="DF56" s="2925"/>
      <c r="DG56" s="5955"/>
      <c r="DH56" s="5956"/>
      <c r="DI56" s="5956"/>
      <c r="DJ56" s="5956"/>
      <c r="DK56" s="5956"/>
      <c r="DL56" s="5955"/>
      <c r="DM56" s="5956"/>
      <c r="DN56" s="5956"/>
      <c r="DO56" s="5956"/>
      <c r="DP56" s="5956"/>
      <c r="DQ56" s="5955"/>
      <c r="DR56" s="5956"/>
      <c r="DS56" s="5956"/>
      <c r="DT56" s="5956"/>
      <c r="DU56" s="5956"/>
      <c r="DV56" s="5955"/>
      <c r="DW56" s="5956"/>
      <c r="DX56" s="5956"/>
      <c r="DY56" s="5956"/>
      <c r="DZ56" s="5956"/>
      <c r="EA56" s="5955"/>
      <c r="EB56" s="5956"/>
      <c r="EC56" s="5956"/>
      <c r="ED56" s="5956"/>
      <c r="EE56" s="5956"/>
      <c r="EF56" s="5955"/>
      <c r="EG56" s="5956"/>
      <c r="EH56" s="5956"/>
      <c r="EI56" s="5956"/>
      <c r="EJ56" s="5956"/>
      <c r="EK56" s="5955"/>
      <c r="EL56" s="6168"/>
      <c r="EM56" s="5956"/>
      <c r="EN56" s="5956"/>
      <c r="EO56" s="5956"/>
      <c r="EP56" s="5955"/>
      <c r="EQ56" s="5955"/>
      <c r="ER56" s="5955"/>
      <c r="ES56" s="5955"/>
      <c r="ET56" s="5955"/>
      <c r="EU56" s="5955"/>
    </row>
    <row r="57" spans="1:151" s="84" customFormat="1" ht="11.25" customHeight="1">
      <c r="A57" s="3777" t="s">
        <v>1142</v>
      </c>
      <c r="B57" s="176"/>
      <c r="C57" s="176"/>
      <c r="D57" s="176"/>
      <c r="E57" s="178"/>
      <c r="F57" s="3514"/>
      <c r="G57" s="176"/>
      <c r="H57" s="176"/>
      <c r="I57" s="176"/>
      <c r="J57" s="178"/>
      <c r="K57" s="3514"/>
      <c r="L57" s="176"/>
      <c r="M57" s="176"/>
      <c r="N57" s="176"/>
      <c r="O57" s="178"/>
      <c r="P57" s="3514"/>
      <c r="Q57" s="176"/>
      <c r="R57" s="176"/>
      <c r="S57" s="176"/>
      <c r="T57" s="178"/>
      <c r="U57" s="3514"/>
      <c r="V57" s="3450"/>
      <c r="W57" s="176"/>
      <c r="X57" s="176"/>
      <c r="Y57" s="178"/>
      <c r="Z57" s="3514"/>
      <c r="AA57" s="3450"/>
      <c r="AB57" s="176"/>
      <c r="AC57" s="176"/>
      <c r="AD57" s="178"/>
      <c r="AE57" s="3514"/>
      <c r="AF57" s="3450"/>
      <c r="AG57" s="176"/>
      <c r="AH57" s="176"/>
      <c r="AI57" s="178"/>
      <c r="AJ57" s="3514"/>
      <c r="AK57" s="176"/>
      <c r="AL57" s="176"/>
      <c r="AM57" s="176"/>
      <c r="AN57" s="178"/>
      <c r="AO57" s="3514"/>
      <c r="AP57" s="176"/>
      <c r="AQ57" s="176"/>
      <c r="AR57" s="176"/>
      <c r="AS57" s="178"/>
      <c r="AT57" s="3514"/>
      <c r="AU57" s="176"/>
      <c r="AV57" s="176"/>
      <c r="AW57" s="176"/>
      <c r="AX57" s="178"/>
      <c r="AY57" s="3514"/>
      <c r="AZ57" s="176"/>
      <c r="BA57" s="176"/>
      <c r="BB57" s="176"/>
      <c r="BC57" s="176"/>
      <c r="BD57" s="3515"/>
      <c r="BE57" s="6166"/>
      <c r="BF57" s="176"/>
      <c r="BG57" s="176"/>
      <c r="BH57" s="176"/>
      <c r="BI57" s="3515"/>
      <c r="BJ57" s="176"/>
      <c r="BK57" s="176"/>
      <c r="BL57" s="176"/>
      <c r="BM57" s="176"/>
      <c r="BN57" s="3515"/>
      <c r="BO57" s="176"/>
      <c r="BP57" s="176"/>
      <c r="BQ57" s="176"/>
      <c r="BR57" s="178"/>
      <c r="BS57" s="3514"/>
      <c r="BT57" s="176"/>
      <c r="BU57" s="176"/>
      <c r="BV57" s="176"/>
      <c r="BW57" s="176"/>
      <c r="BX57" s="3515"/>
      <c r="BY57" s="176"/>
      <c r="BZ57" s="176"/>
      <c r="CA57" s="176"/>
      <c r="CB57" s="176"/>
      <c r="CC57" s="3515"/>
      <c r="CD57" s="176"/>
      <c r="CE57" s="176"/>
      <c r="CF57" s="176"/>
      <c r="CG57" s="176"/>
      <c r="CH57" s="3515"/>
      <c r="CI57" s="176"/>
      <c r="CJ57" s="176"/>
      <c r="CK57" s="176"/>
      <c r="CL57" s="176"/>
      <c r="CM57" s="3515"/>
      <c r="CN57" s="176"/>
      <c r="CO57" s="176"/>
      <c r="CP57" s="176"/>
      <c r="CQ57" s="176"/>
      <c r="CR57" s="3515"/>
      <c r="CS57" s="176"/>
      <c r="CT57" s="176"/>
      <c r="CU57" s="176"/>
      <c r="CV57" s="176"/>
      <c r="CW57" s="3515"/>
      <c r="CX57" s="176"/>
      <c r="CY57" s="176"/>
      <c r="CZ57" s="176"/>
      <c r="DA57" s="179"/>
      <c r="DB57" s="3515"/>
      <c r="DC57" s="176"/>
      <c r="DD57" s="176"/>
      <c r="DE57" s="176"/>
      <c r="DF57" s="176"/>
      <c r="DG57" s="5732"/>
      <c r="DH57" s="3593"/>
      <c r="DI57" s="3593"/>
      <c r="DJ57" s="3593"/>
      <c r="DK57" s="3593"/>
      <c r="DL57" s="5732"/>
      <c r="DM57" s="3593"/>
      <c r="DN57" s="3593"/>
      <c r="DO57" s="3593"/>
      <c r="DP57" s="3593"/>
      <c r="DQ57" s="5732"/>
      <c r="DR57" s="3593"/>
      <c r="DS57" s="3593"/>
      <c r="DT57" s="3593"/>
      <c r="DU57" s="3593"/>
      <c r="DV57" s="5732"/>
      <c r="DW57" s="3593"/>
      <c r="DX57" s="3593"/>
      <c r="DY57" s="3593"/>
      <c r="DZ57" s="3593"/>
      <c r="EA57" s="5732"/>
      <c r="EB57" s="3593"/>
      <c r="EC57" s="3593"/>
      <c r="ED57" s="3593"/>
      <c r="EE57" s="3593"/>
      <c r="EF57" s="5732"/>
      <c r="EG57" s="3593"/>
      <c r="EH57" s="3593"/>
      <c r="EI57" s="3593"/>
      <c r="EJ57" s="3593"/>
      <c r="EK57" s="5732"/>
      <c r="EL57" s="4812" t="s">
        <v>1146</v>
      </c>
      <c r="EM57" s="4812" t="s">
        <v>1143</v>
      </c>
      <c r="EN57" s="3593"/>
      <c r="EO57" s="3593"/>
      <c r="EP57" s="5732"/>
      <c r="EQ57" s="5732"/>
      <c r="ER57" s="5732"/>
      <c r="ES57" s="5732"/>
      <c r="ET57" s="5732"/>
      <c r="EU57" s="5732"/>
    </row>
    <row r="58" spans="1:151" s="84" customFormat="1" ht="11.25" customHeight="1">
      <c r="A58" s="3777" t="s">
        <v>1161</v>
      </c>
      <c r="B58" s="176"/>
      <c r="C58" s="176"/>
      <c r="D58" s="176"/>
      <c r="E58" s="178"/>
      <c r="F58" s="3514"/>
      <c r="G58" s="176"/>
      <c r="H58" s="176"/>
      <c r="I58" s="176"/>
      <c r="J58" s="178"/>
      <c r="K58" s="3514"/>
      <c r="L58" s="176"/>
      <c r="M58" s="176"/>
      <c r="N58" s="176"/>
      <c r="O58" s="178"/>
      <c r="P58" s="3514"/>
      <c r="Q58" s="176"/>
      <c r="R58" s="176"/>
      <c r="S58" s="176"/>
      <c r="T58" s="178"/>
      <c r="U58" s="3514"/>
      <c r="V58" s="3450"/>
      <c r="W58" s="176"/>
      <c r="X58" s="176"/>
      <c r="Y58" s="178"/>
      <c r="Z58" s="3514"/>
      <c r="AA58" s="3450"/>
      <c r="AB58" s="176"/>
      <c r="AC58" s="176"/>
      <c r="AD58" s="178"/>
      <c r="AE58" s="3514"/>
      <c r="AF58" s="3450"/>
      <c r="AG58" s="176"/>
      <c r="AH58" s="176"/>
      <c r="AI58" s="178"/>
      <c r="AJ58" s="3514"/>
      <c r="AK58" s="176"/>
      <c r="AL58" s="176"/>
      <c r="AM58" s="176"/>
      <c r="AN58" s="178"/>
      <c r="AO58" s="3514"/>
      <c r="AP58" s="176"/>
      <c r="AQ58" s="176"/>
      <c r="AR58" s="176"/>
      <c r="AS58" s="178"/>
      <c r="AT58" s="3514"/>
      <c r="AU58" s="176"/>
      <c r="AV58" s="176"/>
      <c r="AW58" s="176"/>
      <c r="AX58" s="178"/>
      <c r="AY58" s="3514"/>
      <c r="AZ58" s="176"/>
      <c r="BA58" s="176"/>
      <c r="BB58" s="176"/>
      <c r="BC58" s="176"/>
      <c r="BD58" s="3515"/>
      <c r="BE58" s="6166"/>
      <c r="BF58" s="176"/>
      <c r="BG58" s="176"/>
      <c r="BH58" s="176"/>
      <c r="BI58" s="3515"/>
      <c r="BJ58" s="176"/>
      <c r="BK58" s="176"/>
      <c r="BL58" s="176"/>
      <c r="BM58" s="176"/>
      <c r="BN58" s="3515"/>
      <c r="BO58" s="176"/>
      <c r="BP58" s="176"/>
      <c r="BQ58" s="176"/>
      <c r="BR58" s="178"/>
      <c r="BS58" s="3514"/>
      <c r="BT58" s="176"/>
      <c r="BU58" s="176"/>
      <c r="BV58" s="176"/>
      <c r="BW58" s="176"/>
      <c r="BX58" s="3515"/>
      <c r="BY58" s="176"/>
      <c r="BZ58" s="176"/>
      <c r="CA58" s="176"/>
      <c r="CB58" s="176"/>
      <c r="CC58" s="3515"/>
      <c r="CD58" s="176"/>
      <c r="CE58" s="176"/>
      <c r="CF58" s="176"/>
      <c r="CG58" s="176"/>
      <c r="CH58" s="3515"/>
      <c r="CI58" s="176"/>
      <c r="CJ58" s="176"/>
      <c r="CK58" s="176"/>
      <c r="CL58" s="176"/>
      <c r="CM58" s="3515"/>
      <c r="CN58" s="176"/>
      <c r="CO58" s="176"/>
      <c r="CP58" s="176"/>
      <c r="CQ58" s="176"/>
      <c r="CR58" s="3515"/>
      <c r="CS58" s="176"/>
      <c r="CT58" s="176"/>
      <c r="CU58" s="176"/>
      <c r="CV58" s="176"/>
      <c r="CW58" s="3515"/>
      <c r="CX58" s="176"/>
      <c r="CY58" s="176"/>
      <c r="CZ58" s="176"/>
      <c r="DA58" s="179"/>
      <c r="DB58" s="3515"/>
      <c r="DC58" s="176"/>
      <c r="DD58" s="176"/>
      <c r="DE58" s="176"/>
      <c r="DF58" s="176"/>
      <c r="DG58" s="5732"/>
      <c r="DH58" s="3593"/>
      <c r="DI58" s="3593"/>
      <c r="DJ58" s="3593"/>
      <c r="DK58" s="3593"/>
      <c r="DL58" s="5732"/>
      <c r="DM58" s="3593"/>
      <c r="DN58" s="3593"/>
      <c r="DO58" s="3593"/>
      <c r="DP58" s="3593"/>
      <c r="DQ58" s="5732"/>
      <c r="DR58" s="3593"/>
      <c r="DS58" s="3593"/>
      <c r="DT58" s="3593"/>
      <c r="DU58" s="3593"/>
      <c r="DV58" s="5732"/>
      <c r="DW58" s="3593"/>
      <c r="DX58" s="3593"/>
      <c r="DY58" s="3593"/>
      <c r="DZ58" s="3593"/>
      <c r="EA58" s="5732"/>
      <c r="EB58" s="3593"/>
      <c r="EC58" s="3593"/>
      <c r="ED58" s="3593"/>
      <c r="EE58" s="3593"/>
      <c r="EF58" s="5732"/>
      <c r="EG58" s="3593"/>
      <c r="EH58" s="3593"/>
      <c r="EI58" s="3593"/>
      <c r="EJ58" s="3593"/>
      <c r="EK58" s="5732"/>
      <c r="EL58" s="4812"/>
      <c r="EM58" s="4812" t="s">
        <v>1157</v>
      </c>
      <c r="EN58" s="3593"/>
      <c r="EO58" s="3593"/>
      <c r="EP58" s="5732"/>
      <c r="EQ58" s="5732"/>
      <c r="ER58" s="5732"/>
      <c r="ES58" s="5732"/>
      <c r="ET58" s="5732"/>
      <c r="EU58" s="5732"/>
    </row>
    <row r="59" spans="1:151" s="84" customFormat="1" ht="11.25" hidden="1" customHeight="1" outlineLevel="1">
      <c r="A59" s="3777"/>
      <c r="B59" s="176"/>
      <c r="C59" s="176"/>
      <c r="D59" s="176"/>
      <c r="E59" s="178"/>
      <c r="F59" s="3514"/>
      <c r="G59" s="176"/>
      <c r="H59" s="176"/>
      <c r="I59" s="176"/>
      <c r="J59" s="178"/>
      <c r="K59" s="3514"/>
      <c r="L59" s="176"/>
      <c r="M59" s="176"/>
      <c r="N59" s="176"/>
      <c r="O59" s="178"/>
      <c r="P59" s="3514"/>
      <c r="Q59" s="176"/>
      <c r="R59" s="176"/>
      <c r="S59" s="176"/>
      <c r="T59" s="178"/>
      <c r="U59" s="3514"/>
      <c r="V59" s="3450"/>
      <c r="W59" s="176"/>
      <c r="X59" s="176"/>
      <c r="Y59" s="178"/>
      <c r="Z59" s="3514"/>
      <c r="AA59" s="3450"/>
      <c r="AB59" s="176"/>
      <c r="AC59" s="176"/>
      <c r="AD59" s="178"/>
      <c r="AE59" s="3514"/>
      <c r="AF59" s="3450"/>
      <c r="AG59" s="176"/>
      <c r="AH59" s="176"/>
      <c r="AI59" s="178"/>
      <c r="AJ59" s="3514"/>
      <c r="AK59" s="176"/>
      <c r="AL59" s="176"/>
      <c r="AM59" s="176"/>
      <c r="AN59" s="178"/>
      <c r="AO59" s="3514"/>
      <c r="AP59" s="176"/>
      <c r="AQ59" s="176"/>
      <c r="AR59" s="176"/>
      <c r="AS59" s="178"/>
      <c r="AT59" s="3514"/>
      <c r="AU59" s="176"/>
      <c r="AV59" s="176"/>
      <c r="AW59" s="176"/>
      <c r="AX59" s="178"/>
      <c r="AY59" s="3514"/>
      <c r="AZ59" s="176"/>
      <c r="BA59" s="176"/>
      <c r="BB59" s="176"/>
      <c r="BC59" s="176"/>
      <c r="BD59" s="3515"/>
      <c r="BE59" s="6166"/>
      <c r="BF59" s="176"/>
      <c r="BG59" s="176"/>
      <c r="BH59" s="176"/>
      <c r="BI59" s="3515"/>
      <c r="BJ59" s="176"/>
      <c r="BK59" s="176"/>
      <c r="BL59" s="176"/>
      <c r="BM59" s="176"/>
      <c r="BN59" s="3515"/>
      <c r="BO59" s="176"/>
      <c r="BP59" s="176"/>
      <c r="BQ59" s="176"/>
      <c r="BR59" s="178"/>
      <c r="BS59" s="3514"/>
      <c r="BT59" s="176"/>
      <c r="BU59" s="176"/>
      <c r="BV59" s="176"/>
      <c r="BW59" s="176"/>
      <c r="BX59" s="3515"/>
      <c r="BY59" s="176"/>
      <c r="BZ59" s="176"/>
      <c r="CA59" s="176"/>
      <c r="CB59" s="176"/>
      <c r="CC59" s="3515"/>
      <c r="CD59" s="176"/>
      <c r="CE59" s="176"/>
      <c r="CF59" s="176"/>
      <c r="CG59" s="176"/>
      <c r="CH59" s="3515"/>
      <c r="CI59" s="176"/>
      <c r="CJ59" s="176"/>
      <c r="CK59" s="176"/>
      <c r="CL59" s="176"/>
      <c r="CM59" s="3515"/>
      <c r="CN59" s="176"/>
      <c r="CO59" s="176"/>
      <c r="CP59" s="176"/>
      <c r="CQ59" s="176"/>
      <c r="CR59" s="3515"/>
      <c r="CS59" s="176"/>
      <c r="CT59" s="176"/>
      <c r="CU59" s="176"/>
      <c r="CV59" s="176"/>
      <c r="CW59" s="3515"/>
      <c r="CX59" s="176"/>
      <c r="CY59" s="176"/>
      <c r="CZ59" s="176"/>
      <c r="DA59" s="179"/>
      <c r="DB59" s="3515"/>
      <c r="DC59" s="176"/>
      <c r="DD59" s="176"/>
      <c r="DE59" s="176"/>
      <c r="DF59" s="176"/>
      <c r="DG59" s="5732"/>
      <c r="DH59" s="3593"/>
      <c r="DI59" s="3593"/>
      <c r="DJ59" s="3593"/>
      <c r="DK59" s="3593"/>
      <c r="DL59" s="5732"/>
      <c r="DM59" s="3593"/>
      <c r="DN59" s="3593"/>
      <c r="DO59" s="3593"/>
      <c r="DP59" s="3593"/>
      <c r="DQ59" s="5732"/>
      <c r="DR59" s="3593"/>
      <c r="DS59" s="3593"/>
      <c r="DT59" s="3593"/>
      <c r="DU59" s="3593"/>
      <c r="DV59" s="5732"/>
      <c r="DW59" s="3593"/>
      <c r="DX59" s="3593"/>
      <c r="DY59" s="3593"/>
      <c r="DZ59" s="3593"/>
      <c r="EA59" s="5732"/>
      <c r="EB59" s="3593"/>
      <c r="EC59" s="3593"/>
      <c r="ED59" s="3593"/>
      <c r="EE59" s="3593"/>
      <c r="EF59" s="5732"/>
      <c r="EG59" s="3593"/>
      <c r="EH59" s="3593"/>
      <c r="EI59" s="3593"/>
      <c r="EJ59" s="3593"/>
      <c r="EK59" s="5732"/>
      <c r="EL59" s="4812"/>
      <c r="EM59" s="3593"/>
      <c r="EN59" s="3593"/>
      <c r="EO59" s="3593"/>
      <c r="EP59" s="5732"/>
      <c r="EQ59" s="5732"/>
      <c r="ER59" s="5732"/>
      <c r="ES59" s="5732"/>
      <c r="ET59" s="5732"/>
      <c r="EU59" s="5732"/>
    </row>
    <row r="60" spans="1:151" s="84" customFormat="1" ht="11.25" customHeight="1" collapsed="1">
      <c r="A60" s="5958"/>
      <c r="B60" s="5601"/>
      <c r="C60" s="5601"/>
      <c r="D60" s="5601"/>
      <c r="E60" s="5836"/>
      <c r="F60" s="5959"/>
      <c r="G60" s="5601"/>
      <c r="H60" s="5601"/>
      <c r="I60" s="5601"/>
      <c r="J60" s="5836"/>
      <c r="K60" s="5959"/>
      <c r="L60" s="5601"/>
      <c r="M60" s="5601"/>
      <c r="N60" s="5601"/>
      <c r="O60" s="5836"/>
      <c r="P60" s="5959"/>
      <c r="Q60" s="5601"/>
      <c r="R60" s="5601"/>
      <c r="S60" s="5601"/>
      <c r="T60" s="5836"/>
      <c r="U60" s="5959"/>
      <c r="V60" s="5960"/>
      <c r="W60" s="5601"/>
      <c r="X60" s="5601"/>
      <c r="Y60" s="5836"/>
      <c r="Z60" s="5959"/>
      <c r="AA60" s="5960"/>
      <c r="AB60" s="5601"/>
      <c r="AC60" s="5601"/>
      <c r="AD60" s="5836"/>
      <c r="AE60" s="5959"/>
      <c r="AF60" s="5960"/>
      <c r="AG60" s="5601"/>
      <c r="AH60" s="5601"/>
      <c r="AI60" s="5836"/>
      <c r="AJ60" s="5959"/>
      <c r="AK60" s="5601"/>
      <c r="AL60" s="5601"/>
      <c r="AM60" s="5601"/>
      <c r="AN60" s="5836"/>
      <c r="AO60" s="5959"/>
      <c r="AP60" s="5601"/>
      <c r="AQ60" s="5601"/>
      <c r="AR60" s="5601"/>
      <c r="AS60" s="5836"/>
      <c r="AT60" s="5959"/>
      <c r="AU60" s="5601"/>
      <c r="AV60" s="5601"/>
      <c r="AW60" s="5601"/>
      <c r="AX60" s="5836"/>
      <c r="AY60" s="5959"/>
      <c r="AZ60" s="5601"/>
      <c r="BA60" s="5601"/>
      <c r="BB60" s="5601"/>
      <c r="BC60" s="5601"/>
      <c r="BD60" s="5961"/>
      <c r="BE60" s="5962"/>
      <c r="BF60" s="5601"/>
      <c r="BG60" s="5601"/>
      <c r="BH60" s="5601"/>
      <c r="BI60" s="5961"/>
      <c r="BJ60" s="5601"/>
      <c r="BK60" s="5601"/>
      <c r="BL60" s="5601"/>
      <c r="BM60" s="5601"/>
      <c r="BN60" s="5961"/>
      <c r="BO60" s="5601"/>
      <c r="BP60" s="5601"/>
      <c r="BQ60" s="5601"/>
      <c r="BR60" s="5836"/>
      <c r="BS60" s="5963"/>
      <c r="BT60" s="5601"/>
      <c r="BU60" s="5601"/>
      <c r="BV60" s="5601"/>
      <c r="BW60" s="5601"/>
      <c r="BX60" s="5964"/>
      <c r="BY60" s="5601"/>
      <c r="BZ60" s="5601"/>
      <c r="CA60" s="5601"/>
      <c r="CB60" s="5601"/>
      <c r="CC60" s="5964"/>
      <c r="CD60" s="5601"/>
      <c r="CE60" s="5601"/>
      <c r="CF60" s="5601"/>
      <c r="CG60" s="5601"/>
      <c r="CH60" s="5964"/>
      <c r="CI60" s="5601"/>
      <c r="CJ60" s="5601"/>
      <c r="CK60" s="5601"/>
      <c r="CL60" s="5601"/>
      <c r="CM60" s="5964"/>
      <c r="CN60" s="5601"/>
      <c r="CO60" s="5601"/>
      <c r="CP60" s="5601"/>
      <c r="CQ60" s="5601"/>
      <c r="CR60" s="5964"/>
      <c r="CS60" s="5601"/>
      <c r="CT60" s="5601"/>
      <c r="CU60" s="5601"/>
      <c r="CV60" s="5601"/>
      <c r="CW60" s="5964"/>
      <c r="CX60" s="5601"/>
      <c r="CY60" s="5601"/>
      <c r="CZ60" s="5601"/>
      <c r="DA60" s="5842"/>
      <c r="DB60" s="5964"/>
      <c r="DC60" s="5601"/>
      <c r="DD60" s="5601"/>
      <c r="DE60" s="5601"/>
      <c r="DF60" s="5601"/>
      <c r="DG60" s="5965"/>
      <c r="DH60" s="5966"/>
      <c r="DI60" s="5966"/>
      <c r="DJ60" s="5966"/>
      <c r="DK60" s="5966"/>
      <c r="DL60" s="5965"/>
      <c r="DM60" s="5966"/>
      <c r="DN60" s="5966"/>
      <c r="DO60" s="5966"/>
      <c r="DP60" s="5966"/>
      <c r="DQ60" s="5965"/>
      <c r="DR60" s="5966"/>
      <c r="DS60" s="5966"/>
      <c r="DT60" s="5966"/>
      <c r="DU60" s="5966"/>
      <c r="DV60" s="5965"/>
      <c r="DW60" s="5966"/>
      <c r="DX60" s="5966"/>
      <c r="DY60" s="5966"/>
      <c r="DZ60" s="5966"/>
      <c r="EA60" s="5965"/>
      <c r="EB60" s="5966"/>
      <c r="EC60" s="5966"/>
      <c r="ED60" s="5966"/>
      <c r="EE60" s="5966"/>
      <c r="EF60" s="5965"/>
      <c r="EG60" s="5966"/>
      <c r="EH60" s="5966"/>
      <c r="EI60" s="5966"/>
      <c r="EJ60" s="5966"/>
      <c r="EK60" s="5965"/>
      <c r="EL60" s="6169"/>
      <c r="EM60" s="5966"/>
      <c r="EN60" s="5966"/>
      <c r="EO60" s="5966"/>
      <c r="EP60" s="5965"/>
      <c r="EQ60" s="5965"/>
      <c r="ER60" s="5965"/>
      <c r="ES60" s="5965"/>
      <c r="ET60" s="5965"/>
      <c r="EU60" s="5965"/>
    </row>
  </sheetData>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autoPageBreaks="0"/>
  </sheetPr>
  <dimension ref="A1:AC112"/>
  <sheetViews>
    <sheetView showGridLines="0" zoomScale="85" zoomScaleNormal="85" workbookViewId="0"/>
  </sheetViews>
  <sheetFormatPr defaultRowHeight="12.75" outlineLevelCol="1"/>
  <cols>
    <col min="1" max="1" width="25.7109375" style="4491" customWidth="1"/>
    <col min="2" max="2" width="3.7109375" style="4491" customWidth="1"/>
    <col min="3" max="7" width="12.7109375" style="4491" customWidth="1"/>
    <col min="8" max="8" width="3.7109375" style="4491" customWidth="1"/>
    <col min="9" max="9" width="30.7109375" style="4612" customWidth="1"/>
    <col min="10" max="15" width="9.140625" style="4491"/>
    <col min="16" max="23" width="9.140625" style="4491" hidden="1" customWidth="1" outlineLevel="1"/>
    <col min="24" max="24" width="17" style="4491" hidden="1" customWidth="1" outlineLevel="1"/>
    <col min="25" max="25" width="9.140625" style="4491" collapsed="1"/>
    <col min="26" max="16384" width="9.140625" style="4491"/>
  </cols>
  <sheetData>
    <row r="1" spans="1:29" s="2" customFormat="1" ht="11.25" customHeight="1">
      <c r="A1" s="4677"/>
      <c r="B1" s="4626"/>
      <c r="C1" s="4626"/>
      <c r="D1" s="4626"/>
      <c r="E1" s="4626"/>
      <c r="F1" s="4626"/>
      <c r="G1" s="4626"/>
      <c r="H1" s="22"/>
      <c r="I1" s="13"/>
      <c r="J1" s="20"/>
      <c r="K1" s="20"/>
      <c r="L1" s="20"/>
      <c r="M1" s="20"/>
      <c r="N1" s="20"/>
      <c r="O1" s="20"/>
      <c r="P1" s="20"/>
      <c r="Q1" s="20"/>
      <c r="R1" s="20"/>
      <c r="S1" s="20"/>
      <c r="T1"/>
      <c r="U1" s="20"/>
      <c r="V1" s="20"/>
      <c r="W1" s="22"/>
      <c r="X1" s="20"/>
      <c r="Y1" s="20"/>
      <c r="Z1" s="20"/>
      <c r="AA1" s="20"/>
      <c r="AB1" s="21"/>
      <c r="AC1" s="6"/>
    </row>
    <row r="2" spans="1:29" s="17" customFormat="1" ht="28.5" customHeight="1">
      <c r="A2" s="4678" t="str">
        <f>IS!A2</f>
        <v>Alphabet Inc.</v>
      </c>
      <c r="B2" s="4679"/>
      <c r="C2" s="4679"/>
      <c r="D2" s="4679"/>
      <c r="E2" s="4679"/>
      <c r="F2" s="4679"/>
      <c r="G2" s="4679"/>
      <c r="H2" s="18"/>
      <c r="I2" s="4610"/>
      <c r="J2" s="18"/>
      <c r="K2" s="18"/>
      <c r="L2" s="18"/>
      <c r="M2" s="18"/>
      <c r="N2" s="18"/>
      <c r="O2" s="18"/>
      <c r="P2" s="18"/>
      <c r="Q2" s="18"/>
      <c r="R2" s="18"/>
      <c r="S2" s="18"/>
      <c r="T2"/>
      <c r="U2" s="18"/>
      <c r="V2" s="18"/>
      <c r="W2" s="23"/>
      <c r="X2" s="18"/>
      <c r="Y2" s="18"/>
      <c r="Z2" s="806"/>
      <c r="AA2" s="806"/>
      <c r="AB2" s="24"/>
      <c r="AC2" s="594"/>
    </row>
    <row r="3" spans="1:29" s="15" customFormat="1" ht="20.25" customHeight="1">
      <c r="A3" s="4680" t="s">
        <v>925</v>
      </c>
      <c r="B3" s="4681"/>
      <c r="C3" s="4681"/>
      <c r="D3" s="4681"/>
      <c r="E3" s="4681"/>
      <c r="F3" s="4681"/>
      <c r="G3" s="4741"/>
      <c r="H3" s="19"/>
      <c r="I3" s="19"/>
      <c r="J3" s="19"/>
      <c r="K3" s="19"/>
      <c r="L3" s="19"/>
      <c r="M3" s="19"/>
      <c r="N3" s="19"/>
      <c r="O3" s="19"/>
      <c r="P3" s="19"/>
      <c r="Q3" s="4578"/>
      <c r="R3" s="19"/>
      <c r="S3" s="19"/>
      <c r="T3"/>
      <c r="U3" s="27"/>
      <c r="V3" s="27"/>
      <c r="W3" s="27"/>
      <c r="X3" s="27"/>
      <c r="Y3" s="27"/>
      <c r="Z3" s="809"/>
      <c r="AA3" s="809"/>
      <c r="AB3" s="470"/>
      <c r="AC3" s="595"/>
    </row>
    <row r="4" spans="1:29" s="6" customFormat="1">
      <c r="A4" s="4682"/>
      <c r="B4" s="4626"/>
      <c r="C4" s="4626"/>
      <c r="D4" s="4626"/>
      <c r="E4" s="4626"/>
      <c r="F4" s="4626"/>
      <c r="G4" s="4626"/>
      <c r="H4" s="22"/>
      <c r="I4" s="13"/>
      <c r="J4" s="20"/>
      <c r="K4" s="20"/>
      <c r="L4" s="20"/>
      <c r="M4" s="20"/>
      <c r="N4" s="20"/>
      <c r="O4" s="20"/>
      <c r="P4" s="20"/>
      <c r="Q4" s="20"/>
      <c r="R4" s="20"/>
      <c r="S4" s="20"/>
      <c r="T4"/>
      <c r="U4" s="20"/>
      <c r="V4" s="20"/>
      <c r="W4" s="22"/>
      <c r="X4" s="9"/>
      <c r="Y4" s="9"/>
      <c r="Z4" s="661"/>
      <c r="AA4" s="661"/>
      <c r="AB4" s="470"/>
    </row>
    <row r="5" spans="1:29" s="1" customFormat="1">
      <c r="A5" s="4683"/>
      <c r="B5" s="627"/>
      <c r="C5" s="627"/>
      <c r="D5" s="627"/>
      <c r="E5" s="766"/>
      <c r="F5" s="766"/>
      <c r="G5" s="766"/>
      <c r="H5" s="5"/>
      <c r="I5" s="4609"/>
      <c r="J5" s="20"/>
      <c r="K5" s="20"/>
      <c r="L5" s="20"/>
      <c r="M5" s="20"/>
      <c r="N5" s="20"/>
      <c r="O5" s="20"/>
      <c r="P5" s="3550"/>
      <c r="Q5" s="20"/>
      <c r="R5" s="20"/>
      <c r="S5" s="20"/>
      <c r="T5"/>
    </row>
    <row r="6" spans="1:29" s="353" customFormat="1" ht="24.95" customHeight="1">
      <c r="A6" s="4700"/>
      <c r="B6" s="4701"/>
      <c r="C6" s="6275" t="s">
        <v>1191</v>
      </c>
      <c r="D6" s="6276"/>
      <c r="E6" s="6276"/>
      <c r="F6" s="6276"/>
      <c r="G6" s="6277"/>
      <c r="H6"/>
      <c r="I6"/>
      <c r="J6" s="4714"/>
      <c r="K6" s="4714"/>
      <c r="L6" s="4714"/>
      <c r="M6" s="4714"/>
      <c r="N6" s="4714"/>
      <c r="O6"/>
      <c r="P6"/>
      <c r="Q6"/>
      <c r="R6"/>
      <c r="S6"/>
      <c r="T6"/>
    </row>
    <row r="7" spans="1:29" ht="15" customHeight="1">
      <c r="A7" s="4700"/>
      <c r="B7" s="4701"/>
      <c r="C7" s="4702" t="s">
        <v>1103</v>
      </c>
      <c r="D7" s="4703" t="s">
        <v>312</v>
      </c>
      <c r="E7" s="4702" t="s">
        <v>1192</v>
      </c>
      <c r="F7" s="4703" t="s">
        <v>897</v>
      </c>
      <c r="G7" s="4703"/>
      <c r="H7"/>
      <c r="I7"/>
      <c r="J7" s="4715"/>
      <c r="K7" s="4715"/>
      <c r="L7" s="4715"/>
      <c r="M7" s="4715"/>
      <c r="N7" s="4715"/>
      <c r="P7"/>
      <c r="Q7"/>
      <c r="R7"/>
      <c r="S7"/>
      <c r="T7"/>
      <c r="U7"/>
      <c r="V7"/>
      <c r="W7" s="4731"/>
    </row>
    <row r="8" spans="1:29" ht="15" customHeight="1" thickBot="1">
      <c r="A8" s="4704" t="s">
        <v>900</v>
      </c>
      <c r="B8" s="4705"/>
      <c r="C8" s="4706" t="s">
        <v>312</v>
      </c>
      <c r="D8" s="4707" t="s">
        <v>896</v>
      </c>
      <c r="E8" s="4703" t="s">
        <v>897</v>
      </c>
      <c r="F8" s="4703" t="s">
        <v>896</v>
      </c>
      <c r="G8" s="4707" t="s">
        <v>898</v>
      </c>
      <c r="H8"/>
      <c r="I8"/>
      <c r="J8" s="4715"/>
      <c r="K8" s="4715"/>
      <c r="L8" s="4715"/>
      <c r="M8" s="4715"/>
      <c r="N8" s="4715"/>
      <c r="P8"/>
      <c r="Q8"/>
      <c r="R8"/>
      <c r="S8"/>
      <c r="T8"/>
      <c r="U8"/>
      <c r="V8"/>
    </row>
    <row r="9" spans="1:29" ht="24.95" customHeight="1" thickBot="1">
      <c r="A9" s="5013" t="s">
        <v>873</v>
      </c>
      <c r="B9" s="4685"/>
      <c r="C9" s="4685">
        <f>'Segment JPMe'!AB47</f>
        <v>251975.13656936973</v>
      </c>
      <c r="D9" s="5008">
        <f>G9/C9</f>
        <v>11.387200000000002</v>
      </c>
      <c r="E9" s="4630">
        <f>'Segment JPMe'!AC62</f>
        <v>179330.70469642046</v>
      </c>
      <c r="F9" s="5009">
        <v>16</v>
      </c>
      <c r="G9" s="4720">
        <f>E9*F9</f>
        <v>2869291.2751427274</v>
      </c>
      <c r="H9"/>
      <c r="I9"/>
      <c r="J9" s="4715"/>
      <c r="K9" s="4715"/>
      <c r="L9" s="4715"/>
      <c r="M9" s="4715"/>
      <c r="N9" s="4715"/>
      <c r="P9"/>
      <c r="Q9"/>
      <c r="R9"/>
      <c r="S9"/>
      <c r="T9"/>
      <c r="U9"/>
      <c r="V9"/>
    </row>
    <row r="10" spans="1:29" ht="24.95" customHeight="1" thickBot="1">
      <c r="A10" s="4684" t="s">
        <v>634</v>
      </c>
      <c r="B10" s="4685"/>
      <c r="C10" s="4685">
        <f>'Segment JPMe'!AB84</f>
        <v>29359.724383809807</v>
      </c>
      <c r="D10" s="5008">
        <f>G10/C10</f>
        <v>0.5048999999999999</v>
      </c>
      <c r="E10" s="4630">
        <f>'Segment JPMe'!AC99</f>
        <v>4941.2416137951905</v>
      </c>
      <c r="F10" s="5009">
        <v>3</v>
      </c>
      <c r="G10" s="4720">
        <f>E10*F10</f>
        <v>14823.72484138557</v>
      </c>
      <c r="H10"/>
      <c r="I10" s="4628"/>
      <c r="J10" s="4715"/>
      <c r="K10" s="4715"/>
      <c r="L10" s="4715"/>
      <c r="M10" s="4715"/>
      <c r="N10" s="4715"/>
      <c r="P10"/>
      <c r="Q10"/>
      <c r="R10"/>
      <c r="S10"/>
      <c r="T10"/>
      <c r="U10"/>
      <c r="V10"/>
    </row>
    <row r="11" spans="1:29" ht="24.95" customHeight="1" thickBot="1">
      <c r="A11" s="4684" t="s">
        <v>354</v>
      </c>
      <c r="B11" s="4685"/>
      <c r="C11" s="4685">
        <f>'Segment JPMe'!AB123</f>
        <v>70772.545259694991</v>
      </c>
      <c r="D11" s="5008">
        <v>5</v>
      </c>
      <c r="E11" s="4630">
        <f>'Segment JPMe'!AC141</f>
        <v>15365.370518159192</v>
      </c>
      <c r="F11" s="5009">
        <v>15</v>
      </c>
      <c r="G11" s="4720">
        <f>E11*F11</f>
        <v>230480.5577723879</v>
      </c>
      <c r="H11"/>
      <c r="I11"/>
      <c r="J11" s="4715"/>
      <c r="K11" s="4715"/>
      <c r="L11" s="4715"/>
      <c r="M11" s="4715"/>
      <c r="N11" s="4715"/>
      <c r="P11"/>
      <c r="Q11"/>
      <c r="R11"/>
      <c r="S11"/>
      <c r="T11"/>
      <c r="U11"/>
      <c r="V11"/>
    </row>
    <row r="12" spans="1:29" ht="24.95" customHeight="1" thickBot="1">
      <c r="A12" s="6007" t="s">
        <v>1104</v>
      </c>
      <c r="B12" s="4685"/>
      <c r="C12" s="4685">
        <f>'Segment JPMe'!AB173</f>
        <v>32325.776873158618</v>
      </c>
      <c r="D12" s="5008">
        <f>G12/C12</f>
        <v>8.4145383727427312</v>
      </c>
      <c r="E12" s="4630">
        <f>'Segment JPMe'!AC188</f>
        <v>27200.64899279127</v>
      </c>
      <c r="F12" s="5009">
        <v>10</v>
      </c>
      <c r="G12" s="4720">
        <f>E12*F12</f>
        <v>272006.48992791271</v>
      </c>
      <c r="H12"/>
      <c r="I12"/>
      <c r="J12" s="4715"/>
      <c r="K12" s="4715"/>
      <c r="L12" s="4715"/>
      <c r="M12" s="4715"/>
      <c r="N12" s="4715"/>
      <c r="P12"/>
      <c r="Q12"/>
      <c r="R12"/>
      <c r="S12"/>
      <c r="T12"/>
      <c r="U12"/>
      <c r="V12"/>
    </row>
    <row r="13" spans="1:29" ht="24.95" customHeight="1" thickBot="1">
      <c r="A13" s="4684" t="s">
        <v>692</v>
      </c>
      <c r="B13" s="4685"/>
      <c r="C13" s="4630">
        <f>'Segment JPMe'!AB248</f>
        <v>82768.352941040968</v>
      </c>
      <c r="D13" s="5009">
        <v>12</v>
      </c>
      <c r="E13" s="4685">
        <f>'Segment JPMe'!AC263</f>
        <v>58350.861139904475</v>
      </c>
      <c r="F13" s="5008">
        <f>G13/E13</f>
        <v>17.021518035716817</v>
      </c>
      <c r="G13" s="4720">
        <f>C13*D13</f>
        <v>993220.23529249162</v>
      </c>
      <c r="H13"/>
      <c r="I13"/>
      <c r="J13" s="4715"/>
      <c r="K13" s="4715"/>
      <c r="L13" s="4715"/>
      <c r="M13" s="4715"/>
      <c r="N13" s="4715"/>
      <c r="P13"/>
      <c r="Q13"/>
      <c r="R13"/>
      <c r="S13"/>
      <c r="T13"/>
      <c r="U13"/>
      <c r="V13"/>
    </row>
    <row r="14" spans="1:29" ht="24.95" customHeight="1" thickBot="1">
      <c r="A14" s="4684" t="s">
        <v>434</v>
      </c>
      <c r="B14" s="4685"/>
      <c r="C14" s="4685">
        <f>'Segment JPMe'!AB289</f>
        <v>1686.2652315775169</v>
      </c>
      <c r="D14" s="5967" t="s">
        <v>116</v>
      </c>
      <c r="E14" s="4685">
        <f>'Segment JPMe'!AC304</f>
        <v>-4391.9678517973789</v>
      </c>
      <c r="F14" s="5008" t="s">
        <v>116</v>
      </c>
      <c r="G14" s="4721">
        <v>120000</v>
      </c>
      <c r="H14" s="4676"/>
      <c r="I14" s="5006"/>
      <c r="P14"/>
      <c r="Q14"/>
      <c r="R14"/>
      <c r="S14"/>
      <c r="T14"/>
      <c r="U14"/>
      <c r="V14"/>
    </row>
    <row r="15" spans="1:29" ht="24.95" customHeight="1" thickBot="1">
      <c r="A15" s="5013" t="s">
        <v>974</v>
      </c>
      <c r="B15" s="4685"/>
      <c r="C15" s="4685">
        <f>'Segment JPMe'!AB321</f>
        <v>-586.14891013323847</v>
      </c>
      <c r="D15" s="5967" t="s">
        <v>116</v>
      </c>
      <c r="E15" s="4630">
        <f>'Segment JPMe'!AC337</f>
        <v>-20592.538223054704</v>
      </c>
      <c r="F15" s="5009">
        <f>F9</f>
        <v>16</v>
      </c>
      <c r="G15" s="4720">
        <f>E15*F15</f>
        <v>-329480.61156887526</v>
      </c>
      <c r="H15" s="4612"/>
      <c r="I15" s="5007"/>
      <c r="K15" s="4492"/>
      <c r="P15"/>
      <c r="Q15"/>
      <c r="R15"/>
      <c r="S15"/>
      <c r="T15"/>
      <c r="U15"/>
      <c r="V15"/>
    </row>
    <row r="16" spans="1:29" ht="15" customHeight="1">
      <c r="A16" s="4631" t="s">
        <v>903</v>
      </c>
      <c r="B16" s="4632"/>
      <c r="C16" s="4632">
        <f>'Segment JPMe'!AB8</f>
        <v>468301.65234851843</v>
      </c>
      <c r="D16" s="5010">
        <f>G16/C16</f>
        <v>8.9052465446019546</v>
      </c>
      <c r="E16" s="4632">
        <f>'Segment JPMe'!AC25</f>
        <v>260204.32088621851</v>
      </c>
      <c r="F16" s="5010">
        <f>G16/E16</f>
        <v>16.027180706317427</v>
      </c>
      <c r="G16" s="4722">
        <f>SUM(G9:G15)</f>
        <v>4170341.6714080297</v>
      </c>
      <c r="H16" s="4612"/>
      <c r="I16" s="4733"/>
      <c r="P16"/>
      <c r="Q16"/>
      <c r="R16"/>
      <c r="S16"/>
      <c r="T16"/>
      <c r="U16"/>
      <c r="V16"/>
    </row>
    <row r="17" spans="1:22" ht="15" customHeight="1">
      <c r="A17" s="4684"/>
      <c r="B17" s="4685"/>
      <c r="C17" s="4685"/>
      <c r="D17" s="4685"/>
      <c r="E17" s="4685"/>
      <c r="F17" s="4685"/>
      <c r="G17" s="4720"/>
      <c r="H17" s="4492"/>
      <c r="I17" s="4708"/>
      <c r="P17"/>
      <c r="Q17"/>
      <c r="R17"/>
      <c r="S17"/>
      <c r="T17"/>
      <c r="U17"/>
      <c r="V17"/>
    </row>
    <row r="18" spans="1:22" ht="20.100000000000001" customHeight="1">
      <c r="A18" s="4605" t="s">
        <v>905</v>
      </c>
      <c r="B18" s="4606"/>
      <c r="C18" s="4606"/>
      <c r="D18" s="4606"/>
      <c r="E18" s="4606"/>
      <c r="F18" s="4606"/>
      <c r="G18" s="4723"/>
      <c r="H18" s="4492"/>
      <c r="I18" s="4709"/>
      <c r="P18"/>
      <c r="Q18"/>
      <c r="R18"/>
      <c r="S18"/>
      <c r="T18"/>
      <c r="U18"/>
      <c r="V18"/>
    </row>
    <row r="19" spans="1:22" ht="20.100000000000001" customHeight="1">
      <c r="A19" s="4686" t="s">
        <v>908</v>
      </c>
      <c r="B19" s="4687"/>
      <c r="C19" s="4688"/>
      <c r="D19" s="4688"/>
      <c r="E19" s="4689"/>
      <c r="F19" s="4688"/>
      <c r="G19" s="4724">
        <f>'Rel Val'!Y10</f>
        <v>21607</v>
      </c>
      <c r="I19" s="4710"/>
    </row>
    <row r="20" spans="1:22" ht="20.100000000000001" customHeight="1">
      <c r="A20" s="4686" t="s">
        <v>909</v>
      </c>
      <c r="B20" s="4690"/>
      <c r="C20" s="4688"/>
      <c r="D20" s="4688"/>
      <c r="E20" s="4689"/>
      <c r="F20" s="4688"/>
      <c r="G20" s="4724">
        <f ca="1">'Rel Val'!Y11</f>
        <v>80552.215656951957</v>
      </c>
      <c r="H20" s="4492"/>
      <c r="I20" s="4710"/>
      <c r="P20" s="4711"/>
      <c r="Q20" s="4713"/>
      <c r="R20" s="4715"/>
    </row>
    <row r="21" spans="1:22" ht="20.100000000000001" customHeight="1">
      <c r="A21" s="4686" t="s">
        <v>910</v>
      </c>
      <c r="B21" s="4687"/>
      <c r="C21" s="4688"/>
      <c r="D21" s="4688"/>
      <c r="E21" s="4689"/>
      <c r="F21" s="4688"/>
      <c r="G21" s="4724">
        <f>'Rel Val'!Y12</f>
        <v>63800</v>
      </c>
      <c r="I21" s="4710"/>
      <c r="P21" s="4711"/>
      <c r="Q21" s="4713"/>
      <c r="R21" s="4715"/>
    </row>
    <row r="22" spans="1:22" ht="20.100000000000001" customHeight="1">
      <c r="A22" s="4691" t="s">
        <v>906</v>
      </c>
      <c r="B22" s="4692"/>
      <c r="C22" s="4693"/>
      <c r="D22" s="4692"/>
      <c r="E22" s="4692"/>
      <c r="F22" s="4694"/>
      <c r="G22" s="4725">
        <f ca="1">G16-G19+G20+G21</f>
        <v>4293086.8870649813</v>
      </c>
      <c r="I22" s="4716"/>
      <c r="J22" s="4713"/>
      <c r="K22" s="4713"/>
      <c r="L22" s="4713"/>
      <c r="M22" s="4713"/>
      <c r="N22" s="4713"/>
      <c r="P22" s="4711"/>
      <c r="Q22" s="4713"/>
      <c r="R22" s="4715"/>
    </row>
    <row r="23" spans="1:22" ht="15" customHeight="1">
      <c r="A23" s="4695"/>
      <c r="B23" s="4687"/>
      <c r="C23" s="4687"/>
      <c r="D23" s="4687"/>
      <c r="E23" s="4696"/>
      <c r="F23" s="4687"/>
      <c r="G23" s="4726"/>
      <c r="I23" s="4717"/>
      <c r="J23" s="4713"/>
      <c r="K23" s="4713"/>
      <c r="L23" s="4713"/>
      <c r="M23" s="4713"/>
      <c r="N23" s="4713"/>
      <c r="P23" s="4711"/>
      <c r="Q23" s="4713"/>
      <c r="R23" s="4715"/>
    </row>
    <row r="24" spans="1:22" ht="20.100000000000001" customHeight="1" thickBot="1">
      <c r="A24" s="4695" t="s">
        <v>907</v>
      </c>
      <c r="B24" s="4697"/>
      <c r="C24" s="4697"/>
      <c r="D24" s="4697"/>
      <c r="E24" s="4697"/>
      <c r="F24" s="4697"/>
      <c r="G24" s="4727">
        <f>'Rel Val'!Y8</f>
        <v>12213.918502526303</v>
      </c>
      <c r="I24" s="4716"/>
      <c r="J24" s="4713"/>
      <c r="K24" s="4713"/>
      <c r="L24" s="4713"/>
      <c r="M24" s="4713"/>
      <c r="N24" s="4713"/>
      <c r="P24" s="4712"/>
      <c r="Q24" s="4713"/>
      <c r="R24" s="4715"/>
    </row>
    <row r="25" spans="1:22" ht="20.100000000000001" customHeight="1" thickBot="1">
      <c r="A25" s="4698" t="s">
        <v>904</v>
      </c>
      <c r="B25" s="4699"/>
      <c r="C25" s="4699"/>
      <c r="D25" s="4699"/>
      <c r="E25" s="4699"/>
      <c r="F25" s="4699"/>
      <c r="G25" s="4719">
        <f ca="1">G22/G24</f>
        <v>351.49136505020954</v>
      </c>
      <c r="I25" s="4718"/>
      <c r="J25" s="4713"/>
      <c r="K25" s="4713"/>
      <c r="L25" s="4713"/>
      <c r="M25" s="4713"/>
      <c r="N25" s="4713"/>
      <c r="P25" s="4710"/>
      <c r="Q25" s="4713"/>
      <c r="R25" s="4713"/>
    </row>
    <row r="26" spans="1:22" ht="20.100000000000001" customHeight="1">
      <c r="A26" s="4605" t="s">
        <v>1206</v>
      </c>
      <c r="B26" s="4697"/>
      <c r="C26" s="4697"/>
      <c r="D26" s="4697"/>
      <c r="E26" s="4697"/>
      <c r="F26" s="4697"/>
      <c r="G26" s="4633">
        <f ca="1">G25/'Rel Val'!Z19</f>
        <v>28.283955014056673</v>
      </c>
      <c r="I26" s="4994"/>
      <c r="J26" s="4713"/>
      <c r="K26" s="4713"/>
      <c r="L26" s="4713"/>
      <c r="M26" s="4713"/>
      <c r="N26" s="4713"/>
      <c r="P26" s="4710"/>
      <c r="Q26" s="4713"/>
      <c r="R26" s="4713"/>
    </row>
    <row r="27" spans="1:22">
      <c r="P27" s="4710"/>
      <c r="Q27" s="4713"/>
      <c r="R27" s="4713"/>
    </row>
    <row r="28" spans="1:22">
      <c r="P28" s="4710"/>
      <c r="Q28" s="4713"/>
      <c r="R28" s="4713"/>
    </row>
    <row r="29" spans="1:22">
      <c r="P29" s="4710"/>
      <c r="Q29" s="4713"/>
      <c r="R29" s="4713"/>
    </row>
    <row r="49" spans="16:24">
      <c r="T49" s="4747" t="s">
        <v>931</v>
      </c>
      <c r="U49" s="4748"/>
      <c r="V49" s="4747" t="s">
        <v>932</v>
      </c>
      <c r="W49" s="4748"/>
    </row>
    <row r="50" spans="16:24">
      <c r="P50" s="4737"/>
      <c r="Q50" s="4737"/>
      <c r="R50" s="4737"/>
      <c r="S50" s="4613" t="s">
        <v>924</v>
      </c>
      <c r="T50" s="5317" t="s">
        <v>1103</v>
      </c>
      <c r="U50" s="5318" t="s">
        <v>1192</v>
      </c>
      <c r="V50" s="5317" t="s">
        <v>1103</v>
      </c>
      <c r="W50" s="5318" t="s">
        <v>1192</v>
      </c>
    </row>
    <row r="51" spans="16:24">
      <c r="P51" s="4749" t="s">
        <v>895</v>
      </c>
      <c r="Q51" s="4734"/>
      <c r="R51" s="4734"/>
      <c r="S51" s="5012">
        <f>G9/1000</f>
        <v>2869.2912751427275</v>
      </c>
      <c r="T51" s="4754">
        <f>E75/1000</f>
        <v>251.97513656936974</v>
      </c>
      <c r="U51" s="4755">
        <f>F75/1000</f>
        <v>277.17265022630676</v>
      </c>
      <c r="V51" s="4754">
        <f>E79/1000</f>
        <v>163.78383877009034</v>
      </c>
      <c r="W51" s="4755">
        <f>F79/1000</f>
        <v>179.33070469642047</v>
      </c>
      <c r="X51" s="4491" t="str">
        <f>CONCATENATE(TEXT(F9,"0.0x")," ",E$7," EBITDA")</f>
        <v>16.0x '27E EBITDA</v>
      </c>
    </row>
    <row r="52" spans="16:24">
      <c r="P52" s="4750"/>
      <c r="Q52" s="4737"/>
      <c r="R52" s="4737"/>
      <c r="S52" s="4737"/>
      <c r="T52" s="4756">
        <f>E76</f>
        <v>0.12827717552137102</v>
      </c>
      <c r="U52" s="4757">
        <f>F76</f>
        <v>0.1000000000000002</v>
      </c>
      <c r="V52" s="4758">
        <f>E80</f>
        <v>0.65</v>
      </c>
      <c r="W52" s="4759">
        <f>F80</f>
        <v>0.64700000000000002</v>
      </c>
    </row>
    <row r="53" spans="16:24">
      <c r="P53" s="4749" t="s">
        <v>634</v>
      </c>
      <c r="Q53" s="4734"/>
      <c r="R53" s="4734"/>
      <c r="S53" s="5314">
        <f>G10/1000</f>
        <v>14.823724841385571</v>
      </c>
      <c r="T53" s="4760">
        <f>E83/1000</f>
        <v>29.359724383809809</v>
      </c>
      <c r="U53" s="4761">
        <f>F83/1000</f>
        <v>29.066127139971709</v>
      </c>
      <c r="V53" s="4760">
        <f>E87/1000</f>
        <v>5.2847503890857652</v>
      </c>
      <c r="W53" s="4761">
        <f>F87/1000</f>
        <v>4.9412416137951904</v>
      </c>
      <c r="X53" s="4491" t="str">
        <f>CONCATENATE(TEXT(F10,"0.0x")," ",E$7," EBITDA")</f>
        <v>3.0x '27E EBITDA</v>
      </c>
    </row>
    <row r="54" spans="16:24">
      <c r="P54" s="4750"/>
      <c r="Q54" s="4737"/>
      <c r="R54" s="4737"/>
      <c r="S54" s="4737"/>
      <c r="T54" s="4756">
        <f>E84</f>
        <v>-1.3028345866031372E-2</v>
      </c>
      <c r="U54" s="4757">
        <f>F84</f>
        <v>-1.0000000000000049E-2</v>
      </c>
      <c r="V54" s="4758">
        <f>E88</f>
        <v>0.18</v>
      </c>
      <c r="W54" s="4759">
        <f>F88</f>
        <v>0.17</v>
      </c>
    </row>
    <row r="55" spans="16:24">
      <c r="P55" s="4749" t="s">
        <v>354</v>
      </c>
      <c r="Q55" s="4734"/>
      <c r="R55" s="4734"/>
      <c r="S55" s="5314">
        <f>G11/1000</f>
        <v>230.4805577723879</v>
      </c>
      <c r="T55" s="4760">
        <f>E91/1000</f>
        <v>70.772545259694994</v>
      </c>
      <c r="U55" s="4761">
        <f>F91/1000</f>
        <v>78.79677188799586</v>
      </c>
      <c r="V55" s="4760">
        <f>E93/1000</f>
        <v>13.234465963562963</v>
      </c>
      <c r="W55" s="4761">
        <f>F93/1000</f>
        <v>15.365370518159192</v>
      </c>
      <c r="X55" s="4491" t="str">
        <f>CONCATENATE(TEXT(D11,"0.0x")," ",C$7," Revenue")</f>
        <v>5.0x '26E Revenue</v>
      </c>
    </row>
    <row r="56" spans="16:24">
      <c r="P56" s="4750"/>
      <c r="Q56" s="4737"/>
      <c r="R56" s="4737"/>
      <c r="S56" s="4737"/>
      <c r="T56" s="4756">
        <f>E92</f>
        <v>0.1397478582570644</v>
      </c>
      <c r="U56" s="4757">
        <f>F92</f>
        <v>0.11338050085462544</v>
      </c>
      <c r="V56" s="4758">
        <f>E94</f>
        <v>0.187</v>
      </c>
      <c r="W56" s="4759">
        <f>F94</f>
        <v>0.19500000000000001</v>
      </c>
    </row>
    <row r="57" spans="16:24">
      <c r="P57" s="4749" t="s">
        <v>902</v>
      </c>
      <c r="Q57" s="4734"/>
      <c r="R57" s="4734"/>
      <c r="S57" s="5314">
        <f>G12/1000</f>
        <v>272.0064899279127</v>
      </c>
      <c r="T57" s="4760">
        <f>E97/1000</f>
        <v>32.325776873158617</v>
      </c>
      <c r="U57" s="4761">
        <f>F97/1000</f>
        <v>36.204870097937658</v>
      </c>
      <c r="V57" s="4760">
        <f>E99/1000</f>
        <v>21.140397739615452</v>
      </c>
      <c r="W57" s="4761">
        <f>F99/1000</f>
        <v>27.200648992791269</v>
      </c>
      <c r="X57" s="4491" t="str">
        <f>CONCATENATE(TEXT(F12,"0.0x")," ",E$7," EBITDA")</f>
        <v>10.0x '27E EBITDA</v>
      </c>
    </row>
    <row r="58" spans="16:24">
      <c r="P58" s="4750"/>
      <c r="Q58" s="4737"/>
      <c r="R58" s="4737"/>
      <c r="S58" s="4737"/>
      <c r="T58" s="4756">
        <f>E98</f>
        <v>0.18649200413746181</v>
      </c>
      <c r="U58" s="4757">
        <f>F98</f>
        <v>0.1200000000000002</v>
      </c>
      <c r="V58" s="4758">
        <f>E100</f>
        <v>0.65397957248072103</v>
      </c>
      <c r="W58" s="4759">
        <f>F100</f>
        <v>0.75129806899488649</v>
      </c>
    </row>
    <row r="59" spans="16:24">
      <c r="P59" s="4749" t="s">
        <v>692</v>
      </c>
      <c r="Q59" s="4734"/>
      <c r="R59" s="4734"/>
      <c r="S59" s="5314">
        <f>G13/1000</f>
        <v>993.22023529249157</v>
      </c>
      <c r="T59" s="4760">
        <f>E103/1000</f>
        <v>82.768352941040973</v>
      </c>
      <c r="U59" s="4761">
        <f>F103/1000</f>
        <v>107.59885882335327</v>
      </c>
      <c r="V59" s="4760">
        <f>E105/1000</f>
        <v>44.551330570014919</v>
      </c>
      <c r="W59" s="4761">
        <f>F105/1000</f>
        <v>58.350861139904474</v>
      </c>
      <c r="X59" s="4491" t="str">
        <f>CONCATENATE(TEXT(D13,"0.0x")," ",C$7," Revenue")</f>
        <v>12.0x '26E Revenue</v>
      </c>
    </row>
    <row r="60" spans="16:24">
      <c r="P60" s="4750"/>
      <c r="Q60" s="4737"/>
      <c r="R60" s="4737"/>
      <c r="S60" s="4737"/>
      <c r="T60" s="4756">
        <f>E104</f>
        <v>0.43786186244056036</v>
      </c>
      <c r="U60" s="4757">
        <f>F104</f>
        <v>0.30000000000000004</v>
      </c>
      <c r="V60" s="4758">
        <f>E106</f>
        <v>0.53826527878053243</v>
      </c>
      <c r="W60" s="4759">
        <f>F106</f>
        <v>0.5423</v>
      </c>
    </row>
    <row r="61" spans="16:24">
      <c r="P61" s="4749" t="s">
        <v>434</v>
      </c>
      <c r="Q61" s="4734"/>
      <c r="R61" s="4734"/>
      <c r="S61" s="5314">
        <f>G14/1000</f>
        <v>120</v>
      </c>
      <c r="T61" s="4760">
        <f>E109/1000</f>
        <v>1.6862652315775168</v>
      </c>
      <c r="U61" s="4761">
        <f>F109/1000</f>
        <v>1.8962430371849186</v>
      </c>
      <c r="V61" s="4760">
        <f>E111/1000</f>
        <v>-4.3737531117828548</v>
      </c>
      <c r="W61" s="4761">
        <f>F111/1000</f>
        <v>-4.3919678517973786</v>
      </c>
      <c r="X61" s="4995" t="s">
        <v>373</v>
      </c>
    </row>
    <row r="62" spans="16:24">
      <c r="P62" s="4750"/>
      <c r="Q62" s="4737"/>
      <c r="R62" s="4737"/>
      <c r="S62" s="4737"/>
      <c r="T62" s="4756">
        <f>E110</f>
        <v>0.10139267785575458</v>
      </c>
      <c r="U62" s="4757">
        <f>F110</f>
        <v>0.12452240707766091</v>
      </c>
      <c r="V62" s="4758">
        <f>E112</f>
        <v>-2.5937515818262868</v>
      </c>
      <c r="W62" s="4759">
        <f>F112</f>
        <v>-2.316141847680826</v>
      </c>
    </row>
    <row r="63" spans="16:24">
      <c r="P63" s="4751" t="str">
        <f>A15</f>
        <v>Unallocated Corporate Costs</v>
      </c>
      <c r="Q63" s="4752"/>
      <c r="R63" s="4752"/>
      <c r="S63" s="5315">
        <f>G15/1000</f>
        <v>-329.48061156887525</v>
      </c>
      <c r="T63" s="4735"/>
      <c r="U63" s="4736"/>
      <c r="V63" s="4735"/>
      <c r="W63" s="4736"/>
      <c r="X63" s="4491" t="str">
        <f>CONCATENATE(TEXT(F15,"0.0x")," ",E$7," EBITDA")</f>
        <v>16.0x '27E EBITDA</v>
      </c>
    </row>
    <row r="64" spans="16:24">
      <c r="P64" s="4753" t="s">
        <v>247</v>
      </c>
      <c r="Q64" s="4752"/>
      <c r="R64" s="4752"/>
      <c r="S64" s="5316">
        <f>G16/1000</f>
        <v>4170.3416714080295</v>
      </c>
      <c r="T64" s="4735"/>
      <c r="U64" s="4736"/>
      <c r="V64" s="4735"/>
      <c r="W64" s="4736"/>
    </row>
    <row r="67" spans="1:17">
      <c r="P67" s="5085">
        <v>295</v>
      </c>
      <c r="Q67" s="4996">
        <f ca="1">G25/P67-1</f>
        <v>0.1914961527125747</v>
      </c>
    </row>
    <row r="69" spans="1:17">
      <c r="P69" s="4491" t="str">
        <f ca="1">CONCATENATE("Alphabet SOTP Enterprise Value = ",TEXT(G16/1000000,"$#,0.00"),"T and Equity Value = ",TEXT(G22/1000000,"$0.00"),"T, or ",TEXT(G25,"$0,0")," per share, ",TEXT(Q67,"0%")," Upside")</f>
        <v>Alphabet SOTP Enterprise Value = $4.17T and Equity Value = $4.29T, or $351 per share, 19% Upside</v>
      </c>
    </row>
    <row r="72" spans="1:17">
      <c r="A72" s="6278" t="s">
        <v>911</v>
      </c>
      <c r="B72" s="6278"/>
      <c r="C72" s="6278"/>
      <c r="D72" s="6278"/>
      <c r="E72" s="6278"/>
      <c r="F72" s="6278"/>
      <c r="G72" s="6236" t="s">
        <v>912</v>
      </c>
    </row>
    <row r="73" spans="1:17">
      <c r="A73" s="6278"/>
      <c r="B73" s="6278"/>
      <c r="C73" s="6278"/>
      <c r="D73" s="6278"/>
      <c r="E73" s="6278"/>
      <c r="F73" s="6278"/>
      <c r="G73" s="6241" t="s">
        <v>110</v>
      </c>
    </row>
    <row r="74" spans="1:17">
      <c r="A74" s="4615" t="str">
        <f>A9</f>
        <v>Google Search &amp; other</v>
      </c>
      <c r="B74" s="4615"/>
      <c r="C74" s="4619" t="str">
        <f>IS!EK6</f>
        <v>2024A</v>
      </c>
      <c r="D74" s="4619" t="str">
        <f>IS!EP6</f>
        <v>2025E</v>
      </c>
      <c r="E74" s="4619" t="str">
        <f>IS!EU6</f>
        <v>2026E</v>
      </c>
      <c r="F74" s="4619" t="str">
        <f>IS!EV6</f>
        <v>2027E</v>
      </c>
      <c r="G74" s="6239"/>
    </row>
    <row r="75" spans="1:17">
      <c r="A75" s="4614" t="s">
        <v>899</v>
      </c>
      <c r="C75" s="4620">
        <f>'Segment JPMe'!Z47</f>
        <v>198084</v>
      </c>
      <c r="D75" s="4620">
        <f>'Segment JPMe'!AA47</f>
        <v>223327.33661206372</v>
      </c>
      <c r="E75" s="4620">
        <f>'Segment JPMe'!AB47</f>
        <v>251975.13656936973</v>
      </c>
      <c r="F75" s="4620">
        <f>'Segment JPMe'!AC47</f>
        <v>277172.65022630675</v>
      </c>
      <c r="G75" s="6238">
        <f>IF(AND(F75&gt;0,C75&gt;0),(F75/C75)^(1/3)-1,"NA")</f>
        <v>0.11849400077106087</v>
      </c>
    </row>
    <row r="76" spans="1:17">
      <c r="A76" s="4617" t="s">
        <v>359</v>
      </c>
      <c r="B76" s="4618"/>
      <c r="C76" s="4621">
        <f>'Segment JPMe'!Z65</f>
        <v>0.13169516605440118</v>
      </c>
      <c r="D76" s="4621">
        <f>'Segment JPMe'!AA65</f>
        <v>0.12743753464219079</v>
      </c>
      <c r="E76" s="4621">
        <f>'Segment JPMe'!AB65</f>
        <v>0.12827717552137102</v>
      </c>
      <c r="F76" s="4621">
        <f>'Segment JPMe'!AC65</f>
        <v>0.1000000000000002</v>
      </c>
      <c r="G76" s="6239"/>
    </row>
    <row r="77" spans="1:17">
      <c r="A77" s="4624" t="s">
        <v>282</v>
      </c>
      <c r="C77" s="4620">
        <f>'Segment JPMe'!Z49</f>
        <v>164012.43280000001</v>
      </c>
      <c r="D77" s="4620">
        <f>'Segment JPMe'!AA49</f>
        <v>183806.99952681037</v>
      </c>
      <c r="E77" s="4620">
        <f>'Segment JPMe'!AB49</f>
        <v>206578.10979195591</v>
      </c>
      <c r="F77" s="4620">
        <f>'Segment JPMe'!AC49</f>
        <v>226450.05523489261</v>
      </c>
      <c r="G77" s="6238">
        <f>IF(AND(F77&gt;0,C77&gt;0),(F77/C77)^(1/3)-1,"NA")</f>
        <v>0.11352136309807781</v>
      </c>
    </row>
    <row r="78" spans="1:17">
      <c r="A78" s="4617" t="s">
        <v>359</v>
      </c>
      <c r="B78" s="4618"/>
      <c r="C78" s="4621">
        <f>'Segment JPMe'!Z67</f>
        <v>0.12608935754316453</v>
      </c>
      <c r="D78" s="4621">
        <f>'Segment JPMe'!AA67</f>
        <v>0.12068942816638932</v>
      </c>
      <c r="E78" s="4621">
        <f>'Segment JPMe'!AB67</f>
        <v>0.12388597998861363</v>
      </c>
      <c r="F78" s="4621">
        <f>'Segment JPMe'!AC67</f>
        <v>9.6195794718761204E-2</v>
      </c>
      <c r="G78" s="6239"/>
    </row>
    <row r="79" spans="1:17">
      <c r="A79" s="4614" t="s">
        <v>54</v>
      </c>
      <c r="C79" s="4620">
        <f>'Segment JPMe'!Z62</f>
        <v>124792.92</v>
      </c>
      <c r="D79" s="4620">
        <f>'Segment JPMe'!AA62</f>
        <v>143376.15010494491</v>
      </c>
      <c r="E79" s="4620">
        <f>'Segment JPMe'!AB62</f>
        <v>163783.83877009034</v>
      </c>
      <c r="F79" s="4620">
        <f>'Segment JPMe'!AC62</f>
        <v>179330.70469642046</v>
      </c>
      <c r="G79" s="6238">
        <f>IF(AND(F79&gt;0,C79&gt;0),(F79/C79)^(1/3)-1,"NA")</f>
        <v>0.12846536994203928</v>
      </c>
    </row>
    <row r="80" spans="1:17">
      <c r="A80" s="4625" t="s">
        <v>913</v>
      </c>
      <c r="C80" s="4730">
        <f>'Segment JPMe'!Z79</f>
        <v>0.63</v>
      </c>
      <c r="D80" s="4730">
        <f>'Segment JPMe'!AA79</f>
        <v>0.64200000000000002</v>
      </c>
      <c r="E80" s="4730">
        <f>'Segment JPMe'!AB79</f>
        <v>0.65</v>
      </c>
      <c r="F80" s="4730">
        <f>'Segment JPMe'!AC79</f>
        <v>0.64700000000000002</v>
      </c>
      <c r="G80" s="6238"/>
    </row>
    <row r="81" spans="1:17">
      <c r="C81" s="4623"/>
      <c r="D81" s="4623"/>
      <c r="E81" s="4623"/>
      <c r="F81" s="4623"/>
      <c r="G81" s="6240"/>
    </row>
    <row r="82" spans="1:17">
      <c r="A82" s="4615" t="str">
        <f>A10</f>
        <v>Google Network</v>
      </c>
      <c r="B82" s="4615"/>
      <c r="C82" s="4619" t="str">
        <f>C$74</f>
        <v>2024A</v>
      </c>
      <c r="D82" s="4619" t="str">
        <f>D$74</f>
        <v>2025E</v>
      </c>
      <c r="E82" s="4619" t="str">
        <f>E$74</f>
        <v>2026E</v>
      </c>
      <c r="F82" s="4619" t="str">
        <f>F$74</f>
        <v>2027E</v>
      </c>
      <c r="G82" s="6237"/>
    </row>
    <row r="83" spans="1:17">
      <c r="A83" s="4614" t="s">
        <v>899</v>
      </c>
      <c r="C83" s="4620">
        <f>'Segment JPMe'!Z84</f>
        <v>30359</v>
      </c>
      <c r="D83" s="4620">
        <f>'Segment JPMe'!AA84</f>
        <v>29747.28226574236</v>
      </c>
      <c r="E83" s="4620">
        <f>'Segment JPMe'!AB84</f>
        <v>29359.724383809807</v>
      </c>
      <c r="F83" s="4620">
        <f>'Segment JPMe'!AC84</f>
        <v>29066.127139971708</v>
      </c>
      <c r="G83" s="6238">
        <f>IF(AND(F83&gt;0,C83&gt;0),(F83/C83)^(1/3)-1,"NA")</f>
        <v>-1.4401798693247092E-2</v>
      </c>
      <c r="I83" s="6009"/>
    </row>
    <row r="84" spans="1:17">
      <c r="A84" s="4617" t="s">
        <v>359</v>
      </c>
      <c r="B84" s="4618"/>
      <c r="C84" s="4621">
        <f>'Segment JPMe'!Z102</f>
        <v>-3.0435615738375065E-2</v>
      </c>
      <c r="D84" s="4621">
        <f>'Segment JPMe'!AA102</f>
        <v>-2.0149469160961813E-2</v>
      </c>
      <c r="E84" s="4621">
        <f>'Segment JPMe'!AB102</f>
        <v>-1.3028345866031372E-2</v>
      </c>
      <c r="F84" s="4621">
        <f>'Segment JPMe'!AC102</f>
        <v>-1.0000000000000049E-2</v>
      </c>
      <c r="G84" s="6239"/>
    </row>
    <row r="85" spans="1:17">
      <c r="A85" s="4624" t="s">
        <v>282</v>
      </c>
      <c r="C85" s="4620">
        <f>'Segment JPMe'!Z86</f>
        <v>9530.5671999999977</v>
      </c>
      <c r="D85" s="4620">
        <f>'Segment JPMe'!AA86</f>
        <v>9680.3221476949766</v>
      </c>
      <c r="E85" s="4620">
        <f>'Segment JPMe'!AB86</f>
        <v>9688.7090466572372</v>
      </c>
      <c r="F85" s="4620">
        <f>'Segment JPMe'!AC86</f>
        <v>9591.8219561906662</v>
      </c>
      <c r="G85" s="6238">
        <f>IF(AND(F85&gt;0,C85&gt;0),(F85/C85)^(1/3)-1,"NA")</f>
        <v>2.1378227734811794E-3</v>
      </c>
    </row>
    <row r="86" spans="1:17">
      <c r="A86" s="4617" t="s">
        <v>359</v>
      </c>
      <c r="B86" s="4618"/>
      <c r="C86" s="4621">
        <f>'Segment JPMe'!Z104</f>
        <v>-2.8603726339729268E-2</v>
      </c>
      <c r="D86" s="4621">
        <f>'Segment JPMe'!AA104</f>
        <v>1.5713120169277957E-2</v>
      </c>
      <c r="E86" s="4621">
        <f>'Segment JPMe'!AB104</f>
        <v>8.6638634895612877E-4</v>
      </c>
      <c r="F86" s="4621">
        <f>'Segment JPMe'!AC104</f>
        <v>-9.9999999999998528E-3</v>
      </c>
      <c r="G86" s="6239"/>
    </row>
    <row r="87" spans="1:17">
      <c r="A87" s="4614" t="s">
        <v>54</v>
      </c>
      <c r="C87" s="4620">
        <f>'Segment JPMe'!Z99</f>
        <v>6375.3899999999994</v>
      </c>
      <c r="D87" s="4620">
        <f>'Segment JPMe'!AA99</f>
        <v>5949.4564531484721</v>
      </c>
      <c r="E87" s="4620">
        <f>'Segment JPMe'!AB99</f>
        <v>5284.7503890857652</v>
      </c>
      <c r="F87" s="4620">
        <f>'Segment JPMe'!AC99</f>
        <v>4941.2416137951905</v>
      </c>
      <c r="G87" s="6238">
        <f>IF(AND(F87&gt;0,C87&gt;0),(F87/C87)^(1/3)-1,"NA")</f>
        <v>-8.1435244759028413E-2</v>
      </c>
    </row>
    <row r="88" spans="1:17">
      <c r="A88" s="4616" t="s">
        <v>901</v>
      </c>
      <c r="C88" s="4622">
        <f>'Segment JPMe'!Z116</f>
        <v>0.21</v>
      </c>
      <c r="D88" s="4622">
        <f>'Segment JPMe'!AA116</f>
        <v>0.2</v>
      </c>
      <c r="E88" s="4622">
        <f>'Segment JPMe'!AB116</f>
        <v>0.18</v>
      </c>
      <c r="F88" s="4622">
        <f>'Segment JPMe'!AC116</f>
        <v>0.17</v>
      </c>
      <c r="G88" s="6238"/>
    </row>
    <row r="89" spans="1:17">
      <c r="C89" s="4623"/>
      <c r="D89" s="4623"/>
      <c r="E89" s="4623"/>
      <c r="F89" s="4623"/>
      <c r="G89" s="6240"/>
    </row>
    <row r="90" spans="1:17">
      <c r="A90" s="4615" t="str">
        <f>A11</f>
        <v>YouTube</v>
      </c>
      <c r="B90" s="4615"/>
      <c r="C90" s="4619" t="str">
        <f>C$74</f>
        <v>2024A</v>
      </c>
      <c r="D90" s="4619" t="str">
        <f>D$74</f>
        <v>2025E</v>
      </c>
      <c r="E90" s="4619" t="str">
        <f>E$74</f>
        <v>2026E</v>
      </c>
      <c r="F90" s="4619" t="str">
        <f>F$74</f>
        <v>2027E</v>
      </c>
      <c r="G90" s="6237"/>
    </row>
    <row r="91" spans="1:17">
      <c r="A91" s="4614" t="s">
        <v>899</v>
      </c>
      <c r="C91" s="4620">
        <f>'Segment JPMe'!Z123</f>
        <v>54089.601599999995</v>
      </c>
      <c r="D91" s="4620">
        <f>'Segment JPMe'!AA123</f>
        <v>62094.914017142728</v>
      </c>
      <c r="E91" s="4620">
        <f>'Segment JPMe'!AB123</f>
        <v>70772.545259694991</v>
      </c>
      <c r="F91" s="4620">
        <f>'Segment JPMe'!AC123</f>
        <v>78796.771887995856</v>
      </c>
      <c r="G91" s="6238">
        <f>IF(AND(F91&gt;0,C91&gt;0),(F91/C91)^(1/3)-1,"NA")</f>
        <v>0.13361316555535008</v>
      </c>
    </row>
    <row r="92" spans="1:17">
      <c r="A92" s="4617" t="s">
        <v>359</v>
      </c>
      <c r="B92" s="4618"/>
      <c r="C92" s="4621">
        <f>'Segment JPMe'!Z146</f>
        <v>0.19924939604743638</v>
      </c>
      <c r="D92" s="4621">
        <f>'Segment JPMe'!AA146</f>
        <v>0.14800094991165055</v>
      </c>
      <c r="E92" s="4621">
        <f>'Segment JPMe'!AB146</f>
        <v>0.1397478582570644</v>
      </c>
      <c r="F92" s="4621">
        <f>'Segment JPMe'!AC146</f>
        <v>0.11338050085462544</v>
      </c>
      <c r="G92" s="6239"/>
    </row>
    <row r="93" spans="1:17">
      <c r="A93" s="4614" t="s">
        <v>54</v>
      </c>
      <c r="C93" s="4620">
        <f>'Segment JPMe'!Z141</f>
        <v>6707.1105983999996</v>
      </c>
      <c r="D93" s="4620">
        <f>'Segment JPMe'!AA141</f>
        <v>10121.470984794265</v>
      </c>
      <c r="E93" s="4620">
        <f>'Segment JPMe'!AB141</f>
        <v>13234.465963562963</v>
      </c>
      <c r="F93" s="4620">
        <f>'Segment JPMe'!AC141</f>
        <v>15365.370518159192</v>
      </c>
      <c r="G93" s="6238">
        <f>IF(AND(F93&gt;0,C93&gt;0),(F93/C93)^(1/3)-1,"NA")</f>
        <v>0.31826439732641698</v>
      </c>
    </row>
    <row r="94" spans="1:17">
      <c r="A94" s="4616" t="s">
        <v>901</v>
      </c>
      <c r="C94" s="4622">
        <f>'Segment JPMe'!Z165</f>
        <v>0.124</v>
      </c>
      <c r="D94" s="4622">
        <f>'Segment JPMe'!AA165</f>
        <v>0.16300000000000001</v>
      </c>
      <c r="E94" s="4622">
        <f>'Segment JPMe'!AB165</f>
        <v>0.187</v>
      </c>
      <c r="F94" s="4622">
        <f>'Segment JPMe'!AC165</f>
        <v>0.19500000000000001</v>
      </c>
      <c r="G94" s="6238"/>
    </row>
    <row r="95" spans="1:17">
      <c r="C95" s="4623"/>
      <c r="D95" s="4623"/>
      <c r="E95" s="4623"/>
      <c r="F95" s="4623"/>
      <c r="G95" s="6240"/>
    </row>
    <row r="96" spans="1:17">
      <c r="A96" s="4615" t="str">
        <f>A12</f>
        <v>Play, Devices, Google One, Etc.</v>
      </c>
      <c r="B96" s="4615"/>
      <c r="C96" s="4619" t="str">
        <f>C$74</f>
        <v>2024A</v>
      </c>
      <c r="D96" s="4619" t="str">
        <f>D$74</f>
        <v>2025E</v>
      </c>
      <c r="E96" s="4619" t="str">
        <f>E$74</f>
        <v>2026E</v>
      </c>
      <c r="F96" s="4619" t="str">
        <f>F$74</f>
        <v>2027E</v>
      </c>
      <c r="G96" s="6237"/>
      <c r="P96" s="4740"/>
      <c r="Q96" s="4740"/>
    </row>
    <row r="97" spans="1:17">
      <c r="A97" s="4614" t="s">
        <v>899</v>
      </c>
      <c r="C97" s="4620">
        <f>'Segment JPMe'!Z173</f>
        <v>22397.398400000002</v>
      </c>
      <c r="D97" s="4620">
        <f>'Segment JPMe'!AA173</f>
        <v>27244.833307290872</v>
      </c>
      <c r="E97" s="4620">
        <f>'Segment JPMe'!AB173</f>
        <v>32325.776873158618</v>
      </c>
      <c r="F97" s="4620">
        <f>'Segment JPMe'!AC173</f>
        <v>36204.870097937659</v>
      </c>
      <c r="G97" s="6238">
        <f>IF(AND(F97&gt;0,C97&gt;0),(F97/C97)^(1/3)-1,"NA")</f>
        <v>0.17360821134665638</v>
      </c>
      <c r="P97" s="4612"/>
      <c r="Q97" s="4611"/>
    </row>
    <row r="98" spans="1:17">
      <c r="A98" s="4617" t="s">
        <v>359</v>
      </c>
      <c r="B98" s="4618"/>
      <c r="C98" s="4621">
        <f>'Segment JPMe'!Z194</f>
        <v>6.173363318151303E-2</v>
      </c>
      <c r="D98" s="4621">
        <f>'Segment JPMe'!AA194</f>
        <v>0.21642848069760054</v>
      </c>
      <c r="E98" s="4621">
        <f>'Segment JPMe'!AB194</f>
        <v>0.18649200413746181</v>
      </c>
      <c r="F98" s="4621">
        <f>'Segment JPMe'!AC194</f>
        <v>0.1200000000000002</v>
      </c>
      <c r="G98" s="6239"/>
      <c r="P98" s="4612"/>
      <c r="Q98" s="4612"/>
    </row>
    <row r="99" spans="1:17">
      <c r="A99" s="4614" t="s">
        <v>54</v>
      </c>
      <c r="C99" s="4620">
        <f>'Segment JPMe'!Z188</f>
        <v>10038.461401600016</v>
      </c>
      <c r="D99" s="4620">
        <f>'Segment JPMe'!AA188</f>
        <v>9896.3690159670077</v>
      </c>
      <c r="E99" s="4620">
        <f>'Segment JPMe'!AB188</f>
        <v>21140.397739615451</v>
      </c>
      <c r="F99" s="4620">
        <f>'Segment JPMe'!AC188</f>
        <v>27200.64899279127</v>
      </c>
      <c r="G99" s="6238">
        <f>IF(AND(F99&gt;0,C99&gt;0),(F99/C99)^(1/3)-1,"NA")</f>
        <v>0.39413245504816685</v>
      </c>
      <c r="P99" s="4612"/>
      <c r="Q99" s="4611"/>
    </row>
    <row r="100" spans="1:17">
      <c r="A100" s="4616" t="s">
        <v>901</v>
      </c>
      <c r="C100" s="4622">
        <f>'Segment JPMe'!Z207</f>
        <v>0.44819765324172717</v>
      </c>
      <c r="D100" s="4622">
        <f>'Segment JPMe'!AA207</f>
        <v>0.36323837640506623</v>
      </c>
      <c r="E100" s="4622">
        <f>'Segment JPMe'!AB207</f>
        <v>0.65397957248072103</v>
      </c>
      <c r="F100" s="4622">
        <f>'Segment JPMe'!AC207</f>
        <v>0.75129806899488649</v>
      </c>
      <c r="G100" s="6238"/>
      <c r="P100" s="4729"/>
      <c r="Q100" s="4729"/>
    </row>
    <row r="101" spans="1:17">
      <c r="C101" s="4623"/>
      <c r="D101" s="4623"/>
      <c r="E101" s="4623"/>
      <c r="F101" s="4623"/>
      <c r="G101" s="6240"/>
    </row>
    <row r="102" spans="1:17">
      <c r="A102" s="4615" t="str">
        <f>A13</f>
        <v>Google Cloud</v>
      </c>
      <c r="B102" s="4615"/>
      <c r="C102" s="4619" t="str">
        <f>C$74</f>
        <v>2024A</v>
      </c>
      <c r="D102" s="4619" t="str">
        <f>D$74</f>
        <v>2025E</v>
      </c>
      <c r="E102" s="4619" t="str">
        <f>E$74</f>
        <v>2026E</v>
      </c>
      <c r="F102" s="4619" t="str">
        <f>F$74</f>
        <v>2027E</v>
      </c>
      <c r="G102" s="6237"/>
    </row>
    <row r="103" spans="1:17">
      <c r="A103" s="4614" t="s">
        <v>899</v>
      </c>
      <c r="C103" s="4620">
        <f>'Segment JPMe'!Z248</f>
        <v>43229</v>
      </c>
      <c r="D103" s="4620">
        <f>'Segment JPMe'!AA248</f>
        <v>57563.494173601481</v>
      </c>
      <c r="E103" s="4620">
        <f>'Segment JPMe'!AB248</f>
        <v>82768.352941040968</v>
      </c>
      <c r="F103" s="4620">
        <f>'Segment JPMe'!AC248</f>
        <v>107598.85882335326</v>
      </c>
      <c r="G103" s="6238">
        <f>IF(AND(F103&gt;0,C103&gt;0),(F103/C103)^(1/3)-1,"NA")</f>
        <v>0.35522319257888801</v>
      </c>
    </row>
    <row r="104" spans="1:17">
      <c r="A104" s="4617" t="s">
        <v>359</v>
      </c>
      <c r="B104" s="4618"/>
      <c r="C104" s="4621">
        <f>'Segment JPMe'!Z266</f>
        <v>0.30648573500967119</v>
      </c>
      <c r="D104" s="4621">
        <f>'Segment JPMe'!AA266</f>
        <v>0.33159439666893709</v>
      </c>
      <c r="E104" s="4621">
        <f>'Segment JPMe'!AB266</f>
        <v>0.43786186244056036</v>
      </c>
      <c r="F104" s="4621">
        <f>'Segment JPMe'!AC266</f>
        <v>0.30000000000000004</v>
      </c>
      <c r="G104" s="6239"/>
    </row>
    <row r="105" spans="1:17">
      <c r="A105" s="4614" t="s">
        <v>54</v>
      </c>
      <c r="C105" s="4620">
        <f>'Segment JPMe'!Z263</f>
        <v>16400.502</v>
      </c>
      <c r="D105" s="4620">
        <f>'Segment JPMe'!AA263</f>
        <v>26032.256238287104</v>
      </c>
      <c r="E105" s="4620">
        <f>'Segment JPMe'!AB263</f>
        <v>44551.330570014921</v>
      </c>
      <c r="F105" s="4620">
        <f>'Segment JPMe'!AC263</f>
        <v>58350.861139904475</v>
      </c>
      <c r="G105" s="6238">
        <f>IF(AND(F105&gt;0,C105&gt;0),(F105/C105)^(1/3)-1,"NA")</f>
        <v>0.52661681892010614</v>
      </c>
    </row>
    <row r="106" spans="1:17">
      <c r="A106" s="4616" t="s">
        <v>901</v>
      </c>
      <c r="C106" s="4622">
        <f>'Segment JPMe'!Z284</f>
        <v>0.37938656920123065</v>
      </c>
      <c r="D106" s="4622">
        <f>'Segment JPMe'!AA284</f>
        <v>0.45223551162093029</v>
      </c>
      <c r="E106" s="4622">
        <f>'Segment JPMe'!AB284</f>
        <v>0.53826527878053243</v>
      </c>
      <c r="F106" s="4622">
        <f>'Segment JPMe'!AC284</f>
        <v>0.5423</v>
      </c>
      <c r="G106" s="6238"/>
    </row>
    <row r="107" spans="1:17">
      <c r="G107" s="6240"/>
    </row>
    <row r="108" spans="1:17">
      <c r="A108" s="4615" t="str">
        <f>A14</f>
        <v>Other Bets</v>
      </c>
      <c r="B108" s="4615"/>
      <c r="C108" s="4619" t="str">
        <f>C$74</f>
        <v>2024A</v>
      </c>
      <c r="D108" s="4619" t="str">
        <f>D$74</f>
        <v>2025E</v>
      </c>
      <c r="E108" s="4619" t="str">
        <f>E$74</f>
        <v>2026E</v>
      </c>
      <c r="F108" s="4619" t="str">
        <f>F$74</f>
        <v>2027E</v>
      </c>
      <c r="G108" s="6237"/>
    </row>
    <row r="109" spans="1:17">
      <c r="A109" s="4614" t="s">
        <v>899</v>
      </c>
      <c r="C109" s="4620">
        <f>'Segment JPMe'!Z289</f>
        <v>1648</v>
      </c>
      <c r="D109" s="4620">
        <f>'Segment JPMe'!AA289</f>
        <v>1531.0300000000191</v>
      </c>
      <c r="E109" s="4620">
        <f>'Segment JPMe'!AB289</f>
        <v>1686.2652315775169</v>
      </c>
      <c r="F109" s="4620">
        <f>'Segment JPMe'!AC289</f>
        <v>1896.2430371849186</v>
      </c>
      <c r="G109" s="6238">
        <f>IF(AND(F109&gt;0,C109&gt;0),(F109/C109)^(1/3)-1,"NA")</f>
        <v>4.7881719126072531E-2</v>
      </c>
    </row>
    <row r="110" spans="1:17">
      <c r="A110" s="4617" t="s">
        <v>359</v>
      </c>
      <c r="B110" s="4618"/>
      <c r="C110" s="4621">
        <f>'Segment JPMe'!Z307</f>
        <v>7.9240340537000659E-2</v>
      </c>
      <c r="D110" s="4621">
        <f>'Segment JPMe'!AA307</f>
        <v>-7.0976941747561237E-2</v>
      </c>
      <c r="E110" s="4621">
        <f>'Segment JPMe'!AB307</f>
        <v>0.10139267785575458</v>
      </c>
      <c r="F110" s="4621">
        <f>'Segment JPMe'!AC307</f>
        <v>0.12452240707766091</v>
      </c>
      <c r="G110" s="6239"/>
    </row>
    <row r="111" spans="1:17">
      <c r="A111" s="4614" t="s">
        <v>54</v>
      </c>
      <c r="C111" s="4620">
        <f>'Segment JPMe'!Z304</f>
        <v>-3287.3839999999991</v>
      </c>
      <c r="D111" s="4620">
        <f>'Segment JPMe'!AA304</f>
        <v>-4222.8329005477754</v>
      </c>
      <c r="E111" s="4620">
        <f>'Segment JPMe'!AB304</f>
        <v>-4373.7531117828548</v>
      </c>
      <c r="F111" s="4620">
        <f>'Segment JPMe'!AC304</f>
        <v>-4391.9678517973789</v>
      </c>
      <c r="G111" s="6238" t="str">
        <f>IF(AND(F111&gt;0,C111&gt;0),(F111/C111)^(1/3)-1,"NA")</f>
        <v>NA</v>
      </c>
    </row>
    <row r="112" spans="1:17">
      <c r="A112" s="4616" t="s">
        <v>901</v>
      </c>
      <c r="C112" s="4622">
        <f>'Segment JPMe'!Z316</f>
        <v>-1.9947718446601936</v>
      </c>
      <c r="D112" s="4622">
        <f>'Segment JPMe'!AA316</f>
        <v>-2.7581646999390754</v>
      </c>
      <c r="E112" s="4622">
        <f>'Segment JPMe'!AB316</f>
        <v>-2.5937515818262868</v>
      </c>
      <c r="F112" s="4622">
        <f>'Segment JPMe'!AC316</f>
        <v>-2.316141847680826</v>
      </c>
      <c r="G112" s="6238"/>
    </row>
  </sheetData>
  <mergeCells count="2">
    <mergeCell ref="C6:G6"/>
    <mergeCell ref="A72:F73"/>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autoPageBreaks="0"/>
  </sheetPr>
  <dimension ref="A1:AL503"/>
  <sheetViews>
    <sheetView showGridLines="0" workbookViewId="0">
      <pane xSplit="1" ySplit="6" topLeftCell="T7" activePane="bottomRight" state="frozen"/>
      <selection activeCell="V72" sqref="V72"/>
      <selection pane="topRight" activeCell="V72" sqref="V72"/>
      <selection pane="bottomLeft" activeCell="V72" sqref="V72"/>
      <selection pane="bottomRight" activeCell="T7" sqref="T7"/>
    </sheetView>
  </sheetViews>
  <sheetFormatPr defaultColWidth="9.140625" defaultRowHeight="12.75" outlineLevelRow="1"/>
  <cols>
    <col min="1" max="1" width="41" customWidth="1"/>
    <col min="2" max="3" width="9.7109375" hidden="1" customWidth="1"/>
    <col min="4" max="4" width="9.7109375" hidden="1" customWidth="1" collapsed="1"/>
    <col min="5" max="19" width="9.7109375" hidden="1" customWidth="1"/>
    <col min="20" max="32" width="9.7109375" customWidth="1"/>
    <col min="33" max="33" width="3.7109375" customWidth="1"/>
    <col min="34" max="34" width="11.7109375" style="4808" customWidth="1"/>
  </cols>
  <sheetData>
    <row r="1" spans="1:34" s="2" customFormat="1" ht="11.25" customHeight="1">
      <c r="A1" s="3725"/>
      <c r="B1" s="226"/>
      <c r="C1" s="226"/>
      <c r="D1" s="226"/>
      <c r="E1" s="226"/>
      <c r="F1" s="226"/>
      <c r="G1" s="226"/>
      <c r="H1" s="226"/>
      <c r="I1" s="226"/>
      <c r="J1" s="226"/>
      <c r="K1" s="226"/>
      <c r="L1" s="226"/>
      <c r="M1" s="226"/>
      <c r="N1" s="226"/>
      <c r="O1" s="226"/>
      <c r="P1" s="226"/>
      <c r="Q1" s="226"/>
      <c r="R1" s="226"/>
      <c r="S1" s="226"/>
      <c r="T1" s="2738"/>
      <c r="U1" s="2738"/>
      <c r="V1" s="2738"/>
      <c r="W1" s="2738"/>
      <c r="X1" s="2738"/>
      <c r="Y1" s="2738"/>
      <c r="Z1" s="2738"/>
      <c r="AA1" s="2738"/>
      <c r="AB1" s="2738"/>
      <c r="AC1" s="2738"/>
      <c r="AD1" s="2738"/>
      <c r="AE1" s="2738"/>
      <c r="AF1" s="2738"/>
      <c r="AH1" s="4262"/>
    </row>
    <row r="2" spans="1:34" s="17" customFormat="1" ht="28.5" customHeight="1">
      <c r="A2" s="3726" t="s">
        <v>495</v>
      </c>
      <c r="B2" s="4343"/>
      <c r="C2" s="4343"/>
      <c r="D2" s="4343"/>
      <c r="E2" s="4343"/>
      <c r="F2" s="4343"/>
      <c r="G2" s="4343"/>
      <c r="H2" s="4343"/>
      <c r="I2" s="4343"/>
      <c r="J2" s="4343"/>
      <c r="K2" s="4343"/>
      <c r="L2" s="4343"/>
      <c r="M2" s="4343"/>
      <c r="N2" s="4343"/>
      <c r="O2" s="4343"/>
      <c r="P2" s="4343"/>
      <c r="Q2" s="4343"/>
      <c r="R2" s="4343"/>
      <c r="S2" s="226"/>
      <c r="T2" s="5124"/>
      <c r="U2" s="2738"/>
      <c r="V2" s="2738"/>
      <c r="W2" s="2738"/>
      <c r="X2" s="2738"/>
      <c r="Y2" s="2738"/>
      <c r="Z2" s="2738"/>
      <c r="AA2" s="2738"/>
      <c r="AB2" s="2738"/>
      <c r="AC2" s="2738"/>
      <c r="AD2" s="2738"/>
      <c r="AE2" s="2738"/>
      <c r="AF2" s="2738"/>
      <c r="AH2" s="4262"/>
    </row>
    <row r="3" spans="1:34" s="15" customFormat="1" ht="20.25" customHeight="1">
      <c r="A3" s="3727" t="s">
        <v>922</v>
      </c>
      <c r="B3" s="4343"/>
      <c r="C3" s="4343"/>
      <c r="D3" s="4343"/>
      <c r="E3" s="4343"/>
      <c r="F3" s="4343"/>
      <c r="G3" s="4343"/>
      <c r="H3" s="4343"/>
      <c r="I3" s="4343"/>
      <c r="J3" s="4343"/>
      <c r="K3" s="4343"/>
      <c r="L3" s="4343"/>
      <c r="M3" s="4343"/>
      <c r="N3" s="4343"/>
      <c r="O3" s="4343"/>
      <c r="P3" s="4343"/>
      <c r="Q3" s="4343"/>
      <c r="R3" s="4343"/>
      <c r="S3" s="4343"/>
      <c r="T3" s="5125"/>
      <c r="U3" s="2738"/>
      <c r="V3" s="2738"/>
      <c r="W3" s="2738"/>
      <c r="X3" s="2738"/>
      <c r="Y3" s="2738"/>
      <c r="Z3" s="2738"/>
      <c r="AA3" s="2738"/>
      <c r="AB3" s="2738"/>
      <c r="AC3" s="2738"/>
      <c r="AD3" s="2738"/>
      <c r="AE3" s="2738"/>
      <c r="AF3" s="2738"/>
      <c r="AH3" s="4262"/>
    </row>
    <row r="4" spans="1:34" s="6" customFormat="1">
      <c r="A4" s="3728"/>
      <c r="B4" s="756"/>
      <c r="C4" s="756"/>
      <c r="D4" s="756"/>
      <c r="E4" s="756"/>
      <c r="F4" s="756"/>
      <c r="G4" s="756"/>
      <c r="H4" s="756"/>
      <c r="I4" s="756"/>
      <c r="J4" s="756"/>
      <c r="K4" s="756"/>
      <c r="L4" s="756"/>
      <c r="M4" s="756"/>
      <c r="N4" s="756"/>
      <c r="O4" s="756"/>
      <c r="P4" s="756"/>
      <c r="Q4" s="756"/>
      <c r="R4" s="756"/>
      <c r="S4" s="756"/>
      <c r="T4" s="2738"/>
      <c r="U4" s="2738"/>
      <c r="V4" s="2738"/>
      <c r="W4" s="2738"/>
      <c r="X4" s="2738"/>
      <c r="Y4" s="2738"/>
      <c r="Z4" s="2738"/>
      <c r="AA4" s="189"/>
      <c r="AB4" s="189"/>
      <c r="AC4" s="189"/>
      <c r="AD4" s="189"/>
      <c r="AE4" s="189"/>
      <c r="AF4" s="189"/>
      <c r="AH4" s="4262"/>
    </row>
    <row r="5" spans="1:34" s="4" customFormat="1" ht="11.25" customHeight="1">
      <c r="A5" s="525"/>
      <c r="B5" s="4601" t="str">
        <f ca="1">LEFT(RIGHT(_xlfn.FORMULATEXT(B6),LEN(_xlfn.FORMULATEXT(B6))-FIND("!",_xlfn.FORMULATEXT(B6))),LEN(RIGHT(_xlfn.FORMULATEXT(B6),LEN(_xlfn.FORMULATEXT(B6))-FIND("!",_xlfn.FORMULATEXT(B6))))-1)</f>
        <v>K</v>
      </c>
      <c r="C5" s="4601" t="str">
        <f t="shared" ref="C5:AF5" ca="1" si="0">LEFT(RIGHT(_xlfn.FORMULATEXT(C6),LEN(_xlfn.FORMULATEXT(C6))-FIND("!",_xlfn.FORMULATEXT(C6))),LEN(RIGHT(_xlfn.FORMULATEXT(C6),LEN(_xlfn.FORMULATEXT(C6))-FIND("!",_xlfn.FORMULATEXT(C6))))-1)</f>
        <v>P</v>
      </c>
      <c r="D5" s="4601" t="str">
        <f t="shared" ca="1" si="0"/>
        <v>U</v>
      </c>
      <c r="E5" s="4601" t="str">
        <f t="shared" ca="1" si="0"/>
        <v>Z</v>
      </c>
      <c r="F5" s="4601" t="str">
        <f t="shared" ca="1" si="0"/>
        <v>AE</v>
      </c>
      <c r="G5" s="4601" t="str">
        <f t="shared" ca="1" si="0"/>
        <v>AJ</v>
      </c>
      <c r="H5" s="4601" t="str">
        <f t="shared" ca="1" si="0"/>
        <v>AO</v>
      </c>
      <c r="I5" s="4601" t="str">
        <f t="shared" ca="1" si="0"/>
        <v>AT</v>
      </c>
      <c r="J5" s="4601" t="str">
        <f t="shared" ca="1" si="0"/>
        <v>AY</v>
      </c>
      <c r="K5" s="4601" t="str">
        <f t="shared" ca="1" si="0"/>
        <v>BD</v>
      </c>
      <c r="L5" s="4601" t="str">
        <f t="shared" ca="1" si="0"/>
        <v>BI</v>
      </c>
      <c r="M5" s="4601" t="str">
        <f t="shared" ca="1" si="0"/>
        <v>BN</v>
      </c>
      <c r="N5" s="4601" t="str">
        <f t="shared" ca="1" si="0"/>
        <v>BX</v>
      </c>
      <c r="O5" s="4601" t="str">
        <f t="shared" ca="1" si="0"/>
        <v>CH</v>
      </c>
      <c r="P5" s="4601" t="str">
        <f t="shared" ca="1" si="0"/>
        <v>CM</v>
      </c>
      <c r="Q5" s="4601" t="str">
        <f t="shared" ca="1" si="0"/>
        <v>CR</v>
      </c>
      <c r="R5" s="4601" t="str">
        <f t="shared" ca="1" si="0"/>
        <v>CW</v>
      </c>
      <c r="S5" s="4601" t="str">
        <f t="shared" ca="1" si="0"/>
        <v>DB</v>
      </c>
      <c r="T5" s="4601" t="str">
        <f t="shared" ca="1" si="0"/>
        <v>DG</v>
      </c>
      <c r="U5" s="4601" t="str">
        <f t="shared" ca="1" si="0"/>
        <v>DL</v>
      </c>
      <c r="V5" s="4601" t="str">
        <f t="shared" ca="1" si="0"/>
        <v>DQ</v>
      </c>
      <c r="W5" s="4601" t="str">
        <f t="shared" ca="1" si="0"/>
        <v>DV</v>
      </c>
      <c r="X5" s="4601" t="str">
        <f t="shared" ca="1" si="0"/>
        <v>EA</v>
      </c>
      <c r="Y5" s="4601" t="str">
        <f t="shared" ca="1" si="0"/>
        <v>EF</v>
      </c>
      <c r="Z5" s="4601" t="str">
        <f t="shared" ca="1" si="0"/>
        <v>EK</v>
      </c>
      <c r="AA5" s="4601" t="str">
        <f t="shared" ca="1" si="0"/>
        <v>EP</v>
      </c>
      <c r="AB5" s="4601" t="str">
        <f t="shared" ca="1" si="0"/>
        <v>EU</v>
      </c>
      <c r="AC5" s="4601" t="str">
        <f t="shared" ca="1" si="0"/>
        <v>EV</v>
      </c>
      <c r="AD5" s="4601" t="str">
        <f t="shared" ca="1" si="0"/>
        <v>EW</v>
      </c>
      <c r="AE5" s="4601" t="str">
        <f t="shared" ca="1" si="0"/>
        <v>EX</v>
      </c>
      <c r="AF5" s="4601" t="str">
        <f t="shared" ca="1" si="0"/>
        <v>EY</v>
      </c>
      <c r="AH5" s="4601"/>
    </row>
    <row r="6" spans="1:34" s="30" customFormat="1" ht="11.25" customHeight="1">
      <c r="A6" s="2915" t="s">
        <v>690</v>
      </c>
      <c r="B6" s="1724" t="str">
        <f>IS!K6</f>
        <v>2000A</v>
      </c>
      <c r="C6" s="1724" t="str">
        <f>IS!P6</f>
        <v>2001A</v>
      </c>
      <c r="D6" s="1724" t="str">
        <f>IS!U6</f>
        <v>2002A</v>
      </c>
      <c r="E6" s="1724" t="str">
        <f>IS!Z6</f>
        <v>2003A</v>
      </c>
      <c r="F6" s="1724" t="str">
        <f>IS!AE6</f>
        <v>2004A</v>
      </c>
      <c r="G6" s="1724" t="str">
        <f>IS!AJ6</f>
        <v>2005A</v>
      </c>
      <c r="H6" s="1724" t="str">
        <f>IS!AO6</f>
        <v>2006A</v>
      </c>
      <c r="I6" s="1724" t="str">
        <f>IS!AT6</f>
        <v>2007A</v>
      </c>
      <c r="J6" s="1724" t="str">
        <f>IS!AY6</f>
        <v>2008A</v>
      </c>
      <c r="K6" s="1724" t="str">
        <f>IS!BD6</f>
        <v>2009A</v>
      </c>
      <c r="L6" s="1724" t="str">
        <f>IS!BI6</f>
        <v>2010A</v>
      </c>
      <c r="M6" s="1724" t="str">
        <f>IS!BN6</f>
        <v>2011A</v>
      </c>
      <c r="N6" s="1724" t="str">
        <f>IS!BX6</f>
        <v>2012A</v>
      </c>
      <c r="O6" s="1724" t="str">
        <f>IS!CH6</f>
        <v>2013A</v>
      </c>
      <c r="P6" s="1724" t="str">
        <f>IS!CM6</f>
        <v>2014A</v>
      </c>
      <c r="Q6" s="1724" t="str">
        <f>IS!CR6</f>
        <v>2015A</v>
      </c>
      <c r="R6" s="1724" t="str">
        <f>IS!CW6</f>
        <v>2016A</v>
      </c>
      <c r="S6" s="1724" t="str">
        <f>IS!DB6</f>
        <v>2017A</v>
      </c>
      <c r="T6" s="1724" t="str">
        <f>IS!DG6</f>
        <v>2018A</v>
      </c>
      <c r="U6" s="1724" t="str">
        <f>IS!DL6</f>
        <v>2019A</v>
      </c>
      <c r="V6" s="1724" t="str">
        <f>IS!DQ6</f>
        <v>2020A</v>
      </c>
      <c r="W6" s="1724" t="str">
        <f>IS!DV6</f>
        <v>2021A</v>
      </c>
      <c r="X6" s="1724" t="str">
        <f>IS!EA6</f>
        <v>2022A</v>
      </c>
      <c r="Y6" s="1724" t="str">
        <f>IS!EF6</f>
        <v>2023A</v>
      </c>
      <c r="Z6" s="1724" t="str">
        <f>IS!EK6</f>
        <v>2024A</v>
      </c>
      <c r="AA6" s="1724" t="str">
        <f>IS!EP6</f>
        <v>2025E</v>
      </c>
      <c r="AB6" s="1724" t="str">
        <f>IS!EU6</f>
        <v>2026E</v>
      </c>
      <c r="AC6" s="1724" t="str">
        <f>IS!EV6</f>
        <v>2027E</v>
      </c>
      <c r="AD6" s="1724" t="str">
        <f>IS!EW6</f>
        <v>2028E</v>
      </c>
      <c r="AE6" s="1724" t="str">
        <f>IS!EX6</f>
        <v>2029E</v>
      </c>
      <c r="AF6" s="1724" t="str">
        <f>IS!EY6</f>
        <v>2030E</v>
      </c>
      <c r="AH6" s="512" t="s">
        <v>1174</v>
      </c>
    </row>
    <row r="7" spans="1:34" s="627" customFormat="1">
      <c r="A7" s="4584" t="s">
        <v>888</v>
      </c>
      <c r="B7" s="4583"/>
      <c r="C7" s="4583"/>
      <c r="D7" s="4583"/>
      <c r="E7" s="4583"/>
      <c r="F7" s="4583"/>
      <c r="G7" s="4583"/>
      <c r="H7" s="4583"/>
      <c r="I7" s="4583"/>
      <c r="J7" s="4583"/>
      <c r="K7" s="4583"/>
      <c r="L7" s="4583"/>
      <c r="M7" s="4583"/>
      <c r="N7" s="4583"/>
      <c r="O7" s="4583"/>
      <c r="P7" s="4583"/>
      <c r="Q7" s="4583"/>
      <c r="R7" s="4583"/>
      <c r="S7" s="4583"/>
      <c r="T7" s="4583"/>
      <c r="U7" s="4583"/>
      <c r="V7" s="4583"/>
      <c r="W7" s="4583"/>
      <c r="X7" s="4583"/>
      <c r="Y7" s="4583"/>
      <c r="Z7" s="4583"/>
      <c r="AA7" s="4583"/>
      <c r="AB7" s="4583"/>
      <c r="AC7" s="4583"/>
      <c r="AD7" s="4583"/>
      <c r="AE7" s="4583"/>
      <c r="AF7" s="4583"/>
      <c r="AH7" s="4796"/>
    </row>
    <row r="8" spans="1:34" s="766" customFormat="1">
      <c r="A8" s="4586" t="s">
        <v>899</v>
      </c>
      <c r="B8" s="4589">
        <f>IS!K7</f>
        <v>19.108000000000001</v>
      </c>
      <c r="C8" s="4589">
        <f>IS!P7</f>
        <v>86.426000000000002</v>
      </c>
      <c r="D8" s="4589">
        <f>IS!U7</f>
        <v>439.50800000000004</v>
      </c>
      <c r="E8" s="4589">
        <f>IS!Z7</f>
        <v>1465.934</v>
      </c>
      <c r="F8" s="4589">
        <f>IS!AE7</f>
        <v>3189.223</v>
      </c>
      <c r="G8" s="4589">
        <f>IS!AJ7</f>
        <v>6138.5599999999995</v>
      </c>
      <c r="H8" s="4589">
        <f>IS!AO7</f>
        <v>10604.916999999999</v>
      </c>
      <c r="I8" s="4589">
        <f>IS!AT7</f>
        <v>16593.986000000001</v>
      </c>
      <c r="J8" s="4589">
        <f>IS!AY7</f>
        <v>21795.550000000003</v>
      </c>
      <c r="K8" s="4589">
        <f>IS!BD7</f>
        <v>23650.562999999998</v>
      </c>
      <c r="L8" s="4589">
        <f>IS!BI7</f>
        <v>29321</v>
      </c>
      <c r="M8" s="4589">
        <f>IS!BN7</f>
        <v>37905</v>
      </c>
      <c r="N8" s="4589">
        <f>IS!BX7</f>
        <v>46039</v>
      </c>
      <c r="O8" s="4589">
        <f>IS!CH7</f>
        <v>55519</v>
      </c>
      <c r="P8" s="4589">
        <f>IS!CM7</f>
        <v>66001</v>
      </c>
      <c r="Q8" s="4589">
        <f>IS!CR7</f>
        <v>74989</v>
      </c>
      <c r="R8" s="4589">
        <f>IS!CW7</f>
        <v>90272</v>
      </c>
      <c r="S8" s="4589">
        <f>IS!DB7</f>
        <v>110855</v>
      </c>
      <c r="T8" s="4589">
        <f>IS!DG7</f>
        <v>136819</v>
      </c>
      <c r="U8" s="4589">
        <f>IS!DL7</f>
        <v>161857</v>
      </c>
      <c r="V8" s="4589">
        <f>IS!DQ7</f>
        <v>182527</v>
      </c>
      <c r="W8" s="4589">
        <f>IS!DV7</f>
        <v>257637</v>
      </c>
      <c r="X8" s="4589">
        <f>IS!EA7</f>
        <v>282836</v>
      </c>
      <c r="Y8" s="4589">
        <f>IS!EF7</f>
        <v>307394</v>
      </c>
      <c r="Z8" s="4589">
        <f>IS!EK7</f>
        <v>350018</v>
      </c>
      <c r="AA8" s="4589">
        <f>IS!EP7</f>
        <v>401254.33430067293</v>
      </c>
      <c r="AB8" s="4589">
        <f>IS!EU7</f>
        <v>468301.65234851843</v>
      </c>
      <c r="AC8" s="4589">
        <f>IS!EV7</f>
        <v>530735.52121275011</v>
      </c>
      <c r="AD8" s="4589">
        <f>IS!EW7</f>
        <v>594221.93512936914</v>
      </c>
      <c r="AE8" s="4589">
        <f>IS!EX7</f>
        <v>657093.77916525898</v>
      </c>
      <c r="AF8" s="4589">
        <f>IS!EY7</f>
        <v>722335.86960670422</v>
      </c>
      <c r="AH8" s="4797">
        <f>(AC8/Z8)^(1/3)-1</f>
        <v>0.14884805174012783</v>
      </c>
    </row>
    <row r="9" spans="1:34" s="766" customFormat="1">
      <c r="A9" s="4585" t="s">
        <v>380</v>
      </c>
      <c r="B9" s="4590">
        <f>IS!K8</f>
        <v>0</v>
      </c>
      <c r="C9" s="4590">
        <f>IS!P8</f>
        <v>0</v>
      </c>
      <c r="D9" s="4590">
        <f>IS!U8</f>
        <v>94.5</v>
      </c>
      <c r="E9" s="4590">
        <f>IS!Z8</f>
        <v>526.53300000000002</v>
      </c>
      <c r="F9" s="4590">
        <f>IS!AE8</f>
        <v>1228.644</v>
      </c>
      <c r="G9" s="4590">
        <f>IS!AJ8</f>
        <v>2114.942</v>
      </c>
      <c r="H9" s="4590">
        <f>IS!AO8</f>
        <v>3308.777</v>
      </c>
      <c r="I9" s="4590">
        <f>IS!AT8</f>
        <v>4933.8789999999999</v>
      </c>
      <c r="J9" s="4590">
        <f>IS!AY8</f>
        <v>5938.9519999999993</v>
      </c>
      <c r="K9" s="4590">
        <f>IS!BD8</f>
        <v>6169.4160000000011</v>
      </c>
      <c r="L9" s="4590">
        <f>IS!BI8</f>
        <v>7317</v>
      </c>
      <c r="M9" s="4590">
        <f>IS!BN8</f>
        <v>8808</v>
      </c>
      <c r="N9" s="4590">
        <f>IS!BX8</f>
        <v>10956</v>
      </c>
      <c r="O9" s="4590">
        <f>IS!CH8</f>
        <v>12258</v>
      </c>
      <c r="P9" s="4590">
        <f>IS!CM8</f>
        <v>13497</v>
      </c>
      <c r="Q9" s="4590">
        <f>IS!CR8</f>
        <v>14343</v>
      </c>
      <c r="R9" s="4590">
        <f>IS!CW8</f>
        <v>16793</v>
      </c>
      <c r="S9" s="4590">
        <f>IS!DB8</f>
        <v>21672</v>
      </c>
      <c r="T9" s="4590">
        <f>IS!DG8</f>
        <v>26726</v>
      </c>
      <c r="U9" s="4590">
        <f>IS!DL8</f>
        <v>30089</v>
      </c>
      <c r="V9" s="4590">
        <f>IS!DQ8</f>
        <v>32778</v>
      </c>
      <c r="W9" s="4590">
        <f>IS!DV8</f>
        <v>45566</v>
      </c>
      <c r="X9" s="4590">
        <f>IS!EA8</f>
        <v>48955</v>
      </c>
      <c r="Y9" s="4590">
        <f>IS!EF8</f>
        <v>50886</v>
      </c>
      <c r="Z9" s="4590">
        <f>IS!EK8</f>
        <v>54900</v>
      </c>
      <c r="AA9" s="4590">
        <f>IS!EP8</f>
        <v>59587.297203300754</v>
      </c>
      <c r="AB9" s="4590">
        <f>IS!EU8</f>
        <v>65068.042114566371</v>
      </c>
      <c r="AC9" s="4590">
        <f>IS!EV8</f>
        <v>70196.900175195173</v>
      </c>
      <c r="AD9" s="4590">
        <f>IS!EW8</f>
        <v>75419.857670370227</v>
      </c>
      <c r="AE9" s="4590">
        <f>IS!EX8</f>
        <v>80229.579235217301</v>
      </c>
      <c r="AF9" s="4590">
        <f>IS!EY8</f>
        <v>85065.791930375693</v>
      </c>
      <c r="AH9" s="4798"/>
    </row>
    <row r="10" spans="1:34" s="766" customFormat="1">
      <c r="A10" s="4586" t="s">
        <v>282</v>
      </c>
      <c r="B10" s="4589">
        <f t="shared" ref="B10:R10" si="1">B8-B9</f>
        <v>19.108000000000001</v>
      </c>
      <c r="C10" s="4589">
        <f t="shared" si="1"/>
        <v>86.426000000000002</v>
      </c>
      <c r="D10" s="4589">
        <f t="shared" si="1"/>
        <v>345.00800000000004</v>
      </c>
      <c r="E10" s="4589">
        <f t="shared" si="1"/>
        <v>939.40099999999995</v>
      </c>
      <c r="F10" s="4589">
        <f t="shared" si="1"/>
        <v>1960.579</v>
      </c>
      <c r="G10" s="4589">
        <f t="shared" si="1"/>
        <v>4023.6179999999995</v>
      </c>
      <c r="H10" s="4589">
        <f t="shared" si="1"/>
        <v>7296.1399999999994</v>
      </c>
      <c r="I10" s="4589">
        <f t="shared" si="1"/>
        <v>11660.107</v>
      </c>
      <c r="J10" s="4589">
        <f t="shared" si="1"/>
        <v>15856.598000000004</v>
      </c>
      <c r="K10" s="4589">
        <f t="shared" si="1"/>
        <v>17481.146999999997</v>
      </c>
      <c r="L10" s="4589">
        <f t="shared" si="1"/>
        <v>22004</v>
      </c>
      <c r="M10" s="4589">
        <f t="shared" si="1"/>
        <v>29097</v>
      </c>
      <c r="N10" s="4589">
        <f t="shared" si="1"/>
        <v>35083</v>
      </c>
      <c r="O10" s="4589">
        <f t="shared" si="1"/>
        <v>43261</v>
      </c>
      <c r="P10" s="4589">
        <f t="shared" si="1"/>
        <v>52504</v>
      </c>
      <c r="Q10" s="4589">
        <f t="shared" si="1"/>
        <v>60646</v>
      </c>
      <c r="R10" s="4589">
        <f t="shared" si="1"/>
        <v>73479</v>
      </c>
      <c r="S10" s="4589">
        <f>S8-S9</f>
        <v>89183</v>
      </c>
      <c r="T10" s="4589">
        <f>T8-T9</f>
        <v>110093</v>
      </c>
      <c r="U10" s="4589">
        <f>U8-U9</f>
        <v>131768</v>
      </c>
      <c r="V10" s="4589">
        <f t="shared" ref="V10:AA10" si="2">V8-V9</f>
        <v>149749</v>
      </c>
      <c r="W10" s="4589">
        <f t="shared" si="2"/>
        <v>212071</v>
      </c>
      <c r="X10" s="4589">
        <f t="shared" si="2"/>
        <v>233881</v>
      </c>
      <c r="Y10" s="4589">
        <f t="shared" si="2"/>
        <v>256508</v>
      </c>
      <c r="Z10" s="4589">
        <f t="shared" si="2"/>
        <v>295118</v>
      </c>
      <c r="AA10" s="4589">
        <f t="shared" si="2"/>
        <v>341667.03709737217</v>
      </c>
      <c r="AB10" s="4589">
        <f>AB8-AB9</f>
        <v>403233.61023395206</v>
      </c>
      <c r="AC10" s="4589">
        <f>AC8-AC9</f>
        <v>460538.62103755493</v>
      </c>
      <c r="AD10" s="4589">
        <f>AD8-AD9</f>
        <v>518802.07745899889</v>
      </c>
      <c r="AE10" s="4589">
        <f>AE8-AE9</f>
        <v>576864.19993004168</v>
      </c>
      <c r="AF10" s="4589">
        <f>AF8-AF9</f>
        <v>637270.07767632848</v>
      </c>
      <c r="AH10" s="4797">
        <f>(AC10/Z10)^(1/3)-1</f>
        <v>0.15990775585861572</v>
      </c>
    </row>
    <row r="11" spans="1:34" s="766" customFormat="1">
      <c r="A11" s="4585" t="s">
        <v>946</v>
      </c>
      <c r="B11" s="4590">
        <f>IS!K12</f>
        <v>0</v>
      </c>
      <c r="C11" s="4590">
        <f>IS!P12</f>
        <v>15.103999999999999</v>
      </c>
      <c r="D11" s="4590">
        <f>IS!U12</f>
        <v>38.075000000000003</v>
      </c>
      <c r="E11" s="4590">
        <f>IS!Z12</f>
        <v>107.87799999999999</v>
      </c>
      <c r="F11" s="4590">
        <f>IS!AE12</f>
        <v>240.32300000000001</v>
      </c>
      <c r="G11" s="4590">
        <f>IS!AJ12</f>
        <v>462.14700000000005</v>
      </c>
      <c r="H11" s="4590">
        <f>IS!AO12</f>
        <v>916.25</v>
      </c>
      <c r="I11" s="4590">
        <f>IS!AT12</f>
        <v>1715.2059999999999</v>
      </c>
      <c r="J11" s="4590">
        <f>IS!AY12</f>
        <v>2682.5539999999996</v>
      </c>
      <c r="K11" s="4590">
        <f>IS!BD12</f>
        <v>2674.6990000000001</v>
      </c>
      <c r="L11" s="4590">
        <f>IS!BI12</f>
        <v>3100</v>
      </c>
      <c r="M11" s="4590">
        <f>IS!BN12</f>
        <v>4380</v>
      </c>
      <c r="N11" s="4590">
        <f>IS!BX12</f>
        <v>6220</v>
      </c>
      <c r="O11" s="4590">
        <f>IS!CH12</f>
        <v>9735</v>
      </c>
      <c r="P11" s="4590">
        <f>IS!CM12</f>
        <v>12194</v>
      </c>
      <c r="Q11" s="4590">
        <f>IS!CR12</f>
        <v>13821</v>
      </c>
      <c r="R11" s="4590">
        <f>IS!CW12</f>
        <v>18345</v>
      </c>
      <c r="S11" s="4590">
        <f>IS!DB12</f>
        <v>23911</v>
      </c>
      <c r="T11" s="4590">
        <f>IS!DG12</f>
        <v>32823</v>
      </c>
      <c r="U11" s="4590">
        <f>IS!DL12</f>
        <v>41807</v>
      </c>
      <c r="V11" s="4590">
        <f>IS!DQ12</f>
        <v>51954</v>
      </c>
      <c r="W11" s="4590">
        <f>IS!DV12</f>
        <v>65373</v>
      </c>
      <c r="X11" s="4590">
        <f>IS!EA12</f>
        <v>77248</v>
      </c>
      <c r="Y11" s="4590">
        <f>IS!EF12</f>
        <v>82446</v>
      </c>
      <c r="Z11" s="4590">
        <f>IS!EK12</f>
        <v>91406</v>
      </c>
      <c r="AA11" s="4590">
        <f>IS!EP12</f>
        <v>103868.20775986699</v>
      </c>
      <c r="AB11" s="4590">
        <f>IS!EU12</f>
        <v>127314.78638958238</v>
      </c>
      <c r="AC11" s="4590">
        <f>IS!EV12</f>
        <v>153359.3608055058</v>
      </c>
      <c r="AD11" s="4590">
        <f>IS!EW12</f>
        <v>176392.70633605964</v>
      </c>
      <c r="AE11" s="4590">
        <f>IS!EX12</f>
        <v>197287.55637607427</v>
      </c>
      <c r="AF11" s="4590">
        <f>IS!EY12</f>
        <v>217309.09648762803</v>
      </c>
      <c r="AH11" s="4798"/>
    </row>
    <row r="12" spans="1:34" s="766" customFormat="1">
      <c r="A12" s="4586" t="s">
        <v>362</v>
      </c>
      <c r="B12" s="4589">
        <f t="shared" ref="B12:R12" si="3">B10-B11</f>
        <v>19.108000000000001</v>
      </c>
      <c r="C12" s="4589">
        <f t="shared" si="3"/>
        <v>71.322000000000003</v>
      </c>
      <c r="D12" s="4589">
        <f t="shared" si="3"/>
        <v>306.93300000000005</v>
      </c>
      <c r="E12" s="4589">
        <f t="shared" si="3"/>
        <v>831.52299999999991</v>
      </c>
      <c r="F12" s="4589">
        <f t="shared" si="3"/>
        <v>1720.2559999999999</v>
      </c>
      <c r="G12" s="4589">
        <f t="shared" si="3"/>
        <v>3561.4709999999995</v>
      </c>
      <c r="H12" s="4589">
        <f t="shared" si="3"/>
        <v>6379.8899999999994</v>
      </c>
      <c r="I12" s="4589">
        <f t="shared" si="3"/>
        <v>9944.9009999999998</v>
      </c>
      <c r="J12" s="4589">
        <f t="shared" si="3"/>
        <v>13174.044000000004</v>
      </c>
      <c r="K12" s="4589">
        <f t="shared" si="3"/>
        <v>14806.447999999997</v>
      </c>
      <c r="L12" s="4589">
        <f t="shared" si="3"/>
        <v>18904</v>
      </c>
      <c r="M12" s="4589">
        <f t="shared" si="3"/>
        <v>24717</v>
      </c>
      <c r="N12" s="4589">
        <f t="shared" si="3"/>
        <v>28863</v>
      </c>
      <c r="O12" s="4589">
        <f t="shared" si="3"/>
        <v>33526</v>
      </c>
      <c r="P12" s="4589">
        <f t="shared" si="3"/>
        <v>40310</v>
      </c>
      <c r="Q12" s="4589">
        <f t="shared" si="3"/>
        <v>46825</v>
      </c>
      <c r="R12" s="4589">
        <f t="shared" si="3"/>
        <v>55134</v>
      </c>
      <c r="S12" s="4589">
        <f>S10-S11</f>
        <v>65272</v>
      </c>
      <c r="T12" s="4589">
        <f>T10-T11</f>
        <v>77270</v>
      </c>
      <c r="U12" s="4589">
        <f>U10-U11</f>
        <v>89961</v>
      </c>
      <c r="V12" s="4589">
        <f t="shared" ref="V12:AA12" si="4">V10-V11</f>
        <v>97795</v>
      </c>
      <c r="W12" s="4589">
        <f t="shared" si="4"/>
        <v>146698</v>
      </c>
      <c r="X12" s="4589">
        <f t="shared" si="4"/>
        <v>156633</v>
      </c>
      <c r="Y12" s="4589">
        <f t="shared" si="4"/>
        <v>174062</v>
      </c>
      <c r="Z12" s="4589">
        <f t="shared" si="4"/>
        <v>203712</v>
      </c>
      <c r="AA12" s="4589">
        <f t="shared" si="4"/>
        <v>237798.82933750519</v>
      </c>
      <c r="AB12" s="4589">
        <f>AB10-AB11</f>
        <v>275918.82384436968</v>
      </c>
      <c r="AC12" s="4589">
        <f>AC10-AC11</f>
        <v>307179.26023204916</v>
      </c>
      <c r="AD12" s="4589">
        <f>AD10-AD11</f>
        <v>342409.37112293928</v>
      </c>
      <c r="AE12" s="4589">
        <f>AE10-AE11</f>
        <v>379576.64355396741</v>
      </c>
      <c r="AF12" s="4589">
        <f>AF10-AF11</f>
        <v>419960.98118870042</v>
      </c>
      <c r="AH12" s="4797">
        <f>(AC12/Z12)^(1/3)-1</f>
        <v>0.14672274268190688</v>
      </c>
    </row>
    <row r="13" spans="1:34" s="766" customFormat="1">
      <c r="A13" s="4585" t="s">
        <v>942</v>
      </c>
      <c r="B13" s="4590">
        <f>B12-B25</f>
        <v>33.844999999999999</v>
      </c>
      <c r="C13" s="4590">
        <f>C12-C25</f>
        <v>33.792999999999992</v>
      </c>
      <c r="D13" s="4590">
        <f t="shared" ref="D13:Q13" si="5">D12-D14</f>
        <v>120.46700000000001</v>
      </c>
      <c r="E13" s="4590">
        <f t="shared" si="5"/>
        <v>489.05899999999997</v>
      </c>
      <c r="F13" s="4590">
        <f t="shared" si="5"/>
        <v>879.06399999999996</v>
      </c>
      <c r="G13" s="4590">
        <f t="shared" si="5"/>
        <v>1454.192</v>
      </c>
      <c r="H13" s="4590">
        <f t="shared" si="5"/>
        <v>2829.8939999999993</v>
      </c>
      <c r="I13" s="4590">
        <f t="shared" si="5"/>
        <v>4860.5059999999994</v>
      </c>
      <c r="J13" s="4590">
        <f t="shared" si="5"/>
        <v>6542.0750000000044</v>
      </c>
      <c r="K13" s="4590">
        <f t="shared" si="5"/>
        <v>6494.2620000000006</v>
      </c>
      <c r="L13" s="4590">
        <f t="shared" si="5"/>
        <v>8522</v>
      </c>
      <c r="M13" s="4590">
        <f t="shared" si="5"/>
        <v>12475</v>
      </c>
      <c r="N13" s="4590">
        <f t="shared" si="5"/>
        <v>15029</v>
      </c>
      <c r="O13" s="4590">
        <f t="shared" si="5"/>
        <v>18123</v>
      </c>
      <c r="P13" s="4590">
        <f t="shared" si="5"/>
        <v>23814</v>
      </c>
      <c r="Q13" s="4590">
        <f t="shared" si="5"/>
        <v>27465</v>
      </c>
      <c r="R13" s="4590">
        <f>R12-R14</f>
        <v>31418</v>
      </c>
      <c r="S13" s="4590">
        <f t="shared" ref="S13:AA13" si="6">S12-S14</f>
        <v>39126</v>
      </c>
      <c r="T13" s="4590">
        <f t="shared" si="6"/>
        <v>49746</v>
      </c>
      <c r="U13" s="4590">
        <f t="shared" si="6"/>
        <v>55730</v>
      </c>
      <c r="V13" s="4590">
        <f t="shared" si="6"/>
        <v>56571</v>
      </c>
      <c r="W13" s="4590">
        <f t="shared" si="6"/>
        <v>67984</v>
      </c>
      <c r="X13" s="4590">
        <f t="shared" si="6"/>
        <v>81791</v>
      </c>
      <c r="Y13" s="4590">
        <f t="shared" si="6"/>
        <v>89769</v>
      </c>
      <c r="Z13" s="4590">
        <f t="shared" si="6"/>
        <v>91322</v>
      </c>
      <c r="AA13" s="4590">
        <f t="shared" si="6"/>
        <v>107354.48290662743</v>
      </c>
      <c r="AB13" s="4590">
        <f>AB12-AB14</f>
        <v>116167.74834214145</v>
      </c>
      <c r="AC13" s="4590">
        <f>AC12-AC14</f>
        <v>128490.27526947786</v>
      </c>
      <c r="AD13" s="4590">
        <f>AD12-AD14</f>
        <v>139038.95675901172</v>
      </c>
      <c r="AE13" s="4590">
        <f>AE12-AE14</f>
        <v>149407.8277818808</v>
      </c>
      <c r="AF13" s="4590">
        <f>AF12-AF14</f>
        <v>159317.51941908212</v>
      </c>
      <c r="AH13" s="4798"/>
    </row>
    <row r="14" spans="1:34" s="766" customFormat="1">
      <c r="A14" s="4586" t="s">
        <v>533</v>
      </c>
      <c r="B14" s="4589">
        <f>IS!K27</f>
        <v>-14.736999999999998</v>
      </c>
      <c r="C14" s="4589">
        <f>IS!P27</f>
        <v>10.964000000000013</v>
      </c>
      <c r="D14" s="4589">
        <f>IS!U27</f>
        <v>186.46600000000004</v>
      </c>
      <c r="E14" s="4589">
        <f>IS!Z27</f>
        <v>342.46399999999994</v>
      </c>
      <c r="F14" s="4589">
        <f>IS!AE27</f>
        <v>841.19199999999989</v>
      </c>
      <c r="G14" s="4589">
        <f>IS!AJ27</f>
        <v>2107.2789999999995</v>
      </c>
      <c r="H14" s="4589">
        <f>IS!AO27</f>
        <v>3549.9960000000001</v>
      </c>
      <c r="I14" s="4589">
        <f>IS!AT27</f>
        <v>5084.3950000000004</v>
      </c>
      <c r="J14" s="4589">
        <f>IS!AY27</f>
        <v>6631.9689999999991</v>
      </c>
      <c r="K14" s="4589">
        <f>IS!BD27</f>
        <v>8312.1859999999961</v>
      </c>
      <c r="L14" s="4589">
        <f>IS!BI27</f>
        <v>10382</v>
      </c>
      <c r="M14" s="4589">
        <f>IS!BN27</f>
        <v>12242</v>
      </c>
      <c r="N14" s="4589">
        <f>IS!BX27</f>
        <v>13834</v>
      </c>
      <c r="O14" s="4589">
        <f>IS!CH27</f>
        <v>15403</v>
      </c>
      <c r="P14" s="4589">
        <f>IS!CM27</f>
        <v>16496</v>
      </c>
      <c r="Q14" s="4589">
        <f>IS!CR27</f>
        <v>19360</v>
      </c>
      <c r="R14" s="4589">
        <f>IS!CW27</f>
        <v>23716</v>
      </c>
      <c r="S14" s="4589">
        <f>IS!DB27</f>
        <v>26146</v>
      </c>
      <c r="T14" s="4589">
        <f>IS!DG27</f>
        <v>27524</v>
      </c>
      <c r="U14" s="4589">
        <f>IS!DL27</f>
        <v>34231</v>
      </c>
      <c r="V14" s="4589">
        <f>IS!DQ27</f>
        <v>41224</v>
      </c>
      <c r="W14" s="4589">
        <f>IS!DV27</f>
        <v>78714</v>
      </c>
      <c r="X14" s="4589">
        <f>IS!EA27</f>
        <v>74842</v>
      </c>
      <c r="Y14" s="4589">
        <f>IS!EF27</f>
        <v>84293</v>
      </c>
      <c r="Z14" s="4589">
        <f>IS!EK27</f>
        <v>112390</v>
      </c>
      <c r="AA14" s="4589">
        <f>IS!EP27</f>
        <v>130444.34643087776</v>
      </c>
      <c r="AB14" s="4589">
        <f>IS!EU27</f>
        <v>159751.07550222822</v>
      </c>
      <c r="AC14" s="4589">
        <f>IS!EV27</f>
        <v>178688.9849625713</v>
      </c>
      <c r="AD14" s="4589">
        <f>IS!EW27</f>
        <v>203370.41436392756</v>
      </c>
      <c r="AE14" s="4589">
        <f>IS!EX27</f>
        <v>230168.81577208661</v>
      </c>
      <c r="AF14" s="4589">
        <f>IS!EY27</f>
        <v>260643.4617696183</v>
      </c>
      <c r="AH14" s="4797">
        <f>(AC14/Z14)^(1/3)-1</f>
        <v>0.16714112022419902</v>
      </c>
    </row>
    <row r="15" spans="1:34" s="766" customFormat="1">
      <c r="A15" s="4585" t="s">
        <v>479</v>
      </c>
      <c r="B15" s="4590">
        <f>IS!K30</f>
        <v>4.7E-2</v>
      </c>
      <c r="C15" s="4590">
        <f>IS!P30</f>
        <v>-0.89600000000000002</v>
      </c>
      <c r="D15" s="4590">
        <f>IS!U30</f>
        <v>-1.5509999999999999</v>
      </c>
      <c r="E15" s="4590">
        <f>IS!Z30</f>
        <v>4.1900000000000004</v>
      </c>
      <c r="F15" s="4590">
        <f>IS!AE30</f>
        <v>10.042</v>
      </c>
      <c r="G15" s="4590">
        <f>IS!AJ30</f>
        <v>124.398</v>
      </c>
      <c r="H15" s="4590">
        <f>IS!AO30</f>
        <v>461.04300000000001</v>
      </c>
      <c r="I15" s="4590">
        <f>IS!AT30</f>
        <v>589.58000000000004</v>
      </c>
      <c r="J15" s="4590">
        <f>IS!AY30</f>
        <v>316.38200000000001</v>
      </c>
      <c r="K15" s="4590">
        <f>IS!BD30</f>
        <v>69.003</v>
      </c>
      <c r="L15" s="4590">
        <f>IS!BI30</f>
        <v>414</v>
      </c>
      <c r="M15" s="4590">
        <f>IS!BN30</f>
        <v>584</v>
      </c>
      <c r="N15" s="4590">
        <f>IS!BX30</f>
        <v>635</v>
      </c>
      <c r="O15" s="4590">
        <f>IS!CH30</f>
        <v>496</v>
      </c>
      <c r="P15" s="4590">
        <f>IS!CM30</f>
        <v>763</v>
      </c>
      <c r="Q15" s="4590">
        <f>IS!CR30</f>
        <v>291</v>
      </c>
      <c r="R15" s="4590">
        <f>IS!CW30</f>
        <v>434</v>
      </c>
      <c r="S15" s="4590">
        <f>IS!DB30</f>
        <v>1047</v>
      </c>
      <c r="T15" s="4590">
        <f>IS!DG30</f>
        <v>7389</v>
      </c>
      <c r="U15" s="4590">
        <f>IS!DL30</f>
        <v>5394</v>
      </c>
      <c r="V15" s="4590">
        <f>IS!DQ30</f>
        <v>6858</v>
      </c>
      <c r="W15" s="4590">
        <f>IS!DV30</f>
        <v>12020</v>
      </c>
      <c r="X15" s="4590">
        <f>IS!EA30</f>
        <v>-3514</v>
      </c>
      <c r="Y15" s="4590">
        <f>IS!EF30</f>
        <v>1424</v>
      </c>
      <c r="Z15" s="4590">
        <f>IS!EK30</f>
        <v>7425</v>
      </c>
      <c r="AA15" s="4590">
        <f ca="1">IS!EP30</f>
        <v>27554.783764878477</v>
      </c>
      <c r="AB15" s="4590">
        <f ca="1">IS!EU30</f>
        <v>3243.6374026932308</v>
      </c>
      <c r="AC15" s="4590">
        <f ca="1">IS!EV30</f>
        <v>2731.6578810745086</v>
      </c>
      <c r="AD15" s="4590">
        <f ca="1">IS!EW30</f>
        <v>2450.3180952969096</v>
      </c>
      <c r="AE15" s="4590">
        <f ca="1">IS!EX30</f>
        <v>2714.1655529124491</v>
      </c>
      <c r="AF15" s="4590">
        <f ca="1">IS!EY30</f>
        <v>3638.3158607230607</v>
      </c>
      <c r="AH15" s="4798"/>
    </row>
    <row r="16" spans="1:34" s="766" customFormat="1">
      <c r="A16" s="4586" t="s">
        <v>949</v>
      </c>
      <c r="B16" s="4589">
        <f t="shared" ref="B16:S16" si="7">B14-B15</f>
        <v>-14.783999999999999</v>
      </c>
      <c r="C16" s="4589">
        <f t="shared" si="7"/>
        <v>11.860000000000014</v>
      </c>
      <c r="D16" s="4589">
        <f t="shared" si="7"/>
        <v>188.01700000000002</v>
      </c>
      <c r="E16" s="4589">
        <f t="shared" si="7"/>
        <v>338.27399999999994</v>
      </c>
      <c r="F16" s="4589">
        <f t="shared" si="7"/>
        <v>831.14999999999986</v>
      </c>
      <c r="G16" s="4589">
        <f t="shared" si="7"/>
        <v>1982.8809999999996</v>
      </c>
      <c r="H16" s="4589">
        <f t="shared" si="7"/>
        <v>3088.953</v>
      </c>
      <c r="I16" s="4589">
        <f t="shared" si="7"/>
        <v>4494.8150000000005</v>
      </c>
      <c r="J16" s="4589">
        <f t="shared" si="7"/>
        <v>6315.5869999999995</v>
      </c>
      <c r="K16" s="4589">
        <f t="shared" si="7"/>
        <v>8243.1829999999954</v>
      </c>
      <c r="L16" s="4589">
        <f t="shared" si="7"/>
        <v>9968</v>
      </c>
      <c r="M16" s="4589">
        <f t="shared" si="7"/>
        <v>11658</v>
      </c>
      <c r="N16" s="4589">
        <f t="shared" si="7"/>
        <v>13199</v>
      </c>
      <c r="O16" s="4589">
        <f t="shared" si="7"/>
        <v>14907</v>
      </c>
      <c r="P16" s="4589">
        <f t="shared" si="7"/>
        <v>15733</v>
      </c>
      <c r="Q16" s="4589">
        <f t="shared" si="7"/>
        <v>19069</v>
      </c>
      <c r="R16" s="4589">
        <f t="shared" si="7"/>
        <v>23282</v>
      </c>
      <c r="S16" s="4589">
        <f t="shared" si="7"/>
        <v>25099</v>
      </c>
      <c r="T16" s="4589">
        <f>T14+T15</f>
        <v>34913</v>
      </c>
      <c r="U16" s="4589">
        <f>U14+U15</f>
        <v>39625</v>
      </c>
      <c r="V16" s="4589">
        <f t="shared" ref="V16:AA16" si="8">V14+V15</f>
        <v>48082</v>
      </c>
      <c r="W16" s="4589">
        <f t="shared" si="8"/>
        <v>90734</v>
      </c>
      <c r="X16" s="4589">
        <f t="shared" si="8"/>
        <v>71328</v>
      </c>
      <c r="Y16" s="4589">
        <f t="shared" si="8"/>
        <v>85717</v>
      </c>
      <c r="Z16" s="4589">
        <f t="shared" si="8"/>
        <v>119815</v>
      </c>
      <c r="AA16" s="4589">
        <f t="shared" ca="1" si="8"/>
        <v>157999.13019575624</v>
      </c>
      <c r="AB16" s="4589">
        <f ca="1">AB14+AB15</f>
        <v>162994.71290492144</v>
      </c>
      <c r="AC16" s="4589">
        <f ca="1">AC14+AC15</f>
        <v>181420.64284364579</v>
      </c>
      <c r="AD16" s="4589">
        <f ca="1">AD14+AD15</f>
        <v>205820.73245922447</v>
      </c>
      <c r="AE16" s="4589">
        <f ca="1">AE14+AE15</f>
        <v>232882.98132499907</v>
      </c>
      <c r="AF16" s="4589">
        <f ca="1">AF14+AF15</f>
        <v>264281.77763034136</v>
      </c>
      <c r="AH16" s="4797">
        <f ca="1">(AC16/Z16)^(1/3)-1</f>
        <v>0.1483082978969017</v>
      </c>
    </row>
    <row r="17" spans="1:34" s="766" customFormat="1">
      <c r="A17" s="4585" t="s">
        <v>950</v>
      </c>
      <c r="B17" s="4590">
        <f>IS!K33</f>
        <v>0</v>
      </c>
      <c r="C17" s="4590">
        <f>IS!P33</f>
        <v>3.0830000000000002</v>
      </c>
      <c r="D17" s="4590">
        <f>IS!U33</f>
        <v>85.259</v>
      </c>
      <c r="E17" s="4590">
        <f>IS!Z33</f>
        <v>241.006</v>
      </c>
      <c r="F17" s="4590">
        <f>IS!AE33</f>
        <v>251.11500000000001</v>
      </c>
      <c r="G17" s="4590">
        <f>IS!AJ33</f>
        <v>676.28</v>
      </c>
      <c r="H17" s="4590">
        <f>IS!AO33</f>
        <v>933.59400000000005</v>
      </c>
      <c r="I17" s="4590">
        <f>IS!AT33</f>
        <v>1470.26</v>
      </c>
      <c r="J17" s="4590">
        <f>IS!AY33</f>
        <v>1626.7370000000001</v>
      </c>
      <c r="K17" s="4590">
        <f>IS!BD33</f>
        <v>1860.741</v>
      </c>
      <c r="L17" s="4590">
        <f>IS!BI33</f>
        <v>2291</v>
      </c>
      <c r="M17" s="4590">
        <f>IS!BN33</f>
        <v>2589</v>
      </c>
      <c r="N17" s="4590">
        <f>IS!BX33</f>
        <v>2916</v>
      </c>
      <c r="O17" s="4590">
        <f>IS!CH33</f>
        <v>2552</v>
      </c>
      <c r="P17" s="4590">
        <f>IS!CM33</f>
        <v>3331</v>
      </c>
      <c r="Q17" s="4590">
        <f>IS!CR33</f>
        <v>3303.7667999999999</v>
      </c>
      <c r="R17" s="4590">
        <f>IS!CW33</f>
        <v>4672</v>
      </c>
      <c r="S17" s="4590">
        <f>IS!DB33</f>
        <v>14531</v>
      </c>
      <c r="T17" s="4590">
        <f>IS!DG33</f>
        <v>4177</v>
      </c>
      <c r="U17" s="4590">
        <f>IS!DL33</f>
        <v>5282</v>
      </c>
      <c r="V17" s="4590">
        <f>IS!DQ33</f>
        <v>7813</v>
      </c>
      <c r="W17" s="4590">
        <f>IS!DV33</f>
        <v>14701</v>
      </c>
      <c r="X17" s="4590">
        <f>IS!EA33</f>
        <v>11356</v>
      </c>
      <c r="Y17" s="4590">
        <f>IS!EF33</f>
        <v>11922</v>
      </c>
      <c r="Z17" s="4590">
        <f>IS!EK33</f>
        <v>19697</v>
      </c>
      <c r="AA17" s="4590">
        <f ca="1">IS!EP33</f>
        <v>28503.322133278562</v>
      </c>
      <c r="AB17" s="4590">
        <f ca="1">IS!EU33</f>
        <v>27709.101193836643</v>
      </c>
      <c r="AC17" s="4590">
        <f ca="1">IS!EV33</f>
        <v>30841.509283419786</v>
      </c>
      <c r="AD17" s="4590">
        <f ca="1">IS!EW33</f>
        <v>34989.52451806816</v>
      </c>
      <c r="AE17" s="4590">
        <f ca="1">IS!EX33</f>
        <v>39590.106825249844</v>
      </c>
      <c r="AF17" s="4590">
        <f ca="1">IS!EY33</f>
        <v>44927.902197158037</v>
      </c>
      <c r="AH17" s="4798"/>
    </row>
    <row r="18" spans="1:34" s="766" customFormat="1">
      <c r="A18" s="4586" t="s">
        <v>372</v>
      </c>
      <c r="B18" s="4589">
        <f t="shared" ref="B18:R18" si="9">B16-B17</f>
        <v>-14.783999999999999</v>
      </c>
      <c r="C18" s="4589">
        <f t="shared" si="9"/>
        <v>8.7770000000000135</v>
      </c>
      <c r="D18" s="4589">
        <f t="shared" si="9"/>
        <v>102.75800000000002</v>
      </c>
      <c r="E18" s="4589">
        <f t="shared" si="9"/>
        <v>97.267999999999944</v>
      </c>
      <c r="F18" s="4589">
        <f t="shared" si="9"/>
        <v>580.03499999999985</v>
      </c>
      <c r="G18" s="4589">
        <f t="shared" si="9"/>
        <v>1306.6009999999997</v>
      </c>
      <c r="H18" s="4589">
        <f t="shared" si="9"/>
        <v>2155.3589999999999</v>
      </c>
      <c r="I18" s="4589">
        <f t="shared" si="9"/>
        <v>3024.5550000000003</v>
      </c>
      <c r="J18" s="4589">
        <f t="shared" si="9"/>
        <v>4688.8499999999995</v>
      </c>
      <c r="K18" s="4589">
        <f t="shared" si="9"/>
        <v>6382.4419999999955</v>
      </c>
      <c r="L18" s="4589">
        <f t="shared" si="9"/>
        <v>7677</v>
      </c>
      <c r="M18" s="4589">
        <f t="shared" si="9"/>
        <v>9069</v>
      </c>
      <c r="N18" s="4589">
        <f t="shared" si="9"/>
        <v>10283</v>
      </c>
      <c r="O18" s="4589">
        <f t="shared" si="9"/>
        <v>12355</v>
      </c>
      <c r="P18" s="4589">
        <f t="shared" si="9"/>
        <v>12402</v>
      </c>
      <c r="Q18" s="4589">
        <f t="shared" si="9"/>
        <v>15765.233200000001</v>
      </c>
      <c r="R18" s="4589">
        <f t="shared" si="9"/>
        <v>18610</v>
      </c>
      <c r="S18" s="4589">
        <f>S16-S17</f>
        <v>10568</v>
      </c>
      <c r="T18" s="4589">
        <f>T16-T17</f>
        <v>30736</v>
      </c>
      <c r="U18" s="4589">
        <f>U16-U17</f>
        <v>34343</v>
      </c>
      <c r="V18" s="4589">
        <f t="shared" ref="V18:AA18" si="10">V16-V17</f>
        <v>40269</v>
      </c>
      <c r="W18" s="4589">
        <f t="shared" si="10"/>
        <v>76033</v>
      </c>
      <c r="X18" s="4589">
        <f t="shared" si="10"/>
        <v>59972</v>
      </c>
      <c r="Y18" s="4589">
        <f t="shared" si="10"/>
        <v>73795</v>
      </c>
      <c r="Z18" s="4589">
        <f t="shared" si="10"/>
        <v>100118</v>
      </c>
      <c r="AA18" s="4589">
        <f t="shared" ca="1" si="10"/>
        <v>129495.80806247768</v>
      </c>
      <c r="AB18" s="4589">
        <f ca="1">AB16-AB17</f>
        <v>135285.61171108478</v>
      </c>
      <c r="AC18" s="4589">
        <f ca="1">AC16-AC17</f>
        <v>150579.13356022601</v>
      </c>
      <c r="AD18" s="4589">
        <f ca="1">AD16-AD17</f>
        <v>170831.20794115632</v>
      </c>
      <c r="AE18" s="4589">
        <f ca="1">AE16-AE17</f>
        <v>193292.87449974922</v>
      </c>
      <c r="AF18" s="4589">
        <f ca="1">AF16-AF17</f>
        <v>219353.87543318333</v>
      </c>
      <c r="AH18" s="4797">
        <f ca="1">(AC18/Z18)^(1/3)-1</f>
        <v>0.14573507740331104</v>
      </c>
    </row>
    <row r="19" spans="1:34" s="766" customFormat="1">
      <c r="A19" s="4586" t="s">
        <v>121</v>
      </c>
      <c r="B19" s="4591">
        <f t="shared" ref="B19:R19" si="11">B18/B$20</f>
        <v>-1.1027568922305764E-2</v>
      </c>
      <c r="C19" s="4591">
        <f t="shared" si="11"/>
        <v>2.3496059450893083E-3</v>
      </c>
      <c r="D19" s="4591">
        <f t="shared" si="11"/>
        <v>2.3287087607021622E-2</v>
      </c>
      <c r="E19" s="4591">
        <f t="shared" si="11"/>
        <v>1.8950428229646418E-2</v>
      </c>
      <c r="F19" s="4591">
        <f t="shared" si="11"/>
        <v>0.10631510261537697</v>
      </c>
      <c r="G19" s="4591">
        <f t="shared" si="11"/>
        <v>0.22382982368232837</v>
      </c>
      <c r="H19" s="4591">
        <f t="shared" si="11"/>
        <v>0.34814560561592128</v>
      </c>
      <c r="I19" s="4591">
        <f t="shared" si="11"/>
        <v>0.47825100407956744</v>
      </c>
      <c r="J19" s="4591">
        <f t="shared" si="11"/>
        <v>0.73836959816700842</v>
      </c>
      <c r="K19" s="4591">
        <f t="shared" si="11"/>
        <v>0.99907831937298097</v>
      </c>
      <c r="L19" s="4591">
        <f t="shared" si="11"/>
        <v>1.1874645690239882</v>
      </c>
      <c r="M19" s="4591">
        <f t="shared" si="11"/>
        <v>1.3857861039377777</v>
      </c>
      <c r="N19" s="4591">
        <f t="shared" si="11"/>
        <v>0.77361159176058136</v>
      </c>
      <c r="O19" s="4591">
        <f t="shared" si="11"/>
        <v>0.91164933635174972</v>
      </c>
      <c r="P19" s="4591">
        <f t="shared" si="11"/>
        <v>0.90252812668287064</v>
      </c>
      <c r="Q19" s="4591">
        <f t="shared" si="11"/>
        <v>1.1375776196729828</v>
      </c>
      <c r="R19" s="4591">
        <f t="shared" si="11"/>
        <v>1.3317475447470037</v>
      </c>
      <c r="S19" s="4591">
        <f>S18/S$20</f>
        <v>0.75101196161368067</v>
      </c>
      <c r="T19" s="4591">
        <f>T18/T$20</f>
        <v>2.1851746394330318</v>
      </c>
      <c r="U19" s="4591">
        <f>U18/U$20</f>
        <v>2.4581404653739534</v>
      </c>
      <c r="V19" s="4591">
        <f t="shared" ref="V19:AA19" si="12">V18/V$20</f>
        <v>2.9306676477041864</v>
      </c>
      <c r="W19" s="4591">
        <f t="shared" si="12"/>
        <v>5.6098528237223304</v>
      </c>
      <c r="X19" s="4591">
        <f t="shared" si="12"/>
        <v>4.5576606157006436</v>
      </c>
      <c r="Y19" s="4591">
        <f t="shared" si="12"/>
        <v>5.8009236513707378</v>
      </c>
      <c r="Z19" s="4591">
        <f t="shared" si="12"/>
        <v>8.0433830765831811</v>
      </c>
      <c r="AA19" s="4591">
        <f t="shared" ca="1" si="12"/>
        <v>10.592600448367337</v>
      </c>
      <c r="AB19" s="4591">
        <f ca="1">AB18/AB$20</f>
        <v>11.07634799455249</v>
      </c>
      <c r="AC19" s="4591">
        <f ca="1">AC18/AC$20</f>
        <v>12.427235330968529</v>
      </c>
      <c r="AD19" s="4591">
        <f ca="1">AD18/AD$20</f>
        <v>14.223395842785607</v>
      </c>
      <c r="AE19" s="4591">
        <f ca="1">AE18/AE$20</f>
        <v>16.254902495792145</v>
      </c>
      <c r="AF19" s="4591">
        <f ca="1">AF18/AF$20</f>
        <v>18.653054084757528</v>
      </c>
      <c r="AH19" s="4797">
        <f ca="1">(AC19/Z19)^(1/3)-1</f>
        <v>0.15605524872073562</v>
      </c>
    </row>
    <row r="20" spans="1:34" s="766" customFormat="1">
      <c r="A20" s="4581" t="s">
        <v>947</v>
      </c>
      <c r="B20" s="4590">
        <f>IS!K38</f>
        <v>1340.6399999999999</v>
      </c>
      <c r="C20" s="4590">
        <f>IS!P38</f>
        <v>3735.52</v>
      </c>
      <c r="D20" s="4590">
        <f>IS!U38</f>
        <v>4412.66</v>
      </c>
      <c r="E20" s="4590">
        <f>IS!Z38</f>
        <v>5132.7599999999993</v>
      </c>
      <c r="F20" s="4590">
        <f>IS!AE38</f>
        <v>5455.81</v>
      </c>
      <c r="G20" s="4590">
        <f>IS!AJ38</f>
        <v>5837.4749999999995</v>
      </c>
      <c r="H20" s="4590">
        <f>IS!AO38</f>
        <v>6190.9699999999993</v>
      </c>
      <c r="I20" s="4590">
        <f>IS!AT38</f>
        <v>6324.2</v>
      </c>
      <c r="J20" s="4590">
        <f>IS!AY38</f>
        <v>6350.2749999999996</v>
      </c>
      <c r="K20" s="4590">
        <f>IS!BD38</f>
        <v>6388.33</v>
      </c>
      <c r="L20" s="4590">
        <f>IS!BI38</f>
        <v>6465.0349999999999</v>
      </c>
      <c r="M20" s="4590">
        <f>IS!BN38</f>
        <v>6544.3000000000011</v>
      </c>
      <c r="N20" s="4590">
        <f>IS!BX38</f>
        <v>13292.2</v>
      </c>
      <c r="O20" s="4590">
        <f>IS!CH38</f>
        <v>13552.36</v>
      </c>
      <c r="P20" s="4590">
        <f>IS!CM38</f>
        <v>13741.400000000001</v>
      </c>
      <c r="Q20" s="4590">
        <f>IS!CR38</f>
        <v>13858.6</v>
      </c>
      <c r="R20" s="4590">
        <f>IS!CW38</f>
        <v>13974.119999999999</v>
      </c>
      <c r="S20" s="4590">
        <f>IS!DB38</f>
        <v>14071.680000000002</v>
      </c>
      <c r="T20" s="4590">
        <f>IS!DG38</f>
        <v>14065.695</v>
      </c>
      <c r="U20" s="4590">
        <f>IS!DL38</f>
        <v>13971.13</v>
      </c>
      <c r="V20" s="4590">
        <f>IS!DQ38</f>
        <v>13740.555</v>
      </c>
      <c r="W20" s="4590">
        <f>IS!DV38</f>
        <v>13553.474999999999</v>
      </c>
      <c r="X20" s="4590">
        <f>IS!EA38</f>
        <v>13158.505000000001</v>
      </c>
      <c r="Y20" s="4590">
        <f>IS!EF38</f>
        <v>12721.25</v>
      </c>
      <c r="Z20" s="4590">
        <f>IS!EK38</f>
        <v>12447.25</v>
      </c>
      <c r="AA20" s="4590">
        <f>IS!EP38</f>
        <v>12225.119666666666</v>
      </c>
      <c r="AB20" s="4590">
        <f>IS!EU38</f>
        <v>12213.918502526303</v>
      </c>
      <c r="AC20" s="4590">
        <f ca="1">IS!EV38</f>
        <v>12116.865058874722</v>
      </c>
      <c r="AD20" s="4590">
        <f ca="1">IS!EW38</f>
        <v>12010.578193097632</v>
      </c>
      <c r="AE20" s="4590">
        <f ca="1">IS!EX38</f>
        <v>11891.358594724659</v>
      </c>
      <c r="AF20" s="4590">
        <f ca="1">IS!EY38</f>
        <v>11759.676160078787</v>
      </c>
      <c r="AH20" s="4798"/>
    </row>
    <row r="21" spans="1:34" s="766" customFormat="1">
      <c r="A21" s="4581" t="s">
        <v>948</v>
      </c>
      <c r="B21" s="4590"/>
      <c r="C21" s="4590"/>
      <c r="D21" s="4590"/>
      <c r="E21" s="4590"/>
      <c r="F21" s="4590"/>
      <c r="G21" s="4590"/>
      <c r="H21" s="4590"/>
      <c r="I21" s="4590"/>
      <c r="J21" s="4590"/>
      <c r="K21" s="4590"/>
      <c r="L21" s="4590"/>
      <c r="M21" s="4590"/>
      <c r="N21" s="4590"/>
      <c r="O21" s="4590"/>
      <c r="P21" s="4590"/>
      <c r="Q21" s="4590"/>
      <c r="R21" s="4590"/>
      <c r="S21" s="4590"/>
      <c r="T21" s="4590"/>
      <c r="U21" s="4590"/>
      <c r="V21" s="4590"/>
      <c r="W21" s="4590"/>
      <c r="X21" s="4590"/>
      <c r="Y21" s="4590"/>
      <c r="Z21" s="4590"/>
      <c r="AA21" s="4590"/>
      <c r="AB21" s="4590"/>
      <c r="AC21" s="4590"/>
      <c r="AD21" s="4590"/>
      <c r="AE21" s="4590"/>
      <c r="AF21" s="4590"/>
      <c r="AH21" s="4798"/>
    </row>
    <row r="22" spans="1:34" s="766" customFormat="1">
      <c r="A22" s="4585" t="s">
        <v>728</v>
      </c>
      <c r="B22" s="4590">
        <f>IS!K55</f>
        <v>0</v>
      </c>
      <c r="C22" s="4590">
        <f>IS!P55</f>
        <v>14.182</v>
      </c>
      <c r="D22" s="4590">
        <f>IS!U55</f>
        <v>28.983000000000001</v>
      </c>
      <c r="E22" s="4590">
        <f>IS!Z55</f>
        <v>66.666999999999987</v>
      </c>
      <c r="F22" s="4590">
        <f>IS!AE55</f>
        <v>159.81700000000001</v>
      </c>
      <c r="G22" s="4590">
        <f>IS!AJ55</f>
        <v>315.85299999999995</v>
      </c>
      <c r="H22" s="4590">
        <f>IS!AO55</f>
        <v>582.73899999999992</v>
      </c>
      <c r="I22" s="4590">
        <f>IS!AT55</f>
        <v>967.65800000000002</v>
      </c>
      <c r="J22" s="4590">
        <f>IS!AY55</f>
        <v>1499.8870000000002</v>
      </c>
      <c r="K22" s="4590">
        <f>IS!BD55</f>
        <v>1524.308</v>
      </c>
      <c r="L22" s="4590">
        <f>IS!BI55</f>
        <v>1396</v>
      </c>
      <c r="M22" s="4590">
        <f>IS!BN55</f>
        <v>1851</v>
      </c>
      <c r="N22" s="4590">
        <f>IS!BX55</f>
        <v>2962</v>
      </c>
      <c r="O22" s="4590">
        <f>IS!CH55</f>
        <v>3939</v>
      </c>
      <c r="P22" s="4590">
        <f>IS!CM55</f>
        <v>4979</v>
      </c>
      <c r="Q22" s="4590">
        <f>IS!CR55</f>
        <v>5063</v>
      </c>
      <c r="R22" s="4590">
        <f>IS!CW55</f>
        <v>6144</v>
      </c>
      <c r="S22" s="4590">
        <f>IS!DB55</f>
        <v>6915</v>
      </c>
      <c r="T22" s="4590">
        <f>IS!DG55</f>
        <v>9035</v>
      </c>
      <c r="U22" s="4590">
        <f>IS!DL55</f>
        <v>11781</v>
      </c>
      <c r="V22" s="4590">
        <f>IS!DQ55</f>
        <v>13697</v>
      </c>
      <c r="W22" s="4590">
        <f>IS!DV55</f>
        <v>12441</v>
      </c>
      <c r="X22" s="4590">
        <f>IS!EA55</f>
        <v>15928</v>
      </c>
      <c r="Y22" s="4590">
        <f>IS!EF55</f>
        <v>13699</v>
      </c>
      <c r="Z22" s="4590">
        <f>IS!EK55</f>
        <v>15311</v>
      </c>
      <c r="AA22" s="4590">
        <f>IS!EP55</f>
        <v>21527.198485523935</v>
      </c>
      <c r="AB22" s="4590">
        <f>IS!EU55</f>
        <v>36856.149265184315</v>
      </c>
      <c r="AC22" s="4590">
        <f>IS!EV55</f>
        <v>50659.248314131044</v>
      </c>
      <c r="AD22" s="4590">
        <f>IS!EW55</f>
        <v>57068.22852048988</v>
      </c>
      <c r="AE22" s="4590">
        <f>IS!EX55</f>
        <v>61724.46939251446</v>
      </c>
      <c r="AF22" s="4590">
        <f>IS!EY55</f>
        <v>66276.088078338158</v>
      </c>
      <c r="AH22" s="4798"/>
    </row>
    <row r="23" spans="1:34" s="766" customFormat="1">
      <c r="A23" s="4585" t="s">
        <v>374</v>
      </c>
      <c r="B23" s="4590">
        <f>IS!K56</f>
        <v>0</v>
      </c>
      <c r="C23" s="4590">
        <f>IS!P56</f>
        <v>12.382999999999999</v>
      </c>
      <c r="D23" s="4590">
        <f>IS!U56</f>
        <v>21.635000000000002</v>
      </c>
      <c r="E23" s="4590">
        <f>IS!Z56</f>
        <v>229.36099999999999</v>
      </c>
      <c r="F23" s="4590">
        <f>IS!AE56</f>
        <v>278.74599999999998</v>
      </c>
      <c r="G23" s="4590">
        <f>IS!AJ56</f>
        <v>200.708</v>
      </c>
      <c r="H23" s="4590">
        <f>IS!AO56</f>
        <v>458.1</v>
      </c>
      <c r="I23" s="4590">
        <f>IS!AT56</f>
        <v>868.64599999999996</v>
      </c>
      <c r="J23" s="4590">
        <f>IS!AY56</f>
        <v>1119.7660000000001</v>
      </c>
      <c r="K23" s="4590">
        <f>IS!BD56</f>
        <v>1164.0540000000001</v>
      </c>
      <c r="L23" s="4590">
        <f>IS!BI56</f>
        <v>1376</v>
      </c>
      <c r="M23" s="4590">
        <f>IS!BN56</f>
        <v>1974</v>
      </c>
      <c r="N23" s="4590">
        <f>IS!BX56</f>
        <v>2473</v>
      </c>
      <c r="O23" s="4590">
        <f>IS!CH56</f>
        <v>3127</v>
      </c>
      <c r="P23" s="4590">
        <f>IS!CM56</f>
        <v>4175</v>
      </c>
      <c r="Q23" s="4590">
        <f>IS!CR56</f>
        <v>5203</v>
      </c>
      <c r="R23" s="4590">
        <f>IS!CW56</f>
        <v>6703</v>
      </c>
      <c r="S23" s="4590">
        <f>IS!DB56</f>
        <v>7679</v>
      </c>
      <c r="T23" s="4590">
        <f>IS!DG56</f>
        <v>9353</v>
      </c>
      <c r="U23" s="4590">
        <f>IS!DL56</f>
        <v>10794</v>
      </c>
      <c r="V23" s="4590">
        <f>IS!DQ56</f>
        <v>12991</v>
      </c>
      <c r="W23" s="4590">
        <f>IS!DV56</f>
        <v>15376</v>
      </c>
      <c r="X23" s="4590">
        <f>IS!EA56</f>
        <v>19362</v>
      </c>
      <c r="Y23" s="4590">
        <f>IS!EF56</f>
        <v>22460</v>
      </c>
      <c r="Z23" s="4590">
        <f>IS!EK56</f>
        <v>22785</v>
      </c>
      <c r="AA23" s="4590">
        <f>IS!EP56</f>
        <v>24409.186522621309</v>
      </c>
      <c r="AB23" s="4590">
        <f>IS!EU56</f>
        <v>28481.696586525788</v>
      </c>
      <c r="AC23" s="4590">
        <f>IS!EV56</f>
        <v>30856.08760951618</v>
      </c>
      <c r="AD23" s="4590">
        <f>IS!EW56</f>
        <v>33307.093372867726</v>
      </c>
      <c r="AE23" s="4590">
        <f>IS!EX56</f>
        <v>35765.580395662582</v>
      </c>
      <c r="AF23" s="4590">
        <f>IS!EY56</f>
        <v>38299.931668347344</v>
      </c>
      <c r="AH23" s="4798"/>
    </row>
    <row r="24" spans="1:34" s="766" customFormat="1">
      <c r="A24" s="4585" t="s">
        <v>889</v>
      </c>
      <c r="B24" s="4590">
        <f>IS!K25</f>
        <v>0</v>
      </c>
      <c r="C24" s="4590">
        <f>IS!P25</f>
        <v>0</v>
      </c>
      <c r="D24" s="4590">
        <f>IS!U25</f>
        <v>0</v>
      </c>
      <c r="E24" s="4590">
        <f>IS!Z25</f>
        <v>0</v>
      </c>
      <c r="F24" s="4590">
        <f>IS!AE25</f>
        <v>0</v>
      </c>
      <c r="G24" s="4590">
        <f>IS!AJ25</f>
        <v>0</v>
      </c>
      <c r="H24" s="4590">
        <f>IS!AO25</f>
        <v>0</v>
      </c>
      <c r="I24" s="4590">
        <f>IS!AT25</f>
        <v>0</v>
      </c>
      <c r="J24" s="4590">
        <f>IS!AY25</f>
        <v>0</v>
      </c>
      <c r="K24" s="4590">
        <f>IS!BD25</f>
        <v>0</v>
      </c>
      <c r="L24" s="4590">
        <f>IS!BI25</f>
        <v>0</v>
      </c>
      <c r="M24" s="4590">
        <f>IS!BN25</f>
        <v>0</v>
      </c>
      <c r="N24" s="4590">
        <f>IS!BX25</f>
        <v>0</v>
      </c>
      <c r="O24" s="4590">
        <f>IS!CH25</f>
        <v>0</v>
      </c>
      <c r="P24" s="4590">
        <f>IS!CM25</f>
        <v>378</v>
      </c>
      <c r="Q24" s="4590">
        <f>IS!CR25</f>
        <v>0</v>
      </c>
      <c r="R24" s="4590">
        <f>IS!CW25</f>
        <v>0</v>
      </c>
      <c r="S24" s="4590">
        <f>IS!DB25</f>
        <v>2736</v>
      </c>
      <c r="T24" s="4590">
        <f>IS!DG25</f>
        <v>5071</v>
      </c>
      <c r="U24" s="4590">
        <f>IS!DL25</f>
        <v>1697</v>
      </c>
      <c r="V24" s="4590">
        <f>IS!DQ25</f>
        <v>0</v>
      </c>
      <c r="W24" s="4590">
        <f>IS!DV25</f>
        <v>0</v>
      </c>
      <c r="X24" s="4590">
        <f>IS!EA25</f>
        <v>0</v>
      </c>
      <c r="Y24" s="4590">
        <f>IS!EF25</f>
        <v>0</v>
      </c>
      <c r="Z24" s="4590">
        <f>IS!EK25</f>
        <v>0</v>
      </c>
      <c r="AA24" s="4590">
        <f>IS!EP25</f>
        <v>3457</v>
      </c>
      <c r="AB24" s="4590">
        <f>IS!EU25</f>
        <v>0</v>
      </c>
      <c r="AC24" s="4590">
        <f>IS!EV25</f>
        <v>0</v>
      </c>
      <c r="AD24" s="4590">
        <f>IS!EW25</f>
        <v>0</v>
      </c>
      <c r="AE24" s="4590">
        <f>IS!EX25</f>
        <v>0</v>
      </c>
      <c r="AF24" s="4590">
        <f>IS!EY25</f>
        <v>0</v>
      </c>
      <c r="AH24" s="4798"/>
    </row>
    <row r="25" spans="1:34" s="766" customFormat="1">
      <c r="A25" s="4586" t="s">
        <v>897</v>
      </c>
      <c r="B25" s="4589">
        <f t="shared" ref="B25:AA25" si="13">B14+SUM(B22:B24)</f>
        <v>-14.736999999999998</v>
      </c>
      <c r="C25" s="4589">
        <f t="shared" si="13"/>
        <v>37.529000000000011</v>
      </c>
      <c r="D25" s="4589">
        <f t="shared" si="13"/>
        <v>237.08400000000003</v>
      </c>
      <c r="E25" s="4589">
        <f t="shared" si="13"/>
        <v>638.49199999999996</v>
      </c>
      <c r="F25" s="4589">
        <f t="shared" si="13"/>
        <v>1279.7549999999999</v>
      </c>
      <c r="G25" s="4589">
        <f t="shared" si="13"/>
        <v>2623.8399999999992</v>
      </c>
      <c r="H25" s="4589">
        <f t="shared" si="13"/>
        <v>4590.835</v>
      </c>
      <c r="I25" s="4589">
        <f t="shared" si="13"/>
        <v>6920.6990000000005</v>
      </c>
      <c r="J25" s="4589">
        <f t="shared" si="13"/>
        <v>9251.6219999999994</v>
      </c>
      <c r="K25" s="4589">
        <f t="shared" si="13"/>
        <v>11000.547999999995</v>
      </c>
      <c r="L25" s="4589">
        <f t="shared" si="13"/>
        <v>13154</v>
      </c>
      <c r="M25" s="4589">
        <f t="shared" si="13"/>
        <v>16067</v>
      </c>
      <c r="N25" s="4589">
        <f t="shared" si="13"/>
        <v>19269</v>
      </c>
      <c r="O25" s="4589">
        <f t="shared" si="13"/>
        <v>22469</v>
      </c>
      <c r="P25" s="4589">
        <f t="shared" si="13"/>
        <v>26028</v>
      </c>
      <c r="Q25" s="4589">
        <f t="shared" si="13"/>
        <v>29626</v>
      </c>
      <c r="R25" s="4589">
        <f t="shared" si="13"/>
        <v>36563</v>
      </c>
      <c r="S25" s="4589">
        <f t="shared" si="13"/>
        <v>43476</v>
      </c>
      <c r="T25" s="4589">
        <f t="shared" si="13"/>
        <v>50983</v>
      </c>
      <c r="U25" s="4589">
        <f t="shared" si="13"/>
        <v>58503</v>
      </c>
      <c r="V25" s="4589">
        <f t="shared" si="13"/>
        <v>67912</v>
      </c>
      <c r="W25" s="4589">
        <f t="shared" si="13"/>
        <v>106531</v>
      </c>
      <c r="X25" s="4589">
        <f t="shared" si="13"/>
        <v>110132</v>
      </c>
      <c r="Y25" s="4589">
        <f t="shared" si="13"/>
        <v>120452</v>
      </c>
      <c r="Z25" s="4589">
        <f t="shared" si="13"/>
        <v>150486</v>
      </c>
      <c r="AA25" s="4589">
        <f t="shared" si="13"/>
        <v>179837.73143902299</v>
      </c>
      <c r="AB25" s="4589">
        <f>AB14+SUM(AB22:AB24)</f>
        <v>225088.92135393832</v>
      </c>
      <c r="AC25" s="4589">
        <f>AC14+SUM(AC22:AC24)</f>
        <v>260204.32088621851</v>
      </c>
      <c r="AD25" s="4589">
        <f>AD14+SUM(AD22:AD24)</f>
        <v>293745.73625728517</v>
      </c>
      <c r="AE25" s="4589">
        <f>AE14+SUM(AE22:AE24)</f>
        <v>327658.86556026363</v>
      </c>
      <c r="AF25" s="4589">
        <f>AF14+SUM(AF22:AF24)</f>
        <v>365219.48151630379</v>
      </c>
      <c r="AH25" s="4797">
        <f>(AC25/Z25)^(1/3)-1</f>
        <v>0.20025300465635598</v>
      </c>
    </row>
    <row r="26" spans="1:34" s="766" customFormat="1">
      <c r="A26" s="4581"/>
      <c r="B26" s="4590"/>
      <c r="C26" s="4590"/>
      <c r="D26" s="4590"/>
      <c r="E26" s="4590"/>
      <c r="F26" s="4590"/>
      <c r="G26" s="4590"/>
      <c r="H26" s="4590"/>
      <c r="I26" s="4590"/>
      <c r="J26" s="4590"/>
      <c r="K26" s="4590"/>
      <c r="L26" s="4590"/>
      <c r="M26" s="4590"/>
      <c r="N26" s="4590"/>
      <c r="O26" s="4590"/>
      <c r="P26" s="4590"/>
      <c r="Q26" s="4590"/>
      <c r="R26" s="4590"/>
      <c r="S26" s="4590"/>
      <c r="T26" s="4590"/>
      <c r="U26" s="4590"/>
      <c r="V26" s="4590"/>
      <c r="W26" s="4590"/>
      <c r="X26" s="4590"/>
      <c r="Y26" s="4590"/>
      <c r="Z26" s="4590"/>
      <c r="AA26" s="4590"/>
      <c r="AB26" s="4590"/>
      <c r="AC26" s="4590"/>
      <c r="AD26" s="4590"/>
      <c r="AE26" s="4590"/>
      <c r="AF26" s="4590"/>
      <c r="AH26" s="4798"/>
    </row>
    <row r="27" spans="1:34" s="766" customFormat="1">
      <c r="A27" s="4596" t="s">
        <v>892</v>
      </c>
      <c r="B27" s="4592"/>
      <c r="C27" s="4592"/>
      <c r="D27" s="4592"/>
      <c r="E27" s="4592"/>
      <c r="F27" s="4592"/>
      <c r="G27" s="4592"/>
      <c r="H27" s="4592"/>
      <c r="I27" s="4592"/>
      <c r="J27" s="4592"/>
      <c r="K27" s="4592"/>
      <c r="L27" s="4592"/>
      <c r="M27" s="4592"/>
      <c r="N27" s="4592"/>
      <c r="O27" s="4592"/>
      <c r="P27" s="4592"/>
      <c r="Q27" s="4592"/>
      <c r="R27" s="4592"/>
      <c r="S27" s="4592"/>
      <c r="T27" s="4592"/>
      <c r="U27" s="4592"/>
      <c r="V27" s="4592"/>
      <c r="W27" s="4592"/>
      <c r="X27" s="4592"/>
      <c r="Y27" s="4592"/>
      <c r="Z27" s="4592"/>
      <c r="AA27" s="4592"/>
      <c r="AB27" s="4592"/>
      <c r="AC27" s="4592"/>
      <c r="AD27" s="4592"/>
      <c r="AE27" s="4592"/>
      <c r="AF27" s="4592"/>
      <c r="AH27" s="4798"/>
    </row>
    <row r="28" spans="1:34" s="766" customFormat="1">
      <c r="A28" s="4595" t="str">
        <f t="shared" ref="A28:A34" si="14">A8</f>
        <v>Gross Revenue</v>
      </c>
      <c r="B28" s="4247"/>
      <c r="C28" s="4247">
        <f t="shared" ref="C28:AF28" si="15">IF(C8*B8&lt;=0,"NA",(C8-B8)/ABS(B8))</f>
        <v>3.5230270043960643</v>
      </c>
      <c r="D28" s="4247">
        <f t="shared" si="15"/>
        <v>4.0853678291254951</v>
      </c>
      <c r="E28" s="4247">
        <f t="shared" si="15"/>
        <v>2.3353977629531197</v>
      </c>
      <c r="F28" s="4247">
        <f t="shared" si="15"/>
        <v>1.1755570168916201</v>
      </c>
      <c r="G28" s="4247">
        <f t="shared" si="15"/>
        <v>0.92478230590962107</v>
      </c>
      <c r="H28" s="4247">
        <f t="shared" si="15"/>
        <v>0.72759034692175373</v>
      </c>
      <c r="I28" s="4247">
        <f t="shared" si="15"/>
        <v>0.56474454255511874</v>
      </c>
      <c r="J28" s="4247">
        <f t="shared" si="15"/>
        <v>0.313460792361763</v>
      </c>
      <c r="K28" s="4247">
        <f t="shared" si="15"/>
        <v>8.5109712762467343E-2</v>
      </c>
      <c r="L28" s="4247">
        <f t="shared" si="15"/>
        <v>0.23975907042889433</v>
      </c>
      <c r="M28" s="4247">
        <f t="shared" si="15"/>
        <v>0.29275945568022921</v>
      </c>
      <c r="N28" s="4247">
        <f t="shared" si="15"/>
        <v>0.21458910433979686</v>
      </c>
      <c r="O28" s="4247">
        <f t="shared" si="15"/>
        <v>0.20591237863550468</v>
      </c>
      <c r="P28" s="4247">
        <f t="shared" si="15"/>
        <v>0.18880023055170303</v>
      </c>
      <c r="Q28" s="4247">
        <f t="shared" si="15"/>
        <v>0.13617975485219921</v>
      </c>
      <c r="R28" s="4247">
        <f t="shared" si="15"/>
        <v>0.20380322447292271</v>
      </c>
      <c r="S28" s="4247">
        <f t="shared" si="15"/>
        <v>0.22801090038993266</v>
      </c>
      <c r="T28" s="4247">
        <f t="shared" si="15"/>
        <v>0.23421586757475982</v>
      </c>
      <c r="U28" s="4247">
        <f t="shared" si="15"/>
        <v>0.18300089899794619</v>
      </c>
      <c r="V28" s="4247">
        <f t="shared" si="15"/>
        <v>0.12770532012826136</v>
      </c>
      <c r="W28" s="4247">
        <f t="shared" si="15"/>
        <v>0.41150076427049148</v>
      </c>
      <c r="X28" s="4247">
        <f t="shared" si="15"/>
        <v>9.7808156437157706E-2</v>
      </c>
      <c r="Y28" s="4247">
        <f t="shared" si="15"/>
        <v>8.6827702272695137E-2</v>
      </c>
      <c r="Z28" s="4247">
        <f t="shared" si="15"/>
        <v>0.13866243322901553</v>
      </c>
      <c r="AA28" s="4247">
        <f t="shared" si="15"/>
        <v>0.1463819983562929</v>
      </c>
      <c r="AB28" s="4247">
        <f t="shared" si="15"/>
        <v>0.1670943147933818</v>
      </c>
      <c r="AC28" s="4247">
        <f t="shared" si="15"/>
        <v>0.13331977060325914</v>
      </c>
      <c r="AD28" s="4247">
        <f t="shared" si="15"/>
        <v>0.11961968132743452</v>
      </c>
      <c r="AE28" s="4247">
        <f t="shared" si="15"/>
        <v>0.10580532343054938</v>
      </c>
      <c r="AF28" s="4247">
        <f t="shared" si="15"/>
        <v>9.9288857253108861E-2</v>
      </c>
      <c r="AH28" s="4799"/>
    </row>
    <row r="29" spans="1:34" s="766" customFormat="1">
      <c r="A29" s="4603" t="str">
        <f t="shared" si="14"/>
        <v>TAC</v>
      </c>
      <c r="B29" s="4247"/>
      <c r="C29" s="4247"/>
      <c r="D29" s="4247" t="str">
        <f t="shared" ref="D29:AF29" si="16">IF(D9*C9&lt;=0,"NA",(D9-C9)/ABS(C9))</f>
        <v>NA</v>
      </c>
      <c r="E29" s="4247">
        <f t="shared" si="16"/>
        <v>4.5717777777777782</v>
      </c>
      <c r="F29" s="4247">
        <f t="shared" si="16"/>
        <v>1.3334605808182962</v>
      </c>
      <c r="G29" s="4247">
        <f t="shared" si="16"/>
        <v>0.72136273810802809</v>
      </c>
      <c r="H29" s="4247">
        <f t="shared" si="16"/>
        <v>0.56447647264085732</v>
      </c>
      <c r="I29" s="4247">
        <f t="shared" si="16"/>
        <v>0.49114884442197215</v>
      </c>
      <c r="J29" s="4247">
        <f t="shared" si="16"/>
        <v>0.20370848170374656</v>
      </c>
      <c r="K29" s="4247">
        <f t="shared" si="16"/>
        <v>3.8805499690854846E-2</v>
      </c>
      <c r="L29" s="4247">
        <f t="shared" si="16"/>
        <v>0.18601177161663254</v>
      </c>
      <c r="M29" s="4247">
        <f t="shared" si="16"/>
        <v>0.20377203772037719</v>
      </c>
      <c r="N29" s="4247">
        <f t="shared" si="16"/>
        <v>0.2438692098092643</v>
      </c>
      <c r="O29" s="4247">
        <f t="shared" si="16"/>
        <v>0.11883899233296824</v>
      </c>
      <c r="P29" s="4247">
        <f t="shared" si="16"/>
        <v>0.10107684777288302</v>
      </c>
      <c r="Q29" s="4247">
        <f t="shared" si="16"/>
        <v>6.2680595687930649E-2</v>
      </c>
      <c r="R29" s="4247">
        <f t="shared" si="16"/>
        <v>0.17081503172279161</v>
      </c>
      <c r="S29" s="4247">
        <f t="shared" si="16"/>
        <v>0.29053772405168821</v>
      </c>
      <c r="T29" s="4247">
        <f t="shared" si="16"/>
        <v>0.23320413436692505</v>
      </c>
      <c r="U29" s="4247">
        <f t="shared" si="16"/>
        <v>0.12583252263713238</v>
      </c>
      <c r="V29" s="4247">
        <f t="shared" si="16"/>
        <v>8.9368207650636439E-2</v>
      </c>
      <c r="W29" s="4247">
        <f t="shared" si="16"/>
        <v>0.39013972786625173</v>
      </c>
      <c r="X29" s="4247">
        <f t="shared" si="16"/>
        <v>7.4375630952903476E-2</v>
      </c>
      <c r="Y29" s="4247">
        <f t="shared" si="16"/>
        <v>3.9444387702992544E-2</v>
      </c>
      <c r="Z29" s="4247">
        <f t="shared" si="16"/>
        <v>7.8882207286876546E-2</v>
      </c>
      <c r="AA29" s="4247">
        <f t="shared" si="16"/>
        <v>8.5378819732254169E-2</v>
      </c>
      <c r="AB29" s="4247">
        <f t="shared" si="16"/>
        <v>9.1978410978540232E-2</v>
      </c>
      <c r="AC29" s="4247">
        <f t="shared" si="16"/>
        <v>7.8822996573315318E-2</v>
      </c>
      <c r="AD29" s="4247">
        <f t="shared" si="16"/>
        <v>7.4404389398103968E-2</v>
      </c>
      <c r="AE29" s="4247">
        <f t="shared" si="16"/>
        <v>6.3772615242373251E-2</v>
      </c>
      <c r="AF29" s="4247">
        <f t="shared" si="16"/>
        <v>6.027967167794275E-2</v>
      </c>
      <c r="AH29" s="4799"/>
    </row>
    <row r="30" spans="1:34" s="766" customFormat="1">
      <c r="A30" s="4595" t="str">
        <f t="shared" si="14"/>
        <v>Net Revenue</v>
      </c>
      <c r="B30" s="4247"/>
      <c r="C30" s="4247"/>
      <c r="D30" s="4247">
        <f t="shared" ref="D30:AF30" si="17">IF(D10*C10&lt;=0,"NA",(D10-C10)/ABS(C10))</f>
        <v>2.9919468678406966</v>
      </c>
      <c r="E30" s="4247">
        <f t="shared" si="17"/>
        <v>1.7228383109956866</v>
      </c>
      <c r="F30" s="4247">
        <f t="shared" si="17"/>
        <v>1.087052281187693</v>
      </c>
      <c r="G30" s="4247">
        <f t="shared" si="17"/>
        <v>1.0522600721521549</v>
      </c>
      <c r="H30" s="4247">
        <f t="shared" si="17"/>
        <v>0.81332820362171565</v>
      </c>
      <c r="I30" s="4247">
        <f t="shared" si="17"/>
        <v>0.59811996480330709</v>
      </c>
      <c r="J30" s="4247">
        <f t="shared" si="17"/>
        <v>0.35990158580877546</v>
      </c>
      <c r="K30" s="4247">
        <f t="shared" si="17"/>
        <v>0.10245255634279139</v>
      </c>
      <c r="L30" s="4247">
        <f t="shared" si="17"/>
        <v>0.25872747366062443</v>
      </c>
      <c r="M30" s="4247">
        <f t="shared" si="17"/>
        <v>0.32235048173059444</v>
      </c>
      <c r="N30" s="4247">
        <f t="shared" si="17"/>
        <v>0.20572567618654844</v>
      </c>
      <c r="O30" s="4247">
        <f t="shared" si="17"/>
        <v>0.233104352535416</v>
      </c>
      <c r="P30" s="4247">
        <f t="shared" si="17"/>
        <v>0.21365664224127967</v>
      </c>
      <c r="Q30" s="4247">
        <f t="shared" si="17"/>
        <v>0.15507389913149475</v>
      </c>
      <c r="R30" s="4247">
        <f t="shared" si="17"/>
        <v>0.21160505227055371</v>
      </c>
      <c r="S30" s="4247">
        <f t="shared" si="17"/>
        <v>0.21372092706759754</v>
      </c>
      <c r="T30" s="4247">
        <f t="shared" si="17"/>
        <v>0.23446172476817331</v>
      </c>
      <c r="U30" s="4247">
        <f t="shared" si="17"/>
        <v>0.1968790022980571</v>
      </c>
      <c r="V30" s="4247">
        <f t="shared" si="17"/>
        <v>0.13645953494019791</v>
      </c>
      <c r="W30" s="4247">
        <f t="shared" si="17"/>
        <v>0.41617640184575522</v>
      </c>
      <c r="X30" s="4247">
        <f t="shared" si="17"/>
        <v>0.10284291581592957</v>
      </c>
      <c r="Y30" s="4247">
        <f t="shared" si="17"/>
        <v>9.6745780974085108E-2</v>
      </c>
      <c r="Z30" s="4247">
        <f t="shared" si="17"/>
        <v>0.15052162115801457</v>
      </c>
      <c r="AA30" s="4247">
        <f t="shared" si="17"/>
        <v>0.15773025399119056</v>
      </c>
      <c r="AB30" s="4247">
        <f t="shared" si="17"/>
        <v>0.18019465283984637</v>
      </c>
      <c r="AC30" s="4247">
        <f t="shared" si="17"/>
        <v>0.14211367641292372</v>
      </c>
      <c r="AD30" s="4247">
        <f t="shared" si="17"/>
        <v>0.12651155355913751</v>
      </c>
      <c r="AE30" s="4247">
        <f t="shared" si="17"/>
        <v>0.11191574782317919</v>
      </c>
      <c r="AF30" s="4247">
        <f t="shared" si="17"/>
        <v>0.10471420787355575</v>
      </c>
      <c r="AH30" s="4799"/>
    </row>
    <row r="31" spans="1:34" s="766" customFormat="1">
      <c r="A31" s="4603" t="str">
        <f t="shared" si="14"/>
        <v>Other Cost Of Revenues</v>
      </c>
      <c r="B31" s="4247"/>
      <c r="C31" s="4247" t="str">
        <f>IF(C11*B11&lt;=0,"NA",(C11-B11)/ABS(B11))</f>
        <v>NA</v>
      </c>
      <c r="D31" s="4247">
        <f t="shared" ref="D31:AF31" si="18">IF(D11*C11&lt;=0,"NA",(D11-C11)/ABS(C11))</f>
        <v>1.5208554025423733</v>
      </c>
      <c r="E31" s="4247">
        <f t="shared" si="18"/>
        <v>1.8333026920551536</v>
      </c>
      <c r="F31" s="4247">
        <f t="shared" si="18"/>
        <v>1.2277294721815388</v>
      </c>
      <c r="G31" s="4247">
        <f t="shared" si="18"/>
        <v>0.92302442962180076</v>
      </c>
      <c r="H31" s="4247">
        <f t="shared" si="18"/>
        <v>0.98259428277149885</v>
      </c>
      <c r="I31" s="4247">
        <f t="shared" si="18"/>
        <v>0.87198472032742147</v>
      </c>
      <c r="J31" s="4247">
        <f t="shared" si="18"/>
        <v>0.56398356815449557</v>
      </c>
      <c r="K31" s="4247">
        <f t="shared" si="18"/>
        <v>-2.9281796377629544E-3</v>
      </c>
      <c r="L31" s="4247">
        <f t="shared" si="18"/>
        <v>0.15900892025607363</v>
      </c>
      <c r="M31" s="4247">
        <f t="shared" si="18"/>
        <v>0.41290322580645161</v>
      </c>
      <c r="N31" s="4247">
        <f t="shared" si="18"/>
        <v>0.42009132420091322</v>
      </c>
      <c r="O31" s="4247">
        <f t="shared" si="18"/>
        <v>0.56511254019292601</v>
      </c>
      <c r="P31" s="4247">
        <f t="shared" si="18"/>
        <v>0.25259373394966617</v>
      </c>
      <c r="Q31" s="4247">
        <f t="shared" si="18"/>
        <v>0.13342627521732001</v>
      </c>
      <c r="R31" s="4247">
        <f t="shared" si="18"/>
        <v>0.32732797916214457</v>
      </c>
      <c r="S31" s="4247">
        <f t="shared" si="18"/>
        <v>0.30340692286726628</v>
      </c>
      <c r="T31" s="4247">
        <f t="shared" si="18"/>
        <v>0.3727154865961273</v>
      </c>
      <c r="U31" s="4247">
        <f t="shared" si="18"/>
        <v>0.27371050787557505</v>
      </c>
      <c r="V31" s="4247">
        <f t="shared" si="18"/>
        <v>0.24271055086468774</v>
      </c>
      <c r="W31" s="4247">
        <f t="shared" si="18"/>
        <v>0.25828617623282135</v>
      </c>
      <c r="X31" s="4247">
        <f t="shared" si="18"/>
        <v>0.18164991663224878</v>
      </c>
      <c r="Y31" s="4247">
        <f t="shared" si="18"/>
        <v>6.7289768019884011E-2</v>
      </c>
      <c r="Z31" s="4247">
        <f t="shared" si="18"/>
        <v>0.10867719476991</v>
      </c>
      <c r="AA31" s="4247">
        <f t="shared" si="18"/>
        <v>0.13633905607801441</v>
      </c>
      <c r="AB31" s="4247">
        <f t="shared" si="18"/>
        <v>0.22573392894119793</v>
      </c>
      <c r="AC31" s="4247">
        <f t="shared" si="18"/>
        <v>0.20456833926757884</v>
      </c>
      <c r="AD31" s="4247">
        <f t="shared" si="18"/>
        <v>0.15019197660692721</v>
      </c>
      <c r="AE31" s="4247">
        <f t="shared" si="18"/>
        <v>0.11845642869272727</v>
      </c>
      <c r="AF31" s="4247">
        <f t="shared" si="18"/>
        <v>0.10148404937100153</v>
      </c>
      <c r="AH31" s="4799"/>
    </row>
    <row r="32" spans="1:34" s="766" customFormat="1">
      <c r="A32" s="4595" t="str">
        <f t="shared" si="14"/>
        <v>Gross Profit</v>
      </c>
      <c r="B32" s="4247"/>
      <c r="C32" s="4247">
        <f t="shared" ref="C32:AF32" si="19">IF(C12*B12&lt;=0,"NA",(C12-B12)/ABS(B12))</f>
        <v>2.732572744400251</v>
      </c>
      <c r="D32" s="4247">
        <f t="shared" si="19"/>
        <v>3.303482796332128</v>
      </c>
      <c r="E32" s="4247">
        <f t="shared" si="19"/>
        <v>1.7091352184352933</v>
      </c>
      <c r="F32" s="4247">
        <f t="shared" si="19"/>
        <v>1.0688014643010477</v>
      </c>
      <c r="G32" s="4247">
        <f t="shared" si="19"/>
        <v>1.0703145345808995</v>
      </c>
      <c r="H32" s="4247">
        <f t="shared" si="19"/>
        <v>0.79136373706257901</v>
      </c>
      <c r="I32" s="4247">
        <f t="shared" si="19"/>
        <v>0.55878878789446229</v>
      </c>
      <c r="J32" s="4247">
        <f t="shared" si="19"/>
        <v>0.32470338317093389</v>
      </c>
      <c r="K32" s="4247">
        <f t="shared" si="19"/>
        <v>0.12391062304027471</v>
      </c>
      <c r="L32" s="4247">
        <f t="shared" si="19"/>
        <v>0.27674105227668405</v>
      </c>
      <c r="M32" s="4247">
        <f t="shared" si="19"/>
        <v>0.30750105797714772</v>
      </c>
      <c r="N32" s="4247">
        <f t="shared" si="19"/>
        <v>0.16773880325282195</v>
      </c>
      <c r="O32" s="4247">
        <f t="shared" si="19"/>
        <v>0.16155631777708485</v>
      </c>
      <c r="P32" s="4247">
        <f t="shared" si="19"/>
        <v>0.20235041460359124</v>
      </c>
      <c r="Q32" s="4247">
        <f t="shared" si="19"/>
        <v>0.16162242619697345</v>
      </c>
      <c r="R32" s="4247">
        <f t="shared" si="19"/>
        <v>0.17744794447410572</v>
      </c>
      <c r="S32" s="4247">
        <f t="shared" si="19"/>
        <v>0.18387927594587733</v>
      </c>
      <c r="T32" s="4247">
        <f t="shared" si="19"/>
        <v>0.18381541855619563</v>
      </c>
      <c r="U32" s="4247">
        <f t="shared" si="19"/>
        <v>0.1642422673741426</v>
      </c>
      <c r="V32" s="4247">
        <f t="shared" si="19"/>
        <v>8.7082180055801955E-2</v>
      </c>
      <c r="W32" s="4247">
        <f t="shared" si="19"/>
        <v>0.50005624009407434</v>
      </c>
      <c r="X32" s="4247">
        <f t="shared" si="19"/>
        <v>6.7724168018650555E-2</v>
      </c>
      <c r="Y32" s="4247">
        <f t="shared" si="19"/>
        <v>0.11127284799499466</v>
      </c>
      <c r="Z32" s="4247">
        <f t="shared" si="19"/>
        <v>0.17034160241752938</v>
      </c>
      <c r="AA32" s="4247">
        <f t="shared" si="19"/>
        <v>0.16732852918583679</v>
      </c>
      <c r="AB32" s="4247">
        <f t="shared" si="19"/>
        <v>0.16030354149793233</v>
      </c>
      <c r="AC32" s="4247">
        <f t="shared" si="19"/>
        <v>0.11329577283683892</v>
      </c>
      <c r="AD32" s="4247">
        <f t="shared" si="19"/>
        <v>0.1146890934768077</v>
      </c>
      <c r="AE32" s="4247">
        <f t="shared" si="19"/>
        <v>0.10854630616310887</v>
      </c>
      <c r="AF32" s="4247">
        <f t="shared" si="19"/>
        <v>0.10639310484600785</v>
      </c>
      <c r="AH32" s="4799"/>
    </row>
    <row r="33" spans="1:34" s="766" customFormat="1">
      <c r="A33" s="4603" t="str">
        <f t="shared" si="14"/>
        <v>GAAP Expenses</v>
      </c>
      <c r="B33" s="4247"/>
      <c r="C33" s="4247">
        <f t="shared" ref="C33:AF33" si="20">IF(C13*B13&lt;=0,"NA",(C13-B13)/ABS(B13))</f>
        <v>-1.5364160141824999E-3</v>
      </c>
      <c r="D33" s="4247">
        <f t="shared" si="20"/>
        <v>2.5648507087266608</v>
      </c>
      <c r="E33" s="4247">
        <f t="shared" si="20"/>
        <v>3.0596926959250248</v>
      </c>
      <c r="F33" s="4247">
        <f t="shared" si="20"/>
        <v>0.79746002016116668</v>
      </c>
      <c r="G33" s="4247">
        <f t="shared" si="20"/>
        <v>0.65425043000282124</v>
      </c>
      <c r="H33" s="4247">
        <f t="shared" si="20"/>
        <v>0.94602500907720533</v>
      </c>
      <c r="I33" s="4247">
        <f t="shared" si="20"/>
        <v>0.71755761876593283</v>
      </c>
      <c r="J33" s="4247">
        <f t="shared" si="20"/>
        <v>0.34596583154099703</v>
      </c>
      <c r="K33" s="4247">
        <f t="shared" si="20"/>
        <v>-7.3085374288744329E-3</v>
      </c>
      <c r="L33" s="4247">
        <f t="shared" si="20"/>
        <v>0.31223532404451793</v>
      </c>
      <c r="M33" s="4247">
        <f t="shared" si="20"/>
        <v>0.46385824923726826</v>
      </c>
      <c r="N33" s="4247">
        <f t="shared" si="20"/>
        <v>0.20472945891783567</v>
      </c>
      <c r="O33" s="4247">
        <f t="shared" si="20"/>
        <v>0.20586865393572426</v>
      </c>
      <c r="P33" s="4247">
        <f t="shared" si="20"/>
        <v>0.31402085747392816</v>
      </c>
      <c r="Q33" s="4247">
        <f t="shared" si="20"/>
        <v>0.15331317712270093</v>
      </c>
      <c r="R33" s="4247">
        <f t="shared" si="20"/>
        <v>0.14392863644638632</v>
      </c>
      <c r="S33" s="4247">
        <f t="shared" si="20"/>
        <v>0.24533706792284676</v>
      </c>
      <c r="T33" s="4247">
        <f t="shared" si="20"/>
        <v>0.27143076215304401</v>
      </c>
      <c r="U33" s="4247">
        <f t="shared" si="20"/>
        <v>0.12029107867969284</v>
      </c>
      <c r="V33" s="4247">
        <f t="shared" si="20"/>
        <v>1.5090615467432263E-2</v>
      </c>
      <c r="W33" s="4247">
        <f t="shared" si="20"/>
        <v>0.20174647787735767</v>
      </c>
      <c r="X33" s="4247">
        <f t="shared" si="20"/>
        <v>0.20309190397740645</v>
      </c>
      <c r="Y33" s="4247">
        <f t="shared" si="20"/>
        <v>9.7541294274431173E-2</v>
      </c>
      <c r="Z33" s="4247">
        <f t="shared" si="20"/>
        <v>1.7299958783098843E-2</v>
      </c>
      <c r="AA33" s="4247">
        <f t="shared" si="20"/>
        <v>0.1755599188216139</v>
      </c>
      <c r="AB33" s="4247">
        <f t="shared" si="20"/>
        <v>8.2094992187512525E-2</v>
      </c>
      <c r="AC33" s="4247">
        <f t="shared" si="20"/>
        <v>0.10607528426085748</v>
      </c>
      <c r="AD33" s="4247">
        <f t="shared" si="20"/>
        <v>8.2097119547845196E-2</v>
      </c>
      <c r="AE33" s="4247">
        <f t="shared" si="20"/>
        <v>7.4575293605236459E-2</v>
      </c>
      <c r="AF33" s="4247">
        <f t="shared" si="20"/>
        <v>6.632645547640513E-2</v>
      </c>
      <c r="AH33" s="4799"/>
    </row>
    <row r="34" spans="1:34" s="766" customFormat="1">
      <c r="A34" s="4595" t="str">
        <f t="shared" si="14"/>
        <v>GAAP Operating Income</v>
      </c>
      <c r="B34" s="4247"/>
      <c r="C34" s="4247" t="str">
        <f t="shared" ref="C34:AF34" si="21">IF(C14*B14&lt;=0,"NA",(C14-B14)/ABS(B14))</f>
        <v>NA</v>
      </c>
      <c r="D34" s="4247">
        <f t="shared" si="21"/>
        <v>16.007114191900747</v>
      </c>
      <c r="E34" s="4247">
        <f t="shared" si="21"/>
        <v>0.83660291956710542</v>
      </c>
      <c r="F34" s="4247">
        <f t="shared" si="21"/>
        <v>1.4562932162212672</v>
      </c>
      <c r="G34" s="4247">
        <f t="shared" si="21"/>
        <v>1.505110604951069</v>
      </c>
      <c r="H34" s="4247">
        <f t="shared" si="21"/>
        <v>0.68463501985261599</v>
      </c>
      <c r="I34" s="4247">
        <f t="shared" si="21"/>
        <v>0.43222555743724789</v>
      </c>
      <c r="J34" s="4247">
        <f t="shared" si="21"/>
        <v>0.30437721695501602</v>
      </c>
      <c r="K34" s="4247">
        <f t="shared" si="21"/>
        <v>0.25335115408410341</v>
      </c>
      <c r="L34" s="4247">
        <f t="shared" si="21"/>
        <v>0.24900958664784509</v>
      </c>
      <c r="M34" s="4247">
        <f t="shared" si="21"/>
        <v>0.17915623193989597</v>
      </c>
      <c r="N34" s="4247">
        <f t="shared" si="21"/>
        <v>0.13004411043947067</v>
      </c>
      <c r="O34" s="4247">
        <f t="shared" si="21"/>
        <v>0.11341622090501663</v>
      </c>
      <c r="P34" s="4247">
        <f t="shared" si="21"/>
        <v>7.0960202557943261E-2</v>
      </c>
      <c r="Q34" s="4247">
        <f t="shared" si="21"/>
        <v>0.17361784675072744</v>
      </c>
      <c r="R34" s="4247">
        <f t="shared" si="21"/>
        <v>0.22500000000000001</v>
      </c>
      <c r="S34" s="4247">
        <f t="shared" si="21"/>
        <v>0.10246247259234272</v>
      </c>
      <c r="T34" s="4247">
        <f t="shared" si="21"/>
        <v>5.270404650807007E-2</v>
      </c>
      <c r="U34" s="4247">
        <f t="shared" si="21"/>
        <v>0.24367824444121494</v>
      </c>
      <c r="V34" s="4247">
        <f t="shared" si="21"/>
        <v>0.20428851041453652</v>
      </c>
      <c r="W34" s="4247">
        <f t="shared" si="21"/>
        <v>0.90942169609935963</v>
      </c>
      <c r="X34" s="4247">
        <f t="shared" si="21"/>
        <v>-4.9190741164214749E-2</v>
      </c>
      <c r="Y34" s="4247">
        <f t="shared" si="21"/>
        <v>0.12627936185564256</v>
      </c>
      <c r="Z34" s="4247">
        <f t="shared" si="21"/>
        <v>0.33332542441246604</v>
      </c>
      <c r="AA34" s="4247">
        <f t="shared" si="21"/>
        <v>0.16064014975422869</v>
      </c>
      <c r="AB34" s="4247">
        <f t="shared" si="21"/>
        <v>0.22466844959723914</v>
      </c>
      <c r="AC34" s="4247">
        <f t="shared" si="21"/>
        <v>0.11854636596846525</v>
      </c>
      <c r="AD34" s="4247">
        <f t="shared" si="21"/>
        <v>0.13812507472985033</v>
      </c>
      <c r="AE34" s="4247">
        <f t="shared" si="21"/>
        <v>0.1317713861771645</v>
      </c>
      <c r="AF34" s="4247">
        <f t="shared" si="21"/>
        <v>0.13240128075259208</v>
      </c>
      <c r="AH34" s="4799"/>
    </row>
    <row r="35" spans="1:34" s="766" customFormat="1">
      <c r="A35" s="4595" t="str">
        <f>A19</f>
        <v>GAAP EPS</v>
      </c>
      <c r="B35" s="4247"/>
      <c r="C35" s="4247" t="str">
        <f t="shared" ref="C35:AF35" si="22">IF(C19*B19&lt;=0,"NA",(C19-B19)/ABS(B19))</f>
        <v>NA</v>
      </c>
      <c r="D35" s="4247">
        <f t="shared" si="22"/>
        <v>8.9110608975482837</v>
      </c>
      <c r="E35" s="4247">
        <f t="shared" si="22"/>
        <v>-0.18622592273271629</v>
      </c>
      <c r="F35" s="4247">
        <f t="shared" si="22"/>
        <v>4.6101688746566447</v>
      </c>
      <c r="G35" s="4247">
        <f t="shared" si="22"/>
        <v>1.1053436264092416</v>
      </c>
      <c r="H35" s="4247">
        <f t="shared" si="22"/>
        <v>0.55540311781699259</v>
      </c>
      <c r="I35" s="4247">
        <f t="shared" si="22"/>
        <v>0.37370972479595249</v>
      </c>
      <c r="J35" s="4247">
        <f t="shared" si="22"/>
        <v>0.54389555247889165</v>
      </c>
      <c r="K35" s="4247">
        <f t="shared" si="22"/>
        <v>0.35308702017685734</v>
      </c>
      <c r="L35" s="4247">
        <f t="shared" si="22"/>
        <v>0.18856004178855365</v>
      </c>
      <c r="M35" s="4247">
        <f t="shared" si="22"/>
        <v>0.16701259143824032</v>
      </c>
      <c r="N35" s="4247">
        <f t="shared" si="22"/>
        <v>-0.4417525261926592</v>
      </c>
      <c r="O35" s="4247">
        <f t="shared" si="22"/>
        <v>0.17843288035152466</v>
      </c>
      <c r="P35" s="4247">
        <f t="shared" si="22"/>
        <v>-1.0005173376619193E-2</v>
      </c>
      <c r="Q35" s="4247">
        <f t="shared" si="22"/>
        <v>0.26043453499228569</v>
      </c>
      <c r="R35" s="4247">
        <f t="shared" si="22"/>
        <v>0.17068718803543148</v>
      </c>
      <c r="S35" s="4247">
        <f t="shared" si="22"/>
        <v>-0.43607032385679917</v>
      </c>
      <c r="T35" s="4247">
        <f t="shared" si="22"/>
        <v>1.9096402602400653</v>
      </c>
      <c r="U35" s="4247">
        <f t="shared" si="22"/>
        <v>0.12491716726666095</v>
      </c>
      <c r="V35" s="4247">
        <f t="shared" si="22"/>
        <v>0.19222952837170279</v>
      </c>
      <c r="W35" s="4247">
        <f t="shared" si="22"/>
        <v>0.91418935822250347</v>
      </c>
      <c r="X35" s="4247">
        <f t="shared" si="22"/>
        <v>-0.18756146392509473</v>
      </c>
      <c r="Y35" s="4247">
        <f t="shared" si="22"/>
        <v>0.27278534768192014</v>
      </c>
      <c r="Z35" s="4247">
        <f t="shared" si="22"/>
        <v>0.38656937411726805</v>
      </c>
      <c r="AA35" s="4247">
        <f t="shared" ca="1" si="22"/>
        <v>0.31693347780559278</v>
      </c>
      <c r="AB35" s="4247">
        <f t="shared" ca="1" si="22"/>
        <v>4.5668440770813216E-2</v>
      </c>
      <c r="AC35" s="4247">
        <f t="shared" ca="1" si="22"/>
        <v>0.12196143865111718</v>
      </c>
      <c r="AD35" s="4247">
        <f t="shared" ca="1" si="22"/>
        <v>0.14453419960118294</v>
      </c>
      <c r="AE35" s="4247">
        <f t="shared" ca="1" si="22"/>
        <v>0.1428285253016395</v>
      </c>
      <c r="AF35" s="4247">
        <f t="shared" ca="1" si="22"/>
        <v>0.14753404947130169</v>
      </c>
      <c r="AH35" s="4799"/>
    </row>
    <row r="36" spans="1:34" s="766" customFormat="1">
      <c r="A36" s="4603" t="str">
        <f>A22</f>
        <v>D&amp;A</v>
      </c>
      <c r="B36" s="4247"/>
      <c r="C36" s="4247" t="str">
        <f t="shared" ref="C36:AF36" si="23">IF(C22*B22&lt;=0,"NA",(C22-B22)/ABS(B22))</f>
        <v>NA</v>
      </c>
      <c r="D36" s="4247">
        <f t="shared" si="23"/>
        <v>1.0436468763220985</v>
      </c>
      <c r="E36" s="4247">
        <f t="shared" si="23"/>
        <v>1.3002104682054991</v>
      </c>
      <c r="F36" s="4247">
        <f t="shared" si="23"/>
        <v>1.3972430137849317</v>
      </c>
      <c r="G36" s="4247">
        <f t="shared" si="23"/>
        <v>0.97634169080886224</v>
      </c>
      <c r="H36" s="4247">
        <f t="shared" si="23"/>
        <v>0.84496902039872979</v>
      </c>
      <c r="I36" s="4247">
        <f t="shared" si="23"/>
        <v>0.66053413277642337</v>
      </c>
      <c r="J36" s="4247">
        <f t="shared" si="23"/>
        <v>0.55001767153271108</v>
      </c>
      <c r="K36" s="4247">
        <f t="shared" si="23"/>
        <v>1.6281893235956989E-2</v>
      </c>
      <c r="L36" s="4247">
        <f t="shared" si="23"/>
        <v>-8.4174589387446624E-2</v>
      </c>
      <c r="M36" s="4247">
        <f t="shared" si="23"/>
        <v>0.32593123209169056</v>
      </c>
      <c r="N36" s="4247">
        <f t="shared" si="23"/>
        <v>0.60021609940572662</v>
      </c>
      <c r="O36" s="4247">
        <f t="shared" si="23"/>
        <v>0.32984469952734641</v>
      </c>
      <c r="P36" s="4247">
        <f t="shared" si="23"/>
        <v>0.264026402640264</v>
      </c>
      <c r="Q36" s="4247">
        <f t="shared" si="23"/>
        <v>1.6870857601928097E-2</v>
      </c>
      <c r="R36" s="4247">
        <f t="shared" si="23"/>
        <v>0.21350977681216671</v>
      </c>
      <c r="S36" s="4247">
        <f t="shared" si="23"/>
        <v>0.12548828125</v>
      </c>
      <c r="T36" s="4247">
        <f t="shared" si="23"/>
        <v>0.30657989877078812</v>
      </c>
      <c r="U36" s="4247">
        <f t="shared" si="23"/>
        <v>0.30392916436081902</v>
      </c>
      <c r="V36" s="4247">
        <f t="shared" si="23"/>
        <v>0.16263475087004498</v>
      </c>
      <c r="W36" s="4247">
        <f t="shared" si="23"/>
        <v>-9.1698912170548291E-2</v>
      </c>
      <c r="X36" s="4247">
        <f t="shared" si="23"/>
        <v>0.28028293545534927</v>
      </c>
      <c r="Y36" s="4247">
        <f t="shared" si="23"/>
        <v>-0.13994224008036163</v>
      </c>
      <c r="Z36" s="4247">
        <f t="shared" si="23"/>
        <v>0.11767282283378348</v>
      </c>
      <c r="AA36" s="4247">
        <f t="shared" si="23"/>
        <v>0.40599559045940403</v>
      </c>
      <c r="AB36" s="4247">
        <f t="shared" si="23"/>
        <v>0.71207364906160009</v>
      </c>
      <c r="AC36" s="4247">
        <f t="shared" si="23"/>
        <v>0.37451278346068695</v>
      </c>
      <c r="AD36" s="4247">
        <f t="shared" si="23"/>
        <v>0.12651155355913751</v>
      </c>
      <c r="AE36" s="4247">
        <f t="shared" si="23"/>
        <v>8.1590772882546986E-2</v>
      </c>
      <c r="AF36" s="4247">
        <f t="shared" si="23"/>
        <v>7.374091232569896E-2</v>
      </c>
      <c r="AH36" s="4799"/>
    </row>
    <row r="37" spans="1:34" s="766" customFormat="1">
      <c r="A37" s="4603" t="str">
        <f>A23</f>
        <v>SBC</v>
      </c>
      <c r="B37" s="4247"/>
      <c r="C37" s="4247" t="str">
        <f t="shared" ref="C37:AF37" si="24">IF(C23*B23&lt;=0,"NA",(C23-B23)/ABS(B23))</f>
        <v>NA</v>
      </c>
      <c r="D37" s="4247">
        <f t="shared" si="24"/>
        <v>0.7471533554066061</v>
      </c>
      <c r="E37" s="4247">
        <f t="shared" si="24"/>
        <v>9.6013866420152532</v>
      </c>
      <c r="F37" s="4247">
        <f t="shared" si="24"/>
        <v>0.21531559419430502</v>
      </c>
      <c r="G37" s="4247">
        <f t="shared" si="24"/>
        <v>-0.27996096804976567</v>
      </c>
      <c r="H37" s="4247">
        <f t="shared" si="24"/>
        <v>1.2824202323773843</v>
      </c>
      <c r="I37" s="4247">
        <f t="shared" si="24"/>
        <v>0.89619297096703754</v>
      </c>
      <c r="J37" s="4247">
        <f t="shared" si="24"/>
        <v>0.28909360084545388</v>
      </c>
      <c r="K37" s="4247">
        <f t="shared" si="24"/>
        <v>3.9551120501962023E-2</v>
      </c>
      <c r="L37" s="4247">
        <f t="shared" si="24"/>
        <v>0.182075745626921</v>
      </c>
      <c r="M37" s="4247">
        <f t="shared" si="24"/>
        <v>0.43459302325581395</v>
      </c>
      <c r="N37" s="4247">
        <f t="shared" si="24"/>
        <v>0.25278622087132724</v>
      </c>
      <c r="O37" s="4247">
        <f t="shared" si="24"/>
        <v>0.26445612616255559</v>
      </c>
      <c r="P37" s="4247">
        <f t="shared" si="24"/>
        <v>0.33514550687559963</v>
      </c>
      <c r="Q37" s="4247">
        <f t="shared" si="24"/>
        <v>0.24622754491017965</v>
      </c>
      <c r="R37" s="4247">
        <f t="shared" si="24"/>
        <v>0.2882952142994426</v>
      </c>
      <c r="S37" s="4247">
        <f t="shared" si="24"/>
        <v>0.14560644487542893</v>
      </c>
      <c r="T37" s="4247">
        <f t="shared" si="24"/>
        <v>0.21799713504362547</v>
      </c>
      <c r="U37" s="4247">
        <f t="shared" si="24"/>
        <v>0.15406821340746285</v>
      </c>
      <c r="V37" s="4247">
        <f t="shared" si="24"/>
        <v>0.20353900314989809</v>
      </c>
      <c r="W37" s="4247">
        <f t="shared" si="24"/>
        <v>0.18358863828804556</v>
      </c>
      <c r="X37" s="4247">
        <f t="shared" si="24"/>
        <v>0.25923517169614985</v>
      </c>
      <c r="Y37" s="4247">
        <f t="shared" si="24"/>
        <v>0.16000413180456563</v>
      </c>
      <c r="Z37" s="4247">
        <f t="shared" si="24"/>
        <v>1.4470169189670526E-2</v>
      </c>
      <c r="AA37" s="4247">
        <f t="shared" si="24"/>
        <v>7.128314779992577E-2</v>
      </c>
      <c r="AB37" s="4247">
        <f t="shared" si="24"/>
        <v>0.16684333417380645</v>
      </c>
      <c r="AC37" s="4247">
        <f t="shared" si="24"/>
        <v>8.3365505133345064E-2</v>
      </c>
      <c r="AD37" s="4247">
        <f t="shared" si="24"/>
        <v>7.9433458783531682E-2</v>
      </c>
      <c r="AE37" s="4247">
        <f t="shared" si="24"/>
        <v>7.381271596631013E-2</v>
      </c>
      <c r="AF37" s="4247">
        <f t="shared" si="24"/>
        <v>7.0860062793559803E-2</v>
      </c>
      <c r="AH37" s="4799"/>
    </row>
    <row r="38" spans="1:34" s="766" customFormat="1">
      <c r="A38" s="4595" t="str">
        <f>A25</f>
        <v>Adj. EBITDA</v>
      </c>
      <c r="B38" s="4247"/>
      <c r="C38" s="4247" t="str">
        <f t="shared" ref="C38:AF38" si="25">IF(C25*B25&lt;=0,"NA",(C25-B25)/ABS(B25))</f>
        <v>NA</v>
      </c>
      <c r="D38" s="4247">
        <f t="shared" si="25"/>
        <v>5.3173545791254746</v>
      </c>
      <c r="E38" s="4247">
        <f t="shared" si="25"/>
        <v>1.6931045536603053</v>
      </c>
      <c r="F38" s="4247">
        <f t="shared" si="25"/>
        <v>1.0043399134209983</v>
      </c>
      <c r="G38" s="4247">
        <f t="shared" si="25"/>
        <v>1.0502674340010389</v>
      </c>
      <c r="H38" s="4247">
        <f t="shared" si="25"/>
        <v>0.74966270809195734</v>
      </c>
      <c r="I38" s="4247">
        <f t="shared" si="25"/>
        <v>0.50750331911297197</v>
      </c>
      <c r="J38" s="4247">
        <f t="shared" si="25"/>
        <v>0.33680456266050562</v>
      </c>
      <c r="K38" s="4247">
        <f t="shared" si="25"/>
        <v>0.189039932673427</v>
      </c>
      <c r="L38" s="4247">
        <f t="shared" si="25"/>
        <v>0.19575861129827402</v>
      </c>
      <c r="M38" s="4247">
        <f t="shared" si="25"/>
        <v>0.22145355025087426</v>
      </c>
      <c r="N38" s="4247">
        <f t="shared" si="25"/>
        <v>0.19929047115205079</v>
      </c>
      <c r="O38" s="4247">
        <f t="shared" si="25"/>
        <v>0.16606985313197364</v>
      </c>
      <c r="P38" s="4247">
        <f t="shared" si="25"/>
        <v>0.15839601228359074</v>
      </c>
      <c r="Q38" s="4247">
        <f t="shared" si="25"/>
        <v>0.13823574611956355</v>
      </c>
      <c r="R38" s="4247">
        <f t="shared" si="25"/>
        <v>0.23415243367312497</v>
      </c>
      <c r="S38" s="4247">
        <f t="shared" si="25"/>
        <v>0.18907091868829143</v>
      </c>
      <c r="T38" s="4247">
        <f t="shared" si="25"/>
        <v>0.17266997883889962</v>
      </c>
      <c r="U38" s="4247">
        <f t="shared" si="25"/>
        <v>0.14750014710785947</v>
      </c>
      <c r="V38" s="4247">
        <f t="shared" si="25"/>
        <v>0.1608293591781618</v>
      </c>
      <c r="W38" s="4247">
        <f t="shared" si="25"/>
        <v>0.56866238661797619</v>
      </c>
      <c r="X38" s="4247">
        <f t="shared" si="25"/>
        <v>3.3802367386019092E-2</v>
      </c>
      <c r="Y38" s="4247">
        <f t="shared" si="25"/>
        <v>9.3705734936258306E-2</v>
      </c>
      <c r="Z38" s="4247">
        <f t="shared" si="25"/>
        <v>0.24934413708365158</v>
      </c>
      <c r="AA38" s="4247">
        <f t="shared" si="25"/>
        <v>0.19504625971201964</v>
      </c>
      <c r="AB38" s="4247">
        <f t="shared" si="25"/>
        <v>0.25162233505074272</v>
      </c>
      <c r="AC38" s="4247">
        <f t="shared" si="25"/>
        <v>0.15600678754448075</v>
      </c>
      <c r="AD38" s="4247">
        <f t="shared" si="25"/>
        <v>0.12890414446935169</v>
      </c>
      <c r="AE38" s="4247">
        <f t="shared" si="25"/>
        <v>0.1154506265693495</v>
      </c>
      <c r="AF38" s="4247">
        <f t="shared" si="25"/>
        <v>0.11463329671185699</v>
      </c>
      <c r="AH38" s="4799"/>
    </row>
    <row r="39" spans="1:34" s="766" customFormat="1">
      <c r="A39" s="4593" t="s">
        <v>891</v>
      </c>
      <c r="B39" s="4592"/>
      <c r="C39" s="4592"/>
      <c r="D39" s="4592"/>
      <c r="E39" s="4592"/>
      <c r="F39" s="4592"/>
      <c r="G39" s="4592"/>
      <c r="H39" s="4592"/>
      <c r="I39" s="4592"/>
      <c r="J39" s="4592"/>
      <c r="K39" s="4592"/>
      <c r="L39" s="4592"/>
      <c r="M39" s="4592"/>
      <c r="N39" s="4592"/>
      <c r="O39" s="4592"/>
      <c r="P39" s="4592"/>
      <c r="Q39" s="4592"/>
      <c r="R39" s="4592"/>
      <c r="S39" s="4592"/>
      <c r="T39" s="4592"/>
      <c r="U39" s="4592"/>
      <c r="V39" s="4592"/>
      <c r="W39" s="4592"/>
      <c r="X39" s="4592"/>
      <c r="Y39" s="4592"/>
      <c r="Z39" s="4592"/>
      <c r="AA39" s="4592"/>
      <c r="AB39" s="4592"/>
      <c r="AC39" s="4592"/>
      <c r="AD39" s="4592"/>
      <c r="AE39" s="4592"/>
      <c r="AF39" s="4592"/>
      <c r="AH39" s="4798"/>
    </row>
    <row r="40" spans="1:34" s="766" customFormat="1">
      <c r="A40" s="4581" t="str">
        <f>A10</f>
        <v>Net Revenue</v>
      </c>
      <c r="B40" s="4594">
        <f t="shared" ref="B40:AB40" si="26">B10/B8</f>
        <v>1</v>
      </c>
      <c r="C40" s="4594">
        <f t="shared" si="26"/>
        <v>1</v>
      </c>
      <c r="D40" s="4594">
        <f t="shared" si="26"/>
        <v>0.78498684893107751</v>
      </c>
      <c r="E40" s="4594">
        <f t="shared" si="26"/>
        <v>0.64082080093646776</v>
      </c>
      <c r="F40" s="4594">
        <f t="shared" si="26"/>
        <v>0.61475130462811789</v>
      </c>
      <c r="G40" s="4594">
        <f t="shared" si="26"/>
        <v>0.65546610279935358</v>
      </c>
      <c r="H40" s="4594">
        <f t="shared" si="26"/>
        <v>0.68799595508385403</v>
      </c>
      <c r="I40" s="4594">
        <f t="shared" si="26"/>
        <v>0.70267065429608044</v>
      </c>
      <c r="J40" s="4594">
        <f t="shared" si="26"/>
        <v>0.72751538731530063</v>
      </c>
      <c r="K40" s="4594">
        <f t="shared" si="26"/>
        <v>0.73914295401762731</v>
      </c>
      <c r="L40" s="4594">
        <f t="shared" si="26"/>
        <v>0.75045189454657069</v>
      </c>
      <c r="M40" s="4594">
        <f t="shared" si="26"/>
        <v>0.7676296003165809</v>
      </c>
      <c r="N40" s="4594">
        <f t="shared" si="26"/>
        <v>0.76202784595668893</v>
      </c>
      <c r="O40" s="4594">
        <f t="shared" si="26"/>
        <v>0.7792107206541905</v>
      </c>
      <c r="P40" s="4594">
        <f t="shared" si="26"/>
        <v>0.79550309843790246</v>
      </c>
      <c r="Q40" s="4594">
        <f t="shared" si="26"/>
        <v>0.80873194735227838</v>
      </c>
      <c r="R40" s="4594">
        <f t="shared" si="26"/>
        <v>0.81397332506203479</v>
      </c>
      <c r="S40" s="4594">
        <f t="shared" si="26"/>
        <v>0.8045013756709215</v>
      </c>
      <c r="T40" s="4594">
        <f t="shared" si="26"/>
        <v>0.80466163325269147</v>
      </c>
      <c r="U40" s="4594">
        <f t="shared" si="26"/>
        <v>0.81410133636481585</v>
      </c>
      <c r="V40" s="4594">
        <f t="shared" si="26"/>
        <v>0.82042108838692362</v>
      </c>
      <c r="W40" s="4594">
        <f t="shared" si="26"/>
        <v>0.82313875724371888</v>
      </c>
      <c r="X40" s="4594">
        <f t="shared" si="26"/>
        <v>0.82691382992264073</v>
      </c>
      <c r="Y40" s="4594">
        <f t="shared" si="26"/>
        <v>0.83446000897870487</v>
      </c>
      <c r="Z40" s="4594">
        <f t="shared" si="26"/>
        <v>0.8431509236667829</v>
      </c>
      <c r="AA40" s="4594">
        <f t="shared" si="26"/>
        <v>0.85149743663915156</v>
      </c>
      <c r="AB40" s="4594">
        <f t="shared" si="26"/>
        <v>0.86105527967229645</v>
      </c>
      <c r="AC40" s="4594">
        <f>AC10/AC8</f>
        <v>0.86773657053367614</v>
      </c>
      <c r="AD40" s="4594">
        <f>AD10/AD8</f>
        <v>0.87307796428963791</v>
      </c>
      <c r="AE40" s="4594">
        <f>AE10/AE8</f>
        <v>0.877902391136411</v>
      </c>
      <c r="AF40" s="4594">
        <f>AF10/AF8</f>
        <v>0.8822351270238149</v>
      </c>
      <c r="AH40" s="4797"/>
    </row>
    <row r="41" spans="1:34" s="766" customFormat="1">
      <c r="A41" s="4581" t="str">
        <f>A12</f>
        <v>Gross Profit</v>
      </c>
      <c r="B41" s="4594">
        <f t="shared" ref="B41:AB41" si="27">B12/B8</f>
        <v>1</v>
      </c>
      <c r="C41" s="4594">
        <f t="shared" si="27"/>
        <v>0.82523777566935874</v>
      </c>
      <c r="D41" s="4594">
        <f t="shared" si="27"/>
        <v>0.69835588885754074</v>
      </c>
      <c r="E41" s="4594">
        <f t="shared" si="27"/>
        <v>0.5672308575965902</v>
      </c>
      <c r="F41" s="4594">
        <f t="shared" si="27"/>
        <v>0.53939658656669665</v>
      </c>
      <c r="G41" s="4594">
        <f t="shared" si="27"/>
        <v>0.58018020512954172</v>
      </c>
      <c r="H41" s="4594">
        <f t="shared" si="27"/>
        <v>0.60159735337862619</v>
      </c>
      <c r="I41" s="4594">
        <f t="shared" si="27"/>
        <v>0.59930754431153543</v>
      </c>
      <c r="J41" s="4594">
        <f t="shared" si="27"/>
        <v>0.60443732780315251</v>
      </c>
      <c r="K41" s="4594">
        <f t="shared" si="27"/>
        <v>0.62605055110104557</v>
      </c>
      <c r="L41" s="4594">
        <f t="shared" si="27"/>
        <v>0.64472562327342176</v>
      </c>
      <c r="M41" s="4594">
        <f t="shared" si="27"/>
        <v>0.65207756232686975</v>
      </c>
      <c r="N41" s="4594">
        <f t="shared" si="27"/>
        <v>0.6269249983709464</v>
      </c>
      <c r="O41" s="4594">
        <f t="shared" si="27"/>
        <v>0.60386534339595455</v>
      </c>
      <c r="P41" s="4594">
        <f t="shared" si="27"/>
        <v>0.6107483219951213</v>
      </c>
      <c r="Q41" s="4594">
        <f t="shared" si="27"/>
        <v>0.62442491565429592</v>
      </c>
      <c r="R41" s="4594">
        <f t="shared" si="27"/>
        <v>0.61075416518964909</v>
      </c>
      <c r="S41" s="4594">
        <f t="shared" si="27"/>
        <v>0.58880519597672631</v>
      </c>
      <c r="T41" s="4594">
        <f t="shared" si="27"/>
        <v>0.5647607422945643</v>
      </c>
      <c r="U41" s="4594">
        <f t="shared" si="27"/>
        <v>0.5558054331910266</v>
      </c>
      <c r="V41" s="4594">
        <f t="shared" si="27"/>
        <v>0.53578374706207854</v>
      </c>
      <c r="W41" s="4594">
        <f t="shared" si="27"/>
        <v>0.5693980290098084</v>
      </c>
      <c r="X41" s="4594">
        <f t="shared" si="27"/>
        <v>0.55379442503783116</v>
      </c>
      <c r="Y41" s="4594">
        <f t="shared" si="27"/>
        <v>0.56625047984020505</v>
      </c>
      <c r="Z41" s="4594">
        <f t="shared" si="27"/>
        <v>0.58200435406179107</v>
      </c>
      <c r="AA41" s="4594">
        <f t="shared" si="27"/>
        <v>0.59263865585889175</v>
      </c>
      <c r="AB41" s="4594">
        <f t="shared" si="27"/>
        <v>0.58919037005452624</v>
      </c>
      <c r="AC41" s="4594">
        <f>AC12/AC8</f>
        <v>0.57878029254596208</v>
      </c>
      <c r="AD41" s="4594">
        <f>AD12/AD8</f>
        <v>0.57623145643116103</v>
      </c>
      <c r="AE41" s="4594">
        <f>AE12/AE8</f>
        <v>0.57765977336775842</v>
      </c>
      <c r="AF41" s="4594">
        <f>AF12/AF8</f>
        <v>0.58139294870869396</v>
      </c>
      <c r="AH41" s="4797"/>
    </row>
    <row r="42" spans="1:34" s="766" customFormat="1">
      <c r="A42" s="4992" t="str">
        <f>A25</f>
        <v>Adj. EBITDA</v>
      </c>
      <c r="B42" s="4993">
        <f t="shared" ref="B42:AB42" si="28">B25/B8</f>
        <v>-0.77124764496545939</v>
      </c>
      <c r="C42" s="4993">
        <f t="shared" si="28"/>
        <v>0.43423275403235151</v>
      </c>
      <c r="D42" s="4993">
        <f t="shared" si="28"/>
        <v>0.53943045405316858</v>
      </c>
      <c r="E42" s="4993">
        <f t="shared" si="28"/>
        <v>0.43555303308334481</v>
      </c>
      <c r="F42" s="4993">
        <f t="shared" si="28"/>
        <v>0.4012748559758913</v>
      </c>
      <c r="G42" s="4993">
        <f t="shared" si="28"/>
        <v>0.42743575040400345</v>
      </c>
      <c r="H42" s="4993">
        <f t="shared" si="28"/>
        <v>0.43289683455325489</v>
      </c>
      <c r="I42" s="4993">
        <f t="shared" si="28"/>
        <v>0.41706067487341497</v>
      </c>
      <c r="J42" s="4993">
        <f t="shared" si="28"/>
        <v>0.42447297728205979</v>
      </c>
      <c r="K42" s="4993">
        <f t="shared" si="28"/>
        <v>0.46512837770500415</v>
      </c>
      <c r="L42" s="4993">
        <f t="shared" si="28"/>
        <v>0.44862044268612938</v>
      </c>
      <c r="M42" s="4993">
        <f t="shared" si="28"/>
        <v>0.42387547816910698</v>
      </c>
      <c r="N42" s="4993">
        <f t="shared" si="28"/>
        <v>0.41853645822020463</v>
      </c>
      <c r="O42" s="4993">
        <f t="shared" si="28"/>
        <v>0.40470829806012354</v>
      </c>
      <c r="P42" s="4993">
        <f t="shared" si="28"/>
        <v>0.39435766124755683</v>
      </c>
      <c r="Q42" s="4993">
        <f t="shared" si="28"/>
        <v>0.39507127712064438</v>
      </c>
      <c r="R42" s="4993">
        <f t="shared" si="28"/>
        <v>0.40503146047500888</v>
      </c>
      <c r="S42" s="4993">
        <f t="shared" si="28"/>
        <v>0.39218799332461324</v>
      </c>
      <c r="T42" s="4993">
        <f t="shared" si="28"/>
        <v>0.37263099423325707</v>
      </c>
      <c r="U42" s="4993">
        <f t="shared" si="28"/>
        <v>0.36144868618595427</v>
      </c>
      <c r="V42" s="4993">
        <f t="shared" si="28"/>
        <v>0.37206550263796589</v>
      </c>
      <c r="W42" s="4993">
        <f t="shared" si="28"/>
        <v>0.41349262722357427</v>
      </c>
      <c r="X42" s="4993">
        <f t="shared" si="28"/>
        <v>0.38938466107567637</v>
      </c>
      <c r="Y42" s="4993">
        <f t="shared" si="28"/>
        <v>0.39184889750613222</v>
      </c>
      <c r="Z42" s="4993">
        <f t="shared" si="28"/>
        <v>0.42993788890857043</v>
      </c>
      <c r="AA42" s="4993">
        <f t="shared" si="28"/>
        <v>0.44818888187825712</v>
      </c>
      <c r="AB42" s="4993">
        <f t="shared" si="28"/>
        <v>0.48064942804520183</v>
      </c>
      <c r="AC42" s="4993">
        <f>AC25/AC8</f>
        <v>0.49027116235152701</v>
      </c>
      <c r="AD42" s="4993">
        <f>AD25/AD8</f>
        <v>0.49433674338079298</v>
      </c>
      <c r="AE42" s="4993">
        <f>AE25/AE8</f>
        <v>0.49864855816548137</v>
      </c>
      <c r="AF42" s="4993">
        <f>AF25/AF8</f>
        <v>0.50560895129734817</v>
      </c>
      <c r="AH42" s="4797"/>
    </row>
    <row r="43" spans="1:34" s="766" customFormat="1">
      <c r="A43" s="4581" t="str">
        <f>A14</f>
        <v>GAAP Operating Income</v>
      </c>
      <c r="B43" s="4594">
        <f t="shared" ref="B43:AB43" si="29">B14/B8</f>
        <v>-0.77124764496545939</v>
      </c>
      <c r="C43" s="4594">
        <f t="shared" si="29"/>
        <v>0.1268599726934026</v>
      </c>
      <c r="D43" s="4594">
        <f t="shared" si="29"/>
        <v>0.42426076430918214</v>
      </c>
      <c r="E43" s="4594">
        <f t="shared" si="29"/>
        <v>0.23361488307113415</v>
      </c>
      <c r="F43" s="4594">
        <f t="shared" si="29"/>
        <v>0.26376079690883952</v>
      </c>
      <c r="G43" s="4594">
        <f t="shared" si="29"/>
        <v>0.343285558828129</v>
      </c>
      <c r="H43" s="4594">
        <f t="shared" si="29"/>
        <v>0.334750003229634</v>
      </c>
      <c r="I43" s="4594">
        <f t="shared" si="29"/>
        <v>0.30639986076883519</v>
      </c>
      <c r="J43" s="4594">
        <f t="shared" si="29"/>
        <v>0.30428087384810193</v>
      </c>
      <c r="K43" s="4594">
        <f t="shared" si="29"/>
        <v>0.35145827183902545</v>
      </c>
      <c r="L43" s="4594">
        <f t="shared" si="29"/>
        <v>0.35408069301865558</v>
      </c>
      <c r="M43" s="4594">
        <f t="shared" si="29"/>
        <v>0.32296530800685924</v>
      </c>
      <c r="N43" s="4594">
        <f t="shared" si="29"/>
        <v>0.30048437194552446</v>
      </c>
      <c r="O43" s="4594">
        <f t="shared" si="29"/>
        <v>0.27743655325203986</v>
      </c>
      <c r="P43" s="4594">
        <f t="shared" si="29"/>
        <v>0.24993560703625703</v>
      </c>
      <c r="Q43" s="4594">
        <f t="shared" si="29"/>
        <v>0.25817119844243824</v>
      </c>
      <c r="R43" s="4594">
        <f t="shared" si="29"/>
        <v>0.26271712158808935</v>
      </c>
      <c r="S43" s="4594">
        <f t="shared" si="29"/>
        <v>0.23585765188760091</v>
      </c>
      <c r="T43" s="4594">
        <f t="shared" si="29"/>
        <v>0.20117089000796673</v>
      </c>
      <c r="U43" s="4594">
        <f t="shared" si="29"/>
        <v>0.21148915400631421</v>
      </c>
      <c r="V43" s="4594">
        <f t="shared" si="29"/>
        <v>0.22585151785763202</v>
      </c>
      <c r="W43" s="4594">
        <f t="shared" si="29"/>
        <v>0.3055228868524319</v>
      </c>
      <c r="X43" s="4594">
        <f t="shared" si="29"/>
        <v>0.26461270842467011</v>
      </c>
      <c r="Y43" s="4594">
        <f t="shared" si="29"/>
        <v>0.27421810445226646</v>
      </c>
      <c r="Z43" s="4594">
        <f t="shared" si="29"/>
        <v>0.32109777211457696</v>
      </c>
      <c r="AA43" s="4594">
        <f t="shared" si="29"/>
        <v>0.3250914327398432</v>
      </c>
      <c r="AB43" s="4594">
        <f t="shared" si="29"/>
        <v>0.34112857535539642</v>
      </c>
      <c r="AC43" s="4594">
        <f>AC14/AC8</f>
        <v>0.33668178936706633</v>
      </c>
      <c r="AD43" s="4594">
        <f>AD14/AD8</f>
        <v>0.34224656200153802</v>
      </c>
      <c r="AE43" s="4594">
        <f>AE14/AE8</f>
        <v>0.35028305406342797</v>
      </c>
      <c r="AF43" s="4594">
        <f>AF14/AF8</f>
        <v>0.36083416695274023</v>
      </c>
      <c r="AH43" s="4797"/>
    </row>
    <row r="44" spans="1:34" s="766" customFormat="1">
      <c r="A44" s="4581" t="str">
        <f>A18</f>
        <v>GAAP Net Income</v>
      </c>
      <c r="B44" s="4594">
        <f t="shared" ref="B44:AB44" si="30">B18/B8</f>
        <v>-0.77370734770776628</v>
      </c>
      <c r="C44" s="4594">
        <f t="shared" si="30"/>
        <v>0.10155508758938298</v>
      </c>
      <c r="D44" s="4594">
        <f t="shared" si="30"/>
        <v>0.23380234261947455</v>
      </c>
      <c r="E44" s="4594">
        <f t="shared" si="30"/>
        <v>6.6352236867416911E-2</v>
      </c>
      <c r="F44" s="4594">
        <f t="shared" si="30"/>
        <v>0.18187345318906828</v>
      </c>
      <c r="G44" s="4594">
        <f t="shared" si="30"/>
        <v>0.21285138534118747</v>
      </c>
      <c r="H44" s="4594">
        <f t="shared" si="30"/>
        <v>0.20324147751462837</v>
      </c>
      <c r="I44" s="4594">
        <f t="shared" si="30"/>
        <v>0.18226814220525436</v>
      </c>
      <c r="J44" s="4594">
        <f t="shared" si="30"/>
        <v>0.21512877628690255</v>
      </c>
      <c r="K44" s="4594">
        <f t="shared" si="30"/>
        <v>0.26986427342131331</v>
      </c>
      <c r="L44" s="4594">
        <f t="shared" si="30"/>
        <v>0.2618259950206337</v>
      </c>
      <c r="M44" s="4594">
        <f t="shared" si="30"/>
        <v>0.23925603482390187</v>
      </c>
      <c r="N44" s="4594">
        <f t="shared" si="30"/>
        <v>0.22335411281739395</v>
      </c>
      <c r="O44" s="4594">
        <f t="shared" si="30"/>
        <v>0.22253642897026243</v>
      </c>
      <c r="P44" s="4594">
        <f t="shared" si="30"/>
        <v>0.18790624384479024</v>
      </c>
      <c r="Q44" s="4594">
        <f t="shared" si="30"/>
        <v>0.21023394364506795</v>
      </c>
      <c r="R44" s="4594">
        <f t="shared" si="30"/>
        <v>0.20615473236440979</v>
      </c>
      <c r="S44" s="4594">
        <f t="shared" si="30"/>
        <v>9.5331739659916107E-2</v>
      </c>
      <c r="T44" s="4594">
        <f t="shared" si="30"/>
        <v>0.22464716157843576</v>
      </c>
      <c r="U44" s="4594">
        <f t="shared" si="30"/>
        <v>0.21218112284300339</v>
      </c>
      <c r="V44" s="4594">
        <f t="shared" si="30"/>
        <v>0.22061941520980458</v>
      </c>
      <c r="W44" s="4594">
        <f t="shared" si="30"/>
        <v>0.29511677282377918</v>
      </c>
      <c r="X44" s="4594">
        <f t="shared" si="30"/>
        <v>0.21203807153261961</v>
      </c>
      <c r="Y44" s="4594">
        <f t="shared" si="30"/>
        <v>0.24006649446638517</v>
      </c>
      <c r="Z44" s="4594">
        <f t="shared" si="30"/>
        <v>0.28603671811164</v>
      </c>
      <c r="AA44" s="4594">
        <f t="shared" ca="1" si="30"/>
        <v>0.32272749972450704</v>
      </c>
      <c r="AB44" s="4594">
        <f t="shared" ca="1" si="30"/>
        <v>0.28888561685108644</v>
      </c>
      <c r="AC44" s="4594">
        <f ca="1">AC18/AC8</f>
        <v>0.28371783598758787</v>
      </c>
      <c r="AD44" s="4594">
        <f ca="1">AD18/AD8</f>
        <v>0.28748721284407708</v>
      </c>
      <c r="AE44" s="4594">
        <f ca="1">AE18/AE8</f>
        <v>0.29416330001677904</v>
      </c>
      <c r="AF44" s="4594">
        <f ca="1">AF18/AF8</f>
        <v>0.30367296525453819</v>
      </c>
      <c r="AH44" s="4797"/>
    </row>
    <row r="45" spans="1:34" s="766" customFormat="1">
      <c r="A45" s="4581"/>
      <c r="B45" s="4582"/>
      <c r="C45" s="4582"/>
      <c r="D45" s="4594"/>
      <c r="E45" s="4582"/>
      <c r="F45" s="4582"/>
      <c r="G45" s="4582"/>
      <c r="H45" s="4582"/>
      <c r="I45" s="4582"/>
      <c r="J45" s="4582"/>
      <c r="K45" s="4582"/>
      <c r="L45" s="4582"/>
      <c r="M45" s="4582"/>
      <c r="N45" s="4582"/>
      <c r="O45" s="4582"/>
      <c r="P45" s="4582"/>
      <c r="Q45" s="4582"/>
      <c r="R45" s="4582"/>
      <c r="S45" s="4582"/>
      <c r="T45" s="4582"/>
      <c r="U45" s="4582"/>
      <c r="V45" s="4582"/>
      <c r="W45" s="4582"/>
      <c r="X45" s="4582"/>
      <c r="Y45" s="4582"/>
      <c r="Z45" s="4582"/>
      <c r="AA45" s="4582"/>
      <c r="AB45" s="4582"/>
      <c r="AC45" s="4582"/>
      <c r="AD45" s="4582"/>
      <c r="AE45" s="4582"/>
      <c r="AF45" s="4582"/>
      <c r="AH45" s="4796"/>
    </row>
    <row r="46" spans="1:34" s="627" customFormat="1">
      <c r="A46" s="4584" t="s">
        <v>877</v>
      </c>
      <c r="B46" s="4583"/>
      <c r="C46" s="4583"/>
      <c r="D46" s="4583"/>
      <c r="E46" s="4583"/>
      <c r="F46" s="4583"/>
      <c r="G46" s="4583"/>
      <c r="H46" s="4583"/>
      <c r="I46" s="4583"/>
      <c r="J46" s="4583"/>
      <c r="K46" s="4583"/>
      <c r="L46" s="4583"/>
      <c r="M46" s="4583"/>
      <c r="N46" s="4583"/>
      <c r="O46" s="4583"/>
      <c r="P46" s="4583"/>
      <c r="Q46" s="4583"/>
      <c r="R46" s="4583"/>
      <c r="S46" s="4583"/>
      <c r="T46" s="4583"/>
      <c r="U46" s="4583"/>
      <c r="V46" s="4583"/>
      <c r="W46" s="4583"/>
      <c r="X46" s="4583"/>
      <c r="Y46" s="4583"/>
      <c r="Z46" s="4583"/>
      <c r="AA46" s="4583"/>
      <c r="AB46" s="4583"/>
      <c r="AC46" s="4583"/>
      <c r="AD46" s="4583"/>
      <c r="AE46" s="4583"/>
      <c r="AF46" s="4583"/>
      <c r="AH46" s="4796"/>
    </row>
    <row r="47" spans="1:34" s="766" customFormat="1">
      <c r="A47" s="4586" t="str">
        <f>A$8</f>
        <v>Gross Revenue</v>
      </c>
      <c r="B47" s="4589"/>
      <c r="C47" s="4589"/>
      <c r="D47" s="4589"/>
      <c r="E47" s="4589"/>
      <c r="F47" s="4589"/>
      <c r="G47" s="4589"/>
      <c r="H47" s="4589"/>
      <c r="I47" s="4589"/>
      <c r="J47" s="4589"/>
      <c r="K47" s="4589"/>
      <c r="L47" s="4589"/>
      <c r="M47" s="4589"/>
      <c r="N47" s="4589"/>
      <c r="O47" s="4589"/>
      <c r="P47" s="4589"/>
      <c r="Q47" s="4589"/>
      <c r="R47" s="4589"/>
      <c r="S47" s="4589"/>
      <c r="T47" s="4589">
        <f>'Revenue Drivers'!DG8</f>
        <v>85296</v>
      </c>
      <c r="U47" s="4589">
        <f>'Revenue Drivers'!DL8</f>
        <v>98115</v>
      </c>
      <c r="V47" s="4589">
        <f>'Revenue Drivers'!DQ8</f>
        <v>104062</v>
      </c>
      <c r="W47" s="4589">
        <f>'Revenue Drivers'!DV8</f>
        <v>148951</v>
      </c>
      <c r="X47" s="4589">
        <f>'Revenue Drivers'!EA8</f>
        <v>162450</v>
      </c>
      <c r="Y47" s="4589">
        <f>'Revenue Drivers'!EF8</f>
        <v>175033</v>
      </c>
      <c r="Z47" s="4589">
        <f>'Revenue Drivers'!EK8</f>
        <v>198084</v>
      </c>
      <c r="AA47" s="4589">
        <f>'Revenue Drivers'!EP8</f>
        <v>223327.33661206372</v>
      </c>
      <c r="AB47" s="4589">
        <f>'Revenue Drivers'!EU8</f>
        <v>251975.13656936973</v>
      </c>
      <c r="AC47" s="4589">
        <f>'Revenue Drivers'!EV8</f>
        <v>277172.65022630675</v>
      </c>
      <c r="AD47" s="4589">
        <f>'Revenue Drivers'!EW8</f>
        <v>302118.18874667439</v>
      </c>
      <c r="AE47" s="4589">
        <f>'Revenue Drivers'!EX8</f>
        <v>326287.64384640835</v>
      </c>
      <c r="AF47" s="4589">
        <f>'Revenue Drivers'!EY8</f>
        <v>350759.21713488898</v>
      </c>
      <c r="AH47" s="4797">
        <f>(AC47/Z47)^(1/3)-1</f>
        <v>0.11849400077106087</v>
      </c>
    </row>
    <row r="48" spans="1:34" s="766" customFormat="1">
      <c r="A48" s="4585" t="str">
        <f>A$9</f>
        <v>TAC</v>
      </c>
      <c r="B48" s="4590"/>
      <c r="C48" s="4590"/>
      <c r="D48" s="4590"/>
      <c r="E48" s="4590"/>
      <c r="F48" s="4590"/>
      <c r="G48" s="4590"/>
      <c r="H48" s="4590"/>
      <c r="I48" s="4590"/>
      <c r="J48" s="4590"/>
      <c r="K48" s="4590"/>
      <c r="L48" s="4590"/>
      <c r="M48" s="4590"/>
      <c r="N48" s="4590"/>
      <c r="O48" s="4590"/>
      <c r="P48" s="4590"/>
      <c r="Q48" s="4590"/>
      <c r="R48" s="4590"/>
      <c r="S48" s="4590"/>
      <c r="T48" s="4590">
        <f>'Revenue Drivers'!DG90</f>
        <v>12572</v>
      </c>
      <c r="U48" s="4590">
        <f>'Revenue Drivers'!DL90</f>
        <v>15156.667000000001</v>
      </c>
      <c r="V48" s="4590">
        <f>'Revenue Drivers'!DQ90</f>
        <v>16699.051800000001</v>
      </c>
      <c r="W48" s="4590">
        <f>'Revenue Drivers'!DV90</f>
        <v>23907.039499999999</v>
      </c>
      <c r="X48" s="4590">
        <f>'Revenue Drivers'!EA90</f>
        <v>26485.731099999997</v>
      </c>
      <c r="Y48" s="4590">
        <f>'Revenue Drivers'!EF90</f>
        <v>29385.2042</v>
      </c>
      <c r="Z48" s="4590">
        <f>'Revenue Drivers'!EK90</f>
        <v>34071.567199999998</v>
      </c>
      <c r="AA48" s="4590">
        <f>'Revenue Drivers'!EP90</f>
        <v>39520.33708525337</v>
      </c>
      <c r="AB48" s="4590">
        <f>'Revenue Drivers'!EU90</f>
        <v>45397.026777413805</v>
      </c>
      <c r="AC48" s="4590">
        <f>'Revenue Drivers'!EV90</f>
        <v>50722.594991414131</v>
      </c>
      <c r="AD48" s="4590">
        <f>'Revenue Drivers'!EW90</f>
        <v>56042.924012508098</v>
      </c>
      <c r="AE48" s="4590">
        <f>'Revenue Drivers'!EX90</f>
        <v>60852.645577355157</v>
      </c>
      <c r="AF48" s="4590">
        <f>'Revenue Drivers'!EY90</f>
        <v>65591.973604224244</v>
      </c>
      <c r="AH48" s="4798"/>
    </row>
    <row r="49" spans="1:34" s="766" customFormat="1">
      <c r="A49" s="4586" t="str">
        <f>A$10</f>
        <v>Net Revenue</v>
      </c>
      <c r="B49" s="4589"/>
      <c r="C49" s="4589"/>
      <c r="D49" s="4589"/>
      <c r="E49" s="4589"/>
      <c r="F49" s="4589"/>
      <c r="G49" s="4589"/>
      <c r="H49" s="4589"/>
      <c r="I49" s="4589"/>
      <c r="J49" s="4589"/>
      <c r="K49" s="4589"/>
      <c r="L49" s="4589"/>
      <c r="M49" s="4589"/>
      <c r="N49" s="4589"/>
      <c r="O49" s="4589"/>
      <c r="P49" s="4589"/>
      <c r="Q49" s="4589"/>
      <c r="R49" s="4589"/>
      <c r="S49" s="4589"/>
      <c r="T49" s="4589">
        <f>T47-T48</f>
        <v>72724</v>
      </c>
      <c r="U49" s="4589">
        <f t="shared" ref="U49:AA49" si="31">U47-U48</f>
        <v>82958.332999999999</v>
      </c>
      <c r="V49" s="4589">
        <f t="shared" si="31"/>
        <v>87362.948199999999</v>
      </c>
      <c r="W49" s="4589">
        <f t="shared" si="31"/>
        <v>125043.9605</v>
      </c>
      <c r="X49" s="4589">
        <f t="shared" si="31"/>
        <v>135964.2689</v>
      </c>
      <c r="Y49" s="4589">
        <f t="shared" si="31"/>
        <v>145647.79579999999</v>
      </c>
      <c r="Z49" s="4589">
        <f t="shared" si="31"/>
        <v>164012.43280000001</v>
      </c>
      <c r="AA49" s="4589">
        <f t="shared" si="31"/>
        <v>183806.99952681037</v>
      </c>
      <c r="AB49" s="4589">
        <f>AB47-AB48</f>
        <v>206578.10979195591</v>
      </c>
      <c r="AC49" s="4589">
        <f>AC47-AC48</f>
        <v>226450.05523489261</v>
      </c>
      <c r="AD49" s="4589">
        <f>AD47-AD48</f>
        <v>246075.2647341663</v>
      </c>
      <c r="AE49" s="4589">
        <f>AE47-AE48</f>
        <v>265434.99826905318</v>
      </c>
      <c r="AF49" s="4589">
        <f>AF47-AF48</f>
        <v>285167.24353066471</v>
      </c>
      <c r="AH49" s="4797">
        <f>(AC49/Z49)^(1/3)-1</f>
        <v>0.11352136309807781</v>
      </c>
    </row>
    <row r="50" spans="1:34" s="766" customFormat="1">
      <c r="A50" s="4585" t="str">
        <f>A$11</f>
        <v>Other Cost Of Revenues</v>
      </c>
      <c r="B50" s="4590"/>
      <c r="C50" s="4590"/>
      <c r="D50" s="4590"/>
      <c r="E50" s="4590"/>
      <c r="F50" s="4590"/>
      <c r="G50" s="4590"/>
      <c r="H50" s="4590"/>
      <c r="I50" s="4590"/>
      <c r="J50" s="4590"/>
      <c r="K50" s="4590"/>
      <c r="L50" s="4590"/>
      <c r="M50" s="4590"/>
      <c r="N50" s="4590"/>
      <c r="O50" s="4590"/>
      <c r="P50" s="4590"/>
      <c r="Q50" s="4590"/>
      <c r="R50" s="4590"/>
      <c r="S50" s="4590"/>
      <c r="T50" s="4590">
        <f>T49-T51</f>
        <v>14544.799999999996</v>
      </c>
      <c r="U50" s="4590">
        <f>U49-U51</f>
        <v>16923.499932000006</v>
      </c>
      <c r="V50" s="4590">
        <f t="shared" ref="V50:AA50" si="32">V49-V51</f>
        <v>20530.292826999997</v>
      </c>
      <c r="W50" s="4590">
        <f t="shared" si="32"/>
        <v>25544.69249999999</v>
      </c>
      <c r="X50" s="4590">
        <f t="shared" si="32"/>
        <v>31184.018899999995</v>
      </c>
      <c r="Y50" s="4590">
        <f t="shared" si="32"/>
        <v>31876.345799999996</v>
      </c>
      <c r="Z50" s="4590">
        <f t="shared" si="32"/>
        <v>36248.252800000002</v>
      </c>
      <c r="AA50" s="4590">
        <f t="shared" si="32"/>
        <v>40430.849421865452</v>
      </c>
      <c r="AB50" s="4590">
        <f>AB49-AB51</f>
        <v>45062.047250989912</v>
      </c>
      <c r="AC50" s="4590">
        <f>AC49-AC51</f>
        <v>48505.213789603673</v>
      </c>
      <c r="AD50" s="4590">
        <f>AD49-AD51</f>
        <v>51813.269370054652</v>
      </c>
      <c r="AE50" s="4590">
        <f>AE49-AE51</f>
        <v>55632.043275812612</v>
      </c>
      <c r="AF50" s="4590">
        <f>AF49-AF51</f>
        <v>59629.066912931099</v>
      </c>
      <c r="AH50" s="4798"/>
    </row>
    <row r="51" spans="1:34" s="766" customFormat="1">
      <c r="A51" s="4586" t="str">
        <f>A$12</f>
        <v>Gross Profit</v>
      </c>
      <c r="B51" s="4589"/>
      <c r="C51" s="4589"/>
      <c r="D51" s="4589"/>
      <c r="E51" s="4589"/>
      <c r="F51" s="4589"/>
      <c r="G51" s="4589"/>
      <c r="H51" s="4589"/>
      <c r="I51" s="4589"/>
      <c r="J51" s="4589"/>
      <c r="K51" s="4589"/>
      <c r="L51" s="4589"/>
      <c r="M51" s="4589"/>
      <c r="N51" s="4589"/>
      <c r="O51" s="4589"/>
      <c r="P51" s="4589"/>
      <c r="Q51" s="4589"/>
      <c r="R51" s="4589"/>
      <c r="S51" s="4589"/>
      <c r="T51" s="4589">
        <f t="shared" ref="T51:AB51" si="33">T47*T78</f>
        <v>58179.200000000004</v>
      </c>
      <c r="U51" s="4589">
        <f t="shared" si="33"/>
        <v>66034.833067999993</v>
      </c>
      <c r="V51" s="4589">
        <f t="shared" si="33"/>
        <v>66832.655373000001</v>
      </c>
      <c r="W51" s="4589">
        <f t="shared" si="33"/>
        <v>99499.268000000011</v>
      </c>
      <c r="X51" s="4589">
        <f t="shared" si="33"/>
        <v>104780.25</v>
      </c>
      <c r="Y51" s="4589">
        <f t="shared" si="33"/>
        <v>113771.45</v>
      </c>
      <c r="Z51" s="4589">
        <f t="shared" si="33"/>
        <v>127764.18000000001</v>
      </c>
      <c r="AA51" s="4589">
        <f t="shared" si="33"/>
        <v>143376.15010494491</v>
      </c>
      <c r="AB51" s="4589">
        <f t="shared" si="33"/>
        <v>161516.062540966</v>
      </c>
      <c r="AC51" s="4589">
        <f>AC47*AC78</f>
        <v>177944.84144528894</v>
      </c>
      <c r="AD51" s="4589">
        <f>AD47*AD78</f>
        <v>194261.99536411164</v>
      </c>
      <c r="AE51" s="4589">
        <f>AE47*AE78</f>
        <v>209802.95499324056</v>
      </c>
      <c r="AF51" s="4589">
        <f>AF47*AF78</f>
        <v>225538.17661773361</v>
      </c>
      <c r="AH51" s="4797">
        <f>(AC51/Z51)^(1/3)-1</f>
        <v>0.11675720605041695</v>
      </c>
    </row>
    <row r="52" spans="1:34" s="766" customFormat="1">
      <c r="A52" s="4585" t="str">
        <f>A$13</f>
        <v>GAAP Expenses</v>
      </c>
      <c r="B52" s="4590"/>
      <c r="C52" s="4590"/>
      <c r="D52" s="4590"/>
      <c r="E52" s="4590"/>
      <c r="F52" s="4590"/>
      <c r="G52" s="4590"/>
      <c r="H52" s="4590"/>
      <c r="I52" s="4590"/>
      <c r="J52" s="4590"/>
      <c r="K52" s="4590"/>
      <c r="L52" s="4590"/>
      <c r="M52" s="4590"/>
      <c r="N52" s="4590"/>
      <c r="O52" s="4590"/>
      <c r="P52" s="4590"/>
      <c r="Q52" s="4590"/>
      <c r="R52" s="4590"/>
      <c r="S52" s="4590"/>
      <c r="T52" s="4590">
        <f t="shared" ref="T52:AB52" si="34">T51-T53</f>
        <v>19380.634051116293</v>
      </c>
      <c r="U52" s="4590">
        <f t="shared" si="34"/>
        <v>22550.341025778798</v>
      </c>
      <c r="V52" s="4590">
        <f t="shared" si="34"/>
        <v>22044.135321929534</v>
      </c>
      <c r="W52" s="4590">
        <f t="shared" si="34"/>
        <v>28188.76180250106</v>
      </c>
      <c r="X52" s="4590">
        <f t="shared" si="34"/>
        <v>33923.391654118081</v>
      </c>
      <c r="Y52" s="4590">
        <f t="shared" si="34"/>
        <v>31431.667667736663</v>
      </c>
      <c r="Z52" s="4590">
        <f t="shared" si="34"/>
        <v>22334.370600751659</v>
      </c>
      <c r="AA52" s="4590">
        <f t="shared" si="34"/>
        <v>22178.717642809817</v>
      </c>
      <c r="AB52" s="4590">
        <f t="shared" si="34"/>
        <v>25511.594984441355</v>
      </c>
      <c r="AC52" s="4590">
        <f>AC51-AC53</f>
        <v>31565.301812495891</v>
      </c>
      <c r="AD52" s="4590">
        <f>AD51-AD53</f>
        <v>35249.548066675954</v>
      </c>
      <c r="AE52" s="4590">
        <f>AE51-AE53</f>
        <v>38126.605805321247</v>
      </c>
      <c r="AF52" s="4590">
        <f>AF51-AF53</f>
        <v>40915.449687238375</v>
      </c>
      <c r="AH52" s="4798"/>
    </row>
    <row r="53" spans="1:34" s="766" customFormat="1">
      <c r="A53" s="4586" t="str">
        <f>A$14</f>
        <v>GAAP Operating Income</v>
      </c>
      <c r="B53" s="4589"/>
      <c r="C53" s="4589"/>
      <c r="D53" s="4589"/>
      <c r="E53" s="4589"/>
      <c r="F53" s="4589"/>
      <c r="G53" s="4589"/>
      <c r="H53" s="4589"/>
      <c r="I53" s="4589"/>
      <c r="J53" s="4589"/>
      <c r="K53" s="4589"/>
      <c r="L53" s="4589"/>
      <c r="M53" s="4589"/>
      <c r="N53" s="4589"/>
      <c r="O53" s="4589"/>
      <c r="P53" s="4589"/>
      <c r="Q53" s="4589"/>
      <c r="R53" s="4589"/>
      <c r="S53" s="4589"/>
      <c r="T53" s="4589">
        <f t="shared" ref="T53:AB53" si="35">T62-SUM(T60:T61)</f>
        <v>38798.565948883712</v>
      </c>
      <c r="U53" s="4589">
        <f t="shared" si="35"/>
        <v>43484.492042221194</v>
      </c>
      <c r="V53" s="4589">
        <f t="shared" si="35"/>
        <v>44788.520051070467</v>
      </c>
      <c r="W53" s="4589">
        <f t="shared" si="35"/>
        <v>71310.506197498951</v>
      </c>
      <c r="X53" s="4589">
        <f t="shared" si="35"/>
        <v>70856.858345881919</v>
      </c>
      <c r="Y53" s="4589">
        <f t="shared" si="35"/>
        <v>82339.782332263334</v>
      </c>
      <c r="Z53" s="4589">
        <f t="shared" si="35"/>
        <v>105429.80939924835</v>
      </c>
      <c r="AA53" s="4589">
        <f t="shared" si="35"/>
        <v>121197.4324621351</v>
      </c>
      <c r="AB53" s="4589">
        <f t="shared" si="35"/>
        <v>136004.46755652464</v>
      </c>
      <c r="AC53" s="4589">
        <f>AC62-SUM(AC60:AC61)</f>
        <v>146379.53963279305</v>
      </c>
      <c r="AD53" s="4589">
        <f>AD62-SUM(AD60:AD61)</f>
        <v>159012.44729743569</v>
      </c>
      <c r="AE53" s="4589">
        <f>AE62-SUM(AE60:AE61)</f>
        <v>171676.34918791932</v>
      </c>
      <c r="AF53" s="4589">
        <f>AF62-SUM(AF60:AF61)</f>
        <v>184622.72693049524</v>
      </c>
      <c r="AH53" s="4797">
        <f>(AC53/Z53)^(1/3)-1</f>
        <v>0.11559266945167734</v>
      </c>
    </row>
    <row r="54" spans="1:34" s="766" customFormat="1">
      <c r="A54" s="4585" t="str">
        <f>A$15</f>
        <v>OI&amp;E</v>
      </c>
      <c r="B54" s="4590"/>
      <c r="C54" s="4590"/>
      <c r="D54" s="4590"/>
      <c r="E54" s="4590"/>
      <c r="F54" s="4590"/>
      <c r="G54" s="4590"/>
      <c r="H54" s="4590"/>
      <c r="I54" s="4590"/>
      <c r="J54" s="4590"/>
      <c r="K54" s="4590"/>
      <c r="L54" s="4590"/>
      <c r="M54" s="4590"/>
      <c r="N54" s="4590"/>
      <c r="O54" s="4590"/>
      <c r="P54" s="4590"/>
      <c r="Q54" s="4590"/>
      <c r="R54" s="4590"/>
      <c r="S54" s="4590"/>
      <c r="T54" s="4590">
        <f>T219</f>
        <v>3132</v>
      </c>
      <c r="U54" s="4590">
        <f t="shared" ref="U54:AB54" si="36">U219</f>
        <v>3071</v>
      </c>
      <c r="V54" s="4590">
        <f t="shared" si="36"/>
        <v>1875</v>
      </c>
      <c r="W54" s="4590">
        <f t="shared" si="36"/>
        <v>1548</v>
      </c>
      <c r="X54" s="4590">
        <f t="shared" si="36"/>
        <v>-857</v>
      </c>
      <c r="Y54" s="4590">
        <f t="shared" si="36"/>
        <v>775</v>
      </c>
      <c r="Z54" s="4590">
        <f t="shared" si="36"/>
        <v>3493</v>
      </c>
      <c r="AA54" s="4590">
        <f t="shared" ca="1" si="36"/>
        <v>6073.7837648784771</v>
      </c>
      <c r="AB54" s="4590">
        <f t="shared" ca="1" si="36"/>
        <v>3243.6374026932308</v>
      </c>
      <c r="AC54" s="4590">
        <f ca="1">AC219</f>
        <v>2731.6578810745086</v>
      </c>
      <c r="AD54" s="4590">
        <f ca="1">AD219</f>
        <v>2450.3180952969096</v>
      </c>
      <c r="AE54" s="4590">
        <f ca="1">AE219</f>
        <v>2714.1655529124491</v>
      </c>
      <c r="AF54" s="4590">
        <f ca="1">AF219</f>
        <v>3638.3158607230607</v>
      </c>
      <c r="AH54" s="4798"/>
    </row>
    <row r="55" spans="1:34" s="766" customFormat="1">
      <c r="A55" s="4586" t="str">
        <f>A$16</f>
        <v>Profit Before Tax</v>
      </c>
      <c r="B55" s="4589"/>
      <c r="C55" s="4589"/>
      <c r="D55" s="4589"/>
      <c r="E55" s="4589"/>
      <c r="F55" s="4589"/>
      <c r="G55" s="4589"/>
      <c r="H55" s="4589"/>
      <c r="I55" s="4589"/>
      <c r="J55" s="4589"/>
      <c r="K55" s="4589"/>
      <c r="L55" s="4589"/>
      <c r="M55" s="4589"/>
      <c r="N55" s="4589"/>
      <c r="O55" s="4589"/>
      <c r="P55" s="4589"/>
      <c r="Q55" s="4589"/>
      <c r="R55" s="4589"/>
      <c r="S55" s="4589"/>
      <c r="T55" s="4589">
        <f>T53+T54</f>
        <v>41930.565948883712</v>
      </c>
      <c r="U55" s="4589">
        <f>U53+U54</f>
        <v>46555.492042221194</v>
      </c>
      <c r="V55" s="4589">
        <f t="shared" ref="V55:AA55" si="37">V53+V54</f>
        <v>46663.520051070467</v>
      </c>
      <c r="W55" s="4589">
        <f t="shared" si="37"/>
        <v>72858.506197498951</v>
      </c>
      <c r="X55" s="4589">
        <f t="shared" si="37"/>
        <v>69999.858345881919</v>
      </c>
      <c r="Y55" s="4589">
        <f t="shared" si="37"/>
        <v>83114.782332263334</v>
      </c>
      <c r="Z55" s="4589">
        <f t="shared" si="37"/>
        <v>108922.80939924835</v>
      </c>
      <c r="AA55" s="4589">
        <f t="shared" ca="1" si="37"/>
        <v>127271.21622701357</v>
      </c>
      <c r="AB55" s="4589">
        <f ca="1">AB53+AB54</f>
        <v>139248.10495921786</v>
      </c>
      <c r="AC55" s="4589">
        <f ca="1">AC53+AC54</f>
        <v>149111.19751386755</v>
      </c>
      <c r="AD55" s="4589">
        <f ca="1">AD53+AD54</f>
        <v>161462.7653927326</v>
      </c>
      <c r="AE55" s="4589">
        <f ca="1">AE53+AE54</f>
        <v>174390.51474083177</v>
      </c>
      <c r="AF55" s="4589">
        <f ca="1">AF53+AF54</f>
        <v>188261.04279121829</v>
      </c>
      <c r="AH55" s="4797">
        <f ca="1">(AC55/Z55)^(1/3)-1</f>
        <v>0.11035999916287564</v>
      </c>
    </row>
    <row r="56" spans="1:34" s="766" customFormat="1">
      <c r="A56" s="4585" t="str">
        <f>A$17</f>
        <v>Income Tax</v>
      </c>
      <c r="B56" s="4590"/>
      <c r="C56" s="4590"/>
      <c r="D56" s="4590"/>
      <c r="E56" s="4590"/>
      <c r="F56" s="4590"/>
      <c r="G56" s="4590"/>
      <c r="H56" s="4590"/>
      <c r="I56" s="4590"/>
      <c r="J56" s="4590"/>
      <c r="K56" s="4590"/>
      <c r="L56" s="4590"/>
      <c r="M56" s="4590"/>
      <c r="N56" s="4590"/>
      <c r="O56" s="4590"/>
      <c r="P56" s="4590"/>
      <c r="Q56" s="4590"/>
      <c r="R56" s="4590"/>
      <c r="S56" s="4590"/>
      <c r="T56" s="4590">
        <f>T221*T413/SUM(T413:T416)</f>
        <v>3785.3416751710056</v>
      </c>
      <c r="U56" s="4590">
        <f t="shared" ref="U56:AB56" si="38">U221*U413/SUM(U413:U416)</f>
        <v>4722.6062793741576</v>
      </c>
      <c r="V56" s="4590">
        <f t="shared" si="38"/>
        <v>6454.9509066591154</v>
      </c>
      <c r="W56" s="4590">
        <f t="shared" si="38"/>
        <v>11943.497988508389</v>
      </c>
      <c r="X56" s="4590">
        <f t="shared" si="38"/>
        <v>9712.8417117841072</v>
      </c>
      <c r="Y56" s="4590">
        <f t="shared" si="38"/>
        <v>10254.203377368431</v>
      </c>
      <c r="Z56" s="4590">
        <f t="shared" si="38"/>
        <v>17197.189527854327</v>
      </c>
      <c r="AA56" s="4590">
        <f t="shared" ca="1" si="38"/>
        <v>25159.002870401571</v>
      </c>
      <c r="AB56" s="4590">
        <f t="shared" ca="1" si="38"/>
        <v>23075.992440793754</v>
      </c>
      <c r="AC56" s="4590">
        <f ca="1">AC221*AC413/SUM(AC413:AC416)</f>
        <v>25127.035971003501</v>
      </c>
      <c r="AD56" s="4590">
        <f ca="1">AD221*AD413/SUM(AD413:AD416)</f>
        <v>28427.284370434754</v>
      </c>
      <c r="AE56" s="4590">
        <f ca="1">AE221*AE413/SUM(AE413:AE416)</f>
        <v>32187.332222454992</v>
      </c>
      <c r="AF56" s="4590">
        <f ca="1">AF221*AF413/SUM(AF413:AF416)</f>
        <v>36536.713989488147</v>
      </c>
      <c r="AH56" s="4798"/>
    </row>
    <row r="57" spans="1:34" s="766" customFormat="1">
      <c r="A57" s="4586" t="str">
        <f>A$18</f>
        <v>GAAP Net Income</v>
      </c>
      <c r="B57" s="4589"/>
      <c r="C57" s="4589"/>
      <c r="D57" s="4589"/>
      <c r="E57" s="4589"/>
      <c r="F57" s="4589"/>
      <c r="G57" s="4589"/>
      <c r="H57" s="4589"/>
      <c r="I57" s="4589"/>
      <c r="J57" s="4589"/>
      <c r="K57" s="4589"/>
      <c r="L57" s="4589"/>
      <c r="M57" s="4589"/>
      <c r="N57" s="4589"/>
      <c r="O57" s="4589"/>
      <c r="P57" s="4589"/>
      <c r="Q57" s="4589"/>
      <c r="R57" s="4589"/>
      <c r="S57" s="4589"/>
      <c r="T57" s="4589">
        <f>T55-T56</f>
        <v>38145.224273712709</v>
      </c>
      <c r="U57" s="4589">
        <f t="shared" ref="U57:AA57" si="39">U55-U56</f>
        <v>41832.885762847036</v>
      </c>
      <c r="V57" s="4589">
        <f t="shared" si="39"/>
        <v>40208.569144411355</v>
      </c>
      <c r="W57" s="4589">
        <f t="shared" si="39"/>
        <v>60915.008208990563</v>
      </c>
      <c r="X57" s="4589">
        <f t="shared" si="39"/>
        <v>60287.01663409781</v>
      </c>
      <c r="Y57" s="4589">
        <f t="shared" si="39"/>
        <v>72860.578954894911</v>
      </c>
      <c r="Z57" s="4589">
        <f t="shared" si="39"/>
        <v>91725.619871394025</v>
      </c>
      <c r="AA57" s="4589">
        <f t="shared" ca="1" si="39"/>
        <v>102112.213356612</v>
      </c>
      <c r="AB57" s="4589">
        <f ca="1">AB55-AB56</f>
        <v>116172.11251842411</v>
      </c>
      <c r="AC57" s="4589">
        <f ca="1">AC55-AC56</f>
        <v>123984.16154286405</v>
      </c>
      <c r="AD57" s="4589">
        <f ca="1">AD55-AD56</f>
        <v>133035.48102229784</v>
      </c>
      <c r="AE57" s="4589">
        <f ca="1">AE55-AE56</f>
        <v>142203.18251837679</v>
      </c>
      <c r="AF57" s="4589">
        <f ca="1">AF55-AF56</f>
        <v>151724.32880173015</v>
      </c>
      <c r="AH57" s="4797">
        <f ca="1">(AC57/Z57)^(1/3)-1</f>
        <v>0.10566913079945506</v>
      </c>
    </row>
    <row r="58" spans="1:34" s="766" customFormat="1">
      <c r="A58" s="4586" t="str">
        <f>A$19</f>
        <v>GAAP EPS</v>
      </c>
      <c r="B58" s="4591"/>
      <c r="C58" s="4591"/>
      <c r="D58" s="4591"/>
      <c r="E58" s="4591"/>
      <c r="F58" s="4591"/>
      <c r="G58" s="4591"/>
      <c r="H58" s="4591"/>
      <c r="I58" s="4591"/>
      <c r="J58" s="4591"/>
      <c r="K58" s="4591"/>
      <c r="L58" s="4591"/>
      <c r="M58" s="4591"/>
      <c r="N58" s="4591"/>
      <c r="O58" s="4591"/>
      <c r="P58" s="4591"/>
      <c r="Q58" s="4591"/>
      <c r="R58" s="4591"/>
      <c r="S58" s="4591"/>
      <c r="T58" s="4591">
        <f>T57/T$20</f>
        <v>2.7119331304789922</v>
      </c>
      <c r="U58" s="4591">
        <f t="shared" ref="U58:AA58" si="40">U57/U$20</f>
        <v>2.9942378148973661</v>
      </c>
      <c r="V58" s="4591">
        <f t="shared" si="40"/>
        <v>2.9262696553677312</v>
      </c>
      <c r="W58" s="4591">
        <f t="shared" si="40"/>
        <v>4.4944199335587784</v>
      </c>
      <c r="X58" s="4591">
        <f t="shared" si="40"/>
        <v>4.5816007695477419</v>
      </c>
      <c r="Y58" s="4591">
        <f t="shared" si="40"/>
        <v>5.7274700956977425</v>
      </c>
      <c r="Z58" s="4591">
        <f t="shared" si="40"/>
        <v>7.3691473917045149</v>
      </c>
      <c r="AA58" s="4591">
        <f t="shared" ca="1" si="40"/>
        <v>8.3526555273756422</v>
      </c>
      <c r="AB58" s="4591">
        <f ca="1">AB57/AB$20</f>
        <v>9.5114530602439586</v>
      </c>
      <c r="AC58" s="4591">
        <f ca="1">AC57/AC$20</f>
        <v>10.232362986666644</v>
      </c>
      <c r="AD58" s="4591">
        <f ca="1">AD57/AD$20</f>
        <v>11.076525949329575</v>
      </c>
      <c r="AE58" s="4591">
        <f ca="1">AE57/AE$20</f>
        <v>11.95853117922641</v>
      </c>
      <c r="AF58" s="4591">
        <f ca="1">AF57/AF$20</f>
        <v>12.902083929555561</v>
      </c>
      <c r="AH58" s="4797">
        <f ca="1">(AC58/Z58)^(1/3)-1</f>
        <v>0.11562840941044028</v>
      </c>
    </row>
    <row r="59" spans="1:34" s="766" customFormat="1">
      <c r="A59" s="4581"/>
      <c r="B59" s="4582"/>
      <c r="C59" s="4582"/>
      <c r="D59" s="4582"/>
      <c r="E59" s="4582"/>
      <c r="F59" s="4582"/>
      <c r="G59" s="4582"/>
      <c r="H59" s="4582"/>
      <c r="I59" s="4582"/>
      <c r="J59" s="4582"/>
      <c r="K59" s="4582"/>
      <c r="L59" s="4582"/>
      <c r="M59" s="4582"/>
      <c r="N59" s="4582"/>
      <c r="O59" s="4582"/>
      <c r="P59" s="4582"/>
      <c r="Q59" s="4582"/>
      <c r="R59" s="4582"/>
      <c r="S59" s="4582"/>
      <c r="T59" s="4582"/>
      <c r="U59" s="4582"/>
      <c r="V59" s="4582"/>
      <c r="W59" s="4582"/>
      <c r="X59" s="4582"/>
      <c r="Y59" s="4582"/>
      <c r="Z59" s="4582"/>
      <c r="AA59" s="4582"/>
      <c r="AB59" s="4582"/>
      <c r="AC59" s="4582"/>
      <c r="AD59" s="4582"/>
      <c r="AE59" s="4582"/>
      <c r="AF59" s="4582"/>
      <c r="AH59" s="4796"/>
    </row>
    <row r="60" spans="1:34" s="766" customFormat="1">
      <c r="A60" s="4585" t="str">
        <f>A$22</f>
        <v>D&amp;A</v>
      </c>
      <c r="B60" s="4590"/>
      <c r="C60" s="4590"/>
      <c r="D60" s="4590"/>
      <c r="E60" s="4590"/>
      <c r="F60" s="4590"/>
      <c r="G60" s="4590"/>
      <c r="H60" s="4590"/>
      <c r="I60" s="4590"/>
      <c r="J60" s="4590"/>
      <c r="K60" s="4590"/>
      <c r="L60" s="4590"/>
      <c r="M60" s="4590"/>
      <c r="N60" s="4590"/>
      <c r="O60" s="4590"/>
      <c r="P60" s="4590"/>
      <c r="Q60" s="4590"/>
      <c r="R60" s="4590"/>
      <c r="S60" s="4590"/>
      <c r="T60" s="4590">
        <f>T225*T359/SUM(T359:T362)</f>
        <v>4669.4892271527387</v>
      </c>
      <c r="U60" s="4590">
        <f t="shared" ref="U60:AB60" si="41">U225*U359/SUM(U359:U362)</f>
        <v>5576.3133661286711</v>
      </c>
      <c r="V60" s="4590">
        <f t="shared" si="41"/>
        <v>5878.2402480187484</v>
      </c>
      <c r="W60" s="4590">
        <f t="shared" si="41"/>
        <v>5415.391722759894</v>
      </c>
      <c r="X60" s="4590">
        <f t="shared" si="41"/>
        <v>6942.2400102945312</v>
      </c>
      <c r="Y60" s="4590">
        <f t="shared" si="41"/>
        <v>6088.8659738445422</v>
      </c>
      <c r="Z60" s="4590">
        <f t="shared" si="41"/>
        <v>6880.8683078007343</v>
      </c>
      <c r="AA60" s="4590">
        <f t="shared" si="41"/>
        <v>9123.8241666200429</v>
      </c>
      <c r="AB60" s="4590">
        <f t="shared" si="41"/>
        <v>12682.00243503081</v>
      </c>
      <c r="AC60" s="4590">
        <f>AC225*AC359/SUM(AC359:AC362)</f>
        <v>16303.947120820058</v>
      </c>
      <c r="AD60" s="4590">
        <f>AD225*AD359/SUM(AD359:AD362)</f>
        <v>18032.185728512184</v>
      </c>
      <c r="AE60" s="4590">
        <f>AE225*AE359/SUM(AE359:AE362)</f>
        <v>19337.932435236187</v>
      </c>
      <c r="AF60" s="4590">
        <f>AF225*AF359/SUM(AF359:AF362)</f>
        <v>20560.940747496537</v>
      </c>
      <c r="AH60" s="4798"/>
    </row>
    <row r="61" spans="1:34" s="766" customFormat="1">
      <c r="A61" s="4585" t="str">
        <f>A$23</f>
        <v>SBC</v>
      </c>
      <c r="B61" s="4590"/>
      <c r="C61" s="4590"/>
      <c r="D61" s="4590"/>
      <c r="E61" s="4590"/>
      <c r="F61" s="4590"/>
      <c r="G61" s="4590"/>
      <c r="H61" s="4590"/>
      <c r="I61" s="4590"/>
      <c r="J61" s="4590"/>
      <c r="K61" s="4590"/>
      <c r="L61" s="4590"/>
      <c r="M61" s="4590"/>
      <c r="N61" s="4590"/>
      <c r="O61" s="4590"/>
      <c r="P61" s="4590"/>
      <c r="Q61" s="4590"/>
      <c r="R61" s="4590"/>
      <c r="S61" s="4590"/>
      <c r="T61" s="4590">
        <f>T226*T377/SUM(T377:T380)</f>
        <v>6003.6248239635415</v>
      </c>
      <c r="U61" s="4590">
        <f t="shared" ref="U61:AB61" si="42">U226*U377/SUM(U377:U380)</f>
        <v>6864.7445916501301</v>
      </c>
      <c r="V61" s="4590">
        <f t="shared" si="42"/>
        <v>7607.9597009107938</v>
      </c>
      <c r="W61" s="4590">
        <f t="shared" si="42"/>
        <v>8623.0250797411445</v>
      </c>
      <c r="X61" s="4590">
        <f t="shared" si="42"/>
        <v>10898.601643823562</v>
      </c>
      <c r="Y61" s="4590">
        <f t="shared" si="42"/>
        <v>12565.392693892125</v>
      </c>
      <c r="Z61" s="4590">
        <f t="shared" si="42"/>
        <v>12482.242292950916</v>
      </c>
      <c r="AA61" s="4590">
        <f t="shared" si="42"/>
        <v>13054.893476189776</v>
      </c>
      <c r="AB61" s="4590">
        <f t="shared" si="42"/>
        <v>15097.368778534892</v>
      </c>
      <c r="AC61" s="4590">
        <f>AC226*AC377/SUM(AC377:AC380)</f>
        <v>16647.217942807372</v>
      </c>
      <c r="AD61" s="4590">
        <f>AD226*AD377/SUM(AD377:AD380)</f>
        <v>18425.835093150461</v>
      </c>
      <c r="AE61" s="4590">
        <f>AE226*AE377/SUM(AE377:AE380)</f>
        <v>20093.823945470696</v>
      </c>
      <c r="AF61" s="4590">
        <f>AF226*AF377/SUM(AF377:AF380)</f>
        <v>21757.545808281411</v>
      </c>
      <c r="AH61" s="4798"/>
    </row>
    <row r="62" spans="1:34" s="766" customFormat="1">
      <c r="A62" s="4586" t="str">
        <f>A$25</f>
        <v>Adj. EBITDA</v>
      </c>
      <c r="B62" s="4589"/>
      <c r="C62" s="4589"/>
      <c r="D62" s="4589"/>
      <c r="E62" s="4589"/>
      <c r="F62" s="4589"/>
      <c r="G62" s="4589"/>
      <c r="H62" s="4589"/>
      <c r="I62" s="4589"/>
      <c r="J62" s="4589"/>
      <c r="K62" s="4589"/>
      <c r="L62" s="4589"/>
      <c r="M62" s="4589"/>
      <c r="N62" s="4589"/>
      <c r="O62" s="4589"/>
      <c r="P62" s="4589"/>
      <c r="Q62" s="4589"/>
      <c r="R62" s="4589"/>
      <c r="S62" s="4589"/>
      <c r="T62" s="4589">
        <f t="shared" ref="T62:AB62" si="43">T47*T79</f>
        <v>49471.679999999993</v>
      </c>
      <c r="U62" s="4589">
        <f t="shared" si="43"/>
        <v>55925.549999999996</v>
      </c>
      <c r="V62" s="4589">
        <f t="shared" si="43"/>
        <v>58274.720000000008</v>
      </c>
      <c r="W62" s="4589">
        <f t="shared" si="43"/>
        <v>85348.922999999995</v>
      </c>
      <c r="X62" s="4589">
        <f t="shared" si="43"/>
        <v>88697.700000000012</v>
      </c>
      <c r="Y62" s="4589">
        <f t="shared" si="43"/>
        <v>100994.041</v>
      </c>
      <c r="Z62" s="4589">
        <f t="shared" si="43"/>
        <v>124792.92</v>
      </c>
      <c r="AA62" s="4589">
        <f t="shared" si="43"/>
        <v>143376.15010494491</v>
      </c>
      <c r="AB62" s="4589">
        <f t="shared" si="43"/>
        <v>163783.83877009034</v>
      </c>
      <c r="AC62" s="4589">
        <f>AC47*AC79</f>
        <v>179330.70469642046</v>
      </c>
      <c r="AD62" s="4589">
        <f>AD47*AD79</f>
        <v>195470.46811909834</v>
      </c>
      <c r="AE62" s="4589">
        <f>AE47*AE79</f>
        <v>211108.1055686262</v>
      </c>
      <c r="AF62" s="4589">
        <f>AF47*AF79</f>
        <v>226941.21348627319</v>
      </c>
      <c r="AH62" s="4797">
        <f>(AC62/Z62)^(1/3)-1</f>
        <v>0.12846536994203928</v>
      </c>
    </row>
    <row r="63" spans="1:34" s="766" customFormat="1">
      <c r="A63" s="4581"/>
      <c r="B63" s="4582"/>
      <c r="C63" s="4582"/>
      <c r="D63" s="4582"/>
      <c r="E63" s="4582"/>
      <c r="F63" s="4582"/>
      <c r="G63" s="4582"/>
      <c r="H63" s="4582"/>
      <c r="I63" s="4582"/>
      <c r="J63" s="4582"/>
      <c r="K63" s="4582"/>
      <c r="L63" s="4582"/>
      <c r="M63" s="4582"/>
      <c r="N63" s="4582"/>
      <c r="O63" s="4582"/>
      <c r="P63" s="4582"/>
      <c r="Q63" s="4582"/>
      <c r="R63" s="4582"/>
      <c r="S63" s="4582"/>
      <c r="T63" s="4582"/>
      <c r="U63" s="4582"/>
      <c r="V63" s="4582"/>
      <c r="W63" s="4582"/>
      <c r="X63" s="4582"/>
      <c r="Y63" s="4582"/>
      <c r="Z63" s="4582"/>
      <c r="AA63" s="4582"/>
      <c r="AB63" s="4582"/>
      <c r="AC63" s="4582"/>
      <c r="AD63" s="4582"/>
      <c r="AE63" s="4582"/>
      <c r="AF63" s="4582"/>
      <c r="AH63" s="4796"/>
    </row>
    <row r="64" spans="1:34" s="766" customFormat="1">
      <c r="A64" s="4596" t="s">
        <v>892</v>
      </c>
      <c r="B64" s="4592"/>
      <c r="C64" s="4592"/>
      <c r="D64" s="4592"/>
      <c r="E64" s="4592"/>
      <c r="F64" s="4592"/>
      <c r="G64" s="4592"/>
      <c r="H64" s="4592"/>
      <c r="I64" s="4592"/>
      <c r="J64" s="4592"/>
      <c r="K64" s="4592"/>
      <c r="L64" s="4592"/>
      <c r="M64" s="4592"/>
      <c r="N64" s="4592"/>
      <c r="O64" s="4592"/>
      <c r="P64" s="4592"/>
      <c r="Q64" s="4592"/>
      <c r="R64" s="4592"/>
      <c r="S64" s="4592"/>
      <c r="T64" s="4592"/>
      <c r="U64" s="5800"/>
      <c r="V64" s="5800"/>
      <c r="W64" s="5800"/>
      <c r="X64" s="5800"/>
      <c r="Y64" s="5800"/>
      <c r="Z64" s="5800"/>
      <c r="AA64" s="5800"/>
      <c r="AB64" s="5800"/>
      <c r="AC64" s="5800"/>
      <c r="AD64" s="5800"/>
      <c r="AE64" s="5800"/>
      <c r="AF64" s="5800"/>
      <c r="AH64" s="4798"/>
    </row>
    <row r="65" spans="1:34" s="766" customFormat="1">
      <c r="A65" s="4595" t="str">
        <f t="shared" ref="A65:A71" si="44">A47</f>
        <v>Gross Revenue</v>
      </c>
      <c r="B65" s="4247"/>
      <c r="C65" s="4247"/>
      <c r="D65" s="4247"/>
      <c r="E65" s="4247"/>
      <c r="F65" s="4247"/>
      <c r="G65" s="4247"/>
      <c r="H65" s="4247"/>
      <c r="I65" s="4247"/>
      <c r="J65" s="4247"/>
      <c r="K65" s="4247"/>
      <c r="L65" s="4247"/>
      <c r="M65" s="4247"/>
      <c r="N65" s="4247"/>
      <c r="O65" s="4247"/>
      <c r="P65" s="4247"/>
      <c r="Q65" s="4247"/>
      <c r="R65" s="4247"/>
      <c r="S65" s="4247"/>
      <c r="T65" s="4247" t="str">
        <f t="shared" ref="T65:AF65" si="45">IF(T47*S47&lt;=0,"NA",(T47-S47)/ABS(S47))</f>
        <v>NA</v>
      </c>
      <c r="U65" s="4247">
        <f t="shared" si="45"/>
        <v>0.15028840742824986</v>
      </c>
      <c r="V65" s="4247">
        <f t="shared" si="45"/>
        <v>6.0612546501554301E-2</v>
      </c>
      <c r="W65" s="4247">
        <f t="shared" si="45"/>
        <v>0.43136783840402837</v>
      </c>
      <c r="X65" s="4247">
        <f t="shared" si="45"/>
        <v>9.0627118985438168E-2</v>
      </c>
      <c r="Y65" s="4247">
        <f t="shared" si="45"/>
        <v>7.7457679285934139E-2</v>
      </c>
      <c r="Z65" s="4247">
        <f t="shared" si="45"/>
        <v>0.13169516605440118</v>
      </c>
      <c r="AA65" s="4247">
        <f t="shared" si="45"/>
        <v>0.12743753464219079</v>
      </c>
      <c r="AB65" s="4247">
        <f t="shared" si="45"/>
        <v>0.12827717552137102</v>
      </c>
      <c r="AC65" s="4247">
        <f t="shared" si="45"/>
        <v>0.1000000000000002</v>
      </c>
      <c r="AD65" s="4247">
        <f t="shared" si="45"/>
        <v>9.0000000000000122E-2</v>
      </c>
      <c r="AE65" s="4247">
        <f t="shared" si="45"/>
        <v>0.08</v>
      </c>
      <c r="AF65" s="4247">
        <f t="shared" si="45"/>
        <v>7.5000000000000025E-2</v>
      </c>
      <c r="AH65" s="4799"/>
    </row>
    <row r="66" spans="1:34" s="766" customFormat="1">
      <c r="A66" s="4603" t="str">
        <f t="shared" si="44"/>
        <v>TAC</v>
      </c>
      <c r="B66" s="4247"/>
      <c r="C66" s="4247"/>
      <c r="D66" s="4247"/>
      <c r="E66" s="4247"/>
      <c r="F66" s="4247"/>
      <c r="G66" s="4247"/>
      <c r="H66" s="4247"/>
      <c r="I66" s="4247"/>
      <c r="J66" s="4247"/>
      <c r="K66" s="4247"/>
      <c r="L66" s="4247"/>
      <c r="M66" s="4247"/>
      <c r="N66" s="4247"/>
      <c r="O66" s="4247"/>
      <c r="P66" s="4247"/>
      <c r="Q66" s="4247"/>
      <c r="R66" s="4247"/>
      <c r="S66" s="4247"/>
      <c r="T66" s="4247" t="str">
        <f t="shared" ref="T66:AF66" si="46">IF(T48*S48&lt;=0,"NA",(T48-S48)/ABS(S48))</f>
        <v>NA</v>
      </c>
      <c r="U66" s="4247">
        <f t="shared" si="46"/>
        <v>0.2055891664015273</v>
      </c>
      <c r="V66" s="4247">
        <f t="shared" si="46"/>
        <v>0.1017627952108468</v>
      </c>
      <c r="W66" s="4247">
        <f t="shared" si="46"/>
        <v>0.43164053781784167</v>
      </c>
      <c r="X66" s="4247">
        <f t="shared" si="46"/>
        <v>0.1078632760028693</v>
      </c>
      <c r="Y66" s="4247">
        <f t="shared" si="46"/>
        <v>0.10947302489225993</v>
      </c>
      <c r="Z66" s="4247">
        <f t="shared" si="46"/>
        <v>0.15948036188906245</v>
      </c>
      <c r="AA66" s="4247">
        <f t="shared" si="46"/>
        <v>0.15992131660011732</v>
      </c>
      <c r="AB66" s="4247">
        <f t="shared" si="46"/>
        <v>0.14870039391322057</v>
      </c>
      <c r="AC66" s="4247">
        <f t="shared" si="46"/>
        <v>0.11731094725899394</v>
      </c>
      <c r="AD66" s="4247">
        <f t="shared" si="46"/>
        <v>0.10489071038251384</v>
      </c>
      <c r="AE66" s="4247">
        <f t="shared" si="46"/>
        <v>8.5822102425876068E-2</v>
      </c>
      <c r="AF66" s="4247">
        <f t="shared" si="46"/>
        <v>7.7882037533512152E-2</v>
      </c>
      <c r="AH66" s="4799"/>
    </row>
    <row r="67" spans="1:34" s="766" customFormat="1">
      <c r="A67" s="4595" t="str">
        <f t="shared" si="44"/>
        <v>Net Revenue</v>
      </c>
      <c r="B67" s="4247"/>
      <c r="C67" s="4247"/>
      <c r="D67" s="4247"/>
      <c r="E67" s="4247"/>
      <c r="F67" s="4247"/>
      <c r="G67" s="4247"/>
      <c r="H67" s="4247"/>
      <c r="I67" s="4247"/>
      <c r="J67" s="4247"/>
      <c r="K67" s="4247"/>
      <c r="L67" s="4247"/>
      <c r="M67" s="4247"/>
      <c r="N67" s="4247"/>
      <c r="O67" s="4247"/>
      <c r="P67" s="4247"/>
      <c r="Q67" s="4247"/>
      <c r="R67" s="4247"/>
      <c r="S67" s="4247"/>
      <c r="T67" s="4247" t="str">
        <f t="shared" ref="T67:AF67" si="47">IF(T49*S49&lt;=0,"NA",(T49-S49)/ABS(S49))</f>
        <v>NA</v>
      </c>
      <c r="U67" s="4247">
        <f t="shared" si="47"/>
        <v>0.14072841152851875</v>
      </c>
      <c r="V67" s="4247">
        <f t="shared" si="47"/>
        <v>5.3094306993849552E-2</v>
      </c>
      <c r="W67" s="4247">
        <f t="shared" si="47"/>
        <v>0.43131571308395933</v>
      </c>
      <c r="X67" s="4247">
        <f t="shared" si="47"/>
        <v>8.7331754019419394E-2</v>
      </c>
      <c r="Y67" s="4247">
        <f t="shared" si="47"/>
        <v>7.1221115505884183E-2</v>
      </c>
      <c r="Z67" s="4247">
        <f t="shared" si="47"/>
        <v>0.12608935754316453</v>
      </c>
      <c r="AA67" s="4247">
        <f t="shared" si="47"/>
        <v>0.12068942816638932</v>
      </c>
      <c r="AB67" s="4247">
        <f t="shared" si="47"/>
        <v>0.12388597998861363</v>
      </c>
      <c r="AC67" s="4247">
        <f t="shared" si="47"/>
        <v>9.6195794718761204E-2</v>
      </c>
      <c r="AD67" s="4247">
        <f t="shared" si="47"/>
        <v>8.6664626682986676E-2</v>
      </c>
      <c r="AE67" s="4247">
        <f t="shared" si="47"/>
        <v>7.8674033149171207E-2</v>
      </c>
      <c r="AF67" s="4247">
        <f t="shared" si="47"/>
        <v>7.4339274738783004E-2</v>
      </c>
      <c r="AH67" s="4799"/>
    </row>
    <row r="68" spans="1:34" s="766" customFormat="1">
      <c r="A68" s="4603" t="str">
        <f t="shared" si="44"/>
        <v>Other Cost Of Revenues</v>
      </c>
      <c r="B68" s="4247"/>
      <c r="C68" s="4247"/>
      <c r="D68" s="4247"/>
      <c r="E68" s="4247"/>
      <c r="F68" s="4247"/>
      <c r="G68" s="4247"/>
      <c r="H68" s="4247"/>
      <c r="I68" s="4247"/>
      <c r="J68" s="4247"/>
      <c r="K68" s="4247"/>
      <c r="L68" s="4247"/>
      <c r="M68" s="4247"/>
      <c r="N68" s="4247"/>
      <c r="O68" s="4247"/>
      <c r="P68" s="4247"/>
      <c r="Q68" s="4247"/>
      <c r="R68" s="4247"/>
      <c r="S68" s="4247"/>
      <c r="T68" s="4247" t="str">
        <f t="shared" ref="T68:AF68" si="48">IF(T50*S50&lt;=0,"NA",(T50-S50)/ABS(S50))</f>
        <v>NA</v>
      </c>
      <c r="U68" s="4247">
        <f t="shared" si="48"/>
        <v>0.16354297975908993</v>
      </c>
      <c r="V68" s="4247">
        <f t="shared" si="48"/>
        <v>0.21312334384095355</v>
      </c>
      <c r="W68" s="4247">
        <f t="shared" si="48"/>
        <v>0.24424394309687619</v>
      </c>
      <c r="X68" s="4247">
        <f t="shared" si="48"/>
        <v>0.22076313504263195</v>
      </c>
      <c r="Y68" s="4247">
        <f t="shared" si="48"/>
        <v>2.220133659552137E-2</v>
      </c>
      <c r="Z68" s="4247">
        <f t="shared" si="48"/>
        <v>0.13715207594466514</v>
      </c>
      <c r="AA68" s="4247">
        <f t="shared" si="48"/>
        <v>0.11538753729574105</v>
      </c>
      <c r="AB68" s="4247">
        <f t="shared" si="48"/>
        <v>0.11454614224898912</v>
      </c>
      <c r="AC68" s="4247">
        <f t="shared" si="48"/>
        <v>7.6409456486425442E-2</v>
      </c>
      <c r="AD68" s="4247">
        <f t="shared" si="48"/>
        <v>6.8200000000000163E-2</v>
      </c>
      <c r="AE68" s="4247">
        <f t="shared" si="48"/>
        <v>7.3702623906705469E-2</v>
      </c>
      <c r="AF68" s="4247">
        <f t="shared" si="48"/>
        <v>7.1847507331378041E-2</v>
      </c>
      <c r="AH68" s="4799"/>
    </row>
    <row r="69" spans="1:34" s="766" customFormat="1">
      <c r="A69" s="4595" t="str">
        <f t="shared" si="44"/>
        <v>Gross Profit</v>
      </c>
      <c r="B69" s="4247"/>
      <c r="C69" s="4247"/>
      <c r="D69" s="4247"/>
      <c r="E69" s="4247"/>
      <c r="F69" s="4247"/>
      <c r="G69" s="4247"/>
      <c r="H69" s="4247"/>
      <c r="I69" s="4247"/>
      <c r="J69" s="4247"/>
      <c r="K69" s="4247"/>
      <c r="L69" s="4247"/>
      <c r="M69" s="4247"/>
      <c r="N69" s="4247"/>
      <c r="O69" s="4247"/>
      <c r="P69" s="4247"/>
      <c r="Q69" s="4247"/>
      <c r="R69" s="4247"/>
      <c r="S69" s="4247"/>
      <c r="T69" s="4247" t="str">
        <f t="shared" ref="T69:AF69" si="49">IF(T51*S51&lt;=0,"NA",(T51-S51)/ABS(S51))</f>
        <v>NA</v>
      </c>
      <c r="U69" s="4247">
        <f t="shared" si="49"/>
        <v>0.13502476947087597</v>
      </c>
      <c r="V69" s="4247">
        <f t="shared" si="49"/>
        <v>1.2081840264189715E-2</v>
      </c>
      <c r="W69" s="4247">
        <f t="shared" si="49"/>
        <v>0.48878220451789994</v>
      </c>
      <c r="X69" s="4247">
        <f t="shared" si="49"/>
        <v>5.3075586445520267E-2</v>
      </c>
      <c r="Y69" s="4247">
        <f t="shared" si="49"/>
        <v>8.5810064396677779E-2</v>
      </c>
      <c r="Z69" s="4247">
        <f t="shared" si="49"/>
        <v>0.12298981862321356</v>
      </c>
      <c r="AA69" s="4247">
        <f t="shared" si="49"/>
        <v>0.1221936391322271</v>
      </c>
      <c r="AB69" s="4247">
        <f t="shared" si="49"/>
        <v>0.12651973443800438</v>
      </c>
      <c r="AC69" s="4247">
        <f t="shared" si="49"/>
        <v>0.10171606864274593</v>
      </c>
      <c r="AD69" s="4247">
        <f t="shared" si="49"/>
        <v>9.1697819314641882E-2</v>
      </c>
      <c r="AE69" s="4247">
        <f t="shared" si="49"/>
        <v>7.9999999999999946E-2</v>
      </c>
      <c r="AF69" s="4247">
        <f t="shared" si="49"/>
        <v>7.5000000000000011E-2</v>
      </c>
      <c r="AH69" s="4799"/>
    </row>
    <row r="70" spans="1:34" s="766" customFormat="1">
      <c r="A70" s="4603" t="str">
        <f t="shared" si="44"/>
        <v>GAAP Expenses</v>
      </c>
      <c r="B70" s="4247"/>
      <c r="C70" s="4247"/>
      <c r="D70" s="4247"/>
      <c r="E70" s="4247"/>
      <c r="F70" s="4247"/>
      <c r="G70" s="4247"/>
      <c r="H70" s="4247"/>
      <c r="I70" s="4247"/>
      <c r="J70" s="4247"/>
      <c r="K70" s="4247"/>
      <c r="L70" s="4247"/>
      <c r="M70" s="4247"/>
      <c r="N70" s="4247"/>
      <c r="O70" s="4247"/>
      <c r="P70" s="4247"/>
      <c r="Q70" s="4247"/>
      <c r="R70" s="4247"/>
      <c r="S70" s="4247"/>
      <c r="T70" s="4247" t="str">
        <f t="shared" ref="T70:AF70" si="50">IF(T52*S52&lt;=0,"NA",(T52-S52)/ABS(S52))</f>
        <v>NA</v>
      </c>
      <c r="U70" s="5797">
        <f t="shared" si="50"/>
        <v>0.16355022061210303</v>
      </c>
      <c r="V70" s="5797">
        <f t="shared" si="50"/>
        <v>-2.2447807031857586E-2</v>
      </c>
      <c r="W70" s="5797">
        <f t="shared" si="50"/>
        <v>0.27874200511093955</v>
      </c>
      <c r="X70" s="5797">
        <f t="shared" si="50"/>
        <v>0.20343674162758768</v>
      </c>
      <c r="Y70" s="5797">
        <f t="shared" si="50"/>
        <v>-7.3451499537161943E-2</v>
      </c>
      <c r="Z70" s="5797">
        <f t="shared" si="50"/>
        <v>-0.28943093835021078</v>
      </c>
      <c r="AA70" s="5797">
        <f t="shared" si="50"/>
        <v>-6.9692117465178782E-3</v>
      </c>
      <c r="AB70" s="5797">
        <f t="shared" si="50"/>
        <v>0.15027367205389502</v>
      </c>
      <c r="AC70" s="5797">
        <f t="shared" si="50"/>
        <v>0.23729236967529796</v>
      </c>
      <c r="AD70" s="5797">
        <f t="shared" si="50"/>
        <v>0.11671823307963952</v>
      </c>
      <c r="AE70" s="5797">
        <f t="shared" si="50"/>
        <v>8.161970568255858E-2</v>
      </c>
      <c r="AF70" s="5797">
        <f t="shared" si="50"/>
        <v>7.3146922549499407E-2</v>
      </c>
      <c r="AH70" s="4799"/>
    </row>
    <row r="71" spans="1:34" s="766" customFormat="1">
      <c r="A71" s="4595" t="str">
        <f t="shared" si="44"/>
        <v>GAAP Operating Income</v>
      </c>
      <c r="B71" s="4247"/>
      <c r="C71" s="4247"/>
      <c r="D71" s="4247"/>
      <c r="E71" s="4247"/>
      <c r="F71" s="4247"/>
      <c r="G71" s="4247"/>
      <c r="H71" s="4247"/>
      <c r="I71" s="4247"/>
      <c r="J71" s="4247"/>
      <c r="K71" s="4247"/>
      <c r="L71" s="4247"/>
      <c r="M71" s="4247"/>
      <c r="N71" s="4247"/>
      <c r="O71" s="4247"/>
      <c r="P71" s="4247"/>
      <c r="Q71" s="4247"/>
      <c r="R71" s="4247"/>
      <c r="S71" s="4247"/>
      <c r="T71" s="4247" t="str">
        <f t="shared" ref="T71:AF71" si="51">IF(T53*S53&lt;=0,"NA",(T53-S53)/ABS(S53))</f>
        <v>NA</v>
      </c>
      <c r="U71" s="4247">
        <f t="shared" si="51"/>
        <v>0.12077575494700218</v>
      </c>
      <c r="V71" s="4247">
        <f t="shared" si="51"/>
        <v>2.9988346364564381E-2</v>
      </c>
      <c r="W71" s="4247">
        <f t="shared" si="51"/>
        <v>0.59216035975706671</v>
      </c>
      <c r="X71" s="4247">
        <f t="shared" si="51"/>
        <v>-6.3615850707976389E-3</v>
      </c>
      <c r="Y71" s="4247">
        <f t="shared" si="51"/>
        <v>0.16205804567750473</v>
      </c>
      <c r="Z71" s="4247">
        <f t="shared" si="51"/>
        <v>0.28042370787197979</v>
      </c>
      <c r="AA71" s="4247">
        <f t="shared" si="51"/>
        <v>0.14955564420283551</v>
      </c>
      <c r="AB71" s="4247">
        <f t="shared" si="51"/>
        <v>0.12217284470127376</v>
      </c>
      <c r="AC71" s="4247">
        <f t="shared" si="51"/>
        <v>7.6284788747519899E-2</v>
      </c>
      <c r="AD71" s="4247">
        <f t="shared" si="51"/>
        <v>8.6302414233119504E-2</v>
      </c>
      <c r="AE71" s="4247">
        <f t="shared" si="51"/>
        <v>7.9640947018415273E-2</v>
      </c>
      <c r="AF71" s="4247">
        <f t="shared" si="51"/>
        <v>7.5411539235405292E-2</v>
      </c>
      <c r="AH71" s="4799"/>
    </row>
    <row r="72" spans="1:34" s="766" customFormat="1">
      <c r="A72" s="4595" t="str">
        <f>A58</f>
        <v>GAAP EPS</v>
      </c>
      <c r="B72" s="4247"/>
      <c r="C72" s="4247"/>
      <c r="D72" s="4247"/>
      <c r="E72" s="4247"/>
      <c r="F72" s="4247"/>
      <c r="G72" s="4247"/>
      <c r="H72" s="4247"/>
      <c r="I72" s="4247"/>
      <c r="J72" s="4247"/>
      <c r="K72" s="4247"/>
      <c r="L72" s="4247"/>
      <c r="M72" s="4247"/>
      <c r="N72" s="4247"/>
      <c r="O72" s="4247"/>
      <c r="P72" s="4247"/>
      <c r="Q72" s="4247"/>
      <c r="R72" s="4247"/>
      <c r="S72" s="4247"/>
      <c r="T72" s="4247" t="str">
        <f t="shared" ref="T72:AF72" si="52">IF(T58*S58&lt;=0,"NA",(T58-S58)/ABS(S58))</f>
        <v>NA</v>
      </c>
      <c r="U72" s="4247">
        <f t="shared" si="52"/>
        <v>0.10409721436181286</v>
      </c>
      <c r="V72" s="4247">
        <f t="shared" si="52"/>
        <v>-2.2699653044080139E-2</v>
      </c>
      <c r="W72" s="4247">
        <f t="shared" si="52"/>
        <v>0.53588714058342135</v>
      </c>
      <c r="X72" s="4247">
        <f t="shared" si="52"/>
        <v>1.9397572384815355E-2</v>
      </c>
      <c r="Y72" s="4247">
        <f t="shared" si="52"/>
        <v>0.25010239516419314</v>
      </c>
      <c r="Z72" s="4247">
        <f t="shared" si="52"/>
        <v>0.28663218988082328</v>
      </c>
      <c r="AA72" s="4247">
        <f t="shared" ca="1" si="52"/>
        <v>0.13346294807161371</v>
      </c>
      <c r="AB72" s="4247">
        <f t="shared" ca="1" si="52"/>
        <v>0.13873402645067587</v>
      </c>
      <c r="AC72" s="4247">
        <f t="shared" ca="1" si="52"/>
        <v>7.579387942689321E-2</v>
      </c>
      <c r="AD72" s="4247">
        <f t="shared" ca="1" si="52"/>
        <v>8.2499317485406273E-2</v>
      </c>
      <c r="AE72" s="4247">
        <f t="shared" ca="1" si="52"/>
        <v>7.9628326962048968E-2</v>
      </c>
      <c r="AF72" s="4247">
        <f t="shared" ca="1" si="52"/>
        <v>7.8902060477814312E-2</v>
      </c>
      <c r="AH72" s="4799"/>
    </row>
    <row r="73" spans="1:34" s="766" customFormat="1">
      <c r="A73" s="4603" t="str">
        <f>A60</f>
        <v>D&amp;A</v>
      </c>
      <c r="B73" s="4247"/>
      <c r="C73" s="4247"/>
      <c r="D73" s="4247"/>
      <c r="E73" s="4247"/>
      <c r="F73" s="4247"/>
      <c r="G73" s="4247"/>
      <c r="H73" s="4247"/>
      <c r="I73" s="4247"/>
      <c r="J73" s="4247"/>
      <c r="K73" s="4247"/>
      <c r="L73" s="4247"/>
      <c r="M73" s="4247"/>
      <c r="N73" s="4247"/>
      <c r="O73" s="4247"/>
      <c r="P73" s="4247"/>
      <c r="Q73" s="4247"/>
      <c r="R73" s="4247"/>
      <c r="S73" s="4247"/>
      <c r="T73" s="4247" t="str">
        <f t="shared" ref="T73:AF73" si="53">IF(T60*S60&lt;=0,"NA",(T60-S60)/ABS(S60))</f>
        <v>NA</v>
      </c>
      <c r="U73" s="4247">
        <f t="shared" si="53"/>
        <v>0.19420199830482876</v>
      </c>
      <c r="V73" s="4247">
        <f t="shared" si="53"/>
        <v>5.4144532788279902E-2</v>
      </c>
      <c r="W73" s="4247">
        <f t="shared" si="53"/>
        <v>-7.8739300493010089E-2</v>
      </c>
      <c r="X73" s="4247">
        <f t="shared" si="53"/>
        <v>0.2819460466945678</v>
      </c>
      <c r="Y73" s="4247">
        <f t="shared" si="53"/>
        <v>-0.12292488234122344</v>
      </c>
      <c r="Z73" s="4247">
        <f t="shared" si="53"/>
        <v>0.13007386553725006</v>
      </c>
      <c r="AA73" s="4247">
        <f t="shared" si="53"/>
        <v>0.32596988613726324</v>
      </c>
      <c r="AB73" s="4247">
        <f t="shared" si="53"/>
        <v>0.38998759768174146</v>
      </c>
      <c r="AC73" s="4247">
        <f t="shared" si="53"/>
        <v>0.28559722365172752</v>
      </c>
      <c r="AD73" s="4247">
        <f t="shared" si="53"/>
        <v>0.10600123975409456</v>
      </c>
      <c r="AE73" s="4247">
        <f t="shared" si="53"/>
        <v>7.2412004089963358E-2</v>
      </c>
      <c r="AF73" s="4247">
        <f t="shared" si="53"/>
        <v>6.3244005860309677E-2</v>
      </c>
      <c r="AH73" s="4799"/>
    </row>
    <row r="74" spans="1:34" s="766" customFormat="1">
      <c r="A74" s="4603" t="str">
        <f>A61</f>
        <v>SBC</v>
      </c>
      <c r="B74" s="4247"/>
      <c r="C74" s="4247"/>
      <c r="D74" s="4247"/>
      <c r="E74" s="4247"/>
      <c r="F74" s="4247"/>
      <c r="G74" s="4247"/>
      <c r="H74" s="4247"/>
      <c r="I74" s="4247"/>
      <c r="J74" s="4247"/>
      <c r="K74" s="4247"/>
      <c r="L74" s="4247"/>
      <c r="M74" s="4247"/>
      <c r="N74" s="4247"/>
      <c r="O74" s="4247"/>
      <c r="P74" s="4247"/>
      <c r="Q74" s="4247"/>
      <c r="R74" s="4247"/>
      <c r="S74" s="4247"/>
      <c r="T74" s="4247" t="str">
        <f t="shared" ref="T74:AF74" si="54">IF(T61*S61&lt;=0,"NA",(T61-S61)/ABS(S61))</f>
        <v>NA</v>
      </c>
      <c r="U74" s="4247">
        <f t="shared" si="54"/>
        <v>0.14343330786584441</v>
      </c>
      <c r="V74" s="4247">
        <f t="shared" si="54"/>
        <v>0.10826551510229042</v>
      </c>
      <c r="W74" s="4247">
        <f t="shared" si="54"/>
        <v>0.13342149784374269</v>
      </c>
      <c r="X74" s="4247">
        <f t="shared" si="54"/>
        <v>0.26389538973145699</v>
      </c>
      <c r="Y74" s="4247">
        <f t="shared" si="54"/>
        <v>0.15293623021932948</v>
      </c>
      <c r="Z74" s="4247">
        <f t="shared" si="54"/>
        <v>-6.6174136349616483E-3</v>
      </c>
      <c r="AA74" s="4247">
        <f t="shared" si="54"/>
        <v>4.5877268666884734E-2</v>
      </c>
      <c r="AB74" s="4247">
        <f t="shared" si="54"/>
        <v>0.15645285088463518</v>
      </c>
      <c r="AC74" s="4247">
        <f t="shared" si="54"/>
        <v>0.10265690578321315</v>
      </c>
      <c r="AD74" s="4247">
        <f t="shared" si="54"/>
        <v>0.10684170510974546</v>
      </c>
      <c r="AE74" s="4247">
        <f t="shared" si="54"/>
        <v>9.0524464366897872E-2</v>
      </c>
      <c r="AF74" s="4247">
        <f t="shared" si="54"/>
        <v>8.2797672923064031E-2</v>
      </c>
      <c r="AH74" s="4799"/>
    </row>
    <row r="75" spans="1:34" s="766" customFormat="1">
      <c r="A75" s="4595" t="str">
        <f>A62</f>
        <v>Adj. EBITDA</v>
      </c>
      <c r="B75" s="4247"/>
      <c r="C75" s="4247"/>
      <c r="D75" s="4247"/>
      <c r="E75" s="4247"/>
      <c r="F75" s="4247"/>
      <c r="G75" s="4247"/>
      <c r="H75" s="4247"/>
      <c r="I75" s="4247"/>
      <c r="J75" s="4247"/>
      <c r="K75" s="4247"/>
      <c r="L75" s="4247"/>
      <c r="M75" s="4247"/>
      <c r="N75" s="4247"/>
      <c r="O75" s="4247"/>
      <c r="P75" s="4247"/>
      <c r="Q75" s="4247"/>
      <c r="R75" s="4247"/>
      <c r="S75" s="4247"/>
      <c r="T75" s="4247" t="str">
        <f t="shared" ref="T75:AF75" si="55">IF(T62*S62&lt;=0,"NA",(T62-S62)/ABS(S62))</f>
        <v>NA</v>
      </c>
      <c r="U75" s="4247">
        <f t="shared" si="55"/>
        <v>0.13045584867948701</v>
      </c>
      <c r="V75" s="4247">
        <f t="shared" si="55"/>
        <v>4.2005308843632523E-2</v>
      </c>
      <c r="W75" s="4247">
        <f t="shared" si="55"/>
        <v>0.46459602036697872</v>
      </c>
      <c r="X75" s="4247">
        <f t="shared" si="55"/>
        <v>3.923631233167426E-2</v>
      </c>
      <c r="Y75" s="4247">
        <f t="shared" si="55"/>
        <v>0.1386320163882489</v>
      </c>
      <c r="Z75" s="4247">
        <f t="shared" si="55"/>
        <v>0.23564636848227513</v>
      </c>
      <c r="AA75" s="4247">
        <f t="shared" si="55"/>
        <v>0.1489125353020421</v>
      </c>
      <c r="AB75" s="4247">
        <f t="shared" si="55"/>
        <v>0.14233670418830408</v>
      </c>
      <c r="AC75" s="4247">
        <f t="shared" si="55"/>
        <v>9.4923076923076985E-2</v>
      </c>
      <c r="AD75" s="4247">
        <f t="shared" si="55"/>
        <v>9.0000000000000191E-2</v>
      </c>
      <c r="AE75" s="4247">
        <f t="shared" si="55"/>
        <v>7.9999999999999946E-2</v>
      </c>
      <c r="AF75" s="4247">
        <f t="shared" si="55"/>
        <v>7.5000000000000136E-2</v>
      </c>
      <c r="AH75" s="4799"/>
    </row>
    <row r="76" spans="1:34" s="766" customFormat="1">
      <c r="A76" s="4593" t="s">
        <v>891</v>
      </c>
      <c r="B76" s="4592"/>
      <c r="C76" s="4592"/>
      <c r="D76" s="4592"/>
      <c r="E76" s="4592"/>
      <c r="F76" s="4592"/>
      <c r="G76" s="4592"/>
      <c r="H76" s="4592"/>
      <c r="I76" s="4592"/>
      <c r="J76" s="4592"/>
      <c r="K76" s="4592"/>
      <c r="L76" s="4592"/>
      <c r="M76" s="4592"/>
      <c r="N76" s="4592"/>
      <c r="O76" s="4592"/>
      <c r="P76" s="4592"/>
      <c r="Q76" s="4592"/>
      <c r="R76" s="4592"/>
      <c r="S76" s="4592"/>
      <c r="T76" s="4592"/>
      <c r="U76" s="4592"/>
      <c r="V76" s="4592"/>
      <c r="W76" s="4592"/>
      <c r="X76" s="4592"/>
      <c r="Y76" s="4592"/>
      <c r="Z76" s="4592"/>
      <c r="AA76" s="6198">
        <f t="shared" ref="AA76:AF76" si="56">AA79-AA78</f>
        <v>0</v>
      </c>
      <c r="AB76" s="6198">
        <f t="shared" si="56"/>
        <v>9.000000000000008E-3</v>
      </c>
      <c r="AC76" s="6198">
        <f t="shared" si="56"/>
        <v>5.0000000000000044E-3</v>
      </c>
      <c r="AD76" s="6198">
        <f t="shared" si="56"/>
        <v>4.0000000000000036E-3</v>
      </c>
      <c r="AE76" s="6198">
        <f t="shared" si="56"/>
        <v>4.0000000000000036E-3</v>
      </c>
      <c r="AF76" s="6198">
        <f t="shared" si="56"/>
        <v>4.0000000000000036E-3</v>
      </c>
      <c r="AH76" s="4798"/>
    </row>
    <row r="77" spans="1:34" s="766" customFormat="1">
      <c r="A77" s="4581" t="str">
        <f>A49</f>
        <v>Net Revenue</v>
      </c>
      <c r="B77" s="4594"/>
      <c r="C77" s="4594"/>
      <c r="D77" s="4594"/>
      <c r="E77" s="4594"/>
      <c r="F77" s="4594"/>
      <c r="G77" s="4594"/>
      <c r="H77" s="4594"/>
      <c r="I77" s="4594"/>
      <c r="J77" s="4594"/>
      <c r="K77" s="4594"/>
      <c r="L77" s="4594"/>
      <c r="M77" s="4594"/>
      <c r="N77" s="4594"/>
      <c r="O77" s="4594"/>
      <c r="P77" s="4594"/>
      <c r="Q77" s="4594"/>
      <c r="R77" s="4594"/>
      <c r="S77" s="4607"/>
      <c r="T77" s="4426">
        <f t="shared" ref="T77:AB77" si="57">T49/T47</f>
        <v>0.85260739073344594</v>
      </c>
      <c r="U77" s="4426">
        <f t="shared" si="57"/>
        <v>0.84552140855118996</v>
      </c>
      <c r="V77" s="4426">
        <f t="shared" si="57"/>
        <v>0.83952786031404358</v>
      </c>
      <c r="W77" s="4426">
        <f t="shared" si="57"/>
        <v>0.83949728769863918</v>
      </c>
      <c r="X77" s="4426">
        <f t="shared" si="57"/>
        <v>0.83696071960603258</v>
      </c>
      <c r="Y77" s="4426">
        <f t="shared" si="57"/>
        <v>0.83211620551553134</v>
      </c>
      <c r="Z77" s="4426">
        <f t="shared" si="57"/>
        <v>0.82799434987177167</v>
      </c>
      <c r="AA77" s="4426">
        <f t="shared" si="57"/>
        <v>0.82303851519125426</v>
      </c>
      <c r="AB77" s="4426">
        <f t="shared" si="57"/>
        <v>0.8198352924995207</v>
      </c>
      <c r="AC77" s="4426">
        <f>AC49/AC47</f>
        <v>0.81699999999999995</v>
      </c>
      <c r="AD77" s="4426">
        <f>AD49/AD47</f>
        <v>0.8145</v>
      </c>
      <c r="AE77" s="4426">
        <f>AE49/AE47</f>
        <v>0.8135</v>
      </c>
      <c r="AF77" s="4426">
        <f>AF49/AF47</f>
        <v>0.81299999999999994</v>
      </c>
      <c r="AH77" s="4800"/>
    </row>
    <row r="78" spans="1:34" s="766" customFormat="1">
      <c r="A78" s="4581" t="str">
        <f>A51</f>
        <v>Gross Profit</v>
      </c>
      <c r="B78" s="4598"/>
      <c r="C78" s="4598"/>
      <c r="D78" s="4598"/>
      <c r="E78" s="4598"/>
      <c r="F78" s="4598"/>
      <c r="G78" s="4598"/>
      <c r="H78" s="4598"/>
      <c r="I78" s="4598"/>
      <c r="J78" s="4598"/>
      <c r="K78" s="4598"/>
      <c r="L78" s="4598"/>
      <c r="M78" s="4598"/>
      <c r="N78" s="4598"/>
      <c r="O78" s="4598"/>
      <c r="P78" s="4598"/>
      <c r="Q78" s="4598"/>
      <c r="R78" s="4598"/>
      <c r="S78" s="4604"/>
      <c r="T78" s="4604">
        <f>T77*80%</f>
        <v>0.68208591258675677</v>
      </c>
      <c r="U78" s="4604">
        <f>U77*79.6%</f>
        <v>0.67303504120674718</v>
      </c>
      <c r="V78" s="5126">
        <f>V77*76.5%</f>
        <v>0.64223881314024334</v>
      </c>
      <c r="W78" s="5126">
        <v>0.66800000000000004</v>
      </c>
      <c r="X78" s="5126">
        <v>0.64500000000000002</v>
      </c>
      <c r="Y78" s="5126">
        <v>0.65</v>
      </c>
      <c r="Z78" s="5126">
        <v>0.64500000000000002</v>
      </c>
      <c r="AA78" s="5126">
        <v>0.64200000000000002</v>
      </c>
      <c r="AB78" s="5126">
        <v>0.64100000000000001</v>
      </c>
      <c r="AC78" s="5126">
        <v>0.64200000000000002</v>
      </c>
      <c r="AD78" s="5126">
        <v>0.64300000000000002</v>
      </c>
      <c r="AE78" s="5126">
        <v>0.64300000000000002</v>
      </c>
      <c r="AF78" s="5126">
        <v>0.64300000000000002</v>
      </c>
      <c r="AH78" s="4801"/>
    </row>
    <row r="79" spans="1:34" s="766" customFormat="1">
      <c r="A79" s="4586" t="str">
        <f>A62</f>
        <v>Adj. EBITDA</v>
      </c>
      <c r="B79" s="4669"/>
      <c r="C79" s="4669"/>
      <c r="D79" s="4669"/>
      <c r="E79" s="4669"/>
      <c r="F79" s="4669"/>
      <c r="G79" s="4669"/>
      <c r="H79" s="4669"/>
      <c r="I79" s="4669"/>
      <c r="J79" s="4669"/>
      <c r="K79" s="4669"/>
      <c r="L79" s="4669"/>
      <c r="M79" s="4669"/>
      <c r="N79" s="4669"/>
      <c r="O79" s="4669"/>
      <c r="P79" s="4669"/>
      <c r="Q79" s="4669"/>
      <c r="R79" s="4669"/>
      <c r="S79" s="4670"/>
      <c r="T79" s="4816">
        <v>0.57999999999999996</v>
      </c>
      <c r="U79" s="4816">
        <v>0.56999999999999995</v>
      </c>
      <c r="V79" s="4816">
        <v>0.56000000000000005</v>
      </c>
      <c r="W79" s="4816">
        <v>0.57299999999999995</v>
      </c>
      <c r="X79" s="4816">
        <v>0.54600000000000004</v>
      </c>
      <c r="Y79" s="4816">
        <v>0.57699999999999996</v>
      </c>
      <c r="Z79" s="4816">
        <v>0.63</v>
      </c>
      <c r="AA79" s="4816">
        <v>0.64200000000000002</v>
      </c>
      <c r="AB79" s="4816">
        <v>0.65</v>
      </c>
      <c r="AC79" s="4816">
        <v>0.64700000000000002</v>
      </c>
      <c r="AD79" s="4816">
        <v>0.64700000000000002</v>
      </c>
      <c r="AE79" s="4816">
        <v>0.64700000000000002</v>
      </c>
      <c r="AF79" s="4816">
        <v>0.64700000000000002</v>
      </c>
      <c r="AH79" s="4801"/>
    </row>
    <row r="80" spans="1:34" s="766" customFormat="1">
      <c r="A80" s="4581" t="str">
        <f>A53</f>
        <v>GAAP Operating Income</v>
      </c>
      <c r="B80" s="4594"/>
      <c r="C80" s="4594"/>
      <c r="D80" s="4594"/>
      <c r="E80" s="4594"/>
      <c r="F80" s="4594"/>
      <c r="G80" s="4594"/>
      <c r="H80" s="4594"/>
      <c r="I80" s="4594"/>
      <c r="J80" s="4594"/>
      <c r="K80" s="4594"/>
      <c r="L80" s="4594"/>
      <c r="M80" s="4594"/>
      <c r="N80" s="4594"/>
      <c r="O80" s="4594"/>
      <c r="P80" s="4594"/>
      <c r="Q80" s="4594"/>
      <c r="R80" s="4594"/>
      <c r="S80" s="4607"/>
      <c r="T80" s="4607">
        <f t="shared" ref="T80:AB80" si="58">T53/T47</f>
        <v>0.4548697002073217</v>
      </c>
      <c r="U80" s="4607">
        <f t="shared" si="58"/>
        <v>0.44319922582909027</v>
      </c>
      <c r="V80" s="4607">
        <f t="shared" si="58"/>
        <v>0.43040226068180959</v>
      </c>
      <c r="W80" s="4607">
        <f t="shared" si="58"/>
        <v>0.47875144307523249</v>
      </c>
      <c r="X80" s="4607">
        <f t="shared" si="58"/>
        <v>0.43617641333260648</v>
      </c>
      <c r="Y80" s="4607">
        <f t="shared" si="58"/>
        <v>0.4704243333100806</v>
      </c>
      <c r="Z80" s="4607">
        <f t="shared" si="58"/>
        <v>0.53224798267022244</v>
      </c>
      <c r="AA80" s="4607">
        <f t="shared" si="58"/>
        <v>0.54268964248055351</v>
      </c>
      <c r="AB80" s="4607">
        <f t="shared" si="58"/>
        <v>0.53975352254281683</v>
      </c>
      <c r="AC80" s="4607">
        <f>AC53/AC47</f>
        <v>0.52811682362338652</v>
      </c>
      <c r="AD80" s="4607">
        <f>AD53/AD47</f>
        <v>0.52632530321028559</v>
      </c>
      <c r="AE80" s="4607">
        <f>AE53/AE47</f>
        <v>0.52615032296084008</v>
      </c>
      <c r="AF80" s="4607">
        <f>AF53/AF47</f>
        <v>0.52635174761350945</v>
      </c>
      <c r="AH80" s="4800"/>
    </row>
    <row r="81" spans="1:34" s="766" customFormat="1">
      <c r="A81" s="4581" t="str">
        <f>A57</f>
        <v>GAAP Net Income</v>
      </c>
      <c r="B81" s="4594"/>
      <c r="C81" s="4594"/>
      <c r="D81" s="4594"/>
      <c r="E81" s="4594"/>
      <c r="F81" s="4594"/>
      <c r="G81" s="4594"/>
      <c r="H81" s="4594"/>
      <c r="I81" s="4594"/>
      <c r="J81" s="4594"/>
      <c r="K81" s="4594"/>
      <c r="L81" s="4594"/>
      <c r="M81" s="4594"/>
      <c r="N81" s="4594"/>
      <c r="O81" s="4594"/>
      <c r="P81" s="4594"/>
      <c r="Q81" s="4594"/>
      <c r="R81" s="4594"/>
      <c r="S81" s="4607"/>
      <c r="T81" s="4607">
        <f t="shared" ref="T81:AB81" si="59">T57/T47</f>
        <v>0.44721000133315408</v>
      </c>
      <c r="U81" s="4607">
        <f t="shared" si="59"/>
        <v>0.42636585397591636</v>
      </c>
      <c r="V81" s="4607">
        <f t="shared" si="59"/>
        <v>0.38639050896976179</v>
      </c>
      <c r="W81" s="4607">
        <f t="shared" si="59"/>
        <v>0.40896004866694796</v>
      </c>
      <c r="X81" s="4607">
        <f t="shared" si="59"/>
        <v>0.37111121350629617</v>
      </c>
      <c r="Y81" s="4607">
        <f t="shared" si="59"/>
        <v>0.41626766926748049</v>
      </c>
      <c r="Z81" s="4607">
        <f t="shared" si="59"/>
        <v>0.46306425491909503</v>
      </c>
      <c r="AA81" s="4607">
        <f t="shared" ca="1" si="59"/>
        <v>0.45723114288506717</v>
      </c>
      <c r="AB81" s="4607">
        <f t="shared" ca="1" si="59"/>
        <v>0.46104593532561289</v>
      </c>
      <c r="AC81" s="4607">
        <f ca="1">AC57/AC47</f>
        <v>0.44731744434969717</v>
      </c>
      <c r="AD81" s="4607">
        <f ca="1">AD57/AD47</f>
        <v>0.44034250825542937</v>
      </c>
      <c r="AE81" s="4607">
        <f ca="1">AE57/AE47</f>
        <v>0.43582153722411671</v>
      </c>
      <c r="AF81" s="4607">
        <f ca="1">AF57/AF47</f>
        <v>0.43255977716298361</v>
      </c>
      <c r="AH81" s="4800"/>
    </row>
    <row r="82" spans="1:34" s="766" customFormat="1">
      <c r="A82" s="4581"/>
      <c r="B82" s="4582"/>
      <c r="C82" s="4582"/>
      <c r="D82" s="4582"/>
      <c r="E82" s="4582"/>
      <c r="F82" s="4582"/>
      <c r="G82" s="4582"/>
      <c r="H82" s="4582"/>
      <c r="I82" s="4582"/>
      <c r="J82" s="4582"/>
      <c r="K82" s="4582"/>
      <c r="L82" s="4582"/>
      <c r="M82" s="4582"/>
      <c r="N82" s="4582"/>
      <c r="O82" s="4582"/>
      <c r="P82" s="4582"/>
      <c r="Q82" s="4582"/>
      <c r="R82" s="4582"/>
      <c r="S82" s="4608"/>
      <c r="T82" s="4608"/>
      <c r="U82" s="4608"/>
      <c r="V82" s="4608"/>
      <c r="W82" s="4608"/>
      <c r="X82" s="4608"/>
      <c r="Y82" s="4608"/>
      <c r="Z82" s="4608"/>
      <c r="AA82" s="4608"/>
      <c r="AB82" s="4608"/>
      <c r="AC82" s="4608"/>
      <c r="AD82" s="4608"/>
      <c r="AE82" s="4608"/>
      <c r="AF82" s="4608"/>
      <c r="AH82" s="4802"/>
    </row>
    <row r="83" spans="1:34" s="627" customFormat="1">
      <c r="A83" s="4584" t="s">
        <v>890</v>
      </c>
      <c r="B83" s="4600"/>
      <c r="C83" s="4600"/>
      <c r="D83" s="4600"/>
      <c r="E83" s="4600"/>
      <c r="F83" s="4600"/>
      <c r="G83" s="4600"/>
      <c r="H83" s="4600"/>
      <c r="I83" s="4600"/>
      <c r="J83" s="4600"/>
      <c r="K83" s="4600"/>
      <c r="L83" s="4600"/>
      <c r="M83" s="4600"/>
      <c r="N83" s="4600"/>
      <c r="O83" s="4600"/>
      <c r="P83" s="4600"/>
      <c r="Q83" s="4600"/>
      <c r="R83" s="4600"/>
      <c r="S83" s="4600"/>
      <c r="T83" s="4600"/>
      <c r="U83" s="4600"/>
      <c r="V83" s="4583"/>
      <c r="W83" s="4583"/>
      <c r="X83" s="4583"/>
      <c r="Y83" s="4600"/>
      <c r="Z83" s="4600"/>
      <c r="AA83" s="4583"/>
      <c r="AB83" s="4583"/>
      <c r="AC83" s="4583"/>
      <c r="AD83" s="4583"/>
      <c r="AE83" s="4583"/>
      <c r="AF83" s="4583"/>
      <c r="AH83" s="4796"/>
    </row>
    <row r="84" spans="1:34" s="766" customFormat="1">
      <c r="A84" s="4586" t="str">
        <f>A$8</f>
        <v>Gross Revenue</v>
      </c>
      <c r="B84" s="4589"/>
      <c r="C84" s="4589"/>
      <c r="D84" s="4589"/>
      <c r="E84" s="4589"/>
      <c r="F84" s="4589"/>
      <c r="G84" s="4589"/>
      <c r="H84" s="4589"/>
      <c r="I84" s="4589"/>
      <c r="J84" s="4589"/>
      <c r="K84" s="4589"/>
      <c r="L84" s="4589"/>
      <c r="M84" s="4589"/>
      <c r="N84" s="4589"/>
      <c r="O84" s="4589"/>
      <c r="P84" s="4589"/>
      <c r="Q84" s="4589"/>
      <c r="R84" s="4589"/>
      <c r="S84" s="4589"/>
      <c r="T84" s="4589">
        <f>'Revenue Drivers'!DG29</f>
        <v>20010</v>
      </c>
      <c r="U84" s="4589">
        <f>'Revenue Drivers'!DL29</f>
        <v>21547</v>
      </c>
      <c r="V84" s="4589">
        <f>'Revenue Drivers'!DQ29</f>
        <v>23090</v>
      </c>
      <c r="W84" s="4589">
        <f>'Revenue Drivers'!DV29</f>
        <v>31701</v>
      </c>
      <c r="X84" s="4589">
        <f>'Revenue Drivers'!EA29</f>
        <v>32780</v>
      </c>
      <c r="Y84" s="4589">
        <f>'Revenue Drivers'!EF29</f>
        <v>31312</v>
      </c>
      <c r="Z84" s="4589">
        <f>'Revenue Drivers'!EK29</f>
        <v>30359</v>
      </c>
      <c r="AA84" s="4589">
        <f>'Revenue Drivers'!EP29</f>
        <v>29747.28226574236</v>
      </c>
      <c r="AB84" s="4589">
        <f>'Revenue Drivers'!EU29</f>
        <v>29359.724383809807</v>
      </c>
      <c r="AC84" s="4589">
        <f>'Revenue Drivers'!EV29</f>
        <v>29066.127139971708</v>
      </c>
      <c r="AD84" s="4589">
        <f>'Revenue Drivers'!EW29</f>
        <v>28920.79650427185</v>
      </c>
      <c r="AE84" s="4589">
        <f>'Revenue Drivers'!EX29</f>
        <v>28920.79650427185</v>
      </c>
      <c r="AF84" s="4589">
        <f>'Revenue Drivers'!EY29</f>
        <v>29065.400486793205</v>
      </c>
      <c r="AH84" s="4797">
        <f>(AC84/Z84)^(1/3)-1</f>
        <v>-1.4401798693247092E-2</v>
      </c>
    </row>
    <row r="85" spans="1:34" s="766" customFormat="1">
      <c r="A85" s="4585" t="str">
        <f>A$9</f>
        <v>TAC</v>
      </c>
      <c r="B85" s="4590"/>
      <c r="C85" s="4590"/>
      <c r="D85" s="4590"/>
      <c r="E85" s="4590"/>
      <c r="F85" s="4590"/>
      <c r="G85" s="4590"/>
      <c r="H85" s="4590"/>
      <c r="I85" s="4590"/>
      <c r="J85" s="4590"/>
      <c r="K85" s="4590"/>
      <c r="L85" s="4590"/>
      <c r="M85" s="4590"/>
      <c r="N85" s="4590"/>
      <c r="O85" s="4590"/>
      <c r="P85" s="4590"/>
      <c r="Q85" s="4590"/>
      <c r="R85" s="4590"/>
      <c r="S85" s="4590"/>
      <c r="T85" s="4590">
        <f>'Revenue Drivers'!DG99</f>
        <v>14154</v>
      </c>
      <c r="U85" s="4590">
        <f>'Revenue Drivers'!DL99</f>
        <v>14932.332999999999</v>
      </c>
      <c r="V85" s="4590">
        <f>'Revenue Drivers'!DQ99</f>
        <v>16078.948199999999</v>
      </c>
      <c r="W85" s="4590">
        <f>'Revenue Drivers'!DV99</f>
        <v>21658.960500000001</v>
      </c>
      <c r="X85" s="4590">
        <f>'Revenue Drivers'!EA99</f>
        <v>22469.268900000003</v>
      </c>
      <c r="Y85" s="4590">
        <f>'Revenue Drivers'!EF99</f>
        <v>21500.7958</v>
      </c>
      <c r="Z85" s="4590">
        <f>'Revenue Drivers'!EK99</f>
        <v>20828.432800000002</v>
      </c>
      <c r="AA85" s="4590">
        <f>'Revenue Drivers'!EP99</f>
        <v>20066.960118047384</v>
      </c>
      <c r="AB85" s="4590">
        <f>'Revenue Drivers'!EU99</f>
        <v>19671.01533715257</v>
      </c>
      <c r="AC85" s="4590">
        <f>'Revenue Drivers'!EV99</f>
        <v>19474.305183781042</v>
      </c>
      <c r="AD85" s="4590">
        <f>'Revenue Drivers'!EW99</f>
        <v>19376.933657862137</v>
      </c>
      <c r="AE85" s="4590">
        <f>'Revenue Drivers'!EX99</f>
        <v>19376.933657862137</v>
      </c>
      <c r="AF85" s="4590">
        <f>'Revenue Drivers'!EY99</f>
        <v>19473.818326151446</v>
      </c>
      <c r="AH85" s="4798"/>
    </row>
    <row r="86" spans="1:34" s="766" customFormat="1">
      <c r="A86" s="4586" t="str">
        <f>A$10</f>
        <v>Net Revenue</v>
      </c>
      <c r="B86" s="4589"/>
      <c r="C86" s="4589"/>
      <c r="D86" s="4589"/>
      <c r="E86" s="4589"/>
      <c r="F86" s="4589"/>
      <c r="G86" s="4589"/>
      <c r="H86" s="4589"/>
      <c r="I86" s="4589"/>
      <c r="J86" s="4589"/>
      <c r="K86" s="4589"/>
      <c r="L86" s="4589"/>
      <c r="M86" s="4589"/>
      <c r="N86" s="4589"/>
      <c r="O86" s="4589"/>
      <c r="P86" s="4589"/>
      <c r="Q86" s="4589"/>
      <c r="R86" s="4589"/>
      <c r="S86" s="4589"/>
      <c r="T86" s="4589">
        <f>T84-T85</f>
        <v>5856</v>
      </c>
      <c r="U86" s="4589">
        <f t="shared" ref="U86:AA86" si="60">U84-U85</f>
        <v>6614.6670000000013</v>
      </c>
      <c r="V86" s="4589">
        <f t="shared" si="60"/>
        <v>7011.0518000000011</v>
      </c>
      <c r="W86" s="4589">
        <f t="shared" si="60"/>
        <v>10042.039499999999</v>
      </c>
      <c r="X86" s="4589">
        <f t="shared" si="60"/>
        <v>10310.731099999997</v>
      </c>
      <c r="Y86" s="4589">
        <f t="shared" si="60"/>
        <v>9811.2042000000001</v>
      </c>
      <c r="Z86" s="4589">
        <f t="shared" si="60"/>
        <v>9530.5671999999977</v>
      </c>
      <c r="AA86" s="4589">
        <f t="shared" si="60"/>
        <v>9680.3221476949766</v>
      </c>
      <c r="AB86" s="4589">
        <f>AB84-AB85</f>
        <v>9688.7090466572372</v>
      </c>
      <c r="AC86" s="4589">
        <f>AC84-AC85</f>
        <v>9591.8219561906662</v>
      </c>
      <c r="AD86" s="4589">
        <f>AD84-AD85</f>
        <v>9543.8628464097128</v>
      </c>
      <c r="AE86" s="4589">
        <f>AE84-AE85</f>
        <v>9543.8628464097128</v>
      </c>
      <c r="AF86" s="4589">
        <f>AF84-AF85</f>
        <v>9591.5821606417594</v>
      </c>
      <c r="AH86" s="4797">
        <f>(AC86/Z86)^(1/3)-1</f>
        <v>2.1378227734811794E-3</v>
      </c>
    </row>
    <row r="87" spans="1:34" s="766" customFormat="1">
      <c r="A87" s="4585" t="str">
        <f>A$11</f>
        <v>Other Cost Of Revenues</v>
      </c>
      <c r="B87" s="4590"/>
      <c r="C87" s="4590"/>
      <c r="D87" s="4590"/>
      <c r="E87" s="4590"/>
      <c r="F87" s="4590"/>
      <c r="G87" s="4590"/>
      <c r="H87" s="4590"/>
      <c r="I87" s="4590"/>
      <c r="J87" s="4590"/>
      <c r="K87" s="4590"/>
      <c r="L87" s="4590"/>
      <c r="M87" s="4590"/>
      <c r="N87" s="4590"/>
      <c r="O87" s="4590"/>
      <c r="P87" s="4590"/>
      <c r="Q87" s="4590"/>
      <c r="R87" s="4590"/>
      <c r="S87" s="4590"/>
      <c r="T87" s="4590">
        <f>T86-T88</f>
        <v>1171.1999999999998</v>
      </c>
      <c r="U87" s="4590">
        <f>U86-U88</f>
        <v>1322.9334000000008</v>
      </c>
      <c r="V87" s="4590">
        <f t="shared" ref="V87:AA87" si="61">V86-V88</f>
        <v>1472.3208780000004</v>
      </c>
      <c r="W87" s="4590">
        <f t="shared" si="61"/>
        <v>2028.4919789999994</v>
      </c>
      <c r="X87" s="4590">
        <f t="shared" si="61"/>
        <v>2062.1462200000005</v>
      </c>
      <c r="Y87" s="4590">
        <f t="shared" si="61"/>
        <v>1864.1287980000006</v>
      </c>
      <c r="Z87" s="4590">
        <f t="shared" si="61"/>
        <v>1810.8077679999997</v>
      </c>
      <c r="AA87" s="4590">
        <f t="shared" si="61"/>
        <v>1839.2612080620456</v>
      </c>
      <c r="AB87" s="4590">
        <f>AB86-AB88</f>
        <v>1840.8547188648745</v>
      </c>
      <c r="AC87" s="4590">
        <f>AC86-AC88</f>
        <v>1822.4461716762262</v>
      </c>
      <c r="AD87" s="4590">
        <f>AD86-AD88</f>
        <v>1813.3339408178445</v>
      </c>
      <c r="AE87" s="4590">
        <f>AE86-AE88</f>
        <v>1813.3339408178445</v>
      </c>
      <c r="AF87" s="4590">
        <f>AF86-AF88</f>
        <v>1822.4006105219332</v>
      </c>
      <c r="AH87" s="4798"/>
    </row>
    <row r="88" spans="1:34" s="766" customFormat="1">
      <c r="A88" s="4586" t="str">
        <f>A$12</f>
        <v>Gross Profit</v>
      </c>
      <c r="B88" s="4589"/>
      <c r="C88" s="4589"/>
      <c r="D88" s="4589"/>
      <c r="E88" s="4589"/>
      <c r="F88" s="4589"/>
      <c r="G88" s="4589"/>
      <c r="H88" s="4589"/>
      <c r="I88" s="4589"/>
      <c r="J88" s="4589"/>
      <c r="K88" s="4589"/>
      <c r="L88" s="4589"/>
      <c r="M88" s="4589"/>
      <c r="N88" s="4589"/>
      <c r="O88" s="4589"/>
      <c r="P88" s="4589"/>
      <c r="Q88" s="4589"/>
      <c r="R88" s="4589"/>
      <c r="S88" s="4589"/>
      <c r="T88" s="4589">
        <f t="shared" ref="T88:AB88" si="62">T84*T115</f>
        <v>4684.8</v>
      </c>
      <c r="U88" s="4589">
        <f t="shared" si="62"/>
        <v>5291.7336000000005</v>
      </c>
      <c r="V88" s="4589">
        <f t="shared" si="62"/>
        <v>5538.7309220000006</v>
      </c>
      <c r="W88" s="4589">
        <f t="shared" si="62"/>
        <v>8013.5475209999995</v>
      </c>
      <c r="X88" s="4589">
        <f t="shared" si="62"/>
        <v>8248.5848799999967</v>
      </c>
      <c r="Y88" s="4589">
        <f t="shared" si="62"/>
        <v>7947.0754019999995</v>
      </c>
      <c r="Z88" s="4589">
        <f t="shared" si="62"/>
        <v>7719.759431999998</v>
      </c>
      <c r="AA88" s="4589">
        <f t="shared" si="62"/>
        <v>7841.060939632931</v>
      </c>
      <c r="AB88" s="4589">
        <f t="shared" si="62"/>
        <v>7847.8543277923627</v>
      </c>
      <c r="AC88" s="4589">
        <f>AC84*AC115</f>
        <v>7769.3757845144401</v>
      </c>
      <c r="AD88" s="4589">
        <f>AD84*AD115</f>
        <v>7730.5289055918684</v>
      </c>
      <c r="AE88" s="4589">
        <f>AE84*AE115</f>
        <v>7730.5289055918684</v>
      </c>
      <c r="AF88" s="4589">
        <f>AF84*AF115</f>
        <v>7769.1815501198262</v>
      </c>
      <c r="AH88" s="4797">
        <f>(AC88/Z88)^(1/3)-1</f>
        <v>2.1378227734811794E-3</v>
      </c>
    </row>
    <row r="89" spans="1:34" s="766" customFormat="1">
      <c r="A89" s="4585" t="str">
        <f>A$13</f>
        <v>GAAP Expenses</v>
      </c>
      <c r="B89" s="4590"/>
      <c r="C89" s="4590"/>
      <c r="D89" s="4590"/>
      <c r="E89" s="4590"/>
      <c r="F89" s="4590"/>
      <c r="G89" s="4590"/>
      <c r="H89" s="4590"/>
      <c r="I89" s="4590"/>
      <c r="J89" s="4590"/>
      <c r="K89" s="4590"/>
      <c r="L89" s="4590"/>
      <c r="M89" s="4590"/>
      <c r="N89" s="4590"/>
      <c r="O89" s="4590"/>
      <c r="P89" s="4590"/>
      <c r="Q89" s="4590"/>
      <c r="R89" s="4590"/>
      <c r="S89" s="4590"/>
      <c r="T89" s="4590">
        <f t="shared" ref="T89:AB89" si="63">T88-T90</f>
        <v>1560.5988807455174</v>
      </c>
      <c r="U89" s="4590">
        <f t="shared" si="63"/>
        <v>1827.2563952644173</v>
      </c>
      <c r="V89" s="4590">
        <f t="shared" si="63"/>
        <v>1964.3151101150161</v>
      </c>
      <c r="W89" s="4590">
        <f t="shared" si="63"/>
        <v>2288.7273960183384</v>
      </c>
      <c r="X89" s="4590">
        <f t="shared" si="63"/>
        <v>2906.6986857701286</v>
      </c>
      <c r="Y89" s="4590">
        <f t="shared" si="63"/>
        <v>2431.7306807811301</v>
      </c>
      <c r="Z89" s="4590">
        <f t="shared" si="63"/>
        <v>2498.4097738462488</v>
      </c>
      <c r="AA89" s="4590">
        <f t="shared" si="63"/>
        <v>3086.072636288628</v>
      </c>
      <c r="AB89" s="4590">
        <f t="shared" si="63"/>
        <v>3891.4632789907055</v>
      </c>
      <c r="AC89" s="4590">
        <f>AC88-AC90</f>
        <v>4245.5719764119249</v>
      </c>
      <c r="AD89" s="4590">
        <f>AD88-AD90</f>
        <v>4535.8116449008703</v>
      </c>
      <c r="AE89" s="4590">
        <f>AE88-AE90</f>
        <v>4828.1049490683772</v>
      </c>
      <c r="AF89" s="4590">
        <f>AF88-AF90</f>
        <v>4850.4261543421708</v>
      </c>
      <c r="AH89" s="4798"/>
    </row>
    <row r="90" spans="1:34" s="766" customFormat="1">
      <c r="A90" s="4586" t="str">
        <f>A$14</f>
        <v>GAAP Operating Income</v>
      </c>
      <c r="B90" s="4589"/>
      <c r="C90" s="4589"/>
      <c r="D90" s="4589"/>
      <c r="E90" s="4589"/>
      <c r="F90" s="4589"/>
      <c r="G90" s="4589"/>
      <c r="H90" s="4589"/>
      <c r="I90" s="4589"/>
      <c r="J90" s="4589"/>
      <c r="K90" s="4589"/>
      <c r="L90" s="4589"/>
      <c r="M90" s="4589"/>
      <c r="N90" s="4589"/>
      <c r="O90" s="4589"/>
      <c r="P90" s="4589"/>
      <c r="Q90" s="4589"/>
      <c r="R90" s="4589"/>
      <c r="S90" s="4589"/>
      <c r="T90" s="4589">
        <f t="shared" ref="T90:AB90" si="64">T99-SUM(T97:T98)</f>
        <v>3124.2011192544828</v>
      </c>
      <c r="U90" s="4589">
        <f t="shared" si="64"/>
        <v>3464.4772047355832</v>
      </c>
      <c r="V90" s="4589">
        <f t="shared" si="64"/>
        <v>3574.4158118849846</v>
      </c>
      <c r="W90" s="4589">
        <f t="shared" si="64"/>
        <v>5724.8201249816611</v>
      </c>
      <c r="X90" s="4589">
        <f t="shared" si="64"/>
        <v>5341.8861942298681</v>
      </c>
      <c r="Y90" s="4589">
        <f t="shared" si="64"/>
        <v>5515.3447212188694</v>
      </c>
      <c r="Z90" s="4589">
        <f t="shared" si="64"/>
        <v>5221.3496581537493</v>
      </c>
      <c r="AA90" s="4589">
        <f t="shared" si="64"/>
        <v>4754.9883033443029</v>
      </c>
      <c r="AB90" s="4589">
        <f t="shared" si="64"/>
        <v>3956.3910488016572</v>
      </c>
      <c r="AC90" s="4589">
        <f>AC99-SUM(AC97:AC98)</f>
        <v>3523.8038081025152</v>
      </c>
      <c r="AD90" s="4589">
        <f>AD99-SUM(AD97:AD98)</f>
        <v>3194.7172606909985</v>
      </c>
      <c r="AE90" s="4589">
        <f>AE99-SUM(AE97:AE98)</f>
        <v>2902.4239565234911</v>
      </c>
      <c r="AF90" s="4589">
        <f>AF99-SUM(AF97:AF98)</f>
        <v>2918.7553957776549</v>
      </c>
      <c r="AH90" s="4797">
        <f>(AC90/Z90)^(1/3)-1</f>
        <v>-0.12284505853275041</v>
      </c>
    </row>
    <row r="91" spans="1:34" s="766" customFormat="1">
      <c r="A91" s="4585" t="str">
        <f>A$15</f>
        <v>OI&amp;E</v>
      </c>
      <c r="B91" s="4590"/>
      <c r="C91" s="4590"/>
      <c r="D91" s="4590"/>
      <c r="E91" s="4590"/>
      <c r="F91" s="4590"/>
      <c r="G91" s="4590"/>
      <c r="H91" s="4590"/>
      <c r="I91" s="4590"/>
      <c r="J91" s="4590"/>
      <c r="K91" s="4590"/>
      <c r="L91" s="4590"/>
      <c r="M91" s="4590"/>
      <c r="N91" s="4590"/>
      <c r="O91" s="4590"/>
      <c r="P91" s="4590"/>
      <c r="Q91" s="4590"/>
      <c r="R91" s="4590"/>
      <c r="S91" s="4590"/>
      <c r="T91" s="4597">
        <v>0</v>
      </c>
      <c r="U91" s="4597">
        <v>0</v>
      </c>
      <c r="V91" s="4597">
        <v>0</v>
      </c>
      <c r="W91" s="4597">
        <v>0</v>
      </c>
      <c r="X91" s="4597">
        <v>0</v>
      </c>
      <c r="Y91" s="4597">
        <v>0</v>
      </c>
      <c r="Z91" s="4597">
        <v>0</v>
      </c>
      <c r="AA91" s="4597">
        <v>0</v>
      </c>
      <c r="AB91" s="4597">
        <v>0</v>
      </c>
      <c r="AC91" s="4597">
        <v>0</v>
      </c>
      <c r="AD91" s="4597">
        <v>0</v>
      </c>
      <c r="AE91" s="4597">
        <v>0</v>
      </c>
      <c r="AF91" s="4597">
        <v>0</v>
      </c>
      <c r="AH91" s="4798"/>
    </row>
    <row r="92" spans="1:34" s="766" customFormat="1">
      <c r="A92" s="4586" t="str">
        <f>A$16</f>
        <v>Profit Before Tax</v>
      </c>
      <c r="B92" s="4589"/>
      <c r="C92" s="4589"/>
      <c r="D92" s="4589"/>
      <c r="E92" s="4589"/>
      <c r="F92" s="4589"/>
      <c r="G92" s="4589"/>
      <c r="H92" s="4589"/>
      <c r="I92" s="4589"/>
      <c r="J92" s="4589"/>
      <c r="K92" s="4589"/>
      <c r="L92" s="4589"/>
      <c r="M92" s="4589"/>
      <c r="N92" s="4589"/>
      <c r="O92" s="4589"/>
      <c r="P92" s="4589"/>
      <c r="Q92" s="4589"/>
      <c r="R92" s="4589"/>
      <c r="S92" s="4589"/>
      <c r="T92" s="4589">
        <f>T90+T91</f>
        <v>3124.2011192544828</v>
      </c>
      <c r="U92" s="4589">
        <f t="shared" ref="U92:AA92" si="65">U90+U91</f>
        <v>3464.4772047355832</v>
      </c>
      <c r="V92" s="4589">
        <f t="shared" si="65"/>
        <v>3574.4158118849846</v>
      </c>
      <c r="W92" s="4589">
        <f t="shared" si="65"/>
        <v>5724.8201249816611</v>
      </c>
      <c r="X92" s="4589">
        <f t="shared" si="65"/>
        <v>5341.8861942298681</v>
      </c>
      <c r="Y92" s="4589">
        <f t="shared" si="65"/>
        <v>5515.3447212188694</v>
      </c>
      <c r="Z92" s="4589">
        <f t="shared" si="65"/>
        <v>5221.3496581537493</v>
      </c>
      <c r="AA92" s="4589">
        <f t="shared" si="65"/>
        <v>4754.9883033443029</v>
      </c>
      <c r="AB92" s="4589">
        <f>AB90+AB91</f>
        <v>3956.3910488016572</v>
      </c>
      <c r="AC92" s="4589">
        <f>AC90+AC91</f>
        <v>3523.8038081025152</v>
      </c>
      <c r="AD92" s="4589">
        <f>AD90+AD91</f>
        <v>3194.7172606909985</v>
      </c>
      <c r="AE92" s="4589">
        <f>AE90+AE91</f>
        <v>2902.4239565234911</v>
      </c>
      <c r="AF92" s="4589">
        <f>AF90+AF91</f>
        <v>2918.7553957776549</v>
      </c>
      <c r="AH92" s="4797">
        <f>(AC92/Z92)^(1/3)-1</f>
        <v>-0.12284505853275041</v>
      </c>
    </row>
    <row r="93" spans="1:34" s="766" customFormat="1">
      <c r="A93" s="4585" t="str">
        <f>A$17</f>
        <v>Income Tax</v>
      </c>
      <c r="B93" s="4590"/>
      <c r="C93" s="4590"/>
      <c r="D93" s="4590"/>
      <c r="E93" s="4590"/>
      <c r="F93" s="4590"/>
      <c r="G93" s="4590"/>
      <c r="H93" s="4590"/>
      <c r="I93" s="4590"/>
      <c r="J93" s="4590"/>
      <c r="K93" s="4590"/>
      <c r="L93" s="4590"/>
      <c r="M93" s="4590"/>
      <c r="N93" s="4590"/>
      <c r="O93" s="4590"/>
      <c r="P93" s="4590"/>
      <c r="Q93" s="4590"/>
      <c r="R93" s="4590"/>
      <c r="S93" s="4590"/>
      <c r="T93" s="4590">
        <f>T221*T414/SUM(T413:T416)</f>
        <v>282.0417142174237</v>
      </c>
      <c r="U93" s="4590">
        <f t="shared" ref="U93:AB93" si="66">U221*U414/SUM(U413:U416)</f>
        <v>351.43784512028719</v>
      </c>
      <c r="V93" s="4590">
        <f t="shared" si="66"/>
        <v>494.44788049534151</v>
      </c>
      <c r="W93" s="4590">
        <f t="shared" si="66"/>
        <v>938.45428922117981</v>
      </c>
      <c r="X93" s="4590">
        <f t="shared" si="66"/>
        <v>741.21428632822233</v>
      </c>
      <c r="Y93" s="4590">
        <f t="shared" si="66"/>
        <v>680.45015436105029</v>
      </c>
      <c r="Z93" s="4590">
        <f t="shared" si="66"/>
        <v>824.36856116462843</v>
      </c>
      <c r="AA93" s="4590">
        <f t="shared" ca="1" si="66"/>
        <v>939.96716554652812</v>
      </c>
      <c r="AB93" s="4590">
        <f t="shared" ca="1" si="66"/>
        <v>655.64734228670341</v>
      </c>
      <c r="AC93" s="4590">
        <f ca="1">AC221*AC414/SUM(AC413:AC416)</f>
        <v>593.80346021777746</v>
      </c>
      <c r="AD93" s="4590">
        <f ca="1">AD221*AD414/SUM(AD413:AD416)</f>
        <v>562.46488676135971</v>
      </c>
      <c r="AE93" s="4590">
        <f ca="1">AE221*AE414/SUM(AE413:AE416)</f>
        <v>535.70163651314817</v>
      </c>
      <c r="AF93" s="4590">
        <f ca="1">AF221*AF414/SUM(AF413:AF416)</f>
        <v>566.4567109567605</v>
      </c>
      <c r="AH93" s="4798"/>
    </row>
    <row r="94" spans="1:34" s="766" customFormat="1">
      <c r="A94" s="4586" t="str">
        <f>A$18</f>
        <v>GAAP Net Income</v>
      </c>
      <c r="B94" s="4589"/>
      <c r="C94" s="4589"/>
      <c r="D94" s="4589"/>
      <c r="E94" s="4589"/>
      <c r="F94" s="4589"/>
      <c r="G94" s="4589"/>
      <c r="H94" s="4589"/>
      <c r="I94" s="4589"/>
      <c r="J94" s="4589"/>
      <c r="K94" s="4589"/>
      <c r="L94" s="4589"/>
      <c r="M94" s="4589"/>
      <c r="N94" s="4589"/>
      <c r="O94" s="4589"/>
      <c r="P94" s="4589"/>
      <c r="Q94" s="4589"/>
      <c r="R94" s="4589"/>
      <c r="S94" s="4589"/>
      <c r="T94" s="4589">
        <f>T92-T93</f>
        <v>2842.1594050370591</v>
      </c>
      <c r="U94" s="4589">
        <f t="shared" ref="U94:AA94" si="67">U92-U93</f>
        <v>3113.0393596152962</v>
      </c>
      <c r="V94" s="4589">
        <f t="shared" si="67"/>
        <v>3079.9679313896431</v>
      </c>
      <c r="W94" s="4589">
        <f t="shared" si="67"/>
        <v>4786.3658357604818</v>
      </c>
      <c r="X94" s="4589">
        <f t="shared" si="67"/>
        <v>4600.6719079016457</v>
      </c>
      <c r="Y94" s="4589">
        <f t="shared" si="67"/>
        <v>4834.894566857819</v>
      </c>
      <c r="Z94" s="4589">
        <f t="shared" si="67"/>
        <v>4396.9810969891205</v>
      </c>
      <c r="AA94" s="4589">
        <f t="shared" ca="1" si="67"/>
        <v>3815.0211377977748</v>
      </c>
      <c r="AB94" s="4589">
        <f ca="1">AB92-AB93</f>
        <v>3300.7437065149538</v>
      </c>
      <c r="AC94" s="4589">
        <f ca="1">AC92-AC93</f>
        <v>2930.0003478847375</v>
      </c>
      <c r="AD94" s="4589">
        <f ca="1">AD92-AD93</f>
        <v>2632.2523739296389</v>
      </c>
      <c r="AE94" s="4589">
        <f ca="1">AE92-AE93</f>
        <v>2366.7223200103431</v>
      </c>
      <c r="AF94" s="4589">
        <f ca="1">AF92-AF93</f>
        <v>2352.2986848208943</v>
      </c>
      <c r="AH94" s="4797">
        <f ca="1">(AC94/Z94)^(1/3)-1</f>
        <v>-0.12655072009102786</v>
      </c>
    </row>
    <row r="95" spans="1:34" s="766" customFormat="1">
      <c r="A95" s="4586" t="str">
        <f>A$19</f>
        <v>GAAP EPS</v>
      </c>
      <c r="B95" s="4591"/>
      <c r="C95" s="4591"/>
      <c r="D95" s="4591"/>
      <c r="E95" s="4591"/>
      <c r="F95" s="4591"/>
      <c r="G95" s="4591"/>
      <c r="H95" s="4591"/>
      <c r="I95" s="4591"/>
      <c r="J95" s="4591"/>
      <c r="K95" s="4591"/>
      <c r="L95" s="4591"/>
      <c r="M95" s="4591"/>
      <c r="N95" s="4591"/>
      <c r="O95" s="4591"/>
      <c r="P95" s="4591"/>
      <c r="Q95" s="4591"/>
      <c r="R95" s="4591"/>
      <c r="S95" s="4591"/>
      <c r="T95" s="4591">
        <f>T94/T$20</f>
        <v>0.20206320448702031</v>
      </c>
      <c r="U95" s="4591">
        <f t="shared" ref="U95:AA95" si="68">U94/U$20</f>
        <v>0.2228194397743988</v>
      </c>
      <c r="V95" s="4591">
        <f t="shared" si="68"/>
        <v>0.2241516395363683</v>
      </c>
      <c r="W95" s="4591">
        <f t="shared" si="68"/>
        <v>0.35314676389342825</v>
      </c>
      <c r="X95" s="4591">
        <f t="shared" si="68"/>
        <v>0.34963484893623137</v>
      </c>
      <c r="Y95" s="4591">
        <f t="shared" si="68"/>
        <v>0.38006442502567112</v>
      </c>
      <c r="Z95" s="4591">
        <f t="shared" si="68"/>
        <v>0.35324919938051541</v>
      </c>
      <c r="AA95" s="4591">
        <f t="shared" ca="1" si="68"/>
        <v>0.31206411403889256</v>
      </c>
      <c r="AB95" s="4591">
        <f ca="1">AB94/AB$20</f>
        <v>0.2702444515109737</v>
      </c>
      <c r="AC95" s="4591">
        <f ca="1">AC94/AC$20</f>
        <v>0.24181175028756513</v>
      </c>
      <c r="AD95" s="4591">
        <f ca="1">AD94/AD$20</f>
        <v>0.21916117039580743</v>
      </c>
      <c r="AE95" s="4591">
        <f ca="1">AE94/AE$20</f>
        <v>0.19902875698831315</v>
      </c>
      <c r="AF95" s="4591">
        <f ca="1">AF94/AF$20</f>
        <v>0.20003090670186743</v>
      </c>
      <c r="AH95" s="4797">
        <f ca="1">(AC95/Z95)^(1/3)-1</f>
        <v>-0.11868315420819608</v>
      </c>
    </row>
    <row r="96" spans="1:34" s="766" customFormat="1">
      <c r="A96" s="4581"/>
      <c r="B96" s="4582"/>
      <c r="C96" s="4582"/>
      <c r="D96" s="4582"/>
      <c r="E96" s="4582"/>
      <c r="F96" s="4582"/>
      <c r="G96" s="4582"/>
      <c r="H96" s="4582"/>
      <c r="I96" s="4582"/>
      <c r="J96" s="4582"/>
      <c r="K96" s="4582"/>
      <c r="L96" s="4582"/>
      <c r="M96" s="4582"/>
      <c r="N96" s="4582"/>
      <c r="O96" s="4582"/>
      <c r="P96" s="4582"/>
      <c r="Q96" s="4582"/>
      <c r="R96" s="4582"/>
      <c r="S96" s="4582"/>
      <c r="T96" s="4582"/>
      <c r="U96" s="4582"/>
      <c r="V96" s="4582"/>
      <c r="W96" s="4582"/>
      <c r="X96" s="4582"/>
      <c r="Y96" s="4582"/>
      <c r="Z96" s="4582"/>
      <c r="AA96" s="4582"/>
      <c r="AB96" s="4582"/>
      <c r="AC96" s="4582"/>
      <c r="AD96" s="4582"/>
      <c r="AE96" s="4582"/>
      <c r="AF96" s="4582"/>
      <c r="AH96" s="4796"/>
    </row>
    <row r="97" spans="1:34" s="766" customFormat="1">
      <c r="A97" s="4585" t="str">
        <f>A$22</f>
        <v>D&amp;A</v>
      </c>
      <c r="B97" s="4590"/>
      <c r="C97" s="4590"/>
      <c r="D97" s="4590"/>
      <c r="E97" s="4590"/>
      <c r="F97" s="4590"/>
      <c r="G97" s="4590"/>
      <c r="H97" s="4590"/>
      <c r="I97" s="4590"/>
      <c r="J97" s="4590"/>
      <c r="K97" s="4590"/>
      <c r="L97" s="4590"/>
      <c r="M97" s="4590"/>
      <c r="N97" s="4590"/>
      <c r="O97" s="4590"/>
      <c r="P97" s="4590"/>
      <c r="Q97" s="4590"/>
      <c r="R97" s="4590"/>
      <c r="S97" s="4590"/>
      <c r="T97" s="4590">
        <f>T225*T360/SUM(T359:T362)</f>
        <v>376.00419275901271</v>
      </c>
      <c r="U97" s="4590">
        <f t="shared" ref="U97:AB97" si="69">U225*U360/SUM(U359:U362)</f>
        <v>444.62629214825535</v>
      </c>
      <c r="V97" s="4590">
        <f t="shared" si="69"/>
        <v>471.74056875182589</v>
      </c>
      <c r="W97" s="4590">
        <f t="shared" si="69"/>
        <v>434.89967344666684</v>
      </c>
      <c r="X97" s="4590">
        <f t="shared" si="69"/>
        <v>526.45868327695712</v>
      </c>
      <c r="Y97" s="4590">
        <f t="shared" si="69"/>
        <v>410.16142460441324</v>
      </c>
      <c r="Z97" s="4590">
        <f t="shared" si="69"/>
        <v>399.83906513851292</v>
      </c>
      <c r="AA97" s="4590">
        <f t="shared" si="69"/>
        <v>480.51247982492617</v>
      </c>
      <c r="AB97" s="4590">
        <f t="shared" si="69"/>
        <v>594.79792823042237</v>
      </c>
      <c r="AC97" s="4590">
        <f>AC225*AC360/SUM(AC359:AC362)</f>
        <v>690.5918296369523</v>
      </c>
      <c r="AD97" s="4590">
        <f>AD225*AD360/SUM(AD359:AD362)</f>
        <v>699.36613742881457</v>
      </c>
      <c r="AE97" s="4590">
        <f>AE225*AE360/SUM(AE359:AE362)</f>
        <v>695.30610544415731</v>
      </c>
      <c r="AF97" s="4590">
        <f>AF225*AF360/SUM(AF359:AF362)</f>
        <v>691.56593877337593</v>
      </c>
      <c r="AH97" s="4798"/>
    </row>
    <row r="98" spans="1:34" s="766" customFormat="1">
      <c r="A98" s="4585" t="str">
        <f>A$23</f>
        <v>SBC</v>
      </c>
      <c r="B98" s="4590"/>
      <c r="C98" s="4590"/>
      <c r="D98" s="4590"/>
      <c r="E98" s="4590"/>
      <c r="F98" s="4590"/>
      <c r="G98" s="4590"/>
      <c r="H98" s="4590"/>
      <c r="I98" s="4590"/>
      <c r="J98" s="4590"/>
      <c r="K98" s="4590"/>
      <c r="L98" s="4590"/>
      <c r="M98" s="4590"/>
      <c r="N98" s="4590"/>
      <c r="O98" s="4590"/>
      <c r="P98" s="4590"/>
      <c r="Q98" s="4590"/>
      <c r="R98" s="4590"/>
      <c r="S98" s="4590"/>
      <c r="T98" s="4590">
        <f>T226*T378/SUM(T377:T380)</f>
        <v>483.43362533868464</v>
      </c>
      <c r="U98" s="4590">
        <f t="shared" ref="U98:AB98" si="70">U226*U378/SUM(U377:U380)</f>
        <v>550.10966066418041</v>
      </c>
      <c r="V98" s="4590">
        <f t="shared" si="70"/>
        <v>630.50676968594871</v>
      </c>
      <c r="W98" s="4590">
        <f t="shared" si="70"/>
        <v>694.4877348372097</v>
      </c>
      <c r="X98" s="4590">
        <f t="shared" si="70"/>
        <v>857.96741974166048</v>
      </c>
      <c r="Y98" s="4590">
        <f t="shared" si="70"/>
        <v>877.70809982733476</v>
      </c>
      <c r="Z98" s="4590">
        <f t="shared" si="70"/>
        <v>754.20127670773695</v>
      </c>
      <c r="AA98" s="4590">
        <f t="shared" si="70"/>
        <v>713.95566997924277</v>
      </c>
      <c r="AB98" s="4590">
        <f t="shared" si="70"/>
        <v>733.56141205368533</v>
      </c>
      <c r="AC98" s="4590">
        <f>AC226*AC378/SUM(AC377:AC380)</f>
        <v>726.84597605572287</v>
      </c>
      <c r="AD98" s="4590">
        <f>AD226*AD378/SUM(AD377:AD380)</f>
        <v>733.24404256368314</v>
      </c>
      <c r="AE98" s="4590">
        <f>AE226*AE378/SUM(AE377:AE380)</f>
        <v>740.38941367312907</v>
      </c>
      <c r="AF98" s="4590">
        <f>AF226*AF378/SUM(AF377:AF380)</f>
        <v>749.48873846795004</v>
      </c>
      <c r="AH98" s="4798"/>
    </row>
    <row r="99" spans="1:34" s="766" customFormat="1">
      <c r="A99" s="4586" t="str">
        <f>A$25</f>
        <v>Adj. EBITDA</v>
      </c>
      <c r="B99" s="4589"/>
      <c r="C99" s="4589"/>
      <c r="D99" s="4589"/>
      <c r="E99" s="4589"/>
      <c r="F99" s="4589"/>
      <c r="G99" s="4589"/>
      <c r="H99" s="4589"/>
      <c r="I99" s="4589"/>
      <c r="J99" s="4589"/>
      <c r="K99" s="4589"/>
      <c r="L99" s="4589"/>
      <c r="M99" s="4589"/>
      <c r="N99" s="4589"/>
      <c r="O99" s="4589"/>
      <c r="P99" s="4589"/>
      <c r="Q99" s="4589"/>
      <c r="R99" s="4589"/>
      <c r="S99" s="4589"/>
      <c r="T99" s="4589">
        <f t="shared" ref="T99:AB99" si="71">T84*T116</f>
        <v>3983.6389373521802</v>
      </c>
      <c r="U99" s="4589">
        <f t="shared" si="71"/>
        <v>4459.2131575480189</v>
      </c>
      <c r="V99" s="4589">
        <f t="shared" si="71"/>
        <v>4676.6631503227591</v>
      </c>
      <c r="W99" s="4589">
        <f t="shared" si="71"/>
        <v>6854.2075332655377</v>
      </c>
      <c r="X99" s="4589">
        <f t="shared" si="71"/>
        <v>6726.3122972484853</v>
      </c>
      <c r="Y99" s="4589">
        <f t="shared" si="71"/>
        <v>6803.2142456506172</v>
      </c>
      <c r="Z99" s="4589">
        <f t="shared" si="71"/>
        <v>6375.3899999999994</v>
      </c>
      <c r="AA99" s="4589">
        <f t="shared" si="71"/>
        <v>5949.4564531484721</v>
      </c>
      <c r="AB99" s="4589">
        <f t="shared" si="71"/>
        <v>5284.7503890857652</v>
      </c>
      <c r="AC99" s="4589">
        <f>AC84*AC116</f>
        <v>4941.2416137951905</v>
      </c>
      <c r="AD99" s="4589">
        <f>AD84*AD116</f>
        <v>4627.3274406834962</v>
      </c>
      <c r="AE99" s="4589">
        <f>AE84*AE116</f>
        <v>4338.1194756407776</v>
      </c>
      <c r="AF99" s="4589">
        <f>AF84*AF116</f>
        <v>4359.8100730189808</v>
      </c>
      <c r="AH99" s="4797">
        <f>(AC99/Z99)^(1/3)-1</f>
        <v>-8.1435244759028413E-2</v>
      </c>
    </row>
    <row r="100" spans="1:34" s="766" customFormat="1">
      <c r="A100" s="4581"/>
      <c r="B100" s="4582"/>
      <c r="C100" s="4582"/>
      <c r="D100" s="4582"/>
      <c r="E100" s="4582"/>
      <c r="F100" s="4582"/>
      <c r="G100" s="4582"/>
      <c r="H100" s="4582"/>
      <c r="I100" s="4582"/>
      <c r="J100" s="4582"/>
      <c r="K100" s="4582"/>
      <c r="L100" s="4582"/>
      <c r="M100" s="4582"/>
      <c r="N100" s="4582"/>
      <c r="O100" s="4582"/>
      <c r="P100" s="4582"/>
      <c r="Q100" s="4582"/>
      <c r="R100" s="4582"/>
      <c r="S100" s="4582"/>
      <c r="T100" s="4582"/>
      <c r="U100" s="4582"/>
      <c r="V100" s="4582"/>
      <c r="W100" s="4582"/>
      <c r="X100" s="4582"/>
      <c r="Y100" s="4582"/>
      <c r="Z100" s="4582"/>
      <c r="AA100" s="4582"/>
      <c r="AB100" s="4582"/>
      <c r="AC100" s="4582"/>
      <c r="AD100" s="4582"/>
      <c r="AE100" s="4582"/>
      <c r="AF100" s="4582"/>
      <c r="AH100" s="4796"/>
    </row>
    <row r="101" spans="1:34" s="766" customFormat="1">
      <c r="A101" s="4596" t="s">
        <v>892</v>
      </c>
      <c r="B101" s="4592"/>
      <c r="C101" s="4592"/>
      <c r="D101" s="4592"/>
      <c r="E101" s="4592"/>
      <c r="F101" s="4592"/>
      <c r="G101" s="4592"/>
      <c r="H101" s="4592"/>
      <c r="I101" s="4592"/>
      <c r="J101" s="4592"/>
      <c r="K101" s="4592"/>
      <c r="L101" s="4592"/>
      <c r="M101" s="4592"/>
      <c r="N101" s="4592"/>
      <c r="O101" s="4592"/>
      <c r="P101" s="4592"/>
      <c r="Q101" s="4592"/>
      <c r="R101" s="4592"/>
      <c r="S101" s="4592"/>
      <c r="T101" s="4592"/>
      <c r="U101" s="4592"/>
      <c r="V101" s="4592"/>
      <c r="W101" s="4592"/>
      <c r="X101" s="4592"/>
      <c r="Y101" s="4592"/>
      <c r="Z101" s="4592"/>
      <c r="AA101" s="4592"/>
      <c r="AB101" s="4592"/>
      <c r="AC101" s="4592"/>
      <c r="AD101" s="4592"/>
      <c r="AE101" s="4592"/>
      <c r="AF101" s="4592"/>
      <c r="AH101" s="4798"/>
    </row>
    <row r="102" spans="1:34" s="766" customFormat="1">
      <c r="A102" s="4595" t="str">
        <f t="shared" ref="A102:A108" si="72">A84</f>
        <v>Gross Revenue</v>
      </c>
      <c r="B102" s="4247"/>
      <c r="C102" s="4247"/>
      <c r="D102" s="4247"/>
      <c r="E102" s="4247"/>
      <c r="F102" s="4247"/>
      <c r="G102" s="4247"/>
      <c r="H102" s="4247"/>
      <c r="I102" s="4247"/>
      <c r="J102" s="4247"/>
      <c r="K102" s="4247"/>
      <c r="L102" s="4247"/>
      <c r="M102" s="4247"/>
      <c r="N102" s="4247"/>
      <c r="O102" s="4247"/>
      <c r="P102" s="4247"/>
      <c r="Q102" s="4247"/>
      <c r="R102" s="4247"/>
      <c r="S102" s="4247"/>
      <c r="T102" s="4247"/>
      <c r="U102" s="4247">
        <f t="shared" ref="U102:AF108" si="73">IF(U84*T84&lt;=0,"NA",(U84-T84)/ABS(T84))</f>
        <v>7.6811594202898556E-2</v>
      </c>
      <c r="V102" s="4247">
        <f t="shared" si="73"/>
        <v>7.161089710864621E-2</v>
      </c>
      <c r="W102" s="4247">
        <f t="shared" si="73"/>
        <v>0.37293200519705499</v>
      </c>
      <c r="X102" s="4247">
        <f t="shared" si="73"/>
        <v>3.4036781174095455E-2</v>
      </c>
      <c r="Y102" s="4247">
        <f t="shared" si="73"/>
        <v>-4.4783404514948139E-2</v>
      </c>
      <c r="Z102" s="4247">
        <f t="shared" si="73"/>
        <v>-3.0435615738375065E-2</v>
      </c>
      <c r="AA102" s="4247">
        <f t="shared" si="73"/>
        <v>-2.0149469160961813E-2</v>
      </c>
      <c r="AB102" s="4247">
        <f t="shared" si="73"/>
        <v>-1.3028345866031372E-2</v>
      </c>
      <c r="AC102" s="4247">
        <f t="shared" si="73"/>
        <v>-1.0000000000000049E-2</v>
      </c>
      <c r="AD102" s="4247">
        <f t="shared" si="73"/>
        <v>-4.9999999999999897E-3</v>
      </c>
      <c r="AE102" s="4247">
        <f t="shared" si="73"/>
        <v>0</v>
      </c>
      <c r="AF102" s="4247">
        <f t="shared" si="73"/>
        <v>4.9999999999998752E-3</v>
      </c>
      <c r="AH102" s="4799"/>
    </row>
    <row r="103" spans="1:34" s="766" customFormat="1">
      <c r="A103" s="4603" t="str">
        <f t="shared" si="72"/>
        <v>TAC</v>
      </c>
      <c r="B103" s="4247"/>
      <c r="C103" s="4247"/>
      <c r="D103" s="4247"/>
      <c r="E103" s="4247"/>
      <c r="F103" s="4247"/>
      <c r="G103" s="4247"/>
      <c r="H103" s="4247"/>
      <c r="I103" s="4247"/>
      <c r="J103" s="4247"/>
      <c r="K103" s="4247"/>
      <c r="L103" s="4247"/>
      <c r="M103" s="4247"/>
      <c r="N103" s="4247"/>
      <c r="O103" s="4247"/>
      <c r="P103" s="4247"/>
      <c r="Q103" s="4247"/>
      <c r="R103" s="4247"/>
      <c r="S103" s="4247"/>
      <c r="T103" s="4247"/>
      <c r="U103" s="4247">
        <f t="shared" si="73"/>
        <v>5.4990320757382978E-2</v>
      </c>
      <c r="V103" s="4247">
        <f t="shared" si="73"/>
        <v>7.6787411585316254E-2</v>
      </c>
      <c r="W103" s="4247">
        <f t="shared" si="73"/>
        <v>0.34703839023500321</v>
      </c>
      <c r="X103" s="4247">
        <f t="shared" si="73"/>
        <v>3.7412155583367065E-2</v>
      </c>
      <c r="Y103" s="4247">
        <f t="shared" si="73"/>
        <v>-4.3102118912289253E-2</v>
      </c>
      <c r="Z103" s="4247">
        <f t="shared" si="73"/>
        <v>-3.127154019108435E-2</v>
      </c>
      <c r="AA103" s="4247">
        <f t="shared" si="73"/>
        <v>-3.655928841427851E-2</v>
      </c>
      <c r="AB103" s="4247">
        <f t="shared" si="73"/>
        <v>-1.9731178941184882E-2</v>
      </c>
      <c r="AC103" s="4247">
        <f t="shared" si="73"/>
        <v>-1.0000000000000146E-2</v>
      </c>
      <c r="AD103" s="4247">
        <f t="shared" si="73"/>
        <v>-4.9999999999999793E-3</v>
      </c>
      <c r="AE103" s="4247">
        <f t="shared" si="73"/>
        <v>0</v>
      </c>
      <c r="AF103" s="4247">
        <f t="shared" si="73"/>
        <v>4.9999999999999151E-3</v>
      </c>
      <c r="AH103" s="4799"/>
    </row>
    <row r="104" spans="1:34" s="766" customFormat="1">
      <c r="A104" s="4595" t="str">
        <f t="shared" si="72"/>
        <v>Net Revenue</v>
      </c>
      <c r="B104" s="4247"/>
      <c r="C104" s="4247"/>
      <c r="D104" s="4247"/>
      <c r="E104" s="4247"/>
      <c r="F104" s="4247"/>
      <c r="G104" s="4247"/>
      <c r="H104" s="4247"/>
      <c r="I104" s="4247"/>
      <c r="J104" s="4247"/>
      <c r="K104" s="4247"/>
      <c r="L104" s="4247"/>
      <c r="M104" s="4247"/>
      <c r="N104" s="4247"/>
      <c r="O104" s="4247"/>
      <c r="P104" s="4247"/>
      <c r="Q104" s="4247"/>
      <c r="R104" s="4247"/>
      <c r="S104" s="4247"/>
      <c r="T104" s="4247"/>
      <c r="U104" s="4247">
        <f t="shared" si="73"/>
        <v>0.12955379098360678</v>
      </c>
      <c r="V104" s="4247">
        <f t="shared" si="73"/>
        <v>5.9925133041466752E-2</v>
      </c>
      <c r="W104" s="4247">
        <f t="shared" si="73"/>
        <v>0.43231569049311508</v>
      </c>
      <c r="X104" s="4247">
        <f t="shared" si="73"/>
        <v>2.675667627079124E-2</v>
      </c>
      <c r="Y104" s="4247">
        <f t="shared" si="73"/>
        <v>-4.8447282268858437E-2</v>
      </c>
      <c r="Z104" s="4247">
        <f t="shared" si="73"/>
        <v>-2.8603726339729268E-2</v>
      </c>
      <c r="AA104" s="4247">
        <f t="shared" si="73"/>
        <v>1.5713120169277957E-2</v>
      </c>
      <c r="AB104" s="4247">
        <f t="shared" si="73"/>
        <v>8.6638634895612877E-4</v>
      </c>
      <c r="AC104" s="4247">
        <f t="shared" si="73"/>
        <v>-9.9999999999998528E-3</v>
      </c>
      <c r="AD104" s="4247">
        <f t="shared" si="73"/>
        <v>-5.0000000000000114E-3</v>
      </c>
      <c r="AE104" s="4247">
        <f t="shared" si="73"/>
        <v>0</v>
      </c>
      <c r="AF104" s="4247">
        <f t="shared" si="73"/>
        <v>4.9999999999997945E-3</v>
      </c>
      <c r="AH104" s="4799"/>
    </row>
    <row r="105" spans="1:34" s="766" customFormat="1">
      <c r="A105" s="4603" t="str">
        <f t="shared" si="72"/>
        <v>Other Cost Of Revenues</v>
      </c>
      <c r="B105" s="4247"/>
      <c r="C105" s="4247"/>
      <c r="D105" s="4247"/>
      <c r="E105" s="4247"/>
      <c r="F105" s="4247"/>
      <c r="G105" s="4247"/>
      <c r="H105" s="4247"/>
      <c r="I105" s="4247"/>
      <c r="J105" s="4247"/>
      <c r="K105" s="4247"/>
      <c r="L105" s="4247"/>
      <c r="M105" s="4247"/>
      <c r="N105" s="4247"/>
      <c r="O105" s="4247"/>
      <c r="P105" s="4247"/>
      <c r="Q105" s="4247"/>
      <c r="R105" s="4247"/>
      <c r="S105" s="4247"/>
      <c r="T105" s="4247"/>
      <c r="U105" s="4247">
        <f t="shared" si="73"/>
        <v>0.12955379098360742</v>
      </c>
      <c r="V105" s="4247">
        <f t="shared" si="73"/>
        <v>0.11292138969353979</v>
      </c>
      <c r="W105" s="4247">
        <f t="shared" si="73"/>
        <v>0.37775128323623408</v>
      </c>
      <c r="X105" s="4247">
        <f t="shared" si="73"/>
        <v>1.6590768584942531E-2</v>
      </c>
      <c r="Y105" s="4247">
        <f t="shared" si="73"/>
        <v>-9.6024918155415695E-2</v>
      </c>
      <c r="Z105" s="4247">
        <f t="shared" si="73"/>
        <v>-2.8603726339729532E-2</v>
      </c>
      <c r="AA105" s="4247">
        <f t="shared" si="73"/>
        <v>1.5713120169277936E-2</v>
      </c>
      <c r="AB105" s="4247">
        <f t="shared" si="73"/>
        <v>8.6638634895577272E-4</v>
      </c>
      <c r="AC105" s="4247">
        <f t="shared" si="73"/>
        <v>-9.9999999999997573E-3</v>
      </c>
      <c r="AD105" s="4247">
        <f t="shared" si="73"/>
        <v>-5.0000000000003314E-3</v>
      </c>
      <c r="AE105" s="4247">
        <f t="shared" si="73"/>
        <v>0</v>
      </c>
      <c r="AF105" s="4247">
        <f t="shared" si="73"/>
        <v>4.9999999999997564E-3</v>
      </c>
      <c r="AH105" s="4799"/>
    </row>
    <row r="106" spans="1:34" s="766" customFormat="1">
      <c r="A106" s="4595" t="str">
        <f t="shared" si="72"/>
        <v>Gross Profit</v>
      </c>
      <c r="B106" s="4247"/>
      <c r="C106" s="4247"/>
      <c r="D106" s="4247"/>
      <c r="E106" s="4247"/>
      <c r="F106" s="4247"/>
      <c r="G106" s="4247"/>
      <c r="H106" s="4247"/>
      <c r="I106" s="4247"/>
      <c r="J106" s="4247"/>
      <c r="K106" s="4247"/>
      <c r="L106" s="4247"/>
      <c r="M106" s="4247"/>
      <c r="N106" s="4247"/>
      <c r="O106" s="4247"/>
      <c r="P106" s="4247"/>
      <c r="Q106" s="4247"/>
      <c r="R106" s="4247"/>
      <c r="S106" s="4247"/>
      <c r="T106" s="4247"/>
      <c r="U106" s="4247">
        <f t="shared" si="73"/>
        <v>0.12955379098360661</v>
      </c>
      <c r="V106" s="4247">
        <f t="shared" si="73"/>
        <v>4.6676068878448482E-2</v>
      </c>
      <c r="W106" s="4247">
        <f t="shared" si="73"/>
        <v>0.44682015318165308</v>
      </c>
      <c r="X106" s="4247">
        <f t="shared" si="73"/>
        <v>2.9330001273976E-2</v>
      </c>
      <c r="Y106" s="4247">
        <f t="shared" si="73"/>
        <v>-3.6552873297219117E-2</v>
      </c>
      <c r="Z106" s="4247">
        <f t="shared" si="73"/>
        <v>-2.8603726339729209E-2</v>
      </c>
      <c r="AA106" s="4247">
        <f t="shared" si="73"/>
        <v>1.5713120169277964E-2</v>
      </c>
      <c r="AB106" s="4247">
        <f t="shared" si="73"/>
        <v>8.6638634895621236E-4</v>
      </c>
      <c r="AC106" s="4247">
        <f t="shared" si="73"/>
        <v>-9.9999999999998753E-3</v>
      </c>
      <c r="AD106" s="4247">
        <f t="shared" si="73"/>
        <v>-4.9999999999999359E-3</v>
      </c>
      <c r="AE106" s="4247">
        <f t="shared" si="73"/>
        <v>0</v>
      </c>
      <c r="AF106" s="4247">
        <f t="shared" si="73"/>
        <v>4.9999999999998032E-3</v>
      </c>
      <c r="AH106" s="4799"/>
    </row>
    <row r="107" spans="1:34" s="766" customFormat="1">
      <c r="A107" s="4603" t="str">
        <f t="shared" si="72"/>
        <v>GAAP Expenses</v>
      </c>
      <c r="B107" s="4247"/>
      <c r="C107" s="4247"/>
      <c r="D107" s="4247"/>
      <c r="E107" s="4247"/>
      <c r="F107" s="4247"/>
      <c r="G107" s="4247"/>
      <c r="H107" s="4247"/>
      <c r="I107" s="4247"/>
      <c r="J107" s="4247"/>
      <c r="K107" s="4247"/>
      <c r="L107" s="4247"/>
      <c r="M107" s="4247"/>
      <c r="N107" s="4247"/>
      <c r="O107" s="4247"/>
      <c r="P107" s="4247"/>
      <c r="Q107" s="4247"/>
      <c r="R107" s="4247"/>
      <c r="S107" s="4247"/>
      <c r="T107" s="4247"/>
      <c r="U107" s="4247">
        <f t="shared" si="73"/>
        <v>0.17086870803823359</v>
      </c>
      <c r="V107" s="4247">
        <f t="shared" si="73"/>
        <v>7.500792729789045E-2</v>
      </c>
      <c r="W107" s="4247">
        <f t="shared" si="73"/>
        <v>0.16515287401333845</v>
      </c>
      <c r="X107" s="4247">
        <f t="shared" si="73"/>
        <v>0.27000650703393719</v>
      </c>
      <c r="Y107" s="4247">
        <f t="shared" si="73"/>
        <v>-0.16340462371081849</v>
      </c>
      <c r="Z107" s="4247">
        <f t="shared" si="73"/>
        <v>2.7420426773453271E-2</v>
      </c>
      <c r="AA107" s="4247">
        <f t="shared" si="73"/>
        <v>0.23521476284400086</v>
      </c>
      <c r="AB107" s="4247">
        <f t="shared" si="73"/>
        <v>0.26097591911208423</v>
      </c>
      <c r="AC107" s="4247">
        <f t="shared" si="73"/>
        <v>9.0996283925634636E-2</v>
      </c>
      <c r="AD107" s="4247">
        <f t="shared" si="73"/>
        <v>6.8362913195558803E-2</v>
      </c>
      <c r="AE107" s="4247">
        <f t="shared" si="73"/>
        <v>6.4441235009416925E-2</v>
      </c>
      <c r="AF107" s="4247">
        <f t="shared" si="73"/>
        <v>4.623181457167916E-3</v>
      </c>
      <c r="AH107" s="4799"/>
    </row>
    <row r="108" spans="1:34" s="766" customFormat="1">
      <c r="A108" s="4595" t="str">
        <f t="shared" si="72"/>
        <v>GAAP Operating Income</v>
      </c>
      <c r="B108" s="4247"/>
      <c r="C108" s="4247"/>
      <c r="D108" s="4247"/>
      <c r="E108" s="4247"/>
      <c r="F108" s="4247"/>
      <c r="G108" s="4247"/>
      <c r="H108" s="4247"/>
      <c r="I108" s="4247"/>
      <c r="J108" s="4247"/>
      <c r="K108" s="4247"/>
      <c r="L108" s="4247"/>
      <c r="M108" s="4247"/>
      <c r="N108" s="4247"/>
      <c r="O108" s="4247"/>
      <c r="P108" s="4247"/>
      <c r="Q108" s="4247"/>
      <c r="R108" s="4247"/>
      <c r="S108" s="4247"/>
      <c r="T108" s="4247"/>
      <c r="U108" s="4247">
        <f t="shared" si="73"/>
        <v>0.10891619088924059</v>
      </c>
      <c r="V108" s="4247">
        <f t="shared" si="73"/>
        <v>3.1733101605958505E-2</v>
      </c>
      <c r="W108" s="4247">
        <f t="shared" si="73"/>
        <v>0.6016100046185312</v>
      </c>
      <c r="X108" s="4247">
        <f t="shared" si="73"/>
        <v>-6.6890124474088986E-2</v>
      </c>
      <c r="Y108" s="4247">
        <f t="shared" si="73"/>
        <v>3.2471400677978789E-2</v>
      </c>
      <c r="Z108" s="4247">
        <f t="shared" si="73"/>
        <v>-5.3304929777834152E-2</v>
      </c>
      <c r="AA108" s="4247">
        <f t="shared" si="73"/>
        <v>-8.9318162035206441E-2</v>
      </c>
      <c r="AB108" s="4247">
        <f t="shared" si="73"/>
        <v>-0.16794936256330475</v>
      </c>
      <c r="AC108" s="4247">
        <f t="shared" si="73"/>
        <v>-0.10933884829968146</v>
      </c>
      <c r="AD108" s="4247">
        <f t="shared" si="73"/>
        <v>-9.3389577097006987E-2</v>
      </c>
      <c r="AE108" s="4247">
        <f t="shared" si="73"/>
        <v>-9.1492698826276114E-2</v>
      </c>
      <c r="AF108" s="4247">
        <f t="shared" si="73"/>
        <v>5.626827609886983E-3</v>
      </c>
      <c r="AH108" s="4799"/>
    </row>
    <row r="109" spans="1:34" s="766" customFormat="1">
      <c r="A109" s="4595" t="str">
        <f>A95</f>
        <v>GAAP EPS</v>
      </c>
      <c r="B109" s="4247"/>
      <c r="C109" s="4247"/>
      <c r="D109" s="4247"/>
      <c r="E109" s="4247"/>
      <c r="F109" s="4247"/>
      <c r="G109" s="4247"/>
      <c r="H109" s="4247"/>
      <c r="I109" s="4247"/>
      <c r="J109" s="4247"/>
      <c r="K109" s="4247"/>
      <c r="L109" s="4247"/>
      <c r="M109" s="4247"/>
      <c r="N109" s="4247"/>
      <c r="O109" s="4247"/>
      <c r="P109" s="4247"/>
      <c r="Q109" s="4247"/>
      <c r="R109" s="4247"/>
      <c r="S109" s="4247"/>
      <c r="T109" s="4247"/>
      <c r="U109" s="4247">
        <f t="shared" ref="U109:AF109" si="74">IF(U95*T95&lt;=0,"NA",(U95-T95)/ABS(T95))</f>
        <v>0.10272149914712347</v>
      </c>
      <c r="V109" s="4247">
        <f t="shared" si="74"/>
        <v>5.9788309463407905E-3</v>
      </c>
      <c r="W109" s="4247">
        <f t="shared" si="74"/>
        <v>0.57548151164038519</v>
      </c>
      <c r="X109" s="4247">
        <f t="shared" si="74"/>
        <v>-9.944632986235432E-3</v>
      </c>
      <c r="Y109" s="4247">
        <f t="shared" si="74"/>
        <v>8.7032445941879463E-2</v>
      </c>
      <c r="Z109" s="4247">
        <f t="shared" si="74"/>
        <v>-7.0554421512469878E-2</v>
      </c>
      <c r="AA109" s="4247">
        <f t="shared" ca="1" si="74"/>
        <v>-0.11658932394991452</v>
      </c>
      <c r="AB109" s="4247">
        <f t="shared" ca="1" si="74"/>
        <v>-0.13400984171703534</v>
      </c>
      <c r="AC109" s="4247">
        <f t="shared" ca="1" si="74"/>
        <v>-0.10521104527562898</v>
      </c>
      <c r="AD109" s="4247">
        <f t="shared" ca="1" si="74"/>
        <v>-9.3670302889836354E-2</v>
      </c>
      <c r="AE109" s="4247">
        <f t="shared" ca="1" si="74"/>
        <v>-9.1861224190101384E-2</v>
      </c>
      <c r="AF109" s="4247">
        <f t="shared" ca="1" si="74"/>
        <v>5.0352005846729204E-3</v>
      </c>
      <c r="AH109" s="4799"/>
    </row>
    <row r="110" spans="1:34" s="766" customFormat="1">
      <c r="A110" s="4603" t="str">
        <f>A97</f>
        <v>D&amp;A</v>
      </c>
      <c r="B110" s="4247"/>
      <c r="C110" s="4247"/>
      <c r="D110" s="4247"/>
      <c r="E110" s="4247"/>
      <c r="F110" s="4247"/>
      <c r="G110" s="4247"/>
      <c r="H110" s="4247"/>
      <c r="I110" s="4247"/>
      <c r="J110" s="4247"/>
      <c r="K110" s="4247"/>
      <c r="L110" s="4247"/>
      <c r="M110" s="4247"/>
      <c r="N110" s="4247"/>
      <c r="O110" s="4247"/>
      <c r="P110" s="4247"/>
      <c r="Q110" s="4247"/>
      <c r="R110" s="4247"/>
      <c r="S110" s="4247"/>
      <c r="T110" s="4247"/>
      <c r="U110" s="4247">
        <f t="shared" ref="U110:AF111" si="75">IF(U97*T97&lt;=0,"NA",(U97-T97)/ABS(T97))</f>
        <v>0.18250354839320548</v>
      </c>
      <c r="V110" s="4247">
        <f t="shared" si="75"/>
        <v>6.0982171055529062E-2</v>
      </c>
      <c r="W110" s="4247">
        <f t="shared" si="75"/>
        <v>-7.8095668987375924E-2</v>
      </c>
      <c r="X110" s="4247">
        <f t="shared" si="75"/>
        <v>0.21052903789204261</v>
      </c>
      <c r="Y110" s="4247">
        <f t="shared" si="75"/>
        <v>-0.22090481621206867</v>
      </c>
      <c r="Z110" s="4247">
        <f t="shared" si="75"/>
        <v>-2.5166577953682222E-2</v>
      </c>
      <c r="AA110" s="4247">
        <f t="shared" si="75"/>
        <v>0.20176471415684766</v>
      </c>
      <c r="AB110" s="4247">
        <f t="shared" si="75"/>
        <v>0.23784074962451732</v>
      </c>
      <c r="AC110" s="4247">
        <f t="shared" si="75"/>
        <v>0.1610528498166183</v>
      </c>
      <c r="AD110" s="4247">
        <f t="shared" si="75"/>
        <v>1.2705490298770215E-2</v>
      </c>
      <c r="AE110" s="4247">
        <f t="shared" si="75"/>
        <v>-5.8053024980359597E-3</v>
      </c>
      <c r="AF110" s="4247">
        <f t="shared" si="75"/>
        <v>-5.3791655811682854E-3</v>
      </c>
      <c r="AH110" s="4799"/>
    </row>
    <row r="111" spans="1:34" s="766" customFormat="1">
      <c r="A111" s="4603" t="str">
        <f>A98</f>
        <v>SBC</v>
      </c>
      <c r="B111" s="4247"/>
      <c r="C111" s="4247"/>
      <c r="D111" s="4247"/>
      <c r="E111" s="4247"/>
      <c r="F111" s="4247"/>
      <c r="G111" s="4247"/>
      <c r="H111" s="4247"/>
      <c r="I111" s="4247"/>
      <c r="J111" s="4247"/>
      <c r="K111" s="4247"/>
      <c r="L111" s="4247"/>
      <c r="M111" s="4247"/>
      <c r="N111" s="4247"/>
      <c r="O111" s="4247"/>
      <c r="P111" s="4247"/>
      <c r="Q111" s="4247"/>
      <c r="R111" s="4247"/>
      <c r="S111" s="4247"/>
      <c r="T111" s="4247"/>
      <c r="U111" s="4247">
        <f t="shared" si="75"/>
        <v>0.13792179904487153</v>
      </c>
      <c r="V111" s="4247">
        <f t="shared" si="75"/>
        <v>0.1461474225424437</v>
      </c>
      <c r="W111" s="4247">
        <f t="shared" si="75"/>
        <v>0.10147546105354188</v>
      </c>
      <c r="X111" s="4247">
        <f t="shared" si="75"/>
        <v>0.23539607210308902</v>
      </c>
      <c r="Y111" s="4247">
        <f t="shared" si="75"/>
        <v>2.3008659340022879E-2</v>
      </c>
      <c r="Z111" s="4247">
        <f t="shared" si="75"/>
        <v>-0.14071514566618951</v>
      </c>
      <c r="AA111" s="4247">
        <f t="shared" si="75"/>
        <v>-5.3361891541970817E-2</v>
      </c>
      <c r="AB111" s="4247">
        <f t="shared" si="75"/>
        <v>2.7460727463670915E-2</v>
      </c>
      <c r="AC111" s="4247">
        <f t="shared" si="75"/>
        <v>-9.15456550415031E-3</v>
      </c>
      <c r="AD111" s="4247">
        <f t="shared" si="75"/>
        <v>8.8025066090064788E-3</v>
      </c>
      <c r="AE111" s="4247">
        <f t="shared" si="75"/>
        <v>9.7448744137942963E-3</v>
      </c>
      <c r="AF111" s="4247">
        <f t="shared" si="75"/>
        <v>1.2289917476910588E-2</v>
      </c>
      <c r="AH111" s="4799"/>
    </row>
    <row r="112" spans="1:34" s="766" customFormat="1">
      <c r="A112" s="4595" t="str">
        <f>A99</f>
        <v>Adj. EBITDA</v>
      </c>
      <c r="B112" s="4247"/>
      <c r="C112" s="4247"/>
      <c r="D112" s="4247"/>
      <c r="E112" s="4247"/>
      <c r="F112" s="4247"/>
      <c r="G112" s="4247"/>
      <c r="H112" s="4247"/>
      <c r="I112" s="4247"/>
      <c r="J112" s="4247"/>
      <c r="K112" s="4247"/>
      <c r="L112" s="4247"/>
      <c r="M112" s="4247"/>
      <c r="N112" s="4247"/>
      <c r="O112" s="4247"/>
      <c r="P112" s="4247"/>
      <c r="Q112" s="4247"/>
      <c r="R112" s="4247"/>
      <c r="S112" s="4247"/>
      <c r="T112" s="4247"/>
      <c r="U112" s="4247">
        <f t="shared" ref="U112:AF112" si="76">IF(U99*T99&lt;=0,"NA",(U99-T99)/ABS(T99))</f>
        <v>0.11938185856571137</v>
      </c>
      <c r="V112" s="4247">
        <f t="shared" si="76"/>
        <v>4.8764206843682052E-2</v>
      </c>
      <c r="W112" s="4247">
        <f t="shared" si="76"/>
        <v>0.46561924879975497</v>
      </c>
      <c r="X112" s="4247">
        <f t="shared" si="76"/>
        <v>-1.8659376068836293E-2</v>
      </c>
      <c r="Y112" s="4247">
        <f t="shared" si="76"/>
        <v>1.1433002959673753E-2</v>
      </c>
      <c r="Z112" s="4247">
        <f t="shared" si="76"/>
        <v>-6.2885605274614315E-2</v>
      </c>
      <c r="AA112" s="4247">
        <f t="shared" si="76"/>
        <v>-6.6809018248534968E-2</v>
      </c>
      <c r="AB112" s="4247">
        <f t="shared" si="76"/>
        <v>-0.11172551127942827</v>
      </c>
      <c r="AC112" s="4247">
        <f t="shared" si="76"/>
        <v>-6.4999999999999988E-2</v>
      </c>
      <c r="AD112" s="4247">
        <f t="shared" si="76"/>
        <v>-6.3529411764705848E-2</v>
      </c>
      <c r="AE112" s="4247">
        <f t="shared" si="76"/>
        <v>-6.2500000000000014E-2</v>
      </c>
      <c r="AF112" s="4247">
        <f t="shared" si="76"/>
        <v>4.9999999999998336E-3</v>
      </c>
      <c r="AH112" s="4799"/>
    </row>
    <row r="113" spans="1:34" s="766" customFormat="1">
      <c r="A113" s="4593" t="s">
        <v>891</v>
      </c>
      <c r="B113" s="4592"/>
      <c r="C113" s="4592"/>
      <c r="D113" s="4592"/>
      <c r="E113" s="4592"/>
      <c r="F113" s="4592"/>
      <c r="G113" s="4592"/>
      <c r="H113" s="4592"/>
      <c r="I113" s="4592"/>
      <c r="J113" s="4592"/>
      <c r="K113" s="4592"/>
      <c r="L113" s="4592"/>
      <c r="M113" s="4592"/>
      <c r="N113" s="4592"/>
      <c r="O113" s="4592"/>
      <c r="P113" s="4592"/>
      <c r="Q113" s="4592"/>
      <c r="R113" s="4592"/>
      <c r="S113" s="4592"/>
      <c r="T113" s="4592"/>
      <c r="U113" s="4592"/>
      <c r="V113" s="4592"/>
      <c r="W113" s="4592"/>
      <c r="X113" s="4592"/>
      <c r="Y113" s="4592"/>
      <c r="Z113" s="4592"/>
      <c r="AA113" s="4592"/>
      <c r="AB113" s="4592"/>
      <c r="AC113" s="4592"/>
      <c r="AD113" s="4592"/>
      <c r="AE113" s="4592"/>
      <c r="AF113" s="4592"/>
      <c r="AH113" s="4798"/>
    </row>
    <row r="114" spans="1:34" s="766" customFormat="1">
      <c r="A114" s="4581" t="str">
        <f>A86</f>
        <v>Net Revenue</v>
      </c>
      <c r="B114" s="4594"/>
      <c r="C114" s="4594"/>
      <c r="D114" s="4594"/>
      <c r="E114" s="4594"/>
      <c r="F114" s="4594"/>
      <c r="G114" s="4594"/>
      <c r="H114" s="4594"/>
      <c r="I114" s="4594"/>
      <c r="J114" s="4594"/>
      <c r="K114" s="4594"/>
      <c r="L114" s="4594"/>
      <c r="M114" s="4594"/>
      <c r="N114" s="4594"/>
      <c r="O114" s="4594"/>
      <c r="P114" s="4594"/>
      <c r="Q114" s="4594"/>
      <c r="R114" s="4594"/>
      <c r="S114" s="4594"/>
      <c r="T114" s="4607">
        <f t="shared" ref="T114:AB114" si="77">T86/T84</f>
        <v>0.29265367316341828</v>
      </c>
      <c r="U114" s="4607">
        <f t="shared" si="77"/>
        <v>0.30698784053464523</v>
      </c>
      <c r="V114" s="4607">
        <f t="shared" si="77"/>
        <v>0.3036401818969251</v>
      </c>
      <c r="W114" s="4607">
        <f t="shared" si="77"/>
        <v>0.31677358758398788</v>
      </c>
      <c r="X114" s="4607">
        <f t="shared" si="77"/>
        <v>0.31454335265405725</v>
      </c>
      <c r="Y114" s="4607">
        <f t="shared" si="77"/>
        <v>0.31333687404190086</v>
      </c>
      <c r="Z114" s="4607">
        <f t="shared" si="77"/>
        <v>0.31392889093843662</v>
      </c>
      <c r="AA114" s="4607">
        <f t="shared" si="77"/>
        <v>0.32541870753830354</v>
      </c>
      <c r="AB114" s="4607">
        <f t="shared" si="77"/>
        <v>0.33</v>
      </c>
      <c r="AC114" s="4607">
        <f>AC86/AC84</f>
        <v>0.33000000000000007</v>
      </c>
      <c r="AD114" s="4607">
        <f>AD86/AD84</f>
        <v>0.33000000000000007</v>
      </c>
      <c r="AE114" s="4607">
        <f>AE86/AE84</f>
        <v>0.33000000000000007</v>
      </c>
      <c r="AF114" s="4607">
        <f>AF86/AF84</f>
        <v>0.33000000000000007</v>
      </c>
      <c r="AH114" s="4800"/>
    </row>
    <row r="115" spans="1:34" s="766" customFormat="1">
      <c r="A115" s="4581" t="str">
        <f>A88</f>
        <v>Gross Profit</v>
      </c>
      <c r="B115" s="4598"/>
      <c r="C115" s="4598"/>
      <c r="D115" s="4598"/>
      <c r="E115" s="4598"/>
      <c r="F115" s="4598"/>
      <c r="G115" s="4598"/>
      <c r="H115" s="4598"/>
      <c r="I115" s="4598"/>
      <c r="J115" s="4598"/>
      <c r="K115" s="4598"/>
      <c r="L115" s="4598"/>
      <c r="M115" s="4598"/>
      <c r="N115" s="4598"/>
      <c r="O115" s="4598"/>
      <c r="P115" s="4598"/>
      <c r="Q115" s="4598"/>
      <c r="R115" s="4598"/>
      <c r="S115" s="4598"/>
      <c r="T115" s="4598">
        <f>T114*80%</f>
        <v>0.23412293853073463</v>
      </c>
      <c r="U115" s="4598">
        <f>U114*80%</f>
        <v>0.24559027242771619</v>
      </c>
      <c r="V115" s="4598">
        <f>V114*79%</f>
        <v>0.23987574369857084</v>
      </c>
      <c r="W115" s="4598">
        <f>W114*79.8%</f>
        <v>0.25278532289202232</v>
      </c>
      <c r="X115" s="4598">
        <f>X114*80%</f>
        <v>0.2516346821232458</v>
      </c>
      <c r="Y115" s="4598">
        <f t="shared" ref="Y115:AD115" si="78">Y114*81%</f>
        <v>0.25380286797393969</v>
      </c>
      <c r="Z115" s="4598">
        <f t="shared" si="78"/>
        <v>0.25428240166013366</v>
      </c>
      <c r="AA115" s="4598">
        <f t="shared" si="78"/>
        <v>0.26358915310602588</v>
      </c>
      <c r="AB115" s="4598">
        <f t="shared" si="78"/>
        <v>0.26730000000000004</v>
      </c>
      <c r="AC115" s="4598">
        <f t="shared" si="78"/>
        <v>0.26730000000000009</v>
      </c>
      <c r="AD115" s="4598">
        <f t="shared" si="78"/>
        <v>0.26730000000000009</v>
      </c>
      <c r="AE115" s="4598">
        <f t="shared" ref="AE115:AF115" si="79">AE114*81%</f>
        <v>0.26730000000000009</v>
      </c>
      <c r="AF115" s="4598">
        <f t="shared" si="79"/>
        <v>0.26730000000000009</v>
      </c>
      <c r="AH115" s="4801"/>
    </row>
    <row r="116" spans="1:34" s="766" customFormat="1">
      <c r="A116" s="4586" t="str">
        <f>A99</f>
        <v>Adj. EBITDA</v>
      </c>
      <c r="B116" s="4669"/>
      <c r="C116" s="4669"/>
      <c r="D116" s="4669"/>
      <c r="E116" s="4669"/>
      <c r="F116" s="4669"/>
      <c r="G116" s="4669"/>
      <c r="H116" s="4669"/>
      <c r="I116" s="4669"/>
      <c r="J116" s="4669"/>
      <c r="K116" s="4669"/>
      <c r="L116" s="4669"/>
      <c r="M116" s="4669"/>
      <c r="N116" s="4669"/>
      <c r="O116" s="4669"/>
      <c r="P116" s="4669"/>
      <c r="Q116" s="4669"/>
      <c r="R116" s="4669"/>
      <c r="S116" s="4669"/>
      <c r="T116" s="4670">
        <f t="shared" ref="T116:Y116" si="80">T114*T79/T77</f>
        <v>0.19908240566477661</v>
      </c>
      <c r="U116" s="4670">
        <f t="shared" si="80"/>
        <v>0.20695285457595111</v>
      </c>
      <c r="V116" s="4670">
        <f t="shared" si="80"/>
        <v>0.20254063015689733</v>
      </c>
      <c r="W116" s="4670">
        <f t="shared" si="80"/>
        <v>0.21621423719332317</v>
      </c>
      <c r="X116" s="4670">
        <f t="shared" si="80"/>
        <v>0.20519561614546936</v>
      </c>
      <c r="Y116" s="4670">
        <f t="shared" si="80"/>
        <v>0.21727178863217353</v>
      </c>
      <c r="Z116" s="4670">
        <v>0.21</v>
      </c>
      <c r="AA116" s="4670">
        <v>0.2</v>
      </c>
      <c r="AB116" s="4670">
        <v>0.18</v>
      </c>
      <c r="AC116" s="4670">
        <v>0.17</v>
      </c>
      <c r="AD116" s="4670">
        <v>0.16</v>
      </c>
      <c r="AE116" s="4670">
        <v>0.15</v>
      </c>
      <c r="AF116" s="4670">
        <v>0.15</v>
      </c>
      <c r="AH116" s="4801"/>
    </row>
    <row r="117" spans="1:34" s="766" customFormat="1">
      <c r="A117" s="4581" t="str">
        <f>A90</f>
        <v>GAAP Operating Income</v>
      </c>
      <c r="B117" s="4594"/>
      <c r="C117" s="4594"/>
      <c r="D117" s="4594"/>
      <c r="E117" s="4594"/>
      <c r="F117" s="4594"/>
      <c r="G117" s="4594"/>
      <c r="H117" s="4594"/>
      <c r="I117" s="4594"/>
      <c r="J117" s="4594"/>
      <c r="K117" s="4594"/>
      <c r="L117" s="4594"/>
      <c r="M117" s="4594"/>
      <c r="N117" s="4594"/>
      <c r="O117" s="4594"/>
      <c r="P117" s="4594"/>
      <c r="Q117" s="4594"/>
      <c r="R117" s="4594"/>
      <c r="S117" s="4594"/>
      <c r="T117" s="4607">
        <f t="shared" ref="T117:AB117" si="81">T90/T84</f>
        <v>0.15613198996774028</v>
      </c>
      <c r="U117" s="4607">
        <f t="shared" si="81"/>
        <v>0.16078698680723921</v>
      </c>
      <c r="V117" s="4607">
        <f t="shared" si="81"/>
        <v>0.1548036297914675</v>
      </c>
      <c r="W117" s="4607">
        <f t="shared" si="81"/>
        <v>0.18058799801210249</v>
      </c>
      <c r="X117" s="4607">
        <f t="shared" si="81"/>
        <v>0.16296175089169823</v>
      </c>
      <c r="Y117" s="4607">
        <f t="shared" si="81"/>
        <v>0.17614156621163993</v>
      </c>
      <c r="Z117" s="4607">
        <f t="shared" si="81"/>
        <v>0.17198687895364634</v>
      </c>
      <c r="AA117" s="4607">
        <f t="shared" si="81"/>
        <v>0.15984614193883032</v>
      </c>
      <c r="AB117" s="4607">
        <f t="shared" si="81"/>
        <v>0.13475572853072756</v>
      </c>
      <c r="AC117" s="4607">
        <f>AC90/AC84</f>
        <v>0.12123403269837707</v>
      </c>
      <c r="AD117" s="4607">
        <f>AD90/AD84</f>
        <v>0.11046435945217177</v>
      </c>
      <c r="AE117" s="4607">
        <f>AE90/AE84</f>
        <v>0.10035767708177672</v>
      </c>
      <c r="AF117" s="4607">
        <f>AF90/AF84</f>
        <v>0.10042027107467123</v>
      </c>
      <c r="AH117" s="4800"/>
    </row>
    <row r="118" spans="1:34" s="766" customFormat="1">
      <c r="A118" s="4581" t="str">
        <f>A94</f>
        <v>GAAP Net Income</v>
      </c>
      <c r="B118" s="4594"/>
      <c r="C118" s="4594"/>
      <c r="D118" s="4594"/>
      <c r="E118" s="4594"/>
      <c r="F118" s="4594"/>
      <c r="G118" s="4594"/>
      <c r="H118" s="4594"/>
      <c r="I118" s="4594"/>
      <c r="J118" s="4594"/>
      <c r="K118" s="4594"/>
      <c r="L118" s="4594"/>
      <c r="M118" s="4594"/>
      <c r="N118" s="4594"/>
      <c r="O118" s="4594"/>
      <c r="P118" s="4594"/>
      <c r="Q118" s="4594"/>
      <c r="R118" s="4594"/>
      <c r="S118" s="4594"/>
      <c r="T118" s="4607">
        <f t="shared" ref="T118:AB118" si="82">T94/T84</f>
        <v>0.14203695177596498</v>
      </c>
      <c r="U118" s="4607">
        <f t="shared" si="82"/>
        <v>0.14447669557782039</v>
      </c>
      <c r="V118" s="4607">
        <f t="shared" si="82"/>
        <v>0.13338968953614738</v>
      </c>
      <c r="W118" s="4607">
        <f t="shared" si="82"/>
        <v>0.15098469561718816</v>
      </c>
      <c r="X118" s="4607">
        <f t="shared" si="82"/>
        <v>0.14034996668400385</v>
      </c>
      <c r="Y118" s="4607">
        <f t="shared" si="82"/>
        <v>0.1544102761515655</v>
      </c>
      <c r="Z118" s="4607">
        <f t="shared" si="82"/>
        <v>0.14483286988995422</v>
      </c>
      <c r="AA118" s="4607">
        <f t="shared" ca="1" si="82"/>
        <v>0.12824772037045007</v>
      </c>
      <c r="AB118" s="4607">
        <f t="shared" ca="1" si="82"/>
        <v>0.11242420614599241</v>
      </c>
      <c r="AC118" s="4607">
        <f ca="1">AC94/AC84</f>
        <v>0.10080463536731056</v>
      </c>
      <c r="AD118" s="4607">
        <f ca="1">AD94/AD84</f>
        <v>9.1015901776454619E-2</v>
      </c>
      <c r="AE118" s="4607">
        <f ca="1">AE94/AE84</f>
        <v>8.1834617509955437E-2</v>
      </c>
      <c r="AF118" s="4607">
        <f ca="1">AF94/AF84</f>
        <v>8.0931232510962181E-2</v>
      </c>
      <c r="AH118" s="4800"/>
    </row>
    <row r="119" spans="1:34" s="766" customFormat="1">
      <c r="A119" s="4581"/>
      <c r="B119" s="4582"/>
      <c r="C119" s="4582"/>
      <c r="D119" s="4582"/>
      <c r="E119" s="4582"/>
      <c r="F119" s="4582"/>
      <c r="G119" s="4582"/>
      <c r="H119" s="4582"/>
      <c r="I119" s="4582"/>
      <c r="J119" s="4582"/>
      <c r="K119" s="4582"/>
      <c r="L119" s="4582"/>
      <c r="M119" s="4582"/>
      <c r="N119" s="4582"/>
      <c r="O119" s="4582"/>
      <c r="P119" s="4582"/>
      <c r="Q119" s="4582"/>
      <c r="R119" s="4582"/>
      <c r="S119" s="4582"/>
      <c r="T119" s="4582"/>
      <c r="U119" s="4582"/>
      <c r="V119" s="4582"/>
      <c r="W119" s="4582"/>
      <c r="X119" s="4582"/>
      <c r="Y119" s="4582"/>
      <c r="Z119" s="4582"/>
      <c r="AA119" s="4582"/>
      <c r="AB119" s="4582"/>
      <c r="AC119" s="4582"/>
      <c r="AD119" s="4582"/>
      <c r="AE119" s="4582"/>
      <c r="AF119" s="4582"/>
      <c r="AH119" s="4796"/>
    </row>
    <row r="120" spans="1:34" s="627" customFormat="1">
      <c r="A120" s="4584" t="s">
        <v>732</v>
      </c>
      <c r="B120" s="4583"/>
      <c r="C120" s="4583"/>
      <c r="D120" s="4583"/>
      <c r="E120" s="4583"/>
      <c r="F120" s="4583"/>
      <c r="G120" s="4583"/>
      <c r="H120" s="4583"/>
      <c r="I120" s="4583"/>
      <c r="J120" s="4583"/>
      <c r="K120" s="4583"/>
      <c r="L120" s="4583"/>
      <c r="M120" s="4583"/>
      <c r="N120" s="4583"/>
      <c r="O120" s="4583"/>
      <c r="P120" s="4583"/>
      <c r="Q120" s="4583"/>
      <c r="R120" s="4583"/>
      <c r="S120" s="4583"/>
      <c r="T120" s="4583"/>
      <c r="U120" s="4583"/>
      <c r="V120" s="4583"/>
      <c r="W120" s="4583"/>
      <c r="X120" s="4583"/>
      <c r="Y120" s="4583"/>
      <c r="Z120" s="4583"/>
      <c r="AA120" s="4583"/>
      <c r="AB120" s="4583"/>
      <c r="AC120" s="4583"/>
      <c r="AD120" s="4583"/>
      <c r="AE120" s="4583"/>
      <c r="AF120" s="4583"/>
      <c r="AH120" s="4796"/>
    </row>
    <row r="121" spans="1:34" s="766" customFormat="1">
      <c r="A121" s="4585" t="s">
        <v>893</v>
      </c>
      <c r="B121" s="4590"/>
      <c r="C121" s="4590"/>
      <c r="D121" s="4590"/>
      <c r="E121" s="4590"/>
      <c r="F121" s="4590"/>
      <c r="G121" s="4590"/>
      <c r="H121" s="4590"/>
      <c r="I121" s="4590"/>
      <c r="J121" s="4590"/>
      <c r="K121" s="4590"/>
      <c r="L121" s="4590"/>
      <c r="M121" s="4590"/>
      <c r="N121" s="4590"/>
      <c r="O121" s="4590"/>
      <c r="P121" s="4590"/>
      <c r="Q121" s="4590"/>
      <c r="R121" s="4590"/>
      <c r="S121" s="4590"/>
      <c r="T121" s="4590">
        <f>'Revenue Drivers'!DG15</f>
        <v>11155</v>
      </c>
      <c r="U121" s="4590">
        <f>'Revenue Drivers'!DL15</f>
        <v>15149</v>
      </c>
      <c r="V121" s="4590">
        <f>'Revenue Drivers'!DQ15</f>
        <v>19772</v>
      </c>
      <c r="W121" s="4590">
        <f>'Revenue Drivers'!DV15</f>
        <v>28845</v>
      </c>
      <c r="X121" s="4590">
        <f>'Revenue Drivers'!EA15</f>
        <v>29243</v>
      </c>
      <c r="Y121" s="4590">
        <f>'Revenue Drivers'!EF15</f>
        <v>31510</v>
      </c>
      <c r="Z121" s="4590">
        <f>'Revenue Drivers'!EK15</f>
        <v>36147</v>
      </c>
      <c r="AA121" s="4590">
        <f>'Revenue Drivers'!EP15</f>
        <v>40922.644129142733</v>
      </c>
      <c r="AB121" s="4590">
        <f>'Revenue Drivers'!EU15</f>
        <v>46847.880286255</v>
      </c>
      <c r="AC121" s="4590">
        <f>'Revenue Drivers'!EV15</f>
        <v>52001.147117743058</v>
      </c>
      <c r="AD121" s="4590">
        <f>'Revenue Drivers'!EW15</f>
        <v>57201.261829517367</v>
      </c>
      <c r="AE121" s="4590">
        <f>'Revenue Drivers'!EX15</f>
        <v>62349.375394173934</v>
      </c>
      <c r="AF121" s="4590">
        <f>'Revenue Drivers'!EY15</f>
        <v>67649.072302678716</v>
      </c>
      <c r="AH121" s="4797">
        <f t="shared" ref="AH121:AH123" si="83">(AC121/Z121)^(1/3)-1</f>
        <v>0.12887768519004017</v>
      </c>
    </row>
    <row r="122" spans="1:34" s="766" customFormat="1">
      <c r="A122" s="4585" t="s">
        <v>894</v>
      </c>
      <c r="B122" s="4597"/>
      <c r="C122" s="4597"/>
      <c r="D122" s="4597"/>
      <c r="E122" s="4597"/>
      <c r="F122" s="4597"/>
      <c r="G122" s="4597"/>
      <c r="H122" s="4597"/>
      <c r="I122" s="4597"/>
      <c r="J122" s="4597"/>
      <c r="K122" s="4597"/>
      <c r="L122" s="4597"/>
      <c r="M122" s="4597"/>
      <c r="N122" s="4597"/>
      <c r="O122" s="4597"/>
      <c r="P122" s="4597"/>
      <c r="Q122" s="4597"/>
      <c r="R122" s="4597"/>
      <c r="S122" s="4597"/>
      <c r="T122" s="4597">
        <v>2300</v>
      </c>
      <c r="U122" s="4597">
        <v>2800</v>
      </c>
      <c r="V122" s="4590">
        <f t="shared" ref="V122:AF122" si="84">U122*(1+V145)</f>
        <v>4480</v>
      </c>
      <c r="W122" s="4590">
        <f t="shared" si="84"/>
        <v>6944</v>
      </c>
      <c r="X122" s="4590">
        <f t="shared" si="84"/>
        <v>10068.799999999999</v>
      </c>
      <c r="Y122" s="4590">
        <f t="shared" si="84"/>
        <v>13592.88</v>
      </c>
      <c r="Z122" s="4590">
        <f t="shared" si="84"/>
        <v>17942.601599999998</v>
      </c>
      <c r="AA122" s="4590">
        <f t="shared" si="84"/>
        <v>21172.269887999995</v>
      </c>
      <c r="AB122" s="4590">
        <f t="shared" si="84"/>
        <v>23924.664973439991</v>
      </c>
      <c r="AC122" s="4590">
        <f t="shared" si="84"/>
        <v>26795.624770252791</v>
      </c>
      <c r="AD122" s="4590">
        <f t="shared" si="84"/>
        <v>29743.143494980599</v>
      </c>
      <c r="AE122" s="4590">
        <f t="shared" si="84"/>
        <v>32420.026409528855</v>
      </c>
      <c r="AF122" s="4590">
        <f t="shared" si="84"/>
        <v>35337.828786386453</v>
      </c>
      <c r="AH122" s="4797">
        <f t="shared" si="83"/>
        <v>0.1430349009218066</v>
      </c>
    </row>
    <row r="123" spans="1:34" s="766" customFormat="1">
      <c r="A123" s="4586" t="str">
        <f>A8</f>
        <v>Gross Revenue</v>
      </c>
      <c r="B123" s="4589"/>
      <c r="C123" s="4589"/>
      <c r="D123" s="4589"/>
      <c r="E123" s="4589"/>
      <c r="F123" s="4589"/>
      <c r="G123" s="4589"/>
      <c r="H123" s="4589"/>
      <c r="I123" s="4589"/>
      <c r="J123" s="4589"/>
      <c r="K123" s="4589"/>
      <c r="L123" s="4589"/>
      <c r="M123" s="4589"/>
      <c r="N123" s="4589"/>
      <c r="O123" s="4589"/>
      <c r="P123" s="4589"/>
      <c r="Q123" s="4589"/>
      <c r="R123" s="4589"/>
      <c r="S123" s="4589"/>
      <c r="T123" s="4589">
        <f>SUM(T121:T122)</f>
        <v>13455</v>
      </c>
      <c r="U123" s="4589">
        <f>SUM(U121:U122)</f>
        <v>17949</v>
      </c>
      <c r="V123" s="4589">
        <f t="shared" ref="V123:AA123" si="85">SUM(V121:V122)</f>
        <v>24252</v>
      </c>
      <c r="W123" s="4589">
        <f t="shared" si="85"/>
        <v>35789</v>
      </c>
      <c r="X123" s="4589">
        <f t="shared" si="85"/>
        <v>39311.800000000003</v>
      </c>
      <c r="Y123" s="4589">
        <f t="shared" si="85"/>
        <v>45102.879999999997</v>
      </c>
      <c r="Z123" s="4589">
        <f t="shared" si="85"/>
        <v>54089.601599999995</v>
      </c>
      <c r="AA123" s="4589">
        <f t="shared" si="85"/>
        <v>62094.914017142728</v>
      </c>
      <c r="AB123" s="4589">
        <f>SUM(AB121:AB122)</f>
        <v>70772.545259694991</v>
      </c>
      <c r="AC123" s="4589">
        <f>SUM(AC121:AC122)</f>
        <v>78796.771887995856</v>
      </c>
      <c r="AD123" s="4589">
        <f>SUM(AD121:AD122)</f>
        <v>86944.405324497959</v>
      </c>
      <c r="AE123" s="4589">
        <f>SUM(AE121:AE122)</f>
        <v>94769.401803702785</v>
      </c>
      <c r="AF123" s="4589">
        <f>SUM(AF121:AF122)</f>
        <v>102986.90108906517</v>
      </c>
      <c r="AH123" s="4797">
        <f t="shared" si="83"/>
        <v>0.13361316555535008</v>
      </c>
    </row>
    <row r="124" spans="1:34" s="766" customFormat="1">
      <c r="A124" s="4585" t="str">
        <f>A9</f>
        <v>TAC</v>
      </c>
      <c r="B124" s="4590"/>
      <c r="C124" s="4590"/>
      <c r="D124" s="4590"/>
      <c r="E124" s="4590"/>
      <c r="F124" s="4590"/>
      <c r="G124" s="4590"/>
      <c r="H124" s="4590"/>
      <c r="I124" s="4590"/>
      <c r="J124" s="4590"/>
      <c r="K124" s="4590"/>
      <c r="L124" s="4590"/>
      <c r="M124" s="4590"/>
      <c r="N124" s="4590"/>
      <c r="O124" s="4590"/>
      <c r="P124" s="4590"/>
      <c r="Q124" s="4590"/>
      <c r="R124" s="4590"/>
      <c r="S124" s="4590"/>
      <c r="T124" s="4590">
        <f>T123-T125</f>
        <v>0</v>
      </c>
      <c r="U124" s="4590">
        <f>U123-U125</f>
        <v>0</v>
      </c>
      <c r="V124" s="4590">
        <f t="shared" ref="V124:AA124" si="86">V123-V125</f>
        <v>0</v>
      </c>
      <c r="W124" s="4590">
        <f t="shared" si="86"/>
        <v>0</v>
      </c>
      <c r="X124" s="4590">
        <f t="shared" si="86"/>
        <v>0</v>
      </c>
      <c r="Y124" s="4590">
        <f t="shared" si="86"/>
        <v>0</v>
      </c>
      <c r="Z124" s="4590">
        <f t="shared" si="86"/>
        <v>0</v>
      </c>
      <c r="AA124" s="4590">
        <f t="shared" si="86"/>
        <v>0</v>
      </c>
      <c r="AB124" s="4590">
        <f>AB123-AB125</f>
        <v>0</v>
      </c>
      <c r="AC124" s="4590">
        <f>AC123-AC125</f>
        <v>0</v>
      </c>
      <c r="AD124" s="4590">
        <f>AD123-AD125</f>
        <v>0</v>
      </c>
      <c r="AE124" s="4590">
        <f>AE123-AE125</f>
        <v>0</v>
      </c>
      <c r="AF124" s="4590">
        <f>AF123-AF125</f>
        <v>0</v>
      </c>
      <c r="AH124" s="4798"/>
    </row>
    <row r="125" spans="1:34" s="766" customFormat="1">
      <c r="A125" s="4586" t="str">
        <f>A10</f>
        <v>Net Revenue</v>
      </c>
      <c r="B125" s="4589"/>
      <c r="C125" s="4589"/>
      <c r="D125" s="4589"/>
      <c r="E125" s="4589"/>
      <c r="F125" s="4589"/>
      <c r="G125" s="4589"/>
      <c r="H125" s="4589"/>
      <c r="I125" s="4589"/>
      <c r="J125" s="4589"/>
      <c r="K125" s="4589"/>
      <c r="L125" s="4589"/>
      <c r="M125" s="4589"/>
      <c r="N125" s="4589"/>
      <c r="O125" s="4589"/>
      <c r="P125" s="4589"/>
      <c r="Q125" s="4589"/>
      <c r="R125" s="4589"/>
      <c r="S125" s="4589"/>
      <c r="T125" s="4589">
        <f t="shared" ref="T125:AB125" si="87">T123*T160</f>
        <v>13455</v>
      </c>
      <c r="U125" s="4589">
        <f t="shared" si="87"/>
        <v>17949</v>
      </c>
      <c r="V125" s="4589">
        <f t="shared" si="87"/>
        <v>24252</v>
      </c>
      <c r="W125" s="4589">
        <f t="shared" si="87"/>
        <v>35789</v>
      </c>
      <c r="X125" s="4589">
        <f t="shared" si="87"/>
        <v>39311.800000000003</v>
      </c>
      <c r="Y125" s="4589">
        <f t="shared" si="87"/>
        <v>45102.879999999997</v>
      </c>
      <c r="Z125" s="4589">
        <f t="shared" si="87"/>
        <v>54089.601599999995</v>
      </c>
      <c r="AA125" s="4589">
        <f t="shared" si="87"/>
        <v>62094.914017142728</v>
      </c>
      <c r="AB125" s="4589">
        <f t="shared" si="87"/>
        <v>70772.545259694991</v>
      </c>
      <c r="AC125" s="4589">
        <f>AC123*AC160</f>
        <v>78796.771887995856</v>
      </c>
      <c r="AD125" s="4589">
        <f>AD123*AD160</f>
        <v>86944.405324497959</v>
      </c>
      <c r="AE125" s="4589">
        <f>AE123*AE160</f>
        <v>94769.401803702785</v>
      </c>
      <c r="AF125" s="4589">
        <f>AF123*AF160</f>
        <v>102986.90108906517</v>
      </c>
      <c r="AH125" s="4797">
        <f>(AC125/Z125)^(1/3)-1</f>
        <v>0.13361316555535008</v>
      </c>
    </row>
    <row r="126" spans="1:34" s="766" customFormat="1" hidden="1" outlineLevel="1">
      <c r="A126" s="4811" t="str">
        <f>A161</f>
        <v>YouTube Ads CAC Assumption</v>
      </c>
      <c r="B126" s="4597"/>
      <c r="C126" s="4597"/>
      <c r="D126" s="4597"/>
      <c r="E126" s="4597"/>
      <c r="F126" s="4597"/>
      <c r="G126" s="4597"/>
      <c r="H126" s="4597"/>
      <c r="I126" s="4597"/>
      <c r="J126" s="4597"/>
      <c r="K126" s="4597"/>
      <c r="L126" s="4597"/>
      <c r="M126" s="4597"/>
      <c r="N126" s="4597"/>
      <c r="O126" s="4597"/>
      <c r="P126" s="4597"/>
      <c r="Q126" s="4597"/>
      <c r="R126" s="4597"/>
      <c r="S126" s="4597"/>
      <c r="T126" s="4597">
        <f t="shared" ref="T126:AB126" si="88">T121*T161</f>
        <v>6135.2500000000009</v>
      </c>
      <c r="U126" s="4597">
        <f t="shared" si="88"/>
        <v>8331.9500000000007</v>
      </c>
      <c r="V126" s="4597">
        <f t="shared" si="88"/>
        <v>10874.6</v>
      </c>
      <c r="W126" s="4597">
        <f t="shared" si="88"/>
        <v>15864.750000000002</v>
      </c>
      <c r="X126" s="4597">
        <f t="shared" si="88"/>
        <v>16083.650000000001</v>
      </c>
      <c r="Y126" s="4597">
        <f t="shared" si="88"/>
        <v>17330.5</v>
      </c>
      <c r="Z126" s="4597">
        <f t="shared" si="88"/>
        <v>20242.320000000003</v>
      </c>
      <c r="AA126" s="4597">
        <f t="shared" si="88"/>
        <v>23325.907153611355</v>
      </c>
      <c r="AB126" s="4597">
        <f t="shared" si="88"/>
        <v>27171.770566027899</v>
      </c>
      <c r="AC126" s="4597">
        <f>AC121*AC161</f>
        <v>30420.671063879687</v>
      </c>
      <c r="AD126" s="4597">
        <f>AD121*AD161</f>
        <v>33748.744479415247</v>
      </c>
      <c r="AE126" s="4597">
        <f>AE121*AE161</f>
        <v>36786.131482562618</v>
      </c>
      <c r="AF126" s="4597">
        <f>AF121*AF161</f>
        <v>39912.952658580441</v>
      </c>
      <c r="AH126" s="4803"/>
    </row>
    <row r="127" spans="1:34" s="766" customFormat="1" hidden="1" outlineLevel="1">
      <c r="A127" s="4811" t="str">
        <f>A162</f>
        <v>YouTube Subs CAC Assumption</v>
      </c>
      <c r="B127" s="4597"/>
      <c r="C127" s="4597"/>
      <c r="D127" s="4597"/>
      <c r="E127" s="4597"/>
      <c r="F127" s="4597"/>
      <c r="G127" s="4597"/>
      <c r="H127" s="4597"/>
      <c r="I127" s="4597"/>
      <c r="J127" s="4597"/>
      <c r="K127" s="4597"/>
      <c r="L127" s="4597"/>
      <c r="M127" s="4597"/>
      <c r="N127" s="4597"/>
      <c r="O127" s="4597"/>
      <c r="P127" s="4597"/>
      <c r="Q127" s="4597"/>
      <c r="R127" s="4597"/>
      <c r="S127" s="4597"/>
      <c r="T127" s="4597">
        <f t="shared" ref="T127:AB127" si="89">+T122*T162</f>
        <v>2070</v>
      </c>
      <c r="U127" s="4597">
        <f t="shared" si="89"/>
        <v>3080.0000000000005</v>
      </c>
      <c r="V127" s="4597">
        <f t="shared" si="89"/>
        <v>5152</v>
      </c>
      <c r="W127" s="4597">
        <f t="shared" si="89"/>
        <v>8124.48</v>
      </c>
      <c r="X127" s="4597">
        <f>+X122*X162</f>
        <v>11881.183999999999</v>
      </c>
      <c r="Y127" s="4597">
        <f t="shared" si="89"/>
        <v>15631.811999999998</v>
      </c>
      <c r="Z127" s="4597">
        <f t="shared" si="89"/>
        <v>17942.601599999998</v>
      </c>
      <c r="AA127" s="4597">
        <f t="shared" si="89"/>
        <v>19901.933694719995</v>
      </c>
      <c r="AB127" s="4597">
        <f t="shared" si="89"/>
        <v>21723.595795883513</v>
      </c>
      <c r="AC127" s="4597">
        <f>+AC122*AC162</f>
        <v>23714.12792167372</v>
      </c>
      <c r="AD127" s="4597">
        <f>+AD122*AD162</f>
        <v>26322.681993057831</v>
      </c>
      <c r="AE127" s="4597">
        <f>+AE122*AE162</f>
        <v>28691.723372433036</v>
      </c>
      <c r="AF127" s="4597">
        <f>+AF122*AF162</f>
        <v>31273.978475952012</v>
      </c>
      <c r="AH127" s="4803"/>
    </row>
    <row r="128" spans="1:34" s="766" customFormat="1" hidden="1" outlineLevel="1">
      <c r="A128" s="4811" t="s">
        <v>945</v>
      </c>
      <c r="B128" s="4597"/>
      <c r="C128" s="4597"/>
      <c r="D128" s="4597"/>
      <c r="E128" s="4597"/>
      <c r="F128" s="4597"/>
      <c r="G128" s="4597"/>
      <c r="H128" s="4597"/>
      <c r="I128" s="4597"/>
      <c r="J128" s="4597"/>
      <c r="K128" s="4597"/>
      <c r="L128" s="4597"/>
      <c r="M128" s="4597"/>
      <c r="N128" s="4597"/>
      <c r="O128" s="4597"/>
      <c r="P128" s="4597"/>
      <c r="Q128" s="4597"/>
      <c r="R128" s="4597"/>
      <c r="S128" s="4597"/>
      <c r="T128" s="4597">
        <f t="shared" ref="T128:AB128" si="90">(T125-SUM(T126:T127))*T163</f>
        <v>2099.9</v>
      </c>
      <c r="U128" s="4597">
        <f t="shared" si="90"/>
        <v>2614.8199999999997</v>
      </c>
      <c r="V128" s="4597">
        <f t="shared" si="90"/>
        <v>2961.1439999999998</v>
      </c>
      <c r="W128" s="4597">
        <f>(W125-SUM(W126:W127))*W163</f>
        <v>3539.9309999999991</v>
      </c>
      <c r="X128" s="4597">
        <f t="shared" si="90"/>
        <v>3812.5805760000003</v>
      </c>
      <c r="Y128" s="4597">
        <f t="shared" si="90"/>
        <v>3642.1703999999995</v>
      </c>
      <c r="Z128" s="4597">
        <f t="shared" si="90"/>
        <v>4771.4039999999977</v>
      </c>
      <c r="AA128" s="4597">
        <f t="shared" si="90"/>
        <v>5471.4512189552979</v>
      </c>
      <c r="AB128" s="4597">
        <f t="shared" si="90"/>
        <v>6125.6100913794035</v>
      </c>
      <c r="AC128" s="4597">
        <f>(AC125-SUM(AC126:AC127))*AC163</f>
        <v>6658.7326836594602</v>
      </c>
      <c r="AD128" s="4597">
        <f>(AD125-SUM(AD126:AD127))*AD163</f>
        <v>6986.9745015264698</v>
      </c>
      <c r="AE128" s="4597">
        <f>(AE125-SUM(AE126:AE127))*AE163</f>
        <v>7615.8022066638541</v>
      </c>
      <c r="AF128" s="4597">
        <f>(AF125-SUM(AF126:AF127))*AF163</f>
        <v>8267.9921881785067</v>
      </c>
      <c r="AH128" s="4803"/>
    </row>
    <row r="129" spans="1:34" s="766" customFormat="1" collapsed="1">
      <c r="A129" s="4585" t="str">
        <f t="shared" ref="A129:A137" si="91">A11</f>
        <v>Other Cost Of Revenues</v>
      </c>
      <c r="B129" s="4597"/>
      <c r="C129" s="4597"/>
      <c r="D129" s="4597"/>
      <c r="E129" s="4597"/>
      <c r="F129" s="4597"/>
      <c r="G129" s="4597"/>
      <c r="H129" s="4597"/>
      <c r="I129" s="4597"/>
      <c r="J129" s="4597"/>
      <c r="K129" s="4597"/>
      <c r="L129" s="4597"/>
      <c r="M129" s="4597"/>
      <c r="N129" s="4597"/>
      <c r="O129" s="4597"/>
      <c r="P129" s="4597"/>
      <c r="Q129" s="4597"/>
      <c r="R129" s="4597"/>
      <c r="S129" s="4597"/>
      <c r="T129" s="4590">
        <f>SUM(T126:T128)</f>
        <v>10305.15</v>
      </c>
      <c r="U129" s="4590">
        <f t="shared" ref="U129:AB129" si="92">SUM(U126:U128)</f>
        <v>14026.77</v>
      </c>
      <c r="V129" s="4590">
        <f t="shared" si="92"/>
        <v>18987.743999999999</v>
      </c>
      <c r="W129" s="4590">
        <f t="shared" si="92"/>
        <v>27529.161000000004</v>
      </c>
      <c r="X129" s="4590">
        <f t="shared" si="92"/>
        <v>31777.414576000003</v>
      </c>
      <c r="Y129" s="4590">
        <f t="shared" si="92"/>
        <v>36604.482400000001</v>
      </c>
      <c r="Z129" s="4590">
        <f t="shared" si="92"/>
        <v>42956.325599999996</v>
      </c>
      <c r="AA129" s="4590">
        <f t="shared" si="92"/>
        <v>48699.292067286653</v>
      </c>
      <c r="AB129" s="4590">
        <f t="shared" si="92"/>
        <v>55020.976453290816</v>
      </c>
      <c r="AC129" s="4590">
        <f>SUM(AC126:AC128)</f>
        <v>60793.531669212869</v>
      </c>
      <c r="AD129" s="4590">
        <f>SUM(AD126:AD128)</f>
        <v>67058.400973999538</v>
      </c>
      <c r="AE129" s="4590">
        <f>SUM(AE126:AE128)</f>
        <v>73093.657061659513</v>
      </c>
      <c r="AF129" s="4590">
        <f>SUM(AF126:AF128)</f>
        <v>79454.923322710965</v>
      </c>
      <c r="AH129" s="4803"/>
    </row>
    <row r="130" spans="1:34" s="766" customFormat="1">
      <c r="A130" s="4586" t="str">
        <f t="shared" si="91"/>
        <v>Gross Profit</v>
      </c>
      <c r="B130" s="4589"/>
      <c r="C130" s="4589"/>
      <c r="D130" s="4589"/>
      <c r="E130" s="4589"/>
      <c r="F130" s="4589"/>
      <c r="G130" s="4589"/>
      <c r="H130" s="4589"/>
      <c r="I130" s="4589"/>
      <c r="J130" s="4589"/>
      <c r="K130" s="4589"/>
      <c r="L130" s="4589"/>
      <c r="M130" s="4589"/>
      <c r="N130" s="4589"/>
      <c r="O130" s="4589"/>
      <c r="P130" s="4589"/>
      <c r="Q130" s="4589"/>
      <c r="R130" s="4589"/>
      <c r="S130" s="4589"/>
      <c r="T130" s="4589">
        <f>T125-T129</f>
        <v>3149.8500000000004</v>
      </c>
      <c r="U130" s="4589">
        <f t="shared" ref="U130:AB130" si="93">U125-U129</f>
        <v>3922.2299999999996</v>
      </c>
      <c r="V130" s="4589">
        <f t="shared" si="93"/>
        <v>5264.2560000000012</v>
      </c>
      <c r="W130" s="4589">
        <f t="shared" si="93"/>
        <v>8259.8389999999963</v>
      </c>
      <c r="X130" s="4589">
        <f t="shared" si="93"/>
        <v>7534.3854240000001</v>
      </c>
      <c r="Y130" s="4589">
        <f t="shared" si="93"/>
        <v>8498.3975999999966</v>
      </c>
      <c r="Z130" s="4589">
        <f t="shared" si="93"/>
        <v>11133.275999999998</v>
      </c>
      <c r="AA130" s="4589">
        <f t="shared" si="93"/>
        <v>13395.621949856075</v>
      </c>
      <c r="AB130" s="4589">
        <f t="shared" si="93"/>
        <v>15751.568806404175</v>
      </c>
      <c r="AC130" s="4589">
        <f>AC125-AC129</f>
        <v>18003.240218782987</v>
      </c>
      <c r="AD130" s="4589">
        <f>AD125-AD129</f>
        <v>19886.004350498421</v>
      </c>
      <c r="AE130" s="4589">
        <f>AE125-AE129</f>
        <v>21675.744742043273</v>
      </c>
      <c r="AF130" s="4589">
        <f>AF125-AF129</f>
        <v>23531.977766354205</v>
      </c>
      <c r="AH130" s="4797">
        <f>(AC130/Z130)^(1/3)-1</f>
        <v>0.1737507972225536</v>
      </c>
    </row>
    <row r="131" spans="1:34" s="766" customFormat="1">
      <c r="A131" s="4585" t="str">
        <f t="shared" si="91"/>
        <v>GAAP Expenses</v>
      </c>
      <c r="B131" s="4590"/>
      <c r="C131" s="4590"/>
      <c r="D131" s="4590"/>
      <c r="E131" s="4590"/>
      <c r="F131" s="4590"/>
      <c r="G131" s="4590"/>
      <c r="H131" s="4590"/>
      <c r="I131" s="4590"/>
      <c r="J131" s="4590"/>
      <c r="K131" s="4590"/>
      <c r="L131" s="4590"/>
      <c r="M131" s="4590"/>
      <c r="N131" s="4590"/>
      <c r="O131" s="4590"/>
      <c r="P131" s="4590"/>
      <c r="Q131" s="4590"/>
      <c r="R131" s="4590"/>
      <c r="S131" s="4590"/>
      <c r="T131" s="4590">
        <f t="shared" ref="T131:AB131" si="94">T130-T132</f>
        <v>2999.6023869154897</v>
      </c>
      <c r="U131" s="4590">
        <f t="shared" si="94"/>
        <v>3562.0812136094855</v>
      </c>
      <c r="V131" s="4590">
        <f t="shared" si="94"/>
        <v>3615.0002122436745</v>
      </c>
      <c r="W131" s="4590">
        <f t="shared" si="94"/>
        <v>5873.0479338877567</v>
      </c>
      <c r="X131" s="4590">
        <f t="shared" si="94"/>
        <v>6590.6780569050097</v>
      </c>
      <c r="Y131" s="4590">
        <f t="shared" si="94"/>
        <v>7263.2812576630859</v>
      </c>
      <c r="Z131" s="4590">
        <f t="shared" si="94"/>
        <v>7783.0978486215008</v>
      </c>
      <c r="AA131" s="4590">
        <f t="shared" si="94"/>
        <v>7576.1400976549376</v>
      </c>
      <c r="AB131" s="4590">
        <f t="shared" si="94"/>
        <v>8334.2326491149797</v>
      </c>
      <c r="AC131" s="4590">
        <f>AC130-AC132</f>
        <v>9995.3297922943275</v>
      </c>
      <c r="AD131" s="4590">
        <f>AD130-AD132</f>
        <v>10754.531422540666</v>
      </c>
      <c r="AE131" s="4590">
        <f>AE130-AE132</f>
        <v>11512.619833348543</v>
      </c>
      <c r="AF131" s="4590">
        <f>AF130-AF132</f>
        <v>12424.234605700625</v>
      </c>
      <c r="AH131" s="4798"/>
    </row>
    <row r="132" spans="1:34" s="766" customFormat="1">
      <c r="A132" s="4586" t="str">
        <f t="shared" si="91"/>
        <v>GAAP Operating Income</v>
      </c>
      <c r="B132" s="4589"/>
      <c r="C132" s="4589"/>
      <c r="D132" s="4589"/>
      <c r="E132" s="4589"/>
      <c r="F132" s="4589"/>
      <c r="G132" s="4589"/>
      <c r="H132" s="4589"/>
      <c r="I132" s="4589"/>
      <c r="J132" s="4589"/>
      <c r="K132" s="4589"/>
      <c r="L132" s="4589"/>
      <c r="M132" s="4589"/>
      <c r="N132" s="4589"/>
      <c r="O132" s="4589"/>
      <c r="P132" s="4589"/>
      <c r="Q132" s="4589"/>
      <c r="R132" s="4589"/>
      <c r="S132" s="4589"/>
      <c r="T132" s="4589">
        <f t="shared" ref="T132:AB132" si="95">T141-SUM(T139:T140)</f>
        <v>150.24761308451048</v>
      </c>
      <c r="U132" s="4589">
        <f t="shared" si="95"/>
        <v>360.14878639051403</v>
      </c>
      <c r="V132" s="4589">
        <f t="shared" si="95"/>
        <v>1649.2557877563268</v>
      </c>
      <c r="W132" s="4589">
        <f t="shared" si="95"/>
        <v>2386.7910661122396</v>
      </c>
      <c r="X132" s="4589">
        <f t="shared" si="95"/>
        <v>943.70736709499079</v>
      </c>
      <c r="Y132" s="4589">
        <f t="shared" si="95"/>
        <v>1235.1163423369112</v>
      </c>
      <c r="Z132" s="4589">
        <f t="shared" si="95"/>
        <v>3350.1781513784968</v>
      </c>
      <c r="AA132" s="4589">
        <f t="shared" si="95"/>
        <v>5819.4818522011374</v>
      </c>
      <c r="AB132" s="4589">
        <f t="shared" si="95"/>
        <v>7417.3361572891945</v>
      </c>
      <c r="AC132" s="4589">
        <f>AC141-SUM(AC139:AC140)</f>
        <v>8007.9104264886582</v>
      </c>
      <c r="AD132" s="4589">
        <f>AD141-SUM(AD139:AD140)</f>
        <v>9131.472927957755</v>
      </c>
      <c r="AE132" s="4589">
        <f>AE141-SUM(AE139:AE140)</f>
        <v>10163.12490869473</v>
      </c>
      <c r="AF132" s="4589">
        <f>AF141-SUM(AF139:AF140)</f>
        <v>11107.743160653579</v>
      </c>
      <c r="AH132" s="4797">
        <f>(AC132/Z132)^(1/3)-1</f>
        <v>0.33705857888478419</v>
      </c>
    </row>
    <row r="133" spans="1:34" s="766" customFormat="1">
      <c r="A133" s="4585" t="str">
        <f t="shared" si="91"/>
        <v>OI&amp;E</v>
      </c>
      <c r="B133" s="4590"/>
      <c r="C133" s="4590"/>
      <c r="D133" s="4590"/>
      <c r="E133" s="4590"/>
      <c r="F133" s="4590"/>
      <c r="G133" s="4590"/>
      <c r="H133" s="4590"/>
      <c r="I133" s="4590"/>
      <c r="J133" s="4590"/>
      <c r="K133" s="4590"/>
      <c r="L133" s="4590"/>
      <c r="M133" s="4590"/>
      <c r="N133" s="4590"/>
      <c r="O133" s="4590"/>
      <c r="P133" s="4590"/>
      <c r="Q133" s="4590"/>
      <c r="R133" s="4590"/>
      <c r="S133" s="4590"/>
      <c r="T133" s="4597">
        <v>0</v>
      </c>
      <c r="U133" s="4597">
        <v>0</v>
      </c>
      <c r="V133" s="4597">
        <v>0</v>
      </c>
      <c r="W133" s="4597">
        <v>0</v>
      </c>
      <c r="X133" s="4597">
        <v>0</v>
      </c>
      <c r="Y133" s="4597">
        <v>0</v>
      </c>
      <c r="Z133" s="4597">
        <v>0</v>
      </c>
      <c r="AA133" s="4597">
        <v>0</v>
      </c>
      <c r="AB133" s="4597">
        <v>0</v>
      </c>
      <c r="AC133" s="4597">
        <v>0</v>
      </c>
      <c r="AD133" s="4597">
        <v>0</v>
      </c>
      <c r="AE133" s="4597">
        <v>0</v>
      </c>
      <c r="AF133" s="4597">
        <v>0</v>
      </c>
      <c r="AH133" s="4798"/>
    </row>
    <row r="134" spans="1:34" s="766" customFormat="1">
      <c r="A134" s="4586" t="str">
        <f t="shared" si="91"/>
        <v>Profit Before Tax</v>
      </c>
      <c r="B134" s="4589"/>
      <c r="C134" s="4589"/>
      <c r="D134" s="4589"/>
      <c r="E134" s="4589"/>
      <c r="F134" s="4589"/>
      <c r="G134" s="4589"/>
      <c r="H134" s="4589"/>
      <c r="I134" s="4589"/>
      <c r="J134" s="4589"/>
      <c r="K134" s="4589"/>
      <c r="L134" s="4589"/>
      <c r="M134" s="4589"/>
      <c r="N134" s="4589"/>
      <c r="O134" s="4589"/>
      <c r="P134" s="4589"/>
      <c r="Q134" s="4589"/>
      <c r="R134" s="4589"/>
      <c r="S134" s="4589"/>
      <c r="T134" s="4589">
        <f>T132+T133</f>
        <v>150.24761308451048</v>
      </c>
      <c r="U134" s="4589">
        <f t="shared" ref="U134:AA134" si="96">U132+U133</f>
        <v>360.14878639051403</v>
      </c>
      <c r="V134" s="4589">
        <f t="shared" si="96"/>
        <v>1649.2557877563268</v>
      </c>
      <c r="W134" s="4589">
        <f t="shared" si="96"/>
        <v>2386.7910661122396</v>
      </c>
      <c r="X134" s="4589">
        <f t="shared" si="96"/>
        <v>943.70736709499079</v>
      </c>
      <c r="Y134" s="4589">
        <f t="shared" si="96"/>
        <v>1235.1163423369112</v>
      </c>
      <c r="Z134" s="4589">
        <f t="shared" si="96"/>
        <v>3350.1781513784968</v>
      </c>
      <c r="AA134" s="4589">
        <f t="shared" si="96"/>
        <v>5819.4818522011374</v>
      </c>
      <c r="AB134" s="4589">
        <f>AB132+AB133</f>
        <v>7417.3361572891945</v>
      </c>
      <c r="AC134" s="4589">
        <f>AC132+AC133</f>
        <v>8007.9104264886582</v>
      </c>
      <c r="AD134" s="4589">
        <f>AD132+AD133</f>
        <v>9131.472927957755</v>
      </c>
      <c r="AE134" s="4589">
        <f>AE132+AE133</f>
        <v>10163.12490869473</v>
      </c>
      <c r="AF134" s="4589">
        <f>AF132+AF133</f>
        <v>11107.743160653579</v>
      </c>
      <c r="AH134" s="4797">
        <f>(AC134/Z134)^(1/3)-1</f>
        <v>0.33705857888478419</v>
      </c>
    </row>
    <row r="135" spans="1:34" s="766" customFormat="1">
      <c r="A135" s="4585" t="str">
        <f t="shared" si="91"/>
        <v>Income Tax</v>
      </c>
      <c r="B135" s="4590"/>
      <c r="C135" s="4590"/>
      <c r="D135" s="4590"/>
      <c r="E135" s="4590"/>
      <c r="F135" s="4590"/>
      <c r="G135" s="4590"/>
      <c r="H135" s="4590"/>
      <c r="I135" s="4590"/>
      <c r="J135" s="4590"/>
      <c r="K135" s="4590"/>
      <c r="L135" s="4590"/>
      <c r="M135" s="4590"/>
      <c r="N135" s="4590"/>
      <c r="O135" s="4590"/>
      <c r="P135" s="4590"/>
      <c r="Q135" s="4590"/>
      <c r="R135" s="4590"/>
      <c r="S135" s="4590"/>
      <c r="T135" s="4597">
        <f>T221*T415/SUM(T413:T416)</f>
        <v>13.563817671745667</v>
      </c>
      <c r="U135" s="4597">
        <f t="shared" ref="U135:AB135" si="97">U221*U415/SUM(U413:U416)</f>
        <v>36.533625690698969</v>
      </c>
      <c r="V135" s="4597">
        <f t="shared" si="97"/>
        <v>228.14106460119643</v>
      </c>
      <c r="W135" s="4597">
        <f t="shared" si="97"/>
        <v>391.26020810566507</v>
      </c>
      <c r="X135" s="4597">
        <f t="shared" si="97"/>
        <v>130.94426896618748</v>
      </c>
      <c r="Y135" s="4597">
        <f t="shared" si="97"/>
        <v>152.38124691710553</v>
      </c>
      <c r="Z135" s="4597">
        <f t="shared" si="97"/>
        <v>528.9401635809279</v>
      </c>
      <c r="AA135" s="4597">
        <f t="shared" ca="1" si="97"/>
        <v>1150.3964915572321</v>
      </c>
      <c r="AB135" s="4597">
        <f t="shared" ca="1" si="97"/>
        <v>1229.1901074457037</v>
      </c>
      <c r="AC135" s="4597">
        <f ca="1">AC221*AC415/SUM(AC413:AC416)</f>
        <v>1349.4295310735547</v>
      </c>
      <c r="AD135" s="4597">
        <f ca="1">AD221*AD415/SUM(AD413:AD416)</f>
        <v>1607.6956009801211</v>
      </c>
      <c r="AE135" s="4597">
        <f ca="1">AE221*AE415/SUM(AE413:AE416)</f>
        <v>1875.8123303931741</v>
      </c>
      <c r="AF135" s="4597">
        <f ca="1">AF221*AF415/SUM(AF413:AF416)</f>
        <v>2155.7324282941026</v>
      </c>
      <c r="AH135" s="4798"/>
    </row>
    <row r="136" spans="1:34" s="766" customFormat="1">
      <c r="A136" s="4586" t="str">
        <f t="shared" si="91"/>
        <v>GAAP Net Income</v>
      </c>
      <c r="B136" s="4589"/>
      <c r="C136" s="4589"/>
      <c r="D136" s="4589"/>
      <c r="E136" s="4589"/>
      <c r="F136" s="4589"/>
      <c r="G136" s="4589"/>
      <c r="H136" s="4589"/>
      <c r="I136" s="4589"/>
      <c r="J136" s="4589"/>
      <c r="K136" s="4589"/>
      <c r="L136" s="4589"/>
      <c r="M136" s="4589"/>
      <c r="N136" s="4589"/>
      <c r="O136" s="4589"/>
      <c r="P136" s="4589"/>
      <c r="Q136" s="4589"/>
      <c r="R136" s="4589"/>
      <c r="S136" s="4589"/>
      <c r="T136" s="4589">
        <f>T134-T135</f>
        <v>136.68379541276482</v>
      </c>
      <c r="U136" s="4589">
        <f t="shared" ref="U136:AA136" si="98">U134-U135</f>
        <v>323.61516069981508</v>
      </c>
      <c r="V136" s="4589">
        <f t="shared" si="98"/>
        <v>1421.1147231551304</v>
      </c>
      <c r="W136" s="4589">
        <f t="shared" si="98"/>
        <v>1995.5308580065746</v>
      </c>
      <c r="X136" s="4589">
        <f t="shared" si="98"/>
        <v>812.76309812880334</v>
      </c>
      <c r="Y136" s="4589">
        <f t="shared" si="98"/>
        <v>1082.7350954198057</v>
      </c>
      <c r="Z136" s="4589">
        <f t="shared" si="98"/>
        <v>2821.2379877975691</v>
      </c>
      <c r="AA136" s="4589">
        <f t="shared" ca="1" si="98"/>
        <v>4669.085360643905</v>
      </c>
      <c r="AB136" s="4589">
        <f ca="1">AB134-AB135</f>
        <v>6188.1460498434908</v>
      </c>
      <c r="AC136" s="4589">
        <f ca="1">AC134-AC135</f>
        <v>6658.4808954151031</v>
      </c>
      <c r="AD136" s="4589">
        <f ca="1">AD134-AD135</f>
        <v>7523.7773269776335</v>
      </c>
      <c r="AE136" s="4589">
        <f ca="1">AE134-AE135</f>
        <v>8287.3125783015566</v>
      </c>
      <c r="AF136" s="4589">
        <f ca="1">AF134-AF135</f>
        <v>8952.0107323594766</v>
      </c>
      <c r="AH136" s="4797">
        <f ca="1">(AC136/Z136)^(1/3)-1</f>
        <v>0.33140999122631376</v>
      </c>
    </row>
    <row r="137" spans="1:34" s="766" customFormat="1">
      <c r="A137" s="4586" t="str">
        <f t="shared" si="91"/>
        <v>GAAP EPS</v>
      </c>
      <c r="B137" s="4591"/>
      <c r="C137" s="4591"/>
      <c r="D137" s="4591"/>
      <c r="E137" s="4591"/>
      <c r="F137" s="4591"/>
      <c r="G137" s="4591"/>
      <c r="H137" s="4591"/>
      <c r="I137" s="4591"/>
      <c r="J137" s="4591"/>
      <c r="K137" s="4591"/>
      <c r="L137" s="4591"/>
      <c r="M137" s="4591"/>
      <c r="N137" s="4591"/>
      <c r="O137" s="4591"/>
      <c r="P137" s="4591"/>
      <c r="Q137" s="4591"/>
      <c r="R137" s="4591"/>
      <c r="S137" s="4591"/>
      <c r="T137" s="4591">
        <f t="shared" ref="T137:AB137" si="99">T136/T$20</f>
        <v>9.7175287401557349E-3</v>
      </c>
      <c r="U137" s="4591">
        <f t="shared" si="99"/>
        <v>2.3163134313388758E-2</v>
      </c>
      <c r="V137" s="4591">
        <f t="shared" si="99"/>
        <v>0.10342484151150592</v>
      </c>
      <c r="W137" s="4591">
        <f t="shared" si="99"/>
        <v>0.14723389079232999</v>
      </c>
      <c r="X137" s="4591">
        <f t="shared" si="99"/>
        <v>6.176713069826726E-2</v>
      </c>
      <c r="Y137" s="4591">
        <f t="shared" si="99"/>
        <v>8.5112319577070314E-2</v>
      </c>
      <c r="Z137" s="4591">
        <f t="shared" si="99"/>
        <v>0.22665552534074346</v>
      </c>
      <c r="AA137" s="4591">
        <f t="shared" ca="1" si="99"/>
        <v>0.3819255343057914</v>
      </c>
      <c r="AB137" s="4591">
        <f t="shared" ca="1" si="99"/>
        <v>0.50664707223677208</v>
      </c>
      <c r="AC137" s="4591">
        <f ca="1">AC136/AC$20</f>
        <v>0.54952175030935502</v>
      </c>
      <c r="AD137" s="4591">
        <f ca="1">AD136/AD$20</f>
        <v>0.62642923646269411</v>
      </c>
      <c r="AE137" s="4591">
        <f ca="1">AE136/AE$20</f>
        <v>0.69691890226723474</v>
      </c>
      <c r="AF137" s="4591">
        <f ca="1">AF136/AF$20</f>
        <v>0.761246365163469</v>
      </c>
      <c r="AH137" s="4797">
        <f ca="1">(AC137/Z137)^(1/3)-1</f>
        <v>0.34340262327030024</v>
      </c>
    </row>
    <row r="138" spans="1:34" s="766" customFormat="1">
      <c r="A138" s="4581"/>
      <c r="B138" s="4582"/>
      <c r="C138" s="4582"/>
      <c r="D138" s="4582"/>
      <c r="E138" s="4582"/>
      <c r="F138" s="4582"/>
      <c r="G138" s="4582"/>
      <c r="H138" s="4582"/>
      <c r="I138" s="4582"/>
      <c r="J138" s="4582"/>
      <c r="K138" s="4582"/>
      <c r="L138" s="4582"/>
      <c r="M138" s="4582"/>
      <c r="N138" s="4582"/>
      <c r="O138" s="4582"/>
      <c r="P138" s="4582"/>
      <c r="Q138" s="4582"/>
      <c r="R138" s="4582"/>
      <c r="S138" s="4582"/>
      <c r="T138" s="4582"/>
      <c r="U138" s="4582"/>
      <c r="V138" s="4582"/>
      <c r="W138" s="4582"/>
      <c r="X138" s="4582"/>
      <c r="Y138" s="4582"/>
      <c r="Z138" s="4582"/>
      <c r="AA138" s="4582"/>
      <c r="AB138" s="4582"/>
      <c r="AC138" s="4582"/>
      <c r="AD138" s="4582"/>
      <c r="AE138" s="4582"/>
      <c r="AF138" s="4582"/>
      <c r="AH138" s="4796"/>
    </row>
    <row r="139" spans="1:34" s="766" customFormat="1">
      <c r="A139" s="4585" t="str">
        <f>A22</f>
        <v>D&amp;A</v>
      </c>
      <c r="B139" s="4590"/>
      <c r="C139" s="4590"/>
      <c r="D139" s="4590"/>
      <c r="E139" s="4590"/>
      <c r="F139" s="4590"/>
      <c r="G139" s="4590"/>
      <c r="H139" s="4590"/>
      <c r="I139" s="4590"/>
      <c r="J139" s="4590"/>
      <c r="K139" s="4590"/>
      <c r="L139" s="4590"/>
      <c r="M139" s="4590"/>
      <c r="N139" s="4590"/>
      <c r="O139" s="4590"/>
      <c r="P139" s="4590"/>
      <c r="Q139" s="4590"/>
      <c r="R139" s="4590"/>
      <c r="S139" s="4590"/>
      <c r="T139" s="4590">
        <f>T225*T361/SUM(T359:T362)</f>
        <v>863.92356789148153</v>
      </c>
      <c r="U139" s="4590">
        <f t="shared" ref="U139:AB139" si="100">U225*U361/SUM(U359:U362)</f>
        <v>1206.500239206151</v>
      </c>
      <c r="V139" s="4590">
        <f t="shared" si="100"/>
        <v>1631.8025596914401</v>
      </c>
      <c r="W139" s="4590">
        <f t="shared" si="100"/>
        <v>1549.9465435266172</v>
      </c>
      <c r="X139" s="4590">
        <f t="shared" si="100"/>
        <v>2007.2328784955985</v>
      </c>
      <c r="Y139" s="4590">
        <f t="shared" si="100"/>
        <v>1885.5444385269136</v>
      </c>
      <c r="Z139" s="4590">
        <f t="shared" si="100"/>
        <v>2269.239100214163</v>
      </c>
      <c r="AA139" s="4590">
        <f t="shared" si="100"/>
        <v>3082.2715053958746</v>
      </c>
      <c r="AB139" s="4590">
        <f t="shared" si="100"/>
        <v>4344.7855739443403</v>
      </c>
      <c r="AC139" s="4590">
        <f>AC225*AC361/SUM(AC359:AC362)</f>
        <v>5673.2086058473687</v>
      </c>
      <c r="AD139" s="4590">
        <f>AD225*AD361/SUM(AD359:AD362)</f>
        <v>6371.2119402170456</v>
      </c>
      <c r="AE139" s="4590">
        <f>AE225*AE361/SUM(AE359:AE362)</f>
        <v>6904.305389111234</v>
      </c>
      <c r="AF139" s="4590">
        <f>AF225*AF361/SUM(AF359:AF362)</f>
        <v>7425.4937027255555</v>
      </c>
      <c r="AH139" s="4798"/>
    </row>
    <row r="140" spans="1:34" s="766" customFormat="1">
      <c r="A140" s="4585" t="str">
        <f>A23</f>
        <v>SBC</v>
      </c>
      <c r="B140" s="4590"/>
      <c r="C140" s="4590"/>
      <c r="D140" s="4590"/>
      <c r="E140" s="4590"/>
      <c r="F140" s="4590"/>
      <c r="G140" s="4590"/>
      <c r="H140" s="4590"/>
      <c r="I140" s="4590"/>
      <c r="J140" s="4590"/>
      <c r="K140" s="4590"/>
      <c r="L140" s="4590"/>
      <c r="M140" s="4590"/>
      <c r="N140" s="4590"/>
      <c r="O140" s="4590"/>
      <c r="P140" s="4590"/>
      <c r="Q140" s="4590"/>
      <c r="R140" s="4590"/>
      <c r="S140" s="4590"/>
      <c r="T140" s="4590">
        <f>T226*T379/SUM(T377:T380)</f>
        <v>325.03914890135241</v>
      </c>
      <c r="U140" s="4590">
        <f t="shared" ref="U140:AB140" si="101">U226*U379/SUM(U377:U380)</f>
        <v>407.74097440333509</v>
      </c>
      <c r="V140" s="4590">
        <f t="shared" si="101"/>
        <v>599.26165255223327</v>
      </c>
      <c r="W140" s="4590">
        <f>W226*W379/SUM(W377:W380)</f>
        <v>715.83239036114298</v>
      </c>
      <c r="X140" s="4590">
        <f t="shared" si="101"/>
        <v>783.68075440941084</v>
      </c>
      <c r="Y140" s="4590">
        <f t="shared" si="101"/>
        <v>938.59841913617458</v>
      </c>
      <c r="Z140" s="4590">
        <f t="shared" si="101"/>
        <v>1087.6933468073398</v>
      </c>
      <c r="AA140" s="4590">
        <f t="shared" si="101"/>
        <v>1219.7176271972533</v>
      </c>
      <c r="AB140" s="4590">
        <f t="shared" si="101"/>
        <v>1472.3442323294282</v>
      </c>
      <c r="AC140" s="4590">
        <f>AC226*AC379/SUM(AC377:AC380)</f>
        <v>1684.2514858231652</v>
      </c>
      <c r="AD140" s="4590">
        <f>AD226*AD379/SUM(AD377:AD380)</f>
        <v>1886.1961967247919</v>
      </c>
      <c r="AE140" s="4590">
        <f>AE226*AE379/SUM(AE377:AE380)</f>
        <v>2075.9888665419999</v>
      </c>
      <c r="AF140" s="4590">
        <f>AF226*AF379/SUM(AF377:AF380)</f>
        <v>2270.1171566120302</v>
      </c>
      <c r="AH140" s="4798"/>
    </row>
    <row r="141" spans="1:34" s="766" customFormat="1">
      <c r="A141" s="4586" t="str">
        <f>A25</f>
        <v>Adj. EBITDA</v>
      </c>
      <c r="B141" s="4589"/>
      <c r="C141" s="4589"/>
      <c r="D141" s="4589"/>
      <c r="E141" s="4589"/>
      <c r="F141" s="4589"/>
      <c r="G141" s="4589"/>
      <c r="H141" s="4589"/>
      <c r="I141" s="4589"/>
      <c r="J141" s="4589"/>
      <c r="K141" s="4589"/>
      <c r="L141" s="4589"/>
      <c r="M141" s="4589"/>
      <c r="N141" s="4589"/>
      <c r="O141" s="4589"/>
      <c r="P141" s="4589"/>
      <c r="Q141" s="4589"/>
      <c r="R141" s="4589"/>
      <c r="S141" s="4589"/>
      <c r="T141" s="4589">
        <f t="shared" ref="T141:AB141" si="102">T123*T165</f>
        <v>1339.2103298773443</v>
      </c>
      <c r="U141" s="4589">
        <f t="shared" si="102"/>
        <v>1974.39</v>
      </c>
      <c r="V141" s="4589">
        <f t="shared" si="102"/>
        <v>3880.32</v>
      </c>
      <c r="W141" s="4589">
        <f t="shared" si="102"/>
        <v>4652.57</v>
      </c>
      <c r="X141" s="4589">
        <f t="shared" si="102"/>
        <v>3734.6210000000001</v>
      </c>
      <c r="Y141" s="4589">
        <f t="shared" si="102"/>
        <v>4059.2591999999995</v>
      </c>
      <c r="Z141" s="4589">
        <f t="shared" si="102"/>
        <v>6707.1105983999996</v>
      </c>
      <c r="AA141" s="4589">
        <f t="shared" si="102"/>
        <v>10121.470984794265</v>
      </c>
      <c r="AB141" s="4589">
        <f t="shared" si="102"/>
        <v>13234.465963562963</v>
      </c>
      <c r="AC141" s="4589">
        <f>AC123*AC165</f>
        <v>15365.370518159192</v>
      </c>
      <c r="AD141" s="4589">
        <f>AD123*AD165</f>
        <v>17388.881064899593</v>
      </c>
      <c r="AE141" s="4589">
        <f>AE123*AE165</f>
        <v>19143.419164347964</v>
      </c>
      <c r="AF141" s="4589">
        <f>AF123*AF165</f>
        <v>20803.354019991166</v>
      </c>
      <c r="AH141" s="4797">
        <f>(AC141/Z141)^(1/3)-1</f>
        <v>0.31826439732641698</v>
      </c>
    </row>
    <row r="142" spans="1:34" s="766" customFormat="1">
      <c r="A142" s="4581"/>
      <c r="B142" s="4582"/>
      <c r="C142" s="4582"/>
      <c r="D142" s="4582"/>
      <c r="E142" s="4582"/>
      <c r="F142" s="4582"/>
      <c r="G142" s="4582"/>
      <c r="H142" s="4582"/>
      <c r="I142" s="4582"/>
      <c r="J142" s="4582"/>
      <c r="K142" s="4582"/>
      <c r="L142" s="4582"/>
      <c r="M142" s="4582"/>
      <c r="N142" s="4582"/>
      <c r="O142" s="4582"/>
      <c r="P142" s="4582"/>
      <c r="Q142" s="4582"/>
      <c r="R142" s="4582"/>
      <c r="S142" s="4582"/>
      <c r="T142" s="4810"/>
      <c r="U142" s="4810"/>
      <c r="V142" s="4810"/>
      <c r="W142" s="4810"/>
      <c r="X142" s="4810"/>
      <c r="Y142" s="4810"/>
      <c r="Z142" s="4810"/>
      <c r="AA142" s="4810"/>
      <c r="AB142" s="4810"/>
      <c r="AC142" s="4810"/>
      <c r="AD142" s="4810"/>
      <c r="AE142" s="4810"/>
      <c r="AF142" s="4810"/>
      <c r="AH142" s="4796"/>
    </row>
    <row r="143" spans="1:34" s="766" customFormat="1">
      <c r="A143" s="4596" t="s">
        <v>892</v>
      </c>
      <c r="B143" s="4592"/>
      <c r="C143" s="4592"/>
      <c r="D143" s="4592"/>
      <c r="E143" s="4592"/>
      <c r="F143" s="4592"/>
      <c r="G143" s="4592"/>
      <c r="H143" s="4592"/>
      <c r="I143" s="4592"/>
      <c r="J143" s="4592"/>
      <c r="K143" s="4592"/>
      <c r="L143" s="4592"/>
      <c r="M143" s="4592"/>
      <c r="N143" s="4592"/>
      <c r="O143" s="4592"/>
      <c r="P143" s="4592"/>
      <c r="Q143" s="4592"/>
      <c r="R143" s="4592"/>
      <c r="S143" s="4592"/>
      <c r="T143" s="5800"/>
      <c r="U143" s="5800"/>
      <c r="V143" s="5800"/>
      <c r="W143" s="5800"/>
      <c r="X143" s="5800"/>
      <c r="Y143" s="5800"/>
      <c r="Z143" s="5800"/>
      <c r="AA143" s="5800"/>
      <c r="AB143" s="5800"/>
      <c r="AC143" s="5800"/>
      <c r="AD143" s="5800"/>
      <c r="AE143" s="5800"/>
      <c r="AF143" s="5800"/>
      <c r="AH143" s="4798"/>
    </row>
    <row r="144" spans="1:34" s="766" customFormat="1">
      <c r="A144" s="4603" t="str">
        <f>A121</f>
        <v>YouTube Ad Supported</v>
      </c>
      <c r="B144" s="4247"/>
      <c r="C144" s="4247"/>
      <c r="D144" s="4247"/>
      <c r="E144" s="4247"/>
      <c r="F144" s="4247"/>
      <c r="G144" s="4247"/>
      <c r="H144" s="4247"/>
      <c r="I144" s="4247"/>
      <c r="J144" s="4247"/>
      <c r="K144" s="4247"/>
      <c r="L144" s="4247"/>
      <c r="M144" s="4247"/>
      <c r="N144" s="4247"/>
      <c r="O144" s="4247"/>
      <c r="P144" s="4247"/>
      <c r="Q144" s="4247"/>
      <c r="R144" s="4247"/>
      <c r="S144" s="4247"/>
      <c r="T144" s="4247"/>
      <c r="U144" s="4247">
        <f t="shared" ref="U144:AF144" si="103">IF(U121*T121&lt;=0,"NA",(U121-T121)/ABS(T121))</f>
        <v>0.35804571940833707</v>
      </c>
      <c r="V144" s="4247">
        <f t="shared" si="103"/>
        <v>0.30516865799722753</v>
      </c>
      <c r="W144" s="4247">
        <f t="shared" si="103"/>
        <v>0.45888124620675702</v>
      </c>
      <c r="X144" s="4247">
        <f t="shared" si="103"/>
        <v>1.3797885248743282E-2</v>
      </c>
      <c r="Y144" s="4247">
        <f t="shared" si="103"/>
        <v>7.7522825975447116E-2</v>
      </c>
      <c r="Z144" s="4247">
        <f t="shared" si="103"/>
        <v>0.14715963186290065</v>
      </c>
      <c r="AA144" s="4247">
        <f t="shared" si="103"/>
        <v>0.13211730238035613</v>
      </c>
      <c r="AB144" s="4247">
        <f t="shared" si="103"/>
        <v>0.14479113662385901</v>
      </c>
      <c r="AC144" s="4247">
        <f t="shared" si="103"/>
        <v>0.11000000000000015</v>
      </c>
      <c r="AD144" s="4247">
        <f t="shared" si="103"/>
        <v>0.10000000000000007</v>
      </c>
      <c r="AE144" s="4247">
        <f t="shared" si="103"/>
        <v>9.0000000000000066E-2</v>
      </c>
      <c r="AF144" s="4247">
        <f t="shared" si="103"/>
        <v>8.4999999999999964E-2</v>
      </c>
      <c r="AH144" s="4799"/>
    </row>
    <row r="145" spans="1:34" s="766" customFormat="1">
      <c r="A145" s="4603" t="str">
        <f>A122</f>
        <v>YouTube Subscription Based</v>
      </c>
      <c r="B145" s="4247"/>
      <c r="C145" s="4247"/>
      <c r="D145" s="4247"/>
      <c r="E145" s="4247"/>
      <c r="F145" s="4247"/>
      <c r="G145" s="4247"/>
      <c r="H145" s="4247"/>
      <c r="I145" s="4247"/>
      <c r="J145" s="4247"/>
      <c r="K145" s="4247"/>
      <c r="L145" s="4247"/>
      <c r="M145" s="4247"/>
      <c r="N145" s="4247"/>
      <c r="O145" s="4247"/>
      <c r="P145" s="4247"/>
      <c r="Q145" s="4247"/>
      <c r="R145" s="4247"/>
      <c r="S145" s="4247"/>
      <c r="T145" s="4247"/>
      <c r="U145" s="4247">
        <f>IF(U122*T122&lt;=0,"NA",(U122-T122)/ABS(T122))</f>
        <v>0.21739130434782608</v>
      </c>
      <c r="V145" s="4602">
        <v>0.6</v>
      </c>
      <c r="W145" s="4602">
        <v>0.55000000000000004</v>
      </c>
      <c r="X145" s="4602">
        <v>0.45</v>
      </c>
      <c r="Y145" s="4602">
        <v>0.35</v>
      </c>
      <c r="Z145" s="4602">
        <v>0.32</v>
      </c>
      <c r="AA145" s="4602">
        <v>0.18</v>
      </c>
      <c r="AB145" s="4602">
        <v>0.13</v>
      </c>
      <c r="AC145" s="4602">
        <v>0.12</v>
      </c>
      <c r="AD145" s="4602">
        <v>0.11</v>
      </c>
      <c r="AE145" s="4602">
        <v>0.09</v>
      </c>
      <c r="AF145" s="4602">
        <v>0.09</v>
      </c>
      <c r="AH145" s="4804"/>
    </row>
    <row r="146" spans="1:34" s="766" customFormat="1">
      <c r="A146" s="4595" t="str">
        <f>A123</f>
        <v>Gross Revenue</v>
      </c>
      <c r="B146" s="4247"/>
      <c r="C146" s="4247"/>
      <c r="D146" s="4247"/>
      <c r="E146" s="4247"/>
      <c r="F146" s="4247"/>
      <c r="G146" s="4247"/>
      <c r="H146" s="4247"/>
      <c r="I146" s="4247"/>
      <c r="J146" s="4247"/>
      <c r="K146" s="4247"/>
      <c r="L146" s="4247"/>
      <c r="M146" s="4247"/>
      <c r="N146" s="4247"/>
      <c r="O146" s="4247"/>
      <c r="P146" s="4247"/>
      <c r="Q146" s="4247"/>
      <c r="R146" s="4247"/>
      <c r="S146" s="4247"/>
      <c r="T146" s="4247"/>
      <c r="U146" s="4247">
        <f>IF(U123*T123&lt;=0,"NA",(U123-T123)/ABS(T123))</f>
        <v>0.33400222965440357</v>
      </c>
      <c r="V146" s="4247">
        <f t="shared" ref="V146:AF146" si="104">IF(V123*U123&lt;=0,"NA",(V123-U123)/ABS(U123))</f>
        <v>0.35116162460304196</v>
      </c>
      <c r="W146" s="4247">
        <f t="shared" si="104"/>
        <v>0.47571334322942438</v>
      </c>
      <c r="X146" s="4247">
        <f t="shared" si="104"/>
        <v>9.8432479253401969E-2</v>
      </c>
      <c r="Y146" s="4247">
        <f t="shared" si="104"/>
        <v>0.14731149425872114</v>
      </c>
      <c r="Z146" s="4247">
        <f t="shared" si="104"/>
        <v>0.19924939604743638</v>
      </c>
      <c r="AA146" s="4247">
        <f t="shared" si="104"/>
        <v>0.14800094991165055</v>
      </c>
      <c r="AB146" s="4247">
        <f t="shared" si="104"/>
        <v>0.1397478582570644</v>
      </c>
      <c r="AC146" s="4247">
        <f t="shared" si="104"/>
        <v>0.11338050085462544</v>
      </c>
      <c r="AD146" s="4247">
        <f t="shared" si="104"/>
        <v>0.10340059930479638</v>
      </c>
      <c r="AE146" s="4247">
        <f t="shared" si="104"/>
        <v>9.0000000000000122E-2</v>
      </c>
      <c r="AF146" s="4247">
        <f t="shared" si="104"/>
        <v>8.6710469085616984E-2</v>
      </c>
      <c r="AH146" s="4799"/>
    </row>
    <row r="147" spans="1:34" s="766" customFormat="1">
      <c r="A147" s="4595" t="str">
        <f t="shared" ref="A147:A154" si="105">A125</f>
        <v>Net Revenue</v>
      </c>
      <c r="B147" s="4247"/>
      <c r="C147" s="4247"/>
      <c r="D147" s="4247"/>
      <c r="E147" s="4247"/>
      <c r="F147" s="4247"/>
      <c r="G147" s="4247"/>
      <c r="H147" s="4247"/>
      <c r="I147" s="4247"/>
      <c r="J147" s="4247"/>
      <c r="K147" s="4247"/>
      <c r="L147" s="4247"/>
      <c r="M147" s="4247"/>
      <c r="N147" s="4247"/>
      <c r="O147" s="4247"/>
      <c r="P147" s="4247"/>
      <c r="Q147" s="4247"/>
      <c r="R147" s="4247"/>
      <c r="S147" s="4247"/>
      <c r="T147" s="4247"/>
      <c r="U147" s="4247">
        <f t="shared" ref="U147:AF154" si="106">IF(U125*T125&lt;=0,"NA",(U125-T125)/ABS(T125))</f>
        <v>0.33400222965440357</v>
      </c>
      <c r="V147" s="4247">
        <f t="shared" si="106"/>
        <v>0.35116162460304196</v>
      </c>
      <c r="W147" s="4247">
        <f t="shared" si="106"/>
        <v>0.47571334322942438</v>
      </c>
      <c r="X147" s="4247">
        <f t="shared" si="106"/>
        <v>9.8432479253401969E-2</v>
      </c>
      <c r="Y147" s="4247">
        <f t="shared" si="106"/>
        <v>0.14731149425872114</v>
      </c>
      <c r="Z147" s="4247">
        <f t="shared" si="106"/>
        <v>0.19924939604743638</v>
      </c>
      <c r="AA147" s="4247">
        <f t="shared" si="106"/>
        <v>0.14800094991165055</v>
      </c>
      <c r="AB147" s="4247">
        <f t="shared" si="106"/>
        <v>0.1397478582570644</v>
      </c>
      <c r="AC147" s="4247">
        <f t="shared" si="106"/>
        <v>0.11338050085462544</v>
      </c>
      <c r="AD147" s="4247">
        <f t="shared" si="106"/>
        <v>0.10340059930479638</v>
      </c>
      <c r="AE147" s="4247">
        <f t="shared" si="106"/>
        <v>9.0000000000000122E-2</v>
      </c>
      <c r="AF147" s="4247">
        <f t="shared" si="106"/>
        <v>8.6710469085616984E-2</v>
      </c>
      <c r="AH147" s="4799"/>
    </row>
    <row r="148" spans="1:34" s="766" customFormat="1" hidden="1" outlineLevel="1">
      <c r="A148" s="4814" t="str">
        <f t="shared" si="105"/>
        <v>YouTube Ads CAC Assumption</v>
      </c>
      <c r="B148" s="4815"/>
      <c r="C148" s="4815"/>
      <c r="D148" s="4815"/>
      <c r="E148" s="4815"/>
      <c r="F148" s="4815"/>
      <c r="G148" s="4815"/>
      <c r="H148" s="4815"/>
      <c r="I148" s="4815"/>
      <c r="J148" s="4815"/>
      <c r="K148" s="4815"/>
      <c r="L148" s="4815"/>
      <c r="M148" s="4815"/>
      <c r="N148" s="4815"/>
      <c r="O148" s="4815"/>
      <c r="P148" s="4815"/>
      <c r="Q148" s="4815"/>
      <c r="R148" s="4815"/>
      <c r="S148" s="4815"/>
      <c r="T148" s="4815"/>
      <c r="U148" s="4815">
        <f t="shared" si="106"/>
        <v>0.35804571940833696</v>
      </c>
      <c r="V148" s="4815">
        <f t="shared" si="106"/>
        <v>0.30516865799722748</v>
      </c>
      <c r="W148" s="4815">
        <f t="shared" si="106"/>
        <v>0.45888124620675713</v>
      </c>
      <c r="X148" s="4815">
        <f t="shared" si="106"/>
        <v>1.3797885248743258E-2</v>
      </c>
      <c r="Y148" s="4815">
        <f t="shared" si="106"/>
        <v>7.7522825975447018E-2</v>
      </c>
      <c r="Z148" s="4815">
        <f t="shared" si="106"/>
        <v>0.16801707971495361</v>
      </c>
      <c r="AA148" s="4815">
        <f t="shared" si="106"/>
        <v>0.15233368278000503</v>
      </c>
      <c r="AB148" s="4815">
        <f t="shared" si="106"/>
        <v>0.16487519165234785</v>
      </c>
      <c r="AC148" s="4815">
        <f t="shared" si="106"/>
        <v>0.11956896551724151</v>
      </c>
      <c r="AD148" s="4815">
        <f t="shared" si="106"/>
        <v>0.10940170940170957</v>
      </c>
      <c r="AE148" s="4815">
        <f t="shared" si="106"/>
        <v>8.9999999999999955E-2</v>
      </c>
      <c r="AF148" s="4815">
        <f t="shared" si="106"/>
        <v>8.5000000000000034E-2</v>
      </c>
      <c r="AH148" s="4799"/>
    </row>
    <row r="149" spans="1:34" s="766" customFormat="1" hidden="1" outlineLevel="1">
      <c r="A149" s="4814" t="str">
        <f t="shared" si="105"/>
        <v>YouTube Subs CAC Assumption</v>
      </c>
      <c r="B149" s="4815"/>
      <c r="C149" s="4815"/>
      <c r="D149" s="4815"/>
      <c r="E149" s="4815"/>
      <c r="F149" s="4815"/>
      <c r="G149" s="4815"/>
      <c r="H149" s="4815"/>
      <c r="I149" s="4815"/>
      <c r="J149" s="4815"/>
      <c r="K149" s="4815"/>
      <c r="L149" s="4815"/>
      <c r="M149" s="4815"/>
      <c r="N149" s="4815"/>
      <c r="O149" s="4815"/>
      <c r="P149" s="4815"/>
      <c r="Q149" s="4815"/>
      <c r="R149" s="4815"/>
      <c r="S149" s="4815"/>
      <c r="T149" s="4815"/>
      <c r="U149" s="4815">
        <f t="shared" si="106"/>
        <v>0.48792270531400989</v>
      </c>
      <c r="V149" s="4815">
        <f t="shared" si="106"/>
        <v>0.67272727272727251</v>
      </c>
      <c r="W149" s="4815">
        <f t="shared" si="106"/>
        <v>0.57695652173913037</v>
      </c>
      <c r="X149" s="4815">
        <f t="shared" si="106"/>
        <v>0.46239316239316236</v>
      </c>
      <c r="Y149" s="4815">
        <f t="shared" si="106"/>
        <v>0.31567796610169485</v>
      </c>
      <c r="Z149" s="4815">
        <f t="shared" si="106"/>
        <v>0.14782608695652177</v>
      </c>
      <c r="AA149" s="4815">
        <f t="shared" si="106"/>
        <v>0.10919999999999985</v>
      </c>
      <c r="AB149" s="4815">
        <f t="shared" si="106"/>
        <v>9.1531914893616936E-2</v>
      </c>
      <c r="AC149" s="4815">
        <f t="shared" si="106"/>
        <v>9.1629955947136549E-2</v>
      </c>
      <c r="AD149" s="4815">
        <f t="shared" si="106"/>
        <v>0.11000000000000007</v>
      </c>
      <c r="AE149" s="4815">
        <f t="shared" si="106"/>
        <v>9.0000000000000011E-2</v>
      </c>
      <c r="AF149" s="4815">
        <f t="shared" si="106"/>
        <v>9.000000000000008E-2</v>
      </c>
      <c r="AH149" s="4799"/>
    </row>
    <row r="150" spans="1:34" s="766" customFormat="1" hidden="1" outlineLevel="1">
      <c r="A150" s="4814" t="str">
        <f t="shared" si="105"/>
        <v>Non-CAC Other Cost of Revenues</v>
      </c>
      <c r="B150" s="4815"/>
      <c r="C150" s="4815"/>
      <c r="D150" s="4815"/>
      <c r="E150" s="4815"/>
      <c r="F150" s="4815"/>
      <c r="G150" s="4815"/>
      <c r="H150" s="4815"/>
      <c r="I150" s="4815"/>
      <c r="J150" s="4815"/>
      <c r="K150" s="4815"/>
      <c r="L150" s="4815"/>
      <c r="M150" s="4815"/>
      <c r="N150" s="4815"/>
      <c r="O150" s="4815"/>
      <c r="P150" s="4815"/>
      <c r="Q150" s="4815"/>
      <c r="R150" s="4815"/>
      <c r="S150" s="4815"/>
      <c r="T150" s="4815"/>
      <c r="U150" s="4815">
        <f t="shared" si="106"/>
        <v>0.24521167674651154</v>
      </c>
      <c r="V150" s="4815">
        <f t="shared" si="106"/>
        <v>0.13244659288211047</v>
      </c>
      <c r="W150" s="4815">
        <f t="shared" si="106"/>
        <v>0.19546060576587948</v>
      </c>
      <c r="X150" s="4815">
        <f t="shared" si="106"/>
        <v>7.7021155497099023E-2</v>
      </c>
      <c r="Y150" s="4815">
        <f t="shared" si="106"/>
        <v>-4.4696806428885495E-2</v>
      </c>
      <c r="Z150" s="4815">
        <f t="shared" si="106"/>
        <v>0.31004414290995236</v>
      </c>
      <c r="AA150" s="4815">
        <f t="shared" si="106"/>
        <v>0.14671723856443522</v>
      </c>
      <c r="AB150" s="4815">
        <f t="shared" si="106"/>
        <v>0.1195585679641696</v>
      </c>
      <c r="AC150" s="4815">
        <f t="shared" si="106"/>
        <v>8.7031754278699913E-2</v>
      </c>
      <c r="AD150" s="4815">
        <f t="shared" si="106"/>
        <v>4.9294938460664663E-2</v>
      </c>
      <c r="AE150" s="4815">
        <f t="shared" si="106"/>
        <v>9.0000000000000288E-2</v>
      </c>
      <c r="AF150" s="4815">
        <f t="shared" si="106"/>
        <v>8.5636412792336442E-2</v>
      </c>
      <c r="AH150" s="4799"/>
    </row>
    <row r="151" spans="1:34" s="766" customFormat="1" collapsed="1">
      <c r="A151" s="4603" t="str">
        <f t="shared" si="105"/>
        <v>Other Cost Of Revenues</v>
      </c>
      <c r="B151" s="4247"/>
      <c r="C151" s="4247"/>
      <c r="D151" s="4247"/>
      <c r="E151" s="4247"/>
      <c r="F151" s="4247"/>
      <c r="G151" s="4247"/>
      <c r="H151" s="4247"/>
      <c r="I151" s="4247"/>
      <c r="J151" s="4247"/>
      <c r="K151" s="4247"/>
      <c r="L151" s="4247"/>
      <c r="M151" s="4247"/>
      <c r="N151" s="4247"/>
      <c r="O151" s="4247"/>
      <c r="P151" s="4247"/>
      <c r="Q151" s="4247"/>
      <c r="R151" s="4247"/>
      <c r="S151" s="4247"/>
      <c r="T151" s="4247"/>
      <c r="U151" s="4247">
        <f t="shared" si="106"/>
        <v>0.36114175921747871</v>
      </c>
      <c r="V151" s="4247">
        <f t="shared" si="106"/>
        <v>0.3536790009389188</v>
      </c>
      <c r="W151" s="4247">
        <f t="shared" si="106"/>
        <v>0.44983843262264361</v>
      </c>
      <c r="X151" s="4247">
        <f t="shared" si="106"/>
        <v>0.15431830908322991</v>
      </c>
      <c r="Y151" s="4247">
        <f t="shared" si="106"/>
        <v>0.15190247187842829</v>
      </c>
      <c r="Z151" s="4247">
        <f t="shared" si="106"/>
        <v>0.17352637664943449</v>
      </c>
      <c r="AA151" s="4247">
        <f t="shared" si="106"/>
        <v>0.13369314966005047</v>
      </c>
      <c r="AB151" s="4247">
        <f t="shared" si="106"/>
        <v>0.12981060129723532</v>
      </c>
      <c r="AC151" s="4247">
        <f t="shared" si="106"/>
        <v>0.10491553563798658</v>
      </c>
      <c r="AD151" s="4247">
        <f t="shared" si="106"/>
        <v>0.10305157691569565</v>
      </c>
      <c r="AE151" s="4247">
        <f t="shared" si="106"/>
        <v>9.0000000000000246E-2</v>
      </c>
      <c r="AF151" s="4247">
        <f t="shared" si="106"/>
        <v>8.7028977845304528E-2</v>
      </c>
      <c r="AH151" s="4799"/>
    </row>
    <row r="152" spans="1:34" s="766" customFormat="1">
      <c r="A152" s="4595" t="str">
        <f t="shared" si="105"/>
        <v>Gross Profit</v>
      </c>
      <c r="B152" s="4247"/>
      <c r="C152" s="4247"/>
      <c r="D152" s="4247"/>
      <c r="E152" s="4247"/>
      <c r="F152" s="4247"/>
      <c r="G152" s="4247"/>
      <c r="H152" s="4247"/>
      <c r="I152" s="4247"/>
      <c r="J152" s="4247"/>
      <c r="K152" s="4247"/>
      <c r="L152" s="4247"/>
      <c r="M152" s="4247"/>
      <c r="N152" s="4247"/>
      <c r="O152" s="4247"/>
      <c r="P152" s="4247"/>
      <c r="Q152" s="4247"/>
      <c r="R152" s="4247"/>
      <c r="S152" s="4247"/>
      <c r="T152" s="4247"/>
      <c r="U152" s="4247">
        <f t="shared" si="106"/>
        <v>0.24521167674651145</v>
      </c>
      <c r="V152" s="4247">
        <f t="shared" si="106"/>
        <v>0.34215892489731653</v>
      </c>
      <c r="W152" s="4247">
        <f t="shared" si="106"/>
        <v>0.56904204506771605</v>
      </c>
      <c r="X152" s="4247">
        <f t="shared" si="106"/>
        <v>-8.7829021364701734E-2</v>
      </c>
      <c r="Y152" s="4247">
        <f t="shared" si="106"/>
        <v>0.12794834903577354</v>
      </c>
      <c r="Z152" s="4247">
        <f t="shared" si="106"/>
        <v>0.31004414290995308</v>
      </c>
      <c r="AA152" s="4247">
        <f t="shared" si="106"/>
        <v>0.20320577248386523</v>
      </c>
      <c r="AB152" s="4247">
        <f t="shared" si="106"/>
        <v>0.17587439130240703</v>
      </c>
      <c r="AC152" s="4247">
        <f t="shared" si="106"/>
        <v>0.14294902558933309</v>
      </c>
      <c r="AD152" s="4247">
        <f t="shared" si="106"/>
        <v>0.10457918179368203</v>
      </c>
      <c r="AE152" s="4247">
        <f t="shared" si="106"/>
        <v>8.9999999999999719E-2</v>
      </c>
      <c r="AF152" s="4247">
        <f t="shared" si="106"/>
        <v>8.5636412792336344E-2</v>
      </c>
      <c r="AH152" s="4799"/>
    </row>
    <row r="153" spans="1:34" s="766" customFormat="1">
      <c r="A153" s="4603" t="str">
        <f t="shared" si="105"/>
        <v>GAAP Expenses</v>
      </c>
      <c r="B153" s="4247"/>
      <c r="C153" s="4247"/>
      <c r="D153" s="4247"/>
      <c r="E153" s="4247"/>
      <c r="F153" s="4247"/>
      <c r="G153" s="4247"/>
      <c r="H153" s="4247"/>
      <c r="I153" s="4247"/>
      <c r="J153" s="4247"/>
      <c r="K153" s="4247"/>
      <c r="L153" s="4247"/>
      <c r="M153" s="4247"/>
      <c r="N153" s="4247"/>
      <c r="O153" s="4247"/>
      <c r="P153" s="4247"/>
      <c r="Q153" s="4247"/>
      <c r="R153" s="4247"/>
      <c r="S153" s="4247"/>
      <c r="T153" s="4247"/>
      <c r="U153" s="5797">
        <f t="shared" si="106"/>
        <v>0.18751779540767616</v>
      </c>
      <c r="V153" s="5797">
        <f t="shared" si="106"/>
        <v>1.4856202164061749E-2</v>
      </c>
      <c r="W153" s="5797">
        <f t="shared" si="106"/>
        <v>0.6246328047219144</v>
      </c>
      <c r="X153" s="5797">
        <f t="shared" si="106"/>
        <v>0.12219040796117026</v>
      </c>
      <c r="Y153" s="5797">
        <f t="shared" si="106"/>
        <v>0.10205371813805929</v>
      </c>
      <c r="Z153" s="5797">
        <f t="shared" si="106"/>
        <v>7.1567735368912672E-2</v>
      </c>
      <c r="AA153" s="5797">
        <f t="shared" si="106"/>
        <v>-2.6590665438340655E-2</v>
      </c>
      <c r="AB153" s="5797">
        <f t="shared" si="106"/>
        <v>0.10006316431433158</v>
      </c>
      <c r="AC153" s="5797">
        <f t="shared" si="106"/>
        <v>0.19931014805013167</v>
      </c>
      <c r="AD153" s="5797">
        <f t="shared" si="106"/>
        <v>7.5955635884233388E-2</v>
      </c>
      <c r="AE153" s="5797">
        <f t="shared" si="106"/>
        <v>7.0490138623704471E-2</v>
      </c>
      <c r="AF153" s="5797">
        <f t="shared" si="106"/>
        <v>7.9183955133427852E-2</v>
      </c>
      <c r="AH153" s="4799"/>
    </row>
    <row r="154" spans="1:34" s="766" customFormat="1">
      <c r="A154" s="4595" t="str">
        <f t="shared" si="105"/>
        <v>GAAP Operating Income</v>
      </c>
      <c r="B154" s="4247"/>
      <c r="C154" s="4247"/>
      <c r="D154" s="4247"/>
      <c r="E154" s="4247"/>
      <c r="F154" s="4247"/>
      <c r="G154" s="4247"/>
      <c r="H154" s="4247"/>
      <c r="I154" s="4247"/>
      <c r="J154" s="4247"/>
      <c r="K154" s="4247"/>
      <c r="L154" s="4247"/>
      <c r="M154" s="4247"/>
      <c r="N154" s="4247"/>
      <c r="O154" s="4247"/>
      <c r="P154" s="4247"/>
      <c r="Q154" s="4247"/>
      <c r="R154" s="4247"/>
      <c r="S154" s="4247"/>
      <c r="T154" s="4247"/>
      <c r="U154" s="4247">
        <f t="shared" si="106"/>
        <v>1.3970349944124534</v>
      </c>
      <c r="V154" s="4247">
        <f t="shared" si="106"/>
        <v>3.5793734425305468</v>
      </c>
      <c r="W154" s="4247">
        <f t="shared" si="106"/>
        <v>0.44719277860426204</v>
      </c>
      <c r="X154" s="4247">
        <f t="shared" si="106"/>
        <v>-0.60461249394897276</v>
      </c>
      <c r="Y154" s="4247">
        <f t="shared" si="106"/>
        <v>0.30879167144679931</v>
      </c>
      <c r="Z154" s="4247">
        <f t="shared" si="106"/>
        <v>1.7124393359088479</v>
      </c>
      <c r="AA154" s="4247">
        <f t="shared" si="106"/>
        <v>0.7370663855014985</v>
      </c>
      <c r="AB154" s="4247">
        <f t="shared" si="106"/>
        <v>0.27456985787896065</v>
      </c>
      <c r="AC154" s="4247">
        <f t="shared" si="106"/>
        <v>7.9620804110258944E-2</v>
      </c>
      <c r="AD154" s="4247">
        <f t="shared" si="106"/>
        <v>0.14030657707565808</v>
      </c>
      <c r="AE154" s="4247">
        <f t="shared" si="106"/>
        <v>0.11297760929437514</v>
      </c>
      <c r="AF154" s="4247">
        <f t="shared" si="106"/>
        <v>9.2945650126833715E-2</v>
      </c>
      <c r="AH154" s="4799"/>
    </row>
    <row r="155" spans="1:34" s="766" customFormat="1">
      <c r="A155" s="4595" t="str">
        <f>A137</f>
        <v>GAAP EPS</v>
      </c>
      <c r="B155" s="4247"/>
      <c r="C155" s="4247"/>
      <c r="D155" s="4247"/>
      <c r="E155" s="4247"/>
      <c r="F155" s="4247"/>
      <c r="G155" s="4247"/>
      <c r="H155" s="4247"/>
      <c r="I155" s="4247"/>
      <c r="J155" s="4247"/>
      <c r="K155" s="4247"/>
      <c r="L155" s="4247"/>
      <c r="M155" s="4247"/>
      <c r="N155" s="4247"/>
      <c r="O155" s="4247"/>
      <c r="P155" s="4247"/>
      <c r="Q155" s="4247"/>
      <c r="R155" s="4247"/>
      <c r="S155" s="4247"/>
      <c r="T155" s="4247"/>
      <c r="U155" s="4247">
        <f t="shared" ref="U155:AF155" si="107">IF(U137*T137&lt;=0,"NA",(U137-T137)/ABS(T137))</f>
        <v>1.3836445389321834</v>
      </c>
      <c r="V155" s="4247">
        <f t="shared" si="107"/>
        <v>3.4650624614184569</v>
      </c>
      <c r="W155" s="4247">
        <f t="shared" si="107"/>
        <v>0.42358343160671263</v>
      </c>
      <c r="X155" s="4247">
        <f t="shared" si="107"/>
        <v>-0.58048292844893723</v>
      </c>
      <c r="Y155" s="4247">
        <f t="shared" si="107"/>
        <v>0.37795488660213822</v>
      </c>
      <c r="Z155" s="4247">
        <f t="shared" si="107"/>
        <v>1.6630166639449171</v>
      </c>
      <c r="AA155" s="4247">
        <f t="shared" ca="1" si="107"/>
        <v>0.68504841755621082</v>
      </c>
      <c r="AB155" s="4247">
        <f t="shared" ca="1" si="107"/>
        <v>0.32655983098297242</v>
      </c>
      <c r="AC155" s="4247">
        <f t="shared" ca="1" si="107"/>
        <v>8.4624347839014569E-2</v>
      </c>
      <c r="AD155" s="4247">
        <f t="shared" ca="1" si="107"/>
        <v>0.13995348884742737</v>
      </c>
      <c r="AE155" s="4247">
        <f t="shared" ca="1" si="107"/>
        <v>0.11252614294086914</v>
      </c>
      <c r="AF155" s="4247">
        <f t="shared" ca="1" si="107"/>
        <v>9.2302651982838282E-2</v>
      </c>
      <c r="AH155" s="4799"/>
    </row>
    <row r="156" spans="1:34" s="766" customFormat="1">
      <c r="A156" s="4603" t="str">
        <f>A139</f>
        <v>D&amp;A</v>
      </c>
      <c r="B156" s="4247"/>
      <c r="C156" s="4247"/>
      <c r="D156" s="4247"/>
      <c r="E156" s="4247"/>
      <c r="F156" s="4247"/>
      <c r="G156" s="4247"/>
      <c r="H156" s="4247"/>
      <c r="I156" s="4247"/>
      <c r="J156" s="4247"/>
      <c r="K156" s="4247"/>
      <c r="L156" s="4247"/>
      <c r="M156" s="4247"/>
      <c r="N156" s="4247"/>
      <c r="O156" s="4247"/>
      <c r="P156" s="4247"/>
      <c r="Q156" s="4247"/>
      <c r="R156" s="4247"/>
      <c r="S156" s="4247"/>
      <c r="T156" s="4247"/>
      <c r="U156" s="4247">
        <f t="shared" ref="U156:AF157" si="108">IF(U139*T139&lt;=0,"NA",(U139-T139)/ABS(T139))</f>
        <v>0.39653585577109868</v>
      </c>
      <c r="V156" s="4247">
        <f t="shared" si="108"/>
        <v>0.35250910581263384</v>
      </c>
      <c r="W156" s="4247">
        <f t="shared" si="108"/>
        <v>-5.0162941391819593E-2</v>
      </c>
      <c r="X156" s="4247">
        <f t="shared" si="108"/>
        <v>0.29503361704882453</v>
      </c>
      <c r="Y156" s="4247">
        <f t="shared" si="108"/>
        <v>-6.0624973450957603E-2</v>
      </c>
      <c r="Z156" s="4247">
        <f t="shared" si="108"/>
        <v>0.20349277049498332</v>
      </c>
      <c r="AA156" s="4247">
        <f t="shared" si="108"/>
        <v>0.35828415132851371</v>
      </c>
      <c r="AB156" s="4247">
        <f t="shared" si="108"/>
        <v>0.40960508064856976</v>
      </c>
      <c r="AC156" s="4247">
        <f t="shared" si="108"/>
        <v>0.30575111459345095</v>
      </c>
      <c r="AD156" s="4247">
        <f t="shared" si="108"/>
        <v>0.12303502001499569</v>
      </c>
      <c r="AE156" s="4247">
        <f t="shared" si="108"/>
        <v>8.367222027714051E-2</v>
      </c>
      <c r="AF156" s="4247">
        <f t="shared" si="108"/>
        <v>7.5487436351857576E-2</v>
      </c>
      <c r="AH156" s="4799"/>
    </row>
    <row r="157" spans="1:34" s="766" customFormat="1">
      <c r="A157" s="4603" t="str">
        <f>A140</f>
        <v>SBC</v>
      </c>
      <c r="B157" s="4247"/>
      <c r="C157" s="4247"/>
      <c r="D157" s="4247"/>
      <c r="E157" s="4247"/>
      <c r="F157" s="4247"/>
      <c r="G157" s="4247"/>
      <c r="H157" s="4247"/>
      <c r="I157" s="4247"/>
      <c r="J157" s="4247"/>
      <c r="K157" s="4247"/>
      <c r="L157" s="4247"/>
      <c r="M157" s="4247"/>
      <c r="N157" s="4247"/>
      <c r="O157" s="4247"/>
      <c r="P157" s="4247"/>
      <c r="Q157" s="4247"/>
      <c r="R157" s="4247"/>
      <c r="S157" s="4247"/>
      <c r="T157" s="4247"/>
      <c r="U157" s="4247">
        <f t="shared" si="108"/>
        <v>0.25443650643782062</v>
      </c>
      <c r="V157" s="4247">
        <f t="shared" si="108"/>
        <v>0.46971163108921943</v>
      </c>
      <c r="W157" s="4247">
        <f t="shared" si="108"/>
        <v>0.19452394010602755</v>
      </c>
      <c r="X157" s="4247">
        <f t="shared" si="108"/>
        <v>9.4782472771367365E-2</v>
      </c>
      <c r="Y157" s="4247">
        <f t="shared" si="108"/>
        <v>0.19767955746662574</v>
      </c>
      <c r="Z157" s="4247">
        <f t="shared" si="108"/>
        <v>0.15884847516404577</v>
      </c>
      <c r="AA157" s="4247">
        <f t="shared" si="108"/>
        <v>0.12138005695947181</v>
      </c>
      <c r="AB157" s="4247">
        <f t="shared" si="108"/>
        <v>0.2071189261343028</v>
      </c>
      <c r="AC157" s="4247">
        <f t="shared" si="108"/>
        <v>0.14392507461279885</v>
      </c>
      <c r="AD157" s="4247">
        <f t="shared" si="108"/>
        <v>0.11990175612220268</v>
      </c>
      <c r="AE157" s="4247">
        <f t="shared" si="108"/>
        <v>0.10062191311103569</v>
      </c>
      <c r="AF157" s="4247">
        <f t="shared" si="108"/>
        <v>9.3511238522869425E-2</v>
      </c>
      <c r="AH157" s="4799"/>
    </row>
    <row r="158" spans="1:34" s="766" customFormat="1">
      <c r="A158" s="4595" t="str">
        <f>A141</f>
        <v>Adj. EBITDA</v>
      </c>
      <c r="B158" s="4247"/>
      <c r="C158" s="4247"/>
      <c r="D158" s="4247"/>
      <c r="E158" s="4247"/>
      <c r="F158" s="4247"/>
      <c r="G158" s="4247"/>
      <c r="H158" s="4247"/>
      <c r="I158" s="4247"/>
      <c r="J158" s="4247"/>
      <c r="K158" s="4247"/>
      <c r="L158" s="4247"/>
      <c r="M158" s="4247"/>
      <c r="N158" s="4247"/>
      <c r="O158" s="4247"/>
      <c r="P158" s="4247"/>
      <c r="Q158" s="4247"/>
      <c r="R158" s="4247"/>
      <c r="S158" s="4247"/>
      <c r="T158" s="4247"/>
      <c r="U158" s="4247">
        <f t="shared" ref="U158:AF158" si="109">IF(U141*T141&lt;=0,"NA",(U141-T141)/ABS(T141))</f>
        <v>0.47429418363344816</v>
      </c>
      <c r="V158" s="4247">
        <f t="shared" si="109"/>
        <v>0.96532599942260644</v>
      </c>
      <c r="W158" s="4247">
        <f t="shared" si="109"/>
        <v>0.19901709137390719</v>
      </c>
      <c r="X158" s="4247">
        <f t="shared" si="109"/>
        <v>-0.19729934208405239</v>
      </c>
      <c r="Y158" s="4247">
        <f t="shared" si="109"/>
        <v>8.6926678771420018E-2</v>
      </c>
      <c r="Z158" s="4247">
        <f t="shared" si="109"/>
        <v>0.65229916788757925</v>
      </c>
      <c r="AA158" s="4247">
        <f t="shared" si="109"/>
        <v>0.50906576480321808</v>
      </c>
      <c r="AB158" s="4247">
        <f t="shared" si="109"/>
        <v>0.30756349382865666</v>
      </c>
      <c r="AC158" s="4247">
        <f t="shared" si="109"/>
        <v>0.16101175222808536</v>
      </c>
      <c r="AD158" s="4247">
        <f t="shared" si="109"/>
        <v>0.13169292236389379</v>
      </c>
      <c r="AE158" s="4247">
        <f t="shared" si="109"/>
        <v>0.10090000000000013</v>
      </c>
      <c r="AF158" s="4247">
        <f t="shared" si="109"/>
        <v>8.6710469085616956E-2</v>
      </c>
      <c r="AH158" s="4799"/>
    </row>
    <row r="159" spans="1:34" s="766" customFormat="1">
      <c r="A159" s="4593" t="s">
        <v>891</v>
      </c>
      <c r="B159" s="4592"/>
      <c r="C159" s="4592"/>
      <c r="D159" s="4592"/>
      <c r="E159" s="4592"/>
      <c r="F159" s="4592"/>
      <c r="G159" s="4592"/>
      <c r="H159" s="4592"/>
      <c r="I159" s="4592"/>
      <c r="J159" s="4592"/>
      <c r="K159" s="4592"/>
      <c r="L159" s="4592"/>
      <c r="M159" s="4592"/>
      <c r="N159" s="4592"/>
      <c r="O159" s="4592"/>
      <c r="P159" s="4592"/>
      <c r="Q159" s="4592"/>
      <c r="R159" s="4592"/>
      <c r="S159" s="4592"/>
      <c r="T159" s="4592"/>
      <c r="U159" s="4592"/>
      <c r="V159" s="4592"/>
      <c r="W159" s="4592"/>
      <c r="X159" s="4592"/>
      <c r="Y159" s="4592"/>
      <c r="Z159" s="4592"/>
      <c r="AA159" s="4592"/>
      <c r="AB159" s="4592"/>
      <c r="AC159" s="4592"/>
      <c r="AD159" s="4592"/>
      <c r="AE159" s="4592"/>
      <c r="AF159" s="4592"/>
      <c r="AH159" s="4798"/>
    </row>
    <row r="160" spans="1:34" s="766" customFormat="1">
      <c r="A160" s="4581" t="str">
        <f>A125</f>
        <v>Net Revenue</v>
      </c>
      <c r="B160" s="4598"/>
      <c r="C160" s="4598"/>
      <c r="D160" s="4598"/>
      <c r="E160" s="4598"/>
      <c r="F160" s="4598"/>
      <c r="G160" s="4598"/>
      <c r="H160" s="4598"/>
      <c r="I160" s="4598"/>
      <c r="J160" s="4598"/>
      <c r="K160" s="4598"/>
      <c r="L160" s="4598"/>
      <c r="M160" s="4598"/>
      <c r="N160" s="4598"/>
      <c r="O160" s="4598"/>
      <c r="P160" s="4598"/>
      <c r="Q160" s="4598"/>
      <c r="R160" s="4598"/>
      <c r="S160" s="4598"/>
      <c r="T160" s="4598">
        <v>1</v>
      </c>
      <c r="U160" s="4598">
        <v>1</v>
      </c>
      <c r="V160" s="4598">
        <v>1</v>
      </c>
      <c r="W160" s="4598">
        <v>1</v>
      </c>
      <c r="X160" s="4598">
        <v>1</v>
      </c>
      <c r="Y160" s="4598">
        <v>1</v>
      </c>
      <c r="Z160" s="4598">
        <v>1</v>
      </c>
      <c r="AA160" s="4598">
        <v>1</v>
      </c>
      <c r="AB160" s="4598">
        <v>1</v>
      </c>
      <c r="AC160" s="4598">
        <v>1</v>
      </c>
      <c r="AD160" s="4598">
        <v>1</v>
      </c>
      <c r="AE160" s="4598">
        <v>1</v>
      </c>
      <c r="AF160" s="4598">
        <v>1</v>
      </c>
      <c r="AH160" s="4805"/>
    </row>
    <row r="161" spans="1:34" s="766" customFormat="1" hidden="1" outlineLevel="1">
      <c r="A161" s="4671" t="s">
        <v>916</v>
      </c>
      <c r="B161" s="4627"/>
      <c r="C161" s="4627"/>
      <c r="D161" s="4627"/>
      <c r="E161" s="4627"/>
      <c r="F161" s="4627"/>
      <c r="G161" s="4627"/>
      <c r="H161" s="4627"/>
      <c r="I161" s="4627"/>
      <c r="J161" s="4627"/>
      <c r="K161" s="4627"/>
      <c r="L161" s="4627"/>
      <c r="M161" s="4627"/>
      <c r="N161" s="4627"/>
      <c r="O161" s="4627"/>
      <c r="P161" s="4627"/>
      <c r="Q161" s="4627"/>
      <c r="R161" s="4627"/>
      <c r="S161" s="4627"/>
      <c r="T161" s="4627">
        <v>0.55000000000000004</v>
      </c>
      <c r="U161" s="4627">
        <v>0.55000000000000004</v>
      </c>
      <c r="V161" s="4627">
        <v>0.55000000000000004</v>
      </c>
      <c r="W161" s="4627">
        <v>0.55000000000000004</v>
      </c>
      <c r="X161" s="4627">
        <v>0.55000000000000004</v>
      </c>
      <c r="Y161" s="4627">
        <v>0.55000000000000004</v>
      </c>
      <c r="Z161" s="4627">
        <v>0.56000000000000005</v>
      </c>
      <c r="AA161" s="4627">
        <v>0.56999999999999995</v>
      </c>
      <c r="AB161" s="4627">
        <v>0.57999999999999996</v>
      </c>
      <c r="AC161" s="4627">
        <v>0.58499999999999996</v>
      </c>
      <c r="AD161" s="4627">
        <v>0.59</v>
      </c>
      <c r="AE161" s="4627">
        <v>0.59</v>
      </c>
      <c r="AF161" s="4627">
        <v>0.59</v>
      </c>
      <c r="AH161" s="4805"/>
    </row>
    <row r="162" spans="1:34" s="766" customFormat="1" hidden="1" outlineLevel="1">
      <c r="A162" s="4671" t="s">
        <v>915</v>
      </c>
      <c r="B162" s="4627"/>
      <c r="C162" s="4627"/>
      <c r="D162" s="4627"/>
      <c r="E162" s="4627"/>
      <c r="F162" s="4627"/>
      <c r="G162" s="4627"/>
      <c r="H162" s="4627"/>
      <c r="I162" s="4627"/>
      <c r="J162" s="4627"/>
      <c r="K162" s="4627"/>
      <c r="L162" s="4627"/>
      <c r="M162" s="4627"/>
      <c r="N162" s="4627"/>
      <c r="O162" s="4627"/>
      <c r="P162" s="4627"/>
      <c r="Q162" s="4627"/>
      <c r="R162" s="4627"/>
      <c r="S162" s="4627"/>
      <c r="T162" s="4627">
        <v>0.9</v>
      </c>
      <c r="U162" s="4627">
        <v>1.1000000000000001</v>
      </c>
      <c r="V162" s="4627">
        <v>1.1499999999999999</v>
      </c>
      <c r="W162" s="4627">
        <v>1.17</v>
      </c>
      <c r="X162" s="4627">
        <v>1.18</v>
      </c>
      <c r="Y162" s="4627">
        <v>1.1499999999999999</v>
      </c>
      <c r="Z162" s="4627">
        <v>1</v>
      </c>
      <c r="AA162" s="4627">
        <v>0.94</v>
      </c>
      <c r="AB162" s="4627">
        <v>0.90800000000000003</v>
      </c>
      <c r="AC162" s="4627">
        <v>0.88500000000000001</v>
      </c>
      <c r="AD162" s="4627">
        <v>0.88500000000000001</v>
      </c>
      <c r="AE162" s="4627">
        <v>0.88500000000000001</v>
      </c>
      <c r="AF162" s="4627">
        <v>0.88500000000000001</v>
      </c>
      <c r="AH162" s="4805"/>
    </row>
    <row r="163" spans="1:34" s="766" customFormat="1" hidden="1" outlineLevel="1">
      <c r="A163" s="4671" t="s">
        <v>914</v>
      </c>
      <c r="B163" s="4627"/>
      <c r="C163" s="4627"/>
      <c r="D163" s="4627"/>
      <c r="E163" s="4627"/>
      <c r="F163" s="4627"/>
      <c r="G163" s="4627"/>
      <c r="H163" s="4627"/>
      <c r="I163" s="4627"/>
      <c r="J163" s="4627"/>
      <c r="K163" s="4627"/>
      <c r="L163" s="4627"/>
      <c r="M163" s="4627"/>
      <c r="N163" s="4627"/>
      <c r="O163" s="4627"/>
      <c r="P163" s="4627"/>
      <c r="Q163" s="4627"/>
      <c r="R163" s="4627"/>
      <c r="S163" s="4627"/>
      <c r="T163" s="4627">
        <v>0.4</v>
      </c>
      <c r="U163" s="4627">
        <v>0.4</v>
      </c>
      <c r="V163" s="4627">
        <v>0.36</v>
      </c>
      <c r="W163" s="4627">
        <v>0.3</v>
      </c>
      <c r="X163" s="4627">
        <v>0.33600000000000002</v>
      </c>
      <c r="Y163" s="4627">
        <v>0.3</v>
      </c>
      <c r="Z163" s="4627">
        <v>0.3</v>
      </c>
      <c r="AA163" s="4627">
        <v>0.28999999999999998</v>
      </c>
      <c r="AB163" s="4627">
        <v>0.28000000000000003</v>
      </c>
      <c r="AC163" s="4627">
        <v>0.27</v>
      </c>
      <c r="AD163" s="4627">
        <v>0.26</v>
      </c>
      <c r="AE163" s="4627">
        <v>0.26</v>
      </c>
      <c r="AF163" s="4627">
        <v>0.26</v>
      </c>
      <c r="AH163" s="4805"/>
    </row>
    <row r="164" spans="1:34" s="766" customFormat="1" collapsed="1">
      <c r="A164" s="4581" t="str">
        <f>A130</f>
        <v>Gross Profit</v>
      </c>
      <c r="B164" s="4598"/>
      <c r="C164" s="4598"/>
      <c r="D164" s="4598"/>
      <c r="E164" s="4598"/>
      <c r="F164" s="4598"/>
      <c r="G164" s="4598"/>
      <c r="H164" s="4598"/>
      <c r="I164" s="4598"/>
      <c r="J164" s="4598"/>
      <c r="K164" s="4598"/>
      <c r="L164" s="4598"/>
      <c r="M164" s="4598"/>
      <c r="N164" s="4598"/>
      <c r="O164" s="4598"/>
      <c r="P164" s="4598"/>
      <c r="Q164" s="4598"/>
      <c r="R164" s="4598"/>
      <c r="S164" s="4598"/>
      <c r="T164" s="4594">
        <f t="shared" ref="T164:AB164" si="110">T130/T123</f>
        <v>0.23410256410256414</v>
      </c>
      <c r="U164" s="4594">
        <f t="shared" si="110"/>
        <v>0.21852080895871634</v>
      </c>
      <c r="V164" s="4594">
        <f t="shared" si="110"/>
        <v>0.21706481939633851</v>
      </c>
      <c r="W164" s="4594">
        <f t="shared" si="110"/>
        <v>0.23079267372656392</v>
      </c>
      <c r="X164" s="4594">
        <f t="shared" si="110"/>
        <v>0.19165709593557151</v>
      </c>
      <c r="Y164" s="4594">
        <f t="shared" si="110"/>
        <v>0.18842250428354015</v>
      </c>
      <c r="Z164" s="4594">
        <f t="shared" si="110"/>
        <v>0.20583024593769608</v>
      </c>
      <c r="AA164" s="4594">
        <f t="shared" si="110"/>
        <v>0.21572816649939972</v>
      </c>
      <c r="AB164" s="4594">
        <f t="shared" si="110"/>
        <v>0.22256609181717113</v>
      </c>
      <c r="AC164" s="4594">
        <f>AC130/AC123</f>
        <v>0.22847687522495647</v>
      </c>
      <c r="AD164" s="4594">
        <f>AD130/AD123</f>
        <v>0.22872091972196426</v>
      </c>
      <c r="AE164" s="4594">
        <f>AE130/AE123</f>
        <v>0.22872091972196418</v>
      </c>
      <c r="AF164" s="4594">
        <f>AF130/AF123</f>
        <v>0.22849486213788753</v>
      </c>
      <c r="AH164" s="4805"/>
    </row>
    <row r="165" spans="1:34" s="766" customFormat="1">
      <c r="A165" s="4586" t="str">
        <f>A141</f>
        <v>Adj. EBITDA</v>
      </c>
      <c r="B165" s="4669"/>
      <c r="C165" s="4669"/>
      <c r="D165" s="4669"/>
      <c r="E165" s="4669"/>
      <c r="F165" s="4669"/>
      <c r="G165" s="4669"/>
      <c r="H165" s="4669"/>
      <c r="I165" s="4669"/>
      <c r="J165" s="4669"/>
      <c r="K165" s="4669"/>
      <c r="L165" s="4669"/>
      <c r="M165" s="4669"/>
      <c r="N165" s="4669"/>
      <c r="O165" s="4669"/>
      <c r="P165" s="4669"/>
      <c r="Q165" s="4669"/>
      <c r="R165" s="4669"/>
      <c r="S165" s="4669"/>
      <c r="T165" s="4669">
        <f>T79/T78*T164*50%</f>
        <v>9.9532540310467807E-2</v>
      </c>
      <c r="U165" s="4669">
        <v>0.11</v>
      </c>
      <c r="V165" s="4669">
        <v>0.16</v>
      </c>
      <c r="W165" s="4669">
        <v>0.13</v>
      </c>
      <c r="X165" s="4669">
        <v>9.5000000000000001E-2</v>
      </c>
      <c r="Y165" s="4669">
        <v>0.09</v>
      </c>
      <c r="Z165" s="4669">
        <v>0.124</v>
      </c>
      <c r="AA165" s="4669">
        <v>0.16300000000000001</v>
      </c>
      <c r="AB165" s="4669">
        <v>0.187</v>
      </c>
      <c r="AC165" s="4669">
        <v>0.19500000000000001</v>
      </c>
      <c r="AD165" s="4669">
        <v>0.2</v>
      </c>
      <c r="AE165" s="4669">
        <v>0.20200000000000001</v>
      </c>
      <c r="AF165" s="4669">
        <v>0.20200000000000001</v>
      </c>
      <c r="AH165" s="4805"/>
    </row>
    <row r="166" spans="1:34" s="766" customFormat="1">
      <c r="A166" s="4581" t="str">
        <f>A132</f>
        <v>GAAP Operating Income</v>
      </c>
      <c r="B166" s="4594"/>
      <c r="C166" s="4594"/>
      <c r="D166" s="4594"/>
      <c r="E166" s="4594"/>
      <c r="F166" s="4594"/>
      <c r="G166" s="4594"/>
      <c r="H166" s="4594"/>
      <c r="I166" s="4594"/>
      <c r="J166" s="4594"/>
      <c r="K166" s="4594"/>
      <c r="L166" s="4594"/>
      <c r="M166" s="4594"/>
      <c r="N166" s="4594"/>
      <c r="O166" s="4594"/>
      <c r="P166" s="4594"/>
      <c r="Q166" s="4594"/>
      <c r="R166" s="4594"/>
      <c r="S166" s="4594"/>
      <c r="T166" s="4594">
        <f t="shared" ref="T166:AB166" si="111">T132/T123</f>
        <v>1.1166675071312559E-2</v>
      </c>
      <c r="U166" s="4594">
        <f t="shared" si="111"/>
        <v>2.0065117075631737E-2</v>
      </c>
      <c r="V166" s="4594">
        <f t="shared" si="111"/>
        <v>6.8004939293927383E-2</v>
      </c>
      <c r="W166" s="4594">
        <f t="shared" si="111"/>
        <v>6.6690633046808778E-2</v>
      </c>
      <c r="X166" s="4594">
        <f t="shared" si="111"/>
        <v>2.4005702285191489E-2</v>
      </c>
      <c r="Y166" s="4594">
        <f t="shared" si="111"/>
        <v>2.7384422953410321E-2</v>
      </c>
      <c r="Z166" s="4594">
        <f t="shared" si="111"/>
        <v>6.1937563825178871E-2</v>
      </c>
      <c r="AA166" s="4594">
        <f t="shared" si="111"/>
        <v>9.3719138585078576E-2</v>
      </c>
      <c r="AB166" s="4594">
        <f t="shared" si="111"/>
        <v>0.10480527625609322</v>
      </c>
      <c r="AC166" s="4594">
        <f>AC132/AC123</f>
        <v>0.10162739201894397</v>
      </c>
      <c r="AD166" s="4594">
        <f>AD132/AD123</f>
        <v>0.1050265729448243</v>
      </c>
      <c r="AE166" s="4594">
        <f>AE132/AE123</f>
        <v>0.10724057253991912</v>
      </c>
      <c r="AF166" s="4594">
        <f>AF132/AF123</f>
        <v>0.10785588306077272</v>
      </c>
      <c r="AH166" s="4797"/>
    </row>
    <row r="167" spans="1:34" s="766" customFormat="1">
      <c r="A167" s="4581" t="str">
        <f>A136</f>
        <v>GAAP Net Income</v>
      </c>
      <c r="B167" s="4594"/>
      <c r="C167" s="4594"/>
      <c r="D167" s="4594"/>
      <c r="E167" s="4594"/>
      <c r="F167" s="4594"/>
      <c r="G167" s="4594"/>
      <c r="H167" s="4594"/>
      <c r="I167" s="4594"/>
      <c r="J167" s="4594"/>
      <c r="K167" s="4594"/>
      <c r="L167" s="4594"/>
      <c r="M167" s="4594"/>
      <c r="N167" s="4594"/>
      <c r="O167" s="4594"/>
      <c r="P167" s="4594"/>
      <c r="Q167" s="4594"/>
      <c r="R167" s="4594"/>
      <c r="S167" s="4594"/>
      <c r="T167" s="4594">
        <f t="shared" ref="T167:AB167" si="112">T136/T123</f>
        <v>1.015858754461277E-2</v>
      </c>
      <c r="U167" s="4594">
        <f t="shared" si="112"/>
        <v>1.8029704200780827E-2</v>
      </c>
      <c r="V167" s="4594">
        <f t="shared" si="112"/>
        <v>5.859783618485611E-2</v>
      </c>
      <c r="W167" s="4594">
        <f t="shared" si="112"/>
        <v>5.5758217832478543E-2</v>
      </c>
      <c r="X167" s="4594">
        <f t="shared" si="112"/>
        <v>2.067478716641831E-2</v>
      </c>
      <c r="Y167" s="4594">
        <f t="shared" si="112"/>
        <v>2.4005897082842731E-2</v>
      </c>
      <c r="Z167" s="4594">
        <f t="shared" si="112"/>
        <v>5.2158601733860235E-2</v>
      </c>
      <c r="AA167" s="4594">
        <f t="shared" ca="1" si="112"/>
        <v>7.5192718027677699E-2</v>
      </c>
      <c r="AB167" s="4594">
        <f t="shared" ca="1" si="112"/>
        <v>8.7437099049306674E-2</v>
      </c>
      <c r="AC167" s="4594">
        <f ca="1">AC136/AC123</f>
        <v>8.4501950217956534E-2</v>
      </c>
      <c r="AD167" s="4594">
        <f ca="1">AD136/AD123</f>
        <v>8.653549700980806E-2</v>
      </c>
      <c r="AE167" s="4594">
        <f ca="1">AE136/AE123</f>
        <v>8.7447133996552864E-2</v>
      </c>
      <c r="AF167" s="4594">
        <f ca="1">AF136/AF123</f>
        <v>8.6923779992346753E-2</v>
      </c>
      <c r="AH167" s="4797"/>
    </row>
    <row r="168" spans="1:34" s="766" customFormat="1">
      <c r="A168" s="4581"/>
      <c r="B168" s="4582"/>
      <c r="C168" s="4582"/>
      <c r="D168" s="4582"/>
      <c r="E168" s="4582"/>
      <c r="F168" s="4582"/>
      <c r="G168" s="4582"/>
      <c r="H168" s="4582"/>
      <c r="I168" s="4582"/>
      <c r="J168" s="4582"/>
      <c r="K168" s="4582"/>
      <c r="L168" s="4582"/>
      <c r="M168" s="4582"/>
      <c r="N168" s="4582"/>
      <c r="O168" s="4582"/>
      <c r="P168" s="4582"/>
      <c r="Q168" s="4582"/>
      <c r="R168" s="4582"/>
      <c r="S168" s="4582"/>
      <c r="T168" s="4582"/>
      <c r="U168" s="4582"/>
      <c r="V168" s="4582"/>
      <c r="W168" s="4582"/>
      <c r="X168" s="4582"/>
      <c r="Y168" s="4582"/>
      <c r="Z168" s="4582"/>
      <c r="AA168" s="4582"/>
      <c r="AB168" s="4582"/>
      <c r="AC168" s="4582"/>
      <c r="AD168" s="4582"/>
      <c r="AE168" s="4582"/>
      <c r="AF168" s="4582"/>
      <c r="AH168" s="4796"/>
    </row>
    <row r="169" spans="1:34" s="627" customFormat="1">
      <c r="A169" s="4584" t="s">
        <v>1108</v>
      </c>
      <c r="B169" s="4583"/>
      <c r="C169" s="4583"/>
      <c r="D169" s="4583"/>
      <c r="E169" s="4583"/>
      <c r="F169" s="4583"/>
      <c r="G169" s="4583"/>
      <c r="H169" s="4583"/>
      <c r="I169" s="4583"/>
      <c r="J169" s="4583"/>
      <c r="K169" s="4583"/>
      <c r="L169" s="4583"/>
      <c r="M169" s="4583"/>
      <c r="N169" s="4583"/>
      <c r="O169" s="4583"/>
      <c r="P169" s="4583"/>
      <c r="Q169" s="4583"/>
      <c r="R169" s="4583"/>
      <c r="S169" s="4583"/>
      <c r="T169" s="4583"/>
      <c r="U169" s="4600"/>
      <c r="V169" s="4583"/>
      <c r="W169" s="4583"/>
      <c r="X169" s="4583"/>
      <c r="Y169" s="4583"/>
      <c r="Z169" s="4583"/>
      <c r="AA169" s="4583"/>
      <c r="AB169" s="4583"/>
      <c r="AC169" s="4583"/>
      <c r="AD169" s="4583"/>
      <c r="AE169" s="4583"/>
      <c r="AF169" s="4583"/>
      <c r="AH169" s="4796"/>
    </row>
    <row r="170" spans="1:34" s="766" customFormat="1" hidden="1" outlineLevel="1">
      <c r="A170" s="4585" t="s">
        <v>1105</v>
      </c>
      <c r="B170" s="4590"/>
      <c r="C170" s="4590"/>
      <c r="D170" s="4590"/>
      <c r="E170" s="4590"/>
      <c r="F170" s="4590"/>
      <c r="G170" s="4590"/>
      <c r="H170" s="4590"/>
      <c r="I170" s="4590"/>
      <c r="J170" s="4590"/>
      <c r="K170" s="4590"/>
      <c r="L170" s="4590"/>
      <c r="M170" s="4590"/>
      <c r="N170" s="4590"/>
      <c r="O170" s="4590"/>
      <c r="P170" s="4590"/>
      <c r="Q170" s="4590"/>
      <c r="R170" s="4590"/>
      <c r="S170" s="4590"/>
      <c r="T170" s="4597">
        <v>9800</v>
      </c>
      <c r="U170" s="4597">
        <v>11500</v>
      </c>
      <c r="V170" s="4597">
        <v>13300</v>
      </c>
      <c r="W170" s="4597">
        <v>15000</v>
      </c>
      <c r="X170" s="4597">
        <v>12300</v>
      </c>
      <c r="Y170" s="4597">
        <v>12700</v>
      </c>
      <c r="Z170" s="4590">
        <f>Y170*(1+Z191)</f>
        <v>12827</v>
      </c>
      <c r="AA170" s="4590">
        <f t="shared" ref="AA170:AF171" si="113">Z170*(1+AA191)</f>
        <v>12955.27</v>
      </c>
      <c r="AB170" s="4590">
        <f t="shared" si="113"/>
        <v>13214.375400000001</v>
      </c>
      <c r="AC170" s="4590">
        <f t="shared" si="113"/>
        <v>13610.806662000001</v>
      </c>
      <c r="AD170" s="4590">
        <f t="shared" si="113"/>
        <v>14019.130861860001</v>
      </c>
      <c r="AE170" s="4590">
        <f t="shared" si="113"/>
        <v>14439.704787715802</v>
      </c>
      <c r="AF170" s="4590">
        <f t="shared" si="113"/>
        <v>14872.895931347277</v>
      </c>
      <c r="AH170" s="4797"/>
    </row>
    <row r="171" spans="1:34" s="766" customFormat="1" hidden="1" outlineLevel="1">
      <c r="A171" s="4585" t="s">
        <v>1107</v>
      </c>
      <c r="B171" s="4590"/>
      <c r="C171" s="4590"/>
      <c r="D171" s="4590"/>
      <c r="E171" s="4590"/>
      <c r="F171" s="4590"/>
      <c r="G171" s="4590"/>
      <c r="H171" s="4590"/>
      <c r="I171" s="4590"/>
      <c r="J171" s="4590"/>
      <c r="K171" s="4590"/>
      <c r="L171" s="4590"/>
      <c r="M171" s="4590"/>
      <c r="N171" s="4590"/>
      <c r="O171" s="4590"/>
      <c r="P171" s="4590"/>
      <c r="Q171" s="4590"/>
      <c r="R171" s="4590"/>
      <c r="S171" s="4590"/>
      <c r="T171" s="4597">
        <v>150</v>
      </c>
      <c r="U171" s="4597">
        <f>SUM(Y122,Y171)/5-U122</f>
        <v>200</v>
      </c>
      <c r="V171" s="4597">
        <v>300</v>
      </c>
      <c r="W171" s="4597">
        <v>500</v>
      </c>
      <c r="X171" s="4597">
        <v>840</v>
      </c>
      <c r="Y171" s="4597">
        <f>15000-Y122</f>
        <v>1407.1200000000008</v>
      </c>
      <c r="Z171" s="4590">
        <f>Y171*(1+Z192)</f>
        <v>1871.4696000000013</v>
      </c>
      <c r="AA171" s="4590">
        <f t="shared" si="113"/>
        <v>2245.7635200000013</v>
      </c>
      <c r="AB171" s="4590">
        <f t="shared" si="113"/>
        <v>2650.0009536000016</v>
      </c>
      <c r="AC171" s="4590">
        <f t="shared" si="113"/>
        <v>2968.001068032002</v>
      </c>
      <c r="AD171" s="4590">
        <f t="shared" si="113"/>
        <v>3264.8011748352023</v>
      </c>
      <c r="AE171" s="4590">
        <f t="shared" si="113"/>
        <v>3591.281292318723</v>
      </c>
      <c r="AF171" s="4590">
        <f t="shared" si="113"/>
        <v>3950.4094215505957</v>
      </c>
      <c r="AH171" s="4797"/>
    </row>
    <row r="172" spans="1:34" s="766" customFormat="1" hidden="1" outlineLevel="1">
      <c r="A172" s="4585" t="s">
        <v>1106</v>
      </c>
      <c r="B172" s="4590"/>
      <c r="C172" s="4590"/>
      <c r="D172" s="4590"/>
      <c r="E172" s="4590"/>
      <c r="F172" s="4590"/>
      <c r="G172" s="4590"/>
      <c r="H172" s="4590"/>
      <c r="I172" s="4590"/>
      <c r="J172" s="4590"/>
      <c r="K172" s="4590"/>
      <c r="L172" s="4590"/>
      <c r="M172" s="4590"/>
      <c r="N172" s="4590"/>
      <c r="O172" s="4590"/>
      <c r="P172" s="4590"/>
      <c r="Q172" s="4590"/>
      <c r="R172" s="4590"/>
      <c r="S172" s="4590"/>
      <c r="T172" s="4590">
        <f t="shared" ref="T172:W172" si="114">T173-SUM(T170:T171)</f>
        <v>1813</v>
      </c>
      <c r="U172" s="4590">
        <f t="shared" si="114"/>
        <v>2514</v>
      </c>
      <c r="V172" s="4590">
        <f t="shared" si="114"/>
        <v>3631</v>
      </c>
      <c r="W172" s="4590">
        <f t="shared" si="114"/>
        <v>5588</v>
      </c>
      <c r="X172" s="4590">
        <f>X173-SUM(X170:X171)</f>
        <v>5846.2000000000007</v>
      </c>
      <c r="Y172" s="4590">
        <f t="shared" ref="Y172" si="115">Y173-SUM(Y170:Y171)</f>
        <v>6988.0000000000018</v>
      </c>
      <c r="Z172" s="4590">
        <f t="shared" ref="Z172" si="116">Z173-SUM(Z170:Z171)</f>
        <v>7698.9288000000015</v>
      </c>
      <c r="AA172" s="4590">
        <f t="shared" ref="AA172" si="117">AA173-SUM(AA170:AA171)</f>
        <v>12043.799787290871</v>
      </c>
      <c r="AB172" s="4590">
        <f t="shared" ref="AB172" si="118">AB173-SUM(AB170:AB171)</f>
        <v>16461.400519558614</v>
      </c>
      <c r="AC172" s="4590">
        <f t="shared" ref="AC172" si="119">AC173-SUM(AC170:AC171)</f>
        <v>19626.062367905655</v>
      </c>
      <c r="AD172" s="4590">
        <f t="shared" ref="AD172:AE172" si="120">AD173-SUM(AD170:AD171)</f>
        <v>22273.468823333689</v>
      </c>
      <c r="AE172" s="4590">
        <f t="shared" si="120"/>
        <v>25086.580857396963</v>
      </c>
      <c r="AF172" s="4590">
        <f t="shared" ref="AF172" si="121">AF173-SUM(AF170:AF171)</f>
        <v>27041.778708698046</v>
      </c>
      <c r="AH172" s="4797"/>
    </row>
    <row r="173" spans="1:34" s="766" customFormat="1" collapsed="1">
      <c r="A173" s="4586" t="str">
        <f>A$8</f>
        <v>Gross Revenue</v>
      </c>
      <c r="B173" s="4589"/>
      <c r="C173" s="4589"/>
      <c r="D173" s="4589"/>
      <c r="E173" s="4589"/>
      <c r="F173" s="4589"/>
      <c r="G173" s="4589"/>
      <c r="H173" s="4589"/>
      <c r="I173" s="4589"/>
      <c r="J173" s="4589"/>
      <c r="K173" s="4589"/>
      <c r="L173" s="4589"/>
      <c r="M173" s="4589"/>
      <c r="N173" s="4589"/>
      <c r="O173" s="4589"/>
      <c r="P173" s="4589"/>
      <c r="Q173" s="4589"/>
      <c r="R173" s="4589"/>
      <c r="S173" s="4589"/>
      <c r="T173" s="4589">
        <f>'Revenue Drivers'!DG43-T122</f>
        <v>11763</v>
      </c>
      <c r="U173" s="4589">
        <f>'Revenue Drivers'!DL43-U122</f>
        <v>14214</v>
      </c>
      <c r="V173" s="4589">
        <f>'Revenue Drivers'!DQ43-V122</f>
        <v>17231</v>
      </c>
      <c r="W173" s="4589">
        <f>'Revenue Drivers'!DV43-W122</f>
        <v>21088</v>
      </c>
      <c r="X173" s="4589">
        <f>'Revenue Drivers'!EA43-X122</f>
        <v>18986.2</v>
      </c>
      <c r="Y173" s="4589">
        <f>'Revenue Drivers'!EF43-Y122</f>
        <v>21095.120000000003</v>
      </c>
      <c r="Z173" s="4589">
        <f>'Revenue Drivers'!EK43-Z122</f>
        <v>22397.398400000002</v>
      </c>
      <c r="AA173" s="4589">
        <f>'Revenue Drivers'!EP43-AA122</f>
        <v>27244.833307290872</v>
      </c>
      <c r="AB173" s="4589">
        <f>'Revenue Drivers'!EU43-AB122</f>
        <v>32325.776873158618</v>
      </c>
      <c r="AC173" s="4589">
        <f>'Revenue Drivers'!EV43-AC122</f>
        <v>36204.870097937659</v>
      </c>
      <c r="AD173" s="4589">
        <f>'Revenue Drivers'!EW43-AD122</f>
        <v>39557.400860028894</v>
      </c>
      <c r="AE173" s="4589">
        <f>'Revenue Drivers'!EX43-AE122</f>
        <v>43117.566937431489</v>
      </c>
      <c r="AF173" s="4589">
        <f>'Revenue Drivers'!EY43-AF122</f>
        <v>45865.084061595917</v>
      </c>
      <c r="AH173" s="4797">
        <f>(AC173/Z173)^(1/3)-1</f>
        <v>0.17360821134665638</v>
      </c>
    </row>
    <row r="174" spans="1:34" s="766" customFormat="1">
      <c r="A174" s="4585" t="str">
        <f>A$9</f>
        <v>TAC</v>
      </c>
      <c r="B174" s="4590"/>
      <c r="C174" s="4590"/>
      <c r="D174" s="4590"/>
      <c r="E174" s="4590"/>
      <c r="F174" s="4590"/>
      <c r="G174" s="4590"/>
      <c r="H174" s="4590"/>
      <c r="I174" s="4590"/>
      <c r="J174" s="4590"/>
      <c r="K174" s="4590"/>
      <c r="L174" s="4590"/>
      <c r="M174" s="4590"/>
      <c r="N174" s="4590"/>
      <c r="O174" s="4590"/>
      <c r="P174" s="4590"/>
      <c r="Q174" s="4590"/>
      <c r="R174" s="4590"/>
      <c r="S174" s="4590"/>
      <c r="T174" s="4590">
        <f t="shared" ref="T174:AB174" si="122">T213-T48-T85-T124</f>
        <v>0</v>
      </c>
      <c r="U174" s="4590">
        <f t="shared" si="122"/>
        <v>0</v>
      </c>
      <c r="V174" s="4590">
        <f t="shared" si="122"/>
        <v>0</v>
      </c>
      <c r="W174" s="4590">
        <f t="shared" si="122"/>
        <v>0</v>
      </c>
      <c r="X174" s="4590">
        <f t="shared" si="122"/>
        <v>0</v>
      </c>
      <c r="Y174" s="4590">
        <f t="shared" si="122"/>
        <v>0</v>
      </c>
      <c r="Z174" s="4590">
        <f t="shared" si="122"/>
        <v>0</v>
      </c>
      <c r="AA174" s="4590">
        <f t="shared" si="122"/>
        <v>0</v>
      </c>
      <c r="AB174" s="4590">
        <f t="shared" si="122"/>
        <v>-3.637978807091713E-12</v>
      </c>
      <c r="AC174" s="4590">
        <f>AC213-AC48-AC85-AC124</f>
        <v>0</v>
      </c>
      <c r="AD174" s="4590">
        <f>AD213-AD48-AD85-AD124</f>
        <v>-7.2759576141834259E-12</v>
      </c>
      <c r="AE174" s="4590">
        <f>AE213-AE48-AE85-AE124</f>
        <v>7.2759576141834259E-12</v>
      </c>
      <c r="AF174" s="4590">
        <f>AF213-AF48-AF85-AF124</f>
        <v>3.637978807091713E-12</v>
      </c>
      <c r="AH174" s="4798"/>
    </row>
    <row r="175" spans="1:34" s="766" customFormat="1">
      <c r="A175" s="4586" t="str">
        <f>A$10</f>
        <v>Net Revenue</v>
      </c>
      <c r="B175" s="4589"/>
      <c r="C175" s="4589"/>
      <c r="D175" s="4589"/>
      <c r="E175" s="4589"/>
      <c r="F175" s="4589"/>
      <c r="G175" s="4589"/>
      <c r="H175" s="4589"/>
      <c r="I175" s="4589"/>
      <c r="J175" s="4589"/>
      <c r="K175" s="4589"/>
      <c r="L175" s="4589"/>
      <c r="M175" s="4589"/>
      <c r="N175" s="4589"/>
      <c r="O175" s="4589"/>
      <c r="P175" s="4589"/>
      <c r="Q175" s="4589"/>
      <c r="R175" s="4589"/>
      <c r="S175" s="4589"/>
      <c r="T175" s="4589">
        <f>T173-T174</f>
        <v>11763</v>
      </c>
      <c r="U175" s="4589">
        <f t="shared" ref="U175:AA175" si="123">U173-U174</f>
        <v>14214</v>
      </c>
      <c r="V175" s="4589">
        <f t="shared" si="123"/>
        <v>17231</v>
      </c>
      <c r="W175" s="4589">
        <f t="shared" si="123"/>
        <v>21088</v>
      </c>
      <c r="X175" s="4589">
        <f t="shared" si="123"/>
        <v>18986.2</v>
      </c>
      <c r="Y175" s="4589">
        <f t="shared" si="123"/>
        <v>21095.120000000003</v>
      </c>
      <c r="Z175" s="4589">
        <f t="shared" si="123"/>
        <v>22397.398400000002</v>
      </c>
      <c r="AA175" s="4589">
        <f t="shared" si="123"/>
        <v>27244.833307290872</v>
      </c>
      <c r="AB175" s="4589">
        <f>AB173-AB174</f>
        <v>32325.776873158622</v>
      </c>
      <c r="AC175" s="4589">
        <f>AC173-AC174</f>
        <v>36204.870097937659</v>
      </c>
      <c r="AD175" s="4589">
        <f>AD173-AD174</f>
        <v>39557.400860028902</v>
      </c>
      <c r="AE175" s="4589">
        <f>AE173-AE174</f>
        <v>43117.566937431482</v>
      </c>
      <c r="AF175" s="4589">
        <f>AF173-AF174</f>
        <v>45865.084061595917</v>
      </c>
      <c r="AH175" s="4797">
        <f>(AC175/Z175)^(1/3)-1</f>
        <v>0.17360821134665638</v>
      </c>
    </row>
    <row r="176" spans="1:34" s="766" customFormat="1">
      <c r="A176" s="4585" t="str">
        <f>A$11</f>
        <v>Other Cost Of Revenues</v>
      </c>
      <c r="B176" s="4590"/>
      <c r="C176" s="4590"/>
      <c r="D176" s="4590"/>
      <c r="E176" s="4590"/>
      <c r="F176" s="4590"/>
      <c r="G176" s="4590"/>
      <c r="H176" s="4590"/>
      <c r="I176" s="4590"/>
      <c r="J176" s="4590"/>
      <c r="K176" s="4590"/>
      <c r="L176" s="4590"/>
      <c r="M176" s="4590"/>
      <c r="N176" s="4590"/>
      <c r="O176" s="4590"/>
      <c r="P176" s="4590"/>
      <c r="Q176" s="4590"/>
      <c r="R176" s="4590"/>
      <c r="S176" s="4590"/>
      <c r="T176" s="4590">
        <f t="shared" ref="T176:AB176" si="124">T215-T50-T87-T129</f>
        <v>4228.6500000000033</v>
      </c>
      <c r="U176" s="4590">
        <f t="shared" si="124"/>
        <v>5792.1766679999964</v>
      </c>
      <c r="V176" s="4590">
        <f t="shared" si="124"/>
        <v>5869.0122950000004</v>
      </c>
      <c r="W176" s="4590">
        <f t="shared" si="124"/>
        <v>5302.3965210000133</v>
      </c>
      <c r="X176" s="4590">
        <f>X215-X50-X87-X129</f>
        <v>5490.0203040000051</v>
      </c>
      <c r="Y176" s="4590">
        <f t="shared" si="124"/>
        <v>5964.5470020000066</v>
      </c>
      <c r="Z176" s="4590">
        <f t="shared" si="124"/>
        <v>3592.8958320000092</v>
      </c>
      <c r="AA176" s="4590">
        <f t="shared" si="124"/>
        <v>3076.2339948765803</v>
      </c>
      <c r="AB176" s="4590">
        <f t="shared" si="124"/>
        <v>4810.6129914854173</v>
      </c>
      <c r="AC176" s="4590">
        <f>AC215-AC50-AC87-AC129</f>
        <v>12535.578936657039</v>
      </c>
      <c r="AD176" s="4590">
        <f>AD215-AD50-AD87-AD129</f>
        <v>21210.030603007937</v>
      </c>
      <c r="AE176" s="4590">
        <f>AE215-AE50-AE87-AE129</f>
        <v>28506.183924244076</v>
      </c>
      <c r="AF176" s="4590">
        <f>AF215-AF50-AF87-AF129</f>
        <v>34172.245229426655</v>
      </c>
      <c r="AH176" s="4798"/>
    </row>
    <row r="177" spans="1:34" s="766" customFormat="1">
      <c r="A177" s="4586" t="str">
        <f>A$12</f>
        <v>Gross Profit</v>
      </c>
      <c r="B177" s="4589"/>
      <c r="C177" s="4589"/>
      <c r="D177" s="4589"/>
      <c r="E177" s="4589"/>
      <c r="F177" s="4589"/>
      <c r="G177" s="4589"/>
      <c r="H177" s="4589"/>
      <c r="I177" s="4589"/>
      <c r="J177" s="4589"/>
      <c r="K177" s="4589"/>
      <c r="L177" s="4589"/>
      <c r="M177" s="4589"/>
      <c r="N177" s="4589"/>
      <c r="O177" s="4589"/>
      <c r="P177" s="4589"/>
      <c r="Q177" s="4589"/>
      <c r="R177" s="4589"/>
      <c r="S177" s="4589"/>
      <c r="T177" s="4589">
        <f>T175-T176</f>
        <v>7534.3499999999967</v>
      </c>
      <c r="U177" s="4589">
        <f t="shared" ref="U177:AA177" si="125">U175-U176</f>
        <v>8421.8233320000036</v>
      </c>
      <c r="V177" s="4589">
        <f t="shared" si="125"/>
        <v>11361.987705</v>
      </c>
      <c r="W177" s="4589">
        <f t="shared" si="125"/>
        <v>15785.603478999987</v>
      </c>
      <c r="X177" s="4589">
        <f t="shared" si="125"/>
        <v>13496.179695999996</v>
      </c>
      <c r="Y177" s="4589">
        <f t="shared" si="125"/>
        <v>15130.572997999996</v>
      </c>
      <c r="Z177" s="4589">
        <f t="shared" si="125"/>
        <v>18804.502567999993</v>
      </c>
      <c r="AA177" s="4589">
        <f t="shared" si="125"/>
        <v>24168.599312414291</v>
      </c>
      <c r="AB177" s="4589">
        <f>AB175-AB176</f>
        <v>27515.163881673205</v>
      </c>
      <c r="AC177" s="4589">
        <f>AC175-AC176</f>
        <v>23669.29116128062</v>
      </c>
      <c r="AD177" s="4589">
        <f>AD175-AD176</f>
        <v>18347.370257020964</v>
      </c>
      <c r="AE177" s="4589">
        <f>AE175-AE176</f>
        <v>14611.383013187406</v>
      </c>
      <c r="AF177" s="4589">
        <f>AF175-AF176</f>
        <v>11692.838832169262</v>
      </c>
      <c r="AH177" s="4797">
        <f>(AC177/Z177)^(1/3)-1</f>
        <v>7.97116833500775E-2</v>
      </c>
    </row>
    <row r="178" spans="1:34" s="766" customFormat="1">
      <c r="A178" s="4585" t="str">
        <f>A$13</f>
        <v>GAAP Expenses</v>
      </c>
      <c r="B178" s="4590"/>
      <c r="C178" s="4590"/>
      <c r="D178" s="4590"/>
      <c r="E178" s="4590"/>
      <c r="F178" s="4590"/>
      <c r="G178" s="4590"/>
      <c r="H178" s="4590"/>
      <c r="I178" s="4590"/>
      <c r="J178" s="4590"/>
      <c r="K178" s="4590"/>
      <c r="L178" s="4590"/>
      <c r="M178" s="4590"/>
      <c r="N178" s="4590"/>
      <c r="O178" s="4590"/>
      <c r="P178" s="4590"/>
      <c r="Q178" s="4590"/>
      <c r="R178" s="4590"/>
      <c r="S178" s="4590"/>
      <c r="T178" s="4590">
        <f t="shared" ref="T178:AB178" si="126">T177-T179</f>
        <v>6470.3646812227043</v>
      </c>
      <c r="U178" s="4590">
        <f t="shared" si="126"/>
        <v>6731.9413653473011</v>
      </c>
      <c r="V178" s="4590">
        <f t="shared" si="126"/>
        <v>6768.1793557117726</v>
      </c>
      <c r="W178" s="4590">
        <f t="shared" si="126"/>
        <v>7075.7208675928377</v>
      </c>
      <c r="X178" s="4590">
        <f t="shared" si="126"/>
        <v>7939.6316032067625</v>
      </c>
      <c r="Y178" s="4590">
        <f t="shared" si="126"/>
        <v>8362.8163938191101</v>
      </c>
      <c r="Z178" s="4590">
        <f t="shared" si="126"/>
        <v>11542.839776780573</v>
      </c>
      <c r="AA178" s="4590">
        <f t="shared" si="126"/>
        <v>17825.245568884424</v>
      </c>
      <c r="AB178" s="4590">
        <f t="shared" si="126"/>
        <v>10931.193684869773</v>
      </c>
      <c r="AC178" s="4590">
        <f>AC177-AC179</f>
        <v>1289.6455459181307</v>
      </c>
      <c r="AD178" s="4590">
        <f>AD177-AD179</f>
        <v>-6598.99178271255</v>
      </c>
      <c r="AE178" s="4590">
        <f>AE177-AE179</f>
        <v>-12431.197138609408</v>
      </c>
      <c r="AF178" s="4590">
        <f>AF177-AF179</f>
        <v>-17517.551475784141</v>
      </c>
      <c r="AH178" s="4798"/>
    </row>
    <row r="179" spans="1:34" s="766" customFormat="1">
      <c r="A179" s="4586" t="str">
        <f>A$14</f>
        <v>GAAP Operating Income</v>
      </c>
      <c r="B179" s="4589"/>
      <c r="C179" s="4589"/>
      <c r="D179" s="4589"/>
      <c r="E179" s="4589"/>
      <c r="F179" s="4589"/>
      <c r="G179" s="4589"/>
      <c r="H179" s="4589"/>
      <c r="I179" s="4589"/>
      <c r="J179" s="4589"/>
      <c r="K179" s="4589"/>
      <c r="L179" s="4589"/>
      <c r="M179" s="4589"/>
      <c r="N179" s="4589"/>
      <c r="O179" s="4589"/>
      <c r="P179" s="4589"/>
      <c r="Q179" s="4589"/>
      <c r="R179" s="4589"/>
      <c r="S179" s="4589"/>
      <c r="T179" s="4589">
        <f t="shared" ref="T179:AB179" si="127">T188-SUM(T186:T187)</f>
        <v>1063.9853187772924</v>
      </c>
      <c r="U179" s="4589">
        <f t="shared" si="127"/>
        <v>1689.8819666527027</v>
      </c>
      <c r="V179" s="4589">
        <f t="shared" si="127"/>
        <v>4593.808349288227</v>
      </c>
      <c r="W179" s="4589">
        <f t="shared" si="127"/>
        <v>8709.8826114071489</v>
      </c>
      <c r="X179" s="4589">
        <f t="shared" si="127"/>
        <v>5556.5480927932331</v>
      </c>
      <c r="Y179" s="4589">
        <f t="shared" si="127"/>
        <v>6767.756604180885</v>
      </c>
      <c r="Z179" s="4589">
        <f t="shared" si="127"/>
        <v>7261.662791219419</v>
      </c>
      <c r="AA179" s="4589">
        <f t="shared" si="127"/>
        <v>6343.3537435298667</v>
      </c>
      <c r="AB179" s="4589">
        <f t="shared" si="127"/>
        <v>16583.970196803431</v>
      </c>
      <c r="AC179" s="4589">
        <f>AC188-SUM(AC186:AC187)</f>
        <v>22379.645615362489</v>
      </c>
      <c r="AD179" s="4589">
        <f>AD188-SUM(AD186:AD187)</f>
        <v>24946.362039733514</v>
      </c>
      <c r="AE179" s="4589">
        <f>AE188-SUM(AE186:AE187)</f>
        <v>27042.580151796814</v>
      </c>
      <c r="AF179" s="4589">
        <f>AF188-SUM(AF186:AF187)</f>
        <v>29210.390307953403</v>
      </c>
      <c r="AH179" s="4797">
        <f>(AC179/Z179)^(1/3)-1</f>
        <v>0.45525480677277996</v>
      </c>
    </row>
    <row r="180" spans="1:34" s="766" customFormat="1">
      <c r="A180" s="4585" t="str">
        <f>A$15</f>
        <v>OI&amp;E</v>
      </c>
      <c r="B180" s="4590"/>
      <c r="C180" s="4590"/>
      <c r="D180" s="4590"/>
      <c r="E180" s="4590"/>
      <c r="F180" s="4590"/>
      <c r="G180" s="4590"/>
      <c r="H180" s="4590"/>
      <c r="I180" s="4590"/>
      <c r="J180" s="4590"/>
      <c r="K180" s="4590"/>
      <c r="L180" s="4590"/>
      <c r="M180" s="4590"/>
      <c r="N180" s="4590"/>
      <c r="O180" s="4590"/>
      <c r="P180" s="4590"/>
      <c r="Q180" s="4590"/>
      <c r="R180" s="4590"/>
      <c r="S180" s="4590"/>
      <c r="T180" s="4590">
        <f t="shared" ref="T180:AD180" si="128">T219-T54-T91-T133</f>
        <v>0</v>
      </c>
      <c r="U180" s="4590">
        <f t="shared" si="128"/>
        <v>0</v>
      </c>
      <c r="V180" s="4590">
        <f t="shared" si="128"/>
        <v>0</v>
      </c>
      <c r="W180" s="4590">
        <f t="shared" si="128"/>
        <v>0</v>
      </c>
      <c r="X180" s="4590">
        <f t="shared" si="128"/>
        <v>0</v>
      </c>
      <c r="Y180" s="4590">
        <f t="shared" si="128"/>
        <v>0</v>
      </c>
      <c r="Z180" s="4590">
        <f t="shared" si="128"/>
        <v>0</v>
      </c>
      <c r="AA180" s="4590">
        <f t="shared" ca="1" si="128"/>
        <v>0</v>
      </c>
      <c r="AB180" s="4590">
        <f t="shared" ca="1" si="128"/>
        <v>0</v>
      </c>
      <c r="AC180" s="4590">
        <f t="shared" ca="1" si="128"/>
        <v>0</v>
      </c>
      <c r="AD180" s="4590">
        <f t="shared" ca="1" si="128"/>
        <v>0</v>
      </c>
      <c r="AE180" s="4590">
        <f t="shared" ref="AE180:AF180" ca="1" si="129">AE219-AE54-AE91-AE133</f>
        <v>0</v>
      </c>
      <c r="AF180" s="4590">
        <f t="shared" ca="1" si="129"/>
        <v>0</v>
      </c>
      <c r="AH180" s="4798"/>
    </row>
    <row r="181" spans="1:34" s="766" customFormat="1">
      <c r="A181" s="4586" t="str">
        <f>A$16</f>
        <v>Profit Before Tax</v>
      </c>
      <c r="B181" s="4589"/>
      <c r="C181" s="4589"/>
      <c r="D181" s="4589"/>
      <c r="E181" s="4589"/>
      <c r="F181" s="4589"/>
      <c r="G181" s="4589"/>
      <c r="H181" s="4589"/>
      <c r="I181" s="4589"/>
      <c r="J181" s="4589"/>
      <c r="K181" s="4589"/>
      <c r="L181" s="4589"/>
      <c r="M181" s="4589"/>
      <c r="N181" s="4589"/>
      <c r="O181" s="4589"/>
      <c r="P181" s="4589"/>
      <c r="Q181" s="4589"/>
      <c r="R181" s="4589"/>
      <c r="S181" s="4589"/>
      <c r="T181" s="4589">
        <f>T179+T180</f>
        <v>1063.9853187772924</v>
      </c>
      <c r="U181" s="4589">
        <f>U179+U180</f>
        <v>1689.8819666527027</v>
      </c>
      <c r="V181" s="4589">
        <f t="shared" ref="V181:AA181" si="130">V179-V180</f>
        <v>4593.808349288227</v>
      </c>
      <c r="W181" s="4589">
        <f t="shared" si="130"/>
        <v>8709.8826114071489</v>
      </c>
      <c r="X181" s="4589">
        <f t="shared" si="130"/>
        <v>5556.5480927932331</v>
      </c>
      <c r="Y181" s="4589">
        <f t="shared" si="130"/>
        <v>6767.756604180885</v>
      </c>
      <c r="Z181" s="4589">
        <f t="shared" si="130"/>
        <v>7261.662791219419</v>
      </c>
      <c r="AA181" s="4589">
        <f t="shared" ca="1" si="130"/>
        <v>6343.3537435298667</v>
      </c>
      <c r="AB181" s="4589">
        <f ca="1">AB179-AB180</f>
        <v>16583.970196803431</v>
      </c>
      <c r="AC181" s="4589">
        <f ca="1">AC179-AC180</f>
        <v>22379.645615362489</v>
      </c>
      <c r="AD181" s="4589">
        <f ca="1">AD179-AD180</f>
        <v>24946.362039733514</v>
      </c>
      <c r="AE181" s="4589">
        <f ca="1">AE179-AE180</f>
        <v>27042.580151796814</v>
      </c>
      <c r="AF181" s="4589">
        <f ca="1">AF179-AF180</f>
        <v>29210.390307953403</v>
      </c>
      <c r="AH181" s="4797">
        <f ca="1">(AC181/Z181)^(1/3)-1</f>
        <v>0.45525480677277996</v>
      </c>
    </row>
    <row r="182" spans="1:34" s="766" customFormat="1">
      <c r="A182" s="4585" t="str">
        <f>A$17</f>
        <v>Income Tax</v>
      </c>
      <c r="B182" s="4590"/>
      <c r="C182" s="4590"/>
      <c r="D182" s="4590"/>
      <c r="E182" s="4590"/>
      <c r="F182" s="4590"/>
      <c r="G182" s="4590"/>
      <c r="H182" s="4590"/>
      <c r="I182" s="4590"/>
      <c r="J182" s="4590"/>
      <c r="K182" s="4590"/>
      <c r="L182" s="4590"/>
      <c r="M182" s="4590"/>
      <c r="N182" s="4590"/>
      <c r="O182" s="4590"/>
      <c r="P182" s="4590"/>
      <c r="Q182" s="4590"/>
      <c r="R182" s="4590"/>
      <c r="S182" s="4590"/>
      <c r="T182" s="4590">
        <f t="shared" ref="T182:AD182" si="131">T221-T56-T93-T135</f>
        <v>96.052792939825039</v>
      </c>
      <c r="U182" s="4590">
        <f t="shared" si="131"/>
        <v>171.42224981485629</v>
      </c>
      <c r="V182" s="4590">
        <f t="shared" si="131"/>
        <v>635.46014824434678</v>
      </c>
      <c r="W182" s="4590">
        <f t="shared" si="131"/>
        <v>1427.7875141647667</v>
      </c>
      <c r="X182" s="4590">
        <f t="shared" si="131"/>
        <v>770.99973292148297</v>
      </c>
      <c r="Y182" s="4590">
        <f t="shared" si="131"/>
        <v>834.96522135341354</v>
      </c>
      <c r="Z182" s="4590">
        <f t="shared" si="131"/>
        <v>1146.5017474001168</v>
      </c>
      <c r="AA182" s="4590">
        <f t="shared" ca="1" si="131"/>
        <v>1253.95560577323</v>
      </c>
      <c r="AB182" s="4590">
        <f t="shared" ca="1" si="131"/>
        <v>2748.2713033104815</v>
      </c>
      <c r="AC182" s="4590">
        <f t="shared" ca="1" si="131"/>
        <v>3771.2403211249525</v>
      </c>
      <c r="AD182" s="4590">
        <f t="shared" ca="1" si="131"/>
        <v>4392.0796598919242</v>
      </c>
      <c r="AE182" s="4590">
        <f t="shared" ref="AE182:AF182" ca="1" si="132">AE221-AE56-AE93-AE135</f>
        <v>4991.2606358885296</v>
      </c>
      <c r="AF182" s="4590">
        <f t="shared" ca="1" si="132"/>
        <v>5668.9990684190261</v>
      </c>
      <c r="AH182" s="4798"/>
    </row>
    <row r="183" spans="1:34" s="766" customFormat="1">
      <c r="A183" s="4586" t="str">
        <f>A$18</f>
        <v>GAAP Net Income</v>
      </c>
      <c r="B183" s="4589"/>
      <c r="C183" s="4589"/>
      <c r="D183" s="4589"/>
      <c r="E183" s="4589"/>
      <c r="F183" s="4589"/>
      <c r="G183" s="4589"/>
      <c r="H183" s="4589"/>
      <c r="I183" s="4589"/>
      <c r="J183" s="4589"/>
      <c r="K183" s="4589"/>
      <c r="L183" s="4589"/>
      <c r="M183" s="4589"/>
      <c r="N183" s="4589"/>
      <c r="O183" s="4589"/>
      <c r="P183" s="4589"/>
      <c r="Q183" s="4589"/>
      <c r="R183" s="4589"/>
      <c r="S183" s="4589"/>
      <c r="T183" s="4589">
        <f>T181-T182</f>
        <v>967.93252583746732</v>
      </c>
      <c r="U183" s="4589">
        <f t="shared" ref="U183:AA183" si="133">U181-U182</f>
        <v>1518.4597168378464</v>
      </c>
      <c r="V183" s="4589">
        <f t="shared" si="133"/>
        <v>3958.3482010438802</v>
      </c>
      <c r="W183" s="4589">
        <f t="shared" si="133"/>
        <v>7282.0950972423825</v>
      </c>
      <c r="X183" s="4589">
        <f t="shared" si="133"/>
        <v>4785.5483598717501</v>
      </c>
      <c r="Y183" s="4589">
        <f t="shared" si="133"/>
        <v>5932.7913828274714</v>
      </c>
      <c r="Z183" s="4589">
        <f t="shared" si="133"/>
        <v>6115.161043819302</v>
      </c>
      <c r="AA183" s="4589">
        <f t="shared" ca="1" si="133"/>
        <v>5089.398137756637</v>
      </c>
      <c r="AB183" s="4589">
        <f ca="1">AB181-AB182</f>
        <v>13835.69889349295</v>
      </c>
      <c r="AC183" s="4589">
        <f ca="1">AC181-AC182</f>
        <v>18608.405294237538</v>
      </c>
      <c r="AD183" s="4589">
        <f ca="1">AD181-AD182</f>
        <v>20554.282379841592</v>
      </c>
      <c r="AE183" s="4589">
        <f ca="1">AE181-AE182</f>
        <v>22051.319515908282</v>
      </c>
      <c r="AF183" s="4589">
        <f ca="1">AF181-AF182</f>
        <v>23541.391239534376</v>
      </c>
      <c r="AH183" s="4797">
        <f ca="1">(AC183/Z183)^(1/3)-1</f>
        <v>0.44910688291119238</v>
      </c>
    </row>
    <row r="184" spans="1:34" s="766" customFormat="1">
      <c r="A184" s="4586" t="str">
        <f>A$19</f>
        <v>GAAP EPS</v>
      </c>
      <c r="B184" s="4591"/>
      <c r="C184" s="4591"/>
      <c r="D184" s="4591"/>
      <c r="E184" s="4591"/>
      <c r="F184" s="4591"/>
      <c r="G184" s="4591"/>
      <c r="H184" s="4591"/>
      <c r="I184" s="4591"/>
      <c r="J184" s="4591"/>
      <c r="K184" s="4591"/>
      <c r="L184" s="4591"/>
      <c r="M184" s="4591"/>
      <c r="N184" s="4591"/>
      <c r="O184" s="4591"/>
      <c r="P184" s="4591"/>
      <c r="Q184" s="4591"/>
      <c r="R184" s="4591"/>
      <c r="S184" s="4591"/>
      <c r="T184" s="4591">
        <f>T183/T$20</f>
        <v>6.8815122597032527E-2</v>
      </c>
      <c r="U184" s="4591">
        <f t="shared" ref="U184:AA184" si="134">U183/U$20</f>
        <v>0.10868553344202268</v>
      </c>
      <c r="V184" s="4591">
        <f t="shared" si="134"/>
        <v>0.28807775239383565</v>
      </c>
      <c r="W184" s="4591">
        <f t="shared" si="134"/>
        <v>0.53728620130574511</v>
      </c>
      <c r="X184" s="4591">
        <f t="shared" si="134"/>
        <v>0.36368480764887423</v>
      </c>
      <c r="Y184" s="4591">
        <f t="shared" si="134"/>
        <v>0.46636858664262326</v>
      </c>
      <c r="Z184" s="4591">
        <f t="shared" si="134"/>
        <v>0.49128611089351482</v>
      </c>
      <c r="AA184" s="4591">
        <f t="shared" ca="1" si="134"/>
        <v>0.41630661102103766</v>
      </c>
      <c r="AB184" s="4591">
        <f ca="1">AB183/AB$20</f>
        <v>1.1327813339045287</v>
      </c>
      <c r="AC184" s="4591">
        <f ca="1">AC183/AC$20</f>
        <v>1.5357442047774754</v>
      </c>
      <c r="AD184" s="4591">
        <f ca="1">AD183/AD$20</f>
        <v>1.7113482839364009</v>
      </c>
      <c r="AE184" s="4591">
        <f ca="1">AE183/AE$20</f>
        <v>1.8543986660776395</v>
      </c>
      <c r="AF184" s="4591">
        <f ca="1">AF183/AF$20</f>
        <v>2.0018741093782513</v>
      </c>
      <c r="AH184" s="4797">
        <f ca="1">(AC184/Z184)^(1/3)-1</f>
        <v>0.46215966586586688</v>
      </c>
    </row>
    <row r="185" spans="1:34" s="766" customFormat="1">
      <c r="A185" s="4581"/>
      <c r="B185" s="4582"/>
      <c r="C185" s="4582"/>
      <c r="D185" s="4582"/>
      <c r="E185" s="4582"/>
      <c r="F185" s="4582"/>
      <c r="G185" s="4582"/>
      <c r="H185" s="4582"/>
      <c r="I185" s="4582"/>
      <c r="J185" s="4582"/>
      <c r="K185" s="4582"/>
      <c r="L185" s="4582"/>
      <c r="M185" s="4582"/>
      <c r="N185" s="4582"/>
      <c r="O185" s="4582"/>
      <c r="P185" s="4582"/>
      <c r="Q185" s="4582"/>
      <c r="R185" s="4582"/>
      <c r="S185" s="4582"/>
      <c r="T185" s="4582"/>
      <c r="U185" s="4582"/>
      <c r="V185" s="4582"/>
      <c r="W185" s="4582"/>
      <c r="X185" s="4582"/>
      <c r="Y185" s="4582"/>
      <c r="Z185" s="4582"/>
      <c r="AA185" s="4582"/>
      <c r="AB185" s="4582"/>
      <c r="AC185" s="4582"/>
      <c r="AD185" s="4582"/>
      <c r="AE185" s="4582"/>
      <c r="AF185" s="4582"/>
      <c r="AH185" s="4796"/>
    </row>
    <row r="186" spans="1:34" s="766" customFormat="1">
      <c r="A186" s="4585" t="str">
        <f>A$22</f>
        <v>D&amp;A</v>
      </c>
      <c r="B186" s="4590"/>
      <c r="C186" s="4590"/>
      <c r="D186" s="4590"/>
      <c r="E186" s="4590"/>
      <c r="F186" s="4590"/>
      <c r="G186" s="4590"/>
      <c r="H186" s="4590"/>
      <c r="I186" s="4590"/>
      <c r="J186" s="4590"/>
      <c r="K186" s="4590"/>
      <c r="L186" s="4590"/>
      <c r="M186" s="4590"/>
      <c r="N186" s="4590"/>
      <c r="O186" s="4590"/>
      <c r="P186" s="4590"/>
      <c r="Q186" s="4590"/>
      <c r="R186" s="4590"/>
      <c r="S186" s="4590"/>
      <c r="T186" s="4590">
        <f t="shared" ref="T186:AB186" si="135">T225-T60-T97-T139</f>
        <v>755.28301219676678</v>
      </c>
      <c r="U186" s="4590">
        <f t="shared" si="135"/>
        <v>955.4401025169218</v>
      </c>
      <c r="V186" s="4590">
        <f t="shared" si="135"/>
        <v>1159.3926235379852</v>
      </c>
      <c r="W186" s="4590">
        <f>W225-W60-W97-W139</f>
        <v>913.27706026682313</v>
      </c>
      <c r="X186" s="4590">
        <f t="shared" si="135"/>
        <v>969.42202793291335</v>
      </c>
      <c r="Y186" s="4590">
        <f t="shared" si="135"/>
        <v>881.89016302413233</v>
      </c>
      <c r="Z186" s="4590">
        <f t="shared" si="135"/>
        <v>939.6455268465902</v>
      </c>
      <c r="AA186" s="4590">
        <f t="shared" si="135"/>
        <v>1352.3808624509829</v>
      </c>
      <c r="AB186" s="4590">
        <f t="shared" si="135"/>
        <v>1984.5064001821138</v>
      </c>
      <c r="AC186" s="4590">
        <f t="shared" ref="AC186:AD188" si="136">AC225-AC60-AC97-AC139</f>
        <v>2606.6776048283373</v>
      </c>
      <c r="AD186" s="4590">
        <f t="shared" si="136"/>
        <v>2898.7326296929086</v>
      </c>
      <c r="AE186" s="4590">
        <f t="shared" ref="AE186:AF186" si="137">AE225-AE60-AE97-AE139</f>
        <v>3141.276024809109</v>
      </c>
      <c r="AF186" s="4590">
        <f t="shared" si="137"/>
        <v>3306.9340787312931</v>
      </c>
      <c r="AH186" s="4798"/>
    </row>
    <row r="187" spans="1:34" s="766" customFormat="1">
      <c r="A187" s="4585" t="str">
        <f>A$23</f>
        <v>SBC</v>
      </c>
      <c r="B187" s="4590"/>
      <c r="C187" s="4590"/>
      <c r="D187" s="4590"/>
      <c r="E187" s="4590"/>
      <c r="F187" s="4590"/>
      <c r="G187" s="4590"/>
      <c r="H187" s="4590"/>
      <c r="I187" s="4590"/>
      <c r="J187" s="4590"/>
      <c r="K187" s="4590"/>
      <c r="L187" s="4590"/>
      <c r="M187" s="4590"/>
      <c r="N187" s="4590"/>
      <c r="O187" s="4590"/>
      <c r="P187" s="4590"/>
      <c r="Q187" s="4590"/>
      <c r="R187" s="4590"/>
      <c r="S187" s="4590"/>
      <c r="T187" s="4590">
        <f t="shared" ref="T187:AB187" si="138">T226-T61-T98-T140</f>
        <v>777.48423306662369</v>
      </c>
      <c r="U187" s="4590">
        <f t="shared" si="138"/>
        <v>875.50257166010647</v>
      </c>
      <c r="V187" s="4590">
        <f t="shared" si="138"/>
        <v>1293.4028148282416</v>
      </c>
      <c r="W187" s="4590">
        <f t="shared" si="138"/>
        <v>1368.0467950605025</v>
      </c>
      <c r="X187" s="4590">
        <f t="shared" si="138"/>
        <v>1403.7901820253674</v>
      </c>
      <c r="Y187" s="4590">
        <f t="shared" si="138"/>
        <v>1671.0834871443653</v>
      </c>
      <c r="Z187" s="4590">
        <f t="shared" si="138"/>
        <v>1837.1530835340068</v>
      </c>
      <c r="AA187" s="4590">
        <f t="shared" si="138"/>
        <v>2200.6344099861581</v>
      </c>
      <c r="AB187" s="4590">
        <f t="shared" si="138"/>
        <v>2571.9211426299053</v>
      </c>
      <c r="AC187" s="4590">
        <f t="shared" si="136"/>
        <v>2214.3257726004426</v>
      </c>
      <c r="AD187" s="4590">
        <f t="shared" si="136"/>
        <v>1740.2560810476259</v>
      </c>
      <c r="AE187" s="4590">
        <f t="shared" ref="AE187:AF187" si="139">AE226-AE61-AE98-AE140</f>
        <v>1399.4014425406313</v>
      </c>
      <c r="AF187" s="4590">
        <f t="shared" si="139"/>
        <v>1128.001832483425</v>
      </c>
      <c r="AH187" s="4798"/>
    </row>
    <row r="188" spans="1:34" s="766" customFormat="1">
      <c r="A188" s="4586" t="str">
        <f>A$25</f>
        <v>Adj. EBITDA</v>
      </c>
      <c r="B188" s="4589"/>
      <c r="C188" s="4589"/>
      <c r="D188" s="4589"/>
      <c r="E188" s="4589"/>
      <c r="F188" s="4589"/>
      <c r="G188" s="4589"/>
      <c r="H188" s="4589"/>
      <c r="I188" s="4589"/>
      <c r="J188" s="4589"/>
      <c r="K188" s="4589"/>
      <c r="L188" s="4589"/>
      <c r="M188" s="4589"/>
      <c r="N188" s="4589"/>
      <c r="O188" s="4589"/>
      <c r="P188" s="4589"/>
      <c r="Q188" s="4589"/>
      <c r="R188" s="4589"/>
      <c r="S188" s="4589"/>
      <c r="T188" s="4589">
        <f t="shared" ref="T188:AB188" si="140">T227-T62-T99-T141</f>
        <v>2596.752564040683</v>
      </c>
      <c r="U188" s="4589">
        <f t="shared" si="140"/>
        <v>3520.8246408297309</v>
      </c>
      <c r="V188" s="4589">
        <f t="shared" si="140"/>
        <v>7046.6037876544542</v>
      </c>
      <c r="W188" s="4589">
        <f t="shared" si="140"/>
        <v>10991.206466734475</v>
      </c>
      <c r="X188" s="4589">
        <f>X227-X62-X99-X141</f>
        <v>7929.7603027515133</v>
      </c>
      <c r="Y188" s="4589">
        <f t="shared" si="140"/>
        <v>9320.7302543493824</v>
      </c>
      <c r="Z188" s="4589">
        <f t="shared" si="140"/>
        <v>10038.461401600016</v>
      </c>
      <c r="AA188" s="4589">
        <f t="shared" si="140"/>
        <v>9896.3690159670077</v>
      </c>
      <c r="AB188" s="4589">
        <f t="shared" si="140"/>
        <v>21140.397739615451</v>
      </c>
      <c r="AC188" s="4589">
        <f t="shared" si="136"/>
        <v>27200.64899279127</v>
      </c>
      <c r="AD188" s="4589">
        <f t="shared" si="136"/>
        <v>29585.350750474048</v>
      </c>
      <c r="AE188" s="4589">
        <f t="shared" ref="AE188:AF188" si="141">AE227-AE62-AE99-AE141</f>
        <v>31583.257619146556</v>
      </c>
      <c r="AF188" s="4589">
        <f t="shared" si="141"/>
        <v>33645.326219168121</v>
      </c>
      <c r="AH188" s="4797">
        <f>(AC188/Z188)^(1/3)-1</f>
        <v>0.39413245504816685</v>
      </c>
    </row>
    <row r="189" spans="1:34" s="766" customFormat="1">
      <c r="A189" s="4581"/>
      <c r="B189" s="4582"/>
      <c r="C189" s="4582"/>
      <c r="D189" s="4582"/>
      <c r="E189" s="4582"/>
      <c r="F189" s="4582"/>
      <c r="G189" s="4582"/>
      <c r="H189" s="4582"/>
      <c r="I189" s="4582"/>
      <c r="J189" s="4582"/>
      <c r="K189" s="4582"/>
      <c r="L189" s="4582"/>
      <c r="M189" s="4582"/>
      <c r="N189" s="4582"/>
      <c r="O189" s="4582"/>
      <c r="P189" s="4582"/>
      <c r="Q189" s="4582"/>
      <c r="R189" s="4582"/>
      <c r="S189" s="4582"/>
      <c r="T189" s="4582"/>
      <c r="U189" s="4582"/>
      <c r="V189" s="4582"/>
      <c r="W189" s="4582"/>
      <c r="X189" s="4582"/>
      <c r="Y189" s="4582"/>
      <c r="Z189" s="4582"/>
      <c r="AA189" s="4582"/>
      <c r="AB189" s="4582"/>
      <c r="AC189" s="4582"/>
      <c r="AD189" s="4582"/>
      <c r="AE189" s="4582"/>
      <c r="AF189" s="4582"/>
      <c r="AH189" s="4796"/>
    </row>
    <row r="190" spans="1:34" s="766" customFormat="1">
      <c r="A190" s="4596" t="s">
        <v>892</v>
      </c>
      <c r="B190" s="4592"/>
      <c r="C190" s="4592"/>
      <c r="D190" s="4592"/>
      <c r="E190" s="4592"/>
      <c r="F190" s="4592"/>
      <c r="G190" s="4592"/>
      <c r="H190" s="4592"/>
      <c r="I190" s="4592"/>
      <c r="J190" s="4592"/>
      <c r="K190" s="4592"/>
      <c r="L190" s="4592"/>
      <c r="M190" s="4592"/>
      <c r="N190" s="4592"/>
      <c r="O190" s="4592"/>
      <c r="P190" s="4592"/>
      <c r="Q190" s="4592"/>
      <c r="R190" s="4592"/>
      <c r="S190" s="4592"/>
      <c r="T190" s="4592"/>
      <c r="U190" s="4592"/>
      <c r="V190" s="4809"/>
      <c r="W190" s="4592"/>
      <c r="X190" s="4592"/>
      <c r="Y190" s="4592"/>
      <c r="Z190" s="4592"/>
      <c r="AA190" s="4592"/>
      <c r="AB190" s="4592"/>
      <c r="AC190" s="4592"/>
      <c r="AD190" s="4592"/>
      <c r="AE190" s="4592"/>
      <c r="AF190" s="4592"/>
      <c r="AH190" s="4798"/>
    </row>
    <row r="191" spans="1:34" s="766" customFormat="1" hidden="1" outlineLevel="1">
      <c r="A191" s="4603" t="str">
        <f t="shared" ref="A191:A193" si="142">A170</f>
        <v>Google Play Revenue (Net of Payout)</v>
      </c>
      <c r="B191" s="4247"/>
      <c r="C191" s="4247"/>
      <c r="D191" s="4247"/>
      <c r="E191" s="4247"/>
      <c r="F191" s="4247"/>
      <c r="G191" s="4247"/>
      <c r="H191" s="4247"/>
      <c r="I191" s="4247"/>
      <c r="J191" s="4247"/>
      <c r="K191" s="4247"/>
      <c r="L191" s="4247"/>
      <c r="M191" s="4247"/>
      <c r="N191" s="4247"/>
      <c r="O191" s="4247"/>
      <c r="P191" s="4247"/>
      <c r="Q191" s="4247"/>
      <c r="R191" s="4247"/>
      <c r="S191" s="4247"/>
      <c r="T191" s="4247"/>
      <c r="U191" s="4247">
        <f t="shared" ref="U191:U193" si="143">IF(U170*T170&lt;=0,"NA",(U170-T170)/ABS(T170))</f>
        <v>0.17346938775510204</v>
      </c>
      <c r="V191" s="4247">
        <f t="shared" ref="V191:V193" si="144">IF(V170*U170&lt;=0,"NA",(V170-U170)/ABS(U170))</f>
        <v>0.15652173913043479</v>
      </c>
      <c r="W191" s="4247">
        <f t="shared" ref="W191:W193" si="145">IF(W170*V170&lt;=0,"NA",(W170-V170)/ABS(V170))</f>
        <v>0.12781954887218044</v>
      </c>
      <c r="X191" s="4247">
        <f t="shared" ref="X191:X193" si="146">IF(X170*W170&lt;=0,"NA",(X170-W170)/ABS(W170))</f>
        <v>-0.18</v>
      </c>
      <c r="Y191" s="4247">
        <f t="shared" ref="Y191:Y193" si="147">IF(Y170*X170&lt;=0,"NA",(Y170-X170)/ABS(X170))</f>
        <v>3.2520325203252036E-2</v>
      </c>
      <c r="Z191" s="4602">
        <v>0.01</v>
      </c>
      <c r="AA191" s="4602">
        <v>0.01</v>
      </c>
      <c r="AB191" s="4602">
        <v>0.02</v>
      </c>
      <c r="AC191" s="4602">
        <v>0.03</v>
      </c>
      <c r="AD191" s="4602">
        <v>0.03</v>
      </c>
      <c r="AE191" s="4602">
        <v>0.03</v>
      </c>
      <c r="AF191" s="4602">
        <v>0.03</v>
      </c>
      <c r="AH191" s="4799"/>
    </row>
    <row r="192" spans="1:34" s="766" customFormat="1" hidden="1" outlineLevel="1">
      <c r="A192" s="4603" t="str">
        <f t="shared" si="142"/>
        <v>Google One &amp; Other Subscriptions Revenue</v>
      </c>
      <c r="B192" s="4247"/>
      <c r="C192" s="4247"/>
      <c r="D192" s="4247"/>
      <c r="E192" s="4247"/>
      <c r="F192" s="4247"/>
      <c r="G192" s="4247"/>
      <c r="H192" s="4247"/>
      <c r="I192" s="4247"/>
      <c r="J192" s="4247"/>
      <c r="K192" s="4247"/>
      <c r="L192" s="4247"/>
      <c r="M192" s="4247"/>
      <c r="N192" s="4247"/>
      <c r="O192" s="4247"/>
      <c r="P192" s="4247"/>
      <c r="Q192" s="4247"/>
      <c r="R192" s="4247"/>
      <c r="S192" s="4247"/>
      <c r="T192" s="4247"/>
      <c r="U192" s="4247">
        <f t="shared" si="143"/>
        <v>0.33333333333333331</v>
      </c>
      <c r="V192" s="4247">
        <f t="shared" si="144"/>
        <v>0.5</v>
      </c>
      <c r="W192" s="4247">
        <f t="shared" si="145"/>
        <v>0.66666666666666663</v>
      </c>
      <c r="X192" s="4247">
        <f t="shared" si="146"/>
        <v>0.68</v>
      </c>
      <c r="Y192" s="4247">
        <f t="shared" si="147"/>
        <v>0.67514285714285804</v>
      </c>
      <c r="Z192" s="4602">
        <v>0.33</v>
      </c>
      <c r="AA192" s="4602">
        <v>0.2</v>
      </c>
      <c r="AB192" s="4602">
        <v>0.18</v>
      </c>
      <c r="AC192" s="4602">
        <v>0.12</v>
      </c>
      <c r="AD192" s="4602">
        <v>0.1</v>
      </c>
      <c r="AE192" s="4602">
        <v>0.1</v>
      </c>
      <c r="AF192" s="4602">
        <v>0.1</v>
      </c>
      <c r="AH192" s="4799"/>
    </row>
    <row r="193" spans="1:34" s="766" customFormat="1" hidden="1" outlineLevel="1">
      <c r="A193" s="4603" t="str">
        <f t="shared" si="142"/>
        <v>Devices &amp; Other Revenue</v>
      </c>
      <c r="B193" s="4247"/>
      <c r="C193" s="4247"/>
      <c r="D193" s="4247"/>
      <c r="E193" s="4247"/>
      <c r="F193" s="4247"/>
      <c r="G193" s="4247"/>
      <c r="H193" s="4247"/>
      <c r="I193" s="4247"/>
      <c r="J193" s="4247"/>
      <c r="K193" s="4247"/>
      <c r="L193" s="4247"/>
      <c r="M193" s="4247"/>
      <c r="N193" s="4247"/>
      <c r="O193" s="4247"/>
      <c r="P193" s="4247"/>
      <c r="Q193" s="4247"/>
      <c r="R193" s="4247"/>
      <c r="S193" s="4247"/>
      <c r="T193" s="4247"/>
      <c r="U193" s="4247">
        <f t="shared" si="143"/>
        <v>0.38665195808052949</v>
      </c>
      <c r="V193" s="4247">
        <f t="shared" si="144"/>
        <v>0.44431185361972952</v>
      </c>
      <c r="W193" s="4247">
        <f t="shared" si="145"/>
        <v>0.53896998072156432</v>
      </c>
      <c r="X193" s="4247">
        <f t="shared" si="146"/>
        <v>4.6206156048675867E-2</v>
      </c>
      <c r="Y193" s="4247">
        <f t="shared" si="147"/>
        <v>0.19530635284458298</v>
      </c>
      <c r="Z193" s="4247">
        <f t="shared" ref="Z193" si="148">IF(Z172*Y172&lt;=0,"NA",(Z172-Y172)/ABS(Y172))</f>
        <v>0.10173566113337142</v>
      </c>
      <c r="AA193" s="4247">
        <f t="shared" ref="AA193" si="149">IF(AA172*Z172&lt;=0,"NA",(AA172-Z172)/ABS(Z172))</f>
        <v>0.56434746964939697</v>
      </c>
      <c r="AB193" s="4247">
        <f t="shared" ref="AB193" si="150">IF(AB172*AA172&lt;=0,"NA",(AB172-AA172)/ABS(AA172))</f>
        <v>0.36679460056529528</v>
      </c>
      <c r="AC193" s="4247">
        <f t="shared" ref="AC193" si="151">IF(AC172*AB172&lt;=0,"NA",(AC172-AB172)/ABS(AB172))</f>
        <v>0.19224742418404484</v>
      </c>
      <c r="AD193" s="4247">
        <f t="shared" ref="AD193:AF193" si="152">IF(AD172*AC172&lt;=0,"NA",(AD172-AC172)/ABS(AC172))</f>
        <v>0.13489238981311488</v>
      </c>
      <c r="AE193" s="4247">
        <f t="shared" si="152"/>
        <v>0.12629878427900088</v>
      </c>
      <c r="AF193" s="4247">
        <f t="shared" si="152"/>
        <v>7.7937996509579305E-2</v>
      </c>
      <c r="AH193" s="4799"/>
    </row>
    <row r="194" spans="1:34" s="766" customFormat="1" collapsed="1">
      <c r="A194" s="4595" t="str">
        <f>A173</f>
        <v>Gross Revenue</v>
      </c>
      <c r="B194" s="4247"/>
      <c r="C194" s="4247"/>
      <c r="D194" s="4247"/>
      <c r="E194" s="4247"/>
      <c r="F194" s="4247"/>
      <c r="G194" s="4247"/>
      <c r="H194" s="4247"/>
      <c r="I194" s="4247"/>
      <c r="J194" s="4247"/>
      <c r="K194" s="4247"/>
      <c r="L194" s="4247"/>
      <c r="M194" s="4247"/>
      <c r="N194" s="4247"/>
      <c r="O194" s="4247"/>
      <c r="P194" s="4247"/>
      <c r="Q194" s="4247"/>
      <c r="R194" s="4247"/>
      <c r="S194" s="4247"/>
      <c r="T194" s="4247"/>
      <c r="U194" s="4247">
        <f t="shared" ref="U194:AF194" si="153">IF(U173*T173&lt;=0,"NA",(U173-T173)/ABS(T173))</f>
        <v>0.20836521295587859</v>
      </c>
      <c r="V194" s="4247">
        <f t="shared" si="153"/>
        <v>0.21225552272407486</v>
      </c>
      <c r="W194" s="4247">
        <f t="shared" si="153"/>
        <v>0.22384075213278393</v>
      </c>
      <c r="X194" s="4247">
        <f t="shared" si="153"/>
        <v>-9.966805766312592E-2</v>
      </c>
      <c r="Y194" s="4247">
        <f t="shared" si="153"/>
        <v>0.11107646606482613</v>
      </c>
      <c r="Z194" s="4247">
        <f t="shared" si="153"/>
        <v>6.173363318151303E-2</v>
      </c>
      <c r="AA194" s="4247">
        <f t="shared" si="153"/>
        <v>0.21642848069760054</v>
      </c>
      <c r="AB194" s="4247">
        <f t="shared" si="153"/>
        <v>0.18649200413746181</v>
      </c>
      <c r="AC194" s="4247">
        <f t="shared" si="153"/>
        <v>0.1200000000000002</v>
      </c>
      <c r="AD194" s="4247">
        <f t="shared" si="153"/>
        <v>9.2598889404169021E-2</v>
      </c>
      <c r="AE194" s="4247">
        <f t="shared" si="153"/>
        <v>8.9999999999999858E-2</v>
      </c>
      <c r="AF194" s="4247">
        <f t="shared" si="153"/>
        <v>6.3721525107188648E-2</v>
      </c>
      <c r="AH194" s="4799"/>
    </row>
    <row r="195" spans="1:34" s="766" customFormat="1">
      <c r="A195" s="4595" t="str">
        <f>A175</f>
        <v>Net Revenue</v>
      </c>
      <c r="B195" s="4247"/>
      <c r="C195" s="4247"/>
      <c r="D195" s="4247"/>
      <c r="E195" s="4247"/>
      <c r="F195" s="4247"/>
      <c r="G195" s="4247"/>
      <c r="H195" s="4247"/>
      <c r="I195" s="4247"/>
      <c r="J195" s="4247"/>
      <c r="K195" s="4247"/>
      <c r="L195" s="4247"/>
      <c r="M195" s="4247"/>
      <c r="N195" s="4247"/>
      <c r="O195" s="4247"/>
      <c r="P195" s="4247"/>
      <c r="Q195" s="4247"/>
      <c r="R195" s="4247"/>
      <c r="S195" s="4247"/>
      <c r="T195" s="4247"/>
      <c r="U195" s="4247">
        <f t="shared" ref="U195:AF195" si="154">IF(U175*T175&lt;=0,"NA",(U175-T175)/ABS(T175))</f>
        <v>0.20836521295587859</v>
      </c>
      <c r="V195" s="4247">
        <f t="shared" si="154"/>
        <v>0.21225552272407486</v>
      </c>
      <c r="W195" s="4247">
        <f t="shared" si="154"/>
        <v>0.22384075213278393</v>
      </c>
      <c r="X195" s="4247">
        <f t="shared" si="154"/>
        <v>-9.966805766312592E-2</v>
      </c>
      <c r="Y195" s="4247">
        <f t="shared" si="154"/>
        <v>0.11107646606482613</v>
      </c>
      <c r="Z195" s="4247">
        <f t="shared" si="154"/>
        <v>6.173363318151303E-2</v>
      </c>
      <c r="AA195" s="4247">
        <f t="shared" si="154"/>
        <v>0.21642848069760054</v>
      </c>
      <c r="AB195" s="4247">
        <f t="shared" si="154"/>
        <v>0.18649200413746195</v>
      </c>
      <c r="AC195" s="4247">
        <f t="shared" si="154"/>
        <v>0.12000000000000008</v>
      </c>
      <c r="AD195" s="4247">
        <f t="shared" si="154"/>
        <v>9.259888940416923E-2</v>
      </c>
      <c r="AE195" s="4247">
        <f t="shared" si="154"/>
        <v>8.9999999999999469E-2</v>
      </c>
      <c r="AF195" s="4247">
        <f t="shared" si="154"/>
        <v>6.3721525107188814E-2</v>
      </c>
      <c r="AH195" s="4799"/>
    </row>
    <row r="196" spans="1:34" s="766" customFormat="1">
      <c r="A196" s="4603" t="str">
        <f>A176</f>
        <v>Other Cost Of Revenues</v>
      </c>
      <c r="B196" s="4247"/>
      <c r="C196" s="4247"/>
      <c r="D196" s="4247"/>
      <c r="E196" s="4247"/>
      <c r="F196" s="4247"/>
      <c r="G196" s="4247"/>
      <c r="H196" s="4247"/>
      <c r="I196" s="4247"/>
      <c r="J196" s="4247"/>
      <c r="K196" s="4247"/>
      <c r="L196" s="4247"/>
      <c r="M196" s="4247"/>
      <c r="N196" s="4247"/>
      <c r="O196" s="4247"/>
      <c r="P196" s="4247"/>
      <c r="Q196" s="4247"/>
      <c r="R196" s="4247"/>
      <c r="S196" s="4247"/>
      <c r="T196" s="4247"/>
      <c r="U196" s="4247">
        <f t="shared" ref="U196:AF196" si="155">IF(U176*T176&lt;=0,"NA",(U176-T176)/ABS(T176))</f>
        <v>0.36974605796175897</v>
      </c>
      <c r="V196" s="4247">
        <f t="shared" si="155"/>
        <v>1.3265414956090229E-2</v>
      </c>
      <c r="W196" s="4247">
        <f t="shared" si="155"/>
        <v>-9.6543633838134107E-2</v>
      </c>
      <c r="X196" s="4247">
        <f t="shared" si="155"/>
        <v>3.5384713734046926E-2</v>
      </c>
      <c r="Y196" s="4247">
        <f t="shared" si="155"/>
        <v>8.6434415853482979E-2</v>
      </c>
      <c r="Z196" s="4247">
        <f t="shared" si="155"/>
        <v>-0.39762469290706326</v>
      </c>
      <c r="AA196" s="4247">
        <f t="shared" si="155"/>
        <v>-0.14380095089921541</v>
      </c>
      <c r="AB196" s="4247">
        <f t="shared" si="155"/>
        <v>0.56379943772073848</v>
      </c>
      <c r="AC196" s="4247">
        <f t="shared" si="155"/>
        <v>1.6058173789586663</v>
      </c>
      <c r="AD196" s="4247">
        <f t="shared" si="155"/>
        <v>0.69198652173811626</v>
      </c>
      <c r="AE196" s="4247">
        <f t="shared" si="155"/>
        <v>0.34399541697037544</v>
      </c>
      <c r="AF196" s="4247">
        <f t="shared" si="155"/>
        <v>0.19876604038759743</v>
      </c>
      <c r="AH196" s="4799"/>
    </row>
    <row r="197" spans="1:34" s="766" customFormat="1">
      <c r="A197" s="4595" t="str">
        <f>A177</f>
        <v>Gross Profit</v>
      </c>
      <c r="B197" s="4247"/>
      <c r="C197" s="4247"/>
      <c r="D197" s="4247"/>
      <c r="E197" s="4247"/>
      <c r="F197" s="4247"/>
      <c r="G197" s="4247"/>
      <c r="H197" s="4247"/>
      <c r="I197" s="4247"/>
      <c r="J197" s="4247"/>
      <c r="K197" s="4247"/>
      <c r="L197" s="4247"/>
      <c r="M197" s="4247"/>
      <c r="N197" s="4247"/>
      <c r="O197" s="4247"/>
      <c r="P197" s="4247"/>
      <c r="Q197" s="4247"/>
      <c r="R197" s="4247"/>
      <c r="S197" s="4247"/>
      <c r="T197" s="4247"/>
      <c r="U197" s="4247">
        <f t="shared" ref="U197:AF197" si="156">IF(U177*T177&lt;=0,"NA",(U177-T177)/ABS(T177))</f>
        <v>0.11779029803500066</v>
      </c>
      <c r="V197" s="4247">
        <f t="shared" si="156"/>
        <v>0.3491125682758498</v>
      </c>
      <c r="W197" s="4247">
        <f t="shared" si="156"/>
        <v>0.38933467354953338</v>
      </c>
      <c r="X197" s="4247">
        <f t="shared" si="156"/>
        <v>-0.14503238891345988</v>
      </c>
      <c r="Y197" s="4247">
        <f t="shared" si="156"/>
        <v>0.12110044018489192</v>
      </c>
      <c r="Z197" s="4247">
        <f t="shared" si="156"/>
        <v>0.24281496612756354</v>
      </c>
      <c r="AA197" s="4247">
        <f t="shared" si="156"/>
        <v>0.28525597659480195</v>
      </c>
      <c r="AB197" s="4247">
        <f t="shared" si="156"/>
        <v>0.13846746044318498</v>
      </c>
      <c r="AC197" s="4247">
        <f t="shared" si="156"/>
        <v>-0.13977284441886145</v>
      </c>
      <c r="AD197" s="4247">
        <f t="shared" si="156"/>
        <v>-0.2248449633745481</v>
      </c>
      <c r="AE197" s="4247">
        <f t="shared" si="156"/>
        <v>-0.20362521666580055</v>
      </c>
      <c r="AF197" s="4247">
        <f t="shared" si="156"/>
        <v>-0.1997445538443576</v>
      </c>
      <c r="AH197" s="4799"/>
    </row>
    <row r="198" spans="1:34" s="766" customFormat="1">
      <c r="A198" s="4603" t="str">
        <f>A178</f>
        <v>GAAP Expenses</v>
      </c>
      <c r="B198" s="4247"/>
      <c r="C198" s="4247"/>
      <c r="D198" s="4247"/>
      <c r="E198" s="4247"/>
      <c r="F198" s="4247"/>
      <c r="G198" s="4247"/>
      <c r="H198" s="4247"/>
      <c r="I198" s="4247"/>
      <c r="J198" s="4247"/>
      <c r="K198" s="4247"/>
      <c r="L198" s="4247"/>
      <c r="M198" s="4247"/>
      <c r="N198" s="4247"/>
      <c r="O198" s="4247"/>
      <c r="P198" s="4247"/>
      <c r="Q198" s="4247"/>
      <c r="R198" s="4247"/>
      <c r="S198" s="4247"/>
      <c r="T198" s="4247"/>
      <c r="U198" s="4247">
        <f t="shared" ref="U198:AF198" si="157">IF(U178*T178&lt;=0,"NA",(U178-T178)/ABS(T178))</f>
        <v>4.0426884265689744E-2</v>
      </c>
      <c r="V198" s="4247">
        <f t="shared" si="157"/>
        <v>5.3829925719505916E-3</v>
      </c>
      <c r="W198" s="4247">
        <f t="shared" si="157"/>
        <v>4.5439326548213602E-2</v>
      </c>
      <c r="X198" s="4247">
        <f t="shared" si="157"/>
        <v>0.122095084272004</v>
      </c>
      <c r="Y198" s="4247">
        <f t="shared" si="157"/>
        <v>5.3300305576070572E-2</v>
      </c>
      <c r="Z198" s="4247">
        <f t="shared" si="157"/>
        <v>0.38025746748568967</v>
      </c>
      <c r="AA198" s="4247">
        <f t="shared" si="157"/>
        <v>0.54426864736886127</v>
      </c>
      <c r="AB198" s="4247">
        <f t="shared" si="157"/>
        <v>-0.38675775081880726</v>
      </c>
      <c r="AC198" s="4247">
        <f t="shared" si="157"/>
        <v>-0.88202152636786857</v>
      </c>
      <c r="AD198" s="4247" t="str">
        <f t="shared" si="157"/>
        <v>NA</v>
      </c>
      <c r="AE198" s="4247">
        <f t="shared" si="157"/>
        <v>-0.88380248800666028</v>
      </c>
      <c r="AF198" s="4247">
        <f t="shared" si="157"/>
        <v>-0.4091604598061831</v>
      </c>
      <c r="AH198" s="4799"/>
    </row>
    <row r="199" spans="1:34" s="766" customFormat="1">
      <c r="A199" s="4595" t="str">
        <f>A179</f>
        <v>GAAP Operating Income</v>
      </c>
      <c r="B199" s="4247"/>
      <c r="C199" s="4247"/>
      <c r="D199" s="4247"/>
      <c r="E199" s="4247"/>
      <c r="F199" s="4247"/>
      <c r="G199" s="4247"/>
      <c r="H199" s="4247"/>
      <c r="I199" s="4247"/>
      <c r="J199" s="4247"/>
      <c r="K199" s="4247"/>
      <c r="L199" s="4247"/>
      <c r="M199" s="4247"/>
      <c r="N199" s="4247"/>
      <c r="O199" s="4247"/>
      <c r="P199" s="4247"/>
      <c r="Q199" s="4247"/>
      <c r="R199" s="4247"/>
      <c r="S199" s="4247"/>
      <c r="T199" s="4247"/>
      <c r="U199" s="4247">
        <f t="shared" ref="U199:AF199" si="158">IF(U179*T179&lt;=0,"NA",(U179-T179)/ABS(T179))</f>
        <v>0.58825684605749673</v>
      </c>
      <c r="V199" s="4247">
        <f t="shared" si="158"/>
        <v>1.7184196529344509</v>
      </c>
      <c r="W199" s="4247">
        <f t="shared" si="158"/>
        <v>0.89600478495291913</v>
      </c>
      <c r="X199" s="4247">
        <f t="shared" si="158"/>
        <v>-0.36204098944847551</v>
      </c>
      <c r="Y199" s="4247">
        <f t="shared" si="158"/>
        <v>0.21797858871384065</v>
      </c>
      <c r="Z199" s="4247">
        <f t="shared" si="158"/>
        <v>7.2979307017840431E-2</v>
      </c>
      <c r="AA199" s="4247">
        <f t="shared" si="158"/>
        <v>-0.12645988585423487</v>
      </c>
      <c r="AB199" s="4247">
        <f t="shared" si="158"/>
        <v>1.6143852080957728</v>
      </c>
      <c r="AC199" s="4247">
        <f t="shared" si="158"/>
        <v>0.34947454377819476</v>
      </c>
      <c r="AD199" s="4247">
        <f t="shared" si="158"/>
        <v>0.11468977071777689</v>
      </c>
      <c r="AE199" s="4247">
        <f t="shared" si="158"/>
        <v>8.4029010271098104E-2</v>
      </c>
      <c r="AF199" s="4247">
        <f t="shared" si="158"/>
        <v>8.0162844816882295E-2</v>
      </c>
      <c r="AH199" s="4799"/>
    </row>
    <row r="200" spans="1:34" s="766" customFormat="1">
      <c r="A200" s="4595" t="str">
        <f>A184</f>
        <v>GAAP EPS</v>
      </c>
      <c r="B200" s="4247"/>
      <c r="C200" s="4247"/>
      <c r="D200" s="4247"/>
      <c r="E200" s="4247"/>
      <c r="F200" s="4247"/>
      <c r="G200" s="4247"/>
      <c r="H200" s="4247"/>
      <c r="I200" s="4247"/>
      <c r="J200" s="4247"/>
      <c r="K200" s="4247"/>
      <c r="L200" s="4247"/>
      <c r="M200" s="4247"/>
      <c r="N200" s="4247"/>
      <c r="O200" s="4247"/>
      <c r="P200" s="4247"/>
      <c r="Q200" s="4247"/>
      <c r="R200" s="4247"/>
      <c r="S200" s="4247"/>
      <c r="T200" s="4247"/>
      <c r="U200" s="4247">
        <f t="shared" ref="U200:AF200" si="159">IF(U184*T184&lt;=0,"NA",(U184-T184)/ABS(T184))</f>
        <v>0.57938443383241844</v>
      </c>
      <c r="V200" s="4247">
        <f t="shared" si="159"/>
        <v>1.6505620690310925</v>
      </c>
      <c r="W200" s="4247">
        <f t="shared" si="159"/>
        <v>0.86507356726114915</v>
      </c>
      <c r="X200" s="4247">
        <f t="shared" si="159"/>
        <v>-0.32310785803725162</v>
      </c>
      <c r="Y200" s="4247">
        <f t="shared" si="159"/>
        <v>0.2823427782358367</v>
      </c>
      <c r="Z200" s="4247">
        <f t="shared" si="159"/>
        <v>5.342882210457664E-2</v>
      </c>
      <c r="AA200" s="4247">
        <f t="shared" ca="1" si="159"/>
        <v>-0.15261880645497994</v>
      </c>
      <c r="AB200" s="4247">
        <f t="shared" ca="1" si="159"/>
        <v>1.7210265316860047</v>
      </c>
      <c r="AC200" s="4247">
        <f t="shared" ca="1" si="159"/>
        <v>0.35572873493950824</v>
      </c>
      <c r="AD200" s="4247">
        <f t="shared" ca="1" si="159"/>
        <v>0.11434461456058041</v>
      </c>
      <c r="AE200" s="4247">
        <f t="shared" ca="1" si="159"/>
        <v>8.3589286578298144E-2</v>
      </c>
      <c r="AF200" s="4247">
        <f t="shared" ca="1" si="159"/>
        <v>7.9527367010324049E-2</v>
      </c>
      <c r="AH200" s="4799"/>
    </row>
    <row r="201" spans="1:34" s="766" customFormat="1">
      <c r="A201" s="4603" t="str">
        <f>A186</f>
        <v>D&amp;A</v>
      </c>
      <c r="B201" s="4247"/>
      <c r="C201" s="4247"/>
      <c r="D201" s="4247"/>
      <c r="E201" s="4247"/>
      <c r="F201" s="4247"/>
      <c r="G201" s="4247"/>
      <c r="H201" s="4247"/>
      <c r="I201" s="4247"/>
      <c r="J201" s="4247"/>
      <c r="K201" s="4247"/>
      <c r="L201" s="4247"/>
      <c r="M201" s="4247"/>
      <c r="N201" s="4247"/>
      <c r="O201" s="4247"/>
      <c r="P201" s="4247"/>
      <c r="Q201" s="4247"/>
      <c r="R201" s="4247"/>
      <c r="S201" s="4247"/>
      <c r="T201" s="4247"/>
      <c r="U201" s="4247">
        <f t="shared" ref="U201:AF201" si="160">IF(U186*T186&lt;=0,"NA",(U186-T186)/ABS(T186))</f>
        <v>0.26500938997421802</v>
      </c>
      <c r="V201" s="4247">
        <f t="shared" si="160"/>
        <v>0.21346447619666578</v>
      </c>
      <c r="W201" s="4247">
        <f t="shared" si="160"/>
        <v>-0.21227973878263903</v>
      </c>
      <c r="X201" s="4247">
        <f t="shared" si="160"/>
        <v>6.1476380069906612E-2</v>
      </c>
      <c r="Y201" s="4247">
        <f t="shared" si="160"/>
        <v>-9.029283674874207E-2</v>
      </c>
      <c r="Z201" s="4247">
        <f t="shared" si="160"/>
        <v>6.5490427543047028E-2</v>
      </c>
      <c r="AA201" s="4247">
        <f t="shared" si="160"/>
        <v>0.43924578344933402</v>
      </c>
      <c r="AB201" s="4247">
        <f t="shared" si="160"/>
        <v>0.46741680193958102</v>
      </c>
      <c r="AC201" s="4247">
        <f t="shared" si="160"/>
        <v>0.31351433514607369</v>
      </c>
      <c r="AD201" s="4247">
        <f t="shared" si="160"/>
        <v>0.11204109949139822</v>
      </c>
      <c r="AE201" s="4247">
        <f t="shared" si="160"/>
        <v>8.3672220277140705E-2</v>
      </c>
      <c r="AF201" s="4247">
        <f t="shared" si="160"/>
        <v>5.2735911334710193E-2</v>
      </c>
      <c r="AH201" s="4799"/>
    </row>
    <row r="202" spans="1:34" s="766" customFormat="1">
      <c r="A202" s="4603" t="str">
        <f>A187</f>
        <v>SBC</v>
      </c>
      <c r="B202" s="4247"/>
      <c r="C202" s="4247"/>
      <c r="D202" s="4247"/>
      <c r="E202" s="4247"/>
      <c r="F202" s="4247"/>
      <c r="G202" s="4247"/>
      <c r="H202" s="4247"/>
      <c r="I202" s="4247"/>
      <c r="J202" s="4247"/>
      <c r="K202" s="4247"/>
      <c r="L202" s="4247"/>
      <c r="M202" s="4247"/>
      <c r="N202" s="4247"/>
      <c r="O202" s="4247"/>
      <c r="P202" s="4247"/>
      <c r="Q202" s="4247"/>
      <c r="R202" s="4247"/>
      <c r="S202" s="4247"/>
      <c r="T202" s="4247"/>
      <c r="U202" s="4247">
        <f t="shared" ref="U202:AF202" si="161">IF(U187*T187&lt;=0,"NA",(U187-T187)/ABS(T187))</f>
        <v>0.12607115929138521</v>
      </c>
      <c r="V202" s="4247">
        <f t="shared" si="161"/>
        <v>0.47732611724454788</v>
      </c>
      <c r="W202" s="4247">
        <f t="shared" si="161"/>
        <v>5.7711317291491517E-2</v>
      </c>
      <c r="X202" s="4247">
        <f t="shared" si="161"/>
        <v>2.6127313110867724E-2</v>
      </c>
      <c r="Y202" s="4247">
        <f t="shared" si="161"/>
        <v>0.19040830213910687</v>
      </c>
      <c r="Z202" s="4247">
        <f t="shared" si="161"/>
        <v>9.9378395913318388E-2</v>
      </c>
      <c r="AA202" s="4247">
        <f t="shared" si="161"/>
        <v>0.19785032053667889</v>
      </c>
      <c r="AB202" s="4247">
        <f t="shared" si="161"/>
        <v>0.16871804374179653</v>
      </c>
      <c r="AC202" s="4247">
        <f t="shared" si="161"/>
        <v>-0.13903823258896858</v>
      </c>
      <c r="AD202" s="4247">
        <f t="shared" si="161"/>
        <v>-0.21409211662477398</v>
      </c>
      <c r="AE202" s="4247">
        <f t="shared" si="161"/>
        <v>-0.19586464441589641</v>
      </c>
      <c r="AF202" s="4247">
        <f t="shared" si="161"/>
        <v>-0.19393978154294081</v>
      </c>
      <c r="AH202" s="4799"/>
    </row>
    <row r="203" spans="1:34" s="766" customFormat="1">
      <c r="A203" s="4595" t="str">
        <f>A188</f>
        <v>Adj. EBITDA</v>
      </c>
      <c r="B203" s="4247"/>
      <c r="C203" s="4247"/>
      <c r="D203" s="4247"/>
      <c r="E203" s="4247"/>
      <c r="F203" s="4247"/>
      <c r="G203" s="4247"/>
      <c r="H203" s="4247"/>
      <c r="I203" s="4247"/>
      <c r="J203" s="4247"/>
      <c r="K203" s="4247"/>
      <c r="L203" s="4247"/>
      <c r="M203" s="4247"/>
      <c r="N203" s="4247"/>
      <c r="O203" s="4247"/>
      <c r="P203" s="4247"/>
      <c r="Q203" s="4247"/>
      <c r="R203" s="4247"/>
      <c r="S203" s="4247"/>
      <c r="T203" s="4247"/>
      <c r="U203" s="4247">
        <f t="shared" ref="U203:AF203" si="162">IF(U188*T188&lt;=0,"NA",(U188-T188)/ABS(T188))</f>
        <v>0.35585680730055519</v>
      </c>
      <c r="V203" s="4247">
        <f t="shared" si="162"/>
        <v>1.0014072004431964</v>
      </c>
      <c r="W203" s="4247">
        <f t="shared" si="162"/>
        <v>0.55978777833243676</v>
      </c>
      <c r="X203" s="4247">
        <f t="shared" si="162"/>
        <v>-0.27853595264983932</v>
      </c>
      <c r="Y203" s="4247">
        <f t="shared" si="162"/>
        <v>0.1754113489553048</v>
      </c>
      <c r="Z203" s="4247">
        <f t="shared" si="162"/>
        <v>7.7003746237127163E-2</v>
      </c>
      <c r="AA203" s="4247">
        <f t="shared" si="162"/>
        <v>-1.4154797229220839E-2</v>
      </c>
      <c r="AB203" s="4247">
        <f t="shared" si="162"/>
        <v>1.1361771883715224</v>
      </c>
      <c r="AC203" s="4247">
        <f t="shared" si="162"/>
        <v>0.28666685120211249</v>
      </c>
      <c r="AD203" s="4247">
        <f t="shared" si="162"/>
        <v>8.7670766911288528E-2</v>
      </c>
      <c r="AE203" s="4247">
        <f t="shared" si="162"/>
        <v>6.7530274882426231E-2</v>
      </c>
      <c r="AF203" s="4247">
        <f t="shared" si="162"/>
        <v>6.5289927495366634E-2</v>
      </c>
      <c r="AH203" s="4799"/>
    </row>
    <row r="204" spans="1:34" s="766" customFormat="1">
      <c r="A204" s="4593" t="s">
        <v>891</v>
      </c>
      <c r="B204" s="4592"/>
      <c r="C204" s="4592"/>
      <c r="D204" s="4592"/>
      <c r="E204" s="4592"/>
      <c r="F204" s="4592"/>
      <c r="G204" s="4592"/>
      <c r="H204" s="4592"/>
      <c r="I204" s="4592"/>
      <c r="J204" s="4592"/>
      <c r="K204" s="4592"/>
      <c r="L204" s="4592"/>
      <c r="M204" s="4592"/>
      <c r="N204" s="4592"/>
      <c r="O204" s="4592"/>
      <c r="P204" s="4592"/>
      <c r="Q204" s="4592"/>
      <c r="R204" s="4592"/>
      <c r="S204" s="4592"/>
      <c r="T204" s="4592"/>
      <c r="U204" s="4592"/>
      <c r="V204" s="4592"/>
      <c r="W204" s="4592"/>
      <c r="X204" s="4592"/>
      <c r="Y204" s="4592"/>
      <c r="Z204" s="4592"/>
      <c r="AA204" s="4592"/>
      <c r="AB204" s="4592"/>
      <c r="AC204" s="4592"/>
      <c r="AD204" s="4592"/>
      <c r="AE204" s="4592"/>
      <c r="AF204" s="4592"/>
      <c r="AH204" s="4798"/>
    </row>
    <row r="205" spans="1:34" s="766" customFormat="1">
      <c r="A205" s="4581" t="str">
        <f>A175</f>
        <v>Net Revenue</v>
      </c>
      <c r="B205" s="4594"/>
      <c r="C205" s="4594"/>
      <c r="D205" s="4594"/>
      <c r="E205" s="4594"/>
      <c r="F205" s="4594"/>
      <c r="G205" s="4594"/>
      <c r="H205" s="4594"/>
      <c r="I205" s="4594"/>
      <c r="J205" s="4594"/>
      <c r="K205" s="4594"/>
      <c r="L205" s="4594"/>
      <c r="M205" s="4594"/>
      <c r="N205" s="4594"/>
      <c r="O205" s="4594"/>
      <c r="P205" s="4594"/>
      <c r="Q205" s="4594"/>
      <c r="R205" s="4594"/>
      <c r="S205" s="4594"/>
      <c r="T205" s="4594">
        <f t="shared" ref="T205:AB205" si="163">T175/T173</f>
        <v>1</v>
      </c>
      <c r="U205" s="4594">
        <f t="shared" si="163"/>
        <v>1</v>
      </c>
      <c r="V205" s="4594">
        <f t="shared" si="163"/>
        <v>1</v>
      </c>
      <c r="W205" s="4594">
        <f t="shared" si="163"/>
        <v>1</v>
      </c>
      <c r="X205" s="4594">
        <f t="shared" si="163"/>
        <v>1</v>
      </c>
      <c r="Y205" s="4594">
        <f t="shared" si="163"/>
        <v>1</v>
      </c>
      <c r="Z205" s="4594">
        <f t="shared" si="163"/>
        <v>1</v>
      </c>
      <c r="AA205" s="4594">
        <f t="shared" si="163"/>
        <v>1</v>
      </c>
      <c r="AB205" s="4594">
        <f t="shared" si="163"/>
        <v>1.0000000000000002</v>
      </c>
      <c r="AC205" s="4594">
        <f>AC175/AC173</f>
        <v>1</v>
      </c>
      <c r="AD205" s="4594">
        <f>AD175/AD173</f>
        <v>1.0000000000000002</v>
      </c>
      <c r="AE205" s="4594">
        <f>AE175/AE173</f>
        <v>0.99999999999999978</v>
      </c>
      <c r="AF205" s="4594">
        <f>AF175/AF173</f>
        <v>1</v>
      </c>
      <c r="AH205" s="4797"/>
    </row>
    <row r="206" spans="1:34" s="766" customFormat="1">
      <c r="A206" s="4581" t="str">
        <f>A177</f>
        <v>Gross Profit</v>
      </c>
      <c r="B206" s="4594"/>
      <c r="C206" s="4594"/>
      <c r="D206" s="4594"/>
      <c r="E206" s="4594"/>
      <c r="F206" s="4594"/>
      <c r="G206" s="4594"/>
      <c r="H206" s="4594"/>
      <c r="I206" s="4594"/>
      <c r="J206" s="4594"/>
      <c r="K206" s="4594"/>
      <c r="L206" s="4594"/>
      <c r="M206" s="4594"/>
      <c r="N206" s="4594"/>
      <c r="O206" s="4594"/>
      <c r="P206" s="4594"/>
      <c r="Q206" s="4594"/>
      <c r="R206" s="4594"/>
      <c r="S206" s="4594"/>
      <c r="T206" s="4594">
        <f t="shared" ref="T206:AB206" si="164">T177/T173</f>
        <v>0.64051262433052769</v>
      </c>
      <c r="U206" s="4594">
        <f t="shared" si="164"/>
        <v>0.59250199324609565</v>
      </c>
      <c r="V206" s="4594">
        <f t="shared" si="164"/>
        <v>0.65939224101909344</v>
      </c>
      <c r="W206" s="4594">
        <f t="shared" si="164"/>
        <v>0.74855858682663068</v>
      </c>
      <c r="X206" s="4594">
        <f t="shared" si="164"/>
        <v>0.71084154259409438</v>
      </c>
      <c r="Y206" s="4594">
        <f t="shared" si="164"/>
        <v>0.71725465406217148</v>
      </c>
      <c r="Z206" s="4594">
        <f t="shared" si="164"/>
        <v>0.83958423349740441</v>
      </c>
      <c r="AA206" s="4594">
        <f t="shared" si="164"/>
        <v>0.88708927082870559</v>
      </c>
      <c r="AB206" s="4594">
        <f t="shared" si="164"/>
        <v>0.85118337572020253</v>
      </c>
      <c r="AC206" s="4594">
        <f>AC177/AC173</f>
        <v>0.65375986979798317</v>
      </c>
      <c r="AD206" s="4594">
        <f>AD177/AD173</f>
        <v>0.46381637463851216</v>
      </c>
      <c r="AE206" s="4594">
        <f>AE177/AE173</f>
        <v>0.33887308702715507</v>
      </c>
      <c r="AF206" s="4594">
        <f>AF177/AF173</f>
        <v>0.25493987575529148</v>
      </c>
      <c r="AH206" s="4797"/>
    </row>
    <row r="207" spans="1:34" s="766" customFormat="1">
      <c r="A207" s="4586" t="str">
        <f>A188</f>
        <v>Adj. EBITDA</v>
      </c>
      <c r="B207" s="4672"/>
      <c r="C207" s="4672"/>
      <c r="D207" s="4672"/>
      <c r="E207" s="4672"/>
      <c r="F207" s="4672"/>
      <c r="G207" s="4672"/>
      <c r="H207" s="4672"/>
      <c r="I207" s="4672"/>
      <c r="J207" s="4672"/>
      <c r="K207" s="4672"/>
      <c r="L207" s="4672"/>
      <c r="M207" s="4672"/>
      <c r="N207" s="4672"/>
      <c r="O207" s="4672"/>
      <c r="P207" s="4672"/>
      <c r="Q207" s="4672"/>
      <c r="R207" s="4672"/>
      <c r="S207" s="4672"/>
      <c r="T207" s="4732">
        <f t="shared" ref="T207:AB207" si="165">T188/T173</f>
        <v>0.22075597756020429</v>
      </c>
      <c r="U207" s="4732">
        <f t="shared" si="165"/>
        <v>0.2477011848058063</v>
      </c>
      <c r="V207" s="4732">
        <f t="shared" si="165"/>
        <v>0.40894920710663651</v>
      </c>
      <c r="W207" s="4732">
        <f t="shared" si="165"/>
        <v>0.52120667994757564</v>
      </c>
      <c r="X207" s="4732">
        <f t="shared" si="165"/>
        <v>0.41765915784893831</v>
      </c>
      <c r="Y207" s="4732">
        <f t="shared" si="165"/>
        <v>0.44184295962048953</v>
      </c>
      <c r="Z207" s="4732">
        <f t="shared" si="165"/>
        <v>0.44819765324172717</v>
      </c>
      <c r="AA207" s="4732">
        <f t="shared" si="165"/>
        <v>0.36323837640506623</v>
      </c>
      <c r="AB207" s="4732">
        <f t="shared" si="165"/>
        <v>0.65397957248072103</v>
      </c>
      <c r="AC207" s="4732">
        <f>AC188/AC173</f>
        <v>0.75129806899488649</v>
      </c>
      <c r="AD207" s="4732">
        <f>AD188/AD173</f>
        <v>0.74790936985874656</v>
      </c>
      <c r="AE207" s="4732">
        <f>AE188/AE173</f>
        <v>0.73249164696555047</v>
      </c>
      <c r="AF207" s="4732">
        <f>AF188/AF173</f>
        <v>0.73357166802492069</v>
      </c>
      <c r="AH207" s="4797"/>
    </row>
    <row r="208" spans="1:34" s="766" customFormat="1">
      <c r="A208" s="4581" t="str">
        <f>A179</f>
        <v>GAAP Operating Income</v>
      </c>
      <c r="B208" s="4594"/>
      <c r="C208" s="4594"/>
      <c r="D208" s="4594"/>
      <c r="E208" s="4594"/>
      <c r="F208" s="4594"/>
      <c r="G208" s="4594"/>
      <c r="H208" s="4594"/>
      <c r="I208" s="4594"/>
      <c r="J208" s="4594"/>
      <c r="K208" s="4594"/>
      <c r="L208" s="4594"/>
      <c r="M208" s="4594"/>
      <c r="N208" s="4594"/>
      <c r="O208" s="4594"/>
      <c r="P208" s="4594"/>
      <c r="Q208" s="4594"/>
      <c r="R208" s="4594"/>
      <c r="S208" s="4594"/>
      <c r="T208" s="4594">
        <f t="shared" ref="T208:AB208" si="166">T179/T173</f>
        <v>9.0451867616874293E-2</v>
      </c>
      <c r="U208" s="4594">
        <f t="shared" si="166"/>
        <v>0.11888855822799371</v>
      </c>
      <c r="V208" s="4594">
        <f t="shared" si="166"/>
        <v>0.26660137828844682</v>
      </c>
      <c r="W208" s="4594">
        <f t="shared" si="166"/>
        <v>0.4130255411327366</v>
      </c>
      <c r="X208" s="4594">
        <f t="shared" si="166"/>
        <v>0.29266246499000498</v>
      </c>
      <c r="Y208" s="4594">
        <f t="shared" si="166"/>
        <v>0.32082095784147635</v>
      </c>
      <c r="Z208" s="4594">
        <f t="shared" si="166"/>
        <v>0.32421903033253263</v>
      </c>
      <c r="AA208" s="4594">
        <f t="shared" si="166"/>
        <v>0.23282776855281215</v>
      </c>
      <c r="AB208" s="4594">
        <f t="shared" si="166"/>
        <v>0.51302619150891193</v>
      </c>
      <c r="AC208" s="4594">
        <f>AC179/AC173</f>
        <v>0.6181390944042443</v>
      </c>
      <c r="AD208" s="4594">
        <f>AD179/AD173</f>
        <v>0.63063703624018363</v>
      </c>
      <c r="AE208" s="4594">
        <f>AE179/AE173</f>
        <v>0.62718242406949087</v>
      </c>
      <c r="AF208" s="4594">
        <f>AF179/AF173</f>
        <v>0.6368764149374373</v>
      </c>
      <c r="AH208" s="4797"/>
    </row>
    <row r="209" spans="1:34" s="766" customFormat="1">
      <c r="A209" s="4581" t="str">
        <f>A183</f>
        <v>GAAP Net Income</v>
      </c>
      <c r="B209" s="4594"/>
      <c r="C209" s="4594"/>
      <c r="D209" s="4594"/>
      <c r="E209" s="4594"/>
      <c r="F209" s="4594"/>
      <c r="G209" s="4594"/>
      <c r="H209" s="4594"/>
      <c r="I209" s="4594"/>
      <c r="J209" s="4594"/>
      <c r="K209" s="4594"/>
      <c r="L209" s="4594"/>
      <c r="M209" s="4594"/>
      <c r="N209" s="4594"/>
      <c r="O209" s="4594"/>
      <c r="P209" s="4594"/>
      <c r="Q209" s="4594"/>
      <c r="R209" s="4594"/>
      <c r="S209" s="4594"/>
      <c r="T209" s="4594">
        <f t="shared" ref="T209:AB209" si="167">T183/T173</f>
        <v>8.2286196194632941E-2</v>
      </c>
      <c r="U209" s="4594">
        <f t="shared" si="167"/>
        <v>0.10682845904304533</v>
      </c>
      <c r="V209" s="4594">
        <f t="shared" si="167"/>
        <v>0.22972248859868147</v>
      </c>
      <c r="W209" s="4594">
        <f t="shared" si="167"/>
        <v>0.34531938055967293</v>
      </c>
      <c r="X209" s="4594">
        <f t="shared" si="167"/>
        <v>0.25205403713601193</v>
      </c>
      <c r="Y209" s="4594">
        <f t="shared" si="167"/>
        <v>0.2812399921321837</v>
      </c>
      <c r="Z209" s="4594">
        <f t="shared" si="167"/>
        <v>0.2730299713657503</v>
      </c>
      <c r="AA209" s="4594">
        <f t="shared" ca="1" si="167"/>
        <v>0.18680232249373627</v>
      </c>
      <c r="AB209" s="4594">
        <f t="shared" ca="1" si="167"/>
        <v>0.42800824084699052</v>
      </c>
      <c r="AC209" s="4594">
        <f ca="1">AC183/AC173</f>
        <v>0.51397519847191853</v>
      </c>
      <c r="AD209" s="4594">
        <f ca="1">AD183/AD173</f>
        <v>0.51960649418225147</v>
      </c>
      <c r="AE209" s="4594">
        <f ca="1">AE183/AE173</f>
        <v>0.51142309462654201</v>
      </c>
      <c r="AF209" s="4594">
        <f ca="1">AF183/AF173</f>
        <v>0.51327478671833993</v>
      </c>
      <c r="AH209" s="4797"/>
    </row>
    <row r="210" spans="1:34" s="766" customFormat="1">
      <c r="A210" s="4581"/>
      <c r="B210" s="4582"/>
      <c r="C210" s="4582"/>
      <c r="D210" s="4582"/>
      <c r="E210" s="4582"/>
      <c r="F210" s="4582"/>
      <c r="G210" s="4582"/>
      <c r="H210" s="4582"/>
      <c r="I210" s="4582"/>
      <c r="J210" s="4582"/>
      <c r="K210" s="4582"/>
      <c r="L210" s="4582"/>
      <c r="M210" s="4582"/>
      <c r="N210" s="4582"/>
      <c r="O210" s="4582"/>
      <c r="P210" s="4582"/>
      <c r="Q210" s="4582"/>
      <c r="R210" s="4582"/>
      <c r="S210" s="4582"/>
      <c r="T210" s="4582"/>
      <c r="U210" s="4594"/>
      <c r="V210" s="4582"/>
      <c r="W210" s="4582"/>
      <c r="X210" s="4582"/>
      <c r="Y210" s="4582"/>
      <c r="Z210" s="4582"/>
      <c r="AA210" s="4582"/>
      <c r="AB210" s="4582"/>
      <c r="AC210" s="4582"/>
      <c r="AD210" s="4582"/>
      <c r="AE210" s="4582"/>
      <c r="AF210" s="4582"/>
      <c r="AH210" s="4796"/>
    </row>
    <row r="211" spans="1:34" s="627" customFormat="1" hidden="1" outlineLevel="1">
      <c r="A211" s="4584" t="s">
        <v>978</v>
      </c>
      <c r="B211" s="4583"/>
      <c r="C211" s="4583"/>
      <c r="D211" s="4583"/>
      <c r="E211" s="4583"/>
      <c r="F211" s="4583"/>
      <c r="G211" s="4583"/>
      <c r="H211" s="4583"/>
      <c r="I211" s="4583"/>
      <c r="J211" s="4583"/>
      <c r="K211" s="4583"/>
      <c r="L211" s="4583"/>
      <c r="M211" s="4583"/>
      <c r="N211" s="4583"/>
      <c r="O211" s="4583"/>
      <c r="P211" s="4583"/>
      <c r="Q211" s="4583"/>
      <c r="R211" s="4583"/>
      <c r="S211" s="4583"/>
      <c r="T211" s="4583"/>
      <c r="U211" s="4583"/>
      <c r="V211" s="4583"/>
      <c r="W211" s="4583"/>
      <c r="X211" s="4583"/>
      <c r="Y211" s="4583"/>
      <c r="Z211" s="4583"/>
      <c r="AA211" s="4583"/>
      <c r="AB211" s="4583"/>
      <c r="AC211" s="4583"/>
      <c r="AD211" s="4583"/>
      <c r="AE211" s="4583"/>
      <c r="AF211" s="4583"/>
      <c r="AH211" s="4796"/>
    </row>
    <row r="212" spans="1:34" s="766" customFormat="1" hidden="1" outlineLevel="1">
      <c r="A212" s="4586" t="str">
        <f>A$8</f>
        <v>Gross Revenue</v>
      </c>
      <c r="B212" s="4589"/>
      <c r="C212" s="4589"/>
      <c r="D212" s="4589"/>
      <c r="E212" s="4589"/>
      <c r="F212" s="4589"/>
      <c r="G212" s="4589"/>
      <c r="H212" s="4589"/>
      <c r="I212" s="4589"/>
      <c r="J212" s="4589"/>
      <c r="K212" s="4589"/>
      <c r="L212" s="4589"/>
      <c r="M212" s="4589"/>
      <c r="N212" s="4589"/>
      <c r="O212" s="4589"/>
      <c r="P212" s="4589"/>
      <c r="Q212" s="4589"/>
      <c r="R212" s="4589"/>
      <c r="S212" s="4589"/>
      <c r="T212" s="4589">
        <f>'Segment As Reported'!DG40</f>
        <v>130524</v>
      </c>
      <c r="U212" s="4589">
        <f>'Segment As Reported'!DL40</f>
        <v>151825</v>
      </c>
      <c r="V212" s="4589">
        <f>'Segment As Reported'!DQ40</f>
        <v>168635</v>
      </c>
      <c r="W212" s="4589">
        <f>'Segment As Reported'!DV40</f>
        <v>237529</v>
      </c>
      <c r="X212" s="4589">
        <f>'Segment As Reported'!EA40</f>
        <v>253528</v>
      </c>
      <c r="Y212" s="4589">
        <f>'Segment As Reported'!EF40</f>
        <v>272543</v>
      </c>
      <c r="Z212" s="4589">
        <f>'Segment As Reported'!EK40</f>
        <v>304930</v>
      </c>
      <c r="AA212" s="4589">
        <f>'Segment As Reported'!EP40</f>
        <v>342414.36620223965</v>
      </c>
      <c r="AB212" s="4589">
        <f>'Segment As Reported'!EU40</f>
        <v>384433.1830860331</v>
      </c>
      <c r="AC212" s="4589">
        <f>'Segment As Reported'!EV40</f>
        <v>421240.41935221193</v>
      </c>
      <c r="AD212" s="4589">
        <f>'Segment As Reported'!EW40</f>
        <v>457540.79143547313</v>
      </c>
      <c r="AE212" s="4589">
        <f>'Segment As Reported'!EX40</f>
        <v>493095.40909181454</v>
      </c>
      <c r="AF212" s="4589">
        <f>'Segment As Reported'!EY40</f>
        <v>528676.60277234321</v>
      </c>
      <c r="AH212" s="4797"/>
    </row>
    <row r="213" spans="1:34" s="766" customFormat="1" hidden="1" outlineLevel="1">
      <c r="A213" s="4585" t="str">
        <f>A$9</f>
        <v>TAC</v>
      </c>
      <c r="B213" s="4597"/>
      <c r="C213" s="4597"/>
      <c r="D213" s="4597"/>
      <c r="E213" s="4597"/>
      <c r="F213" s="4597"/>
      <c r="G213" s="4597"/>
      <c r="H213" s="4597"/>
      <c r="I213" s="4597"/>
      <c r="J213" s="4597"/>
      <c r="K213" s="4597"/>
      <c r="L213" s="4597"/>
      <c r="M213" s="4597"/>
      <c r="N213" s="4597"/>
      <c r="O213" s="4597"/>
      <c r="P213" s="4597"/>
      <c r="Q213" s="4597"/>
      <c r="R213" s="4597"/>
      <c r="S213" s="4597"/>
      <c r="T213" s="4597">
        <f t="shared" ref="T213:AB213" si="168">T9-T249-T290-T322</f>
        <v>26726</v>
      </c>
      <c r="U213" s="4597">
        <f t="shared" si="168"/>
        <v>30089</v>
      </c>
      <c r="V213" s="4597">
        <f t="shared" si="168"/>
        <v>32778</v>
      </c>
      <c r="W213" s="4597">
        <f t="shared" si="168"/>
        <v>45566</v>
      </c>
      <c r="X213" s="4597">
        <f t="shared" si="168"/>
        <v>48955</v>
      </c>
      <c r="Y213" s="4597">
        <f t="shared" si="168"/>
        <v>50886</v>
      </c>
      <c r="Z213" s="4597">
        <f t="shared" si="168"/>
        <v>54900</v>
      </c>
      <c r="AA213" s="4597">
        <f t="shared" si="168"/>
        <v>59587.297203300754</v>
      </c>
      <c r="AB213" s="4597">
        <f t="shared" si="168"/>
        <v>65068.042114566371</v>
      </c>
      <c r="AC213" s="4597">
        <f>AC9-AC249-AC290-AC322</f>
        <v>70196.900175195173</v>
      </c>
      <c r="AD213" s="4597">
        <f>AD9-AD249-AD290-AD322</f>
        <v>75419.857670370227</v>
      </c>
      <c r="AE213" s="4597">
        <f>AE9-AE249-AE290-AE322</f>
        <v>80229.579235217301</v>
      </c>
      <c r="AF213" s="4597">
        <f>AF9-AF249-AF290-AF322</f>
        <v>85065.791930375693</v>
      </c>
      <c r="AH213" s="4803"/>
    </row>
    <row r="214" spans="1:34" s="766" customFormat="1" hidden="1" outlineLevel="1">
      <c r="A214" s="4586" t="str">
        <f>A$10</f>
        <v>Net Revenue</v>
      </c>
      <c r="B214" s="4589"/>
      <c r="C214" s="4589"/>
      <c r="D214" s="4589"/>
      <c r="E214" s="4589"/>
      <c r="F214" s="4589"/>
      <c r="G214" s="4589"/>
      <c r="H214" s="4589"/>
      <c r="I214" s="4589"/>
      <c r="J214" s="4589"/>
      <c r="K214" s="4589"/>
      <c r="L214" s="4589"/>
      <c r="M214" s="4589"/>
      <c r="N214" s="4589"/>
      <c r="O214" s="4589"/>
      <c r="P214" s="4589"/>
      <c r="Q214" s="4589"/>
      <c r="R214" s="4589"/>
      <c r="S214" s="4589"/>
      <c r="T214" s="4589">
        <f>'Segment As Reported'!DG42</f>
        <v>103798</v>
      </c>
      <c r="U214" s="4589">
        <f>'Segment As Reported'!DL42</f>
        <v>121736</v>
      </c>
      <c r="V214" s="4589">
        <f>'Segment As Reported'!DQ42</f>
        <v>135857</v>
      </c>
      <c r="W214" s="4589">
        <f>'Segment As Reported'!DV42</f>
        <v>191963</v>
      </c>
      <c r="X214" s="4589">
        <f>'Segment As Reported'!EA42</f>
        <v>204573</v>
      </c>
      <c r="Y214" s="4589">
        <f>'Segment As Reported'!EF42</f>
        <v>221657</v>
      </c>
      <c r="Z214" s="4589">
        <f>'Segment As Reported'!EK42</f>
        <v>250030</v>
      </c>
      <c r="AA214" s="4589">
        <f>'Segment As Reported'!EP42</f>
        <v>282827.06899893889</v>
      </c>
      <c r="AB214" s="4589">
        <f>'Segment As Reported'!EU42</f>
        <v>319365.14097146672</v>
      </c>
      <c r="AC214" s="4589">
        <f>'Segment As Reported'!EV42</f>
        <v>351043.51917701674</v>
      </c>
      <c r="AD214" s="4589">
        <f>'Segment As Reported'!EW42</f>
        <v>382120.93376510288</v>
      </c>
      <c r="AE214" s="4589">
        <f>'Segment As Reported'!EX42</f>
        <v>412865.82985659724</v>
      </c>
      <c r="AF214" s="4589">
        <f>'Segment As Reported'!EY42</f>
        <v>443610.81084196753</v>
      </c>
      <c r="AH214" s="4798"/>
    </row>
    <row r="215" spans="1:34" s="766" customFormat="1" hidden="1" outlineLevel="1">
      <c r="A215" s="4585" t="str">
        <f>A$11</f>
        <v>Other Cost Of Revenues</v>
      </c>
      <c r="B215" s="4590"/>
      <c r="C215" s="4590"/>
      <c r="D215" s="4590"/>
      <c r="E215" s="4590"/>
      <c r="F215" s="4590"/>
      <c r="G215" s="4590"/>
      <c r="H215" s="4590"/>
      <c r="I215" s="4590"/>
      <c r="J215" s="4590"/>
      <c r="K215" s="4590"/>
      <c r="L215" s="4590"/>
      <c r="M215" s="4590"/>
      <c r="N215" s="4590"/>
      <c r="O215" s="4590"/>
      <c r="P215" s="4590"/>
      <c r="Q215" s="4590"/>
      <c r="R215" s="4590"/>
      <c r="S215" s="4590"/>
      <c r="T215" s="4590">
        <f t="shared" ref="T215:AB215" si="169">T11-T251-T292-T324</f>
        <v>30249.8</v>
      </c>
      <c r="U215" s="4590">
        <f t="shared" si="169"/>
        <v>38065.380000000005</v>
      </c>
      <c r="V215" s="4590">
        <f t="shared" si="169"/>
        <v>46859.369999999995</v>
      </c>
      <c r="W215" s="4590">
        <f t="shared" si="169"/>
        <v>60404.742000000006</v>
      </c>
      <c r="X215" s="4590">
        <f t="shared" si="169"/>
        <v>70513.600000000006</v>
      </c>
      <c r="Y215" s="4590">
        <f t="shared" si="169"/>
        <v>76309.504000000001</v>
      </c>
      <c r="Z215" s="4590">
        <f t="shared" si="169"/>
        <v>84608.282000000007</v>
      </c>
      <c r="AA215" s="4590">
        <f t="shared" si="169"/>
        <v>94045.636692090731</v>
      </c>
      <c r="AB215" s="4590">
        <f t="shared" si="169"/>
        <v>106734.49141463102</v>
      </c>
      <c r="AC215" s="4590">
        <f>AC11-AC251-AC292-AC324</f>
        <v>123656.77056714981</v>
      </c>
      <c r="AD215" s="4590">
        <f>AD11-AD251-AD292-AD324</f>
        <v>141895.03488787997</v>
      </c>
      <c r="AE215" s="4590">
        <f>AE11-AE251-AE292-AE324</f>
        <v>159045.21820253404</v>
      </c>
      <c r="AF215" s="4590">
        <f>AF11-AF251-AF292-AF324</f>
        <v>175078.63607559065</v>
      </c>
      <c r="AH215" s="4798"/>
    </row>
    <row r="216" spans="1:34" s="766" customFormat="1" hidden="1" outlineLevel="1">
      <c r="A216" s="4586" t="str">
        <f>A$12</f>
        <v>Gross Profit</v>
      </c>
      <c r="B216" s="4589"/>
      <c r="C216" s="4589"/>
      <c r="D216" s="4589"/>
      <c r="E216" s="4589"/>
      <c r="F216" s="4589"/>
      <c r="G216" s="4589"/>
      <c r="H216" s="4589"/>
      <c r="I216" s="4589"/>
      <c r="J216" s="4589"/>
      <c r="K216" s="4589"/>
      <c r="L216" s="4589"/>
      <c r="M216" s="4589"/>
      <c r="N216" s="4589"/>
      <c r="O216" s="4589"/>
      <c r="P216" s="4589"/>
      <c r="Q216" s="4589"/>
      <c r="R216" s="4589"/>
      <c r="S216" s="4589"/>
      <c r="T216" s="4589">
        <f t="shared" ref="T216:AB216" si="170">T214-T215</f>
        <v>73548.2</v>
      </c>
      <c r="U216" s="4589">
        <f t="shared" si="170"/>
        <v>83670.62</v>
      </c>
      <c r="V216" s="4589">
        <f t="shared" si="170"/>
        <v>88997.63</v>
      </c>
      <c r="W216" s="4589">
        <f t="shared" si="170"/>
        <v>131558.258</v>
      </c>
      <c r="X216" s="4589">
        <f t="shared" si="170"/>
        <v>134059.4</v>
      </c>
      <c r="Y216" s="4589">
        <f t="shared" si="170"/>
        <v>145347.49599999998</v>
      </c>
      <c r="Z216" s="4589">
        <f t="shared" si="170"/>
        <v>165421.71799999999</v>
      </c>
      <c r="AA216" s="4589">
        <f t="shared" si="170"/>
        <v>188781.43230684818</v>
      </c>
      <c r="AB216" s="4589">
        <f t="shared" si="170"/>
        <v>212630.64955683571</v>
      </c>
      <c r="AC216" s="4589">
        <f>AC214-AC215</f>
        <v>227386.74860986695</v>
      </c>
      <c r="AD216" s="4589">
        <f>AD214-AD215</f>
        <v>240225.89887722291</v>
      </c>
      <c r="AE216" s="4589">
        <f>AE214-AE215</f>
        <v>253820.61165406319</v>
      </c>
      <c r="AF216" s="4589">
        <f>AF214-AF215</f>
        <v>268532.17476637685</v>
      </c>
      <c r="AH216" s="4798"/>
    </row>
    <row r="217" spans="1:34" s="766" customFormat="1" hidden="1" outlineLevel="1">
      <c r="A217" s="5798" t="str">
        <f>A$13</f>
        <v>GAAP Expenses</v>
      </c>
      <c r="B217" s="5799"/>
      <c r="C217" s="5799"/>
      <c r="D217" s="5799"/>
      <c r="E217" s="5799"/>
      <c r="F217" s="5799"/>
      <c r="G217" s="5799"/>
      <c r="H217" s="5799"/>
      <c r="I217" s="5799"/>
      <c r="J217" s="5799"/>
      <c r="K217" s="5799"/>
      <c r="L217" s="5799"/>
      <c r="M217" s="5799"/>
      <c r="N217" s="5799"/>
      <c r="O217" s="5799"/>
      <c r="P217" s="5799"/>
      <c r="Q217" s="5799"/>
      <c r="R217" s="5799"/>
      <c r="S217" s="5799"/>
      <c r="T217" s="5799">
        <f t="shared" ref="T217:AB217" si="171">T216-T218</f>
        <v>30411.199999999997</v>
      </c>
      <c r="U217" s="5799">
        <f t="shared" si="171"/>
        <v>34671.619999999995</v>
      </c>
      <c r="V217" s="5799">
        <f t="shared" si="171"/>
        <v>34391.630000000005</v>
      </c>
      <c r="W217" s="5799">
        <f t="shared" si="171"/>
        <v>43426.258000000002</v>
      </c>
      <c r="X217" s="5799">
        <f t="shared" si="171"/>
        <v>51360.399999999994</v>
      </c>
      <c r="Y217" s="5799">
        <f t="shared" si="171"/>
        <v>49489.495999999985</v>
      </c>
      <c r="Z217" s="5799">
        <f t="shared" si="171"/>
        <v>44158.717999999993</v>
      </c>
      <c r="AA217" s="5799">
        <f t="shared" si="171"/>
        <v>50666.175945637748</v>
      </c>
      <c r="AB217" s="5799">
        <f t="shared" si="171"/>
        <v>48668.484597416798</v>
      </c>
      <c r="AC217" s="5799">
        <f>AC216-AC218</f>
        <v>47095.849127120251</v>
      </c>
      <c r="AD217" s="5799">
        <f>AD216-AD218</f>
        <v>43940.899351404922</v>
      </c>
      <c r="AE217" s="5799">
        <f>AE216-AE218</f>
        <v>42036.133449128858</v>
      </c>
      <c r="AF217" s="5799">
        <f>AF216-AF218</f>
        <v>40672.558971496939</v>
      </c>
      <c r="AH217" s="4798"/>
    </row>
    <row r="218" spans="1:34" s="766" customFormat="1" hidden="1" outlineLevel="1">
      <c r="A218" s="4586" t="str">
        <f>A$14</f>
        <v>GAAP Operating Income</v>
      </c>
      <c r="B218" s="4589"/>
      <c r="C218" s="4589"/>
      <c r="D218" s="4589"/>
      <c r="E218" s="4589"/>
      <c r="F218" s="4589"/>
      <c r="G218" s="4589"/>
      <c r="H218" s="4589"/>
      <c r="I218" s="4589"/>
      <c r="J218" s="4589"/>
      <c r="K218" s="4589"/>
      <c r="L218" s="4589"/>
      <c r="M218" s="4589"/>
      <c r="N218" s="4589"/>
      <c r="O218" s="4589"/>
      <c r="P218" s="4589"/>
      <c r="Q218" s="4589"/>
      <c r="R218" s="4589"/>
      <c r="S218" s="4589"/>
      <c r="T218" s="4589">
        <f>'Segment As Reported'!DG44</f>
        <v>43137</v>
      </c>
      <c r="U218" s="4589">
        <f>'Segment As Reported'!DL44</f>
        <v>48999</v>
      </c>
      <c r="V218" s="4589">
        <f>'Segment As Reported'!DQ44</f>
        <v>54606</v>
      </c>
      <c r="W218" s="4589">
        <f>'Segment As Reported'!DV44</f>
        <v>88132</v>
      </c>
      <c r="X218" s="4589">
        <f>'Segment As Reported'!EA44</f>
        <v>82699</v>
      </c>
      <c r="Y218" s="4589">
        <f>'Segment As Reported'!EF44</f>
        <v>95858</v>
      </c>
      <c r="Z218" s="4589">
        <f>'Segment As Reported'!EK44</f>
        <v>121263</v>
      </c>
      <c r="AA218" s="4589">
        <f>'Segment As Reported'!EP44</f>
        <v>138115.25636121043</v>
      </c>
      <c r="AB218" s="4589">
        <f>'Segment As Reported'!EU44</f>
        <v>163962.16495941891</v>
      </c>
      <c r="AC218" s="4589">
        <f>'Segment As Reported'!EV44</f>
        <v>180290.8994827467</v>
      </c>
      <c r="AD218" s="4589">
        <f>'Segment As Reported'!EW44</f>
        <v>196284.99952581798</v>
      </c>
      <c r="AE218" s="4589">
        <f>'Segment As Reported'!EX44</f>
        <v>211784.47820493433</v>
      </c>
      <c r="AF218" s="4589">
        <f>'Segment As Reported'!EY44</f>
        <v>227859.61579487991</v>
      </c>
      <c r="AH218" s="4798"/>
    </row>
    <row r="219" spans="1:34" s="766" customFormat="1" hidden="1" outlineLevel="1">
      <c r="A219" s="4585" t="str">
        <f>A$15</f>
        <v>OI&amp;E</v>
      </c>
      <c r="B219" s="4590"/>
      <c r="C219" s="4590"/>
      <c r="D219" s="4590"/>
      <c r="E219" s="4590"/>
      <c r="F219" s="4590"/>
      <c r="G219" s="4590"/>
      <c r="H219" s="4590"/>
      <c r="I219" s="4590"/>
      <c r="J219" s="4590"/>
      <c r="K219" s="4590"/>
      <c r="L219" s="4590"/>
      <c r="M219" s="4590"/>
      <c r="N219" s="4590"/>
      <c r="O219" s="4590"/>
      <c r="P219" s="4590"/>
      <c r="Q219" s="4590"/>
      <c r="R219" s="4590"/>
      <c r="S219" s="4590"/>
      <c r="T219" s="4590">
        <f>'Segment As Reported'!DG45</f>
        <v>3132</v>
      </c>
      <c r="U219" s="4590">
        <f>'Segment As Reported'!DL45</f>
        <v>3071</v>
      </c>
      <c r="V219" s="4590">
        <f>'Segment As Reported'!DQ45</f>
        <v>1875</v>
      </c>
      <c r="W219" s="4590">
        <f>'Segment As Reported'!DV45</f>
        <v>1548</v>
      </c>
      <c r="X219" s="4590">
        <f>'Segment As Reported'!EA45</f>
        <v>-857</v>
      </c>
      <c r="Y219" s="4590">
        <f>'Segment As Reported'!EF45</f>
        <v>775</v>
      </c>
      <c r="Z219" s="4590">
        <f>'Segment As Reported'!EK45</f>
        <v>3493</v>
      </c>
      <c r="AA219" s="4590">
        <f ca="1">'Segment As Reported'!EP45</f>
        <v>6073.7837648784771</v>
      </c>
      <c r="AB219" s="4590">
        <f ca="1">'Segment As Reported'!EU45</f>
        <v>3243.6374026932308</v>
      </c>
      <c r="AC219" s="4590">
        <f ca="1">'Segment As Reported'!EV45</f>
        <v>2731.6578810745086</v>
      </c>
      <c r="AD219" s="4590">
        <f ca="1">'Segment As Reported'!EW45</f>
        <v>2450.3180952969096</v>
      </c>
      <c r="AE219" s="4590">
        <f ca="1">'Segment As Reported'!EX45</f>
        <v>2714.1655529124491</v>
      </c>
      <c r="AF219" s="4590">
        <f ca="1">'Segment As Reported'!EY45</f>
        <v>3638.3158607230607</v>
      </c>
      <c r="AH219" s="4798"/>
    </row>
    <row r="220" spans="1:34" s="766" customFormat="1" hidden="1" outlineLevel="1">
      <c r="A220" s="4586" t="str">
        <f>A$16</f>
        <v>Profit Before Tax</v>
      </c>
      <c r="B220" s="4589"/>
      <c r="C220" s="4589"/>
      <c r="D220" s="4589"/>
      <c r="E220" s="4589"/>
      <c r="F220" s="4589"/>
      <c r="G220" s="4589"/>
      <c r="H220" s="4589"/>
      <c r="I220" s="4589"/>
      <c r="J220" s="4589"/>
      <c r="K220" s="4589"/>
      <c r="L220" s="4589"/>
      <c r="M220" s="4589"/>
      <c r="N220" s="4589"/>
      <c r="O220" s="4589"/>
      <c r="P220" s="4589"/>
      <c r="Q220" s="4589"/>
      <c r="R220" s="4589"/>
      <c r="S220" s="4589"/>
      <c r="T220" s="4589">
        <f>'Segment As Reported'!DG46</f>
        <v>46269</v>
      </c>
      <c r="U220" s="4589">
        <f>'Segment As Reported'!DL46</f>
        <v>52070</v>
      </c>
      <c r="V220" s="4589">
        <f>'Segment As Reported'!DQ46</f>
        <v>56481</v>
      </c>
      <c r="W220" s="4589">
        <f>'Segment As Reported'!DV46</f>
        <v>89680</v>
      </c>
      <c r="X220" s="4589">
        <f>'Segment As Reported'!EA46</f>
        <v>81842</v>
      </c>
      <c r="Y220" s="4589">
        <f>'Segment As Reported'!EF46</f>
        <v>96633</v>
      </c>
      <c r="Z220" s="4589">
        <f>'Segment As Reported'!EK46</f>
        <v>124756</v>
      </c>
      <c r="AA220" s="4589">
        <f ca="1">'Segment As Reported'!EP46</f>
        <v>144189.04012608889</v>
      </c>
      <c r="AB220" s="4589">
        <f ca="1">'Segment As Reported'!EU46</f>
        <v>167205.80236211212</v>
      </c>
      <c r="AC220" s="4589">
        <f ca="1">'Segment As Reported'!EV46</f>
        <v>183022.55736382119</v>
      </c>
      <c r="AD220" s="4589">
        <f ca="1">'Segment As Reported'!EW46</f>
        <v>198735.3176211149</v>
      </c>
      <c r="AE220" s="4589">
        <f ca="1">'Segment As Reported'!EX46</f>
        <v>214498.64375784679</v>
      </c>
      <c r="AF220" s="4589">
        <f ca="1">'Segment As Reported'!EY46</f>
        <v>231497.93165560297</v>
      </c>
      <c r="AH220" s="4798"/>
    </row>
    <row r="221" spans="1:34" s="766" customFormat="1" hidden="1" outlineLevel="1">
      <c r="A221" s="4585" t="str">
        <f>A$17</f>
        <v>Income Tax</v>
      </c>
      <c r="B221" s="4590"/>
      <c r="C221" s="4590"/>
      <c r="D221" s="4590"/>
      <c r="E221" s="4590"/>
      <c r="F221" s="4590"/>
      <c r="G221" s="4590"/>
      <c r="H221" s="4590"/>
      <c r="I221" s="4590"/>
      <c r="J221" s="4590"/>
      <c r="K221" s="4590"/>
      <c r="L221" s="4590"/>
      <c r="M221" s="4590"/>
      <c r="N221" s="4590"/>
      <c r="O221" s="4597"/>
      <c r="P221" s="4597"/>
      <c r="Q221" s="4597"/>
      <c r="R221" s="4597"/>
      <c r="S221" s="4597"/>
      <c r="T221" s="4590">
        <f>'Segment As Reported'!DG47</f>
        <v>4177</v>
      </c>
      <c r="U221" s="4590">
        <f>'Segment As Reported'!DL47</f>
        <v>5282</v>
      </c>
      <c r="V221" s="4590">
        <f>'Segment As Reported'!DQ47</f>
        <v>7813</v>
      </c>
      <c r="W221" s="4590">
        <f>'Segment As Reported'!DV47</f>
        <v>14701</v>
      </c>
      <c r="X221" s="4590">
        <f>'Segment As Reported'!EA47</f>
        <v>11356</v>
      </c>
      <c r="Y221" s="4590">
        <f>'Segment As Reported'!EF47</f>
        <v>11922</v>
      </c>
      <c r="Z221" s="4590">
        <f>'Segment As Reported'!EK47</f>
        <v>19697</v>
      </c>
      <c r="AA221" s="4590">
        <f ca="1">'Segment As Reported'!EP47</f>
        <v>28503.322133278562</v>
      </c>
      <c r="AB221" s="4590">
        <f ca="1">'Segment As Reported'!EU47</f>
        <v>27709.101193836643</v>
      </c>
      <c r="AC221" s="4590">
        <f ca="1">'Segment As Reported'!EV47</f>
        <v>30841.509283419786</v>
      </c>
      <c r="AD221" s="4590">
        <f ca="1">'Segment As Reported'!EW47</f>
        <v>34989.52451806816</v>
      </c>
      <c r="AE221" s="4590">
        <f ca="1">'Segment As Reported'!EX47</f>
        <v>39590.106825249844</v>
      </c>
      <c r="AF221" s="4590">
        <f ca="1">'Segment As Reported'!EY47</f>
        <v>44927.902197158037</v>
      </c>
      <c r="AH221" s="4798"/>
    </row>
    <row r="222" spans="1:34" s="766" customFormat="1" hidden="1" outlineLevel="1">
      <c r="A222" s="4586" t="str">
        <f>A$18</f>
        <v>GAAP Net Income</v>
      </c>
      <c r="B222" s="4589"/>
      <c r="C222" s="4589"/>
      <c r="D222" s="4589"/>
      <c r="E222" s="4589"/>
      <c r="F222" s="4589"/>
      <c r="G222" s="4589"/>
      <c r="H222" s="4589"/>
      <c r="I222" s="4589"/>
      <c r="J222" s="4589"/>
      <c r="K222" s="4589"/>
      <c r="L222" s="4589"/>
      <c r="M222" s="4589"/>
      <c r="N222" s="4589"/>
      <c r="O222" s="4589"/>
      <c r="P222" s="4589"/>
      <c r="Q222" s="4589"/>
      <c r="R222" s="4589"/>
      <c r="S222" s="4589"/>
      <c r="T222" s="4589">
        <f>'Segment As Reported'!DG48</f>
        <v>42092</v>
      </c>
      <c r="U222" s="4589">
        <f>'Segment As Reported'!DL48</f>
        <v>46788</v>
      </c>
      <c r="V222" s="4589">
        <f>'Segment As Reported'!DQ48</f>
        <v>48668</v>
      </c>
      <c r="W222" s="4589">
        <f>'Segment As Reported'!DV48</f>
        <v>74979</v>
      </c>
      <c r="X222" s="4589">
        <f>'Segment As Reported'!EA48</f>
        <v>70486</v>
      </c>
      <c r="Y222" s="4589">
        <f>'Segment As Reported'!EF48</f>
        <v>84711</v>
      </c>
      <c r="Z222" s="4589">
        <f>'Segment As Reported'!EK48</f>
        <v>105059</v>
      </c>
      <c r="AA222" s="4589">
        <f ca="1">'Segment As Reported'!EP48</f>
        <v>115685.71799281033</v>
      </c>
      <c r="AB222" s="4589">
        <f ca="1">'Segment As Reported'!EU48</f>
        <v>139496.7011682755</v>
      </c>
      <c r="AC222" s="4589">
        <f ca="1">'Segment As Reported'!EV48</f>
        <v>152181.04808040141</v>
      </c>
      <c r="AD222" s="4589">
        <f ca="1">'Segment As Reported'!EW48</f>
        <v>163745.79310304674</v>
      </c>
      <c r="AE222" s="4589">
        <f ca="1">'Segment As Reported'!EX48</f>
        <v>174908.53693259694</v>
      </c>
      <c r="AF222" s="4589">
        <f ca="1">'Segment As Reported'!EY48</f>
        <v>186570.02945844491</v>
      </c>
      <c r="AH222" s="4798"/>
    </row>
    <row r="223" spans="1:34" s="766" customFormat="1" hidden="1" outlineLevel="1">
      <c r="A223" s="4586" t="str">
        <f>A$19</f>
        <v>GAAP EPS</v>
      </c>
      <c r="B223" s="4591"/>
      <c r="C223" s="4591"/>
      <c r="D223" s="4591"/>
      <c r="E223" s="4591"/>
      <c r="F223" s="4591"/>
      <c r="G223" s="4591"/>
      <c r="H223" s="4591"/>
      <c r="I223" s="4591"/>
      <c r="J223" s="4591"/>
      <c r="K223" s="4591"/>
      <c r="L223" s="4591"/>
      <c r="M223" s="4591"/>
      <c r="N223" s="4591"/>
      <c r="O223" s="4591"/>
      <c r="P223" s="4591"/>
      <c r="Q223" s="4591"/>
      <c r="R223" s="4591"/>
      <c r="S223" s="4591"/>
      <c r="T223" s="4591">
        <f>'Segment As Reported'!DG49</f>
        <v>2.992528986303201</v>
      </c>
      <c r="U223" s="4591">
        <f>'Segment As Reported'!DL49</f>
        <v>3.3489059224271767</v>
      </c>
      <c r="V223" s="4591">
        <f>'Segment As Reported'!DQ49</f>
        <v>3.5419238888094404</v>
      </c>
      <c r="W223" s="4591">
        <f>'Segment As Reported'!DV49</f>
        <v>5.5320867895502817</v>
      </c>
      <c r="X223" s="4591">
        <f>'Segment As Reported'!EA49</f>
        <v>5.3566875568311136</v>
      </c>
      <c r="Y223" s="4591">
        <f>'Segment As Reported'!EF49</f>
        <v>6.6590154269431068</v>
      </c>
      <c r="Z223" s="4591">
        <f>'Segment As Reported'!EK49</f>
        <v>8.4403382273192875</v>
      </c>
      <c r="AA223" s="4591">
        <f ca="1">'Segment As Reported'!EP49</f>
        <v>9.4629517867413657</v>
      </c>
      <c r="AB223" s="4591">
        <f ca="1">'Segment As Reported'!EU49</f>
        <v>11.421125917896232</v>
      </c>
      <c r="AC223" s="4591">
        <f ca="1">'Segment As Reported'!EV49</f>
        <v>12.559440692041038</v>
      </c>
      <c r="AD223" s="4591">
        <f ca="1">'Segment As Reported'!EW49</f>
        <v>13.633464640124481</v>
      </c>
      <c r="AE223" s="4591">
        <f ca="1">'Segment As Reported'!EX49</f>
        <v>14.708877504559595</v>
      </c>
      <c r="AF223" s="4591">
        <f ca="1">'Segment As Reported'!EY49</f>
        <v>15.865235310799148</v>
      </c>
      <c r="AH223" s="4806"/>
    </row>
    <row r="224" spans="1:34" s="766" customFormat="1" hidden="1" outlineLevel="1">
      <c r="A224" s="4581"/>
      <c r="B224" s="4582"/>
      <c r="C224" s="4582"/>
      <c r="D224" s="4582"/>
      <c r="E224" s="4582"/>
      <c r="F224" s="4582"/>
      <c r="G224" s="4582"/>
      <c r="H224" s="4582"/>
      <c r="I224" s="4582"/>
      <c r="J224" s="4582"/>
      <c r="K224" s="4582"/>
      <c r="L224" s="4582"/>
      <c r="M224" s="4582"/>
      <c r="N224" s="4582"/>
      <c r="O224" s="4582"/>
      <c r="P224" s="4582"/>
      <c r="Q224" s="4582"/>
      <c r="R224" s="4582"/>
      <c r="S224" s="4582"/>
      <c r="T224" s="4582"/>
      <c r="U224" s="4582"/>
      <c r="V224" s="4582"/>
      <c r="W224" s="4594"/>
      <c r="X224" s="4582"/>
      <c r="Y224" s="4582"/>
      <c r="Z224" s="4582"/>
      <c r="AA224" s="4582"/>
      <c r="AB224" s="4582"/>
      <c r="AC224" s="4582"/>
      <c r="AD224" s="4582"/>
      <c r="AE224" s="4582"/>
      <c r="AF224" s="4582"/>
      <c r="AH224" s="4796"/>
    </row>
    <row r="225" spans="1:34" s="766" customFormat="1" hidden="1" outlineLevel="1">
      <c r="A225" s="4585" t="str">
        <f>A$22</f>
        <v>D&amp;A</v>
      </c>
      <c r="B225" s="4590"/>
      <c r="C225" s="4590"/>
      <c r="D225" s="4590"/>
      <c r="E225" s="4590"/>
      <c r="F225" s="4590"/>
      <c r="G225" s="4590"/>
      <c r="H225" s="4590"/>
      <c r="I225" s="4590"/>
      <c r="J225" s="4590"/>
      <c r="K225" s="4590"/>
      <c r="L225" s="4590"/>
      <c r="M225" s="4590"/>
      <c r="N225" s="4590"/>
      <c r="O225" s="4590"/>
      <c r="P225" s="4590"/>
      <c r="Q225" s="4590"/>
      <c r="R225" s="4590"/>
      <c r="S225" s="4590"/>
      <c r="T225" s="4590">
        <f>'Segment As Reported'!DG51</f>
        <v>6664.7</v>
      </c>
      <c r="U225" s="4590">
        <f>'Segment As Reported'!DL51</f>
        <v>8182.8799999999992</v>
      </c>
      <c r="V225" s="4590">
        <f>'Segment As Reported'!DQ51</f>
        <v>9141.1759999999995</v>
      </c>
      <c r="W225" s="4590">
        <f>'Segment As Reported'!DV51</f>
        <v>8313.5150000000012</v>
      </c>
      <c r="X225" s="4590">
        <f>'Segment As Reported'!EA51</f>
        <v>10445.3536</v>
      </c>
      <c r="Y225" s="4590">
        <f>'Segment As Reported'!EF51</f>
        <v>9266.4620000000014</v>
      </c>
      <c r="Z225" s="4590">
        <f>'Segment As Reported'!EK51</f>
        <v>10489.592000000001</v>
      </c>
      <c r="AA225" s="4590">
        <f>'Segment As Reported'!EP51</f>
        <v>14038.989014291827</v>
      </c>
      <c r="AB225" s="4590">
        <f>'Segment As Reported'!EU51</f>
        <v>19606.092337387687</v>
      </c>
      <c r="AC225" s="4590">
        <f>'Segment As Reported'!EV51</f>
        <v>25274.425161132716</v>
      </c>
      <c r="AD225" s="4590">
        <f>'Segment As Reported'!EW51</f>
        <v>28001.496435850953</v>
      </c>
      <c r="AE225" s="4590">
        <f>'Segment As Reported'!EX51</f>
        <v>30078.819954600687</v>
      </c>
      <c r="AF225" s="4590">
        <f>'Segment As Reported'!EY51</f>
        <v>31984.934467726762</v>
      </c>
      <c r="AH225" s="4798"/>
    </row>
    <row r="226" spans="1:34" s="766" customFormat="1" hidden="1" outlineLevel="1">
      <c r="A226" s="4585" t="str">
        <f>A$23</f>
        <v>SBC</v>
      </c>
      <c r="B226" s="4590"/>
      <c r="C226" s="4590"/>
      <c r="D226" s="4590"/>
      <c r="E226" s="4590"/>
      <c r="F226" s="4590"/>
      <c r="G226" s="4590"/>
      <c r="H226" s="4590"/>
      <c r="I226" s="4590"/>
      <c r="J226" s="4590"/>
      <c r="K226" s="4590"/>
      <c r="L226" s="4590"/>
      <c r="M226" s="4590"/>
      <c r="N226" s="4590"/>
      <c r="O226" s="4590"/>
      <c r="P226" s="4590"/>
      <c r="Q226" s="4590"/>
      <c r="R226" s="4590"/>
      <c r="S226" s="4590"/>
      <c r="T226" s="4590">
        <f>'Segment As Reported'!DG52</f>
        <v>7589.5818312702022</v>
      </c>
      <c r="U226" s="4590">
        <f>'Segment As Reported'!DL52</f>
        <v>8698.097798377752</v>
      </c>
      <c r="V226" s="4590">
        <f>'Segment As Reported'!DQ52</f>
        <v>10131.130937977217</v>
      </c>
      <c r="W226" s="4590">
        <f>'Segment As Reported'!DV52</f>
        <v>11401.392</v>
      </c>
      <c r="X226" s="4590">
        <f>'Segment As Reported'!EA52</f>
        <v>13944.04</v>
      </c>
      <c r="Y226" s="4590">
        <f>'Segment As Reported'!EF52</f>
        <v>16052.7827</v>
      </c>
      <c r="Z226" s="4590">
        <f>'Segment As Reported'!EK52</f>
        <v>16161.289999999999</v>
      </c>
      <c r="AA226" s="4590">
        <f>'Segment As Reported'!EP52</f>
        <v>17189.20118335243</v>
      </c>
      <c r="AB226" s="4590">
        <f>'Segment As Reported'!EU52</f>
        <v>19875.195565547911</v>
      </c>
      <c r="AC226" s="4590">
        <f>'Segment As Reported'!EV52</f>
        <v>21272.641177286703</v>
      </c>
      <c r="AD226" s="4590">
        <f>'Segment As Reported'!EW52</f>
        <v>22785.531413486562</v>
      </c>
      <c r="AE226" s="4590">
        <f>'Segment As Reported'!EX52</f>
        <v>24309.603668226457</v>
      </c>
      <c r="AF226" s="4590">
        <f>'Segment As Reported'!EY52</f>
        <v>25905.153535844816</v>
      </c>
      <c r="AH226" s="4798"/>
    </row>
    <row r="227" spans="1:34" s="766" customFormat="1" hidden="1" outlineLevel="1">
      <c r="A227" s="4586" t="str">
        <f>A$25</f>
        <v>Adj. EBITDA</v>
      </c>
      <c r="B227" s="4589"/>
      <c r="C227" s="4589"/>
      <c r="D227" s="4589"/>
      <c r="E227" s="4589"/>
      <c r="F227" s="4589"/>
      <c r="G227" s="4589"/>
      <c r="H227" s="4589"/>
      <c r="I227" s="4589"/>
      <c r="J227" s="4589"/>
      <c r="K227" s="4589"/>
      <c r="L227" s="4589"/>
      <c r="M227" s="4589"/>
      <c r="N227" s="4589"/>
      <c r="O227" s="4589"/>
      <c r="P227" s="4589"/>
      <c r="Q227" s="4589"/>
      <c r="R227" s="4589"/>
      <c r="S227" s="4589"/>
      <c r="T227" s="4589">
        <f>'Segment As Reported'!DG53</f>
        <v>57391.2818312702</v>
      </c>
      <c r="U227" s="4589">
        <f>'Segment As Reported'!DL53</f>
        <v>65879.977798377746</v>
      </c>
      <c r="V227" s="4589">
        <f>'Segment As Reported'!DQ53</f>
        <v>73878.306937977221</v>
      </c>
      <c r="W227" s="4589">
        <f>'Segment As Reported'!DV53</f>
        <v>107846.90700000001</v>
      </c>
      <c r="X227" s="4589">
        <f>'Segment As Reported'!EA53</f>
        <v>107088.39360000001</v>
      </c>
      <c r="Y227" s="4589">
        <f>'Segment As Reported'!EF53</f>
        <v>121177.2447</v>
      </c>
      <c r="Z227" s="4589">
        <f>'Segment As Reported'!EK53</f>
        <v>147913.88200000001</v>
      </c>
      <c r="AA227" s="4589">
        <f>'Segment As Reported'!EP53</f>
        <v>169343.44655885466</v>
      </c>
      <c r="AB227" s="4589">
        <f>'Segment As Reported'!EU53</f>
        <v>203443.45286235452</v>
      </c>
      <c r="AC227" s="4589">
        <f>'Segment As Reported'!EV53</f>
        <v>226837.96582116612</v>
      </c>
      <c r="AD227" s="4589">
        <f>'Segment As Reported'!EW53</f>
        <v>247072.02737515548</v>
      </c>
      <c r="AE227" s="4589">
        <f>'Segment As Reported'!EX53</f>
        <v>266172.9018277615</v>
      </c>
      <c r="AF227" s="4589">
        <f>'Segment As Reported'!EY53</f>
        <v>285749.70379845146</v>
      </c>
      <c r="AH227" s="4798"/>
    </row>
    <row r="228" spans="1:34" s="766" customFormat="1" hidden="1" outlineLevel="1">
      <c r="A228" s="4581"/>
      <c r="B228" s="4582"/>
      <c r="C228" s="4582"/>
      <c r="D228" s="4582"/>
      <c r="E228" s="4582"/>
      <c r="F228" s="4582"/>
      <c r="G228" s="4582"/>
      <c r="H228" s="4582"/>
      <c r="I228" s="4582"/>
      <c r="J228" s="4582"/>
      <c r="K228" s="4582"/>
      <c r="L228" s="4582"/>
      <c r="M228" s="4582"/>
      <c r="N228" s="4582"/>
      <c r="O228" s="4582"/>
      <c r="P228" s="4582"/>
      <c r="Q228" s="4582"/>
      <c r="R228" s="4582"/>
      <c r="S228" s="4582"/>
      <c r="T228" s="4582"/>
      <c r="U228" s="4582"/>
      <c r="V228" s="4582"/>
      <c r="W228" s="4582"/>
      <c r="X228" s="4582"/>
      <c r="Y228" s="4582"/>
      <c r="Z228" s="4582"/>
      <c r="AA228" s="4582"/>
      <c r="AB228" s="4582"/>
      <c r="AC228" s="4582"/>
      <c r="AD228" s="4582"/>
      <c r="AE228" s="4582"/>
      <c r="AF228" s="4582"/>
      <c r="AH228" s="4796"/>
    </row>
    <row r="229" spans="1:34" s="766" customFormat="1" hidden="1" outlineLevel="1">
      <c r="A229" s="4596" t="s">
        <v>892</v>
      </c>
      <c r="B229" s="4592"/>
      <c r="C229" s="4592"/>
      <c r="D229" s="4592"/>
      <c r="E229" s="4592"/>
      <c r="F229" s="4592"/>
      <c r="G229" s="4592"/>
      <c r="H229" s="4592"/>
      <c r="I229" s="4592"/>
      <c r="J229" s="4592"/>
      <c r="K229" s="4592"/>
      <c r="L229" s="4592"/>
      <c r="M229" s="4592"/>
      <c r="N229" s="4592"/>
      <c r="O229" s="4592"/>
      <c r="P229" s="4592"/>
      <c r="Q229" s="4592"/>
      <c r="R229" s="4592"/>
      <c r="S229" s="4592"/>
      <c r="T229" s="4592"/>
      <c r="U229" s="4592"/>
      <c r="V229" s="4809"/>
      <c r="W229" s="4592"/>
      <c r="X229" s="4592"/>
      <c r="Y229" s="4592"/>
      <c r="Z229" s="4592"/>
      <c r="AA229" s="4592"/>
      <c r="AB229" s="4592"/>
      <c r="AC229" s="4592"/>
      <c r="AD229" s="4592"/>
      <c r="AE229" s="4592"/>
      <c r="AF229" s="4592"/>
      <c r="AH229" s="4798"/>
    </row>
    <row r="230" spans="1:34" s="766" customFormat="1" hidden="1" outlineLevel="1">
      <c r="A230" s="4595" t="str">
        <f>A212</f>
        <v>Gross Revenue</v>
      </c>
      <c r="B230" s="4247"/>
      <c r="C230" s="4247"/>
      <c r="D230" s="4247"/>
      <c r="E230" s="4247"/>
      <c r="F230" s="4247"/>
      <c r="G230" s="4247"/>
      <c r="H230" s="4247"/>
      <c r="I230" s="4247"/>
      <c r="J230" s="4247"/>
      <c r="K230" s="4247"/>
      <c r="L230" s="4247"/>
      <c r="M230" s="4247"/>
      <c r="N230" s="4247"/>
      <c r="O230" s="4247"/>
      <c r="P230" s="4247"/>
      <c r="Q230" s="4247"/>
      <c r="R230" s="4247"/>
      <c r="S230" s="4247"/>
      <c r="T230" s="4247"/>
      <c r="U230" s="4247">
        <f t="shared" ref="U230:AF230" si="172">IF(U212*T212&lt;=0,"NA",(U212-T212)/ABS(T212))</f>
        <v>0.16319604057491344</v>
      </c>
      <c r="V230" s="4247">
        <f t="shared" si="172"/>
        <v>0.11071957846204512</v>
      </c>
      <c r="W230" s="4247">
        <f t="shared" si="172"/>
        <v>0.40853915260770302</v>
      </c>
      <c r="X230" s="4247">
        <f t="shared" si="172"/>
        <v>6.7355986005919272E-2</v>
      </c>
      <c r="Y230" s="4247">
        <f t="shared" si="172"/>
        <v>7.5001577735003627E-2</v>
      </c>
      <c r="Z230" s="4247">
        <f t="shared" si="172"/>
        <v>0.1188326245766723</v>
      </c>
      <c r="AA230" s="4247">
        <f t="shared" si="172"/>
        <v>0.12292777425061373</v>
      </c>
      <c r="AB230" s="4247">
        <f t="shared" si="172"/>
        <v>0.12271335852472949</v>
      </c>
      <c r="AC230" s="4247">
        <f t="shared" si="172"/>
        <v>9.5744170601271092E-2</v>
      </c>
      <c r="AD230" s="4247">
        <f t="shared" si="172"/>
        <v>8.6174950018054544E-2</v>
      </c>
      <c r="AE230" s="4247">
        <f t="shared" si="172"/>
        <v>7.7708082693115826E-2</v>
      </c>
      <c r="AF230" s="4247">
        <f t="shared" si="172"/>
        <v>7.2158841928912462E-2</v>
      </c>
      <c r="AH230" s="4799"/>
    </row>
    <row r="231" spans="1:34" s="766" customFormat="1" hidden="1" outlineLevel="1">
      <c r="A231" s="4595" t="str">
        <f>A214</f>
        <v>Net Revenue</v>
      </c>
      <c r="B231" s="4247"/>
      <c r="C231" s="4247"/>
      <c r="D231" s="4247"/>
      <c r="E231" s="4247"/>
      <c r="F231" s="4247"/>
      <c r="G231" s="4247"/>
      <c r="H231" s="4247"/>
      <c r="I231" s="4247"/>
      <c r="J231" s="4247"/>
      <c r="K231" s="4247"/>
      <c r="L231" s="4247"/>
      <c r="M231" s="4247"/>
      <c r="N231" s="4247"/>
      <c r="O231" s="4247"/>
      <c r="P231" s="4247"/>
      <c r="Q231" s="4247"/>
      <c r="R231" s="4247"/>
      <c r="S231" s="4247"/>
      <c r="T231" s="4247"/>
      <c r="U231" s="4247">
        <f t="shared" ref="U231:AF231" si="173">IF(U214*T214&lt;=0,"NA",(U214-T214)/ABS(T214))</f>
        <v>0.17281643191583654</v>
      </c>
      <c r="V231" s="4247">
        <f t="shared" si="173"/>
        <v>0.11599691134914898</v>
      </c>
      <c r="W231" s="4247">
        <f t="shared" si="173"/>
        <v>0.41297835223801499</v>
      </c>
      <c r="X231" s="4247">
        <f t="shared" si="173"/>
        <v>6.568974229408793E-2</v>
      </c>
      <c r="Y231" s="4247">
        <f t="shared" si="173"/>
        <v>8.3510531692843143E-2</v>
      </c>
      <c r="Z231" s="4247">
        <f t="shared" si="173"/>
        <v>0.1280040783733426</v>
      </c>
      <c r="AA231" s="4247">
        <f t="shared" si="173"/>
        <v>0.13117253529152059</v>
      </c>
      <c r="AB231" s="4247">
        <f t="shared" si="173"/>
        <v>0.12918873749197224</v>
      </c>
      <c r="AC231" s="4247">
        <f t="shared" si="173"/>
        <v>9.9191721767718802E-2</v>
      </c>
      <c r="AD231" s="4247">
        <f t="shared" si="173"/>
        <v>8.8528666362916314E-2</v>
      </c>
      <c r="AE231" s="4247">
        <f t="shared" si="173"/>
        <v>8.0458549571099505E-2</v>
      </c>
      <c r="AF231" s="4247">
        <f t="shared" si="173"/>
        <v>7.4467245196942311E-2</v>
      </c>
      <c r="AH231" s="4799"/>
    </row>
    <row r="232" spans="1:34" s="766" customFormat="1" hidden="1" outlineLevel="1">
      <c r="A232" s="4603" t="str">
        <f>A215</f>
        <v>Other Cost Of Revenues</v>
      </c>
      <c r="B232" s="4247"/>
      <c r="C232" s="4247"/>
      <c r="D232" s="4247"/>
      <c r="E232" s="4247"/>
      <c r="F232" s="4247"/>
      <c r="G232" s="4247"/>
      <c r="H232" s="4247"/>
      <c r="I232" s="4247"/>
      <c r="J232" s="4247"/>
      <c r="K232" s="4247"/>
      <c r="L232" s="4247"/>
      <c r="M232" s="4247"/>
      <c r="N232" s="4247"/>
      <c r="O232" s="4247"/>
      <c r="P232" s="4247"/>
      <c r="Q232" s="4247"/>
      <c r="R232" s="4247"/>
      <c r="S232" s="4247"/>
      <c r="T232" s="4247"/>
      <c r="U232" s="4247">
        <f t="shared" ref="U232:AF232" si="174">IF(U215*T215&lt;=0,"NA",(U215-T215)/ABS(T215))</f>
        <v>0.25836798920984622</v>
      </c>
      <c r="V232" s="4247">
        <f t="shared" si="174"/>
        <v>0.23102330779306524</v>
      </c>
      <c r="W232" s="4247">
        <f t="shared" si="174"/>
        <v>0.28906432160739703</v>
      </c>
      <c r="X232" s="4247">
        <f t="shared" si="174"/>
        <v>0.16735205987635871</v>
      </c>
      <c r="Y232" s="4247">
        <f t="shared" si="174"/>
        <v>8.2195548092850096E-2</v>
      </c>
      <c r="Z232" s="4247">
        <f t="shared" si="174"/>
        <v>0.10875156520477457</v>
      </c>
      <c r="AA232" s="4247">
        <f t="shared" si="174"/>
        <v>0.11154173644715684</v>
      </c>
      <c r="AB232" s="4247">
        <f t="shared" si="174"/>
        <v>0.13492231185678627</v>
      </c>
      <c r="AC232" s="4247">
        <f t="shared" si="174"/>
        <v>0.15854555475212684</v>
      </c>
      <c r="AD232" s="4247">
        <f t="shared" si="174"/>
        <v>0.14749102889458174</v>
      </c>
      <c r="AE232" s="4247">
        <f t="shared" si="174"/>
        <v>0.12086528135537296</v>
      </c>
      <c r="AF232" s="4247">
        <f t="shared" si="174"/>
        <v>0.10081043651773963</v>
      </c>
      <c r="AH232" s="4799"/>
    </row>
    <row r="233" spans="1:34" s="766" customFormat="1" hidden="1" outlineLevel="1">
      <c r="A233" s="4595" t="str">
        <f>A216</f>
        <v>Gross Profit</v>
      </c>
      <c r="B233" s="4247"/>
      <c r="C233" s="4247"/>
      <c r="D233" s="4247"/>
      <c r="E233" s="4247"/>
      <c r="F233" s="4247"/>
      <c r="G233" s="4247"/>
      <c r="H233" s="4247"/>
      <c r="I233" s="4247"/>
      <c r="J233" s="4247"/>
      <c r="K233" s="4247"/>
      <c r="L233" s="4247"/>
      <c r="M233" s="4247"/>
      <c r="N233" s="4247"/>
      <c r="O233" s="4247"/>
      <c r="P233" s="4247"/>
      <c r="Q233" s="4247"/>
      <c r="R233" s="4247"/>
      <c r="S233" s="4247"/>
      <c r="T233" s="4247"/>
      <c r="U233" s="4247">
        <f t="shared" ref="U233:AF233" si="175">IF(U216*T216&lt;=0,"NA",(U216-T216)/ABS(T216))</f>
        <v>0.13762974484759652</v>
      </c>
      <c r="V233" s="4247">
        <f t="shared" si="175"/>
        <v>6.3666433928659893E-2</v>
      </c>
      <c r="W233" s="4247">
        <f t="shared" si="175"/>
        <v>0.47822203804753</v>
      </c>
      <c r="X233" s="4247">
        <f t="shared" si="175"/>
        <v>1.9011668579558057E-2</v>
      </c>
      <c r="Y233" s="4247">
        <f t="shared" si="175"/>
        <v>8.4202196936581777E-2</v>
      </c>
      <c r="Z233" s="4247">
        <f t="shared" si="175"/>
        <v>0.13811192179052065</v>
      </c>
      <c r="AA233" s="4247">
        <f t="shared" si="175"/>
        <v>0.14121310423609662</v>
      </c>
      <c r="AB233" s="4247">
        <f t="shared" si="175"/>
        <v>0.126332430888768</v>
      </c>
      <c r="AC233" s="4247">
        <f t="shared" si="175"/>
        <v>6.9397798877000413E-2</v>
      </c>
      <c r="AD233" s="4247">
        <f t="shared" si="175"/>
        <v>5.6463933566262496E-2</v>
      </c>
      <c r="AE233" s="4247">
        <f t="shared" si="175"/>
        <v>5.6591370207707749E-2</v>
      </c>
      <c r="AF233" s="4247">
        <f t="shared" si="175"/>
        <v>5.7960474590473043E-2</v>
      </c>
      <c r="AH233" s="4799"/>
    </row>
    <row r="234" spans="1:34" s="766" customFormat="1" hidden="1" outlineLevel="1">
      <c r="A234" s="4603" t="str">
        <f>A217</f>
        <v>GAAP Expenses</v>
      </c>
      <c r="B234" s="4247"/>
      <c r="C234" s="4247"/>
      <c r="D234" s="4247"/>
      <c r="E234" s="4247"/>
      <c r="F234" s="4247"/>
      <c r="G234" s="4247"/>
      <c r="H234" s="4247"/>
      <c r="I234" s="4247"/>
      <c r="J234" s="4247"/>
      <c r="K234" s="4247"/>
      <c r="L234" s="4247"/>
      <c r="M234" s="4247"/>
      <c r="N234" s="4247"/>
      <c r="O234" s="4247"/>
      <c r="P234" s="4247"/>
      <c r="Q234" s="4247"/>
      <c r="R234" s="4247"/>
      <c r="S234" s="4247"/>
      <c r="T234" s="4247"/>
      <c r="U234" s="4247">
        <f t="shared" ref="U234:AF234" si="176">IF(U217*T217&lt;=0,"NA",(U217-T217)/ABS(T217))</f>
        <v>0.14009378123849103</v>
      </c>
      <c r="V234" s="4247">
        <f t="shared" si="176"/>
        <v>-8.0754807534228496E-3</v>
      </c>
      <c r="W234" s="4247">
        <f t="shared" si="176"/>
        <v>0.26269845308291567</v>
      </c>
      <c r="X234" s="4247">
        <f t="shared" si="176"/>
        <v>0.18270379179343502</v>
      </c>
      <c r="Y234" s="4247">
        <f t="shared" si="176"/>
        <v>-3.6426974867797168E-2</v>
      </c>
      <c r="Z234" s="4247">
        <f t="shared" si="176"/>
        <v>-0.10771534226171939</v>
      </c>
      <c r="AA234" s="4247">
        <f t="shared" si="176"/>
        <v>0.14736519175302495</v>
      </c>
      <c r="AB234" s="4247">
        <f t="shared" si="176"/>
        <v>-3.9428500591092E-2</v>
      </c>
      <c r="AC234" s="4247">
        <f t="shared" si="176"/>
        <v>-3.2313220419852948E-2</v>
      </c>
      <c r="AD234" s="4247">
        <f t="shared" si="176"/>
        <v>-6.6989975426487103E-2</v>
      </c>
      <c r="AE234" s="4247">
        <f t="shared" si="176"/>
        <v>-4.3348359509968987E-2</v>
      </c>
      <c r="AF234" s="4247">
        <f t="shared" si="176"/>
        <v>-3.2438151793434684E-2</v>
      </c>
      <c r="AH234" s="4799"/>
    </row>
    <row r="235" spans="1:34" s="766" customFormat="1" hidden="1" outlineLevel="1">
      <c r="A235" s="4595" t="str">
        <f>A218</f>
        <v>GAAP Operating Income</v>
      </c>
      <c r="B235" s="4247"/>
      <c r="C235" s="4247"/>
      <c r="D235" s="4247"/>
      <c r="E235" s="4247"/>
      <c r="F235" s="4247"/>
      <c r="G235" s="4247"/>
      <c r="H235" s="4247"/>
      <c r="I235" s="4247"/>
      <c r="J235" s="4247"/>
      <c r="K235" s="4247"/>
      <c r="L235" s="4247"/>
      <c r="M235" s="4247"/>
      <c r="N235" s="4247"/>
      <c r="O235" s="4247"/>
      <c r="P235" s="4247"/>
      <c r="Q235" s="4247"/>
      <c r="R235" s="4247"/>
      <c r="S235" s="4247"/>
      <c r="T235" s="4247"/>
      <c r="U235" s="4247">
        <f t="shared" ref="U235:AF235" si="177">IF(U218*T218&lt;=0,"NA",(U218-T218)/ABS(T218))</f>
        <v>0.13589262118367063</v>
      </c>
      <c r="V235" s="4247">
        <f t="shared" si="177"/>
        <v>0.11443090675319904</v>
      </c>
      <c r="W235" s="4247">
        <f t="shared" si="177"/>
        <v>0.61396183569571106</v>
      </c>
      <c r="X235" s="4247">
        <f t="shared" si="177"/>
        <v>-6.1646167112966915E-2</v>
      </c>
      <c r="Y235" s="4247">
        <f t="shared" si="177"/>
        <v>0.1591192154681435</v>
      </c>
      <c r="Z235" s="4247">
        <f t="shared" si="177"/>
        <v>0.26502743641636589</v>
      </c>
      <c r="AA235" s="4247">
        <f t="shared" si="177"/>
        <v>0.13897278115509618</v>
      </c>
      <c r="AB235" s="4247">
        <f t="shared" si="177"/>
        <v>0.1871401413513038</v>
      </c>
      <c r="AC235" s="4247">
        <f t="shared" si="177"/>
        <v>9.9588429607337742E-2</v>
      </c>
      <c r="AD235" s="4247">
        <f t="shared" si="177"/>
        <v>8.8712741957349198E-2</v>
      </c>
      <c r="AE235" s="4247">
        <f t="shared" si="177"/>
        <v>7.896415271956457E-2</v>
      </c>
      <c r="AF235" s="4247">
        <f t="shared" si="177"/>
        <v>7.5903284915858585E-2</v>
      </c>
      <c r="AH235" s="4799"/>
    </row>
    <row r="236" spans="1:34" s="766" customFormat="1" hidden="1" outlineLevel="1">
      <c r="A236" s="4595" t="str">
        <f>A223</f>
        <v>GAAP EPS</v>
      </c>
      <c r="B236" s="4247"/>
      <c r="C236" s="4247"/>
      <c r="D236" s="4247"/>
      <c r="E236" s="4247"/>
      <c r="F236" s="4247"/>
      <c r="G236" s="4247"/>
      <c r="H236" s="4247"/>
      <c r="I236" s="4247"/>
      <c r="J236" s="4247"/>
      <c r="K236" s="4247"/>
      <c r="L236" s="4247"/>
      <c r="M236" s="4247"/>
      <c r="N236" s="4247"/>
      <c r="O236" s="4247"/>
      <c r="P236" s="4247"/>
      <c r="Q236" s="4247"/>
      <c r="R236" s="4247"/>
      <c r="S236" s="4247"/>
      <c r="T236" s="4247"/>
      <c r="U236" s="4247">
        <f t="shared" ref="U236:AF236" si="178">IF(U223*T223&lt;=0,"NA",(U223-T223)/ABS(T223))</f>
        <v>0.11908888360149966</v>
      </c>
      <c r="V236" s="4247">
        <f t="shared" si="178"/>
        <v>5.763612679879962E-2</v>
      </c>
      <c r="W236" s="4247">
        <f t="shared" si="178"/>
        <v>0.56188753999730967</v>
      </c>
      <c r="X236" s="4247">
        <f t="shared" si="178"/>
        <v>-3.1705799166145528E-2</v>
      </c>
      <c r="Y236" s="4247">
        <f t="shared" si="178"/>
        <v>0.2431218652002953</v>
      </c>
      <c r="Z236" s="4247">
        <f t="shared" si="178"/>
        <v>0.26750543228489204</v>
      </c>
      <c r="AA236" s="4247">
        <f t="shared" ca="1" si="178"/>
        <v>0.12115788868651389</v>
      </c>
      <c r="AB236" s="4247">
        <f t="shared" ca="1" si="178"/>
        <v>0.20693058310816748</v>
      </c>
      <c r="AC236" s="4247">
        <f t="shared" ca="1" si="178"/>
        <v>9.9667474321523244E-2</v>
      </c>
      <c r="AD236" s="4247">
        <f t="shared" ca="1" si="178"/>
        <v>8.5515268905569652E-2</v>
      </c>
      <c r="AE236" s="4247">
        <f t="shared" ca="1" si="178"/>
        <v>7.8880379479628338E-2</v>
      </c>
      <c r="AF236" s="4247">
        <f t="shared" ca="1" si="178"/>
        <v>7.8616319014220809E-2</v>
      </c>
      <c r="AH236" s="4799"/>
    </row>
    <row r="237" spans="1:34" s="766" customFormat="1" hidden="1" outlineLevel="1">
      <c r="A237" s="4603" t="str">
        <f>A225</f>
        <v>D&amp;A</v>
      </c>
      <c r="B237" s="4247"/>
      <c r="C237" s="4247"/>
      <c r="D237" s="4247"/>
      <c r="E237" s="4247"/>
      <c r="F237" s="4247"/>
      <c r="G237" s="4247"/>
      <c r="H237" s="4247"/>
      <c r="I237" s="4247"/>
      <c r="J237" s="4247"/>
      <c r="K237" s="4247"/>
      <c r="L237" s="4247"/>
      <c r="M237" s="4247"/>
      <c r="N237" s="4247"/>
      <c r="O237" s="4247"/>
      <c r="P237" s="4247"/>
      <c r="Q237" s="4247"/>
      <c r="R237" s="4247"/>
      <c r="S237" s="4247"/>
      <c r="T237" s="4247"/>
      <c r="U237" s="4247">
        <f t="shared" ref="U237:AF237" si="179">IF(U225*T225&lt;=0,"NA",(U225-T225)/ABS(T225))</f>
        <v>0.22779419928879011</v>
      </c>
      <c r="V237" s="4247">
        <f t="shared" si="179"/>
        <v>0.11710986840818885</v>
      </c>
      <c r="W237" s="4247">
        <f t="shared" si="179"/>
        <v>-9.0542070298175889E-2</v>
      </c>
      <c r="X237" s="4247">
        <f t="shared" si="179"/>
        <v>0.25643047495553911</v>
      </c>
      <c r="Y237" s="4247">
        <f t="shared" si="179"/>
        <v>-0.11286277565557944</v>
      </c>
      <c r="Z237" s="4247">
        <f t="shared" si="179"/>
        <v>0.13199536133639775</v>
      </c>
      <c r="AA237" s="4247">
        <f t="shared" si="179"/>
        <v>0.33837321931032455</v>
      </c>
      <c r="AB237" s="4247">
        <f t="shared" si="179"/>
        <v>0.39654588499417553</v>
      </c>
      <c r="AC237" s="4247">
        <f t="shared" si="179"/>
        <v>0.28911078894267195</v>
      </c>
      <c r="AD237" s="4247">
        <f t="shared" si="179"/>
        <v>0.10789844901841553</v>
      </c>
      <c r="AE237" s="4247">
        <f t="shared" si="179"/>
        <v>7.4186160854249533E-2</v>
      </c>
      <c r="AF237" s="4247">
        <f t="shared" si="179"/>
        <v>6.3370654699986859E-2</v>
      </c>
      <c r="AH237" s="4799"/>
    </row>
    <row r="238" spans="1:34" s="766" customFormat="1" hidden="1" outlineLevel="1">
      <c r="A238" s="4603" t="str">
        <f>A226</f>
        <v>SBC</v>
      </c>
      <c r="B238" s="4247"/>
      <c r="C238" s="4247"/>
      <c r="D238" s="4247"/>
      <c r="E238" s="4247"/>
      <c r="F238" s="4247"/>
      <c r="G238" s="4247"/>
      <c r="H238" s="4247"/>
      <c r="I238" s="4247"/>
      <c r="J238" s="4247"/>
      <c r="K238" s="4247"/>
      <c r="L238" s="4247"/>
      <c r="M238" s="4247"/>
      <c r="N238" s="4247"/>
      <c r="O238" s="4247"/>
      <c r="P238" s="4247"/>
      <c r="Q238" s="4247"/>
      <c r="R238" s="4247"/>
      <c r="S238" s="4247"/>
      <c r="T238" s="4247"/>
      <c r="U238" s="4247">
        <f t="shared" ref="U238:AF238" si="180">IF(U226*T226&lt;=0,"NA",(U226-T226)/ABS(T226))</f>
        <v>0.14605758153107984</v>
      </c>
      <c r="V238" s="4247">
        <f t="shared" si="180"/>
        <v>0.16475247494535353</v>
      </c>
      <c r="W238" s="4247">
        <f t="shared" si="180"/>
        <v>0.12538196078989805</v>
      </c>
      <c r="X238" s="4247">
        <f t="shared" si="180"/>
        <v>0.22301206729844927</v>
      </c>
      <c r="Y238" s="4247">
        <f t="shared" si="180"/>
        <v>0.15122896233803107</v>
      </c>
      <c r="Z238" s="4247">
        <f t="shared" si="180"/>
        <v>6.7594075138137453E-3</v>
      </c>
      <c r="AA238" s="4247">
        <f t="shared" si="180"/>
        <v>6.3603288063788926E-2</v>
      </c>
      <c r="AB238" s="4247">
        <f t="shared" si="180"/>
        <v>0.15626057043283892</v>
      </c>
      <c r="AC238" s="4247">
        <f t="shared" si="180"/>
        <v>7.0311037047663311E-2</v>
      </c>
      <c r="AD238" s="4247">
        <f t="shared" si="180"/>
        <v>7.1119059621764652E-2</v>
      </c>
      <c r="AE238" s="4247">
        <f t="shared" si="180"/>
        <v>6.6887720417080521E-2</v>
      </c>
      <c r="AF238" s="4247">
        <f t="shared" si="180"/>
        <v>6.5634548773158399E-2</v>
      </c>
      <c r="AH238" s="4799"/>
    </row>
    <row r="239" spans="1:34" s="766" customFormat="1" hidden="1" outlineLevel="1">
      <c r="A239" s="4595" t="str">
        <f>A227</f>
        <v>Adj. EBITDA</v>
      </c>
      <c r="B239" s="4247"/>
      <c r="C239" s="4247"/>
      <c r="D239" s="4247"/>
      <c r="E239" s="4247"/>
      <c r="F239" s="4247"/>
      <c r="G239" s="4247"/>
      <c r="H239" s="4247"/>
      <c r="I239" s="4247"/>
      <c r="J239" s="4247"/>
      <c r="K239" s="4247"/>
      <c r="L239" s="4247"/>
      <c r="M239" s="4247"/>
      <c r="N239" s="4247"/>
      <c r="O239" s="4247"/>
      <c r="P239" s="4247"/>
      <c r="Q239" s="4247"/>
      <c r="R239" s="4247"/>
      <c r="S239" s="4247"/>
      <c r="T239" s="4247"/>
      <c r="U239" s="4247">
        <f t="shared" ref="U239:AF239" si="181">IF(U227*T227&lt;=0,"NA",(U227-T227)/ABS(T227))</f>
        <v>0.14790915442635047</v>
      </c>
      <c r="V239" s="4247">
        <f t="shared" si="181"/>
        <v>0.1214075870528971</v>
      </c>
      <c r="W239" s="4247">
        <f t="shared" si="181"/>
        <v>0.45979126309080576</v>
      </c>
      <c r="X239" s="4247">
        <f t="shared" si="181"/>
        <v>-7.0332420381791399E-3</v>
      </c>
      <c r="Y239" s="4247">
        <f t="shared" si="181"/>
        <v>0.13156282045489553</v>
      </c>
      <c r="Z239" s="4247">
        <f t="shared" si="181"/>
        <v>0.22064074295625585</v>
      </c>
      <c r="AA239" s="4247">
        <f t="shared" si="181"/>
        <v>0.14487865688532633</v>
      </c>
      <c r="AB239" s="4247">
        <f t="shared" si="181"/>
        <v>0.20136596364624323</v>
      </c>
      <c r="AC239" s="4247">
        <f t="shared" si="181"/>
        <v>0.11499270499817864</v>
      </c>
      <c r="AD239" s="4247">
        <f t="shared" si="181"/>
        <v>8.9200506981893121E-2</v>
      </c>
      <c r="AE239" s="4247">
        <f t="shared" si="181"/>
        <v>7.7308931551377719E-2</v>
      </c>
      <c r="AF239" s="4247">
        <f t="shared" si="181"/>
        <v>7.3549192409368427E-2</v>
      </c>
      <c r="AH239" s="4799"/>
    </row>
    <row r="240" spans="1:34" s="766" customFormat="1" hidden="1" outlineLevel="1">
      <c r="A240" s="4593" t="s">
        <v>891</v>
      </c>
      <c r="B240" s="4592"/>
      <c r="C240" s="4592"/>
      <c r="D240" s="4592"/>
      <c r="E240" s="4592"/>
      <c r="F240" s="4592"/>
      <c r="G240" s="4592"/>
      <c r="H240" s="4592"/>
      <c r="I240" s="4592"/>
      <c r="J240" s="4592"/>
      <c r="K240" s="4592"/>
      <c r="L240" s="4592"/>
      <c r="M240" s="4592"/>
      <c r="N240" s="4592"/>
      <c r="O240" s="4592"/>
      <c r="P240" s="4592"/>
      <c r="Q240" s="4592"/>
      <c r="R240" s="4592"/>
      <c r="S240" s="4592"/>
      <c r="T240" s="4592"/>
      <c r="U240" s="4592"/>
      <c r="V240" s="4592"/>
      <c r="W240" s="4592"/>
      <c r="X240" s="4592"/>
      <c r="Y240" s="4592"/>
      <c r="Z240" s="4592"/>
      <c r="AA240" s="4592"/>
      <c r="AB240" s="4592"/>
      <c r="AC240" s="4592"/>
      <c r="AD240" s="4592"/>
      <c r="AE240" s="4592"/>
      <c r="AF240" s="4592"/>
      <c r="AH240" s="4798"/>
    </row>
    <row r="241" spans="1:34" s="766" customFormat="1" hidden="1" outlineLevel="1">
      <c r="A241" s="4581" t="str">
        <f>A214</f>
        <v>Net Revenue</v>
      </c>
      <c r="B241" s="4594"/>
      <c r="C241" s="4594"/>
      <c r="D241" s="4594"/>
      <c r="E241" s="4594"/>
      <c r="F241" s="4594"/>
      <c r="G241" s="4594"/>
      <c r="H241" s="4594"/>
      <c r="I241" s="4594"/>
      <c r="J241" s="4594"/>
      <c r="K241" s="4594"/>
      <c r="L241" s="4594"/>
      <c r="M241" s="4594"/>
      <c r="N241" s="4594"/>
      <c r="O241" s="4594"/>
      <c r="P241" s="4594"/>
      <c r="Q241" s="4594"/>
      <c r="R241" s="4594"/>
      <c r="S241" s="4594"/>
      <c r="T241" s="4594">
        <f t="shared" ref="T241:AB241" si="182">T214/T212</f>
        <v>0.79524072201280993</v>
      </c>
      <c r="U241" s="4594">
        <f t="shared" si="182"/>
        <v>0.80181788243042973</v>
      </c>
      <c r="V241" s="4594">
        <f t="shared" si="182"/>
        <v>0.80562753876715987</v>
      </c>
      <c r="W241" s="4594">
        <f t="shared" si="182"/>
        <v>0.80816658176475298</v>
      </c>
      <c r="X241" s="4594">
        <f t="shared" si="182"/>
        <v>0.8069049572433814</v>
      </c>
      <c r="Y241" s="4594">
        <f t="shared" si="182"/>
        <v>0.81329184752497774</v>
      </c>
      <c r="Z241" s="4594">
        <f t="shared" si="182"/>
        <v>0.81995867904109143</v>
      </c>
      <c r="AA241" s="4594">
        <f t="shared" si="182"/>
        <v>0.82597898019235905</v>
      </c>
      <c r="AB241" s="4594">
        <f t="shared" si="182"/>
        <v>0.83074290936013018</v>
      </c>
      <c r="AC241" s="4594">
        <f>AC214/AC212</f>
        <v>0.83335668432971188</v>
      </c>
      <c r="AD241" s="4594">
        <f>AD214/AD212</f>
        <v>0.8351625492587218</v>
      </c>
      <c r="AE241" s="4594">
        <f>AE214/AE212</f>
        <v>0.83729400486006444</v>
      </c>
      <c r="AF241" s="4594">
        <f>AF214/AF212</f>
        <v>0.83909673421464726</v>
      </c>
      <c r="AH241" s="4797"/>
    </row>
    <row r="242" spans="1:34" s="766" customFormat="1" hidden="1" outlineLevel="1">
      <c r="A242" s="4581" t="str">
        <f>A216</f>
        <v>Gross Profit</v>
      </c>
      <c r="B242" s="4594"/>
      <c r="C242" s="4594"/>
      <c r="D242" s="4594"/>
      <c r="E242" s="4594"/>
      <c r="F242" s="4594"/>
      <c r="G242" s="4594"/>
      <c r="H242" s="4594"/>
      <c r="I242" s="4594"/>
      <c r="J242" s="4594"/>
      <c r="K242" s="4594"/>
      <c r="L242" s="4594"/>
      <c r="M242" s="4594"/>
      <c r="N242" s="4594"/>
      <c r="O242" s="4594"/>
      <c r="P242" s="4594"/>
      <c r="Q242" s="4594"/>
      <c r="R242" s="4594"/>
      <c r="S242" s="4594"/>
      <c r="T242" s="4594">
        <f t="shared" ref="T242:AB242" si="183">T216/T212</f>
        <v>0.56348411020195521</v>
      </c>
      <c r="U242" s="4594">
        <f t="shared" si="183"/>
        <v>0.55109909435205007</v>
      </c>
      <c r="V242" s="4594">
        <f t="shared" si="183"/>
        <v>0.52775301687075638</v>
      </c>
      <c r="W242" s="4594">
        <f t="shared" si="183"/>
        <v>0.55386187791806474</v>
      </c>
      <c r="X242" s="4594">
        <f t="shared" si="183"/>
        <v>0.52877551986368365</v>
      </c>
      <c r="Y242" s="4594">
        <f t="shared" si="183"/>
        <v>0.53330115247869136</v>
      </c>
      <c r="Z242" s="4594">
        <f t="shared" si="183"/>
        <v>0.54249079460859873</v>
      </c>
      <c r="AA242" s="4594">
        <f t="shared" si="183"/>
        <v>0.55132450895868224</v>
      </c>
      <c r="AB242" s="4594">
        <f t="shared" si="183"/>
        <v>0.55310170638742873</v>
      </c>
      <c r="AC242" s="4594">
        <f>AC216/AC212</f>
        <v>0.53980277808939781</v>
      </c>
      <c r="AD242" s="4594">
        <f>AD216/AD212</f>
        <v>0.52503711881851278</v>
      </c>
      <c r="AE242" s="4594">
        <f>AE216/AE212</f>
        <v>0.51474949264190306</v>
      </c>
      <c r="AF242" s="4594">
        <f>AF216/AF212</f>
        <v>0.50793277659388147</v>
      </c>
      <c r="AH242" s="4797"/>
    </row>
    <row r="243" spans="1:34" s="766" customFormat="1" hidden="1" outlineLevel="1">
      <c r="A243" s="4586" t="str">
        <f>A227</f>
        <v>Adj. EBITDA</v>
      </c>
      <c r="B243" s="4672"/>
      <c r="C243" s="4672"/>
      <c r="D243" s="4672"/>
      <c r="E243" s="4672"/>
      <c r="F243" s="4672"/>
      <c r="G243" s="4672"/>
      <c r="H243" s="4672"/>
      <c r="I243" s="4672"/>
      <c r="J243" s="4672"/>
      <c r="K243" s="4672"/>
      <c r="L243" s="4672"/>
      <c r="M243" s="4672"/>
      <c r="N243" s="4672"/>
      <c r="O243" s="4672"/>
      <c r="P243" s="4672"/>
      <c r="Q243" s="4672"/>
      <c r="R243" s="4672"/>
      <c r="S243" s="4672"/>
      <c r="T243" s="4732">
        <f t="shared" ref="T243:AB243" si="184">T227/T212</f>
        <v>0.43969907320699797</v>
      </c>
      <c r="U243" s="4732">
        <f t="shared" si="184"/>
        <v>0.43392048607526917</v>
      </c>
      <c r="V243" s="4732">
        <f t="shared" si="184"/>
        <v>0.43809592870980057</v>
      </c>
      <c r="W243" s="4732">
        <f t="shared" si="184"/>
        <v>0.45403679971708721</v>
      </c>
      <c r="X243" s="4732">
        <f t="shared" si="184"/>
        <v>0.42239276766274342</v>
      </c>
      <c r="Y243" s="4732">
        <f t="shared" si="184"/>
        <v>0.44461697677063799</v>
      </c>
      <c r="Z243" s="4732">
        <f t="shared" si="184"/>
        <v>0.48507487620109535</v>
      </c>
      <c r="AA243" s="4732">
        <f t="shared" si="184"/>
        <v>0.49455707258157389</v>
      </c>
      <c r="AB243" s="4732">
        <f t="shared" si="184"/>
        <v>0.52920367391080669</v>
      </c>
      <c r="AC243" s="4732">
        <f>AC227/AC212</f>
        <v>0.53849999999999998</v>
      </c>
      <c r="AD243" s="4732">
        <f>AD227/AD212</f>
        <v>0.53999999999999992</v>
      </c>
      <c r="AE243" s="4732">
        <f>AE227/AE212</f>
        <v>0.53980000000000006</v>
      </c>
      <c r="AF243" s="4732">
        <f>AF227/AF212</f>
        <v>0.54049999999999987</v>
      </c>
      <c r="AH243" s="4797"/>
    </row>
    <row r="244" spans="1:34" s="766" customFormat="1" hidden="1" outlineLevel="1">
      <c r="A244" s="4581" t="str">
        <f>A218</f>
        <v>GAAP Operating Income</v>
      </c>
      <c r="B244" s="4594"/>
      <c r="C244" s="4594"/>
      <c r="D244" s="4594"/>
      <c r="E244" s="4594"/>
      <c r="F244" s="4594"/>
      <c r="G244" s="4594"/>
      <c r="H244" s="4594"/>
      <c r="I244" s="4594"/>
      <c r="J244" s="4594"/>
      <c r="K244" s="4594"/>
      <c r="L244" s="4594"/>
      <c r="M244" s="4594"/>
      <c r="N244" s="4594"/>
      <c r="O244" s="4594"/>
      <c r="P244" s="4594"/>
      <c r="Q244" s="4594"/>
      <c r="R244" s="4594"/>
      <c r="S244" s="4594"/>
      <c r="T244" s="4594">
        <f t="shared" ref="T244:AB244" si="185">T218/T212</f>
        <v>0.33049094419417119</v>
      </c>
      <c r="U244" s="4594">
        <f t="shared" si="185"/>
        <v>0.32273341017618967</v>
      </c>
      <c r="V244" s="4594">
        <f t="shared" si="185"/>
        <v>0.32381178284460521</v>
      </c>
      <c r="W244" s="4594">
        <f t="shared" si="185"/>
        <v>0.3710367997170872</v>
      </c>
      <c r="X244" s="4594">
        <f t="shared" si="185"/>
        <v>0.32619276766274335</v>
      </c>
      <c r="Y244" s="4594">
        <f t="shared" si="185"/>
        <v>0.35171697677063801</v>
      </c>
      <c r="Z244" s="4594">
        <f t="shared" si="185"/>
        <v>0.39767487620109532</v>
      </c>
      <c r="AA244" s="4594">
        <f t="shared" si="185"/>
        <v>0.40335707258157399</v>
      </c>
      <c r="AB244" s="4594">
        <f t="shared" si="185"/>
        <v>0.42650367391080668</v>
      </c>
      <c r="AC244" s="4594">
        <f>AC218/AC212</f>
        <v>0.42799999999999999</v>
      </c>
      <c r="AD244" s="4594">
        <f>AD218/AD212</f>
        <v>0.42900000000000005</v>
      </c>
      <c r="AE244" s="4594">
        <f>AE218/AE212</f>
        <v>0.42949999999999999</v>
      </c>
      <c r="AF244" s="4594">
        <f>AF218/AF212</f>
        <v>0.43099999999999999</v>
      </c>
      <c r="AH244" s="4797"/>
    </row>
    <row r="245" spans="1:34" s="766" customFormat="1" hidden="1" outlineLevel="1">
      <c r="A245" s="4581" t="str">
        <f>A222</f>
        <v>GAAP Net Income</v>
      </c>
      <c r="B245" s="4594"/>
      <c r="C245" s="4594"/>
      <c r="D245" s="4594"/>
      <c r="E245" s="4594"/>
      <c r="F245" s="4594"/>
      <c r="G245" s="4594"/>
      <c r="H245" s="4594"/>
      <c r="I245" s="4594"/>
      <c r="J245" s="4594"/>
      <c r="K245" s="4594"/>
      <c r="L245" s="4594"/>
      <c r="M245" s="4594"/>
      <c r="N245" s="4594"/>
      <c r="O245" s="4594"/>
      <c r="P245" s="4594"/>
      <c r="Q245" s="4594"/>
      <c r="R245" s="4594"/>
      <c r="S245" s="4594"/>
      <c r="T245" s="4594">
        <f t="shared" ref="T245:AB245" si="186">T222/T212</f>
        <v>0.32248475376176028</v>
      </c>
      <c r="U245" s="4594">
        <f t="shared" si="186"/>
        <v>0.30817059114111639</v>
      </c>
      <c r="V245" s="4594">
        <f t="shared" si="186"/>
        <v>0.28859963827200757</v>
      </c>
      <c r="W245" s="4594">
        <f t="shared" si="186"/>
        <v>0.31566250857789996</v>
      </c>
      <c r="X245" s="4594">
        <f t="shared" si="186"/>
        <v>0.27802057366444732</v>
      </c>
      <c r="Y245" s="4594">
        <f t="shared" si="186"/>
        <v>0.31081700869220635</v>
      </c>
      <c r="Z245" s="4594">
        <f t="shared" si="186"/>
        <v>0.34453481126815988</v>
      </c>
      <c r="AA245" s="4594">
        <f t="shared" ca="1" si="186"/>
        <v>0.33785299161333393</v>
      </c>
      <c r="AB245" s="4594">
        <f t="shared" ca="1" si="186"/>
        <v>0.36286332009236894</v>
      </c>
      <c r="AC245" s="4594">
        <f ca="1">AC222/AC212</f>
        <v>0.36126886473626407</v>
      </c>
      <c r="AD245" s="4594">
        <f ca="1">AD222/AD212</f>
        <v>0.35788239249513948</v>
      </c>
      <c r="AE245" s="4594">
        <f ca="1">AE222/AE212</f>
        <v>0.35471540336330509</v>
      </c>
      <c r="AF245" s="4594">
        <f ca="1">AF222/AF212</f>
        <v>0.35290010656814524</v>
      </c>
      <c r="AH245" s="4797"/>
    </row>
    <row r="246" spans="1:34" s="766" customFormat="1" hidden="1" outlineLevel="1">
      <c r="A246" s="4581"/>
      <c r="B246" s="4582"/>
      <c r="C246" s="4582"/>
      <c r="D246" s="4582"/>
      <c r="E246" s="4582"/>
      <c r="F246" s="4582"/>
      <c r="G246" s="4582"/>
      <c r="H246" s="4582"/>
      <c r="I246" s="4582"/>
      <c r="J246" s="4582"/>
      <c r="K246" s="4582"/>
      <c r="L246" s="4582"/>
      <c r="M246" s="4582"/>
      <c r="N246" s="4582"/>
      <c r="O246" s="4582"/>
      <c r="P246" s="4582"/>
      <c r="Q246" s="4582"/>
      <c r="R246" s="4582"/>
      <c r="S246" s="4582"/>
      <c r="T246" s="4582"/>
      <c r="U246" s="4594"/>
      <c r="V246" s="4582"/>
      <c r="W246" s="4582"/>
      <c r="X246" s="4582"/>
      <c r="Y246" s="4582"/>
      <c r="Z246" s="4582"/>
      <c r="AA246" s="4582"/>
      <c r="AB246" s="4582"/>
      <c r="AC246" s="4582"/>
      <c r="AD246" s="4582"/>
      <c r="AE246" s="4582"/>
      <c r="AF246" s="4582"/>
      <c r="AH246" s="4796"/>
    </row>
    <row r="247" spans="1:34" s="627" customFormat="1" collapsed="1">
      <c r="A247" s="4584" t="s">
        <v>826</v>
      </c>
      <c r="B247" s="4583"/>
      <c r="C247" s="4583"/>
      <c r="D247" s="4583"/>
      <c r="E247" s="4583"/>
      <c r="F247" s="4583"/>
      <c r="G247" s="4583"/>
      <c r="H247" s="4583"/>
      <c r="I247" s="4583"/>
      <c r="J247" s="4583"/>
      <c r="K247" s="4583"/>
      <c r="L247" s="4583"/>
      <c r="M247" s="4583"/>
      <c r="N247" s="4583"/>
      <c r="O247" s="4583"/>
      <c r="P247" s="4583"/>
      <c r="Q247" s="4583"/>
      <c r="R247" s="4583"/>
      <c r="S247" s="4583"/>
      <c r="T247" s="4583"/>
      <c r="U247" s="4600"/>
      <c r="V247" s="4600"/>
      <c r="W247" s="4600"/>
      <c r="X247" s="4600"/>
      <c r="Y247" s="4600"/>
      <c r="Z247" s="4600"/>
      <c r="AA247" s="4583"/>
      <c r="AB247" s="4583"/>
      <c r="AC247" s="4583"/>
      <c r="AD247" s="4583"/>
      <c r="AE247" s="4583"/>
      <c r="AF247" s="4583"/>
      <c r="AH247" s="4796"/>
    </row>
    <row r="248" spans="1:34" s="766" customFormat="1">
      <c r="A248" s="4586" t="str">
        <f>A$8</f>
        <v>Gross Revenue</v>
      </c>
      <c r="B248" s="4589"/>
      <c r="C248" s="4589"/>
      <c r="D248" s="4589"/>
      <c r="E248" s="4589"/>
      <c r="F248" s="4589"/>
      <c r="G248" s="4589"/>
      <c r="H248" s="4589"/>
      <c r="I248" s="4589"/>
      <c r="J248" s="4589"/>
      <c r="K248" s="4589"/>
      <c r="L248" s="4589"/>
      <c r="M248" s="4589"/>
      <c r="N248" s="4589"/>
      <c r="O248" s="4589"/>
      <c r="P248" s="4589"/>
      <c r="Q248" s="4589"/>
      <c r="R248" s="4589"/>
      <c r="S248" s="4589"/>
      <c r="T248" s="4589">
        <f>'Segment As Reported'!DG80</f>
        <v>5838</v>
      </c>
      <c r="U248" s="4589">
        <f>'Segment As Reported'!DL80</f>
        <v>8918</v>
      </c>
      <c r="V248" s="4589">
        <f>'Segment As Reported'!DQ80</f>
        <v>13059</v>
      </c>
      <c r="W248" s="4589">
        <f>'Segment As Reported'!DV80</f>
        <v>19206</v>
      </c>
      <c r="X248" s="4589">
        <f>'Segment As Reported'!EA80</f>
        <v>26280</v>
      </c>
      <c r="Y248" s="4589">
        <f>'Segment As Reported'!EF80</f>
        <v>33088</v>
      </c>
      <c r="Z248" s="4589">
        <f>'Segment As Reported'!EK80</f>
        <v>43229</v>
      </c>
      <c r="AA248" s="4589">
        <f>'Segment As Reported'!EP80</f>
        <v>57563.494173601481</v>
      </c>
      <c r="AB248" s="4589">
        <f>'Segment As Reported'!EU80</f>
        <v>82768.352941040968</v>
      </c>
      <c r="AC248" s="4589">
        <f>'Segment As Reported'!EV80</f>
        <v>107598.85882335326</v>
      </c>
      <c r="AD248" s="4589">
        <f>'Segment As Reported'!EW80</f>
        <v>134498.57352919158</v>
      </c>
      <c r="AE248" s="4589">
        <f>'Segment As Reported'!EX80</f>
        <v>161398.28823502988</v>
      </c>
      <c r="AF248" s="4589">
        <f>'Segment As Reported'!EY80</f>
        <v>190449.98011733525</v>
      </c>
      <c r="AH248" s="4797">
        <f>(AC248/Z248)^(1/3)-1</f>
        <v>0.35522319257888801</v>
      </c>
    </row>
    <row r="249" spans="1:34" s="766" customFormat="1">
      <c r="A249" s="4585" t="str">
        <f>A$9</f>
        <v>TAC</v>
      </c>
      <c r="B249" s="4590"/>
      <c r="C249" s="4590"/>
      <c r="D249" s="4590"/>
      <c r="E249" s="4590"/>
      <c r="F249" s="4590"/>
      <c r="G249" s="4590"/>
      <c r="H249" s="4590"/>
      <c r="I249" s="4590"/>
      <c r="J249" s="4590"/>
      <c r="K249" s="4590"/>
      <c r="L249" s="4590"/>
      <c r="M249" s="4590"/>
      <c r="N249" s="4590"/>
      <c r="O249" s="4590"/>
      <c r="P249" s="4590"/>
      <c r="Q249" s="4590"/>
      <c r="R249" s="4590"/>
      <c r="S249" s="4590"/>
      <c r="T249" s="4590">
        <f>T248-T250</f>
        <v>0</v>
      </c>
      <c r="U249" s="4590">
        <f>U248-U250</f>
        <v>0</v>
      </c>
      <c r="V249" s="4590">
        <f t="shared" ref="V249:AA249" si="187">V248-V250</f>
        <v>0</v>
      </c>
      <c r="W249" s="4590">
        <f t="shared" si="187"/>
        <v>0</v>
      </c>
      <c r="X249" s="4590">
        <f t="shared" si="187"/>
        <v>0</v>
      </c>
      <c r="Y249" s="4590">
        <f t="shared" si="187"/>
        <v>0</v>
      </c>
      <c r="Z249" s="4590">
        <f t="shared" si="187"/>
        <v>0</v>
      </c>
      <c r="AA249" s="4590">
        <f t="shared" si="187"/>
        <v>0</v>
      </c>
      <c r="AB249" s="4590">
        <f>AB248-AB250</f>
        <v>0</v>
      </c>
      <c r="AC249" s="4590">
        <f>AC248-AC250</f>
        <v>0</v>
      </c>
      <c r="AD249" s="4590">
        <f>AD248-AD250</f>
        <v>0</v>
      </c>
      <c r="AE249" s="4590">
        <f>AE248-AE250</f>
        <v>0</v>
      </c>
      <c r="AF249" s="4590">
        <f>AF248-AF250</f>
        <v>0</v>
      </c>
      <c r="AH249" s="4798"/>
    </row>
    <row r="250" spans="1:34" s="766" customFormat="1">
      <c r="A250" s="4586" t="str">
        <f>A$10</f>
        <v>Net Revenue</v>
      </c>
      <c r="B250" s="4589"/>
      <c r="C250" s="4589"/>
      <c r="D250" s="4589"/>
      <c r="E250" s="4589"/>
      <c r="F250" s="4589"/>
      <c r="G250" s="4589"/>
      <c r="H250" s="4589"/>
      <c r="I250" s="4589"/>
      <c r="J250" s="4589"/>
      <c r="K250" s="4589"/>
      <c r="L250" s="4589"/>
      <c r="M250" s="4589"/>
      <c r="N250" s="4589"/>
      <c r="O250" s="4589"/>
      <c r="P250" s="4589"/>
      <c r="Q250" s="4589"/>
      <c r="R250" s="4589"/>
      <c r="S250" s="4589"/>
      <c r="T250" s="4589">
        <f t="shared" ref="T250:AB250" si="188">T248*T282</f>
        <v>5838</v>
      </c>
      <c r="U250" s="4589">
        <f t="shared" si="188"/>
        <v>8918</v>
      </c>
      <c r="V250" s="4589">
        <f t="shared" si="188"/>
        <v>13059</v>
      </c>
      <c r="W250" s="4589">
        <f t="shared" si="188"/>
        <v>19206</v>
      </c>
      <c r="X250" s="4589">
        <f t="shared" si="188"/>
        <v>26280</v>
      </c>
      <c r="Y250" s="4589">
        <f t="shared" si="188"/>
        <v>33088</v>
      </c>
      <c r="Z250" s="4589">
        <f t="shared" si="188"/>
        <v>43229</v>
      </c>
      <c r="AA250" s="4589">
        <f t="shared" si="188"/>
        <v>57563.494173601481</v>
      </c>
      <c r="AB250" s="4589">
        <f t="shared" si="188"/>
        <v>82768.352941040968</v>
      </c>
      <c r="AC250" s="4589">
        <f>AC248*AC282</f>
        <v>107598.85882335326</v>
      </c>
      <c r="AD250" s="4589">
        <f>AD248*AD282</f>
        <v>134498.57352919158</v>
      </c>
      <c r="AE250" s="4589">
        <f>AE248*AE282</f>
        <v>161398.28823502988</v>
      </c>
      <c r="AF250" s="4589">
        <f>AF248*AF282</f>
        <v>190449.98011733525</v>
      </c>
      <c r="AH250" s="4797">
        <f>(AC250/Z250)^(1/3)-1</f>
        <v>0.35522319257888801</v>
      </c>
    </row>
    <row r="251" spans="1:34" s="766" customFormat="1">
      <c r="A251" s="4585" t="str">
        <f>A$11</f>
        <v>Other Cost Of Revenues</v>
      </c>
      <c r="B251" s="4590"/>
      <c r="C251" s="4590"/>
      <c r="D251" s="4590"/>
      <c r="E251" s="4590"/>
      <c r="F251" s="4590"/>
      <c r="G251" s="4590"/>
      <c r="H251" s="4590"/>
      <c r="I251" s="4590"/>
      <c r="J251" s="4590"/>
      <c r="K251" s="4590"/>
      <c r="L251" s="4590"/>
      <c r="M251" s="4590"/>
      <c r="N251" s="4590"/>
      <c r="O251" s="4590"/>
      <c r="P251" s="4590"/>
      <c r="Q251" s="4590"/>
      <c r="R251" s="4590"/>
      <c r="S251" s="4590"/>
      <c r="T251" s="4590">
        <f t="shared" ref="T251:AB251" si="189">T248*T277</f>
        <v>2335.1999999999998</v>
      </c>
      <c r="U251" s="4590">
        <f t="shared" si="189"/>
        <v>3478.02</v>
      </c>
      <c r="V251" s="4590">
        <f t="shared" si="189"/>
        <v>4831.83</v>
      </c>
      <c r="W251" s="4590">
        <f t="shared" si="189"/>
        <v>4667.058</v>
      </c>
      <c r="X251" s="4590">
        <f t="shared" si="189"/>
        <v>6307.2</v>
      </c>
      <c r="Y251" s="4590">
        <f t="shared" si="189"/>
        <v>5525.6959999999999</v>
      </c>
      <c r="Z251" s="4590">
        <f t="shared" si="189"/>
        <v>6138.5179999999991</v>
      </c>
      <c r="AA251" s="4590">
        <f t="shared" si="189"/>
        <v>9210.1590677762379</v>
      </c>
      <c r="AB251" s="4590">
        <f t="shared" si="189"/>
        <v>19905.788882320354</v>
      </c>
      <c r="AC251" s="4590">
        <f>AC248*AC277</f>
        <v>28944.09302348203</v>
      </c>
      <c r="AD251" s="4590">
        <f>AD248*AD277</f>
        <v>33624.643382297894</v>
      </c>
      <c r="AE251" s="4590">
        <f>AE248*AE277</f>
        <v>37202.305438174386</v>
      </c>
      <c r="AF251" s="4590">
        <f>AF248*AF277</f>
        <v>40946.745725227076</v>
      </c>
      <c r="AH251" s="4798"/>
    </row>
    <row r="252" spans="1:34" s="766" customFormat="1">
      <c r="A252" s="4586" t="str">
        <f>A$12</f>
        <v>Gross Profit</v>
      </c>
      <c r="B252" s="4589"/>
      <c r="C252" s="4589"/>
      <c r="D252" s="4589"/>
      <c r="E252" s="4589"/>
      <c r="F252" s="4589"/>
      <c r="G252" s="4589"/>
      <c r="H252" s="4589"/>
      <c r="I252" s="4589"/>
      <c r="J252" s="4589"/>
      <c r="K252" s="4589"/>
      <c r="L252" s="4589"/>
      <c r="M252" s="4589"/>
      <c r="N252" s="4589"/>
      <c r="O252" s="4589"/>
      <c r="P252" s="4589"/>
      <c r="Q252" s="4589"/>
      <c r="R252" s="4589"/>
      <c r="S252" s="4589"/>
      <c r="T252" s="4589">
        <f>T250-T251</f>
        <v>3502.8</v>
      </c>
      <c r="U252" s="4589">
        <f t="shared" ref="U252:AB252" si="190">U250-U251</f>
        <v>5439.98</v>
      </c>
      <c r="V252" s="4589">
        <f t="shared" si="190"/>
        <v>8227.17</v>
      </c>
      <c r="W252" s="4589">
        <f t="shared" si="190"/>
        <v>14538.941999999999</v>
      </c>
      <c r="X252" s="4589">
        <f t="shared" si="190"/>
        <v>19972.8</v>
      </c>
      <c r="Y252" s="4589">
        <f t="shared" si="190"/>
        <v>27562.304</v>
      </c>
      <c r="Z252" s="4589">
        <f t="shared" si="190"/>
        <v>37090.482000000004</v>
      </c>
      <c r="AA252" s="4589">
        <f t="shared" si="190"/>
        <v>48353.335105825245</v>
      </c>
      <c r="AB252" s="4589">
        <f t="shared" si="190"/>
        <v>62862.564058720614</v>
      </c>
      <c r="AC252" s="4589">
        <f>AC250-AC251</f>
        <v>78654.765799871238</v>
      </c>
      <c r="AD252" s="4589">
        <f>AD250-AD251</f>
        <v>100873.93014689369</v>
      </c>
      <c r="AE252" s="4589">
        <f>AE250-AE251</f>
        <v>124195.98279685549</v>
      </c>
      <c r="AF252" s="4589">
        <f>AF250-AF251</f>
        <v>149503.23439210816</v>
      </c>
      <c r="AH252" s="4797">
        <f>(AC252/Z252)^(1/3)-1</f>
        <v>0.28475659301300693</v>
      </c>
    </row>
    <row r="253" spans="1:34" s="766" customFormat="1">
      <c r="A253" s="4585" t="str">
        <f>A$13</f>
        <v>GAAP Expenses</v>
      </c>
      <c r="B253" s="4590"/>
      <c r="C253" s="4590"/>
      <c r="D253" s="4590"/>
      <c r="E253" s="4590"/>
      <c r="F253" s="4590"/>
      <c r="G253" s="4590"/>
      <c r="H253" s="4590"/>
      <c r="I253" s="4590"/>
      <c r="J253" s="4590"/>
      <c r="K253" s="4590"/>
      <c r="L253" s="4590"/>
      <c r="M253" s="4590"/>
      <c r="N253" s="4590"/>
      <c r="O253" s="4590"/>
      <c r="P253" s="4590"/>
      <c r="Q253" s="4590"/>
      <c r="R253" s="4590"/>
      <c r="S253" s="4590"/>
      <c r="T253" s="4590">
        <f>T252-T254</f>
        <v>7850.8</v>
      </c>
      <c r="U253" s="4590">
        <f t="shared" ref="U253:AB253" si="191">U252-U254</f>
        <v>10084.98</v>
      </c>
      <c r="V253" s="4590">
        <f t="shared" si="191"/>
        <v>13834.17</v>
      </c>
      <c r="W253" s="4590">
        <f t="shared" si="191"/>
        <v>16820.941999999999</v>
      </c>
      <c r="X253" s="4590">
        <f t="shared" si="191"/>
        <v>21894.799999999999</v>
      </c>
      <c r="Y253" s="4590">
        <f t="shared" si="191"/>
        <v>25846.304</v>
      </c>
      <c r="Z253" s="4590">
        <f t="shared" si="191"/>
        <v>30978.482000000004</v>
      </c>
      <c r="AA253" s="4590">
        <f t="shared" si="191"/>
        <v>35790.936504160891</v>
      </c>
      <c r="AB253" s="4590">
        <f t="shared" si="191"/>
        <v>42893.434312194855</v>
      </c>
      <c r="AC253" s="4590">
        <f>AC252-AC254</f>
        <v>53907.028270499985</v>
      </c>
      <c r="AD253" s="4590">
        <f>AD252-AD254</f>
        <v>66442.295323420636</v>
      </c>
      <c r="AE253" s="4590">
        <f>AE252-AE254</f>
        <v>78197.470649871975</v>
      </c>
      <c r="AF253" s="4590">
        <f>AF252-AF254</f>
        <v>88559.240754560888</v>
      </c>
      <c r="AH253" s="4798"/>
    </row>
    <row r="254" spans="1:34" s="766" customFormat="1">
      <c r="A254" s="4586" t="str">
        <f>A$14</f>
        <v>GAAP Operating Income</v>
      </c>
      <c r="B254" s="4589"/>
      <c r="C254" s="4589"/>
      <c r="D254" s="4589"/>
      <c r="E254" s="4589"/>
      <c r="F254" s="4589"/>
      <c r="G254" s="4589"/>
      <c r="H254" s="4589"/>
      <c r="I254" s="4589"/>
      <c r="J254" s="4589"/>
      <c r="K254" s="4589"/>
      <c r="L254" s="4589"/>
      <c r="M254" s="4589"/>
      <c r="N254" s="4589"/>
      <c r="O254" s="4589"/>
      <c r="P254" s="4589"/>
      <c r="Q254" s="4589"/>
      <c r="R254" s="4589"/>
      <c r="S254" s="4589"/>
      <c r="T254" s="4589">
        <f>'Segment As Reported'!DG18</f>
        <v>-4348</v>
      </c>
      <c r="U254" s="4589">
        <f>'Segment As Reported'!DL18</f>
        <v>-4645</v>
      </c>
      <c r="V254" s="4589">
        <f>'Segment As Reported'!DQ18</f>
        <v>-5607</v>
      </c>
      <c r="W254" s="4589">
        <f>'Segment As Reported'!DV18</f>
        <v>-2282</v>
      </c>
      <c r="X254" s="4589">
        <f>'Segment As Reported'!EA18</f>
        <v>-1922</v>
      </c>
      <c r="Y254" s="4589">
        <f>'Segment As Reported'!EF18</f>
        <v>1716</v>
      </c>
      <c r="Z254" s="4589">
        <f>'Segment As Reported'!EK18</f>
        <v>6112</v>
      </c>
      <c r="AA254" s="4589">
        <f>'Segment As Reported'!EP18</f>
        <v>12562.398601664356</v>
      </c>
      <c r="AB254" s="4589">
        <f>'Segment As Reported'!EU18</f>
        <v>19969.129746525759</v>
      </c>
      <c r="AC254" s="4589">
        <f>'Segment As Reported'!EV18</f>
        <v>24747.73752937125</v>
      </c>
      <c r="AD254" s="4589">
        <f>'Segment As Reported'!EW18</f>
        <v>34431.634823473047</v>
      </c>
      <c r="AE254" s="4589">
        <f>'Segment As Reported'!EX18</f>
        <v>45998.512146983514</v>
      </c>
      <c r="AF254" s="4589">
        <f>'Segment As Reported'!EY18</f>
        <v>60943.993637547283</v>
      </c>
      <c r="AH254" s="4797"/>
    </row>
    <row r="255" spans="1:34" s="766" customFormat="1">
      <c r="A255" s="4585" t="str">
        <f>A$15</f>
        <v>OI&amp;E</v>
      </c>
      <c r="B255" s="4590"/>
      <c r="C255" s="4590"/>
      <c r="D255" s="4590"/>
      <c r="E255" s="4590"/>
      <c r="F255" s="4590"/>
      <c r="G255" s="4590"/>
      <c r="H255" s="4590"/>
      <c r="I255" s="4590"/>
      <c r="J255" s="4590"/>
      <c r="K255" s="4590"/>
      <c r="L255" s="4590"/>
      <c r="M255" s="4590"/>
      <c r="N255" s="4590"/>
      <c r="O255" s="4590"/>
      <c r="P255" s="4590"/>
      <c r="Q255" s="4590"/>
      <c r="R255" s="4590"/>
      <c r="S255" s="4590"/>
      <c r="T255" s="4590">
        <f>'Segment As Reported'!DG83</f>
        <v>0</v>
      </c>
      <c r="U255" s="4590">
        <f>'Segment As Reported'!DL83</f>
        <v>0</v>
      </c>
      <c r="V255" s="4590">
        <f>'Segment As Reported'!DQ83</f>
        <v>0</v>
      </c>
      <c r="W255" s="4590">
        <f>'Segment As Reported'!DV83</f>
        <v>0</v>
      </c>
      <c r="X255" s="4590">
        <f>'Segment As Reported'!EA83</f>
        <v>0</v>
      </c>
      <c r="Y255" s="4590">
        <f>'Segment As Reported'!EF83</f>
        <v>0</v>
      </c>
      <c r="Z255" s="4590">
        <f>'Segment As Reported'!EK83</f>
        <v>0</v>
      </c>
      <c r="AA255" s="4590">
        <f>'Segment As Reported'!EP83</f>
        <v>0</v>
      </c>
      <c r="AB255" s="4590">
        <f>'Segment As Reported'!EU83</f>
        <v>0</v>
      </c>
      <c r="AC255" s="4590">
        <f>'Segment As Reported'!EV83</f>
        <v>0</v>
      </c>
      <c r="AD255" s="4590">
        <f>'Segment As Reported'!EW83</f>
        <v>0</v>
      </c>
      <c r="AE255" s="4590">
        <f>'Segment As Reported'!EX83</f>
        <v>0</v>
      </c>
      <c r="AF255" s="4590">
        <f>'Segment As Reported'!EY83</f>
        <v>0</v>
      </c>
      <c r="AH255" s="4798"/>
    </row>
    <row r="256" spans="1:34" s="766" customFormat="1">
      <c r="A256" s="4586" t="str">
        <f>A$16</f>
        <v>Profit Before Tax</v>
      </c>
      <c r="B256" s="4589"/>
      <c r="C256" s="4589"/>
      <c r="D256" s="4589"/>
      <c r="E256" s="4589"/>
      <c r="F256" s="4589"/>
      <c r="G256" s="4589"/>
      <c r="H256" s="4589"/>
      <c r="I256" s="4589"/>
      <c r="J256" s="4589"/>
      <c r="K256" s="4589"/>
      <c r="L256" s="4589"/>
      <c r="M256" s="4589"/>
      <c r="N256" s="4589"/>
      <c r="O256" s="4589"/>
      <c r="P256" s="4589"/>
      <c r="Q256" s="4589"/>
      <c r="R256" s="4589"/>
      <c r="S256" s="4589"/>
      <c r="T256" s="4589">
        <f>T254+T255</f>
        <v>-4348</v>
      </c>
      <c r="U256" s="4589">
        <f>U254+U255</f>
        <v>-4645</v>
      </c>
      <c r="V256" s="4589">
        <f t="shared" ref="V256:AA256" si="192">V254-V255</f>
        <v>-5607</v>
      </c>
      <c r="W256" s="4589">
        <f t="shared" si="192"/>
        <v>-2282</v>
      </c>
      <c r="X256" s="4589">
        <f t="shared" si="192"/>
        <v>-1922</v>
      </c>
      <c r="Y256" s="4589">
        <f t="shared" si="192"/>
        <v>1716</v>
      </c>
      <c r="Z256" s="4589">
        <f t="shared" si="192"/>
        <v>6112</v>
      </c>
      <c r="AA256" s="4589">
        <f t="shared" si="192"/>
        <v>12562.398601664356</v>
      </c>
      <c r="AB256" s="4589">
        <f>AB254-AB255</f>
        <v>19969.129746525759</v>
      </c>
      <c r="AC256" s="4589">
        <f>AC254-AC255</f>
        <v>24747.73752937125</v>
      </c>
      <c r="AD256" s="4589">
        <f>AD254-AD255</f>
        <v>34431.634823473047</v>
      </c>
      <c r="AE256" s="4589">
        <f>AE254-AE255</f>
        <v>45998.512146983514</v>
      </c>
      <c r="AF256" s="4589">
        <f>AF254-AF255</f>
        <v>60943.993637547283</v>
      </c>
      <c r="AH256" s="4797"/>
    </row>
    <row r="257" spans="1:34" s="766" customFormat="1">
      <c r="A257" s="4585" t="str">
        <f>A$17</f>
        <v>Income Tax</v>
      </c>
      <c r="B257" s="4590"/>
      <c r="C257" s="4590"/>
      <c r="D257" s="4590"/>
      <c r="E257" s="4590"/>
      <c r="F257" s="4590"/>
      <c r="G257" s="4590"/>
      <c r="H257" s="4590"/>
      <c r="I257" s="4590"/>
      <c r="J257" s="4590"/>
      <c r="K257" s="4590"/>
      <c r="L257" s="4590"/>
      <c r="M257" s="4590"/>
      <c r="N257" s="4590"/>
      <c r="O257" s="4590"/>
      <c r="P257" s="4590"/>
      <c r="Q257" s="4590"/>
      <c r="R257" s="4590"/>
      <c r="S257" s="4590"/>
      <c r="T257" s="4590">
        <f>'Segment As Reported'!DG85</f>
        <v>0</v>
      </c>
      <c r="U257" s="4590">
        <f>'Segment As Reported'!DL85</f>
        <v>0</v>
      </c>
      <c r="V257" s="4590">
        <f>'Segment As Reported'!DQ85</f>
        <v>0</v>
      </c>
      <c r="W257" s="4590">
        <f>'Segment As Reported'!DV85</f>
        <v>0</v>
      </c>
      <c r="X257" s="4590">
        <f>'Segment As Reported'!EA85</f>
        <v>0</v>
      </c>
      <c r="Y257" s="4590">
        <f>'Segment As Reported'!EF85</f>
        <v>0</v>
      </c>
      <c r="Z257" s="4590">
        <f>'Segment As Reported'!EK85</f>
        <v>0</v>
      </c>
      <c r="AA257" s="4590">
        <f>'Segment As Reported'!EP85</f>
        <v>0</v>
      </c>
      <c r="AB257" s="4590">
        <f>'Segment As Reported'!EU85</f>
        <v>0</v>
      </c>
      <c r="AC257" s="4590">
        <f>'Segment As Reported'!EV85</f>
        <v>0</v>
      </c>
      <c r="AD257" s="4590">
        <f>'Segment As Reported'!EW85</f>
        <v>0</v>
      </c>
      <c r="AE257" s="4590">
        <f>'Segment As Reported'!EX85</f>
        <v>0</v>
      </c>
      <c r="AF257" s="4590">
        <f>'Segment As Reported'!EY85</f>
        <v>0</v>
      </c>
      <c r="AH257" s="4798"/>
    </row>
    <row r="258" spans="1:34" s="766" customFormat="1">
      <c r="A258" s="4586" t="str">
        <f>A$18</f>
        <v>GAAP Net Income</v>
      </c>
      <c r="B258" s="4589"/>
      <c r="C258" s="4589"/>
      <c r="D258" s="4589"/>
      <c r="E258" s="4589"/>
      <c r="F258" s="4589"/>
      <c r="G258" s="4589"/>
      <c r="H258" s="4589"/>
      <c r="I258" s="4589"/>
      <c r="J258" s="4589"/>
      <c r="K258" s="4589"/>
      <c r="L258" s="4589"/>
      <c r="M258" s="4589"/>
      <c r="N258" s="4589"/>
      <c r="O258" s="4589"/>
      <c r="P258" s="4589"/>
      <c r="Q258" s="4589"/>
      <c r="R258" s="4589"/>
      <c r="S258" s="4589"/>
      <c r="T258" s="4589">
        <f>T256-T257</f>
        <v>-4348</v>
      </c>
      <c r="U258" s="4589">
        <f t="shared" ref="U258:AA258" si="193">U256-U257</f>
        <v>-4645</v>
      </c>
      <c r="V258" s="4589">
        <f t="shared" si="193"/>
        <v>-5607</v>
      </c>
      <c r="W258" s="4589">
        <f t="shared" si="193"/>
        <v>-2282</v>
      </c>
      <c r="X258" s="4589">
        <f t="shared" si="193"/>
        <v>-1922</v>
      </c>
      <c r="Y258" s="4589">
        <f t="shared" si="193"/>
        <v>1716</v>
      </c>
      <c r="Z258" s="4589">
        <f t="shared" si="193"/>
        <v>6112</v>
      </c>
      <c r="AA258" s="4589">
        <f t="shared" si="193"/>
        <v>12562.398601664356</v>
      </c>
      <c r="AB258" s="4589">
        <f>AB256-AB257</f>
        <v>19969.129746525759</v>
      </c>
      <c r="AC258" s="4589">
        <f>AC256-AC257</f>
        <v>24747.73752937125</v>
      </c>
      <c r="AD258" s="4589">
        <f>AD256-AD257</f>
        <v>34431.634823473047</v>
      </c>
      <c r="AE258" s="4589">
        <f>AE256-AE257</f>
        <v>45998.512146983514</v>
      </c>
      <c r="AF258" s="4589">
        <f>AF256-AF257</f>
        <v>60943.993637547283</v>
      </c>
      <c r="AH258" s="4797"/>
    </row>
    <row r="259" spans="1:34" s="766" customFormat="1">
      <c r="A259" s="4586" t="str">
        <f>A$19</f>
        <v>GAAP EPS</v>
      </c>
      <c r="B259" s="4591"/>
      <c r="C259" s="4591"/>
      <c r="D259" s="4591"/>
      <c r="E259" s="4591"/>
      <c r="F259" s="4591"/>
      <c r="G259" s="4591"/>
      <c r="H259" s="4591"/>
      <c r="I259" s="4591"/>
      <c r="J259" s="4591"/>
      <c r="K259" s="4591"/>
      <c r="L259" s="4591"/>
      <c r="M259" s="4591"/>
      <c r="N259" s="4591"/>
      <c r="O259" s="4591"/>
      <c r="P259" s="4591"/>
      <c r="Q259" s="4591"/>
      <c r="R259" s="4591"/>
      <c r="S259" s="4591"/>
      <c r="T259" s="4591">
        <f t="shared" ref="T259:AB259" si="194">T258/T$20</f>
        <v>-0.309120878847437</v>
      </c>
      <c r="U259" s="4591">
        <f t="shared" si="194"/>
        <v>-0.33247131763858762</v>
      </c>
      <c r="V259" s="4591">
        <f t="shared" si="194"/>
        <v>-0.408062119761538</v>
      </c>
      <c r="W259" s="4591">
        <f t="shared" si="194"/>
        <v>-0.16837010434593344</v>
      </c>
      <c r="X259" s="4591">
        <f t="shared" si="194"/>
        <v>-0.14606522549484155</v>
      </c>
      <c r="Y259" s="4591">
        <f t="shared" si="194"/>
        <v>0.13489240444138745</v>
      </c>
      <c r="Z259" s="4591">
        <f t="shared" si="194"/>
        <v>0.49103215569704151</v>
      </c>
      <c r="AA259" s="4591">
        <f t="shared" si="194"/>
        <v>1.0275890088763158</v>
      </c>
      <c r="AB259" s="4591">
        <f t="shared" si="194"/>
        <v>1.6349486647053837</v>
      </c>
      <c r="AC259" s="4591">
        <f ca="1">AC258/AC$20</f>
        <v>2.0424208249513627</v>
      </c>
      <c r="AD259" s="4591">
        <f ca="1">AD258/AD$20</f>
        <v>2.8667757929639546</v>
      </c>
      <c r="AE259" s="4591">
        <f ca="1">AE258/AE$20</f>
        <v>3.868230175767279</v>
      </c>
      <c r="AF259" s="4591">
        <f ca="1">AF258/AF$20</f>
        <v>5.182455095526965</v>
      </c>
      <c r="AH259" s="4797"/>
    </row>
    <row r="260" spans="1:34" s="766" customFormat="1">
      <c r="A260" s="4581"/>
      <c r="B260" s="4582"/>
      <c r="C260" s="4582"/>
      <c r="D260" s="4582"/>
      <c r="E260" s="4582"/>
      <c r="F260" s="4582"/>
      <c r="G260" s="4582"/>
      <c r="H260" s="4582"/>
      <c r="I260" s="4582"/>
      <c r="J260" s="4582"/>
      <c r="K260" s="4582"/>
      <c r="L260" s="4582"/>
      <c r="M260" s="4582"/>
      <c r="N260" s="4582"/>
      <c r="O260" s="4582"/>
      <c r="P260" s="4582"/>
      <c r="Q260" s="4582"/>
      <c r="R260" s="4582"/>
      <c r="S260" s="4582"/>
      <c r="T260" s="4594"/>
      <c r="U260" s="4594"/>
      <c r="V260" s="4594"/>
      <c r="W260" s="4594"/>
      <c r="X260" s="4594"/>
      <c r="Y260" s="4594"/>
      <c r="Z260" s="4594"/>
      <c r="AA260" s="4594"/>
      <c r="AB260" s="4594"/>
      <c r="AC260" s="4594"/>
      <c r="AD260" s="4594"/>
      <c r="AE260" s="4594"/>
      <c r="AF260" s="4594"/>
      <c r="AH260" s="4797"/>
    </row>
    <row r="261" spans="1:34" s="766" customFormat="1">
      <c r="A261" s="4585" t="str">
        <f>A$22</f>
        <v>D&amp;A</v>
      </c>
      <c r="B261" s="4590"/>
      <c r="C261" s="4590"/>
      <c r="D261" s="4590"/>
      <c r="E261" s="4590"/>
      <c r="F261" s="4590"/>
      <c r="G261" s="4590"/>
      <c r="H261" s="4590"/>
      <c r="I261" s="4590"/>
      <c r="J261" s="4590"/>
      <c r="K261" s="4590"/>
      <c r="L261" s="4590"/>
      <c r="M261" s="4590"/>
      <c r="N261" s="4590"/>
      <c r="O261" s="4590"/>
      <c r="P261" s="4590"/>
      <c r="Q261" s="4590"/>
      <c r="R261" s="4590"/>
      <c r="S261" s="4590"/>
      <c r="T261" s="4590">
        <f>'Segment As Reported'!DG89</f>
        <v>2043.3</v>
      </c>
      <c r="U261" s="4590">
        <f>'Segment As Reported'!DL89</f>
        <v>3032.1200000000003</v>
      </c>
      <c r="V261" s="4590">
        <f>'Segment As Reported'!DQ89</f>
        <v>4178.88</v>
      </c>
      <c r="W261" s="4590">
        <f>'Segment As Reported'!DV89</f>
        <v>3745.17</v>
      </c>
      <c r="X261" s="4590">
        <f>'Segment As Reported'!EA89</f>
        <v>5098.32</v>
      </c>
      <c r="Y261" s="4590">
        <f>'Segment As Reported'!EF89</f>
        <v>4069.8240000000001</v>
      </c>
      <c r="Z261" s="4590">
        <f>'Segment As Reported'!EK89</f>
        <v>4409.3579999999993</v>
      </c>
      <c r="AA261" s="4590">
        <f>'Segment As Reported'!EP89</f>
        <v>7022.7462891793803</v>
      </c>
      <c r="AB261" s="4590">
        <f>'Segment As Reported'!EU89</f>
        <v>16760.591470560797</v>
      </c>
      <c r="AC261" s="4590">
        <f>'Segment As Reported'!EV89</f>
        <v>24855.336388194606</v>
      </c>
      <c r="AD261" s="4590">
        <f>'Segment As Reported'!EW89</f>
        <v>28513.697588188614</v>
      </c>
      <c r="AE261" s="4590">
        <f>'Segment As Reported'!EX89</f>
        <v>31069.170485243252</v>
      </c>
      <c r="AF261" s="4590">
        <f>'Segment As Reported'!EY89</f>
        <v>33709.646480768337</v>
      </c>
      <c r="AH261" s="4798"/>
    </row>
    <row r="262" spans="1:34" s="766" customFormat="1">
      <c r="A262" s="4585" t="str">
        <f>A$23</f>
        <v>SBC</v>
      </c>
      <c r="B262" s="4590"/>
      <c r="C262" s="4590"/>
      <c r="D262" s="4590"/>
      <c r="E262" s="4590"/>
      <c r="F262" s="4590"/>
      <c r="G262" s="4590"/>
      <c r="H262" s="4590"/>
      <c r="I262" s="4590"/>
      <c r="J262" s="4590"/>
      <c r="K262" s="4590"/>
      <c r="L262" s="4590"/>
      <c r="M262" s="4590"/>
      <c r="N262" s="4590"/>
      <c r="O262" s="4590"/>
      <c r="P262" s="4590"/>
      <c r="Q262" s="4590"/>
      <c r="R262" s="4590"/>
      <c r="S262" s="4590"/>
      <c r="T262" s="4590">
        <f>'Segment As Reported'!DG90</f>
        <v>1274.418168729798</v>
      </c>
      <c r="U262" s="4590">
        <f>'Segment As Reported'!DL90</f>
        <v>1621.902201622248</v>
      </c>
      <c r="V262" s="4590">
        <f>'Segment As Reported'!DQ90</f>
        <v>2327.4506170789623</v>
      </c>
      <c r="W262" s="4590">
        <f>'Segment As Reported'!DV90</f>
        <v>3303.4319999999998</v>
      </c>
      <c r="X262" s="4590">
        <f>'Segment As Reported'!EA90</f>
        <v>4599</v>
      </c>
      <c r="Y262" s="4590">
        <f>'Segment As Reported'!EF90</f>
        <v>5624.96</v>
      </c>
      <c r="Z262" s="4590">
        <f>'Segment As Reported'!EK90</f>
        <v>5879.1440000000002</v>
      </c>
      <c r="AA262" s="4590">
        <f>'Segment As Reported'!EP90</f>
        <v>6447.111347443366</v>
      </c>
      <c r="AB262" s="4590">
        <f>'Segment As Reported'!EU90</f>
        <v>7821.6093529283717</v>
      </c>
      <c r="AC262" s="4590">
        <f>'Segment As Reported'!EV90</f>
        <v>8747.7872223386203</v>
      </c>
      <c r="AD262" s="4590">
        <f>'Segment As Reported'!EW90</f>
        <v>9643.5477220430366</v>
      </c>
      <c r="AE262" s="4590">
        <f>'Segment As Reported'!EX90</f>
        <v>10571.587879394458</v>
      </c>
      <c r="AF262" s="4590">
        <f>'Segment As Reported'!EY90</f>
        <v>11503.178799087049</v>
      </c>
      <c r="AH262" s="4798"/>
    </row>
    <row r="263" spans="1:34" s="766" customFormat="1">
      <c r="A263" s="4586" t="str">
        <f>A$25</f>
        <v>Adj. EBITDA</v>
      </c>
      <c r="B263" s="4589"/>
      <c r="C263" s="4589"/>
      <c r="D263" s="4589"/>
      <c r="E263" s="4589"/>
      <c r="F263" s="4589"/>
      <c r="G263" s="4589"/>
      <c r="H263" s="4589"/>
      <c r="I263" s="4589"/>
      <c r="J263" s="4589"/>
      <c r="K263" s="4589"/>
      <c r="L263" s="4589"/>
      <c r="M263" s="4589"/>
      <c r="N263" s="4589"/>
      <c r="O263" s="4589"/>
      <c r="P263" s="4589"/>
      <c r="Q263" s="4589"/>
      <c r="R263" s="4589"/>
      <c r="S263" s="4589"/>
      <c r="T263" s="4589">
        <f t="shared" ref="T263:AB263" si="195">T254+T261+T262</f>
        <v>-1030.2818312702018</v>
      </c>
      <c r="U263" s="4589">
        <f t="shared" si="195"/>
        <v>9.0222016222483035</v>
      </c>
      <c r="V263" s="4589">
        <f t="shared" si="195"/>
        <v>899.3306170789624</v>
      </c>
      <c r="W263" s="4589">
        <f t="shared" si="195"/>
        <v>4766.6019999999999</v>
      </c>
      <c r="X263" s="4589">
        <f t="shared" si="195"/>
        <v>7775.32</v>
      </c>
      <c r="Y263" s="4589">
        <f t="shared" si="195"/>
        <v>11410.784</v>
      </c>
      <c r="Z263" s="4589">
        <f t="shared" si="195"/>
        <v>16400.502</v>
      </c>
      <c r="AA263" s="4589">
        <f t="shared" si="195"/>
        <v>26032.256238287104</v>
      </c>
      <c r="AB263" s="4589">
        <f t="shared" si="195"/>
        <v>44551.330570014921</v>
      </c>
      <c r="AC263" s="4589">
        <f>AC254+AC261+AC262</f>
        <v>58350.861139904475</v>
      </c>
      <c r="AD263" s="4589">
        <f>AD254+AD261+AD262</f>
        <v>72588.88013370469</v>
      </c>
      <c r="AE263" s="4589">
        <f>AE254+AE261+AE262</f>
        <v>87639.270511621216</v>
      </c>
      <c r="AF263" s="4589">
        <f>AF254+AF261+AF262</f>
        <v>106156.81891740266</v>
      </c>
      <c r="AH263" s="4797">
        <f>(AC263/Z263)^(1/3)-1</f>
        <v>0.52661681892010614</v>
      </c>
    </row>
    <row r="264" spans="1:34" s="766" customFormat="1">
      <c r="A264" s="4581"/>
      <c r="B264" s="4582"/>
      <c r="C264" s="4582"/>
      <c r="D264" s="4582"/>
      <c r="E264" s="4582"/>
      <c r="F264" s="4582"/>
      <c r="G264" s="4582"/>
      <c r="H264" s="4582"/>
      <c r="I264" s="4582"/>
      <c r="J264" s="4582"/>
      <c r="K264" s="4582"/>
      <c r="L264" s="4582"/>
      <c r="M264" s="4582"/>
      <c r="N264" s="4582"/>
      <c r="O264" s="4582"/>
      <c r="P264" s="4582"/>
      <c r="Q264" s="4582"/>
      <c r="R264" s="4582"/>
      <c r="S264" s="4582"/>
      <c r="T264" s="4582"/>
      <c r="U264" s="4594"/>
      <c r="V264" s="4594"/>
      <c r="W264" s="4594"/>
      <c r="X264" s="4594"/>
      <c r="Y264" s="4594"/>
      <c r="Z264" s="4594"/>
      <c r="AA264" s="4594"/>
      <c r="AB264" s="4594"/>
      <c r="AC264" s="4594"/>
      <c r="AD264" s="4594"/>
      <c r="AE264" s="4594"/>
      <c r="AF264" s="4594"/>
      <c r="AH264" s="4798"/>
    </row>
    <row r="265" spans="1:34" s="766" customFormat="1">
      <c r="A265" s="4596" t="s">
        <v>892</v>
      </c>
      <c r="B265" s="4592"/>
      <c r="C265" s="4592"/>
      <c r="D265" s="4592"/>
      <c r="E265" s="4592"/>
      <c r="F265" s="4592"/>
      <c r="G265" s="4592"/>
      <c r="H265" s="4592"/>
      <c r="I265" s="4592"/>
      <c r="J265" s="4592"/>
      <c r="K265" s="4592"/>
      <c r="L265" s="4592"/>
      <c r="M265" s="4592"/>
      <c r="N265" s="4592"/>
      <c r="O265" s="4592"/>
      <c r="P265" s="4592"/>
      <c r="Q265" s="4592"/>
      <c r="R265" s="4592"/>
      <c r="S265" s="4592"/>
      <c r="T265" s="4592"/>
      <c r="U265" s="4592"/>
      <c r="V265" s="4592"/>
      <c r="W265" s="4592"/>
      <c r="X265" s="4592"/>
      <c r="Y265" s="4592"/>
      <c r="Z265" s="4592"/>
      <c r="AA265" s="4592"/>
      <c r="AB265" s="4592"/>
      <c r="AC265" s="4592"/>
      <c r="AD265" s="4592"/>
      <c r="AE265" s="4592"/>
      <c r="AF265" s="4592"/>
      <c r="AH265" s="4798"/>
    </row>
    <row r="266" spans="1:34" s="766" customFormat="1">
      <c r="A266" s="4595" t="str">
        <f>A248</f>
        <v>Gross Revenue</v>
      </c>
      <c r="B266" s="4247"/>
      <c r="C266" s="4247"/>
      <c r="D266" s="4247"/>
      <c r="E266" s="4247"/>
      <c r="F266" s="4247"/>
      <c r="G266" s="4247"/>
      <c r="H266" s="4247"/>
      <c r="I266" s="4247"/>
      <c r="J266" s="4247"/>
      <c r="K266" s="4247"/>
      <c r="L266" s="4247"/>
      <c r="M266" s="4247"/>
      <c r="N266" s="4247"/>
      <c r="O266" s="4247"/>
      <c r="P266" s="4247"/>
      <c r="Q266" s="4247"/>
      <c r="R266" s="4247"/>
      <c r="S266" s="4247"/>
      <c r="T266" s="4247"/>
      <c r="U266" s="4247">
        <f t="shared" ref="U266:AF266" si="196">IF(U248*T248&lt;=0,"NA",(U248-T248)/ABS(T248))</f>
        <v>0.52757793764988015</v>
      </c>
      <c r="V266" s="4247">
        <f t="shared" si="196"/>
        <v>0.46434178066831128</v>
      </c>
      <c r="W266" s="4247">
        <f t="shared" si="196"/>
        <v>0.47070985527222603</v>
      </c>
      <c r="X266" s="4247">
        <f t="shared" si="196"/>
        <v>0.3683223992502343</v>
      </c>
      <c r="Y266" s="4247">
        <f t="shared" si="196"/>
        <v>0.25905631659056316</v>
      </c>
      <c r="Z266" s="4247">
        <f t="shared" si="196"/>
        <v>0.30648573500967119</v>
      </c>
      <c r="AA266" s="4247">
        <f t="shared" si="196"/>
        <v>0.33159439666893709</v>
      </c>
      <c r="AB266" s="4247">
        <f t="shared" si="196"/>
        <v>0.43786186244056036</v>
      </c>
      <c r="AC266" s="4247">
        <f t="shared" si="196"/>
        <v>0.30000000000000004</v>
      </c>
      <c r="AD266" s="4247">
        <f t="shared" si="196"/>
        <v>0.24999999999999997</v>
      </c>
      <c r="AE266" s="4247">
        <f t="shared" si="196"/>
        <v>0.19999999999999987</v>
      </c>
      <c r="AF266" s="4247">
        <f t="shared" si="196"/>
        <v>0.17999999999999997</v>
      </c>
      <c r="AH266" s="4799"/>
    </row>
    <row r="267" spans="1:34" s="766" customFormat="1">
      <c r="A267" s="4595" t="str">
        <f>A250</f>
        <v>Net Revenue</v>
      </c>
      <c r="B267" s="4247"/>
      <c r="C267" s="4247"/>
      <c r="D267" s="4247"/>
      <c r="E267" s="4247"/>
      <c r="F267" s="4247"/>
      <c r="G267" s="4247"/>
      <c r="H267" s="4247"/>
      <c r="I267" s="4247"/>
      <c r="J267" s="4247"/>
      <c r="K267" s="4247"/>
      <c r="L267" s="4247"/>
      <c r="M267" s="4247"/>
      <c r="N267" s="4247"/>
      <c r="O267" s="4247"/>
      <c r="P267" s="4247"/>
      <c r="Q267" s="4247"/>
      <c r="R267" s="4247"/>
      <c r="S267" s="4247"/>
      <c r="T267" s="4247"/>
      <c r="U267" s="4247">
        <f t="shared" ref="U267:AF271" si="197">IF(U250*T250&lt;=0,"NA",(U250-T250)/ABS(T250))</f>
        <v>0.52757793764988015</v>
      </c>
      <c r="V267" s="4247">
        <f t="shared" si="197"/>
        <v>0.46434178066831128</v>
      </c>
      <c r="W267" s="4247">
        <f t="shared" si="197"/>
        <v>0.47070985527222603</v>
      </c>
      <c r="X267" s="4247">
        <f t="shared" si="197"/>
        <v>0.3683223992502343</v>
      </c>
      <c r="Y267" s="4247">
        <f t="shared" si="197"/>
        <v>0.25905631659056316</v>
      </c>
      <c r="Z267" s="4247">
        <f t="shared" si="197"/>
        <v>0.30648573500967119</v>
      </c>
      <c r="AA267" s="4247">
        <f t="shared" si="197"/>
        <v>0.33159439666893709</v>
      </c>
      <c r="AB267" s="4247">
        <f t="shared" si="197"/>
        <v>0.43786186244056036</v>
      </c>
      <c r="AC267" s="4247">
        <f t="shared" si="197"/>
        <v>0.30000000000000004</v>
      </c>
      <c r="AD267" s="4247">
        <f t="shared" si="197"/>
        <v>0.24999999999999997</v>
      </c>
      <c r="AE267" s="4247">
        <f t="shared" si="197"/>
        <v>0.19999999999999987</v>
      </c>
      <c r="AF267" s="4247">
        <f t="shared" si="197"/>
        <v>0.17999999999999997</v>
      </c>
      <c r="AH267" s="4799"/>
    </row>
    <row r="268" spans="1:34" s="766" customFormat="1">
      <c r="A268" s="4603" t="str">
        <f>A251</f>
        <v>Other Cost Of Revenues</v>
      </c>
      <c r="B268" s="4247"/>
      <c r="C268" s="4247"/>
      <c r="D268" s="4247"/>
      <c r="E268" s="4247"/>
      <c r="F268" s="4247"/>
      <c r="G268" s="4247"/>
      <c r="H268" s="4247"/>
      <c r="I268" s="4247"/>
      <c r="J268" s="4247"/>
      <c r="K268" s="4247"/>
      <c r="L268" s="4247"/>
      <c r="M268" s="4247"/>
      <c r="N268" s="4247"/>
      <c r="O268" s="4247"/>
      <c r="P268" s="4247"/>
      <c r="Q268" s="4247"/>
      <c r="R268" s="4247"/>
      <c r="S268" s="4247"/>
      <c r="T268" s="4247"/>
      <c r="U268" s="4247">
        <f t="shared" si="197"/>
        <v>0.4893884892086332</v>
      </c>
      <c r="V268" s="4247">
        <f t="shared" si="197"/>
        <v>0.38924733037762865</v>
      </c>
      <c r="W268" s="4247">
        <f t="shared" si="197"/>
        <v>-3.4101365321213689E-2</v>
      </c>
      <c r="X268" s="4247">
        <f t="shared" si="197"/>
        <v>0.35142953012368816</v>
      </c>
      <c r="Y268" s="4247">
        <f t="shared" si="197"/>
        <v>-0.12390664637239979</v>
      </c>
      <c r="Z268" s="4247">
        <f t="shared" si="197"/>
        <v>0.11090403815193584</v>
      </c>
      <c r="AA268" s="4247">
        <f t="shared" si="197"/>
        <v>0.50038805258471819</v>
      </c>
      <c r="AB268" s="4247">
        <f t="shared" si="197"/>
        <v>1.1612861119809672</v>
      </c>
      <c r="AC268" s="4247">
        <f t="shared" si="197"/>
        <v>0.45405405405405413</v>
      </c>
      <c r="AD268" s="4247">
        <f t="shared" si="197"/>
        <v>0.1617100371747211</v>
      </c>
      <c r="AE268" s="4247">
        <f t="shared" si="197"/>
        <v>0.10639999999999987</v>
      </c>
      <c r="AF268" s="4247">
        <f t="shared" si="197"/>
        <v>0.10065075921908885</v>
      </c>
      <c r="AH268" s="4799"/>
    </row>
    <row r="269" spans="1:34" s="766" customFormat="1">
      <c r="A269" s="4595" t="str">
        <f>A252</f>
        <v>Gross Profit</v>
      </c>
      <c r="B269" s="4247"/>
      <c r="C269" s="4247"/>
      <c r="D269" s="4247"/>
      <c r="E269" s="4247"/>
      <c r="F269" s="4247"/>
      <c r="G269" s="4247"/>
      <c r="H269" s="4247"/>
      <c r="I269" s="4247"/>
      <c r="J269" s="4247"/>
      <c r="K269" s="4247"/>
      <c r="L269" s="4247"/>
      <c r="M269" s="4247"/>
      <c r="N269" s="4247"/>
      <c r="O269" s="4247"/>
      <c r="P269" s="4247"/>
      <c r="Q269" s="4247"/>
      <c r="R269" s="4247"/>
      <c r="S269" s="4247"/>
      <c r="T269" s="4247"/>
      <c r="U269" s="4247">
        <f t="shared" si="197"/>
        <v>0.55303756994404452</v>
      </c>
      <c r="V269" s="4247">
        <f t="shared" si="197"/>
        <v>0.51235298659186257</v>
      </c>
      <c r="W269" s="4247">
        <f t="shared" si="197"/>
        <v>0.76718628641440478</v>
      </c>
      <c r="X269" s="4247">
        <f t="shared" si="197"/>
        <v>0.3737450771864968</v>
      </c>
      <c r="Y269" s="4247">
        <f t="shared" si="197"/>
        <v>0.37999198910518311</v>
      </c>
      <c r="Z269" s="4247">
        <f t="shared" si="197"/>
        <v>0.34569599116242256</v>
      </c>
      <c r="AA269" s="4247">
        <f t="shared" si="197"/>
        <v>0.30365884988567254</v>
      </c>
      <c r="AB269" s="4247">
        <f t="shared" si="197"/>
        <v>0.30006676729000659</v>
      </c>
      <c r="AC269" s="4247">
        <f t="shared" si="197"/>
        <v>0.2512179065174458</v>
      </c>
      <c r="AD269" s="4247">
        <f t="shared" si="197"/>
        <v>0.28248974008207939</v>
      </c>
      <c r="AE269" s="4247">
        <f t="shared" si="197"/>
        <v>0.23119999999999979</v>
      </c>
      <c r="AF269" s="4247">
        <f t="shared" si="197"/>
        <v>0.20376868096166334</v>
      </c>
      <c r="AH269" s="4799"/>
    </row>
    <row r="270" spans="1:34" s="766" customFormat="1">
      <c r="A270" s="4603" t="str">
        <f>A253</f>
        <v>GAAP Expenses</v>
      </c>
      <c r="B270" s="4247"/>
      <c r="C270" s="4247"/>
      <c r="D270" s="4247"/>
      <c r="E270" s="4247"/>
      <c r="F270" s="4247"/>
      <c r="G270" s="4247"/>
      <c r="H270" s="4247"/>
      <c r="I270" s="4247"/>
      <c r="J270" s="4247"/>
      <c r="K270" s="4247"/>
      <c r="L270" s="4247"/>
      <c r="M270" s="4247"/>
      <c r="N270" s="4247"/>
      <c r="O270" s="4247"/>
      <c r="P270" s="4247"/>
      <c r="Q270" s="4247"/>
      <c r="R270" s="4247"/>
      <c r="S270" s="4247"/>
      <c r="T270" s="4247"/>
      <c r="U270" s="4247">
        <f t="shared" si="197"/>
        <v>0.284579915422632</v>
      </c>
      <c r="V270" s="4247">
        <f t="shared" si="197"/>
        <v>0.3717597853441455</v>
      </c>
      <c r="W270" s="4247">
        <f t="shared" si="197"/>
        <v>0.21589817097809258</v>
      </c>
      <c r="X270" s="4247">
        <f t="shared" si="197"/>
        <v>0.30163934933013864</v>
      </c>
      <c r="Y270" s="4247">
        <f t="shared" si="197"/>
        <v>0.18047682554761865</v>
      </c>
      <c r="Z270" s="4247">
        <f t="shared" si="197"/>
        <v>0.19856525714469672</v>
      </c>
      <c r="AA270" s="4247">
        <f t="shared" si="197"/>
        <v>0.1553482996410504</v>
      </c>
      <c r="AB270" s="4247">
        <f t="shared" si="197"/>
        <v>0.19844403365104069</v>
      </c>
      <c r="AC270" s="4247">
        <f t="shared" si="197"/>
        <v>0.25676642905634395</v>
      </c>
      <c r="AD270" s="4247">
        <f t="shared" si="197"/>
        <v>0.23253493013972049</v>
      </c>
      <c r="AE270" s="4247">
        <f t="shared" si="197"/>
        <v>0.17692307692307685</v>
      </c>
      <c r="AF270" s="4247">
        <f t="shared" si="197"/>
        <v>0.13250773993808043</v>
      </c>
      <c r="AH270" s="4799"/>
    </row>
    <row r="271" spans="1:34" s="766" customFormat="1">
      <c r="A271" s="4595" t="str">
        <f>A254</f>
        <v>GAAP Operating Income</v>
      </c>
      <c r="B271" s="4247"/>
      <c r="C271" s="4247"/>
      <c r="D271" s="4247"/>
      <c r="E271" s="4247"/>
      <c r="F271" s="4247"/>
      <c r="G271" s="4247"/>
      <c r="H271" s="4247"/>
      <c r="I271" s="4247"/>
      <c r="J271" s="4247"/>
      <c r="K271" s="4247"/>
      <c r="L271" s="4247"/>
      <c r="M271" s="4247"/>
      <c r="N271" s="4247"/>
      <c r="O271" s="4247"/>
      <c r="P271" s="4247"/>
      <c r="Q271" s="4247"/>
      <c r="R271" s="4247"/>
      <c r="S271" s="4247"/>
      <c r="T271" s="4247"/>
      <c r="U271" s="4247">
        <f t="shared" si="197"/>
        <v>-6.830726770929163E-2</v>
      </c>
      <c r="V271" s="4247">
        <f t="shared" si="197"/>
        <v>-0.20710441334768567</v>
      </c>
      <c r="W271" s="4247">
        <f t="shared" si="197"/>
        <v>0.59300873907615481</v>
      </c>
      <c r="X271" s="4247">
        <f t="shared" si="197"/>
        <v>0.15775635407537247</v>
      </c>
      <c r="Y271" s="4247" t="str">
        <f t="shared" si="197"/>
        <v>NA</v>
      </c>
      <c r="Z271" s="4247">
        <f t="shared" si="197"/>
        <v>2.561771561771562</v>
      </c>
      <c r="AA271" s="4247">
        <f t="shared" si="197"/>
        <v>1.0553662633613148</v>
      </c>
      <c r="AB271" s="4247">
        <f t="shared" si="197"/>
        <v>0.58959529781837261</v>
      </c>
      <c r="AC271" s="4247">
        <f t="shared" si="197"/>
        <v>0.23929975134128595</v>
      </c>
      <c r="AD271" s="4247">
        <f t="shared" si="197"/>
        <v>0.39130434782608708</v>
      </c>
      <c r="AE271" s="4247">
        <f t="shared" si="197"/>
        <v>0.33593749999999972</v>
      </c>
      <c r="AF271" s="4247">
        <f t="shared" si="197"/>
        <v>0.32491228070175443</v>
      </c>
      <c r="AH271" s="4799"/>
    </row>
    <row r="272" spans="1:34" s="766" customFormat="1">
      <c r="A272" s="4595" t="str">
        <f>A259</f>
        <v>GAAP EPS</v>
      </c>
      <c r="B272" s="4247"/>
      <c r="C272" s="4247"/>
      <c r="D272" s="4247"/>
      <c r="E272" s="4247"/>
      <c r="F272" s="4247"/>
      <c r="G272" s="4247"/>
      <c r="H272" s="4247"/>
      <c r="I272" s="4247"/>
      <c r="J272" s="4247"/>
      <c r="K272" s="4247"/>
      <c r="L272" s="4247"/>
      <c r="M272" s="4247"/>
      <c r="N272" s="4247"/>
      <c r="O272" s="4247"/>
      <c r="P272" s="4247"/>
      <c r="Q272" s="4247"/>
      <c r="R272" s="4247"/>
      <c r="S272" s="4247"/>
      <c r="T272" s="4247"/>
      <c r="U272" s="4247">
        <f t="shared" ref="U272:AF272" si="198">IF(U259*T259&lt;=0,"NA",(U259-T259)/ABS(T259))</f>
        <v>-7.5538213006553195E-2</v>
      </c>
      <c r="V272" s="4247">
        <f t="shared" si="198"/>
        <v>-0.22736037099332954</v>
      </c>
      <c r="W272" s="4247">
        <f t="shared" si="198"/>
        <v>0.58739099712483722</v>
      </c>
      <c r="X272" s="4247">
        <f t="shared" si="198"/>
        <v>0.13247529267585567</v>
      </c>
      <c r="Y272" s="4247" t="str">
        <f t="shared" si="198"/>
        <v>NA</v>
      </c>
      <c r="Z272" s="4247">
        <f t="shared" si="198"/>
        <v>2.6401764630891544</v>
      </c>
      <c r="AA272" s="4247">
        <f t="shared" si="198"/>
        <v>1.0927122530653994</v>
      </c>
      <c r="AB272" s="4247">
        <f t="shared" si="198"/>
        <v>0.5910530869663787</v>
      </c>
      <c r="AC272" s="4247">
        <f t="shared" ca="1" si="198"/>
        <v>0.24922627177374104</v>
      </c>
      <c r="AD272" s="4247">
        <f t="shared" ca="1" si="198"/>
        <v>0.4036166092422323</v>
      </c>
      <c r="AE272" s="4247">
        <f t="shared" ca="1" si="198"/>
        <v>0.34933125403850379</v>
      </c>
      <c r="AF272" s="4247">
        <f t="shared" ca="1" si="198"/>
        <v>0.33974837588329504</v>
      </c>
      <c r="AH272" s="4799"/>
    </row>
    <row r="273" spans="1:34" s="766" customFormat="1">
      <c r="A273" s="4603" t="str">
        <f>A261</f>
        <v>D&amp;A</v>
      </c>
      <c r="B273" s="4247"/>
      <c r="C273" s="4247"/>
      <c r="D273" s="4247"/>
      <c r="E273" s="4247"/>
      <c r="F273" s="4247"/>
      <c r="G273" s="4247"/>
      <c r="H273" s="4247"/>
      <c r="I273" s="4247"/>
      <c r="J273" s="4247"/>
      <c r="K273" s="4247"/>
      <c r="L273" s="4247"/>
      <c r="M273" s="4247"/>
      <c r="N273" s="4247"/>
      <c r="O273" s="4247"/>
      <c r="P273" s="4247"/>
      <c r="Q273" s="4247"/>
      <c r="R273" s="4247"/>
      <c r="S273" s="4247"/>
      <c r="T273" s="4247"/>
      <c r="U273" s="4247">
        <f t="shared" ref="U273:AF274" si="199">IF(U261*T261&lt;=0,"NA",(U261-T261)/ABS(T261))</f>
        <v>0.4839328537170266</v>
      </c>
      <c r="V273" s="4247">
        <f t="shared" si="199"/>
        <v>0.37820402886429283</v>
      </c>
      <c r="W273" s="4247">
        <f t="shared" si="199"/>
        <v>-0.10378618194348725</v>
      </c>
      <c r="X273" s="4247">
        <f t="shared" si="199"/>
        <v>0.36130536130536123</v>
      </c>
      <c r="Y273" s="4247">
        <f t="shared" si="199"/>
        <v>-0.20173233535752949</v>
      </c>
      <c r="Z273" s="4247">
        <f t="shared" si="199"/>
        <v>8.342719488606859E-2</v>
      </c>
      <c r="AA273" s="4247">
        <f t="shared" si="199"/>
        <v>0.59269133719225819</v>
      </c>
      <c r="AB273" s="4247">
        <f t="shared" si="199"/>
        <v>1.386614976591914</v>
      </c>
      <c r="AC273" s="4247">
        <f t="shared" si="199"/>
        <v>0.48296296296296304</v>
      </c>
      <c r="AD273" s="4247">
        <f t="shared" si="199"/>
        <v>0.14718614718614703</v>
      </c>
      <c r="AE273" s="4247">
        <f t="shared" si="199"/>
        <v>8.9622641509433915E-2</v>
      </c>
      <c r="AF273" s="4247">
        <f t="shared" si="199"/>
        <v>8.4987012987012847E-2</v>
      </c>
      <c r="AH273" s="4799"/>
    </row>
    <row r="274" spans="1:34" s="766" customFormat="1">
      <c r="A274" s="4603" t="str">
        <f>A262</f>
        <v>SBC</v>
      </c>
      <c r="B274" s="4247"/>
      <c r="C274" s="4247"/>
      <c r="D274" s="4247"/>
      <c r="E274" s="4247"/>
      <c r="F274" s="4247"/>
      <c r="G274" s="4247"/>
      <c r="H274" s="4247"/>
      <c r="I274" s="4247"/>
      <c r="J274" s="4247"/>
      <c r="K274" s="4247"/>
      <c r="L274" s="4247"/>
      <c r="M274" s="4247"/>
      <c r="N274" s="4247"/>
      <c r="O274" s="4247"/>
      <c r="P274" s="4247"/>
      <c r="Q274" s="4247"/>
      <c r="R274" s="4247"/>
      <c r="S274" s="4247"/>
      <c r="T274" s="4247"/>
      <c r="U274" s="4247">
        <f t="shared" si="199"/>
        <v>0.27266092199453212</v>
      </c>
      <c r="V274" s="4247">
        <f t="shared" si="199"/>
        <v>0.43501292171070211</v>
      </c>
      <c r="W274" s="4247">
        <f t="shared" si="199"/>
        <v>0.41933494775752994</v>
      </c>
      <c r="X274" s="4247">
        <f t="shared" si="199"/>
        <v>0.39218848760925012</v>
      </c>
      <c r="Y274" s="4247">
        <f t="shared" si="199"/>
        <v>0.22308327897368993</v>
      </c>
      <c r="Z274" s="4247">
        <f t="shared" si="199"/>
        <v>4.5188588007736979E-2</v>
      </c>
      <c r="AA274" s="4247">
        <f t="shared" si="199"/>
        <v>9.6607150197948161E-2</v>
      </c>
      <c r="AB274" s="4247">
        <f t="shared" si="199"/>
        <v>0.21319594643422279</v>
      </c>
      <c r="AC274" s="4247">
        <f t="shared" si="199"/>
        <v>0.11841269841269843</v>
      </c>
      <c r="AD274" s="4247">
        <f t="shared" si="199"/>
        <v>0.10239852398523991</v>
      </c>
      <c r="AE274" s="4247">
        <f t="shared" si="199"/>
        <v>9.6234309623430853E-2</v>
      </c>
      <c r="AF274" s="4247">
        <f t="shared" si="199"/>
        <v>8.8122137404580039E-2</v>
      </c>
      <c r="AH274" s="4799"/>
    </row>
    <row r="275" spans="1:34" s="766" customFormat="1">
      <c r="A275" s="4595" t="str">
        <f>A263</f>
        <v>Adj. EBITDA</v>
      </c>
      <c r="B275" s="4247"/>
      <c r="C275" s="4247"/>
      <c r="D275" s="4247"/>
      <c r="E275" s="4247"/>
      <c r="F275" s="4247"/>
      <c r="G275" s="4247"/>
      <c r="H275" s="4247"/>
      <c r="I275" s="4247"/>
      <c r="J275" s="4247"/>
      <c r="K275" s="4247"/>
      <c r="L275" s="4247"/>
      <c r="M275" s="4247"/>
      <c r="N275" s="4247"/>
      <c r="O275" s="4247"/>
      <c r="P275" s="4247"/>
      <c r="Q275" s="4247"/>
      <c r="R275" s="4247"/>
      <c r="S275" s="4247"/>
      <c r="T275" s="4247"/>
      <c r="U275" s="4247" t="str">
        <f t="shared" ref="U275:AF275" si="200">IF(U263*T263&lt;=0,"NA",(U263-T263)/ABS(T263))</f>
        <v>NA</v>
      </c>
      <c r="V275" s="4247">
        <f t="shared" si="200"/>
        <v>98.679729486565407</v>
      </c>
      <c r="W275" s="4247">
        <f t="shared" si="200"/>
        <v>4.3001664899188974</v>
      </c>
      <c r="X275" s="4247">
        <f t="shared" si="200"/>
        <v>0.63120814366292799</v>
      </c>
      <c r="Y275" s="4247">
        <f t="shared" si="200"/>
        <v>0.46756455039792577</v>
      </c>
      <c r="Z275" s="4247">
        <f t="shared" si="200"/>
        <v>0.43728090900677824</v>
      </c>
      <c r="AA275" s="4247">
        <f t="shared" si="200"/>
        <v>0.58728411107703304</v>
      </c>
      <c r="AB275" s="4247">
        <f t="shared" si="200"/>
        <v>0.71138952237611941</v>
      </c>
      <c r="AC275" s="4247">
        <f t="shared" si="200"/>
        <v>0.30974452150655335</v>
      </c>
      <c r="AD275" s="4247">
        <f t="shared" si="200"/>
        <v>0.24400700719159127</v>
      </c>
      <c r="AE275" s="4247">
        <f t="shared" si="200"/>
        <v>0.2073374096720399</v>
      </c>
      <c r="AF275" s="4247">
        <f t="shared" si="200"/>
        <v>0.21129281767955801</v>
      </c>
      <c r="AH275" s="4799"/>
    </row>
    <row r="276" spans="1:34" s="766" customFormat="1">
      <c r="A276" s="4593" t="s">
        <v>943</v>
      </c>
      <c r="B276" s="4592"/>
      <c r="C276" s="4592"/>
      <c r="D276" s="4592"/>
      <c r="E276" s="4592"/>
      <c r="F276" s="4592"/>
      <c r="G276" s="4592"/>
      <c r="H276" s="4592"/>
      <c r="I276" s="4592"/>
      <c r="J276" s="4592"/>
      <c r="K276" s="4592"/>
      <c r="L276" s="4592"/>
      <c r="M276" s="4592"/>
      <c r="N276" s="4592"/>
      <c r="O276" s="4592"/>
      <c r="P276" s="4592"/>
      <c r="Q276" s="4592"/>
      <c r="R276" s="4592"/>
      <c r="S276" s="4592"/>
      <c r="T276" s="4809"/>
      <c r="U276" s="4809"/>
      <c r="V276" s="4809"/>
      <c r="W276" s="4809"/>
      <c r="X276" s="4809"/>
      <c r="Y276" s="4809"/>
      <c r="Z276" s="4809"/>
      <c r="AA276" s="4809"/>
      <c r="AB276" s="4809"/>
      <c r="AC276" s="4809"/>
      <c r="AD276" s="4809"/>
      <c r="AE276" s="4809"/>
      <c r="AF276" s="4809"/>
      <c r="AH276" s="4798"/>
    </row>
    <row r="277" spans="1:34" s="766" customFormat="1">
      <c r="A277" s="4581" t="str">
        <f>A251</f>
        <v>Other Cost Of Revenues</v>
      </c>
      <c r="B277" s="4598"/>
      <c r="C277" s="4598"/>
      <c r="D277" s="4598"/>
      <c r="E277" s="4598"/>
      <c r="F277" s="4598"/>
      <c r="G277" s="4598"/>
      <c r="H277" s="4598"/>
      <c r="I277" s="4598"/>
      <c r="J277" s="4598"/>
      <c r="K277" s="4598"/>
      <c r="L277" s="4598"/>
      <c r="M277" s="4598"/>
      <c r="N277" s="4598"/>
      <c r="O277" s="4598"/>
      <c r="P277" s="4598"/>
      <c r="Q277" s="4598"/>
      <c r="R277" s="4598"/>
      <c r="S277" s="4598"/>
      <c r="T277" s="4598">
        <f>T278+5%</f>
        <v>0.39999999999999997</v>
      </c>
      <c r="U277" s="4598">
        <f>U278+5%</f>
        <v>0.39</v>
      </c>
      <c r="V277" s="4598">
        <f>V278+5%</f>
        <v>0.37</v>
      </c>
      <c r="W277" s="4598">
        <f>W278+4.8%</f>
        <v>0.24299999999999999</v>
      </c>
      <c r="X277" s="4598">
        <f>X278+4.6%</f>
        <v>0.24</v>
      </c>
      <c r="Y277" s="4598">
        <f>Y278+4.4%</f>
        <v>0.16700000000000001</v>
      </c>
      <c r="Z277" s="4598">
        <f>Z278+4%</f>
        <v>0.14199999999999999</v>
      </c>
      <c r="AA277" s="4598">
        <f t="shared" ref="AA277:AF277" si="201">AA278+3.8%</f>
        <v>0.16</v>
      </c>
      <c r="AB277" s="4598">
        <f t="shared" si="201"/>
        <v>0.24050000000000002</v>
      </c>
      <c r="AC277" s="4598">
        <f t="shared" si="201"/>
        <v>0.26900000000000002</v>
      </c>
      <c r="AD277" s="4598">
        <f t="shared" si="201"/>
        <v>0.25</v>
      </c>
      <c r="AE277" s="4598">
        <f t="shared" si="201"/>
        <v>0.23050000000000001</v>
      </c>
      <c r="AF277" s="4598">
        <f t="shared" si="201"/>
        <v>0.215</v>
      </c>
      <c r="AH277" s="4805"/>
    </row>
    <row r="278" spans="1:34" s="766" customFormat="1">
      <c r="A278" s="4581" t="str">
        <f>A261</f>
        <v>D&amp;A</v>
      </c>
      <c r="B278" s="4598"/>
      <c r="C278" s="4598"/>
      <c r="D278" s="4598"/>
      <c r="E278" s="4598"/>
      <c r="F278" s="4598"/>
      <c r="G278" s="4598"/>
      <c r="H278" s="4598"/>
      <c r="I278" s="4598"/>
      <c r="J278" s="4598"/>
      <c r="K278" s="4598"/>
      <c r="L278" s="4598"/>
      <c r="M278" s="4598"/>
      <c r="N278" s="4598"/>
      <c r="O278" s="4598"/>
      <c r="P278" s="4598"/>
      <c r="Q278" s="4598"/>
      <c r="R278" s="4598"/>
      <c r="S278" s="4598"/>
      <c r="T278" s="4594">
        <f>T261/T$248</f>
        <v>0.35</v>
      </c>
      <c r="U278" s="4594">
        <f t="shared" ref="U278:AB278" si="202">U261/U$248</f>
        <v>0.34</v>
      </c>
      <c r="V278" s="4594">
        <f t="shared" si="202"/>
        <v>0.32</v>
      </c>
      <c r="W278" s="4594">
        <f t="shared" si="202"/>
        <v>0.19500000000000001</v>
      </c>
      <c r="X278" s="4594">
        <f t="shared" si="202"/>
        <v>0.19399999999999998</v>
      </c>
      <c r="Y278" s="4594">
        <f t="shared" si="202"/>
        <v>0.123</v>
      </c>
      <c r="Z278" s="4594">
        <f t="shared" si="202"/>
        <v>0.10199999999999998</v>
      </c>
      <c r="AA278" s="4594">
        <f t="shared" si="202"/>
        <v>0.122</v>
      </c>
      <c r="AB278" s="4594">
        <f t="shared" si="202"/>
        <v>0.20250000000000001</v>
      </c>
      <c r="AC278" s="4594">
        <f t="shared" ref="AC278:AE279" si="203">AC261/AC$248</f>
        <v>0.23100000000000001</v>
      </c>
      <c r="AD278" s="4594">
        <f t="shared" si="203"/>
        <v>0.21199999999999999</v>
      </c>
      <c r="AE278" s="4594">
        <f t="shared" si="203"/>
        <v>0.1925</v>
      </c>
      <c r="AF278" s="4594">
        <f t="shared" ref="AF278" si="204">AF261/AF$248</f>
        <v>0.17699999999999999</v>
      </c>
      <c r="AH278" s="4805"/>
    </row>
    <row r="279" spans="1:34" s="766" customFormat="1">
      <c r="A279" s="4581" t="str">
        <f>A262</f>
        <v>SBC</v>
      </c>
      <c r="B279" s="4594"/>
      <c r="C279" s="4594"/>
      <c r="D279" s="4594"/>
      <c r="E279" s="4594"/>
      <c r="F279" s="4594"/>
      <c r="G279" s="4594"/>
      <c r="H279" s="4594"/>
      <c r="I279" s="4594"/>
      <c r="J279" s="4594"/>
      <c r="K279" s="4594"/>
      <c r="L279" s="4594"/>
      <c r="M279" s="4594"/>
      <c r="N279" s="4594"/>
      <c r="O279" s="4594"/>
      <c r="P279" s="4594"/>
      <c r="Q279" s="4594"/>
      <c r="R279" s="4594"/>
      <c r="S279" s="4594"/>
      <c r="T279" s="4594">
        <f>T262/T$248</f>
        <v>0.21829704842922198</v>
      </c>
      <c r="U279" s="4594">
        <f t="shared" ref="U279:AB279" si="205">U262/U$248</f>
        <v>0.18186837874212244</v>
      </c>
      <c r="V279" s="4594">
        <f t="shared" si="205"/>
        <v>0.17822579195029958</v>
      </c>
      <c r="W279" s="4594">
        <f t="shared" si="205"/>
        <v>0.17199999999999999</v>
      </c>
      <c r="X279" s="4594">
        <f t="shared" si="205"/>
        <v>0.17499999999999999</v>
      </c>
      <c r="Y279" s="4594">
        <f t="shared" si="205"/>
        <v>0.17</v>
      </c>
      <c r="Z279" s="4594">
        <f t="shared" si="205"/>
        <v>0.13600000000000001</v>
      </c>
      <c r="AA279" s="4594">
        <f t="shared" si="205"/>
        <v>0.112</v>
      </c>
      <c r="AB279" s="4594">
        <f t="shared" si="205"/>
        <v>9.4500000000000001E-2</v>
      </c>
      <c r="AC279" s="4594">
        <f t="shared" si="203"/>
        <v>8.1299999999999997E-2</v>
      </c>
      <c r="AD279" s="4594">
        <f t="shared" si="203"/>
        <v>7.17E-2</v>
      </c>
      <c r="AE279" s="4594">
        <f t="shared" si="203"/>
        <v>6.5500000000000003E-2</v>
      </c>
      <c r="AF279" s="4594">
        <f t="shared" ref="AF279" si="206">AF262/AF$248</f>
        <v>6.0400000000000002E-2</v>
      </c>
      <c r="AH279" s="4797"/>
    </row>
    <row r="280" spans="1:34" s="767" customFormat="1">
      <c r="A280" s="4581" t="str">
        <f>A253</f>
        <v>GAAP Expenses</v>
      </c>
      <c r="B280" s="4598"/>
      <c r="C280" s="4598"/>
      <c r="D280" s="4598"/>
      <c r="E280" s="4598"/>
      <c r="F280" s="4598"/>
      <c r="G280" s="4598"/>
      <c r="H280" s="4598"/>
      <c r="I280" s="4598"/>
      <c r="J280" s="4598"/>
      <c r="K280" s="4598"/>
      <c r="L280" s="4598"/>
      <c r="M280" s="4598"/>
      <c r="N280" s="4598"/>
      <c r="O280" s="4598"/>
      <c r="P280" s="4598"/>
      <c r="Q280" s="4598"/>
      <c r="R280" s="4598"/>
      <c r="S280" s="4598"/>
      <c r="T280" s="4594">
        <f t="shared" ref="T280:AB280" si="207">T253/T248</f>
        <v>1.3447756080849607</v>
      </c>
      <c r="U280" s="4594">
        <f t="shared" si="207"/>
        <v>1.130856694326082</v>
      </c>
      <c r="V280" s="4594">
        <f t="shared" si="207"/>
        <v>1.0593590627153686</v>
      </c>
      <c r="W280" s="4594">
        <f t="shared" si="207"/>
        <v>0.8758170363428095</v>
      </c>
      <c r="X280" s="4594">
        <f t="shared" si="207"/>
        <v>0.83313546423135465</v>
      </c>
      <c r="Y280" s="4594">
        <f t="shared" si="207"/>
        <v>0.78113829787234046</v>
      </c>
      <c r="Z280" s="4594">
        <f t="shared" si="207"/>
        <v>0.71661343079876938</v>
      </c>
      <c r="AA280" s="4594">
        <f t="shared" si="207"/>
        <v>0.62176448837906984</v>
      </c>
      <c r="AB280" s="4594">
        <f t="shared" si="207"/>
        <v>0.51823472121946745</v>
      </c>
      <c r="AC280" s="4594">
        <f>AC253/AC248</f>
        <v>0.501</v>
      </c>
      <c r="AD280" s="4594">
        <f>AD253/AD248</f>
        <v>0.49399999999999999</v>
      </c>
      <c r="AE280" s="4594">
        <f>AE253/AE248</f>
        <v>0.48449999999999999</v>
      </c>
      <c r="AF280" s="4594">
        <f>AF253/AF248</f>
        <v>0.46499999999999997</v>
      </c>
      <c r="AH280" s="4805"/>
    </row>
    <row r="281" spans="1:34" s="766" customFormat="1">
      <c r="A281" s="4593" t="s">
        <v>891</v>
      </c>
      <c r="B281" s="4592"/>
      <c r="C281" s="4592"/>
      <c r="D281" s="4592"/>
      <c r="E281" s="4592"/>
      <c r="F281" s="4592"/>
      <c r="G281" s="4592"/>
      <c r="H281" s="4592"/>
      <c r="I281" s="4592"/>
      <c r="J281" s="4592"/>
      <c r="K281" s="4592"/>
      <c r="L281" s="4592"/>
      <c r="M281" s="4592"/>
      <c r="N281" s="4592"/>
      <c r="O281" s="4592"/>
      <c r="P281" s="4592"/>
      <c r="Q281" s="4592"/>
      <c r="R281" s="4592"/>
      <c r="S281" s="4592"/>
      <c r="T281" s="4592"/>
      <c r="U281" s="4592"/>
      <c r="V281" s="4592"/>
      <c r="W281" s="4592"/>
      <c r="X281" s="4592"/>
      <c r="Y281" s="4592"/>
      <c r="Z281" s="4592"/>
      <c r="AA281" s="4592"/>
      <c r="AB281" s="4592"/>
      <c r="AC281" s="4592"/>
      <c r="AD281" s="4592"/>
      <c r="AE281" s="4592"/>
      <c r="AF281" s="4592"/>
      <c r="AH281" s="4798"/>
    </row>
    <row r="282" spans="1:34" s="766" customFormat="1">
      <c r="A282" s="4581" t="str">
        <f>A250</f>
        <v>Net Revenue</v>
      </c>
      <c r="B282" s="4598"/>
      <c r="C282" s="4598"/>
      <c r="D282" s="4598"/>
      <c r="E282" s="4598"/>
      <c r="F282" s="4598"/>
      <c r="G282" s="4598"/>
      <c r="H282" s="4598"/>
      <c r="I282" s="4598"/>
      <c r="J282" s="4598"/>
      <c r="K282" s="4598"/>
      <c r="L282" s="4598"/>
      <c r="M282" s="4598"/>
      <c r="N282" s="4598"/>
      <c r="O282" s="4598"/>
      <c r="P282" s="4598"/>
      <c r="Q282" s="4598"/>
      <c r="R282" s="4598"/>
      <c r="S282" s="4598"/>
      <c r="T282" s="4598">
        <v>1</v>
      </c>
      <c r="U282" s="4598">
        <v>1</v>
      </c>
      <c r="V282" s="4598">
        <v>1</v>
      </c>
      <c r="W282" s="4598">
        <v>1</v>
      </c>
      <c r="X282" s="4598">
        <v>1</v>
      </c>
      <c r="Y282" s="4598">
        <v>1</v>
      </c>
      <c r="Z282" s="4598">
        <v>1</v>
      </c>
      <c r="AA282" s="4598">
        <v>1</v>
      </c>
      <c r="AB282" s="4598">
        <v>1</v>
      </c>
      <c r="AC282" s="4598">
        <v>1</v>
      </c>
      <c r="AD282" s="4598">
        <v>1</v>
      </c>
      <c r="AE282" s="4598">
        <v>1</v>
      </c>
      <c r="AF282" s="4598">
        <v>1</v>
      </c>
      <c r="AH282" s="4805"/>
    </row>
    <row r="283" spans="1:34" s="766" customFormat="1">
      <c r="A283" s="4581" t="str">
        <f>A252</f>
        <v>Gross Profit</v>
      </c>
      <c r="B283" s="4598"/>
      <c r="C283" s="4598"/>
      <c r="D283" s="4598"/>
      <c r="E283" s="4598"/>
      <c r="F283" s="4598"/>
      <c r="G283" s="4598"/>
      <c r="H283" s="4598"/>
      <c r="I283" s="4598"/>
      <c r="J283" s="4598"/>
      <c r="K283" s="4598"/>
      <c r="L283" s="4598"/>
      <c r="M283" s="4598"/>
      <c r="N283" s="4598"/>
      <c r="O283" s="4598"/>
      <c r="P283" s="4598"/>
      <c r="Q283" s="4598"/>
      <c r="R283" s="4598"/>
      <c r="S283" s="4598"/>
      <c r="T283" s="4594">
        <f t="shared" ref="T283:AB283" si="208">T252/T248</f>
        <v>0.6</v>
      </c>
      <c r="U283" s="4594">
        <f t="shared" si="208"/>
        <v>0.61</v>
      </c>
      <c r="V283" s="4594">
        <f t="shared" si="208"/>
        <v>0.63</v>
      </c>
      <c r="W283" s="4594">
        <f t="shared" si="208"/>
        <v>0.75700000000000001</v>
      </c>
      <c r="X283" s="4594">
        <f t="shared" si="208"/>
        <v>0.76</v>
      </c>
      <c r="Y283" s="4594">
        <f t="shared" si="208"/>
        <v>0.83299999999999996</v>
      </c>
      <c r="Z283" s="4594">
        <f t="shared" si="208"/>
        <v>0.8580000000000001</v>
      </c>
      <c r="AA283" s="4594">
        <f t="shared" si="208"/>
        <v>0.84</v>
      </c>
      <c r="AB283" s="4594">
        <f t="shared" si="208"/>
        <v>0.75949999999999995</v>
      </c>
      <c r="AC283" s="4594">
        <f>AC252/AC248</f>
        <v>0.73099999999999998</v>
      </c>
      <c r="AD283" s="4594">
        <f>AD252/AD248</f>
        <v>0.75</v>
      </c>
      <c r="AE283" s="4594">
        <f>AE252/AE248</f>
        <v>0.76949999999999996</v>
      </c>
      <c r="AF283" s="4594">
        <f>AF252/AF248</f>
        <v>0.78499999999999992</v>
      </c>
      <c r="AH283" s="4805"/>
    </row>
    <row r="284" spans="1:34" s="766" customFormat="1">
      <c r="A284" s="4586" t="str">
        <f>A263</f>
        <v>Adj. EBITDA</v>
      </c>
      <c r="B284" s="4669"/>
      <c r="C284" s="4669"/>
      <c r="D284" s="4669"/>
      <c r="E284" s="4669"/>
      <c r="F284" s="4669"/>
      <c r="G284" s="4669"/>
      <c r="H284" s="4669"/>
      <c r="I284" s="4669"/>
      <c r="J284" s="4669"/>
      <c r="K284" s="4669"/>
      <c r="L284" s="4669"/>
      <c r="M284" s="4669"/>
      <c r="N284" s="4669"/>
      <c r="O284" s="4669"/>
      <c r="P284" s="4669"/>
      <c r="Q284" s="4669"/>
      <c r="R284" s="4669"/>
      <c r="S284" s="4669"/>
      <c r="T284" s="4672">
        <f t="shared" ref="T284:AB284" si="209">T263/T248</f>
        <v>-0.17647855965573858</v>
      </c>
      <c r="U284" s="4672">
        <f t="shared" si="209"/>
        <v>1.0116844160404019E-3</v>
      </c>
      <c r="V284" s="4672">
        <f t="shared" si="209"/>
        <v>6.8866729234930882E-2</v>
      </c>
      <c r="W284" s="4672">
        <f t="shared" si="209"/>
        <v>0.24818296365719045</v>
      </c>
      <c r="X284" s="4672">
        <f t="shared" si="209"/>
        <v>0.29586453576864535</v>
      </c>
      <c r="Y284" s="4672">
        <f t="shared" si="209"/>
        <v>0.34486170212765954</v>
      </c>
      <c r="Z284" s="4672">
        <f t="shared" si="209"/>
        <v>0.37938656920123065</v>
      </c>
      <c r="AA284" s="4672">
        <f t="shared" si="209"/>
        <v>0.45223551162093029</v>
      </c>
      <c r="AB284" s="4672">
        <f t="shared" si="209"/>
        <v>0.53826527878053243</v>
      </c>
      <c r="AC284" s="4672">
        <f>AC263/AC248</f>
        <v>0.5423</v>
      </c>
      <c r="AD284" s="4672">
        <f>AD263/AD248</f>
        <v>0.53969999999999996</v>
      </c>
      <c r="AE284" s="4672">
        <f>AE263/AE248</f>
        <v>0.54299999999999993</v>
      </c>
      <c r="AF284" s="4672">
        <f>AF263/AF248</f>
        <v>0.55740000000000001</v>
      </c>
      <c r="AH284" s="4805"/>
    </row>
    <row r="285" spans="1:34" s="766" customFormat="1">
      <c r="A285" s="4581" t="str">
        <f>A254</f>
        <v>GAAP Operating Income</v>
      </c>
      <c r="B285" s="4594"/>
      <c r="C285" s="4594"/>
      <c r="D285" s="4594"/>
      <c r="E285" s="4594"/>
      <c r="F285" s="4594"/>
      <c r="G285" s="4594"/>
      <c r="H285" s="4594"/>
      <c r="I285" s="4594"/>
      <c r="J285" s="4594"/>
      <c r="K285" s="4594"/>
      <c r="L285" s="4594"/>
      <c r="M285" s="4594"/>
      <c r="N285" s="4594"/>
      <c r="O285" s="4594"/>
      <c r="P285" s="4594"/>
      <c r="Q285" s="4594"/>
      <c r="R285" s="4594"/>
      <c r="S285" s="4594"/>
      <c r="T285" s="4594">
        <f t="shared" ref="T285:AB285" si="210">T254/T248</f>
        <v>-0.74477560808496057</v>
      </c>
      <c r="U285" s="4594">
        <f t="shared" si="210"/>
        <v>-0.52085669432608206</v>
      </c>
      <c r="V285" s="4594">
        <f t="shared" si="210"/>
        <v>-0.42935906271536872</v>
      </c>
      <c r="W285" s="4594">
        <f t="shared" si="210"/>
        <v>-0.11881703634280955</v>
      </c>
      <c r="X285" s="4594">
        <f t="shared" si="210"/>
        <v>-7.3135464231354641E-2</v>
      </c>
      <c r="Y285" s="4594">
        <f t="shared" si="210"/>
        <v>5.1861702127659573E-2</v>
      </c>
      <c r="Z285" s="4594">
        <f t="shared" si="210"/>
        <v>0.14138656920123066</v>
      </c>
      <c r="AA285" s="4594">
        <f t="shared" si="210"/>
        <v>0.21823551162093024</v>
      </c>
      <c r="AB285" s="4594">
        <f t="shared" si="210"/>
        <v>0.24126527878053253</v>
      </c>
      <c r="AC285" s="4594">
        <f>AC254/AC248</f>
        <v>0.22999999999999998</v>
      </c>
      <c r="AD285" s="4594">
        <f>AD254/AD248</f>
        <v>0.25600000000000001</v>
      </c>
      <c r="AE285" s="4594">
        <f>AE254/AE248</f>
        <v>0.28499999999999998</v>
      </c>
      <c r="AF285" s="4594">
        <f>AF254/AF248</f>
        <v>0.32</v>
      </c>
      <c r="AH285" s="4797"/>
    </row>
    <row r="286" spans="1:34" s="766" customFormat="1">
      <c r="A286" s="4581" t="str">
        <f>A258</f>
        <v>GAAP Net Income</v>
      </c>
      <c r="B286" s="4594"/>
      <c r="C286" s="4594"/>
      <c r="D286" s="4594"/>
      <c r="E286" s="4594"/>
      <c r="F286" s="4594"/>
      <c r="G286" s="4594"/>
      <c r="H286" s="4594"/>
      <c r="I286" s="4594"/>
      <c r="J286" s="4594"/>
      <c r="K286" s="4594"/>
      <c r="L286" s="4594"/>
      <c r="M286" s="4594"/>
      <c r="N286" s="4594"/>
      <c r="O286" s="4594"/>
      <c r="P286" s="4594"/>
      <c r="Q286" s="4594"/>
      <c r="R286" s="4594"/>
      <c r="S286" s="4594"/>
      <c r="T286" s="4594">
        <f t="shared" ref="T286:AB286" si="211">T258/T248</f>
        <v>-0.74477560808496057</v>
      </c>
      <c r="U286" s="4594">
        <f t="shared" si="211"/>
        <v>-0.52085669432608206</v>
      </c>
      <c r="V286" s="4594">
        <f t="shared" si="211"/>
        <v>-0.42935906271536872</v>
      </c>
      <c r="W286" s="4594">
        <f t="shared" si="211"/>
        <v>-0.11881703634280955</v>
      </c>
      <c r="X286" s="4594">
        <f t="shared" si="211"/>
        <v>-7.3135464231354641E-2</v>
      </c>
      <c r="Y286" s="4594">
        <f t="shared" si="211"/>
        <v>5.1861702127659573E-2</v>
      </c>
      <c r="Z286" s="4594">
        <f t="shared" si="211"/>
        <v>0.14138656920123066</v>
      </c>
      <c r="AA286" s="4594">
        <f t="shared" si="211"/>
        <v>0.21823551162093024</v>
      </c>
      <c r="AB286" s="4594">
        <f t="shared" si="211"/>
        <v>0.24126527878053253</v>
      </c>
      <c r="AC286" s="4594">
        <f>AC258/AC248</f>
        <v>0.22999999999999998</v>
      </c>
      <c r="AD286" s="4594">
        <f>AD258/AD248</f>
        <v>0.25600000000000001</v>
      </c>
      <c r="AE286" s="4594">
        <f>AE258/AE248</f>
        <v>0.28499999999999998</v>
      </c>
      <c r="AF286" s="4594">
        <f>AF258/AF248</f>
        <v>0.32</v>
      </c>
      <c r="AH286" s="4797"/>
    </row>
    <row r="287" spans="1:34" s="766" customFormat="1">
      <c r="A287" s="4581"/>
      <c r="B287" s="4582"/>
      <c r="C287" s="4582"/>
      <c r="D287" s="4582"/>
      <c r="E287" s="4582"/>
      <c r="F287" s="4582"/>
      <c r="G287" s="4582"/>
      <c r="H287" s="4582"/>
      <c r="I287" s="4582"/>
      <c r="J287" s="4582"/>
      <c r="K287" s="4582"/>
      <c r="L287" s="4582"/>
      <c r="M287" s="4582"/>
      <c r="N287" s="4582"/>
      <c r="O287" s="4582"/>
      <c r="P287" s="4582"/>
      <c r="Q287" s="4582"/>
      <c r="R287" s="4582"/>
      <c r="S287" s="4582"/>
      <c r="T287" s="4582"/>
      <c r="U287" s="4582"/>
      <c r="V287" s="4582"/>
      <c r="W287" s="4582"/>
      <c r="X287" s="4582"/>
      <c r="Y287" s="4582"/>
      <c r="Z287" s="4582"/>
      <c r="AA287" s="4582"/>
      <c r="AB287" s="4582"/>
      <c r="AC287" s="4582"/>
      <c r="AD287" s="4582"/>
      <c r="AE287" s="4582"/>
      <c r="AF287" s="4582"/>
      <c r="AH287" s="4796"/>
    </row>
    <row r="288" spans="1:34" s="627" customFormat="1">
      <c r="A288" s="4584" t="s">
        <v>693</v>
      </c>
      <c r="B288" s="4583"/>
      <c r="C288" s="4583"/>
      <c r="D288" s="4583"/>
      <c r="E288" s="4583"/>
      <c r="F288" s="4583"/>
      <c r="G288" s="4583"/>
      <c r="H288" s="4583"/>
      <c r="I288" s="4583"/>
      <c r="J288" s="4583"/>
      <c r="K288" s="4583"/>
      <c r="L288" s="4583"/>
      <c r="M288" s="4583"/>
      <c r="N288" s="4583"/>
      <c r="O288" s="4583"/>
      <c r="P288" s="4583"/>
      <c r="Q288" s="4583"/>
      <c r="R288" s="4583"/>
      <c r="S288" s="4583"/>
      <c r="T288" s="4583"/>
      <c r="U288" s="4583"/>
      <c r="V288" s="4583"/>
      <c r="W288" s="4583"/>
      <c r="X288" s="4583"/>
      <c r="Y288" s="4583"/>
      <c r="Z288" s="4583"/>
      <c r="AA288" s="4583"/>
      <c r="AB288" s="4583"/>
      <c r="AC288" s="4583"/>
      <c r="AD288" s="4583"/>
      <c r="AE288" s="4583"/>
      <c r="AF288" s="4583"/>
      <c r="AH288" s="4796"/>
    </row>
    <row r="289" spans="1:34" s="766" customFormat="1">
      <c r="A289" s="4586" t="str">
        <f>A$8</f>
        <v>Gross Revenue</v>
      </c>
      <c r="B289" s="4589"/>
      <c r="C289" s="4589"/>
      <c r="D289" s="4589"/>
      <c r="E289" s="4589"/>
      <c r="F289" s="4589"/>
      <c r="G289" s="4589"/>
      <c r="H289" s="4589"/>
      <c r="I289" s="4589"/>
      <c r="J289" s="4589"/>
      <c r="K289" s="4589"/>
      <c r="L289" s="4589"/>
      <c r="M289" s="4589"/>
      <c r="N289" s="4589"/>
      <c r="O289" s="4589">
        <f>'Segment As Reported'!CH261</f>
        <v>12</v>
      </c>
      <c r="P289" s="4589">
        <f>'Segment As Reported'!CM261</f>
        <v>327</v>
      </c>
      <c r="Q289" s="4589">
        <f>'Segment As Reported'!CR261</f>
        <v>445</v>
      </c>
      <c r="R289" s="4589">
        <f>'Segment As Reported'!CW261</f>
        <v>809</v>
      </c>
      <c r="S289" s="4589">
        <f>'Segment As Reported'!DB261</f>
        <v>477</v>
      </c>
      <c r="T289" s="4589">
        <f>'Segment As Reported'!DG115</f>
        <v>595</v>
      </c>
      <c r="U289" s="4589">
        <f>'Segment As Reported'!DL115</f>
        <v>659</v>
      </c>
      <c r="V289" s="4589">
        <f>'Segment As Reported'!DQ115</f>
        <v>657</v>
      </c>
      <c r="W289" s="4589">
        <f>'Segment As Reported'!DV115</f>
        <v>753</v>
      </c>
      <c r="X289" s="4589">
        <f>'Segment As Reported'!EA115</f>
        <v>1068</v>
      </c>
      <c r="Y289" s="4589">
        <f>'Segment As Reported'!EF115</f>
        <v>1527</v>
      </c>
      <c r="Z289" s="4589">
        <f>'Segment As Reported'!EK115</f>
        <v>1648</v>
      </c>
      <c r="AA289" s="4589">
        <f>'Segment As Reported'!EP115</f>
        <v>1531.0300000000191</v>
      </c>
      <c r="AB289" s="4589">
        <f>'Segment As Reported'!EU115</f>
        <v>1686.2652315775169</v>
      </c>
      <c r="AC289" s="4589">
        <f>'Segment As Reported'!EV115</f>
        <v>1896.2430371849186</v>
      </c>
      <c r="AD289" s="4589">
        <f>'Segment As Reported'!EW115</f>
        <v>2182.5701647044334</v>
      </c>
      <c r="AE289" s="4589">
        <f>'Segment As Reported'!EX115</f>
        <v>2600.0818384145678</v>
      </c>
      <c r="AF289" s="4589">
        <f>'Segment As Reported'!EY115</f>
        <v>3209.2867170257668</v>
      </c>
      <c r="AH289" s="4797">
        <f>(AC289/Z289)^(1/3)-1</f>
        <v>4.7881719126072531E-2</v>
      </c>
    </row>
    <row r="290" spans="1:34" s="766" customFormat="1">
      <c r="A290" s="4585" t="str">
        <f>A$9</f>
        <v>TAC</v>
      </c>
      <c r="B290" s="4597"/>
      <c r="C290" s="4597"/>
      <c r="D290" s="4597"/>
      <c r="E290" s="4597"/>
      <c r="F290" s="4597"/>
      <c r="G290" s="4597"/>
      <c r="H290" s="4597"/>
      <c r="I290" s="4597"/>
      <c r="J290" s="4597"/>
      <c r="K290" s="4597"/>
      <c r="L290" s="4597"/>
      <c r="M290" s="4597"/>
      <c r="N290" s="4597"/>
      <c r="O290" s="4597">
        <v>0</v>
      </c>
      <c r="P290" s="4597">
        <v>0</v>
      </c>
      <c r="Q290" s="4597">
        <v>0</v>
      </c>
      <c r="R290" s="4597">
        <v>0</v>
      </c>
      <c r="S290" s="4597">
        <v>0</v>
      </c>
      <c r="T290" s="4597">
        <v>0</v>
      </c>
      <c r="U290" s="4597">
        <v>0</v>
      </c>
      <c r="V290" s="4597">
        <v>0</v>
      </c>
      <c r="W290" s="4597">
        <v>0</v>
      </c>
      <c r="X290" s="4597">
        <v>0</v>
      </c>
      <c r="Y290" s="4597">
        <v>0</v>
      </c>
      <c r="Z290" s="4597">
        <v>0</v>
      </c>
      <c r="AA290" s="4597">
        <v>0</v>
      </c>
      <c r="AB290" s="4597">
        <v>0</v>
      </c>
      <c r="AC290" s="4597">
        <v>0</v>
      </c>
      <c r="AD290" s="4597">
        <v>0</v>
      </c>
      <c r="AE290" s="4597">
        <v>0</v>
      </c>
      <c r="AF290" s="4597">
        <v>0</v>
      </c>
      <c r="AH290" s="4803"/>
    </row>
    <row r="291" spans="1:34" s="766" customFormat="1">
      <c r="A291" s="4586" t="str">
        <f>A$10</f>
        <v>Net Revenue</v>
      </c>
      <c r="B291" s="4589"/>
      <c r="C291" s="4589"/>
      <c r="D291" s="4589"/>
      <c r="E291" s="4589"/>
      <c r="F291" s="4589"/>
      <c r="G291" s="4589"/>
      <c r="H291" s="4589"/>
      <c r="I291" s="4589"/>
      <c r="J291" s="4589"/>
      <c r="K291" s="4589"/>
      <c r="L291" s="4589"/>
      <c r="M291" s="4589"/>
      <c r="N291" s="4589"/>
      <c r="O291" s="4589">
        <f t="shared" ref="O291:T291" si="212">O289-O290</f>
        <v>12</v>
      </c>
      <c r="P291" s="4589">
        <f t="shared" si="212"/>
        <v>327</v>
      </c>
      <c r="Q291" s="4589">
        <f t="shared" si="212"/>
        <v>445</v>
      </c>
      <c r="R291" s="4589">
        <f t="shared" si="212"/>
        <v>809</v>
      </c>
      <c r="S291" s="4589">
        <f t="shared" si="212"/>
        <v>477</v>
      </c>
      <c r="T291" s="4589">
        <f t="shared" si="212"/>
        <v>595</v>
      </c>
      <c r="U291" s="4589">
        <f>U289-U290</f>
        <v>659</v>
      </c>
      <c r="V291" s="4589">
        <f t="shared" ref="V291:AA291" si="213">V289-V290</f>
        <v>657</v>
      </c>
      <c r="W291" s="4589">
        <f t="shared" si="213"/>
        <v>753</v>
      </c>
      <c r="X291" s="4589">
        <f t="shared" si="213"/>
        <v>1068</v>
      </c>
      <c r="Y291" s="4589">
        <f t="shared" si="213"/>
        <v>1527</v>
      </c>
      <c r="Z291" s="4589">
        <f t="shared" si="213"/>
        <v>1648</v>
      </c>
      <c r="AA291" s="4589">
        <f t="shared" si="213"/>
        <v>1531.0300000000191</v>
      </c>
      <c r="AB291" s="4589">
        <f>AB289-AB290</f>
        <v>1686.2652315775169</v>
      </c>
      <c r="AC291" s="4589">
        <f>AC289-AC290</f>
        <v>1896.2430371849186</v>
      </c>
      <c r="AD291" s="4589">
        <f>AD289-AD290</f>
        <v>2182.5701647044334</v>
      </c>
      <c r="AE291" s="4589">
        <f>AE289-AE290</f>
        <v>2600.0818384145678</v>
      </c>
      <c r="AF291" s="4589">
        <f>AF289-AF290</f>
        <v>3209.2867170257668</v>
      </c>
      <c r="AH291" s="4798"/>
    </row>
    <row r="292" spans="1:34" s="766" customFormat="1">
      <c r="A292" s="4585" t="str">
        <f>A$11</f>
        <v>Other Cost Of Revenues</v>
      </c>
      <c r="B292" s="4590"/>
      <c r="C292" s="4590"/>
      <c r="D292" s="4590"/>
      <c r="E292" s="4590"/>
      <c r="F292" s="4590"/>
      <c r="G292" s="4590"/>
      <c r="H292" s="4590"/>
      <c r="I292" s="4590"/>
      <c r="J292" s="4590"/>
      <c r="K292" s="4590"/>
      <c r="L292" s="4590"/>
      <c r="M292" s="4590"/>
      <c r="N292" s="4590"/>
      <c r="O292" s="4590">
        <f t="shared" ref="O292:T292" si="214">O291-O293</f>
        <v>3.6000000000000014</v>
      </c>
      <c r="P292" s="4590">
        <f t="shared" si="214"/>
        <v>98.100000000000023</v>
      </c>
      <c r="Q292" s="4590">
        <f t="shared" si="214"/>
        <v>133.5</v>
      </c>
      <c r="R292" s="4590">
        <f t="shared" si="214"/>
        <v>242.70000000000005</v>
      </c>
      <c r="S292" s="4590">
        <f t="shared" si="214"/>
        <v>143.10000000000002</v>
      </c>
      <c r="T292" s="4590">
        <f t="shared" si="214"/>
        <v>238</v>
      </c>
      <c r="U292" s="4590">
        <f>U291-U293</f>
        <v>263.60000000000002</v>
      </c>
      <c r="V292" s="4590">
        <f t="shared" ref="V292:AA292" si="215">V291-V293</f>
        <v>262.8</v>
      </c>
      <c r="W292" s="4590">
        <f t="shared" si="215"/>
        <v>301.2</v>
      </c>
      <c r="X292" s="4590">
        <f t="shared" si="215"/>
        <v>427.20000000000005</v>
      </c>
      <c r="Y292" s="4590">
        <f t="shared" si="215"/>
        <v>610.80000000000007</v>
      </c>
      <c r="Z292" s="4590">
        <f t="shared" si="215"/>
        <v>659.2</v>
      </c>
      <c r="AA292" s="4590">
        <f t="shared" si="215"/>
        <v>612.41200000000765</v>
      </c>
      <c r="AB292" s="4590">
        <f>AB291-AB293</f>
        <v>674.50609263100682</v>
      </c>
      <c r="AC292" s="4590">
        <f>AC291-AC293</f>
        <v>758.49721487396755</v>
      </c>
      <c r="AD292" s="4590">
        <f>AD291-AD293</f>
        <v>873.0280658817735</v>
      </c>
      <c r="AE292" s="4590">
        <f>AE291-AE293</f>
        <v>1040.0327353658272</v>
      </c>
      <c r="AF292" s="4590">
        <f>AF291-AF293</f>
        <v>1283.7146868103068</v>
      </c>
      <c r="AH292" s="4797">
        <f>(AC292/Z292)^(1/3)-1</f>
        <v>4.7881719126072531E-2</v>
      </c>
    </row>
    <row r="293" spans="1:34" s="766" customFormat="1">
      <c r="A293" s="4586" t="str">
        <f>A$12</f>
        <v>Gross Profit</v>
      </c>
      <c r="B293" s="4589"/>
      <c r="C293" s="4589"/>
      <c r="D293" s="4589"/>
      <c r="E293" s="4589"/>
      <c r="F293" s="4589"/>
      <c r="G293" s="4589"/>
      <c r="H293" s="4589"/>
      <c r="I293" s="4589"/>
      <c r="J293" s="4589"/>
      <c r="K293" s="4589"/>
      <c r="L293" s="4589"/>
      <c r="M293" s="4589"/>
      <c r="N293" s="4589"/>
      <c r="O293" s="4589">
        <f t="shared" ref="O293:AB293" si="216">O289*O315</f>
        <v>8.3999999999999986</v>
      </c>
      <c r="P293" s="4589">
        <f t="shared" si="216"/>
        <v>228.89999999999998</v>
      </c>
      <c r="Q293" s="4589">
        <f t="shared" si="216"/>
        <v>311.5</v>
      </c>
      <c r="R293" s="4589">
        <f t="shared" si="216"/>
        <v>566.29999999999995</v>
      </c>
      <c r="S293" s="4589">
        <f t="shared" si="216"/>
        <v>333.9</v>
      </c>
      <c r="T293" s="4589">
        <f t="shared" si="216"/>
        <v>357</v>
      </c>
      <c r="U293" s="4589">
        <f t="shared" si="216"/>
        <v>395.4</v>
      </c>
      <c r="V293" s="4589">
        <f t="shared" si="216"/>
        <v>394.2</v>
      </c>
      <c r="W293" s="4589">
        <f t="shared" si="216"/>
        <v>451.8</v>
      </c>
      <c r="X293" s="4589">
        <f t="shared" si="216"/>
        <v>640.79999999999995</v>
      </c>
      <c r="Y293" s="4589">
        <f t="shared" si="216"/>
        <v>916.19999999999993</v>
      </c>
      <c r="Z293" s="4589">
        <f t="shared" si="216"/>
        <v>988.8</v>
      </c>
      <c r="AA293" s="4589">
        <f t="shared" si="216"/>
        <v>918.61800000001142</v>
      </c>
      <c r="AB293" s="4589">
        <f t="shared" si="216"/>
        <v>1011.7591389465101</v>
      </c>
      <c r="AC293" s="4589">
        <f>AC289*AC315</f>
        <v>1137.7458223109511</v>
      </c>
      <c r="AD293" s="4589">
        <f>AD289*AD315</f>
        <v>1309.5420988226599</v>
      </c>
      <c r="AE293" s="4589">
        <f>AE289*AE315</f>
        <v>1560.0491030487406</v>
      </c>
      <c r="AF293" s="4589">
        <f>AF289*AF315</f>
        <v>1925.57203021546</v>
      </c>
      <c r="AH293" s="4798"/>
    </row>
    <row r="294" spans="1:34" s="766" customFormat="1">
      <c r="A294" s="4585" t="str">
        <f>A$13</f>
        <v>GAAP Expenses</v>
      </c>
      <c r="B294" s="4590"/>
      <c r="C294" s="4590"/>
      <c r="D294" s="4590"/>
      <c r="E294" s="4590"/>
      <c r="F294" s="4590"/>
      <c r="G294" s="4590"/>
      <c r="H294" s="4590"/>
      <c r="I294" s="4590"/>
      <c r="J294" s="4590"/>
      <c r="K294" s="4590"/>
      <c r="L294" s="4590"/>
      <c r="M294" s="4590"/>
      <c r="N294" s="4590"/>
      <c r="O294" s="4590">
        <f>O293-O295</f>
        <v>535.4</v>
      </c>
      <c r="P294" s="4590">
        <f>P293-P295</f>
        <v>2170.9</v>
      </c>
      <c r="Q294" s="4590">
        <f>Q293-Q295</f>
        <v>3797.5</v>
      </c>
      <c r="R294" s="4590">
        <f>R293-R295</f>
        <v>4144.3</v>
      </c>
      <c r="S294" s="4590">
        <f>S293-S295</f>
        <v>3067.9</v>
      </c>
      <c r="T294" s="4590">
        <f t="shared" ref="T294:AA294" si="217">T293-T295</f>
        <v>3715</v>
      </c>
      <c r="U294" s="4590">
        <f t="shared" si="217"/>
        <v>5219.3999999999996</v>
      </c>
      <c r="V294" s="4590">
        <f t="shared" si="217"/>
        <v>4870.2</v>
      </c>
      <c r="W294" s="4590">
        <f t="shared" si="217"/>
        <v>5732.8</v>
      </c>
      <c r="X294" s="4590">
        <f t="shared" si="217"/>
        <v>5276.8</v>
      </c>
      <c r="Y294" s="4590">
        <f t="shared" si="217"/>
        <v>5011.2</v>
      </c>
      <c r="Z294" s="4590">
        <f t="shared" si="217"/>
        <v>5432.8</v>
      </c>
      <c r="AA294" s="4590">
        <f t="shared" si="217"/>
        <v>6379.7880744260274</v>
      </c>
      <c r="AB294" s="4590">
        <f>AB293-AB295</f>
        <v>6659.8693760147016</v>
      </c>
      <c r="AC294" s="4590">
        <f>AC293-AC295</f>
        <v>6894.8596488029089</v>
      </c>
      <c r="AD294" s="4590">
        <f>AD293-AD295</f>
        <v>5481.1066141407409</v>
      </c>
      <c r="AE294" s="4590">
        <f>AE293-AE295</f>
        <v>3547.5662954348895</v>
      </c>
      <c r="AF294" s="4590">
        <f>AF293-AF295</f>
        <v>2059.0879522842529</v>
      </c>
      <c r="AH294" s="4797">
        <f>(AC294/Z294)^(1/3)-1</f>
        <v>8.2681138343992711E-2</v>
      </c>
    </row>
    <row r="295" spans="1:34" s="766" customFormat="1">
      <c r="A295" s="4586" t="str">
        <f>A$14</f>
        <v>GAAP Operating Income</v>
      </c>
      <c r="B295" s="4589"/>
      <c r="C295" s="4589"/>
      <c r="D295" s="4589"/>
      <c r="E295" s="4589"/>
      <c r="F295" s="4589"/>
      <c r="G295" s="4589"/>
      <c r="H295" s="4589"/>
      <c r="I295" s="4589"/>
      <c r="J295" s="4589"/>
      <c r="K295" s="4589"/>
      <c r="L295" s="4589"/>
      <c r="M295" s="4589"/>
      <c r="N295" s="4589"/>
      <c r="O295" s="4589">
        <f>'Segment As Reported'!CH267</f>
        <v>-527</v>
      </c>
      <c r="P295" s="4589">
        <f>'Segment As Reported'!CM267</f>
        <v>-1942</v>
      </c>
      <c r="Q295" s="4589">
        <f>'Segment As Reported'!CR267</f>
        <v>-3486</v>
      </c>
      <c r="R295" s="4589">
        <f>'Segment As Reported'!CW267</f>
        <v>-3578</v>
      </c>
      <c r="S295" s="4589">
        <f>'Segment As Reported'!DB267</f>
        <v>-2734</v>
      </c>
      <c r="T295" s="4589">
        <f>'Segment As Reported'!DG118</f>
        <v>-3358</v>
      </c>
      <c r="U295" s="4589">
        <f>'Segment As Reported'!DL118</f>
        <v>-4824</v>
      </c>
      <c r="V295" s="4589">
        <f>'Segment As Reported'!DQ118</f>
        <v>-4476</v>
      </c>
      <c r="W295" s="4589">
        <f>'Segment As Reported'!DV118</f>
        <v>-5281</v>
      </c>
      <c r="X295" s="4589">
        <f>'Segment As Reported'!EA118</f>
        <v>-4636</v>
      </c>
      <c r="Y295" s="4589">
        <f>'Segment As Reported'!EF118</f>
        <v>-4095</v>
      </c>
      <c r="Z295" s="4589">
        <f>'Segment As Reported'!EK118</f>
        <v>-4444</v>
      </c>
      <c r="AA295" s="4589">
        <f>'Segment As Reported'!EP118</f>
        <v>-5461.1700744260161</v>
      </c>
      <c r="AB295" s="4589">
        <f>'Segment As Reported'!EU118</f>
        <v>-5648.1102370681911</v>
      </c>
      <c r="AC295" s="4589">
        <f>'Segment As Reported'!EV118</f>
        <v>-5757.1138264919573</v>
      </c>
      <c r="AD295" s="4589">
        <f>'Segment As Reported'!EW118</f>
        <v>-4171.5645153180812</v>
      </c>
      <c r="AE295" s="4589">
        <f>'Segment As Reported'!EX118</f>
        <v>-1987.517192386149</v>
      </c>
      <c r="AF295" s="4589">
        <f>'Segment As Reported'!EY118</f>
        <v>-133.51592206879286</v>
      </c>
      <c r="AH295" s="4798"/>
    </row>
    <row r="296" spans="1:34" s="766" customFormat="1">
      <c r="A296" s="4585" t="str">
        <f>A$15</f>
        <v>OI&amp;E</v>
      </c>
      <c r="B296" s="4590"/>
      <c r="C296" s="4590"/>
      <c r="D296" s="4590"/>
      <c r="E296" s="4590"/>
      <c r="F296" s="4590"/>
      <c r="G296" s="4590"/>
      <c r="H296" s="4590"/>
      <c r="I296" s="4590"/>
      <c r="J296" s="4590"/>
      <c r="K296" s="4590"/>
      <c r="L296" s="4590"/>
      <c r="M296" s="4590"/>
      <c r="N296" s="4590"/>
      <c r="O296" s="4590">
        <f>IS!CH194-IS!CH195</f>
        <v>158</v>
      </c>
      <c r="P296" s="4590">
        <f>IS!CM194-IS!CM195</f>
        <v>153</v>
      </c>
      <c r="Q296" s="4590">
        <f>IS!CR194-IS!CR195</f>
        <v>-208</v>
      </c>
      <c r="R296" s="4590">
        <f>IS!CW194-IS!CW195</f>
        <v>-210</v>
      </c>
      <c r="S296" s="4590">
        <f>IS!DB194-IS!DB195</f>
        <v>73</v>
      </c>
      <c r="T296" s="4590">
        <f>'Segment As Reported'!DG119</f>
        <v>4257</v>
      </c>
      <c r="U296" s="4590">
        <f>'Segment As Reported'!DL119</f>
        <v>2323</v>
      </c>
      <c r="V296" s="4590">
        <f>'Segment As Reported'!DQ119</f>
        <v>4983</v>
      </c>
      <c r="W296" s="4590">
        <f>'Segment As Reported'!DV119</f>
        <v>10472</v>
      </c>
      <c r="X296" s="4590">
        <f>'Segment As Reported'!EA119</f>
        <v>-2657</v>
      </c>
      <c r="Y296" s="4590">
        <f>'Segment As Reported'!EF119</f>
        <v>649</v>
      </c>
      <c r="Z296" s="4590">
        <f>'Segment As Reported'!EK119</f>
        <v>3932</v>
      </c>
      <c r="AA296" s="4590">
        <f>'Segment As Reported'!EP119</f>
        <v>21481</v>
      </c>
      <c r="AB296" s="4590">
        <f>'Segment As Reported'!EU119</f>
        <v>0</v>
      </c>
      <c r="AC296" s="4590">
        <f>'Segment As Reported'!EV119</f>
        <v>0</v>
      </c>
      <c r="AD296" s="4590">
        <f>'Segment As Reported'!EW119</f>
        <v>0</v>
      </c>
      <c r="AE296" s="4590">
        <f>'Segment As Reported'!EX119</f>
        <v>0</v>
      </c>
      <c r="AF296" s="4590">
        <f>'Segment As Reported'!EY119</f>
        <v>0</v>
      </c>
      <c r="AH296" s="4798"/>
    </row>
    <row r="297" spans="1:34" s="766" customFormat="1">
      <c r="A297" s="4586" t="str">
        <f>A$16</f>
        <v>Profit Before Tax</v>
      </c>
      <c r="B297" s="4589"/>
      <c r="C297" s="4589"/>
      <c r="D297" s="4589"/>
      <c r="E297" s="4589"/>
      <c r="F297" s="4589"/>
      <c r="G297" s="4589"/>
      <c r="H297" s="4589"/>
      <c r="I297" s="4589"/>
      <c r="J297" s="4589"/>
      <c r="K297" s="4589"/>
      <c r="L297" s="4589"/>
      <c r="M297" s="4589"/>
      <c r="N297" s="4589"/>
      <c r="O297" s="4589">
        <f t="shared" ref="O297:T297" si="218">O295+O296</f>
        <v>-369</v>
      </c>
      <c r="P297" s="4589">
        <f t="shared" si="218"/>
        <v>-1789</v>
      </c>
      <c r="Q297" s="4589">
        <f t="shared" si="218"/>
        <v>-3694</v>
      </c>
      <c r="R297" s="4589">
        <f t="shared" si="218"/>
        <v>-3788</v>
      </c>
      <c r="S297" s="4589">
        <f t="shared" si="218"/>
        <v>-2661</v>
      </c>
      <c r="T297" s="4589">
        <f t="shared" si="218"/>
        <v>899</v>
      </c>
      <c r="U297" s="4589">
        <f>U295+U296</f>
        <v>-2501</v>
      </c>
      <c r="V297" s="4589">
        <f t="shared" ref="V297:AA297" si="219">V295+V296</f>
        <v>507</v>
      </c>
      <c r="W297" s="4589">
        <f t="shared" si="219"/>
        <v>5191</v>
      </c>
      <c r="X297" s="4589">
        <f t="shared" si="219"/>
        <v>-7293</v>
      </c>
      <c r="Y297" s="4589">
        <f t="shared" si="219"/>
        <v>-3446</v>
      </c>
      <c r="Z297" s="4589">
        <f t="shared" si="219"/>
        <v>-512</v>
      </c>
      <c r="AA297" s="4589">
        <f t="shared" si="219"/>
        <v>16019.829925573984</v>
      </c>
      <c r="AB297" s="4589">
        <f>AB295+AB296</f>
        <v>-5648.1102370681911</v>
      </c>
      <c r="AC297" s="4589">
        <f>AC295+AC296</f>
        <v>-5757.1138264919573</v>
      </c>
      <c r="AD297" s="4589">
        <f>AD295+AD296</f>
        <v>-4171.5645153180812</v>
      </c>
      <c r="AE297" s="4589">
        <f>AE295+AE296</f>
        <v>-1987.517192386149</v>
      </c>
      <c r="AF297" s="4589">
        <f>AF295+AF296</f>
        <v>-133.51592206879286</v>
      </c>
      <c r="AH297" s="4798"/>
    </row>
    <row r="298" spans="1:34" s="766" customFormat="1">
      <c r="A298" s="4585" t="str">
        <f>A$17</f>
        <v>Income Tax</v>
      </c>
      <c r="B298" s="4590"/>
      <c r="C298" s="4590"/>
      <c r="D298" s="4590"/>
      <c r="E298" s="4590"/>
      <c r="F298" s="4590"/>
      <c r="G298" s="4590"/>
      <c r="H298" s="4590"/>
      <c r="I298" s="4590"/>
      <c r="J298" s="4590"/>
      <c r="K298" s="4590"/>
      <c r="L298" s="4590"/>
      <c r="M298" s="4590"/>
      <c r="N298" s="4590"/>
      <c r="O298" s="4597">
        <v>0</v>
      </c>
      <c r="P298" s="4597">
        <v>0</v>
      </c>
      <c r="Q298" s="4597">
        <v>0</v>
      </c>
      <c r="R298" s="4597">
        <v>0</v>
      </c>
      <c r="S298" s="4597">
        <v>0</v>
      </c>
      <c r="T298" s="4590">
        <f>'Segment As Reported'!DG121</f>
        <v>0</v>
      </c>
      <c r="U298" s="4590">
        <f>'Segment As Reported'!DL121</f>
        <v>0</v>
      </c>
      <c r="V298" s="4590">
        <f>'Segment As Reported'!DQ121</f>
        <v>0</v>
      </c>
      <c r="W298" s="4590">
        <f>'Segment As Reported'!DV121</f>
        <v>0</v>
      </c>
      <c r="X298" s="4590">
        <f>'Segment As Reported'!EA121</f>
        <v>0</v>
      </c>
      <c r="Y298" s="4590">
        <f>'Segment As Reported'!EF121</f>
        <v>0</v>
      </c>
      <c r="Z298" s="4590">
        <f>'Segment As Reported'!EK121</f>
        <v>0</v>
      </c>
      <c r="AA298" s="4590">
        <f>'Segment As Reported'!EP121</f>
        <v>0</v>
      </c>
      <c r="AB298" s="4590">
        <f>'Segment As Reported'!EU121</f>
        <v>0</v>
      </c>
      <c r="AC298" s="4590">
        <f>'Segment As Reported'!EV121</f>
        <v>0</v>
      </c>
      <c r="AD298" s="4590">
        <f>'Segment As Reported'!EW121</f>
        <v>0</v>
      </c>
      <c r="AE298" s="4590">
        <f>'Segment As Reported'!EX121</f>
        <v>0</v>
      </c>
      <c r="AF298" s="4590">
        <f>'Segment As Reported'!EY121</f>
        <v>0</v>
      </c>
      <c r="AH298" s="4798"/>
    </row>
    <row r="299" spans="1:34" s="766" customFormat="1">
      <c r="A299" s="4586" t="str">
        <f>A$18</f>
        <v>GAAP Net Income</v>
      </c>
      <c r="B299" s="4589"/>
      <c r="C299" s="4589"/>
      <c r="D299" s="4589"/>
      <c r="E299" s="4589"/>
      <c r="F299" s="4589"/>
      <c r="G299" s="4589"/>
      <c r="H299" s="4589"/>
      <c r="I299" s="4589"/>
      <c r="J299" s="4589"/>
      <c r="K299" s="4589"/>
      <c r="L299" s="4589"/>
      <c r="M299" s="4589"/>
      <c r="N299" s="4589"/>
      <c r="O299" s="4589">
        <f>O297-O298</f>
        <v>-369</v>
      </c>
      <c r="P299" s="4589">
        <f>P297-P298</f>
        <v>-1789</v>
      </c>
      <c r="Q299" s="4589">
        <f>Q297-Q298</f>
        <v>-3694</v>
      </c>
      <c r="R299" s="4589">
        <f>R297-R298</f>
        <v>-3788</v>
      </c>
      <c r="S299" s="4589">
        <f>S297-S298</f>
        <v>-2661</v>
      </c>
      <c r="T299" s="4589">
        <f>'Segment As Reported'!DG122</f>
        <v>899</v>
      </c>
      <c r="U299" s="4589">
        <f>'Segment As Reported'!DL122</f>
        <v>-2501</v>
      </c>
      <c r="V299" s="4589">
        <f>'Segment As Reported'!DQ122</f>
        <v>507</v>
      </c>
      <c r="W299" s="4589">
        <f>'Segment As Reported'!DV122</f>
        <v>5191</v>
      </c>
      <c r="X299" s="4589">
        <f>'Segment As Reported'!EA122</f>
        <v>-7293</v>
      </c>
      <c r="Y299" s="4589">
        <f>'Segment As Reported'!EF122</f>
        <v>-3446</v>
      </c>
      <c r="Z299" s="4589">
        <f>'Segment As Reported'!EK122</f>
        <v>-512</v>
      </c>
      <c r="AA299" s="4589">
        <f>'Segment As Reported'!EP122</f>
        <v>16019.829925573984</v>
      </c>
      <c r="AB299" s="4589">
        <f>'Segment As Reported'!EU122</f>
        <v>-5648.1102370681911</v>
      </c>
      <c r="AC299" s="4589">
        <f>'Segment As Reported'!EV122</f>
        <v>-5757.1138264919573</v>
      </c>
      <c r="AD299" s="4589">
        <f>'Segment As Reported'!EW122</f>
        <v>-4171.5645153180812</v>
      </c>
      <c r="AE299" s="4589">
        <f>'Segment As Reported'!EX122</f>
        <v>-1987.517192386149</v>
      </c>
      <c r="AF299" s="4589">
        <f>'Segment As Reported'!EY122</f>
        <v>-133.51592206879286</v>
      </c>
      <c r="AH299" s="4798"/>
    </row>
    <row r="300" spans="1:34" s="766" customFormat="1">
      <c r="A300" s="4586" t="str">
        <f>A$19</f>
        <v>GAAP EPS</v>
      </c>
      <c r="B300" s="4591"/>
      <c r="C300" s="4591"/>
      <c r="D300" s="4591"/>
      <c r="E300" s="4591"/>
      <c r="F300" s="4591"/>
      <c r="G300" s="4591"/>
      <c r="H300" s="4591"/>
      <c r="I300" s="4591"/>
      <c r="J300" s="4591"/>
      <c r="K300" s="4591"/>
      <c r="L300" s="4591"/>
      <c r="M300" s="4591"/>
      <c r="N300" s="4591"/>
      <c r="O300" s="4591">
        <f>O299/O$20</f>
        <v>-2.7227730078008553E-2</v>
      </c>
      <c r="P300" s="4591">
        <f>P299/P$20</f>
        <v>-0.13019051916107527</v>
      </c>
      <c r="Q300" s="4591">
        <f>Q299/Q$20</f>
        <v>-0.26654929069314359</v>
      </c>
      <c r="R300" s="4591">
        <f>R299/R$20</f>
        <v>-0.27107252549713329</v>
      </c>
      <c r="S300" s="4591">
        <f>S299/S$20</f>
        <v>-0.1891032200845954</v>
      </c>
      <c r="T300" s="4591">
        <f>'Segment As Reported'!DG123</f>
        <v>6.3914367544582767E-2</v>
      </c>
      <c r="U300" s="4591">
        <f>'Segment As Reported'!DL123</f>
        <v>-0.17901200547128257</v>
      </c>
      <c r="V300" s="4591">
        <f>'Segment As Reported'!DQ123</f>
        <v>3.6898072894435488E-2</v>
      </c>
      <c r="W300" s="4591">
        <f>'Segment As Reported'!DV123</f>
        <v>0.3830014073881422</v>
      </c>
      <c r="X300" s="4591">
        <f>'Segment As Reported'!EA123</f>
        <v>-0.55424229424239302</v>
      </c>
      <c r="Y300" s="4591">
        <f>'Segment As Reported'!EF123</f>
        <v>-0.27088532966493073</v>
      </c>
      <c r="Z300" s="4591">
        <f>'Segment As Reported'!EK123</f>
        <v>-4.1133583723312377E-2</v>
      </c>
      <c r="AA300" s="4591">
        <f>'Segment As Reported'!EP123</f>
        <v>1.3104027087157335</v>
      </c>
      <c r="AB300" s="4591">
        <f>'Segment As Reported'!EU123</f>
        <v>-0.46243228460218944</v>
      </c>
      <c r="AC300" s="4591">
        <f ca="1">'Segment As Reported'!EV123</f>
        <v>-0.47513228863395573</v>
      </c>
      <c r="AD300" s="4591">
        <f ca="1">'Segment As Reported'!EW123</f>
        <v>-0.34732420440137018</v>
      </c>
      <c r="AE300" s="4591">
        <f ca="1">'Segment As Reported'!EX123</f>
        <v>-0.16713962299210011</v>
      </c>
      <c r="AF300" s="4591">
        <f ca="1">'Segment As Reported'!EY123</f>
        <v>-1.13537073854165E-2</v>
      </c>
      <c r="AH300" s="4806"/>
    </row>
    <row r="301" spans="1:34" s="766" customFormat="1">
      <c r="A301" s="4581"/>
      <c r="B301" s="4582"/>
      <c r="C301" s="4582"/>
      <c r="D301" s="4582"/>
      <c r="E301" s="4582"/>
      <c r="F301" s="4582"/>
      <c r="G301" s="4582"/>
      <c r="H301" s="4582"/>
      <c r="I301" s="4582"/>
      <c r="J301" s="4582"/>
      <c r="K301" s="4582"/>
      <c r="L301" s="4582"/>
      <c r="M301" s="4582"/>
      <c r="N301" s="4582"/>
      <c r="O301" s="4582"/>
      <c r="P301" s="4582"/>
      <c r="Q301" s="4582"/>
      <c r="R301" s="4582"/>
      <c r="S301" s="4582"/>
      <c r="T301" s="4582"/>
      <c r="U301" s="4582"/>
      <c r="V301" s="4582"/>
      <c r="W301" s="4582"/>
      <c r="X301" s="4582"/>
      <c r="Y301" s="4582"/>
      <c r="Z301" s="4582"/>
      <c r="AA301" s="4582"/>
      <c r="AB301" s="4582"/>
      <c r="AC301" s="4582"/>
      <c r="AD301" s="4582"/>
      <c r="AE301" s="4582"/>
      <c r="AF301" s="4582"/>
      <c r="AH301" s="4796"/>
    </row>
    <row r="302" spans="1:34" s="766" customFormat="1">
      <c r="A302" s="4585" t="str">
        <f>A$22</f>
        <v>D&amp;A</v>
      </c>
      <c r="B302" s="4590"/>
      <c r="C302" s="4590"/>
      <c r="D302" s="4590"/>
      <c r="E302" s="4590"/>
      <c r="F302" s="4590"/>
      <c r="G302" s="4590"/>
      <c r="H302" s="4590"/>
      <c r="I302" s="4590"/>
      <c r="J302" s="4590"/>
      <c r="K302" s="4590"/>
      <c r="L302" s="4590"/>
      <c r="M302" s="4590"/>
      <c r="N302" s="4590"/>
      <c r="O302" s="4590">
        <f>'Segment As Reported'!CH264</f>
        <v>24</v>
      </c>
      <c r="P302" s="4590">
        <f>'Segment As Reported'!CM264</f>
        <v>148</v>
      </c>
      <c r="Q302" s="4590">
        <f>'Segment As Reported'!CR264</f>
        <v>203</v>
      </c>
      <c r="R302" s="4590">
        <f>'Segment As Reported'!CW264</f>
        <v>340</v>
      </c>
      <c r="S302" s="4590">
        <f>'Segment As Reported'!DB264</f>
        <v>307</v>
      </c>
      <c r="T302" s="4590">
        <f>'Segment As Reported'!DG125</f>
        <v>327</v>
      </c>
      <c r="U302" s="4590">
        <f>'Segment As Reported'!DL125</f>
        <v>566</v>
      </c>
      <c r="V302" s="4590">
        <f>'Segment As Reported'!DQ125</f>
        <v>376.94399999999996</v>
      </c>
      <c r="W302" s="4590">
        <f>'Segment As Reported'!DV125</f>
        <v>382.31499999999869</v>
      </c>
      <c r="X302" s="4590">
        <f>'Segment As Reported'!EA125</f>
        <v>384.32639999999992</v>
      </c>
      <c r="Y302" s="4590">
        <f>'Segment As Reported'!EF125</f>
        <v>362.71399999999858</v>
      </c>
      <c r="Z302" s="4590">
        <f>'Segment As Reported'!EK125</f>
        <v>412.05000000000018</v>
      </c>
      <c r="AA302" s="4590">
        <f>'Segment As Reported'!EP125</f>
        <v>465.46318205272837</v>
      </c>
      <c r="AB302" s="4590">
        <f>'Segment As Reported'!EU125</f>
        <v>489.4654572358304</v>
      </c>
      <c r="AC302" s="4590">
        <f>'Segment As Reported'!EV125</f>
        <v>529.4867648037216</v>
      </c>
      <c r="AD302" s="4590">
        <f>'Segment As Reported'!EW125</f>
        <v>553.03449645031287</v>
      </c>
      <c r="AE302" s="4590">
        <f>'Segment As Reported'!EX125</f>
        <v>576.47895267052081</v>
      </c>
      <c r="AF302" s="4590">
        <f>'Segment As Reported'!EY125</f>
        <v>581.50712984305574</v>
      </c>
      <c r="AH302" s="4798"/>
    </row>
    <row r="303" spans="1:34" s="766" customFormat="1">
      <c r="A303" s="4585" t="str">
        <f>A$23</f>
        <v>SBC</v>
      </c>
      <c r="B303" s="4590"/>
      <c r="C303" s="4590"/>
      <c r="D303" s="4590"/>
      <c r="E303" s="4590"/>
      <c r="F303" s="4590"/>
      <c r="G303" s="4590"/>
      <c r="H303" s="4590"/>
      <c r="I303" s="4590"/>
      <c r="J303" s="4590"/>
      <c r="K303" s="4590"/>
      <c r="L303" s="4590"/>
      <c r="M303" s="4590"/>
      <c r="N303" s="4590"/>
      <c r="O303" s="4590">
        <f>'Segment As Reported'!CH265</f>
        <v>124</v>
      </c>
      <c r="P303" s="4590">
        <f>'Segment As Reported'!CM265</f>
        <v>347</v>
      </c>
      <c r="Q303" s="4590">
        <f>'Segment As Reported'!CR265</f>
        <v>481</v>
      </c>
      <c r="R303" s="4590">
        <f>'Segment As Reported'!CW265</f>
        <v>647</v>
      </c>
      <c r="S303" s="4590">
        <f>'Segment As Reported'!DB265</f>
        <v>363</v>
      </c>
      <c r="T303" s="4590">
        <f>'Segment As Reported'!DG126</f>
        <v>489</v>
      </c>
      <c r="U303" s="4590">
        <f>'Segment As Reported'!DL126</f>
        <v>474</v>
      </c>
      <c r="V303" s="4590">
        <f>'Segment As Reported'!DQ126</f>
        <v>532.41844494382008</v>
      </c>
      <c r="W303" s="4590">
        <f>'Segment As Reported'!DV126</f>
        <v>671.17600000000039</v>
      </c>
      <c r="X303" s="4590">
        <f>'Segment As Reported'!EA126</f>
        <v>818.95999999999913</v>
      </c>
      <c r="Y303" s="4590">
        <f>'Segment As Reported'!EF126</f>
        <v>782.25730000000021</v>
      </c>
      <c r="Z303" s="4590">
        <f>'Segment As Reported'!EK126</f>
        <v>744.56600000000071</v>
      </c>
      <c r="AA303" s="4590">
        <f>'Segment As Reported'!EP126</f>
        <v>772.87399182551235</v>
      </c>
      <c r="AB303" s="4590">
        <f>'Segment As Reported'!EU126</f>
        <v>784.89166804950582</v>
      </c>
      <c r="AC303" s="4590">
        <f>'Segment As Reported'!EV126</f>
        <v>835.6592098908568</v>
      </c>
      <c r="AD303" s="4590">
        <f>'Segment As Reported'!EW126</f>
        <v>878.01423733812771</v>
      </c>
      <c r="AE303" s="4590">
        <f>'Segment As Reported'!EX126</f>
        <v>884.3888480416681</v>
      </c>
      <c r="AF303" s="4590">
        <f>'Segment As Reported'!EY126</f>
        <v>891.59933341547912</v>
      </c>
      <c r="AH303" s="4798"/>
    </row>
    <row r="304" spans="1:34" s="766" customFormat="1">
      <c r="A304" s="4586" t="str">
        <f>A$25</f>
        <v>Adj. EBITDA</v>
      </c>
      <c r="B304" s="4589"/>
      <c r="C304" s="4589"/>
      <c r="D304" s="4589"/>
      <c r="E304" s="4589"/>
      <c r="F304" s="4589"/>
      <c r="G304" s="4589"/>
      <c r="H304" s="4589"/>
      <c r="I304" s="4589"/>
      <c r="J304" s="4589"/>
      <c r="K304" s="4589"/>
      <c r="L304" s="4589"/>
      <c r="M304" s="4589"/>
      <c r="N304" s="4589"/>
      <c r="O304" s="4589">
        <f t="shared" ref="O304:AB304" si="220">O295+SUM(O302:O303)</f>
        <v>-379</v>
      </c>
      <c r="P304" s="4589">
        <f t="shared" si="220"/>
        <v>-1447</v>
      </c>
      <c r="Q304" s="4589">
        <f t="shared" si="220"/>
        <v>-2802</v>
      </c>
      <c r="R304" s="4589">
        <f t="shared" si="220"/>
        <v>-2591</v>
      </c>
      <c r="S304" s="4589">
        <f t="shared" si="220"/>
        <v>-2064</v>
      </c>
      <c r="T304" s="4589">
        <f t="shared" si="220"/>
        <v>-2542</v>
      </c>
      <c r="U304" s="4589">
        <f t="shared" si="220"/>
        <v>-3784</v>
      </c>
      <c r="V304" s="4589">
        <f t="shared" si="220"/>
        <v>-3566.6375550561797</v>
      </c>
      <c r="W304" s="4589">
        <f t="shared" si="220"/>
        <v>-4227.5090000000009</v>
      </c>
      <c r="X304" s="4589">
        <f t="shared" si="220"/>
        <v>-3432.713600000001</v>
      </c>
      <c r="Y304" s="4589">
        <f t="shared" si="220"/>
        <v>-2950.0287000000012</v>
      </c>
      <c r="Z304" s="4589">
        <f t="shared" si="220"/>
        <v>-3287.3839999999991</v>
      </c>
      <c r="AA304" s="4589">
        <f t="shared" si="220"/>
        <v>-4222.8329005477754</v>
      </c>
      <c r="AB304" s="4589">
        <f t="shared" si="220"/>
        <v>-4373.7531117828548</v>
      </c>
      <c r="AC304" s="4589">
        <f>AC295+SUM(AC302:AC303)</f>
        <v>-4391.9678517973789</v>
      </c>
      <c r="AD304" s="4589">
        <f>AD295+SUM(AD302:AD303)</f>
        <v>-2740.5157815296407</v>
      </c>
      <c r="AE304" s="4589">
        <f>AE295+SUM(AE302:AE303)</f>
        <v>-526.64939167396005</v>
      </c>
      <c r="AF304" s="4589">
        <f>AF295+SUM(AF302:AF303)</f>
        <v>1339.590541189742</v>
      </c>
      <c r="AH304" s="4798"/>
    </row>
    <row r="305" spans="1:34" s="766" customFormat="1">
      <c r="A305" s="4581"/>
      <c r="B305" s="4582"/>
      <c r="C305" s="4582"/>
      <c r="D305" s="4582"/>
      <c r="E305" s="4582"/>
      <c r="F305" s="4582"/>
      <c r="G305" s="4582"/>
      <c r="H305" s="4582"/>
      <c r="I305" s="4582"/>
      <c r="J305" s="4582"/>
      <c r="K305" s="4582"/>
      <c r="L305" s="4582"/>
      <c r="M305" s="4582"/>
      <c r="N305" s="4582"/>
      <c r="O305" s="4582"/>
      <c r="P305" s="4582"/>
      <c r="Q305" s="4582"/>
      <c r="R305" s="4582"/>
      <c r="S305" s="4582"/>
      <c r="T305" s="4582"/>
      <c r="U305" s="4582"/>
      <c r="V305" s="4594"/>
      <c r="W305" s="4582"/>
      <c r="X305" s="4582"/>
      <c r="Y305" s="4582"/>
      <c r="Z305" s="4582"/>
      <c r="AA305" s="4582"/>
      <c r="AB305" s="4582"/>
      <c r="AC305" s="4582"/>
      <c r="AD305" s="4582"/>
      <c r="AE305" s="4582"/>
      <c r="AF305" s="4582"/>
      <c r="AH305" s="4796"/>
    </row>
    <row r="306" spans="1:34" s="766" customFormat="1">
      <c r="A306" s="4596" t="s">
        <v>892</v>
      </c>
      <c r="B306" s="4592"/>
      <c r="C306" s="4592"/>
      <c r="D306" s="4592"/>
      <c r="E306" s="4592"/>
      <c r="F306" s="4592"/>
      <c r="G306" s="4592"/>
      <c r="H306" s="4592"/>
      <c r="I306" s="4592"/>
      <c r="J306" s="4592"/>
      <c r="K306" s="4592"/>
      <c r="L306" s="4592"/>
      <c r="M306" s="4592"/>
      <c r="N306" s="4592"/>
      <c r="O306" s="4592"/>
      <c r="P306" s="4592"/>
      <c r="Q306" s="4592"/>
      <c r="R306" s="4592"/>
      <c r="S306" s="4592"/>
      <c r="T306" s="4592"/>
      <c r="U306" s="4592"/>
      <c r="V306" s="4592"/>
      <c r="W306" s="4592"/>
      <c r="X306" s="4592"/>
      <c r="Y306" s="4592"/>
      <c r="Z306" s="4592"/>
      <c r="AA306" s="4592"/>
      <c r="AB306" s="4592"/>
      <c r="AC306" s="4592"/>
      <c r="AD306" s="4592"/>
      <c r="AE306" s="4592"/>
      <c r="AF306" s="4592"/>
      <c r="AH306" s="4798"/>
    </row>
    <row r="307" spans="1:34" s="766" customFormat="1">
      <c r="A307" s="4595" t="str">
        <f>A289</f>
        <v>Gross Revenue</v>
      </c>
      <c r="B307" s="4247"/>
      <c r="C307" s="4247"/>
      <c r="D307" s="4247"/>
      <c r="E307" s="4247"/>
      <c r="F307" s="4247"/>
      <c r="G307" s="4247"/>
      <c r="H307" s="4247"/>
      <c r="I307" s="4247"/>
      <c r="J307" s="4247"/>
      <c r="K307" s="4247"/>
      <c r="L307" s="4247"/>
      <c r="M307" s="4247"/>
      <c r="N307" s="4247"/>
      <c r="O307" s="4247"/>
      <c r="P307" s="4247">
        <f t="shared" ref="P307:AF307" si="221">IF(P289*O289&lt;=0,"NA",(P289-O289)/ABS(O289))</f>
        <v>26.25</v>
      </c>
      <c r="Q307" s="4247">
        <f t="shared" si="221"/>
        <v>0.36085626911314983</v>
      </c>
      <c r="R307" s="4247">
        <f t="shared" si="221"/>
        <v>0.81797752808988766</v>
      </c>
      <c r="S307" s="4247">
        <f t="shared" si="221"/>
        <v>-0.41038318912237332</v>
      </c>
      <c r="T307" s="4247">
        <f t="shared" si="221"/>
        <v>0.24737945492662475</v>
      </c>
      <c r="U307" s="4247">
        <f t="shared" si="221"/>
        <v>0.10756302521008404</v>
      </c>
      <c r="V307" s="4247">
        <f t="shared" si="221"/>
        <v>-3.0349013657056147E-3</v>
      </c>
      <c r="W307" s="4247">
        <f t="shared" si="221"/>
        <v>0.14611872146118721</v>
      </c>
      <c r="X307" s="4247">
        <f t="shared" si="221"/>
        <v>0.41832669322709165</v>
      </c>
      <c r="Y307" s="4247">
        <f t="shared" si="221"/>
        <v>0.4297752808988764</v>
      </c>
      <c r="Z307" s="4247">
        <f t="shared" si="221"/>
        <v>7.9240340537000659E-2</v>
      </c>
      <c r="AA307" s="4247">
        <f t="shared" si="221"/>
        <v>-7.0976941747561237E-2</v>
      </c>
      <c r="AB307" s="4247">
        <f t="shared" si="221"/>
        <v>0.10139267785575458</v>
      </c>
      <c r="AC307" s="4247">
        <f t="shared" si="221"/>
        <v>0.12452240707766091</v>
      </c>
      <c r="AD307" s="4247">
        <f t="shared" si="221"/>
        <v>0.15099706203514068</v>
      </c>
      <c r="AE307" s="4247">
        <f t="shared" si="221"/>
        <v>0.19129358609493974</v>
      </c>
      <c r="AF307" s="4247">
        <f t="shared" si="221"/>
        <v>0.2343021937273595</v>
      </c>
      <c r="AH307" s="4799"/>
    </row>
    <row r="308" spans="1:34" s="766" customFormat="1">
      <c r="A308" s="4595" t="str">
        <f>A291</f>
        <v>Net Revenue</v>
      </c>
      <c r="B308" s="4247"/>
      <c r="C308" s="4247"/>
      <c r="D308" s="4247"/>
      <c r="E308" s="4247"/>
      <c r="F308" s="4247"/>
      <c r="G308" s="4247"/>
      <c r="H308" s="4247"/>
      <c r="I308" s="4247"/>
      <c r="J308" s="4247"/>
      <c r="K308" s="4247"/>
      <c r="L308" s="4247"/>
      <c r="M308" s="4247"/>
      <c r="N308" s="4247"/>
      <c r="O308" s="4247"/>
      <c r="P308" s="4247">
        <f t="shared" ref="P308:AF308" si="222">IF(P291*O291&lt;=0,"NA",(P291-O291)/ABS(O291))</f>
        <v>26.25</v>
      </c>
      <c r="Q308" s="4247">
        <f t="shared" si="222"/>
        <v>0.36085626911314983</v>
      </c>
      <c r="R308" s="4247">
        <f t="shared" si="222"/>
        <v>0.81797752808988766</v>
      </c>
      <c r="S308" s="4247">
        <f t="shared" si="222"/>
        <v>-0.41038318912237332</v>
      </c>
      <c r="T308" s="4247">
        <f t="shared" si="222"/>
        <v>0.24737945492662475</v>
      </c>
      <c r="U308" s="4247">
        <f t="shared" si="222"/>
        <v>0.10756302521008404</v>
      </c>
      <c r="V308" s="4247">
        <f t="shared" si="222"/>
        <v>-3.0349013657056147E-3</v>
      </c>
      <c r="W308" s="4247">
        <f t="shared" si="222"/>
        <v>0.14611872146118721</v>
      </c>
      <c r="X308" s="4247">
        <f t="shared" si="222"/>
        <v>0.41832669322709165</v>
      </c>
      <c r="Y308" s="4247">
        <f t="shared" si="222"/>
        <v>0.4297752808988764</v>
      </c>
      <c r="Z308" s="4247">
        <f t="shared" si="222"/>
        <v>7.9240340537000659E-2</v>
      </c>
      <c r="AA308" s="4247">
        <f t="shared" si="222"/>
        <v>-7.0976941747561237E-2</v>
      </c>
      <c r="AB308" s="4247">
        <f t="shared" si="222"/>
        <v>0.10139267785575458</v>
      </c>
      <c r="AC308" s="4247">
        <f t="shared" si="222"/>
        <v>0.12452240707766091</v>
      </c>
      <c r="AD308" s="4247">
        <f t="shared" si="222"/>
        <v>0.15099706203514068</v>
      </c>
      <c r="AE308" s="4247">
        <f t="shared" si="222"/>
        <v>0.19129358609493974</v>
      </c>
      <c r="AF308" s="4247">
        <f t="shared" si="222"/>
        <v>0.2343021937273595</v>
      </c>
      <c r="AH308" s="4799"/>
    </row>
    <row r="309" spans="1:34" s="766" customFormat="1">
      <c r="A309" s="4595" t="str">
        <f>A293</f>
        <v>Gross Profit</v>
      </c>
      <c r="B309" s="4247"/>
      <c r="C309" s="4247"/>
      <c r="D309" s="4247"/>
      <c r="E309" s="4247"/>
      <c r="F309" s="4247"/>
      <c r="G309" s="4247"/>
      <c r="H309" s="4247"/>
      <c r="I309" s="4247"/>
      <c r="J309" s="4247"/>
      <c r="K309" s="4247"/>
      <c r="L309" s="4247"/>
      <c r="M309" s="4247"/>
      <c r="N309" s="4247"/>
      <c r="O309" s="4247"/>
      <c r="P309" s="4247">
        <f t="shared" ref="P309:AF309" si="223">IF(P293*O293&lt;=0,"NA",(P293-O293)/ABS(O293))</f>
        <v>26.25</v>
      </c>
      <c r="Q309" s="4247">
        <f t="shared" si="223"/>
        <v>0.36085626911315</v>
      </c>
      <c r="R309" s="4247">
        <f t="shared" si="223"/>
        <v>0.81797752808988744</v>
      </c>
      <c r="S309" s="4247">
        <f t="shared" si="223"/>
        <v>-0.41038318912237332</v>
      </c>
      <c r="T309" s="4247">
        <f t="shared" si="223"/>
        <v>6.9182389937106986E-2</v>
      </c>
      <c r="U309" s="4247">
        <f t="shared" si="223"/>
        <v>0.10756302521008397</v>
      </c>
      <c r="V309" s="4247">
        <f t="shared" si="223"/>
        <v>-3.034901365705586E-3</v>
      </c>
      <c r="W309" s="4247">
        <f t="shared" si="223"/>
        <v>0.14611872146118729</v>
      </c>
      <c r="X309" s="4247">
        <f t="shared" si="223"/>
        <v>0.41832669322709148</v>
      </c>
      <c r="Y309" s="4247">
        <f t="shared" si="223"/>
        <v>0.4297752808988764</v>
      </c>
      <c r="Z309" s="4247">
        <f t="shared" si="223"/>
        <v>7.9240340537000686E-2</v>
      </c>
      <c r="AA309" s="4247">
        <f t="shared" si="223"/>
        <v>-7.0976941747561223E-2</v>
      </c>
      <c r="AB309" s="4247">
        <f t="shared" si="223"/>
        <v>0.10139267785575456</v>
      </c>
      <c r="AC309" s="4247">
        <f t="shared" si="223"/>
        <v>0.12452240707766087</v>
      </c>
      <c r="AD309" s="4247">
        <f t="shared" si="223"/>
        <v>0.15099706203514066</v>
      </c>
      <c r="AE309" s="4247">
        <f t="shared" si="223"/>
        <v>0.19129358609493979</v>
      </c>
      <c r="AF309" s="4247">
        <f t="shared" si="223"/>
        <v>0.23430219372735953</v>
      </c>
      <c r="AH309" s="4799"/>
    </row>
    <row r="310" spans="1:34" s="766" customFormat="1">
      <c r="A310" s="4595" t="str">
        <f>A304</f>
        <v>Adj. EBITDA</v>
      </c>
      <c r="B310" s="4247"/>
      <c r="C310" s="4247"/>
      <c r="D310" s="4247"/>
      <c r="E310" s="4247"/>
      <c r="F310" s="4247"/>
      <c r="G310" s="4247"/>
      <c r="H310" s="4247"/>
      <c r="I310" s="4247"/>
      <c r="J310" s="4247"/>
      <c r="K310" s="4247"/>
      <c r="L310" s="4247"/>
      <c r="M310" s="4247"/>
      <c r="N310" s="4247"/>
      <c r="O310" s="4247"/>
      <c r="P310" s="4247">
        <f t="shared" ref="P310:AF310" si="224">IF(P304*O304&lt;=0,"NA",(P304-O304)/ABS(O304))</f>
        <v>-2.8179419525065965</v>
      </c>
      <c r="Q310" s="4247">
        <f t="shared" si="224"/>
        <v>-0.93642017968210089</v>
      </c>
      <c r="R310" s="4247">
        <f t="shared" si="224"/>
        <v>7.5303354746609569E-2</v>
      </c>
      <c r="S310" s="4247">
        <f t="shared" si="224"/>
        <v>0.2033963720571208</v>
      </c>
      <c r="T310" s="4247">
        <f t="shared" si="224"/>
        <v>-0.2315891472868217</v>
      </c>
      <c r="U310" s="4247">
        <f t="shared" si="224"/>
        <v>-0.48859166011014948</v>
      </c>
      <c r="V310" s="4247">
        <f t="shared" si="224"/>
        <v>5.7442506591918671E-2</v>
      </c>
      <c r="W310" s="4247">
        <f t="shared" si="224"/>
        <v>-0.18529257171280233</v>
      </c>
      <c r="X310" s="4247">
        <f t="shared" si="224"/>
        <v>0.18800560803063926</v>
      </c>
      <c r="Y310" s="4247">
        <f t="shared" si="224"/>
        <v>0.14061321631959031</v>
      </c>
      <c r="Z310" s="4247">
        <f t="shared" si="224"/>
        <v>-0.11435661625935969</v>
      </c>
      <c r="AA310" s="4247">
        <f t="shared" si="224"/>
        <v>-0.28455723473368993</v>
      </c>
      <c r="AB310" s="4247">
        <f t="shared" si="224"/>
        <v>-3.5739091455762428E-2</v>
      </c>
      <c r="AC310" s="4247">
        <f t="shared" si="224"/>
        <v>-4.1645560572346231E-3</v>
      </c>
      <c r="AD310" s="4247">
        <f t="shared" si="224"/>
        <v>0.37601642953554276</v>
      </c>
      <c r="AE310" s="4247">
        <f t="shared" si="224"/>
        <v>0.80782836748343534</v>
      </c>
      <c r="AF310" s="4247" t="str">
        <f t="shared" si="224"/>
        <v>NA</v>
      </c>
      <c r="AH310" s="4799"/>
    </row>
    <row r="311" spans="1:34" s="766" customFormat="1">
      <c r="A311" s="4595" t="str">
        <f>A295</f>
        <v>GAAP Operating Income</v>
      </c>
      <c r="B311" s="4247"/>
      <c r="C311" s="4247"/>
      <c r="D311" s="4247"/>
      <c r="E311" s="4247"/>
      <c r="F311" s="4247"/>
      <c r="G311" s="4247"/>
      <c r="H311" s="4247"/>
      <c r="I311" s="4247"/>
      <c r="J311" s="4247"/>
      <c r="K311" s="4247"/>
      <c r="L311" s="4247"/>
      <c r="M311" s="4247"/>
      <c r="N311" s="4247"/>
      <c r="O311" s="4247"/>
      <c r="P311" s="4247">
        <f t="shared" ref="P311:AF311" si="225">IF(P295*O295&lt;=0,"NA",(P295-O295)/ABS(O295))</f>
        <v>-2.6850094876660342</v>
      </c>
      <c r="Q311" s="4247">
        <f t="shared" si="225"/>
        <v>-0.79505664263645726</v>
      </c>
      <c r="R311" s="4247">
        <f t="shared" si="225"/>
        <v>-2.6391279403327597E-2</v>
      </c>
      <c r="S311" s="4247">
        <f t="shared" si="225"/>
        <v>0.23588596981553941</v>
      </c>
      <c r="T311" s="4247">
        <f t="shared" si="225"/>
        <v>-0.2282370153621068</v>
      </c>
      <c r="U311" s="4247">
        <f t="shared" si="225"/>
        <v>-0.43656938653960692</v>
      </c>
      <c r="V311" s="4247">
        <f t="shared" si="225"/>
        <v>7.2139303482587069E-2</v>
      </c>
      <c r="W311" s="4247">
        <f t="shared" si="225"/>
        <v>-0.17984807864164432</v>
      </c>
      <c r="X311" s="4247">
        <f t="shared" si="225"/>
        <v>0.12213595909865556</v>
      </c>
      <c r="Y311" s="4247">
        <f t="shared" si="225"/>
        <v>0.11669542709232096</v>
      </c>
      <c r="Z311" s="4247">
        <f t="shared" si="225"/>
        <v>-8.5225885225885228E-2</v>
      </c>
      <c r="AA311" s="4247">
        <f t="shared" si="225"/>
        <v>-0.22888615536138976</v>
      </c>
      <c r="AB311" s="4247">
        <f t="shared" si="225"/>
        <v>-3.4230789390279681E-2</v>
      </c>
      <c r="AC311" s="4247">
        <f t="shared" si="225"/>
        <v>-1.9299125698429637E-2</v>
      </c>
      <c r="AD311" s="4247">
        <f t="shared" si="225"/>
        <v>0.27540697630083433</v>
      </c>
      <c r="AE311" s="4247">
        <f t="shared" si="225"/>
        <v>0.52355592605893064</v>
      </c>
      <c r="AF311" s="4247">
        <f t="shared" si="225"/>
        <v>0.93282275867586439</v>
      </c>
      <c r="AH311" s="4799"/>
    </row>
    <row r="312" spans="1:34" s="766" customFormat="1">
      <c r="A312" s="4595" t="str">
        <f>A300</f>
        <v>GAAP EPS</v>
      </c>
      <c r="B312" s="4247"/>
      <c r="C312" s="4247"/>
      <c r="D312" s="4247"/>
      <c r="E312" s="4247"/>
      <c r="F312" s="4247"/>
      <c r="G312" s="4247"/>
      <c r="H312" s="4247"/>
      <c r="I312" s="4247"/>
      <c r="J312" s="4247"/>
      <c r="K312" s="4247"/>
      <c r="L312" s="4247"/>
      <c r="M312" s="4247"/>
      <c r="N312" s="4247"/>
      <c r="O312" s="4247"/>
      <c r="P312" s="4247">
        <f t="shared" ref="P312:AF312" si="226">IF(P300*O300&lt;=0,"NA",(P300-O300)/ABS(O300))</f>
        <v>-3.7815414207528186</v>
      </c>
      <c r="Q312" s="4247">
        <f t="shared" si="226"/>
        <v>-1.0473786602184258</v>
      </c>
      <c r="R312" s="4247">
        <f t="shared" si="226"/>
        <v>-1.6969599852347479E-2</v>
      </c>
      <c r="S312" s="4247">
        <f t="shared" si="226"/>
        <v>0.30238883583723702</v>
      </c>
      <c r="T312" s="4247" t="str">
        <f t="shared" si="226"/>
        <v>NA</v>
      </c>
      <c r="U312" s="4247" t="str">
        <f t="shared" si="226"/>
        <v>NA</v>
      </c>
      <c r="V312" s="4247" t="str">
        <f t="shared" si="226"/>
        <v>NA</v>
      </c>
      <c r="W312" s="4247">
        <f t="shared" si="226"/>
        <v>9.3799840301660247</v>
      </c>
      <c r="X312" s="4247" t="str">
        <f t="shared" si="226"/>
        <v>NA</v>
      </c>
      <c r="Y312" s="4247">
        <f t="shared" si="226"/>
        <v>0.51125106748626914</v>
      </c>
      <c r="Z312" s="4247">
        <f t="shared" si="226"/>
        <v>0.84815130529884286</v>
      </c>
      <c r="AA312" s="4247" t="str">
        <f t="shared" si="226"/>
        <v>NA</v>
      </c>
      <c r="AB312" s="4247" t="str">
        <f t="shared" si="226"/>
        <v>NA</v>
      </c>
      <c r="AC312" s="4247">
        <f t="shared" ca="1" si="226"/>
        <v>-2.7463489152128651E-2</v>
      </c>
      <c r="AD312" s="4247">
        <f t="shared" ca="1" si="226"/>
        <v>0.26899473534001289</v>
      </c>
      <c r="AE312" s="4247">
        <f t="shared" ca="1" si="226"/>
        <v>0.51877922449956171</v>
      </c>
      <c r="AF312" s="4247">
        <f t="shared" ca="1" si="226"/>
        <v>0.93207052174604266</v>
      </c>
      <c r="AH312" s="4799"/>
    </row>
    <row r="313" spans="1:34" s="766" customFormat="1">
      <c r="A313" s="4593" t="s">
        <v>891</v>
      </c>
      <c r="B313" s="4592"/>
      <c r="C313" s="4592"/>
      <c r="D313" s="4592"/>
      <c r="E313" s="4592"/>
      <c r="F313" s="4592"/>
      <c r="G313" s="4592"/>
      <c r="H313" s="4592"/>
      <c r="I313" s="4592"/>
      <c r="J313" s="4592"/>
      <c r="K313" s="4592"/>
      <c r="L313" s="4592"/>
      <c r="M313" s="4592"/>
      <c r="N313" s="4592"/>
      <c r="O313" s="4592"/>
      <c r="P313" s="4592"/>
      <c r="Q313" s="4592"/>
      <c r="R313" s="4592"/>
      <c r="S313" s="4592"/>
      <c r="T313" s="4592"/>
      <c r="U313" s="4592"/>
      <c r="V313" s="4592"/>
      <c r="W313" s="4592"/>
      <c r="X313" s="4592"/>
      <c r="Y313" s="4592"/>
      <c r="Z313" s="4592"/>
      <c r="AA313" s="4592"/>
      <c r="AB313" s="4592"/>
      <c r="AC313" s="4592"/>
      <c r="AD313" s="4592"/>
      <c r="AE313" s="4592"/>
      <c r="AF313" s="4592"/>
      <c r="AH313" s="4798"/>
    </row>
    <row r="314" spans="1:34" s="766" customFormat="1">
      <c r="A314" s="4581" t="str">
        <f>A291</f>
        <v>Net Revenue</v>
      </c>
      <c r="B314" s="4594"/>
      <c r="C314" s="4594"/>
      <c r="D314" s="4594"/>
      <c r="E314" s="4594"/>
      <c r="F314" s="4594"/>
      <c r="G314" s="4594"/>
      <c r="H314" s="4594"/>
      <c r="I314" s="4594"/>
      <c r="J314" s="4594"/>
      <c r="K314" s="4594"/>
      <c r="L314" s="4594"/>
      <c r="M314" s="4594"/>
      <c r="N314" s="4594"/>
      <c r="O314" s="4594">
        <f t="shared" ref="O314:AB314" si="227">O291/O289</f>
        <v>1</v>
      </c>
      <c r="P314" s="4594">
        <f t="shared" si="227"/>
        <v>1</v>
      </c>
      <c r="Q314" s="4594">
        <f t="shared" si="227"/>
        <v>1</v>
      </c>
      <c r="R314" s="4594">
        <f t="shared" si="227"/>
        <v>1</v>
      </c>
      <c r="S314" s="4594">
        <f t="shared" si="227"/>
        <v>1</v>
      </c>
      <c r="T314" s="4594">
        <f t="shared" si="227"/>
        <v>1</v>
      </c>
      <c r="U314" s="4594">
        <f t="shared" si="227"/>
        <v>1</v>
      </c>
      <c r="V314" s="4594">
        <f t="shared" si="227"/>
        <v>1</v>
      </c>
      <c r="W314" s="4594">
        <f t="shared" si="227"/>
        <v>1</v>
      </c>
      <c r="X314" s="4594">
        <f t="shared" si="227"/>
        <v>1</v>
      </c>
      <c r="Y314" s="4594">
        <f t="shared" si="227"/>
        <v>1</v>
      </c>
      <c r="Z314" s="4594">
        <f t="shared" si="227"/>
        <v>1</v>
      </c>
      <c r="AA314" s="4594">
        <f t="shared" si="227"/>
        <v>1</v>
      </c>
      <c r="AB314" s="4594">
        <f t="shared" si="227"/>
        <v>1</v>
      </c>
      <c r="AC314" s="4594">
        <f>AC291/AC289</f>
        <v>1</v>
      </c>
      <c r="AD314" s="4594">
        <f>AD291/AD289</f>
        <v>1</v>
      </c>
      <c r="AE314" s="4594">
        <f>AE291/AE289</f>
        <v>1</v>
      </c>
      <c r="AF314" s="4594">
        <f>AF291/AF289</f>
        <v>1</v>
      </c>
      <c r="AH314" s="4797"/>
    </row>
    <row r="315" spans="1:34" s="766" customFormat="1">
      <c r="A315" s="4581" t="str">
        <f>A293</f>
        <v>Gross Profit</v>
      </c>
      <c r="B315" s="4598"/>
      <c r="C315" s="4598"/>
      <c r="D315" s="4598"/>
      <c r="E315" s="4598"/>
      <c r="F315" s="4598"/>
      <c r="G315" s="4598"/>
      <c r="H315" s="4598"/>
      <c r="I315" s="4598"/>
      <c r="J315" s="4598"/>
      <c r="K315" s="4598"/>
      <c r="L315" s="4598"/>
      <c r="M315" s="4598"/>
      <c r="N315" s="4598"/>
      <c r="O315" s="4598">
        <v>0.7</v>
      </c>
      <c r="P315" s="4598">
        <v>0.7</v>
      </c>
      <c r="Q315" s="4598">
        <v>0.7</v>
      </c>
      <c r="R315" s="4598">
        <v>0.7</v>
      </c>
      <c r="S315" s="4598">
        <v>0.7</v>
      </c>
      <c r="T315" s="4598">
        <v>0.6</v>
      </c>
      <c r="U315" s="4598">
        <v>0.6</v>
      </c>
      <c r="V315" s="4598">
        <v>0.6</v>
      </c>
      <c r="W315" s="4598">
        <v>0.6</v>
      </c>
      <c r="X315" s="4598">
        <v>0.6</v>
      </c>
      <c r="Y315" s="4598">
        <v>0.6</v>
      </c>
      <c r="Z315" s="4598">
        <v>0.6</v>
      </c>
      <c r="AA315" s="4598">
        <v>0.6</v>
      </c>
      <c r="AB315" s="4598">
        <v>0.6</v>
      </c>
      <c r="AC315" s="4598">
        <v>0.6</v>
      </c>
      <c r="AD315" s="4598">
        <v>0.6</v>
      </c>
      <c r="AE315" s="4598">
        <v>0.6</v>
      </c>
      <c r="AF315" s="4598">
        <v>0.6</v>
      </c>
      <c r="AH315" s="4805"/>
    </row>
    <row r="316" spans="1:34" s="766" customFormat="1">
      <c r="A316" s="4581" t="str">
        <f>A304</f>
        <v>Adj. EBITDA</v>
      </c>
      <c r="B316" s="4594"/>
      <c r="C316" s="4594"/>
      <c r="D316" s="4594"/>
      <c r="E316" s="4594"/>
      <c r="F316" s="4594"/>
      <c r="G316" s="4594"/>
      <c r="H316" s="4594"/>
      <c r="I316" s="4594"/>
      <c r="J316" s="4594"/>
      <c r="K316" s="4594"/>
      <c r="L316" s="4594"/>
      <c r="M316" s="4594"/>
      <c r="N316" s="4594"/>
      <c r="O316" s="4594">
        <f t="shared" ref="O316:AB316" si="228">O304/O289</f>
        <v>-31.583333333333332</v>
      </c>
      <c r="P316" s="4594">
        <f t="shared" si="228"/>
        <v>-4.425076452599388</v>
      </c>
      <c r="Q316" s="4594">
        <f t="shared" si="228"/>
        <v>-6.2966292134831461</v>
      </c>
      <c r="R316" s="4594">
        <f t="shared" si="228"/>
        <v>-3.2027194066749072</v>
      </c>
      <c r="S316" s="4594">
        <f t="shared" si="228"/>
        <v>-4.3270440251572326</v>
      </c>
      <c r="T316" s="4594">
        <f t="shared" si="228"/>
        <v>-4.2722689075630251</v>
      </c>
      <c r="U316" s="4594">
        <f t="shared" si="228"/>
        <v>-5.7420333839150226</v>
      </c>
      <c r="V316" s="4594">
        <f t="shared" si="228"/>
        <v>-5.42867207771108</v>
      </c>
      <c r="W316" s="4594">
        <f t="shared" si="228"/>
        <v>-5.6142217795484743</v>
      </c>
      <c r="X316" s="4594">
        <f t="shared" si="228"/>
        <v>-3.2141513108614239</v>
      </c>
      <c r="Y316" s="4594">
        <f t="shared" si="228"/>
        <v>-1.9319113948919457</v>
      </c>
      <c r="Z316" s="4594">
        <f t="shared" si="228"/>
        <v>-1.9947718446601936</v>
      </c>
      <c r="AA316" s="4594">
        <f t="shared" si="228"/>
        <v>-2.7581646999390754</v>
      </c>
      <c r="AB316" s="4594">
        <f t="shared" si="228"/>
        <v>-2.5937515818262868</v>
      </c>
      <c r="AC316" s="4594">
        <f>AC304/AC289</f>
        <v>-2.316141847680826</v>
      </c>
      <c r="AD316" s="4594">
        <f>AD304/AD289</f>
        <v>-1.2556369668421474</v>
      </c>
      <c r="AE316" s="4594">
        <f>AE304/AE289</f>
        <v>-0.20255108277479877</v>
      </c>
      <c r="AF316" s="4594">
        <f>AF304/AF289</f>
        <v>0.41741067698408035</v>
      </c>
      <c r="AH316" s="4797"/>
    </row>
    <row r="317" spans="1:34" s="766" customFormat="1">
      <c r="A317" s="4581" t="str">
        <f>A295</f>
        <v>GAAP Operating Income</v>
      </c>
      <c r="B317" s="4594"/>
      <c r="C317" s="4594"/>
      <c r="D317" s="4594"/>
      <c r="E317" s="4594"/>
      <c r="F317" s="4594"/>
      <c r="G317" s="4594"/>
      <c r="H317" s="4594"/>
      <c r="I317" s="4594"/>
      <c r="J317" s="4594"/>
      <c r="K317" s="4594"/>
      <c r="L317" s="4594"/>
      <c r="M317" s="4594"/>
      <c r="N317" s="4594"/>
      <c r="O317" s="4594">
        <f t="shared" ref="O317:AB317" si="229">O295/O289</f>
        <v>-43.916666666666664</v>
      </c>
      <c r="P317" s="4594">
        <f t="shared" si="229"/>
        <v>-5.9388379204892967</v>
      </c>
      <c r="Q317" s="4594">
        <f t="shared" si="229"/>
        <v>-7.833707865168539</v>
      </c>
      <c r="R317" s="4594">
        <f t="shared" si="229"/>
        <v>-4.4227441285537701</v>
      </c>
      <c r="S317" s="4594">
        <f t="shared" si="229"/>
        <v>-5.7316561844863729</v>
      </c>
      <c r="T317" s="4594">
        <f t="shared" si="229"/>
        <v>-5.643697478991597</v>
      </c>
      <c r="U317" s="4594">
        <f t="shared" si="229"/>
        <v>-7.3201820940819422</v>
      </c>
      <c r="V317" s="4594">
        <f t="shared" si="229"/>
        <v>-6.8127853881278542</v>
      </c>
      <c r="W317" s="4594">
        <f t="shared" si="229"/>
        <v>-7.0132802124833997</v>
      </c>
      <c r="X317" s="4594">
        <f t="shared" si="229"/>
        <v>-4.3408239700374533</v>
      </c>
      <c r="Y317" s="4594">
        <f t="shared" si="229"/>
        <v>-2.6817288801571708</v>
      </c>
      <c r="Z317" s="4594">
        <f t="shared" si="229"/>
        <v>-2.6966019417475726</v>
      </c>
      <c r="AA317" s="4594">
        <f t="shared" si="229"/>
        <v>-3.5669908979092169</v>
      </c>
      <c r="AB317" s="4594">
        <f t="shared" si="229"/>
        <v>-3.3494791514999873</v>
      </c>
      <c r="AC317" s="4594">
        <f>AC295/AC289</f>
        <v>-3.0360632648854562</v>
      </c>
      <c r="AD317" s="4594">
        <f>AD295/AD289</f>
        <v>-1.911308320244999</v>
      </c>
      <c r="AE317" s="4594">
        <f>AE295/AE289</f>
        <v>-0.76440562870823414</v>
      </c>
      <c r="AF317" s="4594">
        <f>AF295/AF289</f>
        <v>-4.1602989648905492E-2</v>
      </c>
      <c r="AH317" s="4797"/>
    </row>
    <row r="318" spans="1:34" s="766" customFormat="1">
      <c r="A318" s="4581" t="str">
        <f>A299</f>
        <v>GAAP Net Income</v>
      </c>
      <c r="B318" s="4594"/>
      <c r="C318" s="4594"/>
      <c r="D318" s="4594"/>
      <c r="E318" s="4594"/>
      <c r="F318" s="4594"/>
      <c r="G318" s="4594"/>
      <c r="H318" s="4594"/>
      <c r="I318" s="4594"/>
      <c r="J318" s="4594"/>
      <c r="K318" s="4594"/>
      <c r="L318" s="4594"/>
      <c r="M318" s="4594"/>
      <c r="N318" s="4594"/>
      <c r="O318" s="4594">
        <f t="shared" ref="O318:AB318" si="230">O299/O289</f>
        <v>-30.75</v>
      </c>
      <c r="P318" s="4594">
        <f t="shared" si="230"/>
        <v>-5.4709480122324159</v>
      </c>
      <c r="Q318" s="4594">
        <f t="shared" si="230"/>
        <v>-8.3011235955056186</v>
      </c>
      <c r="R318" s="4594">
        <f t="shared" si="230"/>
        <v>-4.6823238566131025</v>
      </c>
      <c r="S318" s="4594">
        <f t="shared" si="230"/>
        <v>-5.5786163522012577</v>
      </c>
      <c r="T318" s="4594">
        <f t="shared" si="230"/>
        <v>1.5109243697478991</v>
      </c>
      <c r="U318" s="4594">
        <f t="shared" si="230"/>
        <v>-3.795144157814871</v>
      </c>
      <c r="V318" s="4594">
        <f t="shared" si="230"/>
        <v>0.77168949771689499</v>
      </c>
      <c r="W318" s="4594">
        <f t="shared" si="230"/>
        <v>6.8937583001328022</v>
      </c>
      <c r="X318" s="4594">
        <f t="shared" si="230"/>
        <v>-6.8286516853932584</v>
      </c>
      <c r="Y318" s="4594">
        <f t="shared" si="230"/>
        <v>-2.2567125081859856</v>
      </c>
      <c r="Z318" s="4594">
        <f t="shared" si="230"/>
        <v>-0.31067961165048541</v>
      </c>
      <c r="AA318" s="4594">
        <f t="shared" si="230"/>
        <v>10.463433065043652</v>
      </c>
      <c r="AB318" s="4594">
        <f t="shared" si="230"/>
        <v>-3.3494791514999873</v>
      </c>
      <c r="AC318" s="4594">
        <f>AC299/AC289</f>
        <v>-3.0360632648854562</v>
      </c>
      <c r="AD318" s="4594">
        <f>AD299/AD289</f>
        <v>-1.911308320244999</v>
      </c>
      <c r="AE318" s="4594">
        <f>AE299/AE289</f>
        <v>-0.76440562870823414</v>
      </c>
      <c r="AF318" s="4594">
        <f>AF299/AF289</f>
        <v>-4.1602989648905492E-2</v>
      </c>
      <c r="AH318" s="4797"/>
    </row>
    <row r="319" spans="1:34" s="766" customFormat="1">
      <c r="A319" s="4581"/>
      <c r="B319" s="4582"/>
      <c r="C319" s="4582"/>
      <c r="D319" s="4582"/>
      <c r="E319" s="4582"/>
      <c r="F319" s="4582"/>
      <c r="G319" s="4582"/>
      <c r="H319" s="4582"/>
      <c r="I319" s="4582"/>
      <c r="J319" s="4582"/>
      <c r="K319" s="4582"/>
      <c r="L319" s="4582"/>
      <c r="M319" s="4582"/>
      <c r="N319" s="4582"/>
      <c r="O319" s="4582"/>
      <c r="P319" s="4582"/>
      <c r="Q319" s="4582"/>
      <c r="R319" s="4582"/>
      <c r="S319" s="4582"/>
      <c r="T319" s="4582"/>
      <c r="U319" s="4582"/>
      <c r="V319" s="4582"/>
      <c r="W319" s="4582"/>
      <c r="X319" s="4582"/>
      <c r="Y319" s="4582"/>
      <c r="Z319" s="4582"/>
      <c r="AA319" s="4582"/>
      <c r="AB319" s="4582"/>
      <c r="AC319" s="4582"/>
      <c r="AD319" s="4582"/>
      <c r="AE319" s="4582"/>
      <c r="AF319" s="4582"/>
      <c r="AH319" s="4796"/>
    </row>
    <row r="320" spans="1:34" s="627" customFormat="1">
      <c r="A320" s="4584" t="s">
        <v>917</v>
      </c>
      <c r="B320" s="4583"/>
      <c r="C320" s="4583"/>
      <c r="D320" s="4583"/>
      <c r="E320" s="4583"/>
      <c r="F320" s="4583"/>
      <c r="G320" s="4583"/>
      <c r="H320" s="4583"/>
      <c r="I320" s="4583"/>
      <c r="J320" s="4583"/>
      <c r="K320" s="4583"/>
      <c r="L320" s="4583"/>
      <c r="M320" s="4583"/>
      <c r="N320" s="4583"/>
      <c r="O320" s="4583"/>
      <c r="P320" s="4583"/>
      <c r="Q320" s="4583"/>
      <c r="R320" s="4583"/>
      <c r="S320" s="4583"/>
      <c r="T320" s="4583"/>
      <c r="U320" s="4583"/>
      <c r="V320" s="4583"/>
      <c r="W320" s="4583"/>
      <c r="X320" s="4583"/>
      <c r="Y320" s="4583"/>
      <c r="Z320" s="4583"/>
      <c r="AA320" s="4583"/>
      <c r="AB320" s="4583"/>
      <c r="AC320" s="4583"/>
      <c r="AD320" s="4583"/>
      <c r="AE320" s="4583"/>
      <c r="AF320" s="4583"/>
      <c r="AH320" s="4796"/>
    </row>
    <row r="321" spans="1:34" s="766" customFormat="1">
      <c r="A321" s="4586" t="str">
        <f>A$8</f>
        <v>Gross Revenue</v>
      </c>
      <c r="B321" s="4599"/>
      <c r="C321" s="4599"/>
      <c r="D321" s="4599"/>
      <c r="E321" s="4599"/>
      <c r="F321" s="4599"/>
      <c r="G321" s="4599"/>
      <c r="H321" s="4599"/>
      <c r="I321" s="4599"/>
      <c r="J321" s="4599"/>
      <c r="K321" s="4599"/>
      <c r="L321" s="4599"/>
      <c r="M321" s="4599"/>
      <c r="N321" s="4599"/>
      <c r="O321" s="4599">
        <f>'Segment As Reported'!CH301</f>
        <v>0</v>
      </c>
      <c r="P321" s="4599">
        <f>'Segment As Reported'!CM301</f>
        <v>0</v>
      </c>
      <c r="Q321" s="4599">
        <f>'Segment As Reported'!CR301</f>
        <v>0</v>
      </c>
      <c r="R321" s="4599">
        <f>'Segment As Reported'!CW301</f>
        <v>0</v>
      </c>
      <c r="S321" s="4599">
        <f>'Segment As Reported'!DB301</f>
        <v>-169</v>
      </c>
      <c r="T321" s="4589">
        <f>'Segment As Reported'!DG12</f>
        <v>-138</v>
      </c>
      <c r="U321" s="4589">
        <f>'Segment As Reported'!DL12</f>
        <v>455</v>
      </c>
      <c r="V321" s="4589">
        <f>'Segment As Reported'!DQ12</f>
        <v>176</v>
      </c>
      <c r="W321" s="4589">
        <f>'Segment As Reported'!DV12</f>
        <v>149</v>
      </c>
      <c r="X321" s="4589">
        <f>'Segment As Reported'!EA12</f>
        <v>1960</v>
      </c>
      <c r="Y321" s="4589">
        <f>'Segment As Reported'!EF12</f>
        <v>236</v>
      </c>
      <c r="Z321" s="4589">
        <f>'Segment As Reported'!EK12</f>
        <v>211</v>
      </c>
      <c r="AA321" s="4589">
        <f>'Segment As Reported'!EP12</f>
        <v>-254.55607516823349</v>
      </c>
      <c r="AB321" s="4589">
        <f>'Segment As Reported'!EU12</f>
        <v>-586.14891013323847</v>
      </c>
      <c r="AC321" s="4589">
        <f>'Segment As Reported'!EV12</f>
        <v>0</v>
      </c>
      <c r="AD321" s="4589">
        <f>'Segment As Reported'!EW12</f>
        <v>0</v>
      </c>
      <c r="AE321" s="4589">
        <f>'Segment As Reported'!EX12</f>
        <v>0</v>
      </c>
      <c r="AF321" s="4589">
        <f>'Segment As Reported'!EY12</f>
        <v>0</v>
      </c>
      <c r="AH321" s="4807"/>
    </row>
    <row r="322" spans="1:34" s="766" customFormat="1">
      <c r="A322" s="4585" t="str">
        <f>A$9</f>
        <v>TAC</v>
      </c>
      <c r="B322" s="4597"/>
      <c r="C322" s="4597"/>
      <c r="D322" s="4597"/>
      <c r="E322" s="4597"/>
      <c r="F322" s="4597"/>
      <c r="G322" s="4597"/>
      <c r="H322" s="4597"/>
      <c r="I322" s="4597"/>
      <c r="J322" s="4597"/>
      <c r="K322" s="4597"/>
      <c r="L322" s="4597"/>
      <c r="M322" s="4597"/>
      <c r="N322" s="4597"/>
      <c r="O322" s="4597">
        <v>0</v>
      </c>
      <c r="P322" s="4597">
        <v>0</v>
      </c>
      <c r="Q322" s="4597">
        <v>0</v>
      </c>
      <c r="R322" s="4597">
        <v>0</v>
      </c>
      <c r="S322" s="4597">
        <v>0</v>
      </c>
      <c r="T322" s="4597">
        <v>0</v>
      </c>
      <c r="U322" s="4597">
        <v>0</v>
      </c>
      <c r="V322" s="4597">
        <v>0</v>
      </c>
      <c r="W322" s="4597">
        <v>0</v>
      </c>
      <c r="X322" s="4597">
        <v>0</v>
      </c>
      <c r="Y322" s="4597">
        <v>0</v>
      </c>
      <c r="Z322" s="4597">
        <v>0</v>
      </c>
      <c r="AA322" s="4597">
        <v>0</v>
      </c>
      <c r="AB322" s="4597">
        <v>0</v>
      </c>
      <c r="AC322" s="4597">
        <v>0</v>
      </c>
      <c r="AD322" s="4597">
        <v>0</v>
      </c>
      <c r="AE322" s="4597">
        <v>0</v>
      </c>
      <c r="AF322" s="4597">
        <v>0</v>
      </c>
      <c r="AH322" s="4803"/>
    </row>
    <row r="323" spans="1:34" s="766" customFormat="1">
      <c r="A323" s="4586" t="str">
        <f>A$10</f>
        <v>Net Revenue</v>
      </c>
      <c r="B323" s="4589"/>
      <c r="C323" s="4589"/>
      <c r="D323" s="4589"/>
      <c r="E323" s="4589"/>
      <c r="F323" s="4589"/>
      <c r="G323" s="4589"/>
      <c r="H323" s="4589"/>
      <c r="I323" s="4589"/>
      <c r="J323" s="4589"/>
      <c r="K323" s="4589"/>
      <c r="L323" s="4589"/>
      <c r="M323" s="4589"/>
      <c r="N323" s="4589"/>
      <c r="O323" s="4589">
        <f t="shared" ref="O323:T323" si="231">O321-O322</f>
        <v>0</v>
      </c>
      <c r="P323" s="4589">
        <f t="shared" si="231"/>
        <v>0</v>
      </c>
      <c r="Q323" s="4589">
        <f t="shared" si="231"/>
        <v>0</v>
      </c>
      <c r="R323" s="4589">
        <f t="shared" si="231"/>
        <v>0</v>
      </c>
      <c r="S323" s="4589">
        <f t="shared" si="231"/>
        <v>-169</v>
      </c>
      <c r="T323" s="4589">
        <f t="shared" si="231"/>
        <v>-138</v>
      </c>
      <c r="U323" s="4589">
        <f>U321-U322</f>
        <v>455</v>
      </c>
      <c r="V323" s="4589">
        <f t="shared" ref="V323:AA323" si="232">V321-V322</f>
        <v>176</v>
      </c>
      <c r="W323" s="4589">
        <f t="shared" si="232"/>
        <v>149</v>
      </c>
      <c r="X323" s="4589">
        <f t="shared" si="232"/>
        <v>1960</v>
      </c>
      <c r="Y323" s="4589">
        <f t="shared" si="232"/>
        <v>236</v>
      </c>
      <c r="Z323" s="4589">
        <f t="shared" si="232"/>
        <v>211</v>
      </c>
      <c r="AA323" s="4589">
        <f t="shared" si="232"/>
        <v>-254.55607516823349</v>
      </c>
      <c r="AB323" s="4589">
        <f>AB321-AB322</f>
        <v>-586.14891013323847</v>
      </c>
      <c r="AC323" s="4589">
        <f>AC321-AC322</f>
        <v>0</v>
      </c>
      <c r="AD323" s="4589">
        <f>AD321-AD322</f>
        <v>0</v>
      </c>
      <c r="AE323" s="4589">
        <f>AE321-AE322</f>
        <v>0</v>
      </c>
      <c r="AF323" s="4589">
        <f>AF321-AF322</f>
        <v>0</v>
      </c>
      <c r="AH323" s="4798"/>
    </row>
    <row r="324" spans="1:34" s="766" customFormat="1">
      <c r="A324" s="4585" t="str">
        <f>A$11</f>
        <v>Other Cost Of Revenues</v>
      </c>
      <c r="B324" s="4597"/>
      <c r="C324" s="4597"/>
      <c r="D324" s="4597"/>
      <c r="E324" s="4597"/>
      <c r="F324" s="4597"/>
      <c r="G324" s="4597"/>
      <c r="H324" s="4597"/>
      <c r="I324" s="4597"/>
      <c r="J324" s="4597"/>
      <c r="K324" s="4597"/>
      <c r="L324" s="4597"/>
      <c r="M324" s="4597"/>
      <c r="N324" s="4597"/>
      <c r="O324" s="4597">
        <v>0</v>
      </c>
      <c r="P324" s="4597">
        <v>0</v>
      </c>
      <c r="Q324" s="4597">
        <v>0</v>
      </c>
      <c r="R324" s="4597">
        <v>0</v>
      </c>
      <c r="S324" s="4597">
        <v>0</v>
      </c>
      <c r="T324" s="4597">
        <v>0</v>
      </c>
      <c r="U324" s="4597">
        <v>0</v>
      </c>
      <c r="V324" s="4597">
        <v>0</v>
      </c>
      <c r="W324" s="4597">
        <v>0</v>
      </c>
      <c r="X324" s="4597">
        <v>0</v>
      </c>
      <c r="Y324" s="4597">
        <v>0</v>
      </c>
      <c r="Z324" s="4597">
        <v>0</v>
      </c>
      <c r="AA324" s="4597">
        <v>0</v>
      </c>
      <c r="AB324" s="4597">
        <v>0</v>
      </c>
      <c r="AC324" s="4597">
        <v>0</v>
      </c>
      <c r="AD324" s="4597">
        <v>0</v>
      </c>
      <c r="AE324" s="4597">
        <v>0</v>
      </c>
      <c r="AF324" s="4597">
        <v>0</v>
      </c>
      <c r="AH324" s="4803"/>
    </row>
    <row r="325" spans="1:34" s="766" customFormat="1">
      <c r="A325" s="4586" t="str">
        <f>A$12</f>
        <v>Gross Profit</v>
      </c>
      <c r="B325" s="4589"/>
      <c r="C325" s="4589"/>
      <c r="D325" s="4589"/>
      <c r="E325" s="4589"/>
      <c r="F325" s="4589"/>
      <c r="G325" s="4589"/>
      <c r="H325" s="4589"/>
      <c r="I325" s="4589"/>
      <c r="J325" s="4589"/>
      <c r="K325" s="4589"/>
      <c r="L325" s="4589"/>
      <c r="M325" s="4589"/>
      <c r="N325" s="4589"/>
      <c r="O325" s="4589">
        <f t="shared" ref="O325:T325" si="233">O323-O324</f>
        <v>0</v>
      </c>
      <c r="P325" s="4589">
        <f t="shared" si="233"/>
        <v>0</v>
      </c>
      <c r="Q325" s="4589">
        <f t="shared" si="233"/>
        <v>0</v>
      </c>
      <c r="R325" s="4589">
        <f t="shared" si="233"/>
        <v>0</v>
      </c>
      <c r="S325" s="4589">
        <f t="shared" si="233"/>
        <v>-169</v>
      </c>
      <c r="T325" s="4589">
        <f t="shared" si="233"/>
        <v>-138</v>
      </c>
      <c r="U325" s="4589">
        <f t="shared" ref="U325:AA325" si="234">U323-U324</f>
        <v>455</v>
      </c>
      <c r="V325" s="4589">
        <f t="shared" si="234"/>
        <v>176</v>
      </c>
      <c r="W325" s="4589">
        <f t="shared" si="234"/>
        <v>149</v>
      </c>
      <c r="X325" s="4589">
        <f t="shared" si="234"/>
        <v>1960</v>
      </c>
      <c r="Y325" s="4589">
        <f t="shared" si="234"/>
        <v>236</v>
      </c>
      <c r="Z325" s="4589">
        <f t="shared" si="234"/>
        <v>211</v>
      </c>
      <c r="AA325" s="4589">
        <f t="shared" si="234"/>
        <v>-254.55607516823349</v>
      </c>
      <c r="AB325" s="4589">
        <f>AB323-AB324</f>
        <v>-586.14891013323847</v>
      </c>
      <c r="AC325" s="4589">
        <f>AC323-AC324</f>
        <v>0</v>
      </c>
      <c r="AD325" s="4589">
        <f>AD323-AD324</f>
        <v>0</v>
      </c>
      <c r="AE325" s="4589">
        <f>AE323-AE324</f>
        <v>0</v>
      </c>
      <c r="AF325" s="4589">
        <f>AF323-AF324</f>
        <v>0</v>
      </c>
      <c r="AH325" s="4798"/>
    </row>
    <row r="326" spans="1:34" s="766" customFormat="1">
      <c r="A326" s="4585" t="str">
        <f>A$13</f>
        <v>GAAP Expenses</v>
      </c>
      <c r="B326" s="4590"/>
      <c r="C326" s="4590"/>
      <c r="D326" s="4590"/>
      <c r="E326" s="4590"/>
      <c r="F326" s="4590"/>
      <c r="G326" s="4590"/>
      <c r="H326" s="4590"/>
      <c r="I326" s="4590"/>
      <c r="J326" s="4590"/>
      <c r="K326" s="4590"/>
      <c r="L326" s="4590"/>
      <c r="M326" s="4590"/>
      <c r="N326" s="4590"/>
      <c r="O326" s="4590">
        <f>O325-O327</f>
        <v>330</v>
      </c>
      <c r="P326" s="4590">
        <f>P325-P327</f>
        <v>573</v>
      </c>
      <c r="Q326" s="4590">
        <f>Q325-Q327</f>
        <v>501</v>
      </c>
      <c r="R326" s="4590">
        <f>R325-R327</f>
        <v>598</v>
      </c>
      <c r="S326" s="4590">
        <f>S325-S327</f>
        <v>3238</v>
      </c>
      <c r="T326" s="4590">
        <f t="shared" ref="T326:AA326" si="235">T325-T327</f>
        <v>7769</v>
      </c>
      <c r="U326" s="4590">
        <f t="shared" si="235"/>
        <v>5754</v>
      </c>
      <c r="V326" s="4590">
        <f t="shared" si="235"/>
        <v>3475</v>
      </c>
      <c r="W326" s="4590">
        <f t="shared" si="235"/>
        <v>3234</v>
      </c>
      <c r="X326" s="4590">
        <f t="shared" si="235"/>
        <v>3259</v>
      </c>
      <c r="Y326" s="4590">
        <f t="shared" si="235"/>
        <v>9422</v>
      </c>
      <c r="Z326" s="4590">
        <f t="shared" si="235"/>
        <v>10752</v>
      </c>
      <c r="AA326" s="4590">
        <f t="shared" si="235"/>
        <v>14517.582382402759</v>
      </c>
      <c r="AB326" s="4590">
        <f>AB325-AB327</f>
        <v>17945.960056515036</v>
      </c>
      <c r="AC326" s="4590">
        <f>AC325-AC327</f>
        <v>20592.538223054704</v>
      </c>
      <c r="AD326" s="4590">
        <f>AD325-AD327</f>
        <v>23174.655470045396</v>
      </c>
      <c r="AE326" s="4590">
        <f>AE325-AE327</f>
        <v>25626.657387445099</v>
      </c>
      <c r="AF326" s="4590">
        <f>AF325-AF327</f>
        <v>28026.631740740126</v>
      </c>
      <c r="AH326" s="4798"/>
    </row>
    <row r="327" spans="1:34" s="766" customFormat="1">
      <c r="A327" s="4586" t="str">
        <f>A$14</f>
        <v>GAAP Operating Income</v>
      </c>
      <c r="B327" s="4599"/>
      <c r="C327" s="4599"/>
      <c r="D327" s="4599"/>
      <c r="E327" s="4599"/>
      <c r="F327" s="4599"/>
      <c r="G327" s="4599"/>
      <c r="H327" s="4599"/>
      <c r="I327" s="4599"/>
      <c r="J327" s="4599"/>
      <c r="K327" s="4599"/>
      <c r="L327" s="4599"/>
      <c r="M327" s="4599"/>
      <c r="N327" s="4599"/>
      <c r="O327" s="4599">
        <f>'Segment As Reported'!CH304</f>
        <v>-330</v>
      </c>
      <c r="P327" s="4599">
        <f>'Segment As Reported'!CM304</f>
        <v>-573</v>
      </c>
      <c r="Q327" s="4599">
        <f>'Segment As Reported'!CR304</f>
        <v>-501</v>
      </c>
      <c r="R327" s="4599">
        <f>'Segment As Reported'!CW304</f>
        <v>-598</v>
      </c>
      <c r="S327" s="4599">
        <f>'Segment As Reported'!DB304</f>
        <v>-3407</v>
      </c>
      <c r="T327" s="4589">
        <f>'Segment As Reported'!DG20</f>
        <v>-7907</v>
      </c>
      <c r="U327" s="4589">
        <f>'Segment As Reported'!DL20</f>
        <v>-5299</v>
      </c>
      <c r="V327" s="4589">
        <f>'Segment As Reported'!DQ20</f>
        <v>-3299</v>
      </c>
      <c r="W327" s="4589">
        <f>'Segment As Reported'!DV20</f>
        <v>-3085</v>
      </c>
      <c r="X327" s="4589">
        <f>'Segment As Reported'!EA20</f>
        <v>-1299</v>
      </c>
      <c r="Y327" s="4589">
        <f>'Segment As Reported'!EF20</f>
        <v>-9186</v>
      </c>
      <c r="Z327" s="4589">
        <f>'Segment As Reported'!EK20</f>
        <v>-10541</v>
      </c>
      <c r="AA327" s="4589">
        <f>'Segment As Reported'!EP20</f>
        <v>-14772.138457570993</v>
      </c>
      <c r="AB327" s="4589">
        <f>'Segment As Reported'!EU20</f>
        <v>-18532.108966648273</v>
      </c>
      <c r="AC327" s="4589">
        <f>'Segment As Reported'!EV20</f>
        <v>-20592.538223054704</v>
      </c>
      <c r="AD327" s="4589">
        <f>'Segment As Reported'!EW20</f>
        <v>-23174.655470045396</v>
      </c>
      <c r="AE327" s="4589">
        <f>'Segment As Reported'!EX20</f>
        <v>-25626.657387445099</v>
      </c>
      <c r="AF327" s="4589">
        <f>'Segment As Reported'!EY20</f>
        <v>-28026.631740740126</v>
      </c>
      <c r="AH327" s="4807"/>
    </row>
    <row r="328" spans="1:34" s="766" customFormat="1">
      <c r="A328" s="4585" t="str">
        <f>A$15</f>
        <v>OI&amp;E</v>
      </c>
      <c r="B328" s="4597"/>
      <c r="C328" s="4597"/>
      <c r="D328" s="4597"/>
      <c r="E328" s="4597"/>
      <c r="F328" s="4597"/>
      <c r="G328" s="4597"/>
      <c r="H328" s="4597"/>
      <c r="I328" s="4597"/>
      <c r="J328" s="4597"/>
      <c r="K328" s="4597"/>
      <c r="L328" s="4597"/>
      <c r="M328" s="4597"/>
      <c r="N328" s="4597"/>
      <c r="O328" s="4597">
        <v>0</v>
      </c>
      <c r="P328" s="4597">
        <v>0</v>
      </c>
      <c r="Q328" s="4597">
        <v>0</v>
      </c>
      <c r="R328" s="4597">
        <v>0</v>
      </c>
      <c r="S328" s="4597">
        <v>0</v>
      </c>
      <c r="T328" s="4597">
        <f>'Segment As Reported'!DG153</f>
        <v>0</v>
      </c>
      <c r="U328" s="4597">
        <f>'Segment As Reported'!DL153</f>
        <v>0</v>
      </c>
      <c r="V328" s="4597">
        <f>'Segment As Reported'!DQ153</f>
        <v>0</v>
      </c>
      <c r="W328" s="4597">
        <f>'Segment As Reported'!DV153</f>
        <v>0</v>
      </c>
      <c r="X328" s="4597">
        <f>'Segment As Reported'!EA153</f>
        <v>0</v>
      </c>
      <c r="Y328" s="4597">
        <f>'Segment As Reported'!EF153</f>
        <v>0</v>
      </c>
      <c r="Z328" s="4597">
        <f>'Segment As Reported'!EK153</f>
        <v>0</v>
      </c>
      <c r="AA328" s="4597">
        <f>'Segment As Reported'!EP153</f>
        <v>0</v>
      </c>
      <c r="AB328" s="4597">
        <f>'Segment As Reported'!EU153</f>
        <v>0</v>
      </c>
      <c r="AC328" s="4597">
        <f>'Segment As Reported'!EV153</f>
        <v>0</v>
      </c>
      <c r="AD328" s="4597">
        <f>'Segment As Reported'!EW153</f>
        <v>0</v>
      </c>
      <c r="AE328" s="4597">
        <f>'Segment As Reported'!EX153</f>
        <v>0</v>
      </c>
      <c r="AF328" s="4597">
        <f>'Segment As Reported'!EY153</f>
        <v>0</v>
      </c>
      <c r="AH328" s="4803"/>
    </row>
    <row r="329" spans="1:34" s="766" customFormat="1">
      <c r="A329" s="4586" t="str">
        <f>A$16</f>
        <v>Profit Before Tax</v>
      </c>
      <c r="B329" s="4589"/>
      <c r="C329" s="4589"/>
      <c r="D329" s="4589"/>
      <c r="E329" s="4589"/>
      <c r="F329" s="4589"/>
      <c r="G329" s="4589"/>
      <c r="H329" s="4589"/>
      <c r="I329" s="4589"/>
      <c r="J329" s="4589"/>
      <c r="K329" s="4589"/>
      <c r="L329" s="4589"/>
      <c r="M329" s="4589"/>
      <c r="N329" s="4589"/>
      <c r="O329" s="4589">
        <f t="shared" ref="O329:T329" si="236">O327+O328</f>
        <v>-330</v>
      </c>
      <c r="P329" s="4589">
        <f t="shared" si="236"/>
        <v>-573</v>
      </c>
      <c r="Q329" s="4589">
        <f t="shared" si="236"/>
        <v>-501</v>
      </c>
      <c r="R329" s="4589">
        <f t="shared" si="236"/>
        <v>-598</v>
      </c>
      <c r="S329" s="4589">
        <f t="shared" si="236"/>
        <v>-3407</v>
      </c>
      <c r="T329" s="4589">
        <f t="shared" si="236"/>
        <v>-7907</v>
      </c>
      <c r="U329" s="4589">
        <f t="shared" ref="U329:AA329" si="237">U327+U328</f>
        <v>-5299</v>
      </c>
      <c r="V329" s="4589">
        <f t="shared" si="237"/>
        <v>-3299</v>
      </c>
      <c r="W329" s="4589">
        <f t="shared" si="237"/>
        <v>-3085</v>
      </c>
      <c r="X329" s="4589">
        <f t="shared" si="237"/>
        <v>-1299</v>
      </c>
      <c r="Y329" s="4589">
        <f t="shared" si="237"/>
        <v>-9186</v>
      </c>
      <c r="Z329" s="4589">
        <f t="shared" si="237"/>
        <v>-10541</v>
      </c>
      <c r="AA329" s="4589">
        <f t="shared" si="237"/>
        <v>-14772.138457570993</v>
      </c>
      <c r="AB329" s="4589">
        <f>AB327+AB328</f>
        <v>-18532.108966648273</v>
      </c>
      <c r="AC329" s="4589">
        <f>AC327+AC328</f>
        <v>-20592.538223054704</v>
      </c>
      <c r="AD329" s="4589">
        <f>AD327+AD328</f>
        <v>-23174.655470045396</v>
      </c>
      <c r="AE329" s="4589">
        <f>AE327+AE328</f>
        <v>-25626.657387445099</v>
      </c>
      <c r="AF329" s="4589">
        <f>AF327+AF328</f>
        <v>-28026.631740740126</v>
      </c>
      <c r="AH329" s="4798"/>
    </row>
    <row r="330" spans="1:34" s="766" customFormat="1">
      <c r="A330" s="4585" t="str">
        <f>A$17</f>
        <v>Income Tax</v>
      </c>
      <c r="B330" s="4597"/>
      <c r="C330" s="4597"/>
      <c r="D330" s="4597"/>
      <c r="E330" s="4597"/>
      <c r="F330" s="4597"/>
      <c r="G330" s="4597"/>
      <c r="H330" s="4597"/>
      <c r="I330" s="4597"/>
      <c r="J330" s="4597"/>
      <c r="K330" s="4597"/>
      <c r="L330" s="4597"/>
      <c r="M330" s="4597"/>
      <c r="N330" s="4597"/>
      <c r="O330" s="4597">
        <v>0</v>
      </c>
      <c r="P330" s="4597">
        <v>0</v>
      </c>
      <c r="Q330" s="4597">
        <v>0</v>
      </c>
      <c r="R330" s="4597">
        <v>0</v>
      </c>
      <c r="S330" s="4597">
        <v>0</v>
      </c>
      <c r="T330" s="4597">
        <f>'Segment As Reported'!DG155</f>
        <v>0</v>
      </c>
      <c r="U330" s="4597">
        <f>'Segment As Reported'!DL155</f>
        <v>0</v>
      </c>
      <c r="V330" s="4597">
        <f>'Segment As Reported'!DQ155</f>
        <v>0</v>
      </c>
      <c r="W330" s="4597">
        <f>'Segment As Reported'!DV155</f>
        <v>0</v>
      </c>
      <c r="X330" s="4597">
        <f>'Segment As Reported'!EA155</f>
        <v>0</v>
      </c>
      <c r="Y330" s="4597">
        <f>'Segment As Reported'!EF155</f>
        <v>0</v>
      </c>
      <c r="Z330" s="4597">
        <f>'Segment As Reported'!EK155</f>
        <v>0</v>
      </c>
      <c r="AA330" s="4597">
        <f>'Segment As Reported'!EP155</f>
        <v>0</v>
      </c>
      <c r="AB330" s="4597">
        <f>'Segment As Reported'!EU155</f>
        <v>0</v>
      </c>
      <c r="AC330" s="4597">
        <f>'Segment As Reported'!EV155</f>
        <v>0</v>
      </c>
      <c r="AD330" s="4597">
        <f>'Segment As Reported'!EW155</f>
        <v>0</v>
      </c>
      <c r="AE330" s="4597">
        <f>'Segment As Reported'!EX155</f>
        <v>0</v>
      </c>
      <c r="AF330" s="4597">
        <f>'Segment As Reported'!EY155</f>
        <v>0</v>
      </c>
      <c r="AH330" s="4803"/>
    </row>
    <row r="331" spans="1:34" s="766" customFormat="1">
      <c r="A331" s="4586" t="str">
        <f>A$18</f>
        <v>GAAP Net Income</v>
      </c>
      <c r="B331" s="4589"/>
      <c r="C331" s="4589"/>
      <c r="D331" s="4589"/>
      <c r="E331" s="4589"/>
      <c r="F331" s="4589"/>
      <c r="G331" s="4589"/>
      <c r="H331" s="4589"/>
      <c r="I331" s="4589"/>
      <c r="J331" s="4589"/>
      <c r="K331" s="4589"/>
      <c r="L331" s="4589"/>
      <c r="M331" s="4589"/>
      <c r="N331" s="4589"/>
      <c r="O331" s="4589">
        <f t="shared" ref="O331:T331" si="238">O329-O330</f>
        <v>-330</v>
      </c>
      <c r="P331" s="4589">
        <f t="shared" si="238"/>
        <v>-573</v>
      </c>
      <c r="Q331" s="4589">
        <f t="shared" si="238"/>
        <v>-501</v>
      </c>
      <c r="R331" s="4589">
        <f t="shared" si="238"/>
        <v>-598</v>
      </c>
      <c r="S331" s="4589">
        <f t="shared" si="238"/>
        <v>-3407</v>
      </c>
      <c r="T331" s="4589">
        <f t="shared" si="238"/>
        <v>-7907</v>
      </c>
      <c r="U331" s="4589">
        <f t="shared" ref="U331:AA331" si="239">U329-U330</f>
        <v>-5299</v>
      </c>
      <c r="V331" s="4589">
        <f t="shared" si="239"/>
        <v>-3299</v>
      </c>
      <c r="W331" s="4589">
        <f t="shared" si="239"/>
        <v>-3085</v>
      </c>
      <c r="X331" s="4589">
        <f t="shared" si="239"/>
        <v>-1299</v>
      </c>
      <c r="Y331" s="4589">
        <f t="shared" si="239"/>
        <v>-9186</v>
      </c>
      <c r="Z331" s="4589">
        <f t="shared" si="239"/>
        <v>-10541</v>
      </c>
      <c r="AA331" s="4589">
        <f t="shared" si="239"/>
        <v>-14772.138457570993</v>
      </c>
      <c r="AB331" s="4589">
        <f>AB329-AB330</f>
        <v>-18532.108966648273</v>
      </c>
      <c r="AC331" s="4589">
        <f>AC329-AC330</f>
        <v>-20592.538223054704</v>
      </c>
      <c r="AD331" s="4589">
        <f>AD329-AD330</f>
        <v>-23174.655470045396</v>
      </c>
      <c r="AE331" s="4589">
        <f>AE329-AE330</f>
        <v>-25626.657387445099</v>
      </c>
      <c r="AF331" s="4589">
        <f>AF329-AF330</f>
        <v>-28026.631740740126</v>
      </c>
      <c r="AH331" s="4798"/>
    </row>
    <row r="332" spans="1:34" s="766" customFormat="1">
      <c r="A332" s="4586" t="str">
        <f>A$19</f>
        <v>GAAP EPS</v>
      </c>
      <c r="B332" s="4591"/>
      <c r="C332" s="4591"/>
      <c r="D332" s="4591"/>
      <c r="E332" s="4591"/>
      <c r="F332" s="4591"/>
      <c r="G332" s="4591"/>
      <c r="H332" s="4591"/>
      <c r="I332" s="4591"/>
      <c r="J332" s="4591"/>
      <c r="K332" s="4591"/>
      <c r="L332" s="4591"/>
      <c r="M332" s="4591"/>
      <c r="N332" s="4591"/>
      <c r="O332" s="4591">
        <f t="shared" ref="O332:T332" si="240">O331/O$20</f>
        <v>-2.4350002508788136E-2</v>
      </c>
      <c r="P332" s="4591">
        <f t="shared" si="240"/>
        <v>-4.1698807981719474E-2</v>
      </c>
      <c r="Q332" s="4591">
        <f t="shared" si="240"/>
        <v>-3.615083774695857E-2</v>
      </c>
      <c r="R332" s="4591">
        <f t="shared" si="240"/>
        <v>-4.2793392356728015E-2</v>
      </c>
      <c r="S332" s="4591">
        <f t="shared" si="240"/>
        <v>-0.24211750125073903</v>
      </c>
      <c r="T332" s="4591">
        <f t="shared" si="240"/>
        <v>-0.56214783556731462</v>
      </c>
      <c r="U332" s="4591">
        <f t="shared" ref="U332:AA332" si="241">U331/U$20</f>
        <v>-0.37928213394335319</v>
      </c>
      <c r="V332" s="4591">
        <f t="shared" si="241"/>
        <v>-0.24009219423815123</v>
      </c>
      <c r="W332" s="4591">
        <f t="shared" si="241"/>
        <v>-0.22761690267625095</v>
      </c>
      <c r="X332" s="4591">
        <f t="shared" si="241"/>
        <v>-9.8719421393235779E-2</v>
      </c>
      <c r="Y332" s="4591">
        <f t="shared" si="241"/>
        <v>-0.72209885034882582</v>
      </c>
      <c r="Z332" s="4591">
        <f t="shared" si="241"/>
        <v>-0.8468537227098355</v>
      </c>
      <c r="AA332" s="4591">
        <f t="shared" si="241"/>
        <v>-1.2083430559660775</v>
      </c>
      <c r="AB332" s="4591">
        <f>AB331/AB$20</f>
        <v>-1.5172943034469346</v>
      </c>
      <c r="AC332" s="4591">
        <f ca="1">AC331/AC$20</f>
        <v>-1.6994938973899167</v>
      </c>
      <c r="AD332" s="4591">
        <f ca="1">AD331/AD$20</f>
        <v>-1.9295203859014594</v>
      </c>
      <c r="AE332" s="4591">
        <f ca="1">AE331/AE$20</f>
        <v>-2.155065561542632</v>
      </c>
      <c r="AF332" s="4591">
        <f ca="1">AF331/AF$20</f>
        <v>-2.3832826141831744</v>
      </c>
      <c r="AH332" s="4806"/>
    </row>
    <row r="333" spans="1:34" s="766" customFormat="1">
      <c r="A333" s="4581"/>
      <c r="B333" s="4582"/>
      <c r="C333" s="4582"/>
      <c r="D333" s="4582"/>
      <c r="E333" s="4582"/>
      <c r="F333" s="4582"/>
      <c r="G333" s="4582"/>
      <c r="H333" s="4582"/>
      <c r="I333" s="4582"/>
      <c r="J333" s="4582"/>
      <c r="K333" s="4582"/>
      <c r="L333" s="4582"/>
      <c r="M333" s="4582"/>
      <c r="N333" s="4582"/>
      <c r="O333" s="4582"/>
      <c r="P333" s="4582"/>
      <c r="Q333" s="4582"/>
      <c r="R333" s="4582"/>
      <c r="S333" s="4582"/>
      <c r="T333" s="4582"/>
      <c r="U333" s="4582"/>
      <c r="V333" s="4582"/>
      <c r="W333" s="4582"/>
      <c r="X333" s="4582"/>
      <c r="Y333" s="4582"/>
      <c r="Z333" s="4582"/>
      <c r="AA333" s="4582"/>
      <c r="AB333" s="4582"/>
      <c r="AC333" s="4582"/>
      <c r="AD333" s="4582"/>
      <c r="AE333" s="4582"/>
      <c r="AF333" s="4582"/>
      <c r="AH333" s="4796"/>
    </row>
    <row r="334" spans="1:34" s="766" customFormat="1">
      <c r="A334" s="4585" t="str">
        <f>A$22</f>
        <v>D&amp;A</v>
      </c>
      <c r="B334" s="4590"/>
      <c r="C334" s="4590"/>
      <c r="D334" s="4590"/>
      <c r="E334" s="4590"/>
      <c r="F334" s="4590"/>
      <c r="G334" s="4590"/>
      <c r="H334" s="4590"/>
      <c r="I334" s="4590"/>
      <c r="J334" s="4590"/>
      <c r="K334" s="4590"/>
      <c r="L334" s="4590"/>
      <c r="M334" s="4590"/>
      <c r="N334" s="4590"/>
      <c r="O334" s="4590">
        <f>'Segment As Reported'!CH306</f>
        <v>247</v>
      </c>
      <c r="P334" s="4590">
        <f>'Segment As Reported'!CM306</f>
        <v>53</v>
      </c>
      <c r="Q334" s="4590">
        <f>'Segment As Reported'!CR306</f>
        <v>21</v>
      </c>
      <c r="R334" s="4590">
        <f>'Segment As Reported'!CW306</f>
        <v>4</v>
      </c>
      <c r="S334" s="4590">
        <f>'Segment As Reported'!DB306</f>
        <v>0</v>
      </c>
      <c r="T334" s="4597">
        <v>0</v>
      </c>
      <c r="U334" s="4597">
        <v>0</v>
      </c>
      <c r="V334" s="4597">
        <v>0</v>
      </c>
      <c r="W334" s="4597">
        <v>0</v>
      </c>
      <c r="X334" s="4597">
        <v>0</v>
      </c>
      <c r="Y334" s="4597">
        <v>0</v>
      </c>
      <c r="Z334" s="4597">
        <v>0</v>
      </c>
      <c r="AA334" s="4597">
        <v>0</v>
      </c>
      <c r="AB334" s="4597">
        <v>0</v>
      </c>
      <c r="AC334" s="4597">
        <v>0</v>
      </c>
      <c r="AD334" s="4597">
        <v>0</v>
      </c>
      <c r="AE334" s="4597">
        <v>0</v>
      </c>
      <c r="AF334" s="4597">
        <v>0</v>
      </c>
      <c r="AH334" s="4798"/>
    </row>
    <row r="335" spans="1:34" s="766" customFormat="1">
      <c r="A335" s="4585" t="str">
        <f>A$23</f>
        <v>SBC</v>
      </c>
      <c r="B335" s="4590"/>
      <c r="C335" s="4590"/>
      <c r="D335" s="4590"/>
      <c r="E335" s="4590"/>
      <c r="F335" s="4590"/>
      <c r="G335" s="4590"/>
      <c r="H335" s="4590"/>
      <c r="I335" s="4590"/>
      <c r="J335" s="4590"/>
      <c r="K335" s="4590"/>
      <c r="L335" s="4590"/>
      <c r="M335" s="4590"/>
      <c r="N335" s="4590"/>
      <c r="O335" s="4590">
        <f>'Segment As Reported'!CH303</f>
        <v>92</v>
      </c>
      <c r="P335" s="4590">
        <f>'Segment As Reported'!CM303</f>
        <v>151</v>
      </c>
      <c r="Q335" s="4590">
        <f>'Segment As Reported'!CR303</f>
        <v>118</v>
      </c>
      <c r="R335" s="4590">
        <f>'Segment As Reported'!CW303</f>
        <v>130</v>
      </c>
      <c r="S335" s="4590">
        <f>'Segment As Reported'!DB303</f>
        <v>148</v>
      </c>
      <c r="T335" s="4597">
        <v>0</v>
      </c>
      <c r="U335" s="4597">
        <v>0</v>
      </c>
      <c r="V335" s="4597">
        <v>0</v>
      </c>
      <c r="W335" s="4597">
        <v>0</v>
      </c>
      <c r="X335" s="4597">
        <v>0</v>
      </c>
      <c r="Y335" s="4597">
        <v>0</v>
      </c>
      <c r="Z335" s="4597">
        <v>0</v>
      </c>
      <c r="AA335" s="4597">
        <v>0</v>
      </c>
      <c r="AB335" s="4597">
        <v>0</v>
      </c>
      <c r="AC335" s="4597">
        <v>0</v>
      </c>
      <c r="AD335" s="4597">
        <v>0</v>
      </c>
      <c r="AE335" s="4597">
        <v>0</v>
      </c>
      <c r="AF335" s="4597">
        <v>0</v>
      </c>
      <c r="AH335" s="4798"/>
    </row>
    <row r="336" spans="1:34" s="766" customFormat="1">
      <c r="A336" s="4585" t="str">
        <f>A$24</f>
        <v>One-Time Items</v>
      </c>
      <c r="B336" s="4590"/>
      <c r="C336" s="4590"/>
      <c r="D336" s="4590"/>
      <c r="E336" s="4590"/>
      <c r="F336" s="4590"/>
      <c r="G336" s="4590"/>
      <c r="H336" s="4590"/>
      <c r="I336" s="4590"/>
      <c r="J336" s="4590"/>
      <c r="K336" s="4590"/>
      <c r="L336" s="4590"/>
      <c r="M336" s="4590"/>
      <c r="N336" s="4590"/>
      <c r="O336" s="4590">
        <f t="shared" ref="O336:AB336" si="242">O24</f>
        <v>0</v>
      </c>
      <c r="P336" s="4590">
        <f t="shared" si="242"/>
        <v>378</v>
      </c>
      <c r="Q336" s="4590">
        <f t="shared" si="242"/>
        <v>0</v>
      </c>
      <c r="R336" s="4590">
        <f t="shared" si="242"/>
        <v>0</v>
      </c>
      <c r="S336" s="4590">
        <f t="shared" si="242"/>
        <v>2736</v>
      </c>
      <c r="T336" s="4590">
        <f t="shared" si="242"/>
        <v>5071</v>
      </c>
      <c r="U336" s="4590">
        <f t="shared" si="242"/>
        <v>1697</v>
      </c>
      <c r="V336" s="4590">
        <f t="shared" si="242"/>
        <v>0</v>
      </c>
      <c r="W336" s="4590">
        <f t="shared" si="242"/>
        <v>0</v>
      </c>
      <c r="X336" s="4590">
        <f t="shared" si="242"/>
        <v>0</v>
      </c>
      <c r="Y336" s="4590">
        <f t="shared" si="242"/>
        <v>0</v>
      </c>
      <c r="Z336" s="4590">
        <f t="shared" si="242"/>
        <v>0</v>
      </c>
      <c r="AA336" s="4590">
        <f t="shared" si="242"/>
        <v>3457</v>
      </c>
      <c r="AB336" s="4590">
        <f t="shared" si="242"/>
        <v>0</v>
      </c>
      <c r="AC336" s="4590">
        <f>AC24</f>
        <v>0</v>
      </c>
      <c r="AD336" s="4590">
        <f>AD24</f>
        <v>0</v>
      </c>
      <c r="AE336" s="4590">
        <f>AE24</f>
        <v>0</v>
      </c>
      <c r="AF336" s="4590">
        <f>AF24</f>
        <v>0</v>
      </c>
      <c r="AH336" s="4798"/>
    </row>
    <row r="337" spans="1:38" s="766" customFormat="1">
      <c r="A337" s="4586" t="str">
        <f>A$25</f>
        <v>Adj. EBITDA</v>
      </c>
      <c r="B337" s="4599"/>
      <c r="C337" s="4599"/>
      <c r="D337" s="4599"/>
      <c r="E337" s="4599"/>
      <c r="F337" s="4599"/>
      <c r="G337" s="4599"/>
      <c r="H337" s="4599"/>
      <c r="I337" s="4599"/>
      <c r="J337" s="4599"/>
      <c r="K337" s="4599"/>
      <c r="L337" s="4599"/>
      <c r="M337" s="4599"/>
      <c r="N337" s="4599"/>
      <c r="O337" s="4599">
        <f t="shared" ref="O337:AA337" si="243">O327+SUM(O334:O336)</f>
        <v>9</v>
      </c>
      <c r="P337" s="4599">
        <f t="shared" si="243"/>
        <v>9</v>
      </c>
      <c r="Q337" s="4599">
        <f t="shared" si="243"/>
        <v>-362</v>
      </c>
      <c r="R337" s="4599">
        <f t="shared" si="243"/>
        <v>-464</v>
      </c>
      <c r="S337" s="4599">
        <f t="shared" si="243"/>
        <v>-523</v>
      </c>
      <c r="T337" s="4599">
        <f t="shared" si="243"/>
        <v>-2836</v>
      </c>
      <c r="U337" s="4599">
        <f t="shared" si="243"/>
        <v>-3602</v>
      </c>
      <c r="V337" s="4599">
        <f t="shared" si="243"/>
        <v>-3299</v>
      </c>
      <c r="W337" s="4599">
        <f t="shared" si="243"/>
        <v>-3085</v>
      </c>
      <c r="X337" s="4599">
        <f t="shared" si="243"/>
        <v>-1299</v>
      </c>
      <c r="Y337" s="4599">
        <f t="shared" si="243"/>
        <v>-9186</v>
      </c>
      <c r="Z337" s="4599">
        <f t="shared" si="243"/>
        <v>-10541</v>
      </c>
      <c r="AA337" s="4599">
        <f t="shared" si="243"/>
        <v>-11315.138457570993</v>
      </c>
      <c r="AB337" s="4599">
        <f>AB327+SUM(AB334:AB336)</f>
        <v>-18532.108966648273</v>
      </c>
      <c r="AC337" s="4599">
        <f>AC327+SUM(AC334:AC336)</f>
        <v>-20592.538223054704</v>
      </c>
      <c r="AD337" s="4599">
        <f>AD327+SUM(AD334:AD336)</f>
        <v>-23174.655470045396</v>
      </c>
      <c r="AE337" s="4599">
        <f>AE327+SUM(AE334:AE336)</f>
        <v>-25626.657387445099</v>
      </c>
      <c r="AF337" s="4599">
        <f>AF327+SUM(AF334:AF336)</f>
        <v>-28026.631740740126</v>
      </c>
      <c r="AH337" s="4807"/>
    </row>
    <row r="338" spans="1:38" s="766" customFormat="1">
      <c r="A338" s="4587"/>
      <c r="B338" s="4588"/>
      <c r="C338" s="4588"/>
      <c r="D338" s="4588"/>
      <c r="E338" s="4588"/>
      <c r="F338" s="4588"/>
      <c r="G338" s="4588"/>
      <c r="H338" s="4588"/>
      <c r="I338" s="4588"/>
      <c r="J338" s="4588"/>
      <c r="K338" s="4588"/>
      <c r="L338" s="4588"/>
      <c r="M338" s="4588"/>
      <c r="N338" s="4588"/>
      <c r="O338" s="4588"/>
      <c r="P338" s="4588"/>
      <c r="Q338" s="4588"/>
      <c r="R338" s="4588"/>
      <c r="S338" s="4588"/>
      <c r="T338" s="4588"/>
      <c r="U338" s="4588"/>
      <c r="V338" s="4588"/>
      <c r="W338" s="4588"/>
      <c r="X338" s="4588"/>
      <c r="Y338" s="4588"/>
      <c r="Z338" s="4588"/>
      <c r="AA338" s="4588"/>
      <c r="AB338" s="4588"/>
      <c r="AC338" s="4588"/>
      <c r="AD338" s="4588"/>
      <c r="AE338" s="4588"/>
      <c r="AF338" s="4588"/>
      <c r="AH338" s="4796"/>
    </row>
    <row r="339" spans="1:38" s="627" customFormat="1" hidden="1" outlineLevel="1">
      <c r="A339" s="4960" t="s">
        <v>989</v>
      </c>
      <c r="B339" s="4961"/>
      <c r="C339" s="4961"/>
      <c r="D339" s="4961"/>
      <c r="E339" s="4961"/>
      <c r="F339" s="4961"/>
      <c r="G339" s="4961"/>
      <c r="H339" s="4961"/>
      <c r="I339" s="4961"/>
      <c r="J339" s="4961"/>
      <c r="K339" s="4961"/>
      <c r="L339" s="4961"/>
      <c r="M339" s="4961"/>
      <c r="N339" s="4961"/>
      <c r="O339" s="4961"/>
      <c r="P339" s="4961"/>
      <c r="Q339" s="4961"/>
      <c r="R339" s="4961"/>
      <c r="S339" s="4961"/>
      <c r="T339" s="4961"/>
      <c r="U339" s="4961"/>
      <c r="V339" s="4961"/>
      <c r="W339" s="4961"/>
      <c r="X339" s="4961"/>
      <c r="Y339" s="4961"/>
      <c r="Z339" s="4961"/>
      <c r="AA339" s="4961"/>
      <c r="AB339" s="4961"/>
      <c r="AC339" s="4961"/>
      <c r="AD339" s="4961"/>
      <c r="AE339" s="4961"/>
      <c r="AF339" s="4961"/>
      <c r="AH339" s="4796"/>
    </row>
    <row r="340" spans="1:38" s="766" customFormat="1" hidden="1" outlineLevel="1">
      <c r="A340" s="4593" t="s">
        <v>899</v>
      </c>
      <c r="B340" s="4962"/>
      <c r="C340" s="4962"/>
      <c r="D340" s="4962"/>
      <c r="E340" s="4962"/>
      <c r="F340" s="4962"/>
      <c r="G340" s="4962"/>
      <c r="H340" s="4962"/>
      <c r="I340" s="4962"/>
      <c r="J340" s="4962"/>
      <c r="K340" s="4962"/>
      <c r="L340" s="4962"/>
      <c r="M340" s="4962"/>
      <c r="N340" s="4962"/>
      <c r="O340" s="4962"/>
      <c r="P340" s="4962"/>
      <c r="Q340" s="4962"/>
      <c r="R340" s="4962"/>
      <c r="S340" s="4962"/>
      <c r="T340" s="4962"/>
      <c r="U340" s="4962"/>
      <c r="V340" s="4962"/>
      <c r="W340" s="4962"/>
      <c r="X340" s="4962"/>
      <c r="Y340" s="4962"/>
      <c r="Z340" s="4962"/>
      <c r="AA340" s="4962"/>
      <c r="AB340" s="4962"/>
      <c r="AC340" s="4962"/>
      <c r="AD340" s="4962"/>
      <c r="AE340" s="4962"/>
      <c r="AF340" s="4962"/>
      <c r="AH340" s="4807"/>
    </row>
    <row r="341" spans="1:38" s="766" customFormat="1" hidden="1" outlineLevel="1">
      <c r="A341" s="4581" t="s">
        <v>895</v>
      </c>
      <c r="B341" s="4597"/>
      <c r="C341" s="4597"/>
      <c r="D341" s="4597"/>
      <c r="E341" s="4597"/>
      <c r="F341" s="4597"/>
      <c r="G341" s="4597"/>
      <c r="H341" s="4597"/>
      <c r="I341" s="4597"/>
      <c r="J341" s="4597"/>
      <c r="K341" s="4597"/>
      <c r="L341" s="4597"/>
      <c r="M341" s="4597"/>
      <c r="N341" s="4597"/>
      <c r="O341" s="4597"/>
      <c r="P341" s="4597"/>
      <c r="Q341" s="4597"/>
      <c r="R341" s="4597"/>
      <c r="S341" s="4597"/>
      <c r="T341" s="4594">
        <f t="shared" ref="T341:AB341" si="244">T47/T8</f>
        <v>0.6234221855151697</v>
      </c>
      <c r="U341" s="4594">
        <f t="shared" si="244"/>
        <v>0.60618323581927258</v>
      </c>
      <c r="V341" s="4594">
        <f t="shared" si="244"/>
        <v>0.57011839344316184</v>
      </c>
      <c r="W341" s="4594">
        <f t="shared" si="244"/>
        <v>0.57814289096674776</v>
      </c>
      <c r="X341" s="4594">
        <f t="shared" si="244"/>
        <v>0.57436111386103605</v>
      </c>
      <c r="Y341" s="4594">
        <f t="shared" si="244"/>
        <v>0.56940929230889348</v>
      </c>
      <c r="Z341" s="4594">
        <f t="shared" si="244"/>
        <v>0.56592518099069189</v>
      </c>
      <c r="AA341" s="4594">
        <f t="shared" si="244"/>
        <v>0.55657301995576025</v>
      </c>
      <c r="AB341" s="4594">
        <f t="shared" si="244"/>
        <v>0.5380616004784996</v>
      </c>
      <c r="AC341" s="4594">
        <f>AC47/AC8</f>
        <v>0.52224250902399949</v>
      </c>
      <c r="AD341" s="4594">
        <f>AD47/AD8</f>
        <v>0.50842651690550555</v>
      </c>
      <c r="AE341" s="4594">
        <f>AE47/AE8</f>
        <v>0.49656176057686746</v>
      </c>
      <c r="AF341" s="4594">
        <f>AF47/AF8</f>
        <v>0.48559019687873117</v>
      </c>
      <c r="AI341" s="2649"/>
      <c r="AJ341" s="2649"/>
      <c r="AK341" s="2649"/>
      <c r="AL341" s="2649"/>
    </row>
    <row r="342" spans="1:38" s="766" customFormat="1" hidden="1" outlineLevel="1">
      <c r="A342" s="4581" t="s">
        <v>634</v>
      </c>
      <c r="B342" s="4597"/>
      <c r="C342" s="4597"/>
      <c r="D342" s="4597"/>
      <c r="E342" s="4597"/>
      <c r="F342" s="4597"/>
      <c r="G342" s="4597"/>
      <c r="H342" s="4597"/>
      <c r="I342" s="4597"/>
      <c r="J342" s="4597"/>
      <c r="K342" s="4597"/>
      <c r="L342" s="4597"/>
      <c r="M342" s="4597"/>
      <c r="N342" s="4597"/>
      <c r="O342" s="4597"/>
      <c r="P342" s="4597"/>
      <c r="Q342" s="4597"/>
      <c r="R342" s="4597"/>
      <c r="S342" s="4597"/>
      <c r="T342" s="4594">
        <f t="shared" ref="T342:AB342" si="245">T84/T8</f>
        <v>0.14625161709996418</v>
      </c>
      <c r="U342" s="4594">
        <f t="shared" si="245"/>
        <v>0.133123683251265</v>
      </c>
      <c r="V342" s="4594">
        <f t="shared" si="245"/>
        <v>0.12650183260558712</v>
      </c>
      <c r="W342" s="4594">
        <f t="shared" si="245"/>
        <v>0.12304521477893315</v>
      </c>
      <c r="X342" s="4594">
        <f t="shared" si="245"/>
        <v>0.11589755193822568</v>
      </c>
      <c r="Y342" s="4594">
        <f t="shared" si="245"/>
        <v>0.10186275594188565</v>
      </c>
      <c r="Z342" s="4594">
        <f t="shared" si="245"/>
        <v>8.673553931512093E-2</v>
      </c>
      <c r="AA342" s="4594">
        <f t="shared" si="245"/>
        <v>7.4135728197397499E-2</v>
      </c>
      <c r="AB342" s="4594">
        <f t="shared" si="245"/>
        <v>6.269404397052987E-2</v>
      </c>
      <c r="AC342" s="4594">
        <f>AC84/AC8</f>
        <v>5.4765746738704324E-2</v>
      </c>
      <c r="AD342" s="4594">
        <f>AD84/AD8</f>
        <v>4.867002511103103E-2</v>
      </c>
      <c r="AE342" s="4594">
        <f>AE84/AE8</f>
        <v>4.4013194800004755E-2</v>
      </c>
      <c r="AF342" s="4594">
        <f>AF84/AF8</f>
        <v>4.0238068895316892E-2</v>
      </c>
      <c r="AH342" s="4798"/>
      <c r="AI342" s="2649"/>
      <c r="AJ342" s="2649"/>
      <c r="AK342" s="2649"/>
      <c r="AL342" s="2649"/>
    </row>
    <row r="343" spans="1:38" s="766" customFormat="1" hidden="1" outlineLevel="1">
      <c r="A343" s="4581" t="s">
        <v>354</v>
      </c>
      <c r="B343" s="4597"/>
      <c r="C343" s="4597"/>
      <c r="D343" s="4597"/>
      <c r="E343" s="4597"/>
      <c r="F343" s="4597"/>
      <c r="G343" s="4597"/>
      <c r="H343" s="4597"/>
      <c r="I343" s="4597"/>
      <c r="J343" s="4597"/>
      <c r="K343" s="4597"/>
      <c r="L343" s="4597"/>
      <c r="M343" s="4597"/>
      <c r="N343" s="4597"/>
      <c r="O343" s="4597"/>
      <c r="P343" s="4597"/>
      <c r="Q343" s="4597"/>
      <c r="R343" s="4597"/>
      <c r="S343" s="4597"/>
      <c r="T343" s="4594">
        <f t="shared" ref="T343:AB343" si="246">T123/T8</f>
        <v>9.834160460170005E-2</v>
      </c>
      <c r="U343" s="4594">
        <f t="shared" si="246"/>
        <v>0.11089418437262522</v>
      </c>
      <c r="V343" s="4594">
        <f t="shared" si="246"/>
        <v>0.13286801404723686</v>
      </c>
      <c r="W343" s="4594">
        <f t="shared" si="246"/>
        <v>0.13891250092183965</v>
      </c>
      <c r="X343" s="4594">
        <f t="shared" si="246"/>
        <v>0.13899150037477551</v>
      </c>
      <c r="Y343" s="4594">
        <f t="shared" si="246"/>
        <v>0.14672661144980056</v>
      </c>
      <c r="Z343" s="4594">
        <f t="shared" si="246"/>
        <v>0.15453377140604196</v>
      </c>
      <c r="AA343" s="4594">
        <f t="shared" si="246"/>
        <v>0.1547520081630146</v>
      </c>
      <c r="AB343" s="4594">
        <f t="shared" si="246"/>
        <v>0.15112597810572062</v>
      </c>
      <c r="AC343" s="4594">
        <f>AC123/AC8</f>
        <v>0.14846711542491511</v>
      </c>
      <c r="AD343" s="4594">
        <f>AD123/AD8</f>
        <v>0.14631638481263592</v>
      </c>
      <c r="AE343" s="4594">
        <f>AE123/AE8</f>
        <v>0.14422507838088708</v>
      </c>
      <c r="AF343" s="4594">
        <f>AF123/AF8</f>
        <v>0.14257481238629233</v>
      </c>
      <c r="AH343" s="4803"/>
    </row>
    <row r="344" spans="1:38" s="766" customFormat="1" hidden="1" outlineLevel="1">
      <c r="A344" s="4581" t="s">
        <v>902</v>
      </c>
      <c r="B344" s="4597"/>
      <c r="C344" s="4597"/>
      <c r="D344" s="4597"/>
      <c r="E344" s="4597"/>
      <c r="F344" s="4597"/>
      <c r="G344" s="4597"/>
      <c r="H344" s="4597"/>
      <c r="I344" s="4597"/>
      <c r="J344" s="4597"/>
      <c r="K344" s="4597"/>
      <c r="L344" s="4597"/>
      <c r="M344" s="4597"/>
      <c r="N344" s="4597"/>
      <c r="O344" s="4597"/>
      <c r="P344" s="4597"/>
      <c r="Q344" s="4597"/>
      <c r="R344" s="4597"/>
      <c r="S344" s="4597"/>
      <c r="T344" s="4594">
        <f t="shared" ref="T344:AB344" si="247">T173/T8</f>
        <v>8.5974901146770547E-2</v>
      </c>
      <c r="U344" s="4594">
        <f t="shared" si="247"/>
        <v>8.781825932767813E-2</v>
      </c>
      <c r="V344" s="4594">
        <f t="shared" si="247"/>
        <v>9.4402471963052043E-2</v>
      </c>
      <c r="W344" s="4594">
        <f t="shared" si="247"/>
        <v>8.1851597402546994E-2</v>
      </c>
      <c r="X344" s="4594">
        <f t="shared" si="247"/>
        <v>6.7127946937447849E-2</v>
      </c>
      <c r="Y344" s="4594">
        <f t="shared" si="247"/>
        <v>6.8625672589575595E-2</v>
      </c>
      <c r="Z344" s="4594">
        <f t="shared" si="247"/>
        <v>6.3989275980092464E-2</v>
      </c>
      <c r="AA344" s="4594">
        <f t="shared" si="247"/>
        <v>6.7899162646491026E-2</v>
      </c>
      <c r="AB344" s="4594">
        <f t="shared" si="247"/>
        <v>6.9027680579485121E-2</v>
      </c>
      <c r="AC344" s="4594">
        <f>AC173/AC8</f>
        <v>6.821640657329324E-2</v>
      </c>
      <c r="AD344" s="4594">
        <f>AD173/AD8</f>
        <v>6.6570078486612547E-2</v>
      </c>
      <c r="AE344" s="4594">
        <f>AE173/AE8</f>
        <v>6.561858946862352E-2</v>
      </c>
      <c r="AF344" s="4594">
        <f>AF173/AF8</f>
        <v>6.3495509487253396E-2</v>
      </c>
      <c r="AH344" s="4798"/>
    </row>
    <row r="345" spans="1:38" s="766" customFormat="1" hidden="1" outlineLevel="1">
      <c r="A345" s="4581" t="s">
        <v>692</v>
      </c>
      <c r="B345" s="4597"/>
      <c r="C345" s="4597"/>
      <c r="D345" s="4597"/>
      <c r="E345" s="4597"/>
      <c r="F345" s="4597"/>
      <c r="G345" s="4597"/>
      <c r="H345" s="4597"/>
      <c r="I345" s="4597"/>
      <c r="J345" s="4597"/>
      <c r="K345" s="4597"/>
      <c r="L345" s="4597"/>
      <c r="M345" s="4597"/>
      <c r="N345" s="4597"/>
      <c r="O345" s="4597"/>
      <c r="P345" s="4597"/>
      <c r="Q345" s="4597"/>
      <c r="R345" s="4597"/>
      <c r="S345" s="4597"/>
      <c r="T345" s="4594">
        <f t="shared" ref="T345:AB345" si="248">T248/T8</f>
        <v>4.2669512275341874E-2</v>
      </c>
      <c r="U345" s="4594">
        <f t="shared" si="248"/>
        <v>5.5098018621375658E-2</v>
      </c>
      <c r="V345" s="4594">
        <f t="shared" si="248"/>
        <v>7.1545579558092778E-2</v>
      </c>
      <c r="W345" s="4594">
        <f t="shared" si="248"/>
        <v>7.4546746003097381E-2</v>
      </c>
      <c r="X345" s="4594">
        <f t="shared" si="248"/>
        <v>9.2916036148156522E-2</v>
      </c>
      <c r="Y345" s="4594">
        <f t="shared" si="248"/>
        <v>0.10764035732642797</v>
      </c>
      <c r="Z345" s="4594">
        <f t="shared" si="248"/>
        <v>0.12350507688176036</v>
      </c>
      <c r="AA345" s="4594">
        <f t="shared" si="248"/>
        <v>0.14345887197437046</v>
      </c>
      <c r="AB345" s="4594">
        <f t="shared" si="248"/>
        <v>0.17674153513223842</v>
      </c>
      <c r="AC345" s="4594">
        <f>AC248/AC8</f>
        <v>0.20273536351493099</v>
      </c>
      <c r="AD345" s="4594">
        <f>AD248/AD8</f>
        <v>0.22634400646941727</v>
      </c>
      <c r="AE345" s="4594">
        <f>AE248/AE8</f>
        <v>0.24562443497800673</v>
      </c>
      <c r="AF345" s="4594">
        <f>AF248/AF8</f>
        <v>0.26365848372036543</v>
      </c>
      <c r="AH345" s="4798"/>
    </row>
    <row r="346" spans="1:38" s="766" customFormat="1" hidden="1" outlineLevel="1">
      <c r="A346" s="4581" t="s">
        <v>434</v>
      </c>
      <c r="B346" s="4597"/>
      <c r="C346" s="4597"/>
      <c r="D346" s="4597"/>
      <c r="E346" s="4597"/>
      <c r="F346" s="4597"/>
      <c r="G346" s="4597"/>
      <c r="H346" s="4597"/>
      <c r="I346" s="4597"/>
      <c r="J346" s="4597"/>
      <c r="K346" s="4597"/>
      <c r="L346" s="4597"/>
      <c r="M346" s="4597"/>
      <c r="N346" s="4597"/>
      <c r="O346" s="4597"/>
      <c r="P346" s="4597"/>
      <c r="Q346" s="4597"/>
      <c r="R346" s="4597"/>
      <c r="S346" s="4597"/>
      <c r="T346" s="4594">
        <f t="shared" ref="T346:AB346" si="249">T289/T8</f>
        <v>4.3488112031223733E-3</v>
      </c>
      <c r="U346" s="4594">
        <f t="shared" si="249"/>
        <v>4.071495208733635E-3</v>
      </c>
      <c r="V346" s="4594">
        <f t="shared" si="249"/>
        <v>3.5994674760446398E-3</v>
      </c>
      <c r="W346" s="4594">
        <f t="shared" si="249"/>
        <v>2.9227168457946645E-3</v>
      </c>
      <c r="X346" s="4594">
        <f t="shared" si="249"/>
        <v>3.7760398251990555E-3</v>
      </c>
      <c r="Y346" s="4594">
        <f t="shared" si="249"/>
        <v>4.9675660552906042E-3</v>
      </c>
      <c r="Z346" s="4594">
        <f t="shared" si="249"/>
        <v>4.7083292859224383E-3</v>
      </c>
      <c r="AA346" s="4594">
        <f t="shared" si="249"/>
        <v>3.8156098741422406E-3</v>
      </c>
      <c r="AB346" s="4594">
        <f t="shared" si="249"/>
        <v>3.6008099119893095E-3</v>
      </c>
      <c r="AC346" s="4594">
        <f>AC289/AC8</f>
        <v>3.5728587241568716E-3</v>
      </c>
      <c r="AD346" s="4594">
        <f>AD289/AD8</f>
        <v>3.6729882147976617E-3</v>
      </c>
      <c r="AE346" s="4594">
        <f>AE289/AE8</f>
        <v>3.9569417956103452E-3</v>
      </c>
      <c r="AF346" s="4594">
        <f>AF289/AF8</f>
        <v>4.4429286320408707E-3</v>
      </c>
      <c r="AH346" s="4807"/>
    </row>
    <row r="347" spans="1:38" s="766" customFormat="1" hidden="1" outlineLevel="1">
      <c r="A347" s="4581" t="s">
        <v>452</v>
      </c>
      <c r="B347" s="4597"/>
      <c r="C347" s="4597"/>
      <c r="D347" s="4597"/>
      <c r="E347" s="4597"/>
      <c r="F347" s="4597"/>
      <c r="G347" s="4597"/>
      <c r="H347" s="4597"/>
      <c r="I347" s="4597"/>
      <c r="J347" s="4597"/>
      <c r="K347" s="4597"/>
      <c r="L347" s="4597"/>
      <c r="M347" s="4597"/>
      <c r="N347" s="4597"/>
      <c r="O347" s="4597"/>
      <c r="P347" s="4597"/>
      <c r="Q347" s="4597"/>
      <c r="R347" s="4597"/>
      <c r="S347" s="4597"/>
      <c r="T347" s="4594">
        <f t="shared" ref="T347:AB347" si="250">T321/T8</f>
        <v>-1.0086318420687184E-3</v>
      </c>
      <c r="U347" s="4594">
        <f t="shared" si="250"/>
        <v>2.8111233990497785E-3</v>
      </c>
      <c r="V347" s="4594">
        <f t="shared" si="250"/>
        <v>9.6424090682474377E-4</v>
      </c>
      <c r="W347" s="4594">
        <f t="shared" si="250"/>
        <v>5.783330810403785E-4</v>
      </c>
      <c r="X347" s="4594">
        <f t="shared" si="250"/>
        <v>6.9298109151593153E-3</v>
      </c>
      <c r="Y347" s="4594">
        <f t="shared" si="250"/>
        <v>7.6774432812611829E-4</v>
      </c>
      <c r="Z347" s="4594">
        <f t="shared" si="250"/>
        <v>6.0282614036992379E-4</v>
      </c>
      <c r="AA347" s="4594">
        <f t="shared" si="250"/>
        <v>-6.3440081117600172E-4</v>
      </c>
      <c r="AB347" s="4594">
        <f t="shared" si="250"/>
        <v>-1.251648178463005E-3</v>
      </c>
      <c r="AC347" s="4594">
        <f>AC321/AC8</f>
        <v>0</v>
      </c>
      <c r="AD347" s="4594">
        <f>AD321/AD8</f>
        <v>0</v>
      </c>
      <c r="AE347" s="4594">
        <f>AE321/AE8</f>
        <v>0</v>
      </c>
      <c r="AF347" s="4594">
        <f>AF321/AF8</f>
        <v>0</v>
      </c>
      <c r="AH347" s="4803"/>
    </row>
    <row r="348" spans="1:38" s="766" customFormat="1" hidden="1" outlineLevel="1">
      <c r="A348" s="4989" t="s">
        <v>903</v>
      </c>
      <c r="B348" s="4990"/>
      <c r="C348" s="4990"/>
      <c r="D348" s="4990"/>
      <c r="E348" s="4990"/>
      <c r="F348" s="4990"/>
      <c r="G348" s="4990"/>
      <c r="H348" s="4990"/>
      <c r="I348" s="4990"/>
      <c r="J348" s="4990"/>
      <c r="K348" s="4990"/>
      <c r="L348" s="4990"/>
      <c r="M348" s="4990"/>
      <c r="N348" s="4990"/>
      <c r="O348" s="4990"/>
      <c r="P348" s="4990"/>
      <c r="Q348" s="4990"/>
      <c r="R348" s="4990"/>
      <c r="S348" s="4990"/>
      <c r="T348" s="4991">
        <f>SUM(T341:T347)</f>
        <v>1</v>
      </c>
      <c r="U348" s="4991">
        <f t="shared" ref="U348:AB348" si="251">SUM(U341:U347)</f>
        <v>1</v>
      </c>
      <c r="V348" s="4991">
        <f t="shared" si="251"/>
        <v>1</v>
      </c>
      <c r="W348" s="4991">
        <f t="shared" si="251"/>
        <v>1</v>
      </c>
      <c r="X348" s="4991">
        <f t="shared" si="251"/>
        <v>1</v>
      </c>
      <c r="Y348" s="4991">
        <f t="shared" si="251"/>
        <v>1</v>
      </c>
      <c r="Z348" s="4991">
        <f t="shared" si="251"/>
        <v>0.99999999999999989</v>
      </c>
      <c r="AA348" s="4991">
        <f t="shared" si="251"/>
        <v>1</v>
      </c>
      <c r="AB348" s="4991">
        <f t="shared" si="251"/>
        <v>1</v>
      </c>
      <c r="AC348" s="4991">
        <f>SUM(AC341:AC347)</f>
        <v>1</v>
      </c>
      <c r="AD348" s="4991">
        <f>SUM(AD341:AD347)</f>
        <v>1</v>
      </c>
      <c r="AE348" s="4991">
        <f>SUM(AE341:AE347)</f>
        <v>0.99999999999999989</v>
      </c>
      <c r="AF348" s="4991">
        <f>SUM(AF341:AF347)</f>
        <v>1</v>
      </c>
      <c r="AH348" s="4798"/>
    </row>
    <row r="349" spans="1:38" s="766" customFormat="1" hidden="1" outlineLevel="1">
      <c r="A349" s="4593" t="s">
        <v>380</v>
      </c>
      <c r="B349" s="4962"/>
      <c r="C349" s="4962"/>
      <c r="D349" s="4962"/>
      <c r="E349" s="4962"/>
      <c r="F349" s="4962"/>
      <c r="G349" s="4962"/>
      <c r="H349" s="4962"/>
      <c r="I349" s="4962"/>
      <c r="J349" s="4962"/>
      <c r="K349" s="4962"/>
      <c r="L349" s="4962"/>
      <c r="M349" s="4962"/>
      <c r="N349" s="4962"/>
      <c r="O349" s="4962"/>
      <c r="P349" s="4962"/>
      <c r="Q349" s="4962"/>
      <c r="R349" s="4962"/>
      <c r="S349" s="4962"/>
      <c r="T349" s="4963"/>
      <c r="U349" s="4963"/>
      <c r="V349" s="4963"/>
      <c r="W349" s="4963"/>
      <c r="X349" s="4963"/>
      <c r="Y349" s="4963"/>
      <c r="Z349" s="4963"/>
      <c r="AA349" s="4963"/>
      <c r="AB349" s="4963"/>
      <c r="AC349" s="4963"/>
      <c r="AD349" s="4963"/>
      <c r="AE349" s="4963"/>
      <c r="AF349" s="4963"/>
      <c r="AH349" s="4807"/>
    </row>
    <row r="350" spans="1:38" s="766" customFormat="1" hidden="1" outlineLevel="1">
      <c r="A350" s="4581" t="s">
        <v>895</v>
      </c>
      <c r="B350" s="4597"/>
      <c r="C350" s="4597"/>
      <c r="D350" s="4597"/>
      <c r="E350" s="4597"/>
      <c r="F350" s="4597"/>
      <c r="G350" s="4597"/>
      <c r="H350" s="4597"/>
      <c r="I350" s="4597"/>
      <c r="J350" s="4597"/>
      <c r="K350" s="4597"/>
      <c r="L350" s="4597"/>
      <c r="M350" s="4597"/>
      <c r="N350" s="4597"/>
      <c r="O350" s="4597"/>
      <c r="P350" s="4597"/>
      <c r="Q350" s="4597"/>
      <c r="R350" s="4597"/>
      <c r="S350" s="4597"/>
      <c r="T350" s="4594">
        <f t="shared" ref="T350:AB350" si="252">T48/T9</f>
        <v>0.47040335254059717</v>
      </c>
      <c r="U350" s="4594">
        <f t="shared" si="252"/>
        <v>0.50372784073914056</v>
      </c>
      <c r="V350" s="4594">
        <f t="shared" si="252"/>
        <v>0.50945914332784192</v>
      </c>
      <c r="W350" s="4594">
        <f t="shared" si="252"/>
        <v>0.52466838212702449</v>
      </c>
      <c r="X350" s="4594">
        <f t="shared" si="252"/>
        <v>0.54102198141150026</v>
      </c>
      <c r="Y350" s="4594">
        <f t="shared" si="252"/>
        <v>0.57747129269347164</v>
      </c>
      <c r="Z350" s="4594">
        <f t="shared" si="252"/>
        <v>0.62061142440801453</v>
      </c>
      <c r="AA350" s="4594">
        <f t="shared" si="252"/>
        <v>0.66323426200079771</v>
      </c>
      <c r="AB350" s="4594">
        <f t="shared" si="252"/>
        <v>0.69768545820823247</v>
      </c>
      <c r="AC350" s="4594">
        <f>AC48/AC9</f>
        <v>0.72257599502004088</v>
      </c>
      <c r="AD350" s="4594">
        <f>AD48/AD9</f>
        <v>0.74307915373493694</v>
      </c>
      <c r="AE350" s="4594">
        <f>AE48/AE9</f>
        <v>0.7584814248987547</v>
      </c>
      <c r="AF350" s="4594">
        <f>AF48/AF9</f>
        <v>0.77107344933565891</v>
      </c>
      <c r="AH350" s="4803"/>
    </row>
    <row r="351" spans="1:38" s="766" customFormat="1" hidden="1" outlineLevel="1">
      <c r="A351" s="4581" t="s">
        <v>634</v>
      </c>
      <c r="B351" s="4597"/>
      <c r="C351" s="4597"/>
      <c r="D351" s="4597"/>
      <c r="E351" s="4597"/>
      <c r="F351" s="4597"/>
      <c r="G351" s="4597"/>
      <c r="H351" s="4597"/>
      <c r="I351" s="4597"/>
      <c r="J351" s="4597"/>
      <c r="K351" s="4597"/>
      <c r="L351" s="4597"/>
      <c r="M351" s="4597"/>
      <c r="N351" s="4597"/>
      <c r="O351" s="4597"/>
      <c r="P351" s="4597"/>
      <c r="Q351" s="4597"/>
      <c r="R351" s="4597"/>
      <c r="S351" s="4597"/>
      <c r="T351" s="4594">
        <f t="shared" ref="T351:AB351" si="253">T85/T9</f>
        <v>0.52959664745940283</v>
      </c>
      <c r="U351" s="4594">
        <f t="shared" si="253"/>
        <v>0.49627215926085938</v>
      </c>
      <c r="V351" s="4594">
        <f t="shared" si="253"/>
        <v>0.49054085667215813</v>
      </c>
      <c r="W351" s="4594">
        <f t="shared" si="253"/>
        <v>0.47533161787297551</v>
      </c>
      <c r="X351" s="4594">
        <f t="shared" si="253"/>
        <v>0.45897801858849968</v>
      </c>
      <c r="Y351" s="4594">
        <f t="shared" si="253"/>
        <v>0.42252870730652831</v>
      </c>
      <c r="Z351" s="4594">
        <f t="shared" si="253"/>
        <v>0.37938857559198547</v>
      </c>
      <c r="AA351" s="4594">
        <f t="shared" si="253"/>
        <v>0.33676573799920234</v>
      </c>
      <c r="AB351" s="4594">
        <f t="shared" si="253"/>
        <v>0.30231454179176759</v>
      </c>
      <c r="AC351" s="4594">
        <f>AC85/AC9</f>
        <v>0.27742400497995917</v>
      </c>
      <c r="AD351" s="4594">
        <f>AD85/AD9</f>
        <v>0.25692084626506317</v>
      </c>
      <c r="AE351" s="4594">
        <f>AE85/AE9</f>
        <v>0.24151857510124525</v>
      </c>
      <c r="AF351" s="4594">
        <f>AF85/AF9</f>
        <v>0.22892655066434106</v>
      </c>
      <c r="AH351" s="4798"/>
    </row>
    <row r="352" spans="1:38" s="766" customFormat="1" hidden="1" outlineLevel="1">
      <c r="A352" s="4581" t="s">
        <v>354</v>
      </c>
      <c r="B352" s="4597"/>
      <c r="C352" s="4597"/>
      <c r="D352" s="4597"/>
      <c r="E352" s="4597"/>
      <c r="F352" s="4597"/>
      <c r="G352" s="4597"/>
      <c r="H352" s="4597"/>
      <c r="I352" s="4597"/>
      <c r="J352" s="4597"/>
      <c r="K352" s="4597"/>
      <c r="L352" s="4597"/>
      <c r="M352" s="4597"/>
      <c r="N352" s="4597"/>
      <c r="O352" s="4597"/>
      <c r="P352" s="4597"/>
      <c r="Q352" s="4597"/>
      <c r="R352" s="4597"/>
      <c r="S352" s="4597"/>
      <c r="T352" s="4594">
        <f t="shared" ref="T352:AB352" si="254">T124/T9</f>
        <v>0</v>
      </c>
      <c r="U352" s="4594">
        <f t="shared" si="254"/>
        <v>0</v>
      </c>
      <c r="V352" s="4594">
        <f t="shared" si="254"/>
        <v>0</v>
      </c>
      <c r="W352" s="4594">
        <f t="shared" si="254"/>
        <v>0</v>
      </c>
      <c r="X352" s="4594">
        <f t="shared" si="254"/>
        <v>0</v>
      </c>
      <c r="Y352" s="4594">
        <f t="shared" si="254"/>
        <v>0</v>
      </c>
      <c r="Z352" s="4594">
        <f t="shared" si="254"/>
        <v>0</v>
      </c>
      <c r="AA352" s="4594">
        <f t="shared" si="254"/>
        <v>0</v>
      </c>
      <c r="AB352" s="4594">
        <f t="shared" si="254"/>
        <v>0</v>
      </c>
      <c r="AC352" s="4594">
        <f>AC124/AC9</f>
        <v>0</v>
      </c>
      <c r="AD352" s="4594">
        <f>AD124/AD9</f>
        <v>0</v>
      </c>
      <c r="AE352" s="4594">
        <f>AE124/AE9</f>
        <v>0</v>
      </c>
      <c r="AF352" s="4594">
        <f>AF124/AF9</f>
        <v>0</v>
      </c>
      <c r="AH352" s="4803"/>
    </row>
    <row r="353" spans="1:38" s="766" customFormat="1" hidden="1" outlineLevel="1">
      <c r="A353" s="4581" t="s">
        <v>902</v>
      </c>
      <c r="B353" s="4597"/>
      <c r="C353" s="4597"/>
      <c r="D353" s="4597"/>
      <c r="E353" s="4597"/>
      <c r="F353" s="4597"/>
      <c r="G353" s="4597"/>
      <c r="H353" s="4597"/>
      <c r="I353" s="4597"/>
      <c r="J353" s="4597"/>
      <c r="K353" s="4597"/>
      <c r="L353" s="4597"/>
      <c r="M353" s="4597"/>
      <c r="N353" s="4597"/>
      <c r="O353" s="4597"/>
      <c r="P353" s="4597"/>
      <c r="Q353" s="4597"/>
      <c r="R353" s="4597"/>
      <c r="S353" s="4597"/>
      <c r="T353" s="4594">
        <f t="shared" ref="T353:AB353" si="255">T174/T9</f>
        <v>0</v>
      </c>
      <c r="U353" s="4594">
        <f t="shared" si="255"/>
        <v>0</v>
      </c>
      <c r="V353" s="4594">
        <f t="shared" si="255"/>
        <v>0</v>
      </c>
      <c r="W353" s="4594">
        <f t="shared" si="255"/>
        <v>0</v>
      </c>
      <c r="X353" s="4594">
        <f t="shared" si="255"/>
        <v>0</v>
      </c>
      <c r="Y353" s="4594">
        <f t="shared" si="255"/>
        <v>0</v>
      </c>
      <c r="Z353" s="4594">
        <f t="shared" si="255"/>
        <v>0</v>
      </c>
      <c r="AA353" s="4594">
        <f t="shared" si="255"/>
        <v>0</v>
      </c>
      <c r="AB353" s="4594">
        <f t="shared" si="255"/>
        <v>-5.5910377642626223E-17</v>
      </c>
      <c r="AC353" s="4594">
        <f>AC174/AC9</f>
        <v>0</v>
      </c>
      <c r="AD353" s="4594">
        <f>AD174/AD9</f>
        <v>-9.6472704125002484E-17</v>
      </c>
      <c r="AE353" s="4594">
        <f>AE174/AE9</f>
        <v>9.0689215667600023E-17</v>
      </c>
      <c r="AF353" s="4594">
        <f>AF174/AF9</f>
        <v>4.276664831462818E-17</v>
      </c>
      <c r="AH353" s="4798"/>
    </row>
    <row r="354" spans="1:38" s="766" customFormat="1" hidden="1" outlineLevel="1">
      <c r="A354" s="4581" t="s">
        <v>692</v>
      </c>
      <c r="B354" s="4597"/>
      <c r="C354" s="4597"/>
      <c r="D354" s="4597"/>
      <c r="E354" s="4597"/>
      <c r="F354" s="4597"/>
      <c r="G354" s="4597"/>
      <c r="H354" s="4597"/>
      <c r="I354" s="4597"/>
      <c r="J354" s="4597"/>
      <c r="K354" s="4597"/>
      <c r="L354" s="4597"/>
      <c r="M354" s="4597"/>
      <c r="N354" s="4597"/>
      <c r="O354" s="4597"/>
      <c r="P354" s="4597"/>
      <c r="Q354" s="4597"/>
      <c r="R354" s="4597"/>
      <c r="S354" s="4597"/>
      <c r="T354" s="4594">
        <f t="shared" ref="T354:AB354" si="256">T249/T9</f>
        <v>0</v>
      </c>
      <c r="U354" s="4594">
        <f t="shared" si="256"/>
        <v>0</v>
      </c>
      <c r="V354" s="4594">
        <f t="shared" si="256"/>
        <v>0</v>
      </c>
      <c r="W354" s="4594">
        <f t="shared" si="256"/>
        <v>0</v>
      </c>
      <c r="X354" s="4594">
        <f t="shared" si="256"/>
        <v>0</v>
      </c>
      <c r="Y354" s="4594">
        <f t="shared" si="256"/>
        <v>0</v>
      </c>
      <c r="Z354" s="4594">
        <f t="shared" si="256"/>
        <v>0</v>
      </c>
      <c r="AA354" s="4594">
        <f t="shared" si="256"/>
        <v>0</v>
      </c>
      <c r="AB354" s="4594">
        <f t="shared" si="256"/>
        <v>0</v>
      </c>
      <c r="AC354" s="4594">
        <f>AC249/AC9</f>
        <v>0</v>
      </c>
      <c r="AD354" s="4594">
        <f>AD249/AD9</f>
        <v>0</v>
      </c>
      <c r="AE354" s="4594">
        <f>AE249/AE9</f>
        <v>0</v>
      </c>
      <c r="AF354" s="4594">
        <f>AF249/AF9</f>
        <v>0</v>
      </c>
      <c r="AH354" s="4798"/>
    </row>
    <row r="355" spans="1:38" s="766" customFormat="1" hidden="1" outlineLevel="1">
      <c r="A355" s="4581" t="s">
        <v>434</v>
      </c>
      <c r="B355" s="4597"/>
      <c r="C355" s="4597"/>
      <c r="D355" s="4597"/>
      <c r="E355" s="4597"/>
      <c r="F355" s="4597"/>
      <c r="G355" s="4597"/>
      <c r="H355" s="4597"/>
      <c r="I355" s="4597"/>
      <c r="J355" s="4597"/>
      <c r="K355" s="4597"/>
      <c r="L355" s="4597"/>
      <c r="M355" s="4597"/>
      <c r="N355" s="4597"/>
      <c r="O355" s="4597"/>
      <c r="P355" s="4597"/>
      <c r="Q355" s="4597"/>
      <c r="R355" s="4597"/>
      <c r="S355" s="4597"/>
      <c r="T355" s="4594">
        <f t="shared" ref="T355:AB355" si="257">T290/T9</f>
        <v>0</v>
      </c>
      <c r="U355" s="4594">
        <f t="shared" si="257"/>
        <v>0</v>
      </c>
      <c r="V355" s="4594">
        <f t="shared" si="257"/>
        <v>0</v>
      </c>
      <c r="W355" s="4594">
        <f t="shared" si="257"/>
        <v>0</v>
      </c>
      <c r="X355" s="4594">
        <f t="shared" si="257"/>
        <v>0</v>
      </c>
      <c r="Y355" s="4594">
        <f t="shared" si="257"/>
        <v>0</v>
      </c>
      <c r="Z355" s="4594">
        <f t="shared" si="257"/>
        <v>0</v>
      </c>
      <c r="AA355" s="4594">
        <f t="shared" si="257"/>
        <v>0</v>
      </c>
      <c r="AB355" s="4594">
        <f t="shared" si="257"/>
        <v>0</v>
      </c>
      <c r="AC355" s="4594">
        <f>AC290/AC9</f>
        <v>0</v>
      </c>
      <c r="AD355" s="4594">
        <f>AD290/AD9</f>
        <v>0</v>
      </c>
      <c r="AE355" s="4594">
        <f>AE290/AE9</f>
        <v>0</v>
      </c>
      <c r="AF355" s="4594">
        <f>AF290/AF9</f>
        <v>0</v>
      </c>
      <c r="AH355" s="4807"/>
    </row>
    <row r="356" spans="1:38" s="766" customFormat="1" hidden="1" outlineLevel="1">
      <c r="A356" s="4581" t="s">
        <v>452</v>
      </c>
      <c r="B356" s="4597"/>
      <c r="C356" s="4597"/>
      <c r="D356" s="4597"/>
      <c r="E356" s="4597"/>
      <c r="F356" s="4597"/>
      <c r="G356" s="4597"/>
      <c r="H356" s="4597"/>
      <c r="I356" s="4597"/>
      <c r="J356" s="4597"/>
      <c r="K356" s="4597"/>
      <c r="L356" s="4597"/>
      <c r="M356" s="4597"/>
      <c r="N356" s="4597"/>
      <c r="O356" s="4597"/>
      <c r="P356" s="4597"/>
      <c r="Q356" s="4597"/>
      <c r="R356" s="4597"/>
      <c r="S356" s="4597"/>
      <c r="T356" s="4594">
        <f t="shared" ref="T356:AB356" si="258">T322/T9</f>
        <v>0</v>
      </c>
      <c r="U356" s="4594">
        <f t="shared" si="258"/>
        <v>0</v>
      </c>
      <c r="V356" s="4594">
        <f t="shared" si="258"/>
        <v>0</v>
      </c>
      <c r="W356" s="4594">
        <f t="shared" si="258"/>
        <v>0</v>
      </c>
      <c r="X356" s="4594">
        <f t="shared" si="258"/>
        <v>0</v>
      </c>
      <c r="Y356" s="4594">
        <f t="shared" si="258"/>
        <v>0</v>
      </c>
      <c r="Z356" s="4594">
        <f t="shared" si="258"/>
        <v>0</v>
      </c>
      <c r="AA356" s="4594">
        <f t="shared" si="258"/>
        <v>0</v>
      </c>
      <c r="AB356" s="4594">
        <f t="shared" si="258"/>
        <v>0</v>
      </c>
      <c r="AC356" s="4594">
        <f>AC322/AC9</f>
        <v>0</v>
      </c>
      <c r="AD356" s="4594">
        <f>AD322/AD9</f>
        <v>0</v>
      </c>
      <c r="AE356" s="4594">
        <f>AE322/AE9</f>
        <v>0</v>
      </c>
      <c r="AF356" s="4594">
        <f>AF322/AF9</f>
        <v>0</v>
      </c>
      <c r="AH356" s="4803"/>
    </row>
    <row r="357" spans="1:38" s="766" customFormat="1" hidden="1" outlineLevel="1">
      <c r="A357" s="4989" t="s">
        <v>903</v>
      </c>
      <c r="B357" s="4990"/>
      <c r="C357" s="4990"/>
      <c r="D357" s="4990"/>
      <c r="E357" s="4990"/>
      <c r="F357" s="4990"/>
      <c r="G357" s="4990"/>
      <c r="H357" s="4990"/>
      <c r="I357" s="4990"/>
      <c r="J357" s="4990"/>
      <c r="K357" s="4990"/>
      <c r="L357" s="4990"/>
      <c r="M357" s="4990"/>
      <c r="N357" s="4990"/>
      <c r="O357" s="4990"/>
      <c r="P357" s="4990"/>
      <c r="Q357" s="4990"/>
      <c r="R357" s="4990"/>
      <c r="S357" s="4990"/>
      <c r="T357" s="4991">
        <f t="shared" ref="T357:AB357" si="259">SUM(T350:T356)</f>
        <v>1</v>
      </c>
      <c r="U357" s="4991">
        <f t="shared" si="259"/>
        <v>1</v>
      </c>
      <c r="V357" s="4991">
        <f t="shared" si="259"/>
        <v>1</v>
      </c>
      <c r="W357" s="4991">
        <f t="shared" si="259"/>
        <v>1</v>
      </c>
      <c r="X357" s="4991">
        <f t="shared" si="259"/>
        <v>1</v>
      </c>
      <c r="Y357" s="4991">
        <f t="shared" si="259"/>
        <v>1</v>
      </c>
      <c r="Z357" s="4991">
        <f t="shared" si="259"/>
        <v>1</v>
      </c>
      <c r="AA357" s="4991">
        <f t="shared" si="259"/>
        <v>1</v>
      </c>
      <c r="AB357" s="4991">
        <f t="shared" si="259"/>
        <v>0.99999999999999989</v>
      </c>
      <c r="AC357" s="4991">
        <f>SUM(AC350:AC356)</f>
        <v>1</v>
      </c>
      <c r="AD357" s="4991">
        <f>SUM(AD350:AD356)</f>
        <v>0.99999999999999989</v>
      </c>
      <c r="AE357" s="4991">
        <f>SUM(AE350:AE356)</f>
        <v>1</v>
      </c>
      <c r="AF357" s="4991">
        <f>SUM(AF350:AF356)</f>
        <v>1</v>
      </c>
      <c r="AH357" s="4798"/>
    </row>
    <row r="358" spans="1:38" s="766" customFormat="1" hidden="1" outlineLevel="1">
      <c r="A358" s="4593" t="s">
        <v>990</v>
      </c>
      <c r="B358" s="4962"/>
      <c r="C358" s="4962"/>
      <c r="D358" s="4962"/>
      <c r="E358" s="4962"/>
      <c r="F358" s="4962"/>
      <c r="G358" s="4962"/>
      <c r="H358" s="4962"/>
      <c r="I358" s="4962"/>
      <c r="J358" s="4962"/>
      <c r="K358" s="4962"/>
      <c r="L358" s="4962"/>
      <c r="M358" s="4962"/>
      <c r="N358" s="4962"/>
      <c r="O358" s="4962"/>
      <c r="P358" s="4962"/>
      <c r="Q358" s="4962"/>
      <c r="R358" s="4962"/>
      <c r="S358" s="4962"/>
      <c r="T358" s="4963"/>
      <c r="U358" s="4963"/>
      <c r="V358" s="4963"/>
      <c r="W358" s="4963"/>
      <c r="X358" s="4963"/>
      <c r="Y358" s="4963"/>
      <c r="Z358" s="4963"/>
      <c r="AA358" s="4963"/>
      <c r="AB358" s="4963"/>
      <c r="AC358" s="4963"/>
      <c r="AD358" s="4963"/>
      <c r="AE358" s="4963"/>
      <c r="AF358" s="4963"/>
      <c r="AH358" s="4807"/>
    </row>
    <row r="359" spans="1:38" s="766" customFormat="1" hidden="1" outlineLevel="1">
      <c r="A359" s="4581" t="s">
        <v>895</v>
      </c>
      <c r="B359" s="4597"/>
      <c r="C359" s="4597"/>
      <c r="D359" s="4597"/>
      <c r="E359" s="4597"/>
      <c r="F359" s="4597"/>
      <c r="G359" s="4597"/>
      <c r="H359" s="4597"/>
      <c r="I359" s="4597"/>
      <c r="J359" s="4597"/>
      <c r="K359" s="4597"/>
      <c r="L359" s="4597"/>
      <c r="M359" s="4597"/>
      <c r="N359" s="4597"/>
      <c r="O359" s="4597"/>
      <c r="P359" s="4597"/>
      <c r="Q359" s="4597"/>
      <c r="R359" s="4597"/>
      <c r="S359" s="4597"/>
      <c r="T359" s="4594">
        <f t="shared" ref="T359:AB359" si="260">T49/T10</f>
        <v>0.66056879183962647</v>
      </c>
      <c r="U359" s="4594">
        <f t="shared" si="260"/>
        <v>0.62957875204905589</v>
      </c>
      <c r="V359" s="4594">
        <f t="shared" si="260"/>
        <v>0.58339587042317476</v>
      </c>
      <c r="W359" s="4594">
        <f t="shared" si="260"/>
        <v>0.5896325310862871</v>
      </c>
      <c r="X359" s="4594">
        <f t="shared" si="260"/>
        <v>0.58133952266323474</v>
      </c>
      <c r="Y359" s="4594">
        <f t="shared" si="260"/>
        <v>0.56780995446535776</v>
      </c>
      <c r="Z359" s="4594">
        <f t="shared" si="260"/>
        <v>0.55575204765551411</v>
      </c>
      <c r="AA359" s="4594">
        <f t="shared" si="260"/>
        <v>0.53797112267059854</v>
      </c>
      <c r="AB359" s="4594">
        <f t="shared" si="260"/>
        <v>0.51230379747387966</v>
      </c>
      <c r="AC359" s="4594">
        <f>AC49/AC10</f>
        <v>0.49170698154417453</v>
      </c>
      <c r="AD359" s="4594">
        <f>AD49/AD10</f>
        <v>0.47431433956355679</v>
      </c>
      <c r="AE359" s="4594">
        <f>AE49/AE10</f>
        <v>0.4601342886267572</v>
      </c>
      <c r="AF359" s="4594">
        <f>AF49/AF10</f>
        <v>0.44748255648604618</v>
      </c>
      <c r="AH359" s="4803"/>
    </row>
    <row r="360" spans="1:38" s="766" customFormat="1" hidden="1" outlineLevel="1">
      <c r="A360" s="4581" t="s">
        <v>634</v>
      </c>
      <c r="B360" s="4597"/>
      <c r="C360" s="4597"/>
      <c r="D360" s="4597"/>
      <c r="E360" s="4597"/>
      <c r="F360" s="4597"/>
      <c r="G360" s="4597"/>
      <c r="H360" s="4597"/>
      <c r="I360" s="4597"/>
      <c r="J360" s="4597"/>
      <c r="K360" s="4597"/>
      <c r="L360" s="4597"/>
      <c r="M360" s="4597"/>
      <c r="N360" s="4597"/>
      <c r="O360" s="4597"/>
      <c r="P360" s="4597"/>
      <c r="Q360" s="4597"/>
      <c r="R360" s="4597"/>
      <c r="S360" s="4597"/>
      <c r="T360" s="4594">
        <f t="shared" ref="T360:AB360" si="261">T86/T10</f>
        <v>5.3191392731599646E-2</v>
      </c>
      <c r="U360" s="4594">
        <f t="shared" si="261"/>
        <v>5.0199342784287546E-2</v>
      </c>
      <c r="V360" s="4594">
        <f t="shared" si="261"/>
        <v>4.6818688605600046E-2</v>
      </c>
      <c r="W360" s="4594">
        <f t="shared" si="261"/>
        <v>4.7352252311725788E-2</v>
      </c>
      <c r="X360" s="4594">
        <f t="shared" si="261"/>
        <v>4.4085372903314067E-2</v>
      </c>
      <c r="Y360" s="4594">
        <f t="shared" si="261"/>
        <v>3.8249115817050539E-2</v>
      </c>
      <c r="Z360" s="4594">
        <f t="shared" si="261"/>
        <v>3.229408982169843E-2</v>
      </c>
      <c r="AA360" s="4594">
        <f t="shared" si="261"/>
        <v>2.8332619470505631E-2</v>
      </c>
      <c r="AB360" s="4594">
        <f t="shared" si="261"/>
        <v>2.4027533421720343E-2</v>
      </c>
      <c r="AC360" s="4594">
        <f>AC86/AC10</f>
        <v>2.0827399740289087E-2</v>
      </c>
      <c r="AD360" s="4594">
        <f>AD86/AD10</f>
        <v>1.839596112096133E-2</v>
      </c>
      <c r="AE360" s="4594">
        <f>AE86/AE10</f>
        <v>1.6544384011986064E-2</v>
      </c>
      <c r="AF360" s="4594">
        <f>AF86/AF10</f>
        <v>1.5051047423433796E-2</v>
      </c>
      <c r="AH360" s="4798"/>
      <c r="AI360" s="2649"/>
      <c r="AJ360" s="2649"/>
      <c r="AK360" s="2649"/>
      <c r="AL360" s="2649"/>
    </row>
    <row r="361" spans="1:38" s="766" customFormat="1" hidden="1" outlineLevel="1">
      <c r="A361" s="4581" t="s">
        <v>354</v>
      </c>
      <c r="B361" s="4597"/>
      <c r="C361" s="4597"/>
      <c r="D361" s="4597"/>
      <c r="E361" s="4597"/>
      <c r="F361" s="4597"/>
      <c r="G361" s="4597"/>
      <c r="H361" s="4597"/>
      <c r="I361" s="4597"/>
      <c r="J361" s="4597"/>
      <c r="K361" s="4597"/>
      <c r="L361" s="4597"/>
      <c r="M361" s="4597"/>
      <c r="N361" s="4597"/>
      <c r="O361" s="4597"/>
      <c r="P361" s="4597"/>
      <c r="Q361" s="4597"/>
      <c r="R361" s="4597"/>
      <c r="S361" s="4597"/>
      <c r="T361" s="4594">
        <f t="shared" ref="T361:AB361" si="262">T125/T10</f>
        <v>0.12221485471374202</v>
      </c>
      <c r="U361" s="4594">
        <f t="shared" si="262"/>
        <v>0.13621668386861757</v>
      </c>
      <c r="V361" s="4594">
        <f t="shared" si="262"/>
        <v>0.16195099800332557</v>
      </c>
      <c r="W361" s="4594">
        <f t="shared" si="262"/>
        <v>0.1687595192176205</v>
      </c>
      <c r="X361" s="4594">
        <f t="shared" si="262"/>
        <v>0.16808462423198123</v>
      </c>
      <c r="Y361" s="4594">
        <f t="shared" si="262"/>
        <v>0.17583420400143465</v>
      </c>
      <c r="Z361" s="4594">
        <f t="shared" si="262"/>
        <v>0.18328126918724033</v>
      </c>
      <c r="AA361" s="4594">
        <f t="shared" si="262"/>
        <v>0.1817410147161671</v>
      </c>
      <c r="AB361" s="4594">
        <f t="shared" si="262"/>
        <v>0.17551251548360136</v>
      </c>
      <c r="AC361" s="4594">
        <f>AC125/AC10</f>
        <v>0.17109699010795953</v>
      </c>
      <c r="AD361" s="4594">
        <f>AD125/AD10</f>
        <v>0.16758684882361369</v>
      </c>
      <c r="AE361" s="4594">
        <f>AE125/AE10</f>
        <v>0.1642837288484808</v>
      </c>
      <c r="AF361" s="4594">
        <f>AF125/AF10</f>
        <v>0.16160636549041385</v>
      </c>
      <c r="AH361" s="4803"/>
      <c r="AI361" s="2649"/>
      <c r="AJ361" s="2649"/>
      <c r="AK361" s="2649"/>
      <c r="AL361" s="2649"/>
    </row>
    <row r="362" spans="1:38" s="766" customFormat="1" hidden="1" outlineLevel="1">
      <c r="A362" s="4581" t="s">
        <v>902</v>
      </c>
      <c r="B362" s="4597"/>
      <c r="C362" s="4597"/>
      <c r="D362" s="4597"/>
      <c r="E362" s="4597"/>
      <c r="F362" s="4597"/>
      <c r="G362" s="4597"/>
      <c r="H362" s="4597"/>
      <c r="I362" s="4597"/>
      <c r="J362" s="4597"/>
      <c r="K362" s="4597"/>
      <c r="L362" s="4597"/>
      <c r="M362" s="4597"/>
      <c r="N362" s="4597"/>
      <c r="O362" s="4597"/>
      <c r="P362" s="4597"/>
      <c r="Q362" s="4597"/>
      <c r="R362" s="4597"/>
      <c r="S362" s="4597"/>
      <c r="T362" s="4594">
        <f t="shared" ref="T362:AB362" si="263">T175/T10</f>
        <v>0.10684603017448883</v>
      </c>
      <c r="U362" s="4594">
        <f t="shared" si="263"/>
        <v>0.1078714103575982</v>
      </c>
      <c r="V362" s="4594">
        <f t="shared" si="263"/>
        <v>0.11506587690068047</v>
      </c>
      <c r="W362" s="4594">
        <f t="shared" si="263"/>
        <v>9.943839563165166E-2</v>
      </c>
      <c r="X362" s="4594">
        <f t="shared" si="263"/>
        <v>8.1178890119334199E-2</v>
      </c>
      <c r="Y362" s="4594">
        <f t="shared" si="263"/>
        <v>8.2239618257520242E-2</v>
      </c>
      <c r="Z362" s="4594">
        <f t="shared" si="263"/>
        <v>7.5893027195901311E-2</v>
      </c>
      <c r="AA362" s="4594">
        <f t="shared" si="263"/>
        <v>7.9740889079464597E-2</v>
      </c>
      <c r="AB362" s="4594">
        <f t="shared" si="263"/>
        <v>8.0166375155095657E-2</v>
      </c>
      <c r="AC362" s="4594">
        <f>AC175/AC10</f>
        <v>7.8614188786971045E-2</v>
      </c>
      <c r="AD362" s="4594">
        <f>AD175/AD10</f>
        <v>7.6247576057856356E-2</v>
      </c>
      <c r="AE362" s="4594">
        <f>AE175/AE10</f>
        <v>7.4744743984217599E-2</v>
      </c>
      <c r="AF362" s="4594">
        <f>AF175/AF10</f>
        <v>7.197118720658173E-2</v>
      </c>
      <c r="AH362" s="4798"/>
    </row>
    <row r="363" spans="1:38" s="766" customFormat="1" hidden="1" outlineLevel="1">
      <c r="A363" s="4581" t="s">
        <v>692</v>
      </c>
      <c r="B363" s="4597"/>
      <c r="C363" s="4597"/>
      <c r="D363" s="4597"/>
      <c r="E363" s="4597"/>
      <c r="F363" s="4597"/>
      <c r="G363" s="4597"/>
      <c r="H363" s="4597"/>
      <c r="I363" s="4597"/>
      <c r="J363" s="4597"/>
      <c r="K363" s="4597"/>
      <c r="L363" s="4597"/>
      <c r="M363" s="4597"/>
      <c r="N363" s="4597"/>
      <c r="O363" s="4597"/>
      <c r="P363" s="4597"/>
      <c r="Q363" s="4597"/>
      <c r="R363" s="4597"/>
      <c r="S363" s="4597"/>
      <c r="T363" s="4594">
        <f t="shared" ref="T363:AB363" si="264">T250/T10</f>
        <v>5.302789459820334E-2</v>
      </c>
      <c r="U363" s="4594">
        <f t="shared" si="264"/>
        <v>6.7679558011049717E-2</v>
      </c>
      <c r="V363" s="4594">
        <f t="shared" si="264"/>
        <v>8.7205924580464639E-2</v>
      </c>
      <c r="W363" s="4594">
        <f t="shared" si="264"/>
        <v>9.056400922332615E-2</v>
      </c>
      <c r="X363" s="4594">
        <f t="shared" si="264"/>
        <v>0.11236483510845259</v>
      </c>
      <c r="Y363" s="4594">
        <f t="shared" si="264"/>
        <v>0.12899402747672586</v>
      </c>
      <c r="Z363" s="4594">
        <f t="shared" si="264"/>
        <v>0.14648039089448966</v>
      </c>
      <c r="AA363" s="4594">
        <f t="shared" si="264"/>
        <v>0.16847833687039696</v>
      </c>
      <c r="AB363" s="4594">
        <f t="shared" si="264"/>
        <v>0.20526154278910333</v>
      </c>
      <c r="AC363" s="4594">
        <f>AC250/AC10</f>
        <v>0.23363699352932019</v>
      </c>
      <c r="AD363" s="4594">
        <f>AD250/AD10</f>
        <v>0.25924833259716668</v>
      </c>
      <c r="AE363" s="4594">
        <f>AE250/AE10</f>
        <v>0.27978558602631814</v>
      </c>
      <c r="AF363" s="4594">
        <f>AF250/AF10</f>
        <v>0.2988528518579926</v>
      </c>
      <c r="AH363" s="4798"/>
    </row>
    <row r="364" spans="1:38" s="766" customFormat="1" hidden="1" outlineLevel="1">
      <c r="A364" s="4581" t="s">
        <v>434</v>
      </c>
      <c r="B364" s="4597"/>
      <c r="C364" s="4597"/>
      <c r="D364" s="4597"/>
      <c r="E364" s="4597"/>
      <c r="F364" s="4597"/>
      <c r="G364" s="4597"/>
      <c r="H364" s="4597"/>
      <c r="I364" s="4597"/>
      <c r="J364" s="4597"/>
      <c r="K364" s="4597"/>
      <c r="L364" s="4597"/>
      <c r="M364" s="4597"/>
      <c r="N364" s="4597"/>
      <c r="O364" s="4597"/>
      <c r="P364" s="4597"/>
      <c r="Q364" s="4597"/>
      <c r="R364" s="4597"/>
      <c r="S364" s="4597"/>
      <c r="T364" s="4594">
        <f t="shared" ref="T364:AB364" si="265">T291/T10</f>
        <v>5.4045216317113714E-3</v>
      </c>
      <c r="U364" s="4594">
        <f t="shared" si="265"/>
        <v>5.0012142553579018E-3</v>
      </c>
      <c r="V364" s="4594">
        <f t="shared" si="265"/>
        <v>4.3873414847511501E-3</v>
      </c>
      <c r="W364" s="4594">
        <f t="shared" si="265"/>
        <v>3.550697643713662E-3</v>
      </c>
      <c r="X364" s="4594">
        <f t="shared" si="265"/>
        <v>4.5664248057772968E-3</v>
      </c>
      <c r="Y364" s="4594">
        <f t="shared" si="265"/>
        <v>5.9530307046953704E-3</v>
      </c>
      <c r="Z364" s="4594">
        <f t="shared" si="265"/>
        <v>5.5842069951680343E-3</v>
      </c>
      <c r="AA364" s="4594">
        <f t="shared" si="265"/>
        <v>4.4810585563268392E-3</v>
      </c>
      <c r="AB364" s="4594">
        <f t="shared" si="265"/>
        <v>4.1818568412468468E-3</v>
      </c>
      <c r="AC364" s="4594">
        <f>AC291/AC10</f>
        <v>4.1174462912857163E-3</v>
      </c>
      <c r="AD364" s="4594">
        <f>AD291/AD10</f>
        <v>4.2069418368451362E-3</v>
      </c>
      <c r="AE364" s="4594">
        <f>AE291/AE10</f>
        <v>4.5072685022400222E-3</v>
      </c>
      <c r="AF364" s="4594">
        <f>AF291/AF10</f>
        <v>5.0359915355319314E-3</v>
      </c>
      <c r="AH364" s="4807"/>
    </row>
    <row r="365" spans="1:38" s="766" customFormat="1" hidden="1" outlineLevel="1">
      <c r="A365" s="4581" t="s">
        <v>452</v>
      </c>
      <c r="B365" s="4597"/>
      <c r="C365" s="4597"/>
      <c r="D365" s="4597"/>
      <c r="E365" s="4597"/>
      <c r="F365" s="4597"/>
      <c r="G365" s="4597"/>
      <c r="H365" s="4597"/>
      <c r="I365" s="4597"/>
      <c r="J365" s="4597"/>
      <c r="K365" s="4597"/>
      <c r="L365" s="4597"/>
      <c r="M365" s="4597"/>
      <c r="N365" s="4597"/>
      <c r="O365" s="4597"/>
      <c r="P365" s="4597"/>
      <c r="Q365" s="4597"/>
      <c r="R365" s="4597"/>
      <c r="S365" s="4597"/>
      <c r="T365" s="4594">
        <f t="shared" ref="T365:AB365" si="266">T323/T10</f>
        <v>-1.2534856893717131E-3</v>
      </c>
      <c r="U365" s="4594">
        <f t="shared" si="266"/>
        <v>3.453038674033149E-3</v>
      </c>
      <c r="V365" s="4594">
        <f t="shared" si="266"/>
        <v>1.1753000020033523E-3</v>
      </c>
      <c r="W365" s="4594">
        <f t="shared" si="266"/>
        <v>7.0259488567508055E-4</v>
      </c>
      <c r="X365" s="4594">
        <f t="shared" si="266"/>
        <v>8.3803301679059011E-3</v>
      </c>
      <c r="Y365" s="4594">
        <f t="shared" si="266"/>
        <v>9.2004927721552542E-4</v>
      </c>
      <c r="Z365" s="4594">
        <f t="shared" si="266"/>
        <v>7.1496824998814029E-4</v>
      </c>
      <c r="AA365" s="4594">
        <f t="shared" si="266"/>
        <v>-7.4504136345961635E-4</v>
      </c>
      <c r="AB365" s="4594">
        <f t="shared" si="266"/>
        <v>-1.4536211646473637E-3</v>
      </c>
      <c r="AC365" s="4594">
        <f>AC323/AC10</f>
        <v>0</v>
      </c>
      <c r="AD365" s="4594">
        <f>AD323/AD10</f>
        <v>0</v>
      </c>
      <c r="AE365" s="4594">
        <f>AE323/AE10</f>
        <v>0</v>
      </c>
      <c r="AF365" s="4594">
        <f>AF323/AF10</f>
        <v>0</v>
      </c>
      <c r="AH365" s="4803"/>
    </row>
    <row r="366" spans="1:38" s="766" customFormat="1" hidden="1" outlineLevel="1">
      <c r="A366" s="4989" t="s">
        <v>903</v>
      </c>
      <c r="B366" s="4990"/>
      <c r="C366" s="4990"/>
      <c r="D366" s="4990"/>
      <c r="E366" s="4990"/>
      <c r="F366" s="4990"/>
      <c r="G366" s="4990"/>
      <c r="H366" s="4990"/>
      <c r="I366" s="4990"/>
      <c r="J366" s="4990"/>
      <c r="K366" s="4990"/>
      <c r="L366" s="4990"/>
      <c r="M366" s="4990"/>
      <c r="N366" s="4990"/>
      <c r="O366" s="4990"/>
      <c r="P366" s="4990"/>
      <c r="Q366" s="4990"/>
      <c r="R366" s="4990"/>
      <c r="S366" s="4990"/>
      <c r="T366" s="4991">
        <f t="shared" ref="T366:AB366" si="267">SUM(T359:T365)</f>
        <v>1</v>
      </c>
      <c r="U366" s="4991">
        <f t="shared" si="267"/>
        <v>1</v>
      </c>
      <c r="V366" s="4991">
        <f t="shared" si="267"/>
        <v>1</v>
      </c>
      <c r="W366" s="4991">
        <f t="shared" si="267"/>
        <v>1</v>
      </c>
      <c r="X366" s="4991">
        <f t="shared" si="267"/>
        <v>1</v>
      </c>
      <c r="Y366" s="4991">
        <f t="shared" si="267"/>
        <v>0.99999999999999989</v>
      </c>
      <c r="Z366" s="4991">
        <f t="shared" si="267"/>
        <v>1</v>
      </c>
      <c r="AA366" s="4991">
        <f t="shared" si="267"/>
        <v>0.99999999999999989</v>
      </c>
      <c r="AB366" s="4991">
        <f t="shared" si="267"/>
        <v>0.99999999999999989</v>
      </c>
      <c r="AC366" s="4991">
        <f>SUM(AC359:AC365)</f>
        <v>1</v>
      </c>
      <c r="AD366" s="4991">
        <f>SUM(AD359:AD365)</f>
        <v>1</v>
      </c>
      <c r="AE366" s="4991">
        <f>SUM(AE359:AE365)</f>
        <v>0.99999999999999978</v>
      </c>
      <c r="AF366" s="4991">
        <f>SUM(AF359:AF365)</f>
        <v>1</v>
      </c>
      <c r="AH366" s="4798"/>
    </row>
    <row r="367" spans="1:38" s="766" customFormat="1" hidden="1" outlineLevel="1">
      <c r="A367" s="4593" t="s">
        <v>946</v>
      </c>
      <c r="B367" s="4962"/>
      <c r="C367" s="4962"/>
      <c r="D367" s="4962"/>
      <c r="E367" s="4962"/>
      <c r="F367" s="4962"/>
      <c r="G367" s="4962"/>
      <c r="H367" s="4962"/>
      <c r="I367" s="4962"/>
      <c r="J367" s="4962"/>
      <c r="K367" s="4962"/>
      <c r="L367" s="4962"/>
      <c r="M367" s="4962"/>
      <c r="N367" s="4962"/>
      <c r="O367" s="4962"/>
      <c r="P367" s="4962"/>
      <c r="Q367" s="4962"/>
      <c r="R367" s="4962"/>
      <c r="S367" s="4962"/>
      <c r="T367" s="4963"/>
      <c r="U367" s="4963"/>
      <c r="V367" s="4963"/>
      <c r="W367" s="4963"/>
      <c r="X367" s="4963"/>
      <c r="Y367" s="4963"/>
      <c r="Z367" s="4963"/>
      <c r="AA367" s="4963"/>
      <c r="AB367" s="4963"/>
      <c r="AC367" s="4963"/>
      <c r="AD367" s="4963"/>
      <c r="AE367" s="4963"/>
      <c r="AF367" s="4963"/>
      <c r="AH367" s="4807"/>
    </row>
    <row r="368" spans="1:38" s="766" customFormat="1" hidden="1" outlineLevel="1">
      <c r="A368" s="4581" t="s">
        <v>895</v>
      </c>
      <c r="B368" s="4597"/>
      <c r="C368" s="4597"/>
      <c r="D368" s="4597"/>
      <c r="E368" s="4597"/>
      <c r="F368" s="4597"/>
      <c r="G368" s="4597"/>
      <c r="H368" s="4597"/>
      <c r="I368" s="4597"/>
      <c r="J368" s="4597"/>
      <c r="K368" s="4597"/>
      <c r="L368" s="4597"/>
      <c r="M368" s="4597"/>
      <c r="N368" s="4597"/>
      <c r="O368" s="4597"/>
      <c r="P368" s="4597"/>
      <c r="Q368" s="4597"/>
      <c r="R368" s="4597"/>
      <c r="S368" s="4597"/>
      <c r="T368" s="4594">
        <f t="shared" ref="T368:AB368" si="268">T50/T11</f>
        <v>0.44312829418395622</v>
      </c>
      <c r="U368" s="4594">
        <f t="shared" si="268"/>
        <v>0.40480062984667653</v>
      </c>
      <c r="V368" s="4594">
        <f t="shared" si="268"/>
        <v>0.39516289076875694</v>
      </c>
      <c r="W368" s="4594">
        <f t="shared" si="268"/>
        <v>0.39075294846496245</v>
      </c>
      <c r="X368" s="4594">
        <f t="shared" si="268"/>
        <v>0.40368707150994193</v>
      </c>
      <c r="Y368" s="4594">
        <f t="shared" si="268"/>
        <v>0.386633017975402</v>
      </c>
      <c r="Z368" s="4594">
        <f t="shared" si="268"/>
        <v>0.39656316653173757</v>
      </c>
      <c r="AA368" s="4594">
        <f t="shared" si="268"/>
        <v>0.38925143981821247</v>
      </c>
      <c r="AB368" s="4594">
        <f t="shared" si="268"/>
        <v>0.35394197743143796</v>
      </c>
      <c r="AC368" s="4594">
        <f>AC50/AC11</f>
        <v>0.31628466325651428</v>
      </c>
      <c r="AD368" s="4594">
        <f>AD50/AD11</f>
        <v>0.29373816211732195</v>
      </c>
      <c r="AE368" s="4594">
        <f>AE50/AE11</f>
        <v>0.28198455238487258</v>
      </c>
      <c r="AF368" s="4594">
        <f>AF50/AF11</f>
        <v>0.27439747289329847</v>
      </c>
      <c r="AH368" s="4803"/>
    </row>
    <row r="369" spans="1:38" s="766" customFormat="1" hidden="1" outlineLevel="1">
      <c r="A369" s="4581" t="s">
        <v>634</v>
      </c>
      <c r="B369" s="4597"/>
      <c r="C369" s="4597"/>
      <c r="D369" s="4597"/>
      <c r="E369" s="4597"/>
      <c r="F369" s="4597"/>
      <c r="G369" s="4597"/>
      <c r="H369" s="4597"/>
      <c r="I369" s="4597"/>
      <c r="J369" s="4597"/>
      <c r="K369" s="4597"/>
      <c r="L369" s="4597"/>
      <c r="M369" s="4597"/>
      <c r="N369" s="4597"/>
      <c r="O369" s="4597"/>
      <c r="P369" s="4597"/>
      <c r="Q369" s="4597"/>
      <c r="R369" s="4597"/>
      <c r="S369" s="4597"/>
      <c r="T369" s="4594">
        <f t="shared" ref="T369:AB369" si="269">T87/T11</f>
        <v>3.5682295951009954E-2</v>
      </c>
      <c r="U369" s="4594">
        <f t="shared" si="269"/>
        <v>3.1643825196737405E-2</v>
      </c>
      <c r="V369" s="4594">
        <f t="shared" si="269"/>
        <v>2.8338932093775273E-2</v>
      </c>
      <c r="W369" s="4594">
        <f t="shared" si="269"/>
        <v>3.1029507273645073E-2</v>
      </c>
      <c r="X369" s="4594">
        <f t="shared" si="269"/>
        <v>2.669514058616405E-2</v>
      </c>
      <c r="Y369" s="4594">
        <f t="shared" si="269"/>
        <v>2.2610300050942445E-2</v>
      </c>
      <c r="Z369" s="4594">
        <f t="shared" si="269"/>
        <v>1.9810600704548931E-2</v>
      </c>
      <c r="AA369" s="4594">
        <f t="shared" si="269"/>
        <v>1.7707643635425339E-2</v>
      </c>
      <c r="AB369" s="4594">
        <f t="shared" si="269"/>
        <v>1.4459080292778181E-2</v>
      </c>
      <c r="AC369" s="4594">
        <f>AC87/AC11</f>
        <v>1.1883501353318095E-2</v>
      </c>
      <c r="AD369" s="4594">
        <f>AD87/AD11</f>
        <v>1.0280095920537208E-2</v>
      </c>
      <c r="AE369" s="4594">
        <f>AE87/AE11</f>
        <v>9.191324451103362E-3</v>
      </c>
      <c r="AF369" s="4594">
        <f>AF87/AF11</f>
        <v>8.3862141068985901E-3</v>
      </c>
      <c r="AH369" s="4798"/>
    </row>
    <row r="370" spans="1:38" s="766" customFormat="1" hidden="1" outlineLevel="1">
      <c r="A370" s="4581" t="s">
        <v>354</v>
      </c>
      <c r="B370" s="4597"/>
      <c r="C370" s="4597"/>
      <c r="D370" s="4597"/>
      <c r="E370" s="4597"/>
      <c r="F370" s="4597"/>
      <c r="G370" s="4597"/>
      <c r="H370" s="4597"/>
      <c r="I370" s="4597"/>
      <c r="J370" s="4597"/>
      <c r="K370" s="4597"/>
      <c r="L370" s="4597"/>
      <c r="M370" s="4597"/>
      <c r="N370" s="4597"/>
      <c r="O370" s="4597"/>
      <c r="P370" s="4597"/>
      <c r="Q370" s="4597"/>
      <c r="R370" s="4597"/>
      <c r="S370" s="4597"/>
      <c r="T370" s="4594">
        <f>T129/T11</f>
        <v>0.3139612466867745</v>
      </c>
      <c r="U370" s="4594">
        <f t="shared" ref="U370:AB370" si="270">U129/U11</f>
        <v>0.33551247398760975</v>
      </c>
      <c r="V370" s="4594">
        <f t="shared" si="270"/>
        <v>0.3654722254301882</v>
      </c>
      <c r="W370" s="4594">
        <f t="shared" si="270"/>
        <v>0.42110903584048465</v>
      </c>
      <c r="X370" s="4594">
        <f t="shared" si="270"/>
        <v>0.41136876781275894</v>
      </c>
      <c r="Y370" s="4594">
        <f t="shared" si="270"/>
        <v>0.44398130170050698</v>
      </c>
      <c r="Z370" s="4594">
        <f t="shared" si="270"/>
        <v>0.46995083036124541</v>
      </c>
      <c r="AA370" s="4594">
        <f t="shared" si="270"/>
        <v>0.46885657428377503</v>
      </c>
      <c r="AB370" s="4594">
        <f t="shared" si="270"/>
        <v>0.43216485699412005</v>
      </c>
      <c r="AC370" s="4594">
        <f>AC129/AC11</f>
        <v>0.39641226560870163</v>
      </c>
      <c r="AD370" s="4594">
        <f>AD129/AD11</f>
        <v>0.38016538419814988</v>
      </c>
      <c r="AE370" s="4594">
        <f>AE129/AE11</f>
        <v>0.37049299207866226</v>
      </c>
      <c r="AF370" s="4594">
        <f>AF129/AF11</f>
        <v>0.36563091286532745</v>
      </c>
      <c r="AH370" s="4803"/>
    </row>
    <row r="371" spans="1:38" s="766" customFormat="1" hidden="1" outlineLevel="1">
      <c r="A371" s="4581" t="s">
        <v>902</v>
      </c>
      <c r="B371" s="4597"/>
      <c r="C371" s="4597"/>
      <c r="D371" s="4597"/>
      <c r="E371" s="4597"/>
      <c r="F371" s="4597"/>
      <c r="G371" s="4597"/>
      <c r="H371" s="4597"/>
      <c r="I371" s="4597"/>
      <c r="J371" s="4597"/>
      <c r="K371" s="4597"/>
      <c r="L371" s="4597"/>
      <c r="M371" s="4597"/>
      <c r="N371" s="4597"/>
      <c r="O371" s="4597"/>
      <c r="P371" s="4597"/>
      <c r="Q371" s="4597"/>
      <c r="R371" s="4597"/>
      <c r="S371" s="4597"/>
      <c r="T371" s="4594">
        <f t="shared" ref="T371:AB371" si="271">T176/T11</f>
        <v>0.12883191664381693</v>
      </c>
      <c r="U371" s="4594">
        <f t="shared" si="271"/>
        <v>0.13854561838926488</v>
      </c>
      <c r="V371" s="4594">
        <f t="shared" si="271"/>
        <v>0.11296555212303191</v>
      </c>
      <c r="W371" s="4594">
        <f t="shared" si="271"/>
        <v>8.1109885136065554E-2</v>
      </c>
      <c r="X371" s="4594">
        <f t="shared" si="271"/>
        <v>7.1070064001657066E-2</v>
      </c>
      <c r="Y371" s="4594">
        <f t="shared" si="271"/>
        <v>7.2344892438687219E-2</v>
      </c>
      <c r="Z371" s="4594">
        <f t="shared" si="271"/>
        <v>3.9307002078638263E-2</v>
      </c>
      <c r="AA371" s="4594">
        <f t="shared" si="271"/>
        <v>2.9616704295009389E-2</v>
      </c>
      <c r="AB371" s="4594">
        <f t="shared" si="271"/>
        <v>3.7785186842044995E-2</v>
      </c>
      <c r="AC371" s="4594">
        <f>AC176/AC11</f>
        <v>8.1739900784765104E-2</v>
      </c>
      <c r="AD371" s="4594">
        <f>AD176/AD11</f>
        <v>0.12024324045802119</v>
      </c>
      <c r="AE371" s="4594">
        <f>AE176/AE11</f>
        <v>0.14449053172874676</v>
      </c>
      <c r="AF371" s="4594">
        <f>AF176/AF11</f>
        <v>0.15725179378936938</v>
      </c>
      <c r="AH371" s="4798"/>
    </row>
    <row r="372" spans="1:38" s="766" customFormat="1" hidden="1" outlineLevel="1">
      <c r="A372" s="4581" t="s">
        <v>692</v>
      </c>
      <c r="B372" s="4597"/>
      <c r="C372" s="4597"/>
      <c r="D372" s="4597"/>
      <c r="E372" s="4597"/>
      <c r="F372" s="4597"/>
      <c r="G372" s="4597"/>
      <c r="H372" s="4597"/>
      <c r="I372" s="4597"/>
      <c r="J372" s="4597"/>
      <c r="K372" s="4597"/>
      <c r="L372" s="4597"/>
      <c r="M372" s="4597"/>
      <c r="N372" s="4597"/>
      <c r="O372" s="4597"/>
      <c r="P372" s="4597"/>
      <c r="Q372" s="4597"/>
      <c r="R372" s="4597"/>
      <c r="S372" s="4597"/>
      <c r="T372" s="4594">
        <f t="shared" ref="T372:AB372" si="272">T251/T11</f>
        <v>7.1145233525271911E-2</v>
      </c>
      <c r="U372" s="4594">
        <f t="shared" si="272"/>
        <v>8.3192288372760548E-2</v>
      </c>
      <c r="V372" s="4594">
        <f t="shared" si="272"/>
        <v>9.3002078761981757E-2</v>
      </c>
      <c r="W372" s="4594">
        <f t="shared" si="272"/>
        <v>7.1391216557294301E-2</v>
      </c>
      <c r="X372" s="4594">
        <f t="shared" si="272"/>
        <v>8.1648715824357912E-2</v>
      </c>
      <c r="Y372" s="4594">
        <f t="shared" si="272"/>
        <v>6.7022002280280421E-2</v>
      </c>
      <c r="Z372" s="4594">
        <f t="shared" si="272"/>
        <v>6.7156619915541643E-2</v>
      </c>
      <c r="AA372" s="4594">
        <f t="shared" si="272"/>
        <v>8.8671589376695642E-2</v>
      </c>
      <c r="AB372" s="4594">
        <f t="shared" si="272"/>
        <v>0.15635095849282404</v>
      </c>
      <c r="AC372" s="4594">
        <f>AC251/AC11</f>
        <v>0.18873378756572712</v>
      </c>
      <c r="AD372" s="4594">
        <f>AD251/AD11</f>
        <v>0.19062377396850491</v>
      </c>
      <c r="AE372" s="4594">
        <f>AE251/AE11</f>
        <v>0.18856894028966764</v>
      </c>
      <c r="AF372" s="4594">
        <f>AF251/AF11</f>
        <v>0.18842628489580177</v>
      </c>
      <c r="AH372" s="4798"/>
    </row>
    <row r="373" spans="1:38" s="766" customFormat="1" hidden="1" outlineLevel="1">
      <c r="A373" s="4581" t="s">
        <v>434</v>
      </c>
      <c r="B373" s="4597"/>
      <c r="C373" s="4597"/>
      <c r="D373" s="4597"/>
      <c r="E373" s="4597"/>
      <c r="F373" s="4597"/>
      <c r="G373" s="4597"/>
      <c r="H373" s="4597"/>
      <c r="I373" s="4597"/>
      <c r="J373" s="4597"/>
      <c r="K373" s="4597"/>
      <c r="L373" s="4597"/>
      <c r="M373" s="4597"/>
      <c r="N373" s="4597"/>
      <c r="O373" s="4597"/>
      <c r="P373" s="4597"/>
      <c r="Q373" s="4597"/>
      <c r="R373" s="4597"/>
      <c r="S373" s="4597"/>
      <c r="T373" s="4594">
        <f t="shared" ref="T373:AB373" si="273">T292/T11</f>
        <v>7.2510130091703985E-3</v>
      </c>
      <c r="U373" s="4594">
        <f t="shared" si="273"/>
        <v>6.3051642069509896E-3</v>
      </c>
      <c r="V373" s="4594">
        <f t="shared" si="273"/>
        <v>5.0583208222658507E-3</v>
      </c>
      <c r="W373" s="4594">
        <f t="shared" si="273"/>
        <v>4.6074067275480701E-3</v>
      </c>
      <c r="X373" s="4594">
        <f t="shared" si="273"/>
        <v>5.5302402651201329E-3</v>
      </c>
      <c r="Y373" s="4594">
        <f t="shared" si="273"/>
        <v>7.4084855541809193E-3</v>
      </c>
      <c r="Z373" s="4594">
        <f t="shared" si="273"/>
        <v>7.2117804082882965E-3</v>
      </c>
      <c r="AA373" s="4594">
        <f t="shared" si="273"/>
        <v>5.8960485908820491E-3</v>
      </c>
      <c r="AB373" s="4594">
        <f t="shared" si="273"/>
        <v>5.2979399467947327E-3</v>
      </c>
      <c r="AC373" s="4594">
        <f>AC292/AC11</f>
        <v>4.9458814309738339E-3</v>
      </c>
      <c r="AD373" s="4594">
        <f>AD292/AD11</f>
        <v>4.9493433374648661E-3</v>
      </c>
      <c r="AE373" s="4594">
        <f>AE292/AE11</f>
        <v>5.2716590669473944E-3</v>
      </c>
      <c r="AF373" s="4594">
        <f>AF292/AF11</f>
        <v>5.9073214493043187E-3</v>
      </c>
      <c r="AH373" s="4807"/>
    </row>
    <row r="374" spans="1:38" s="766" customFormat="1" hidden="1" outlineLevel="1">
      <c r="A374" s="4581" t="s">
        <v>452</v>
      </c>
      <c r="B374" s="4597"/>
      <c r="C374" s="4597"/>
      <c r="D374" s="4597"/>
      <c r="E374" s="4597"/>
      <c r="F374" s="4597"/>
      <c r="G374" s="4597"/>
      <c r="H374" s="4597"/>
      <c r="I374" s="4597"/>
      <c r="J374" s="4597"/>
      <c r="K374" s="4597"/>
      <c r="L374" s="4597"/>
      <c r="M374" s="4597"/>
      <c r="N374" s="4597"/>
      <c r="O374" s="4597"/>
      <c r="P374" s="4597"/>
      <c r="Q374" s="4597"/>
      <c r="R374" s="4597"/>
      <c r="S374" s="4597"/>
      <c r="T374" s="4594">
        <f t="shared" ref="T374:AB374" si="274">T324/T11</f>
        <v>0</v>
      </c>
      <c r="U374" s="4594">
        <f t="shared" si="274"/>
        <v>0</v>
      </c>
      <c r="V374" s="4594">
        <f t="shared" si="274"/>
        <v>0</v>
      </c>
      <c r="W374" s="4594">
        <f t="shared" si="274"/>
        <v>0</v>
      </c>
      <c r="X374" s="4594">
        <f t="shared" si="274"/>
        <v>0</v>
      </c>
      <c r="Y374" s="4594">
        <f t="shared" si="274"/>
        <v>0</v>
      </c>
      <c r="Z374" s="4594">
        <f t="shared" si="274"/>
        <v>0</v>
      </c>
      <c r="AA374" s="4594">
        <f t="shared" si="274"/>
        <v>0</v>
      </c>
      <c r="AB374" s="4594">
        <f t="shared" si="274"/>
        <v>0</v>
      </c>
      <c r="AC374" s="4594">
        <f>AC324/AC11</f>
        <v>0</v>
      </c>
      <c r="AD374" s="4594">
        <f>AD324/AD11</f>
        <v>0</v>
      </c>
      <c r="AE374" s="4594">
        <f>AE324/AE11</f>
        <v>0</v>
      </c>
      <c r="AF374" s="4594">
        <f>AF324/AF11</f>
        <v>0</v>
      </c>
      <c r="AH374" s="4803"/>
    </row>
    <row r="375" spans="1:38" s="766" customFormat="1" hidden="1" outlineLevel="1">
      <c r="A375" s="4989" t="s">
        <v>903</v>
      </c>
      <c r="B375" s="4990"/>
      <c r="C375" s="4990"/>
      <c r="D375" s="4990"/>
      <c r="E375" s="4990"/>
      <c r="F375" s="4990"/>
      <c r="G375" s="4990"/>
      <c r="H375" s="4990"/>
      <c r="I375" s="4990"/>
      <c r="J375" s="4990"/>
      <c r="K375" s="4990"/>
      <c r="L375" s="4990"/>
      <c r="M375" s="4990"/>
      <c r="N375" s="4990"/>
      <c r="O375" s="4990"/>
      <c r="P375" s="4990"/>
      <c r="Q375" s="4990"/>
      <c r="R375" s="4990"/>
      <c r="S375" s="4990"/>
      <c r="T375" s="4991">
        <f t="shared" ref="T375:AB375" si="275">SUM(T368:T374)</f>
        <v>1</v>
      </c>
      <c r="U375" s="4991">
        <f t="shared" si="275"/>
        <v>1</v>
      </c>
      <c r="V375" s="4991">
        <f t="shared" si="275"/>
        <v>0.99999999999999989</v>
      </c>
      <c r="W375" s="4991">
        <f t="shared" si="275"/>
        <v>1</v>
      </c>
      <c r="X375" s="4991">
        <f t="shared" si="275"/>
        <v>1</v>
      </c>
      <c r="Y375" s="4991">
        <f t="shared" si="275"/>
        <v>1</v>
      </c>
      <c r="Z375" s="4991">
        <f t="shared" si="275"/>
        <v>1.0000000000000002</v>
      </c>
      <c r="AA375" s="4991">
        <f t="shared" si="275"/>
        <v>0.99999999999999978</v>
      </c>
      <c r="AB375" s="4991">
        <f t="shared" si="275"/>
        <v>1</v>
      </c>
      <c r="AC375" s="4991">
        <f>SUM(AC368:AC374)</f>
        <v>1</v>
      </c>
      <c r="AD375" s="4991">
        <f>SUM(AD368:AD374)</f>
        <v>1</v>
      </c>
      <c r="AE375" s="4991">
        <f>SUM(AE368:AE374)</f>
        <v>1</v>
      </c>
      <c r="AF375" s="4991">
        <f>SUM(AF368:AF374)</f>
        <v>0.99999999999999989</v>
      </c>
      <c r="AH375" s="4798"/>
      <c r="AI375" s="2649"/>
      <c r="AJ375" s="2649"/>
      <c r="AK375" s="2649"/>
      <c r="AL375" s="2649"/>
    </row>
    <row r="376" spans="1:38" s="766" customFormat="1" hidden="1" outlineLevel="1">
      <c r="A376" s="4593" t="s">
        <v>362</v>
      </c>
      <c r="B376" s="4962"/>
      <c r="C376" s="4962"/>
      <c r="D376" s="4962"/>
      <c r="E376" s="4962"/>
      <c r="F376" s="4962"/>
      <c r="G376" s="4962"/>
      <c r="H376" s="4962"/>
      <c r="I376" s="4962"/>
      <c r="J376" s="4962"/>
      <c r="K376" s="4962"/>
      <c r="L376" s="4962"/>
      <c r="M376" s="4962"/>
      <c r="N376" s="4962"/>
      <c r="O376" s="4962"/>
      <c r="P376" s="4962"/>
      <c r="Q376" s="4962"/>
      <c r="R376" s="4962"/>
      <c r="S376" s="4962"/>
      <c r="T376" s="4963"/>
      <c r="U376" s="4963"/>
      <c r="V376" s="4963"/>
      <c r="W376" s="4963"/>
      <c r="X376" s="4963"/>
      <c r="Y376" s="4963"/>
      <c r="Z376" s="4963"/>
      <c r="AA376" s="4963"/>
      <c r="AB376" s="4963"/>
      <c r="AC376" s="4963"/>
      <c r="AD376" s="4963"/>
      <c r="AE376" s="4963"/>
      <c r="AF376" s="4963"/>
      <c r="AH376" s="4807"/>
    </row>
    <row r="377" spans="1:38" s="766" customFormat="1" hidden="1" outlineLevel="1">
      <c r="A377" s="4581" t="s">
        <v>895</v>
      </c>
      <c r="B377" s="4597"/>
      <c r="C377" s="4597"/>
      <c r="D377" s="4597"/>
      <c r="E377" s="4597"/>
      <c r="F377" s="4597"/>
      <c r="G377" s="4597"/>
      <c r="H377" s="4597"/>
      <c r="I377" s="4597"/>
      <c r="J377" s="4597"/>
      <c r="K377" s="4597"/>
      <c r="L377" s="4597"/>
      <c r="M377" s="4597"/>
      <c r="N377" s="4597"/>
      <c r="O377" s="4597"/>
      <c r="P377" s="4597"/>
      <c r="Q377" s="4597"/>
      <c r="R377" s="4597"/>
      <c r="S377" s="4597"/>
      <c r="T377" s="4594">
        <f t="shared" ref="T377:AB377" si="276">T51/T12</f>
        <v>0.75293386825417374</v>
      </c>
      <c r="U377" s="4594">
        <f t="shared" si="276"/>
        <v>0.73403845075088081</v>
      </c>
      <c r="V377" s="4594">
        <f t="shared" si="276"/>
        <v>0.68339542280280174</v>
      </c>
      <c r="W377" s="4594">
        <f t="shared" si="276"/>
        <v>0.67825919917108624</v>
      </c>
      <c r="X377" s="4594">
        <f t="shared" si="276"/>
        <v>0.66895386029763848</v>
      </c>
      <c r="Y377" s="4594">
        <f t="shared" si="276"/>
        <v>0.65362600682515426</v>
      </c>
      <c r="Z377" s="4594">
        <f t="shared" si="276"/>
        <v>0.62718043119698397</v>
      </c>
      <c r="AA377" s="4594">
        <f t="shared" si="276"/>
        <v>0.60293042865006186</v>
      </c>
      <c r="AB377" s="4594">
        <f t="shared" si="276"/>
        <v>0.58537529368445029</v>
      </c>
      <c r="AC377" s="4594">
        <f>AC51/AC12</f>
        <v>0.579286639699783</v>
      </c>
      <c r="AD377" s="4594">
        <f>AD51/AD12</f>
        <v>0.56733843097525349</v>
      </c>
      <c r="AE377" s="4594">
        <f>AE51/AE12</f>
        <v>0.55272883238773673</v>
      </c>
      <c r="AF377" s="4594">
        <f>AF51/AF12</f>
        <v>0.53704555118274877</v>
      </c>
      <c r="AH377" s="4803"/>
    </row>
    <row r="378" spans="1:38" s="766" customFormat="1" hidden="1" outlineLevel="1">
      <c r="A378" s="4581" t="s">
        <v>634</v>
      </c>
      <c r="B378" s="4597"/>
      <c r="C378" s="4597"/>
      <c r="D378" s="4597"/>
      <c r="E378" s="4597"/>
      <c r="F378" s="4597"/>
      <c r="G378" s="4597"/>
      <c r="H378" s="4597"/>
      <c r="I378" s="4597"/>
      <c r="J378" s="4597"/>
      <c r="K378" s="4597"/>
      <c r="L378" s="4597"/>
      <c r="M378" s="4597"/>
      <c r="N378" s="4597"/>
      <c r="O378" s="4597"/>
      <c r="P378" s="4597"/>
      <c r="Q378" s="4597"/>
      <c r="R378" s="4597"/>
      <c r="S378" s="4597"/>
      <c r="T378" s="4594">
        <f t="shared" ref="T378:AB378" si="277">T88/T12</f>
        <v>6.0628963375177952E-2</v>
      </c>
      <c r="U378" s="4594">
        <f t="shared" si="277"/>
        <v>5.8822529762897258E-2</v>
      </c>
      <c r="V378" s="4594">
        <f t="shared" si="277"/>
        <v>5.663613601922389E-2</v>
      </c>
      <c r="W378" s="4594">
        <f t="shared" si="277"/>
        <v>5.4626153873945107E-2</v>
      </c>
      <c r="X378" s="4594">
        <f t="shared" si="277"/>
        <v>5.2661858484482814E-2</v>
      </c>
      <c r="Y378" s="4594">
        <f t="shared" si="277"/>
        <v>4.5656578701841873E-2</v>
      </c>
      <c r="Z378" s="4594">
        <f t="shared" si="277"/>
        <v>3.789545746936851E-2</v>
      </c>
      <c r="AA378" s="4594">
        <f t="shared" si="277"/>
        <v>3.2973505216479439E-2</v>
      </c>
      <c r="AB378" s="4594">
        <f t="shared" si="277"/>
        <v>2.8442620254930114E-2</v>
      </c>
      <c r="AC378" s="4594">
        <f>AC88/AC12</f>
        <v>2.5292644362270106E-2</v>
      </c>
      <c r="AD378" s="4594">
        <f>AD88/AD12</f>
        <v>2.2576861375725274E-2</v>
      </c>
      <c r="AE378" s="4594">
        <f>AE88/AE12</f>
        <v>2.0366187005636339E-2</v>
      </c>
      <c r="AF378" s="4594">
        <f>AF88/AF12</f>
        <v>1.849976997417508E-2</v>
      </c>
      <c r="AH378" s="4798"/>
    </row>
    <row r="379" spans="1:38" s="766" customFormat="1" hidden="1" outlineLevel="1">
      <c r="A379" s="4581" t="s">
        <v>354</v>
      </c>
      <c r="B379" s="4597"/>
      <c r="C379" s="4597"/>
      <c r="D379" s="4597"/>
      <c r="E379" s="4597"/>
      <c r="F379" s="4597"/>
      <c r="G379" s="4597"/>
      <c r="H379" s="4597"/>
      <c r="I379" s="4597"/>
      <c r="J379" s="4597"/>
      <c r="K379" s="4597"/>
      <c r="L379" s="4597"/>
      <c r="M379" s="4597"/>
      <c r="N379" s="4597"/>
      <c r="O379" s="4597"/>
      <c r="P379" s="4597"/>
      <c r="Q379" s="4597"/>
      <c r="R379" s="4597"/>
      <c r="S379" s="4597"/>
      <c r="T379" s="4594">
        <f t="shared" ref="T379:AB379" si="278">T130/T12</f>
        <v>4.0764203442474445E-2</v>
      </c>
      <c r="U379" s="4594">
        <f t="shared" si="278"/>
        <v>4.3599226331410272E-2</v>
      </c>
      <c r="V379" s="4594">
        <f t="shared" si="278"/>
        <v>5.3829500485709919E-2</v>
      </c>
      <c r="W379" s="4594">
        <f t="shared" si="278"/>
        <v>5.6305055283643921E-2</v>
      </c>
      <c r="X379" s="4594">
        <f t="shared" si="278"/>
        <v>4.8102158702189195E-2</v>
      </c>
      <c r="Y379" s="4594">
        <f t="shared" si="278"/>
        <v>4.8823968471004564E-2</v>
      </c>
      <c r="Z379" s="4594">
        <f t="shared" si="278"/>
        <v>5.4652038171536278E-2</v>
      </c>
      <c r="AA379" s="4594">
        <f t="shared" si="278"/>
        <v>5.6331740518553268E-2</v>
      </c>
      <c r="AB379" s="4594">
        <f t="shared" si="278"/>
        <v>5.7087691904952276E-2</v>
      </c>
      <c r="AC379" s="4594">
        <f>AC130/AC12</f>
        <v>5.860825436321121E-2</v>
      </c>
      <c r="AD379" s="4594">
        <f>AD130/AD12</f>
        <v>5.8076694236731369E-2</v>
      </c>
      <c r="AE379" s="4594">
        <f>AE130/AE12</f>
        <v>5.710505403887281E-2</v>
      </c>
      <c r="AF379" s="4594">
        <f>AF130/AF12</f>
        <v>5.6033724132529869E-2</v>
      </c>
      <c r="AH379" s="4803"/>
    </row>
    <row r="380" spans="1:38" s="766" customFormat="1" hidden="1" outlineLevel="1">
      <c r="A380" s="4581" t="s">
        <v>902</v>
      </c>
      <c r="B380" s="4597"/>
      <c r="C380" s="4597"/>
      <c r="D380" s="4597"/>
      <c r="E380" s="4597"/>
      <c r="F380" s="4597"/>
      <c r="G380" s="4597"/>
      <c r="H380" s="4597"/>
      <c r="I380" s="4597"/>
      <c r="J380" s="4597"/>
      <c r="K380" s="4597"/>
      <c r="L380" s="4597"/>
      <c r="M380" s="4597"/>
      <c r="N380" s="4597"/>
      <c r="O380" s="4597"/>
      <c r="P380" s="4597"/>
      <c r="Q380" s="4597"/>
      <c r="R380" s="4597"/>
      <c r="S380" s="4597"/>
      <c r="T380" s="4594">
        <f t="shared" ref="T380:AB380" si="279">T177/T12</f>
        <v>9.7506794357447871E-2</v>
      </c>
      <c r="U380" s="4594">
        <f t="shared" si="279"/>
        <v>9.3616381898822862E-2</v>
      </c>
      <c r="V380" s="4594">
        <f t="shared" si="279"/>
        <v>0.11618168316376093</v>
      </c>
      <c r="W380" s="4594">
        <f t="shared" si="279"/>
        <v>0.10760612604807146</v>
      </c>
      <c r="X380" s="4594">
        <f t="shared" si="279"/>
        <v>8.6164344014351996E-2</v>
      </c>
      <c r="Y380" s="4594">
        <f t="shared" si="279"/>
        <v>8.6926342326297507E-2</v>
      </c>
      <c r="Z380" s="4594">
        <f t="shared" si="279"/>
        <v>9.2309253102419067E-2</v>
      </c>
      <c r="AA380" s="4594">
        <f t="shared" si="279"/>
        <v>0.10163464378587025</v>
      </c>
      <c r="AB380" s="4594">
        <f t="shared" si="279"/>
        <v>9.9721952631955851E-2</v>
      </c>
      <c r="AC380" s="4594">
        <f>AC177/AC12</f>
        <v>7.7053675900516136E-2</v>
      </c>
      <c r="AD380" s="4594">
        <f>AD177/AD12</f>
        <v>5.3583142882013858E-2</v>
      </c>
      <c r="AE380" s="4594">
        <f>AE177/AE12</f>
        <v>3.8493893819127968E-2</v>
      </c>
      <c r="AF380" s="4594">
        <f>AF177/AF12</f>
        <v>2.7842679096216648E-2</v>
      </c>
      <c r="AH380" s="4798"/>
    </row>
    <row r="381" spans="1:38" s="766" customFormat="1" hidden="1" outlineLevel="1">
      <c r="A381" s="4581" t="s">
        <v>692</v>
      </c>
      <c r="B381" s="4597"/>
      <c r="C381" s="4597"/>
      <c r="D381" s="4597"/>
      <c r="E381" s="4597"/>
      <c r="F381" s="4597"/>
      <c r="G381" s="4597"/>
      <c r="H381" s="4597"/>
      <c r="I381" s="4597"/>
      <c r="J381" s="4597"/>
      <c r="K381" s="4597"/>
      <c r="L381" s="4597"/>
      <c r="M381" s="4597"/>
      <c r="N381" s="4597"/>
      <c r="O381" s="4597"/>
      <c r="P381" s="4597"/>
      <c r="Q381" s="4597"/>
      <c r="R381" s="4597"/>
      <c r="S381" s="4597"/>
      <c r="T381" s="4594">
        <f t="shared" ref="T381:AB381" si="280">T252/T12</f>
        <v>4.5331952892455028E-2</v>
      </c>
      <c r="U381" s="4594">
        <f t="shared" si="280"/>
        <v>6.0470426073520746E-2</v>
      </c>
      <c r="V381" s="4594">
        <f t="shared" si="280"/>
        <v>8.4126693593742016E-2</v>
      </c>
      <c r="W381" s="4594">
        <f t="shared" si="280"/>
        <v>9.9107976932200845E-2</v>
      </c>
      <c r="X381" s="4594">
        <f t="shared" si="280"/>
        <v>0.12751335925379709</v>
      </c>
      <c r="Y381" s="4594">
        <f t="shared" si="280"/>
        <v>0.15834762326067722</v>
      </c>
      <c r="Z381" s="4594">
        <f t="shared" si="280"/>
        <v>0.18207313265786995</v>
      </c>
      <c r="AA381" s="4594">
        <f t="shared" si="280"/>
        <v>0.20333714526911276</v>
      </c>
      <c r="AB381" s="4594">
        <f t="shared" si="280"/>
        <v>0.22782992179677403</v>
      </c>
      <c r="AC381" s="4594">
        <f>AC252/AC12</f>
        <v>0.25605493593693113</v>
      </c>
      <c r="AD381" s="4594">
        <f>AD252/AD12</f>
        <v>0.29460037795132576</v>
      </c>
      <c r="AE381" s="4594">
        <f>AE252/AE12</f>
        <v>0.32719606146998759</v>
      </c>
      <c r="AF381" s="4594">
        <f>AF252/AF12</f>
        <v>0.35599315433766954</v>
      </c>
      <c r="AH381" s="4798"/>
    </row>
    <row r="382" spans="1:38" s="766" customFormat="1" hidden="1" outlineLevel="1">
      <c r="A382" s="4581" t="s">
        <v>434</v>
      </c>
      <c r="B382" s="4597"/>
      <c r="C382" s="4597"/>
      <c r="D382" s="4597"/>
      <c r="E382" s="4597"/>
      <c r="F382" s="4597"/>
      <c r="G382" s="4597"/>
      <c r="H382" s="4597"/>
      <c r="I382" s="4597"/>
      <c r="J382" s="4597"/>
      <c r="K382" s="4597"/>
      <c r="L382" s="4597"/>
      <c r="M382" s="4597"/>
      <c r="N382" s="4597"/>
      <c r="O382" s="4597"/>
      <c r="P382" s="4597"/>
      <c r="Q382" s="4597"/>
      <c r="R382" s="4597"/>
      <c r="S382" s="4597"/>
      <c r="T382" s="4594">
        <f t="shared" ref="T382:AB382" si="281">T293/T12</f>
        <v>4.6201630645787495E-3</v>
      </c>
      <c r="U382" s="4594">
        <f t="shared" si="281"/>
        <v>4.395237936439123E-3</v>
      </c>
      <c r="V382" s="4594">
        <f t="shared" si="281"/>
        <v>4.030880924382637E-3</v>
      </c>
      <c r="W382" s="4594">
        <f t="shared" si="281"/>
        <v>3.0797965889105511E-3</v>
      </c>
      <c r="X382" s="4594">
        <f t="shared" si="281"/>
        <v>4.0910919154967338E-3</v>
      </c>
      <c r="Y382" s="4594">
        <f t="shared" si="281"/>
        <v>5.2636416908917513E-3</v>
      </c>
      <c r="Z382" s="4594">
        <f t="shared" si="281"/>
        <v>4.8539114043355319E-3</v>
      </c>
      <c r="AA382" s="4594">
        <f t="shared" si="281"/>
        <v>3.8630047194060293E-3</v>
      </c>
      <c r="AB382" s="4594">
        <f t="shared" si="281"/>
        <v>3.6668724694085631E-3</v>
      </c>
      <c r="AC382" s="4594">
        <f>AC293/AC12</f>
        <v>3.7038497372885002E-3</v>
      </c>
      <c r="AD382" s="4594">
        <f>AD293/AD12</f>
        <v>3.8244925789501232E-3</v>
      </c>
      <c r="AE382" s="4594">
        <f>AE293/AE12</f>
        <v>4.1099712786383177E-3</v>
      </c>
      <c r="AF382" s="4594">
        <f>AF293/AF12</f>
        <v>4.5851212766603328E-3</v>
      </c>
      <c r="AH382" s="4807"/>
    </row>
    <row r="383" spans="1:38" s="766" customFormat="1" hidden="1" outlineLevel="1">
      <c r="A383" s="4581" t="s">
        <v>452</v>
      </c>
      <c r="B383" s="4597"/>
      <c r="C383" s="4597"/>
      <c r="D383" s="4597"/>
      <c r="E383" s="4597"/>
      <c r="F383" s="4597"/>
      <c r="G383" s="4597"/>
      <c r="H383" s="4597"/>
      <c r="I383" s="4597"/>
      <c r="J383" s="4597"/>
      <c r="K383" s="4597"/>
      <c r="L383" s="4597"/>
      <c r="M383" s="4597"/>
      <c r="N383" s="4597"/>
      <c r="O383" s="4597"/>
      <c r="P383" s="4597"/>
      <c r="Q383" s="4597"/>
      <c r="R383" s="4597"/>
      <c r="S383" s="4597"/>
      <c r="T383" s="4594">
        <f t="shared" ref="T383:AB383" si="282">T325/T12</f>
        <v>-1.785945386307752E-3</v>
      </c>
      <c r="U383" s="4594">
        <f t="shared" si="282"/>
        <v>5.0577472460288349E-3</v>
      </c>
      <c r="V383" s="4594">
        <f t="shared" si="282"/>
        <v>1.7996830103788536E-3</v>
      </c>
      <c r="W383" s="4594">
        <f t="shared" si="282"/>
        <v>1.0156921021418151E-3</v>
      </c>
      <c r="X383" s="4594">
        <f t="shared" si="282"/>
        <v>1.2513327332043694E-2</v>
      </c>
      <c r="Y383" s="4594">
        <f t="shared" si="282"/>
        <v>1.3558387241327803E-3</v>
      </c>
      <c r="Z383" s="4594">
        <f t="shared" si="282"/>
        <v>1.0357759974866478E-3</v>
      </c>
      <c r="AA383" s="4594">
        <f t="shared" si="282"/>
        <v>-1.0704681594834301E-3</v>
      </c>
      <c r="AB383" s="4594">
        <f t="shared" si="282"/>
        <v>-2.1243527424712862E-3</v>
      </c>
      <c r="AC383" s="4594">
        <f>AC325/AC12</f>
        <v>0</v>
      </c>
      <c r="AD383" s="4594">
        <f>AD325/AD12</f>
        <v>0</v>
      </c>
      <c r="AE383" s="4594">
        <f>AE325/AE12</f>
        <v>0</v>
      </c>
      <c r="AF383" s="4594">
        <f>AF325/AF12</f>
        <v>0</v>
      </c>
      <c r="AH383" s="4803"/>
    </row>
    <row r="384" spans="1:38" s="766" customFormat="1" hidden="1" outlineLevel="1">
      <c r="A384" s="4989" t="s">
        <v>903</v>
      </c>
      <c r="B384" s="4990"/>
      <c r="C384" s="4990"/>
      <c r="D384" s="4990"/>
      <c r="E384" s="4990"/>
      <c r="F384" s="4990"/>
      <c r="G384" s="4990"/>
      <c r="H384" s="4990"/>
      <c r="I384" s="4990"/>
      <c r="J384" s="4990"/>
      <c r="K384" s="4990"/>
      <c r="L384" s="4990"/>
      <c r="M384" s="4990"/>
      <c r="N384" s="4990"/>
      <c r="O384" s="4990"/>
      <c r="P384" s="4990"/>
      <c r="Q384" s="4990"/>
      <c r="R384" s="4990"/>
      <c r="S384" s="4990"/>
      <c r="T384" s="4991">
        <f>SUM(T377:T383)</f>
        <v>1</v>
      </c>
      <c r="U384" s="4991">
        <f t="shared" ref="U384:AB384" si="283">SUM(U377:U383)</f>
        <v>0.99999999999999978</v>
      </c>
      <c r="V384" s="4991">
        <f t="shared" si="283"/>
        <v>1</v>
      </c>
      <c r="W384" s="4991">
        <f t="shared" si="283"/>
        <v>1</v>
      </c>
      <c r="X384" s="4991">
        <f t="shared" si="283"/>
        <v>0.99999999999999989</v>
      </c>
      <c r="Y384" s="4991">
        <f t="shared" si="283"/>
        <v>1</v>
      </c>
      <c r="Z384" s="4991">
        <f t="shared" si="283"/>
        <v>1</v>
      </c>
      <c r="AA384" s="4991">
        <f t="shared" si="283"/>
        <v>1</v>
      </c>
      <c r="AB384" s="4991">
        <f t="shared" si="283"/>
        <v>1</v>
      </c>
      <c r="AC384" s="4991">
        <f>SUM(AC377:AC383)</f>
        <v>1.0000000000000002</v>
      </c>
      <c r="AD384" s="4991">
        <f>SUM(AD377:AD383)</f>
        <v>0.99999999999999978</v>
      </c>
      <c r="AE384" s="4991">
        <f>SUM(AE377:AE383)</f>
        <v>0.99999999999999967</v>
      </c>
      <c r="AF384" s="4991">
        <f>SUM(AF377:AF383)</f>
        <v>1.0000000000000002</v>
      </c>
      <c r="AH384" s="4798"/>
    </row>
    <row r="385" spans="1:38" s="766" customFormat="1" hidden="1" outlineLevel="1">
      <c r="A385" s="4593" t="s">
        <v>942</v>
      </c>
      <c r="B385" s="4962"/>
      <c r="C385" s="4962"/>
      <c r="D385" s="4962"/>
      <c r="E385" s="4962"/>
      <c r="F385" s="4962"/>
      <c r="G385" s="4962"/>
      <c r="H385" s="4962"/>
      <c r="I385" s="4962"/>
      <c r="J385" s="4962"/>
      <c r="K385" s="4962"/>
      <c r="L385" s="4962"/>
      <c r="M385" s="4962"/>
      <c r="N385" s="4962"/>
      <c r="O385" s="4962"/>
      <c r="P385" s="4962"/>
      <c r="Q385" s="4962"/>
      <c r="R385" s="4962"/>
      <c r="S385" s="4962"/>
      <c r="T385" s="4963"/>
      <c r="U385" s="4963"/>
      <c r="V385" s="4963"/>
      <c r="W385" s="4963"/>
      <c r="X385" s="4963"/>
      <c r="Y385" s="4963"/>
      <c r="Z385" s="4963"/>
      <c r="AA385" s="4963"/>
      <c r="AB385" s="4963"/>
      <c r="AC385" s="4963"/>
      <c r="AD385" s="4963"/>
      <c r="AE385" s="4963"/>
      <c r="AF385" s="4963"/>
      <c r="AH385" s="4807"/>
    </row>
    <row r="386" spans="1:38" s="766" customFormat="1" hidden="1" outlineLevel="1">
      <c r="A386" s="4581" t="s">
        <v>895</v>
      </c>
      <c r="B386" s="4597"/>
      <c r="C386" s="4597"/>
      <c r="D386" s="4597"/>
      <c r="E386" s="4597"/>
      <c r="F386" s="4597"/>
      <c r="G386" s="4597"/>
      <c r="H386" s="4597"/>
      <c r="I386" s="4597"/>
      <c r="J386" s="4597"/>
      <c r="K386" s="4597"/>
      <c r="L386" s="4597"/>
      <c r="M386" s="4597"/>
      <c r="N386" s="4597"/>
      <c r="O386" s="4597"/>
      <c r="P386" s="4597"/>
      <c r="Q386" s="4597"/>
      <c r="R386" s="4597"/>
      <c r="S386" s="4597"/>
      <c r="T386" s="4594">
        <f>T52/T13</f>
        <v>0.38959180740393784</v>
      </c>
      <c r="U386" s="4594">
        <f t="shared" ref="U386:AB386" si="284">U52/U13</f>
        <v>0.40463558273423289</v>
      </c>
      <c r="V386" s="4594">
        <f t="shared" si="284"/>
        <v>0.38967201078166436</v>
      </c>
      <c r="W386" s="4594">
        <f t="shared" si="284"/>
        <v>0.4146381766665842</v>
      </c>
      <c r="X386" s="4594">
        <f t="shared" si="284"/>
        <v>0.41475702282791604</v>
      </c>
      <c r="Y386" s="4594">
        <f t="shared" si="284"/>
        <v>0.35013944310103334</v>
      </c>
      <c r="Z386" s="4594">
        <f t="shared" si="284"/>
        <v>0.24456725214900746</v>
      </c>
      <c r="AA386" s="4594">
        <f t="shared" si="284"/>
        <v>0.20659330698001654</v>
      </c>
      <c r="AB386" s="4594">
        <f t="shared" si="284"/>
        <v>0.21960996359595164</v>
      </c>
      <c r="AC386" s="4594">
        <f>AC52/AC13</f>
        <v>0.24566296356899509</v>
      </c>
      <c r="AD386" s="4594">
        <f>AD52/AD13</f>
        <v>0.25352281754941519</v>
      </c>
      <c r="AE386" s="4594">
        <f>AE52/AE13</f>
        <v>0.25518479434010616</v>
      </c>
      <c r="AF386" s="4594">
        <f>AF52/AF13</f>
        <v>0.25681701445282334</v>
      </c>
      <c r="AH386" s="4803"/>
    </row>
    <row r="387" spans="1:38" s="766" customFormat="1" hidden="1" outlineLevel="1">
      <c r="A387" s="4581" t="s">
        <v>634</v>
      </c>
      <c r="B387" s="4597"/>
      <c r="C387" s="4597"/>
      <c r="D387" s="4597"/>
      <c r="E387" s="4597"/>
      <c r="F387" s="4597"/>
      <c r="G387" s="4597"/>
      <c r="H387" s="4597"/>
      <c r="I387" s="4597"/>
      <c r="J387" s="4597"/>
      <c r="K387" s="4597"/>
      <c r="L387" s="4597"/>
      <c r="M387" s="4597"/>
      <c r="N387" s="4597"/>
      <c r="O387" s="4597"/>
      <c r="P387" s="4597"/>
      <c r="Q387" s="4597"/>
      <c r="R387" s="4597"/>
      <c r="S387" s="4597"/>
      <c r="T387" s="4594">
        <f>T89/T13</f>
        <v>3.1371344042646993E-2</v>
      </c>
      <c r="U387" s="4594">
        <f t="shared" ref="U387:AB387" si="285">U89/U13</f>
        <v>3.2787661856530009E-2</v>
      </c>
      <c r="V387" s="4594">
        <f t="shared" si="285"/>
        <v>3.4723004898534866E-2</v>
      </c>
      <c r="W387" s="4594">
        <f t="shared" si="285"/>
        <v>3.3665677159601351E-2</v>
      </c>
      <c r="X387" s="4594">
        <f t="shared" si="285"/>
        <v>3.5538123824994543E-2</v>
      </c>
      <c r="Y387" s="4594">
        <f t="shared" si="285"/>
        <v>2.7088757597624236E-2</v>
      </c>
      <c r="Z387" s="4594">
        <f t="shared" si="285"/>
        <v>2.7358246357353636E-2</v>
      </c>
      <c r="AA387" s="4594">
        <f t="shared" si="285"/>
        <v>2.8746565143188001E-2</v>
      </c>
      <c r="AB387" s="4594">
        <f t="shared" si="285"/>
        <v>3.3498654613924574E-2</v>
      </c>
      <c r="AC387" s="4594">
        <f>AC89/AC13</f>
        <v>3.3041971211500987E-2</v>
      </c>
      <c r="AD387" s="4594">
        <f>AD89/AD13</f>
        <v>3.2622595498630884E-2</v>
      </c>
      <c r="AE387" s="4594">
        <f>AE89/AE13</f>
        <v>3.2314939724020927E-2</v>
      </c>
      <c r="AF387" s="4594">
        <f>AF89/AF13</f>
        <v>3.0445026837150311E-2</v>
      </c>
      <c r="AH387" s="4798"/>
    </row>
    <row r="388" spans="1:38" s="766" customFormat="1" hidden="1" outlineLevel="1">
      <c r="A388" s="4581" t="s">
        <v>354</v>
      </c>
      <c r="B388" s="4597"/>
      <c r="C388" s="4597"/>
      <c r="D388" s="4597"/>
      <c r="E388" s="4597"/>
      <c r="F388" s="4597"/>
      <c r="G388" s="4597"/>
      <c r="H388" s="4597"/>
      <c r="I388" s="4597"/>
      <c r="J388" s="4597"/>
      <c r="K388" s="4597"/>
      <c r="L388" s="4597"/>
      <c r="M388" s="4597"/>
      <c r="N388" s="4597"/>
      <c r="O388" s="4597"/>
      <c r="P388" s="4597"/>
      <c r="Q388" s="4597"/>
      <c r="R388" s="4597"/>
      <c r="S388" s="4597"/>
      <c r="T388" s="4594">
        <f>T131/T13</f>
        <v>6.0298363424506285E-2</v>
      </c>
      <c r="U388" s="4594">
        <f t="shared" ref="U388:AB388" si="286">U131/U13</f>
        <v>6.3916763208496055E-2</v>
      </c>
      <c r="V388" s="4594">
        <f t="shared" si="286"/>
        <v>6.3902003009380676E-2</v>
      </c>
      <c r="W388" s="4594">
        <f t="shared" si="286"/>
        <v>8.6388678716870976E-2</v>
      </c>
      <c r="X388" s="4594">
        <f t="shared" si="286"/>
        <v>8.0579502107872625E-2</v>
      </c>
      <c r="Y388" s="4594">
        <f t="shared" si="286"/>
        <v>8.091079612854199E-2</v>
      </c>
      <c r="Z388" s="4594">
        <f t="shared" si="286"/>
        <v>8.5226975412512881E-2</v>
      </c>
      <c r="AA388" s="4594">
        <f t="shared" si="286"/>
        <v>7.0571250426909107E-2</v>
      </c>
      <c r="AB388" s="4594">
        <f t="shared" si="286"/>
        <v>7.1743085047742308E-2</v>
      </c>
      <c r="AC388" s="4594">
        <f>AC131/AC13</f>
        <v>7.7790554743006779E-2</v>
      </c>
      <c r="AD388" s="4594">
        <f>AD131/AD13</f>
        <v>7.7349051468941041E-2</v>
      </c>
      <c r="AE388" s="4594">
        <f>AE131/AE13</f>
        <v>7.7054997748549806E-2</v>
      </c>
      <c r="AF388" s="4594">
        <f>AF131/AF13</f>
        <v>7.798410778050642E-2</v>
      </c>
      <c r="AH388" s="4803"/>
    </row>
    <row r="389" spans="1:38" s="766" customFormat="1" hidden="1" outlineLevel="1">
      <c r="A389" s="4581" t="s">
        <v>902</v>
      </c>
      <c r="B389" s="4597"/>
      <c r="C389" s="4597"/>
      <c r="D389" s="4597"/>
      <c r="E389" s="4597"/>
      <c r="F389" s="4597"/>
      <c r="G389" s="4597"/>
      <c r="H389" s="4597"/>
      <c r="I389" s="4597"/>
      <c r="J389" s="4597"/>
      <c r="K389" s="4597"/>
      <c r="L389" s="4597"/>
      <c r="M389" s="4597"/>
      <c r="N389" s="4597"/>
      <c r="O389" s="4597"/>
      <c r="P389" s="4597"/>
      <c r="Q389" s="4597"/>
      <c r="R389" s="4597"/>
      <c r="S389" s="4597"/>
      <c r="T389" s="4594">
        <f>T178/T13</f>
        <v>0.13006803926391478</v>
      </c>
      <c r="U389" s="4594">
        <f t="shared" ref="U389:AB389" si="287">U178/U13</f>
        <v>0.12079564624703573</v>
      </c>
      <c r="V389" s="4594">
        <f t="shared" si="287"/>
        <v>0.11964044043258512</v>
      </c>
      <c r="W389" s="4594">
        <f t="shared" si="287"/>
        <v>0.10407920786645149</v>
      </c>
      <c r="X389" s="4594">
        <f t="shared" si="287"/>
        <v>9.7072191356099846E-2</v>
      </c>
      <c r="Y389" s="4594">
        <f t="shared" si="287"/>
        <v>9.3159291000446814E-2</v>
      </c>
      <c r="Z389" s="4594">
        <f t="shared" si="287"/>
        <v>0.12639714172686289</v>
      </c>
      <c r="AA389" s="4594">
        <f t="shared" si="287"/>
        <v>0.16604099881313852</v>
      </c>
      <c r="AB389" s="4594">
        <f t="shared" si="287"/>
        <v>9.4098352088867437E-2</v>
      </c>
      <c r="AC389" s="4594">
        <f>AC178/AC13</f>
        <v>1.0036911690113552E-2</v>
      </c>
      <c r="AD389" s="4594">
        <f>AD178/AD13</f>
        <v>-4.7461459266773739E-2</v>
      </c>
      <c r="AE389" s="4594">
        <f>AE178/AE13</f>
        <v>-8.3203118090690711E-2</v>
      </c>
      <c r="AF389" s="4594">
        <f>AF178/AF13</f>
        <v>-0.10995370465004863</v>
      </c>
      <c r="AH389" s="4798"/>
    </row>
    <row r="390" spans="1:38" s="766" customFormat="1" hidden="1" outlineLevel="1">
      <c r="A390" s="4581" t="s">
        <v>692</v>
      </c>
      <c r="B390" s="4597"/>
      <c r="C390" s="4597"/>
      <c r="D390" s="4597"/>
      <c r="E390" s="4597"/>
      <c r="F390" s="4597"/>
      <c r="G390" s="4597"/>
      <c r="H390" s="4597"/>
      <c r="I390" s="4597"/>
      <c r="J390" s="4597"/>
      <c r="K390" s="4597"/>
      <c r="L390" s="4597"/>
      <c r="M390" s="4597"/>
      <c r="N390" s="4597"/>
      <c r="O390" s="4597"/>
      <c r="P390" s="4597"/>
      <c r="Q390" s="4597"/>
      <c r="R390" s="4597"/>
      <c r="S390" s="4597"/>
      <c r="T390" s="4594">
        <f>T253/T13</f>
        <v>0.15781771398705424</v>
      </c>
      <c r="U390" s="4594">
        <f t="shared" ref="U390:AB390" si="288">U253/U13</f>
        <v>0.18096142113762784</v>
      </c>
      <c r="V390" s="4594">
        <f t="shared" si="288"/>
        <v>0.24454526170652807</v>
      </c>
      <c r="W390" s="4594">
        <f t="shared" si="288"/>
        <v>0.2474250117674747</v>
      </c>
      <c r="X390" s="4594">
        <f t="shared" si="288"/>
        <v>0.26769204435695859</v>
      </c>
      <c r="Y390" s="4594">
        <f t="shared" si="288"/>
        <v>0.28792015060878479</v>
      </c>
      <c r="Z390" s="4594">
        <f t="shared" si="288"/>
        <v>0.33922255316353128</v>
      </c>
      <c r="AA390" s="4594">
        <f t="shared" si="288"/>
        <v>0.33339023704571702</v>
      </c>
      <c r="AB390" s="4594">
        <f t="shared" si="288"/>
        <v>0.36923702941941822</v>
      </c>
      <c r="AC390" s="4594">
        <f>AC253/AC13</f>
        <v>0.41954169805802644</v>
      </c>
      <c r="AD390" s="4594">
        <f>AD253/AD13</f>
        <v>0.47786819516044893</v>
      </c>
      <c r="AE390" s="4594">
        <f>AE253/AE13</f>
        <v>0.52338268891795814</v>
      </c>
      <c r="AF390" s="4594">
        <f>AF253/AF13</f>
        <v>0.55586630445586627</v>
      </c>
      <c r="AH390" s="4798"/>
    </row>
    <row r="391" spans="1:38" s="766" customFormat="1" hidden="1" outlineLevel="1">
      <c r="A391" s="4581" t="s">
        <v>434</v>
      </c>
      <c r="B391" s="4597"/>
      <c r="C391" s="4597"/>
      <c r="D391" s="4597"/>
      <c r="E391" s="4597"/>
      <c r="F391" s="4597"/>
      <c r="G391" s="4597"/>
      <c r="H391" s="4597"/>
      <c r="I391" s="4597"/>
      <c r="J391" s="4597"/>
      <c r="K391" s="4597"/>
      <c r="L391" s="4597"/>
      <c r="M391" s="4597"/>
      <c r="N391" s="4597"/>
      <c r="O391" s="4597"/>
      <c r="P391" s="4597"/>
      <c r="Q391" s="4597"/>
      <c r="R391" s="4597"/>
      <c r="S391" s="4597"/>
      <c r="T391" s="4594">
        <f>T294/T13</f>
        <v>7.4679371205725084E-2</v>
      </c>
      <c r="U391" s="4594">
        <f t="shared" ref="U391:AB391" si="289">U294/U13</f>
        <v>9.3655122914049871E-2</v>
      </c>
      <c r="V391" s="4594">
        <f t="shared" si="289"/>
        <v>8.6090046136713158E-2</v>
      </c>
      <c r="W391" s="4594">
        <f t="shared" si="289"/>
        <v>8.4325723699694044E-2</v>
      </c>
      <c r="X391" s="4594">
        <f t="shared" si="289"/>
        <v>6.4515655756745852E-2</v>
      </c>
      <c r="Y391" s="4594">
        <f t="shared" si="289"/>
        <v>5.5823279751361823E-2</v>
      </c>
      <c r="Z391" s="4594">
        <f t="shared" si="289"/>
        <v>5.9490593723308734E-2</v>
      </c>
      <c r="AA391" s="4594">
        <f t="shared" si="289"/>
        <v>5.9427309430337513E-2</v>
      </c>
      <c r="AB391" s="4594">
        <f t="shared" si="289"/>
        <v>5.7329762098855645E-2</v>
      </c>
      <c r="AC391" s="4594">
        <f>AC294/AC13</f>
        <v>5.3660556289902697E-2</v>
      </c>
      <c r="AD391" s="4594">
        <f>AD294/AD13</f>
        <v>3.9421373274835698E-2</v>
      </c>
      <c r="AE391" s="4594">
        <f>AE294/AE13</f>
        <v>2.3744179592878834E-2</v>
      </c>
      <c r="AF391" s="4594">
        <f>AF294/AF13</f>
        <v>1.2924428900175478E-2</v>
      </c>
      <c r="AH391" s="4807"/>
    </row>
    <row r="392" spans="1:38" s="766" customFormat="1" hidden="1" outlineLevel="1">
      <c r="A392" s="4581" t="s">
        <v>452</v>
      </c>
      <c r="B392" s="4597"/>
      <c r="C392" s="4597"/>
      <c r="D392" s="4597"/>
      <c r="E392" s="4597"/>
      <c r="F392" s="4597"/>
      <c r="G392" s="4597"/>
      <c r="H392" s="4597"/>
      <c r="I392" s="4597"/>
      <c r="J392" s="4597"/>
      <c r="K392" s="4597"/>
      <c r="L392" s="4597"/>
      <c r="M392" s="4597"/>
      <c r="N392" s="4597"/>
      <c r="O392" s="4597"/>
      <c r="P392" s="4597"/>
      <c r="Q392" s="4597"/>
      <c r="R392" s="4597"/>
      <c r="S392" s="4597"/>
      <c r="T392" s="4594">
        <f>T326/T13</f>
        <v>0.15617336067221485</v>
      </c>
      <c r="U392" s="4594">
        <f t="shared" ref="U392:AB392" si="290">U326/U13</f>
        <v>0.10324780190202763</v>
      </c>
      <c r="V392" s="4594">
        <f t="shared" si="290"/>
        <v>6.1427233034593694E-2</v>
      </c>
      <c r="W392" s="4594">
        <f t="shared" si="290"/>
        <v>4.7570016474464578E-2</v>
      </c>
      <c r="X392" s="4594">
        <f t="shared" si="290"/>
        <v>3.9845459769412284E-2</v>
      </c>
      <c r="Y392" s="4594">
        <f t="shared" si="290"/>
        <v>0.10495828181220689</v>
      </c>
      <c r="Z392" s="4594">
        <f t="shared" si="290"/>
        <v>0.11773723746742297</v>
      </c>
      <c r="AA392" s="4594">
        <f t="shared" si="290"/>
        <v>0.13523033216069388</v>
      </c>
      <c r="AB392" s="4594">
        <f t="shared" si="290"/>
        <v>0.15448315313523978</v>
      </c>
      <c r="AC392" s="4594">
        <f>AC326/AC13</f>
        <v>0.16026534443845453</v>
      </c>
      <c r="AD392" s="4594">
        <f>AD326/AD13</f>
        <v>0.16667742631450194</v>
      </c>
      <c r="AE392" s="4594">
        <f>AE326/AE13</f>
        <v>0.17152151776717639</v>
      </c>
      <c r="AF392" s="4594">
        <f>AF326/AF13</f>
        <v>0.17591682222352792</v>
      </c>
      <c r="AH392" s="4803"/>
      <c r="AI392" s="2649"/>
      <c r="AJ392" s="2649"/>
      <c r="AK392" s="2649"/>
      <c r="AL392" s="2649"/>
    </row>
    <row r="393" spans="1:38" s="766" customFormat="1" hidden="1" outlineLevel="1">
      <c r="A393" s="4989" t="s">
        <v>903</v>
      </c>
      <c r="B393" s="4990"/>
      <c r="C393" s="4990"/>
      <c r="D393" s="4990"/>
      <c r="E393" s="4990"/>
      <c r="F393" s="4990"/>
      <c r="G393" s="4990"/>
      <c r="H393" s="4990"/>
      <c r="I393" s="4990"/>
      <c r="J393" s="4990"/>
      <c r="K393" s="4990"/>
      <c r="L393" s="4990"/>
      <c r="M393" s="4990"/>
      <c r="N393" s="4990"/>
      <c r="O393" s="4990"/>
      <c r="P393" s="4990"/>
      <c r="Q393" s="4990"/>
      <c r="R393" s="4990"/>
      <c r="S393" s="4990"/>
      <c r="T393" s="4991">
        <f>SUM(T386:T392)</f>
        <v>1</v>
      </c>
      <c r="U393" s="4991">
        <f t="shared" ref="U393:AB393" si="291">SUM(U386:U392)</f>
        <v>1</v>
      </c>
      <c r="V393" s="4991">
        <f t="shared" si="291"/>
        <v>1</v>
      </c>
      <c r="W393" s="4991">
        <f t="shared" si="291"/>
        <v>1.0180924923511414</v>
      </c>
      <c r="X393" s="4991">
        <f t="shared" si="291"/>
        <v>0.99999999999999978</v>
      </c>
      <c r="Y393" s="4991">
        <f t="shared" si="291"/>
        <v>0.99999999999999989</v>
      </c>
      <c r="Z393" s="4991">
        <f t="shared" si="291"/>
        <v>0.99999999999999989</v>
      </c>
      <c r="AA393" s="4991">
        <f t="shared" si="291"/>
        <v>1.0000000000000004</v>
      </c>
      <c r="AB393" s="4991">
        <f t="shared" si="291"/>
        <v>0.99999999999999967</v>
      </c>
      <c r="AC393" s="4991">
        <f>SUM(AC386:AC392)</f>
        <v>1</v>
      </c>
      <c r="AD393" s="4991">
        <f>SUM(AD386:AD392)</f>
        <v>1</v>
      </c>
      <c r="AE393" s="4991">
        <f>SUM(AE386:AE392)</f>
        <v>0.99999999999999944</v>
      </c>
      <c r="AF393" s="4991">
        <f>SUM(AF386:AF392)</f>
        <v>1.0000000000000011</v>
      </c>
      <c r="AH393" s="4798"/>
      <c r="AI393" s="2649"/>
      <c r="AJ393" s="2649"/>
      <c r="AK393" s="2649"/>
      <c r="AL393" s="2649"/>
    </row>
    <row r="394" spans="1:38" s="766" customFormat="1" hidden="1" outlineLevel="1">
      <c r="A394" s="4593" t="s">
        <v>533</v>
      </c>
      <c r="B394" s="4962"/>
      <c r="C394" s="4962"/>
      <c r="D394" s="4962"/>
      <c r="E394" s="4962"/>
      <c r="F394" s="4962"/>
      <c r="G394" s="4962"/>
      <c r="H394" s="4962"/>
      <c r="I394" s="4962"/>
      <c r="J394" s="4962"/>
      <c r="K394" s="4962"/>
      <c r="L394" s="4962"/>
      <c r="M394" s="4962"/>
      <c r="N394" s="4962"/>
      <c r="O394" s="4962"/>
      <c r="P394" s="4962"/>
      <c r="Q394" s="4962"/>
      <c r="R394" s="4962"/>
      <c r="S394" s="4962"/>
      <c r="T394" s="4963"/>
      <c r="U394" s="4963"/>
      <c r="V394" s="4963"/>
      <c r="W394" s="4963"/>
      <c r="X394" s="4963"/>
      <c r="Y394" s="4963"/>
      <c r="Z394" s="4963"/>
      <c r="AA394" s="4963"/>
      <c r="AB394" s="4963"/>
      <c r="AC394" s="4963"/>
      <c r="AD394" s="4963"/>
      <c r="AE394" s="4963"/>
      <c r="AF394" s="4963"/>
      <c r="AH394" s="4807"/>
      <c r="AI394" s="2649"/>
      <c r="AJ394" s="2649"/>
      <c r="AK394" s="2649"/>
      <c r="AL394" s="2649"/>
    </row>
    <row r="395" spans="1:38" s="766" customFormat="1" hidden="1" outlineLevel="1">
      <c r="A395" s="4581" t="s">
        <v>895</v>
      </c>
      <c r="B395" s="4597"/>
      <c r="C395" s="4597"/>
      <c r="D395" s="4597"/>
      <c r="E395" s="4597"/>
      <c r="F395" s="4597"/>
      <c r="G395" s="4597"/>
      <c r="H395" s="4597"/>
      <c r="I395" s="4597"/>
      <c r="J395" s="4597"/>
      <c r="K395" s="4597"/>
      <c r="L395" s="4597"/>
      <c r="M395" s="4597"/>
      <c r="N395" s="4597"/>
      <c r="O395" s="4597"/>
      <c r="P395" s="4597"/>
      <c r="Q395" s="4597"/>
      <c r="R395" s="4597"/>
      <c r="S395" s="4597"/>
      <c r="T395" s="4594">
        <f>T53/T14</f>
        <v>1.4096267239094504</v>
      </c>
      <c r="U395" s="4594">
        <f t="shared" ref="U395:AB395" si="292">U53/U14</f>
        <v>1.2703249114025648</v>
      </c>
      <c r="V395" s="4594">
        <f t="shared" si="292"/>
        <v>1.0864671077787325</v>
      </c>
      <c r="W395" s="4594">
        <f t="shared" si="292"/>
        <v>0.9059443834324129</v>
      </c>
      <c r="X395" s="4594">
        <f t="shared" si="292"/>
        <v>0.94675260342965073</v>
      </c>
      <c r="Y395" s="4594">
        <f t="shared" si="292"/>
        <v>0.97682823404391028</v>
      </c>
      <c r="Z395" s="4594">
        <f t="shared" si="292"/>
        <v>0.93807108638889891</v>
      </c>
      <c r="AA395" s="4594">
        <f t="shared" si="292"/>
        <v>0.92911219058740435</v>
      </c>
      <c r="AB395" s="4594">
        <f t="shared" si="292"/>
        <v>0.85135243771568625</v>
      </c>
      <c r="AC395" s="4594">
        <f>AC53/AC14</f>
        <v>0.81918613877321045</v>
      </c>
      <c r="AD395" s="4594">
        <f>AD53/AD14</f>
        <v>0.78188584015414297</v>
      </c>
      <c r="AE395" s="4594">
        <f>AE53/AE14</f>
        <v>0.74587145357654971</v>
      </c>
      <c r="AF395" s="4594">
        <f>AF53/AF14</f>
        <v>0.70833438781473257</v>
      </c>
      <c r="AH395" s="4803"/>
      <c r="AI395" s="2649"/>
      <c r="AJ395" s="2649"/>
      <c r="AK395" s="2649"/>
      <c r="AL395" s="2649"/>
    </row>
    <row r="396" spans="1:38" s="766" customFormat="1" hidden="1" outlineLevel="1">
      <c r="A396" s="4581" t="s">
        <v>634</v>
      </c>
      <c r="B396" s="4597"/>
      <c r="C396" s="4597"/>
      <c r="D396" s="4597"/>
      <c r="E396" s="4597"/>
      <c r="F396" s="4597"/>
      <c r="G396" s="4597"/>
      <c r="H396" s="4597"/>
      <c r="I396" s="4597"/>
      <c r="J396" s="4597"/>
      <c r="K396" s="4597"/>
      <c r="L396" s="4597"/>
      <c r="M396" s="4597"/>
      <c r="N396" s="4597"/>
      <c r="O396" s="4597"/>
      <c r="P396" s="4597"/>
      <c r="Q396" s="4597"/>
      <c r="R396" s="4597"/>
      <c r="S396" s="4597"/>
      <c r="T396" s="4594">
        <f>T90/T14</f>
        <v>0.11350825168051457</v>
      </c>
      <c r="U396" s="4594">
        <f t="shared" ref="U396:AB396" si="293">U90/U14</f>
        <v>0.10120876412420271</v>
      </c>
      <c r="V396" s="4594">
        <f t="shared" si="293"/>
        <v>8.6707156313918704E-2</v>
      </c>
      <c r="W396" s="4594">
        <f t="shared" si="293"/>
        <v>7.2729376286069333E-2</v>
      </c>
      <c r="X396" s="4594">
        <f t="shared" si="293"/>
        <v>7.137551367186698E-2</v>
      </c>
      <c r="Y396" s="4594">
        <f t="shared" si="293"/>
        <v>6.5430637433937205E-2</v>
      </c>
      <c r="Z396" s="4594">
        <f t="shared" si="293"/>
        <v>4.6457421996207393E-2</v>
      </c>
      <c r="AA396" s="4594">
        <f t="shared" si="293"/>
        <v>3.6452237551467689E-2</v>
      </c>
      <c r="AB396" s="4594">
        <f t="shared" si="293"/>
        <v>2.4765974415906031E-2</v>
      </c>
      <c r="AC396" s="4594">
        <f>AC90/AC14</f>
        <v>1.9720319127900475E-2</v>
      </c>
      <c r="AD396" s="4594">
        <f>AD90/AD14</f>
        <v>1.5708859475371435E-2</v>
      </c>
      <c r="AE396" s="4594">
        <f>AE90/AE14</f>
        <v>1.260997910072003E-2</v>
      </c>
      <c r="AF396" s="4594">
        <f>AF90/AF14</f>
        <v>1.1198268224190219E-2</v>
      </c>
      <c r="AH396" s="4798"/>
      <c r="AI396" s="2649"/>
      <c r="AJ396" s="2649"/>
      <c r="AK396" s="2649"/>
      <c r="AL396" s="2649"/>
    </row>
    <row r="397" spans="1:38" s="766" customFormat="1" hidden="1" outlineLevel="1">
      <c r="A397" s="4581" t="s">
        <v>354</v>
      </c>
      <c r="B397" s="4597"/>
      <c r="C397" s="4597"/>
      <c r="D397" s="4597"/>
      <c r="E397" s="4597"/>
      <c r="F397" s="4597"/>
      <c r="G397" s="4597"/>
      <c r="H397" s="4597"/>
      <c r="I397" s="4597"/>
      <c r="J397" s="4597"/>
      <c r="K397" s="4597"/>
      <c r="L397" s="4597"/>
      <c r="M397" s="4597"/>
      <c r="N397" s="4597"/>
      <c r="O397" s="4597"/>
      <c r="P397" s="4597"/>
      <c r="Q397" s="4597"/>
      <c r="R397" s="4597"/>
      <c r="S397" s="4597"/>
      <c r="T397" s="4594">
        <f>T132/T14</f>
        <v>5.4587855356965E-3</v>
      </c>
      <c r="U397" s="4594">
        <f t="shared" ref="U397:AB397" si="294">U132/U14</f>
        <v>1.0521129572332507E-2</v>
      </c>
      <c r="V397" s="4594">
        <f t="shared" si="294"/>
        <v>4.0007175134783787E-2</v>
      </c>
      <c r="W397" s="4594">
        <f t="shared" si="294"/>
        <v>3.032231961420128E-2</v>
      </c>
      <c r="X397" s="4594">
        <f t="shared" si="294"/>
        <v>1.260932854673834E-2</v>
      </c>
      <c r="Y397" s="4594">
        <f t="shared" si="294"/>
        <v>1.4652656120163136E-2</v>
      </c>
      <c r="Z397" s="4594">
        <f t="shared" si="294"/>
        <v>2.9808507441751907E-2</v>
      </c>
      <c r="AA397" s="4594">
        <f t="shared" si="294"/>
        <v>4.4612756408610406E-2</v>
      </c>
      <c r="AB397" s="4594">
        <f t="shared" si="294"/>
        <v>4.6430586673488386E-2</v>
      </c>
      <c r="AC397" s="4594">
        <f>AC132/AC14</f>
        <v>4.4814796100420058E-2</v>
      </c>
      <c r="AD397" s="4594">
        <f>AD132/AD14</f>
        <v>4.4900694904506391E-2</v>
      </c>
      <c r="AE397" s="4594">
        <f>AE132/AE14</f>
        <v>4.4155090578205283E-2</v>
      </c>
      <c r="AF397" s="4594">
        <f>AF132/AF14</f>
        <v>4.261661921322879E-2</v>
      </c>
      <c r="AH397" s="4803"/>
      <c r="AI397" s="2649"/>
      <c r="AJ397" s="2649"/>
      <c r="AK397" s="2649"/>
      <c r="AL397" s="2649"/>
    </row>
    <row r="398" spans="1:38" s="766" customFormat="1" hidden="1" outlineLevel="1">
      <c r="A398" s="4581" t="s">
        <v>902</v>
      </c>
      <c r="B398" s="4597"/>
      <c r="C398" s="4597"/>
      <c r="D398" s="4597"/>
      <c r="E398" s="4597"/>
      <c r="F398" s="4597"/>
      <c r="G398" s="4597"/>
      <c r="H398" s="4597"/>
      <c r="I398" s="4597"/>
      <c r="J398" s="4597"/>
      <c r="K398" s="4597"/>
      <c r="L398" s="4597"/>
      <c r="M398" s="4597"/>
      <c r="N398" s="4597"/>
      <c r="O398" s="4597"/>
      <c r="P398" s="4597"/>
      <c r="Q398" s="4597"/>
      <c r="R398" s="4597"/>
      <c r="S398" s="4597"/>
      <c r="T398" s="4594">
        <f>T179/T14</f>
        <v>3.865663852555197E-2</v>
      </c>
      <c r="U398" s="4594">
        <f t="shared" ref="U398:AB398" si="295">U179/U14</f>
        <v>4.9367005540378685E-2</v>
      </c>
      <c r="V398" s="4594">
        <f t="shared" si="295"/>
        <v>0.11143528889210719</v>
      </c>
      <c r="W398" s="4594">
        <f t="shared" si="295"/>
        <v>0.11065226784824998</v>
      </c>
      <c r="X398" s="4594">
        <f t="shared" si="295"/>
        <v>7.4243714662799401E-2</v>
      </c>
      <c r="Y398" s="4594">
        <f t="shared" si="295"/>
        <v>8.028847714734183E-2</v>
      </c>
      <c r="Z398" s="4594">
        <f t="shared" si="295"/>
        <v>6.4611289182484377E-2</v>
      </c>
      <c r="AA398" s="4594">
        <f t="shared" si="295"/>
        <v>4.862881310759757E-2</v>
      </c>
      <c r="AB398" s="4594">
        <f t="shared" si="295"/>
        <v>0.10381132111108771</v>
      </c>
      <c r="AC398" s="4594">
        <f>AC179/AC14</f>
        <v>0.12524356562913039</v>
      </c>
      <c r="AD398" s="4594">
        <f>AD179/AD14</f>
        <v>0.1226646565959809</v>
      </c>
      <c r="AE398" s="4594">
        <f>AE179/AE14</f>
        <v>0.11749019979567694</v>
      </c>
      <c r="AF398" s="4594">
        <f>AF179/AF14</f>
        <v>0.11207029752302917</v>
      </c>
      <c r="AH398" s="4798"/>
    </row>
    <row r="399" spans="1:38" s="766" customFormat="1" hidden="1" outlineLevel="1">
      <c r="A399" s="4581" t="s">
        <v>692</v>
      </c>
      <c r="B399" s="4597"/>
      <c r="C399" s="4597"/>
      <c r="D399" s="4597"/>
      <c r="E399" s="4597"/>
      <c r="F399" s="4597"/>
      <c r="G399" s="4597"/>
      <c r="H399" s="4597"/>
      <c r="I399" s="4597"/>
      <c r="J399" s="4597"/>
      <c r="K399" s="4597"/>
      <c r="L399" s="4597"/>
      <c r="M399" s="4597"/>
      <c r="N399" s="4597"/>
      <c r="O399" s="4597"/>
      <c r="P399" s="4597"/>
      <c r="Q399" s="4597"/>
      <c r="R399" s="4597"/>
      <c r="S399" s="4597"/>
      <c r="T399" s="4594">
        <f>T254/T14</f>
        <v>-0.15797122511262898</v>
      </c>
      <c r="U399" s="4594">
        <f t="shared" ref="U399:AB399" si="296">U254/U14</f>
        <v>-0.13569571441091408</v>
      </c>
      <c r="V399" s="4594">
        <f t="shared" si="296"/>
        <v>-0.13601300213467882</v>
      </c>
      <c r="W399" s="4594">
        <f t="shared" si="296"/>
        <v>-2.8991030820438551E-2</v>
      </c>
      <c r="X399" s="4594">
        <f t="shared" si="296"/>
        <v>-2.5680767483498571E-2</v>
      </c>
      <c r="Y399" s="4594">
        <f t="shared" si="296"/>
        <v>2.0357562312410284E-2</v>
      </c>
      <c r="Z399" s="4594">
        <f t="shared" si="296"/>
        <v>5.438206246107305E-2</v>
      </c>
      <c r="AA399" s="4594">
        <f t="shared" si="296"/>
        <v>9.6304661301064118E-2</v>
      </c>
      <c r="AB399" s="4594">
        <f t="shared" si="296"/>
        <v>0.12500153556867433</v>
      </c>
      <c r="AC399" s="4594">
        <f>AC254/AC14</f>
        <v>0.13849615595810219</v>
      </c>
      <c r="AD399" s="4594">
        <f>AD254/AD14</f>
        <v>0.16930503353284357</v>
      </c>
      <c r="AE399" s="4594">
        <f>AE254/AE14</f>
        <v>0.19984684716165585</v>
      </c>
      <c r="AF399" s="4594">
        <f>AF254/AF14</f>
        <v>0.23382130218718256</v>
      </c>
      <c r="AH399" s="4798"/>
      <c r="AI399" s="2649"/>
      <c r="AJ399" s="2649"/>
      <c r="AK399" s="2649"/>
      <c r="AL399" s="2649"/>
    </row>
    <row r="400" spans="1:38" s="766" customFormat="1" hidden="1" outlineLevel="1">
      <c r="A400" s="4581" t="s">
        <v>434</v>
      </c>
      <c r="B400" s="4597"/>
      <c r="C400" s="4597"/>
      <c r="D400" s="4597"/>
      <c r="E400" s="4597"/>
      <c r="F400" s="4597"/>
      <c r="G400" s="4597"/>
      <c r="H400" s="4597"/>
      <c r="I400" s="4597"/>
      <c r="J400" s="4597"/>
      <c r="K400" s="4597"/>
      <c r="L400" s="4597"/>
      <c r="M400" s="4597"/>
      <c r="N400" s="4597"/>
      <c r="O400" s="4597"/>
      <c r="P400" s="4597"/>
      <c r="Q400" s="4597"/>
      <c r="R400" s="4597"/>
      <c r="S400" s="4597"/>
      <c r="T400" s="4594">
        <f>T295/T14</f>
        <v>-0.1220026158988519</v>
      </c>
      <c r="U400" s="4594">
        <f t="shared" ref="U400:AB400" si="297">U295/U14</f>
        <v>-0.14092489264117319</v>
      </c>
      <c r="V400" s="4594">
        <f t="shared" si="297"/>
        <v>-0.1085775276537939</v>
      </c>
      <c r="W400" s="4594">
        <f t="shared" si="297"/>
        <v>-6.7090987626089393E-2</v>
      </c>
      <c r="X400" s="4594">
        <f t="shared" si="297"/>
        <v>-6.1943828331685415E-2</v>
      </c>
      <c r="Y400" s="4594">
        <f t="shared" si="297"/>
        <v>-4.8580546427342719E-2</v>
      </c>
      <c r="Z400" s="4594">
        <f t="shared" si="297"/>
        <v>-3.9540884420322095E-2</v>
      </c>
      <c r="AA400" s="4594">
        <f t="shared" si="297"/>
        <v>-4.1865900852359902E-2</v>
      </c>
      <c r="AB400" s="4594">
        <f t="shared" si="297"/>
        <v>-3.535569459743268E-2</v>
      </c>
      <c r="AC400" s="4594">
        <f>AC295/AC14</f>
        <v>-3.2218627397194395E-2</v>
      </c>
      <c r="AD400" s="4594">
        <f>AD295/AD14</f>
        <v>-2.0512150345787978E-2</v>
      </c>
      <c r="AE400" s="4594">
        <f>AE295/AE14</f>
        <v>-8.6350411358686856E-3</v>
      </c>
      <c r="AF400" s="4594">
        <f>AF295/AF14</f>
        <v>-5.1225502133181086E-4</v>
      </c>
      <c r="AH400" s="4807"/>
    </row>
    <row r="401" spans="1:34" s="766" customFormat="1" hidden="1" outlineLevel="1">
      <c r="A401" s="4581" t="s">
        <v>452</v>
      </c>
      <c r="B401" s="4597"/>
      <c r="C401" s="4597"/>
      <c r="D401" s="4597"/>
      <c r="E401" s="4597"/>
      <c r="F401" s="4597"/>
      <c r="G401" s="4597"/>
      <c r="H401" s="4597"/>
      <c r="I401" s="4597"/>
      <c r="J401" s="4597"/>
      <c r="K401" s="4597"/>
      <c r="L401" s="4597"/>
      <c r="M401" s="4597"/>
      <c r="N401" s="4597"/>
      <c r="O401" s="4597"/>
      <c r="P401" s="4597"/>
      <c r="Q401" s="4597"/>
      <c r="R401" s="4597"/>
      <c r="S401" s="4597"/>
      <c r="T401" s="4594">
        <f>T327/T14</f>
        <v>-0.28727655863973262</v>
      </c>
      <c r="U401" s="4594">
        <f t="shared" ref="U401:AB401" si="298">U327/U14</f>
        <v>-0.15480120358739155</v>
      </c>
      <c r="V401" s="4594">
        <f t="shared" si="298"/>
        <v>-8.0026198331069276E-2</v>
      </c>
      <c r="W401" s="4594">
        <f t="shared" si="298"/>
        <v>-3.9192519755062633E-2</v>
      </c>
      <c r="X401" s="4594">
        <f t="shared" si="298"/>
        <v>-1.7356564495871304E-2</v>
      </c>
      <c r="Y401" s="4594">
        <f t="shared" si="298"/>
        <v>-0.10897702063042009</v>
      </c>
      <c r="Z401" s="4594">
        <f t="shared" si="298"/>
        <v>-9.3789483050093422E-2</v>
      </c>
      <c r="AA401" s="4594">
        <f t="shared" si="298"/>
        <v>-0.11324475810378432</v>
      </c>
      <c r="AB401" s="4594">
        <f t="shared" si="298"/>
        <v>-0.11600616088741002</v>
      </c>
      <c r="AC401" s="4594">
        <f>AC327/AC14</f>
        <v>-0.11524234819156914</v>
      </c>
      <c r="AD401" s="4594">
        <f>AD327/AD14</f>
        <v>-0.11395293431705746</v>
      </c>
      <c r="AE401" s="4594">
        <f>AE327/AE14</f>
        <v>-0.11133852907693907</v>
      </c>
      <c r="AF401" s="4594">
        <f>AF327/AF14</f>
        <v>-0.10752861994103176</v>
      </c>
      <c r="AH401" s="4803"/>
    </row>
    <row r="402" spans="1:34" s="766" customFormat="1" hidden="1" outlineLevel="1">
      <c r="A402" s="4989" t="s">
        <v>903</v>
      </c>
      <c r="B402" s="4990"/>
      <c r="C402" s="4990"/>
      <c r="D402" s="4990"/>
      <c r="E402" s="4990"/>
      <c r="F402" s="4990"/>
      <c r="G402" s="4990"/>
      <c r="H402" s="4990"/>
      <c r="I402" s="4990"/>
      <c r="J402" s="4990"/>
      <c r="K402" s="4990"/>
      <c r="L402" s="4990"/>
      <c r="M402" s="4990"/>
      <c r="N402" s="4990"/>
      <c r="O402" s="4990"/>
      <c r="P402" s="4990"/>
      <c r="Q402" s="4990"/>
      <c r="R402" s="4990"/>
      <c r="S402" s="4990"/>
      <c r="T402" s="4991">
        <f>SUM(T395:T401)</f>
        <v>1</v>
      </c>
      <c r="U402" s="4991">
        <f t="shared" ref="U402:AB402" si="299">SUM(U395:U401)</f>
        <v>0.99999999999999978</v>
      </c>
      <c r="V402" s="4991">
        <f t="shared" si="299"/>
        <v>1.0000000000000002</v>
      </c>
      <c r="W402" s="4991">
        <f t="shared" si="299"/>
        <v>0.98437380897934279</v>
      </c>
      <c r="X402" s="4991">
        <f t="shared" si="299"/>
        <v>1.0000000000000002</v>
      </c>
      <c r="Y402" s="4991">
        <f t="shared" si="299"/>
        <v>1</v>
      </c>
      <c r="Z402" s="4991">
        <f t="shared" si="299"/>
        <v>1.0000000000000004</v>
      </c>
      <c r="AA402" s="4991">
        <f t="shared" si="299"/>
        <v>1</v>
      </c>
      <c r="AB402" s="4991">
        <f t="shared" si="299"/>
        <v>0.99999999999999989</v>
      </c>
      <c r="AC402" s="4991">
        <f>SUM(AC395:AC401)</f>
        <v>0.99999999999999978</v>
      </c>
      <c r="AD402" s="4991">
        <f>SUM(AD395:AD401)</f>
        <v>1</v>
      </c>
      <c r="AE402" s="4991">
        <f>SUM(AE395:AE401)</f>
        <v>1.0000000000000002</v>
      </c>
      <c r="AF402" s="4991">
        <f>SUM(AF395:AF401)</f>
        <v>0.99999999999999967</v>
      </c>
      <c r="AH402" s="4798"/>
    </row>
    <row r="403" spans="1:34" s="766" customFormat="1" hidden="1" outlineLevel="1">
      <c r="A403" s="4593" t="s">
        <v>479</v>
      </c>
      <c r="B403" s="4962"/>
      <c r="C403" s="4962"/>
      <c r="D403" s="4962"/>
      <c r="E403" s="4962"/>
      <c r="F403" s="4962"/>
      <c r="G403" s="4962"/>
      <c r="H403" s="4962"/>
      <c r="I403" s="4962"/>
      <c r="J403" s="4962"/>
      <c r="K403" s="4962"/>
      <c r="L403" s="4962"/>
      <c r="M403" s="4962"/>
      <c r="N403" s="4962"/>
      <c r="O403" s="4962"/>
      <c r="P403" s="4962"/>
      <c r="Q403" s="4962"/>
      <c r="R403" s="4962"/>
      <c r="S403" s="4962"/>
      <c r="T403" s="4963"/>
      <c r="U403" s="4963"/>
      <c r="V403" s="4963"/>
      <c r="W403" s="4963"/>
      <c r="X403" s="4963"/>
      <c r="Y403" s="4963"/>
      <c r="Z403" s="4963"/>
      <c r="AA403" s="4963"/>
      <c r="AB403" s="4963"/>
      <c r="AC403" s="4963"/>
      <c r="AD403" s="4963"/>
      <c r="AE403" s="4963"/>
      <c r="AF403" s="4963"/>
      <c r="AH403" s="4807"/>
    </row>
    <row r="404" spans="1:34" s="766" customFormat="1" hidden="1" outlineLevel="1">
      <c r="A404" s="4581" t="s">
        <v>895</v>
      </c>
      <c r="B404" s="4597"/>
      <c r="C404" s="4597"/>
      <c r="D404" s="4597"/>
      <c r="E404" s="4597"/>
      <c r="F404" s="4597"/>
      <c r="G404" s="4597"/>
      <c r="H404" s="4597"/>
      <c r="I404" s="4597"/>
      <c r="J404" s="4597"/>
      <c r="K404" s="4597"/>
      <c r="L404" s="4597"/>
      <c r="M404" s="4597"/>
      <c r="N404" s="4597"/>
      <c r="O404" s="4597"/>
      <c r="P404" s="4597"/>
      <c r="Q404" s="4597"/>
      <c r="R404" s="4597"/>
      <c r="S404" s="4597"/>
      <c r="T404" s="4594">
        <f>T54/T15</f>
        <v>0.42387332521315468</v>
      </c>
      <c r="U404" s="4594">
        <f t="shared" ref="U404:AB404" si="300">U54/U15</f>
        <v>0.56933629959213938</v>
      </c>
      <c r="V404" s="4594">
        <f t="shared" si="300"/>
        <v>0.27340332458442695</v>
      </c>
      <c r="W404" s="4594">
        <f t="shared" si="300"/>
        <v>0.12878535773710484</v>
      </c>
      <c r="X404" s="4594">
        <f t="shared" si="300"/>
        <v>0.24388161639157654</v>
      </c>
      <c r="Y404" s="4594">
        <f t="shared" si="300"/>
        <v>0.5442415730337079</v>
      </c>
      <c r="Z404" s="4594">
        <f t="shared" si="300"/>
        <v>0.47043771043771043</v>
      </c>
      <c r="AA404" s="4594">
        <f t="shared" ca="1" si="300"/>
        <v>0.22042574591422362</v>
      </c>
      <c r="AB404" s="4594">
        <f t="shared" ca="1" si="300"/>
        <v>1</v>
      </c>
      <c r="AC404" s="4594">
        <f ca="1">AC54/AC15</f>
        <v>1</v>
      </c>
      <c r="AD404" s="4594">
        <f ca="1">AD54/AD15</f>
        <v>1</v>
      </c>
      <c r="AE404" s="4594">
        <f ca="1">AE54/AE15</f>
        <v>1</v>
      </c>
      <c r="AF404" s="4594">
        <f ca="1">AF54/AF15</f>
        <v>1</v>
      </c>
      <c r="AH404" s="4803"/>
    </row>
    <row r="405" spans="1:34" s="766" customFormat="1" hidden="1" outlineLevel="1">
      <c r="A405" s="4581" t="s">
        <v>634</v>
      </c>
      <c r="B405" s="4597"/>
      <c r="C405" s="4597"/>
      <c r="D405" s="4597"/>
      <c r="E405" s="4597"/>
      <c r="F405" s="4597"/>
      <c r="G405" s="4597"/>
      <c r="H405" s="4597"/>
      <c r="I405" s="4597"/>
      <c r="J405" s="4597"/>
      <c r="K405" s="4597"/>
      <c r="L405" s="4597"/>
      <c r="M405" s="4597"/>
      <c r="N405" s="4597"/>
      <c r="O405" s="4597"/>
      <c r="P405" s="4597"/>
      <c r="Q405" s="4597"/>
      <c r="R405" s="4597"/>
      <c r="S405" s="4597"/>
      <c r="T405" s="4594">
        <f>T91/T15</f>
        <v>0</v>
      </c>
      <c r="U405" s="4594">
        <f t="shared" ref="U405:AB405" si="301">U91/U15</f>
        <v>0</v>
      </c>
      <c r="V405" s="4594">
        <f t="shared" si="301"/>
        <v>0</v>
      </c>
      <c r="W405" s="4594">
        <f t="shared" si="301"/>
        <v>0</v>
      </c>
      <c r="X405" s="4594">
        <f t="shared" si="301"/>
        <v>0</v>
      </c>
      <c r="Y405" s="4594">
        <f t="shared" si="301"/>
        <v>0</v>
      </c>
      <c r="Z405" s="4594">
        <f t="shared" si="301"/>
        <v>0</v>
      </c>
      <c r="AA405" s="4594">
        <f t="shared" ca="1" si="301"/>
        <v>0</v>
      </c>
      <c r="AB405" s="4594">
        <f t="shared" ca="1" si="301"/>
        <v>0</v>
      </c>
      <c r="AC405" s="4594">
        <f ca="1">AC91/AC15</f>
        <v>0</v>
      </c>
      <c r="AD405" s="4594">
        <f ca="1">AD91/AD15</f>
        <v>0</v>
      </c>
      <c r="AE405" s="4594">
        <f ca="1">AE91/AE15</f>
        <v>0</v>
      </c>
      <c r="AF405" s="4594">
        <f ca="1">AF91/AF15</f>
        <v>0</v>
      </c>
      <c r="AH405" s="4798"/>
    </row>
    <row r="406" spans="1:34" s="766" customFormat="1" hidden="1" outlineLevel="1">
      <c r="A406" s="4581" t="s">
        <v>354</v>
      </c>
      <c r="B406" s="4597"/>
      <c r="C406" s="4597"/>
      <c r="D406" s="4597"/>
      <c r="E406" s="4597"/>
      <c r="F406" s="4597"/>
      <c r="G406" s="4597"/>
      <c r="H406" s="4597"/>
      <c r="I406" s="4597"/>
      <c r="J406" s="4597"/>
      <c r="K406" s="4597"/>
      <c r="L406" s="4597"/>
      <c r="M406" s="4597"/>
      <c r="N406" s="4597"/>
      <c r="O406" s="4597"/>
      <c r="P406" s="4597"/>
      <c r="Q406" s="4597"/>
      <c r="R406" s="4597"/>
      <c r="S406" s="4597"/>
      <c r="T406" s="4594">
        <f>T133/T15</f>
        <v>0</v>
      </c>
      <c r="U406" s="4594">
        <f t="shared" ref="U406:AB406" si="302">U133/U15</f>
        <v>0</v>
      </c>
      <c r="V406" s="4594">
        <f t="shared" si="302"/>
        <v>0</v>
      </c>
      <c r="W406" s="4594">
        <f t="shared" si="302"/>
        <v>0</v>
      </c>
      <c r="X406" s="4594">
        <f t="shared" si="302"/>
        <v>0</v>
      </c>
      <c r="Y406" s="4594">
        <f t="shared" si="302"/>
        <v>0</v>
      </c>
      <c r="Z406" s="4594">
        <f t="shared" si="302"/>
        <v>0</v>
      </c>
      <c r="AA406" s="4594">
        <f t="shared" ca="1" si="302"/>
        <v>0</v>
      </c>
      <c r="AB406" s="4594">
        <f t="shared" ca="1" si="302"/>
        <v>0</v>
      </c>
      <c r="AC406" s="4594">
        <f ca="1">AC133/AC15</f>
        <v>0</v>
      </c>
      <c r="AD406" s="4594">
        <f ca="1">AD133/AD15</f>
        <v>0</v>
      </c>
      <c r="AE406" s="4594">
        <f ca="1">AE133/AE15</f>
        <v>0</v>
      </c>
      <c r="AF406" s="4594">
        <f ca="1">AF133/AF15</f>
        <v>0</v>
      </c>
      <c r="AH406" s="4803"/>
    </row>
    <row r="407" spans="1:34" s="766" customFormat="1" hidden="1" outlineLevel="1">
      <c r="A407" s="4581" t="s">
        <v>902</v>
      </c>
      <c r="B407" s="4597"/>
      <c r="C407" s="4597"/>
      <c r="D407" s="4597"/>
      <c r="E407" s="4597"/>
      <c r="F407" s="4597"/>
      <c r="G407" s="4597"/>
      <c r="H407" s="4597"/>
      <c r="I407" s="4597"/>
      <c r="J407" s="4597"/>
      <c r="K407" s="4597"/>
      <c r="L407" s="4597"/>
      <c r="M407" s="4597"/>
      <c r="N407" s="4597"/>
      <c r="O407" s="4597"/>
      <c r="P407" s="4597"/>
      <c r="Q407" s="4597"/>
      <c r="R407" s="4597"/>
      <c r="S407" s="4597"/>
      <c r="T407" s="4594">
        <f>T180/T15</f>
        <v>0</v>
      </c>
      <c r="U407" s="4594">
        <f t="shared" ref="U407:AB407" si="303">U180/U15</f>
        <v>0</v>
      </c>
      <c r="V407" s="4594">
        <f t="shared" si="303"/>
        <v>0</v>
      </c>
      <c r="W407" s="4594">
        <f t="shared" si="303"/>
        <v>0</v>
      </c>
      <c r="X407" s="4594">
        <f t="shared" si="303"/>
        <v>0</v>
      </c>
      <c r="Y407" s="4594">
        <f t="shared" si="303"/>
        <v>0</v>
      </c>
      <c r="Z407" s="4594">
        <f t="shared" si="303"/>
        <v>0</v>
      </c>
      <c r="AA407" s="4594">
        <f t="shared" ca="1" si="303"/>
        <v>0</v>
      </c>
      <c r="AB407" s="4594">
        <f t="shared" ca="1" si="303"/>
        <v>0</v>
      </c>
      <c r="AC407" s="4594">
        <f ca="1">AC180/AC15</f>
        <v>0</v>
      </c>
      <c r="AD407" s="4594">
        <f ca="1">AD180/AD15</f>
        <v>0</v>
      </c>
      <c r="AE407" s="4594">
        <f ca="1">AE180/AE15</f>
        <v>0</v>
      </c>
      <c r="AF407" s="4594">
        <f ca="1">AF180/AF15</f>
        <v>0</v>
      </c>
      <c r="AH407" s="4798"/>
    </row>
    <row r="408" spans="1:34" s="766" customFormat="1" hidden="1" outlineLevel="1">
      <c r="A408" s="4581" t="s">
        <v>692</v>
      </c>
      <c r="B408" s="4597"/>
      <c r="C408" s="4597"/>
      <c r="D408" s="4597"/>
      <c r="E408" s="4597"/>
      <c r="F408" s="4597"/>
      <c r="G408" s="4597"/>
      <c r="H408" s="4597"/>
      <c r="I408" s="4597"/>
      <c r="J408" s="4597"/>
      <c r="K408" s="4597"/>
      <c r="L408" s="4597"/>
      <c r="M408" s="4597"/>
      <c r="N408" s="4597"/>
      <c r="O408" s="4597"/>
      <c r="P408" s="4597"/>
      <c r="Q408" s="4597"/>
      <c r="R408" s="4597"/>
      <c r="S408" s="4597"/>
      <c r="T408" s="4594">
        <f>T255/T15</f>
        <v>0</v>
      </c>
      <c r="U408" s="4594">
        <f t="shared" ref="U408:AB408" si="304">U255/U15</f>
        <v>0</v>
      </c>
      <c r="V408" s="4594">
        <f t="shared" si="304"/>
        <v>0</v>
      </c>
      <c r="W408" s="4594">
        <f t="shared" si="304"/>
        <v>0</v>
      </c>
      <c r="X408" s="4594">
        <f t="shared" si="304"/>
        <v>0</v>
      </c>
      <c r="Y408" s="4594">
        <f t="shared" si="304"/>
        <v>0</v>
      </c>
      <c r="Z408" s="4594">
        <f t="shared" si="304"/>
        <v>0</v>
      </c>
      <c r="AA408" s="4594">
        <f t="shared" ca="1" si="304"/>
        <v>0</v>
      </c>
      <c r="AB408" s="4594">
        <f t="shared" ca="1" si="304"/>
        <v>0</v>
      </c>
      <c r="AC408" s="4594">
        <f ca="1">AC255/AC15</f>
        <v>0</v>
      </c>
      <c r="AD408" s="4594">
        <f ca="1">AD255/AD15</f>
        <v>0</v>
      </c>
      <c r="AE408" s="4594">
        <f ca="1">AE255/AE15</f>
        <v>0</v>
      </c>
      <c r="AF408" s="4594">
        <f ca="1">AF255/AF15</f>
        <v>0</v>
      </c>
      <c r="AH408" s="4798"/>
    </row>
    <row r="409" spans="1:34" s="766" customFormat="1" hidden="1" outlineLevel="1">
      <c r="A409" s="4581" t="s">
        <v>434</v>
      </c>
      <c r="B409" s="4597"/>
      <c r="C409" s="4597"/>
      <c r="D409" s="4597"/>
      <c r="E409" s="4597"/>
      <c r="F409" s="4597"/>
      <c r="G409" s="4597"/>
      <c r="H409" s="4597"/>
      <c r="I409" s="4597"/>
      <c r="J409" s="4597"/>
      <c r="K409" s="4597"/>
      <c r="L409" s="4597"/>
      <c r="M409" s="4597"/>
      <c r="N409" s="4597"/>
      <c r="O409" s="4597"/>
      <c r="P409" s="4597"/>
      <c r="Q409" s="4597"/>
      <c r="R409" s="4597"/>
      <c r="S409" s="4597"/>
      <c r="T409" s="4594">
        <f>T296/T15</f>
        <v>0.57612667478684532</v>
      </c>
      <c r="U409" s="4594">
        <f t="shared" ref="U409:AB409" si="305">U296/U15</f>
        <v>0.43066370040786056</v>
      </c>
      <c r="V409" s="4594">
        <f t="shared" si="305"/>
        <v>0.72659667541557305</v>
      </c>
      <c r="W409" s="4594">
        <f t="shared" si="305"/>
        <v>0.87121464226289513</v>
      </c>
      <c r="X409" s="4594">
        <f t="shared" si="305"/>
        <v>0.75611838360842343</v>
      </c>
      <c r="Y409" s="4594">
        <f t="shared" si="305"/>
        <v>0.45575842696629215</v>
      </c>
      <c r="Z409" s="4594">
        <f t="shared" si="305"/>
        <v>0.52956228956228957</v>
      </c>
      <c r="AA409" s="4594">
        <f t="shared" ca="1" si="305"/>
        <v>0.77957425408577641</v>
      </c>
      <c r="AB409" s="4594">
        <f t="shared" ca="1" si="305"/>
        <v>0</v>
      </c>
      <c r="AC409" s="4594">
        <f ca="1">AC296/AC15</f>
        <v>0</v>
      </c>
      <c r="AD409" s="4594">
        <f ca="1">AD296/AD15</f>
        <v>0</v>
      </c>
      <c r="AE409" s="4594">
        <f ca="1">AE296/AE15</f>
        <v>0</v>
      </c>
      <c r="AF409" s="4594">
        <f ca="1">AF296/AF15</f>
        <v>0</v>
      </c>
      <c r="AH409" s="4807"/>
    </row>
    <row r="410" spans="1:34" s="766" customFormat="1" hidden="1" outlineLevel="1">
      <c r="A410" s="4581" t="s">
        <v>452</v>
      </c>
      <c r="B410" s="4597"/>
      <c r="C410" s="4597"/>
      <c r="D410" s="4597"/>
      <c r="E410" s="4597"/>
      <c r="F410" s="4597"/>
      <c r="G410" s="4597"/>
      <c r="H410" s="4597"/>
      <c r="I410" s="4597"/>
      <c r="J410" s="4597"/>
      <c r="K410" s="4597"/>
      <c r="L410" s="4597"/>
      <c r="M410" s="4597"/>
      <c r="N410" s="4597"/>
      <c r="O410" s="4597"/>
      <c r="P410" s="4597"/>
      <c r="Q410" s="4597"/>
      <c r="R410" s="4597"/>
      <c r="S410" s="4597"/>
      <c r="T410" s="4594">
        <f>T328/T15</f>
        <v>0</v>
      </c>
      <c r="U410" s="4594">
        <f t="shared" ref="U410:AB410" si="306">U328/U15</f>
        <v>0</v>
      </c>
      <c r="V410" s="4594">
        <f t="shared" si="306"/>
        <v>0</v>
      </c>
      <c r="W410" s="4594">
        <f t="shared" si="306"/>
        <v>0</v>
      </c>
      <c r="X410" s="4594">
        <f t="shared" si="306"/>
        <v>0</v>
      </c>
      <c r="Y410" s="4594">
        <f t="shared" si="306"/>
        <v>0</v>
      </c>
      <c r="Z410" s="4594">
        <f t="shared" si="306"/>
        <v>0</v>
      </c>
      <c r="AA410" s="4594">
        <f t="shared" ca="1" si="306"/>
        <v>0</v>
      </c>
      <c r="AB410" s="4594">
        <f t="shared" ca="1" si="306"/>
        <v>0</v>
      </c>
      <c r="AC410" s="4594">
        <f ca="1">AC328/AC15</f>
        <v>0</v>
      </c>
      <c r="AD410" s="4594">
        <f ca="1">AD328/AD15</f>
        <v>0</v>
      </c>
      <c r="AE410" s="4594">
        <f ca="1">AE328/AE15</f>
        <v>0</v>
      </c>
      <c r="AF410" s="4594">
        <f ca="1">AF328/AF15</f>
        <v>0</v>
      </c>
      <c r="AH410" s="4803"/>
    </row>
    <row r="411" spans="1:34" s="766" customFormat="1" hidden="1" outlineLevel="1">
      <c r="A411" s="4989" t="s">
        <v>903</v>
      </c>
      <c r="B411" s="4990"/>
      <c r="C411" s="4990"/>
      <c r="D411" s="4990"/>
      <c r="E411" s="4990"/>
      <c r="F411" s="4990"/>
      <c r="G411" s="4990"/>
      <c r="H411" s="4990"/>
      <c r="I411" s="4990"/>
      <c r="J411" s="4990"/>
      <c r="K411" s="4990"/>
      <c r="L411" s="4990"/>
      <c r="M411" s="4990"/>
      <c r="N411" s="4990"/>
      <c r="O411" s="4990"/>
      <c r="P411" s="4990"/>
      <c r="Q411" s="4990"/>
      <c r="R411" s="4990"/>
      <c r="S411" s="4990"/>
      <c r="T411" s="4991">
        <f>SUM(T404:T410)</f>
        <v>1</v>
      </c>
      <c r="U411" s="4991">
        <f t="shared" ref="U411:AB411" si="307">SUM(U404:U410)</f>
        <v>1</v>
      </c>
      <c r="V411" s="4991">
        <f t="shared" si="307"/>
        <v>1</v>
      </c>
      <c r="W411" s="4991">
        <f t="shared" si="307"/>
        <v>1</v>
      </c>
      <c r="X411" s="4991">
        <f t="shared" si="307"/>
        <v>1</v>
      </c>
      <c r="Y411" s="4991">
        <f t="shared" si="307"/>
        <v>1</v>
      </c>
      <c r="Z411" s="4991">
        <f t="shared" si="307"/>
        <v>1</v>
      </c>
      <c r="AA411" s="4991">
        <f t="shared" ca="1" si="307"/>
        <v>1</v>
      </c>
      <c r="AB411" s="4991">
        <f t="shared" ca="1" si="307"/>
        <v>1</v>
      </c>
      <c r="AC411" s="4991">
        <f ca="1">SUM(AC404:AC410)</f>
        <v>1</v>
      </c>
      <c r="AD411" s="4991">
        <f ca="1">SUM(AD404:AD410)</f>
        <v>1</v>
      </c>
      <c r="AE411" s="4991">
        <f ca="1">SUM(AE404:AE410)</f>
        <v>1</v>
      </c>
      <c r="AF411" s="4991">
        <f ca="1">SUM(AF404:AF410)</f>
        <v>1</v>
      </c>
      <c r="AH411" s="4798"/>
    </row>
    <row r="412" spans="1:34" s="766" customFormat="1" hidden="1" outlineLevel="1">
      <c r="A412" s="4593" t="s">
        <v>949</v>
      </c>
      <c r="B412" s="4962"/>
      <c r="C412" s="4962"/>
      <c r="D412" s="4962"/>
      <c r="E412" s="4962"/>
      <c r="F412" s="4962"/>
      <c r="G412" s="4962"/>
      <c r="H412" s="4962"/>
      <c r="I412" s="4962"/>
      <c r="J412" s="4962"/>
      <c r="K412" s="4962"/>
      <c r="L412" s="4962"/>
      <c r="M412" s="4962"/>
      <c r="N412" s="4962"/>
      <c r="O412" s="4962"/>
      <c r="P412" s="4962"/>
      <c r="Q412" s="4962"/>
      <c r="R412" s="4962"/>
      <c r="S412" s="4962"/>
      <c r="T412" s="4963"/>
      <c r="U412" s="4963"/>
      <c r="V412" s="4963"/>
      <c r="W412" s="4963"/>
      <c r="X412" s="4963"/>
      <c r="Y412" s="4963"/>
      <c r="Z412" s="4963"/>
      <c r="AA412" s="4963"/>
      <c r="AB412" s="4963"/>
      <c r="AC412" s="4963"/>
      <c r="AD412" s="4963"/>
      <c r="AE412" s="4963"/>
      <c r="AF412" s="4963"/>
      <c r="AH412" s="4807"/>
    </row>
    <row r="413" spans="1:34" s="766" customFormat="1" hidden="1" outlineLevel="1">
      <c r="A413" s="4581" t="s">
        <v>895</v>
      </c>
      <c r="B413" s="4597"/>
      <c r="C413" s="4597"/>
      <c r="D413" s="4597"/>
      <c r="E413" s="4597"/>
      <c r="F413" s="4597"/>
      <c r="G413" s="4597"/>
      <c r="H413" s="4597"/>
      <c r="I413" s="4597"/>
      <c r="J413" s="4597"/>
      <c r="K413" s="4597"/>
      <c r="L413" s="4597"/>
      <c r="M413" s="4597"/>
      <c r="N413" s="4597"/>
      <c r="O413" s="4597"/>
      <c r="P413" s="4597"/>
      <c r="Q413" s="4597"/>
      <c r="R413" s="4597"/>
      <c r="S413" s="4597"/>
      <c r="T413" s="4594">
        <f>T55/T16</f>
        <v>1.2010015165950709</v>
      </c>
      <c r="U413" s="4594">
        <f t="shared" ref="U413:AB413" si="308">U55/U16</f>
        <v>1.1749020073746674</v>
      </c>
      <c r="V413" s="4594">
        <f t="shared" si="308"/>
        <v>0.97049873239612472</v>
      </c>
      <c r="W413" s="4594">
        <f t="shared" si="308"/>
        <v>0.8029901271573936</v>
      </c>
      <c r="X413" s="4594">
        <f t="shared" si="308"/>
        <v>0.98137979960018396</v>
      </c>
      <c r="Y413" s="4594">
        <f t="shared" si="308"/>
        <v>0.96964175522082352</v>
      </c>
      <c r="Z413" s="4594">
        <f t="shared" si="308"/>
        <v>0.90909159453531152</v>
      </c>
      <c r="AA413" s="4594">
        <f t="shared" ca="1" si="308"/>
        <v>0.80551846120499715</v>
      </c>
      <c r="AB413" s="4594">
        <f t="shared" ca="1" si="308"/>
        <v>0.85431056306988606</v>
      </c>
      <c r="AC413" s="4594">
        <f ca="1">AC55/AC16</f>
        <v>0.82190866031919219</v>
      </c>
      <c r="AD413" s="4594">
        <f ca="1">AD55/AD16</f>
        <v>0.78448251283295911</v>
      </c>
      <c r="AE413" s="4594">
        <f ca="1">AE55/AE16</f>
        <v>0.74883322838203303</v>
      </c>
      <c r="AF413" s="4594">
        <f ca="1">AF55/AF16</f>
        <v>0.71234969160281836</v>
      </c>
      <c r="AH413" s="4803"/>
    </row>
    <row r="414" spans="1:34" s="766" customFormat="1" hidden="1" outlineLevel="1">
      <c r="A414" s="4581" t="s">
        <v>634</v>
      </c>
      <c r="B414" s="4597"/>
      <c r="C414" s="4597"/>
      <c r="D414" s="4597"/>
      <c r="E414" s="4597"/>
      <c r="F414" s="4597"/>
      <c r="G414" s="4597"/>
      <c r="H414" s="4597"/>
      <c r="I414" s="4597"/>
      <c r="J414" s="4597"/>
      <c r="K414" s="4597"/>
      <c r="L414" s="4597"/>
      <c r="M414" s="4597"/>
      <c r="N414" s="4597"/>
      <c r="O414" s="4597"/>
      <c r="P414" s="4597"/>
      <c r="Q414" s="4597"/>
      <c r="R414" s="4597"/>
      <c r="S414" s="4597"/>
      <c r="T414" s="4594">
        <f>T92/T16</f>
        <v>8.9485324069959127E-2</v>
      </c>
      <c r="U414" s="4594">
        <f t="shared" ref="U414:AB414" si="309">U92/U16</f>
        <v>8.7431601381339638E-2</v>
      </c>
      <c r="V414" s="4594">
        <f t="shared" si="309"/>
        <v>7.4339998583357284E-2</v>
      </c>
      <c r="W414" s="4594">
        <f t="shared" si="309"/>
        <v>6.3094541461653414E-2</v>
      </c>
      <c r="X414" s="4594">
        <f t="shared" si="309"/>
        <v>7.4891854450284151E-2</v>
      </c>
      <c r="Y414" s="4594">
        <f t="shared" si="309"/>
        <v>6.4343650865276075E-2</v>
      </c>
      <c r="Z414" s="4594">
        <f t="shared" si="309"/>
        <v>4.3578430565069055E-2</v>
      </c>
      <c r="AA414" s="4594">
        <f t="shared" ca="1" si="309"/>
        <v>3.0095028355238498E-2</v>
      </c>
      <c r="AB414" s="4594">
        <f t="shared" ca="1" si="309"/>
        <v>2.427312504982607E-2</v>
      </c>
      <c r="AC414" s="4594">
        <f ca="1">AC92/AC16</f>
        <v>1.9423389493440631E-2</v>
      </c>
      <c r="AD414" s="4594">
        <f ca="1">AD92/AD16</f>
        <v>1.5521843803193684E-2</v>
      </c>
      <c r="AE414" s="4594">
        <f ca="1">AE92/AE16</f>
        <v>1.24630144290064E-2</v>
      </c>
      <c r="AF414" s="4594">
        <f ca="1">AF92/AF16</f>
        <v>1.1044103842301997E-2</v>
      </c>
      <c r="AH414" s="4798"/>
    </row>
    <row r="415" spans="1:34" s="766" customFormat="1" hidden="1" outlineLevel="1">
      <c r="A415" s="4581" t="s">
        <v>354</v>
      </c>
      <c r="B415" s="4597"/>
      <c r="C415" s="4597"/>
      <c r="D415" s="4597"/>
      <c r="E415" s="4597"/>
      <c r="F415" s="4597"/>
      <c r="G415" s="4597"/>
      <c r="H415" s="4597"/>
      <c r="I415" s="4597"/>
      <c r="J415" s="4597"/>
      <c r="K415" s="4597"/>
      <c r="L415" s="4597"/>
      <c r="M415" s="4597"/>
      <c r="N415" s="4597"/>
      <c r="O415" s="4597"/>
      <c r="P415" s="4597"/>
      <c r="Q415" s="4597"/>
      <c r="R415" s="4597"/>
      <c r="S415" s="4597"/>
      <c r="T415" s="4594">
        <f>T134/T16</f>
        <v>4.303486182353578E-3</v>
      </c>
      <c r="U415" s="4594">
        <f t="shared" ref="U415:AB415" si="310">U134/U16</f>
        <v>9.088928363167546E-3</v>
      </c>
      <c r="V415" s="4594">
        <f t="shared" si="310"/>
        <v>3.4300898210480567E-2</v>
      </c>
      <c r="W415" s="4594">
        <f t="shared" si="310"/>
        <v>2.6305365861884627E-2</v>
      </c>
      <c r="X415" s="4594">
        <f t="shared" si="310"/>
        <v>1.32305317280029E-2</v>
      </c>
      <c r="Y415" s="4594">
        <f t="shared" si="310"/>
        <v>1.4409234368175639E-2</v>
      </c>
      <c r="Z415" s="4594">
        <f t="shared" si="310"/>
        <v>2.7961258201214347E-2</v>
      </c>
      <c r="AA415" s="4594">
        <f t="shared" ca="1" si="310"/>
        <v>3.6832366387023599E-2</v>
      </c>
      <c r="AB415" s="4594">
        <f t="shared" ca="1" si="310"/>
        <v>4.5506605859147696E-2</v>
      </c>
      <c r="AC415" s="4594">
        <f ca="1">AC134/AC16</f>
        <v>4.4140017921720932E-2</v>
      </c>
      <c r="AD415" s="4594">
        <f ca="1">AD134/AD16</f>
        <v>4.4366147272198675E-2</v>
      </c>
      <c r="AE415" s="4594">
        <f ca="1">AE134/AE16</f>
        <v>4.3640479226395745E-2</v>
      </c>
      <c r="AF415" s="4594">
        <f ca="1">AF134/AF16</f>
        <v>4.2029924500471251E-2</v>
      </c>
      <c r="AH415" s="4803"/>
    </row>
    <row r="416" spans="1:34" s="766" customFormat="1" hidden="1" outlineLevel="1">
      <c r="A416" s="4581" t="s">
        <v>902</v>
      </c>
      <c r="B416" s="4597"/>
      <c r="C416" s="4597"/>
      <c r="D416" s="4597"/>
      <c r="E416" s="4597"/>
      <c r="F416" s="4597"/>
      <c r="G416" s="4597"/>
      <c r="H416" s="4597"/>
      <c r="I416" s="4597"/>
      <c r="J416" s="4597"/>
      <c r="K416" s="4597"/>
      <c r="L416" s="4597"/>
      <c r="M416" s="4597"/>
      <c r="N416" s="4597"/>
      <c r="O416" s="4597"/>
      <c r="P416" s="4597"/>
      <c r="Q416" s="4597"/>
      <c r="R416" s="4597"/>
      <c r="S416" s="4597"/>
      <c r="T416" s="4594">
        <f>T181/T16</f>
        <v>3.04753335083577E-2</v>
      </c>
      <c r="U416" s="4594">
        <f t="shared" ref="U416:AB416" si="311">U181/U16</f>
        <v>4.264686351174013E-2</v>
      </c>
      <c r="V416" s="4594">
        <f t="shared" si="311"/>
        <v>9.554112452244555E-2</v>
      </c>
      <c r="W416" s="4594">
        <f t="shared" si="311"/>
        <v>9.5993592384411019E-2</v>
      </c>
      <c r="X416" s="4594">
        <f t="shared" si="311"/>
        <v>7.7901358411749E-2</v>
      </c>
      <c r="Y416" s="4594">
        <f t="shared" si="311"/>
        <v>7.895466015120553E-2</v>
      </c>
      <c r="Z416" s="4594">
        <f t="shared" si="311"/>
        <v>6.0607292836618275E-2</v>
      </c>
      <c r="AA416" s="4594">
        <f t="shared" ca="1" si="311"/>
        <v>4.0148029521875468E-2</v>
      </c>
      <c r="AB416" s="4594">
        <f t="shared" ca="1" si="311"/>
        <v>0.10174544867892274</v>
      </c>
      <c r="AC416" s="4594">
        <f ca="1">AC181/AC16</f>
        <v>0.12335776824829132</v>
      </c>
      <c r="AD416" s="4594">
        <f ca="1">AD181/AD16</f>
        <v>0.12120432058357233</v>
      </c>
      <c r="AE416" s="4594">
        <f ca="1">AE181/AE16</f>
        <v>0.11612089469971887</v>
      </c>
      <c r="AF416" s="4594">
        <f ca="1">AF181/AF16</f>
        <v>0.11052744752160261</v>
      </c>
      <c r="AH416" s="4798"/>
    </row>
    <row r="417" spans="1:38" s="766" customFormat="1" hidden="1" outlineLevel="1">
      <c r="A417" s="4581" t="s">
        <v>692</v>
      </c>
      <c r="B417" s="4597"/>
      <c r="C417" s="4597"/>
      <c r="D417" s="4597"/>
      <c r="E417" s="4597"/>
      <c r="F417" s="4597"/>
      <c r="G417" s="4597"/>
      <c r="H417" s="4597"/>
      <c r="I417" s="4597"/>
      <c r="J417" s="4597"/>
      <c r="K417" s="4597"/>
      <c r="L417" s="4597"/>
      <c r="M417" s="4597"/>
      <c r="N417" s="4597"/>
      <c r="O417" s="4597"/>
      <c r="P417" s="4597"/>
      <c r="Q417" s="4597"/>
      <c r="R417" s="4597"/>
      <c r="S417" s="4597"/>
      <c r="T417" s="4594">
        <f>T256/T16</f>
        <v>-0.12453813765646034</v>
      </c>
      <c r="U417" s="4594">
        <f t="shared" ref="U417:AB417" si="312">U256/U16</f>
        <v>-0.11722397476340694</v>
      </c>
      <c r="V417" s="4594">
        <f t="shared" si="312"/>
        <v>-0.11661328563703673</v>
      </c>
      <c r="W417" s="4594">
        <f t="shared" si="312"/>
        <v>-2.5150439746952632E-2</v>
      </c>
      <c r="X417" s="4594">
        <f t="shared" si="312"/>
        <v>-2.6945939883355766E-2</v>
      </c>
      <c r="Y417" s="4594">
        <f t="shared" si="312"/>
        <v>2.0019366053408309E-2</v>
      </c>
      <c r="Z417" s="4594">
        <f t="shared" si="312"/>
        <v>5.1011976797562912E-2</v>
      </c>
      <c r="AA417" s="4594">
        <f t="shared" ca="1" si="312"/>
        <v>7.9509289615075196E-2</v>
      </c>
      <c r="AB417" s="4594">
        <f t="shared" ca="1" si="312"/>
        <v>0.12251397232850253</v>
      </c>
      <c r="AC417" s="4594">
        <f ca="1">AC256/AC16</f>
        <v>0.13641081379421444</v>
      </c>
      <c r="AD417" s="4594">
        <f ca="1">AD256/AD16</f>
        <v>0.16728943878525143</v>
      </c>
      <c r="AE417" s="4594">
        <f ca="1">AE256/AE16</f>
        <v>0.19751770561022852</v>
      </c>
      <c r="AF417" s="4594">
        <f ca="1">AF256/AF16</f>
        <v>0.23060232977088352</v>
      </c>
      <c r="AH417" s="4798"/>
    </row>
    <row r="418" spans="1:38" s="766" customFormat="1" hidden="1" outlineLevel="1">
      <c r="A418" s="4581" t="s">
        <v>434</v>
      </c>
      <c r="B418" s="4597"/>
      <c r="C418" s="4597"/>
      <c r="D418" s="4597"/>
      <c r="E418" s="4597"/>
      <c r="F418" s="4597"/>
      <c r="G418" s="4597"/>
      <c r="H418" s="4597"/>
      <c r="I418" s="4597"/>
      <c r="J418" s="4597"/>
      <c r="K418" s="4597"/>
      <c r="L418" s="4597"/>
      <c r="M418" s="4597"/>
      <c r="N418" s="4597"/>
      <c r="O418" s="4597"/>
      <c r="P418" s="4597"/>
      <c r="Q418" s="4597"/>
      <c r="R418" s="4597"/>
      <c r="S418" s="4597"/>
      <c r="T418" s="4594">
        <f>T297/T16</f>
        <v>2.5749720734396929E-2</v>
      </c>
      <c r="U418" s="4594">
        <f t="shared" ref="U418:AB418" si="313">U297/U16</f>
        <v>-6.3116719242902214E-2</v>
      </c>
      <c r="V418" s="4594">
        <f t="shared" si="313"/>
        <v>1.0544486502225364E-2</v>
      </c>
      <c r="W418" s="4594">
        <f t="shared" si="313"/>
        <v>5.72111887495316E-2</v>
      </c>
      <c r="X418" s="4594">
        <f t="shared" si="313"/>
        <v>-0.10224596231493943</v>
      </c>
      <c r="Y418" s="4594">
        <f t="shared" si="313"/>
        <v>-4.0202060268091512E-2</v>
      </c>
      <c r="Z418" s="4594">
        <f t="shared" si="313"/>
        <v>-4.2732546008429663E-3</v>
      </c>
      <c r="AA418" s="4594">
        <f t="shared" ca="1" si="313"/>
        <v>0.10139188681435074</v>
      </c>
      <c r="AB418" s="4594">
        <f t="shared" ca="1" si="313"/>
        <v>-3.4652107030998379E-2</v>
      </c>
      <c r="AC418" s="4594">
        <f ca="1">AC297/AC16</f>
        <v>-3.1733510234850312E-2</v>
      </c>
      <c r="AD418" s="4594">
        <f ca="1">AD297/AD16</f>
        <v>-2.0267950975951937E-2</v>
      </c>
      <c r="AE418" s="4594">
        <f ca="1">AE297/AE16</f>
        <v>-8.5344029051761233E-3</v>
      </c>
      <c r="AF418" s="4594">
        <f ca="1">AF297/AF16</f>
        <v>-5.0520290602686004E-4</v>
      </c>
      <c r="AH418" s="4807"/>
    </row>
    <row r="419" spans="1:38" s="766" customFormat="1" hidden="1" outlineLevel="1">
      <c r="A419" s="4581" t="s">
        <v>452</v>
      </c>
      <c r="B419" s="4597"/>
      <c r="C419" s="4597"/>
      <c r="D419" s="4597"/>
      <c r="E419" s="4597"/>
      <c r="F419" s="4597"/>
      <c r="G419" s="4597"/>
      <c r="H419" s="4597"/>
      <c r="I419" s="4597"/>
      <c r="J419" s="4597"/>
      <c r="K419" s="4597"/>
      <c r="L419" s="4597"/>
      <c r="M419" s="4597"/>
      <c r="N419" s="4597"/>
      <c r="O419" s="4597"/>
      <c r="P419" s="4597"/>
      <c r="Q419" s="4597"/>
      <c r="R419" s="4597"/>
      <c r="S419" s="4597"/>
      <c r="T419" s="4594">
        <f>T329/T16</f>
        <v>-0.226477243433678</v>
      </c>
      <c r="U419" s="4594">
        <f t="shared" ref="U419:AB419" si="314">U329/U16</f>
        <v>-0.13372870662460568</v>
      </c>
      <c r="V419" s="4594">
        <f t="shared" si="314"/>
        <v>-6.8611954577596612E-2</v>
      </c>
      <c r="W419" s="4594">
        <f t="shared" si="314"/>
        <v>-3.4000484933982854E-2</v>
      </c>
      <c r="X419" s="4594">
        <f t="shared" si="314"/>
        <v>-1.821164199192463E-2</v>
      </c>
      <c r="Y419" s="4594">
        <f t="shared" si="314"/>
        <v>-0.10716660639079763</v>
      </c>
      <c r="Z419" s="4594">
        <f t="shared" si="314"/>
        <v>-8.7977298334933021E-2</v>
      </c>
      <c r="AA419" s="4594">
        <f t="shared" ca="1" si="314"/>
        <v>-9.3495061898560772E-2</v>
      </c>
      <c r="AB419" s="4594">
        <f t="shared" ca="1" si="314"/>
        <v>-0.11369760795528673</v>
      </c>
      <c r="AC419" s="4594">
        <f ca="1">AC329/AC16</f>
        <v>-0.11350713954200914</v>
      </c>
      <c r="AD419" s="4594">
        <f ca="1">AD329/AD16</f>
        <v>-0.11259631230122345</v>
      </c>
      <c r="AE419" s="4594">
        <f ca="1">AE329/AE16</f>
        <v>-0.11004091944220648</v>
      </c>
      <c r="AF419" s="4594">
        <f ca="1">AF329/AF16</f>
        <v>-0.10604829433205112</v>
      </c>
      <c r="AH419" s="4803"/>
    </row>
    <row r="420" spans="1:38" s="766" customFormat="1" hidden="1" outlineLevel="1">
      <c r="A420" s="4989" t="s">
        <v>903</v>
      </c>
      <c r="B420" s="4990"/>
      <c r="C420" s="4990"/>
      <c r="D420" s="4990"/>
      <c r="E420" s="4990"/>
      <c r="F420" s="4990"/>
      <c r="G420" s="4990"/>
      <c r="H420" s="4990"/>
      <c r="I420" s="4990"/>
      <c r="J420" s="4990"/>
      <c r="K420" s="4990"/>
      <c r="L420" s="4990"/>
      <c r="M420" s="4990"/>
      <c r="N420" s="4990"/>
      <c r="O420" s="4990"/>
      <c r="P420" s="4990"/>
      <c r="Q420" s="4990"/>
      <c r="R420" s="4990"/>
      <c r="S420" s="4990"/>
      <c r="T420" s="4991">
        <f>SUM(T413:T419)</f>
        <v>0.99999999999999989</v>
      </c>
      <c r="U420" s="4991">
        <f t="shared" ref="U420:AB420" si="315">SUM(U413:U419)</f>
        <v>0.99999999999999967</v>
      </c>
      <c r="V420" s="4991">
        <f t="shared" si="315"/>
        <v>1</v>
      </c>
      <c r="W420" s="4991">
        <f t="shared" si="315"/>
        <v>0.98644389093393869</v>
      </c>
      <c r="X420" s="4991">
        <f t="shared" si="315"/>
        <v>1</v>
      </c>
      <c r="Y420" s="4991">
        <f t="shared" si="315"/>
        <v>0.99999999999999978</v>
      </c>
      <c r="Z420" s="4991">
        <f t="shared" si="315"/>
        <v>1.0000000000000002</v>
      </c>
      <c r="AA420" s="4991">
        <f t="shared" ca="1" si="315"/>
        <v>0.99999999999999978</v>
      </c>
      <c r="AB420" s="4991">
        <f t="shared" ca="1" si="315"/>
        <v>0.99999999999999978</v>
      </c>
      <c r="AC420" s="4991">
        <f ca="1">SUM(AC413:AC419)</f>
        <v>1</v>
      </c>
      <c r="AD420" s="4991">
        <f ca="1">SUM(AD413:AD419)</f>
        <v>0.99999999999999978</v>
      </c>
      <c r="AE420" s="4991">
        <f ca="1">SUM(AE413:AE419)</f>
        <v>1</v>
      </c>
      <c r="AF420" s="4991">
        <f ca="1">SUM(AF413:AF419)</f>
        <v>0.99999999999999978</v>
      </c>
      <c r="AH420" s="4798"/>
    </row>
    <row r="421" spans="1:38" s="766" customFormat="1" hidden="1" outlineLevel="1">
      <c r="A421" s="4593" t="s">
        <v>950</v>
      </c>
      <c r="B421" s="4962"/>
      <c r="C421" s="4962"/>
      <c r="D421" s="4962"/>
      <c r="E421" s="4962"/>
      <c r="F421" s="4962"/>
      <c r="G421" s="4962"/>
      <c r="H421" s="4962"/>
      <c r="I421" s="4962"/>
      <c r="J421" s="4962"/>
      <c r="K421" s="4962"/>
      <c r="L421" s="4962"/>
      <c r="M421" s="4962"/>
      <c r="N421" s="4962"/>
      <c r="O421" s="4962"/>
      <c r="P421" s="4962"/>
      <c r="Q421" s="4962"/>
      <c r="R421" s="4962"/>
      <c r="S421" s="4962"/>
      <c r="T421" s="4963"/>
      <c r="U421" s="4963"/>
      <c r="V421" s="4963"/>
      <c r="W421" s="4963"/>
      <c r="X421" s="4963"/>
      <c r="Y421" s="4963"/>
      <c r="Z421" s="4963"/>
      <c r="AA421" s="4963"/>
      <c r="AB421" s="4963"/>
      <c r="AC421" s="4963"/>
      <c r="AD421" s="4963"/>
      <c r="AE421" s="4963"/>
      <c r="AF421" s="4963"/>
      <c r="AH421" s="4807"/>
    </row>
    <row r="422" spans="1:38" s="766" customFormat="1" hidden="1" outlineLevel="1">
      <c r="A422" s="4581" t="s">
        <v>895</v>
      </c>
      <c r="B422" s="4597"/>
      <c r="C422" s="4597"/>
      <c r="D422" s="4597"/>
      <c r="E422" s="4597"/>
      <c r="F422" s="4597"/>
      <c r="G422" s="4597"/>
      <c r="H422" s="4597"/>
      <c r="I422" s="4597"/>
      <c r="J422" s="4597"/>
      <c r="K422" s="4597"/>
      <c r="L422" s="4597"/>
      <c r="M422" s="4597"/>
      <c r="N422" s="4597"/>
      <c r="O422" s="4597"/>
      <c r="P422" s="4597"/>
      <c r="Q422" s="4597"/>
      <c r="R422" s="4597"/>
      <c r="S422" s="4597"/>
      <c r="T422" s="4594">
        <f>T56/T17</f>
        <v>0.90623454038089668</v>
      </c>
      <c r="U422" s="4594">
        <f t="shared" ref="U422:AB422" si="316">U56/U17</f>
        <v>0.89409433536049931</v>
      </c>
      <c r="V422" s="4594">
        <f t="shared" si="316"/>
        <v>0.8261808404785761</v>
      </c>
      <c r="W422" s="4594">
        <f t="shared" si="316"/>
        <v>0.81242758917817759</v>
      </c>
      <c r="X422" s="4594">
        <f t="shared" si="316"/>
        <v>0.85530483548644831</v>
      </c>
      <c r="Y422" s="4594">
        <f t="shared" si="316"/>
        <v>0.86010764782489768</v>
      </c>
      <c r="Z422" s="4594">
        <f t="shared" si="316"/>
        <v>0.87308674051146506</v>
      </c>
      <c r="AA422" s="4594">
        <f t="shared" ca="1" si="316"/>
        <v>0.88266914125871709</v>
      </c>
      <c r="AB422" s="4594">
        <f t="shared" ca="1" si="316"/>
        <v>0.83279469367727332</v>
      </c>
      <c r="AC422" s="4594">
        <f ca="1">AC56/AC17</f>
        <v>0.81471486171760243</v>
      </c>
      <c r="AD422" s="4594">
        <f ca="1">AD56/AD17</f>
        <v>0.81245129112158287</v>
      </c>
      <c r="AE422" s="4594">
        <f ca="1">AE56/AE17</f>
        <v>0.81301453326532835</v>
      </c>
      <c r="AF422" s="4594">
        <f ca="1">AF56/AF17</f>
        <v>0.81322991287581903</v>
      </c>
      <c r="AH422" s="4803"/>
    </row>
    <row r="423" spans="1:38" s="766" customFormat="1" hidden="1" outlineLevel="1">
      <c r="A423" s="4581" t="s">
        <v>634</v>
      </c>
      <c r="B423" s="4597"/>
      <c r="C423" s="4597"/>
      <c r="D423" s="4597"/>
      <c r="E423" s="4597"/>
      <c r="F423" s="4597"/>
      <c r="G423" s="4597"/>
      <c r="H423" s="4597"/>
      <c r="I423" s="4597"/>
      <c r="J423" s="4597"/>
      <c r="K423" s="4597"/>
      <c r="L423" s="4597"/>
      <c r="M423" s="4597"/>
      <c r="N423" s="4597"/>
      <c r="O423" s="4597"/>
      <c r="P423" s="4597"/>
      <c r="Q423" s="4597"/>
      <c r="R423" s="4597"/>
      <c r="S423" s="4597"/>
      <c r="T423" s="4594">
        <f>T93/T17</f>
        <v>6.7522555474604673E-2</v>
      </c>
      <c r="U423" s="4594">
        <f t="shared" ref="U423:AB423" si="317">U93/U17</f>
        <v>6.6534995289717375E-2</v>
      </c>
      <c r="V423" s="4594">
        <f t="shared" si="317"/>
        <v>6.3285278445583196E-2</v>
      </c>
      <c r="W423" s="4594">
        <f t="shared" si="317"/>
        <v>6.3836085247342342E-2</v>
      </c>
      <c r="X423" s="4594">
        <f t="shared" si="317"/>
        <v>6.5270719120132298E-2</v>
      </c>
      <c r="Y423" s="4594">
        <f t="shared" si="317"/>
        <v>5.7075168122886287E-2</v>
      </c>
      <c r="Z423" s="4594">
        <f t="shared" si="317"/>
        <v>4.1852493332214469E-2</v>
      </c>
      <c r="AA423" s="4594">
        <f t="shared" ca="1" si="317"/>
        <v>3.2977460001025131E-2</v>
      </c>
      <c r="AB423" s="4594">
        <f t="shared" ca="1" si="317"/>
        <v>2.3661804751448943E-2</v>
      </c>
      <c r="AC423" s="4594">
        <f ca="1">AC93/AC17</f>
        <v>1.9253385259488668E-2</v>
      </c>
      <c r="AD423" s="4594">
        <f ca="1">AD93/AD17</f>
        <v>1.6075236646068448E-2</v>
      </c>
      <c r="AE423" s="4594">
        <f ca="1">AE93/AE17</f>
        <v>1.3531199571593161E-2</v>
      </c>
      <c r="AF423" s="4594">
        <f ca="1">AF93/AF17</f>
        <v>1.260812731631597E-2</v>
      </c>
      <c r="AH423" s="4798"/>
    </row>
    <row r="424" spans="1:38" s="766" customFormat="1" hidden="1" outlineLevel="1">
      <c r="A424" s="4581" t="s">
        <v>354</v>
      </c>
      <c r="B424" s="4597"/>
      <c r="C424" s="4597"/>
      <c r="D424" s="4597"/>
      <c r="E424" s="4597"/>
      <c r="F424" s="4597"/>
      <c r="G424" s="4597"/>
      <c r="H424" s="4597"/>
      <c r="I424" s="4597"/>
      <c r="J424" s="4597"/>
      <c r="K424" s="4597"/>
      <c r="L424" s="4597"/>
      <c r="M424" s="4597"/>
      <c r="N424" s="4597"/>
      <c r="O424" s="4597"/>
      <c r="P424" s="4597"/>
      <c r="Q424" s="4597"/>
      <c r="R424" s="4597"/>
      <c r="S424" s="4597"/>
      <c r="T424" s="4594">
        <f>T135/T17</f>
        <v>3.24726302890727E-3</v>
      </c>
      <c r="U424" s="4594">
        <f t="shared" ref="U424:AB424" si="318">U135/U17</f>
        <v>6.9166273553008268E-3</v>
      </c>
      <c r="V424" s="4594">
        <f t="shared" si="318"/>
        <v>2.9200187456955899E-2</v>
      </c>
      <c r="W424" s="4594">
        <f t="shared" si="318"/>
        <v>2.6614530175203391E-2</v>
      </c>
      <c r="X424" s="4594">
        <f t="shared" si="318"/>
        <v>1.1530844396458918E-2</v>
      </c>
      <c r="Y424" s="4594">
        <f t="shared" si="318"/>
        <v>1.2781517104269882E-2</v>
      </c>
      <c r="Z424" s="4594">
        <f t="shared" si="318"/>
        <v>2.6853843914348779E-2</v>
      </c>
      <c r="AA424" s="4594">
        <f t="shared" ca="1" si="318"/>
        <v>4.0360084560603082E-2</v>
      </c>
      <c r="AB424" s="4594">
        <f t="shared" ca="1" si="318"/>
        <v>4.4360518908462952E-2</v>
      </c>
      <c r="AC424" s="4594">
        <f ca="1">AC135/AC17</f>
        <v>4.3753680102776298E-2</v>
      </c>
      <c r="AD424" s="4594">
        <f ca="1">AD135/AD17</f>
        <v>4.59479122144094E-2</v>
      </c>
      <c r="AE424" s="4594">
        <f ca="1">AE135/AE17</f>
        <v>4.7380835284758956E-2</v>
      </c>
      <c r="AF424" s="4594">
        <f ca="1">AF135/AF17</f>
        <v>4.7982040622196374E-2</v>
      </c>
      <c r="AH424" s="4803"/>
    </row>
    <row r="425" spans="1:38" s="766" customFormat="1" hidden="1" outlineLevel="1">
      <c r="A425" s="4581" t="s">
        <v>902</v>
      </c>
      <c r="B425" s="4597"/>
      <c r="C425" s="4597"/>
      <c r="D425" s="4597"/>
      <c r="E425" s="4597"/>
      <c r="F425" s="4597"/>
      <c r="G425" s="4597"/>
      <c r="H425" s="4597"/>
      <c r="I425" s="4597"/>
      <c r="J425" s="4597"/>
      <c r="K425" s="4597"/>
      <c r="L425" s="4597"/>
      <c r="M425" s="4597"/>
      <c r="N425" s="4597"/>
      <c r="O425" s="4597"/>
      <c r="P425" s="4597"/>
      <c r="Q425" s="4597"/>
      <c r="R425" s="4597"/>
      <c r="S425" s="4597"/>
      <c r="T425" s="4594">
        <f>T182/T17</f>
        <v>2.2995641115591343E-2</v>
      </c>
      <c r="U425" s="4594">
        <f t="shared" ref="U425:AB425" si="319">U182/U17</f>
        <v>3.2454041994482451E-2</v>
      </c>
      <c r="V425" s="4594">
        <f t="shared" si="319"/>
        <v>8.1333693618884775E-2</v>
      </c>
      <c r="W425" s="4594">
        <f t="shared" si="319"/>
        <v>9.7121795399276692E-2</v>
      </c>
      <c r="X425" s="4594">
        <f t="shared" si="319"/>
        <v>6.7893600996960457E-2</v>
      </c>
      <c r="Y425" s="4594">
        <f t="shared" si="319"/>
        <v>7.0035666947946107E-2</v>
      </c>
      <c r="Z425" s="4594">
        <f t="shared" si="319"/>
        <v>5.8206922241971708E-2</v>
      </c>
      <c r="AA425" s="4594">
        <f t="shared" ca="1" si="319"/>
        <v>4.399331417965472E-2</v>
      </c>
      <c r="AB425" s="4594">
        <f t="shared" ca="1" si="319"/>
        <v>9.9182982662814834E-2</v>
      </c>
      <c r="AC425" s="4594">
        <f ca="1">AC182/AC17</f>
        <v>0.12227807292013265</v>
      </c>
      <c r="AD425" s="4594">
        <f ca="1">AD182/AD17</f>
        <v>0.12552556001793932</v>
      </c>
      <c r="AE425" s="4594">
        <f ca="1">AE182/AE17</f>
        <v>0.12607343187831954</v>
      </c>
      <c r="AF425" s="4594">
        <f ca="1">AF182/AF17</f>
        <v>0.12617991918566865</v>
      </c>
      <c r="AH425" s="4798"/>
    </row>
    <row r="426" spans="1:38" s="766" customFormat="1" hidden="1" outlineLevel="1">
      <c r="A426" s="4581" t="s">
        <v>692</v>
      </c>
      <c r="B426" s="4597"/>
      <c r="C426" s="4597"/>
      <c r="D426" s="4597"/>
      <c r="E426" s="4597"/>
      <c r="F426" s="4597"/>
      <c r="G426" s="4597"/>
      <c r="H426" s="4597"/>
      <c r="I426" s="4597"/>
      <c r="J426" s="4597"/>
      <c r="K426" s="4597"/>
      <c r="L426" s="4597"/>
      <c r="M426" s="4597"/>
      <c r="N426" s="4597"/>
      <c r="O426" s="4597"/>
      <c r="P426" s="4597"/>
      <c r="Q426" s="4597"/>
      <c r="R426" s="4597"/>
      <c r="S426" s="4597"/>
      <c r="T426" s="4594">
        <f>T257/T17</f>
        <v>0</v>
      </c>
      <c r="U426" s="4594">
        <f t="shared" ref="U426:AB426" si="320">U257/U17</f>
        <v>0</v>
      </c>
      <c r="V426" s="4594">
        <f t="shared" si="320"/>
        <v>0</v>
      </c>
      <c r="W426" s="4594">
        <f t="shared" si="320"/>
        <v>0</v>
      </c>
      <c r="X426" s="4594">
        <f t="shared" si="320"/>
        <v>0</v>
      </c>
      <c r="Y426" s="4594">
        <f t="shared" si="320"/>
        <v>0</v>
      </c>
      <c r="Z426" s="4594">
        <f t="shared" si="320"/>
        <v>0</v>
      </c>
      <c r="AA426" s="4594">
        <f t="shared" ca="1" si="320"/>
        <v>0</v>
      </c>
      <c r="AB426" s="4594">
        <f t="shared" ca="1" si="320"/>
        <v>0</v>
      </c>
      <c r="AC426" s="4594">
        <f ca="1">AC257/AC17</f>
        <v>0</v>
      </c>
      <c r="AD426" s="4594">
        <f ca="1">AD257/AD17</f>
        <v>0</v>
      </c>
      <c r="AE426" s="4594">
        <f ca="1">AE257/AE17</f>
        <v>0</v>
      </c>
      <c r="AF426" s="4594">
        <f ca="1">AF257/AF17</f>
        <v>0</v>
      </c>
      <c r="AH426" s="4798"/>
    </row>
    <row r="427" spans="1:38" s="766" customFormat="1" hidden="1" outlineLevel="1">
      <c r="A427" s="4581" t="s">
        <v>434</v>
      </c>
      <c r="B427" s="4597"/>
      <c r="C427" s="4597"/>
      <c r="D427" s="4597"/>
      <c r="E427" s="4597"/>
      <c r="F427" s="4597"/>
      <c r="G427" s="4597"/>
      <c r="H427" s="4597"/>
      <c r="I427" s="4597"/>
      <c r="J427" s="4597"/>
      <c r="K427" s="4597"/>
      <c r="L427" s="4597"/>
      <c r="M427" s="4597"/>
      <c r="N427" s="4597"/>
      <c r="O427" s="4597"/>
      <c r="P427" s="4597"/>
      <c r="Q427" s="4597"/>
      <c r="R427" s="4597"/>
      <c r="S427" s="4597"/>
      <c r="T427" s="4594">
        <f>T298/T17</f>
        <v>0</v>
      </c>
      <c r="U427" s="4594">
        <f t="shared" ref="U427:AB427" si="321">U298/U17</f>
        <v>0</v>
      </c>
      <c r="V427" s="4594">
        <f t="shared" si="321"/>
        <v>0</v>
      </c>
      <c r="W427" s="4594">
        <f t="shared" si="321"/>
        <v>0</v>
      </c>
      <c r="X427" s="4594">
        <f t="shared" si="321"/>
        <v>0</v>
      </c>
      <c r="Y427" s="4594">
        <f t="shared" si="321"/>
        <v>0</v>
      </c>
      <c r="Z427" s="4594">
        <f t="shared" si="321"/>
        <v>0</v>
      </c>
      <c r="AA427" s="4594">
        <f t="shared" ca="1" si="321"/>
        <v>0</v>
      </c>
      <c r="AB427" s="4594">
        <f t="shared" ca="1" si="321"/>
        <v>0</v>
      </c>
      <c r="AC427" s="4594">
        <f ca="1">AC298/AC17</f>
        <v>0</v>
      </c>
      <c r="AD427" s="4594">
        <f ca="1">AD298/AD17</f>
        <v>0</v>
      </c>
      <c r="AE427" s="4594">
        <f ca="1">AE298/AE17</f>
        <v>0</v>
      </c>
      <c r="AF427" s="4594">
        <f ca="1">AF298/AF17</f>
        <v>0</v>
      </c>
      <c r="AH427" s="4807"/>
    </row>
    <row r="428" spans="1:38" s="766" customFormat="1" hidden="1" outlineLevel="1">
      <c r="A428" s="4581" t="s">
        <v>452</v>
      </c>
      <c r="B428" s="4597"/>
      <c r="C428" s="4597"/>
      <c r="D428" s="4597"/>
      <c r="E428" s="4597"/>
      <c r="F428" s="4597"/>
      <c r="G428" s="4597"/>
      <c r="H428" s="4597"/>
      <c r="I428" s="4597"/>
      <c r="J428" s="4597"/>
      <c r="K428" s="4597"/>
      <c r="L428" s="4597"/>
      <c r="M428" s="4597"/>
      <c r="N428" s="4597"/>
      <c r="O428" s="4597"/>
      <c r="P428" s="4597"/>
      <c r="Q428" s="4597"/>
      <c r="R428" s="4597"/>
      <c r="S428" s="4597"/>
      <c r="T428" s="4594">
        <f>T330/T17</f>
        <v>0</v>
      </c>
      <c r="U428" s="4594">
        <f t="shared" ref="U428:AB428" si="322">U330/U17</f>
        <v>0</v>
      </c>
      <c r="V428" s="4594">
        <f t="shared" si="322"/>
        <v>0</v>
      </c>
      <c r="W428" s="4594">
        <f t="shared" si="322"/>
        <v>0</v>
      </c>
      <c r="X428" s="4594">
        <f t="shared" si="322"/>
        <v>0</v>
      </c>
      <c r="Y428" s="4594">
        <f t="shared" si="322"/>
        <v>0</v>
      </c>
      <c r="Z428" s="4594">
        <f t="shared" si="322"/>
        <v>0</v>
      </c>
      <c r="AA428" s="4594">
        <f t="shared" ca="1" si="322"/>
        <v>0</v>
      </c>
      <c r="AB428" s="4594">
        <f t="shared" ca="1" si="322"/>
        <v>0</v>
      </c>
      <c r="AC428" s="4594">
        <f ca="1">AC330/AC17</f>
        <v>0</v>
      </c>
      <c r="AD428" s="4594">
        <f ca="1">AD330/AD17</f>
        <v>0</v>
      </c>
      <c r="AE428" s="4594">
        <f ca="1">AE330/AE17</f>
        <v>0</v>
      </c>
      <c r="AF428" s="4594">
        <f ca="1">AF330/AF17</f>
        <v>0</v>
      </c>
      <c r="AH428" s="4803"/>
    </row>
    <row r="429" spans="1:38" s="766" customFormat="1" hidden="1" outlineLevel="1">
      <c r="A429" s="4989" t="s">
        <v>903</v>
      </c>
      <c r="B429" s="4990"/>
      <c r="C429" s="4990"/>
      <c r="D429" s="4990"/>
      <c r="E429" s="4990"/>
      <c r="F429" s="4990"/>
      <c r="G429" s="4990"/>
      <c r="H429" s="4990"/>
      <c r="I429" s="4990"/>
      <c r="J429" s="4990"/>
      <c r="K429" s="4990"/>
      <c r="L429" s="4990"/>
      <c r="M429" s="4990"/>
      <c r="N429" s="4990"/>
      <c r="O429" s="4990"/>
      <c r="P429" s="4990"/>
      <c r="Q429" s="4990"/>
      <c r="R429" s="4990"/>
      <c r="S429" s="4990"/>
      <c r="T429" s="4991">
        <f>SUM(T422:T428)</f>
        <v>1</v>
      </c>
      <c r="U429" s="4991">
        <f t="shared" ref="U429:AB429" si="323">SUM(U422:U428)</f>
        <v>1</v>
      </c>
      <c r="V429" s="4991">
        <f t="shared" si="323"/>
        <v>0.99999999999999989</v>
      </c>
      <c r="W429" s="4991">
        <f t="shared" si="323"/>
        <v>1</v>
      </c>
      <c r="X429" s="4991">
        <f t="shared" si="323"/>
        <v>1</v>
      </c>
      <c r="Y429" s="4991">
        <f t="shared" si="323"/>
        <v>1</v>
      </c>
      <c r="Z429" s="4991">
        <f t="shared" si="323"/>
        <v>0.99999999999999989</v>
      </c>
      <c r="AA429" s="4991">
        <f t="shared" ca="1" si="323"/>
        <v>1</v>
      </c>
      <c r="AB429" s="4991">
        <f t="shared" ca="1" si="323"/>
        <v>1</v>
      </c>
      <c r="AC429" s="4991">
        <f ca="1">SUM(AC422:AC428)</f>
        <v>1</v>
      </c>
      <c r="AD429" s="4991">
        <f ca="1">SUM(AD422:AD428)</f>
        <v>1</v>
      </c>
      <c r="AE429" s="4991">
        <f ca="1">SUM(AE422:AE428)</f>
        <v>1</v>
      </c>
      <c r="AF429" s="4991">
        <f ca="1">SUM(AF422:AF428)</f>
        <v>1</v>
      </c>
      <c r="AH429" s="4798"/>
    </row>
    <row r="430" spans="1:38" s="766" customFormat="1" hidden="1" outlineLevel="1">
      <c r="A430" s="4593" t="s">
        <v>121</v>
      </c>
      <c r="B430" s="4962"/>
      <c r="C430" s="4962"/>
      <c r="D430" s="4962"/>
      <c r="E430" s="4962"/>
      <c r="F430" s="4962"/>
      <c r="G430" s="4962"/>
      <c r="H430" s="4962"/>
      <c r="I430" s="4962"/>
      <c r="J430" s="4962"/>
      <c r="K430" s="4962"/>
      <c r="L430" s="4962"/>
      <c r="M430" s="4962"/>
      <c r="N430" s="4962"/>
      <c r="O430" s="4962"/>
      <c r="P430" s="4962"/>
      <c r="Q430" s="4962"/>
      <c r="R430" s="4962"/>
      <c r="S430" s="4962"/>
      <c r="T430" s="4963"/>
      <c r="U430" s="4963"/>
      <c r="V430" s="4963"/>
      <c r="W430" s="4963"/>
      <c r="X430" s="4963"/>
      <c r="Y430" s="4963"/>
      <c r="Z430" s="4963"/>
      <c r="AA430" s="4963"/>
      <c r="AB430" s="4963"/>
      <c r="AC430" s="4963"/>
      <c r="AD430" s="4963"/>
      <c r="AE430" s="4963"/>
      <c r="AF430" s="4963"/>
      <c r="AH430" s="4807"/>
    </row>
    <row r="431" spans="1:38" s="766" customFormat="1" hidden="1" outlineLevel="1">
      <c r="A431" s="4581" t="s">
        <v>895</v>
      </c>
      <c r="B431" s="4597"/>
      <c r="C431" s="4597"/>
      <c r="D431" s="4597"/>
      <c r="E431" s="4597"/>
      <c r="F431" s="4597"/>
      <c r="G431" s="4597"/>
      <c r="H431" s="4597"/>
      <c r="I431" s="4597"/>
      <c r="J431" s="4597"/>
      <c r="K431" s="4597"/>
      <c r="L431" s="4597"/>
      <c r="M431" s="4597"/>
      <c r="N431" s="4597"/>
      <c r="O431" s="4597"/>
      <c r="P431" s="4597"/>
      <c r="Q431" s="4597"/>
      <c r="R431" s="4597"/>
      <c r="S431" s="4597"/>
      <c r="T431" s="4594">
        <f>T58/T19</f>
        <v>1.2410601338402105</v>
      </c>
      <c r="U431" s="4594">
        <f t="shared" ref="U431:AB431" si="324">U58/U19</f>
        <v>1.2180906083582399</v>
      </c>
      <c r="V431" s="4594">
        <f t="shared" si="324"/>
        <v>0.9984993206787196</v>
      </c>
      <c r="W431" s="4594">
        <f t="shared" si="324"/>
        <v>0.80116539146147803</v>
      </c>
      <c r="X431" s="4594">
        <f t="shared" si="324"/>
        <v>1.0052527285082673</v>
      </c>
      <c r="Y431" s="4594">
        <f t="shared" si="324"/>
        <v>0.9873376103380298</v>
      </c>
      <c r="Z431" s="4594">
        <f t="shared" si="324"/>
        <v>0.9161751120816839</v>
      </c>
      <c r="AA431" s="4594">
        <f t="shared" ca="1" si="324"/>
        <v>0.7885368251252276</v>
      </c>
      <c r="AB431" s="4594">
        <f t="shared" ca="1" si="324"/>
        <v>0.85871742788524075</v>
      </c>
      <c r="AC431" s="4594">
        <f ca="1">AC58/AC19</f>
        <v>0.82338208894843345</v>
      </c>
      <c r="AD431" s="4594">
        <f ca="1">AD58/AD19</f>
        <v>0.77875396788227702</v>
      </c>
      <c r="AE431" s="4594">
        <f ca="1">AE58/AE19</f>
        <v>0.73568765991196061</v>
      </c>
      <c r="AF431" s="4594">
        <f ca="1">AF58/AF19</f>
        <v>0.69168747760714355</v>
      </c>
      <c r="AH431" s="4803"/>
      <c r="AI431" s="2649"/>
      <c r="AJ431" s="2649"/>
      <c r="AK431" s="2649"/>
      <c r="AL431" s="2649"/>
    </row>
    <row r="432" spans="1:38" s="766" customFormat="1" hidden="1" outlineLevel="1">
      <c r="A432" s="4581" t="s">
        <v>634</v>
      </c>
      <c r="B432" s="4597"/>
      <c r="C432" s="4597"/>
      <c r="D432" s="4597"/>
      <c r="E432" s="4597"/>
      <c r="F432" s="4597"/>
      <c r="G432" s="4597"/>
      <c r="H432" s="4597"/>
      <c r="I432" s="4597"/>
      <c r="J432" s="4597"/>
      <c r="K432" s="4597"/>
      <c r="L432" s="4597"/>
      <c r="M432" s="4597"/>
      <c r="N432" s="4597"/>
      <c r="O432" s="4597"/>
      <c r="P432" s="4597"/>
      <c r="Q432" s="4597"/>
      <c r="R432" s="4597"/>
      <c r="S432" s="4597"/>
      <c r="T432" s="4594">
        <f>T95/T19</f>
        <v>9.2470048315885581E-2</v>
      </c>
      <c r="U432" s="4594">
        <f t="shared" ref="U432:AB432" si="325">U95/U19</f>
        <v>9.0645527752825791E-2</v>
      </c>
      <c r="V432" s="4594">
        <f t="shared" si="325"/>
        <v>7.6484837750866508E-2</v>
      </c>
      <c r="W432" s="4594">
        <f t="shared" si="325"/>
        <v>6.2951163780996175E-2</v>
      </c>
      <c r="X432" s="4594">
        <f t="shared" si="325"/>
        <v>7.671366484195366E-2</v>
      </c>
      <c r="Y432" s="4594">
        <f t="shared" si="325"/>
        <v>6.5517915398845702E-2</v>
      </c>
      <c r="Z432" s="4594">
        <f t="shared" si="325"/>
        <v>4.391798774435287E-2</v>
      </c>
      <c r="AA432" s="4594">
        <f t="shared" ca="1" si="325"/>
        <v>2.9460576329676604E-2</v>
      </c>
      <c r="AB432" s="4594">
        <f t="shared" ca="1" si="325"/>
        <v>2.4398335231421393E-2</v>
      </c>
      <c r="AC432" s="4594">
        <f ca="1">AC95/AC19</f>
        <v>1.9458209637744046E-2</v>
      </c>
      <c r="AD432" s="4594">
        <f ca="1">AD95/AD19</f>
        <v>1.5408498281159094E-2</v>
      </c>
      <c r="AE432" s="4594">
        <f ca="1">AE95/AE19</f>
        <v>1.224422952028381E-2</v>
      </c>
      <c r="AF432" s="4594">
        <f ca="1">AF95/AF19</f>
        <v>1.0723761684973833E-2</v>
      </c>
      <c r="AH432" s="4798"/>
    </row>
    <row r="433" spans="1:38" s="766" customFormat="1" hidden="1" outlineLevel="1">
      <c r="A433" s="4581" t="s">
        <v>354</v>
      </c>
      <c r="B433" s="4597"/>
      <c r="C433" s="4597"/>
      <c r="D433" s="4597"/>
      <c r="E433" s="4597"/>
      <c r="F433" s="4597"/>
      <c r="G433" s="4597"/>
      <c r="H433" s="4597"/>
      <c r="I433" s="4597"/>
      <c r="J433" s="4597"/>
      <c r="K433" s="4597"/>
      <c r="L433" s="4597"/>
      <c r="M433" s="4597"/>
      <c r="N433" s="4597"/>
      <c r="O433" s="4597"/>
      <c r="P433" s="4597"/>
      <c r="Q433" s="4597"/>
      <c r="R433" s="4597"/>
      <c r="S433" s="4597"/>
      <c r="T433" s="4594">
        <f>T137/T19</f>
        <v>4.4470261391451335E-3</v>
      </c>
      <c r="U433" s="4594">
        <f t="shared" ref="U433:AB433" si="326">U137/U19</f>
        <v>9.423031205771629E-3</v>
      </c>
      <c r="V433" s="4594">
        <f t="shared" si="326"/>
        <v>3.5290539202739835E-2</v>
      </c>
      <c r="W433" s="4594">
        <f t="shared" si="326"/>
        <v>2.6245588862817124E-2</v>
      </c>
      <c r="X433" s="4594">
        <f t="shared" si="326"/>
        <v>1.3552376077649624E-2</v>
      </c>
      <c r="Y433" s="4594">
        <f t="shared" si="326"/>
        <v>1.4672201306589956E-2</v>
      </c>
      <c r="Z433" s="4594">
        <f t="shared" si="326"/>
        <v>2.8179128506338212E-2</v>
      </c>
      <c r="AA433" s="4594">
        <f t="shared" ca="1" si="326"/>
        <v>3.605588034472295E-2</v>
      </c>
      <c r="AB433" s="4594">
        <f t="shared" ca="1" si="326"/>
        <v>4.5741346559890365E-2</v>
      </c>
      <c r="AC433" s="4594">
        <f ca="1">AC137/AC19</f>
        <v>4.4219147354516826E-2</v>
      </c>
      <c r="AD433" s="4594">
        <f ca="1">AD137/AD19</f>
        <v>4.404217132017961E-2</v>
      </c>
      <c r="AE433" s="4594">
        <f ca="1">AE137/AE19</f>
        <v>4.2874382202393646E-2</v>
      </c>
      <c r="AF433" s="4594">
        <f ca="1">AF137/AF19</f>
        <v>4.0810816379154055E-2</v>
      </c>
      <c r="AH433" s="4803"/>
    </row>
    <row r="434" spans="1:38" s="766" customFormat="1" hidden="1" outlineLevel="1">
      <c r="A434" s="4581" t="s">
        <v>902</v>
      </c>
      <c r="B434" s="4597"/>
      <c r="C434" s="4597"/>
      <c r="D434" s="4597"/>
      <c r="E434" s="4597"/>
      <c r="F434" s="4597"/>
      <c r="G434" s="4597"/>
      <c r="H434" s="4597"/>
      <c r="I434" s="4597"/>
      <c r="J434" s="4597"/>
      <c r="K434" s="4597"/>
      <c r="L434" s="4597"/>
      <c r="M434" s="4597"/>
      <c r="N434" s="4597"/>
      <c r="O434" s="4597"/>
      <c r="P434" s="4597"/>
      <c r="Q434" s="4597"/>
      <c r="R434" s="4597"/>
      <c r="S434" s="4597"/>
      <c r="T434" s="4594">
        <f>T184/T19</f>
        <v>3.1491818253431399E-2</v>
      </c>
      <c r="U434" s="4594">
        <f t="shared" ref="U434:AB434" si="327">U184/U19</f>
        <v>4.4214533291728919E-2</v>
      </c>
      <c r="V434" s="4594">
        <f t="shared" si="327"/>
        <v>9.8297653307603386E-2</v>
      </c>
      <c r="W434" s="4594">
        <f t="shared" si="327"/>
        <v>9.5775454042881153E-2</v>
      </c>
      <c r="X434" s="4594">
        <f t="shared" si="327"/>
        <v>7.9796377640761529E-2</v>
      </c>
      <c r="Y434" s="4594">
        <f t="shared" si="327"/>
        <v>8.0395573993190209E-2</v>
      </c>
      <c r="Z434" s="4594">
        <f t="shared" si="327"/>
        <v>6.1079536585022694E-2</v>
      </c>
      <c r="AA434" s="4594">
        <f t="shared" ca="1" si="327"/>
        <v>3.9301643921177451E-2</v>
      </c>
      <c r="AB434" s="4594">
        <f t="shared" ca="1" si="327"/>
        <v>0.10227029111595691</v>
      </c>
      <c r="AC434" s="4594">
        <f ca="1">AC184/AC19</f>
        <v>0.12357891066490215</v>
      </c>
      <c r="AD434" s="4594">
        <f ca="1">AD184/AD19</f>
        <v>0.12031924744641283</v>
      </c>
      <c r="AE434" s="4594">
        <f ca="1">AE184/AE19</f>
        <v>0.11408242322940305</v>
      </c>
      <c r="AF434" s="4594">
        <f ca="1">AF184/AF19</f>
        <v>0.10732151959040834</v>
      </c>
      <c r="AH434" s="4798"/>
    </row>
    <row r="435" spans="1:38" s="766" customFormat="1" hidden="1" outlineLevel="1">
      <c r="A435" s="4581" t="s">
        <v>692</v>
      </c>
      <c r="B435" s="4597"/>
      <c r="C435" s="4597"/>
      <c r="D435" s="4597"/>
      <c r="E435" s="4597"/>
      <c r="F435" s="4597"/>
      <c r="G435" s="4597"/>
      <c r="H435" s="4597"/>
      <c r="I435" s="4597"/>
      <c r="J435" s="4597"/>
      <c r="K435" s="4597"/>
      <c r="L435" s="4597"/>
      <c r="M435" s="4597"/>
      <c r="N435" s="4597"/>
      <c r="O435" s="4597"/>
      <c r="P435" s="4597"/>
      <c r="Q435" s="4597"/>
      <c r="R435" s="4597"/>
      <c r="S435" s="4597"/>
      <c r="T435" s="4594">
        <f>T259/T19</f>
        <v>-0.14146277980218638</v>
      </c>
      <c r="U435" s="4594">
        <f t="shared" ref="U435:AB435" si="328">U259/U19</f>
        <v>-0.13525318114317331</v>
      </c>
      <c r="V435" s="4594">
        <f t="shared" si="328"/>
        <v>-0.13923862027862624</v>
      </c>
      <c r="W435" s="4594">
        <f t="shared" si="328"/>
        <v>-3.0013283705759338E-2</v>
      </c>
      <c r="X435" s="4594">
        <f t="shared" si="328"/>
        <v>-3.2048289201627431E-2</v>
      </c>
      <c r="Y435" s="4594">
        <f t="shared" si="328"/>
        <v>2.3253607968019514E-2</v>
      </c>
      <c r="Z435" s="4594">
        <f t="shared" si="328"/>
        <v>6.104796340318424E-2</v>
      </c>
      <c r="AA435" s="4594">
        <f t="shared" ca="1" si="328"/>
        <v>9.7010079242127983E-2</v>
      </c>
      <c r="AB435" s="4594">
        <f t="shared" ca="1" si="328"/>
        <v>0.14760719557650909</v>
      </c>
      <c r="AC435" s="4594">
        <f ca="1">AC259/AC19</f>
        <v>0.16435037806531863</v>
      </c>
      <c r="AD435" s="4594">
        <f ca="1">AD259/AD19</f>
        <v>0.20155354070512219</v>
      </c>
      <c r="AE435" s="4594">
        <f ca="1">AE259/AE19</f>
        <v>0.23797313928943195</v>
      </c>
      <c r="AF435" s="4594">
        <f ca="1">AF259/AF19</f>
        <v>0.27783413225407649</v>
      </c>
      <c r="AH435" s="4798"/>
    </row>
    <row r="436" spans="1:38" s="766" customFormat="1" hidden="1" outlineLevel="1">
      <c r="A436" s="4581" t="s">
        <v>434</v>
      </c>
      <c r="B436" s="4597"/>
      <c r="C436" s="4597"/>
      <c r="D436" s="4597"/>
      <c r="E436" s="4597"/>
      <c r="F436" s="4597"/>
      <c r="G436" s="4597"/>
      <c r="H436" s="4597"/>
      <c r="I436" s="4597"/>
      <c r="J436" s="4597"/>
      <c r="K436" s="4597"/>
      <c r="L436" s="4597"/>
      <c r="M436" s="4597"/>
      <c r="N436" s="4597"/>
      <c r="O436" s="4597"/>
      <c r="P436" s="4597"/>
      <c r="Q436" s="4597"/>
      <c r="R436" s="4597"/>
      <c r="S436" s="4597"/>
      <c r="T436" s="4594">
        <f>T300/T19</f>
        <v>2.9249089016137434E-2</v>
      </c>
      <c r="U436" s="4594">
        <f t="shared" ref="U436:AB436" si="329">U300/U19</f>
        <v>-7.2824156305506219E-2</v>
      </c>
      <c r="V436" s="4594">
        <f t="shared" si="329"/>
        <v>1.259033003054459E-2</v>
      </c>
      <c r="W436" s="4594">
        <f t="shared" si="329"/>
        <v>6.8272986729446428E-2</v>
      </c>
      <c r="X436" s="4594">
        <f t="shared" si="329"/>
        <v>-0.12160674981658107</v>
      </c>
      <c r="Y436" s="4594">
        <f t="shared" si="329"/>
        <v>-4.6696930686360869E-2</v>
      </c>
      <c r="Z436" s="4594">
        <f t="shared" si="329"/>
        <v>-5.1139655206855908E-3</v>
      </c>
      <c r="AA436" s="4594">
        <f t="shared" ca="1" si="329"/>
        <v>0.12370925488062839</v>
      </c>
      <c r="AB436" s="4594">
        <f t="shared" ca="1" si="329"/>
        <v>-4.1749526543371551E-2</v>
      </c>
      <c r="AC436" s="4594">
        <f ca="1">AC300/AC19</f>
        <v>-3.8233144861265445E-2</v>
      </c>
      <c r="AD436" s="4594">
        <f ca="1">AD300/AD19</f>
        <v>-2.4419218043315587E-2</v>
      </c>
      <c r="AE436" s="4594">
        <f ca="1">AE300/AE19</f>
        <v>-1.0282413138766414E-2</v>
      </c>
      <c r="AF436" s="4594">
        <f ca="1">AF300/AF19</f>
        <v>-6.0867820003236153E-4</v>
      </c>
      <c r="AH436" s="4807"/>
    </row>
    <row r="437" spans="1:38" s="766" customFormat="1" hidden="1" outlineLevel="1">
      <c r="A437" s="4581" t="s">
        <v>452</v>
      </c>
      <c r="B437" s="4597"/>
      <c r="C437" s="4597"/>
      <c r="D437" s="4597"/>
      <c r="E437" s="4597"/>
      <c r="F437" s="4597"/>
      <c r="G437" s="4597"/>
      <c r="H437" s="4597"/>
      <c r="I437" s="4597"/>
      <c r="J437" s="4597"/>
      <c r="K437" s="4597"/>
      <c r="L437" s="4597"/>
      <c r="M437" s="4597"/>
      <c r="N437" s="4597"/>
      <c r="O437" s="4597"/>
      <c r="P437" s="4597"/>
      <c r="Q437" s="4597"/>
      <c r="R437" s="4597"/>
      <c r="S437" s="4597"/>
      <c r="T437" s="4594">
        <f>T332/T19</f>
        <v>-0.2572553357626236</v>
      </c>
      <c r="U437" s="4594">
        <f t="shared" ref="U437:AB437" si="330">U332/U19</f>
        <v>-0.15429636315988701</v>
      </c>
      <c r="V437" s="4594">
        <f t="shared" si="330"/>
        <v>-8.1924060691847336E-2</v>
      </c>
      <c r="W437" s="4594">
        <f t="shared" si="330"/>
        <v>-4.057448739363171E-2</v>
      </c>
      <c r="X437" s="4594">
        <f t="shared" si="330"/>
        <v>-2.1660108050423531E-2</v>
      </c>
      <c r="Y437" s="4594">
        <f t="shared" si="330"/>
        <v>-0.12447997831831425</v>
      </c>
      <c r="Z437" s="4594">
        <f t="shared" si="330"/>
        <v>-0.10528576279989613</v>
      </c>
      <c r="AA437" s="4594">
        <f t="shared" ca="1" si="330"/>
        <v>-0.11407425984356111</v>
      </c>
      <c r="AB437" s="4594">
        <f t="shared" ca="1" si="330"/>
        <v>-0.1369850698256467</v>
      </c>
      <c r="AC437" s="4594">
        <f ca="1">AC332/AC19</f>
        <v>-0.13675558980964955</v>
      </c>
      <c r="AD437" s="4594">
        <f ca="1">AD332/AD19</f>
        <v>-0.13565820759183547</v>
      </c>
      <c r="AE437" s="4594">
        <f ca="1">AE332/AE19</f>
        <v>-0.1325794210147066</v>
      </c>
      <c r="AF437" s="4594">
        <f ca="1">AF332/AF19</f>
        <v>-0.12776902931572423</v>
      </c>
      <c r="AH437" s="4803"/>
    </row>
    <row r="438" spans="1:38" s="766" customFormat="1" hidden="1" outlineLevel="1">
      <c r="A438" s="4989" t="s">
        <v>903</v>
      </c>
      <c r="B438" s="4990"/>
      <c r="C438" s="4990"/>
      <c r="D438" s="4990"/>
      <c r="E438" s="4990"/>
      <c r="F438" s="4990"/>
      <c r="G438" s="4990"/>
      <c r="H438" s="4990"/>
      <c r="I438" s="4990"/>
      <c r="J438" s="4990"/>
      <c r="K438" s="4990"/>
      <c r="L438" s="4990"/>
      <c r="M438" s="4990"/>
      <c r="N438" s="4990"/>
      <c r="O438" s="4990"/>
      <c r="P438" s="4990"/>
      <c r="Q438" s="4990"/>
      <c r="R438" s="4990"/>
      <c r="S438" s="4990"/>
      <c r="T438" s="4991">
        <f>SUM(T431:T437)</f>
        <v>1</v>
      </c>
      <c r="U438" s="4991">
        <f t="shared" ref="U438:AB438" si="331">SUM(U431:U437)</f>
        <v>0.99999999999999978</v>
      </c>
      <c r="V438" s="4991">
        <f t="shared" si="331"/>
        <v>1.0000000000000002</v>
      </c>
      <c r="W438" s="4991">
        <f t="shared" si="331"/>
        <v>0.983822813778228</v>
      </c>
      <c r="X438" s="4991">
        <f t="shared" si="331"/>
        <v>1.0000000000000002</v>
      </c>
      <c r="Y438" s="4991">
        <f t="shared" si="331"/>
        <v>0.99999999999999989</v>
      </c>
      <c r="Z438" s="4991">
        <f t="shared" si="331"/>
        <v>1</v>
      </c>
      <c r="AA438" s="4991">
        <f t="shared" ca="1" si="331"/>
        <v>0.99999999999999978</v>
      </c>
      <c r="AB438" s="4991">
        <f t="shared" ca="1" si="331"/>
        <v>1.0000000000000002</v>
      </c>
      <c r="AC438" s="4991">
        <f ca="1">SUM(AC431:AC437)</f>
        <v>1.0000000000000002</v>
      </c>
      <c r="AD438" s="4991">
        <f ca="1">SUM(AD431:AD437)</f>
        <v>0.99999999999999967</v>
      </c>
      <c r="AE438" s="4991">
        <f ca="1">SUM(AE431:AE437)</f>
        <v>1</v>
      </c>
      <c r="AF438" s="4991">
        <f ca="1">SUM(AF431:AF437)</f>
        <v>0.99999999999999967</v>
      </c>
      <c r="AH438" s="4798"/>
    </row>
    <row r="439" spans="1:38" hidden="1" outlineLevel="1">
      <c r="A439" s="4593" t="s">
        <v>728</v>
      </c>
      <c r="B439" s="4962"/>
      <c r="C439" s="4962"/>
      <c r="D439" s="4962"/>
      <c r="E439" s="4962"/>
      <c r="F439" s="4962"/>
      <c r="G439" s="4962"/>
      <c r="H439" s="4962"/>
      <c r="I439" s="4962"/>
      <c r="J439" s="4962"/>
      <c r="K439" s="4962"/>
      <c r="L439" s="4962"/>
      <c r="M439" s="4962"/>
      <c r="N439" s="4962"/>
      <c r="O439" s="4962"/>
      <c r="P439" s="4962"/>
      <c r="Q439" s="4962"/>
      <c r="R439" s="4962"/>
      <c r="S439" s="4962"/>
      <c r="T439" s="4963"/>
      <c r="U439" s="4963"/>
      <c r="V439" s="4963"/>
      <c r="W439" s="4963"/>
      <c r="X439" s="4963"/>
      <c r="Y439" s="4963"/>
      <c r="Z439" s="4963"/>
      <c r="AA439" s="4963"/>
      <c r="AB439" s="4963"/>
      <c r="AC439" s="4963"/>
      <c r="AD439" s="4963"/>
      <c r="AE439" s="4963"/>
      <c r="AF439" s="4963"/>
    </row>
    <row r="440" spans="1:38" hidden="1" outlineLevel="1">
      <c r="A440" s="4581" t="s">
        <v>895</v>
      </c>
      <c r="B440" s="4597"/>
      <c r="C440" s="4597"/>
      <c r="D440" s="4597"/>
      <c r="E440" s="4597"/>
      <c r="F440" s="4597"/>
      <c r="G440" s="4597"/>
      <c r="H440" s="4597"/>
      <c r="I440" s="4597"/>
      <c r="J440" s="4597"/>
      <c r="K440" s="4597"/>
      <c r="L440" s="4597"/>
      <c r="M440" s="4597"/>
      <c r="N440" s="4597"/>
      <c r="O440" s="4597"/>
      <c r="P440" s="4597"/>
      <c r="Q440" s="4597"/>
      <c r="R440" s="4597"/>
      <c r="S440" s="4597"/>
      <c r="T440" s="4594">
        <f>T60/T22</f>
        <v>0.51682227195935126</v>
      </c>
      <c r="U440" s="4594">
        <f t="shared" ref="U440:AB440" si="332">U60/U22</f>
        <v>0.47333107258540624</v>
      </c>
      <c r="V440" s="4594">
        <f t="shared" si="332"/>
        <v>0.42916260845577486</v>
      </c>
      <c r="W440" s="4594">
        <f t="shared" si="332"/>
        <v>0.43528588720841527</v>
      </c>
      <c r="X440" s="4594">
        <f t="shared" si="332"/>
        <v>0.43585133163576917</v>
      </c>
      <c r="Y440" s="4594">
        <f t="shared" si="332"/>
        <v>0.44447521525983957</v>
      </c>
      <c r="Z440" s="4594">
        <f t="shared" si="332"/>
        <v>0.44940685179287665</v>
      </c>
      <c r="AA440" s="4594">
        <f t="shared" si="332"/>
        <v>0.42382775319117355</v>
      </c>
      <c r="AB440" s="4594">
        <f t="shared" si="332"/>
        <v>0.34409461346008546</v>
      </c>
      <c r="AC440" s="4594">
        <f>AC60/AC22</f>
        <v>0.32183555152104742</v>
      </c>
      <c r="AD440" s="4594">
        <f>AD60/AD22</f>
        <v>0.31597591507572159</v>
      </c>
      <c r="AE440" s="4594">
        <f>AE60/AE22</f>
        <v>0.31329442967364518</v>
      </c>
      <c r="AF440" s="4594">
        <f>AF60/AF22</f>
        <v>0.31023165886305121</v>
      </c>
    </row>
    <row r="441" spans="1:38" hidden="1" outlineLevel="1">
      <c r="A441" s="4581" t="s">
        <v>634</v>
      </c>
      <c r="B441" s="4597"/>
      <c r="C441" s="4597"/>
      <c r="D441" s="4597"/>
      <c r="E441" s="4597"/>
      <c r="F441" s="4597"/>
      <c r="G441" s="4597"/>
      <c r="H441" s="4597"/>
      <c r="I441" s="4597"/>
      <c r="J441" s="4597"/>
      <c r="K441" s="4597"/>
      <c r="L441" s="4597"/>
      <c r="M441" s="4597"/>
      <c r="N441" s="4597"/>
      <c r="O441" s="4597"/>
      <c r="P441" s="4597"/>
      <c r="Q441" s="4597"/>
      <c r="R441" s="4597"/>
      <c r="S441" s="4597"/>
      <c r="T441" s="4594">
        <f>T97/T22</f>
        <v>4.1616402076260398E-2</v>
      </c>
      <c r="U441" s="4594">
        <f t="shared" ref="U441:AB441" si="333">U97/U22</f>
        <v>3.774096359801845E-2</v>
      </c>
      <c r="V441" s="4594">
        <f t="shared" si="333"/>
        <v>3.4441160016925307E-2</v>
      </c>
      <c r="W441" s="4594">
        <f t="shared" si="333"/>
        <v>3.4956970777804582E-2</v>
      </c>
      <c r="X441" s="4594">
        <f t="shared" si="333"/>
        <v>3.3052403520652758E-2</v>
      </c>
      <c r="Y441" s="4594">
        <f t="shared" si="333"/>
        <v>2.9940975589781243E-2</v>
      </c>
      <c r="Z441" s="4594">
        <f t="shared" si="333"/>
        <v>2.611449710263947E-2</v>
      </c>
      <c r="AA441" s="4594">
        <f t="shared" si="333"/>
        <v>2.2321180349967461E-2</v>
      </c>
      <c r="AB441" s="4594">
        <f t="shared" si="333"/>
        <v>1.6138363342051324E-2</v>
      </c>
      <c r="AC441" s="4594">
        <f>AC97/AC22</f>
        <v>1.3632097842326581E-2</v>
      </c>
      <c r="AD441" s="4594">
        <f>AD97/AD22</f>
        <v>1.2254912331433467E-2</v>
      </c>
      <c r="AE441" s="4594">
        <f>AE97/AE22</f>
        <v>1.12646752946973E-2</v>
      </c>
      <c r="AF441" s="4594">
        <f>AF97/AF22</f>
        <v>1.0434622181622229E-2</v>
      </c>
      <c r="AI441" s="2649"/>
      <c r="AJ441" s="2649"/>
      <c r="AK441" s="2649"/>
      <c r="AL441" s="2649"/>
    </row>
    <row r="442" spans="1:38" hidden="1" outlineLevel="1">
      <c r="A442" s="4581" t="s">
        <v>354</v>
      </c>
      <c r="B442" s="4597"/>
      <c r="C442" s="4597"/>
      <c r="D442" s="4597"/>
      <c r="E442" s="4597"/>
      <c r="F442" s="4597"/>
      <c r="G442" s="4597"/>
      <c r="H442" s="4597"/>
      <c r="I442" s="4597"/>
      <c r="J442" s="4597"/>
      <c r="K442" s="4597"/>
      <c r="L442" s="4597"/>
      <c r="M442" s="4597"/>
      <c r="N442" s="4597"/>
      <c r="O442" s="4597"/>
      <c r="P442" s="4597"/>
      <c r="Q442" s="4597"/>
      <c r="R442" s="4597"/>
      <c r="S442" s="4597"/>
      <c r="T442" s="4594">
        <f>T139/T22</f>
        <v>9.5619653336079857E-2</v>
      </c>
      <c r="U442" s="4594">
        <f t="shared" ref="U442:AB442" si="334">U139/U22</f>
        <v>0.10241068153859188</v>
      </c>
      <c r="V442" s="4594">
        <f t="shared" si="334"/>
        <v>0.11913576401339272</v>
      </c>
      <c r="W442" s="4594">
        <f t="shared" si="334"/>
        <v>0.1245837588237776</v>
      </c>
      <c r="X442" s="4594">
        <f t="shared" si="334"/>
        <v>0.12601914104065787</v>
      </c>
      <c r="Y442" s="4594">
        <f t="shared" si="334"/>
        <v>0.13764102770471667</v>
      </c>
      <c r="Z442" s="4594">
        <f t="shared" si="334"/>
        <v>0.14820972504827659</v>
      </c>
      <c r="AA442" s="4594">
        <f t="shared" si="334"/>
        <v>0.14318033567946903</v>
      </c>
      <c r="AB442" s="4594">
        <f t="shared" si="334"/>
        <v>0.1178849570714265</v>
      </c>
      <c r="AC442" s="4594">
        <f>AC139/AC22</f>
        <v>0.11198761913458685</v>
      </c>
      <c r="AD442" s="4594">
        <f>AD139/AD22</f>
        <v>0.11164201352298003</v>
      </c>
      <c r="AE442" s="4594">
        <f>AE139/AE22</f>
        <v>0.11185686093477448</v>
      </c>
      <c r="AF442" s="4594">
        <f>AF139/AF22</f>
        <v>0.11203880491480792</v>
      </c>
      <c r="AI442" s="2649"/>
      <c r="AJ442" s="2649"/>
      <c r="AK442" s="2649"/>
      <c r="AL442" s="2649"/>
    </row>
    <row r="443" spans="1:38" hidden="1" outlineLevel="1">
      <c r="A443" s="4581" t="s">
        <v>902</v>
      </c>
      <c r="B443" s="4597"/>
      <c r="C443" s="4597"/>
      <c r="D443" s="4597"/>
      <c r="E443" s="4597"/>
      <c r="F443" s="4597"/>
      <c r="G443" s="4597"/>
      <c r="H443" s="4597"/>
      <c r="I443" s="4597"/>
      <c r="J443" s="4597"/>
      <c r="K443" s="4597"/>
      <c r="L443" s="4597"/>
      <c r="M443" s="4597"/>
      <c r="N443" s="4597"/>
      <c r="O443" s="4597"/>
      <c r="P443" s="4597"/>
      <c r="Q443" s="4597"/>
      <c r="R443" s="4597"/>
      <c r="S443" s="4597"/>
      <c r="T443" s="4594">
        <f>T186/T22</f>
        <v>8.3595242080439044E-2</v>
      </c>
      <c r="U443" s="4594">
        <f t="shared" ref="U443:AB443" si="335">U186/U22</f>
        <v>8.1100085096080285E-2</v>
      </c>
      <c r="V443" s="4594">
        <f t="shared" si="335"/>
        <v>8.4645734360661834E-2</v>
      </c>
      <c r="W443" s="4594">
        <f t="shared" si="335"/>
        <v>7.3408653666652446E-2</v>
      </c>
      <c r="X443" s="4594">
        <f t="shared" si="335"/>
        <v>6.0862759162036248E-2</v>
      </c>
      <c r="Y443" s="4594">
        <f t="shared" si="335"/>
        <v>6.4376243742180622E-2</v>
      </c>
      <c r="Z443" s="4594">
        <f t="shared" si="335"/>
        <v>6.1370617650485938E-2</v>
      </c>
      <c r="AA443" s="4594">
        <f t="shared" si="335"/>
        <v>6.2821962800240716E-2</v>
      </c>
      <c r="AB443" s="4594">
        <f t="shared" si="335"/>
        <v>5.3844648443964062E-2</v>
      </c>
      <c r="AC443" s="4594">
        <f>AC186/AC22</f>
        <v>5.1455118099358432E-2</v>
      </c>
      <c r="AD443" s="4594">
        <f>AD186/AD22</f>
        <v>5.0794158235560834E-2</v>
      </c>
      <c r="AE443" s="4594">
        <f>AE186/AE22</f>
        <v>5.08919081156178E-2</v>
      </c>
      <c r="AF443" s="4594">
        <f>AF186/AF22</f>
        <v>4.9896337798671912E-2</v>
      </c>
      <c r="AI443" s="2649"/>
      <c r="AJ443" s="2649"/>
      <c r="AK443" s="2649"/>
      <c r="AL443" s="2649"/>
    </row>
    <row r="444" spans="1:38" hidden="1" outlineLevel="1">
      <c r="A444" s="4581" t="s">
        <v>692</v>
      </c>
      <c r="B444" s="4597"/>
      <c r="C444" s="4597"/>
      <c r="D444" s="4597"/>
      <c r="E444" s="4597"/>
      <c r="F444" s="4597"/>
      <c r="G444" s="4597"/>
      <c r="H444" s="4597"/>
      <c r="I444" s="4597"/>
      <c r="J444" s="4597"/>
      <c r="K444" s="4597"/>
      <c r="L444" s="4597"/>
      <c r="M444" s="4597"/>
      <c r="N444" s="4597"/>
      <c r="O444" s="4597"/>
      <c r="P444" s="4597"/>
      <c r="Q444" s="4597"/>
      <c r="R444" s="4597"/>
      <c r="S444" s="4597"/>
      <c r="T444" s="4594">
        <f>T261/T22</f>
        <v>0.22615384615384615</v>
      </c>
      <c r="U444" s="4594">
        <f t="shared" ref="U444:AB444" si="336">U261/U22</f>
        <v>0.25737373737373742</v>
      </c>
      <c r="V444" s="4594">
        <f t="shared" si="336"/>
        <v>0.30509454625100385</v>
      </c>
      <c r="W444" s="4594">
        <f t="shared" si="336"/>
        <v>0.30103448275862071</v>
      </c>
      <c r="X444" s="4594">
        <f t="shared" si="336"/>
        <v>0.3200853842290306</v>
      </c>
      <c r="Y444" s="4594">
        <f t="shared" si="336"/>
        <v>0.29708913059347397</v>
      </c>
      <c r="Z444" s="4594">
        <f t="shared" si="336"/>
        <v>0.28798628437071383</v>
      </c>
      <c r="AA444" s="4594">
        <f t="shared" si="336"/>
        <v>0.32622667059542648</v>
      </c>
      <c r="AB444" s="4594">
        <f t="shared" si="336"/>
        <v>0.4547569891245658</v>
      </c>
      <c r="AC444" s="4594">
        <f>AC261/AC22</f>
        <v>0.4906376864115724</v>
      </c>
      <c r="AD444" s="4594">
        <f>AD261/AD22</f>
        <v>0.49964224100544852</v>
      </c>
      <c r="AE444" s="4594">
        <f>AE261/AE22</f>
        <v>0.50335257299127334</v>
      </c>
      <c r="AF444" s="4594">
        <f>AF261/AF22</f>
        <v>0.50862456518139132</v>
      </c>
    </row>
    <row r="445" spans="1:38" hidden="1" outlineLevel="1">
      <c r="A445" s="4581" t="s">
        <v>434</v>
      </c>
      <c r="B445" s="4597"/>
      <c r="C445" s="4597"/>
      <c r="D445" s="4597"/>
      <c r="E445" s="4597"/>
      <c r="F445" s="4597"/>
      <c r="G445" s="4597"/>
      <c r="H445" s="4597"/>
      <c r="I445" s="4597"/>
      <c r="J445" s="4597"/>
      <c r="K445" s="4597"/>
      <c r="L445" s="4597"/>
      <c r="M445" s="4597"/>
      <c r="N445" s="4597"/>
      <c r="O445" s="4597"/>
      <c r="P445" s="4597"/>
      <c r="Q445" s="4597"/>
      <c r="R445" s="4597"/>
      <c r="S445" s="4597"/>
      <c r="T445" s="4594">
        <f>T302/T22</f>
        <v>3.6192584394023244E-2</v>
      </c>
      <c r="U445" s="4594">
        <f t="shared" ref="U445:AB445" si="337">U302/U22</f>
        <v>4.8043459808165691E-2</v>
      </c>
      <c r="V445" s="4594">
        <f t="shared" si="337"/>
        <v>2.7520186902241364E-2</v>
      </c>
      <c r="W445" s="4594">
        <f t="shared" si="337"/>
        <v>3.0730246764729418E-2</v>
      </c>
      <c r="X445" s="4594">
        <f t="shared" si="337"/>
        <v>2.4128980411853334E-2</v>
      </c>
      <c r="Y445" s="4594">
        <f t="shared" si="337"/>
        <v>2.6477407110007924E-2</v>
      </c>
      <c r="Z445" s="4594">
        <f t="shared" si="337"/>
        <v>2.6912024035007524E-2</v>
      </c>
      <c r="AA445" s="4594">
        <f t="shared" si="337"/>
        <v>2.1622097383722793E-2</v>
      </c>
      <c r="AB445" s="4594">
        <f t="shared" si="337"/>
        <v>1.3280428557906825E-2</v>
      </c>
      <c r="AC445" s="4594">
        <f>AC302/AC22</f>
        <v>1.0451926991108255E-2</v>
      </c>
      <c r="AD445" s="4594">
        <f>AD302/AD22</f>
        <v>9.690759828855566E-3</v>
      </c>
      <c r="AE445" s="4594">
        <f>AE302/AE22</f>
        <v>9.3395529899918811E-3</v>
      </c>
      <c r="AF445" s="4594">
        <f>AF302/AF22</f>
        <v>8.7740110604554063E-3</v>
      </c>
    </row>
    <row r="446" spans="1:38" hidden="1" outlineLevel="1">
      <c r="A446" s="4581" t="s">
        <v>452</v>
      </c>
      <c r="B446" s="4597"/>
      <c r="C446" s="4597"/>
      <c r="D446" s="4597"/>
      <c r="E446" s="4597"/>
      <c r="F446" s="4597"/>
      <c r="G446" s="4597"/>
      <c r="H446" s="4597"/>
      <c r="I446" s="4597"/>
      <c r="J446" s="4597"/>
      <c r="K446" s="4597"/>
      <c r="L446" s="4597"/>
      <c r="M446" s="4597"/>
      <c r="N446" s="4597"/>
      <c r="O446" s="4597"/>
      <c r="P446" s="4597"/>
      <c r="Q446" s="4597"/>
      <c r="R446" s="4597"/>
      <c r="S446" s="4597"/>
      <c r="T446" s="4594">
        <f>T334/T22</f>
        <v>0</v>
      </c>
      <c r="U446" s="4594">
        <f t="shared" ref="U446:AB446" si="338">U334/U22</f>
        <v>0</v>
      </c>
      <c r="V446" s="4594">
        <f t="shared" si="338"/>
        <v>0</v>
      </c>
      <c r="W446" s="4594">
        <f>W334/W22</f>
        <v>0</v>
      </c>
      <c r="X446" s="4594">
        <f t="shared" si="338"/>
        <v>0</v>
      </c>
      <c r="Y446" s="4594">
        <f t="shared" si="338"/>
        <v>0</v>
      </c>
      <c r="Z446" s="4594">
        <f t="shared" si="338"/>
        <v>0</v>
      </c>
      <c r="AA446" s="4594">
        <f t="shared" si="338"/>
        <v>0</v>
      </c>
      <c r="AB446" s="4594">
        <f t="shared" si="338"/>
        <v>0</v>
      </c>
      <c r="AC446" s="4594">
        <f>AC334/AC22</f>
        <v>0</v>
      </c>
      <c r="AD446" s="4594">
        <f>AD334/AD22</f>
        <v>0</v>
      </c>
      <c r="AE446" s="4594">
        <f>AE334/AE22</f>
        <v>0</v>
      </c>
      <c r="AF446" s="4594">
        <f>AF334/AF22</f>
        <v>0</v>
      </c>
    </row>
    <row r="447" spans="1:38" hidden="1" outlineLevel="1">
      <c r="A447" s="4989" t="s">
        <v>903</v>
      </c>
      <c r="B447" s="4990"/>
      <c r="C447" s="4990"/>
      <c r="D447" s="4990"/>
      <c r="E447" s="4990"/>
      <c r="F447" s="4990"/>
      <c r="G447" s="4990"/>
      <c r="H447" s="4990"/>
      <c r="I447" s="4990"/>
      <c r="J447" s="4990"/>
      <c r="K447" s="4990"/>
      <c r="L447" s="4990"/>
      <c r="M447" s="4990"/>
      <c r="N447" s="4990"/>
      <c r="O447" s="4990"/>
      <c r="P447" s="4990"/>
      <c r="Q447" s="4990"/>
      <c r="R447" s="4990"/>
      <c r="S447" s="4990"/>
      <c r="T447" s="4991">
        <f>SUM(T440:T446)</f>
        <v>1</v>
      </c>
      <c r="U447" s="4991">
        <f t="shared" ref="U447:AB447" si="339">SUM(U440:U446)</f>
        <v>0.99999999999999989</v>
      </c>
      <c r="V447" s="4991">
        <f t="shared" si="339"/>
        <v>0.99999999999999989</v>
      </c>
      <c r="W447" s="4991">
        <f t="shared" si="339"/>
        <v>1</v>
      </c>
      <c r="X447" s="4991">
        <f t="shared" si="339"/>
        <v>0.99999999999999989</v>
      </c>
      <c r="Y447" s="4991">
        <f t="shared" si="339"/>
        <v>1</v>
      </c>
      <c r="Z447" s="4991">
        <f t="shared" si="339"/>
        <v>0.99999999999999989</v>
      </c>
      <c r="AA447" s="4991">
        <f t="shared" si="339"/>
        <v>0.99999999999999989</v>
      </c>
      <c r="AB447" s="4991">
        <f t="shared" si="339"/>
        <v>0.99999999999999989</v>
      </c>
      <c r="AC447" s="4991">
        <f>SUM(AC440:AC446)</f>
        <v>1</v>
      </c>
      <c r="AD447" s="4991">
        <f>SUM(AD440:AD446)</f>
        <v>1</v>
      </c>
      <c r="AE447" s="4991">
        <f>SUM(AE440:AE446)</f>
        <v>1</v>
      </c>
      <c r="AF447" s="4991">
        <f>SUM(AF440:AF446)</f>
        <v>0.99999999999999989</v>
      </c>
    </row>
    <row r="448" spans="1:38" hidden="1" outlineLevel="1">
      <c r="A448" s="4593" t="s">
        <v>374</v>
      </c>
      <c r="B448" s="4962"/>
      <c r="C448" s="4962"/>
      <c r="D448" s="4962"/>
      <c r="E448" s="4962"/>
      <c r="F448" s="4962"/>
      <c r="G448" s="4962"/>
      <c r="H448" s="4962"/>
      <c r="I448" s="4962"/>
      <c r="J448" s="4962"/>
      <c r="K448" s="4962"/>
      <c r="L448" s="4962"/>
      <c r="M448" s="4962"/>
      <c r="N448" s="4962"/>
      <c r="O448" s="4962"/>
      <c r="P448" s="4962"/>
      <c r="Q448" s="4962"/>
      <c r="R448" s="4962"/>
      <c r="S448" s="4962"/>
      <c r="T448" s="4963"/>
      <c r="U448" s="4963"/>
      <c r="V448" s="4963"/>
      <c r="W448" s="4963"/>
      <c r="X448" s="4963"/>
      <c r="Y448" s="4963"/>
      <c r="Z448" s="4963"/>
      <c r="AA448" s="4963"/>
      <c r="AB448" s="4963"/>
      <c r="AC448" s="4963"/>
      <c r="AD448" s="4963"/>
      <c r="AE448" s="4963"/>
      <c r="AF448" s="4963"/>
    </row>
    <row r="449" spans="1:32" hidden="1" outlineLevel="1">
      <c r="A449" s="4581" t="s">
        <v>895</v>
      </c>
      <c r="B449" s="4597"/>
      <c r="C449" s="4597"/>
      <c r="D449" s="4597"/>
      <c r="E449" s="4597"/>
      <c r="F449" s="4597"/>
      <c r="G449" s="4597"/>
      <c r="H449" s="4597"/>
      <c r="I449" s="4597"/>
      <c r="J449" s="4597"/>
      <c r="K449" s="4597"/>
      <c r="L449" s="4597"/>
      <c r="M449" s="4597"/>
      <c r="N449" s="4597"/>
      <c r="O449" s="4597"/>
      <c r="P449" s="4597"/>
      <c r="Q449" s="4597"/>
      <c r="R449" s="4597"/>
      <c r="S449" s="4597"/>
      <c r="T449" s="4594">
        <f>T61/T23</f>
        <v>0.64189295669448754</v>
      </c>
      <c r="U449" s="4594">
        <f t="shared" ref="U449:AB449" si="340">U61/U23</f>
        <v>0.63597782023810734</v>
      </c>
      <c r="V449" s="4594">
        <f t="shared" si="340"/>
        <v>0.5856331076060961</v>
      </c>
      <c r="W449" s="4594">
        <f t="shared" si="340"/>
        <v>0.56081068416630753</v>
      </c>
      <c r="X449" s="4594">
        <f t="shared" si="340"/>
        <v>0.56288615038857359</v>
      </c>
      <c r="Y449" s="4594">
        <f t="shared" si="340"/>
        <v>0.55945648681621218</v>
      </c>
      <c r="Z449" s="4594">
        <f t="shared" si="340"/>
        <v>0.54782717985301366</v>
      </c>
      <c r="AA449" s="4594">
        <f t="shared" si="340"/>
        <v>0.53483525409956223</v>
      </c>
      <c r="AB449" s="4594">
        <f t="shared" si="340"/>
        <v>0.53007266377794371</v>
      </c>
      <c r="AC449" s="4594">
        <f>AC61/AC23</f>
        <v>0.5395116242045308</v>
      </c>
      <c r="AD449" s="4594">
        <f>AD61/AD23</f>
        <v>0.55321053947506327</v>
      </c>
      <c r="AE449" s="4594">
        <f>AE61/AE23</f>
        <v>0.56182015566864796</v>
      </c>
      <c r="AF449" s="4594">
        <f>AF61/AF23</f>
        <v>0.56808314951284233</v>
      </c>
    </row>
    <row r="450" spans="1:32" hidden="1" outlineLevel="1">
      <c r="A450" s="4581" t="s">
        <v>634</v>
      </c>
      <c r="B450" s="4597"/>
      <c r="C450" s="4597"/>
      <c r="D450" s="4597"/>
      <c r="E450" s="4597"/>
      <c r="F450" s="4597"/>
      <c r="G450" s="4597"/>
      <c r="H450" s="4597"/>
      <c r="I450" s="4597"/>
      <c r="J450" s="4597"/>
      <c r="K450" s="4597"/>
      <c r="L450" s="4597"/>
      <c r="M450" s="4597"/>
      <c r="N450" s="4597"/>
      <c r="O450" s="4597"/>
      <c r="P450" s="4597"/>
      <c r="Q450" s="4597"/>
      <c r="R450" s="4597"/>
      <c r="S450" s="4597"/>
      <c r="T450" s="4594">
        <f>T98/T23</f>
        <v>5.1687546812646708E-2</v>
      </c>
      <c r="U450" s="4594">
        <f t="shared" ref="U450:AB450" si="341">U98/U23</f>
        <v>5.0964393242929444E-2</v>
      </c>
      <c r="V450" s="4594">
        <f t="shared" si="341"/>
        <v>4.8534121290581843E-2</v>
      </c>
      <c r="W450" s="4594">
        <f t="shared" si="341"/>
        <v>4.5166996282336738E-2</v>
      </c>
      <c r="X450" s="4594">
        <f t="shared" si="341"/>
        <v>4.4311921275780417E-2</v>
      </c>
      <c r="Y450" s="4594">
        <f t="shared" si="341"/>
        <v>3.9078722165063882E-2</v>
      </c>
      <c r="Z450" s="4594">
        <f t="shared" si="341"/>
        <v>3.3100780193449066E-2</v>
      </c>
      <c r="AA450" s="4594">
        <f t="shared" si="341"/>
        <v>2.9249465946666497E-2</v>
      </c>
      <c r="AB450" s="4594">
        <f t="shared" si="341"/>
        <v>2.5755537765286107E-2</v>
      </c>
      <c r="AC450" s="4594">
        <f>AC98/AC23</f>
        <v>2.3555999232759493E-2</v>
      </c>
      <c r="AD450" s="4594">
        <f>AD98/AD23</f>
        <v>2.2014651184212631E-2</v>
      </c>
      <c r="AE450" s="4594">
        <f>AE98/AE23</f>
        <v>2.0701171502949207E-2</v>
      </c>
      <c r="AF450" s="4594">
        <f>AF98/AF23</f>
        <v>1.9568931478991611E-2</v>
      </c>
    </row>
    <row r="451" spans="1:32" hidden="1" outlineLevel="1">
      <c r="A451" s="4581" t="s">
        <v>354</v>
      </c>
      <c r="B451" s="4597"/>
      <c r="C451" s="4597"/>
      <c r="D451" s="4597"/>
      <c r="E451" s="4597"/>
      <c r="F451" s="4597"/>
      <c r="G451" s="4597"/>
      <c r="H451" s="4597"/>
      <c r="I451" s="4597"/>
      <c r="J451" s="4597"/>
      <c r="K451" s="4597"/>
      <c r="L451" s="4597"/>
      <c r="M451" s="4597"/>
      <c r="N451" s="4597"/>
      <c r="O451" s="4597"/>
      <c r="P451" s="4597"/>
      <c r="Q451" s="4597"/>
      <c r="R451" s="4597"/>
      <c r="S451" s="4597"/>
      <c r="T451" s="4594">
        <f>T140/T23</f>
        <v>3.4752394836026129E-2</v>
      </c>
      <c r="U451" s="4594">
        <f t="shared" ref="U451:AB451" si="342">U140/U23</f>
        <v>3.777477991507644E-2</v>
      </c>
      <c r="V451" s="4594">
        <f t="shared" si="342"/>
        <v>4.6128985647928049E-2</v>
      </c>
      <c r="W451" s="4594">
        <f t="shared" si="342"/>
        <v>4.6555176272186721E-2</v>
      </c>
      <c r="X451" s="4594">
        <f t="shared" si="342"/>
        <v>4.0475196488452166E-2</v>
      </c>
      <c r="Y451" s="4594">
        <f t="shared" si="342"/>
        <v>4.17897782340238E-2</v>
      </c>
      <c r="Z451" s="4594">
        <f t="shared" si="342"/>
        <v>4.773725463275575E-2</v>
      </c>
      <c r="AA451" s="4594">
        <f t="shared" si="342"/>
        <v>4.9969613942966729E-2</v>
      </c>
      <c r="AB451" s="4594">
        <f t="shared" si="342"/>
        <v>5.1694400572540669E-2</v>
      </c>
      <c r="AC451" s="4594">
        <f>AC140/AC23</f>
        <v>5.4584090735590639E-2</v>
      </c>
      <c r="AD451" s="4594">
        <f>AD140/AD23</f>
        <v>5.6630465336891422E-2</v>
      </c>
      <c r="AE451" s="4594">
        <f>AE140/AE23</f>
        <v>5.8044322043037846E-2</v>
      </c>
      <c r="AF451" s="4594">
        <f>AF140/AF23</f>
        <v>5.9272094171597421E-2</v>
      </c>
    </row>
    <row r="452" spans="1:32" hidden="1" outlineLevel="1">
      <c r="A452" s="4581" t="s">
        <v>902</v>
      </c>
      <c r="B452" s="4597"/>
      <c r="C452" s="4597"/>
      <c r="D452" s="4597"/>
      <c r="E452" s="4597"/>
      <c r="F452" s="4597"/>
      <c r="G452" s="4597"/>
      <c r="H452" s="4597"/>
      <c r="I452" s="4597"/>
      <c r="J452" s="4597"/>
      <c r="K452" s="4597"/>
      <c r="L452" s="4597"/>
      <c r="M452" s="4597"/>
      <c r="N452" s="4597"/>
      <c r="O452" s="4597"/>
      <c r="P452" s="4597"/>
      <c r="Q452" s="4597"/>
      <c r="R452" s="4597"/>
      <c r="S452" s="4597"/>
      <c r="T452" s="4594">
        <f>T187/T23</f>
        <v>8.3126722235285333E-2</v>
      </c>
      <c r="U452" s="4594">
        <f t="shared" ref="U452:AB452" si="343">U187/U23</f>
        <v>8.1110114105994668E-2</v>
      </c>
      <c r="V452" s="4594">
        <f t="shared" si="343"/>
        <v>9.9561451376202106E-2</v>
      </c>
      <c r="W452" s="4594">
        <f t="shared" si="343"/>
        <v>8.897286648416379E-2</v>
      </c>
      <c r="X452" s="4594">
        <f t="shared" si="343"/>
        <v>7.2502333541233727E-2</v>
      </c>
      <c r="Y452" s="4594">
        <f t="shared" si="343"/>
        <v>7.4402648581672545E-2</v>
      </c>
      <c r="Z452" s="4594">
        <f t="shared" si="343"/>
        <v>8.0629935638973305E-2</v>
      </c>
      <c r="AA452" s="4594">
        <f t="shared" si="343"/>
        <v>9.0155991390647602E-2</v>
      </c>
      <c r="AB452" s="4594">
        <f t="shared" si="343"/>
        <v>9.0300840570243207E-2</v>
      </c>
      <c r="AC452" s="4594">
        <f>AC187/AC23</f>
        <v>7.1763011585355127E-2</v>
      </c>
      <c r="AD452" s="4594">
        <f>AD187/AD23</f>
        <v>5.2248812634766113E-2</v>
      </c>
      <c r="AE452" s="4594">
        <f>AE187/AE23</f>
        <v>3.9127044131802811E-2</v>
      </c>
      <c r="AF452" s="4594">
        <f>AF187/AF23</f>
        <v>2.9451797518888333E-2</v>
      </c>
    </row>
    <row r="453" spans="1:32" hidden="1" outlineLevel="1">
      <c r="A453" s="4581" t="s">
        <v>692</v>
      </c>
      <c r="B453" s="4597"/>
      <c r="C453" s="4597"/>
      <c r="D453" s="4597"/>
      <c r="E453" s="4597"/>
      <c r="F453" s="4597"/>
      <c r="G453" s="4597"/>
      <c r="H453" s="4597"/>
      <c r="I453" s="4597"/>
      <c r="J453" s="4597"/>
      <c r="K453" s="4597"/>
      <c r="L453" s="4597"/>
      <c r="M453" s="4597"/>
      <c r="N453" s="4597"/>
      <c r="O453" s="4597"/>
      <c r="P453" s="4597"/>
      <c r="Q453" s="4597"/>
      <c r="R453" s="4597"/>
      <c r="S453" s="4597"/>
      <c r="T453" s="4594">
        <f>T262/T23</f>
        <v>0.1362576893755798</v>
      </c>
      <c r="U453" s="4594">
        <f t="shared" ref="U453:AB453" si="344">U262/U23</f>
        <v>0.1502596073394708</v>
      </c>
      <c r="V453" s="4594">
        <f t="shared" si="344"/>
        <v>0.17915869579547089</v>
      </c>
      <c r="W453" s="4594">
        <f t="shared" si="344"/>
        <v>0.21484339229968782</v>
      </c>
      <c r="X453" s="4594">
        <f t="shared" si="344"/>
        <v>0.23752711496746204</v>
      </c>
      <c r="Y453" s="4594">
        <f t="shared" si="344"/>
        <v>0.2504434550311665</v>
      </c>
      <c r="Z453" s="4594">
        <f t="shared" si="344"/>
        <v>0.25802694755321487</v>
      </c>
      <c r="AA453" s="4594">
        <f t="shared" si="344"/>
        <v>0.26412643213113557</v>
      </c>
      <c r="AB453" s="4594">
        <f t="shared" si="344"/>
        <v>0.27461880050462456</v>
      </c>
      <c r="AC453" s="4594">
        <f>AC262/AC23</f>
        <v>0.28350279961095121</v>
      </c>
      <c r="AD453" s="4594">
        <f>AD262/AD23</f>
        <v>0.28953435276038714</v>
      </c>
      <c r="AE453" s="4594">
        <f>AE262/AE23</f>
        <v>0.29557993362457807</v>
      </c>
      <c r="AF453" s="4594">
        <f>AF262/AF23</f>
        <v>0.30034462982067811</v>
      </c>
    </row>
    <row r="454" spans="1:32" hidden="1" outlineLevel="1">
      <c r="A454" s="4581" t="s">
        <v>434</v>
      </c>
      <c r="B454" s="4597"/>
      <c r="C454" s="4597"/>
      <c r="D454" s="4597"/>
      <c r="E454" s="4597"/>
      <c r="F454" s="4597"/>
      <c r="G454" s="4597"/>
      <c r="H454" s="4597"/>
      <c r="I454" s="4597"/>
      <c r="J454" s="4597"/>
      <c r="K454" s="4597"/>
      <c r="L454" s="4597"/>
      <c r="M454" s="4597"/>
      <c r="N454" s="4597"/>
      <c r="O454" s="4597"/>
      <c r="P454" s="4597"/>
      <c r="Q454" s="4597"/>
      <c r="R454" s="4597"/>
      <c r="S454" s="4597"/>
      <c r="T454" s="4594">
        <f>T303/T23</f>
        <v>5.228269004597455E-2</v>
      </c>
      <c r="U454" s="4594">
        <f t="shared" ref="U454:AB454" si="345">U303/U23</f>
        <v>4.3913285158421342E-2</v>
      </c>
      <c r="V454" s="4594">
        <f t="shared" si="345"/>
        <v>4.0983638283721043E-2</v>
      </c>
      <c r="W454" s="4594">
        <f t="shared" si="345"/>
        <v>4.3650884495317406E-2</v>
      </c>
      <c r="X454" s="4594">
        <f t="shared" si="345"/>
        <v>4.2297283338498047E-2</v>
      </c>
      <c r="Y454" s="4594">
        <f t="shared" si="345"/>
        <v>3.4828909171861093E-2</v>
      </c>
      <c r="Z454" s="4594">
        <f t="shared" si="345"/>
        <v>3.2677902128593402E-2</v>
      </c>
      <c r="AA454" s="4594">
        <f t="shared" si="345"/>
        <v>3.1663242489021436E-2</v>
      </c>
      <c r="AB454" s="4594">
        <f t="shared" si="345"/>
        <v>2.7557756809361733E-2</v>
      </c>
      <c r="AC454" s="4594">
        <f>AC303/AC23</f>
        <v>2.7082474630812724E-2</v>
      </c>
      <c r="AD454" s="4594">
        <f>AD303/AD23</f>
        <v>2.6361178608679387E-2</v>
      </c>
      <c r="AE454" s="4594">
        <f>AE303/AE23</f>
        <v>2.4727373028984062E-2</v>
      </c>
      <c r="AF454" s="4594">
        <f>AF303/AF23</f>
        <v>2.3279397497002165E-2</v>
      </c>
    </row>
    <row r="455" spans="1:32" hidden="1" outlineLevel="1">
      <c r="A455" s="4581" t="s">
        <v>452</v>
      </c>
      <c r="B455" s="4597"/>
      <c r="C455" s="4597"/>
      <c r="D455" s="4597"/>
      <c r="E455" s="4597"/>
      <c r="F455" s="4597"/>
      <c r="G455" s="4597"/>
      <c r="H455" s="4597"/>
      <c r="I455" s="4597"/>
      <c r="J455" s="4597"/>
      <c r="K455" s="4597"/>
      <c r="L455" s="4597"/>
      <c r="M455" s="4597"/>
      <c r="N455" s="4597"/>
      <c r="O455" s="4597"/>
      <c r="P455" s="4597"/>
      <c r="Q455" s="4597"/>
      <c r="R455" s="4597"/>
      <c r="S455" s="4597"/>
      <c r="T455" s="4594">
        <f>T335/T23</f>
        <v>0</v>
      </c>
      <c r="U455" s="4594">
        <f t="shared" ref="U455:AB455" si="346">U335/U23</f>
        <v>0</v>
      </c>
      <c r="V455" s="4594">
        <f t="shared" si="346"/>
        <v>0</v>
      </c>
      <c r="W455" s="4594">
        <f t="shared" si="346"/>
        <v>0</v>
      </c>
      <c r="X455" s="4594">
        <f t="shared" si="346"/>
        <v>0</v>
      </c>
      <c r="Y455" s="4594">
        <f t="shared" si="346"/>
        <v>0</v>
      </c>
      <c r="Z455" s="4594">
        <f t="shared" si="346"/>
        <v>0</v>
      </c>
      <c r="AA455" s="4594">
        <f t="shared" si="346"/>
        <v>0</v>
      </c>
      <c r="AB455" s="4594">
        <f t="shared" si="346"/>
        <v>0</v>
      </c>
      <c r="AC455" s="4594">
        <f>AC335/AC23</f>
        <v>0</v>
      </c>
      <c r="AD455" s="4594">
        <f>AD335/AD23</f>
        <v>0</v>
      </c>
      <c r="AE455" s="4594">
        <f>AE335/AE23</f>
        <v>0</v>
      </c>
      <c r="AF455" s="4594">
        <f>AF335/AF23</f>
        <v>0</v>
      </c>
    </row>
    <row r="456" spans="1:32" hidden="1" outlineLevel="1">
      <c r="A456" s="4989" t="s">
        <v>903</v>
      </c>
      <c r="B456" s="4990"/>
      <c r="C456" s="4990"/>
      <c r="D456" s="4990"/>
      <c r="E456" s="4990"/>
      <c r="F456" s="4990"/>
      <c r="G456" s="4990"/>
      <c r="H456" s="4990"/>
      <c r="I456" s="4990"/>
      <c r="J456" s="4990"/>
      <c r="K456" s="4990"/>
      <c r="L456" s="4990"/>
      <c r="M456" s="4990"/>
      <c r="N456" s="4990"/>
      <c r="O456" s="4990"/>
      <c r="P456" s="4990"/>
      <c r="Q456" s="4990"/>
      <c r="R456" s="4990"/>
      <c r="S456" s="4990"/>
      <c r="T456" s="4991">
        <f>SUM(T449:T455)</f>
        <v>1</v>
      </c>
      <c r="U456" s="4991">
        <f t="shared" ref="U456:AB456" si="347">SUM(U449:U455)</f>
        <v>1.0000000000000002</v>
      </c>
      <c r="V456" s="4991">
        <f t="shared" si="347"/>
        <v>1</v>
      </c>
      <c r="W456" s="4991">
        <f t="shared" si="347"/>
        <v>1.0000000000000002</v>
      </c>
      <c r="X456" s="4991">
        <f t="shared" si="347"/>
        <v>1</v>
      </c>
      <c r="Y456" s="4991">
        <f t="shared" si="347"/>
        <v>1</v>
      </c>
      <c r="Z456" s="4991">
        <f t="shared" si="347"/>
        <v>1.0000000000000002</v>
      </c>
      <c r="AA456" s="4991">
        <f t="shared" si="347"/>
        <v>0.99999999999999989</v>
      </c>
      <c r="AB456" s="4991">
        <f t="shared" si="347"/>
        <v>1</v>
      </c>
      <c r="AC456" s="4991">
        <f>SUM(AC449:AC455)</f>
        <v>1</v>
      </c>
      <c r="AD456" s="4991">
        <f>SUM(AD449:AD455)</f>
        <v>0.99999999999999989</v>
      </c>
      <c r="AE456" s="4991">
        <f>SUM(AE449:AE455)</f>
        <v>1</v>
      </c>
      <c r="AF456" s="4991">
        <f>SUM(AF449:AF455)</f>
        <v>1</v>
      </c>
    </row>
    <row r="457" spans="1:32" hidden="1" outlineLevel="1">
      <c r="A457" s="4593" t="s">
        <v>992</v>
      </c>
      <c r="B457" s="4962"/>
      <c r="C457" s="4962"/>
      <c r="D457" s="4962"/>
      <c r="E457" s="4962"/>
      <c r="F457" s="4962"/>
      <c r="G457" s="4962"/>
      <c r="H457" s="4962"/>
      <c r="I457" s="4962"/>
      <c r="J457" s="4962"/>
      <c r="K457" s="4962"/>
      <c r="L457" s="4962"/>
      <c r="M457" s="4962"/>
      <c r="N457" s="4962"/>
      <c r="O457" s="4962"/>
      <c r="P457" s="4962"/>
      <c r="Q457" s="4962"/>
      <c r="R457" s="4962"/>
      <c r="S457" s="4962"/>
      <c r="T457" s="4963"/>
      <c r="U457" s="4963"/>
      <c r="V457" s="4963"/>
      <c r="W457" s="4963"/>
      <c r="X457" s="4963"/>
      <c r="Y457" s="4963"/>
      <c r="Z457" s="4963"/>
      <c r="AA457" s="4963"/>
      <c r="AB457" s="4963"/>
      <c r="AC457" s="4963"/>
      <c r="AD457" s="4963"/>
      <c r="AE457" s="4963"/>
      <c r="AF457" s="4963"/>
    </row>
    <row r="458" spans="1:32" hidden="1" outlineLevel="1">
      <c r="A458" s="4581" t="s">
        <v>895</v>
      </c>
      <c r="B458" s="4597"/>
      <c r="C458" s="4597"/>
      <c r="D458" s="4597"/>
      <c r="E458" s="4597"/>
      <c r="F458" s="4597"/>
      <c r="G458" s="4597"/>
      <c r="H458" s="4597"/>
      <c r="I458" s="4597"/>
      <c r="J458" s="4597"/>
      <c r="K458" s="4597"/>
      <c r="L458" s="4597"/>
      <c r="M458" s="4597"/>
      <c r="N458" s="4597"/>
      <c r="O458" s="4597"/>
      <c r="P458" s="4597"/>
      <c r="Q458" s="4597"/>
      <c r="R458" s="4597"/>
      <c r="S458" s="4597"/>
      <c r="T458" s="4594">
        <f>T62/T25</f>
        <v>0.97035639330757295</v>
      </c>
      <c r="U458" s="4594">
        <f t="shared" ref="U458:AB458" si="348">U62/U25</f>
        <v>0.95594328495974557</v>
      </c>
      <c r="V458" s="4594">
        <f t="shared" si="348"/>
        <v>0.85809164801507842</v>
      </c>
      <c r="W458" s="4594">
        <f t="shared" si="348"/>
        <v>0.80116513503111764</v>
      </c>
      <c r="X458" s="4594">
        <f t="shared" si="348"/>
        <v>0.80537627574183712</v>
      </c>
      <c r="Y458" s="4594">
        <f t="shared" si="348"/>
        <v>0.83845881346926576</v>
      </c>
      <c r="Z458" s="4594">
        <f t="shared" si="348"/>
        <v>0.82926597823053305</v>
      </c>
      <c r="AA458" s="4594">
        <f t="shared" si="348"/>
        <v>0.79725288435124086</v>
      </c>
      <c r="AB458" s="4594">
        <f t="shared" si="348"/>
        <v>0.72764060436608713</v>
      </c>
      <c r="AC458" s="4594">
        <f>AC62/AC25</f>
        <v>0.68919187846552998</v>
      </c>
      <c r="AD458" s="4594">
        <f>AD62/AD25</f>
        <v>0.66544103962036827</v>
      </c>
      <c r="AE458" s="4594">
        <f>AE62/AE25</f>
        <v>0.64429236549925983</v>
      </c>
      <c r="AF458" s="4594">
        <f>AF62/AF25</f>
        <v>0.62138309967493421</v>
      </c>
    </row>
    <row r="459" spans="1:32" hidden="1" outlineLevel="1">
      <c r="A459" s="4581" t="s">
        <v>634</v>
      </c>
      <c r="B459" s="4597"/>
      <c r="C459" s="4597"/>
      <c r="D459" s="4597"/>
      <c r="E459" s="4597"/>
      <c r="F459" s="4597"/>
      <c r="G459" s="4597"/>
      <c r="H459" s="4597"/>
      <c r="I459" s="4597"/>
      <c r="J459" s="4597"/>
      <c r="K459" s="4597"/>
      <c r="L459" s="4597"/>
      <c r="M459" s="4597"/>
      <c r="N459" s="4597"/>
      <c r="O459" s="4597"/>
      <c r="P459" s="4597"/>
      <c r="Q459" s="4597"/>
      <c r="R459" s="4597"/>
      <c r="S459" s="4597"/>
      <c r="T459" s="4594">
        <f>T99/T25</f>
        <v>7.8136612936707928E-2</v>
      </c>
      <c r="U459" s="4594">
        <f t="shared" ref="U459:AB459" si="349">U99/U25</f>
        <v>7.6221957122677791E-2</v>
      </c>
      <c r="V459" s="4594">
        <f t="shared" si="349"/>
        <v>6.8863575661484849E-2</v>
      </c>
      <c r="W459" s="4594">
        <f t="shared" si="349"/>
        <v>6.4340028097601046E-2</v>
      </c>
      <c r="X459" s="4594">
        <f t="shared" si="349"/>
        <v>6.1075003607021443E-2</v>
      </c>
      <c r="Y459" s="4594">
        <f t="shared" si="349"/>
        <v>5.6480708046778939E-2</v>
      </c>
      <c r="Z459" s="4594">
        <f t="shared" si="349"/>
        <v>4.2365336310354447E-2</v>
      </c>
      <c r="AA459" s="4594">
        <f t="shared" si="349"/>
        <v>3.3082359333284489E-2</v>
      </c>
      <c r="AB459" s="4594">
        <f t="shared" si="349"/>
        <v>2.3478500662304138E-2</v>
      </c>
      <c r="AC459" s="4594">
        <f>AC99/AC25</f>
        <v>1.8989852270577336E-2</v>
      </c>
      <c r="AD459" s="4594">
        <f>AD99/AD25</f>
        <v>1.5752832703690808E-2</v>
      </c>
      <c r="AE459" s="4594">
        <f>AE99/AE25</f>
        <v>1.3239743927645695E-2</v>
      </c>
      <c r="AF459" s="4594">
        <f>AF99/AF25</f>
        <v>1.1937506879200676E-2</v>
      </c>
    </row>
    <row r="460" spans="1:32" hidden="1" outlineLevel="1">
      <c r="A460" s="4581" t="s">
        <v>354</v>
      </c>
      <c r="B460" s="4597"/>
      <c r="C460" s="4597"/>
      <c r="D460" s="4597"/>
      <c r="E460" s="4597"/>
      <c r="F460" s="4597"/>
      <c r="G460" s="4597"/>
      <c r="H460" s="4597"/>
      <c r="I460" s="4597"/>
      <c r="J460" s="4597"/>
      <c r="K460" s="4597"/>
      <c r="L460" s="4597"/>
      <c r="M460" s="4597"/>
      <c r="N460" s="4597"/>
      <c r="O460" s="4597"/>
      <c r="P460" s="4597"/>
      <c r="Q460" s="4597"/>
      <c r="R460" s="4597"/>
      <c r="S460" s="4597"/>
      <c r="T460" s="4594">
        <f>T141/T25</f>
        <v>2.6267782003360812E-2</v>
      </c>
      <c r="U460" s="4594">
        <f t="shared" ref="U460:AB460" si="350">U141/U25</f>
        <v>3.3748525716629917E-2</v>
      </c>
      <c r="V460" s="4594">
        <f t="shared" si="350"/>
        <v>5.7137472022617507E-2</v>
      </c>
      <c r="W460" s="4594">
        <f t="shared" si="350"/>
        <v>4.3673390843979684E-2</v>
      </c>
      <c r="X460" s="4594">
        <f t="shared" si="350"/>
        <v>3.3910407510986819E-2</v>
      </c>
      <c r="Y460" s="4594">
        <f t="shared" si="350"/>
        <v>3.3700222495267822E-2</v>
      </c>
      <c r="Z460" s="4594">
        <f t="shared" si="350"/>
        <v>4.4569664941589246E-2</v>
      </c>
      <c r="AA460" s="4594">
        <f t="shared" si="350"/>
        <v>5.6281131349936543E-2</v>
      </c>
      <c r="AB460" s="4594">
        <f t="shared" si="350"/>
        <v>5.8796611952094208E-2</v>
      </c>
      <c r="AC460" s="4594">
        <f>AC141/AC25</f>
        <v>5.905117357708338E-2</v>
      </c>
      <c r="AD460" s="4594">
        <f>AD141/AD25</f>
        <v>5.9197050096649134E-2</v>
      </c>
      <c r="AE460" s="4594">
        <f>AE141/AE25</f>
        <v>5.8424847231325933E-2</v>
      </c>
      <c r="AF460" s="4594">
        <f>AF141/AF25</f>
        <v>5.6961238578020601E-2</v>
      </c>
    </row>
    <row r="461" spans="1:32" hidden="1" outlineLevel="1">
      <c r="A461" s="4581" t="s">
        <v>902</v>
      </c>
      <c r="B461" s="4597"/>
      <c r="C461" s="4597"/>
      <c r="D461" s="4597"/>
      <c r="E461" s="4597"/>
      <c r="F461" s="4597"/>
      <c r="G461" s="4597"/>
      <c r="H461" s="4597"/>
      <c r="I461" s="4597"/>
      <c r="J461" s="4597"/>
      <c r="K461" s="4597"/>
      <c r="L461" s="4597"/>
      <c r="M461" s="4597"/>
      <c r="N461" s="4597"/>
      <c r="O461" s="4597"/>
      <c r="P461" s="4597"/>
      <c r="Q461" s="4597"/>
      <c r="R461" s="4597"/>
      <c r="S461" s="4597"/>
      <c r="T461" s="4594">
        <f>T188/T25</f>
        <v>5.0933694840254264E-2</v>
      </c>
      <c r="U461" s="4594">
        <f t="shared" ref="U461:AB461" si="351">U188/U25</f>
        <v>6.0181950341516348E-2</v>
      </c>
      <c r="V461" s="4594">
        <f t="shared" si="351"/>
        <v>0.10376080497783093</v>
      </c>
      <c r="W461" s="4594">
        <f t="shared" si="351"/>
        <v>0.10317378478315678</v>
      </c>
      <c r="X461" s="4594">
        <f t="shared" si="351"/>
        <v>7.2002327232334962E-2</v>
      </c>
      <c r="Y461" s="4594">
        <f t="shared" si="351"/>
        <v>7.7381282621703101E-2</v>
      </c>
      <c r="Z461" s="4594">
        <f t="shared" si="351"/>
        <v>6.6706945507223364E-2</v>
      </c>
      <c r="AA461" s="4594">
        <f t="shared" si="351"/>
        <v>5.502943646351844E-2</v>
      </c>
      <c r="AB461" s="4594">
        <f t="shared" si="351"/>
        <v>9.3920205456818076E-2</v>
      </c>
      <c r="AC461" s="4594">
        <f>AC188/AC25</f>
        <v>0.1045357313827448</v>
      </c>
      <c r="AD461" s="4594">
        <f>AD188/AD25</f>
        <v>0.10071754956320768</v>
      </c>
      <c r="AE461" s="4594">
        <f>AE188/AE25</f>
        <v>9.6390670110947152E-2</v>
      </c>
      <c r="AF461" s="4594">
        <f>AF188/AF25</f>
        <v>9.2123580263245505E-2</v>
      </c>
    </row>
    <row r="462" spans="1:32" hidden="1" outlineLevel="1">
      <c r="A462" s="4581" t="s">
        <v>692</v>
      </c>
      <c r="B462" s="4597"/>
      <c r="C462" s="4597"/>
      <c r="D462" s="4597"/>
      <c r="E462" s="4597"/>
      <c r="F462" s="4597"/>
      <c r="G462" s="4597"/>
      <c r="H462" s="4597"/>
      <c r="I462" s="4597"/>
      <c r="J462" s="4597"/>
      <c r="K462" s="4597"/>
      <c r="L462" s="4597"/>
      <c r="M462" s="4597"/>
      <c r="N462" s="4597"/>
      <c r="O462" s="4597"/>
      <c r="P462" s="4597"/>
      <c r="Q462" s="4597"/>
      <c r="R462" s="4597"/>
      <c r="S462" s="4597"/>
      <c r="T462" s="4594">
        <f>T263/T25</f>
        <v>-2.020834064825926E-2</v>
      </c>
      <c r="U462" s="4594">
        <f t="shared" ref="U462:AB462" si="352">U263/U25</f>
        <v>1.5421776015329646E-4</v>
      </c>
      <c r="V462" s="4594">
        <f t="shared" si="352"/>
        <v>1.3242587717619308E-2</v>
      </c>
      <c r="W462" s="4594">
        <f t="shared" si="352"/>
        <v>4.4743802273516625E-2</v>
      </c>
      <c r="X462" s="4594">
        <f t="shared" si="352"/>
        <v>7.0600007264010459E-2</v>
      </c>
      <c r="Y462" s="4594">
        <f t="shared" si="352"/>
        <v>9.4733038886859494E-2</v>
      </c>
      <c r="Z462" s="4594">
        <f t="shared" si="352"/>
        <v>0.10898357322275827</v>
      </c>
      <c r="AA462" s="4594">
        <f t="shared" si="352"/>
        <v>0.14475414046864676</v>
      </c>
      <c r="AB462" s="4594">
        <f t="shared" si="352"/>
        <v>0.19792769142982708</v>
      </c>
      <c r="AC462" s="4594">
        <f>AC263/AC25</f>
        <v>0.22425016210787671</v>
      </c>
      <c r="AD462" s="4594">
        <f>AD263/AD25</f>
        <v>0.24711466814321945</v>
      </c>
      <c r="AE462" s="4594">
        <f>AE263/AE25</f>
        <v>0.26747107959910349</v>
      </c>
      <c r="AF462" s="4594">
        <f>AF263/AF25</f>
        <v>0.29066581683064929</v>
      </c>
    </row>
    <row r="463" spans="1:32" hidden="1" outlineLevel="1">
      <c r="A463" s="4581" t="s">
        <v>434</v>
      </c>
      <c r="B463" s="4597"/>
      <c r="C463" s="4597"/>
      <c r="D463" s="4597"/>
      <c r="E463" s="4597"/>
      <c r="F463" s="4597"/>
      <c r="G463" s="4597"/>
      <c r="H463" s="4597"/>
      <c r="I463" s="4597"/>
      <c r="J463" s="4597"/>
      <c r="K463" s="4597"/>
      <c r="L463" s="4597"/>
      <c r="M463" s="4597"/>
      <c r="N463" s="4597"/>
      <c r="O463" s="4597"/>
      <c r="P463" s="4597"/>
      <c r="Q463" s="4597"/>
      <c r="R463" s="4597"/>
      <c r="S463" s="4597"/>
      <c r="T463" s="4594">
        <f>T304/T25</f>
        <v>-4.9859757173959948E-2</v>
      </c>
      <c r="U463" s="4594">
        <f t="shared" ref="U463:AB463" si="353">U304/U25</f>
        <v>-6.4680443737927973E-2</v>
      </c>
      <c r="V463" s="4594">
        <f t="shared" si="353"/>
        <v>-5.2518517420429081E-2</v>
      </c>
      <c r="W463" s="4594">
        <f t="shared" si="353"/>
        <v>-3.9683369160150576E-2</v>
      </c>
      <c r="X463" s="4594">
        <f t="shared" si="353"/>
        <v>-3.1169084371481505E-2</v>
      </c>
      <c r="Y463" s="4594">
        <f t="shared" si="353"/>
        <v>-2.449132185434863E-2</v>
      </c>
      <c r="Z463" s="4594">
        <f t="shared" si="353"/>
        <v>-2.1845115160214233E-2</v>
      </c>
      <c r="AA463" s="4594">
        <f t="shared" si="353"/>
        <v>-2.3481351031052113E-2</v>
      </c>
      <c r="AB463" s="4594">
        <f t="shared" si="353"/>
        <v>-1.943122338262664E-2</v>
      </c>
      <c r="AC463" s="4594">
        <f>AC304/AC25</f>
        <v>-1.6878919753672682E-2</v>
      </c>
      <c r="AD463" s="4594">
        <f>AD304/AD25</f>
        <v>-9.3295508436904949E-3</v>
      </c>
      <c r="AE463" s="4594">
        <f>AE304/AE25</f>
        <v>-1.6073100624744052E-3</v>
      </c>
      <c r="AF463" s="4594">
        <f>AF304/AF25</f>
        <v>3.6679054896745461E-3</v>
      </c>
    </row>
    <row r="464" spans="1:32" hidden="1" outlineLevel="1">
      <c r="A464" s="4581" t="s">
        <v>452</v>
      </c>
      <c r="B464" s="4597"/>
      <c r="C464" s="4597"/>
      <c r="D464" s="4597"/>
      <c r="E464" s="4597"/>
      <c r="F464" s="4597"/>
      <c r="G464" s="4597"/>
      <c r="H464" s="4597"/>
      <c r="I464" s="4597"/>
      <c r="J464" s="4597"/>
      <c r="K464" s="4597"/>
      <c r="L464" s="4597"/>
      <c r="M464" s="4597"/>
      <c r="N464" s="4597"/>
      <c r="O464" s="4597"/>
      <c r="P464" s="4597"/>
      <c r="Q464" s="4597"/>
      <c r="R464" s="4597"/>
      <c r="S464" s="4597"/>
      <c r="T464" s="4594">
        <f>T337/T25</f>
        <v>-5.5626385265676793E-2</v>
      </c>
      <c r="U464" s="4594">
        <f t="shared" ref="U464:AB464" si="354">U337/U25</f>
        <v>-6.1569492162795073E-2</v>
      </c>
      <c r="V464" s="4594">
        <f t="shared" si="354"/>
        <v>-4.8577570974201907E-2</v>
      </c>
      <c r="W464" s="4594">
        <f t="shared" si="354"/>
        <v>-2.8958706855281562E-2</v>
      </c>
      <c r="X464" s="4594">
        <f t="shared" si="354"/>
        <v>-1.1794936984709257E-2</v>
      </c>
      <c r="Y464" s="4594">
        <f t="shared" si="354"/>
        <v>-7.6262743665526517E-2</v>
      </c>
      <c r="Z464" s="4594">
        <f t="shared" si="354"/>
        <v>-7.004638305224406E-2</v>
      </c>
      <c r="AA464" s="4594">
        <f t="shared" si="354"/>
        <v>-6.291860093557497E-2</v>
      </c>
      <c r="AB464" s="4594">
        <f t="shared" si="354"/>
        <v>-8.2332390484504053E-2</v>
      </c>
      <c r="AC464" s="4594">
        <f>AC337/AC25</f>
        <v>-7.9139878050139514E-2</v>
      </c>
      <c r="AD464" s="4594">
        <f>AD337/AD25</f>
        <v>-7.8893589283444934E-2</v>
      </c>
      <c r="AE464" s="4594">
        <f>AE337/AE25</f>
        <v>-7.8211396305807562E-2</v>
      </c>
      <c r="AF464" s="4594">
        <f>AF337/AF25</f>
        <v>-7.6739147715724987E-2</v>
      </c>
    </row>
    <row r="465" spans="1:34" hidden="1" outlineLevel="1">
      <c r="A465" s="4989" t="s">
        <v>903</v>
      </c>
      <c r="B465" s="4990"/>
      <c r="C465" s="4990"/>
      <c r="D465" s="4990"/>
      <c r="E465" s="4990"/>
      <c r="F465" s="4990"/>
      <c r="G465" s="4990"/>
      <c r="H465" s="4990"/>
      <c r="I465" s="4990"/>
      <c r="J465" s="4990"/>
      <c r="K465" s="4990"/>
      <c r="L465" s="4990"/>
      <c r="M465" s="4990"/>
      <c r="N465" s="4990"/>
      <c r="O465" s="4990"/>
      <c r="P465" s="4990"/>
      <c r="Q465" s="4990"/>
      <c r="R465" s="4990"/>
      <c r="S465" s="4990"/>
      <c r="T465" s="4991">
        <f>SUM(T458:T464)</f>
        <v>1</v>
      </c>
      <c r="U465" s="4991">
        <f t="shared" ref="U465:AB465" si="355">SUM(U458:U464)</f>
        <v>0.99999999999999989</v>
      </c>
      <c r="V465" s="4991">
        <f t="shared" si="355"/>
        <v>1</v>
      </c>
      <c r="W465" s="4991">
        <f t="shared" si="355"/>
        <v>0.98845406501393984</v>
      </c>
      <c r="X465" s="4991">
        <f t="shared" si="355"/>
        <v>1</v>
      </c>
      <c r="Y465" s="4991">
        <f t="shared" si="355"/>
        <v>1</v>
      </c>
      <c r="Z465" s="4991">
        <f t="shared" si="355"/>
        <v>1.0000000000000002</v>
      </c>
      <c r="AA465" s="4991">
        <f t="shared" si="355"/>
        <v>0.99999999999999989</v>
      </c>
      <c r="AB465" s="4991">
        <f t="shared" si="355"/>
        <v>1</v>
      </c>
      <c r="AC465" s="4991">
        <f>SUM(AC458:AC464)</f>
        <v>1</v>
      </c>
      <c r="AD465" s="4991">
        <f>SUM(AD458:AD464)</f>
        <v>0.99999999999999967</v>
      </c>
      <c r="AE465" s="4991">
        <f>SUM(AE458:AE464)</f>
        <v>1</v>
      </c>
      <c r="AF465" s="4991">
        <f>SUM(AF458:AF464)</f>
        <v>0.99999999999999989</v>
      </c>
    </row>
    <row r="466" spans="1:34" collapsed="1"/>
    <row r="467" spans="1:34" hidden="1">
      <c r="A467" s="4986" t="s">
        <v>988</v>
      </c>
      <c r="B467" s="4987"/>
      <c r="C467" s="4987"/>
      <c r="D467" s="4987"/>
      <c r="E467" s="4987"/>
      <c r="F467" s="4987"/>
      <c r="G467" s="4987"/>
      <c r="H467" s="4987"/>
      <c r="I467" s="4987"/>
      <c r="J467" s="4987"/>
      <c r="K467" s="4987"/>
      <c r="L467" s="4987"/>
      <c r="M467" s="4987"/>
      <c r="N467" s="4987"/>
      <c r="O467" s="4987"/>
      <c r="P467" s="4987"/>
      <c r="Q467" s="4987"/>
      <c r="R467" s="4987"/>
      <c r="S467" s="4987"/>
      <c r="T467" s="4987"/>
      <c r="U467" s="4987"/>
      <c r="V467" s="4987"/>
      <c r="W467" s="4987"/>
      <c r="X467" s="4987"/>
      <c r="Y467" s="4987"/>
      <c r="Z467" s="4987"/>
      <c r="AA467" s="4987"/>
      <c r="AB467" s="4988"/>
      <c r="AC467" s="4988"/>
      <c r="AD467" s="4988"/>
      <c r="AE467" s="4988"/>
      <c r="AF467" s="4988"/>
    </row>
    <row r="468" spans="1:34" s="627" customFormat="1" hidden="1">
      <c r="A468" s="4983" t="s">
        <v>841</v>
      </c>
      <c r="B468" s="4984"/>
      <c r="C468" s="4984"/>
      <c r="D468" s="4984"/>
      <c r="E468" s="4984"/>
      <c r="F468" s="4984"/>
      <c r="G468" s="4984"/>
      <c r="H468" s="4984"/>
      <c r="I468" s="4984"/>
      <c r="J468" s="4984"/>
      <c r="K468" s="4984"/>
      <c r="L468" s="4984"/>
      <c r="M468" s="4984"/>
      <c r="N468" s="4984"/>
      <c r="O468" s="4984"/>
      <c r="P468" s="4984"/>
      <c r="Q468" s="4984"/>
      <c r="R468" s="4984"/>
      <c r="S468" s="4984"/>
      <c r="T468" s="4984"/>
      <c r="U468" s="4985"/>
      <c r="V468" s="4984"/>
      <c r="X468" s="4957"/>
      <c r="Y468" s="4957"/>
      <c r="Z468" s="4957"/>
      <c r="AA468" s="4957"/>
      <c r="AB468" s="4957"/>
      <c r="AC468" s="4957"/>
      <c r="AD468" s="4957"/>
      <c r="AE468" s="4957"/>
      <c r="AF468" s="4957"/>
      <c r="AH468" s="4796"/>
    </row>
    <row r="469" spans="1:34" s="766" customFormat="1" hidden="1">
      <c r="A469" s="4586" t="str">
        <f>A$8</f>
        <v>Gross Revenue</v>
      </c>
      <c r="B469" s="4589"/>
      <c r="C469" s="4589"/>
      <c r="D469" s="4589"/>
      <c r="E469" s="4589"/>
      <c r="F469" s="4589"/>
      <c r="G469" s="4589"/>
      <c r="H469" s="4589"/>
      <c r="I469" s="4589"/>
      <c r="J469" s="4589"/>
      <c r="K469" s="4589"/>
      <c r="L469" s="4589"/>
      <c r="M469" s="4589"/>
      <c r="N469" s="4589"/>
      <c r="O469" s="4589">
        <f>'Segment As Reported'!CH193</f>
        <v>55507</v>
      </c>
      <c r="P469" s="4589">
        <f>'Segment As Reported'!CM193</f>
        <v>65674</v>
      </c>
      <c r="Q469" s="4589">
        <f>'Segment As Reported'!CR193</f>
        <v>74544</v>
      </c>
      <c r="R469" s="4589">
        <f>'Segment As Reported'!CW193</f>
        <v>89463</v>
      </c>
      <c r="S469" s="4589">
        <f>'Segment As Reported'!DB193</f>
        <v>110547</v>
      </c>
      <c r="T469" s="4589">
        <f>'Segment As Reported'!DG193</f>
        <v>136362</v>
      </c>
      <c r="U469" s="4589">
        <f>'Segment As Reported'!DL193</f>
        <v>160743</v>
      </c>
      <c r="V469" s="4589">
        <f>'Segment As Reported'!DQ193</f>
        <v>181694</v>
      </c>
      <c r="W469" s="4954"/>
      <c r="X469" s="4954"/>
      <c r="Y469" s="4954"/>
      <c r="Z469" s="4954"/>
      <c r="AA469" s="4954"/>
      <c r="AB469" s="4954"/>
      <c r="AC469" s="4954"/>
      <c r="AD469" s="4954"/>
      <c r="AE469" s="4954"/>
      <c r="AF469" s="4954"/>
      <c r="AH469" s="4797"/>
    </row>
    <row r="470" spans="1:34" s="766" customFormat="1" hidden="1">
      <c r="A470" s="4585" t="str">
        <f>A$9</f>
        <v>TAC</v>
      </c>
      <c r="B470" s="4597"/>
      <c r="C470" s="4597"/>
      <c r="D470" s="4597"/>
      <c r="E470" s="4597"/>
      <c r="F470" s="4597"/>
      <c r="G470" s="4597"/>
      <c r="H470" s="4597"/>
      <c r="I470" s="4597"/>
      <c r="J470" s="4597"/>
      <c r="K470" s="4597"/>
      <c r="L470" s="4597"/>
      <c r="M470" s="4597"/>
      <c r="N470" s="4597"/>
      <c r="O470" s="4597">
        <f t="shared" ref="O470:U470" si="356">O9-O290-O322</f>
        <v>12258</v>
      </c>
      <c r="P470" s="4597">
        <f t="shared" si="356"/>
        <v>13497</v>
      </c>
      <c r="Q470" s="4597">
        <f t="shared" si="356"/>
        <v>14343</v>
      </c>
      <c r="R470" s="4597">
        <f t="shared" si="356"/>
        <v>16793</v>
      </c>
      <c r="S470" s="4597">
        <f t="shared" si="356"/>
        <v>21672</v>
      </c>
      <c r="T470" s="4597">
        <f t="shared" si="356"/>
        <v>26726</v>
      </c>
      <c r="U470" s="4597">
        <f t="shared" si="356"/>
        <v>30089</v>
      </c>
      <c r="V470" s="4597">
        <f>V9-V290</f>
        <v>32778</v>
      </c>
      <c r="W470" s="4955"/>
      <c r="X470" s="4955"/>
      <c r="Y470" s="4955"/>
      <c r="Z470" s="4955"/>
      <c r="AA470" s="4955"/>
      <c r="AB470" s="4955"/>
      <c r="AC470" s="4955"/>
      <c r="AD470" s="4955"/>
      <c r="AE470" s="4955"/>
      <c r="AF470" s="4955"/>
      <c r="AH470" s="4803"/>
    </row>
    <row r="471" spans="1:34" s="766" customFormat="1" hidden="1">
      <c r="A471" s="4586" t="str">
        <f>A$10</f>
        <v>Net Revenue</v>
      </c>
      <c r="B471" s="4589"/>
      <c r="C471" s="4589"/>
      <c r="D471" s="4589"/>
      <c r="E471" s="4589"/>
      <c r="F471" s="4589"/>
      <c r="G471" s="4589"/>
      <c r="H471" s="4589"/>
      <c r="I471" s="4589"/>
      <c r="J471" s="4589"/>
      <c r="K471" s="4589"/>
      <c r="L471" s="4589"/>
      <c r="M471" s="4589"/>
      <c r="N471" s="4589"/>
      <c r="O471" s="4589">
        <f t="shared" ref="O471:U471" si="357">O469-O470</f>
        <v>43249</v>
      </c>
      <c r="P471" s="4589">
        <f t="shared" si="357"/>
        <v>52177</v>
      </c>
      <c r="Q471" s="4589">
        <f t="shared" si="357"/>
        <v>60201</v>
      </c>
      <c r="R471" s="4589">
        <f t="shared" si="357"/>
        <v>72670</v>
      </c>
      <c r="S471" s="4589">
        <f t="shared" si="357"/>
        <v>88875</v>
      </c>
      <c r="T471" s="4589">
        <f t="shared" si="357"/>
        <v>109636</v>
      </c>
      <c r="U471" s="4589">
        <f t="shared" si="357"/>
        <v>130654</v>
      </c>
      <c r="V471" s="4589">
        <f>V469-V470</f>
        <v>148916</v>
      </c>
      <c r="W471" s="4954"/>
      <c r="X471" s="4954"/>
      <c r="Y471" s="4954"/>
      <c r="Z471" s="4954"/>
      <c r="AA471" s="4954"/>
      <c r="AB471" s="4954"/>
      <c r="AC471" s="4954"/>
      <c r="AD471" s="4954"/>
      <c r="AE471" s="4954"/>
      <c r="AF471" s="4954"/>
      <c r="AH471" s="4797"/>
    </row>
    <row r="472" spans="1:34" s="766" customFormat="1" hidden="1">
      <c r="A472" s="4585" t="str">
        <f>A$11</f>
        <v>Other Cost Of Revenues</v>
      </c>
      <c r="B472" s="4590"/>
      <c r="C472" s="4590"/>
      <c r="D472" s="4590"/>
      <c r="E472" s="4590"/>
      <c r="F472" s="4590"/>
      <c r="G472" s="4590"/>
      <c r="H472" s="4590"/>
      <c r="I472" s="4590"/>
      <c r="J472" s="4590"/>
      <c r="K472" s="4590"/>
      <c r="L472" s="4590"/>
      <c r="M472" s="4590"/>
      <c r="N472" s="4590"/>
      <c r="O472" s="4590">
        <f t="shared" ref="O472:U472" si="358">O11-O292-O324</f>
        <v>9731.4</v>
      </c>
      <c r="P472" s="4590">
        <f t="shared" si="358"/>
        <v>12095.9</v>
      </c>
      <c r="Q472" s="4590">
        <f t="shared" si="358"/>
        <v>13687.5</v>
      </c>
      <c r="R472" s="4590">
        <f t="shared" si="358"/>
        <v>18102.3</v>
      </c>
      <c r="S472" s="4590">
        <f t="shared" si="358"/>
        <v>23767.9</v>
      </c>
      <c r="T472" s="4590">
        <f t="shared" si="358"/>
        <v>32585</v>
      </c>
      <c r="U472" s="4590">
        <f t="shared" si="358"/>
        <v>41543.4</v>
      </c>
      <c r="V472" s="4590">
        <f>V11-V292</f>
        <v>51691.199999999997</v>
      </c>
      <c r="W472" s="4954"/>
      <c r="X472" s="4954"/>
      <c r="Y472" s="4954"/>
      <c r="Z472" s="4954"/>
      <c r="AA472" s="4954"/>
      <c r="AB472" s="4954"/>
      <c r="AC472" s="4954"/>
      <c r="AD472" s="4954"/>
      <c r="AE472" s="4954"/>
      <c r="AF472" s="4954"/>
      <c r="AH472" s="4798"/>
    </row>
    <row r="473" spans="1:34" s="766" customFormat="1" hidden="1">
      <c r="A473" s="4586" t="str">
        <f>A$12</f>
        <v>Gross Profit</v>
      </c>
      <c r="B473" s="4589"/>
      <c r="C473" s="4589"/>
      <c r="D473" s="4589"/>
      <c r="E473" s="4589"/>
      <c r="F473" s="4589"/>
      <c r="G473" s="4589"/>
      <c r="H473" s="4589"/>
      <c r="I473" s="4589"/>
      <c r="J473" s="4589"/>
      <c r="K473" s="4589"/>
      <c r="L473" s="4589"/>
      <c r="M473" s="4589"/>
      <c r="N473" s="4589"/>
      <c r="O473" s="4589">
        <f t="shared" ref="O473:U473" si="359">O471-O472</f>
        <v>33517.599999999999</v>
      </c>
      <c r="P473" s="4589">
        <f t="shared" si="359"/>
        <v>40081.1</v>
      </c>
      <c r="Q473" s="4589">
        <f t="shared" si="359"/>
        <v>46513.5</v>
      </c>
      <c r="R473" s="4589">
        <f t="shared" si="359"/>
        <v>54567.7</v>
      </c>
      <c r="S473" s="4589">
        <f t="shared" si="359"/>
        <v>65107.1</v>
      </c>
      <c r="T473" s="4589">
        <f t="shared" si="359"/>
        <v>77051</v>
      </c>
      <c r="U473" s="4589">
        <f t="shared" si="359"/>
        <v>89110.6</v>
      </c>
      <c r="V473" s="4589">
        <f>V471-V472</f>
        <v>97224.8</v>
      </c>
      <c r="W473" s="4954"/>
      <c r="X473" s="4954"/>
      <c r="Y473" s="4954"/>
      <c r="Z473" s="4954"/>
      <c r="AA473" s="4954"/>
      <c r="AB473" s="4954"/>
      <c r="AC473" s="4954"/>
      <c r="AD473" s="4954"/>
      <c r="AE473" s="4954"/>
      <c r="AF473" s="4954"/>
      <c r="AH473" s="4797"/>
    </row>
    <row r="474" spans="1:34" s="766" customFormat="1" hidden="1">
      <c r="A474" s="4585" t="str">
        <f>A$13</f>
        <v>GAAP Expenses</v>
      </c>
      <c r="B474" s="4590"/>
      <c r="C474" s="4590"/>
      <c r="D474" s="4590"/>
      <c r="E474" s="4590"/>
      <c r="F474" s="4590"/>
      <c r="G474" s="4590"/>
      <c r="H474" s="4590"/>
      <c r="I474" s="4590"/>
      <c r="J474" s="4590"/>
      <c r="K474" s="4590"/>
      <c r="L474" s="4590"/>
      <c r="M474" s="4590"/>
      <c r="N474" s="4590"/>
      <c r="O474" s="4590">
        <f t="shared" ref="O474:V474" si="360">O473-O475</f>
        <v>17257.599999999999</v>
      </c>
      <c r="P474" s="4590">
        <f t="shared" si="360"/>
        <v>21070.1</v>
      </c>
      <c r="Q474" s="4590">
        <f t="shared" si="360"/>
        <v>23166.5</v>
      </c>
      <c r="R474" s="4590">
        <f t="shared" si="360"/>
        <v>26675.699999999997</v>
      </c>
      <c r="S474" s="4590">
        <f t="shared" si="360"/>
        <v>32820.1</v>
      </c>
      <c r="T474" s="4590">
        <f t="shared" si="360"/>
        <v>38262</v>
      </c>
      <c r="U474" s="4590">
        <f t="shared" si="360"/>
        <v>44756.600000000006</v>
      </c>
      <c r="V474" s="4590">
        <f t="shared" si="360"/>
        <v>48225.8</v>
      </c>
      <c r="W474" s="4954"/>
      <c r="X474" s="4954"/>
      <c r="Y474" s="4954"/>
      <c r="Z474" s="4954"/>
      <c r="AA474" s="4954"/>
      <c r="AB474" s="4954"/>
      <c r="AC474" s="4954"/>
      <c r="AD474" s="4954"/>
      <c r="AE474" s="4954"/>
      <c r="AF474" s="4954"/>
      <c r="AH474" s="4798"/>
    </row>
    <row r="475" spans="1:34" s="766" customFormat="1" hidden="1">
      <c r="A475" s="4586" t="str">
        <f>A$14</f>
        <v>GAAP Operating Income</v>
      </c>
      <c r="B475" s="4589"/>
      <c r="C475" s="4589"/>
      <c r="D475" s="4589"/>
      <c r="E475" s="4589"/>
      <c r="F475" s="4589"/>
      <c r="G475" s="4589"/>
      <c r="H475" s="4589"/>
      <c r="I475" s="4589"/>
      <c r="J475" s="4589"/>
      <c r="K475" s="4589"/>
      <c r="L475" s="4589"/>
      <c r="M475" s="4589"/>
      <c r="N475" s="4589"/>
      <c r="O475" s="4589">
        <f>'Segment As Reported'!CH199</f>
        <v>16260</v>
      </c>
      <c r="P475" s="4589">
        <f>'Segment As Reported'!CM199</f>
        <v>19011</v>
      </c>
      <c r="Q475" s="4589">
        <f>'Segment As Reported'!CR199</f>
        <v>23347</v>
      </c>
      <c r="R475" s="4589">
        <f>'Segment As Reported'!CW199</f>
        <v>27892</v>
      </c>
      <c r="S475" s="4589">
        <f>'Segment As Reported'!DB199</f>
        <v>32287</v>
      </c>
      <c r="T475" s="4589">
        <f>'Segment As Reported'!DG199</f>
        <v>38789</v>
      </c>
      <c r="U475" s="4589">
        <f>'Segment As Reported'!DL199</f>
        <v>44354</v>
      </c>
      <c r="V475" s="4589">
        <f>'Segment As Reported'!DQ199</f>
        <v>48999</v>
      </c>
      <c r="W475" s="4954"/>
      <c r="X475" s="4954"/>
      <c r="Y475" s="4954"/>
      <c r="Z475" s="4954"/>
      <c r="AA475" s="4954"/>
      <c r="AB475" s="4954"/>
      <c r="AC475" s="4954"/>
      <c r="AD475" s="4954"/>
      <c r="AE475" s="4954"/>
      <c r="AF475" s="4954"/>
      <c r="AH475" s="4797"/>
    </row>
    <row r="476" spans="1:34" s="766" customFormat="1" hidden="1">
      <c r="A476" s="4585" t="str">
        <f>A$15</f>
        <v>OI&amp;E</v>
      </c>
      <c r="B476" s="4590"/>
      <c r="C476" s="4590"/>
      <c r="D476" s="4590"/>
      <c r="E476" s="4590"/>
      <c r="F476" s="4590"/>
      <c r="G476" s="4590"/>
      <c r="H476" s="4590"/>
      <c r="I476" s="4590"/>
      <c r="J476" s="4590"/>
      <c r="K476" s="4590"/>
      <c r="L476" s="4590"/>
      <c r="M476" s="4590"/>
      <c r="N476" s="4590"/>
      <c r="O476" s="4590">
        <f t="shared" ref="O476:V476" si="361">O15-O296-O328</f>
        <v>338</v>
      </c>
      <c r="P476" s="4590">
        <f t="shared" si="361"/>
        <v>610</v>
      </c>
      <c r="Q476" s="4590">
        <f t="shared" si="361"/>
        <v>499</v>
      </c>
      <c r="R476" s="4590">
        <f t="shared" si="361"/>
        <v>644</v>
      </c>
      <c r="S476" s="4590">
        <f t="shared" si="361"/>
        <v>974</v>
      </c>
      <c r="T476" s="4590">
        <f t="shared" si="361"/>
        <v>3132</v>
      </c>
      <c r="U476" s="4590">
        <f t="shared" si="361"/>
        <v>3071</v>
      </c>
      <c r="V476" s="4590">
        <f t="shared" si="361"/>
        <v>1875</v>
      </c>
      <c r="W476" s="4954"/>
      <c r="X476" s="4954"/>
      <c r="Y476" s="4954"/>
      <c r="Z476" s="4954"/>
      <c r="AA476" s="4954"/>
      <c r="AB476" s="4954"/>
      <c r="AC476" s="4954"/>
      <c r="AD476" s="4954"/>
      <c r="AE476" s="4954"/>
      <c r="AF476" s="4954"/>
      <c r="AH476" s="4798"/>
    </row>
    <row r="477" spans="1:34" s="766" customFormat="1" hidden="1">
      <c r="A477" s="4586" t="str">
        <f>A$16</f>
        <v>Profit Before Tax</v>
      </c>
      <c r="B477" s="4589"/>
      <c r="C477" s="4589"/>
      <c r="D477" s="4589"/>
      <c r="E477" s="4589"/>
      <c r="F477" s="4589"/>
      <c r="G477" s="4589"/>
      <c r="H477" s="4589"/>
      <c r="I477" s="4589"/>
      <c r="J477" s="4589"/>
      <c r="K477" s="4589"/>
      <c r="L477" s="4589"/>
      <c r="M477" s="4589"/>
      <c r="N477" s="4589"/>
      <c r="O477" s="4589">
        <f t="shared" ref="O477:T477" si="362">O475+O476</f>
        <v>16598</v>
      </c>
      <c r="P477" s="4589">
        <f t="shared" si="362"/>
        <v>19621</v>
      </c>
      <c r="Q477" s="4589">
        <f t="shared" si="362"/>
        <v>23846</v>
      </c>
      <c r="R477" s="4589">
        <f t="shared" si="362"/>
        <v>28536</v>
      </c>
      <c r="S477" s="4589">
        <f t="shared" si="362"/>
        <v>33261</v>
      </c>
      <c r="T477" s="4589">
        <f t="shared" si="362"/>
        <v>41921</v>
      </c>
      <c r="U477" s="4589">
        <f>U475+U476</f>
        <v>47425</v>
      </c>
      <c r="V477" s="4589">
        <f>V475+V476</f>
        <v>50874</v>
      </c>
      <c r="W477" s="4954"/>
      <c r="X477" s="4954"/>
      <c r="Y477" s="4954"/>
      <c r="Z477" s="4954"/>
      <c r="AA477" s="4954"/>
      <c r="AB477" s="4954"/>
      <c r="AC477" s="4954"/>
      <c r="AD477" s="4954"/>
      <c r="AE477" s="4954"/>
      <c r="AF477" s="4954"/>
      <c r="AH477" s="4797"/>
    </row>
    <row r="478" spans="1:34" s="766" customFormat="1" hidden="1">
      <c r="A478" s="4585" t="str">
        <f>A$17</f>
        <v>Income Tax</v>
      </c>
      <c r="B478" s="4590"/>
      <c r="C478" s="4590"/>
      <c r="D478" s="4590"/>
      <c r="E478" s="4590"/>
      <c r="F478" s="4590"/>
      <c r="G478" s="4590"/>
      <c r="H478" s="4590"/>
      <c r="I478" s="4590"/>
      <c r="J478" s="4590"/>
      <c r="K478" s="4590"/>
      <c r="L478" s="4590"/>
      <c r="M478" s="4590"/>
      <c r="N478" s="4590"/>
      <c r="O478" s="4590">
        <f t="shared" ref="O478:V478" si="363">O17-O298-O330</f>
        <v>2552</v>
      </c>
      <c r="P478" s="4590">
        <f t="shared" si="363"/>
        <v>3331</v>
      </c>
      <c r="Q478" s="4590">
        <f t="shared" si="363"/>
        <v>3303.7667999999999</v>
      </c>
      <c r="R478" s="4590">
        <f t="shared" si="363"/>
        <v>4672</v>
      </c>
      <c r="S478" s="4590">
        <f t="shared" si="363"/>
        <v>14531</v>
      </c>
      <c r="T478" s="4590">
        <f t="shared" si="363"/>
        <v>4177</v>
      </c>
      <c r="U478" s="4590">
        <f t="shared" si="363"/>
        <v>5282</v>
      </c>
      <c r="V478" s="4590">
        <f t="shared" si="363"/>
        <v>7813</v>
      </c>
      <c r="W478" s="4954"/>
      <c r="X478" s="4954"/>
      <c r="Y478" s="4954"/>
      <c r="Z478" s="4954"/>
      <c r="AA478" s="4954"/>
      <c r="AB478" s="4954"/>
      <c r="AC478" s="4954"/>
      <c r="AD478" s="4954"/>
      <c r="AE478" s="4954"/>
      <c r="AF478" s="4954"/>
      <c r="AH478" s="4798"/>
    </row>
    <row r="479" spans="1:34" s="766" customFormat="1" hidden="1">
      <c r="A479" s="4586" t="str">
        <f>A$18</f>
        <v>GAAP Net Income</v>
      </c>
      <c r="B479" s="4589"/>
      <c r="C479" s="4589"/>
      <c r="D479" s="4589"/>
      <c r="E479" s="4589"/>
      <c r="F479" s="4589"/>
      <c r="G479" s="4589"/>
      <c r="H479" s="4589"/>
      <c r="I479" s="4589"/>
      <c r="J479" s="4589"/>
      <c r="K479" s="4589"/>
      <c r="L479" s="4589"/>
      <c r="M479" s="4589"/>
      <c r="N479" s="4589"/>
      <c r="O479" s="4589">
        <f t="shared" ref="O479:T479" si="364">O477-O478</f>
        <v>14046</v>
      </c>
      <c r="P479" s="4589">
        <f t="shared" si="364"/>
        <v>16290</v>
      </c>
      <c r="Q479" s="4589">
        <f t="shared" si="364"/>
        <v>20542.233199999999</v>
      </c>
      <c r="R479" s="4589">
        <f t="shared" si="364"/>
        <v>23864</v>
      </c>
      <c r="S479" s="4589">
        <f t="shared" si="364"/>
        <v>18730</v>
      </c>
      <c r="T479" s="4589">
        <f t="shared" si="364"/>
        <v>37744</v>
      </c>
      <c r="U479" s="4589">
        <f>U477-U478</f>
        <v>42143</v>
      </c>
      <c r="V479" s="4589">
        <f>V477-V478</f>
        <v>43061</v>
      </c>
      <c r="W479" s="4954"/>
      <c r="X479" s="4954"/>
      <c r="Y479" s="4954"/>
      <c r="Z479" s="4954"/>
      <c r="AA479" s="4954"/>
      <c r="AB479" s="4954"/>
      <c r="AC479" s="4954"/>
      <c r="AD479" s="4954"/>
      <c r="AE479" s="4954"/>
      <c r="AF479" s="4954"/>
      <c r="AH479" s="4797"/>
    </row>
    <row r="480" spans="1:34" s="766" customFormat="1" hidden="1">
      <c r="A480" s="4586" t="str">
        <f>A$19</f>
        <v>GAAP EPS</v>
      </c>
      <c r="B480" s="4591"/>
      <c r="C480" s="4591"/>
      <c r="D480" s="4591"/>
      <c r="E480" s="4591"/>
      <c r="F480" s="4591"/>
      <c r="G480" s="4591"/>
      <c r="H480" s="4591"/>
      <c r="I480" s="4591"/>
      <c r="J480" s="4591"/>
      <c r="K480" s="4591"/>
      <c r="L480" s="4591"/>
      <c r="M480" s="4591"/>
      <c r="N480" s="4591"/>
      <c r="O480" s="4591">
        <f t="shared" ref="O480:V480" si="365">O479/O$20</f>
        <v>1.0364246522376914</v>
      </c>
      <c r="P480" s="4591">
        <f t="shared" si="365"/>
        <v>1.1854687295326529</v>
      </c>
      <c r="Q480" s="4591">
        <f t="shared" si="365"/>
        <v>1.4822733320826056</v>
      </c>
      <c r="R480" s="4591">
        <f t="shared" si="365"/>
        <v>1.7077282862892262</v>
      </c>
      <c r="S480" s="4591">
        <f t="shared" si="365"/>
        <v>1.331042206758539</v>
      </c>
      <c r="T480" s="4591">
        <f t="shared" si="365"/>
        <v>2.6834081074557639</v>
      </c>
      <c r="U480" s="4591">
        <f t="shared" si="365"/>
        <v>3.0164346047885893</v>
      </c>
      <c r="V480" s="4591">
        <f t="shared" si="365"/>
        <v>3.1338617690479023</v>
      </c>
      <c r="W480" s="4956"/>
      <c r="X480" s="4956"/>
      <c r="Y480" s="4956"/>
      <c r="Z480" s="4956"/>
      <c r="AA480" s="4956"/>
      <c r="AB480" s="4956"/>
      <c r="AC480" s="4956"/>
      <c r="AD480" s="4956"/>
      <c r="AE480" s="4956"/>
      <c r="AF480" s="4956"/>
      <c r="AH480" s="4797"/>
    </row>
    <row r="481" spans="1:34" s="766" customFormat="1" hidden="1">
      <c r="A481" s="4581"/>
      <c r="B481" s="4582"/>
      <c r="C481" s="4582"/>
      <c r="D481" s="4582"/>
      <c r="E481" s="4582"/>
      <c r="F481" s="4582"/>
      <c r="G481" s="4582"/>
      <c r="H481" s="4582"/>
      <c r="I481" s="4582"/>
      <c r="J481" s="4582"/>
      <c r="K481" s="4582"/>
      <c r="L481" s="4582"/>
      <c r="M481" s="4582"/>
      <c r="N481" s="4582"/>
      <c r="O481" s="4582"/>
      <c r="P481" s="4582"/>
      <c r="Q481" s="4582"/>
      <c r="R481" s="4582"/>
      <c r="S481" s="4582"/>
      <c r="T481" s="4582"/>
      <c r="U481" s="4582"/>
      <c r="V481" s="4582"/>
      <c r="W481" s="4957"/>
      <c r="X481" s="4957"/>
      <c r="Y481" s="4957"/>
      <c r="Z481" s="4957"/>
      <c r="AA481" s="4957"/>
      <c r="AB481" s="4957"/>
      <c r="AC481" s="4957"/>
      <c r="AD481" s="4957"/>
      <c r="AE481" s="4957"/>
      <c r="AF481" s="4957"/>
      <c r="AH481" s="4796"/>
    </row>
    <row r="482" spans="1:34" s="766" customFormat="1" hidden="1">
      <c r="A482" s="4585" t="str">
        <f>A$22</f>
        <v>D&amp;A</v>
      </c>
      <c r="B482" s="4590"/>
      <c r="C482" s="4590"/>
      <c r="D482" s="4590"/>
      <c r="E482" s="4590"/>
      <c r="F482" s="4590"/>
      <c r="G482" s="4590"/>
      <c r="H482" s="4590"/>
      <c r="I482" s="4590"/>
      <c r="J482" s="4590"/>
      <c r="K482" s="4590"/>
      <c r="L482" s="4590"/>
      <c r="M482" s="4590"/>
      <c r="N482" s="4590"/>
      <c r="O482" s="4590">
        <f t="shared" ref="O482:V483" si="366">O22-O302-O334</f>
        <v>3668</v>
      </c>
      <c r="P482" s="4590">
        <f t="shared" si="366"/>
        <v>4778</v>
      </c>
      <c r="Q482" s="4590">
        <f t="shared" si="366"/>
        <v>4839</v>
      </c>
      <c r="R482" s="4590">
        <f t="shared" si="366"/>
        <v>5800</v>
      </c>
      <c r="S482" s="4590">
        <f t="shared" si="366"/>
        <v>6608</v>
      </c>
      <c r="T482" s="4590">
        <f t="shared" si="366"/>
        <v>8708</v>
      </c>
      <c r="U482" s="4590">
        <f t="shared" si="366"/>
        <v>11215</v>
      </c>
      <c r="V482" s="4590">
        <f t="shared" si="366"/>
        <v>13320.056</v>
      </c>
      <c r="W482" s="4954"/>
      <c r="X482" s="4954"/>
      <c r="Y482" s="4954"/>
      <c r="Z482" s="4954"/>
      <c r="AA482" s="4954"/>
      <c r="AB482" s="4954"/>
      <c r="AC482" s="4954"/>
      <c r="AD482" s="4954"/>
      <c r="AE482" s="4954"/>
      <c r="AF482" s="4954"/>
      <c r="AH482" s="4798"/>
    </row>
    <row r="483" spans="1:34" s="766" customFormat="1" hidden="1">
      <c r="A483" s="4585" t="str">
        <f>A$23</f>
        <v>SBC</v>
      </c>
      <c r="B483" s="4590"/>
      <c r="C483" s="4590"/>
      <c r="D483" s="4590"/>
      <c r="E483" s="4590"/>
      <c r="F483" s="4590"/>
      <c r="G483" s="4590"/>
      <c r="H483" s="4590"/>
      <c r="I483" s="4590"/>
      <c r="J483" s="4590"/>
      <c r="K483" s="4590"/>
      <c r="L483" s="4590"/>
      <c r="M483" s="4590"/>
      <c r="N483" s="4590"/>
      <c r="O483" s="4590">
        <f t="shared" si="366"/>
        <v>2911</v>
      </c>
      <c r="P483" s="4590">
        <f t="shared" si="366"/>
        <v>3677</v>
      </c>
      <c r="Q483" s="4590">
        <f t="shared" si="366"/>
        <v>4604</v>
      </c>
      <c r="R483" s="4590">
        <f t="shared" si="366"/>
        <v>5926</v>
      </c>
      <c r="S483" s="4590">
        <f t="shared" si="366"/>
        <v>7168</v>
      </c>
      <c r="T483" s="4590">
        <f t="shared" si="366"/>
        <v>8864</v>
      </c>
      <c r="U483" s="4590">
        <f t="shared" si="366"/>
        <v>10320</v>
      </c>
      <c r="V483" s="4590">
        <f t="shared" si="366"/>
        <v>12458.58155505618</v>
      </c>
      <c r="W483" s="4954"/>
      <c r="X483" s="4954"/>
      <c r="Y483" s="4954"/>
      <c r="Z483" s="4954"/>
      <c r="AA483" s="4954"/>
      <c r="AB483" s="4954"/>
      <c r="AC483" s="4954"/>
      <c r="AD483" s="4954"/>
      <c r="AE483" s="4954"/>
      <c r="AF483" s="4954"/>
      <c r="AH483" s="4798"/>
    </row>
    <row r="484" spans="1:34" s="766" customFormat="1" hidden="1">
      <c r="A484" s="4586" t="str">
        <f>A$25</f>
        <v>Adj. EBITDA</v>
      </c>
      <c r="B484" s="4589"/>
      <c r="C484" s="4589"/>
      <c r="D484" s="4589"/>
      <c r="E484" s="4589"/>
      <c r="F484" s="4589"/>
      <c r="G484" s="4589"/>
      <c r="H484" s="4589"/>
      <c r="I484" s="4589"/>
      <c r="J484" s="4589"/>
      <c r="K484" s="4589"/>
      <c r="L484" s="4589"/>
      <c r="M484" s="4589"/>
      <c r="N484" s="4589"/>
      <c r="O484" s="4589">
        <f t="shared" ref="O484:V484" si="367">O475+SUM(O482:O483)</f>
        <v>22839</v>
      </c>
      <c r="P484" s="4589">
        <f t="shared" si="367"/>
        <v>27466</v>
      </c>
      <c r="Q484" s="4589">
        <f t="shared" si="367"/>
        <v>32790</v>
      </c>
      <c r="R484" s="4589">
        <f t="shared" si="367"/>
        <v>39618</v>
      </c>
      <c r="S484" s="4589">
        <f t="shared" si="367"/>
        <v>46063</v>
      </c>
      <c r="T484" s="4589">
        <f t="shared" si="367"/>
        <v>56361</v>
      </c>
      <c r="U484" s="4589">
        <f t="shared" si="367"/>
        <v>65889</v>
      </c>
      <c r="V484" s="4589">
        <f t="shared" si="367"/>
        <v>74777.637555056179</v>
      </c>
      <c r="W484" s="4954"/>
      <c r="X484" s="4954"/>
      <c r="Y484" s="4954"/>
      <c r="Z484" s="4954"/>
      <c r="AA484" s="4954"/>
      <c r="AB484" s="4954"/>
      <c r="AC484" s="4954"/>
      <c r="AD484" s="4954"/>
      <c r="AE484" s="4954"/>
      <c r="AF484" s="4954"/>
      <c r="AH484" s="4797"/>
    </row>
    <row r="485" spans="1:34" s="766" customFormat="1" hidden="1">
      <c r="A485" s="4581"/>
      <c r="B485" s="4582"/>
      <c r="C485" s="4582"/>
      <c r="D485" s="4582"/>
      <c r="E485" s="4582"/>
      <c r="F485" s="4582"/>
      <c r="G485" s="4582"/>
      <c r="H485" s="4582"/>
      <c r="I485" s="4582"/>
      <c r="J485" s="4582"/>
      <c r="K485" s="4582"/>
      <c r="L485" s="4582"/>
      <c r="M485" s="4582"/>
      <c r="N485" s="4582"/>
      <c r="O485" s="4582"/>
      <c r="P485" s="4582"/>
      <c r="Q485" s="4582"/>
      <c r="R485" s="4582"/>
      <c r="S485" s="4582"/>
      <c r="T485" s="4582"/>
      <c r="U485" s="4582"/>
      <c r="V485" s="4582"/>
      <c r="W485" s="4957"/>
      <c r="X485" s="4957"/>
      <c r="Y485" s="4957"/>
      <c r="Z485" s="4957"/>
      <c r="AA485" s="4957"/>
      <c r="AB485" s="4957"/>
      <c r="AC485" s="4957"/>
      <c r="AD485" s="4957"/>
      <c r="AE485" s="4957"/>
      <c r="AF485" s="4957"/>
      <c r="AH485" s="4796"/>
    </row>
    <row r="486" spans="1:34" s="766" customFormat="1" hidden="1">
      <c r="A486" s="4596" t="s">
        <v>892</v>
      </c>
      <c r="B486" s="4592"/>
      <c r="C486" s="4592"/>
      <c r="D486" s="4592"/>
      <c r="E486" s="4592"/>
      <c r="F486" s="4592"/>
      <c r="G486" s="4592"/>
      <c r="H486" s="4592"/>
      <c r="I486" s="4592"/>
      <c r="J486" s="4592"/>
      <c r="K486" s="4592"/>
      <c r="L486" s="4592"/>
      <c r="M486" s="4592"/>
      <c r="N486" s="4592"/>
      <c r="O486" s="4592"/>
      <c r="P486" s="4592"/>
      <c r="Q486" s="4592"/>
      <c r="R486" s="4592"/>
      <c r="S486" s="4592"/>
      <c r="T486" s="4592"/>
      <c r="U486" s="4592"/>
      <c r="V486" s="4592"/>
      <c r="W486" s="4954"/>
      <c r="X486" s="4954"/>
      <c r="Y486" s="4954"/>
      <c r="Z486" s="4954"/>
      <c r="AA486" s="4954"/>
      <c r="AB486" s="4954"/>
      <c r="AC486" s="4954"/>
      <c r="AD486" s="4954"/>
      <c r="AE486" s="4954"/>
      <c r="AF486" s="4954"/>
      <c r="AH486" s="4798"/>
    </row>
    <row r="487" spans="1:34" s="766" customFormat="1" hidden="1">
      <c r="A487" s="4595" t="str">
        <f>A469</f>
        <v>Gross Revenue</v>
      </c>
      <c r="B487" s="4247"/>
      <c r="C487" s="4247"/>
      <c r="D487" s="4247"/>
      <c r="E487" s="4247"/>
      <c r="F487" s="4247"/>
      <c r="G487" s="4247"/>
      <c r="H487" s="4247"/>
      <c r="I487" s="4247"/>
      <c r="J487" s="4247"/>
      <c r="K487" s="4247"/>
      <c r="L487" s="4247"/>
      <c r="M487" s="4247"/>
      <c r="N487" s="4247"/>
      <c r="O487" s="4247"/>
      <c r="P487" s="4247">
        <f t="shared" ref="P487:V487" si="368">IF(P469*O469&lt;=0,"NA",(P469-O469)/ABS(O469))</f>
        <v>0.18316608716017799</v>
      </c>
      <c r="Q487" s="4247">
        <f t="shared" si="368"/>
        <v>0.13506105917105704</v>
      </c>
      <c r="R487" s="4247">
        <f t="shared" si="368"/>
        <v>0.20013683193818416</v>
      </c>
      <c r="S487" s="4247">
        <f t="shared" si="368"/>
        <v>0.23567284799302504</v>
      </c>
      <c r="T487" s="4247">
        <f t="shared" si="368"/>
        <v>0.23352058400499334</v>
      </c>
      <c r="U487" s="4247">
        <f t="shared" si="368"/>
        <v>0.17879614555374665</v>
      </c>
      <c r="V487" s="4247">
        <f t="shared" si="368"/>
        <v>0.13033849063411782</v>
      </c>
      <c r="W487" s="4815"/>
      <c r="X487" s="4815"/>
      <c r="Y487" s="4815"/>
      <c r="Z487" s="4815"/>
      <c r="AA487" s="4815"/>
      <c r="AB487" s="4815"/>
      <c r="AC487" s="4815"/>
      <c r="AD487" s="4815"/>
      <c r="AE487" s="4815"/>
      <c r="AF487" s="4815"/>
      <c r="AH487" s="4799"/>
    </row>
    <row r="488" spans="1:34" s="766" customFormat="1" hidden="1">
      <c r="A488" s="4595" t="str">
        <f>A471</f>
        <v>Net Revenue</v>
      </c>
      <c r="B488" s="4247"/>
      <c r="C488" s="4247"/>
      <c r="D488" s="4247"/>
      <c r="E488" s="4247"/>
      <c r="F488" s="4247"/>
      <c r="G488" s="4247"/>
      <c r="H488" s="4247"/>
      <c r="I488" s="4247"/>
      <c r="J488" s="4247"/>
      <c r="K488" s="4247"/>
      <c r="L488" s="4247"/>
      <c r="M488" s="4247"/>
      <c r="N488" s="4247"/>
      <c r="O488" s="4247"/>
      <c r="P488" s="4247">
        <f t="shared" ref="P488:V492" si="369">IF(P471*O471&lt;=0,"NA",(P471-O471)/ABS(O471))</f>
        <v>0.20643251867095194</v>
      </c>
      <c r="Q488" s="4247">
        <f t="shared" si="369"/>
        <v>0.15378423443279607</v>
      </c>
      <c r="R488" s="4247">
        <f t="shared" si="369"/>
        <v>0.20712280526901547</v>
      </c>
      <c r="S488" s="4247">
        <f t="shared" si="369"/>
        <v>0.22299435805696988</v>
      </c>
      <c r="T488" s="4247">
        <f t="shared" si="369"/>
        <v>0.23359774964838256</v>
      </c>
      <c r="U488" s="4247">
        <f t="shared" si="369"/>
        <v>0.19170710350614761</v>
      </c>
      <c r="V488" s="4247">
        <f t="shared" si="369"/>
        <v>0.13977375357815297</v>
      </c>
      <c r="W488" s="4815"/>
      <c r="X488" s="4815"/>
      <c r="Y488" s="4815"/>
      <c r="Z488" s="4815"/>
      <c r="AA488" s="4815"/>
      <c r="AB488" s="4815"/>
      <c r="AC488" s="4815"/>
      <c r="AD488" s="4815"/>
      <c r="AE488" s="4815"/>
      <c r="AF488" s="4815"/>
      <c r="AH488" s="4799"/>
    </row>
    <row r="489" spans="1:34" s="766" customFormat="1" hidden="1">
      <c r="A489" s="4603" t="str">
        <f>A472</f>
        <v>Other Cost Of Revenues</v>
      </c>
      <c r="B489" s="4247"/>
      <c r="C489" s="4247"/>
      <c r="D489" s="4247"/>
      <c r="E489" s="4247"/>
      <c r="F489" s="4247"/>
      <c r="G489" s="4247"/>
      <c r="H489" s="4247"/>
      <c r="I489" s="4247"/>
      <c r="J489" s="4247"/>
      <c r="K489" s="4247"/>
      <c r="L489" s="4247"/>
      <c r="M489" s="4247"/>
      <c r="N489" s="4247"/>
      <c r="O489" s="4247"/>
      <c r="P489" s="4247">
        <f t="shared" si="369"/>
        <v>0.24297634461639642</v>
      </c>
      <c r="Q489" s="4247">
        <f t="shared" si="369"/>
        <v>0.13158177564298651</v>
      </c>
      <c r="R489" s="4247">
        <f t="shared" si="369"/>
        <v>0.3225424657534246</v>
      </c>
      <c r="S489" s="4247">
        <f t="shared" si="369"/>
        <v>0.31297680405252387</v>
      </c>
      <c r="T489" s="4247">
        <f t="shared" si="369"/>
        <v>0.37096672402694381</v>
      </c>
      <c r="U489" s="4247">
        <f t="shared" si="369"/>
        <v>0.27492404480589233</v>
      </c>
      <c r="V489" s="4247">
        <f t="shared" si="369"/>
        <v>0.24426984791808073</v>
      </c>
      <c r="W489" s="4815"/>
      <c r="X489" s="4815"/>
      <c r="Y489" s="4815"/>
      <c r="Z489" s="4815"/>
      <c r="AA489" s="4815"/>
      <c r="AB489" s="4815"/>
      <c r="AC489" s="4815"/>
      <c r="AD489" s="4815"/>
      <c r="AE489" s="4815"/>
      <c r="AF489" s="4815"/>
      <c r="AH489" s="4799"/>
    </row>
    <row r="490" spans="1:34" s="766" customFormat="1" hidden="1">
      <c r="A490" s="4595" t="str">
        <f>A473</f>
        <v>Gross Profit</v>
      </c>
      <c r="B490" s="4247"/>
      <c r="C490" s="4247"/>
      <c r="D490" s="4247"/>
      <c r="E490" s="4247"/>
      <c r="F490" s="4247"/>
      <c r="G490" s="4247"/>
      <c r="H490" s="4247"/>
      <c r="I490" s="4247"/>
      <c r="J490" s="4247"/>
      <c r="K490" s="4247"/>
      <c r="L490" s="4247"/>
      <c r="M490" s="4247"/>
      <c r="N490" s="4247"/>
      <c r="O490" s="4247"/>
      <c r="P490" s="4247">
        <f t="shared" si="369"/>
        <v>0.1958224932572738</v>
      </c>
      <c r="Q490" s="4247">
        <f t="shared" si="369"/>
        <v>0.16048461743814421</v>
      </c>
      <c r="R490" s="4247">
        <f t="shared" si="369"/>
        <v>0.17315833037720227</v>
      </c>
      <c r="S490" s="4247">
        <f t="shared" si="369"/>
        <v>0.19314356295024349</v>
      </c>
      <c r="T490" s="4247">
        <f t="shared" si="369"/>
        <v>0.1834500384750665</v>
      </c>
      <c r="U490" s="4247">
        <f t="shared" si="369"/>
        <v>0.15651451635929456</v>
      </c>
      <c r="V490" s="4247">
        <f t="shared" si="369"/>
        <v>9.1057629507600629E-2</v>
      </c>
      <c r="W490" s="4815"/>
      <c r="X490" s="4815"/>
      <c r="Y490" s="4815"/>
      <c r="Z490" s="4815"/>
      <c r="AA490" s="4815"/>
      <c r="AB490" s="4815"/>
      <c r="AC490" s="4815"/>
      <c r="AD490" s="4815"/>
      <c r="AE490" s="4815"/>
      <c r="AF490" s="4815"/>
      <c r="AH490" s="4799"/>
    </row>
    <row r="491" spans="1:34" s="766" customFormat="1" hidden="1">
      <c r="A491" s="4603" t="str">
        <f>A474</f>
        <v>GAAP Expenses</v>
      </c>
      <c r="B491" s="4247"/>
      <c r="C491" s="4247"/>
      <c r="D491" s="4247"/>
      <c r="E491" s="4247"/>
      <c r="F491" s="4247"/>
      <c r="G491" s="4247"/>
      <c r="H491" s="4247"/>
      <c r="I491" s="4247"/>
      <c r="J491" s="4247"/>
      <c r="K491" s="4247"/>
      <c r="L491" s="4247"/>
      <c r="M491" s="4247"/>
      <c r="N491" s="4247"/>
      <c r="O491" s="4247"/>
      <c r="P491" s="4247">
        <f t="shared" si="369"/>
        <v>0.22091716113480439</v>
      </c>
      <c r="Q491" s="4247">
        <f t="shared" si="369"/>
        <v>9.9496442826564738E-2</v>
      </c>
      <c r="R491" s="4247">
        <f t="shared" si="369"/>
        <v>0.15147734875790461</v>
      </c>
      <c r="S491" s="4247">
        <f t="shared" si="369"/>
        <v>0.23033697335027767</v>
      </c>
      <c r="T491" s="4247">
        <f t="shared" si="369"/>
        <v>0.16580997620360699</v>
      </c>
      <c r="U491" s="4247">
        <f t="shared" si="369"/>
        <v>0.16974021222100272</v>
      </c>
      <c r="V491" s="4247">
        <f t="shared" si="369"/>
        <v>7.7512590321874242E-2</v>
      </c>
      <c r="W491" s="4815"/>
      <c r="X491" s="4815"/>
      <c r="Y491" s="4815"/>
      <c r="Z491" s="4815"/>
      <c r="AA491" s="4815"/>
      <c r="AB491" s="4815"/>
      <c r="AC491" s="4815"/>
      <c r="AD491" s="4815"/>
      <c r="AE491" s="4815"/>
      <c r="AF491" s="4815"/>
      <c r="AH491" s="4799"/>
    </row>
    <row r="492" spans="1:34" s="766" customFormat="1" hidden="1">
      <c r="A492" s="4595" t="str">
        <f>A475</f>
        <v>GAAP Operating Income</v>
      </c>
      <c r="B492" s="4247"/>
      <c r="C492" s="4247"/>
      <c r="D492" s="4247"/>
      <c r="E492" s="4247"/>
      <c r="F492" s="4247"/>
      <c r="G492" s="4247"/>
      <c r="H492" s="4247"/>
      <c r="I492" s="4247"/>
      <c r="J492" s="4247"/>
      <c r="K492" s="4247"/>
      <c r="L492" s="4247"/>
      <c r="M492" s="4247"/>
      <c r="N492" s="4247"/>
      <c r="O492" s="4247"/>
      <c r="P492" s="4247">
        <f t="shared" si="369"/>
        <v>0.16918819188191883</v>
      </c>
      <c r="Q492" s="4247">
        <f t="shared" si="369"/>
        <v>0.22807848087949081</v>
      </c>
      <c r="R492" s="4247">
        <f t="shared" si="369"/>
        <v>0.19467169229451323</v>
      </c>
      <c r="S492" s="4247">
        <f t="shared" si="369"/>
        <v>0.15757206367417181</v>
      </c>
      <c r="T492" s="4247">
        <f t="shared" si="369"/>
        <v>0.20138136091925543</v>
      </c>
      <c r="U492" s="4247">
        <f t="shared" si="369"/>
        <v>0.14346850911340844</v>
      </c>
      <c r="V492" s="4247">
        <f t="shared" si="369"/>
        <v>0.10472561662984173</v>
      </c>
      <c r="W492" s="4815"/>
      <c r="X492" s="4815"/>
      <c r="Y492" s="4815"/>
      <c r="Z492" s="4815"/>
      <c r="AA492" s="4815"/>
      <c r="AB492" s="4815"/>
      <c r="AC492" s="4815"/>
      <c r="AD492" s="4815"/>
      <c r="AE492" s="4815"/>
      <c r="AF492" s="4815"/>
      <c r="AH492" s="4799"/>
    </row>
    <row r="493" spans="1:34" s="766" customFormat="1" hidden="1">
      <c r="A493" s="4595" t="str">
        <f>A480</f>
        <v>GAAP EPS</v>
      </c>
      <c r="B493" s="4247"/>
      <c r="C493" s="4247"/>
      <c r="D493" s="4247"/>
      <c r="E493" s="4247"/>
      <c r="F493" s="4247"/>
      <c r="G493" s="4247"/>
      <c r="H493" s="4247"/>
      <c r="I493" s="4247"/>
      <c r="J493" s="4247"/>
      <c r="K493" s="4247"/>
      <c r="L493" s="4247"/>
      <c r="M493" s="4247"/>
      <c r="N493" s="4247"/>
      <c r="O493" s="4247"/>
      <c r="P493" s="4247">
        <f t="shared" ref="P493:V493" si="370">IF(P480*O480&lt;=0,"NA",(P480-O480)/ABS(O480))</f>
        <v>0.14380599397473617</v>
      </c>
      <c r="Q493" s="4247">
        <f t="shared" si="370"/>
        <v>0.25036898498955928</v>
      </c>
      <c r="R493" s="4247">
        <f t="shared" si="370"/>
        <v>0.15210079634223378</v>
      </c>
      <c r="S493" s="4247">
        <f t="shared" si="370"/>
        <v>-0.22057729122072436</v>
      </c>
      <c r="T493" s="4247">
        <f t="shared" si="370"/>
        <v>1.0160202988533436</v>
      </c>
      <c r="U493" s="4247">
        <f t="shared" si="370"/>
        <v>0.12410579531586043</v>
      </c>
      <c r="V493" s="4247">
        <f t="shared" si="370"/>
        <v>3.8929126483596692E-2</v>
      </c>
      <c r="W493" s="4815"/>
      <c r="X493" s="4815"/>
      <c r="Y493" s="4815"/>
      <c r="Z493" s="4815"/>
      <c r="AA493" s="4815"/>
      <c r="AB493" s="4815"/>
      <c r="AC493" s="4815"/>
      <c r="AD493" s="4815"/>
      <c r="AE493" s="4815"/>
      <c r="AF493" s="4815"/>
      <c r="AH493" s="4799"/>
    </row>
    <row r="494" spans="1:34" s="766" customFormat="1" hidden="1">
      <c r="A494" s="4603" t="str">
        <f>A482</f>
        <v>D&amp;A</v>
      </c>
      <c r="B494" s="4247"/>
      <c r="C494" s="4247"/>
      <c r="D494" s="4247"/>
      <c r="E494" s="4247"/>
      <c r="F494" s="4247"/>
      <c r="G494" s="4247"/>
      <c r="H494" s="4247"/>
      <c r="I494" s="4247"/>
      <c r="J494" s="4247"/>
      <c r="K494" s="4247"/>
      <c r="L494" s="4247"/>
      <c r="M494" s="4247"/>
      <c r="N494" s="4247"/>
      <c r="O494" s="4247"/>
      <c r="P494" s="4247">
        <f t="shared" ref="P494:V496" si="371">IF(P482*O482&lt;=0,"NA",(P482-O482)/ABS(O482))</f>
        <v>0.30261723009814612</v>
      </c>
      <c r="Q494" s="4247">
        <f t="shared" si="371"/>
        <v>1.2766848053578903E-2</v>
      </c>
      <c r="R494" s="4247">
        <f t="shared" si="371"/>
        <v>0.19859475098160778</v>
      </c>
      <c r="S494" s="4247">
        <f t="shared" si="371"/>
        <v>0.1393103448275862</v>
      </c>
      <c r="T494" s="4247">
        <f t="shared" si="371"/>
        <v>0.31779661016949151</v>
      </c>
      <c r="U494" s="4247">
        <f t="shared" si="371"/>
        <v>0.2878961874138723</v>
      </c>
      <c r="V494" s="4247">
        <f t="shared" si="371"/>
        <v>0.18770004458314762</v>
      </c>
      <c r="W494" s="4815"/>
      <c r="X494" s="4815"/>
      <c r="Y494" s="4815"/>
      <c r="Z494" s="4815"/>
      <c r="AA494" s="4815"/>
      <c r="AB494" s="4815"/>
      <c r="AC494" s="4815"/>
      <c r="AD494" s="4815"/>
      <c r="AE494" s="4815"/>
      <c r="AF494" s="4815"/>
      <c r="AH494" s="4799"/>
    </row>
    <row r="495" spans="1:34" s="766" customFormat="1" hidden="1">
      <c r="A495" s="4603" t="str">
        <f>A483</f>
        <v>SBC</v>
      </c>
      <c r="B495" s="4247"/>
      <c r="C495" s="4247"/>
      <c r="D495" s="4247"/>
      <c r="E495" s="4247"/>
      <c r="F495" s="4247"/>
      <c r="G495" s="4247"/>
      <c r="H495" s="4247"/>
      <c r="I495" s="4247"/>
      <c r="J495" s="4247"/>
      <c r="K495" s="4247"/>
      <c r="L495" s="4247"/>
      <c r="M495" s="4247"/>
      <c r="N495" s="4247"/>
      <c r="O495" s="4247"/>
      <c r="P495" s="4247">
        <f t="shared" si="371"/>
        <v>0.26313981449673651</v>
      </c>
      <c r="Q495" s="4247">
        <f t="shared" si="371"/>
        <v>0.25210769649170517</v>
      </c>
      <c r="R495" s="4247">
        <f t="shared" si="371"/>
        <v>0.28714161598609905</v>
      </c>
      <c r="S495" s="4247">
        <f t="shared" si="371"/>
        <v>0.20958488018899762</v>
      </c>
      <c r="T495" s="4247">
        <f t="shared" si="371"/>
        <v>0.23660714285714285</v>
      </c>
      <c r="U495" s="4247">
        <f t="shared" si="371"/>
        <v>0.16425992779783394</v>
      </c>
      <c r="V495" s="4247">
        <f t="shared" si="371"/>
        <v>0.20722689486978491</v>
      </c>
      <c r="W495" s="4815"/>
      <c r="X495" s="4815"/>
      <c r="Y495" s="4815"/>
      <c r="Z495" s="4815"/>
      <c r="AA495" s="4815"/>
      <c r="AB495" s="4815"/>
      <c r="AC495" s="4815"/>
      <c r="AD495" s="4815"/>
      <c r="AE495" s="4815"/>
      <c r="AF495" s="4815"/>
      <c r="AH495" s="4799"/>
    </row>
    <row r="496" spans="1:34" s="766" customFormat="1" hidden="1">
      <c r="A496" s="4595" t="str">
        <f>A484</f>
        <v>Adj. EBITDA</v>
      </c>
      <c r="B496" s="4247"/>
      <c r="C496" s="4247"/>
      <c r="D496" s="4247"/>
      <c r="E496" s="4247"/>
      <c r="F496" s="4247"/>
      <c r="G496" s="4247"/>
      <c r="H496" s="4247"/>
      <c r="I496" s="4247"/>
      <c r="J496" s="4247"/>
      <c r="K496" s="4247"/>
      <c r="L496" s="4247"/>
      <c r="M496" s="4247"/>
      <c r="N496" s="4247"/>
      <c r="O496" s="4247"/>
      <c r="P496" s="4247">
        <f t="shared" si="371"/>
        <v>0.20259205744559744</v>
      </c>
      <c r="Q496" s="4247">
        <f t="shared" si="371"/>
        <v>0.19383965630233743</v>
      </c>
      <c r="R496" s="4247">
        <f t="shared" si="371"/>
        <v>0.2082342177493138</v>
      </c>
      <c r="S496" s="4247">
        <f t="shared" si="371"/>
        <v>0.16267858044323288</v>
      </c>
      <c r="T496" s="4247">
        <f t="shared" si="371"/>
        <v>0.22356338058745631</v>
      </c>
      <c r="U496" s="4247">
        <f t="shared" si="371"/>
        <v>0.16905306861127375</v>
      </c>
      <c r="V496" s="4247">
        <f t="shared" si="371"/>
        <v>0.13490320926188254</v>
      </c>
      <c r="W496" s="4815"/>
      <c r="X496" s="4815"/>
      <c r="Y496" s="4815"/>
      <c r="Z496" s="4815"/>
      <c r="AA496" s="4815"/>
      <c r="AB496" s="4815"/>
      <c r="AC496" s="4815"/>
      <c r="AD496" s="4815"/>
      <c r="AE496" s="4815"/>
      <c r="AF496" s="4815"/>
      <c r="AH496" s="4799"/>
    </row>
    <row r="497" spans="1:34" s="766" customFormat="1" hidden="1">
      <c r="A497" s="4593" t="s">
        <v>891</v>
      </c>
      <c r="B497" s="4592"/>
      <c r="C497" s="4592"/>
      <c r="D497" s="4592"/>
      <c r="E497" s="4592"/>
      <c r="F497" s="4592"/>
      <c r="G497" s="4592"/>
      <c r="H497" s="4592"/>
      <c r="I497" s="4592"/>
      <c r="J497" s="4592"/>
      <c r="K497" s="4592"/>
      <c r="L497" s="4592"/>
      <c r="M497" s="4592"/>
      <c r="N497" s="4592"/>
      <c r="O497" s="4592"/>
      <c r="P497" s="4592"/>
      <c r="Q497" s="4592"/>
      <c r="R497" s="4592"/>
      <c r="S497" s="4592"/>
      <c r="T497" s="4592"/>
      <c r="U497" s="4592"/>
      <c r="V497" s="4592"/>
      <c r="W497" s="4954"/>
      <c r="X497" s="4954"/>
      <c r="Y497" s="4954"/>
      <c r="Z497" s="4954"/>
      <c r="AA497" s="4954"/>
      <c r="AB497" s="4954"/>
      <c r="AC497" s="4954"/>
      <c r="AD497" s="4954"/>
      <c r="AE497" s="4954"/>
      <c r="AF497" s="4954"/>
      <c r="AH497" s="4798"/>
    </row>
    <row r="498" spans="1:34" s="766" customFormat="1" hidden="1">
      <c r="A498" s="4581" t="str">
        <f>A471</f>
        <v>Net Revenue</v>
      </c>
      <c r="B498" s="4594"/>
      <c r="C498" s="4594"/>
      <c r="D498" s="4594"/>
      <c r="E498" s="4594"/>
      <c r="F498" s="4594"/>
      <c r="G498" s="4594"/>
      <c r="H498" s="4594"/>
      <c r="I498" s="4594"/>
      <c r="J498" s="4594"/>
      <c r="K498" s="4594"/>
      <c r="L498" s="4594"/>
      <c r="M498" s="4594"/>
      <c r="N498" s="4594"/>
      <c r="O498" s="4594">
        <f t="shared" ref="O498:V498" si="372">O471/O469</f>
        <v>0.77916298845190701</v>
      </c>
      <c r="P498" s="4594">
        <f t="shared" si="372"/>
        <v>0.79448487986113225</v>
      </c>
      <c r="Q498" s="4594">
        <f t="shared" si="372"/>
        <v>0.80759014810045071</v>
      </c>
      <c r="R498" s="4594">
        <f t="shared" si="372"/>
        <v>0.81229111476252758</v>
      </c>
      <c r="S498" s="4594">
        <f t="shared" si="372"/>
        <v>0.80395668810551169</v>
      </c>
      <c r="T498" s="4594">
        <f t="shared" si="372"/>
        <v>0.80400698141711036</v>
      </c>
      <c r="U498" s="4594">
        <f t="shared" si="372"/>
        <v>0.8128129996329545</v>
      </c>
      <c r="V498" s="4594">
        <f t="shared" si="372"/>
        <v>0.81959778528735128</v>
      </c>
      <c r="W498" s="4958"/>
      <c r="X498" s="4958"/>
      <c r="Y498" s="4958"/>
      <c r="Z498" s="4958"/>
      <c r="AA498" s="4958"/>
      <c r="AB498" s="4958"/>
      <c r="AC498" s="4958"/>
      <c r="AD498" s="4958"/>
      <c r="AE498" s="4958"/>
      <c r="AF498" s="4958"/>
      <c r="AH498" s="4797"/>
    </row>
    <row r="499" spans="1:34" s="766" customFormat="1" hidden="1">
      <c r="A499" s="4581" t="str">
        <f>A473</f>
        <v>Gross Profit</v>
      </c>
      <c r="B499" s="4594"/>
      <c r="C499" s="4594"/>
      <c r="D499" s="4594"/>
      <c r="E499" s="4594"/>
      <c r="F499" s="4594"/>
      <c r="G499" s="4594"/>
      <c r="H499" s="4594"/>
      <c r="I499" s="4594"/>
      <c r="J499" s="4594"/>
      <c r="K499" s="4594"/>
      <c r="L499" s="4594"/>
      <c r="M499" s="4594"/>
      <c r="N499" s="4594"/>
      <c r="O499" s="4594">
        <f t="shared" ref="O499:V499" si="373">O473/O469</f>
        <v>0.6038445601455672</v>
      </c>
      <c r="P499" s="4594">
        <f t="shared" si="373"/>
        <v>0.61030392544994971</v>
      </c>
      <c r="Q499" s="4594">
        <f t="shared" si="373"/>
        <v>0.62397376046361885</v>
      </c>
      <c r="R499" s="4594">
        <f t="shared" si="373"/>
        <v>0.60994712898069592</v>
      </c>
      <c r="S499" s="4594">
        <f t="shared" si="373"/>
        <v>0.58895401955729232</v>
      </c>
      <c r="T499" s="4594">
        <f t="shared" si="373"/>
        <v>0.56504744723603351</v>
      </c>
      <c r="U499" s="4594">
        <f t="shared" si="373"/>
        <v>0.55436690866787364</v>
      </c>
      <c r="V499" s="4594">
        <f t="shared" si="373"/>
        <v>0.53510187458033842</v>
      </c>
      <c r="W499" s="4958"/>
      <c r="X499" s="4958"/>
      <c r="Y499" s="4958"/>
      <c r="Z499" s="4958"/>
      <c r="AA499" s="4958"/>
      <c r="AB499" s="4958"/>
      <c r="AC499" s="4958"/>
      <c r="AD499" s="4958"/>
      <c r="AE499" s="4958"/>
      <c r="AF499" s="4958"/>
      <c r="AH499" s="4797"/>
    </row>
    <row r="500" spans="1:34" s="766" customFormat="1" hidden="1">
      <c r="A500" s="4581" t="str">
        <f>A484</f>
        <v>Adj. EBITDA</v>
      </c>
      <c r="B500" s="4594"/>
      <c r="C500" s="4594"/>
      <c r="D500" s="4594"/>
      <c r="E500" s="4594"/>
      <c r="F500" s="4594"/>
      <c r="G500" s="4594"/>
      <c r="H500" s="4594"/>
      <c r="I500" s="4594"/>
      <c r="J500" s="4594"/>
      <c r="K500" s="4594"/>
      <c r="L500" s="4594"/>
      <c r="M500" s="4594"/>
      <c r="N500" s="4594"/>
      <c r="O500" s="4594">
        <f t="shared" ref="O500:V500" si="374">O484/O469</f>
        <v>0.4114616174536545</v>
      </c>
      <c r="P500" s="4594">
        <f t="shared" si="374"/>
        <v>0.41821725492584583</v>
      </c>
      <c r="Q500" s="4594">
        <f t="shared" si="374"/>
        <v>0.4398744365743722</v>
      </c>
      <c r="R500" s="4594">
        <f t="shared" si="374"/>
        <v>0.4428422923443211</v>
      </c>
      <c r="S500" s="4594">
        <f t="shared" si="374"/>
        <v>0.41668249703745919</v>
      </c>
      <c r="T500" s="4594">
        <f t="shared" si="374"/>
        <v>0.41331895982751793</v>
      </c>
      <c r="U500" s="4607">
        <f t="shared" si="374"/>
        <v>0.40990276403949161</v>
      </c>
      <c r="V500" s="4607">
        <f t="shared" si="374"/>
        <v>0.41155810073561139</v>
      </c>
      <c r="W500" s="4959"/>
      <c r="X500" s="4959"/>
      <c r="Y500" s="4959"/>
      <c r="Z500" s="4959"/>
      <c r="AA500" s="4959"/>
      <c r="AB500" s="4959"/>
      <c r="AC500" s="4959"/>
      <c r="AD500" s="4959"/>
      <c r="AE500" s="4959"/>
      <c r="AF500" s="4959"/>
      <c r="AH500" s="4797"/>
    </row>
    <row r="501" spans="1:34" s="766" customFormat="1" hidden="1">
      <c r="A501" s="4581" t="str">
        <f>A475</f>
        <v>GAAP Operating Income</v>
      </c>
      <c r="B501" s="4594"/>
      <c r="C501" s="4594"/>
      <c r="D501" s="4594"/>
      <c r="E501" s="4594"/>
      <c r="F501" s="4594"/>
      <c r="G501" s="4594"/>
      <c r="H501" s="4594"/>
      <c r="I501" s="4594"/>
      <c r="J501" s="4594"/>
      <c r="K501" s="4594"/>
      <c r="L501" s="4594"/>
      <c r="M501" s="4594"/>
      <c r="N501" s="4594"/>
      <c r="O501" s="4594">
        <f t="shared" ref="O501:V501" si="375">O475/O469</f>
        <v>0.29293602608679986</v>
      </c>
      <c r="P501" s="4594">
        <f t="shared" si="375"/>
        <v>0.28947528702378417</v>
      </c>
      <c r="Q501" s="4594">
        <f t="shared" si="375"/>
        <v>0.31319757458682118</v>
      </c>
      <c r="R501" s="4594">
        <f t="shared" si="375"/>
        <v>0.31177134681376656</v>
      </c>
      <c r="S501" s="4594">
        <f t="shared" si="375"/>
        <v>0.29206581815879218</v>
      </c>
      <c r="T501" s="4594">
        <f t="shared" si="375"/>
        <v>0.28445608013962836</v>
      </c>
      <c r="U501" s="4594">
        <f t="shared" si="375"/>
        <v>0.27593114474658303</v>
      </c>
      <c r="V501" s="4594">
        <f t="shared" si="375"/>
        <v>0.2696786905456427</v>
      </c>
      <c r="W501" s="4958"/>
      <c r="X501" s="4958"/>
      <c r="Y501" s="4958"/>
      <c r="Z501" s="4958"/>
      <c r="AA501" s="4958"/>
      <c r="AB501" s="4958"/>
      <c r="AC501" s="4958"/>
      <c r="AD501" s="4958"/>
      <c r="AE501" s="4958"/>
      <c r="AF501" s="4958"/>
      <c r="AH501" s="4797"/>
    </row>
    <row r="502" spans="1:34" s="766" customFormat="1" hidden="1">
      <c r="A502" s="4581" t="str">
        <f>A479</f>
        <v>GAAP Net Income</v>
      </c>
      <c r="B502" s="4594"/>
      <c r="C502" s="4594"/>
      <c r="D502" s="4594"/>
      <c r="E502" s="4594"/>
      <c r="F502" s="4594"/>
      <c r="G502" s="4594"/>
      <c r="H502" s="4594"/>
      <c r="I502" s="4594"/>
      <c r="J502" s="4594"/>
      <c r="K502" s="4594"/>
      <c r="L502" s="4594"/>
      <c r="M502" s="4594"/>
      <c r="N502" s="4594"/>
      <c r="O502" s="4594">
        <f t="shared" ref="O502:V502" si="376">O479/O469</f>
        <v>0.25304916497018393</v>
      </c>
      <c r="P502" s="4594">
        <f t="shared" si="376"/>
        <v>0.24804336571550384</v>
      </c>
      <c r="Q502" s="4594">
        <f t="shared" si="376"/>
        <v>0.27557191993990127</v>
      </c>
      <c r="R502" s="4594">
        <f t="shared" si="376"/>
        <v>0.26674714686518447</v>
      </c>
      <c r="S502" s="4594">
        <f t="shared" si="376"/>
        <v>0.16943019711073118</v>
      </c>
      <c r="T502" s="4594">
        <f t="shared" si="376"/>
        <v>0.2767926548451915</v>
      </c>
      <c r="U502" s="4594">
        <f t="shared" si="376"/>
        <v>0.2621762689510585</v>
      </c>
      <c r="V502" s="4594">
        <f t="shared" si="376"/>
        <v>0.23699736920316578</v>
      </c>
      <c r="W502" s="4958"/>
      <c r="X502" s="4958"/>
      <c r="Y502" s="4958"/>
      <c r="Z502" s="4958"/>
      <c r="AA502" s="4958"/>
      <c r="AB502" s="4958"/>
      <c r="AC502" s="4958"/>
      <c r="AD502" s="4958"/>
      <c r="AE502" s="4958"/>
      <c r="AF502" s="4958"/>
      <c r="AH502" s="4797"/>
    </row>
    <row r="503" spans="1:34" s="766" customFormat="1" hidden="1">
      <c r="A503" s="4587"/>
      <c r="B503" s="4588"/>
      <c r="C503" s="4588"/>
      <c r="D503" s="4588"/>
      <c r="E503" s="4588"/>
      <c r="F503" s="4588"/>
      <c r="G503" s="4588"/>
      <c r="H503" s="4588"/>
      <c r="I503" s="4588"/>
      <c r="J503" s="4588"/>
      <c r="K503" s="4588"/>
      <c r="L503" s="4588"/>
      <c r="M503" s="4588"/>
      <c r="N503" s="4588"/>
      <c r="O503" s="4588"/>
      <c r="P503" s="4588"/>
      <c r="Q503" s="4588"/>
      <c r="R503" s="4588"/>
      <c r="S503" s="4588"/>
      <c r="T503" s="4588"/>
      <c r="U503" s="4588"/>
      <c r="V503" s="4588"/>
      <c r="W503" s="4982"/>
      <c r="X503" s="4982"/>
      <c r="Y503" s="4982"/>
      <c r="Z503" s="4982"/>
      <c r="AA503" s="4982"/>
      <c r="AB503" s="4982"/>
      <c r="AC503" s="4982"/>
      <c r="AD503" s="4982"/>
      <c r="AE503" s="4982"/>
      <c r="AF503" s="4982"/>
      <c r="AH503" s="4796"/>
    </row>
  </sheetData>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C005388AFBB64F93F9BE019BFA5DB0" ma:contentTypeVersion="0" ma:contentTypeDescription="Create a new document." ma:contentTypeScope="" ma:versionID="27adf49d8bbf5af90e603c83b9589125">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4.xml><?xml version="1.0" encoding="utf-8"?>
<PitchProPlusData>
  <PitchProShapeProperty_47916934_Version>2</PitchProShapeProperty_47916934_Version>
</PitchProPlusData>
</file>

<file path=customXml/itemProps1.xml><?xml version="1.0" encoding="utf-8"?>
<ds:datastoreItem xmlns:ds="http://schemas.openxmlformats.org/officeDocument/2006/customXml" ds:itemID="{E2A0DB23-CAE8-48A2-BDE0-2C26C28B3E57}">
  <ds:schemaRefs>
    <ds:schemaRef ds:uri="http://schemas.microsoft.com/office/2006/documentManagement/types"/>
    <ds:schemaRef ds:uri="http://purl.org/dc/dcmitype/"/>
    <ds:schemaRef ds:uri="http://www.w3.org/XML/1998/namespace"/>
    <ds:schemaRef ds:uri="http://purl.org/dc/elements/1.1/"/>
    <ds:schemaRef ds:uri="http://schemas.openxmlformats.org/package/2006/metadata/core-propertie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3B5574FF-D4EE-4886-AD1C-FB26865797C7}">
  <ds:schemaRefs>
    <ds:schemaRef ds:uri="http://schemas.microsoft.com/sharepoint/v3/contenttype/forms"/>
  </ds:schemaRefs>
</ds:datastoreItem>
</file>

<file path=customXml/itemProps3.xml><?xml version="1.0" encoding="utf-8"?>
<ds:datastoreItem xmlns:ds="http://schemas.openxmlformats.org/officeDocument/2006/customXml" ds:itemID="{4DA4293B-1185-4F7A-9BCB-7A88DFC6E4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4.xml><?xml version="1.0" encoding="utf-8"?>
<ds:datastoreItem xmlns:ds="http://schemas.openxmlformats.org/officeDocument/2006/customXml" ds:itemID="{5FA00005-A912-4752-ADE9-11089FA7F878}">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12</vt:i4>
      </vt:variant>
      <vt:variant>
        <vt:lpstr>Named Ranges</vt:lpstr>
      </vt:variant>
      <vt:variant>
        <vt:i4>5</vt:i4>
      </vt:variant>
    </vt:vector>
  </HeadingPairs>
  <TitlesOfParts>
    <vt:vector size="17" baseType="lpstr">
      <vt:lpstr>CoverSheet</vt:lpstr>
      <vt:lpstr>IS</vt:lpstr>
      <vt:lpstr>Revenue Drivers</vt:lpstr>
      <vt:lpstr>Segment As Reported</vt:lpstr>
      <vt:lpstr>CF</vt:lpstr>
      <vt:lpstr>BS</vt:lpstr>
      <vt:lpstr>FX</vt:lpstr>
      <vt:lpstr>Rel Val</vt:lpstr>
      <vt:lpstr>DCF</vt:lpstr>
      <vt:lpstr>Key Stats</vt:lpstr>
      <vt:lpstr>SOTP Summary</vt:lpstr>
      <vt:lpstr>Segment JPMe</vt:lpstr>
      <vt:lpstr>GOOGL_Drivers_01</vt:lpstr>
      <vt:lpstr>GOOGL_Drivers_02</vt:lpstr>
      <vt:lpstr>GOOGL_IS</vt:lpstr>
      <vt:lpstr>GOOGL_Segments</vt:lpstr>
      <vt:lpstr>Linking_2</vt:lpstr>
    </vt:vector>
  </TitlesOfParts>
  <Company>Barclays Capital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JPM</dc:creator>
  <cp:lastModifiedBy>Lee, Dae K (CIB Global Research, USA)</cp:lastModifiedBy>
  <cp:lastPrinted>2025-07-20T21:19:04Z</cp:lastPrinted>
  <dcterms:created xsi:type="dcterms:W3CDTF">2000-12-20T13:53:35Z</dcterms:created>
  <dcterms:modified xsi:type="dcterms:W3CDTF">2025-10-30T13:20:52Z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DSMenuDocLevelBtnStates">
    <vt:lpwstr>&lt;btnStates&gt;&lt;btn tag="1001" state="UP"/&gt;&lt;/btnStates&gt;_x000d_
</vt:lpwstr>
  </property>
  <property fmtid="{D5CDD505-2E9C-101B-9397-08002B2CF9AE}" pid="3" name="DealMaven.PresLink.LastVersion">
    <vt:lpwstr/>
  </property>
  <property fmtid="{D5CDD505-2E9C-101B-9397-08002B2CF9AE}" pid="4" name="ContentTypeId">
    <vt:lpwstr>0x0101006DC005388AFBB64F93F9BE019BFA5DB0</vt:lpwstr>
  </property>
  <property fmtid="{D5CDD505-2E9C-101B-9397-08002B2CF9AE}" pid="5" name="GPSQueryServer">
    <vt:lpwstr>PROD</vt:lpwstr>
  </property>
  <property fmtid="{D5CDD505-2E9C-101B-9397-08002B2CF9AE}" pid="6" name="PitchProPlusUniqueWorkbookId">
    <vt:lpwstr>112fd842-01d4-4ff7-a1a2-4f664671edf5</vt:lpwstr>
  </property>
  <property fmtid="{D5CDD505-2E9C-101B-9397-08002B2CF9AE}" pid="7" name="{A44787D4-0540-4523-9961-78E4036D8C6D}">
    <vt:lpwstr>{1EB02807-D650-44E0-8875-454A27D49DBA}</vt:lpwstr>
  </property>
  <property fmtid="{D5CDD505-2E9C-101B-9397-08002B2CF9AE}" pid="8" name="GPS:activeCompanies:">
    <vt:lpwstr>1009028-2,155953-2</vt:lpwstr>
  </property>
  <property fmtid="{D5CDD505-2E9C-101B-9397-08002B2CF9AE}" pid="9" name="GPS:company:1009028-2">
    <vt:lpwstr>{"_sheetId":"{00000000-0001-0000-1000-000000000000}","_sheet":"GPS7 - GOOGL US","_name":"Alphabet Inc."}</vt:lpwstr>
  </property>
  <property fmtid="{D5CDD505-2E9C-101B-9397-08002B2CF9AE}" pid="10" name="GPS:company:155953-2">
    <vt:lpwstr>{"_sheetId":"{00000000-0001-0000-1100-000000000000}","_sheet":"GPS7 - GOOG US","_name":"Alphabet"}</vt:lpwstr>
  </property>
  <property fmtid="{D5CDD505-2E9C-101B-9397-08002B2CF9AE}" pid="11" name="HiddenData">
    <vt:lpwstr>Hidden Contents:
Sheet Name: FX (...)</vt:lpwstr>
  </property>
  <property fmtid="{D5CDD505-2E9C-101B-9397-08002B2CF9AE}" pid="12" name="FormulaData">
    <vt:lpwstr>Formula Contents:
Sheet Name: FX: A2 (...)</vt:lpwstr>
  </property>
</Properties>
</file>